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SMT6\MAGANG\MAGANG ITM\Latihan Intern\FLF\"/>
    </mc:Choice>
  </mc:AlternateContent>
  <xr:revisionPtr revIDLastSave="0" documentId="13_ncr:1_{DFAF7FC0-955A-4AE1-9CC2-F58947B759D2}" xr6:coauthVersionLast="47" xr6:coauthVersionMax="47" xr10:uidLastSave="{00000000-0000-0000-0000-000000000000}"/>
  <bookViews>
    <workbookView xWindow="11520" yWindow="0" windowWidth="11520" windowHeight="12360" tabRatio="940" firstSheet="21" activeTab="21" xr2:uid="{00000000-000D-0000-FFFF-FFFF00000000}"/>
  </bookViews>
  <sheets>
    <sheet name="FLF &amp; AGENT INFO" sheetId="7" state="hidden" r:id="rId1"/>
    <sheet name="Sheet1" sheetId="297" state="hidden" r:id="rId2"/>
    <sheet name="BLU JAN'23" sheetId="471" state="hidden" r:id="rId3"/>
    <sheet name="TBS JAN'23" sheetId="445" state="hidden" r:id="rId4"/>
    <sheet name="BLU FEB'23" sheetId="487" state="hidden" r:id="rId5"/>
    <sheet name="TBS FEB'23" sheetId="461" state="hidden" r:id="rId6"/>
    <sheet name="BLU MAR'23" sheetId="511" state="hidden" r:id="rId7"/>
    <sheet name="TBS MAR'23" sheetId="479" state="hidden" r:id="rId8"/>
    <sheet name="BLU APR'23" sheetId="527" state="hidden" r:id="rId9"/>
    <sheet name="TBS APR'23" sheetId="500" state="hidden" r:id="rId10"/>
    <sheet name="BLU MAY'23" sheetId="555" state="hidden" r:id="rId11"/>
    <sheet name="TBS MAY'23" sheetId="517" state="hidden" r:id="rId12"/>
    <sheet name="BLU JUNE'23" sheetId="583" state="hidden" r:id="rId13"/>
    <sheet name="TBS JUNE'23" sheetId="541" state="hidden" r:id="rId14"/>
    <sheet name="TBS JULY'23" sheetId="570" state="hidden" r:id="rId15"/>
    <sheet name="TBS AUG'23" sheetId="592" state="hidden" r:id="rId16"/>
    <sheet name="TBS SEPT'23" sheetId="615" state="hidden" r:id="rId17"/>
    <sheet name="BLU JULY'23" sheetId="603" state="hidden" r:id="rId18"/>
    <sheet name="BLU AUG'23" sheetId="626" state="hidden" r:id="rId19"/>
    <sheet name="BLU SEPT'23" sheetId="637" state="hidden" r:id="rId20"/>
    <sheet name="Sheet2" sheetId="686" state="hidden" r:id="rId21"/>
    <sheet name="VLU 2023 &amp; 2024" sheetId="202" r:id="rId22"/>
    <sheet name="BLU OCT'23" sheetId="670" state="hidden" r:id="rId23"/>
    <sheet name="BLU NOV'23" sheetId="681" state="hidden" r:id="rId24"/>
    <sheet name="TBS OCT'23" sheetId="633" state="hidden" r:id="rId25"/>
    <sheet name="TBS NOV'23" sheetId="652" state="hidden" r:id="rId26"/>
    <sheet name="BLU DEC'23 &amp; JAN'24" sheetId="397" r:id="rId27"/>
    <sheet name="TBS DEC'23" sheetId="669" r:id="rId28"/>
    <sheet name="BOCT" sheetId="8" r:id="rId29"/>
    <sheet name="MBR MV. CHANG MING" sheetId="683" r:id="rId30"/>
    <sheet name="MBR MV. VINCA (voy.02)" sheetId="684" r:id="rId31"/>
    <sheet name="MBR MV. XIN WU ZHOU 1" sheetId="685" r:id="rId32"/>
    <sheet name="MBR MV. RIN YO" sheetId="682" r:id="rId33"/>
  </sheets>
  <externalReferences>
    <externalReference r:id="rId34"/>
    <externalReference r:id="rId35"/>
  </externalReferences>
  <definedNames>
    <definedName name="_xlnm._FilterDatabase" localSheetId="8" hidden="1">'BLU APR''23'!$A$1:$L$164</definedName>
    <definedName name="_xlnm._FilterDatabase" localSheetId="18" hidden="1">'BLU AUG''23'!$A$1:$L$190</definedName>
    <definedName name="_xlnm._FilterDatabase" localSheetId="26" hidden="1">'BLU DEC''23 &amp; JAN''24'!$A$1:$L$2</definedName>
    <definedName name="_xlnm._FilterDatabase" localSheetId="4" hidden="1">'BLU FEB''23'!$A$1:$L$121</definedName>
    <definedName name="_xlnm._FilterDatabase" localSheetId="2" hidden="1">'BLU JAN''23'!$A$1:$L$128</definedName>
    <definedName name="_xlnm._FilterDatabase" localSheetId="17" hidden="1">'BLU JULY''23'!$A$1:$L$191</definedName>
    <definedName name="_xlnm._FilterDatabase" localSheetId="12" hidden="1">'BLU JUNE''23'!$A$1:$L$190</definedName>
    <definedName name="_xlnm._FilterDatabase" localSheetId="6" hidden="1">'BLU MAR''23'!$A$1:$L$174</definedName>
    <definedName name="_xlnm._FilterDatabase" localSheetId="10" hidden="1">'BLU MAY''23'!$A$1:$L$191</definedName>
    <definedName name="_xlnm._FilterDatabase" localSheetId="23" hidden="1">'BLU NOV''23'!$A$1:$L$2</definedName>
    <definedName name="_xlnm._FilterDatabase" localSheetId="22" hidden="1">'BLU OCT''23'!$A$1:$L$174</definedName>
    <definedName name="_xlnm._FilterDatabase" localSheetId="19" hidden="1">'BLU SEPT''23'!#REF!</definedName>
    <definedName name="_xlnm._FilterDatabase" localSheetId="21" hidden="1">'VLU 2023 &amp; 2024'!$B$2:$PY$3</definedName>
    <definedName name="Month" localSheetId="29">[1]!MonthTable[MONTH]</definedName>
    <definedName name="Month" localSheetId="32">[1]!MonthTable[MONTH]</definedName>
    <definedName name="Month" localSheetId="30">[1]!MonthTable[MONTH]</definedName>
    <definedName name="Month" localSheetId="31">[1]!MonthTable[MONTH]</definedName>
    <definedName name="Month">[1]!MonthTable[MONTH]</definedName>
  </definedNames>
  <calcPr calcId="181029"/>
  <extLst>
    <ext xmlns:x15="http://schemas.microsoft.com/office/spreadsheetml/2010/11/main" uri="{140A7094-0E35-4892-8432-C4D2E57EDEB5}">
      <x15:workbookPr chartTrackingRefBase="1"/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BG7" i="202" l="1"/>
  <c r="X309" i="397"/>
  <c r="Z233" i="397"/>
  <c r="Z226" i="397"/>
  <c r="X300" i="397"/>
  <c r="X299" i="397"/>
  <c r="X298" i="397"/>
  <c r="X297" i="397"/>
  <c r="S365" i="397"/>
  <c r="P276" i="202"/>
  <c r="BR352" i="397"/>
  <c r="BR351" i="397"/>
  <c r="BS351" i="397" s="1"/>
  <c r="BT351" i="397" s="1"/>
  <c r="BU351" i="397" s="1"/>
  <c r="BV351" i="397" s="1"/>
  <c r="BW351" i="397" s="1"/>
  <c r="BR350" i="397"/>
  <c r="T353" i="397"/>
  <c r="W353" i="397"/>
  <c r="AB353" i="397"/>
  <c r="AB354" i="397" s="1"/>
  <c r="AC353" i="397"/>
  <c r="AC354" i="397" s="1"/>
  <c r="AD353" i="397"/>
  <c r="AE353" i="397"/>
  <c r="AE354" i="397" s="1"/>
  <c r="AF353" i="397"/>
  <c r="AG353" i="397"/>
  <c r="AG354" i="397" s="1"/>
  <c r="AH353" i="397"/>
  <c r="AI353" i="397"/>
  <c r="AJ353" i="397"/>
  <c r="AK353" i="397"/>
  <c r="AL353" i="397"/>
  <c r="AL354" i="397" s="1"/>
  <c r="AM353" i="397"/>
  <c r="AM354" i="397" s="1"/>
  <c r="AN353" i="397"/>
  <c r="AN354" i="397" s="1"/>
  <c r="AO353" i="397"/>
  <c r="AP353" i="397"/>
  <c r="AP354" i="397" s="1"/>
  <c r="AQ353" i="397"/>
  <c r="AR353" i="397"/>
  <c r="AS353" i="397"/>
  <c r="AT353" i="397"/>
  <c r="AU353" i="397"/>
  <c r="AU354" i="397" s="1"/>
  <c r="AV353" i="397"/>
  <c r="AV354" i="397" s="1"/>
  <c r="AW353" i="397"/>
  <c r="AW354" i="397" s="1"/>
  <c r="AX353" i="397"/>
  <c r="AX354" i="397" s="1"/>
  <c r="AY353" i="397"/>
  <c r="AY354" i="397" s="1"/>
  <c r="AZ353" i="397"/>
  <c r="BA353" i="397"/>
  <c r="BA354" i="397" s="1"/>
  <c r="BB353" i="397"/>
  <c r="BC353" i="397"/>
  <c r="S353" i="397"/>
  <c r="X352" i="397"/>
  <c r="X351" i="397"/>
  <c r="X350" i="397"/>
  <c r="Y349" i="397"/>
  <c r="BR348" i="397"/>
  <c r="BS348" i="397" s="1"/>
  <c r="BT348" i="397" s="1"/>
  <c r="BU348" i="397" s="1"/>
  <c r="BV348" i="397" s="1"/>
  <c r="BW348" i="397" s="1"/>
  <c r="BR347" i="397"/>
  <c r="BR346" i="397"/>
  <c r="BS346" i="397" s="1"/>
  <c r="BT346" i="397" s="1"/>
  <c r="BU346" i="397" s="1"/>
  <c r="BV346" i="397" s="1"/>
  <c r="BW346" i="397" s="1"/>
  <c r="BR345" i="397"/>
  <c r="BR343" i="397"/>
  <c r="V348" i="397"/>
  <c r="V347" i="397"/>
  <c r="V346" i="397"/>
  <c r="V345" i="397"/>
  <c r="Y344" i="397"/>
  <c r="Y343" i="397"/>
  <c r="BR342" i="397"/>
  <c r="BS342" i="397" s="1"/>
  <c r="BT342" i="397" s="1"/>
  <c r="BU342" i="397" s="1"/>
  <c r="BV342" i="397" s="1"/>
  <c r="BW342" i="397" s="1"/>
  <c r="CE342" i="397" s="1"/>
  <c r="BR341" i="397"/>
  <c r="BR340" i="397"/>
  <c r="BS340" i="397" s="1"/>
  <c r="BT340" i="397" s="1"/>
  <c r="BU340" i="397" s="1"/>
  <c r="BV340" i="397" s="1"/>
  <c r="BW340" i="397" s="1"/>
  <c r="BR339" i="397"/>
  <c r="BS339" i="397" s="1"/>
  <c r="BT339" i="397" s="1"/>
  <c r="BU339" i="397" s="1"/>
  <c r="BV339" i="397" s="1"/>
  <c r="BW339" i="397" s="1"/>
  <c r="X341" i="397"/>
  <c r="Y340" i="397"/>
  <c r="Y338" i="397"/>
  <c r="BR337" i="397"/>
  <c r="BR336" i="397"/>
  <c r="BS336" i="397" s="1"/>
  <c r="BT336" i="397" s="1"/>
  <c r="BU336" i="397" s="1"/>
  <c r="BV336" i="397" s="1"/>
  <c r="BW336" i="397" s="1"/>
  <c r="BR335" i="397"/>
  <c r="BS335" i="397" s="1"/>
  <c r="BT335" i="397" s="1"/>
  <c r="BU335" i="397" s="1"/>
  <c r="BV335" i="397" s="1"/>
  <c r="BW335" i="397" s="1"/>
  <c r="BR334" i="397"/>
  <c r="BR333" i="397"/>
  <c r="BS333" i="397" s="1"/>
  <c r="BT333" i="397" s="1"/>
  <c r="BU333" i="397" s="1"/>
  <c r="BV333" i="397" s="1"/>
  <c r="BW333" i="397" s="1"/>
  <c r="BE333" i="397" s="1"/>
  <c r="X332" i="397"/>
  <c r="U333" i="397"/>
  <c r="U334" i="397"/>
  <c r="U335" i="397"/>
  <c r="BR330" i="397"/>
  <c r="BS330" i="397" s="1"/>
  <c r="BT330" i="397" s="1"/>
  <c r="BU330" i="397" s="1"/>
  <c r="BV330" i="397" s="1"/>
  <c r="BW330" i="397" s="1"/>
  <c r="CE330" i="397" s="1"/>
  <c r="BR329" i="397"/>
  <c r="BR328" i="397"/>
  <c r="BR327" i="397"/>
  <c r="BR326" i="397"/>
  <c r="BR325" i="397"/>
  <c r="BR324" i="397"/>
  <c r="BS324" i="397" s="1"/>
  <c r="BT324" i="397" s="1"/>
  <c r="BU324" i="397" s="1"/>
  <c r="BV324" i="397" s="1"/>
  <c r="BW324" i="397" s="1"/>
  <c r="BR323" i="397"/>
  <c r="BS323" i="397" s="1"/>
  <c r="BT323" i="397" s="1"/>
  <c r="BU323" i="397" s="1"/>
  <c r="BV323" i="397" s="1"/>
  <c r="BW323" i="397" s="1"/>
  <c r="X331" i="397"/>
  <c r="Y324" i="397"/>
  <c r="Y325" i="397"/>
  <c r="Y326" i="397"/>
  <c r="Y327" i="397"/>
  <c r="Y328" i="397"/>
  <c r="Y329" i="397"/>
  <c r="Y330" i="397"/>
  <c r="BR321" i="397"/>
  <c r="BS321" i="397" s="1"/>
  <c r="BT321" i="397" s="1"/>
  <c r="BU321" i="397" s="1"/>
  <c r="BV321" i="397" s="1"/>
  <c r="BW321" i="397" s="1"/>
  <c r="BE321" i="397" s="1"/>
  <c r="BR320" i="397"/>
  <c r="BS320" i="397" s="1"/>
  <c r="BT320" i="397" s="1"/>
  <c r="BU320" i="397" s="1"/>
  <c r="BV320" i="397" s="1"/>
  <c r="BW320" i="397" s="1"/>
  <c r="CE320" i="397" s="1"/>
  <c r="AA320" i="397"/>
  <c r="AA353" i="397" s="1"/>
  <c r="X319" i="397"/>
  <c r="X318" i="397"/>
  <c r="X317" i="397"/>
  <c r="BR314" i="397"/>
  <c r="BR313" i="397"/>
  <c r="BR312" i="397"/>
  <c r="BS312" i="397" s="1"/>
  <c r="BT312" i="397" s="1"/>
  <c r="BU312" i="397" s="1"/>
  <c r="BV312" i="397" s="1"/>
  <c r="BW312" i="397" s="1"/>
  <c r="CE312" i="397" s="1"/>
  <c r="BR311" i="397"/>
  <c r="BR310" i="397"/>
  <c r="BS310" i="397" s="1"/>
  <c r="BT310" i="397" s="1"/>
  <c r="BU310" i="397" s="1"/>
  <c r="BV310" i="397" s="1"/>
  <c r="BW310" i="397" s="1"/>
  <c r="BR309" i="397"/>
  <c r="BS309" i="397" s="1"/>
  <c r="BT309" i="397" s="1"/>
  <c r="BU309" i="397" s="1"/>
  <c r="BV309" i="397" s="1"/>
  <c r="BW309" i="397" s="1"/>
  <c r="V312" i="397"/>
  <c r="V311" i="397"/>
  <c r="U313" i="397"/>
  <c r="Z308" i="397"/>
  <c r="BR306" i="397"/>
  <c r="BS306" i="397" s="1"/>
  <c r="BT306" i="397" s="1"/>
  <c r="BU306" i="397" s="1"/>
  <c r="BV306" i="397" s="1"/>
  <c r="BW306" i="397" s="1"/>
  <c r="BR305" i="397"/>
  <c r="BS305" i="397" s="1"/>
  <c r="BT305" i="397" s="1"/>
  <c r="BU305" i="397" s="1"/>
  <c r="BV305" i="397" s="1"/>
  <c r="BW305" i="397" s="1"/>
  <c r="BR304" i="397"/>
  <c r="BS304" i="397" s="1"/>
  <c r="BT304" i="397" s="1"/>
  <c r="BR303" i="397"/>
  <c r="BS303" i="397" s="1"/>
  <c r="BT303" i="397" s="1"/>
  <c r="BU303" i="397" s="1"/>
  <c r="BV303" i="397" s="1"/>
  <c r="BW303" i="397" s="1"/>
  <c r="BR302" i="397"/>
  <c r="BR301" i="397"/>
  <c r="BS301" i="397" s="1"/>
  <c r="BT301" i="397" s="1"/>
  <c r="BR300" i="397"/>
  <c r="BS300" i="397" s="1"/>
  <c r="BT300" i="397" s="1"/>
  <c r="BU300" i="397" s="1"/>
  <c r="BV300" i="397" s="1"/>
  <c r="BW300" i="397" s="1"/>
  <c r="V307" i="397"/>
  <c r="V306" i="397"/>
  <c r="U304" i="397"/>
  <c r="U303" i="397"/>
  <c r="U302" i="397"/>
  <c r="BR299" i="397"/>
  <c r="BR297" i="397"/>
  <c r="BR296" i="397"/>
  <c r="BS296" i="397" s="1"/>
  <c r="BT296" i="397" s="1"/>
  <c r="BU296" i="397" s="1"/>
  <c r="BV296" i="397" s="1"/>
  <c r="BW296" i="397" s="1"/>
  <c r="BR295" i="397"/>
  <c r="BS295" i="397" s="1"/>
  <c r="BT295" i="397" s="1"/>
  <c r="BU295" i="397" s="1"/>
  <c r="BV295" i="397" s="1"/>
  <c r="BW295" i="397" s="1"/>
  <c r="BR294" i="397"/>
  <c r="BS294" i="397" s="1"/>
  <c r="BT294" i="397" s="1"/>
  <c r="BU294" i="397" s="1"/>
  <c r="BV294" i="397" s="1"/>
  <c r="BW294" i="397" s="1"/>
  <c r="CE294" i="397" s="1"/>
  <c r="BR293" i="397"/>
  <c r="X296" i="397"/>
  <c r="X295" i="397"/>
  <c r="BI292" i="397"/>
  <c r="BZ292" i="397" s="1"/>
  <c r="BI293" i="397"/>
  <c r="BI294" i="397"/>
  <c r="BZ294" i="397" s="1"/>
  <c r="BI295" i="397"/>
  <c r="BZ295" i="397" s="1"/>
  <c r="BI296" i="397"/>
  <c r="BZ296" i="397" s="1"/>
  <c r="BI297" i="397"/>
  <c r="BZ297" i="397" s="1"/>
  <c r="BI298" i="397"/>
  <c r="BZ298" i="397" s="1"/>
  <c r="BI299" i="397"/>
  <c r="BZ299" i="397" s="1"/>
  <c r="BI300" i="397"/>
  <c r="BZ300" i="397" s="1"/>
  <c r="BI301" i="397"/>
  <c r="BZ301" i="397" s="1"/>
  <c r="BI302" i="397"/>
  <c r="BZ302" i="397" s="1"/>
  <c r="BI303" i="397"/>
  <c r="BZ303" i="397" s="1"/>
  <c r="BI304" i="397"/>
  <c r="BZ304" i="397" s="1"/>
  <c r="BI305" i="397"/>
  <c r="BZ305" i="397" s="1"/>
  <c r="BI306" i="397"/>
  <c r="BI307" i="397"/>
  <c r="BI308" i="397"/>
  <c r="BI309" i="397"/>
  <c r="BI310" i="397"/>
  <c r="BZ310" i="397" s="1"/>
  <c r="BI311" i="397"/>
  <c r="BZ311" i="397" s="1"/>
  <c r="BI312" i="397"/>
  <c r="BZ312" i="397" s="1"/>
  <c r="BI313" i="397"/>
  <c r="BI314" i="397"/>
  <c r="BZ314" i="397" s="1"/>
  <c r="BI315" i="397"/>
  <c r="BI316" i="397"/>
  <c r="BZ316" i="397" s="1"/>
  <c r="BI317" i="397"/>
  <c r="BZ317" i="397" s="1"/>
  <c r="BI318" i="397"/>
  <c r="BZ318" i="397" s="1"/>
  <c r="BI319" i="397"/>
  <c r="BZ319" i="397" s="1"/>
  <c r="BI320" i="397"/>
  <c r="BZ320" i="397" s="1"/>
  <c r="BI321" i="397"/>
  <c r="BZ321" i="397" s="1"/>
  <c r="BI322" i="397"/>
  <c r="BZ322" i="397" s="1"/>
  <c r="BI323" i="397"/>
  <c r="BZ323" i="397" s="1"/>
  <c r="BI324" i="397"/>
  <c r="BZ324" i="397" s="1"/>
  <c r="BI325" i="397"/>
  <c r="BZ325" i="397" s="1"/>
  <c r="BI326" i="397"/>
  <c r="BI327" i="397"/>
  <c r="BI328" i="397"/>
  <c r="BZ328" i="397" s="1"/>
  <c r="BI329" i="397"/>
  <c r="BI330" i="397"/>
  <c r="BZ330" i="397" s="1"/>
  <c r="BI331" i="397"/>
  <c r="BZ331" i="397" s="1"/>
  <c r="BI332" i="397"/>
  <c r="BZ332" i="397" s="1"/>
  <c r="BI333" i="397"/>
  <c r="BI334" i="397"/>
  <c r="BZ334" i="397" s="1"/>
  <c r="BI335" i="397"/>
  <c r="BI336" i="397"/>
  <c r="BZ336" i="397" s="1"/>
  <c r="BI337" i="397"/>
  <c r="BZ337" i="397" s="1"/>
  <c r="BI338" i="397"/>
  <c r="BZ338" i="397" s="1"/>
  <c r="BI339" i="397"/>
  <c r="BZ339" i="397" s="1"/>
  <c r="BI340" i="397"/>
  <c r="BZ340" i="397" s="1"/>
  <c r="BI341" i="397"/>
  <c r="BZ341" i="397" s="1"/>
  <c r="BI342" i="397"/>
  <c r="BZ342" i="397" s="1"/>
  <c r="BI343" i="397"/>
  <c r="BZ343" i="397" s="1"/>
  <c r="BI344" i="397"/>
  <c r="BZ344" i="397" s="1"/>
  <c r="BI345" i="397"/>
  <c r="BZ345" i="397" s="1"/>
  <c r="BI346" i="397"/>
  <c r="BI347" i="397"/>
  <c r="BI348" i="397"/>
  <c r="BI349" i="397"/>
  <c r="BZ349" i="397" s="1"/>
  <c r="BI350" i="397"/>
  <c r="BZ350" i="397" s="1"/>
  <c r="BI351" i="397"/>
  <c r="BZ351" i="397" s="1"/>
  <c r="BI352" i="397"/>
  <c r="BZ352" i="397" s="1"/>
  <c r="T288" i="397"/>
  <c r="U288" i="397"/>
  <c r="V288" i="397"/>
  <c r="W288" i="397"/>
  <c r="X288" i="397"/>
  <c r="Y288" i="397"/>
  <c r="Z288" i="397"/>
  <c r="AA288" i="397"/>
  <c r="AB288" i="397"/>
  <c r="AC288" i="397"/>
  <c r="AD288" i="397"/>
  <c r="AE288" i="397"/>
  <c r="AF288" i="397"/>
  <c r="AG288" i="397"/>
  <c r="AI288" i="397"/>
  <c r="AJ288" i="397"/>
  <c r="AK288" i="397"/>
  <c r="AL288" i="397"/>
  <c r="AM288" i="397"/>
  <c r="AN288" i="397"/>
  <c r="AP288" i="397"/>
  <c r="AQ288" i="397"/>
  <c r="AR288" i="397"/>
  <c r="AS288" i="397"/>
  <c r="AT288" i="397"/>
  <c r="AU288" i="397"/>
  <c r="AV288" i="397"/>
  <c r="AW288" i="397"/>
  <c r="AX288" i="397"/>
  <c r="AY288" i="397"/>
  <c r="AZ288" i="397"/>
  <c r="BA288" i="397"/>
  <c r="BB288" i="397"/>
  <c r="BC288" i="397"/>
  <c r="S288" i="397"/>
  <c r="S241" i="397"/>
  <c r="Y240" i="397"/>
  <c r="X237" i="397"/>
  <c r="X236" i="397"/>
  <c r="X235" i="397"/>
  <c r="BR232" i="397"/>
  <c r="BR231" i="397"/>
  <c r="BR230" i="397"/>
  <c r="BR229" i="397"/>
  <c r="BR228" i="397"/>
  <c r="BR227" i="397"/>
  <c r="U232" i="397"/>
  <c r="U230" i="397"/>
  <c r="V228" i="397"/>
  <c r="V229" i="397"/>
  <c r="BR225" i="397"/>
  <c r="BR224" i="397"/>
  <c r="BR223" i="397"/>
  <c r="BR221" i="397"/>
  <c r="BR220" i="397"/>
  <c r="BS220" i="397" s="1"/>
  <c r="BR216" i="397"/>
  <c r="BS216" i="397" s="1"/>
  <c r="X225" i="397"/>
  <c r="X224" i="397"/>
  <c r="X223" i="397"/>
  <c r="X221" i="397"/>
  <c r="Y220" i="397"/>
  <c r="Y216" i="397"/>
  <c r="BR219" i="397"/>
  <c r="M19" i="682"/>
  <c r="V219" i="397"/>
  <c r="U219" i="397"/>
  <c r="V218" i="397"/>
  <c r="U218" i="397"/>
  <c r="V217" i="397"/>
  <c r="V241" i="397" s="1"/>
  <c r="U217" i="397"/>
  <c r="AO247" i="397"/>
  <c r="AO288" i="397" s="1"/>
  <c r="H19" i="685"/>
  <c r="BT166" i="397"/>
  <c r="BK245" i="397"/>
  <c r="BL245" i="397" s="1"/>
  <c r="BM245" i="397" s="1"/>
  <c r="BN245" i="397" s="1"/>
  <c r="BR245" i="397" s="1"/>
  <c r="CC245" i="397" s="1"/>
  <c r="R309" i="397"/>
  <c r="Q309" i="397"/>
  <c r="AH245" i="397"/>
  <c r="AH288" i="397" s="1"/>
  <c r="L11" i="685"/>
  <c r="M11" i="685"/>
  <c r="BK247" i="397"/>
  <c r="BL247" i="397" s="1"/>
  <c r="BM247" i="397" s="1"/>
  <c r="BN247" i="397" s="1"/>
  <c r="M13" i="685"/>
  <c r="M14" i="685"/>
  <c r="M15" i="685"/>
  <c r="M16" i="685"/>
  <c r="M17" i="685"/>
  <c r="M18" i="685"/>
  <c r="M19" i="685"/>
  <c r="H13" i="685"/>
  <c r="AB13" i="685" s="1"/>
  <c r="H14" i="685"/>
  <c r="AB14" i="685" s="1"/>
  <c r="H15" i="685"/>
  <c r="AB15" i="685" s="1"/>
  <c r="H16" i="685"/>
  <c r="AB16" i="685" s="1"/>
  <c r="H17" i="685"/>
  <c r="AB17" i="685" s="1"/>
  <c r="H18" i="685"/>
  <c r="BR203" i="397"/>
  <c r="BR200" i="397"/>
  <c r="BR183" i="397"/>
  <c r="X213" i="397"/>
  <c r="X214" i="397"/>
  <c r="T241" i="397"/>
  <c r="W241" i="397"/>
  <c r="AA241" i="397"/>
  <c r="L264" i="202"/>
  <c r="K502" i="8"/>
  <c r="J502" i="8"/>
  <c r="CC170" i="397"/>
  <c r="CB170" i="397"/>
  <c r="CA170" i="397"/>
  <c r="BZ170" i="397"/>
  <c r="BD170" i="397"/>
  <c r="AK170" i="397"/>
  <c r="A170" i="397"/>
  <c r="J503" i="8"/>
  <c r="K503" i="8"/>
  <c r="H284" i="202"/>
  <c r="H282" i="202"/>
  <c r="H281" i="202"/>
  <c r="BG261" i="202"/>
  <c r="BG264" i="202"/>
  <c r="BG262" i="202"/>
  <c r="BG263" i="202"/>
  <c r="BG265" i="202"/>
  <c r="BG266" i="202"/>
  <c r="BG267" i="202"/>
  <c r="BG268" i="202"/>
  <c r="BG269" i="202"/>
  <c r="BG270" i="202"/>
  <c r="BG272" i="202"/>
  <c r="BG273" i="202"/>
  <c r="BG274" i="202"/>
  <c r="BG271" i="202"/>
  <c r="BG275" i="202"/>
  <c r="BG260" i="202"/>
  <c r="BG259" i="202"/>
  <c r="BG258" i="202"/>
  <c r="K504" i="8"/>
  <c r="J504" i="8"/>
  <c r="BR240" i="397"/>
  <c r="BI240" i="397"/>
  <c r="BZ240" i="397" s="1"/>
  <c r="R240" i="397"/>
  <c r="Q240" i="397"/>
  <c r="CE145" i="397"/>
  <c r="CD145" i="397"/>
  <c r="CC145" i="397"/>
  <c r="CB145" i="397"/>
  <c r="CA145" i="397"/>
  <c r="BZ145" i="397"/>
  <c r="BE145" i="397"/>
  <c r="BD145" i="397"/>
  <c r="R145" i="397"/>
  <c r="Q145" i="397"/>
  <c r="CE144" i="397"/>
  <c r="CD144" i="397"/>
  <c r="CC144" i="397"/>
  <c r="CB144" i="397"/>
  <c r="CA144" i="397"/>
  <c r="BZ144" i="397"/>
  <c r="BE144" i="397"/>
  <c r="BD144" i="397"/>
  <c r="R144" i="397"/>
  <c r="Q144" i="397"/>
  <c r="CE143" i="397"/>
  <c r="CD143" i="397"/>
  <c r="CC143" i="397"/>
  <c r="CB143" i="397"/>
  <c r="CA143" i="397"/>
  <c r="BZ143" i="397"/>
  <c r="BE143" i="397"/>
  <c r="BD143" i="397"/>
  <c r="R143" i="397"/>
  <c r="Q143" i="397"/>
  <c r="BR239" i="397"/>
  <c r="BI239" i="397"/>
  <c r="BZ239" i="397" s="1"/>
  <c r="Y239" i="397"/>
  <c r="R239" i="397"/>
  <c r="Q239" i="397"/>
  <c r="M17" i="683"/>
  <c r="L17" i="683"/>
  <c r="BS176" i="397"/>
  <c r="BN180" i="397"/>
  <c r="Y238" i="397"/>
  <c r="X294" i="397"/>
  <c r="X292" i="397"/>
  <c r="BR322" i="397"/>
  <c r="BS322" i="397" s="1"/>
  <c r="BT322" i="397" s="1"/>
  <c r="BU322" i="397" s="1"/>
  <c r="BV322" i="397" s="1"/>
  <c r="BW322" i="397" s="1"/>
  <c r="CE322" i="397" s="1"/>
  <c r="BR319" i="397"/>
  <c r="BR318" i="397"/>
  <c r="BR349" i="397"/>
  <c r="BR317" i="397"/>
  <c r="BR316" i="397"/>
  <c r="BR331" i="397"/>
  <c r="BR315" i="397"/>
  <c r="BR344" i="397"/>
  <c r="BS344" i="397" s="1"/>
  <c r="BT344" i="397" s="1"/>
  <c r="BR332" i="397"/>
  <c r="BR308" i="397"/>
  <c r="BS308" i="397" s="1"/>
  <c r="BT308" i="397" s="1"/>
  <c r="BU308" i="397" s="1"/>
  <c r="BV308" i="397" s="1"/>
  <c r="BW308" i="397" s="1"/>
  <c r="BR307" i="397"/>
  <c r="BS307" i="397" s="1"/>
  <c r="BT307" i="397" s="1"/>
  <c r="BU307" i="397" s="1"/>
  <c r="BV307" i="397" s="1"/>
  <c r="BW307" i="397" s="1"/>
  <c r="BT245" i="397"/>
  <c r="BU245" i="397" s="1"/>
  <c r="BS247" i="397" s="1"/>
  <c r="BR292" i="397"/>
  <c r="BS292" i="397" s="1"/>
  <c r="BT292" i="397" s="1"/>
  <c r="X342" i="397"/>
  <c r="Z321" i="397"/>
  <c r="Y339" i="397"/>
  <c r="Y323" i="397"/>
  <c r="Y315" i="397"/>
  <c r="V310" i="397"/>
  <c r="Z322" i="397"/>
  <c r="V305" i="397"/>
  <c r="U314" i="397"/>
  <c r="V337" i="397"/>
  <c r="U336" i="397"/>
  <c r="X316" i="397"/>
  <c r="U301" i="397"/>
  <c r="U353" i="397" s="1"/>
  <c r="Z293" i="397"/>
  <c r="Y291" i="397"/>
  <c r="Y290" i="397"/>
  <c r="Y353" i="397" s="1"/>
  <c r="BI291" i="397"/>
  <c r="BR237" i="397"/>
  <c r="BR236" i="397"/>
  <c r="CC236" i="397" s="1"/>
  <c r="BR222" i="397"/>
  <c r="BR213" i="397"/>
  <c r="Z241" i="397"/>
  <c r="X234" i="397"/>
  <c r="U231" i="397"/>
  <c r="X222" i="397"/>
  <c r="AJ11" i="685"/>
  <c r="M21" i="682"/>
  <c r="M20" i="682"/>
  <c r="L17" i="684"/>
  <c r="R180" i="397"/>
  <c r="Q180" i="397"/>
  <c r="L22" i="683"/>
  <c r="H555" i="669"/>
  <c r="H547" i="669"/>
  <c r="N532" i="669"/>
  <c r="N533" i="669"/>
  <c r="N534" i="669"/>
  <c r="N535" i="669"/>
  <c r="N536" i="669"/>
  <c r="N537" i="669"/>
  <c r="N538" i="669"/>
  <c r="N539" i="669"/>
  <c r="N540" i="669"/>
  <c r="N541" i="669"/>
  <c r="N542" i="669"/>
  <c r="N543" i="669"/>
  <c r="N544" i="669"/>
  <c r="N545" i="669"/>
  <c r="N546" i="669"/>
  <c r="N547" i="669"/>
  <c r="N548" i="669"/>
  <c r="N549" i="669"/>
  <c r="N550" i="669"/>
  <c r="N551" i="669"/>
  <c r="N552" i="669"/>
  <c r="N531" i="669"/>
  <c r="H553" i="669"/>
  <c r="BD552" i="669"/>
  <c r="BC552" i="669"/>
  <c r="BB552" i="669"/>
  <c r="BA552" i="669"/>
  <c r="AZ552" i="669"/>
  <c r="AY552" i="669"/>
  <c r="AX552" i="669"/>
  <c r="AW552" i="669"/>
  <c r="AV552" i="669"/>
  <c r="AU552" i="669"/>
  <c r="AT552" i="669"/>
  <c r="AS552" i="669"/>
  <c r="AR552" i="669"/>
  <c r="AQ552" i="669"/>
  <c r="AP552" i="669"/>
  <c r="AO552" i="669"/>
  <c r="AN552" i="669"/>
  <c r="AM552" i="669"/>
  <c r="AL552" i="669"/>
  <c r="AK552" i="669"/>
  <c r="AJ552" i="669"/>
  <c r="AI552" i="669"/>
  <c r="AH552" i="669"/>
  <c r="AG552" i="669"/>
  <c r="AF552" i="669"/>
  <c r="AE552" i="669"/>
  <c r="AD552" i="669"/>
  <c r="AC552" i="669"/>
  <c r="AA552" i="669"/>
  <c r="X552" i="669"/>
  <c r="W552" i="669"/>
  <c r="V552" i="669"/>
  <c r="U552" i="669"/>
  <c r="T552" i="669"/>
  <c r="H548" i="669"/>
  <c r="Z544" i="669"/>
  <c r="Y544" i="669"/>
  <c r="Z541" i="669"/>
  <c r="Y541" i="669"/>
  <c r="Z538" i="669"/>
  <c r="Y538" i="669"/>
  <c r="Z535" i="669"/>
  <c r="Y535" i="669"/>
  <c r="H534" i="669"/>
  <c r="AB533" i="669"/>
  <c r="AB532" i="669"/>
  <c r="Y531" i="669"/>
  <c r="BR235" i="397"/>
  <c r="BI235" i="397"/>
  <c r="BZ235" i="397" s="1"/>
  <c r="R235" i="397"/>
  <c r="Q235" i="397"/>
  <c r="BR238" i="397"/>
  <c r="BI238" i="397"/>
  <c r="BZ238" i="397" s="1"/>
  <c r="R238" i="397"/>
  <c r="Q238" i="397"/>
  <c r="BR233" i="397"/>
  <c r="BZ233" i="397"/>
  <c r="R233" i="397"/>
  <c r="Q233" i="397"/>
  <c r="BR234" i="397"/>
  <c r="BI234" i="397"/>
  <c r="BZ234" i="397" s="1"/>
  <c r="R234" i="397"/>
  <c r="Q234" i="397"/>
  <c r="BI230" i="397"/>
  <c r="BZ230" i="397" s="1"/>
  <c r="R230" i="397"/>
  <c r="Q230" i="397"/>
  <c r="A172" i="397"/>
  <c r="M18" i="682"/>
  <c r="L18" i="682"/>
  <c r="S149" i="397"/>
  <c r="U149" i="397" s="1"/>
  <c r="H513" i="669"/>
  <c r="AB513" i="669" s="1"/>
  <c r="S68" i="397"/>
  <c r="X68" i="397" s="1"/>
  <c r="BR291" i="397"/>
  <c r="BS291" i="397" s="1"/>
  <c r="BT291" i="397" s="1"/>
  <c r="BR290" i="397"/>
  <c r="BI290" i="397"/>
  <c r="BZ290" i="397" s="1"/>
  <c r="BR226" i="397"/>
  <c r="P249" i="202"/>
  <c r="X215" i="397"/>
  <c r="M12" i="685"/>
  <c r="H12" i="685"/>
  <c r="AB12" i="685" s="1"/>
  <c r="X208" i="397"/>
  <c r="BT199" i="397"/>
  <c r="L15" i="684"/>
  <c r="H15" i="684"/>
  <c r="N16" i="684"/>
  <c r="H11" i="684"/>
  <c r="N12" i="684"/>
  <c r="BR172" i="397"/>
  <c r="AZ172" i="397"/>
  <c r="R172" i="397"/>
  <c r="Q172" i="397"/>
  <c r="BZ224" i="397"/>
  <c r="R224" i="397"/>
  <c r="Q224" i="397"/>
  <c r="BZ226" i="397"/>
  <c r="R226" i="397"/>
  <c r="Q226" i="397"/>
  <c r="BZ232" i="397"/>
  <c r="R232" i="397"/>
  <c r="Q232" i="397"/>
  <c r="BI229" i="397"/>
  <c r="BZ229" i="397" s="1"/>
  <c r="R229" i="397"/>
  <c r="Q229" i="397"/>
  <c r="BZ222" i="397"/>
  <c r="R222" i="397"/>
  <c r="Q222" i="397"/>
  <c r="BZ225" i="397"/>
  <c r="R225" i="397"/>
  <c r="Q225" i="397"/>
  <c r="Y184" i="397"/>
  <c r="X184" i="397"/>
  <c r="N507" i="669"/>
  <c r="N508" i="669"/>
  <c r="N509" i="669"/>
  <c r="N510" i="669"/>
  <c r="N511" i="669"/>
  <c r="N512" i="669"/>
  <c r="N513" i="669"/>
  <c r="N514" i="669"/>
  <c r="N515" i="669"/>
  <c r="N506" i="669"/>
  <c r="H516" i="669"/>
  <c r="BD515" i="669"/>
  <c r="BC515" i="669"/>
  <c r="BB515" i="669"/>
  <c r="BA515" i="669"/>
  <c r="AZ515" i="669"/>
  <c r="AY515" i="669"/>
  <c r="AX515" i="669"/>
  <c r="AW515" i="669"/>
  <c r="AV515" i="669"/>
  <c r="AU515" i="669"/>
  <c r="AT515" i="669"/>
  <c r="AS515" i="669"/>
  <c r="AR515" i="669"/>
  <c r="AQ515" i="669"/>
  <c r="AP515" i="669"/>
  <c r="AO515" i="669"/>
  <c r="AN515" i="669"/>
  <c r="AM515" i="669"/>
  <c r="AL515" i="669"/>
  <c r="AK515" i="669"/>
  <c r="AJ515" i="669"/>
  <c r="AI515" i="669"/>
  <c r="AH515" i="669"/>
  <c r="AG515" i="669"/>
  <c r="AF515" i="669"/>
  <c r="AE515" i="669"/>
  <c r="AD515" i="669"/>
  <c r="AA515" i="669"/>
  <c r="Z515" i="669"/>
  <c r="Y515" i="669"/>
  <c r="X515" i="669"/>
  <c r="W515" i="669"/>
  <c r="V515" i="669"/>
  <c r="U515" i="669"/>
  <c r="T515" i="669"/>
  <c r="H512" i="669"/>
  <c r="AB511" i="669"/>
  <c r="AC510" i="669"/>
  <c r="AC515" i="669" s="1"/>
  <c r="AB509" i="669"/>
  <c r="AB508" i="669"/>
  <c r="AB507" i="669"/>
  <c r="AB506" i="669"/>
  <c r="L499" i="669"/>
  <c r="L21" i="683"/>
  <c r="A203" i="397"/>
  <c r="V199" i="397"/>
  <c r="L14" i="684"/>
  <c r="L13" i="684"/>
  <c r="L11" i="684"/>
  <c r="H493" i="669"/>
  <c r="H488" i="669"/>
  <c r="AB488" i="669" s="1"/>
  <c r="N482" i="669"/>
  <c r="N481" i="669"/>
  <c r="N480" i="669"/>
  <c r="N479" i="669"/>
  <c r="N478" i="669"/>
  <c r="N483" i="669"/>
  <c r="N484" i="669"/>
  <c r="N485" i="669"/>
  <c r="N486" i="669"/>
  <c r="N487" i="669"/>
  <c r="N488" i="669"/>
  <c r="N489" i="669"/>
  <c r="N490" i="669"/>
  <c r="N407" i="669"/>
  <c r="N408" i="669"/>
  <c r="N409" i="669"/>
  <c r="N410" i="669"/>
  <c r="N411" i="669"/>
  <c r="N412" i="669"/>
  <c r="N413" i="669"/>
  <c r="N414" i="669"/>
  <c r="N415" i="669"/>
  <c r="N416" i="669"/>
  <c r="N417" i="669"/>
  <c r="N418" i="669"/>
  <c r="N419" i="669"/>
  <c r="N420" i="669"/>
  <c r="N421" i="669"/>
  <c r="N422" i="669"/>
  <c r="N423" i="669"/>
  <c r="N424" i="669"/>
  <c r="N425" i="669"/>
  <c r="N426" i="669"/>
  <c r="N427" i="669"/>
  <c r="N428" i="669"/>
  <c r="N429" i="669"/>
  <c r="N430" i="669"/>
  <c r="N431" i="669"/>
  <c r="N432" i="669"/>
  <c r="N433" i="669"/>
  <c r="N434" i="669"/>
  <c r="N435" i="669"/>
  <c r="N451" i="669"/>
  <c r="N452" i="669"/>
  <c r="N453" i="669"/>
  <c r="N454" i="669"/>
  <c r="N455" i="669"/>
  <c r="N456" i="669"/>
  <c r="N457" i="669"/>
  <c r="N458" i="669"/>
  <c r="N459" i="669"/>
  <c r="N460" i="669"/>
  <c r="N461" i="669"/>
  <c r="N462" i="669"/>
  <c r="N463" i="669"/>
  <c r="H491" i="669"/>
  <c r="BD490" i="669"/>
  <c r="BC490" i="669"/>
  <c r="BB490" i="669"/>
  <c r="BA490" i="669"/>
  <c r="AZ490" i="669"/>
  <c r="AY490" i="669"/>
  <c r="AX490" i="669"/>
  <c r="AW490" i="669"/>
  <c r="AV490" i="669"/>
  <c r="AU490" i="669"/>
  <c r="AT490" i="669"/>
  <c r="AS490" i="669"/>
  <c r="AR490" i="669"/>
  <c r="AQ490" i="669"/>
  <c r="AP490" i="669"/>
  <c r="AO490" i="669"/>
  <c r="AN490" i="669"/>
  <c r="AM490" i="669"/>
  <c r="AL490" i="669"/>
  <c r="AK490" i="669"/>
  <c r="AI490" i="669"/>
  <c r="AH490" i="669"/>
  <c r="AG490" i="669"/>
  <c r="AF490" i="669"/>
  <c r="AE490" i="669"/>
  <c r="AD490" i="669"/>
  <c r="AA490" i="669"/>
  <c r="Z490" i="669"/>
  <c r="Y490" i="669"/>
  <c r="W490" i="669"/>
  <c r="V490" i="669"/>
  <c r="U490" i="669"/>
  <c r="T490" i="669"/>
  <c r="AC487" i="669"/>
  <c r="AC486" i="669"/>
  <c r="AC485" i="669"/>
  <c r="H483" i="669"/>
  <c r="AB482" i="669"/>
  <c r="AC481" i="669"/>
  <c r="H479" i="669"/>
  <c r="AC478" i="669"/>
  <c r="AC490" i="669" s="1"/>
  <c r="BD249" i="202"/>
  <c r="BF249" i="202"/>
  <c r="BE249" i="202"/>
  <c r="BH21" i="685"/>
  <c r="BH23" i="682"/>
  <c r="BG23" i="682"/>
  <c r="BF23" i="682"/>
  <c r="BE23" i="682"/>
  <c r="BH19" i="684"/>
  <c r="BG19" i="684"/>
  <c r="BF19" i="684"/>
  <c r="BE19" i="684"/>
  <c r="BH24" i="683"/>
  <c r="BG24" i="683"/>
  <c r="BF24" i="683"/>
  <c r="BE24" i="683"/>
  <c r="BD24" i="683"/>
  <c r="BC24" i="683"/>
  <c r="BB24" i="683"/>
  <c r="BA24" i="683"/>
  <c r="BR298" i="397"/>
  <c r="X227" i="397"/>
  <c r="R349" i="397"/>
  <c r="Q349" i="397"/>
  <c r="BR247" i="397"/>
  <c r="M17" i="684"/>
  <c r="M14" i="684"/>
  <c r="M13" i="684"/>
  <c r="M15" i="684"/>
  <c r="V482" i="8"/>
  <c r="BB255" i="202" s="1"/>
  <c r="BB276" i="202" s="1"/>
  <c r="BR215" i="397"/>
  <c r="AB18" i="685"/>
  <c r="R236" i="397"/>
  <c r="H18" i="683"/>
  <c r="N20" i="683"/>
  <c r="H10" i="683"/>
  <c r="H14" i="683" s="1"/>
  <c r="N12" i="683"/>
  <c r="N14" i="683"/>
  <c r="BR180" i="397"/>
  <c r="CC180" i="397" s="1"/>
  <c r="AD180" i="397"/>
  <c r="A180" i="397"/>
  <c r="M11" i="684"/>
  <c r="V202" i="397"/>
  <c r="M10" i="684"/>
  <c r="L10" i="684"/>
  <c r="M22" i="683"/>
  <c r="M21" i="683"/>
  <c r="AC21" i="683"/>
  <c r="N21" i="683"/>
  <c r="AB10" i="683"/>
  <c r="Q236" i="397"/>
  <c r="Q649" i="397"/>
  <c r="BZ247" i="397"/>
  <c r="R247" i="397"/>
  <c r="Q247" i="397"/>
  <c r="BZ223" i="397"/>
  <c r="R223" i="397"/>
  <c r="Q223" i="397"/>
  <c r="BZ219" i="397"/>
  <c r="R219" i="397"/>
  <c r="Q219" i="397"/>
  <c r="BI228" i="397"/>
  <c r="BZ228" i="397" s="1"/>
  <c r="R228" i="397"/>
  <c r="Q228" i="397"/>
  <c r="BZ231" i="397"/>
  <c r="R231" i="397"/>
  <c r="Q231" i="397"/>
  <c r="BI227" i="397"/>
  <c r="BZ227" i="397" s="1"/>
  <c r="R227" i="397"/>
  <c r="Q227" i="397"/>
  <c r="BZ213" i="397"/>
  <c r="R213" i="397"/>
  <c r="Q213" i="397"/>
  <c r="BZ221" i="397"/>
  <c r="R221" i="397"/>
  <c r="Q221" i="397"/>
  <c r="BZ220" i="397"/>
  <c r="R220" i="397"/>
  <c r="Q220" i="397"/>
  <c r="BZ215" i="397"/>
  <c r="Q215" i="397"/>
  <c r="L19" i="683"/>
  <c r="L13" i="683"/>
  <c r="L16" i="683"/>
  <c r="L18" i="683"/>
  <c r="L20" i="683" s="1"/>
  <c r="X203" i="397"/>
  <c r="X201" i="397"/>
  <c r="BR338" i="397"/>
  <c r="BS338" i="397" s="1"/>
  <c r="BT338" i="397" s="1"/>
  <c r="BU338" i="397" s="1"/>
  <c r="BV338" i="397" s="1"/>
  <c r="BW338" i="397" s="1"/>
  <c r="BE338" i="397" s="1"/>
  <c r="M19" i="683"/>
  <c r="M13" i="683"/>
  <c r="M16" i="683"/>
  <c r="M18" i="683"/>
  <c r="M20" i="683" s="1"/>
  <c r="L11" i="683"/>
  <c r="L10" i="683"/>
  <c r="L14" i="683" s="1"/>
  <c r="L12" i="683" s="1"/>
  <c r="L15" i="683"/>
  <c r="BE21" i="685"/>
  <c r="BF21" i="685"/>
  <c r="BR217" i="397"/>
  <c r="BR209" i="397"/>
  <c r="BR210" i="397"/>
  <c r="BR211" i="397"/>
  <c r="BR212" i="397"/>
  <c r="BR218" i="397"/>
  <c r="BR214" i="397"/>
  <c r="BR208" i="397"/>
  <c r="BR204" i="397"/>
  <c r="X209" i="397"/>
  <c r="Q249" i="202"/>
  <c r="AZ171" i="397"/>
  <c r="R171" i="397"/>
  <c r="Q171" i="397"/>
  <c r="BZ217" i="397"/>
  <c r="R217" i="397"/>
  <c r="Q217" i="397"/>
  <c r="BZ209" i="397"/>
  <c r="R209" i="397"/>
  <c r="Q209" i="397"/>
  <c r="BZ210" i="397"/>
  <c r="X210" i="397"/>
  <c r="R210" i="397"/>
  <c r="Q210" i="397"/>
  <c r="L16" i="682"/>
  <c r="L17" i="682"/>
  <c r="S59" i="397"/>
  <c r="H464" i="669"/>
  <c r="BD463" i="669"/>
  <c r="BC463" i="669"/>
  <c r="BB463" i="669"/>
  <c r="BA463" i="669"/>
  <c r="AZ463" i="669"/>
  <c r="AY463" i="669"/>
  <c r="AW463" i="669"/>
  <c r="AU463" i="669"/>
  <c r="AT463" i="669"/>
  <c r="AS463" i="669"/>
  <c r="AR463" i="669"/>
  <c r="AQ463" i="669"/>
  <c r="AP463" i="669"/>
  <c r="AO463" i="669"/>
  <c r="AN463" i="669"/>
  <c r="AM463" i="669"/>
  <c r="AL463" i="669"/>
  <c r="AK463" i="669"/>
  <c r="AJ463" i="669"/>
  <c r="AI463" i="669"/>
  <c r="AH463" i="669"/>
  <c r="AG463" i="669"/>
  <c r="AF463" i="669"/>
  <c r="AE463" i="669"/>
  <c r="AD463" i="669"/>
  <c r="AC463" i="669"/>
  <c r="AA463" i="669"/>
  <c r="Y463" i="669"/>
  <c r="W463" i="669"/>
  <c r="V463" i="669"/>
  <c r="U463" i="669"/>
  <c r="T463" i="669"/>
  <c r="H461" i="669"/>
  <c r="AB460" i="669"/>
  <c r="AV459" i="669"/>
  <c r="AV463" i="669" s="1"/>
  <c r="AB458" i="669"/>
  <c r="Z457" i="669"/>
  <c r="AB456" i="669"/>
  <c r="AB455" i="669"/>
  <c r="AX454" i="669"/>
  <c r="AX463" i="669" s="1"/>
  <c r="AB453" i="669"/>
  <c r="Z452" i="669"/>
  <c r="Z463" i="669" s="1"/>
  <c r="AB451" i="669"/>
  <c r="AB463" i="669" s="1"/>
  <c r="H438" i="669"/>
  <c r="H430" i="669"/>
  <c r="H436" i="669"/>
  <c r="BD435" i="669"/>
  <c r="BC435" i="669"/>
  <c r="BB435" i="669"/>
  <c r="BA435" i="669"/>
  <c r="AZ435" i="669"/>
  <c r="AY435" i="669"/>
  <c r="AX435" i="669"/>
  <c r="AW435" i="669"/>
  <c r="AV435" i="669"/>
  <c r="AU435" i="669"/>
  <c r="AT435" i="669"/>
  <c r="AS435" i="669"/>
  <c r="AR435" i="669"/>
  <c r="AQ435" i="669"/>
  <c r="AP435" i="669"/>
  <c r="AO435" i="669"/>
  <c r="AN435" i="669"/>
  <c r="AM435" i="669"/>
  <c r="AL435" i="669"/>
  <c r="AK435" i="669"/>
  <c r="AJ435" i="669"/>
  <c r="AI435" i="669"/>
  <c r="AH435" i="669"/>
  <c r="AG435" i="669"/>
  <c r="AF435" i="669"/>
  <c r="AE435" i="669"/>
  <c r="AD435" i="669"/>
  <c r="AA435" i="669"/>
  <c r="Y435" i="669"/>
  <c r="X435" i="669"/>
  <c r="W435" i="669"/>
  <c r="V435" i="669"/>
  <c r="U435" i="669"/>
  <c r="H432" i="669"/>
  <c r="H431" i="669"/>
  <c r="AB427" i="669"/>
  <c r="AB424" i="669"/>
  <c r="AB421" i="669"/>
  <c r="AB418" i="669"/>
  <c r="AB415" i="669"/>
  <c r="AC412" i="669"/>
  <c r="AC435" i="669" s="1"/>
  <c r="AB412" i="669"/>
  <c r="H411" i="669"/>
  <c r="T410" i="669"/>
  <c r="Z409" i="669"/>
  <c r="T408" i="669"/>
  <c r="T435" i="669" s="1"/>
  <c r="Z407" i="669"/>
  <c r="S51" i="397"/>
  <c r="L272" i="202"/>
  <c r="L263" i="202"/>
  <c r="Q276" i="202"/>
  <c r="R276" i="202"/>
  <c r="S276" i="202"/>
  <c r="W276" i="202"/>
  <c r="Z276" i="202"/>
  <c r="AA276" i="202"/>
  <c r="AA277" i="202" s="1"/>
  <c r="AB276" i="202"/>
  <c r="AC276" i="202"/>
  <c r="AD276" i="202"/>
  <c r="AE276" i="202"/>
  <c r="AG276" i="202"/>
  <c r="AH276" i="202"/>
  <c r="AI276" i="202"/>
  <c r="AJ276" i="202"/>
  <c r="AK276" i="202"/>
  <c r="AL276" i="202"/>
  <c r="AM276" i="202"/>
  <c r="AN276" i="202"/>
  <c r="AO276" i="202"/>
  <c r="AP276" i="202"/>
  <c r="AQ276" i="202"/>
  <c r="AR276" i="202"/>
  <c r="AS276" i="202"/>
  <c r="AT276" i="202"/>
  <c r="AW276" i="202"/>
  <c r="AX276" i="202"/>
  <c r="AY276" i="202"/>
  <c r="BA276" i="202"/>
  <c r="BE276" i="202"/>
  <c r="BF276" i="202"/>
  <c r="H283" i="202"/>
  <c r="R249" i="202"/>
  <c r="S249" i="202"/>
  <c r="W249" i="202"/>
  <c r="Z249" i="202"/>
  <c r="Z250" i="202" s="1"/>
  <c r="AA249" i="202"/>
  <c r="AB249" i="202"/>
  <c r="AC249" i="202"/>
  <c r="AD249" i="202"/>
  <c r="AE249" i="202"/>
  <c r="AG249" i="202"/>
  <c r="AH249" i="202"/>
  <c r="AI249" i="202"/>
  <c r="AJ249" i="202"/>
  <c r="AK249" i="202"/>
  <c r="AL249" i="202"/>
  <c r="AM249" i="202"/>
  <c r="AN249" i="202"/>
  <c r="AO249" i="202"/>
  <c r="AP249" i="202"/>
  <c r="AQ249" i="202"/>
  <c r="AS249" i="202"/>
  <c r="AU249" i="202"/>
  <c r="AV249" i="202"/>
  <c r="AW249" i="202"/>
  <c r="AX249" i="202"/>
  <c r="AY249" i="202"/>
  <c r="AZ249" i="202"/>
  <c r="BA249" i="202"/>
  <c r="BB249" i="202"/>
  <c r="BC249" i="202"/>
  <c r="U21" i="685"/>
  <c r="V21" i="685"/>
  <c r="W21" i="685"/>
  <c r="Y21" i="685"/>
  <c r="Z21" i="685"/>
  <c r="AA21" i="685"/>
  <c r="AC21" i="685"/>
  <c r="AD21" i="685"/>
  <c r="AE21" i="685"/>
  <c r="AF21" i="685"/>
  <c r="AG21" i="685"/>
  <c r="AH21" i="685"/>
  <c r="AI21" i="685"/>
  <c r="AK21" i="685"/>
  <c r="AL21" i="685"/>
  <c r="AM21" i="685"/>
  <c r="AN21" i="685"/>
  <c r="AO21" i="685"/>
  <c r="AP21" i="685"/>
  <c r="AQ21" i="685"/>
  <c r="AR21" i="685"/>
  <c r="AS21" i="685"/>
  <c r="AT21" i="685"/>
  <c r="AU21" i="685"/>
  <c r="AV21" i="685"/>
  <c r="AW21" i="685"/>
  <c r="AX21" i="685"/>
  <c r="AZ21" i="685"/>
  <c r="BA21" i="685"/>
  <c r="BB21" i="685"/>
  <c r="BC21" i="685"/>
  <c r="BG21" i="685"/>
  <c r="T21" i="685"/>
  <c r="X211" i="397"/>
  <c r="X212" i="397"/>
  <c r="X204" i="397"/>
  <c r="AY21" i="685"/>
  <c r="Y182" i="397"/>
  <c r="X200" i="397"/>
  <c r="AC19" i="683"/>
  <c r="M11" i="683"/>
  <c r="M10" i="683"/>
  <c r="M14" i="683" s="1"/>
  <c r="M12" i="683" s="1"/>
  <c r="Y183" i="397"/>
  <c r="M16" i="682"/>
  <c r="M17" i="682"/>
  <c r="L15" i="682"/>
  <c r="V192" i="397"/>
  <c r="U192" i="397"/>
  <c r="BZ211" i="397"/>
  <c r="R211" i="397"/>
  <c r="Q211" i="397"/>
  <c r="BZ212" i="397"/>
  <c r="R212" i="397"/>
  <c r="Q212" i="397"/>
  <c r="BZ201" i="397"/>
  <c r="R201" i="397"/>
  <c r="Q201" i="397"/>
  <c r="BZ218" i="397"/>
  <c r="R218" i="397"/>
  <c r="Q218" i="397"/>
  <c r="BZ204" i="397"/>
  <c r="R204" i="397"/>
  <c r="Q204" i="397"/>
  <c r="BZ216" i="397"/>
  <c r="R216" i="397"/>
  <c r="Q216" i="397"/>
  <c r="L11" i="682"/>
  <c r="L10" i="682"/>
  <c r="L12" i="682"/>
  <c r="V486" i="8"/>
  <c r="BC255" i="202" s="1"/>
  <c r="BC276" i="202" s="1"/>
  <c r="V469" i="8"/>
  <c r="Y176" i="397"/>
  <c r="Y179" i="397"/>
  <c r="Y177" i="397"/>
  <c r="M15" i="683"/>
  <c r="X175" i="397"/>
  <c r="Y178" i="397"/>
  <c r="AA181" i="397"/>
  <c r="V483" i="8"/>
  <c r="BD255" i="202" s="1"/>
  <c r="BD276" i="202" s="1"/>
  <c r="V484" i="8"/>
  <c r="AV255" i="202" s="1"/>
  <c r="BN148" i="397"/>
  <c r="BZ199" i="397"/>
  <c r="R199" i="397"/>
  <c r="Q199" i="397"/>
  <c r="BZ214" i="397"/>
  <c r="R214" i="397"/>
  <c r="Q214" i="397"/>
  <c r="BR364" i="397"/>
  <c r="BS364" i="397"/>
  <c r="BT364" i="397" s="1"/>
  <c r="BU364" i="397" s="1"/>
  <c r="BV364" i="397" s="1"/>
  <c r="BW364" i="397" s="1"/>
  <c r="BR363" i="397"/>
  <c r="BS363" i="397"/>
  <c r="BT363" i="397"/>
  <c r="BU363" i="397"/>
  <c r="BV363" i="397" s="1"/>
  <c r="BW363" i="397" s="1"/>
  <c r="BR362" i="397"/>
  <c r="BS362" i="397"/>
  <c r="BT362" i="397"/>
  <c r="BU362" i="397" s="1"/>
  <c r="BV362" i="397" s="1"/>
  <c r="BW362" i="397" s="1"/>
  <c r="BR360" i="397"/>
  <c r="BS360" i="397"/>
  <c r="BT360" i="397"/>
  <c r="BU360" i="397"/>
  <c r="BV360" i="397"/>
  <c r="BW360" i="397"/>
  <c r="BR359" i="397"/>
  <c r="BS359" i="397" s="1"/>
  <c r="BT359" i="397"/>
  <c r="BU359" i="397" s="1"/>
  <c r="BV359" i="397" s="1"/>
  <c r="BW359" i="397" s="1"/>
  <c r="BR358" i="397"/>
  <c r="BS358" i="397" s="1"/>
  <c r="BT358" i="397" s="1"/>
  <c r="BU358" i="397" s="1"/>
  <c r="BV358" i="397" s="1"/>
  <c r="BW358" i="397" s="1"/>
  <c r="Y358" i="397"/>
  <c r="Y359" i="397"/>
  <c r="BR357" i="397"/>
  <c r="BS357" i="397"/>
  <c r="BT357" i="397"/>
  <c r="BU357" i="397"/>
  <c r="BV357" i="397" s="1"/>
  <c r="BW357" i="397"/>
  <c r="BR356" i="397"/>
  <c r="BS356" i="397" s="1"/>
  <c r="BT356" i="397" s="1"/>
  <c r="BU356" i="397" s="1"/>
  <c r="BV356" i="397" s="1"/>
  <c r="BW356" i="397"/>
  <c r="X357" i="397"/>
  <c r="X356" i="397"/>
  <c r="R352" i="397"/>
  <c r="Q352" i="397"/>
  <c r="K488" i="8"/>
  <c r="J488" i="8"/>
  <c r="K487" i="8"/>
  <c r="J487" i="8"/>
  <c r="K489" i="8"/>
  <c r="J489" i="8"/>
  <c r="K500" i="8"/>
  <c r="J500" i="8"/>
  <c r="V485" i="8"/>
  <c r="AU255" i="202" s="1"/>
  <c r="AZ148" i="397"/>
  <c r="CA194" i="397"/>
  <c r="BZ194" i="397"/>
  <c r="BN194" i="397"/>
  <c r="CB194" i="397"/>
  <c r="BD194" i="397"/>
  <c r="V194" i="397"/>
  <c r="U194" i="397"/>
  <c r="R194" i="397"/>
  <c r="Q194" i="397"/>
  <c r="A194" i="397"/>
  <c r="M14" i="682"/>
  <c r="L14" i="682"/>
  <c r="H15" i="682"/>
  <c r="Z15" i="682" s="1"/>
  <c r="L267" i="202"/>
  <c r="BP271" i="202"/>
  <c r="BP273" i="202"/>
  <c r="BZ148" i="397"/>
  <c r="R148" i="397"/>
  <c r="Q148" i="397"/>
  <c r="BZ208" i="397"/>
  <c r="R208" i="397"/>
  <c r="Q208" i="397"/>
  <c r="BZ203" i="397"/>
  <c r="R203" i="397"/>
  <c r="Q203" i="397"/>
  <c r="BR184" i="397"/>
  <c r="BZ184" i="397"/>
  <c r="R184" i="397"/>
  <c r="Q184" i="397"/>
  <c r="M13" i="682"/>
  <c r="L13" i="682"/>
  <c r="V193" i="397"/>
  <c r="U193" i="397"/>
  <c r="V191" i="397"/>
  <c r="U191" i="397"/>
  <c r="M11" i="682"/>
  <c r="M12" i="682"/>
  <c r="M15" i="682"/>
  <c r="BZ183" i="397"/>
  <c r="R183" i="397"/>
  <c r="Q183" i="397"/>
  <c r="BZ202" i="397"/>
  <c r="R202" i="397"/>
  <c r="Q202" i="397"/>
  <c r="H394" i="669"/>
  <c r="H387" i="669"/>
  <c r="S43" i="397"/>
  <c r="Z167" i="397"/>
  <c r="N371" i="669"/>
  <c r="N372" i="669"/>
  <c r="N373" i="669"/>
  <c r="N374" i="669"/>
  <c r="N375" i="669"/>
  <c r="N376" i="669"/>
  <c r="N377" i="669"/>
  <c r="N378" i="669"/>
  <c r="N379" i="669"/>
  <c r="N380" i="669"/>
  <c r="N381" i="669"/>
  <c r="N382" i="669"/>
  <c r="N383" i="669"/>
  <c r="N384" i="669"/>
  <c r="N385" i="669"/>
  <c r="N386" i="669"/>
  <c r="N387" i="669"/>
  <c r="N388" i="669"/>
  <c r="N389" i="669"/>
  <c r="N390" i="669"/>
  <c r="N391" i="669"/>
  <c r="N370" i="669"/>
  <c r="H392" i="669"/>
  <c r="BD391" i="669"/>
  <c r="BC391" i="669"/>
  <c r="BB391" i="669"/>
  <c r="BA391" i="669"/>
  <c r="AY391" i="669"/>
  <c r="AX391" i="669"/>
  <c r="AW391" i="669"/>
  <c r="AV391" i="669"/>
  <c r="AU391" i="669"/>
  <c r="AT391" i="669"/>
  <c r="AS391" i="669"/>
  <c r="AR391" i="669"/>
  <c r="AQ391" i="669"/>
  <c r="AP391" i="669"/>
  <c r="AO391" i="669"/>
  <c r="AN391" i="669"/>
  <c r="AM391" i="669"/>
  <c r="AL391" i="669"/>
  <c r="AK391" i="669"/>
  <c r="AJ391" i="669"/>
  <c r="AI391" i="669"/>
  <c r="AH391" i="669"/>
  <c r="AG391" i="669"/>
  <c r="AF391" i="669"/>
  <c r="AE391" i="669"/>
  <c r="AD391" i="669"/>
  <c r="AA391" i="669"/>
  <c r="BE391" i="669" s="1"/>
  <c r="Z391" i="669"/>
  <c r="Y391" i="669"/>
  <c r="X391" i="669"/>
  <c r="W391" i="669"/>
  <c r="V391" i="669"/>
  <c r="U391" i="669"/>
  <c r="T391" i="669"/>
  <c r="H388" i="669"/>
  <c r="AB385" i="669"/>
  <c r="AB383" i="669"/>
  <c r="AB381" i="669"/>
  <c r="AB379" i="669"/>
  <c r="AC377" i="669"/>
  <c r="AB377" i="669"/>
  <c r="AB375" i="669"/>
  <c r="AC373" i="669"/>
  <c r="AB373" i="669"/>
  <c r="AC372" i="669"/>
  <c r="AB372" i="669"/>
  <c r="H371" i="669"/>
  <c r="AZ370" i="669"/>
  <c r="AZ391" i="669"/>
  <c r="S42" i="397"/>
  <c r="X42" i="397" s="1"/>
  <c r="R84" i="397"/>
  <c r="L269" i="202"/>
  <c r="L260" i="202"/>
  <c r="R293" i="397"/>
  <c r="Q293" i="397"/>
  <c r="R397" i="397"/>
  <c r="Q397" i="397"/>
  <c r="CE397" i="397"/>
  <c r="CD397" i="397"/>
  <c r="CC397" i="397"/>
  <c r="CB397" i="397"/>
  <c r="CA397" i="397"/>
  <c r="BZ397" i="397"/>
  <c r="CF397" i="397"/>
  <c r="BE397" i="397"/>
  <c r="BD397" i="397"/>
  <c r="A397" i="397"/>
  <c r="CC86" i="397"/>
  <c r="CB86" i="397"/>
  <c r="CA86" i="397"/>
  <c r="BZ86" i="397"/>
  <c r="BD86" i="397"/>
  <c r="AK86" i="397"/>
  <c r="A86" i="397"/>
  <c r="M10" i="682"/>
  <c r="A169" i="397"/>
  <c r="X187" i="397"/>
  <c r="AY166" i="397"/>
  <c r="BZ179" i="397"/>
  <c r="R179" i="397"/>
  <c r="Q179" i="397"/>
  <c r="BZ182" i="397"/>
  <c r="R182" i="397"/>
  <c r="Q182" i="397"/>
  <c r="BI237" i="397"/>
  <c r="BZ237" i="397" s="1"/>
  <c r="R237" i="397"/>
  <c r="Q237" i="397"/>
  <c r="BZ200" i="397"/>
  <c r="R200" i="397"/>
  <c r="Q200" i="397"/>
  <c r="BZ193" i="397"/>
  <c r="R193" i="397"/>
  <c r="Q193" i="397"/>
  <c r="BZ192" i="397"/>
  <c r="R192" i="397"/>
  <c r="Q192" i="397"/>
  <c r="BZ176" i="397"/>
  <c r="Q176" i="397"/>
  <c r="V141" i="397"/>
  <c r="U141" i="397"/>
  <c r="AT106" i="397"/>
  <c r="CC106" i="397"/>
  <c r="CB106" i="397"/>
  <c r="CA106" i="397"/>
  <c r="BZ106" i="397"/>
  <c r="BD106" i="397"/>
  <c r="A106" i="397"/>
  <c r="CC105" i="397"/>
  <c r="CB105" i="397"/>
  <c r="CA105" i="397"/>
  <c r="BZ105" i="397"/>
  <c r="BD105" i="397"/>
  <c r="AT105" i="397"/>
  <c r="A105" i="397"/>
  <c r="CC4" i="397"/>
  <c r="CB4" i="397"/>
  <c r="CA4" i="397"/>
  <c r="BZ4" i="397"/>
  <c r="BD4" i="397"/>
  <c r="AN4" i="397"/>
  <c r="AN150" i="397" s="1"/>
  <c r="A4" i="397"/>
  <c r="AB14" i="684"/>
  <c r="H13" i="686"/>
  <c r="H15" i="686"/>
  <c r="X188" i="397"/>
  <c r="X186" i="397"/>
  <c r="R297" i="397"/>
  <c r="Q297" i="397"/>
  <c r="R335" i="397"/>
  <c r="Q335" i="397"/>
  <c r="R332" i="397"/>
  <c r="Q332" i="397"/>
  <c r="Z157" i="397"/>
  <c r="BZ60" i="397"/>
  <c r="CA60" i="397"/>
  <c r="BD60" i="397"/>
  <c r="BN60" i="397"/>
  <c r="CB60" i="397" s="1"/>
  <c r="X60" i="397"/>
  <c r="Q60" i="397"/>
  <c r="R60" i="397"/>
  <c r="A60" i="397"/>
  <c r="U147" i="397"/>
  <c r="V147" i="397"/>
  <c r="U146" i="397"/>
  <c r="V146" i="397"/>
  <c r="V149" i="397"/>
  <c r="R167" i="397"/>
  <c r="H357" i="669"/>
  <c r="H352" i="669"/>
  <c r="Y352" i="669" s="1"/>
  <c r="N345" i="669"/>
  <c r="N343" i="669" s="1"/>
  <c r="N346" i="669"/>
  <c r="N347" i="669"/>
  <c r="N348" i="669"/>
  <c r="N349" i="669"/>
  <c r="N350" i="669"/>
  <c r="N351" i="669"/>
  <c r="N352" i="669"/>
  <c r="N353" i="669"/>
  <c r="N354" i="669"/>
  <c r="N344" i="669"/>
  <c r="H355" i="669"/>
  <c r="BD354" i="669"/>
  <c r="BC354" i="669"/>
  <c r="BB354" i="669"/>
  <c r="BA354" i="669"/>
  <c r="AZ354" i="669"/>
  <c r="AY354" i="669"/>
  <c r="AX354" i="669"/>
  <c r="AW354" i="669"/>
  <c r="AV354" i="669"/>
  <c r="AU354" i="669"/>
  <c r="AT354" i="669"/>
  <c r="AS354" i="669"/>
  <c r="AR354" i="669"/>
  <c r="AQ354" i="669"/>
  <c r="AP354" i="669"/>
  <c r="AO354" i="669"/>
  <c r="AN354" i="669"/>
  <c r="AM354" i="669"/>
  <c r="AL354" i="669"/>
  <c r="AK354" i="669"/>
  <c r="AJ354" i="669"/>
  <c r="AI354" i="669"/>
  <c r="AH354" i="669"/>
  <c r="AG354" i="669"/>
  <c r="AF354" i="669"/>
  <c r="AE354" i="669"/>
  <c r="AD354" i="669"/>
  <c r="AC354" i="669"/>
  <c r="AB354" i="669"/>
  <c r="AA354" i="669"/>
  <c r="X354" i="669"/>
  <c r="W354" i="669"/>
  <c r="V354" i="669"/>
  <c r="U354" i="669"/>
  <c r="Z351" i="669"/>
  <c r="Y351" i="669"/>
  <c r="T350" i="669"/>
  <c r="Z349" i="669"/>
  <c r="Y349" i="669"/>
  <c r="H347" i="669"/>
  <c r="Z346" i="669"/>
  <c r="Y346" i="669"/>
  <c r="Z345" i="669"/>
  <c r="Z354" i="669" s="1"/>
  <c r="Y345" i="669"/>
  <c r="Z344" i="669"/>
  <c r="Y344" i="669"/>
  <c r="Y354" i="669"/>
  <c r="BZ178" i="397"/>
  <c r="R178" i="397"/>
  <c r="Q178" i="397"/>
  <c r="BZ181" i="397"/>
  <c r="R181" i="397"/>
  <c r="Q181" i="397"/>
  <c r="R166" i="397"/>
  <c r="Q166" i="397"/>
  <c r="BZ191" i="397"/>
  <c r="R191" i="397"/>
  <c r="Q191" i="397"/>
  <c r="BZ177" i="397"/>
  <c r="R177" i="397"/>
  <c r="Q177" i="397"/>
  <c r="AD189" i="397"/>
  <c r="AD190" i="397"/>
  <c r="Q84" i="397"/>
  <c r="Y67" i="397"/>
  <c r="BN142" i="397"/>
  <c r="AU142" i="397"/>
  <c r="S136" i="397"/>
  <c r="BB168" i="397"/>
  <c r="R168" i="397"/>
  <c r="Q168" i="397"/>
  <c r="X65" i="397"/>
  <c r="X66" i="397"/>
  <c r="L3" i="685"/>
  <c r="L2" i="685"/>
  <c r="N21" i="685"/>
  <c r="N20" i="685"/>
  <c r="N9" i="685"/>
  <c r="L4" i="685"/>
  <c r="H22" i="685"/>
  <c r="AB13" i="684"/>
  <c r="AB10" i="684"/>
  <c r="L3" i="684"/>
  <c r="L2" i="684"/>
  <c r="BD19" i="684"/>
  <c r="BC19" i="684"/>
  <c r="BB19" i="684"/>
  <c r="BA19" i="684"/>
  <c r="AZ19" i="684"/>
  <c r="AY19" i="684"/>
  <c r="AX19" i="684"/>
  <c r="AW19" i="684"/>
  <c r="AV19" i="684"/>
  <c r="AU19" i="684"/>
  <c r="AT19" i="684"/>
  <c r="AS19" i="684"/>
  <c r="AR19" i="684"/>
  <c r="AQ19" i="684"/>
  <c r="AP19" i="684"/>
  <c r="AO19" i="684"/>
  <c r="AN19" i="684"/>
  <c r="AM19" i="684"/>
  <c r="AL19" i="684"/>
  <c r="AK19" i="684"/>
  <c r="AJ19" i="684"/>
  <c r="AI19" i="684"/>
  <c r="AH19" i="684"/>
  <c r="AG19" i="684"/>
  <c r="AF19" i="684"/>
  <c r="AE19" i="684"/>
  <c r="AD19" i="684"/>
  <c r="AC19" i="684"/>
  <c r="AA19" i="684"/>
  <c r="X19" i="684"/>
  <c r="W19" i="684"/>
  <c r="V19" i="684"/>
  <c r="U19" i="684"/>
  <c r="N19" i="684"/>
  <c r="N18" i="684"/>
  <c r="T19" i="684"/>
  <c r="N9" i="684"/>
  <c r="L4" i="684"/>
  <c r="H20" i="684"/>
  <c r="T17" i="683"/>
  <c r="T24" i="683" s="1"/>
  <c r="P253" i="202" s="1"/>
  <c r="AB10" i="682"/>
  <c r="T14" i="682"/>
  <c r="AA158" i="397"/>
  <c r="CA52" i="397"/>
  <c r="BZ52" i="397"/>
  <c r="BN52" i="397"/>
  <c r="CB52" i="397" s="1"/>
  <c r="BD52" i="397"/>
  <c r="X52" i="397"/>
  <c r="R52" i="397"/>
  <c r="Q52" i="397"/>
  <c r="A52" i="397"/>
  <c r="R189" i="397"/>
  <c r="Q189" i="397"/>
  <c r="Q344" i="397"/>
  <c r="Q149" i="397"/>
  <c r="R344" i="397"/>
  <c r="Q422" i="397"/>
  <c r="Y58" i="397"/>
  <c r="BZ326" i="397"/>
  <c r="R187" i="397"/>
  <c r="Q187" i="397"/>
  <c r="AZ75" i="397"/>
  <c r="R75" i="397"/>
  <c r="Q75" i="397"/>
  <c r="BZ188" i="397"/>
  <c r="R188" i="397"/>
  <c r="Q188" i="397"/>
  <c r="BZ175" i="397"/>
  <c r="R175" i="397"/>
  <c r="Q175" i="397"/>
  <c r="BZ186" i="397"/>
  <c r="R186" i="397"/>
  <c r="Q186" i="397"/>
  <c r="BZ142" i="397"/>
  <c r="R142" i="397"/>
  <c r="Q142" i="397"/>
  <c r="V468" i="8"/>
  <c r="V467" i="8"/>
  <c r="V466" i="8"/>
  <c r="V465" i="8"/>
  <c r="AC13" i="683"/>
  <c r="AC16" i="683"/>
  <c r="AC11" i="683"/>
  <c r="AC15" i="683"/>
  <c r="L3" i="683"/>
  <c r="L2" i="683"/>
  <c r="AY24" i="683"/>
  <c r="AW24" i="683"/>
  <c r="AU24" i="683"/>
  <c r="AT24" i="683"/>
  <c r="AS24" i="683"/>
  <c r="AR24" i="683"/>
  <c r="AQ24" i="683"/>
  <c r="AP24" i="683"/>
  <c r="AO24" i="683"/>
  <c r="AN24" i="683"/>
  <c r="AM24" i="683"/>
  <c r="AL24" i="683"/>
  <c r="AK24" i="683"/>
  <c r="AJ24" i="683"/>
  <c r="AI24" i="683"/>
  <c r="AH24" i="683"/>
  <c r="AG24" i="683"/>
  <c r="AF24" i="683"/>
  <c r="AE24" i="683"/>
  <c r="AD24" i="683"/>
  <c r="AA24" i="683"/>
  <c r="Y24" i="683"/>
  <c r="W24" i="683"/>
  <c r="V24" i="683"/>
  <c r="U24" i="683"/>
  <c r="N24" i="683"/>
  <c r="N23" i="683"/>
  <c r="AV24" i="683"/>
  <c r="AX24" i="683"/>
  <c r="Z24" i="683"/>
  <c r="N9" i="683"/>
  <c r="L4" i="683"/>
  <c r="H25" i="683"/>
  <c r="AB11" i="682"/>
  <c r="AB12" i="682"/>
  <c r="T13" i="682"/>
  <c r="V140" i="397"/>
  <c r="U140" i="397"/>
  <c r="BA169" i="397"/>
  <c r="BC354" i="397"/>
  <c r="X64" i="397"/>
  <c r="AH84" i="397"/>
  <c r="AH150" i="397" s="1"/>
  <c r="N18" i="685"/>
  <c r="X63" i="397"/>
  <c r="X62" i="397"/>
  <c r="X61" i="397"/>
  <c r="Y54" i="397"/>
  <c r="AD81" i="397"/>
  <c r="Q167" i="397"/>
  <c r="BZ67" i="397"/>
  <c r="R67" i="397"/>
  <c r="Q67" i="397"/>
  <c r="BZ167" i="397"/>
  <c r="BZ68" i="397"/>
  <c r="R68" i="397"/>
  <c r="Q68" i="397"/>
  <c r="A49" i="397"/>
  <c r="H331" i="669"/>
  <c r="H326" i="669"/>
  <c r="AB326" i="669" s="1"/>
  <c r="N314" i="669"/>
  <c r="N315" i="669"/>
  <c r="N316" i="669"/>
  <c r="N317" i="669"/>
  <c r="N318" i="669"/>
  <c r="N319" i="669"/>
  <c r="N320" i="669"/>
  <c r="N321" i="669"/>
  <c r="N322" i="669"/>
  <c r="N323" i="669"/>
  <c r="N324" i="669"/>
  <c r="N325" i="669"/>
  <c r="N326" i="669"/>
  <c r="N327" i="669"/>
  <c r="N328" i="669"/>
  <c r="N313" i="669"/>
  <c r="H329" i="669"/>
  <c r="BD328" i="669"/>
  <c r="BC328" i="669"/>
  <c r="BB328" i="669"/>
  <c r="BA328" i="669"/>
  <c r="AZ328" i="669"/>
  <c r="AX328" i="669"/>
  <c r="AW328" i="669"/>
  <c r="AV328" i="669"/>
  <c r="AU328" i="669"/>
  <c r="AT328" i="669"/>
  <c r="AS328" i="669"/>
  <c r="AR328" i="669"/>
  <c r="AQ328" i="669"/>
  <c r="AP328" i="669"/>
  <c r="AO328" i="669"/>
  <c r="AN328" i="669"/>
  <c r="AM328" i="669"/>
  <c r="AL328" i="669"/>
  <c r="AK328" i="669"/>
  <c r="AJ328" i="669"/>
  <c r="AI328" i="669"/>
  <c r="AH328" i="669"/>
  <c r="AG328" i="669"/>
  <c r="AF328" i="669"/>
  <c r="AE328" i="669"/>
  <c r="AD328" i="669"/>
  <c r="AA328" i="669"/>
  <c r="Y328" i="669"/>
  <c r="X328" i="669"/>
  <c r="W328" i="669"/>
  <c r="V328" i="669"/>
  <c r="U328" i="669"/>
  <c r="T328" i="669"/>
  <c r="AB325" i="669"/>
  <c r="H323" i="669"/>
  <c r="AB322" i="669"/>
  <c r="AC321" i="669"/>
  <c r="AB321" i="669"/>
  <c r="H319" i="669"/>
  <c r="AC318" i="669"/>
  <c r="AB318" i="669"/>
  <c r="AC317" i="669"/>
  <c r="AB317" i="669"/>
  <c r="AB316" i="669"/>
  <c r="H314" i="669"/>
  <c r="AB313" i="669"/>
  <c r="S32" i="397"/>
  <c r="CA137" i="397"/>
  <c r="BZ137" i="397"/>
  <c r="BN137" i="397"/>
  <c r="CB137" i="397" s="1"/>
  <c r="BD137" i="397"/>
  <c r="U137" i="397"/>
  <c r="Q137" i="397"/>
  <c r="A137" i="397"/>
  <c r="X59" i="397"/>
  <c r="Y56" i="397"/>
  <c r="Y55" i="397"/>
  <c r="X53" i="397"/>
  <c r="CA43" i="397"/>
  <c r="BZ43" i="397"/>
  <c r="BN43" i="397"/>
  <c r="CB43" i="397" s="1"/>
  <c r="BD43" i="397"/>
  <c r="Y43" i="397"/>
  <c r="X43" i="397"/>
  <c r="R43" i="397"/>
  <c r="Q43" i="397"/>
  <c r="A43" i="397"/>
  <c r="BZ146" i="397"/>
  <c r="R146" i="397"/>
  <c r="Q146" i="397"/>
  <c r="BZ64" i="397"/>
  <c r="R64" i="397"/>
  <c r="Q64" i="397"/>
  <c r="BZ147" i="397"/>
  <c r="R147" i="397"/>
  <c r="Q147" i="397"/>
  <c r="BZ82" i="397"/>
  <c r="AD82" i="397"/>
  <c r="R82" i="397"/>
  <c r="Q82" i="397"/>
  <c r="BZ83" i="397"/>
  <c r="AD83" i="397"/>
  <c r="R83" i="397"/>
  <c r="Q83" i="397"/>
  <c r="S128" i="397"/>
  <c r="H300" i="669"/>
  <c r="H293" i="669"/>
  <c r="S127" i="397"/>
  <c r="A98" i="397"/>
  <c r="N278" i="669"/>
  <c r="N279" i="669"/>
  <c r="N280" i="669"/>
  <c r="N281" i="669"/>
  <c r="N282" i="669"/>
  <c r="N283" i="669"/>
  <c r="N284" i="669"/>
  <c r="N285" i="669"/>
  <c r="N286" i="669"/>
  <c r="N287" i="669"/>
  <c r="N288" i="669"/>
  <c r="N289" i="669"/>
  <c r="N290" i="669"/>
  <c r="N291" i="669"/>
  <c r="N292" i="669"/>
  <c r="N293" i="669"/>
  <c r="N294" i="669"/>
  <c r="N295" i="669"/>
  <c r="N296" i="669"/>
  <c r="N297" i="669"/>
  <c r="N277" i="669"/>
  <c r="H298" i="669"/>
  <c r="BD297" i="669"/>
  <c r="BC297" i="669"/>
  <c r="BB297" i="669"/>
  <c r="BA297" i="669"/>
  <c r="AZ297" i="669"/>
  <c r="AY297" i="669"/>
  <c r="AX297" i="669"/>
  <c r="AW297" i="669"/>
  <c r="AV297" i="669"/>
  <c r="AU297" i="669"/>
  <c r="AT297" i="669"/>
  <c r="AS297" i="669"/>
  <c r="AR297" i="669"/>
  <c r="AQ297" i="669"/>
  <c r="AP297" i="669"/>
  <c r="AO297" i="669"/>
  <c r="AN297" i="669"/>
  <c r="AM297" i="669"/>
  <c r="AL297" i="669"/>
  <c r="AK297" i="669"/>
  <c r="AJ297" i="669"/>
  <c r="AI297" i="669"/>
  <c r="AH297" i="669"/>
  <c r="AG297" i="669"/>
  <c r="AF297" i="669"/>
  <c r="AE297" i="669"/>
  <c r="AD297" i="669"/>
  <c r="AC297" i="669"/>
  <c r="AA297" i="669"/>
  <c r="X297" i="669"/>
  <c r="W297" i="669"/>
  <c r="V297" i="669"/>
  <c r="U297" i="669"/>
  <c r="T297" i="669"/>
  <c r="H294" i="669"/>
  <c r="Z291" i="669"/>
  <c r="Y291" i="669"/>
  <c r="Z289" i="669"/>
  <c r="Y289" i="669"/>
  <c r="Z287" i="669"/>
  <c r="Y287" i="669"/>
  <c r="Z285" i="669"/>
  <c r="Z297" i="669" s="1"/>
  <c r="Y285" i="669"/>
  <c r="Z283" i="669"/>
  <c r="Y283" i="669"/>
  <c r="H280" i="669"/>
  <c r="AB279" i="669"/>
  <c r="AB278" i="669"/>
  <c r="Z277" i="669"/>
  <c r="Y277" i="669"/>
  <c r="Y360" i="397"/>
  <c r="BC365" i="397"/>
  <c r="BC366" i="397" s="1"/>
  <c r="BB365" i="397"/>
  <c r="BB366" i="397" s="1"/>
  <c r="BA365" i="397"/>
  <c r="AZ365" i="397"/>
  <c r="AY365" i="397"/>
  <c r="AX365" i="397"/>
  <c r="AW365" i="397"/>
  <c r="AW366" i="397" s="1"/>
  <c r="AV365" i="397"/>
  <c r="AV366" i="397" s="1"/>
  <c r="AU365" i="397"/>
  <c r="AU366" i="397" s="1"/>
  <c r="AT365" i="397"/>
  <c r="AT366" i="397" s="1"/>
  <c r="AS365" i="397"/>
  <c r="AS366" i="397" s="1"/>
  <c r="AR365" i="397"/>
  <c r="AQ365" i="397"/>
  <c r="AP365" i="397"/>
  <c r="AO365" i="397"/>
  <c r="AN365" i="397"/>
  <c r="AM365" i="397"/>
  <c r="AL365" i="397"/>
  <c r="AL366" i="397" s="1"/>
  <c r="AK365" i="397"/>
  <c r="AJ365" i="397"/>
  <c r="AI365" i="397"/>
  <c r="AI366" i="397" s="1"/>
  <c r="AH365" i="397"/>
  <c r="AH366" i="397" s="1"/>
  <c r="AG365" i="397"/>
  <c r="AF365" i="397"/>
  <c r="AE365" i="397"/>
  <c r="AE366" i="397" s="1"/>
  <c r="AD365" i="397"/>
  <c r="AD366" i="397" s="1"/>
  <c r="AC365" i="397"/>
  <c r="AC366" i="397" s="1"/>
  <c r="AB365" i="397"/>
  <c r="AB366" i="397" s="1"/>
  <c r="AA365" i="397"/>
  <c r="W365" i="397"/>
  <c r="T365" i="397"/>
  <c r="X364" i="397"/>
  <c r="X363" i="397"/>
  <c r="X362" i="397"/>
  <c r="X361" i="397"/>
  <c r="L270" i="202"/>
  <c r="BR361" i="397"/>
  <c r="BS361" i="397"/>
  <c r="BT361" i="397"/>
  <c r="BU361" i="397" s="1"/>
  <c r="BV361" i="397" s="1"/>
  <c r="BW361" i="397" s="1"/>
  <c r="Z365" i="397"/>
  <c r="U365" i="397"/>
  <c r="V365" i="397"/>
  <c r="X365" i="397"/>
  <c r="Y365" i="397"/>
  <c r="L261" i="202"/>
  <c r="L259" i="202"/>
  <c r="Z277" i="202"/>
  <c r="BP269" i="202"/>
  <c r="BP263" i="202"/>
  <c r="BP264" i="202"/>
  <c r="BP272" i="202"/>
  <c r="BP259" i="202"/>
  <c r="BP274" i="202"/>
  <c r="BP267" i="202"/>
  <c r="BP266" i="202"/>
  <c r="BP275" i="202"/>
  <c r="BP270" i="202"/>
  <c r="BP268" i="202"/>
  <c r="BP265" i="202"/>
  <c r="BP262" i="202"/>
  <c r="BP261" i="202"/>
  <c r="BP260" i="202"/>
  <c r="BP258" i="202"/>
  <c r="L3" i="682"/>
  <c r="L2" i="682"/>
  <c r="BD23" i="682"/>
  <c r="BC23" i="682"/>
  <c r="BB23" i="682"/>
  <c r="BA23" i="682"/>
  <c r="AZ23" i="682"/>
  <c r="AY23" i="682"/>
  <c r="AX23" i="682"/>
  <c r="AW23" i="682"/>
  <c r="AV23" i="682"/>
  <c r="AU23" i="682"/>
  <c r="AT23" i="682"/>
  <c r="AS23" i="682"/>
  <c r="AR23" i="682"/>
  <c r="AQ23" i="682"/>
  <c r="AP23" i="682"/>
  <c r="AO23" i="682"/>
  <c r="AN23" i="682"/>
  <c r="AM23" i="682"/>
  <c r="AL23" i="682"/>
  <c r="AK23" i="682"/>
  <c r="AJ23" i="682"/>
  <c r="AI23" i="682"/>
  <c r="AH23" i="682"/>
  <c r="AG23" i="682"/>
  <c r="AF23" i="682"/>
  <c r="AE23" i="682"/>
  <c r="AD23" i="682"/>
  <c r="AC23" i="682"/>
  <c r="AB23" i="682"/>
  <c r="X256" i="202"/>
  <c r="AA23" i="682"/>
  <c r="X23" i="682"/>
  <c r="W23" i="682"/>
  <c r="V23" i="682"/>
  <c r="U23" i="682"/>
  <c r="T23" i="682"/>
  <c r="P256" i="202"/>
  <c r="N23" i="682"/>
  <c r="N22" i="682"/>
  <c r="N9" i="682"/>
  <c r="L4" i="682"/>
  <c r="H24" i="682" s="1"/>
  <c r="Y57" i="397"/>
  <c r="R345" i="397"/>
  <c r="Q345" i="397"/>
  <c r="BN80" i="397"/>
  <c r="BN5" i="397"/>
  <c r="X51" i="397"/>
  <c r="V138" i="397"/>
  <c r="X49" i="397"/>
  <c r="CA128" i="397"/>
  <c r="BZ128" i="397"/>
  <c r="BN128" i="397"/>
  <c r="CB128" i="397" s="1"/>
  <c r="BD128" i="397"/>
  <c r="R128" i="397"/>
  <c r="Q128" i="397"/>
  <c r="A128" i="397"/>
  <c r="R341" i="397"/>
  <c r="Q341" i="397"/>
  <c r="A44" i="397"/>
  <c r="BZ65" i="397"/>
  <c r="R65" i="397"/>
  <c r="Q65" i="397"/>
  <c r="BZ141" i="397"/>
  <c r="R141" i="397"/>
  <c r="Q141" i="397"/>
  <c r="BZ157" i="397"/>
  <c r="R157" i="397"/>
  <c r="Q157" i="397"/>
  <c r="BZ63" i="397"/>
  <c r="Q63" i="397"/>
  <c r="BZ58" i="397"/>
  <c r="R58" i="397"/>
  <c r="Q58" i="397"/>
  <c r="BZ149" i="397"/>
  <c r="R149" i="397"/>
  <c r="BZ55" i="397"/>
  <c r="R55" i="397"/>
  <c r="Q55" i="397"/>
  <c r="BZ61" i="397"/>
  <c r="R61" i="397"/>
  <c r="Q61" i="397"/>
  <c r="BZ307" i="397"/>
  <c r="CC307" i="397"/>
  <c r="CD307" i="397"/>
  <c r="CE307" i="397"/>
  <c r="CA80" i="397"/>
  <c r="AD80" i="397"/>
  <c r="Q80" i="397"/>
  <c r="R80" i="397"/>
  <c r="A80" i="397"/>
  <c r="X50" i="397"/>
  <c r="AO5" i="397"/>
  <c r="AO150" i="397" s="1"/>
  <c r="V139" i="397"/>
  <c r="X48" i="397"/>
  <c r="X47" i="397"/>
  <c r="H205" i="669"/>
  <c r="BZ158" i="397"/>
  <c r="R158" i="397"/>
  <c r="Q158" i="397"/>
  <c r="BZ66" i="397"/>
  <c r="R66" i="397"/>
  <c r="Q66" i="397"/>
  <c r="BZ62" i="397"/>
  <c r="R62" i="397"/>
  <c r="Q62" i="397"/>
  <c r="BZ5" i="397"/>
  <c r="R5" i="397"/>
  <c r="Q5" i="397"/>
  <c r="R53" i="397"/>
  <c r="Q53" i="397"/>
  <c r="BZ140" i="397"/>
  <c r="R140" i="397"/>
  <c r="Q140" i="397"/>
  <c r="BZ138" i="397"/>
  <c r="R138" i="397"/>
  <c r="Q138" i="397"/>
  <c r="BZ49" i="397"/>
  <c r="R49" i="397"/>
  <c r="Q49" i="397"/>
  <c r="BZ56" i="397"/>
  <c r="R56" i="397"/>
  <c r="Q56" i="397"/>
  <c r="A71" i="397"/>
  <c r="A40" i="397"/>
  <c r="A36" i="397"/>
  <c r="Z98" i="397"/>
  <c r="R334" i="397"/>
  <c r="Q334" i="397"/>
  <c r="X44" i="397"/>
  <c r="BZ293" i="397"/>
  <c r="R57" i="397"/>
  <c r="BZ50" i="397"/>
  <c r="R50" i="397"/>
  <c r="Q50" i="397"/>
  <c r="BZ54" i="397"/>
  <c r="R54" i="397"/>
  <c r="Q54" i="397"/>
  <c r="BZ139" i="397"/>
  <c r="R139" i="397"/>
  <c r="Q139" i="397"/>
  <c r="BZ48" i="397"/>
  <c r="R48" i="397"/>
  <c r="Q48" i="397"/>
  <c r="R328" i="397"/>
  <c r="BN6" i="397"/>
  <c r="BB199" i="681"/>
  <c r="BA199" i="681"/>
  <c r="AZ199" i="681"/>
  <c r="AV199" i="681"/>
  <c r="AR199" i="681"/>
  <c r="AQ199" i="681"/>
  <c r="AP199" i="681"/>
  <c r="AK199" i="681"/>
  <c r="AJ199" i="681"/>
  <c r="AI199" i="681"/>
  <c r="AG199" i="681"/>
  <c r="AF199" i="681"/>
  <c r="AE199" i="681"/>
  <c r="AC199" i="681"/>
  <c r="W199" i="681"/>
  <c r="T199" i="681"/>
  <c r="CE198" i="681"/>
  <c r="CD198" i="681"/>
  <c r="CC198" i="681"/>
  <c r="CA198" i="681"/>
  <c r="BZ198" i="681"/>
  <c r="BN198" i="681"/>
  <c r="CB198" i="681"/>
  <c r="BE198" i="681"/>
  <c r="BD198" i="681"/>
  <c r="S198" i="681"/>
  <c r="R198" i="681"/>
  <c r="Q198" i="681"/>
  <c r="A198" i="681"/>
  <c r="CE197" i="681"/>
  <c r="CD197" i="681"/>
  <c r="CC197" i="681"/>
  <c r="CA197" i="681"/>
  <c r="BZ197" i="681"/>
  <c r="CF197" i="681" s="1"/>
  <c r="CH197" i="681" s="1"/>
  <c r="BN197" i="681"/>
  <c r="CB197" i="681" s="1"/>
  <c r="BE197" i="681"/>
  <c r="BD197" i="681"/>
  <c r="V197" i="681"/>
  <c r="U197" i="681"/>
  <c r="R197" i="681"/>
  <c r="Q197" i="681"/>
  <c r="A197" i="681"/>
  <c r="CE196" i="681"/>
  <c r="CD196" i="681"/>
  <c r="CC196" i="681"/>
  <c r="CA196" i="681"/>
  <c r="BZ196" i="681"/>
  <c r="BN196" i="681"/>
  <c r="CB196" i="681" s="1"/>
  <c r="BE196" i="681"/>
  <c r="BD196" i="681"/>
  <c r="Z196" i="681"/>
  <c r="R196" i="681"/>
  <c r="Q196" i="681"/>
  <c r="A196" i="681"/>
  <c r="CE195" i="681"/>
  <c r="CD195" i="681"/>
  <c r="CC195" i="681"/>
  <c r="CA195" i="681"/>
  <c r="BZ195" i="681"/>
  <c r="BN195" i="681"/>
  <c r="CB195" i="681"/>
  <c r="BE195" i="681"/>
  <c r="BD195" i="681"/>
  <c r="V195" i="681"/>
  <c r="U195" i="681"/>
  <c r="R195" i="681"/>
  <c r="Q195" i="681"/>
  <c r="A195" i="681"/>
  <c r="CE194" i="681"/>
  <c r="CD194" i="681"/>
  <c r="CC194" i="681"/>
  <c r="CA194" i="681"/>
  <c r="BZ194" i="681"/>
  <c r="CF194" i="681" s="1"/>
  <c r="BN194" i="681"/>
  <c r="CB194" i="681" s="1"/>
  <c r="BE194" i="681"/>
  <c r="BD194" i="681"/>
  <c r="V194" i="681"/>
  <c r="U194" i="681"/>
  <c r="R194" i="681"/>
  <c r="Q194" i="681"/>
  <c r="A194" i="681"/>
  <c r="CE193" i="681"/>
  <c r="CD193" i="681"/>
  <c r="CC193" i="681"/>
  <c r="CA193" i="681"/>
  <c r="BZ193" i="681"/>
  <c r="BN193" i="681"/>
  <c r="CB193" i="681" s="1"/>
  <c r="BE193" i="681"/>
  <c r="BD193" i="681"/>
  <c r="V193" i="681"/>
  <c r="U193" i="681"/>
  <c r="R193" i="681"/>
  <c r="Q193" i="681"/>
  <c r="A193" i="681"/>
  <c r="CE192" i="681"/>
  <c r="CD192" i="681"/>
  <c r="CC192" i="681"/>
  <c r="CA192" i="681"/>
  <c r="BZ192" i="681"/>
  <c r="BN192" i="681"/>
  <c r="CB192" i="681"/>
  <c r="BE192" i="681"/>
  <c r="BD192" i="681"/>
  <c r="V192" i="681"/>
  <c r="U192" i="681"/>
  <c r="R192" i="681"/>
  <c r="Q192" i="681"/>
  <c r="A192" i="681"/>
  <c r="CE191" i="681"/>
  <c r="CD191" i="681"/>
  <c r="CC191" i="681"/>
  <c r="CA191" i="681"/>
  <c r="CF191" i="681" s="1"/>
  <c r="CH191" i="681" s="1"/>
  <c r="BZ191" i="681"/>
  <c r="BN191" i="681"/>
  <c r="CB191" i="681" s="1"/>
  <c r="BE191" i="681"/>
  <c r="BD191" i="681"/>
  <c r="V191" i="681"/>
  <c r="U191" i="681"/>
  <c r="R191" i="681"/>
  <c r="Q191" i="681"/>
  <c r="A191" i="681"/>
  <c r="CE190" i="681"/>
  <c r="CD190" i="681"/>
  <c r="CF190" i="681" s="1"/>
  <c r="CH190" i="681" s="1"/>
  <c r="CC190" i="681"/>
  <c r="CA190" i="681"/>
  <c r="BZ190" i="681"/>
  <c r="BN190" i="681"/>
  <c r="CB190" i="681" s="1"/>
  <c r="BE190" i="681"/>
  <c r="BD190" i="681"/>
  <c r="S190" i="681"/>
  <c r="R190" i="681"/>
  <c r="Q190" i="681"/>
  <c r="H190" i="681"/>
  <c r="G190" i="681"/>
  <c r="A190" i="681"/>
  <c r="CE189" i="681"/>
  <c r="CD189" i="681"/>
  <c r="CC189" i="681"/>
  <c r="CA189" i="681"/>
  <c r="BZ189" i="681"/>
  <c r="BN189" i="681"/>
  <c r="CB189" i="681"/>
  <c r="BE189" i="681"/>
  <c r="BF189" i="681" s="1"/>
  <c r="BD189" i="681"/>
  <c r="V189" i="681"/>
  <c r="U189" i="681"/>
  <c r="Q189" i="681"/>
  <c r="A189" i="681"/>
  <c r="CE188" i="681"/>
  <c r="CD188" i="681"/>
  <c r="CC188" i="681"/>
  <c r="CA188" i="681"/>
  <c r="BZ188" i="681"/>
  <c r="BN188" i="681"/>
  <c r="CB188" i="681"/>
  <c r="BE188" i="681"/>
  <c r="BD188" i="681"/>
  <c r="V188" i="681"/>
  <c r="R188" i="681"/>
  <c r="Q188" i="681"/>
  <c r="A188" i="681"/>
  <c r="CE187" i="681"/>
  <c r="CD187" i="681"/>
  <c r="CC187" i="681"/>
  <c r="CA187" i="681"/>
  <c r="BZ187" i="681"/>
  <c r="BN187" i="681"/>
  <c r="CB187" i="681"/>
  <c r="BE187" i="681"/>
  <c r="BD187" i="681"/>
  <c r="V187" i="681"/>
  <c r="U187" i="681"/>
  <c r="R187" i="681"/>
  <c r="Q187" i="681"/>
  <c r="A187" i="681"/>
  <c r="CE186" i="681"/>
  <c r="CD186" i="681"/>
  <c r="CC186" i="681"/>
  <c r="CA186" i="681"/>
  <c r="BZ186" i="681"/>
  <c r="BN186" i="681"/>
  <c r="CB186" i="681"/>
  <c r="BE186" i="681"/>
  <c r="BF186" i="681" s="1"/>
  <c r="CG186" i="681" s="1"/>
  <c r="BD186" i="681"/>
  <c r="V186" i="681"/>
  <c r="U186" i="681"/>
  <c r="R186" i="681"/>
  <c r="Q186" i="681"/>
  <c r="A186" i="681"/>
  <c r="CE185" i="681"/>
  <c r="CD185" i="681"/>
  <c r="CC185" i="681"/>
  <c r="CA185" i="681"/>
  <c r="BZ185" i="681"/>
  <c r="BN185" i="681"/>
  <c r="CB185" i="681"/>
  <c r="BE185" i="681"/>
  <c r="BD185" i="681"/>
  <c r="V185" i="681"/>
  <c r="U185" i="681"/>
  <c r="R185" i="681"/>
  <c r="Q185" i="681"/>
  <c r="A185" i="681"/>
  <c r="CE184" i="681"/>
  <c r="CD184" i="681"/>
  <c r="CC184" i="681"/>
  <c r="CA184" i="681"/>
  <c r="BZ184" i="681"/>
  <c r="BN184" i="681"/>
  <c r="CB184" i="681"/>
  <c r="BE184" i="681"/>
  <c r="BD184" i="681"/>
  <c r="S184" i="681"/>
  <c r="R184" i="681"/>
  <c r="Q184" i="681"/>
  <c r="A184" i="681"/>
  <c r="CE183" i="681"/>
  <c r="CD183" i="681"/>
  <c r="CC183" i="681"/>
  <c r="CA183" i="681"/>
  <c r="BZ183" i="681"/>
  <c r="BN183" i="681"/>
  <c r="CB183" i="681"/>
  <c r="BE183" i="681"/>
  <c r="BD183" i="681"/>
  <c r="V183" i="681"/>
  <c r="U183" i="681"/>
  <c r="R183" i="681"/>
  <c r="Q183" i="681"/>
  <c r="A183" i="681"/>
  <c r="CE182" i="681"/>
  <c r="CD182" i="681"/>
  <c r="CC182" i="681"/>
  <c r="CA182" i="681"/>
  <c r="BZ182" i="681"/>
  <c r="BN182" i="681"/>
  <c r="CB182" i="681"/>
  <c r="BE182" i="681"/>
  <c r="BD182" i="681"/>
  <c r="V182" i="681"/>
  <c r="U182" i="681"/>
  <c r="R182" i="681"/>
  <c r="Q182" i="681"/>
  <c r="A182" i="681"/>
  <c r="CE181" i="681"/>
  <c r="CD181" i="681"/>
  <c r="CC181" i="681"/>
  <c r="CA181" i="681"/>
  <c r="BZ181" i="681"/>
  <c r="BN181" i="681"/>
  <c r="CB181" i="681" s="1"/>
  <c r="BE181" i="681"/>
  <c r="BD181" i="681"/>
  <c r="V181" i="681"/>
  <c r="U181" i="681"/>
  <c r="R181" i="681"/>
  <c r="Q181" i="681"/>
  <c r="A181" i="681"/>
  <c r="CE180" i="681"/>
  <c r="CD180" i="681"/>
  <c r="CC180" i="681"/>
  <c r="CA180" i="681"/>
  <c r="BZ180" i="681"/>
  <c r="CF180" i="681" s="1"/>
  <c r="CH180" i="681" s="1"/>
  <c r="BN180" i="681"/>
  <c r="CB180" i="681" s="1"/>
  <c r="BE180" i="681"/>
  <c r="BD180" i="681"/>
  <c r="BF180" i="681" s="1"/>
  <c r="CG180" i="681" s="1"/>
  <c r="S180" i="681"/>
  <c r="R180" i="681"/>
  <c r="Q180" i="681"/>
  <c r="A180" i="681"/>
  <c r="CE179" i="681"/>
  <c r="CD179" i="681"/>
  <c r="CC179" i="681"/>
  <c r="CA179" i="681"/>
  <c r="BZ179" i="681"/>
  <c r="BN179" i="681"/>
  <c r="CB179" i="681" s="1"/>
  <c r="BE179" i="681"/>
  <c r="BD179" i="681"/>
  <c r="V179" i="681"/>
  <c r="U179" i="681"/>
  <c r="R179" i="681"/>
  <c r="Q179" i="681"/>
  <c r="A179" i="681"/>
  <c r="CE178" i="681"/>
  <c r="CD178" i="681"/>
  <c r="CC178" i="681"/>
  <c r="CF178" i="681" s="1"/>
  <c r="CH178" i="681" s="1"/>
  <c r="CA178" i="681"/>
  <c r="BZ178" i="681"/>
  <c r="BN178" i="681"/>
  <c r="CB178" i="681" s="1"/>
  <c r="BE178" i="681"/>
  <c r="BD178" i="681"/>
  <c r="U178" i="681"/>
  <c r="R178" i="681"/>
  <c r="Q178" i="681"/>
  <c r="A178" i="681"/>
  <c r="CE177" i="681"/>
  <c r="CD177" i="681"/>
  <c r="CC177" i="681"/>
  <c r="CA177" i="681"/>
  <c r="BZ177" i="681"/>
  <c r="BN177" i="681"/>
  <c r="CB177" i="681"/>
  <c r="BE177" i="681"/>
  <c r="BF177" i="681" s="1"/>
  <c r="BD177" i="681"/>
  <c r="U177" i="681"/>
  <c r="R177" i="681"/>
  <c r="Q177" i="681"/>
  <c r="A177" i="681"/>
  <c r="CE176" i="681"/>
  <c r="CD176" i="681"/>
  <c r="CC176" i="681"/>
  <c r="CA176" i="681"/>
  <c r="BZ176" i="681"/>
  <c r="BN176" i="681"/>
  <c r="CB176" i="681" s="1"/>
  <c r="BE176" i="681"/>
  <c r="BD176" i="681"/>
  <c r="U176" i="681"/>
  <c r="R176" i="681"/>
  <c r="Q176" i="681"/>
  <c r="A176" i="681"/>
  <c r="CE175" i="681"/>
  <c r="CD175" i="681"/>
  <c r="CC175" i="681"/>
  <c r="CA175" i="681"/>
  <c r="BZ175" i="681"/>
  <c r="BN175" i="681"/>
  <c r="CB175" i="681" s="1"/>
  <c r="BE175" i="681"/>
  <c r="BD175" i="681"/>
  <c r="U175" i="681"/>
  <c r="R175" i="681"/>
  <c r="Q175" i="681"/>
  <c r="A175" i="681"/>
  <c r="CE174" i="681"/>
  <c r="CD174" i="681"/>
  <c r="CC174" i="681"/>
  <c r="CA174" i="681"/>
  <c r="BZ174" i="681"/>
  <c r="BN174" i="681"/>
  <c r="CB174" i="681"/>
  <c r="BE174" i="681"/>
  <c r="BD174" i="681"/>
  <c r="V174" i="681"/>
  <c r="U174" i="681"/>
  <c r="R174" i="681"/>
  <c r="Q174" i="681"/>
  <c r="A174" i="681"/>
  <c r="CE173" i="681"/>
  <c r="CD173" i="681"/>
  <c r="CC173" i="681"/>
  <c r="CA173" i="681"/>
  <c r="BZ173" i="681"/>
  <c r="BN173" i="681"/>
  <c r="CB173" i="681" s="1"/>
  <c r="CF173" i="681" s="1"/>
  <c r="CH173" i="681" s="1"/>
  <c r="BE173" i="681"/>
  <c r="BD173" i="681"/>
  <c r="S173" i="681"/>
  <c r="R173" i="681"/>
  <c r="Q173" i="681"/>
  <c r="A173" i="681"/>
  <c r="CE172" i="681"/>
  <c r="CD172" i="681"/>
  <c r="CC172" i="681"/>
  <c r="CA172" i="681"/>
  <c r="BZ172" i="681"/>
  <c r="CF172" i="681" s="1"/>
  <c r="CH172" i="681" s="1"/>
  <c r="BN172" i="681"/>
  <c r="CB172" i="681" s="1"/>
  <c r="BE172" i="681"/>
  <c r="BD172" i="681"/>
  <c r="S172" i="681"/>
  <c r="R172" i="681"/>
  <c r="Q172" i="681"/>
  <c r="A172" i="681"/>
  <c r="CE171" i="681"/>
  <c r="CD171" i="681"/>
  <c r="CC171" i="681"/>
  <c r="CA171" i="681"/>
  <c r="BZ171" i="681"/>
  <c r="BN171" i="681"/>
  <c r="CB171" i="681" s="1"/>
  <c r="BE171" i="681"/>
  <c r="BD171" i="681"/>
  <c r="V171" i="681"/>
  <c r="U171" i="681"/>
  <c r="R171" i="681"/>
  <c r="Q171" i="681"/>
  <c r="A171" i="681"/>
  <c r="CE170" i="681"/>
  <c r="CD170" i="681"/>
  <c r="CC170" i="681"/>
  <c r="CA170" i="681"/>
  <c r="BZ170" i="681"/>
  <c r="BN170" i="681"/>
  <c r="CB170" i="681" s="1"/>
  <c r="BE170" i="681"/>
  <c r="BD170" i="681"/>
  <c r="V170" i="681"/>
  <c r="U170" i="681"/>
  <c r="R170" i="681"/>
  <c r="Q170" i="681"/>
  <c r="A170" i="681"/>
  <c r="CE169" i="681"/>
  <c r="CD169" i="681"/>
  <c r="CC169" i="681"/>
  <c r="CA169" i="681"/>
  <c r="BZ169" i="681"/>
  <c r="BN169" i="681"/>
  <c r="CB169" i="681" s="1"/>
  <c r="BE169" i="681"/>
  <c r="BD169" i="681"/>
  <c r="V169" i="681"/>
  <c r="U169" i="681"/>
  <c r="R169" i="681"/>
  <c r="Q169" i="681"/>
  <c r="A169" i="681"/>
  <c r="CE168" i="681"/>
  <c r="CD168" i="681"/>
  <c r="CC168" i="681"/>
  <c r="CA168" i="681"/>
  <c r="BZ168" i="681"/>
  <c r="BN168" i="681"/>
  <c r="CB168" i="681"/>
  <c r="BE168" i="681"/>
  <c r="BD168" i="681"/>
  <c r="V168" i="681"/>
  <c r="U168" i="681"/>
  <c r="R168" i="681"/>
  <c r="Q168" i="681"/>
  <c r="A168" i="681"/>
  <c r="CE167" i="681"/>
  <c r="CD167" i="681"/>
  <c r="CC167" i="681"/>
  <c r="CA167" i="681"/>
  <c r="BZ167" i="681"/>
  <c r="BN167" i="681"/>
  <c r="CB167" i="681"/>
  <c r="BE167" i="681"/>
  <c r="BD167" i="681"/>
  <c r="AU167" i="681"/>
  <c r="R167" i="681"/>
  <c r="Q167" i="681"/>
  <c r="A167" i="681"/>
  <c r="CE166" i="681"/>
  <c r="CD166" i="681"/>
  <c r="CC166" i="681"/>
  <c r="CA166" i="681"/>
  <c r="BZ166" i="681"/>
  <c r="BN166" i="681"/>
  <c r="CB166" i="681" s="1"/>
  <c r="BE166" i="681"/>
  <c r="BD166" i="681"/>
  <c r="AU166" i="681"/>
  <c r="R166" i="681"/>
  <c r="Q166" i="681"/>
  <c r="A166" i="681"/>
  <c r="CE165" i="681"/>
  <c r="CD165" i="681"/>
  <c r="CC165" i="681"/>
  <c r="CB165" i="681"/>
  <c r="CA165" i="681"/>
  <c r="BZ165" i="681"/>
  <c r="CF165" i="681"/>
  <c r="BE165" i="681"/>
  <c r="BD165" i="681"/>
  <c r="AU165" i="681"/>
  <c r="A165" i="681"/>
  <c r="CE164" i="681"/>
  <c r="CD164" i="681"/>
  <c r="CC164" i="681"/>
  <c r="CB164" i="681"/>
  <c r="CA164" i="681"/>
  <c r="BZ164" i="681"/>
  <c r="BE164" i="681"/>
  <c r="BD164" i="681"/>
  <c r="AU164" i="681"/>
  <c r="A164" i="681"/>
  <c r="CE163" i="681"/>
  <c r="CD163" i="681"/>
  <c r="CC163" i="681"/>
  <c r="CB163" i="681"/>
  <c r="CA163" i="681"/>
  <c r="BZ163" i="681"/>
  <c r="CF163" i="681" s="1"/>
  <c r="CH163" i="681" s="1"/>
  <c r="BE163" i="681"/>
  <c r="BD163" i="681"/>
  <c r="AU163" i="681"/>
  <c r="A163" i="681"/>
  <c r="CE162" i="681"/>
  <c r="CF162" i="681" s="1"/>
  <c r="CD162" i="681"/>
  <c r="CC162" i="681"/>
  <c r="CB162" i="681"/>
  <c r="CA162" i="681"/>
  <c r="BZ162" i="681"/>
  <c r="BE162" i="681"/>
  <c r="BD162" i="681"/>
  <c r="AU162" i="681"/>
  <c r="A162" i="681"/>
  <c r="CE161" i="681"/>
  <c r="CD161" i="681"/>
  <c r="CA161" i="681"/>
  <c r="BZ161" i="681"/>
  <c r="BN161" i="681"/>
  <c r="BE161" i="681"/>
  <c r="BD161" i="681"/>
  <c r="AU161" i="681"/>
  <c r="AU199" i="681" s="1"/>
  <c r="A161" i="681"/>
  <c r="CE160" i="681"/>
  <c r="CD160" i="681"/>
  <c r="CC160" i="681"/>
  <c r="CB160" i="681"/>
  <c r="CA160" i="681"/>
  <c r="BZ160" i="681"/>
  <c r="CF160" i="681"/>
  <c r="BE160" i="681"/>
  <c r="BD160" i="681"/>
  <c r="AT160" i="681"/>
  <c r="A160" i="681"/>
  <c r="CE159" i="681"/>
  <c r="CD159" i="681"/>
  <c r="CC159" i="681"/>
  <c r="CB159" i="681"/>
  <c r="CA159" i="681"/>
  <c r="CF159" i="681" s="1"/>
  <c r="CH159" i="681" s="1"/>
  <c r="BZ159" i="681"/>
  <c r="BE159" i="681"/>
  <c r="BD159" i="681"/>
  <c r="AT159" i="681"/>
  <c r="A159" i="681"/>
  <c r="CE158" i="681"/>
  <c r="CD158" i="681"/>
  <c r="CC158" i="681"/>
  <c r="CA158" i="681"/>
  <c r="BZ158" i="681"/>
  <c r="BN158" i="681"/>
  <c r="CB158" i="681"/>
  <c r="CF158" i="681" s="1"/>
  <c r="BE158" i="681"/>
  <c r="BD158" i="681"/>
  <c r="AT158" i="681"/>
  <c r="R158" i="681"/>
  <c r="Q158" i="681"/>
  <c r="A158" i="681"/>
  <c r="CE157" i="681"/>
  <c r="CD157" i="681"/>
  <c r="CC157" i="681"/>
  <c r="CB157" i="681"/>
  <c r="CA157" i="681"/>
  <c r="BZ157" i="681"/>
  <c r="BE157" i="681"/>
  <c r="BD157" i="681"/>
  <c r="AT157" i="681"/>
  <c r="A157" i="681"/>
  <c r="CE156" i="681"/>
  <c r="CD156" i="681"/>
  <c r="CA156" i="681"/>
  <c r="BZ156" i="681"/>
  <c r="BN156" i="681"/>
  <c r="BE156" i="681"/>
  <c r="BD156" i="681"/>
  <c r="AT156" i="681"/>
  <c r="A156" i="681"/>
  <c r="CE155" i="681"/>
  <c r="CD155" i="681"/>
  <c r="CA155" i="681"/>
  <c r="BZ155" i="681"/>
  <c r="BN155" i="681"/>
  <c r="BE155" i="681"/>
  <c r="BD155" i="681"/>
  <c r="AT155" i="681"/>
  <c r="A155" i="681"/>
  <c r="CE154" i="681"/>
  <c r="CD154" i="681"/>
  <c r="CC154" i="681"/>
  <c r="CB154" i="681"/>
  <c r="CA154" i="681"/>
  <c r="BZ154" i="681"/>
  <c r="CF154" i="681" s="1"/>
  <c r="CH154" i="681" s="1"/>
  <c r="BE154" i="681"/>
  <c r="BD154" i="681"/>
  <c r="AT154" i="681"/>
  <c r="A154" i="681"/>
  <c r="CE153" i="681"/>
  <c r="CD153" i="681"/>
  <c r="CC153" i="681"/>
  <c r="CB153" i="681"/>
  <c r="CA153" i="681"/>
  <c r="BZ153" i="681"/>
  <c r="BE153" i="681"/>
  <c r="BD153" i="681"/>
  <c r="AT153" i="681"/>
  <c r="A153" i="681"/>
  <c r="CE152" i="681"/>
  <c r="CD152" i="681"/>
  <c r="CA152" i="681"/>
  <c r="CF152" i="681" s="1"/>
  <c r="CH152" i="681" s="1"/>
  <c r="BZ152" i="681"/>
  <c r="BN152" i="681"/>
  <c r="BE152" i="681"/>
  <c r="BD152" i="681"/>
  <c r="AT152" i="681"/>
  <c r="A152" i="681"/>
  <c r="CE151" i="681"/>
  <c r="CD151" i="681"/>
  <c r="CC151" i="681"/>
  <c r="CB151" i="681"/>
  <c r="CA151" i="681"/>
  <c r="BZ151" i="681"/>
  <c r="BE151" i="681"/>
  <c r="BD151" i="681"/>
  <c r="AT151" i="681"/>
  <c r="A151" i="681"/>
  <c r="CE150" i="681"/>
  <c r="CD150" i="681"/>
  <c r="CC150" i="681"/>
  <c r="CB150" i="681"/>
  <c r="CA150" i="681"/>
  <c r="BZ150" i="681"/>
  <c r="BE150" i="681"/>
  <c r="BD150" i="681"/>
  <c r="AT150" i="681"/>
  <c r="A150" i="681"/>
  <c r="CE149" i="681"/>
  <c r="CD149" i="681"/>
  <c r="CC149" i="681"/>
  <c r="CF149" i="681" s="1"/>
  <c r="CH149" i="681" s="1"/>
  <c r="CA149" i="681"/>
  <c r="BZ149" i="681"/>
  <c r="BN149" i="681"/>
  <c r="CB149" i="681" s="1"/>
  <c r="BE149" i="681"/>
  <c r="BD149" i="681"/>
  <c r="AT149" i="681"/>
  <c r="R149" i="681"/>
  <c r="Q149" i="681"/>
  <c r="A149" i="681"/>
  <c r="CE148" i="681"/>
  <c r="CD148" i="681"/>
  <c r="CC148" i="681"/>
  <c r="CA148" i="681"/>
  <c r="BZ148" i="681"/>
  <c r="BN148" i="681"/>
  <c r="CB148" i="681"/>
  <c r="BE148" i="681"/>
  <c r="BD148" i="681"/>
  <c r="AT148" i="681"/>
  <c r="AT199" i="681" s="1"/>
  <c r="R148" i="681"/>
  <c r="Q148" i="681"/>
  <c r="A148" i="681"/>
  <c r="CE147" i="681"/>
  <c r="CD147" i="681"/>
  <c r="CC147" i="681"/>
  <c r="CA147" i="681"/>
  <c r="BZ147" i="681"/>
  <c r="BN147" i="681"/>
  <c r="CB147" i="681"/>
  <c r="CF147" i="681" s="1"/>
  <c r="BE147" i="681"/>
  <c r="BD147" i="681"/>
  <c r="BF147" i="681" s="1"/>
  <c r="CG147" i="681" s="1"/>
  <c r="CH147" i="681" s="1"/>
  <c r="Z147" i="681"/>
  <c r="R147" i="681"/>
  <c r="Q147" i="681"/>
  <c r="A147" i="681"/>
  <c r="CE146" i="681"/>
  <c r="CD146" i="681"/>
  <c r="CC146" i="681"/>
  <c r="CA146" i="681"/>
  <c r="BZ146" i="681"/>
  <c r="BN146" i="681"/>
  <c r="CB146" i="681" s="1"/>
  <c r="CF146" i="681" s="1"/>
  <c r="CH146" i="681" s="1"/>
  <c r="BE146" i="681"/>
  <c r="BD146" i="681"/>
  <c r="AY146" i="681"/>
  <c r="R146" i="681"/>
  <c r="Q146" i="681"/>
  <c r="A146" i="681"/>
  <c r="CE145" i="681"/>
  <c r="CD145" i="681"/>
  <c r="CC145" i="681"/>
  <c r="CA145" i="681"/>
  <c r="BZ145" i="681"/>
  <c r="BN145" i="681"/>
  <c r="CB145" i="681" s="1"/>
  <c r="BE145" i="681"/>
  <c r="BD145" i="681"/>
  <c r="Z145" i="681"/>
  <c r="R145" i="681"/>
  <c r="Q145" i="681"/>
  <c r="A145" i="681"/>
  <c r="CE144" i="681"/>
  <c r="CD144" i="681"/>
  <c r="CC144" i="681"/>
  <c r="CA144" i="681"/>
  <c r="BZ144" i="681"/>
  <c r="BN144" i="681"/>
  <c r="CB144" i="681"/>
  <c r="BE144" i="681"/>
  <c r="BD144" i="681"/>
  <c r="AY144" i="681"/>
  <c r="AY199" i="681"/>
  <c r="R144" i="681"/>
  <c r="Q144" i="681"/>
  <c r="A144" i="681"/>
  <c r="CE143" i="681"/>
  <c r="CD143" i="681"/>
  <c r="CC143" i="681"/>
  <c r="CA143" i="681"/>
  <c r="BZ143" i="681"/>
  <c r="BN143" i="681"/>
  <c r="CB143" i="681"/>
  <c r="CF143" i="681" s="1"/>
  <c r="CH143" i="681" s="1"/>
  <c r="BE143" i="681"/>
  <c r="BD143" i="681"/>
  <c r="Z143" i="681"/>
  <c r="R143" i="681"/>
  <c r="Q143" i="681"/>
  <c r="A143" i="681"/>
  <c r="CE142" i="681"/>
  <c r="CD142" i="681"/>
  <c r="CC142" i="681"/>
  <c r="CA142" i="681"/>
  <c r="BZ142" i="681"/>
  <c r="BN142" i="681"/>
  <c r="CB142" i="681" s="1"/>
  <c r="BE142" i="681"/>
  <c r="BD142" i="681"/>
  <c r="Z142" i="681"/>
  <c r="R142" i="681"/>
  <c r="Q142" i="681"/>
  <c r="A142" i="681"/>
  <c r="CE141" i="681"/>
  <c r="CD141" i="681"/>
  <c r="CF141" i="681" s="1"/>
  <c r="CC141" i="681"/>
  <c r="CA141" i="681"/>
  <c r="BZ141" i="681"/>
  <c r="BN141" i="681"/>
  <c r="CB141" i="681"/>
  <c r="BE141" i="681"/>
  <c r="BD141" i="681"/>
  <c r="Z141" i="681"/>
  <c r="R141" i="681"/>
  <c r="Q141" i="681"/>
  <c r="A141" i="681"/>
  <c r="CE140" i="681"/>
  <c r="CD140" i="681"/>
  <c r="CC140" i="681"/>
  <c r="CA140" i="681"/>
  <c r="BZ140" i="681"/>
  <c r="BN140" i="681"/>
  <c r="CB140" i="681"/>
  <c r="CF140" i="681" s="1"/>
  <c r="BE140" i="681"/>
  <c r="BD140" i="681"/>
  <c r="Z140" i="681"/>
  <c r="R140" i="681"/>
  <c r="Q140" i="681"/>
  <c r="A140" i="681"/>
  <c r="CE139" i="681"/>
  <c r="CD139" i="681"/>
  <c r="CC139" i="681"/>
  <c r="CA139" i="681"/>
  <c r="BZ139" i="681"/>
  <c r="BN139" i="681"/>
  <c r="CB139" i="681"/>
  <c r="BE139" i="681"/>
  <c r="BD139" i="681"/>
  <c r="Z139" i="681"/>
  <c r="R139" i="681"/>
  <c r="Q139" i="681"/>
  <c r="A139" i="681"/>
  <c r="CE138" i="681"/>
  <c r="CD138" i="681"/>
  <c r="CC138" i="681"/>
  <c r="CF138" i="681" s="1"/>
  <c r="CA138" i="681"/>
  <c r="BZ138" i="681"/>
  <c r="BN138" i="681"/>
  <c r="CB138" i="681"/>
  <c r="BE138" i="681"/>
  <c r="BD138" i="681"/>
  <c r="Z138" i="681"/>
  <c r="Z199" i="681"/>
  <c r="R138" i="681"/>
  <c r="Q138" i="681"/>
  <c r="A138" i="681"/>
  <c r="CE137" i="681"/>
  <c r="CD137" i="681"/>
  <c r="CC137" i="681"/>
  <c r="CA137" i="681"/>
  <c r="BZ137" i="681"/>
  <c r="BN137" i="681"/>
  <c r="CB137" i="681"/>
  <c r="BE137" i="681"/>
  <c r="BD137" i="681"/>
  <c r="AS137" i="681"/>
  <c r="AS199" i="681" s="1"/>
  <c r="R137" i="681"/>
  <c r="Q137" i="681"/>
  <c r="A137" i="681"/>
  <c r="CE136" i="681"/>
  <c r="CD136" i="681"/>
  <c r="CC136" i="681"/>
  <c r="CA136" i="681"/>
  <c r="BZ136" i="681"/>
  <c r="CF136" i="681" s="1"/>
  <c r="BN136" i="681"/>
  <c r="CB136" i="681"/>
  <c r="BE136" i="681"/>
  <c r="BD136" i="681"/>
  <c r="AL136" i="681"/>
  <c r="AL199" i="681" s="1"/>
  <c r="R136" i="681"/>
  <c r="Q136" i="681"/>
  <c r="A136" i="681"/>
  <c r="CE135" i="681"/>
  <c r="CD135" i="681"/>
  <c r="CC135" i="681"/>
  <c r="CF135" i="681" s="1"/>
  <c r="CB135" i="681"/>
  <c r="CA135" i="681"/>
  <c r="BZ135" i="681"/>
  <c r="BE135" i="681"/>
  <c r="BD135" i="681"/>
  <c r="AX135" i="681"/>
  <c r="R135" i="681"/>
  <c r="Q135" i="681"/>
  <c r="A135" i="681"/>
  <c r="CE134" i="681"/>
  <c r="CD134" i="681"/>
  <c r="CC134" i="681"/>
  <c r="CB134" i="681"/>
  <c r="CA134" i="681"/>
  <c r="BZ134" i="681"/>
  <c r="CF134" i="681"/>
  <c r="BE134" i="681"/>
  <c r="BD134" i="681"/>
  <c r="BF134" i="681" s="1"/>
  <c r="CG134" i="681" s="1"/>
  <c r="CH134" i="681" s="1"/>
  <c r="S134" i="681"/>
  <c r="AX134" i="681" s="1"/>
  <c r="R134" i="681"/>
  <c r="Q134" i="681"/>
  <c r="A134" i="681"/>
  <c r="CE133" i="681"/>
  <c r="CD133" i="681"/>
  <c r="CC133" i="681"/>
  <c r="CB133" i="681"/>
  <c r="CA133" i="681"/>
  <c r="BZ133" i="681"/>
  <c r="CF133" i="681" s="1"/>
  <c r="BE133" i="681"/>
  <c r="BD133" i="681"/>
  <c r="S133" i="681"/>
  <c r="AX133" i="681" s="1"/>
  <c r="R133" i="681"/>
  <c r="Q133" i="681"/>
  <c r="A133" i="681"/>
  <c r="CE132" i="681"/>
  <c r="CD132" i="681"/>
  <c r="CA132" i="681"/>
  <c r="BZ132" i="681"/>
  <c r="BN132" i="681"/>
  <c r="BE132" i="681"/>
  <c r="BD132" i="681"/>
  <c r="AM132" i="681"/>
  <c r="R132" i="681"/>
  <c r="Q132" i="681"/>
  <c r="A132" i="681"/>
  <c r="CE131" i="681"/>
  <c r="CF131" i="681" s="1"/>
  <c r="CD131" i="681"/>
  <c r="CC131" i="681"/>
  <c r="CB131" i="681"/>
  <c r="CA131" i="681"/>
  <c r="BZ131" i="681"/>
  <c r="BE131" i="681"/>
  <c r="BD131" i="681"/>
  <c r="AM131" i="681"/>
  <c r="AM199" i="681" s="1"/>
  <c r="R131" i="681"/>
  <c r="Q131" i="681"/>
  <c r="A131" i="681"/>
  <c r="CE130" i="681"/>
  <c r="CD130" i="681"/>
  <c r="CC130" i="681"/>
  <c r="CB130" i="681"/>
  <c r="CA130" i="681"/>
  <c r="BZ130" i="681"/>
  <c r="BE130" i="681"/>
  <c r="BD130" i="681"/>
  <c r="AB130" i="681"/>
  <c r="R130" i="681"/>
  <c r="Q130" i="681"/>
  <c r="A130" i="681"/>
  <c r="CE129" i="681"/>
  <c r="CD129" i="681"/>
  <c r="CC129" i="681"/>
  <c r="CB129" i="681"/>
  <c r="CA129" i="681"/>
  <c r="BZ129" i="681"/>
  <c r="BE129" i="681"/>
  <c r="BD129" i="681"/>
  <c r="AB129" i="681"/>
  <c r="R129" i="681"/>
  <c r="Q129" i="681"/>
  <c r="A129" i="681"/>
  <c r="CE128" i="681"/>
  <c r="CD128" i="681"/>
  <c r="CC128" i="681"/>
  <c r="CB128" i="681"/>
  <c r="CA128" i="681"/>
  <c r="BZ128" i="681"/>
  <c r="CF128" i="681"/>
  <c r="BE128" i="681"/>
  <c r="BD128" i="681"/>
  <c r="AB128" i="681"/>
  <c r="R128" i="681"/>
  <c r="Q128" i="681"/>
  <c r="A128" i="681"/>
  <c r="CE127" i="681"/>
  <c r="CD127" i="681"/>
  <c r="CC127" i="681"/>
  <c r="CB127" i="681"/>
  <c r="CA127" i="681"/>
  <c r="BZ127" i="681"/>
  <c r="CF127" i="681" s="1"/>
  <c r="CH127" i="681" s="1"/>
  <c r="BE127" i="681"/>
  <c r="BD127" i="681"/>
  <c r="AD127" i="681"/>
  <c r="R127" i="681"/>
  <c r="Q127" i="681"/>
  <c r="A127" i="681"/>
  <c r="CE126" i="681"/>
  <c r="CD126" i="681"/>
  <c r="CC126" i="681"/>
  <c r="CF126" i="681" s="1"/>
  <c r="CB126" i="681"/>
  <c r="CA126" i="681"/>
  <c r="BZ126" i="681"/>
  <c r="BE126" i="681"/>
  <c r="BD126" i="681"/>
  <c r="AD126" i="681"/>
  <c r="R126" i="681"/>
  <c r="Q126" i="681"/>
  <c r="A126" i="681"/>
  <c r="CE125" i="681"/>
  <c r="CD125" i="681"/>
  <c r="CC125" i="681"/>
  <c r="CB125" i="681"/>
  <c r="CA125" i="681"/>
  <c r="BZ125" i="681"/>
  <c r="CF125" i="681" s="1"/>
  <c r="BE125" i="681"/>
  <c r="BD125" i="681"/>
  <c r="AH125" i="681"/>
  <c r="R125" i="681"/>
  <c r="Q125" i="681"/>
  <c r="A125" i="681"/>
  <c r="CE124" i="681"/>
  <c r="CD124" i="681"/>
  <c r="CC124" i="681"/>
  <c r="CB124" i="681"/>
  <c r="CA124" i="681"/>
  <c r="BZ124" i="681"/>
  <c r="CF124" i="681" s="1"/>
  <c r="BE124" i="681"/>
  <c r="BF124" i="681" s="1"/>
  <c r="CG124" i="681" s="1"/>
  <c r="CH124" i="681" s="1"/>
  <c r="BD124" i="681"/>
  <c r="AD124" i="681"/>
  <c r="R124" i="681"/>
  <c r="Q124" i="681"/>
  <c r="A124" i="681"/>
  <c r="CE123" i="681"/>
  <c r="CD123" i="681"/>
  <c r="CA123" i="681"/>
  <c r="BZ123" i="681"/>
  <c r="BN123" i="681"/>
  <c r="BE123" i="681"/>
  <c r="BD123" i="681"/>
  <c r="AD123" i="681"/>
  <c r="R123" i="681"/>
  <c r="Q123" i="681"/>
  <c r="A123" i="681"/>
  <c r="CE122" i="681"/>
  <c r="CD122" i="681"/>
  <c r="CC122" i="681"/>
  <c r="CB122" i="681"/>
  <c r="CA122" i="681"/>
  <c r="BZ122" i="681"/>
  <c r="BE122" i="681"/>
  <c r="BD122" i="681"/>
  <c r="AH122" i="681"/>
  <c r="R122" i="681"/>
  <c r="Q122" i="681"/>
  <c r="A122" i="681"/>
  <c r="CE121" i="681"/>
  <c r="CD121" i="681"/>
  <c r="CA121" i="681"/>
  <c r="BZ121" i="681"/>
  <c r="BN121" i="681"/>
  <c r="BE121" i="681"/>
  <c r="BD121" i="681"/>
  <c r="AD121" i="681"/>
  <c r="AD199" i="681" s="1"/>
  <c r="R121" i="681"/>
  <c r="Q121" i="681"/>
  <c r="A121" i="681"/>
  <c r="CE120" i="681"/>
  <c r="CD120" i="681"/>
  <c r="CC120" i="681"/>
  <c r="CA120" i="681"/>
  <c r="BZ120" i="681"/>
  <c r="BN120" i="681"/>
  <c r="CB120" i="681" s="1"/>
  <c r="BE120" i="681"/>
  <c r="BD120" i="681"/>
  <c r="AA120" i="681"/>
  <c r="R120" i="681"/>
  <c r="Q120" i="681"/>
  <c r="A120" i="681"/>
  <c r="CE119" i="681"/>
  <c r="CD119" i="681"/>
  <c r="CC119" i="681"/>
  <c r="CA119" i="681"/>
  <c r="BZ119" i="681"/>
  <c r="BN119" i="681"/>
  <c r="CB119" i="681"/>
  <c r="BE119" i="681"/>
  <c r="BD119" i="681"/>
  <c r="AA119" i="681"/>
  <c r="R119" i="681"/>
  <c r="Q119" i="681"/>
  <c r="A119" i="681"/>
  <c r="CE118" i="681"/>
  <c r="CD118" i="681"/>
  <c r="CC118" i="681"/>
  <c r="CA118" i="681"/>
  <c r="BZ118" i="681"/>
  <c r="BN118" i="681"/>
  <c r="CB118" i="681" s="1"/>
  <c r="BE118" i="681"/>
  <c r="BD118" i="681"/>
  <c r="AA118" i="681"/>
  <c r="AA199" i="681" s="1"/>
  <c r="R118" i="681"/>
  <c r="Q118" i="681"/>
  <c r="A118" i="681"/>
  <c r="CE117" i="681"/>
  <c r="CD117" i="681"/>
  <c r="CC117" i="681"/>
  <c r="CA117" i="681"/>
  <c r="BZ117" i="681"/>
  <c r="BN117" i="681"/>
  <c r="CB117" i="681" s="1"/>
  <c r="BE117" i="681"/>
  <c r="BF117" i="681" s="1"/>
  <c r="CG117" i="681" s="1"/>
  <c r="CH117" i="681" s="1"/>
  <c r="BD117" i="681"/>
  <c r="AA117" i="681"/>
  <c r="R117" i="681"/>
  <c r="Q117" i="681"/>
  <c r="A117" i="681"/>
  <c r="CE116" i="681"/>
  <c r="CD116" i="681"/>
  <c r="CC116" i="681"/>
  <c r="CB116" i="681"/>
  <c r="CA116" i="681"/>
  <c r="BZ116" i="681"/>
  <c r="BE116" i="681"/>
  <c r="BD116" i="681"/>
  <c r="AW116" i="681"/>
  <c r="AW199" i="681" s="1"/>
  <c r="A116" i="681"/>
  <c r="CE115" i="681"/>
  <c r="CD115" i="681"/>
  <c r="CC115" i="681"/>
  <c r="CF115" i="681" s="1"/>
  <c r="CH115" i="681" s="1"/>
  <c r="CB115" i="681"/>
  <c r="CA115" i="681"/>
  <c r="BZ115" i="681"/>
  <c r="BE115" i="681"/>
  <c r="BD115" i="681"/>
  <c r="AW115" i="681"/>
  <c r="A115" i="681"/>
  <c r="CE114" i="681"/>
  <c r="CD114" i="681"/>
  <c r="CC114" i="681"/>
  <c r="CB114" i="681"/>
  <c r="CA114" i="681"/>
  <c r="BZ114" i="681"/>
  <c r="BE114" i="681"/>
  <c r="BD114" i="681"/>
  <c r="AW114" i="681"/>
  <c r="A114" i="681"/>
  <c r="CE113" i="681"/>
  <c r="CD113" i="681"/>
  <c r="CC113" i="681"/>
  <c r="CA113" i="681"/>
  <c r="BZ113" i="681"/>
  <c r="BN113" i="681"/>
  <c r="CB113" i="681" s="1"/>
  <c r="BE113" i="681"/>
  <c r="BD113" i="681"/>
  <c r="X113" i="681"/>
  <c r="R113" i="681"/>
  <c r="Q113" i="681"/>
  <c r="A113" i="681"/>
  <c r="CE112" i="681"/>
  <c r="CD112" i="681"/>
  <c r="CC112" i="681"/>
  <c r="CA112" i="681"/>
  <c r="BZ112" i="681"/>
  <c r="BN112" i="681"/>
  <c r="CB112" i="681"/>
  <c r="BE112" i="681"/>
  <c r="BD112" i="681"/>
  <c r="S112" i="681"/>
  <c r="Y112" i="681" s="1"/>
  <c r="R112" i="681"/>
  <c r="Q112" i="681"/>
  <c r="A112" i="681"/>
  <c r="CE111" i="681"/>
  <c r="CD111" i="681"/>
  <c r="CC111" i="681"/>
  <c r="CA111" i="681"/>
  <c r="BZ111" i="681"/>
  <c r="BN111" i="681"/>
  <c r="CB111" i="681"/>
  <c r="BE111" i="681"/>
  <c r="BD111" i="681"/>
  <c r="Y111" i="681"/>
  <c r="X111" i="681"/>
  <c r="R111" i="681"/>
  <c r="Q111" i="681"/>
  <c r="A111" i="681"/>
  <c r="CE110" i="681"/>
  <c r="CD110" i="681"/>
  <c r="CC110" i="681"/>
  <c r="CA110" i="681"/>
  <c r="BZ110" i="681"/>
  <c r="BN110" i="681"/>
  <c r="CB110" i="681" s="1"/>
  <c r="BE110" i="681"/>
  <c r="BD110" i="681"/>
  <c r="Y110" i="681"/>
  <c r="X110" i="681"/>
  <c r="R110" i="681"/>
  <c r="Q110" i="681"/>
  <c r="A110" i="681"/>
  <c r="CE109" i="681"/>
  <c r="CD109" i="681"/>
  <c r="CC109" i="681"/>
  <c r="CA109" i="681"/>
  <c r="BZ109" i="681"/>
  <c r="BN109" i="681"/>
  <c r="CB109" i="681" s="1"/>
  <c r="BE109" i="681"/>
  <c r="BD109" i="681"/>
  <c r="Y109" i="681"/>
  <c r="X109" i="681"/>
  <c r="R109" i="681"/>
  <c r="Q109" i="681"/>
  <c r="A109" i="681"/>
  <c r="CE108" i="681"/>
  <c r="CD108" i="681"/>
  <c r="CC108" i="681"/>
  <c r="CA108" i="681"/>
  <c r="BZ108" i="681"/>
  <c r="BN108" i="681"/>
  <c r="CB108" i="681" s="1"/>
  <c r="BE108" i="681"/>
  <c r="BD108" i="681"/>
  <c r="Y108" i="681"/>
  <c r="X108" i="681"/>
  <c r="R108" i="681"/>
  <c r="Q108" i="681"/>
  <c r="A108" i="681"/>
  <c r="CE107" i="681"/>
  <c r="CD107" i="681"/>
  <c r="CC107" i="681"/>
  <c r="CA107" i="681"/>
  <c r="BZ107" i="681"/>
  <c r="BN107" i="681"/>
  <c r="CB107" i="681" s="1"/>
  <c r="BE107" i="681"/>
  <c r="BD107" i="681"/>
  <c r="Y107" i="681"/>
  <c r="X107" i="681"/>
  <c r="R107" i="681"/>
  <c r="Q107" i="681"/>
  <c r="A107" i="681"/>
  <c r="CE106" i="681"/>
  <c r="CD106" i="681"/>
  <c r="CC106" i="681"/>
  <c r="CA106" i="681"/>
  <c r="BZ106" i="681"/>
  <c r="BN106" i="681"/>
  <c r="CB106" i="681" s="1"/>
  <c r="BE106" i="681"/>
  <c r="BD106" i="681"/>
  <c r="Y106" i="681"/>
  <c r="X106" i="681"/>
  <c r="R106" i="681"/>
  <c r="Q106" i="681"/>
  <c r="A106" i="681"/>
  <c r="CE105" i="681"/>
  <c r="CD105" i="681"/>
  <c r="CC105" i="681"/>
  <c r="CA105" i="681"/>
  <c r="BZ105" i="681"/>
  <c r="BN105" i="681"/>
  <c r="CB105" i="681"/>
  <c r="BE105" i="681"/>
  <c r="BD105" i="681"/>
  <c r="X105" i="681"/>
  <c r="R105" i="681"/>
  <c r="Q105" i="681"/>
  <c r="A105" i="681"/>
  <c r="CE104" i="681"/>
  <c r="CD104" i="681"/>
  <c r="CC104" i="681"/>
  <c r="CA104" i="681"/>
  <c r="BZ104" i="681"/>
  <c r="BN104" i="681"/>
  <c r="CB104" i="681"/>
  <c r="BE104" i="681"/>
  <c r="BD104" i="681"/>
  <c r="Y104" i="681"/>
  <c r="X104" i="681"/>
  <c r="R104" i="681"/>
  <c r="Q104" i="681"/>
  <c r="A104" i="681"/>
  <c r="CE103" i="681"/>
  <c r="CD103" i="681"/>
  <c r="CC103" i="681"/>
  <c r="CA103" i="681"/>
  <c r="BZ103" i="681"/>
  <c r="BN103" i="681"/>
  <c r="CB103" i="681"/>
  <c r="BE103" i="681"/>
  <c r="BD103" i="681"/>
  <c r="Y103" i="681"/>
  <c r="X103" i="681"/>
  <c r="R103" i="681"/>
  <c r="Q103" i="681"/>
  <c r="A103" i="681"/>
  <c r="CE102" i="681"/>
  <c r="CD102" i="681"/>
  <c r="CC102" i="681"/>
  <c r="CA102" i="681"/>
  <c r="BZ102" i="681"/>
  <c r="BN102" i="681"/>
  <c r="CB102" i="681"/>
  <c r="BE102" i="681"/>
  <c r="BD102" i="681"/>
  <c r="Y102" i="681"/>
  <c r="X102" i="681"/>
  <c r="R102" i="681"/>
  <c r="Q102" i="681"/>
  <c r="A102" i="681"/>
  <c r="CE101" i="681"/>
  <c r="CD101" i="681"/>
  <c r="CC101" i="681"/>
  <c r="CA101" i="681"/>
  <c r="BZ101" i="681"/>
  <c r="BN101" i="681"/>
  <c r="CB101" i="681"/>
  <c r="BE101" i="681"/>
  <c r="BD101" i="681"/>
  <c r="X101" i="681"/>
  <c r="R101" i="681"/>
  <c r="Q101" i="681"/>
  <c r="A101" i="681"/>
  <c r="CE100" i="681"/>
  <c r="CD100" i="681"/>
  <c r="CC100" i="681"/>
  <c r="CA100" i="681"/>
  <c r="BZ100" i="681"/>
  <c r="BN100" i="681"/>
  <c r="CB100" i="681" s="1"/>
  <c r="BE100" i="681"/>
  <c r="BD100" i="681"/>
  <c r="Y100" i="681"/>
  <c r="X100" i="681"/>
  <c r="R100" i="681"/>
  <c r="Q100" i="681"/>
  <c r="A100" i="681"/>
  <c r="CE99" i="681"/>
  <c r="CD99" i="681"/>
  <c r="CC99" i="681"/>
  <c r="CA99" i="681"/>
  <c r="BZ99" i="681"/>
  <c r="BN99" i="681"/>
  <c r="CB99" i="681"/>
  <c r="BE99" i="681"/>
  <c r="BD99" i="681"/>
  <c r="S99" i="681"/>
  <c r="R99" i="681"/>
  <c r="Q99" i="681"/>
  <c r="A99" i="681"/>
  <c r="CE98" i="681"/>
  <c r="CD98" i="681"/>
  <c r="CC98" i="681"/>
  <c r="CA98" i="681"/>
  <c r="BZ98" i="681"/>
  <c r="BN98" i="681"/>
  <c r="CB98" i="681"/>
  <c r="BE98" i="681"/>
  <c r="BD98" i="681"/>
  <c r="Y98" i="681"/>
  <c r="R98" i="681"/>
  <c r="Q98" i="681"/>
  <c r="A98" i="681"/>
  <c r="CE97" i="681"/>
  <c r="CD97" i="681"/>
  <c r="CC97" i="681"/>
  <c r="CA97" i="681"/>
  <c r="BZ97" i="681"/>
  <c r="BN97" i="681"/>
  <c r="CB97" i="681" s="1"/>
  <c r="BE97" i="681"/>
  <c r="BD97" i="681"/>
  <c r="Y97" i="681"/>
  <c r="R97" i="681"/>
  <c r="Q97" i="681"/>
  <c r="A97" i="681"/>
  <c r="CE96" i="681"/>
  <c r="CD96" i="681"/>
  <c r="CC96" i="681"/>
  <c r="CA96" i="681"/>
  <c r="BZ96" i="681"/>
  <c r="BN96" i="681"/>
  <c r="CB96" i="681"/>
  <c r="BE96" i="681"/>
  <c r="BD96" i="681"/>
  <c r="Y96" i="681"/>
  <c r="R96" i="681"/>
  <c r="Q96" i="681"/>
  <c r="A96" i="681"/>
  <c r="CE95" i="681"/>
  <c r="CD95" i="681"/>
  <c r="CC95" i="681"/>
  <c r="CA95" i="681"/>
  <c r="BZ95" i="681"/>
  <c r="BN95" i="681"/>
  <c r="CB95" i="681" s="1"/>
  <c r="BE95" i="681"/>
  <c r="BD95" i="681"/>
  <c r="Y95" i="681"/>
  <c r="R95" i="681"/>
  <c r="Q95" i="681"/>
  <c r="A95" i="681"/>
  <c r="CE94" i="681"/>
  <c r="CD94" i="681"/>
  <c r="CC94" i="681"/>
  <c r="CA94" i="681"/>
  <c r="BZ94" i="681"/>
  <c r="BN94" i="681"/>
  <c r="CB94" i="681" s="1"/>
  <c r="BE94" i="681"/>
  <c r="BD94" i="681"/>
  <c r="Y94" i="681"/>
  <c r="R94" i="681"/>
  <c r="Q94" i="681"/>
  <c r="A94" i="681"/>
  <c r="CE93" i="681"/>
  <c r="CD93" i="681"/>
  <c r="CC93" i="681"/>
  <c r="CA93" i="681"/>
  <c r="BZ93" i="681"/>
  <c r="BN93" i="681"/>
  <c r="CB93" i="681" s="1"/>
  <c r="BE93" i="681"/>
  <c r="BD93" i="681"/>
  <c r="Y93" i="681"/>
  <c r="R93" i="681"/>
  <c r="Q93" i="681"/>
  <c r="A93" i="681"/>
  <c r="CE92" i="681"/>
  <c r="CD92" i="681"/>
  <c r="CC92" i="681"/>
  <c r="CA92" i="681"/>
  <c r="CF92" i="681" s="1"/>
  <c r="BZ92" i="681"/>
  <c r="BN92" i="681"/>
  <c r="CB92" i="681"/>
  <c r="BE92" i="681"/>
  <c r="BD92" i="681"/>
  <c r="Y92" i="681"/>
  <c r="X92" i="681"/>
  <c r="R92" i="681"/>
  <c r="Q92" i="681"/>
  <c r="A92" i="681"/>
  <c r="CE91" i="681"/>
  <c r="CD91" i="681"/>
  <c r="CC91" i="681"/>
  <c r="CA91" i="681"/>
  <c r="BZ91" i="681"/>
  <c r="BN91" i="681"/>
  <c r="CB91" i="681" s="1"/>
  <c r="BE91" i="681"/>
  <c r="BD91" i="681"/>
  <c r="S91" i="681"/>
  <c r="R91" i="681"/>
  <c r="Q91" i="681"/>
  <c r="A91" i="681"/>
  <c r="CE90" i="681"/>
  <c r="CD90" i="681"/>
  <c r="CC90" i="681"/>
  <c r="CA90" i="681"/>
  <c r="BZ90" i="681"/>
  <c r="BN90" i="681"/>
  <c r="CB90" i="681"/>
  <c r="BE90" i="681"/>
  <c r="BD90" i="681"/>
  <c r="Y90" i="681"/>
  <c r="X90" i="681"/>
  <c r="R90" i="681"/>
  <c r="Q90" i="681"/>
  <c r="A90" i="681"/>
  <c r="CE89" i="681"/>
  <c r="CD89" i="681"/>
  <c r="CC89" i="681"/>
  <c r="CA89" i="681"/>
  <c r="BZ89" i="681"/>
  <c r="BN89" i="681"/>
  <c r="CB89" i="681" s="1"/>
  <c r="BE89" i="681"/>
  <c r="BD89" i="681"/>
  <c r="Y89" i="681"/>
  <c r="X89" i="681"/>
  <c r="R89" i="681"/>
  <c r="Q89" i="681"/>
  <c r="A89" i="681"/>
  <c r="CE88" i="681"/>
  <c r="CC88" i="681"/>
  <c r="CA88" i="681"/>
  <c r="BZ88" i="681"/>
  <c r="BS88" i="681"/>
  <c r="CD88" i="681"/>
  <c r="BN88" i="681"/>
  <c r="CB88" i="681"/>
  <c r="BE88" i="681"/>
  <c r="BD88" i="681"/>
  <c r="Y88" i="681"/>
  <c r="X88" i="681"/>
  <c r="R88" i="681"/>
  <c r="Q88" i="681"/>
  <c r="A88" i="681"/>
  <c r="CE87" i="681"/>
  <c r="CD87" i="681"/>
  <c r="CC87" i="681"/>
  <c r="CA87" i="681"/>
  <c r="BZ87" i="681"/>
  <c r="BN87" i="681"/>
  <c r="CB87" i="681" s="1"/>
  <c r="BE87" i="681"/>
  <c r="BD87" i="681"/>
  <c r="Y87" i="681"/>
  <c r="X87" i="681"/>
  <c r="R87" i="681"/>
  <c r="Q87" i="681"/>
  <c r="A87" i="681"/>
  <c r="CE86" i="681"/>
  <c r="CC86" i="681"/>
  <c r="CA86" i="681"/>
  <c r="BZ86" i="681"/>
  <c r="BS86" i="681"/>
  <c r="CD86" i="681"/>
  <c r="BN86" i="681"/>
  <c r="CB86" i="681"/>
  <c r="BE86" i="681"/>
  <c r="BD86" i="681"/>
  <c r="Y86" i="681"/>
  <c r="X86" i="681"/>
  <c r="R86" i="681"/>
  <c r="Q86" i="681"/>
  <c r="A86" i="681"/>
  <c r="CE85" i="681"/>
  <c r="CD85" i="681"/>
  <c r="CC85" i="681"/>
  <c r="CA85" i="681"/>
  <c r="BZ85" i="681"/>
  <c r="BN85" i="681"/>
  <c r="CB85" i="681" s="1"/>
  <c r="BE85" i="681"/>
  <c r="BD85" i="681"/>
  <c r="Y85" i="681"/>
  <c r="R85" i="681"/>
  <c r="Q85" i="681"/>
  <c r="A85" i="681"/>
  <c r="CE84" i="681"/>
  <c r="CD84" i="681"/>
  <c r="CC84" i="681"/>
  <c r="CA84" i="681"/>
  <c r="BZ84" i="681"/>
  <c r="BN84" i="681"/>
  <c r="CB84" i="681"/>
  <c r="BE84" i="681"/>
  <c r="BD84" i="681"/>
  <c r="S84" i="681"/>
  <c r="Y84" i="681" s="1"/>
  <c r="R84" i="681"/>
  <c r="Q84" i="681"/>
  <c r="A84" i="681"/>
  <c r="CE83" i="681"/>
  <c r="CD83" i="681"/>
  <c r="CC83" i="681"/>
  <c r="CA83" i="681"/>
  <c r="BZ83" i="681"/>
  <c r="BN83" i="681"/>
  <c r="CB83" i="681"/>
  <c r="BE83" i="681"/>
  <c r="BD83" i="681"/>
  <c r="Y83" i="681"/>
  <c r="R83" i="681"/>
  <c r="Q83" i="681"/>
  <c r="A83" i="681"/>
  <c r="CE82" i="681"/>
  <c r="CD82" i="681"/>
  <c r="CC82" i="681"/>
  <c r="CA82" i="681"/>
  <c r="BZ82" i="681"/>
  <c r="BN82" i="681"/>
  <c r="CB82" i="681" s="1"/>
  <c r="BE82" i="681"/>
  <c r="BD82" i="681"/>
  <c r="Y82" i="681"/>
  <c r="R82" i="681"/>
  <c r="Q82" i="681"/>
  <c r="A82" i="681"/>
  <c r="CE81" i="681"/>
  <c r="CD81" i="681"/>
  <c r="CC81" i="681"/>
  <c r="CA81" i="681"/>
  <c r="BZ81" i="681"/>
  <c r="BN81" i="681"/>
  <c r="CB81" i="681"/>
  <c r="BE81" i="681"/>
  <c r="BD81" i="681"/>
  <c r="Y81" i="681"/>
  <c r="R81" i="681"/>
  <c r="Q81" i="681"/>
  <c r="A81" i="681"/>
  <c r="CE80" i="681"/>
  <c r="CD80" i="681"/>
  <c r="CC80" i="681"/>
  <c r="CA80" i="681"/>
  <c r="BZ80" i="681"/>
  <c r="BN80" i="681"/>
  <c r="CB80" i="681"/>
  <c r="BE80" i="681"/>
  <c r="BD80" i="681"/>
  <c r="Y80" i="681"/>
  <c r="R80" i="681"/>
  <c r="Q80" i="681"/>
  <c r="A80" i="681"/>
  <c r="CE79" i="681"/>
  <c r="CD79" i="681"/>
  <c r="CC79" i="681"/>
  <c r="CA79" i="681"/>
  <c r="BZ79" i="681"/>
  <c r="BN79" i="681"/>
  <c r="CB79" i="681"/>
  <c r="BE79" i="681"/>
  <c r="BD79" i="681"/>
  <c r="X79" i="681"/>
  <c r="R79" i="681"/>
  <c r="Q79" i="681"/>
  <c r="A79" i="681"/>
  <c r="CE78" i="681"/>
  <c r="CD78" i="681"/>
  <c r="CC78" i="681"/>
  <c r="CA78" i="681"/>
  <c r="BZ78" i="681"/>
  <c r="BN78" i="681"/>
  <c r="CB78" i="681" s="1"/>
  <c r="BE78" i="681"/>
  <c r="BD78" i="681"/>
  <c r="Y78" i="681"/>
  <c r="X78" i="681"/>
  <c r="R78" i="681"/>
  <c r="Q78" i="681"/>
  <c r="A78" i="681"/>
  <c r="CE77" i="681"/>
  <c r="CD77" i="681"/>
  <c r="CC77" i="681"/>
  <c r="CA77" i="681"/>
  <c r="BZ77" i="681"/>
  <c r="BN77" i="681"/>
  <c r="CB77" i="681"/>
  <c r="BE77" i="681"/>
  <c r="BD77" i="681"/>
  <c r="Y77" i="681"/>
  <c r="X77" i="681"/>
  <c r="R77" i="681"/>
  <c r="Q77" i="681"/>
  <c r="A77" i="681"/>
  <c r="CE76" i="681"/>
  <c r="CD76" i="681"/>
  <c r="CC76" i="681"/>
  <c r="CA76" i="681"/>
  <c r="BZ76" i="681"/>
  <c r="BN76" i="681"/>
  <c r="CB76" i="681"/>
  <c r="BE76" i="681"/>
  <c r="BD76" i="681"/>
  <c r="Y76" i="681"/>
  <c r="X76" i="681"/>
  <c r="R76" i="681"/>
  <c r="Q76" i="681"/>
  <c r="A76" i="681"/>
  <c r="CE75" i="681"/>
  <c r="CD75" i="681"/>
  <c r="CC75" i="681"/>
  <c r="CA75" i="681"/>
  <c r="BZ75" i="681"/>
  <c r="BN75" i="681"/>
  <c r="CB75" i="681"/>
  <c r="BE75" i="681"/>
  <c r="BD75" i="681"/>
  <c r="Y75" i="681"/>
  <c r="X75" i="681"/>
  <c r="R75" i="681"/>
  <c r="Q75" i="681"/>
  <c r="A75" i="681"/>
  <c r="CE74" i="681"/>
  <c r="CD74" i="681"/>
  <c r="CC74" i="681"/>
  <c r="CA74" i="681"/>
  <c r="BZ74" i="681"/>
  <c r="BN74" i="681"/>
  <c r="CB74" i="681"/>
  <c r="BE74" i="681"/>
  <c r="BD74" i="681"/>
  <c r="X74" i="681"/>
  <c r="R74" i="681"/>
  <c r="Q74" i="681"/>
  <c r="A74" i="681"/>
  <c r="CE73" i="681"/>
  <c r="CD73" i="681"/>
  <c r="CC73" i="681"/>
  <c r="CA73" i="681"/>
  <c r="BZ73" i="681"/>
  <c r="BN73" i="681"/>
  <c r="CB73" i="681" s="1"/>
  <c r="BE73" i="681"/>
  <c r="BD73" i="681"/>
  <c r="X73" i="681"/>
  <c r="Q73" i="681"/>
  <c r="A73" i="681"/>
  <c r="CE72" i="681"/>
  <c r="CD72" i="681"/>
  <c r="CC72" i="681"/>
  <c r="CA72" i="681"/>
  <c r="BZ72" i="681"/>
  <c r="BN72" i="681"/>
  <c r="CB72" i="681"/>
  <c r="BE72" i="681"/>
  <c r="BD72" i="681"/>
  <c r="Y72" i="681"/>
  <c r="X72" i="681"/>
  <c r="R72" i="681"/>
  <c r="Q72" i="681"/>
  <c r="A72" i="681"/>
  <c r="CE71" i="681"/>
  <c r="CD71" i="681"/>
  <c r="CC71" i="681"/>
  <c r="CA71" i="681"/>
  <c r="BZ71" i="681"/>
  <c r="BN71" i="681"/>
  <c r="CB71" i="681"/>
  <c r="BE71" i="681"/>
  <c r="BD71" i="681"/>
  <c r="Y71" i="681"/>
  <c r="X71" i="681"/>
  <c r="R71" i="681"/>
  <c r="Q71" i="681"/>
  <c r="A71" i="681"/>
  <c r="CE70" i="681"/>
  <c r="CD70" i="681"/>
  <c r="CC70" i="681"/>
  <c r="CA70" i="681"/>
  <c r="BZ70" i="681"/>
  <c r="BN70" i="681"/>
  <c r="CB70" i="681" s="1"/>
  <c r="BE70" i="681"/>
  <c r="BD70" i="681"/>
  <c r="S70" i="681"/>
  <c r="R70" i="681"/>
  <c r="Q70" i="681"/>
  <c r="A70" i="681"/>
  <c r="CE69" i="681"/>
  <c r="CD69" i="681"/>
  <c r="CC69" i="681"/>
  <c r="CA69" i="681"/>
  <c r="BZ69" i="681"/>
  <c r="BN69" i="681"/>
  <c r="CB69" i="681" s="1"/>
  <c r="CF69" i="681" s="1"/>
  <c r="BE69" i="681"/>
  <c r="BF69" i="681" s="1"/>
  <c r="CG69" i="681" s="1"/>
  <c r="CH69" i="681" s="1"/>
  <c r="BD69" i="681"/>
  <c r="Y69" i="681"/>
  <c r="X69" i="681"/>
  <c r="R69" i="681"/>
  <c r="Q69" i="681"/>
  <c r="A69" i="681"/>
  <c r="CE68" i="681"/>
  <c r="CD68" i="681"/>
  <c r="CC68" i="681"/>
  <c r="CA68" i="681"/>
  <c r="BZ68" i="681"/>
  <c r="BN68" i="681"/>
  <c r="CB68" i="681"/>
  <c r="BE68" i="681"/>
  <c r="BD68" i="681"/>
  <c r="Y68" i="681"/>
  <c r="X68" i="681"/>
  <c r="R68" i="681"/>
  <c r="Q68" i="681"/>
  <c r="A68" i="681"/>
  <c r="CE67" i="681"/>
  <c r="CD67" i="681"/>
  <c r="CC67" i="681"/>
  <c r="CA67" i="681"/>
  <c r="BZ67" i="681"/>
  <c r="BN67" i="681"/>
  <c r="CB67" i="681"/>
  <c r="BE67" i="681"/>
  <c r="BD67" i="681"/>
  <c r="Y67" i="681"/>
  <c r="X67" i="681"/>
  <c r="R67" i="681"/>
  <c r="Q67" i="681"/>
  <c r="A67" i="681"/>
  <c r="CE66" i="681"/>
  <c r="CD66" i="681"/>
  <c r="CC66" i="681"/>
  <c r="CA66" i="681"/>
  <c r="BZ66" i="681"/>
  <c r="BN66" i="681"/>
  <c r="CB66" i="681" s="1"/>
  <c r="BE66" i="681"/>
  <c r="BD66" i="681"/>
  <c r="Y66" i="681"/>
  <c r="X66" i="681"/>
  <c r="R66" i="681"/>
  <c r="Q66" i="681"/>
  <c r="A66" i="681"/>
  <c r="CE65" i="681"/>
  <c r="CD65" i="681"/>
  <c r="CC65" i="681"/>
  <c r="CA65" i="681"/>
  <c r="BZ65" i="681"/>
  <c r="BN65" i="681"/>
  <c r="CB65" i="681"/>
  <c r="BE65" i="681"/>
  <c r="BF65" i="681" s="1"/>
  <c r="CG65" i="681" s="1"/>
  <c r="CH65" i="681" s="1"/>
  <c r="BD65" i="681"/>
  <c r="Y65" i="681"/>
  <c r="X65" i="681"/>
  <c r="R65" i="681"/>
  <c r="Q65" i="681"/>
  <c r="A65" i="681"/>
  <c r="CE64" i="681"/>
  <c r="CD64" i="681"/>
  <c r="CC64" i="681"/>
  <c r="CA64" i="681"/>
  <c r="BZ64" i="681"/>
  <c r="BN64" i="681"/>
  <c r="CB64" i="681"/>
  <c r="BE64" i="681"/>
  <c r="BD64" i="681"/>
  <c r="Y64" i="681"/>
  <c r="X64" i="681"/>
  <c r="R64" i="681"/>
  <c r="Q64" i="681"/>
  <c r="A64" i="681"/>
  <c r="CE63" i="681"/>
  <c r="CD63" i="681"/>
  <c r="CC63" i="681"/>
  <c r="CA63" i="681"/>
  <c r="CF63" i="681" s="1"/>
  <c r="BZ63" i="681"/>
  <c r="BN63" i="681"/>
  <c r="CB63" i="681"/>
  <c r="BE63" i="681"/>
  <c r="BD63" i="681"/>
  <c r="S63" i="681"/>
  <c r="R63" i="681"/>
  <c r="Q63" i="681"/>
  <c r="A63" i="681"/>
  <c r="CE62" i="681"/>
  <c r="CD62" i="681"/>
  <c r="CC62" i="681"/>
  <c r="CA62" i="681"/>
  <c r="BZ62" i="681"/>
  <c r="BN62" i="681"/>
  <c r="CB62" i="681"/>
  <c r="CF62" i="681" s="1"/>
  <c r="BE62" i="681"/>
  <c r="BD62" i="681"/>
  <c r="Y62" i="681"/>
  <c r="X62" i="681"/>
  <c r="R62" i="681"/>
  <c r="Q62" i="681"/>
  <c r="A62" i="681"/>
  <c r="CE61" i="681"/>
  <c r="CD61" i="681"/>
  <c r="CC61" i="681"/>
  <c r="CA61" i="681"/>
  <c r="BZ61" i="681"/>
  <c r="BN61" i="681"/>
  <c r="CB61" i="681" s="1"/>
  <c r="BE61" i="681"/>
  <c r="BD61" i="681"/>
  <c r="Y61" i="681"/>
  <c r="X61" i="681"/>
  <c r="R61" i="681"/>
  <c r="Q61" i="681"/>
  <c r="A61" i="681"/>
  <c r="CE60" i="681"/>
  <c r="CD60" i="681"/>
  <c r="CC60" i="681"/>
  <c r="CA60" i="681"/>
  <c r="BZ60" i="681"/>
  <c r="BN60" i="681"/>
  <c r="CB60" i="681"/>
  <c r="BE60" i="681"/>
  <c r="BD60" i="681"/>
  <c r="Y60" i="681"/>
  <c r="X60" i="681"/>
  <c r="R60" i="681"/>
  <c r="Q60" i="681"/>
  <c r="A60" i="681"/>
  <c r="CE59" i="681"/>
  <c r="CD59" i="681"/>
  <c r="CC59" i="681"/>
  <c r="CA59" i="681"/>
  <c r="BZ59" i="681"/>
  <c r="BN59" i="681"/>
  <c r="CB59" i="681"/>
  <c r="BE59" i="681"/>
  <c r="BD59" i="681"/>
  <c r="Y59" i="681"/>
  <c r="X59" i="681"/>
  <c r="R59" i="681"/>
  <c r="Q59" i="681"/>
  <c r="A59" i="681"/>
  <c r="CE58" i="681"/>
  <c r="CD58" i="681"/>
  <c r="CC58" i="681"/>
  <c r="CA58" i="681"/>
  <c r="BZ58" i="681"/>
  <c r="BN58" i="681"/>
  <c r="CB58" i="681"/>
  <c r="BE58" i="681"/>
  <c r="BD58" i="681"/>
  <c r="S58" i="681"/>
  <c r="R58" i="681"/>
  <c r="Q58" i="681"/>
  <c r="A58" i="681"/>
  <c r="CE57" i="681"/>
  <c r="CD57" i="681"/>
  <c r="CC57" i="681"/>
  <c r="CA57" i="681"/>
  <c r="BZ57" i="681"/>
  <c r="BN57" i="681"/>
  <c r="CB57" i="681"/>
  <c r="BE57" i="681"/>
  <c r="BD57" i="681"/>
  <c r="S57" i="681"/>
  <c r="R57" i="681"/>
  <c r="Q57" i="681"/>
  <c r="A57" i="681"/>
  <c r="CE56" i="681"/>
  <c r="CD56" i="681"/>
  <c r="CC56" i="681"/>
  <c r="CA56" i="681"/>
  <c r="BZ56" i="681"/>
  <c r="BN56" i="681"/>
  <c r="CB56" i="681"/>
  <c r="BE56" i="681"/>
  <c r="BD56" i="681"/>
  <c r="Y56" i="681"/>
  <c r="X56" i="681"/>
  <c r="R56" i="681"/>
  <c r="Q56" i="681"/>
  <c r="A56" i="681"/>
  <c r="CE55" i="681"/>
  <c r="CD55" i="681"/>
  <c r="CC55" i="681"/>
  <c r="CA55" i="681"/>
  <c r="BZ55" i="681"/>
  <c r="BN55" i="681"/>
  <c r="CB55" i="681"/>
  <c r="BE55" i="681"/>
  <c r="BD55" i="681"/>
  <c r="Y55" i="681"/>
  <c r="X55" i="681"/>
  <c r="R55" i="681"/>
  <c r="Q55" i="681"/>
  <c r="A55" i="681"/>
  <c r="CE54" i="681"/>
  <c r="CD54" i="681"/>
  <c r="CF54" i="681" s="1"/>
  <c r="CC54" i="681"/>
  <c r="CA54" i="681"/>
  <c r="BZ54" i="681"/>
  <c r="BN54" i="681"/>
  <c r="CB54" i="681"/>
  <c r="BE54" i="681"/>
  <c r="BD54" i="681"/>
  <c r="Y54" i="681"/>
  <c r="X54" i="681"/>
  <c r="Q54" i="681"/>
  <c r="A54" i="681"/>
  <c r="CE53" i="681"/>
  <c r="CD53" i="681"/>
  <c r="CC53" i="681"/>
  <c r="CA53" i="681"/>
  <c r="BZ53" i="681"/>
  <c r="BN53" i="681"/>
  <c r="CB53" i="681" s="1"/>
  <c r="BE53" i="681"/>
  <c r="BD53" i="681"/>
  <c r="Y53" i="681"/>
  <c r="X53" i="681"/>
  <c r="R53" i="681"/>
  <c r="Q53" i="681"/>
  <c r="A53" i="681"/>
  <c r="CE52" i="681"/>
  <c r="CD52" i="681"/>
  <c r="CC52" i="681"/>
  <c r="CA52" i="681"/>
  <c r="BZ52" i="681"/>
  <c r="BN52" i="681"/>
  <c r="CB52" i="681" s="1"/>
  <c r="BE52" i="681"/>
  <c r="BD52" i="681"/>
  <c r="Y52" i="681"/>
  <c r="X52" i="681"/>
  <c r="R52" i="681"/>
  <c r="Q52" i="681"/>
  <c r="A52" i="681"/>
  <c r="CE51" i="681"/>
  <c r="CD51" i="681"/>
  <c r="CC51" i="681"/>
  <c r="CA51" i="681"/>
  <c r="BZ51" i="681"/>
  <c r="BN51" i="681"/>
  <c r="CB51" i="681" s="1"/>
  <c r="BE51" i="681"/>
  <c r="BD51" i="681"/>
  <c r="X51" i="681"/>
  <c r="R51" i="681"/>
  <c r="Q51" i="681"/>
  <c r="A51" i="681"/>
  <c r="CE50" i="681"/>
  <c r="CD50" i="681"/>
  <c r="CC50" i="681"/>
  <c r="CA50" i="681"/>
  <c r="BZ50" i="681"/>
  <c r="BN50" i="681"/>
  <c r="CB50" i="681"/>
  <c r="CF50" i="681" s="1"/>
  <c r="BE50" i="681"/>
  <c r="BD50" i="681"/>
  <c r="Y50" i="681"/>
  <c r="X50" i="681"/>
  <c r="R50" i="681"/>
  <c r="Q50" i="681"/>
  <c r="A50" i="681"/>
  <c r="CE49" i="681"/>
  <c r="CD49" i="681"/>
  <c r="CC49" i="681"/>
  <c r="CA49" i="681"/>
  <c r="BZ49" i="681"/>
  <c r="BN49" i="681"/>
  <c r="CB49" i="681" s="1"/>
  <c r="BE49" i="681"/>
  <c r="BD49" i="681"/>
  <c r="Y49" i="681"/>
  <c r="X49" i="681"/>
  <c r="R49" i="681"/>
  <c r="Q49" i="681"/>
  <c r="A49" i="681"/>
  <c r="CE48" i="681"/>
  <c r="CD48" i="681"/>
  <c r="CC48" i="681"/>
  <c r="CA48" i="681"/>
  <c r="BZ48" i="681"/>
  <c r="BN48" i="681"/>
  <c r="CB48" i="681"/>
  <c r="BE48" i="681"/>
  <c r="BD48" i="681"/>
  <c r="Y48" i="681"/>
  <c r="X48" i="681"/>
  <c r="R48" i="681"/>
  <c r="Q48" i="681"/>
  <c r="A48" i="681"/>
  <c r="CE47" i="681"/>
  <c r="CD47" i="681"/>
  <c r="CC47" i="681"/>
  <c r="CA47" i="681"/>
  <c r="BZ47" i="681"/>
  <c r="BN47" i="681"/>
  <c r="CB47" i="681" s="1"/>
  <c r="BE47" i="681"/>
  <c r="BD47" i="681"/>
  <c r="Y47" i="681"/>
  <c r="X47" i="681"/>
  <c r="R47" i="681"/>
  <c r="Q47" i="681"/>
  <c r="A47" i="681"/>
  <c r="CE46" i="681"/>
  <c r="CD46" i="681"/>
  <c r="CC46" i="681"/>
  <c r="CA46" i="681"/>
  <c r="BZ46" i="681"/>
  <c r="BN46" i="681"/>
  <c r="CB46" i="681" s="1"/>
  <c r="BE46" i="681"/>
  <c r="BD46" i="681"/>
  <c r="Y46" i="681"/>
  <c r="X46" i="681"/>
  <c r="R46" i="681"/>
  <c r="Q46" i="681"/>
  <c r="A46" i="681"/>
  <c r="CE45" i="681"/>
  <c r="CD45" i="681"/>
  <c r="CC45" i="681"/>
  <c r="CA45" i="681"/>
  <c r="BZ45" i="681"/>
  <c r="BN45" i="681"/>
  <c r="CB45" i="681" s="1"/>
  <c r="BE45" i="681"/>
  <c r="BD45" i="681"/>
  <c r="X45" i="681"/>
  <c r="R45" i="681"/>
  <c r="Q45" i="681"/>
  <c r="A45" i="681"/>
  <c r="CE44" i="681"/>
  <c r="CD44" i="681"/>
  <c r="CC44" i="681"/>
  <c r="CA44" i="681"/>
  <c r="BZ44" i="681"/>
  <c r="BN44" i="681"/>
  <c r="CB44" i="681" s="1"/>
  <c r="CF44" i="681" s="1"/>
  <c r="CH44" i="681" s="1"/>
  <c r="BE44" i="681"/>
  <c r="BD44" i="681"/>
  <c r="X44" i="681"/>
  <c r="R44" i="681"/>
  <c r="Q44" i="681"/>
  <c r="A44" i="681"/>
  <c r="CE43" i="681"/>
  <c r="CD43" i="681"/>
  <c r="CC43" i="681"/>
  <c r="CA43" i="681"/>
  <c r="CF43" i="681" s="1"/>
  <c r="CH43" i="681" s="1"/>
  <c r="BZ43" i="681"/>
  <c r="BN43" i="681"/>
  <c r="CB43" i="681"/>
  <c r="BE43" i="681"/>
  <c r="BD43" i="681"/>
  <c r="X43" i="681"/>
  <c r="R43" i="681"/>
  <c r="Q43" i="681"/>
  <c r="A43" i="681"/>
  <c r="CE42" i="681"/>
  <c r="CD42" i="681"/>
  <c r="CC42" i="681"/>
  <c r="CA42" i="681"/>
  <c r="BZ42" i="681"/>
  <c r="BN42" i="681"/>
  <c r="CB42" i="681"/>
  <c r="BE42" i="681"/>
  <c r="BD42" i="681"/>
  <c r="Y42" i="681"/>
  <c r="X42" i="681"/>
  <c r="R42" i="681"/>
  <c r="Q42" i="681"/>
  <c r="A42" i="681"/>
  <c r="CE41" i="681"/>
  <c r="CD41" i="681"/>
  <c r="CC41" i="681"/>
  <c r="CA41" i="681"/>
  <c r="BZ41" i="681"/>
  <c r="BN41" i="681"/>
  <c r="CB41" i="681" s="1"/>
  <c r="BE41" i="681"/>
  <c r="BD41" i="681"/>
  <c r="Y41" i="681"/>
  <c r="X41" i="681"/>
  <c r="R41" i="681"/>
  <c r="Q41" i="681"/>
  <c r="A41" i="681"/>
  <c r="CE40" i="681"/>
  <c r="CD40" i="681"/>
  <c r="CC40" i="681"/>
  <c r="CF40" i="681" s="1"/>
  <c r="CA40" i="681"/>
  <c r="BZ40" i="681"/>
  <c r="BN40" i="681"/>
  <c r="CB40" i="681" s="1"/>
  <c r="BE40" i="681"/>
  <c r="BD40" i="681"/>
  <c r="Y40" i="681"/>
  <c r="X40" i="681"/>
  <c r="R40" i="681"/>
  <c r="Q40" i="681"/>
  <c r="A40" i="681"/>
  <c r="CE39" i="681"/>
  <c r="CD39" i="681"/>
  <c r="CC39" i="681"/>
  <c r="CA39" i="681"/>
  <c r="BZ39" i="681"/>
  <c r="BN39" i="681"/>
  <c r="CB39" i="681" s="1"/>
  <c r="BE39" i="681"/>
  <c r="BD39" i="681"/>
  <c r="Y39" i="681"/>
  <c r="X39" i="681"/>
  <c r="R39" i="681"/>
  <c r="Q39" i="681"/>
  <c r="A39" i="681"/>
  <c r="CE38" i="681"/>
  <c r="CD38" i="681"/>
  <c r="CC38" i="681"/>
  <c r="CA38" i="681"/>
  <c r="BZ38" i="681"/>
  <c r="BN38" i="681"/>
  <c r="CB38" i="681" s="1"/>
  <c r="CF38" i="681" s="1"/>
  <c r="BE38" i="681"/>
  <c r="BD38" i="681"/>
  <c r="Y38" i="681"/>
  <c r="X38" i="681"/>
  <c r="R38" i="681"/>
  <c r="Q38" i="681"/>
  <c r="A38" i="681"/>
  <c r="CE37" i="681"/>
  <c r="CD37" i="681"/>
  <c r="CC37" i="681"/>
  <c r="CF37" i="681" s="1"/>
  <c r="CH37" i="681" s="1"/>
  <c r="CA37" i="681"/>
  <c r="BZ37" i="681"/>
  <c r="BN37" i="681"/>
  <c r="CB37" i="681" s="1"/>
  <c r="BE37" i="681"/>
  <c r="BD37" i="681"/>
  <c r="Y37" i="681"/>
  <c r="X37" i="681"/>
  <c r="R37" i="681"/>
  <c r="Q37" i="681"/>
  <c r="A37" i="681"/>
  <c r="CE36" i="681"/>
  <c r="CD36" i="681"/>
  <c r="CC36" i="681"/>
  <c r="CA36" i="681"/>
  <c r="BZ36" i="681"/>
  <c r="BN36" i="681"/>
  <c r="CB36" i="681"/>
  <c r="BE36" i="681"/>
  <c r="BD36" i="681"/>
  <c r="Y36" i="681"/>
  <c r="X36" i="681"/>
  <c r="R36" i="681"/>
  <c r="Q36" i="681"/>
  <c r="A36" i="681"/>
  <c r="CE35" i="681"/>
  <c r="CD35" i="681"/>
  <c r="CC35" i="681"/>
  <c r="CA35" i="681"/>
  <c r="BZ35" i="681"/>
  <c r="BN35" i="681"/>
  <c r="CB35" i="681" s="1"/>
  <c r="BE35" i="681"/>
  <c r="BD35" i="681"/>
  <c r="S35" i="681"/>
  <c r="R35" i="681"/>
  <c r="Q35" i="681"/>
  <c r="A35" i="681"/>
  <c r="CE34" i="681"/>
  <c r="CD34" i="681"/>
  <c r="CC34" i="681"/>
  <c r="CA34" i="681"/>
  <c r="BZ34" i="681"/>
  <c r="BN34" i="681"/>
  <c r="CB34" i="681"/>
  <c r="BE34" i="681"/>
  <c r="BD34" i="681"/>
  <c r="X34" i="681"/>
  <c r="R34" i="681"/>
  <c r="Q34" i="681"/>
  <c r="A34" i="681"/>
  <c r="CE33" i="681"/>
  <c r="CD33" i="681"/>
  <c r="CC33" i="681"/>
  <c r="CA33" i="681"/>
  <c r="BZ33" i="681"/>
  <c r="BN33" i="681"/>
  <c r="CB33" i="681"/>
  <c r="BE33" i="681"/>
  <c r="BD33" i="681"/>
  <c r="X33" i="681"/>
  <c r="R33" i="681"/>
  <c r="Q33" i="681"/>
  <c r="A33" i="681"/>
  <c r="CE32" i="681"/>
  <c r="CD32" i="681"/>
  <c r="CC32" i="681"/>
  <c r="CA32" i="681"/>
  <c r="BZ32" i="681"/>
  <c r="BN32" i="681"/>
  <c r="CB32" i="681"/>
  <c r="BE32" i="681"/>
  <c r="BD32" i="681"/>
  <c r="S32" i="681"/>
  <c r="X32" i="681" s="1"/>
  <c r="R32" i="681"/>
  <c r="Q32" i="681"/>
  <c r="A32" i="681"/>
  <c r="CE31" i="681"/>
  <c r="CD31" i="681"/>
  <c r="CC31" i="681"/>
  <c r="CA31" i="681"/>
  <c r="BZ31" i="681"/>
  <c r="BN31" i="681"/>
  <c r="CB31" i="681" s="1"/>
  <c r="BE31" i="681"/>
  <c r="BD31" i="681"/>
  <c r="Y31" i="681"/>
  <c r="X31" i="681"/>
  <c r="R31" i="681"/>
  <c r="Q31" i="681"/>
  <c r="A31" i="681"/>
  <c r="CE30" i="681"/>
  <c r="CD30" i="681"/>
  <c r="CC30" i="681"/>
  <c r="CA30" i="681"/>
  <c r="BZ30" i="681"/>
  <c r="BN30" i="681"/>
  <c r="CB30" i="681"/>
  <c r="BE30" i="681"/>
  <c r="BD30" i="681"/>
  <c r="Y30" i="681"/>
  <c r="X30" i="681"/>
  <c r="R30" i="681"/>
  <c r="Q30" i="681"/>
  <c r="A30" i="681"/>
  <c r="CE29" i="681"/>
  <c r="CD29" i="681"/>
  <c r="CC29" i="681"/>
  <c r="CA29" i="681"/>
  <c r="BZ29" i="681"/>
  <c r="BN29" i="681"/>
  <c r="CB29" i="681"/>
  <c r="BE29" i="681"/>
  <c r="BD29" i="681"/>
  <c r="Y29" i="681"/>
  <c r="X29" i="681"/>
  <c r="R29" i="681"/>
  <c r="Q29" i="681"/>
  <c r="A29" i="681"/>
  <c r="CE28" i="681"/>
  <c r="CD28" i="681"/>
  <c r="CC28" i="681"/>
  <c r="CA28" i="681"/>
  <c r="BZ28" i="681"/>
  <c r="BN28" i="681"/>
  <c r="CB28" i="681" s="1"/>
  <c r="BE28" i="681"/>
  <c r="BD28" i="681"/>
  <c r="Y28" i="681"/>
  <c r="X28" i="681"/>
  <c r="R28" i="681"/>
  <c r="Q28" i="681"/>
  <c r="A28" i="681"/>
  <c r="CE27" i="681"/>
  <c r="CD27" i="681"/>
  <c r="CC27" i="681"/>
  <c r="CA27" i="681"/>
  <c r="BZ27" i="681"/>
  <c r="BN27" i="681"/>
  <c r="CB27" i="681"/>
  <c r="BE27" i="681"/>
  <c r="BD27" i="681"/>
  <c r="Y27" i="681"/>
  <c r="X27" i="681"/>
  <c r="R27" i="681"/>
  <c r="Q27" i="681"/>
  <c r="A27" i="681"/>
  <c r="CE26" i="681"/>
  <c r="CD26" i="681"/>
  <c r="CC26" i="681"/>
  <c r="CA26" i="681"/>
  <c r="BZ26" i="681"/>
  <c r="BN26" i="681"/>
  <c r="CB26" i="681" s="1"/>
  <c r="BE26" i="681"/>
  <c r="BD26" i="681"/>
  <c r="Y26" i="681"/>
  <c r="R26" i="681"/>
  <c r="Q26" i="681"/>
  <c r="A26" i="681"/>
  <c r="CE25" i="681"/>
  <c r="CD25" i="681"/>
  <c r="CC25" i="681"/>
  <c r="CA25" i="681"/>
  <c r="BZ25" i="681"/>
  <c r="BN25" i="681"/>
  <c r="CB25" i="681" s="1"/>
  <c r="BE25" i="681"/>
  <c r="BD25" i="681"/>
  <c r="Y25" i="681"/>
  <c r="R25" i="681"/>
  <c r="Q25" i="681"/>
  <c r="A25" i="681"/>
  <c r="CE24" i="681"/>
  <c r="CD24" i="681"/>
  <c r="CC24" i="681"/>
  <c r="CA24" i="681"/>
  <c r="BZ24" i="681"/>
  <c r="BN24" i="681"/>
  <c r="CB24" i="681"/>
  <c r="BE24" i="681"/>
  <c r="BD24" i="681"/>
  <c r="Y24" i="681"/>
  <c r="R24" i="681"/>
  <c r="Q24" i="681"/>
  <c r="A24" i="681"/>
  <c r="CE23" i="681"/>
  <c r="CD23" i="681"/>
  <c r="CC23" i="681"/>
  <c r="CA23" i="681"/>
  <c r="BZ23" i="681"/>
  <c r="BN23" i="681"/>
  <c r="CB23" i="681" s="1"/>
  <c r="CF23" i="681" s="1"/>
  <c r="BE23" i="681"/>
  <c r="BD23" i="681"/>
  <c r="Y23" i="681"/>
  <c r="Q23" i="681"/>
  <c r="A23" i="681"/>
  <c r="CE22" i="681"/>
  <c r="CD22" i="681"/>
  <c r="CC22" i="681"/>
  <c r="CA22" i="681"/>
  <c r="BZ22" i="681"/>
  <c r="BN22" i="681"/>
  <c r="CB22" i="681" s="1"/>
  <c r="BE22" i="681"/>
  <c r="BD22" i="681"/>
  <c r="Y22" i="681"/>
  <c r="R22" i="681"/>
  <c r="Q22" i="681"/>
  <c r="A22" i="681"/>
  <c r="CE21" i="681"/>
  <c r="CD21" i="681"/>
  <c r="CC21" i="681"/>
  <c r="CA21" i="681"/>
  <c r="BZ21" i="681"/>
  <c r="BN21" i="681"/>
  <c r="CB21" i="681" s="1"/>
  <c r="BE21" i="681"/>
  <c r="BD21" i="681"/>
  <c r="Y21" i="681"/>
  <c r="R21" i="681"/>
  <c r="Q21" i="681"/>
  <c r="A21" i="681"/>
  <c r="CE20" i="681"/>
  <c r="CD20" i="681"/>
  <c r="CC20" i="681"/>
  <c r="CA20" i="681"/>
  <c r="BZ20" i="681"/>
  <c r="BN20" i="681"/>
  <c r="CB20" i="681" s="1"/>
  <c r="BE20" i="681"/>
  <c r="BD20" i="681"/>
  <c r="Y20" i="681"/>
  <c r="R20" i="681"/>
  <c r="Q20" i="681"/>
  <c r="A20" i="681"/>
  <c r="CE19" i="681"/>
  <c r="CD19" i="681"/>
  <c r="CC19" i="681"/>
  <c r="CA19" i="681"/>
  <c r="BZ19" i="681"/>
  <c r="BN19" i="681"/>
  <c r="CB19" i="681" s="1"/>
  <c r="BE19" i="681"/>
  <c r="BD19" i="681"/>
  <c r="Y19" i="681"/>
  <c r="R19" i="681"/>
  <c r="Q19" i="681"/>
  <c r="A19" i="681"/>
  <c r="CE18" i="681"/>
  <c r="CD18" i="681"/>
  <c r="CC18" i="681"/>
  <c r="CA18" i="681"/>
  <c r="BZ18" i="681"/>
  <c r="BN18" i="681"/>
  <c r="CB18" i="681"/>
  <c r="BE18" i="681"/>
  <c r="BD18" i="681"/>
  <c r="Y18" i="681"/>
  <c r="R18" i="681"/>
  <c r="Q18" i="681"/>
  <c r="A18" i="681"/>
  <c r="CE17" i="681"/>
  <c r="CD17" i="681"/>
  <c r="CC17" i="681"/>
  <c r="CA17" i="681"/>
  <c r="BZ17" i="681"/>
  <c r="BN17" i="681"/>
  <c r="CB17" i="681"/>
  <c r="BE17" i="681"/>
  <c r="BD17" i="681"/>
  <c r="Y17" i="681"/>
  <c r="R17" i="681"/>
  <c r="Q17" i="681"/>
  <c r="A17" i="681"/>
  <c r="CE16" i="681"/>
  <c r="CD16" i="681"/>
  <c r="CC16" i="681"/>
  <c r="CA16" i="681"/>
  <c r="BZ16" i="681"/>
  <c r="BN16" i="681"/>
  <c r="CB16" i="681" s="1"/>
  <c r="BE16" i="681"/>
  <c r="BD16" i="681"/>
  <c r="X16" i="681"/>
  <c r="Q16" i="681"/>
  <c r="A16" i="681"/>
  <c r="CE15" i="681"/>
  <c r="CD15" i="681"/>
  <c r="CC15" i="681"/>
  <c r="CA15" i="681"/>
  <c r="BZ15" i="681"/>
  <c r="BN15" i="681"/>
  <c r="CB15" i="681" s="1"/>
  <c r="BE15" i="681"/>
  <c r="BD15" i="681"/>
  <c r="X15" i="681"/>
  <c r="R15" i="681"/>
  <c r="Q15" i="681"/>
  <c r="A15" i="681"/>
  <c r="CE14" i="681"/>
  <c r="CD14" i="681"/>
  <c r="CC14" i="681"/>
  <c r="CA14" i="681"/>
  <c r="BZ14" i="681"/>
  <c r="BN14" i="681"/>
  <c r="CB14" i="681"/>
  <c r="BE14" i="681"/>
  <c r="BD14" i="681"/>
  <c r="S14" i="681"/>
  <c r="R14" i="681"/>
  <c r="Q14" i="681"/>
  <c r="A14" i="681"/>
  <c r="CE13" i="681"/>
  <c r="CD13" i="681"/>
  <c r="CC13" i="681"/>
  <c r="CA13" i="681"/>
  <c r="BZ13" i="681"/>
  <c r="BN13" i="681"/>
  <c r="CB13" i="681" s="1"/>
  <c r="BE13" i="681"/>
  <c r="BD13" i="681"/>
  <c r="Y13" i="681"/>
  <c r="R13" i="681"/>
  <c r="Q13" i="681"/>
  <c r="A13" i="681"/>
  <c r="CE12" i="681"/>
  <c r="CD12" i="681"/>
  <c r="CC12" i="681"/>
  <c r="CB12" i="681"/>
  <c r="CA12" i="681"/>
  <c r="BZ12" i="681"/>
  <c r="BE12" i="681"/>
  <c r="BD12" i="681"/>
  <c r="R12" i="681"/>
  <c r="Q12" i="681"/>
  <c r="CE11" i="681"/>
  <c r="CD11" i="681"/>
  <c r="CC11" i="681"/>
  <c r="CA11" i="681"/>
  <c r="BZ11" i="681"/>
  <c r="BN11" i="681"/>
  <c r="CB11" i="681"/>
  <c r="BE11" i="681"/>
  <c r="BD11" i="681"/>
  <c r="AO11" i="681"/>
  <c r="R11" i="681"/>
  <c r="Q11" i="681"/>
  <c r="A11" i="681"/>
  <c r="CE10" i="681"/>
  <c r="CD10" i="681"/>
  <c r="CC10" i="681"/>
  <c r="CA10" i="681"/>
  <c r="BZ10" i="681"/>
  <c r="BN10" i="681"/>
  <c r="CB10" i="681"/>
  <c r="BE10" i="681"/>
  <c r="BD10" i="681"/>
  <c r="AO10" i="681"/>
  <c r="R10" i="681"/>
  <c r="Q10" i="681"/>
  <c r="A10" i="681"/>
  <c r="CE9" i="681"/>
  <c r="CD9" i="681"/>
  <c r="CC9" i="681"/>
  <c r="CA9" i="681"/>
  <c r="BZ9" i="681"/>
  <c r="BN9" i="681"/>
  <c r="CB9" i="681"/>
  <c r="BE9" i="681"/>
  <c r="BD9" i="681"/>
  <c r="AO9" i="681"/>
  <c r="R9" i="681"/>
  <c r="Q9" i="681"/>
  <c r="A9" i="681"/>
  <c r="CE8" i="681"/>
  <c r="CD8" i="681"/>
  <c r="CC8" i="681"/>
  <c r="CA8" i="681"/>
  <c r="BZ8" i="681"/>
  <c r="BN8" i="681"/>
  <c r="CB8" i="681"/>
  <c r="BE8" i="681"/>
  <c r="BF8" i="681" s="1"/>
  <c r="BD8" i="681"/>
  <c r="AO8" i="681"/>
  <c r="R8" i="681"/>
  <c r="Q8" i="681"/>
  <c r="A8" i="681"/>
  <c r="CE7" i="681"/>
  <c r="CD7" i="681"/>
  <c r="CC7" i="681"/>
  <c r="CA7" i="681"/>
  <c r="BZ7" i="681"/>
  <c r="BN7" i="681"/>
  <c r="CB7" i="681"/>
  <c r="BE7" i="681"/>
  <c r="BD7" i="681"/>
  <c r="AO7" i="681"/>
  <c r="R7" i="681"/>
  <c r="Q7" i="681"/>
  <c r="A7" i="681"/>
  <c r="CE6" i="681"/>
  <c r="CD6" i="681"/>
  <c r="CF6" i="681" s="1"/>
  <c r="CC6" i="681"/>
  <c r="CB6" i="681"/>
  <c r="CA6" i="681"/>
  <c r="BZ6" i="681"/>
  <c r="BE6" i="681"/>
  <c r="BD6" i="681"/>
  <c r="AN6" i="681"/>
  <c r="A6" i="681"/>
  <c r="CE5" i="681"/>
  <c r="CD5" i="681"/>
  <c r="CC5" i="681"/>
  <c r="CB5" i="681"/>
  <c r="CA5" i="681"/>
  <c r="BZ5" i="681"/>
  <c r="BE5" i="681"/>
  <c r="BD5" i="681"/>
  <c r="AN5" i="681"/>
  <c r="A5" i="681"/>
  <c r="CE4" i="681"/>
  <c r="CF4" i="681" s="1"/>
  <c r="CD4" i="681"/>
  <c r="CC4" i="681"/>
  <c r="CB4" i="681"/>
  <c r="CA4" i="681"/>
  <c r="BZ4" i="681"/>
  <c r="BE4" i="681"/>
  <c r="BD4" i="681"/>
  <c r="AN4" i="681"/>
  <c r="AN199" i="681" s="1"/>
  <c r="A4" i="681"/>
  <c r="Q290" i="397"/>
  <c r="AF249" i="202"/>
  <c r="K486" i="8"/>
  <c r="J486" i="8"/>
  <c r="BC165" i="397"/>
  <c r="CC165" i="397"/>
  <c r="CB165" i="397"/>
  <c r="CA165" i="397"/>
  <c r="BZ165" i="397"/>
  <c r="BD165" i="397"/>
  <c r="A165" i="397"/>
  <c r="CA33" i="397"/>
  <c r="BZ33" i="397"/>
  <c r="BN33" i="397"/>
  <c r="CB33" i="397" s="1"/>
  <c r="BD33" i="397"/>
  <c r="Y33" i="397"/>
  <c r="X33" i="397"/>
  <c r="R33" i="397"/>
  <c r="Q33" i="397"/>
  <c r="A33" i="397"/>
  <c r="Y36" i="397"/>
  <c r="X36" i="397"/>
  <c r="Z97" i="397"/>
  <c r="BE108" i="397"/>
  <c r="BD140" i="397"/>
  <c r="CE108" i="397"/>
  <c r="CD108" i="397"/>
  <c r="CC108" i="397"/>
  <c r="CA108" i="397"/>
  <c r="BZ108" i="397"/>
  <c r="BN108" i="397"/>
  <c r="CB108" i="397"/>
  <c r="BD108" i="397"/>
  <c r="AU108" i="397"/>
  <c r="R108" i="397"/>
  <c r="Q108" i="397"/>
  <c r="A108" i="397"/>
  <c r="BZ98" i="397"/>
  <c r="R98" i="397"/>
  <c r="Q98" i="397"/>
  <c r="BZ47" i="397"/>
  <c r="R47" i="397"/>
  <c r="Q47" i="397"/>
  <c r="BZ44" i="397"/>
  <c r="R44" i="397"/>
  <c r="Q44" i="397"/>
  <c r="BI236" i="397"/>
  <c r="BZ236" i="397"/>
  <c r="BN74" i="397"/>
  <c r="CB74" i="397"/>
  <c r="CA74" i="397"/>
  <c r="BZ74" i="397"/>
  <c r="AZ74" i="397"/>
  <c r="R74" i="397"/>
  <c r="Q74" i="397"/>
  <c r="A74" i="397"/>
  <c r="X38" i="397"/>
  <c r="X37" i="397"/>
  <c r="Y42" i="397"/>
  <c r="X46" i="397"/>
  <c r="A6" i="397"/>
  <c r="H257" i="669"/>
  <c r="H259" i="669" s="1"/>
  <c r="H263" i="669"/>
  <c r="H264" i="669" s="1"/>
  <c r="N233" i="669"/>
  <c r="N234" i="669"/>
  <c r="N235" i="669"/>
  <c r="N236" i="669"/>
  <c r="N237" i="669"/>
  <c r="N238" i="669"/>
  <c r="N239" i="669"/>
  <c r="N240" i="669"/>
  <c r="N241" i="669"/>
  <c r="N242" i="669"/>
  <c r="N243" i="669"/>
  <c r="N244" i="669"/>
  <c r="N245" i="669"/>
  <c r="N246" i="669"/>
  <c r="N247" i="669"/>
  <c r="N248" i="669"/>
  <c r="N249" i="669"/>
  <c r="N250" i="669"/>
  <c r="N251" i="669"/>
  <c r="N252" i="669"/>
  <c r="N253" i="669"/>
  <c r="N254" i="669"/>
  <c r="N255" i="669"/>
  <c r="N256" i="669"/>
  <c r="N257" i="669"/>
  <c r="N258" i="669"/>
  <c r="N259" i="669"/>
  <c r="N260" i="669"/>
  <c r="N261" i="669"/>
  <c r="N232" i="669"/>
  <c r="AV240" i="669"/>
  <c r="H241" i="669"/>
  <c r="Y242" i="669"/>
  <c r="Z242" i="669"/>
  <c r="Y245" i="669"/>
  <c r="Z245" i="669"/>
  <c r="Y248" i="669"/>
  <c r="Z248" i="669"/>
  <c r="Z261" i="669" s="1"/>
  <c r="Y251" i="669"/>
  <c r="Z251" i="669"/>
  <c r="Y254" i="669"/>
  <c r="Z254" i="669"/>
  <c r="H255" i="669"/>
  <c r="Y257" i="669"/>
  <c r="Z257" i="669"/>
  <c r="H258" i="669"/>
  <c r="U261" i="669"/>
  <c r="V261" i="669"/>
  <c r="W261" i="669"/>
  <c r="X261" i="669"/>
  <c r="AA261" i="669"/>
  <c r="AC261" i="669"/>
  <c r="AD261" i="669"/>
  <c r="AE261" i="669"/>
  <c r="AF261" i="669"/>
  <c r="AG261" i="669"/>
  <c r="AH261" i="669"/>
  <c r="AI261" i="669"/>
  <c r="AJ261" i="669"/>
  <c r="AK261" i="669"/>
  <c r="AL261" i="669"/>
  <c r="AM261" i="669"/>
  <c r="AN261" i="669"/>
  <c r="AO261" i="669"/>
  <c r="AP261" i="669"/>
  <c r="AQ261" i="669"/>
  <c r="AR261" i="669"/>
  <c r="AS261" i="669"/>
  <c r="AT261" i="669"/>
  <c r="AU261" i="669"/>
  <c r="AV261" i="669"/>
  <c r="AW261" i="669"/>
  <c r="AX261" i="669"/>
  <c r="AY261" i="669"/>
  <c r="AZ261" i="669"/>
  <c r="BA261" i="669"/>
  <c r="BB261" i="669"/>
  <c r="BC261" i="669"/>
  <c r="BD261" i="669"/>
  <c r="H262" i="669"/>
  <c r="L225" i="669"/>
  <c r="AB232" i="669"/>
  <c r="AB261" i="669"/>
  <c r="H233" i="669"/>
  <c r="H260" i="669" s="1"/>
  <c r="Y234" i="669"/>
  <c r="Z234" i="669"/>
  <c r="Y236" i="669"/>
  <c r="Z236" i="669"/>
  <c r="T238" i="669"/>
  <c r="T261" i="669"/>
  <c r="BZ346" i="397"/>
  <c r="R169" i="397"/>
  <c r="Q169" i="397"/>
  <c r="X40" i="397"/>
  <c r="AZ73" i="397"/>
  <c r="R73" i="397"/>
  <c r="Q73" i="397"/>
  <c r="BZ38" i="397"/>
  <c r="R38" i="397"/>
  <c r="Q38" i="397"/>
  <c r="BZ37" i="397"/>
  <c r="R37" i="397"/>
  <c r="Q37" i="397"/>
  <c r="BZ36" i="397"/>
  <c r="Q36" i="397"/>
  <c r="Y35" i="397"/>
  <c r="X35" i="397"/>
  <c r="U136" i="397"/>
  <c r="U135" i="397"/>
  <c r="V135" i="397"/>
  <c r="R336" i="397"/>
  <c r="Q336" i="397"/>
  <c r="X45" i="397"/>
  <c r="X41" i="397"/>
  <c r="N205" i="669"/>
  <c r="N206" i="669"/>
  <c r="N208" i="669"/>
  <c r="N210" i="669"/>
  <c r="N211" i="669"/>
  <c r="N212" i="669"/>
  <c r="N213" i="669"/>
  <c r="N214" i="669"/>
  <c r="N215" i="669"/>
  <c r="N216" i="669"/>
  <c r="H219" i="669"/>
  <c r="H214" i="669"/>
  <c r="H217" i="669"/>
  <c r="BD216" i="669"/>
  <c r="BC216" i="669"/>
  <c r="BB216" i="669"/>
  <c r="BA216" i="669"/>
  <c r="AZ216" i="669"/>
  <c r="AX216" i="669"/>
  <c r="AW216" i="669"/>
  <c r="AV216" i="669"/>
  <c r="AU216" i="669"/>
  <c r="AT216" i="669"/>
  <c r="AS216" i="669"/>
  <c r="AR216" i="669"/>
  <c r="AQ216" i="669"/>
  <c r="AP216" i="669"/>
  <c r="AO216" i="669"/>
  <c r="AN216" i="669"/>
  <c r="AM216" i="669"/>
  <c r="AL216" i="669"/>
  <c r="AK216" i="669"/>
  <c r="AJ216" i="669"/>
  <c r="AI216" i="669"/>
  <c r="AH216" i="669"/>
  <c r="AG216" i="669"/>
  <c r="AF216" i="669"/>
  <c r="AE216" i="669"/>
  <c r="AD216" i="669"/>
  <c r="AC216" i="669"/>
  <c r="AA216" i="669"/>
  <c r="Y216" i="669"/>
  <c r="X216" i="669"/>
  <c r="W216" i="669"/>
  <c r="V216" i="669"/>
  <c r="U216" i="669"/>
  <c r="T216" i="669"/>
  <c r="Z214" i="669"/>
  <c r="H212" i="669"/>
  <c r="H213" i="669" s="1"/>
  <c r="Z211" i="669"/>
  <c r="Z216" i="669" s="1"/>
  <c r="Z210" i="669"/>
  <c r="Z208" i="669"/>
  <c r="J207" i="669"/>
  <c r="N207" i="669"/>
  <c r="Z206" i="669"/>
  <c r="X34" i="397"/>
  <c r="BZ41" i="397"/>
  <c r="R41" i="397"/>
  <c r="Q41" i="397"/>
  <c r="S114" i="397"/>
  <c r="BZ42" i="397"/>
  <c r="R42" i="397"/>
  <c r="Q42" i="397"/>
  <c r="BZ97" i="397"/>
  <c r="R97" i="397"/>
  <c r="Q97" i="397"/>
  <c r="BZ35" i="397"/>
  <c r="R35" i="397"/>
  <c r="Q35" i="397"/>
  <c r="BZ136" i="397"/>
  <c r="Q136" i="397"/>
  <c r="BZ71" i="397"/>
  <c r="AA71" i="397"/>
  <c r="AA150" i="397" s="1"/>
  <c r="R71" i="397"/>
  <c r="Q71" i="397"/>
  <c r="BZ39" i="397"/>
  <c r="X39" i="397"/>
  <c r="R39" i="397"/>
  <c r="Q39" i="397"/>
  <c r="BZ46" i="397"/>
  <c r="R46" i="397"/>
  <c r="Q46" i="397"/>
  <c r="BZ51" i="397"/>
  <c r="R51" i="397"/>
  <c r="Q51" i="397"/>
  <c r="CC103" i="397"/>
  <c r="CB103" i="397"/>
  <c r="CA103" i="397"/>
  <c r="BZ103" i="397"/>
  <c r="BD103" i="397"/>
  <c r="AT103" i="397"/>
  <c r="A103" i="397"/>
  <c r="V134" i="397"/>
  <c r="U134" i="397"/>
  <c r="V133" i="397"/>
  <c r="U133" i="397"/>
  <c r="V132" i="397"/>
  <c r="U132" i="397"/>
  <c r="N14" i="684"/>
  <c r="N18" i="682"/>
  <c r="Q45" i="397"/>
  <c r="R45" i="397"/>
  <c r="BZ45" i="397"/>
  <c r="CC45" i="397"/>
  <c r="Q40" i="397"/>
  <c r="R40" i="397"/>
  <c r="BZ40" i="397"/>
  <c r="CC40" i="397"/>
  <c r="Z96" i="397"/>
  <c r="A104" i="397"/>
  <c r="A26" i="397"/>
  <c r="A28" i="397"/>
  <c r="BZ348" i="397"/>
  <c r="CC348" i="397"/>
  <c r="CD348" i="397"/>
  <c r="CE348" i="397"/>
  <c r="BB6" i="397"/>
  <c r="Q6" i="397"/>
  <c r="R6" i="397"/>
  <c r="H192" i="669"/>
  <c r="H187" i="669"/>
  <c r="R399" i="397"/>
  <c r="N176" i="669"/>
  <c r="N177" i="669"/>
  <c r="N178" i="669"/>
  <c r="N179" i="669"/>
  <c r="N180" i="669"/>
  <c r="N181" i="669"/>
  <c r="N182" i="669"/>
  <c r="N183" i="669"/>
  <c r="N184" i="669"/>
  <c r="N185" i="669"/>
  <c r="N186" i="669"/>
  <c r="N187" i="669"/>
  <c r="N188" i="669"/>
  <c r="N189" i="669"/>
  <c r="N175" i="669"/>
  <c r="H190" i="669"/>
  <c r="BD189" i="669"/>
  <c r="BC189" i="669"/>
  <c r="BB189" i="669"/>
  <c r="BA189" i="669"/>
  <c r="AZ189" i="669"/>
  <c r="AY189" i="669"/>
  <c r="AX189" i="669"/>
  <c r="AW189" i="669"/>
  <c r="AU189" i="669"/>
  <c r="AT189" i="669"/>
  <c r="AS189" i="669"/>
  <c r="AR189" i="669"/>
  <c r="AQ189" i="669"/>
  <c r="AP189" i="669"/>
  <c r="AO189" i="669"/>
  <c r="AN189" i="669"/>
  <c r="AM189" i="669"/>
  <c r="AL189" i="669"/>
  <c r="AK189" i="669"/>
  <c r="AJ189" i="669"/>
  <c r="AI189" i="669"/>
  <c r="AH189" i="669"/>
  <c r="AG189" i="669"/>
  <c r="AF189" i="669"/>
  <c r="AE189" i="669"/>
  <c r="AD189" i="669"/>
  <c r="AA189" i="669"/>
  <c r="Z189" i="669"/>
  <c r="Y189" i="669"/>
  <c r="X189" i="669"/>
  <c r="W189" i="669"/>
  <c r="V189" i="669"/>
  <c r="U189" i="669"/>
  <c r="T189" i="669"/>
  <c r="AC185" i="669"/>
  <c r="AB185" i="669"/>
  <c r="AC183" i="669"/>
  <c r="AC189" i="669" s="1"/>
  <c r="AB183" i="669"/>
  <c r="AC181" i="669"/>
  <c r="AB181" i="669"/>
  <c r="H180" i="669"/>
  <c r="AC179" i="669"/>
  <c r="AB179" i="669"/>
  <c r="AB178" i="669"/>
  <c r="AB177" i="669"/>
  <c r="AC176" i="669"/>
  <c r="AB176" i="669"/>
  <c r="AC175" i="669"/>
  <c r="AB175" i="669"/>
  <c r="S16" i="397"/>
  <c r="S15" i="397"/>
  <c r="Y32" i="397"/>
  <c r="X32" i="397"/>
  <c r="Y31" i="397"/>
  <c r="X31" i="397"/>
  <c r="Y28" i="397"/>
  <c r="X28" i="397"/>
  <c r="X30" i="397"/>
  <c r="X29" i="397"/>
  <c r="Y27" i="397"/>
  <c r="X27" i="397"/>
  <c r="R133" i="397"/>
  <c r="Q133" i="397"/>
  <c r="R134" i="397"/>
  <c r="Q134" i="397"/>
  <c r="BZ135" i="397"/>
  <c r="R135" i="397"/>
  <c r="Q135" i="397"/>
  <c r="BZ34" i="397"/>
  <c r="R34" i="397"/>
  <c r="Q34" i="397"/>
  <c r="AT101" i="397"/>
  <c r="BB150" i="397"/>
  <c r="AX150" i="397"/>
  <c r="AW150" i="397"/>
  <c r="AV150" i="397"/>
  <c r="AR150" i="397"/>
  <c r="AQ150" i="397"/>
  <c r="AP150" i="397"/>
  <c r="AM150" i="397"/>
  <c r="AL150" i="397"/>
  <c r="AJ150" i="397"/>
  <c r="AI150" i="397"/>
  <c r="AG150" i="397"/>
  <c r="AF150" i="397"/>
  <c r="AE150" i="397"/>
  <c r="AC150" i="397"/>
  <c r="AB150" i="397"/>
  <c r="W150" i="397"/>
  <c r="T150" i="397"/>
  <c r="BG230" i="202"/>
  <c r="BG231" i="202"/>
  <c r="BG232" i="202"/>
  <c r="BG233" i="202"/>
  <c r="BG234" i="202"/>
  <c r="BG229" i="202"/>
  <c r="BZ31" i="397"/>
  <c r="Q31" i="397"/>
  <c r="BZ32" i="397"/>
  <c r="R32" i="397"/>
  <c r="Q32" i="397"/>
  <c r="BZ132" i="397"/>
  <c r="R132" i="397"/>
  <c r="Q132" i="397"/>
  <c r="BZ28" i="397"/>
  <c r="R28" i="397"/>
  <c r="Q28" i="397"/>
  <c r="BN93" i="397"/>
  <c r="A20" i="397"/>
  <c r="BA88" i="397"/>
  <c r="BA87" i="397"/>
  <c r="BA150" i="397" s="1"/>
  <c r="H157" i="669"/>
  <c r="N157" i="669"/>
  <c r="N155" i="669" s="1"/>
  <c r="N158" i="669"/>
  <c r="N159" i="669"/>
  <c r="N156" i="669"/>
  <c r="H160" i="669"/>
  <c r="BD159" i="669"/>
  <c r="BC159" i="669"/>
  <c r="BB159" i="669"/>
  <c r="BA159" i="669"/>
  <c r="AZ159" i="669"/>
  <c r="AY159" i="669"/>
  <c r="AX159" i="669"/>
  <c r="AW159" i="669"/>
  <c r="AV159" i="669"/>
  <c r="AU159" i="669"/>
  <c r="AT159" i="669"/>
  <c r="AS159" i="669"/>
  <c r="AR159" i="669"/>
  <c r="AQ159" i="669"/>
  <c r="AP159" i="669"/>
  <c r="AO159" i="669"/>
  <c r="AN159" i="669"/>
  <c r="AM159" i="669"/>
  <c r="AL159" i="669"/>
  <c r="AK159" i="669"/>
  <c r="AJ159" i="669"/>
  <c r="AI159" i="669"/>
  <c r="AH159" i="669"/>
  <c r="AG159" i="669"/>
  <c r="AF159" i="669"/>
  <c r="AE159" i="669"/>
  <c r="AD159" i="669"/>
  <c r="AC159" i="669"/>
  <c r="AB159" i="669"/>
  <c r="AA159" i="669"/>
  <c r="X159" i="669"/>
  <c r="W159" i="669"/>
  <c r="V159" i="669"/>
  <c r="U159" i="669"/>
  <c r="T159" i="669"/>
  <c r="Z156" i="669"/>
  <c r="Y156" i="669"/>
  <c r="R30" i="397"/>
  <c r="Q30" i="397"/>
  <c r="A124" i="397"/>
  <c r="CA16" i="397"/>
  <c r="BZ16" i="397"/>
  <c r="BN16" i="397"/>
  <c r="CB16" i="397" s="1"/>
  <c r="BD16" i="397"/>
  <c r="X16" i="397"/>
  <c r="R16" i="397"/>
  <c r="Q16" i="397"/>
  <c r="A16" i="397"/>
  <c r="CA120" i="397"/>
  <c r="BZ120" i="397"/>
  <c r="BN120" i="397"/>
  <c r="CB120" i="397" s="1"/>
  <c r="BD120" i="397"/>
  <c r="V120" i="397"/>
  <c r="U120" i="397"/>
  <c r="R120" i="397"/>
  <c r="Q120" i="397"/>
  <c r="A120" i="397"/>
  <c r="X26" i="397"/>
  <c r="V131" i="397"/>
  <c r="CE323" i="397"/>
  <c r="CD323" i="397"/>
  <c r="CC323" i="397"/>
  <c r="CC292" i="397"/>
  <c r="AY196" i="397"/>
  <c r="Z95" i="397"/>
  <c r="BA366" i="397"/>
  <c r="AZ366" i="397"/>
  <c r="AY366" i="397"/>
  <c r="CC85" i="397"/>
  <c r="CB85" i="397"/>
  <c r="CA85" i="397"/>
  <c r="BZ85" i="397"/>
  <c r="BD85" i="397"/>
  <c r="AK85" i="397"/>
  <c r="AK150" i="397" s="1"/>
  <c r="A85" i="397"/>
  <c r="CC101" i="397"/>
  <c r="CB101" i="397"/>
  <c r="CA101" i="397"/>
  <c r="BZ101" i="397"/>
  <c r="BD101" i="397"/>
  <c r="A101" i="397"/>
  <c r="V451" i="8"/>
  <c r="V450" i="8"/>
  <c r="V449" i="8"/>
  <c r="V448" i="8"/>
  <c r="BZ29" i="397"/>
  <c r="R29" i="397"/>
  <c r="Q29" i="397"/>
  <c r="X25" i="397"/>
  <c r="X24" i="397"/>
  <c r="X23" i="397"/>
  <c r="X22" i="397"/>
  <c r="X21" i="397"/>
  <c r="V130" i="397"/>
  <c r="CC102" i="397"/>
  <c r="AT102" i="397"/>
  <c r="CA102" i="397"/>
  <c r="BZ102" i="397"/>
  <c r="CB102" i="397"/>
  <c r="BD102" i="397"/>
  <c r="A102" i="397"/>
  <c r="CE408" i="397"/>
  <c r="CD408" i="397"/>
  <c r="CC408" i="397"/>
  <c r="CB408" i="397"/>
  <c r="CA408" i="397"/>
  <c r="BZ408" i="397"/>
  <c r="BE408" i="397"/>
  <c r="BD408" i="397"/>
  <c r="R408" i="397"/>
  <c r="Q408" i="397"/>
  <c r="A408" i="397"/>
  <c r="AY94" i="397"/>
  <c r="BR196" i="397"/>
  <c r="BS196" i="397" s="1"/>
  <c r="BT196" i="397" s="1"/>
  <c r="X20" i="397"/>
  <c r="AY93" i="397"/>
  <c r="V129" i="397"/>
  <c r="BZ88" i="397"/>
  <c r="R88" i="397"/>
  <c r="Q88" i="397"/>
  <c r="BZ27" i="397"/>
  <c r="R27" i="397"/>
  <c r="Q27" i="397"/>
  <c r="BZ94" i="397"/>
  <c r="R94" i="397"/>
  <c r="Q94" i="397"/>
  <c r="BZ96" i="397"/>
  <c r="R96" i="397"/>
  <c r="Q96" i="397"/>
  <c r="BZ26" i="397"/>
  <c r="R26" i="397"/>
  <c r="Q26" i="397"/>
  <c r="AA70" i="397"/>
  <c r="Q59" i="397"/>
  <c r="R59" i="397"/>
  <c r="Q22" i="397"/>
  <c r="R22" i="397"/>
  <c r="H143" i="669"/>
  <c r="H138" i="669"/>
  <c r="N135" i="669"/>
  <c r="N134" i="669"/>
  <c r="N133" i="669"/>
  <c r="N132" i="669"/>
  <c r="N131" i="669"/>
  <c r="N136" i="669"/>
  <c r="N137" i="669"/>
  <c r="N138" i="669"/>
  <c r="N139" i="669"/>
  <c r="N140" i="669"/>
  <c r="H141" i="669"/>
  <c r="BD140" i="669"/>
  <c r="BC140" i="669"/>
  <c r="BB140" i="669"/>
  <c r="BA140" i="669"/>
  <c r="AZ140" i="669"/>
  <c r="AX140" i="669"/>
  <c r="AW140" i="669"/>
  <c r="AV140" i="669"/>
  <c r="AU140" i="669"/>
  <c r="AT140" i="669"/>
  <c r="AS140" i="669"/>
  <c r="AR140" i="669"/>
  <c r="AQ140" i="669"/>
  <c r="AP140" i="669"/>
  <c r="AO140" i="669"/>
  <c r="AN140" i="669"/>
  <c r="AM140" i="669"/>
  <c r="AL140" i="669"/>
  <c r="AK140" i="669"/>
  <c r="AJ140" i="669"/>
  <c r="AI140" i="669"/>
  <c r="AH140" i="669"/>
  <c r="AG140" i="669"/>
  <c r="AF140" i="669"/>
  <c r="AE140" i="669"/>
  <c r="AD140" i="669"/>
  <c r="AC140" i="669"/>
  <c r="AB140" i="669"/>
  <c r="AA140" i="669"/>
  <c r="X140" i="669"/>
  <c r="W140" i="669"/>
  <c r="V140" i="669"/>
  <c r="U140" i="669"/>
  <c r="Z137" i="669"/>
  <c r="Y137" i="669"/>
  <c r="T136" i="669"/>
  <c r="T140" i="669" s="1"/>
  <c r="Z135" i="669"/>
  <c r="Y135" i="669"/>
  <c r="Z134" i="669"/>
  <c r="Y134" i="669"/>
  <c r="Z132" i="669"/>
  <c r="Y132" i="669"/>
  <c r="H131" i="669"/>
  <c r="AT104" i="397"/>
  <c r="V126" i="397"/>
  <c r="U126" i="397"/>
  <c r="AY92" i="397"/>
  <c r="AY150" i="397" s="1"/>
  <c r="R81" i="397"/>
  <c r="Q81" i="397"/>
  <c r="R23" i="397"/>
  <c r="Q23" i="397"/>
  <c r="BZ25" i="397"/>
  <c r="R25" i="397"/>
  <c r="Q25" i="397"/>
  <c r="BZ131" i="397"/>
  <c r="R131" i="397"/>
  <c r="Q131" i="397"/>
  <c r="BZ95" i="397"/>
  <c r="R95" i="397"/>
  <c r="Q95" i="397"/>
  <c r="BZ130" i="397"/>
  <c r="R130" i="397"/>
  <c r="Q130" i="397"/>
  <c r="BZ24" i="397"/>
  <c r="R24" i="397"/>
  <c r="Q24" i="397"/>
  <c r="BZ21" i="397"/>
  <c r="R21" i="397"/>
  <c r="Q21" i="397"/>
  <c r="BZ23" i="397"/>
  <c r="BZ196" i="397"/>
  <c r="R196" i="397"/>
  <c r="Q196" i="397"/>
  <c r="AT249" i="202"/>
  <c r="AR249" i="202"/>
  <c r="U124" i="397"/>
  <c r="V124" i="397"/>
  <c r="U125" i="397"/>
  <c r="V125" i="397"/>
  <c r="X19" i="397"/>
  <c r="U123" i="397"/>
  <c r="V123" i="397"/>
  <c r="U122" i="397"/>
  <c r="V122" i="397"/>
  <c r="N110" i="669"/>
  <c r="N111" i="669"/>
  <c r="N112" i="669"/>
  <c r="N113" i="669"/>
  <c r="N114" i="669"/>
  <c r="N115" i="669"/>
  <c r="N116" i="669"/>
  <c r="N35" i="669"/>
  <c r="N36" i="669"/>
  <c r="N37" i="669"/>
  <c r="N38" i="669"/>
  <c r="N39" i="669"/>
  <c r="N40" i="669"/>
  <c r="N41" i="669"/>
  <c r="N42" i="669"/>
  <c r="N43" i="669"/>
  <c r="N44" i="669"/>
  <c r="N45" i="669"/>
  <c r="N46" i="669"/>
  <c r="N47" i="669"/>
  <c r="N48" i="669"/>
  <c r="N49" i="669"/>
  <c r="N50" i="669"/>
  <c r="N51" i="669"/>
  <c r="N52" i="669"/>
  <c r="N53" i="669"/>
  <c r="N54" i="669"/>
  <c r="N55" i="669"/>
  <c r="N56" i="669"/>
  <c r="N57" i="669"/>
  <c r="N58" i="669"/>
  <c r="N59" i="669"/>
  <c r="N60" i="669"/>
  <c r="N109" i="669"/>
  <c r="Z109" i="669"/>
  <c r="AB110" i="669"/>
  <c r="AB111" i="669"/>
  <c r="AB116" i="669" s="1"/>
  <c r="AC111" i="669"/>
  <c r="AC116" i="669" s="1"/>
  <c r="AB112" i="669"/>
  <c r="AC112" i="669"/>
  <c r="AB113" i="669"/>
  <c r="AC113" i="669"/>
  <c r="H114" i="669"/>
  <c r="T114" i="669" s="1"/>
  <c r="H115" i="669"/>
  <c r="T116" i="669"/>
  <c r="U116" i="669"/>
  <c r="V116" i="669"/>
  <c r="W116" i="669"/>
  <c r="X116" i="669"/>
  <c r="Y116" i="669"/>
  <c r="Z116" i="669"/>
  <c r="AA116" i="669"/>
  <c r="AD116" i="669"/>
  <c r="AE116" i="669"/>
  <c r="AF116" i="669"/>
  <c r="AG116" i="669"/>
  <c r="AH116" i="669"/>
  <c r="AI116" i="669"/>
  <c r="AJ116" i="669"/>
  <c r="AK116" i="669"/>
  <c r="AL116" i="669"/>
  <c r="AM116" i="669"/>
  <c r="AN116" i="669"/>
  <c r="AO116" i="669"/>
  <c r="AP116" i="669"/>
  <c r="AQ116" i="669"/>
  <c r="AR116" i="669"/>
  <c r="AS116" i="669"/>
  <c r="AT116" i="669"/>
  <c r="AU116" i="669"/>
  <c r="AV116" i="669"/>
  <c r="AW116" i="669"/>
  <c r="AX116" i="669"/>
  <c r="AY116" i="669"/>
  <c r="AZ116" i="669"/>
  <c r="BA116" i="669"/>
  <c r="BB116" i="669"/>
  <c r="BC116" i="669"/>
  <c r="BD116" i="669"/>
  <c r="H117" i="669"/>
  <c r="H118" i="669"/>
  <c r="H91" i="669"/>
  <c r="H87" i="669"/>
  <c r="H90" i="669" s="1"/>
  <c r="N77" i="669"/>
  <c r="N78" i="669"/>
  <c r="N79" i="669"/>
  <c r="N80" i="669"/>
  <c r="N81" i="669"/>
  <c r="N82" i="669"/>
  <c r="N83" i="669"/>
  <c r="N84" i="669"/>
  <c r="N75" i="669" s="1"/>
  <c r="N85" i="669"/>
  <c r="N86" i="669"/>
  <c r="N87" i="669"/>
  <c r="N88" i="669"/>
  <c r="N89" i="669"/>
  <c r="N90" i="669"/>
  <c r="N91" i="669"/>
  <c r="N92" i="669"/>
  <c r="N93" i="669"/>
  <c r="N76" i="669"/>
  <c r="N10" i="669"/>
  <c r="N11" i="669"/>
  <c r="N12" i="669"/>
  <c r="N13" i="669"/>
  <c r="N14" i="669"/>
  <c r="N15" i="669"/>
  <c r="N16" i="669"/>
  <c r="N17" i="669"/>
  <c r="N18" i="669"/>
  <c r="N19" i="669"/>
  <c r="N20" i="669"/>
  <c r="H76" i="669"/>
  <c r="AZ76" i="669" s="1"/>
  <c r="AB77" i="669"/>
  <c r="AC77" i="669"/>
  <c r="H78" i="669"/>
  <c r="AZ78" i="669" s="1"/>
  <c r="AZ93" i="669" s="1"/>
  <c r="AB79" i="669"/>
  <c r="AC79" i="669"/>
  <c r="H80" i="669"/>
  <c r="AZ80" i="669"/>
  <c r="AB81" i="669"/>
  <c r="AC81" i="669"/>
  <c r="AB82" i="669"/>
  <c r="AC82" i="669"/>
  <c r="H83" i="669"/>
  <c r="AB85" i="669"/>
  <c r="AB93" i="669" s="1"/>
  <c r="AC85" i="669"/>
  <c r="AB86" i="669"/>
  <c r="AC86" i="669"/>
  <c r="T87" i="669"/>
  <c r="H88" i="669"/>
  <c r="AZ88" i="669"/>
  <c r="AB89" i="669"/>
  <c r="AC89" i="669"/>
  <c r="T90" i="669"/>
  <c r="AB91" i="669"/>
  <c r="AC91" i="669"/>
  <c r="U93" i="669"/>
  <c r="V93" i="669"/>
  <c r="W93" i="669"/>
  <c r="X93" i="669"/>
  <c r="Y93" i="669"/>
  <c r="Z93" i="669"/>
  <c r="AA93" i="669"/>
  <c r="AD93" i="669"/>
  <c r="AE93" i="669"/>
  <c r="AF93" i="669"/>
  <c r="AG93" i="669"/>
  <c r="AH93" i="669"/>
  <c r="AI93" i="669"/>
  <c r="AJ93" i="669"/>
  <c r="AK93" i="669"/>
  <c r="AL93" i="669"/>
  <c r="AM93" i="669"/>
  <c r="AN93" i="669"/>
  <c r="AO93" i="669"/>
  <c r="AP93" i="669"/>
  <c r="AQ93" i="669"/>
  <c r="AR93" i="669"/>
  <c r="AS93" i="669"/>
  <c r="AT93" i="669"/>
  <c r="AU93" i="669"/>
  <c r="AV93" i="669"/>
  <c r="AW93" i="669"/>
  <c r="AX93" i="669"/>
  <c r="AY93" i="669"/>
  <c r="BA93" i="669"/>
  <c r="BB93" i="669"/>
  <c r="BC93" i="669"/>
  <c r="BD93" i="669"/>
  <c r="H94" i="669"/>
  <c r="BG238" i="202"/>
  <c r="AD79" i="397"/>
  <c r="X18" i="397"/>
  <c r="BN90" i="397"/>
  <c r="AS90" i="397"/>
  <c r="BZ70" i="397"/>
  <c r="R70" i="397"/>
  <c r="Q70" i="397"/>
  <c r="BZ93" i="397"/>
  <c r="CF93" i="397" s="1"/>
  <c r="R93" i="397"/>
  <c r="Q93" i="397"/>
  <c r="BZ125" i="397"/>
  <c r="R125" i="397"/>
  <c r="Q125" i="397"/>
  <c r="BZ59" i="397"/>
  <c r="BZ104" i="397"/>
  <c r="R104" i="397"/>
  <c r="Q104" i="397"/>
  <c r="BZ92" i="397"/>
  <c r="R92" i="397"/>
  <c r="Q92" i="397"/>
  <c r="BZ126" i="397"/>
  <c r="R126" i="397"/>
  <c r="Q126" i="397"/>
  <c r="BZ124" i="397"/>
  <c r="R124" i="397"/>
  <c r="Q124" i="397"/>
  <c r="BZ129" i="397"/>
  <c r="R129" i="397"/>
  <c r="Q129" i="397"/>
  <c r="BZ20" i="397"/>
  <c r="R20" i="397"/>
  <c r="Q20" i="397"/>
  <c r="BZ123" i="397"/>
  <c r="R123" i="397"/>
  <c r="Q123" i="397"/>
  <c r="H245" i="652"/>
  <c r="A10" i="397"/>
  <c r="A69" i="397"/>
  <c r="A91" i="397"/>
  <c r="A115" i="397"/>
  <c r="A11" i="397"/>
  <c r="X13" i="397"/>
  <c r="Y13" i="397"/>
  <c r="X11" i="397"/>
  <c r="Y11" i="397"/>
  <c r="Y10" i="397"/>
  <c r="X10" i="397"/>
  <c r="X150" i="397" s="1"/>
  <c r="N34" i="669"/>
  <c r="H63" i="669"/>
  <c r="H56" i="669"/>
  <c r="AB56" i="669"/>
  <c r="AB387" i="652"/>
  <c r="H379" i="652"/>
  <c r="H61" i="669"/>
  <c r="BD60" i="669"/>
  <c r="BC60" i="669"/>
  <c r="BB60" i="669"/>
  <c r="AZ60" i="669"/>
  <c r="AY60" i="669"/>
  <c r="AX60" i="669"/>
  <c r="AW60" i="669"/>
  <c r="AV60" i="669"/>
  <c r="AU60" i="669"/>
  <c r="AT60" i="669"/>
  <c r="AS60" i="669"/>
  <c r="AR60" i="669"/>
  <c r="AQ60" i="669"/>
  <c r="AP60" i="669"/>
  <c r="AO60" i="669"/>
  <c r="AN60" i="669"/>
  <c r="AM60" i="669"/>
  <c r="AL60" i="669"/>
  <c r="AK60" i="669"/>
  <c r="AJ60" i="669"/>
  <c r="AI60" i="669"/>
  <c r="AH60" i="669"/>
  <c r="AG60" i="669"/>
  <c r="AF60" i="669"/>
  <c r="AE60" i="669"/>
  <c r="AD60" i="669"/>
  <c r="AA60" i="669"/>
  <c r="Z60" i="669"/>
  <c r="Y60" i="669"/>
  <c r="X60" i="669"/>
  <c r="W60" i="669"/>
  <c r="V60" i="669"/>
  <c r="U60" i="669"/>
  <c r="T60" i="669"/>
  <c r="BE60" i="669" s="1"/>
  <c r="AC54" i="669"/>
  <c r="AC52" i="669"/>
  <c r="AC50" i="669"/>
  <c r="AC47" i="669"/>
  <c r="H46" i="669"/>
  <c r="AC45" i="669"/>
  <c r="AB45" i="669"/>
  <c r="AC42" i="669"/>
  <c r="AC39" i="669"/>
  <c r="H38" i="669"/>
  <c r="BA37" i="669"/>
  <c r="BA60" i="669"/>
  <c r="AC36" i="669"/>
  <c r="AB36" i="669"/>
  <c r="AC35" i="669"/>
  <c r="Q406" i="397"/>
  <c r="CE409" i="397"/>
  <c r="CD409" i="397"/>
  <c r="CC409" i="397"/>
  <c r="CB409" i="397"/>
  <c r="CA409" i="397"/>
  <c r="BZ409" i="397"/>
  <c r="BE409" i="397"/>
  <c r="BD409" i="397"/>
  <c r="R409" i="397"/>
  <c r="Q409" i="397"/>
  <c r="A409" i="397"/>
  <c r="V127" i="397"/>
  <c r="U127" i="397"/>
  <c r="V121" i="397"/>
  <c r="U121" i="397"/>
  <c r="CA112" i="397"/>
  <c r="BZ112" i="397"/>
  <c r="BN112" i="397"/>
  <c r="CB112" i="397" s="1"/>
  <c r="BD112" i="397"/>
  <c r="V112" i="397"/>
  <c r="U112" i="397"/>
  <c r="R112" i="397"/>
  <c r="Q112" i="397"/>
  <c r="A112" i="397"/>
  <c r="V119" i="397"/>
  <c r="U119" i="397"/>
  <c r="V118" i="397"/>
  <c r="U118" i="397"/>
  <c r="V116" i="397"/>
  <c r="U116" i="397"/>
  <c r="V117" i="397"/>
  <c r="U117" i="397"/>
  <c r="BN72" i="397"/>
  <c r="V115" i="397"/>
  <c r="AY175" i="670"/>
  <c r="AV175" i="670"/>
  <c r="AS175" i="670"/>
  <c r="AQ175" i="670"/>
  <c r="AP175" i="670"/>
  <c r="AO175" i="670"/>
  <c r="AJ175" i="670"/>
  <c r="AH175" i="670"/>
  <c r="AG175" i="670"/>
  <c r="AF175" i="670"/>
  <c r="AE175" i="670"/>
  <c r="AD175" i="670"/>
  <c r="AC175" i="670"/>
  <c r="AB175" i="670"/>
  <c r="W175" i="670"/>
  <c r="T175" i="670"/>
  <c r="CA174" i="670"/>
  <c r="BZ174" i="670"/>
  <c r="BY174" i="670"/>
  <c r="BW174" i="670"/>
  <c r="BV174" i="670"/>
  <c r="CB174" i="670" s="1"/>
  <c r="BJ174" i="670"/>
  <c r="BX174" i="670" s="1"/>
  <c r="BA174" i="670"/>
  <c r="AZ174" i="670"/>
  <c r="S174" i="670"/>
  <c r="U174" i="670"/>
  <c r="R174" i="670"/>
  <c r="Q174" i="670"/>
  <c r="A174" i="670"/>
  <c r="CA173" i="670"/>
  <c r="BZ173" i="670"/>
  <c r="BY173" i="670"/>
  <c r="BW173" i="670"/>
  <c r="BV173" i="670"/>
  <c r="BJ173" i="670"/>
  <c r="BX173" i="670" s="1"/>
  <c r="BA173" i="670"/>
  <c r="AZ173" i="670"/>
  <c r="U173" i="670"/>
  <c r="R173" i="670"/>
  <c r="Q173" i="670"/>
  <c r="A173" i="670"/>
  <c r="CA172" i="670"/>
  <c r="BZ172" i="670"/>
  <c r="BY172" i="670"/>
  <c r="BW172" i="670"/>
  <c r="BV172" i="670"/>
  <c r="BJ172" i="670"/>
  <c r="BX172" i="670"/>
  <c r="BA172" i="670"/>
  <c r="BB172" i="670" s="1"/>
  <c r="CC172" i="670" s="1"/>
  <c r="AZ172" i="670"/>
  <c r="U172" i="670"/>
  <c r="R172" i="670"/>
  <c r="Q172" i="670"/>
  <c r="A172" i="670"/>
  <c r="CA171" i="670"/>
  <c r="BZ171" i="670"/>
  <c r="BY171" i="670"/>
  <c r="BW171" i="670"/>
  <c r="BV171" i="670"/>
  <c r="BJ171" i="670"/>
  <c r="BX171" i="670" s="1"/>
  <c r="BA171" i="670"/>
  <c r="BB171" i="670" s="1"/>
  <c r="AZ171" i="670"/>
  <c r="V171" i="670"/>
  <c r="U171" i="670"/>
  <c r="R171" i="670"/>
  <c r="Q171" i="670"/>
  <c r="A171" i="670"/>
  <c r="CA170" i="670"/>
  <c r="BZ170" i="670"/>
  <c r="BY170" i="670"/>
  <c r="BW170" i="670"/>
  <c r="BV170" i="670"/>
  <c r="BJ170" i="670"/>
  <c r="BX170" i="670" s="1"/>
  <c r="BA170" i="670"/>
  <c r="AZ170" i="670"/>
  <c r="U170" i="670"/>
  <c r="R170" i="670"/>
  <c r="Q170" i="670"/>
  <c r="A170" i="670"/>
  <c r="CA169" i="670"/>
  <c r="BZ169" i="670"/>
  <c r="BY169" i="670"/>
  <c r="BW169" i="670"/>
  <c r="BV169" i="670"/>
  <c r="BJ169" i="670"/>
  <c r="BX169" i="670"/>
  <c r="BA169" i="670"/>
  <c r="AZ169" i="670"/>
  <c r="V169" i="670"/>
  <c r="U169" i="670"/>
  <c r="R169" i="670"/>
  <c r="Q169" i="670"/>
  <c r="A169" i="670"/>
  <c r="CA168" i="670"/>
  <c r="BZ168" i="670"/>
  <c r="BW168" i="670"/>
  <c r="BV168" i="670"/>
  <c r="BJ168" i="670"/>
  <c r="BA168" i="670"/>
  <c r="AZ168" i="670"/>
  <c r="V168" i="670"/>
  <c r="U168" i="670"/>
  <c r="R168" i="670"/>
  <c r="Q168" i="670"/>
  <c r="A168" i="670"/>
  <c r="CA167" i="670"/>
  <c r="BZ167" i="670"/>
  <c r="BY167" i="670"/>
  <c r="BW167" i="670"/>
  <c r="CB167" i="670" s="1"/>
  <c r="CD167" i="670" s="1"/>
  <c r="BV167" i="670"/>
  <c r="BJ167" i="670"/>
  <c r="BX167" i="670" s="1"/>
  <c r="BA167" i="670"/>
  <c r="AZ167" i="670"/>
  <c r="V167" i="670"/>
  <c r="R167" i="670"/>
  <c r="Q167" i="670"/>
  <c r="A167" i="670"/>
  <c r="CA166" i="670"/>
  <c r="BZ166" i="670"/>
  <c r="BY166" i="670"/>
  <c r="BW166" i="670"/>
  <c r="CB166" i="670" s="1"/>
  <c r="CD166" i="670" s="1"/>
  <c r="BV166" i="670"/>
  <c r="BJ166" i="670"/>
  <c r="BX166" i="670"/>
  <c r="BA166" i="670"/>
  <c r="AZ166" i="670"/>
  <c r="V166" i="670"/>
  <c r="R166" i="670"/>
  <c r="Q166" i="670"/>
  <c r="A166" i="670"/>
  <c r="CA165" i="670"/>
  <c r="BZ165" i="670"/>
  <c r="BY165" i="670"/>
  <c r="BW165" i="670"/>
  <c r="BV165" i="670"/>
  <c r="BJ165" i="670"/>
  <c r="BX165" i="670" s="1"/>
  <c r="BA165" i="670"/>
  <c r="AZ165" i="670"/>
  <c r="S165" i="670"/>
  <c r="R165" i="670"/>
  <c r="Q165" i="670"/>
  <c r="A165" i="670"/>
  <c r="CA164" i="670"/>
  <c r="BZ164" i="670"/>
  <c r="BY164" i="670"/>
  <c r="BW164" i="670"/>
  <c r="BV164" i="670"/>
  <c r="BJ164" i="670"/>
  <c r="BX164" i="670" s="1"/>
  <c r="BA164" i="670"/>
  <c r="AZ164" i="670"/>
  <c r="S164" i="670"/>
  <c r="R164" i="670"/>
  <c r="Q164" i="670"/>
  <c r="A164" i="670"/>
  <c r="CA163" i="670"/>
  <c r="BZ163" i="670"/>
  <c r="BY163" i="670"/>
  <c r="BW163" i="670"/>
  <c r="BV163" i="670"/>
  <c r="BJ163" i="670"/>
  <c r="BX163" i="670"/>
  <c r="BA163" i="670"/>
  <c r="AZ163" i="670"/>
  <c r="V163" i="670"/>
  <c r="R163" i="670"/>
  <c r="Q163" i="670"/>
  <c r="A163" i="670"/>
  <c r="CA162" i="670"/>
  <c r="BZ162" i="670"/>
  <c r="BY162" i="670"/>
  <c r="BW162" i="670"/>
  <c r="BV162" i="670"/>
  <c r="BJ162" i="670"/>
  <c r="BX162" i="670" s="1"/>
  <c r="BA162" i="670"/>
  <c r="AZ162" i="670"/>
  <c r="V162" i="670"/>
  <c r="R162" i="670"/>
  <c r="Q162" i="670"/>
  <c r="A162" i="670"/>
  <c r="CA161" i="670"/>
  <c r="BZ161" i="670"/>
  <c r="BY161" i="670"/>
  <c r="BW161" i="670"/>
  <c r="BV161" i="670"/>
  <c r="BJ161" i="670"/>
  <c r="BX161" i="670"/>
  <c r="BA161" i="670"/>
  <c r="AZ161" i="670"/>
  <c r="V161" i="670"/>
  <c r="R161" i="670"/>
  <c r="Q161" i="670"/>
  <c r="A161" i="670"/>
  <c r="CA160" i="670"/>
  <c r="BZ160" i="670"/>
  <c r="BW160" i="670"/>
  <c r="BV160" i="670"/>
  <c r="BJ160" i="670"/>
  <c r="BA160" i="670"/>
  <c r="AZ160" i="670"/>
  <c r="V160" i="670"/>
  <c r="R160" i="670"/>
  <c r="Q160" i="670"/>
  <c r="A160" i="670"/>
  <c r="CA159" i="670"/>
  <c r="BZ159" i="670"/>
  <c r="BY159" i="670"/>
  <c r="BW159" i="670"/>
  <c r="BV159" i="670"/>
  <c r="BJ159" i="670"/>
  <c r="BX159" i="670"/>
  <c r="BA159" i="670"/>
  <c r="AZ159" i="670"/>
  <c r="U159" i="670"/>
  <c r="R159" i="670"/>
  <c r="Q159" i="670"/>
  <c r="A159" i="670"/>
  <c r="CA158" i="670"/>
  <c r="BZ158" i="670"/>
  <c r="BW158" i="670"/>
  <c r="BV158" i="670"/>
  <c r="BJ158" i="670"/>
  <c r="BA158" i="670"/>
  <c r="AZ158" i="670"/>
  <c r="U158" i="670"/>
  <c r="R158" i="670"/>
  <c r="Q158" i="670"/>
  <c r="A158" i="670"/>
  <c r="CA157" i="670"/>
  <c r="BZ157" i="670"/>
  <c r="BY157" i="670"/>
  <c r="BW157" i="670"/>
  <c r="BV157" i="670"/>
  <c r="BJ157" i="670"/>
  <c r="BX157" i="670"/>
  <c r="BA157" i="670"/>
  <c r="AZ157" i="670"/>
  <c r="S157" i="670"/>
  <c r="U157" i="670"/>
  <c r="R157" i="670"/>
  <c r="Q157" i="670"/>
  <c r="A157" i="670"/>
  <c r="CA156" i="670"/>
  <c r="BZ156" i="670"/>
  <c r="BY156" i="670"/>
  <c r="BW156" i="670"/>
  <c r="BV156" i="670"/>
  <c r="BJ156" i="670"/>
  <c r="BX156" i="670" s="1"/>
  <c r="BA156" i="670"/>
  <c r="AZ156" i="670"/>
  <c r="U156" i="670"/>
  <c r="R156" i="670"/>
  <c r="Q156" i="670"/>
  <c r="A156" i="670"/>
  <c r="CA155" i="670"/>
  <c r="BZ155" i="670"/>
  <c r="BY155" i="670"/>
  <c r="BW155" i="670"/>
  <c r="BV155" i="670"/>
  <c r="BJ155" i="670"/>
  <c r="BX155" i="670" s="1"/>
  <c r="CB155" i="670" s="1"/>
  <c r="CD155" i="670" s="1"/>
  <c r="BA155" i="670"/>
  <c r="AZ155" i="670"/>
  <c r="U155" i="670"/>
  <c r="R155" i="670"/>
  <c r="Q155" i="670"/>
  <c r="A155" i="670"/>
  <c r="CA154" i="670"/>
  <c r="BZ154" i="670"/>
  <c r="BY154" i="670"/>
  <c r="BW154" i="670"/>
  <c r="BV154" i="670"/>
  <c r="BJ154" i="670"/>
  <c r="BX154" i="670" s="1"/>
  <c r="BA154" i="670"/>
  <c r="AZ154" i="670"/>
  <c r="U154" i="670"/>
  <c r="R154" i="670"/>
  <c r="Q154" i="670"/>
  <c r="A154" i="670"/>
  <c r="CA153" i="670"/>
  <c r="BZ153" i="670"/>
  <c r="BY153" i="670"/>
  <c r="BW153" i="670"/>
  <c r="BV153" i="670"/>
  <c r="BJ153" i="670"/>
  <c r="BX153" i="670" s="1"/>
  <c r="BA153" i="670"/>
  <c r="AZ153" i="670"/>
  <c r="U153" i="670"/>
  <c r="Q153" i="670"/>
  <c r="A153" i="670"/>
  <c r="CA152" i="670"/>
  <c r="BZ152" i="670"/>
  <c r="BY152" i="670"/>
  <c r="BW152" i="670"/>
  <c r="BV152" i="670"/>
  <c r="BJ152" i="670"/>
  <c r="BX152" i="670" s="1"/>
  <c r="BA152" i="670"/>
  <c r="AZ152" i="670"/>
  <c r="U152" i="670"/>
  <c r="R152" i="670"/>
  <c r="Q152" i="670"/>
  <c r="A152" i="670"/>
  <c r="CA151" i="670"/>
  <c r="BZ151" i="670"/>
  <c r="BY151" i="670"/>
  <c r="BW151" i="670"/>
  <c r="BV151" i="670"/>
  <c r="BJ151" i="670"/>
  <c r="BX151" i="670" s="1"/>
  <c r="BA151" i="670"/>
  <c r="AZ151" i="670"/>
  <c r="V151" i="670"/>
  <c r="U151" i="670"/>
  <c r="R151" i="670"/>
  <c r="Q151" i="670"/>
  <c r="A151" i="670"/>
  <c r="CA150" i="670"/>
  <c r="BZ150" i="670"/>
  <c r="BY150" i="670"/>
  <c r="BW150" i="670"/>
  <c r="BV150" i="670"/>
  <c r="BJ150" i="670"/>
  <c r="BX150" i="670"/>
  <c r="BA150" i="670"/>
  <c r="AZ150" i="670"/>
  <c r="V150" i="670"/>
  <c r="U150" i="670"/>
  <c r="R150" i="670"/>
  <c r="Q150" i="670"/>
  <c r="A150" i="670"/>
  <c r="CA149" i="670"/>
  <c r="BZ149" i="670"/>
  <c r="BY149" i="670"/>
  <c r="BW149" i="670"/>
  <c r="BV149" i="670"/>
  <c r="BJ149" i="670"/>
  <c r="BX149" i="670"/>
  <c r="BA149" i="670"/>
  <c r="AZ149" i="670"/>
  <c r="V149" i="670"/>
  <c r="U149" i="670"/>
  <c r="R149" i="670"/>
  <c r="Q149" i="670"/>
  <c r="A149" i="670"/>
  <c r="CA148" i="670"/>
  <c r="BZ148" i="670"/>
  <c r="BY148" i="670"/>
  <c r="BX148" i="670"/>
  <c r="BW148" i="670"/>
  <c r="BV148" i="670"/>
  <c r="CB148" i="670" s="1"/>
  <c r="BA148" i="670"/>
  <c r="AZ148" i="670"/>
  <c r="R148" i="670"/>
  <c r="Q148" i="670"/>
  <c r="CA147" i="670"/>
  <c r="BZ147" i="670"/>
  <c r="BY147" i="670"/>
  <c r="BW147" i="670"/>
  <c r="BV147" i="670"/>
  <c r="BJ147" i="670"/>
  <c r="BX147" i="670"/>
  <c r="BA147" i="670"/>
  <c r="AZ147" i="670"/>
  <c r="AU147" i="670"/>
  <c r="R147" i="670"/>
  <c r="Q147" i="670"/>
  <c r="A147" i="670"/>
  <c r="CA146" i="670"/>
  <c r="BZ146" i="670"/>
  <c r="BY146" i="670"/>
  <c r="BW146" i="670"/>
  <c r="BV146" i="670"/>
  <c r="BJ146" i="670"/>
  <c r="BX146" i="670"/>
  <c r="BA146" i="670"/>
  <c r="AZ146" i="670"/>
  <c r="AU146" i="670"/>
  <c r="AU175" i="670" s="1"/>
  <c r="R146" i="670"/>
  <c r="Q146" i="670"/>
  <c r="A146" i="670"/>
  <c r="CA145" i="670"/>
  <c r="CB145" i="670" s="1"/>
  <c r="BZ145" i="670"/>
  <c r="BY145" i="670"/>
  <c r="BW145" i="670"/>
  <c r="BV145" i="670"/>
  <c r="BJ145" i="670"/>
  <c r="BX145" i="670"/>
  <c r="BA145" i="670"/>
  <c r="AZ145" i="670"/>
  <c r="AT145" i="670"/>
  <c r="R145" i="670"/>
  <c r="Q145" i="670"/>
  <c r="A145" i="670"/>
  <c r="CA144" i="670"/>
  <c r="BZ144" i="670"/>
  <c r="BY144" i="670"/>
  <c r="BW144" i="670"/>
  <c r="BV144" i="670"/>
  <c r="BJ144" i="670"/>
  <c r="BX144" i="670"/>
  <c r="BA144" i="670"/>
  <c r="AZ144" i="670"/>
  <c r="AT144" i="670"/>
  <c r="R144" i="670"/>
  <c r="Q144" i="670"/>
  <c r="A144" i="670"/>
  <c r="CA143" i="670"/>
  <c r="BZ143" i="670"/>
  <c r="BW143" i="670"/>
  <c r="BV143" i="670"/>
  <c r="BJ143" i="670"/>
  <c r="BA143" i="670"/>
  <c r="AZ143" i="670"/>
  <c r="AT143" i="670"/>
  <c r="AT175" i="670" s="1"/>
  <c r="R143" i="670"/>
  <c r="Q143" i="670"/>
  <c r="A143" i="670"/>
  <c r="CA142" i="670"/>
  <c r="BZ142" i="670"/>
  <c r="BY142" i="670"/>
  <c r="BW142" i="670"/>
  <c r="BV142" i="670"/>
  <c r="BJ142" i="670"/>
  <c r="BX142" i="670" s="1"/>
  <c r="BA142" i="670"/>
  <c r="AZ142" i="670"/>
  <c r="AT142" i="670"/>
  <c r="R142" i="670"/>
  <c r="Q142" i="670"/>
  <c r="A142" i="670"/>
  <c r="CA141" i="670"/>
  <c r="BZ141" i="670"/>
  <c r="BY141" i="670"/>
  <c r="BW141" i="670"/>
  <c r="CB141" i="670" s="1"/>
  <c r="CD141" i="670" s="1"/>
  <c r="BV141" i="670"/>
  <c r="BJ141" i="670"/>
  <c r="BX141" i="670" s="1"/>
  <c r="BA141" i="670"/>
  <c r="AZ141" i="670"/>
  <c r="Z141" i="670"/>
  <c r="R141" i="670"/>
  <c r="Q141" i="670"/>
  <c r="A141" i="670"/>
  <c r="CA140" i="670"/>
  <c r="BZ140" i="670"/>
  <c r="BY140" i="670"/>
  <c r="BW140" i="670"/>
  <c r="BV140" i="670"/>
  <c r="BJ140" i="670"/>
  <c r="BX140" i="670"/>
  <c r="BA140" i="670"/>
  <c r="AZ140" i="670"/>
  <c r="Z140" i="670"/>
  <c r="R140" i="670"/>
  <c r="Q140" i="670"/>
  <c r="A140" i="670"/>
  <c r="CA139" i="670"/>
  <c r="BZ139" i="670"/>
  <c r="BY139" i="670"/>
  <c r="BW139" i="670"/>
  <c r="BV139" i="670"/>
  <c r="BJ139" i="670"/>
  <c r="BX139" i="670" s="1"/>
  <c r="BA139" i="670"/>
  <c r="AZ139" i="670"/>
  <c r="Z139" i="670"/>
  <c r="R139" i="670"/>
  <c r="Q139" i="670"/>
  <c r="A139" i="670"/>
  <c r="CA138" i="670"/>
  <c r="BZ138" i="670"/>
  <c r="BY138" i="670"/>
  <c r="BW138" i="670"/>
  <c r="BV138" i="670"/>
  <c r="BJ138" i="670"/>
  <c r="BX138" i="670"/>
  <c r="BA138" i="670"/>
  <c r="AZ138" i="670"/>
  <c r="Z138" i="670"/>
  <c r="R138" i="670"/>
  <c r="Q138" i="670"/>
  <c r="A138" i="670"/>
  <c r="CA137" i="670"/>
  <c r="BZ137" i="670"/>
  <c r="BY137" i="670"/>
  <c r="BW137" i="670"/>
  <c r="BV137" i="670"/>
  <c r="BJ137" i="670"/>
  <c r="BX137" i="670" s="1"/>
  <c r="BA137" i="670"/>
  <c r="AZ137" i="670"/>
  <c r="Z137" i="670"/>
  <c r="R137" i="670"/>
  <c r="Q137" i="670"/>
  <c r="A137" i="670"/>
  <c r="CA136" i="670"/>
  <c r="BZ136" i="670"/>
  <c r="CB136" i="670" s="1"/>
  <c r="CD136" i="670" s="1"/>
  <c r="BY136" i="670"/>
  <c r="BW136" i="670"/>
  <c r="BV136" i="670"/>
  <c r="BJ136" i="670"/>
  <c r="BX136" i="670" s="1"/>
  <c r="BA136" i="670"/>
  <c r="AZ136" i="670"/>
  <c r="Z136" i="670"/>
  <c r="R136" i="670"/>
  <c r="Q136" i="670"/>
  <c r="A136" i="670"/>
  <c r="CA135" i="670"/>
  <c r="BZ135" i="670"/>
  <c r="BY135" i="670"/>
  <c r="BW135" i="670"/>
  <c r="BV135" i="670"/>
  <c r="BJ135" i="670"/>
  <c r="BX135" i="670"/>
  <c r="BA135" i="670"/>
  <c r="AZ135" i="670"/>
  <c r="Z135" i="670"/>
  <c r="R135" i="670"/>
  <c r="Q135" i="670"/>
  <c r="A135" i="670"/>
  <c r="CA134" i="670"/>
  <c r="BZ134" i="670"/>
  <c r="BY134" i="670"/>
  <c r="BW134" i="670"/>
  <c r="BV134" i="670"/>
  <c r="BJ134" i="670"/>
  <c r="BX134" i="670" s="1"/>
  <c r="BA134" i="670"/>
  <c r="AZ134" i="670"/>
  <c r="Z134" i="670"/>
  <c r="R134" i="670"/>
  <c r="Q134" i="670"/>
  <c r="A134" i="670"/>
  <c r="CA133" i="670"/>
  <c r="BZ133" i="670"/>
  <c r="BY133" i="670"/>
  <c r="BW133" i="670"/>
  <c r="BV133" i="670"/>
  <c r="CB133" i="670" s="1"/>
  <c r="CD133" i="670" s="1"/>
  <c r="BJ133" i="670"/>
  <c r="BX133" i="670" s="1"/>
  <c r="BA133" i="670"/>
  <c r="AZ133" i="670"/>
  <c r="Z133" i="670"/>
  <c r="R133" i="670"/>
  <c r="Q133" i="670"/>
  <c r="A133" i="670"/>
  <c r="CA132" i="670"/>
  <c r="BZ132" i="670"/>
  <c r="BY132" i="670"/>
  <c r="BW132" i="670"/>
  <c r="BV132" i="670"/>
  <c r="BJ132" i="670"/>
  <c r="BX132" i="670"/>
  <c r="BA132" i="670"/>
  <c r="AZ132" i="670"/>
  <c r="Z132" i="670"/>
  <c r="R132" i="670"/>
  <c r="Q132" i="670"/>
  <c r="A132" i="670"/>
  <c r="CA131" i="670"/>
  <c r="BZ131" i="670"/>
  <c r="BY131" i="670"/>
  <c r="BW131" i="670"/>
  <c r="BV131" i="670"/>
  <c r="BJ131" i="670"/>
  <c r="BX131" i="670"/>
  <c r="BA131" i="670"/>
  <c r="AZ131" i="670"/>
  <c r="Z131" i="670"/>
  <c r="R131" i="670"/>
  <c r="Q131" i="670"/>
  <c r="A131" i="670"/>
  <c r="CA130" i="670"/>
  <c r="BZ130" i="670"/>
  <c r="BY130" i="670"/>
  <c r="BW130" i="670"/>
  <c r="BV130" i="670"/>
  <c r="BJ130" i="670"/>
  <c r="BX130" i="670"/>
  <c r="CB130" i="670" s="1"/>
  <c r="CD130" i="670" s="1"/>
  <c r="BA130" i="670"/>
  <c r="AZ130" i="670"/>
  <c r="Z130" i="670"/>
  <c r="R130" i="670"/>
  <c r="Q130" i="670"/>
  <c r="A130" i="670"/>
  <c r="CA129" i="670"/>
  <c r="BZ129" i="670"/>
  <c r="BY129" i="670"/>
  <c r="BW129" i="670"/>
  <c r="BV129" i="670"/>
  <c r="BJ129" i="670"/>
  <c r="BX129" i="670"/>
  <c r="BA129" i="670"/>
  <c r="AZ129" i="670"/>
  <c r="Z129" i="670"/>
  <c r="R129" i="670"/>
  <c r="Q129" i="670"/>
  <c r="A129" i="670"/>
  <c r="CA128" i="670"/>
  <c r="BZ128" i="670"/>
  <c r="BY128" i="670"/>
  <c r="BW128" i="670"/>
  <c r="BV128" i="670"/>
  <c r="BJ128" i="670"/>
  <c r="BX128" i="670"/>
  <c r="BA128" i="670"/>
  <c r="AZ128" i="670"/>
  <c r="AL128" i="670"/>
  <c r="AL175" i="670" s="1"/>
  <c r="R128" i="670"/>
  <c r="Q128" i="670"/>
  <c r="A128" i="670"/>
  <c r="CA127" i="670"/>
  <c r="BZ127" i="670"/>
  <c r="BY127" i="670"/>
  <c r="BX127" i="670"/>
  <c r="BW127" i="670"/>
  <c r="BV127" i="670"/>
  <c r="BA127" i="670"/>
  <c r="AZ127" i="670"/>
  <c r="AX127" i="670"/>
  <c r="AX175" i="670" s="1"/>
  <c r="R127" i="670"/>
  <c r="Q127" i="670"/>
  <c r="A127" i="670"/>
  <c r="CA126" i="670"/>
  <c r="BZ126" i="670"/>
  <c r="BY126" i="670"/>
  <c r="BX126" i="670"/>
  <c r="BW126" i="670"/>
  <c r="BV126" i="670"/>
  <c r="CB126" i="670"/>
  <c r="BA126" i="670"/>
  <c r="BB126" i="670" s="1"/>
  <c r="CC126" i="670" s="1"/>
  <c r="CD126" i="670" s="1"/>
  <c r="AZ126" i="670"/>
  <c r="AM126" i="670"/>
  <c r="R126" i="670"/>
  <c r="Q126" i="670"/>
  <c r="A126" i="670"/>
  <c r="CA125" i="670"/>
  <c r="BZ125" i="670"/>
  <c r="BY125" i="670"/>
  <c r="BX125" i="670"/>
  <c r="BW125" i="670"/>
  <c r="BV125" i="670"/>
  <c r="BA125" i="670"/>
  <c r="AZ125" i="670"/>
  <c r="AM125" i="670"/>
  <c r="AM175" i="670" s="1"/>
  <c r="R125" i="670"/>
  <c r="Q125" i="670"/>
  <c r="A125" i="670"/>
  <c r="CA124" i="670"/>
  <c r="BZ124" i="670"/>
  <c r="BW124" i="670"/>
  <c r="BV124" i="670"/>
  <c r="BJ124" i="670"/>
  <c r="BA124" i="670"/>
  <c r="AZ124" i="670"/>
  <c r="AR124" i="670"/>
  <c r="R124" i="670"/>
  <c r="Q124" i="670"/>
  <c r="A124" i="670"/>
  <c r="CA123" i="670"/>
  <c r="BZ123" i="670"/>
  <c r="BW123" i="670"/>
  <c r="BV123" i="670"/>
  <c r="BJ123" i="670"/>
  <c r="BA123" i="670"/>
  <c r="AZ123" i="670"/>
  <c r="AR123" i="670"/>
  <c r="R123" i="670"/>
  <c r="Q123" i="670"/>
  <c r="A123" i="670"/>
  <c r="CA122" i="670"/>
  <c r="BZ122" i="670"/>
  <c r="BW122" i="670"/>
  <c r="BV122" i="670"/>
  <c r="BJ122" i="670"/>
  <c r="BA122" i="670"/>
  <c r="AZ122" i="670"/>
  <c r="AR122" i="670"/>
  <c r="AR175" i="670" s="1"/>
  <c r="R122" i="670"/>
  <c r="Q122" i="670"/>
  <c r="A122" i="670"/>
  <c r="CA121" i="670"/>
  <c r="BZ121" i="670"/>
  <c r="BY121" i="670"/>
  <c r="BX121" i="670"/>
  <c r="BW121" i="670"/>
  <c r="BV121" i="670"/>
  <c r="BA121" i="670"/>
  <c r="AZ121" i="670"/>
  <c r="AR121" i="670"/>
  <c r="R121" i="670"/>
  <c r="Q121" i="670"/>
  <c r="A121" i="670"/>
  <c r="CA120" i="670"/>
  <c r="BZ120" i="670"/>
  <c r="BY120" i="670"/>
  <c r="BX120" i="670"/>
  <c r="BW120" i="670"/>
  <c r="BV120" i="670"/>
  <c r="BA120" i="670"/>
  <c r="AZ120" i="670"/>
  <c r="AK120" i="670"/>
  <c r="AK175" i="670" s="1"/>
  <c r="A120" i="670"/>
  <c r="CA119" i="670"/>
  <c r="BZ119" i="670"/>
  <c r="BY119" i="670"/>
  <c r="BX119" i="670"/>
  <c r="BW119" i="670"/>
  <c r="BV119" i="670"/>
  <c r="CB119" i="670" s="1"/>
  <c r="BA119" i="670"/>
  <c r="AZ119" i="670"/>
  <c r="AI119" i="670"/>
  <c r="R119" i="670"/>
  <c r="Q119" i="670"/>
  <c r="A119" i="670"/>
  <c r="CA118" i="670"/>
  <c r="BZ118" i="670"/>
  <c r="BW118" i="670"/>
  <c r="BV118" i="670"/>
  <c r="CB118" i="670" s="1"/>
  <c r="CD118" i="670" s="1"/>
  <c r="BJ118" i="670"/>
  <c r="BA118" i="670"/>
  <c r="AZ118" i="670"/>
  <c r="AI118" i="670"/>
  <c r="AI175" i="670" s="1"/>
  <c r="R118" i="670"/>
  <c r="Q118" i="670"/>
  <c r="A118" i="670"/>
  <c r="CA117" i="670"/>
  <c r="BZ117" i="670"/>
  <c r="BY117" i="670"/>
  <c r="BW117" i="670"/>
  <c r="BV117" i="670"/>
  <c r="BJ117" i="670"/>
  <c r="BX117" i="670"/>
  <c r="BA117" i="670"/>
  <c r="AZ117" i="670"/>
  <c r="AA117" i="670"/>
  <c r="R117" i="670"/>
  <c r="Q117" i="670"/>
  <c r="A117" i="670"/>
  <c r="CA116" i="670"/>
  <c r="BZ116" i="670"/>
  <c r="BY116" i="670"/>
  <c r="BW116" i="670"/>
  <c r="BV116" i="670"/>
  <c r="BJ116" i="670"/>
  <c r="BX116" i="670" s="1"/>
  <c r="BA116" i="670"/>
  <c r="AZ116" i="670"/>
  <c r="AA116" i="670"/>
  <c r="R116" i="670"/>
  <c r="Q116" i="670"/>
  <c r="A116" i="670"/>
  <c r="CA115" i="670"/>
  <c r="BZ115" i="670"/>
  <c r="BY115" i="670"/>
  <c r="BW115" i="670"/>
  <c r="BV115" i="670"/>
  <c r="BJ115" i="670"/>
  <c r="BX115" i="670"/>
  <c r="CB115" i="670" s="1"/>
  <c r="CD115" i="670" s="1"/>
  <c r="BA115" i="670"/>
  <c r="BB115" i="670" s="1"/>
  <c r="CC115" i="670" s="1"/>
  <c r="AZ115" i="670"/>
  <c r="AA115" i="670"/>
  <c r="R115" i="670"/>
  <c r="Q115" i="670"/>
  <c r="A115" i="670"/>
  <c r="CA114" i="670"/>
  <c r="BZ114" i="670"/>
  <c r="BY114" i="670"/>
  <c r="BW114" i="670"/>
  <c r="BV114" i="670"/>
  <c r="BJ114" i="670"/>
  <c r="BX114" i="670"/>
  <c r="BA114" i="670"/>
  <c r="AZ114" i="670"/>
  <c r="AA114" i="670"/>
  <c r="R114" i="670"/>
  <c r="Q114" i="670"/>
  <c r="A114" i="670"/>
  <c r="CA113" i="670"/>
  <c r="BZ113" i="670"/>
  <c r="BY113" i="670"/>
  <c r="BX113" i="670"/>
  <c r="BW113" i="670"/>
  <c r="BV113" i="670"/>
  <c r="BA113" i="670"/>
  <c r="AZ113" i="670"/>
  <c r="AW113" i="670"/>
  <c r="AW175" i="670"/>
  <c r="A113" i="670"/>
  <c r="CA112" i="670"/>
  <c r="BZ112" i="670"/>
  <c r="BY112" i="670"/>
  <c r="BW112" i="670"/>
  <c r="BV112" i="670"/>
  <c r="BJ112" i="670"/>
  <c r="BX112" i="670"/>
  <c r="BA112" i="670"/>
  <c r="AZ112" i="670"/>
  <c r="BB112" i="670" s="1"/>
  <c r="CC112" i="670" s="1"/>
  <c r="Y112" i="670"/>
  <c r="R112" i="670"/>
  <c r="Q112" i="670"/>
  <c r="A112" i="670"/>
  <c r="CA111" i="670"/>
  <c r="BZ111" i="670"/>
  <c r="BY111" i="670"/>
  <c r="BW111" i="670"/>
  <c r="BV111" i="670"/>
  <c r="BJ111" i="670"/>
  <c r="BX111" i="670"/>
  <c r="BA111" i="670"/>
  <c r="AZ111" i="670"/>
  <c r="Y111" i="670"/>
  <c r="R111" i="670"/>
  <c r="Q111" i="670"/>
  <c r="A111" i="670"/>
  <c r="CA110" i="670"/>
  <c r="BZ110" i="670"/>
  <c r="BY110" i="670"/>
  <c r="BW110" i="670"/>
  <c r="BV110" i="670"/>
  <c r="CB110" i="670" s="1"/>
  <c r="CD110" i="670" s="1"/>
  <c r="BJ110" i="670"/>
  <c r="BX110" i="670"/>
  <c r="BA110" i="670"/>
  <c r="AZ110" i="670"/>
  <c r="Y110" i="670"/>
  <c r="X110" i="670"/>
  <c r="R110" i="670"/>
  <c r="Q110" i="670"/>
  <c r="A110" i="670"/>
  <c r="CA109" i="670"/>
  <c r="BZ109" i="670"/>
  <c r="BY109" i="670"/>
  <c r="BW109" i="670"/>
  <c r="BV109" i="670"/>
  <c r="BJ109" i="670"/>
  <c r="BX109" i="670"/>
  <c r="BA109" i="670"/>
  <c r="AZ109" i="670"/>
  <c r="BB109" i="670" s="1"/>
  <c r="Y109" i="670"/>
  <c r="R109" i="670"/>
  <c r="Q109" i="670"/>
  <c r="A109" i="670"/>
  <c r="CA108" i="670"/>
  <c r="BZ108" i="670"/>
  <c r="BY108" i="670"/>
  <c r="BW108" i="670"/>
  <c r="BV108" i="670"/>
  <c r="BJ108" i="670"/>
  <c r="BX108" i="670"/>
  <c r="BA108" i="670"/>
  <c r="AZ108" i="670"/>
  <c r="Y108" i="670"/>
  <c r="R108" i="670"/>
  <c r="Q108" i="670"/>
  <c r="A108" i="670"/>
  <c r="CA107" i="670"/>
  <c r="BZ107" i="670"/>
  <c r="BY107" i="670"/>
  <c r="BW107" i="670"/>
  <c r="BV107" i="670"/>
  <c r="CB107" i="670" s="1"/>
  <c r="CD107" i="670" s="1"/>
  <c r="BJ107" i="670"/>
  <c r="BX107" i="670"/>
  <c r="BA107" i="670"/>
  <c r="AZ107" i="670"/>
  <c r="Y107" i="670"/>
  <c r="R107" i="670"/>
  <c r="Q107" i="670"/>
  <c r="A107" i="670"/>
  <c r="CA106" i="670"/>
  <c r="BZ106" i="670"/>
  <c r="BY106" i="670"/>
  <c r="BW106" i="670"/>
  <c r="BV106" i="670"/>
  <c r="BJ106" i="670"/>
  <c r="BX106" i="670"/>
  <c r="BA106" i="670"/>
  <c r="AZ106" i="670"/>
  <c r="S106" i="670"/>
  <c r="R106" i="670"/>
  <c r="Q106" i="670"/>
  <c r="A106" i="670"/>
  <c r="CA105" i="670"/>
  <c r="BZ105" i="670"/>
  <c r="BY105" i="670"/>
  <c r="BW105" i="670"/>
  <c r="BV105" i="670"/>
  <c r="BJ105" i="670"/>
  <c r="BX105" i="670"/>
  <c r="BA105" i="670"/>
  <c r="AZ105" i="670"/>
  <c r="Y105" i="670"/>
  <c r="X105" i="670"/>
  <c r="R105" i="670"/>
  <c r="Q105" i="670"/>
  <c r="A105" i="670"/>
  <c r="CA104" i="670"/>
  <c r="BZ104" i="670"/>
  <c r="BY104" i="670"/>
  <c r="BW104" i="670"/>
  <c r="BV104" i="670"/>
  <c r="CB104" i="670" s="1"/>
  <c r="CD104" i="670" s="1"/>
  <c r="BJ104" i="670"/>
  <c r="BX104" i="670"/>
  <c r="BA104" i="670"/>
  <c r="AZ104" i="670"/>
  <c r="Y104" i="670"/>
  <c r="X104" i="670"/>
  <c r="R104" i="670"/>
  <c r="Q104" i="670"/>
  <c r="A104" i="670"/>
  <c r="CA103" i="670"/>
  <c r="BZ103" i="670"/>
  <c r="BY103" i="670"/>
  <c r="BW103" i="670"/>
  <c r="BV103" i="670"/>
  <c r="BJ103" i="670"/>
  <c r="BX103" i="670"/>
  <c r="BA103" i="670"/>
  <c r="AZ103" i="670"/>
  <c r="BB103" i="670" s="1"/>
  <c r="CC103" i="670" s="1"/>
  <c r="Y103" i="670"/>
  <c r="X103" i="670"/>
  <c r="R103" i="670"/>
  <c r="Q103" i="670"/>
  <c r="A103" i="670"/>
  <c r="CA102" i="670"/>
  <c r="BZ102" i="670"/>
  <c r="BY102" i="670"/>
  <c r="BW102" i="670"/>
  <c r="BV102" i="670"/>
  <c r="BJ102" i="670"/>
  <c r="BX102" i="670"/>
  <c r="BA102" i="670"/>
  <c r="AZ102" i="670"/>
  <c r="Y102" i="670"/>
  <c r="X102" i="670"/>
  <c r="R102" i="670"/>
  <c r="Q102" i="670"/>
  <c r="A102" i="670"/>
  <c r="CA101" i="670"/>
  <c r="BZ101" i="670"/>
  <c r="BY101" i="670"/>
  <c r="CB101" i="670" s="1"/>
  <c r="CD101" i="670" s="1"/>
  <c r="BW101" i="670"/>
  <c r="BV101" i="670"/>
  <c r="BJ101" i="670"/>
  <c r="BX101" i="670"/>
  <c r="BA101" i="670"/>
  <c r="AZ101" i="670"/>
  <c r="Y101" i="670"/>
  <c r="X101" i="670"/>
  <c r="R101" i="670"/>
  <c r="Q101" i="670"/>
  <c r="A101" i="670"/>
  <c r="CA100" i="670"/>
  <c r="BZ100" i="670"/>
  <c r="BY100" i="670"/>
  <c r="BW100" i="670"/>
  <c r="BV100" i="670"/>
  <c r="BJ100" i="670"/>
  <c r="BX100" i="670"/>
  <c r="CB100" i="670" s="1"/>
  <c r="BA100" i="670"/>
  <c r="AZ100" i="670"/>
  <c r="Y100" i="670"/>
  <c r="X100" i="670"/>
  <c r="R100" i="670"/>
  <c r="Q100" i="670"/>
  <c r="A100" i="670"/>
  <c r="CA99" i="670"/>
  <c r="BZ99" i="670"/>
  <c r="BY99" i="670"/>
  <c r="BW99" i="670"/>
  <c r="BV99" i="670"/>
  <c r="BJ99" i="670"/>
  <c r="BX99" i="670"/>
  <c r="BA99" i="670"/>
  <c r="AZ99" i="670"/>
  <c r="Y99" i="670"/>
  <c r="X99" i="670"/>
  <c r="R99" i="670"/>
  <c r="Q99" i="670"/>
  <c r="A99" i="670"/>
  <c r="CA98" i="670"/>
  <c r="CB98" i="670" s="1"/>
  <c r="CD98" i="670" s="1"/>
  <c r="BZ98" i="670"/>
  <c r="BY98" i="670"/>
  <c r="BW98" i="670"/>
  <c r="BV98" i="670"/>
  <c r="BJ98" i="670"/>
  <c r="BX98" i="670"/>
  <c r="BA98" i="670"/>
  <c r="AZ98" i="670"/>
  <c r="X98" i="670"/>
  <c r="R98" i="670"/>
  <c r="Q98" i="670"/>
  <c r="H98" i="670"/>
  <c r="G98" i="670"/>
  <c r="A98" i="670"/>
  <c r="CA97" i="670"/>
  <c r="BZ97" i="670"/>
  <c r="BY97" i="670"/>
  <c r="BW97" i="670"/>
  <c r="BV97" i="670"/>
  <c r="BJ97" i="670"/>
  <c r="BX97" i="670" s="1"/>
  <c r="BA97" i="670"/>
  <c r="AZ97" i="670"/>
  <c r="X97" i="670"/>
  <c r="R97" i="670"/>
  <c r="Q97" i="670"/>
  <c r="A97" i="670"/>
  <c r="CA96" i="670"/>
  <c r="BZ96" i="670"/>
  <c r="BY96" i="670"/>
  <c r="BW96" i="670"/>
  <c r="BV96" i="670"/>
  <c r="BJ96" i="670"/>
  <c r="BX96" i="670" s="1"/>
  <c r="BA96" i="670"/>
  <c r="AZ96" i="670"/>
  <c r="X96" i="670"/>
  <c r="R96" i="670"/>
  <c r="Q96" i="670"/>
  <c r="A96" i="670"/>
  <c r="CA95" i="670"/>
  <c r="CB95" i="670" s="1"/>
  <c r="CD95" i="670" s="1"/>
  <c r="BZ95" i="670"/>
  <c r="BY95" i="670"/>
  <c r="BW95" i="670"/>
  <c r="BV95" i="670"/>
  <c r="BJ95" i="670"/>
  <c r="BX95" i="670" s="1"/>
  <c r="BA95" i="670"/>
  <c r="AZ95" i="670"/>
  <c r="Y95" i="670"/>
  <c r="X95" i="670"/>
  <c r="R95" i="670"/>
  <c r="Q95" i="670"/>
  <c r="A95" i="670"/>
  <c r="CA94" i="670"/>
  <c r="BZ94" i="670"/>
  <c r="BY94" i="670"/>
  <c r="BW94" i="670"/>
  <c r="BV94" i="670"/>
  <c r="BJ94" i="670"/>
  <c r="BX94" i="670"/>
  <c r="CB94" i="670" s="1"/>
  <c r="BA94" i="670"/>
  <c r="BB94" i="670" s="1"/>
  <c r="CC94" i="670" s="1"/>
  <c r="AZ94" i="670"/>
  <c r="Y94" i="670"/>
  <c r="X94" i="670"/>
  <c r="R94" i="670"/>
  <c r="Q94" i="670"/>
  <c r="A94" i="670"/>
  <c r="CA93" i="670"/>
  <c r="BZ93" i="670"/>
  <c r="BY93" i="670"/>
  <c r="BW93" i="670"/>
  <c r="BV93" i="670"/>
  <c r="BJ93" i="670"/>
  <c r="BX93" i="670"/>
  <c r="BA93" i="670"/>
  <c r="AZ93" i="670"/>
  <c r="S93" i="670"/>
  <c r="R93" i="670"/>
  <c r="Q93" i="670"/>
  <c r="A93" i="670"/>
  <c r="CA92" i="670"/>
  <c r="CB92" i="670" s="1"/>
  <c r="CD92" i="670" s="1"/>
  <c r="BZ92" i="670"/>
  <c r="BY92" i="670"/>
  <c r="BW92" i="670"/>
  <c r="BV92" i="670"/>
  <c r="BJ92" i="670"/>
  <c r="BX92" i="670"/>
  <c r="BA92" i="670"/>
  <c r="AZ92" i="670"/>
  <c r="X92" i="670"/>
  <c r="R92" i="670"/>
  <c r="Q92" i="670"/>
  <c r="A92" i="670"/>
  <c r="CA91" i="670"/>
  <c r="BZ91" i="670"/>
  <c r="BY91" i="670"/>
  <c r="BW91" i="670"/>
  <c r="BV91" i="670"/>
  <c r="BJ91" i="670"/>
  <c r="BX91" i="670"/>
  <c r="CB91" i="670" s="1"/>
  <c r="CD91" i="670" s="1"/>
  <c r="BA91" i="670"/>
  <c r="BB91" i="670" s="1"/>
  <c r="CC91" i="670" s="1"/>
  <c r="AZ91" i="670"/>
  <c r="X91" i="670"/>
  <c r="R91" i="670"/>
  <c r="Q91" i="670"/>
  <c r="A91" i="670"/>
  <c r="CA90" i="670"/>
  <c r="BZ90" i="670"/>
  <c r="BY90" i="670"/>
  <c r="BW90" i="670"/>
  <c r="BV90" i="670"/>
  <c r="BJ90" i="670"/>
  <c r="BX90" i="670" s="1"/>
  <c r="BA90" i="670"/>
  <c r="AZ90" i="670"/>
  <c r="Y90" i="670"/>
  <c r="X90" i="670"/>
  <c r="R90" i="670"/>
  <c r="Q90" i="670"/>
  <c r="A90" i="670"/>
  <c r="CA89" i="670"/>
  <c r="BZ89" i="670"/>
  <c r="CB89" i="670" s="1"/>
  <c r="BY89" i="670"/>
  <c r="BW89" i="670"/>
  <c r="BV89" i="670"/>
  <c r="BJ89" i="670"/>
  <c r="BX89" i="670"/>
  <c r="BA89" i="670"/>
  <c r="AZ89" i="670"/>
  <c r="X89" i="670"/>
  <c r="R89" i="670"/>
  <c r="Q89" i="670"/>
  <c r="A89" i="670"/>
  <c r="CA88" i="670"/>
  <c r="BZ88" i="670"/>
  <c r="BY88" i="670"/>
  <c r="BW88" i="670"/>
  <c r="BV88" i="670"/>
  <c r="BM88" i="670"/>
  <c r="BJ88" i="670"/>
  <c r="BX88" i="670"/>
  <c r="CB88" i="670" s="1"/>
  <c r="BA88" i="670"/>
  <c r="BB88" i="670" s="1"/>
  <c r="CC88" i="670" s="1"/>
  <c r="AZ88" i="670"/>
  <c r="X88" i="670"/>
  <c r="R88" i="670"/>
  <c r="Q88" i="670"/>
  <c r="A88" i="670"/>
  <c r="CA87" i="670"/>
  <c r="BZ87" i="670"/>
  <c r="BY87" i="670"/>
  <c r="BW87" i="670"/>
  <c r="BV87" i="670"/>
  <c r="BJ87" i="670"/>
  <c r="BX87" i="670"/>
  <c r="BA87" i="670"/>
  <c r="AZ87" i="670"/>
  <c r="S87" i="670"/>
  <c r="X87" i="670"/>
  <c r="R87" i="670"/>
  <c r="Q87" i="670"/>
  <c r="A87" i="670"/>
  <c r="CA86" i="670"/>
  <c r="CB86" i="670" s="1"/>
  <c r="CD86" i="670" s="1"/>
  <c r="BZ86" i="670"/>
  <c r="BY86" i="670"/>
  <c r="BW86" i="670"/>
  <c r="BV86" i="670"/>
  <c r="BJ86" i="670"/>
  <c r="BX86" i="670"/>
  <c r="BA86" i="670"/>
  <c r="AZ86" i="670"/>
  <c r="X86" i="670"/>
  <c r="R86" i="670"/>
  <c r="Q86" i="670"/>
  <c r="A86" i="670"/>
  <c r="CA85" i="670"/>
  <c r="BZ85" i="670"/>
  <c r="BY85" i="670"/>
  <c r="BW85" i="670"/>
  <c r="BV85" i="670"/>
  <c r="BJ85" i="670"/>
  <c r="BX85" i="670"/>
  <c r="BA85" i="670"/>
  <c r="BB85" i="670" s="1"/>
  <c r="CC85" i="670" s="1"/>
  <c r="AZ85" i="670"/>
  <c r="X85" i="670"/>
  <c r="R85" i="670"/>
  <c r="Q85" i="670"/>
  <c r="A85" i="670"/>
  <c r="CA84" i="670"/>
  <c r="BZ84" i="670"/>
  <c r="BY84" i="670"/>
  <c r="BW84" i="670"/>
  <c r="BV84" i="670"/>
  <c r="BJ84" i="670"/>
  <c r="BX84" i="670"/>
  <c r="BA84" i="670"/>
  <c r="AZ84" i="670"/>
  <c r="X84" i="670"/>
  <c r="R84" i="670"/>
  <c r="Q84" i="670"/>
  <c r="A84" i="670"/>
  <c r="CA83" i="670"/>
  <c r="BZ83" i="670"/>
  <c r="CB83" i="670" s="1"/>
  <c r="CD83" i="670" s="1"/>
  <c r="BY83" i="670"/>
  <c r="BW83" i="670"/>
  <c r="BV83" i="670"/>
  <c r="BJ83" i="670"/>
  <c r="BX83" i="670"/>
  <c r="BA83" i="670"/>
  <c r="AZ83" i="670"/>
  <c r="X83" i="670"/>
  <c r="R83" i="670"/>
  <c r="Q83" i="670"/>
  <c r="A83" i="670"/>
  <c r="CA82" i="670"/>
  <c r="BZ82" i="670"/>
  <c r="BY82" i="670"/>
  <c r="BW82" i="670"/>
  <c r="BV82" i="670"/>
  <c r="BJ82" i="670"/>
  <c r="BX82" i="670" s="1"/>
  <c r="CB82" i="670" s="1"/>
  <c r="BA82" i="670"/>
  <c r="BB82" i="670" s="1"/>
  <c r="CC82" i="670" s="1"/>
  <c r="AZ82" i="670"/>
  <c r="X82" i="670"/>
  <c r="R82" i="670"/>
  <c r="Q82" i="670"/>
  <c r="A82" i="670"/>
  <c r="CA81" i="670"/>
  <c r="BZ81" i="670"/>
  <c r="BY81" i="670"/>
  <c r="BW81" i="670"/>
  <c r="BV81" i="670"/>
  <c r="BJ81" i="670"/>
  <c r="BX81" i="670" s="1"/>
  <c r="BA81" i="670"/>
  <c r="AZ81" i="670"/>
  <c r="X81" i="670"/>
  <c r="R81" i="670"/>
  <c r="Q81" i="670"/>
  <c r="A81" i="670"/>
  <c r="CA80" i="670"/>
  <c r="BZ80" i="670"/>
  <c r="BY80" i="670"/>
  <c r="BW80" i="670"/>
  <c r="CB80" i="670" s="1"/>
  <c r="CD80" i="670" s="1"/>
  <c r="BV80" i="670"/>
  <c r="BJ80" i="670"/>
  <c r="BX80" i="670" s="1"/>
  <c r="BA80" i="670"/>
  <c r="AZ80" i="670"/>
  <c r="Y80" i="670"/>
  <c r="X80" i="670"/>
  <c r="R80" i="670"/>
  <c r="Q80" i="670"/>
  <c r="A80" i="670"/>
  <c r="CA79" i="670"/>
  <c r="BZ79" i="670"/>
  <c r="BY79" i="670"/>
  <c r="BW79" i="670"/>
  <c r="BV79" i="670"/>
  <c r="BJ79" i="670"/>
  <c r="BX79" i="670"/>
  <c r="BA79" i="670"/>
  <c r="AZ79" i="670"/>
  <c r="S79" i="670"/>
  <c r="R79" i="670"/>
  <c r="Q79" i="670"/>
  <c r="A79" i="670"/>
  <c r="CA78" i="670"/>
  <c r="BZ78" i="670"/>
  <c r="BY78" i="670"/>
  <c r="BW78" i="670"/>
  <c r="BV78" i="670"/>
  <c r="BJ78" i="670"/>
  <c r="BX78" i="670" s="1"/>
  <c r="BA78" i="670"/>
  <c r="AZ78" i="670"/>
  <c r="Y78" i="670"/>
  <c r="X78" i="670"/>
  <c r="R78" i="670"/>
  <c r="Q78" i="670"/>
  <c r="A78" i="670"/>
  <c r="CA77" i="670"/>
  <c r="BZ77" i="670"/>
  <c r="BY77" i="670"/>
  <c r="BW77" i="670"/>
  <c r="BV77" i="670"/>
  <c r="CB77" i="670" s="1"/>
  <c r="CD77" i="670" s="1"/>
  <c r="BJ77" i="670"/>
  <c r="BX77" i="670"/>
  <c r="BA77" i="670"/>
  <c r="AZ77" i="670"/>
  <c r="Y77" i="670"/>
  <c r="X77" i="670"/>
  <c r="R77" i="670"/>
  <c r="Q77" i="670"/>
  <c r="A77" i="670"/>
  <c r="CA76" i="670"/>
  <c r="BZ76" i="670"/>
  <c r="BY76" i="670"/>
  <c r="BW76" i="670"/>
  <c r="BV76" i="670"/>
  <c r="BJ76" i="670"/>
  <c r="BX76" i="670"/>
  <c r="BA76" i="670"/>
  <c r="AZ76" i="670"/>
  <c r="Y76" i="670"/>
  <c r="X76" i="670"/>
  <c r="R76" i="670"/>
  <c r="Q76" i="670"/>
  <c r="A76" i="670"/>
  <c r="CA75" i="670"/>
  <c r="BZ75" i="670"/>
  <c r="BY75" i="670"/>
  <c r="BW75" i="670"/>
  <c r="BV75" i="670"/>
  <c r="BJ75" i="670"/>
  <c r="BX75" i="670"/>
  <c r="BA75" i="670"/>
  <c r="AZ75" i="670"/>
  <c r="Y75" i="670"/>
  <c r="X75" i="670"/>
  <c r="Q75" i="670"/>
  <c r="A75" i="670"/>
  <c r="CA74" i="670"/>
  <c r="BZ74" i="670"/>
  <c r="BY74" i="670"/>
  <c r="BW74" i="670"/>
  <c r="BV74" i="670"/>
  <c r="BJ74" i="670"/>
  <c r="BX74" i="670"/>
  <c r="BA74" i="670"/>
  <c r="AZ74" i="670"/>
  <c r="Y74" i="670"/>
  <c r="X74" i="670"/>
  <c r="R74" i="670"/>
  <c r="Q74" i="670"/>
  <c r="A74" i="670"/>
  <c r="CA73" i="670"/>
  <c r="BZ73" i="670"/>
  <c r="BY73" i="670"/>
  <c r="BW73" i="670"/>
  <c r="BV73" i="670"/>
  <c r="BJ73" i="670"/>
  <c r="BX73" i="670"/>
  <c r="BA73" i="670"/>
  <c r="AZ73" i="670"/>
  <c r="BB73" i="670" s="1"/>
  <c r="CC73" i="670" s="1"/>
  <c r="Y73" i="670"/>
  <c r="X73" i="670"/>
  <c r="R73" i="670"/>
  <c r="Q73" i="670"/>
  <c r="A73" i="670"/>
  <c r="CA72" i="670"/>
  <c r="BZ72" i="670"/>
  <c r="BY72" i="670"/>
  <c r="BW72" i="670"/>
  <c r="BV72" i="670"/>
  <c r="BJ72" i="670"/>
  <c r="BX72" i="670"/>
  <c r="BA72" i="670"/>
  <c r="AZ72" i="670"/>
  <c r="Y72" i="670"/>
  <c r="X72" i="670"/>
  <c r="R72" i="670"/>
  <c r="Q72" i="670"/>
  <c r="A72" i="670"/>
  <c r="CA71" i="670"/>
  <c r="BZ71" i="670"/>
  <c r="CB71" i="670" s="1"/>
  <c r="CD71" i="670" s="1"/>
  <c r="BY71" i="670"/>
  <c r="BW71" i="670"/>
  <c r="BV71" i="670"/>
  <c r="BJ71" i="670"/>
  <c r="BX71" i="670" s="1"/>
  <c r="BA71" i="670"/>
  <c r="AZ71" i="670"/>
  <c r="Y71" i="670"/>
  <c r="X71" i="670"/>
  <c r="R71" i="670"/>
  <c r="Q71" i="670"/>
  <c r="A71" i="670"/>
  <c r="CA70" i="670"/>
  <c r="BZ70" i="670"/>
  <c r="BY70" i="670"/>
  <c r="BW70" i="670"/>
  <c r="BV70" i="670"/>
  <c r="BJ70" i="670"/>
  <c r="BX70" i="670" s="1"/>
  <c r="CB70" i="670" s="1"/>
  <c r="BA70" i="670"/>
  <c r="BB70" i="670" s="1"/>
  <c r="CC70" i="670" s="1"/>
  <c r="CD70" i="670" s="1"/>
  <c r="AZ70" i="670"/>
  <c r="Y70" i="670"/>
  <c r="X70" i="670"/>
  <c r="R70" i="670"/>
  <c r="Q70" i="670"/>
  <c r="A70" i="670"/>
  <c r="CA69" i="670"/>
  <c r="BZ69" i="670"/>
  <c r="BY69" i="670"/>
  <c r="BW69" i="670"/>
  <c r="BV69" i="670"/>
  <c r="BJ69" i="670"/>
  <c r="BX69" i="670" s="1"/>
  <c r="CB69" i="670" s="1"/>
  <c r="CD69" i="670" s="1"/>
  <c r="BA69" i="670"/>
  <c r="AZ69" i="670"/>
  <c r="S69" i="670"/>
  <c r="R69" i="670"/>
  <c r="Q69" i="670"/>
  <c r="A69" i="670"/>
  <c r="CA68" i="670"/>
  <c r="BZ68" i="670"/>
  <c r="BY68" i="670"/>
  <c r="BW68" i="670"/>
  <c r="BV68" i="670"/>
  <c r="BJ68" i="670"/>
  <c r="BX68" i="670" s="1"/>
  <c r="BA68" i="670"/>
  <c r="AZ68" i="670"/>
  <c r="Y68" i="670"/>
  <c r="X68" i="670"/>
  <c r="R68" i="670"/>
  <c r="Q68" i="670"/>
  <c r="A68" i="670"/>
  <c r="CA67" i="670"/>
  <c r="BZ67" i="670"/>
  <c r="BY67" i="670"/>
  <c r="BW67" i="670"/>
  <c r="BV67" i="670"/>
  <c r="BJ67" i="670"/>
  <c r="BX67" i="670"/>
  <c r="BA67" i="670"/>
  <c r="AZ67" i="670"/>
  <c r="Y67" i="670"/>
  <c r="X67" i="670"/>
  <c r="R67" i="670"/>
  <c r="Q67" i="670"/>
  <c r="A67" i="670"/>
  <c r="CA66" i="670"/>
  <c r="BZ66" i="670"/>
  <c r="BY66" i="670"/>
  <c r="BW66" i="670"/>
  <c r="BV66" i="670"/>
  <c r="BJ66" i="670"/>
  <c r="BX66" i="670"/>
  <c r="BA66" i="670"/>
  <c r="AZ66" i="670"/>
  <c r="Y66" i="670"/>
  <c r="X66" i="670"/>
  <c r="R66" i="670"/>
  <c r="Q66" i="670"/>
  <c r="A66" i="670"/>
  <c r="CA65" i="670"/>
  <c r="BZ65" i="670"/>
  <c r="CB65" i="670" s="1"/>
  <c r="CD65" i="670" s="1"/>
  <c r="BY65" i="670"/>
  <c r="BW65" i="670"/>
  <c r="BV65" i="670"/>
  <c r="BJ65" i="670"/>
  <c r="BX65" i="670" s="1"/>
  <c r="BA65" i="670"/>
  <c r="AZ65" i="670"/>
  <c r="Y65" i="670"/>
  <c r="X65" i="670"/>
  <c r="R65" i="670"/>
  <c r="Q65" i="670"/>
  <c r="A65" i="670"/>
  <c r="CA64" i="670"/>
  <c r="BZ64" i="670"/>
  <c r="BY64" i="670"/>
  <c r="BW64" i="670"/>
  <c r="BV64" i="670"/>
  <c r="BJ64" i="670"/>
  <c r="BX64" i="670"/>
  <c r="BA64" i="670"/>
  <c r="AZ64" i="670"/>
  <c r="Y64" i="670"/>
  <c r="X64" i="670"/>
  <c r="R64" i="670"/>
  <c r="Q64" i="670"/>
  <c r="A64" i="670"/>
  <c r="CA63" i="670"/>
  <c r="BZ63" i="670"/>
  <c r="BY63" i="670"/>
  <c r="BW63" i="670"/>
  <c r="BV63" i="670"/>
  <c r="BJ63" i="670"/>
  <c r="BX63" i="670" s="1"/>
  <c r="BA63" i="670"/>
  <c r="AZ63" i="670"/>
  <c r="X63" i="670"/>
  <c r="R63" i="670"/>
  <c r="Q63" i="670"/>
  <c r="A63" i="670"/>
  <c r="CA62" i="670"/>
  <c r="BZ62" i="670"/>
  <c r="BY62" i="670"/>
  <c r="BW62" i="670"/>
  <c r="BV62" i="670"/>
  <c r="BJ62" i="670"/>
  <c r="BX62" i="670"/>
  <c r="BA62" i="670"/>
  <c r="AZ62" i="670"/>
  <c r="X62" i="670"/>
  <c r="R62" i="670"/>
  <c r="Q62" i="670"/>
  <c r="A62" i="670"/>
  <c r="CA61" i="670"/>
  <c r="BZ61" i="670"/>
  <c r="BY61" i="670"/>
  <c r="BW61" i="670"/>
  <c r="BV61" i="670"/>
  <c r="BJ61" i="670"/>
  <c r="BX61" i="670" s="1"/>
  <c r="BA61" i="670"/>
  <c r="AZ61" i="670"/>
  <c r="Y61" i="670"/>
  <c r="R61" i="670"/>
  <c r="Q61" i="670"/>
  <c r="A61" i="670"/>
  <c r="CA60" i="670"/>
  <c r="BZ60" i="670"/>
  <c r="BY60" i="670"/>
  <c r="BW60" i="670"/>
  <c r="BV60" i="670"/>
  <c r="BJ60" i="670"/>
  <c r="BX60" i="670" s="1"/>
  <c r="BA60" i="670"/>
  <c r="AZ60" i="670"/>
  <c r="S60" i="670"/>
  <c r="Y60" i="670" s="1"/>
  <c r="Q60" i="670"/>
  <c r="A60" i="670"/>
  <c r="CA59" i="670"/>
  <c r="BZ59" i="670"/>
  <c r="BY59" i="670"/>
  <c r="BW59" i="670"/>
  <c r="BV59" i="670"/>
  <c r="BJ59" i="670"/>
  <c r="BX59" i="670" s="1"/>
  <c r="CB59" i="670" s="1"/>
  <c r="BA59" i="670"/>
  <c r="BB59" i="670" s="1"/>
  <c r="CC59" i="670" s="1"/>
  <c r="AZ59" i="670"/>
  <c r="S59" i="670"/>
  <c r="Y59" i="670"/>
  <c r="Q59" i="670"/>
  <c r="A59" i="670"/>
  <c r="CA58" i="670"/>
  <c r="BZ58" i="670"/>
  <c r="BY58" i="670"/>
  <c r="BW58" i="670"/>
  <c r="BV58" i="670"/>
  <c r="BJ58" i="670"/>
  <c r="BX58" i="670" s="1"/>
  <c r="BA58" i="670"/>
  <c r="AZ58" i="670"/>
  <c r="Y58" i="670"/>
  <c r="R58" i="670"/>
  <c r="Q58" i="670"/>
  <c r="A58" i="670"/>
  <c r="CA57" i="670"/>
  <c r="BZ57" i="670"/>
  <c r="BY57" i="670"/>
  <c r="CB57" i="670" s="1"/>
  <c r="CD57" i="670" s="1"/>
  <c r="BW57" i="670"/>
  <c r="BV57" i="670"/>
  <c r="BJ57" i="670"/>
  <c r="BX57" i="670" s="1"/>
  <c r="BA57" i="670"/>
  <c r="AZ57" i="670"/>
  <c r="Y57" i="670"/>
  <c r="R57" i="670"/>
  <c r="Q57" i="670"/>
  <c r="A57" i="670"/>
  <c r="CA56" i="670"/>
  <c r="BZ56" i="670"/>
  <c r="BY56" i="670"/>
  <c r="BW56" i="670"/>
  <c r="BV56" i="670"/>
  <c r="BJ56" i="670"/>
  <c r="BX56" i="670" s="1"/>
  <c r="BA56" i="670"/>
  <c r="AZ56" i="670"/>
  <c r="Y56" i="670"/>
  <c r="R56" i="670"/>
  <c r="Q56" i="670"/>
  <c r="A56" i="670"/>
  <c r="CA55" i="670"/>
  <c r="BZ55" i="670"/>
  <c r="BY55" i="670"/>
  <c r="BW55" i="670"/>
  <c r="BV55" i="670"/>
  <c r="BJ55" i="670"/>
  <c r="BX55" i="670"/>
  <c r="BA55" i="670"/>
  <c r="AZ55" i="670"/>
  <c r="Y55" i="670"/>
  <c r="R55" i="670"/>
  <c r="Q55" i="670"/>
  <c r="A55" i="670"/>
  <c r="CA54" i="670"/>
  <c r="BZ54" i="670"/>
  <c r="BY54" i="670"/>
  <c r="BW54" i="670"/>
  <c r="BV54" i="670"/>
  <c r="BJ54" i="670"/>
  <c r="BX54" i="670"/>
  <c r="BA54" i="670"/>
  <c r="AZ54" i="670"/>
  <c r="Y54" i="670"/>
  <c r="R54" i="670"/>
  <c r="Q54" i="670"/>
  <c r="A54" i="670"/>
  <c r="CA53" i="670"/>
  <c r="BZ53" i="670"/>
  <c r="BY53" i="670"/>
  <c r="BW53" i="670"/>
  <c r="BV53" i="670"/>
  <c r="BJ53" i="670"/>
  <c r="BX53" i="670"/>
  <c r="BA53" i="670"/>
  <c r="AZ53" i="670"/>
  <c r="Y53" i="670"/>
  <c r="X53" i="670"/>
  <c r="R53" i="670"/>
  <c r="Q53" i="670"/>
  <c r="A53" i="670"/>
  <c r="CA52" i="670"/>
  <c r="BZ52" i="670"/>
  <c r="BY52" i="670"/>
  <c r="BW52" i="670"/>
  <c r="BV52" i="670"/>
  <c r="BJ52" i="670"/>
  <c r="BX52" i="670"/>
  <c r="BA52" i="670"/>
  <c r="AZ52" i="670"/>
  <c r="Y52" i="670"/>
  <c r="X52" i="670"/>
  <c r="R52" i="670"/>
  <c r="Q52" i="670"/>
  <c r="A52" i="670"/>
  <c r="CA51" i="670"/>
  <c r="BZ51" i="670"/>
  <c r="BY51" i="670"/>
  <c r="BW51" i="670"/>
  <c r="BV51" i="670"/>
  <c r="BJ51" i="670"/>
  <c r="BX51" i="670" s="1"/>
  <c r="BA51" i="670"/>
  <c r="AZ51" i="670"/>
  <c r="Y51" i="670"/>
  <c r="X51" i="670"/>
  <c r="R51" i="670"/>
  <c r="Q51" i="670"/>
  <c r="A51" i="670"/>
  <c r="CA50" i="670"/>
  <c r="BZ50" i="670"/>
  <c r="BY50" i="670"/>
  <c r="CB50" i="670" s="1"/>
  <c r="BW50" i="670"/>
  <c r="BV50" i="670"/>
  <c r="BJ50" i="670"/>
  <c r="BX50" i="670" s="1"/>
  <c r="BA50" i="670"/>
  <c r="AZ50" i="670"/>
  <c r="S50" i="670"/>
  <c r="R50" i="670"/>
  <c r="Q50" i="670"/>
  <c r="A50" i="670"/>
  <c r="CA49" i="670"/>
  <c r="BZ49" i="670"/>
  <c r="BY49" i="670"/>
  <c r="BW49" i="670"/>
  <c r="BV49" i="670"/>
  <c r="BJ49" i="670"/>
  <c r="BX49" i="670" s="1"/>
  <c r="BA49" i="670"/>
  <c r="AZ49" i="670"/>
  <c r="Y49" i="670"/>
  <c r="X49" i="670"/>
  <c r="R49" i="670"/>
  <c r="Q49" i="670"/>
  <c r="A49" i="670"/>
  <c r="CA48" i="670"/>
  <c r="BZ48" i="670"/>
  <c r="BY48" i="670"/>
  <c r="BW48" i="670"/>
  <c r="BV48" i="670"/>
  <c r="BJ48" i="670"/>
  <c r="BX48" i="670"/>
  <c r="BA48" i="670"/>
  <c r="AZ48" i="670"/>
  <c r="Y48" i="670"/>
  <c r="X48" i="670"/>
  <c r="R48" i="670"/>
  <c r="Q48" i="670"/>
  <c r="A48" i="670"/>
  <c r="CA47" i="670"/>
  <c r="BZ47" i="670"/>
  <c r="BY47" i="670"/>
  <c r="BW47" i="670"/>
  <c r="CB47" i="670" s="1"/>
  <c r="CD47" i="670" s="1"/>
  <c r="BV47" i="670"/>
  <c r="BJ47" i="670"/>
  <c r="BX47" i="670"/>
  <c r="BA47" i="670"/>
  <c r="AZ47" i="670"/>
  <c r="Y47" i="670"/>
  <c r="X47" i="670"/>
  <c r="R47" i="670"/>
  <c r="Q47" i="670"/>
  <c r="A47" i="670"/>
  <c r="CA46" i="670"/>
  <c r="BZ46" i="670"/>
  <c r="BY46" i="670"/>
  <c r="BW46" i="670"/>
  <c r="BV46" i="670"/>
  <c r="BJ46" i="670"/>
  <c r="BX46" i="670"/>
  <c r="BA46" i="670"/>
  <c r="BB46" i="670" s="1"/>
  <c r="AZ46" i="670"/>
  <c r="X46" i="670"/>
  <c r="R46" i="670"/>
  <c r="Q46" i="670"/>
  <c r="A46" i="670"/>
  <c r="CA45" i="670"/>
  <c r="BZ45" i="670"/>
  <c r="BY45" i="670"/>
  <c r="BW45" i="670"/>
  <c r="BV45" i="670"/>
  <c r="BJ45" i="670"/>
  <c r="BX45" i="670" s="1"/>
  <c r="BA45" i="670"/>
  <c r="AZ45" i="670"/>
  <c r="S45" i="670"/>
  <c r="X45" i="670"/>
  <c r="R45" i="670"/>
  <c r="Q45" i="670"/>
  <c r="A45" i="670"/>
  <c r="CA44" i="670"/>
  <c r="BZ44" i="670"/>
  <c r="BY44" i="670"/>
  <c r="BW44" i="670"/>
  <c r="CB44" i="670" s="1"/>
  <c r="CD44" i="670" s="1"/>
  <c r="BV44" i="670"/>
  <c r="BJ44" i="670"/>
  <c r="BX44" i="670"/>
  <c r="BA44" i="670"/>
  <c r="AZ44" i="670"/>
  <c r="X44" i="670"/>
  <c r="R44" i="670"/>
  <c r="Q44" i="670"/>
  <c r="A44" i="670"/>
  <c r="CA43" i="670"/>
  <c r="BZ43" i="670"/>
  <c r="BY43" i="670"/>
  <c r="BW43" i="670"/>
  <c r="BV43" i="670"/>
  <c r="BJ43" i="670"/>
  <c r="BX43" i="670"/>
  <c r="BA43" i="670"/>
  <c r="AZ43" i="670"/>
  <c r="Y43" i="670"/>
  <c r="X43" i="670"/>
  <c r="Q43" i="670"/>
  <c r="A43" i="670"/>
  <c r="CA42" i="670"/>
  <c r="BZ42" i="670"/>
  <c r="BY42" i="670"/>
  <c r="BW42" i="670"/>
  <c r="BV42" i="670"/>
  <c r="BJ42" i="670"/>
  <c r="BX42" i="670" s="1"/>
  <c r="BA42" i="670"/>
  <c r="BB42" i="670" s="1"/>
  <c r="CC42" i="670" s="1"/>
  <c r="AZ42" i="670"/>
  <c r="Y42" i="670"/>
  <c r="X42" i="670"/>
  <c r="R42" i="670"/>
  <c r="Q42" i="670"/>
  <c r="A42" i="670"/>
  <c r="CA41" i="670"/>
  <c r="BY41" i="670"/>
  <c r="BW41" i="670"/>
  <c r="CB41" i="670" s="1"/>
  <c r="BV41" i="670"/>
  <c r="BO41" i="670"/>
  <c r="BZ41" i="670"/>
  <c r="BJ41" i="670"/>
  <c r="BX41" i="670"/>
  <c r="BA41" i="670"/>
  <c r="AZ41" i="670"/>
  <c r="Y41" i="670"/>
  <c r="X41" i="670"/>
  <c r="R41" i="670"/>
  <c r="Q41" i="670"/>
  <c r="A41" i="670"/>
  <c r="CA40" i="670"/>
  <c r="BZ40" i="670"/>
  <c r="BY40" i="670"/>
  <c r="BW40" i="670"/>
  <c r="BV40" i="670"/>
  <c r="BJ40" i="670"/>
  <c r="BX40" i="670"/>
  <c r="BA40" i="670"/>
  <c r="AZ40" i="670"/>
  <c r="Y40" i="670"/>
  <c r="X40" i="670"/>
  <c r="Q40" i="670"/>
  <c r="A40" i="670"/>
  <c r="CA39" i="670"/>
  <c r="BZ39" i="670"/>
  <c r="BY39" i="670"/>
  <c r="BW39" i="670"/>
  <c r="BV39" i="670"/>
  <c r="BJ39" i="670"/>
  <c r="BX39" i="670" s="1"/>
  <c r="CB39" i="670" s="1"/>
  <c r="BA39" i="670"/>
  <c r="AZ39" i="670"/>
  <c r="Y39" i="670"/>
  <c r="X39" i="670"/>
  <c r="Q39" i="670"/>
  <c r="A39" i="670"/>
  <c r="CA38" i="670"/>
  <c r="BZ38" i="670"/>
  <c r="BY38" i="670"/>
  <c r="BW38" i="670"/>
  <c r="BV38" i="670"/>
  <c r="CB38" i="670" s="1"/>
  <c r="CD38" i="670" s="1"/>
  <c r="BJ38" i="670"/>
  <c r="BX38" i="670" s="1"/>
  <c r="BA38" i="670"/>
  <c r="AZ38" i="670"/>
  <c r="Y38" i="670"/>
  <c r="X38" i="670"/>
  <c r="R38" i="670"/>
  <c r="Q38" i="670"/>
  <c r="A38" i="670"/>
  <c r="CA37" i="670"/>
  <c r="BZ37" i="670"/>
  <c r="BY37" i="670"/>
  <c r="BW37" i="670"/>
  <c r="BV37" i="670"/>
  <c r="BJ37" i="670"/>
  <c r="BX37" i="670"/>
  <c r="BA37" i="670"/>
  <c r="AZ37" i="670"/>
  <c r="Y37" i="670"/>
  <c r="X37" i="670"/>
  <c r="R37" i="670"/>
  <c r="Q37" i="670"/>
  <c r="A37" i="670"/>
  <c r="CA36" i="670"/>
  <c r="BZ36" i="670"/>
  <c r="BY36" i="670"/>
  <c r="BW36" i="670"/>
  <c r="BV36" i="670"/>
  <c r="BJ36" i="670"/>
  <c r="BX36" i="670" s="1"/>
  <c r="BA36" i="670"/>
  <c r="AZ36" i="670"/>
  <c r="Y36" i="670"/>
  <c r="X36" i="670"/>
  <c r="R36" i="670"/>
  <c r="Q36" i="670"/>
  <c r="A36" i="670"/>
  <c r="CA35" i="670"/>
  <c r="BZ35" i="670"/>
  <c r="BY35" i="670"/>
  <c r="BW35" i="670"/>
  <c r="BV35" i="670"/>
  <c r="CB35" i="670" s="1"/>
  <c r="BJ35" i="670"/>
  <c r="BX35" i="670"/>
  <c r="BA35" i="670"/>
  <c r="AZ35" i="670"/>
  <c r="Y35" i="670"/>
  <c r="R35" i="670"/>
  <c r="Q35" i="670"/>
  <c r="A35" i="670"/>
  <c r="CA34" i="670"/>
  <c r="BZ34" i="670"/>
  <c r="BY34" i="670"/>
  <c r="BW34" i="670"/>
  <c r="BV34" i="670"/>
  <c r="BJ34" i="670"/>
  <c r="BX34" i="670"/>
  <c r="BA34" i="670"/>
  <c r="AZ34" i="670"/>
  <c r="Y34" i="670"/>
  <c r="R34" i="670"/>
  <c r="Q34" i="670"/>
  <c r="A34" i="670"/>
  <c r="CA33" i="670"/>
  <c r="BZ33" i="670"/>
  <c r="BY33" i="670"/>
  <c r="BW33" i="670"/>
  <c r="BV33" i="670"/>
  <c r="BJ33" i="670"/>
  <c r="BX33" i="670" s="1"/>
  <c r="BA33" i="670"/>
  <c r="AZ33" i="670"/>
  <c r="Y33" i="670"/>
  <c r="R33" i="670"/>
  <c r="Q33" i="670"/>
  <c r="A33" i="670"/>
  <c r="CA32" i="670"/>
  <c r="BZ32" i="670"/>
  <c r="BY32" i="670"/>
  <c r="BW32" i="670"/>
  <c r="BV32" i="670"/>
  <c r="BJ32" i="670"/>
  <c r="BX32" i="670"/>
  <c r="CB32" i="670" s="1"/>
  <c r="BA32" i="670"/>
  <c r="AZ32" i="670"/>
  <c r="Y32" i="670"/>
  <c r="R32" i="670"/>
  <c r="Q32" i="670"/>
  <c r="A32" i="670"/>
  <c r="CA31" i="670"/>
  <c r="BZ31" i="670"/>
  <c r="BY31" i="670"/>
  <c r="BW31" i="670"/>
  <c r="BV31" i="670"/>
  <c r="BJ31" i="670"/>
  <c r="BX31" i="670"/>
  <c r="BA31" i="670"/>
  <c r="AZ31" i="670"/>
  <c r="X31" i="670"/>
  <c r="R31" i="670"/>
  <c r="Q31" i="670"/>
  <c r="A31" i="670"/>
  <c r="CA30" i="670"/>
  <c r="CB30" i="670" s="1"/>
  <c r="BZ30" i="670"/>
  <c r="BY30" i="670"/>
  <c r="BW30" i="670"/>
  <c r="BV30" i="670"/>
  <c r="BJ30" i="670"/>
  <c r="BX30" i="670"/>
  <c r="BA30" i="670"/>
  <c r="AZ30" i="670"/>
  <c r="X30" i="670"/>
  <c r="R30" i="670"/>
  <c r="Q30" i="670"/>
  <c r="A30" i="670"/>
  <c r="CA29" i="670"/>
  <c r="BZ29" i="670"/>
  <c r="BY29" i="670"/>
  <c r="BW29" i="670"/>
  <c r="BV29" i="670"/>
  <c r="BJ29" i="670"/>
  <c r="BX29" i="670"/>
  <c r="BA29" i="670"/>
  <c r="BB29" i="670" s="1"/>
  <c r="AZ29" i="670"/>
  <c r="Y29" i="670"/>
  <c r="R29" i="670"/>
  <c r="Q29" i="670"/>
  <c r="A29" i="670"/>
  <c r="CA28" i="670"/>
  <c r="BZ28" i="670"/>
  <c r="BY28" i="670"/>
  <c r="BW28" i="670"/>
  <c r="BV28" i="670"/>
  <c r="BJ28" i="670"/>
  <c r="BX28" i="670"/>
  <c r="BA28" i="670"/>
  <c r="AZ28" i="670"/>
  <c r="Y28" i="670"/>
  <c r="R28" i="670"/>
  <c r="Q28" i="670"/>
  <c r="A28" i="670"/>
  <c r="CA27" i="670"/>
  <c r="BZ27" i="670"/>
  <c r="CB27" i="670" s="1"/>
  <c r="CD27" i="670" s="1"/>
  <c r="BY27" i="670"/>
  <c r="BW27" i="670"/>
  <c r="BV27" i="670"/>
  <c r="BJ27" i="670"/>
  <c r="BX27" i="670" s="1"/>
  <c r="BA27" i="670"/>
  <c r="AZ27" i="670"/>
  <c r="Y27" i="670"/>
  <c r="R27" i="670"/>
  <c r="Q27" i="670"/>
  <c r="A27" i="670"/>
  <c r="CA26" i="670"/>
  <c r="BZ26" i="670"/>
  <c r="BY26" i="670"/>
  <c r="BW26" i="670"/>
  <c r="BV26" i="670"/>
  <c r="BJ26" i="670"/>
  <c r="BX26" i="670"/>
  <c r="BA26" i="670"/>
  <c r="AZ26" i="670"/>
  <c r="Y26" i="670"/>
  <c r="R26" i="670"/>
  <c r="Q26" i="670"/>
  <c r="A26" i="670"/>
  <c r="CA25" i="670"/>
  <c r="BZ25" i="670"/>
  <c r="BY25" i="670"/>
  <c r="BW25" i="670"/>
  <c r="BV25" i="670"/>
  <c r="BJ25" i="670"/>
  <c r="BX25" i="670"/>
  <c r="BA25" i="670"/>
  <c r="AZ25" i="670"/>
  <c r="Y25" i="670"/>
  <c r="R25" i="670"/>
  <c r="Q25" i="670"/>
  <c r="A25" i="670"/>
  <c r="CA24" i="670"/>
  <c r="BZ24" i="670"/>
  <c r="BY24" i="670"/>
  <c r="BW24" i="670"/>
  <c r="BV24" i="670"/>
  <c r="BJ24" i="670"/>
  <c r="BX24" i="670" s="1"/>
  <c r="BA24" i="670"/>
  <c r="AZ24" i="670"/>
  <c r="Y24" i="670"/>
  <c r="R24" i="670"/>
  <c r="Q24" i="670"/>
  <c r="A24" i="670"/>
  <c r="CA23" i="670"/>
  <c r="BZ23" i="670"/>
  <c r="BY23" i="670"/>
  <c r="BW23" i="670"/>
  <c r="BV23" i="670"/>
  <c r="BJ23" i="670"/>
  <c r="BX23" i="670"/>
  <c r="BA23" i="670"/>
  <c r="AZ23" i="670"/>
  <c r="Y23" i="670"/>
  <c r="X23" i="670"/>
  <c r="R23" i="670"/>
  <c r="Q23" i="670"/>
  <c r="A23" i="670"/>
  <c r="CA22" i="670"/>
  <c r="BZ22" i="670"/>
  <c r="BY22" i="670"/>
  <c r="BW22" i="670"/>
  <c r="BV22" i="670"/>
  <c r="BJ22" i="670"/>
  <c r="BX22" i="670"/>
  <c r="BA22" i="670"/>
  <c r="AZ22" i="670"/>
  <c r="Y22" i="670"/>
  <c r="X22" i="670"/>
  <c r="R22" i="670"/>
  <c r="Q22" i="670"/>
  <c r="A22" i="670"/>
  <c r="CA21" i="670"/>
  <c r="BZ21" i="670"/>
  <c r="CB21" i="670" s="1"/>
  <c r="BY21" i="670"/>
  <c r="BW21" i="670"/>
  <c r="BV21" i="670"/>
  <c r="BJ21" i="670"/>
  <c r="BX21" i="670" s="1"/>
  <c r="BA21" i="670"/>
  <c r="AZ21" i="670"/>
  <c r="Y21" i="670"/>
  <c r="X21" i="670"/>
  <c r="R21" i="670"/>
  <c r="Q21" i="670"/>
  <c r="A21" i="670"/>
  <c r="CA20" i="670"/>
  <c r="BZ20" i="670"/>
  <c r="BY20" i="670"/>
  <c r="BW20" i="670"/>
  <c r="BV20" i="670"/>
  <c r="BJ20" i="670"/>
  <c r="BX20" i="670" s="1"/>
  <c r="BA20" i="670"/>
  <c r="AZ20" i="670"/>
  <c r="Y20" i="670"/>
  <c r="X20" i="670"/>
  <c r="R20" i="670"/>
  <c r="Q20" i="670"/>
  <c r="A20" i="670"/>
  <c r="CA19" i="670"/>
  <c r="BZ19" i="670"/>
  <c r="BY19" i="670"/>
  <c r="BW19" i="670"/>
  <c r="BV19" i="670"/>
  <c r="BJ19" i="670"/>
  <c r="BX19" i="670"/>
  <c r="BA19" i="670"/>
  <c r="AZ19" i="670"/>
  <c r="Y19" i="670"/>
  <c r="X19" i="670"/>
  <c r="R19" i="670"/>
  <c r="Q19" i="670"/>
  <c r="A19" i="670"/>
  <c r="CA18" i="670"/>
  <c r="BZ18" i="670"/>
  <c r="BY18" i="670"/>
  <c r="BW18" i="670"/>
  <c r="BV18" i="670"/>
  <c r="BJ18" i="670"/>
  <c r="BX18" i="670" s="1"/>
  <c r="BA18" i="670"/>
  <c r="AZ18" i="670"/>
  <c r="Y18" i="670"/>
  <c r="X18" i="670"/>
  <c r="R18" i="670"/>
  <c r="Q18" i="670"/>
  <c r="A18" i="670"/>
  <c r="CA17" i="670"/>
  <c r="BZ17" i="670"/>
  <c r="BY17" i="670"/>
  <c r="BW17" i="670"/>
  <c r="BV17" i="670"/>
  <c r="BJ17" i="670"/>
  <c r="BX17" i="670" s="1"/>
  <c r="BA17" i="670"/>
  <c r="AZ17" i="670"/>
  <c r="Y17" i="670"/>
  <c r="X17" i="670"/>
  <c r="R17" i="670"/>
  <c r="Q17" i="670"/>
  <c r="A17" i="670"/>
  <c r="CA16" i="670"/>
  <c r="BZ16" i="670"/>
  <c r="BY16" i="670"/>
  <c r="BW16" i="670"/>
  <c r="BV16" i="670"/>
  <c r="BJ16" i="670"/>
  <c r="BX16" i="670"/>
  <c r="BA16" i="670"/>
  <c r="AZ16" i="670"/>
  <c r="Y16" i="670"/>
  <c r="X16" i="670"/>
  <c r="R16" i="670"/>
  <c r="Q16" i="670"/>
  <c r="A16" i="670"/>
  <c r="CA15" i="670"/>
  <c r="BY15" i="670"/>
  <c r="BW15" i="670"/>
  <c r="BV15" i="670"/>
  <c r="BO15" i="670"/>
  <c r="BZ15" i="670"/>
  <c r="BJ15" i="670"/>
  <c r="BX15" i="670" s="1"/>
  <c r="BA15" i="670"/>
  <c r="AZ15" i="670"/>
  <c r="S15" i="670"/>
  <c r="R15" i="670"/>
  <c r="Q15" i="670"/>
  <c r="A15" i="670"/>
  <c r="CA14" i="670"/>
  <c r="BZ14" i="670"/>
  <c r="BY14" i="670"/>
  <c r="BW14" i="670"/>
  <c r="BV14" i="670"/>
  <c r="BJ14" i="670"/>
  <c r="BX14" i="670"/>
  <c r="BA14" i="670"/>
  <c r="AZ14" i="670"/>
  <c r="S14" i="670"/>
  <c r="R14" i="670"/>
  <c r="Q14" i="670"/>
  <c r="A14" i="670"/>
  <c r="CA13" i="670"/>
  <c r="BZ13" i="670"/>
  <c r="BY13" i="670"/>
  <c r="BW13" i="670"/>
  <c r="BV13" i="670"/>
  <c r="BJ13" i="670"/>
  <c r="BX13" i="670" s="1"/>
  <c r="BA13" i="670"/>
  <c r="AZ13" i="670"/>
  <c r="Y13" i="670"/>
  <c r="X13" i="670"/>
  <c r="R13" i="670"/>
  <c r="Q13" i="670"/>
  <c r="A13" i="670"/>
  <c r="CA12" i="670"/>
  <c r="BZ12" i="670"/>
  <c r="BY12" i="670"/>
  <c r="BW12" i="670"/>
  <c r="BV12" i="670"/>
  <c r="BJ12" i="670"/>
  <c r="BX12" i="670" s="1"/>
  <c r="BA12" i="670"/>
  <c r="AZ12" i="670"/>
  <c r="Y12" i="670"/>
  <c r="X12" i="670"/>
  <c r="R12" i="670"/>
  <c r="Q12" i="670"/>
  <c r="A12" i="670"/>
  <c r="CA11" i="670"/>
  <c r="BZ11" i="670"/>
  <c r="BY11" i="670"/>
  <c r="BW11" i="670"/>
  <c r="BV11" i="670"/>
  <c r="BJ11" i="670"/>
  <c r="BX11" i="670" s="1"/>
  <c r="BA11" i="670"/>
  <c r="AZ11" i="670"/>
  <c r="Y11" i="670"/>
  <c r="X11" i="670"/>
  <c r="R11" i="670"/>
  <c r="Q11" i="670"/>
  <c r="A11" i="670"/>
  <c r="CA10" i="670"/>
  <c r="BZ10" i="670"/>
  <c r="BY10" i="670"/>
  <c r="BW10" i="670"/>
  <c r="BV10" i="670"/>
  <c r="BJ10" i="670"/>
  <c r="BX10" i="670"/>
  <c r="BA10" i="670"/>
  <c r="AZ10" i="670"/>
  <c r="X10" i="670"/>
  <c r="R10" i="670"/>
  <c r="Q10" i="670"/>
  <c r="A10" i="670"/>
  <c r="CA9" i="670"/>
  <c r="BZ9" i="670"/>
  <c r="BY9" i="670"/>
  <c r="BW9" i="670"/>
  <c r="BV9" i="670"/>
  <c r="BJ9" i="670"/>
  <c r="BX9" i="670"/>
  <c r="BA9" i="670"/>
  <c r="AZ9" i="670"/>
  <c r="S9" i="670"/>
  <c r="R9" i="670"/>
  <c r="Q9" i="670"/>
  <c r="A9" i="670"/>
  <c r="CA8" i="670"/>
  <c r="BZ8" i="670"/>
  <c r="BY8" i="670"/>
  <c r="BW8" i="670"/>
  <c r="BV8" i="670"/>
  <c r="BJ8" i="670"/>
  <c r="BX8" i="670" s="1"/>
  <c r="BA8" i="670"/>
  <c r="AZ8" i="670"/>
  <c r="Y8" i="670"/>
  <c r="X8" i="670"/>
  <c r="R8" i="670"/>
  <c r="Q8" i="670"/>
  <c r="A8" i="670"/>
  <c r="CA7" i="670"/>
  <c r="BZ7" i="670"/>
  <c r="BY7" i="670"/>
  <c r="BW7" i="670"/>
  <c r="BV7" i="670"/>
  <c r="BJ7" i="670"/>
  <c r="BX7" i="670"/>
  <c r="BA7" i="670"/>
  <c r="AZ7" i="670"/>
  <c r="Y7" i="670"/>
  <c r="X7" i="670"/>
  <c r="R7" i="670"/>
  <c r="Q7" i="670"/>
  <c r="A7" i="670"/>
  <c r="CA6" i="670"/>
  <c r="BZ6" i="670"/>
  <c r="BY6" i="670"/>
  <c r="BX6" i="670"/>
  <c r="BW6" i="670"/>
  <c r="BV6" i="670"/>
  <c r="BA6" i="670"/>
  <c r="AZ6" i="670"/>
  <c r="R6" i="670"/>
  <c r="Q6" i="670"/>
  <c r="CA5" i="670"/>
  <c r="BZ5" i="670"/>
  <c r="BY5" i="670"/>
  <c r="BX5" i="670"/>
  <c r="BW5" i="670"/>
  <c r="BV5" i="670"/>
  <c r="BA5" i="670"/>
  <c r="AZ5" i="670"/>
  <c r="R5" i="670"/>
  <c r="Q5" i="670"/>
  <c r="CA4" i="670"/>
  <c r="CB4" i="670" s="1"/>
  <c r="BZ4" i="670"/>
  <c r="BY4" i="670"/>
  <c r="BX4" i="670"/>
  <c r="BW4" i="670"/>
  <c r="BV4" i="670"/>
  <c r="BA4" i="670"/>
  <c r="AZ4" i="670"/>
  <c r="AN4" i="670"/>
  <c r="AN175" i="670"/>
  <c r="A4" i="670"/>
  <c r="BZ72" i="397"/>
  <c r="AZ72" i="397"/>
  <c r="AZ150" i="397" s="1"/>
  <c r="R72" i="397"/>
  <c r="Q72" i="397"/>
  <c r="BZ22" i="397"/>
  <c r="BZ19" i="397"/>
  <c r="R19" i="397"/>
  <c r="Q19" i="397"/>
  <c r="BZ127" i="397"/>
  <c r="R127" i="397"/>
  <c r="Q127" i="397"/>
  <c r="CC100" i="397"/>
  <c r="AT100" i="397"/>
  <c r="BZ9" i="397"/>
  <c r="CA9" i="397"/>
  <c r="BD9" i="397"/>
  <c r="BN9" i="397"/>
  <c r="CB9" i="397"/>
  <c r="CC9" i="397"/>
  <c r="X9" i="397"/>
  <c r="Y9" i="397"/>
  <c r="Q9" i="397"/>
  <c r="R9" i="397"/>
  <c r="A9" i="397"/>
  <c r="X8" i="397"/>
  <c r="Y8" i="397"/>
  <c r="Y7" i="397"/>
  <c r="X7" i="397"/>
  <c r="X15" i="397"/>
  <c r="BZ118" i="397"/>
  <c r="R118" i="397"/>
  <c r="Q118" i="397"/>
  <c r="BZ122" i="397"/>
  <c r="R122" i="397"/>
  <c r="Q122" i="397"/>
  <c r="BZ119" i="397"/>
  <c r="R119" i="397"/>
  <c r="Q119" i="397"/>
  <c r="X17" i="397"/>
  <c r="V114" i="397"/>
  <c r="A7" i="397"/>
  <c r="A114" i="397"/>
  <c r="A113" i="397"/>
  <c r="A111" i="397"/>
  <c r="H21" i="669"/>
  <c r="BD20" i="669"/>
  <c r="BC20" i="669"/>
  <c r="BB20" i="669"/>
  <c r="AZ20" i="669"/>
  <c r="AY20" i="669"/>
  <c r="AX20" i="669"/>
  <c r="AW20" i="669"/>
  <c r="AV20" i="669"/>
  <c r="AU20" i="669"/>
  <c r="AT20" i="669"/>
  <c r="AS20" i="669"/>
  <c r="AR20" i="669"/>
  <c r="AQ20" i="669"/>
  <c r="AP20" i="669"/>
  <c r="AO20" i="669"/>
  <c r="AN20" i="669"/>
  <c r="AM20" i="669"/>
  <c r="AL20" i="669"/>
  <c r="AK20" i="669"/>
  <c r="AI20" i="669"/>
  <c r="AH20" i="669"/>
  <c r="AG20" i="669"/>
  <c r="AF20" i="669"/>
  <c r="AE20" i="669"/>
  <c r="AD20" i="669"/>
  <c r="AA20" i="669"/>
  <c r="Z20" i="669"/>
  <c r="Y20" i="669"/>
  <c r="W20" i="669"/>
  <c r="V20" i="669"/>
  <c r="U20" i="669"/>
  <c r="T20" i="669"/>
  <c r="AJ17" i="669"/>
  <c r="AJ20" i="669"/>
  <c r="AC16" i="669"/>
  <c r="AB16" i="669"/>
  <c r="H15" i="669"/>
  <c r="AC14" i="669"/>
  <c r="AB14" i="669"/>
  <c r="AC13" i="669"/>
  <c r="AB13" i="669"/>
  <c r="AC12" i="669"/>
  <c r="AB12" i="669"/>
  <c r="AB11" i="669"/>
  <c r="AB10" i="669"/>
  <c r="BN76" i="397"/>
  <c r="X12" i="397"/>
  <c r="BZ116" i="397"/>
  <c r="R116" i="397"/>
  <c r="Q116" i="397"/>
  <c r="BZ90" i="397"/>
  <c r="R90" i="397"/>
  <c r="Q90" i="397"/>
  <c r="X14" i="397"/>
  <c r="CE401" i="397"/>
  <c r="CD401" i="397"/>
  <c r="CC401" i="397"/>
  <c r="BZ401" i="397"/>
  <c r="R401" i="397"/>
  <c r="Q401" i="397"/>
  <c r="R290" i="397"/>
  <c r="BZ12" i="397"/>
  <c r="R12" i="397"/>
  <c r="Q12" i="397"/>
  <c r="BZ154" i="397"/>
  <c r="R154" i="397"/>
  <c r="Q154" i="397"/>
  <c r="BZ100" i="397"/>
  <c r="BZ10" i="397"/>
  <c r="R10" i="397"/>
  <c r="Q10" i="397"/>
  <c r="R113" i="397"/>
  <c r="BP253" i="202"/>
  <c r="CC99" i="397"/>
  <c r="CB99" i="397"/>
  <c r="CA99" i="397"/>
  <c r="BZ99" i="397"/>
  <c r="BD99" i="397"/>
  <c r="AT99" i="397"/>
  <c r="A99" i="397"/>
  <c r="R307" i="397"/>
  <c r="Q307" i="397"/>
  <c r="H481" i="652"/>
  <c r="H476" i="652"/>
  <c r="N465" i="652"/>
  <c r="N466" i="652"/>
  <c r="N467" i="652"/>
  <c r="N468" i="652"/>
  <c r="N469" i="652"/>
  <c r="N470" i="652"/>
  <c r="N471" i="652"/>
  <c r="N472" i="652"/>
  <c r="N473" i="652"/>
  <c r="N474" i="652"/>
  <c r="N475" i="652"/>
  <c r="N476" i="652"/>
  <c r="N477" i="652"/>
  <c r="N478" i="652"/>
  <c r="H479" i="652"/>
  <c r="BD478" i="652"/>
  <c r="BC478" i="652"/>
  <c r="BB478" i="652"/>
  <c r="BA478" i="652"/>
  <c r="AZ478" i="652"/>
  <c r="AY478" i="652"/>
  <c r="AX478" i="652"/>
  <c r="AW478" i="652"/>
  <c r="AV478" i="652"/>
  <c r="AU478" i="652"/>
  <c r="AT478" i="652"/>
  <c r="AS478" i="652"/>
  <c r="AR478" i="652"/>
  <c r="AQ478" i="652"/>
  <c r="AP478" i="652"/>
  <c r="AO478" i="652"/>
  <c r="AN478" i="652"/>
  <c r="AM478" i="652"/>
  <c r="AL478" i="652"/>
  <c r="AK478" i="652"/>
  <c r="AJ478" i="652"/>
  <c r="AI478" i="652"/>
  <c r="AH478" i="652"/>
  <c r="AG478" i="652"/>
  <c r="AF478" i="652"/>
  <c r="AE478" i="652"/>
  <c r="AD478" i="652"/>
  <c r="AA478" i="652"/>
  <c r="X478" i="652"/>
  <c r="W478" i="652"/>
  <c r="V478" i="652"/>
  <c r="U478" i="652"/>
  <c r="H474" i="652"/>
  <c r="AC473" i="652"/>
  <c r="AB473" i="652"/>
  <c r="AC472" i="652"/>
  <c r="AB472" i="652"/>
  <c r="H470" i="652"/>
  <c r="AC469" i="652"/>
  <c r="AB469" i="652"/>
  <c r="AC468" i="652"/>
  <c r="AB468" i="652"/>
  <c r="H466" i="652"/>
  <c r="AC465" i="652"/>
  <c r="AB465" i="652"/>
  <c r="AA69" i="397"/>
  <c r="V113" i="397"/>
  <c r="AD78" i="397"/>
  <c r="AD77" i="397"/>
  <c r="Z91" i="397"/>
  <c r="AU107" i="397"/>
  <c r="V111" i="397"/>
  <c r="BZ13" i="397"/>
  <c r="R13" i="397"/>
  <c r="Q13" i="397"/>
  <c r="BZ15" i="397"/>
  <c r="R15" i="397"/>
  <c r="Q15" i="397"/>
  <c r="BZ11" i="397"/>
  <c r="R11" i="397"/>
  <c r="Q11" i="397"/>
  <c r="BZ8" i="397"/>
  <c r="R8" i="397"/>
  <c r="Q8" i="397"/>
  <c r="BZ69" i="397"/>
  <c r="R69" i="397"/>
  <c r="Q69" i="397"/>
  <c r="BZ57" i="397"/>
  <c r="Q57" i="397"/>
  <c r="BZ114" i="397"/>
  <c r="R114" i="397"/>
  <c r="Q114" i="397"/>
  <c r="BZ14" i="397"/>
  <c r="R14" i="397"/>
  <c r="Q14" i="397"/>
  <c r="BZ7" i="397"/>
  <c r="R7" i="397"/>
  <c r="Q7" i="397"/>
  <c r="BZ117" i="397"/>
  <c r="R117" i="397"/>
  <c r="Q117" i="397"/>
  <c r="H452" i="652"/>
  <c r="H444" i="652"/>
  <c r="AC444" i="652"/>
  <c r="N425" i="652"/>
  <c r="N426" i="652"/>
  <c r="N427" i="652"/>
  <c r="N428" i="652"/>
  <c r="N429" i="652"/>
  <c r="N430" i="652"/>
  <c r="N431" i="652"/>
  <c r="N432" i="652"/>
  <c r="N433" i="652"/>
  <c r="N434" i="652"/>
  <c r="N435" i="652"/>
  <c r="N436" i="652"/>
  <c r="N437" i="652"/>
  <c r="N438" i="652"/>
  <c r="N439" i="652"/>
  <c r="N440" i="652"/>
  <c r="N441" i="652"/>
  <c r="N442" i="652"/>
  <c r="N443" i="652"/>
  <c r="N444" i="652"/>
  <c r="N445" i="652"/>
  <c r="N446" i="652"/>
  <c r="N447" i="652"/>
  <c r="N448" i="652"/>
  <c r="N449" i="652"/>
  <c r="H450" i="652"/>
  <c r="BD449" i="652"/>
  <c r="BC449" i="652"/>
  <c r="BB449" i="652"/>
  <c r="BA449" i="652"/>
  <c r="AZ449" i="652"/>
  <c r="AX449" i="652"/>
  <c r="AW449" i="652"/>
  <c r="AV449" i="652"/>
  <c r="AU449" i="652"/>
  <c r="AT449" i="652"/>
  <c r="AS449" i="652"/>
  <c r="AR449" i="652"/>
  <c r="AQ449" i="652"/>
  <c r="AP449" i="652"/>
  <c r="AO449" i="652"/>
  <c r="AN449" i="652"/>
  <c r="AM449" i="652"/>
  <c r="AL449" i="652"/>
  <c r="AK449" i="652"/>
  <c r="AJ449" i="652"/>
  <c r="AI449" i="652"/>
  <c r="AH449" i="652"/>
  <c r="AG449" i="652"/>
  <c r="AF449" i="652"/>
  <c r="AE449" i="652"/>
  <c r="AA449" i="652"/>
  <c r="Z449" i="652"/>
  <c r="Y449" i="652"/>
  <c r="W449" i="652"/>
  <c r="V449" i="652"/>
  <c r="U449" i="652"/>
  <c r="T449" i="652"/>
  <c r="H446" i="652"/>
  <c r="H445" i="652"/>
  <c r="AY442" i="652"/>
  <c r="AY449" i="652" s="1"/>
  <c r="AC439" i="652"/>
  <c r="AC437" i="652"/>
  <c r="AC435" i="652"/>
  <c r="AC433" i="652"/>
  <c r="AB430" i="652"/>
  <c r="H428" i="652"/>
  <c r="H427" i="652"/>
  <c r="AD426" i="652"/>
  <c r="AD449" i="652" s="1"/>
  <c r="X425" i="652"/>
  <c r="X449" i="652" s="1"/>
  <c r="AD76" i="397"/>
  <c r="V110" i="397"/>
  <c r="BZ89" i="397"/>
  <c r="AS89" i="397"/>
  <c r="AS150" i="397" s="1"/>
  <c r="R89" i="397"/>
  <c r="Q89" i="397"/>
  <c r="BZ121" i="397"/>
  <c r="R121" i="397"/>
  <c r="Q121" i="397"/>
  <c r="BZ107" i="397"/>
  <c r="R107" i="397"/>
  <c r="Q107" i="397"/>
  <c r="BZ113" i="397"/>
  <c r="Q113" i="397"/>
  <c r="BZ91" i="397"/>
  <c r="R91" i="397"/>
  <c r="Q91" i="397"/>
  <c r="BZ111" i="397"/>
  <c r="R111" i="397"/>
  <c r="Q111" i="397"/>
  <c r="BZ110" i="397"/>
  <c r="R110" i="397"/>
  <c r="Q110" i="397"/>
  <c r="BZ115" i="397"/>
  <c r="R115" i="397"/>
  <c r="Q115" i="397"/>
  <c r="H412" i="652"/>
  <c r="H407" i="652"/>
  <c r="N401" i="652"/>
  <c r="N402" i="652"/>
  <c r="N403" i="652"/>
  <c r="N404" i="652"/>
  <c r="N405" i="652"/>
  <c r="N406" i="652"/>
  <c r="N407" i="652"/>
  <c r="N408" i="652"/>
  <c r="N409" i="652"/>
  <c r="N400" i="652"/>
  <c r="H410" i="652"/>
  <c r="BD409" i="652"/>
  <c r="BC409" i="652"/>
  <c r="BB409" i="652"/>
  <c r="BA409" i="652"/>
  <c r="AZ409" i="652"/>
  <c r="AY409" i="652"/>
  <c r="AX409" i="652"/>
  <c r="AW409" i="652"/>
  <c r="AU409" i="652"/>
  <c r="AT409" i="652"/>
  <c r="AS409" i="652"/>
  <c r="AR409" i="652"/>
  <c r="AQ409" i="652"/>
  <c r="AP409" i="652"/>
  <c r="AO409" i="652"/>
  <c r="AN409" i="652"/>
  <c r="AM409" i="652"/>
  <c r="AL409" i="652"/>
  <c r="AK409" i="652"/>
  <c r="AJ409" i="652"/>
  <c r="AI409" i="652"/>
  <c r="AH409" i="652"/>
  <c r="AG409" i="652"/>
  <c r="AF409" i="652"/>
  <c r="AE409" i="652"/>
  <c r="AD409" i="652"/>
  <c r="AA409" i="652"/>
  <c r="Z409" i="652"/>
  <c r="Y409" i="652"/>
  <c r="X409" i="652"/>
  <c r="W409" i="652"/>
  <c r="V409" i="652"/>
  <c r="U409" i="652"/>
  <c r="T409" i="652"/>
  <c r="AC406" i="652"/>
  <c r="AB406" i="652"/>
  <c r="H405" i="652"/>
  <c r="AV405" i="652"/>
  <c r="AV409" i="652" s="1"/>
  <c r="AC404" i="652"/>
  <c r="AB404" i="652"/>
  <c r="H403" i="652"/>
  <c r="AC402" i="652"/>
  <c r="AB402" i="652"/>
  <c r="AC401" i="652"/>
  <c r="AB401" i="652"/>
  <c r="AC400" i="652"/>
  <c r="AB400" i="652"/>
  <c r="R296" i="397"/>
  <c r="Q296" i="397"/>
  <c r="CE296" i="397"/>
  <c r="CD296" i="397"/>
  <c r="CC296" i="397"/>
  <c r="BE296" i="397"/>
  <c r="V109" i="397"/>
  <c r="R109" i="397"/>
  <c r="Q109" i="397"/>
  <c r="BZ109" i="397"/>
  <c r="H387" i="652"/>
  <c r="AC387" i="652"/>
  <c r="N356" i="652"/>
  <c r="N10" i="652"/>
  <c r="N357" i="652"/>
  <c r="N358" i="652"/>
  <c r="N359" i="652"/>
  <c r="N360" i="652"/>
  <c r="N361" i="652"/>
  <c r="N362" i="652"/>
  <c r="N363" i="652"/>
  <c r="N364" i="652"/>
  <c r="N365" i="652"/>
  <c r="N366" i="652"/>
  <c r="N367" i="652"/>
  <c r="N368" i="652"/>
  <c r="N369" i="652"/>
  <c r="N370" i="652"/>
  <c r="N371" i="652"/>
  <c r="N372" i="652"/>
  <c r="N373" i="652"/>
  <c r="N374" i="652"/>
  <c r="N375" i="652"/>
  <c r="N376" i="652"/>
  <c r="N377" i="652"/>
  <c r="N378" i="652"/>
  <c r="N379" i="652"/>
  <c r="N380" i="652"/>
  <c r="N381" i="652"/>
  <c r="N382" i="652"/>
  <c r="N383" i="652"/>
  <c r="N384" i="652"/>
  <c r="H385" i="652"/>
  <c r="BD384" i="652"/>
  <c r="BC384" i="652"/>
  <c r="BB384" i="652"/>
  <c r="BA384" i="652"/>
  <c r="AZ384" i="652"/>
  <c r="AX384" i="652"/>
  <c r="AW384" i="652"/>
  <c r="AV384" i="652"/>
  <c r="AU384" i="652"/>
  <c r="AT384" i="652"/>
  <c r="AS384" i="652"/>
  <c r="AR384" i="652"/>
  <c r="AQ384" i="652"/>
  <c r="AP384" i="652"/>
  <c r="AO384" i="652"/>
  <c r="AN384" i="652"/>
  <c r="AM384" i="652"/>
  <c r="AL384" i="652"/>
  <c r="AK384" i="652"/>
  <c r="AI384" i="652"/>
  <c r="AH384" i="652"/>
  <c r="AG384" i="652"/>
  <c r="AF384" i="652"/>
  <c r="AE384" i="652"/>
  <c r="AA384" i="652"/>
  <c r="Z384" i="652"/>
  <c r="Y384" i="652"/>
  <c r="X384" i="652"/>
  <c r="W384" i="652"/>
  <c r="V384" i="652"/>
  <c r="U384" i="652"/>
  <c r="T384" i="652"/>
  <c r="H377" i="652"/>
  <c r="AC376" i="652"/>
  <c r="AB376" i="652"/>
  <c r="AY374" i="652"/>
  <c r="AY384" i="652"/>
  <c r="AC371" i="652"/>
  <c r="AC384" i="652" s="1"/>
  <c r="AB371" i="652"/>
  <c r="AC368" i="652"/>
  <c r="AB368" i="652"/>
  <c r="AC366" i="652"/>
  <c r="AB366" i="652"/>
  <c r="AC361" i="652"/>
  <c r="AB361" i="652"/>
  <c r="AC359" i="652"/>
  <c r="AB359" i="652"/>
  <c r="H358" i="652"/>
  <c r="AJ357" i="652"/>
  <c r="AJ356" i="652"/>
  <c r="AJ384" i="652" s="1"/>
  <c r="BE153" i="397"/>
  <c r="CE153" i="397"/>
  <c r="CD153" i="397"/>
  <c r="CC153" i="397"/>
  <c r="CB153" i="397"/>
  <c r="CA153" i="397"/>
  <c r="BZ153" i="397"/>
  <c r="CF153" i="397"/>
  <c r="CH153" i="397" s="1"/>
  <c r="BD153" i="397"/>
  <c r="BF153" i="397" s="1"/>
  <c r="CG153" i="397" s="1"/>
  <c r="R153" i="397"/>
  <c r="Q153" i="397"/>
  <c r="Q225" i="202"/>
  <c r="R225" i="202"/>
  <c r="W225" i="202"/>
  <c r="AA225" i="202"/>
  <c r="AB225" i="202"/>
  <c r="AC225" i="202"/>
  <c r="AD225" i="202"/>
  <c r="AE225" i="202"/>
  <c r="AG225" i="202"/>
  <c r="AH225" i="202"/>
  <c r="AI225" i="202"/>
  <c r="AJ225" i="202"/>
  <c r="AK225" i="202"/>
  <c r="AL225" i="202"/>
  <c r="AM225" i="202"/>
  <c r="AN225" i="202"/>
  <c r="AO225" i="202"/>
  <c r="AP225" i="202"/>
  <c r="AQ225" i="202"/>
  <c r="AS225" i="202"/>
  <c r="AT225" i="202"/>
  <c r="AV225" i="202"/>
  <c r="AX225" i="202"/>
  <c r="AY225" i="202"/>
  <c r="BA225" i="202"/>
  <c r="BE225" i="202"/>
  <c r="BF225" i="202"/>
  <c r="BZ18" i="397"/>
  <c r="R18" i="397"/>
  <c r="Q18" i="397"/>
  <c r="N333" i="652"/>
  <c r="N334" i="652"/>
  <c r="N335" i="652"/>
  <c r="N336" i="652"/>
  <c r="N337" i="652"/>
  <c r="N338" i="652"/>
  <c r="N339" i="652"/>
  <c r="N340" i="652"/>
  <c r="N341" i="652"/>
  <c r="N332" i="652"/>
  <c r="N313" i="652"/>
  <c r="N312" i="652"/>
  <c r="N311" i="652"/>
  <c r="N310" i="652"/>
  <c r="N309" i="652"/>
  <c r="N308" i="652"/>
  <c r="N307" i="652"/>
  <c r="N306" i="652"/>
  <c r="N305" i="652"/>
  <c r="N304" i="652"/>
  <c r="N316" i="652"/>
  <c r="N315" i="652"/>
  <c r="N314" i="652"/>
  <c r="H342" i="652"/>
  <c r="BD341" i="652"/>
  <c r="BC341" i="652"/>
  <c r="BB341" i="652"/>
  <c r="BA341" i="652"/>
  <c r="AZ341" i="652"/>
  <c r="AY341" i="652"/>
  <c r="AX341" i="652"/>
  <c r="AW341" i="652"/>
  <c r="AU341" i="652"/>
  <c r="AT341" i="652"/>
  <c r="AS341" i="652"/>
  <c r="AR341" i="652"/>
  <c r="AQ341" i="652"/>
  <c r="AP341" i="652"/>
  <c r="AO341" i="652"/>
  <c r="AN341" i="652"/>
  <c r="AM341" i="652"/>
  <c r="AL341" i="652"/>
  <c r="AK341" i="652"/>
  <c r="AJ341" i="652"/>
  <c r="AI341" i="652"/>
  <c r="AH341" i="652"/>
  <c r="AG341" i="652"/>
  <c r="AF341" i="652"/>
  <c r="AE341" i="652"/>
  <c r="AD341" i="652"/>
  <c r="AA341" i="652"/>
  <c r="Z341" i="652"/>
  <c r="Y341" i="652"/>
  <c r="W341" i="652"/>
  <c r="V341" i="652"/>
  <c r="U341" i="652"/>
  <c r="T341" i="652"/>
  <c r="H339" i="652"/>
  <c r="AC338" i="652"/>
  <c r="AB338" i="652"/>
  <c r="AB337" i="652"/>
  <c r="AC336" i="652"/>
  <c r="AB336" i="652"/>
  <c r="AC335" i="652"/>
  <c r="AB335" i="652"/>
  <c r="AC334" i="652"/>
  <c r="AC341" i="652"/>
  <c r="AB334" i="652"/>
  <c r="AV333" i="652"/>
  <c r="AV332" i="652"/>
  <c r="AV341" i="652"/>
  <c r="L325" i="652"/>
  <c r="BZ315" i="397"/>
  <c r="BZ306" i="397"/>
  <c r="R306" i="397"/>
  <c r="Q306" i="397"/>
  <c r="R315" i="397"/>
  <c r="Q315" i="397"/>
  <c r="CC18" i="397"/>
  <c r="H340" i="652"/>
  <c r="H343" i="652"/>
  <c r="X339" i="652"/>
  <c r="X341" i="652" s="1"/>
  <c r="H319" i="652"/>
  <c r="H314" i="652"/>
  <c r="AC314" i="652" s="1"/>
  <c r="AC316" i="652" s="1"/>
  <c r="AC319" i="652"/>
  <c r="AB319" i="652"/>
  <c r="H317" i="652"/>
  <c r="BD316" i="652"/>
  <c r="BC316" i="652"/>
  <c r="BB316" i="652"/>
  <c r="BA316" i="652"/>
  <c r="AZ316" i="652"/>
  <c r="AW316" i="652"/>
  <c r="AV316" i="652"/>
  <c r="AU316" i="652"/>
  <c r="AT316" i="652"/>
  <c r="AS316" i="652"/>
  <c r="AR316" i="652"/>
  <c r="AQ316" i="652"/>
  <c r="AP316" i="652"/>
  <c r="AO316" i="652"/>
  <c r="AN316" i="652"/>
  <c r="AM316" i="652"/>
  <c r="AL316" i="652"/>
  <c r="AK316" i="652"/>
  <c r="AJ316" i="652"/>
  <c r="AI316" i="652"/>
  <c r="AH316" i="652"/>
  <c r="AG316" i="652"/>
  <c r="AF316" i="652"/>
  <c r="AE316" i="652"/>
  <c r="AD316" i="652"/>
  <c r="AA316" i="652"/>
  <c r="Z316" i="652"/>
  <c r="Y316" i="652"/>
  <c r="X316" i="652"/>
  <c r="W316" i="652"/>
  <c r="V316" i="652"/>
  <c r="U316" i="652"/>
  <c r="T316" i="652"/>
  <c r="AC313" i="652"/>
  <c r="AB313" i="652"/>
  <c r="AY312" i="652"/>
  <c r="AY316" i="652"/>
  <c r="AC311" i="652"/>
  <c r="AB311" i="652"/>
  <c r="AC309" i="652"/>
  <c r="AB309" i="652"/>
  <c r="AC307" i="652"/>
  <c r="AB307" i="652"/>
  <c r="AC305" i="652"/>
  <c r="AB305" i="652"/>
  <c r="H304" i="652"/>
  <c r="CE305" i="397"/>
  <c r="CE310" i="397"/>
  <c r="CE402" i="397"/>
  <c r="CE412" i="397"/>
  <c r="CE410" i="397"/>
  <c r="CE403" i="397"/>
  <c r="BE303" i="397"/>
  <c r="CE399" i="397"/>
  <c r="BZ76" i="397"/>
  <c r="BZ412" i="397"/>
  <c r="BZ333" i="397"/>
  <c r="BZ404" i="397"/>
  <c r="BZ308" i="397"/>
  <c r="BZ402" i="397"/>
  <c r="BZ398" i="397"/>
  <c r="BZ313" i="397"/>
  <c r="BZ329" i="397"/>
  <c r="BZ407" i="397"/>
  <c r="BZ400" i="397"/>
  <c r="BZ405" i="397"/>
  <c r="V225" i="202"/>
  <c r="BP254" i="202"/>
  <c r="P225" i="202"/>
  <c r="BZ410" i="397"/>
  <c r="BZ403" i="397"/>
  <c r="AW225" i="202"/>
  <c r="H286" i="652"/>
  <c r="H287" i="652" s="1"/>
  <c r="H290" i="652"/>
  <c r="H291" i="652"/>
  <c r="AC284" i="652"/>
  <c r="AB284" i="652"/>
  <c r="Y276" i="652"/>
  <c r="Z286" i="652"/>
  <c r="Z276" i="652"/>
  <c r="Z280" i="652"/>
  <c r="Z281" i="652"/>
  <c r="Z282" i="652"/>
  <c r="Z283" i="652"/>
  <c r="Z285" i="652"/>
  <c r="Y286" i="652"/>
  <c r="Y280" i="652"/>
  <c r="Y281" i="652"/>
  <c r="Y282" i="652"/>
  <c r="Y283" i="652"/>
  <c r="Y285" i="652"/>
  <c r="T288" i="652"/>
  <c r="N282" i="652"/>
  <c r="N281" i="652"/>
  <c r="N280" i="652"/>
  <c r="N279" i="652"/>
  <c r="N278" i="652"/>
  <c r="N277" i="652"/>
  <c r="N276" i="652"/>
  <c r="N283" i="652"/>
  <c r="N284" i="652"/>
  <c r="N285" i="652"/>
  <c r="N286" i="652"/>
  <c r="N287" i="652"/>
  <c r="N288" i="652"/>
  <c r="H289" i="652"/>
  <c r="BD288" i="652"/>
  <c r="BC288" i="652"/>
  <c r="BB288" i="652"/>
  <c r="BA288" i="652"/>
  <c r="AZ288" i="652"/>
  <c r="AY288" i="652"/>
  <c r="AX288" i="652"/>
  <c r="AW288" i="652"/>
  <c r="AV288" i="652"/>
  <c r="AU288" i="652"/>
  <c r="AT288" i="652"/>
  <c r="AS288" i="652"/>
  <c r="AR288" i="652"/>
  <c r="AQ288" i="652"/>
  <c r="AP288" i="652"/>
  <c r="AO288" i="652"/>
  <c r="AN288" i="652"/>
  <c r="AM288" i="652"/>
  <c r="AL288" i="652"/>
  <c r="AJ288" i="652"/>
  <c r="AI288" i="652"/>
  <c r="AH288" i="652"/>
  <c r="AG288" i="652"/>
  <c r="AF288" i="652"/>
  <c r="AE288" i="652"/>
  <c r="AD288" i="652"/>
  <c r="AA288" i="652"/>
  <c r="X288" i="652"/>
  <c r="W288" i="652"/>
  <c r="V288" i="652"/>
  <c r="U288" i="652"/>
  <c r="AC288" i="652"/>
  <c r="AB279" i="652"/>
  <c r="AB277" i="652"/>
  <c r="CC17" i="397"/>
  <c r="N260" i="652"/>
  <c r="N261" i="652"/>
  <c r="N258" i="652" s="1"/>
  <c r="N262" i="652"/>
  <c r="N263" i="652"/>
  <c r="N259" i="652"/>
  <c r="BD263" i="652"/>
  <c r="BC263" i="652"/>
  <c r="BB263" i="652"/>
  <c r="BA263" i="652"/>
  <c r="AZ263" i="652"/>
  <c r="AY263" i="652"/>
  <c r="AX263" i="652"/>
  <c r="AW263" i="652"/>
  <c r="AV263" i="652"/>
  <c r="AU263" i="652"/>
  <c r="AT263" i="652"/>
  <c r="AS263" i="652"/>
  <c r="AR263" i="652"/>
  <c r="AQ263" i="652"/>
  <c r="AP263" i="652"/>
  <c r="AO263" i="652"/>
  <c r="AN263" i="652"/>
  <c r="AM263" i="652"/>
  <c r="AL263" i="652"/>
  <c r="AK263" i="652"/>
  <c r="AJ263" i="652"/>
  <c r="AI263" i="652"/>
  <c r="AH263" i="652"/>
  <c r="AG263" i="652"/>
  <c r="AF263" i="652"/>
  <c r="AE263" i="652"/>
  <c r="AD263" i="652"/>
  <c r="AB263" i="652"/>
  <c r="AA263" i="652"/>
  <c r="Z263" i="652"/>
  <c r="Y263" i="652"/>
  <c r="X263" i="652"/>
  <c r="W263" i="652"/>
  <c r="V263" i="652"/>
  <c r="U263" i="652"/>
  <c r="T263" i="652"/>
  <c r="H262" i="652"/>
  <c r="AC261" i="652"/>
  <c r="AC260" i="652"/>
  <c r="AC259" i="652"/>
  <c r="AC263" i="652" s="1"/>
  <c r="BZ406" i="397"/>
  <c r="BZ347" i="397"/>
  <c r="BZ17" i="397"/>
  <c r="R17" i="397"/>
  <c r="Q17" i="397"/>
  <c r="H246" i="652"/>
  <c r="H238" i="652"/>
  <c r="N216" i="652"/>
  <c r="N217" i="652"/>
  <c r="N218" i="652"/>
  <c r="N219" i="652"/>
  <c r="N220" i="652"/>
  <c r="N221" i="652"/>
  <c r="N222" i="652"/>
  <c r="N223" i="652"/>
  <c r="N224" i="652"/>
  <c r="N225" i="652"/>
  <c r="N226" i="652"/>
  <c r="N227" i="652"/>
  <c r="N228" i="652"/>
  <c r="N229" i="652"/>
  <c r="N230" i="652"/>
  <c r="N231" i="652"/>
  <c r="N232" i="652"/>
  <c r="N233" i="652"/>
  <c r="N234" i="652"/>
  <c r="N235" i="652"/>
  <c r="N236" i="652"/>
  <c r="N237" i="652"/>
  <c r="N238" i="652"/>
  <c r="N239" i="652"/>
  <c r="N240" i="652"/>
  <c r="N241" i="652"/>
  <c r="N242" i="652"/>
  <c r="N243" i="652"/>
  <c r="N215" i="652"/>
  <c r="H244" i="652"/>
  <c r="BD243" i="652"/>
  <c r="BC243" i="652"/>
  <c r="BB243" i="652"/>
  <c r="BA243" i="652"/>
  <c r="AZ243" i="652"/>
  <c r="AY243" i="652"/>
  <c r="AX243" i="652"/>
  <c r="AW243" i="652"/>
  <c r="AV243" i="652"/>
  <c r="AU243" i="652"/>
  <c r="AT243" i="652"/>
  <c r="AS243" i="652"/>
  <c r="AR243" i="652"/>
  <c r="AQ243" i="652"/>
  <c r="AP243" i="652"/>
  <c r="AO243" i="652"/>
  <c r="AN243" i="652"/>
  <c r="AM243" i="652"/>
  <c r="BE243" i="652" s="1"/>
  <c r="AL243" i="652"/>
  <c r="AK243" i="652"/>
  <c r="AJ243" i="652"/>
  <c r="AI243" i="652"/>
  <c r="AH243" i="652"/>
  <c r="AG243" i="652"/>
  <c r="AF243" i="652"/>
  <c r="AE243" i="652"/>
  <c r="AA243" i="652"/>
  <c r="Z243" i="652"/>
  <c r="Y243" i="652"/>
  <c r="X243" i="652"/>
  <c r="W243" i="652"/>
  <c r="V243" i="652"/>
  <c r="U243" i="652"/>
  <c r="T243" i="652"/>
  <c r="H240" i="652"/>
  <c r="AC236" i="652"/>
  <c r="AB236" i="652"/>
  <c r="H235" i="652"/>
  <c r="H234" i="652"/>
  <c r="AC233" i="652"/>
  <c r="AB233" i="652"/>
  <c r="AC230" i="652"/>
  <c r="AB230" i="652"/>
  <c r="AC228" i="652"/>
  <c r="AB228" i="652"/>
  <c r="AC225" i="652"/>
  <c r="AB225" i="652"/>
  <c r="AC222" i="652"/>
  <c r="AB222" i="652"/>
  <c r="AC219" i="652"/>
  <c r="AB219" i="652"/>
  <c r="H218" i="652"/>
  <c r="AB217" i="652"/>
  <c r="AD216" i="652"/>
  <c r="AD243" i="652"/>
  <c r="AB215" i="652"/>
  <c r="BP257" i="202"/>
  <c r="BP240" i="202"/>
  <c r="BP242" i="202"/>
  <c r="BP247" i="202"/>
  <c r="BP256" i="202"/>
  <c r="BP246" i="202"/>
  <c r="BP248" i="202"/>
  <c r="BP243" i="202"/>
  <c r="BP255" i="202"/>
  <c r="BP245" i="202"/>
  <c r="BP241" i="202"/>
  <c r="BP244" i="202"/>
  <c r="BP239" i="202"/>
  <c r="BP238" i="202"/>
  <c r="BP237" i="202"/>
  <c r="BP236" i="202"/>
  <c r="BP235" i="202"/>
  <c r="BP231" i="202"/>
  <c r="BP234" i="202"/>
  <c r="BZ327" i="397"/>
  <c r="Q292" i="397"/>
  <c r="R292" i="397"/>
  <c r="R327" i="397"/>
  <c r="Q327" i="397"/>
  <c r="S225" i="202"/>
  <c r="BZ291" i="397"/>
  <c r="BZ399" i="397"/>
  <c r="AF225" i="202"/>
  <c r="AU225" i="202"/>
  <c r="H195" i="652"/>
  <c r="N183" i="652"/>
  <c r="N184" i="652"/>
  <c r="N185" i="652"/>
  <c r="N186" i="652"/>
  <c r="N187" i="652"/>
  <c r="N188" i="652"/>
  <c r="N189" i="652"/>
  <c r="N190" i="652"/>
  <c r="N191" i="652"/>
  <c r="N192" i="652"/>
  <c r="N193" i="652"/>
  <c r="N194" i="652"/>
  <c r="N195" i="652"/>
  <c r="N196" i="652"/>
  <c r="N197" i="652"/>
  <c r="N198" i="652"/>
  <c r="N199" i="652"/>
  <c r="N182" i="652"/>
  <c r="H201" i="652"/>
  <c r="H202" i="652"/>
  <c r="H200" i="652"/>
  <c r="BD199" i="652"/>
  <c r="BC199" i="652"/>
  <c r="BB199" i="652"/>
  <c r="BA199" i="652"/>
  <c r="AZ199" i="652"/>
  <c r="AY199" i="652"/>
  <c r="AX199" i="652"/>
  <c r="AW199" i="652"/>
  <c r="AV199" i="652"/>
  <c r="AU199" i="652"/>
  <c r="AT199" i="652"/>
  <c r="AS199" i="652"/>
  <c r="AR199" i="652"/>
  <c r="AQ199" i="652"/>
  <c r="AP199" i="652"/>
  <c r="AO199" i="652"/>
  <c r="AN199" i="652"/>
  <c r="AM199" i="652"/>
  <c r="AL199" i="652"/>
  <c r="AK199" i="652"/>
  <c r="AJ199" i="652"/>
  <c r="AI199" i="652"/>
  <c r="AH199" i="652"/>
  <c r="AG199" i="652"/>
  <c r="AF199" i="652"/>
  <c r="AE199" i="652"/>
  <c r="AD199" i="652"/>
  <c r="AA199" i="652"/>
  <c r="Z199" i="652"/>
  <c r="Y199" i="652"/>
  <c r="X199" i="652"/>
  <c r="W199" i="652"/>
  <c r="V199" i="652"/>
  <c r="U199" i="652"/>
  <c r="H196" i="652"/>
  <c r="AC193" i="652"/>
  <c r="AB193" i="652"/>
  <c r="AC191" i="652"/>
  <c r="AB191" i="652"/>
  <c r="AC189" i="652"/>
  <c r="AB189" i="652"/>
  <c r="AC187" i="652"/>
  <c r="AB187" i="652"/>
  <c r="AC185" i="652"/>
  <c r="AB185" i="652"/>
  <c r="H184" i="652"/>
  <c r="T183" i="652"/>
  <c r="T182" i="652"/>
  <c r="T199" i="652"/>
  <c r="N159" i="652"/>
  <c r="N157" i="652" s="1"/>
  <c r="N160" i="652"/>
  <c r="N161" i="652"/>
  <c r="N162" i="652"/>
  <c r="N163" i="652"/>
  <c r="N164" i="652"/>
  <c r="N165" i="652"/>
  <c r="N166" i="652"/>
  <c r="N167" i="652"/>
  <c r="N158" i="652"/>
  <c r="H168" i="652"/>
  <c r="BD167" i="652"/>
  <c r="BC167" i="652"/>
  <c r="BB167" i="652"/>
  <c r="BA167" i="652"/>
  <c r="AZ167" i="652"/>
  <c r="AY167" i="652"/>
  <c r="AX167" i="652"/>
  <c r="AW167" i="652"/>
  <c r="AV167" i="652"/>
  <c r="AU167" i="652"/>
  <c r="AT167" i="652"/>
  <c r="AS167" i="652"/>
  <c r="AR167" i="652"/>
  <c r="AQ167" i="652"/>
  <c r="AP167" i="652"/>
  <c r="AO167" i="652"/>
  <c r="AN167" i="652"/>
  <c r="AM167" i="652"/>
  <c r="AL167" i="652"/>
  <c r="AK167" i="652"/>
  <c r="AJ167" i="652"/>
  <c r="AI167" i="652"/>
  <c r="AH167" i="652"/>
  <c r="AF167" i="652"/>
  <c r="AE167" i="652"/>
  <c r="AD167" i="652"/>
  <c r="AB167" i="652"/>
  <c r="AA167" i="652"/>
  <c r="Z167" i="652"/>
  <c r="Y167" i="652"/>
  <c r="W167" i="652"/>
  <c r="V167" i="652"/>
  <c r="U167" i="652"/>
  <c r="T167" i="652"/>
  <c r="H165" i="652"/>
  <c r="AC164" i="652"/>
  <c r="AC163" i="652"/>
  <c r="AG162" i="652"/>
  <c r="AG167" i="652"/>
  <c r="AC161" i="652"/>
  <c r="AC160" i="652"/>
  <c r="AC159" i="652"/>
  <c r="AC158" i="652"/>
  <c r="H131" i="652"/>
  <c r="H145" i="652"/>
  <c r="H140" i="652"/>
  <c r="H112" i="652"/>
  <c r="H117" i="652"/>
  <c r="H118" i="652" s="1"/>
  <c r="N138" i="652"/>
  <c r="N137" i="652"/>
  <c r="N136" i="652"/>
  <c r="N135" i="652"/>
  <c r="N134" i="652"/>
  <c r="N133" i="652"/>
  <c r="N132" i="652"/>
  <c r="N131" i="652"/>
  <c r="N139" i="652"/>
  <c r="N140" i="652"/>
  <c r="N141" i="652"/>
  <c r="N142" i="652"/>
  <c r="H143" i="652"/>
  <c r="BD142" i="652"/>
  <c r="BC142" i="652"/>
  <c r="BB142" i="652"/>
  <c r="BA142" i="652"/>
  <c r="AZ142" i="652"/>
  <c r="AY142" i="652"/>
  <c r="AX142" i="652"/>
  <c r="AW142" i="652"/>
  <c r="AV142" i="652"/>
  <c r="AU142" i="652"/>
  <c r="AT142" i="652"/>
  <c r="AS142" i="652"/>
  <c r="AR142" i="652"/>
  <c r="AQ142" i="652"/>
  <c r="AP142" i="652"/>
  <c r="AO142" i="652"/>
  <c r="AN142" i="652"/>
  <c r="AM142" i="652"/>
  <c r="AL142" i="652"/>
  <c r="AK142" i="652"/>
  <c r="AJ142" i="652"/>
  <c r="AI142" i="652"/>
  <c r="AH142" i="652"/>
  <c r="AG142" i="652"/>
  <c r="AF142" i="652"/>
  <c r="AE142" i="652"/>
  <c r="AD142" i="652"/>
  <c r="AB142" i="652"/>
  <c r="AA142" i="652"/>
  <c r="X142" i="652"/>
  <c r="W142" i="652"/>
  <c r="V142" i="652"/>
  <c r="U142" i="652"/>
  <c r="T142" i="652"/>
  <c r="Z139" i="652"/>
  <c r="Y139" i="652"/>
  <c r="Y138" i="652"/>
  <c r="Y136" i="652"/>
  <c r="Y134" i="652"/>
  <c r="Y132" i="652"/>
  <c r="N100" i="652"/>
  <c r="N101" i="652"/>
  <c r="N102" i="652"/>
  <c r="N103" i="652"/>
  <c r="N104" i="652"/>
  <c r="N105" i="652"/>
  <c r="N106" i="652"/>
  <c r="N107" i="652"/>
  <c r="N108" i="652"/>
  <c r="N109" i="652"/>
  <c r="N110" i="652"/>
  <c r="N111" i="652"/>
  <c r="N112" i="652"/>
  <c r="N113" i="652"/>
  <c r="N114" i="652"/>
  <c r="N115" i="652"/>
  <c r="N99" i="652"/>
  <c r="N98" i="652" s="1"/>
  <c r="H116" i="652"/>
  <c r="BD115" i="652"/>
  <c r="BC115" i="652"/>
  <c r="BB115" i="652"/>
  <c r="BA115" i="652"/>
  <c r="AZ115" i="652"/>
  <c r="AY115" i="652"/>
  <c r="AX115" i="652"/>
  <c r="AW115" i="652"/>
  <c r="AV115" i="652"/>
  <c r="AU115" i="652"/>
  <c r="AT115" i="652"/>
  <c r="AS115" i="652"/>
  <c r="AR115" i="652"/>
  <c r="AQ115" i="652"/>
  <c r="AP115" i="652"/>
  <c r="AO115" i="652"/>
  <c r="AN115" i="652"/>
  <c r="AM115" i="652"/>
  <c r="AL115" i="652"/>
  <c r="AK115" i="652"/>
  <c r="AJ115" i="652"/>
  <c r="AI115" i="652"/>
  <c r="AH115" i="652"/>
  <c r="AG115" i="652"/>
  <c r="AF115" i="652"/>
  <c r="AE115" i="652"/>
  <c r="AD115" i="652"/>
  <c r="AC115" i="652"/>
  <c r="AA115" i="652"/>
  <c r="X115" i="652"/>
  <c r="W115" i="652"/>
  <c r="V115" i="652"/>
  <c r="U115" i="652"/>
  <c r="T115" i="652"/>
  <c r="H111" i="652"/>
  <c r="Z110" i="652"/>
  <c r="Y110" i="652"/>
  <c r="Z108" i="652"/>
  <c r="Y108" i="652"/>
  <c r="Z106" i="652"/>
  <c r="Y106" i="652"/>
  <c r="Z104" i="652"/>
  <c r="Y104" i="652"/>
  <c r="Z102" i="652"/>
  <c r="Y102" i="652"/>
  <c r="H101" i="652"/>
  <c r="AB100" i="652"/>
  <c r="AB99" i="652"/>
  <c r="CE411" i="397"/>
  <c r="CD411" i="397"/>
  <c r="CC411" i="397"/>
  <c r="CB411" i="397"/>
  <c r="CA411" i="397"/>
  <c r="BZ411" i="397"/>
  <c r="CE413" i="397"/>
  <c r="CD413" i="397"/>
  <c r="CC413" i="397"/>
  <c r="CB413" i="397"/>
  <c r="CA413" i="397"/>
  <c r="BZ413" i="397"/>
  <c r="R347" i="397"/>
  <c r="Q347" i="397"/>
  <c r="R413" i="397"/>
  <c r="Q413" i="397"/>
  <c r="R411" i="397"/>
  <c r="Q411" i="397"/>
  <c r="R76" i="397"/>
  <c r="Q76" i="397"/>
  <c r="AJ366" i="397"/>
  <c r="AK366" i="397"/>
  <c r="AM366" i="397"/>
  <c r="AP366" i="397"/>
  <c r="AQ366" i="397"/>
  <c r="H81" i="652"/>
  <c r="N73" i="652"/>
  <c r="N74" i="652"/>
  <c r="N75" i="652"/>
  <c r="N76" i="652"/>
  <c r="N77" i="652"/>
  <c r="N78" i="652"/>
  <c r="N79" i="652"/>
  <c r="N80" i="652"/>
  <c r="N81" i="652"/>
  <c r="N82" i="652"/>
  <c r="N83" i="652"/>
  <c r="N72" i="652"/>
  <c r="H84" i="652"/>
  <c r="BD83" i="652"/>
  <c r="BC83" i="652"/>
  <c r="BB83" i="652"/>
  <c r="BA83" i="652"/>
  <c r="AZ83" i="652"/>
  <c r="AX83" i="652"/>
  <c r="AW83" i="652"/>
  <c r="AV83" i="652"/>
  <c r="AU83" i="652"/>
  <c r="AT83" i="652"/>
  <c r="AS83" i="652"/>
  <c r="AR83" i="652"/>
  <c r="AQ83" i="652"/>
  <c r="AP83" i="652"/>
  <c r="AO83" i="652"/>
  <c r="AN83" i="652"/>
  <c r="AM83" i="652"/>
  <c r="AL83" i="652"/>
  <c r="AK83" i="652"/>
  <c r="AJ83" i="652"/>
  <c r="AI83" i="652"/>
  <c r="AH83" i="652"/>
  <c r="AG83" i="652"/>
  <c r="AF83" i="652"/>
  <c r="AE83" i="652"/>
  <c r="AD83" i="652"/>
  <c r="AB83" i="652"/>
  <c r="AA83" i="652"/>
  <c r="Z83" i="652"/>
  <c r="Y83" i="652"/>
  <c r="W83" i="652"/>
  <c r="V83" i="652"/>
  <c r="U83" i="652"/>
  <c r="T83" i="652"/>
  <c r="AC80" i="652"/>
  <c r="AC79" i="652"/>
  <c r="AC77" i="652"/>
  <c r="H76" i="652"/>
  <c r="AC75" i="652"/>
  <c r="AC74" i="652"/>
  <c r="AY73" i="652"/>
  <c r="AY83" i="652" s="1"/>
  <c r="AC72" i="652"/>
  <c r="H52" i="652"/>
  <c r="N41" i="652"/>
  <c r="N40" i="652"/>
  <c r="N39" i="652"/>
  <c r="N38" i="652"/>
  <c r="N42" i="652"/>
  <c r="N43" i="652"/>
  <c r="N44" i="652"/>
  <c r="N45" i="652"/>
  <c r="N46" i="652"/>
  <c r="N47" i="652"/>
  <c r="N48" i="652"/>
  <c r="N49" i="652"/>
  <c r="N50" i="652"/>
  <c r="N51" i="652"/>
  <c r="N52" i="652"/>
  <c r="N53" i="652"/>
  <c r="N54" i="652"/>
  <c r="N55" i="652"/>
  <c r="N56" i="652"/>
  <c r="H57" i="652"/>
  <c r="BD56" i="652"/>
  <c r="BC56" i="652"/>
  <c r="BB56" i="652"/>
  <c r="BA56" i="652"/>
  <c r="AZ56" i="652"/>
  <c r="AY56" i="652"/>
  <c r="AX56" i="652"/>
  <c r="AW56" i="652"/>
  <c r="AV56" i="652"/>
  <c r="AU56" i="652"/>
  <c r="AT56" i="652"/>
  <c r="AS56" i="652"/>
  <c r="AR56" i="652"/>
  <c r="AQ56" i="652"/>
  <c r="AP56" i="652"/>
  <c r="AO56" i="652"/>
  <c r="AN56" i="652"/>
  <c r="AM56" i="652"/>
  <c r="AL56" i="652"/>
  <c r="AK56" i="652"/>
  <c r="AJ56" i="652"/>
  <c r="AI56" i="652"/>
  <c r="AH56" i="652"/>
  <c r="AG56" i="652"/>
  <c r="AF56" i="652"/>
  <c r="AE56" i="652"/>
  <c r="AD56" i="652"/>
  <c r="AA56" i="652"/>
  <c r="Z56" i="652"/>
  <c r="Y56" i="652"/>
  <c r="X56" i="652"/>
  <c r="W56" i="652"/>
  <c r="V56" i="652"/>
  <c r="U56" i="652"/>
  <c r="AC50" i="652"/>
  <c r="AB50" i="652"/>
  <c r="AC48" i="652"/>
  <c r="AB48" i="652"/>
  <c r="AC46" i="652"/>
  <c r="AB46" i="652"/>
  <c r="AC44" i="652"/>
  <c r="AB44" i="652"/>
  <c r="AC43" i="652"/>
  <c r="AB43" i="652"/>
  <c r="AC42" i="652"/>
  <c r="AB42" i="652"/>
  <c r="AC40" i="652"/>
  <c r="AB40" i="652"/>
  <c r="H39" i="652"/>
  <c r="T38" i="652"/>
  <c r="T56" i="652" s="1"/>
  <c r="H20" i="652"/>
  <c r="N11" i="652"/>
  <c r="N12" i="652"/>
  <c r="N13" i="652"/>
  <c r="N14" i="652"/>
  <c r="N15" i="652"/>
  <c r="N16" i="652"/>
  <c r="N17" i="652"/>
  <c r="N18" i="652"/>
  <c r="N19" i="652"/>
  <c r="N20" i="652"/>
  <c r="N21" i="652"/>
  <c r="N22" i="652"/>
  <c r="H23" i="652"/>
  <c r="BD22" i="652"/>
  <c r="BC22" i="652"/>
  <c r="BB22" i="652"/>
  <c r="BA22" i="652"/>
  <c r="AZ22" i="652"/>
  <c r="AX22" i="652"/>
  <c r="AW22" i="652"/>
  <c r="AV22" i="652"/>
  <c r="AU22" i="652"/>
  <c r="AT22" i="652"/>
  <c r="AS22" i="652"/>
  <c r="AR22" i="652"/>
  <c r="AQ22" i="652"/>
  <c r="AP22" i="652"/>
  <c r="AO22" i="652"/>
  <c r="AN22" i="652"/>
  <c r="AM22" i="652"/>
  <c r="AL22" i="652"/>
  <c r="AK22" i="652"/>
  <c r="AJ22" i="652"/>
  <c r="AI22" i="652"/>
  <c r="AH22" i="652"/>
  <c r="AG22" i="652"/>
  <c r="AF22" i="652"/>
  <c r="AE22" i="652"/>
  <c r="AD22" i="652"/>
  <c r="AA22" i="652"/>
  <c r="Z22" i="652"/>
  <c r="Y22" i="652"/>
  <c r="X22" i="652"/>
  <c r="W22" i="652"/>
  <c r="V22" i="652"/>
  <c r="U22" i="652"/>
  <c r="T22" i="652"/>
  <c r="AC19" i="652"/>
  <c r="AB19" i="652"/>
  <c r="AB17" i="652"/>
  <c r="AB15" i="652"/>
  <c r="H14" i="652"/>
  <c r="AB13" i="652"/>
  <c r="AC12" i="652"/>
  <c r="AB12" i="652"/>
  <c r="AB11" i="652"/>
  <c r="AC10" i="652"/>
  <c r="AB10" i="652"/>
  <c r="R319" i="397"/>
  <c r="Q319" i="397"/>
  <c r="N275" i="633"/>
  <c r="N276" i="633"/>
  <c r="N277" i="633"/>
  <c r="N278" i="633"/>
  <c r="N279" i="633"/>
  <c r="N273" i="633" s="1"/>
  <c r="N280" i="633"/>
  <c r="N281" i="633"/>
  <c r="N282" i="633"/>
  <c r="N283" i="633"/>
  <c r="N284" i="633"/>
  <c r="N285" i="633"/>
  <c r="N286" i="633"/>
  <c r="BG219" i="202"/>
  <c r="R323" i="397"/>
  <c r="Q323" i="397"/>
  <c r="BE323" i="397"/>
  <c r="H426" i="633"/>
  <c r="H421" i="633"/>
  <c r="AB421" i="633" s="1"/>
  <c r="N421" i="633"/>
  <c r="N420" i="633"/>
  <c r="N419" i="633"/>
  <c r="N418" i="633"/>
  <c r="N417" i="633"/>
  <c r="N416" i="633"/>
  <c r="N415" i="633"/>
  <c r="N414" i="633"/>
  <c r="N413" i="633"/>
  <c r="N412" i="633"/>
  <c r="N411" i="633"/>
  <c r="N422" i="633"/>
  <c r="N423" i="633"/>
  <c r="H424" i="633"/>
  <c r="BA423" i="633"/>
  <c r="AZ423" i="633"/>
  <c r="AX423" i="633"/>
  <c r="AW423" i="633"/>
  <c r="AV423" i="633"/>
  <c r="AU423" i="633"/>
  <c r="AS423" i="633"/>
  <c r="AR423" i="633"/>
  <c r="AQ423" i="633"/>
  <c r="AP423" i="633"/>
  <c r="AO423" i="633"/>
  <c r="AN423" i="633"/>
  <c r="AM423" i="633"/>
  <c r="AL423" i="633"/>
  <c r="AK423" i="633"/>
  <c r="AJ423" i="633"/>
  <c r="AI423" i="633"/>
  <c r="AH423" i="633"/>
  <c r="AG423" i="633"/>
  <c r="AF423" i="633"/>
  <c r="AE423" i="633"/>
  <c r="AD423" i="633"/>
  <c r="AA423" i="633"/>
  <c r="Z423" i="633"/>
  <c r="Y423" i="633"/>
  <c r="X423" i="633"/>
  <c r="W423" i="633"/>
  <c r="V423" i="633"/>
  <c r="U423" i="633"/>
  <c r="T423" i="633"/>
  <c r="AB420" i="633"/>
  <c r="AB418" i="633"/>
  <c r="AB423" i="633" s="1"/>
  <c r="AB416" i="633"/>
  <c r="H415" i="633"/>
  <c r="AB414" i="633"/>
  <c r="H413" i="633"/>
  <c r="AB412" i="633"/>
  <c r="AY411" i="633"/>
  <c r="AY423" i="633" s="1"/>
  <c r="N369" i="633"/>
  <c r="N370" i="633"/>
  <c r="N371" i="633"/>
  <c r="N372" i="633"/>
  <c r="N373" i="633"/>
  <c r="N374" i="633"/>
  <c r="N375" i="633"/>
  <c r="N376" i="633"/>
  <c r="N377" i="633"/>
  <c r="N378" i="633"/>
  <c r="N379" i="633"/>
  <c r="N380" i="633"/>
  <c r="N381" i="633"/>
  <c r="N382" i="633"/>
  <c r="N383" i="633"/>
  <c r="N384" i="633"/>
  <c r="N385" i="633"/>
  <c r="N386" i="633"/>
  <c r="N387" i="633"/>
  <c r="N388" i="633"/>
  <c r="N389" i="633"/>
  <c r="N390" i="633"/>
  <c r="N391" i="633"/>
  <c r="N392" i="633"/>
  <c r="N393" i="633"/>
  <c r="N394" i="633"/>
  <c r="N395" i="633"/>
  <c r="AC398" i="633"/>
  <c r="AB398" i="633"/>
  <c r="H398" i="633"/>
  <c r="H396" i="633"/>
  <c r="BA395" i="633"/>
  <c r="AZ395" i="633"/>
  <c r="AX395" i="633"/>
  <c r="AW395" i="633"/>
  <c r="AV395" i="633"/>
  <c r="AU395" i="633"/>
  <c r="AT395" i="633"/>
  <c r="AS395" i="633"/>
  <c r="AR395" i="633"/>
  <c r="AQ395" i="633"/>
  <c r="AP395" i="633"/>
  <c r="AO395" i="633"/>
  <c r="AN395" i="633"/>
  <c r="AM395" i="633"/>
  <c r="AL395" i="633"/>
  <c r="AK395" i="633"/>
  <c r="AJ395" i="633"/>
  <c r="AI395" i="633"/>
  <c r="AH395" i="633"/>
  <c r="AG395" i="633"/>
  <c r="AF395" i="633"/>
  <c r="AE395" i="633"/>
  <c r="AD395" i="633"/>
  <c r="AA395" i="633"/>
  <c r="Z395" i="633"/>
  <c r="Y395" i="633"/>
  <c r="X395" i="633"/>
  <c r="W395" i="633"/>
  <c r="V395" i="633"/>
  <c r="U395" i="633"/>
  <c r="T395" i="633"/>
  <c r="H392" i="633"/>
  <c r="H391" i="633"/>
  <c r="AC390" i="633"/>
  <c r="AB390" i="633"/>
  <c r="AC387" i="633"/>
  <c r="AB387" i="633"/>
  <c r="AC384" i="633"/>
  <c r="AB384" i="633"/>
  <c r="AB395" i="633" s="1"/>
  <c r="AC381" i="633"/>
  <c r="AB381" i="633"/>
  <c r="H380" i="633"/>
  <c r="AC379" i="633"/>
  <c r="AB379" i="633"/>
  <c r="AC376" i="633"/>
  <c r="AB376" i="633"/>
  <c r="AC374" i="633"/>
  <c r="AB374" i="633"/>
  <c r="AC372" i="633"/>
  <c r="AB372" i="633"/>
  <c r="H371" i="633"/>
  <c r="AY370" i="633"/>
  <c r="AY395" i="633"/>
  <c r="AC369" i="633"/>
  <c r="BZ416" i="397"/>
  <c r="BZ415" i="397"/>
  <c r="BZ414" i="397"/>
  <c r="CE418" i="397"/>
  <c r="CD418" i="397"/>
  <c r="CC418" i="397"/>
  <c r="CB418" i="397"/>
  <c r="CA418" i="397"/>
  <c r="BZ418" i="397"/>
  <c r="CE417" i="397"/>
  <c r="CD417" i="397"/>
  <c r="CC417" i="397"/>
  <c r="CB417" i="397"/>
  <c r="CA417" i="397"/>
  <c r="BZ417" i="397"/>
  <c r="R330" i="397"/>
  <c r="Q330" i="397"/>
  <c r="R322" i="397"/>
  <c r="Q322" i="397"/>
  <c r="BP229" i="202"/>
  <c r="H356" i="633"/>
  <c r="H351" i="633"/>
  <c r="N342" i="633"/>
  <c r="N343" i="633"/>
  <c r="N344" i="633"/>
  <c r="N345" i="633"/>
  <c r="N346" i="633"/>
  <c r="N347" i="633"/>
  <c r="N348" i="633"/>
  <c r="N349" i="633"/>
  <c r="N350" i="633"/>
  <c r="N351" i="633"/>
  <c r="N352" i="633"/>
  <c r="N353" i="633"/>
  <c r="N341" i="633"/>
  <c r="N274" i="633"/>
  <c r="H354" i="633"/>
  <c r="BA353" i="633"/>
  <c r="AY353" i="633"/>
  <c r="AX353" i="633"/>
  <c r="AW353" i="633"/>
  <c r="AV353" i="633"/>
  <c r="AU353" i="633"/>
  <c r="AT353" i="633"/>
  <c r="AS353" i="633"/>
  <c r="AR353" i="633"/>
  <c r="AQ353" i="633"/>
  <c r="AP353" i="633"/>
  <c r="AO353" i="633"/>
  <c r="AN353" i="633"/>
  <c r="AM353" i="633"/>
  <c r="AL353" i="633"/>
  <c r="AK353" i="633"/>
  <c r="AJ353" i="633"/>
  <c r="AI353" i="633"/>
  <c r="AH353" i="633"/>
  <c r="AG353" i="633"/>
  <c r="AF353" i="633"/>
  <c r="AE353" i="633"/>
  <c r="AD353" i="633"/>
  <c r="AA353" i="633"/>
  <c r="Z353" i="633"/>
  <c r="X353" i="633"/>
  <c r="W353" i="633"/>
  <c r="V353" i="633"/>
  <c r="U353" i="633"/>
  <c r="T353" i="633"/>
  <c r="AC350" i="633"/>
  <c r="AB350" i="633"/>
  <c r="AB353" i="633" s="1"/>
  <c r="AC349" i="633"/>
  <c r="AB349" i="633"/>
  <c r="AC348" i="633"/>
  <c r="AB348" i="633"/>
  <c r="AC346" i="633"/>
  <c r="AB346" i="633"/>
  <c r="H345" i="633"/>
  <c r="AC344" i="633"/>
  <c r="AB344" i="633"/>
  <c r="AC342" i="633"/>
  <c r="AB342" i="633"/>
  <c r="Y341" i="633"/>
  <c r="Y353" i="633"/>
  <c r="V379" i="8"/>
  <c r="V378" i="8"/>
  <c r="V377" i="8"/>
  <c r="V376" i="8"/>
  <c r="R350" i="397"/>
  <c r="Q350" i="397"/>
  <c r="Q417" i="397"/>
  <c r="R417" i="397"/>
  <c r="Q423" i="397"/>
  <c r="A417" i="397"/>
  <c r="H328" i="633"/>
  <c r="H322" i="633"/>
  <c r="H33" i="633"/>
  <c r="N303" i="633"/>
  <c r="N304" i="633"/>
  <c r="N305" i="633"/>
  <c r="N306" i="633"/>
  <c r="N307" i="633"/>
  <c r="N308" i="633"/>
  <c r="N309" i="633"/>
  <c r="N310" i="633"/>
  <c r="N311" i="633"/>
  <c r="N312" i="633"/>
  <c r="N313" i="633"/>
  <c r="N314" i="633"/>
  <c r="N315" i="633"/>
  <c r="N316" i="633"/>
  <c r="N317" i="633"/>
  <c r="N318" i="633"/>
  <c r="N319" i="633"/>
  <c r="N320" i="633"/>
  <c r="N321" i="633"/>
  <c r="N322" i="633"/>
  <c r="N323" i="633"/>
  <c r="N324" i="633"/>
  <c r="N325" i="633"/>
  <c r="N302" i="633"/>
  <c r="AY311" i="633"/>
  <c r="AY325" i="633" s="1"/>
  <c r="H312" i="633"/>
  <c r="AC313" i="633"/>
  <c r="AC316" i="633"/>
  <c r="AC319" i="633"/>
  <c r="AC322" i="633"/>
  <c r="H323" i="633"/>
  <c r="T325" i="633"/>
  <c r="U325" i="633"/>
  <c r="V325" i="633"/>
  <c r="W325" i="633"/>
  <c r="X325" i="633"/>
  <c r="Y325" i="633"/>
  <c r="Z325" i="633"/>
  <c r="AA325" i="633"/>
  <c r="AB325" i="633"/>
  <c r="AD325" i="633"/>
  <c r="AE325" i="633"/>
  <c r="AF325" i="633"/>
  <c r="AG325" i="633"/>
  <c r="AH325" i="633"/>
  <c r="AI325" i="633"/>
  <c r="AJ325" i="633"/>
  <c r="AK325" i="633"/>
  <c r="AL325" i="633"/>
  <c r="AM325" i="633"/>
  <c r="AN325" i="633"/>
  <c r="AO325" i="633"/>
  <c r="AQ325" i="633"/>
  <c r="AR325" i="633"/>
  <c r="AS325" i="633"/>
  <c r="AT325" i="633"/>
  <c r="AU325" i="633"/>
  <c r="AV325" i="633"/>
  <c r="AW325" i="633"/>
  <c r="AX325" i="633"/>
  <c r="AZ325" i="633"/>
  <c r="BA325" i="633"/>
  <c r="H326" i="633"/>
  <c r="AP302" i="633"/>
  <c r="AP325" i="633"/>
  <c r="H303" i="633"/>
  <c r="H324" i="633"/>
  <c r="AC304" i="633"/>
  <c r="AC306" i="633"/>
  <c r="AC308" i="633"/>
  <c r="R416" i="397"/>
  <c r="Q416" i="397"/>
  <c r="R318" i="397"/>
  <c r="Q318" i="397"/>
  <c r="R87" i="397"/>
  <c r="Q87" i="397"/>
  <c r="H289" i="633"/>
  <c r="H284" i="633"/>
  <c r="H287" i="633"/>
  <c r="BA286" i="633"/>
  <c r="AZ286" i="633"/>
  <c r="AY286" i="633"/>
  <c r="AX286" i="633"/>
  <c r="AW286" i="633"/>
  <c r="AV286" i="633"/>
  <c r="AU286" i="633"/>
  <c r="AT286" i="633"/>
  <c r="AS286" i="633"/>
  <c r="AQ286" i="633"/>
  <c r="AP286" i="633"/>
  <c r="AO286" i="633"/>
  <c r="AN286" i="633"/>
  <c r="AM286" i="633"/>
  <c r="AL286" i="633"/>
  <c r="AK286" i="633"/>
  <c r="AJ286" i="633"/>
  <c r="AI286" i="633"/>
  <c r="AH286" i="633"/>
  <c r="AG286" i="633"/>
  <c r="AF286" i="633"/>
  <c r="AE286" i="633"/>
  <c r="AD286" i="633"/>
  <c r="AA286" i="633"/>
  <c r="Z286" i="633"/>
  <c r="Y286" i="633"/>
  <c r="X286" i="633"/>
  <c r="W286" i="633"/>
  <c r="V286" i="633"/>
  <c r="U286" i="633"/>
  <c r="T286" i="633"/>
  <c r="AC283" i="633"/>
  <c r="AB283" i="633"/>
  <c r="AB282" i="633"/>
  <c r="AC281" i="633"/>
  <c r="AC286" i="633" s="1"/>
  <c r="AB281" i="633"/>
  <c r="AC279" i="633"/>
  <c r="AB279" i="633"/>
  <c r="AC277" i="633"/>
  <c r="AB277" i="633"/>
  <c r="AC275" i="633"/>
  <c r="AB275" i="633"/>
  <c r="H274" i="633"/>
  <c r="H261" i="633"/>
  <c r="H253" i="633"/>
  <c r="N227" i="633"/>
  <c r="N226" i="633"/>
  <c r="N228" i="633"/>
  <c r="N229" i="633"/>
  <c r="N230" i="633"/>
  <c r="N231" i="633"/>
  <c r="N232" i="633"/>
  <c r="N233" i="633"/>
  <c r="N234" i="633"/>
  <c r="N235" i="633"/>
  <c r="N236" i="633"/>
  <c r="N237" i="633"/>
  <c r="N238" i="633"/>
  <c r="N239" i="633"/>
  <c r="N240" i="633"/>
  <c r="N241" i="633"/>
  <c r="N242" i="633"/>
  <c r="N243" i="633"/>
  <c r="N244" i="633"/>
  <c r="N246" i="633"/>
  <c r="N247" i="633"/>
  <c r="N248" i="633"/>
  <c r="N249" i="633"/>
  <c r="N250" i="633"/>
  <c r="N251" i="633"/>
  <c r="N252" i="633"/>
  <c r="N253" i="633"/>
  <c r="N254" i="633"/>
  <c r="N255" i="633"/>
  <c r="N256" i="633"/>
  <c r="N257" i="633"/>
  <c r="N258" i="633"/>
  <c r="H259" i="633"/>
  <c r="BA258" i="633"/>
  <c r="AZ258" i="633"/>
  <c r="AX258" i="633"/>
  <c r="AW258" i="633"/>
  <c r="AV258" i="633"/>
  <c r="AU258" i="633"/>
  <c r="AT258" i="633"/>
  <c r="AS258" i="633"/>
  <c r="AR258" i="633"/>
  <c r="AQ258" i="633"/>
  <c r="AP258" i="633"/>
  <c r="AO258" i="633"/>
  <c r="AN258" i="633"/>
  <c r="AM258" i="633"/>
  <c r="AL258" i="633"/>
  <c r="AK258" i="633"/>
  <c r="AJ258" i="633"/>
  <c r="AI258" i="633"/>
  <c r="AH258" i="633"/>
  <c r="AG258" i="633"/>
  <c r="AF258" i="633"/>
  <c r="AE258" i="633"/>
  <c r="AD258" i="633"/>
  <c r="AA258" i="633"/>
  <c r="X258" i="633"/>
  <c r="W258" i="633"/>
  <c r="V258" i="633"/>
  <c r="U258" i="633"/>
  <c r="T258" i="633"/>
  <c r="H254" i="633"/>
  <c r="Y250" i="633"/>
  <c r="Z247" i="633"/>
  <c r="Z258" i="633" s="1"/>
  <c r="Y247" i="633"/>
  <c r="Y258" i="633" s="1"/>
  <c r="H246" i="633"/>
  <c r="AC245" i="633"/>
  <c r="AB245" i="633"/>
  <c r="H244" i="633"/>
  <c r="Z242" i="633"/>
  <c r="Y242" i="633"/>
  <c r="H241" i="633"/>
  <c r="AC240" i="633"/>
  <c r="AB240" i="633"/>
  <c r="H237" i="633"/>
  <c r="Z236" i="633"/>
  <c r="Y236" i="633"/>
  <c r="Y233" i="633"/>
  <c r="Z230" i="633"/>
  <c r="Y230" i="633"/>
  <c r="H229" i="633"/>
  <c r="AC228" i="633"/>
  <c r="AB228" i="633"/>
  <c r="AY227" i="633"/>
  <c r="AY258" i="633"/>
  <c r="AC226" i="633"/>
  <c r="AC258" i="633"/>
  <c r="AB226" i="633"/>
  <c r="H213" i="633"/>
  <c r="H208" i="633"/>
  <c r="N210" i="633"/>
  <c r="N209" i="633"/>
  <c r="N208" i="633"/>
  <c r="N207" i="633"/>
  <c r="N206" i="633"/>
  <c r="N205" i="633"/>
  <c r="N204" i="633"/>
  <c r="N203" i="633"/>
  <c r="N202" i="633"/>
  <c r="N201" i="633"/>
  <c r="N200" i="633"/>
  <c r="N199" i="633"/>
  <c r="N198" i="633"/>
  <c r="N197" i="633"/>
  <c r="N196" i="633"/>
  <c r="N195" i="633" s="1"/>
  <c r="H211" i="633"/>
  <c r="BA210" i="633"/>
  <c r="AZ210" i="633"/>
  <c r="AY210" i="633"/>
  <c r="AX210" i="633"/>
  <c r="AW210" i="633"/>
  <c r="AV210" i="633"/>
  <c r="AU210" i="633"/>
  <c r="AS210" i="633"/>
  <c r="AQ210" i="633"/>
  <c r="AP210" i="633"/>
  <c r="AO210" i="633"/>
  <c r="AN210" i="633"/>
  <c r="AM210" i="633"/>
  <c r="AL210" i="633"/>
  <c r="AK210" i="633"/>
  <c r="AJ210" i="633"/>
  <c r="AI210" i="633"/>
  <c r="AH210" i="633"/>
  <c r="AG210" i="633"/>
  <c r="AF210" i="633"/>
  <c r="AE210" i="633"/>
  <c r="AD210" i="633"/>
  <c r="AA210" i="633"/>
  <c r="Z210" i="633"/>
  <c r="Y210" i="633"/>
  <c r="X210" i="633"/>
  <c r="W210" i="633"/>
  <c r="V210" i="633"/>
  <c r="U210" i="633"/>
  <c r="T210" i="633"/>
  <c r="AB208" i="633"/>
  <c r="AB207" i="633"/>
  <c r="AC205" i="633"/>
  <c r="AB205" i="633"/>
  <c r="AC203" i="633"/>
  <c r="AB203" i="633"/>
  <c r="AC201" i="633"/>
  <c r="AB201" i="633"/>
  <c r="H200" i="633"/>
  <c r="AC199" i="633"/>
  <c r="AB199" i="633"/>
  <c r="H197" i="633"/>
  <c r="AC196" i="633"/>
  <c r="AB196" i="633"/>
  <c r="V365" i="8"/>
  <c r="V364" i="8"/>
  <c r="V363" i="8"/>
  <c r="N181" i="633"/>
  <c r="N182" i="633"/>
  <c r="N183" i="633"/>
  <c r="N184" i="633"/>
  <c r="N180" i="633"/>
  <c r="N179" i="633"/>
  <c r="BA184" i="633"/>
  <c r="AZ184" i="633"/>
  <c r="AY184" i="633"/>
  <c r="AX184" i="633"/>
  <c r="AW184" i="633"/>
  <c r="AV184" i="633"/>
  <c r="AU184" i="633"/>
  <c r="AT184" i="633"/>
  <c r="AS184" i="633"/>
  <c r="AR184" i="633"/>
  <c r="AQ184" i="633"/>
  <c r="AP184" i="633"/>
  <c r="AO184" i="633"/>
  <c r="AN184" i="633"/>
  <c r="AM184" i="633"/>
  <c r="AL184" i="633"/>
  <c r="AK184" i="633"/>
  <c r="AJ184" i="633"/>
  <c r="AI184" i="633"/>
  <c r="AH184" i="633"/>
  <c r="AG184" i="633"/>
  <c r="AF184" i="633"/>
  <c r="AE184" i="633"/>
  <c r="AD184" i="633"/>
  <c r="AB184" i="633"/>
  <c r="AA184" i="633"/>
  <c r="Y184" i="633"/>
  <c r="X184" i="633"/>
  <c r="W184" i="633"/>
  <c r="V184" i="633"/>
  <c r="U184" i="633"/>
  <c r="T184" i="633"/>
  <c r="H183" i="633"/>
  <c r="Z182" i="633"/>
  <c r="Z184" i="633"/>
  <c r="AC181" i="633"/>
  <c r="AC180" i="633"/>
  <c r="AC184" i="633"/>
  <c r="P203" i="202"/>
  <c r="Q203" i="202"/>
  <c r="R203" i="202"/>
  <c r="S203" i="202"/>
  <c r="W203" i="202"/>
  <c r="Z203" i="202"/>
  <c r="AA203" i="202"/>
  <c r="AB203" i="202"/>
  <c r="AC203" i="202"/>
  <c r="AD203" i="202"/>
  <c r="AE203" i="202"/>
  <c r="AF203" i="202"/>
  <c r="AG203" i="202"/>
  <c r="AH203" i="202"/>
  <c r="AI203" i="202"/>
  <c r="AJ203" i="202"/>
  <c r="AK203" i="202"/>
  <c r="AM203" i="202"/>
  <c r="AO203" i="202"/>
  <c r="AP203" i="202"/>
  <c r="AQ203" i="202"/>
  <c r="AS203" i="202"/>
  <c r="AT203" i="202"/>
  <c r="AW203" i="202"/>
  <c r="AX203" i="202"/>
  <c r="AY203" i="202"/>
  <c r="BE203" i="202"/>
  <c r="BF203" i="202"/>
  <c r="Q320" i="397"/>
  <c r="R320" i="397"/>
  <c r="N152" i="633"/>
  <c r="N153" i="633"/>
  <c r="N154" i="633"/>
  <c r="N155" i="633"/>
  <c r="N156" i="633"/>
  <c r="N157" i="633"/>
  <c r="N158" i="633"/>
  <c r="N159" i="633"/>
  <c r="N160" i="633"/>
  <c r="N161" i="633"/>
  <c r="N162" i="633"/>
  <c r="N163" i="633"/>
  <c r="N150" i="633" s="1"/>
  <c r="N164" i="633"/>
  <c r="N151" i="633"/>
  <c r="H161" i="633"/>
  <c r="Y151" i="633"/>
  <c r="Y152" i="633"/>
  <c r="AC153" i="633"/>
  <c r="Y154" i="633"/>
  <c r="Y155" i="633"/>
  <c r="AC156" i="633"/>
  <c r="Y157" i="633"/>
  <c r="AC158" i="633"/>
  <c r="AC159" i="633"/>
  <c r="Y160" i="633"/>
  <c r="AY162" i="633"/>
  <c r="T164" i="633"/>
  <c r="U164" i="633"/>
  <c r="V164" i="633"/>
  <c r="W164" i="633"/>
  <c r="X164" i="633"/>
  <c r="Z164" i="633"/>
  <c r="AA164" i="633"/>
  <c r="AB164" i="633"/>
  <c r="AD164" i="633"/>
  <c r="AE164" i="633"/>
  <c r="AF164" i="633"/>
  <c r="AG164" i="633"/>
  <c r="AH164" i="633"/>
  <c r="AI164" i="633"/>
  <c r="AJ164" i="633"/>
  <c r="AK164" i="633"/>
  <c r="AL164" i="633"/>
  <c r="AM164" i="633"/>
  <c r="AN164" i="633"/>
  <c r="AO164" i="633"/>
  <c r="AP164" i="633"/>
  <c r="AQ164" i="633"/>
  <c r="AR164" i="633"/>
  <c r="AS164" i="633"/>
  <c r="AT164" i="633"/>
  <c r="AU164" i="633"/>
  <c r="AV164" i="633"/>
  <c r="AW164" i="633"/>
  <c r="AX164" i="633"/>
  <c r="AY164" i="633"/>
  <c r="AZ164" i="633"/>
  <c r="BA164" i="633"/>
  <c r="H165" i="633"/>
  <c r="H133" i="633"/>
  <c r="N123" i="633"/>
  <c r="N124" i="633"/>
  <c r="N125" i="633"/>
  <c r="N126" i="633"/>
  <c r="N127" i="633"/>
  <c r="N128" i="633"/>
  <c r="N129" i="633"/>
  <c r="N130" i="633"/>
  <c r="N131" i="633"/>
  <c r="N132" i="633"/>
  <c r="N133" i="633"/>
  <c r="N134" i="633"/>
  <c r="N135" i="633"/>
  <c r="AC123" i="633"/>
  <c r="AC135" i="633" s="1"/>
  <c r="Z124" i="633"/>
  <c r="AC125" i="633"/>
  <c r="Z126" i="633"/>
  <c r="Z127" i="633"/>
  <c r="AC128" i="633"/>
  <c r="AC129" i="633"/>
  <c r="Z130" i="633"/>
  <c r="Z131" i="633"/>
  <c r="Z132" i="633"/>
  <c r="Y133" i="633"/>
  <c r="Y135" i="633" s="1"/>
  <c r="Z133" i="633"/>
  <c r="H134" i="633"/>
  <c r="T135" i="633"/>
  <c r="U135" i="633"/>
  <c r="V135" i="633"/>
  <c r="W135" i="633"/>
  <c r="X135" i="633"/>
  <c r="Z135" i="633"/>
  <c r="AA135" i="633"/>
  <c r="AB135" i="633"/>
  <c r="AD135" i="633"/>
  <c r="AE135" i="633"/>
  <c r="AF135" i="633"/>
  <c r="AG135" i="633"/>
  <c r="AH135" i="633"/>
  <c r="AI135" i="633"/>
  <c r="AJ135" i="633"/>
  <c r="AK135" i="633"/>
  <c r="AL135" i="633"/>
  <c r="AM135" i="633"/>
  <c r="AN135" i="633"/>
  <c r="AO135" i="633"/>
  <c r="AP135" i="633"/>
  <c r="AQ135" i="633"/>
  <c r="AR135" i="633"/>
  <c r="AS135" i="633"/>
  <c r="AT135" i="633"/>
  <c r="AU135" i="633"/>
  <c r="AV135" i="633"/>
  <c r="AW135" i="633"/>
  <c r="AX135" i="633"/>
  <c r="AY135" i="633"/>
  <c r="AZ135" i="633"/>
  <c r="BA135" i="633"/>
  <c r="H136" i="633"/>
  <c r="H137" i="633"/>
  <c r="H138" i="633" s="1"/>
  <c r="Q343" i="397"/>
  <c r="R343" i="397"/>
  <c r="AV203" i="202"/>
  <c r="U361" i="8"/>
  <c r="U360" i="8"/>
  <c r="U359" i="8"/>
  <c r="V355" i="8" s="1"/>
  <c r="R400" i="397"/>
  <c r="Q400" i="397"/>
  <c r="BE418" i="397"/>
  <c r="BF418" i="397" s="1"/>
  <c r="CG418" i="397" s="1"/>
  <c r="CH418" i="397" s="1"/>
  <c r="R418" i="397"/>
  <c r="Q418" i="397"/>
  <c r="A418" i="397"/>
  <c r="BP210" i="202"/>
  <c r="BP217" i="202"/>
  <c r="BP216" i="202"/>
  <c r="BP222" i="202"/>
  <c r="BG222" i="202"/>
  <c r="BP214" i="202"/>
  <c r="BG214" i="202"/>
  <c r="BP233" i="202"/>
  <c r="BP224" i="202"/>
  <c r="BP232" i="202"/>
  <c r="BP221" i="202"/>
  <c r="BP218" i="202"/>
  <c r="BP215" i="202"/>
  <c r="BP230" i="202"/>
  <c r="BP223" i="202"/>
  <c r="BP220" i="202"/>
  <c r="BP213" i="202"/>
  <c r="BP212" i="202"/>
  <c r="BP219" i="202"/>
  <c r="BP208" i="202"/>
  <c r="BP207" i="202"/>
  <c r="AX163" i="637"/>
  <c r="AV163" i="637"/>
  <c r="AQ163" i="637"/>
  <c r="AP163" i="637"/>
  <c r="AJ163" i="637"/>
  <c r="AI163" i="637"/>
  <c r="AH163" i="637"/>
  <c r="AG163" i="637"/>
  <c r="AF163" i="637"/>
  <c r="AC163" i="637"/>
  <c r="W163" i="637"/>
  <c r="T163" i="637"/>
  <c r="BZ162" i="637"/>
  <c r="BY162" i="637"/>
  <c r="BX162" i="637"/>
  <c r="BW162" i="637"/>
  <c r="BV162" i="637"/>
  <c r="BU162" i="637"/>
  <c r="AZ162" i="637"/>
  <c r="AY162" i="637"/>
  <c r="R162" i="637"/>
  <c r="Q162" i="637"/>
  <c r="BZ161" i="637"/>
  <c r="BY161" i="637"/>
  <c r="BX161" i="637"/>
  <c r="BV161" i="637"/>
  <c r="BU161" i="637"/>
  <c r="BI161" i="637"/>
  <c r="BW161" i="637" s="1"/>
  <c r="AZ161" i="637"/>
  <c r="AY161" i="637"/>
  <c r="S161" i="637"/>
  <c r="R161" i="637"/>
  <c r="Q161" i="637"/>
  <c r="A161" i="637"/>
  <c r="BZ160" i="637"/>
  <c r="BY160" i="637"/>
  <c r="CA160" i="637" s="1"/>
  <c r="CC160" i="637" s="1"/>
  <c r="BX160" i="637"/>
  <c r="BV160" i="637"/>
  <c r="BU160" i="637"/>
  <c r="BI160" i="637"/>
  <c r="BW160" i="637"/>
  <c r="AZ160" i="637"/>
  <c r="AY160" i="637"/>
  <c r="V160" i="637"/>
  <c r="U160" i="637"/>
  <c r="R160" i="637"/>
  <c r="Q160" i="637"/>
  <c r="A160" i="637"/>
  <c r="BZ159" i="637"/>
  <c r="BY159" i="637"/>
  <c r="BX159" i="637"/>
  <c r="BV159" i="637"/>
  <c r="BU159" i="637"/>
  <c r="BI159" i="637"/>
  <c r="BW159" i="637" s="1"/>
  <c r="CA159" i="637" s="1"/>
  <c r="CC159" i="637" s="1"/>
  <c r="AZ159" i="637"/>
  <c r="BA159" i="637" s="1"/>
  <c r="AY159" i="637"/>
  <c r="S159" i="637"/>
  <c r="R159" i="637"/>
  <c r="Q159" i="637"/>
  <c r="A159" i="637"/>
  <c r="BZ158" i="637"/>
  <c r="BY158" i="637"/>
  <c r="BX158" i="637"/>
  <c r="BV158" i="637"/>
  <c r="BU158" i="637"/>
  <c r="BI158" i="637"/>
  <c r="BW158" i="637" s="1"/>
  <c r="AZ158" i="637"/>
  <c r="AY158" i="637"/>
  <c r="U158" i="637"/>
  <c r="R158" i="637"/>
  <c r="Q158" i="637"/>
  <c r="A158" i="637"/>
  <c r="BZ157" i="637"/>
  <c r="BY157" i="637"/>
  <c r="BX157" i="637"/>
  <c r="BV157" i="637"/>
  <c r="BU157" i="637"/>
  <c r="BI157" i="637"/>
  <c r="BW157" i="637"/>
  <c r="AZ157" i="637"/>
  <c r="AY157" i="637"/>
  <c r="U157" i="637"/>
  <c r="R157" i="637"/>
  <c r="Q157" i="637"/>
  <c r="A157" i="637"/>
  <c r="BZ156" i="637"/>
  <c r="BY156" i="637"/>
  <c r="BX156" i="637"/>
  <c r="BV156" i="637"/>
  <c r="BU156" i="637"/>
  <c r="BI156" i="637"/>
  <c r="BW156" i="637"/>
  <c r="AZ156" i="637"/>
  <c r="AY156" i="637"/>
  <c r="U156" i="637"/>
  <c r="R156" i="637"/>
  <c r="Q156" i="637"/>
  <c r="A156" i="637"/>
  <c r="BZ155" i="637"/>
  <c r="BY155" i="637"/>
  <c r="BX155" i="637"/>
  <c r="BV155" i="637"/>
  <c r="BU155" i="637"/>
  <c r="BI155" i="637"/>
  <c r="BW155" i="637"/>
  <c r="AZ155" i="637"/>
  <c r="AY155" i="637"/>
  <c r="U155" i="637"/>
  <c r="R155" i="637"/>
  <c r="Q155" i="637"/>
  <c r="A155" i="637"/>
  <c r="BZ154" i="637"/>
  <c r="BY154" i="637"/>
  <c r="BX154" i="637"/>
  <c r="BV154" i="637"/>
  <c r="BU154" i="637"/>
  <c r="BI154" i="637"/>
  <c r="BW154" i="637"/>
  <c r="AZ154" i="637"/>
  <c r="AY154" i="637"/>
  <c r="S154" i="637"/>
  <c r="U154" i="637"/>
  <c r="R154" i="637"/>
  <c r="Q154" i="637"/>
  <c r="A154" i="637"/>
  <c r="BZ153" i="637"/>
  <c r="BY153" i="637"/>
  <c r="BX153" i="637"/>
  <c r="BV153" i="637"/>
  <c r="BU153" i="637"/>
  <c r="BI153" i="637"/>
  <c r="BW153" i="637"/>
  <c r="AZ153" i="637"/>
  <c r="AY153" i="637"/>
  <c r="V153" i="637"/>
  <c r="U153" i="637"/>
  <c r="R153" i="637"/>
  <c r="Q153" i="637"/>
  <c r="A153" i="637"/>
  <c r="BZ152" i="637"/>
  <c r="BY152" i="637"/>
  <c r="BX152" i="637"/>
  <c r="BV152" i="637"/>
  <c r="BU152" i="637"/>
  <c r="BI152" i="637"/>
  <c r="BW152" i="637" s="1"/>
  <c r="AZ152" i="637"/>
  <c r="AY152" i="637"/>
  <c r="V152" i="637"/>
  <c r="U152" i="637"/>
  <c r="R152" i="637"/>
  <c r="Q152" i="637"/>
  <c r="A152" i="637"/>
  <c r="BZ151" i="637"/>
  <c r="BY151" i="637"/>
  <c r="BX151" i="637"/>
  <c r="BV151" i="637"/>
  <c r="BU151" i="637"/>
  <c r="BI151" i="637"/>
  <c r="BW151" i="637" s="1"/>
  <c r="AZ151" i="637"/>
  <c r="AY151" i="637"/>
  <c r="V151" i="637"/>
  <c r="U151" i="637"/>
  <c r="R151" i="637"/>
  <c r="Q151" i="637"/>
  <c r="A151" i="637"/>
  <c r="BZ150" i="637"/>
  <c r="BY150" i="637"/>
  <c r="BX150" i="637"/>
  <c r="BV150" i="637"/>
  <c r="BU150" i="637"/>
  <c r="BI150" i="637"/>
  <c r="BW150" i="637"/>
  <c r="AZ150" i="637"/>
  <c r="AY150" i="637"/>
  <c r="V150" i="637"/>
  <c r="U150" i="637"/>
  <c r="R150" i="637"/>
  <c r="Q150" i="637"/>
  <c r="A150" i="637"/>
  <c r="BZ149" i="637"/>
  <c r="BY149" i="637"/>
  <c r="BX149" i="637"/>
  <c r="BV149" i="637"/>
  <c r="BU149" i="637"/>
  <c r="BI149" i="637"/>
  <c r="BW149" i="637"/>
  <c r="AZ149" i="637"/>
  <c r="AY149" i="637"/>
  <c r="S149" i="637"/>
  <c r="R149" i="637"/>
  <c r="Q149" i="637"/>
  <c r="A149" i="637"/>
  <c r="BZ148" i="637"/>
  <c r="BY148" i="637"/>
  <c r="BX148" i="637"/>
  <c r="BV148" i="637"/>
  <c r="BU148" i="637"/>
  <c r="BI148" i="637"/>
  <c r="BW148" i="637"/>
  <c r="AZ148" i="637"/>
  <c r="AY148" i="637"/>
  <c r="U148" i="637"/>
  <c r="R148" i="637"/>
  <c r="Q148" i="637"/>
  <c r="A148" i="637"/>
  <c r="BZ147" i="637"/>
  <c r="BY147" i="637"/>
  <c r="BX147" i="637"/>
  <c r="BV147" i="637"/>
  <c r="BU147" i="637"/>
  <c r="BI147" i="637"/>
  <c r="BW147" i="637"/>
  <c r="AZ147" i="637"/>
  <c r="AY147" i="637"/>
  <c r="U147" i="637"/>
  <c r="R147" i="637"/>
  <c r="Q147" i="637"/>
  <c r="A147" i="637"/>
  <c r="BZ146" i="637"/>
  <c r="BY146" i="637"/>
  <c r="BX146" i="637"/>
  <c r="BV146" i="637"/>
  <c r="BU146" i="637"/>
  <c r="BI146" i="637"/>
  <c r="BW146" i="637" s="1"/>
  <c r="AZ146" i="637"/>
  <c r="AY146" i="637"/>
  <c r="U146" i="637"/>
  <c r="R146" i="637"/>
  <c r="Q146" i="637"/>
  <c r="A146" i="637"/>
  <c r="BZ145" i="637"/>
  <c r="BY145" i="637"/>
  <c r="BX145" i="637"/>
  <c r="BV145" i="637"/>
  <c r="BU145" i="637"/>
  <c r="CA145" i="637" s="1"/>
  <c r="CC145" i="637" s="1"/>
  <c r="BI145" i="637"/>
  <c r="BW145" i="637" s="1"/>
  <c r="AZ145" i="637"/>
  <c r="AY145" i="637"/>
  <c r="V145" i="637"/>
  <c r="U145" i="637"/>
  <c r="R145" i="637"/>
  <c r="Q145" i="637"/>
  <c r="A145" i="637"/>
  <c r="BZ144" i="637"/>
  <c r="BY144" i="637"/>
  <c r="BX144" i="637"/>
  <c r="BV144" i="637"/>
  <c r="BU144" i="637"/>
  <c r="BI144" i="637"/>
  <c r="BW144" i="637"/>
  <c r="AZ144" i="637"/>
  <c r="AY144" i="637"/>
  <c r="S144" i="637"/>
  <c r="R144" i="637"/>
  <c r="Q144" i="637"/>
  <c r="A144" i="637"/>
  <c r="BZ143" i="637"/>
  <c r="BY143" i="637"/>
  <c r="BX143" i="637"/>
  <c r="BV143" i="637"/>
  <c r="BU143" i="637"/>
  <c r="BI143" i="637"/>
  <c r="BW143" i="637" s="1"/>
  <c r="AZ143" i="637"/>
  <c r="AY143" i="637"/>
  <c r="V143" i="637"/>
  <c r="U143" i="637"/>
  <c r="R143" i="637"/>
  <c r="Q143" i="637"/>
  <c r="A143" i="637"/>
  <c r="BZ142" i="637"/>
  <c r="BY142" i="637"/>
  <c r="BX142" i="637"/>
  <c r="BV142" i="637"/>
  <c r="BU142" i="637"/>
  <c r="CA142" i="637" s="1"/>
  <c r="CC142" i="637" s="1"/>
  <c r="BI142" i="637"/>
  <c r="BW142" i="637"/>
  <c r="AZ142" i="637"/>
  <c r="AY142" i="637"/>
  <c r="V142" i="637"/>
  <c r="R142" i="637"/>
  <c r="Q142" i="637"/>
  <c r="A142" i="637"/>
  <c r="BZ141" i="637"/>
  <c r="BY141" i="637"/>
  <c r="BX141" i="637"/>
  <c r="BV141" i="637"/>
  <c r="BU141" i="637"/>
  <c r="BI141" i="637"/>
  <c r="BW141" i="637"/>
  <c r="AZ141" i="637"/>
  <c r="AY141" i="637"/>
  <c r="V141" i="637"/>
  <c r="Q141" i="637"/>
  <c r="A141" i="637"/>
  <c r="BZ140" i="637"/>
  <c r="BY140" i="637"/>
  <c r="BX140" i="637"/>
  <c r="BV140" i="637"/>
  <c r="BU140" i="637"/>
  <c r="BI140" i="637"/>
  <c r="BW140" i="637" s="1"/>
  <c r="AZ140" i="637"/>
  <c r="AY140" i="637"/>
  <c r="V140" i="637"/>
  <c r="R140" i="637"/>
  <c r="Q140" i="637"/>
  <c r="A140" i="637"/>
  <c r="BZ139" i="637"/>
  <c r="BY139" i="637"/>
  <c r="BX139" i="637"/>
  <c r="BV139" i="637"/>
  <c r="BU139" i="637"/>
  <c r="BI139" i="637"/>
  <c r="BW139" i="637"/>
  <c r="CA139" i="637" s="1"/>
  <c r="AZ139" i="637"/>
  <c r="AY139" i="637"/>
  <c r="V139" i="637"/>
  <c r="R139" i="637"/>
  <c r="Q139" i="637"/>
  <c r="A139" i="637"/>
  <c r="BZ138" i="637"/>
  <c r="BY138" i="637"/>
  <c r="BX138" i="637"/>
  <c r="BV138" i="637"/>
  <c r="BU138" i="637"/>
  <c r="BI138" i="637"/>
  <c r="BW138" i="637"/>
  <c r="AZ138" i="637"/>
  <c r="AY138" i="637"/>
  <c r="V138" i="637"/>
  <c r="R138" i="637"/>
  <c r="Q138" i="637"/>
  <c r="A138" i="637"/>
  <c r="BZ137" i="637"/>
  <c r="BY137" i="637"/>
  <c r="BX137" i="637"/>
  <c r="BV137" i="637"/>
  <c r="BU137" i="637"/>
  <c r="BI137" i="637"/>
  <c r="BW137" i="637"/>
  <c r="AZ137" i="637"/>
  <c r="AY137" i="637"/>
  <c r="U137" i="637"/>
  <c r="R137" i="637"/>
  <c r="Q137" i="637"/>
  <c r="A137" i="637"/>
  <c r="BZ136" i="637"/>
  <c r="BY136" i="637"/>
  <c r="BX136" i="637"/>
  <c r="BV136" i="637"/>
  <c r="BU136" i="637"/>
  <c r="BI136" i="637"/>
  <c r="BW136" i="637"/>
  <c r="AZ136" i="637"/>
  <c r="BA136" i="637" s="1"/>
  <c r="CB136" i="637" s="1"/>
  <c r="AY136" i="637"/>
  <c r="U136" i="637"/>
  <c r="R136" i="637"/>
  <c r="Q136" i="637"/>
  <c r="A136" i="637"/>
  <c r="BZ135" i="637"/>
  <c r="BY135" i="637"/>
  <c r="BX135" i="637"/>
  <c r="BV135" i="637"/>
  <c r="BU135" i="637"/>
  <c r="BI135" i="637"/>
  <c r="BW135" i="637"/>
  <c r="AZ135" i="637"/>
  <c r="AY135" i="637"/>
  <c r="U135" i="637"/>
  <c r="R135" i="637"/>
  <c r="Q135" i="637"/>
  <c r="A135" i="637"/>
  <c r="BZ134" i="637"/>
  <c r="BY134" i="637"/>
  <c r="BX134" i="637"/>
  <c r="BV134" i="637"/>
  <c r="BU134" i="637"/>
  <c r="BI134" i="637"/>
  <c r="BW134" i="637" s="1"/>
  <c r="AZ134" i="637"/>
  <c r="AY134" i="637"/>
  <c r="U134" i="637"/>
  <c r="R134" i="637"/>
  <c r="Q134" i="637"/>
  <c r="A134" i="637"/>
  <c r="BZ133" i="637"/>
  <c r="BY133" i="637"/>
  <c r="BX133" i="637"/>
  <c r="BV133" i="637"/>
  <c r="BU133" i="637"/>
  <c r="BI133" i="637"/>
  <c r="BW133" i="637" s="1"/>
  <c r="AZ133" i="637"/>
  <c r="AY133" i="637"/>
  <c r="U133" i="637"/>
  <c r="R133" i="637"/>
  <c r="Q133" i="637"/>
  <c r="A133" i="637"/>
  <c r="BZ132" i="637"/>
  <c r="CA132" i="637" s="1"/>
  <c r="BY132" i="637"/>
  <c r="BX132" i="637"/>
  <c r="BV132" i="637"/>
  <c r="BU132" i="637"/>
  <c r="BI132" i="637"/>
  <c r="BW132" i="637" s="1"/>
  <c r="AZ132" i="637"/>
  <c r="AY132" i="637"/>
  <c r="U132" i="637"/>
  <c r="R132" i="637"/>
  <c r="Q132" i="637"/>
  <c r="A132" i="637"/>
  <c r="BZ131" i="637"/>
  <c r="BY131" i="637"/>
  <c r="BX131" i="637"/>
  <c r="BV131" i="637"/>
  <c r="BU131" i="637"/>
  <c r="BI131" i="637"/>
  <c r="BW131" i="637"/>
  <c r="AZ131" i="637"/>
  <c r="AY131" i="637"/>
  <c r="BA131" i="637" s="1"/>
  <c r="CB131" i="637" s="1"/>
  <c r="S131" i="637"/>
  <c r="U131" i="637"/>
  <c r="R131" i="637"/>
  <c r="Q131" i="637"/>
  <c r="A131" i="637"/>
  <c r="BZ130" i="637"/>
  <c r="BY130" i="637"/>
  <c r="BX130" i="637"/>
  <c r="BV130" i="637"/>
  <c r="BU130" i="637"/>
  <c r="BI130" i="637"/>
  <c r="BW130" i="637" s="1"/>
  <c r="AZ130" i="637"/>
  <c r="AY130" i="637"/>
  <c r="S130" i="637"/>
  <c r="U130" i="637"/>
  <c r="R130" i="637"/>
  <c r="Q130" i="637"/>
  <c r="A130" i="637"/>
  <c r="BZ129" i="637"/>
  <c r="BY129" i="637"/>
  <c r="BX129" i="637"/>
  <c r="BW129" i="637"/>
  <c r="BV129" i="637"/>
  <c r="BU129" i="637"/>
  <c r="AZ129" i="637"/>
  <c r="AY129" i="637"/>
  <c r="AU129" i="637"/>
  <c r="A129" i="637"/>
  <c r="BZ128" i="637"/>
  <c r="BY128" i="637"/>
  <c r="BX128" i="637"/>
  <c r="BW128" i="637"/>
  <c r="BV128" i="637"/>
  <c r="BU128" i="637"/>
  <c r="CA128" i="637"/>
  <c r="AZ128" i="637"/>
  <c r="BA128" i="637" s="1"/>
  <c r="CB128" i="637" s="1"/>
  <c r="CC128" i="637" s="1"/>
  <c r="AY128" i="637"/>
  <c r="AU128" i="637"/>
  <c r="A128" i="637"/>
  <c r="BZ127" i="637"/>
  <c r="BY127" i="637"/>
  <c r="BX127" i="637"/>
  <c r="BW127" i="637"/>
  <c r="BV127" i="637"/>
  <c r="BU127" i="637"/>
  <c r="AZ127" i="637"/>
  <c r="AY127" i="637"/>
  <c r="AU127" i="637"/>
  <c r="AU163" i="637" s="1"/>
  <c r="A127" i="637"/>
  <c r="BZ126" i="637"/>
  <c r="BY126" i="637"/>
  <c r="BX126" i="637"/>
  <c r="BW126" i="637"/>
  <c r="BV126" i="637"/>
  <c r="BU126" i="637"/>
  <c r="CA126" i="637" s="1"/>
  <c r="CC126" i="637" s="1"/>
  <c r="AZ126" i="637"/>
  <c r="AY126" i="637"/>
  <c r="AT126" i="637"/>
  <c r="R126" i="637"/>
  <c r="Q126" i="637"/>
  <c r="A126" i="637"/>
  <c r="BZ125" i="637"/>
  <c r="BY125" i="637"/>
  <c r="BX125" i="637"/>
  <c r="BW125" i="637"/>
  <c r="BV125" i="637"/>
  <c r="BU125" i="637"/>
  <c r="AZ125" i="637"/>
  <c r="AY125" i="637"/>
  <c r="AT125" i="637"/>
  <c r="R125" i="637"/>
  <c r="Q125" i="637"/>
  <c r="A125" i="637"/>
  <c r="BZ124" i="637"/>
  <c r="BY124" i="637"/>
  <c r="BX124" i="637"/>
  <c r="BW124" i="637"/>
  <c r="BV124" i="637"/>
  <c r="BU124" i="637"/>
  <c r="AZ124" i="637"/>
  <c r="BA124" i="637" s="1"/>
  <c r="CB124" i="637" s="1"/>
  <c r="AY124" i="637"/>
  <c r="AT124" i="637"/>
  <c r="R124" i="637"/>
  <c r="Q124" i="637"/>
  <c r="A124" i="637"/>
  <c r="BZ123" i="637"/>
  <c r="BY123" i="637"/>
  <c r="BX123" i="637"/>
  <c r="BV123" i="637"/>
  <c r="BU123" i="637"/>
  <c r="BI123" i="637"/>
  <c r="BW123" i="637"/>
  <c r="AZ123" i="637"/>
  <c r="AY123" i="637"/>
  <c r="AT123" i="637"/>
  <c r="R123" i="637"/>
  <c r="Q123" i="637"/>
  <c r="A123" i="637"/>
  <c r="BZ122" i="637"/>
  <c r="BY122" i="637"/>
  <c r="CA122" i="637" s="1"/>
  <c r="CC122" i="637" s="1"/>
  <c r="BX122" i="637"/>
  <c r="BV122" i="637"/>
  <c r="BU122" i="637"/>
  <c r="BI122" i="637"/>
  <c r="BW122" i="637" s="1"/>
  <c r="AZ122" i="637"/>
  <c r="AY122" i="637"/>
  <c r="AT122" i="637"/>
  <c r="R122" i="637"/>
  <c r="Q122" i="637"/>
  <c r="A122" i="637"/>
  <c r="BZ121" i="637"/>
  <c r="BY121" i="637"/>
  <c r="BX121" i="637"/>
  <c r="BV121" i="637"/>
  <c r="BU121" i="637"/>
  <c r="BI121" i="637"/>
  <c r="BW121" i="637" s="1"/>
  <c r="AZ121" i="637"/>
  <c r="AY121" i="637"/>
  <c r="AT121" i="637"/>
  <c r="R121" i="637"/>
  <c r="Q121" i="637"/>
  <c r="A121" i="637"/>
  <c r="BZ120" i="637"/>
  <c r="BY120" i="637"/>
  <c r="BX120" i="637"/>
  <c r="BW120" i="637"/>
  <c r="BV120" i="637"/>
  <c r="BU120" i="637"/>
  <c r="AZ120" i="637"/>
  <c r="AY120" i="637"/>
  <c r="AT120" i="637"/>
  <c r="A120" i="637"/>
  <c r="BZ119" i="637"/>
  <c r="BY119" i="637"/>
  <c r="BX119" i="637"/>
  <c r="BW119" i="637"/>
  <c r="BV119" i="637"/>
  <c r="BU119" i="637"/>
  <c r="CA119" i="637"/>
  <c r="AZ119" i="637"/>
  <c r="BA119" i="637" s="1"/>
  <c r="CB119" i="637" s="1"/>
  <c r="AY119" i="637"/>
  <c r="AT119" i="637"/>
  <c r="A119" i="637"/>
  <c r="BZ118" i="637"/>
  <c r="BY118" i="637"/>
  <c r="BX118" i="637"/>
  <c r="BW118" i="637"/>
  <c r="BV118" i="637"/>
  <c r="BU118" i="637"/>
  <c r="AZ118" i="637"/>
  <c r="AY118" i="637"/>
  <c r="AT118" i="637"/>
  <c r="A118" i="637"/>
  <c r="BZ117" i="637"/>
  <c r="BY117" i="637"/>
  <c r="BX117" i="637"/>
  <c r="BW117" i="637"/>
  <c r="BV117" i="637"/>
  <c r="BU117" i="637"/>
  <c r="CA117" i="637"/>
  <c r="AZ117" i="637"/>
  <c r="AY117" i="637"/>
  <c r="AT117" i="637"/>
  <c r="A117" i="637"/>
  <c r="BZ116" i="637"/>
  <c r="BY116" i="637"/>
  <c r="BX116" i="637"/>
  <c r="BW116" i="637"/>
  <c r="BV116" i="637"/>
  <c r="BU116" i="637"/>
  <c r="CA116" i="637"/>
  <c r="AZ116" i="637"/>
  <c r="AY116" i="637"/>
  <c r="AT116" i="637"/>
  <c r="A116" i="637"/>
  <c r="BZ115" i="637"/>
  <c r="BY115" i="637"/>
  <c r="BX115" i="637"/>
  <c r="BV115" i="637"/>
  <c r="CA115" i="637" s="1"/>
  <c r="CC115" i="637" s="1"/>
  <c r="BU115" i="637"/>
  <c r="BI115" i="637"/>
  <c r="BW115" i="637"/>
  <c r="AZ115" i="637"/>
  <c r="AY115" i="637"/>
  <c r="Z115" i="637"/>
  <c r="R115" i="637"/>
  <c r="Q115" i="637"/>
  <c r="A115" i="637"/>
  <c r="BZ114" i="637"/>
  <c r="BY114" i="637"/>
  <c r="BX114" i="637"/>
  <c r="BV114" i="637"/>
  <c r="BU114" i="637"/>
  <c r="BI114" i="637"/>
  <c r="BW114" i="637"/>
  <c r="AZ114" i="637"/>
  <c r="AY114" i="637"/>
  <c r="BA114" i="637" s="1"/>
  <c r="CB114" i="637" s="1"/>
  <c r="CC114" i="637" s="1"/>
  <c r="Z114" i="637"/>
  <c r="R114" i="637"/>
  <c r="Q114" i="637"/>
  <c r="A114" i="637"/>
  <c r="BZ113" i="637"/>
  <c r="BY113" i="637"/>
  <c r="BX113" i="637"/>
  <c r="BV113" i="637"/>
  <c r="BU113" i="637"/>
  <c r="BI113" i="637"/>
  <c r="BW113" i="637"/>
  <c r="AZ113" i="637"/>
  <c r="AY113" i="637"/>
  <c r="Z113" i="637"/>
  <c r="R113" i="637"/>
  <c r="Q113" i="637"/>
  <c r="A113" i="637"/>
  <c r="BZ112" i="637"/>
  <c r="BY112" i="637"/>
  <c r="BX112" i="637"/>
  <c r="BV112" i="637"/>
  <c r="BU112" i="637"/>
  <c r="CA112" i="637" s="1"/>
  <c r="CC112" i="637" s="1"/>
  <c r="BI112" i="637"/>
  <c r="BW112" i="637"/>
  <c r="AZ112" i="637"/>
  <c r="AY112" i="637"/>
  <c r="Z112" i="637"/>
  <c r="R112" i="637"/>
  <c r="Q112" i="637"/>
  <c r="A112" i="637"/>
  <c r="BZ111" i="637"/>
  <c r="BY111" i="637"/>
  <c r="BX111" i="637"/>
  <c r="BV111" i="637"/>
  <c r="BU111" i="637"/>
  <c r="BI111" i="637"/>
  <c r="BW111" i="637"/>
  <c r="AZ111" i="637"/>
  <c r="AY111" i="637"/>
  <c r="Z111" i="637"/>
  <c r="R111" i="637"/>
  <c r="Q111" i="637"/>
  <c r="A111" i="637"/>
  <c r="BZ110" i="637"/>
  <c r="BY110" i="637"/>
  <c r="BX110" i="637"/>
  <c r="BV110" i="637"/>
  <c r="BU110" i="637"/>
  <c r="BI110" i="637"/>
  <c r="BW110" i="637" s="1"/>
  <c r="AZ110" i="637"/>
  <c r="AY110" i="637"/>
  <c r="Z110" i="637"/>
  <c r="R110" i="637"/>
  <c r="Q110" i="637"/>
  <c r="A110" i="637"/>
  <c r="BZ109" i="637"/>
  <c r="BY109" i="637"/>
  <c r="BX109" i="637"/>
  <c r="BV109" i="637"/>
  <c r="BU109" i="637"/>
  <c r="CA109" i="637" s="1"/>
  <c r="BI109" i="637"/>
  <c r="BW109" i="637" s="1"/>
  <c r="AZ109" i="637"/>
  <c r="AY109" i="637"/>
  <c r="Z109" i="637"/>
  <c r="R109" i="637"/>
  <c r="Q109" i="637"/>
  <c r="A109" i="637"/>
  <c r="BZ108" i="637"/>
  <c r="BY108" i="637"/>
  <c r="BX108" i="637"/>
  <c r="BV108" i="637"/>
  <c r="BU108" i="637"/>
  <c r="BI108" i="637"/>
  <c r="BW108" i="637" s="1"/>
  <c r="AZ108" i="637"/>
  <c r="AY108" i="637"/>
  <c r="Z108" i="637"/>
  <c r="R108" i="637"/>
  <c r="Q108" i="637"/>
  <c r="A108" i="637"/>
  <c r="BZ107" i="637"/>
  <c r="BY107" i="637"/>
  <c r="BX107" i="637"/>
  <c r="BV107" i="637"/>
  <c r="CA107" i="637" s="1"/>
  <c r="CC107" i="637" s="1"/>
  <c r="BU107" i="637"/>
  <c r="BI107" i="637"/>
  <c r="BW107" i="637" s="1"/>
  <c r="AZ107" i="637"/>
  <c r="AY107" i="637"/>
  <c r="Z107" i="637"/>
  <c r="R107" i="637"/>
  <c r="Q107" i="637"/>
  <c r="A107" i="637"/>
  <c r="BZ106" i="637"/>
  <c r="BY106" i="637"/>
  <c r="BX106" i="637"/>
  <c r="BV106" i="637"/>
  <c r="BU106" i="637"/>
  <c r="BI106" i="637"/>
  <c r="BW106" i="637"/>
  <c r="AZ106" i="637"/>
  <c r="AY106" i="637"/>
  <c r="BA106" i="637" s="1"/>
  <c r="Z106" i="637"/>
  <c r="R106" i="637"/>
  <c r="Q106" i="637"/>
  <c r="A106" i="637"/>
  <c r="BZ105" i="637"/>
  <c r="BY105" i="637"/>
  <c r="BX105" i="637"/>
  <c r="BV105" i="637"/>
  <c r="BU105" i="637"/>
  <c r="BI105" i="637"/>
  <c r="BW105" i="637"/>
  <c r="AZ105" i="637"/>
  <c r="AY105" i="637"/>
  <c r="Z105" i="637"/>
  <c r="R105" i="637"/>
  <c r="Q105" i="637"/>
  <c r="A105" i="637"/>
  <c r="BZ104" i="637"/>
  <c r="BY104" i="637"/>
  <c r="BX104" i="637"/>
  <c r="BV104" i="637"/>
  <c r="BU104" i="637"/>
  <c r="BI104" i="637"/>
  <c r="BW104" i="637" s="1"/>
  <c r="AZ104" i="637"/>
  <c r="AY104" i="637"/>
  <c r="Z104" i="637"/>
  <c r="R104" i="637"/>
  <c r="Q104" i="637"/>
  <c r="A104" i="637"/>
  <c r="BZ103" i="637"/>
  <c r="BY103" i="637"/>
  <c r="BX103" i="637"/>
  <c r="BV103" i="637"/>
  <c r="BU103" i="637"/>
  <c r="BI103" i="637"/>
  <c r="BW103" i="637"/>
  <c r="AZ103" i="637"/>
  <c r="AY103" i="637"/>
  <c r="AS103" i="637"/>
  <c r="AS163" i="637" s="1"/>
  <c r="R103" i="637"/>
  <c r="Q103" i="637"/>
  <c r="A103" i="637"/>
  <c r="BZ102" i="637"/>
  <c r="BY102" i="637"/>
  <c r="BX102" i="637"/>
  <c r="BV102" i="637"/>
  <c r="BU102" i="637"/>
  <c r="BI102" i="637"/>
  <c r="BW102" i="637"/>
  <c r="AZ102" i="637"/>
  <c r="AY102" i="637"/>
  <c r="AS102" i="637"/>
  <c r="R102" i="637"/>
  <c r="Q102" i="637"/>
  <c r="A102" i="637"/>
  <c r="BZ101" i="637"/>
  <c r="BY101" i="637"/>
  <c r="BX101" i="637"/>
  <c r="BV101" i="637"/>
  <c r="BU101" i="637"/>
  <c r="BI101" i="637"/>
  <c r="BW101" i="637"/>
  <c r="AZ101" i="637"/>
  <c r="AY101" i="637"/>
  <c r="AL101" i="637"/>
  <c r="R101" i="637"/>
  <c r="Q101" i="637"/>
  <c r="A101" i="637"/>
  <c r="BZ100" i="637"/>
  <c r="BY100" i="637"/>
  <c r="BX100" i="637"/>
  <c r="BV100" i="637"/>
  <c r="BU100" i="637"/>
  <c r="BI100" i="637"/>
  <c r="BW100" i="637"/>
  <c r="AZ100" i="637"/>
  <c r="AY100" i="637"/>
  <c r="AL100" i="637"/>
  <c r="AL163" i="637" s="1"/>
  <c r="R100" i="637"/>
  <c r="Q100" i="637"/>
  <c r="A100" i="637"/>
  <c r="BZ99" i="637"/>
  <c r="CA99" i="637" s="1"/>
  <c r="CC99" i="637" s="1"/>
  <c r="BY99" i="637"/>
  <c r="BX99" i="637"/>
  <c r="BV99" i="637"/>
  <c r="BU99" i="637"/>
  <c r="BI99" i="637"/>
  <c r="BW99" i="637"/>
  <c r="AZ99" i="637"/>
  <c r="AY99" i="637"/>
  <c r="AL99" i="637"/>
  <c r="R99" i="637"/>
  <c r="Q99" i="637"/>
  <c r="A99" i="637"/>
  <c r="BZ98" i="637"/>
  <c r="BY98" i="637"/>
  <c r="BX98" i="637"/>
  <c r="BW98" i="637"/>
  <c r="BV98" i="637"/>
  <c r="BU98" i="637"/>
  <c r="CA98" i="637"/>
  <c r="AZ98" i="637"/>
  <c r="AY98" i="637"/>
  <c r="AM98" i="637"/>
  <c r="R98" i="637"/>
  <c r="Q98" i="637"/>
  <c r="A98" i="637"/>
  <c r="BZ97" i="637"/>
  <c r="BY97" i="637"/>
  <c r="BX97" i="637"/>
  <c r="BW97" i="637"/>
  <c r="BV97" i="637"/>
  <c r="CA97" i="637" s="1"/>
  <c r="BU97" i="637"/>
  <c r="AZ97" i="637"/>
  <c r="AY97" i="637"/>
  <c r="AM97" i="637"/>
  <c r="AM163" i="637"/>
  <c r="R97" i="637"/>
  <c r="Q97" i="637"/>
  <c r="A97" i="637"/>
  <c r="BZ96" i="637"/>
  <c r="BY96" i="637"/>
  <c r="BX96" i="637"/>
  <c r="BW96" i="637"/>
  <c r="BV96" i="637"/>
  <c r="BU96" i="637"/>
  <c r="AZ96" i="637"/>
  <c r="AY96" i="637"/>
  <c r="AR96" i="637"/>
  <c r="R96" i="637"/>
  <c r="Q96" i="637"/>
  <c r="A96" i="637"/>
  <c r="BZ95" i="637"/>
  <c r="BY95" i="637"/>
  <c r="BX95" i="637"/>
  <c r="BW95" i="637"/>
  <c r="BV95" i="637"/>
  <c r="BU95" i="637"/>
  <c r="CA95" i="637"/>
  <c r="AZ95" i="637"/>
  <c r="AY95" i="637"/>
  <c r="BA95" i="637" s="1"/>
  <c r="CB95" i="637" s="1"/>
  <c r="AR95" i="637"/>
  <c r="R95" i="637"/>
  <c r="Q95" i="637"/>
  <c r="A95" i="637"/>
  <c r="BZ94" i="637"/>
  <c r="BY94" i="637"/>
  <c r="BV94" i="637"/>
  <c r="BU94" i="637"/>
  <c r="BI94" i="637"/>
  <c r="AZ94" i="637"/>
  <c r="AY94" i="637"/>
  <c r="AR94" i="637"/>
  <c r="R94" i="637"/>
  <c r="Q94" i="637"/>
  <c r="A94" i="637"/>
  <c r="BZ93" i="637"/>
  <c r="BY93" i="637"/>
  <c r="BX93" i="637"/>
  <c r="BW93" i="637"/>
  <c r="BV93" i="637"/>
  <c r="BU93" i="637"/>
  <c r="AZ93" i="637"/>
  <c r="AY93" i="637"/>
  <c r="AR93" i="637"/>
  <c r="R93" i="637"/>
  <c r="Q93" i="637"/>
  <c r="A93" i="637"/>
  <c r="BZ92" i="637"/>
  <c r="BY92" i="637"/>
  <c r="BX92" i="637"/>
  <c r="CA92" i="637" s="1"/>
  <c r="BW92" i="637"/>
  <c r="BV92" i="637"/>
  <c r="BU92" i="637"/>
  <c r="AZ92" i="637"/>
  <c r="AY92" i="637"/>
  <c r="AR92" i="637"/>
  <c r="R92" i="637"/>
  <c r="Q92" i="637"/>
  <c r="A92" i="637"/>
  <c r="BZ91" i="637"/>
  <c r="BY91" i="637"/>
  <c r="BX91" i="637"/>
  <c r="BW91" i="637"/>
  <c r="BV91" i="637"/>
  <c r="BU91" i="637"/>
  <c r="CA91" i="637"/>
  <c r="AZ91" i="637"/>
  <c r="AY91" i="637"/>
  <c r="AR91" i="637"/>
  <c r="R91" i="637"/>
  <c r="Q91" i="637"/>
  <c r="A91" i="637"/>
  <c r="BZ90" i="637"/>
  <c r="BY90" i="637"/>
  <c r="BX90" i="637"/>
  <c r="BW90" i="637"/>
  <c r="BV90" i="637"/>
  <c r="BU90" i="637"/>
  <c r="CA90" i="637" s="1"/>
  <c r="CC90" i="637" s="1"/>
  <c r="AZ90" i="637"/>
  <c r="AY90" i="637"/>
  <c r="AK90" i="637"/>
  <c r="A90" i="637"/>
  <c r="BZ89" i="637"/>
  <c r="BY89" i="637"/>
  <c r="BX89" i="637"/>
  <c r="BW89" i="637"/>
  <c r="BV89" i="637"/>
  <c r="BU89" i="637"/>
  <c r="AZ89" i="637"/>
  <c r="AY89" i="637"/>
  <c r="AK89" i="637"/>
  <c r="AK163" i="637" s="1"/>
  <c r="A89" i="637"/>
  <c r="BZ88" i="637"/>
  <c r="BY88" i="637"/>
  <c r="BV88" i="637"/>
  <c r="BU88" i="637"/>
  <c r="CA88" i="637" s="1"/>
  <c r="BI88" i="637"/>
  <c r="AZ88" i="637"/>
  <c r="AY88" i="637"/>
  <c r="AB88" i="637"/>
  <c r="R88" i="637"/>
  <c r="Q88" i="637"/>
  <c r="A88" i="637"/>
  <c r="BZ87" i="637"/>
  <c r="BY87" i="637"/>
  <c r="CA87" i="637" s="1"/>
  <c r="BX87" i="637"/>
  <c r="BW87" i="637"/>
  <c r="BV87" i="637"/>
  <c r="BU87" i="637"/>
  <c r="AZ87" i="637"/>
  <c r="AY87" i="637"/>
  <c r="AB87" i="637"/>
  <c r="AB163" i="637" s="1"/>
  <c r="R87" i="637"/>
  <c r="Q87" i="637"/>
  <c r="A87" i="637"/>
  <c r="BZ86" i="637"/>
  <c r="BY86" i="637"/>
  <c r="BV86" i="637"/>
  <c r="BU86" i="637"/>
  <c r="CA86" i="637" s="1"/>
  <c r="CC86" i="637" s="1"/>
  <c r="BI86" i="637"/>
  <c r="AZ86" i="637"/>
  <c r="AY86" i="637"/>
  <c r="AE86" i="637"/>
  <c r="AE163" i="637" s="1"/>
  <c r="R86" i="637"/>
  <c r="Q86" i="637"/>
  <c r="A86" i="637"/>
  <c r="BZ85" i="637"/>
  <c r="BY85" i="637"/>
  <c r="BX85" i="637"/>
  <c r="BW85" i="637"/>
  <c r="BV85" i="637"/>
  <c r="BU85" i="637"/>
  <c r="AZ85" i="637"/>
  <c r="AY85" i="637"/>
  <c r="AD85" i="637"/>
  <c r="AD163" i="637"/>
  <c r="R85" i="637"/>
  <c r="Q85" i="637"/>
  <c r="A85" i="637"/>
  <c r="BZ84" i="637"/>
  <c r="BY84" i="637"/>
  <c r="BX84" i="637"/>
  <c r="BV84" i="637"/>
  <c r="BU84" i="637"/>
  <c r="BI84" i="637"/>
  <c r="BW84" i="637"/>
  <c r="AZ84" i="637"/>
  <c r="AY84" i="637"/>
  <c r="AA84" i="637"/>
  <c r="AA163" i="637" s="1"/>
  <c r="R84" i="637"/>
  <c r="Q84" i="637"/>
  <c r="A84" i="637"/>
  <c r="BZ83" i="637"/>
  <c r="BY83" i="637"/>
  <c r="BX83" i="637"/>
  <c r="BV83" i="637"/>
  <c r="BU83" i="637"/>
  <c r="BI83" i="637"/>
  <c r="BW83" i="637" s="1"/>
  <c r="AZ83" i="637"/>
  <c r="AY83" i="637"/>
  <c r="AA83" i="637"/>
  <c r="R83" i="637"/>
  <c r="Q83" i="637"/>
  <c r="A83" i="637"/>
  <c r="BZ82" i="637"/>
  <c r="BY82" i="637"/>
  <c r="BX82" i="637"/>
  <c r="BW82" i="637"/>
  <c r="BV82" i="637"/>
  <c r="BU82" i="637"/>
  <c r="AZ82" i="637"/>
  <c r="AY82" i="637"/>
  <c r="AW82" i="637"/>
  <c r="A82" i="637"/>
  <c r="BZ81" i="637"/>
  <c r="BY81" i="637"/>
  <c r="BX81" i="637"/>
  <c r="BW81" i="637"/>
  <c r="BV81" i="637"/>
  <c r="BU81" i="637"/>
  <c r="AZ81" i="637"/>
  <c r="AY81" i="637"/>
  <c r="AW81" i="637"/>
  <c r="AW163" i="637"/>
  <c r="A81" i="637"/>
  <c r="BZ80" i="637"/>
  <c r="BY80" i="637"/>
  <c r="BX80" i="637"/>
  <c r="BV80" i="637"/>
  <c r="BU80" i="637"/>
  <c r="BI80" i="637"/>
  <c r="BW80" i="637"/>
  <c r="AZ80" i="637"/>
  <c r="AY80" i="637"/>
  <c r="Y80" i="637"/>
  <c r="X80" i="637"/>
  <c r="R80" i="637"/>
  <c r="Q80" i="637"/>
  <c r="A80" i="637"/>
  <c r="BZ79" i="637"/>
  <c r="BY79" i="637"/>
  <c r="BX79" i="637"/>
  <c r="BV79" i="637"/>
  <c r="BU79" i="637"/>
  <c r="BI79" i="637"/>
  <c r="BW79" i="637"/>
  <c r="AZ79" i="637"/>
  <c r="AY79" i="637"/>
  <c r="Y79" i="637"/>
  <c r="X79" i="637"/>
  <c r="R79" i="637"/>
  <c r="Q79" i="637"/>
  <c r="A79" i="637"/>
  <c r="BZ78" i="637"/>
  <c r="BY78" i="637"/>
  <c r="BX78" i="637"/>
  <c r="BV78" i="637"/>
  <c r="BU78" i="637"/>
  <c r="BI78" i="637"/>
  <c r="BW78" i="637" s="1"/>
  <c r="CA78" i="637" s="1"/>
  <c r="AZ78" i="637"/>
  <c r="AY78" i="637"/>
  <c r="Y78" i="637"/>
  <c r="X78" i="637"/>
  <c r="A78" i="637"/>
  <c r="BZ77" i="637"/>
  <c r="BY77" i="637"/>
  <c r="BX77" i="637"/>
  <c r="BV77" i="637"/>
  <c r="BU77" i="637"/>
  <c r="BI77" i="637"/>
  <c r="BW77" i="637"/>
  <c r="AZ77" i="637"/>
  <c r="AY77" i="637"/>
  <c r="Y77" i="637"/>
  <c r="X77" i="637"/>
  <c r="Q77" i="637"/>
  <c r="A77" i="637"/>
  <c r="BZ76" i="637"/>
  <c r="BY76" i="637"/>
  <c r="BX76" i="637"/>
  <c r="BV76" i="637"/>
  <c r="BU76" i="637"/>
  <c r="BI76" i="637"/>
  <c r="BW76" i="637"/>
  <c r="AZ76" i="637"/>
  <c r="AY76" i="637"/>
  <c r="Y76" i="637"/>
  <c r="X76" i="637"/>
  <c r="R76" i="637"/>
  <c r="Q76" i="637"/>
  <c r="A76" i="637"/>
  <c r="BZ75" i="637"/>
  <c r="BY75" i="637"/>
  <c r="BX75" i="637"/>
  <c r="BW75" i="637"/>
  <c r="BV75" i="637"/>
  <c r="BU75" i="637"/>
  <c r="AZ75" i="637"/>
  <c r="AY75" i="637"/>
  <c r="BZ74" i="637"/>
  <c r="BY74" i="637"/>
  <c r="BX74" i="637"/>
  <c r="BV74" i="637"/>
  <c r="BU74" i="637"/>
  <c r="BI74" i="637"/>
  <c r="BW74" i="637"/>
  <c r="AZ74" i="637"/>
  <c r="AY74" i="637"/>
  <c r="Y74" i="637"/>
  <c r="X74" i="637"/>
  <c r="R74" i="637"/>
  <c r="Q74" i="637"/>
  <c r="A74" i="637"/>
  <c r="BZ73" i="637"/>
  <c r="CA73" i="637" s="1"/>
  <c r="CC73" i="637" s="1"/>
  <c r="BY73" i="637"/>
  <c r="BX73" i="637"/>
  <c r="BV73" i="637"/>
  <c r="BU73" i="637"/>
  <c r="BI73" i="637"/>
  <c r="BW73" i="637"/>
  <c r="AZ73" i="637"/>
  <c r="AY73" i="637"/>
  <c r="Y73" i="637"/>
  <c r="X73" i="637"/>
  <c r="R73" i="637"/>
  <c r="Q73" i="637"/>
  <c r="A73" i="637"/>
  <c r="BZ72" i="637"/>
  <c r="BY72" i="637"/>
  <c r="BX72" i="637"/>
  <c r="BV72" i="637"/>
  <c r="BU72" i="637"/>
  <c r="BI72" i="637"/>
  <c r="BW72" i="637"/>
  <c r="CA72" i="637" s="1"/>
  <c r="AZ72" i="637"/>
  <c r="AY72" i="637"/>
  <c r="Y72" i="637"/>
  <c r="X72" i="637"/>
  <c r="R72" i="637"/>
  <c r="Q72" i="637"/>
  <c r="A72" i="637"/>
  <c r="BZ71" i="637"/>
  <c r="BY71" i="637"/>
  <c r="BX71" i="637"/>
  <c r="BV71" i="637"/>
  <c r="BU71" i="637"/>
  <c r="BI71" i="637"/>
  <c r="BW71" i="637" s="1"/>
  <c r="AZ71" i="637"/>
  <c r="AY71" i="637"/>
  <c r="X71" i="637"/>
  <c r="A71" i="637"/>
  <c r="BZ70" i="637"/>
  <c r="BY70" i="637"/>
  <c r="BX70" i="637"/>
  <c r="CA70" i="637" s="1"/>
  <c r="BV70" i="637"/>
  <c r="BU70" i="637"/>
  <c r="BI70" i="637"/>
  <c r="BW70" i="637" s="1"/>
  <c r="AZ70" i="637"/>
  <c r="AY70" i="637"/>
  <c r="X70" i="637"/>
  <c r="R70" i="637"/>
  <c r="Q70" i="637"/>
  <c r="A70" i="637"/>
  <c r="BZ69" i="637"/>
  <c r="BY69" i="637"/>
  <c r="BX69" i="637"/>
  <c r="BV69" i="637"/>
  <c r="BU69" i="637"/>
  <c r="BI69" i="637"/>
  <c r="BW69" i="637" s="1"/>
  <c r="AZ69" i="637"/>
  <c r="AY69" i="637"/>
  <c r="X69" i="637"/>
  <c r="R69" i="637"/>
  <c r="Q69" i="637"/>
  <c r="A69" i="637"/>
  <c r="BZ68" i="637"/>
  <c r="BY68" i="637"/>
  <c r="BX68" i="637"/>
  <c r="BV68" i="637"/>
  <c r="BU68" i="637"/>
  <c r="BI68" i="637"/>
  <c r="BW68" i="637"/>
  <c r="AZ68" i="637"/>
  <c r="AY68" i="637"/>
  <c r="X68" i="637"/>
  <c r="R68" i="637"/>
  <c r="Q68" i="637"/>
  <c r="A68" i="637"/>
  <c r="BZ67" i="637"/>
  <c r="BY67" i="637"/>
  <c r="BX67" i="637"/>
  <c r="BV67" i="637"/>
  <c r="BU67" i="637"/>
  <c r="BI67" i="637"/>
  <c r="BW67" i="637"/>
  <c r="AZ67" i="637"/>
  <c r="AY67" i="637"/>
  <c r="Y67" i="637"/>
  <c r="X67" i="637"/>
  <c r="R67" i="637"/>
  <c r="Q67" i="637"/>
  <c r="A67" i="637"/>
  <c r="BZ66" i="637"/>
  <c r="BY66" i="637"/>
  <c r="BX66" i="637"/>
  <c r="BV66" i="637"/>
  <c r="BU66" i="637"/>
  <c r="BI66" i="637"/>
  <c r="BW66" i="637" s="1"/>
  <c r="AZ66" i="637"/>
  <c r="AY66" i="637"/>
  <c r="Y66" i="637"/>
  <c r="X66" i="637"/>
  <c r="R66" i="637"/>
  <c r="Q66" i="637"/>
  <c r="A66" i="637"/>
  <c r="BZ65" i="637"/>
  <c r="BY65" i="637"/>
  <c r="BX65" i="637"/>
  <c r="BV65" i="637"/>
  <c r="BU65" i="637"/>
  <c r="BI65" i="637"/>
  <c r="BW65" i="637" s="1"/>
  <c r="AZ65" i="637"/>
  <c r="AY65" i="637"/>
  <c r="S65" i="637"/>
  <c r="Q65" i="637"/>
  <c r="A65" i="637"/>
  <c r="BZ64" i="637"/>
  <c r="BY64" i="637"/>
  <c r="BX64" i="637"/>
  <c r="BV64" i="637"/>
  <c r="BU64" i="637"/>
  <c r="BI64" i="637"/>
  <c r="BW64" i="637"/>
  <c r="AZ64" i="637"/>
  <c r="AY64" i="637"/>
  <c r="Y64" i="637"/>
  <c r="X64" i="637"/>
  <c r="R64" i="637"/>
  <c r="Q64" i="637"/>
  <c r="A64" i="637"/>
  <c r="BZ63" i="637"/>
  <c r="BY63" i="637"/>
  <c r="BX63" i="637"/>
  <c r="BV63" i="637"/>
  <c r="BU63" i="637"/>
  <c r="BI63" i="637"/>
  <c r="BW63" i="637" s="1"/>
  <c r="AZ63" i="637"/>
  <c r="AY63" i="637"/>
  <c r="Y63" i="637"/>
  <c r="X63" i="637"/>
  <c r="R63" i="637"/>
  <c r="Q63" i="637"/>
  <c r="A63" i="637"/>
  <c r="BZ62" i="637"/>
  <c r="BY62" i="637"/>
  <c r="BX62" i="637"/>
  <c r="CA62" i="637" s="1"/>
  <c r="BV62" i="637"/>
  <c r="BU62" i="637"/>
  <c r="BI62" i="637"/>
  <c r="BW62" i="637" s="1"/>
  <c r="AZ62" i="637"/>
  <c r="AY62" i="637"/>
  <c r="Y62" i="637"/>
  <c r="X62" i="637"/>
  <c r="R62" i="637"/>
  <c r="Q62" i="637"/>
  <c r="A62" i="637"/>
  <c r="BZ61" i="637"/>
  <c r="BY61" i="637"/>
  <c r="BX61" i="637"/>
  <c r="BV61" i="637"/>
  <c r="BU61" i="637"/>
  <c r="BI61" i="637"/>
  <c r="BW61" i="637"/>
  <c r="AZ61" i="637"/>
  <c r="AY61" i="637"/>
  <c r="Y61" i="637"/>
  <c r="X61" i="637"/>
  <c r="Q61" i="637"/>
  <c r="A61" i="637"/>
  <c r="BZ60" i="637"/>
  <c r="BY60" i="637"/>
  <c r="BX60" i="637"/>
  <c r="BV60" i="637"/>
  <c r="BU60" i="637"/>
  <c r="BI60" i="637"/>
  <c r="BW60" i="637" s="1"/>
  <c r="AZ60" i="637"/>
  <c r="AY60" i="637"/>
  <c r="Y60" i="637"/>
  <c r="X60" i="637"/>
  <c r="R60" i="637"/>
  <c r="Q60" i="637"/>
  <c r="A60" i="637"/>
  <c r="BZ59" i="637"/>
  <c r="BY59" i="637"/>
  <c r="CA59" i="637" s="1"/>
  <c r="BX59" i="637"/>
  <c r="BV59" i="637"/>
  <c r="BU59" i="637"/>
  <c r="BI59" i="637"/>
  <c r="BW59" i="637" s="1"/>
  <c r="AZ59" i="637"/>
  <c r="AY59" i="637"/>
  <c r="Y59" i="637"/>
  <c r="R59" i="637"/>
  <c r="Q59" i="637"/>
  <c r="A59" i="637"/>
  <c r="BZ58" i="637"/>
  <c r="BY58" i="637"/>
  <c r="BX58" i="637"/>
  <c r="BV58" i="637"/>
  <c r="BU58" i="637"/>
  <c r="BI58" i="637"/>
  <c r="BW58" i="637"/>
  <c r="AZ58" i="637"/>
  <c r="AY58" i="637"/>
  <c r="Y58" i="637"/>
  <c r="R58" i="637"/>
  <c r="Q58" i="637"/>
  <c r="A58" i="637"/>
  <c r="BZ57" i="637"/>
  <c r="BY57" i="637"/>
  <c r="BX57" i="637"/>
  <c r="BV57" i="637"/>
  <c r="BU57" i="637"/>
  <c r="BI57" i="637"/>
  <c r="BW57" i="637" s="1"/>
  <c r="AZ57" i="637"/>
  <c r="AY57" i="637"/>
  <c r="Y57" i="637"/>
  <c r="R57" i="637"/>
  <c r="Q57" i="637"/>
  <c r="A57" i="637"/>
  <c r="BZ56" i="637"/>
  <c r="BY56" i="637"/>
  <c r="BX56" i="637"/>
  <c r="BV56" i="637"/>
  <c r="BU56" i="637"/>
  <c r="CA56" i="637" s="1"/>
  <c r="BI56" i="637"/>
  <c r="BW56" i="637"/>
  <c r="AZ56" i="637"/>
  <c r="AY56" i="637"/>
  <c r="Y56" i="637"/>
  <c r="R56" i="637"/>
  <c r="Q56" i="637"/>
  <c r="A56" i="637"/>
  <c r="BZ55" i="637"/>
  <c r="BY55" i="637"/>
  <c r="BX55" i="637"/>
  <c r="BV55" i="637"/>
  <c r="BU55" i="637"/>
  <c r="BI55" i="637"/>
  <c r="BW55" i="637" s="1"/>
  <c r="AZ55" i="637"/>
  <c r="AY55" i="637"/>
  <c r="S55" i="637"/>
  <c r="Y55" i="637"/>
  <c r="R55" i="637"/>
  <c r="Q55" i="637"/>
  <c r="A55" i="637"/>
  <c r="BZ54" i="637"/>
  <c r="BY54" i="637"/>
  <c r="BX54" i="637"/>
  <c r="BV54" i="637"/>
  <c r="BU54" i="637"/>
  <c r="BI54" i="637"/>
  <c r="BW54" i="637"/>
  <c r="AZ54" i="637"/>
  <c r="AY54" i="637"/>
  <c r="Y54" i="637"/>
  <c r="R54" i="637"/>
  <c r="Q54" i="637"/>
  <c r="A54" i="637"/>
  <c r="BZ53" i="637"/>
  <c r="BY53" i="637"/>
  <c r="BX53" i="637"/>
  <c r="BV53" i="637"/>
  <c r="BU53" i="637"/>
  <c r="BI53" i="637"/>
  <c r="BW53" i="637" s="1"/>
  <c r="AZ53" i="637"/>
  <c r="BA53" i="637" s="1"/>
  <c r="AY53" i="637"/>
  <c r="Y53" i="637"/>
  <c r="R53" i="637"/>
  <c r="Q53" i="637"/>
  <c r="A53" i="637"/>
  <c r="BZ52" i="637"/>
  <c r="BY52" i="637"/>
  <c r="BX52" i="637"/>
  <c r="BV52" i="637"/>
  <c r="BU52" i="637"/>
  <c r="BI52" i="637"/>
  <c r="BW52" i="637" s="1"/>
  <c r="AZ52" i="637"/>
  <c r="AY52" i="637"/>
  <c r="Y52" i="637"/>
  <c r="X52" i="637"/>
  <c r="R52" i="637"/>
  <c r="Q52" i="637"/>
  <c r="A52" i="637"/>
  <c r="BZ51" i="637"/>
  <c r="BY51" i="637"/>
  <c r="BX51" i="637"/>
  <c r="BV51" i="637"/>
  <c r="BU51" i="637"/>
  <c r="BI51" i="637"/>
  <c r="BW51" i="637"/>
  <c r="AZ51" i="637"/>
  <c r="AY51" i="637"/>
  <c r="X51" i="637"/>
  <c r="R51" i="637"/>
  <c r="Q51" i="637"/>
  <c r="A51" i="637"/>
  <c r="BZ50" i="637"/>
  <c r="BY50" i="637"/>
  <c r="BX50" i="637"/>
  <c r="BV50" i="637"/>
  <c r="BU50" i="637"/>
  <c r="BH50" i="637"/>
  <c r="BI50" i="637"/>
  <c r="BW50" i="637" s="1"/>
  <c r="CA50" i="637" s="1"/>
  <c r="CC50" i="637" s="1"/>
  <c r="AZ50" i="637"/>
  <c r="AY50" i="637"/>
  <c r="X50" i="637"/>
  <c r="R50" i="637"/>
  <c r="Q50" i="637"/>
  <c r="A50" i="637"/>
  <c r="BZ49" i="637"/>
  <c r="BY49" i="637"/>
  <c r="BX49" i="637"/>
  <c r="BW49" i="637"/>
  <c r="BV49" i="637"/>
  <c r="CA49" i="637" s="1"/>
  <c r="BU49" i="637"/>
  <c r="AZ49" i="637"/>
  <c r="AY49" i="637"/>
  <c r="R49" i="637"/>
  <c r="Q49" i="637"/>
  <c r="BZ48" i="637"/>
  <c r="BY48" i="637"/>
  <c r="BX48" i="637"/>
  <c r="BV48" i="637"/>
  <c r="BU48" i="637"/>
  <c r="BI48" i="637"/>
  <c r="BW48" i="637"/>
  <c r="AZ48" i="637"/>
  <c r="AY48" i="637"/>
  <c r="Y48" i="637"/>
  <c r="R48" i="637"/>
  <c r="Q48" i="637"/>
  <c r="A48" i="637"/>
  <c r="BZ47" i="637"/>
  <c r="BY47" i="637"/>
  <c r="BX47" i="637"/>
  <c r="BV47" i="637"/>
  <c r="BU47" i="637"/>
  <c r="BI47" i="637"/>
  <c r="BW47" i="637"/>
  <c r="AZ47" i="637"/>
  <c r="AY47" i="637"/>
  <c r="Y47" i="637"/>
  <c r="R47" i="637"/>
  <c r="Q47" i="637"/>
  <c r="A47" i="637"/>
  <c r="BZ46" i="637"/>
  <c r="BY46" i="637"/>
  <c r="BX46" i="637"/>
  <c r="BV46" i="637"/>
  <c r="BU46" i="637"/>
  <c r="BI46" i="637"/>
  <c r="BW46" i="637"/>
  <c r="AZ46" i="637"/>
  <c r="AY46" i="637"/>
  <c r="X46" i="637"/>
  <c r="R46" i="637"/>
  <c r="Q46" i="637"/>
  <c r="A46" i="637"/>
  <c r="BZ45" i="637"/>
  <c r="BY45" i="637"/>
  <c r="BX45" i="637"/>
  <c r="BV45" i="637"/>
  <c r="BU45" i="637"/>
  <c r="BI45" i="637"/>
  <c r="BW45" i="637" s="1"/>
  <c r="AZ45" i="637"/>
  <c r="AY45" i="637"/>
  <c r="X45" i="637"/>
  <c r="R45" i="637"/>
  <c r="Q45" i="637"/>
  <c r="A45" i="637"/>
  <c r="BZ44" i="637"/>
  <c r="BY44" i="637"/>
  <c r="BX44" i="637"/>
  <c r="BV44" i="637"/>
  <c r="BU44" i="637"/>
  <c r="BI44" i="637"/>
  <c r="BW44" i="637"/>
  <c r="AZ44" i="637"/>
  <c r="AY44" i="637"/>
  <c r="X44" i="637"/>
  <c r="R44" i="637"/>
  <c r="Q44" i="637"/>
  <c r="A44" i="637"/>
  <c r="BZ43" i="637"/>
  <c r="BY43" i="637"/>
  <c r="BX43" i="637"/>
  <c r="BV43" i="637"/>
  <c r="BU43" i="637"/>
  <c r="BI43" i="637"/>
  <c r="BW43" i="637" s="1"/>
  <c r="AZ43" i="637"/>
  <c r="AY43" i="637"/>
  <c r="X43" i="637"/>
  <c r="R43" i="637"/>
  <c r="Q43" i="637"/>
  <c r="A43" i="637"/>
  <c r="BZ42" i="637"/>
  <c r="BY42" i="637"/>
  <c r="BX42" i="637"/>
  <c r="BV42" i="637"/>
  <c r="BU42" i="637"/>
  <c r="BI42" i="637"/>
  <c r="BW42" i="637" s="1"/>
  <c r="AZ42" i="637"/>
  <c r="AY42" i="637"/>
  <c r="X42" i="637"/>
  <c r="R42" i="637"/>
  <c r="Q42" i="637"/>
  <c r="A42" i="637"/>
  <c r="BZ41" i="637"/>
  <c r="BY41" i="637"/>
  <c r="BX41" i="637"/>
  <c r="BV41" i="637"/>
  <c r="BU41" i="637"/>
  <c r="BI41" i="637"/>
  <c r="BW41" i="637" s="1"/>
  <c r="AZ41" i="637"/>
  <c r="AY41" i="637"/>
  <c r="X41" i="637"/>
  <c r="R41" i="637"/>
  <c r="Q41" i="637"/>
  <c r="A41" i="637"/>
  <c r="BZ40" i="637"/>
  <c r="BY40" i="637"/>
  <c r="BX40" i="637"/>
  <c r="BV40" i="637"/>
  <c r="BU40" i="637"/>
  <c r="BI40" i="637"/>
  <c r="BW40" i="637" s="1"/>
  <c r="AZ40" i="637"/>
  <c r="AY40" i="637"/>
  <c r="X40" i="637"/>
  <c r="R40" i="637"/>
  <c r="Q40" i="637"/>
  <c r="A40" i="637"/>
  <c r="BZ39" i="637"/>
  <c r="BY39" i="637"/>
  <c r="BX39" i="637"/>
  <c r="BV39" i="637"/>
  <c r="BU39" i="637"/>
  <c r="BI39" i="637"/>
  <c r="BW39" i="637"/>
  <c r="AZ39" i="637"/>
  <c r="AY39" i="637"/>
  <c r="X39" i="637"/>
  <c r="R39" i="637"/>
  <c r="Q39" i="637"/>
  <c r="A39" i="637"/>
  <c r="BZ38" i="637"/>
  <c r="BY38" i="637"/>
  <c r="BX38" i="637"/>
  <c r="BV38" i="637"/>
  <c r="BU38" i="637"/>
  <c r="BI38" i="637"/>
  <c r="BW38" i="637"/>
  <c r="CA38" i="637" s="1"/>
  <c r="CC38" i="637" s="1"/>
  <c r="AZ38" i="637"/>
  <c r="AY38" i="637"/>
  <c r="X38" i="637"/>
  <c r="R38" i="637"/>
  <c r="Q38" i="637"/>
  <c r="A38" i="637"/>
  <c r="BZ37" i="637"/>
  <c r="BY37" i="637"/>
  <c r="BX37" i="637"/>
  <c r="BV37" i="637"/>
  <c r="BU37" i="637"/>
  <c r="BI37" i="637"/>
  <c r="BW37" i="637"/>
  <c r="CA37" i="637" s="1"/>
  <c r="CC37" i="637" s="1"/>
  <c r="AZ37" i="637"/>
  <c r="AY37" i="637"/>
  <c r="S37" i="637"/>
  <c r="X37" i="637"/>
  <c r="R37" i="637"/>
  <c r="Q37" i="637"/>
  <c r="A37" i="637"/>
  <c r="BZ36" i="637"/>
  <c r="BY36" i="637"/>
  <c r="BX36" i="637"/>
  <c r="BV36" i="637"/>
  <c r="BU36" i="637"/>
  <c r="BI36" i="637"/>
  <c r="BW36" i="637"/>
  <c r="AZ36" i="637"/>
  <c r="AY36" i="637"/>
  <c r="X36" i="637"/>
  <c r="R36" i="637"/>
  <c r="Q36" i="637"/>
  <c r="A36" i="637"/>
  <c r="BZ35" i="637"/>
  <c r="BY35" i="637"/>
  <c r="BX35" i="637"/>
  <c r="BV35" i="637"/>
  <c r="BU35" i="637"/>
  <c r="BI35" i="637"/>
  <c r="BW35" i="637"/>
  <c r="CA35" i="637" s="1"/>
  <c r="CC35" i="637" s="1"/>
  <c r="AZ35" i="637"/>
  <c r="AY35" i="637"/>
  <c r="X35" i="637"/>
  <c r="R35" i="637"/>
  <c r="Q35" i="637"/>
  <c r="A35" i="637"/>
  <c r="BZ34" i="637"/>
  <c r="BY34" i="637"/>
  <c r="BX34" i="637"/>
  <c r="BV34" i="637"/>
  <c r="BU34" i="637"/>
  <c r="BI34" i="637"/>
  <c r="BW34" i="637"/>
  <c r="CA34" i="637" s="1"/>
  <c r="CC34" i="637" s="1"/>
  <c r="AZ34" i="637"/>
  <c r="AY34" i="637"/>
  <c r="X34" i="637"/>
  <c r="R34" i="637"/>
  <c r="Q34" i="637"/>
  <c r="A34" i="637"/>
  <c r="BZ33" i="637"/>
  <c r="CA33" i="637" s="1"/>
  <c r="CC33" i="637" s="1"/>
  <c r="BY33" i="637"/>
  <c r="BX33" i="637"/>
  <c r="BV33" i="637"/>
  <c r="BU33" i="637"/>
  <c r="BI33" i="637"/>
  <c r="BW33" i="637"/>
  <c r="AZ33" i="637"/>
  <c r="AY33" i="637"/>
  <c r="X33" i="637"/>
  <c r="R33" i="637"/>
  <c r="Q33" i="637"/>
  <c r="A33" i="637"/>
  <c r="BZ32" i="637"/>
  <c r="CA32" i="637" s="1"/>
  <c r="BY32" i="637"/>
  <c r="BX32" i="637"/>
  <c r="BV32" i="637"/>
  <c r="BU32" i="637"/>
  <c r="BI32" i="637"/>
  <c r="BW32" i="637" s="1"/>
  <c r="AZ32" i="637"/>
  <c r="AY32" i="637"/>
  <c r="X32" i="637"/>
  <c r="R32" i="637"/>
  <c r="Q32" i="637"/>
  <c r="A32" i="637"/>
  <c r="BZ31" i="637"/>
  <c r="BY31" i="637"/>
  <c r="BX31" i="637"/>
  <c r="BV31" i="637"/>
  <c r="BU31" i="637"/>
  <c r="BI31" i="637"/>
  <c r="BW31" i="637" s="1"/>
  <c r="AZ31" i="637"/>
  <c r="AY31" i="637"/>
  <c r="Y31" i="637"/>
  <c r="R31" i="637"/>
  <c r="Q31" i="637"/>
  <c r="A31" i="637"/>
  <c r="BZ30" i="637"/>
  <c r="BY30" i="637"/>
  <c r="BX30" i="637"/>
  <c r="BV30" i="637"/>
  <c r="BU30" i="637"/>
  <c r="BI30" i="637"/>
  <c r="BW30" i="637"/>
  <c r="AZ30" i="637"/>
  <c r="AY30" i="637"/>
  <c r="Y30" i="637"/>
  <c r="R30" i="637"/>
  <c r="Q30" i="637"/>
  <c r="A30" i="637"/>
  <c r="BZ29" i="637"/>
  <c r="BY29" i="637"/>
  <c r="BX29" i="637"/>
  <c r="BV29" i="637"/>
  <c r="BU29" i="637"/>
  <c r="BI29" i="637"/>
  <c r="BW29" i="637" s="1"/>
  <c r="AZ29" i="637"/>
  <c r="AY29" i="637"/>
  <c r="Y29" i="637"/>
  <c r="R29" i="637"/>
  <c r="Q29" i="637"/>
  <c r="A29" i="637"/>
  <c r="BZ28" i="637"/>
  <c r="BY28" i="637"/>
  <c r="BX28" i="637"/>
  <c r="BV28" i="637"/>
  <c r="BU28" i="637"/>
  <c r="BI28" i="637"/>
  <c r="BW28" i="637"/>
  <c r="AZ28" i="637"/>
  <c r="AY28" i="637"/>
  <c r="Y28" i="637"/>
  <c r="R28" i="637"/>
  <c r="Q28" i="637"/>
  <c r="A28" i="637"/>
  <c r="BZ27" i="637"/>
  <c r="BY27" i="637"/>
  <c r="BX27" i="637"/>
  <c r="BV27" i="637"/>
  <c r="BU27" i="637"/>
  <c r="BI27" i="637"/>
  <c r="BW27" i="637"/>
  <c r="AZ27" i="637"/>
  <c r="AY27" i="637"/>
  <c r="X27" i="637"/>
  <c r="R27" i="637"/>
  <c r="Q27" i="637"/>
  <c r="A27" i="637"/>
  <c r="BZ26" i="637"/>
  <c r="BY26" i="637"/>
  <c r="BX26" i="637"/>
  <c r="BV26" i="637"/>
  <c r="BU26" i="637"/>
  <c r="BI26" i="637"/>
  <c r="BW26" i="637"/>
  <c r="AZ26" i="637"/>
  <c r="AY26" i="637"/>
  <c r="X26" i="637"/>
  <c r="R26" i="637"/>
  <c r="Q26" i="637"/>
  <c r="A26" i="637"/>
  <c r="BZ25" i="637"/>
  <c r="BY25" i="637"/>
  <c r="BX25" i="637"/>
  <c r="BV25" i="637"/>
  <c r="BU25" i="637"/>
  <c r="BI25" i="637"/>
  <c r="BW25" i="637"/>
  <c r="AZ25" i="637"/>
  <c r="AY25" i="637"/>
  <c r="X25" i="637"/>
  <c r="R25" i="637"/>
  <c r="Q25" i="637"/>
  <c r="A25" i="637"/>
  <c r="BZ24" i="637"/>
  <c r="BY24" i="637"/>
  <c r="BX24" i="637"/>
  <c r="BV24" i="637"/>
  <c r="BU24" i="637"/>
  <c r="BI24" i="637"/>
  <c r="BW24" i="637"/>
  <c r="AZ24" i="637"/>
  <c r="AY24" i="637"/>
  <c r="Y24" i="637"/>
  <c r="R24" i="637"/>
  <c r="Q24" i="637"/>
  <c r="A24" i="637"/>
  <c r="BZ23" i="637"/>
  <c r="BY23" i="637"/>
  <c r="BX23" i="637"/>
  <c r="BV23" i="637"/>
  <c r="BU23" i="637"/>
  <c r="BI23" i="637"/>
  <c r="BW23" i="637"/>
  <c r="AZ23" i="637"/>
  <c r="AY23" i="637"/>
  <c r="S23" i="637"/>
  <c r="Y23" i="637" s="1"/>
  <c r="R23" i="637"/>
  <c r="Q23" i="637"/>
  <c r="A23" i="637"/>
  <c r="BZ22" i="637"/>
  <c r="BY22" i="637"/>
  <c r="BX22" i="637"/>
  <c r="BV22" i="637"/>
  <c r="BU22" i="637"/>
  <c r="BI22" i="637"/>
  <c r="BW22" i="637"/>
  <c r="AZ22" i="637"/>
  <c r="AY22" i="637"/>
  <c r="Y22" i="637"/>
  <c r="R22" i="637"/>
  <c r="Q22" i="637"/>
  <c r="A22" i="637"/>
  <c r="BZ21" i="637"/>
  <c r="BY21" i="637"/>
  <c r="BX21" i="637"/>
  <c r="BV21" i="637"/>
  <c r="BU21" i="637"/>
  <c r="BI21" i="637"/>
  <c r="BW21" i="637"/>
  <c r="AZ21" i="637"/>
  <c r="AY21" i="637"/>
  <c r="Y21" i="637"/>
  <c r="R21" i="637"/>
  <c r="Q21" i="637"/>
  <c r="A21" i="637"/>
  <c r="BZ20" i="637"/>
  <c r="BY20" i="637"/>
  <c r="BX20" i="637"/>
  <c r="BV20" i="637"/>
  <c r="BU20" i="637"/>
  <c r="BI20" i="637"/>
  <c r="BW20" i="637"/>
  <c r="AZ20" i="637"/>
  <c r="AY20" i="637"/>
  <c r="Y20" i="637"/>
  <c r="R20" i="637"/>
  <c r="Q20" i="637"/>
  <c r="A20" i="637"/>
  <c r="BZ19" i="637"/>
  <c r="BY19" i="637"/>
  <c r="BX19" i="637"/>
  <c r="BV19" i="637"/>
  <c r="BU19" i="637"/>
  <c r="BI19" i="637"/>
  <c r="BW19" i="637" s="1"/>
  <c r="AZ19" i="637"/>
  <c r="AY19" i="637"/>
  <c r="Y19" i="637"/>
  <c r="R19" i="637"/>
  <c r="Q19" i="637"/>
  <c r="A19" i="637"/>
  <c r="BZ18" i="637"/>
  <c r="BY18" i="637"/>
  <c r="BX18" i="637"/>
  <c r="BV18" i="637"/>
  <c r="BU18" i="637"/>
  <c r="BI18" i="637"/>
  <c r="BW18" i="637"/>
  <c r="AZ18" i="637"/>
  <c r="AY18" i="637"/>
  <c r="Y18" i="637"/>
  <c r="Q18" i="637"/>
  <c r="A18" i="637"/>
  <c r="BZ17" i="637"/>
  <c r="BY17" i="637"/>
  <c r="BX17" i="637"/>
  <c r="BV17" i="637"/>
  <c r="BU17" i="637"/>
  <c r="BI17" i="637"/>
  <c r="BW17" i="637"/>
  <c r="AZ17" i="637"/>
  <c r="AY17" i="637"/>
  <c r="Y17" i="637"/>
  <c r="R17" i="637"/>
  <c r="Q17" i="637"/>
  <c r="A17" i="637"/>
  <c r="BZ16" i="637"/>
  <c r="BY16" i="637"/>
  <c r="BX16" i="637"/>
  <c r="BV16" i="637"/>
  <c r="BU16" i="637"/>
  <c r="BI16" i="637"/>
  <c r="BW16" i="637"/>
  <c r="AZ16" i="637"/>
  <c r="AY16" i="637"/>
  <c r="Y16" i="637"/>
  <c r="R16" i="637"/>
  <c r="Q16" i="637"/>
  <c r="A16" i="637"/>
  <c r="BZ15" i="637"/>
  <c r="BY15" i="637"/>
  <c r="BX15" i="637"/>
  <c r="BV15" i="637"/>
  <c r="BU15" i="637"/>
  <c r="BI15" i="637"/>
  <c r="BW15" i="637" s="1"/>
  <c r="AZ15" i="637"/>
  <c r="AY15" i="637"/>
  <c r="S15" i="637"/>
  <c r="Y15" i="637"/>
  <c r="R15" i="637"/>
  <c r="Q15" i="637"/>
  <c r="A15" i="637"/>
  <c r="BZ14" i="637"/>
  <c r="BY14" i="637"/>
  <c r="BX14" i="637"/>
  <c r="BV14" i="637"/>
  <c r="BU14" i="637"/>
  <c r="BI14" i="637"/>
  <c r="BW14" i="637"/>
  <c r="AZ14" i="637"/>
  <c r="AY14" i="637"/>
  <c r="X14" i="637"/>
  <c r="R14" i="637"/>
  <c r="Q14" i="637"/>
  <c r="A14" i="637"/>
  <c r="BZ13" i="637"/>
  <c r="BY13" i="637"/>
  <c r="BX13" i="637"/>
  <c r="BV13" i="637"/>
  <c r="BU13" i="637"/>
  <c r="BI13" i="637"/>
  <c r="BW13" i="637" s="1"/>
  <c r="CA13" i="637" s="1"/>
  <c r="AZ13" i="637"/>
  <c r="AY13" i="637"/>
  <c r="X13" i="637"/>
  <c r="R13" i="637"/>
  <c r="Q13" i="637"/>
  <c r="A13" i="637"/>
  <c r="BZ12" i="637"/>
  <c r="BY12" i="637"/>
  <c r="BX12" i="637"/>
  <c r="BV12" i="637"/>
  <c r="BU12" i="637"/>
  <c r="BI12" i="637"/>
  <c r="BW12" i="637" s="1"/>
  <c r="AZ12" i="637"/>
  <c r="AY12" i="637"/>
  <c r="S12" i="637"/>
  <c r="R12" i="637"/>
  <c r="Q12" i="637"/>
  <c r="A12" i="637"/>
  <c r="BZ11" i="637"/>
  <c r="CA11" i="637" s="1"/>
  <c r="CC11" i="637" s="1"/>
  <c r="BY11" i="637"/>
  <c r="BX11" i="637"/>
  <c r="BV11" i="637"/>
  <c r="BU11" i="637"/>
  <c r="BI11" i="637"/>
  <c r="BW11" i="637" s="1"/>
  <c r="AZ11" i="637"/>
  <c r="AY11" i="637"/>
  <c r="X11" i="637"/>
  <c r="R11" i="637"/>
  <c r="Q11" i="637"/>
  <c r="A11" i="637"/>
  <c r="BZ10" i="637"/>
  <c r="BY10" i="637"/>
  <c r="BX10" i="637"/>
  <c r="BV10" i="637"/>
  <c r="BU10" i="637"/>
  <c r="BI10" i="637"/>
  <c r="BW10" i="637"/>
  <c r="AZ10" i="637"/>
  <c r="BA10" i="637" s="1"/>
  <c r="CB10" i="637" s="1"/>
  <c r="AY10" i="637"/>
  <c r="X10" i="637"/>
  <c r="R10" i="637"/>
  <c r="Q10" i="637"/>
  <c r="A10" i="637"/>
  <c r="BZ9" i="637"/>
  <c r="BY9" i="637"/>
  <c r="BX9" i="637"/>
  <c r="BV9" i="637"/>
  <c r="BU9" i="637"/>
  <c r="BI9" i="637"/>
  <c r="BW9" i="637" s="1"/>
  <c r="AZ9" i="637"/>
  <c r="BA9" i="637" s="1"/>
  <c r="AY9" i="637"/>
  <c r="X9" i="637"/>
  <c r="R9" i="637"/>
  <c r="Q9" i="637"/>
  <c r="A9" i="637"/>
  <c r="BZ8" i="637"/>
  <c r="BY8" i="637"/>
  <c r="CA8" i="637" s="1"/>
  <c r="CC8" i="637" s="1"/>
  <c r="BX8" i="637"/>
  <c r="BV8" i="637"/>
  <c r="BU8" i="637"/>
  <c r="BI8" i="637"/>
  <c r="BW8" i="637"/>
  <c r="AZ8" i="637"/>
  <c r="AY8" i="637"/>
  <c r="X8" i="637"/>
  <c r="R8" i="637"/>
  <c r="Q8" i="637"/>
  <c r="A8" i="637"/>
  <c r="BZ7" i="637"/>
  <c r="BY7" i="637"/>
  <c r="BX7" i="637"/>
  <c r="BV7" i="637"/>
  <c r="BU7" i="637"/>
  <c r="BI7" i="637"/>
  <c r="BW7" i="637"/>
  <c r="AZ7" i="637"/>
  <c r="AY7" i="637"/>
  <c r="BA7" i="637" s="1"/>
  <c r="CB7" i="637" s="1"/>
  <c r="AO7" i="637"/>
  <c r="R7" i="637"/>
  <c r="Q7" i="637"/>
  <c r="A7" i="637"/>
  <c r="BZ6" i="637"/>
  <c r="BY6" i="637"/>
  <c r="BX6" i="637"/>
  <c r="BV6" i="637"/>
  <c r="BU6" i="637"/>
  <c r="BI6" i="637"/>
  <c r="BW6" i="637"/>
  <c r="AZ6" i="637"/>
  <c r="AY6" i="637"/>
  <c r="BA6" i="637" s="1"/>
  <c r="CB6" i="637" s="1"/>
  <c r="CC6" i="637" s="1"/>
  <c r="AO6" i="637"/>
  <c r="AO163" i="637" s="1"/>
  <c r="R6" i="637"/>
  <c r="Q6" i="637"/>
  <c r="A6" i="637"/>
  <c r="BZ5" i="637"/>
  <c r="BY5" i="637"/>
  <c r="BX5" i="637"/>
  <c r="BW5" i="637"/>
  <c r="BV5" i="637"/>
  <c r="CA5" i="637" s="1"/>
  <c r="BU5" i="637"/>
  <c r="AZ5" i="637"/>
  <c r="AY5" i="637"/>
  <c r="AN5" i="637"/>
  <c r="A5" i="637"/>
  <c r="BZ4" i="637"/>
  <c r="BY4" i="637"/>
  <c r="BX4" i="637"/>
  <c r="BW4" i="637"/>
  <c r="BV4" i="637"/>
  <c r="BU4" i="637"/>
  <c r="CA4" i="637" s="1"/>
  <c r="AZ4" i="637"/>
  <c r="AY4" i="637"/>
  <c r="AN4" i="637"/>
  <c r="AN163" i="637"/>
  <c r="A4" i="637"/>
  <c r="H110" i="633"/>
  <c r="H105" i="633"/>
  <c r="N94" i="633"/>
  <c r="N93" i="633"/>
  <c r="N95" i="633"/>
  <c r="N96" i="633"/>
  <c r="N97" i="633"/>
  <c r="N98" i="633"/>
  <c r="N99" i="633"/>
  <c r="N100" i="633"/>
  <c r="N101" i="633"/>
  <c r="N102" i="633"/>
  <c r="N103" i="633"/>
  <c r="N104" i="633"/>
  <c r="N105" i="633"/>
  <c r="N106" i="633"/>
  <c r="N107" i="633"/>
  <c r="N10" i="633"/>
  <c r="N11" i="633"/>
  <c r="N12" i="633"/>
  <c r="N13" i="633"/>
  <c r="N14" i="633"/>
  <c r="N15" i="633"/>
  <c r="N16" i="633"/>
  <c r="N17" i="633"/>
  <c r="N33" i="633"/>
  <c r="N34" i="633"/>
  <c r="N35" i="633"/>
  <c r="N36" i="633"/>
  <c r="N37" i="633"/>
  <c r="N38" i="633"/>
  <c r="N39" i="633"/>
  <c r="N40" i="633"/>
  <c r="N41" i="633"/>
  <c r="N42" i="633"/>
  <c r="N43" i="633"/>
  <c r="N44" i="633"/>
  <c r="N45" i="633"/>
  <c r="N46" i="633"/>
  <c r="N47" i="633"/>
  <c r="N48" i="633"/>
  <c r="N49" i="633"/>
  <c r="N50" i="633"/>
  <c r="N51" i="633"/>
  <c r="N52" i="633"/>
  <c r="N53" i="633"/>
  <c r="H108" i="633"/>
  <c r="BA107" i="633"/>
  <c r="AZ107" i="633"/>
  <c r="AY107" i="633"/>
  <c r="AX107" i="633"/>
  <c r="AW107" i="633"/>
  <c r="AV107" i="633"/>
  <c r="AU107" i="633"/>
  <c r="AT107" i="633"/>
  <c r="AS107" i="633"/>
  <c r="AR107" i="633"/>
  <c r="AQ107" i="633"/>
  <c r="AP107" i="633"/>
  <c r="AO107" i="633"/>
  <c r="AN107" i="633"/>
  <c r="AM107" i="633"/>
  <c r="AL107" i="633"/>
  <c r="AK107" i="633"/>
  <c r="AJ107" i="633"/>
  <c r="AI107" i="633"/>
  <c r="AH107" i="633"/>
  <c r="AG107" i="633"/>
  <c r="AF107" i="633"/>
  <c r="AE107" i="633"/>
  <c r="AD107" i="633"/>
  <c r="AA107" i="633"/>
  <c r="Z107" i="633"/>
  <c r="Y107" i="633"/>
  <c r="X107" i="633"/>
  <c r="W107" i="633"/>
  <c r="V107" i="633"/>
  <c r="U107" i="633"/>
  <c r="T107" i="633"/>
  <c r="AC104" i="633"/>
  <c r="AB104" i="633"/>
  <c r="AC103" i="633"/>
  <c r="AB103" i="633"/>
  <c r="AC102" i="633"/>
  <c r="AB102" i="633"/>
  <c r="AC101" i="633"/>
  <c r="AB101" i="633"/>
  <c r="AC100" i="633"/>
  <c r="AB100" i="633"/>
  <c r="AC99" i="633"/>
  <c r="AB99" i="633"/>
  <c r="AC98" i="633"/>
  <c r="AB98" i="633"/>
  <c r="AC97" i="633"/>
  <c r="AB97" i="633"/>
  <c r="AC96" i="633"/>
  <c r="AB96" i="633"/>
  <c r="AC95" i="633"/>
  <c r="AB95" i="633"/>
  <c r="AC94" i="633"/>
  <c r="AB94" i="633"/>
  <c r="AB93" i="633"/>
  <c r="R324" i="397"/>
  <c r="Q324" i="397"/>
  <c r="AL203" i="202"/>
  <c r="R304" i="397"/>
  <c r="Q304" i="397"/>
  <c r="BA203" i="202"/>
  <c r="R325" i="397"/>
  <c r="Q325" i="397"/>
  <c r="AR203" i="202"/>
  <c r="BG188" i="202"/>
  <c r="BG187" i="202"/>
  <c r="BG186" i="202"/>
  <c r="H80" i="633"/>
  <c r="H75" i="633"/>
  <c r="N69" i="633"/>
  <c r="N70" i="633"/>
  <c r="N71" i="633"/>
  <c r="N72" i="633"/>
  <c r="N73" i="633"/>
  <c r="N68" i="633" s="1"/>
  <c r="N76" i="633"/>
  <c r="N77" i="633"/>
  <c r="N75" i="633"/>
  <c r="N74" i="633"/>
  <c r="H78" i="633"/>
  <c r="BA77" i="633"/>
  <c r="AZ77" i="633"/>
  <c r="AY77" i="633"/>
  <c r="AW77" i="633"/>
  <c r="AV77" i="633"/>
  <c r="AU77" i="633"/>
  <c r="AT77" i="633"/>
  <c r="AS77" i="633"/>
  <c r="AR77" i="633"/>
  <c r="AQ77" i="633"/>
  <c r="AP77" i="633"/>
  <c r="AO77" i="633"/>
  <c r="AN77" i="633"/>
  <c r="AM77" i="633"/>
  <c r="AL77" i="633"/>
  <c r="AK77" i="633"/>
  <c r="AJ77" i="633"/>
  <c r="AI77" i="633"/>
  <c r="AH77" i="633"/>
  <c r="AG77" i="633"/>
  <c r="AF77" i="633"/>
  <c r="AE77" i="633"/>
  <c r="AD77" i="633"/>
  <c r="AA77" i="633"/>
  <c r="Z77" i="633"/>
  <c r="Y77" i="633"/>
  <c r="X77" i="633"/>
  <c r="W77" i="633"/>
  <c r="V77" i="633"/>
  <c r="U77" i="633"/>
  <c r="T77" i="633"/>
  <c r="AC74" i="633"/>
  <c r="AB74" i="633"/>
  <c r="H73" i="633"/>
  <c r="AC72" i="633"/>
  <c r="AB72" i="633"/>
  <c r="AC71" i="633"/>
  <c r="AB71" i="633"/>
  <c r="AC70" i="633"/>
  <c r="AB70" i="633"/>
  <c r="AC69" i="633"/>
  <c r="AB69" i="633"/>
  <c r="R419" i="397"/>
  <c r="Q419" i="397"/>
  <c r="CE419" i="397"/>
  <c r="CD419" i="397"/>
  <c r="CC419" i="397"/>
  <c r="BZ419" i="397"/>
  <c r="BE419" i="397"/>
  <c r="H55" i="633"/>
  <c r="H48" i="633"/>
  <c r="AB33" i="633"/>
  <c r="AB34" i="633"/>
  <c r="AY35" i="633"/>
  <c r="H36" i="633"/>
  <c r="H52" i="633" s="1"/>
  <c r="Y37" i="633"/>
  <c r="Y53" i="633" s="1"/>
  <c r="Y39" i="633"/>
  <c r="Y42" i="633"/>
  <c r="Y45" i="633"/>
  <c r="H49" i="633"/>
  <c r="H51" i="633"/>
  <c r="T53" i="633"/>
  <c r="U53" i="633"/>
  <c r="V53" i="633"/>
  <c r="W53" i="633"/>
  <c r="X53" i="633"/>
  <c r="AA53" i="633"/>
  <c r="AB53" i="633"/>
  <c r="AC53" i="633"/>
  <c r="AD53" i="633"/>
  <c r="AE53" i="633"/>
  <c r="AF53" i="633"/>
  <c r="AG53" i="633"/>
  <c r="AH53" i="633"/>
  <c r="AI53" i="633"/>
  <c r="AJ53" i="633"/>
  <c r="AK53" i="633"/>
  <c r="AL53" i="633"/>
  <c r="AM53" i="633"/>
  <c r="AN53" i="633"/>
  <c r="AO53" i="633"/>
  <c r="AP53" i="633"/>
  <c r="AQ53" i="633"/>
  <c r="AR53" i="633"/>
  <c r="AS53" i="633"/>
  <c r="AT53" i="633"/>
  <c r="AU53" i="633"/>
  <c r="AV53" i="633"/>
  <c r="AW53" i="633"/>
  <c r="AX53" i="633"/>
  <c r="AY53" i="633"/>
  <c r="AZ53" i="633"/>
  <c r="BA53" i="633"/>
  <c r="Q328" i="397"/>
  <c r="Q398" i="397"/>
  <c r="R398" i="397"/>
  <c r="Q403" i="397"/>
  <c r="R403" i="397"/>
  <c r="Q79" i="397"/>
  <c r="R79" i="397"/>
  <c r="BG194" i="202"/>
  <c r="T203" i="202"/>
  <c r="BG199" i="202"/>
  <c r="AN203" i="202"/>
  <c r="AX73" i="633"/>
  <c r="AX77" i="633" s="1"/>
  <c r="Y48" i="633"/>
  <c r="Z48" i="633"/>
  <c r="Z53" i="633"/>
  <c r="H20" i="633"/>
  <c r="H15" i="633"/>
  <c r="AB15" i="633"/>
  <c r="H18" i="633"/>
  <c r="BA17" i="633"/>
  <c r="AZ17" i="633"/>
  <c r="AY17" i="633"/>
  <c r="AX17" i="633"/>
  <c r="AW17" i="633"/>
  <c r="AV17" i="633"/>
  <c r="AU17" i="633"/>
  <c r="AT17" i="633"/>
  <c r="AS17" i="633"/>
  <c r="AR17" i="633"/>
  <c r="AQ17" i="633"/>
  <c r="AP17" i="633"/>
  <c r="AO17" i="633"/>
  <c r="AN17" i="633"/>
  <c r="AM17" i="633"/>
  <c r="AL17" i="633"/>
  <c r="AK17" i="633"/>
  <c r="AJ17" i="633"/>
  <c r="AI17" i="633"/>
  <c r="AH17" i="633"/>
  <c r="AG17" i="633"/>
  <c r="AF17" i="633"/>
  <c r="AE17" i="633"/>
  <c r="AD17" i="633"/>
  <c r="AA17" i="633"/>
  <c r="Z17" i="633"/>
  <c r="Y17" i="633"/>
  <c r="X17" i="633"/>
  <c r="W17" i="633"/>
  <c r="V17" i="633"/>
  <c r="U17" i="633"/>
  <c r="T17" i="633"/>
  <c r="H16" i="633"/>
  <c r="AC14" i="633"/>
  <c r="AB14" i="633"/>
  <c r="AC13" i="633"/>
  <c r="AB13" i="633"/>
  <c r="AC12" i="633"/>
  <c r="AB12" i="633"/>
  <c r="AC11" i="633"/>
  <c r="AC17" i="633" s="1"/>
  <c r="AB11" i="633"/>
  <c r="AB17" i="633" s="1"/>
  <c r="AC10" i="633"/>
  <c r="AB10" i="633"/>
  <c r="Q339" i="397"/>
  <c r="CE422" i="397"/>
  <c r="CD422" i="397"/>
  <c r="CC422" i="397"/>
  <c r="CB422" i="397"/>
  <c r="CA422" i="397"/>
  <c r="BZ422" i="397"/>
  <c r="BE422" i="397"/>
  <c r="BD422" i="397"/>
  <c r="R422" i="397"/>
  <c r="A422" i="397"/>
  <c r="Z5" i="297"/>
  <c r="AA5" i="297"/>
  <c r="AA6" i="297"/>
  <c r="Z6" i="297"/>
  <c r="BG191" i="202"/>
  <c r="BG193" i="202"/>
  <c r="V353" i="8"/>
  <c r="V359" i="8"/>
  <c r="V356" i="8" s="1"/>
  <c r="V360" i="8"/>
  <c r="V361" i="8"/>
  <c r="BG189" i="202"/>
  <c r="P182" i="202"/>
  <c r="V352" i="8"/>
  <c r="H417" i="615"/>
  <c r="H410" i="615"/>
  <c r="N395" i="615"/>
  <c r="N396" i="615"/>
  <c r="N397" i="615"/>
  <c r="N398" i="615"/>
  <c r="N399" i="615"/>
  <c r="N400" i="615"/>
  <c r="N401" i="615"/>
  <c r="N402" i="615"/>
  <c r="N403" i="615"/>
  <c r="N404" i="615"/>
  <c r="N405" i="615"/>
  <c r="N406" i="615"/>
  <c r="N407" i="615"/>
  <c r="N408" i="615"/>
  <c r="N409" i="615"/>
  <c r="N410" i="615"/>
  <c r="N411" i="615"/>
  <c r="N412" i="615"/>
  <c r="N413" i="615"/>
  <c r="N414" i="615"/>
  <c r="N394" i="615"/>
  <c r="H415" i="615"/>
  <c r="BA414" i="615"/>
  <c r="AZ414" i="615"/>
  <c r="AY414" i="615"/>
  <c r="AX414" i="615"/>
  <c r="AW414" i="615"/>
  <c r="AV414" i="615"/>
  <c r="AU414" i="615"/>
  <c r="AT414" i="615"/>
  <c r="AS414" i="615"/>
  <c r="AR414" i="615"/>
  <c r="AQ414" i="615"/>
  <c r="AP414" i="615"/>
  <c r="AO414" i="615"/>
  <c r="AN414" i="615"/>
  <c r="AM414" i="615"/>
  <c r="AL414" i="615"/>
  <c r="AJ414" i="615"/>
  <c r="AI414" i="615"/>
  <c r="AH414" i="615"/>
  <c r="AG414" i="615"/>
  <c r="AF414" i="615"/>
  <c r="AE414" i="615"/>
  <c r="AD414" i="615"/>
  <c r="AA414" i="615"/>
  <c r="X414" i="615"/>
  <c r="W414" i="615"/>
  <c r="V414" i="615"/>
  <c r="U414" i="615"/>
  <c r="T414" i="615"/>
  <c r="H412" i="615"/>
  <c r="Z407" i="615"/>
  <c r="Y407" i="615"/>
  <c r="Z404" i="615"/>
  <c r="Y404" i="615"/>
  <c r="Z401" i="615"/>
  <c r="Y401" i="615"/>
  <c r="Z398" i="615"/>
  <c r="Y398" i="615"/>
  <c r="H397" i="615"/>
  <c r="AC396" i="615"/>
  <c r="AB396" i="615"/>
  <c r="AC395" i="615"/>
  <c r="AB395" i="615"/>
  <c r="AB414" i="615"/>
  <c r="AK394" i="615"/>
  <c r="AK414" i="615"/>
  <c r="Y410" i="615"/>
  <c r="Q182" i="202"/>
  <c r="R182" i="202"/>
  <c r="S182" i="202"/>
  <c r="T182" i="202"/>
  <c r="W182" i="202"/>
  <c r="Z182" i="202"/>
  <c r="AA182" i="202"/>
  <c r="AB182" i="202"/>
  <c r="AC182" i="202"/>
  <c r="AD182" i="202"/>
  <c r="AE182" i="202"/>
  <c r="AF182" i="202"/>
  <c r="AH182" i="202"/>
  <c r="AI182" i="202"/>
  <c r="AJ182" i="202"/>
  <c r="AK182" i="202"/>
  <c r="AL182" i="202"/>
  <c r="AM182" i="202"/>
  <c r="AN182" i="202"/>
  <c r="AO182" i="202"/>
  <c r="AP182" i="202"/>
  <c r="AQ182" i="202"/>
  <c r="AR182" i="202"/>
  <c r="AS182" i="202"/>
  <c r="AT182" i="202"/>
  <c r="AU182" i="202"/>
  <c r="AV182" i="202"/>
  <c r="AW182" i="202"/>
  <c r="AX182" i="202"/>
  <c r="AY182" i="202"/>
  <c r="BE182" i="202"/>
  <c r="BF182" i="202"/>
  <c r="N368" i="615"/>
  <c r="N369" i="615"/>
  <c r="N370" i="615"/>
  <c r="N371" i="615"/>
  <c r="N372" i="615"/>
  <c r="N373" i="615"/>
  <c r="N374" i="615"/>
  <c r="N375" i="615"/>
  <c r="L361" i="615"/>
  <c r="AB368" i="615"/>
  <c r="AB379" i="615" s="1"/>
  <c r="AB369" i="615"/>
  <c r="AC370" i="615"/>
  <c r="AB371" i="615"/>
  <c r="AG372" i="615"/>
  <c r="AC373" i="615"/>
  <c r="AB374" i="615"/>
  <c r="AB375" i="615"/>
  <c r="T376" i="615"/>
  <c r="T379" i="615" s="1"/>
  <c r="X377" i="615"/>
  <c r="X379" i="615" s="1"/>
  <c r="H378" i="615"/>
  <c r="N378" i="615"/>
  <c r="N379" i="615"/>
  <c r="U379" i="615"/>
  <c r="V379" i="615"/>
  <c r="W379" i="615"/>
  <c r="Y379" i="615"/>
  <c r="Z379" i="615"/>
  <c r="AA379" i="615"/>
  <c r="AC379" i="615"/>
  <c r="AD379" i="615"/>
  <c r="AE379" i="615"/>
  <c r="AF379" i="615"/>
  <c r="AG379" i="615"/>
  <c r="AH379" i="615"/>
  <c r="AI379" i="615"/>
  <c r="AJ379" i="615"/>
  <c r="AK379" i="615"/>
  <c r="AL379" i="615"/>
  <c r="AM379" i="615"/>
  <c r="AN379" i="615"/>
  <c r="AO379" i="615"/>
  <c r="AP379" i="615"/>
  <c r="AQ379" i="615"/>
  <c r="AR379" i="615"/>
  <c r="AS379" i="615"/>
  <c r="AT379" i="615"/>
  <c r="AU379" i="615"/>
  <c r="AV379" i="615"/>
  <c r="AW379" i="615"/>
  <c r="AX379" i="615"/>
  <c r="AY379" i="615"/>
  <c r="AZ379" i="615"/>
  <c r="BA379" i="615"/>
  <c r="H380" i="615"/>
  <c r="H381" i="615"/>
  <c r="N36" i="615"/>
  <c r="N313" i="615"/>
  <c r="N199" i="615"/>
  <c r="N201" i="615"/>
  <c r="N202" i="615"/>
  <c r="N203" i="615"/>
  <c r="N205" i="615"/>
  <c r="N206" i="615"/>
  <c r="N207" i="615"/>
  <c r="N209" i="615"/>
  <c r="N210" i="615"/>
  <c r="N198" i="615"/>
  <c r="N197" i="615" s="1"/>
  <c r="N174" i="615"/>
  <c r="N175" i="615"/>
  <c r="N176" i="615"/>
  <c r="N177" i="615"/>
  <c r="N178" i="615"/>
  <c r="N179" i="615"/>
  <c r="N180" i="615"/>
  <c r="N181" i="615"/>
  <c r="N173" i="615"/>
  <c r="N142" i="615"/>
  <c r="N141" i="615"/>
  <c r="N140" i="615"/>
  <c r="N139" i="615"/>
  <c r="N138" i="615"/>
  <c r="N137" i="615"/>
  <c r="N136" i="615"/>
  <c r="N135" i="615"/>
  <c r="N134" i="615"/>
  <c r="N116" i="615"/>
  <c r="N115" i="615"/>
  <c r="N114" i="615"/>
  <c r="N113" i="615"/>
  <c r="N112" i="615"/>
  <c r="N111" i="615"/>
  <c r="N110" i="615"/>
  <c r="N109" i="615"/>
  <c r="N93" i="615"/>
  <c r="N92" i="615"/>
  <c r="N91" i="615"/>
  <c r="N67" i="615"/>
  <c r="N68" i="615"/>
  <c r="N69" i="615"/>
  <c r="N65" i="615" s="1"/>
  <c r="N70" i="615"/>
  <c r="N71" i="615"/>
  <c r="N72" i="615"/>
  <c r="N73" i="615"/>
  <c r="N74" i="615"/>
  <c r="N75" i="615"/>
  <c r="N66" i="615"/>
  <c r="N37" i="615"/>
  <c r="N35" i="615" s="1"/>
  <c r="N38" i="615"/>
  <c r="N39" i="615"/>
  <c r="N40" i="615"/>
  <c r="N41" i="615"/>
  <c r="N42" i="615"/>
  <c r="N43" i="615"/>
  <c r="N44" i="615"/>
  <c r="N45" i="615"/>
  <c r="N46" i="615"/>
  <c r="N47" i="615"/>
  <c r="N48" i="615"/>
  <c r="N49" i="615"/>
  <c r="N50" i="615"/>
  <c r="N11" i="615"/>
  <c r="N12" i="615"/>
  <c r="N13" i="615"/>
  <c r="N14" i="615"/>
  <c r="N15" i="615"/>
  <c r="N16" i="615"/>
  <c r="N17" i="615"/>
  <c r="N18" i="615"/>
  <c r="N19" i="615"/>
  <c r="N20" i="615"/>
  <c r="N10" i="615"/>
  <c r="Q321" i="397"/>
  <c r="N183" i="615"/>
  <c r="N182" i="615"/>
  <c r="H350" i="615"/>
  <c r="H354" i="615"/>
  <c r="H355" i="615" s="1"/>
  <c r="N343" i="615"/>
  <c r="N344" i="615"/>
  <c r="N345" i="615"/>
  <c r="N346" i="615"/>
  <c r="N347" i="615"/>
  <c r="N348" i="615"/>
  <c r="N349" i="615"/>
  <c r="N350" i="615"/>
  <c r="N351" i="615"/>
  <c r="N352" i="615"/>
  <c r="N342" i="615"/>
  <c r="N341" i="615" s="1"/>
  <c r="N211" i="615"/>
  <c r="N212" i="615"/>
  <c r="H353" i="615"/>
  <c r="BA352" i="615"/>
  <c r="AY352" i="615"/>
  <c r="AX352" i="615"/>
  <c r="AW352" i="615"/>
  <c r="AV352" i="615"/>
  <c r="AU352" i="615"/>
  <c r="AS352" i="615"/>
  <c r="AR352" i="615"/>
  <c r="AQ352" i="615"/>
  <c r="AP352" i="615"/>
  <c r="AO352" i="615"/>
  <c r="AN352" i="615"/>
  <c r="AM352" i="615"/>
  <c r="AL352" i="615"/>
  <c r="AK352" i="615"/>
  <c r="AJ352" i="615"/>
  <c r="AI352" i="615"/>
  <c r="AH352" i="615"/>
  <c r="AG352" i="615"/>
  <c r="AF352" i="615"/>
  <c r="AE352" i="615"/>
  <c r="AD352" i="615"/>
  <c r="AA352" i="615"/>
  <c r="Z352" i="615"/>
  <c r="Y352" i="615"/>
  <c r="X352" i="615"/>
  <c r="W352" i="615"/>
  <c r="V352" i="615"/>
  <c r="U352" i="615"/>
  <c r="T352" i="615"/>
  <c r="AC349" i="615"/>
  <c r="AB349" i="615"/>
  <c r="AZ348" i="615"/>
  <c r="AZ352" i="615" s="1"/>
  <c r="AC347" i="615"/>
  <c r="AB347" i="615"/>
  <c r="AC345" i="615"/>
  <c r="AB345" i="615"/>
  <c r="AC343" i="615"/>
  <c r="AC352" i="615" s="1"/>
  <c r="AB343" i="615"/>
  <c r="H342" i="615"/>
  <c r="H321" i="615"/>
  <c r="N303" i="615"/>
  <c r="N304" i="615"/>
  <c r="N305" i="615"/>
  <c r="N306" i="615"/>
  <c r="N307" i="615"/>
  <c r="N308" i="615"/>
  <c r="N309" i="615"/>
  <c r="N310" i="615"/>
  <c r="N311" i="615"/>
  <c r="N312" i="615"/>
  <c r="N314" i="615"/>
  <c r="N315" i="615"/>
  <c r="N316" i="615"/>
  <c r="N317" i="615"/>
  <c r="N318" i="615"/>
  <c r="N319" i="615"/>
  <c r="N301" i="615" s="1"/>
  <c r="N320" i="615"/>
  <c r="N321" i="615"/>
  <c r="N322" i="615"/>
  <c r="N323" i="615"/>
  <c r="N324" i="615"/>
  <c r="N325" i="615"/>
  <c r="N326" i="615"/>
  <c r="N302" i="615"/>
  <c r="H327" i="615"/>
  <c r="BA326" i="615"/>
  <c r="AZ326" i="615"/>
  <c r="AY326" i="615"/>
  <c r="AX326" i="615"/>
  <c r="AW326" i="615"/>
  <c r="AV326" i="615"/>
  <c r="AU326" i="615"/>
  <c r="AT326" i="615"/>
  <c r="AS326" i="615"/>
  <c r="AR326" i="615"/>
  <c r="AQ326" i="615"/>
  <c r="AP326" i="615"/>
  <c r="AO326" i="615"/>
  <c r="AN326" i="615"/>
  <c r="AM326" i="615"/>
  <c r="AL326" i="615"/>
  <c r="AK326" i="615"/>
  <c r="AJ326" i="615"/>
  <c r="AI326" i="615"/>
  <c r="AH326" i="615"/>
  <c r="AG326" i="615"/>
  <c r="AF326" i="615"/>
  <c r="AE326" i="615"/>
  <c r="AB326" i="615"/>
  <c r="AA326" i="615"/>
  <c r="Z326" i="615"/>
  <c r="Y326" i="615"/>
  <c r="X326" i="615"/>
  <c r="W326" i="615"/>
  <c r="V326" i="615"/>
  <c r="T326" i="615"/>
  <c r="H324" i="615"/>
  <c r="AC318" i="615"/>
  <c r="AC316" i="615"/>
  <c r="AC313" i="615"/>
  <c r="AC310" i="615"/>
  <c r="AC307" i="615"/>
  <c r="AC305" i="615"/>
  <c r="H304" i="615"/>
  <c r="AD303" i="615"/>
  <c r="AD326" i="615"/>
  <c r="U302" i="615"/>
  <c r="U326" i="615" s="1"/>
  <c r="R404" i="397"/>
  <c r="H289" i="615"/>
  <c r="H284" i="615"/>
  <c r="N277" i="615"/>
  <c r="N278" i="615"/>
  <c r="N279" i="615"/>
  <c r="N280" i="615"/>
  <c r="N281" i="615"/>
  <c r="N282" i="615"/>
  <c r="N283" i="615"/>
  <c r="N284" i="615"/>
  <c r="N285" i="615"/>
  <c r="N286" i="615"/>
  <c r="N276" i="615"/>
  <c r="H287" i="615"/>
  <c r="BA286" i="615"/>
  <c r="AZ286" i="615"/>
  <c r="AX286" i="615"/>
  <c r="AW286" i="615"/>
  <c r="AV286" i="615"/>
  <c r="AU286" i="615"/>
  <c r="AT286" i="615"/>
  <c r="AS286" i="615"/>
  <c r="AR286" i="615"/>
  <c r="AQ286" i="615"/>
  <c r="AP286" i="615"/>
  <c r="AO286" i="615"/>
  <c r="AN286" i="615"/>
  <c r="AM286" i="615"/>
  <c r="AL286" i="615"/>
  <c r="AK286" i="615"/>
  <c r="AJ286" i="615"/>
  <c r="AI286" i="615"/>
  <c r="AH286" i="615"/>
  <c r="AG286" i="615"/>
  <c r="AF286" i="615"/>
  <c r="AE286" i="615"/>
  <c r="AD286" i="615"/>
  <c r="AA286" i="615"/>
  <c r="X286" i="615"/>
  <c r="W286" i="615"/>
  <c r="V286" i="615"/>
  <c r="U286" i="615"/>
  <c r="T286" i="615"/>
  <c r="AC283" i="615"/>
  <c r="AC286" i="615"/>
  <c r="AB283" i="615"/>
  <c r="AB286" i="615" s="1"/>
  <c r="Y282" i="615"/>
  <c r="Y281" i="615"/>
  <c r="AB280" i="615"/>
  <c r="Z279" i="615"/>
  <c r="Y279" i="615"/>
  <c r="AY278" i="615"/>
  <c r="AY286" i="615" s="1"/>
  <c r="Y277" i="615"/>
  <c r="Z276" i="615"/>
  <c r="Z286" i="615" s="1"/>
  <c r="Y276" i="615"/>
  <c r="V315" i="8"/>
  <c r="V314" i="8"/>
  <c r="V313" i="8"/>
  <c r="V312" i="8"/>
  <c r="N256" i="615"/>
  <c r="N257" i="615"/>
  <c r="N258" i="615"/>
  <c r="N259" i="615"/>
  <c r="N260" i="615"/>
  <c r="N261" i="615"/>
  <c r="N255" i="615"/>
  <c r="N254" i="615" s="1"/>
  <c r="H262" i="615"/>
  <c r="BA261" i="615"/>
  <c r="AZ261" i="615"/>
  <c r="AY261" i="615"/>
  <c r="AX261" i="615"/>
  <c r="AW261" i="615"/>
  <c r="AV261" i="615"/>
  <c r="AU261" i="615"/>
  <c r="AS261" i="615"/>
  <c r="AR261" i="615"/>
  <c r="AQ261" i="615"/>
  <c r="AP261" i="615"/>
  <c r="AO261" i="615"/>
  <c r="AN261" i="615"/>
  <c r="AM261" i="615"/>
  <c r="AL261" i="615"/>
  <c r="AK261" i="615"/>
  <c r="AJ261" i="615"/>
  <c r="AI261" i="615"/>
  <c r="AH261" i="615"/>
  <c r="AG261" i="615"/>
  <c r="AF261" i="615"/>
  <c r="AE261" i="615"/>
  <c r="AD261" i="615"/>
  <c r="AC261" i="615"/>
  <c r="AA261" i="615"/>
  <c r="Z261" i="615"/>
  <c r="Y261" i="615"/>
  <c r="W261" i="615"/>
  <c r="V261" i="615"/>
  <c r="U261" i="615"/>
  <c r="T261" i="615"/>
  <c r="H259" i="615"/>
  <c r="X259" i="615" s="1"/>
  <c r="X261" i="615" s="1"/>
  <c r="AB258" i="615"/>
  <c r="AB257" i="615"/>
  <c r="AB256" i="615"/>
  <c r="AB261" i="615"/>
  <c r="AT255" i="615"/>
  <c r="AT261" i="615"/>
  <c r="L248" i="615"/>
  <c r="T183" i="615"/>
  <c r="H181" i="615"/>
  <c r="Y181" i="615" s="1"/>
  <c r="H180" i="615"/>
  <c r="H182" i="615" s="1"/>
  <c r="H185" i="615" s="1"/>
  <c r="AW191" i="626"/>
  <c r="AV191" i="626"/>
  <c r="AQ191" i="626"/>
  <c r="AP191" i="626"/>
  <c r="AJ191" i="626"/>
  <c r="AG191" i="626"/>
  <c r="AF191" i="626"/>
  <c r="AC191" i="626"/>
  <c r="W191" i="626"/>
  <c r="V191" i="626"/>
  <c r="T191" i="626"/>
  <c r="BY190" i="626"/>
  <c r="BX190" i="626"/>
  <c r="BW190" i="626"/>
  <c r="BU190" i="626"/>
  <c r="BT190" i="626"/>
  <c r="BZ190" i="626" s="1"/>
  <c r="BH190" i="626"/>
  <c r="BV190" i="626"/>
  <c r="AY190" i="626"/>
  <c r="AX190" i="626"/>
  <c r="AZ190" i="626" s="1"/>
  <c r="U190" i="626"/>
  <c r="R190" i="626"/>
  <c r="Q190" i="626"/>
  <c r="A190" i="626"/>
  <c r="BY189" i="626"/>
  <c r="BX189" i="626"/>
  <c r="BW189" i="626"/>
  <c r="BU189" i="626"/>
  <c r="BT189" i="626"/>
  <c r="BH189" i="626"/>
  <c r="BV189" i="626"/>
  <c r="AY189" i="626"/>
  <c r="AX189" i="626"/>
  <c r="U189" i="626"/>
  <c r="R189" i="626"/>
  <c r="Q189" i="626"/>
  <c r="A189" i="626"/>
  <c r="BY188" i="626"/>
  <c r="BX188" i="626"/>
  <c r="BW188" i="626"/>
  <c r="BU188" i="626"/>
  <c r="BT188" i="626"/>
  <c r="BH188" i="626"/>
  <c r="BV188" i="626"/>
  <c r="BZ188" i="626" s="1"/>
  <c r="AY188" i="626"/>
  <c r="AX188" i="626"/>
  <c r="U188" i="626"/>
  <c r="R188" i="626"/>
  <c r="Q188" i="626"/>
  <c r="A188" i="626"/>
  <c r="BY187" i="626"/>
  <c r="BX187" i="626"/>
  <c r="BW187" i="626"/>
  <c r="BU187" i="626"/>
  <c r="BT187" i="626"/>
  <c r="BH187" i="626"/>
  <c r="BV187" i="626" s="1"/>
  <c r="AY187" i="626"/>
  <c r="AX187" i="626"/>
  <c r="U187" i="626"/>
  <c r="R187" i="626"/>
  <c r="Q187" i="626"/>
  <c r="A187" i="626"/>
  <c r="BY186" i="626"/>
  <c r="BX186" i="626"/>
  <c r="BW186" i="626"/>
  <c r="BU186" i="626"/>
  <c r="BT186" i="626"/>
  <c r="BH186" i="626"/>
  <c r="BV186" i="626" s="1"/>
  <c r="AY186" i="626"/>
  <c r="AX186" i="626"/>
  <c r="U186" i="626"/>
  <c r="R186" i="626"/>
  <c r="Q186" i="626"/>
  <c r="A186" i="626"/>
  <c r="BY185" i="626"/>
  <c r="BX185" i="626"/>
  <c r="BW185" i="626"/>
  <c r="BU185" i="626"/>
  <c r="BT185" i="626"/>
  <c r="BH185" i="626"/>
  <c r="BV185" i="626"/>
  <c r="BZ185" i="626" s="1"/>
  <c r="CB185" i="626" s="1"/>
  <c r="AY185" i="626"/>
  <c r="AZ185" i="626" s="1"/>
  <c r="CA185" i="626" s="1"/>
  <c r="AX185" i="626"/>
  <c r="U185" i="626"/>
  <c r="R185" i="626"/>
  <c r="Q185" i="626"/>
  <c r="A185" i="626"/>
  <c r="BY184" i="626"/>
  <c r="BX184" i="626"/>
  <c r="BW184" i="626"/>
  <c r="BU184" i="626"/>
  <c r="BT184" i="626"/>
  <c r="BH184" i="626"/>
  <c r="BV184" i="626"/>
  <c r="BZ184" i="626" s="1"/>
  <c r="CB184" i="626" s="1"/>
  <c r="AY184" i="626"/>
  <c r="AX184" i="626"/>
  <c r="U184" i="626"/>
  <c r="R184" i="626"/>
  <c r="Q184" i="626"/>
  <c r="A184" i="626"/>
  <c r="BY183" i="626"/>
  <c r="BX183" i="626"/>
  <c r="BW183" i="626"/>
  <c r="BU183" i="626"/>
  <c r="BT183" i="626"/>
  <c r="BH183" i="626"/>
  <c r="BV183" i="626"/>
  <c r="AY183" i="626"/>
  <c r="AX183" i="626"/>
  <c r="U183" i="626"/>
  <c r="R183" i="626"/>
  <c r="Q183" i="626"/>
  <c r="A183" i="626"/>
  <c r="BY182" i="626"/>
  <c r="BX182" i="626"/>
  <c r="BW182" i="626"/>
  <c r="BU182" i="626"/>
  <c r="BT182" i="626"/>
  <c r="BH182" i="626"/>
  <c r="BV182" i="626"/>
  <c r="AY182" i="626"/>
  <c r="AZ182" i="626" s="1"/>
  <c r="CA182" i="626" s="1"/>
  <c r="AX182" i="626"/>
  <c r="U182" i="626"/>
  <c r="R182" i="626"/>
  <c r="Q182" i="626"/>
  <c r="A182" i="626"/>
  <c r="BY181" i="626"/>
  <c r="BX181" i="626"/>
  <c r="BW181" i="626"/>
  <c r="BU181" i="626"/>
  <c r="BT181" i="626"/>
  <c r="BH181" i="626"/>
  <c r="BV181" i="626"/>
  <c r="AY181" i="626"/>
  <c r="AZ181" i="626" s="1"/>
  <c r="CA181" i="626" s="1"/>
  <c r="AX181" i="626"/>
  <c r="S181" i="626"/>
  <c r="U181" i="626" s="1"/>
  <c r="R181" i="626"/>
  <c r="Q181" i="626"/>
  <c r="A181" i="626"/>
  <c r="BY180" i="626"/>
  <c r="BX180" i="626"/>
  <c r="BW180" i="626"/>
  <c r="BU180" i="626"/>
  <c r="BT180" i="626"/>
  <c r="BH180" i="626"/>
  <c r="BV180" i="626"/>
  <c r="AY180" i="626"/>
  <c r="AX180" i="626"/>
  <c r="U180" i="626"/>
  <c r="R180" i="626"/>
  <c r="Q180" i="626"/>
  <c r="A180" i="626"/>
  <c r="BY179" i="626"/>
  <c r="BZ179" i="626" s="1"/>
  <c r="BX179" i="626"/>
  <c r="BW179" i="626"/>
  <c r="BU179" i="626"/>
  <c r="BT179" i="626"/>
  <c r="BH179" i="626"/>
  <c r="BV179" i="626" s="1"/>
  <c r="AY179" i="626"/>
  <c r="AX179" i="626"/>
  <c r="U179" i="626"/>
  <c r="R179" i="626"/>
  <c r="Q179" i="626"/>
  <c r="A179" i="626"/>
  <c r="BY178" i="626"/>
  <c r="BX178" i="626"/>
  <c r="BW178" i="626"/>
  <c r="BU178" i="626"/>
  <c r="BT178" i="626"/>
  <c r="BH178" i="626"/>
  <c r="BV178" i="626"/>
  <c r="AY178" i="626"/>
  <c r="AX178" i="626"/>
  <c r="AZ178" i="626" s="1"/>
  <c r="U178" i="626"/>
  <c r="R178" i="626"/>
  <c r="Q178" i="626"/>
  <c r="A178" i="626"/>
  <c r="BY177" i="626"/>
  <c r="BX177" i="626"/>
  <c r="BW177" i="626"/>
  <c r="BU177" i="626"/>
  <c r="BT177" i="626"/>
  <c r="BH177" i="626"/>
  <c r="BV177" i="626" s="1"/>
  <c r="AY177" i="626"/>
  <c r="AZ177" i="626" s="1"/>
  <c r="CA177" i="626" s="1"/>
  <c r="AX177" i="626"/>
  <c r="U177" i="626"/>
  <c r="R177" i="626"/>
  <c r="Q177" i="626"/>
  <c r="A177" i="626"/>
  <c r="BY176" i="626"/>
  <c r="BX176" i="626"/>
  <c r="BW176" i="626"/>
  <c r="BU176" i="626"/>
  <c r="BZ176" i="626" s="1"/>
  <c r="CB176" i="626" s="1"/>
  <c r="BT176" i="626"/>
  <c r="BH176" i="626"/>
  <c r="BV176" i="626" s="1"/>
  <c r="AY176" i="626"/>
  <c r="AX176" i="626"/>
  <c r="U176" i="626"/>
  <c r="R176" i="626"/>
  <c r="Q176" i="626"/>
  <c r="A176" i="626"/>
  <c r="BY175" i="626"/>
  <c r="BX175" i="626"/>
  <c r="BW175" i="626"/>
  <c r="BU175" i="626"/>
  <c r="BT175" i="626"/>
  <c r="BH175" i="626"/>
  <c r="BV175" i="626" s="1"/>
  <c r="AY175" i="626"/>
  <c r="AX175" i="626"/>
  <c r="S175" i="626"/>
  <c r="U175" i="626"/>
  <c r="R175" i="626"/>
  <c r="Q175" i="626"/>
  <c r="A175" i="626"/>
  <c r="BY174" i="626"/>
  <c r="BX174" i="626"/>
  <c r="BW174" i="626"/>
  <c r="BU174" i="626"/>
  <c r="BT174" i="626"/>
  <c r="BH174" i="626"/>
  <c r="BV174" i="626" s="1"/>
  <c r="AY174" i="626"/>
  <c r="AZ174" i="626" s="1"/>
  <c r="CA174" i="626" s="1"/>
  <c r="AX174" i="626"/>
  <c r="U174" i="626"/>
  <c r="R174" i="626"/>
  <c r="Q174" i="626"/>
  <c r="A174" i="626"/>
  <c r="BY173" i="626"/>
  <c r="BX173" i="626"/>
  <c r="BW173" i="626"/>
  <c r="BU173" i="626"/>
  <c r="BT173" i="626"/>
  <c r="BH173" i="626"/>
  <c r="BV173" i="626" s="1"/>
  <c r="AY173" i="626"/>
  <c r="AX173" i="626"/>
  <c r="U173" i="626"/>
  <c r="R173" i="626"/>
  <c r="Q173" i="626"/>
  <c r="A173" i="626"/>
  <c r="BY172" i="626"/>
  <c r="BX172" i="626"/>
  <c r="BW172" i="626"/>
  <c r="BU172" i="626"/>
  <c r="BT172" i="626"/>
  <c r="BH172" i="626"/>
  <c r="BV172" i="626" s="1"/>
  <c r="AY172" i="626"/>
  <c r="AX172" i="626"/>
  <c r="U172" i="626"/>
  <c r="Q172" i="626"/>
  <c r="A172" i="626"/>
  <c r="BY171" i="626"/>
  <c r="BZ171" i="626" s="1"/>
  <c r="BX171" i="626"/>
  <c r="BW171" i="626"/>
  <c r="BU171" i="626"/>
  <c r="BT171" i="626"/>
  <c r="BH171" i="626"/>
  <c r="BV171" i="626"/>
  <c r="AY171" i="626"/>
  <c r="AZ171" i="626" s="1"/>
  <c r="CA171" i="626" s="1"/>
  <c r="AX171" i="626"/>
  <c r="U171" i="626"/>
  <c r="R171" i="626"/>
  <c r="Q171" i="626"/>
  <c r="A171" i="626"/>
  <c r="BY170" i="626"/>
  <c r="BX170" i="626"/>
  <c r="BW170" i="626"/>
  <c r="BU170" i="626"/>
  <c r="BT170" i="626"/>
  <c r="BH170" i="626"/>
  <c r="BV170" i="626"/>
  <c r="AY170" i="626"/>
  <c r="AZ170" i="626" s="1"/>
  <c r="CA170" i="626" s="1"/>
  <c r="AX170" i="626"/>
  <c r="U170" i="626"/>
  <c r="R170" i="626"/>
  <c r="Q170" i="626"/>
  <c r="A170" i="626"/>
  <c r="BY169" i="626"/>
  <c r="BX169" i="626"/>
  <c r="BW169" i="626"/>
  <c r="BU169" i="626"/>
  <c r="BT169" i="626"/>
  <c r="BH169" i="626"/>
  <c r="BV169" i="626" s="1"/>
  <c r="AY169" i="626"/>
  <c r="AZ169" i="626" s="1"/>
  <c r="CA169" i="626" s="1"/>
  <c r="AX169" i="626"/>
  <c r="U169" i="626"/>
  <c r="R169" i="626"/>
  <c r="Q169" i="626"/>
  <c r="A169" i="626"/>
  <c r="BY168" i="626"/>
  <c r="BX168" i="626"/>
  <c r="BW168" i="626"/>
  <c r="BU168" i="626"/>
  <c r="BT168" i="626"/>
  <c r="BH168" i="626"/>
  <c r="BV168" i="626"/>
  <c r="AY168" i="626"/>
  <c r="AX168" i="626"/>
  <c r="AZ168" i="626" s="1"/>
  <c r="CA168" i="626" s="1"/>
  <c r="CB168" i="626" s="1"/>
  <c r="U168" i="626"/>
  <c r="R168" i="626"/>
  <c r="Q168" i="626"/>
  <c r="A168" i="626"/>
  <c r="BY167" i="626"/>
  <c r="BX167" i="626"/>
  <c r="BW167" i="626"/>
  <c r="BU167" i="626"/>
  <c r="BT167" i="626"/>
  <c r="BH167" i="626"/>
  <c r="BV167" i="626"/>
  <c r="AY167" i="626"/>
  <c r="AX167" i="626"/>
  <c r="U167" i="626"/>
  <c r="R167" i="626"/>
  <c r="Q167" i="626"/>
  <c r="A167" i="626"/>
  <c r="BY166" i="626"/>
  <c r="BX166" i="626"/>
  <c r="BW166" i="626"/>
  <c r="BU166" i="626"/>
  <c r="BT166" i="626"/>
  <c r="BH166" i="626"/>
  <c r="BV166" i="626"/>
  <c r="AY166" i="626"/>
  <c r="AZ166" i="626" s="1"/>
  <c r="CA166" i="626" s="1"/>
  <c r="AX166" i="626"/>
  <c r="U166" i="626"/>
  <c r="R166" i="626"/>
  <c r="Q166" i="626"/>
  <c r="A166" i="626"/>
  <c r="BY165" i="626"/>
  <c r="BX165" i="626"/>
  <c r="BW165" i="626"/>
  <c r="BU165" i="626"/>
  <c r="BT165" i="626"/>
  <c r="BH165" i="626"/>
  <c r="BV165" i="626" s="1"/>
  <c r="AY165" i="626"/>
  <c r="AX165" i="626"/>
  <c r="U165" i="626"/>
  <c r="R165" i="626"/>
  <c r="Q165" i="626"/>
  <c r="A165" i="626"/>
  <c r="BY164" i="626"/>
  <c r="BX164" i="626"/>
  <c r="BW164" i="626"/>
  <c r="BU164" i="626"/>
  <c r="BT164" i="626"/>
  <c r="BH164" i="626"/>
  <c r="BV164" i="626" s="1"/>
  <c r="AY164" i="626"/>
  <c r="AX164" i="626"/>
  <c r="U164" i="626"/>
  <c r="R164" i="626"/>
  <c r="Q164" i="626"/>
  <c r="A164" i="626"/>
  <c r="BY163" i="626"/>
  <c r="BX163" i="626"/>
  <c r="BW163" i="626"/>
  <c r="BU163" i="626"/>
  <c r="BT163" i="626"/>
  <c r="BH163" i="626"/>
  <c r="BV163" i="626"/>
  <c r="BZ163" i="626" s="1"/>
  <c r="AY163" i="626"/>
  <c r="AZ163" i="626" s="1"/>
  <c r="CA163" i="626" s="1"/>
  <c r="AX163" i="626"/>
  <c r="U163" i="626"/>
  <c r="R163" i="626"/>
  <c r="Q163" i="626"/>
  <c r="A163" i="626"/>
  <c r="BY162" i="626"/>
  <c r="BX162" i="626"/>
  <c r="BW162" i="626"/>
  <c r="BU162" i="626"/>
  <c r="BT162" i="626"/>
  <c r="BH162" i="626"/>
  <c r="BV162" i="626"/>
  <c r="AY162" i="626"/>
  <c r="AX162" i="626"/>
  <c r="U162" i="626"/>
  <c r="R162" i="626"/>
  <c r="Q162" i="626"/>
  <c r="A162" i="626"/>
  <c r="BY161" i="626"/>
  <c r="BX161" i="626"/>
  <c r="BW161" i="626"/>
  <c r="BU161" i="626"/>
  <c r="BT161" i="626"/>
  <c r="BH161" i="626"/>
  <c r="BV161" i="626"/>
  <c r="AY161" i="626"/>
  <c r="AZ161" i="626" s="1"/>
  <c r="AX161" i="626"/>
  <c r="U161" i="626"/>
  <c r="R161" i="626"/>
  <c r="Q161" i="626"/>
  <c r="A161" i="626"/>
  <c r="BY160" i="626"/>
  <c r="BX160" i="626"/>
  <c r="BW160" i="626"/>
  <c r="BU160" i="626"/>
  <c r="BT160" i="626"/>
  <c r="BH160" i="626"/>
  <c r="BV160" i="626"/>
  <c r="AY160" i="626"/>
  <c r="AZ160" i="626" s="1"/>
  <c r="CA160" i="626" s="1"/>
  <c r="AX160" i="626"/>
  <c r="U160" i="626"/>
  <c r="R160" i="626"/>
  <c r="Q160" i="626"/>
  <c r="A160" i="626"/>
  <c r="BY159" i="626"/>
  <c r="BX159" i="626"/>
  <c r="BW159" i="626"/>
  <c r="BU159" i="626"/>
  <c r="BT159" i="626"/>
  <c r="BH159" i="626"/>
  <c r="BV159" i="626"/>
  <c r="AY159" i="626"/>
  <c r="AX159" i="626"/>
  <c r="S159" i="626"/>
  <c r="U159" i="626"/>
  <c r="R159" i="626"/>
  <c r="Q159" i="626"/>
  <c r="A159" i="626"/>
  <c r="BY158" i="626"/>
  <c r="BX158" i="626"/>
  <c r="BW158" i="626"/>
  <c r="BU158" i="626"/>
  <c r="BT158" i="626"/>
  <c r="BH158" i="626"/>
  <c r="BV158" i="626"/>
  <c r="AY158" i="626"/>
  <c r="AX158" i="626"/>
  <c r="U158" i="626"/>
  <c r="R158" i="626"/>
  <c r="Q158" i="626"/>
  <c r="A158" i="626"/>
  <c r="BY157" i="626"/>
  <c r="BX157" i="626"/>
  <c r="BW157" i="626"/>
  <c r="BU157" i="626"/>
  <c r="BT157" i="626"/>
  <c r="BH157" i="626"/>
  <c r="BV157" i="626"/>
  <c r="AY157" i="626"/>
  <c r="AZ157" i="626" s="1"/>
  <c r="CA157" i="626" s="1"/>
  <c r="AX157" i="626"/>
  <c r="U157" i="626"/>
  <c r="R157" i="626"/>
  <c r="Q157" i="626"/>
  <c r="A157" i="626"/>
  <c r="BY156" i="626"/>
  <c r="BX156" i="626"/>
  <c r="BW156" i="626"/>
  <c r="BU156" i="626"/>
  <c r="BT156" i="626"/>
  <c r="BH156" i="626"/>
  <c r="BV156" i="626"/>
  <c r="AY156" i="626"/>
  <c r="AX156" i="626"/>
  <c r="U156" i="626"/>
  <c r="R156" i="626"/>
  <c r="Q156" i="626"/>
  <c r="A156" i="626"/>
  <c r="BY155" i="626"/>
  <c r="BX155" i="626"/>
  <c r="BW155" i="626"/>
  <c r="BU155" i="626"/>
  <c r="BT155" i="626"/>
  <c r="BZ155" i="626" s="1"/>
  <c r="CB155" i="626" s="1"/>
  <c r="BH155" i="626"/>
  <c r="BV155" i="626" s="1"/>
  <c r="AY155" i="626"/>
  <c r="AZ155" i="626" s="1"/>
  <c r="AX155" i="626"/>
  <c r="U155" i="626"/>
  <c r="R155" i="626"/>
  <c r="Q155" i="626"/>
  <c r="A155" i="626"/>
  <c r="BY154" i="626"/>
  <c r="BX154" i="626"/>
  <c r="BW154" i="626"/>
  <c r="BU154" i="626"/>
  <c r="BT154" i="626"/>
  <c r="BH154" i="626"/>
  <c r="BV154" i="626" s="1"/>
  <c r="AY154" i="626"/>
  <c r="AZ154" i="626" s="1"/>
  <c r="CA154" i="626" s="1"/>
  <c r="AX154" i="626"/>
  <c r="U154" i="626"/>
  <c r="R154" i="626"/>
  <c r="Q154" i="626"/>
  <c r="A154" i="626"/>
  <c r="BY153" i="626"/>
  <c r="BZ153" i="626" s="1"/>
  <c r="CB153" i="626" s="1"/>
  <c r="BX153" i="626"/>
  <c r="BW153" i="626"/>
  <c r="BU153" i="626"/>
  <c r="BT153" i="626"/>
  <c r="BH153" i="626"/>
  <c r="BV153" i="626" s="1"/>
  <c r="AY153" i="626"/>
  <c r="AX153" i="626"/>
  <c r="AZ153" i="626" s="1"/>
  <c r="CA153" i="626" s="1"/>
  <c r="S153" i="626"/>
  <c r="U153" i="626"/>
  <c r="R153" i="626"/>
  <c r="Q153" i="626"/>
  <c r="A153" i="626"/>
  <c r="BY152" i="626"/>
  <c r="BX152" i="626"/>
  <c r="BW152" i="626"/>
  <c r="BU152" i="626"/>
  <c r="BT152" i="626"/>
  <c r="BH152" i="626"/>
  <c r="BV152" i="626" s="1"/>
  <c r="AY152" i="626"/>
  <c r="AZ152" i="626" s="1"/>
  <c r="CA152" i="626" s="1"/>
  <c r="AX152" i="626"/>
  <c r="U152" i="626"/>
  <c r="R152" i="626"/>
  <c r="Q152" i="626"/>
  <c r="A152" i="626"/>
  <c r="BY151" i="626"/>
  <c r="BX151" i="626"/>
  <c r="BZ151" i="626" s="1"/>
  <c r="CB151" i="626" s="1"/>
  <c r="BW151" i="626"/>
  <c r="BV151" i="626"/>
  <c r="BU151" i="626"/>
  <c r="BT151" i="626"/>
  <c r="AY151" i="626"/>
  <c r="AX151" i="626"/>
  <c r="R151" i="626"/>
  <c r="Q151" i="626"/>
  <c r="BY150" i="626"/>
  <c r="BX150" i="626"/>
  <c r="BW150" i="626"/>
  <c r="BU150" i="626"/>
  <c r="BT150" i="626"/>
  <c r="BZ150" i="626" s="1"/>
  <c r="CB150" i="626" s="1"/>
  <c r="BH150" i="626"/>
  <c r="BV150" i="626"/>
  <c r="AY150" i="626"/>
  <c r="AZ150" i="626" s="1"/>
  <c r="AX150" i="626"/>
  <c r="AU150" i="626"/>
  <c r="R150" i="626"/>
  <c r="Q150" i="626"/>
  <c r="A150" i="626"/>
  <c r="BY149" i="626"/>
  <c r="BX149" i="626"/>
  <c r="BW149" i="626"/>
  <c r="BU149" i="626"/>
  <c r="BT149" i="626"/>
  <c r="BH149" i="626"/>
  <c r="BV149" i="626" s="1"/>
  <c r="AY149" i="626"/>
  <c r="AX149" i="626"/>
  <c r="AZ149" i="626" s="1"/>
  <c r="CA149" i="626" s="1"/>
  <c r="AU149" i="626"/>
  <c r="R149" i="626"/>
  <c r="Q149" i="626"/>
  <c r="A149" i="626"/>
  <c r="BY148" i="626"/>
  <c r="BX148" i="626"/>
  <c r="BW148" i="626"/>
  <c r="BU148" i="626"/>
  <c r="BT148" i="626"/>
  <c r="BH148" i="626"/>
  <c r="BV148" i="626" s="1"/>
  <c r="AY148" i="626"/>
  <c r="AX148" i="626"/>
  <c r="AU148" i="626"/>
  <c r="R148" i="626"/>
  <c r="Q148" i="626"/>
  <c r="A148" i="626"/>
  <c r="BY147" i="626"/>
  <c r="BX147" i="626"/>
  <c r="BW147" i="626"/>
  <c r="BU147" i="626"/>
  <c r="BT147" i="626"/>
  <c r="BH147" i="626"/>
  <c r="BV147" i="626" s="1"/>
  <c r="AY147" i="626"/>
  <c r="AZ147" i="626" s="1"/>
  <c r="CA147" i="626" s="1"/>
  <c r="AX147" i="626"/>
  <c r="AT147" i="626"/>
  <c r="R147" i="626"/>
  <c r="Q147" i="626"/>
  <c r="A147" i="626"/>
  <c r="BY146" i="626"/>
  <c r="BX146" i="626"/>
  <c r="BW146" i="626"/>
  <c r="BU146" i="626"/>
  <c r="BT146" i="626"/>
  <c r="BH146" i="626"/>
  <c r="BV146" i="626"/>
  <c r="AY146" i="626"/>
  <c r="AZ146" i="626" s="1"/>
  <c r="AX146" i="626"/>
  <c r="AT146" i="626"/>
  <c r="AT191" i="626" s="1"/>
  <c r="R146" i="626"/>
  <c r="Q146" i="626"/>
  <c r="A146" i="626"/>
  <c r="BY145" i="626"/>
  <c r="BX145" i="626"/>
  <c r="BZ145" i="626" s="1"/>
  <c r="CB145" i="626" s="1"/>
  <c r="BW145" i="626"/>
  <c r="BU145" i="626"/>
  <c r="BT145" i="626"/>
  <c r="BH145" i="626"/>
  <c r="BV145" i="626"/>
  <c r="AY145" i="626"/>
  <c r="AX145" i="626"/>
  <c r="AT145" i="626"/>
  <c r="R145" i="626"/>
  <c r="Q145" i="626"/>
  <c r="A145" i="626"/>
  <c r="BY144" i="626"/>
  <c r="BX144" i="626"/>
  <c r="BW144" i="626"/>
  <c r="BU144" i="626"/>
  <c r="BT144" i="626"/>
  <c r="BH144" i="626"/>
  <c r="BV144" i="626" s="1"/>
  <c r="AY144" i="626"/>
  <c r="AX144" i="626"/>
  <c r="AT144" i="626"/>
  <c r="R144" i="626"/>
  <c r="Q144" i="626"/>
  <c r="A144" i="626"/>
  <c r="BY143" i="626"/>
  <c r="BX143" i="626"/>
  <c r="BW143" i="626"/>
  <c r="BV143" i="626"/>
  <c r="BU143" i="626"/>
  <c r="BT143" i="626"/>
  <c r="AY143" i="626"/>
  <c r="AX143" i="626"/>
  <c r="AT143" i="626"/>
  <c r="A143" i="626"/>
  <c r="BY142" i="626"/>
  <c r="BX142" i="626"/>
  <c r="BW142" i="626"/>
  <c r="BU142" i="626"/>
  <c r="BT142" i="626"/>
  <c r="BH142" i="626"/>
  <c r="BV142" i="626" s="1"/>
  <c r="BZ142" i="626" s="1"/>
  <c r="CB142" i="626" s="1"/>
  <c r="AY142" i="626"/>
  <c r="AX142" i="626"/>
  <c r="Z142" i="626"/>
  <c r="R142" i="626"/>
  <c r="Q142" i="626"/>
  <c r="A142" i="626"/>
  <c r="BY141" i="626"/>
  <c r="BX141" i="626"/>
  <c r="BW141" i="626"/>
  <c r="BU141" i="626"/>
  <c r="BT141" i="626"/>
  <c r="BH141" i="626"/>
  <c r="BV141" i="626" s="1"/>
  <c r="AY141" i="626"/>
  <c r="AZ141" i="626" s="1"/>
  <c r="CA141" i="626" s="1"/>
  <c r="AX141" i="626"/>
  <c r="Z141" i="626"/>
  <c r="R141" i="626"/>
  <c r="Q141" i="626"/>
  <c r="A141" i="626"/>
  <c r="BY140" i="626"/>
  <c r="BX140" i="626"/>
  <c r="BW140" i="626"/>
  <c r="BU140" i="626"/>
  <c r="BT140" i="626"/>
  <c r="BH140" i="626"/>
  <c r="BV140" i="626"/>
  <c r="AY140" i="626"/>
  <c r="AX140" i="626"/>
  <c r="Z140" i="626"/>
  <c r="R140" i="626"/>
  <c r="Q140" i="626"/>
  <c r="A140" i="626"/>
  <c r="BY139" i="626"/>
  <c r="BX139" i="626"/>
  <c r="BW139" i="626"/>
  <c r="BU139" i="626"/>
  <c r="BT139" i="626"/>
  <c r="BH139" i="626"/>
  <c r="BV139" i="626" s="1"/>
  <c r="AY139" i="626"/>
  <c r="AZ139" i="626" s="1"/>
  <c r="CA139" i="626" s="1"/>
  <c r="AX139" i="626"/>
  <c r="Z139" i="626"/>
  <c r="R139" i="626"/>
  <c r="Q139" i="626"/>
  <c r="A139" i="626"/>
  <c r="BY138" i="626"/>
  <c r="BX138" i="626"/>
  <c r="BW138" i="626"/>
  <c r="BU138" i="626"/>
  <c r="BT138" i="626"/>
  <c r="BH138" i="626"/>
  <c r="BV138" i="626"/>
  <c r="BZ138" i="626" s="1"/>
  <c r="AY138" i="626"/>
  <c r="AX138" i="626"/>
  <c r="AZ138" i="626" s="1"/>
  <c r="CA138" i="626" s="1"/>
  <c r="Z138" i="626"/>
  <c r="R138" i="626"/>
  <c r="Q138" i="626"/>
  <c r="A138" i="626"/>
  <c r="BY137" i="626"/>
  <c r="BX137" i="626"/>
  <c r="BW137" i="626"/>
  <c r="BU137" i="626"/>
  <c r="BT137" i="626"/>
  <c r="BH137" i="626"/>
  <c r="BV137" i="626" s="1"/>
  <c r="AY137" i="626"/>
  <c r="AX137" i="626"/>
  <c r="Z137" i="626"/>
  <c r="R137" i="626"/>
  <c r="Q137" i="626"/>
  <c r="A137" i="626"/>
  <c r="BY136" i="626"/>
  <c r="BX136" i="626"/>
  <c r="BW136" i="626"/>
  <c r="BU136" i="626"/>
  <c r="BT136" i="626"/>
  <c r="BZ136" i="626" s="1"/>
  <c r="CB136" i="626" s="1"/>
  <c r="BH136" i="626"/>
  <c r="BV136" i="626"/>
  <c r="AY136" i="626"/>
  <c r="AZ136" i="626" s="1"/>
  <c r="CA136" i="626" s="1"/>
  <c r="AX136" i="626"/>
  <c r="Z136" i="626"/>
  <c r="R136" i="626"/>
  <c r="Q136" i="626"/>
  <c r="A136" i="626"/>
  <c r="BY135" i="626"/>
  <c r="BX135" i="626"/>
  <c r="BW135" i="626"/>
  <c r="BU135" i="626"/>
  <c r="BT135" i="626"/>
  <c r="BZ135" i="626" s="1"/>
  <c r="BH135" i="626"/>
  <c r="BV135" i="626"/>
  <c r="AY135" i="626"/>
  <c r="AX135" i="626"/>
  <c r="Z135" i="626"/>
  <c r="Q135" i="626"/>
  <c r="A135" i="626"/>
  <c r="BY134" i="626"/>
  <c r="BX134" i="626"/>
  <c r="BW134" i="626"/>
  <c r="BZ134" i="626" s="1"/>
  <c r="BU134" i="626"/>
  <c r="BT134" i="626"/>
  <c r="BH134" i="626"/>
  <c r="BV134" i="626"/>
  <c r="AY134" i="626"/>
  <c r="AX134" i="626"/>
  <c r="Z134" i="626"/>
  <c r="R134" i="626"/>
  <c r="Q134" i="626"/>
  <c r="A134" i="626"/>
  <c r="BY133" i="626"/>
  <c r="BX133" i="626"/>
  <c r="BW133" i="626"/>
  <c r="BU133" i="626"/>
  <c r="BT133" i="626"/>
  <c r="BH133" i="626"/>
  <c r="BV133" i="626"/>
  <c r="BZ133" i="626" s="1"/>
  <c r="CB133" i="626" s="1"/>
  <c r="AY133" i="626"/>
  <c r="AX133" i="626"/>
  <c r="AZ133" i="626" s="1"/>
  <c r="CA133" i="626" s="1"/>
  <c r="Z133" i="626"/>
  <c r="R133" i="626"/>
  <c r="Q133" i="626"/>
  <c r="A133" i="626"/>
  <c r="BY132" i="626"/>
  <c r="BX132" i="626"/>
  <c r="BW132" i="626"/>
  <c r="BU132" i="626"/>
  <c r="BT132" i="626"/>
  <c r="BH132" i="626"/>
  <c r="BV132" i="626"/>
  <c r="AY132" i="626"/>
  <c r="AX132" i="626"/>
  <c r="Z132" i="626"/>
  <c r="R132" i="626"/>
  <c r="Q132" i="626"/>
  <c r="A132" i="626"/>
  <c r="BY131" i="626"/>
  <c r="BZ131" i="626" s="1"/>
  <c r="BX131" i="626"/>
  <c r="BW131" i="626"/>
  <c r="BU131" i="626"/>
  <c r="BT131" i="626"/>
  <c r="BH131" i="626"/>
  <c r="BV131" i="626" s="1"/>
  <c r="AY131" i="626"/>
  <c r="AX131" i="626"/>
  <c r="AS131" i="626"/>
  <c r="AS191" i="626" s="1"/>
  <c r="R131" i="626"/>
  <c r="Q131" i="626"/>
  <c r="A131" i="626"/>
  <c r="BY130" i="626"/>
  <c r="BX130" i="626"/>
  <c r="BZ130" i="626" s="1"/>
  <c r="BW130" i="626"/>
  <c r="BU130" i="626"/>
  <c r="BT130" i="626"/>
  <c r="BH130" i="626"/>
  <c r="BV130" i="626" s="1"/>
  <c r="AY130" i="626"/>
  <c r="AX130" i="626"/>
  <c r="AL130" i="626"/>
  <c r="R130" i="626"/>
  <c r="Q130" i="626"/>
  <c r="A130" i="626"/>
  <c r="BY129" i="626"/>
  <c r="BX129" i="626"/>
  <c r="BW129" i="626"/>
  <c r="BU129" i="626"/>
  <c r="BT129" i="626"/>
  <c r="BH129" i="626"/>
  <c r="BV129" i="626"/>
  <c r="AY129" i="626"/>
  <c r="AX129" i="626"/>
  <c r="AL129" i="626"/>
  <c r="R129" i="626"/>
  <c r="Q129" i="626"/>
  <c r="A129" i="626"/>
  <c r="BY128" i="626"/>
  <c r="BX128" i="626"/>
  <c r="BW128" i="626"/>
  <c r="BU128" i="626"/>
  <c r="BT128" i="626"/>
  <c r="BH128" i="626"/>
  <c r="BV128" i="626"/>
  <c r="AY128" i="626"/>
  <c r="AZ128" i="626" s="1"/>
  <c r="CA128" i="626" s="1"/>
  <c r="AX128" i="626"/>
  <c r="AL128" i="626"/>
  <c r="R128" i="626"/>
  <c r="Q128" i="626"/>
  <c r="A128" i="626"/>
  <c r="BY127" i="626"/>
  <c r="BX127" i="626"/>
  <c r="BW127" i="626"/>
  <c r="BU127" i="626"/>
  <c r="BT127" i="626"/>
  <c r="BH127" i="626"/>
  <c r="BV127" i="626"/>
  <c r="AY127" i="626"/>
  <c r="AX127" i="626"/>
  <c r="AL127" i="626"/>
  <c r="R127" i="626"/>
  <c r="Q127" i="626"/>
  <c r="A127" i="626"/>
  <c r="BY126" i="626"/>
  <c r="BX126" i="626"/>
  <c r="BW126" i="626"/>
  <c r="BZ126" i="626" s="1"/>
  <c r="BU126" i="626"/>
  <c r="BT126" i="626"/>
  <c r="BH126" i="626"/>
  <c r="BV126" i="626" s="1"/>
  <c r="AY126" i="626"/>
  <c r="AX126" i="626"/>
  <c r="AL126" i="626"/>
  <c r="R126" i="626"/>
  <c r="Q126" i="626"/>
  <c r="A126" i="626"/>
  <c r="BY125" i="626"/>
  <c r="BX125" i="626"/>
  <c r="BW125" i="626"/>
  <c r="BV125" i="626"/>
  <c r="BU125" i="626"/>
  <c r="BT125" i="626"/>
  <c r="BZ125" i="626" s="1"/>
  <c r="CB125" i="626" s="1"/>
  <c r="AY125" i="626"/>
  <c r="AX125" i="626"/>
  <c r="AM125" i="626"/>
  <c r="R125" i="626"/>
  <c r="Q125" i="626"/>
  <c r="A125" i="626"/>
  <c r="BY124" i="626"/>
  <c r="BX124" i="626"/>
  <c r="BW124" i="626"/>
  <c r="BV124" i="626"/>
  <c r="BU124" i="626"/>
  <c r="BT124" i="626"/>
  <c r="BZ124" i="626" s="1"/>
  <c r="CB124" i="626" s="1"/>
  <c r="AY124" i="626"/>
  <c r="AX124" i="626"/>
  <c r="AM124" i="626"/>
  <c r="R124" i="626"/>
  <c r="Q124" i="626"/>
  <c r="A124" i="626"/>
  <c r="BY123" i="626"/>
  <c r="BX123" i="626"/>
  <c r="BW123" i="626"/>
  <c r="BV123" i="626"/>
  <c r="BU123" i="626"/>
  <c r="BT123" i="626"/>
  <c r="AY123" i="626"/>
  <c r="AZ123" i="626" s="1"/>
  <c r="AX123" i="626"/>
  <c r="AM123" i="626"/>
  <c r="R123" i="626"/>
  <c r="Q123" i="626"/>
  <c r="A123" i="626"/>
  <c r="BY122" i="626"/>
  <c r="BX122" i="626"/>
  <c r="BW122" i="626"/>
  <c r="BV122" i="626"/>
  <c r="BU122" i="626"/>
  <c r="BT122" i="626"/>
  <c r="BZ122" i="626" s="1"/>
  <c r="AY122" i="626"/>
  <c r="AX122" i="626"/>
  <c r="AM122" i="626"/>
  <c r="AM191" i="626" s="1"/>
  <c r="R122" i="626"/>
  <c r="Q122" i="626"/>
  <c r="A122" i="626"/>
  <c r="BY121" i="626"/>
  <c r="BX121" i="626"/>
  <c r="BW121" i="626"/>
  <c r="BV121" i="626"/>
  <c r="BU121" i="626"/>
  <c r="BT121" i="626"/>
  <c r="AY121" i="626"/>
  <c r="AX121" i="626"/>
  <c r="AR121" i="626"/>
  <c r="R121" i="626"/>
  <c r="Q121" i="626"/>
  <c r="A121" i="626"/>
  <c r="BY120" i="626"/>
  <c r="BX120" i="626"/>
  <c r="BW120" i="626"/>
  <c r="BV120" i="626"/>
  <c r="BU120" i="626"/>
  <c r="BT120" i="626"/>
  <c r="BZ120" i="626" s="1"/>
  <c r="CB120" i="626" s="1"/>
  <c r="AY120" i="626"/>
  <c r="AX120" i="626"/>
  <c r="AR120" i="626"/>
  <c r="R120" i="626"/>
  <c r="Q120" i="626"/>
  <c r="A120" i="626"/>
  <c r="BY119" i="626"/>
  <c r="BX119" i="626"/>
  <c r="BW119" i="626"/>
  <c r="BV119" i="626"/>
  <c r="BU119" i="626"/>
  <c r="BT119" i="626"/>
  <c r="BZ119" i="626" s="1"/>
  <c r="AY119" i="626"/>
  <c r="AX119" i="626"/>
  <c r="AR119" i="626"/>
  <c r="R119" i="626"/>
  <c r="Q119" i="626"/>
  <c r="A119" i="626"/>
  <c r="BY118" i="626"/>
  <c r="BX118" i="626"/>
  <c r="BW118" i="626"/>
  <c r="BV118" i="626"/>
  <c r="BU118" i="626"/>
  <c r="BT118" i="626"/>
  <c r="AY118" i="626"/>
  <c r="AZ118" i="626" s="1"/>
  <c r="CA118" i="626" s="1"/>
  <c r="AX118" i="626"/>
  <c r="AR118" i="626"/>
  <c r="R118" i="626"/>
  <c r="Q118" i="626"/>
  <c r="A118" i="626"/>
  <c r="BY117" i="626"/>
  <c r="BX117" i="626"/>
  <c r="BW117" i="626"/>
  <c r="BV117" i="626"/>
  <c r="BU117" i="626"/>
  <c r="BT117" i="626"/>
  <c r="AY117" i="626"/>
  <c r="AX117" i="626"/>
  <c r="AR117" i="626"/>
  <c r="R117" i="626"/>
  <c r="Q117" i="626"/>
  <c r="A117" i="626"/>
  <c r="BY116" i="626"/>
  <c r="BZ116" i="626" s="1"/>
  <c r="BX116" i="626"/>
  <c r="BW116" i="626"/>
  <c r="BV116" i="626"/>
  <c r="BU116" i="626"/>
  <c r="BT116" i="626"/>
  <c r="AY116" i="626"/>
  <c r="AX116" i="626"/>
  <c r="AR116" i="626"/>
  <c r="R116" i="626"/>
  <c r="Q116" i="626"/>
  <c r="A116" i="626"/>
  <c r="BY115" i="626"/>
  <c r="BX115" i="626"/>
  <c r="BW115" i="626"/>
  <c r="BV115" i="626"/>
  <c r="BU115" i="626"/>
  <c r="BT115" i="626"/>
  <c r="BZ115" i="626" s="1"/>
  <c r="CB115" i="626" s="1"/>
  <c r="AY115" i="626"/>
  <c r="AX115" i="626"/>
  <c r="AR115" i="626"/>
  <c r="R115" i="626"/>
  <c r="Q115" i="626"/>
  <c r="A115" i="626"/>
  <c r="BY114" i="626"/>
  <c r="BX114" i="626"/>
  <c r="BW114" i="626"/>
  <c r="BV114" i="626"/>
  <c r="BU114" i="626"/>
  <c r="BT114" i="626"/>
  <c r="BZ114" i="626" s="1"/>
  <c r="AY114" i="626"/>
  <c r="AX114" i="626"/>
  <c r="AK114" i="626"/>
  <c r="A114" i="626"/>
  <c r="BY113" i="626"/>
  <c r="BX113" i="626"/>
  <c r="BW113" i="626"/>
  <c r="BV113" i="626"/>
  <c r="BZ113" i="626" s="1"/>
  <c r="CB113" i="626" s="1"/>
  <c r="BU113" i="626"/>
  <c r="BT113" i="626"/>
  <c r="AY113" i="626"/>
  <c r="AZ113" i="626" s="1"/>
  <c r="CA113" i="626" s="1"/>
  <c r="AX113" i="626"/>
  <c r="AK113" i="626"/>
  <c r="AK191" i="626" s="1"/>
  <c r="A113" i="626"/>
  <c r="BY112" i="626"/>
  <c r="BX112" i="626"/>
  <c r="BW112" i="626"/>
  <c r="BV112" i="626"/>
  <c r="BU112" i="626"/>
  <c r="BT112" i="626"/>
  <c r="BZ112" i="626" s="1"/>
  <c r="AY112" i="626"/>
  <c r="AX112" i="626"/>
  <c r="AB112" i="626"/>
  <c r="R112" i="626"/>
  <c r="Q112" i="626"/>
  <c r="A112" i="626"/>
  <c r="BY111" i="626"/>
  <c r="BX111" i="626"/>
  <c r="BW111" i="626"/>
  <c r="BV111" i="626"/>
  <c r="BU111" i="626"/>
  <c r="BT111" i="626"/>
  <c r="AY111" i="626"/>
  <c r="AZ111" i="626" s="1"/>
  <c r="CA111" i="626" s="1"/>
  <c r="AX111" i="626"/>
  <c r="AB111" i="626"/>
  <c r="R111" i="626"/>
  <c r="Q111" i="626"/>
  <c r="A111" i="626"/>
  <c r="BY110" i="626"/>
  <c r="BX110" i="626"/>
  <c r="BW110" i="626"/>
  <c r="BV110" i="626"/>
  <c r="BU110" i="626"/>
  <c r="BT110" i="626"/>
  <c r="AY110" i="626"/>
  <c r="AX110" i="626"/>
  <c r="AB110" i="626"/>
  <c r="R110" i="626"/>
  <c r="Q110" i="626"/>
  <c r="A110" i="626"/>
  <c r="BY109" i="626"/>
  <c r="BX109" i="626"/>
  <c r="BW109" i="626"/>
  <c r="BV109" i="626"/>
  <c r="BU109" i="626"/>
  <c r="BT109" i="626"/>
  <c r="AY109" i="626"/>
  <c r="AX109" i="626"/>
  <c r="AZ109" i="626" s="1"/>
  <c r="CA109" i="626" s="1"/>
  <c r="AB109" i="626"/>
  <c r="R109" i="626"/>
  <c r="Q109" i="626"/>
  <c r="A109" i="626"/>
  <c r="BY108" i="626"/>
  <c r="BX108" i="626"/>
  <c r="BW108" i="626"/>
  <c r="BV108" i="626"/>
  <c r="BU108" i="626"/>
  <c r="BT108" i="626"/>
  <c r="BZ108" i="626" s="1"/>
  <c r="CB108" i="626" s="1"/>
  <c r="AY108" i="626"/>
  <c r="AX108" i="626"/>
  <c r="AD108" i="626"/>
  <c r="AD191" i="626" s="1"/>
  <c r="R108" i="626"/>
  <c r="Q108" i="626"/>
  <c r="A108" i="626"/>
  <c r="BY107" i="626"/>
  <c r="BX107" i="626"/>
  <c r="BW107" i="626"/>
  <c r="BV107" i="626"/>
  <c r="BU107" i="626"/>
  <c r="BZ107" i="626" s="1"/>
  <c r="CB107" i="626" s="1"/>
  <c r="BT107" i="626"/>
  <c r="AY107" i="626"/>
  <c r="AX107" i="626"/>
  <c r="AH107" i="626"/>
  <c r="AH191" i="626" s="1"/>
  <c r="R107" i="626"/>
  <c r="Q107" i="626"/>
  <c r="A107" i="626"/>
  <c r="BY106" i="626"/>
  <c r="BX106" i="626"/>
  <c r="BW106" i="626"/>
  <c r="BV106" i="626"/>
  <c r="BU106" i="626"/>
  <c r="BT106" i="626"/>
  <c r="AY106" i="626"/>
  <c r="AZ106" i="626" s="1"/>
  <c r="CA106" i="626" s="1"/>
  <c r="AX106" i="626"/>
  <c r="AE106" i="626"/>
  <c r="AE191" i="626"/>
  <c r="R106" i="626"/>
  <c r="Q106" i="626"/>
  <c r="A106" i="626"/>
  <c r="BY105" i="626"/>
  <c r="BX105" i="626"/>
  <c r="BW105" i="626"/>
  <c r="BV105" i="626"/>
  <c r="BU105" i="626"/>
  <c r="BT105" i="626"/>
  <c r="AY105" i="626"/>
  <c r="AX105" i="626"/>
  <c r="AH105" i="626"/>
  <c r="R105" i="626"/>
  <c r="Q105" i="626"/>
  <c r="A105" i="626"/>
  <c r="BY104" i="626"/>
  <c r="BX104" i="626"/>
  <c r="BW104" i="626"/>
  <c r="BV104" i="626"/>
  <c r="BU104" i="626"/>
  <c r="BT104" i="626"/>
  <c r="AY104" i="626"/>
  <c r="AX104" i="626"/>
  <c r="AZ104" i="626" s="1"/>
  <c r="CA104" i="626" s="1"/>
  <c r="CB104" i="626" s="1"/>
  <c r="AI104" i="626"/>
  <c r="R104" i="626"/>
  <c r="Q104" i="626"/>
  <c r="A104" i="626"/>
  <c r="BY103" i="626"/>
  <c r="BX103" i="626"/>
  <c r="BW103" i="626"/>
  <c r="BV103" i="626"/>
  <c r="BU103" i="626"/>
  <c r="BT103" i="626"/>
  <c r="AY103" i="626"/>
  <c r="AZ103" i="626" s="1"/>
  <c r="CA103" i="626" s="1"/>
  <c r="AX103" i="626"/>
  <c r="AI103" i="626"/>
  <c r="AI191" i="626" s="1"/>
  <c r="R103" i="626"/>
  <c r="Q103" i="626"/>
  <c r="A103" i="626"/>
  <c r="BY102" i="626"/>
  <c r="BX102" i="626"/>
  <c r="BW102" i="626"/>
  <c r="BU102" i="626"/>
  <c r="BZ102" i="626" s="1"/>
  <c r="CB102" i="626" s="1"/>
  <c r="BT102" i="626"/>
  <c r="BH102" i="626"/>
  <c r="BV102" i="626"/>
  <c r="AY102" i="626"/>
  <c r="AX102" i="626"/>
  <c r="AA102" i="626"/>
  <c r="R102" i="626"/>
  <c r="Q102" i="626"/>
  <c r="A102" i="626"/>
  <c r="BY101" i="626"/>
  <c r="BX101" i="626"/>
  <c r="BW101" i="626"/>
  <c r="BU101" i="626"/>
  <c r="BT101" i="626"/>
  <c r="BH101" i="626"/>
  <c r="BV101" i="626"/>
  <c r="AY101" i="626"/>
  <c r="AX101" i="626"/>
  <c r="AZ101" i="626" s="1"/>
  <c r="CA101" i="626" s="1"/>
  <c r="AA101" i="626"/>
  <c r="R101" i="626"/>
  <c r="Q101" i="626"/>
  <c r="A101" i="626"/>
  <c r="BY100" i="626"/>
  <c r="BX100" i="626"/>
  <c r="BW100" i="626"/>
  <c r="BU100" i="626"/>
  <c r="BT100" i="626"/>
  <c r="BZ100" i="626" s="1"/>
  <c r="BH100" i="626"/>
  <c r="BV100" i="626"/>
  <c r="AY100" i="626"/>
  <c r="AX100" i="626"/>
  <c r="AA100" i="626"/>
  <c r="R100" i="626"/>
  <c r="Q100" i="626"/>
  <c r="A100" i="626"/>
  <c r="BY99" i="626"/>
  <c r="BX99" i="626"/>
  <c r="BW99" i="626"/>
  <c r="BU99" i="626"/>
  <c r="BT99" i="626"/>
  <c r="BZ99" i="626" s="1"/>
  <c r="CB99" i="626" s="1"/>
  <c r="BH99" i="626"/>
  <c r="BV99" i="626"/>
  <c r="AY99" i="626"/>
  <c r="AX99" i="626"/>
  <c r="AZ99" i="626" s="1"/>
  <c r="CA99" i="626" s="1"/>
  <c r="AA99" i="626"/>
  <c r="R99" i="626"/>
  <c r="Q99" i="626"/>
  <c r="A99" i="626"/>
  <c r="BY98" i="626"/>
  <c r="BX98" i="626"/>
  <c r="BW98" i="626"/>
  <c r="BU98" i="626"/>
  <c r="BT98" i="626"/>
  <c r="BG98" i="626"/>
  <c r="BH98" i="626" s="1"/>
  <c r="BV98" i="626" s="1"/>
  <c r="AY98" i="626"/>
  <c r="AZ98" i="626" s="1"/>
  <c r="AX98" i="626"/>
  <c r="Y98" i="626"/>
  <c r="X98" i="626"/>
  <c r="R98" i="626"/>
  <c r="Q98" i="626"/>
  <c r="A98" i="626"/>
  <c r="BY97" i="626"/>
  <c r="BX97" i="626"/>
  <c r="BW97" i="626"/>
  <c r="BU97" i="626"/>
  <c r="BT97" i="626"/>
  <c r="BH97" i="626"/>
  <c r="BV97" i="626"/>
  <c r="AY97" i="626"/>
  <c r="AZ97" i="626" s="1"/>
  <c r="CA97" i="626" s="1"/>
  <c r="AX97" i="626"/>
  <c r="Y97" i="626"/>
  <c r="R97" i="626"/>
  <c r="Q97" i="626"/>
  <c r="A97" i="626"/>
  <c r="BY96" i="626"/>
  <c r="BX96" i="626"/>
  <c r="BW96" i="626"/>
  <c r="BU96" i="626"/>
  <c r="BT96" i="626"/>
  <c r="BH96" i="626"/>
  <c r="BV96" i="626" s="1"/>
  <c r="BZ96" i="626" s="1"/>
  <c r="CB96" i="626" s="1"/>
  <c r="AY96" i="626"/>
  <c r="AX96" i="626"/>
  <c r="Y96" i="626"/>
  <c r="R96" i="626"/>
  <c r="Q96" i="626"/>
  <c r="A96" i="626"/>
  <c r="BY95" i="626"/>
  <c r="BX95" i="626"/>
  <c r="BW95" i="626"/>
  <c r="BU95" i="626"/>
  <c r="BT95" i="626"/>
  <c r="BH95" i="626"/>
  <c r="BV95" i="626"/>
  <c r="AY95" i="626"/>
  <c r="AX95" i="626"/>
  <c r="X95" i="626"/>
  <c r="R95" i="626"/>
  <c r="Q95" i="626"/>
  <c r="A95" i="626"/>
  <c r="BY94" i="626"/>
  <c r="BX94" i="626"/>
  <c r="BW94" i="626"/>
  <c r="BU94" i="626"/>
  <c r="BT94" i="626"/>
  <c r="BH94" i="626"/>
  <c r="BV94" i="626"/>
  <c r="AY94" i="626"/>
  <c r="AX94" i="626"/>
  <c r="S94" i="626"/>
  <c r="X94" i="626" s="1"/>
  <c r="R94" i="626"/>
  <c r="Q94" i="626"/>
  <c r="A94" i="626"/>
  <c r="BY93" i="626"/>
  <c r="BX93" i="626"/>
  <c r="BW93" i="626"/>
  <c r="BU93" i="626"/>
  <c r="BT93" i="626"/>
  <c r="BH93" i="626"/>
  <c r="BV93" i="626" s="1"/>
  <c r="AY93" i="626"/>
  <c r="AX93" i="626"/>
  <c r="X93" i="626"/>
  <c r="R93" i="626"/>
  <c r="Q93" i="626"/>
  <c r="A93" i="626"/>
  <c r="BY92" i="626"/>
  <c r="BX92" i="626"/>
  <c r="BW92" i="626"/>
  <c r="BU92" i="626"/>
  <c r="BZ92" i="626" s="1"/>
  <c r="CB92" i="626" s="1"/>
  <c r="BT92" i="626"/>
  <c r="BH92" i="626"/>
  <c r="BV92" i="626"/>
  <c r="AY92" i="626"/>
  <c r="AZ92" i="626" s="1"/>
  <c r="AX92" i="626"/>
  <c r="X92" i="626"/>
  <c r="R92" i="626"/>
  <c r="Q92" i="626"/>
  <c r="A92" i="626"/>
  <c r="BY91" i="626"/>
  <c r="BX91" i="626"/>
  <c r="BW91" i="626"/>
  <c r="BU91" i="626"/>
  <c r="BT91" i="626"/>
  <c r="BH91" i="626"/>
  <c r="BV91" i="626"/>
  <c r="AY91" i="626"/>
  <c r="AX91" i="626"/>
  <c r="AZ91" i="626" s="1"/>
  <c r="CA91" i="626" s="1"/>
  <c r="X91" i="626"/>
  <c r="R91" i="626"/>
  <c r="Q91" i="626"/>
  <c r="A91" i="626"/>
  <c r="BY90" i="626"/>
  <c r="BX90" i="626"/>
  <c r="BW90" i="626"/>
  <c r="BU90" i="626"/>
  <c r="BT90" i="626"/>
  <c r="BH90" i="626"/>
  <c r="BV90" i="626"/>
  <c r="AY90" i="626"/>
  <c r="AX90" i="626"/>
  <c r="X90" i="626"/>
  <c r="R90" i="626"/>
  <c r="Q90" i="626"/>
  <c r="A90" i="626"/>
  <c r="BY89" i="626"/>
  <c r="BX89" i="626"/>
  <c r="BW89" i="626"/>
  <c r="BU89" i="626"/>
  <c r="BT89" i="626"/>
  <c r="BZ89" i="626" s="1"/>
  <c r="CB89" i="626" s="1"/>
  <c r="BH89" i="626"/>
  <c r="BV89" i="626" s="1"/>
  <c r="AY89" i="626"/>
  <c r="AZ89" i="626" s="1"/>
  <c r="CA89" i="626" s="1"/>
  <c r="AX89" i="626"/>
  <c r="X89" i="626"/>
  <c r="R89" i="626"/>
  <c r="Q89" i="626"/>
  <c r="A89" i="626"/>
  <c r="BY88" i="626"/>
  <c r="BX88" i="626"/>
  <c r="BW88" i="626"/>
  <c r="BU88" i="626"/>
  <c r="BT88" i="626"/>
  <c r="BH88" i="626"/>
  <c r="BV88" i="626" s="1"/>
  <c r="AY88" i="626"/>
  <c r="AX88" i="626"/>
  <c r="AZ88" i="626" s="1"/>
  <c r="X88" i="626"/>
  <c r="Q88" i="626"/>
  <c r="A88" i="626"/>
  <c r="BY87" i="626"/>
  <c r="BX87" i="626"/>
  <c r="BW87" i="626"/>
  <c r="BU87" i="626"/>
  <c r="BZ87" i="626" s="1"/>
  <c r="BT87" i="626"/>
  <c r="BH87" i="626"/>
  <c r="BV87" i="626" s="1"/>
  <c r="AY87" i="626"/>
  <c r="AX87" i="626"/>
  <c r="X87" i="626"/>
  <c r="R87" i="626"/>
  <c r="Q87" i="626"/>
  <c r="A87" i="626"/>
  <c r="BY86" i="626"/>
  <c r="BX86" i="626"/>
  <c r="BW86" i="626"/>
  <c r="BU86" i="626"/>
  <c r="BT86" i="626"/>
  <c r="BZ86" i="626" s="1"/>
  <c r="BH86" i="626"/>
  <c r="BV86" i="626"/>
  <c r="AY86" i="626"/>
  <c r="AZ86" i="626" s="1"/>
  <c r="CA86" i="626" s="1"/>
  <c r="AX86" i="626"/>
  <c r="X86" i="626"/>
  <c r="R86" i="626"/>
  <c r="Q86" i="626"/>
  <c r="A86" i="626"/>
  <c r="BY85" i="626"/>
  <c r="BX85" i="626"/>
  <c r="BW85" i="626"/>
  <c r="BU85" i="626"/>
  <c r="BT85" i="626"/>
  <c r="BH85" i="626"/>
  <c r="BV85" i="626" s="1"/>
  <c r="AY85" i="626"/>
  <c r="AX85" i="626"/>
  <c r="X85" i="626"/>
  <c r="R85" i="626"/>
  <c r="Q85" i="626"/>
  <c r="A85" i="626"/>
  <c r="BY84" i="626"/>
  <c r="BX84" i="626"/>
  <c r="BW84" i="626"/>
  <c r="BU84" i="626"/>
  <c r="BT84" i="626"/>
  <c r="BZ84" i="626" s="1"/>
  <c r="BH84" i="626"/>
  <c r="BV84" i="626"/>
  <c r="AY84" i="626"/>
  <c r="AX84" i="626"/>
  <c r="AZ84" i="626" s="1"/>
  <c r="X84" i="626"/>
  <c r="R84" i="626"/>
  <c r="Q84" i="626"/>
  <c r="A84" i="626"/>
  <c r="BY83" i="626"/>
  <c r="BX83" i="626"/>
  <c r="BW83" i="626"/>
  <c r="BU83" i="626"/>
  <c r="BT83" i="626"/>
  <c r="BZ83" i="626" s="1"/>
  <c r="CB83" i="626" s="1"/>
  <c r="BH83" i="626"/>
  <c r="BV83" i="626"/>
  <c r="AY83" i="626"/>
  <c r="AX83" i="626"/>
  <c r="Y83" i="626"/>
  <c r="R83" i="626"/>
  <c r="Q83" i="626"/>
  <c r="A83" i="626"/>
  <c r="BY82" i="626"/>
  <c r="BX82" i="626"/>
  <c r="BW82" i="626"/>
  <c r="BU82" i="626"/>
  <c r="BT82" i="626"/>
  <c r="BH82" i="626"/>
  <c r="BV82" i="626" s="1"/>
  <c r="AY82" i="626"/>
  <c r="AX82" i="626"/>
  <c r="S82" i="626"/>
  <c r="Y82" i="626"/>
  <c r="R82" i="626"/>
  <c r="Q82" i="626"/>
  <c r="A82" i="626"/>
  <c r="BY81" i="626"/>
  <c r="BX81" i="626"/>
  <c r="BW81" i="626"/>
  <c r="BU81" i="626"/>
  <c r="BT81" i="626"/>
  <c r="BZ81" i="626" s="1"/>
  <c r="CB81" i="626" s="1"/>
  <c r="BH81" i="626"/>
  <c r="BV81" i="626"/>
  <c r="AY81" i="626"/>
  <c r="AX81" i="626"/>
  <c r="Y81" i="626"/>
  <c r="R81" i="626"/>
  <c r="Q81" i="626"/>
  <c r="A81" i="626"/>
  <c r="BY80" i="626"/>
  <c r="BX80" i="626"/>
  <c r="BW80" i="626"/>
  <c r="BU80" i="626"/>
  <c r="BT80" i="626"/>
  <c r="BZ80" i="626" s="1"/>
  <c r="BH80" i="626"/>
  <c r="BV80" i="626"/>
  <c r="AY80" i="626"/>
  <c r="AX80" i="626"/>
  <c r="AZ80" i="626" s="1"/>
  <c r="CA80" i="626" s="1"/>
  <c r="S80" i="626"/>
  <c r="Y80" i="626"/>
  <c r="R80" i="626"/>
  <c r="Q80" i="626"/>
  <c r="A80" i="626"/>
  <c r="BY79" i="626"/>
  <c r="BX79" i="626"/>
  <c r="BW79" i="626"/>
  <c r="BU79" i="626"/>
  <c r="BT79" i="626"/>
  <c r="BH79" i="626"/>
  <c r="BV79" i="626" s="1"/>
  <c r="AY79" i="626"/>
  <c r="AX79" i="626"/>
  <c r="Y79" i="626"/>
  <c r="R79" i="626"/>
  <c r="Q79" i="626"/>
  <c r="A79" i="626"/>
  <c r="BY78" i="626"/>
  <c r="BX78" i="626"/>
  <c r="BW78" i="626"/>
  <c r="BU78" i="626"/>
  <c r="BT78" i="626"/>
  <c r="BH78" i="626"/>
  <c r="BV78" i="626"/>
  <c r="AY78" i="626"/>
  <c r="AX78" i="626"/>
  <c r="AZ78" i="626" s="1"/>
  <c r="CA78" i="626" s="1"/>
  <c r="Y78" i="626"/>
  <c r="R78" i="626"/>
  <c r="Q78" i="626"/>
  <c r="A78" i="626"/>
  <c r="BY77" i="626"/>
  <c r="BX77" i="626"/>
  <c r="BW77" i="626"/>
  <c r="BU77" i="626"/>
  <c r="BT77" i="626"/>
  <c r="BZ77" i="626" s="1"/>
  <c r="CB77" i="626" s="1"/>
  <c r="BH77" i="626"/>
  <c r="BV77" i="626" s="1"/>
  <c r="AY77" i="626"/>
  <c r="AZ77" i="626" s="1"/>
  <c r="CA77" i="626" s="1"/>
  <c r="AX77" i="626"/>
  <c r="Y77" i="626"/>
  <c r="R77" i="626"/>
  <c r="Q77" i="626"/>
  <c r="A77" i="626"/>
  <c r="BY76" i="626"/>
  <c r="BX76" i="626"/>
  <c r="BW76" i="626"/>
  <c r="BU76" i="626"/>
  <c r="BT76" i="626"/>
  <c r="BH76" i="626"/>
  <c r="BV76" i="626" s="1"/>
  <c r="AY76" i="626"/>
  <c r="AX76" i="626"/>
  <c r="Y76" i="626"/>
  <c r="R76" i="626"/>
  <c r="Q76" i="626"/>
  <c r="A76" i="626"/>
  <c r="BY75" i="626"/>
  <c r="BX75" i="626"/>
  <c r="BW75" i="626"/>
  <c r="BU75" i="626"/>
  <c r="BT75" i="626"/>
  <c r="BH75" i="626"/>
  <c r="BV75" i="626" s="1"/>
  <c r="AY75" i="626"/>
  <c r="AZ75" i="626" s="1"/>
  <c r="AX75" i="626"/>
  <c r="Y75" i="626"/>
  <c r="R75" i="626"/>
  <c r="Q75" i="626"/>
  <c r="A75" i="626"/>
  <c r="BY74" i="626"/>
  <c r="BX74" i="626"/>
  <c r="BW74" i="626"/>
  <c r="BU74" i="626"/>
  <c r="BT74" i="626"/>
  <c r="BH74" i="626"/>
  <c r="BV74" i="626"/>
  <c r="BZ74" i="626" s="1"/>
  <c r="AY74" i="626"/>
  <c r="AZ74" i="626" s="1"/>
  <c r="CA74" i="626" s="1"/>
  <c r="AX74" i="626"/>
  <c r="X74" i="626"/>
  <c r="R74" i="626"/>
  <c r="Q74" i="626"/>
  <c r="A74" i="626"/>
  <c r="BY73" i="626"/>
  <c r="BX73" i="626"/>
  <c r="BW73" i="626"/>
  <c r="BU73" i="626"/>
  <c r="BT73" i="626"/>
  <c r="BZ73" i="626" s="1"/>
  <c r="CB73" i="626" s="1"/>
  <c r="BH73" i="626"/>
  <c r="BV73" i="626"/>
  <c r="AY73" i="626"/>
  <c r="AZ73" i="626" s="1"/>
  <c r="AX73" i="626"/>
  <c r="X73" i="626"/>
  <c r="R73" i="626"/>
  <c r="Q73" i="626"/>
  <c r="A73" i="626"/>
  <c r="BY72" i="626"/>
  <c r="BX72" i="626"/>
  <c r="BZ72" i="626" s="1"/>
  <c r="CB72" i="626" s="1"/>
  <c r="BW72" i="626"/>
  <c r="BU72" i="626"/>
  <c r="BT72" i="626"/>
  <c r="BH72" i="626"/>
  <c r="BV72" i="626" s="1"/>
  <c r="AY72" i="626"/>
  <c r="AX72" i="626"/>
  <c r="X72" i="626"/>
  <c r="R72" i="626"/>
  <c r="Q72" i="626"/>
  <c r="A72" i="626"/>
  <c r="BY71" i="626"/>
  <c r="BX71" i="626"/>
  <c r="BW71" i="626"/>
  <c r="BU71" i="626"/>
  <c r="BT71" i="626"/>
  <c r="BH71" i="626"/>
  <c r="BV71" i="626"/>
  <c r="AY71" i="626"/>
  <c r="AX71" i="626"/>
  <c r="S71" i="626"/>
  <c r="X71" i="626"/>
  <c r="R71" i="626"/>
  <c r="Q71" i="626"/>
  <c r="A71" i="626"/>
  <c r="BY70" i="626"/>
  <c r="BX70" i="626"/>
  <c r="BW70" i="626"/>
  <c r="BU70" i="626"/>
  <c r="BT70" i="626"/>
  <c r="BH70" i="626"/>
  <c r="BV70" i="626" s="1"/>
  <c r="AY70" i="626"/>
  <c r="AZ70" i="626" s="1"/>
  <c r="CA70" i="626" s="1"/>
  <c r="AX70" i="626"/>
  <c r="Y70" i="626"/>
  <c r="X70" i="626"/>
  <c r="R70" i="626"/>
  <c r="Q70" i="626"/>
  <c r="A70" i="626"/>
  <c r="BY69" i="626"/>
  <c r="BX69" i="626"/>
  <c r="BW69" i="626"/>
  <c r="BU69" i="626"/>
  <c r="BT69" i="626"/>
  <c r="BH69" i="626"/>
  <c r="BV69" i="626" s="1"/>
  <c r="AY69" i="626"/>
  <c r="AZ69" i="626" s="1"/>
  <c r="CA69" i="626" s="1"/>
  <c r="AX69" i="626"/>
  <c r="Y69" i="626"/>
  <c r="X69" i="626"/>
  <c r="R69" i="626"/>
  <c r="Q69" i="626"/>
  <c r="A69" i="626"/>
  <c r="BY68" i="626"/>
  <c r="BX68" i="626"/>
  <c r="BW68" i="626"/>
  <c r="BU68" i="626"/>
  <c r="BT68" i="626"/>
  <c r="BH68" i="626"/>
  <c r="BV68" i="626"/>
  <c r="BZ68" i="626" s="1"/>
  <c r="AY68" i="626"/>
  <c r="AZ68" i="626" s="1"/>
  <c r="CA68" i="626" s="1"/>
  <c r="AX68" i="626"/>
  <c r="S68" i="626"/>
  <c r="X68" i="626"/>
  <c r="R68" i="626"/>
  <c r="Q68" i="626"/>
  <c r="A68" i="626"/>
  <c r="BY67" i="626"/>
  <c r="BX67" i="626"/>
  <c r="BW67" i="626"/>
  <c r="BV67" i="626"/>
  <c r="BU67" i="626"/>
  <c r="BT67" i="626"/>
  <c r="BZ67" i="626"/>
  <c r="CB67" i="626" s="1"/>
  <c r="AY67" i="626"/>
  <c r="AZ67" i="626" s="1"/>
  <c r="CA67" i="626" s="1"/>
  <c r="AX67" i="626"/>
  <c r="R67" i="626"/>
  <c r="Q67" i="626"/>
  <c r="BY66" i="626"/>
  <c r="BX66" i="626"/>
  <c r="BW66" i="626"/>
  <c r="BZ66" i="626" s="1"/>
  <c r="BU66" i="626"/>
  <c r="BT66" i="626"/>
  <c r="BH66" i="626"/>
  <c r="BV66" i="626"/>
  <c r="AY66" i="626"/>
  <c r="AX66" i="626"/>
  <c r="Y66" i="626"/>
  <c r="X66" i="626"/>
  <c r="R66" i="626"/>
  <c r="Q66" i="626"/>
  <c r="A66" i="626"/>
  <c r="BY65" i="626"/>
  <c r="BX65" i="626"/>
  <c r="BZ65" i="626" s="1"/>
  <c r="BW65" i="626"/>
  <c r="BU65" i="626"/>
  <c r="BT65" i="626"/>
  <c r="BH65" i="626"/>
  <c r="BV65" i="626"/>
  <c r="AY65" i="626"/>
  <c r="AX65" i="626"/>
  <c r="Y65" i="626"/>
  <c r="X65" i="626"/>
  <c r="R65" i="626"/>
  <c r="Q65" i="626"/>
  <c r="A65" i="626"/>
  <c r="BY64" i="626"/>
  <c r="BX64" i="626"/>
  <c r="BW64" i="626"/>
  <c r="BU64" i="626"/>
  <c r="BT64" i="626"/>
  <c r="BH64" i="626"/>
  <c r="BV64" i="626" s="1"/>
  <c r="AY64" i="626"/>
  <c r="AZ64" i="626" s="1"/>
  <c r="CA64" i="626" s="1"/>
  <c r="AX64" i="626"/>
  <c r="Y64" i="626"/>
  <c r="X64" i="626"/>
  <c r="R64" i="626"/>
  <c r="Q64" i="626"/>
  <c r="A64" i="626"/>
  <c r="BY63" i="626"/>
  <c r="BX63" i="626"/>
  <c r="BW63" i="626"/>
  <c r="BU63" i="626"/>
  <c r="BT63" i="626"/>
  <c r="BH63" i="626"/>
  <c r="BV63" i="626"/>
  <c r="AY63" i="626"/>
  <c r="AX63" i="626"/>
  <c r="Y63" i="626"/>
  <c r="X63" i="626"/>
  <c r="R63" i="626"/>
  <c r="Q63" i="626"/>
  <c r="A63" i="626"/>
  <c r="BY62" i="626"/>
  <c r="BX62" i="626"/>
  <c r="BW62" i="626"/>
  <c r="BU62" i="626"/>
  <c r="BT62" i="626"/>
  <c r="BH62" i="626"/>
  <c r="BV62" i="626"/>
  <c r="AY62" i="626"/>
  <c r="AX62" i="626"/>
  <c r="Y62" i="626"/>
  <c r="X62" i="626"/>
  <c r="R62" i="626"/>
  <c r="Q62" i="626"/>
  <c r="A62" i="626"/>
  <c r="BY61" i="626"/>
  <c r="BX61" i="626"/>
  <c r="BW61" i="626"/>
  <c r="BU61" i="626"/>
  <c r="BT61" i="626"/>
  <c r="BH61" i="626"/>
  <c r="BV61" i="626" s="1"/>
  <c r="AY61" i="626"/>
  <c r="AX61" i="626"/>
  <c r="Y61" i="626"/>
  <c r="X61" i="626"/>
  <c r="R61" i="626"/>
  <c r="Q61" i="626"/>
  <c r="A61" i="626"/>
  <c r="BY60" i="626"/>
  <c r="BX60" i="626"/>
  <c r="BW60" i="626"/>
  <c r="BU60" i="626"/>
  <c r="BT60" i="626"/>
  <c r="BH60" i="626"/>
  <c r="BV60" i="626"/>
  <c r="AY60" i="626"/>
  <c r="AZ60" i="626" s="1"/>
  <c r="CA60" i="626" s="1"/>
  <c r="AX60" i="626"/>
  <c r="Y60" i="626"/>
  <c r="X60" i="626"/>
  <c r="R60" i="626"/>
  <c r="Q60" i="626"/>
  <c r="A60" i="626"/>
  <c r="BY59" i="626"/>
  <c r="BX59" i="626"/>
  <c r="BW59" i="626"/>
  <c r="BU59" i="626"/>
  <c r="BT59" i="626"/>
  <c r="BZ59" i="626" s="1"/>
  <c r="BH59" i="626"/>
  <c r="BV59" i="626" s="1"/>
  <c r="AY59" i="626"/>
  <c r="AZ59" i="626" s="1"/>
  <c r="CA59" i="626" s="1"/>
  <c r="AX59" i="626"/>
  <c r="X59" i="626"/>
  <c r="R59" i="626"/>
  <c r="Q59" i="626"/>
  <c r="A59" i="626"/>
  <c r="BY58" i="626"/>
  <c r="BX58" i="626"/>
  <c r="BW58" i="626"/>
  <c r="BU58" i="626"/>
  <c r="BT58" i="626"/>
  <c r="BH58" i="626"/>
  <c r="BV58" i="626" s="1"/>
  <c r="AY58" i="626"/>
  <c r="AX58" i="626"/>
  <c r="Y58" i="626"/>
  <c r="R58" i="626"/>
  <c r="Q58" i="626"/>
  <c r="A58" i="626"/>
  <c r="BY57" i="626"/>
  <c r="BX57" i="626"/>
  <c r="BW57" i="626"/>
  <c r="BU57" i="626"/>
  <c r="BT57" i="626"/>
  <c r="BG57" i="626"/>
  <c r="BH57" i="626"/>
  <c r="BV57" i="626" s="1"/>
  <c r="AY57" i="626"/>
  <c r="AX57" i="626"/>
  <c r="AZ57" i="626" s="1"/>
  <c r="CA57" i="626" s="1"/>
  <c r="X57" i="626"/>
  <c r="R57" i="626"/>
  <c r="Q57" i="626"/>
  <c r="A57" i="626"/>
  <c r="BY56" i="626"/>
  <c r="BX56" i="626"/>
  <c r="BW56" i="626"/>
  <c r="BU56" i="626"/>
  <c r="BT56" i="626"/>
  <c r="BH56" i="626"/>
  <c r="BV56" i="626" s="1"/>
  <c r="AY56" i="626"/>
  <c r="AX56" i="626"/>
  <c r="Y56" i="626"/>
  <c r="R56" i="626"/>
  <c r="Q56" i="626"/>
  <c r="A56" i="626"/>
  <c r="BY55" i="626"/>
  <c r="BX55" i="626"/>
  <c r="BW55" i="626"/>
  <c r="BU55" i="626"/>
  <c r="BT55" i="626"/>
  <c r="BH55" i="626"/>
  <c r="BV55" i="626" s="1"/>
  <c r="AY55" i="626"/>
  <c r="AX55" i="626"/>
  <c r="X55" i="626"/>
  <c r="R55" i="626"/>
  <c r="Q55" i="626"/>
  <c r="A55" i="626"/>
  <c r="BY54" i="626"/>
  <c r="BX54" i="626"/>
  <c r="BW54" i="626"/>
  <c r="BU54" i="626"/>
  <c r="BT54" i="626"/>
  <c r="BH54" i="626"/>
  <c r="BV54" i="626" s="1"/>
  <c r="AY54" i="626"/>
  <c r="AX54" i="626"/>
  <c r="S54" i="626"/>
  <c r="X54" i="626"/>
  <c r="R54" i="626"/>
  <c r="Q54" i="626"/>
  <c r="A54" i="626"/>
  <c r="BY53" i="626"/>
  <c r="BX53" i="626"/>
  <c r="BW53" i="626"/>
  <c r="BU53" i="626"/>
  <c r="BT53" i="626"/>
  <c r="BH53" i="626"/>
  <c r="BV53" i="626" s="1"/>
  <c r="AY53" i="626"/>
  <c r="AX53" i="626"/>
  <c r="Y53" i="626"/>
  <c r="R53" i="626"/>
  <c r="Q53" i="626"/>
  <c r="A53" i="626"/>
  <c r="BY52" i="626"/>
  <c r="BX52" i="626"/>
  <c r="BW52" i="626"/>
  <c r="BU52" i="626"/>
  <c r="BT52" i="626"/>
  <c r="BZ52" i="626" s="1"/>
  <c r="BH52" i="626"/>
  <c r="BV52" i="626" s="1"/>
  <c r="AY52" i="626"/>
  <c r="AX52" i="626"/>
  <c r="AZ52" i="626" s="1"/>
  <c r="CA52" i="626" s="1"/>
  <c r="Y52" i="626"/>
  <c r="R52" i="626"/>
  <c r="Q52" i="626"/>
  <c r="A52" i="626"/>
  <c r="BY51" i="626"/>
  <c r="BX51" i="626"/>
  <c r="BW51" i="626"/>
  <c r="BU51" i="626"/>
  <c r="BT51" i="626"/>
  <c r="BH51" i="626"/>
  <c r="BV51" i="626" s="1"/>
  <c r="AY51" i="626"/>
  <c r="AZ51" i="626" s="1"/>
  <c r="CA51" i="626" s="1"/>
  <c r="AX51" i="626"/>
  <c r="Y51" i="626"/>
  <c r="R51" i="626"/>
  <c r="Q51" i="626"/>
  <c r="A51" i="626"/>
  <c r="BY50" i="626"/>
  <c r="BX50" i="626"/>
  <c r="BW50" i="626"/>
  <c r="BU50" i="626"/>
  <c r="BZ50" i="626" s="1"/>
  <c r="CB50" i="626" s="1"/>
  <c r="BT50" i="626"/>
  <c r="BH50" i="626"/>
  <c r="BV50" i="626" s="1"/>
  <c r="AY50" i="626"/>
  <c r="AX50" i="626"/>
  <c r="AZ50" i="626" s="1"/>
  <c r="Y50" i="626"/>
  <c r="R50" i="626"/>
  <c r="Q50" i="626"/>
  <c r="A50" i="626"/>
  <c r="BY49" i="626"/>
  <c r="BX49" i="626"/>
  <c r="BW49" i="626"/>
  <c r="BU49" i="626"/>
  <c r="BT49" i="626"/>
  <c r="BH49" i="626"/>
  <c r="BV49" i="626"/>
  <c r="AY49" i="626"/>
  <c r="AX49" i="626"/>
  <c r="Y49" i="626"/>
  <c r="R49" i="626"/>
  <c r="Q49" i="626"/>
  <c r="A49" i="626"/>
  <c r="BY48" i="626"/>
  <c r="BX48" i="626"/>
  <c r="BW48" i="626"/>
  <c r="BU48" i="626"/>
  <c r="BT48" i="626"/>
  <c r="BH48" i="626"/>
  <c r="BV48" i="626"/>
  <c r="AY48" i="626"/>
  <c r="AX48" i="626"/>
  <c r="Y48" i="626"/>
  <c r="R48" i="626"/>
  <c r="Q48" i="626"/>
  <c r="A48" i="626"/>
  <c r="BY47" i="626"/>
  <c r="BX47" i="626"/>
  <c r="BW47" i="626"/>
  <c r="BU47" i="626"/>
  <c r="BT47" i="626"/>
  <c r="BZ47" i="626" s="1"/>
  <c r="CB47" i="626" s="1"/>
  <c r="BH47" i="626"/>
  <c r="BV47" i="626"/>
  <c r="AY47" i="626"/>
  <c r="AZ47" i="626" s="1"/>
  <c r="CA47" i="626" s="1"/>
  <c r="AX47" i="626"/>
  <c r="Y47" i="626"/>
  <c r="R47" i="626"/>
  <c r="Q47" i="626"/>
  <c r="A47" i="626"/>
  <c r="BY46" i="626"/>
  <c r="BX46" i="626"/>
  <c r="BW46" i="626"/>
  <c r="BU46" i="626"/>
  <c r="BT46" i="626"/>
  <c r="BH46" i="626"/>
  <c r="BV46" i="626" s="1"/>
  <c r="BZ46" i="626" s="1"/>
  <c r="CB46" i="626" s="1"/>
  <c r="AY46" i="626"/>
  <c r="AZ46" i="626" s="1"/>
  <c r="CA46" i="626" s="1"/>
  <c r="AX46" i="626"/>
  <c r="X46" i="626"/>
  <c r="R46" i="626"/>
  <c r="Q46" i="626"/>
  <c r="A46" i="626"/>
  <c r="BY45" i="626"/>
  <c r="BX45" i="626"/>
  <c r="BW45" i="626"/>
  <c r="BU45" i="626"/>
  <c r="BT45" i="626"/>
  <c r="BH45" i="626"/>
  <c r="BV45" i="626"/>
  <c r="AY45" i="626"/>
  <c r="AX45" i="626"/>
  <c r="X45" i="626"/>
  <c r="R45" i="626"/>
  <c r="Q45" i="626"/>
  <c r="A45" i="626"/>
  <c r="BY44" i="626"/>
  <c r="BX44" i="626"/>
  <c r="BW44" i="626"/>
  <c r="BU44" i="626"/>
  <c r="BT44" i="626"/>
  <c r="BH44" i="626"/>
  <c r="BV44" i="626"/>
  <c r="BZ44" i="626" s="1"/>
  <c r="AY44" i="626"/>
  <c r="AX44" i="626"/>
  <c r="X44" i="626"/>
  <c r="R44" i="626"/>
  <c r="Q44" i="626"/>
  <c r="A44" i="626"/>
  <c r="BY43" i="626"/>
  <c r="BX43" i="626"/>
  <c r="BW43" i="626"/>
  <c r="BU43" i="626"/>
  <c r="BT43" i="626"/>
  <c r="BZ43" i="626" s="1"/>
  <c r="CB43" i="626" s="1"/>
  <c r="BH43" i="626"/>
  <c r="BV43" i="626"/>
  <c r="AY43" i="626"/>
  <c r="AX43" i="626"/>
  <c r="S43" i="626"/>
  <c r="X43" i="626" s="1"/>
  <c r="R43" i="626"/>
  <c r="Q43" i="626"/>
  <c r="A43" i="626"/>
  <c r="BY42" i="626"/>
  <c r="BX42" i="626"/>
  <c r="BW42" i="626"/>
  <c r="BU42" i="626"/>
  <c r="BT42" i="626"/>
  <c r="BH42" i="626"/>
  <c r="BV42" i="626"/>
  <c r="AY42" i="626"/>
  <c r="AX42" i="626"/>
  <c r="X42" i="626"/>
  <c r="R42" i="626"/>
  <c r="Q42" i="626"/>
  <c r="A42" i="626"/>
  <c r="BY41" i="626"/>
  <c r="BX41" i="626"/>
  <c r="BW41" i="626"/>
  <c r="BU41" i="626"/>
  <c r="BT41" i="626"/>
  <c r="BH41" i="626"/>
  <c r="BV41" i="626"/>
  <c r="AY41" i="626"/>
  <c r="AZ41" i="626" s="1"/>
  <c r="CA41" i="626" s="1"/>
  <c r="AX41" i="626"/>
  <c r="Y41" i="626"/>
  <c r="R41" i="626"/>
  <c r="Q41" i="626"/>
  <c r="A41" i="626"/>
  <c r="BY40" i="626"/>
  <c r="BX40" i="626"/>
  <c r="BW40" i="626"/>
  <c r="BU40" i="626"/>
  <c r="BT40" i="626"/>
  <c r="BH40" i="626"/>
  <c r="BV40" i="626" s="1"/>
  <c r="AY40" i="626"/>
  <c r="AZ40" i="626" s="1"/>
  <c r="CA40" i="626" s="1"/>
  <c r="AX40" i="626"/>
  <c r="Y40" i="626"/>
  <c r="R40" i="626"/>
  <c r="Q40" i="626"/>
  <c r="A40" i="626"/>
  <c r="BY39" i="626"/>
  <c r="BX39" i="626"/>
  <c r="BW39" i="626"/>
  <c r="BU39" i="626"/>
  <c r="BT39" i="626"/>
  <c r="BH39" i="626"/>
  <c r="BV39" i="626" s="1"/>
  <c r="AY39" i="626"/>
  <c r="AX39" i="626"/>
  <c r="Y39" i="626"/>
  <c r="R39" i="626"/>
  <c r="Q39" i="626"/>
  <c r="A39" i="626"/>
  <c r="BY38" i="626"/>
  <c r="BX38" i="626"/>
  <c r="BW38" i="626"/>
  <c r="BU38" i="626"/>
  <c r="BT38" i="626"/>
  <c r="BH38" i="626"/>
  <c r="BV38" i="626" s="1"/>
  <c r="BZ38" i="626" s="1"/>
  <c r="AY38" i="626"/>
  <c r="AX38" i="626"/>
  <c r="Y38" i="626"/>
  <c r="R38" i="626"/>
  <c r="Q38" i="626"/>
  <c r="A38" i="626"/>
  <c r="BY37" i="626"/>
  <c r="BX37" i="626"/>
  <c r="BW37" i="626"/>
  <c r="BU37" i="626"/>
  <c r="BT37" i="626"/>
  <c r="BH37" i="626"/>
  <c r="BV37" i="626"/>
  <c r="AY37" i="626"/>
  <c r="AX37" i="626"/>
  <c r="Y37" i="626"/>
  <c r="R37" i="626"/>
  <c r="Q37" i="626"/>
  <c r="A37" i="626"/>
  <c r="BY36" i="626"/>
  <c r="BX36" i="626"/>
  <c r="BW36" i="626"/>
  <c r="BU36" i="626"/>
  <c r="BT36" i="626"/>
  <c r="BH36" i="626"/>
  <c r="BV36" i="626" s="1"/>
  <c r="AY36" i="626"/>
  <c r="AX36" i="626"/>
  <c r="Y36" i="626"/>
  <c r="R36" i="626"/>
  <c r="Q36" i="626"/>
  <c r="A36" i="626"/>
  <c r="BY35" i="626"/>
  <c r="BX35" i="626"/>
  <c r="BW35" i="626"/>
  <c r="BU35" i="626"/>
  <c r="BT35" i="626"/>
  <c r="BH35" i="626"/>
  <c r="BV35" i="626"/>
  <c r="BZ35" i="626" s="1"/>
  <c r="CB35" i="626" s="1"/>
  <c r="AY35" i="626"/>
  <c r="AX35" i="626"/>
  <c r="X35" i="626"/>
  <c r="Q35" i="626"/>
  <c r="A35" i="626"/>
  <c r="BY34" i="626"/>
  <c r="BX34" i="626"/>
  <c r="BW34" i="626"/>
  <c r="BU34" i="626"/>
  <c r="BT34" i="626"/>
  <c r="BH34" i="626"/>
  <c r="BV34" i="626" s="1"/>
  <c r="AY34" i="626"/>
  <c r="AX34" i="626"/>
  <c r="S34" i="626"/>
  <c r="X34" i="626"/>
  <c r="Q34" i="626"/>
  <c r="A34" i="626"/>
  <c r="BY33" i="626"/>
  <c r="BX33" i="626"/>
  <c r="BZ33" i="626" s="1"/>
  <c r="BW33" i="626"/>
  <c r="BU33" i="626"/>
  <c r="BT33" i="626"/>
  <c r="BH33" i="626"/>
  <c r="BV33" i="626" s="1"/>
  <c r="AY33" i="626"/>
  <c r="AX33" i="626"/>
  <c r="X33" i="626"/>
  <c r="R33" i="626"/>
  <c r="Q33" i="626"/>
  <c r="A33" i="626"/>
  <c r="BY32" i="626"/>
  <c r="BX32" i="626"/>
  <c r="BW32" i="626"/>
  <c r="BU32" i="626"/>
  <c r="BT32" i="626"/>
  <c r="BH32" i="626"/>
  <c r="BV32" i="626" s="1"/>
  <c r="AY32" i="626"/>
  <c r="AX32" i="626"/>
  <c r="S32" i="626"/>
  <c r="R32" i="626"/>
  <c r="Q32" i="626"/>
  <c r="A32" i="626"/>
  <c r="BY31" i="626"/>
  <c r="BX31" i="626"/>
  <c r="BW31" i="626"/>
  <c r="BU31" i="626"/>
  <c r="BT31" i="626"/>
  <c r="BZ31" i="626" s="1"/>
  <c r="CB31" i="626" s="1"/>
  <c r="BH31" i="626"/>
  <c r="BV31" i="626"/>
  <c r="AY31" i="626"/>
  <c r="AX31" i="626"/>
  <c r="AZ31" i="626" s="1"/>
  <c r="CA31" i="626" s="1"/>
  <c r="Y31" i="626"/>
  <c r="R31" i="626"/>
  <c r="Q31" i="626"/>
  <c r="A31" i="626"/>
  <c r="BY30" i="626"/>
  <c r="BX30" i="626"/>
  <c r="BW30" i="626"/>
  <c r="BU30" i="626"/>
  <c r="BT30" i="626"/>
  <c r="BH30" i="626"/>
  <c r="BV30" i="626"/>
  <c r="AY30" i="626"/>
  <c r="AX30" i="626"/>
  <c r="AZ30" i="626" s="1"/>
  <c r="CA30" i="626" s="1"/>
  <c r="Y30" i="626"/>
  <c r="R30" i="626"/>
  <c r="Q30" i="626"/>
  <c r="A30" i="626"/>
  <c r="BY29" i="626"/>
  <c r="BX29" i="626"/>
  <c r="BW29" i="626"/>
  <c r="BU29" i="626"/>
  <c r="BT29" i="626"/>
  <c r="BH29" i="626"/>
  <c r="BV29" i="626" s="1"/>
  <c r="AY29" i="626"/>
  <c r="AX29" i="626"/>
  <c r="Y29" i="626"/>
  <c r="R29" i="626"/>
  <c r="Q29" i="626"/>
  <c r="A29" i="626"/>
  <c r="BY28" i="626"/>
  <c r="BX28" i="626"/>
  <c r="BW28" i="626"/>
  <c r="BU28" i="626"/>
  <c r="BT28" i="626"/>
  <c r="BH28" i="626"/>
  <c r="BV28" i="626"/>
  <c r="AY28" i="626"/>
  <c r="AX28" i="626"/>
  <c r="Y28" i="626"/>
  <c r="R28" i="626"/>
  <c r="Q28" i="626"/>
  <c r="A28" i="626"/>
  <c r="BY27" i="626"/>
  <c r="BX27" i="626"/>
  <c r="BW27" i="626"/>
  <c r="BU27" i="626"/>
  <c r="BT27" i="626"/>
  <c r="BH27" i="626"/>
  <c r="BV27" i="626" s="1"/>
  <c r="AY27" i="626"/>
  <c r="AZ27" i="626" s="1"/>
  <c r="CA27" i="626" s="1"/>
  <c r="AX27" i="626"/>
  <c r="Y27" i="626"/>
  <c r="R27" i="626"/>
  <c r="Q27" i="626"/>
  <c r="A27" i="626"/>
  <c r="BY26" i="626"/>
  <c r="BZ26" i="626" s="1"/>
  <c r="CB26" i="626" s="1"/>
  <c r="BX26" i="626"/>
  <c r="BW26" i="626"/>
  <c r="BU26" i="626"/>
  <c r="BT26" i="626"/>
  <c r="BH26" i="626"/>
  <c r="BV26" i="626"/>
  <c r="AY26" i="626"/>
  <c r="AX26" i="626"/>
  <c r="Y26" i="626"/>
  <c r="R26" i="626"/>
  <c r="Q26" i="626"/>
  <c r="A26" i="626"/>
  <c r="BY25" i="626"/>
  <c r="BX25" i="626"/>
  <c r="BW25" i="626"/>
  <c r="BU25" i="626"/>
  <c r="BT25" i="626"/>
  <c r="BH25" i="626"/>
  <c r="BV25" i="626"/>
  <c r="AY25" i="626"/>
  <c r="AZ25" i="626" s="1"/>
  <c r="CA25" i="626" s="1"/>
  <c r="AX25" i="626"/>
  <c r="X25" i="626"/>
  <c r="R25" i="626"/>
  <c r="Q25" i="626"/>
  <c r="A25" i="626"/>
  <c r="BY24" i="626"/>
  <c r="BX24" i="626"/>
  <c r="BW24" i="626"/>
  <c r="BU24" i="626"/>
  <c r="BT24" i="626"/>
  <c r="BH24" i="626"/>
  <c r="BV24" i="626"/>
  <c r="AY24" i="626"/>
  <c r="AX24" i="626"/>
  <c r="Y24" i="626"/>
  <c r="R24" i="626"/>
  <c r="Q24" i="626"/>
  <c r="A24" i="626"/>
  <c r="BY23" i="626"/>
  <c r="BX23" i="626"/>
  <c r="BW23" i="626"/>
  <c r="BU23" i="626"/>
  <c r="BT23" i="626"/>
  <c r="BH23" i="626"/>
  <c r="BV23" i="626" s="1"/>
  <c r="AY23" i="626"/>
  <c r="AX23" i="626"/>
  <c r="Y23" i="626"/>
  <c r="R23" i="626"/>
  <c r="Q23" i="626"/>
  <c r="A23" i="626"/>
  <c r="BY22" i="626"/>
  <c r="BX22" i="626"/>
  <c r="BZ22" i="626" s="1"/>
  <c r="BW22" i="626"/>
  <c r="BU22" i="626"/>
  <c r="BT22" i="626"/>
  <c r="BH22" i="626"/>
  <c r="BV22" i="626"/>
  <c r="AY22" i="626"/>
  <c r="AX22" i="626"/>
  <c r="Y22" i="626"/>
  <c r="R22" i="626"/>
  <c r="Q22" i="626"/>
  <c r="A22" i="626"/>
  <c r="BY21" i="626"/>
  <c r="BX21" i="626"/>
  <c r="BW21" i="626"/>
  <c r="BU21" i="626"/>
  <c r="BT21" i="626"/>
  <c r="BH21" i="626"/>
  <c r="BV21" i="626"/>
  <c r="BZ21" i="626" s="1"/>
  <c r="AY21" i="626"/>
  <c r="AX21" i="626"/>
  <c r="Y21" i="626"/>
  <c r="R21" i="626"/>
  <c r="Q21" i="626"/>
  <c r="A21" i="626"/>
  <c r="BY20" i="626"/>
  <c r="BX20" i="626"/>
  <c r="BW20" i="626"/>
  <c r="BU20" i="626"/>
  <c r="BT20" i="626"/>
  <c r="BH20" i="626"/>
  <c r="BV20" i="626"/>
  <c r="AY20" i="626"/>
  <c r="AX20" i="626"/>
  <c r="X20" i="626"/>
  <c r="R20" i="626"/>
  <c r="Q20" i="626"/>
  <c r="A20" i="626"/>
  <c r="BY19" i="626"/>
  <c r="BX19" i="626"/>
  <c r="BW19" i="626"/>
  <c r="BU19" i="626"/>
  <c r="BT19" i="626"/>
  <c r="BH19" i="626"/>
  <c r="BV19" i="626" s="1"/>
  <c r="AY19" i="626"/>
  <c r="AZ19" i="626" s="1"/>
  <c r="CA19" i="626" s="1"/>
  <c r="AX19" i="626"/>
  <c r="X19" i="626"/>
  <c r="R19" i="626"/>
  <c r="Q19" i="626"/>
  <c r="A19" i="626"/>
  <c r="BY18" i="626"/>
  <c r="BZ18" i="626" s="1"/>
  <c r="BX18" i="626"/>
  <c r="BW18" i="626"/>
  <c r="BU18" i="626"/>
  <c r="BT18" i="626"/>
  <c r="BH18" i="626"/>
  <c r="BV18" i="626"/>
  <c r="AY18" i="626"/>
  <c r="AZ18" i="626" s="1"/>
  <c r="CA18" i="626" s="1"/>
  <c r="AX18" i="626"/>
  <c r="X18" i="626"/>
  <c r="R18" i="626"/>
  <c r="Q18" i="626"/>
  <c r="A18" i="626"/>
  <c r="BY17" i="626"/>
  <c r="BX17" i="626"/>
  <c r="BW17" i="626"/>
  <c r="BU17" i="626"/>
  <c r="BT17" i="626"/>
  <c r="BH17" i="626"/>
  <c r="BV17" i="626"/>
  <c r="AY17" i="626"/>
  <c r="AZ17" i="626" s="1"/>
  <c r="CA17" i="626" s="1"/>
  <c r="AX17" i="626"/>
  <c r="AO17" i="626"/>
  <c r="R17" i="626"/>
  <c r="Q17" i="626"/>
  <c r="A17" i="626"/>
  <c r="BY16" i="626"/>
  <c r="BX16" i="626"/>
  <c r="BW16" i="626"/>
  <c r="BU16" i="626"/>
  <c r="BT16" i="626"/>
  <c r="BH16" i="626"/>
  <c r="BV16" i="626"/>
  <c r="AY16" i="626"/>
  <c r="AX16" i="626"/>
  <c r="AO16" i="626"/>
  <c r="R16" i="626"/>
  <c r="Q16" i="626"/>
  <c r="A16" i="626"/>
  <c r="BY15" i="626"/>
  <c r="BX15" i="626"/>
  <c r="BZ15" i="626" s="1"/>
  <c r="BW15" i="626"/>
  <c r="BU15" i="626"/>
  <c r="BT15" i="626"/>
  <c r="BH15" i="626"/>
  <c r="BV15" i="626"/>
  <c r="AY15" i="626"/>
  <c r="AX15" i="626"/>
  <c r="AZ15" i="626" s="1"/>
  <c r="CA15" i="626" s="1"/>
  <c r="AO15" i="626"/>
  <c r="R15" i="626"/>
  <c r="Q15" i="626"/>
  <c r="A15" i="626"/>
  <c r="BY14" i="626"/>
  <c r="BZ14" i="626" s="1"/>
  <c r="BX14" i="626"/>
  <c r="BW14" i="626"/>
  <c r="BU14" i="626"/>
  <c r="BT14" i="626"/>
  <c r="BH14" i="626"/>
  <c r="BV14" i="626"/>
  <c r="AY14" i="626"/>
  <c r="AX14" i="626"/>
  <c r="AO14" i="626"/>
  <c r="R14" i="626"/>
  <c r="Q14" i="626"/>
  <c r="A14" i="626"/>
  <c r="BY13" i="626"/>
  <c r="BX13" i="626"/>
  <c r="BW13" i="626"/>
  <c r="BZ13" i="626" s="1"/>
  <c r="BU13" i="626"/>
  <c r="BT13" i="626"/>
  <c r="BH13" i="626"/>
  <c r="BV13" i="626" s="1"/>
  <c r="AY13" i="626"/>
  <c r="AX13" i="626"/>
  <c r="AO13" i="626"/>
  <c r="R13" i="626"/>
  <c r="Q13" i="626"/>
  <c r="A13" i="626"/>
  <c r="BY12" i="626"/>
  <c r="BX12" i="626"/>
  <c r="BW12" i="626"/>
  <c r="BU12" i="626"/>
  <c r="BT12" i="626"/>
  <c r="BH12" i="626"/>
  <c r="BV12" i="626" s="1"/>
  <c r="AY12" i="626"/>
  <c r="AX12" i="626"/>
  <c r="AZ12" i="626" s="1"/>
  <c r="CA12" i="626" s="1"/>
  <c r="AO12" i="626"/>
  <c r="R12" i="626"/>
  <c r="Q12" i="626"/>
  <c r="A12" i="626"/>
  <c r="BY11" i="626"/>
  <c r="BX11" i="626"/>
  <c r="BW11" i="626"/>
  <c r="BU11" i="626"/>
  <c r="BT11" i="626"/>
  <c r="BH11" i="626"/>
  <c r="BV11" i="626" s="1"/>
  <c r="AY11" i="626"/>
  <c r="AZ11" i="626" s="1"/>
  <c r="CA11" i="626" s="1"/>
  <c r="AX11" i="626"/>
  <c r="AO11" i="626"/>
  <c r="R11" i="626"/>
  <c r="Q11" i="626"/>
  <c r="A11" i="626"/>
  <c r="BY10" i="626"/>
  <c r="BX10" i="626"/>
  <c r="BW10" i="626"/>
  <c r="BU10" i="626"/>
  <c r="BT10" i="626"/>
  <c r="BH10" i="626"/>
  <c r="BV10" i="626"/>
  <c r="AY10" i="626"/>
  <c r="AX10" i="626"/>
  <c r="AZ10" i="626" s="1"/>
  <c r="CA10" i="626" s="1"/>
  <c r="AO10" i="626"/>
  <c r="R10" i="626"/>
  <c r="Q10" i="626"/>
  <c r="A10" i="626"/>
  <c r="BY9" i="626"/>
  <c r="BX9" i="626"/>
  <c r="BW9" i="626"/>
  <c r="BU9" i="626"/>
  <c r="BT9" i="626"/>
  <c r="BH9" i="626"/>
  <c r="BV9" i="626" s="1"/>
  <c r="BZ9" i="626" s="1"/>
  <c r="CB9" i="626" s="1"/>
  <c r="AY9" i="626"/>
  <c r="AX9" i="626"/>
  <c r="R9" i="626"/>
  <c r="Q9" i="626"/>
  <c r="A9" i="626"/>
  <c r="BY8" i="626"/>
  <c r="BX8" i="626"/>
  <c r="BW8" i="626"/>
  <c r="BU8" i="626"/>
  <c r="BT8" i="626"/>
  <c r="BH8" i="626"/>
  <c r="BV8" i="626" s="1"/>
  <c r="AY8" i="626"/>
  <c r="AX8" i="626"/>
  <c r="AO8" i="626"/>
  <c r="R8" i="626"/>
  <c r="Q8" i="626"/>
  <c r="A8" i="626"/>
  <c r="BY7" i="626"/>
  <c r="BZ7" i="626" s="1"/>
  <c r="BX7" i="626"/>
  <c r="BW7" i="626"/>
  <c r="BU7" i="626"/>
  <c r="BT7" i="626"/>
  <c r="BH7" i="626"/>
  <c r="BV7" i="626"/>
  <c r="AY7" i="626"/>
  <c r="AZ7" i="626" s="1"/>
  <c r="CA7" i="626" s="1"/>
  <c r="AX7" i="626"/>
  <c r="AO7" i="626"/>
  <c r="R7" i="626"/>
  <c r="Q7" i="626"/>
  <c r="A7" i="626"/>
  <c r="BY6" i="626"/>
  <c r="BZ6" i="626" s="1"/>
  <c r="BX6" i="626"/>
  <c r="BW6" i="626"/>
  <c r="BV6" i="626"/>
  <c r="BU6" i="626"/>
  <c r="BT6" i="626"/>
  <c r="AY6" i="626"/>
  <c r="AX6" i="626"/>
  <c r="AZ6" i="626" s="1"/>
  <c r="CA6" i="626" s="1"/>
  <c r="AN6" i="626"/>
  <c r="A6" i="626"/>
  <c r="BY5" i="626"/>
  <c r="BX5" i="626"/>
  <c r="BW5" i="626"/>
  <c r="BV5" i="626"/>
  <c r="BU5" i="626"/>
  <c r="BT5" i="626"/>
  <c r="BZ5" i="626" s="1"/>
  <c r="AY5" i="626"/>
  <c r="AX5" i="626"/>
  <c r="AN5" i="626"/>
  <c r="AN191" i="626" s="1"/>
  <c r="A5" i="626"/>
  <c r="BY4" i="626"/>
  <c r="BZ4" i="626" s="1"/>
  <c r="BX4" i="626"/>
  <c r="BW4" i="626"/>
  <c r="BV4" i="626"/>
  <c r="BU4" i="626"/>
  <c r="BT4" i="626"/>
  <c r="AY4" i="626"/>
  <c r="AZ4" i="626" s="1"/>
  <c r="CA4" i="626" s="1"/>
  <c r="AX4" i="626"/>
  <c r="AN4" i="626"/>
  <c r="A4" i="626"/>
  <c r="H242" i="615"/>
  <c r="H237" i="615"/>
  <c r="N229" i="615"/>
  <c r="N230" i="615"/>
  <c r="N231" i="615"/>
  <c r="N232" i="615"/>
  <c r="N233" i="615"/>
  <c r="N234" i="615"/>
  <c r="N235" i="615"/>
  <c r="N236" i="615"/>
  <c r="N237" i="615"/>
  <c r="N238" i="615"/>
  <c r="N239" i="615"/>
  <c r="N228" i="615"/>
  <c r="H240" i="615"/>
  <c r="BA239" i="615"/>
  <c r="AZ239" i="615"/>
  <c r="AY239" i="615"/>
  <c r="AX239" i="615"/>
  <c r="AW239" i="615"/>
  <c r="AV239" i="615"/>
  <c r="AU239" i="615"/>
  <c r="AT239" i="615"/>
  <c r="AS239" i="615"/>
  <c r="AR239" i="615"/>
  <c r="AQ239" i="615"/>
  <c r="AP239" i="615"/>
  <c r="AO239" i="615"/>
  <c r="AN239" i="615"/>
  <c r="AM239" i="615"/>
  <c r="AL239" i="615"/>
  <c r="AK239" i="615"/>
  <c r="AJ239" i="615"/>
  <c r="AI239" i="615"/>
  <c r="AH239" i="615"/>
  <c r="AG239" i="615"/>
  <c r="AF239" i="615"/>
  <c r="AE239" i="615"/>
  <c r="AD239" i="615"/>
  <c r="AA239" i="615"/>
  <c r="Z239" i="615"/>
  <c r="Y239" i="615"/>
  <c r="X239" i="615"/>
  <c r="W239" i="615"/>
  <c r="V239" i="615"/>
  <c r="U239" i="615"/>
  <c r="T239" i="615"/>
  <c r="AB237" i="615"/>
  <c r="AB236" i="615"/>
  <c r="AB235" i="615"/>
  <c r="H233" i="615"/>
  <c r="AB232" i="615"/>
  <c r="AB231" i="615"/>
  <c r="AC230" i="615"/>
  <c r="AB229" i="615"/>
  <c r="H228" i="615"/>
  <c r="L220" i="615"/>
  <c r="CE423" i="397"/>
  <c r="CD423" i="397"/>
  <c r="CC423" i="397"/>
  <c r="BZ423" i="397"/>
  <c r="BE423" i="397"/>
  <c r="Q333" i="397"/>
  <c r="R333" i="397"/>
  <c r="H184" i="615"/>
  <c r="BA183" i="615"/>
  <c r="AZ183" i="615"/>
  <c r="AY183" i="615"/>
  <c r="AX183" i="615"/>
  <c r="AW183" i="615"/>
  <c r="AV183" i="615"/>
  <c r="AU183" i="615"/>
  <c r="AS183" i="615"/>
  <c r="AR183" i="615"/>
  <c r="AQ183" i="615"/>
  <c r="AP183" i="615"/>
  <c r="AO183" i="615"/>
  <c r="AN183" i="615"/>
  <c r="AM183" i="615"/>
  <c r="AL183" i="615"/>
  <c r="AK183" i="615"/>
  <c r="AJ183" i="615"/>
  <c r="AI183" i="615"/>
  <c r="AH183" i="615"/>
  <c r="AG183" i="615"/>
  <c r="AF183" i="615"/>
  <c r="AE183" i="615"/>
  <c r="AD183" i="615"/>
  <c r="AC183" i="615"/>
  <c r="AA183" i="615"/>
  <c r="Z183" i="615"/>
  <c r="X183" i="615"/>
  <c r="W183" i="615"/>
  <c r="V183" i="615"/>
  <c r="U183" i="615"/>
  <c r="AT179" i="615"/>
  <c r="AT183" i="615" s="1"/>
  <c r="Y178" i="615"/>
  <c r="AB177" i="615"/>
  <c r="AB176" i="615"/>
  <c r="Y175" i="615"/>
  <c r="Y174" i="615"/>
  <c r="Y173" i="615"/>
  <c r="Y183" i="615"/>
  <c r="L166" i="615"/>
  <c r="L191" i="615"/>
  <c r="Y198" i="615"/>
  <c r="H199" i="615"/>
  <c r="AC199" i="615"/>
  <c r="H200" i="615"/>
  <c r="AC200" i="615" s="1"/>
  <c r="Z201" i="615"/>
  <c r="Z202" i="615"/>
  <c r="H203" i="615"/>
  <c r="AC203" i="615"/>
  <c r="H204" i="615"/>
  <c r="AC204" i="615"/>
  <c r="Z205" i="615"/>
  <c r="Z206" i="615"/>
  <c r="H207" i="615"/>
  <c r="AC207" i="615" s="1"/>
  <c r="H208" i="615"/>
  <c r="AC208" i="615"/>
  <c r="Z209" i="615"/>
  <c r="H210" i="615"/>
  <c r="Y210" i="615"/>
  <c r="Y212" i="615" s="1"/>
  <c r="Z210" i="615"/>
  <c r="H215" i="615"/>
  <c r="H213" i="615"/>
  <c r="BA212" i="615"/>
  <c r="AZ212" i="615"/>
  <c r="AY212" i="615"/>
  <c r="AX212" i="615"/>
  <c r="AW212" i="615"/>
  <c r="AV212" i="615"/>
  <c r="AU212" i="615"/>
  <c r="AT212" i="615"/>
  <c r="AS212" i="615"/>
  <c r="AR212" i="615"/>
  <c r="AQ212" i="615"/>
  <c r="AP212" i="615"/>
  <c r="AO212" i="615"/>
  <c r="AN212" i="615"/>
  <c r="AM212" i="615"/>
  <c r="AL212" i="615"/>
  <c r="AK212" i="615"/>
  <c r="AJ212" i="615"/>
  <c r="AI212" i="615"/>
  <c r="AH212" i="615"/>
  <c r="AG212" i="615"/>
  <c r="AF212" i="615"/>
  <c r="AE212" i="615"/>
  <c r="AD212" i="615"/>
  <c r="AB212" i="615"/>
  <c r="AA212" i="615"/>
  <c r="X212" i="615"/>
  <c r="W212" i="615"/>
  <c r="V212" i="615"/>
  <c r="U212" i="615"/>
  <c r="T212" i="615"/>
  <c r="X182" i="202"/>
  <c r="BP211" i="202"/>
  <c r="AG182" i="202"/>
  <c r="BZ426" i="397"/>
  <c r="CC426" i="397"/>
  <c r="CD426" i="397"/>
  <c r="CF426" i="397" s="1"/>
  <c r="CE426" i="397"/>
  <c r="Y182" i="202"/>
  <c r="BZ103" i="626"/>
  <c r="CB103" i="626" s="1"/>
  <c r="BZ105" i="626"/>
  <c r="AB191" i="626"/>
  <c r="BZ143" i="626"/>
  <c r="BZ104" i="626"/>
  <c r="AT342" i="615"/>
  <c r="AB180" i="615"/>
  <c r="AB183" i="615"/>
  <c r="H186" i="615"/>
  <c r="H285" i="615"/>
  <c r="Z284" i="615"/>
  <c r="Y284" i="615"/>
  <c r="H260" i="615"/>
  <c r="H263" i="615" s="1"/>
  <c r="AZ5" i="626"/>
  <c r="CA5" i="626" s="1"/>
  <c r="AZ8" i="626"/>
  <c r="CA8" i="626" s="1"/>
  <c r="AZ9" i="626"/>
  <c r="CA9" i="626" s="1"/>
  <c r="CB15" i="626"/>
  <c r="AZ16" i="626"/>
  <c r="CA16" i="626" s="1"/>
  <c r="AZ23" i="626"/>
  <c r="CA23" i="626" s="1"/>
  <c r="AZ24" i="626"/>
  <c r="CA24" i="626" s="1"/>
  <c r="BZ24" i="626"/>
  <c r="CB24" i="626" s="1"/>
  <c r="AZ26" i="626"/>
  <c r="CA26" i="626" s="1"/>
  <c r="AZ28" i="626"/>
  <c r="CA28" i="626" s="1"/>
  <c r="AZ29" i="626"/>
  <c r="CA29" i="626"/>
  <c r="AZ32" i="626"/>
  <c r="CA32" i="626" s="1"/>
  <c r="AZ34" i="626"/>
  <c r="CA34" i="626" s="1"/>
  <c r="AZ35" i="626"/>
  <c r="CA35" i="626"/>
  <c r="AZ37" i="626"/>
  <c r="CA37" i="626" s="1"/>
  <c r="BZ37" i="626"/>
  <c r="CB37" i="626" s="1"/>
  <c r="AZ38" i="626"/>
  <c r="CA38" i="626" s="1"/>
  <c r="AZ39" i="626"/>
  <c r="CA39" i="626"/>
  <c r="AZ42" i="626"/>
  <c r="CA42" i="626" s="1"/>
  <c r="AZ43" i="626"/>
  <c r="CA43" i="626" s="1"/>
  <c r="AZ49" i="626"/>
  <c r="CA49" i="626" s="1"/>
  <c r="CA50" i="626"/>
  <c r="AZ53" i="626"/>
  <c r="CA53" i="626"/>
  <c r="AZ54" i="626"/>
  <c r="CA54" i="626"/>
  <c r="AZ55" i="626"/>
  <c r="CA55" i="626" s="1"/>
  <c r="BZ56" i="626"/>
  <c r="AZ58" i="626"/>
  <c r="CA58" i="626" s="1"/>
  <c r="BZ60" i="626"/>
  <c r="CB60" i="626" s="1"/>
  <c r="AZ61" i="626"/>
  <c r="CA61" i="626" s="1"/>
  <c r="AZ62" i="626"/>
  <c r="CA62" i="626"/>
  <c r="AZ66" i="626"/>
  <c r="CA66" i="626" s="1"/>
  <c r="CB66" i="626"/>
  <c r="AZ72" i="626"/>
  <c r="CA72" i="626" s="1"/>
  <c r="CA73" i="626"/>
  <c r="CA75" i="626"/>
  <c r="BZ75" i="626"/>
  <c r="CB75" i="626" s="1"/>
  <c r="AZ76" i="626"/>
  <c r="CA76" i="626" s="1"/>
  <c r="AZ79" i="626"/>
  <c r="CA79" i="626"/>
  <c r="BZ79" i="626"/>
  <c r="AZ81" i="626"/>
  <c r="CA81" i="626" s="1"/>
  <c r="AZ82" i="626"/>
  <c r="CA82" i="626" s="1"/>
  <c r="AZ83" i="626"/>
  <c r="CA83" i="626" s="1"/>
  <c r="CA84" i="626"/>
  <c r="AZ85" i="626"/>
  <c r="CA85" i="626" s="1"/>
  <c r="CA88" i="626"/>
  <c r="CB88" i="626" s="1"/>
  <c r="BZ88" i="626"/>
  <c r="BZ91" i="626"/>
  <c r="CA92" i="626"/>
  <c r="AZ93" i="626"/>
  <c r="CA93" i="626" s="1"/>
  <c r="BZ94" i="626"/>
  <c r="AZ95" i="626"/>
  <c r="CA95" i="626"/>
  <c r="AZ96" i="626"/>
  <c r="CA96" i="626" s="1"/>
  <c r="CA98" i="626"/>
  <c r="BZ101" i="626"/>
  <c r="CB101" i="626" s="1"/>
  <c r="AZ102" i="626"/>
  <c r="CA102" i="626"/>
  <c r="AZ105" i="626"/>
  <c r="CA105" i="626" s="1"/>
  <c r="AZ107" i="626"/>
  <c r="CA107" i="626"/>
  <c r="AZ108" i="626"/>
  <c r="CA108" i="626"/>
  <c r="AZ114" i="626"/>
  <c r="CA114" i="626"/>
  <c r="AZ115" i="626"/>
  <c r="CA115" i="626" s="1"/>
  <c r="AZ116" i="626"/>
  <c r="CA116" i="626" s="1"/>
  <c r="AZ117" i="626"/>
  <c r="CA117" i="626"/>
  <c r="AZ120" i="626"/>
  <c r="CA120" i="626"/>
  <c r="AZ121" i="626"/>
  <c r="CA121" i="626" s="1"/>
  <c r="CA123" i="626"/>
  <c r="AZ124" i="626"/>
  <c r="CA124" i="626"/>
  <c r="AZ125" i="626"/>
  <c r="CA125" i="626"/>
  <c r="AZ127" i="626"/>
  <c r="CA127" i="626" s="1"/>
  <c r="AZ131" i="626"/>
  <c r="CA131" i="626" s="1"/>
  <c r="CB131" i="626" s="1"/>
  <c r="AZ132" i="626"/>
  <c r="CA132" i="626" s="1"/>
  <c r="AZ134" i="626"/>
  <c r="CA134" i="626" s="1"/>
  <c r="AZ135" i="626"/>
  <c r="CA135" i="626" s="1"/>
  <c r="AZ137" i="626"/>
  <c r="CA137" i="626"/>
  <c r="AZ140" i="626"/>
  <c r="CA140" i="626" s="1"/>
  <c r="BZ140" i="626"/>
  <c r="BZ141" i="626"/>
  <c r="AZ142" i="626"/>
  <c r="CA142" i="626"/>
  <c r="AZ145" i="626"/>
  <c r="CA145" i="626"/>
  <c r="CA146" i="626"/>
  <c r="CB146" i="626" s="1"/>
  <c r="BZ146" i="626"/>
  <c r="AZ148" i="626"/>
  <c r="CA148" i="626"/>
  <c r="BZ148" i="626"/>
  <c r="BZ149" i="626"/>
  <c r="CB149" i="626" s="1"/>
  <c r="CA150" i="626"/>
  <c r="AZ151" i="626"/>
  <c r="CA151" i="626"/>
  <c r="BZ154" i="626"/>
  <c r="CA155" i="626"/>
  <c r="AZ156" i="626"/>
  <c r="CA156" i="626" s="1"/>
  <c r="BZ157" i="626"/>
  <c r="AZ158" i="626"/>
  <c r="CA158" i="626"/>
  <c r="AZ159" i="626"/>
  <c r="CA159" i="626" s="1"/>
  <c r="BZ160" i="626"/>
  <c r="CA161" i="626"/>
  <c r="AZ162" i="626"/>
  <c r="CA162" i="626" s="1"/>
  <c r="AZ165" i="626"/>
  <c r="CA165" i="626" s="1"/>
  <c r="BZ165" i="626"/>
  <c r="CB165" i="626" s="1"/>
  <c r="BZ168" i="626"/>
  <c r="AZ172" i="626"/>
  <c r="CA172" i="626" s="1"/>
  <c r="AZ173" i="626"/>
  <c r="CA173" i="626"/>
  <c r="CB173" i="626" s="1"/>
  <c r="BZ173" i="626"/>
  <c r="AZ175" i="626"/>
  <c r="CA175" i="626" s="1"/>
  <c r="BZ175" i="626"/>
  <c r="AZ176" i="626"/>
  <c r="CA176" i="626"/>
  <c r="CA178" i="626"/>
  <c r="BZ178" i="626"/>
  <c r="AZ179" i="626"/>
  <c r="CA179" i="626" s="1"/>
  <c r="AZ180" i="626"/>
  <c r="CA180" i="626" s="1"/>
  <c r="BZ182" i="626"/>
  <c r="AZ183" i="626"/>
  <c r="CA183" i="626" s="1"/>
  <c r="AZ184" i="626"/>
  <c r="CA184" i="626"/>
  <c r="AZ186" i="626"/>
  <c r="CA186" i="626"/>
  <c r="BZ186" i="626"/>
  <c r="CB186" i="626" s="1"/>
  <c r="AZ187" i="626"/>
  <c r="CA187" i="626"/>
  <c r="AZ189" i="626"/>
  <c r="CA189" i="626" s="1"/>
  <c r="CA190" i="626"/>
  <c r="AB228" i="615"/>
  <c r="CB179" i="626"/>
  <c r="CB135" i="626"/>
  <c r="CB148" i="626"/>
  <c r="CB80" i="626"/>
  <c r="AC350" i="615"/>
  <c r="AB350" i="615"/>
  <c r="BG190" i="202"/>
  <c r="H153" i="615"/>
  <c r="H155" i="615" s="1"/>
  <c r="H159" i="615"/>
  <c r="H160" i="615" s="1"/>
  <c r="N154" i="615"/>
  <c r="N153" i="615"/>
  <c r="N152" i="615"/>
  <c r="N151" i="615"/>
  <c r="N150" i="615"/>
  <c r="N149" i="615"/>
  <c r="N148" i="615"/>
  <c r="N147" i="615"/>
  <c r="N146" i="615"/>
  <c r="N145" i="615"/>
  <c r="N144" i="615"/>
  <c r="N143" i="615"/>
  <c r="N157" i="615"/>
  <c r="N156" i="615"/>
  <c r="N155" i="615"/>
  <c r="H158" i="615"/>
  <c r="BA157" i="615"/>
  <c r="AZ157" i="615"/>
  <c r="AY157" i="615"/>
  <c r="AX157" i="615"/>
  <c r="AW157" i="615"/>
  <c r="AV157" i="615"/>
  <c r="AU157" i="615"/>
  <c r="AT157" i="615"/>
  <c r="AS157" i="615"/>
  <c r="AR157" i="615"/>
  <c r="AQ157" i="615"/>
  <c r="AP157" i="615"/>
  <c r="AO157" i="615"/>
  <c r="AN157" i="615"/>
  <c r="AM157" i="615"/>
  <c r="AL157" i="615"/>
  <c r="AK157" i="615"/>
  <c r="AJ157" i="615"/>
  <c r="AI157" i="615"/>
  <c r="AH157" i="615"/>
  <c r="AG157" i="615"/>
  <c r="AF157" i="615"/>
  <c r="AE157" i="615"/>
  <c r="AB157" i="615"/>
  <c r="AA157" i="615"/>
  <c r="Z157" i="615"/>
  <c r="Y157" i="615"/>
  <c r="X157" i="615"/>
  <c r="W157" i="615"/>
  <c r="V157" i="615"/>
  <c r="U157" i="615"/>
  <c r="T157" i="615"/>
  <c r="AC150" i="615"/>
  <c r="AC147" i="615"/>
  <c r="H146" i="615"/>
  <c r="H145" i="615"/>
  <c r="AC144" i="615"/>
  <c r="AC141" i="615"/>
  <c r="AC138" i="615"/>
  <c r="H137" i="615"/>
  <c r="AC136" i="615"/>
  <c r="AD135" i="615"/>
  <c r="AD157" i="615"/>
  <c r="AC134" i="615"/>
  <c r="H156" i="615"/>
  <c r="AC153" i="615"/>
  <c r="BP199" i="202"/>
  <c r="BP191" i="202"/>
  <c r="BP193" i="202"/>
  <c r="BP194" i="202"/>
  <c r="BP200" i="202"/>
  <c r="BP197" i="202"/>
  <c r="BP202" i="202"/>
  <c r="BP195" i="202"/>
  <c r="BP201" i="202"/>
  <c r="BP209" i="202"/>
  <c r="BP198" i="202"/>
  <c r="BP190" i="202"/>
  <c r="BP189" i="202"/>
  <c r="H121" i="615"/>
  <c r="H116" i="615"/>
  <c r="AB116" i="615" s="1"/>
  <c r="N117" i="615"/>
  <c r="N118" i="615"/>
  <c r="H119" i="615"/>
  <c r="BA118" i="615"/>
  <c r="AZ118" i="615"/>
  <c r="AY118" i="615"/>
  <c r="AX118" i="615"/>
  <c r="AW118" i="615"/>
  <c r="AV118" i="615"/>
  <c r="AU118" i="615"/>
  <c r="AT118" i="615"/>
  <c r="AS118" i="615"/>
  <c r="AR118" i="615"/>
  <c r="AQ118" i="615"/>
  <c r="AP118" i="615"/>
  <c r="AO118" i="615"/>
  <c r="AN118" i="615"/>
  <c r="AM118" i="615"/>
  <c r="AL118" i="615"/>
  <c r="AK118" i="615"/>
  <c r="AJ118" i="615"/>
  <c r="AI118" i="615"/>
  <c r="AH118" i="615"/>
  <c r="AG118" i="615"/>
  <c r="AF118" i="615"/>
  <c r="AE118" i="615"/>
  <c r="AD118" i="615"/>
  <c r="AA118" i="615"/>
  <c r="Z118" i="615"/>
  <c r="Y118" i="615"/>
  <c r="X118" i="615"/>
  <c r="W118" i="615"/>
  <c r="V118" i="615"/>
  <c r="U118" i="615"/>
  <c r="AB115" i="615"/>
  <c r="H114" i="615"/>
  <c r="T114" i="615"/>
  <c r="T118" i="615"/>
  <c r="AC113" i="615"/>
  <c r="AC118" i="615"/>
  <c r="AB112" i="615"/>
  <c r="AB111" i="615"/>
  <c r="AB110" i="615"/>
  <c r="AB118" i="615" s="1"/>
  <c r="AB109" i="615"/>
  <c r="N96" i="615"/>
  <c r="N90" i="615" s="1"/>
  <c r="N95" i="615"/>
  <c r="N94" i="615"/>
  <c r="BA96" i="615"/>
  <c r="AZ96" i="615"/>
  <c r="AY96" i="615"/>
  <c r="AX96" i="615"/>
  <c r="AW96" i="615"/>
  <c r="AV96" i="615"/>
  <c r="AU96" i="615"/>
  <c r="AT96" i="615"/>
  <c r="AS96" i="615"/>
  <c r="AR96" i="615"/>
  <c r="AQ96" i="615"/>
  <c r="AP96" i="615"/>
  <c r="AO96" i="615"/>
  <c r="AN96" i="615"/>
  <c r="AM96" i="615"/>
  <c r="AL96" i="615"/>
  <c r="AK96" i="615"/>
  <c r="AJ96" i="615"/>
  <c r="AI96" i="615"/>
  <c r="AH96" i="615"/>
  <c r="AG96" i="615"/>
  <c r="AF96" i="615"/>
  <c r="AE96" i="615"/>
  <c r="AB96" i="615"/>
  <c r="AA96" i="615"/>
  <c r="Z96" i="615"/>
  <c r="X96" i="615"/>
  <c r="W96" i="615"/>
  <c r="V96" i="615"/>
  <c r="U96" i="615"/>
  <c r="T96" i="615"/>
  <c r="H94" i="615"/>
  <c r="AC93" i="615"/>
  <c r="AC92" i="615"/>
  <c r="AC96" i="615"/>
  <c r="Y91" i="615"/>
  <c r="Y96" i="615" s="1"/>
  <c r="L84" i="615"/>
  <c r="Q152" i="397"/>
  <c r="A143" i="603"/>
  <c r="G143" i="603"/>
  <c r="H143" i="603"/>
  <c r="AT143" i="603"/>
  <c r="AX143" i="603"/>
  <c r="AY143" i="603"/>
  <c r="AZ143" i="603" s="1"/>
  <c r="CA143" i="603" s="1"/>
  <c r="BT143" i="603"/>
  <c r="BU143" i="603"/>
  <c r="BV143" i="603"/>
  <c r="BW143" i="603"/>
  <c r="BX143" i="603"/>
  <c r="BY143" i="603"/>
  <c r="A144" i="603"/>
  <c r="G144" i="603"/>
  <c r="H144" i="603"/>
  <c r="AT144" i="603"/>
  <c r="AT192" i="603" s="1"/>
  <c r="AX144" i="603"/>
  <c r="AY144" i="603"/>
  <c r="AZ144" i="603" s="1"/>
  <c r="BT144" i="603"/>
  <c r="BZ144" i="603" s="1"/>
  <c r="BU144" i="603"/>
  <c r="BV144" i="603"/>
  <c r="BW144" i="603"/>
  <c r="BX144" i="603"/>
  <c r="BY144" i="603"/>
  <c r="CA144" i="603"/>
  <c r="BZ143" i="603"/>
  <c r="CB143" i="603" s="1"/>
  <c r="CC152" i="397"/>
  <c r="BZ152" i="397"/>
  <c r="BD152" i="397"/>
  <c r="R152" i="397"/>
  <c r="H78" i="615"/>
  <c r="H73" i="615"/>
  <c r="Y73" i="615" s="1"/>
  <c r="H76" i="615"/>
  <c r="BA75" i="615"/>
  <c r="AZ75" i="615"/>
  <c r="AX75" i="615"/>
  <c r="AW75" i="615"/>
  <c r="AV75" i="615"/>
  <c r="AU75" i="615"/>
  <c r="AT75" i="615"/>
  <c r="AS75" i="615"/>
  <c r="AR75" i="615"/>
  <c r="AQ75" i="615"/>
  <c r="AP75" i="615"/>
  <c r="AO75" i="615"/>
  <c r="AN75" i="615"/>
  <c r="AM75" i="615"/>
  <c r="AL75" i="615"/>
  <c r="AK75" i="615"/>
  <c r="AJ75" i="615"/>
  <c r="AI75" i="615"/>
  <c r="AH75" i="615"/>
  <c r="AG75" i="615"/>
  <c r="AF75" i="615"/>
  <c r="AE75" i="615"/>
  <c r="AD75" i="615"/>
  <c r="AC75" i="615"/>
  <c r="AA75" i="615"/>
  <c r="Z75" i="615"/>
  <c r="X75" i="615"/>
  <c r="W75" i="615"/>
  <c r="V75" i="615"/>
  <c r="U75" i="615"/>
  <c r="T75" i="615"/>
  <c r="AB72" i="615"/>
  <c r="AB75" i="615" s="1"/>
  <c r="Y71" i="615"/>
  <c r="Y70" i="615"/>
  <c r="Y68" i="615"/>
  <c r="H67" i="615"/>
  <c r="H69" i="615"/>
  <c r="AY69" i="615" s="1"/>
  <c r="Y66" i="615"/>
  <c r="H74" i="615"/>
  <c r="AY67" i="615"/>
  <c r="AY75" i="615" s="1"/>
  <c r="CC420" i="397"/>
  <c r="BZ420" i="397"/>
  <c r="CE420" i="397"/>
  <c r="CD420" i="397"/>
  <c r="AB298" i="592"/>
  <c r="H18" i="615"/>
  <c r="Y18" i="615" s="1"/>
  <c r="H23" i="615"/>
  <c r="BE420" i="397"/>
  <c r="H53" i="615"/>
  <c r="H48" i="615"/>
  <c r="H51" i="615"/>
  <c r="BA50" i="615"/>
  <c r="AX50" i="615"/>
  <c r="AW50" i="615"/>
  <c r="AV50" i="615"/>
  <c r="AU50" i="615"/>
  <c r="AS50" i="615"/>
  <c r="AR50" i="615"/>
  <c r="AQ50" i="615"/>
  <c r="AP50" i="615"/>
  <c r="AO50" i="615"/>
  <c r="AN50" i="615"/>
  <c r="AM50" i="615"/>
  <c r="AL50" i="615"/>
  <c r="AK50" i="615"/>
  <c r="AJ50" i="615"/>
  <c r="AI50" i="615"/>
  <c r="AH50" i="615"/>
  <c r="AG50" i="615"/>
  <c r="AF50" i="615"/>
  <c r="AE50" i="615"/>
  <c r="AD50" i="615"/>
  <c r="AA50" i="615"/>
  <c r="Z50" i="615"/>
  <c r="Y50" i="615"/>
  <c r="X50" i="615"/>
  <c r="W50" i="615"/>
  <c r="V50" i="615"/>
  <c r="U50" i="615"/>
  <c r="T50" i="615"/>
  <c r="AB47" i="615"/>
  <c r="AY46" i="615"/>
  <c r="AY50" i="615"/>
  <c r="AB45" i="615"/>
  <c r="AZ44" i="615"/>
  <c r="AZ50" i="615" s="1"/>
  <c r="AB43" i="615"/>
  <c r="AC42" i="615"/>
  <c r="AC50" i="615"/>
  <c r="AB41" i="615"/>
  <c r="AB39" i="615"/>
  <c r="AB37" i="615"/>
  <c r="H36" i="615"/>
  <c r="H38" i="615" s="1"/>
  <c r="AT36" i="615"/>
  <c r="L28" i="615"/>
  <c r="H21" i="615"/>
  <c r="BA20" i="615"/>
  <c r="AZ20" i="615"/>
  <c r="AY20" i="615"/>
  <c r="AX20" i="615"/>
  <c r="AW20" i="615"/>
  <c r="AV20" i="615"/>
  <c r="AU20" i="615"/>
  <c r="AT20" i="615"/>
  <c r="AS20" i="615"/>
  <c r="AR20" i="615"/>
  <c r="AQ20" i="615"/>
  <c r="AP20" i="615"/>
  <c r="AO20" i="615"/>
  <c r="AN20" i="615"/>
  <c r="AM20" i="615"/>
  <c r="AL20" i="615"/>
  <c r="AK20" i="615"/>
  <c r="AJ20" i="615"/>
  <c r="AI20" i="615"/>
  <c r="AH20" i="615"/>
  <c r="AG20" i="615"/>
  <c r="AF20" i="615"/>
  <c r="AE20" i="615"/>
  <c r="AD20" i="615"/>
  <c r="AC20" i="615"/>
  <c r="AA20" i="615"/>
  <c r="Z20" i="615"/>
  <c r="X20" i="615"/>
  <c r="W20" i="615"/>
  <c r="V20" i="615"/>
  <c r="U20" i="615"/>
  <c r="T20" i="615"/>
  <c r="H19" i="615"/>
  <c r="Y17" i="615"/>
  <c r="Y16" i="615"/>
  <c r="Y15" i="615"/>
  <c r="Y14" i="615"/>
  <c r="AB13" i="615"/>
  <c r="AB12" i="615"/>
  <c r="AB11" i="615"/>
  <c r="AB10" i="615"/>
  <c r="AB20" i="615" s="1"/>
  <c r="L3" i="615"/>
  <c r="L2" i="615"/>
  <c r="H40" i="615"/>
  <c r="AT40" i="615"/>
  <c r="AT38" i="615"/>
  <c r="AT50" i="615"/>
  <c r="Q295" i="397"/>
  <c r="R295" i="397"/>
  <c r="R331" i="397"/>
  <c r="Q331" i="397"/>
  <c r="Q301" i="397"/>
  <c r="H488" i="592"/>
  <c r="N489" i="592"/>
  <c r="N490" i="592"/>
  <c r="N491" i="592"/>
  <c r="N492" i="592"/>
  <c r="N493" i="592"/>
  <c r="N494" i="592"/>
  <c r="N495" i="592"/>
  <c r="N496" i="592"/>
  <c r="N497" i="592"/>
  <c r="N498" i="592"/>
  <c r="N499" i="592"/>
  <c r="N500" i="592"/>
  <c r="N501" i="592"/>
  <c r="N502" i="592"/>
  <c r="N488" i="592"/>
  <c r="H505" i="592"/>
  <c r="H500" i="592"/>
  <c r="AC500" i="592" s="1"/>
  <c r="H503" i="592"/>
  <c r="BA502" i="592"/>
  <c r="AZ502" i="592"/>
  <c r="AY502" i="592"/>
  <c r="AX502" i="592"/>
  <c r="AW502" i="592"/>
  <c r="AV502" i="592"/>
  <c r="AU502" i="592"/>
  <c r="AT502" i="592"/>
  <c r="AS502" i="592"/>
  <c r="AR502" i="592"/>
  <c r="AQ502" i="592"/>
  <c r="AP502" i="592"/>
  <c r="AO502" i="592"/>
  <c r="AN502" i="592"/>
  <c r="AM502" i="592"/>
  <c r="AL502" i="592"/>
  <c r="AK502" i="592"/>
  <c r="AJ502" i="592"/>
  <c r="AI502" i="592"/>
  <c r="AH502" i="592"/>
  <c r="AG502" i="592"/>
  <c r="AF502" i="592"/>
  <c r="AE502" i="592"/>
  <c r="AB502" i="592"/>
  <c r="AA502" i="592"/>
  <c r="Z502" i="592"/>
  <c r="Y502" i="592"/>
  <c r="X502" i="592"/>
  <c r="W502" i="592"/>
  <c r="V502" i="592"/>
  <c r="U502" i="592"/>
  <c r="T502" i="592"/>
  <c r="AC499" i="592"/>
  <c r="AC498" i="592"/>
  <c r="AC497" i="592"/>
  <c r="AC495" i="592"/>
  <c r="AC493" i="592"/>
  <c r="AC491" i="592"/>
  <c r="AC489" i="592"/>
  <c r="H271" i="592"/>
  <c r="BZ430" i="397"/>
  <c r="CC430" i="397"/>
  <c r="CB430" i="397"/>
  <c r="R430" i="397"/>
  <c r="Q430" i="397"/>
  <c r="A430" i="397"/>
  <c r="CA430" i="397"/>
  <c r="CD430" i="397"/>
  <c r="CE430" i="397"/>
  <c r="BE430" i="397"/>
  <c r="H475" i="592"/>
  <c r="H468" i="592"/>
  <c r="N454" i="592"/>
  <c r="N455" i="592"/>
  <c r="N456" i="592"/>
  <c r="N457" i="592"/>
  <c r="N458" i="592"/>
  <c r="N459" i="592"/>
  <c r="N460" i="592"/>
  <c r="N461" i="592"/>
  <c r="N462" i="592"/>
  <c r="N463" i="592"/>
  <c r="N464" i="592"/>
  <c r="N465" i="592"/>
  <c r="N466" i="592"/>
  <c r="N467" i="592"/>
  <c r="N468" i="592"/>
  <c r="N469" i="592"/>
  <c r="N470" i="592"/>
  <c r="N471" i="592"/>
  <c r="N472" i="592"/>
  <c r="N453" i="592"/>
  <c r="H473" i="592"/>
  <c r="BA472" i="592"/>
  <c r="AZ472" i="592"/>
  <c r="AY472" i="592"/>
  <c r="AX472" i="592"/>
  <c r="AW472" i="592"/>
  <c r="AV472" i="592"/>
  <c r="AU472" i="592"/>
  <c r="AT472" i="592"/>
  <c r="AS472" i="592"/>
  <c r="AR472" i="592"/>
  <c r="AQ472" i="592"/>
  <c r="AP472" i="592"/>
  <c r="AO472" i="592"/>
  <c r="AN472" i="592"/>
  <c r="AM472" i="592"/>
  <c r="AL472" i="592"/>
  <c r="AK472" i="592"/>
  <c r="AJ472" i="592"/>
  <c r="AI472" i="592"/>
  <c r="AH472" i="592"/>
  <c r="AG472" i="592"/>
  <c r="AF472" i="592"/>
  <c r="AE472" i="592"/>
  <c r="AD472" i="592"/>
  <c r="AC472" i="592"/>
  <c r="AA472" i="592"/>
  <c r="Z472" i="592"/>
  <c r="X472" i="592"/>
  <c r="W472" i="592"/>
  <c r="V472" i="592"/>
  <c r="U472" i="592"/>
  <c r="T472" i="592"/>
  <c r="H469" i="592"/>
  <c r="H470" i="592"/>
  <c r="H466" i="592"/>
  <c r="Y465" i="592"/>
  <c r="Y462" i="592"/>
  <c r="Y459" i="592"/>
  <c r="Y457" i="592"/>
  <c r="H456" i="592"/>
  <c r="H471" i="592" s="1"/>
  <c r="AB455" i="592"/>
  <c r="AB472" i="592" s="1"/>
  <c r="Y454" i="592"/>
  <c r="Y453" i="592"/>
  <c r="Y468" i="592"/>
  <c r="V303" i="8"/>
  <c r="V302" i="8"/>
  <c r="V301" i="8"/>
  <c r="V300" i="8"/>
  <c r="R245" i="397"/>
  <c r="Q245" i="397"/>
  <c r="H440" i="592"/>
  <c r="H434" i="592"/>
  <c r="N437" i="592"/>
  <c r="N436" i="592"/>
  <c r="N435" i="592"/>
  <c r="N434" i="592"/>
  <c r="N433" i="592"/>
  <c r="N432" i="592"/>
  <c r="N431" i="592"/>
  <c r="N430" i="592"/>
  <c r="N429" i="592"/>
  <c r="N428" i="592"/>
  <c r="N427" i="592"/>
  <c r="N426" i="592"/>
  <c r="N425" i="592"/>
  <c r="N424" i="592"/>
  <c r="N423" i="592"/>
  <c r="N422" i="592"/>
  <c r="N421" i="592"/>
  <c r="N420" i="592"/>
  <c r="N419" i="592"/>
  <c r="N418" i="592"/>
  <c r="N417" i="592"/>
  <c r="N416" i="592"/>
  <c r="N415" i="592"/>
  <c r="N414" i="592"/>
  <c r="N413" i="592" s="1"/>
  <c r="H438" i="592"/>
  <c r="BA437" i="592"/>
  <c r="AZ437" i="592"/>
  <c r="AY437" i="592"/>
  <c r="AX437" i="592"/>
  <c r="AW437" i="592"/>
  <c r="AV437" i="592"/>
  <c r="AU437" i="592"/>
  <c r="AT437" i="592"/>
  <c r="AS437" i="592"/>
  <c r="AR437" i="592"/>
  <c r="AQ437" i="592"/>
  <c r="AP437" i="592"/>
  <c r="AO437" i="592"/>
  <c r="AN437" i="592"/>
  <c r="AM437" i="592"/>
  <c r="AL437" i="592"/>
  <c r="AK437" i="592"/>
  <c r="AJ437" i="592"/>
  <c r="AI437" i="592"/>
  <c r="AH437" i="592"/>
  <c r="AG437" i="592"/>
  <c r="AF437" i="592"/>
  <c r="AE437" i="592"/>
  <c r="AD437" i="592"/>
  <c r="AA437" i="592"/>
  <c r="Z437" i="592"/>
  <c r="X437" i="592"/>
  <c r="W437" i="592"/>
  <c r="V437" i="592"/>
  <c r="U437" i="592"/>
  <c r="H435" i="592"/>
  <c r="H433" i="592"/>
  <c r="Y432" i="592"/>
  <c r="Y437" i="592" s="1"/>
  <c r="AB431" i="592"/>
  <c r="H430" i="592"/>
  <c r="AC429" i="592"/>
  <c r="AB429" i="592"/>
  <c r="AC428" i="592"/>
  <c r="AB428" i="592"/>
  <c r="AC426" i="592"/>
  <c r="AB426" i="592"/>
  <c r="AC424" i="592"/>
  <c r="AB424" i="592"/>
  <c r="AC422" i="592"/>
  <c r="AB422" i="592"/>
  <c r="AC420" i="592"/>
  <c r="AB420" i="592"/>
  <c r="AC418" i="592"/>
  <c r="AB418" i="592"/>
  <c r="AC417" i="592"/>
  <c r="AB417" i="592"/>
  <c r="H416" i="592"/>
  <c r="AB415" i="592"/>
  <c r="T414" i="592"/>
  <c r="T437" i="592"/>
  <c r="R300" i="397"/>
  <c r="Q300" i="397"/>
  <c r="R316" i="397"/>
  <c r="Q316" i="397"/>
  <c r="H436" i="592"/>
  <c r="AB434" i="592"/>
  <c r="H401" i="592"/>
  <c r="H396" i="592"/>
  <c r="Y396" i="592"/>
  <c r="N396" i="592"/>
  <c r="N395" i="592"/>
  <c r="N397" i="592"/>
  <c r="N398" i="592"/>
  <c r="N394" i="592"/>
  <c r="N393" i="592" s="1"/>
  <c r="H399" i="592"/>
  <c r="BA398" i="592"/>
  <c r="AZ398" i="592"/>
  <c r="AY398" i="592"/>
  <c r="AX398" i="592"/>
  <c r="AW398" i="592"/>
  <c r="AV398" i="592"/>
  <c r="AU398" i="592"/>
  <c r="AT398" i="592"/>
  <c r="AS398" i="592"/>
  <c r="AR398" i="592"/>
  <c r="AQ398" i="592"/>
  <c r="AP398" i="592"/>
  <c r="AO398" i="592"/>
  <c r="AN398" i="592"/>
  <c r="AM398" i="592"/>
  <c r="AL398" i="592"/>
  <c r="AK398" i="592"/>
  <c r="AJ398" i="592"/>
  <c r="AI398" i="592"/>
  <c r="AH398" i="592"/>
  <c r="AG398" i="592"/>
  <c r="AF398" i="592"/>
  <c r="AE398" i="592"/>
  <c r="AD398" i="592"/>
  <c r="AC398" i="592"/>
  <c r="AB398" i="592"/>
  <c r="AA398" i="592"/>
  <c r="Z398" i="592"/>
  <c r="X398" i="592"/>
  <c r="W398" i="592"/>
  <c r="V398" i="592"/>
  <c r="U398" i="592"/>
  <c r="T398" i="592"/>
  <c r="H397" i="592"/>
  <c r="Y395" i="592"/>
  <c r="Y394" i="592"/>
  <c r="Y398" i="592"/>
  <c r="R311" i="397"/>
  <c r="Q311" i="397"/>
  <c r="Q161" i="202"/>
  <c r="R161" i="202"/>
  <c r="S161" i="202"/>
  <c r="T161" i="202"/>
  <c r="V161" i="202"/>
  <c r="W161" i="202"/>
  <c r="AA161" i="202"/>
  <c r="AB161" i="202"/>
  <c r="AC161" i="202"/>
  <c r="AD161" i="202"/>
  <c r="AE161" i="202"/>
  <c r="AF161" i="202"/>
  <c r="AG161" i="202"/>
  <c r="AH161" i="202"/>
  <c r="AI161" i="202"/>
  <c r="AJ161" i="202"/>
  <c r="AK161" i="202"/>
  <c r="AL161" i="202"/>
  <c r="AM161" i="202"/>
  <c r="AN161" i="202"/>
  <c r="AO161" i="202"/>
  <c r="AP161" i="202"/>
  <c r="AQ161" i="202"/>
  <c r="AR161" i="202"/>
  <c r="AS161" i="202"/>
  <c r="AT161" i="202"/>
  <c r="AU161" i="202"/>
  <c r="AV161" i="202"/>
  <c r="AW161" i="202"/>
  <c r="AX161" i="202"/>
  <c r="AY161" i="202"/>
  <c r="BE161" i="202"/>
  <c r="BF161" i="202"/>
  <c r="H381" i="592"/>
  <c r="H376" i="592"/>
  <c r="N371" i="592"/>
  <c r="N372" i="592"/>
  <c r="N373" i="592"/>
  <c r="N374" i="592"/>
  <c r="N375" i="592"/>
  <c r="N376" i="592"/>
  <c r="N377" i="592"/>
  <c r="N378" i="592"/>
  <c r="N370" i="592"/>
  <c r="N369" i="592" s="1"/>
  <c r="H379" i="592"/>
  <c r="BA378" i="592"/>
  <c r="AY378" i="592"/>
  <c r="AX378" i="592"/>
  <c r="AW378" i="592"/>
  <c r="AV378" i="592"/>
  <c r="AU378" i="592"/>
  <c r="AT378" i="592"/>
  <c r="AS378" i="592"/>
  <c r="AR378" i="592"/>
  <c r="AQ378" i="592"/>
  <c r="AP378" i="592"/>
  <c r="AO378" i="592"/>
  <c r="AN378" i="592"/>
  <c r="AM378" i="592"/>
  <c r="AL378" i="592"/>
  <c r="AK378" i="592"/>
  <c r="AJ378" i="592"/>
  <c r="AI378" i="592"/>
  <c r="AH378" i="592"/>
  <c r="AG378" i="592"/>
  <c r="AF378" i="592"/>
  <c r="AE378" i="592"/>
  <c r="AD378" i="592"/>
  <c r="AA378" i="592"/>
  <c r="Z378" i="592"/>
  <c r="X378" i="592"/>
  <c r="W378" i="592"/>
  <c r="V378" i="592"/>
  <c r="U378" i="592"/>
  <c r="T378" i="592"/>
  <c r="AB375" i="592"/>
  <c r="AC374" i="592"/>
  <c r="AZ373" i="592"/>
  <c r="AZ378" i="592"/>
  <c r="AB372" i="592"/>
  <c r="AC371" i="592"/>
  <c r="AC378" i="592" s="1"/>
  <c r="Y370" i="592"/>
  <c r="Y378" i="592"/>
  <c r="BB378" i="592" s="1"/>
  <c r="H377" i="592"/>
  <c r="AB376" i="592"/>
  <c r="AB378" i="592"/>
  <c r="N357" i="592"/>
  <c r="N356" i="592"/>
  <c r="N355" i="592"/>
  <c r="N354" i="592"/>
  <c r="N353" i="592"/>
  <c r="N352" i="592"/>
  <c r="BA357" i="592"/>
  <c r="AZ357" i="592"/>
  <c r="AY357" i="592"/>
  <c r="AX357" i="592"/>
  <c r="AW357" i="592"/>
  <c r="AV357" i="592"/>
  <c r="AU357" i="592"/>
  <c r="AT357" i="592"/>
  <c r="AS357" i="592"/>
  <c r="AR357" i="592"/>
  <c r="AQ357" i="592"/>
  <c r="AP357" i="592"/>
  <c r="AO357" i="592"/>
  <c r="AN357" i="592"/>
  <c r="AM357" i="592"/>
  <c r="AL357" i="592"/>
  <c r="AK357" i="592"/>
  <c r="AJ357" i="592"/>
  <c r="AI357" i="592"/>
  <c r="AH357" i="592"/>
  <c r="AG357" i="592"/>
  <c r="AF357" i="592"/>
  <c r="AE357" i="592"/>
  <c r="AC357" i="592"/>
  <c r="AB357" i="592"/>
  <c r="AA357" i="592"/>
  <c r="Z357" i="592"/>
  <c r="X357" i="592"/>
  <c r="W357" i="592"/>
  <c r="V357" i="592"/>
  <c r="U357" i="592"/>
  <c r="T357" i="592"/>
  <c r="H355" i="592"/>
  <c r="AD355" i="592" s="1"/>
  <c r="AD357" i="592" s="1"/>
  <c r="Y354" i="592"/>
  <c r="Y353" i="592"/>
  <c r="Y352" i="592"/>
  <c r="BP171" i="202"/>
  <c r="N325" i="592"/>
  <c r="N326" i="592"/>
  <c r="N327" i="592"/>
  <c r="N328" i="592"/>
  <c r="N329" i="592"/>
  <c r="N330" i="592"/>
  <c r="N331" i="592"/>
  <c r="N332" i="592"/>
  <c r="N333" i="592"/>
  <c r="N334" i="592"/>
  <c r="N335" i="592"/>
  <c r="N336" i="592"/>
  <c r="N324" i="592"/>
  <c r="H339" i="592"/>
  <c r="H334" i="592"/>
  <c r="AB334" i="592" s="1"/>
  <c r="N268" i="592"/>
  <c r="N269" i="592"/>
  <c r="N270" i="592"/>
  <c r="N271" i="592"/>
  <c r="N272" i="592"/>
  <c r="N273" i="592"/>
  <c r="N274" i="592"/>
  <c r="N275" i="592"/>
  <c r="N276" i="592"/>
  <c r="N277" i="592"/>
  <c r="N278" i="592"/>
  <c r="N279" i="592"/>
  <c r="N280" i="592"/>
  <c r="N281" i="592"/>
  <c r="N282" i="592"/>
  <c r="N283" i="592"/>
  <c r="N284" i="592"/>
  <c r="N285" i="592"/>
  <c r="N286" i="592"/>
  <c r="N287" i="592"/>
  <c r="N288" i="592"/>
  <c r="N289" i="592"/>
  <c r="N290" i="592"/>
  <c r="N291" i="592"/>
  <c r="N292" i="592"/>
  <c r="N293" i="592"/>
  <c r="N294" i="592"/>
  <c r="N295" i="592"/>
  <c r="N296" i="592"/>
  <c r="N297" i="592"/>
  <c r="N298" i="592"/>
  <c r="N299" i="592"/>
  <c r="N300" i="592"/>
  <c r="N301" i="592"/>
  <c r="N302" i="592"/>
  <c r="N303" i="592"/>
  <c r="N304" i="592"/>
  <c r="N305" i="592"/>
  <c r="N306" i="592"/>
  <c r="N307" i="592"/>
  <c r="N308" i="592"/>
  <c r="N267" i="592"/>
  <c r="H337" i="592"/>
  <c r="BA336" i="592"/>
  <c r="AZ336" i="592"/>
  <c r="AX336" i="592"/>
  <c r="AW336" i="592"/>
  <c r="AV336" i="592"/>
  <c r="AU336" i="592"/>
  <c r="AT336" i="592"/>
  <c r="AS336" i="592"/>
  <c r="AR336" i="592"/>
  <c r="AQ336" i="592"/>
  <c r="AP336" i="592"/>
  <c r="AO336" i="592"/>
  <c r="AN336" i="592"/>
  <c r="AM336" i="592"/>
  <c r="AL336" i="592"/>
  <c r="AK336" i="592"/>
  <c r="AJ336" i="592"/>
  <c r="AI336" i="592"/>
  <c r="AH336" i="592"/>
  <c r="AG336" i="592"/>
  <c r="AF336" i="592"/>
  <c r="AE336" i="592"/>
  <c r="AD336" i="592"/>
  <c r="AA336" i="592"/>
  <c r="Z336" i="592"/>
  <c r="Y336" i="592"/>
  <c r="X336" i="592"/>
  <c r="W336" i="592"/>
  <c r="V336" i="592"/>
  <c r="U336" i="592"/>
  <c r="T336" i="592"/>
  <c r="H333" i="592"/>
  <c r="AC332" i="592"/>
  <c r="AY331" i="592"/>
  <c r="AY336" i="592" s="1"/>
  <c r="AC330" i="592"/>
  <c r="AC329" i="592"/>
  <c r="AB328" i="592"/>
  <c r="AC327" i="592"/>
  <c r="AC326" i="592"/>
  <c r="AC325" i="592"/>
  <c r="AC324" i="592"/>
  <c r="AW192" i="603"/>
  <c r="AV192" i="603"/>
  <c r="AS192" i="603"/>
  <c r="AQ192" i="603"/>
  <c r="AP192" i="603"/>
  <c r="AJ192" i="603"/>
  <c r="AG192" i="603"/>
  <c r="AF192" i="603"/>
  <c r="AE192" i="603"/>
  <c r="AC192" i="603"/>
  <c r="AB192" i="603"/>
  <c r="W192" i="603"/>
  <c r="T192" i="603"/>
  <c r="BY191" i="603"/>
  <c r="BX191" i="603"/>
  <c r="BW191" i="603"/>
  <c r="BU191" i="603"/>
  <c r="BT191" i="603"/>
  <c r="BH191" i="603"/>
  <c r="BV191" i="603"/>
  <c r="AY191" i="603"/>
  <c r="AX191" i="603"/>
  <c r="AZ191" i="603"/>
  <c r="CA191" i="603" s="1"/>
  <c r="U191" i="603"/>
  <c r="R191" i="603"/>
  <c r="Q191" i="603"/>
  <c r="A191" i="603"/>
  <c r="BY190" i="603"/>
  <c r="BZ190" i="603" s="1"/>
  <c r="BX190" i="603"/>
  <c r="BW190" i="603"/>
  <c r="BU190" i="603"/>
  <c r="BT190" i="603"/>
  <c r="BH190" i="603"/>
  <c r="BV190" i="603"/>
  <c r="AY190" i="603"/>
  <c r="AX190" i="603"/>
  <c r="U190" i="603"/>
  <c r="R190" i="603"/>
  <c r="Q190" i="603"/>
  <c r="A190" i="603"/>
  <c r="BY189" i="603"/>
  <c r="BX189" i="603"/>
  <c r="BW189" i="603"/>
  <c r="BU189" i="603"/>
  <c r="BT189" i="603"/>
  <c r="BH189" i="603"/>
  <c r="BV189" i="603" s="1"/>
  <c r="AY189" i="603"/>
  <c r="AZ189" i="603" s="1"/>
  <c r="CA189" i="603" s="1"/>
  <c r="AX189" i="603"/>
  <c r="U189" i="603"/>
  <c r="R189" i="603"/>
  <c r="Q189" i="603"/>
  <c r="A189" i="603"/>
  <c r="BY188" i="603"/>
  <c r="BX188" i="603"/>
  <c r="BW188" i="603"/>
  <c r="BU188" i="603"/>
  <c r="BT188" i="603"/>
  <c r="BH188" i="603"/>
  <c r="BV188" i="603"/>
  <c r="AY188" i="603"/>
  <c r="AX188" i="603"/>
  <c r="U188" i="603"/>
  <c r="R188" i="603"/>
  <c r="Q188" i="603"/>
  <c r="A188" i="603"/>
  <c r="BY187" i="603"/>
  <c r="BX187" i="603"/>
  <c r="BZ187" i="603" s="1"/>
  <c r="BW187" i="603"/>
  <c r="BU187" i="603"/>
  <c r="BT187" i="603"/>
  <c r="BH187" i="603"/>
  <c r="BV187" i="603"/>
  <c r="AY187" i="603"/>
  <c r="AX187" i="603"/>
  <c r="U187" i="603"/>
  <c r="R187" i="603"/>
  <c r="Q187" i="603"/>
  <c r="A187" i="603"/>
  <c r="BY186" i="603"/>
  <c r="BX186" i="603"/>
  <c r="BW186" i="603"/>
  <c r="BU186" i="603"/>
  <c r="BT186" i="603"/>
  <c r="BH186" i="603"/>
  <c r="BV186" i="603" s="1"/>
  <c r="AY186" i="603"/>
  <c r="AX186" i="603"/>
  <c r="U186" i="603"/>
  <c r="R186" i="603"/>
  <c r="Q186" i="603"/>
  <c r="A186" i="603"/>
  <c r="BY185" i="603"/>
  <c r="BX185" i="603"/>
  <c r="BW185" i="603"/>
  <c r="BU185" i="603"/>
  <c r="BT185" i="603"/>
  <c r="BH185" i="603"/>
  <c r="BV185" i="603"/>
  <c r="AY185" i="603"/>
  <c r="AX185" i="603"/>
  <c r="S185" i="603"/>
  <c r="U185" i="603"/>
  <c r="R185" i="603"/>
  <c r="Q185" i="603"/>
  <c r="A185" i="603"/>
  <c r="BY184" i="603"/>
  <c r="BX184" i="603"/>
  <c r="BW184" i="603"/>
  <c r="BU184" i="603"/>
  <c r="BT184" i="603"/>
  <c r="BH184" i="603"/>
  <c r="BV184" i="603"/>
  <c r="AY184" i="603"/>
  <c r="AX184" i="603"/>
  <c r="U184" i="603"/>
  <c r="R184" i="603"/>
  <c r="Q184" i="603"/>
  <c r="A184" i="603"/>
  <c r="BY183" i="603"/>
  <c r="BX183" i="603"/>
  <c r="BW183" i="603"/>
  <c r="BU183" i="603"/>
  <c r="BT183" i="603"/>
  <c r="BZ183" i="603" s="1"/>
  <c r="BH183" i="603"/>
  <c r="BV183" i="603" s="1"/>
  <c r="AY183" i="603"/>
  <c r="AX183" i="603"/>
  <c r="U183" i="603"/>
  <c r="R183" i="603"/>
  <c r="Q183" i="603"/>
  <c r="A183" i="603"/>
  <c r="BY182" i="603"/>
  <c r="BX182" i="603"/>
  <c r="BW182" i="603"/>
  <c r="BU182" i="603"/>
  <c r="BT182" i="603"/>
  <c r="BH182" i="603"/>
  <c r="BV182" i="603"/>
  <c r="AY182" i="603"/>
  <c r="AZ182" i="603" s="1"/>
  <c r="CA182" i="603" s="1"/>
  <c r="AX182" i="603"/>
  <c r="U182" i="603"/>
  <c r="R182" i="603"/>
  <c r="Q182" i="603"/>
  <c r="A182" i="603"/>
  <c r="BY181" i="603"/>
  <c r="BX181" i="603"/>
  <c r="BW181" i="603"/>
  <c r="BZ181" i="603" s="1"/>
  <c r="BU181" i="603"/>
  <c r="BT181" i="603"/>
  <c r="BH181" i="603"/>
  <c r="BV181" i="603" s="1"/>
  <c r="AY181" i="603"/>
  <c r="AX181" i="603"/>
  <c r="U181" i="603"/>
  <c r="R181" i="603"/>
  <c r="Q181" i="603"/>
  <c r="A181" i="603"/>
  <c r="BY180" i="603"/>
  <c r="BX180" i="603"/>
  <c r="BW180" i="603"/>
  <c r="BU180" i="603"/>
  <c r="BT180" i="603"/>
  <c r="BH180" i="603"/>
  <c r="BV180" i="603"/>
  <c r="AY180" i="603"/>
  <c r="AX180" i="603"/>
  <c r="U180" i="603"/>
  <c r="R180" i="603"/>
  <c r="Q180" i="603"/>
  <c r="A180" i="603"/>
  <c r="BY179" i="603"/>
  <c r="BX179" i="603"/>
  <c r="BW179" i="603"/>
  <c r="BU179" i="603"/>
  <c r="BT179" i="603"/>
  <c r="BH179" i="603"/>
  <c r="BV179" i="603" s="1"/>
  <c r="AY179" i="603"/>
  <c r="AX179" i="603"/>
  <c r="U179" i="603"/>
  <c r="R179" i="603"/>
  <c r="Q179" i="603"/>
  <c r="A179" i="603"/>
  <c r="BY178" i="603"/>
  <c r="BX178" i="603"/>
  <c r="BW178" i="603"/>
  <c r="BZ178" i="603" s="1"/>
  <c r="BU178" i="603"/>
  <c r="BT178" i="603"/>
  <c r="BH178" i="603"/>
  <c r="BV178" i="603"/>
  <c r="AY178" i="603"/>
  <c r="AX178" i="603"/>
  <c r="U178" i="603"/>
  <c r="R178" i="603"/>
  <c r="Q178" i="603"/>
  <c r="A178" i="603"/>
  <c r="BY177" i="603"/>
  <c r="BX177" i="603"/>
  <c r="BW177" i="603"/>
  <c r="BU177" i="603"/>
  <c r="BT177" i="603"/>
  <c r="BZ177" i="603" s="1"/>
  <c r="CB177" i="603" s="1"/>
  <c r="BH177" i="603"/>
  <c r="BV177" i="603"/>
  <c r="AY177" i="603"/>
  <c r="AX177" i="603"/>
  <c r="U177" i="603"/>
  <c r="R177" i="603"/>
  <c r="Q177" i="603"/>
  <c r="A177" i="603"/>
  <c r="BY176" i="603"/>
  <c r="BX176" i="603"/>
  <c r="BW176" i="603"/>
  <c r="BV176" i="603"/>
  <c r="BU176" i="603"/>
  <c r="BT176" i="603"/>
  <c r="AY176" i="603"/>
  <c r="AZ176" i="603" s="1"/>
  <c r="CA176" i="603" s="1"/>
  <c r="AX176" i="603"/>
  <c r="R176" i="603"/>
  <c r="Q176" i="603"/>
  <c r="BY175" i="603"/>
  <c r="BX175" i="603"/>
  <c r="BW175" i="603"/>
  <c r="BU175" i="603"/>
  <c r="BT175" i="603"/>
  <c r="BH175" i="603"/>
  <c r="BV175" i="603"/>
  <c r="AY175" i="603"/>
  <c r="AX175" i="603"/>
  <c r="U175" i="603"/>
  <c r="R175" i="603"/>
  <c r="Q175" i="603"/>
  <c r="A175" i="603"/>
  <c r="BY174" i="603"/>
  <c r="BX174" i="603"/>
  <c r="BZ174" i="603" s="1"/>
  <c r="BW174" i="603"/>
  <c r="BU174" i="603"/>
  <c r="BT174" i="603"/>
  <c r="BH174" i="603"/>
  <c r="BV174" i="603"/>
  <c r="AY174" i="603"/>
  <c r="AX174" i="603"/>
  <c r="U174" i="603"/>
  <c r="R174" i="603"/>
  <c r="Q174" i="603"/>
  <c r="A174" i="603"/>
  <c r="BY173" i="603"/>
  <c r="BX173" i="603"/>
  <c r="BW173" i="603"/>
  <c r="BU173" i="603"/>
  <c r="BT173" i="603"/>
  <c r="BH173" i="603"/>
  <c r="BV173" i="603"/>
  <c r="AY173" i="603"/>
  <c r="AX173" i="603"/>
  <c r="AZ173" i="603" s="1"/>
  <c r="CA173" i="603" s="1"/>
  <c r="U173" i="603"/>
  <c r="R173" i="603"/>
  <c r="Q173" i="603"/>
  <c r="A173" i="603"/>
  <c r="BY172" i="603"/>
  <c r="BX172" i="603"/>
  <c r="BW172" i="603"/>
  <c r="BZ172" i="603" s="1"/>
  <c r="CB172" i="603" s="1"/>
  <c r="BU172" i="603"/>
  <c r="BT172" i="603"/>
  <c r="BH172" i="603"/>
  <c r="BV172" i="603"/>
  <c r="AY172" i="603"/>
  <c r="AZ172" i="603" s="1"/>
  <c r="CA172" i="603" s="1"/>
  <c r="AX172" i="603"/>
  <c r="S172" i="603"/>
  <c r="U172" i="603" s="1"/>
  <c r="R172" i="603"/>
  <c r="Q172" i="603"/>
  <c r="A172" i="603"/>
  <c r="BY171" i="603"/>
  <c r="BX171" i="603"/>
  <c r="BW171" i="603"/>
  <c r="BU171" i="603"/>
  <c r="BT171" i="603"/>
  <c r="BH171" i="603"/>
  <c r="BV171" i="603"/>
  <c r="AY171" i="603"/>
  <c r="AZ171" i="603" s="1"/>
  <c r="AX171" i="603"/>
  <c r="U171" i="603"/>
  <c r="R171" i="603"/>
  <c r="Q171" i="603"/>
  <c r="A171" i="603"/>
  <c r="BY170" i="603"/>
  <c r="BX170" i="603"/>
  <c r="BW170" i="603"/>
  <c r="BU170" i="603"/>
  <c r="BT170" i="603"/>
  <c r="BH170" i="603"/>
  <c r="BV170" i="603"/>
  <c r="AY170" i="603"/>
  <c r="AX170" i="603"/>
  <c r="AZ170" i="603" s="1"/>
  <c r="CA170" i="603" s="1"/>
  <c r="U170" i="603"/>
  <c r="R170" i="603"/>
  <c r="Q170" i="603"/>
  <c r="A170" i="603"/>
  <c r="BY169" i="603"/>
  <c r="BX169" i="603"/>
  <c r="BW169" i="603"/>
  <c r="BU169" i="603"/>
  <c r="BT169" i="603"/>
  <c r="BH169" i="603"/>
  <c r="BV169" i="603" s="1"/>
  <c r="AY169" i="603"/>
  <c r="AZ169" i="603" s="1"/>
  <c r="CA169" i="603" s="1"/>
  <c r="AX169" i="603"/>
  <c r="U169" i="603"/>
  <c r="R169" i="603"/>
  <c r="Q169" i="603"/>
  <c r="A169" i="603"/>
  <c r="BY168" i="603"/>
  <c r="BX168" i="603"/>
  <c r="BW168" i="603"/>
  <c r="BU168" i="603"/>
  <c r="BZ168" i="603" s="1"/>
  <c r="CB168" i="603" s="1"/>
  <c r="BT168" i="603"/>
  <c r="BH168" i="603"/>
  <c r="BV168" i="603" s="1"/>
  <c r="AY168" i="603"/>
  <c r="AX168" i="603"/>
  <c r="S168" i="603"/>
  <c r="U168" i="603" s="1"/>
  <c r="R168" i="603"/>
  <c r="Q168" i="603"/>
  <c r="A168" i="603"/>
  <c r="BY167" i="603"/>
  <c r="BX167" i="603"/>
  <c r="BW167" i="603"/>
  <c r="BZ167" i="603" s="1"/>
  <c r="CB167" i="603" s="1"/>
  <c r="BU167" i="603"/>
  <c r="BT167" i="603"/>
  <c r="BH167" i="603"/>
  <c r="BV167" i="603"/>
  <c r="AY167" i="603"/>
  <c r="AX167" i="603"/>
  <c r="U167" i="603"/>
  <c r="R167" i="603"/>
  <c r="Q167" i="603"/>
  <c r="A167" i="603"/>
  <c r="BY166" i="603"/>
  <c r="BX166" i="603"/>
  <c r="BW166" i="603"/>
  <c r="BU166" i="603"/>
  <c r="BT166" i="603"/>
  <c r="BH166" i="603"/>
  <c r="BV166" i="603" s="1"/>
  <c r="AY166" i="603"/>
  <c r="AX166" i="603"/>
  <c r="U166" i="603"/>
  <c r="R166" i="603"/>
  <c r="Q166" i="603"/>
  <c r="A166" i="603"/>
  <c r="BY165" i="603"/>
  <c r="BX165" i="603"/>
  <c r="BW165" i="603"/>
  <c r="BU165" i="603"/>
  <c r="BT165" i="603"/>
  <c r="BZ165" i="603" s="1"/>
  <c r="CB165" i="603" s="1"/>
  <c r="BH165" i="603"/>
  <c r="BV165" i="603" s="1"/>
  <c r="AY165" i="603"/>
  <c r="AX165" i="603"/>
  <c r="U165" i="603"/>
  <c r="R165" i="603"/>
  <c r="Q165" i="603"/>
  <c r="A165" i="603"/>
  <c r="BY164" i="603"/>
  <c r="BX164" i="603"/>
  <c r="BW164" i="603"/>
  <c r="BU164" i="603"/>
  <c r="BT164" i="603"/>
  <c r="BH164" i="603"/>
  <c r="BV164" i="603" s="1"/>
  <c r="AY164" i="603"/>
  <c r="AX164" i="603"/>
  <c r="U164" i="603"/>
  <c r="R164" i="603"/>
  <c r="Q164" i="603"/>
  <c r="A164" i="603"/>
  <c r="BY163" i="603"/>
  <c r="BX163" i="603"/>
  <c r="BW163" i="603"/>
  <c r="BU163" i="603"/>
  <c r="BT163" i="603"/>
  <c r="BH163" i="603"/>
  <c r="BV163" i="603" s="1"/>
  <c r="AY163" i="603"/>
  <c r="AZ163" i="603" s="1"/>
  <c r="AX163" i="603"/>
  <c r="U163" i="603"/>
  <c r="R163" i="603"/>
  <c r="Q163" i="603"/>
  <c r="A163" i="603"/>
  <c r="BY162" i="603"/>
  <c r="BX162" i="603"/>
  <c r="BW162" i="603"/>
  <c r="BZ162" i="603" s="1"/>
  <c r="BU162" i="603"/>
  <c r="BT162" i="603"/>
  <c r="BH162" i="603"/>
  <c r="BV162" i="603"/>
  <c r="AY162" i="603"/>
  <c r="AZ162" i="603" s="1"/>
  <c r="CA162" i="603" s="1"/>
  <c r="AX162" i="603"/>
  <c r="U162" i="603"/>
  <c r="R162" i="603"/>
  <c r="Q162" i="603"/>
  <c r="A162" i="603"/>
  <c r="BY161" i="603"/>
  <c r="BX161" i="603"/>
  <c r="BW161" i="603"/>
  <c r="BU161" i="603"/>
  <c r="BT161" i="603"/>
  <c r="BH161" i="603"/>
  <c r="BV161" i="603" s="1"/>
  <c r="AY161" i="603"/>
  <c r="AX161" i="603"/>
  <c r="S161" i="603"/>
  <c r="U161" i="603" s="1"/>
  <c r="R161" i="603"/>
  <c r="Q161" i="603"/>
  <c r="A161" i="603"/>
  <c r="BY160" i="603"/>
  <c r="BX160" i="603"/>
  <c r="BZ160" i="603" s="1"/>
  <c r="CB160" i="603" s="1"/>
  <c r="BW160" i="603"/>
  <c r="BU160" i="603"/>
  <c r="BT160" i="603"/>
  <c r="BH160" i="603"/>
  <c r="BV160" i="603"/>
  <c r="AY160" i="603"/>
  <c r="AZ160" i="603" s="1"/>
  <c r="CA160" i="603" s="1"/>
  <c r="AX160" i="603"/>
  <c r="U160" i="603"/>
  <c r="R160" i="603"/>
  <c r="Q160" i="603"/>
  <c r="A160" i="603"/>
  <c r="BY159" i="603"/>
  <c r="BX159" i="603"/>
  <c r="BW159" i="603"/>
  <c r="BU159" i="603"/>
  <c r="BT159" i="603"/>
  <c r="BH159" i="603"/>
  <c r="BV159" i="603"/>
  <c r="AY159" i="603"/>
  <c r="AX159" i="603"/>
  <c r="U159" i="603"/>
  <c r="R159" i="603"/>
  <c r="Q159" i="603"/>
  <c r="A159" i="603"/>
  <c r="BY158" i="603"/>
  <c r="BX158" i="603"/>
  <c r="BW158" i="603"/>
  <c r="BU158" i="603"/>
  <c r="BT158" i="603"/>
  <c r="BH158" i="603"/>
  <c r="BV158" i="603" s="1"/>
  <c r="AY158" i="603"/>
  <c r="AX158" i="603"/>
  <c r="U158" i="603"/>
  <c r="R158" i="603"/>
  <c r="Q158" i="603"/>
  <c r="A158" i="603"/>
  <c r="BY157" i="603"/>
  <c r="BX157" i="603"/>
  <c r="BW157" i="603"/>
  <c r="BU157" i="603"/>
  <c r="BT157" i="603"/>
  <c r="BH157" i="603"/>
  <c r="BV157" i="603" s="1"/>
  <c r="AY157" i="603"/>
  <c r="AX157" i="603"/>
  <c r="S157" i="603"/>
  <c r="U157" i="603" s="1"/>
  <c r="R157" i="603"/>
  <c r="Q157" i="603"/>
  <c r="A157" i="603"/>
  <c r="BY156" i="603"/>
  <c r="BX156" i="603"/>
  <c r="BW156" i="603"/>
  <c r="BU156" i="603"/>
  <c r="BT156" i="603"/>
  <c r="BH156" i="603"/>
  <c r="BV156" i="603"/>
  <c r="AY156" i="603"/>
  <c r="AX156" i="603"/>
  <c r="U156" i="603"/>
  <c r="R156" i="603"/>
  <c r="Q156" i="603"/>
  <c r="A156" i="603"/>
  <c r="BY155" i="603"/>
  <c r="BX155" i="603"/>
  <c r="BW155" i="603"/>
  <c r="BU155" i="603"/>
  <c r="BT155" i="603"/>
  <c r="BZ155" i="603" s="1"/>
  <c r="CB155" i="603" s="1"/>
  <c r="BH155" i="603"/>
  <c r="BV155" i="603"/>
  <c r="AY155" i="603"/>
  <c r="AX155" i="603"/>
  <c r="U155" i="603"/>
  <c r="R155" i="603"/>
  <c r="Q155" i="603"/>
  <c r="A155" i="603"/>
  <c r="BY154" i="603"/>
  <c r="BX154" i="603"/>
  <c r="BW154" i="603"/>
  <c r="BU154" i="603"/>
  <c r="BT154" i="603"/>
  <c r="BH154" i="603"/>
  <c r="BV154" i="603" s="1"/>
  <c r="AY154" i="603"/>
  <c r="AX154" i="603"/>
  <c r="AZ154" i="603" s="1"/>
  <c r="CA154" i="603" s="1"/>
  <c r="V154" i="603"/>
  <c r="V192" i="603"/>
  <c r="U154" i="603"/>
  <c r="R154" i="603"/>
  <c r="Q154" i="603"/>
  <c r="A154" i="603"/>
  <c r="BY153" i="603"/>
  <c r="BX153" i="603"/>
  <c r="BW153" i="603"/>
  <c r="BU153" i="603"/>
  <c r="BT153" i="603"/>
  <c r="BH153" i="603"/>
  <c r="BV153" i="603"/>
  <c r="AY153" i="603"/>
  <c r="AX153" i="603"/>
  <c r="U153" i="603"/>
  <c r="R153" i="603"/>
  <c r="Q153" i="603"/>
  <c r="A153" i="603"/>
  <c r="BY152" i="603"/>
  <c r="BZ152" i="603" s="1"/>
  <c r="CB152" i="603" s="1"/>
  <c r="BX152" i="603"/>
  <c r="BW152" i="603"/>
  <c r="BU152" i="603"/>
  <c r="BT152" i="603"/>
  <c r="BH152" i="603"/>
  <c r="BV152" i="603" s="1"/>
  <c r="AY152" i="603"/>
  <c r="AX152" i="603"/>
  <c r="AZ152" i="603" s="1"/>
  <c r="U152" i="603"/>
  <c r="R152" i="603"/>
  <c r="Q152" i="603"/>
  <c r="A152" i="603"/>
  <c r="BY151" i="603"/>
  <c r="BX151" i="603"/>
  <c r="BZ151" i="603" s="1"/>
  <c r="BW151" i="603"/>
  <c r="BU151" i="603"/>
  <c r="BT151" i="603"/>
  <c r="BH151" i="603"/>
  <c r="BV151" i="603" s="1"/>
  <c r="AY151" i="603"/>
  <c r="AX151" i="603"/>
  <c r="AZ151" i="603" s="1"/>
  <c r="CA151" i="603" s="1"/>
  <c r="S151" i="603"/>
  <c r="U151" i="603" s="1"/>
  <c r="R151" i="603"/>
  <c r="Q151" i="603"/>
  <c r="A151" i="603"/>
  <c r="BY150" i="603"/>
  <c r="BX150" i="603"/>
  <c r="BW150" i="603"/>
  <c r="BU150" i="603"/>
  <c r="BT150" i="603"/>
  <c r="BH150" i="603"/>
  <c r="BV150" i="603" s="1"/>
  <c r="AY150" i="603"/>
  <c r="AX150" i="603"/>
  <c r="AZ150" i="603" s="1"/>
  <c r="CA150" i="603" s="1"/>
  <c r="U150" i="603"/>
  <c r="R150" i="603"/>
  <c r="Q150" i="603"/>
  <c r="A150" i="603"/>
  <c r="BY149" i="603"/>
  <c r="BX149" i="603"/>
  <c r="BW149" i="603"/>
  <c r="BU149" i="603"/>
  <c r="BT149" i="603"/>
  <c r="BZ149" i="603" s="1"/>
  <c r="CB149" i="603" s="1"/>
  <c r="BH149" i="603"/>
  <c r="BV149" i="603" s="1"/>
  <c r="AY149" i="603"/>
  <c r="AX149" i="603"/>
  <c r="U149" i="603"/>
  <c r="R149" i="603"/>
  <c r="Q149" i="603"/>
  <c r="A149" i="603"/>
  <c r="BY148" i="603"/>
  <c r="BX148" i="603"/>
  <c r="BW148" i="603"/>
  <c r="BU148" i="603"/>
  <c r="BZ148" i="603" s="1"/>
  <c r="CB148" i="603" s="1"/>
  <c r="BT148" i="603"/>
  <c r="BH148" i="603"/>
  <c r="BV148" i="603"/>
  <c r="AY148" i="603"/>
  <c r="AX148" i="603"/>
  <c r="S148" i="603"/>
  <c r="U148" i="603"/>
  <c r="R148" i="603"/>
  <c r="Q148" i="603"/>
  <c r="A148" i="603"/>
  <c r="BY147" i="603"/>
  <c r="BX147" i="603"/>
  <c r="BW147" i="603"/>
  <c r="BV147" i="603"/>
  <c r="BU147" i="603"/>
  <c r="BT147" i="603"/>
  <c r="BZ147" i="603" s="1"/>
  <c r="AY147" i="603"/>
  <c r="AX147" i="603"/>
  <c r="AU147" i="603"/>
  <c r="A147" i="603"/>
  <c r="BY146" i="603"/>
  <c r="BX146" i="603"/>
  <c r="BW146" i="603"/>
  <c r="BV146" i="603"/>
  <c r="BU146" i="603"/>
  <c r="BT146" i="603"/>
  <c r="BZ146" i="603" s="1"/>
  <c r="AY146" i="603"/>
  <c r="AZ146" i="603" s="1"/>
  <c r="AX146" i="603"/>
  <c r="AU146" i="603"/>
  <c r="A146" i="603"/>
  <c r="BY145" i="603"/>
  <c r="BX145" i="603"/>
  <c r="BW145" i="603"/>
  <c r="BU145" i="603"/>
  <c r="BT145" i="603"/>
  <c r="BH145" i="603"/>
  <c r="BV145" i="603" s="1"/>
  <c r="BZ145" i="603" s="1"/>
  <c r="AY145" i="603"/>
  <c r="AX145" i="603"/>
  <c r="AU145" i="603"/>
  <c r="R145" i="603"/>
  <c r="Q145" i="603"/>
  <c r="A145" i="603"/>
  <c r="BY142" i="603"/>
  <c r="BX142" i="603"/>
  <c r="BW142" i="603"/>
  <c r="BV142" i="603"/>
  <c r="BU142" i="603"/>
  <c r="BT142" i="603"/>
  <c r="BZ142" i="603" s="1"/>
  <c r="CB142" i="603" s="1"/>
  <c r="AY142" i="603"/>
  <c r="AX142" i="603"/>
  <c r="AT142" i="603"/>
  <c r="A142" i="603"/>
  <c r="BY141" i="603"/>
  <c r="BX141" i="603"/>
  <c r="BW141" i="603"/>
  <c r="BV141" i="603"/>
  <c r="BU141" i="603"/>
  <c r="BT141" i="603"/>
  <c r="BZ141" i="603" s="1"/>
  <c r="CB141" i="603" s="1"/>
  <c r="AY141" i="603"/>
  <c r="AZ141" i="603" s="1"/>
  <c r="CA141" i="603" s="1"/>
  <c r="AX141" i="603"/>
  <c r="AT141" i="603"/>
  <c r="A141" i="603"/>
  <c r="BY140" i="603"/>
  <c r="BX140" i="603"/>
  <c r="BW140" i="603"/>
  <c r="BV140" i="603"/>
  <c r="BU140" i="603"/>
  <c r="BT140" i="603"/>
  <c r="BZ140" i="603" s="1"/>
  <c r="CB140" i="603" s="1"/>
  <c r="AY140" i="603"/>
  <c r="AX140" i="603"/>
  <c r="AT140" i="603"/>
  <c r="A140" i="603"/>
  <c r="BY139" i="603"/>
  <c r="BX139" i="603"/>
  <c r="BW139" i="603"/>
  <c r="BV139" i="603"/>
  <c r="BU139" i="603"/>
  <c r="BT139" i="603"/>
  <c r="AY139" i="603"/>
  <c r="AZ139" i="603" s="1"/>
  <c r="CA139" i="603" s="1"/>
  <c r="AX139" i="603"/>
  <c r="AT139" i="603"/>
  <c r="A139" i="603"/>
  <c r="BY138" i="603"/>
  <c r="BX138" i="603"/>
  <c r="BW138" i="603"/>
  <c r="BV138" i="603"/>
  <c r="BU138" i="603"/>
  <c r="BT138" i="603"/>
  <c r="AY138" i="603"/>
  <c r="AX138" i="603"/>
  <c r="AT138" i="603"/>
  <c r="A138" i="603"/>
  <c r="BY137" i="603"/>
  <c r="BX137" i="603"/>
  <c r="BW137" i="603"/>
  <c r="BZ137" i="603" s="1"/>
  <c r="CB137" i="603" s="1"/>
  <c r="BV137" i="603"/>
  <c r="BU137" i="603"/>
  <c r="BT137" i="603"/>
  <c r="AY137" i="603"/>
  <c r="AX137" i="603"/>
  <c r="AT137" i="603"/>
  <c r="A137" i="603"/>
  <c r="BY136" i="603"/>
  <c r="BX136" i="603"/>
  <c r="BW136" i="603"/>
  <c r="BV136" i="603"/>
  <c r="BU136" i="603"/>
  <c r="BT136" i="603"/>
  <c r="AY136" i="603"/>
  <c r="AX136" i="603"/>
  <c r="AT136" i="603"/>
  <c r="A136" i="603"/>
  <c r="BY135" i="603"/>
  <c r="BX135" i="603"/>
  <c r="BW135" i="603"/>
  <c r="BU135" i="603"/>
  <c r="BT135" i="603"/>
  <c r="BH135" i="603"/>
  <c r="BV135" i="603" s="1"/>
  <c r="BZ135" i="603" s="1"/>
  <c r="CB135" i="603" s="1"/>
  <c r="AY135" i="603"/>
  <c r="AX135" i="603"/>
  <c r="Z135" i="603"/>
  <c r="R135" i="603"/>
  <c r="Q135" i="603"/>
  <c r="A135" i="603"/>
  <c r="BY134" i="603"/>
  <c r="BX134" i="603"/>
  <c r="BW134" i="603"/>
  <c r="BU134" i="603"/>
  <c r="BT134" i="603"/>
  <c r="BH134" i="603"/>
  <c r="BV134" i="603" s="1"/>
  <c r="AY134" i="603"/>
  <c r="AX134" i="603"/>
  <c r="Z134" i="603"/>
  <c r="Z192" i="603" s="1"/>
  <c r="R134" i="603"/>
  <c r="Q134" i="603"/>
  <c r="A134" i="603"/>
  <c r="BY133" i="603"/>
  <c r="BX133" i="603"/>
  <c r="BW133" i="603"/>
  <c r="BU133" i="603"/>
  <c r="BT133" i="603"/>
  <c r="BH133" i="603"/>
  <c r="BV133" i="603"/>
  <c r="AY133" i="603"/>
  <c r="AX133" i="603"/>
  <c r="Z133" i="603"/>
  <c r="R133" i="603"/>
  <c r="Q133" i="603"/>
  <c r="A133" i="603"/>
  <c r="BY132" i="603"/>
  <c r="BX132" i="603"/>
  <c r="BW132" i="603"/>
  <c r="BU132" i="603"/>
  <c r="BT132" i="603"/>
  <c r="BH132" i="603"/>
  <c r="BV132" i="603" s="1"/>
  <c r="AY132" i="603"/>
  <c r="AX132" i="603"/>
  <c r="Z132" i="603"/>
  <c r="R132" i="603"/>
  <c r="Q132" i="603"/>
  <c r="A132" i="603"/>
  <c r="BY131" i="603"/>
  <c r="BX131" i="603"/>
  <c r="BW131" i="603"/>
  <c r="BU131" i="603"/>
  <c r="BT131" i="603"/>
  <c r="BH131" i="603"/>
  <c r="BV131" i="603"/>
  <c r="AY131" i="603"/>
  <c r="AX131" i="603"/>
  <c r="AZ131" i="603" s="1"/>
  <c r="CA131" i="603" s="1"/>
  <c r="Z131" i="603"/>
  <c r="R131" i="603"/>
  <c r="Q131" i="603"/>
  <c r="A131" i="603"/>
  <c r="BY130" i="603"/>
  <c r="BX130" i="603"/>
  <c r="BW130" i="603"/>
  <c r="BU130" i="603"/>
  <c r="BT130" i="603"/>
  <c r="BH130" i="603"/>
  <c r="BV130" i="603" s="1"/>
  <c r="BZ130" i="603" s="1"/>
  <c r="AY130" i="603"/>
  <c r="AX130" i="603"/>
  <c r="Z130" i="603"/>
  <c r="R130" i="603"/>
  <c r="Q130" i="603"/>
  <c r="A130" i="603"/>
  <c r="BY129" i="603"/>
  <c r="BX129" i="603"/>
  <c r="BW129" i="603"/>
  <c r="BU129" i="603"/>
  <c r="BT129" i="603"/>
  <c r="BH129" i="603"/>
  <c r="BV129" i="603" s="1"/>
  <c r="AY129" i="603"/>
  <c r="AZ129" i="603" s="1"/>
  <c r="CA129" i="603" s="1"/>
  <c r="AX129" i="603"/>
  <c r="Z129" i="603"/>
  <c r="R129" i="603"/>
  <c r="Q129" i="603"/>
  <c r="A129" i="603"/>
  <c r="BY128" i="603"/>
  <c r="BX128" i="603"/>
  <c r="BW128" i="603"/>
  <c r="BU128" i="603"/>
  <c r="BT128" i="603"/>
  <c r="BH128" i="603"/>
  <c r="BV128" i="603"/>
  <c r="AY128" i="603"/>
  <c r="AZ128" i="603" s="1"/>
  <c r="AX128" i="603"/>
  <c r="Z128" i="603"/>
  <c r="R128" i="603"/>
  <c r="Q128" i="603"/>
  <c r="A128" i="603"/>
  <c r="BY127" i="603"/>
  <c r="BX127" i="603"/>
  <c r="BW127" i="603"/>
  <c r="BU127" i="603"/>
  <c r="BT127" i="603"/>
  <c r="BH127" i="603"/>
  <c r="BV127" i="603"/>
  <c r="AY127" i="603"/>
  <c r="AX127" i="603"/>
  <c r="Z127" i="603"/>
  <c r="R127" i="603"/>
  <c r="Q127" i="603"/>
  <c r="A127" i="603"/>
  <c r="BY126" i="603"/>
  <c r="BX126" i="603"/>
  <c r="BW126" i="603"/>
  <c r="BU126" i="603"/>
  <c r="BT126" i="603"/>
  <c r="BH126" i="603"/>
  <c r="BV126" i="603"/>
  <c r="BZ126" i="603" s="1"/>
  <c r="CB126" i="603" s="1"/>
  <c r="AY126" i="603"/>
  <c r="AZ126" i="603" s="1"/>
  <c r="CA126" i="603" s="1"/>
  <c r="AX126" i="603"/>
  <c r="Z126" i="603"/>
  <c r="R126" i="603"/>
  <c r="Q126" i="603"/>
  <c r="A126" i="603"/>
  <c r="BY125" i="603"/>
  <c r="BX125" i="603"/>
  <c r="BW125" i="603"/>
  <c r="BU125" i="603"/>
  <c r="BT125" i="603"/>
  <c r="BZ125" i="603" s="1"/>
  <c r="CB125" i="603" s="1"/>
  <c r="BH125" i="603"/>
  <c r="BV125" i="603" s="1"/>
  <c r="AY125" i="603"/>
  <c r="AX125" i="603"/>
  <c r="AZ125" i="603" s="1"/>
  <c r="CA125" i="603" s="1"/>
  <c r="Z125" i="603"/>
  <c r="R125" i="603"/>
  <c r="Q125" i="603"/>
  <c r="A125" i="603"/>
  <c r="BY124" i="603"/>
  <c r="BX124" i="603"/>
  <c r="BW124" i="603"/>
  <c r="BU124" i="603"/>
  <c r="BT124" i="603"/>
  <c r="BH124" i="603"/>
  <c r="BV124" i="603" s="1"/>
  <c r="AY124" i="603"/>
  <c r="AZ124" i="603" s="1"/>
  <c r="CA124" i="603" s="1"/>
  <c r="AX124" i="603"/>
  <c r="Z124" i="603"/>
  <c r="R124" i="603"/>
  <c r="Q124" i="603"/>
  <c r="A124" i="603"/>
  <c r="BY123" i="603"/>
  <c r="BX123" i="603"/>
  <c r="BW123" i="603"/>
  <c r="BU123" i="603"/>
  <c r="BT123" i="603"/>
  <c r="BH123" i="603"/>
  <c r="BV123" i="603" s="1"/>
  <c r="AY123" i="603"/>
  <c r="AX123" i="603"/>
  <c r="AZ123" i="603" s="1"/>
  <c r="CA123" i="603" s="1"/>
  <c r="AL123" i="603"/>
  <c r="R123" i="603"/>
  <c r="Q123" i="603"/>
  <c r="A123" i="603"/>
  <c r="BY122" i="603"/>
  <c r="BX122" i="603"/>
  <c r="BW122" i="603"/>
  <c r="BZ122" i="603" s="1"/>
  <c r="CB122" i="603" s="1"/>
  <c r="BU122" i="603"/>
  <c r="BT122" i="603"/>
  <c r="BH122" i="603"/>
  <c r="BV122" i="603"/>
  <c r="AY122" i="603"/>
  <c r="AX122" i="603"/>
  <c r="AL122" i="603"/>
  <c r="R122" i="603"/>
  <c r="Q122" i="603"/>
  <c r="A122" i="603"/>
  <c r="BY121" i="603"/>
  <c r="BX121" i="603"/>
  <c r="BW121" i="603"/>
  <c r="BU121" i="603"/>
  <c r="BT121" i="603"/>
  <c r="BZ121" i="603" s="1"/>
  <c r="CB121" i="603" s="1"/>
  <c r="BH121" i="603"/>
  <c r="BV121" i="603" s="1"/>
  <c r="AY121" i="603"/>
  <c r="AX121" i="603"/>
  <c r="AL121" i="603"/>
  <c r="AL192" i="603" s="1"/>
  <c r="R121" i="603"/>
  <c r="Q121" i="603"/>
  <c r="A121" i="603"/>
  <c r="BY120" i="603"/>
  <c r="BX120" i="603"/>
  <c r="BW120" i="603"/>
  <c r="BV120" i="603"/>
  <c r="BZ120" i="603" s="1"/>
  <c r="CB120" i="603" s="1"/>
  <c r="BU120" i="603"/>
  <c r="BT120" i="603"/>
  <c r="AY120" i="603"/>
  <c r="AX120" i="603"/>
  <c r="AL120" i="603"/>
  <c r="R120" i="603"/>
  <c r="Q120" i="603"/>
  <c r="A120" i="603"/>
  <c r="BY119" i="603"/>
  <c r="BX119" i="603"/>
  <c r="BW119" i="603"/>
  <c r="BU119" i="603"/>
  <c r="BT119" i="603"/>
  <c r="BH119" i="603"/>
  <c r="BV119" i="603"/>
  <c r="AY119" i="603"/>
  <c r="AX119" i="603"/>
  <c r="AL119" i="603"/>
  <c r="R119" i="603"/>
  <c r="Q119" i="603"/>
  <c r="A119" i="603"/>
  <c r="BY118" i="603"/>
  <c r="BX118" i="603"/>
  <c r="BW118" i="603"/>
  <c r="BU118" i="603"/>
  <c r="BT118" i="603"/>
  <c r="BH118" i="603"/>
  <c r="BV118" i="603" s="1"/>
  <c r="AY118" i="603"/>
  <c r="AZ118" i="603" s="1"/>
  <c r="CA118" i="603" s="1"/>
  <c r="AX118" i="603"/>
  <c r="AL118" i="603"/>
  <c r="R118" i="603"/>
  <c r="Q118" i="603"/>
  <c r="A118" i="603"/>
  <c r="BY117" i="603"/>
  <c r="BX117" i="603"/>
  <c r="BW117" i="603"/>
  <c r="BU117" i="603"/>
  <c r="BT117" i="603"/>
  <c r="BH117" i="603"/>
  <c r="BV117" i="603" s="1"/>
  <c r="BZ117" i="603" s="1"/>
  <c r="AY117" i="603"/>
  <c r="AX117" i="603"/>
  <c r="AL117" i="603"/>
  <c r="R117" i="603"/>
  <c r="Q117" i="603"/>
  <c r="A117" i="603"/>
  <c r="BY116" i="603"/>
  <c r="BX116" i="603"/>
  <c r="BW116" i="603"/>
  <c r="BU116" i="603"/>
  <c r="BT116" i="603"/>
  <c r="BH116" i="603"/>
  <c r="BV116" i="603" s="1"/>
  <c r="AY116" i="603"/>
  <c r="AX116" i="603"/>
  <c r="AL116" i="603"/>
  <c r="R116" i="603"/>
  <c r="Q116" i="603"/>
  <c r="A116" i="603"/>
  <c r="BY115" i="603"/>
  <c r="BX115" i="603"/>
  <c r="BW115" i="603"/>
  <c r="BU115" i="603"/>
  <c r="BT115" i="603"/>
  <c r="BH115" i="603"/>
  <c r="BV115" i="603"/>
  <c r="AY115" i="603"/>
  <c r="AX115" i="603"/>
  <c r="AL115" i="603"/>
  <c r="R115" i="603"/>
  <c r="Q115" i="603"/>
  <c r="A115" i="603"/>
  <c r="BY114" i="603"/>
  <c r="BX114" i="603"/>
  <c r="BW114" i="603"/>
  <c r="BV114" i="603"/>
  <c r="BU114" i="603"/>
  <c r="BT114" i="603"/>
  <c r="AY114" i="603"/>
  <c r="AZ114" i="603" s="1"/>
  <c r="CA114" i="603" s="1"/>
  <c r="AX114" i="603"/>
  <c r="AM114" i="603"/>
  <c r="R114" i="603"/>
  <c r="Q114" i="603"/>
  <c r="A114" i="603"/>
  <c r="BY113" i="603"/>
  <c r="BX113" i="603"/>
  <c r="BW113" i="603"/>
  <c r="BV113" i="603"/>
  <c r="BZ113" i="603" s="1"/>
  <c r="CB113" i="603" s="1"/>
  <c r="BU113" i="603"/>
  <c r="BT113" i="603"/>
  <c r="AY113" i="603"/>
  <c r="AX113" i="603"/>
  <c r="AZ113" i="603" s="1"/>
  <c r="CA113" i="603" s="1"/>
  <c r="AM113" i="603"/>
  <c r="R113" i="603"/>
  <c r="Q113" i="603"/>
  <c r="A113" i="603"/>
  <c r="BY112" i="603"/>
  <c r="BX112" i="603"/>
  <c r="BW112" i="603"/>
  <c r="BZ112" i="603" s="1"/>
  <c r="CB112" i="603" s="1"/>
  <c r="BV112" i="603"/>
  <c r="BU112" i="603"/>
  <c r="BT112" i="603"/>
  <c r="AY112" i="603"/>
  <c r="AX112" i="603"/>
  <c r="AZ112" i="603" s="1"/>
  <c r="CA112" i="603" s="1"/>
  <c r="AM112" i="603"/>
  <c r="AM192" i="603" s="1"/>
  <c r="R112" i="603"/>
  <c r="Q112" i="603"/>
  <c r="A112" i="603"/>
  <c r="BY111" i="603"/>
  <c r="BX111" i="603"/>
  <c r="BW111" i="603"/>
  <c r="BV111" i="603"/>
  <c r="BZ111" i="603" s="1"/>
  <c r="CB111" i="603" s="1"/>
  <c r="BU111" i="603"/>
  <c r="BT111" i="603"/>
  <c r="AY111" i="603"/>
  <c r="AX111" i="603"/>
  <c r="AR111" i="603"/>
  <c r="R111" i="603"/>
  <c r="Q111" i="603"/>
  <c r="A111" i="603"/>
  <c r="BY110" i="603"/>
  <c r="BX110" i="603"/>
  <c r="BW110" i="603"/>
  <c r="BV110" i="603"/>
  <c r="BU110" i="603"/>
  <c r="BT110" i="603"/>
  <c r="AY110" i="603"/>
  <c r="AX110" i="603"/>
  <c r="AR110" i="603"/>
  <c r="R110" i="603"/>
  <c r="Q110" i="603"/>
  <c r="A110" i="603"/>
  <c r="BY109" i="603"/>
  <c r="BX109" i="603"/>
  <c r="BW109" i="603"/>
  <c r="BV109" i="603"/>
  <c r="BU109" i="603"/>
  <c r="BT109" i="603"/>
  <c r="AY109" i="603"/>
  <c r="AZ109" i="603" s="1"/>
  <c r="CA109" i="603" s="1"/>
  <c r="AX109" i="603"/>
  <c r="AR109" i="603"/>
  <c r="R109" i="603"/>
  <c r="Q109" i="603"/>
  <c r="A109" i="603"/>
  <c r="BY108" i="603"/>
  <c r="BX108" i="603"/>
  <c r="BW108" i="603"/>
  <c r="BV108" i="603"/>
  <c r="BZ108" i="603" s="1"/>
  <c r="CB108" i="603" s="1"/>
  <c r="BU108" i="603"/>
  <c r="BT108" i="603"/>
  <c r="AY108" i="603"/>
  <c r="AX108" i="603"/>
  <c r="AZ108" i="603" s="1"/>
  <c r="CA108" i="603" s="1"/>
  <c r="AK108" i="603"/>
  <c r="A108" i="603"/>
  <c r="BY107" i="603"/>
  <c r="BX107" i="603"/>
  <c r="BW107" i="603"/>
  <c r="BV107" i="603"/>
  <c r="BU107" i="603"/>
  <c r="BZ107" i="603" s="1"/>
  <c r="BT107" i="603"/>
  <c r="AY107" i="603"/>
  <c r="AX107" i="603"/>
  <c r="AK107" i="603"/>
  <c r="A107" i="603"/>
  <c r="BY106" i="603"/>
  <c r="BX106" i="603"/>
  <c r="BW106" i="603"/>
  <c r="BV106" i="603"/>
  <c r="BZ106" i="603" s="1"/>
  <c r="BU106" i="603"/>
  <c r="BT106" i="603"/>
  <c r="AY106" i="603"/>
  <c r="AX106" i="603"/>
  <c r="AK106" i="603"/>
  <c r="AK192" i="603" s="1"/>
  <c r="A106" i="603"/>
  <c r="BY105" i="603"/>
  <c r="BX105" i="603"/>
  <c r="BW105" i="603"/>
  <c r="BV105" i="603"/>
  <c r="BU105" i="603"/>
  <c r="BT105" i="603"/>
  <c r="AY105" i="603"/>
  <c r="AX105" i="603"/>
  <c r="AH105" i="603"/>
  <c r="R105" i="603"/>
  <c r="Q105" i="603"/>
  <c r="A105" i="603"/>
  <c r="BY104" i="603"/>
  <c r="BX104" i="603"/>
  <c r="BW104" i="603"/>
  <c r="BV104" i="603"/>
  <c r="BU104" i="603"/>
  <c r="BT104" i="603"/>
  <c r="AY104" i="603"/>
  <c r="AX104" i="603"/>
  <c r="R104" i="603"/>
  <c r="Q104" i="603"/>
  <c r="A104" i="603"/>
  <c r="BY103" i="603"/>
  <c r="BX103" i="603"/>
  <c r="BW103" i="603"/>
  <c r="BV103" i="603"/>
  <c r="BU103" i="603"/>
  <c r="BT103" i="603"/>
  <c r="AY103" i="603"/>
  <c r="AX103" i="603"/>
  <c r="AZ103" i="603"/>
  <c r="CA103" i="603" s="1"/>
  <c r="AD103" i="603"/>
  <c r="AD192" i="603" s="1"/>
  <c r="R103" i="603"/>
  <c r="Q103" i="603"/>
  <c r="A103" i="603"/>
  <c r="BY102" i="603"/>
  <c r="BX102" i="603"/>
  <c r="BW102" i="603"/>
  <c r="BV102" i="603"/>
  <c r="BU102" i="603"/>
  <c r="BT102" i="603"/>
  <c r="AY102" i="603"/>
  <c r="AZ102" i="603" s="1"/>
  <c r="CA102" i="603" s="1"/>
  <c r="AX102" i="603"/>
  <c r="AH102" i="603"/>
  <c r="R102" i="603"/>
  <c r="Q102" i="603"/>
  <c r="A102" i="603"/>
  <c r="BY101" i="603"/>
  <c r="BX101" i="603"/>
  <c r="BW101" i="603"/>
  <c r="BV101" i="603"/>
  <c r="BU101" i="603"/>
  <c r="BT101" i="603"/>
  <c r="AY101" i="603"/>
  <c r="AX101" i="603"/>
  <c r="AZ101" i="603" s="1"/>
  <c r="CA101" i="603" s="1"/>
  <c r="AH101" i="603"/>
  <c r="R101" i="603"/>
  <c r="Q101" i="603"/>
  <c r="A101" i="603"/>
  <c r="BY100" i="603"/>
  <c r="BX100" i="603"/>
  <c r="BW100" i="603"/>
  <c r="BZ100" i="603" s="1"/>
  <c r="CB100" i="603" s="1"/>
  <c r="BV100" i="603"/>
  <c r="BU100" i="603"/>
  <c r="BT100" i="603"/>
  <c r="AY100" i="603"/>
  <c r="AX100" i="603"/>
  <c r="AI100" i="603"/>
  <c r="R100" i="603"/>
  <c r="Q100" i="603"/>
  <c r="A100" i="603"/>
  <c r="BY99" i="603"/>
  <c r="BX99" i="603"/>
  <c r="BW99" i="603"/>
  <c r="BV99" i="603"/>
  <c r="BU99" i="603"/>
  <c r="BT99" i="603"/>
  <c r="AY99" i="603"/>
  <c r="AX99" i="603"/>
  <c r="AI99" i="603"/>
  <c r="R99" i="603"/>
  <c r="Q99" i="603"/>
  <c r="A99" i="603"/>
  <c r="BY98" i="603"/>
  <c r="BX98" i="603"/>
  <c r="BW98" i="603"/>
  <c r="BV98" i="603"/>
  <c r="BU98" i="603"/>
  <c r="BT98" i="603"/>
  <c r="BZ98" i="603" s="1"/>
  <c r="AY98" i="603"/>
  <c r="AZ98" i="603" s="1"/>
  <c r="CA98" i="603" s="1"/>
  <c r="AX98" i="603"/>
  <c r="AI98" i="603"/>
  <c r="R98" i="603"/>
  <c r="Q98" i="603"/>
  <c r="A98" i="603"/>
  <c r="BY97" i="603"/>
  <c r="BX97" i="603"/>
  <c r="BW97" i="603"/>
  <c r="BV97" i="603"/>
  <c r="BU97" i="603"/>
  <c r="BT97" i="603"/>
  <c r="AY97" i="603"/>
  <c r="AZ97" i="603" s="1"/>
  <c r="CA97" i="603" s="1"/>
  <c r="AX97" i="603"/>
  <c r="AI97" i="603"/>
  <c r="R97" i="603"/>
  <c r="Q97" i="603"/>
  <c r="A97" i="603"/>
  <c r="BY96" i="603"/>
  <c r="BX96" i="603"/>
  <c r="BW96" i="603"/>
  <c r="BV96" i="603"/>
  <c r="BU96" i="603"/>
  <c r="BT96" i="603"/>
  <c r="AY96" i="603"/>
  <c r="AZ96" i="603" s="1"/>
  <c r="CA96" i="603" s="1"/>
  <c r="AX96" i="603"/>
  <c r="AI96" i="603"/>
  <c r="R96" i="603"/>
  <c r="Q96" i="603"/>
  <c r="A96" i="603"/>
  <c r="BY95" i="603"/>
  <c r="BX95" i="603"/>
  <c r="BW95" i="603"/>
  <c r="BV95" i="603"/>
  <c r="BU95" i="603"/>
  <c r="BT95" i="603"/>
  <c r="AY95" i="603"/>
  <c r="AX95" i="603"/>
  <c r="AI95" i="603"/>
  <c r="R95" i="603"/>
  <c r="Q95" i="603"/>
  <c r="A95" i="603"/>
  <c r="BY94" i="603"/>
  <c r="BX94" i="603"/>
  <c r="BW94" i="603"/>
  <c r="BZ94" i="603" s="1"/>
  <c r="CB94" i="603" s="1"/>
  <c r="BU94" i="603"/>
  <c r="BT94" i="603"/>
  <c r="BH94" i="603"/>
  <c r="BV94" i="603" s="1"/>
  <c r="AY94" i="603"/>
  <c r="AX94" i="603"/>
  <c r="AZ94" i="603" s="1"/>
  <c r="CA94" i="603" s="1"/>
  <c r="AA94" i="603"/>
  <c r="R94" i="603"/>
  <c r="Q94" i="603"/>
  <c r="A94" i="603"/>
  <c r="BY93" i="603"/>
  <c r="BX93" i="603"/>
  <c r="BW93" i="603"/>
  <c r="BU93" i="603"/>
  <c r="BT93" i="603"/>
  <c r="BH93" i="603"/>
  <c r="BV93" i="603"/>
  <c r="BZ93" i="603" s="1"/>
  <c r="AY93" i="603"/>
  <c r="AX93" i="603"/>
  <c r="AA93" i="603"/>
  <c r="R93" i="603"/>
  <c r="Q93" i="603"/>
  <c r="A93" i="603"/>
  <c r="BY92" i="603"/>
  <c r="BX92" i="603"/>
  <c r="BW92" i="603"/>
  <c r="BU92" i="603"/>
  <c r="BT92" i="603"/>
  <c r="BH92" i="603"/>
  <c r="BV92" i="603"/>
  <c r="AY92" i="603"/>
  <c r="AX92" i="603"/>
  <c r="Y92" i="603"/>
  <c r="R92" i="603"/>
  <c r="Q92" i="603"/>
  <c r="A92" i="603"/>
  <c r="BY91" i="603"/>
  <c r="BX91" i="603"/>
  <c r="BW91" i="603"/>
  <c r="BU91" i="603"/>
  <c r="BT91" i="603"/>
  <c r="BZ91" i="603" s="1"/>
  <c r="CB91" i="603" s="1"/>
  <c r="BH91" i="603"/>
  <c r="BV91" i="603"/>
  <c r="AY91" i="603"/>
  <c r="AX91" i="603"/>
  <c r="Y91" i="603"/>
  <c r="R91" i="603"/>
  <c r="Q91" i="603"/>
  <c r="A91" i="603"/>
  <c r="BY90" i="603"/>
  <c r="BX90" i="603"/>
  <c r="BW90" i="603"/>
  <c r="BU90" i="603"/>
  <c r="BT90" i="603"/>
  <c r="BH90" i="603"/>
  <c r="BV90" i="603"/>
  <c r="AY90" i="603"/>
  <c r="AX90" i="603"/>
  <c r="S90" i="603"/>
  <c r="Y90" i="603" s="1"/>
  <c r="R90" i="603"/>
  <c r="Q90" i="603"/>
  <c r="A90" i="603"/>
  <c r="BY89" i="603"/>
  <c r="BX89" i="603"/>
  <c r="BW89" i="603"/>
  <c r="BU89" i="603"/>
  <c r="BT89" i="603"/>
  <c r="BH89" i="603"/>
  <c r="BV89" i="603"/>
  <c r="AY89" i="603"/>
  <c r="AX89" i="603"/>
  <c r="AZ89" i="603"/>
  <c r="CA89" i="603"/>
  <c r="X89" i="603"/>
  <c r="R89" i="603"/>
  <c r="Q89" i="603"/>
  <c r="A89" i="603"/>
  <c r="BY88" i="603"/>
  <c r="BX88" i="603"/>
  <c r="BW88" i="603"/>
  <c r="BU88" i="603"/>
  <c r="BZ88" i="603" s="1"/>
  <c r="CB88" i="603" s="1"/>
  <c r="BT88" i="603"/>
  <c r="BH88" i="603"/>
  <c r="BV88" i="603"/>
  <c r="AY88" i="603"/>
  <c r="AX88" i="603"/>
  <c r="Y88" i="603"/>
  <c r="R88" i="603"/>
  <c r="Q88" i="603"/>
  <c r="A88" i="603"/>
  <c r="BY87" i="603"/>
  <c r="BX87" i="603"/>
  <c r="BW87" i="603"/>
  <c r="BU87" i="603"/>
  <c r="BT87" i="603"/>
  <c r="BH87" i="603"/>
  <c r="BV87" i="603"/>
  <c r="AY87" i="603"/>
  <c r="AZ87" i="603" s="1"/>
  <c r="AX87" i="603"/>
  <c r="Y87" i="603"/>
  <c r="R87" i="603"/>
  <c r="Q87" i="603"/>
  <c r="A87" i="603"/>
  <c r="BY86" i="603"/>
  <c r="BX86" i="603"/>
  <c r="BW86" i="603"/>
  <c r="BU86" i="603"/>
  <c r="BT86" i="603"/>
  <c r="BH86" i="603"/>
  <c r="BV86" i="603" s="1"/>
  <c r="AY86" i="603"/>
  <c r="AX86" i="603"/>
  <c r="Y86" i="603"/>
  <c r="R86" i="603"/>
  <c r="Q86" i="603"/>
  <c r="A86" i="603"/>
  <c r="BY85" i="603"/>
  <c r="BX85" i="603"/>
  <c r="BW85" i="603"/>
  <c r="BU85" i="603"/>
  <c r="BT85" i="603"/>
  <c r="BH85" i="603"/>
  <c r="BV85" i="603" s="1"/>
  <c r="AY85" i="603"/>
  <c r="AX85" i="603"/>
  <c r="X85" i="603"/>
  <c r="R85" i="603"/>
  <c r="Q85" i="603"/>
  <c r="A85" i="603"/>
  <c r="BY84" i="603"/>
  <c r="BX84" i="603"/>
  <c r="BW84" i="603"/>
  <c r="BU84" i="603"/>
  <c r="BT84" i="603"/>
  <c r="BH84" i="603"/>
  <c r="BV84" i="603"/>
  <c r="AY84" i="603"/>
  <c r="AX84" i="603"/>
  <c r="Y84" i="603"/>
  <c r="R84" i="603"/>
  <c r="Q84" i="603"/>
  <c r="A84" i="603"/>
  <c r="BY83" i="603"/>
  <c r="BX83" i="603"/>
  <c r="BW83" i="603"/>
  <c r="BU83" i="603"/>
  <c r="BT83" i="603"/>
  <c r="BH83" i="603"/>
  <c r="BV83" i="603" s="1"/>
  <c r="AY83" i="603"/>
  <c r="AZ83" i="603" s="1"/>
  <c r="AX83" i="603"/>
  <c r="Y83" i="603"/>
  <c r="Y192" i="603" s="1"/>
  <c r="X83" i="603"/>
  <c r="R83" i="603"/>
  <c r="Q83" i="603"/>
  <c r="A83" i="603"/>
  <c r="BY82" i="603"/>
  <c r="BX82" i="603"/>
  <c r="BW82" i="603"/>
  <c r="BU82" i="603"/>
  <c r="BT82" i="603"/>
  <c r="BH82" i="603"/>
  <c r="BV82" i="603" s="1"/>
  <c r="AY82" i="603"/>
  <c r="AX82" i="603"/>
  <c r="AZ82" i="603" s="1"/>
  <c r="CA82" i="603" s="1"/>
  <c r="Y82" i="603"/>
  <c r="X82" i="603"/>
  <c r="R82" i="603"/>
  <c r="Q82" i="603"/>
  <c r="A82" i="603"/>
  <c r="BY81" i="603"/>
  <c r="BX81" i="603"/>
  <c r="BW81" i="603"/>
  <c r="BZ81" i="603" s="1"/>
  <c r="BU81" i="603"/>
  <c r="BT81" i="603"/>
  <c r="BH81" i="603"/>
  <c r="BV81" i="603"/>
  <c r="AY81" i="603"/>
  <c r="AZ81" i="603" s="1"/>
  <c r="CA81" i="603" s="1"/>
  <c r="AX81" i="603"/>
  <c r="Y81" i="603"/>
  <c r="X81" i="603"/>
  <c r="R81" i="603"/>
  <c r="Q81" i="603"/>
  <c r="A81" i="603"/>
  <c r="BY80" i="603"/>
  <c r="BX80" i="603"/>
  <c r="BW80" i="603"/>
  <c r="BU80" i="603"/>
  <c r="BT80" i="603"/>
  <c r="BH80" i="603"/>
  <c r="BV80" i="603"/>
  <c r="AY80" i="603"/>
  <c r="AX80" i="603"/>
  <c r="AZ80" i="603" s="1"/>
  <c r="CA80" i="603" s="1"/>
  <c r="Y80" i="603"/>
  <c r="X80" i="603"/>
  <c r="R80" i="603"/>
  <c r="Q80" i="603"/>
  <c r="A80" i="603"/>
  <c r="BY79" i="603"/>
  <c r="BX79" i="603"/>
  <c r="BW79" i="603"/>
  <c r="BU79" i="603"/>
  <c r="BT79" i="603"/>
  <c r="BH79" i="603"/>
  <c r="BV79" i="603"/>
  <c r="AY79" i="603"/>
  <c r="AX79" i="603"/>
  <c r="Y79" i="603"/>
  <c r="X79" i="603"/>
  <c r="R79" i="603"/>
  <c r="Q79" i="603"/>
  <c r="A79" i="603"/>
  <c r="BY78" i="603"/>
  <c r="BX78" i="603"/>
  <c r="BW78" i="603"/>
  <c r="BU78" i="603"/>
  <c r="BT78" i="603"/>
  <c r="BH78" i="603"/>
  <c r="BV78" i="603" s="1"/>
  <c r="AY78" i="603"/>
  <c r="AX78" i="603"/>
  <c r="Y78" i="603"/>
  <c r="X78" i="603"/>
  <c r="Q78" i="603"/>
  <c r="A78" i="603"/>
  <c r="BY77" i="603"/>
  <c r="BX77" i="603"/>
  <c r="BW77" i="603"/>
  <c r="BU77" i="603"/>
  <c r="BT77" i="603"/>
  <c r="BH77" i="603"/>
  <c r="BV77" i="603" s="1"/>
  <c r="AY77" i="603"/>
  <c r="AX77" i="603"/>
  <c r="S77" i="603"/>
  <c r="Y77" i="603"/>
  <c r="R77" i="603"/>
  <c r="Q77" i="603"/>
  <c r="A77" i="603"/>
  <c r="BY76" i="603"/>
  <c r="BX76" i="603"/>
  <c r="BW76" i="603"/>
  <c r="BU76" i="603"/>
  <c r="BT76" i="603"/>
  <c r="BH76" i="603"/>
  <c r="BV76" i="603"/>
  <c r="BZ76" i="603" s="1"/>
  <c r="AY76" i="603"/>
  <c r="AX76" i="603"/>
  <c r="Y76" i="603"/>
  <c r="Q76" i="603"/>
  <c r="A76" i="603"/>
  <c r="BY75" i="603"/>
  <c r="BX75" i="603"/>
  <c r="BW75" i="603"/>
  <c r="BU75" i="603"/>
  <c r="BT75" i="603"/>
  <c r="BH75" i="603"/>
  <c r="BV75" i="603"/>
  <c r="AY75" i="603"/>
  <c r="AZ75" i="603" s="1"/>
  <c r="CA75" i="603" s="1"/>
  <c r="AX75" i="603"/>
  <c r="Y75" i="603"/>
  <c r="R75" i="603"/>
  <c r="Q75" i="603"/>
  <c r="A75" i="603"/>
  <c r="BY74" i="603"/>
  <c r="BX74" i="603"/>
  <c r="BZ74" i="603" s="1"/>
  <c r="CB74" i="603" s="1"/>
  <c r="BW74" i="603"/>
  <c r="BU74" i="603"/>
  <c r="BT74" i="603"/>
  <c r="BH74" i="603"/>
  <c r="BV74" i="603"/>
  <c r="AY74" i="603"/>
  <c r="AX74" i="603"/>
  <c r="AZ74" i="603" s="1"/>
  <c r="X74" i="603"/>
  <c r="R74" i="603"/>
  <c r="Q74" i="603"/>
  <c r="A74" i="603"/>
  <c r="BY73" i="603"/>
  <c r="BX73" i="603"/>
  <c r="BW73" i="603"/>
  <c r="BU73" i="603"/>
  <c r="BT73" i="603"/>
  <c r="BZ73" i="603" s="1"/>
  <c r="BH73" i="603"/>
  <c r="BV73" i="603"/>
  <c r="AY73" i="603"/>
  <c r="X73" i="603"/>
  <c r="R73" i="603"/>
  <c r="Q73" i="603"/>
  <c r="A73" i="603"/>
  <c r="BY72" i="603"/>
  <c r="BX72" i="603"/>
  <c r="BW72" i="603"/>
  <c r="BU72" i="603"/>
  <c r="BT72" i="603"/>
  <c r="BZ72" i="603" s="1"/>
  <c r="BH72" i="603"/>
  <c r="BV72" i="603"/>
  <c r="AY72" i="603"/>
  <c r="AX72" i="603"/>
  <c r="Y72" i="603"/>
  <c r="R72" i="603"/>
  <c r="Q72" i="603"/>
  <c r="A72" i="603"/>
  <c r="BY71" i="603"/>
  <c r="BX71" i="603"/>
  <c r="BW71" i="603"/>
  <c r="BU71" i="603"/>
  <c r="BT71" i="603"/>
  <c r="BH71" i="603"/>
  <c r="BV71" i="603" s="1"/>
  <c r="AY71" i="603"/>
  <c r="AX71" i="603"/>
  <c r="AZ71" i="603" s="1"/>
  <c r="X71" i="603"/>
  <c r="R71" i="603"/>
  <c r="Q71" i="603"/>
  <c r="A71" i="603"/>
  <c r="BY70" i="603"/>
  <c r="BX70" i="603"/>
  <c r="BW70" i="603"/>
  <c r="BU70" i="603"/>
  <c r="BT70" i="603"/>
  <c r="BH70" i="603"/>
  <c r="BV70" i="603"/>
  <c r="AY70" i="603"/>
  <c r="AX70" i="603"/>
  <c r="X70" i="603"/>
  <c r="R70" i="603"/>
  <c r="Q70" i="603"/>
  <c r="A70" i="603"/>
  <c r="BY69" i="603"/>
  <c r="BX69" i="603"/>
  <c r="BW69" i="603"/>
  <c r="BU69" i="603"/>
  <c r="BT69" i="603"/>
  <c r="BH69" i="603"/>
  <c r="BV69" i="603" s="1"/>
  <c r="AY69" i="603"/>
  <c r="AX69" i="603"/>
  <c r="Y69" i="603"/>
  <c r="X69" i="603"/>
  <c r="R69" i="603"/>
  <c r="Q69" i="603"/>
  <c r="A69" i="603"/>
  <c r="BY68" i="603"/>
  <c r="BX68" i="603"/>
  <c r="BW68" i="603"/>
  <c r="BU68" i="603"/>
  <c r="BT68" i="603"/>
  <c r="BH68" i="603"/>
  <c r="BV68" i="603"/>
  <c r="AY68" i="603"/>
  <c r="AX68" i="603"/>
  <c r="S68" i="603"/>
  <c r="Y68" i="603"/>
  <c r="R68" i="603"/>
  <c r="Q68" i="603"/>
  <c r="A68" i="603"/>
  <c r="BY67" i="603"/>
  <c r="BX67" i="603"/>
  <c r="BW67" i="603"/>
  <c r="BU67" i="603"/>
  <c r="BT67" i="603"/>
  <c r="BZ67" i="603" s="1"/>
  <c r="BH67" i="603"/>
  <c r="BV67" i="603" s="1"/>
  <c r="AY67" i="603"/>
  <c r="AX67" i="603"/>
  <c r="Y67" i="603"/>
  <c r="X67" i="603"/>
  <c r="R67" i="603"/>
  <c r="Q67" i="603"/>
  <c r="A67" i="603"/>
  <c r="BY66" i="603"/>
  <c r="BX66" i="603"/>
  <c r="BW66" i="603"/>
  <c r="BU66" i="603"/>
  <c r="BT66" i="603"/>
  <c r="BH66" i="603"/>
  <c r="BV66" i="603"/>
  <c r="AY66" i="603"/>
  <c r="AX66" i="603"/>
  <c r="AZ66" i="603" s="1"/>
  <c r="CA66" i="603" s="1"/>
  <c r="Y66" i="603"/>
  <c r="X66" i="603"/>
  <c r="R66" i="603"/>
  <c r="Q66" i="603"/>
  <c r="A66" i="603"/>
  <c r="BY65" i="603"/>
  <c r="BX65" i="603"/>
  <c r="BW65" i="603"/>
  <c r="BU65" i="603"/>
  <c r="BT65" i="603"/>
  <c r="BH65" i="603"/>
  <c r="BV65" i="603" s="1"/>
  <c r="AY65" i="603"/>
  <c r="AX65" i="603"/>
  <c r="Y65" i="603"/>
  <c r="X65" i="603"/>
  <c r="R65" i="603"/>
  <c r="Q65" i="603"/>
  <c r="A65" i="603"/>
  <c r="BY64" i="603"/>
  <c r="BX64" i="603"/>
  <c r="BW64" i="603"/>
  <c r="BU64" i="603"/>
  <c r="BZ64" i="603" s="1"/>
  <c r="BT64" i="603"/>
  <c r="BH64" i="603"/>
  <c r="BV64" i="603"/>
  <c r="AY64" i="603"/>
  <c r="AX64" i="603"/>
  <c r="Y64" i="603"/>
  <c r="X64" i="603"/>
  <c r="R64" i="603"/>
  <c r="Q64" i="603"/>
  <c r="A64" i="603"/>
  <c r="BY63" i="603"/>
  <c r="BX63" i="603"/>
  <c r="BW63" i="603"/>
  <c r="BU63" i="603"/>
  <c r="BT63" i="603"/>
  <c r="BH63" i="603"/>
  <c r="BV63" i="603"/>
  <c r="AY63" i="603"/>
  <c r="AZ63" i="603" s="1"/>
  <c r="CA63" i="603" s="1"/>
  <c r="AX63" i="603"/>
  <c r="Y63" i="603"/>
  <c r="X63" i="603"/>
  <c r="R63" i="603"/>
  <c r="Q63" i="603"/>
  <c r="A63" i="603"/>
  <c r="BY62" i="603"/>
  <c r="BZ62" i="603" s="1"/>
  <c r="CB62" i="603" s="1"/>
  <c r="BX62" i="603"/>
  <c r="BW62" i="603"/>
  <c r="BU62" i="603"/>
  <c r="BT62" i="603"/>
  <c r="BH62" i="603"/>
  <c r="BV62" i="603" s="1"/>
  <c r="AY62" i="603"/>
  <c r="AZ62" i="603" s="1"/>
  <c r="CA62" i="603" s="1"/>
  <c r="AX62" i="603"/>
  <c r="X62" i="603"/>
  <c r="R62" i="603"/>
  <c r="Q62" i="603"/>
  <c r="A62" i="603"/>
  <c r="BY61" i="603"/>
  <c r="BX61" i="603"/>
  <c r="BW61" i="603"/>
  <c r="BU61" i="603"/>
  <c r="BT61" i="603"/>
  <c r="BH61" i="603"/>
  <c r="BV61" i="603" s="1"/>
  <c r="BZ61" i="603" s="1"/>
  <c r="AY61" i="603"/>
  <c r="AX61" i="603"/>
  <c r="X61" i="603"/>
  <c r="R61" i="603"/>
  <c r="Q61" i="603"/>
  <c r="A61" i="603"/>
  <c r="BY60" i="603"/>
  <c r="BX60" i="603"/>
  <c r="BW60" i="603"/>
  <c r="BU60" i="603"/>
  <c r="BT60" i="603"/>
  <c r="BH60" i="603"/>
  <c r="BV60" i="603"/>
  <c r="AY60" i="603"/>
  <c r="AZ60" i="603" s="1"/>
  <c r="CA60" i="603" s="1"/>
  <c r="AX60" i="603"/>
  <c r="S60" i="603"/>
  <c r="X60" i="603" s="1"/>
  <c r="R60" i="603"/>
  <c r="Q60" i="603"/>
  <c r="A60" i="603"/>
  <c r="BY59" i="603"/>
  <c r="BX59" i="603"/>
  <c r="BW59" i="603"/>
  <c r="BU59" i="603"/>
  <c r="BT59" i="603"/>
  <c r="BH59" i="603"/>
  <c r="BV59" i="603"/>
  <c r="AY59" i="603"/>
  <c r="AX59" i="603"/>
  <c r="AZ59" i="603" s="1"/>
  <c r="CA59" i="603" s="1"/>
  <c r="X59" i="603"/>
  <c r="R59" i="603"/>
  <c r="Q59" i="603"/>
  <c r="A59" i="603"/>
  <c r="BY58" i="603"/>
  <c r="BX58" i="603"/>
  <c r="BW58" i="603"/>
  <c r="BU58" i="603"/>
  <c r="BT58" i="603"/>
  <c r="BH58" i="603"/>
  <c r="BV58" i="603"/>
  <c r="AY58" i="603"/>
  <c r="AX58" i="603"/>
  <c r="AZ58" i="603" s="1"/>
  <c r="CA58" i="603" s="1"/>
  <c r="Y58" i="603"/>
  <c r="X58" i="603"/>
  <c r="R58" i="603"/>
  <c r="Q58" i="603"/>
  <c r="A58" i="603"/>
  <c r="BY57" i="603"/>
  <c r="BX57" i="603"/>
  <c r="BW57" i="603"/>
  <c r="BU57" i="603"/>
  <c r="BT57" i="603"/>
  <c r="BH57" i="603"/>
  <c r="BV57" i="603"/>
  <c r="AY57" i="603"/>
  <c r="AZ57" i="603" s="1"/>
  <c r="CA57" i="603" s="1"/>
  <c r="AX57" i="603"/>
  <c r="Y57" i="603"/>
  <c r="X57" i="603"/>
  <c r="R57" i="603"/>
  <c r="Q57" i="603"/>
  <c r="A57" i="603"/>
  <c r="BY56" i="603"/>
  <c r="BX56" i="603"/>
  <c r="BW56" i="603"/>
  <c r="BV56" i="603"/>
  <c r="BU56" i="603"/>
  <c r="BT56" i="603"/>
  <c r="AY56" i="603"/>
  <c r="AX56" i="603"/>
  <c r="Q56" i="603"/>
  <c r="BY55" i="603"/>
  <c r="BX55" i="603"/>
  <c r="BW55" i="603"/>
  <c r="BU55" i="603"/>
  <c r="BT55" i="603"/>
  <c r="BZ55" i="603" s="1"/>
  <c r="CB55" i="603" s="1"/>
  <c r="BH55" i="603"/>
  <c r="BV55" i="603" s="1"/>
  <c r="AY55" i="603"/>
  <c r="AX55" i="603"/>
  <c r="AZ55" i="603" s="1"/>
  <c r="CA55" i="603" s="1"/>
  <c r="Y55" i="603"/>
  <c r="X55" i="603"/>
  <c r="R55" i="603"/>
  <c r="Q55" i="603"/>
  <c r="A55" i="603"/>
  <c r="BY54" i="603"/>
  <c r="BX54" i="603"/>
  <c r="BW54" i="603"/>
  <c r="BU54" i="603"/>
  <c r="BT54" i="603"/>
  <c r="BH54" i="603"/>
  <c r="BV54" i="603"/>
  <c r="AY54" i="603"/>
  <c r="AZ54" i="603" s="1"/>
  <c r="CA54" i="603" s="1"/>
  <c r="AX54" i="603"/>
  <c r="X54" i="603"/>
  <c r="R54" i="603"/>
  <c r="Q54" i="603"/>
  <c r="A54" i="603"/>
  <c r="BY53" i="603"/>
  <c r="BX53" i="603"/>
  <c r="BW53" i="603"/>
  <c r="BV53" i="603"/>
  <c r="BU53" i="603"/>
  <c r="BT53" i="603"/>
  <c r="BZ53" i="603"/>
  <c r="AY53" i="603"/>
  <c r="AZ53" i="603" s="1"/>
  <c r="CA53" i="603" s="1"/>
  <c r="AX53" i="603"/>
  <c r="R53" i="603"/>
  <c r="Q53" i="603"/>
  <c r="AY52" i="603"/>
  <c r="AX52" i="603"/>
  <c r="AZ52" i="603" s="1"/>
  <c r="R52" i="603"/>
  <c r="Q52" i="603"/>
  <c r="BY51" i="603"/>
  <c r="BX51" i="603"/>
  <c r="BW51" i="603"/>
  <c r="BU51" i="603"/>
  <c r="BZ51" i="603" s="1"/>
  <c r="CB51" i="603" s="1"/>
  <c r="BT51" i="603"/>
  <c r="BH51" i="603"/>
  <c r="BV51" i="603"/>
  <c r="AY51" i="603"/>
  <c r="AX51" i="603"/>
  <c r="X51" i="603"/>
  <c r="R51" i="603"/>
  <c r="Q51" i="603"/>
  <c r="A51" i="603"/>
  <c r="BY50" i="603"/>
  <c r="BX50" i="603"/>
  <c r="BW50" i="603"/>
  <c r="BU50" i="603"/>
  <c r="BT50" i="603"/>
  <c r="BZ50" i="603" s="1"/>
  <c r="CB50" i="603" s="1"/>
  <c r="BH50" i="603"/>
  <c r="BV50" i="603" s="1"/>
  <c r="AY50" i="603"/>
  <c r="AX50" i="603"/>
  <c r="Y50" i="603"/>
  <c r="R50" i="603"/>
  <c r="Q50" i="603"/>
  <c r="A50" i="603"/>
  <c r="BY49" i="603"/>
  <c r="BX49" i="603"/>
  <c r="BW49" i="603"/>
  <c r="BU49" i="603"/>
  <c r="BT49" i="603"/>
  <c r="BH49" i="603"/>
  <c r="BV49" i="603"/>
  <c r="AY49" i="603"/>
  <c r="AZ49" i="603" s="1"/>
  <c r="CA49" i="603" s="1"/>
  <c r="AX49" i="603"/>
  <c r="X49" i="603"/>
  <c r="R49" i="603"/>
  <c r="Q49" i="603"/>
  <c r="A49" i="603"/>
  <c r="BY48" i="603"/>
  <c r="BX48" i="603"/>
  <c r="BW48" i="603"/>
  <c r="BU48" i="603"/>
  <c r="BT48" i="603"/>
  <c r="BZ48" i="603" s="1"/>
  <c r="CB48" i="603" s="1"/>
  <c r="BH48" i="603"/>
  <c r="BV48" i="603"/>
  <c r="AY48" i="603"/>
  <c r="AX48" i="603"/>
  <c r="X48" i="603"/>
  <c r="R48" i="603"/>
  <c r="Q48" i="603"/>
  <c r="A48" i="603"/>
  <c r="BY47" i="603"/>
  <c r="BX47" i="603"/>
  <c r="BW47" i="603"/>
  <c r="BU47" i="603"/>
  <c r="BT47" i="603"/>
  <c r="BH47" i="603"/>
  <c r="BV47" i="603"/>
  <c r="BZ47" i="603" s="1"/>
  <c r="CB47" i="603" s="1"/>
  <c r="AY47" i="603"/>
  <c r="AZ47" i="603" s="1"/>
  <c r="AX47" i="603"/>
  <c r="Y47" i="603"/>
  <c r="R47" i="603"/>
  <c r="Q47" i="603"/>
  <c r="A47" i="603"/>
  <c r="BY46" i="603"/>
  <c r="BX46" i="603"/>
  <c r="BW46" i="603"/>
  <c r="BU46" i="603"/>
  <c r="BT46" i="603"/>
  <c r="BH46" i="603"/>
  <c r="BV46" i="603" s="1"/>
  <c r="AY46" i="603"/>
  <c r="AZ46" i="603" s="1"/>
  <c r="AX46" i="603"/>
  <c r="Y46" i="603"/>
  <c r="R46" i="603"/>
  <c r="Q46" i="603"/>
  <c r="A46" i="603"/>
  <c r="BY45" i="603"/>
  <c r="BX45" i="603"/>
  <c r="BW45" i="603"/>
  <c r="BU45" i="603"/>
  <c r="BT45" i="603"/>
  <c r="BH45" i="603"/>
  <c r="BV45" i="603" s="1"/>
  <c r="AY45" i="603"/>
  <c r="AX45" i="603"/>
  <c r="Y45" i="603"/>
  <c r="R45" i="603"/>
  <c r="Q45" i="603"/>
  <c r="A45" i="603"/>
  <c r="BY44" i="603"/>
  <c r="BX44" i="603"/>
  <c r="BW44" i="603"/>
  <c r="BU44" i="603"/>
  <c r="BT44" i="603"/>
  <c r="BH44" i="603"/>
  <c r="BV44" i="603" s="1"/>
  <c r="AY44" i="603"/>
  <c r="AX44" i="603"/>
  <c r="X44" i="603"/>
  <c r="R44" i="603"/>
  <c r="Q44" i="603"/>
  <c r="A44" i="603"/>
  <c r="BY43" i="603"/>
  <c r="BX43" i="603"/>
  <c r="BW43" i="603"/>
  <c r="BU43" i="603"/>
  <c r="BT43" i="603"/>
  <c r="BH43" i="603"/>
  <c r="BV43" i="603"/>
  <c r="AY43" i="603"/>
  <c r="AX43" i="603"/>
  <c r="X43" i="603"/>
  <c r="R43" i="603"/>
  <c r="Q43" i="603"/>
  <c r="A43" i="603"/>
  <c r="BY42" i="603"/>
  <c r="BX42" i="603"/>
  <c r="BW42" i="603"/>
  <c r="BU42" i="603"/>
  <c r="BZ42" i="603" s="1"/>
  <c r="CB42" i="603" s="1"/>
  <c r="BT42" i="603"/>
  <c r="BH42" i="603"/>
  <c r="BV42" i="603"/>
  <c r="AY42" i="603"/>
  <c r="AX42" i="603"/>
  <c r="S42" i="603"/>
  <c r="X42" i="603"/>
  <c r="R42" i="603"/>
  <c r="Q42" i="603"/>
  <c r="A42" i="603"/>
  <c r="BY41" i="603"/>
  <c r="BX41" i="603"/>
  <c r="BW41" i="603"/>
  <c r="BU41" i="603"/>
  <c r="BT41" i="603"/>
  <c r="BH41" i="603"/>
  <c r="BV41" i="603" s="1"/>
  <c r="AY41" i="603"/>
  <c r="AX41" i="603"/>
  <c r="X41" i="603"/>
  <c r="R41" i="603"/>
  <c r="Q41" i="603"/>
  <c r="A41" i="603"/>
  <c r="BY40" i="603"/>
  <c r="BX40" i="603"/>
  <c r="BW40" i="603"/>
  <c r="BZ40" i="603" s="1"/>
  <c r="CB40" i="603" s="1"/>
  <c r="BU40" i="603"/>
  <c r="BT40" i="603"/>
  <c r="BH40" i="603"/>
  <c r="BV40" i="603"/>
  <c r="AY40" i="603"/>
  <c r="AZ40" i="603" s="1"/>
  <c r="CA40" i="603" s="1"/>
  <c r="AX40" i="603"/>
  <c r="Y40" i="603"/>
  <c r="X40" i="603"/>
  <c r="R40" i="603"/>
  <c r="Q40" i="603"/>
  <c r="A40" i="603"/>
  <c r="BY39" i="603"/>
  <c r="BX39" i="603"/>
  <c r="BW39" i="603"/>
  <c r="BU39" i="603"/>
  <c r="BT39" i="603"/>
  <c r="BH39" i="603"/>
  <c r="BV39" i="603" s="1"/>
  <c r="AY39" i="603"/>
  <c r="AX39" i="603"/>
  <c r="Y39" i="603"/>
  <c r="R39" i="603"/>
  <c r="Q39" i="603"/>
  <c r="A39" i="603"/>
  <c r="BY38" i="603"/>
  <c r="BX38" i="603"/>
  <c r="BW38" i="603"/>
  <c r="BU38" i="603"/>
  <c r="BT38" i="603"/>
  <c r="BH38" i="603"/>
  <c r="BV38" i="603" s="1"/>
  <c r="AY38" i="603"/>
  <c r="AX38" i="603"/>
  <c r="AZ38" i="603" s="1"/>
  <c r="CA38" i="603" s="1"/>
  <c r="Y38" i="603"/>
  <c r="R38" i="603"/>
  <c r="Q38" i="603"/>
  <c r="A38" i="603"/>
  <c r="BY37" i="603"/>
  <c r="BX37" i="603"/>
  <c r="BW37" i="603"/>
  <c r="BU37" i="603"/>
  <c r="BZ37" i="603" s="1"/>
  <c r="CB37" i="603" s="1"/>
  <c r="BT37" i="603"/>
  <c r="BH37" i="603"/>
  <c r="BV37" i="603" s="1"/>
  <c r="AY37" i="603"/>
  <c r="AZ37" i="603" s="1"/>
  <c r="CA37" i="603" s="1"/>
  <c r="AX37" i="603"/>
  <c r="Y37" i="603"/>
  <c r="Q37" i="603"/>
  <c r="A37" i="603"/>
  <c r="BY36" i="603"/>
  <c r="BX36" i="603"/>
  <c r="BW36" i="603"/>
  <c r="BU36" i="603"/>
  <c r="BT36" i="603"/>
  <c r="BH36" i="603"/>
  <c r="BV36" i="603"/>
  <c r="AY36" i="603"/>
  <c r="AZ36" i="603" s="1"/>
  <c r="AX36" i="603"/>
  <c r="Y36" i="603"/>
  <c r="R36" i="603"/>
  <c r="Q36" i="603"/>
  <c r="A36" i="603"/>
  <c r="BY35" i="603"/>
  <c r="BX35" i="603"/>
  <c r="BW35" i="603"/>
  <c r="BU35" i="603"/>
  <c r="BT35" i="603"/>
  <c r="BH35" i="603"/>
  <c r="BV35" i="603" s="1"/>
  <c r="AY35" i="603"/>
  <c r="AZ35" i="603" s="1"/>
  <c r="CA35" i="603" s="1"/>
  <c r="AX35" i="603"/>
  <c r="Y35" i="603"/>
  <c r="R35" i="603"/>
  <c r="Q35" i="603"/>
  <c r="A35" i="603"/>
  <c r="BY34" i="603"/>
  <c r="BX34" i="603"/>
  <c r="BZ34" i="603" s="1"/>
  <c r="BW34" i="603"/>
  <c r="BU34" i="603"/>
  <c r="BT34" i="603"/>
  <c r="BH34" i="603"/>
  <c r="BV34" i="603" s="1"/>
  <c r="AY34" i="603"/>
  <c r="AZ34" i="603" s="1"/>
  <c r="AX34" i="603"/>
  <c r="Y34" i="603"/>
  <c r="R34" i="603"/>
  <c r="Q34" i="603"/>
  <c r="A34" i="603"/>
  <c r="BY33" i="603"/>
  <c r="BX33" i="603"/>
  <c r="BW33" i="603"/>
  <c r="BU33" i="603"/>
  <c r="BT33" i="603"/>
  <c r="BH33" i="603"/>
  <c r="BV33" i="603"/>
  <c r="AY33" i="603"/>
  <c r="AZ33" i="603" s="1"/>
  <c r="CA33" i="603" s="1"/>
  <c r="AX33" i="603"/>
  <c r="Y33" i="603"/>
  <c r="R33" i="603"/>
  <c r="Q33" i="603"/>
  <c r="A33" i="603"/>
  <c r="BY32" i="603"/>
  <c r="BX32" i="603"/>
  <c r="BW32" i="603"/>
  <c r="BU32" i="603"/>
  <c r="BT32" i="603"/>
  <c r="BH32" i="603"/>
  <c r="BV32" i="603"/>
  <c r="AY32" i="603"/>
  <c r="AZ32" i="603" s="1"/>
  <c r="CA32" i="603" s="1"/>
  <c r="AX32" i="603"/>
  <c r="X32" i="603"/>
  <c r="R32" i="603"/>
  <c r="Q32" i="603"/>
  <c r="A32" i="603"/>
  <c r="BY31" i="603"/>
  <c r="BX31" i="603"/>
  <c r="BW31" i="603"/>
  <c r="BU31" i="603"/>
  <c r="BT31" i="603"/>
  <c r="BH31" i="603"/>
  <c r="BV31" i="603"/>
  <c r="AY31" i="603"/>
  <c r="AX31" i="603"/>
  <c r="AZ31" i="603" s="1"/>
  <c r="CA31" i="603" s="1"/>
  <c r="X31" i="603"/>
  <c r="R31" i="603"/>
  <c r="Q31" i="603"/>
  <c r="A31" i="603"/>
  <c r="BY30" i="603"/>
  <c r="BX30" i="603"/>
  <c r="BW30" i="603"/>
  <c r="BU30" i="603"/>
  <c r="BT30" i="603"/>
  <c r="BH30" i="603"/>
  <c r="BV30" i="603" s="1"/>
  <c r="AY30" i="603"/>
  <c r="AX30" i="603"/>
  <c r="AZ30" i="603" s="1"/>
  <c r="CA30" i="603" s="1"/>
  <c r="Y30" i="603"/>
  <c r="R30" i="603"/>
  <c r="Q30" i="603"/>
  <c r="A30" i="603"/>
  <c r="BY29" i="603"/>
  <c r="BZ29" i="603" s="1"/>
  <c r="CB29" i="603" s="1"/>
  <c r="BX29" i="603"/>
  <c r="BW29" i="603"/>
  <c r="BU29" i="603"/>
  <c r="BT29" i="603"/>
  <c r="BH29" i="603"/>
  <c r="BV29" i="603" s="1"/>
  <c r="AY29" i="603"/>
  <c r="BA73" i="603" s="1"/>
  <c r="AX73" i="603" s="1"/>
  <c r="AX29" i="603"/>
  <c r="AZ29" i="603" s="1"/>
  <c r="CA29" i="603" s="1"/>
  <c r="Y29" i="603"/>
  <c r="R29" i="603"/>
  <c r="Q29" i="603"/>
  <c r="A29" i="603"/>
  <c r="BY28" i="603"/>
  <c r="BX28" i="603"/>
  <c r="BW28" i="603"/>
  <c r="BU28" i="603"/>
  <c r="BT28" i="603"/>
  <c r="BH28" i="603"/>
  <c r="BV28" i="603"/>
  <c r="BZ28" i="603" s="1"/>
  <c r="AY28" i="603"/>
  <c r="AZ28" i="603" s="1"/>
  <c r="CA28" i="603" s="1"/>
  <c r="AX28" i="603"/>
  <c r="Y28" i="603"/>
  <c r="R28" i="603"/>
  <c r="Q28" i="603"/>
  <c r="A28" i="603"/>
  <c r="BY27" i="603"/>
  <c r="BX27" i="603"/>
  <c r="BW27" i="603"/>
  <c r="BZ27" i="603" s="1"/>
  <c r="CB27" i="603" s="1"/>
  <c r="BU27" i="603"/>
  <c r="BT27" i="603"/>
  <c r="BH27" i="603"/>
  <c r="BV27" i="603" s="1"/>
  <c r="AY27" i="603"/>
  <c r="AX27" i="603"/>
  <c r="AZ27" i="603" s="1"/>
  <c r="CA27" i="603" s="1"/>
  <c r="Y27" i="603"/>
  <c r="R27" i="603"/>
  <c r="Q27" i="603"/>
  <c r="A27" i="603"/>
  <c r="BY26" i="603"/>
  <c r="BX26" i="603"/>
  <c r="BW26" i="603"/>
  <c r="BU26" i="603"/>
  <c r="BT26" i="603"/>
  <c r="BH26" i="603"/>
  <c r="BV26" i="603"/>
  <c r="AY26" i="603"/>
  <c r="AZ26" i="603" s="1"/>
  <c r="CA26" i="603" s="1"/>
  <c r="AX26" i="603"/>
  <c r="Y26" i="603"/>
  <c r="X26" i="603"/>
  <c r="R26" i="603"/>
  <c r="Q26" i="603"/>
  <c r="A26" i="603"/>
  <c r="BY25" i="603"/>
  <c r="BX25" i="603"/>
  <c r="BW25" i="603"/>
  <c r="BU25" i="603"/>
  <c r="BT25" i="603"/>
  <c r="BH25" i="603"/>
  <c r="BV25" i="603" s="1"/>
  <c r="BZ25" i="603" s="1"/>
  <c r="AY25" i="603"/>
  <c r="AZ25" i="603" s="1"/>
  <c r="CA25" i="603" s="1"/>
  <c r="AX25" i="603"/>
  <c r="X25" i="603"/>
  <c r="R25" i="603"/>
  <c r="Q25" i="603"/>
  <c r="A25" i="603"/>
  <c r="BY24" i="603"/>
  <c r="BX24" i="603"/>
  <c r="BW24" i="603"/>
  <c r="BU24" i="603"/>
  <c r="BT24" i="603"/>
  <c r="BH24" i="603"/>
  <c r="BV24" i="603" s="1"/>
  <c r="AY24" i="603"/>
  <c r="AX24" i="603"/>
  <c r="AZ24" i="603" s="1"/>
  <c r="CA24" i="603" s="1"/>
  <c r="X24" i="603"/>
  <c r="R24" i="603"/>
  <c r="Q24" i="603"/>
  <c r="A24" i="603"/>
  <c r="BY23" i="603"/>
  <c r="BX23" i="603"/>
  <c r="BW23" i="603"/>
  <c r="BU23" i="603"/>
  <c r="BT23" i="603"/>
  <c r="BH23" i="603"/>
  <c r="BV23" i="603"/>
  <c r="AY23" i="603"/>
  <c r="AX23" i="603"/>
  <c r="S23" i="603"/>
  <c r="R23" i="603"/>
  <c r="Q23" i="603"/>
  <c r="A23" i="603"/>
  <c r="BY22" i="603"/>
  <c r="BX22" i="603"/>
  <c r="BW22" i="603"/>
  <c r="BU22" i="603"/>
  <c r="BT22" i="603"/>
  <c r="BH22" i="603"/>
  <c r="BV22" i="603"/>
  <c r="AY22" i="603"/>
  <c r="AX22" i="603"/>
  <c r="X22" i="603"/>
  <c r="R22" i="603"/>
  <c r="Q22" i="603"/>
  <c r="A22" i="603"/>
  <c r="BY21" i="603"/>
  <c r="BX21" i="603"/>
  <c r="BW21" i="603"/>
  <c r="BU21" i="603"/>
  <c r="BT21" i="603"/>
  <c r="BH21" i="603"/>
  <c r="BV21" i="603"/>
  <c r="AY21" i="603"/>
  <c r="AX21" i="603"/>
  <c r="X21" i="603"/>
  <c r="R21" i="603"/>
  <c r="Q21" i="603"/>
  <c r="A21" i="603"/>
  <c r="BY20" i="603"/>
  <c r="BX20" i="603"/>
  <c r="BW20" i="603"/>
  <c r="BU20" i="603"/>
  <c r="BT20" i="603"/>
  <c r="BH20" i="603"/>
  <c r="BV20" i="603" s="1"/>
  <c r="AY20" i="603"/>
  <c r="AX20" i="603"/>
  <c r="X20" i="603"/>
  <c r="R20" i="603"/>
  <c r="Q20" i="603"/>
  <c r="A20" i="603"/>
  <c r="BY19" i="603"/>
  <c r="BX19" i="603"/>
  <c r="BW19" i="603"/>
  <c r="BU19" i="603"/>
  <c r="BT19" i="603"/>
  <c r="BH19" i="603"/>
  <c r="BV19" i="603"/>
  <c r="AY19" i="603"/>
  <c r="AX19" i="603"/>
  <c r="X19" i="603"/>
  <c r="R19" i="603"/>
  <c r="Q19" i="603"/>
  <c r="A19" i="603"/>
  <c r="BY18" i="603"/>
  <c r="BX18" i="603"/>
  <c r="BW18" i="603"/>
  <c r="BU18" i="603"/>
  <c r="BT18" i="603"/>
  <c r="BH18" i="603"/>
  <c r="BV18" i="603"/>
  <c r="AY18" i="603"/>
  <c r="AX18" i="603"/>
  <c r="X18" i="603"/>
  <c r="R18" i="603"/>
  <c r="Q18" i="603"/>
  <c r="A18" i="603"/>
  <c r="BY17" i="603"/>
  <c r="BX17" i="603"/>
  <c r="BW17" i="603"/>
  <c r="BU17" i="603"/>
  <c r="BT17" i="603"/>
  <c r="BH17" i="603"/>
  <c r="BV17" i="603" s="1"/>
  <c r="AY17" i="603"/>
  <c r="AX17" i="603"/>
  <c r="X17" i="603"/>
  <c r="R17" i="603"/>
  <c r="Q17" i="603"/>
  <c r="A17" i="603"/>
  <c r="BY16" i="603"/>
  <c r="BX16" i="603"/>
  <c r="BW16" i="603"/>
  <c r="BU16" i="603"/>
  <c r="BT16" i="603"/>
  <c r="BH16" i="603"/>
  <c r="BV16" i="603"/>
  <c r="AY16" i="603"/>
  <c r="AX16" i="603"/>
  <c r="AZ16" i="603" s="1"/>
  <c r="Y16" i="603"/>
  <c r="R16" i="603"/>
  <c r="Q16" i="603"/>
  <c r="A16" i="603"/>
  <c r="BY15" i="603"/>
  <c r="BZ15" i="603" s="1"/>
  <c r="BX15" i="603"/>
  <c r="BW15" i="603"/>
  <c r="BU15" i="603"/>
  <c r="BT15" i="603"/>
  <c r="BH15" i="603"/>
  <c r="BV15" i="603" s="1"/>
  <c r="AY15" i="603"/>
  <c r="AX15" i="603"/>
  <c r="X15" i="603"/>
  <c r="R15" i="603"/>
  <c r="Q15" i="603"/>
  <c r="A15" i="603"/>
  <c r="BY14" i="603"/>
  <c r="BX14" i="603"/>
  <c r="BW14" i="603"/>
  <c r="BU14" i="603"/>
  <c r="BT14" i="603"/>
  <c r="BH14" i="603"/>
  <c r="BV14" i="603" s="1"/>
  <c r="BZ14" i="603" s="1"/>
  <c r="AY14" i="603"/>
  <c r="AZ14" i="603" s="1"/>
  <c r="CA14" i="603" s="1"/>
  <c r="AX14" i="603"/>
  <c r="Y14" i="603"/>
  <c r="R14" i="603"/>
  <c r="Q14" i="603"/>
  <c r="A14" i="603"/>
  <c r="BY13" i="603"/>
  <c r="BX13" i="603"/>
  <c r="BW13" i="603"/>
  <c r="BU13" i="603"/>
  <c r="BT13" i="603"/>
  <c r="BH13" i="603"/>
  <c r="BV13" i="603" s="1"/>
  <c r="AY13" i="603"/>
  <c r="AX13" i="603"/>
  <c r="AZ13" i="603" s="1"/>
  <c r="AO13" i="603"/>
  <c r="R13" i="603"/>
  <c r="Q13" i="603"/>
  <c r="A13" i="603"/>
  <c r="BY12" i="603"/>
  <c r="BX12" i="603"/>
  <c r="BW12" i="603"/>
  <c r="BU12" i="603"/>
  <c r="BT12" i="603"/>
  <c r="BH12" i="603"/>
  <c r="BV12" i="603" s="1"/>
  <c r="AY12" i="603"/>
  <c r="AZ12" i="603" s="1"/>
  <c r="AX12" i="603"/>
  <c r="AO12" i="603"/>
  <c r="R12" i="603"/>
  <c r="Q12" i="603"/>
  <c r="A12" i="603"/>
  <c r="BY11" i="603"/>
  <c r="BX11" i="603"/>
  <c r="BW11" i="603"/>
  <c r="BU11" i="603"/>
  <c r="BT11" i="603"/>
  <c r="BH11" i="603"/>
  <c r="BV11" i="603"/>
  <c r="BZ11" i="603" s="1"/>
  <c r="AY11" i="603"/>
  <c r="AX11" i="603"/>
  <c r="AO11" i="603"/>
  <c r="R11" i="603"/>
  <c r="Q11" i="603"/>
  <c r="A11" i="603"/>
  <c r="BY10" i="603"/>
  <c r="BX10" i="603"/>
  <c r="BW10" i="603"/>
  <c r="BU10" i="603"/>
  <c r="BT10" i="603"/>
  <c r="BH10" i="603"/>
  <c r="BV10" i="603"/>
  <c r="AY10" i="603"/>
  <c r="AX10" i="603"/>
  <c r="AO10" i="603"/>
  <c r="R10" i="603"/>
  <c r="Q10" i="603"/>
  <c r="A10" i="603"/>
  <c r="BY9" i="603"/>
  <c r="BX9" i="603"/>
  <c r="BW9" i="603"/>
  <c r="BU9" i="603"/>
  <c r="BT9" i="603"/>
  <c r="BZ9" i="603" s="1"/>
  <c r="BH9" i="603"/>
  <c r="BV9" i="603"/>
  <c r="AY9" i="603"/>
  <c r="AX9" i="603"/>
  <c r="AO9" i="603"/>
  <c r="R9" i="603"/>
  <c r="Q9" i="603"/>
  <c r="A9" i="603"/>
  <c r="BY8" i="603"/>
  <c r="BX8" i="603"/>
  <c r="BW8" i="603"/>
  <c r="BU8" i="603"/>
  <c r="BT8" i="603"/>
  <c r="BH8" i="603"/>
  <c r="BV8" i="603"/>
  <c r="BZ8" i="603" s="1"/>
  <c r="AY8" i="603"/>
  <c r="AX8" i="603"/>
  <c r="AO8" i="603"/>
  <c r="AO192" i="603" s="1"/>
  <c r="R8" i="603"/>
  <c r="Q8" i="603"/>
  <c r="A8" i="603"/>
  <c r="BY7" i="603"/>
  <c r="BX7" i="603"/>
  <c r="BW7" i="603"/>
  <c r="BU7" i="603"/>
  <c r="BT7" i="603"/>
  <c r="BH7" i="603"/>
  <c r="BV7" i="603" s="1"/>
  <c r="AY7" i="603"/>
  <c r="AZ7" i="603" s="1"/>
  <c r="AX7" i="603"/>
  <c r="AO7" i="603"/>
  <c r="R7" i="603"/>
  <c r="Q7" i="603"/>
  <c r="A7" i="603"/>
  <c r="BY6" i="603"/>
  <c r="BX6" i="603"/>
  <c r="BW6" i="603"/>
  <c r="BV6" i="603"/>
  <c r="BU6" i="603"/>
  <c r="BT6" i="603"/>
  <c r="AY6" i="603"/>
  <c r="AX6" i="603"/>
  <c r="AZ6" i="603" s="1"/>
  <c r="AN6" i="603"/>
  <c r="A6" i="603"/>
  <c r="BY5" i="603"/>
  <c r="BX5" i="603"/>
  <c r="BW5" i="603"/>
  <c r="BV5" i="603"/>
  <c r="BU5" i="603"/>
  <c r="BT5" i="603"/>
  <c r="AY5" i="603"/>
  <c r="AX5" i="603"/>
  <c r="AN5" i="603"/>
  <c r="A5" i="603"/>
  <c r="BY4" i="603"/>
  <c r="BX4" i="603"/>
  <c r="BW4" i="603"/>
  <c r="BV4" i="603"/>
  <c r="BU4" i="603"/>
  <c r="BT4" i="603"/>
  <c r="AY4" i="603"/>
  <c r="AX4" i="603"/>
  <c r="AZ4" i="603" s="1"/>
  <c r="CA4" i="603" s="1"/>
  <c r="AN4" i="603"/>
  <c r="A4" i="603"/>
  <c r="AZ10" i="603"/>
  <c r="CA10" i="603"/>
  <c r="CA12" i="603"/>
  <c r="CA74" i="603"/>
  <c r="AZ105" i="603"/>
  <c r="CA105" i="603" s="1"/>
  <c r="AZ5" i="603"/>
  <c r="CA5" i="603"/>
  <c r="AZ48" i="603"/>
  <c r="CA48" i="603" s="1"/>
  <c r="CA71" i="603"/>
  <c r="AZ116" i="603"/>
  <c r="CA116" i="603"/>
  <c r="AZ120" i="603"/>
  <c r="CA120" i="603"/>
  <c r="CA128" i="603"/>
  <c r="AZ91" i="603"/>
  <c r="CA91" i="603"/>
  <c r="AZ127" i="603"/>
  <c r="CA127" i="603" s="1"/>
  <c r="AZ41" i="603"/>
  <c r="CA41" i="603" s="1"/>
  <c r="AZ147" i="603"/>
  <c r="CA147" i="603" s="1"/>
  <c r="AZ187" i="603"/>
  <c r="CA187" i="603"/>
  <c r="BZ63" i="603"/>
  <c r="CB63" i="603" s="1"/>
  <c r="AZ44" i="603"/>
  <c r="CA44" i="603" s="1"/>
  <c r="AZ92" i="603"/>
  <c r="CA92" i="603"/>
  <c r="AZ100" i="603"/>
  <c r="CA100" i="603"/>
  <c r="AZ136" i="603"/>
  <c r="CA136" i="603" s="1"/>
  <c r="AZ145" i="603"/>
  <c r="CA145" i="603" s="1"/>
  <c r="CB145" i="603" s="1"/>
  <c r="AZ165" i="603"/>
  <c r="CA165" i="603"/>
  <c r="CA171" i="603"/>
  <c r="AZ181" i="603"/>
  <c r="CA181" i="603"/>
  <c r="CA13" i="603"/>
  <c r="AZ20" i="603"/>
  <c r="CA20" i="603"/>
  <c r="CA34" i="603"/>
  <c r="AZ95" i="603"/>
  <c r="CA95" i="603"/>
  <c r="AZ137" i="603"/>
  <c r="CA137" i="603" s="1"/>
  <c r="AZ67" i="603"/>
  <c r="CA67" i="603" s="1"/>
  <c r="AZ164" i="603"/>
  <c r="CA164" i="603" s="1"/>
  <c r="CA6" i="603"/>
  <c r="AZ45" i="603"/>
  <c r="CA45" i="603" s="1"/>
  <c r="AZ135" i="603"/>
  <c r="CA135" i="603" s="1"/>
  <c r="AZ149" i="603"/>
  <c r="CA149" i="603"/>
  <c r="AZ179" i="603"/>
  <c r="CA179" i="603" s="1"/>
  <c r="AZ158" i="603"/>
  <c r="CA158" i="603" s="1"/>
  <c r="AZ183" i="603"/>
  <c r="CA183" i="603"/>
  <c r="AZ88" i="603"/>
  <c r="CA88" i="603"/>
  <c r="AZ21" i="603"/>
  <c r="CA21" i="603" s="1"/>
  <c r="CA36" i="603"/>
  <c r="AZ51" i="603"/>
  <c r="CA51" i="603" s="1"/>
  <c r="BZ114" i="603"/>
  <c r="CB114" i="603" s="1"/>
  <c r="AZ166" i="603"/>
  <c r="CA166" i="603" s="1"/>
  <c r="CA16" i="603"/>
  <c r="AZ180" i="603"/>
  <c r="CA180" i="603" s="1"/>
  <c r="CA152" i="603"/>
  <c r="BZ164" i="603"/>
  <c r="CB164" i="603" s="1"/>
  <c r="AZ184" i="603"/>
  <c r="CA184" i="603" s="1"/>
  <c r="AZ39" i="603"/>
  <c r="CA39" i="603"/>
  <c r="AZ79" i="603"/>
  <c r="CA79" i="603"/>
  <c r="AZ111" i="603"/>
  <c r="CA111" i="603" s="1"/>
  <c r="AZ119" i="603"/>
  <c r="CA119" i="603"/>
  <c r="AZ121" i="603"/>
  <c r="CA121" i="603" s="1"/>
  <c r="CA163" i="603"/>
  <c r="AZ167" i="603"/>
  <c r="CA167" i="603" s="1"/>
  <c r="CA7" i="603"/>
  <c r="AN192" i="603"/>
  <c r="BZ31" i="603"/>
  <c r="CB31" i="603" s="1"/>
  <c r="BZ54" i="603"/>
  <c r="BZ13" i="603"/>
  <c r="CB13" i="603" s="1"/>
  <c r="BZ136" i="603"/>
  <c r="CB136" i="603"/>
  <c r="AZ155" i="603"/>
  <c r="CA155" i="603" s="1"/>
  <c r="BZ176" i="603"/>
  <c r="CB176" i="603" s="1"/>
  <c r="AZ177" i="603"/>
  <c r="CA177" i="603" s="1"/>
  <c r="AZ186" i="603"/>
  <c r="CA186" i="603" s="1"/>
  <c r="CA83" i="603"/>
  <c r="BZ134" i="603"/>
  <c r="AZ18" i="603"/>
  <c r="CA18" i="603" s="1"/>
  <c r="X23" i="603"/>
  <c r="BZ105" i="603"/>
  <c r="CB105" i="603" s="1"/>
  <c r="CA47" i="603"/>
  <c r="AZ70" i="603"/>
  <c r="CA70" i="603" s="1"/>
  <c r="BZ84" i="603"/>
  <c r="AZ85" i="603"/>
  <c r="CA85" i="603" s="1"/>
  <c r="BZ97" i="603"/>
  <c r="BZ139" i="603"/>
  <c r="CB139" i="603" s="1"/>
  <c r="BZ184" i="603"/>
  <c r="AZ42" i="603"/>
  <c r="CA42" i="603"/>
  <c r="AZ50" i="603"/>
  <c r="CA50" i="603" s="1"/>
  <c r="AZ93" i="603"/>
  <c r="CA93" i="603" s="1"/>
  <c r="AI192" i="603"/>
  <c r="BZ110" i="603"/>
  <c r="AZ122" i="603"/>
  <c r="CA122" i="603" s="1"/>
  <c r="BZ159" i="603"/>
  <c r="CB159" i="603" s="1"/>
  <c r="BZ16" i="603"/>
  <c r="AZ65" i="603"/>
  <c r="CA65" i="603"/>
  <c r="X68" i="603"/>
  <c r="BZ70" i="603"/>
  <c r="X77" i="603"/>
  <c r="CA87" i="603"/>
  <c r="AZ90" i="603"/>
  <c r="CA90" i="603"/>
  <c r="AZ107" i="603"/>
  <c r="CA107" i="603" s="1"/>
  <c r="AZ117" i="603"/>
  <c r="CA117" i="603"/>
  <c r="AZ138" i="603"/>
  <c r="CA138" i="603" s="1"/>
  <c r="AZ148" i="603"/>
  <c r="CA148" i="603" s="1"/>
  <c r="BZ5" i="603"/>
  <c r="CB5" i="603" s="1"/>
  <c r="AZ22" i="603"/>
  <c r="CA22" i="603" s="1"/>
  <c r="BZ109" i="603"/>
  <c r="AZ142" i="603"/>
  <c r="CA142" i="603" s="1"/>
  <c r="BZ191" i="603"/>
  <c r="CB191" i="603" s="1"/>
  <c r="AH192" i="603"/>
  <c r="AU192" i="603"/>
  <c r="AA192" i="603"/>
  <c r="AZ153" i="603"/>
  <c r="CA153" i="603"/>
  <c r="AZ175" i="603"/>
  <c r="CA175" i="603" s="1"/>
  <c r="CA46" i="603"/>
  <c r="BZ66" i="603"/>
  <c r="CB66" i="603" s="1"/>
  <c r="AZ86" i="603"/>
  <c r="CA86" i="603" s="1"/>
  <c r="BZ102" i="603"/>
  <c r="AZ134" i="603"/>
  <c r="CA134" i="603"/>
  <c r="AZ159" i="603"/>
  <c r="CA159" i="603" s="1"/>
  <c r="BZ77" i="603"/>
  <c r="BZ83" i="603"/>
  <c r="BZ156" i="603"/>
  <c r="BZ86" i="603"/>
  <c r="CB86" i="603" s="1"/>
  <c r="BZ90" i="603"/>
  <c r="CB90" i="603" s="1"/>
  <c r="AZ69" i="603"/>
  <c r="CA69" i="603"/>
  <c r="BZ123" i="603"/>
  <c r="CA146" i="603"/>
  <c r="CB146" i="603" s="1"/>
  <c r="AZ161" i="603"/>
  <c r="CA161" i="603" s="1"/>
  <c r="AZ178" i="603"/>
  <c r="CA178" i="603" s="1"/>
  <c r="AZ17" i="603"/>
  <c r="CA17" i="603"/>
  <c r="BZ24" i="603"/>
  <c r="AZ140" i="603"/>
  <c r="CA140" i="603"/>
  <c r="AZ168" i="603"/>
  <c r="CA168" i="603" s="1"/>
  <c r="CB181" i="603"/>
  <c r="CB34" i="603"/>
  <c r="CB117" i="603"/>
  <c r="CB81" i="603"/>
  <c r="CB25" i="603"/>
  <c r="CB54" i="603"/>
  <c r="CB83" i="603"/>
  <c r="BP196" i="202"/>
  <c r="BP181" i="202"/>
  <c r="BP187" i="202"/>
  <c r="BP177" i="202"/>
  <c r="BP173" i="202"/>
  <c r="BP172" i="202"/>
  <c r="BP168" i="202"/>
  <c r="BG168" i="202"/>
  <c r="BP176" i="202"/>
  <c r="BG176" i="202"/>
  <c r="BP170" i="202"/>
  <c r="BG170" i="202"/>
  <c r="BP180" i="202"/>
  <c r="BG180" i="202"/>
  <c r="BP186" i="202"/>
  <c r="BP174" i="202"/>
  <c r="BP188" i="202"/>
  <c r="BP179" i="202"/>
  <c r="BG179" i="202"/>
  <c r="BP192" i="202"/>
  <c r="BP178" i="202"/>
  <c r="BG178" i="202"/>
  <c r="BP175" i="202"/>
  <c r="BG175" i="202"/>
  <c r="H311" i="592"/>
  <c r="H303" i="592"/>
  <c r="AC303" i="592" s="1"/>
  <c r="N251" i="592"/>
  <c r="N250" i="592"/>
  <c r="N249" i="592"/>
  <c r="N248" i="592"/>
  <c r="N247" i="592"/>
  <c r="N246" i="592"/>
  <c r="N245" i="592"/>
  <c r="N241" i="592" s="1"/>
  <c r="N244" i="592"/>
  <c r="N243" i="592"/>
  <c r="N242" i="592"/>
  <c r="H309" i="592"/>
  <c r="BA308" i="592"/>
  <c r="AZ308" i="592"/>
  <c r="AX308" i="592"/>
  <c r="AW308" i="592"/>
  <c r="AV308" i="592"/>
  <c r="AU308" i="592"/>
  <c r="AT308" i="592"/>
  <c r="AS308" i="592"/>
  <c r="AR308" i="592"/>
  <c r="AQ308" i="592"/>
  <c r="AP308" i="592"/>
  <c r="AO308" i="592"/>
  <c r="AN308" i="592"/>
  <c r="AM308" i="592"/>
  <c r="AL308" i="592"/>
  <c r="AJ308" i="592"/>
  <c r="AI308" i="592"/>
  <c r="AH308" i="592"/>
  <c r="AG308" i="592"/>
  <c r="AF308" i="592"/>
  <c r="AE308" i="592"/>
  <c r="AA308" i="592"/>
  <c r="Z308" i="592"/>
  <c r="Y308" i="592"/>
  <c r="W308" i="592"/>
  <c r="V308" i="592"/>
  <c r="U308" i="592"/>
  <c r="T308" i="592"/>
  <c r="H305" i="592"/>
  <c r="H304" i="592"/>
  <c r="AK301" i="592"/>
  <c r="AK308" i="592" s="1"/>
  <c r="H297" i="592"/>
  <c r="X296" i="592"/>
  <c r="X308" i="592"/>
  <c r="H294" i="592"/>
  <c r="AC292" i="592"/>
  <c r="AC289" i="592"/>
  <c r="AC286" i="592"/>
  <c r="AC283" i="592"/>
  <c r="AC280" i="592"/>
  <c r="AC277" i="592"/>
  <c r="AC274" i="592"/>
  <c r="AC272" i="592"/>
  <c r="AY270" i="592"/>
  <c r="AD269" i="592"/>
  <c r="AD268" i="592"/>
  <c r="AD308" i="592" s="1"/>
  <c r="AY267" i="592"/>
  <c r="H254" i="592"/>
  <c r="N214" i="592"/>
  <c r="N215" i="592"/>
  <c r="N216" i="592"/>
  <c r="N217" i="592"/>
  <c r="N218" i="592"/>
  <c r="N219" i="592"/>
  <c r="N220" i="592"/>
  <c r="N221" i="592"/>
  <c r="N222" i="592"/>
  <c r="N223" i="592"/>
  <c r="N224" i="592"/>
  <c r="N225" i="592"/>
  <c r="N226" i="592"/>
  <c r="N213" i="592"/>
  <c r="H252" i="592"/>
  <c r="BC251" i="592"/>
  <c r="BB251" i="592"/>
  <c r="BA251" i="592"/>
  <c r="AY251" i="592"/>
  <c r="AX251" i="592"/>
  <c r="AW251" i="592"/>
  <c r="AV251" i="592"/>
  <c r="AU251" i="592"/>
  <c r="AT251" i="592"/>
  <c r="AS251" i="592"/>
  <c r="AR251" i="592"/>
  <c r="AQ251" i="592"/>
  <c r="AP251" i="592"/>
  <c r="AO251" i="592"/>
  <c r="AN251" i="592"/>
  <c r="AM251" i="592"/>
  <c r="AL251" i="592"/>
  <c r="AK251" i="592"/>
  <c r="AI251" i="592"/>
  <c r="AH251" i="592"/>
  <c r="AG251" i="592"/>
  <c r="AF251" i="592"/>
  <c r="AE251" i="592"/>
  <c r="AD251" i="592"/>
  <c r="AC251" i="592"/>
  <c r="AA251" i="592"/>
  <c r="Z251" i="592"/>
  <c r="X251" i="592"/>
  <c r="W251" i="592"/>
  <c r="V251" i="592"/>
  <c r="U251" i="592"/>
  <c r="T251" i="592"/>
  <c r="H250" i="592"/>
  <c r="H253" i="592" s="1"/>
  <c r="Y249" i="592" s="1"/>
  <c r="Y248" i="592"/>
  <c r="Y251" i="592" s="1"/>
  <c r="AB247" i="592"/>
  <c r="AB251" i="592" s="1"/>
  <c r="Y246" i="592"/>
  <c r="Y245" i="592"/>
  <c r="Y244" i="592"/>
  <c r="AJ243" i="592"/>
  <c r="AJ251" i="592" s="1"/>
  <c r="AZ242" i="592"/>
  <c r="AZ251" i="592"/>
  <c r="Z161" i="202"/>
  <c r="H229" i="592"/>
  <c r="H224" i="592"/>
  <c r="AB224" i="592" s="1"/>
  <c r="AB226" i="592" s="1"/>
  <c r="H227" i="592"/>
  <c r="BA226" i="592"/>
  <c r="AZ226" i="592"/>
  <c r="AY226" i="592"/>
  <c r="AX226" i="592"/>
  <c r="AW226" i="592"/>
  <c r="AV226" i="592"/>
  <c r="AU226" i="592"/>
  <c r="AS226" i="592"/>
  <c r="AR226" i="592"/>
  <c r="AQ226" i="592"/>
  <c r="AP226" i="592"/>
  <c r="AO226" i="592"/>
  <c r="AN226" i="592"/>
  <c r="AM226" i="592"/>
  <c r="AL226" i="592"/>
  <c r="AK226" i="592"/>
  <c r="AJ226" i="592"/>
  <c r="AI226" i="592"/>
  <c r="AH226" i="592"/>
  <c r="AG226" i="592"/>
  <c r="AF226" i="592"/>
  <c r="AE226" i="592"/>
  <c r="AD226" i="592"/>
  <c r="AA226" i="592"/>
  <c r="Z226" i="592"/>
  <c r="Y226" i="592"/>
  <c r="W226" i="592"/>
  <c r="V226" i="592"/>
  <c r="T226" i="592"/>
  <c r="AC223" i="592"/>
  <c r="H221" i="592"/>
  <c r="AC220" i="592"/>
  <c r="AC219" i="592"/>
  <c r="AC218" i="592"/>
  <c r="U216" i="592"/>
  <c r="U226" i="592" s="1"/>
  <c r="AC214" i="592"/>
  <c r="AC226" i="592"/>
  <c r="H213" i="592"/>
  <c r="AT213" i="592"/>
  <c r="H215" i="592"/>
  <c r="H222" i="592"/>
  <c r="X222" i="592" s="1"/>
  <c r="X221" i="592"/>
  <c r="BE429" i="397"/>
  <c r="BZ428" i="397"/>
  <c r="R428" i="397"/>
  <c r="Q428" i="397"/>
  <c r="CC428" i="397"/>
  <c r="CD428" i="397"/>
  <c r="BE428" i="397"/>
  <c r="CE428" i="397"/>
  <c r="R431" i="397"/>
  <c r="Q431" i="397"/>
  <c r="H195" i="592"/>
  <c r="Y195" i="592" s="1"/>
  <c r="N185" i="592"/>
  <c r="N186" i="592"/>
  <c r="N187" i="592"/>
  <c r="N188" i="592"/>
  <c r="N189" i="592"/>
  <c r="N190" i="592"/>
  <c r="N191" i="592"/>
  <c r="N192" i="592"/>
  <c r="N193" i="592"/>
  <c r="N194" i="592"/>
  <c r="N195" i="592"/>
  <c r="N197" i="592"/>
  <c r="N196" i="592"/>
  <c r="N184" i="592"/>
  <c r="H198" i="592"/>
  <c r="BA197" i="592"/>
  <c r="AX197" i="592"/>
  <c r="AW197" i="592"/>
  <c r="AV197" i="592"/>
  <c r="AU197" i="592"/>
  <c r="AT197" i="592"/>
  <c r="AS197" i="592"/>
  <c r="AR197" i="592"/>
  <c r="AQ197" i="592"/>
  <c r="AP197" i="592"/>
  <c r="AO197" i="592"/>
  <c r="AN197" i="592"/>
  <c r="AM197" i="592"/>
  <c r="AL197" i="592"/>
  <c r="AK197" i="592"/>
  <c r="AJ197" i="592"/>
  <c r="AI197" i="592"/>
  <c r="AH197" i="592"/>
  <c r="AG197" i="592"/>
  <c r="AF197" i="592"/>
  <c r="AE197" i="592"/>
  <c r="AD197" i="592"/>
  <c r="AC197" i="592"/>
  <c r="AB197" i="592"/>
  <c r="AA197" i="592"/>
  <c r="Z197" i="592"/>
  <c r="X197" i="592"/>
  <c r="W197" i="592"/>
  <c r="V197" i="592"/>
  <c r="U197" i="592"/>
  <c r="T197" i="592"/>
  <c r="Y194" i="592"/>
  <c r="Y193" i="592"/>
  <c r="Y191" i="592"/>
  <c r="Y189" i="592"/>
  <c r="H188" i="592"/>
  <c r="Y187" i="592"/>
  <c r="H185" i="592"/>
  <c r="Y184" i="592"/>
  <c r="H186" i="592"/>
  <c r="AZ185" i="592"/>
  <c r="AZ197" i="592" s="1"/>
  <c r="H190" i="592"/>
  <c r="AY190" i="592"/>
  <c r="AY188" i="592"/>
  <c r="N183" i="592"/>
  <c r="AZ186" i="592"/>
  <c r="H192" i="592"/>
  <c r="AY192" i="592"/>
  <c r="R302" i="397"/>
  <c r="Q302" i="397"/>
  <c r="P161" i="202"/>
  <c r="BG173" i="202"/>
  <c r="H171" i="592"/>
  <c r="H163" i="592"/>
  <c r="N140" i="592"/>
  <c r="N141" i="592"/>
  <c r="N142" i="592"/>
  <c r="N143" i="592"/>
  <c r="N144" i="592"/>
  <c r="N145" i="592"/>
  <c r="N146" i="592"/>
  <c r="N147" i="592"/>
  <c r="N148" i="592"/>
  <c r="N149" i="592"/>
  <c r="N150" i="592"/>
  <c r="N151" i="592"/>
  <c r="N152" i="592"/>
  <c r="N153" i="592"/>
  <c r="N154" i="592"/>
  <c r="N155" i="592"/>
  <c r="N156" i="592"/>
  <c r="N157" i="592"/>
  <c r="N158" i="592"/>
  <c r="N159" i="592"/>
  <c r="N160" i="592"/>
  <c r="N161" i="592"/>
  <c r="N162" i="592"/>
  <c r="N163" i="592"/>
  <c r="N164" i="592"/>
  <c r="N165" i="592"/>
  <c r="N166" i="592"/>
  <c r="N167" i="592"/>
  <c r="N168" i="592"/>
  <c r="N139" i="592"/>
  <c r="H169" i="592"/>
  <c r="BA168" i="592"/>
  <c r="AZ168" i="592"/>
  <c r="AX168" i="592"/>
  <c r="AW168" i="592"/>
  <c r="AV168" i="592"/>
  <c r="AU168" i="592"/>
  <c r="AT168" i="592"/>
  <c r="AS168" i="592"/>
  <c r="AR168" i="592"/>
  <c r="AQ168" i="592"/>
  <c r="AP168" i="592"/>
  <c r="AO168" i="592"/>
  <c r="AN168" i="592"/>
  <c r="AM168" i="592"/>
  <c r="AL168" i="592"/>
  <c r="AI168" i="592"/>
  <c r="AH168" i="592"/>
  <c r="AG168" i="592"/>
  <c r="AF168" i="592"/>
  <c r="AE168" i="592"/>
  <c r="AD168" i="592"/>
  <c r="AC168" i="592"/>
  <c r="AB168" i="592"/>
  <c r="AA168" i="592"/>
  <c r="Z168" i="592"/>
  <c r="X168" i="592"/>
  <c r="W168" i="592"/>
  <c r="V168" i="592"/>
  <c r="U168" i="592"/>
  <c r="T168" i="592"/>
  <c r="H165" i="592"/>
  <c r="Y160" i="592"/>
  <c r="Y157" i="592"/>
  <c r="Y154" i="592"/>
  <c r="Y151" i="592"/>
  <c r="Y150" i="592"/>
  <c r="Y147" i="592"/>
  <c r="Y144" i="592"/>
  <c r="Y143" i="592"/>
  <c r="H142" i="592"/>
  <c r="AJ141" i="592"/>
  <c r="AJ168" i="592" s="1"/>
  <c r="AK140" i="592"/>
  <c r="AK168" i="592" s="1"/>
  <c r="AY139" i="592"/>
  <c r="AY168" i="592"/>
  <c r="R298" i="397"/>
  <c r="Q298" i="397"/>
  <c r="U161" i="202"/>
  <c r="N107" i="592"/>
  <c r="H126" i="592"/>
  <c r="H121" i="592"/>
  <c r="AC121" i="592" s="1"/>
  <c r="N123" i="592"/>
  <c r="N122" i="592"/>
  <c r="N121" i="592"/>
  <c r="N120" i="592"/>
  <c r="N119" i="592"/>
  <c r="N118" i="592"/>
  <c r="N117" i="592"/>
  <c r="N106" i="592" s="1"/>
  <c r="N116" i="592"/>
  <c r="N115" i="592"/>
  <c r="N114" i="592"/>
  <c r="N113" i="592"/>
  <c r="N112" i="592"/>
  <c r="N111" i="592"/>
  <c r="N110" i="592"/>
  <c r="N109" i="592"/>
  <c r="N108" i="592"/>
  <c r="H124" i="592"/>
  <c r="BA123" i="592"/>
  <c r="AZ123" i="592"/>
  <c r="AY123" i="592"/>
  <c r="AX123" i="592"/>
  <c r="AW123" i="592"/>
  <c r="AV123" i="592"/>
  <c r="AU123" i="592"/>
  <c r="AS123" i="592"/>
  <c r="AR123" i="592"/>
  <c r="AQ123" i="592"/>
  <c r="AO123" i="592"/>
  <c r="AN123" i="592"/>
  <c r="AM123" i="592"/>
  <c r="AL123" i="592"/>
  <c r="AK123" i="592"/>
  <c r="AJ123" i="592"/>
  <c r="AI123" i="592"/>
  <c r="AH123" i="592"/>
  <c r="AG123" i="592"/>
  <c r="AF123" i="592"/>
  <c r="AE123" i="592"/>
  <c r="AD123" i="592"/>
  <c r="AA123" i="592"/>
  <c r="Z123" i="592"/>
  <c r="Y123" i="592"/>
  <c r="W123" i="592"/>
  <c r="V123" i="592"/>
  <c r="U123" i="592"/>
  <c r="T123" i="592"/>
  <c r="AB120" i="592"/>
  <c r="H118" i="592"/>
  <c r="AB117" i="592"/>
  <c r="AC116" i="592"/>
  <c r="H114" i="592"/>
  <c r="AC113" i="592"/>
  <c r="AC112" i="592"/>
  <c r="AC110" i="592"/>
  <c r="H108" i="592"/>
  <c r="H109" i="592"/>
  <c r="AP109" i="592" s="1"/>
  <c r="AC107" i="592"/>
  <c r="N80" i="592"/>
  <c r="N81" i="592"/>
  <c r="N82" i="592"/>
  <c r="N83" i="592"/>
  <c r="N84" i="592"/>
  <c r="N85" i="592"/>
  <c r="N86" i="592"/>
  <c r="N87" i="592"/>
  <c r="N88" i="592"/>
  <c r="N89" i="592"/>
  <c r="N90" i="592"/>
  <c r="N91" i="592"/>
  <c r="N79" i="592"/>
  <c r="H92" i="592"/>
  <c r="BC91" i="592"/>
  <c r="BB91" i="592"/>
  <c r="BA91" i="592"/>
  <c r="AZ91" i="592"/>
  <c r="AY91" i="592"/>
  <c r="AX91" i="592"/>
  <c r="AW91" i="592"/>
  <c r="AV91" i="592"/>
  <c r="AU91" i="592"/>
  <c r="AT91" i="592"/>
  <c r="AS91" i="592"/>
  <c r="AR91" i="592"/>
  <c r="AQ91" i="592"/>
  <c r="AP91" i="592"/>
  <c r="AO91" i="592"/>
  <c r="AN91" i="592"/>
  <c r="AM91" i="592"/>
  <c r="AL91" i="592"/>
  <c r="AK91" i="592"/>
  <c r="AJ91" i="592"/>
  <c r="AI91" i="592"/>
  <c r="AH91" i="592"/>
  <c r="AG91" i="592"/>
  <c r="AF91" i="592"/>
  <c r="AE91" i="592"/>
  <c r="AD91" i="592"/>
  <c r="AA91" i="592"/>
  <c r="Z91" i="592"/>
  <c r="X91" i="592"/>
  <c r="W91" i="592"/>
  <c r="V91" i="592"/>
  <c r="H89" i="592"/>
  <c r="U88" i="592"/>
  <c r="U91" i="592"/>
  <c r="AC87" i="592"/>
  <c r="AC86" i="592"/>
  <c r="AC85" i="592"/>
  <c r="AB84" i="592"/>
  <c r="AB83" i="592"/>
  <c r="AC82" i="592"/>
  <c r="Y81" i="592"/>
  <c r="Y91" i="592"/>
  <c r="AC80" i="592"/>
  <c r="AB79" i="592"/>
  <c r="H119" i="592"/>
  <c r="X119" i="592" s="1"/>
  <c r="X118" i="592"/>
  <c r="X123" i="592"/>
  <c r="AP108" i="592"/>
  <c r="V253" i="8"/>
  <c r="V256" i="8"/>
  <c r="V257" i="8"/>
  <c r="V255" i="8"/>
  <c r="V254" i="8"/>
  <c r="Q399" i="397"/>
  <c r="R402" i="397"/>
  <c r="A437" i="397"/>
  <c r="Q437" i="397"/>
  <c r="R437" i="397"/>
  <c r="BD437" i="397"/>
  <c r="BE437" i="397"/>
  <c r="BZ437" i="397"/>
  <c r="CA437" i="397"/>
  <c r="CB437" i="397"/>
  <c r="CC437" i="397"/>
  <c r="CD437" i="397"/>
  <c r="CE437" i="397"/>
  <c r="R426" i="397"/>
  <c r="Q426" i="397"/>
  <c r="H66" i="592"/>
  <c r="H58" i="592"/>
  <c r="AC58" i="592"/>
  <c r="AB58" i="592"/>
  <c r="N35" i="592"/>
  <c r="N36" i="592"/>
  <c r="N37" i="592"/>
  <c r="N38" i="592"/>
  <c r="N39" i="592"/>
  <c r="N40" i="592"/>
  <c r="N41" i="592"/>
  <c r="N42" i="592"/>
  <c r="N43" i="592"/>
  <c r="N44" i="592"/>
  <c r="N45" i="592"/>
  <c r="N46" i="592"/>
  <c r="N47" i="592"/>
  <c r="N48" i="592"/>
  <c r="N49" i="592"/>
  <c r="N50" i="592"/>
  <c r="N51" i="592"/>
  <c r="N52" i="592"/>
  <c r="N53" i="592"/>
  <c r="N54" i="592"/>
  <c r="N55" i="592"/>
  <c r="N56" i="592"/>
  <c r="N57" i="592"/>
  <c r="N58" i="592"/>
  <c r="N59" i="592"/>
  <c r="N60" i="592"/>
  <c r="N61" i="592"/>
  <c r="N62" i="592"/>
  <c r="N63" i="592"/>
  <c r="N34" i="592"/>
  <c r="H64" i="592"/>
  <c r="BA63" i="592"/>
  <c r="AZ63" i="592"/>
  <c r="AX63" i="592"/>
  <c r="AW63" i="592"/>
  <c r="AV63" i="592"/>
  <c r="AU63" i="592"/>
  <c r="AT63" i="592"/>
  <c r="AS63" i="592"/>
  <c r="AR63" i="592"/>
  <c r="AQ63" i="592"/>
  <c r="AP63" i="592"/>
  <c r="AO63" i="592"/>
  <c r="AN63" i="592"/>
  <c r="AM63" i="592"/>
  <c r="AL63" i="592"/>
  <c r="AJ63" i="592"/>
  <c r="AI63" i="592"/>
  <c r="AH63" i="592"/>
  <c r="AG63" i="592"/>
  <c r="AF63" i="592"/>
  <c r="AE63" i="592"/>
  <c r="AD63" i="592"/>
  <c r="AA63" i="592"/>
  <c r="Z63" i="592"/>
  <c r="X63" i="592"/>
  <c r="W63" i="592"/>
  <c r="V63" i="592"/>
  <c r="U63" i="592"/>
  <c r="T63" i="592"/>
  <c r="H61" i="592"/>
  <c r="H62" i="592" s="1"/>
  <c r="AC55" i="592"/>
  <c r="AB55" i="592"/>
  <c r="AC52" i="592"/>
  <c r="AB52" i="592"/>
  <c r="AC49" i="592"/>
  <c r="AB49" i="592"/>
  <c r="AC46" i="592"/>
  <c r="AB46" i="592"/>
  <c r="AC44" i="592"/>
  <c r="AB44" i="592"/>
  <c r="AC41" i="592"/>
  <c r="AB41" i="592"/>
  <c r="AC40" i="592"/>
  <c r="AC63" i="592" s="1"/>
  <c r="AB40" i="592"/>
  <c r="AB63" i="592" s="1"/>
  <c r="AB39" i="592"/>
  <c r="H38" i="592"/>
  <c r="Y37" i="592"/>
  <c r="Y36" i="592"/>
  <c r="AK35" i="592"/>
  <c r="AK63" i="592" s="1"/>
  <c r="AY34" i="592"/>
  <c r="AY63" i="592" s="1"/>
  <c r="Q190" i="397"/>
  <c r="BZ424" i="397"/>
  <c r="CC424" i="397"/>
  <c r="CE424" i="397"/>
  <c r="CD424" i="397"/>
  <c r="CC429" i="397"/>
  <c r="CC432" i="397"/>
  <c r="CC436" i="397"/>
  <c r="CC431" i="397"/>
  <c r="CC425" i="397"/>
  <c r="CC427" i="397"/>
  <c r="CC433" i="397"/>
  <c r="CE432" i="397"/>
  <c r="CD432" i="397"/>
  <c r="CE427" i="397"/>
  <c r="CD427" i="397"/>
  <c r="CE431" i="397"/>
  <c r="CD431" i="397"/>
  <c r="CE425" i="397"/>
  <c r="CD425" i="397"/>
  <c r="CE433" i="397"/>
  <c r="CD433" i="397"/>
  <c r="CE436" i="397"/>
  <c r="CD436" i="397"/>
  <c r="CE429" i="397"/>
  <c r="CD429" i="397"/>
  <c r="BZ433" i="397"/>
  <c r="BZ421" i="397"/>
  <c r="BZ427" i="397"/>
  <c r="BZ432" i="397"/>
  <c r="BZ431" i="397"/>
  <c r="BZ429" i="397"/>
  <c r="BZ425" i="397"/>
  <c r="CF425" i="397" s="1"/>
  <c r="CH425" i="397" s="1"/>
  <c r="BZ436" i="397"/>
  <c r="CE435" i="397"/>
  <c r="CD435" i="397"/>
  <c r="CC435" i="397"/>
  <c r="CB435" i="397"/>
  <c r="CA435" i="397"/>
  <c r="BZ435" i="397"/>
  <c r="BE435" i="397"/>
  <c r="R435" i="397"/>
  <c r="Q435" i="397"/>
  <c r="A435" i="397"/>
  <c r="N11" i="592"/>
  <c r="N12" i="592"/>
  <c r="N13" i="592"/>
  <c r="N14" i="592"/>
  <c r="N15" i="592"/>
  <c r="N16" i="592"/>
  <c r="N17" i="592"/>
  <c r="N18" i="592"/>
  <c r="N10" i="592"/>
  <c r="N9" i="592" s="1"/>
  <c r="H19" i="592"/>
  <c r="BC18" i="592"/>
  <c r="BB18" i="592"/>
  <c r="BA18" i="592"/>
  <c r="AY18" i="592"/>
  <c r="AX18" i="592"/>
  <c r="AW18" i="592"/>
  <c r="AV18" i="592"/>
  <c r="AU18" i="592"/>
  <c r="AT18" i="592"/>
  <c r="AS18" i="592"/>
  <c r="AR18" i="592"/>
  <c r="AQ18" i="592"/>
  <c r="AP18" i="592"/>
  <c r="AO18" i="592"/>
  <c r="AN18" i="592"/>
  <c r="AM18" i="592"/>
  <c r="AL18" i="592"/>
  <c r="AK18" i="592"/>
  <c r="AJ18" i="592"/>
  <c r="AI18" i="592"/>
  <c r="AH18" i="592"/>
  <c r="AG18" i="592"/>
  <c r="AF18" i="592"/>
  <c r="AE18" i="592"/>
  <c r="AD18" i="592"/>
  <c r="AA18" i="592"/>
  <c r="Z18" i="592"/>
  <c r="Y18" i="592"/>
  <c r="X18" i="592"/>
  <c r="W18" i="592"/>
  <c r="V18" i="592"/>
  <c r="U18" i="592"/>
  <c r="H16" i="592"/>
  <c r="H17" i="592"/>
  <c r="H20" i="592"/>
  <c r="H21" i="592"/>
  <c r="AC15" i="592"/>
  <c r="AB14" i="592"/>
  <c r="AC13" i="592"/>
  <c r="AB12" i="592"/>
  <c r="AC11" i="592"/>
  <c r="AZ10" i="592"/>
  <c r="AZ18" i="592"/>
  <c r="T16" i="592"/>
  <c r="T18" i="592"/>
  <c r="CC421" i="397"/>
  <c r="CE421" i="397"/>
  <c r="CD421" i="397"/>
  <c r="CE448" i="397"/>
  <c r="CD448" i="397"/>
  <c r="CC448" i="397"/>
  <c r="CB448" i="397"/>
  <c r="CA448" i="397"/>
  <c r="BZ448" i="397"/>
  <c r="BE448" i="397"/>
  <c r="BF448" i="397" s="1"/>
  <c r="CG448" i="397" s="1"/>
  <c r="BD448" i="397"/>
  <c r="R448" i="397"/>
  <c r="Q448" i="397"/>
  <c r="A448" i="397"/>
  <c r="P139" i="202"/>
  <c r="Q139" i="202"/>
  <c r="R139" i="202"/>
  <c r="S139" i="202"/>
  <c r="T139" i="202"/>
  <c r="U139" i="202"/>
  <c r="U140" i="202" s="1"/>
  <c r="V139" i="202"/>
  <c r="W139" i="202"/>
  <c r="X139" i="202"/>
  <c r="Y139" i="202"/>
  <c r="Z139" i="202"/>
  <c r="AA139" i="202"/>
  <c r="AB139" i="202"/>
  <c r="AC139" i="202"/>
  <c r="AD139" i="202"/>
  <c r="AE139" i="202"/>
  <c r="AF139" i="202"/>
  <c r="AG139" i="202"/>
  <c r="AH139" i="202"/>
  <c r="AI139" i="202"/>
  <c r="AJ139" i="202"/>
  <c r="AK139" i="202"/>
  <c r="AL139" i="202"/>
  <c r="AM139" i="202"/>
  <c r="AN139" i="202"/>
  <c r="AO139" i="202"/>
  <c r="AP139" i="202"/>
  <c r="AQ139" i="202"/>
  <c r="AR139" i="202"/>
  <c r="AS139" i="202"/>
  <c r="AT139" i="202"/>
  <c r="AU139" i="202"/>
  <c r="AV139" i="202"/>
  <c r="AW139" i="202"/>
  <c r="AX139" i="202"/>
  <c r="AY139" i="202"/>
  <c r="BE139" i="202"/>
  <c r="BF139" i="202"/>
  <c r="N474" i="570"/>
  <c r="N473" i="570"/>
  <c r="N472" i="570"/>
  <c r="N471" i="570"/>
  <c r="N470" i="570"/>
  <c r="N469" i="570"/>
  <c r="N468" i="570"/>
  <c r="N467" i="570"/>
  <c r="N466" i="570"/>
  <c r="N465" i="570"/>
  <c r="H477" i="570"/>
  <c r="H472" i="570"/>
  <c r="H475" i="570"/>
  <c r="BA474" i="570"/>
  <c r="AZ474" i="570"/>
  <c r="AY474" i="570"/>
  <c r="AX474" i="570"/>
  <c r="AW474" i="570"/>
  <c r="AV474" i="570"/>
  <c r="AU474" i="570"/>
  <c r="AT474" i="570"/>
  <c r="AS474" i="570"/>
  <c r="AR474" i="570"/>
  <c r="AQ474" i="570"/>
  <c r="AP474" i="570"/>
  <c r="AO474" i="570"/>
  <c r="AN474" i="570"/>
  <c r="AM474" i="570"/>
  <c r="AL474" i="570"/>
  <c r="AK474" i="570"/>
  <c r="AJ474" i="570"/>
  <c r="AI474" i="570"/>
  <c r="AH474" i="570"/>
  <c r="AG474" i="570"/>
  <c r="AF474" i="570"/>
  <c r="AE474" i="570"/>
  <c r="AD474" i="570"/>
  <c r="AC474" i="570"/>
  <c r="AB474" i="570"/>
  <c r="BB474" i="570" s="1"/>
  <c r="AA474" i="570"/>
  <c r="Z474" i="570"/>
  <c r="X474" i="570"/>
  <c r="W474" i="570"/>
  <c r="V474" i="570"/>
  <c r="U474" i="570"/>
  <c r="T474" i="570"/>
  <c r="H473" i="570"/>
  <c r="Y472" i="570"/>
  <c r="Y471" i="570"/>
  <c r="Y470" i="570"/>
  <c r="Y469" i="570"/>
  <c r="Y468" i="570"/>
  <c r="Y467" i="570"/>
  <c r="Y466" i="570"/>
  <c r="Y465" i="570"/>
  <c r="Y474" i="570" s="1"/>
  <c r="N464" i="570"/>
  <c r="H391" i="570"/>
  <c r="H397" i="570"/>
  <c r="H398" i="570" s="1"/>
  <c r="AV398" i="570" s="1"/>
  <c r="AV401" i="570" s="1"/>
  <c r="R299" i="397"/>
  <c r="Q299" i="397"/>
  <c r="H452" i="570"/>
  <c r="H445" i="570"/>
  <c r="N418" i="570"/>
  <c r="N419" i="570"/>
  <c r="N420" i="570"/>
  <c r="N421" i="570"/>
  <c r="N416" i="570" s="1"/>
  <c r="N422" i="570"/>
  <c r="N423" i="570"/>
  <c r="N424" i="570"/>
  <c r="N425" i="570"/>
  <c r="N426" i="570"/>
  <c r="N427" i="570"/>
  <c r="N428" i="570"/>
  <c r="N430" i="570"/>
  <c r="N431" i="570"/>
  <c r="N432" i="570"/>
  <c r="N433" i="570"/>
  <c r="N434" i="570"/>
  <c r="N435" i="570"/>
  <c r="N436" i="570"/>
  <c r="N437" i="570"/>
  <c r="N438" i="570"/>
  <c r="N439" i="570"/>
  <c r="N440" i="570"/>
  <c r="N441" i="570"/>
  <c r="N442" i="570"/>
  <c r="N443" i="570"/>
  <c r="N444" i="570"/>
  <c r="N445" i="570"/>
  <c r="N446" i="570"/>
  <c r="N447" i="570"/>
  <c r="N448" i="570"/>
  <c r="N449" i="570"/>
  <c r="N417" i="570"/>
  <c r="H450" i="570"/>
  <c r="BA449" i="570"/>
  <c r="AZ449" i="570"/>
  <c r="AY449" i="570"/>
  <c r="AX449" i="570"/>
  <c r="AW449" i="570"/>
  <c r="AV449" i="570"/>
  <c r="AU449" i="570"/>
  <c r="AT449" i="570"/>
  <c r="AS449" i="570"/>
  <c r="AQ449" i="570"/>
  <c r="AP449" i="570"/>
  <c r="AO449" i="570"/>
  <c r="AN449" i="570"/>
  <c r="AM449" i="570"/>
  <c r="AL449" i="570"/>
  <c r="AK449" i="570"/>
  <c r="AJ449" i="570"/>
  <c r="AI449" i="570"/>
  <c r="AH449" i="570"/>
  <c r="AG449" i="570"/>
  <c r="AF449" i="570"/>
  <c r="AE449" i="570"/>
  <c r="AD449" i="570"/>
  <c r="AA449" i="570"/>
  <c r="Z449" i="570"/>
  <c r="Y449" i="570"/>
  <c r="X449" i="570"/>
  <c r="W449" i="570"/>
  <c r="V449" i="570"/>
  <c r="U449" i="570"/>
  <c r="H446" i="570"/>
  <c r="H444" i="570"/>
  <c r="H443" i="570"/>
  <c r="AB442" i="570"/>
  <c r="AC440" i="570"/>
  <c r="AB440" i="570"/>
  <c r="AB437" i="570"/>
  <c r="AB435" i="570"/>
  <c r="H432" i="570"/>
  <c r="H447" i="570"/>
  <c r="H448" i="570" s="1"/>
  <c r="H431" i="570"/>
  <c r="AR430" i="570"/>
  <c r="AC427" i="570"/>
  <c r="AB427" i="570"/>
  <c r="AC425" i="570"/>
  <c r="AB425" i="570"/>
  <c r="AB423" i="570"/>
  <c r="T420" i="570"/>
  <c r="T449" i="570"/>
  <c r="H419" i="570"/>
  <c r="AR418" i="570"/>
  <c r="AR449" i="570" s="1"/>
  <c r="N391" i="570"/>
  <c r="N392" i="570"/>
  <c r="N393" i="570"/>
  <c r="N394" i="570"/>
  <c r="N395" i="570"/>
  <c r="N397" i="570"/>
  <c r="N396" i="570"/>
  <c r="N398" i="570"/>
  <c r="N399" i="570"/>
  <c r="N400" i="570"/>
  <c r="N401" i="570"/>
  <c r="N390" i="570"/>
  <c r="H404" i="570"/>
  <c r="H399" i="570"/>
  <c r="H402" i="570"/>
  <c r="BA401" i="570"/>
  <c r="AY401" i="570"/>
  <c r="AX401" i="570"/>
  <c r="AW401" i="570"/>
  <c r="AU401" i="570"/>
  <c r="AT401" i="570"/>
  <c r="AS401" i="570"/>
  <c r="AR401" i="570"/>
  <c r="AQ401" i="570"/>
  <c r="AP401" i="570"/>
  <c r="AO401" i="570"/>
  <c r="AN401" i="570"/>
  <c r="AM401" i="570"/>
  <c r="AL401" i="570"/>
  <c r="AK401" i="570"/>
  <c r="AJ401" i="570"/>
  <c r="AI401" i="570"/>
  <c r="AH401" i="570"/>
  <c r="AG401" i="570"/>
  <c r="AF401" i="570"/>
  <c r="AE401" i="570"/>
  <c r="AD401" i="570"/>
  <c r="AA401" i="570"/>
  <c r="Z401" i="570"/>
  <c r="Y401" i="570"/>
  <c r="X401" i="570"/>
  <c r="W401" i="570"/>
  <c r="V401" i="570"/>
  <c r="U401" i="570"/>
  <c r="T401" i="570"/>
  <c r="AC399" i="570"/>
  <c r="AB399" i="570"/>
  <c r="AC396" i="570"/>
  <c r="AB396" i="570"/>
  <c r="AC395" i="570"/>
  <c r="AB395" i="570"/>
  <c r="AC394" i="570"/>
  <c r="AB394" i="570"/>
  <c r="AC393" i="570"/>
  <c r="AB393" i="570"/>
  <c r="AC390" i="570"/>
  <c r="AB390" i="570"/>
  <c r="AB401" i="570" s="1"/>
  <c r="H377" i="570"/>
  <c r="H372" i="570"/>
  <c r="AB445" i="570"/>
  <c r="N389" i="570"/>
  <c r="AV397" i="570"/>
  <c r="H294" i="570"/>
  <c r="H289" i="570"/>
  <c r="Q415" i="397"/>
  <c r="R412" i="397"/>
  <c r="Q412" i="397"/>
  <c r="R420" i="397"/>
  <c r="Q420" i="397"/>
  <c r="BE431" i="397"/>
  <c r="N364" i="570"/>
  <c r="N365" i="570"/>
  <c r="N366" i="570"/>
  <c r="N367" i="570"/>
  <c r="N362" i="570" s="1"/>
  <c r="N368" i="570"/>
  <c r="N369" i="570"/>
  <c r="N370" i="570"/>
  <c r="N371" i="570"/>
  <c r="N372" i="570"/>
  <c r="N373" i="570"/>
  <c r="N374" i="570"/>
  <c r="N363" i="570"/>
  <c r="H375" i="570"/>
  <c r="BA374" i="570"/>
  <c r="AZ374" i="570"/>
  <c r="AY374" i="570"/>
  <c r="AX374" i="570"/>
  <c r="AW374" i="570"/>
  <c r="AV374" i="570"/>
  <c r="AU374" i="570"/>
  <c r="AT374" i="570"/>
  <c r="AS374" i="570"/>
  <c r="AR374" i="570"/>
  <c r="AQ374" i="570"/>
  <c r="AP374" i="570"/>
  <c r="AO374" i="570"/>
  <c r="AN374" i="570"/>
  <c r="AM374" i="570"/>
  <c r="AL374" i="570"/>
  <c r="AJ374" i="570"/>
  <c r="AI374" i="570"/>
  <c r="AH374" i="570"/>
  <c r="AG374" i="570"/>
  <c r="AF374" i="570"/>
  <c r="AE374" i="570"/>
  <c r="AD374" i="570"/>
  <c r="AC374" i="570"/>
  <c r="AB374" i="570"/>
  <c r="AA374" i="570"/>
  <c r="Z374" i="570"/>
  <c r="X374" i="570"/>
  <c r="W374" i="570"/>
  <c r="V374" i="570"/>
  <c r="U374" i="570"/>
  <c r="T374" i="570"/>
  <c r="Y371" i="570"/>
  <c r="H369" i="570"/>
  <c r="AK369" i="570" s="1"/>
  <c r="Y368" i="570"/>
  <c r="Y367" i="570"/>
  <c r="H365" i="570"/>
  <c r="AK365" i="570" s="1"/>
  <c r="H366" i="570"/>
  <c r="Y364" i="570"/>
  <c r="Y363" i="570"/>
  <c r="H370" i="570"/>
  <c r="AK370" i="570"/>
  <c r="Y372" i="570"/>
  <c r="N339" i="570"/>
  <c r="N340" i="570"/>
  <c r="N341" i="570"/>
  <c r="N342" i="570"/>
  <c r="N343" i="570"/>
  <c r="N344" i="570"/>
  <c r="N345" i="570"/>
  <c r="N346" i="570"/>
  <c r="N347" i="570"/>
  <c r="N348" i="570"/>
  <c r="N338" i="570"/>
  <c r="H349" i="570"/>
  <c r="BC348" i="570"/>
  <c r="BB348" i="570"/>
  <c r="BA348" i="570"/>
  <c r="AZ348" i="570"/>
  <c r="AY348" i="570"/>
  <c r="AX348" i="570"/>
  <c r="AW348" i="570"/>
  <c r="AV348" i="570"/>
  <c r="AU348" i="570"/>
  <c r="AT348" i="570"/>
  <c r="AS348" i="570"/>
  <c r="AR348" i="570"/>
  <c r="AQ348" i="570"/>
  <c r="AP348" i="570"/>
  <c r="AO348" i="570"/>
  <c r="AN348" i="570"/>
  <c r="AM348" i="570"/>
  <c r="AL348" i="570"/>
  <c r="AJ348" i="570"/>
  <c r="AI348" i="570"/>
  <c r="AH348" i="570"/>
  <c r="AF348" i="570"/>
  <c r="AE348" i="570"/>
  <c r="AD348" i="570"/>
  <c r="AA348" i="570"/>
  <c r="Z348" i="570"/>
  <c r="Y348" i="570"/>
  <c r="W348" i="570"/>
  <c r="V348" i="570"/>
  <c r="U348" i="570"/>
  <c r="T348" i="570"/>
  <c r="H346" i="570"/>
  <c r="X346" i="570" s="1"/>
  <c r="X348" i="570" s="1"/>
  <c r="H347" i="570"/>
  <c r="H350" i="570" s="1"/>
  <c r="AB345" i="570"/>
  <c r="AC344" i="570"/>
  <c r="AC343" i="570"/>
  <c r="AB342" i="570"/>
  <c r="AC341" i="570"/>
  <c r="AC348" i="570" s="1"/>
  <c r="AC340" i="570"/>
  <c r="AK339" i="570"/>
  <c r="AK348" i="570" s="1"/>
  <c r="AG338" i="570"/>
  <c r="AG348" i="570" s="1"/>
  <c r="AB348" i="570"/>
  <c r="BD435" i="397"/>
  <c r="BP166" i="202"/>
  <c r="BG166" i="202"/>
  <c r="V232" i="8"/>
  <c r="V231" i="8"/>
  <c r="Q424" i="397"/>
  <c r="Q294" i="397"/>
  <c r="BE424" i="397"/>
  <c r="N308" i="570"/>
  <c r="N309" i="570"/>
  <c r="N310" i="570"/>
  <c r="N311" i="570"/>
  <c r="N312" i="570"/>
  <c r="N313" i="570"/>
  <c r="N314" i="570"/>
  <c r="N315" i="570"/>
  <c r="N316" i="570"/>
  <c r="N317" i="570"/>
  <c r="N318" i="570"/>
  <c r="N319" i="570"/>
  <c r="N320" i="570"/>
  <c r="N321" i="570"/>
  <c r="N322" i="570"/>
  <c r="N307" i="570"/>
  <c r="H325" i="570"/>
  <c r="H320" i="570"/>
  <c r="H323" i="570"/>
  <c r="BA322" i="570"/>
  <c r="AZ322" i="570"/>
  <c r="AX322" i="570"/>
  <c r="AW322" i="570"/>
  <c r="AV322" i="570"/>
  <c r="AU322" i="570"/>
  <c r="AT322" i="570"/>
  <c r="AS322" i="570"/>
  <c r="AR322" i="570"/>
  <c r="AQ322" i="570"/>
  <c r="AP322" i="570"/>
  <c r="AO322" i="570"/>
  <c r="AN322" i="570"/>
  <c r="AM322" i="570"/>
  <c r="AL322" i="570"/>
  <c r="AK322" i="570"/>
  <c r="AI322" i="570"/>
  <c r="AH322" i="570"/>
  <c r="AG322" i="570"/>
  <c r="AF322" i="570"/>
  <c r="AE322" i="570"/>
  <c r="AD322" i="570"/>
  <c r="AC322" i="570"/>
  <c r="AA322" i="570"/>
  <c r="Z322" i="570"/>
  <c r="X322" i="570"/>
  <c r="W322" i="570"/>
  <c r="V322" i="570"/>
  <c r="U322" i="570"/>
  <c r="T322" i="570"/>
  <c r="Y319" i="570"/>
  <c r="H317" i="570"/>
  <c r="AB317" i="570"/>
  <c r="H316" i="570"/>
  <c r="Y316" i="570"/>
  <c r="Y322" i="570" s="1"/>
  <c r="Y315" i="570"/>
  <c r="H313" i="570"/>
  <c r="AY313" i="570" s="1"/>
  <c r="Y312" i="570"/>
  <c r="Y311" i="570"/>
  <c r="Y309" i="570"/>
  <c r="H308" i="570"/>
  <c r="AJ308" i="570"/>
  <c r="Y307" i="570"/>
  <c r="N271" i="570"/>
  <c r="N272" i="570"/>
  <c r="N273" i="570"/>
  <c r="N274" i="570"/>
  <c r="N275" i="570"/>
  <c r="N269" i="570" s="1"/>
  <c r="N276" i="570"/>
  <c r="N277" i="570"/>
  <c r="N278" i="570"/>
  <c r="N279" i="570"/>
  <c r="N280" i="570"/>
  <c r="N281" i="570"/>
  <c r="N282" i="570"/>
  <c r="N283" i="570"/>
  <c r="N284" i="570"/>
  <c r="N285" i="570"/>
  <c r="N286" i="570"/>
  <c r="N287" i="570"/>
  <c r="N288" i="570"/>
  <c r="N289" i="570"/>
  <c r="N290" i="570"/>
  <c r="N291" i="570"/>
  <c r="N270" i="570"/>
  <c r="H292" i="570"/>
  <c r="AZ291" i="570"/>
  <c r="AY291" i="570"/>
  <c r="AX291" i="570"/>
  <c r="AW291" i="570"/>
  <c r="AV291" i="570"/>
  <c r="AS291" i="570"/>
  <c r="AR291" i="570"/>
  <c r="AQ291" i="570"/>
  <c r="AP291" i="570"/>
  <c r="AO291" i="570"/>
  <c r="AN291" i="570"/>
  <c r="AM291" i="570"/>
  <c r="AL291" i="570"/>
  <c r="AK291" i="570"/>
  <c r="AJ291" i="570"/>
  <c r="AI291" i="570"/>
  <c r="AH291" i="570"/>
  <c r="AG291" i="570"/>
  <c r="AF291" i="570"/>
  <c r="AE291" i="570"/>
  <c r="AD291" i="570"/>
  <c r="AA291" i="570"/>
  <c r="Z291" i="570"/>
  <c r="Y291" i="570"/>
  <c r="W291" i="570"/>
  <c r="V291" i="570"/>
  <c r="U291" i="570"/>
  <c r="T291" i="570"/>
  <c r="AC288" i="570"/>
  <c r="AB288" i="570"/>
  <c r="AC286" i="570"/>
  <c r="AC284" i="570"/>
  <c r="H283" i="570"/>
  <c r="H285" i="570" s="1"/>
  <c r="X282" i="570"/>
  <c r="X291" i="570"/>
  <c r="AB281" i="570"/>
  <c r="AC280" i="570"/>
  <c r="AC278" i="570"/>
  <c r="AC276" i="570"/>
  <c r="AC274" i="570"/>
  <c r="H273" i="570"/>
  <c r="BA273" i="570" s="1"/>
  <c r="H275" i="570"/>
  <c r="AC272" i="570"/>
  <c r="H271" i="570"/>
  <c r="AB270" i="570"/>
  <c r="H310" i="570"/>
  <c r="H318" i="570"/>
  <c r="AB318" i="570" s="1"/>
  <c r="AU285" i="570"/>
  <c r="H287" i="570"/>
  <c r="AU287" i="570" s="1"/>
  <c r="N254" i="570"/>
  <c r="N253" i="570"/>
  <c r="N252" i="570"/>
  <c r="N251" i="570"/>
  <c r="N250" i="570"/>
  <c r="N249" i="570"/>
  <c r="N248" i="570"/>
  <c r="N247" i="570"/>
  <c r="N246" i="570"/>
  <c r="N245" i="570"/>
  <c r="N244" i="570"/>
  <c r="N243" i="570"/>
  <c r="N242" i="570"/>
  <c r="H257" i="570"/>
  <c r="H255" i="570"/>
  <c r="BA254" i="570"/>
  <c r="AZ254" i="570"/>
  <c r="AY254" i="570"/>
  <c r="AX254" i="570"/>
  <c r="AW254" i="570"/>
  <c r="AV254" i="570"/>
  <c r="AU254" i="570"/>
  <c r="AT254" i="570"/>
  <c r="AS254" i="570"/>
  <c r="AR254" i="570"/>
  <c r="AQ254" i="570"/>
  <c r="AP254" i="570"/>
  <c r="AO254" i="570"/>
  <c r="AN254" i="570"/>
  <c r="AM254" i="570"/>
  <c r="AL254" i="570"/>
  <c r="AK254" i="570"/>
  <c r="AJ254" i="570"/>
  <c r="AI254" i="570"/>
  <c r="AH254" i="570"/>
  <c r="AG254" i="570"/>
  <c r="AF254" i="570"/>
  <c r="AE254" i="570"/>
  <c r="AD254" i="570"/>
  <c r="AB254" i="570"/>
  <c r="AA254" i="570"/>
  <c r="W254" i="570"/>
  <c r="V254" i="570"/>
  <c r="U254" i="570"/>
  <c r="T254" i="570"/>
  <c r="H252" i="570"/>
  <c r="X251" i="570"/>
  <c r="X254" i="570" s="1"/>
  <c r="Y250" i="570"/>
  <c r="AC249" i="570"/>
  <c r="Z248" i="570"/>
  <c r="Z254" i="570" s="1"/>
  <c r="Y248" i="570"/>
  <c r="AC247" i="570"/>
  <c r="AC246" i="570"/>
  <c r="Y245" i="570"/>
  <c r="Y244" i="570"/>
  <c r="AC243" i="570"/>
  <c r="Y242" i="570"/>
  <c r="CE441" i="397"/>
  <c r="CD441" i="397"/>
  <c r="CC441" i="397"/>
  <c r="CB441" i="397"/>
  <c r="CF441" i="397" s="1"/>
  <c r="CA441" i="397"/>
  <c r="BZ441" i="397"/>
  <c r="BE441" i="397"/>
  <c r="BD441" i="397"/>
  <c r="R441" i="397"/>
  <c r="Q441" i="397"/>
  <c r="A441" i="397"/>
  <c r="AC254" i="570"/>
  <c r="Y320" i="570"/>
  <c r="AB289" i="570"/>
  <c r="N222" i="570"/>
  <c r="N223" i="570"/>
  <c r="N224" i="570"/>
  <c r="N220" i="570" s="1"/>
  <c r="N225" i="570"/>
  <c r="N226" i="570"/>
  <c r="N227" i="570"/>
  <c r="N221" i="570"/>
  <c r="H228" i="570"/>
  <c r="BC227" i="570"/>
  <c r="BB227" i="570"/>
  <c r="BA227" i="570"/>
  <c r="AZ227" i="570"/>
  <c r="AY227" i="570"/>
  <c r="AX227" i="570"/>
  <c r="AW227" i="570"/>
  <c r="AV227" i="570"/>
  <c r="AU227" i="570"/>
  <c r="AT227" i="570"/>
  <c r="AS227" i="570"/>
  <c r="AQ227" i="570"/>
  <c r="AP227" i="570"/>
  <c r="AO227" i="570"/>
  <c r="AN227" i="570"/>
  <c r="AM227" i="570"/>
  <c r="AL227" i="570"/>
  <c r="AK227" i="570"/>
  <c r="AJ227" i="570"/>
  <c r="AI227" i="570"/>
  <c r="AH227" i="570"/>
  <c r="AG227" i="570"/>
  <c r="AF227" i="570"/>
  <c r="AE227" i="570"/>
  <c r="AD227" i="570"/>
  <c r="AC227" i="570"/>
  <c r="AA227" i="570"/>
  <c r="Z227" i="570"/>
  <c r="Y227" i="570"/>
  <c r="W227" i="570"/>
  <c r="V227" i="570"/>
  <c r="U227" i="570"/>
  <c r="T227" i="570"/>
  <c r="H225" i="570"/>
  <c r="H226" i="570"/>
  <c r="H229" i="570" s="1"/>
  <c r="AB224" i="570"/>
  <c r="AB223" i="570"/>
  <c r="AB227" i="570" s="1"/>
  <c r="AB222" i="570"/>
  <c r="AR221" i="570"/>
  <c r="AR227" i="570" s="1"/>
  <c r="H208" i="570"/>
  <c r="H201" i="570"/>
  <c r="Y201" i="570" s="1"/>
  <c r="N185" i="570"/>
  <c r="N186" i="570"/>
  <c r="N187" i="570"/>
  <c r="N188" i="570"/>
  <c r="N189" i="570"/>
  <c r="N190" i="570"/>
  <c r="N191" i="570"/>
  <c r="N192" i="570"/>
  <c r="N193" i="570"/>
  <c r="N194" i="570"/>
  <c r="N195" i="570"/>
  <c r="N196" i="570"/>
  <c r="N197" i="570"/>
  <c r="N198" i="570"/>
  <c r="N199" i="570"/>
  <c r="N200" i="570"/>
  <c r="N201" i="570"/>
  <c r="N202" i="570"/>
  <c r="N203" i="570"/>
  <c r="N204" i="570"/>
  <c r="N205" i="570"/>
  <c r="N184" i="570"/>
  <c r="H206" i="570"/>
  <c r="BA205" i="570"/>
  <c r="AZ205" i="570"/>
  <c r="AX205" i="570"/>
  <c r="AW205" i="570"/>
  <c r="AV205" i="570"/>
  <c r="AU205" i="570"/>
  <c r="AT205" i="570"/>
  <c r="AS205" i="570"/>
  <c r="AR205" i="570"/>
  <c r="AQ205" i="570"/>
  <c r="AP205" i="570"/>
  <c r="AO205" i="570"/>
  <c r="AN205" i="570"/>
  <c r="AM205" i="570"/>
  <c r="AL205" i="570"/>
  <c r="AJ205" i="570"/>
  <c r="AI205" i="570"/>
  <c r="AH205" i="570"/>
  <c r="AG205" i="570"/>
  <c r="AF205" i="570"/>
  <c r="AE205" i="570"/>
  <c r="AD205" i="570"/>
  <c r="AC205" i="570"/>
  <c r="AB205" i="570"/>
  <c r="AA205" i="570"/>
  <c r="Z205" i="570"/>
  <c r="X205" i="570"/>
  <c r="W205" i="570"/>
  <c r="V205" i="570"/>
  <c r="U205" i="570"/>
  <c r="T205" i="570"/>
  <c r="H199" i="570"/>
  <c r="Y198" i="570"/>
  <c r="Y192" i="570"/>
  <c r="Y190" i="570"/>
  <c r="Y187" i="570"/>
  <c r="H186" i="570"/>
  <c r="AY185" i="570"/>
  <c r="AY205" i="570"/>
  <c r="AK184" i="570"/>
  <c r="AK205" i="570" s="1"/>
  <c r="Y195" i="570"/>
  <c r="X225" i="570"/>
  <c r="X227" i="570" s="1"/>
  <c r="Q303" i="397"/>
  <c r="R303" i="397"/>
  <c r="V233" i="8"/>
  <c r="Y205" i="570"/>
  <c r="BP167" i="202"/>
  <c r="BG167" i="202"/>
  <c r="BP152" i="202"/>
  <c r="BP169" i="202"/>
  <c r="BG169" i="202"/>
  <c r="BP156" i="202"/>
  <c r="BG156" i="202"/>
  <c r="BP165" i="202"/>
  <c r="BG165" i="202"/>
  <c r="BP160" i="202"/>
  <c r="BG160" i="202"/>
  <c r="BP157" i="202"/>
  <c r="BG157" i="202"/>
  <c r="BP159" i="202"/>
  <c r="BG159" i="202"/>
  <c r="BP158" i="202"/>
  <c r="BP155" i="202"/>
  <c r="BG155" i="202"/>
  <c r="BP154" i="202"/>
  <c r="BP153" i="202"/>
  <c r="BP149" i="202"/>
  <c r="BP150" i="202"/>
  <c r="BG150" i="202"/>
  <c r="BP146" i="202"/>
  <c r="BP151" i="202"/>
  <c r="BP148" i="202"/>
  <c r="A442" i="397"/>
  <c r="H171" i="570"/>
  <c r="H164" i="570"/>
  <c r="AB164" i="570" s="1"/>
  <c r="AW191" i="583"/>
  <c r="AV191" i="583"/>
  <c r="AQ191" i="583"/>
  <c r="AP191" i="583"/>
  <c r="AJ191" i="583"/>
  <c r="AG191" i="583"/>
  <c r="AF191" i="583"/>
  <c r="AE191" i="583"/>
  <c r="AC191" i="583"/>
  <c r="AB191" i="583"/>
  <c r="T191" i="583"/>
  <c r="BY190" i="583"/>
  <c r="BX190" i="583"/>
  <c r="BZ190" i="583" s="1"/>
  <c r="CB190" i="583" s="1"/>
  <c r="BW190" i="583"/>
  <c r="BU190" i="583"/>
  <c r="BT190" i="583"/>
  <c r="BH190" i="583"/>
  <c r="BV190" i="583" s="1"/>
  <c r="AY190" i="583"/>
  <c r="AX190" i="583"/>
  <c r="AZ190" i="583" s="1"/>
  <c r="CA190" i="583" s="1"/>
  <c r="U190" i="583"/>
  <c r="R190" i="583"/>
  <c r="Q190" i="583"/>
  <c r="A190" i="583"/>
  <c r="BY189" i="583"/>
  <c r="BX189" i="583"/>
  <c r="BW189" i="583"/>
  <c r="BU189" i="583"/>
  <c r="BT189" i="583"/>
  <c r="BH189" i="583"/>
  <c r="BV189" i="583"/>
  <c r="AY189" i="583"/>
  <c r="AX189" i="583"/>
  <c r="U189" i="583"/>
  <c r="R189" i="583"/>
  <c r="Q189" i="583"/>
  <c r="A189" i="583"/>
  <c r="BY188" i="583"/>
  <c r="BX188" i="583"/>
  <c r="BW188" i="583"/>
  <c r="BZ188" i="583" s="1"/>
  <c r="CB188" i="583" s="1"/>
  <c r="BU188" i="583"/>
  <c r="BT188" i="583"/>
  <c r="BH188" i="583"/>
  <c r="BV188" i="583"/>
  <c r="AY188" i="583"/>
  <c r="AX188" i="583"/>
  <c r="U188" i="583"/>
  <c r="R188" i="583"/>
  <c r="Q188" i="583"/>
  <c r="A188" i="583"/>
  <c r="BY187" i="583"/>
  <c r="BX187" i="583"/>
  <c r="BW187" i="583"/>
  <c r="BU187" i="583"/>
  <c r="BT187" i="583"/>
  <c r="BH187" i="583"/>
  <c r="BV187" i="583"/>
  <c r="AY187" i="583"/>
  <c r="AX187" i="583"/>
  <c r="U187" i="583"/>
  <c r="R187" i="583"/>
  <c r="Q187" i="583"/>
  <c r="H187" i="583"/>
  <c r="G187" i="583"/>
  <c r="A187" i="583"/>
  <c r="BY186" i="583"/>
  <c r="BX186" i="583"/>
  <c r="BW186" i="583"/>
  <c r="BU186" i="583"/>
  <c r="BT186" i="583"/>
  <c r="BH186" i="583"/>
  <c r="BV186" i="583"/>
  <c r="AY186" i="583"/>
  <c r="AZ186" i="583" s="1"/>
  <c r="CA186" i="583" s="1"/>
  <c r="AX186" i="583"/>
  <c r="V186" i="583"/>
  <c r="U186" i="583"/>
  <c r="R186" i="583"/>
  <c r="Q186" i="583"/>
  <c r="A186" i="583"/>
  <c r="BY185" i="583"/>
  <c r="BZ185" i="583" s="1"/>
  <c r="CB185" i="583" s="1"/>
  <c r="BX185" i="583"/>
  <c r="BW185" i="583"/>
  <c r="BU185" i="583"/>
  <c r="BT185" i="583"/>
  <c r="BH185" i="583"/>
  <c r="BV185" i="583" s="1"/>
  <c r="AY185" i="583"/>
  <c r="AZ185" i="583" s="1"/>
  <c r="CA185" i="583" s="1"/>
  <c r="AX185" i="583"/>
  <c r="U185" i="583"/>
  <c r="R185" i="583"/>
  <c r="Q185" i="583"/>
  <c r="A185" i="583"/>
  <c r="BY184" i="583"/>
  <c r="BX184" i="583"/>
  <c r="BW184" i="583"/>
  <c r="BU184" i="583"/>
  <c r="BT184" i="583"/>
  <c r="BH184" i="583"/>
  <c r="BV184" i="583" s="1"/>
  <c r="AY184" i="583"/>
  <c r="AX184" i="583"/>
  <c r="U184" i="583"/>
  <c r="R184" i="583"/>
  <c r="Q184" i="583"/>
  <c r="A184" i="583"/>
  <c r="BY183" i="583"/>
  <c r="BX183" i="583"/>
  <c r="BW183" i="583"/>
  <c r="BU183" i="583"/>
  <c r="BT183" i="583"/>
  <c r="BH183" i="583"/>
  <c r="BV183" i="583" s="1"/>
  <c r="AY183" i="583"/>
  <c r="AZ183" i="583" s="1"/>
  <c r="CA183" i="583" s="1"/>
  <c r="AX183" i="583"/>
  <c r="S183" i="583"/>
  <c r="U183" i="583"/>
  <c r="R183" i="583"/>
  <c r="Q183" i="583"/>
  <c r="A183" i="583"/>
  <c r="BY182" i="583"/>
  <c r="BX182" i="583"/>
  <c r="BW182" i="583"/>
  <c r="BU182" i="583"/>
  <c r="BT182" i="583"/>
  <c r="BH182" i="583"/>
  <c r="BV182" i="583" s="1"/>
  <c r="BZ182" i="583" s="1"/>
  <c r="AY182" i="583"/>
  <c r="AX182" i="583"/>
  <c r="U182" i="583"/>
  <c r="Q182" i="583"/>
  <c r="A182" i="583"/>
  <c r="BY181" i="583"/>
  <c r="BX181" i="583"/>
  <c r="BW181" i="583"/>
  <c r="BU181" i="583"/>
  <c r="BT181" i="583"/>
  <c r="BH181" i="583"/>
  <c r="BV181" i="583" s="1"/>
  <c r="AY181" i="583"/>
  <c r="AZ181" i="583" s="1"/>
  <c r="CA181" i="583" s="1"/>
  <c r="AX181" i="583"/>
  <c r="V181" i="583"/>
  <c r="U181" i="583"/>
  <c r="R181" i="583"/>
  <c r="Q181" i="583"/>
  <c r="A181" i="583"/>
  <c r="BY180" i="583"/>
  <c r="BX180" i="583"/>
  <c r="BW180" i="583"/>
  <c r="BU180" i="583"/>
  <c r="BT180" i="583"/>
  <c r="BZ180" i="583" s="1"/>
  <c r="CB180" i="583" s="1"/>
  <c r="BH180" i="583"/>
  <c r="BV180" i="583"/>
  <c r="AY180" i="583"/>
  <c r="AZ180" i="583" s="1"/>
  <c r="AX180" i="583"/>
  <c r="V180" i="583"/>
  <c r="U180" i="583"/>
  <c r="R180" i="583"/>
  <c r="Q180" i="583"/>
  <c r="A180" i="583"/>
  <c r="BY179" i="583"/>
  <c r="BX179" i="583"/>
  <c r="BW179" i="583"/>
  <c r="BU179" i="583"/>
  <c r="BT179" i="583"/>
  <c r="BH179" i="583"/>
  <c r="BV179" i="583" s="1"/>
  <c r="BZ179" i="583" s="1"/>
  <c r="CB179" i="583" s="1"/>
  <c r="AY179" i="583"/>
  <c r="AZ179" i="583" s="1"/>
  <c r="CA179" i="583" s="1"/>
  <c r="AX179" i="583"/>
  <c r="U179" i="583"/>
  <c r="R179" i="583"/>
  <c r="Q179" i="583"/>
  <c r="A179" i="583"/>
  <c r="BY178" i="583"/>
  <c r="BX178" i="583"/>
  <c r="BW178" i="583"/>
  <c r="BU178" i="583"/>
  <c r="BT178" i="583"/>
  <c r="BH178" i="583"/>
  <c r="BV178" i="583" s="1"/>
  <c r="AY178" i="583"/>
  <c r="AX178" i="583"/>
  <c r="U178" i="583"/>
  <c r="R178" i="583"/>
  <c r="Q178" i="583"/>
  <c r="A178" i="583"/>
  <c r="BY177" i="583"/>
  <c r="BX177" i="583"/>
  <c r="BW177" i="583"/>
  <c r="BU177" i="583"/>
  <c r="BT177" i="583"/>
  <c r="BH177" i="583"/>
  <c r="BV177" i="583"/>
  <c r="AY177" i="583"/>
  <c r="AZ177" i="583" s="1"/>
  <c r="CA177" i="583" s="1"/>
  <c r="AX177" i="583"/>
  <c r="U177" i="583"/>
  <c r="R177" i="583"/>
  <c r="Q177" i="583"/>
  <c r="A177" i="583"/>
  <c r="BY176" i="583"/>
  <c r="BX176" i="583"/>
  <c r="BW176" i="583"/>
  <c r="BU176" i="583"/>
  <c r="BT176" i="583"/>
  <c r="BH176" i="583"/>
  <c r="BV176" i="583"/>
  <c r="BZ176" i="583" s="1"/>
  <c r="AY176" i="583"/>
  <c r="AX176" i="583"/>
  <c r="AZ176" i="583" s="1"/>
  <c r="CA176" i="583" s="1"/>
  <c r="CB176" i="583" s="1"/>
  <c r="S176" i="583"/>
  <c r="U176" i="583"/>
  <c r="R176" i="583"/>
  <c r="Q176" i="583"/>
  <c r="A176" i="583"/>
  <c r="BY175" i="583"/>
  <c r="BX175" i="583"/>
  <c r="BW175" i="583"/>
  <c r="BU175" i="583"/>
  <c r="BT175" i="583"/>
  <c r="BZ175" i="583" s="1"/>
  <c r="CB175" i="583" s="1"/>
  <c r="BH175" i="583"/>
  <c r="BV175" i="583" s="1"/>
  <c r="AY175" i="583"/>
  <c r="AX175" i="583"/>
  <c r="U175" i="583"/>
  <c r="R175" i="583"/>
  <c r="Q175" i="583"/>
  <c r="A175" i="583"/>
  <c r="BY174" i="583"/>
  <c r="BX174" i="583"/>
  <c r="BW174" i="583"/>
  <c r="BU174" i="583"/>
  <c r="BT174" i="583"/>
  <c r="BH174" i="583"/>
  <c r="BV174" i="583" s="1"/>
  <c r="AY174" i="583"/>
  <c r="AZ174" i="583" s="1"/>
  <c r="CA174" i="583" s="1"/>
  <c r="AX174" i="583"/>
  <c r="S174" i="583"/>
  <c r="U174" i="583"/>
  <c r="R174" i="583"/>
  <c r="Q174" i="583"/>
  <c r="A174" i="583"/>
  <c r="BY173" i="583"/>
  <c r="BX173" i="583"/>
  <c r="BW173" i="583"/>
  <c r="BU173" i="583"/>
  <c r="BT173" i="583"/>
  <c r="BH173" i="583"/>
  <c r="BV173" i="583" s="1"/>
  <c r="AY173" i="583"/>
  <c r="AZ173" i="583" s="1"/>
  <c r="CA173" i="583" s="1"/>
  <c r="AX173" i="583"/>
  <c r="V173" i="583"/>
  <c r="U173" i="583"/>
  <c r="R173" i="583"/>
  <c r="Q173" i="583"/>
  <c r="A173" i="583"/>
  <c r="BY172" i="583"/>
  <c r="BX172" i="583"/>
  <c r="BW172" i="583"/>
  <c r="BU172" i="583"/>
  <c r="BT172" i="583"/>
  <c r="BH172" i="583"/>
  <c r="BV172" i="583" s="1"/>
  <c r="AY172" i="583"/>
  <c r="AX172" i="583"/>
  <c r="V172" i="583"/>
  <c r="U172" i="583"/>
  <c r="R172" i="583"/>
  <c r="Q172" i="583"/>
  <c r="A172" i="583"/>
  <c r="BY171" i="583"/>
  <c r="BX171" i="583"/>
  <c r="BW171" i="583"/>
  <c r="BU171" i="583"/>
  <c r="BZ171" i="583" s="1"/>
  <c r="CB171" i="583" s="1"/>
  <c r="BT171" i="583"/>
  <c r="BH171" i="583"/>
  <c r="BV171" i="583" s="1"/>
  <c r="AY171" i="583"/>
  <c r="AX171" i="583"/>
  <c r="AZ171" i="583" s="1"/>
  <c r="V171" i="583"/>
  <c r="U171" i="583"/>
  <c r="R171" i="583"/>
  <c r="Q171" i="583"/>
  <c r="A171" i="583"/>
  <c r="BY170" i="583"/>
  <c r="BX170" i="583"/>
  <c r="BW170" i="583"/>
  <c r="BU170" i="583"/>
  <c r="BT170" i="583"/>
  <c r="BH170" i="583"/>
  <c r="BV170" i="583" s="1"/>
  <c r="AY170" i="583"/>
  <c r="AX170" i="583"/>
  <c r="U170" i="583"/>
  <c r="R170" i="583"/>
  <c r="Q170" i="583"/>
  <c r="A170" i="583"/>
  <c r="BY169" i="583"/>
  <c r="BX169" i="583"/>
  <c r="BW169" i="583"/>
  <c r="BU169" i="583"/>
  <c r="BT169" i="583"/>
  <c r="BZ169" i="583" s="1"/>
  <c r="CB169" i="583" s="1"/>
  <c r="BH169" i="583"/>
  <c r="BV169" i="583" s="1"/>
  <c r="AY169" i="583"/>
  <c r="AX169" i="583"/>
  <c r="S169" i="583"/>
  <c r="U169" i="583"/>
  <c r="R169" i="583"/>
  <c r="Q169" i="583"/>
  <c r="A169" i="583"/>
  <c r="BY168" i="583"/>
  <c r="BX168" i="583"/>
  <c r="BW168" i="583"/>
  <c r="BU168" i="583"/>
  <c r="BT168" i="583"/>
  <c r="BZ168" i="583" s="1"/>
  <c r="CB168" i="583" s="1"/>
  <c r="BH168" i="583"/>
  <c r="BV168" i="583" s="1"/>
  <c r="AY168" i="583"/>
  <c r="AZ168" i="583" s="1"/>
  <c r="CA168" i="583" s="1"/>
  <c r="AX168" i="583"/>
  <c r="U168" i="583"/>
  <c r="R168" i="583"/>
  <c r="Q168" i="583"/>
  <c r="A168" i="583"/>
  <c r="BY167" i="583"/>
  <c r="BX167" i="583"/>
  <c r="BW167" i="583"/>
  <c r="BU167" i="583"/>
  <c r="BT167" i="583"/>
  <c r="BH167" i="583"/>
  <c r="BV167" i="583"/>
  <c r="AY167" i="583"/>
  <c r="AX167" i="583"/>
  <c r="U167" i="583"/>
  <c r="R167" i="583"/>
  <c r="Q167" i="583"/>
  <c r="A167" i="583"/>
  <c r="BY166" i="583"/>
  <c r="BX166" i="583"/>
  <c r="BW166" i="583"/>
  <c r="BU166" i="583"/>
  <c r="BT166" i="583"/>
  <c r="BH166" i="583"/>
  <c r="BV166" i="583" s="1"/>
  <c r="AY166" i="583"/>
  <c r="AX166" i="583"/>
  <c r="U166" i="583"/>
  <c r="R166" i="583"/>
  <c r="Q166" i="583"/>
  <c r="A166" i="583"/>
  <c r="BY165" i="583"/>
  <c r="BX165" i="583"/>
  <c r="BW165" i="583"/>
  <c r="BU165" i="583"/>
  <c r="BT165" i="583"/>
  <c r="BH165" i="583"/>
  <c r="BV165" i="583"/>
  <c r="AY165" i="583"/>
  <c r="AZ165" i="583" s="1"/>
  <c r="CA165" i="583" s="1"/>
  <c r="AX165" i="583"/>
  <c r="V165" i="583"/>
  <c r="R165" i="583"/>
  <c r="Q165" i="583"/>
  <c r="A165" i="583"/>
  <c r="BY164" i="583"/>
  <c r="BX164" i="583"/>
  <c r="BW164" i="583"/>
  <c r="BU164" i="583"/>
  <c r="BT164" i="583"/>
  <c r="BH164" i="583"/>
  <c r="BV164" i="583"/>
  <c r="AY164" i="583"/>
  <c r="AX164" i="583"/>
  <c r="V164" i="583"/>
  <c r="R164" i="583"/>
  <c r="Q164" i="583"/>
  <c r="A164" i="583"/>
  <c r="BY163" i="583"/>
  <c r="BX163" i="583"/>
  <c r="BW163" i="583"/>
  <c r="BU163" i="583"/>
  <c r="BT163" i="583"/>
  <c r="BH163" i="583"/>
  <c r="BV163" i="583" s="1"/>
  <c r="AY163" i="583"/>
  <c r="AX163" i="583"/>
  <c r="V163" i="583"/>
  <c r="U163" i="583"/>
  <c r="R163" i="583"/>
  <c r="Q163" i="583"/>
  <c r="A163" i="583"/>
  <c r="BY162" i="583"/>
  <c r="BX162" i="583"/>
  <c r="BW162" i="583"/>
  <c r="BU162" i="583"/>
  <c r="BT162" i="583"/>
  <c r="BH162" i="583"/>
  <c r="BV162" i="583"/>
  <c r="AY162" i="583"/>
  <c r="AZ162" i="583" s="1"/>
  <c r="CA162" i="583" s="1"/>
  <c r="AX162" i="583"/>
  <c r="S162" i="583"/>
  <c r="U162" i="583" s="1"/>
  <c r="R162" i="583"/>
  <c r="Q162" i="583"/>
  <c r="A162" i="583"/>
  <c r="BY161" i="583"/>
  <c r="BX161" i="583"/>
  <c r="BW161" i="583"/>
  <c r="BU161" i="583"/>
  <c r="BT161" i="583"/>
  <c r="BH161" i="583"/>
  <c r="BV161" i="583" s="1"/>
  <c r="AY161" i="583"/>
  <c r="AZ161" i="583" s="1"/>
  <c r="CA161" i="583" s="1"/>
  <c r="AX161" i="583"/>
  <c r="U161" i="583"/>
  <c r="R161" i="583"/>
  <c r="Q161" i="583"/>
  <c r="A161" i="583"/>
  <c r="BY160" i="583"/>
  <c r="BX160" i="583"/>
  <c r="BW160" i="583"/>
  <c r="BU160" i="583"/>
  <c r="BT160" i="583"/>
  <c r="BH160" i="583"/>
  <c r="BV160" i="583" s="1"/>
  <c r="AY160" i="583"/>
  <c r="AX160" i="583"/>
  <c r="U160" i="583"/>
  <c r="R160" i="583"/>
  <c r="Q160" i="583"/>
  <c r="A160" i="583"/>
  <c r="BY159" i="583"/>
  <c r="BX159" i="583"/>
  <c r="BW159" i="583"/>
  <c r="BU159" i="583"/>
  <c r="BT159" i="583"/>
  <c r="BH159" i="583"/>
  <c r="BV159" i="583"/>
  <c r="AY159" i="583"/>
  <c r="AX159" i="583"/>
  <c r="AZ159" i="583" s="1"/>
  <c r="U159" i="583"/>
  <c r="R159" i="583"/>
  <c r="Q159" i="583"/>
  <c r="A159" i="583"/>
  <c r="BY158" i="583"/>
  <c r="BX158" i="583"/>
  <c r="BW158" i="583"/>
  <c r="BU158" i="583"/>
  <c r="BT158" i="583"/>
  <c r="BZ158" i="583" s="1"/>
  <c r="CB158" i="583" s="1"/>
  <c r="BH158" i="583"/>
  <c r="BV158" i="583" s="1"/>
  <c r="AY158" i="583"/>
  <c r="AX158" i="583"/>
  <c r="W158" i="583"/>
  <c r="W191" i="583"/>
  <c r="U158" i="583"/>
  <c r="R158" i="583"/>
  <c r="Q158" i="583"/>
  <c r="A158" i="583"/>
  <c r="BY157" i="583"/>
  <c r="BX157" i="583"/>
  <c r="BW157" i="583"/>
  <c r="BU157" i="583"/>
  <c r="BT157" i="583"/>
  <c r="BZ157" i="583" s="1"/>
  <c r="BH157" i="583"/>
  <c r="BV157" i="583"/>
  <c r="AY157" i="583"/>
  <c r="AX157" i="583"/>
  <c r="V157" i="583"/>
  <c r="U157" i="583"/>
  <c r="R157" i="583"/>
  <c r="Q157" i="583"/>
  <c r="H157" i="583"/>
  <c r="A157" i="583"/>
  <c r="BY156" i="583"/>
  <c r="BZ156" i="583" s="1"/>
  <c r="CB156" i="583" s="1"/>
  <c r="BX156" i="583"/>
  <c r="BW156" i="583"/>
  <c r="BU156" i="583"/>
  <c r="BT156" i="583"/>
  <c r="BH156" i="583"/>
  <c r="BV156" i="583" s="1"/>
  <c r="AY156" i="583"/>
  <c r="AZ156" i="583" s="1"/>
  <c r="CA156" i="583" s="1"/>
  <c r="AX156" i="583"/>
  <c r="V156" i="583"/>
  <c r="U156" i="583"/>
  <c r="R156" i="583"/>
  <c r="Q156" i="583"/>
  <c r="A156" i="583"/>
  <c r="BY155" i="583"/>
  <c r="BX155" i="583"/>
  <c r="BW155" i="583"/>
  <c r="BU155" i="583"/>
  <c r="BT155" i="583"/>
  <c r="BH155" i="583"/>
  <c r="BV155" i="583" s="1"/>
  <c r="AY155" i="583"/>
  <c r="AX155" i="583"/>
  <c r="V155" i="583"/>
  <c r="U155" i="583"/>
  <c r="R155" i="583"/>
  <c r="Q155" i="583"/>
  <c r="H155" i="583"/>
  <c r="A155" i="583"/>
  <c r="BY154" i="583"/>
  <c r="BX154" i="583"/>
  <c r="BW154" i="583"/>
  <c r="BU154" i="583"/>
  <c r="BT154" i="583"/>
  <c r="BH154" i="583"/>
  <c r="BV154" i="583" s="1"/>
  <c r="AY154" i="583"/>
  <c r="AX154" i="583"/>
  <c r="V154" i="583"/>
  <c r="U154" i="583"/>
  <c r="R154" i="583"/>
  <c r="Q154" i="583"/>
  <c r="H154" i="583"/>
  <c r="A154" i="583"/>
  <c r="BY153" i="583"/>
  <c r="BX153" i="583"/>
  <c r="BW153" i="583"/>
  <c r="BU153" i="583"/>
  <c r="BT153" i="583"/>
  <c r="BH153" i="583"/>
  <c r="BV153" i="583" s="1"/>
  <c r="AY153" i="583"/>
  <c r="AX153" i="583"/>
  <c r="U153" i="583"/>
  <c r="R153" i="583"/>
  <c r="Q153" i="583"/>
  <c r="A153" i="583"/>
  <c r="BY152" i="583"/>
  <c r="BX152" i="583"/>
  <c r="BW152" i="583"/>
  <c r="BV152" i="583"/>
  <c r="BU152" i="583"/>
  <c r="BT152" i="583"/>
  <c r="BZ152" i="583" s="1"/>
  <c r="AY152" i="583"/>
  <c r="AZ152" i="583" s="1"/>
  <c r="CA152" i="583" s="1"/>
  <c r="AX152" i="583"/>
  <c r="Q152" i="583"/>
  <c r="BY151" i="583"/>
  <c r="BX151" i="583"/>
  <c r="BW151" i="583"/>
  <c r="BV151" i="583"/>
  <c r="BZ151" i="583" s="1"/>
  <c r="CB151" i="583" s="1"/>
  <c r="BU151" i="583"/>
  <c r="BT151" i="583"/>
  <c r="AY151" i="583"/>
  <c r="AX151" i="583"/>
  <c r="AU151" i="583"/>
  <c r="A151" i="583"/>
  <c r="BY150" i="583"/>
  <c r="BX150" i="583"/>
  <c r="BW150" i="583"/>
  <c r="BV150" i="583"/>
  <c r="BU150" i="583"/>
  <c r="BT150" i="583"/>
  <c r="AY150" i="583"/>
  <c r="AX150" i="583"/>
  <c r="AU150" i="583"/>
  <c r="A150" i="583"/>
  <c r="BY149" i="583"/>
  <c r="BX149" i="583"/>
  <c r="BW149" i="583"/>
  <c r="BV149" i="583"/>
  <c r="BZ149" i="583" s="1"/>
  <c r="CB149" i="583" s="1"/>
  <c r="BU149" i="583"/>
  <c r="BT149" i="583"/>
  <c r="AY149" i="583"/>
  <c r="AX149" i="583"/>
  <c r="AU149" i="583"/>
  <c r="A149" i="583"/>
  <c r="BY148" i="583"/>
  <c r="BX148" i="583"/>
  <c r="BU148" i="583"/>
  <c r="BT148" i="583"/>
  <c r="BH148" i="583"/>
  <c r="BW148" i="583" s="1"/>
  <c r="AY148" i="583"/>
  <c r="AX148" i="583"/>
  <c r="AU148" i="583"/>
  <c r="AU191" i="583" s="1"/>
  <c r="A148" i="583"/>
  <c r="BY147" i="583"/>
  <c r="BX147" i="583"/>
  <c r="BW147" i="583"/>
  <c r="BV147" i="583"/>
  <c r="BU147" i="583"/>
  <c r="BT147" i="583"/>
  <c r="AY147" i="583"/>
  <c r="AX147" i="583"/>
  <c r="AT147" i="583"/>
  <c r="A147" i="583"/>
  <c r="BY146" i="583"/>
  <c r="BX146" i="583"/>
  <c r="BW146" i="583"/>
  <c r="BV146" i="583"/>
  <c r="BU146" i="583"/>
  <c r="BT146" i="583"/>
  <c r="AY146" i="583"/>
  <c r="AX146" i="583"/>
  <c r="AZ146" i="583" s="1"/>
  <c r="CA146" i="583" s="1"/>
  <c r="AT146" i="583"/>
  <c r="A146" i="583"/>
  <c r="BY145" i="583"/>
  <c r="BX145" i="583"/>
  <c r="BW145" i="583"/>
  <c r="BV145" i="583"/>
  <c r="BZ145" i="583" s="1"/>
  <c r="BU145" i="583"/>
  <c r="BT145" i="583"/>
  <c r="AY145" i="583"/>
  <c r="AX145" i="583"/>
  <c r="AT145" i="583"/>
  <c r="A145" i="583"/>
  <c r="BY144" i="583"/>
  <c r="BZ144" i="583" s="1"/>
  <c r="BX144" i="583"/>
  <c r="BW144" i="583"/>
  <c r="BV144" i="583"/>
  <c r="BU144" i="583"/>
  <c r="BT144" i="583"/>
  <c r="AY144" i="583"/>
  <c r="AX144" i="583"/>
  <c r="AZ144" i="583" s="1"/>
  <c r="CA144" i="583" s="1"/>
  <c r="AT144" i="583"/>
  <c r="A144" i="583"/>
  <c r="BY143" i="583"/>
  <c r="BX143" i="583"/>
  <c r="BW143" i="583"/>
  <c r="BV143" i="583"/>
  <c r="BZ143" i="583" s="1"/>
  <c r="BU143" i="583"/>
  <c r="BT143" i="583"/>
  <c r="AY143" i="583"/>
  <c r="AX143" i="583"/>
  <c r="AT143" i="583"/>
  <c r="A143" i="583"/>
  <c r="BY142" i="583"/>
  <c r="BX142" i="583"/>
  <c r="BW142" i="583"/>
  <c r="BV142" i="583"/>
  <c r="BU142" i="583"/>
  <c r="BT142" i="583"/>
  <c r="AY142" i="583"/>
  <c r="AX142" i="583"/>
  <c r="AT142" i="583"/>
  <c r="A142" i="583"/>
  <c r="BY141" i="583"/>
  <c r="BX141" i="583"/>
  <c r="BW141" i="583"/>
  <c r="BV141" i="583"/>
  <c r="BU141" i="583"/>
  <c r="BT141" i="583"/>
  <c r="AY141" i="583"/>
  <c r="AX141" i="583"/>
  <c r="AT141" i="583"/>
  <c r="A141" i="583"/>
  <c r="BY140" i="583"/>
  <c r="BX140" i="583"/>
  <c r="BW140" i="583"/>
  <c r="BU140" i="583"/>
  <c r="BT140" i="583"/>
  <c r="BH140" i="583"/>
  <c r="BV140" i="583"/>
  <c r="AY140" i="583"/>
  <c r="AX140" i="583"/>
  <c r="Z140" i="583"/>
  <c r="R140" i="583"/>
  <c r="Q140" i="583"/>
  <c r="A140" i="583"/>
  <c r="BY139" i="583"/>
  <c r="BX139" i="583"/>
  <c r="BW139" i="583"/>
  <c r="BU139" i="583"/>
  <c r="BT139" i="583"/>
  <c r="BH139" i="583"/>
  <c r="BV139" i="583"/>
  <c r="BZ139" i="583" s="1"/>
  <c r="AY139" i="583"/>
  <c r="AX139" i="583"/>
  <c r="Z139" i="583"/>
  <c r="R139" i="583"/>
  <c r="Q139" i="583"/>
  <c r="A139" i="583"/>
  <c r="BY138" i="583"/>
  <c r="BX138" i="583"/>
  <c r="BW138" i="583"/>
  <c r="BZ138" i="583" s="1"/>
  <c r="CB138" i="583" s="1"/>
  <c r="BU138" i="583"/>
  <c r="BT138" i="583"/>
  <c r="BH138" i="583"/>
  <c r="BV138" i="583"/>
  <c r="AY138" i="583"/>
  <c r="AZ138" i="583" s="1"/>
  <c r="CA138" i="583" s="1"/>
  <c r="AX138" i="583"/>
  <c r="Z138" i="583"/>
  <c r="R138" i="583"/>
  <c r="Q138" i="583"/>
  <c r="A138" i="583"/>
  <c r="BY137" i="583"/>
  <c r="BX137" i="583"/>
  <c r="BW137" i="583"/>
  <c r="BU137" i="583"/>
  <c r="BT137" i="583"/>
  <c r="BH137" i="583"/>
  <c r="BV137" i="583" s="1"/>
  <c r="AY137" i="583"/>
  <c r="AZ137" i="583" s="1"/>
  <c r="CA137" i="583" s="1"/>
  <c r="AX137" i="583"/>
  <c r="Z137" i="583"/>
  <c r="R137" i="583"/>
  <c r="Q137" i="583"/>
  <c r="A137" i="583"/>
  <c r="BY136" i="583"/>
  <c r="BX136" i="583"/>
  <c r="BW136" i="583"/>
  <c r="BU136" i="583"/>
  <c r="BT136" i="583"/>
  <c r="BH136" i="583"/>
  <c r="BV136" i="583"/>
  <c r="BZ136" i="583" s="1"/>
  <c r="CB136" i="583" s="1"/>
  <c r="AY136" i="583"/>
  <c r="AX136" i="583"/>
  <c r="AZ136" i="583" s="1"/>
  <c r="CA136" i="583" s="1"/>
  <c r="Z136" i="583"/>
  <c r="R136" i="583"/>
  <c r="Q136" i="583"/>
  <c r="A136" i="583"/>
  <c r="BY135" i="583"/>
  <c r="BX135" i="583"/>
  <c r="BW135" i="583"/>
  <c r="BU135" i="583"/>
  <c r="BT135" i="583"/>
  <c r="BZ135" i="583" s="1"/>
  <c r="CB135" i="583" s="1"/>
  <c r="BH135" i="583"/>
  <c r="BV135" i="583" s="1"/>
  <c r="AY135" i="583"/>
  <c r="AX135" i="583"/>
  <c r="Z135" i="583"/>
  <c r="R135" i="583"/>
  <c r="Q135" i="583"/>
  <c r="A135" i="583"/>
  <c r="BY134" i="583"/>
  <c r="BX134" i="583"/>
  <c r="BW134" i="583"/>
  <c r="BU134" i="583"/>
  <c r="BT134" i="583"/>
  <c r="BH134" i="583"/>
  <c r="BV134" i="583"/>
  <c r="AY134" i="583"/>
  <c r="AZ134" i="583" s="1"/>
  <c r="CA134" i="583" s="1"/>
  <c r="AX134" i="583"/>
  <c r="Z134" i="583"/>
  <c r="R134" i="583"/>
  <c r="Q134" i="583"/>
  <c r="A134" i="583"/>
  <c r="BY133" i="583"/>
  <c r="BX133" i="583"/>
  <c r="BW133" i="583"/>
  <c r="BU133" i="583"/>
  <c r="BT133" i="583"/>
  <c r="BH133" i="583"/>
  <c r="BV133" i="583"/>
  <c r="AY133" i="583"/>
  <c r="AX133" i="583"/>
  <c r="AZ133" i="583" s="1"/>
  <c r="CA133" i="583" s="1"/>
  <c r="Z133" i="583"/>
  <c r="R133" i="583"/>
  <c r="Q133" i="583"/>
  <c r="A133" i="583"/>
  <c r="BY132" i="583"/>
  <c r="BX132" i="583"/>
  <c r="BW132" i="583"/>
  <c r="BU132" i="583"/>
  <c r="BT132" i="583"/>
  <c r="BH132" i="583"/>
  <c r="BV132" i="583"/>
  <c r="BZ132" i="583" s="1"/>
  <c r="AY132" i="583"/>
  <c r="AX132" i="583"/>
  <c r="Z132" i="583"/>
  <c r="R132" i="583"/>
  <c r="Q132" i="583"/>
  <c r="A132" i="583"/>
  <c r="BY131" i="583"/>
  <c r="BX131" i="583"/>
  <c r="BU131" i="583"/>
  <c r="BZ131" i="583" s="1"/>
  <c r="CB131" i="583" s="1"/>
  <c r="BT131" i="583"/>
  <c r="BH131" i="583"/>
  <c r="BW131" i="583"/>
  <c r="AY131" i="583"/>
  <c r="AX131" i="583"/>
  <c r="AS131" i="583"/>
  <c r="R131" i="583"/>
  <c r="Q131" i="583"/>
  <c r="A131" i="583"/>
  <c r="BY130" i="583"/>
  <c r="BX130" i="583"/>
  <c r="BW130" i="583"/>
  <c r="BU130" i="583"/>
  <c r="BT130" i="583"/>
  <c r="BH130" i="583"/>
  <c r="BV130" i="583"/>
  <c r="AY130" i="583"/>
  <c r="AX130" i="583"/>
  <c r="AS130" i="583"/>
  <c r="AS191" i="583" s="1"/>
  <c r="R130" i="583"/>
  <c r="Q130" i="583"/>
  <c r="A130" i="583"/>
  <c r="BY129" i="583"/>
  <c r="BX129" i="583"/>
  <c r="BW129" i="583"/>
  <c r="BU129" i="583"/>
  <c r="BT129" i="583"/>
  <c r="BH129" i="583"/>
  <c r="BV129" i="583" s="1"/>
  <c r="AY129" i="583"/>
  <c r="AX129" i="583"/>
  <c r="AZ129" i="583" s="1"/>
  <c r="CA129" i="583" s="1"/>
  <c r="AL129" i="583"/>
  <c r="R129" i="583"/>
  <c r="Q129" i="583"/>
  <c r="A129" i="583"/>
  <c r="BY128" i="583"/>
  <c r="BX128" i="583"/>
  <c r="BW128" i="583"/>
  <c r="BU128" i="583"/>
  <c r="BT128" i="583"/>
  <c r="BZ128" i="583" s="1"/>
  <c r="CB128" i="583" s="1"/>
  <c r="BH128" i="583"/>
  <c r="BV128" i="583" s="1"/>
  <c r="AY128" i="583"/>
  <c r="AZ128" i="583" s="1"/>
  <c r="CA128" i="583" s="1"/>
  <c r="AX128" i="583"/>
  <c r="AL128" i="583"/>
  <c r="R128" i="583"/>
  <c r="Q128" i="583"/>
  <c r="A128" i="583"/>
  <c r="BY127" i="583"/>
  <c r="BX127" i="583"/>
  <c r="BW127" i="583"/>
  <c r="BU127" i="583"/>
  <c r="BZ127" i="583" s="1"/>
  <c r="CB127" i="583" s="1"/>
  <c r="BT127" i="583"/>
  <c r="BH127" i="583"/>
  <c r="BV127" i="583" s="1"/>
  <c r="AY127" i="583"/>
  <c r="AX127" i="583"/>
  <c r="AL127" i="583"/>
  <c r="R127" i="583"/>
  <c r="Q127" i="583"/>
  <c r="A127" i="583"/>
  <c r="BY126" i="583"/>
  <c r="BX126" i="583"/>
  <c r="BW126" i="583"/>
  <c r="BU126" i="583"/>
  <c r="BT126" i="583"/>
  <c r="BH126" i="583"/>
  <c r="BV126" i="583" s="1"/>
  <c r="AY126" i="583"/>
  <c r="AX126" i="583"/>
  <c r="AL126" i="583"/>
  <c r="R126" i="583"/>
  <c r="Q126" i="583"/>
  <c r="A126" i="583"/>
  <c r="BY125" i="583"/>
  <c r="BX125" i="583"/>
  <c r="BW125" i="583"/>
  <c r="BU125" i="583"/>
  <c r="BT125" i="583"/>
  <c r="BZ125" i="583" s="1"/>
  <c r="BH125" i="583"/>
  <c r="BV125" i="583"/>
  <c r="AY125" i="583"/>
  <c r="AZ125" i="583" s="1"/>
  <c r="CA125" i="583" s="1"/>
  <c r="AX125" i="583"/>
  <c r="AL125" i="583"/>
  <c r="R125" i="583"/>
  <c r="Q125" i="583"/>
  <c r="A125" i="583"/>
  <c r="BY124" i="583"/>
  <c r="BX124" i="583"/>
  <c r="BW124" i="583"/>
  <c r="BU124" i="583"/>
  <c r="BT124" i="583"/>
  <c r="BH124" i="583"/>
  <c r="BV124" i="583"/>
  <c r="AY124" i="583"/>
  <c r="AX124" i="583"/>
  <c r="AL124" i="583"/>
  <c r="R124" i="583"/>
  <c r="Q124" i="583"/>
  <c r="A124" i="583"/>
  <c r="BY123" i="583"/>
  <c r="BX123" i="583"/>
  <c r="BW123" i="583"/>
  <c r="BU123" i="583"/>
  <c r="BZ123" i="583" s="1"/>
  <c r="BT123" i="583"/>
  <c r="BH123" i="583"/>
  <c r="BV123" i="583" s="1"/>
  <c r="AY123" i="583"/>
  <c r="AX123" i="583"/>
  <c r="AL123" i="583"/>
  <c r="R123" i="583"/>
  <c r="Q123" i="583"/>
  <c r="H123" i="583"/>
  <c r="A123" i="583"/>
  <c r="BY122" i="583"/>
  <c r="BX122" i="583"/>
  <c r="BW122" i="583"/>
  <c r="BV122" i="583"/>
  <c r="BU122" i="583"/>
  <c r="BT122" i="583"/>
  <c r="BZ122" i="583" s="1"/>
  <c r="AY122" i="583"/>
  <c r="AX122" i="583"/>
  <c r="AM122" i="583"/>
  <c r="R122" i="583"/>
  <c r="Q122" i="583"/>
  <c r="A122" i="583"/>
  <c r="BY121" i="583"/>
  <c r="BX121" i="583"/>
  <c r="BW121" i="583"/>
  <c r="BV121" i="583"/>
  <c r="BU121" i="583"/>
  <c r="BT121" i="583"/>
  <c r="AY121" i="583"/>
  <c r="AZ121" i="583" s="1"/>
  <c r="CA121" i="583" s="1"/>
  <c r="AX121" i="583"/>
  <c r="AM121" i="583"/>
  <c r="R121" i="583"/>
  <c r="Q121" i="583"/>
  <c r="A121" i="583"/>
  <c r="BY120" i="583"/>
  <c r="BX120" i="583"/>
  <c r="BZ120" i="583" s="1"/>
  <c r="CB120" i="583" s="1"/>
  <c r="BW120" i="583"/>
  <c r="BV120" i="583"/>
  <c r="BU120" i="583"/>
  <c r="BT120" i="583"/>
  <c r="AY120" i="583"/>
  <c r="AX120" i="583"/>
  <c r="AM120" i="583"/>
  <c r="R120" i="583"/>
  <c r="Q120" i="583"/>
  <c r="A120" i="583"/>
  <c r="BY119" i="583"/>
  <c r="BX119" i="583"/>
  <c r="BW119" i="583"/>
  <c r="BV119" i="583"/>
  <c r="BU119" i="583"/>
  <c r="BT119" i="583"/>
  <c r="AY119" i="583"/>
  <c r="AX119" i="583"/>
  <c r="AM119" i="583"/>
  <c r="AM191" i="583" s="1"/>
  <c r="R119" i="583"/>
  <c r="Q119" i="583"/>
  <c r="A119" i="583"/>
  <c r="BY118" i="583"/>
  <c r="BX118" i="583"/>
  <c r="BW118" i="583"/>
  <c r="BV118" i="583"/>
  <c r="BU118" i="583"/>
  <c r="BT118" i="583"/>
  <c r="AY118" i="583"/>
  <c r="AZ118" i="583" s="1"/>
  <c r="CA118" i="583" s="1"/>
  <c r="AX118" i="583"/>
  <c r="AR118" i="583"/>
  <c r="R118" i="583"/>
  <c r="Q118" i="583"/>
  <c r="A118" i="583"/>
  <c r="BY117" i="583"/>
  <c r="BX117" i="583"/>
  <c r="BW117" i="583"/>
  <c r="BV117" i="583"/>
  <c r="BU117" i="583"/>
  <c r="BT117" i="583"/>
  <c r="BZ117" i="583" s="1"/>
  <c r="CB117" i="583" s="1"/>
  <c r="AY117" i="583"/>
  <c r="AX117" i="583"/>
  <c r="AR117" i="583"/>
  <c r="AR191" i="583"/>
  <c r="R117" i="583"/>
  <c r="Q117" i="583"/>
  <c r="A117" i="583"/>
  <c r="BX116" i="583"/>
  <c r="BW116" i="583"/>
  <c r="BZ116" i="583" s="1"/>
  <c r="CB116" i="583" s="1"/>
  <c r="BV116" i="583"/>
  <c r="BU116" i="583"/>
  <c r="BT116" i="583"/>
  <c r="BP116" i="583"/>
  <c r="BQ116" i="583" s="1"/>
  <c r="BY116" i="583" s="1"/>
  <c r="AX116" i="583"/>
  <c r="AK116" i="583"/>
  <c r="A116" i="583"/>
  <c r="BY115" i="583"/>
  <c r="BX115" i="583"/>
  <c r="BW115" i="583"/>
  <c r="BV115" i="583"/>
  <c r="BZ115" i="583" s="1"/>
  <c r="CB115" i="583" s="1"/>
  <c r="BU115" i="583"/>
  <c r="BT115" i="583"/>
  <c r="AY115" i="583"/>
  <c r="AX115" i="583"/>
  <c r="AK115" i="583"/>
  <c r="A115" i="583"/>
  <c r="BY114" i="583"/>
  <c r="BX114" i="583"/>
  <c r="BW114" i="583"/>
  <c r="BZ114" i="583" s="1"/>
  <c r="CB114" i="583" s="1"/>
  <c r="BV114" i="583"/>
  <c r="BU114" i="583"/>
  <c r="BT114" i="583"/>
  <c r="AY114" i="583"/>
  <c r="AX114" i="583"/>
  <c r="AK114" i="583"/>
  <c r="AK191" i="583" s="1"/>
  <c r="A114" i="583"/>
  <c r="BY113" i="583"/>
  <c r="BX113" i="583"/>
  <c r="BW113" i="583"/>
  <c r="BV113" i="583"/>
  <c r="BZ113" i="583" s="1"/>
  <c r="CB113" i="583" s="1"/>
  <c r="BU113" i="583"/>
  <c r="BT113" i="583"/>
  <c r="AY113" i="583"/>
  <c r="AX113" i="583"/>
  <c r="AH113" i="583"/>
  <c r="R113" i="583"/>
  <c r="Q113" i="583"/>
  <c r="A113" i="583"/>
  <c r="BY112" i="583"/>
  <c r="BZ112" i="583" s="1"/>
  <c r="BX112" i="583"/>
  <c r="BW112" i="583"/>
  <c r="BV112" i="583"/>
  <c r="BU112" i="583"/>
  <c r="BT112" i="583"/>
  <c r="AY112" i="583"/>
  <c r="AX112" i="583"/>
  <c r="AH112" i="583"/>
  <c r="R112" i="583"/>
  <c r="Q112" i="583"/>
  <c r="A112" i="583"/>
  <c r="BY111" i="583"/>
  <c r="BX111" i="583"/>
  <c r="BW111" i="583"/>
  <c r="BV111" i="583"/>
  <c r="BU111" i="583"/>
  <c r="BT111" i="583"/>
  <c r="AY111" i="583"/>
  <c r="AX111" i="583"/>
  <c r="AH111" i="583"/>
  <c r="R111" i="583"/>
  <c r="Q111" i="583"/>
  <c r="A111" i="583"/>
  <c r="BY110" i="583"/>
  <c r="BX110" i="583"/>
  <c r="BW110" i="583"/>
  <c r="BV110" i="583"/>
  <c r="BU110" i="583"/>
  <c r="BT110" i="583"/>
  <c r="BZ110" i="583" s="1"/>
  <c r="AY110" i="583"/>
  <c r="AX110" i="583"/>
  <c r="AH110" i="583"/>
  <c r="R110" i="583"/>
  <c r="Q110" i="583"/>
  <c r="A110" i="583"/>
  <c r="BY109" i="583"/>
  <c r="BX109" i="583"/>
  <c r="BW109" i="583"/>
  <c r="BV109" i="583"/>
  <c r="BU109" i="583"/>
  <c r="BZ109" i="583" s="1"/>
  <c r="CB109" i="583" s="1"/>
  <c r="BT109" i="583"/>
  <c r="AY109" i="583"/>
  <c r="AX109" i="583"/>
  <c r="AH109" i="583"/>
  <c r="R109" i="583"/>
  <c r="Q109" i="583"/>
  <c r="A109" i="583"/>
  <c r="BY108" i="583"/>
  <c r="BX108" i="583"/>
  <c r="BW108" i="583"/>
  <c r="BV108" i="583"/>
  <c r="BZ108" i="583" s="1"/>
  <c r="CB108" i="583" s="1"/>
  <c r="BU108" i="583"/>
  <c r="BT108" i="583"/>
  <c r="AY108" i="583"/>
  <c r="AX108" i="583"/>
  <c r="AD108" i="583"/>
  <c r="R108" i="583"/>
  <c r="Q108" i="583"/>
  <c r="A108" i="583"/>
  <c r="BY107" i="583"/>
  <c r="BZ107" i="583" s="1"/>
  <c r="CB107" i="583" s="1"/>
  <c r="BX107" i="583"/>
  <c r="BW107" i="583"/>
  <c r="BV107" i="583"/>
  <c r="BU107" i="583"/>
  <c r="BT107" i="583"/>
  <c r="AY107" i="583"/>
  <c r="AX107" i="583"/>
  <c r="AD107" i="583"/>
  <c r="R107" i="583"/>
  <c r="Q107" i="583"/>
  <c r="A107" i="583"/>
  <c r="BY106" i="583"/>
  <c r="BX106" i="583"/>
  <c r="BW106" i="583"/>
  <c r="BV106" i="583"/>
  <c r="BU106" i="583"/>
  <c r="BT106" i="583"/>
  <c r="AY106" i="583"/>
  <c r="AX106" i="583"/>
  <c r="AH106" i="583"/>
  <c r="AH191" i="583" s="1"/>
  <c r="R106" i="583"/>
  <c r="Q106" i="583"/>
  <c r="A106" i="583"/>
  <c r="BY105" i="583"/>
  <c r="BX105" i="583"/>
  <c r="BW105" i="583"/>
  <c r="BV105" i="583"/>
  <c r="BU105" i="583"/>
  <c r="BT105" i="583"/>
  <c r="BZ105" i="583" s="1"/>
  <c r="AY105" i="583"/>
  <c r="AX105" i="583"/>
  <c r="AZ105" i="583" s="1"/>
  <c r="CA105" i="583" s="1"/>
  <c r="AH105" i="583"/>
  <c r="R105" i="583"/>
  <c r="Q105" i="583"/>
  <c r="A105" i="583"/>
  <c r="BY104" i="583"/>
  <c r="BX104" i="583"/>
  <c r="BW104" i="583"/>
  <c r="BV104" i="583"/>
  <c r="BU104" i="583"/>
  <c r="BZ104" i="583" s="1"/>
  <c r="BT104" i="583"/>
  <c r="AY104" i="583"/>
  <c r="AX104" i="583"/>
  <c r="AH104" i="583"/>
  <c r="R104" i="583"/>
  <c r="Q104" i="583"/>
  <c r="A104" i="583"/>
  <c r="BY103" i="583"/>
  <c r="BX103" i="583"/>
  <c r="BW103" i="583"/>
  <c r="BV103" i="583"/>
  <c r="BU103" i="583"/>
  <c r="BT103" i="583"/>
  <c r="AY103" i="583"/>
  <c r="AZ103" i="583" s="1"/>
  <c r="AX103" i="583"/>
  <c r="AD103" i="583"/>
  <c r="R103" i="583"/>
  <c r="Q103" i="583"/>
  <c r="A103" i="583"/>
  <c r="BY102" i="583"/>
  <c r="BX102" i="583"/>
  <c r="BW102" i="583"/>
  <c r="BV102" i="583"/>
  <c r="BU102" i="583"/>
  <c r="BT102" i="583"/>
  <c r="BZ102" i="583" s="1"/>
  <c r="AY102" i="583"/>
  <c r="AX102" i="583"/>
  <c r="AD102" i="583"/>
  <c r="AD191" i="583" s="1"/>
  <c r="R102" i="583"/>
  <c r="Q102" i="583"/>
  <c r="A102" i="583"/>
  <c r="BY101" i="583"/>
  <c r="BX101" i="583"/>
  <c r="BW101" i="583"/>
  <c r="BZ101" i="583" s="1"/>
  <c r="BV101" i="583"/>
  <c r="BU101" i="583"/>
  <c r="BT101" i="583"/>
  <c r="AY101" i="583"/>
  <c r="AX101" i="583"/>
  <c r="AI101" i="583"/>
  <c r="R101" i="583"/>
  <c r="Q101" i="583"/>
  <c r="A101" i="583"/>
  <c r="BY100" i="583"/>
  <c r="BX100" i="583"/>
  <c r="BW100" i="583"/>
  <c r="BV100" i="583"/>
  <c r="BU100" i="583"/>
  <c r="BT100" i="583"/>
  <c r="BZ100" i="583" s="1"/>
  <c r="AY100" i="583"/>
  <c r="AZ100" i="583" s="1"/>
  <c r="AX100" i="583"/>
  <c r="AI100" i="583"/>
  <c r="R100" i="583"/>
  <c r="Q100" i="583"/>
  <c r="A100" i="583"/>
  <c r="BY99" i="583"/>
  <c r="BX99" i="583"/>
  <c r="BW99" i="583"/>
  <c r="BV99" i="583"/>
  <c r="BZ99" i="583" s="1"/>
  <c r="BU99" i="583"/>
  <c r="BT99" i="583"/>
  <c r="AY99" i="583"/>
  <c r="AX99" i="583"/>
  <c r="AI99" i="583"/>
  <c r="H99" i="583"/>
  <c r="A99" i="583"/>
  <c r="BY98" i="583"/>
  <c r="BX98" i="583"/>
  <c r="BW98" i="583"/>
  <c r="BV98" i="583"/>
  <c r="BU98" i="583"/>
  <c r="BT98" i="583"/>
  <c r="AY98" i="583"/>
  <c r="AX98" i="583"/>
  <c r="AZ98" i="583" s="1"/>
  <c r="CA98" i="583" s="1"/>
  <c r="AI98" i="583"/>
  <c r="H98" i="583"/>
  <c r="A98" i="583"/>
  <c r="BY97" i="583"/>
  <c r="BX97" i="583"/>
  <c r="BW97" i="583"/>
  <c r="BV97" i="583"/>
  <c r="BU97" i="583"/>
  <c r="BT97" i="583"/>
  <c r="AY97" i="583"/>
  <c r="AX97" i="583"/>
  <c r="AI97" i="583"/>
  <c r="A97" i="583"/>
  <c r="BY96" i="583"/>
  <c r="BX96" i="583"/>
  <c r="BW96" i="583"/>
  <c r="BU96" i="583"/>
  <c r="BT96" i="583"/>
  <c r="BH96" i="583"/>
  <c r="BV96" i="583"/>
  <c r="AY96" i="583"/>
  <c r="AX96" i="583"/>
  <c r="AA96" i="583"/>
  <c r="AA191" i="583" s="1"/>
  <c r="R96" i="583"/>
  <c r="Q96" i="583"/>
  <c r="A96" i="583"/>
  <c r="BY95" i="583"/>
  <c r="BX95" i="583"/>
  <c r="BW95" i="583"/>
  <c r="BU95" i="583"/>
  <c r="BT95" i="583"/>
  <c r="BH95" i="583"/>
  <c r="BV95" i="583"/>
  <c r="AY95" i="583"/>
  <c r="AX95" i="583"/>
  <c r="AA95" i="583"/>
  <c r="R95" i="583"/>
  <c r="Q95" i="583"/>
  <c r="A95" i="583"/>
  <c r="BY94" i="583"/>
  <c r="BX94" i="583"/>
  <c r="BW94" i="583"/>
  <c r="BU94" i="583"/>
  <c r="BZ94" i="583" s="1"/>
  <c r="BT94" i="583"/>
  <c r="BH94" i="583"/>
  <c r="BV94" i="583" s="1"/>
  <c r="AY94" i="583"/>
  <c r="AX94" i="583"/>
  <c r="X94" i="583"/>
  <c r="R94" i="583"/>
  <c r="Q94" i="583"/>
  <c r="A94" i="583"/>
  <c r="BY93" i="583"/>
  <c r="BX93" i="583"/>
  <c r="BW93" i="583"/>
  <c r="BU93" i="583"/>
  <c r="BT93" i="583"/>
  <c r="BH93" i="583"/>
  <c r="BV93" i="583"/>
  <c r="AY93" i="583"/>
  <c r="AX93" i="583"/>
  <c r="X93" i="583"/>
  <c r="R93" i="583"/>
  <c r="Q93" i="583"/>
  <c r="A93" i="583"/>
  <c r="BY92" i="583"/>
  <c r="BX92" i="583"/>
  <c r="BW92" i="583"/>
  <c r="BU92" i="583"/>
  <c r="BT92" i="583"/>
  <c r="BH92" i="583"/>
  <c r="BV92" i="583"/>
  <c r="AY92" i="583"/>
  <c r="AX92" i="583"/>
  <c r="Y92" i="583"/>
  <c r="R92" i="583"/>
  <c r="Q92" i="583"/>
  <c r="A92" i="583"/>
  <c r="BY91" i="583"/>
  <c r="BX91" i="583"/>
  <c r="BW91" i="583"/>
  <c r="BU91" i="583"/>
  <c r="BT91" i="583"/>
  <c r="BH91" i="583"/>
  <c r="BV91" i="583"/>
  <c r="AY91" i="583"/>
  <c r="AX91" i="583"/>
  <c r="X91" i="583"/>
  <c r="R91" i="583"/>
  <c r="Q91" i="583"/>
  <c r="A91" i="583"/>
  <c r="BY90" i="583"/>
  <c r="BX90" i="583"/>
  <c r="BW90" i="583"/>
  <c r="BU90" i="583"/>
  <c r="BT90" i="583"/>
  <c r="BH90" i="583"/>
  <c r="BV90" i="583" s="1"/>
  <c r="AY90" i="583"/>
  <c r="AZ90" i="583" s="1"/>
  <c r="CA90" i="583" s="1"/>
  <c r="AX90" i="583"/>
  <c r="X90" i="583"/>
  <c r="R90" i="583"/>
  <c r="Q90" i="583"/>
  <c r="A90" i="583"/>
  <c r="BY89" i="583"/>
  <c r="BX89" i="583"/>
  <c r="BW89" i="583"/>
  <c r="BU89" i="583"/>
  <c r="BT89" i="583"/>
  <c r="BH89" i="583"/>
  <c r="BV89" i="583"/>
  <c r="AY89" i="583"/>
  <c r="AX89" i="583"/>
  <c r="S89" i="583"/>
  <c r="X89" i="583"/>
  <c r="R89" i="583"/>
  <c r="Q89" i="583"/>
  <c r="A89" i="583"/>
  <c r="BY88" i="583"/>
  <c r="BZ88" i="583" s="1"/>
  <c r="CB88" i="583" s="1"/>
  <c r="BX88" i="583"/>
  <c r="BW88" i="583"/>
  <c r="BU88" i="583"/>
  <c r="BT88" i="583"/>
  <c r="BH88" i="583"/>
  <c r="BV88" i="583"/>
  <c r="AY88" i="583"/>
  <c r="AX88" i="583"/>
  <c r="Y88" i="583"/>
  <c r="X88" i="583"/>
  <c r="R88" i="583"/>
  <c r="Q88" i="583"/>
  <c r="A88" i="583"/>
  <c r="BY87" i="583"/>
  <c r="BX87" i="583"/>
  <c r="BW87" i="583"/>
  <c r="BU87" i="583"/>
  <c r="BT87" i="583"/>
  <c r="BH87" i="583"/>
  <c r="BV87" i="583"/>
  <c r="AY87" i="583"/>
  <c r="AX87" i="583"/>
  <c r="Y87" i="583"/>
  <c r="R87" i="583"/>
  <c r="Q87" i="583"/>
  <c r="A87" i="583"/>
  <c r="BY86" i="583"/>
  <c r="BX86" i="583"/>
  <c r="BW86" i="583"/>
  <c r="BU86" i="583"/>
  <c r="BT86" i="583"/>
  <c r="BH86" i="583"/>
  <c r="BV86" i="583" s="1"/>
  <c r="AY86" i="583"/>
  <c r="AZ86" i="583" s="1"/>
  <c r="CA86" i="583" s="1"/>
  <c r="AX86" i="583"/>
  <c r="Y86" i="583"/>
  <c r="R86" i="583"/>
  <c r="Q86" i="583"/>
  <c r="A86" i="583"/>
  <c r="BY85" i="583"/>
  <c r="BX85" i="583"/>
  <c r="BW85" i="583"/>
  <c r="BU85" i="583"/>
  <c r="BT85" i="583"/>
  <c r="BH85" i="583"/>
  <c r="BV85" i="583"/>
  <c r="AY85" i="583"/>
  <c r="AX85" i="583"/>
  <c r="Y85" i="583"/>
  <c r="R85" i="583"/>
  <c r="Q85" i="583"/>
  <c r="A85" i="583"/>
  <c r="BY84" i="583"/>
  <c r="BX84" i="583"/>
  <c r="BW84" i="583"/>
  <c r="BU84" i="583"/>
  <c r="BT84" i="583"/>
  <c r="BH84" i="583"/>
  <c r="BV84" i="583" s="1"/>
  <c r="BZ84" i="583" s="1"/>
  <c r="AY84" i="583"/>
  <c r="AX84" i="583"/>
  <c r="Y84" i="583"/>
  <c r="R84" i="583"/>
  <c r="Q84" i="583"/>
  <c r="A84" i="583"/>
  <c r="BY83" i="583"/>
  <c r="BX83" i="583"/>
  <c r="BW83" i="583"/>
  <c r="BU83" i="583"/>
  <c r="BT83" i="583"/>
  <c r="BZ83" i="583" s="1"/>
  <c r="CB83" i="583" s="1"/>
  <c r="BH83" i="583"/>
  <c r="BV83" i="583" s="1"/>
  <c r="AY83" i="583"/>
  <c r="AZ83" i="583" s="1"/>
  <c r="CA83" i="583" s="1"/>
  <c r="AX83" i="583"/>
  <c r="Y83" i="583"/>
  <c r="R83" i="583"/>
  <c r="Q83" i="583"/>
  <c r="A83" i="583"/>
  <c r="BY82" i="583"/>
  <c r="BX82" i="583"/>
  <c r="BW82" i="583"/>
  <c r="BU82" i="583"/>
  <c r="BT82" i="583"/>
  <c r="BH82" i="583"/>
  <c r="BV82" i="583" s="1"/>
  <c r="AY82" i="583"/>
  <c r="AX82" i="583"/>
  <c r="X82" i="583"/>
  <c r="R82" i="583"/>
  <c r="Q82" i="583"/>
  <c r="A82" i="583"/>
  <c r="BY81" i="583"/>
  <c r="BZ81" i="583" s="1"/>
  <c r="BX81" i="583"/>
  <c r="BW81" i="583"/>
  <c r="BU81" i="583"/>
  <c r="BT81" i="583"/>
  <c r="BH81" i="583"/>
  <c r="BV81" i="583" s="1"/>
  <c r="AY81" i="583"/>
  <c r="AZ81" i="583" s="1"/>
  <c r="CA81" i="583" s="1"/>
  <c r="AX81" i="583"/>
  <c r="Y81" i="583"/>
  <c r="R81" i="583"/>
  <c r="Q81" i="583"/>
  <c r="A81" i="583"/>
  <c r="BY80" i="583"/>
  <c r="BX80" i="583"/>
  <c r="BW80" i="583"/>
  <c r="BU80" i="583"/>
  <c r="BT80" i="583"/>
  <c r="BH80" i="583"/>
  <c r="BV80" i="583" s="1"/>
  <c r="AY80" i="583"/>
  <c r="AX80" i="583"/>
  <c r="Y80" i="583"/>
  <c r="R80" i="583"/>
  <c r="Q80" i="583"/>
  <c r="A80" i="583"/>
  <c r="BY79" i="583"/>
  <c r="BX79" i="583"/>
  <c r="BW79" i="583"/>
  <c r="BU79" i="583"/>
  <c r="BT79" i="583"/>
  <c r="BZ79" i="583" s="1"/>
  <c r="CB79" i="583" s="1"/>
  <c r="BH79" i="583"/>
  <c r="BV79" i="583"/>
  <c r="AY79" i="583"/>
  <c r="AX79" i="583"/>
  <c r="S79" i="583"/>
  <c r="Y79" i="583" s="1"/>
  <c r="R79" i="583"/>
  <c r="Q79" i="583"/>
  <c r="A79" i="583"/>
  <c r="BY78" i="583"/>
  <c r="BX78" i="583"/>
  <c r="BW78" i="583"/>
  <c r="BU78" i="583"/>
  <c r="BT78" i="583"/>
  <c r="BH78" i="583"/>
  <c r="BV78" i="583" s="1"/>
  <c r="AY78" i="583"/>
  <c r="AX78" i="583"/>
  <c r="Y78" i="583"/>
  <c r="R78" i="583"/>
  <c r="Q78" i="583"/>
  <c r="A78" i="583"/>
  <c r="BY77" i="583"/>
  <c r="BX77" i="583"/>
  <c r="BW77" i="583"/>
  <c r="BU77" i="583"/>
  <c r="BT77" i="583"/>
  <c r="BH77" i="583"/>
  <c r="BV77" i="583"/>
  <c r="AY77" i="583"/>
  <c r="AZ77" i="583" s="1"/>
  <c r="CA77" i="583" s="1"/>
  <c r="AX77" i="583"/>
  <c r="Y77" i="583"/>
  <c r="R77" i="583"/>
  <c r="Q77" i="583"/>
  <c r="A77" i="583"/>
  <c r="BY76" i="583"/>
  <c r="BX76" i="583"/>
  <c r="BW76" i="583"/>
  <c r="BU76" i="583"/>
  <c r="BT76" i="583"/>
  <c r="BH76" i="583"/>
  <c r="BV76" i="583" s="1"/>
  <c r="BZ76" i="583" s="1"/>
  <c r="CB76" i="583" s="1"/>
  <c r="AY76" i="583"/>
  <c r="AX76" i="583"/>
  <c r="Y76" i="583"/>
  <c r="R76" i="583"/>
  <c r="Q76" i="583"/>
  <c r="A76" i="583"/>
  <c r="BY75" i="583"/>
  <c r="BX75" i="583"/>
  <c r="BW75" i="583"/>
  <c r="BU75" i="583"/>
  <c r="BT75" i="583"/>
  <c r="BH75" i="583"/>
  <c r="BV75" i="583" s="1"/>
  <c r="AY75" i="583"/>
  <c r="AZ75" i="583" s="1"/>
  <c r="CA75" i="583" s="1"/>
  <c r="AX75" i="583"/>
  <c r="Y75" i="583"/>
  <c r="R75" i="583"/>
  <c r="Q75" i="583"/>
  <c r="A75" i="583"/>
  <c r="BY74" i="583"/>
  <c r="BX74" i="583"/>
  <c r="BW74" i="583"/>
  <c r="BU74" i="583"/>
  <c r="BT74" i="583"/>
  <c r="BH74" i="583"/>
  <c r="BV74" i="583"/>
  <c r="AY74" i="583"/>
  <c r="AX74" i="583"/>
  <c r="X74" i="583"/>
  <c r="R74" i="583"/>
  <c r="Q74" i="583"/>
  <c r="A74" i="583"/>
  <c r="BY73" i="583"/>
  <c r="BX73" i="583"/>
  <c r="BW73" i="583"/>
  <c r="BU73" i="583"/>
  <c r="BT73" i="583"/>
  <c r="BH73" i="583"/>
  <c r="BV73" i="583"/>
  <c r="AY73" i="583"/>
  <c r="AZ73" i="583" s="1"/>
  <c r="CA73" i="583" s="1"/>
  <c r="AX73" i="583"/>
  <c r="X73" i="583"/>
  <c r="R73" i="583"/>
  <c r="Q73" i="583"/>
  <c r="A73" i="583"/>
  <c r="BY72" i="583"/>
  <c r="BX72" i="583"/>
  <c r="BW72" i="583"/>
  <c r="BU72" i="583"/>
  <c r="BT72" i="583"/>
  <c r="BH72" i="583"/>
  <c r="BV72" i="583"/>
  <c r="AY72" i="583"/>
  <c r="AZ72" i="583" s="1"/>
  <c r="CA72" i="583" s="1"/>
  <c r="AX72" i="583"/>
  <c r="X72" i="583"/>
  <c r="R72" i="583"/>
  <c r="Q72" i="583"/>
  <c r="A72" i="583"/>
  <c r="BY71" i="583"/>
  <c r="BX71" i="583"/>
  <c r="BW71" i="583"/>
  <c r="BU71" i="583"/>
  <c r="BT71" i="583"/>
  <c r="BH71" i="583"/>
  <c r="BV71" i="583"/>
  <c r="AY71" i="583"/>
  <c r="AX71" i="583"/>
  <c r="X71" i="583"/>
  <c r="R71" i="583"/>
  <c r="Q71" i="583"/>
  <c r="A71" i="583"/>
  <c r="BY70" i="583"/>
  <c r="BX70" i="583"/>
  <c r="BW70" i="583"/>
  <c r="BU70" i="583"/>
  <c r="BT70" i="583"/>
  <c r="BH70" i="583"/>
  <c r="BV70" i="583"/>
  <c r="BZ70" i="583" s="1"/>
  <c r="AY70" i="583"/>
  <c r="AZ70" i="583" s="1"/>
  <c r="CA70" i="583" s="1"/>
  <c r="AX70" i="583"/>
  <c r="X70" i="583"/>
  <c r="R70" i="583"/>
  <c r="Q70" i="583"/>
  <c r="A70" i="583"/>
  <c r="BY69" i="583"/>
  <c r="BX69" i="583"/>
  <c r="BW69" i="583"/>
  <c r="BU69" i="583"/>
  <c r="BT69" i="583"/>
  <c r="BZ69" i="583" s="1"/>
  <c r="CB69" i="583" s="1"/>
  <c r="BH69" i="583"/>
  <c r="BV69" i="583" s="1"/>
  <c r="AY69" i="583"/>
  <c r="AZ69" i="583" s="1"/>
  <c r="CA69" i="583" s="1"/>
  <c r="AX69" i="583"/>
  <c r="X69" i="583"/>
  <c r="R69" i="583"/>
  <c r="Q69" i="583"/>
  <c r="A69" i="583"/>
  <c r="BY68" i="583"/>
  <c r="BX68" i="583"/>
  <c r="BW68" i="583"/>
  <c r="BU68" i="583"/>
  <c r="BT68" i="583"/>
  <c r="BH68" i="583"/>
  <c r="BV68" i="583" s="1"/>
  <c r="AY68" i="583"/>
  <c r="AZ68" i="583" s="1"/>
  <c r="CA68" i="583" s="1"/>
  <c r="AX68" i="583"/>
  <c r="Y68" i="583"/>
  <c r="R68" i="583"/>
  <c r="Q68" i="583"/>
  <c r="A68" i="583"/>
  <c r="BY67" i="583"/>
  <c r="BX67" i="583"/>
  <c r="BW67" i="583"/>
  <c r="BU67" i="583"/>
  <c r="BT67" i="583"/>
  <c r="BH67" i="583"/>
  <c r="BV67" i="583"/>
  <c r="AY67" i="583"/>
  <c r="AX67" i="583"/>
  <c r="Y67" i="583"/>
  <c r="R67" i="583"/>
  <c r="Q67" i="583"/>
  <c r="A67" i="583"/>
  <c r="BY66" i="583"/>
  <c r="BX66" i="583"/>
  <c r="BW66" i="583"/>
  <c r="BU66" i="583"/>
  <c r="BT66" i="583"/>
  <c r="BH66" i="583"/>
  <c r="BV66" i="583" s="1"/>
  <c r="AY66" i="583"/>
  <c r="AZ66" i="583" s="1"/>
  <c r="CA66" i="583" s="1"/>
  <c r="AX66" i="583"/>
  <c r="Y66" i="583"/>
  <c r="R66" i="583"/>
  <c r="Q66" i="583"/>
  <c r="A66" i="583"/>
  <c r="BY65" i="583"/>
  <c r="BX65" i="583"/>
  <c r="BW65" i="583"/>
  <c r="BU65" i="583"/>
  <c r="BT65" i="583"/>
  <c r="BH65" i="583"/>
  <c r="BV65" i="583" s="1"/>
  <c r="AY65" i="583"/>
  <c r="AX65" i="583"/>
  <c r="Y65" i="583"/>
  <c r="R65" i="583"/>
  <c r="Q65" i="583"/>
  <c r="A65" i="583"/>
  <c r="BY64" i="583"/>
  <c r="BX64" i="583"/>
  <c r="BW64" i="583"/>
  <c r="BU64" i="583"/>
  <c r="BT64" i="583"/>
  <c r="BH64" i="583"/>
  <c r="BV64" i="583" s="1"/>
  <c r="AY64" i="583"/>
  <c r="AX64" i="583"/>
  <c r="AZ64" i="583" s="1"/>
  <c r="CA64" i="583" s="1"/>
  <c r="S64" i="583"/>
  <c r="Y64" i="583"/>
  <c r="R64" i="583"/>
  <c r="Q64" i="583"/>
  <c r="A64" i="583"/>
  <c r="BY63" i="583"/>
  <c r="BX63" i="583"/>
  <c r="BW63" i="583"/>
  <c r="BU63" i="583"/>
  <c r="BT63" i="583"/>
  <c r="BH63" i="583"/>
  <c r="BV63" i="583" s="1"/>
  <c r="BZ63" i="583" s="1"/>
  <c r="AY63" i="583"/>
  <c r="AX63" i="583"/>
  <c r="Y63" i="583"/>
  <c r="R63" i="583"/>
  <c r="Q63" i="583"/>
  <c r="A63" i="583"/>
  <c r="BY62" i="583"/>
  <c r="BX62" i="583"/>
  <c r="BW62" i="583"/>
  <c r="BU62" i="583"/>
  <c r="BT62" i="583"/>
  <c r="BH62" i="583"/>
  <c r="BV62" i="583" s="1"/>
  <c r="AY62" i="583"/>
  <c r="AX62" i="583"/>
  <c r="AZ62" i="583" s="1"/>
  <c r="CA62" i="583" s="1"/>
  <c r="X62" i="583"/>
  <c r="R62" i="583"/>
  <c r="Q62" i="583"/>
  <c r="A62" i="583"/>
  <c r="BY61" i="583"/>
  <c r="BX61" i="583"/>
  <c r="BW61" i="583"/>
  <c r="BU61" i="583"/>
  <c r="BT61" i="583"/>
  <c r="BH61" i="583"/>
  <c r="BV61" i="583"/>
  <c r="AY61" i="583"/>
  <c r="AZ61" i="583" s="1"/>
  <c r="CA61" i="583" s="1"/>
  <c r="AX61" i="583"/>
  <c r="X61" i="583"/>
  <c r="R61" i="583"/>
  <c r="Q61" i="583"/>
  <c r="A61" i="583"/>
  <c r="BY60" i="583"/>
  <c r="BX60" i="583"/>
  <c r="BW60" i="583"/>
  <c r="BU60" i="583"/>
  <c r="BT60" i="583"/>
  <c r="BH60" i="583"/>
  <c r="BV60" i="583"/>
  <c r="AY60" i="583"/>
  <c r="AZ60" i="583" s="1"/>
  <c r="CA60" i="583" s="1"/>
  <c r="AX60" i="583"/>
  <c r="X60" i="583"/>
  <c r="R60" i="583"/>
  <c r="Q60" i="583"/>
  <c r="A60" i="583"/>
  <c r="BY59" i="583"/>
  <c r="BX59" i="583"/>
  <c r="BW59" i="583"/>
  <c r="BU59" i="583"/>
  <c r="BZ59" i="583" s="1"/>
  <c r="CB59" i="583" s="1"/>
  <c r="BT59" i="583"/>
  <c r="BH59" i="583"/>
  <c r="BV59" i="583"/>
  <c r="AY59" i="583"/>
  <c r="AX59" i="583"/>
  <c r="X59" i="583"/>
  <c r="R59" i="583"/>
  <c r="Q59" i="583"/>
  <c r="A59" i="583"/>
  <c r="BY58" i="583"/>
  <c r="BX58" i="583"/>
  <c r="BW58" i="583"/>
  <c r="BU58" i="583"/>
  <c r="BT58" i="583"/>
  <c r="BH58" i="583"/>
  <c r="BV58" i="583"/>
  <c r="AY58" i="583"/>
  <c r="AX58" i="583"/>
  <c r="S58" i="583"/>
  <c r="X58" i="583"/>
  <c r="R58" i="583"/>
  <c r="Q58" i="583"/>
  <c r="A58" i="583"/>
  <c r="BY57" i="583"/>
  <c r="BX57" i="583"/>
  <c r="BW57" i="583"/>
  <c r="BU57" i="583"/>
  <c r="BT57" i="583"/>
  <c r="BH57" i="583"/>
  <c r="BV57" i="583"/>
  <c r="AY57" i="583"/>
  <c r="AZ57" i="583" s="1"/>
  <c r="CA57" i="583" s="1"/>
  <c r="CB57" i="583" s="1"/>
  <c r="AX57" i="583"/>
  <c r="X57" i="583"/>
  <c r="R57" i="583"/>
  <c r="Q57" i="583"/>
  <c r="A57" i="583"/>
  <c r="BY56" i="583"/>
  <c r="BX56" i="583"/>
  <c r="BW56" i="583"/>
  <c r="BU56" i="583"/>
  <c r="BT56" i="583"/>
  <c r="BH56" i="583"/>
  <c r="BV56" i="583"/>
  <c r="AY56" i="583"/>
  <c r="AX56" i="583"/>
  <c r="X56" i="583"/>
  <c r="R56" i="583"/>
  <c r="Q56" i="583"/>
  <c r="A56" i="583"/>
  <c r="BY55" i="583"/>
  <c r="BX55" i="583"/>
  <c r="BW55" i="583"/>
  <c r="BU55" i="583"/>
  <c r="BT55" i="583"/>
  <c r="BH55" i="583"/>
  <c r="BV55" i="583"/>
  <c r="AY55" i="583"/>
  <c r="AX55" i="583"/>
  <c r="X55" i="583"/>
  <c r="R55" i="583"/>
  <c r="Q55" i="583"/>
  <c r="A55" i="583"/>
  <c r="BY54" i="583"/>
  <c r="BX54" i="583"/>
  <c r="BW54" i="583"/>
  <c r="BU54" i="583"/>
  <c r="BT54" i="583"/>
  <c r="BH54" i="583"/>
  <c r="BV54" i="583" s="1"/>
  <c r="AY54" i="583"/>
  <c r="AZ54" i="583" s="1"/>
  <c r="CA54" i="583" s="1"/>
  <c r="AX54" i="583"/>
  <c r="X54" i="583"/>
  <c r="R54" i="583"/>
  <c r="Q54" i="583"/>
  <c r="A54" i="583"/>
  <c r="BY53" i="583"/>
  <c r="BX53" i="583"/>
  <c r="BW53" i="583"/>
  <c r="BU53" i="583"/>
  <c r="BT53" i="583"/>
  <c r="BH53" i="583"/>
  <c r="BV53" i="583" s="1"/>
  <c r="AY53" i="583"/>
  <c r="AX53" i="583"/>
  <c r="Y53" i="583"/>
  <c r="R53" i="583"/>
  <c r="Q53" i="583"/>
  <c r="A53" i="583"/>
  <c r="BY52" i="583"/>
  <c r="BX52" i="583"/>
  <c r="BW52" i="583"/>
  <c r="BU52" i="583"/>
  <c r="BT52" i="583"/>
  <c r="BZ52" i="583" s="1"/>
  <c r="BH52" i="583"/>
  <c r="BV52" i="583"/>
  <c r="AY52" i="583"/>
  <c r="AX52" i="583"/>
  <c r="Y52" i="583"/>
  <c r="R52" i="583"/>
  <c r="Q52" i="583"/>
  <c r="A52" i="583"/>
  <c r="BY51" i="583"/>
  <c r="BX51" i="583"/>
  <c r="BW51" i="583"/>
  <c r="BU51" i="583"/>
  <c r="BT51" i="583"/>
  <c r="BZ51" i="583" s="1"/>
  <c r="BH51" i="583"/>
  <c r="BV51" i="583"/>
  <c r="AY51" i="583"/>
  <c r="AX51" i="583"/>
  <c r="Y51" i="583"/>
  <c r="R51" i="583"/>
  <c r="Q51" i="583"/>
  <c r="A51" i="583"/>
  <c r="BY50" i="583"/>
  <c r="BX50" i="583"/>
  <c r="BW50" i="583"/>
  <c r="BU50" i="583"/>
  <c r="BT50" i="583"/>
  <c r="BZ50" i="583" s="1"/>
  <c r="BH50" i="583"/>
  <c r="BV50" i="583"/>
  <c r="AY50" i="583"/>
  <c r="AX50" i="583"/>
  <c r="X50" i="583"/>
  <c r="R50" i="583"/>
  <c r="Q50" i="583"/>
  <c r="A50" i="583"/>
  <c r="BY49" i="583"/>
  <c r="BX49" i="583"/>
  <c r="BW49" i="583"/>
  <c r="BU49" i="583"/>
  <c r="BT49" i="583"/>
  <c r="BH49" i="583"/>
  <c r="BV49" i="583" s="1"/>
  <c r="BZ49" i="583" s="1"/>
  <c r="CB49" i="583" s="1"/>
  <c r="AY49" i="583"/>
  <c r="AZ49" i="583" s="1"/>
  <c r="CA49" i="583" s="1"/>
  <c r="AX49" i="583"/>
  <c r="Y49" i="583"/>
  <c r="R49" i="583"/>
  <c r="Q49" i="583"/>
  <c r="A49" i="583"/>
  <c r="BY48" i="583"/>
  <c r="BX48" i="583"/>
  <c r="BW48" i="583"/>
  <c r="BU48" i="583"/>
  <c r="BT48" i="583"/>
  <c r="BH48" i="583"/>
  <c r="BV48" i="583" s="1"/>
  <c r="BZ48" i="583" s="1"/>
  <c r="AY48" i="583"/>
  <c r="AX48" i="583"/>
  <c r="Y48" i="583"/>
  <c r="R48" i="583"/>
  <c r="Q48" i="583"/>
  <c r="A48" i="583"/>
  <c r="BY47" i="583"/>
  <c r="BX47" i="583"/>
  <c r="BW47" i="583"/>
  <c r="BU47" i="583"/>
  <c r="BT47" i="583"/>
  <c r="BH47" i="583"/>
  <c r="BV47" i="583" s="1"/>
  <c r="AY47" i="583"/>
  <c r="AX47" i="583"/>
  <c r="Y47" i="583"/>
  <c r="R47" i="583"/>
  <c r="Q47" i="583"/>
  <c r="A47" i="583"/>
  <c r="BY46" i="583"/>
  <c r="BX46" i="583"/>
  <c r="BW46" i="583"/>
  <c r="BU46" i="583"/>
  <c r="BT46" i="583"/>
  <c r="BH46" i="583"/>
  <c r="BV46" i="583"/>
  <c r="BZ46" i="583" s="1"/>
  <c r="AY46" i="583"/>
  <c r="AX46" i="583"/>
  <c r="Y46" i="583"/>
  <c r="R46" i="583"/>
  <c r="Q46" i="583"/>
  <c r="A46" i="583"/>
  <c r="BY45" i="583"/>
  <c r="BX45" i="583"/>
  <c r="BW45" i="583"/>
  <c r="BU45" i="583"/>
  <c r="BT45" i="583"/>
  <c r="BH45" i="583"/>
  <c r="BV45" i="583"/>
  <c r="AY45" i="583"/>
  <c r="AX45" i="583"/>
  <c r="Y45" i="583"/>
  <c r="R45" i="583"/>
  <c r="Q45" i="583"/>
  <c r="A45" i="583"/>
  <c r="BY44" i="583"/>
  <c r="BX44" i="583"/>
  <c r="BW44" i="583"/>
  <c r="BU44" i="583"/>
  <c r="BT44" i="583"/>
  <c r="BH44" i="583"/>
  <c r="BV44" i="583"/>
  <c r="AY44" i="583"/>
  <c r="AX44" i="583"/>
  <c r="Y44" i="583"/>
  <c r="R44" i="583"/>
  <c r="Q44" i="583"/>
  <c r="A44" i="583"/>
  <c r="BY43" i="583"/>
  <c r="BX43" i="583"/>
  <c r="BW43" i="583"/>
  <c r="BU43" i="583"/>
  <c r="BT43" i="583"/>
  <c r="BH43" i="583"/>
  <c r="BV43" i="583"/>
  <c r="AY43" i="583"/>
  <c r="AZ43" i="583" s="1"/>
  <c r="CA43" i="583" s="1"/>
  <c r="AX43" i="583"/>
  <c r="Y43" i="583"/>
  <c r="X43" i="583"/>
  <c r="R43" i="583"/>
  <c r="Q43" i="583"/>
  <c r="A43" i="583"/>
  <c r="BY42" i="583"/>
  <c r="BX42" i="583"/>
  <c r="BW42" i="583"/>
  <c r="BU42" i="583"/>
  <c r="BT42" i="583"/>
  <c r="BZ42" i="583" s="1"/>
  <c r="BH42" i="583"/>
  <c r="BV42" i="583"/>
  <c r="AY42" i="583"/>
  <c r="AX42" i="583"/>
  <c r="S42" i="583"/>
  <c r="Y42" i="583" s="1"/>
  <c r="R42" i="583"/>
  <c r="Q42" i="583"/>
  <c r="A42" i="583"/>
  <c r="BY41" i="583"/>
  <c r="BX41" i="583"/>
  <c r="BW41" i="583"/>
  <c r="BU41" i="583"/>
  <c r="BZ41" i="583" s="1"/>
  <c r="BT41" i="583"/>
  <c r="BH41" i="583"/>
  <c r="BV41" i="583"/>
  <c r="AY41" i="583"/>
  <c r="AX41" i="583"/>
  <c r="Y41" i="583"/>
  <c r="X41" i="583"/>
  <c r="R41" i="583"/>
  <c r="Q41" i="583"/>
  <c r="A41" i="583"/>
  <c r="BY40" i="583"/>
  <c r="BX40" i="583"/>
  <c r="BW40" i="583"/>
  <c r="BU40" i="583"/>
  <c r="BT40" i="583"/>
  <c r="BH40" i="583"/>
  <c r="BV40" i="583"/>
  <c r="BZ40" i="583" s="1"/>
  <c r="AY40" i="583"/>
  <c r="AX40" i="583"/>
  <c r="Y40" i="583"/>
  <c r="X40" i="583"/>
  <c r="R40" i="583"/>
  <c r="Q40" i="583"/>
  <c r="A40" i="583"/>
  <c r="BY39" i="583"/>
  <c r="BX39" i="583"/>
  <c r="BW39" i="583"/>
  <c r="BU39" i="583"/>
  <c r="BZ39" i="583" s="1"/>
  <c r="BT39" i="583"/>
  <c r="BH39" i="583"/>
  <c r="BV39" i="583" s="1"/>
  <c r="AY39" i="583"/>
  <c r="AX39" i="583"/>
  <c r="Y39" i="583"/>
  <c r="X39" i="583"/>
  <c r="R39" i="583"/>
  <c r="Q39" i="583"/>
  <c r="A39" i="583"/>
  <c r="BY38" i="583"/>
  <c r="BX38" i="583"/>
  <c r="BW38" i="583"/>
  <c r="BU38" i="583"/>
  <c r="BT38" i="583"/>
  <c r="BH38" i="583"/>
  <c r="BV38" i="583"/>
  <c r="AY38" i="583"/>
  <c r="AX38" i="583"/>
  <c r="Y38" i="583"/>
  <c r="X38" i="583"/>
  <c r="R38" i="583"/>
  <c r="Q38" i="583"/>
  <c r="A38" i="583"/>
  <c r="BY37" i="583"/>
  <c r="BX37" i="583"/>
  <c r="BW37" i="583"/>
  <c r="BU37" i="583"/>
  <c r="BT37" i="583"/>
  <c r="BH37" i="583"/>
  <c r="BV37" i="583"/>
  <c r="AY37" i="583"/>
  <c r="AZ37" i="583" s="1"/>
  <c r="CA37" i="583" s="1"/>
  <c r="AX37" i="583"/>
  <c r="Y37" i="583"/>
  <c r="X37" i="583"/>
  <c r="R37" i="583"/>
  <c r="Q37" i="583"/>
  <c r="A37" i="583"/>
  <c r="BY36" i="583"/>
  <c r="BX36" i="583"/>
  <c r="BW36" i="583"/>
  <c r="BU36" i="583"/>
  <c r="BT36" i="583"/>
  <c r="BH36" i="583"/>
  <c r="BV36" i="583"/>
  <c r="AY36" i="583"/>
  <c r="AX36" i="583"/>
  <c r="Y36" i="583"/>
  <c r="X36" i="583"/>
  <c r="R36" i="583"/>
  <c r="Q36" i="583"/>
  <c r="A36" i="583"/>
  <c r="BY35" i="583"/>
  <c r="BX35" i="583"/>
  <c r="BZ35" i="583" s="1"/>
  <c r="CB35" i="583" s="1"/>
  <c r="BW35" i="583"/>
  <c r="BV35" i="583"/>
  <c r="BU35" i="583"/>
  <c r="BT35" i="583"/>
  <c r="AY35" i="583"/>
  <c r="AX35" i="583"/>
  <c r="AZ35" i="583" s="1"/>
  <c r="S35" i="583"/>
  <c r="Y35" i="583"/>
  <c r="R35" i="583"/>
  <c r="Q35" i="583"/>
  <c r="A35" i="583"/>
  <c r="BY34" i="583"/>
  <c r="BX34" i="583"/>
  <c r="BW34" i="583"/>
  <c r="BV34" i="583"/>
  <c r="BU34" i="583"/>
  <c r="BT34" i="583"/>
  <c r="BZ34" i="583" s="1"/>
  <c r="AY34" i="583"/>
  <c r="AZ34" i="583" s="1"/>
  <c r="CA34" i="583" s="1"/>
  <c r="AX34" i="583"/>
  <c r="S34" i="583"/>
  <c r="R34" i="583"/>
  <c r="Q34" i="583"/>
  <c r="A34" i="583"/>
  <c r="BY33" i="583"/>
  <c r="BX33" i="583"/>
  <c r="BW33" i="583"/>
  <c r="BZ33" i="583" s="1"/>
  <c r="CB33" i="583" s="1"/>
  <c r="BU33" i="583"/>
  <c r="BT33" i="583"/>
  <c r="BH33" i="583"/>
  <c r="BV33" i="583" s="1"/>
  <c r="AY33" i="583"/>
  <c r="AX33" i="583"/>
  <c r="Y33" i="583"/>
  <c r="R33" i="583"/>
  <c r="Q33" i="583"/>
  <c r="A33" i="583"/>
  <c r="BY32" i="583"/>
  <c r="BX32" i="583"/>
  <c r="BW32" i="583"/>
  <c r="BU32" i="583"/>
  <c r="BT32" i="583"/>
  <c r="BZ32" i="583" s="1"/>
  <c r="CB32" i="583" s="1"/>
  <c r="BH32" i="583"/>
  <c r="BV32" i="583"/>
  <c r="AY32" i="583"/>
  <c r="AX32" i="583"/>
  <c r="Y32" i="583"/>
  <c r="R32" i="583"/>
  <c r="Q32" i="583"/>
  <c r="A32" i="583"/>
  <c r="BY31" i="583"/>
  <c r="BX31" i="583"/>
  <c r="BW31" i="583"/>
  <c r="BU31" i="583"/>
  <c r="BT31" i="583"/>
  <c r="BZ31" i="583" s="1"/>
  <c r="CB31" i="583" s="1"/>
  <c r="BG31" i="583"/>
  <c r="BH31" i="583"/>
  <c r="BV31" i="583" s="1"/>
  <c r="AY31" i="583"/>
  <c r="AZ31" i="583" s="1"/>
  <c r="CA31" i="583" s="1"/>
  <c r="AX31" i="583"/>
  <c r="Y31" i="583"/>
  <c r="X31" i="583"/>
  <c r="R31" i="583"/>
  <c r="Q31" i="583"/>
  <c r="A31" i="583"/>
  <c r="BY30" i="583"/>
  <c r="BX30" i="583"/>
  <c r="BW30" i="583"/>
  <c r="BU30" i="583"/>
  <c r="BT30" i="583"/>
  <c r="BH30" i="583"/>
  <c r="BV30" i="583"/>
  <c r="AY30" i="583"/>
  <c r="AX30" i="583"/>
  <c r="Y30" i="583"/>
  <c r="R30" i="583"/>
  <c r="Q30" i="583"/>
  <c r="A30" i="583"/>
  <c r="BY29" i="583"/>
  <c r="BX29" i="583"/>
  <c r="BW29" i="583"/>
  <c r="BU29" i="583"/>
  <c r="BT29" i="583"/>
  <c r="BH29" i="583"/>
  <c r="BV29" i="583" s="1"/>
  <c r="AY29" i="583"/>
  <c r="AX29" i="583"/>
  <c r="AZ29" i="583" s="1"/>
  <c r="X29" i="583"/>
  <c r="R29" i="583"/>
  <c r="Q29" i="583"/>
  <c r="A29" i="583"/>
  <c r="BY28" i="583"/>
  <c r="BX28" i="583"/>
  <c r="BW28" i="583"/>
  <c r="BU28" i="583"/>
  <c r="BT28" i="583"/>
  <c r="BH28" i="583"/>
  <c r="BV28" i="583"/>
  <c r="AY28" i="583"/>
  <c r="AX28" i="583"/>
  <c r="X28" i="583"/>
  <c r="R28" i="583"/>
  <c r="Q28" i="583"/>
  <c r="A28" i="583"/>
  <c r="BY27" i="583"/>
  <c r="BX27" i="583"/>
  <c r="BW27" i="583"/>
  <c r="BU27" i="583"/>
  <c r="BT27" i="583"/>
  <c r="BH27" i="583"/>
  <c r="BV27" i="583"/>
  <c r="AY27" i="583"/>
  <c r="AX27" i="583"/>
  <c r="Y27" i="583"/>
  <c r="R27" i="583"/>
  <c r="Q27" i="583"/>
  <c r="A27" i="583"/>
  <c r="BY26" i="583"/>
  <c r="BX26" i="583"/>
  <c r="BW26" i="583"/>
  <c r="BU26" i="583"/>
  <c r="BT26" i="583"/>
  <c r="BZ26" i="583" s="1"/>
  <c r="CB26" i="583" s="1"/>
  <c r="BH26" i="583"/>
  <c r="BV26" i="583"/>
  <c r="AY26" i="583"/>
  <c r="AX26" i="583"/>
  <c r="Y26" i="583"/>
  <c r="R26" i="583"/>
  <c r="Q26" i="583"/>
  <c r="A26" i="583"/>
  <c r="BY25" i="583"/>
  <c r="BX25" i="583"/>
  <c r="BW25" i="583"/>
  <c r="BU25" i="583"/>
  <c r="BT25" i="583"/>
  <c r="BH25" i="583"/>
  <c r="BV25" i="583" s="1"/>
  <c r="BZ25" i="583" s="1"/>
  <c r="AY25" i="583"/>
  <c r="AZ25" i="583" s="1"/>
  <c r="CA25" i="583" s="1"/>
  <c r="CB25" i="583" s="1"/>
  <c r="AX25" i="583"/>
  <c r="Y25" i="583"/>
  <c r="R25" i="583"/>
  <c r="Q25" i="583"/>
  <c r="A25" i="583"/>
  <c r="BY24" i="583"/>
  <c r="BX24" i="583"/>
  <c r="BW24" i="583"/>
  <c r="BU24" i="583"/>
  <c r="BT24" i="583"/>
  <c r="BH24" i="583"/>
  <c r="BV24" i="583" s="1"/>
  <c r="AY24" i="583"/>
  <c r="AZ24" i="583" s="1"/>
  <c r="CA24" i="583" s="1"/>
  <c r="AX24" i="583"/>
  <c r="Y24" i="583"/>
  <c r="X24" i="583"/>
  <c r="R24" i="583"/>
  <c r="Q24" i="583"/>
  <c r="A24" i="583"/>
  <c r="BY23" i="583"/>
  <c r="BX23" i="583"/>
  <c r="BW23" i="583"/>
  <c r="BU23" i="583"/>
  <c r="BT23" i="583"/>
  <c r="BH23" i="583"/>
  <c r="BV23" i="583"/>
  <c r="AY23" i="583"/>
  <c r="AX23" i="583"/>
  <c r="Y23" i="583"/>
  <c r="R23" i="583"/>
  <c r="Q23" i="583"/>
  <c r="A23" i="583"/>
  <c r="BY22" i="583"/>
  <c r="BX22" i="583"/>
  <c r="BW22" i="583"/>
  <c r="BU22" i="583"/>
  <c r="BT22" i="583"/>
  <c r="BH22" i="583"/>
  <c r="BV22" i="583" s="1"/>
  <c r="AY22" i="583"/>
  <c r="AZ22" i="583" s="1"/>
  <c r="CA22" i="583" s="1"/>
  <c r="AX22" i="583"/>
  <c r="S22" i="583"/>
  <c r="Y22" i="583" s="1"/>
  <c r="R22" i="583"/>
  <c r="Q22" i="583"/>
  <c r="A22" i="583"/>
  <c r="BY21" i="583"/>
  <c r="BX21" i="583"/>
  <c r="BW21" i="583"/>
  <c r="BU21" i="583"/>
  <c r="BT21" i="583"/>
  <c r="BH21" i="583"/>
  <c r="BV21" i="583" s="1"/>
  <c r="AY21" i="583"/>
  <c r="AX21" i="583"/>
  <c r="X21" i="583"/>
  <c r="R21" i="583"/>
  <c r="Q21" i="583"/>
  <c r="A21" i="583"/>
  <c r="BY20" i="583"/>
  <c r="BX20" i="583"/>
  <c r="BW20" i="583"/>
  <c r="BU20" i="583"/>
  <c r="BT20" i="583"/>
  <c r="BZ20" i="583" s="1"/>
  <c r="CB20" i="583" s="1"/>
  <c r="BH20" i="583"/>
  <c r="BV20" i="583"/>
  <c r="AY20" i="583"/>
  <c r="AX20" i="583"/>
  <c r="X20" i="583"/>
  <c r="R20" i="583"/>
  <c r="Q20" i="583"/>
  <c r="A20" i="583"/>
  <c r="BY19" i="583"/>
  <c r="BX19" i="583"/>
  <c r="BW19" i="583"/>
  <c r="BU19" i="583"/>
  <c r="BT19" i="583"/>
  <c r="BH19" i="583"/>
  <c r="BV19" i="583" s="1"/>
  <c r="AY19" i="583"/>
  <c r="AX19" i="583"/>
  <c r="X19" i="583"/>
  <c r="R19" i="583"/>
  <c r="Q19" i="583"/>
  <c r="A19" i="583"/>
  <c r="BY18" i="583"/>
  <c r="BX18" i="583"/>
  <c r="BW18" i="583"/>
  <c r="BU18" i="583"/>
  <c r="BT18" i="583"/>
  <c r="BH18" i="583"/>
  <c r="BV18" i="583" s="1"/>
  <c r="AY18" i="583"/>
  <c r="AX18" i="583"/>
  <c r="Y18" i="583"/>
  <c r="X18" i="583"/>
  <c r="R18" i="583"/>
  <c r="Q18" i="583"/>
  <c r="A18" i="583"/>
  <c r="BY17" i="583"/>
  <c r="BX17" i="583"/>
  <c r="BW17" i="583"/>
  <c r="BU17" i="583"/>
  <c r="BT17" i="583"/>
  <c r="BZ17" i="583" s="1"/>
  <c r="CB17" i="583" s="1"/>
  <c r="BH17" i="583"/>
  <c r="BV17" i="583"/>
  <c r="AY17" i="583"/>
  <c r="AX17" i="583"/>
  <c r="S17" i="583"/>
  <c r="R17" i="583"/>
  <c r="Q17" i="583"/>
  <c r="A17" i="583"/>
  <c r="BY16" i="583"/>
  <c r="BX16" i="583"/>
  <c r="BW16" i="583"/>
  <c r="BU16" i="583"/>
  <c r="BT16" i="583"/>
  <c r="BH16" i="583"/>
  <c r="BV16" i="583" s="1"/>
  <c r="BZ16" i="583" s="1"/>
  <c r="AY16" i="583"/>
  <c r="AX16" i="583"/>
  <c r="Y16" i="583"/>
  <c r="X16" i="583"/>
  <c r="R16" i="583"/>
  <c r="Q16" i="583"/>
  <c r="A16" i="583"/>
  <c r="BY15" i="583"/>
  <c r="BX15" i="583"/>
  <c r="BW15" i="583"/>
  <c r="BU15" i="583"/>
  <c r="BT15" i="583"/>
  <c r="BZ15" i="583" s="1"/>
  <c r="BH15" i="583"/>
  <c r="BV15" i="583" s="1"/>
  <c r="AY15" i="583"/>
  <c r="AX15" i="583"/>
  <c r="Y15" i="583"/>
  <c r="X15" i="583"/>
  <c r="R15" i="583"/>
  <c r="Q15" i="583"/>
  <c r="A15" i="583"/>
  <c r="BY14" i="583"/>
  <c r="BZ14" i="583" s="1"/>
  <c r="BX14" i="583"/>
  <c r="BW14" i="583"/>
  <c r="BU14" i="583"/>
  <c r="BT14" i="583"/>
  <c r="BH14" i="583"/>
  <c r="BV14" i="583" s="1"/>
  <c r="AY14" i="583"/>
  <c r="AX14" i="583"/>
  <c r="Y14" i="583"/>
  <c r="X14" i="583"/>
  <c r="R14" i="583"/>
  <c r="Q14" i="583"/>
  <c r="A14" i="583"/>
  <c r="BY13" i="583"/>
  <c r="BX13" i="583"/>
  <c r="BW13" i="583"/>
  <c r="BU13" i="583"/>
  <c r="BT13" i="583"/>
  <c r="BH13" i="583"/>
  <c r="BV13" i="583" s="1"/>
  <c r="AY13" i="583"/>
  <c r="AZ13" i="583" s="1"/>
  <c r="CA13" i="583" s="1"/>
  <c r="AX13" i="583"/>
  <c r="Y13" i="583"/>
  <c r="X13" i="583"/>
  <c r="R13" i="583"/>
  <c r="Q13" i="583"/>
  <c r="A13" i="583"/>
  <c r="BY12" i="583"/>
  <c r="BX12" i="583"/>
  <c r="BW12" i="583"/>
  <c r="BV12" i="583"/>
  <c r="BZ12" i="583" s="1"/>
  <c r="CB12" i="583" s="1"/>
  <c r="BU12" i="583"/>
  <c r="BT12" i="583"/>
  <c r="AY12" i="583"/>
  <c r="AX12" i="583"/>
  <c r="Q12" i="583"/>
  <c r="BY11" i="583"/>
  <c r="BX11" i="583"/>
  <c r="BW11" i="583"/>
  <c r="BU11" i="583"/>
  <c r="BT11" i="583"/>
  <c r="BZ11" i="583" s="1"/>
  <c r="CB11" i="583" s="1"/>
  <c r="BH11" i="583"/>
  <c r="BV11" i="583" s="1"/>
  <c r="AY11" i="583"/>
  <c r="AX11" i="583"/>
  <c r="AZ11" i="583" s="1"/>
  <c r="CA11" i="583" s="1"/>
  <c r="AO11" i="583"/>
  <c r="R11" i="583"/>
  <c r="Q11" i="583"/>
  <c r="A11" i="583"/>
  <c r="BY10" i="583"/>
  <c r="BX10" i="583"/>
  <c r="BW10" i="583"/>
  <c r="BU10" i="583"/>
  <c r="BT10" i="583"/>
  <c r="BH10" i="583"/>
  <c r="BV10" i="583" s="1"/>
  <c r="AY10" i="583"/>
  <c r="AX10" i="583"/>
  <c r="AO10" i="583"/>
  <c r="R10" i="583"/>
  <c r="Q10" i="583"/>
  <c r="A10" i="583"/>
  <c r="BY9" i="583"/>
  <c r="BX9" i="583"/>
  <c r="BW9" i="583"/>
  <c r="BU9" i="583"/>
  <c r="BT9" i="583"/>
  <c r="BH9" i="583"/>
  <c r="BV9" i="583"/>
  <c r="AY9" i="583"/>
  <c r="AZ9" i="583" s="1"/>
  <c r="AX9" i="583"/>
  <c r="AO9" i="583"/>
  <c r="R9" i="583"/>
  <c r="Q9" i="583"/>
  <c r="A9" i="583"/>
  <c r="BY8" i="583"/>
  <c r="BX8" i="583"/>
  <c r="BW8" i="583"/>
  <c r="BU8" i="583"/>
  <c r="BT8" i="583"/>
  <c r="BH8" i="583"/>
  <c r="BV8" i="583" s="1"/>
  <c r="AY8" i="583"/>
  <c r="AX8" i="583"/>
  <c r="AO8" i="583"/>
  <c r="R8" i="583"/>
  <c r="Q8" i="583"/>
  <c r="A8" i="583"/>
  <c r="BY7" i="583"/>
  <c r="BX7" i="583"/>
  <c r="BW7" i="583"/>
  <c r="BU7" i="583"/>
  <c r="BT7" i="583"/>
  <c r="BH7" i="583"/>
  <c r="BV7" i="583" s="1"/>
  <c r="AY7" i="583"/>
  <c r="AX7" i="583"/>
  <c r="AO7" i="583"/>
  <c r="R7" i="583"/>
  <c r="Q7" i="583"/>
  <c r="A7" i="583"/>
  <c r="BY6" i="583"/>
  <c r="BX6" i="583"/>
  <c r="BW6" i="583"/>
  <c r="BU6" i="583"/>
  <c r="BT6" i="583"/>
  <c r="BH6" i="583"/>
  <c r="BV6" i="583"/>
  <c r="AY6" i="583"/>
  <c r="AX6" i="583"/>
  <c r="AZ6" i="583" s="1"/>
  <c r="CA6" i="583" s="1"/>
  <c r="AO6" i="583"/>
  <c r="AO191" i="583" s="1"/>
  <c r="R6" i="583"/>
  <c r="Q6" i="583"/>
  <c r="A6" i="583"/>
  <c r="BY5" i="583"/>
  <c r="BX5" i="583"/>
  <c r="BW5" i="583"/>
  <c r="BV5" i="583"/>
  <c r="BU5" i="583"/>
  <c r="BT5" i="583"/>
  <c r="BZ5" i="583" s="1"/>
  <c r="AY5" i="583"/>
  <c r="AZ5" i="583" s="1"/>
  <c r="CA5" i="583" s="1"/>
  <c r="AX5" i="583"/>
  <c r="AN5" i="583"/>
  <c r="H5" i="583"/>
  <c r="G5" i="583"/>
  <c r="A5" i="583"/>
  <c r="BY4" i="583"/>
  <c r="BX4" i="583"/>
  <c r="BW4" i="583"/>
  <c r="BV4" i="583"/>
  <c r="BU4" i="583"/>
  <c r="BT4" i="583"/>
  <c r="AY4" i="583"/>
  <c r="AX4" i="583"/>
  <c r="AN4" i="583"/>
  <c r="A4" i="583"/>
  <c r="N151" i="570"/>
  <c r="N152" i="570"/>
  <c r="N153" i="570"/>
  <c r="N154" i="570"/>
  <c r="N155" i="570"/>
  <c r="N156" i="570"/>
  <c r="N157" i="570"/>
  <c r="N158" i="570"/>
  <c r="N159" i="570"/>
  <c r="N160" i="570"/>
  <c r="N161" i="570"/>
  <c r="N162" i="570"/>
  <c r="N163" i="570"/>
  <c r="N164" i="570"/>
  <c r="N165" i="570"/>
  <c r="N166" i="570"/>
  <c r="N167" i="570"/>
  <c r="N168" i="570"/>
  <c r="N150" i="570"/>
  <c r="H169" i="570"/>
  <c r="BA168" i="570"/>
  <c r="AZ168" i="570"/>
  <c r="AY168" i="570"/>
  <c r="AX168" i="570"/>
  <c r="AW168" i="570"/>
  <c r="AV168" i="570"/>
  <c r="AU168" i="570"/>
  <c r="AT168" i="570"/>
  <c r="AS168" i="570"/>
  <c r="AQ168" i="570"/>
  <c r="AP168" i="570"/>
  <c r="AO168" i="570"/>
  <c r="AN168" i="570"/>
  <c r="AM168" i="570"/>
  <c r="AL168" i="570"/>
  <c r="AJ168" i="570"/>
  <c r="AI168" i="570"/>
  <c r="AH168" i="570"/>
  <c r="AG168" i="570"/>
  <c r="AF168" i="570"/>
  <c r="AE168" i="570"/>
  <c r="AD168" i="570"/>
  <c r="AA168" i="570"/>
  <c r="Z168" i="570"/>
  <c r="Y168" i="570"/>
  <c r="X168" i="570"/>
  <c r="W168" i="570"/>
  <c r="V168" i="570"/>
  <c r="U168" i="570"/>
  <c r="T168" i="570"/>
  <c r="H161" i="570"/>
  <c r="H152" i="570"/>
  <c r="AB158" i="570"/>
  <c r="AB153" i="570"/>
  <c r="AK151" i="570"/>
  <c r="AK168" i="570"/>
  <c r="AR150" i="570"/>
  <c r="AR168" i="570"/>
  <c r="AZ32" i="583"/>
  <c r="CA32" i="583"/>
  <c r="X42" i="583"/>
  <c r="CA180" i="583"/>
  <c r="AZ36" i="583"/>
  <c r="CA36" i="583" s="1"/>
  <c r="AZ153" i="583"/>
  <c r="CA153" i="583" s="1"/>
  <c r="CA159" i="583"/>
  <c r="AB155" i="570"/>
  <c r="AZ139" i="583"/>
  <c r="CA139" i="583" s="1"/>
  <c r="AZ151" i="583"/>
  <c r="CA151" i="583"/>
  <c r="AZ115" i="583"/>
  <c r="CA115" i="583" s="1"/>
  <c r="AZ113" i="583"/>
  <c r="CA113" i="583" s="1"/>
  <c r="AZ21" i="583"/>
  <c r="CA21" i="583"/>
  <c r="AZ166" i="583"/>
  <c r="CA166" i="583"/>
  <c r="AZ30" i="583"/>
  <c r="CA30" i="583" s="1"/>
  <c r="AZ45" i="583"/>
  <c r="CA45" i="583"/>
  <c r="AZ67" i="583"/>
  <c r="CA67" i="583" s="1"/>
  <c r="AZ94" i="583"/>
  <c r="CA94" i="583" s="1"/>
  <c r="CA100" i="583"/>
  <c r="BZ130" i="583"/>
  <c r="CB130" i="583" s="1"/>
  <c r="AZ154" i="583"/>
  <c r="CA154" i="583" s="1"/>
  <c r="AZ169" i="583"/>
  <c r="CA169" i="583"/>
  <c r="AZ178" i="583"/>
  <c r="CA178" i="583"/>
  <c r="AZ18" i="583"/>
  <c r="CA18" i="583" s="1"/>
  <c r="AZ20" i="583"/>
  <c r="CA20" i="583"/>
  <c r="AZ56" i="583"/>
  <c r="CA56" i="583"/>
  <c r="AZ91" i="583"/>
  <c r="CA91" i="583"/>
  <c r="AZ93" i="583"/>
  <c r="CA93" i="583" s="1"/>
  <c r="BZ141" i="583"/>
  <c r="AZ8" i="583"/>
  <c r="CA8" i="583" s="1"/>
  <c r="AZ23" i="583"/>
  <c r="CA23" i="583"/>
  <c r="AZ65" i="583"/>
  <c r="CA65" i="583" s="1"/>
  <c r="AZ85" i="583"/>
  <c r="CA85" i="583" s="1"/>
  <c r="AZ87" i="583"/>
  <c r="CA87" i="583" s="1"/>
  <c r="AZ99" i="583"/>
  <c r="CA99" i="583" s="1"/>
  <c r="CA103" i="583"/>
  <c r="AZ107" i="583"/>
  <c r="CA107" i="583"/>
  <c r="AZ27" i="583"/>
  <c r="CA27" i="583"/>
  <c r="AZ120" i="583"/>
  <c r="CA120" i="583"/>
  <c r="AZ145" i="583"/>
  <c r="CA145" i="583" s="1"/>
  <c r="AZ175" i="583"/>
  <c r="CA175" i="583" s="1"/>
  <c r="AZ184" i="583"/>
  <c r="CA184" i="583" s="1"/>
  <c r="AZ42" i="583"/>
  <c r="CA42" i="583" s="1"/>
  <c r="BZ68" i="583"/>
  <c r="AZ111" i="583"/>
  <c r="CA111" i="583" s="1"/>
  <c r="AZ158" i="583"/>
  <c r="CA158" i="583"/>
  <c r="AZ167" i="583"/>
  <c r="CA167" i="583"/>
  <c r="AZ17" i="583"/>
  <c r="CA17" i="583" s="1"/>
  <c r="AZ26" i="583"/>
  <c r="CA26" i="583" s="1"/>
  <c r="AZ41" i="583"/>
  <c r="CA41" i="583" s="1"/>
  <c r="AZ79" i="583"/>
  <c r="CA79" i="583" s="1"/>
  <c r="AZ117" i="583"/>
  <c r="CA117" i="583" s="1"/>
  <c r="CA35" i="583"/>
  <c r="BZ57" i="583"/>
  <c r="BZ77" i="583"/>
  <c r="CB77" i="583" s="1"/>
  <c r="AZ130" i="583"/>
  <c r="CA130" i="583" s="1"/>
  <c r="AZ157" i="583"/>
  <c r="CA157" i="583" s="1"/>
  <c r="AZ188" i="583"/>
  <c r="CA188" i="583"/>
  <c r="AZ55" i="583"/>
  <c r="CA55" i="583" s="1"/>
  <c r="AZ33" i="583"/>
  <c r="CA33" i="583" s="1"/>
  <c r="AZ7" i="583"/>
  <c r="CA7" i="583" s="1"/>
  <c r="CA29" i="583"/>
  <c r="AZ76" i="583"/>
  <c r="CA76" i="583"/>
  <c r="AZ170" i="583"/>
  <c r="CA170" i="583" s="1"/>
  <c r="AZ10" i="583"/>
  <c r="CA10" i="583" s="1"/>
  <c r="BZ91" i="583"/>
  <c r="AZ95" i="583"/>
  <c r="CA95" i="583"/>
  <c r="AZ101" i="583"/>
  <c r="CA101" i="583" s="1"/>
  <c r="AZ104" i="583"/>
  <c r="CA104" i="583" s="1"/>
  <c r="CA9" i="583"/>
  <c r="BZ36" i="583"/>
  <c r="CB36" i="583" s="1"/>
  <c r="AZ39" i="583"/>
  <c r="CA39" i="583" s="1"/>
  <c r="AZ47" i="583"/>
  <c r="CA47" i="583" s="1"/>
  <c r="AZ51" i="583"/>
  <c r="CA51" i="583"/>
  <c r="AZ82" i="583"/>
  <c r="CA82" i="583"/>
  <c r="AZ88" i="583"/>
  <c r="CA88" i="583" s="1"/>
  <c r="BZ90" i="583"/>
  <c r="BZ92" i="583"/>
  <c r="AZ96" i="583"/>
  <c r="CA96" i="583" s="1"/>
  <c r="AZ114" i="583"/>
  <c r="CA114" i="583" s="1"/>
  <c r="AZ127" i="583"/>
  <c r="CA127" i="583"/>
  <c r="AZ147" i="583"/>
  <c r="CA147" i="583" s="1"/>
  <c r="BZ186" i="583"/>
  <c r="CB186" i="583" s="1"/>
  <c r="AZ53" i="583"/>
  <c r="CA53" i="583" s="1"/>
  <c r="BZ58" i="583"/>
  <c r="CB58" i="583" s="1"/>
  <c r="BZ65" i="583"/>
  <c r="CB65" i="583" s="1"/>
  <c r="BZ72" i="583"/>
  <c r="CB72" i="583" s="1"/>
  <c r="BZ106" i="583"/>
  <c r="CB106" i="583" s="1"/>
  <c r="BZ119" i="583"/>
  <c r="AZ124" i="583"/>
  <c r="CA124" i="583" s="1"/>
  <c r="BZ147" i="583"/>
  <c r="AZ164" i="583"/>
  <c r="CA164" i="583"/>
  <c r="AZ109" i="583"/>
  <c r="CA109" i="583"/>
  <c r="AZ126" i="583"/>
  <c r="CA126" i="583" s="1"/>
  <c r="CA171" i="583"/>
  <c r="BZ134" i="583"/>
  <c r="CB134" i="583" s="1"/>
  <c r="BZ153" i="583"/>
  <c r="CB153" i="583"/>
  <c r="BZ154" i="583"/>
  <c r="CB154" i="583" s="1"/>
  <c r="AZ78" i="583"/>
  <c r="CA78" i="583" s="1"/>
  <c r="BZ97" i="583"/>
  <c r="AZ106" i="583"/>
  <c r="CA106" i="583" s="1"/>
  <c r="BZ133" i="583"/>
  <c r="AZ135" i="583"/>
  <c r="CA135" i="583" s="1"/>
  <c r="AZ149" i="583"/>
  <c r="CA149" i="583"/>
  <c r="AZ187" i="583"/>
  <c r="CA187" i="583" s="1"/>
  <c r="BZ23" i="583"/>
  <c r="CB23" i="583" s="1"/>
  <c r="AZ38" i="583"/>
  <c r="CA38" i="583" s="1"/>
  <c r="AZ59" i="583"/>
  <c r="CA59" i="583" s="1"/>
  <c r="BZ98" i="583"/>
  <c r="CB98" i="583" s="1"/>
  <c r="AN191" i="583"/>
  <c r="AZ14" i="583"/>
  <c r="CA14" i="583"/>
  <c r="AZ19" i="583"/>
  <c r="CA19" i="583"/>
  <c r="AZ58" i="583"/>
  <c r="CA58" i="583" s="1"/>
  <c r="AZ108" i="583"/>
  <c r="CA108" i="583"/>
  <c r="AZ123" i="583"/>
  <c r="CA123" i="583" s="1"/>
  <c r="AZ132" i="583"/>
  <c r="CA132" i="583"/>
  <c r="BV148" i="583"/>
  <c r="AZ160" i="583"/>
  <c r="CA160" i="583" s="1"/>
  <c r="AZ163" i="583"/>
  <c r="CA163" i="583"/>
  <c r="AZ12" i="583"/>
  <c r="CA12" i="583" s="1"/>
  <c r="BZ22" i="583"/>
  <c r="CB22" i="583" s="1"/>
  <c r="AZ48" i="583"/>
  <c r="CA48" i="583" s="1"/>
  <c r="CB48" i="583" s="1"/>
  <c r="AZ50" i="583"/>
  <c r="CA50" i="583" s="1"/>
  <c r="AZ71" i="583"/>
  <c r="CA71" i="583" s="1"/>
  <c r="AZ131" i="583"/>
  <c r="CA131" i="583"/>
  <c r="BZ30" i="583"/>
  <c r="CB30" i="583" s="1"/>
  <c r="BZ55" i="583"/>
  <c r="CB55" i="583" s="1"/>
  <c r="BZ56" i="583"/>
  <c r="CB56" i="583" s="1"/>
  <c r="AZ141" i="583"/>
  <c r="CA141" i="583" s="1"/>
  <c r="CB125" i="583"/>
  <c r="BZ6" i="583"/>
  <c r="CB6" i="583" s="1"/>
  <c r="CB51" i="583"/>
  <c r="BZ62" i="583"/>
  <c r="X35" i="583"/>
  <c r="AY116" i="583"/>
  <c r="AZ116" i="583"/>
  <c r="CA116" i="583"/>
  <c r="BZ124" i="583"/>
  <c r="CB124" i="583" s="1"/>
  <c r="AZ143" i="583"/>
  <c r="CA143" i="583" s="1"/>
  <c r="BZ96" i="583"/>
  <c r="BZ162" i="583"/>
  <c r="CB162" i="583"/>
  <c r="AZ74" i="583"/>
  <c r="CA74" i="583" s="1"/>
  <c r="AI191" i="583"/>
  <c r="BZ95" i="583"/>
  <c r="BZ118" i="583"/>
  <c r="CB118" i="583" s="1"/>
  <c r="BZ165" i="583"/>
  <c r="AZ172" i="583"/>
  <c r="CA172" i="583" s="1"/>
  <c r="BZ74" i="583"/>
  <c r="BZ146" i="583"/>
  <c r="CB146" i="583" s="1"/>
  <c r="BZ150" i="583"/>
  <c r="BZ161" i="583"/>
  <c r="BZ164" i="583"/>
  <c r="CB164" i="583" s="1"/>
  <c r="BV131" i="583"/>
  <c r="BZ173" i="583"/>
  <c r="CB173" i="583" s="1"/>
  <c r="AL191" i="583"/>
  <c r="AZ182" i="583"/>
  <c r="CA182" i="583" s="1"/>
  <c r="CB182" i="583" s="1"/>
  <c r="BZ167" i="583"/>
  <c r="CB68" i="583"/>
  <c r="CB99" i="583"/>
  <c r="CB143" i="583"/>
  <c r="CB96" i="583"/>
  <c r="CB62" i="583"/>
  <c r="CB81" i="583"/>
  <c r="CB14" i="583"/>
  <c r="V205" i="8"/>
  <c r="CE442" i="397"/>
  <c r="BZ442" i="397"/>
  <c r="CC442" i="397"/>
  <c r="CD442" i="397"/>
  <c r="CB442" i="397"/>
  <c r="CA442" i="397"/>
  <c r="BZ438" i="397"/>
  <c r="R438" i="397"/>
  <c r="Q438" i="397"/>
  <c r="CC438" i="397"/>
  <c r="CD438" i="397"/>
  <c r="CE438" i="397"/>
  <c r="BE438" i="397"/>
  <c r="N124" i="570"/>
  <c r="N125" i="570"/>
  <c r="N122" i="570" s="1"/>
  <c r="N126" i="570"/>
  <c r="N127" i="570"/>
  <c r="N128" i="570"/>
  <c r="N129" i="570"/>
  <c r="N130" i="570"/>
  <c r="N131" i="570"/>
  <c r="N132" i="570"/>
  <c r="N133" i="570"/>
  <c r="N134" i="570"/>
  <c r="N135" i="570"/>
  <c r="N123" i="570"/>
  <c r="H136" i="570"/>
  <c r="BC135" i="570"/>
  <c r="BB135" i="570"/>
  <c r="BA135" i="570"/>
  <c r="AY135" i="570"/>
  <c r="AX135" i="570"/>
  <c r="AW135" i="570"/>
  <c r="AV135" i="570"/>
  <c r="AU135" i="570"/>
  <c r="AT135" i="570"/>
  <c r="AS135" i="570"/>
  <c r="AR135" i="570"/>
  <c r="AQ135" i="570"/>
  <c r="AP135" i="570"/>
  <c r="AO135" i="570"/>
  <c r="AN135" i="570"/>
  <c r="AM135" i="570"/>
  <c r="AL135" i="570"/>
  <c r="AK135" i="570"/>
  <c r="AJ135" i="570"/>
  <c r="AI135" i="570"/>
  <c r="AH135" i="570"/>
  <c r="AF135" i="570"/>
  <c r="AE135" i="570"/>
  <c r="AD135" i="570"/>
  <c r="AA135" i="570"/>
  <c r="Z135" i="570"/>
  <c r="Y135" i="570"/>
  <c r="W135" i="570"/>
  <c r="V135" i="570"/>
  <c r="U135" i="570"/>
  <c r="T135" i="570"/>
  <c r="H133" i="570"/>
  <c r="H134" i="570" s="1"/>
  <c r="X133" i="570"/>
  <c r="X135" i="570" s="1"/>
  <c r="AC132" i="570"/>
  <c r="AC135" i="570" s="1"/>
  <c r="AB131" i="570"/>
  <c r="AB130" i="570"/>
  <c r="AC129" i="570"/>
  <c r="AB128" i="570"/>
  <c r="AC127" i="570"/>
  <c r="AB126" i="570"/>
  <c r="AB125" i="570"/>
  <c r="AG124" i="570"/>
  <c r="AG135" i="570" s="1"/>
  <c r="AZ123" i="570"/>
  <c r="AZ135" i="570" s="1"/>
  <c r="H137" i="570"/>
  <c r="V206" i="8"/>
  <c r="V204" i="8"/>
  <c r="H110" i="570"/>
  <c r="H105" i="570"/>
  <c r="N100" i="570"/>
  <c r="N101" i="570"/>
  <c r="N102" i="570"/>
  <c r="N103" i="570"/>
  <c r="N104" i="570"/>
  <c r="N105" i="570"/>
  <c r="N106" i="570"/>
  <c r="N107" i="570"/>
  <c r="N99" i="570"/>
  <c r="N98" i="570" s="1"/>
  <c r="H108" i="570"/>
  <c r="BA107" i="570"/>
  <c r="AZ107" i="570"/>
  <c r="AX107" i="570"/>
  <c r="AW107" i="570"/>
  <c r="AV107" i="570"/>
  <c r="AU107" i="570"/>
  <c r="AT107" i="570"/>
  <c r="AS107" i="570"/>
  <c r="AR107" i="570"/>
  <c r="AQ107" i="570"/>
  <c r="AP107" i="570"/>
  <c r="AO107" i="570"/>
  <c r="AN107" i="570"/>
  <c r="AM107" i="570"/>
  <c r="AL107" i="570"/>
  <c r="AK107" i="570"/>
  <c r="AJ107" i="570"/>
  <c r="AI107" i="570"/>
  <c r="AH107" i="570"/>
  <c r="AG107" i="570"/>
  <c r="AF107" i="570"/>
  <c r="AE107" i="570"/>
  <c r="AD107" i="570"/>
  <c r="AC107" i="570"/>
  <c r="AB107" i="570"/>
  <c r="AA107" i="570"/>
  <c r="Z107" i="570"/>
  <c r="X107" i="570"/>
  <c r="W107" i="570"/>
  <c r="V107" i="570"/>
  <c r="U107" i="570"/>
  <c r="T107" i="570"/>
  <c r="Y104" i="570"/>
  <c r="Y103" i="570"/>
  <c r="Y102" i="570"/>
  <c r="Y101" i="570"/>
  <c r="AY100" i="570"/>
  <c r="AY107" i="570" s="1"/>
  <c r="Y99" i="570"/>
  <c r="N86" i="570"/>
  <c r="N85" i="570"/>
  <c r="N84" i="570"/>
  <c r="N83" i="570"/>
  <c r="N82" i="570"/>
  <c r="N81" i="570" s="1"/>
  <c r="BA86" i="570"/>
  <c r="AZ86" i="570"/>
  <c r="AY86" i="570"/>
  <c r="AX86" i="570"/>
  <c r="AW86" i="570"/>
  <c r="AV86" i="570"/>
  <c r="AU86" i="570"/>
  <c r="AT86" i="570"/>
  <c r="AS86" i="570"/>
  <c r="AR86" i="570"/>
  <c r="AQ86" i="570"/>
  <c r="AP86" i="570"/>
  <c r="AO86" i="570"/>
  <c r="AN86" i="570"/>
  <c r="AM86" i="570"/>
  <c r="AL86" i="570"/>
  <c r="AK86" i="570"/>
  <c r="AJ86" i="570"/>
  <c r="AI86" i="570"/>
  <c r="AH86" i="570"/>
  <c r="AG86" i="570"/>
  <c r="AF86" i="570"/>
  <c r="AE86" i="570"/>
  <c r="AD86" i="570"/>
  <c r="AB86" i="570"/>
  <c r="AA86" i="570"/>
  <c r="Z86" i="570"/>
  <c r="Y86" i="570"/>
  <c r="X86" i="570"/>
  <c r="W86" i="570"/>
  <c r="V86" i="570"/>
  <c r="U86" i="570"/>
  <c r="T86" i="570"/>
  <c r="H85" i="570"/>
  <c r="AC84" i="570"/>
  <c r="AC83" i="570"/>
  <c r="AC82" i="570"/>
  <c r="L75" i="570"/>
  <c r="AC86" i="570"/>
  <c r="H69" i="570"/>
  <c r="H63" i="570"/>
  <c r="H64" i="570"/>
  <c r="Y57" i="570"/>
  <c r="Y60" i="570"/>
  <c r="Z57" i="570"/>
  <c r="N41" i="570"/>
  <c r="N42" i="570"/>
  <c r="N43" i="570"/>
  <c r="N44" i="570"/>
  <c r="N45" i="570"/>
  <c r="N46" i="570"/>
  <c r="N47" i="570"/>
  <c r="N48" i="570"/>
  <c r="N49" i="570"/>
  <c r="N50" i="570"/>
  <c r="N51" i="570"/>
  <c r="N52" i="570"/>
  <c r="N53" i="570"/>
  <c r="N54" i="570"/>
  <c r="N55" i="570"/>
  <c r="N56" i="570"/>
  <c r="N57" i="570"/>
  <c r="N58" i="570"/>
  <c r="N59" i="570"/>
  <c r="N60" i="570"/>
  <c r="N61" i="570"/>
  <c r="N62" i="570"/>
  <c r="N63" i="570"/>
  <c r="N64" i="570"/>
  <c r="N65" i="570"/>
  <c r="N66" i="570"/>
  <c r="N40" i="570"/>
  <c r="H67" i="570"/>
  <c r="BA66" i="570"/>
  <c r="AZ66" i="570"/>
  <c r="AY66" i="570"/>
  <c r="AX66" i="570"/>
  <c r="AW66" i="570"/>
  <c r="AV66" i="570"/>
  <c r="AU66" i="570"/>
  <c r="AT66" i="570"/>
  <c r="AS66" i="570"/>
  <c r="AQ66" i="570"/>
  <c r="AP66" i="570"/>
  <c r="AO66" i="570"/>
  <c r="AN66" i="570"/>
  <c r="AM66" i="570"/>
  <c r="AL66" i="570"/>
  <c r="AK66" i="570"/>
  <c r="AI66" i="570"/>
  <c r="AH66" i="570"/>
  <c r="AG66" i="570"/>
  <c r="AF66" i="570"/>
  <c r="AE66" i="570"/>
  <c r="AD66" i="570"/>
  <c r="AC66" i="570"/>
  <c r="AA66" i="570"/>
  <c r="X66" i="570"/>
  <c r="W66" i="570"/>
  <c r="V66" i="570"/>
  <c r="U66" i="570"/>
  <c r="T66" i="570"/>
  <c r="H59" i="570"/>
  <c r="Y55" i="570"/>
  <c r="Z52" i="570"/>
  <c r="Y52" i="570"/>
  <c r="Z49" i="570"/>
  <c r="Z66" i="570" s="1"/>
  <c r="Y49" i="570"/>
  <c r="Y47" i="570"/>
  <c r="AB46" i="570"/>
  <c r="AB66" i="570"/>
  <c r="Y44" i="570"/>
  <c r="H43" i="570"/>
  <c r="AJ42" i="570"/>
  <c r="AJ66" i="570"/>
  <c r="AR41" i="570"/>
  <c r="AR66" i="570" s="1"/>
  <c r="Y40" i="570"/>
  <c r="L33" i="570"/>
  <c r="H65" i="570"/>
  <c r="Y63" i="570"/>
  <c r="H22" i="570"/>
  <c r="H12" i="570"/>
  <c r="H14" i="570"/>
  <c r="H16" i="570" s="1"/>
  <c r="R433" i="397"/>
  <c r="Q433" i="397"/>
  <c r="BE433" i="397"/>
  <c r="BF433" i="397" s="1"/>
  <c r="CG433" i="397" s="1"/>
  <c r="H27" i="570"/>
  <c r="N24" i="570"/>
  <c r="N23" i="570"/>
  <c r="N22" i="570"/>
  <c r="N21" i="570"/>
  <c r="N20" i="570"/>
  <c r="N19" i="570"/>
  <c r="N9" i="570" s="1"/>
  <c r="N18" i="570"/>
  <c r="N17" i="570"/>
  <c r="N16" i="570"/>
  <c r="N15" i="570"/>
  <c r="N14" i="570"/>
  <c r="N13" i="570"/>
  <c r="N12" i="570"/>
  <c r="N11" i="570"/>
  <c r="N10" i="570"/>
  <c r="H25" i="570"/>
  <c r="BA24" i="570"/>
  <c r="AZ24" i="570"/>
  <c r="AY24" i="570"/>
  <c r="AX24" i="570"/>
  <c r="AW24" i="570"/>
  <c r="AV24" i="570"/>
  <c r="AU24" i="570"/>
  <c r="AT24" i="570"/>
  <c r="AS24" i="570"/>
  <c r="AR24" i="570"/>
  <c r="AQ24" i="570"/>
  <c r="AO24" i="570"/>
  <c r="AN24" i="570"/>
  <c r="AM24" i="570"/>
  <c r="AL24" i="570"/>
  <c r="AK24" i="570"/>
  <c r="AJ24" i="570"/>
  <c r="AI24" i="570"/>
  <c r="AH24" i="570"/>
  <c r="AG24" i="570"/>
  <c r="AF24" i="570"/>
  <c r="AE24" i="570"/>
  <c r="AD24" i="570"/>
  <c r="AA24" i="570"/>
  <c r="Z24" i="570"/>
  <c r="Y24" i="570"/>
  <c r="W24" i="570"/>
  <c r="V24" i="570"/>
  <c r="U24" i="570"/>
  <c r="T24" i="570"/>
  <c r="AB22" i="570"/>
  <c r="AB24" i="570" s="1"/>
  <c r="AC21" i="570"/>
  <c r="AB21" i="570"/>
  <c r="AC20" i="570"/>
  <c r="AC19" i="570"/>
  <c r="AC17" i="570"/>
  <c r="AC15" i="570"/>
  <c r="X13" i="570"/>
  <c r="X24" i="570"/>
  <c r="AC11" i="570"/>
  <c r="AC10" i="570"/>
  <c r="AC24" i="570" s="1"/>
  <c r="AP14" i="570"/>
  <c r="AP12" i="570"/>
  <c r="H470" i="541"/>
  <c r="H472" i="541" s="1"/>
  <c r="H474" i="541"/>
  <c r="H476" i="541" s="1"/>
  <c r="J483" i="541"/>
  <c r="H467" i="541"/>
  <c r="H479" i="541"/>
  <c r="AC479" i="541" s="1"/>
  <c r="N507" i="541"/>
  <c r="N506" i="541"/>
  <c r="N505" i="541"/>
  <c r="N504" i="541"/>
  <c r="N503" i="541"/>
  <c r="N502" i="541"/>
  <c r="N501" i="541"/>
  <c r="N500" i="541"/>
  <c r="N499" i="541"/>
  <c r="N496" i="541" s="1"/>
  <c r="N498" i="541"/>
  <c r="N497" i="541"/>
  <c r="H508" i="541"/>
  <c r="BC507" i="541"/>
  <c r="BB507" i="541"/>
  <c r="BA507" i="541"/>
  <c r="AZ507" i="541"/>
  <c r="AX507" i="541"/>
  <c r="AW507" i="541"/>
  <c r="AV507" i="541"/>
  <c r="AU507" i="541"/>
  <c r="AT507" i="541"/>
  <c r="AS507" i="541"/>
  <c r="AR507" i="541"/>
  <c r="AQ507" i="541"/>
  <c r="AP507" i="541"/>
  <c r="AO507" i="541"/>
  <c r="AN507" i="541"/>
  <c r="AM507" i="541"/>
  <c r="AL507" i="541"/>
  <c r="AK507" i="541"/>
  <c r="AJ507" i="541"/>
  <c r="AI507" i="541"/>
  <c r="AH507" i="541"/>
  <c r="AG507" i="541"/>
  <c r="AF507" i="541"/>
  <c r="AE507" i="541"/>
  <c r="AD507" i="541"/>
  <c r="AC507" i="541"/>
  <c r="AA507" i="541"/>
  <c r="Z507" i="541"/>
  <c r="Y507" i="541"/>
  <c r="W507" i="541"/>
  <c r="V507" i="541"/>
  <c r="U507" i="541"/>
  <c r="H505" i="541"/>
  <c r="X505" i="541" s="1"/>
  <c r="X507" i="541" s="1"/>
  <c r="H506" i="541"/>
  <c r="H509" i="541" s="1"/>
  <c r="T504" i="541"/>
  <c r="T507" i="541" s="1"/>
  <c r="AY503" i="541"/>
  <c r="AY507" i="541"/>
  <c r="AB502" i="541"/>
  <c r="AB501" i="541"/>
  <c r="AB500" i="541"/>
  <c r="AB499" i="541"/>
  <c r="AB498" i="541"/>
  <c r="AB497" i="541"/>
  <c r="AB507" i="541" s="1"/>
  <c r="H484" i="541"/>
  <c r="N481" i="541"/>
  <c r="N480" i="541"/>
  <c r="N479" i="541"/>
  <c r="N478" i="541"/>
  <c r="N477" i="541"/>
  <c r="N476" i="541"/>
  <c r="N475" i="541"/>
  <c r="N474" i="541"/>
  <c r="N473" i="541"/>
  <c r="N472" i="541"/>
  <c r="N471" i="541"/>
  <c r="N470" i="541"/>
  <c r="N469" i="541"/>
  <c r="N468" i="541"/>
  <c r="N467" i="541"/>
  <c r="N466" i="541"/>
  <c r="N465" i="541"/>
  <c r="H482" i="541"/>
  <c r="BA481" i="541"/>
  <c r="AZ481" i="541"/>
  <c r="AY481" i="541"/>
  <c r="AX481" i="541"/>
  <c r="AW481" i="541"/>
  <c r="AV481" i="541"/>
  <c r="AS481" i="541"/>
  <c r="AR481" i="541"/>
  <c r="AQ481" i="541"/>
  <c r="AP481" i="541"/>
  <c r="AO481" i="541"/>
  <c r="AN481" i="541"/>
  <c r="AM481" i="541"/>
  <c r="AL481" i="541"/>
  <c r="AK481" i="541"/>
  <c r="AJ481" i="541"/>
  <c r="AI481" i="541"/>
  <c r="AH481" i="541"/>
  <c r="AG481" i="541"/>
  <c r="AF481" i="541"/>
  <c r="AE481" i="541"/>
  <c r="AD481" i="541"/>
  <c r="AB481" i="541"/>
  <c r="AA481" i="541"/>
  <c r="Z481" i="541"/>
  <c r="Y481" i="541"/>
  <c r="W481" i="541"/>
  <c r="V481" i="541"/>
  <c r="U481" i="541"/>
  <c r="T481" i="541"/>
  <c r="AC478" i="541"/>
  <c r="AC477" i="541"/>
  <c r="AC475" i="541"/>
  <c r="X473" i="541"/>
  <c r="X471" i="541"/>
  <c r="X481" i="541"/>
  <c r="AU470" i="541"/>
  <c r="AC469" i="541"/>
  <c r="H468" i="541"/>
  <c r="AT468" i="541" s="1"/>
  <c r="AC466" i="541"/>
  <c r="AC465" i="541"/>
  <c r="CC447" i="397"/>
  <c r="CD447" i="397"/>
  <c r="AU474" i="541"/>
  <c r="AU476" i="541"/>
  <c r="H480" i="541"/>
  <c r="AT467" i="541"/>
  <c r="AT481" i="541" s="1"/>
  <c r="AU472" i="541"/>
  <c r="AU481" i="541" s="1"/>
  <c r="Q117" i="202"/>
  <c r="R117" i="202"/>
  <c r="S117" i="202"/>
  <c r="T117" i="202"/>
  <c r="U117" i="202"/>
  <c r="V117" i="202"/>
  <c r="W117" i="202"/>
  <c r="X117" i="202"/>
  <c r="Y117" i="202"/>
  <c r="Z117" i="202"/>
  <c r="AA117" i="202"/>
  <c r="AB117" i="202"/>
  <c r="AC117" i="202"/>
  <c r="AD117" i="202"/>
  <c r="AE117" i="202"/>
  <c r="AF117" i="202"/>
  <c r="AG117" i="202"/>
  <c r="AH117" i="202"/>
  <c r="AI117" i="202"/>
  <c r="AJ117" i="202"/>
  <c r="AK117" i="202"/>
  <c r="AL117" i="202"/>
  <c r="AM117" i="202"/>
  <c r="AN117" i="202"/>
  <c r="AO117" i="202"/>
  <c r="AP117" i="202"/>
  <c r="AQ117" i="202"/>
  <c r="AR117" i="202"/>
  <c r="AS117" i="202"/>
  <c r="AT117" i="202"/>
  <c r="AU117" i="202"/>
  <c r="AV117" i="202"/>
  <c r="AW117" i="202"/>
  <c r="AX117" i="202"/>
  <c r="AY117" i="202"/>
  <c r="BE117" i="202"/>
  <c r="BF117" i="202"/>
  <c r="P117" i="202"/>
  <c r="R317" i="397"/>
  <c r="Q317" i="397"/>
  <c r="R447" i="397"/>
  <c r="Q447" i="397"/>
  <c r="H439" i="541"/>
  <c r="AY439" i="541" s="1"/>
  <c r="H410" i="541"/>
  <c r="AX410" i="541" s="1"/>
  <c r="N439" i="541"/>
  <c r="N438" i="541"/>
  <c r="Y445" i="541"/>
  <c r="N447" i="541"/>
  <c r="N446" i="541"/>
  <c r="N445" i="541"/>
  <c r="N444" i="541"/>
  <c r="N443" i="541"/>
  <c r="N442" i="541"/>
  <c r="N441" i="541"/>
  <c r="N440" i="541"/>
  <c r="H452" i="541"/>
  <c r="H447" i="541"/>
  <c r="H448" i="541" s="1"/>
  <c r="Y447" i="541"/>
  <c r="N449" i="541"/>
  <c r="N448" i="541"/>
  <c r="H450" i="541"/>
  <c r="BA449" i="541"/>
  <c r="AZ449" i="541"/>
  <c r="AX449" i="541"/>
  <c r="AW449" i="541"/>
  <c r="AV449" i="541"/>
  <c r="AU449" i="541"/>
  <c r="AT449" i="541"/>
  <c r="AS449" i="541"/>
  <c r="AR449" i="541"/>
  <c r="AQ449" i="541"/>
  <c r="AP449" i="541"/>
  <c r="AO449" i="541"/>
  <c r="AN449" i="541"/>
  <c r="AM449" i="541"/>
  <c r="AL449" i="541"/>
  <c r="AK449" i="541"/>
  <c r="AJ449" i="541"/>
  <c r="AI449" i="541"/>
  <c r="AH449" i="541"/>
  <c r="AG449" i="541"/>
  <c r="AF449" i="541"/>
  <c r="AE449" i="541"/>
  <c r="AD449" i="541"/>
  <c r="AC449" i="541"/>
  <c r="AB449" i="541"/>
  <c r="AA449" i="541"/>
  <c r="X449" i="541"/>
  <c r="W449" i="541"/>
  <c r="V449" i="541"/>
  <c r="U449" i="541"/>
  <c r="T449" i="541"/>
  <c r="Y446" i="541"/>
  <c r="Z444" i="541"/>
  <c r="Y444" i="541"/>
  <c r="Z442" i="541"/>
  <c r="Y442" i="541"/>
  <c r="Z440" i="541"/>
  <c r="Z449" i="541" s="1"/>
  <c r="Y440" i="541"/>
  <c r="Y438" i="541"/>
  <c r="Y449" i="541" s="1"/>
  <c r="H425" i="541"/>
  <c r="H420" i="541"/>
  <c r="AC420" i="541" s="1"/>
  <c r="N422" i="541"/>
  <c r="N421" i="541"/>
  <c r="N420" i="541"/>
  <c r="N419" i="541"/>
  <c r="N418" i="541"/>
  <c r="N417" i="541"/>
  <c r="N416" i="541"/>
  <c r="N415" i="541"/>
  <c r="N414" i="541"/>
  <c r="N413" i="541"/>
  <c r="N412" i="541"/>
  <c r="N411" i="541"/>
  <c r="N410" i="541"/>
  <c r="N409" i="541"/>
  <c r="N408" i="541"/>
  <c r="H423" i="541"/>
  <c r="BA422" i="541"/>
  <c r="AZ422" i="541"/>
  <c r="AY422" i="541"/>
  <c r="AW422" i="541"/>
  <c r="AV422" i="541"/>
  <c r="AU422" i="541"/>
  <c r="AT422" i="541"/>
  <c r="AS422" i="541"/>
  <c r="AR422" i="541"/>
  <c r="AQ422" i="541"/>
  <c r="AP422" i="541"/>
  <c r="AO422" i="541"/>
  <c r="AN422" i="541"/>
  <c r="AM422" i="541"/>
  <c r="AL422" i="541"/>
  <c r="AK422" i="541"/>
  <c r="AJ422" i="541"/>
  <c r="AI422" i="541"/>
  <c r="AH422" i="541"/>
  <c r="AG422" i="541"/>
  <c r="AF422" i="541"/>
  <c r="AE422" i="541"/>
  <c r="AD422" i="541"/>
  <c r="AA422" i="541"/>
  <c r="Z422" i="541"/>
  <c r="Y422" i="541"/>
  <c r="W422" i="541"/>
  <c r="V422" i="541"/>
  <c r="U422" i="541"/>
  <c r="T422" i="541"/>
  <c r="AC419" i="541"/>
  <c r="AB418" i="541"/>
  <c r="AC417" i="541"/>
  <c r="AC415" i="541"/>
  <c r="AC413" i="541"/>
  <c r="X411" i="541"/>
  <c r="AB409" i="541"/>
  <c r="AB422" i="541" s="1"/>
  <c r="X408" i="541"/>
  <c r="X422" i="541"/>
  <c r="AY441" i="541"/>
  <c r="AY443" i="541"/>
  <c r="AX412" i="541"/>
  <c r="AX422" i="541" s="1"/>
  <c r="AY449" i="541"/>
  <c r="AX414" i="541"/>
  <c r="AX416" i="541"/>
  <c r="H421" i="541"/>
  <c r="N393" i="541"/>
  <c r="N392" i="541"/>
  <c r="N391" i="541"/>
  <c r="N390" i="541"/>
  <c r="N389" i="541"/>
  <c r="N388" i="541"/>
  <c r="N387" i="541"/>
  <c r="N386" i="541"/>
  <c r="N385" i="541"/>
  <c r="N384" i="541"/>
  <c r="H394" i="541"/>
  <c r="BC393" i="541"/>
  <c r="BB393" i="541"/>
  <c r="BA393" i="541"/>
  <c r="AZ393" i="541"/>
  <c r="AY393" i="541"/>
  <c r="AX393" i="541"/>
  <c r="AW393" i="541"/>
  <c r="AV393" i="541"/>
  <c r="AU393" i="541"/>
  <c r="AT393" i="541"/>
  <c r="AS393" i="541"/>
  <c r="AR393" i="541"/>
  <c r="AQ393" i="541"/>
  <c r="AP393" i="541"/>
  <c r="AO393" i="541"/>
  <c r="AN393" i="541"/>
  <c r="AM393" i="541"/>
  <c r="AL393" i="541"/>
  <c r="AK393" i="541"/>
  <c r="AJ393" i="541"/>
  <c r="AI393" i="541"/>
  <c r="AH393" i="541"/>
  <c r="AG393" i="541"/>
  <c r="AF393" i="541"/>
  <c r="AE393" i="541"/>
  <c r="AD393" i="541"/>
  <c r="AA393" i="541"/>
  <c r="Z393" i="541"/>
  <c r="Y393" i="541"/>
  <c r="X393" i="541"/>
  <c r="W393" i="541"/>
  <c r="V393" i="541"/>
  <c r="U393" i="541"/>
  <c r="H391" i="541"/>
  <c r="H392" i="541"/>
  <c r="H395" i="541" s="1"/>
  <c r="AC390" i="541"/>
  <c r="AC389" i="541"/>
  <c r="AB388" i="541"/>
  <c r="AB393" i="541" s="1"/>
  <c r="AC387" i="541"/>
  <c r="AC386" i="541"/>
  <c r="AC385" i="541"/>
  <c r="AC384" i="541"/>
  <c r="H371" i="541"/>
  <c r="H366" i="541"/>
  <c r="N357" i="541"/>
  <c r="N368" i="541"/>
  <c r="N367" i="541"/>
  <c r="N366" i="541"/>
  <c r="N365" i="541"/>
  <c r="N364" i="541"/>
  <c r="N363" i="541"/>
  <c r="N362" i="541"/>
  <c r="N361" i="541"/>
  <c r="N360" i="541"/>
  <c r="N359" i="541"/>
  <c r="N358" i="541"/>
  <c r="H369" i="541"/>
  <c r="BA368" i="541"/>
  <c r="AX368" i="541"/>
  <c r="AW368" i="541"/>
  <c r="AV368" i="541"/>
  <c r="AU368" i="541"/>
  <c r="AT368" i="541"/>
  <c r="AS368" i="541"/>
  <c r="AR368" i="541"/>
  <c r="AQ368" i="541"/>
  <c r="AP368" i="541"/>
  <c r="AO368" i="541"/>
  <c r="AN368" i="541"/>
  <c r="AM368" i="541"/>
  <c r="AL368" i="541"/>
  <c r="AK368" i="541"/>
  <c r="AJ368" i="541"/>
  <c r="AI368" i="541"/>
  <c r="AH368" i="541"/>
  <c r="AG368" i="541"/>
  <c r="AF368" i="541"/>
  <c r="AE368" i="541"/>
  <c r="AD368" i="541"/>
  <c r="AA368" i="541"/>
  <c r="Z368" i="541"/>
  <c r="Y368" i="541"/>
  <c r="X368" i="541"/>
  <c r="W368" i="541"/>
  <c r="V368" i="541"/>
  <c r="U368" i="541"/>
  <c r="T368" i="541"/>
  <c r="H367" i="541"/>
  <c r="AB366" i="541"/>
  <c r="AB365" i="541"/>
  <c r="AZ364" i="541"/>
  <c r="AZ368" i="541"/>
  <c r="AB363" i="541"/>
  <c r="AB362" i="541"/>
  <c r="AY361" i="541"/>
  <c r="AB360" i="541"/>
  <c r="AY359" i="541"/>
  <c r="AY368" i="541" s="1"/>
  <c r="AC358" i="541"/>
  <c r="AC368" i="541" s="1"/>
  <c r="AB358" i="541"/>
  <c r="AC357" i="541"/>
  <c r="AB357" i="541"/>
  <c r="T391" i="541"/>
  <c r="T393" i="541"/>
  <c r="H344" i="541"/>
  <c r="H337" i="541"/>
  <c r="N318" i="541"/>
  <c r="N319" i="541"/>
  <c r="N320" i="541"/>
  <c r="N321" i="541"/>
  <c r="N322" i="541"/>
  <c r="N323" i="541"/>
  <c r="N324" i="541"/>
  <c r="N325" i="541"/>
  <c r="N326" i="541"/>
  <c r="N327" i="541"/>
  <c r="N328" i="541"/>
  <c r="N329" i="541"/>
  <c r="N330" i="541"/>
  <c r="N331" i="541"/>
  <c r="N332" i="541"/>
  <c r="N333" i="541"/>
  <c r="N334" i="541"/>
  <c r="N335" i="541"/>
  <c r="N336" i="541"/>
  <c r="N337" i="541"/>
  <c r="N338" i="541"/>
  <c r="N339" i="541"/>
  <c r="N340" i="541"/>
  <c r="N341" i="541"/>
  <c r="N317" i="541"/>
  <c r="H342" i="541"/>
  <c r="AZ341" i="541"/>
  <c r="AY341" i="541"/>
  <c r="AX341" i="541"/>
  <c r="AW341" i="541"/>
  <c r="AT341" i="541"/>
  <c r="AS341" i="541"/>
  <c r="AR341" i="541"/>
  <c r="AQ341" i="541"/>
  <c r="AP341" i="541"/>
  <c r="AO341" i="541"/>
  <c r="AN341" i="541"/>
  <c r="AM341" i="541"/>
  <c r="AL341" i="541"/>
  <c r="AK341" i="541"/>
  <c r="AJ341" i="541"/>
  <c r="AI341" i="541"/>
  <c r="AH341" i="541"/>
  <c r="AG341" i="541"/>
  <c r="AF341" i="541"/>
  <c r="AE341" i="541"/>
  <c r="AD341" i="541"/>
  <c r="AC341" i="541"/>
  <c r="AB341" i="541"/>
  <c r="AA341" i="541"/>
  <c r="X341" i="541"/>
  <c r="W341" i="541"/>
  <c r="V341" i="541"/>
  <c r="U341" i="541"/>
  <c r="T341" i="541"/>
  <c r="H338" i="541"/>
  <c r="Y335" i="541"/>
  <c r="Y333" i="541"/>
  <c r="H331" i="541"/>
  <c r="Y330" i="541"/>
  <c r="Z327" i="541"/>
  <c r="Y327" i="541"/>
  <c r="Z324" i="541"/>
  <c r="Z321" i="541"/>
  <c r="H319" i="541"/>
  <c r="AU319" i="541"/>
  <c r="AU341" i="541"/>
  <c r="H318" i="541"/>
  <c r="AV317" i="541"/>
  <c r="AV341" i="541" s="1"/>
  <c r="CE450" i="397"/>
  <c r="CD450" i="397"/>
  <c r="CC450" i="397"/>
  <c r="CB450" i="397"/>
  <c r="CF450" i="397" s="1"/>
  <c r="CH450" i="397" s="1"/>
  <c r="CA450" i="397"/>
  <c r="BZ450" i="397"/>
  <c r="BE450" i="397"/>
  <c r="BD450" i="397"/>
  <c r="R450" i="397"/>
  <c r="Q450" i="397"/>
  <c r="A450" i="397"/>
  <c r="N294" i="541"/>
  <c r="N293" i="541"/>
  <c r="N292" i="541"/>
  <c r="N290" i="541"/>
  <c r="N289" i="541"/>
  <c r="BG116" i="202"/>
  <c r="H304" i="541"/>
  <c r="H299" i="541"/>
  <c r="AC299" i="541" s="1"/>
  <c r="N299" i="541"/>
  <c r="N298" i="541"/>
  <c r="N297" i="541"/>
  <c r="N296" i="541"/>
  <c r="N295" i="541"/>
  <c r="N291" i="541"/>
  <c r="H302" i="541"/>
  <c r="BA301" i="541"/>
  <c r="AZ301" i="541"/>
  <c r="AY301" i="541"/>
  <c r="AX301" i="541"/>
  <c r="AW301" i="541"/>
  <c r="AV301" i="541"/>
  <c r="AU301" i="541"/>
  <c r="AT301" i="541"/>
  <c r="AS301" i="541"/>
  <c r="AR301" i="541"/>
  <c r="AQ301" i="541"/>
  <c r="AP301" i="541"/>
  <c r="AO301" i="541"/>
  <c r="AN301" i="541"/>
  <c r="AM301" i="541"/>
  <c r="AL301" i="541"/>
  <c r="AK301" i="541"/>
  <c r="AJ301" i="541"/>
  <c r="AI301" i="541"/>
  <c r="AH301" i="541"/>
  <c r="AG301" i="541"/>
  <c r="AF301" i="541"/>
  <c r="AE301" i="541"/>
  <c r="AD301" i="541"/>
  <c r="AA301" i="541"/>
  <c r="Z301" i="541"/>
  <c r="X301" i="541"/>
  <c r="W301" i="541"/>
  <c r="V301" i="541"/>
  <c r="U301" i="541"/>
  <c r="N301" i="541"/>
  <c r="N300" i="541"/>
  <c r="AB299" i="541"/>
  <c r="T298" i="541"/>
  <c r="T301" i="541" s="1"/>
  <c r="AC297" i="541"/>
  <c r="AB297" i="541"/>
  <c r="T296" i="541"/>
  <c r="H295" i="541"/>
  <c r="AC295" i="541" s="1"/>
  <c r="H294" i="541"/>
  <c r="H293" i="541"/>
  <c r="AC292" i="541"/>
  <c r="AB292" i="541"/>
  <c r="AC291" i="541"/>
  <c r="AB291" i="541"/>
  <c r="AC290" i="541"/>
  <c r="AB290" i="541"/>
  <c r="AC289" i="541"/>
  <c r="AB289" i="541"/>
  <c r="AB301" i="541" s="1"/>
  <c r="Y293" i="541"/>
  <c r="Y301" i="541" s="1"/>
  <c r="N273" i="541"/>
  <c r="N272" i="541"/>
  <c r="N271" i="541"/>
  <c r="N270" i="541"/>
  <c r="N269" i="541"/>
  <c r="N268" i="541"/>
  <c r="N267" i="541"/>
  <c r="N266" i="541"/>
  <c r="N265" i="541"/>
  <c r="N264" i="541"/>
  <c r="N263" i="541"/>
  <c r="N262" i="541"/>
  <c r="N261" i="541"/>
  <c r="N260" i="541"/>
  <c r="N259" i="541"/>
  <c r="N258" i="541"/>
  <c r="N257" i="541"/>
  <c r="N256" i="541"/>
  <c r="N255" i="541"/>
  <c r="N254" i="541"/>
  <c r="N253" i="541"/>
  <c r="H276" i="541"/>
  <c r="H271" i="541"/>
  <c r="H274" i="541"/>
  <c r="BA273" i="541"/>
  <c r="AZ273" i="541"/>
  <c r="AY273" i="541"/>
  <c r="AW273" i="541"/>
  <c r="AV273" i="541"/>
  <c r="AU273" i="541"/>
  <c r="AT273" i="541"/>
  <c r="AS273" i="541"/>
  <c r="AR273" i="541"/>
  <c r="AQ273" i="541"/>
  <c r="AO273" i="541"/>
  <c r="AN273" i="541"/>
  <c r="AM273" i="541"/>
  <c r="AL273" i="541"/>
  <c r="AK273" i="541"/>
  <c r="AJ273" i="541"/>
  <c r="AI273" i="541"/>
  <c r="AH273" i="541"/>
  <c r="AG273" i="541"/>
  <c r="AF273" i="541"/>
  <c r="AE273" i="541"/>
  <c r="AD273" i="541"/>
  <c r="AA273" i="541"/>
  <c r="Z273" i="541"/>
  <c r="Y273" i="541"/>
  <c r="W273" i="541"/>
  <c r="V273" i="541"/>
  <c r="U273" i="541"/>
  <c r="T273" i="541"/>
  <c r="AC271" i="541"/>
  <c r="AB271" i="541"/>
  <c r="AC270" i="541"/>
  <c r="AB270" i="541"/>
  <c r="AC269" i="541"/>
  <c r="AB269" i="541"/>
  <c r="AC268" i="541"/>
  <c r="AC266" i="541"/>
  <c r="X264" i="541"/>
  <c r="X262" i="541"/>
  <c r="X273" i="541"/>
  <c r="H261" i="541"/>
  <c r="H263" i="541" s="1"/>
  <c r="AP263" i="541" s="1"/>
  <c r="AC260" i="541"/>
  <c r="AC273" i="541" s="1"/>
  <c r="AC258" i="541"/>
  <c r="AC256" i="541"/>
  <c r="AC254" i="541"/>
  <c r="H253" i="541"/>
  <c r="R314" i="397"/>
  <c r="Q314" i="397"/>
  <c r="H265" i="541"/>
  <c r="AP261" i="541"/>
  <c r="BP133" i="202"/>
  <c r="BG133" i="202"/>
  <c r="R190" i="397"/>
  <c r="H234" i="541"/>
  <c r="H239" i="541"/>
  <c r="H240" i="541" s="1"/>
  <c r="N213" i="541"/>
  <c r="N215" i="541"/>
  <c r="N216" i="541"/>
  <c r="N218" i="541"/>
  <c r="N219" i="541"/>
  <c r="N221" i="541"/>
  <c r="N222" i="541"/>
  <c r="N224" i="541"/>
  <c r="N225" i="541"/>
  <c r="N227" i="541"/>
  <c r="N230" i="541"/>
  <c r="N232" i="541"/>
  <c r="N233" i="541"/>
  <c r="N235" i="541"/>
  <c r="N236" i="541"/>
  <c r="N237" i="541"/>
  <c r="H238" i="541"/>
  <c r="BA237" i="541"/>
  <c r="AZ237" i="541"/>
  <c r="AY237" i="541"/>
  <c r="AX237" i="541"/>
  <c r="AW237" i="541"/>
  <c r="AV237" i="541"/>
  <c r="AU237" i="541"/>
  <c r="AT237" i="541"/>
  <c r="AS237" i="541"/>
  <c r="AQ237" i="541"/>
  <c r="AP237" i="541"/>
  <c r="AO237" i="541"/>
  <c r="AN237" i="541"/>
  <c r="AM237" i="541"/>
  <c r="AL237" i="541"/>
  <c r="AJ237" i="541"/>
  <c r="AI237" i="541"/>
  <c r="AH237" i="541"/>
  <c r="AG237" i="541"/>
  <c r="AF237" i="541"/>
  <c r="AE237" i="541"/>
  <c r="AD237" i="541"/>
  <c r="AA237" i="541"/>
  <c r="X237" i="541"/>
  <c r="W237" i="541"/>
  <c r="V237" i="541"/>
  <c r="U237" i="541"/>
  <c r="T237" i="541"/>
  <c r="Z231" i="541"/>
  <c r="Y231" i="541"/>
  <c r="Y229" i="541"/>
  <c r="AC228" i="541"/>
  <c r="AC237" i="541"/>
  <c r="AB228" i="541"/>
  <c r="AB237" i="541"/>
  <c r="Y226" i="541"/>
  <c r="Z223" i="541"/>
  <c r="Y223" i="541"/>
  <c r="Z220" i="541"/>
  <c r="Y220" i="541"/>
  <c r="Z217" i="541"/>
  <c r="Y217" i="541"/>
  <c r="Z214" i="541"/>
  <c r="Z237" i="541"/>
  <c r="Y214" i="541"/>
  <c r="H213" i="541"/>
  <c r="AR212" i="541"/>
  <c r="AK211" i="541"/>
  <c r="AK237" i="541"/>
  <c r="AR210" i="541"/>
  <c r="AR237" i="541"/>
  <c r="Q427" i="397"/>
  <c r="BG147" i="202"/>
  <c r="N185" i="541"/>
  <c r="N186" i="541"/>
  <c r="N187" i="541"/>
  <c r="N188" i="541"/>
  <c r="N189" i="541"/>
  <c r="N190" i="541"/>
  <c r="N191" i="541"/>
  <c r="N192" i="541"/>
  <c r="N193" i="541"/>
  <c r="N194" i="541"/>
  <c r="N195" i="541"/>
  <c r="N184" i="541"/>
  <c r="N183" i="541" s="1"/>
  <c r="H196" i="541"/>
  <c r="BC195" i="541"/>
  <c r="BB195" i="541"/>
  <c r="BA195" i="541"/>
  <c r="AZ195" i="541"/>
  <c r="AY195" i="541"/>
  <c r="AX195" i="541"/>
  <c r="AW195" i="541"/>
  <c r="AV195" i="541"/>
  <c r="AU195" i="541"/>
  <c r="AT195" i="541"/>
  <c r="AS195" i="541"/>
  <c r="AQ195" i="541"/>
  <c r="AO195" i="541"/>
  <c r="AN195" i="541"/>
  <c r="AM195" i="541"/>
  <c r="AL195" i="541"/>
  <c r="AK195" i="541"/>
  <c r="AJ195" i="541"/>
  <c r="AI195" i="541"/>
  <c r="AH195" i="541"/>
  <c r="AG195" i="541"/>
  <c r="AF195" i="541"/>
  <c r="AE195" i="541"/>
  <c r="AD195" i="541"/>
  <c r="AC195" i="541"/>
  <c r="AB195" i="541"/>
  <c r="AA195" i="541"/>
  <c r="W195" i="541"/>
  <c r="V195" i="541"/>
  <c r="U195" i="541"/>
  <c r="T195" i="541"/>
  <c r="H193" i="541"/>
  <c r="X193" i="541" s="1"/>
  <c r="AP192" i="541"/>
  <c r="AP195" i="541" s="1"/>
  <c r="Z191" i="541"/>
  <c r="Y191" i="541"/>
  <c r="Z190" i="541"/>
  <c r="Y190" i="541"/>
  <c r="Z189" i="541"/>
  <c r="Y189" i="541"/>
  <c r="Z188" i="541"/>
  <c r="Y188" i="541"/>
  <c r="Z187" i="541"/>
  <c r="Y187" i="541"/>
  <c r="Z186" i="541"/>
  <c r="Z195" i="541" s="1"/>
  <c r="Y186" i="541"/>
  <c r="Y195" i="541" s="1"/>
  <c r="Z185" i="541"/>
  <c r="Y185" i="541"/>
  <c r="AR184" i="541"/>
  <c r="AR195" i="541" s="1"/>
  <c r="R445" i="397"/>
  <c r="R436" i="397"/>
  <c r="X195" i="541"/>
  <c r="AW192" i="555"/>
  <c r="AV192" i="555"/>
  <c r="AS192" i="555"/>
  <c r="AQ192" i="555"/>
  <c r="AP192" i="555"/>
  <c r="AN192" i="555"/>
  <c r="AJ192" i="555"/>
  <c r="AG192" i="555"/>
  <c r="AF192" i="555"/>
  <c r="AE192" i="555"/>
  <c r="AC192" i="555"/>
  <c r="W192" i="555"/>
  <c r="T192" i="555"/>
  <c r="BY191" i="555"/>
  <c r="BX191" i="555"/>
  <c r="BW191" i="555"/>
  <c r="BU191" i="555"/>
  <c r="BT191" i="555"/>
  <c r="BH191" i="555"/>
  <c r="BV191" i="555" s="1"/>
  <c r="BZ191" i="555" s="1"/>
  <c r="CB191" i="555" s="1"/>
  <c r="AY191" i="555"/>
  <c r="AX191" i="555"/>
  <c r="AZ191" i="555" s="1"/>
  <c r="CA191" i="555" s="1"/>
  <c r="V191" i="555"/>
  <c r="U191" i="555"/>
  <c r="Q191" i="555"/>
  <c r="A191" i="555"/>
  <c r="BY190" i="555"/>
  <c r="BX190" i="555"/>
  <c r="BW190" i="555"/>
  <c r="BU190" i="555"/>
  <c r="BT190" i="555"/>
  <c r="BZ190" i="555" s="1"/>
  <c r="CB190" i="555" s="1"/>
  <c r="BH190" i="555"/>
  <c r="BV190" i="555" s="1"/>
  <c r="AY190" i="555"/>
  <c r="AZ190" i="555" s="1"/>
  <c r="CA190" i="555" s="1"/>
  <c r="AX190" i="555"/>
  <c r="V190" i="555"/>
  <c r="U190" i="555"/>
  <c r="Q190" i="555"/>
  <c r="A190" i="555"/>
  <c r="BY189" i="555"/>
  <c r="BX189" i="555"/>
  <c r="BW189" i="555"/>
  <c r="BU189" i="555"/>
  <c r="BT189" i="555"/>
  <c r="BZ189" i="555" s="1"/>
  <c r="CB189" i="555" s="1"/>
  <c r="BH189" i="555"/>
  <c r="BV189" i="555" s="1"/>
  <c r="AY189" i="555"/>
  <c r="AZ189" i="555" s="1"/>
  <c r="AX189" i="555"/>
  <c r="V189" i="555"/>
  <c r="U189" i="555"/>
  <c r="Q189" i="555"/>
  <c r="A189" i="555"/>
  <c r="BY188" i="555"/>
  <c r="BX188" i="555"/>
  <c r="BW188" i="555"/>
  <c r="BU188" i="555"/>
  <c r="BT188" i="555"/>
  <c r="BZ188" i="555" s="1"/>
  <c r="CB188" i="555" s="1"/>
  <c r="BH188" i="555"/>
  <c r="BV188" i="555" s="1"/>
  <c r="AY188" i="555"/>
  <c r="AX188" i="555"/>
  <c r="V188" i="555"/>
  <c r="U188" i="555"/>
  <c r="Q188" i="555"/>
  <c r="A188" i="555"/>
  <c r="BY187" i="555"/>
  <c r="BX187" i="555"/>
  <c r="BW187" i="555"/>
  <c r="BU187" i="555"/>
  <c r="BT187" i="555"/>
  <c r="BH187" i="555"/>
  <c r="BV187" i="555"/>
  <c r="AY187" i="555"/>
  <c r="AX187" i="555"/>
  <c r="V187" i="555"/>
  <c r="U187" i="555"/>
  <c r="Q187" i="555"/>
  <c r="A187" i="555"/>
  <c r="BY186" i="555"/>
  <c r="BX186" i="555"/>
  <c r="BW186" i="555"/>
  <c r="BU186" i="555"/>
  <c r="BT186" i="555"/>
  <c r="BH186" i="555"/>
  <c r="BV186" i="555" s="1"/>
  <c r="BZ186" i="555" s="1"/>
  <c r="CB186" i="555" s="1"/>
  <c r="AY186" i="555"/>
  <c r="AX186" i="555"/>
  <c r="V186" i="555"/>
  <c r="U186" i="555"/>
  <c r="Q186" i="555"/>
  <c r="A186" i="555"/>
  <c r="BY185" i="555"/>
  <c r="BX185" i="555"/>
  <c r="BW185" i="555"/>
  <c r="BU185" i="555"/>
  <c r="BT185" i="555"/>
  <c r="BH185" i="555"/>
  <c r="BV185" i="555"/>
  <c r="AY185" i="555"/>
  <c r="AZ185" i="555" s="1"/>
  <c r="CA185" i="555" s="1"/>
  <c r="AX185" i="555"/>
  <c r="V185" i="555"/>
  <c r="U185" i="555"/>
  <c r="Q185" i="555"/>
  <c r="A185" i="555"/>
  <c r="BY184" i="555"/>
  <c r="BX184" i="555"/>
  <c r="BW184" i="555"/>
  <c r="BU184" i="555"/>
  <c r="BT184" i="555"/>
  <c r="BH184" i="555"/>
  <c r="BV184" i="555" s="1"/>
  <c r="AY184" i="555"/>
  <c r="AX184" i="555"/>
  <c r="S184" i="555"/>
  <c r="U184" i="555"/>
  <c r="Q184" i="555"/>
  <c r="A184" i="555"/>
  <c r="BY183" i="555"/>
  <c r="BX183" i="555"/>
  <c r="BW183" i="555"/>
  <c r="BU183" i="555"/>
  <c r="BT183" i="555"/>
  <c r="BH183" i="555"/>
  <c r="BV183" i="555"/>
  <c r="AY183" i="555"/>
  <c r="AZ183" i="555" s="1"/>
  <c r="CA183" i="555" s="1"/>
  <c r="AX183" i="555"/>
  <c r="U183" i="555"/>
  <c r="Q183" i="555"/>
  <c r="A183" i="555"/>
  <c r="BY182" i="555"/>
  <c r="BX182" i="555"/>
  <c r="BW182" i="555"/>
  <c r="BU182" i="555"/>
  <c r="BT182" i="555"/>
  <c r="BH182" i="555"/>
  <c r="BV182" i="555" s="1"/>
  <c r="AY182" i="555"/>
  <c r="AZ182" i="555" s="1"/>
  <c r="AX182" i="555"/>
  <c r="U182" i="555"/>
  <c r="Q182" i="555"/>
  <c r="A182" i="555"/>
  <c r="BY181" i="555"/>
  <c r="BX181" i="555"/>
  <c r="BW181" i="555"/>
  <c r="BU181" i="555"/>
  <c r="BT181" i="555"/>
  <c r="BH181" i="555"/>
  <c r="BV181" i="555"/>
  <c r="AY181" i="555"/>
  <c r="AX181" i="555"/>
  <c r="U181" i="555"/>
  <c r="Q181" i="555"/>
  <c r="A181" i="555"/>
  <c r="BY180" i="555"/>
  <c r="BX180" i="555"/>
  <c r="BW180" i="555"/>
  <c r="BU180" i="555"/>
  <c r="BT180" i="555"/>
  <c r="BH180" i="555"/>
  <c r="BV180" i="555" s="1"/>
  <c r="BZ180" i="555" s="1"/>
  <c r="AY180" i="555"/>
  <c r="AZ180" i="555" s="1"/>
  <c r="CA180" i="555" s="1"/>
  <c r="AX180" i="555"/>
  <c r="U180" i="555"/>
  <c r="Q180" i="555"/>
  <c r="A180" i="555"/>
  <c r="BY179" i="555"/>
  <c r="BX179" i="555"/>
  <c r="BW179" i="555"/>
  <c r="BU179" i="555"/>
  <c r="BZ179" i="555" s="1"/>
  <c r="CB179" i="555" s="1"/>
  <c r="BT179" i="555"/>
  <c r="BH179" i="555"/>
  <c r="BV179" i="555" s="1"/>
  <c r="AY179" i="555"/>
  <c r="AX179" i="555"/>
  <c r="AZ179" i="555" s="1"/>
  <c r="CA179" i="555" s="1"/>
  <c r="U179" i="555"/>
  <c r="Q179" i="555"/>
  <c r="A179" i="555"/>
  <c r="BY178" i="555"/>
  <c r="BX178" i="555"/>
  <c r="BW178" i="555"/>
  <c r="BU178" i="555"/>
  <c r="BT178" i="555"/>
  <c r="BZ178" i="555" s="1"/>
  <c r="CB178" i="555" s="1"/>
  <c r="BH178" i="555"/>
  <c r="BV178" i="555"/>
  <c r="AY178" i="555"/>
  <c r="AX178" i="555"/>
  <c r="V178" i="555"/>
  <c r="U178" i="555"/>
  <c r="Q178" i="555"/>
  <c r="A178" i="555"/>
  <c r="BY177" i="555"/>
  <c r="BX177" i="555"/>
  <c r="BW177" i="555"/>
  <c r="BU177" i="555"/>
  <c r="BT177" i="555"/>
  <c r="BH177" i="555"/>
  <c r="BV177" i="555"/>
  <c r="AY177" i="555"/>
  <c r="AX177" i="555"/>
  <c r="V177" i="555"/>
  <c r="U177" i="555"/>
  <c r="Q177" i="555"/>
  <c r="A177" i="555"/>
  <c r="BY176" i="555"/>
  <c r="BX176" i="555"/>
  <c r="BW176" i="555"/>
  <c r="BU176" i="555"/>
  <c r="BT176" i="555"/>
  <c r="BH176" i="555"/>
  <c r="BV176" i="555" s="1"/>
  <c r="AY176" i="555"/>
  <c r="AX176" i="555"/>
  <c r="V176" i="555"/>
  <c r="U176" i="555"/>
  <c r="Q176" i="555"/>
  <c r="A176" i="555"/>
  <c r="BY175" i="555"/>
  <c r="BX175" i="555"/>
  <c r="BW175" i="555"/>
  <c r="BU175" i="555"/>
  <c r="BT175" i="555"/>
  <c r="BH175" i="555"/>
  <c r="BV175" i="555"/>
  <c r="BZ175" i="555" s="1"/>
  <c r="AY175" i="555"/>
  <c r="AX175" i="555"/>
  <c r="V175" i="555"/>
  <c r="U175" i="555"/>
  <c r="Q175" i="555"/>
  <c r="A175" i="555"/>
  <c r="BY174" i="555"/>
  <c r="BX174" i="555"/>
  <c r="BW174" i="555"/>
  <c r="BU174" i="555"/>
  <c r="BT174" i="555"/>
  <c r="BZ174" i="555" s="1"/>
  <c r="BH174" i="555"/>
  <c r="BV174" i="555" s="1"/>
  <c r="AY174" i="555"/>
  <c r="AX174" i="555"/>
  <c r="S174" i="555"/>
  <c r="V174" i="555" s="1"/>
  <c r="Q174" i="555"/>
  <c r="A174" i="555"/>
  <c r="BY173" i="555"/>
  <c r="BX173" i="555"/>
  <c r="BW173" i="555"/>
  <c r="BU173" i="555"/>
  <c r="BT173" i="555"/>
  <c r="BH173" i="555"/>
  <c r="BV173" i="555"/>
  <c r="AY173" i="555"/>
  <c r="AZ173" i="555" s="1"/>
  <c r="CA173" i="555" s="1"/>
  <c r="AX173" i="555"/>
  <c r="V173" i="555"/>
  <c r="Q173" i="555"/>
  <c r="A173" i="555"/>
  <c r="BY172" i="555"/>
  <c r="BX172" i="555"/>
  <c r="BW172" i="555"/>
  <c r="BU172" i="555"/>
  <c r="BT172" i="555"/>
  <c r="BH172" i="555"/>
  <c r="BV172" i="555"/>
  <c r="AY172" i="555"/>
  <c r="AX172" i="555"/>
  <c r="AZ172" i="555" s="1"/>
  <c r="CA172" i="555" s="1"/>
  <c r="V172" i="555"/>
  <c r="Q172" i="555"/>
  <c r="A172" i="555"/>
  <c r="BY171" i="555"/>
  <c r="BX171" i="555"/>
  <c r="BW171" i="555"/>
  <c r="BU171" i="555"/>
  <c r="BT171" i="555"/>
  <c r="BH171" i="555"/>
  <c r="BV171" i="555" s="1"/>
  <c r="AY171" i="555"/>
  <c r="AX171" i="555"/>
  <c r="AZ171" i="555" s="1"/>
  <c r="CA171" i="555" s="1"/>
  <c r="U171" i="555"/>
  <c r="Q171" i="555"/>
  <c r="A171" i="555"/>
  <c r="BY170" i="555"/>
  <c r="BX170" i="555"/>
  <c r="BW170" i="555"/>
  <c r="BU170" i="555"/>
  <c r="BT170" i="555"/>
  <c r="BH170" i="555"/>
  <c r="BV170" i="555" s="1"/>
  <c r="AY170" i="555"/>
  <c r="AX170" i="555"/>
  <c r="AZ170" i="555" s="1"/>
  <c r="CA170" i="555" s="1"/>
  <c r="U170" i="555"/>
  <c r="Q170" i="555"/>
  <c r="A170" i="555"/>
  <c r="BY169" i="555"/>
  <c r="BX169" i="555"/>
  <c r="BW169" i="555"/>
  <c r="BU169" i="555"/>
  <c r="BT169" i="555"/>
  <c r="BZ169" i="555" s="1"/>
  <c r="CB169" i="555" s="1"/>
  <c r="BH169" i="555"/>
  <c r="BV169" i="555" s="1"/>
  <c r="AY169" i="555"/>
  <c r="AZ169" i="555" s="1"/>
  <c r="CA169" i="555" s="1"/>
  <c r="AX169" i="555"/>
  <c r="U169" i="555"/>
  <c r="Q169" i="555"/>
  <c r="A169" i="555"/>
  <c r="BY168" i="555"/>
  <c r="BX168" i="555"/>
  <c r="BW168" i="555"/>
  <c r="BU168" i="555"/>
  <c r="BT168" i="555"/>
  <c r="BH168" i="555"/>
  <c r="BV168" i="555" s="1"/>
  <c r="AY168" i="555"/>
  <c r="AZ168" i="555" s="1"/>
  <c r="CA168" i="555" s="1"/>
  <c r="AX168" i="555"/>
  <c r="U168" i="555"/>
  <c r="Q168" i="555"/>
  <c r="A168" i="555"/>
  <c r="BY167" i="555"/>
  <c r="BX167" i="555"/>
  <c r="BW167" i="555"/>
  <c r="BU167" i="555"/>
  <c r="BT167" i="555"/>
  <c r="BH167" i="555"/>
  <c r="BV167" i="555"/>
  <c r="AY167" i="555"/>
  <c r="AZ167" i="555" s="1"/>
  <c r="CA167" i="555" s="1"/>
  <c r="AX167" i="555"/>
  <c r="V167" i="555"/>
  <c r="Q167" i="555"/>
  <c r="A167" i="555"/>
  <c r="BY166" i="555"/>
  <c r="BX166" i="555"/>
  <c r="BW166" i="555"/>
  <c r="BU166" i="555"/>
  <c r="BT166" i="555"/>
  <c r="BH166" i="555"/>
  <c r="BV166" i="555" s="1"/>
  <c r="AY166" i="555"/>
  <c r="AX166" i="555"/>
  <c r="AZ166" i="555" s="1"/>
  <c r="CA166" i="555" s="1"/>
  <c r="U166" i="555"/>
  <c r="Q166" i="555"/>
  <c r="A166" i="555"/>
  <c r="BY165" i="555"/>
  <c r="BX165" i="555"/>
  <c r="BW165" i="555"/>
  <c r="BU165" i="555"/>
  <c r="BT165" i="555"/>
  <c r="BH165" i="555"/>
  <c r="BV165" i="555"/>
  <c r="AY165" i="555"/>
  <c r="AX165" i="555"/>
  <c r="S165" i="555"/>
  <c r="U165" i="555"/>
  <c r="Q165" i="555"/>
  <c r="A165" i="555"/>
  <c r="BY164" i="555"/>
  <c r="BX164" i="555"/>
  <c r="BW164" i="555"/>
  <c r="BU164" i="555"/>
  <c r="BT164" i="555"/>
  <c r="BH164" i="555"/>
  <c r="BV164" i="555"/>
  <c r="AY164" i="555"/>
  <c r="AZ164" i="555" s="1"/>
  <c r="CA164" i="555" s="1"/>
  <c r="AX164" i="555"/>
  <c r="V164" i="555"/>
  <c r="Q164" i="555"/>
  <c r="A164" i="555"/>
  <c r="BY163" i="555"/>
  <c r="BX163" i="555"/>
  <c r="BW163" i="555"/>
  <c r="BU163" i="555"/>
  <c r="BT163" i="555"/>
  <c r="BH163" i="555"/>
  <c r="BV163" i="555" s="1"/>
  <c r="AY163" i="555"/>
  <c r="AX163" i="555"/>
  <c r="U163" i="555"/>
  <c r="Q163" i="555"/>
  <c r="A163" i="555"/>
  <c r="BY162" i="555"/>
  <c r="BX162" i="555"/>
  <c r="BW162" i="555"/>
  <c r="BU162" i="555"/>
  <c r="BZ162" i="555" s="1"/>
  <c r="BT162" i="555"/>
  <c r="BH162" i="555"/>
  <c r="BV162" i="555" s="1"/>
  <c r="AY162" i="555"/>
  <c r="AX162" i="555"/>
  <c r="U162" i="555"/>
  <c r="Q162" i="555"/>
  <c r="A162" i="555"/>
  <c r="BY161" i="555"/>
  <c r="BX161" i="555"/>
  <c r="BZ161" i="555" s="1"/>
  <c r="BW161" i="555"/>
  <c r="BU161" i="555"/>
  <c r="BT161" i="555"/>
  <c r="BH161" i="555"/>
  <c r="BV161" i="555" s="1"/>
  <c r="AY161" i="555"/>
  <c r="AX161" i="555"/>
  <c r="V161" i="555"/>
  <c r="Q161" i="555"/>
  <c r="A161" i="555"/>
  <c r="BY160" i="555"/>
  <c r="BX160" i="555"/>
  <c r="BW160" i="555"/>
  <c r="BU160" i="555"/>
  <c r="BT160" i="555"/>
  <c r="BH160" i="555"/>
  <c r="BV160" i="555" s="1"/>
  <c r="AY160" i="555"/>
  <c r="AZ160" i="555" s="1"/>
  <c r="CA160" i="555" s="1"/>
  <c r="AX160" i="555"/>
  <c r="V160" i="555"/>
  <c r="Q160" i="555"/>
  <c r="A160" i="555"/>
  <c r="BY159" i="555"/>
  <c r="BX159" i="555"/>
  <c r="BW159" i="555"/>
  <c r="BU159" i="555"/>
  <c r="BT159" i="555"/>
  <c r="BH159" i="555"/>
  <c r="BV159" i="555" s="1"/>
  <c r="BZ159" i="555" s="1"/>
  <c r="CB159" i="555" s="1"/>
  <c r="AY159" i="555"/>
  <c r="AZ159" i="555" s="1"/>
  <c r="CA159" i="555" s="1"/>
  <c r="AX159" i="555"/>
  <c r="U159" i="555"/>
  <c r="Q159" i="555"/>
  <c r="A159" i="555"/>
  <c r="BY158" i="555"/>
  <c r="BX158" i="555"/>
  <c r="BW158" i="555"/>
  <c r="BU158" i="555"/>
  <c r="BT158" i="555"/>
  <c r="BH158" i="555"/>
  <c r="BV158" i="555" s="1"/>
  <c r="AY158" i="555"/>
  <c r="AX158" i="555"/>
  <c r="U158" i="555"/>
  <c r="Q158" i="555"/>
  <c r="A158" i="555"/>
  <c r="BY157" i="555"/>
  <c r="BX157" i="555"/>
  <c r="BW157" i="555"/>
  <c r="BU157" i="555"/>
  <c r="BT157" i="555"/>
  <c r="BH157" i="555"/>
  <c r="BV157" i="555"/>
  <c r="AY157" i="555"/>
  <c r="AX157" i="555"/>
  <c r="U157" i="555"/>
  <c r="Q157" i="555"/>
  <c r="A157" i="555"/>
  <c r="BY156" i="555"/>
  <c r="BX156" i="555"/>
  <c r="BW156" i="555"/>
  <c r="BU156" i="555"/>
  <c r="BT156" i="555"/>
  <c r="BH156" i="555"/>
  <c r="BV156" i="555" s="1"/>
  <c r="BZ156" i="555" s="1"/>
  <c r="AY156" i="555"/>
  <c r="AX156" i="555"/>
  <c r="AZ156" i="555" s="1"/>
  <c r="CA156" i="555" s="1"/>
  <c r="U156" i="555"/>
  <c r="Q156" i="555"/>
  <c r="A156" i="555"/>
  <c r="BY155" i="555"/>
  <c r="BX155" i="555"/>
  <c r="BW155" i="555"/>
  <c r="BU155" i="555"/>
  <c r="BZ155" i="555" s="1"/>
  <c r="CB155" i="555" s="1"/>
  <c r="BT155" i="555"/>
  <c r="BH155" i="555"/>
  <c r="BV155" i="555" s="1"/>
  <c r="AY155" i="555"/>
  <c r="AX155" i="555"/>
  <c r="AZ155" i="555" s="1"/>
  <c r="CA155" i="555" s="1"/>
  <c r="V155" i="555"/>
  <c r="Q155" i="555"/>
  <c r="A155" i="555"/>
  <c r="BY154" i="555"/>
  <c r="BX154" i="555"/>
  <c r="BW154" i="555"/>
  <c r="BU154" i="555"/>
  <c r="BT154" i="555"/>
  <c r="BH154" i="555"/>
  <c r="BV154" i="555"/>
  <c r="BZ154" i="555" s="1"/>
  <c r="AY154" i="555"/>
  <c r="AZ154" i="555" s="1"/>
  <c r="AX154" i="555"/>
  <c r="V154" i="555"/>
  <c r="Q154" i="555"/>
  <c r="A154" i="555"/>
  <c r="BY153" i="555"/>
  <c r="BX153" i="555"/>
  <c r="BW153" i="555"/>
  <c r="BU153" i="555"/>
  <c r="BT153" i="555"/>
  <c r="BH153" i="555"/>
  <c r="BV153" i="555" s="1"/>
  <c r="AY153" i="555"/>
  <c r="AX153" i="555"/>
  <c r="U153" i="555"/>
  <c r="Q153" i="555"/>
  <c r="A153" i="555"/>
  <c r="BY152" i="555"/>
  <c r="BX152" i="555"/>
  <c r="BW152" i="555"/>
  <c r="BV152" i="555"/>
  <c r="BU152" i="555"/>
  <c r="BT152" i="555"/>
  <c r="AY152" i="555"/>
  <c r="AX152" i="555"/>
  <c r="AZ152" i="555" s="1"/>
  <c r="Q152" i="555"/>
  <c r="BY151" i="555"/>
  <c r="BX151" i="555"/>
  <c r="BW151" i="555"/>
  <c r="BV151" i="555"/>
  <c r="BU151" i="555"/>
  <c r="BT151" i="555"/>
  <c r="AY151" i="555"/>
  <c r="AX151" i="555"/>
  <c r="AZ151" i="555" s="1"/>
  <c r="CA151" i="555" s="1"/>
  <c r="AU151" i="555"/>
  <c r="A151" i="555"/>
  <c r="BY150" i="555"/>
  <c r="BX150" i="555"/>
  <c r="BW150" i="555"/>
  <c r="BV150" i="555"/>
  <c r="BU150" i="555"/>
  <c r="BZ150" i="555" s="1"/>
  <c r="CB150" i="555" s="1"/>
  <c r="BT150" i="555"/>
  <c r="AY150" i="555"/>
  <c r="AZ150" i="555" s="1"/>
  <c r="CA150" i="555" s="1"/>
  <c r="AX150" i="555"/>
  <c r="AU150" i="555"/>
  <c r="A150" i="555"/>
  <c r="BY149" i="555"/>
  <c r="BX149" i="555"/>
  <c r="BW149" i="555"/>
  <c r="BV149" i="555"/>
  <c r="BU149" i="555"/>
  <c r="BT149" i="555"/>
  <c r="AY149" i="555"/>
  <c r="AX149" i="555"/>
  <c r="AZ149" i="555" s="1"/>
  <c r="CA149" i="555" s="1"/>
  <c r="AU149" i="555"/>
  <c r="A149" i="555"/>
  <c r="BY148" i="555"/>
  <c r="BX148" i="555"/>
  <c r="BW148" i="555"/>
  <c r="BV148" i="555"/>
  <c r="BU148" i="555"/>
  <c r="BT148" i="555"/>
  <c r="AY148" i="555"/>
  <c r="AZ148" i="555" s="1"/>
  <c r="CA148" i="555" s="1"/>
  <c r="AX148" i="555"/>
  <c r="AU148" i="555"/>
  <c r="AU192" i="555" s="1"/>
  <c r="A148" i="555"/>
  <c r="BX147" i="555"/>
  <c r="BW147" i="555"/>
  <c r="BV147" i="555"/>
  <c r="BU147" i="555"/>
  <c r="BZ147" i="555" s="1"/>
  <c r="BT147" i="555"/>
  <c r="BQ147" i="555"/>
  <c r="AY147" i="555" s="1"/>
  <c r="AZ147" i="555" s="1"/>
  <c r="AX147" i="555"/>
  <c r="AT147" i="555"/>
  <c r="A147" i="555"/>
  <c r="BY146" i="555"/>
  <c r="BX146" i="555"/>
  <c r="BW146" i="555"/>
  <c r="BV146" i="555"/>
  <c r="BU146" i="555"/>
  <c r="BT146" i="555"/>
  <c r="BZ146" i="555" s="1"/>
  <c r="AY146" i="555"/>
  <c r="AX146" i="555"/>
  <c r="AT146" i="555"/>
  <c r="A146" i="555"/>
  <c r="BY145" i="555"/>
  <c r="BX145" i="555"/>
  <c r="BW145" i="555"/>
  <c r="BV145" i="555"/>
  <c r="BU145" i="555"/>
  <c r="BT145" i="555"/>
  <c r="AY145" i="555"/>
  <c r="AX145" i="555"/>
  <c r="AZ145" i="555"/>
  <c r="CA145" i="555" s="1"/>
  <c r="AT145" i="555"/>
  <c r="AT192" i="555" s="1"/>
  <c r="A145" i="555"/>
  <c r="BY144" i="555"/>
  <c r="BX144" i="555"/>
  <c r="BW144" i="555"/>
  <c r="BV144" i="555"/>
  <c r="BU144" i="555"/>
  <c r="BT144" i="555"/>
  <c r="AY144" i="555"/>
  <c r="AZ144" i="555" s="1"/>
  <c r="CA144" i="555" s="1"/>
  <c r="AX144" i="555"/>
  <c r="AT144" i="555"/>
  <c r="A144" i="555"/>
  <c r="BY143" i="555"/>
  <c r="BX143" i="555"/>
  <c r="BW143" i="555"/>
  <c r="BV143" i="555"/>
  <c r="BU143" i="555"/>
  <c r="BT143" i="555"/>
  <c r="AY143" i="555"/>
  <c r="AZ143" i="555" s="1"/>
  <c r="CA143" i="555" s="1"/>
  <c r="AX143" i="555"/>
  <c r="AT143" i="555"/>
  <c r="A143" i="555"/>
  <c r="BY142" i="555"/>
  <c r="BX142" i="555"/>
  <c r="BW142" i="555"/>
  <c r="BV142" i="555"/>
  <c r="BU142" i="555"/>
  <c r="BT142" i="555"/>
  <c r="AY142" i="555"/>
  <c r="AX142" i="555"/>
  <c r="AZ142" i="555" s="1"/>
  <c r="CA142" i="555" s="1"/>
  <c r="AT142" i="555"/>
  <c r="A142" i="555"/>
  <c r="BY141" i="555"/>
  <c r="BX141" i="555"/>
  <c r="BW141" i="555"/>
  <c r="BV141" i="555"/>
  <c r="BU141" i="555"/>
  <c r="BT141" i="555"/>
  <c r="AY141" i="555"/>
  <c r="AZ141" i="555" s="1"/>
  <c r="CA141" i="555" s="1"/>
  <c r="AX141" i="555"/>
  <c r="AT141" i="555"/>
  <c r="A141" i="555"/>
  <c r="BY140" i="555"/>
  <c r="BX140" i="555"/>
  <c r="BW140" i="555"/>
  <c r="BV140" i="555"/>
  <c r="BU140" i="555"/>
  <c r="BT140" i="555"/>
  <c r="AY140" i="555"/>
  <c r="AZ140" i="555" s="1"/>
  <c r="CA140" i="555" s="1"/>
  <c r="AX140" i="555"/>
  <c r="AT140" i="555"/>
  <c r="A140" i="555"/>
  <c r="BY139" i="555"/>
  <c r="BX139" i="555"/>
  <c r="BW139" i="555"/>
  <c r="BV139" i="555"/>
  <c r="BU139" i="555"/>
  <c r="BT139" i="555"/>
  <c r="AY139" i="555"/>
  <c r="AX139" i="555"/>
  <c r="AT139" i="555"/>
  <c r="A139" i="555"/>
  <c r="BY138" i="555"/>
  <c r="BX138" i="555"/>
  <c r="BW138" i="555"/>
  <c r="BV138" i="555"/>
  <c r="BU138" i="555"/>
  <c r="BT138" i="555"/>
  <c r="AY138" i="555"/>
  <c r="AX138" i="555"/>
  <c r="AT138" i="555"/>
  <c r="A138" i="555"/>
  <c r="BY137" i="555"/>
  <c r="BX137" i="555"/>
  <c r="BW137" i="555"/>
  <c r="BV137" i="555"/>
  <c r="BU137" i="555"/>
  <c r="BT137" i="555"/>
  <c r="AY137" i="555"/>
  <c r="AX137" i="555"/>
  <c r="AT137" i="555"/>
  <c r="A137" i="555"/>
  <c r="BY136" i="555"/>
  <c r="BX136" i="555"/>
  <c r="BW136" i="555"/>
  <c r="BV136" i="555"/>
  <c r="BU136" i="555"/>
  <c r="BT136" i="555"/>
  <c r="AY136" i="555"/>
  <c r="AX136" i="555"/>
  <c r="AT136" i="555"/>
  <c r="A136" i="555"/>
  <c r="BY135" i="555"/>
  <c r="BX135" i="555"/>
  <c r="BW135" i="555"/>
  <c r="BV135" i="555"/>
  <c r="BU135" i="555"/>
  <c r="BT135" i="555"/>
  <c r="AY135" i="555"/>
  <c r="AX135" i="555"/>
  <c r="AT135" i="555"/>
  <c r="A135" i="555"/>
  <c r="BY134" i="555"/>
  <c r="BX134" i="555"/>
  <c r="BW134" i="555"/>
  <c r="BU134" i="555"/>
  <c r="BT134" i="555"/>
  <c r="BH134" i="555"/>
  <c r="BV134" i="555" s="1"/>
  <c r="AY134" i="555"/>
  <c r="AX134" i="555"/>
  <c r="Z134" i="555"/>
  <c r="Q134" i="555"/>
  <c r="A134" i="555"/>
  <c r="BY133" i="555"/>
  <c r="BX133" i="555"/>
  <c r="BW133" i="555"/>
  <c r="BU133" i="555"/>
  <c r="BT133" i="555"/>
  <c r="BH133" i="555"/>
  <c r="BV133" i="555"/>
  <c r="AY133" i="555"/>
  <c r="AX133" i="555"/>
  <c r="Z133" i="555"/>
  <c r="Q133" i="555"/>
  <c r="A133" i="555"/>
  <c r="BY132" i="555"/>
  <c r="BX132" i="555"/>
  <c r="BZ132" i="555" s="1"/>
  <c r="BW132" i="555"/>
  <c r="BU132" i="555"/>
  <c r="BT132" i="555"/>
  <c r="BH132" i="555"/>
  <c r="BV132" i="555" s="1"/>
  <c r="AY132" i="555"/>
  <c r="AX132" i="555"/>
  <c r="Z132" i="555"/>
  <c r="Q132" i="555"/>
  <c r="A132" i="555"/>
  <c r="BY131" i="555"/>
  <c r="BX131" i="555"/>
  <c r="BW131" i="555"/>
  <c r="BU131" i="555"/>
  <c r="BT131" i="555"/>
  <c r="BH131" i="555"/>
  <c r="BV131" i="555"/>
  <c r="AY131" i="555"/>
  <c r="AX131" i="555"/>
  <c r="AZ131" i="555" s="1"/>
  <c r="CA131" i="555" s="1"/>
  <c r="Z131" i="555"/>
  <c r="Q131" i="555"/>
  <c r="A131" i="555"/>
  <c r="BY130" i="555"/>
  <c r="BX130" i="555"/>
  <c r="BW130" i="555"/>
  <c r="BU130" i="555"/>
  <c r="BT130" i="555"/>
  <c r="BH130" i="555"/>
  <c r="BV130" i="555"/>
  <c r="AY130" i="555"/>
  <c r="AX130" i="555"/>
  <c r="Z130" i="555"/>
  <c r="Q130" i="555"/>
  <c r="A130" i="555"/>
  <c r="BY129" i="555"/>
  <c r="BX129" i="555"/>
  <c r="BW129" i="555"/>
  <c r="BU129" i="555"/>
  <c r="BT129" i="555"/>
  <c r="BZ129" i="555" s="1"/>
  <c r="CB129" i="555" s="1"/>
  <c r="BH129" i="555"/>
  <c r="BV129" i="555"/>
  <c r="AY129" i="555"/>
  <c r="AX129" i="555"/>
  <c r="Z129" i="555"/>
  <c r="Q129" i="555"/>
  <c r="A129" i="555"/>
  <c r="BY128" i="555"/>
  <c r="BX128" i="555"/>
  <c r="BW128" i="555"/>
  <c r="BU128" i="555"/>
  <c r="BT128" i="555"/>
  <c r="BH128" i="555"/>
  <c r="BV128" i="555" s="1"/>
  <c r="AY128" i="555"/>
  <c r="AZ128" i="555" s="1"/>
  <c r="CA128" i="555" s="1"/>
  <c r="AX128" i="555"/>
  <c r="Z128" i="555"/>
  <c r="Q128" i="555"/>
  <c r="A128" i="555"/>
  <c r="BY127" i="555"/>
  <c r="BX127" i="555"/>
  <c r="BW127" i="555"/>
  <c r="BU127" i="555"/>
  <c r="BT127" i="555"/>
  <c r="BH127" i="555"/>
  <c r="BV127" i="555" s="1"/>
  <c r="AY127" i="555"/>
  <c r="AZ127" i="555" s="1"/>
  <c r="AX127" i="555"/>
  <c r="Z127" i="555"/>
  <c r="Q127" i="555"/>
  <c r="A127" i="555"/>
  <c r="BY126" i="555"/>
  <c r="BX126" i="555"/>
  <c r="BW126" i="555"/>
  <c r="BU126" i="555"/>
  <c r="BT126" i="555"/>
  <c r="BZ126" i="555" s="1"/>
  <c r="BH126" i="555"/>
  <c r="BV126" i="555" s="1"/>
  <c r="AY126" i="555"/>
  <c r="AX126" i="555"/>
  <c r="Z126" i="555"/>
  <c r="Z192" i="555" s="1"/>
  <c r="Q126" i="555"/>
  <c r="A126" i="555"/>
  <c r="BY125" i="555"/>
  <c r="BX125" i="555"/>
  <c r="BW125" i="555"/>
  <c r="BU125" i="555"/>
  <c r="BT125" i="555"/>
  <c r="BH125" i="555"/>
  <c r="BV125" i="555" s="1"/>
  <c r="AY125" i="555"/>
  <c r="AX125" i="555"/>
  <c r="Z125" i="555"/>
  <c r="A125" i="555"/>
  <c r="BY124" i="555"/>
  <c r="BX124" i="555"/>
  <c r="BW124" i="555"/>
  <c r="BU124" i="555"/>
  <c r="BT124" i="555"/>
  <c r="BH124" i="555"/>
  <c r="BV124" i="555"/>
  <c r="AY124" i="555"/>
  <c r="AX124" i="555"/>
  <c r="Z124" i="555"/>
  <c r="Q124" i="555"/>
  <c r="A124" i="555"/>
  <c r="BY123" i="555"/>
  <c r="BX123" i="555"/>
  <c r="BW123" i="555"/>
  <c r="BU123" i="555"/>
  <c r="BT123" i="555"/>
  <c r="BH123" i="555"/>
  <c r="BV123" i="555"/>
  <c r="AY123" i="555"/>
  <c r="AX123" i="555"/>
  <c r="AL123" i="555"/>
  <c r="Q123" i="555"/>
  <c r="A123" i="555"/>
  <c r="BY122" i="555"/>
  <c r="BX122" i="555"/>
  <c r="BW122" i="555"/>
  <c r="BU122" i="555"/>
  <c r="BT122" i="555"/>
  <c r="BH122" i="555"/>
  <c r="BV122" i="555" s="1"/>
  <c r="BZ122" i="555" s="1"/>
  <c r="CB122" i="555" s="1"/>
  <c r="AY122" i="555"/>
  <c r="AX122" i="555"/>
  <c r="AL122" i="555"/>
  <c r="Q122" i="555"/>
  <c r="A122" i="555"/>
  <c r="BY121" i="555"/>
  <c r="BX121" i="555"/>
  <c r="BW121" i="555"/>
  <c r="BU121" i="555"/>
  <c r="BT121" i="555"/>
  <c r="BH121" i="555"/>
  <c r="BV121" i="555"/>
  <c r="AY121" i="555"/>
  <c r="AZ121" i="555" s="1"/>
  <c r="CA121" i="555" s="1"/>
  <c r="AX121" i="555"/>
  <c r="AL121" i="555"/>
  <c r="Q121" i="555"/>
  <c r="A121" i="555"/>
  <c r="BY120" i="555"/>
  <c r="BX120" i="555"/>
  <c r="BW120" i="555"/>
  <c r="BU120" i="555"/>
  <c r="BT120" i="555"/>
  <c r="BH120" i="555"/>
  <c r="BV120" i="555" s="1"/>
  <c r="AY120" i="555"/>
  <c r="AZ120" i="555" s="1"/>
  <c r="CA120" i="555" s="1"/>
  <c r="AX120" i="555"/>
  <c r="AL120" i="555"/>
  <c r="Q120" i="555"/>
  <c r="A120" i="555"/>
  <c r="BY119" i="555"/>
  <c r="BX119" i="555"/>
  <c r="BW119" i="555"/>
  <c r="BU119" i="555"/>
  <c r="BT119" i="555"/>
  <c r="BH119" i="555"/>
  <c r="BV119" i="555" s="1"/>
  <c r="AY119" i="555"/>
  <c r="AZ119" i="555" s="1"/>
  <c r="AX119" i="555"/>
  <c r="AL119" i="555"/>
  <c r="Q119" i="555"/>
  <c r="A119" i="555"/>
  <c r="BY118" i="555"/>
  <c r="BX118" i="555"/>
  <c r="BW118" i="555"/>
  <c r="BU118" i="555"/>
  <c r="BT118" i="555"/>
  <c r="BZ118" i="555" s="1"/>
  <c r="BH118" i="555"/>
  <c r="BV118" i="555"/>
  <c r="AY118" i="555"/>
  <c r="AX118" i="555"/>
  <c r="AZ118" i="555" s="1"/>
  <c r="CA118" i="555" s="1"/>
  <c r="CB118" i="555" s="1"/>
  <c r="AL118" i="555"/>
  <c r="Q118" i="555"/>
  <c r="A118" i="555"/>
  <c r="BY117" i="555"/>
  <c r="BX117" i="555"/>
  <c r="BW117" i="555"/>
  <c r="BV117" i="555"/>
  <c r="BU117" i="555"/>
  <c r="BT117" i="555"/>
  <c r="BZ117" i="555" s="1"/>
  <c r="CB117" i="555" s="1"/>
  <c r="AY117" i="555"/>
  <c r="AX117" i="555"/>
  <c r="AM117" i="555"/>
  <c r="Q117" i="555"/>
  <c r="A117" i="555"/>
  <c r="BY116" i="555"/>
  <c r="BX116" i="555"/>
  <c r="BW116" i="555"/>
  <c r="BV116" i="555"/>
  <c r="BU116" i="555"/>
  <c r="BT116" i="555"/>
  <c r="AY116" i="555"/>
  <c r="AX116" i="555"/>
  <c r="AM116" i="555"/>
  <c r="Q116" i="555"/>
  <c r="A116" i="555"/>
  <c r="BY115" i="555"/>
  <c r="BX115" i="555"/>
  <c r="BZ115" i="555" s="1"/>
  <c r="BW115" i="555"/>
  <c r="BV115" i="555"/>
  <c r="BU115" i="555"/>
  <c r="BT115" i="555"/>
  <c r="AY115" i="555"/>
  <c r="AX115" i="555"/>
  <c r="AM115" i="555"/>
  <c r="Q115" i="555"/>
  <c r="A115" i="555"/>
  <c r="BY114" i="555"/>
  <c r="BX114" i="555"/>
  <c r="BW114" i="555"/>
  <c r="BV114" i="555"/>
  <c r="BU114" i="555"/>
  <c r="BT114" i="555"/>
  <c r="BZ114" i="555" s="1"/>
  <c r="AY114" i="555"/>
  <c r="AX114" i="555"/>
  <c r="AR114" i="555"/>
  <c r="AR192" i="555" s="1"/>
  <c r="A114" i="555"/>
  <c r="BY113" i="555"/>
  <c r="BX113" i="555"/>
  <c r="BW113" i="555"/>
  <c r="BV113" i="555"/>
  <c r="BU113" i="555"/>
  <c r="BT113" i="555"/>
  <c r="AY113" i="555"/>
  <c r="AZ113" i="555" s="1"/>
  <c r="CA113" i="555" s="1"/>
  <c r="AX113" i="555"/>
  <c r="AR113" i="555"/>
  <c r="A113" i="555"/>
  <c r="BY112" i="555"/>
  <c r="BX112" i="555"/>
  <c r="BW112" i="555"/>
  <c r="BV112" i="555"/>
  <c r="BU112" i="555"/>
  <c r="BT112" i="555"/>
  <c r="AY112" i="555"/>
  <c r="AX112" i="555"/>
  <c r="AK112" i="555"/>
  <c r="A112" i="555"/>
  <c r="BY111" i="555"/>
  <c r="BX111" i="555"/>
  <c r="BW111" i="555"/>
  <c r="BV111" i="555"/>
  <c r="BU111" i="555"/>
  <c r="BT111" i="555"/>
  <c r="AY111" i="555"/>
  <c r="AZ111" i="555" s="1"/>
  <c r="CA111" i="555" s="1"/>
  <c r="AX111" i="555"/>
  <c r="AK111" i="555"/>
  <c r="A111" i="555"/>
  <c r="BY110" i="555"/>
  <c r="BX110" i="555"/>
  <c r="BW110" i="555"/>
  <c r="BV110" i="555"/>
  <c r="BU110" i="555"/>
  <c r="BT110" i="555"/>
  <c r="AY110" i="555"/>
  <c r="AZ110" i="555" s="1"/>
  <c r="CA110" i="555" s="1"/>
  <c r="AX110" i="555"/>
  <c r="AK110" i="555"/>
  <c r="A110" i="555"/>
  <c r="BY109" i="555"/>
  <c r="BX109" i="555"/>
  <c r="BW109" i="555"/>
  <c r="BV109" i="555"/>
  <c r="BU109" i="555"/>
  <c r="BT109" i="555"/>
  <c r="AY109" i="555"/>
  <c r="AX109" i="555"/>
  <c r="AZ109" i="555" s="1"/>
  <c r="CA109" i="555" s="1"/>
  <c r="AB109" i="555"/>
  <c r="AB192" i="555"/>
  <c r="Q109" i="555"/>
  <c r="A109" i="555"/>
  <c r="BY108" i="555"/>
  <c r="BX108" i="555"/>
  <c r="BW108" i="555"/>
  <c r="BV108" i="555"/>
  <c r="BU108" i="555"/>
  <c r="BT108" i="555"/>
  <c r="AY108" i="555"/>
  <c r="AX108" i="555"/>
  <c r="Q108" i="555"/>
  <c r="A108" i="555"/>
  <c r="BY107" i="555"/>
  <c r="BX107" i="555"/>
  <c r="BW107" i="555"/>
  <c r="BV107" i="555"/>
  <c r="BU107" i="555"/>
  <c r="BT107" i="555"/>
  <c r="AY107" i="555"/>
  <c r="AX107" i="555"/>
  <c r="AZ107" i="555" s="1"/>
  <c r="CA107" i="555" s="1"/>
  <c r="Q107" i="555"/>
  <c r="A107" i="555"/>
  <c r="BY106" i="555"/>
  <c r="BX106" i="555"/>
  <c r="BW106" i="555"/>
  <c r="BV106" i="555"/>
  <c r="BU106" i="555"/>
  <c r="BT106" i="555"/>
  <c r="AY106" i="555"/>
  <c r="AZ106" i="555" s="1"/>
  <c r="CA106" i="555" s="1"/>
  <c r="AX106" i="555"/>
  <c r="AD106" i="555"/>
  <c r="Q106" i="555"/>
  <c r="A106" i="555"/>
  <c r="BY105" i="555"/>
  <c r="BX105" i="555"/>
  <c r="BW105" i="555"/>
  <c r="BV105" i="555"/>
  <c r="BU105" i="555"/>
  <c r="BT105" i="555"/>
  <c r="AY105" i="555"/>
  <c r="AZ105" i="555" s="1"/>
  <c r="CA105" i="555" s="1"/>
  <c r="AX105" i="555"/>
  <c r="Q105" i="555"/>
  <c r="A105" i="555"/>
  <c r="BY104" i="555"/>
  <c r="BX104" i="555"/>
  <c r="BW104" i="555"/>
  <c r="BV104" i="555"/>
  <c r="BU104" i="555"/>
  <c r="BT104" i="555"/>
  <c r="AY104" i="555"/>
  <c r="AX104" i="555"/>
  <c r="AD104" i="555"/>
  <c r="Q104" i="555"/>
  <c r="A104" i="555"/>
  <c r="BY103" i="555"/>
  <c r="BX103" i="555"/>
  <c r="BW103" i="555"/>
  <c r="BV103" i="555"/>
  <c r="BU103" i="555"/>
  <c r="BT103" i="555"/>
  <c r="AY103" i="555"/>
  <c r="AX103" i="555"/>
  <c r="AZ103" i="555" s="1"/>
  <c r="CA103" i="555" s="1"/>
  <c r="AH103" i="555"/>
  <c r="Q103" i="555"/>
  <c r="A103" i="555"/>
  <c r="BY102" i="555"/>
  <c r="BX102" i="555"/>
  <c r="BW102" i="555"/>
  <c r="BV102" i="555"/>
  <c r="BU102" i="555"/>
  <c r="BT102" i="555"/>
  <c r="AY102" i="555"/>
  <c r="AZ102" i="555" s="1"/>
  <c r="CA102" i="555" s="1"/>
  <c r="AX102" i="555"/>
  <c r="AH102" i="555"/>
  <c r="A102" i="555"/>
  <c r="BY101" i="555"/>
  <c r="BX101" i="555"/>
  <c r="BW101" i="555"/>
  <c r="BV101" i="555"/>
  <c r="BU101" i="555"/>
  <c r="BT101" i="555"/>
  <c r="AY101" i="555"/>
  <c r="AX101" i="555"/>
  <c r="AZ101" i="555" s="1"/>
  <c r="CA101" i="555" s="1"/>
  <c r="AD101" i="555"/>
  <c r="Q101" i="555"/>
  <c r="A101" i="555"/>
  <c r="BY100" i="555"/>
  <c r="BX100" i="555"/>
  <c r="BW100" i="555"/>
  <c r="BV100" i="555"/>
  <c r="BU100" i="555"/>
  <c r="BT100" i="555"/>
  <c r="BZ100" i="555" s="1"/>
  <c r="AY100" i="555"/>
  <c r="AX100" i="555"/>
  <c r="AH100" i="555"/>
  <c r="Q100" i="555"/>
  <c r="A100" i="555"/>
  <c r="BY99" i="555"/>
  <c r="BX99" i="555"/>
  <c r="BW99" i="555"/>
  <c r="BV99" i="555"/>
  <c r="BU99" i="555"/>
  <c r="BT99" i="555"/>
  <c r="AY99" i="555"/>
  <c r="AZ99" i="555" s="1"/>
  <c r="CA99" i="555" s="1"/>
  <c r="AX99" i="555"/>
  <c r="AD99" i="555"/>
  <c r="Q99" i="555"/>
  <c r="A99" i="555"/>
  <c r="BY98" i="555"/>
  <c r="BX98" i="555"/>
  <c r="BW98" i="555"/>
  <c r="BV98" i="555"/>
  <c r="BZ98" i="555" s="1"/>
  <c r="BU98" i="555"/>
  <c r="BT98" i="555"/>
  <c r="AY98" i="555"/>
  <c r="AX98" i="555"/>
  <c r="AD98" i="555"/>
  <c r="Q98" i="555"/>
  <c r="A98" i="555"/>
  <c r="BY97" i="555"/>
  <c r="BX97" i="555"/>
  <c r="BW97" i="555"/>
  <c r="BV97" i="555"/>
  <c r="BU97" i="555"/>
  <c r="BZ97" i="555" s="1"/>
  <c r="BT97" i="555"/>
  <c r="AY97" i="555"/>
  <c r="AX97" i="555"/>
  <c r="AD97" i="555"/>
  <c r="Q97" i="555"/>
  <c r="A97" i="555"/>
  <c r="BY96" i="555"/>
  <c r="BX96" i="555"/>
  <c r="BW96" i="555"/>
  <c r="BV96" i="555"/>
  <c r="BU96" i="555"/>
  <c r="BT96" i="555"/>
  <c r="AY96" i="555"/>
  <c r="AX96" i="555"/>
  <c r="AD96" i="555"/>
  <c r="Q96" i="555"/>
  <c r="A96" i="555"/>
  <c r="BY95" i="555"/>
  <c r="BX95" i="555"/>
  <c r="BW95" i="555"/>
  <c r="BV95" i="555"/>
  <c r="BU95" i="555"/>
  <c r="BT95" i="555"/>
  <c r="AY95" i="555"/>
  <c r="AX95" i="555"/>
  <c r="AI95" i="555"/>
  <c r="A95" i="555"/>
  <c r="BY94" i="555"/>
  <c r="BX94" i="555"/>
  <c r="BW94" i="555"/>
  <c r="BV94" i="555"/>
  <c r="BU94" i="555"/>
  <c r="BT94" i="555"/>
  <c r="AY94" i="555"/>
  <c r="AZ94" i="555" s="1"/>
  <c r="CA94" i="555" s="1"/>
  <c r="AX94" i="555"/>
  <c r="AI94" i="555"/>
  <c r="A94" i="555"/>
  <c r="BY93" i="555"/>
  <c r="BX93" i="555"/>
  <c r="BW93" i="555"/>
  <c r="BZ93" i="555" s="1"/>
  <c r="CB93" i="555" s="1"/>
  <c r="BV93" i="555"/>
  <c r="BU93" i="555"/>
  <c r="BT93" i="555"/>
  <c r="AY93" i="555"/>
  <c r="AX93" i="555"/>
  <c r="AI93" i="555"/>
  <c r="A93" i="555"/>
  <c r="BY92" i="555"/>
  <c r="BZ92" i="555" s="1"/>
  <c r="CB92" i="555" s="1"/>
  <c r="BX92" i="555"/>
  <c r="BW92" i="555"/>
  <c r="BV92" i="555"/>
  <c r="BU92" i="555"/>
  <c r="BT92" i="555"/>
  <c r="AY92" i="555"/>
  <c r="AZ92" i="555" s="1"/>
  <c r="CA92" i="555" s="1"/>
  <c r="AX92" i="555"/>
  <c r="AI92" i="555"/>
  <c r="A92" i="555"/>
  <c r="BY91" i="555"/>
  <c r="BX91" i="555"/>
  <c r="BW91" i="555"/>
  <c r="BV91" i="555"/>
  <c r="BU91" i="555"/>
  <c r="BT91" i="555"/>
  <c r="AY91" i="555"/>
  <c r="AX91" i="555"/>
  <c r="AI91" i="555"/>
  <c r="A91" i="555"/>
  <c r="BY90" i="555"/>
  <c r="BX90" i="555"/>
  <c r="BW90" i="555"/>
  <c r="BV90" i="555"/>
  <c r="BU90" i="555"/>
  <c r="BT90" i="555"/>
  <c r="AY90" i="555"/>
  <c r="AZ90" i="555" s="1"/>
  <c r="CA90" i="555" s="1"/>
  <c r="AX90" i="555"/>
  <c r="AI90" i="555"/>
  <c r="A90" i="555"/>
  <c r="BY89" i="555"/>
  <c r="BX89" i="555"/>
  <c r="BW89" i="555"/>
  <c r="BV89" i="555"/>
  <c r="BU89" i="555"/>
  <c r="BT89" i="555"/>
  <c r="AY89" i="555"/>
  <c r="AX89" i="555"/>
  <c r="AI89" i="555"/>
  <c r="A89" i="555"/>
  <c r="BY88" i="555"/>
  <c r="BX88" i="555"/>
  <c r="BW88" i="555"/>
  <c r="BU88" i="555"/>
  <c r="BT88" i="555"/>
  <c r="BH88" i="555"/>
  <c r="BV88" i="555"/>
  <c r="AY88" i="555"/>
  <c r="AX88" i="555"/>
  <c r="AA88" i="555"/>
  <c r="Q88" i="555"/>
  <c r="A88" i="555"/>
  <c r="BY87" i="555"/>
  <c r="BX87" i="555"/>
  <c r="BW87" i="555"/>
  <c r="BU87" i="555"/>
  <c r="BT87" i="555"/>
  <c r="BH87" i="555"/>
  <c r="BV87" i="555"/>
  <c r="BZ87" i="555" s="1"/>
  <c r="AY87" i="555"/>
  <c r="AX87" i="555"/>
  <c r="AA87" i="555"/>
  <c r="Q87" i="555"/>
  <c r="A87" i="555"/>
  <c r="BY86" i="555"/>
  <c r="BX86" i="555"/>
  <c r="BW86" i="555"/>
  <c r="BU86" i="555"/>
  <c r="BT86" i="555"/>
  <c r="BH86" i="555"/>
  <c r="BV86" i="555"/>
  <c r="AY86" i="555"/>
  <c r="AX86" i="555"/>
  <c r="AA86" i="555"/>
  <c r="AA192" i="555" s="1"/>
  <c r="Q86" i="555"/>
  <c r="A86" i="555"/>
  <c r="BY85" i="555"/>
  <c r="BX85" i="555"/>
  <c r="BW85" i="555"/>
  <c r="BU85" i="555"/>
  <c r="BT85" i="555"/>
  <c r="BZ85" i="555" s="1"/>
  <c r="CB85" i="555" s="1"/>
  <c r="BH85" i="555"/>
  <c r="BV85" i="555"/>
  <c r="AY85" i="555"/>
  <c r="AX85" i="555"/>
  <c r="AZ85" i="555" s="1"/>
  <c r="Y85" i="555"/>
  <c r="Q85" i="555"/>
  <c r="A85" i="555"/>
  <c r="BY84" i="555"/>
  <c r="BX84" i="555"/>
  <c r="BW84" i="555"/>
  <c r="BU84" i="555"/>
  <c r="BT84" i="555"/>
  <c r="BZ84" i="555" s="1"/>
  <c r="CB84" i="555" s="1"/>
  <c r="BH84" i="555"/>
  <c r="BV84" i="555" s="1"/>
  <c r="AY84" i="555"/>
  <c r="AX84" i="555"/>
  <c r="X84" i="555"/>
  <c r="Q84" i="555"/>
  <c r="A84" i="555"/>
  <c r="BY83" i="555"/>
  <c r="BX83" i="555"/>
  <c r="BZ83" i="555" s="1"/>
  <c r="CB83" i="555" s="1"/>
  <c r="BW83" i="555"/>
  <c r="BU83" i="555"/>
  <c r="BT83" i="555"/>
  <c r="BH83" i="555"/>
  <c r="BV83" i="555"/>
  <c r="AY83" i="555"/>
  <c r="AZ83" i="555" s="1"/>
  <c r="CA83" i="555" s="1"/>
  <c r="AX83" i="555"/>
  <c r="S83" i="555"/>
  <c r="X83" i="555" s="1"/>
  <c r="Q83" i="555"/>
  <c r="A83" i="555"/>
  <c r="BY82" i="555"/>
  <c r="BX82" i="555"/>
  <c r="BW82" i="555"/>
  <c r="BU82" i="555"/>
  <c r="BT82" i="555"/>
  <c r="BH82" i="555"/>
  <c r="BV82" i="555" s="1"/>
  <c r="BZ82" i="555" s="1"/>
  <c r="CB82" i="555" s="1"/>
  <c r="AY82" i="555"/>
  <c r="AZ82" i="555" s="1"/>
  <c r="CA82" i="555" s="1"/>
  <c r="AX82" i="555"/>
  <c r="Y82" i="555"/>
  <c r="Q82" i="555"/>
  <c r="A82" i="555"/>
  <c r="BY81" i="555"/>
  <c r="BX81" i="555"/>
  <c r="BW81" i="555"/>
  <c r="BU81" i="555"/>
  <c r="BT81" i="555"/>
  <c r="BH81" i="555"/>
  <c r="BV81" i="555"/>
  <c r="AY81" i="555"/>
  <c r="AX81" i="555"/>
  <c r="AZ81" i="555" s="1"/>
  <c r="Y81" i="555"/>
  <c r="Q81" i="555"/>
  <c r="A81" i="555"/>
  <c r="BY80" i="555"/>
  <c r="BX80" i="555"/>
  <c r="BW80" i="555"/>
  <c r="BU80" i="555"/>
  <c r="BT80" i="555"/>
  <c r="BH80" i="555"/>
  <c r="BV80" i="555" s="1"/>
  <c r="AY80" i="555"/>
  <c r="AX80" i="555"/>
  <c r="Y80" i="555"/>
  <c r="Q80" i="555"/>
  <c r="A80" i="555"/>
  <c r="BY79" i="555"/>
  <c r="BX79" i="555"/>
  <c r="BW79" i="555"/>
  <c r="BU79" i="555"/>
  <c r="BT79" i="555"/>
  <c r="BH79" i="555"/>
  <c r="BV79" i="555"/>
  <c r="AY79" i="555"/>
  <c r="AX79" i="555"/>
  <c r="Y79" i="555"/>
  <c r="Q79" i="555"/>
  <c r="A79" i="555"/>
  <c r="BY78" i="555"/>
  <c r="BX78" i="555"/>
  <c r="BW78" i="555"/>
  <c r="BU78" i="555"/>
  <c r="BT78" i="555"/>
  <c r="BH78" i="555"/>
  <c r="BV78" i="555" s="1"/>
  <c r="BZ78" i="555" s="1"/>
  <c r="AY78" i="555"/>
  <c r="AZ78" i="555" s="1"/>
  <c r="CA78" i="555" s="1"/>
  <c r="AX78" i="555"/>
  <c r="X78" i="555"/>
  <c r="Q78" i="555"/>
  <c r="A78" i="555"/>
  <c r="BY77" i="555"/>
  <c r="BX77" i="555"/>
  <c r="BW77" i="555"/>
  <c r="BU77" i="555"/>
  <c r="BT77" i="555"/>
  <c r="BH77" i="555"/>
  <c r="BV77" i="555"/>
  <c r="BZ77" i="555" s="1"/>
  <c r="CB77" i="555" s="1"/>
  <c r="AY77" i="555"/>
  <c r="AZ77" i="555" s="1"/>
  <c r="CA77" i="555" s="1"/>
  <c r="AX77" i="555"/>
  <c r="X77" i="555"/>
  <c r="Q77" i="555"/>
  <c r="A77" i="555"/>
  <c r="BY76" i="555"/>
  <c r="BX76" i="555"/>
  <c r="BW76" i="555"/>
  <c r="BU76" i="555"/>
  <c r="BZ76" i="555" s="1"/>
  <c r="CB76" i="555" s="1"/>
  <c r="BT76" i="555"/>
  <c r="BH76" i="555"/>
  <c r="BV76" i="555" s="1"/>
  <c r="AY76" i="555"/>
  <c r="AX76" i="555"/>
  <c r="X76" i="555"/>
  <c r="Q76" i="555"/>
  <c r="A76" i="555"/>
  <c r="BY75" i="555"/>
  <c r="BX75" i="555"/>
  <c r="BW75" i="555"/>
  <c r="BU75" i="555"/>
  <c r="BT75" i="555"/>
  <c r="BH75" i="555"/>
  <c r="BV75" i="555" s="1"/>
  <c r="AY75" i="555"/>
  <c r="AZ75" i="555" s="1"/>
  <c r="CA75" i="555" s="1"/>
  <c r="AX75" i="555"/>
  <c r="X75" i="555"/>
  <c r="Q75" i="555"/>
  <c r="A75" i="555"/>
  <c r="BY74" i="555"/>
  <c r="BX74" i="555"/>
  <c r="BW74" i="555"/>
  <c r="BU74" i="555"/>
  <c r="BT74" i="555"/>
  <c r="BZ74" i="555" s="1"/>
  <c r="BH74" i="555"/>
  <c r="BV74" i="555"/>
  <c r="AY74" i="555"/>
  <c r="AX74" i="555"/>
  <c r="Y74" i="555"/>
  <c r="Q74" i="555"/>
  <c r="A74" i="555"/>
  <c r="BY73" i="555"/>
  <c r="BX73" i="555"/>
  <c r="BW73" i="555"/>
  <c r="BU73" i="555"/>
  <c r="BT73" i="555"/>
  <c r="BH73" i="555"/>
  <c r="BV73" i="555"/>
  <c r="AY73" i="555"/>
  <c r="AZ73" i="555" s="1"/>
  <c r="AX73" i="555"/>
  <c r="X73" i="555"/>
  <c r="Q73" i="555"/>
  <c r="A73" i="555"/>
  <c r="BY72" i="555"/>
  <c r="BX72" i="555"/>
  <c r="BW72" i="555"/>
  <c r="BU72" i="555"/>
  <c r="BT72" i="555"/>
  <c r="BH72" i="555"/>
  <c r="BV72" i="555" s="1"/>
  <c r="BZ72" i="555" s="1"/>
  <c r="AY72" i="555"/>
  <c r="AZ72" i="555" s="1"/>
  <c r="CA72" i="555" s="1"/>
  <c r="AX72" i="555"/>
  <c r="X72" i="555"/>
  <c r="Q72" i="555"/>
  <c r="A72" i="555"/>
  <c r="BY71" i="555"/>
  <c r="BX71" i="555"/>
  <c r="BW71" i="555"/>
  <c r="BU71" i="555"/>
  <c r="BT71" i="555"/>
  <c r="BH71" i="555"/>
  <c r="BV71" i="555"/>
  <c r="AY71" i="555"/>
  <c r="AX71" i="555"/>
  <c r="X71" i="555"/>
  <c r="Q71" i="555"/>
  <c r="A71" i="555"/>
  <c r="BY70" i="555"/>
  <c r="BX70" i="555"/>
  <c r="BW70" i="555"/>
  <c r="BU70" i="555"/>
  <c r="BT70" i="555"/>
  <c r="BH70" i="555"/>
  <c r="BV70" i="555" s="1"/>
  <c r="AY70" i="555"/>
  <c r="AZ70" i="555" s="1"/>
  <c r="CA70" i="555" s="1"/>
  <c r="AX70" i="555"/>
  <c r="X70" i="555"/>
  <c r="Q70" i="555"/>
  <c r="A70" i="555"/>
  <c r="BY69" i="555"/>
  <c r="BX69" i="555"/>
  <c r="BW69" i="555"/>
  <c r="BU69" i="555"/>
  <c r="BT69" i="555"/>
  <c r="BH69" i="555"/>
  <c r="BV69" i="555"/>
  <c r="AY69" i="555"/>
  <c r="AX69" i="555"/>
  <c r="AZ69" i="555"/>
  <c r="CA69" i="555"/>
  <c r="X69" i="555"/>
  <c r="Q69" i="555"/>
  <c r="A69" i="555"/>
  <c r="BY68" i="555"/>
  <c r="BX68" i="555"/>
  <c r="BW68" i="555"/>
  <c r="BU68" i="555"/>
  <c r="BT68" i="555"/>
  <c r="BH68" i="555"/>
  <c r="BV68" i="555"/>
  <c r="AY68" i="555"/>
  <c r="AZ68" i="555" s="1"/>
  <c r="AX68" i="555"/>
  <c r="X68" i="555"/>
  <c r="Q68" i="555"/>
  <c r="A68" i="555"/>
  <c r="BY67" i="555"/>
  <c r="BX67" i="555"/>
  <c r="BW67" i="555"/>
  <c r="BU67" i="555"/>
  <c r="BT67" i="555"/>
  <c r="BH67" i="555"/>
  <c r="BV67" i="555"/>
  <c r="AY67" i="555"/>
  <c r="AZ67" i="555" s="1"/>
  <c r="CA67" i="555" s="1"/>
  <c r="AX67" i="555"/>
  <c r="Y67" i="555"/>
  <c r="Q67" i="555"/>
  <c r="A67" i="555"/>
  <c r="BY66" i="555"/>
  <c r="BX66" i="555"/>
  <c r="BW66" i="555"/>
  <c r="BU66" i="555"/>
  <c r="BT66" i="555"/>
  <c r="BH66" i="555"/>
  <c r="BV66" i="555" s="1"/>
  <c r="BZ66" i="555" s="1"/>
  <c r="CB66" i="555" s="1"/>
  <c r="AY66" i="555"/>
  <c r="AX66" i="555"/>
  <c r="Y66" i="555"/>
  <c r="X66" i="555"/>
  <c r="Q66" i="555"/>
  <c r="A66" i="555"/>
  <c r="BY65" i="555"/>
  <c r="BX65" i="555"/>
  <c r="BW65" i="555"/>
  <c r="BU65" i="555"/>
  <c r="BT65" i="555"/>
  <c r="BH65" i="555"/>
  <c r="BV65" i="555" s="1"/>
  <c r="AY65" i="555"/>
  <c r="AZ65" i="555" s="1"/>
  <c r="CA65" i="555" s="1"/>
  <c r="AX65" i="555"/>
  <c r="Y65" i="555"/>
  <c r="X65" i="555"/>
  <c r="Q65" i="555"/>
  <c r="A65" i="555"/>
  <c r="BY64" i="555"/>
  <c r="BX64" i="555"/>
  <c r="BW64" i="555"/>
  <c r="BU64" i="555"/>
  <c r="BT64" i="555"/>
  <c r="BH64" i="555"/>
  <c r="BV64" i="555"/>
  <c r="BZ64" i="555" s="1"/>
  <c r="AY64" i="555"/>
  <c r="AX64" i="555"/>
  <c r="AZ64" i="555" s="1"/>
  <c r="CA64" i="555" s="1"/>
  <c r="Y64" i="555"/>
  <c r="X64" i="555"/>
  <c r="Q64" i="555"/>
  <c r="A64" i="555"/>
  <c r="BY63" i="555"/>
  <c r="BX63" i="555"/>
  <c r="BW63" i="555"/>
  <c r="BU63" i="555"/>
  <c r="BT63" i="555"/>
  <c r="BH63" i="555"/>
  <c r="BV63" i="555"/>
  <c r="AY63" i="555"/>
  <c r="AZ63" i="555" s="1"/>
  <c r="CA63" i="555" s="1"/>
  <c r="AX63" i="555"/>
  <c r="Y63" i="555"/>
  <c r="Q63" i="555"/>
  <c r="A63" i="555"/>
  <c r="BY62" i="555"/>
  <c r="BX62" i="555"/>
  <c r="BW62" i="555"/>
  <c r="BU62" i="555"/>
  <c r="BT62" i="555"/>
  <c r="BH62" i="555"/>
  <c r="BV62" i="555" s="1"/>
  <c r="AY62" i="555"/>
  <c r="AZ62" i="555" s="1"/>
  <c r="CA62" i="555" s="1"/>
  <c r="AX62" i="555"/>
  <c r="S62" i="555"/>
  <c r="Y62" i="555" s="1"/>
  <c r="Q62" i="555"/>
  <c r="A62" i="555"/>
  <c r="BY61" i="555"/>
  <c r="BX61" i="555"/>
  <c r="BW61" i="555"/>
  <c r="BU61" i="555"/>
  <c r="BT61" i="555"/>
  <c r="BH61" i="555"/>
  <c r="BV61" i="555" s="1"/>
  <c r="AY61" i="555"/>
  <c r="AX61" i="555"/>
  <c r="AZ61" i="555" s="1"/>
  <c r="Y61" i="555"/>
  <c r="Q61" i="555"/>
  <c r="A61" i="555"/>
  <c r="BY60" i="555"/>
  <c r="BX60" i="555"/>
  <c r="BW60" i="555"/>
  <c r="BU60" i="555"/>
  <c r="BT60" i="555"/>
  <c r="BH60" i="555"/>
  <c r="BV60" i="555" s="1"/>
  <c r="AY60" i="555"/>
  <c r="AZ60" i="555" s="1"/>
  <c r="CA60" i="555" s="1"/>
  <c r="AX60" i="555"/>
  <c r="Y60" i="555"/>
  <c r="Q60" i="555"/>
  <c r="A60" i="555"/>
  <c r="BY59" i="555"/>
  <c r="BX59" i="555"/>
  <c r="BW59" i="555"/>
  <c r="BU59" i="555"/>
  <c r="BT59" i="555"/>
  <c r="BH59" i="555"/>
  <c r="BV59" i="555" s="1"/>
  <c r="AY59" i="555"/>
  <c r="AZ59" i="555" s="1"/>
  <c r="CA59" i="555" s="1"/>
  <c r="AX59" i="555"/>
  <c r="Y59" i="555"/>
  <c r="Q59" i="555"/>
  <c r="A59" i="555"/>
  <c r="BY58" i="555"/>
  <c r="BX58" i="555"/>
  <c r="BW58" i="555"/>
  <c r="BU58" i="555"/>
  <c r="BT58" i="555"/>
  <c r="BH58" i="555"/>
  <c r="BV58" i="555"/>
  <c r="AY58" i="555"/>
  <c r="AX58" i="555"/>
  <c r="Y58" i="555"/>
  <c r="Q58" i="555"/>
  <c r="A58" i="555"/>
  <c r="BY57" i="555"/>
  <c r="BX57" i="555"/>
  <c r="BW57" i="555"/>
  <c r="BU57" i="555"/>
  <c r="BT57" i="555"/>
  <c r="BH57" i="555"/>
  <c r="BV57" i="555" s="1"/>
  <c r="AY57" i="555"/>
  <c r="AZ57" i="555" s="1"/>
  <c r="CA57" i="555" s="1"/>
  <c r="AX57" i="555"/>
  <c r="S57" i="555"/>
  <c r="Y57" i="555"/>
  <c r="Q57" i="555"/>
  <c r="A57" i="555"/>
  <c r="BY56" i="555"/>
  <c r="BX56" i="555"/>
  <c r="BW56" i="555"/>
  <c r="BU56" i="555"/>
  <c r="BT56" i="555"/>
  <c r="BH56" i="555"/>
  <c r="BV56" i="555"/>
  <c r="AY56" i="555"/>
  <c r="AX56" i="555"/>
  <c r="X56" i="555"/>
  <c r="Q56" i="555"/>
  <c r="A56" i="555"/>
  <c r="BY55" i="555"/>
  <c r="BX55" i="555"/>
  <c r="BW55" i="555"/>
  <c r="BU55" i="555"/>
  <c r="BT55" i="555"/>
  <c r="BH55" i="555"/>
  <c r="BV55" i="555" s="1"/>
  <c r="AY55" i="555"/>
  <c r="AZ55" i="555" s="1"/>
  <c r="CA55" i="555" s="1"/>
  <c r="AX55" i="555"/>
  <c r="X55" i="555"/>
  <c r="Q55" i="555"/>
  <c r="A55" i="555"/>
  <c r="BY54" i="555"/>
  <c r="BX54" i="555"/>
  <c r="BW54" i="555"/>
  <c r="BZ54" i="555" s="1"/>
  <c r="BU54" i="555"/>
  <c r="BT54" i="555"/>
  <c r="BH54" i="555"/>
  <c r="BV54" i="555"/>
  <c r="AY54" i="555"/>
  <c r="AX54" i="555"/>
  <c r="AZ54" i="555"/>
  <c r="CA54" i="555" s="1"/>
  <c r="Y54" i="555"/>
  <c r="Q54" i="555"/>
  <c r="A54" i="555"/>
  <c r="BY53" i="555"/>
  <c r="BX53" i="555"/>
  <c r="BW53" i="555"/>
  <c r="BU53" i="555"/>
  <c r="BT53" i="555"/>
  <c r="BH53" i="555"/>
  <c r="BV53" i="555" s="1"/>
  <c r="AY53" i="555"/>
  <c r="AX53" i="555"/>
  <c r="Y53" i="555"/>
  <c r="Q53" i="555"/>
  <c r="A53" i="555"/>
  <c r="BY52" i="555"/>
  <c r="BX52" i="555"/>
  <c r="BW52" i="555"/>
  <c r="BU52" i="555"/>
  <c r="BT52" i="555"/>
  <c r="BH52" i="555"/>
  <c r="BV52" i="555" s="1"/>
  <c r="AY52" i="555"/>
  <c r="AX52" i="555"/>
  <c r="X52" i="555"/>
  <c r="Q52" i="555"/>
  <c r="A52" i="555"/>
  <c r="BY51" i="555"/>
  <c r="BX51" i="555"/>
  <c r="BW51" i="555"/>
  <c r="BU51" i="555"/>
  <c r="BT51" i="555"/>
  <c r="BH51" i="555"/>
  <c r="BV51" i="555"/>
  <c r="AY51" i="555"/>
  <c r="AX51" i="555"/>
  <c r="X51" i="555"/>
  <c r="Q51" i="555"/>
  <c r="A51" i="555"/>
  <c r="BY50" i="555"/>
  <c r="BX50" i="555"/>
  <c r="BW50" i="555"/>
  <c r="BU50" i="555"/>
  <c r="BT50" i="555"/>
  <c r="BH50" i="555"/>
  <c r="BV50" i="555"/>
  <c r="AY50" i="555"/>
  <c r="AX50" i="555"/>
  <c r="AZ50" i="555"/>
  <c r="CA50" i="555" s="1"/>
  <c r="X50" i="555"/>
  <c r="Q50" i="555"/>
  <c r="A50" i="555"/>
  <c r="BY49" i="555"/>
  <c r="BX49" i="555"/>
  <c r="BW49" i="555"/>
  <c r="BU49" i="555"/>
  <c r="BT49" i="555"/>
  <c r="BH49" i="555"/>
  <c r="BV49" i="555"/>
  <c r="AY49" i="555"/>
  <c r="AZ49" i="555" s="1"/>
  <c r="CA49" i="555" s="1"/>
  <c r="AX49" i="555"/>
  <c r="S49" i="555"/>
  <c r="Y49" i="555" s="1"/>
  <c r="Q49" i="555"/>
  <c r="A49" i="555"/>
  <c r="BY48" i="555"/>
  <c r="BX48" i="555"/>
  <c r="BW48" i="555"/>
  <c r="BU48" i="555"/>
  <c r="BT48" i="555"/>
  <c r="BH48" i="555"/>
  <c r="BV48" i="555" s="1"/>
  <c r="AY48" i="555"/>
  <c r="AX48" i="555"/>
  <c r="X48" i="555"/>
  <c r="Q48" i="555"/>
  <c r="A48" i="555"/>
  <c r="BY47" i="555"/>
  <c r="BX47" i="555"/>
  <c r="BW47" i="555"/>
  <c r="BU47" i="555"/>
  <c r="BT47" i="555"/>
  <c r="BH47" i="555"/>
  <c r="BV47" i="555"/>
  <c r="AY47" i="555"/>
  <c r="AX47" i="555"/>
  <c r="X47" i="555"/>
  <c r="Q47" i="555"/>
  <c r="A47" i="555"/>
  <c r="BY46" i="555"/>
  <c r="BX46" i="555"/>
  <c r="BW46" i="555"/>
  <c r="BU46" i="555"/>
  <c r="BT46" i="555"/>
  <c r="BH46" i="555"/>
  <c r="BV46" i="555"/>
  <c r="AY46" i="555"/>
  <c r="AX46" i="555"/>
  <c r="X46" i="555"/>
  <c r="Q46" i="555"/>
  <c r="A46" i="555"/>
  <c r="BY45" i="555"/>
  <c r="BX45" i="555"/>
  <c r="BW45" i="555"/>
  <c r="BU45" i="555"/>
  <c r="BT45" i="555"/>
  <c r="BH45" i="555"/>
  <c r="BV45" i="555" s="1"/>
  <c r="AY45" i="555"/>
  <c r="AX45" i="555"/>
  <c r="X45" i="555"/>
  <c r="A45" i="555"/>
  <c r="BY44" i="555"/>
  <c r="BX44" i="555"/>
  <c r="BW44" i="555"/>
  <c r="BU44" i="555"/>
  <c r="BT44" i="555"/>
  <c r="BH44" i="555"/>
  <c r="BV44" i="555"/>
  <c r="AY44" i="555"/>
  <c r="AX44" i="555"/>
  <c r="X44" i="555"/>
  <c r="Q44" i="555"/>
  <c r="A44" i="555"/>
  <c r="BY43" i="555"/>
  <c r="BX43" i="555"/>
  <c r="BW43" i="555"/>
  <c r="BU43" i="555"/>
  <c r="BT43" i="555"/>
  <c r="BH43" i="555"/>
  <c r="BV43" i="555"/>
  <c r="AY43" i="555"/>
  <c r="AX43" i="555"/>
  <c r="X43" i="555"/>
  <c r="Q43" i="555"/>
  <c r="A43" i="555"/>
  <c r="BY42" i="555"/>
  <c r="BX42" i="555"/>
  <c r="BW42" i="555"/>
  <c r="BU42" i="555"/>
  <c r="BT42" i="555"/>
  <c r="BH42" i="555"/>
  <c r="BV42" i="555" s="1"/>
  <c r="AY42" i="555"/>
  <c r="AX42" i="555"/>
  <c r="S42" i="555"/>
  <c r="X42" i="555" s="1"/>
  <c r="Q42" i="555"/>
  <c r="A42" i="555"/>
  <c r="BY41" i="555"/>
  <c r="BX41" i="555"/>
  <c r="BW41" i="555"/>
  <c r="BU41" i="555"/>
  <c r="BT41" i="555"/>
  <c r="BH41" i="555"/>
  <c r="BV41" i="555" s="1"/>
  <c r="AY41" i="555"/>
  <c r="AX41" i="555"/>
  <c r="X41" i="555"/>
  <c r="Q41" i="555"/>
  <c r="A41" i="555"/>
  <c r="BY40" i="555"/>
  <c r="BX40" i="555"/>
  <c r="BW40" i="555"/>
  <c r="BU40" i="555"/>
  <c r="BT40" i="555"/>
  <c r="BZ40" i="555" s="1"/>
  <c r="CB40" i="555" s="1"/>
  <c r="BH40" i="555"/>
  <c r="BV40" i="555"/>
  <c r="AY40" i="555"/>
  <c r="AX40" i="555"/>
  <c r="X40" i="555"/>
  <c r="Q40" i="555"/>
  <c r="A40" i="555"/>
  <c r="BY39" i="555"/>
  <c r="BX39" i="555"/>
  <c r="BW39" i="555"/>
  <c r="BU39" i="555"/>
  <c r="BT39" i="555"/>
  <c r="BH39" i="555"/>
  <c r="BV39" i="555" s="1"/>
  <c r="AY39" i="555"/>
  <c r="AX39" i="555"/>
  <c r="X39" i="555"/>
  <c r="Q39" i="555"/>
  <c r="A39" i="555"/>
  <c r="BY38" i="555"/>
  <c r="BX38" i="555"/>
  <c r="BW38" i="555"/>
  <c r="BU38" i="555"/>
  <c r="BT38" i="555"/>
  <c r="BH38" i="555"/>
  <c r="BV38" i="555" s="1"/>
  <c r="AY38" i="555"/>
  <c r="AZ38" i="555" s="1"/>
  <c r="CA38" i="555" s="1"/>
  <c r="AX38" i="555"/>
  <c r="Y38" i="555"/>
  <c r="Q38" i="555"/>
  <c r="A38" i="555"/>
  <c r="BY37" i="555"/>
  <c r="BX37" i="555"/>
  <c r="BW37" i="555"/>
  <c r="BU37" i="555"/>
  <c r="BT37" i="555"/>
  <c r="BH37" i="555"/>
  <c r="BV37" i="555" s="1"/>
  <c r="AY37" i="555"/>
  <c r="AX37" i="555"/>
  <c r="Y37" i="555"/>
  <c r="Q37" i="555"/>
  <c r="A37" i="555"/>
  <c r="BY36" i="555"/>
  <c r="BX36" i="555"/>
  <c r="BW36" i="555"/>
  <c r="BU36" i="555"/>
  <c r="BT36" i="555"/>
  <c r="BZ36" i="555" s="1"/>
  <c r="CB36" i="555" s="1"/>
  <c r="BH36" i="555"/>
  <c r="BV36" i="555"/>
  <c r="AY36" i="555"/>
  <c r="AX36" i="555"/>
  <c r="AZ36" i="555" s="1"/>
  <c r="CA36" i="555" s="1"/>
  <c r="X36" i="555"/>
  <c r="Q36" i="555"/>
  <c r="A36" i="555"/>
  <c r="BY35" i="555"/>
  <c r="BX35" i="555"/>
  <c r="BW35" i="555"/>
  <c r="BU35" i="555"/>
  <c r="BT35" i="555"/>
  <c r="BH35" i="555"/>
  <c r="BV35" i="555" s="1"/>
  <c r="AY35" i="555"/>
  <c r="AX35" i="555"/>
  <c r="X35" i="555"/>
  <c r="Q35" i="555"/>
  <c r="A35" i="555"/>
  <c r="BY34" i="555"/>
  <c r="BX34" i="555"/>
  <c r="BW34" i="555"/>
  <c r="BU34" i="555"/>
  <c r="BT34" i="555"/>
  <c r="BH34" i="555"/>
  <c r="BV34" i="555" s="1"/>
  <c r="AY34" i="555"/>
  <c r="AX34" i="555"/>
  <c r="Y34" i="555"/>
  <c r="Q34" i="555"/>
  <c r="A34" i="555"/>
  <c r="BY33" i="555"/>
  <c r="BX33" i="555"/>
  <c r="BW33" i="555"/>
  <c r="BU33" i="555"/>
  <c r="BT33" i="555"/>
  <c r="BH33" i="555"/>
  <c r="BV33" i="555"/>
  <c r="AY33" i="555"/>
  <c r="AX33" i="555"/>
  <c r="Y33" i="555"/>
  <c r="Q33" i="555"/>
  <c r="A33" i="555"/>
  <c r="BY32" i="555"/>
  <c r="BZ32" i="555" s="1"/>
  <c r="BX32" i="555"/>
  <c r="BW32" i="555"/>
  <c r="BU32" i="555"/>
  <c r="BT32" i="555"/>
  <c r="BH32" i="555"/>
  <c r="BV32" i="555" s="1"/>
  <c r="AY32" i="555"/>
  <c r="AX32" i="555"/>
  <c r="Y32" i="555"/>
  <c r="Q32" i="555"/>
  <c r="BY31" i="555"/>
  <c r="BX31" i="555"/>
  <c r="BW31" i="555"/>
  <c r="BU31" i="555"/>
  <c r="BT31" i="555"/>
  <c r="BH31" i="555"/>
  <c r="BV31" i="555" s="1"/>
  <c r="AY31" i="555"/>
  <c r="AX31" i="555"/>
  <c r="AZ31" i="555" s="1"/>
  <c r="CA31" i="555" s="1"/>
  <c r="S31" i="555"/>
  <c r="Y31" i="555" s="1"/>
  <c r="Q31" i="555"/>
  <c r="A31" i="555"/>
  <c r="BY30" i="555"/>
  <c r="BX30" i="555"/>
  <c r="BW30" i="555"/>
  <c r="BU30" i="555"/>
  <c r="BT30" i="555"/>
  <c r="BH30" i="555"/>
  <c r="BV30" i="555"/>
  <c r="AY30" i="555"/>
  <c r="AZ30" i="555" s="1"/>
  <c r="CA30" i="555" s="1"/>
  <c r="AX30" i="555"/>
  <c r="Y30" i="555"/>
  <c r="Q30" i="555"/>
  <c r="A30" i="555"/>
  <c r="BY29" i="555"/>
  <c r="BX29" i="555"/>
  <c r="BW29" i="555"/>
  <c r="BU29" i="555"/>
  <c r="BT29" i="555"/>
  <c r="BZ29" i="555" s="1"/>
  <c r="CB29" i="555" s="1"/>
  <c r="BH29" i="555"/>
  <c r="BV29" i="555"/>
  <c r="AY29" i="555"/>
  <c r="AZ29" i="555" s="1"/>
  <c r="CA29" i="555" s="1"/>
  <c r="AX29" i="555"/>
  <c r="Y29" i="555"/>
  <c r="Q29" i="555"/>
  <c r="A29" i="555"/>
  <c r="BY28" i="555"/>
  <c r="BX28" i="555"/>
  <c r="BW28" i="555"/>
  <c r="BU28" i="555"/>
  <c r="BT28" i="555"/>
  <c r="BH28" i="555"/>
  <c r="BV28" i="555"/>
  <c r="AY28" i="555"/>
  <c r="AX28" i="555"/>
  <c r="Y28" i="555"/>
  <c r="Q28" i="555"/>
  <c r="A28" i="555"/>
  <c r="BY27" i="555"/>
  <c r="BX27" i="555"/>
  <c r="BW27" i="555"/>
  <c r="BV27" i="555"/>
  <c r="BU27" i="555"/>
  <c r="BT27" i="555"/>
  <c r="AY27" i="555"/>
  <c r="AX27" i="555"/>
  <c r="Q27" i="555"/>
  <c r="BY26" i="555"/>
  <c r="BX26" i="555"/>
  <c r="BW26" i="555"/>
  <c r="BU26" i="555"/>
  <c r="BT26" i="555"/>
  <c r="BH26" i="555"/>
  <c r="BV26" i="555"/>
  <c r="AY26" i="555"/>
  <c r="AZ26" i="555" s="1"/>
  <c r="AX26" i="555"/>
  <c r="Y26" i="555"/>
  <c r="X26" i="555"/>
  <c r="Q26" i="555"/>
  <c r="A26" i="555"/>
  <c r="BY25" i="555"/>
  <c r="BX25" i="555"/>
  <c r="BW25" i="555"/>
  <c r="BU25" i="555"/>
  <c r="BT25" i="555"/>
  <c r="BH25" i="555"/>
  <c r="BV25" i="555"/>
  <c r="AY25" i="555"/>
  <c r="AX25" i="555"/>
  <c r="S25" i="555"/>
  <c r="X25" i="555" s="1"/>
  <c r="Q25" i="555"/>
  <c r="A25" i="555"/>
  <c r="BY24" i="555"/>
  <c r="BX24" i="555"/>
  <c r="BW24" i="555"/>
  <c r="BU24" i="555"/>
  <c r="BT24" i="555"/>
  <c r="BH24" i="555"/>
  <c r="BV24" i="555" s="1"/>
  <c r="AY24" i="555"/>
  <c r="AZ24" i="555" s="1"/>
  <c r="CA24" i="555" s="1"/>
  <c r="AX24" i="555"/>
  <c r="Y24" i="555"/>
  <c r="X24" i="555"/>
  <c r="Q24" i="555"/>
  <c r="A24" i="555"/>
  <c r="BY23" i="555"/>
  <c r="BX23" i="555"/>
  <c r="BZ23" i="555" s="1"/>
  <c r="BW23" i="555"/>
  <c r="BU23" i="555"/>
  <c r="BT23" i="555"/>
  <c r="BH23" i="555"/>
  <c r="BV23" i="555"/>
  <c r="AY23" i="555"/>
  <c r="AX23" i="555"/>
  <c r="Y23" i="555"/>
  <c r="Q23" i="555"/>
  <c r="A23" i="555"/>
  <c r="BY22" i="555"/>
  <c r="BX22" i="555"/>
  <c r="BW22" i="555"/>
  <c r="BU22" i="555"/>
  <c r="BT22" i="555"/>
  <c r="BH22" i="555"/>
  <c r="BV22" i="555" s="1"/>
  <c r="AY22" i="555"/>
  <c r="AX22" i="555"/>
  <c r="AZ22" i="555" s="1"/>
  <c r="CA22" i="555" s="1"/>
  <c r="Y22" i="555"/>
  <c r="Q22" i="555"/>
  <c r="A22" i="555"/>
  <c r="BY21" i="555"/>
  <c r="BX21" i="555"/>
  <c r="BW21" i="555"/>
  <c r="BU21" i="555"/>
  <c r="BT21" i="555"/>
  <c r="BH21" i="555"/>
  <c r="BV21" i="555" s="1"/>
  <c r="AY21" i="555"/>
  <c r="AX21" i="555"/>
  <c r="Y21" i="555"/>
  <c r="Q21" i="555"/>
  <c r="A21" i="555"/>
  <c r="BY20" i="555"/>
  <c r="BX20" i="555"/>
  <c r="BW20" i="555"/>
  <c r="BU20" i="555"/>
  <c r="BT20" i="555"/>
  <c r="BH20" i="555"/>
  <c r="BV20" i="555" s="1"/>
  <c r="AY20" i="555"/>
  <c r="AZ20" i="555" s="1"/>
  <c r="AX20" i="555"/>
  <c r="Y20" i="555"/>
  <c r="X20" i="555"/>
  <c r="Q20" i="555"/>
  <c r="A20" i="555"/>
  <c r="BY19" i="555"/>
  <c r="BX19" i="555"/>
  <c r="BW19" i="555"/>
  <c r="BU19" i="555"/>
  <c r="BT19" i="555"/>
  <c r="BH19" i="555"/>
  <c r="BV19" i="555"/>
  <c r="AY19" i="555"/>
  <c r="AX19" i="555"/>
  <c r="Y19" i="555"/>
  <c r="Q19" i="555"/>
  <c r="A19" i="555"/>
  <c r="BY18" i="555"/>
  <c r="BX18" i="555"/>
  <c r="BW18" i="555"/>
  <c r="BZ18" i="555" s="1"/>
  <c r="BU18" i="555"/>
  <c r="BT18" i="555"/>
  <c r="BH18" i="555"/>
  <c r="BV18" i="555" s="1"/>
  <c r="AY18" i="555"/>
  <c r="AX18" i="555"/>
  <c r="Y18" i="555"/>
  <c r="X18" i="555"/>
  <c r="Q18" i="555"/>
  <c r="A18" i="555"/>
  <c r="BY17" i="555"/>
  <c r="BX17" i="555"/>
  <c r="BZ17" i="555" s="1"/>
  <c r="BW17" i="555"/>
  <c r="BU17" i="555"/>
  <c r="BT17" i="555"/>
  <c r="BH17" i="555"/>
  <c r="BV17" i="555"/>
  <c r="AY17" i="555"/>
  <c r="AZ17" i="555" s="1"/>
  <c r="CA17" i="555" s="1"/>
  <c r="AX17" i="555"/>
  <c r="S17" i="555"/>
  <c r="Y17" i="555"/>
  <c r="Y192" i="555" s="1"/>
  <c r="Q17" i="555"/>
  <c r="A17" i="555"/>
  <c r="BY16" i="555"/>
  <c r="BX16" i="555"/>
  <c r="BW16" i="555"/>
  <c r="BU16" i="555"/>
  <c r="BT16" i="555"/>
  <c r="BH16" i="555"/>
  <c r="BV16" i="555"/>
  <c r="AY16" i="555"/>
  <c r="AX16" i="555"/>
  <c r="AZ16" i="555" s="1"/>
  <c r="CA16" i="555" s="1"/>
  <c r="Y16" i="555"/>
  <c r="X16" i="555"/>
  <c r="Q16" i="555"/>
  <c r="A16" i="555"/>
  <c r="BY15" i="555"/>
  <c r="BX15" i="555"/>
  <c r="BW15" i="555"/>
  <c r="BU15" i="555"/>
  <c r="BT15" i="555"/>
  <c r="BZ15" i="555" s="1"/>
  <c r="BH15" i="555"/>
  <c r="BV15" i="555"/>
  <c r="AY15" i="555"/>
  <c r="AX15" i="555"/>
  <c r="Y15" i="555"/>
  <c r="X15" i="555"/>
  <c r="Q15" i="555"/>
  <c r="A15" i="555"/>
  <c r="BY14" i="555"/>
  <c r="BX14" i="555"/>
  <c r="BW14" i="555"/>
  <c r="BU14" i="555"/>
  <c r="BT14" i="555"/>
  <c r="BH14" i="555"/>
  <c r="BV14" i="555" s="1"/>
  <c r="BZ14" i="555" s="1"/>
  <c r="CB14" i="555" s="1"/>
  <c r="AY14" i="555"/>
  <c r="AZ14" i="555" s="1"/>
  <c r="CA14" i="555" s="1"/>
  <c r="AX14" i="555"/>
  <c r="Y14" i="555"/>
  <c r="X14" i="555"/>
  <c r="Q14" i="555"/>
  <c r="A14" i="555"/>
  <c r="BY13" i="555"/>
  <c r="BX13" i="555"/>
  <c r="BW13" i="555"/>
  <c r="BU13" i="555"/>
  <c r="BT13" i="555"/>
  <c r="BZ13" i="555" s="1"/>
  <c r="CB13" i="555" s="1"/>
  <c r="BH13" i="555"/>
  <c r="BV13" i="555" s="1"/>
  <c r="AY13" i="555"/>
  <c r="AX13" i="555"/>
  <c r="AZ13" i="555" s="1"/>
  <c r="CA13" i="555" s="1"/>
  <c r="Y13" i="555"/>
  <c r="X13" i="555"/>
  <c r="Q13" i="555"/>
  <c r="A13" i="555"/>
  <c r="BY12" i="555"/>
  <c r="BX12" i="555"/>
  <c r="BW12" i="555"/>
  <c r="BU12" i="555"/>
  <c r="BT12" i="555"/>
  <c r="BH12" i="555"/>
  <c r="BV12" i="555" s="1"/>
  <c r="AY12" i="555"/>
  <c r="AZ12" i="555" s="1"/>
  <c r="AX12" i="555"/>
  <c r="Y12" i="555"/>
  <c r="X12" i="555"/>
  <c r="Q12" i="555"/>
  <c r="A12" i="555"/>
  <c r="BY11" i="555"/>
  <c r="BX11" i="555"/>
  <c r="BW11" i="555"/>
  <c r="BV11" i="555"/>
  <c r="BU11" i="555"/>
  <c r="BT11" i="555"/>
  <c r="AY11" i="555"/>
  <c r="AX11" i="555"/>
  <c r="Q11" i="555"/>
  <c r="BY10" i="555"/>
  <c r="BX10" i="555"/>
  <c r="BW10" i="555"/>
  <c r="BU10" i="555"/>
  <c r="BT10" i="555"/>
  <c r="BH10" i="555"/>
  <c r="BV10" i="555" s="1"/>
  <c r="AY10" i="555"/>
  <c r="AZ10" i="555" s="1"/>
  <c r="AX10" i="555"/>
  <c r="Y10" i="555"/>
  <c r="Q10" i="555"/>
  <c r="A10" i="555"/>
  <c r="BY9" i="555"/>
  <c r="BZ9" i="555" s="1"/>
  <c r="BX9" i="555"/>
  <c r="BW9" i="555"/>
  <c r="BU9" i="555"/>
  <c r="BT9" i="555"/>
  <c r="BH9" i="555"/>
  <c r="BV9" i="555"/>
  <c r="AY9" i="555"/>
  <c r="AX9" i="555"/>
  <c r="X9" i="555"/>
  <c r="Q9" i="555"/>
  <c r="A9" i="555"/>
  <c r="BY8" i="555"/>
  <c r="BX8" i="555"/>
  <c r="BW8" i="555"/>
  <c r="BV8" i="555"/>
  <c r="BU8" i="555"/>
  <c r="BT8" i="555"/>
  <c r="AY8" i="555"/>
  <c r="AX8" i="555"/>
  <c r="Q8" i="555"/>
  <c r="BY7" i="555"/>
  <c r="BX7" i="555"/>
  <c r="BW7" i="555"/>
  <c r="BU7" i="555"/>
  <c r="BT7" i="555"/>
  <c r="BH7" i="555"/>
  <c r="BV7" i="555"/>
  <c r="AY7" i="555"/>
  <c r="AX7" i="555"/>
  <c r="AO7" i="555"/>
  <c r="Q7" i="555"/>
  <c r="A7" i="555"/>
  <c r="BY6" i="555"/>
  <c r="BX6" i="555"/>
  <c r="BW6" i="555"/>
  <c r="BU6" i="555"/>
  <c r="BT6" i="555"/>
  <c r="BH6" i="555"/>
  <c r="BV6" i="555"/>
  <c r="AY6" i="555"/>
  <c r="AZ6" i="555" s="1"/>
  <c r="CA6" i="555" s="1"/>
  <c r="AX6" i="555"/>
  <c r="AO6" i="555"/>
  <c r="A6" i="555"/>
  <c r="BY5" i="555"/>
  <c r="BX5" i="555"/>
  <c r="BW5" i="555"/>
  <c r="BU5" i="555"/>
  <c r="BT5" i="555"/>
  <c r="BH5" i="555"/>
  <c r="BV5" i="555" s="1"/>
  <c r="AY5" i="555"/>
  <c r="AZ5" i="555" s="1"/>
  <c r="CA5" i="555" s="1"/>
  <c r="AX5" i="555"/>
  <c r="AO5" i="555"/>
  <c r="A5" i="555"/>
  <c r="BY4" i="555"/>
  <c r="BX4" i="555"/>
  <c r="BW4" i="555"/>
  <c r="BU4" i="555"/>
  <c r="BT4" i="555"/>
  <c r="BH4" i="555"/>
  <c r="BV4" i="555" s="1"/>
  <c r="AY4" i="555"/>
  <c r="AX4" i="555"/>
  <c r="AO4" i="555"/>
  <c r="Q4" i="555"/>
  <c r="A4" i="555"/>
  <c r="R451" i="397"/>
  <c r="Q451" i="397"/>
  <c r="R457" i="397"/>
  <c r="Q457" i="397"/>
  <c r="R456" i="397"/>
  <c r="Q456" i="397"/>
  <c r="R455" i="397"/>
  <c r="Q455" i="397"/>
  <c r="R454" i="397"/>
  <c r="R453" i="397"/>
  <c r="R452" i="397"/>
  <c r="R346" i="397"/>
  <c r="R348" i="397"/>
  <c r="Q348" i="397"/>
  <c r="Q439" i="397"/>
  <c r="R414" i="397"/>
  <c r="Q414" i="397"/>
  <c r="Q404" i="397"/>
  <c r="R443" i="397"/>
  <c r="Q443" i="397"/>
  <c r="R342" i="397"/>
  <c r="Q342" i="397"/>
  <c r="R305" i="397"/>
  <c r="Q305" i="397"/>
  <c r="R326" i="397"/>
  <c r="Q326" i="397"/>
  <c r="R425" i="397"/>
  <c r="Q425" i="397"/>
  <c r="R310" i="397"/>
  <c r="Q310" i="397"/>
  <c r="R312" i="397"/>
  <c r="Q312" i="397"/>
  <c r="R337" i="397"/>
  <c r="Q337" i="397"/>
  <c r="R446" i="397"/>
  <c r="Q446" i="397"/>
  <c r="R405" i="397"/>
  <c r="Q405" i="397"/>
  <c r="R410" i="397"/>
  <c r="Q410" i="397"/>
  <c r="R78" i="397"/>
  <c r="Q78" i="397"/>
  <c r="R406" i="397"/>
  <c r="R427" i="397"/>
  <c r="R308" i="397"/>
  <c r="Q308" i="397"/>
  <c r="R339" i="397"/>
  <c r="R407" i="397"/>
  <c r="Q407" i="397"/>
  <c r="R340" i="397"/>
  <c r="Q340" i="397"/>
  <c r="R429" i="397"/>
  <c r="Q429" i="397"/>
  <c r="R444" i="397"/>
  <c r="Q444" i="397"/>
  <c r="R434" i="397"/>
  <c r="Q434" i="397"/>
  <c r="R301" i="397"/>
  <c r="R432" i="397"/>
  <c r="Q432" i="397"/>
  <c r="R421" i="397"/>
  <c r="Q421" i="397"/>
  <c r="R440" i="397"/>
  <c r="Q440" i="397"/>
  <c r="R415" i="397"/>
  <c r="R77" i="397"/>
  <c r="Q77" i="397"/>
  <c r="R442" i="397"/>
  <c r="Q442" i="397"/>
  <c r="R449" i="397"/>
  <c r="Q449" i="397"/>
  <c r="R313" i="397"/>
  <c r="Q313" i="397"/>
  <c r="R291" i="397"/>
  <c r="Q291" i="397"/>
  <c r="R351" i="397"/>
  <c r="Q351" i="397"/>
  <c r="R338" i="397"/>
  <c r="Q338" i="397"/>
  <c r="R329" i="397"/>
  <c r="Q329" i="397"/>
  <c r="AZ4" i="555"/>
  <c r="CA4" i="555" s="1"/>
  <c r="AZ8" i="555"/>
  <c r="CA8" i="555" s="1"/>
  <c r="CA20" i="555"/>
  <c r="BZ22" i="555"/>
  <c r="CB22" i="555" s="1"/>
  <c r="AZ74" i="555"/>
  <c r="CA74" i="555"/>
  <c r="AZ76" i="555"/>
  <c r="CA76" i="555" s="1"/>
  <c r="AZ80" i="555"/>
  <c r="CA80" i="555" s="1"/>
  <c r="AZ93" i="555"/>
  <c r="CA93" i="555"/>
  <c r="AZ187" i="555"/>
  <c r="CA187" i="555" s="1"/>
  <c r="CA152" i="555"/>
  <c r="CA12" i="555"/>
  <c r="CA119" i="555"/>
  <c r="AZ176" i="555"/>
  <c r="CA176" i="555" s="1"/>
  <c r="AZ178" i="555"/>
  <c r="CA178" i="555" s="1"/>
  <c r="AZ95" i="555"/>
  <c r="CA95" i="555" s="1"/>
  <c r="AZ129" i="555"/>
  <c r="CA129" i="555" s="1"/>
  <c r="CA127" i="555"/>
  <c r="AZ51" i="555"/>
  <c r="CA51" i="555" s="1"/>
  <c r="CA81" i="555"/>
  <c r="CA154" i="555"/>
  <c r="AZ162" i="555"/>
  <c r="CA162" i="555"/>
  <c r="CB64" i="555"/>
  <c r="BZ79" i="555"/>
  <c r="CB79" i="555" s="1"/>
  <c r="AZ136" i="555"/>
  <c r="CA136" i="555" s="1"/>
  <c r="AZ84" i="555"/>
  <c r="CA84" i="555" s="1"/>
  <c r="AZ19" i="555"/>
  <c r="CA19" i="555"/>
  <c r="AZ11" i="555"/>
  <c r="CA11" i="555" s="1"/>
  <c r="AZ56" i="555"/>
  <c r="CA56" i="555"/>
  <c r="AZ123" i="555"/>
  <c r="CA123" i="555" s="1"/>
  <c r="AZ126" i="555"/>
  <c r="CA126" i="555" s="1"/>
  <c r="BZ135" i="555"/>
  <c r="CB135" i="555" s="1"/>
  <c r="AZ137" i="555"/>
  <c r="CA137" i="555" s="1"/>
  <c r="BZ11" i="555"/>
  <c r="CA61" i="555"/>
  <c r="AZ44" i="555"/>
  <c r="CA44" i="555"/>
  <c r="BZ71" i="555"/>
  <c r="BZ6" i="555"/>
  <c r="CB6" i="555"/>
  <c r="CA68" i="555"/>
  <c r="AZ108" i="555"/>
  <c r="CA108" i="555" s="1"/>
  <c r="AZ138" i="555"/>
  <c r="CA138" i="555"/>
  <c r="AZ161" i="555"/>
  <c r="CA161" i="555" s="1"/>
  <c r="CA182" i="555"/>
  <c r="AO192" i="555"/>
  <c r="AZ52" i="555"/>
  <c r="CA52" i="555" s="1"/>
  <c r="AZ71" i="555"/>
  <c r="CA71" i="555"/>
  <c r="AZ89" i="555"/>
  <c r="CA89" i="555" s="1"/>
  <c r="BZ19" i="555"/>
  <c r="AZ122" i="555"/>
  <c r="CA122" i="555" s="1"/>
  <c r="AZ124" i="555"/>
  <c r="CA124" i="555"/>
  <c r="AZ163" i="555"/>
  <c r="CA163" i="555"/>
  <c r="BZ184" i="555"/>
  <c r="CB184" i="555" s="1"/>
  <c r="CA189" i="555"/>
  <c r="BZ30" i="555"/>
  <c r="CB30" i="555" s="1"/>
  <c r="CB54" i="555"/>
  <c r="BZ56" i="555"/>
  <c r="CB56" i="555" s="1"/>
  <c r="AZ66" i="555"/>
  <c r="CA66" i="555"/>
  <c r="CA73" i="555"/>
  <c r="AZ98" i="555"/>
  <c r="CA98" i="555" s="1"/>
  <c r="AZ125" i="555"/>
  <c r="CA125" i="555"/>
  <c r="BY147" i="555"/>
  <c r="AZ157" i="555"/>
  <c r="CA157" i="555" s="1"/>
  <c r="U174" i="555"/>
  <c r="AZ184" i="555"/>
  <c r="CA184" i="555"/>
  <c r="AZ186" i="555"/>
  <c r="CA186" i="555" s="1"/>
  <c r="BZ68" i="555"/>
  <c r="CB68" i="555"/>
  <c r="BZ95" i="555"/>
  <c r="CB95" i="555" s="1"/>
  <c r="BZ99" i="555"/>
  <c r="CB99" i="555" s="1"/>
  <c r="AZ177" i="555"/>
  <c r="CA177" i="555" s="1"/>
  <c r="CA26" i="555"/>
  <c r="BZ65" i="555"/>
  <c r="CB65" i="555" s="1"/>
  <c r="BZ88" i="555"/>
  <c r="CB88" i="555" s="1"/>
  <c r="BZ106" i="555"/>
  <c r="CB106" i="555" s="1"/>
  <c r="Y25" i="555"/>
  <c r="BZ61" i="555"/>
  <c r="CB61" i="555" s="1"/>
  <c r="CA85" i="555"/>
  <c r="AI192" i="555"/>
  <c r="AH192" i="555"/>
  <c r="BZ103" i="555"/>
  <c r="CB103" i="555" s="1"/>
  <c r="AZ117" i="555"/>
  <c r="CA117" i="555"/>
  <c r="AZ153" i="555"/>
  <c r="CA153" i="555" s="1"/>
  <c r="AZ158" i="555"/>
  <c r="CA158" i="555"/>
  <c r="BZ101" i="555"/>
  <c r="CB101" i="555"/>
  <c r="BZ107" i="555"/>
  <c r="CB107" i="555" s="1"/>
  <c r="BZ112" i="555"/>
  <c r="BZ131" i="555"/>
  <c r="CA10" i="555"/>
  <c r="AZ21" i="555"/>
  <c r="CA21" i="555"/>
  <c r="AZ25" i="555"/>
  <c r="CA25" i="555" s="1"/>
  <c r="AZ42" i="555"/>
  <c r="CA42" i="555" s="1"/>
  <c r="AZ58" i="555"/>
  <c r="CA58" i="555"/>
  <c r="AZ79" i="555"/>
  <c r="CA79" i="555"/>
  <c r="AZ88" i="555"/>
  <c r="CA88" i="555"/>
  <c r="AZ91" i="555"/>
  <c r="CA91" i="555"/>
  <c r="AZ97" i="555"/>
  <c r="CA97" i="555"/>
  <c r="CB97" i="555" s="1"/>
  <c r="BZ153" i="555"/>
  <c r="CB153" i="555" s="1"/>
  <c r="CB19" i="555"/>
  <c r="AZ130" i="555"/>
  <c r="CA130" i="555" s="1"/>
  <c r="AZ132" i="555"/>
  <c r="CA132" i="555"/>
  <c r="AZ96" i="555"/>
  <c r="CA96" i="555" s="1"/>
  <c r="AZ135" i="555"/>
  <c r="CA135" i="555" s="1"/>
  <c r="AZ139" i="555"/>
  <c r="CA139" i="555" s="1"/>
  <c r="CA147" i="555"/>
  <c r="CB147" i="555" s="1"/>
  <c r="AZ188" i="555"/>
  <c r="CA188" i="555" s="1"/>
  <c r="AL192" i="555"/>
  <c r="AZ33" i="555"/>
  <c r="CA33" i="555"/>
  <c r="AZ37" i="555"/>
  <c r="CA37" i="555"/>
  <c r="AZ41" i="555"/>
  <c r="CA41" i="555" s="1"/>
  <c r="AZ45" i="555"/>
  <c r="CA45" i="555" s="1"/>
  <c r="AZ27" i="555"/>
  <c r="CA27" i="555"/>
  <c r="AZ134" i="555"/>
  <c r="CA134" i="555" s="1"/>
  <c r="AZ174" i="555"/>
  <c r="CA174" i="555" s="1"/>
  <c r="AZ35" i="555"/>
  <c r="CA35" i="555"/>
  <c r="AZ39" i="555"/>
  <c r="CA39" i="555" s="1"/>
  <c r="AZ104" i="555"/>
  <c r="CA104" i="555" s="1"/>
  <c r="AZ43" i="555"/>
  <c r="CA43" i="555" s="1"/>
  <c r="BZ16" i="555"/>
  <c r="CB16" i="555" s="1"/>
  <c r="BZ43" i="555"/>
  <c r="AZ28" i="555"/>
  <c r="CA28" i="555" s="1"/>
  <c r="BZ33" i="555"/>
  <c r="AZ34" i="555"/>
  <c r="CA34" i="555"/>
  <c r="AZ40" i="555"/>
  <c r="CA40" i="555" s="1"/>
  <c r="AZ48" i="555"/>
  <c r="CA48" i="555"/>
  <c r="BZ49" i="555"/>
  <c r="CB49" i="555" s="1"/>
  <c r="BZ55" i="555"/>
  <c r="CB55" i="555" s="1"/>
  <c r="BZ123" i="555"/>
  <c r="AZ47" i="555"/>
  <c r="CA47" i="555"/>
  <c r="BZ145" i="555"/>
  <c r="CB72" i="555"/>
  <c r="CB161" i="555"/>
  <c r="CC443" i="397"/>
  <c r="BZ443" i="397"/>
  <c r="CD443" i="397"/>
  <c r="CE443" i="397"/>
  <c r="BE443" i="397"/>
  <c r="BG126" i="202"/>
  <c r="BG128" i="202"/>
  <c r="BG134" i="202"/>
  <c r="BG144" i="202"/>
  <c r="BG143" i="202"/>
  <c r="BP135" i="202"/>
  <c r="BP143" i="202"/>
  <c r="BP144" i="202"/>
  <c r="BP137" i="202"/>
  <c r="BP145" i="202"/>
  <c r="BP138" i="202"/>
  <c r="BP134" i="202"/>
  <c r="BP132" i="202"/>
  <c r="BP136" i="202"/>
  <c r="BP127" i="202"/>
  <c r="BP131" i="202"/>
  <c r="BP130" i="202"/>
  <c r="BP128" i="202"/>
  <c r="BP129" i="202"/>
  <c r="BP126" i="202"/>
  <c r="BP115" i="202"/>
  <c r="BP122" i="202"/>
  <c r="CE453" i="397"/>
  <c r="CD453" i="397"/>
  <c r="CC453" i="397"/>
  <c r="CB453" i="397"/>
  <c r="CA453" i="397"/>
  <c r="BZ453" i="397"/>
  <c r="BE453" i="397"/>
  <c r="BD453" i="397"/>
  <c r="Q453" i="397"/>
  <c r="A453" i="397"/>
  <c r="BE427" i="397"/>
  <c r="H171" i="541"/>
  <c r="H164" i="541"/>
  <c r="AC164" i="541"/>
  <c r="AB164" i="541"/>
  <c r="N144" i="541"/>
  <c r="N145" i="541"/>
  <c r="N146" i="541"/>
  <c r="N147" i="541"/>
  <c r="N148" i="541"/>
  <c r="N149" i="541"/>
  <c r="N150" i="541"/>
  <c r="N151" i="541"/>
  <c r="N152" i="541"/>
  <c r="N153" i="541"/>
  <c r="N154" i="541"/>
  <c r="N155" i="541"/>
  <c r="N156" i="541"/>
  <c r="N157" i="541"/>
  <c r="N158" i="541"/>
  <c r="N159" i="541"/>
  <c r="N160" i="541"/>
  <c r="N161" i="541"/>
  <c r="N162" i="541"/>
  <c r="N163" i="541"/>
  <c r="N164" i="541"/>
  <c r="N165" i="541"/>
  <c r="N166" i="541"/>
  <c r="N167" i="541"/>
  <c r="N168" i="541"/>
  <c r="N143" i="541"/>
  <c r="N142" i="541"/>
  <c r="H169" i="541"/>
  <c r="BA168" i="541"/>
  <c r="AZ168" i="541"/>
  <c r="AX168" i="541"/>
  <c r="AW168" i="541"/>
  <c r="AV168" i="541"/>
  <c r="AU168" i="541"/>
  <c r="AT168" i="541"/>
  <c r="AS168" i="541"/>
  <c r="AR168" i="541"/>
  <c r="AQ168" i="541"/>
  <c r="AP168" i="541"/>
  <c r="AO168" i="541"/>
  <c r="AN168" i="541"/>
  <c r="AM168" i="541"/>
  <c r="AL168" i="541"/>
  <c r="AK168" i="541"/>
  <c r="AJ168" i="541"/>
  <c r="AI168" i="541"/>
  <c r="AH168" i="541"/>
  <c r="AG168" i="541"/>
  <c r="AF168" i="541"/>
  <c r="AE168" i="541"/>
  <c r="AD168" i="541"/>
  <c r="AA168" i="541"/>
  <c r="Z168" i="541"/>
  <c r="X168" i="541"/>
  <c r="W168" i="541"/>
  <c r="V168" i="541"/>
  <c r="U168" i="541"/>
  <c r="H166" i="541"/>
  <c r="H167" i="541" s="1"/>
  <c r="H163" i="541"/>
  <c r="H162" i="541"/>
  <c r="AC161" i="541"/>
  <c r="AB161" i="541"/>
  <c r="AC159" i="541"/>
  <c r="AB159" i="541"/>
  <c r="AC156" i="541"/>
  <c r="AB156" i="541"/>
  <c r="AC154" i="541"/>
  <c r="AC168" i="541" s="1"/>
  <c r="AB154" i="541"/>
  <c r="Y151" i="541"/>
  <c r="Y168" i="541" s="1"/>
  <c r="AC148" i="541"/>
  <c r="AB148" i="541"/>
  <c r="H147" i="541"/>
  <c r="T146" i="541"/>
  <c r="AY145" i="541"/>
  <c r="AY168" i="541"/>
  <c r="T144" i="541"/>
  <c r="T168" i="541" s="1"/>
  <c r="AB143" i="541"/>
  <c r="L135" i="541"/>
  <c r="N117" i="541"/>
  <c r="H130" i="541"/>
  <c r="H125" i="541"/>
  <c r="AC125" i="541"/>
  <c r="AC127" i="541" s="1"/>
  <c r="N125" i="541"/>
  <c r="N124" i="541"/>
  <c r="N123" i="541"/>
  <c r="N122" i="541"/>
  <c r="N121" i="541"/>
  <c r="N120" i="541"/>
  <c r="N119" i="541"/>
  <c r="N118" i="541"/>
  <c r="H128" i="541"/>
  <c r="BA127" i="541"/>
  <c r="AZ127" i="541"/>
  <c r="AX127" i="541"/>
  <c r="AW127" i="541"/>
  <c r="AV127" i="541"/>
  <c r="AU127" i="541"/>
  <c r="AT127" i="541"/>
  <c r="AS127" i="541"/>
  <c r="AR127" i="541"/>
  <c r="AQ127" i="541"/>
  <c r="AP127" i="541"/>
  <c r="AO127" i="541"/>
  <c r="AN127" i="541"/>
  <c r="AM127" i="541"/>
  <c r="AL127" i="541"/>
  <c r="AJ127" i="541"/>
  <c r="AI127" i="541"/>
  <c r="AH127" i="541"/>
  <c r="AG127" i="541"/>
  <c r="AF127" i="541"/>
  <c r="AE127" i="541"/>
  <c r="AD127" i="541"/>
  <c r="AA127" i="541"/>
  <c r="Z127" i="541"/>
  <c r="Y127" i="541"/>
  <c r="W127" i="541"/>
  <c r="V127" i="541"/>
  <c r="U127" i="541"/>
  <c r="T127" i="541"/>
  <c r="N127" i="541"/>
  <c r="N126" i="541"/>
  <c r="AK123" i="541"/>
  <c r="AK127" i="541"/>
  <c r="AY121" i="541"/>
  <c r="AY127" i="541" s="1"/>
  <c r="H120" i="541"/>
  <c r="AB119" i="541"/>
  <c r="AB118" i="541"/>
  <c r="AB117" i="541"/>
  <c r="Q436" i="397"/>
  <c r="BS135" i="527"/>
  <c r="BE421" i="397"/>
  <c r="BG112" i="202"/>
  <c r="N92" i="541"/>
  <c r="N102" i="541"/>
  <c r="N101" i="541"/>
  <c r="N100" i="541"/>
  <c r="N99" i="541"/>
  <c r="N98" i="541"/>
  <c r="N97" i="541"/>
  <c r="N96" i="541"/>
  <c r="N95" i="541"/>
  <c r="N94" i="541"/>
  <c r="N93" i="541"/>
  <c r="H103" i="541"/>
  <c r="BC102" i="541"/>
  <c r="BB102" i="541"/>
  <c r="BA102" i="541"/>
  <c r="AZ102" i="541"/>
  <c r="AY102" i="541"/>
  <c r="AX102" i="541"/>
  <c r="AW102" i="541"/>
  <c r="AV102" i="541"/>
  <c r="AU102" i="541"/>
  <c r="AT102" i="541"/>
  <c r="AS102" i="541"/>
  <c r="AQ102" i="541"/>
  <c r="AP102" i="541"/>
  <c r="AO102" i="541"/>
  <c r="AN102" i="541"/>
  <c r="AM102" i="541"/>
  <c r="AL102" i="541"/>
  <c r="AK102" i="541"/>
  <c r="AI102" i="541"/>
  <c r="AH102" i="541"/>
  <c r="AG102" i="541"/>
  <c r="AF102" i="541"/>
  <c r="AE102" i="541"/>
  <c r="AD102" i="541"/>
  <c r="AB102" i="541"/>
  <c r="AA102" i="541"/>
  <c r="Z102" i="541"/>
  <c r="Y102" i="541"/>
  <c r="W102" i="541"/>
  <c r="V102" i="541"/>
  <c r="U102" i="541"/>
  <c r="T102" i="541"/>
  <c r="H100" i="541"/>
  <c r="AC99" i="541"/>
  <c r="AC98" i="541"/>
  <c r="AC97" i="541"/>
  <c r="AJ96" i="541"/>
  <c r="AJ102" i="541" s="1"/>
  <c r="AC95" i="541"/>
  <c r="AC94" i="541"/>
  <c r="AC93" i="541"/>
  <c r="AR92" i="541"/>
  <c r="AR102" i="541" s="1"/>
  <c r="X100" i="541"/>
  <c r="X102" i="541" s="1"/>
  <c r="H101" i="541"/>
  <c r="H104" i="541"/>
  <c r="CE451" i="397"/>
  <c r="BZ451" i="397"/>
  <c r="CE463" i="397"/>
  <c r="CD463" i="397"/>
  <c r="CC463" i="397"/>
  <c r="CB463" i="397"/>
  <c r="CA463" i="397"/>
  <c r="CF463" i="397" s="1"/>
  <c r="BZ463" i="397"/>
  <c r="CE462" i="397"/>
  <c r="CD462" i="397"/>
  <c r="CC462" i="397"/>
  <c r="CB462" i="397"/>
  <c r="CA462" i="397"/>
  <c r="BZ462" i="397"/>
  <c r="CE461" i="397"/>
  <c r="CD461" i="397"/>
  <c r="CC461" i="397"/>
  <c r="CB461" i="397"/>
  <c r="CA461" i="397"/>
  <c r="BZ461" i="397"/>
  <c r="CE460" i="397"/>
  <c r="CD460" i="397"/>
  <c r="CC460" i="397"/>
  <c r="CB460" i="397"/>
  <c r="CA460" i="397"/>
  <c r="BZ460" i="397"/>
  <c r="CE457" i="397"/>
  <c r="CD457" i="397"/>
  <c r="CC457" i="397"/>
  <c r="CB457" i="397"/>
  <c r="CA457" i="397"/>
  <c r="BZ457" i="397"/>
  <c r="CE456" i="397"/>
  <c r="CD456" i="397"/>
  <c r="CC456" i="397"/>
  <c r="CB456" i="397"/>
  <c r="CA456" i="397"/>
  <c r="BZ456" i="397"/>
  <c r="CE455" i="397"/>
  <c r="CD455" i="397"/>
  <c r="CC455" i="397"/>
  <c r="CB455" i="397"/>
  <c r="CA455" i="397"/>
  <c r="BZ455" i="397"/>
  <c r="CE454" i="397"/>
  <c r="CD454" i="397"/>
  <c r="CC454" i="397"/>
  <c r="CB454" i="397"/>
  <c r="CA454" i="397"/>
  <c r="BZ454" i="397"/>
  <c r="CE459" i="397"/>
  <c r="CD459" i="397"/>
  <c r="CC459" i="397"/>
  <c r="CB459" i="397"/>
  <c r="CA459" i="397"/>
  <c r="BZ459" i="397"/>
  <c r="CE458" i="397"/>
  <c r="CD458" i="397"/>
  <c r="CC458" i="397"/>
  <c r="CB458" i="397"/>
  <c r="CA458" i="397"/>
  <c r="BZ458" i="397"/>
  <c r="BE432" i="397"/>
  <c r="CC451" i="397"/>
  <c r="CD451" i="397"/>
  <c r="BE436" i="397"/>
  <c r="BF436" i="397" s="1"/>
  <c r="CG436" i="397" s="1"/>
  <c r="BE451" i="397"/>
  <c r="N77" i="541"/>
  <c r="N76" i="541"/>
  <c r="N75" i="541"/>
  <c r="N74" i="541"/>
  <c r="N73" i="541"/>
  <c r="N72" i="541"/>
  <c r="N71" i="541"/>
  <c r="N70" i="541"/>
  <c r="H78" i="541"/>
  <c r="BC77" i="541"/>
  <c r="BB77" i="541"/>
  <c r="BA77" i="541"/>
  <c r="AZ77" i="541"/>
  <c r="AY77" i="541"/>
  <c r="AX77" i="541"/>
  <c r="AW77" i="541"/>
  <c r="AV77" i="541"/>
  <c r="AU77" i="541"/>
  <c r="AT77" i="541"/>
  <c r="AS77" i="541"/>
  <c r="AQ77" i="541"/>
  <c r="AP77" i="541"/>
  <c r="AO77" i="541"/>
  <c r="AN77" i="541"/>
  <c r="AM77" i="541"/>
  <c r="AL77" i="541"/>
  <c r="AK77" i="541"/>
  <c r="AJ77" i="541"/>
  <c r="AI77" i="541"/>
  <c r="AH77" i="541"/>
  <c r="AG77" i="541"/>
  <c r="AF77" i="541"/>
  <c r="AE77" i="541"/>
  <c r="AD77" i="541"/>
  <c r="AA77" i="541"/>
  <c r="Z77" i="541"/>
  <c r="Y77" i="541"/>
  <c r="X77" i="541"/>
  <c r="W77" i="541"/>
  <c r="V77" i="541"/>
  <c r="H75" i="541"/>
  <c r="T75" i="541"/>
  <c r="T77" i="541"/>
  <c r="U74" i="541"/>
  <c r="U77" i="541" s="1"/>
  <c r="AC73" i="541"/>
  <c r="AB73" i="541"/>
  <c r="AC72" i="541"/>
  <c r="AB72" i="541"/>
  <c r="AB77" i="541" s="1"/>
  <c r="AC71" i="541"/>
  <c r="AC77" i="541" s="1"/>
  <c r="AB71" i="541"/>
  <c r="AR70" i="541"/>
  <c r="AR77" i="541" s="1"/>
  <c r="H76" i="541"/>
  <c r="H79" i="541"/>
  <c r="H187" i="517"/>
  <c r="BE459" i="397"/>
  <c r="BD459" i="397"/>
  <c r="Q459" i="397"/>
  <c r="A459" i="397"/>
  <c r="H57" i="541"/>
  <c r="H52" i="541"/>
  <c r="AB52" i="541" s="1"/>
  <c r="N36" i="541"/>
  <c r="N37" i="541"/>
  <c r="N38" i="541"/>
  <c r="N39" i="541"/>
  <c r="N40" i="541"/>
  <c r="N41" i="541"/>
  <c r="N42" i="541"/>
  <c r="N43" i="541"/>
  <c r="N44" i="541"/>
  <c r="N45" i="541"/>
  <c r="N46" i="541"/>
  <c r="N47" i="541"/>
  <c r="N48" i="541"/>
  <c r="N49" i="541"/>
  <c r="N50" i="541"/>
  <c r="N51" i="541"/>
  <c r="N52" i="541"/>
  <c r="N53" i="541"/>
  <c r="N54" i="541"/>
  <c r="N35" i="541"/>
  <c r="H55" i="541"/>
  <c r="BA54" i="541"/>
  <c r="AZ54" i="541"/>
  <c r="AY54" i="541"/>
  <c r="AX54" i="541"/>
  <c r="AW54" i="541"/>
  <c r="AU54" i="541"/>
  <c r="AT54" i="541"/>
  <c r="AS54" i="541"/>
  <c r="AR54" i="541"/>
  <c r="AQ54" i="541"/>
  <c r="AP54" i="541"/>
  <c r="AO54" i="541"/>
  <c r="AN54" i="541"/>
  <c r="AM54" i="541"/>
  <c r="AL54" i="541"/>
  <c r="AK54" i="541"/>
  <c r="AI54" i="541"/>
  <c r="AH54" i="541"/>
  <c r="AG54" i="541"/>
  <c r="AF54" i="541"/>
  <c r="AE54" i="541"/>
  <c r="AD54" i="541"/>
  <c r="AA54" i="541"/>
  <c r="Z54" i="541"/>
  <c r="X54" i="541"/>
  <c r="W54" i="541"/>
  <c r="V54" i="541"/>
  <c r="U54" i="541"/>
  <c r="T54" i="541"/>
  <c r="AB51" i="541"/>
  <c r="AB50" i="541"/>
  <c r="I49" i="541"/>
  <c r="H49" i="541"/>
  <c r="AJ49" i="541" s="1"/>
  <c r="Y47" i="541"/>
  <c r="Y54" i="541"/>
  <c r="AJ48" i="541"/>
  <c r="AJ54" i="541"/>
  <c r="AB46" i="541"/>
  <c r="I45" i="541"/>
  <c r="H44" i="541"/>
  <c r="AC44" i="541" s="1"/>
  <c r="AB43" i="541"/>
  <c r="AB40" i="541"/>
  <c r="AB38" i="541"/>
  <c r="H35" i="541"/>
  <c r="AV35" i="541" s="1"/>
  <c r="H37" i="541"/>
  <c r="H39" i="541" s="1"/>
  <c r="H45" i="541"/>
  <c r="AC45" i="541" s="1"/>
  <c r="AC54" i="541" s="1"/>
  <c r="AV37" i="541"/>
  <c r="N34" i="541"/>
  <c r="AV39" i="541"/>
  <c r="H41" i="541"/>
  <c r="BD454" i="397"/>
  <c r="BF454" i="397" s="1"/>
  <c r="CG454" i="397" s="1"/>
  <c r="CH454" i="397" s="1"/>
  <c r="Q454" i="397"/>
  <c r="A454" i="397"/>
  <c r="BP116" i="202"/>
  <c r="BE454" i="397"/>
  <c r="N11" i="541"/>
  <c r="N12" i="541"/>
  <c r="N13" i="541"/>
  <c r="N14" i="541"/>
  <c r="N15" i="541"/>
  <c r="N16" i="541"/>
  <c r="N17" i="541"/>
  <c r="N18" i="541"/>
  <c r="N19" i="541"/>
  <c r="N20" i="541"/>
  <c r="N10" i="541"/>
  <c r="N9" i="541"/>
  <c r="N10" i="517"/>
  <c r="N39" i="517"/>
  <c r="N11" i="517"/>
  <c r="N12" i="517"/>
  <c r="N13" i="517"/>
  <c r="N14" i="517"/>
  <c r="N15" i="517"/>
  <c r="N16" i="517"/>
  <c r="N17" i="517"/>
  <c r="N18" i="517"/>
  <c r="N19" i="517"/>
  <c r="N20" i="517"/>
  <c r="N21" i="517"/>
  <c r="N22" i="517"/>
  <c r="N23" i="517"/>
  <c r="H21" i="541"/>
  <c r="BC20" i="541"/>
  <c r="BB20" i="541"/>
  <c r="AZ20" i="541"/>
  <c r="AY20" i="541"/>
  <c r="AX20" i="541"/>
  <c r="AW20" i="541"/>
  <c r="AV20" i="541"/>
  <c r="AU20" i="541"/>
  <c r="AT20" i="541"/>
  <c r="AS20" i="541"/>
  <c r="AQ20" i="541"/>
  <c r="AP20" i="541"/>
  <c r="AO20" i="541"/>
  <c r="AN20" i="541"/>
  <c r="AM20" i="541"/>
  <c r="AL20" i="541"/>
  <c r="AK20" i="541"/>
  <c r="AJ20" i="541"/>
  <c r="AI20" i="541"/>
  <c r="AH20" i="541"/>
  <c r="AG20" i="541"/>
  <c r="AF20" i="541"/>
  <c r="AE20" i="541"/>
  <c r="AD20" i="541"/>
  <c r="AA20" i="541"/>
  <c r="Z20" i="541"/>
  <c r="Y20" i="541"/>
  <c r="W20" i="541"/>
  <c r="V20" i="541"/>
  <c r="U20" i="541"/>
  <c r="H18" i="541"/>
  <c r="H19" i="541"/>
  <c r="H22" i="541" s="1"/>
  <c r="X17" i="541"/>
  <c r="X20" i="541"/>
  <c r="AR16" i="541"/>
  <c r="AR20" i="541"/>
  <c r="AC15" i="541"/>
  <c r="AC20" i="541"/>
  <c r="AB14" i="541"/>
  <c r="AB13" i="541"/>
  <c r="AB12" i="541"/>
  <c r="AB11" i="541"/>
  <c r="BA10" i="541"/>
  <c r="BA20" i="541"/>
  <c r="BG123" i="202"/>
  <c r="T18" i="541"/>
  <c r="T20" i="541"/>
  <c r="BG130" i="202"/>
  <c r="L107" i="202"/>
  <c r="F204" i="541" s="1"/>
  <c r="BG110" i="202"/>
  <c r="BG132" i="202"/>
  <c r="CC444" i="397"/>
  <c r="CD444" i="397"/>
  <c r="BG138" i="202"/>
  <c r="BG135" i="202"/>
  <c r="BE444" i="397"/>
  <c r="CE444" i="397"/>
  <c r="X151" i="517"/>
  <c r="P96" i="202"/>
  <c r="Q96" i="202"/>
  <c r="R96" i="202"/>
  <c r="S96" i="202"/>
  <c r="T96" i="202"/>
  <c r="U96" i="202"/>
  <c r="U97" i="202" s="1"/>
  <c r="V96" i="202"/>
  <c r="W96" i="202"/>
  <c r="X96" i="202"/>
  <c r="Y96" i="202"/>
  <c r="Z96" i="202"/>
  <c r="AA96" i="202"/>
  <c r="AB96" i="202"/>
  <c r="AC96" i="202"/>
  <c r="AD96" i="202"/>
  <c r="AE96" i="202"/>
  <c r="AF96" i="202"/>
  <c r="AG96" i="202"/>
  <c r="AH96" i="202"/>
  <c r="AI96" i="202"/>
  <c r="AJ96" i="202"/>
  <c r="AK96" i="202"/>
  <c r="AL96" i="202"/>
  <c r="AM96" i="202"/>
  <c r="AN96" i="202"/>
  <c r="AO96" i="202"/>
  <c r="AP96" i="202"/>
  <c r="AQ96" i="202"/>
  <c r="AR96" i="202"/>
  <c r="AS96" i="202"/>
  <c r="AT96" i="202"/>
  <c r="AU96" i="202"/>
  <c r="AV96" i="202"/>
  <c r="AW96" i="202"/>
  <c r="AX96" i="202"/>
  <c r="AY96" i="202"/>
  <c r="BE96" i="202"/>
  <c r="BF96" i="202"/>
  <c r="BG148" i="202"/>
  <c r="BG149" i="202"/>
  <c r="H506" i="517"/>
  <c r="H500" i="517"/>
  <c r="N487" i="517"/>
  <c r="N488" i="517"/>
  <c r="N489" i="517"/>
  <c r="N490" i="517"/>
  <c r="N491" i="517"/>
  <c r="N492" i="517"/>
  <c r="N493" i="517"/>
  <c r="N494" i="517"/>
  <c r="N495" i="517"/>
  <c r="N496" i="517"/>
  <c r="N497" i="517"/>
  <c r="N498" i="517"/>
  <c r="N499" i="517"/>
  <c r="N500" i="517"/>
  <c r="N501" i="517"/>
  <c r="N502" i="517"/>
  <c r="N503" i="517"/>
  <c r="N486" i="517"/>
  <c r="H504" i="517"/>
  <c r="BA503" i="517"/>
  <c r="AZ503" i="517"/>
  <c r="AY503" i="517"/>
  <c r="AX503" i="517"/>
  <c r="AW503" i="517"/>
  <c r="AV503" i="517"/>
  <c r="AU503" i="517"/>
  <c r="AT503" i="517"/>
  <c r="AS503" i="517"/>
  <c r="AR503" i="517"/>
  <c r="AQ503" i="517"/>
  <c r="AP503" i="517"/>
  <c r="AO503" i="517"/>
  <c r="AN503" i="517"/>
  <c r="AM503" i="517"/>
  <c r="AL503" i="517"/>
  <c r="AK503" i="517"/>
  <c r="AJ503" i="517"/>
  <c r="AI503" i="517"/>
  <c r="AH503" i="517"/>
  <c r="AG503" i="517"/>
  <c r="AF503" i="517"/>
  <c r="AE503" i="517"/>
  <c r="AD503" i="517"/>
  <c r="AC503" i="517"/>
  <c r="AB503" i="517"/>
  <c r="AA503" i="517"/>
  <c r="X503" i="517"/>
  <c r="W503" i="517"/>
  <c r="V503" i="517"/>
  <c r="U503" i="517"/>
  <c r="T503" i="517"/>
  <c r="H501" i="517"/>
  <c r="H499" i="517"/>
  <c r="Y498" i="517"/>
  <c r="Y496" i="517"/>
  <c r="H494" i="517"/>
  <c r="Z493" i="517"/>
  <c r="Y493" i="517"/>
  <c r="Z490" i="517"/>
  <c r="Z503" i="517" s="1"/>
  <c r="Y490" i="517"/>
  <c r="H489" i="517"/>
  <c r="Y488" i="517"/>
  <c r="Y487" i="517"/>
  <c r="Z486" i="517"/>
  <c r="Y486" i="517"/>
  <c r="Y503" i="517" s="1"/>
  <c r="N485" i="517"/>
  <c r="Y500" i="517"/>
  <c r="N471" i="517"/>
  <c r="N470" i="517"/>
  <c r="N469" i="517"/>
  <c r="N468" i="517"/>
  <c r="N467" i="517"/>
  <c r="N466" i="517"/>
  <c r="N465" i="517"/>
  <c r="N464" i="517"/>
  <c r="N463" i="517"/>
  <c r="N462" i="517"/>
  <c r="N461" i="517"/>
  <c r="N460" i="517"/>
  <c r="N459" i="517" s="1"/>
  <c r="H472" i="517"/>
  <c r="BC471" i="517"/>
  <c r="BB471" i="517"/>
  <c r="BA471" i="517"/>
  <c r="AZ471" i="517"/>
  <c r="AY471" i="517"/>
  <c r="AX471" i="517"/>
  <c r="AW471" i="517"/>
  <c r="AU471" i="517"/>
  <c r="AS471" i="517"/>
  <c r="AR471" i="517"/>
  <c r="AQ471" i="517"/>
  <c r="AP471" i="517"/>
  <c r="AO471" i="517"/>
  <c r="AN471" i="517"/>
  <c r="AM471" i="517"/>
  <c r="AL471" i="517"/>
  <c r="AK471" i="517"/>
  <c r="AJ471" i="517"/>
  <c r="AI471" i="517"/>
  <c r="AH471" i="517"/>
  <c r="AG471" i="517"/>
  <c r="AF471" i="517"/>
  <c r="AE471" i="517"/>
  <c r="AD471" i="517"/>
  <c r="AA471" i="517"/>
  <c r="Z471" i="517"/>
  <c r="Y471" i="517"/>
  <c r="W471" i="517"/>
  <c r="V471" i="517"/>
  <c r="U471" i="517"/>
  <c r="T471" i="517"/>
  <c r="H469" i="517"/>
  <c r="H470" i="517" s="1"/>
  <c r="H473" i="517" s="1"/>
  <c r="AV468" i="517"/>
  <c r="AB467" i="517"/>
  <c r="AC466" i="517"/>
  <c r="AC465" i="517"/>
  <c r="AC471" i="517" s="1"/>
  <c r="AB464" i="517"/>
  <c r="AB463" i="517"/>
  <c r="AB462" i="517"/>
  <c r="AT461" i="517"/>
  <c r="AT471" i="517" s="1"/>
  <c r="AV460" i="517"/>
  <c r="AV471" i="517"/>
  <c r="X469" i="517"/>
  <c r="X471" i="517"/>
  <c r="N432" i="517"/>
  <c r="N433" i="517"/>
  <c r="N434" i="517"/>
  <c r="N435" i="517"/>
  <c r="N436" i="517"/>
  <c r="N437" i="517"/>
  <c r="N438" i="517"/>
  <c r="N439" i="517"/>
  <c r="N440" i="517"/>
  <c r="N441" i="517"/>
  <c r="N442" i="517"/>
  <c r="N443" i="517"/>
  <c r="N444" i="517"/>
  <c r="N431" i="517"/>
  <c r="H447" i="517"/>
  <c r="H442" i="517"/>
  <c r="H445" i="517"/>
  <c r="AX444" i="517"/>
  <c r="AW444" i="517"/>
  <c r="AV444" i="517"/>
  <c r="AU444" i="517"/>
  <c r="AT444" i="517"/>
  <c r="AS444" i="517"/>
  <c r="AR444" i="517"/>
  <c r="AQ444" i="517"/>
  <c r="AP444" i="517"/>
  <c r="AO444" i="517"/>
  <c r="AN444" i="517"/>
  <c r="AM444" i="517"/>
  <c r="AL444" i="517"/>
  <c r="AK444" i="517"/>
  <c r="AJ444" i="517"/>
  <c r="AI444" i="517"/>
  <c r="AH444" i="517"/>
  <c r="AG444" i="517"/>
  <c r="AF444" i="517"/>
  <c r="AE444" i="517"/>
  <c r="AD444" i="517"/>
  <c r="AB444" i="517"/>
  <c r="AA444" i="517"/>
  <c r="Z444" i="517"/>
  <c r="Y444" i="517"/>
  <c r="X444" i="517"/>
  <c r="W444" i="517"/>
  <c r="V444" i="517"/>
  <c r="U444" i="517"/>
  <c r="AC442" i="517"/>
  <c r="AC441" i="517"/>
  <c r="AC440" i="517"/>
  <c r="AY439" i="517"/>
  <c r="AY444" i="517"/>
  <c r="AC438" i="517"/>
  <c r="AC437" i="517"/>
  <c r="AZ436" i="517"/>
  <c r="AZ444" i="517"/>
  <c r="AC434" i="517"/>
  <c r="T432" i="517"/>
  <c r="T444" i="517"/>
  <c r="H431" i="517"/>
  <c r="N430" i="517"/>
  <c r="H418" i="517"/>
  <c r="H413" i="517"/>
  <c r="H414" i="517" s="1"/>
  <c r="N405" i="517"/>
  <c r="N406" i="517"/>
  <c r="N407" i="517"/>
  <c r="N408" i="517"/>
  <c r="N409" i="517"/>
  <c r="N410" i="517"/>
  <c r="N411" i="517"/>
  <c r="N412" i="517"/>
  <c r="N413" i="517"/>
  <c r="N414" i="517"/>
  <c r="N415" i="517"/>
  <c r="N404" i="517"/>
  <c r="H416" i="517"/>
  <c r="BA415" i="517"/>
  <c r="AZ415" i="517"/>
  <c r="AX415" i="517"/>
  <c r="AW415" i="517"/>
  <c r="AV415" i="517"/>
  <c r="AU415" i="517"/>
  <c r="AT415" i="517"/>
  <c r="AS415" i="517"/>
  <c r="AR415" i="517"/>
  <c r="AQ415" i="517"/>
  <c r="AO415" i="517"/>
  <c r="AN415" i="517"/>
  <c r="AM415" i="517"/>
  <c r="AL415" i="517"/>
  <c r="AK415" i="517"/>
  <c r="AJ415" i="517"/>
  <c r="AI415" i="517"/>
  <c r="AH415" i="517"/>
  <c r="AG415" i="517"/>
  <c r="AF415" i="517"/>
  <c r="AE415" i="517"/>
  <c r="AD415" i="517"/>
  <c r="AA415" i="517"/>
  <c r="Z415" i="517"/>
  <c r="Y415" i="517"/>
  <c r="X415" i="517"/>
  <c r="W415" i="517"/>
  <c r="V415" i="517"/>
  <c r="U415" i="517"/>
  <c r="T415" i="517"/>
  <c r="AB412" i="517"/>
  <c r="AP411" i="517"/>
  <c r="AP415" i="517" s="1"/>
  <c r="AB409" i="517"/>
  <c r="AB408" i="517"/>
  <c r="AB407" i="517"/>
  <c r="AB406" i="517"/>
  <c r="AY405" i="517"/>
  <c r="AY415" i="517"/>
  <c r="AB404" i="517"/>
  <c r="BE457" i="397"/>
  <c r="BD457" i="397"/>
  <c r="A457" i="397"/>
  <c r="BG92" i="202"/>
  <c r="BG79" i="202"/>
  <c r="BG80" i="202"/>
  <c r="BG81" i="202"/>
  <c r="BG82" i="202"/>
  <c r="BG83" i="202"/>
  <c r="BG84" i="202"/>
  <c r="BG85" i="202"/>
  <c r="BG86" i="202"/>
  <c r="BG87" i="202"/>
  <c r="BG88" i="202"/>
  <c r="BG89" i="202"/>
  <c r="BG90" i="202"/>
  <c r="BG91" i="202"/>
  <c r="U295" i="517"/>
  <c r="V295" i="517"/>
  <c r="W295" i="517"/>
  <c r="Y295" i="517"/>
  <c r="AA295" i="517"/>
  <c r="AD295" i="517"/>
  <c r="AE295" i="517"/>
  <c r="AF295" i="517"/>
  <c r="AG295" i="517"/>
  <c r="AH295" i="517"/>
  <c r="AI295" i="517"/>
  <c r="AJ295" i="517"/>
  <c r="AK295" i="517"/>
  <c r="AL295" i="517"/>
  <c r="AM295" i="517"/>
  <c r="AN295" i="517"/>
  <c r="AO295" i="517"/>
  <c r="AP295" i="517"/>
  <c r="AQ295" i="517"/>
  <c r="AR295" i="517"/>
  <c r="AS295" i="517"/>
  <c r="AT295" i="517"/>
  <c r="AU295" i="517"/>
  <c r="AW295" i="517"/>
  <c r="AX295" i="517"/>
  <c r="AY295" i="517"/>
  <c r="BE425" i="397"/>
  <c r="N380" i="517"/>
  <c r="N379" i="517" s="1"/>
  <c r="N389" i="517"/>
  <c r="N388" i="517"/>
  <c r="N387" i="517"/>
  <c r="N386" i="517"/>
  <c r="N385" i="517"/>
  <c r="N384" i="517"/>
  <c r="N383" i="517"/>
  <c r="N382" i="517"/>
  <c r="N381" i="517"/>
  <c r="N364" i="517"/>
  <c r="N363" i="517"/>
  <c r="N339" i="517"/>
  <c r="N338" i="517"/>
  <c r="N320" i="517"/>
  <c r="N319" i="517"/>
  <c r="N318" i="517"/>
  <c r="N317" i="517"/>
  <c r="N310" i="517" s="1"/>
  <c r="H390" i="517"/>
  <c r="BC389" i="517"/>
  <c r="BB389" i="517"/>
  <c r="BA389" i="517"/>
  <c r="AZ389" i="517"/>
  <c r="AY389" i="517"/>
  <c r="AX389" i="517"/>
  <c r="AW389" i="517"/>
  <c r="AV389" i="517"/>
  <c r="AU389" i="517"/>
  <c r="AT389" i="517"/>
  <c r="AS389" i="517"/>
  <c r="AR389" i="517"/>
  <c r="AQ389" i="517"/>
  <c r="AP389" i="517"/>
  <c r="AO389" i="517"/>
  <c r="AN389" i="517"/>
  <c r="AM389" i="517"/>
  <c r="AL389" i="517"/>
  <c r="AJ389" i="517"/>
  <c r="AI389" i="517"/>
  <c r="AH389" i="517"/>
  <c r="AG389" i="517"/>
  <c r="AF389" i="517"/>
  <c r="AE389" i="517"/>
  <c r="AD389" i="517"/>
  <c r="AC389" i="517"/>
  <c r="AB389" i="517"/>
  <c r="AA389" i="517"/>
  <c r="W389" i="517"/>
  <c r="V389" i="517"/>
  <c r="U389" i="517"/>
  <c r="T389" i="517"/>
  <c r="H387" i="517"/>
  <c r="H388" i="517" s="1"/>
  <c r="H391" i="517" s="1"/>
  <c r="Z386" i="517"/>
  <c r="Y385" i="517"/>
  <c r="AK384" i="517"/>
  <c r="AK389" i="517"/>
  <c r="Z383" i="517"/>
  <c r="Z389" i="517" s="1"/>
  <c r="Y382" i="517"/>
  <c r="Y381" i="517"/>
  <c r="Y380" i="517"/>
  <c r="Y389" i="517" s="1"/>
  <c r="H367" i="517"/>
  <c r="H362" i="517"/>
  <c r="N362" i="517"/>
  <c r="N361" i="517"/>
  <c r="N360" i="517"/>
  <c r="N359" i="517"/>
  <c r="N358" i="517"/>
  <c r="N357" i="517"/>
  <c r="N356" i="517"/>
  <c r="N354" i="517" s="1"/>
  <c r="N355" i="517"/>
  <c r="H365" i="517"/>
  <c r="AX364" i="517"/>
  <c r="AW364" i="517"/>
  <c r="AV364" i="517"/>
  <c r="AU364" i="517"/>
  <c r="AT364" i="517"/>
  <c r="AS364" i="517"/>
  <c r="AR364" i="517"/>
  <c r="AQ364" i="517"/>
  <c r="AP364" i="517"/>
  <c r="AO364" i="517"/>
  <c r="AN364" i="517"/>
  <c r="AM364" i="517"/>
  <c r="AL364" i="517"/>
  <c r="AK364" i="517"/>
  <c r="AJ364" i="517"/>
  <c r="AI364" i="517"/>
  <c r="AH364" i="517"/>
  <c r="AG364" i="517"/>
  <c r="AF364" i="517"/>
  <c r="AE364" i="517"/>
  <c r="AD364" i="517"/>
  <c r="AA364" i="517"/>
  <c r="Z364" i="517"/>
  <c r="Y364" i="517"/>
  <c r="W364" i="517"/>
  <c r="V364" i="517"/>
  <c r="U364" i="517"/>
  <c r="AB362" i="517"/>
  <c r="AC361" i="517"/>
  <c r="AC364" i="517"/>
  <c r="AY360" i="517"/>
  <c r="AY364" i="517" s="1"/>
  <c r="T359" i="517"/>
  <c r="T364" i="517" s="1"/>
  <c r="AB358" i="517"/>
  <c r="H356" i="517"/>
  <c r="AB355" i="517"/>
  <c r="AB364" i="517" s="1"/>
  <c r="H342" i="517"/>
  <c r="H337" i="517"/>
  <c r="N337" i="517"/>
  <c r="N336" i="517"/>
  <c r="N335" i="517"/>
  <c r="H340" i="517"/>
  <c r="BA339" i="517"/>
  <c r="AZ339" i="517"/>
  <c r="AY339" i="517"/>
  <c r="AX339" i="517"/>
  <c r="AW339" i="517"/>
  <c r="AV339" i="517"/>
  <c r="AU339" i="517"/>
  <c r="AT339" i="517"/>
  <c r="AS339" i="517"/>
  <c r="AR339" i="517"/>
  <c r="AQ339" i="517"/>
  <c r="AP339" i="517"/>
  <c r="AO339" i="517"/>
  <c r="AN339" i="517"/>
  <c r="AM339" i="517"/>
  <c r="AL339" i="517"/>
  <c r="AK339" i="517"/>
  <c r="AJ339" i="517"/>
  <c r="AI339" i="517"/>
  <c r="AH339" i="517"/>
  <c r="AG339" i="517"/>
  <c r="AF339" i="517"/>
  <c r="AE339" i="517"/>
  <c r="AD339" i="517"/>
  <c r="AC339" i="517"/>
  <c r="AB339" i="517"/>
  <c r="AA339" i="517"/>
  <c r="X339" i="517"/>
  <c r="W339" i="517"/>
  <c r="V339" i="517"/>
  <c r="U339" i="517"/>
  <c r="T339" i="517"/>
  <c r="Z337" i="517"/>
  <c r="Z336" i="517"/>
  <c r="Y336" i="517"/>
  <c r="Y335" i="517"/>
  <c r="X387" i="517"/>
  <c r="X389" i="517" s="1"/>
  <c r="CE439" i="397"/>
  <c r="CD439" i="397"/>
  <c r="CC439" i="397"/>
  <c r="BE439" i="397"/>
  <c r="X317" i="517"/>
  <c r="AB312" i="517"/>
  <c r="AB320" i="517" s="1"/>
  <c r="AC311" i="517"/>
  <c r="CC440" i="397"/>
  <c r="CD440" i="397"/>
  <c r="BE440" i="397"/>
  <c r="CE440" i="397"/>
  <c r="N316" i="517"/>
  <c r="N315" i="517"/>
  <c r="N314" i="517"/>
  <c r="N313" i="517"/>
  <c r="N312" i="517"/>
  <c r="N311" i="517"/>
  <c r="H321" i="517"/>
  <c r="BC320" i="517"/>
  <c r="BB320" i="517"/>
  <c r="BA320" i="517"/>
  <c r="AZ320" i="517"/>
  <c r="AY320" i="517"/>
  <c r="AX320" i="517"/>
  <c r="AW320" i="517"/>
  <c r="AV320" i="517"/>
  <c r="AT320" i="517"/>
  <c r="AS320" i="517"/>
  <c r="AR320" i="517"/>
  <c r="AQ320" i="517"/>
  <c r="AP320" i="517"/>
  <c r="AO320" i="517"/>
  <c r="AN320" i="517"/>
  <c r="AM320" i="517"/>
  <c r="AL320" i="517"/>
  <c r="AK320" i="517"/>
  <c r="AJ320" i="517"/>
  <c r="AI320" i="517"/>
  <c r="AH320" i="517"/>
  <c r="AG320" i="517"/>
  <c r="AF320" i="517"/>
  <c r="AE320" i="517"/>
  <c r="AD320" i="517"/>
  <c r="AA320" i="517"/>
  <c r="Z320" i="517"/>
  <c r="Y320" i="517"/>
  <c r="W320" i="517"/>
  <c r="V320" i="517"/>
  <c r="U320" i="517"/>
  <c r="H318" i="517"/>
  <c r="H319" i="517" s="1"/>
  <c r="H322" i="517" s="1"/>
  <c r="X320" i="517"/>
  <c r="AU316" i="517"/>
  <c r="AU320" i="517"/>
  <c r="AB315" i="517"/>
  <c r="AB314" i="517"/>
  <c r="AC313" i="517"/>
  <c r="AC320" i="517"/>
  <c r="T318" i="517"/>
  <c r="T320" i="517" s="1"/>
  <c r="BP110" i="202"/>
  <c r="N270" i="517"/>
  <c r="N271" i="517"/>
  <c r="N272" i="517"/>
  <c r="N273" i="517"/>
  <c r="N274" i="517"/>
  <c r="N275" i="517"/>
  <c r="N276" i="517"/>
  <c r="N277" i="517"/>
  <c r="N278" i="517"/>
  <c r="N279" i="517"/>
  <c r="N280" i="517"/>
  <c r="N281" i="517"/>
  <c r="N282" i="517"/>
  <c r="N283" i="517"/>
  <c r="N284" i="517"/>
  <c r="N285" i="517"/>
  <c r="N286" i="517"/>
  <c r="N287" i="517"/>
  <c r="N288" i="517"/>
  <c r="N289" i="517"/>
  <c r="N290" i="517"/>
  <c r="N291" i="517"/>
  <c r="N292" i="517"/>
  <c r="N293" i="517"/>
  <c r="N294" i="517"/>
  <c r="N295" i="517"/>
  <c r="N269" i="517"/>
  <c r="H298" i="517"/>
  <c r="H292" i="517"/>
  <c r="H293" i="517" s="1"/>
  <c r="H296" i="517"/>
  <c r="AC292" i="517"/>
  <c r="H291" i="517"/>
  <c r="H290" i="517"/>
  <c r="AC289" i="517"/>
  <c r="AC287" i="517"/>
  <c r="Z285" i="517"/>
  <c r="Z295" i="517"/>
  <c r="X282" i="517"/>
  <c r="X295" i="517"/>
  <c r="AC280" i="517"/>
  <c r="AC277" i="517"/>
  <c r="AC274" i="517"/>
  <c r="H273" i="517"/>
  <c r="AC272" i="517"/>
  <c r="AB272" i="517"/>
  <c r="AC271" i="517"/>
  <c r="AB271" i="517"/>
  <c r="AB295" i="517" s="1"/>
  <c r="T270" i="517"/>
  <c r="T295" i="517" s="1"/>
  <c r="AV269" i="517"/>
  <c r="AV295" i="517"/>
  <c r="H256" i="517"/>
  <c r="H251" i="517"/>
  <c r="H232" i="517"/>
  <c r="H225" i="517"/>
  <c r="AC225" i="517" s="1"/>
  <c r="N253" i="517"/>
  <c r="N252" i="517"/>
  <c r="N251" i="517"/>
  <c r="N250" i="517"/>
  <c r="N249" i="517"/>
  <c r="N248" i="517"/>
  <c r="N247" i="517"/>
  <c r="N246" i="517"/>
  <c r="N245" i="517"/>
  <c r="H254" i="517"/>
  <c r="AY253" i="517"/>
  <c r="AX253" i="517"/>
  <c r="AW253" i="517"/>
  <c r="AV253" i="517"/>
  <c r="AU253" i="517"/>
  <c r="AT253" i="517"/>
  <c r="AS253" i="517"/>
  <c r="AR253" i="517"/>
  <c r="AQ253" i="517"/>
  <c r="AP253" i="517"/>
  <c r="AO253" i="517"/>
  <c r="AN253" i="517"/>
  <c r="AM253" i="517"/>
  <c r="AL253" i="517"/>
  <c r="AK253" i="517"/>
  <c r="AJ253" i="517"/>
  <c r="AI253" i="517"/>
  <c r="AH253" i="517"/>
  <c r="AG253" i="517"/>
  <c r="AF253" i="517"/>
  <c r="AE253" i="517"/>
  <c r="AD253" i="517"/>
  <c r="AC253" i="517"/>
  <c r="AB253" i="517"/>
  <c r="AA253" i="517"/>
  <c r="W253" i="517"/>
  <c r="V253" i="517"/>
  <c r="U253" i="517"/>
  <c r="T253" i="517"/>
  <c r="Y250" i="517"/>
  <c r="X249" i="517"/>
  <c r="X253" i="517" s="1"/>
  <c r="Y248" i="517"/>
  <c r="Z247" i="517"/>
  <c r="Z246" i="517"/>
  <c r="Z245" i="517"/>
  <c r="BG102" i="202"/>
  <c r="AU165" i="527"/>
  <c r="AR165" i="527"/>
  <c r="AP165" i="527"/>
  <c r="AO165" i="527"/>
  <c r="AI165" i="527"/>
  <c r="AF165" i="527"/>
  <c r="AE165" i="527"/>
  <c r="AD165" i="527"/>
  <c r="AB165" i="527"/>
  <c r="AA165" i="527"/>
  <c r="Z165" i="527"/>
  <c r="V165" i="527"/>
  <c r="S165" i="527"/>
  <c r="BX164" i="527"/>
  <c r="BW164" i="527"/>
  <c r="BV164" i="527"/>
  <c r="BT164" i="527"/>
  <c r="BS164" i="527"/>
  <c r="BG164" i="527"/>
  <c r="BU164" i="527" s="1"/>
  <c r="BY164" i="527" s="1"/>
  <c r="CA164" i="527" s="1"/>
  <c r="AX164" i="527"/>
  <c r="AW164" i="527"/>
  <c r="R164" i="527"/>
  <c r="T164" i="527" s="1"/>
  <c r="Q164" i="527"/>
  <c r="A164" i="527"/>
  <c r="BX163" i="527"/>
  <c r="BW163" i="527"/>
  <c r="BV163" i="527"/>
  <c r="BT163" i="527"/>
  <c r="BS163" i="527"/>
  <c r="BY163" i="527" s="1"/>
  <c r="CA163" i="527" s="1"/>
  <c r="BG163" i="527"/>
  <c r="BU163" i="527" s="1"/>
  <c r="AX163" i="527"/>
  <c r="AW163" i="527"/>
  <c r="U163" i="527"/>
  <c r="T163" i="527"/>
  <c r="Q163" i="527"/>
  <c r="A163" i="527"/>
  <c r="BX162" i="527"/>
  <c r="BW162" i="527"/>
  <c r="BV162" i="527"/>
  <c r="BT162" i="527"/>
  <c r="BS162" i="527"/>
  <c r="BG162" i="527"/>
  <c r="BU162" i="527" s="1"/>
  <c r="AX162" i="527"/>
  <c r="AY162" i="527" s="1"/>
  <c r="AW162" i="527"/>
  <c r="U162" i="527"/>
  <c r="T162" i="527"/>
  <c r="Q162" i="527"/>
  <c r="A162" i="527"/>
  <c r="BX161" i="527"/>
  <c r="BW161" i="527"/>
  <c r="BV161" i="527"/>
  <c r="BT161" i="527"/>
  <c r="BS161" i="527"/>
  <c r="BG161" i="527"/>
  <c r="BU161" i="527"/>
  <c r="AX161" i="527"/>
  <c r="AY161" i="527" s="1"/>
  <c r="AW161" i="527"/>
  <c r="U161" i="527"/>
  <c r="T161" i="527"/>
  <c r="Q161" i="527"/>
  <c r="A161" i="527"/>
  <c r="BX160" i="527"/>
  <c r="BW160" i="527"/>
  <c r="BV160" i="527"/>
  <c r="BT160" i="527"/>
  <c r="BS160" i="527"/>
  <c r="BG160" i="527"/>
  <c r="BU160" i="527" s="1"/>
  <c r="BY160" i="527" s="1"/>
  <c r="AX160" i="527"/>
  <c r="AW160" i="527"/>
  <c r="AY160" i="527" s="1"/>
  <c r="BZ160" i="527" s="1"/>
  <c r="U160" i="527"/>
  <c r="T160" i="527"/>
  <c r="Q160" i="527"/>
  <c r="A160" i="527"/>
  <c r="BX159" i="527"/>
  <c r="BY159" i="527" s="1"/>
  <c r="CA159" i="527" s="1"/>
  <c r="BW159" i="527"/>
  <c r="BV159" i="527"/>
  <c r="BT159" i="527"/>
  <c r="BS159" i="527"/>
  <c r="BG159" i="527"/>
  <c r="BU159" i="527"/>
  <c r="AX159" i="527"/>
  <c r="AW159" i="527"/>
  <c r="U159" i="527"/>
  <c r="T159" i="527"/>
  <c r="Q159" i="527"/>
  <c r="A159" i="527"/>
  <c r="BX158" i="527"/>
  <c r="BW158" i="527"/>
  <c r="BV158" i="527"/>
  <c r="BY158" i="527" s="1"/>
  <c r="BT158" i="527"/>
  <c r="BS158" i="527"/>
  <c r="BG158" i="527"/>
  <c r="BU158" i="527" s="1"/>
  <c r="AX158" i="527"/>
  <c r="AW158" i="527"/>
  <c r="U158" i="527"/>
  <c r="T158" i="527"/>
  <c r="A158" i="527"/>
  <c r="BX157" i="527"/>
  <c r="BW157" i="527"/>
  <c r="BV157" i="527"/>
  <c r="BT157" i="527"/>
  <c r="BS157" i="527"/>
  <c r="BG157" i="527"/>
  <c r="BU157" i="527"/>
  <c r="AX157" i="527"/>
  <c r="AY157" i="527" s="1"/>
  <c r="BZ157" i="527" s="1"/>
  <c r="AW157" i="527"/>
  <c r="T157" i="527"/>
  <c r="Q157" i="527"/>
  <c r="A157" i="527"/>
  <c r="BX156" i="527"/>
  <c r="BW156" i="527"/>
  <c r="BV156" i="527"/>
  <c r="BT156" i="527"/>
  <c r="BS156" i="527"/>
  <c r="BY156" i="527" s="1"/>
  <c r="CA156" i="527" s="1"/>
  <c r="BG156" i="527"/>
  <c r="BU156" i="527"/>
  <c r="AX156" i="527"/>
  <c r="AY156" i="527" s="1"/>
  <c r="BZ156" i="527" s="1"/>
  <c r="AW156" i="527"/>
  <c r="T156" i="527"/>
  <c r="Q156" i="527"/>
  <c r="A156" i="527"/>
  <c r="BX155" i="527"/>
  <c r="BW155" i="527"/>
  <c r="BV155" i="527"/>
  <c r="BT155" i="527"/>
  <c r="BS155" i="527"/>
  <c r="BG155" i="527"/>
  <c r="BU155" i="527" s="1"/>
  <c r="AX155" i="527"/>
  <c r="AW155" i="527"/>
  <c r="T155" i="527"/>
  <c r="Q155" i="527"/>
  <c r="A155" i="527"/>
  <c r="BX154" i="527"/>
  <c r="BW154" i="527"/>
  <c r="BV154" i="527"/>
  <c r="BT154" i="527"/>
  <c r="BS154" i="527"/>
  <c r="BG154" i="527"/>
  <c r="BU154" i="527" s="1"/>
  <c r="AX154" i="527"/>
  <c r="AW154" i="527"/>
  <c r="AY154" i="527" s="1"/>
  <c r="U154" i="527"/>
  <c r="Q154" i="527"/>
  <c r="A154" i="527"/>
  <c r="BX153" i="527"/>
  <c r="BW153" i="527"/>
  <c r="BV153" i="527"/>
  <c r="BT153" i="527"/>
  <c r="BS153" i="527"/>
  <c r="BG153" i="527"/>
  <c r="BU153" i="527" s="1"/>
  <c r="AX153" i="527"/>
  <c r="AW153" i="527"/>
  <c r="T153" i="527"/>
  <c r="Q153" i="527"/>
  <c r="A153" i="527"/>
  <c r="BX152" i="527"/>
  <c r="BW152" i="527"/>
  <c r="BV152" i="527"/>
  <c r="BT152" i="527"/>
  <c r="BS152" i="527"/>
  <c r="BG152" i="527"/>
  <c r="BU152" i="527" s="1"/>
  <c r="AX152" i="527"/>
  <c r="AY152" i="527" s="1"/>
  <c r="AW152" i="527"/>
  <c r="T152" i="527"/>
  <c r="Q152" i="527"/>
  <c r="A152" i="527"/>
  <c r="BX151" i="527"/>
  <c r="BW151" i="527"/>
  <c r="BV151" i="527"/>
  <c r="BT151" i="527"/>
  <c r="BS151" i="527"/>
  <c r="BG151" i="527"/>
  <c r="BU151" i="527" s="1"/>
  <c r="AX151" i="527"/>
  <c r="AW151" i="527"/>
  <c r="T151" i="527"/>
  <c r="Q151" i="527"/>
  <c r="A151" i="527"/>
  <c r="BX150" i="527"/>
  <c r="BW150" i="527"/>
  <c r="BY150" i="527" s="1"/>
  <c r="BV150" i="527"/>
  <c r="BT150" i="527"/>
  <c r="BS150" i="527"/>
  <c r="BG150" i="527"/>
  <c r="BU150" i="527"/>
  <c r="AX150" i="527"/>
  <c r="AW150" i="527"/>
  <c r="U150" i="527"/>
  <c r="T150" i="527"/>
  <c r="Q150" i="527"/>
  <c r="A150" i="527"/>
  <c r="BX149" i="527"/>
  <c r="BW149" i="527"/>
  <c r="BV149" i="527"/>
  <c r="BT149" i="527"/>
  <c r="BS149" i="527"/>
  <c r="BY149" i="527" s="1"/>
  <c r="CA149" i="527" s="1"/>
  <c r="BG149" i="527"/>
  <c r="BU149" i="527"/>
  <c r="AX149" i="527"/>
  <c r="AW149" i="527"/>
  <c r="AY149" i="527" s="1"/>
  <c r="BZ149" i="527" s="1"/>
  <c r="U149" i="527"/>
  <c r="T149" i="527"/>
  <c r="Q149" i="527"/>
  <c r="A149" i="527"/>
  <c r="BX148" i="527"/>
  <c r="BW148" i="527"/>
  <c r="BV148" i="527"/>
  <c r="BT148" i="527"/>
  <c r="BS148" i="527"/>
  <c r="BG148" i="527"/>
  <c r="BU148" i="527" s="1"/>
  <c r="BY148" i="527" s="1"/>
  <c r="AX148" i="527"/>
  <c r="AW148" i="527"/>
  <c r="U148" i="527"/>
  <c r="T148" i="527"/>
  <c r="Q148" i="527"/>
  <c r="A148" i="527"/>
  <c r="BX147" i="527"/>
  <c r="BW147" i="527"/>
  <c r="BV147" i="527"/>
  <c r="BY147" i="527" s="1"/>
  <c r="BT147" i="527"/>
  <c r="BS147" i="527"/>
  <c r="BG147" i="527"/>
  <c r="BU147" i="527" s="1"/>
  <c r="AX147" i="527"/>
  <c r="AW147" i="527"/>
  <c r="U147" i="527"/>
  <c r="T147" i="527"/>
  <c r="Q147" i="527"/>
  <c r="A147" i="527"/>
  <c r="BX146" i="527"/>
  <c r="BW146" i="527"/>
  <c r="BV146" i="527"/>
  <c r="BT146" i="527"/>
  <c r="BS146" i="527"/>
  <c r="BG146" i="527"/>
  <c r="BU146" i="527"/>
  <c r="AX146" i="527"/>
  <c r="AY146" i="527" s="1"/>
  <c r="BZ146" i="527" s="1"/>
  <c r="AW146" i="527"/>
  <c r="U146" i="527"/>
  <c r="T146" i="527"/>
  <c r="Q146" i="527"/>
  <c r="A146" i="527"/>
  <c r="BX145" i="527"/>
  <c r="BW145" i="527"/>
  <c r="BV145" i="527"/>
  <c r="BT145" i="527"/>
  <c r="BS145" i="527"/>
  <c r="BG145" i="527"/>
  <c r="BU145" i="527"/>
  <c r="BY145" i="527" s="1"/>
  <c r="AX145" i="527"/>
  <c r="AW145" i="527"/>
  <c r="U145" i="527"/>
  <c r="T145" i="527"/>
  <c r="Q145" i="527"/>
  <c r="A145" i="527"/>
  <c r="BX144" i="527"/>
  <c r="BW144" i="527"/>
  <c r="BV144" i="527"/>
  <c r="BT144" i="527"/>
  <c r="BS144" i="527"/>
  <c r="BG144" i="527"/>
  <c r="BU144" i="527" s="1"/>
  <c r="AX144" i="527"/>
  <c r="AW144" i="527"/>
  <c r="AY144" i="527" s="1"/>
  <c r="BZ144" i="527" s="1"/>
  <c r="U144" i="527"/>
  <c r="T144" i="527"/>
  <c r="Q144" i="527"/>
  <c r="A144" i="527"/>
  <c r="BX143" i="527"/>
  <c r="BW143" i="527"/>
  <c r="BV143" i="527"/>
  <c r="BT143" i="527"/>
  <c r="BS143" i="527"/>
  <c r="BG143" i="527"/>
  <c r="BU143" i="527"/>
  <c r="BY143" i="527" s="1"/>
  <c r="AX143" i="527"/>
  <c r="AW143" i="527"/>
  <c r="T143" i="527"/>
  <c r="Q143" i="527"/>
  <c r="A143" i="527"/>
  <c r="BX142" i="527"/>
  <c r="BW142" i="527"/>
  <c r="BV142" i="527"/>
  <c r="BT142" i="527"/>
  <c r="BS142" i="527"/>
  <c r="BG142" i="527"/>
  <c r="BU142" i="527" s="1"/>
  <c r="AX142" i="527"/>
  <c r="AW142" i="527"/>
  <c r="AY142" i="527" s="1"/>
  <c r="BZ142" i="527" s="1"/>
  <c r="R142" i="527"/>
  <c r="T142" i="527" s="1"/>
  <c r="Q142" i="527"/>
  <c r="A142" i="527"/>
  <c r="BX141" i="527"/>
  <c r="BW141" i="527"/>
  <c r="BV141" i="527"/>
  <c r="BU141" i="527"/>
  <c r="BT141" i="527"/>
  <c r="BS141" i="527"/>
  <c r="AX141" i="527"/>
  <c r="AY141" i="527" s="1"/>
  <c r="BZ141" i="527" s="1"/>
  <c r="AW141" i="527"/>
  <c r="Q141" i="527"/>
  <c r="BX140" i="527"/>
  <c r="BY140" i="527" s="1"/>
  <c r="BW140" i="527"/>
  <c r="BV140" i="527"/>
  <c r="BU140" i="527"/>
  <c r="BT140" i="527"/>
  <c r="BS140" i="527"/>
  <c r="AX140" i="527"/>
  <c r="AW140" i="527"/>
  <c r="AT140" i="527"/>
  <c r="AT165" i="527"/>
  <c r="A140" i="527"/>
  <c r="BX139" i="527"/>
  <c r="BW139" i="527"/>
  <c r="BV139" i="527"/>
  <c r="BU139" i="527"/>
  <c r="BT139" i="527"/>
  <c r="BS139" i="527"/>
  <c r="AX139" i="527"/>
  <c r="AY139" i="527" s="1"/>
  <c r="AW139" i="527"/>
  <c r="AS139" i="527"/>
  <c r="A139" i="527"/>
  <c r="BX138" i="527"/>
  <c r="BW138" i="527"/>
  <c r="BV138" i="527"/>
  <c r="BU138" i="527"/>
  <c r="BT138" i="527"/>
  <c r="BS138" i="527"/>
  <c r="BY138" i="527" s="1"/>
  <c r="AX138" i="527"/>
  <c r="AY138" i="527" s="1"/>
  <c r="BZ138" i="527" s="1"/>
  <c r="AW138" i="527"/>
  <c r="AS138" i="527"/>
  <c r="A138" i="527"/>
  <c r="BX137" i="527"/>
  <c r="BW137" i="527"/>
  <c r="BV137" i="527"/>
  <c r="BU137" i="527"/>
  <c r="BT137" i="527"/>
  <c r="BS137" i="527"/>
  <c r="AX137" i="527"/>
  <c r="AY137" i="527" s="1"/>
  <c r="BZ137" i="527" s="1"/>
  <c r="AW137" i="527"/>
  <c r="AS137" i="527"/>
  <c r="A137" i="527"/>
  <c r="BX136" i="527"/>
  <c r="BW136" i="527"/>
  <c r="BV136" i="527"/>
  <c r="BU136" i="527"/>
  <c r="BT136" i="527"/>
  <c r="BS136" i="527"/>
  <c r="AX136" i="527"/>
  <c r="AY136" i="527" s="1"/>
  <c r="BZ136" i="527" s="1"/>
  <c r="AW136" i="527"/>
  <c r="AS136" i="527"/>
  <c r="A136" i="527"/>
  <c r="BX135" i="527"/>
  <c r="BW135" i="527"/>
  <c r="BV135" i="527"/>
  <c r="BU135" i="527"/>
  <c r="BT135" i="527"/>
  <c r="AX135" i="527"/>
  <c r="AW135" i="527"/>
  <c r="AY135" i="527" s="1"/>
  <c r="BZ135" i="527" s="1"/>
  <c r="AS135" i="527"/>
  <c r="A135" i="527"/>
  <c r="BX134" i="527"/>
  <c r="BW134" i="527"/>
  <c r="BV134" i="527"/>
  <c r="BT134" i="527"/>
  <c r="BS134" i="527"/>
  <c r="BG134" i="527"/>
  <c r="BU134" i="527"/>
  <c r="BY134" i="527" s="1"/>
  <c r="AX134" i="527"/>
  <c r="AY134" i="527" s="1"/>
  <c r="BZ134" i="527" s="1"/>
  <c r="AW134" i="527"/>
  <c r="Y134" i="527"/>
  <c r="Q134" i="527"/>
  <c r="A134" i="527"/>
  <c r="BX133" i="527"/>
  <c r="BW133" i="527"/>
  <c r="BV133" i="527"/>
  <c r="BT133" i="527"/>
  <c r="BS133" i="527"/>
  <c r="BG133" i="527"/>
  <c r="BU133" i="527" s="1"/>
  <c r="AX133" i="527"/>
  <c r="AW133" i="527"/>
  <c r="Y133" i="527"/>
  <c r="Q133" i="527"/>
  <c r="A133" i="527"/>
  <c r="BX132" i="527"/>
  <c r="BW132" i="527"/>
  <c r="BV132" i="527"/>
  <c r="BT132" i="527"/>
  <c r="BS132" i="527"/>
  <c r="BG132" i="527"/>
  <c r="BU132" i="527"/>
  <c r="AX132" i="527"/>
  <c r="AW132" i="527"/>
  <c r="AY132" i="527" s="1"/>
  <c r="BZ132" i="527" s="1"/>
  <c r="Y132" i="527"/>
  <c r="Q132" i="527"/>
  <c r="A132" i="527"/>
  <c r="BX131" i="527"/>
  <c r="BW131" i="527"/>
  <c r="BV131" i="527"/>
  <c r="BT131" i="527"/>
  <c r="BS131" i="527"/>
  <c r="BG131" i="527"/>
  <c r="BU131" i="527" s="1"/>
  <c r="AX131" i="527"/>
  <c r="AW131" i="527"/>
  <c r="Y131" i="527"/>
  <c r="Q131" i="527"/>
  <c r="A131" i="527"/>
  <c r="BX130" i="527"/>
  <c r="BW130" i="527"/>
  <c r="BV130" i="527"/>
  <c r="BT130" i="527"/>
  <c r="BS130" i="527"/>
  <c r="BG130" i="527"/>
  <c r="BU130" i="527" s="1"/>
  <c r="BY130" i="527" s="1"/>
  <c r="AX130" i="527"/>
  <c r="AW130" i="527"/>
  <c r="Y130" i="527"/>
  <c r="Q130" i="527"/>
  <c r="A130" i="527"/>
  <c r="BX129" i="527"/>
  <c r="BW129" i="527"/>
  <c r="BV129" i="527"/>
  <c r="BT129" i="527"/>
  <c r="BS129" i="527"/>
  <c r="BG129" i="527"/>
  <c r="BU129" i="527"/>
  <c r="AX129" i="527"/>
  <c r="AW129" i="527"/>
  <c r="Y129" i="527"/>
  <c r="Q129" i="527"/>
  <c r="A129" i="527"/>
  <c r="BX128" i="527"/>
  <c r="BW128" i="527"/>
  <c r="BV128" i="527"/>
  <c r="BT128" i="527"/>
  <c r="BS128" i="527"/>
  <c r="BY128" i="527" s="1"/>
  <c r="BG128" i="527"/>
  <c r="BU128" i="527"/>
  <c r="AX128" i="527"/>
  <c r="AW128" i="527"/>
  <c r="AY128" i="527" s="1"/>
  <c r="BZ128" i="527" s="1"/>
  <c r="Y128" i="527"/>
  <c r="Y165" i="527" s="1"/>
  <c r="Q128" i="527"/>
  <c r="A128" i="527"/>
  <c r="BX127" i="527"/>
  <c r="BW127" i="527"/>
  <c r="BV127" i="527"/>
  <c r="BT127" i="527"/>
  <c r="BS127" i="527"/>
  <c r="BY127" i="527" s="1"/>
  <c r="CA127" i="527" s="1"/>
  <c r="BG127" i="527"/>
  <c r="BU127" i="527" s="1"/>
  <c r="AX127" i="527"/>
  <c r="AW127" i="527"/>
  <c r="AK127" i="527"/>
  <c r="Q127" i="527"/>
  <c r="A127" i="527"/>
  <c r="BX126" i="527"/>
  <c r="BW126" i="527"/>
  <c r="BV126" i="527"/>
  <c r="BT126" i="527"/>
  <c r="BS126" i="527"/>
  <c r="BG126" i="527"/>
  <c r="BU126" i="527" s="1"/>
  <c r="AX126" i="527"/>
  <c r="AW126" i="527"/>
  <c r="AK126" i="527"/>
  <c r="Q126" i="527"/>
  <c r="A126" i="527"/>
  <c r="BX125" i="527"/>
  <c r="BW125" i="527"/>
  <c r="BV125" i="527"/>
  <c r="BT125" i="527"/>
  <c r="BS125" i="527"/>
  <c r="BG125" i="527"/>
  <c r="BU125" i="527"/>
  <c r="AX125" i="527"/>
  <c r="AW125" i="527"/>
  <c r="AK125" i="527"/>
  <c r="Q125" i="527"/>
  <c r="A125" i="527"/>
  <c r="BX124" i="527"/>
  <c r="BW124" i="527"/>
  <c r="BV124" i="527"/>
  <c r="BT124" i="527"/>
  <c r="BS124" i="527"/>
  <c r="BG124" i="527"/>
  <c r="BU124" i="527"/>
  <c r="AX124" i="527"/>
  <c r="AW124" i="527"/>
  <c r="AY124" i="527" s="1"/>
  <c r="BZ124" i="527" s="1"/>
  <c r="AK124" i="527"/>
  <c r="Q124" i="527"/>
  <c r="A124" i="527"/>
  <c r="BX123" i="527"/>
  <c r="BW123" i="527"/>
  <c r="BV123" i="527"/>
  <c r="BT123" i="527"/>
  <c r="BS123" i="527"/>
  <c r="BY123" i="527" s="1"/>
  <c r="BG123" i="527"/>
  <c r="BU123" i="527" s="1"/>
  <c r="AX123" i="527"/>
  <c r="AY123" i="527" s="1"/>
  <c r="BZ123" i="527" s="1"/>
  <c r="AW123" i="527"/>
  <c r="AK123" i="527"/>
  <c r="Q123" i="527"/>
  <c r="A123" i="527"/>
  <c r="BX122" i="527"/>
  <c r="BW122" i="527"/>
  <c r="BV122" i="527"/>
  <c r="BT122" i="527"/>
  <c r="BS122" i="527"/>
  <c r="BG122" i="527"/>
  <c r="BU122" i="527" s="1"/>
  <c r="AX122" i="527"/>
  <c r="AW122" i="527"/>
  <c r="AY122" i="527" s="1"/>
  <c r="AK122" i="527"/>
  <c r="Q122" i="527"/>
  <c r="A122" i="527"/>
  <c r="BX121" i="527"/>
  <c r="BW121" i="527"/>
  <c r="BV121" i="527"/>
  <c r="BT121" i="527"/>
  <c r="BY121" i="527" s="1"/>
  <c r="CA121" i="527" s="1"/>
  <c r="BS121" i="527"/>
  <c r="BG121" i="527"/>
  <c r="BU121" i="527" s="1"/>
  <c r="AX121" i="527"/>
  <c r="AW121" i="527"/>
  <c r="AK121" i="527"/>
  <c r="Q121" i="527"/>
  <c r="A121" i="527"/>
  <c r="BX120" i="527"/>
  <c r="BW120" i="527"/>
  <c r="BV120" i="527"/>
  <c r="BT120" i="527"/>
  <c r="BS120" i="527"/>
  <c r="BY120" i="527" s="1"/>
  <c r="CA120" i="527" s="1"/>
  <c r="BG120" i="527"/>
  <c r="BU120" i="527"/>
  <c r="AX120" i="527"/>
  <c r="AW120" i="527"/>
  <c r="AK120" i="527"/>
  <c r="Q120" i="527"/>
  <c r="A120" i="527"/>
  <c r="BX119" i="527"/>
  <c r="BY119" i="527" s="1"/>
  <c r="CA119" i="527" s="1"/>
  <c r="BW119" i="527"/>
  <c r="BV119" i="527"/>
  <c r="BT119" i="527"/>
  <c r="BS119" i="527"/>
  <c r="BG119" i="527"/>
  <c r="BU119" i="527"/>
  <c r="AX119" i="527"/>
  <c r="AY119" i="527" s="1"/>
  <c r="AW119" i="527"/>
  <c r="AK119" i="527"/>
  <c r="Q119" i="527"/>
  <c r="A119" i="527"/>
  <c r="BX118" i="527"/>
  <c r="BW118" i="527"/>
  <c r="BV118" i="527"/>
  <c r="BT118" i="527"/>
  <c r="BS118" i="527"/>
  <c r="BG118" i="527"/>
  <c r="BU118" i="527"/>
  <c r="AX118" i="527"/>
  <c r="AW118" i="527"/>
  <c r="AY118" i="527" s="1"/>
  <c r="BZ118" i="527" s="1"/>
  <c r="AK118" i="527"/>
  <c r="Q118" i="527"/>
  <c r="A118" i="527"/>
  <c r="BX117" i="527"/>
  <c r="BW117" i="527"/>
  <c r="BV117" i="527"/>
  <c r="BU117" i="527"/>
  <c r="BY117" i="527" s="1"/>
  <c r="BT117" i="527"/>
  <c r="BS117" i="527"/>
  <c r="AX117" i="527"/>
  <c r="AW117" i="527"/>
  <c r="AL117" i="527"/>
  <c r="AL165" i="527" s="1"/>
  <c r="Q117" i="527"/>
  <c r="A117" i="527"/>
  <c r="BX116" i="527"/>
  <c r="BW116" i="527"/>
  <c r="BV116" i="527"/>
  <c r="BU116" i="527"/>
  <c r="BT116" i="527"/>
  <c r="BY116" i="527" s="1"/>
  <c r="CA116" i="527" s="1"/>
  <c r="BS116" i="527"/>
  <c r="AX116" i="527"/>
  <c r="AW116" i="527"/>
  <c r="AQ116" i="527"/>
  <c r="A116" i="527"/>
  <c r="BX115" i="527"/>
  <c r="BW115" i="527"/>
  <c r="BV115" i="527"/>
  <c r="BU115" i="527"/>
  <c r="BT115" i="527"/>
  <c r="BS115" i="527"/>
  <c r="AX115" i="527"/>
  <c r="AY115" i="527" s="1"/>
  <c r="BZ115" i="527" s="1"/>
  <c r="AW115" i="527"/>
  <c r="AQ115" i="527"/>
  <c r="AQ165" i="527" s="1"/>
  <c r="A115" i="527"/>
  <c r="BX114" i="527"/>
  <c r="BW114" i="527"/>
  <c r="BV114" i="527"/>
  <c r="BU114" i="527"/>
  <c r="BT114" i="527"/>
  <c r="BY114" i="527" s="1"/>
  <c r="CA114" i="527" s="1"/>
  <c r="BS114" i="527"/>
  <c r="AX114" i="527"/>
  <c r="AW114" i="527"/>
  <c r="AJ114" i="527"/>
  <c r="A114" i="527"/>
  <c r="BX113" i="527"/>
  <c r="BW113" i="527"/>
  <c r="BV113" i="527"/>
  <c r="BU113" i="527"/>
  <c r="BT113" i="527"/>
  <c r="BY113" i="527" s="1"/>
  <c r="BS113" i="527"/>
  <c r="AX113" i="527"/>
  <c r="AY113" i="527" s="1"/>
  <c r="BZ113" i="527" s="1"/>
  <c r="AW113" i="527"/>
  <c r="AJ113" i="527"/>
  <c r="AJ165" i="527" s="1"/>
  <c r="A113" i="527"/>
  <c r="BX112" i="527"/>
  <c r="BW112" i="527"/>
  <c r="BV112" i="527"/>
  <c r="BU112" i="527"/>
  <c r="BT112" i="527"/>
  <c r="BS112" i="527"/>
  <c r="AX112" i="527"/>
  <c r="AW112" i="527"/>
  <c r="AG112" i="527"/>
  <c r="Q112" i="527"/>
  <c r="A112" i="527"/>
  <c r="BX111" i="527"/>
  <c r="BW111" i="527"/>
  <c r="BV111" i="527"/>
  <c r="BU111" i="527"/>
  <c r="BT111" i="527"/>
  <c r="BS111" i="527"/>
  <c r="BY111" i="527" s="1"/>
  <c r="AX111" i="527"/>
  <c r="AW111" i="527"/>
  <c r="AG111" i="527"/>
  <c r="Q111" i="527"/>
  <c r="A111" i="527"/>
  <c r="BX110" i="527"/>
  <c r="BW110" i="527"/>
  <c r="BV110" i="527"/>
  <c r="BU110" i="527"/>
  <c r="BT110" i="527"/>
  <c r="BS110" i="527"/>
  <c r="AX110" i="527"/>
  <c r="AW110" i="527"/>
  <c r="AC110" i="527"/>
  <c r="Q110" i="527"/>
  <c r="A110" i="527"/>
  <c r="BX109" i="527"/>
  <c r="BW109" i="527"/>
  <c r="BV109" i="527"/>
  <c r="BU109" i="527"/>
  <c r="BT109" i="527"/>
  <c r="BS109" i="527"/>
  <c r="BY109" i="527" s="1"/>
  <c r="CA109" i="527" s="1"/>
  <c r="AX109" i="527"/>
  <c r="AW109" i="527"/>
  <c r="AY109" i="527" s="1"/>
  <c r="AC109" i="527"/>
  <c r="Q109" i="527"/>
  <c r="A109" i="527"/>
  <c r="BX108" i="527"/>
  <c r="BW108" i="527"/>
  <c r="BV108" i="527"/>
  <c r="BU108" i="527"/>
  <c r="BT108" i="527"/>
  <c r="BS108" i="527"/>
  <c r="AX108" i="527"/>
  <c r="AW108" i="527"/>
  <c r="AY108" i="527" s="1"/>
  <c r="AC108" i="527"/>
  <c r="Q108" i="527"/>
  <c r="A108" i="527"/>
  <c r="BX107" i="527"/>
  <c r="BW107" i="527"/>
  <c r="BV107" i="527"/>
  <c r="BU107" i="527"/>
  <c r="BT107" i="527"/>
  <c r="BS107" i="527"/>
  <c r="AX107" i="527"/>
  <c r="AW107" i="527"/>
  <c r="AG107" i="527"/>
  <c r="Q107" i="527"/>
  <c r="A107" i="527"/>
  <c r="BX106" i="527"/>
  <c r="BW106" i="527"/>
  <c r="BV106" i="527"/>
  <c r="BU106" i="527"/>
  <c r="BT106" i="527"/>
  <c r="BS106" i="527"/>
  <c r="AX106" i="527"/>
  <c r="AW106" i="527"/>
  <c r="AH106" i="527"/>
  <c r="A106" i="527"/>
  <c r="BX105" i="527"/>
  <c r="BW105" i="527"/>
  <c r="BV105" i="527"/>
  <c r="BU105" i="527"/>
  <c r="BT105" i="527"/>
  <c r="BS105" i="527"/>
  <c r="AX105" i="527"/>
  <c r="AY105" i="527" s="1"/>
  <c r="BZ105" i="527" s="1"/>
  <c r="AW105" i="527"/>
  <c r="AH105" i="527"/>
  <c r="A105" i="527"/>
  <c r="BX104" i="527"/>
  <c r="BW104" i="527"/>
  <c r="BV104" i="527"/>
  <c r="BU104" i="527"/>
  <c r="BT104" i="527"/>
  <c r="BS104" i="527"/>
  <c r="AX104" i="527"/>
  <c r="AW104" i="527"/>
  <c r="AY104" i="527" s="1"/>
  <c r="AH104" i="527"/>
  <c r="A104" i="527"/>
  <c r="BX103" i="527"/>
  <c r="BW103" i="527"/>
  <c r="BV103" i="527"/>
  <c r="BU103" i="527"/>
  <c r="BT103" i="527"/>
  <c r="BS103" i="527"/>
  <c r="AX103" i="527"/>
  <c r="AY103" i="527" s="1"/>
  <c r="BZ103" i="527" s="1"/>
  <c r="AW103" i="527"/>
  <c r="AH103" i="527"/>
  <c r="A103" i="527"/>
  <c r="BX102" i="527"/>
  <c r="BW102" i="527"/>
  <c r="BV102" i="527"/>
  <c r="BU102" i="527"/>
  <c r="BT102" i="527"/>
  <c r="BS102" i="527"/>
  <c r="AX102" i="527"/>
  <c r="AW102" i="527"/>
  <c r="AH102" i="527"/>
  <c r="A102" i="527"/>
  <c r="BX101" i="527"/>
  <c r="BW101" i="527"/>
  <c r="BV101" i="527"/>
  <c r="BY101" i="527" s="1"/>
  <c r="CA101" i="527" s="1"/>
  <c r="BU101" i="527"/>
  <c r="BT101" i="527"/>
  <c r="BS101" i="527"/>
  <c r="AX101" i="527"/>
  <c r="AY101" i="527" s="1"/>
  <c r="BZ101" i="527" s="1"/>
  <c r="AW101" i="527"/>
  <c r="AH101" i="527"/>
  <c r="AH165" i="527" s="1"/>
  <c r="A101" i="527"/>
  <c r="BX100" i="527"/>
  <c r="BW100" i="527"/>
  <c r="BV100" i="527"/>
  <c r="BU100" i="527"/>
  <c r="BT100" i="527"/>
  <c r="BS100" i="527"/>
  <c r="BY100" i="527" s="1"/>
  <c r="AX100" i="527"/>
  <c r="AW100" i="527"/>
  <c r="AV100" i="527"/>
  <c r="AV165" i="527" s="1"/>
  <c r="A100" i="527"/>
  <c r="BX99" i="527"/>
  <c r="BW99" i="527"/>
  <c r="BV99" i="527"/>
  <c r="BT99" i="527"/>
  <c r="BS99" i="527"/>
  <c r="BG99" i="527"/>
  <c r="BU99" i="527"/>
  <c r="AX99" i="527"/>
  <c r="AW99" i="527"/>
  <c r="AY99" i="527" s="1"/>
  <c r="BZ99" i="527" s="1"/>
  <c r="W99" i="527"/>
  <c r="Q99" i="527"/>
  <c r="A99" i="527"/>
  <c r="BX98" i="527"/>
  <c r="BW98" i="527"/>
  <c r="BV98" i="527"/>
  <c r="BT98" i="527"/>
  <c r="BS98" i="527"/>
  <c r="BG98" i="527"/>
  <c r="BU98" i="527" s="1"/>
  <c r="AX98" i="527"/>
  <c r="AW98" i="527"/>
  <c r="W98" i="527"/>
  <c r="Q98" i="527"/>
  <c r="A98" i="527"/>
  <c r="BX97" i="527"/>
  <c r="BW97" i="527"/>
  <c r="BV97" i="527"/>
  <c r="BT97" i="527"/>
  <c r="BY97" i="527" s="1"/>
  <c r="CA97" i="527" s="1"/>
  <c r="BS97" i="527"/>
  <c r="BG97" i="527"/>
  <c r="BU97" i="527"/>
  <c r="AX97" i="527"/>
  <c r="AW97" i="527"/>
  <c r="W97" i="527"/>
  <c r="Q97" i="527"/>
  <c r="A97" i="527"/>
  <c r="BX96" i="527"/>
  <c r="BW96" i="527"/>
  <c r="BV96" i="527"/>
  <c r="BT96" i="527"/>
  <c r="BS96" i="527"/>
  <c r="BY96" i="527" s="1"/>
  <c r="BG96" i="527"/>
  <c r="BU96" i="527" s="1"/>
  <c r="AX96" i="527"/>
  <c r="AY96" i="527" s="1"/>
  <c r="BZ96" i="527" s="1"/>
  <c r="AW96" i="527"/>
  <c r="W96" i="527"/>
  <c r="Q96" i="527"/>
  <c r="A96" i="527"/>
  <c r="BX95" i="527"/>
  <c r="BW95" i="527"/>
  <c r="BV95" i="527"/>
  <c r="BT95" i="527"/>
  <c r="BS95" i="527"/>
  <c r="BG95" i="527"/>
  <c r="BU95" i="527" s="1"/>
  <c r="BY95" i="527" s="1"/>
  <c r="CA95" i="527" s="1"/>
  <c r="AX95" i="527"/>
  <c r="AW95" i="527"/>
  <c r="AY95" i="527" s="1"/>
  <c r="W95" i="527"/>
  <c r="Q95" i="527"/>
  <c r="A95" i="527"/>
  <c r="BX94" i="527"/>
  <c r="BW94" i="527"/>
  <c r="BV94" i="527"/>
  <c r="BT94" i="527"/>
  <c r="BS94" i="527"/>
  <c r="BG94" i="527"/>
  <c r="BU94" i="527"/>
  <c r="AX94" i="527"/>
  <c r="AY94" i="527" s="1"/>
  <c r="AW94" i="527"/>
  <c r="R94" i="527"/>
  <c r="W94" i="527"/>
  <c r="Q94" i="527"/>
  <c r="A94" i="527"/>
  <c r="BX93" i="527"/>
  <c r="BW93" i="527"/>
  <c r="BV93" i="527"/>
  <c r="BT93" i="527"/>
  <c r="BS93" i="527"/>
  <c r="BG93" i="527"/>
  <c r="BU93" i="527"/>
  <c r="AX93" i="527"/>
  <c r="AW93" i="527"/>
  <c r="X93" i="527"/>
  <c r="Q93" i="527"/>
  <c r="A93" i="527"/>
  <c r="BX92" i="527"/>
  <c r="BW92" i="527"/>
  <c r="BV92" i="527"/>
  <c r="BT92" i="527"/>
  <c r="BS92" i="527"/>
  <c r="BG92" i="527"/>
  <c r="BU92" i="527" s="1"/>
  <c r="AX92" i="527"/>
  <c r="AW92" i="527"/>
  <c r="AY92" i="527" s="1"/>
  <c r="BZ92" i="527" s="1"/>
  <c r="X92" i="527"/>
  <c r="Q92" i="527"/>
  <c r="A92" i="527"/>
  <c r="BX91" i="527"/>
  <c r="BW91" i="527"/>
  <c r="BV91" i="527"/>
  <c r="BT91" i="527"/>
  <c r="BY91" i="527" s="1"/>
  <c r="CA91" i="527" s="1"/>
  <c r="BS91" i="527"/>
  <c r="BG91" i="527"/>
  <c r="BU91" i="527"/>
  <c r="AX91" i="527"/>
  <c r="AY91" i="527" s="1"/>
  <c r="BZ91" i="527" s="1"/>
  <c r="AW91" i="527"/>
  <c r="X91" i="527"/>
  <c r="Q91" i="527"/>
  <c r="A91" i="527"/>
  <c r="BX90" i="527"/>
  <c r="BW90" i="527"/>
  <c r="BV90" i="527"/>
  <c r="BT90" i="527"/>
  <c r="BS90" i="527"/>
  <c r="BG90" i="527"/>
  <c r="BU90" i="527" s="1"/>
  <c r="AX90" i="527"/>
  <c r="AW90" i="527"/>
  <c r="X90" i="527"/>
  <c r="Q90" i="527"/>
  <c r="A90" i="527"/>
  <c r="BX89" i="527"/>
  <c r="BW89" i="527"/>
  <c r="BV89" i="527"/>
  <c r="BT89" i="527"/>
  <c r="BS89" i="527"/>
  <c r="BG89" i="527"/>
  <c r="BU89" i="527" s="1"/>
  <c r="AX89" i="527"/>
  <c r="AW89" i="527"/>
  <c r="X89" i="527"/>
  <c r="Q89" i="527"/>
  <c r="A89" i="527"/>
  <c r="BX88" i="527"/>
  <c r="BW88" i="527"/>
  <c r="BV88" i="527"/>
  <c r="BT88" i="527"/>
  <c r="BS88" i="527"/>
  <c r="BG88" i="527"/>
  <c r="BU88" i="527"/>
  <c r="AX88" i="527"/>
  <c r="AY88" i="527" s="1"/>
  <c r="BZ88" i="527" s="1"/>
  <c r="AW88" i="527"/>
  <c r="X88" i="527"/>
  <c r="W88" i="527"/>
  <c r="Q88" i="527"/>
  <c r="A88" i="527"/>
  <c r="BX87" i="527"/>
  <c r="BW87" i="527"/>
  <c r="BV87" i="527"/>
  <c r="BT87" i="527"/>
  <c r="BS87" i="527"/>
  <c r="BG87" i="527"/>
  <c r="BU87" i="527" s="1"/>
  <c r="AX87" i="527"/>
  <c r="AW87" i="527"/>
  <c r="X87" i="527"/>
  <c r="Q87" i="527"/>
  <c r="A87" i="527"/>
  <c r="BX86" i="527"/>
  <c r="BW86" i="527"/>
  <c r="BV86" i="527"/>
  <c r="BT86" i="527"/>
  <c r="BY86" i="527" s="1"/>
  <c r="CA86" i="527" s="1"/>
  <c r="BS86" i="527"/>
  <c r="BG86" i="527"/>
  <c r="BU86" i="527" s="1"/>
  <c r="AX86" i="527"/>
  <c r="AY86" i="527" s="1"/>
  <c r="BZ86" i="527" s="1"/>
  <c r="AW86" i="527"/>
  <c r="W86" i="527"/>
  <c r="Q86" i="527"/>
  <c r="A86" i="527"/>
  <c r="BX85" i="527"/>
  <c r="BW85" i="527"/>
  <c r="BV85" i="527"/>
  <c r="BT85" i="527"/>
  <c r="BS85" i="527"/>
  <c r="BG85" i="527"/>
  <c r="BU85" i="527" s="1"/>
  <c r="AX85" i="527"/>
  <c r="AW85" i="527"/>
  <c r="W85" i="527"/>
  <c r="Q85" i="527"/>
  <c r="A85" i="527"/>
  <c r="BX84" i="527"/>
  <c r="BW84" i="527"/>
  <c r="BV84" i="527"/>
  <c r="BT84" i="527"/>
  <c r="BS84" i="527"/>
  <c r="BG84" i="527"/>
  <c r="BU84" i="527"/>
  <c r="AX84" i="527"/>
  <c r="AW84" i="527"/>
  <c r="R84" i="527"/>
  <c r="W84" i="527" s="1"/>
  <c r="Q84" i="527"/>
  <c r="A84" i="527"/>
  <c r="BX83" i="527"/>
  <c r="BW83" i="527"/>
  <c r="BV83" i="527"/>
  <c r="BT83" i="527"/>
  <c r="BS83" i="527"/>
  <c r="BG83" i="527"/>
  <c r="BU83" i="527"/>
  <c r="AX83" i="527"/>
  <c r="AW83" i="527"/>
  <c r="W83" i="527"/>
  <c r="Q83" i="527"/>
  <c r="A83" i="527"/>
  <c r="BX82" i="527"/>
  <c r="BW82" i="527"/>
  <c r="BY82" i="527" s="1"/>
  <c r="BV82" i="527"/>
  <c r="BT82" i="527"/>
  <c r="BS82" i="527"/>
  <c r="BG82" i="527"/>
  <c r="BU82" i="527"/>
  <c r="AX82" i="527"/>
  <c r="AY82" i="527" s="1"/>
  <c r="AW82" i="527"/>
  <c r="W82" i="527"/>
  <c r="Q82" i="527"/>
  <c r="A82" i="527"/>
  <c r="BX81" i="527"/>
  <c r="BW81" i="527"/>
  <c r="BV81" i="527"/>
  <c r="BT81" i="527"/>
  <c r="BS81" i="527"/>
  <c r="BY81" i="527" s="1"/>
  <c r="CA81" i="527" s="1"/>
  <c r="BG81" i="527"/>
  <c r="BU81" i="527" s="1"/>
  <c r="AX81" i="527"/>
  <c r="AY81" i="527" s="1"/>
  <c r="BZ81" i="527" s="1"/>
  <c r="AW81" i="527"/>
  <c r="X81" i="527"/>
  <c r="Q81" i="527"/>
  <c r="A81" i="527"/>
  <c r="BX80" i="527"/>
  <c r="BW80" i="527"/>
  <c r="BV80" i="527"/>
  <c r="BT80" i="527"/>
  <c r="BS80" i="527"/>
  <c r="BJ80" i="527"/>
  <c r="BG80" i="527"/>
  <c r="BU80" i="527" s="1"/>
  <c r="AX80" i="527"/>
  <c r="AW80" i="527"/>
  <c r="W80" i="527"/>
  <c r="Q80" i="527"/>
  <c r="A80" i="527"/>
  <c r="BX79" i="527"/>
  <c r="BW79" i="527"/>
  <c r="BV79" i="527"/>
  <c r="BT79" i="527"/>
  <c r="BS79" i="527"/>
  <c r="BG79" i="527"/>
  <c r="BU79" i="527"/>
  <c r="AX79" i="527"/>
  <c r="AW79" i="527"/>
  <c r="R79" i="527"/>
  <c r="W79" i="527" s="1"/>
  <c r="Q79" i="527"/>
  <c r="A79" i="527"/>
  <c r="BX78" i="527"/>
  <c r="BW78" i="527"/>
  <c r="BV78" i="527"/>
  <c r="BT78" i="527"/>
  <c r="BS78" i="527"/>
  <c r="BG78" i="527"/>
  <c r="BU78" i="527" s="1"/>
  <c r="AX78" i="527"/>
  <c r="AY78" i="527" s="1"/>
  <c r="BZ78" i="527" s="1"/>
  <c r="AW78" i="527"/>
  <c r="X78" i="527"/>
  <c r="Q78" i="527"/>
  <c r="A78" i="527"/>
  <c r="BX77" i="527"/>
  <c r="BW77" i="527"/>
  <c r="BV77" i="527"/>
  <c r="BT77" i="527"/>
  <c r="BS77" i="527"/>
  <c r="BG77" i="527"/>
  <c r="BU77" i="527"/>
  <c r="AX77" i="527"/>
  <c r="AW77" i="527"/>
  <c r="X77" i="527"/>
  <c r="Q77" i="527"/>
  <c r="A77" i="527"/>
  <c r="BX76" i="527"/>
  <c r="BW76" i="527"/>
  <c r="BV76" i="527"/>
  <c r="BT76" i="527"/>
  <c r="BS76" i="527"/>
  <c r="BG76" i="527"/>
  <c r="BU76" i="527"/>
  <c r="AX76" i="527"/>
  <c r="AY76" i="527" s="1"/>
  <c r="BZ76" i="527" s="1"/>
  <c r="AW76" i="527"/>
  <c r="X76" i="527"/>
  <c r="Q76" i="527"/>
  <c r="A76" i="527"/>
  <c r="BX75" i="527"/>
  <c r="BW75" i="527"/>
  <c r="BV75" i="527"/>
  <c r="BT75" i="527"/>
  <c r="BS75" i="527"/>
  <c r="BY75" i="527" s="1"/>
  <c r="BG75" i="527"/>
  <c r="BU75" i="527"/>
  <c r="AX75" i="527"/>
  <c r="AY75" i="527" s="1"/>
  <c r="AW75" i="527"/>
  <c r="X75" i="527"/>
  <c r="A75" i="527"/>
  <c r="BX74" i="527"/>
  <c r="BW74" i="527"/>
  <c r="BV74" i="527"/>
  <c r="BT74" i="527"/>
  <c r="BS74" i="527"/>
  <c r="BG74" i="527"/>
  <c r="BU74" i="527"/>
  <c r="AX74" i="527"/>
  <c r="AW74" i="527"/>
  <c r="W74" i="527"/>
  <c r="Q74" i="527"/>
  <c r="A74" i="527"/>
  <c r="BX73" i="527"/>
  <c r="BW73" i="527"/>
  <c r="BY73" i="527" s="1"/>
  <c r="BV73" i="527"/>
  <c r="BT73" i="527"/>
  <c r="BS73" i="527"/>
  <c r="BG73" i="527"/>
  <c r="BU73" i="527"/>
  <c r="AX73" i="527"/>
  <c r="AW73" i="527"/>
  <c r="R73" i="527"/>
  <c r="W73" i="527"/>
  <c r="Q73" i="527"/>
  <c r="A73" i="527"/>
  <c r="BX72" i="527"/>
  <c r="BW72" i="527"/>
  <c r="BV72" i="527"/>
  <c r="BT72" i="527"/>
  <c r="BS72" i="527"/>
  <c r="BG72" i="527"/>
  <c r="BU72" i="527"/>
  <c r="AX72" i="527"/>
  <c r="AW72" i="527"/>
  <c r="W72" i="527"/>
  <c r="Q72" i="527"/>
  <c r="A72" i="527"/>
  <c r="BX71" i="527"/>
  <c r="BW71" i="527"/>
  <c r="BV71" i="527"/>
  <c r="BT71" i="527"/>
  <c r="BS71" i="527"/>
  <c r="BG71" i="527"/>
  <c r="BU71" i="527"/>
  <c r="BY71" i="527" s="1"/>
  <c r="CA71" i="527" s="1"/>
  <c r="AX71" i="527"/>
  <c r="AW71" i="527"/>
  <c r="W71" i="527"/>
  <c r="Q71" i="527"/>
  <c r="A71" i="527"/>
  <c r="BX70" i="527"/>
  <c r="BW70" i="527"/>
  <c r="BV70" i="527"/>
  <c r="BT70" i="527"/>
  <c r="BS70" i="527"/>
  <c r="BY70" i="527" s="1"/>
  <c r="CA70" i="527" s="1"/>
  <c r="BG70" i="527"/>
  <c r="BU70" i="527"/>
  <c r="AX70" i="527"/>
  <c r="AY70" i="527" s="1"/>
  <c r="AW70" i="527"/>
  <c r="W70" i="527"/>
  <c r="Q70" i="527"/>
  <c r="A70" i="527"/>
  <c r="BX69" i="527"/>
  <c r="BW69" i="527"/>
  <c r="BV69" i="527"/>
  <c r="BT69" i="527"/>
  <c r="BS69" i="527"/>
  <c r="BG69" i="527"/>
  <c r="BU69" i="527" s="1"/>
  <c r="AX69" i="527"/>
  <c r="AW69" i="527"/>
  <c r="AY69" i="527" s="1"/>
  <c r="W69" i="527"/>
  <c r="Q69" i="527"/>
  <c r="A69" i="527"/>
  <c r="BX68" i="527"/>
  <c r="BW68" i="527"/>
  <c r="BV68" i="527"/>
  <c r="BT68" i="527"/>
  <c r="BS68" i="527"/>
  <c r="BG68" i="527"/>
  <c r="BU68" i="527"/>
  <c r="AX68" i="527"/>
  <c r="AW68" i="527"/>
  <c r="W68" i="527"/>
  <c r="Q68" i="527"/>
  <c r="A68" i="527"/>
  <c r="BX67" i="527"/>
  <c r="BW67" i="527"/>
  <c r="BV67" i="527"/>
  <c r="BT67" i="527"/>
  <c r="BS67" i="527"/>
  <c r="BG67" i="527"/>
  <c r="BU67" i="527" s="1"/>
  <c r="AX67" i="527"/>
  <c r="AY67" i="527" s="1"/>
  <c r="BZ67" i="527" s="1"/>
  <c r="AW67" i="527"/>
  <c r="W67" i="527"/>
  <c r="Q67" i="527"/>
  <c r="A67" i="527"/>
  <c r="BX66" i="527"/>
  <c r="BW66" i="527"/>
  <c r="BV66" i="527"/>
  <c r="BT66" i="527"/>
  <c r="BS66" i="527"/>
  <c r="BG66" i="527"/>
  <c r="BU66" i="527" s="1"/>
  <c r="BY66" i="527" s="1"/>
  <c r="CA66" i="527" s="1"/>
  <c r="AX66" i="527"/>
  <c r="AY66" i="527" s="1"/>
  <c r="BZ66" i="527" s="1"/>
  <c r="AW66" i="527"/>
  <c r="W66" i="527"/>
  <c r="Q66" i="527"/>
  <c r="A66" i="527"/>
  <c r="BX65" i="527"/>
  <c r="BW65" i="527"/>
  <c r="BV65" i="527"/>
  <c r="BT65" i="527"/>
  <c r="BS65" i="527"/>
  <c r="BG65" i="527"/>
  <c r="BU65" i="527"/>
  <c r="AX65" i="527"/>
  <c r="AW65" i="527"/>
  <c r="AY65" i="527" s="1"/>
  <c r="BZ65" i="527" s="1"/>
  <c r="W65" i="527"/>
  <c r="Q65" i="527"/>
  <c r="A65" i="527"/>
  <c r="BX64" i="527"/>
  <c r="BW64" i="527"/>
  <c r="BV64" i="527"/>
  <c r="BT64" i="527"/>
  <c r="BS64" i="527"/>
  <c r="BG64" i="527"/>
  <c r="BU64" i="527" s="1"/>
  <c r="AX64" i="527"/>
  <c r="AW64" i="527"/>
  <c r="AY64" i="527" s="1"/>
  <c r="BZ64" i="527" s="1"/>
  <c r="X64" i="527"/>
  <c r="Q64" i="527"/>
  <c r="A64" i="527"/>
  <c r="BX63" i="527"/>
  <c r="BW63" i="527"/>
  <c r="BV63" i="527"/>
  <c r="BT63" i="527"/>
  <c r="BY63" i="527" s="1"/>
  <c r="BS63" i="527"/>
  <c r="BG63" i="527"/>
  <c r="BU63" i="527" s="1"/>
  <c r="AX63" i="527"/>
  <c r="AW63" i="527"/>
  <c r="X63" i="527"/>
  <c r="Q63" i="527"/>
  <c r="A63" i="527"/>
  <c r="BX62" i="527"/>
  <c r="BW62" i="527"/>
  <c r="BY62" i="527" s="1"/>
  <c r="CA62" i="527" s="1"/>
  <c r="BV62" i="527"/>
  <c r="BT62" i="527"/>
  <c r="BS62" i="527"/>
  <c r="BG62" i="527"/>
  <c r="BU62" i="527"/>
  <c r="AX62" i="527"/>
  <c r="AW62" i="527"/>
  <c r="AY62" i="527" s="1"/>
  <c r="BZ62" i="527" s="1"/>
  <c r="W62" i="527"/>
  <c r="Q62" i="527"/>
  <c r="A62" i="527"/>
  <c r="BX61" i="527"/>
  <c r="BW61" i="527"/>
  <c r="BV61" i="527"/>
  <c r="BT61" i="527"/>
  <c r="BS61" i="527"/>
  <c r="BG61" i="527"/>
  <c r="BU61" i="527" s="1"/>
  <c r="AX61" i="527"/>
  <c r="AY61" i="527" s="1"/>
  <c r="BZ61" i="527" s="1"/>
  <c r="AW61" i="527"/>
  <c r="X61" i="527"/>
  <c r="Q61" i="527"/>
  <c r="A61" i="527"/>
  <c r="BX60" i="527"/>
  <c r="BW60" i="527"/>
  <c r="BV60" i="527"/>
  <c r="BT60" i="527"/>
  <c r="BS60" i="527"/>
  <c r="BY60" i="527" s="1"/>
  <c r="BG60" i="527"/>
  <c r="BU60" i="527"/>
  <c r="AX60" i="527"/>
  <c r="AW60" i="527"/>
  <c r="X60" i="527"/>
  <c r="Q60" i="527"/>
  <c r="A60" i="527"/>
  <c r="BX59" i="527"/>
  <c r="BW59" i="527"/>
  <c r="BV59" i="527"/>
  <c r="BT59" i="527"/>
  <c r="BS59" i="527"/>
  <c r="BG59" i="527"/>
  <c r="BU59" i="527" s="1"/>
  <c r="AX59" i="527"/>
  <c r="AW59" i="527"/>
  <c r="AY59" i="527" s="1"/>
  <c r="W59" i="527"/>
  <c r="Q59" i="527"/>
  <c r="A59" i="527"/>
  <c r="BX58" i="527"/>
  <c r="BW58" i="527"/>
  <c r="BV58" i="527"/>
  <c r="BT58" i="527"/>
  <c r="BS58" i="527"/>
  <c r="BG58" i="527"/>
  <c r="BU58" i="527"/>
  <c r="AX58" i="527"/>
  <c r="AW58" i="527"/>
  <c r="W58" i="527"/>
  <c r="Q58" i="527"/>
  <c r="A58" i="527"/>
  <c r="BX57" i="527"/>
  <c r="BW57" i="527"/>
  <c r="BV57" i="527"/>
  <c r="BT57" i="527"/>
  <c r="BS57" i="527"/>
  <c r="BG57" i="527"/>
  <c r="BU57" i="527" s="1"/>
  <c r="AX57" i="527"/>
  <c r="AY57" i="527" s="1"/>
  <c r="BZ57" i="527" s="1"/>
  <c r="AW57" i="527"/>
  <c r="W57" i="527"/>
  <c r="Q57" i="527"/>
  <c r="A57" i="527"/>
  <c r="BX56" i="527"/>
  <c r="BW56" i="527"/>
  <c r="BV56" i="527"/>
  <c r="BT56" i="527"/>
  <c r="BS56" i="527"/>
  <c r="BY56" i="527" s="1"/>
  <c r="BG56" i="527"/>
  <c r="BU56" i="527"/>
  <c r="AX56" i="527"/>
  <c r="AW56" i="527"/>
  <c r="W56" i="527"/>
  <c r="Q56" i="527"/>
  <c r="A56" i="527"/>
  <c r="BX55" i="527"/>
  <c r="BW55" i="527"/>
  <c r="BV55" i="527"/>
  <c r="BT55" i="527"/>
  <c r="BS55" i="527"/>
  <c r="BG55" i="527"/>
  <c r="BU55" i="527"/>
  <c r="AX55" i="527"/>
  <c r="AY55" i="527" s="1"/>
  <c r="BZ55" i="527" s="1"/>
  <c r="AW55" i="527"/>
  <c r="X55" i="527"/>
  <c r="Q55" i="527"/>
  <c r="A55" i="527"/>
  <c r="BX54" i="527"/>
  <c r="BW54" i="527"/>
  <c r="BV54" i="527"/>
  <c r="BT54" i="527"/>
  <c r="BS54" i="527"/>
  <c r="BG54" i="527"/>
  <c r="BU54" i="527" s="1"/>
  <c r="AX54" i="527"/>
  <c r="AW54" i="527"/>
  <c r="AY54" i="527" s="1"/>
  <c r="BZ54" i="527" s="1"/>
  <c r="R54" i="527"/>
  <c r="X54" i="527"/>
  <c r="Q54" i="527"/>
  <c r="A54" i="527"/>
  <c r="BX53" i="527"/>
  <c r="BW53" i="527"/>
  <c r="BV53" i="527"/>
  <c r="BT53" i="527"/>
  <c r="BY53" i="527" s="1"/>
  <c r="BS53" i="527"/>
  <c r="BG53" i="527"/>
  <c r="BU53" i="527"/>
  <c r="AX53" i="527"/>
  <c r="AW53" i="527"/>
  <c r="AY53" i="527" s="1"/>
  <c r="BZ53" i="527" s="1"/>
  <c r="W53" i="527"/>
  <c r="Q53" i="527"/>
  <c r="A53" i="527"/>
  <c r="BX52" i="527"/>
  <c r="BW52" i="527"/>
  <c r="BV52" i="527"/>
  <c r="BT52" i="527"/>
  <c r="BS52" i="527"/>
  <c r="BG52" i="527"/>
  <c r="BU52" i="527" s="1"/>
  <c r="AX52" i="527"/>
  <c r="AW52" i="527"/>
  <c r="W52" i="527"/>
  <c r="Q52" i="527"/>
  <c r="A52" i="527"/>
  <c r="BX51" i="527"/>
  <c r="BW51" i="527"/>
  <c r="BV51" i="527"/>
  <c r="BT51" i="527"/>
  <c r="BS51" i="527"/>
  <c r="BG51" i="527"/>
  <c r="BU51" i="527" s="1"/>
  <c r="AX51" i="527"/>
  <c r="AW51" i="527"/>
  <c r="W51" i="527"/>
  <c r="Q51" i="527"/>
  <c r="A51" i="527"/>
  <c r="BX50" i="527"/>
  <c r="BW50" i="527"/>
  <c r="BV50" i="527"/>
  <c r="BT50" i="527"/>
  <c r="BS50" i="527"/>
  <c r="BG50" i="527"/>
  <c r="BU50" i="527" s="1"/>
  <c r="BY50" i="527" s="1"/>
  <c r="AX50" i="527"/>
  <c r="AW50" i="527"/>
  <c r="W50" i="527"/>
  <c r="Q50" i="527"/>
  <c r="A50" i="527"/>
  <c r="BX49" i="527"/>
  <c r="BW49" i="527"/>
  <c r="BV49" i="527"/>
  <c r="BT49" i="527"/>
  <c r="BS49" i="527"/>
  <c r="BG49" i="527"/>
  <c r="BU49" i="527" s="1"/>
  <c r="AX49" i="527"/>
  <c r="AW49" i="527"/>
  <c r="W49" i="527"/>
  <c r="Q49" i="527"/>
  <c r="A49" i="527"/>
  <c r="BX48" i="527"/>
  <c r="BW48" i="527"/>
  <c r="BV48" i="527"/>
  <c r="BT48" i="527"/>
  <c r="BS48" i="527"/>
  <c r="BG48" i="527"/>
  <c r="BU48" i="527" s="1"/>
  <c r="AX48" i="527"/>
  <c r="AY48" i="527" s="1"/>
  <c r="BZ48" i="527" s="1"/>
  <c r="AW48" i="527"/>
  <c r="X48" i="527"/>
  <c r="Q48" i="527"/>
  <c r="A48" i="527"/>
  <c r="BX47" i="527"/>
  <c r="BW47" i="527"/>
  <c r="BV47" i="527"/>
  <c r="BT47" i="527"/>
  <c r="BS47" i="527"/>
  <c r="BG47" i="527"/>
  <c r="BU47" i="527"/>
  <c r="AX47" i="527"/>
  <c r="AW47" i="527"/>
  <c r="X47" i="527"/>
  <c r="Q47" i="527"/>
  <c r="A47" i="527"/>
  <c r="BX46" i="527"/>
  <c r="BW46" i="527"/>
  <c r="BV46" i="527"/>
  <c r="BT46" i="527"/>
  <c r="BS46" i="527"/>
  <c r="BG46" i="527"/>
  <c r="BU46" i="527" s="1"/>
  <c r="AX46" i="527"/>
  <c r="AW46" i="527"/>
  <c r="X46" i="527"/>
  <c r="Q46" i="527"/>
  <c r="A46" i="527"/>
  <c r="BX45" i="527"/>
  <c r="BW45" i="527"/>
  <c r="BV45" i="527"/>
  <c r="BT45" i="527"/>
  <c r="BS45" i="527"/>
  <c r="BG45" i="527"/>
  <c r="BU45" i="527"/>
  <c r="BY45" i="527" s="1"/>
  <c r="AX45" i="527"/>
  <c r="AY45" i="527" s="1"/>
  <c r="BZ45" i="527" s="1"/>
  <c r="AW45" i="527"/>
  <c r="X45" i="527"/>
  <c r="Q45" i="527"/>
  <c r="A45" i="527"/>
  <c r="BX44" i="527"/>
  <c r="BW44" i="527"/>
  <c r="BV44" i="527"/>
  <c r="BT44" i="527"/>
  <c r="BS44" i="527"/>
  <c r="BG44" i="527"/>
  <c r="BU44" i="527" s="1"/>
  <c r="AX44" i="527"/>
  <c r="AY44" i="527" s="1"/>
  <c r="AW44" i="527"/>
  <c r="X44" i="527"/>
  <c r="Q44" i="527"/>
  <c r="A44" i="527"/>
  <c r="BX43" i="527"/>
  <c r="BW43" i="527"/>
  <c r="BV43" i="527"/>
  <c r="BT43" i="527"/>
  <c r="BS43" i="527"/>
  <c r="BG43" i="527"/>
  <c r="BU43" i="527"/>
  <c r="AX43" i="527"/>
  <c r="AW43" i="527"/>
  <c r="AY43" i="527" s="1"/>
  <c r="BZ43" i="527" s="1"/>
  <c r="X43" i="527"/>
  <c r="Q43" i="527"/>
  <c r="A43" i="527"/>
  <c r="BX42" i="527"/>
  <c r="BW42" i="527"/>
  <c r="BV42" i="527"/>
  <c r="BT42" i="527"/>
  <c r="BS42" i="527"/>
  <c r="BG42" i="527"/>
  <c r="BU42" i="527"/>
  <c r="AX42" i="527"/>
  <c r="AY42" i="527" s="1"/>
  <c r="BZ42" i="527" s="1"/>
  <c r="AW42" i="527"/>
  <c r="W42" i="527"/>
  <c r="Q42" i="527"/>
  <c r="A42" i="527"/>
  <c r="BX41" i="527"/>
  <c r="BW41" i="527"/>
  <c r="BV41" i="527"/>
  <c r="BT41" i="527"/>
  <c r="BS41" i="527"/>
  <c r="BG41" i="527"/>
  <c r="BU41" i="527"/>
  <c r="AX41" i="527"/>
  <c r="AW41" i="527"/>
  <c r="W41" i="527"/>
  <c r="Q41" i="527"/>
  <c r="A41" i="527"/>
  <c r="BX40" i="527"/>
  <c r="BW40" i="527"/>
  <c r="BV40" i="527"/>
  <c r="BT40" i="527"/>
  <c r="BS40" i="527"/>
  <c r="BG40" i="527"/>
  <c r="BU40" i="527" s="1"/>
  <c r="AX40" i="527"/>
  <c r="AW40" i="527"/>
  <c r="AY40" i="527" s="1"/>
  <c r="BZ40" i="527" s="1"/>
  <c r="W40" i="527"/>
  <c r="Q40" i="527"/>
  <c r="A40" i="527"/>
  <c r="BX39" i="527"/>
  <c r="BW39" i="527"/>
  <c r="BV39" i="527"/>
  <c r="BT39" i="527"/>
  <c r="BS39" i="527"/>
  <c r="BG39" i="527"/>
  <c r="BU39" i="527" s="1"/>
  <c r="AX39" i="527"/>
  <c r="AW39" i="527"/>
  <c r="W39" i="527"/>
  <c r="Q39" i="527"/>
  <c r="A39" i="527"/>
  <c r="BX38" i="527"/>
  <c r="BW38" i="527"/>
  <c r="BV38" i="527"/>
  <c r="BT38" i="527"/>
  <c r="BS38" i="527"/>
  <c r="BG38" i="527"/>
  <c r="BU38" i="527"/>
  <c r="BY38" i="527" s="1"/>
  <c r="AX38" i="527"/>
  <c r="AW38" i="527"/>
  <c r="R38" i="527"/>
  <c r="W38" i="527" s="1"/>
  <c r="Q38" i="527"/>
  <c r="A38" i="527"/>
  <c r="BX37" i="527"/>
  <c r="BW37" i="527"/>
  <c r="BV37" i="527"/>
  <c r="BT37" i="527"/>
  <c r="BS37" i="527"/>
  <c r="BG37" i="527"/>
  <c r="BU37" i="527" s="1"/>
  <c r="AX37" i="527"/>
  <c r="AW37" i="527"/>
  <c r="W37" i="527"/>
  <c r="Q37" i="527"/>
  <c r="A37" i="527"/>
  <c r="BX36" i="527"/>
  <c r="BW36" i="527"/>
  <c r="BV36" i="527"/>
  <c r="BT36" i="527"/>
  <c r="BS36" i="527"/>
  <c r="BG36" i="527"/>
  <c r="BU36" i="527" s="1"/>
  <c r="AX36" i="527"/>
  <c r="AY36" i="527" s="1"/>
  <c r="AW36" i="527"/>
  <c r="W36" i="527"/>
  <c r="Q36" i="527"/>
  <c r="A36" i="527"/>
  <c r="BX35" i="527"/>
  <c r="BW35" i="527"/>
  <c r="BV35" i="527"/>
  <c r="BT35" i="527"/>
  <c r="BS35" i="527"/>
  <c r="BG35" i="527"/>
  <c r="BU35" i="527"/>
  <c r="AX35" i="527"/>
  <c r="AW35" i="527"/>
  <c r="AY35" i="527" s="1"/>
  <c r="W35" i="527"/>
  <c r="Q35" i="527"/>
  <c r="A35" i="527"/>
  <c r="BX34" i="527"/>
  <c r="BW34" i="527"/>
  <c r="BV34" i="527"/>
  <c r="BT34" i="527"/>
  <c r="BY34" i="527" s="1"/>
  <c r="BS34" i="527"/>
  <c r="BG34" i="527"/>
  <c r="BU34" i="527"/>
  <c r="AX34" i="527"/>
  <c r="AW34" i="527"/>
  <c r="W34" i="527"/>
  <c r="Q34" i="527"/>
  <c r="A34" i="527"/>
  <c r="BX33" i="527"/>
  <c r="BW33" i="527"/>
  <c r="BV33" i="527"/>
  <c r="BT33" i="527"/>
  <c r="BS33" i="527"/>
  <c r="BG33" i="527"/>
  <c r="BU33" i="527"/>
  <c r="BY33" i="527" s="1"/>
  <c r="CA33" i="527" s="1"/>
  <c r="AX33" i="527"/>
  <c r="AY33" i="527" s="1"/>
  <c r="BZ33" i="527" s="1"/>
  <c r="AW33" i="527"/>
  <c r="W33" i="527"/>
  <c r="Q33" i="527"/>
  <c r="A33" i="527"/>
  <c r="BX32" i="527"/>
  <c r="BW32" i="527"/>
  <c r="BV32" i="527"/>
  <c r="BT32" i="527"/>
  <c r="BS32" i="527"/>
  <c r="BG32" i="527"/>
  <c r="BU32" i="527" s="1"/>
  <c r="BY32" i="527" s="1"/>
  <c r="CA32" i="527" s="1"/>
  <c r="AX32" i="527"/>
  <c r="AW32" i="527"/>
  <c r="W32" i="527"/>
  <c r="Q32" i="527"/>
  <c r="A32" i="527"/>
  <c r="BX31" i="527"/>
  <c r="BW31" i="527"/>
  <c r="BV31" i="527"/>
  <c r="BT31" i="527"/>
  <c r="BY31" i="527" s="1"/>
  <c r="CA31" i="527" s="1"/>
  <c r="BS31" i="527"/>
  <c r="BG31" i="527"/>
  <c r="BU31" i="527" s="1"/>
  <c r="AX31" i="527"/>
  <c r="AY31" i="527" s="1"/>
  <c r="AW31" i="527"/>
  <c r="R31" i="527"/>
  <c r="W31" i="527"/>
  <c r="Q31" i="527"/>
  <c r="A31" i="527"/>
  <c r="BX30" i="527"/>
  <c r="BW30" i="527"/>
  <c r="BV30" i="527"/>
  <c r="BT30" i="527"/>
  <c r="BS30" i="527"/>
  <c r="BG30" i="527"/>
  <c r="BU30" i="527"/>
  <c r="AX30" i="527"/>
  <c r="AW30" i="527"/>
  <c r="AY30" i="527" s="1"/>
  <c r="BZ30" i="527" s="1"/>
  <c r="X30" i="527"/>
  <c r="Q30" i="527"/>
  <c r="A30" i="527"/>
  <c r="BX29" i="527"/>
  <c r="BW29" i="527"/>
  <c r="BV29" i="527"/>
  <c r="BT29" i="527"/>
  <c r="BS29" i="527"/>
  <c r="BG29" i="527"/>
  <c r="BU29" i="527"/>
  <c r="BY29" i="527" s="1"/>
  <c r="CA29" i="527" s="1"/>
  <c r="AX29" i="527"/>
  <c r="AY29" i="527" s="1"/>
  <c r="BZ29" i="527" s="1"/>
  <c r="AW29" i="527"/>
  <c r="X29" i="527"/>
  <c r="Q29" i="527"/>
  <c r="A29" i="527"/>
  <c r="BX28" i="527"/>
  <c r="BW28" i="527"/>
  <c r="BV28" i="527"/>
  <c r="BT28" i="527"/>
  <c r="BS28" i="527"/>
  <c r="BG28" i="527"/>
  <c r="BU28" i="527"/>
  <c r="BY28" i="527" s="1"/>
  <c r="AX28" i="527"/>
  <c r="AY28" i="527" s="1"/>
  <c r="BZ28" i="527" s="1"/>
  <c r="AW28" i="527"/>
  <c r="W28" i="527"/>
  <c r="Q28" i="527"/>
  <c r="A28" i="527"/>
  <c r="BX27" i="527"/>
  <c r="BW27" i="527"/>
  <c r="BV27" i="527"/>
  <c r="BT27" i="527"/>
  <c r="BS27" i="527"/>
  <c r="BG27" i="527"/>
  <c r="BU27" i="527" s="1"/>
  <c r="AX27" i="527"/>
  <c r="AY27" i="527" s="1"/>
  <c r="AW27" i="527"/>
  <c r="X27" i="527"/>
  <c r="Q27" i="527"/>
  <c r="A27" i="527"/>
  <c r="BX26" i="527"/>
  <c r="BW26" i="527"/>
  <c r="BV26" i="527"/>
  <c r="BT26" i="527"/>
  <c r="BS26" i="527"/>
  <c r="BY26" i="527" s="1"/>
  <c r="CA26" i="527" s="1"/>
  <c r="BG26" i="527"/>
  <c r="BU26" i="527"/>
  <c r="AX26" i="527"/>
  <c r="AW26" i="527"/>
  <c r="W26" i="527"/>
  <c r="Q26" i="527"/>
  <c r="A26" i="527"/>
  <c r="BX25" i="527"/>
  <c r="BW25" i="527"/>
  <c r="BV25" i="527"/>
  <c r="BT25" i="527"/>
  <c r="BY25" i="527" s="1"/>
  <c r="CA25" i="527" s="1"/>
  <c r="BS25" i="527"/>
  <c r="BG25" i="527"/>
  <c r="BU25" i="527" s="1"/>
  <c r="AX25" i="527"/>
  <c r="AW25" i="527"/>
  <c r="X25" i="527"/>
  <c r="A25" i="527"/>
  <c r="BX24" i="527"/>
  <c r="BW24" i="527"/>
  <c r="BV24" i="527"/>
  <c r="BT24" i="527"/>
  <c r="BS24" i="527"/>
  <c r="BG24" i="527"/>
  <c r="BU24" i="527"/>
  <c r="AX24" i="527"/>
  <c r="AY24" i="527" s="1"/>
  <c r="BZ24" i="527" s="1"/>
  <c r="AW24" i="527"/>
  <c r="R24" i="527"/>
  <c r="A24" i="527"/>
  <c r="BX23" i="527"/>
  <c r="BW23" i="527"/>
  <c r="BV23" i="527"/>
  <c r="BT23" i="527"/>
  <c r="BS23" i="527"/>
  <c r="BG23" i="527"/>
  <c r="BU23" i="527"/>
  <c r="AX23" i="527"/>
  <c r="AW23" i="527"/>
  <c r="W23" i="527"/>
  <c r="Q23" i="527"/>
  <c r="A23" i="527"/>
  <c r="BX22" i="527"/>
  <c r="BW22" i="527"/>
  <c r="BV22" i="527"/>
  <c r="BT22" i="527"/>
  <c r="BS22" i="527"/>
  <c r="BG22" i="527"/>
  <c r="BU22" i="527" s="1"/>
  <c r="AX22" i="527"/>
  <c r="AW22" i="527"/>
  <c r="W22" i="527"/>
  <c r="Q22" i="527"/>
  <c r="A22" i="527"/>
  <c r="BX21" i="527"/>
  <c r="BW21" i="527"/>
  <c r="BV21" i="527"/>
  <c r="BT21" i="527"/>
  <c r="BS21" i="527"/>
  <c r="BG21" i="527"/>
  <c r="BU21" i="527" s="1"/>
  <c r="AX21" i="527"/>
  <c r="AW21" i="527"/>
  <c r="W21" i="527"/>
  <c r="Q21" i="527"/>
  <c r="A21" i="527"/>
  <c r="BX20" i="527"/>
  <c r="BW20" i="527"/>
  <c r="BV20" i="527"/>
  <c r="BT20" i="527"/>
  <c r="BS20" i="527"/>
  <c r="BG20" i="527"/>
  <c r="BU20" i="527" s="1"/>
  <c r="AX20" i="527"/>
  <c r="AW20" i="527"/>
  <c r="W20" i="527"/>
  <c r="Q20" i="527"/>
  <c r="A20" i="527"/>
  <c r="BX19" i="527"/>
  <c r="BW19" i="527"/>
  <c r="BV19" i="527"/>
  <c r="BT19" i="527"/>
  <c r="BS19" i="527"/>
  <c r="BG19" i="527"/>
  <c r="BU19" i="527"/>
  <c r="BY19" i="527" s="1"/>
  <c r="AX19" i="527"/>
  <c r="AW19" i="527"/>
  <c r="W19" i="527"/>
  <c r="A19" i="527"/>
  <c r="BX18" i="527"/>
  <c r="BW18" i="527"/>
  <c r="BV18" i="527"/>
  <c r="BT18" i="527"/>
  <c r="BS18" i="527"/>
  <c r="BG18" i="527"/>
  <c r="BU18" i="527"/>
  <c r="BY18" i="527" s="1"/>
  <c r="CA18" i="527" s="1"/>
  <c r="AX18" i="527"/>
  <c r="AW18" i="527"/>
  <c r="W18" i="527"/>
  <c r="Q18" i="527"/>
  <c r="A18" i="527"/>
  <c r="BX17" i="527"/>
  <c r="BW17" i="527"/>
  <c r="BV17" i="527"/>
  <c r="BT17" i="527"/>
  <c r="BS17" i="527"/>
  <c r="BG17" i="527"/>
  <c r="BU17" i="527"/>
  <c r="AX17" i="527"/>
  <c r="AY17" i="527" s="1"/>
  <c r="AW17" i="527"/>
  <c r="X17" i="527"/>
  <c r="Q17" i="527"/>
  <c r="A17" i="527"/>
  <c r="BX16" i="527"/>
  <c r="BW16" i="527"/>
  <c r="BV16" i="527"/>
  <c r="BY16" i="527" s="1"/>
  <c r="CA16" i="527" s="1"/>
  <c r="BT16" i="527"/>
  <c r="BS16" i="527"/>
  <c r="BG16" i="527"/>
  <c r="BU16" i="527" s="1"/>
  <c r="AX16" i="527"/>
  <c r="AW16" i="527"/>
  <c r="W16" i="527"/>
  <c r="Q16" i="527"/>
  <c r="A16" i="527"/>
  <c r="BX15" i="527"/>
  <c r="BW15" i="527"/>
  <c r="BV15" i="527"/>
  <c r="BT15" i="527"/>
  <c r="BY15" i="527" s="1"/>
  <c r="CA15" i="527" s="1"/>
  <c r="BS15" i="527"/>
  <c r="BG15" i="527"/>
  <c r="BU15" i="527"/>
  <c r="AX15" i="527"/>
  <c r="AY15" i="527" s="1"/>
  <c r="AW15" i="527"/>
  <c r="W15" i="527"/>
  <c r="Q15" i="527"/>
  <c r="A15" i="527"/>
  <c r="BX14" i="527"/>
  <c r="BW14" i="527"/>
  <c r="BV14" i="527"/>
  <c r="BT14" i="527"/>
  <c r="BS14" i="527"/>
  <c r="BG14" i="527"/>
  <c r="BU14" i="527" s="1"/>
  <c r="AX14" i="527"/>
  <c r="AW14" i="527"/>
  <c r="AY14" i="527" s="1"/>
  <c r="BZ14" i="527" s="1"/>
  <c r="CA14" i="527" s="1"/>
  <c r="W14" i="527"/>
  <c r="Q14" i="527"/>
  <c r="A14" i="527"/>
  <c r="BX13" i="527"/>
  <c r="BW13" i="527"/>
  <c r="BY13" i="527" s="1"/>
  <c r="BV13" i="527"/>
  <c r="BT13" i="527"/>
  <c r="BS13" i="527"/>
  <c r="BG13" i="527"/>
  <c r="BU13" i="527" s="1"/>
  <c r="AX13" i="527"/>
  <c r="AY13" i="527" s="1"/>
  <c r="BZ13" i="527" s="1"/>
  <c r="AW13" i="527"/>
  <c r="W13" i="527"/>
  <c r="Q13" i="527"/>
  <c r="A13" i="527"/>
  <c r="BX12" i="527"/>
  <c r="BW12" i="527"/>
  <c r="BV12" i="527"/>
  <c r="BT12" i="527"/>
  <c r="BS12" i="527"/>
  <c r="BG12" i="527"/>
  <c r="BU12" i="527"/>
  <c r="AX12" i="527"/>
  <c r="AY12" i="527" s="1"/>
  <c r="AW12" i="527"/>
  <c r="W12" i="527"/>
  <c r="Q12" i="527"/>
  <c r="A12" i="527"/>
  <c r="BX11" i="527"/>
  <c r="BW11" i="527"/>
  <c r="BV11" i="527"/>
  <c r="BU11" i="527"/>
  <c r="BT11" i="527"/>
  <c r="BS11" i="527"/>
  <c r="BY11" i="527" s="1"/>
  <c r="CA11" i="527" s="1"/>
  <c r="AX11" i="527"/>
  <c r="AW11" i="527"/>
  <c r="Q11" i="527"/>
  <c r="BX10" i="527"/>
  <c r="BW10" i="527"/>
  <c r="BV10" i="527"/>
  <c r="BT10" i="527"/>
  <c r="BS10" i="527"/>
  <c r="BG10" i="527"/>
  <c r="BU10" i="527" s="1"/>
  <c r="AX10" i="527"/>
  <c r="AW10" i="527"/>
  <c r="AY10" i="527" s="1"/>
  <c r="BZ10" i="527" s="1"/>
  <c r="AN10" i="527"/>
  <c r="Q10" i="527"/>
  <c r="A10" i="527"/>
  <c r="BX9" i="527"/>
  <c r="BW9" i="527"/>
  <c r="BV9" i="527"/>
  <c r="BT9" i="527"/>
  <c r="BS9" i="527"/>
  <c r="BY9" i="527" s="1"/>
  <c r="CA9" i="527" s="1"/>
  <c r="BG9" i="527"/>
  <c r="BU9" i="527" s="1"/>
  <c r="AX9" i="527"/>
  <c r="AW9" i="527"/>
  <c r="AN9" i="527"/>
  <c r="Q9" i="527"/>
  <c r="A9" i="527"/>
  <c r="BX8" i="527"/>
  <c r="BW8" i="527"/>
  <c r="BV8" i="527"/>
  <c r="BT8" i="527"/>
  <c r="BS8" i="527"/>
  <c r="BG8" i="527"/>
  <c r="BU8" i="527"/>
  <c r="AX8" i="527"/>
  <c r="AW8" i="527"/>
  <c r="AN8" i="527"/>
  <c r="Q8" i="527"/>
  <c r="A8" i="527"/>
  <c r="BX7" i="527"/>
  <c r="BW7" i="527"/>
  <c r="BY7" i="527" s="1"/>
  <c r="CA7" i="527" s="1"/>
  <c r="BV7" i="527"/>
  <c r="BT7" i="527"/>
  <c r="BS7" i="527"/>
  <c r="BG7" i="527"/>
  <c r="BU7" i="527"/>
  <c r="AX7" i="527"/>
  <c r="AW7" i="527"/>
  <c r="AY7" i="527" s="1"/>
  <c r="AN7" i="527"/>
  <c r="Q7" i="527"/>
  <c r="A7" i="527"/>
  <c r="BX6" i="527"/>
  <c r="BW6" i="527"/>
  <c r="BV6" i="527"/>
  <c r="BY6" i="527" s="1"/>
  <c r="BT6" i="527"/>
  <c r="BS6" i="527"/>
  <c r="BG6" i="527"/>
  <c r="BU6" i="527" s="1"/>
  <c r="AX6" i="527"/>
  <c r="AW6" i="527"/>
  <c r="AN6" i="527"/>
  <c r="Q6" i="527"/>
  <c r="A6" i="527"/>
  <c r="BX5" i="527"/>
  <c r="BW5" i="527"/>
  <c r="BV5" i="527"/>
  <c r="BT5" i="527"/>
  <c r="BS5" i="527"/>
  <c r="BG5" i="527"/>
  <c r="BU5" i="527"/>
  <c r="AX5" i="527"/>
  <c r="AW5" i="527"/>
  <c r="AN5" i="527"/>
  <c r="Q5" i="527"/>
  <c r="A5" i="527"/>
  <c r="BX4" i="527"/>
  <c r="BW4" i="527"/>
  <c r="BV4" i="527"/>
  <c r="BU4" i="527"/>
  <c r="BT4" i="527"/>
  <c r="BS4" i="527"/>
  <c r="BY4" i="527" s="1"/>
  <c r="CA4" i="527" s="1"/>
  <c r="AX4" i="527"/>
  <c r="AW4" i="527"/>
  <c r="AM4" i="527"/>
  <c r="AM165" i="527" s="1"/>
  <c r="A4" i="527"/>
  <c r="BZ15" i="527"/>
  <c r="BZ17" i="527"/>
  <c r="AY150" i="527"/>
  <c r="BZ150" i="527"/>
  <c r="BZ69" i="527"/>
  <c r="AY18" i="527"/>
  <c r="BZ18" i="527" s="1"/>
  <c r="BZ108" i="527"/>
  <c r="AY114" i="527"/>
  <c r="BZ114" i="527" s="1"/>
  <c r="BZ31" i="527"/>
  <c r="BZ44" i="527"/>
  <c r="AY47" i="527"/>
  <c r="BZ47" i="527"/>
  <c r="AY84" i="527"/>
  <c r="BZ84" i="527"/>
  <c r="BZ12" i="527"/>
  <c r="AY148" i="527"/>
  <c r="BZ148" i="527" s="1"/>
  <c r="AY163" i="527"/>
  <c r="BZ163" i="527" s="1"/>
  <c r="AY100" i="527"/>
  <c r="BZ100" i="527" s="1"/>
  <c r="AY63" i="527"/>
  <c r="BZ63" i="527"/>
  <c r="AY71" i="527"/>
  <c r="BZ71" i="527"/>
  <c r="BZ104" i="527"/>
  <c r="BZ122" i="527"/>
  <c r="AY147" i="527"/>
  <c r="BZ147" i="527" s="1"/>
  <c r="CA147" i="527" s="1"/>
  <c r="BZ162" i="527"/>
  <c r="AY151" i="527"/>
  <c r="BZ151" i="527" s="1"/>
  <c r="AY51" i="527"/>
  <c r="BZ51" i="527"/>
  <c r="BZ59" i="527"/>
  <c r="BZ94" i="527"/>
  <c r="AY102" i="527"/>
  <c r="BZ102" i="527" s="1"/>
  <c r="AY106" i="527"/>
  <c r="BZ106" i="527" s="1"/>
  <c r="CA106" i="527" s="1"/>
  <c r="AY126" i="527"/>
  <c r="BZ126" i="527" s="1"/>
  <c r="AY6" i="527"/>
  <c r="BZ6" i="527"/>
  <c r="AY26" i="527"/>
  <c r="BZ26" i="527" s="1"/>
  <c r="AY52" i="527"/>
  <c r="BZ52" i="527"/>
  <c r="BZ95" i="527"/>
  <c r="BY106" i="527"/>
  <c r="BY115" i="527"/>
  <c r="CA115" i="527" s="1"/>
  <c r="BZ7" i="527"/>
  <c r="BZ27" i="527"/>
  <c r="BZ35" i="527"/>
  <c r="BY57" i="527"/>
  <c r="CA57" i="527" s="1"/>
  <c r="AY58" i="527"/>
  <c r="BZ58" i="527" s="1"/>
  <c r="AY60" i="527"/>
  <c r="BZ60" i="527" s="1"/>
  <c r="CA60" i="527" s="1"/>
  <c r="AY85" i="527"/>
  <c r="BZ85" i="527"/>
  <c r="AY112" i="527"/>
  <c r="BZ112" i="527" s="1"/>
  <c r="AY116" i="527"/>
  <c r="BZ116" i="527" s="1"/>
  <c r="BZ152" i="527"/>
  <c r="AY4" i="527"/>
  <c r="BZ4" i="527"/>
  <c r="AY32" i="527"/>
  <c r="BZ32" i="527"/>
  <c r="AY89" i="527"/>
  <c r="BZ89" i="527" s="1"/>
  <c r="AY93" i="527"/>
  <c r="BZ93" i="527" s="1"/>
  <c r="AY97" i="527"/>
  <c r="BZ97" i="527"/>
  <c r="BZ109" i="527"/>
  <c r="AY107" i="527"/>
  <c r="BZ107" i="527" s="1"/>
  <c r="AY21" i="527"/>
  <c r="BZ21" i="527" s="1"/>
  <c r="BY102" i="527"/>
  <c r="CA102" i="527" s="1"/>
  <c r="AY22" i="527"/>
  <c r="BZ22" i="527"/>
  <c r="AY25" i="527"/>
  <c r="BZ25" i="527" s="1"/>
  <c r="AY38" i="527"/>
  <c r="BZ38" i="527" s="1"/>
  <c r="AY41" i="527"/>
  <c r="BZ41" i="527" s="1"/>
  <c r="AY46" i="527"/>
  <c r="BZ46" i="527" s="1"/>
  <c r="AY49" i="527"/>
  <c r="BZ49" i="527" s="1"/>
  <c r="AY56" i="527"/>
  <c r="BZ56" i="527"/>
  <c r="AY117" i="527"/>
  <c r="BZ117" i="527"/>
  <c r="CA117" i="527" s="1"/>
  <c r="AY16" i="527"/>
  <c r="BZ16" i="527"/>
  <c r="BY14" i="527"/>
  <c r="BY42" i="527"/>
  <c r="CA42" i="527"/>
  <c r="BY46" i="527"/>
  <c r="CA46" i="527" s="1"/>
  <c r="AY9" i="527"/>
  <c r="BZ9" i="527" s="1"/>
  <c r="AY20" i="527"/>
  <c r="BZ20" i="527" s="1"/>
  <c r="AY34" i="527"/>
  <c r="BZ34" i="527" s="1"/>
  <c r="AY23" i="527"/>
  <c r="BZ23" i="527" s="1"/>
  <c r="AY37" i="527"/>
  <c r="BZ37" i="527" s="1"/>
  <c r="BZ75" i="527"/>
  <c r="CA75" i="527" s="1"/>
  <c r="AY77" i="527"/>
  <c r="BZ77" i="527"/>
  <c r="AY79" i="527"/>
  <c r="BZ79" i="527"/>
  <c r="AC165" i="527"/>
  <c r="AY110" i="527"/>
  <c r="BZ110" i="527"/>
  <c r="BY112" i="527"/>
  <c r="CA112" i="527" s="1"/>
  <c r="BZ139" i="527"/>
  <c r="AY145" i="527"/>
  <c r="BZ145" i="527"/>
  <c r="AY155" i="527"/>
  <c r="BZ155" i="527"/>
  <c r="BY104" i="527"/>
  <c r="CA104" i="527" s="1"/>
  <c r="BY124" i="527"/>
  <c r="CA124" i="527" s="1"/>
  <c r="BY151" i="527"/>
  <c r="BY51" i="527"/>
  <c r="CA51" i="527" s="1"/>
  <c r="BY153" i="527"/>
  <c r="BY155" i="527"/>
  <c r="CA155" i="527" s="1"/>
  <c r="AY159" i="527"/>
  <c r="BZ159" i="527"/>
  <c r="AY5" i="527"/>
  <c r="BZ5" i="527" s="1"/>
  <c r="BY77" i="527"/>
  <c r="BZ82" i="527"/>
  <c r="BY85" i="527"/>
  <c r="CA85" i="527" s="1"/>
  <c r="AY8" i="527"/>
  <c r="BZ8" i="527" s="1"/>
  <c r="BY35" i="527"/>
  <c r="BY67" i="527"/>
  <c r="CA67" i="527" s="1"/>
  <c r="AY80" i="527"/>
  <c r="BZ80" i="527"/>
  <c r="AG165" i="527"/>
  <c r="BZ154" i="527"/>
  <c r="BY157" i="527"/>
  <c r="CA157" i="527" s="1"/>
  <c r="AY11" i="527"/>
  <c r="BZ11" i="527"/>
  <c r="BY30" i="527"/>
  <c r="CA30" i="527" s="1"/>
  <c r="BY24" i="527"/>
  <c r="BZ36" i="527"/>
  <c r="BZ70" i="527"/>
  <c r="AY74" i="527"/>
  <c r="BZ74" i="527"/>
  <c r="AY158" i="527"/>
  <c r="BZ158" i="527"/>
  <c r="BY21" i="527"/>
  <c r="CA21" i="527" s="1"/>
  <c r="BY37" i="527"/>
  <c r="CA37" i="527" s="1"/>
  <c r="AY121" i="527"/>
  <c r="BZ121" i="527" s="1"/>
  <c r="BY161" i="527"/>
  <c r="AY131" i="527"/>
  <c r="BZ131" i="527" s="1"/>
  <c r="AY120" i="527"/>
  <c r="BZ120" i="527"/>
  <c r="BY131" i="527"/>
  <c r="CA131" i="527" s="1"/>
  <c r="AY133" i="527"/>
  <c r="BZ133" i="527"/>
  <c r="BY136" i="527"/>
  <c r="CA136" i="527" s="1"/>
  <c r="U164" i="527"/>
  <c r="BZ119" i="527"/>
  <c r="AY127" i="527"/>
  <c r="BZ127" i="527" s="1"/>
  <c r="AY164" i="527"/>
  <c r="BZ164" i="527"/>
  <c r="BZ161" i="527"/>
  <c r="Q445" i="397"/>
  <c r="BE461" i="397"/>
  <c r="BD461" i="397"/>
  <c r="Q461" i="397"/>
  <c r="A461" i="397"/>
  <c r="CA24" i="527"/>
  <c r="CA100" i="527"/>
  <c r="N201" i="517"/>
  <c r="N202" i="517"/>
  <c r="N203" i="517"/>
  <c r="N204" i="517"/>
  <c r="N205" i="517"/>
  <c r="N206" i="517"/>
  <c r="N207" i="517"/>
  <c r="N208" i="517"/>
  <c r="N209" i="517"/>
  <c r="N210" i="517"/>
  <c r="N211" i="517"/>
  <c r="N212" i="517"/>
  <c r="N213" i="517"/>
  <c r="N214" i="517"/>
  <c r="N215" i="517"/>
  <c r="N216" i="517"/>
  <c r="N217" i="517"/>
  <c r="N218" i="517"/>
  <c r="N219" i="517"/>
  <c r="N220" i="517"/>
  <c r="N221" i="517"/>
  <c r="N222" i="517"/>
  <c r="N223" i="517"/>
  <c r="N224" i="517"/>
  <c r="N225" i="517"/>
  <c r="N226" i="517"/>
  <c r="N227" i="517"/>
  <c r="N228" i="517"/>
  <c r="N229" i="517"/>
  <c r="N200" i="517"/>
  <c r="H230" i="517"/>
  <c r="AX229" i="517"/>
  <c r="AW229" i="517"/>
  <c r="AV229" i="517"/>
  <c r="AU229" i="517"/>
  <c r="AT229" i="517"/>
  <c r="AS229" i="517"/>
  <c r="AR229" i="517"/>
  <c r="AQ229" i="517"/>
  <c r="AP229" i="517"/>
  <c r="AO229" i="517"/>
  <c r="AN229" i="517"/>
  <c r="AM229" i="517"/>
  <c r="AL229" i="517"/>
  <c r="AK229" i="517"/>
  <c r="AJ229" i="517"/>
  <c r="AI229" i="517"/>
  <c r="AH229" i="517"/>
  <c r="AG229" i="517"/>
  <c r="AF229" i="517"/>
  <c r="AE229" i="517"/>
  <c r="AD229" i="517"/>
  <c r="AA229" i="517"/>
  <c r="X229" i="517"/>
  <c r="W229" i="517"/>
  <c r="V229" i="517"/>
  <c r="U229" i="517"/>
  <c r="H227" i="517"/>
  <c r="H226" i="517"/>
  <c r="AB225" i="517"/>
  <c r="H223" i="517"/>
  <c r="AC222" i="517"/>
  <c r="AB222" i="517"/>
  <c r="AC220" i="517"/>
  <c r="AB220" i="517"/>
  <c r="AC217" i="517"/>
  <c r="AB217" i="517"/>
  <c r="AC214" i="517"/>
  <c r="AB214" i="517"/>
  <c r="Y211" i="517"/>
  <c r="Y229" i="517" s="1"/>
  <c r="AC208" i="517"/>
  <c r="AC229" i="517" s="1"/>
  <c r="AB208" i="517"/>
  <c r="AB207" i="517"/>
  <c r="AB229" i="517" s="1"/>
  <c r="Z204" i="517"/>
  <c r="Z229" i="517"/>
  <c r="Y204" i="517"/>
  <c r="H203" i="517"/>
  <c r="AY202" i="517"/>
  <c r="AY229" i="517"/>
  <c r="T201" i="517"/>
  <c r="T200" i="517"/>
  <c r="T229" i="517"/>
  <c r="H182" i="517"/>
  <c r="I187" i="517"/>
  <c r="N184" i="517"/>
  <c r="N183" i="517"/>
  <c r="N182" i="517"/>
  <c r="N181" i="517"/>
  <c r="N180" i="517"/>
  <c r="N179" i="517"/>
  <c r="N178" i="517"/>
  <c r="N177" i="517"/>
  <c r="N176" i="517"/>
  <c r="N175" i="517"/>
  <c r="N174" i="517"/>
  <c r="N173" i="517"/>
  <c r="N172" i="517"/>
  <c r="N171" i="517"/>
  <c r="N170" i="517"/>
  <c r="N169" i="517"/>
  <c r="N47" i="517"/>
  <c r="N46" i="517"/>
  <c r="H185" i="517"/>
  <c r="AX184" i="517"/>
  <c r="AW184" i="517"/>
  <c r="AV184" i="517"/>
  <c r="AU184" i="517"/>
  <c r="AT184" i="517"/>
  <c r="AS184" i="517"/>
  <c r="AQ184" i="517"/>
  <c r="AP184" i="517"/>
  <c r="AO184" i="517"/>
  <c r="AN184" i="517"/>
  <c r="AM184" i="517"/>
  <c r="AL184" i="517"/>
  <c r="AK184" i="517"/>
  <c r="AJ184" i="517"/>
  <c r="AI184" i="517"/>
  <c r="AH184" i="517"/>
  <c r="AG184" i="517"/>
  <c r="AF184" i="517"/>
  <c r="AE184" i="517"/>
  <c r="AD184" i="517"/>
  <c r="AA184" i="517"/>
  <c r="Z184" i="517"/>
  <c r="Y184" i="517"/>
  <c r="X184" i="517"/>
  <c r="W184" i="517"/>
  <c r="V184" i="517"/>
  <c r="U184" i="517"/>
  <c r="AC182" i="517"/>
  <c r="AC181" i="517"/>
  <c r="AB181" i="517"/>
  <c r="AC180" i="517"/>
  <c r="T179" i="517"/>
  <c r="AC178" i="517"/>
  <c r="AC176" i="517"/>
  <c r="AB176" i="517"/>
  <c r="AC174" i="517"/>
  <c r="H173" i="517"/>
  <c r="AR173" i="517"/>
  <c r="AY172" i="517"/>
  <c r="AY184" i="517" s="1"/>
  <c r="H170" i="517"/>
  <c r="H171" i="517"/>
  <c r="T169" i="517"/>
  <c r="T184" i="517" s="1"/>
  <c r="AB182" i="517"/>
  <c r="AB184" i="517"/>
  <c r="H177" i="517"/>
  <c r="AC170" i="517"/>
  <c r="BP125" i="202"/>
  <c r="BG125" i="202"/>
  <c r="BP123" i="202"/>
  <c r="BP114" i="202"/>
  <c r="BG114" i="202"/>
  <c r="BP106" i="202"/>
  <c r="BG106" i="202"/>
  <c r="BP107" i="202"/>
  <c r="BP124" i="202"/>
  <c r="BG124" i="202"/>
  <c r="BP147" i="202"/>
  <c r="BP104" i="202"/>
  <c r="BG104" i="202"/>
  <c r="BP103" i="202"/>
  <c r="BG103" i="202"/>
  <c r="BP121" i="202"/>
  <c r="BG121" i="202"/>
  <c r="BP113" i="202"/>
  <c r="BP111" i="202"/>
  <c r="BP112" i="202"/>
  <c r="BP108" i="202"/>
  <c r="BG108" i="202"/>
  <c r="BP109" i="202"/>
  <c r="BP105" i="202"/>
  <c r="H155" i="517"/>
  <c r="BC154" i="517"/>
  <c r="BB154" i="517"/>
  <c r="BA154" i="517"/>
  <c r="AZ154" i="517"/>
  <c r="AY154" i="517"/>
  <c r="AX154" i="517"/>
  <c r="AW154" i="517"/>
  <c r="AV154" i="517"/>
  <c r="AU154" i="517"/>
  <c r="AT154" i="517"/>
  <c r="AS154" i="517"/>
  <c r="AR154" i="517"/>
  <c r="AQ154" i="517"/>
  <c r="AO154" i="517"/>
  <c r="AN154" i="517"/>
  <c r="AM154" i="517"/>
  <c r="AL154" i="517"/>
  <c r="AK154" i="517"/>
  <c r="AJ154" i="517"/>
  <c r="AI154" i="517"/>
  <c r="AH154" i="517"/>
  <c r="AG154" i="517"/>
  <c r="AF154" i="517"/>
  <c r="AE154" i="517"/>
  <c r="AC154" i="517"/>
  <c r="AB154" i="517"/>
  <c r="AA154" i="517"/>
  <c r="X154" i="517"/>
  <c r="W154" i="517"/>
  <c r="V154" i="517"/>
  <c r="U154" i="517"/>
  <c r="N154" i="517"/>
  <c r="N153" i="517"/>
  <c r="N152" i="517"/>
  <c r="H152" i="517"/>
  <c r="N151" i="517"/>
  <c r="Y150" i="517"/>
  <c r="N150" i="517"/>
  <c r="Y149" i="517"/>
  <c r="N149" i="517"/>
  <c r="Y148" i="517"/>
  <c r="N148" i="517"/>
  <c r="Z147" i="517"/>
  <c r="N147" i="517"/>
  <c r="Z146" i="517"/>
  <c r="Z154" i="517"/>
  <c r="N146" i="517"/>
  <c r="AP145" i="517"/>
  <c r="AP154" i="517" s="1"/>
  <c r="N145" i="517"/>
  <c r="Y144" i="517"/>
  <c r="Y154" i="517"/>
  <c r="N144" i="517"/>
  <c r="AD143" i="517"/>
  <c r="AD154" i="517"/>
  <c r="N143" i="517"/>
  <c r="L135" i="517"/>
  <c r="H129" i="517"/>
  <c r="BC128" i="517"/>
  <c r="BB128" i="517"/>
  <c r="BA128" i="517"/>
  <c r="AZ128" i="517"/>
  <c r="AY128" i="517"/>
  <c r="AX128" i="517"/>
  <c r="AW128" i="517"/>
  <c r="AU128" i="517"/>
  <c r="AT128" i="517"/>
  <c r="AS128" i="517"/>
  <c r="AR128" i="517"/>
  <c r="AQ128" i="517"/>
  <c r="AP128" i="517"/>
  <c r="AO128" i="517"/>
  <c r="AN128" i="517"/>
  <c r="AM128" i="517"/>
  <c r="AL128" i="517"/>
  <c r="AI128" i="517"/>
  <c r="AH128" i="517"/>
  <c r="AG128" i="517"/>
  <c r="AF128" i="517"/>
  <c r="AE128" i="517"/>
  <c r="AD128" i="517"/>
  <c r="AA128" i="517"/>
  <c r="Z128" i="517"/>
  <c r="Y128" i="517"/>
  <c r="W128" i="517"/>
  <c r="V128" i="517"/>
  <c r="U128" i="517"/>
  <c r="T128" i="517"/>
  <c r="N128" i="517"/>
  <c r="N127" i="517"/>
  <c r="N126" i="517"/>
  <c r="H126" i="517"/>
  <c r="H127" i="517" s="1"/>
  <c r="AV125" i="517"/>
  <c r="AV128" i="517"/>
  <c r="N125" i="517"/>
  <c r="AJ124" i="517"/>
  <c r="AJ128" i="517"/>
  <c r="N124" i="517"/>
  <c r="AC123" i="517"/>
  <c r="AC128" i="517"/>
  <c r="N123" i="517"/>
  <c r="AB122" i="517"/>
  <c r="N122" i="517"/>
  <c r="AB121" i="517"/>
  <c r="N121" i="517"/>
  <c r="AB120" i="517"/>
  <c r="N120" i="517"/>
  <c r="AB119" i="517"/>
  <c r="N119" i="517"/>
  <c r="AB118" i="517"/>
  <c r="AB128" i="517" s="1"/>
  <c r="N118" i="517"/>
  <c r="AK117" i="517"/>
  <c r="AK128" i="517" s="1"/>
  <c r="N117" i="517"/>
  <c r="N116" i="517" s="1"/>
  <c r="H104" i="517"/>
  <c r="H102" i="517"/>
  <c r="AY101" i="517"/>
  <c r="AX101" i="517"/>
  <c r="AW101" i="517"/>
  <c r="AV101" i="517"/>
  <c r="AU101" i="517"/>
  <c r="AS101" i="517"/>
  <c r="AR101" i="517"/>
  <c r="AQ101" i="517"/>
  <c r="AP101" i="517"/>
  <c r="AO101" i="517"/>
  <c r="AN101" i="517"/>
  <c r="AM101" i="517"/>
  <c r="AL101" i="517"/>
  <c r="AK101" i="517"/>
  <c r="AJ101" i="517"/>
  <c r="AI101" i="517"/>
  <c r="AH101" i="517"/>
  <c r="AG101" i="517"/>
  <c r="AF101" i="517"/>
  <c r="AE101" i="517"/>
  <c r="AD101" i="517"/>
  <c r="AA101" i="517"/>
  <c r="Z101" i="517"/>
  <c r="Y101" i="517"/>
  <c r="W101" i="517"/>
  <c r="V101" i="517"/>
  <c r="U101" i="517"/>
  <c r="T101" i="517"/>
  <c r="N101" i="517"/>
  <c r="N100" i="517"/>
  <c r="N99" i="517"/>
  <c r="H99" i="517"/>
  <c r="AB99" i="517" s="1"/>
  <c r="AC98" i="517"/>
  <c r="N98" i="517"/>
  <c r="AT97" i="517"/>
  <c r="AT101" i="517"/>
  <c r="N97" i="517"/>
  <c r="N96" i="517"/>
  <c r="N95" i="517"/>
  <c r="H95" i="517"/>
  <c r="AB94" i="517"/>
  <c r="N94" i="517"/>
  <c r="AC93" i="517"/>
  <c r="N93" i="517"/>
  <c r="AC92" i="517"/>
  <c r="N92" i="517"/>
  <c r="N91" i="517"/>
  <c r="N90" i="517"/>
  <c r="H90" i="517"/>
  <c r="AC89" i="517"/>
  <c r="N89" i="517"/>
  <c r="AC88" i="517"/>
  <c r="AC101" i="517"/>
  <c r="N88" i="517"/>
  <c r="N87" i="517" s="1"/>
  <c r="H74" i="517"/>
  <c r="BC73" i="517"/>
  <c r="BB73" i="517"/>
  <c r="BA73" i="517"/>
  <c r="AZ73" i="517"/>
  <c r="AX73" i="517"/>
  <c r="AW73" i="517"/>
  <c r="AV73" i="517"/>
  <c r="AU73" i="517"/>
  <c r="AT73" i="517"/>
  <c r="AS73" i="517"/>
  <c r="AR73" i="517"/>
  <c r="AQ73" i="517"/>
  <c r="AP73" i="517"/>
  <c r="AO73" i="517"/>
  <c r="AN73" i="517"/>
  <c r="AM73" i="517"/>
  <c r="AL73" i="517"/>
  <c r="AK73" i="517"/>
  <c r="AJ73" i="517"/>
  <c r="AI73" i="517"/>
  <c r="AH73" i="517"/>
  <c r="AG73" i="517"/>
  <c r="AF73" i="517"/>
  <c r="AE73" i="517"/>
  <c r="AD73" i="517"/>
  <c r="AC73" i="517"/>
  <c r="AB73" i="517"/>
  <c r="AA73" i="517"/>
  <c r="X73" i="517"/>
  <c r="W73" i="517"/>
  <c r="V73" i="517"/>
  <c r="U73" i="517"/>
  <c r="N73" i="517"/>
  <c r="N72" i="517"/>
  <c r="N71" i="517"/>
  <c r="H71" i="517"/>
  <c r="Y70" i="517"/>
  <c r="N70" i="517"/>
  <c r="Y69" i="517"/>
  <c r="Y73" i="517" s="1"/>
  <c r="N69" i="517"/>
  <c r="N62" i="517" s="1"/>
  <c r="Y68" i="517"/>
  <c r="N68" i="517"/>
  <c r="Y67" i="517"/>
  <c r="N67" i="517"/>
  <c r="Z66" i="517"/>
  <c r="Z73" i="517" s="1"/>
  <c r="N66" i="517"/>
  <c r="Y65" i="517"/>
  <c r="N65" i="517"/>
  <c r="Y64" i="517"/>
  <c r="N64" i="517"/>
  <c r="AY63" i="517"/>
  <c r="AY73" i="517" s="1"/>
  <c r="N63" i="517"/>
  <c r="I50" i="517"/>
  <c r="H50" i="517"/>
  <c r="H48" i="517"/>
  <c r="AY47" i="517"/>
  <c r="AX47" i="517"/>
  <c r="AW47" i="517"/>
  <c r="AV47" i="517"/>
  <c r="AU47" i="517"/>
  <c r="AT47" i="517"/>
  <c r="AS47" i="517"/>
  <c r="AR47" i="517"/>
  <c r="AQ47" i="517"/>
  <c r="AP47" i="517"/>
  <c r="AO47" i="517"/>
  <c r="AN47" i="517"/>
  <c r="AM47" i="517"/>
  <c r="AL47" i="517"/>
  <c r="AK47" i="517"/>
  <c r="AJ47" i="517"/>
  <c r="AI47" i="517"/>
  <c r="AH47" i="517"/>
  <c r="AG47" i="517"/>
  <c r="AF47" i="517"/>
  <c r="AE47" i="517"/>
  <c r="AD47" i="517"/>
  <c r="AA47" i="517"/>
  <c r="X47" i="517"/>
  <c r="W47" i="517"/>
  <c r="V47" i="517"/>
  <c r="U47" i="517"/>
  <c r="T47" i="517"/>
  <c r="N45" i="517"/>
  <c r="H45" i="517"/>
  <c r="Z44" i="517"/>
  <c r="Y44" i="517"/>
  <c r="N44" i="517"/>
  <c r="Z43" i="517"/>
  <c r="Y43" i="517"/>
  <c r="N43" i="517"/>
  <c r="Z42" i="517"/>
  <c r="Y42" i="517"/>
  <c r="N42" i="517"/>
  <c r="Z41" i="517"/>
  <c r="Z47" i="517" s="1"/>
  <c r="Y41" i="517"/>
  <c r="Y47" i="517" s="1"/>
  <c r="N41" i="517"/>
  <c r="AC40" i="517"/>
  <c r="AC47" i="517"/>
  <c r="AB40" i="517"/>
  <c r="AB47" i="517"/>
  <c r="N40" i="517"/>
  <c r="N38" i="517" s="1"/>
  <c r="Z39" i="517"/>
  <c r="Y39" i="517"/>
  <c r="I26" i="517"/>
  <c r="H26" i="517"/>
  <c r="H24" i="517"/>
  <c r="AX23" i="517"/>
  <c r="AW23" i="517"/>
  <c r="AV23" i="517"/>
  <c r="AU23" i="517"/>
  <c r="AT23" i="517"/>
  <c r="AS23" i="517"/>
  <c r="AR23" i="517"/>
  <c r="AQ23" i="517"/>
  <c r="AP23" i="517"/>
  <c r="AO23" i="517"/>
  <c r="AN23" i="517"/>
  <c r="AM23" i="517"/>
  <c r="AL23" i="517"/>
  <c r="AJ23" i="517"/>
  <c r="AI23" i="517"/>
  <c r="AH23" i="517"/>
  <c r="AG23" i="517"/>
  <c r="AF23" i="517"/>
  <c r="AE23" i="517"/>
  <c r="AD23" i="517"/>
  <c r="AA23" i="517"/>
  <c r="Z23" i="517"/>
  <c r="Y23" i="517"/>
  <c r="X23" i="517"/>
  <c r="W23" i="517"/>
  <c r="V23" i="517"/>
  <c r="U23" i="517"/>
  <c r="T23" i="517"/>
  <c r="H21" i="517"/>
  <c r="AB21" i="517" s="1"/>
  <c r="AK20" i="517"/>
  <c r="AK23" i="517" s="1"/>
  <c r="H18" i="517"/>
  <c r="AY17" i="517"/>
  <c r="AB16" i="517"/>
  <c r="AB15" i="517"/>
  <c r="AB14" i="517"/>
  <c r="AB13" i="517"/>
  <c r="H11" i="517"/>
  <c r="AB10" i="517"/>
  <c r="H390" i="500"/>
  <c r="BB389" i="500"/>
  <c r="BA389" i="500"/>
  <c r="AZ389" i="500"/>
  <c r="AY389" i="500"/>
  <c r="AX389" i="500"/>
  <c r="AW389" i="500"/>
  <c r="AV389" i="500"/>
  <c r="AT389" i="500"/>
  <c r="AS389" i="500"/>
  <c r="AR389" i="500"/>
  <c r="AQ389" i="500"/>
  <c r="AP389" i="500"/>
  <c r="AO389" i="500"/>
  <c r="AN389" i="500"/>
  <c r="AM389" i="500"/>
  <c r="AL389" i="500"/>
  <c r="AK389" i="500"/>
  <c r="AJ389" i="500"/>
  <c r="AI389" i="500"/>
  <c r="AH389" i="500"/>
  <c r="AG389" i="500"/>
  <c r="AF389" i="500"/>
  <c r="AE389" i="500"/>
  <c r="AD389" i="500"/>
  <c r="AA389" i="500"/>
  <c r="Z389" i="500"/>
  <c r="Y389" i="500"/>
  <c r="W389" i="500"/>
  <c r="V389" i="500"/>
  <c r="U389" i="500"/>
  <c r="T389" i="500"/>
  <c r="N389" i="500"/>
  <c r="N388" i="500"/>
  <c r="N387" i="500"/>
  <c r="H387" i="500"/>
  <c r="AB386" i="500"/>
  <c r="N386" i="500"/>
  <c r="AC385" i="500"/>
  <c r="N385" i="500"/>
  <c r="BC384" i="500"/>
  <c r="BC389" i="500" s="1"/>
  <c r="N384" i="500"/>
  <c r="AC383" i="500"/>
  <c r="N383" i="500"/>
  <c r="AC382" i="500"/>
  <c r="N382" i="500"/>
  <c r="AC381" i="500"/>
  <c r="N381" i="500"/>
  <c r="AB380" i="500"/>
  <c r="AB389" i="500"/>
  <c r="N380" i="500"/>
  <c r="AU379" i="500"/>
  <c r="AU389" i="500"/>
  <c r="N379" i="500"/>
  <c r="N378" i="500" s="1"/>
  <c r="L372" i="500"/>
  <c r="I366" i="500"/>
  <c r="H366" i="500"/>
  <c r="H364" i="500"/>
  <c r="AY363" i="500"/>
  <c r="AX363" i="500"/>
  <c r="AW363" i="500"/>
  <c r="AV363" i="500"/>
  <c r="AU363" i="500"/>
  <c r="AT363" i="500"/>
  <c r="AS363" i="500"/>
  <c r="AR363" i="500"/>
  <c r="AQ363" i="500"/>
  <c r="AP363" i="500"/>
  <c r="AO363" i="500"/>
  <c r="AN363" i="500"/>
  <c r="AM363" i="500"/>
  <c r="AL363" i="500"/>
  <c r="AK363" i="500"/>
  <c r="AJ363" i="500"/>
  <c r="AI363" i="500"/>
  <c r="AH363" i="500"/>
  <c r="AG363" i="500"/>
  <c r="AF363" i="500"/>
  <c r="AE363" i="500"/>
  <c r="AD363" i="500"/>
  <c r="AA363" i="500"/>
  <c r="Z363" i="500"/>
  <c r="X363" i="500"/>
  <c r="W363" i="500"/>
  <c r="V363" i="500"/>
  <c r="U363" i="500"/>
  <c r="N363" i="500"/>
  <c r="N362" i="500"/>
  <c r="N361" i="500"/>
  <c r="N360" i="500"/>
  <c r="H360" i="500"/>
  <c r="N359" i="500"/>
  <c r="H359" i="500"/>
  <c r="N358" i="500"/>
  <c r="AB357" i="500"/>
  <c r="N357" i="500"/>
  <c r="N356" i="500"/>
  <c r="AB355" i="500"/>
  <c r="N355" i="500"/>
  <c r="N354" i="500"/>
  <c r="AB353" i="500"/>
  <c r="N353" i="500"/>
  <c r="N352" i="500"/>
  <c r="AB351" i="500"/>
  <c r="N351" i="500"/>
  <c r="N350" i="500"/>
  <c r="AB349" i="500"/>
  <c r="N349" i="500"/>
  <c r="N348" i="500"/>
  <c r="N347" i="500"/>
  <c r="H347" i="500"/>
  <c r="AB346" i="500"/>
  <c r="N346" i="500"/>
  <c r="N345" i="500"/>
  <c r="N344" i="500"/>
  <c r="AB343" i="500"/>
  <c r="N343" i="500"/>
  <c r="N342" i="500"/>
  <c r="AB341" i="500"/>
  <c r="N341" i="500"/>
  <c r="Y340" i="500"/>
  <c r="Y363" i="500"/>
  <c r="N340" i="500"/>
  <c r="N339" i="500"/>
  <c r="H339" i="500"/>
  <c r="T338" i="500"/>
  <c r="N338" i="500"/>
  <c r="AC337" i="500"/>
  <c r="AC363" i="500"/>
  <c r="N337" i="500"/>
  <c r="T336" i="500"/>
  <c r="T363" i="500" s="1"/>
  <c r="N336" i="500"/>
  <c r="I323" i="500"/>
  <c r="H323" i="500"/>
  <c r="H321" i="500"/>
  <c r="AY320" i="500"/>
  <c r="AX320" i="500"/>
  <c r="AW320" i="500"/>
  <c r="AV320" i="500"/>
  <c r="AU320" i="500"/>
  <c r="AT320" i="500"/>
  <c r="AS320" i="500"/>
  <c r="AR320" i="500"/>
  <c r="AQ320" i="500"/>
  <c r="AP320" i="500"/>
  <c r="AO320" i="500"/>
  <c r="AN320" i="500"/>
  <c r="AM320" i="500"/>
  <c r="AL320" i="500"/>
  <c r="AJ320" i="500"/>
  <c r="AI320" i="500"/>
  <c r="AH320" i="500"/>
  <c r="AG320" i="500"/>
  <c r="AF320" i="500"/>
  <c r="AE320" i="500"/>
  <c r="AD320" i="500"/>
  <c r="AA320" i="500"/>
  <c r="Z320" i="500"/>
  <c r="Y320" i="500"/>
  <c r="X320" i="500"/>
  <c r="W320" i="500"/>
  <c r="V320" i="500"/>
  <c r="U320" i="500"/>
  <c r="T320" i="500"/>
  <c r="N320" i="500"/>
  <c r="N319" i="500"/>
  <c r="N318" i="500"/>
  <c r="H318" i="500"/>
  <c r="AC317" i="500"/>
  <c r="N317" i="500"/>
  <c r="AC316" i="500"/>
  <c r="N316" i="500"/>
  <c r="AC315" i="500"/>
  <c r="N315" i="500"/>
  <c r="AC314" i="500"/>
  <c r="N314" i="500"/>
  <c r="AC313" i="500"/>
  <c r="N313" i="500"/>
  <c r="AK312" i="500"/>
  <c r="AK320" i="500" s="1"/>
  <c r="N312" i="500"/>
  <c r="AY299" i="500"/>
  <c r="AX299" i="500"/>
  <c r="AW299" i="500"/>
  <c r="AV299" i="500"/>
  <c r="AU299" i="500"/>
  <c r="AT299" i="500"/>
  <c r="AS299" i="500"/>
  <c r="AR299" i="500"/>
  <c r="AQ299" i="500"/>
  <c r="AP299" i="500"/>
  <c r="AO299" i="500"/>
  <c r="AN299" i="500"/>
  <c r="AM299" i="500"/>
  <c r="AL299" i="500"/>
  <c r="AK299" i="500"/>
  <c r="AJ299" i="500"/>
  <c r="AI299" i="500"/>
  <c r="AH299" i="500"/>
  <c r="AG299" i="500"/>
  <c r="AF299" i="500"/>
  <c r="AE299" i="500"/>
  <c r="AD299" i="500"/>
  <c r="AB299" i="500"/>
  <c r="AA299" i="500"/>
  <c r="X299" i="500"/>
  <c r="W299" i="500"/>
  <c r="V299" i="500"/>
  <c r="U299" i="500"/>
  <c r="T299" i="500"/>
  <c r="N299" i="500"/>
  <c r="N298" i="500"/>
  <c r="H298" i="500"/>
  <c r="Z297" i="500"/>
  <c r="Y297" i="500"/>
  <c r="N297" i="500"/>
  <c r="N294" i="500" s="1"/>
  <c r="AC296" i="500"/>
  <c r="AC299" i="500"/>
  <c r="N296" i="500"/>
  <c r="Z295" i="500"/>
  <c r="Y295" i="500"/>
  <c r="Y299" i="500"/>
  <c r="N295" i="500"/>
  <c r="I282" i="500"/>
  <c r="H282" i="500"/>
  <c r="H280" i="500"/>
  <c r="AY279" i="500"/>
  <c r="AX279" i="500"/>
  <c r="AW279" i="500"/>
  <c r="AV279" i="500"/>
  <c r="AU279" i="500"/>
  <c r="AT279" i="500"/>
  <c r="AS279" i="500"/>
  <c r="AR279" i="500"/>
  <c r="AQ279" i="500"/>
  <c r="AP279" i="500"/>
  <c r="AO279" i="500"/>
  <c r="AN279" i="500"/>
  <c r="AM279" i="500"/>
  <c r="AL279" i="500"/>
  <c r="AK279" i="500"/>
  <c r="AI279" i="500"/>
  <c r="AH279" i="500"/>
  <c r="AG279" i="500"/>
  <c r="AF279" i="500"/>
  <c r="AE279" i="500"/>
  <c r="AD279" i="500"/>
  <c r="AA279" i="500"/>
  <c r="Z279" i="500"/>
  <c r="Y279" i="500"/>
  <c r="X279" i="500"/>
  <c r="W279" i="500"/>
  <c r="V279" i="500"/>
  <c r="U279" i="500"/>
  <c r="T279" i="500"/>
  <c r="N279" i="500"/>
  <c r="N278" i="500"/>
  <c r="N277" i="500"/>
  <c r="H277" i="500"/>
  <c r="AC277" i="500" s="1"/>
  <c r="AC279" i="500" s="1"/>
  <c r="AB276" i="500"/>
  <c r="N276" i="500"/>
  <c r="N275" i="500"/>
  <c r="N274" i="500"/>
  <c r="H274" i="500"/>
  <c r="AB273" i="500"/>
  <c r="N273" i="500"/>
  <c r="AB272" i="500"/>
  <c r="N272" i="500"/>
  <c r="AB271" i="500"/>
  <c r="N271" i="500"/>
  <c r="AB270" i="500"/>
  <c r="N270" i="500"/>
  <c r="AB269" i="500"/>
  <c r="N269" i="500"/>
  <c r="AB268" i="500"/>
  <c r="N268" i="500"/>
  <c r="N267" i="500" s="1"/>
  <c r="I254" i="500"/>
  <c r="H254" i="500"/>
  <c r="H252" i="500"/>
  <c r="AY251" i="500"/>
  <c r="AX251" i="500"/>
  <c r="AW251" i="500"/>
  <c r="AU251" i="500"/>
  <c r="AT251" i="500"/>
  <c r="AS251" i="500"/>
  <c r="AR251" i="500"/>
  <c r="AQ251" i="500"/>
  <c r="AP251" i="500"/>
  <c r="AO251" i="500"/>
  <c r="AN251" i="500"/>
  <c r="AM251" i="500"/>
  <c r="AL251" i="500"/>
  <c r="AK251" i="500"/>
  <c r="AI251" i="500"/>
  <c r="AH251" i="500"/>
  <c r="AG251" i="500"/>
  <c r="AF251" i="500"/>
  <c r="AE251" i="500"/>
  <c r="AD251" i="500"/>
  <c r="AC251" i="500"/>
  <c r="AB251" i="500"/>
  <c r="AA251" i="500"/>
  <c r="X251" i="500"/>
  <c r="W251" i="500"/>
  <c r="V251" i="500"/>
  <c r="U251" i="500"/>
  <c r="N251" i="500"/>
  <c r="N250" i="500"/>
  <c r="N249" i="500"/>
  <c r="N248" i="500"/>
  <c r="N247" i="500"/>
  <c r="H247" i="500"/>
  <c r="N246" i="500"/>
  <c r="N245" i="500"/>
  <c r="Z244" i="500"/>
  <c r="Y244" i="500"/>
  <c r="N244" i="500"/>
  <c r="N243" i="500"/>
  <c r="T242" i="500"/>
  <c r="T251" i="500"/>
  <c r="N242" i="500"/>
  <c r="N241" i="500"/>
  <c r="H241" i="500"/>
  <c r="AJ240" i="500"/>
  <c r="N240" i="500"/>
  <c r="N239" i="500"/>
  <c r="N238" i="500"/>
  <c r="Z237" i="500"/>
  <c r="Y237" i="500"/>
  <c r="N237" i="500"/>
  <c r="N236" i="500"/>
  <c r="Z235" i="500"/>
  <c r="Y235" i="500"/>
  <c r="N235" i="500"/>
  <c r="N234" i="500"/>
  <c r="Z233" i="500"/>
  <c r="Y233" i="500"/>
  <c r="N233" i="500"/>
  <c r="N232" i="500"/>
  <c r="Z231" i="500"/>
  <c r="Z251" i="500" s="1"/>
  <c r="Y231" i="500"/>
  <c r="N231" i="500"/>
  <c r="N230" i="500"/>
  <c r="H230" i="500"/>
  <c r="AJ229" i="500"/>
  <c r="N229" i="500"/>
  <c r="AJ228" i="500"/>
  <c r="N228" i="500"/>
  <c r="H214" i="500"/>
  <c r="AY213" i="500"/>
  <c r="AX213" i="500"/>
  <c r="AW213" i="500"/>
  <c r="AV213" i="500"/>
  <c r="AU213" i="500"/>
  <c r="AT213" i="500"/>
  <c r="AS213" i="500"/>
  <c r="AQ213" i="500"/>
  <c r="AP213" i="500"/>
  <c r="AO213" i="500"/>
  <c r="AN213" i="500"/>
  <c r="AM213" i="500"/>
  <c r="AL213" i="500"/>
  <c r="AK213" i="500"/>
  <c r="AJ213" i="500"/>
  <c r="AI213" i="500"/>
  <c r="AH213" i="500"/>
  <c r="AG213" i="500"/>
  <c r="AF213" i="500"/>
  <c r="AE213" i="500"/>
  <c r="AD213" i="500"/>
  <c r="AA213" i="500"/>
  <c r="Z213" i="500"/>
  <c r="Y213" i="500"/>
  <c r="W213" i="500"/>
  <c r="V213" i="500"/>
  <c r="U213" i="500"/>
  <c r="T213" i="500"/>
  <c r="N213" i="500"/>
  <c r="N212" i="500"/>
  <c r="N211" i="500"/>
  <c r="H211" i="500"/>
  <c r="AC210" i="500"/>
  <c r="N210" i="500"/>
  <c r="AC209" i="500"/>
  <c r="N209" i="500"/>
  <c r="AC208" i="500"/>
  <c r="N208" i="500"/>
  <c r="AB207" i="500"/>
  <c r="N207" i="500"/>
  <c r="AC206" i="500"/>
  <c r="N206" i="500"/>
  <c r="AC205" i="500"/>
  <c r="N205" i="500"/>
  <c r="AB204" i="500"/>
  <c r="AB213" i="500" s="1"/>
  <c r="N204" i="500"/>
  <c r="AC203" i="500"/>
  <c r="N203" i="500"/>
  <c r="AR202" i="500"/>
  <c r="AR213" i="500" s="1"/>
  <c r="N202" i="500"/>
  <c r="H188" i="500"/>
  <c r="AY187" i="500"/>
  <c r="AX187" i="500"/>
  <c r="AW187" i="500"/>
  <c r="AV187" i="500"/>
  <c r="AU187" i="500"/>
  <c r="AT187" i="500"/>
  <c r="AS187" i="500"/>
  <c r="AQ187" i="500"/>
  <c r="AP187" i="500"/>
  <c r="AO187" i="500"/>
  <c r="AN187" i="500"/>
  <c r="AM187" i="500"/>
  <c r="AL187" i="500"/>
  <c r="AK187" i="500"/>
  <c r="AJ187" i="500"/>
  <c r="AI187" i="500"/>
  <c r="AH187" i="500"/>
  <c r="AG187" i="500"/>
  <c r="AF187" i="500"/>
  <c r="AE187" i="500"/>
  <c r="AD187" i="500"/>
  <c r="AA187" i="500"/>
  <c r="W187" i="500"/>
  <c r="V187" i="500"/>
  <c r="U187" i="500"/>
  <c r="T187" i="500"/>
  <c r="N187" i="500"/>
  <c r="N186" i="500"/>
  <c r="N185" i="500"/>
  <c r="H185" i="500"/>
  <c r="AB184" i="500"/>
  <c r="N184" i="500"/>
  <c r="AC183" i="500"/>
  <c r="AC187" i="500" s="1"/>
  <c r="N183" i="500"/>
  <c r="AB182" i="500"/>
  <c r="N182" i="500"/>
  <c r="AB181" i="500"/>
  <c r="N181" i="500"/>
  <c r="AB180" i="500"/>
  <c r="N180" i="500"/>
  <c r="AB179" i="500"/>
  <c r="N179" i="500"/>
  <c r="AB178" i="500"/>
  <c r="N178" i="500"/>
  <c r="AB177" i="500"/>
  <c r="N177" i="500"/>
  <c r="AB176" i="500"/>
  <c r="N176" i="500"/>
  <c r="Z175" i="500"/>
  <c r="Z187" i="500"/>
  <c r="Y175" i="500"/>
  <c r="Y187" i="500"/>
  <c r="N175" i="500"/>
  <c r="AR174" i="500"/>
  <c r="AR187" i="500"/>
  <c r="N174" i="500"/>
  <c r="I161" i="500"/>
  <c r="H161" i="500"/>
  <c r="H159" i="500"/>
  <c r="AY158" i="500"/>
  <c r="AX158" i="500"/>
  <c r="AW158" i="500"/>
  <c r="AV158" i="500"/>
  <c r="AU158" i="500"/>
  <c r="AT158" i="500"/>
  <c r="AS158" i="500"/>
  <c r="AQ158" i="500"/>
  <c r="AP158" i="500"/>
  <c r="AO158" i="500"/>
  <c r="AN158" i="500"/>
  <c r="AM158" i="500"/>
  <c r="AL158" i="500"/>
  <c r="AJ158" i="500"/>
  <c r="AI158" i="500"/>
  <c r="AH158" i="500"/>
  <c r="AG158" i="500"/>
  <c r="AF158" i="500"/>
  <c r="AE158" i="500"/>
  <c r="AD158" i="500"/>
  <c r="AC158" i="500"/>
  <c r="AA158" i="500"/>
  <c r="Z158" i="500"/>
  <c r="Y158" i="500"/>
  <c r="X158" i="500"/>
  <c r="W158" i="500"/>
  <c r="V158" i="500"/>
  <c r="U158" i="500"/>
  <c r="T158" i="500"/>
  <c r="N158" i="500"/>
  <c r="N157" i="500"/>
  <c r="N156" i="500"/>
  <c r="H156" i="500"/>
  <c r="AB155" i="500"/>
  <c r="N155" i="500"/>
  <c r="N148" i="500" s="1"/>
  <c r="AK154" i="500"/>
  <c r="AK158" i="500" s="1"/>
  <c r="N154" i="500"/>
  <c r="AB153" i="500"/>
  <c r="N153" i="500"/>
  <c r="AR152" i="500"/>
  <c r="AR158" i="500" s="1"/>
  <c r="N152" i="500"/>
  <c r="AB151" i="500"/>
  <c r="N151" i="500"/>
  <c r="AB150" i="500"/>
  <c r="N150" i="500"/>
  <c r="AB149" i="500"/>
  <c r="N149" i="500"/>
  <c r="I136" i="500"/>
  <c r="H136" i="500"/>
  <c r="H134" i="500"/>
  <c r="AY133" i="500"/>
  <c r="AX133" i="500"/>
  <c r="AW133" i="500"/>
  <c r="AV133" i="500"/>
  <c r="AU133" i="500"/>
  <c r="AT133" i="500"/>
  <c r="AS133" i="500"/>
  <c r="AQ133" i="500"/>
  <c r="AP133" i="500"/>
  <c r="AO133" i="500"/>
  <c r="AN133" i="500"/>
  <c r="AM133" i="500"/>
  <c r="AL133" i="500"/>
  <c r="AJ133" i="500"/>
  <c r="AI133" i="500"/>
  <c r="AH133" i="500"/>
  <c r="AG133" i="500"/>
  <c r="AF133" i="500"/>
  <c r="AE133" i="500"/>
  <c r="AD133" i="500"/>
  <c r="AA133" i="500"/>
  <c r="Z133" i="500"/>
  <c r="Y133" i="500"/>
  <c r="W133" i="500"/>
  <c r="V133" i="500"/>
  <c r="U133" i="500"/>
  <c r="T133" i="500"/>
  <c r="N133" i="500"/>
  <c r="N132" i="500"/>
  <c r="N131" i="500"/>
  <c r="H131" i="500"/>
  <c r="AB131" i="500" s="1"/>
  <c r="AC130" i="500"/>
  <c r="N130" i="500"/>
  <c r="AB129" i="500"/>
  <c r="N129" i="500"/>
  <c r="N128" i="500"/>
  <c r="N127" i="500"/>
  <c r="H127" i="500"/>
  <c r="X127" i="500" s="1"/>
  <c r="AK126" i="500"/>
  <c r="AK133" i="500" s="1"/>
  <c r="N126" i="500"/>
  <c r="AC125" i="500"/>
  <c r="N125" i="500"/>
  <c r="N124" i="500"/>
  <c r="AC123" i="500"/>
  <c r="N123" i="500"/>
  <c r="N122" i="500"/>
  <c r="AC121" i="500"/>
  <c r="N121" i="500"/>
  <c r="N120" i="500"/>
  <c r="H120" i="500"/>
  <c r="AB119" i="500"/>
  <c r="N119" i="500"/>
  <c r="N118" i="500"/>
  <c r="I106" i="500"/>
  <c r="H106" i="500"/>
  <c r="H104" i="500"/>
  <c r="AY103" i="500"/>
  <c r="AX103" i="500"/>
  <c r="AW103" i="500"/>
  <c r="AV103" i="500"/>
  <c r="AU103" i="500"/>
  <c r="AT103" i="500"/>
  <c r="AS103" i="500"/>
  <c r="AR103" i="500"/>
  <c r="AQ103" i="500"/>
  <c r="AP103" i="500"/>
  <c r="AO103" i="500"/>
  <c r="AN103" i="500"/>
  <c r="AM103" i="500"/>
  <c r="AL103" i="500"/>
  <c r="AJ103" i="500"/>
  <c r="AI103" i="500"/>
  <c r="AH103" i="500"/>
  <c r="AG103" i="500"/>
  <c r="AF103" i="500"/>
  <c r="AE103" i="500"/>
  <c r="AD103" i="500"/>
  <c r="AA103" i="500"/>
  <c r="Z103" i="500"/>
  <c r="Y103" i="500"/>
  <c r="X103" i="500"/>
  <c r="W103" i="500"/>
  <c r="V103" i="500"/>
  <c r="U103" i="500"/>
  <c r="T103" i="500"/>
  <c r="N103" i="500"/>
  <c r="N102" i="500"/>
  <c r="N101" i="500"/>
  <c r="N100" i="500"/>
  <c r="N99" i="500"/>
  <c r="H99" i="500"/>
  <c r="N98" i="500"/>
  <c r="AB97" i="500"/>
  <c r="N97" i="500"/>
  <c r="N96" i="500"/>
  <c r="AB95" i="500"/>
  <c r="N95" i="500"/>
  <c r="N94" i="500"/>
  <c r="N93" i="500"/>
  <c r="H93" i="500"/>
  <c r="AB92" i="500"/>
  <c r="N92" i="500"/>
  <c r="N91" i="500"/>
  <c r="AB90" i="500"/>
  <c r="N90" i="500"/>
  <c r="N89" i="500"/>
  <c r="H89" i="500"/>
  <c r="AK88" i="500"/>
  <c r="AK103" i="500"/>
  <c r="N88" i="500"/>
  <c r="N87" i="500"/>
  <c r="N86" i="500"/>
  <c r="AB85" i="500"/>
  <c r="N85" i="500"/>
  <c r="N84" i="500"/>
  <c r="AB83" i="500"/>
  <c r="AB103" i="500" s="1"/>
  <c r="N83" i="500"/>
  <c r="N82" i="500"/>
  <c r="H82" i="500"/>
  <c r="AC81" i="500"/>
  <c r="N81" i="500"/>
  <c r="I68" i="500"/>
  <c r="H68" i="500"/>
  <c r="H66" i="500"/>
  <c r="AY65" i="500"/>
  <c r="AX65" i="500"/>
  <c r="AW65" i="500"/>
  <c r="AV65" i="500"/>
  <c r="AU65" i="500"/>
  <c r="AT65" i="500"/>
  <c r="AS65" i="500"/>
  <c r="AR65" i="500"/>
  <c r="AQ65" i="500"/>
  <c r="AP65" i="500"/>
  <c r="AO65" i="500"/>
  <c r="AN65" i="500"/>
  <c r="AM65" i="500"/>
  <c r="AL65" i="500"/>
  <c r="AK65" i="500"/>
  <c r="AI65" i="500"/>
  <c r="AH65" i="500"/>
  <c r="AG65" i="500"/>
  <c r="AF65" i="500"/>
  <c r="AE65" i="500"/>
  <c r="AD65" i="500"/>
  <c r="AA65" i="500"/>
  <c r="Z65" i="500"/>
  <c r="Y65" i="500"/>
  <c r="X65" i="500"/>
  <c r="W65" i="500"/>
  <c r="V65" i="500"/>
  <c r="U65" i="500"/>
  <c r="T65" i="500"/>
  <c r="N65" i="500"/>
  <c r="N64" i="500"/>
  <c r="N63" i="500"/>
  <c r="N62" i="500"/>
  <c r="H62" i="500"/>
  <c r="N61" i="500"/>
  <c r="N60" i="500"/>
  <c r="AC59" i="500"/>
  <c r="N59" i="500"/>
  <c r="N58" i="500"/>
  <c r="AB57" i="500"/>
  <c r="AB65" i="500"/>
  <c r="N57" i="500"/>
  <c r="N56" i="500"/>
  <c r="N55" i="500"/>
  <c r="AC54" i="500"/>
  <c r="N54" i="500"/>
  <c r="N53" i="500"/>
  <c r="N52" i="500"/>
  <c r="AC51" i="500"/>
  <c r="N51" i="500"/>
  <c r="N50" i="500"/>
  <c r="N49" i="500"/>
  <c r="AC48" i="500"/>
  <c r="N48" i="500"/>
  <c r="N47" i="500"/>
  <c r="N46" i="500"/>
  <c r="AC45" i="500"/>
  <c r="N45" i="500"/>
  <c r="N44" i="500"/>
  <c r="N43" i="500"/>
  <c r="AC42" i="500"/>
  <c r="N42" i="500"/>
  <c r="N41" i="500"/>
  <c r="H41" i="500"/>
  <c r="AC40" i="500"/>
  <c r="N40" i="500"/>
  <c r="AJ39" i="500"/>
  <c r="AJ65" i="500" s="1"/>
  <c r="N39" i="500"/>
  <c r="AC38" i="500"/>
  <c r="AC65" i="500" s="1"/>
  <c r="N38" i="500"/>
  <c r="L31" i="500"/>
  <c r="I25" i="500"/>
  <c r="H25" i="500"/>
  <c r="H23" i="500"/>
  <c r="AY22" i="500"/>
  <c r="AX22" i="500"/>
  <c r="AW22" i="500"/>
  <c r="AV22" i="500"/>
  <c r="AT22" i="500"/>
  <c r="AS22" i="500"/>
  <c r="AR22" i="500"/>
  <c r="AQ22" i="500"/>
  <c r="AP22" i="500"/>
  <c r="AO22" i="500"/>
  <c r="AN22" i="500"/>
  <c r="AM22" i="500"/>
  <c r="AL22" i="500"/>
  <c r="AK22" i="500"/>
  <c r="AJ22" i="500"/>
  <c r="AI22" i="500"/>
  <c r="AH22" i="500"/>
  <c r="AG22" i="500"/>
  <c r="AF22" i="500"/>
  <c r="AE22" i="500"/>
  <c r="AD22" i="500"/>
  <c r="AA22" i="500"/>
  <c r="Z22" i="500"/>
  <c r="Y22" i="500"/>
  <c r="X22" i="500"/>
  <c r="W22" i="500"/>
  <c r="V22" i="500"/>
  <c r="U22" i="500"/>
  <c r="N22" i="500"/>
  <c r="N21" i="500"/>
  <c r="N20" i="500"/>
  <c r="H20" i="500"/>
  <c r="AB20" i="500" s="1"/>
  <c r="AB19" i="500"/>
  <c r="N19" i="500"/>
  <c r="AB18" i="500"/>
  <c r="AB22" i="500" s="1"/>
  <c r="N18" i="500"/>
  <c r="AC17" i="500"/>
  <c r="N17" i="500"/>
  <c r="N16" i="500"/>
  <c r="AC15" i="500"/>
  <c r="N15" i="500"/>
  <c r="N14" i="500"/>
  <c r="H14" i="500"/>
  <c r="AU14" i="500" s="1"/>
  <c r="T13" i="500"/>
  <c r="T22" i="500" s="1"/>
  <c r="N13" i="500"/>
  <c r="N12" i="500"/>
  <c r="AC11" i="500"/>
  <c r="AC22" i="500"/>
  <c r="N11" i="500"/>
  <c r="N10" i="500"/>
  <c r="H10" i="500"/>
  <c r="N9" i="500"/>
  <c r="H389" i="461"/>
  <c r="H387" i="461"/>
  <c r="AY386" i="461"/>
  <c r="AX386" i="461"/>
  <c r="AW386" i="461"/>
  <c r="AV386" i="461"/>
  <c r="AU386" i="461"/>
  <c r="AT386" i="461"/>
  <c r="AS386" i="461"/>
  <c r="AR386" i="461"/>
  <c r="AQ386" i="461"/>
  <c r="AO386" i="461"/>
  <c r="AN386" i="461"/>
  <c r="AM386" i="461"/>
  <c r="AL386" i="461"/>
  <c r="AK386" i="461"/>
  <c r="AJ386" i="461"/>
  <c r="AI386" i="461"/>
  <c r="AH386" i="461"/>
  <c r="AG386" i="461"/>
  <c r="AF386" i="461"/>
  <c r="AE386" i="461"/>
  <c r="AD386" i="461"/>
  <c r="AC386" i="461"/>
  <c r="AB386" i="461"/>
  <c r="AA386" i="461"/>
  <c r="X386" i="461"/>
  <c r="W386" i="461"/>
  <c r="V386" i="461"/>
  <c r="U386" i="461"/>
  <c r="N386" i="461"/>
  <c r="N385" i="461"/>
  <c r="N384" i="461"/>
  <c r="H384" i="461"/>
  <c r="Z383" i="461"/>
  <c r="Y383" i="461"/>
  <c r="N383" i="461"/>
  <c r="T382" i="461"/>
  <c r="N382" i="461"/>
  <c r="N381" i="461"/>
  <c r="N380" i="461"/>
  <c r="H380" i="461"/>
  <c r="Z380" i="461" s="1"/>
  <c r="T379" i="461"/>
  <c r="T386" i="461"/>
  <c r="N379" i="461"/>
  <c r="Z378" i="461"/>
  <c r="Y378" i="461"/>
  <c r="N378" i="461"/>
  <c r="N377" i="461"/>
  <c r="Z376" i="461"/>
  <c r="Y376" i="461"/>
  <c r="N376" i="461"/>
  <c r="N375" i="461"/>
  <c r="Z374" i="461"/>
  <c r="Y374" i="461"/>
  <c r="N374" i="461"/>
  <c r="N373" i="461"/>
  <c r="Z372" i="461"/>
  <c r="Y372" i="461"/>
  <c r="N372" i="461"/>
  <c r="N371" i="461"/>
  <c r="H371" i="461"/>
  <c r="H357" i="461"/>
  <c r="AY356" i="461"/>
  <c r="AX356" i="461"/>
  <c r="AW356" i="461"/>
  <c r="AV356" i="461"/>
  <c r="AU356" i="461"/>
  <c r="AT356" i="461"/>
  <c r="AS356" i="461"/>
  <c r="AR356" i="461"/>
  <c r="AQ356" i="461"/>
  <c r="AP356" i="461"/>
  <c r="AO356" i="461"/>
  <c r="AN356" i="461"/>
  <c r="AM356" i="461"/>
  <c r="AL356" i="461"/>
  <c r="AJ356" i="461"/>
  <c r="AI356" i="461"/>
  <c r="AH356" i="461"/>
  <c r="AG356" i="461"/>
  <c r="AF356" i="461"/>
  <c r="AE356" i="461"/>
  <c r="AD356" i="461"/>
  <c r="AA356" i="461"/>
  <c r="Z356" i="461"/>
  <c r="Y356" i="461"/>
  <c r="X356" i="461"/>
  <c r="W356" i="461"/>
  <c r="V356" i="461"/>
  <c r="U356" i="461"/>
  <c r="N356" i="461"/>
  <c r="N355" i="461"/>
  <c r="N354" i="461"/>
  <c r="H354" i="461"/>
  <c r="AC353" i="461"/>
  <c r="AB353" i="461"/>
  <c r="N353" i="461"/>
  <c r="AC352" i="461"/>
  <c r="AB352" i="461"/>
  <c r="N352" i="461"/>
  <c r="AC351" i="461"/>
  <c r="AB351" i="461"/>
  <c r="N351" i="461"/>
  <c r="AC350" i="461"/>
  <c r="AB350" i="461"/>
  <c r="N350" i="461"/>
  <c r="AC349" i="461"/>
  <c r="AB349" i="461"/>
  <c r="N349" i="461"/>
  <c r="AC348" i="461"/>
  <c r="AB348" i="461"/>
  <c r="N348" i="461"/>
  <c r="AC347" i="461"/>
  <c r="AB347" i="461"/>
  <c r="N347" i="461"/>
  <c r="AC346" i="461"/>
  <c r="AB346" i="461"/>
  <c r="N346" i="461"/>
  <c r="AK345" i="461"/>
  <c r="AK356" i="461"/>
  <c r="N345" i="461"/>
  <c r="H332" i="461"/>
  <c r="H330" i="461"/>
  <c r="AY329" i="461"/>
  <c r="AX329" i="461"/>
  <c r="AW329" i="461"/>
  <c r="AV329" i="461"/>
  <c r="AU329" i="461"/>
  <c r="AT329" i="461"/>
  <c r="AS329" i="461"/>
  <c r="AR329" i="461"/>
  <c r="AQ329" i="461"/>
  <c r="AP329" i="461"/>
  <c r="AO329" i="461"/>
  <c r="AN329" i="461"/>
  <c r="AM329" i="461"/>
  <c r="AL329" i="461"/>
  <c r="AK329" i="461"/>
  <c r="AJ329" i="461"/>
  <c r="AI329" i="461"/>
  <c r="AH329" i="461"/>
  <c r="AG329" i="461"/>
  <c r="AF329" i="461"/>
  <c r="AE329" i="461"/>
  <c r="AD329" i="461"/>
  <c r="AC329" i="461"/>
  <c r="AB329" i="461"/>
  <c r="AA329" i="461"/>
  <c r="X329" i="461"/>
  <c r="W329" i="461"/>
  <c r="V329" i="461"/>
  <c r="U329" i="461"/>
  <c r="N329" i="461"/>
  <c r="N328" i="461"/>
  <c r="N327" i="461"/>
  <c r="N326" i="461"/>
  <c r="H326" i="461"/>
  <c r="N325" i="461"/>
  <c r="H325" i="461"/>
  <c r="N324" i="461"/>
  <c r="Z323" i="461"/>
  <c r="N323" i="461"/>
  <c r="N322" i="461"/>
  <c r="Z321" i="461"/>
  <c r="Y321" i="461"/>
  <c r="N321" i="461"/>
  <c r="N320" i="461"/>
  <c r="Z319" i="461"/>
  <c r="N319" i="461"/>
  <c r="N318" i="461"/>
  <c r="Z317" i="461"/>
  <c r="N317" i="461"/>
  <c r="N316" i="461"/>
  <c r="Z315" i="461"/>
  <c r="N315" i="461"/>
  <c r="N314" i="461"/>
  <c r="Z313" i="461"/>
  <c r="N313" i="461"/>
  <c r="N312" i="461"/>
  <c r="H312" i="461"/>
  <c r="T311" i="461"/>
  <c r="N311" i="461"/>
  <c r="T310" i="461"/>
  <c r="N310" i="461"/>
  <c r="H296" i="461"/>
  <c r="AY295" i="461"/>
  <c r="AX295" i="461"/>
  <c r="AW295" i="461"/>
  <c r="AV295" i="461"/>
  <c r="AU295" i="461"/>
  <c r="AT295" i="461"/>
  <c r="AS295" i="461"/>
  <c r="AR295" i="461"/>
  <c r="AQ295" i="461"/>
  <c r="AP295" i="461"/>
  <c r="AO295" i="461"/>
  <c r="AN295" i="461"/>
  <c r="AM295" i="461"/>
  <c r="AL295" i="461"/>
  <c r="AK295" i="461"/>
  <c r="AI295" i="461"/>
  <c r="AH295" i="461"/>
  <c r="AG295" i="461"/>
  <c r="AF295" i="461"/>
  <c r="AE295" i="461"/>
  <c r="AD295" i="461"/>
  <c r="AA295" i="461"/>
  <c r="Z295" i="461"/>
  <c r="Y295" i="461"/>
  <c r="X295" i="461"/>
  <c r="W295" i="461"/>
  <c r="V295" i="461"/>
  <c r="U295" i="461"/>
  <c r="N295" i="461"/>
  <c r="N294" i="461"/>
  <c r="N293" i="461"/>
  <c r="H293" i="461"/>
  <c r="T293" i="461" s="1"/>
  <c r="T295" i="461" s="1"/>
  <c r="AJ292" i="461"/>
  <c r="N292" i="461"/>
  <c r="AC291" i="461"/>
  <c r="AB291" i="461"/>
  <c r="N291" i="461"/>
  <c r="AC290" i="461"/>
  <c r="AB290" i="461"/>
  <c r="N290" i="461"/>
  <c r="AC289" i="461"/>
  <c r="AB289" i="461"/>
  <c r="N289" i="461"/>
  <c r="AC288" i="461"/>
  <c r="AB288" i="461"/>
  <c r="N288" i="461"/>
  <c r="AC287" i="461"/>
  <c r="AC295" i="461"/>
  <c r="AB287" i="461"/>
  <c r="N287" i="461"/>
  <c r="AJ286" i="461"/>
  <c r="AJ295" i="461" s="1"/>
  <c r="N286" i="461"/>
  <c r="AB285" i="461"/>
  <c r="N285" i="461"/>
  <c r="N284" i="461" s="1"/>
  <c r="H272" i="461"/>
  <c r="H270" i="461"/>
  <c r="AY269" i="461"/>
  <c r="AX269" i="461"/>
  <c r="AW269" i="461"/>
  <c r="AV269" i="461"/>
  <c r="AU269" i="461"/>
  <c r="AT269" i="461"/>
  <c r="AS269" i="461"/>
  <c r="AR269" i="461"/>
  <c r="AQ269" i="461"/>
  <c r="AP269" i="461"/>
  <c r="AO269" i="461"/>
  <c r="AN269" i="461"/>
  <c r="AM269" i="461"/>
  <c r="AL269" i="461"/>
  <c r="AJ269" i="461"/>
  <c r="AI269" i="461"/>
  <c r="AH269" i="461"/>
  <c r="AG269" i="461"/>
  <c r="AF269" i="461"/>
  <c r="AE269" i="461"/>
  <c r="AD269" i="461"/>
  <c r="AC269" i="461"/>
  <c r="AA269" i="461"/>
  <c r="Z269" i="461"/>
  <c r="X269" i="461"/>
  <c r="W269" i="461"/>
  <c r="V269" i="461"/>
  <c r="U269" i="461"/>
  <c r="T269" i="461"/>
  <c r="N269" i="461"/>
  <c r="N268" i="461"/>
  <c r="N267" i="461"/>
  <c r="N266" i="461"/>
  <c r="H266" i="461"/>
  <c r="N265" i="461"/>
  <c r="N264" i="461"/>
  <c r="AB263" i="461"/>
  <c r="N263" i="461"/>
  <c r="N262" i="461"/>
  <c r="N261" i="461"/>
  <c r="AB260" i="461"/>
  <c r="N260" i="461"/>
  <c r="N259" i="461"/>
  <c r="N258" i="461"/>
  <c r="AB257" i="461"/>
  <c r="N257" i="461"/>
  <c r="N256" i="461"/>
  <c r="N255" i="461"/>
  <c r="AB254" i="461"/>
  <c r="N254" i="461"/>
  <c r="N253" i="461"/>
  <c r="N252" i="461"/>
  <c r="AB251" i="461"/>
  <c r="N251" i="461"/>
  <c r="N250" i="461"/>
  <c r="H250" i="461"/>
  <c r="N249" i="461"/>
  <c r="AB248" i="461"/>
  <c r="N248" i="461"/>
  <c r="N247" i="461"/>
  <c r="N246" i="461"/>
  <c r="AB245" i="461"/>
  <c r="N245" i="461"/>
  <c r="N244" i="461"/>
  <c r="H244" i="461"/>
  <c r="Y243" i="461"/>
  <c r="N243" i="461"/>
  <c r="AK242" i="461"/>
  <c r="AK269" i="461"/>
  <c r="N242" i="461"/>
  <c r="Y241" i="461"/>
  <c r="Y269" i="461"/>
  <c r="N241" i="461"/>
  <c r="H228" i="461"/>
  <c r="H226" i="461"/>
  <c r="AY225" i="461"/>
  <c r="AX225" i="461"/>
  <c r="AW225" i="461"/>
  <c r="AV225" i="461"/>
  <c r="AU225" i="461"/>
  <c r="AT225" i="461"/>
  <c r="AS225" i="461"/>
  <c r="AR225" i="461"/>
  <c r="AQ225" i="461"/>
  <c r="AP225" i="461"/>
  <c r="AO225" i="461"/>
  <c r="AN225" i="461"/>
  <c r="AM225" i="461"/>
  <c r="AL225" i="461"/>
  <c r="AJ225" i="461"/>
  <c r="AI225" i="461"/>
  <c r="AH225" i="461"/>
  <c r="AG225" i="461"/>
  <c r="AF225" i="461"/>
  <c r="AE225" i="461"/>
  <c r="AD225" i="461"/>
  <c r="AC225" i="461"/>
  <c r="AB225" i="461"/>
  <c r="AA225" i="461"/>
  <c r="Z225" i="461"/>
  <c r="X225" i="461"/>
  <c r="W225" i="461"/>
  <c r="V225" i="461"/>
  <c r="U225" i="461"/>
  <c r="N225" i="461"/>
  <c r="N224" i="461"/>
  <c r="N223" i="461"/>
  <c r="H223" i="461"/>
  <c r="Y223" i="461"/>
  <c r="Y222" i="461"/>
  <c r="N222" i="461"/>
  <c r="T221" i="461"/>
  <c r="T225" i="461" s="1"/>
  <c r="N221" i="461"/>
  <c r="Y220" i="461"/>
  <c r="Y225" i="461" s="1"/>
  <c r="N220" i="461"/>
  <c r="N219" i="461"/>
  <c r="N218" i="461"/>
  <c r="H218" i="461"/>
  <c r="Y217" i="461"/>
  <c r="N217" i="461"/>
  <c r="H201" i="461"/>
  <c r="AY200" i="461"/>
  <c r="AX200" i="461"/>
  <c r="AW200" i="461"/>
  <c r="AV200" i="461"/>
  <c r="AU200" i="461"/>
  <c r="AT200" i="461"/>
  <c r="AS200" i="461"/>
  <c r="AR200" i="461"/>
  <c r="AQ200" i="461"/>
  <c r="AP200" i="461"/>
  <c r="AO200" i="461"/>
  <c r="AN200" i="461"/>
  <c r="AM200" i="461"/>
  <c r="AL200" i="461"/>
  <c r="AJ200" i="461"/>
  <c r="AI200" i="461"/>
  <c r="AH200" i="461"/>
  <c r="AG200" i="461"/>
  <c r="AF200" i="461"/>
  <c r="AE200" i="461"/>
  <c r="AD200" i="461"/>
  <c r="AB200" i="461"/>
  <c r="AA200" i="461"/>
  <c r="Z200" i="461"/>
  <c r="Y200" i="461"/>
  <c r="X200" i="461"/>
  <c r="W200" i="461"/>
  <c r="V200" i="461"/>
  <c r="U200" i="461"/>
  <c r="T200" i="461"/>
  <c r="N200" i="461"/>
  <c r="N199" i="461"/>
  <c r="N198" i="461"/>
  <c r="N197" i="461"/>
  <c r="N196" i="461"/>
  <c r="H196" i="461"/>
  <c r="N195" i="461"/>
  <c r="AC194" i="461"/>
  <c r="N194" i="461"/>
  <c r="N193" i="461"/>
  <c r="AC192" i="461"/>
  <c r="N192" i="461"/>
  <c r="N191" i="461"/>
  <c r="AC190" i="461"/>
  <c r="N190" i="461"/>
  <c r="N189" i="461"/>
  <c r="AC188" i="461"/>
  <c r="N188" i="461"/>
  <c r="N187" i="461"/>
  <c r="AC186" i="461"/>
  <c r="N186" i="461"/>
  <c r="AC185" i="461"/>
  <c r="N185" i="461"/>
  <c r="AC184" i="461"/>
  <c r="N184" i="461"/>
  <c r="N183" i="461"/>
  <c r="H183" i="461"/>
  <c r="AK182" i="461"/>
  <c r="AK200" i="461"/>
  <c r="N182" i="461"/>
  <c r="AY167" i="461"/>
  <c r="AX167" i="461"/>
  <c r="AW167" i="461"/>
  <c r="AV167" i="461"/>
  <c r="AU167" i="461"/>
  <c r="AT167" i="461"/>
  <c r="AS167" i="461"/>
  <c r="AR167" i="461"/>
  <c r="AQ167" i="461"/>
  <c r="AP167" i="461"/>
  <c r="AO167" i="461"/>
  <c r="AN167" i="461"/>
  <c r="AM167" i="461"/>
  <c r="AL167" i="461"/>
  <c r="AK167" i="461"/>
  <c r="AJ167" i="461"/>
  <c r="AI167" i="461"/>
  <c r="AH167" i="461"/>
  <c r="AG167" i="461"/>
  <c r="AF167" i="461"/>
  <c r="AE167" i="461"/>
  <c r="AD167" i="461"/>
  <c r="AB167" i="461"/>
  <c r="AA167" i="461"/>
  <c r="X167" i="461"/>
  <c r="W167" i="461"/>
  <c r="V167" i="461"/>
  <c r="U167" i="461"/>
  <c r="T167" i="461"/>
  <c r="N167" i="461"/>
  <c r="N166" i="461"/>
  <c r="H166" i="461"/>
  <c r="AC165" i="461"/>
  <c r="AC167" i="461" s="1"/>
  <c r="N165" i="461"/>
  <c r="Z164" i="461"/>
  <c r="Z167" i="461"/>
  <c r="Y164" i="461"/>
  <c r="Y167" i="461"/>
  <c r="N164" i="461"/>
  <c r="AC163" i="461"/>
  <c r="N163" i="461"/>
  <c r="N162" i="461" s="1"/>
  <c r="H150" i="461"/>
  <c r="H148" i="461"/>
  <c r="AX147" i="461"/>
  <c r="AW147" i="461"/>
  <c r="AV147" i="461"/>
  <c r="AU147" i="461"/>
  <c r="AT147" i="461"/>
  <c r="AS147" i="461"/>
  <c r="AR147" i="461"/>
  <c r="AQ147" i="461"/>
  <c r="AP147" i="461"/>
  <c r="AO147" i="461"/>
  <c r="AN147" i="461"/>
  <c r="AM147" i="461"/>
  <c r="AL147" i="461"/>
  <c r="AK147" i="461"/>
  <c r="AJ147" i="461"/>
  <c r="AI147" i="461"/>
  <c r="AH147" i="461"/>
  <c r="AG147" i="461"/>
  <c r="AF147" i="461"/>
  <c r="AE147" i="461"/>
  <c r="AD147" i="461"/>
  <c r="AC147" i="461"/>
  <c r="AA147" i="461"/>
  <c r="Z147" i="461"/>
  <c r="X147" i="461"/>
  <c r="W147" i="461"/>
  <c r="V147" i="461"/>
  <c r="U147" i="461"/>
  <c r="T147" i="461"/>
  <c r="N147" i="461"/>
  <c r="N146" i="461"/>
  <c r="N145" i="461"/>
  <c r="H145" i="461"/>
  <c r="AB145" i="461"/>
  <c r="AB144" i="461"/>
  <c r="N144" i="461"/>
  <c r="AB143" i="461"/>
  <c r="N143" i="461"/>
  <c r="N142" i="461"/>
  <c r="N141" i="461"/>
  <c r="H141" i="461"/>
  <c r="Y140" i="461"/>
  <c r="Y147" i="461" s="1"/>
  <c r="N140" i="461"/>
  <c r="AB139" i="461"/>
  <c r="N139" i="461"/>
  <c r="AB138" i="461"/>
  <c r="N138" i="461"/>
  <c r="N137" i="461"/>
  <c r="N134" i="461" s="1"/>
  <c r="N136" i="461"/>
  <c r="H136" i="461"/>
  <c r="AB135" i="461"/>
  <c r="N135" i="461"/>
  <c r="H121" i="461"/>
  <c r="AX120" i="461"/>
  <c r="AW120" i="461"/>
  <c r="AV120" i="461"/>
  <c r="AU120" i="461"/>
  <c r="AT120" i="461"/>
  <c r="AS120" i="461"/>
  <c r="AR120" i="461"/>
  <c r="AQ120" i="461"/>
  <c r="AP120" i="461"/>
  <c r="AO120" i="461"/>
  <c r="AN120" i="461"/>
  <c r="AM120" i="461"/>
  <c r="AL120" i="461"/>
  <c r="AJ120" i="461"/>
  <c r="AI120" i="461"/>
  <c r="AH120" i="461"/>
  <c r="AG120" i="461"/>
  <c r="AF120" i="461"/>
  <c r="AE120" i="461"/>
  <c r="AD120" i="461"/>
  <c r="AC120" i="461"/>
  <c r="AA120" i="461"/>
  <c r="Z120" i="461"/>
  <c r="Y120" i="461"/>
  <c r="X120" i="461"/>
  <c r="W120" i="461"/>
  <c r="V120" i="461"/>
  <c r="T120" i="461"/>
  <c r="N120" i="461"/>
  <c r="N119" i="461"/>
  <c r="N118" i="461"/>
  <c r="H118" i="461"/>
  <c r="AB117" i="461"/>
  <c r="N117" i="461"/>
  <c r="AK116" i="461"/>
  <c r="AK120" i="461" s="1"/>
  <c r="N116" i="461"/>
  <c r="AB115" i="461"/>
  <c r="N115" i="461"/>
  <c r="AB114" i="461"/>
  <c r="N114" i="461"/>
  <c r="AB113" i="461"/>
  <c r="N113" i="461"/>
  <c r="AB112" i="461"/>
  <c r="N112" i="461"/>
  <c r="AY111" i="461"/>
  <c r="AY120" i="461" s="1"/>
  <c r="N111" i="461"/>
  <c r="AB110" i="461"/>
  <c r="N110" i="461"/>
  <c r="AB109" i="461"/>
  <c r="AB120" i="461"/>
  <c r="N109" i="461"/>
  <c r="N108" i="461" s="1"/>
  <c r="H96" i="461"/>
  <c r="H94" i="461"/>
  <c r="AX93" i="461"/>
  <c r="AW93" i="461"/>
  <c r="AV93" i="461"/>
  <c r="AU93" i="461"/>
  <c r="AT93" i="461"/>
  <c r="AS93" i="461"/>
  <c r="AQ93" i="461"/>
  <c r="AP93" i="461"/>
  <c r="AO93" i="461"/>
  <c r="AN93" i="461"/>
  <c r="AM93" i="461"/>
  <c r="AL93" i="461"/>
  <c r="AK93" i="461"/>
  <c r="AJ93" i="461"/>
  <c r="AI93" i="461"/>
  <c r="AH93" i="461"/>
  <c r="AG93" i="461"/>
  <c r="AF93" i="461"/>
  <c r="AE93" i="461"/>
  <c r="AD93" i="461"/>
  <c r="Z93" i="461"/>
  <c r="Y93" i="461"/>
  <c r="X93" i="461"/>
  <c r="W93" i="461"/>
  <c r="V93" i="461"/>
  <c r="U93" i="461"/>
  <c r="T93" i="461"/>
  <c r="N93" i="461"/>
  <c r="N92" i="461"/>
  <c r="N91" i="461"/>
  <c r="N90" i="461"/>
  <c r="H90" i="461"/>
  <c r="N89" i="461"/>
  <c r="H89" i="461"/>
  <c r="N88" i="461"/>
  <c r="H88" i="461"/>
  <c r="H91" i="461" s="1"/>
  <c r="H92" i="461" s="1"/>
  <c r="N87" i="461"/>
  <c r="N86" i="461"/>
  <c r="AC85" i="461"/>
  <c r="AB85" i="461"/>
  <c r="N85" i="461"/>
  <c r="N84" i="461"/>
  <c r="N83" i="461"/>
  <c r="AC82" i="461"/>
  <c r="AB82" i="461"/>
  <c r="N82" i="461"/>
  <c r="N81" i="461"/>
  <c r="N80" i="461"/>
  <c r="AB79" i="461"/>
  <c r="N79" i="461"/>
  <c r="N78" i="461"/>
  <c r="H78" i="461"/>
  <c r="AY77" i="461"/>
  <c r="AY93" i="461"/>
  <c r="N77" i="461"/>
  <c r="AA76" i="461"/>
  <c r="AA93" i="461" s="1"/>
  <c r="N76" i="461"/>
  <c r="AR75" i="461"/>
  <c r="AR93" i="461"/>
  <c r="N75" i="461"/>
  <c r="H62" i="461"/>
  <c r="H60" i="461"/>
  <c r="AY59" i="461"/>
  <c r="AX59" i="461"/>
  <c r="AW59" i="461"/>
  <c r="AV59" i="461"/>
  <c r="AU59" i="461"/>
  <c r="AT59" i="461"/>
  <c r="AS59" i="461"/>
  <c r="AR59" i="461"/>
  <c r="AQ59" i="461"/>
  <c r="AP59" i="461"/>
  <c r="AO59" i="461"/>
  <c r="AN59" i="461"/>
  <c r="AM59" i="461"/>
  <c r="AL59" i="461"/>
  <c r="AI59" i="461"/>
  <c r="AH59" i="461"/>
  <c r="AG59" i="461"/>
  <c r="AF59" i="461"/>
  <c r="AE59" i="461"/>
  <c r="AD59" i="461"/>
  <c r="AA59" i="461"/>
  <c r="Z59" i="461"/>
  <c r="Y59" i="461"/>
  <c r="X59" i="461"/>
  <c r="W59" i="461"/>
  <c r="V59" i="461"/>
  <c r="U59" i="461"/>
  <c r="T59" i="461"/>
  <c r="N59" i="461"/>
  <c r="N58" i="461"/>
  <c r="N57" i="461"/>
  <c r="H57" i="461"/>
  <c r="AB57" i="461" s="1"/>
  <c r="AC56" i="461"/>
  <c r="AC59" i="461" s="1"/>
  <c r="N56" i="461"/>
  <c r="AB55" i="461"/>
  <c r="N55" i="461"/>
  <c r="AB54" i="461"/>
  <c r="N54" i="461"/>
  <c r="AB53" i="461"/>
  <c r="N53" i="461"/>
  <c r="AJ52" i="461"/>
  <c r="AJ59" i="461"/>
  <c r="N52" i="461"/>
  <c r="AB51" i="461"/>
  <c r="N51" i="461"/>
  <c r="N50" i="461"/>
  <c r="H50" i="461"/>
  <c r="AK49" i="461"/>
  <c r="AK59" i="461" s="1"/>
  <c r="N49" i="461"/>
  <c r="AB48" i="461"/>
  <c r="N48" i="461"/>
  <c r="H35" i="461"/>
  <c r="H33" i="461"/>
  <c r="AY32" i="461"/>
  <c r="AX32" i="461"/>
  <c r="AW32" i="461"/>
  <c r="AV32" i="461"/>
  <c r="AU32" i="461"/>
  <c r="AT32" i="461"/>
  <c r="AS32" i="461"/>
  <c r="AR32" i="461"/>
  <c r="AQ32" i="461"/>
  <c r="AO32" i="461"/>
  <c r="AN32" i="461"/>
  <c r="AM32" i="461"/>
  <c r="AL32" i="461"/>
  <c r="AK32" i="461"/>
  <c r="AJ32" i="461"/>
  <c r="AI32" i="461"/>
  <c r="AH32" i="461"/>
  <c r="AG32" i="461"/>
  <c r="AF32" i="461"/>
  <c r="AE32" i="461"/>
  <c r="AD32" i="461"/>
  <c r="AB32" i="461"/>
  <c r="AA32" i="461"/>
  <c r="Z32" i="461"/>
  <c r="Y32" i="461"/>
  <c r="X32" i="461"/>
  <c r="W32" i="461"/>
  <c r="V32" i="461"/>
  <c r="U32" i="461"/>
  <c r="T32" i="461"/>
  <c r="N32" i="461"/>
  <c r="N31" i="461"/>
  <c r="N30" i="461"/>
  <c r="N29" i="461"/>
  <c r="N28" i="461"/>
  <c r="H28" i="461"/>
  <c r="N27" i="461"/>
  <c r="AC26" i="461"/>
  <c r="N26" i="461"/>
  <c r="N25" i="461"/>
  <c r="AC24" i="461"/>
  <c r="N24" i="461"/>
  <c r="AC23" i="461"/>
  <c r="N23" i="461"/>
  <c r="N22" i="461"/>
  <c r="AC21" i="461"/>
  <c r="N21" i="461"/>
  <c r="N20" i="461"/>
  <c r="AC19" i="461"/>
  <c r="N19" i="461"/>
  <c r="AC18" i="461"/>
  <c r="N18" i="461"/>
  <c r="AC17" i="461"/>
  <c r="N17" i="461"/>
  <c r="N16" i="461"/>
  <c r="AC15" i="461"/>
  <c r="N15" i="461"/>
  <c r="N14" i="461"/>
  <c r="AC13" i="461"/>
  <c r="N13" i="461"/>
  <c r="AC12" i="461"/>
  <c r="AC32" i="461" s="1"/>
  <c r="N12" i="461"/>
  <c r="N11" i="461"/>
  <c r="H11" i="461"/>
  <c r="H31" i="461" s="1"/>
  <c r="AP10" i="461"/>
  <c r="AP32" i="461"/>
  <c r="N10" i="461"/>
  <c r="N9" i="461" s="1"/>
  <c r="CE849" i="397"/>
  <c r="CD849" i="397"/>
  <c r="CC849" i="397"/>
  <c r="CB849" i="397"/>
  <c r="CA849" i="397"/>
  <c r="BZ849" i="397"/>
  <c r="BE849" i="397"/>
  <c r="BF849" i="397" s="1"/>
  <c r="CG849" i="397"/>
  <c r="A849" i="397"/>
  <c r="CE848" i="397"/>
  <c r="CD848" i="397"/>
  <c r="CC848" i="397"/>
  <c r="CB848" i="397"/>
  <c r="CA848" i="397"/>
  <c r="BZ848" i="397"/>
  <c r="BE848" i="397"/>
  <c r="BF848" i="397" s="1"/>
  <c r="CG848" i="397" s="1"/>
  <c r="A848" i="397"/>
  <c r="CE847" i="397"/>
  <c r="CD847" i="397"/>
  <c r="CC847" i="397"/>
  <c r="CF847" i="397" s="1"/>
  <c r="CH847" i="397" s="1"/>
  <c r="CB847" i="397"/>
  <c r="CA847" i="397"/>
  <c r="BZ847" i="397"/>
  <c r="BE847" i="397"/>
  <c r="BF847" i="397" s="1"/>
  <c r="CG847" i="397"/>
  <c r="Q847" i="397"/>
  <c r="A847" i="397"/>
  <c r="CE846" i="397"/>
  <c r="CF846" i="397" s="1"/>
  <c r="CH846" i="397" s="1"/>
  <c r="CD846" i="397"/>
  <c r="CC846" i="397"/>
  <c r="CB846" i="397"/>
  <c r="CA846" i="397"/>
  <c r="BZ846" i="397"/>
  <c r="BE846" i="397"/>
  <c r="BF846" i="397" s="1"/>
  <c r="CG846" i="397" s="1"/>
  <c r="Q846" i="397"/>
  <c r="A846" i="397"/>
  <c r="CE845" i="397"/>
  <c r="CD845" i="397"/>
  <c r="CC845" i="397"/>
  <c r="CB845" i="397"/>
  <c r="CA845" i="397"/>
  <c r="BZ845" i="397"/>
  <c r="BE845" i="397"/>
  <c r="BF845" i="397" s="1"/>
  <c r="CG845" i="397" s="1"/>
  <c r="A845" i="397"/>
  <c r="CE844" i="397"/>
  <c r="CD844" i="397"/>
  <c r="CC844" i="397"/>
  <c r="CB844" i="397"/>
  <c r="CA844" i="397"/>
  <c r="BZ844" i="397"/>
  <c r="BE844" i="397"/>
  <c r="BF844" i="397" s="1"/>
  <c r="CG844" i="397" s="1"/>
  <c r="Q844" i="397"/>
  <c r="A844" i="397"/>
  <c r="CE843" i="397"/>
  <c r="CD843" i="397"/>
  <c r="CC843" i="397"/>
  <c r="CB843" i="397"/>
  <c r="CF843" i="397" s="1"/>
  <c r="CH843" i="397" s="1"/>
  <c r="CA843" i="397"/>
  <c r="BZ843" i="397"/>
  <c r="BE843" i="397"/>
  <c r="BF843" i="397"/>
  <c r="CG843" i="397" s="1"/>
  <c r="Q843" i="397"/>
  <c r="A843" i="397"/>
  <c r="CE842" i="397"/>
  <c r="CD842" i="397"/>
  <c r="CC842" i="397"/>
  <c r="CB842" i="397"/>
  <c r="CA842" i="397"/>
  <c r="CF842" i="397" s="1"/>
  <c r="CH842" i="397" s="1"/>
  <c r="BZ842" i="397"/>
  <c r="BE842" i="397"/>
  <c r="BF842" i="397"/>
  <c r="CG842" i="397"/>
  <c r="Q842" i="397"/>
  <c r="A842" i="397"/>
  <c r="CE841" i="397"/>
  <c r="CD841" i="397"/>
  <c r="CC841" i="397"/>
  <c r="CB841" i="397"/>
  <c r="CA841" i="397"/>
  <c r="BZ841" i="397"/>
  <c r="BE841" i="397"/>
  <c r="BF841" i="397" s="1"/>
  <c r="CG841" i="397" s="1"/>
  <c r="Q841" i="397"/>
  <c r="A841" i="397"/>
  <c r="CE840" i="397"/>
  <c r="CD840" i="397"/>
  <c r="CC840" i="397"/>
  <c r="CB840" i="397"/>
  <c r="CF840" i="397" s="1"/>
  <c r="CH840" i="397" s="1"/>
  <c r="CA840" i="397"/>
  <c r="BZ840" i="397"/>
  <c r="BE840" i="397"/>
  <c r="BF840" i="397" s="1"/>
  <c r="CG840" i="397"/>
  <c r="Q840" i="397"/>
  <c r="A840" i="397"/>
  <c r="CE839" i="397"/>
  <c r="CD839" i="397"/>
  <c r="CC839" i="397"/>
  <c r="CB839" i="397"/>
  <c r="CF839" i="397" s="1"/>
  <c r="CH839" i="397" s="1"/>
  <c r="CA839" i="397"/>
  <c r="BZ839" i="397"/>
  <c r="BE839" i="397"/>
  <c r="BF839" i="397" s="1"/>
  <c r="CG839" i="397" s="1"/>
  <c r="Q839" i="397"/>
  <c r="A839" i="397"/>
  <c r="CE838" i="397"/>
  <c r="CD838" i="397"/>
  <c r="CC838" i="397"/>
  <c r="CB838" i="397"/>
  <c r="CA838" i="397"/>
  <c r="BZ838" i="397"/>
  <c r="BE838" i="397"/>
  <c r="BF838" i="397" s="1"/>
  <c r="CG838" i="397" s="1"/>
  <c r="Q838" i="397"/>
  <c r="A838" i="397"/>
  <c r="CE837" i="397"/>
  <c r="CD837" i="397"/>
  <c r="CC837" i="397"/>
  <c r="CB837" i="397"/>
  <c r="CA837" i="397"/>
  <c r="BZ837" i="397"/>
  <c r="BE837" i="397"/>
  <c r="BF837" i="397"/>
  <c r="CG837" i="397" s="1"/>
  <c r="Q837" i="397"/>
  <c r="A837" i="397"/>
  <c r="CE836" i="397"/>
  <c r="CD836" i="397"/>
  <c r="CC836" i="397"/>
  <c r="CB836" i="397"/>
  <c r="CA836" i="397"/>
  <c r="BZ836" i="397"/>
  <c r="BE836" i="397"/>
  <c r="BF836" i="397" s="1"/>
  <c r="CG836" i="397" s="1"/>
  <c r="CH836" i="397" s="1"/>
  <c r="Q836" i="397"/>
  <c r="A836" i="397"/>
  <c r="CE835" i="397"/>
  <c r="CD835" i="397"/>
  <c r="CC835" i="397"/>
  <c r="CB835" i="397"/>
  <c r="CA835" i="397"/>
  <c r="BZ835" i="397"/>
  <c r="BE835" i="397"/>
  <c r="BF835" i="397"/>
  <c r="CG835" i="397" s="1"/>
  <c r="A835" i="397"/>
  <c r="CE834" i="397"/>
  <c r="CD834" i="397"/>
  <c r="CC834" i="397"/>
  <c r="CB834" i="397"/>
  <c r="CA834" i="397"/>
  <c r="BZ834" i="397"/>
  <c r="BE834" i="397"/>
  <c r="BF834" i="397"/>
  <c r="CG834" i="397" s="1"/>
  <c r="A834" i="397"/>
  <c r="CE833" i="397"/>
  <c r="CD833" i="397"/>
  <c r="CC833" i="397"/>
  <c r="CB833" i="397"/>
  <c r="CA833" i="397"/>
  <c r="BZ833" i="397"/>
  <c r="BE833" i="397"/>
  <c r="BF833" i="397"/>
  <c r="CG833" i="397" s="1"/>
  <c r="A833" i="397"/>
  <c r="CE832" i="397"/>
  <c r="CD832" i="397"/>
  <c r="CC832" i="397"/>
  <c r="CB832" i="397"/>
  <c r="CA832" i="397"/>
  <c r="BZ832" i="397"/>
  <c r="CF832" i="397" s="1"/>
  <c r="CH832" i="397" s="1"/>
  <c r="BE832" i="397"/>
  <c r="BF832" i="397"/>
  <c r="CG832" i="397" s="1"/>
  <c r="A832" i="397"/>
  <c r="CE831" i="397"/>
  <c r="CD831" i="397"/>
  <c r="CC831" i="397"/>
  <c r="CB831" i="397"/>
  <c r="CA831" i="397"/>
  <c r="BZ831" i="397"/>
  <c r="BE831" i="397"/>
  <c r="BF831" i="397"/>
  <c r="CG831" i="397"/>
  <c r="A831" i="397"/>
  <c r="CE830" i="397"/>
  <c r="CD830" i="397"/>
  <c r="CC830" i="397"/>
  <c r="CB830" i="397"/>
  <c r="CA830" i="397"/>
  <c r="BZ830" i="397"/>
  <c r="BE830" i="397"/>
  <c r="BF830" i="397"/>
  <c r="CG830" i="397" s="1"/>
  <c r="A830" i="397"/>
  <c r="CE829" i="397"/>
  <c r="CD829" i="397"/>
  <c r="CC829" i="397"/>
  <c r="CB829" i="397"/>
  <c r="CA829" i="397"/>
  <c r="BZ829" i="397"/>
  <c r="BE829" i="397"/>
  <c r="BF829" i="397" s="1"/>
  <c r="CG829" i="397" s="1"/>
  <c r="A829" i="397"/>
  <c r="CE828" i="397"/>
  <c r="CD828" i="397"/>
  <c r="CF828" i="397" s="1"/>
  <c r="CH828" i="397" s="1"/>
  <c r="CC828" i="397"/>
  <c r="CB828" i="397"/>
  <c r="CA828" i="397"/>
  <c r="BZ828" i="397"/>
  <c r="BE828" i="397"/>
  <c r="BF828" i="397"/>
  <c r="CG828" i="397" s="1"/>
  <c r="A828" i="397"/>
  <c r="CE827" i="397"/>
  <c r="CD827" i="397"/>
  <c r="CC827" i="397"/>
  <c r="CB827" i="397"/>
  <c r="CA827" i="397"/>
  <c r="BZ827" i="397"/>
  <c r="CF827" i="397" s="1"/>
  <c r="CH827" i="397" s="1"/>
  <c r="BE827" i="397"/>
  <c r="BF827" i="397" s="1"/>
  <c r="CG827" i="397" s="1"/>
  <c r="A827" i="397"/>
  <c r="CE826" i="397"/>
  <c r="CD826" i="397"/>
  <c r="CC826" i="397"/>
  <c r="CB826" i="397"/>
  <c r="CF826" i="397" s="1"/>
  <c r="CH826" i="397" s="1"/>
  <c r="CA826" i="397"/>
  <c r="BZ826" i="397"/>
  <c r="BE826" i="397"/>
  <c r="BF826" i="397"/>
  <c r="CG826" i="397" s="1"/>
  <c r="A826" i="397"/>
  <c r="CE825" i="397"/>
  <c r="CD825" i="397"/>
  <c r="CC825" i="397"/>
  <c r="CB825" i="397"/>
  <c r="CA825" i="397"/>
  <c r="BZ825" i="397"/>
  <c r="BE825" i="397"/>
  <c r="BF825" i="397" s="1"/>
  <c r="CG825" i="397" s="1"/>
  <c r="A825" i="397"/>
  <c r="CE824" i="397"/>
  <c r="CD824" i="397"/>
  <c r="CC824" i="397"/>
  <c r="CB824" i="397"/>
  <c r="CA824" i="397"/>
  <c r="BZ824" i="397"/>
  <c r="BE824" i="397"/>
  <c r="BF824" i="397"/>
  <c r="CG824" i="397" s="1"/>
  <c r="A824" i="397"/>
  <c r="CE823" i="397"/>
  <c r="CD823" i="397"/>
  <c r="CC823" i="397"/>
  <c r="CB823" i="397"/>
  <c r="CA823" i="397"/>
  <c r="CF823" i="397" s="1"/>
  <c r="CH823" i="397" s="1"/>
  <c r="BZ823" i="397"/>
  <c r="BE823" i="397"/>
  <c r="BF823" i="397" s="1"/>
  <c r="CG823" i="397" s="1"/>
  <c r="A823" i="397"/>
  <c r="CE822" i="397"/>
  <c r="CD822" i="397"/>
  <c r="CC822" i="397"/>
  <c r="CB822" i="397"/>
  <c r="CA822" i="397"/>
  <c r="BZ822" i="397"/>
  <c r="BE822" i="397"/>
  <c r="BF822" i="397"/>
  <c r="CG822" i="397" s="1"/>
  <c r="A822" i="397"/>
  <c r="CE821" i="397"/>
  <c r="CD821" i="397"/>
  <c r="CC821" i="397"/>
  <c r="CB821" i="397"/>
  <c r="CA821" i="397"/>
  <c r="BZ821" i="397"/>
  <c r="BE821" i="397"/>
  <c r="BF821" i="397"/>
  <c r="CG821" i="397" s="1"/>
  <c r="A821" i="397"/>
  <c r="CE820" i="397"/>
  <c r="CD820" i="397"/>
  <c r="CC820" i="397"/>
  <c r="CB820" i="397"/>
  <c r="CA820" i="397"/>
  <c r="BZ820" i="397"/>
  <c r="CF820" i="397" s="1"/>
  <c r="CH820" i="397" s="1"/>
  <c r="BE820" i="397"/>
  <c r="BF820" i="397"/>
  <c r="CG820" i="397" s="1"/>
  <c r="A820" i="397"/>
  <c r="CE819" i="397"/>
  <c r="CD819" i="397"/>
  <c r="CC819" i="397"/>
  <c r="CB819" i="397"/>
  <c r="CA819" i="397"/>
  <c r="BZ819" i="397"/>
  <c r="BE819" i="397"/>
  <c r="BF819" i="397" s="1"/>
  <c r="CG819" i="397" s="1"/>
  <c r="A819" i="397"/>
  <c r="CE818" i="397"/>
  <c r="CD818" i="397"/>
  <c r="CC818" i="397"/>
  <c r="CB818" i="397"/>
  <c r="CA818" i="397"/>
  <c r="BZ818" i="397"/>
  <c r="BE818" i="397"/>
  <c r="BF818" i="397"/>
  <c r="CG818" i="397" s="1"/>
  <c r="A818" i="397"/>
  <c r="CE817" i="397"/>
  <c r="CD817" i="397"/>
  <c r="CC817" i="397"/>
  <c r="CB817" i="397"/>
  <c r="CA817" i="397"/>
  <c r="BZ817" i="397"/>
  <c r="BE817" i="397"/>
  <c r="BF817" i="397"/>
  <c r="CG817" i="397" s="1"/>
  <c r="A817" i="397"/>
  <c r="CE816" i="397"/>
  <c r="CD816" i="397"/>
  <c r="CC816" i="397"/>
  <c r="CB816" i="397"/>
  <c r="CA816" i="397"/>
  <c r="BZ816" i="397"/>
  <c r="BE816" i="397"/>
  <c r="BF816" i="397"/>
  <c r="CG816" i="397" s="1"/>
  <c r="A816" i="397"/>
  <c r="CE815" i="397"/>
  <c r="CD815" i="397"/>
  <c r="CC815" i="397"/>
  <c r="CB815" i="397"/>
  <c r="CA815" i="397"/>
  <c r="BZ815" i="397"/>
  <c r="BE815" i="397"/>
  <c r="BF815" i="397" s="1"/>
  <c r="CG815" i="397"/>
  <c r="A815" i="397"/>
  <c r="CE814" i="397"/>
  <c r="CF814" i="397" s="1"/>
  <c r="CH814" i="397" s="1"/>
  <c r="CD814" i="397"/>
  <c r="CC814" i="397"/>
  <c r="CB814" i="397"/>
  <c r="CA814" i="397"/>
  <c r="BZ814" i="397"/>
  <c r="BE814" i="397"/>
  <c r="BF814" i="397"/>
  <c r="CG814" i="397" s="1"/>
  <c r="A814" i="397"/>
  <c r="CE813" i="397"/>
  <c r="CD813" i="397"/>
  <c r="CC813" i="397"/>
  <c r="CB813" i="397"/>
  <c r="CA813" i="397"/>
  <c r="BZ813" i="397"/>
  <c r="BE813" i="397"/>
  <c r="BF813" i="397"/>
  <c r="CG813" i="397" s="1"/>
  <c r="A813" i="397"/>
  <c r="CE812" i="397"/>
  <c r="CD812" i="397"/>
  <c r="CC812" i="397"/>
  <c r="CF812" i="397" s="1"/>
  <c r="CH812" i="397" s="1"/>
  <c r="CB812" i="397"/>
  <c r="CA812" i="397"/>
  <c r="BZ812" i="397"/>
  <c r="BE812" i="397"/>
  <c r="BF812" i="397"/>
  <c r="CG812" i="397" s="1"/>
  <c r="A812" i="397"/>
  <c r="CE811" i="397"/>
  <c r="CD811" i="397"/>
  <c r="CF811" i="397" s="1"/>
  <c r="CH811" i="397" s="1"/>
  <c r="CC811" i="397"/>
  <c r="CB811" i="397"/>
  <c r="CA811" i="397"/>
  <c r="BZ811" i="397"/>
  <c r="BE811" i="397"/>
  <c r="BF811" i="397"/>
  <c r="CG811" i="397"/>
  <c r="A811" i="397"/>
  <c r="CE810" i="397"/>
  <c r="CD810" i="397"/>
  <c r="CC810" i="397"/>
  <c r="CB810" i="397"/>
  <c r="CF810" i="397" s="1"/>
  <c r="CA810" i="397"/>
  <c r="BZ810" i="397"/>
  <c r="BE810" i="397"/>
  <c r="BF810" i="397"/>
  <c r="CG810" i="397" s="1"/>
  <c r="A810" i="397"/>
  <c r="CE809" i="397"/>
  <c r="CD809" i="397"/>
  <c r="CC809" i="397"/>
  <c r="CF809" i="397" s="1"/>
  <c r="CH809" i="397" s="1"/>
  <c r="CB809" i="397"/>
  <c r="CA809" i="397"/>
  <c r="BZ809" i="397"/>
  <c r="BE809" i="397"/>
  <c r="BF809" i="397"/>
  <c r="CG809" i="397"/>
  <c r="A809" i="397"/>
  <c r="CE808" i="397"/>
  <c r="CD808" i="397"/>
  <c r="CC808" i="397"/>
  <c r="CB808" i="397"/>
  <c r="CA808" i="397"/>
  <c r="CF808" i="397" s="1"/>
  <c r="CH808" i="397" s="1"/>
  <c r="BZ808" i="397"/>
  <c r="BE808" i="397"/>
  <c r="BF808" i="397"/>
  <c r="CG808" i="397" s="1"/>
  <c r="A808" i="397"/>
  <c r="CE807" i="397"/>
  <c r="CD807" i="397"/>
  <c r="CC807" i="397"/>
  <c r="CB807" i="397"/>
  <c r="CF807" i="397" s="1"/>
  <c r="CA807" i="397"/>
  <c r="BZ807" i="397"/>
  <c r="BE807" i="397"/>
  <c r="BF807" i="397" s="1"/>
  <c r="CG807" i="397"/>
  <c r="A807" i="397"/>
  <c r="CE806" i="397"/>
  <c r="CD806" i="397"/>
  <c r="CC806" i="397"/>
  <c r="CB806" i="397"/>
  <c r="CA806" i="397"/>
  <c r="BZ806" i="397"/>
  <c r="BE806" i="397"/>
  <c r="BF806" i="397"/>
  <c r="CG806" i="397" s="1"/>
  <c r="A806" i="397"/>
  <c r="CE805" i="397"/>
  <c r="CD805" i="397"/>
  <c r="CC805" i="397"/>
  <c r="CB805" i="397"/>
  <c r="CA805" i="397"/>
  <c r="CF805" i="397" s="1"/>
  <c r="BZ805" i="397"/>
  <c r="BE805" i="397"/>
  <c r="BF805" i="397"/>
  <c r="CG805" i="397" s="1"/>
  <c r="A805" i="397"/>
  <c r="CE804" i="397"/>
  <c r="CF804" i="397" s="1"/>
  <c r="CH804" i="397" s="1"/>
  <c r="CD804" i="397"/>
  <c r="CC804" i="397"/>
  <c r="CB804" i="397"/>
  <c r="CA804" i="397"/>
  <c r="BZ804" i="397"/>
  <c r="BE804" i="397"/>
  <c r="BF804" i="397"/>
  <c r="CG804" i="397" s="1"/>
  <c r="A804" i="397"/>
  <c r="CE803" i="397"/>
  <c r="CD803" i="397"/>
  <c r="CC803" i="397"/>
  <c r="CB803" i="397"/>
  <c r="CA803" i="397"/>
  <c r="BZ803" i="397"/>
  <c r="BE803" i="397"/>
  <c r="BF803" i="397"/>
  <c r="CG803" i="397"/>
  <c r="A803" i="397"/>
  <c r="CE802" i="397"/>
  <c r="CD802" i="397"/>
  <c r="CC802" i="397"/>
  <c r="CB802" i="397"/>
  <c r="CA802" i="397"/>
  <c r="BZ802" i="397"/>
  <c r="BE802" i="397"/>
  <c r="BF802" i="397"/>
  <c r="CG802" i="397" s="1"/>
  <c r="A802" i="397"/>
  <c r="CE801" i="397"/>
  <c r="CD801" i="397"/>
  <c r="CC801" i="397"/>
  <c r="CB801" i="397"/>
  <c r="CA801" i="397"/>
  <c r="BZ801" i="397"/>
  <c r="BE801" i="397"/>
  <c r="BF801" i="397" s="1"/>
  <c r="CG801" i="397" s="1"/>
  <c r="A801" i="397"/>
  <c r="CE800" i="397"/>
  <c r="CD800" i="397"/>
  <c r="CC800" i="397"/>
  <c r="CB800" i="397"/>
  <c r="CA800" i="397"/>
  <c r="BZ800" i="397"/>
  <c r="BE800" i="397"/>
  <c r="BF800" i="397"/>
  <c r="CG800" i="397" s="1"/>
  <c r="A800" i="397"/>
  <c r="CE799" i="397"/>
  <c r="CD799" i="397"/>
  <c r="CC799" i="397"/>
  <c r="CB799" i="397"/>
  <c r="CF799" i="397" s="1"/>
  <c r="CH799" i="397" s="1"/>
  <c r="CA799" i="397"/>
  <c r="BZ799" i="397"/>
  <c r="BE799" i="397"/>
  <c r="BF799" i="397" s="1"/>
  <c r="CG799" i="397" s="1"/>
  <c r="A799" i="397"/>
  <c r="CE798" i="397"/>
  <c r="CD798" i="397"/>
  <c r="CC798" i="397"/>
  <c r="CB798" i="397"/>
  <c r="CA798" i="397"/>
  <c r="BZ798" i="397"/>
  <c r="BE798" i="397"/>
  <c r="BF798" i="397"/>
  <c r="CG798" i="397" s="1"/>
  <c r="A798" i="397"/>
  <c r="CE797" i="397"/>
  <c r="CD797" i="397"/>
  <c r="CC797" i="397"/>
  <c r="CB797" i="397"/>
  <c r="CA797" i="397"/>
  <c r="BZ797" i="397"/>
  <c r="BE797" i="397"/>
  <c r="BF797" i="397" s="1"/>
  <c r="CG797" i="397" s="1"/>
  <c r="A797" i="397"/>
  <c r="CE796" i="397"/>
  <c r="CD796" i="397"/>
  <c r="CC796" i="397"/>
  <c r="CB796" i="397"/>
  <c r="CA796" i="397"/>
  <c r="BZ796" i="397"/>
  <c r="BE796" i="397"/>
  <c r="BF796" i="397"/>
  <c r="CG796" i="397" s="1"/>
  <c r="A796" i="397"/>
  <c r="CE795" i="397"/>
  <c r="CF795" i="397" s="1"/>
  <c r="CD795" i="397"/>
  <c r="CC795" i="397"/>
  <c r="CB795" i="397"/>
  <c r="CA795" i="397"/>
  <c r="BZ795" i="397"/>
  <c r="BE795" i="397"/>
  <c r="BF795" i="397"/>
  <c r="CG795" i="397" s="1"/>
  <c r="Q795" i="397"/>
  <c r="A795" i="397"/>
  <c r="CE794" i="397"/>
  <c r="CD794" i="397"/>
  <c r="CC794" i="397"/>
  <c r="CB794" i="397"/>
  <c r="CA794" i="397"/>
  <c r="BZ794" i="397"/>
  <c r="BE794" i="397"/>
  <c r="BF794" i="397" s="1"/>
  <c r="CG794" i="397"/>
  <c r="Q794" i="397"/>
  <c r="A794" i="397"/>
  <c r="CE793" i="397"/>
  <c r="CD793" i="397"/>
  <c r="CC793" i="397"/>
  <c r="CB793" i="397"/>
  <c r="CA793" i="397"/>
  <c r="BZ793" i="397"/>
  <c r="BE793" i="397"/>
  <c r="BF793" i="397" s="1"/>
  <c r="CG793" i="397" s="1"/>
  <c r="Q793" i="397"/>
  <c r="A793" i="397"/>
  <c r="CE792" i="397"/>
  <c r="CD792" i="397"/>
  <c r="CC792" i="397"/>
  <c r="CB792" i="397"/>
  <c r="CA792" i="397"/>
  <c r="BZ792" i="397"/>
  <c r="BE792" i="397"/>
  <c r="BF792" i="397" s="1"/>
  <c r="CG792" i="397" s="1"/>
  <c r="Q792" i="397"/>
  <c r="A792" i="397"/>
  <c r="CE791" i="397"/>
  <c r="CD791" i="397"/>
  <c r="CC791" i="397"/>
  <c r="CB791" i="397"/>
  <c r="CA791" i="397"/>
  <c r="BZ791" i="397"/>
  <c r="BE791" i="397"/>
  <c r="BF791" i="397" s="1"/>
  <c r="CG791" i="397" s="1"/>
  <c r="Q791" i="397"/>
  <c r="A791" i="397"/>
  <c r="CE790" i="397"/>
  <c r="CD790" i="397"/>
  <c r="CC790" i="397"/>
  <c r="CB790" i="397"/>
  <c r="CA790" i="397"/>
  <c r="BZ790" i="397"/>
  <c r="CF790" i="397" s="1"/>
  <c r="CH790" i="397" s="1"/>
  <c r="BE790" i="397"/>
  <c r="BF790" i="397"/>
  <c r="CG790" i="397" s="1"/>
  <c r="Q790" i="397"/>
  <c r="A790" i="397"/>
  <c r="CE789" i="397"/>
  <c r="CD789" i="397"/>
  <c r="CC789" i="397"/>
  <c r="CB789" i="397"/>
  <c r="CA789" i="397"/>
  <c r="BZ789" i="397"/>
  <c r="BE789" i="397"/>
  <c r="BF789" i="397"/>
  <c r="CG789" i="397"/>
  <c r="Q789" i="397"/>
  <c r="A789" i="397"/>
  <c r="CE788" i="397"/>
  <c r="CD788" i="397"/>
  <c r="CC788" i="397"/>
  <c r="CB788" i="397"/>
  <c r="CA788" i="397"/>
  <c r="BZ788" i="397"/>
  <c r="BE788" i="397"/>
  <c r="BF788" i="397"/>
  <c r="CG788" i="397"/>
  <c r="A788" i="397"/>
  <c r="CE787" i="397"/>
  <c r="CD787" i="397"/>
  <c r="CC787" i="397"/>
  <c r="CB787" i="397"/>
  <c r="CA787" i="397"/>
  <c r="BZ787" i="397"/>
  <c r="BE787" i="397"/>
  <c r="BF787" i="397"/>
  <c r="CG787" i="397" s="1"/>
  <c r="A787" i="397"/>
  <c r="CE786" i="397"/>
  <c r="CD786" i="397"/>
  <c r="CC786" i="397"/>
  <c r="CB786" i="397"/>
  <c r="CA786" i="397"/>
  <c r="BZ786" i="397"/>
  <c r="CF786" i="397" s="1"/>
  <c r="BE786" i="397"/>
  <c r="BF786" i="397" s="1"/>
  <c r="CG786" i="397" s="1"/>
  <c r="CH786" i="397" s="1"/>
  <c r="A786" i="397"/>
  <c r="CE785" i="397"/>
  <c r="CD785" i="397"/>
  <c r="CC785" i="397"/>
  <c r="CB785" i="397"/>
  <c r="CA785" i="397"/>
  <c r="BZ785" i="397"/>
  <c r="BE785" i="397"/>
  <c r="BF785" i="397"/>
  <c r="CG785" i="397" s="1"/>
  <c r="A785" i="397"/>
  <c r="CE784" i="397"/>
  <c r="CD784" i="397"/>
  <c r="CC784" i="397"/>
  <c r="CB784" i="397"/>
  <c r="CA784" i="397"/>
  <c r="BZ784" i="397"/>
  <c r="BE784" i="397"/>
  <c r="BF784" i="397"/>
  <c r="CG784" i="397" s="1"/>
  <c r="CH784" i="397" s="1"/>
  <c r="A784" i="397"/>
  <c r="CE783" i="397"/>
  <c r="CD783" i="397"/>
  <c r="CC783" i="397"/>
  <c r="CB783" i="397"/>
  <c r="CA783" i="397"/>
  <c r="BZ783" i="397"/>
  <c r="BE783" i="397"/>
  <c r="BF783" i="397"/>
  <c r="CG783" i="397" s="1"/>
  <c r="A783" i="397"/>
  <c r="CE782" i="397"/>
  <c r="CD782" i="397"/>
  <c r="CC782" i="397"/>
  <c r="CB782" i="397"/>
  <c r="CA782" i="397"/>
  <c r="BZ782" i="397"/>
  <c r="BE782" i="397"/>
  <c r="BF782" i="397"/>
  <c r="CG782" i="397"/>
  <c r="Q782" i="397"/>
  <c r="A782" i="397"/>
  <c r="CE781" i="397"/>
  <c r="CD781" i="397"/>
  <c r="CC781" i="397"/>
  <c r="CB781" i="397"/>
  <c r="CA781" i="397"/>
  <c r="BZ781" i="397"/>
  <c r="BE781" i="397"/>
  <c r="BF781" i="397" s="1"/>
  <c r="CG781" i="397" s="1"/>
  <c r="Q781" i="397"/>
  <c r="A781" i="397"/>
  <c r="CE780" i="397"/>
  <c r="CD780" i="397"/>
  <c r="CC780" i="397"/>
  <c r="CB780" i="397"/>
  <c r="CA780" i="397"/>
  <c r="BZ780" i="397"/>
  <c r="BE780" i="397"/>
  <c r="BF780" i="397"/>
  <c r="CG780" i="397"/>
  <c r="A780" i="397"/>
  <c r="CE779" i="397"/>
  <c r="CD779" i="397"/>
  <c r="CF779" i="397" s="1"/>
  <c r="CC779" i="397"/>
  <c r="CB779" i="397"/>
  <c r="CA779" i="397"/>
  <c r="BZ779" i="397"/>
  <c r="BE779" i="397"/>
  <c r="BF779" i="397" s="1"/>
  <c r="CG779" i="397" s="1"/>
  <c r="A779" i="397"/>
  <c r="CE778" i="397"/>
  <c r="CD778" i="397"/>
  <c r="CC778" i="397"/>
  <c r="CB778" i="397"/>
  <c r="CA778" i="397"/>
  <c r="BZ778" i="397"/>
  <c r="BE778" i="397"/>
  <c r="BF778" i="397"/>
  <c r="CG778" i="397" s="1"/>
  <c r="A778" i="397"/>
  <c r="CE777" i="397"/>
  <c r="CD777" i="397"/>
  <c r="CC777" i="397"/>
  <c r="CB777" i="397"/>
  <c r="CA777" i="397"/>
  <c r="BZ777" i="397"/>
  <c r="BE777" i="397"/>
  <c r="BF777" i="397" s="1"/>
  <c r="CG777" i="397"/>
  <c r="A777" i="397"/>
  <c r="CE776" i="397"/>
  <c r="CD776" i="397"/>
  <c r="CC776" i="397"/>
  <c r="CB776" i="397"/>
  <c r="CA776" i="397"/>
  <c r="BZ776" i="397"/>
  <c r="BE776" i="397"/>
  <c r="BF776" i="397" s="1"/>
  <c r="CG776" i="397" s="1"/>
  <c r="A776" i="397"/>
  <c r="CE775" i="397"/>
  <c r="CD775" i="397"/>
  <c r="CC775" i="397"/>
  <c r="CB775" i="397"/>
  <c r="CA775" i="397"/>
  <c r="BZ775" i="397"/>
  <c r="BE775" i="397"/>
  <c r="BF775" i="397" s="1"/>
  <c r="CG775" i="397"/>
  <c r="A775" i="397"/>
  <c r="CE774" i="397"/>
  <c r="CD774" i="397"/>
  <c r="CC774" i="397"/>
  <c r="CB774" i="397"/>
  <c r="CF774" i="397" s="1"/>
  <c r="CH774" i="397" s="1"/>
  <c r="CA774" i="397"/>
  <c r="BZ774" i="397"/>
  <c r="BE774" i="397"/>
  <c r="BF774" i="397"/>
  <c r="CG774" i="397" s="1"/>
  <c r="A774" i="397"/>
  <c r="CE773" i="397"/>
  <c r="CD773" i="397"/>
  <c r="CC773" i="397"/>
  <c r="CB773" i="397"/>
  <c r="CA773" i="397"/>
  <c r="BZ773" i="397"/>
  <c r="BE773" i="397"/>
  <c r="BF773" i="397" s="1"/>
  <c r="CG773" i="397" s="1"/>
  <c r="A773" i="397"/>
  <c r="CE772" i="397"/>
  <c r="CD772" i="397"/>
  <c r="CC772" i="397"/>
  <c r="CB772" i="397"/>
  <c r="CA772" i="397"/>
  <c r="BZ772" i="397"/>
  <c r="CF772" i="397" s="1"/>
  <c r="BE772" i="397"/>
  <c r="BF772" i="397" s="1"/>
  <c r="CG772" i="397" s="1"/>
  <c r="A772" i="397"/>
  <c r="CE771" i="397"/>
  <c r="CD771" i="397"/>
  <c r="CC771" i="397"/>
  <c r="CB771" i="397"/>
  <c r="CA771" i="397"/>
  <c r="BZ771" i="397"/>
  <c r="BE771" i="397"/>
  <c r="BF771" i="397" s="1"/>
  <c r="CG771" i="397"/>
  <c r="CH771" i="397" s="1"/>
  <c r="A771" i="397"/>
  <c r="CE770" i="397"/>
  <c r="CD770" i="397"/>
  <c r="CC770" i="397"/>
  <c r="CB770" i="397"/>
  <c r="CA770" i="397"/>
  <c r="BZ770" i="397"/>
  <c r="BE770" i="397"/>
  <c r="BF770" i="397" s="1"/>
  <c r="CG770" i="397" s="1"/>
  <c r="A770" i="397"/>
  <c r="CE769" i="397"/>
  <c r="CD769" i="397"/>
  <c r="CC769" i="397"/>
  <c r="CB769" i="397"/>
  <c r="CA769" i="397"/>
  <c r="BZ769" i="397"/>
  <c r="BE769" i="397"/>
  <c r="BF769" i="397" s="1"/>
  <c r="CG769" i="397"/>
  <c r="Q769" i="397"/>
  <c r="A769" i="397"/>
  <c r="CE768" i="397"/>
  <c r="CD768" i="397"/>
  <c r="CC768" i="397"/>
  <c r="CB768" i="397"/>
  <c r="CF768" i="397" s="1"/>
  <c r="CH768" i="397" s="1"/>
  <c r="CA768" i="397"/>
  <c r="BZ768" i="397"/>
  <c r="BE768" i="397"/>
  <c r="BF768" i="397"/>
  <c r="CG768" i="397" s="1"/>
  <c r="A768" i="397"/>
  <c r="CE767" i="397"/>
  <c r="CD767" i="397"/>
  <c r="CC767" i="397"/>
  <c r="CB767" i="397"/>
  <c r="CA767" i="397"/>
  <c r="BZ767" i="397"/>
  <c r="BE767" i="397"/>
  <c r="BF767" i="397"/>
  <c r="CG767" i="397" s="1"/>
  <c r="A767" i="397"/>
  <c r="CE766" i="397"/>
  <c r="CD766" i="397"/>
  <c r="CC766" i="397"/>
  <c r="CB766" i="397"/>
  <c r="CA766" i="397"/>
  <c r="BZ766" i="397"/>
  <c r="CF766" i="397" s="1"/>
  <c r="BE766" i="397"/>
  <c r="BF766" i="397"/>
  <c r="CG766" i="397" s="1"/>
  <c r="A766" i="397"/>
  <c r="CE765" i="397"/>
  <c r="CD765" i="397"/>
  <c r="CC765" i="397"/>
  <c r="CB765" i="397"/>
  <c r="CA765" i="397"/>
  <c r="BZ765" i="397"/>
  <c r="BE765" i="397"/>
  <c r="BF765" i="397"/>
  <c r="CG765" i="397" s="1"/>
  <c r="A765" i="397"/>
  <c r="CE764" i="397"/>
  <c r="CD764" i="397"/>
  <c r="CC764" i="397"/>
  <c r="CB764" i="397"/>
  <c r="CA764" i="397"/>
  <c r="BZ764" i="397"/>
  <c r="BE764" i="397"/>
  <c r="BF764" i="397" s="1"/>
  <c r="CG764" i="397" s="1"/>
  <c r="Q764" i="397"/>
  <c r="A764" i="397"/>
  <c r="CE763" i="397"/>
  <c r="CD763" i="397"/>
  <c r="CC763" i="397"/>
  <c r="CB763" i="397"/>
  <c r="CA763" i="397"/>
  <c r="BZ763" i="397"/>
  <c r="BE763" i="397"/>
  <c r="BF763" i="397" s="1"/>
  <c r="CG763" i="397" s="1"/>
  <c r="A763" i="397"/>
  <c r="CE762" i="397"/>
  <c r="CD762" i="397"/>
  <c r="CC762" i="397"/>
  <c r="CB762" i="397"/>
  <c r="CA762" i="397"/>
  <c r="BZ762" i="397"/>
  <c r="CF762" i="397" s="1"/>
  <c r="BE762" i="397"/>
  <c r="BF762" i="397" s="1"/>
  <c r="CG762" i="397" s="1"/>
  <c r="A762" i="397"/>
  <c r="CE761" i="397"/>
  <c r="CD761" i="397"/>
  <c r="CC761" i="397"/>
  <c r="CF761" i="397" s="1"/>
  <c r="CB761" i="397"/>
  <c r="CA761" i="397"/>
  <c r="BZ761" i="397"/>
  <c r="BE761" i="397"/>
  <c r="BF761" i="397" s="1"/>
  <c r="CG761" i="397" s="1"/>
  <c r="Q761" i="397"/>
  <c r="A761" i="397"/>
  <c r="CE760" i="397"/>
  <c r="CD760" i="397"/>
  <c r="CC760" i="397"/>
  <c r="CB760" i="397"/>
  <c r="CA760" i="397"/>
  <c r="BZ760" i="397"/>
  <c r="BE760" i="397"/>
  <c r="BF760" i="397" s="1"/>
  <c r="CG760" i="397"/>
  <c r="A760" i="397"/>
  <c r="CE759" i="397"/>
  <c r="CD759" i="397"/>
  <c r="CC759" i="397"/>
  <c r="CB759" i="397"/>
  <c r="CA759" i="397"/>
  <c r="BZ759" i="397"/>
  <c r="BE759" i="397"/>
  <c r="BF759" i="397"/>
  <c r="CG759" i="397" s="1"/>
  <c r="A759" i="397"/>
  <c r="CE758" i="397"/>
  <c r="CF758" i="397" s="1"/>
  <c r="CD758" i="397"/>
  <c r="CC758" i="397"/>
  <c r="CB758" i="397"/>
  <c r="CA758" i="397"/>
  <c r="BZ758" i="397"/>
  <c r="BE758" i="397"/>
  <c r="BF758" i="397" s="1"/>
  <c r="CG758" i="397"/>
  <c r="Q758" i="397"/>
  <c r="A758" i="397"/>
  <c r="CE757" i="397"/>
  <c r="CD757" i="397"/>
  <c r="CC757" i="397"/>
  <c r="CB757" i="397"/>
  <c r="CA757" i="397"/>
  <c r="BZ757" i="397"/>
  <c r="BE757" i="397"/>
  <c r="BF757" i="397"/>
  <c r="CG757" i="397" s="1"/>
  <c r="A757" i="397"/>
  <c r="CE756" i="397"/>
  <c r="CD756" i="397"/>
  <c r="CC756" i="397"/>
  <c r="CB756" i="397"/>
  <c r="CA756" i="397"/>
  <c r="BZ756" i="397"/>
  <c r="BE756" i="397"/>
  <c r="BF756" i="397"/>
  <c r="CG756" i="397"/>
  <c r="Q756" i="397"/>
  <c r="A756" i="397"/>
  <c r="CE755" i="397"/>
  <c r="CD755" i="397"/>
  <c r="CC755" i="397"/>
  <c r="CB755" i="397"/>
  <c r="CA755" i="397"/>
  <c r="BZ755" i="397"/>
  <c r="BE755" i="397"/>
  <c r="BF755" i="397" s="1"/>
  <c r="CG755" i="397" s="1"/>
  <c r="A755" i="397"/>
  <c r="CE754" i="397"/>
  <c r="CD754" i="397"/>
  <c r="CC754" i="397"/>
  <c r="CB754" i="397"/>
  <c r="CA754" i="397"/>
  <c r="BZ754" i="397"/>
  <c r="BE754" i="397"/>
  <c r="BF754" i="397"/>
  <c r="CG754" i="397" s="1"/>
  <c r="A754" i="397"/>
  <c r="CE753" i="397"/>
  <c r="CD753" i="397"/>
  <c r="CC753" i="397"/>
  <c r="CB753" i="397"/>
  <c r="CA753" i="397"/>
  <c r="BZ753" i="397"/>
  <c r="BE753" i="397"/>
  <c r="BF753" i="397"/>
  <c r="CG753" i="397" s="1"/>
  <c r="A753" i="397"/>
  <c r="CE752" i="397"/>
  <c r="CD752" i="397"/>
  <c r="CC752" i="397"/>
  <c r="CB752" i="397"/>
  <c r="CA752" i="397"/>
  <c r="BZ752" i="397"/>
  <c r="BE752" i="397"/>
  <c r="BF752" i="397"/>
  <c r="CG752" i="397" s="1"/>
  <c r="A752" i="397"/>
  <c r="CE751" i="397"/>
  <c r="CD751" i="397"/>
  <c r="CC751" i="397"/>
  <c r="CB751" i="397"/>
  <c r="CA751" i="397"/>
  <c r="BZ751" i="397"/>
  <c r="BE751" i="397"/>
  <c r="BF751" i="397" s="1"/>
  <c r="CG751" i="397" s="1"/>
  <c r="Q751" i="397"/>
  <c r="A751" i="397"/>
  <c r="CE750" i="397"/>
  <c r="CD750" i="397"/>
  <c r="CC750" i="397"/>
  <c r="CB750" i="397"/>
  <c r="CA750" i="397"/>
  <c r="BZ750" i="397"/>
  <c r="BE750" i="397"/>
  <c r="BF750" i="397" s="1"/>
  <c r="CG750" i="397" s="1"/>
  <c r="A750" i="397"/>
  <c r="CE749" i="397"/>
  <c r="CD749" i="397"/>
  <c r="CC749" i="397"/>
  <c r="CB749" i="397"/>
  <c r="CA749" i="397"/>
  <c r="BZ749" i="397"/>
  <c r="CF749" i="397" s="1"/>
  <c r="BE749" i="397"/>
  <c r="BF749" i="397"/>
  <c r="CG749" i="397" s="1"/>
  <c r="CH749" i="397" s="1"/>
  <c r="A749" i="397"/>
  <c r="CE748" i="397"/>
  <c r="CD748" i="397"/>
  <c r="CC748" i="397"/>
  <c r="CB748" i="397"/>
  <c r="CA748" i="397"/>
  <c r="BZ748" i="397"/>
  <c r="BE748" i="397"/>
  <c r="BF748" i="397" s="1"/>
  <c r="CG748" i="397" s="1"/>
  <c r="Q748" i="397"/>
  <c r="A748" i="397"/>
  <c r="CE747" i="397"/>
  <c r="CD747" i="397"/>
  <c r="CC747" i="397"/>
  <c r="CB747" i="397"/>
  <c r="CA747" i="397"/>
  <c r="BZ747" i="397"/>
  <c r="CF747" i="397" s="1"/>
  <c r="BE747" i="397"/>
  <c r="BF747" i="397"/>
  <c r="CG747" i="397"/>
  <c r="Q747" i="397"/>
  <c r="A747" i="397"/>
  <c r="CE746" i="397"/>
  <c r="CD746" i="397"/>
  <c r="CC746" i="397"/>
  <c r="CB746" i="397"/>
  <c r="CA746" i="397"/>
  <c r="BZ746" i="397"/>
  <c r="BE746" i="397"/>
  <c r="BF746" i="397" s="1"/>
  <c r="CG746" i="397" s="1"/>
  <c r="Q746" i="397"/>
  <c r="A746" i="397"/>
  <c r="CE745" i="397"/>
  <c r="CD745" i="397"/>
  <c r="CC745" i="397"/>
  <c r="CB745" i="397"/>
  <c r="CA745" i="397"/>
  <c r="BZ745" i="397"/>
  <c r="CF745" i="397" s="1"/>
  <c r="BE745" i="397"/>
  <c r="BF745" i="397"/>
  <c r="CG745" i="397" s="1"/>
  <c r="A745" i="397"/>
  <c r="CE744" i="397"/>
  <c r="CD744" i="397"/>
  <c r="CC744" i="397"/>
  <c r="CB744" i="397"/>
  <c r="CA744" i="397"/>
  <c r="BZ744" i="397"/>
  <c r="BE744" i="397"/>
  <c r="BF744" i="397" s="1"/>
  <c r="CG744" i="397" s="1"/>
  <c r="A744" i="397"/>
  <c r="CE743" i="397"/>
  <c r="CD743" i="397"/>
  <c r="CC743" i="397"/>
  <c r="CB743" i="397"/>
  <c r="CA743" i="397"/>
  <c r="BZ743" i="397"/>
  <c r="BE743" i="397"/>
  <c r="BF743" i="397"/>
  <c r="CG743" i="397"/>
  <c r="A743" i="397"/>
  <c r="CE742" i="397"/>
  <c r="CD742" i="397"/>
  <c r="CC742" i="397"/>
  <c r="CB742" i="397"/>
  <c r="CA742" i="397"/>
  <c r="BZ742" i="397"/>
  <c r="CF742" i="397" s="1"/>
  <c r="BE742" i="397"/>
  <c r="BF742" i="397" s="1"/>
  <c r="CG742" i="397" s="1"/>
  <c r="A742" i="397"/>
  <c r="CE741" i="397"/>
  <c r="CD741" i="397"/>
  <c r="CC741" i="397"/>
  <c r="CB741" i="397"/>
  <c r="CA741" i="397"/>
  <c r="BZ741" i="397"/>
  <c r="BE741" i="397"/>
  <c r="BF741" i="397" s="1"/>
  <c r="CG741" i="397" s="1"/>
  <c r="A741" i="397"/>
  <c r="CE740" i="397"/>
  <c r="CD740" i="397"/>
  <c r="CC740" i="397"/>
  <c r="CB740" i="397"/>
  <c r="CA740" i="397"/>
  <c r="BZ740" i="397"/>
  <c r="CF740" i="397" s="1"/>
  <c r="CH740" i="397" s="1"/>
  <c r="BE740" i="397"/>
  <c r="BF740" i="397"/>
  <c r="CG740" i="397" s="1"/>
  <c r="A740" i="397"/>
  <c r="CE739" i="397"/>
  <c r="CD739" i="397"/>
  <c r="CC739" i="397"/>
  <c r="CB739" i="397"/>
  <c r="CA739" i="397"/>
  <c r="CF739" i="397" s="1"/>
  <c r="BZ739" i="397"/>
  <c r="BE739" i="397"/>
  <c r="BF739" i="397"/>
  <c r="CG739" i="397" s="1"/>
  <c r="A739" i="397"/>
  <c r="CE738" i="397"/>
  <c r="CD738" i="397"/>
  <c r="CC738" i="397"/>
  <c r="CB738" i="397"/>
  <c r="CA738" i="397"/>
  <c r="BZ738" i="397"/>
  <c r="CF738" i="397" s="1"/>
  <c r="BE738" i="397"/>
  <c r="BF738" i="397"/>
  <c r="CG738" i="397" s="1"/>
  <c r="Q738" i="397"/>
  <c r="A738" i="397"/>
  <c r="CE737" i="397"/>
  <c r="CD737" i="397"/>
  <c r="CC737" i="397"/>
  <c r="CB737" i="397"/>
  <c r="CA737" i="397"/>
  <c r="BZ737" i="397"/>
  <c r="BE737" i="397"/>
  <c r="BF737" i="397" s="1"/>
  <c r="CG737" i="397" s="1"/>
  <c r="Q737" i="397"/>
  <c r="A737" i="397"/>
  <c r="CE736" i="397"/>
  <c r="CD736" i="397"/>
  <c r="CC736" i="397"/>
  <c r="CB736" i="397"/>
  <c r="CA736" i="397"/>
  <c r="BZ736" i="397"/>
  <c r="BE736" i="397"/>
  <c r="BF736" i="397" s="1"/>
  <c r="CG736" i="397" s="1"/>
  <c r="Q736" i="397"/>
  <c r="A736" i="397"/>
  <c r="CE735" i="397"/>
  <c r="CD735" i="397"/>
  <c r="CC735" i="397"/>
  <c r="CB735" i="397"/>
  <c r="CA735" i="397"/>
  <c r="BZ735" i="397"/>
  <c r="CF735" i="397" s="1"/>
  <c r="CH735" i="397" s="1"/>
  <c r="BE735" i="397"/>
  <c r="BF735" i="397"/>
  <c r="CG735" i="397" s="1"/>
  <c r="Q735" i="397"/>
  <c r="A735" i="397"/>
  <c r="CE734" i="397"/>
  <c r="CD734" i="397"/>
  <c r="CC734" i="397"/>
  <c r="CB734" i="397"/>
  <c r="CA734" i="397"/>
  <c r="BZ734" i="397"/>
  <c r="CF734" i="397" s="1"/>
  <c r="CH734" i="397" s="1"/>
  <c r="BE734" i="397"/>
  <c r="BF734" i="397"/>
  <c r="CG734" i="397" s="1"/>
  <c r="Q734" i="397"/>
  <c r="A734" i="397"/>
  <c r="CE733" i="397"/>
  <c r="CD733" i="397"/>
  <c r="CC733" i="397"/>
  <c r="CB733" i="397"/>
  <c r="CA733" i="397"/>
  <c r="BZ733" i="397"/>
  <c r="CF733" i="397" s="1"/>
  <c r="CH733" i="397" s="1"/>
  <c r="BE733" i="397"/>
  <c r="BF733" i="397"/>
  <c r="CG733" i="397"/>
  <c r="Q733" i="397"/>
  <c r="A733" i="397"/>
  <c r="CE732" i="397"/>
  <c r="CD732" i="397"/>
  <c r="CC732" i="397"/>
  <c r="CB732" i="397"/>
  <c r="CA732" i="397"/>
  <c r="BZ732" i="397"/>
  <c r="BE732" i="397"/>
  <c r="BF732" i="397"/>
  <c r="CG732" i="397" s="1"/>
  <c r="Q732" i="397"/>
  <c r="A732" i="397"/>
  <c r="CE731" i="397"/>
  <c r="CD731" i="397"/>
  <c r="CC731" i="397"/>
  <c r="CB731" i="397"/>
  <c r="CF731" i="397" s="1"/>
  <c r="CH731" i="397" s="1"/>
  <c r="CA731" i="397"/>
  <c r="BZ731" i="397"/>
  <c r="BE731" i="397"/>
  <c r="BF731" i="397" s="1"/>
  <c r="CG731" i="397"/>
  <c r="Q731" i="397"/>
  <c r="A731" i="397"/>
  <c r="CE730" i="397"/>
  <c r="CD730" i="397"/>
  <c r="CC730" i="397"/>
  <c r="CB730" i="397"/>
  <c r="CA730" i="397"/>
  <c r="BZ730" i="397"/>
  <c r="BE730" i="397"/>
  <c r="BF730" i="397" s="1"/>
  <c r="CG730" i="397" s="1"/>
  <c r="Q730" i="397"/>
  <c r="A730" i="397"/>
  <c r="CE729" i="397"/>
  <c r="CD729" i="397"/>
  <c r="CF729" i="397" s="1"/>
  <c r="CC729" i="397"/>
  <c r="CB729" i="397"/>
  <c r="CA729" i="397"/>
  <c r="BZ729" i="397"/>
  <c r="BE729" i="397"/>
  <c r="BF729" i="397"/>
  <c r="CG729" i="397" s="1"/>
  <c r="Q729" i="397"/>
  <c r="A729" i="397"/>
  <c r="CE728" i="397"/>
  <c r="CD728" i="397"/>
  <c r="CC728" i="397"/>
  <c r="CB728" i="397"/>
  <c r="CA728" i="397"/>
  <c r="BZ728" i="397"/>
  <c r="BE728" i="397"/>
  <c r="BF728" i="397"/>
  <c r="CG728" i="397" s="1"/>
  <c r="Q728" i="397"/>
  <c r="A728" i="397"/>
  <c r="CE727" i="397"/>
  <c r="CD727" i="397"/>
  <c r="CC727" i="397"/>
  <c r="CB727" i="397"/>
  <c r="CA727" i="397"/>
  <c r="BZ727" i="397"/>
  <c r="BE727" i="397"/>
  <c r="BF727" i="397"/>
  <c r="CG727" i="397"/>
  <c r="Q727" i="397"/>
  <c r="A727" i="397"/>
  <c r="CE726" i="397"/>
  <c r="CD726" i="397"/>
  <c r="CC726" i="397"/>
  <c r="CB726" i="397"/>
  <c r="CA726" i="397"/>
  <c r="BZ726" i="397"/>
  <c r="BE726" i="397"/>
  <c r="BF726" i="397" s="1"/>
  <c r="CG726" i="397" s="1"/>
  <c r="Q726" i="397"/>
  <c r="A726" i="397"/>
  <c r="CE725" i="397"/>
  <c r="CD725" i="397"/>
  <c r="CC725" i="397"/>
  <c r="CB725" i="397"/>
  <c r="CA725" i="397"/>
  <c r="BZ725" i="397"/>
  <c r="BE725" i="397"/>
  <c r="BF725" i="397" s="1"/>
  <c r="CG725" i="397"/>
  <c r="Q725" i="397"/>
  <c r="A725" i="397"/>
  <c r="CE724" i="397"/>
  <c r="CD724" i="397"/>
  <c r="CC724" i="397"/>
  <c r="CF724" i="397" s="1"/>
  <c r="CH724" i="397" s="1"/>
  <c r="CB724" i="397"/>
  <c r="CA724" i="397"/>
  <c r="BZ724" i="397"/>
  <c r="BE724" i="397"/>
  <c r="BF724" i="397" s="1"/>
  <c r="CG724" i="397" s="1"/>
  <c r="Q724" i="397"/>
  <c r="A724" i="397"/>
  <c r="CE723" i="397"/>
  <c r="CD723" i="397"/>
  <c r="CC723" i="397"/>
  <c r="CB723" i="397"/>
  <c r="CA723" i="397"/>
  <c r="CF723" i="397" s="1"/>
  <c r="BZ723" i="397"/>
  <c r="BE723" i="397"/>
  <c r="BF723" i="397" s="1"/>
  <c r="CG723" i="397" s="1"/>
  <c r="Q723" i="397"/>
  <c r="A723" i="397"/>
  <c r="CE722" i="397"/>
  <c r="CD722" i="397"/>
  <c r="CC722" i="397"/>
  <c r="CF722" i="397" s="1"/>
  <c r="CH722" i="397" s="1"/>
  <c r="CB722" i="397"/>
  <c r="CA722" i="397"/>
  <c r="BZ722" i="397"/>
  <c r="BE722" i="397"/>
  <c r="BF722" i="397"/>
  <c r="CG722" i="397" s="1"/>
  <c r="Q722" i="397"/>
  <c r="A722" i="397"/>
  <c r="CE721" i="397"/>
  <c r="CD721" i="397"/>
  <c r="CC721" i="397"/>
  <c r="CB721" i="397"/>
  <c r="CA721" i="397"/>
  <c r="BZ721" i="397"/>
  <c r="CF721" i="397" s="1"/>
  <c r="BE721" i="397"/>
  <c r="BF721" i="397"/>
  <c r="CG721" i="397"/>
  <c r="Q721" i="397"/>
  <c r="A721" i="397"/>
  <c r="CE720" i="397"/>
  <c r="CD720" i="397"/>
  <c r="CC720" i="397"/>
  <c r="CB720" i="397"/>
  <c r="CA720" i="397"/>
  <c r="BZ720" i="397"/>
  <c r="BE720" i="397"/>
  <c r="BF720" i="397"/>
  <c r="CG720" i="397" s="1"/>
  <c r="Q720" i="397"/>
  <c r="A720" i="397"/>
  <c r="CE719" i="397"/>
  <c r="CD719" i="397"/>
  <c r="CC719" i="397"/>
  <c r="CB719" i="397"/>
  <c r="CA719" i="397"/>
  <c r="CF719" i="397" s="1"/>
  <c r="BZ719" i="397"/>
  <c r="BE719" i="397"/>
  <c r="BF719" i="397"/>
  <c r="CG719" i="397" s="1"/>
  <c r="Q719" i="397"/>
  <c r="A719" i="397"/>
  <c r="CE718" i="397"/>
  <c r="CD718" i="397"/>
  <c r="CC718" i="397"/>
  <c r="CB718" i="397"/>
  <c r="CA718" i="397"/>
  <c r="BZ718" i="397"/>
  <c r="BE718" i="397"/>
  <c r="BF718" i="397"/>
  <c r="CG718" i="397" s="1"/>
  <c r="Q718" i="397"/>
  <c r="A718" i="397"/>
  <c r="CE717" i="397"/>
  <c r="CD717" i="397"/>
  <c r="CC717" i="397"/>
  <c r="CB717" i="397"/>
  <c r="CA717" i="397"/>
  <c r="BZ717" i="397"/>
  <c r="BE717" i="397"/>
  <c r="BF717" i="397" s="1"/>
  <c r="CG717" i="397" s="1"/>
  <c r="Q717" i="397"/>
  <c r="A717" i="397"/>
  <c r="CE716" i="397"/>
  <c r="CD716" i="397"/>
  <c r="CC716" i="397"/>
  <c r="CB716" i="397"/>
  <c r="CA716" i="397"/>
  <c r="BZ716" i="397"/>
  <c r="BE716" i="397"/>
  <c r="BF716" i="397" s="1"/>
  <c r="CG716" i="397" s="1"/>
  <c r="Q716" i="397"/>
  <c r="A716" i="397"/>
  <c r="CE715" i="397"/>
  <c r="CD715" i="397"/>
  <c r="CC715" i="397"/>
  <c r="CB715" i="397"/>
  <c r="CF715" i="397" s="1"/>
  <c r="CH715" i="397" s="1"/>
  <c r="CA715" i="397"/>
  <c r="BZ715" i="397"/>
  <c r="BE715" i="397"/>
  <c r="BF715" i="397"/>
  <c r="CG715" i="397" s="1"/>
  <c r="Q715" i="397"/>
  <c r="A715" i="397"/>
  <c r="CE714" i="397"/>
  <c r="CD714" i="397"/>
  <c r="CC714" i="397"/>
  <c r="CB714" i="397"/>
  <c r="CA714" i="397"/>
  <c r="BZ714" i="397"/>
  <c r="BE714" i="397"/>
  <c r="BF714" i="397"/>
  <c r="CG714" i="397"/>
  <c r="Q714" i="397"/>
  <c r="A714" i="397"/>
  <c r="CE713" i="397"/>
  <c r="CD713" i="397"/>
  <c r="CC713" i="397"/>
  <c r="CB713" i="397"/>
  <c r="CA713" i="397"/>
  <c r="BZ713" i="397"/>
  <c r="CF713" i="397" s="1"/>
  <c r="CH713" i="397" s="1"/>
  <c r="BE713" i="397"/>
  <c r="BF713" i="397"/>
  <c r="CG713" i="397"/>
  <c r="Q713" i="397"/>
  <c r="A713" i="397"/>
  <c r="CE712" i="397"/>
  <c r="CD712" i="397"/>
  <c r="CC712" i="397"/>
  <c r="CB712" i="397"/>
  <c r="CA712" i="397"/>
  <c r="BZ712" i="397"/>
  <c r="BE712" i="397"/>
  <c r="BF712" i="397" s="1"/>
  <c r="CG712" i="397" s="1"/>
  <c r="Q712" i="397"/>
  <c r="A712" i="397"/>
  <c r="CE711" i="397"/>
  <c r="CD711" i="397"/>
  <c r="CC711" i="397"/>
  <c r="CB711" i="397"/>
  <c r="CA711" i="397"/>
  <c r="BZ711" i="397"/>
  <c r="BE711" i="397"/>
  <c r="BF711" i="397" s="1"/>
  <c r="CG711" i="397" s="1"/>
  <c r="Q711" i="397"/>
  <c r="A711" i="397"/>
  <c r="CE710" i="397"/>
  <c r="CD710" i="397"/>
  <c r="CC710" i="397"/>
  <c r="CB710" i="397"/>
  <c r="CA710" i="397"/>
  <c r="BZ710" i="397"/>
  <c r="BE710" i="397"/>
  <c r="BF710" i="397"/>
  <c r="CG710" i="397" s="1"/>
  <c r="Q710" i="397"/>
  <c r="A710" i="397"/>
  <c r="CE709" i="397"/>
  <c r="CD709" i="397"/>
  <c r="CC709" i="397"/>
  <c r="CB709" i="397"/>
  <c r="CA709" i="397"/>
  <c r="BZ709" i="397"/>
  <c r="BE709" i="397"/>
  <c r="BF709" i="397" s="1"/>
  <c r="CG709" i="397"/>
  <c r="Q709" i="397"/>
  <c r="A709" i="397"/>
  <c r="CE708" i="397"/>
  <c r="CD708" i="397"/>
  <c r="CC708" i="397"/>
  <c r="CB708" i="397"/>
  <c r="CA708" i="397"/>
  <c r="BZ708" i="397"/>
  <c r="BE708" i="397"/>
  <c r="BF708" i="397" s="1"/>
  <c r="CG708" i="397" s="1"/>
  <c r="Q708" i="397"/>
  <c r="A708" i="397"/>
  <c r="CE707" i="397"/>
  <c r="CD707" i="397"/>
  <c r="CC707" i="397"/>
  <c r="CB707" i="397"/>
  <c r="CA707" i="397"/>
  <c r="BZ707" i="397"/>
  <c r="BE707" i="397"/>
  <c r="BF707" i="397" s="1"/>
  <c r="CG707" i="397"/>
  <c r="CH707" i="397" s="1"/>
  <c r="Q707" i="397"/>
  <c r="A707" i="397"/>
  <c r="CE706" i="397"/>
  <c r="CD706" i="397"/>
  <c r="CC706" i="397"/>
  <c r="CB706" i="397"/>
  <c r="CA706" i="397"/>
  <c r="BZ706" i="397"/>
  <c r="BE706" i="397"/>
  <c r="BF706" i="397"/>
  <c r="CG706" i="397" s="1"/>
  <c r="CH706" i="397" s="1"/>
  <c r="Q706" i="397"/>
  <c r="A706" i="397"/>
  <c r="CE705" i="397"/>
  <c r="CD705" i="397"/>
  <c r="CC705" i="397"/>
  <c r="CB705" i="397"/>
  <c r="CA705" i="397"/>
  <c r="BZ705" i="397"/>
  <c r="BE705" i="397"/>
  <c r="BF705" i="397" s="1"/>
  <c r="CG705" i="397"/>
  <c r="CH705" i="397" s="1"/>
  <c r="Q705" i="397"/>
  <c r="A705" i="397"/>
  <c r="CE704" i="397"/>
  <c r="CD704" i="397"/>
  <c r="CC704" i="397"/>
  <c r="CB704" i="397"/>
  <c r="CA704" i="397"/>
  <c r="BZ704" i="397"/>
  <c r="BE704" i="397"/>
  <c r="BF704" i="397" s="1"/>
  <c r="CG704" i="397" s="1"/>
  <c r="Q704" i="397"/>
  <c r="A704" i="397"/>
  <c r="CE703" i="397"/>
  <c r="CF703" i="397" s="1"/>
  <c r="CH703" i="397" s="1"/>
  <c r="CD703" i="397"/>
  <c r="CC703" i="397"/>
  <c r="CB703" i="397"/>
  <c r="CA703" i="397"/>
  <c r="BZ703" i="397"/>
  <c r="BE703" i="397"/>
  <c r="BF703" i="397"/>
  <c r="CG703" i="397"/>
  <c r="Q703" i="397"/>
  <c r="A703" i="397"/>
  <c r="CE702" i="397"/>
  <c r="CD702" i="397"/>
  <c r="CC702" i="397"/>
  <c r="CB702" i="397"/>
  <c r="CA702" i="397"/>
  <c r="BZ702" i="397"/>
  <c r="BE702" i="397"/>
  <c r="BF702" i="397"/>
  <c r="CG702" i="397" s="1"/>
  <c r="Q702" i="397"/>
  <c r="A702" i="397"/>
  <c r="CE701" i="397"/>
  <c r="CD701" i="397"/>
  <c r="CF701" i="397" s="1"/>
  <c r="CC701" i="397"/>
  <c r="CB701" i="397"/>
  <c r="CA701" i="397"/>
  <c r="BZ701" i="397"/>
  <c r="BE701" i="397"/>
  <c r="BF701" i="397"/>
  <c r="CG701" i="397" s="1"/>
  <c r="CH701" i="397" s="1"/>
  <c r="Q701" i="397"/>
  <c r="A701" i="397"/>
  <c r="CE700" i="397"/>
  <c r="CD700" i="397"/>
  <c r="CC700" i="397"/>
  <c r="CB700" i="397"/>
  <c r="CA700" i="397"/>
  <c r="BZ700" i="397"/>
  <c r="BE700" i="397"/>
  <c r="BF700" i="397"/>
  <c r="CG700" i="397"/>
  <c r="CH700" i="397" s="1"/>
  <c r="A700" i="397"/>
  <c r="CE699" i="397"/>
  <c r="CD699" i="397"/>
  <c r="CC699" i="397"/>
  <c r="CB699" i="397"/>
  <c r="CA699" i="397"/>
  <c r="BZ699" i="397"/>
  <c r="CF699" i="397" s="1"/>
  <c r="BE699" i="397"/>
  <c r="BF699" i="397" s="1"/>
  <c r="CG699" i="397" s="1"/>
  <c r="Q699" i="397"/>
  <c r="A699" i="397"/>
  <c r="CE698" i="397"/>
  <c r="CD698" i="397"/>
  <c r="CF698" i="397" s="1"/>
  <c r="CC698" i="397"/>
  <c r="CB698" i="397"/>
  <c r="CA698" i="397"/>
  <c r="BZ698" i="397"/>
  <c r="BE698" i="397"/>
  <c r="BF698" i="397"/>
  <c r="CG698" i="397" s="1"/>
  <c r="Q698" i="397"/>
  <c r="A698" i="397"/>
  <c r="CE697" i="397"/>
  <c r="CD697" i="397"/>
  <c r="CC697" i="397"/>
  <c r="CB697" i="397"/>
  <c r="CA697" i="397"/>
  <c r="BZ697" i="397"/>
  <c r="BE697" i="397"/>
  <c r="BF697" i="397" s="1"/>
  <c r="CG697" i="397" s="1"/>
  <c r="CH697" i="397" s="1"/>
  <c r="Q697" i="397"/>
  <c r="A697" i="397"/>
  <c r="CE696" i="397"/>
  <c r="CD696" i="397"/>
  <c r="CC696" i="397"/>
  <c r="CB696" i="397"/>
  <c r="CA696" i="397"/>
  <c r="BZ696" i="397"/>
  <c r="BE696" i="397"/>
  <c r="BF696" i="397"/>
  <c r="CG696" i="397" s="1"/>
  <c r="Q696" i="397"/>
  <c r="A696" i="397"/>
  <c r="CE695" i="397"/>
  <c r="CD695" i="397"/>
  <c r="CC695" i="397"/>
  <c r="CB695" i="397"/>
  <c r="CF695" i="397" s="1"/>
  <c r="CA695" i="397"/>
  <c r="BZ695" i="397"/>
  <c r="BE695" i="397"/>
  <c r="BF695" i="397"/>
  <c r="CG695" i="397"/>
  <c r="Q695" i="397"/>
  <c r="A695" i="397"/>
  <c r="CE694" i="397"/>
  <c r="CD694" i="397"/>
  <c r="CC694" i="397"/>
  <c r="CB694" i="397"/>
  <c r="CA694" i="397"/>
  <c r="BZ694" i="397"/>
  <c r="BE694" i="397"/>
  <c r="BF694" i="397" s="1"/>
  <c r="CG694" i="397" s="1"/>
  <c r="Q694" i="397"/>
  <c r="A694" i="397"/>
  <c r="CE693" i="397"/>
  <c r="CD693" i="397"/>
  <c r="CC693" i="397"/>
  <c r="CB693" i="397"/>
  <c r="CF693" i="397" s="1"/>
  <c r="CH693" i="397" s="1"/>
  <c r="CA693" i="397"/>
  <c r="BZ693" i="397"/>
  <c r="BE693" i="397"/>
  <c r="BF693" i="397" s="1"/>
  <c r="CG693" i="397" s="1"/>
  <c r="Q693" i="397"/>
  <c r="A693" i="397"/>
  <c r="CE692" i="397"/>
  <c r="CD692" i="397"/>
  <c r="CC692" i="397"/>
  <c r="CB692" i="397"/>
  <c r="CA692" i="397"/>
  <c r="BZ692" i="397"/>
  <c r="BE692" i="397"/>
  <c r="BF692" i="397" s="1"/>
  <c r="CG692" i="397" s="1"/>
  <c r="Q692" i="397"/>
  <c r="A692" i="397"/>
  <c r="CE691" i="397"/>
  <c r="CD691" i="397"/>
  <c r="CF691" i="397" s="1"/>
  <c r="CH691" i="397" s="1"/>
  <c r="CC691" i="397"/>
  <c r="CB691" i="397"/>
  <c r="CA691" i="397"/>
  <c r="BZ691" i="397"/>
  <c r="BE691" i="397"/>
  <c r="BF691" i="397"/>
  <c r="CG691" i="397" s="1"/>
  <c r="A691" i="397"/>
  <c r="CE690" i="397"/>
  <c r="CD690" i="397"/>
  <c r="CC690" i="397"/>
  <c r="CB690" i="397"/>
  <c r="CA690" i="397"/>
  <c r="BZ690" i="397"/>
  <c r="BE690" i="397"/>
  <c r="BF690" i="397" s="1"/>
  <c r="CG690" i="397" s="1"/>
  <c r="Q690" i="397"/>
  <c r="A690" i="397"/>
  <c r="CE689" i="397"/>
  <c r="CD689" i="397"/>
  <c r="CC689" i="397"/>
  <c r="CB689" i="397"/>
  <c r="CF689" i="397" s="1"/>
  <c r="CH689" i="397" s="1"/>
  <c r="CA689" i="397"/>
  <c r="BZ689" i="397"/>
  <c r="BE689" i="397"/>
  <c r="BF689" i="397" s="1"/>
  <c r="CG689" i="397"/>
  <c r="Q689" i="397"/>
  <c r="A689" i="397"/>
  <c r="CE688" i="397"/>
  <c r="CD688" i="397"/>
  <c r="CC688" i="397"/>
  <c r="CB688" i="397"/>
  <c r="CA688" i="397"/>
  <c r="BZ688" i="397"/>
  <c r="BE688" i="397"/>
  <c r="BF688" i="397" s="1"/>
  <c r="CG688" i="397" s="1"/>
  <c r="Q688" i="397"/>
  <c r="A688" i="397"/>
  <c r="CE687" i="397"/>
  <c r="CD687" i="397"/>
  <c r="CC687" i="397"/>
  <c r="CB687" i="397"/>
  <c r="CA687" i="397"/>
  <c r="BZ687" i="397"/>
  <c r="BE687" i="397"/>
  <c r="BF687" i="397"/>
  <c r="CG687" i="397"/>
  <c r="CH687" i="397" s="1"/>
  <c r="Q687" i="397"/>
  <c r="A687" i="397"/>
  <c r="CE686" i="397"/>
  <c r="CD686" i="397"/>
  <c r="CC686" i="397"/>
  <c r="CF686" i="397" s="1"/>
  <c r="CH686" i="397" s="1"/>
  <c r="CB686" i="397"/>
  <c r="CA686" i="397"/>
  <c r="BZ686" i="397"/>
  <c r="BE686" i="397"/>
  <c r="BF686" i="397" s="1"/>
  <c r="CG686" i="397" s="1"/>
  <c r="Q686" i="397"/>
  <c r="A686" i="397"/>
  <c r="CE685" i="397"/>
  <c r="CD685" i="397"/>
  <c r="CC685" i="397"/>
  <c r="CB685" i="397"/>
  <c r="CA685" i="397"/>
  <c r="BZ685" i="397"/>
  <c r="CF685" i="397" s="1"/>
  <c r="BE685" i="397"/>
  <c r="BF685" i="397" s="1"/>
  <c r="CG685" i="397" s="1"/>
  <c r="Q685" i="397"/>
  <c r="A685" i="397"/>
  <c r="CE684" i="397"/>
  <c r="CD684" i="397"/>
  <c r="CC684" i="397"/>
  <c r="CB684" i="397"/>
  <c r="CA684" i="397"/>
  <c r="BZ684" i="397"/>
  <c r="BE684" i="397"/>
  <c r="BF684" i="397" s="1"/>
  <c r="CG684" i="397" s="1"/>
  <c r="Q684" i="397"/>
  <c r="A684" i="397"/>
  <c r="CE683" i="397"/>
  <c r="CD683" i="397"/>
  <c r="CC683" i="397"/>
  <c r="CB683" i="397"/>
  <c r="CA683" i="397"/>
  <c r="BZ683" i="397"/>
  <c r="BE683" i="397"/>
  <c r="BF683" i="397" s="1"/>
  <c r="CG683" i="397" s="1"/>
  <c r="Q683" i="397"/>
  <c r="A683" i="397"/>
  <c r="CE682" i="397"/>
  <c r="CD682" i="397"/>
  <c r="CC682" i="397"/>
  <c r="CB682" i="397"/>
  <c r="CA682" i="397"/>
  <c r="CF682" i="397" s="1"/>
  <c r="CH682" i="397" s="1"/>
  <c r="BZ682" i="397"/>
  <c r="BE682" i="397"/>
  <c r="BF682" i="397" s="1"/>
  <c r="CG682" i="397" s="1"/>
  <c r="Q682" i="397"/>
  <c r="A682" i="397"/>
  <c r="CE681" i="397"/>
  <c r="CD681" i="397"/>
  <c r="CC681" i="397"/>
  <c r="CB681" i="397"/>
  <c r="CA681" i="397"/>
  <c r="BZ681" i="397"/>
  <c r="BE681" i="397"/>
  <c r="BF681" i="397"/>
  <c r="CG681" i="397" s="1"/>
  <c r="Q681" i="397"/>
  <c r="A681" i="397"/>
  <c r="CE680" i="397"/>
  <c r="CD680" i="397"/>
  <c r="CC680" i="397"/>
  <c r="CB680" i="397"/>
  <c r="CA680" i="397"/>
  <c r="BZ680" i="397"/>
  <c r="BE680" i="397"/>
  <c r="BF680" i="397"/>
  <c r="CG680" i="397" s="1"/>
  <c r="Q680" i="397"/>
  <c r="A680" i="397"/>
  <c r="CE679" i="397"/>
  <c r="CD679" i="397"/>
  <c r="CC679" i="397"/>
  <c r="CB679" i="397"/>
  <c r="CA679" i="397"/>
  <c r="BZ679" i="397"/>
  <c r="BE679" i="397"/>
  <c r="BF679" i="397" s="1"/>
  <c r="CG679" i="397"/>
  <c r="CH679" i="397" s="1"/>
  <c r="Q679" i="397"/>
  <c r="A679" i="397"/>
  <c r="CE678" i="397"/>
  <c r="CD678" i="397"/>
  <c r="CC678" i="397"/>
  <c r="CB678" i="397"/>
  <c r="CA678" i="397"/>
  <c r="BZ678" i="397"/>
  <c r="BE678" i="397"/>
  <c r="BF678" i="397"/>
  <c r="CG678" i="397" s="1"/>
  <c r="Q678" i="397"/>
  <c r="A678" i="397"/>
  <c r="CE677" i="397"/>
  <c r="CD677" i="397"/>
  <c r="CC677" i="397"/>
  <c r="CB677" i="397"/>
  <c r="CA677" i="397"/>
  <c r="BZ677" i="397"/>
  <c r="BE677" i="397"/>
  <c r="BF677" i="397"/>
  <c r="CG677" i="397" s="1"/>
  <c r="CH677" i="397" s="1"/>
  <c r="Q677" i="397"/>
  <c r="A677" i="397"/>
  <c r="CE676" i="397"/>
  <c r="CD676" i="397"/>
  <c r="CC676" i="397"/>
  <c r="CB676" i="397"/>
  <c r="CA676" i="397"/>
  <c r="BZ676" i="397"/>
  <c r="BE676" i="397"/>
  <c r="BF676" i="397" s="1"/>
  <c r="CG676" i="397" s="1"/>
  <c r="Q676" i="397"/>
  <c r="A676" i="397"/>
  <c r="CE675" i="397"/>
  <c r="CD675" i="397"/>
  <c r="CC675" i="397"/>
  <c r="CB675" i="397"/>
  <c r="CA675" i="397"/>
  <c r="BZ675" i="397"/>
  <c r="BE675" i="397"/>
  <c r="BF675" i="397" s="1"/>
  <c r="CG675" i="397" s="1"/>
  <c r="Q675" i="397"/>
  <c r="A675" i="397"/>
  <c r="CE674" i="397"/>
  <c r="CD674" i="397"/>
  <c r="CC674" i="397"/>
  <c r="CB674" i="397"/>
  <c r="CA674" i="397"/>
  <c r="BZ674" i="397"/>
  <c r="BE674" i="397"/>
  <c r="BF674" i="397" s="1"/>
  <c r="CG674" i="397" s="1"/>
  <c r="Q674" i="397"/>
  <c r="A674" i="397"/>
  <c r="CE673" i="397"/>
  <c r="CD673" i="397"/>
  <c r="CC673" i="397"/>
  <c r="CB673" i="397"/>
  <c r="CA673" i="397"/>
  <c r="BZ673" i="397"/>
  <c r="BE673" i="397"/>
  <c r="BF673" i="397" s="1"/>
  <c r="CG673" i="397" s="1"/>
  <c r="Q673" i="397"/>
  <c r="CE672" i="397"/>
  <c r="CD672" i="397"/>
  <c r="CC672" i="397"/>
  <c r="CB672" i="397"/>
  <c r="CA672" i="397"/>
  <c r="BZ672" i="397"/>
  <c r="BE672" i="397"/>
  <c r="BF672" i="397" s="1"/>
  <c r="CG672" i="397"/>
  <c r="Q672" i="397"/>
  <c r="A672" i="397"/>
  <c r="CE671" i="397"/>
  <c r="CD671" i="397"/>
  <c r="CC671" i="397"/>
  <c r="CB671" i="397"/>
  <c r="CA671" i="397"/>
  <c r="BZ671" i="397"/>
  <c r="BE671" i="397"/>
  <c r="BF671" i="397" s="1"/>
  <c r="CG671" i="397" s="1"/>
  <c r="A671" i="397"/>
  <c r="CE670" i="397"/>
  <c r="CD670" i="397"/>
  <c r="CC670" i="397"/>
  <c r="CB670" i="397"/>
  <c r="CA670" i="397"/>
  <c r="BZ670" i="397"/>
  <c r="BE670" i="397"/>
  <c r="BF670" i="397"/>
  <c r="CG670" i="397" s="1"/>
  <c r="A670" i="397"/>
  <c r="CE669" i="397"/>
  <c r="CD669" i="397"/>
  <c r="CF669" i="397" s="1"/>
  <c r="CH669" i="397" s="1"/>
  <c r="CC669" i="397"/>
  <c r="CB669" i="397"/>
  <c r="CA669" i="397"/>
  <c r="BZ669" i="397"/>
  <c r="BE669" i="397"/>
  <c r="BF669" i="397" s="1"/>
  <c r="CG669" i="397" s="1"/>
  <c r="Q669" i="397"/>
  <c r="A669" i="397"/>
  <c r="CE668" i="397"/>
  <c r="CD668" i="397"/>
  <c r="CC668" i="397"/>
  <c r="CB668" i="397"/>
  <c r="CA668" i="397"/>
  <c r="BZ668" i="397"/>
  <c r="BE668" i="397"/>
  <c r="BF668" i="397"/>
  <c r="CG668" i="397" s="1"/>
  <c r="Q668" i="397"/>
  <c r="A668" i="397"/>
  <c r="CE667" i="397"/>
  <c r="CD667" i="397"/>
  <c r="CC667" i="397"/>
  <c r="CB667" i="397"/>
  <c r="CA667" i="397"/>
  <c r="BZ667" i="397"/>
  <c r="BE667" i="397"/>
  <c r="BF667" i="397"/>
  <c r="CG667" i="397" s="1"/>
  <c r="Q667" i="397"/>
  <c r="A667" i="397"/>
  <c r="CE666" i="397"/>
  <c r="CD666" i="397"/>
  <c r="CC666" i="397"/>
  <c r="CB666" i="397"/>
  <c r="CA666" i="397"/>
  <c r="BZ666" i="397"/>
  <c r="CF666" i="397" s="1"/>
  <c r="CH666" i="397" s="1"/>
  <c r="BE666" i="397"/>
  <c r="BF666" i="397" s="1"/>
  <c r="CG666" i="397" s="1"/>
  <c r="Q666" i="397"/>
  <c r="A666" i="397"/>
  <c r="CE665" i="397"/>
  <c r="CF665" i="397" s="1"/>
  <c r="CD665" i="397"/>
  <c r="CC665" i="397"/>
  <c r="CB665" i="397"/>
  <c r="CA665" i="397"/>
  <c r="BZ665" i="397"/>
  <c r="BE665" i="397"/>
  <c r="BF665" i="397"/>
  <c r="CG665" i="397" s="1"/>
  <c r="Q665" i="397"/>
  <c r="A665" i="397"/>
  <c r="CE664" i="397"/>
  <c r="CD664" i="397"/>
  <c r="CC664" i="397"/>
  <c r="CB664" i="397"/>
  <c r="CA664" i="397"/>
  <c r="BZ664" i="397"/>
  <c r="CF664" i="397" s="1"/>
  <c r="CH664" i="397" s="1"/>
  <c r="BE664" i="397"/>
  <c r="BF664" i="397"/>
  <c r="CG664" i="397"/>
  <c r="Q664" i="397"/>
  <c r="CE663" i="397"/>
  <c r="CD663" i="397"/>
  <c r="CF663" i="397" s="1"/>
  <c r="CH663" i="397" s="1"/>
  <c r="CC663" i="397"/>
  <c r="CB663" i="397"/>
  <c r="CA663" i="397"/>
  <c r="BZ663" i="397"/>
  <c r="BE663" i="397"/>
  <c r="BF663" i="397" s="1"/>
  <c r="CG663" i="397" s="1"/>
  <c r="Q663" i="397"/>
  <c r="A663" i="397"/>
  <c r="CE662" i="397"/>
  <c r="CD662" i="397"/>
  <c r="CC662" i="397"/>
  <c r="CB662" i="397"/>
  <c r="CA662" i="397"/>
  <c r="BZ662" i="397"/>
  <c r="BE662" i="397"/>
  <c r="BF662" i="397"/>
  <c r="CG662" i="397" s="1"/>
  <c r="Q662" i="397"/>
  <c r="A662" i="397"/>
  <c r="CE661" i="397"/>
  <c r="CD661" i="397"/>
  <c r="CC661" i="397"/>
  <c r="CB661" i="397"/>
  <c r="CA661" i="397"/>
  <c r="BZ661" i="397"/>
  <c r="BE661" i="397"/>
  <c r="BF661" i="397"/>
  <c r="CG661" i="397"/>
  <c r="Q661" i="397"/>
  <c r="A661" i="397"/>
  <c r="CE660" i="397"/>
  <c r="CD660" i="397"/>
  <c r="CC660" i="397"/>
  <c r="CB660" i="397"/>
  <c r="CA660" i="397"/>
  <c r="BZ660" i="397"/>
  <c r="CF660" i="397" s="1"/>
  <c r="CH660" i="397" s="1"/>
  <c r="BE660" i="397"/>
  <c r="BF660" i="397"/>
  <c r="CG660" i="397" s="1"/>
  <c r="Q660" i="397"/>
  <c r="A660" i="397"/>
  <c r="CE659" i="397"/>
  <c r="CD659" i="397"/>
  <c r="CC659" i="397"/>
  <c r="CB659" i="397"/>
  <c r="CA659" i="397"/>
  <c r="BZ659" i="397"/>
  <c r="BE659" i="397"/>
  <c r="BF659" i="397" s="1"/>
  <c r="CG659" i="397" s="1"/>
  <c r="Q659" i="397"/>
  <c r="A659" i="397"/>
  <c r="CE658" i="397"/>
  <c r="CD658" i="397"/>
  <c r="CC658" i="397"/>
  <c r="CB658" i="397"/>
  <c r="CA658" i="397"/>
  <c r="BZ658" i="397"/>
  <c r="CF658" i="397" s="1"/>
  <c r="CH658" i="397" s="1"/>
  <c r="BE658" i="397"/>
  <c r="BF658" i="397" s="1"/>
  <c r="CG658" i="397" s="1"/>
  <c r="Q658" i="397"/>
  <c r="A658" i="397"/>
  <c r="CE657" i="397"/>
  <c r="CD657" i="397"/>
  <c r="CC657" i="397"/>
  <c r="CB657" i="397"/>
  <c r="CA657" i="397"/>
  <c r="BZ657" i="397"/>
  <c r="BE657" i="397"/>
  <c r="BF657" i="397" s="1"/>
  <c r="CG657" i="397" s="1"/>
  <c r="Q657" i="397"/>
  <c r="A657" i="397"/>
  <c r="CE656" i="397"/>
  <c r="CD656" i="397"/>
  <c r="CC656" i="397"/>
  <c r="CB656" i="397"/>
  <c r="CA656" i="397"/>
  <c r="BZ656" i="397"/>
  <c r="BE656" i="397"/>
  <c r="BF656" i="397"/>
  <c r="CG656" i="397" s="1"/>
  <c r="Q656" i="397"/>
  <c r="A656" i="397"/>
  <c r="CE655" i="397"/>
  <c r="CD655" i="397"/>
  <c r="CC655" i="397"/>
  <c r="CB655" i="397"/>
  <c r="CA655" i="397"/>
  <c r="BZ655" i="397"/>
  <c r="CF655" i="397" s="1"/>
  <c r="BE655" i="397"/>
  <c r="BF655" i="397" s="1"/>
  <c r="CG655" i="397" s="1"/>
  <c r="Q655" i="397"/>
  <c r="CE654" i="397"/>
  <c r="CD654" i="397"/>
  <c r="CC654" i="397"/>
  <c r="CB654" i="397"/>
  <c r="CA654" i="397"/>
  <c r="BZ654" i="397"/>
  <c r="BE654" i="397"/>
  <c r="BF654" i="397" s="1"/>
  <c r="CG654" i="397"/>
  <c r="CH654" i="397" s="1"/>
  <c r="Q654" i="397"/>
  <c r="A654" i="397"/>
  <c r="CE653" i="397"/>
  <c r="CD653" i="397"/>
  <c r="CC653" i="397"/>
  <c r="CB653" i="397"/>
  <c r="CA653" i="397"/>
  <c r="BZ653" i="397"/>
  <c r="BE653" i="397"/>
  <c r="BF653" i="397" s="1"/>
  <c r="CG653" i="397" s="1"/>
  <c r="Q653" i="397"/>
  <c r="A653" i="397"/>
  <c r="CE652" i="397"/>
  <c r="CD652" i="397"/>
  <c r="CC652" i="397"/>
  <c r="CB652" i="397"/>
  <c r="CA652" i="397"/>
  <c r="BZ652" i="397"/>
  <c r="BE652" i="397"/>
  <c r="BF652" i="397" s="1"/>
  <c r="CG652" i="397" s="1"/>
  <c r="Q652" i="397"/>
  <c r="A652" i="397"/>
  <c r="CE651" i="397"/>
  <c r="CD651" i="397"/>
  <c r="CC651" i="397"/>
  <c r="CB651" i="397"/>
  <c r="CA651" i="397"/>
  <c r="BZ651" i="397"/>
  <c r="BE651" i="397"/>
  <c r="BF651" i="397" s="1"/>
  <c r="CG651" i="397"/>
  <c r="Q651" i="397"/>
  <c r="A651" i="397"/>
  <c r="CE650" i="397"/>
  <c r="CD650" i="397"/>
  <c r="CC650" i="397"/>
  <c r="CB650" i="397"/>
  <c r="CA650" i="397"/>
  <c r="BZ650" i="397"/>
  <c r="BE650" i="397"/>
  <c r="BF650" i="397"/>
  <c r="CG650" i="397" s="1"/>
  <c r="Q650" i="397"/>
  <c r="A650" i="397"/>
  <c r="CE649" i="397"/>
  <c r="CD649" i="397"/>
  <c r="CC649" i="397"/>
  <c r="CB649" i="397"/>
  <c r="CA649" i="397"/>
  <c r="BZ649" i="397"/>
  <c r="BE649" i="397"/>
  <c r="BF649" i="397"/>
  <c r="CG649" i="397" s="1"/>
  <c r="A649" i="397"/>
  <c r="CE648" i="397"/>
  <c r="CD648" i="397"/>
  <c r="CC648" i="397"/>
  <c r="CB648" i="397"/>
  <c r="CA648" i="397"/>
  <c r="BZ648" i="397"/>
  <c r="BE648" i="397"/>
  <c r="BD648" i="397"/>
  <c r="Q648" i="397"/>
  <c r="A648" i="397"/>
  <c r="CE647" i="397"/>
  <c r="CD647" i="397"/>
  <c r="CF647" i="397" s="1"/>
  <c r="CH647" i="397" s="1"/>
  <c r="CC647" i="397"/>
  <c r="CB647" i="397"/>
  <c r="CA647" i="397"/>
  <c r="BZ647" i="397"/>
  <c r="BE647" i="397"/>
  <c r="BD647" i="397"/>
  <c r="Q647" i="397"/>
  <c r="A647" i="397"/>
  <c r="CE646" i="397"/>
  <c r="CD646" i="397"/>
  <c r="CC646" i="397"/>
  <c r="CB646" i="397"/>
  <c r="CA646" i="397"/>
  <c r="BZ646" i="397"/>
  <c r="BE646" i="397"/>
  <c r="BD646" i="397"/>
  <c r="Q646" i="397"/>
  <c r="A646" i="397"/>
  <c r="CE645" i="397"/>
  <c r="CD645" i="397"/>
  <c r="CF645" i="397" s="1"/>
  <c r="CH645" i="397" s="1"/>
  <c r="CC645" i="397"/>
  <c r="CB645" i="397"/>
  <c r="CA645" i="397"/>
  <c r="BZ645" i="397"/>
  <c r="BE645" i="397"/>
  <c r="BD645" i="397"/>
  <c r="Q645" i="397"/>
  <c r="A645" i="397"/>
  <c r="CE644" i="397"/>
  <c r="CD644" i="397"/>
  <c r="CC644" i="397"/>
  <c r="CB644" i="397"/>
  <c r="CA644" i="397"/>
  <c r="BZ644" i="397"/>
  <c r="CF644" i="397" s="1"/>
  <c r="BE644" i="397"/>
  <c r="BD644" i="397"/>
  <c r="Q644" i="397"/>
  <c r="A644" i="397"/>
  <c r="CE643" i="397"/>
  <c r="CD643" i="397"/>
  <c r="CF643" i="397" s="1"/>
  <c r="CH643" i="397" s="1"/>
  <c r="CC643" i="397"/>
  <c r="CB643" i="397"/>
  <c r="CA643" i="397"/>
  <c r="BZ643" i="397"/>
  <c r="BE643" i="397"/>
  <c r="BD643" i="397"/>
  <c r="Q643" i="397"/>
  <c r="A643" i="397"/>
  <c r="CE642" i="397"/>
  <c r="CD642" i="397"/>
  <c r="CC642" i="397"/>
  <c r="CB642" i="397"/>
  <c r="CA642" i="397"/>
  <c r="BZ642" i="397"/>
  <c r="BE642" i="397"/>
  <c r="BF642" i="397" s="1"/>
  <c r="CG642" i="397" s="1"/>
  <c r="BD642" i="397"/>
  <c r="Q642" i="397"/>
  <c r="A642" i="397"/>
  <c r="CE641" i="397"/>
  <c r="CD641" i="397"/>
  <c r="CF641" i="397" s="1"/>
  <c r="CH641" i="397" s="1"/>
  <c r="CC641" i="397"/>
  <c r="CB641" i="397"/>
  <c r="CA641" i="397"/>
  <c r="BZ641" i="397"/>
  <c r="BE641" i="397"/>
  <c r="BD641" i="397"/>
  <c r="Q641" i="397"/>
  <c r="A641" i="397"/>
  <c r="CE640" i="397"/>
  <c r="CF640" i="397" s="1"/>
  <c r="CH640" i="397" s="1"/>
  <c r="CD640" i="397"/>
  <c r="CC640" i="397"/>
  <c r="CB640" i="397"/>
  <c r="CA640" i="397"/>
  <c r="BZ640" i="397"/>
  <c r="BE640" i="397"/>
  <c r="BD640" i="397"/>
  <c r="Q640" i="397"/>
  <c r="A640" i="397"/>
  <c r="CE639" i="397"/>
  <c r="CD639" i="397"/>
  <c r="CC639" i="397"/>
  <c r="CB639" i="397"/>
  <c r="CA639" i="397"/>
  <c r="BZ639" i="397"/>
  <c r="BE639" i="397"/>
  <c r="BD639" i="397"/>
  <c r="Q639" i="397"/>
  <c r="A639" i="397"/>
  <c r="CE638" i="397"/>
  <c r="CF638" i="397" s="1"/>
  <c r="CH638" i="397" s="1"/>
  <c r="CD638" i="397"/>
  <c r="CC638" i="397"/>
  <c r="CB638" i="397"/>
  <c r="CA638" i="397"/>
  <c r="BZ638" i="397"/>
  <c r="BE638" i="397"/>
  <c r="BD638" i="397"/>
  <c r="Q638" i="397"/>
  <c r="A638" i="397"/>
  <c r="CE637" i="397"/>
  <c r="CD637" i="397"/>
  <c r="CF637" i="397" s="1"/>
  <c r="CH637" i="397" s="1"/>
  <c r="CC637" i="397"/>
  <c r="CB637" i="397"/>
  <c r="CA637" i="397"/>
  <c r="BZ637" i="397"/>
  <c r="BE637" i="397"/>
  <c r="BD637" i="397"/>
  <c r="Q637" i="397"/>
  <c r="A637" i="397"/>
  <c r="CE636" i="397"/>
  <c r="CF636" i="397" s="1"/>
  <c r="CH636" i="397" s="1"/>
  <c r="CD636" i="397"/>
  <c r="CC636" i="397"/>
  <c r="CB636" i="397"/>
  <c r="CA636" i="397"/>
  <c r="BZ636" i="397"/>
  <c r="BE636" i="397"/>
  <c r="BD636" i="397"/>
  <c r="Q636" i="397"/>
  <c r="A636" i="397"/>
  <c r="CE635" i="397"/>
  <c r="CD635" i="397"/>
  <c r="CF635" i="397" s="1"/>
  <c r="CC635" i="397"/>
  <c r="CB635" i="397"/>
  <c r="CA635" i="397"/>
  <c r="BZ635" i="397"/>
  <c r="BE635" i="397"/>
  <c r="BD635" i="397"/>
  <c r="Q635" i="397"/>
  <c r="A635" i="397"/>
  <c r="CE634" i="397"/>
  <c r="CF634" i="397" s="1"/>
  <c r="CH634" i="397" s="1"/>
  <c r="CD634" i="397"/>
  <c r="CC634" i="397"/>
  <c r="CB634" i="397"/>
  <c r="CA634" i="397"/>
  <c r="BZ634" i="397"/>
  <c r="BE634" i="397"/>
  <c r="BF634" i="397" s="1"/>
  <c r="CG634" i="397" s="1"/>
  <c r="BD634" i="397"/>
  <c r="Q634" i="397"/>
  <c r="A634" i="397"/>
  <c r="CE633" i="397"/>
  <c r="CD633" i="397"/>
  <c r="CF633" i="397" s="1"/>
  <c r="CH633" i="397" s="1"/>
  <c r="CC633" i="397"/>
  <c r="CB633" i="397"/>
  <c r="CA633" i="397"/>
  <c r="BZ633" i="397"/>
  <c r="BE633" i="397"/>
  <c r="BD633" i="397"/>
  <c r="Q633" i="397"/>
  <c r="A633" i="397"/>
  <c r="CE632" i="397"/>
  <c r="CD632" i="397"/>
  <c r="CC632" i="397"/>
  <c r="CB632" i="397"/>
  <c r="CA632" i="397"/>
  <c r="BZ632" i="397"/>
  <c r="BF632" i="397"/>
  <c r="CG632" i="397" s="1"/>
  <c r="Q632" i="397"/>
  <c r="A632" i="397"/>
  <c r="CE631" i="397"/>
  <c r="CD631" i="397"/>
  <c r="CC631" i="397"/>
  <c r="CB631" i="397"/>
  <c r="CA631" i="397"/>
  <c r="BZ631" i="397"/>
  <c r="BE631" i="397"/>
  <c r="BD631" i="397"/>
  <c r="Q631" i="397"/>
  <c r="A631" i="397"/>
  <c r="CE630" i="397"/>
  <c r="CD630" i="397"/>
  <c r="CC630" i="397"/>
  <c r="CB630" i="397"/>
  <c r="CA630" i="397"/>
  <c r="BZ630" i="397"/>
  <c r="BE630" i="397"/>
  <c r="BF630" i="397" s="1"/>
  <c r="CG630" i="397" s="1"/>
  <c r="BD630" i="397"/>
  <c r="Q630" i="397"/>
  <c r="A630" i="397"/>
  <c r="CE629" i="397"/>
  <c r="CD629" i="397"/>
  <c r="CC629" i="397"/>
  <c r="CB629" i="397"/>
  <c r="CA629" i="397"/>
  <c r="BZ629" i="397"/>
  <c r="BE629" i="397"/>
  <c r="BD629" i="397"/>
  <c r="Q629" i="397"/>
  <c r="A629" i="397"/>
  <c r="CE628" i="397"/>
  <c r="CD628" i="397"/>
  <c r="CC628" i="397"/>
  <c r="CB628" i="397"/>
  <c r="CA628" i="397"/>
  <c r="BZ628" i="397"/>
  <c r="BE628" i="397"/>
  <c r="BF628" i="397" s="1"/>
  <c r="BD628" i="397"/>
  <c r="Q628" i="397"/>
  <c r="A628" i="397"/>
  <c r="CE627" i="397"/>
  <c r="CD627" i="397"/>
  <c r="CF627" i="397" s="1"/>
  <c r="CH627" i="397" s="1"/>
  <c r="CC627" i="397"/>
  <c r="CB627" i="397"/>
  <c r="CA627" i="397"/>
  <c r="BZ627" i="397"/>
  <c r="BE627" i="397"/>
  <c r="BD627" i="397"/>
  <c r="Q627" i="397"/>
  <c r="A627" i="397"/>
  <c r="CE626" i="397"/>
  <c r="CD626" i="397"/>
  <c r="CC626" i="397"/>
  <c r="CB626" i="397"/>
  <c r="CA626" i="397"/>
  <c r="BZ626" i="397"/>
  <c r="BE626" i="397"/>
  <c r="BD626" i="397"/>
  <c r="Q626" i="397"/>
  <c r="A626" i="397"/>
  <c r="CE625" i="397"/>
  <c r="CD625" i="397"/>
  <c r="CC625" i="397"/>
  <c r="CB625" i="397"/>
  <c r="CA625" i="397"/>
  <c r="BZ625" i="397"/>
  <c r="BE625" i="397"/>
  <c r="BD625" i="397"/>
  <c r="Q625" i="397"/>
  <c r="A625" i="397"/>
  <c r="CE624" i="397"/>
  <c r="CF624" i="397" s="1"/>
  <c r="CH624" i="397" s="1"/>
  <c r="CD624" i="397"/>
  <c r="CC624" i="397"/>
  <c r="CB624" i="397"/>
  <c r="CA624" i="397"/>
  <c r="BZ624" i="397"/>
  <c r="BE624" i="397"/>
  <c r="BD624" i="397"/>
  <c r="Q624" i="397"/>
  <c r="A624" i="397"/>
  <c r="CE623" i="397"/>
  <c r="CD623" i="397"/>
  <c r="CC623" i="397"/>
  <c r="CB623" i="397"/>
  <c r="CA623" i="397"/>
  <c r="BZ623" i="397"/>
  <c r="BE623" i="397"/>
  <c r="BF623" i="397" s="1"/>
  <c r="CG623" i="397" s="1"/>
  <c r="Q623" i="397"/>
  <c r="A623" i="397"/>
  <c r="CE622" i="397"/>
  <c r="CF622" i="397" s="1"/>
  <c r="CD622" i="397"/>
  <c r="CC622" i="397"/>
  <c r="CB622" i="397"/>
  <c r="CA622" i="397"/>
  <c r="BZ622" i="397"/>
  <c r="BE622" i="397"/>
  <c r="BF622" i="397" s="1"/>
  <c r="BD622" i="397"/>
  <c r="Q622" i="397"/>
  <c r="A622" i="397"/>
  <c r="CE621" i="397"/>
  <c r="CD621" i="397"/>
  <c r="CC621" i="397"/>
  <c r="CF621" i="397" s="1"/>
  <c r="CH621" i="397" s="1"/>
  <c r="CB621" i="397"/>
  <c r="CA621" i="397"/>
  <c r="BZ621" i="397"/>
  <c r="BE621" i="397"/>
  <c r="BD621" i="397"/>
  <c r="Q621" i="397"/>
  <c r="A621" i="397"/>
  <c r="CE620" i="397"/>
  <c r="CF620" i="397" s="1"/>
  <c r="CH620" i="397" s="1"/>
  <c r="CD620" i="397"/>
  <c r="CC620" i="397"/>
  <c r="CB620" i="397"/>
  <c r="CA620" i="397"/>
  <c r="BZ620" i="397"/>
  <c r="BE620" i="397"/>
  <c r="BD620" i="397"/>
  <c r="Q620" i="397"/>
  <c r="A620" i="397"/>
  <c r="CE619" i="397"/>
  <c r="CD619" i="397"/>
  <c r="CC619" i="397"/>
  <c r="CF619" i="397" s="1"/>
  <c r="CH619" i="397" s="1"/>
  <c r="CB619" i="397"/>
  <c r="CA619" i="397"/>
  <c r="BZ619" i="397"/>
  <c r="BE619" i="397"/>
  <c r="BD619" i="397"/>
  <c r="Q619" i="397"/>
  <c r="A619" i="397"/>
  <c r="CE618" i="397"/>
  <c r="CD618" i="397"/>
  <c r="CC618" i="397"/>
  <c r="CB618" i="397"/>
  <c r="CA618" i="397"/>
  <c r="BZ618" i="397"/>
  <c r="BE618" i="397"/>
  <c r="BF618" i="397" s="1"/>
  <c r="CG618" i="397" s="1"/>
  <c r="BD618" i="397"/>
  <c r="Q618" i="397"/>
  <c r="A618" i="397"/>
  <c r="CE617" i="397"/>
  <c r="CD617" i="397"/>
  <c r="CC617" i="397"/>
  <c r="CF617" i="397" s="1"/>
  <c r="CH617" i="397" s="1"/>
  <c r="CB617" i="397"/>
  <c r="CA617" i="397"/>
  <c r="BZ617" i="397"/>
  <c r="BE617" i="397"/>
  <c r="BD617" i="397"/>
  <c r="Q617" i="397"/>
  <c r="A617" i="397"/>
  <c r="CE616" i="397"/>
  <c r="CD616" i="397"/>
  <c r="CC616" i="397"/>
  <c r="CB616" i="397"/>
  <c r="CA616" i="397"/>
  <c r="BZ616" i="397"/>
  <c r="BE616" i="397"/>
  <c r="BD616" i="397"/>
  <c r="Q616" i="397"/>
  <c r="A616" i="397"/>
  <c r="CE615" i="397"/>
  <c r="CD615" i="397"/>
  <c r="CC615" i="397"/>
  <c r="CF615" i="397" s="1"/>
  <c r="CH615" i="397" s="1"/>
  <c r="CB615" i="397"/>
  <c r="CA615" i="397"/>
  <c r="BZ615" i="397"/>
  <c r="BE615" i="397"/>
  <c r="BD615" i="397"/>
  <c r="Q615" i="397"/>
  <c r="A615" i="397"/>
  <c r="CE614" i="397"/>
  <c r="CF614" i="397" s="1"/>
  <c r="CD614" i="397"/>
  <c r="CC614" i="397"/>
  <c r="CB614" i="397"/>
  <c r="CA614" i="397"/>
  <c r="BZ614" i="397"/>
  <c r="BE614" i="397"/>
  <c r="BF614" i="397" s="1"/>
  <c r="CG614" i="397" s="1"/>
  <c r="BD614" i="397"/>
  <c r="Q614" i="397"/>
  <c r="A614" i="397"/>
  <c r="CE613" i="397"/>
  <c r="CD613" i="397"/>
  <c r="CC613" i="397"/>
  <c r="CF613" i="397" s="1"/>
  <c r="CH613" i="397" s="1"/>
  <c r="CB613" i="397"/>
  <c r="CA613" i="397"/>
  <c r="BZ613" i="397"/>
  <c r="BE613" i="397"/>
  <c r="BD613" i="397"/>
  <c r="Q613" i="397"/>
  <c r="A613" i="397"/>
  <c r="CE612" i="397"/>
  <c r="CD612" i="397"/>
  <c r="CC612" i="397"/>
  <c r="CB612" i="397"/>
  <c r="CA612" i="397"/>
  <c r="BZ612" i="397"/>
  <c r="BE612" i="397"/>
  <c r="BF612" i="397" s="1"/>
  <c r="BD612" i="397"/>
  <c r="Q612" i="397"/>
  <c r="A612" i="397"/>
  <c r="CE611" i="397"/>
  <c r="CD611" i="397"/>
  <c r="CC611" i="397"/>
  <c r="CB611" i="397"/>
  <c r="CA611" i="397"/>
  <c r="BZ611" i="397"/>
  <c r="BE611" i="397"/>
  <c r="BD611" i="397"/>
  <c r="Q611" i="397"/>
  <c r="A611" i="397"/>
  <c r="CE610" i="397"/>
  <c r="CD610" i="397"/>
  <c r="CC610" i="397"/>
  <c r="CB610" i="397"/>
  <c r="CA610" i="397"/>
  <c r="BZ610" i="397"/>
  <c r="BE610" i="397"/>
  <c r="BF610" i="397" s="1"/>
  <c r="CG610" i="397" s="1"/>
  <c r="BD610" i="397"/>
  <c r="Q610" i="397"/>
  <c r="A610" i="397"/>
  <c r="CE609" i="397"/>
  <c r="CD609" i="397"/>
  <c r="CC609" i="397"/>
  <c r="CB609" i="397"/>
  <c r="CA609" i="397"/>
  <c r="BZ609" i="397"/>
  <c r="BE609" i="397"/>
  <c r="BD609" i="397"/>
  <c r="Q609" i="397"/>
  <c r="A609" i="397"/>
  <c r="CE608" i="397"/>
  <c r="CF608" i="397" s="1"/>
  <c r="CH608" i="397" s="1"/>
  <c r="CD608" i="397"/>
  <c r="CC608" i="397"/>
  <c r="CB608" i="397"/>
  <c r="CA608" i="397"/>
  <c r="BZ608" i="397"/>
  <c r="BE608" i="397"/>
  <c r="BF608" i="397" s="1"/>
  <c r="CG608" i="397" s="1"/>
  <c r="BD608" i="397"/>
  <c r="Q608" i="397"/>
  <c r="A608" i="397"/>
  <c r="CE607" i="397"/>
  <c r="CD607" i="397"/>
  <c r="CC607" i="397"/>
  <c r="CB607" i="397"/>
  <c r="CA607" i="397"/>
  <c r="BZ607" i="397"/>
  <c r="BE607" i="397"/>
  <c r="BD607" i="397"/>
  <c r="Q607" i="397"/>
  <c r="A607" i="397"/>
  <c r="CE606" i="397"/>
  <c r="CF606" i="397" s="1"/>
  <c r="CD606" i="397"/>
  <c r="CC606" i="397"/>
  <c r="CB606" i="397"/>
  <c r="CA606" i="397"/>
  <c r="BZ606" i="397"/>
  <c r="BE606" i="397"/>
  <c r="BD606" i="397"/>
  <c r="Q606" i="397"/>
  <c r="A606" i="397"/>
  <c r="CE605" i="397"/>
  <c r="CD605" i="397"/>
  <c r="CC605" i="397"/>
  <c r="CB605" i="397"/>
  <c r="CA605" i="397"/>
  <c r="BZ605" i="397"/>
  <c r="BE605" i="397"/>
  <c r="BD605" i="397"/>
  <c r="Q605" i="397"/>
  <c r="A605" i="397"/>
  <c r="CE604" i="397"/>
  <c r="CD604" i="397"/>
  <c r="CC604" i="397"/>
  <c r="CB604" i="397"/>
  <c r="CA604" i="397"/>
  <c r="BZ604" i="397"/>
  <c r="BE604" i="397"/>
  <c r="BD604" i="397"/>
  <c r="Q604" i="397"/>
  <c r="A604" i="397"/>
  <c r="CE603" i="397"/>
  <c r="CD603" i="397"/>
  <c r="CC603" i="397"/>
  <c r="CB603" i="397"/>
  <c r="CA603" i="397"/>
  <c r="BZ603" i="397"/>
  <c r="BE603" i="397"/>
  <c r="BD603" i="397"/>
  <c r="Q603" i="397"/>
  <c r="A603" i="397"/>
  <c r="CE602" i="397"/>
  <c r="CF602" i="397" s="1"/>
  <c r="CH602" i="397" s="1"/>
  <c r="CD602" i="397"/>
  <c r="CC602" i="397"/>
  <c r="CB602" i="397"/>
  <c r="CA602" i="397"/>
  <c r="BZ602" i="397"/>
  <c r="BE602" i="397"/>
  <c r="BF602" i="397" s="1"/>
  <c r="CG602" i="397" s="1"/>
  <c r="BD602" i="397"/>
  <c r="Q602" i="397"/>
  <c r="A602" i="397"/>
  <c r="CE601" i="397"/>
  <c r="CD601" i="397"/>
  <c r="CC601" i="397"/>
  <c r="CB601" i="397"/>
  <c r="CA601" i="397"/>
  <c r="BZ601" i="397"/>
  <c r="BE601" i="397"/>
  <c r="BD601" i="397"/>
  <c r="Q601" i="397"/>
  <c r="A601" i="397"/>
  <c r="CE600" i="397"/>
  <c r="CD600" i="397"/>
  <c r="CC600" i="397"/>
  <c r="CB600" i="397"/>
  <c r="CA600" i="397"/>
  <c r="BZ600" i="397"/>
  <c r="BE600" i="397"/>
  <c r="BD600" i="397"/>
  <c r="Q600" i="397"/>
  <c r="A600" i="397"/>
  <c r="CE599" i="397"/>
  <c r="CD599" i="397"/>
  <c r="CC599" i="397"/>
  <c r="CF599" i="397" s="1"/>
  <c r="CH599" i="397" s="1"/>
  <c r="CB599" i="397"/>
  <c r="CA599" i="397"/>
  <c r="BZ599" i="397"/>
  <c r="BE599" i="397"/>
  <c r="BD599" i="397"/>
  <c r="Q599" i="397"/>
  <c r="A599" i="397"/>
  <c r="CE598" i="397"/>
  <c r="CD598" i="397"/>
  <c r="CC598" i="397"/>
  <c r="CB598" i="397"/>
  <c r="CA598" i="397"/>
  <c r="BZ598" i="397"/>
  <c r="BE598" i="397"/>
  <c r="BD598" i="397"/>
  <c r="Q598" i="397"/>
  <c r="A598" i="397"/>
  <c r="CE597" i="397"/>
  <c r="CD597" i="397"/>
  <c r="CC597" i="397"/>
  <c r="CB597" i="397"/>
  <c r="CA597" i="397"/>
  <c r="BZ597" i="397"/>
  <c r="BE597" i="397"/>
  <c r="BD597" i="397"/>
  <c r="Q597" i="397"/>
  <c r="A597" i="397"/>
  <c r="CG596" i="397"/>
  <c r="CE596" i="397"/>
  <c r="CD596" i="397"/>
  <c r="CC596" i="397"/>
  <c r="CB596" i="397"/>
  <c r="CA596" i="397"/>
  <c r="BZ596" i="397"/>
  <c r="Q596" i="397"/>
  <c r="A596" i="397"/>
  <c r="CE595" i="397"/>
  <c r="CD595" i="397"/>
  <c r="CC595" i="397"/>
  <c r="CB595" i="397"/>
  <c r="CF595" i="397" s="1"/>
  <c r="CH595" i="397" s="1"/>
  <c r="CA595" i="397"/>
  <c r="BZ595" i="397"/>
  <c r="BE595" i="397"/>
  <c r="BD595" i="397"/>
  <c r="Q595" i="397"/>
  <c r="A595" i="397"/>
  <c r="CE594" i="397"/>
  <c r="CD594" i="397"/>
  <c r="CF594" i="397" s="1"/>
  <c r="CH594" i="397" s="1"/>
  <c r="CC594" i="397"/>
  <c r="CB594" i="397"/>
  <c r="CA594" i="397"/>
  <c r="BZ594" i="397"/>
  <c r="BE594" i="397"/>
  <c r="BD594" i="397"/>
  <c r="BF594" i="397" s="1"/>
  <c r="Q594" i="397"/>
  <c r="A594" i="397"/>
  <c r="CE593" i="397"/>
  <c r="CD593" i="397"/>
  <c r="CC593" i="397"/>
  <c r="CB593" i="397"/>
  <c r="CF593" i="397" s="1"/>
  <c r="CH593" i="397" s="1"/>
  <c r="CA593" i="397"/>
  <c r="BZ593" i="397"/>
  <c r="BE593" i="397"/>
  <c r="BD593" i="397"/>
  <c r="Q593" i="397"/>
  <c r="A593" i="397"/>
  <c r="CE592" i="397"/>
  <c r="CD592" i="397"/>
  <c r="CF592" i="397" s="1"/>
  <c r="CC592" i="397"/>
  <c r="CB592" i="397"/>
  <c r="CA592" i="397"/>
  <c r="BZ592" i="397"/>
  <c r="BE592" i="397"/>
  <c r="BD592" i="397"/>
  <c r="Q592" i="397"/>
  <c r="A592" i="397"/>
  <c r="CE591" i="397"/>
  <c r="CD591" i="397"/>
  <c r="CC591" i="397"/>
  <c r="CB591" i="397"/>
  <c r="CF591" i="397" s="1"/>
  <c r="CA591" i="397"/>
  <c r="BZ591" i="397"/>
  <c r="BE591" i="397"/>
  <c r="BD591" i="397"/>
  <c r="A591" i="397"/>
  <c r="CE590" i="397"/>
  <c r="CD590" i="397"/>
  <c r="CC590" i="397"/>
  <c r="CF590" i="397" s="1"/>
  <c r="CH590" i="397" s="1"/>
  <c r="CB590" i="397"/>
  <c r="CA590" i="397"/>
  <c r="BZ590" i="397"/>
  <c r="BE590" i="397"/>
  <c r="BF590" i="397" s="1"/>
  <c r="BD590" i="397"/>
  <c r="Q590" i="397"/>
  <c r="A590" i="397"/>
  <c r="CE589" i="397"/>
  <c r="CD589" i="397"/>
  <c r="CC589" i="397"/>
  <c r="CB589" i="397"/>
  <c r="CA589" i="397"/>
  <c r="CF589" i="397" s="1"/>
  <c r="CH589" i="397" s="1"/>
  <c r="BZ589" i="397"/>
  <c r="BE589" i="397"/>
  <c r="BF589" i="397" s="1"/>
  <c r="CG589" i="397" s="1"/>
  <c r="BD589" i="397"/>
  <c r="Q589" i="397"/>
  <c r="A589" i="397"/>
  <c r="CE588" i="397"/>
  <c r="CD588" i="397"/>
  <c r="CC588" i="397"/>
  <c r="CF588" i="397" s="1"/>
  <c r="CH588" i="397" s="1"/>
  <c r="CB588" i="397"/>
  <c r="CA588" i="397"/>
  <c r="BZ588" i="397"/>
  <c r="BE588" i="397"/>
  <c r="BD588" i="397"/>
  <c r="Q588" i="397"/>
  <c r="A588" i="397"/>
  <c r="CE587" i="397"/>
  <c r="CD587" i="397"/>
  <c r="CC587" i="397"/>
  <c r="CB587" i="397"/>
  <c r="CA587" i="397"/>
  <c r="CF587" i="397" s="1"/>
  <c r="BZ587" i="397"/>
  <c r="BE587" i="397"/>
  <c r="BD587" i="397"/>
  <c r="A587" i="397"/>
  <c r="CG586" i="397"/>
  <c r="CE586" i="397"/>
  <c r="CD586" i="397"/>
  <c r="CC586" i="397"/>
  <c r="CF586" i="397" s="1"/>
  <c r="CH586" i="397" s="1"/>
  <c r="CB586" i="397"/>
  <c r="CA586" i="397"/>
  <c r="BZ586" i="397"/>
  <c r="Q586" i="397"/>
  <c r="A586" i="397"/>
  <c r="CE585" i="397"/>
  <c r="CD585" i="397"/>
  <c r="CC585" i="397"/>
  <c r="CB585" i="397"/>
  <c r="CA585" i="397"/>
  <c r="BZ585" i="397"/>
  <c r="CF585" i="397" s="1"/>
  <c r="BE585" i="397"/>
  <c r="BF585" i="397" s="1"/>
  <c r="CG585" i="397" s="1"/>
  <c r="BD585" i="397"/>
  <c r="Q585" i="397"/>
  <c r="A585" i="397"/>
  <c r="CE584" i="397"/>
  <c r="CD584" i="397"/>
  <c r="CC584" i="397"/>
  <c r="CB584" i="397"/>
  <c r="CA584" i="397"/>
  <c r="CF584" i="397" s="1"/>
  <c r="BZ584" i="397"/>
  <c r="BE584" i="397"/>
  <c r="BD584" i="397"/>
  <c r="Q584" i="397"/>
  <c r="A584" i="397"/>
  <c r="CE583" i="397"/>
  <c r="CD583" i="397"/>
  <c r="CC583" i="397"/>
  <c r="CB583" i="397"/>
  <c r="CA583" i="397"/>
  <c r="BZ583" i="397"/>
  <c r="CF583" i="397" s="1"/>
  <c r="BE583" i="397"/>
  <c r="BF583" i="397" s="1"/>
  <c r="CG583" i="397" s="1"/>
  <c r="BD583" i="397"/>
  <c r="Q583" i="397"/>
  <c r="A583" i="397"/>
  <c r="CG582" i="397"/>
  <c r="CE582" i="397"/>
  <c r="CD582" i="397"/>
  <c r="CC582" i="397"/>
  <c r="CB582" i="397"/>
  <c r="CF582" i="397" s="1"/>
  <c r="CH582" i="397" s="1"/>
  <c r="CA582" i="397"/>
  <c r="BZ582" i="397"/>
  <c r="Q582" i="397"/>
  <c r="A582" i="397"/>
  <c r="CE581" i="397"/>
  <c r="CD581" i="397"/>
  <c r="CC581" i="397"/>
  <c r="CB581" i="397"/>
  <c r="CA581" i="397"/>
  <c r="BZ581" i="397"/>
  <c r="BE581" i="397"/>
  <c r="BD581" i="397"/>
  <c r="Q581" i="397"/>
  <c r="A581" i="397"/>
  <c r="CE580" i="397"/>
  <c r="CD580" i="397"/>
  <c r="CC580" i="397"/>
  <c r="CB580" i="397"/>
  <c r="CA580" i="397"/>
  <c r="BZ580" i="397"/>
  <c r="CF580" i="397" s="1"/>
  <c r="CH580" i="397" s="1"/>
  <c r="BE580" i="397"/>
  <c r="BD580" i="397"/>
  <c r="Q580" i="397"/>
  <c r="A580" i="397"/>
  <c r="CE579" i="397"/>
  <c r="CD579" i="397"/>
  <c r="CC579" i="397"/>
  <c r="CB579" i="397"/>
  <c r="CA579" i="397"/>
  <c r="BZ579" i="397"/>
  <c r="BE579" i="397"/>
  <c r="BD579" i="397"/>
  <c r="Q579" i="397"/>
  <c r="A579" i="397"/>
  <c r="CE578" i="397"/>
  <c r="CD578" i="397"/>
  <c r="CC578" i="397"/>
  <c r="CB578" i="397"/>
  <c r="CA578" i="397"/>
  <c r="BZ578" i="397"/>
  <c r="CF578" i="397" s="1"/>
  <c r="BE578" i="397"/>
  <c r="BD578" i="397"/>
  <c r="Q578" i="397"/>
  <c r="A578" i="397"/>
  <c r="CE577" i="397"/>
  <c r="CD577" i="397"/>
  <c r="CC577" i="397"/>
  <c r="CB577" i="397"/>
  <c r="CA577" i="397"/>
  <c r="BZ577" i="397"/>
  <c r="BE577" i="397"/>
  <c r="BD577" i="397"/>
  <c r="Q577" i="397"/>
  <c r="A577" i="397"/>
  <c r="CE576" i="397"/>
  <c r="CD576" i="397"/>
  <c r="CC576" i="397"/>
  <c r="CB576" i="397"/>
  <c r="CA576" i="397"/>
  <c r="BZ576" i="397"/>
  <c r="CF576" i="397" s="1"/>
  <c r="CH576" i="397" s="1"/>
  <c r="BE576" i="397"/>
  <c r="BD576" i="397"/>
  <c r="BF576" i="397" s="1"/>
  <c r="CG576" i="397" s="1"/>
  <c r="Q576" i="397"/>
  <c r="A576" i="397"/>
  <c r="CE575" i="397"/>
  <c r="CD575" i="397"/>
  <c r="CC575" i="397"/>
  <c r="CB575" i="397"/>
  <c r="CA575" i="397"/>
  <c r="BZ575" i="397"/>
  <c r="BE575" i="397"/>
  <c r="BD575" i="397"/>
  <c r="Q575" i="397"/>
  <c r="A575" i="397"/>
  <c r="CE574" i="397"/>
  <c r="CD574" i="397"/>
  <c r="CC574" i="397"/>
  <c r="CB574" i="397"/>
  <c r="CA574" i="397"/>
  <c r="BZ574" i="397"/>
  <c r="CF574" i="397" s="1"/>
  <c r="CH574" i="397" s="1"/>
  <c r="BE574" i="397"/>
  <c r="BD574" i="397"/>
  <c r="Q574" i="397"/>
  <c r="A574" i="397"/>
  <c r="CE573" i="397"/>
  <c r="CD573" i="397"/>
  <c r="CC573" i="397"/>
  <c r="CB573" i="397"/>
  <c r="CA573" i="397"/>
  <c r="BZ573" i="397"/>
  <c r="BE573" i="397"/>
  <c r="BD573" i="397"/>
  <c r="Q573" i="397"/>
  <c r="A573" i="397"/>
  <c r="CE572" i="397"/>
  <c r="CD572" i="397"/>
  <c r="CC572" i="397"/>
  <c r="CB572" i="397"/>
  <c r="CA572" i="397"/>
  <c r="BZ572" i="397"/>
  <c r="CF572" i="397" s="1"/>
  <c r="CH572" i="397" s="1"/>
  <c r="BE572" i="397"/>
  <c r="BD572" i="397"/>
  <c r="Q572" i="397"/>
  <c r="A572" i="397"/>
  <c r="CE571" i="397"/>
  <c r="CD571" i="397"/>
  <c r="CF571" i="397" s="1"/>
  <c r="CC571" i="397"/>
  <c r="CB571" i="397"/>
  <c r="CA571" i="397"/>
  <c r="BZ571" i="397"/>
  <c r="BE571" i="397"/>
  <c r="BD571" i="397"/>
  <c r="Q571" i="397"/>
  <c r="A571" i="397"/>
  <c r="CE570" i="397"/>
  <c r="CD570" i="397"/>
  <c r="CC570" i="397"/>
  <c r="CB570" i="397"/>
  <c r="CA570" i="397"/>
  <c r="BZ570" i="397"/>
  <c r="CF570" i="397" s="1"/>
  <c r="BE570" i="397"/>
  <c r="BD570" i="397"/>
  <c r="Q570" i="397"/>
  <c r="A570" i="397"/>
  <c r="CE569" i="397"/>
  <c r="CD569" i="397"/>
  <c r="CF569" i="397" s="1"/>
  <c r="CC569" i="397"/>
  <c r="CB569" i="397"/>
  <c r="CA569" i="397"/>
  <c r="BZ569" i="397"/>
  <c r="BE569" i="397"/>
  <c r="BD569" i="397"/>
  <c r="Q569" i="397"/>
  <c r="A569" i="397"/>
  <c r="CE568" i="397"/>
  <c r="CD568" i="397"/>
  <c r="CC568" i="397"/>
  <c r="CB568" i="397"/>
  <c r="CA568" i="397"/>
  <c r="BZ568" i="397"/>
  <c r="CF568" i="397" s="1"/>
  <c r="CH568" i="397" s="1"/>
  <c r="BE568" i="397"/>
  <c r="BD568" i="397"/>
  <c r="Q568" i="397"/>
  <c r="A568" i="397"/>
  <c r="CE567" i="397"/>
  <c r="CD567" i="397"/>
  <c r="CC567" i="397"/>
  <c r="CB567" i="397"/>
  <c r="CA567" i="397"/>
  <c r="BZ567" i="397"/>
  <c r="BE567" i="397"/>
  <c r="BD567" i="397"/>
  <c r="Q567" i="397"/>
  <c r="A567" i="397"/>
  <c r="CE566" i="397"/>
  <c r="CD566" i="397"/>
  <c r="CC566" i="397"/>
  <c r="CB566" i="397"/>
  <c r="CA566" i="397"/>
  <c r="BZ566" i="397"/>
  <c r="CF566" i="397" s="1"/>
  <c r="BE566" i="397"/>
  <c r="BD566" i="397"/>
  <c r="BF566" i="397" s="1"/>
  <c r="CG566" i="397" s="1"/>
  <c r="Q566" i="397"/>
  <c r="A566" i="397"/>
  <c r="CE565" i="397"/>
  <c r="CD565" i="397"/>
  <c r="CC565" i="397"/>
  <c r="CB565" i="397"/>
  <c r="CA565" i="397"/>
  <c r="BZ565" i="397"/>
  <c r="BE565" i="397"/>
  <c r="BD565" i="397"/>
  <c r="BF565" i="397" s="1"/>
  <c r="CG565" i="397" s="1"/>
  <c r="Q565" i="397"/>
  <c r="A565" i="397"/>
  <c r="CE564" i="397"/>
  <c r="CD564" i="397"/>
  <c r="CC564" i="397"/>
  <c r="CB564" i="397"/>
  <c r="CA564" i="397"/>
  <c r="BZ564" i="397"/>
  <c r="CF564" i="397" s="1"/>
  <c r="BE564" i="397"/>
  <c r="BD564" i="397"/>
  <c r="Q564" i="397"/>
  <c r="A564" i="397"/>
  <c r="CE563" i="397"/>
  <c r="CD563" i="397"/>
  <c r="CC563" i="397"/>
  <c r="CB563" i="397"/>
  <c r="CA563" i="397"/>
  <c r="BZ563" i="397"/>
  <c r="BE563" i="397"/>
  <c r="BD563" i="397"/>
  <c r="Q563" i="397"/>
  <c r="A563" i="397"/>
  <c r="CE562" i="397"/>
  <c r="CD562" i="397"/>
  <c r="CC562" i="397"/>
  <c r="CB562" i="397"/>
  <c r="CA562" i="397"/>
  <c r="BZ562" i="397"/>
  <c r="CF562" i="397" s="1"/>
  <c r="CH562" i="397" s="1"/>
  <c r="BE562" i="397"/>
  <c r="BD562" i="397"/>
  <c r="BF562" i="397" s="1"/>
  <c r="CG562" i="397" s="1"/>
  <c r="Q562" i="397"/>
  <c r="A562" i="397"/>
  <c r="CE561" i="397"/>
  <c r="CD561" i="397"/>
  <c r="CC561" i="397"/>
  <c r="CB561" i="397"/>
  <c r="CA561" i="397"/>
  <c r="BZ561" i="397"/>
  <c r="BE561" i="397"/>
  <c r="BD561" i="397"/>
  <c r="Q561" i="397"/>
  <c r="A561" i="397"/>
  <c r="CE560" i="397"/>
  <c r="CD560" i="397"/>
  <c r="CC560" i="397"/>
  <c r="CB560" i="397"/>
  <c r="CA560" i="397"/>
  <c r="BZ560" i="397"/>
  <c r="CF560" i="397" s="1"/>
  <c r="BE560" i="397"/>
  <c r="BD560" i="397"/>
  <c r="BF560" i="397" s="1"/>
  <c r="CG560" i="397" s="1"/>
  <c r="Q560" i="397"/>
  <c r="A560" i="397"/>
  <c r="CE559" i="397"/>
  <c r="CD559" i="397"/>
  <c r="CC559" i="397"/>
  <c r="CB559" i="397"/>
  <c r="CA559" i="397"/>
  <c r="BZ559" i="397"/>
  <c r="BE559" i="397"/>
  <c r="BD559" i="397"/>
  <c r="Q559" i="397"/>
  <c r="A559" i="397"/>
  <c r="CE558" i="397"/>
  <c r="CD558" i="397"/>
  <c r="CC558" i="397"/>
  <c r="CB558" i="397"/>
  <c r="CA558" i="397"/>
  <c r="BZ558" i="397"/>
  <c r="CF558" i="397" s="1"/>
  <c r="BE558" i="397"/>
  <c r="BD558" i="397"/>
  <c r="Q558" i="397"/>
  <c r="A558" i="397"/>
  <c r="CE557" i="397"/>
  <c r="CD557" i="397"/>
  <c r="CC557" i="397"/>
  <c r="CB557" i="397"/>
  <c r="CA557" i="397"/>
  <c r="BZ557" i="397"/>
  <c r="BE557" i="397"/>
  <c r="BD557" i="397"/>
  <c r="A557" i="397"/>
  <c r="CE556" i="397"/>
  <c r="CD556" i="397"/>
  <c r="CC556" i="397"/>
  <c r="CB556" i="397"/>
  <c r="CA556" i="397"/>
  <c r="BZ556" i="397"/>
  <c r="CF556" i="397" s="1"/>
  <c r="BE556" i="397"/>
  <c r="BD556" i="397"/>
  <c r="Q556" i="397"/>
  <c r="A556" i="397"/>
  <c r="CE555" i="397"/>
  <c r="CD555" i="397"/>
  <c r="CC555" i="397"/>
  <c r="CB555" i="397"/>
  <c r="CA555" i="397"/>
  <c r="BZ555" i="397"/>
  <c r="BE555" i="397"/>
  <c r="BD555" i="397"/>
  <c r="BF555" i="397" s="1"/>
  <c r="CG555" i="397" s="1"/>
  <c r="Q555" i="397"/>
  <c r="A555" i="397"/>
  <c r="CE554" i="397"/>
  <c r="CD554" i="397"/>
  <c r="CC554" i="397"/>
  <c r="CB554" i="397"/>
  <c r="CA554" i="397"/>
  <c r="BZ554" i="397"/>
  <c r="BE554" i="397"/>
  <c r="BD554" i="397"/>
  <c r="Q554" i="397"/>
  <c r="A554" i="397"/>
  <c r="CE553" i="397"/>
  <c r="CD553" i="397"/>
  <c r="CC553" i="397"/>
  <c r="CB553" i="397"/>
  <c r="CA553" i="397"/>
  <c r="BZ553" i="397"/>
  <c r="BE553" i="397"/>
  <c r="BD553" i="397"/>
  <c r="BF553" i="397" s="1"/>
  <c r="CG553" i="397" s="1"/>
  <c r="Q553" i="397"/>
  <c r="A553" i="397"/>
  <c r="CE552" i="397"/>
  <c r="CD552" i="397"/>
  <c r="CC552" i="397"/>
  <c r="CB552" i="397"/>
  <c r="CA552" i="397"/>
  <c r="BZ552" i="397"/>
  <c r="BE552" i="397"/>
  <c r="BF552" i="397" s="1"/>
  <c r="CG552" i="397" s="1"/>
  <c r="BD552" i="397"/>
  <c r="Q552" i="397"/>
  <c r="A552" i="397"/>
  <c r="CE551" i="397"/>
  <c r="CD551" i="397"/>
  <c r="CC551" i="397"/>
  <c r="CF551" i="397" s="1"/>
  <c r="CB551" i="397"/>
  <c r="CA551" i="397"/>
  <c r="BZ551" i="397"/>
  <c r="BE551" i="397"/>
  <c r="BD551" i="397"/>
  <c r="BF551" i="397" s="1"/>
  <c r="CG551" i="397" s="1"/>
  <c r="CH551" i="397" s="1"/>
  <c r="Q551" i="397"/>
  <c r="A551" i="397"/>
  <c r="CE550" i="397"/>
  <c r="CD550" i="397"/>
  <c r="CC550" i="397"/>
  <c r="CB550" i="397"/>
  <c r="CA550" i="397"/>
  <c r="BZ550" i="397"/>
  <c r="CF550" i="397" s="1"/>
  <c r="BE550" i="397"/>
  <c r="BF550" i="397" s="1"/>
  <c r="CG550" i="397" s="1"/>
  <c r="BD550" i="397"/>
  <c r="Q550" i="397"/>
  <c r="A550" i="397"/>
  <c r="CE549" i="397"/>
  <c r="CD549" i="397"/>
  <c r="CC549" i="397"/>
  <c r="CB549" i="397"/>
  <c r="CA549" i="397"/>
  <c r="BZ549" i="397"/>
  <c r="BE549" i="397"/>
  <c r="BD549" i="397"/>
  <c r="BF549" i="397" s="1"/>
  <c r="CG549" i="397" s="1"/>
  <c r="Q549" i="397"/>
  <c r="A549" i="397"/>
  <c r="CE548" i="397"/>
  <c r="CD548" i="397"/>
  <c r="CC548" i="397"/>
  <c r="CB548" i="397"/>
  <c r="CA548" i="397"/>
  <c r="BZ548" i="397"/>
  <c r="CF548" i="397" s="1"/>
  <c r="BE548" i="397"/>
  <c r="BD548" i="397"/>
  <c r="Q548" i="397"/>
  <c r="A548" i="397"/>
  <c r="CE547" i="397"/>
  <c r="CD547" i="397"/>
  <c r="CC547" i="397"/>
  <c r="CB547" i="397"/>
  <c r="CA547" i="397"/>
  <c r="BZ547" i="397"/>
  <c r="BE547" i="397"/>
  <c r="BD547" i="397"/>
  <c r="BF547" i="397" s="1"/>
  <c r="CG547" i="397" s="1"/>
  <c r="Q547" i="397"/>
  <c r="A547" i="397"/>
  <c r="CE546" i="397"/>
  <c r="CD546" i="397"/>
  <c r="CC546" i="397"/>
  <c r="CB546" i="397"/>
  <c r="CA546" i="397"/>
  <c r="BZ546" i="397"/>
  <c r="CF546" i="397" s="1"/>
  <c r="BE546" i="397"/>
  <c r="BF546" i="397" s="1"/>
  <c r="CG546" i="397" s="1"/>
  <c r="BD546" i="397"/>
  <c r="Q546" i="397"/>
  <c r="A546" i="397"/>
  <c r="CE545" i="397"/>
  <c r="CD545" i="397"/>
  <c r="CC545" i="397"/>
  <c r="CB545" i="397"/>
  <c r="CA545" i="397"/>
  <c r="BZ545" i="397"/>
  <c r="BE545" i="397"/>
  <c r="BD545" i="397"/>
  <c r="BF545" i="397" s="1"/>
  <c r="CG545" i="397" s="1"/>
  <c r="Q545" i="397"/>
  <c r="A545" i="397"/>
  <c r="CE544" i="397"/>
  <c r="CD544" i="397"/>
  <c r="CC544" i="397"/>
  <c r="CB544" i="397"/>
  <c r="CA544" i="397"/>
  <c r="BZ544" i="397"/>
  <c r="BE544" i="397"/>
  <c r="BF544" i="397" s="1"/>
  <c r="CG544" i="397" s="1"/>
  <c r="BD544" i="397"/>
  <c r="Q544" i="397"/>
  <c r="A544" i="397"/>
  <c r="CE543" i="397"/>
  <c r="CD543" i="397"/>
  <c r="CC543" i="397"/>
  <c r="CB543" i="397"/>
  <c r="CA543" i="397"/>
  <c r="BZ543" i="397"/>
  <c r="BE543" i="397"/>
  <c r="BD543" i="397"/>
  <c r="BF543" i="397" s="1"/>
  <c r="CG543" i="397" s="1"/>
  <c r="Q543" i="397"/>
  <c r="A543" i="397"/>
  <c r="CE542" i="397"/>
  <c r="CD542" i="397"/>
  <c r="CC542" i="397"/>
  <c r="CB542" i="397"/>
  <c r="CA542" i="397"/>
  <c r="BZ542" i="397"/>
  <c r="CF542" i="397" s="1"/>
  <c r="BE542" i="397"/>
  <c r="BF542" i="397" s="1"/>
  <c r="CG542" i="397" s="1"/>
  <c r="BD542" i="397"/>
  <c r="Q542" i="397"/>
  <c r="A542" i="397"/>
  <c r="CE541" i="397"/>
  <c r="CD541" i="397"/>
  <c r="CC541" i="397"/>
  <c r="CB541" i="397"/>
  <c r="CA541" i="397"/>
  <c r="BZ541" i="397"/>
  <c r="BE541" i="397"/>
  <c r="BD541" i="397"/>
  <c r="BF541" i="397" s="1"/>
  <c r="CG541" i="397" s="1"/>
  <c r="Q541" i="397"/>
  <c r="A541" i="397"/>
  <c r="CE540" i="397"/>
  <c r="CD540" i="397"/>
  <c r="CC540" i="397"/>
  <c r="CB540" i="397"/>
  <c r="CA540" i="397"/>
  <c r="BZ540" i="397"/>
  <c r="BE540" i="397"/>
  <c r="BF540" i="397" s="1"/>
  <c r="CG540" i="397" s="1"/>
  <c r="BD540" i="397"/>
  <c r="Q540" i="397"/>
  <c r="A540" i="397"/>
  <c r="CE539" i="397"/>
  <c r="CD539" i="397"/>
  <c r="CC539" i="397"/>
  <c r="CB539" i="397"/>
  <c r="CA539" i="397"/>
  <c r="BZ539" i="397"/>
  <c r="BE539" i="397"/>
  <c r="BD539" i="397"/>
  <c r="BF539" i="397" s="1"/>
  <c r="CG539" i="397" s="1"/>
  <c r="Q539" i="397"/>
  <c r="A539" i="397"/>
  <c r="CE538" i="397"/>
  <c r="CD538" i="397"/>
  <c r="CC538" i="397"/>
  <c r="CB538" i="397"/>
  <c r="CA538" i="397"/>
  <c r="BZ538" i="397"/>
  <c r="CF538" i="397" s="1"/>
  <c r="CH538" i="397" s="1"/>
  <c r="BE538" i="397"/>
  <c r="BF538" i="397" s="1"/>
  <c r="CG538" i="397" s="1"/>
  <c r="BD538" i="397"/>
  <c r="Q538" i="397"/>
  <c r="A538" i="397"/>
  <c r="CE537" i="397"/>
  <c r="CD537" i="397"/>
  <c r="CC537" i="397"/>
  <c r="CB537" i="397"/>
  <c r="CA537" i="397"/>
  <c r="BZ537" i="397"/>
  <c r="BE537" i="397"/>
  <c r="BD537" i="397"/>
  <c r="BF537" i="397" s="1"/>
  <c r="CG537" i="397" s="1"/>
  <c r="Q537" i="397"/>
  <c r="A537" i="397"/>
  <c r="CE536" i="397"/>
  <c r="CD536" i="397"/>
  <c r="CC536" i="397"/>
  <c r="CB536" i="397"/>
  <c r="CA536" i="397"/>
  <c r="BZ536" i="397"/>
  <c r="BE536" i="397"/>
  <c r="BF536" i="397" s="1"/>
  <c r="CG536" i="397" s="1"/>
  <c r="BD536" i="397"/>
  <c r="Q536" i="397"/>
  <c r="A536" i="397"/>
  <c r="CE535" i="397"/>
  <c r="CD535" i="397"/>
  <c r="CC535" i="397"/>
  <c r="CF535" i="397" s="1"/>
  <c r="CB535" i="397"/>
  <c r="CA535" i="397"/>
  <c r="BZ535" i="397"/>
  <c r="BE535" i="397"/>
  <c r="BD535" i="397"/>
  <c r="BF535" i="397" s="1"/>
  <c r="CG535" i="397" s="1"/>
  <c r="CH535" i="397" s="1"/>
  <c r="Q535" i="397"/>
  <c r="A535" i="397"/>
  <c r="CE534" i="397"/>
  <c r="CD534" i="397"/>
  <c r="CC534" i="397"/>
  <c r="CB534" i="397"/>
  <c r="CA534" i="397"/>
  <c r="BZ534" i="397"/>
  <c r="BE534" i="397"/>
  <c r="BF534" i="397" s="1"/>
  <c r="CG534" i="397" s="1"/>
  <c r="BD534" i="397"/>
  <c r="Q534" i="397"/>
  <c r="A534" i="397"/>
  <c r="CE533" i="397"/>
  <c r="CD533" i="397"/>
  <c r="CC533" i="397"/>
  <c r="CB533" i="397"/>
  <c r="CA533" i="397"/>
  <c r="BZ533" i="397"/>
  <c r="BE533" i="397"/>
  <c r="BD533" i="397"/>
  <c r="BF533" i="397" s="1"/>
  <c r="CG533" i="397" s="1"/>
  <c r="Q533" i="397"/>
  <c r="A533" i="397"/>
  <c r="CE532" i="397"/>
  <c r="CD532" i="397"/>
  <c r="CC532" i="397"/>
  <c r="CB532" i="397"/>
  <c r="CA532" i="397"/>
  <c r="BZ532" i="397"/>
  <c r="CF532" i="397" s="1"/>
  <c r="BE532" i="397"/>
  <c r="BF532" i="397" s="1"/>
  <c r="BD532" i="397"/>
  <c r="Q532" i="397"/>
  <c r="A532" i="397"/>
  <c r="CE531" i="397"/>
  <c r="CD531" i="397"/>
  <c r="CC531" i="397"/>
  <c r="CF531" i="397" s="1"/>
  <c r="CB531" i="397"/>
  <c r="CA531" i="397"/>
  <c r="BZ531" i="397"/>
  <c r="BE531" i="397"/>
  <c r="BD531" i="397"/>
  <c r="BF531" i="397" s="1"/>
  <c r="CG531" i="397" s="1"/>
  <c r="CH531" i="397" s="1"/>
  <c r="Q531" i="397"/>
  <c r="A531" i="397"/>
  <c r="CE530" i="397"/>
  <c r="CD530" i="397"/>
  <c r="CC530" i="397"/>
  <c r="CB530" i="397"/>
  <c r="CA530" i="397"/>
  <c r="BZ530" i="397"/>
  <c r="BE530" i="397"/>
  <c r="BF530" i="397" s="1"/>
  <c r="CG530" i="397" s="1"/>
  <c r="BD530" i="397"/>
  <c r="Q530" i="397"/>
  <c r="A530" i="397"/>
  <c r="CE529" i="397"/>
  <c r="CD529" i="397"/>
  <c r="CC529" i="397"/>
  <c r="CB529" i="397"/>
  <c r="CA529" i="397"/>
  <c r="BZ529" i="397"/>
  <c r="BE529" i="397"/>
  <c r="BD529" i="397"/>
  <c r="BF529" i="397" s="1"/>
  <c r="CG529" i="397" s="1"/>
  <c r="Q529" i="397"/>
  <c r="A529" i="397"/>
  <c r="CE528" i="397"/>
  <c r="CD528" i="397"/>
  <c r="CC528" i="397"/>
  <c r="CB528" i="397"/>
  <c r="CA528" i="397"/>
  <c r="BZ528" i="397"/>
  <c r="CF528" i="397" s="1"/>
  <c r="BE528" i="397"/>
  <c r="BF528" i="397" s="1"/>
  <c r="CG528" i="397" s="1"/>
  <c r="BD528" i="397"/>
  <c r="Q528" i="397"/>
  <c r="A528" i="397"/>
  <c r="CE527" i="397"/>
  <c r="CD527" i="397"/>
  <c r="CC527" i="397"/>
  <c r="CB527" i="397"/>
  <c r="CA527" i="397"/>
  <c r="BZ527" i="397"/>
  <c r="BE527" i="397"/>
  <c r="BD527" i="397"/>
  <c r="BF527" i="397" s="1"/>
  <c r="CG527" i="397" s="1"/>
  <c r="Q527" i="397"/>
  <c r="A527" i="397"/>
  <c r="CE526" i="397"/>
  <c r="CD526" i="397"/>
  <c r="CC526" i="397"/>
  <c r="CB526" i="397"/>
  <c r="CA526" i="397"/>
  <c r="BZ526" i="397"/>
  <c r="BE526" i="397"/>
  <c r="BF526" i="397" s="1"/>
  <c r="BD526" i="397"/>
  <c r="Q526" i="397"/>
  <c r="A526" i="397"/>
  <c r="CE525" i="397"/>
  <c r="CD525" i="397"/>
  <c r="CC525" i="397"/>
  <c r="CB525" i="397"/>
  <c r="CA525" i="397"/>
  <c r="BZ525" i="397"/>
  <c r="BE525" i="397"/>
  <c r="BD525" i="397"/>
  <c r="BF525" i="397" s="1"/>
  <c r="CG525" i="397" s="1"/>
  <c r="Q525" i="397"/>
  <c r="A525" i="397"/>
  <c r="CE524" i="397"/>
  <c r="CD524" i="397"/>
  <c r="CC524" i="397"/>
  <c r="CB524" i="397"/>
  <c r="CA524" i="397"/>
  <c r="BZ524" i="397"/>
  <c r="BE524" i="397"/>
  <c r="BF524" i="397" s="1"/>
  <c r="CG524" i="397" s="1"/>
  <c r="CH524" i="397" s="1"/>
  <c r="BD524" i="397"/>
  <c r="Q524" i="397"/>
  <c r="A524" i="397"/>
  <c r="CE523" i="397"/>
  <c r="CD523" i="397"/>
  <c r="CC523" i="397"/>
  <c r="CB523" i="397"/>
  <c r="CA523" i="397"/>
  <c r="BZ523" i="397"/>
  <c r="BE523" i="397"/>
  <c r="BD523" i="397"/>
  <c r="BF523" i="397" s="1"/>
  <c r="CG523" i="397" s="1"/>
  <c r="CH523" i="397" s="1"/>
  <c r="Q523" i="397"/>
  <c r="A523" i="397"/>
  <c r="CE522" i="397"/>
  <c r="CD522" i="397"/>
  <c r="CC522" i="397"/>
  <c r="CB522" i="397"/>
  <c r="CA522" i="397"/>
  <c r="BZ522" i="397"/>
  <c r="CF522" i="397" s="1"/>
  <c r="BE522" i="397"/>
  <c r="BD522" i="397"/>
  <c r="Q522" i="397"/>
  <c r="A522" i="397"/>
  <c r="CE521" i="397"/>
  <c r="CD521" i="397"/>
  <c r="CC521" i="397"/>
  <c r="CB521" i="397"/>
  <c r="CA521" i="397"/>
  <c r="BZ521" i="397"/>
  <c r="BE521" i="397"/>
  <c r="BD521" i="397"/>
  <c r="Q521" i="397"/>
  <c r="A521" i="397"/>
  <c r="CE520" i="397"/>
  <c r="CD520" i="397"/>
  <c r="CC520" i="397"/>
  <c r="CB520" i="397"/>
  <c r="CA520" i="397"/>
  <c r="BZ520" i="397"/>
  <c r="CF520" i="397" s="1"/>
  <c r="BE520" i="397"/>
  <c r="BF520" i="397" s="1"/>
  <c r="CG520" i="397" s="1"/>
  <c r="BD520" i="397"/>
  <c r="Q520" i="397"/>
  <c r="A520" i="397"/>
  <c r="CE519" i="397"/>
  <c r="CD519" i="397"/>
  <c r="CC519" i="397"/>
  <c r="CF519" i="397" s="1"/>
  <c r="CB519" i="397"/>
  <c r="CA519" i="397"/>
  <c r="BZ519" i="397"/>
  <c r="BE519" i="397"/>
  <c r="BD519" i="397"/>
  <c r="BF519" i="397" s="1"/>
  <c r="CG519" i="397" s="1"/>
  <c r="Q519" i="397"/>
  <c r="A519" i="397"/>
  <c r="CE518" i="397"/>
  <c r="CD518" i="397"/>
  <c r="CC518" i="397"/>
  <c r="CB518" i="397"/>
  <c r="CA518" i="397"/>
  <c r="BZ518" i="397"/>
  <c r="CF518" i="397" s="1"/>
  <c r="BE518" i="397"/>
  <c r="BF518" i="397" s="1"/>
  <c r="CG518" i="397" s="1"/>
  <c r="BD518" i="397"/>
  <c r="Q518" i="397"/>
  <c r="A518" i="397"/>
  <c r="CE517" i="397"/>
  <c r="CD517" i="397"/>
  <c r="CC517" i="397"/>
  <c r="CB517" i="397"/>
  <c r="CA517" i="397"/>
  <c r="BZ517" i="397"/>
  <c r="BE517" i="397"/>
  <c r="BD517" i="397"/>
  <c r="BF517" i="397" s="1"/>
  <c r="CG517" i="397" s="1"/>
  <c r="Q517" i="397"/>
  <c r="A517" i="397"/>
  <c r="CE516" i="397"/>
  <c r="CD516" i="397"/>
  <c r="CC516" i="397"/>
  <c r="CB516" i="397"/>
  <c r="CA516" i="397"/>
  <c r="BZ516" i="397"/>
  <c r="CF516" i="397" s="1"/>
  <c r="CH516" i="397" s="1"/>
  <c r="BE516" i="397"/>
  <c r="BF516" i="397" s="1"/>
  <c r="CG516" i="397" s="1"/>
  <c r="BD516" i="397"/>
  <c r="Q516" i="397"/>
  <c r="A516" i="397"/>
  <c r="CE515" i="397"/>
  <c r="CD515" i="397"/>
  <c r="CC515" i="397"/>
  <c r="CF515" i="397" s="1"/>
  <c r="CB515" i="397"/>
  <c r="CA515" i="397"/>
  <c r="BZ515" i="397"/>
  <c r="BE515" i="397"/>
  <c r="BD515" i="397"/>
  <c r="BF515" i="397" s="1"/>
  <c r="CG515" i="397" s="1"/>
  <c r="CH515" i="397" s="1"/>
  <c r="Q515" i="397"/>
  <c r="A515" i="397"/>
  <c r="CE514" i="397"/>
  <c r="CD514" i="397"/>
  <c r="CC514" i="397"/>
  <c r="CB514" i="397"/>
  <c r="CA514" i="397"/>
  <c r="BZ514" i="397"/>
  <c r="CF514" i="397" s="1"/>
  <c r="BE514" i="397"/>
  <c r="BD514" i="397"/>
  <c r="Q514" i="397"/>
  <c r="A514" i="397"/>
  <c r="CE513" i="397"/>
  <c r="CD513" i="397"/>
  <c r="CC513" i="397"/>
  <c r="CF513" i="397" s="1"/>
  <c r="CB513" i="397"/>
  <c r="CA513" i="397"/>
  <c r="BZ513" i="397"/>
  <c r="BE513" i="397"/>
  <c r="BD513" i="397"/>
  <c r="BF513" i="397" s="1"/>
  <c r="CG513" i="397" s="1"/>
  <c r="CH513" i="397" s="1"/>
  <c r="Q513" i="397"/>
  <c r="A513" i="397"/>
  <c r="CE512" i="397"/>
  <c r="CD512" i="397"/>
  <c r="CC512" i="397"/>
  <c r="CB512" i="397"/>
  <c r="CA512" i="397"/>
  <c r="BZ512" i="397"/>
  <c r="CF512" i="397" s="1"/>
  <c r="BE512" i="397"/>
  <c r="BD512" i="397"/>
  <c r="Q512" i="397"/>
  <c r="A512" i="397"/>
  <c r="CE511" i="397"/>
  <c r="CD511" i="397"/>
  <c r="CC511" i="397"/>
  <c r="CF511" i="397" s="1"/>
  <c r="CB511" i="397"/>
  <c r="CA511" i="397"/>
  <c r="BZ511" i="397"/>
  <c r="BE511" i="397"/>
  <c r="BD511" i="397"/>
  <c r="BF511" i="397" s="1"/>
  <c r="CG511" i="397" s="1"/>
  <c r="CH511" i="397" s="1"/>
  <c r="Q511" i="397"/>
  <c r="A511" i="397"/>
  <c r="CE510" i="397"/>
  <c r="CD510" i="397"/>
  <c r="CC510" i="397"/>
  <c r="CB510" i="397"/>
  <c r="CA510" i="397"/>
  <c r="BZ510" i="397"/>
  <c r="BE510" i="397"/>
  <c r="BF510" i="397" s="1"/>
  <c r="CG510" i="397" s="1"/>
  <c r="BD510" i="397"/>
  <c r="Q510" i="397"/>
  <c r="A510" i="397"/>
  <c r="CE509" i="397"/>
  <c r="CD509" i="397"/>
  <c r="CC509" i="397"/>
  <c r="CF509" i="397" s="1"/>
  <c r="CB509" i="397"/>
  <c r="CA509" i="397"/>
  <c r="BZ509" i="397"/>
  <c r="BE509" i="397"/>
  <c r="BD509" i="397"/>
  <c r="BF509" i="397" s="1"/>
  <c r="Q509" i="397"/>
  <c r="A509" i="397"/>
  <c r="CE508" i="397"/>
  <c r="CD508" i="397"/>
  <c r="CC508" i="397"/>
  <c r="CB508" i="397"/>
  <c r="CA508" i="397"/>
  <c r="BZ508" i="397"/>
  <c r="BE508" i="397"/>
  <c r="BF508" i="397" s="1"/>
  <c r="CG508" i="397" s="1"/>
  <c r="BD508" i="397"/>
  <c r="Q508" i="397"/>
  <c r="A508" i="397"/>
  <c r="CE507" i="397"/>
  <c r="CD507" i="397"/>
  <c r="CC507" i="397"/>
  <c r="CB507" i="397"/>
  <c r="CA507" i="397"/>
  <c r="BZ507" i="397"/>
  <c r="BE507" i="397"/>
  <c r="BD507" i="397"/>
  <c r="BF507" i="397" s="1"/>
  <c r="CG507" i="397" s="1"/>
  <c r="CH507" i="397" s="1"/>
  <c r="Q507" i="397"/>
  <c r="A507" i="397"/>
  <c r="CE506" i="397"/>
  <c r="CD506" i="397"/>
  <c r="CC506" i="397"/>
  <c r="CB506" i="397"/>
  <c r="CA506" i="397"/>
  <c r="BZ506" i="397"/>
  <c r="CF506" i="397" s="1"/>
  <c r="CH506" i="397" s="1"/>
  <c r="BE506" i="397"/>
  <c r="BF506" i="397" s="1"/>
  <c r="CG506" i="397" s="1"/>
  <c r="BD506" i="397"/>
  <c r="Q506" i="397"/>
  <c r="A506" i="397"/>
  <c r="CE505" i="397"/>
  <c r="CD505" i="397"/>
  <c r="CC505" i="397"/>
  <c r="CF505" i="397" s="1"/>
  <c r="CB505" i="397"/>
  <c r="CA505" i="397"/>
  <c r="BZ505" i="397"/>
  <c r="BE505" i="397"/>
  <c r="BD505" i="397"/>
  <c r="BF505" i="397" s="1"/>
  <c r="CG505" i="397" s="1"/>
  <c r="CH505" i="397" s="1"/>
  <c r="Q505" i="397"/>
  <c r="A505" i="397"/>
  <c r="CE504" i="397"/>
  <c r="CD504" i="397"/>
  <c r="CC504" i="397"/>
  <c r="CB504" i="397"/>
  <c r="CA504" i="397"/>
  <c r="BZ504" i="397"/>
  <c r="CF504" i="397" s="1"/>
  <c r="CH504" i="397" s="1"/>
  <c r="BE504" i="397"/>
  <c r="BF504" i="397" s="1"/>
  <c r="CG504" i="397" s="1"/>
  <c r="BD504" i="397"/>
  <c r="Q504" i="397"/>
  <c r="A504" i="397"/>
  <c r="CE503" i="397"/>
  <c r="CD503" i="397"/>
  <c r="CC503" i="397"/>
  <c r="CB503" i="397"/>
  <c r="CA503" i="397"/>
  <c r="BZ503" i="397"/>
  <c r="BE503" i="397"/>
  <c r="BD503" i="397"/>
  <c r="BF503" i="397" s="1"/>
  <c r="CG503" i="397" s="1"/>
  <c r="CH503" i="397" s="1"/>
  <c r="Q503" i="397"/>
  <c r="A503" i="397"/>
  <c r="CE502" i="397"/>
  <c r="CD502" i="397"/>
  <c r="CC502" i="397"/>
  <c r="CB502" i="397"/>
  <c r="CA502" i="397"/>
  <c r="BZ502" i="397"/>
  <c r="CF502" i="397" s="1"/>
  <c r="BE502" i="397"/>
  <c r="BF502" i="397" s="1"/>
  <c r="CG502" i="397" s="1"/>
  <c r="CH502" i="397" s="1"/>
  <c r="BD502" i="397"/>
  <c r="Q502" i="397"/>
  <c r="A502" i="397"/>
  <c r="CE501" i="397"/>
  <c r="CD501" i="397"/>
  <c r="CC501" i="397"/>
  <c r="CB501" i="397"/>
  <c r="CA501" i="397"/>
  <c r="BZ501" i="397"/>
  <c r="BE501" i="397"/>
  <c r="BD501" i="397"/>
  <c r="BF501" i="397" s="1"/>
  <c r="CG501" i="397" s="1"/>
  <c r="CH501" i="397" s="1"/>
  <c r="Q501" i="397"/>
  <c r="A501" i="397"/>
  <c r="Q402" i="397"/>
  <c r="CE500" i="397"/>
  <c r="CD500" i="397"/>
  <c r="CC500" i="397"/>
  <c r="CB500" i="397"/>
  <c r="CA500" i="397"/>
  <c r="BZ500" i="397"/>
  <c r="BE500" i="397"/>
  <c r="BD500" i="397"/>
  <c r="Q500" i="397"/>
  <c r="A500" i="397"/>
  <c r="CE499" i="397"/>
  <c r="CD499" i="397"/>
  <c r="CC499" i="397"/>
  <c r="CB499" i="397"/>
  <c r="CA499" i="397"/>
  <c r="BZ499" i="397"/>
  <c r="BE499" i="397"/>
  <c r="BD499" i="397"/>
  <c r="Q499" i="397"/>
  <c r="A499" i="397"/>
  <c r="CE498" i="397"/>
  <c r="CD498" i="397"/>
  <c r="CC498" i="397"/>
  <c r="CB498" i="397"/>
  <c r="CA498" i="397"/>
  <c r="BZ498" i="397"/>
  <c r="CF498" i="397" s="1"/>
  <c r="CH498" i="397" s="1"/>
  <c r="BE498" i="397"/>
  <c r="BD498" i="397"/>
  <c r="Q498" i="397"/>
  <c r="A498" i="397"/>
  <c r="CE497" i="397"/>
  <c r="CD497" i="397"/>
  <c r="CC497" i="397"/>
  <c r="CB497" i="397"/>
  <c r="CA497" i="397"/>
  <c r="BZ497" i="397"/>
  <c r="BE497" i="397"/>
  <c r="BF497" i="397" s="1"/>
  <c r="CG497" i="397" s="1"/>
  <c r="CH497" i="397" s="1"/>
  <c r="BD497" i="397"/>
  <c r="Q497" i="397"/>
  <c r="A497" i="397"/>
  <c r="CE496" i="397"/>
  <c r="CD496" i="397"/>
  <c r="CC496" i="397"/>
  <c r="CB496" i="397"/>
  <c r="CA496" i="397"/>
  <c r="BZ496" i="397"/>
  <c r="CF496" i="397" s="1"/>
  <c r="BE496" i="397"/>
  <c r="BD496" i="397"/>
  <c r="BF496" i="397" s="1"/>
  <c r="Q496" i="397"/>
  <c r="A496" i="397"/>
  <c r="CE495" i="397"/>
  <c r="CD495" i="397"/>
  <c r="CF495" i="397" s="1"/>
  <c r="CC495" i="397"/>
  <c r="CB495" i="397"/>
  <c r="CA495" i="397"/>
  <c r="BZ495" i="397"/>
  <c r="BE495" i="397"/>
  <c r="BD495" i="397"/>
  <c r="Q495" i="397"/>
  <c r="A495" i="397"/>
  <c r="CE494" i="397"/>
  <c r="CD494" i="397"/>
  <c r="CC494" i="397"/>
  <c r="CB494" i="397"/>
  <c r="CA494" i="397"/>
  <c r="BZ494" i="397"/>
  <c r="CF494" i="397" s="1"/>
  <c r="BE494" i="397"/>
  <c r="BD494" i="397"/>
  <c r="Q494" i="397"/>
  <c r="A494" i="397"/>
  <c r="CE493" i="397"/>
  <c r="CD493" i="397"/>
  <c r="CF493" i="397" s="1"/>
  <c r="CC493" i="397"/>
  <c r="CB493" i="397"/>
  <c r="CA493" i="397"/>
  <c r="BZ493" i="397"/>
  <c r="BE493" i="397"/>
  <c r="BD493" i="397"/>
  <c r="Q493" i="397"/>
  <c r="A493" i="397"/>
  <c r="CE492" i="397"/>
  <c r="CD492" i="397"/>
  <c r="CC492" i="397"/>
  <c r="CB492" i="397"/>
  <c r="CA492" i="397"/>
  <c r="BZ492" i="397"/>
  <c r="CF492" i="397" s="1"/>
  <c r="CH492" i="397" s="1"/>
  <c r="BE492" i="397"/>
  <c r="BD492" i="397"/>
  <c r="Q492" i="397"/>
  <c r="A492" i="397"/>
  <c r="CE491" i="397"/>
  <c r="CD491" i="397"/>
  <c r="CC491" i="397"/>
  <c r="CB491" i="397"/>
  <c r="CA491" i="397"/>
  <c r="BZ491" i="397"/>
  <c r="BE491" i="397"/>
  <c r="BD491" i="397"/>
  <c r="Q491" i="397"/>
  <c r="A491" i="397"/>
  <c r="CE490" i="397"/>
  <c r="CD490" i="397"/>
  <c r="CC490" i="397"/>
  <c r="CB490" i="397"/>
  <c r="CA490" i="397"/>
  <c r="BZ490" i="397"/>
  <c r="CF490" i="397" s="1"/>
  <c r="BE490" i="397"/>
  <c r="BD490" i="397"/>
  <c r="Q490" i="397"/>
  <c r="A490" i="397"/>
  <c r="CE489" i="397"/>
  <c r="CD489" i="397"/>
  <c r="CC489" i="397"/>
  <c r="CB489" i="397"/>
  <c r="CA489" i="397"/>
  <c r="BZ489" i="397"/>
  <c r="BE489" i="397"/>
  <c r="BD489" i="397"/>
  <c r="Q489" i="397"/>
  <c r="A489" i="397"/>
  <c r="CE488" i="397"/>
  <c r="CD488" i="397"/>
  <c r="CC488" i="397"/>
  <c r="CB488" i="397"/>
  <c r="CA488" i="397"/>
  <c r="BZ488" i="397"/>
  <c r="BE488" i="397"/>
  <c r="BD488" i="397"/>
  <c r="BF488" i="397" s="1"/>
  <c r="Q488" i="397"/>
  <c r="A488" i="397"/>
  <c r="CE487" i="397"/>
  <c r="CD487" i="397"/>
  <c r="CF487" i="397" s="1"/>
  <c r="CC487" i="397"/>
  <c r="CB487" i="397"/>
  <c r="CA487" i="397"/>
  <c r="BZ487" i="397"/>
  <c r="BE487" i="397"/>
  <c r="BD487" i="397"/>
  <c r="Q487" i="397"/>
  <c r="A487" i="397"/>
  <c r="CE486" i="397"/>
  <c r="CD486" i="397"/>
  <c r="CC486" i="397"/>
  <c r="CB486" i="397"/>
  <c r="CA486" i="397"/>
  <c r="BZ486" i="397"/>
  <c r="CF486" i="397" s="1"/>
  <c r="BE486" i="397"/>
  <c r="BD486" i="397"/>
  <c r="Q486" i="397"/>
  <c r="A486" i="397"/>
  <c r="CE485" i="397"/>
  <c r="CD485" i="397"/>
  <c r="CC485" i="397"/>
  <c r="CB485" i="397"/>
  <c r="CA485" i="397"/>
  <c r="BZ485" i="397"/>
  <c r="BE485" i="397"/>
  <c r="BD485" i="397"/>
  <c r="Q485" i="397"/>
  <c r="A485" i="397"/>
  <c r="CE484" i="397"/>
  <c r="CD484" i="397"/>
  <c r="CC484" i="397"/>
  <c r="CB484" i="397"/>
  <c r="CA484" i="397"/>
  <c r="BZ484" i="397"/>
  <c r="CF484" i="397" s="1"/>
  <c r="BE484" i="397"/>
  <c r="BD484" i="397"/>
  <c r="Q484" i="397"/>
  <c r="A484" i="397"/>
  <c r="CE483" i="397"/>
  <c r="CD483" i="397"/>
  <c r="CC483" i="397"/>
  <c r="CB483" i="397"/>
  <c r="CA483" i="397"/>
  <c r="BZ483" i="397"/>
  <c r="BE483" i="397"/>
  <c r="BD483" i="397"/>
  <c r="Q483" i="397"/>
  <c r="A483" i="397"/>
  <c r="CE482" i="397"/>
  <c r="CD482" i="397"/>
  <c r="CC482" i="397"/>
  <c r="CB482" i="397"/>
  <c r="CA482" i="397"/>
  <c r="BZ482" i="397"/>
  <c r="CF482" i="397" s="1"/>
  <c r="CH482" i="397" s="1"/>
  <c r="BE482" i="397"/>
  <c r="BD482" i="397"/>
  <c r="Q482" i="397"/>
  <c r="A482" i="397"/>
  <c r="CE481" i="397"/>
  <c r="CD481" i="397"/>
  <c r="CF481" i="397" s="1"/>
  <c r="CC481" i="397"/>
  <c r="CB481" i="397"/>
  <c r="CA481" i="397"/>
  <c r="BZ481" i="397"/>
  <c r="BE481" i="397"/>
  <c r="BD481" i="397"/>
  <c r="Q481" i="397"/>
  <c r="A481" i="397"/>
  <c r="CE480" i="397"/>
  <c r="CD480" i="397"/>
  <c r="CC480" i="397"/>
  <c r="CB480" i="397"/>
  <c r="CA480" i="397"/>
  <c r="BZ480" i="397"/>
  <c r="CF480" i="397" s="1"/>
  <c r="CH480" i="397" s="1"/>
  <c r="BE480" i="397"/>
  <c r="BD480" i="397"/>
  <c r="Q480" i="397"/>
  <c r="A480" i="397"/>
  <c r="CE479" i="397"/>
  <c r="CD479" i="397"/>
  <c r="CC479" i="397"/>
  <c r="CB479" i="397"/>
  <c r="CA479" i="397"/>
  <c r="BZ479" i="397"/>
  <c r="BE479" i="397"/>
  <c r="BD479" i="397"/>
  <c r="Q479" i="397"/>
  <c r="A479" i="397"/>
  <c r="CE478" i="397"/>
  <c r="CD478" i="397"/>
  <c r="CC478" i="397"/>
  <c r="CB478" i="397"/>
  <c r="CA478" i="397"/>
  <c r="BZ478" i="397"/>
  <c r="CF478" i="397" s="1"/>
  <c r="CH478" i="397" s="1"/>
  <c r="BE478" i="397"/>
  <c r="BD478" i="397"/>
  <c r="Q478" i="397"/>
  <c r="A478" i="397"/>
  <c r="CE477" i="397"/>
  <c r="CD477" i="397"/>
  <c r="CF477" i="397" s="1"/>
  <c r="CC477" i="397"/>
  <c r="CB477" i="397"/>
  <c r="CA477" i="397"/>
  <c r="BZ477" i="397"/>
  <c r="BE477" i="397"/>
  <c r="BF477" i="397" s="1"/>
  <c r="CG477" i="397" s="1"/>
  <c r="CH477" i="397" s="1"/>
  <c r="BD477" i="397"/>
  <c r="Q477" i="397"/>
  <c r="A477" i="397"/>
  <c r="CE476" i="397"/>
  <c r="CD476" i="397"/>
  <c r="CC476" i="397"/>
  <c r="CB476" i="397"/>
  <c r="CA476" i="397"/>
  <c r="BZ476" i="397"/>
  <c r="CF476" i="397" s="1"/>
  <c r="CH476" i="397" s="1"/>
  <c r="BE476" i="397"/>
  <c r="BD476" i="397"/>
  <c r="BF476" i="397" s="1"/>
  <c r="CG476" i="397" s="1"/>
  <c r="Q476" i="397"/>
  <c r="A476" i="397"/>
  <c r="CE475" i="397"/>
  <c r="CD475" i="397"/>
  <c r="CF475" i="397" s="1"/>
  <c r="CC475" i="397"/>
  <c r="CB475" i="397"/>
  <c r="CA475" i="397"/>
  <c r="BZ475" i="397"/>
  <c r="BE475" i="397"/>
  <c r="BD475" i="397"/>
  <c r="Q475" i="397"/>
  <c r="A475" i="397"/>
  <c r="CE474" i="397"/>
  <c r="CD474" i="397"/>
  <c r="CC474" i="397"/>
  <c r="CB474" i="397"/>
  <c r="CA474" i="397"/>
  <c r="BZ474" i="397"/>
  <c r="BE474" i="397"/>
  <c r="BD474" i="397"/>
  <c r="Q474" i="397"/>
  <c r="A474" i="397"/>
  <c r="CE473" i="397"/>
  <c r="CD473" i="397"/>
  <c r="CC473" i="397"/>
  <c r="CB473" i="397"/>
  <c r="CA473" i="397"/>
  <c r="BZ473" i="397"/>
  <c r="BE473" i="397"/>
  <c r="BD473" i="397"/>
  <c r="Q473" i="397"/>
  <c r="A473" i="397"/>
  <c r="CE472" i="397"/>
  <c r="CD472" i="397"/>
  <c r="CC472" i="397"/>
  <c r="CB472" i="397"/>
  <c r="CA472" i="397"/>
  <c r="BZ472" i="397"/>
  <c r="CF472" i="397" s="1"/>
  <c r="CH472" i="397" s="1"/>
  <c r="BE472" i="397"/>
  <c r="BD472" i="397"/>
  <c r="BF472" i="397" s="1"/>
  <c r="CG472" i="397" s="1"/>
  <c r="Q472" i="397"/>
  <c r="A472" i="397"/>
  <c r="CE471" i="397"/>
  <c r="CD471" i="397"/>
  <c r="CC471" i="397"/>
  <c r="CB471" i="397"/>
  <c r="CA471" i="397"/>
  <c r="BZ471" i="397"/>
  <c r="BE471" i="397"/>
  <c r="BD471" i="397"/>
  <c r="Q471" i="397"/>
  <c r="A471" i="397"/>
  <c r="CE470" i="397"/>
  <c r="CD470" i="397"/>
  <c r="CC470" i="397"/>
  <c r="CB470" i="397"/>
  <c r="CA470" i="397"/>
  <c r="BZ470" i="397"/>
  <c r="CF470" i="397" s="1"/>
  <c r="BE470" i="397"/>
  <c r="BD470" i="397"/>
  <c r="Q470" i="397"/>
  <c r="A470" i="397"/>
  <c r="CE469" i="397"/>
  <c r="CD469" i="397"/>
  <c r="CC469" i="397"/>
  <c r="CB469" i="397"/>
  <c r="CA469" i="397"/>
  <c r="BZ469" i="397"/>
  <c r="BE469" i="397"/>
  <c r="BD469" i="397"/>
  <c r="Q469" i="397"/>
  <c r="A469" i="397"/>
  <c r="CE468" i="397"/>
  <c r="CD468" i="397"/>
  <c r="CC468" i="397"/>
  <c r="CB468" i="397"/>
  <c r="CA468" i="397"/>
  <c r="BZ468" i="397"/>
  <c r="CF468" i="397" s="1"/>
  <c r="CH468" i="397" s="1"/>
  <c r="BE468" i="397"/>
  <c r="BD468" i="397"/>
  <c r="BF468" i="397" s="1"/>
  <c r="CG468" i="397" s="1"/>
  <c r="Q468" i="397"/>
  <c r="A468" i="397"/>
  <c r="CE467" i="397"/>
  <c r="CD467" i="397"/>
  <c r="CC467" i="397"/>
  <c r="CB467" i="397"/>
  <c r="CA467" i="397"/>
  <c r="BZ467" i="397"/>
  <c r="BE467" i="397"/>
  <c r="BD467" i="397"/>
  <c r="Q467" i="397"/>
  <c r="A467" i="397"/>
  <c r="CE466" i="397"/>
  <c r="CD466" i="397"/>
  <c r="CC466" i="397"/>
  <c r="CB466" i="397"/>
  <c r="CA466" i="397"/>
  <c r="BZ466" i="397"/>
  <c r="CF466" i="397" s="1"/>
  <c r="CH466" i="397" s="1"/>
  <c r="BE466" i="397"/>
  <c r="BD466" i="397"/>
  <c r="BF466" i="397" s="1"/>
  <c r="Q466" i="397"/>
  <c r="A466" i="397"/>
  <c r="CE465" i="397"/>
  <c r="CD465" i="397"/>
  <c r="CC465" i="397"/>
  <c r="CB465" i="397"/>
  <c r="CA465" i="397"/>
  <c r="BZ465" i="397"/>
  <c r="BE465" i="397"/>
  <c r="BD465" i="397"/>
  <c r="Q465" i="397"/>
  <c r="A465" i="397"/>
  <c r="CE464" i="397"/>
  <c r="CD464" i="397"/>
  <c r="CC464" i="397"/>
  <c r="CB464" i="397"/>
  <c r="CA464" i="397"/>
  <c r="BZ464" i="397"/>
  <c r="CF464" i="397" s="1"/>
  <c r="CH464" i="397" s="1"/>
  <c r="BE464" i="397"/>
  <c r="BD464" i="397"/>
  <c r="BF464" i="397" s="1"/>
  <c r="Q464" i="397"/>
  <c r="A464" i="397"/>
  <c r="BE463" i="397"/>
  <c r="BD463" i="397"/>
  <c r="Q463" i="397"/>
  <c r="A463" i="397"/>
  <c r="BI395" i="397"/>
  <c r="BJ395" i="397"/>
  <c r="BK395" i="397"/>
  <c r="BL395" i="397"/>
  <c r="BM395" i="397" s="1"/>
  <c r="BN395" i="397"/>
  <c r="BR395" i="397" s="1"/>
  <c r="BS395" i="397" s="1"/>
  <c r="BT395" i="397" s="1"/>
  <c r="BU395" i="397" s="1"/>
  <c r="BI394" i="397"/>
  <c r="BJ394" i="397"/>
  <c r="BK394" i="397" s="1"/>
  <c r="BL394" i="397" s="1"/>
  <c r="BM394" i="397"/>
  <c r="BN394" i="397"/>
  <c r="BR394" i="397"/>
  <c r="BS394" i="397"/>
  <c r="BT394" i="397" s="1"/>
  <c r="BU394" i="397"/>
  <c r="BI393" i="397"/>
  <c r="BJ393" i="397" s="1"/>
  <c r="BK393" i="397" s="1"/>
  <c r="BL393" i="397" s="1"/>
  <c r="BM393" i="397" s="1"/>
  <c r="BN393" i="397" s="1"/>
  <c r="BR393" i="397" s="1"/>
  <c r="BS393" i="397" s="1"/>
  <c r="BT393" i="397" s="1"/>
  <c r="BU393" i="397" s="1"/>
  <c r="BI392" i="397"/>
  <c r="BJ392" i="397"/>
  <c r="BK392" i="397" s="1"/>
  <c r="BL392" i="397" s="1"/>
  <c r="BM392" i="397"/>
  <c r="BN392" i="397" s="1"/>
  <c r="BR392" i="397" s="1"/>
  <c r="BS392" i="397" s="1"/>
  <c r="BT392" i="397" s="1"/>
  <c r="BU392" i="397" s="1"/>
  <c r="BV392" i="397" s="1"/>
  <c r="BW392" i="397" s="1"/>
  <c r="BI391" i="397"/>
  <c r="BJ391" i="397"/>
  <c r="BK391" i="397" s="1"/>
  <c r="BL391" i="397" s="1"/>
  <c r="BM391" i="397" s="1"/>
  <c r="BN391" i="397" s="1"/>
  <c r="BR391" i="397" s="1"/>
  <c r="BS391" i="397" s="1"/>
  <c r="BT391" i="397"/>
  <c r="BU391" i="397" s="1"/>
  <c r="BV391" i="397" s="1"/>
  <c r="BW391" i="397" s="1"/>
  <c r="BI390" i="397"/>
  <c r="BJ390" i="397" s="1"/>
  <c r="BK390" i="397" s="1"/>
  <c r="BL390" i="397" s="1"/>
  <c r="BM390" i="397" s="1"/>
  <c r="BN390" i="397" s="1"/>
  <c r="BR390" i="397" s="1"/>
  <c r="BS390" i="397"/>
  <c r="BT390" i="397"/>
  <c r="BU390" i="397"/>
  <c r="BV390" i="397" s="1"/>
  <c r="BW390" i="397" s="1"/>
  <c r="BI389" i="397"/>
  <c r="BJ389" i="397" s="1"/>
  <c r="BK389" i="397" s="1"/>
  <c r="BL389" i="397" s="1"/>
  <c r="BM389" i="397" s="1"/>
  <c r="BN389" i="397" s="1"/>
  <c r="BR389" i="397" s="1"/>
  <c r="BS389" i="397" s="1"/>
  <c r="BT389" i="397" s="1"/>
  <c r="BU389" i="397"/>
  <c r="BV389" i="397" s="1"/>
  <c r="BW389" i="397" s="1"/>
  <c r="BI388" i="397"/>
  <c r="BJ388" i="397"/>
  <c r="BK388" i="397"/>
  <c r="BL388" i="397" s="1"/>
  <c r="BM388" i="397" s="1"/>
  <c r="BN388" i="397" s="1"/>
  <c r="BR388" i="397" s="1"/>
  <c r="BS388" i="397" s="1"/>
  <c r="BT388" i="397" s="1"/>
  <c r="BU388" i="397"/>
  <c r="BV388" i="397"/>
  <c r="BW388" i="397" s="1"/>
  <c r="BI387" i="397"/>
  <c r="BJ387" i="397" s="1"/>
  <c r="BK387" i="397" s="1"/>
  <c r="BL387" i="397" s="1"/>
  <c r="BM387" i="397" s="1"/>
  <c r="BN387" i="397" s="1"/>
  <c r="BR387" i="397" s="1"/>
  <c r="BS387" i="397" s="1"/>
  <c r="BT387" i="397" s="1"/>
  <c r="BU387" i="397" s="1"/>
  <c r="BV387" i="397" s="1"/>
  <c r="BW387" i="397" s="1"/>
  <c r="BI386" i="397"/>
  <c r="BJ386" i="397"/>
  <c r="BK386" i="397" s="1"/>
  <c r="BL386" i="397" s="1"/>
  <c r="BM386" i="397" s="1"/>
  <c r="BN386" i="397"/>
  <c r="BR386" i="397" s="1"/>
  <c r="BS386" i="397" s="1"/>
  <c r="BT386" i="397" s="1"/>
  <c r="BU386" i="397" s="1"/>
  <c r="BV386" i="397" s="1"/>
  <c r="BW386" i="397" s="1"/>
  <c r="BI385" i="397"/>
  <c r="BJ385" i="397" s="1"/>
  <c r="BK385" i="397" s="1"/>
  <c r="BL385" i="397" s="1"/>
  <c r="BM385" i="397" s="1"/>
  <c r="BN385" i="397"/>
  <c r="BR385" i="397" s="1"/>
  <c r="BS385" i="397" s="1"/>
  <c r="BT385" i="397" s="1"/>
  <c r="BU385" i="397" s="1"/>
  <c r="BV385" i="397" s="1"/>
  <c r="BW385" i="397" s="1"/>
  <c r="BI384" i="397"/>
  <c r="BJ384" i="397"/>
  <c r="BK384" i="397" s="1"/>
  <c r="BL384" i="397" s="1"/>
  <c r="BM384" i="397"/>
  <c r="BN384" i="397" s="1"/>
  <c r="BR384" i="397" s="1"/>
  <c r="BS384" i="397" s="1"/>
  <c r="BT384" i="397" s="1"/>
  <c r="BU384" i="397"/>
  <c r="BV384" i="397"/>
  <c r="BW384" i="397"/>
  <c r="BI383" i="397"/>
  <c r="BJ383" i="397"/>
  <c r="BK383" i="397"/>
  <c r="BL383" i="397" s="1"/>
  <c r="BM383" i="397"/>
  <c r="BN383" i="397" s="1"/>
  <c r="BR383" i="397" s="1"/>
  <c r="BS383" i="397" s="1"/>
  <c r="BT383" i="397"/>
  <c r="BU383" i="397" s="1"/>
  <c r="BV383" i="397" s="1"/>
  <c r="BW383" i="397" s="1"/>
  <c r="BR382" i="397"/>
  <c r="BS382" i="397"/>
  <c r="BT382" i="397" s="1"/>
  <c r="BU382" i="397"/>
  <c r="BV382" i="397" s="1"/>
  <c r="BW382" i="397" s="1"/>
  <c r="BI382" i="397"/>
  <c r="BJ382" i="397" s="1"/>
  <c r="BK382" i="397" s="1"/>
  <c r="BL382" i="397" s="1"/>
  <c r="BM382" i="397"/>
  <c r="BN382" i="397" s="1"/>
  <c r="BR381" i="397"/>
  <c r="BS381" i="397"/>
  <c r="BT381" i="397" s="1"/>
  <c r="BU381" i="397" s="1"/>
  <c r="BV381" i="397" s="1"/>
  <c r="BW381" i="397" s="1"/>
  <c r="BI381" i="397"/>
  <c r="BJ381" i="397" s="1"/>
  <c r="BK381" i="397" s="1"/>
  <c r="BL381" i="397" s="1"/>
  <c r="BM381" i="397" s="1"/>
  <c r="BN381" i="397" s="1"/>
  <c r="BR380" i="397"/>
  <c r="BS380" i="397" s="1"/>
  <c r="BT380" i="397" s="1"/>
  <c r="BU380" i="397" s="1"/>
  <c r="BV380" i="397" s="1"/>
  <c r="BW380" i="397"/>
  <c r="BI380" i="397"/>
  <c r="BJ380" i="397" s="1"/>
  <c r="BK380" i="397" s="1"/>
  <c r="BL380" i="397" s="1"/>
  <c r="BM380" i="397" s="1"/>
  <c r="BN380" i="397" s="1"/>
  <c r="BR379" i="397"/>
  <c r="BS379" i="397" s="1"/>
  <c r="BT379" i="397" s="1"/>
  <c r="BU379" i="397" s="1"/>
  <c r="BV379" i="397" s="1"/>
  <c r="BW379" i="397"/>
  <c r="BI379" i="397"/>
  <c r="BJ379" i="397"/>
  <c r="BK379" i="397" s="1"/>
  <c r="BL379" i="397"/>
  <c r="BM379" i="397"/>
  <c r="BN379" i="397" s="1"/>
  <c r="BR378" i="397"/>
  <c r="BS378" i="397"/>
  <c r="BT378" i="397"/>
  <c r="BU378" i="397"/>
  <c r="BV378" i="397" s="1"/>
  <c r="BW378" i="397" s="1"/>
  <c r="BI378" i="397"/>
  <c r="BJ378" i="397" s="1"/>
  <c r="BK378" i="397" s="1"/>
  <c r="BL378" i="397" s="1"/>
  <c r="BM378" i="397" s="1"/>
  <c r="BN378" i="397" s="1"/>
  <c r="BR377" i="397"/>
  <c r="BS377" i="397"/>
  <c r="BT377" i="397" s="1"/>
  <c r="BU377" i="397" s="1"/>
  <c r="BV377" i="397" s="1"/>
  <c r="BW377" i="397" s="1"/>
  <c r="BI377" i="397"/>
  <c r="BJ377" i="397"/>
  <c r="BK377" i="397" s="1"/>
  <c r="BL377" i="397"/>
  <c r="BM377" i="397" s="1"/>
  <c r="BN377" i="397" s="1"/>
  <c r="BR376" i="397"/>
  <c r="BS376" i="397"/>
  <c r="BT376" i="397" s="1"/>
  <c r="BU376" i="397"/>
  <c r="BV376" i="397"/>
  <c r="BW376" i="397"/>
  <c r="BI376" i="397"/>
  <c r="BJ376" i="397" s="1"/>
  <c r="BK376" i="397" s="1"/>
  <c r="BL376" i="397"/>
  <c r="BM376" i="397" s="1"/>
  <c r="BN376" i="397" s="1"/>
  <c r="BR375" i="397"/>
  <c r="BS375" i="397" s="1"/>
  <c r="BT375" i="397" s="1"/>
  <c r="BU375" i="397" s="1"/>
  <c r="BV375" i="397" s="1"/>
  <c r="BW375" i="397" s="1"/>
  <c r="BI375" i="397"/>
  <c r="BJ375" i="397"/>
  <c r="BK375" i="397" s="1"/>
  <c r="BL375" i="397" s="1"/>
  <c r="BM375" i="397" s="1"/>
  <c r="BN375" i="397" s="1"/>
  <c r="BR374" i="397"/>
  <c r="BS374" i="397" s="1"/>
  <c r="BT374" i="397" s="1"/>
  <c r="BU374" i="397" s="1"/>
  <c r="BV374" i="397"/>
  <c r="BW374" i="397"/>
  <c r="BI374" i="397"/>
  <c r="BJ374" i="397"/>
  <c r="BK374" i="397"/>
  <c r="BL374" i="397" s="1"/>
  <c r="BM374" i="397" s="1"/>
  <c r="BN374" i="397" s="1"/>
  <c r="BR373" i="397"/>
  <c r="BS373" i="397"/>
  <c r="BT373" i="397"/>
  <c r="BU373" i="397" s="1"/>
  <c r="BV373" i="397" s="1"/>
  <c r="BW373" i="397" s="1"/>
  <c r="BI373" i="397"/>
  <c r="BJ373" i="397"/>
  <c r="BK373" i="397" s="1"/>
  <c r="BL373" i="397" s="1"/>
  <c r="BM373" i="397" s="1"/>
  <c r="BN373" i="397" s="1"/>
  <c r="BR372" i="397"/>
  <c r="BS372" i="397"/>
  <c r="BT372" i="397" s="1"/>
  <c r="BU372" i="397" s="1"/>
  <c r="BV372" i="397" s="1"/>
  <c r="BW372" i="397" s="1"/>
  <c r="BI372" i="397"/>
  <c r="BJ372" i="397"/>
  <c r="BK372" i="397" s="1"/>
  <c r="BL372" i="397" s="1"/>
  <c r="BM372" i="397" s="1"/>
  <c r="BN372" i="397" s="1"/>
  <c r="CE434" i="397"/>
  <c r="CD434" i="397"/>
  <c r="CC434" i="397"/>
  <c r="BZ434" i="397"/>
  <c r="CF434" i="397" s="1"/>
  <c r="CH434" i="397" s="1"/>
  <c r="BE434" i="397"/>
  <c r="BF434" i="397" s="1"/>
  <c r="CG434" i="397" s="1"/>
  <c r="BE460" i="397"/>
  <c r="Q460" i="397"/>
  <c r="CE452" i="397"/>
  <c r="CD452" i="397"/>
  <c r="CC452" i="397"/>
  <c r="BZ452" i="397"/>
  <c r="BE452" i="397"/>
  <c r="Q452" i="397"/>
  <c r="BE458" i="397"/>
  <c r="Q458" i="397"/>
  <c r="BE462" i="397"/>
  <c r="Q462" i="397"/>
  <c r="BE442" i="397"/>
  <c r="BF442" i="397" s="1"/>
  <c r="CG442" i="397" s="1"/>
  <c r="CE449" i="397"/>
  <c r="CD449" i="397"/>
  <c r="CC449" i="397"/>
  <c r="BE449" i="397"/>
  <c r="BZ445" i="397"/>
  <c r="Q346" i="397"/>
  <c r="H509" i="479"/>
  <c r="AX508" i="479"/>
  <c r="AW508" i="479"/>
  <c r="AV508" i="479"/>
  <c r="AU508" i="479"/>
  <c r="AT508" i="479"/>
  <c r="AS508" i="479"/>
  <c r="AQ508" i="479"/>
  <c r="AP508" i="479"/>
  <c r="AO508" i="479"/>
  <c r="AN508" i="479"/>
  <c r="AM508" i="479"/>
  <c r="AL508" i="479"/>
  <c r="AK508" i="479"/>
  <c r="AJ508" i="479"/>
  <c r="AI508" i="479"/>
  <c r="AH508" i="479"/>
  <c r="AG508" i="479"/>
  <c r="AF508" i="479"/>
  <c r="AE508" i="479"/>
  <c r="AD508" i="479"/>
  <c r="AA508" i="479"/>
  <c r="Z508" i="479"/>
  <c r="Y508" i="479"/>
  <c r="X508" i="479"/>
  <c r="W508" i="479"/>
  <c r="V508" i="479"/>
  <c r="U508" i="479"/>
  <c r="N508" i="479"/>
  <c r="N507" i="479"/>
  <c r="N506" i="479"/>
  <c r="H506" i="479"/>
  <c r="AB505" i="479"/>
  <c r="N505" i="479"/>
  <c r="AB504" i="479"/>
  <c r="N504" i="479"/>
  <c r="AC503" i="479"/>
  <c r="N503" i="479"/>
  <c r="AB502" i="479"/>
  <c r="N502" i="479"/>
  <c r="AB501" i="479"/>
  <c r="N501" i="479"/>
  <c r="AB500" i="479"/>
  <c r="N500" i="479"/>
  <c r="AY499" i="479"/>
  <c r="AY508" i="479" s="1"/>
  <c r="N499" i="479"/>
  <c r="AC498" i="479"/>
  <c r="AC508" i="479" s="1"/>
  <c r="N498" i="479"/>
  <c r="AR497" i="479"/>
  <c r="AR508" i="479" s="1"/>
  <c r="N497" i="479"/>
  <c r="H484" i="479"/>
  <c r="H482" i="479"/>
  <c r="AX481" i="479"/>
  <c r="AW481" i="479"/>
  <c r="AV481" i="479"/>
  <c r="AU481" i="479"/>
  <c r="AT481" i="479"/>
  <c r="AS481" i="479"/>
  <c r="AR481" i="479"/>
  <c r="AQ481" i="479"/>
  <c r="AP481" i="479"/>
  <c r="AO481" i="479"/>
  <c r="AN481" i="479"/>
  <c r="AM481" i="479"/>
  <c r="AL481" i="479"/>
  <c r="AK481" i="479"/>
  <c r="AJ481" i="479"/>
  <c r="AI481" i="479"/>
  <c r="AH481" i="479"/>
  <c r="AG481" i="479"/>
  <c r="AF481" i="479"/>
  <c r="AE481" i="479"/>
  <c r="AD481" i="479"/>
  <c r="AC481" i="479"/>
  <c r="AB481" i="479"/>
  <c r="AA481" i="479"/>
  <c r="X481" i="479"/>
  <c r="W481" i="479"/>
  <c r="V481" i="479"/>
  <c r="U481" i="479"/>
  <c r="T481" i="479"/>
  <c r="N481" i="479"/>
  <c r="N480" i="479"/>
  <c r="N479" i="479"/>
  <c r="H479" i="479"/>
  <c r="Z478" i="479"/>
  <c r="Y478" i="479"/>
  <c r="N478" i="479"/>
  <c r="Z477" i="479"/>
  <c r="N477" i="479"/>
  <c r="Z476" i="479"/>
  <c r="Y476" i="479"/>
  <c r="N476" i="479"/>
  <c r="Z475" i="479"/>
  <c r="N475" i="479"/>
  <c r="N474" i="479"/>
  <c r="N473" i="479"/>
  <c r="H473" i="479"/>
  <c r="Z472" i="479"/>
  <c r="N472" i="479"/>
  <c r="Y471" i="479"/>
  <c r="Y481" i="479" s="1"/>
  <c r="N471" i="479"/>
  <c r="N470" i="479"/>
  <c r="N469" i="479"/>
  <c r="H469" i="479"/>
  <c r="Y468" i="479"/>
  <c r="N468" i="479"/>
  <c r="H454" i="479"/>
  <c r="AX453" i="479"/>
  <c r="AW453" i="479"/>
  <c r="AV453" i="479"/>
  <c r="AU453" i="479"/>
  <c r="AT453" i="479"/>
  <c r="AS453" i="479"/>
  <c r="AR453" i="479"/>
  <c r="AQ453" i="479"/>
  <c r="AP453" i="479"/>
  <c r="AO453" i="479"/>
  <c r="AN453" i="479"/>
  <c r="AM453" i="479"/>
  <c r="AL453" i="479"/>
  <c r="AK453" i="479"/>
  <c r="AJ453" i="479"/>
  <c r="AI453" i="479"/>
  <c r="AH453" i="479"/>
  <c r="AG453" i="479"/>
  <c r="AF453" i="479"/>
  <c r="AE453" i="479"/>
  <c r="AD453" i="479"/>
  <c r="AA453" i="479"/>
  <c r="Z453" i="479"/>
  <c r="Y453" i="479"/>
  <c r="W453" i="479"/>
  <c r="V453" i="479"/>
  <c r="U453" i="479"/>
  <c r="T453" i="479"/>
  <c r="N453" i="479"/>
  <c r="N452" i="479"/>
  <c r="N451" i="479"/>
  <c r="H451" i="479"/>
  <c r="AC450" i="479"/>
  <c r="N450" i="479"/>
  <c r="AB449" i="479"/>
  <c r="N449" i="479"/>
  <c r="AB448" i="479"/>
  <c r="N448" i="479"/>
  <c r="AB447" i="479"/>
  <c r="N447" i="479"/>
  <c r="AB446" i="479"/>
  <c r="N446" i="479"/>
  <c r="AB445" i="479"/>
  <c r="AB453" i="479" s="1"/>
  <c r="N445" i="479"/>
  <c r="AY444" i="479"/>
  <c r="AY453" i="479"/>
  <c r="N444" i="479"/>
  <c r="AC443" i="479"/>
  <c r="N443" i="479"/>
  <c r="AC442" i="479"/>
  <c r="AC453" i="479"/>
  <c r="N442" i="479"/>
  <c r="N441" i="479"/>
  <c r="I430" i="479"/>
  <c r="H430" i="479"/>
  <c r="H428" i="479"/>
  <c r="AY427" i="479"/>
  <c r="AX427" i="479"/>
  <c r="AW427" i="479"/>
  <c r="AV427" i="479"/>
  <c r="AU427" i="479"/>
  <c r="AT427" i="479"/>
  <c r="AS427" i="479"/>
  <c r="AQ427" i="479"/>
  <c r="AP427" i="479"/>
  <c r="AO427" i="479"/>
  <c r="AN427" i="479"/>
  <c r="AM427" i="479"/>
  <c r="AL427" i="479"/>
  <c r="AK427" i="479"/>
  <c r="AJ427" i="479"/>
  <c r="AI427" i="479"/>
  <c r="AH427" i="479"/>
  <c r="AG427" i="479"/>
  <c r="AF427" i="479"/>
  <c r="AE427" i="479"/>
  <c r="AD427" i="479"/>
  <c r="AB427" i="479"/>
  <c r="AA427" i="479"/>
  <c r="Z427" i="479"/>
  <c r="Y427" i="479"/>
  <c r="X427" i="479"/>
  <c r="W427" i="479"/>
  <c r="V427" i="479"/>
  <c r="U427" i="479"/>
  <c r="T427" i="479"/>
  <c r="N427" i="479"/>
  <c r="N426" i="479"/>
  <c r="N425" i="479"/>
  <c r="N424" i="479"/>
  <c r="N423" i="479"/>
  <c r="N422" i="479"/>
  <c r="H422" i="479"/>
  <c r="H425" i="479" s="1"/>
  <c r="H426" i="479" s="1"/>
  <c r="AC421" i="479"/>
  <c r="N421" i="479"/>
  <c r="N420" i="479"/>
  <c r="N419" i="479"/>
  <c r="AC418" i="479"/>
  <c r="N418" i="479"/>
  <c r="N417" i="479"/>
  <c r="N416" i="479"/>
  <c r="H416" i="479"/>
  <c r="AC415" i="479"/>
  <c r="N415" i="479"/>
  <c r="N414" i="479"/>
  <c r="N413" i="479"/>
  <c r="AC412" i="479"/>
  <c r="N412" i="479"/>
  <c r="AC411" i="479"/>
  <c r="N411" i="479"/>
  <c r="N410" i="479"/>
  <c r="N409" i="479"/>
  <c r="AC408" i="479"/>
  <c r="N408" i="479"/>
  <c r="N407" i="479"/>
  <c r="H407" i="479"/>
  <c r="AC406" i="479"/>
  <c r="N406" i="479"/>
  <c r="AR405" i="479"/>
  <c r="AR427" i="479" s="1"/>
  <c r="N405" i="479"/>
  <c r="AC404" i="479"/>
  <c r="N404" i="479"/>
  <c r="H390" i="479"/>
  <c r="AY389" i="479"/>
  <c r="AW389" i="479"/>
  <c r="AU389" i="479"/>
  <c r="AT389" i="479"/>
  <c r="AS389" i="479"/>
  <c r="AR389" i="479"/>
  <c r="AQ389" i="479"/>
  <c r="AP389" i="479"/>
  <c r="AO389" i="479"/>
  <c r="AN389" i="479"/>
  <c r="AM389" i="479"/>
  <c r="AL389" i="479"/>
  <c r="AK389" i="479"/>
  <c r="AJ389" i="479"/>
  <c r="AI389" i="479"/>
  <c r="AH389" i="479"/>
  <c r="AG389" i="479"/>
  <c r="AF389" i="479"/>
  <c r="AE389" i="479"/>
  <c r="AD389" i="479"/>
  <c r="AA389" i="479"/>
  <c r="Z389" i="479"/>
  <c r="Y389" i="479"/>
  <c r="W389" i="479"/>
  <c r="V389" i="479"/>
  <c r="U389" i="479"/>
  <c r="T389" i="479"/>
  <c r="N389" i="479"/>
  <c r="N388" i="479"/>
  <c r="N387" i="479"/>
  <c r="H387" i="479"/>
  <c r="AC386" i="479"/>
  <c r="AB386" i="479"/>
  <c r="N386" i="479"/>
  <c r="AC385" i="479"/>
  <c r="AB385" i="479"/>
  <c r="N385" i="479"/>
  <c r="AB384" i="479"/>
  <c r="N384" i="479"/>
  <c r="AC383" i="479"/>
  <c r="AB383" i="479"/>
  <c r="N383" i="479"/>
  <c r="AB382" i="479"/>
  <c r="N382" i="479"/>
  <c r="AC381" i="479"/>
  <c r="AB381" i="479"/>
  <c r="N381" i="479"/>
  <c r="AB380" i="479"/>
  <c r="AB389" i="479"/>
  <c r="N380" i="479"/>
  <c r="AV379" i="479"/>
  <c r="AV389" i="479" s="1"/>
  <c r="N379" i="479"/>
  <c r="AX378" i="479"/>
  <c r="AX389" i="479" s="1"/>
  <c r="N378" i="479"/>
  <c r="N377" i="479"/>
  <c r="I366" i="479"/>
  <c r="H366" i="479"/>
  <c r="H364" i="479"/>
  <c r="AY363" i="479"/>
  <c r="AX363" i="479"/>
  <c r="AW363" i="479"/>
  <c r="AV363" i="479"/>
  <c r="AU363" i="479"/>
  <c r="AT363" i="479"/>
  <c r="AS363" i="479"/>
  <c r="AQ363" i="479"/>
  <c r="AP363" i="479"/>
  <c r="AO363" i="479"/>
  <c r="AN363" i="479"/>
  <c r="AM363" i="479"/>
  <c r="AL363" i="479"/>
  <c r="AJ363" i="479"/>
  <c r="AI363" i="479"/>
  <c r="AH363" i="479"/>
  <c r="AG363" i="479"/>
  <c r="AF363" i="479"/>
  <c r="AE363" i="479"/>
  <c r="AD363" i="479"/>
  <c r="AB363" i="479"/>
  <c r="AA363" i="479"/>
  <c r="Z363" i="479"/>
  <c r="Y363" i="479"/>
  <c r="X363" i="479"/>
  <c r="W363" i="479"/>
  <c r="V363" i="479"/>
  <c r="U363" i="479"/>
  <c r="T363" i="479"/>
  <c r="N363" i="479"/>
  <c r="N362" i="479"/>
  <c r="N361" i="479"/>
  <c r="H361" i="479"/>
  <c r="AC361" i="479" s="1"/>
  <c r="AC360" i="479"/>
  <c r="N360" i="479"/>
  <c r="AK359" i="479"/>
  <c r="AK363" i="479"/>
  <c r="N359" i="479"/>
  <c r="AC358" i="479"/>
  <c r="N358" i="479"/>
  <c r="N357" i="479"/>
  <c r="AC356" i="479"/>
  <c r="N356" i="479"/>
  <c r="N355" i="479"/>
  <c r="AC354" i="479"/>
  <c r="AC363" i="479"/>
  <c r="N354" i="479"/>
  <c r="N353" i="479"/>
  <c r="H353" i="479"/>
  <c r="N352" i="479"/>
  <c r="H340" i="479"/>
  <c r="H338" i="479"/>
  <c r="AX337" i="479"/>
  <c r="AW337" i="479"/>
  <c r="AV337" i="479"/>
  <c r="AU337" i="479"/>
  <c r="AT337" i="479"/>
  <c r="AS337" i="479"/>
  <c r="AR337" i="479"/>
  <c r="AQ337" i="479"/>
  <c r="AP337" i="479"/>
  <c r="AO337" i="479"/>
  <c r="AN337" i="479"/>
  <c r="AM337" i="479"/>
  <c r="AL337" i="479"/>
  <c r="AJ337" i="479"/>
  <c r="AI337" i="479"/>
  <c r="AH337" i="479"/>
  <c r="AG337" i="479"/>
  <c r="AF337" i="479"/>
  <c r="AE337" i="479"/>
  <c r="AD337" i="479"/>
  <c r="AA337" i="479"/>
  <c r="Z337" i="479"/>
  <c r="Y337" i="479"/>
  <c r="X337" i="479"/>
  <c r="W337" i="479"/>
  <c r="V337" i="479"/>
  <c r="U337" i="479"/>
  <c r="T337" i="479"/>
  <c r="N337" i="479"/>
  <c r="N336" i="479"/>
  <c r="N335" i="479"/>
  <c r="H335" i="479"/>
  <c r="AC334" i="479"/>
  <c r="N334" i="479"/>
  <c r="AK333" i="479"/>
  <c r="AK337" i="479" s="1"/>
  <c r="N333" i="479"/>
  <c r="AC332" i="479"/>
  <c r="AC337" i="479" s="1"/>
  <c r="AB332" i="479"/>
  <c r="N332" i="479"/>
  <c r="AC331" i="479"/>
  <c r="AB331" i="479"/>
  <c r="N331" i="479"/>
  <c r="N330" i="479"/>
  <c r="N329" i="479"/>
  <c r="N327" i="479" s="1"/>
  <c r="H329" i="479"/>
  <c r="AC328" i="479"/>
  <c r="N328" i="479"/>
  <c r="I315" i="479"/>
  <c r="H315" i="479"/>
  <c r="H313" i="479"/>
  <c r="AY312" i="479"/>
  <c r="AX312" i="479"/>
  <c r="AW312" i="479"/>
  <c r="AV312" i="479"/>
  <c r="AU312" i="479"/>
  <c r="AT312" i="479"/>
  <c r="AS312" i="479"/>
  <c r="AR312" i="479"/>
  <c r="AQ312" i="479"/>
  <c r="AP312" i="479"/>
  <c r="AO312" i="479"/>
  <c r="AN312" i="479"/>
  <c r="AM312" i="479"/>
  <c r="AL312" i="479"/>
  <c r="AK312" i="479"/>
  <c r="AJ312" i="479"/>
  <c r="AI312" i="479"/>
  <c r="AH312" i="479"/>
  <c r="AG312" i="479"/>
  <c r="AF312" i="479"/>
  <c r="AE312" i="479"/>
  <c r="AD312" i="479"/>
  <c r="AB312" i="479"/>
  <c r="AA312" i="479"/>
  <c r="Z312" i="479"/>
  <c r="X312" i="479"/>
  <c r="W312" i="479"/>
  <c r="V312" i="479"/>
  <c r="U312" i="479"/>
  <c r="T312" i="479"/>
  <c r="N312" i="479"/>
  <c r="N311" i="479"/>
  <c r="N310" i="479"/>
  <c r="H310" i="479"/>
  <c r="Y310" i="479" s="1"/>
  <c r="Y309" i="479"/>
  <c r="N309" i="479"/>
  <c r="Y308" i="479"/>
  <c r="N308" i="479"/>
  <c r="Y307" i="479"/>
  <c r="N307" i="479"/>
  <c r="Y306" i="479"/>
  <c r="N306" i="479"/>
  <c r="N305" i="479"/>
  <c r="N304" i="479"/>
  <c r="H304" i="479"/>
  <c r="Y303" i="479"/>
  <c r="N303" i="479"/>
  <c r="Y302" i="479"/>
  <c r="N302" i="479"/>
  <c r="I289" i="479"/>
  <c r="H289" i="479"/>
  <c r="H287" i="479"/>
  <c r="AY286" i="479"/>
  <c r="AX286" i="479"/>
  <c r="AW286" i="479"/>
  <c r="AV286" i="479"/>
  <c r="AU286" i="479"/>
  <c r="AT286" i="479"/>
  <c r="AS286" i="479"/>
  <c r="AR286" i="479"/>
  <c r="AQ286" i="479"/>
  <c r="AP286" i="479"/>
  <c r="AO286" i="479"/>
  <c r="AN286" i="479"/>
  <c r="AM286" i="479"/>
  <c r="AL286" i="479"/>
  <c r="AK286" i="479"/>
  <c r="AJ286" i="479"/>
  <c r="AI286" i="479"/>
  <c r="AH286" i="479"/>
  <c r="AG286" i="479"/>
  <c r="AF286" i="479"/>
  <c r="AE286" i="479"/>
  <c r="AD286" i="479"/>
  <c r="AC286" i="479"/>
  <c r="AB286" i="479"/>
  <c r="AA286" i="479"/>
  <c r="Z286" i="479"/>
  <c r="X286" i="479"/>
  <c r="W286" i="479"/>
  <c r="V286" i="479"/>
  <c r="U286" i="479"/>
  <c r="T286" i="479"/>
  <c r="N286" i="479"/>
  <c r="N285" i="479"/>
  <c r="N284" i="479"/>
  <c r="N283" i="479"/>
  <c r="N282" i="479"/>
  <c r="H282" i="479"/>
  <c r="Y281" i="479"/>
  <c r="N281" i="479"/>
  <c r="N280" i="479"/>
  <c r="Y279" i="479"/>
  <c r="N279" i="479"/>
  <c r="N278" i="479"/>
  <c r="Y277" i="479"/>
  <c r="N277" i="479"/>
  <c r="N276" i="479"/>
  <c r="Y275" i="479"/>
  <c r="N275" i="479"/>
  <c r="N274" i="479"/>
  <c r="Y273" i="479"/>
  <c r="N273" i="479"/>
  <c r="N272" i="479"/>
  <c r="Y271" i="479"/>
  <c r="N271" i="479"/>
  <c r="N270" i="479"/>
  <c r="H270" i="479"/>
  <c r="AZ269" i="479"/>
  <c r="AZ286" i="479" s="1"/>
  <c r="N269" i="479"/>
  <c r="I256" i="479"/>
  <c r="H256" i="479"/>
  <c r="H254" i="479"/>
  <c r="AX253" i="479"/>
  <c r="AW253" i="479"/>
  <c r="AV253" i="479"/>
  <c r="AU253" i="479"/>
  <c r="AT253" i="479"/>
  <c r="AS253" i="479"/>
  <c r="AR253" i="479"/>
  <c r="AQ253" i="479"/>
  <c r="AO253" i="479"/>
  <c r="AN253" i="479"/>
  <c r="AM253" i="479"/>
  <c r="AL253" i="479"/>
  <c r="AK253" i="479"/>
  <c r="AJ253" i="479"/>
  <c r="AI253" i="479"/>
  <c r="AH253" i="479"/>
  <c r="AG253" i="479"/>
  <c r="AF253" i="479"/>
  <c r="AE253" i="479"/>
  <c r="AD253" i="479"/>
  <c r="AA253" i="479"/>
  <c r="Z253" i="479"/>
  <c r="Y253" i="479"/>
  <c r="X253" i="479"/>
  <c r="W253" i="479"/>
  <c r="V253" i="479"/>
  <c r="U253" i="479"/>
  <c r="T253" i="479"/>
  <c r="N253" i="479"/>
  <c r="N252" i="479"/>
  <c r="N251" i="479"/>
  <c r="H251" i="479"/>
  <c r="AC251" i="479"/>
  <c r="N250" i="479"/>
  <c r="H250" i="479"/>
  <c r="AC249" i="479"/>
  <c r="N249" i="479"/>
  <c r="AC248" i="479"/>
  <c r="AB248" i="479"/>
  <c r="N248" i="479"/>
  <c r="AY247" i="479"/>
  <c r="AY253" i="479"/>
  <c r="N247" i="479"/>
  <c r="AC246" i="479"/>
  <c r="N246" i="479"/>
  <c r="AC245" i="479"/>
  <c r="N245" i="479"/>
  <c r="AC244" i="479"/>
  <c r="N244" i="479"/>
  <c r="AC243" i="479"/>
  <c r="AB243" i="479"/>
  <c r="N243" i="479"/>
  <c r="AC242" i="479"/>
  <c r="AB242" i="479"/>
  <c r="AB253" i="479"/>
  <c r="N242" i="479"/>
  <c r="H228" i="479"/>
  <c r="AY227" i="479"/>
  <c r="AX227" i="479"/>
  <c r="AW227" i="479"/>
  <c r="AV227" i="479"/>
  <c r="AU227" i="479"/>
  <c r="AT227" i="479"/>
  <c r="AS227" i="479"/>
  <c r="AR227" i="479"/>
  <c r="AQ227" i="479"/>
  <c r="AP227" i="479"/>
  <c r="AO227" i="479"/>
  <c r="AN227" i="479"/>
  <c r="AM227" i="479"/>
  <c r="AL227" i="479"/>
  <c r="AK227" i="479"/>
  <c r="AJ227" i="479"/>
  <c r="AI227" i="479"/>
  <c r="AH227" i="479"/>
  <c r="AG227" i="479"/>
  <c r="AF227" i="479"/>
  <c r="AE227" i="479"/>
  <c r="AD227" i="479"/>
  <c r="AC227" i="479"/>
  <c r="AB227" i="479"/>
  <c r="AA227" i="479"/>
  <c r="Z227" i="479"/>
  <c r="X227" i="479"/>
  <c r="W227" i="479"/>
  <c r="V227" i="479"/>
  <c r="U227" i="479"/>
  <c r="N227" i="479"/>
  <c r="N226" i="479"/>
  <c r="N225" i="479"/>
  <c r="H225" i="479"/>
  <c r="Y224" i="479"/>
  <c r="N224" i="479"/>
  <c r="Y223" i="479"/>
  <c r="Y227" i="479" s="1"/>
  <c r="N223" i="479"/>
  <c r="Y222" i="479"/>
  <c r="N222" i="479"/>
  <c r="Y221" i="479"/>
  <c r="N221" i="479"/>
  <c r="Y220" i="479"/>
  <c r="N220" i="479"/>
  <c r="Y219" i="479"/>
  <c r="N219" i="479"/>
  <c r="Y218" i="479"/>
  <c r="N218" i="479"/>
  <c r="N217" i="479" s="1"/>
  <c r="H204" i="479"/>
  <c r="H205" i="479" s="1"/>
  <c r="H203" i="479"/>
  <c r="AY202" i="479"/>
  <c r="AX202" i="479"/>
  <c r="AW202" i="479"/>
  <c r="AV202" i="479"/>
  <c r="AU202" i="479"/>
  <c r="AT202" i="479"/>
  <c r="AS202" i="479"/>
  <c r="AR202" i="479"/>
  <c r="AQ202" i="479"/>
  <c r="AP202" i="479"/>
  <c r="AO202" i="479"/>
  <c r="AN202" i="479"/>
  <c r="AM202" i="479"/>
  <c r="AL202" i="479"/>
  <c r="AJ202" i="479"/>
  <c r="AI202" i="479"/>
  <c r="AH202" i="479"/>
  <c r="AG202" i="479"/>
  <c r="AF202" i="479"/>
  <c r="AE202" i="479"/>
  <c r="AD202" i="479"/>
  <c r="AC202" i="479"/>
  <c r="AB202" i="479"/>
  <c r="AA202" i="479"/>
  <c r="Z202" i="479"/>
  <c r="X202" i="479"/>
  <c r="W202" i="479"/>
  <c r="V202" i="479"/>
  <c r="U202" i="479"/>
  <c r="T202" i="479"/>
  <c r="N202" i="479"/>
  <c r="N201" i="479"/>
  <c r="N200" i="479"/>
  <c r="H200" i="479"/>
  <c r="H201" i="479" s="1"/>
  <c r="Y200" i="479"/>
  <c r="Y199" i="479"/>
  <c r="N199" i="479"/>
  <c r="N198" i="479"/>
  <c r="N197" i="479"/>
  <c r="H197" i="479"/>
  <c r="Y196" i="479"/>
  <c r="N196" i="479"/>
  <c r="Y195" i="479"/>
  <c r="N195" i="479"/>
  <c r="Y194" i="479"/>
  <c r="Y202" i="479"/>
  <c r="N194" i="479"/>
  <c r="AY181" i="479"/>
  <c r="AX181" i="479"/>
  <c r="AW181" i="479"/>
  <c r="AV181" i="479"/>
  <c r="AU181" i="479"/>
  <c r="AT181" i="479"/>
  <c r="AS181" i="479"/>
  <c r="AR181" i="479"/>
  <c r="AQ181" i="479"/>
  <c r="AP181" i="479"/>
  <c r="AO181" i="479"/>
  <c r="AN181" i="479"/>
  <c r="AM181" i="479"/>
  <c r="AL181" i="479"/>
  <c r="AK181" i="479"/>
  <c r="AJ181" i="479"/>
  <c r="AI181" i="479"/>
  <c r="AH181" i="479"/>
  <c r="AG181" i="479"/>
  <c r="AF181" i="479"/>
  <c r="AE181" i="479"/>
  <c r="AD181" i="479"/>
  <c r="AB181" i="479"/>
  <c r="AA181" i="479"/>
  <c r="Z181" i="479"/>
  <c r="X181" i="479"/>
  <c r="W181" i="479"/>
  <c r="V181" i="479"/>
  <c r="U181" i="479"/>
  <c r="T181" i="479"/>
  <c r="N181" i="479"/>
  <c r="N180" i="479"/>
  <c r="H180" i="479"/>
  <c r="AC179" i="479"/>
  <c r="AC181" i="479"/>
  <c r="N179" i="479"/>
  <c r="Y178" i="479"/>
  <c r="N178" i="479"/>
  <c r="N176" i="479" s="1"/>
  <c r="Y177" i="479"/>
  <c r="Y181" i="479" s="1"/>
  <c r="N177" i="479"/>
  <c r="H164" i="479"/>
  <c r="H162" i="479"/>
  <c r="AY161" i="479"/>
  <c r="AX161" i="479"/>
  <c r="AW161" i="479"/>
  <c r="AV161" i="479"/>
  <c r="AT161" i="479"/>
  <c r="AS161" i="479"/>
  <c r="AR161" i="479"/>
  <c r="AQ161" i="479"/>
  <c r="AP161" i="479"/>
  <c r="AO161" i="479"/>
  <c r="AN161" i="479"/>
  <c r="AM161" i="479"/>
  <c r="AL161" i="479"/>
  <c r="AJ161" i="479"/>
  <c r="AI161" i="479"/>
  <c r="AH161" i="479"/>
  <c r="AG161" i="479"/>
  <c r="AF161" i="479"/>
  <c r="AE161" i="479"/>
  <c r="AD161" i="479"/>
  <c r="AA161" i="479"/>
  <c r="Z161" i="479"/>
  <c r="Y161" i="479"/>
  <c r="X161" i="479"/>
  <c r="W161" i="479"/>
  <c r="V161" i="479"/>
  <c r="U161" i="479"/>
  <c r="T161" i="479"/>
  <c r="N161" i="479"/>
  <c r="N160" i="479"/>
  <c r="N159" i="479"/>
  <c r="H159" i="479"/>
  <c r="AC158" i="479"/>
  <c r="AB158" i="479"/>
  <c r="N158" i="479"/>
  <c r="N157" i="479"/>
  <c r="AC156" i="479"/>
  <c r="AB156" i="479"/>
  <c r="N156" i="479"/>
  <c r="N155" i="479"/>
  <c r="AC154" i="479"/>
  <c r="AB154" i="479"/>
  <c r="N154" i="479"/>
  <c r="N153" i="479"/>
  <c r="AC152" i="479"/>
  <c r="AC161" i="479" s="1"/>
  <c r="AB152" i="479"/>
  <c r="N152" i="479"/>
  <c r="N151" i="479"/>
  <c r="H151" i="479"/>
  <c r="AK150" i="479"/>
  <c r="AK161" i="479"/>
  <c r="N150" i="479"/>
  <c r="I137" i="479"/>
  <c r="H137" i="479"/>
  <c r="H135" i="479"/>
  <c r="AY134" i="479"/>
  <c r="AX134" i="479"/>
  <c r="AW134" i="479"/>
  <c r="AU134" i="479"/>
  <c r="AS134" i="479"/>
  <c r="AR134" i="479"/>
  <c r="AQ134" i="479"/>
  <c r="AP134" i="479"/>
  <c r="AO134" i="479"/>
  <c r="AN134" i="479"/>
  <c r="AM134" i="479"/>
  <c r="AL134" i="479"/>
  <c r="AK134" i="479"/>
  <c r="AJ134" i="479"/>
  <c r="AI134" i="479"/>
  <c r="AH134" i="479"/>
  <c r="AG134" i="479"/>
  <c r="AF134" i="479"/>
  <c r="AE134" i="479"/>
  <c r="AD134" i="479"/>
  <c r="AA134" i="479"/>
  <c r="Z134" i="479"/>
  <c r="X134" i="479"/>
  <c r="W134" i="479"/>
  <c r="V134" i="479"/>
  <c r="U134" i="479"/>
  <c r="T134" i="479"/>
  <c r="N134" i="479"/>
  <c r="N133" i="479"/>
  <c r="N132" i="479"/>
  <c r="N131" i="479"/>
  <c r="H131" i="479"/>
  <c r="N130" i="479"/>
  <c r="H130" i="479"/>
  <c r="N129" i="479"/>
  <c r="H129" i="479"/>
  <c r="N128" i="479"/>
  <c r="N127" i="479"/>
  <c r="AC126" i="479"/>
  <c r="AB126" i="479"/>
  <c r="N126" i="479"/>
  <c r="N125" i="479"/>
  <c r="N124" i="479"/>
  <c r="AC123" i="479"/>
  <c r="AB123" i="479"/>
  <c r="N123" i="479"/>
  <c r="N122" i="479"/>
  <c r="AC121" i="479"/>
  <c r="AB121" i="479"/>
  <c r="N121" i="479"/>
  <c r="N120" i="479"/>
  <c r="N119" i="479"/>
  <c r="AC118" i="479"/>
  <c r="AB118" i="479"/>
  <c r="N118" i="479"/>
  <c r="N117" i="479"/>
  <c r="AC116" i="479"/>
  <c r="AB116" i="479"/>
  <c r="N116" i="479"/>
  <c r="N115" i="479"/>
  <c r="N114" i="479"/>
  <c r="AC113" i="479"/>
  <c r="AB113" i="479"/>
  <c r="N113" i="479"/>
  <c r="N112" i="479"/>
  <c r="N111" i="479"/>
  <c r="AC110" i="479"/>
  <c r="AB110" i="479"/>
  <c r="N110" i="479"/>
  <c r="N109" i="479"/>
  <c r="H109" i="479"/>
  <c r="Y108" i="479"/>
  <c r="Y134" i="479" s="1"/>
  <c r="N108" i="479"/>
  <c r="AT107" i="479"/>
  <c r="AT134" i="479"/>
  <c r="N107" i="479"/>
  <c r="AV106" i="479"/>
  <c r="AV134" i="479" s="1"/>
  <c r="N106" i="479"/>
  <c r="I93" i="479"/>
  <c r="J137" i="479" s="1"/>
  <c r="H93" i="479"/>
  <c r="H91" i="479"/>
  <c r="AX90" i="479"/>
  <c r="AW90" i="479"/>
  <c r="AV90" i="479"/>
  <c r="AU90" i="479"/>
  <c r="AT90" i="479"/>
  <c r="AS90" i="479"/>
  <c r="AR90" i="479"/>
  <c r="AQ90" i="479"/>
  <c r="AP90" i="479"/>
  <c r="AO90" i="479"/>
  <c r="AN90" i="479"/>
  <c r="AM90" i="479"/>
  <c r="AL90" i="479"/>
  <c r="AK90" i="479"/>
  <c r="AJ90" i="479"/>
  <c r="AI90" i="479"/>
  <c r="AH90" i="479"/>
  <c r="AG90" i="479"/>
  <c r="AF90" i="479"/>
  <c r="AE90" i="479"/>
  <c r="AD90" i="479"/>
  <c r="AA90" i="479"/>
  <c r="Z90" i="479"/>
  <c r="Y90" i="479"/>
  <c r="X90" i="479"/>
  <c r="W90" i="479"/>
  <c r="V90" i="479"/>
  <c r="U90" i="479"/>
  <c r="T90" i="479"/>
  <c r="N90" i="479"/>
  <c r="N89" i="479"/>
  <c r="N88" i="479"/>
  <c r="N87" i="479"/>
  <c r="H87" i="479"/>
  <c r="AC86" i="479"/>
  <c r="AB86" i="479"/>
  <c r="N86" i="479"/>
  <c r="N85" i="479"/>
  <c r="AC84" i="479"/>
  <c r="AB84" i="479"/>
  <c r="N84" i="479"/>
  <c r="N83" i="479"/>
  <c r="AC82" i="479"/>
  <c r="AB82" i="479"/>
  <c r="N82" i="479"/>
  <c r="AC81" i="479"/>
  <c r="AC90" i="479" s="1"/>
  <c r="AB81" i="479"/>
  <c r="N81" i="479"/>
  <c r="N80" i="479"/>
  <c r="AC79" i="479"/>
  <c r="AB79" i="479"/>
  <c r="N79" i="479"/>
  <c r="N78" i="479"/>
  <c r="AC77" i="479"/>
  <c r="AB77" i="479"/>
  <c r="N77" i="479"/>
  <c r="AC76" i="479"/>
  <c r="AB76" i="479"/>
  <c r="N76" i="479"/>
  <c r="N75" i="479"/>
  <c r="AC74" i="479"/>
  <c r="AB74" i="479"/>
  <c r="N74" i="479"/>
  <c r="N73" i="479"/>
  <c r="H73" i="479"/>
  <c r="AY72" i="479"/>
  <c r="AY90" i="479"/>
  <c r="N72" i="479"/>
  <c r="N71" i="479" s="1"/>
  <c r="H59" i="479"/>
  <c r="H57" i="479"/>
  <c r="AY56" i="479"/>
  <c r="AX56" i="479"/>
  <c r="AW56" i="479"/>
  <c r="AU56" i="479"/>
  <c r="AT56" i="479"/>
  <c r="AS56" i="479"/>
  <c r="AR56" i="479"/>
  <c r="AQ56" i="479"/>
  <c r="AP56" i="479"/>
  <c r="AO56" i="479"/>
  <c r="AN56" i="479"/>
  <c r="AM56" i="479"/>
  <c r="AL56" i="479"/>
  <c r="AJ56" i="479"/>
  <c r="AI56" i="479"/>
  <c r="AH56" i="479"/>
  <c r="AG56" i="479"/>
  <c r="AF56" i="479"/>
  <c r="AE56" i="479"/>
  <c r="AD56" i="479"/>
  <c r="AA56" i="479"/>
  <c r="Z56" i="479"/>
  <c r="X56" i="479"/>
  <c r="W56" i="479"/>
  <c r="V56" i="479"/>
  <c r="U56" i="479"/>
  <c r="T56" i="479"/>
  <c r="N56" i="479"/>
  <c r="N55" i="479"/>
  <c r="N54" i="479"/>
  <c r="H54" i="479"/>
  <c r="AB54" i="479" s="1"/>
  <c r="Y53" i="479"/>
  <c r="Y56" i="479"/>
  <c r="N53" i="479"/>
  <c r="N52" i="479"/>
  <c r="N51" i="479"/>
  <c r="H51" i="479"/>
  <c r="AC50" i="479"/>
  <c r="AB50" i="479"/>
  <c r="N50" i="479"/>
  <c r="AC49" i="479"/>
  <c r="AB49" i="479"/>
  <c r="N49" i="479"/>
  <c r="AC48" i="479"/>
  <c r="AB48" i="479"/>
  <c r="N48" i="479"/>
  <c r="N47" i="479"/>
  <c r="N46" i="479"/>
  <c r="H46" i="479"/>
  <c r="AC45" i="479"/>
  <c r="AB45" i="479"/>
  <c r="N45" i="479"/>
  <c r="AB44" i="479"/>
  <c r="N44" i="479"/>
  <c r="AC43" i="479"/>
  <c r="AB43" i="479"/>
  <c r="N43" i="479"/>
  <c r="N39" i="479" s="1"/>
  <c r="N42" i="479"/>
  <c r="N41" i="479"/>
  <c r="H41" i="479"/>
  <c r="AB40" i="479"/>
  <c r="N40" i="479"/>
  <c r="H27" i="479"/>
  <c r="H25" i="479"/>
  <c r="AY24" i="479"/>
  <c r="AX24" i="479"/>
  <c r="AW24" i="479"/>
  <c r="AV24" i="479"/>
  <c r="AU24" i="479"/>
  <c r="AT24" i="479"/>
  <c r="AS24" i="479"/>
  <c r="AR24" i="479"/>
  <c r="AQ24" i="479"/>
  <c r="AO24" i="479"/>
  <c r="AN24" i="479"/>
  <c r="AM24" i="479"/>
  <c r="AL24" i="479"/>
  <c r="AK24" i="479"/>
  <c r="AJ24" i="479"/>
  <c r="AI24" i="479"/>
  <c r="AH24" i="479"/>
  <c r="AG24" i="479"/>
  <c r="AF24" i="479"/>
  <c r="AE24" i="479"/>
  <c r="AD24" i="479"/>
  <c r="AC24" i="479"/>
  <c r="AB24" i="479"/>
  <c r="AA24" i="479"/>
  <c r="X24" i="479"/>
  <c r="W24" i="479"/>
  <c r="V24" i="479"/>
  <c r="U24" i="479"/>
  <c r="N24" i="479"/>
  <c r="N23" i="479"/>
  <c r="N22" i="479"/>
  <c r="H22" i="479"/>
  <c r="Y22" i="479" s="1"/>
  <c r="Z21" i="479"/>
  <c r="N21" i="479"/>
  <c r="T20" i="479"/>
  <c r="T24" i="479" s="1"/>
  <c r="N20" i="479"/>
  <c r="Z19" i="479"/>
  <c r="Y19" i="479"/>
  <c r="N19" i="479"/>
  <c r="Z18" i="479"/>
  <c r="Y18" i="479"/>
  <c r="N18" i="479"/>
  <c r="Z17" i="479"/>
  <c r="Z24" i="479" s="1"/>
  <c r="Y17" i="479"/>
  <c r="N17" i="479"/>
  <c r="N16" i="479"/>
  <c r="Z15" i="479"/>
  <c r="Y15" i="479"/>
  <c r="N15" i="479"/>
  <c r="N14" i="479"/>
  <c r="Z13" i="479"/>
  <c r="Y13" i="479"/>
  <c r="N13" i="479"/>
  <c r="N12" i="479"/>
  <c r="Z11" i="479"/>
  <c r="Y11" i="479"/>
  <c r="N11" i="479"/>
  <c r="N10" i="479"/>
  <c r="H10" i="479"/>
  <c r="BX174" i="511"/>
  <c r="BW174" i="511"/>
  <c r="BV174" i="511"/>
  <c r="BY174" i="511" s="1"/>
  <c r="BT174" i="511"/>
  <c r="BS174" i="511"/>
  <c r="BG174" i="511"/>
  <c r="BU174" i="511" s="1"/>
  <c r="AX174" i="511"/>
  <c r="AW174" i="511"/>
  <c r="U174" i="511"/>
  <c r="Q174" i="511"/>
  <c r="A174" i="511"/>
  <c r="BX173" i="511"/>
  <c r="BW173" i="511"/>
  <c r="BV173" i="511"/>
  <c r="BT173" i="511"/>
  <c r="BS173" i="511"/>
  <c r="BG173" i="511"/>
  <c r="BU173" i="511" s="1"/>
  <c r="AX173" i="511"/>
  <c r="AW173" i="511"/>
  <c r="U173" i="511"/>
  <c r="Q173" i="511"/>
  <c r="A173" i="511"/>
  <c r="BX172" i="511"/>
  <c r="BW172" i="511"/>
  <c r="BV172" i="511"/>
  <c r="BT172" i="511"/>
  <c r="BS172" i="511"/>
  <c r="BG172" i="511"/>
  <c r="BU172" i="511" s="1"/>
  <c r="AX172" i="511"/>
  <c r="AW172" i="511"/>
  <c r="AY172" i="511" s="1"/>
  <c r="BZ172" i="511" s="1"/>
  <c r="U172" i="511"/>
  <c r="Q172" i="511"/>
  <c r="A172" i="511"/>
  <c r="BX171" i="511"/>
  <c r="BW171" i="511"/>
  <c r="BV171" i="511"/>
  <c r="BT171" i="511"/>
  <c r="BS171" i="511"/>
  <c r="BG171" i="511"/>
  <c r="BU171" i="511"/>
  <c r="AX171" i="511"/>
  <c r="AY171" i="511" s="1"/>
  <c r="BZ171" i="511" s="1"/>
  <c r="AW171" i="511"/>
  <c r="U171" i="511"/>
  <c r="Q171" i="511"/>
  <c r="T171" i="511"/>
  <c r="A171" i="511"/>
  <c r="BX170" i="511"/>
  <c r="BW170" i="511"/>
  <c r="BV170" i="511"/>
  <c r="BT170" i="511"/>
  <c r="BS170" i="511"/>
  <c r="BG170" i="511"/>
  <c r="BU170" i="511" s="1"/>
  <c r="AX170" i="511"/>
  <c r="AW170" i="511"/>
  <c r="U170" i="511"/>
  <c r="Q170" i="511"/>
  <c r="T170" i="511" s="1"/>
  <c r="A170" i="511"/>
  <c r="BX169" i="511"/>
  <c r="BW169" i="511"/>
  <c r="BV169" i="511"/>
  <c r="BT169" i="511"/>
  <c r="BS169" i="511"/>
  <c r="BG169" i="511"/>
  <c r="BU169" i="511" s="1"/>
  <c r="AX169" i="511"/>
  <c r="AW169" i="511"/>
  <c r="R169" i="511"/>
  <c r="U169" i="511" s="1"/>
  <c r="Q169" i="511"/>
  <c r="T169" i="511" s="1"/>
  <c r="A169" i="511"/>
  <c r="BX168" i="511"/>
  <c r="BW168" i="511"/>
  <c r="BV168" i="511"/>
  <c r="BT168" i="511"/>
  <c r="BS168" i="511"/>
  <c r="BG168" i="511"/>
  <c r="BU168" i="511" s="1"/>
  <c r="AX168" i="511"/>
  <c r="AW168" i="511"/>
  <c r="U168" i="511"/>
  <c r="Q168" i="511"/>
  <c r="A168" i="511"/>
  <c r="BX167" i="511"/>
  <c r="BW167" i="511"/>
  <c r="BV167" i="511"/>
  <c r="BT167" i="511"/>
  <c r="BS167" i="511"/>
  <c r="BG167" i="511"/>
  <c r="BU167" i="511" s="1"/>
  <c r="AX167" i="511"/>
  <c r="AW167" i="511"/>
  <c r="U167" i="511"/>
  <c r="Q167" i="511"/>
  <c r="T167" i="511"/>
  <c r="A167" i="511"/>
  <c r="BX166" i="511"/>
  <c r="BW166" i="511"/>
  <c r="BV166" i="511"/>
  <c r="BT166" i="511"/>
  <c r="BS166" i="511"/>
  <c r="BG166" i="511"/>
  <c r="BU166" i="511"/>
  <c r="AX166" i="511"/>
  <c r="AW166" i="511"/>
  <c r="T166" i="511"/>
  <c r="Q166" i="511"/>
  <c r="A166" i="511"/>
  <c r="BX165" i="511"/>
  <c r="BW165" i="511"/>
  <c r="BV165" i="511"/>
  <c r="BT165" i="511"/>
  <c r="BS165" i="511"/>
  <c r="BG165" i="511"/>
  <c r="BU165" i="511"/>
  <c r="AX165" i="511"/>
  <c r="AW165" i="511"/>
  <c r="T165" i="511"/>
  <c r="Q165" i="511"/>
  <c r="A165" i="511"/>
  <c r="BX164" i="511"/>
  <c r="BW164" i="511"/>
  <c r="BV164" i="511"/>
  <c r="BT164" i="511"/>
  <c r="BS164" i="511"/>
  <c r="BG164" i="511"/>
  <c r="BU164" i="511" s="1"/>
  <c r="AX164" i="511"/>
  <c r="AW164" i="511"/>
  <c r="R164" i="511"/>
  <c r="T164" i="511" s="1"/>
  <c r="Q164" i="511"/>
  <c r="A164" i="511"/>
  <c r="BX163" i="511"/>
  <c r="BW163" i="511"/>
  <c r="BV163" i="511"/>
  <c r="BT163" i="511"/>
  <c r="BS163" i="511"/>
  <c r="BY163" i="511" s="1"/>
  <c r="CA163" i="511" s="1"/>
  <c r="BG163" i="511"/>
  <c r="BU163" i="511" s="1"/>
  <c r="AX163" i="511"/>
  <c r="AY163" i="511" s="1"/>
  <c r="BZ163" i="511" s="1"/>
  <c r="AW163" i="511"/>
  <c r="T163" i="511"/>
  <c r="Q163" i="511"/>
  <c r="A163" i="511"/>
  <c r="BX162" i="511"/>
  <c r="BW162" i="511"/>
  <c r="BV162" i="511"/>
  <c r="BT162" i="511"/>
  <c r="BS162" i="511"/>
  <c r="BG162" i="511"/>
  <c r="BU162" i="511"/>
  <c r="AX162" i="511"/>
  <c r="AW162" i="511"/>
  <c r="T162" i="511"/>
  <c r="Q162" i="511"/>
  <c r="A162" i="511"/>
  <c r="BX161" i="511"/>
  <c r="BW161" i="511"/>
  <c r="BV161" i="511"/>
  <c r="BT161" i="511"/>
  <c r="BS161" i="511"/>
  <c r="BG161" i="511"/>
  <c r="BU161" i="511" s="1"/>
  <c r="AX161" i="511"/>
  <c r="AY161" i="511" s="1"/>
  <c r="BZ161" i="511" s="1"/>
  <c r="AW161" i="511"/>
  <c r="T161" i="511"/>
  <c r="Q161" i="511"/>
  <c r="A161" i="511"/>
  <c r="BX160" i="511"/>
  <c r="BW160" i="511"/>
  <c r="BV160" i="511"/>
  <c r="BT160" i="511"/>
  <c r="BS160" i="511"/>
  <c r="BG160" i="511"/>
  <c r="BU160" i="511" s="1"/>
  <c r="AX160" i="511"/>
  <c r="AW160" i="511"/>
  <c r="T160" i="511"/>
  <c r="Q160" i="511"/>
  <c r="A160" i="511"/>
  <c r="BX159" i="511"/>
  <c r="BW159" i="511"/>
  <c r="BV159" i="511"/>
  <c r="BT159" i="511"/>
  <c r="BS159" i="511"/>
  <c r="BY159" i="511" s="1"/>
  <c r="BG159" i="511"/>
  <c r="BU159" i="511" s="1"/>
  <c r="AX159" i="511"/>
  <c r="AW159" i="511"/>
  <c r="T159" i="511"/>
  <c r="Q159" i="511"/>
  <c r="A159" i="511"/>
  <c r="BX158" i="511"/>
  <c r="BW158" i="511"/>
  <c r="BV158" i="511"/>
  <c r="BT158" i="511"/>
  <c r="BS158" i="511"/>
  <c r="BG158" i="511"/>
  <c r="BU158" i="511" s="1"/>
  <c r="AX158" i="511"/>
  <c r="AW158" i="511"/>
  <c r="T158" i="511"/>
  <c r="Q158" i="511"/>
  <c r="A158" i="511"/>
  <c r="BX157" i="511"/>
  <c r="BW157" i="511"/>
  <c r="BV157" i="511"/>
  <c r="BT157" i="511"/>
  <c r="BS157" i="511"/>
  <c r="BG157" i="511"/>
  <c r="BU157" i="511"/>
  <c r="AX157" i="511"/>
  <c r="AY157" i="511" s="1"/>
  <c r="BZ157" i="511" s="1"/>
  <c r="AW157" i="511"/>
  <c r="T157" i="511"/>
  <c r="Q157" i="511"/>
  <c r="A157" i="511"/>
  <c r="BX156" i="511"/>
  <c r="BW156" i="511"/>
  <c r="BV156" i="511"/>
  <c r="BT156" i="511"/>
  <c r="BS156" i="511"/>
  <c r="BG156" i="511"/>
  <c r="BU156" i="511" s="1"/>
  <c r="AX156" i="511"/>
  <c r="AW156" i="511"/>
  <c r="T156" i="511"/>
  <c r="Q156" i="511"/>
  <c r="A156" i="511"/>
  <c r="BX155" i="511"/>
  <c r="BW155" i="511"/>
  <c r="BV155" i="511"/>
  <c r="BT155" i="511"/>
  <c r="BS155" i="511"/>
  <c r="BG155" i="511"/>
  <c r="BU155" i="511" s="1"/>
  <c r="AX155" i="511"/>
  <c r="AW155" i="511"/>
  <c r="R155" i="511"/>
  <c r="T155" i="511" s="1"/>
  <c r="Q155" i="511"/>
  <c r="A155" i="511"/>
  <c r="BX154" i="511"/>
  <c r="BW154" i="511"/>
  <c r="BV154" i="511"/>
  <c r="BT154" i="511"/>
  <c r="BS154" i="511"/>
  <c r="BG154" i="511"/>
  <c r="BU154" i="511" s="1"/>
  <c r="BY154" i="511" s="1"/>
  <c r="CA154" i="511" s="1"/>
  <c r="AX154" i="511"/>
  <c r="AW154" i="511"/>
  <c r="T154" i="511"/>
  <c r="Q154" i="511"/>
  <c r="A154" i="511"/>
  <c r="BX153" i="511"/>
  <c r="BW153" i="511"/>
  <c r="BV153" i="511"/>
  <c r="BT153" i="511"/>
  <c r="BS153" i="511"/>
  <c r="BG153" i="511"/>
  <c r="BU153" i="511"/>
  <c r="AX153" i="511"/>
  <c r="AW153" i="511"/>
  <c r="T153" i="511"/>
  <c r="Q153" i="511"/>
  <c r="A153" i="511"/>
  <c r="BX152" i="511"/>
  <c r="BW152" i="511"/>
  <c r="BV152" i="511"/>
  <c r="BT152" i="511"/>
  <c r="BS152" i="511"/>
  <c r="BG152" i="511"/>
  <c r="BU152" i="511"/>
  <c r="AX152" i="511"/>
  <c r="AW152" i="511"/>
  <c r="T152" i="511"/>
  <c r="Q152" i="511"/>
  <c r="A152" i="511"/>
  <c r="BX151" i="511"/>
  <c r="BW151" i="511"/>
  <c r="BV151" i="511"/>
  <c r="BT151" i="511"/>
  <c r="BS151" i="511"/>
  <c r="BG151" i="511"/>
  <c r="BU151" i="511" s="1"/>
  <c r="AX151" i="511"/>
  <c r="AW151" i="511"/>
  <c r="T151" i="511"/>
  <c r="Q151" i="511"/>
  <c r="A151" i="511"/>
  <c r="BX150" i="511"/>
  <c r="BW150" i="511"/>
  <c r="BV150" i="511"/>
  <c r="BT150" i="511"/>
  <c r="BS150" i="511"/>
  <c r="BG150" i="511"/>
  <c r="BU150" i="511" s="1"/>
  <c r="AX150" i="511"/>
  <c r="AW150" i="511"/>
  <c r="T150" i="511"/>
  <c r="Q150" i="511"/>
  <c r="A150" i="511"/>
  <c r="BX149" i="511"/>
  <c r="BW149" i="511"/>
  <c r="BV149" i="511"/>
  <c r="BT149" i="511"/>
  <c r="BS149" i="511"/>
  <c r="BG149" i="511"/>
  <c r="BU149" i="511" s="1"/>
  <c r="BY149" i="511" s="1"/>
  <c r="CA149" i="511" s="1"/>
  <c r="AX149" i="511"/>
  <c r="AW149" i="511"/>
  <c r="T149" i="511"/>
  <c r="Q149" i="511"/>
  <c r="A149" i="511"/>
  <c r="BX148" i="511"/>
  <c r="BW148" i="511"/>
  <c r="BV148" i="511"/>
  <c r="BT148" i="511"/>
  <c r="BS148" i="511"/>
  <c r="BG148" i="511"/>
  <c r="BU148" i="511"/>
  <c r="AX148" i="511"/>
  <c r="AW148" i="511"/>
  <c r="T148" i="511"/>
  <c r="Q148" i="511"/>
  <c r="A148" i="511"/>
  <c r="BX147" i="511"/>
  <c r="BW147" i="511"/>
  <c r="BV147" i="511"/>
  <c r="BT147" i="511"/>
  <c r="BS147" i="511"/>
  <c r="BG147" i="511"/>
  <c r="BU147" i="511"/>
  <c r="AX147" i="511"/>
  <c r="AW147" i="511"/>
  <c r="T147" i="511"/>
  <c r="Q147" i="511"/>
  <c r="A147" i="511"/>
  <c r="BX146" i="511"/>
  <c r="BW146" i="511"/>
  <c r="BV146" i="511"/>
  <c r="BT146" i="511"/>
  <c r="BS146" i="511"/>
  <c r="BG146" i="511"/>
  <c r="BU146" i="511" s="1"/>
  <c r="AX146" i="511"/>
  <c r="AW146" i="511"/>
  <c r="T146" i="511"/>
  <c r="Q146" i="511"/>
  <c r="A146" i="511"/>
  <c r="BX145" i="511"/>
  <c r="BW145" i="511"/>
  <c r="BV145" i="511"/>
  <c r="BT145" i="511"/>
  <c r="BS145" i="511"/>
  <c r="BG145" i="511"/>
  <c r="BU145" i="511"/>
  <c r="BY145" i="511" s="1"/>
  <c r="CA145" i="511" s="1"/>
  <c r="AX145" i="511"/>
  <c r="AW145" i="511"/>
  <c r="T145" i="511"/>
  <c r="Q145" i="511"/>
  <c r="A145" i="511"/>
  <c r="BX144" i="511"/>
  <c r="BW144" i="511"/>
  <c r="BV144" i="511"/>
  <c r="BT144" i="511"/>
  <c r="BS144" i="511"/>
  <c r="BG144" i="511"/>
  <c r="BU144" i="511"/>
  <c r="BY144" i="511" s="1"/>
  <c r="AX144" i="511"/>
  <c r="AW144" i="511"/>
  <c r="T144" i="511"/>
  <c r="Q144" i="511"/>
  <c r="A144" i="511"/>
  <c r="BX143" i="511"/>
  <c r="BW143" i="511"/>
  <c r="BV143" i="511"/>
  <c r="BT143" i="511"/>
  <c r="BS143" i="511"/>
  <c r="BG143" i="511"/>
  <c r="BU143" i="511"/>
  <c r="AX143" i="511"/>
  <c r="AW143" i="511"/>
  <c r="T143" i="511"/>
  <c r="Q143" i="511"/>
  <c r="A143" i="511"/>
  <c r="BX142" i="511"/>
  <c r="BW142" i="511"/>
  <c r="BV142" i="511"/>
  <c r="BY142" i="511" s="1"/>
  <c r="BT142" i="511"/>
  <c r="BS142" i="511"/>
  <c r="BG142" i="511"/>
  <c r="BU142" i="511"/>
  <c r="AX142" i="511"/>
  <c r="AW142" i="511"/>
  <c r="R142" i="511"/>
  <c r="T142" i="511"/>
  <c r="Q142" i="511"/>
  <c r="A142" i="511"/>
  <c r="BX141" i="511"/>
  <c r="BW141" i="511"/>
  <c r="BV141" i="511"/>
  <c r="BT141" i="511"/>
  <c r="BS141" i="511"/>
  <c r="BG141" i="511"/>
  <c r="BU141" i="511"/>
  <c r="AX141" i="511"/>
  <c r="AW141" i="511"/>
  <c r="AY141" i="511" s="1"/>
  <c r="BZ141" i="511" s="1"/>
  <c r="T141" i="511"/>
  <c r="Q141" i="511"/>
  <c r="A141" i="511"/>
  <c r="BX140" i="511"/>
  <c r="BW140" i="511"/>
  <c r="BV140" i="511"/>
  <c r="BT140" i="511"/>
  <c r="BS140" i="511"/>
  <c r="BG140" i="511"/>
  <c r="BU140" i="511" s="1"/>
  <c r="AX140" i="511"/>
  <c r="AW140" i="511"/>
  <c r="T140" i="511"/>
  <c r="Q140" i="511"/>
  <c r="A140" i="511"/>
  <c r="BX139" i="511"/>
  <c r="BW139" i="511"/>
  <c r="BV139" i="511"/>
  <c r="BT139" i="511"/>
  <c r="BS139" i="511"/>
  <c r="BG139" i="511"/>
  <c r="BU139" i="511" s="1"/>
  <c r="AX139" i="511"/>
  <c r="AW139" i="511"/>
  <c r="T139" i="511"/>
  <c r="Q139" i="511"/>
  <c r="A139" i="511"/>
  <c r="BX138" i="511"/>
  <c r="BW138" i="511"/>
  <c r="BV138" i="511"/>
  <c r="BT138" i="511"/>
  <c r="BS138" i="511"/>
  <c r="BG138" i="511"/>
  <c r="BU138" i="511"/>
  <c r="AX138" i="511"/>
  <c r="AW138" i="511"/>
  <c r="T138" i="511"/>
  <c r="Q138" i="511"/>
  <c r="A138" i="511"/>
  <c r="BX137" i="511"/>
  <c r="BW137" i="511"/>
  <c r="BV137" i="511"/>
  <c r="BT137" i="511"/>
  <c r="BS137" i="511"/>
  <c r="BG137" i="511"/>
  <c r="BU137" i="511" s="1"/>
  <c r="AX137" i="511"/>
  <c r="AW137" i="511"/>
  <c r="T137" i="511"/>
  <c r="Q137" i="511"/>
  <c r="A137" i="511"/>
  <c r="BX136" i="511"/>
  <c r="BW136" i="511"/>
  <c r="BV136" i="511"/>
  <c r="BT136" i="511"/>
  <c r="BY136" i="511" s="1"/>
  <c r="CA136" i="511" s="1"/>
  <c r="BS136" i="511"/>
  <c r="BG136" i="511"/>
  <c r="BU136" i="511"/>
  <c r="AX136" i="511"/>
  <c r="AW136" i="511"/>
  <c r="T136" i="511"/>
  <c r="Q136" i="511"/>
  <c r="A136" i="511"/>
  <c r="BX135" i="511"/>
  <c r="BW135" i="511"/>
  <c r="BV135" i="511"/>
  <c r="BU135" i="511"/>
  <c r="BT135" i="511"/>
  <c r="BS135" i="511"/>
  <c r="BY135" i="511" s="1"/>
  <c r="AX135" i="511"/>
  <c r="AW135" i="511"/>
  <c r="Q135" i="511"/>
  <c r="BX134" i="511"/>
  <c r="BW134" i="511"/>
  <c r="BV134" i="511"/>
  <c r="BU134" i="511"/>
  <c r="BT134" i="511"/>
  <c r="BS134" i="511"/>
  <c r="BY134" i="511"/>
  <c r="AX134" i="511"/>
  <c r="AW134" i="511"/>
  <c r="Q134" i="511"/>
  <c r="BX133" i="511"/>
  <c r="BW133" i="511"/>
  <c r="BV133" i="511"/>
  <c r="BU133" i="511"/>
  <c r="BT133" i="511"/>
  <c r="BS133" i="511"/>
  <c r="BY133" i="511" s="1"/>
  <c r="AX133" i="511"/>
  <c r="AY133" i="511" s="1"/>
  <c r="BZ133" i="511" s="1"/>
  <c r="AW133" i="511"/>
  <c r="AT133" i="511"/>
  <c r="A133" i="511"/>
  <c r="BX132" i="511"/>
  <c r="BW132" i="511"/>
  <c r="BV132" i="511"/>
  <c r="BU132" i="511"/>
  <c r="BT132" i="511"/>
  <c r="BS132" i="511"/>
  <c r="AX132" i="511"/>
  <c r="AW132" i="511"/>
  <c r="AS132" i="511"/>
  <c r="A132" i="511"/>
  <c r="BX131" i="511"/>
  <c r="BW131" i="511"/>
  <c r="BV131" i="511"/>
  <c r="BU131" i="511"/>
  <c r="BT131" i="511"/>
  <c r="BS131" i="511"/>
  <c r="AX131" i="511"/>
  <c r="AY131" i="511" s="1"/>
  <c r="BZ131" i="511" s="1"/>
  <c r="AW131" i="511"/>
  <c r="AS131" i="511"/>
  <c r="A131" i="511"/>
  <c r="BX130" i="511"/>
  <c r="BW130" i="511"/>
  <c r="BV130" i="511"/>
  <c r="BY130" i="511" s="1"/>
  <c r="CA130" i="511" s="1"/>
  <c r="BT130" i="511"/>
  <c r="BS130" i="511"/>
  <c r="BG130" i="511"/>
  <c r="BU130" i="511" s="1"/>
  <c r="AX130" i="511"/>
  <c r="AY130" i="511" s="1"/>
  <c r="BZ130" i="511" s="1"/>
  <c r="AW130" i="511"/>
  <c r="Y130" i="511"/>
  <c r="Q130" i="511"/>
  <c r="A130" i="511"/>
  <c r="BX129" i="511"/>
  <c r="BW129" i="511"/>
  <c r="BV129" i="511"/>
  <c r="BT129" i="511"/>
  <c r="BS129" i="511"/>
  <c r="BG129" i="511"/>
  <c r="BU129" i="511" s="1"/>
  <c r="AX129" i="511"/>
  <c r="AY129" i="511" s="1"/>
  <c r="AW129" i="511"/>
  <c r="Y129" i="511"/>
  <c r="Q129" i="511"/>
  <c r="A129" i="511"/>
  <c r="BX128" i="511"/>
  <c r="BY128" i="511" s="1"/>
  <c r="BW128" i="511"/>
  <c r="BV128" i="511"/>
  <c r="BT128" i="511"/>
  <c r="BS128" i="511"/>
  <c r="BG128" i="511"/>
  <c r="BU128" i="511"/>
  <c r="AX128" i="511"/>
  <c r="AW128" i="511"/>
  <c r="AY128" i="511" s="1"/>
  <c r="BZ128" i="511" s="1"/>
  <c r="Y128" i="511"/>
  <c r="Q128" i="511"/>
  <c r="A128" i="511"/>
  <c r="BX127" i="511"/>
  <c r="BW127" i="511"/>
  <c r="BV127" i="511"/>
  <c r="BT127" i="511"/>
  <c r="BS127" i="511"/>
  <c r="BG127" i="511"/>
  <c r="BU127" i="511"/>
  <c r="AX127" i="511"/>
  <c r="AW127" i="511"/>
  <c r="Y127" i="511"/>
  <c r="A127" i="511"/>
  <c r="BX126" i="511"/>
  <c r="BW126" i="511"/>
  <c r="BV126" i="511"/>
  <c r="BT126" i="511"/>
  <c r="BS126" i="511"/>
  <c r="BG126" i="511"/>
  <c r="BU126" i="511"/>
  <c r="BY126" i="511" s="1"/>
  <c r="CA126" i="511" s="1"/>
  <c r="AX126" i="511"/>
  <c r="AW126" i="511"/>
  <c r="Y126" i="511"/>
  <c r="A126" i="511"/>
  <c r="BX125" i="511"/>
  <c r="BW125" i="511"/>
  <c r="BV125" i="511"/>
  <c r="BT125" i="511"/>
  <c r="BS125" i="511"/>
  <c r="BG125" i="511"/>
  <c r="BU125" i="511"/>
  <c r="BY125" i="511" s="1"/>
  <c r="AX125" i="511"/>
  <c r="AW125" i="511"/>
  <c r="Y125" i="511"/>
  <c r="Q125" i="511"/>
  <c r="A125" i="511"/>
  <c r="BX124" i="511"/>
  <c r="BW124" i="511"/>
  <c r="BV124" i="511"/>
  <c r="BT124" i="511"/>
  <c r="BS124" i="511"/>
  <c r="BG124" i="511"/>
  <c r="BU124" i="511"/>
  <c r="AX124" i="511"/>
  <c r="AW124" i="511"/>
  <c r="Y124" i="511"/>
  <c r="Q124" i="511"/>
  <c r="A124" i="511"/>
  <c r="BX123" i="511"/>
  <c r="BW123" i="511"/>
  <c r="BV123" i="511"/>
  <c r="BT123" i="511"/>
  <c r="BS123" i="511"/>
  <c r="BG123" i="511"/>
  <c r="BU123" i="511"/>
  <c r="AX123" i="511"/>
  <c r="AW123" i="511"/>
  <c r="Y123" i="511"/>
  <c r="Q123" i="511"/>
  <c r="A123" i="511"/>
  <c r="BX122" i="511"/>
  <c r="BW122" i="511"/>
  <c r="BV122" i="511"/>
  <c r="BT122" i="511"/>
  <c r="BS122" i="511"/>
  <c r="BG122" i="511"/>
  <c r="BU122" i="511" s="1"/>
  <c r="AX122" i="511"/>
  <c r="AW122" i="511"/>
  <c r="AR122" i="511"/>
  <c r="A122" i="511"/>
  <c r="BX121" i="511"/>
  <c r="BW121" i="511"/>
  <c r="BV121" i="511"/>
  <c r="BT121" i="511"/>
  <c r="BS121" i="511"/>
  <c r="BG121" i="511"/>
  <c r="BU121" i="511"/>
  <c r="AX121" i="511"/>
  <c r="AW121" i="511"/>
  <c r="AK121" i="511"/>
  <c r="Q121" i="511"/>
  <c r="A121" i="511"/>
  <c r="BX120" i="511"/>
  <c r="BW120" i="511"/>
  <c r="BV120" i="511"/>
  <c r="BT120" i="511"/>
  <c r="BS120" i="511"/>
  <c r="BG120" i="511"/>
  <c r="BU120" i="511" s="1"/>
  <c r="BY120" i="511" s="1"/>
  <c r="AX120" i="511"/>
  <c r="AW120" i="511"/>
  <c r="AK120" i="511"/>
  <c r="Q120" i="511"/>
  <c r="A120" i="511"/>
  <c r="BX119" i="511"/>
  <c r="BW119" i="511"/>
  <c r="BT119" i="511"/>
  <c r="BS119" i="511"/>
  <c r="BG119" i="511"/>
  <c r="AX119" i="511"/>
  <c r="AY119" i="511" s="1"/>
  <c r="BZ119" i="511" s="1"/>
  <c r="AW119" i="511"/>
  <c r="AK119" i="511"/>
  <c r="Q119" i="511"/>
  <c r="A119" i="511"/>
  <c r="BX118" i="511"/>
  <c r="BW118" i="511"/>
  <c r="BV118" i="511"/>
  <c r="BT118" i="511"/>
  <c r="BS118" i="511"/>
  <c r="BG118" i="511"/>
  <c r="BU118" i="511" s="1"/>
  <c r="AX118" i="511"/>
  <c r="AW118" i="511"/>
  <c r="AK118" i="511"/>
  <c r="Q118" i="511"/>
  <c r="A118" i="511"/>
  <c r="BX117" i="511"/>
  <c r="BW117" i="511"/>
  <c r="BV117" i="511"/>
  <c r="BT117" i="511"/>
  <c r="BS117" i="511"/>
  <c r="BG117" i="511"/>
  <c r="BU117" i="511" s="1"/>
  <c r="AX117" i="511"/>
  <c r="AW117" i="511"/>
  <c r="AK117" i="511"/>
  <c r="Q117" i="511"/>
  <c r="A117" i="511"/>
  <c r="BX116" i="511"/>
  <c r="BW116" i="511"/>
  <c r="BV116" i="511"/>
  <c r="BU116" i="511"/>
  <c r="BT116" i="511"/>
  <c r="BS116" i="511"/>
  <c r="AX116" i="511"/>
  <c r="AW116" i="511"/>
  <c r="AL116" i="511"/>
  <c r="Q116" i="511"/>
  <c r="A116" i="511"/>
  <c r="BX115" i="511"/>
  <c r="BW115" i="511"/>
  <c r="BV115" i="511"/>
  <c r="BU115" i="511"/>
  <c r="BT115" i="511"/>
  <c r="BS115" i="511"/>
  <c r="AX115" i="511"/>
  <c r="AW115" i="511"/>
  <c r="AL115" i="511"/>
  <c r="Q115" i="511"/>
  <c r="A115" i="511"/>
  <c r="BX114" i="511"/>
  <c r="BW114" i="511"/>
  <c r="BT114" i="511"/>
  <c r="BS114" i="511"/>
  <c r="BG114" i="511"/>
  <c r="AX114" i="511"/>
  <c r="AW114" i="511"/>
  <c r="AQ114" i="511"/>
  <c r="A114" i="511"/>
  <c r="BX113" i="511"/>
  <c r="BW113" i="511"/>
  <c r="BV113" i="511"/>
  <c r="BU113" i="511"/>
  <c r="BT113" i="511"/>
  <c r="BS113" i="511"/>
  <c r="AX113" i="511"/>
  <c r="AW113" i="511"/>
  <c r="AY113" i="511" s="1"/>
  <c r="AQ113" i="511"/>
  <c r="A113" i="511"/>
  <c r="BX112" i="511"/>
  <c r="BW112" i="511"/>
  <c r="BV112" i="511"/>
  <c r="BU112" i="511"/>
  <c r="BT112" i="511"/>
  <c r="BS112" i="511"/>
  <c r="BY112" i="511"/>
  <c r="AX112" i="511"/>
  <c r="AY112" i="511" s="1"/>
  <c r="BZ112" i="511" s="1"/>
  <c r="AW112" i="511"/>
  <c r="AJ112" i="511"/>
  <c r="A112" i="511"/>
  <c r="BX111" i="511"/>
  <c r="BW111" i="511"/>
  <c r="BV111" i="511"/>
  <c r="BU111" i="511"/>
  <c r="BT111" i="511"/>
  <c r="BS111" i="511"/>
  <c r="AX111" i="511"/>
  <c r="AY111" i="511" s="1"/>
  <c r="BZ111" i="511" s="1"/>
  <c r="AW111" i="511"/>
  <c r="AJ111" i="511"/>
  <c r="A111" i="511"/>
  <c r="BX110" i="511"/>
  <c r="BW110" i="511"/>
  <c r="BV110" i="511"/>
  <c r="BU110" i="511"/>
  <c r="BT110" i="511"/>
  <c r="BS110" i="511"/>
  <c r="BY110" i="511" s="1"/>
  <c r="AX110" i="511"/>
  <c r="AW110" i="511"/>
  <c r="AY110" i="511" s="1"/>
  <c r="BZ110" i="511" s="1"/>
  <c r="AJ110" i="511"/>
  <c r="A110" i="511"/>
  <c r="BX109" i="511"/>
  <c r="BW109" i="511"/>
  <c r="BV109" i="511"/>
  <c r="BU109" i="511"/>
  <c r="BT109" i="511"/>
  <c r="BS109" i="511"/>
  <c r="AX109" i="511"/>
  <c r="AW109" i="511"/>
  <c r="AC109" i="511"/>
  <c r="Q109" i="511"/>
  <c r="A109" i="511"/>
  <c r="BX108" i="511"/>
  <c r="BW108" i="511"/>
  <c r="BV108" i="511"/>
  <c r="BU108" i="511"/>
  <c r="BT108" i="511"/>
  <c r="BS108" i="511"/>
  <c r="BY108" i="511"/>
  <c r="AX108" i="511"/>
  <c r="AY108" i="511" s="1"/>
  <c r="BZ108" i="511" s="1"/>
  <c r="AW108" i="511"/>
  <c r="AH108" i="511"/>
  <c r="A108" i="511"/>
  <c r="BX107" i="511"/>
  <c r="BW107" i="511"/>
  <c r="BV107" i="511"/>
  <c r="BU107" i="511"/>
  <c r="BT107" i="511"/>
  <c r="BY107" i="511" s="1"/>
  <c r="BS107" i="511"/>
  <c r="AX107" i="511"/>
  <c r="AW107" i="511"/>
  <c r="AY107" i="511" s="1"/>
  <c r="BZ107" i="511" s="1"/>
  <c r="CA107" i="511" s="1"/>
  <c r="AH107" i="511"/>
  <c r="A107" i="511"/>
  <c r="BX106" i="511"/>
  <c r="BW106" i="511"/>
  <c r="BV106" i="511"/>
  <c r="BU106" i="511"/>
  <c r="BT106" i="511"/>
  <c r="BS106" i="511"/>
  <c r="BY106" i="511"/>
  <c r="CA106" i="511" s="1"/>
  <c r="AX106" i="511"/>
  <c r="AW106" i="511"/>
  <c r="AY106" i="511" s="1"/>
  <c r="AH106" i="511"/>
  <c r="A106" i="511"/>
  <c r="BX105" i="511"/>
  <c r="BW105" i="511"/>
  <c r="BV105" i="511"/>
  <c r="BU105" i="511"/>
  <c r="BT105" i="511"/>
  <c r="BS105" i="511"/>
  <c r="BY105" i="511"/>
  <c r="CA105" i="511" s="1"/>
  <c r="AX105" i="511"/>
  <c r="AW105" i="511"/>
  <c r="AH105" i="511"/>
  <c r="A105" i="511"/>
  <c r="BX104" i="511"/>
  <c r="BW104" i="511"/>
  <c r="BV104" i="511"/>
  <c r="BU104" i="511"/>
  <c r="BT104" i="511"/>
  <c r="BY104" i="511" s="1"/>
  <c r="BS104" i="511"/>
  <c r="AX104" i="511"/>
  <c r="AY104" i="511" s="1"/>
  <c r="BZ104" i="511" s="1"/>
  <c r="AW104" i="511"/>
  <c r="AH104" i="511"/>
  <c r="A104" i="511"/>
  <c r="BX103" i="511"/>
  <c r="BW103" i="511"/>
  <c r="BV103" i="511"/>
  <c r="BT103" i="511"/>
  <c r="BS103" i="511"/>
  <c r="BG103" i="511"/>
  <c r="BU103" i="511" s="1"/>
  <c r="AX103" i="511"/>
  <c r="AW103" i="511"/>
  <c r="Z103" i="511"/>
  <c r="Q103" i="511"/>
  <c r="A103" i="511"/>
  <c r="BX102" i="511"/>
  <c r="BW102" i="511"/>
  <c r="BV102" i="511"/>
  <c r="BT102" i="511"/>
  <c r="BY102" i="511" s="1"/>
  <c r="BS102" i="511"/>
  <c r="BG102" i="511"/>
  <c r="BU102" i="511" s="1"/>
  <c r="AX102" i="511"/>
  <c r="AW102" i="511"/>
  <c r="X102" i="511"/>
  <c r="Q102" i="511"/>
  <c r="A102" i="511"/>
  <c r="BX101" i="511"/>
  <c r="BW101" i="511"/>
  <c r="BV101" i="511"/>
  <c r="BT101" i="511"/>
  <c r="BS101" i="511"/>
  <c r="BG101" i="511"/>
  <c r="BU101" i="511"/>
  <c r="AX101" i="511"/>
  <c r="AW101" i="511"/>
  <c r="W101" i="511"/>
  <c r="Q101" i="511"/>
  <c r="A101" i="511"/>
  <c r="BX100" i="511"/>
  <c r="BW100" i="511"/>
  <c r="BV100" i="511"/>
  <c r="BT100" i="511"/>
  <c r="BS100" i="511"/>
  <c r="BG100" i="511"/>
  <c r="BU100" i="511" s="1"/>
  <c r="AX100" i="511"/>
  <c r="AW100" i="511"/>
  <c r="X100" i="511"/>
  <c r="Q100" i="511"/>
  <c r="A100" i="511"/>
  <c r="BX99" i="511"/>
  <c r="BW99" i="511"/>
  <c r="BV99" i="511"/>
  <c r="BT99" i="511"/>
  <c r="BS99" i="511"/>
  <c r="BG99" i="511"/>
  <c r="BU99" i="511" s="1"/>
  <c r="AX99" i="511"/>
  <c r="AW99" i="511"/>
  <c r="AY99" i="511" s="1"/>
  <c r="BZ99" i="511" s="1"/>
  <c r="R99" i="511"/>
  <c r="X99" i="511" s="1"/>
  <c r="Q99" i="511"/>
  <c r="A99" i="511"/>
  <c r="BX98" i="511"/>
  <c r="BW98" i="511"/>
  <c r="BV98" i="511"/>
  <c r="BT98" i="511"/>
  <c r="BS98" i="511"/>
  <c r="BG98" i="511"/>
  <c r="BU98" i="511"/>
  <c r="AX98" i="511"/>
  <c r="AW98" i="511"/>
  <c r="X98" i="511"/>
  <c r="Q98" i="511"/>
  <c r="A98" i="511"/>
  <c r="BX97" i="511"/>
  <c r="BW97" i="511"/>
  <c r="BV97" i="511"/>
  <c r="BT97" i="511"/>
  <c r="BS97" i="511"/>
  <c r="BG97" i="511"/>
  <c r="BU97" i="511"/>
  <c r="AX97" i="511"/>
  <c r="AW97" i="511"/>
  <c r="W97" i="511"/>
  <c r="Q97" i="511"/>
  <c r="A97" i="511"/>
  <c r="BX96" i="511"/>
  <c r="BW96" i="511"/>
  <c r="BV96" i="511"/>
  <c r="BT96" i="511"/>
  <c r="BS96" i="511"/>
  <c r="BG96" i="511"/>
  <c r="BU96" i="511" s="1"/>
  <c r="BY96" i="511" s="1"/>
  <c r="CA96" i="511" s="1"/>
  <c r="AX96" i="511"/>
  <c r="AW96" i="511"/>
  <c r="X96" i="511"/>
  <c r="Q96" i="511"/>
  <c r="A96" i="511"/>
  <c r="BX95" i="511"/>
  <c r="BW95" i="511"/>
  <c r="BV95" i="511"/>
  <c r="BY95" i="511" s="1"/>
  <c r="CA95" i="511" s="1"/>
  <c r="BT95" i="511"/>
  <c r="BS95" i="511"/>
  <c r="BG95" i="511"/>
  <c r="BU95" i="511" s="1"/>
  <c r="AX95" i="511"/>
  <c r="AW95" i="511"/>
  <c r="X95" i="511"/>
  <c r="Q95" i="511"/>
  <c r="A95" i="511"/>
  <c r="BX94" i="511"/>
  <c r="BW94" i="511"/>
  <c r="BV94" i="511"/>
  <c r="BT94" i="511"/>
  <c r="BS94" i="511"/>
  <c r="BG94" i="511"/>
  <c r="BU94" i="511"/>
  <c r="AX94" i="511"/>
  <c r="AW94" i="511"/>
  <c r="X94" i="511"/>
  <c r="Q94" i="511"/>
  <c r="A94" i="511"/>
  <c r="BX93" i="511"/>
  <c r="BW93" i="511"/>
  <c r="BV93" i="511"/>
  <c r="BT93" i="511"/>
  <c r="BS93" i="511"/>
  <c r="BG93" i="511"/>
  <c r="BU93" i="511"/>
  <c r="AX93" i="511"/>
  <c r="AW93" i="511"/>
  <c r="X93" i="511"/>
  <c r="Q93" i="511"/>
  <c r="A93" i="511"/>
  <c r="BX92" i="511"/>
  <c r="BW92" i="511"/>
  <c r="BV92" i="511"/>
  <c r="BT92" i="511"/>
  <c r="BS92" i="511"/>
  <c r="BG92" i="511"/>
  <c r="BU92" i="511" s="1"/>
  <c r="AX92" i="511"/>
  <c r="AY92" i="511" s="1"/>
  <c r="BZ92" i="511" s="1"/>
  <c r="AW92" i="511"/>
  <c r="X92" i="511"/>
  <c r="Q92" i="511"/>
  <c r="A92" i="511"/>
  <c r="BX91" i="511"/>
  <c r="BW91" i="511"/>
  <c r="BV91" i="511"/>
  <c r="BT91" i="511"/>
  <c r="BS91" i="511"/>
  <c r="BG91" i="511"/>
  <c r="BU91" i="511" s="1"/>
  <c r="AX91" i="511"/>
  <c r="AW91" i="511"/>
  <c r="X91" i="511"/>
  <c r="Q91" i="511"/>
  <c r="A91" i="511"/>
  <c r="BX90" i="511"/>
  <c r="BW90" i="511"/>
  <c r="BV90" i="511"/>
  <c r="BT90" i="511"/>
  <c r="BY90" i="511" s="1"/>
  <c r="CA90" i="511" s="1"/>
  <c r="BS90" i="511"/>
  <c r="BG90" i="511"/>
  <c r="BU90" i="511" s="1"/>
  <c r="AX90" i="511"/>
  <c r="AW90" i="511"/>
  <c r="W90" i="511"/>
  <c r="Q90" i="511"/>
  <c r="A90" i="511"/>
  <c r="BX89" i="511"/>
  <c r="BW89" i="511"/>
  <c r="BV89" i="511"/>
  <c r="BT89" i="511"/>
  <c r="BS89" i="511"/>
  <c r="BY89" i="511" s="1"/>
  <c r="CA89" i="511" s="1"/>
  <c r="BG89" i="511"/>
  <c r="BU89" i="511"/>
  <c r="AX89" i="511"/>
  <c r="AY89" i="511" s="1"/>
  <c r="BZ89" i="511" s="1"/>
  <c r="AW89" i="511"/>
  <c r="X89" i="511"/>
  <c r="Q89" i="511"/>
  <c r="A89" i="511"/>
  <c r="BX88" i="511"/>
  <c r="BY88" i="511" s="1"/>
  <c r="CA88" i="511" s="1"/>
  <c r="BW88" i="511"/>
  <c r="BV88" i="511"/>
  <c r="BT88" i="511"/>
  <c r="BS88" i="511"/>
  <c r="BG88" i="511"/>
  <c r="BU88" i="511"/>
  <c r="AX88" i="511"/>
  <c r="AW88" i="511"/>
  <c r="W88" i="511"/>
  <c r="Q88" i="511"/>
  <c r="A88" i="511"/>
  <c r="BX87" i="511"/>
  <c r="BY87" i="511" s="1"/>
  <c r="CA87" i="511" s="1"/>
  <c r="BW87" i="511"/>
  <c r="BV87" i="511"/>
  <c r="BT87" i="511"/>
  <c r="BS87" i="511"/>
  <c r="BG87" i="511"/>
  <c r="BU87" i="511"/>
  <c r="AX87" i="511"/>
  <c r="AW87" i="511"/>
  <c r="W87" i="511"/>
  <c r="Q87" i="511"/>
  <c r="A87" i="511"/>
  <c r="BX86" i="511"/>
  <c r="BW86" i="511"/>
  <c r="BV86" i="511"/>
  <c r="BT86" i="511"/>
  <c r="BS86" i="511"/>
  <c r="BG86" i="511"/>
  <c r="BU86" i="511"/>
  <c r="AX86" i="511"/>
  <c r="AW86" i="511"/>
  <c r="R86" i="511"/>
  <c r="W86" i="511"/>
  <c r="Q86" i="511"/>
  <c r="A86" i="511"/>
  <c r="BX85" i="511"/>
  <c r="BW85" i="511"/>
  <c r="BV85" i="511"/>
  <c r="BT85" i="511"/>
  <c r="BS85" i="511"/>
  <c r="BG85" i="511"/>
  <c r="BU85" i="511"/>
  <c r="AX85" i="511"/>
  <c r="AW85" i="511"/>
  <c r="X85" i="511"/>
  <c r="Q85" i="511"/>
  <c r="A85" i="511"/>
  <c r="BX84" i="511"/>
  <c r="BW84" i="511"/>
  <c r="BV84" i="511"/>
  <c r="BT84" i="511"/>
  <c r="BY84" i="511" s="1"/>
  <c r="CA84" i="511" s="1"/>
  <c r="BS84" i="511"/>
  <c r="BG84" i="511"/>
  <c r="BU84" i="511"/>
  <c r="AX84" i="511"/>
  <c r="AY84" i="511" s="1"/>
  <c r="BZ84" i="511" s="1"/>
  <c r="AW84" i="511"/>
  <c r="X84" i="511"/>
  <c r="Q84" i="511"/>
  <c r="A84" i="511"/>
  <c r="BX83" i="511"/>
  <c r="BW83" i="511"/>
  <c r="BV83" i="511"/>
  <c r="BT83" i="511"/>
  <c r="BS83" i="511"/>
  <c r="BG83" i="511"/>
  <c r="BU83" i="511"/>
  <c r="AX83" i="511"/>
  <c r="AW83" i="511"/>
  <c r="AY83" i="511" s="1"/>
  <c r="BZ83" i="511" s="1"/>
  <c r="W83" i="511"/>
  <c r="Q83" i="511"/>
  <c r="A83" i="511"/>
  <c r="BX82" i="511"/>
  <c r="BW82" i="511"/>
  <c r="BV82" i="511"/>
  <c r="BT82" i="511"/>
  <c r="BS82" i="511"/>
  <c r="BG82" i="511"/>
  <c r="BU82" i="511" s="1"/>
  <c r="AX82" i="511"/>
  <c r="AY82" i="511" s="1"/>
  <c r="BZ82" i="511" s="1"/>
  <c r="AW82" i="511"/>
  <c r="W82" i="511"/>
  <c r="Q82" i="511"/>
  <c r="A82" i="511"/>
  <c r="BX81" i="511"/>
  <c r="BW81" i="511"/>
  <c r="BV81" i="511"/>
  <c r="BT81" i="511"/>
  <c r="BS81" i="511"/>
  <c r="BY81" i="511" s="1"/>
  <c r="BG81" i="511"/>
  <c r="BU81" i="511"/>
  <c r="AX81" i="511"/>
  <c r="AW81" i="511"/>
  <c r="W81" i="511"/>
  <c r="Q81" i="511"/>
  <c r="A81" i="511"/>
  <c r="BX80" i="511"/>
  <c r="BW80" i="511"/>
  <c r="BV80" i="511"/>
  <c r="BT80" i="511"/>
  <c r="BS80" i="511"/>
  <c r="BG80" i="511"/>
  <c r="BU80" i="511"/>
  <c r="AX80" i="511"/>
  <c r="AW80" i="511"/>
  <c r="W80" i="511"/>
  <c r="A80" i="511"/>
  <c r="BX79" i="511"/>
  <c r="BW79" i="511"/>
  <c r="BV79" i="511"/>
  <c r="BT79" i="511"/>
  <c r="BS79" i="511"/>
  <c r="BG79" i="511"/>
  <c r="BU79" i="511"/>
  <c r="AX79" i="511"/>
  <c r="AW79" i="511"/>
  <c r="W79" i="511"/>
  <c r="Q79" i="511"/>
  <c r="A79" i="511"/>
  <c r="BX78" i="511"/>
  <c r="BY78" i="511" s="1"/>
  <c r="CA78" i="511" s="1"/>
  <c r="BW78" i="511"/>
  <c r="BV78" i="511"/>
  <c r="BT78" i="511"/>
  <c r="BS78" i="511"/>
  <c r="BG78" i="511"/>
  <c r="BU78" i="511"/>
  <c r="AX78" i="511"/>
  <c r="AW78" i="511"/>
  <c r="W78" i="511"/>
  <c r="Q78" i="511"/>
  <c r="A78" i="511"/>
  <c r="BX77" i="511"/>
  <c r="BW77" i="511"/>
  <c r="BV77" i="511"/>
  <c r="BT77" i="511"/>
  <c r="BS77" i="511"/>
  <c r="BG77" i="511"/>
  <c r="BU77" i="511" s="1"/>
  <c r="AX77" i="511"/>
  <c r="AW77" i="511"/>
  <c r="W77" i="511"/>
  <c r="Q77" i="511"/>
  <c r="A77" i="511"/>
  <c r="BX76" i="511"/>
  <c r="BW76" i="511"/>
  <c r="BV76" i="511"/>
  <c r="BT76" i="511"/>
  <c r="BS76" i="511"/>
  <c r="BG76" i="511"/>
  <c r="BU76" i="511" s="1"/>
  <c r="BY76" i="511" s="1"/>
  <c r="AX76" i="511"/>
  <c r="AW76" i="511"/>
  <c r="W76" i="511"/>
  <c r="Q76" i="511"/>
  <c r="A76" i="511"/>
  <c r="BX75" i="511"/>
  <c r="BW75" i="511"/>
  <c r="BV75" i="511"/>
  <c r="BT75" i="511"/>
  <c r="BS75" i="511"/>
  <c r="BY75" i="511" s="1"/>
  <c r="BG75" i="511"/>
  <c r="BU75" i="511" s="1"/>
  <c r="AX75" i="511"/>
  <c r="AW75" i="511"/>
  <c r="W75" i="511"/>
  <c r="Q75" i="511"/>
  <c r="A75" i="511"/>
  <c r="BX74" i="511"/>
  <c r="BW74" i="511"/>
  <c r="BV74" i="511"/>
  <c r="BT74" i="511"/>
  <c r="BS74" i="511"/>
  <c r="BG74" i="511"/>
  <c r="BU74" i="511"/>
  <c r="AX74" i="511"/>
  <c r="AY74" i="511" s="1"/>
  <c r="AW74" i="511"/>
  <c r="W74" i="511"/>
  <c r="Q74" i="511"/>
  <c r="A74" i="511"/>
  <c r="BX73" i="511"/>
  <c r="BW73" i="511"/>
  <c r="BV73" i="511"/>
  <c r="BT73" i="511"/>
  <c r="BS73" i="511"/>
  <c r="BG73" i="511"/>
  <c r="BU73" i="511"/>
  <c r="AX73" i="511"/>
  <c r="AW73" i="511"/>
  <c r="X73" i="511"/>
  <c r="Q73" i="511"/>
  <c r="A73" i="511"/>
  <c r="BX72" i="511"/>
  <c r="BW72" i="511"/>
  <c r="BV72" i="511"/>
  <c r="BT72" i="511"/>
  <c r="BY72" i="511" s="1"/>
  <c r="CA72" i="511" s="1"/>
  <c r="BS72" i="511"/>
  <c r="BG72" i="511"/>
  <c r="BU72" i="511"/>
  <c r="AX72" i="511"/>
  <c r="AW72" i="511"/>
  <c r="X72" i="511"/>
  <c r="Q72" i="511"/>
  <c r="A72" i="511"/>
  <c r="BX71" i="511"/>
  <c r="BW71" i="511"/>
  <c r="BV71" i="511"/>
  <c r="BT71" i="511"/>
  <c r="BS71" i="511"/>
  <c r="BG71" i="511"/>
  <c r="BU71" i="511" s="1"/>
  <c r="AX71" i="511"/>
  <c r="AW71" i="511"/>
  <c r="X71" i="511"/>
  <c r="Q71" i="511"/>
  <c r="A71" i="511"/>
  <c r="BX70" i="511"/>
  <c r="BW70" i="511"/>
  <c r="BV70" i="511"/>
  <c r="BT70" i="511"/>
  <c r="BS70" i="511"/>
  <c r="BG70" i="511"/>
  <c r="BU70" i="511" s="1"/>
  <c r="BY70" i="511" s="1"/>
  <c r="AX70" i="511"/>
  <c r="AW70" i="511"/>
  <c r="X70" i="511"/>
  <c r="Q70" i="511"/>
  <c r="A70" i="511"/>
  <c r="BX69" i="511"/>
  <c r="BW69" i="511"/>
  <c r="BV69" i="511"/>
  <c r="BT69" i="511"/>
  <c r="BS69" i="511"/>
  <c r="BG69" i="511"/>
  <c r="BU69" i="511"/>
  <c r="AX69" i="511"/>
  <c r="AW69" i="511"/>
  <c r="AY69" i="511" s="1"/>
  <c r="BZ69" i="511" s="1"/>
  <c r="X69" i="511"/>
  <c r="Q69" i="511"/>
  <c r="A69" i="511"/>
  <c r="BW68" i="511"/>
  <c r="BV68" i="511"/>
  <c r="BT68" i="511"/>
  <c r="BS68" i="511"/>
  <c r="BO68" i="511"/>
  <c r="BX68" i="511" s="1"/>
  <c r="BG68" i="511"/>
  <c r="BU68" i="511" s="1"/>
  <c r="AX68" i="511"/>
  <c r="AW68" i="511"/>
  <c r="X68" i="511"/>
  <c r="Q68" i="511"/>
  <c r="A68" i="511"/>
  <c r="BX67" i="511"/>
  <c r="BW67" i="511"/>
  <c r="BV67" i="511"/>
  <c r="BT67" i="511"/>
  <c r="BS67" i="511"/>
  <c r="BG67" i="511"/>
  <c r="BU67" i="511" s="1"/>
  <c r="BY67" i="511" s="1"/>
  <c r="AX67" i="511"/>
  <c r="AW67" i="511"/>
  <c r="X67" i="511"/>
  <c r="Q67" i="511"/>
  <c r="A67" i="511"/>
  <c r="BX66" i="511"/>
  <c r="BW66" i="511"/>
  <c r="BV66" i="511"/>
  <c r="BT66" i="511"/>
  <c r="BS66" i="511"/>
  <c r="BG66" i="511"/>
  <c r="BU66" i="511"/>
  <c r="BY66" i="511" s="1"/>
  <c r="CA66" i="511" s="1"/>
  <c r="AX66" i="511"/>
  <c r="AY66" i="511" s="1"/>
  <c r="BZ66" i="511" s="1"/>
  <c r="AW66" i="511"/>
  <c r="R66" i="511"/>
  <c r="X66" i="511" s="1"/>
  <c r="Q66" i="511"/>
  <c r="A66" i="511"/>
  <c r="BX65" i="511"/>
  <c r="BW65" i="511"/>
  <c r="BV65" i="511"/>
  <c r="BT65" i="511"/>
  <c r="BS65" i="511"/>
  <c r="BG65" i="511"/>
  <c r="BU65" i="511" s="1"/>
  <c r="AX65" i="511"/>
  <c r="AW65" i="511"/>
  <c r="X65" i="511"/>
  <c r="Q65" i="511"/>
  <c r="A65" i="511"/>
  <c r="BX64" i="511"/>
  <c r="BW64" i="511"/>
  <c r="BV64" i="511"/>
  <c r="BT64" i="511"/>
  <c r="BS64" i="511"/>
  <c r="BG64" i="511"/>
  <c r="BU64" i="511" s="1"/>
  <c r="AX64" i="511"/>
  <c r="AW64" i="511"/>
  <c r="X64" i="511"/>
  <c r="Q64" i="511"/>
  <c r="A64" i="511"/>
  <c r="BX63" i="511"/>
  <c r="BW63" i="511"/>
  <c r="BV63" i="511"/>
  <c r="BT63" i="511"/>
  <c r="BS63" i="511"/>
  <c r="BG63" i="511"/>
  <c r="BU63" i="511" s="1"/>
  <c r="AX63" i="511"/>
  <c r="AW63" i="511"/>
  <c r="X63" i="511"/>
  <c r="Q63" i="511"/>
  <c r="A63" i="511"/>
  <c r="BX62" i="511"/>
  <c r="BW62" i="511"/>
  <c r="BV62" i="511"/>
  <c r="BT62" i="511"/>
  <c r="BS62" i="511"/>
  <c r="BG62" i="511"/>
  <c r="BU62" i="511" s="1"/>
  <c r="AX62" i="511"/>
  <c r="AW62" i="511"/>
  <c r="X62" i="511"/>
  <c r="Q62" i="511"/>
  <c r="A62" i="511"/>
  <c r="BX61" i="511"/>
  <c r="BW61" i="511"/>
  <c r="BV61" i="511"/>
  <c r="BT61" i="511"/>
  <c r="BS61" i="511"/>
  <c r="BG61" i="511"/>
  <c r="BU61" i="511"/>
  <c r="BY61" i="511" s="1"/>
  <c r="CA61" i="511" s="1"/>
  <c r="AX61" i="511"/>
  <c r="AW61" i="511"/>
  <c r="AY61" i="511" s="1"/>
  <c r="BZ61" i="511" s="1"/>
  <c r="X61" i="511"/>
  <c r="Q61" i="511"/>
  <c r="A61" i="511"/>
  <c r="BX60" i="511"/>
  <c r="BW60" i="511"/>
  <c r="BV60" i="511"/>
  <c r="BT60" i="511"/>
  <c r="BS60" i="511"/>
  <c r="BG60" i="511"/>
  <c r="BU60" i="511" s="1"/>
  <c r="AX60" i="511"/>
  <c r="AW60" i="511"/>
  <c r="X60" i="511"/>
  <c r="Q60" i="511"/>
  <c r="A60" i="511"/>
  <c r="BX59" i="511"/>
  <c r="BW59" i="511"/>
  <c r="BV59" i="511"/>
  <c r="BT59" i="511"/>
  <c r="BS59" i="511"/>
  <c r="BG59" i="511"/>
  <c r="BU59" i="511"/>
  <c r="AX59" i="511"/>
  <c r="AY59" i="511" s="1"/>
  <c r="BZ59" i="511" s="1"/>
  <c r="AW59" i="511"/>
  <c r="R59" i="511"/>
  <c r="X59" i="511"/>
  <c r="Q59" i="511"/>
  <c r="A59" i="511"/>
  <c r="BX58" i="511"/>
  <c r="BW58" i="511"/>
  <c r="BV58" i="511"/>
  <c r="BT58" i="511"/>
  <c r="BS58" i="511"/>
  <c r="BG58" i="511"/>
  <c r="BU58" i="511" s="1"/>
  <c r="AX58" i="511"/>
  <c r="AW58" i="511"/>
  <c r="X58" i="511"/>
  <c r="Q58" i="511"/>
  <c r="A58" i="511"/>
  <c r="BX57" i="511"/>
  <c r="BW57" i="511"/>
  <c r="BV57" i="511"/>
  <c r="BT57" i="511"/>
  <c r="BY57" i="511" s="1"/>
  <c r="CA57" i="511" s="1"/>
  <c r="BS57" i="511"/>
  <c r="BG57" i="511"/>
  <c r="BU57" i="511"/>
  <c r="AX57" i="511"/>
  <c r="AY57" i="511" s="1"/>
  <c r="BZ57" i="511" s="1"/>
  <c r="AW57" i="511"/>
  <c r="R57" i="511"/>
  <c r="Q57" i="511"/>
  <c r="A57" i="511"/>
  <c r="BX56" i="511"/>
  <c r="BW56" i="511"/>
  <c r="BV56" i="511"/>
  <c r="BT56" i="511"/>
  <c r="BS56" i="511"/>
  <c r="BG56" i="511"/>
  <c r="BU56" i="511" s="1"/>
  <c r="BY56" i="511" s="1"/>
  <c r="AX56" i="511"/>
  <c r="AW56" i="511"/>
  <c r="X56" i="511"/>
  <c r="Q56" i="511"/>
  <c r="A56" i="511"/>
  <c r="BX55" i="511"/>
  <c r="BY55" i="511" s="1"/>
  <c r="CA55" i="511" s="1"/>
  <c r="BW55" i="511"/>
  <c r="BV55" i="511"/>
  <c r="BT55" i="511"/>
  <c r="BS55" i="511"/>
  <c r="BG55" i="511"/>
  <c r="BU55" i="511" s="1"/>
  <c r="AX55" i="511"/>
  <c r="AW55" i="511"/>
  <c r="X55" i="511"/>
  <c r="Q55" i="511"/>
  <c r="A55" i="511"/>
  <c r="BW54" i="511"/>
  <c r="BV54" i="511"/>
  <c r="BT54" i="511"/>
  <c r="BS54" i="511"/>
  <c r="BO54" i="511"/>
  <c r="BX54" i="511"/>
  <c r="BG54" i="511"/>
  <c r="BU54" i="511" s="1"/>
  <c r="BY54" i="511" s="1"/>
  <c r="AX54" i="511"/>
  <c r="AW54" i="511"/>
  <c r="X54" i="511"/>
  <c r="Q54" i="511"/>
  <c r="A54" i="511"/>
  <c r="BX53" i="511"/>
  <c r="BW53" i="511"/>
  <c r="BV53" i="511"/>
  <c r="BT53" i="511"/>
  <c r="BS53" i="511"/>
  <c r="BG53" i="511"/>
  <c r="BU53" i="511" s="1"/>
  <c r="AX53" i="511"/>
  <c r="AW53" i="511"/>
  <c r="X53" i="511"/>
  <c r="W53" i="511"/>
  <c r="Q53" i="511"/>
  <c r="A53" i="511"/>
  <c r="BX52" i="511"/>
  <c r="BW52" i="511"/>
  <c r="BV52" i="511"/>
  <c r="BT52" i="511"/>
  <c r="BS52" i="511"/>
  <c r="BG52" i="511"/>
  <c r="BU52" i="511"/>
  <c r="AX52" i="511"/>
  <c r="AW52" i="511"/>
  <c r="X52" i="511"/>
  <c r="Q52" i="511"/>
  <c r="A52" i="511"/>
  <c r="BX51" i="511"/>
  <c r="BW51" i="511"/>
  <c r="BV51" i="511"/>
  <c r="BT51" i="511"/>
  <c r="BS51" i="511"/>
  <c r="BG51" i="511"/>
  <c r="BU51" i="511"/>
  <c r="BY51" i="511" s="1"/>
  <c r="AX51" i="511"/>
  <c r="AW51" i="511"/>
  <c r="W51" i="511"/>
  <c r="Q51" i="511"/>
  <c r="A51" i="511"/>
  <c r="BX50" i="511"/>
  <c r="BW50" i="511"/>
  <c r="BV50" i="511"/>
  <c r="BT50" i="511"/>
  <c r="BS50" i="511"/>
  <c r="BG50" i="511"/>
  <c r="BU50" i="511"/>
  <c r="AX50" i="511"/>
  <c r="AW50" i="511"/>
  <c r="X50" i="511"/>
  <c r="W50" i="511"/>
  <c r="Q50" i="511"/>
  <c r="A50" i="511"/>
  <c r="BX49" i="511"/>
  <c r="BW49" i="511"/>
  <c r="BV49" i="511"/>
  <c r="BT49" i="511"/>
  <c r="BS49" i="511"/>
  <c r="BG49" i="511"/>
  <c r="BU49" i="511"/>
  <c r="AX49" i="511"/>
  <c r="AY49" i="511" s="1"/>
  <c r="BZ49" i="511" s="1"/>
  <c r="AW49" i="511"/>
  <c r="W49" i="511"/>
  <c r="Q49" i="511"/>
  <c r="A49" i="511"/>
  <c r="BX48" i="511"/>
  <c r="BW48" i="511"/>
  <c r="BV48" i="511"/>
  <c r="BT48" i="511"/>
  <c r="BS48" i="511"/>
  <c r="BG48" i="511"/>
  <c r="BU48" i="511"/>
  <c r="AX48" i="511"/>
  <c r="AW48" i="511"/>
  <c r="AY48" i="511" s="1"/>
  <c r="BZ48" i="511" s="1"/>
  <c r="X48" i="511"/>
  <c r="Q48" i="511"/>
  <c r="A48" i="511"/>
  <c r="BX47" i="511"/>
  <c r="BW47" i="511"/>
  <c r="BV47" i="511"/>
  <c r="BT47" i="511"/>
  <c r="BY47" i="511" s="1"/>
  <c r="CA47" i="511" s="1"/>
  <c r="BS47" i="511"/>
  <c r="BG47" i="511"/>
  <c r="BU47" i="511" s="1"/>
  <c r="AX47" i="511"/>
  <c r="AW47" i="511"/>
  <c r="X47" i="511"/>
  <c r="Q47" i="511"/>
  <c r="A47" i="511"/>
  <c r="BX46" i="511"/>
  <c r="BW46" i="511"/>
  <c r="BV46" i="511"/>
  <c r="BT46" i="511"/>
  <c r="BS46" i="511"/>
  <c r="BG46" i="511"/>
  <c r="BU46" i="511"/>
  <c r="AX46" i="511"/>
  <c r="AW46" i="511"/>
  <c r="X46" i="511"/>
  <c r="A46" i="511"/>
  <c r="BX45" i="511"/>
  <c r="BW45" i="511"/>
  <c r="BY45" i="511" s="1"/>
  <c r="CA45" i="511" s="1"/>
  <c r="BV45" i="511"/>
  <c r="BT45" i="511"/>
  <c r="BS45" i="511"/>
  <c r="BG45" i="511"/>
  <c r="BU45" i="511" s="1"/>
  <c r="AX45" i="511"/>
  <c r="AW45" i="511"/>
  <c r="X45" i="511"/>
  <c r="Q45" i="511"/>
  <c r="A45" i="511"/>
  <c r="BX44" i="511"/>
  <c r="BW44" i="511"/>
  <c r="BV44" i="511"/>
  <c r="BT44" i="511"/>
  <c r="BS44" i="511"/>
  <c r="BG44" i="511"/>
  <c r="BU44" i="511"/>
  <c r="AX44" i="511"/>
  <c r="AY44" i="511" s="1"/>
  <c r="BZ44" i="511" s="1"/>
  <c r="AW44" i="511"/>
  <c r="R44" i="511"/>
  <c r="X44" i="511"/>
  <c r="Q44" i="511"/>
  <c r="A44" i="511"/>
  <c r="BX43" i="511"/>
  <c r="BW43" i="511"/>
  <c r="BV43" i="511"/>
  <c r="BT43" i="511"/>
  <c r="BS43" i="511"/>
  <c r="BG43" i="511"/>
  <c r="BU43" i="511" s="1"/>
  <c r="AX43" i="511"/>
  <c r="AW43" i="511"/>
  <c r="R43" i="511"/>
  <c r="X43" i="511" s="1"/>
  <c r="Q43" i="511"/>
  <c r="A43" i="511"/>
  <c r="BX42" i="511"/>
  <c r="BW42" i="511"/>
  <c r="BV42" i="511"/>
  <c r="BT42" i="511"/>
  <c r="BS42" i="511"/>
  <c r="BG42" i="511"/>
  <c r="BU42" i="511" s="1"/>
  <c r="AX42" i="511"/>
  <c r="AY42" i="511" s="1"/>
  <c r="BZ42" i="511" s="1"/>
  <c r="AW42" i="511"/>
  <c r="X42" i="511"/>
  <c r="Q42" i="511"/>
  <c r="A42" i="511"/>
  <c r="BX41" i="511"/>
  <c r="BW41" i="511"/>
  <c r="BV41" i="511"/>
  <c r="BT41" i="511"/>
  <c r="BS41" i="511"/>
  <c r="BG41" i="511"/>
  <c r="BU41" i="511" s="1"/>
  <c r="AX41" i="511"/>
  <c r="AW41" i="511"/>
  <c r="X41" i="511"/>
  <c r="W41" i="511"/>
  <c r="A41" i="511"/>
  <c r="BX40" i="511"/>
  <c r="BW40" i="511"/>
  <c r="BV40" i="511"/>
  <c r="BT40" i="511"/>
  <c r="BS40" i="511"/>
  <c r="BG40" i="511"/>
  <c r="BU40" i="511"/>
  <c r="AX40" i="511"/>
  <c r="AW40" i="511"/>
  <c r="X40" i="511"/>
  <c r="W40" i="511"/>
  <c r="Q40" i="511"/>
  <c r="A40" i="511"/>
  <c r="BX39" i="511"/>
  <c r="BW39" i="511"/>
  <c r="BV39" i="511"/>
  <c r="BT39" i="511"/>
  <c r="BS39" i="511"/>
  <c r="BG39" i="511"/>
  <c r="BU39" i="511"/>
  <c r="BY39" i="511" s="1"/>
  <c r="AX39" i="511"/>
  <c r="AY39" i="511" s="1"/>
  <c r="BZ39" i="511" s="1"/>
  <c r="AW39" i="511"/>
  <c r="X39" i="511"/>
  <c r="W39" i="511"/>
  <c r="Q39" i="511"/>
  <c r="A39" i="511"/>
  <c r="BX38" i="511"/>
  <c r="BW38" i="511"/>
  <c r="BV38" i="511"/>
  <c r="BT38" i="511"/>
  <c r="BS38" i="511"/>
  <c r="BG38" i="511"/>
  <c r="BU38" i="511" s="1"/>
  <c r="AX38" i="511"/>
  <c r="AW38" i="511"/>
  <c r="X38" i="511"/>
  <c r="W38" i="511"/>
  <c r="Q38" i="511"/>
  <c r="A38" i="511"/>
  <c r="BX37" i="511"/>
  <c r="BW37" i="511"/>
  <c r="BV37" i="511"/>
  <c r="BT37" i="511"/>
  <c r="BS37" i="511"/>
  <c r="BG37" i="511"/>
  <c r="BU37" i="511"/>
  <c r="AX37" i="511"/>
  <c r="AW37" i="511"/>
  <c r="X37" i="511"/>
  <c r="W37" i="511"/>
  <c r="Q37" i="511"/>
  <c r="A37" i="511"/>
  <c r="BX36" i="511"/>
  <c r="BW36" i="511"/>
  <c r="BV36" i="511"/>
  <c r="BT36" i="511"/>
  <c r="BS36" i="511"/>
  <c r="BG36" i="511"/>
  <c r="BU36" i="511"/>
  <c r="AX36" i="511"/>
  <c r="AW36" i="511"/>
  <c r="W36" i="511"/>
  <c r="Q36" i="511"/>
  <c r="A36" i="511"/>
  <c r="BX35" i="511"/>
  <c r="BW35" i="511"/>
  <c r="BY35" i="511" s="1"/>
  <c r="CA35" i="511" s="1"/>
  <c r="BV35" i="511"/>
  <c r="BT35" i="511"/>
  <c r="BS35" i="511"/>
  <c r="BG35" i="511"/>
  <c r="BU35" i="511" s="1"/>
  <c r="AX35" i="511"/>
  <c r="AW35" i="511"/>
  <c r="W35" i="511"/>
  <c r="Q35" i="511"/>
  <c r="A35" i="511"/>
  <c r="BX34" i="511"/>
  <c r="BW34" i="511"/>
  <c r="BV34" i="511"/>
  <c r="BT34" i="511"/>
  <c r="BS34" i="511"/>
  <c r="BG34" i="511"/>
  <c r="BU34" i="511" s="1"/>
  <c r="AX34" i="511"/>
  <c r="AW34" i="511"/>
  <c r="W34" i="511"/>
  <c r="Q34" i="511"/>
  <c r="A34" i="511"/>
  <c r="BX33" i="511"/>
  <c r="BW33" i="511"/>
  <c r="BV33" i="511"/>
  <c r="BT33" i="511"/>
  <c r="BS33" i="511"/>
  <c r="BG33" i="511"/>
  <c r="BU33" i="511" s="1"/>
  <c r="AX33" i="511"/>
  <c r="AW33" i="511"/>
  <c r="X33" i="511"/>
  <c r="W33" i="511"/>
  <c r="Q33" i="511"/>
  <c r="A33" i="511"/>
  <c r="BX32" i="511"/>
  <c r="BW32" i="511"/>
  <c r="BV32" i="511"/>
  <c r="BT32" i="511"/>
  <c r="BS32" i="511"/>
  <c r="BG32" i="511"/>
  <c r="BU32" i="511"/>
  <c r="AX32" i="511"/>
  <c r="AY32" i="511" s="1"/>
  <c r="BZ32" i="511" s="1"/>
  <c r="AW32" i="511"/>
  <c r="X32" i="511"/>
  <c r="W32" i="511"/>
  <c r="Q32" i="511"/>
  <c r="A32" i="511"/>
  <c r="BX31" i="511"/>
  <c r="BW31" i="511"/>
  <c r="BV31" i="511"/>
  <c r="BT31" i="511"/>
  <c r="BS31" i="511"/>
  <c r="BG31" i="511"/>
  <c r="BU31" i="511"/>
  <c r="AX31" i="511"/>
  <c r="AW31" i="511"/>
  <c r="R31" i="511"/>
  <c r="Q31" i="511"/>
  <c r="A31" i="511"/>
  <c r="BX30" i="511"/>
  <c r="BW30" i="511"/>
  <c r="BV30" i="511"/>
  <c r="BT30" i="511"/>
  <c r="BS30" i="511"/>
  <c r="BG30" i="511"/>
  <c r="BU30" i="511" s="1"/>
  <c r="AX30" i="511"/>
  <c r="AW30" i="511"/>
  <c r="X30" i="511"/>
  <c r="W30" i="511"/>
  <c r="Q30" i="511"/>
  <c r="A30" i="511"/>
  <c r="BX29" i="511"/>
  <c r="BW29" i="511"/>
  <c r="BV29" i="511"/>
  <c r="BT29" i="511"/>
  <c r="BS29" i="511"/>
  <c r="BG29" i="511"/>
  <c r="BU29" i="511"/>
  <c r="BY29" i="511" s="1"/>
  <c r="AX29" i="511"/>
  <c r="AY29" i="511" s="1"/>
  <c r="BZ29" i="511" s="1"/>
  <c r="AW29" i="511"/>
  <c r="X29" i="511"/>
  <c r="W29" i="511"/>
  <c r="Q29" i="511"/>
  <c r="A29" i="511"/>
  <c r="BX28" i="511"/>
  <c r="BW28" i="511"/>
  <c r="BV28" i="511"/>
  <c r="BT28" i="511"/>
  <c r="BS28" i="511"/>
  <c r="BG28" i="511"/>
  <c r="BU28" i="511"/>
  <c r="AX28" i="511"/>
  <c r="AW28" i="511"/>
  <c r="AY28" i="511" s="1"/>
  <c r="BZ28" i="511" s="1"/>
  <c r="CA28" i="511" s="1"/>
  <c r="X28" i="511"/>
  <c r="W28" i="511"/>
  <c r="Q28" i="511"/>
  <c r="A28" i="511"/>
  <c r="BX27" i="511"/>
  <c r="BW27" i="511"/>
  <c r="BV27" i="511"/>
  <c r="BT27" i="511"/>
  <c r="BS27" i="511"/>
  <c r="BY27" i="511" s="1"/>
  <c r="CA27" i="511" s="1"/>
  <c r="BG27" i="511"/>
  <c r="BU27" i="511"/>
  <c r="AX27" i="511"/>
  <c r="AW27" i="511"/>
  <c r="X27" i="511"/>
  <c r="W27" i="511"/>
  <c r="Q27" i="511"/>
  <c r="A27" i="511"/>
  <c r="BX26" i="511"/>
  <c r="BW26" i="511"/>
  <c r="BV26" i="511"/>
  <c r="BT26" i="511"/>
  <c r="BS26" i="511"/>
  <c r="BG26" i="511"/>
  <c r="BU26" i="511"/>
  <c r="BY26" i="511" s="1"/>
  <c r="AX26" i="511"/>
  <c r="AW26" i="511"/>
  <c r="R26" i="511"/>
  <c r="Q26" i="511"/>
  <c r="A26" i="511"/>
  <c r="BX25" i="511"/>
  <c r="BW25" i="511"/>
  <c r="BV25" i="511"/>
  <c r="BT25" i="511"/>
  <c r="BS25" i="511"/>
  <c r="BG25" i="511"/>
  <c r="BU25" i="511"/>
  <c r="AX25" i="511"/>
  <c r="AW25" i="511"/>
  <c r="X25" i="511"/>
  <c r="W25" i="511"/>
  <c r="Q25" i="511"/>
  <c r="A25" i="511"/>
  <c r="BX24" i="511"/>
  <c r="BW24" i="511"/>
  <c r="BV24" i="511"/>
  <c r="BT24" i="511"/>
  <c r="BS24" i="511"/>
  <c r="BG24" i="511"/>
  <c r="BU24" i="511"/>
  <c r="AX24" i="511"/>
  <c r="AW24" i="511"/>
  <c r="X24" i="511"/>
  <c r="W24" i="511"/>
  <c r="Q24" i="511"/>
  <c r="A24" i="511"/>
  <c r="BX23" i="511"/>
  <c r="BW23" i="511"/>
  <c r="BV23" i="511"/>
  <c r="BT23" i="511"/>
  <c r="BS23" i="511"/>
  <c r="BG23" i="511"/>
  <c r="BU23" i="511" s="1"/>
  <c r="AX23" i="511"/>
  <c r="AW23" i="511"/>
  <c r="X23" i="511"/>
  <c r="W23" i="511"/>
  <c r="Q23" i="511"/>
  <c r="A23" i="511"/>
  <c r="BX22" i="511"/>
  <c r="BW22" i="511"/>
  <c r="BV22" i="511"/>
  <c r="BT22" i="511"/>
  <c r="BS22" i="511"/>
  <c r="BG22" i="511"/>
  <c r="BU22" i="511" s="1"/>
  <c r="AX22" i="511"/>
  <c r="AW22" i="511"/>
  <c r="X22" i="511"/>
  <c r="W22" i="511"/>
  <c r="Q22" i="511"/>
  <c r="A22" i="511"/>
  <c r="BX21" i="511"/>
  <c r="BW21" i="511"/>
  <c r="BV21" i="511"/>
  <c r="BT21" i="511"/>
  <c r="BS21" i="511"/>
  <c r="BG21" i="511"/>
  <c r="BU21" i="511"/>
  <c r="AX21" i="511"/>
  <c r="AY21" i="511" s="1"/>
  <c r="AW21" i="511"/>
  <c r="X21" i="511"/>
  <c r="W21" i="511"/>
  <c r="Q21" i="511"/>
  <c r="A21" i="511"/>
  <c r="BX20" i="511"/>
  <c r="BW20" i="511"/>
  <c r="BY20" i="511" s="1"/>
  <c r="BV20" i="511"/>
  <c r="BT20" i="511"/>
  <c r="BS20" i="511"/>
  <c r="BG20" i="511"/>
  <c r="BU20" i="511" s="1"/>
  <c r="AX20" i="511"/>
  <c r="AW20" i="511"/>
  <c r="AY20" i="511" s="1"/>
  <c r="BZ20" i="511" s="1"/>
  <c r="X20" i="511"/>
  <c r="W20" i="511"/>
  <c r="A20" i="511"/>
  <c r="BX19" i="511"/>
  <c r="BW19" i="511"/>
  <c r="BV19" i="511"/>
  <c r="BT19" i="511"/>
  <c r="BS19" i="511"/>
  <c r="BG19" i="511"/>
  <c r="BU19" i="511" s="1"/>
  <c r="AX19" i="511"/>
  <c r="AW19" i="511"/>
  <c r="R19" i="511"/>
  <c r="Q19" i="511"/>
  <c r="A19" i="511"/>
  <c r="BX18" i="511"/>
  <c r="BW18" i="511"/>
  <c r="BV18" i="511"/>
  <c r="BT18" i="511"/>
  <c r="BS18" i="511"/>
  <c r="BG18" i="511"/>
  <c r="BU18" i="511" s="1"/>
  <c r="AX18" i="511"/>
  <c r="AW18" i="511"/>
  <c r="R18" i="511"/>
  <c r="W18" i="511" s="1"/>
  <c r="Q18" i="511"/>
  <c r="A18" i="511"/>
  <c r="BX17" i="511"/>
  <c r="BW17" i="511"/>
  <c r="BV17" i="511"/>
  <c r="BT17" i="511"/>
  <c r="BS17" i="511"/>
  <c r="BG17" i="511"/>
  <c r="BU17" i="511"/>
  <c r="AX17" i="511"/>
  <c r="AW17" i="511"/>
  <c r="X17" i="511"/>
  <c r="W17" i="511"/>
  <c r="Q17" i="511"/>
  <c r="A17" i="511"/>
  <c r="BX16" i="511"/>
  <c r="BW16" i="511"/>
  <c r="BV16" i="511"/>
  <c r="BT16" i="511"/>
  <c r="BS16" i="511"/>
  <c r="BG16" i="511"/>
  <c r="BU16" i="511" s="1"/>
  <c r="AX16" i="511"/>
  <c r="AW16" i="511"/>
  <c r="X16" i="511"/>
  <c r="Q16" i="511"/>
  <c r="A16" i="511"/>
  <c r="BX15" i="511"/>
  <c r="BW15" i="511"/>
  <c r="BV15" i="511"/>
  <c r="BT15" i="511"/>
  <c r="BS15" i="511"/>
  <c r="BG15" i="511"/>
  <c r="BU15" i="511" s="1"/>
  <c r="AX15" i="511"/>
  <c r="AW15" i="511"/>
  <c r="X15" i="511"/>
  <c r="W15" i="511"/>
  <c r="Q15" i="511"/>
  <c r="A15" i="511"/>
  <c r="BX14" i="511"/>
  <c r="BW14" i="511"/>
  <c r="BV14" i="511"/>
  <c r="BT14" i="511"/>
  <c r="BS14" i="511"/>
  <c r="BG14" i="511"/>
  <c r="BU14" i="511" s="1"/>
  <c r="AX14" i="511"/>
  <c r="AW14" i="511"/>
  <c r="X14" i="511"/>
  <c r="W14" i="511"/>
  <c r="Q14" i="511"/>
  <c r="A14" i="511"/>
  <c r="BX13" i="511"/>
  <c r="BW13" i="511"/>
  <c r="BV13" i="511"/>
  <c r="BT13" i="511"/>
  <c r="BS13" i="511"/>
  <c r="BG13" i="511"/>
  <c r="BU13" i="511" s="1"/>
  <c r="AX13" i="511"/>
  <c r="AY13" i="511" s="1"/>
  <c r="BZ13" i="511" s="1"/>
  <c r="AW13" i="511"/>
  <c r="X13" i="511"/>
  <c r="W13" i="511"/>
  <c r="Q13" i="511"/>
  <c r="A13" i="511"/>
  <c r="BX12" i="511"/>
  <c r="BW12" i="511"/>
  <c r="BV12" i="511"/>
  <c r="BY12" i="511" s="1"/>
  <c r="BT12" i="511"/>
  <c r="BS12" i="511"/>
  <c r="BG12" i="511"/>
  <c r="BU12" i="511" s="1"/>
  <c r="AX12" i="511"/>
  <c r="AW12" i="511"/>
  <c r="X12" i="511"/>
  <c r="W12" i="511"/>
  <c r="Q12" i="511"/>
  <c r="A12" i="511"/>
  <c r="BX11" i="511"/>
  <c r="BW11" i="511"/>
  <c r="BV11" i="511"/>
  <c r="BT11" i="511"/>
  <c r="BS11" i="511"/>
  <c r="BG11" i="511"/>
  <c r="BU11" i="511"/>
  <c r="AX11" i="511"/>
  <c r="AW11" i="511"/>
  <c r="X11" i="511"/>
  <c r="W11" i="511"/>
  <c r="Q11" i="511"/>
  <c r="A11" i="511"/>
  <c r="BX10" i="511"/>
  <c r="BW10" i="511"/>
  <c r="BV10" i="511"/>
  <c r="BT10" i="511"/>
  <c r="BS10" i="511"/>
  <c r="BG10" i="511"/>
  <c r="BU10" i="511"/>
  <c r="BY10" i="511" s="1"/>
  <c r="AX10" i="511"/>
  <c r="AY10" i="511" s="1"/>
  <c r="BZ10" i="511" s="1"/>
  <c r="AW10" i="511"/>
  <c r="X10" i="511"/>
  <c r="W10" i="511"/>
  <c r="Q10" i="511"/>
  <c r="A10" i="511"/>
  <c r="BX9" i="511"/>
  <c r="BW9" i="511"/>
  <c r="BV9" i="511"/>
  <c r="BU9" i="511"/>
  <c r="BT9" i="511"/>
  <c r="BS9" i="511"/>
  <c r="BY9" i="511"/>
  <c r="AX9" i="511"/>
  <c r="AW9" i="511"/>
  <c r="Q9" i="511"/>
  <c r="AX8" i="511"/>
  <c r="AW8" i="511"/>
  <c r="Q8" i="511"/>
  <c r="BX7" i="511"/>
  <c r="BW7" i="511"/>
  <c r="BV7" i="511"/>
  <c r="BT7" i="511"/>
  <c r="BS7" i="511"/>
  <c r="BG7" i="511"/>
  <c r="BU7" i="511"/>
  <c r="AX7" i="511"/>
  <c r="AY7" i="511" s="1"/>
  <c r="BZ7" i="511" s="1"/>
  <c r="AW7" i="511"/>
  <c r="AN7" i="511"/>
  <c r="Q7" i="511"/>
  <c r="A7" i="511"/>
  <c r="BX6" i="511"/>
  <c r="BW6" i="511"/>
  <c r="BV6" i="511"/>
  <c r="BT6" i="511"/>
  <c r="BS6" i="511"/>
  <c r="BG6" i="511"/>
  <c r="BU6" i="511" s="1"/>
  <c r="BY6" i="511" s="1"/>
  <c r="AX6" i="511"/>
  <c r="AW6" i="511"/>
  <c r="AN6" i="511"/>
  <c r="Q6" i="511"/>
  <c r="A6" i="511"/>
  <c r="BX5" i="511"/>
  <c r="BW5" i="511"/>
  <c r="BV5" i="511"/>
  <c r="BT5" i="511"/>
  <c r="BS5" i="511"/>
  <c r="BY5" i="511" s="1"/>
  <c r="BG5" i="511"/>
  <c r="BU5" i="511" s="1"/>
  <c r="AX5" i="511"/>
  <c r="AY5" i="511" s="1"/>
  <c r="BZ5" i="511" s="1"/>
  <c r="AW5" i="511"/>
  <c r="AN5" i="511"/>
  <c r="Q5" i="511"/>
  <c r="A5" i="511"/>
  <c r="BX4" i="511"/>
  <c r="BW4" i="511"/>
  <c r="BV4" i="511"/>
  <c r="BU4" i="511"/>
  <c r="BT4" i="511"/>
  <c r="BS4" i="511"/>
  <c r="BY4" i="511"/>
  <c r="CA4" i="511" s="1"/>
  <c r="AX4" i="511"/>
  <c r="AW4" i="511"/>
  <c r="AY4" i="511" s="1"/>
  <c r="BZ4" i="511" s="1"/>
  <c r="AM4" i="511"/>
  <c r="A4" i="511"/>
  <c r="AU122" i="487"/>
  <c r="AQ122" i="487"/>
  <c r="AP122" i="487"/>
  <c r="AO122" i="487"/>
  <c r="AI122" i="487"/>
  <c r="AH122" i="487"/>
  <c r="AG122" i="487"/>
  <c r="AF122" i="487"/>
  <c r="AE122" i="487"/>
  <c r="AD122" i="487"/>
  <c r="AB122" i="487"/>
  <c r="AA122" i="487"/>
  <c r="Z122" i="487"/>
  <c r="V122" i="487"/>
  <c r="S122" i="487"/>
  <c r="BW121" i="487"/>
  <c r="BV121" i="487"/>
  <c r="BS121" i="487"/>
  <c r="BR121" i="487"/>
  <c r="BF121" i="487"/>
  <c r="AW121" i="487"/>
  <c r="AV121" i="487"/>
  <c r="U121" i="487"/>
  <c r="Q121" i="487"/>
  <c r="A121" i="487"/>
  <c r="BW120" i="487"/>
  <c r="BV120" i="487"/>
  <c r="BU120" i="487"/>
  <c r="BS120" i="487"/>
  <c r="BR120" i="487"/>
  <c r="BF120" i="487"/>
  <c r="BT120" i="487"/>
  <c r="AW120" i="487"/>
  <c r="AV120" i="487"/>
  <c r="U120" i="487"/>
  <c r="T120" i="487"/>
  <c r="Q120" i="487"/>
  <c r="A120" i="487"/>
  <c r="BW119" i="487"/>
  <c r="BV119" i="487"/>
  <c r="BU119" i="487"/>
  <c r="BS119" i="487"/>
  <c r="BR119" i="487"/>
  <c r="BX119" i="487" s="1"/>
  <c r="BF119" i="487"/>
  <c r="BT119" i="487"/>
  <c r="AW119" i="487"/>
  <c r="AV119" i="487"/>
  <c r="T119" i="487"/>
  <c r="Q119" i="487"/>
  <c r="A119" i="487"/>
  <c r="BW118" i="487"/>
  <c r="BV118" i="487"/>
  <c r="BU118" i="487"/>
  <c r="BS118" i="487"/>
  <c r="BR118" i="487"/>
  <c r="BF118" i="487"/>
  <c r="BT118" i="487" s="1"/>
  <c r="BX118" i="487" s="1"/>
  <c r="BZ118" i="487" s="1"/>
  <c r="AW118" i="487"/>
  <c r="AV118" i="487"/>
  <c r="R118" i="487"/>
  <c r="T118" i="487"/>
  <c r="Q118" i="487"/>
  <c r="A118" i="487"/>
  <c r="BW117" i="487"/>
  <c r="BX117" i="487" s="1"/>
  <c r="BZ117" i="487" s="1"/>
  <c r="BV117" i="487"/>
  <c r="BU117" i="487"/>
  <c r="BS117" i="487"/>
  <c r="BR117" i="487"/>
  <c r="BF117" i="487"/>
  <c r="BT117" i="487"/>
  <c r="AW117" i="487"/>
  <c r="AV117" i="487"/>
  <c r="U117" i="487"/>
  <c r="T117" i="487"/>
  <c r="Q117" i="487"/>
  <c r="A117" i="487"/>
  <c r="BW116" i="487"/>
  <c r="BV116" i="487"/>
  <c r="BU116" i="487"/>
  <c r="BS116" i="487"/>
  <c r="BR116" i="487"/>
  <c r="BF116" i="487"/>
  <c r="BT116" i="487"/>
  <c r="AW116" i="487"/>
  <c r="AX116" i="487" s="1"/>
  <c r="BY116" i="487" s="1"/>
  <c r="AV116" i="487"/>
  <c r="U116" i="487"/>
  <c r="T116" i="487"/>
  <c r="Q116" i="487"/>
  <c r="A116" i="487"/>
  <c r="BW115" i="487"/>
  <c r="BU115" i="487"/>
  <c r="BS115" i="487"/>
  <c r="BR115" i="487"/>
  <c r="BK115" i="487"/>
  <c r="BV115" i="487"/>
  <c r="BF115" i="487"/>
  <c r="BT115" i="487" s="1"/>
  <c r="AW115" i="487"/>
  <c r="AV115" i="487"/>
  <c r="U115" i="487"/>
  <c r="T115" i="487"/>
  <c r="Q115" i="487"/>
  <c r="A115" i="487"/>
  <c r="BW114" i="487"/>
  <c r="BV114" i="487"/>
  <c r="BU114" i="487"/>
  <c r="BS114" i="487"/>
  <c r="BR114" i="487"/>
  <c r="BF114" i="487"/>
  <c r="BT114" i="487"/>
  <c r="AW114" i="487"/>
  <c r="AV114" i="487"/>
  <c r="U114" i="487"/>
  <c r="Q114" i="487"/>
  <c r="A114" i="487"/>
  <c r="BW113" i="487"/>
  <c r="BV113" i="487"/>
  <c r="BU113" i="487"/>
  <c r="BS113" i="487"/>
  <c r="BR113" i="487"/>
  <c r="BF113" i="487"/>
  <c r="BT113" i="487"/>
  <c r="AW113" i="487"/>
  <c r="AV113" i="487"/>
  <c r="U113" i="487"/>
  <c r="T113" i="487"/>
  <c r="Q113" i="487"/>
  <c r="A113" i="487"/>
  <c r="BW112" i="487"/>
  <c r="BV112" i="487"/>
  <c r="BU112" i="487"/>
  <c r="BS112" i="487"/>
  <c r="BR112" i="487"/>
  <c r="BF112" i="487"/>
  <c r="BT112" i="487" s="1"/>
  <c r="AW112" i="487"/>
  <c r="AX112" i="487" s="1"/>
  <c r="BY112" i="487" s="1"/>
  <c r="AV112" i="487"/>
  <c r="U112" i="487"/>
  <c r="Q112" i="487"/>
  <c r="A112" i="487"/>
  <c r="BW111" i="487"/>
  <c r="BV111" i="487"/>
  <c r="BU111" i="487"/>
  <c r="BS111" i="487"/>
  <c r="BR111" i="487"/>
  <c r="BF111" i="487"/>
  <c r="BT111" i="487"/>
  <c r="AW111" i="487"/>
  <c r="AV111" i="487"/>
  <c r="U111" i="487"/>
  <c r="T111" i="487"/>
  <c r="Q111" i="487"/>
  <c r="A111" i="487"/>
  <c r="BW110" i="487"/>
  <c r="BV110" i="487"/>
  <c r="BU110" i="487"/>
  <c r="BS110" i="487"/>
  <c r="BR110" i="487"/>
  <c r="BF110" i="487"/>
  <c r="BT110" i="487"/>
  <c r="BX110" i="487" s="1"/>
  <c r="AW110" i="487"/>
  <c r="AV110" i="487"/>
  <c r="U110" i="487"/>
  <c r="T110" i="487"/>
  <c r="Q110" i="487"/>
  <c r="A110" i="487"/>
  <c r="BW109" i="487"/>
  <c r="BV109" i="487"/>
  <c r="BU109" i="487"/>
  <c r="BS109" i="487"/>
  <c r="BR109" i="487"/>
  <c r="BF109" i="487"/>
  <c r="BT109" i="487" s="1"/>
  <c r="AW109" i="487"/>
  <c r="AX109" i="487" s="1"/>
  <c r="BY109" i="487" s="1"/>
  <c r="AV109" i="487"/>
  <c r="U109" i="487"/>
  <c r="T109" i="487"/>
  <c r="Q109" i="487"/>
  <c r="A109" i="487"/>
  <c r="BW108" i="487"/>
  <c r="BV108" i="487"/>
  <c r="BS108" i="487"/>
  <c r="BR108" i="487"/>
  <c r="BF108" i="487"/>
  <c r="BU108" i="487" s="1"/>
  <c r="AW108" i="487"/>
  <c r="AX108" i="487" s="1"/>
  <c r="BY108" i="487" s="1"/>
  <c r="AV108" i="487"/>
  <c r="U108" i="487"/>
  <c r="T108" i="487"/>
  <c r="Q108" i="487"/>
  <c r="A108" i="487"/>
  <c r="BW107" i="487"/>
  <c r="BV107" i="487"/>
  <c r="BS107" i="487"/>
  <c r="BR107" i="487"/>
  <c r="BF107" i="487"/>
  <c r="AW107" i="487"/>
  <c r="AV107" i="487"/>
  <c r="R107" i="487"/>
  <c r="Q107" i="487"/>
  <c r="A107" i="487"/>
  <c r="BW106" i="487"/>
  <c r="BV106" i="487"/>
  <c r="BS106" i="487"/>
  <c r="BR106" i="487"/>
  <c r="BF106" i="487"/>
  <c r="BU106" i="487" s="1"/>
  <c r="AW106" i="487"/>
  <c r="AV106" i="487"/>
  <c r="AX106" i="487" s="1"/>
  <c r="BY106" i="487" s="1"/>
  <c r="U106" i="487"/>
  <c r="T106" i="487"/>
  <c r="Q106" i="487"/>
  <c r="A106" i="487"/>
  <c r="BW105" i="487"/>
  <c r="BV105" i="487"/>
  <c r="BS105" i="487"/>
  <c r="BR105" i="487"/>
  <c r="BF105" i="487"/>
  <c r="AW105" i="487"/>
  <c r="AV105" i="487"/>
  <c r="AX105" i="487" s="1"/>
  <c r="BY105" i="487" s="1"/>
  <c r="U105" i="487"/>
  <c r="Q105" i="487"/>
  <c r="A105" i="487"/>
  <c r="BW104" i="487"/>
  <c r="BV104" i="487"/>
  <c r="BS104" i="487"/>
  <c r="BR104" i="487"/>
  <c r="BX104" i="487" s="1"/>
  <c r="BH104" i="487"/>
  <c r="BG104" i="487"/>
  <c r="BF104" i="487"/>
  <c r="AW104" i="487"/>
  <c r="AV104" i="487"/>
  <c r="U104" i="487"/>
  <c r="T104" i="487"/>
  <c r="Q104" i="487"/>
  <c r="A104" i="487"/>
  <c r="BW103" i="487"/>
  <c r="BV103" i="487"/>
  <c r="BS103" i="487"/>
  <c r="BR103" i="487"/>
  <c r="BF103" i="487"/>
  <c r="BU103" i="487" s="1"/>
  <c r="AW103" i="487"/>
  <c r="AV103" i="487"/>
  <c r="R103" i="487"/>
  <c r="U103" i="487" s="1"/>
  <c r="Q103" i="487"/>
  <c r="A103" i="487"/>
  <c r="BW102" i="487"/>
  <c r="BV102" i="487"/>
  <c r="BS102" i="487"/>
  <c r="BR102" i="487"/>
  <c r="BF102" i="487"/>
  <c r="AW102" i="487"/>
  <c r="AV102" i="487"/>
  <c r="U102" i="487"/>
  <c r="Q102" i="487"/>
  <c r="A102" i="487"/>
  <c r="BW101" i="487"/>
  <c r="BV101" i="487"/>
  <c r="BS101" i="487"/>
  <c r="BR101" i="487"/>
  <c r="BF101" i="487"/>
  <c r="BU101" i="487" s="1"/>
  <c r="AW101" i="487"/>
  <c r="AV101" i="487"/>
  <c r="U101" i="487"/>
  <c r="Q101" i="487"/>
  <c r="A101" i="487"/>
  <c r="BW100" i="487"/>
  <c r="BV100" i="487"/>
  <c r="BU100" i="487"/>
  <c r="BS100" i="487"/>
  <c r="BR100" i="487"/>
  <c r="BF100" i="487"/>
  <c r="BT100" i="487" s="1"/>
  <c r="AW100" i="487"/>
  <c r="AX100" i="487" s="1"/>
  <c r="AV100" i="487"/>
  <c r="U100" i="487"/>
  <c r="T100" i="487"/>
  <c r="Q100" i="487"/>
  <c r="A100" i="487"/>
  <c r="BW99" i="487"/>
  <c r="BV99" i="487"/>
  <c r="BS99" i="487"/>
  <c r="BR99" i="487"/>
  <c r="BF99" i="487"/>
  <c r="AW99" i="487"/>
  <c r="AV99" i="487"/>
  <c r="T99" i="487"/>
  <c r="Q99" i="487"/>
  <c r="A99" i="487"/>
  <c r="BW98" i="487"/>
  <c r="BV98" i="487"/>
  <c r="BS98" i="487"/>
  <c r="BR98" i="487"/>
  <c r="BF98" i="487"/>
  <c r="AW98" i="487"/>
  <c r="AV98" i="487"/>
  <c r="T98" i="487"/>
  <c r="Q98" i="487"/>
  <c r="A98" i="487"/>
  <c r="BW97" i="487"/>
  <c r="BV97" i="487"/>
  <c r="BS97" i="487"/>
  <c r="BR97" i="487"/>
  <c r="BX97" i="487" s="1"/>
  <c r="BF97" i="487"/>
  <c r="AW97" i="487"/>
  <c r="AV97" i="487"/>
  <c r="U97" i="487"/>
  <c r="Q97" i="487"/>
  <c r="A97" i="487"/>
  <c r="BW96" i="487"/>
  <c r="BV96" i="487"/>
  <c r="BS96" i="487"/>
  <c r="BR96" i="487"/>
  <c r="BF96" i="487"/>
  <c r="AW96" i="487"/>
  <c r="AV96" i="487"/>
  <c r="AX96" i="487" s="1"/>
  <c r="BY96" i="487" s="1"/>
  <c r="R96" i="487"/>
  <c r="T96" i="487" s="1"/>
  <c r="Q96" i="487"/>
  <c r="A96" i="487"/>
  <c r="BW95" i="487"/>
  <c r="BV95" i="487"/>
  <c r="BS95" i="487"/>
  <c r="BR95" i="487"/>
  <c r="BF95" i="487"/>
  <c r="AW95" i="487"/>
  <c r="AV95" i="487"/>
  <c r="T95" i="487"/>
  <c r="Q95" i="487"/>
  <c r="A95" i="487"/>
  <c r="BW94" i="487"/>
  <c r="BV94" i="487"/>
  <c r="BU94" i="487"/>
  <c r="BS94" i="487"/>
  <c r="BR94" i="487"/>
  <c r="BF94" i="487"/>
  <c r="BT94" i="487" s="1"/>
  <c r="AW94" i="487"/>
  <c r="AV94" i="487"/>
  <c r="T94" i="487"/>
  <c r="Q94" i="487"/>
  <c r="A94" i="487"/>
  <c r="BW93" i="487"/>
  <c r="BV93" i="487"/>
  <c r="BU93" i="487"/>
  <c r="BS93" i="487"/>
  <c r="BX93" i="487" s="1"/>
  <c r="BZ93" i="487" s="1"/>
  <c r="BR93" i="487"/>
  <c r="BF93" i="487"/>
  <c r="BT93" i="487"/>
  <c r="AW93" i="487"/>
  <c r="AV93" i="487"/>
  <c r="T93" i="487"/>
  <c r="Q93" i="487"/>
  <c r="A93" i="487"/>
  <c r="BW92" i="487"/>
  <c r="BV92" i="487"/>
  <c r="BU92" i="487"/>
  <c r="BS92" i="487"/>
  <c r="BR92" i="487"/>
  <c r="BF92" i="487"/>
  <c r="BT92" i="487"/>
  <c r="AW92" i="487"/>
  <c r="AX92" i="487" s="1"/>
  <c r="BY92" i="487" s="1"/>
  <c r="AV92" i="487"/>
  <c r="T92" i="487"/>
  <c r="Q92" i="487"/>
  <c r="A92" i="487"/>
  <c r="BW91" i="487"/>
  <c r="BV91" i="487"/>
  <c r="BU91" i="487"/>
  <c r="BT91" i="487"/>
  <c r="BS91" i="487"/>
  <c r="BR91" i="487"/>
  <c r="BX91" i="487" s="1"/>
  <c r="AW91" i="487"/>
  <c r="AV91" i="487"/>
  <c r="Q91" i="487"/>
  <c r="BW90" i="487"/>
  <c r="BV90" i="487"/>
  <c r="BU90" i="487"/>
  <c r="BT90" i="487"/>
  <c r="BS90" i="487"/>
  <c r="BR90" i="487"/>
  <c r="BX90" i="487"/>
  <c r="AW90" i="487"/>
  <c r="AV90" i="487"/>
  <c r="Q90" i="487"/>
  <c r="BW89" i="487"/>
  <c r="BV89" i="487"/>
  <c r="BU89" i="487"/>
  <c r="BT89" i="487"/>
  <c r="BS89" i="487"/>
  <c r="BR89" i="487"/>
  <c r="AW89" i="487"/>
  <c r="AV89" i="487"/>
  <c r="Q89" i="487"/>
  <c r="BW88" i="487"/>
  <c r="BV88" i="487"/>
  <c r="BU88" i="487"/>
  <c r="BT88" i="487"/>
  <c r="BS88" i="487"/>
  <c r="BR88" i="487"/>
  <c r="BX88" i="487"/>
  <c r="AW88" i="487"/>
  <c r="AV88" i="487"/>
  <c r="AT88" i="487"/>
  <c r="A88" i="487"/>
  <c r="BW87" i="487"/>
  <c r="BV87" i="487"/>
  <c r="BU87" i="487"/>
  <c r="BT87" i="487"/>
  <c r="BS87" i="487"/>
  <c r="BX87" i="487" s="1"/>
  <c r="BR87" i="487"/>
  <c r="AW87" i="487"/>
  <c r="AV87" i="487"/>
  <c r="AX87" i="487" s="1"/>
  <c r="BY87" i="487" s="1"/>
  <c r="AT87" i="487"/>
  <c r="A87" i="487"/>
  <c r="BW86" i="487"/>
  <c r="BV86" i="487"/>
  <c r="BU86" i="487"/>
  <c r="BT86" i="487"/>
  <c r="BS86" i="487"/>
  <c r="BR86" i="487"/>
  <c r="BX86" i="487"/>
  <c r="BZ86" i="487" s="1"/>
  <c r="AW86" i="487"/>
  <c r="AX86" i="487" s="1"/>
  <c r="AV86" i="487"/>
  <c r="AS86" i="487"/>
  <c r="A86" i="487"/>
  <c r="BW85" i="487"/>
  <c r="BV85" i="487"/>
  <c r="BU85" i="487"/>
  <c r="BT85" i="487"/>
  <c r="BS85" i="487"/>
  <c r="BR85" i="487"/>
  <c r="BX85" i="487" s="1"/>
  <c r="AW85" i="487"/>
  <c r="AV85" i="487"/>
  <c r="AS85" i="487"/>
  <c r="A85" i="487"/>
  <c r="BW84" i="487"/>
  <c r="BV84" i="487"/>
  <c r="BU84" i="487"/>
  <c r="BT84" i="487"/>
  <c r="BS84" i="487"/>
  <c r="BR84" i="487"/>
  <c r="AW84" i="487"/>
  <c r="AV84" i="487"/>
  <c r="AS84" i="487"/>
  <c r="A84" i="487"/>
  <c r="BW83" i="487"/>
  <c r="BV83" i="487"/>
  <c r="BU83" i="487"/>
  <c r="BT83" i="487"/>
  <c r="BS83" i="487"/>
  <c r="BR83" i="487"/>
  <c r="AW83" i="487"/>
  <c r="AV83" i="487"/>
  <c r="AS83" i="487"/>
  <c r="A83" i="487"/>
  <c r="BW82" i="487"/>
  <c r="BV82" i="487"/>
  <c r="BU82" i="487"/>
  <c r="BT82" i="487"/>
  <c r="BS82" i="487"/>
  <c r="BR82" i="487"/>
  <c r="AW82" i="487"/>
  <c r="AV82" i="487"/>
  <c r="AS82" i="487"/>
  <c r="A82" i="487"/>
  <c r="BW81" i="487"/>
  <c r="BV81" i="487"/>
  <c r="BS81" i="487"/>
  <c r="BR81" i="487"/>
  <c r="BF81" i="487"/>
  <c r="AW81" i="487"/>
  <c r="AX81" i="487" s="1"/>
  <c r="BY81" i="487" s="1"/>
  <c r="AV81" i="487"/>
  <c r="AS81" i="487"/>
  <c r="A81" i="487"/>
  <c r="BW80" i="487"/>
  <c r="BV80" i="487"/>
  <c r="BU80" i="487"/>
  <c r="BT80" i="487"/>
  <c r="BS80" i="487"/>
  <c r="BR80" i="487"/>
  <c r="BX80" i="487" s="1"/>
  <c r="AW80" i="487"/>
  <c r="AV80" i="487"/>
  <c r="AS80" i="487"/>
  <c r="A80" i="487"/>
  <c r="BW79" i="487"/>
  <c r="BV79" i="487"/>
  <c r="BU79" i="487"/>
  <c r="BT79" i="487"/>
  <c r="BS79" i="487"/>
  <c r="BR79" i="487"/>
  <c r="BX79" i="487" s="1"/>
  <c r="AW79" i="487"/>
  <c r="AV79" i="487"/>
  <c r="AS79" i="487"/>
  <c r="A79" i="487"/>
  <c r="BW78" i="487"/>
  <c r="BV78" i="487"/>
  <c r="BS78" i="487"/>
  <c r="BR78" i="487"/>
  <c r="BF78" i="487"/>
  <c r="AW78" i="487"/>
  <c r="AX78" i="487" s="1"/>
  <c r="BY78" i="487" s="1"/>
  <c r="AV78" i="487"/>
  <c r="Y78" i="487"/>
  <c r="Q78" i="487"/>
  <c r="A78" i="487"/>
  <c r="BW77" i="487"/>
  <c r="BV77" i="487"/>
  <c r="BU77" i="487"/>
  <c r="BS77" i="487"/>
  <c r="BR77" i="487"/>
  <c r="BX77" i="487" s="1"/>
  <c r="BF77" i="487"/>
  <c r="BT77" i="487" s="1"/>
  <c r="AW77" i="487"/>
  <c r="AV77" i="487"/>
  <c r="Y77" i="487"/>
  <c r="Q77" i="487"/>
  <c r="A77" i="487"/>
  <c r="BW76" i="487"/>
  <c r="BV76" i="487"/>
  <c r="BU76" i="487"/>
  <c r="BS76" i="487"/>
  <c r="BR76" i="487"/>
  <c r="BF76" i="487"/>
  <c r="BT76" i="487"/>
  <c r="AW76" i="487"/>
  <c r="AX76" i="487" s="1"/>
  <c r="BY76" i="487" s="1"/>
  <c r="AV76" i="487"/>
  <c r="Y76" i="487"/>
  <c r="Q76" i="487"/>
  <c r="A76" i="487"/>
  <c r="BW75" i="487"/>
  <c r="BV75" i="487"/>
  <c r="BU75" i="487"/>
  <c r="BS75" i="487"/>
  <c r="BR75" i="487"/>
  <c r="BF75" i="487"/>
  <c r="BT75" i="487"/>
  <c r="AW75" i="487"/>
  <c r="AV75" i="487"/>
  <c r="Y75" i="487"/>
  <c r="A75" i="487"/>
  <c r="BW74" i="487"/>
  <c r="BV74" i="487"/>
  <c r="BU74" i="487"/>
  <c r="BS74" i="487"/>
  <c r="BR74" i="487"/>
  <c r="BX74" i="487" s="1"/>
  <c r="BZ74" i="487" s="1"/>
  <c r="BF74" i="487"/>
  <c r="BT74" i="487" s="1"/>
  <c r="AW74" i="487"/>
  <c r="AV74" i="487"/>
  <c r="AR74" i="487"/>
  <c r="AR122" i="487" s="1"/>
  <c r="Q74" i="487"/>
  <c r="A74" i="487"/>
  <c r="BW73" i="487"/>
  <c r="BV73" i="487"/>
  <c r="BU73" i="487"/>
  <c r="BS73" i="487"/>
  <c r="BR73" i="487"/>
  <c r="BF73" i="487"/>
  <c r="BT73" i="487" s="1"/>
  <c r="AW73" i="487"/>
  <c r="AV73" i="487"/>
  <c r="AR73" i="487"/>
  <c r="Q73" i="487"/>
  <c r="A73" i="487"/>
  <c r="BW72" i="487"/>
  <c r="BV72" i="487"/>
  <c r="BU72" i="487"/>
  <c r="BS72" i="487"/>
  <c r="BR72" i="487"/>
  <c r="BF72" i="487"/>
  <c r="BT72" i="487"/>
  <c r="AW72" i="487"/>
  <c r="AX72" i="487" s="1"/>
  <c r="BY72" i="487" s="1"/>
  <c r="AV72" i="487"/>
  <c r="AK72" i="487"/>
  <c r="Q72" i="487"/>
  <c r="A72" i="487"/>
  <c r="BW71" i="487"/>
  <c r="BV71" i="487"/>
  <c r="BU71" i="487"/>
  <c r="BS71" i="487"/>
  <c r="BR71" i="487"/>
  <c r="BF71" i="487"/>
  <c r="BT71" i="487" s="1"/>
  <c r="AW71" i="487"/>
  <c r="AV71" i="487"/>
  <c r="AK71" i="487"/>
  <c r="Q71" i="487"/>
  <c r="A71" i="487"/>
  <c r="BW70" i="487"/>
  <c r="BV70" i="487"/>
  <c r="BU70" i="487"/>
  <c r="BS70" i="487"/>
  <c r="BR70" i="487"/>
  <c r="BX70" i="487" s="1"/>
  <c r="BZ70" i="487" s="1"/>
  <c r="BF70" i="487"/>
  <c r="BT70" i="487" s="1"/>
  <c r="AW70" i="487"/>
  <c r="AV70" i="487"/>
  <c r="AK70" i="487"/>
  <c r="Q70" i="487"/>
  <c r="A70" i="487"/>
  <c r="BW69" i="487"/>
  <c r="BV69" i="487"/>
  <c r="BS69" i="487"/>
  <c r="BR69" i="487"/>
  <c r="BF69" i="487"/>
  <c r="BU69" i="487" s="1"/>
  <c r="AW69" i="487"/>
  <c r="AV69" i="487"/>
  <c r="AX69" i="487" s="1"/>
  <c r="BY69" i="487" s="1"/>
  <c r="AK69" i="487"/>
  <c r="Q69" i="487"/>
  <c r="A69" i="487"/>
  <c r="BW68" i="487"/>
  <c r="BV68" i="487"/>
  <c r="BU68" i="487"/>
  <c r="BS68" i="487"/>
  <c r="BX68" i="487" s="1"/>
  <c r="BZ68" i="487" s="1"/>
  <c r="BR68" i="487"/>
  <c r="BF68" i="487"/>
  <c r="BT68" i="487" s="1"/>
  <c r="AW68" i="487"/>
  <c r="AV68" i="487"/>
  <c r="AX68" i="487" s="1"/>
  <c r="BY68" i="487" s="1"/>
  <c r="AK68" i="487"/>
  <c r="Q68" i="487"/>
  <c r="A68" i="487"/>
  <c r="BW67" i="487"/>
  <c r="BV67" i="487"/>
  <c r="BS67" i="487"/>
  <c r="BR67" i="487"/>
  <c r="BF67" i="487"/>
  <c r="AW67" i="487"/>
  <c r="AX67" i="487" s="1"/>
  <c r="BY67" i="487" s="1"/>
  <c r="AV67" i="487"/>
  <c r="AK67" i="487"/>
  <c r="AK122" i="487" s="1"/>
  <c r="Q67" i="487"/>
  <c r="A67" i="487"/>
  <c r="BW66" i="487"/>
  <c r="BV66" i="487"/>
  <c r="BU66" i="487"/>
  <c r="BX66" i="487" s="1"/>
  <c r="BZ66" i="487" s="1"/>
  <c r="BT66" i="487"/>
  <c r="BS66" i="487"/>
  <c r="BR66" i="487"/>
  <c r="AW66" i="487"/>
  <c r="AV66" i="487"/>
  <c r="AL66" i="487"/>
  <c r="Q66" i="487"/>
  <c r="A66" i="487"/>
  <c r="BW65" i="487"/>
  <c r="BV65" i="487"/>
  <c r="BU65" i="487"/>
  <c r="BT65" i="487"/>
  <c r="BS65" i="487"/>
  <c r="BR65" i="487"/>
  <c r="BX65" i="487"/>
  <c r="AW65" i="487"/>
  <c r="AX65" i="487" s="1"/>
  <c r="BY65" i="487" s="1"/>
  <c r="AV65" i="487"/>
  <c r="AL65" i="487"/>
  <c r="AL122" i="487"/>
  <c r="Q65" i="487"/>
  <c r="A65" i="487"/>
  <c r="BW64" i="487"/>
  <c r="BV64" i="487"/>
  <c r="BU64" i="487"/>
  <c r="BT64" i="487"/>
  <c r="BS64" i="487"/>
  <c r="BR64" i="487"/>
  <c r="BX64" i="487"/>
  <c r="AW64" i="487"/>
  <c r="AV64" i="487"/>
  <c r="AJ64" i="487"/>
  <c r="A64" i="487"/>
  <c r="BW63" i="487"/>
  <c r="BV63" i="487"/>
  <c r="BU63" i="487"/>
  <c r="BX63" i="487" s="1"/>
  <c r="BZ63" i="487" s="1"/>
  <c r="BT63" i="487"/>
  <c r="BS63" i="487"/>
  <c r="BR63" i="487"/>
  <c r="AW63" i="487"/>
  <c r="AV63" i="487"/>
  <c r="AJ63" i="487"/>
  <c r="A63" i="487"/>
  <c r="BW62" i="487"/>
  <c r="BV62" i="487"/>
  <c r="BU62" i="487"/>
  <c r="BT62" i="487"/>
  <c r="BS62" i="487"/>
  <c r="BX62" i="487" s="1"/>
  <c r="BR62" i="487"/>
  <c r="AW62" i="487"/>
  <c r="AX62" i="487" s="1"/>
  <c r="BY62" i="487" s="1"/>
  <c r="AV62" i="487"/>
  <c r="AJ62" i="487"/>
  <c r="AJ122" i="487" s="1"/>
  <c r="A62" i="487"/>
  <c r="BW61" i="487"/>
  <c r="BV61" i="487"/>
  <c r="BU61" i="487"/>
  <c r="BT61" i="487"/>
  <c r="BS61" i="487"/>
  <c r="BR61" i="487"/>
  <c r="AW61" i="487"/>
  <c r="AV61" i="487"/>
  <c r="AX61" i="487" s="1"/>
  <c r="BY61" i="487" s="1"/>
  <c r="AC61" i="487"/>
  <c r="A61" i="487"/>
  <c r="BW60" i="487"/>
  <c r="BV60" i="487"/>
  <c r="BU60" i="487"/>
  <c r="BT60" i="487"/>
  <c r="BS60" i="487"/>
  <c r="BX60" i="487" s="1"/>
  <c r="BR60" i="487"/>
  <c r="AW60" i="487"/>
  <c r="AV60" i="487"/>
  <c r="AC60" i="487"/>
  <c r="Q60" i="487"/>
  <c r="A60" i="487"/>
  <c r="BW59" i="487"/>
  <c r="BV59" i="487"/>
  <c r="BU59" i="487"/>
  <c r="BT59" i="487"/>
  <c r="BS59" i="487"/>
  <c r="BR59" i="487"/>
  <c r="AW59" i="487"/>
  <c r="AV59" i="487"/>
  <c r="AC59" i="487"/>
  <c r="Q59" i="487"/>
  <c r="A59" i="487"/>
  <c r="BW58" i="487"/>
  <c r="BX58" i="487" s="1"/>
  <c r="BV58" i="487"/>
  <c r="BU58" i="487"/>
  <c r="BT58" i="487"/>
  <c r="BS58" i="487"/>
  <c r="BR58" i="487"/>
  <c r="AW58" i="487"/>
  <c r="AV58" i="487"/>
  <c r="AC58" i="487"/>
  <c r="Q58" i="487"/>
  <c r="A58" i="487"/>
  <c r="BW57" i="487"/>
  <c r="BV57" i="487"/>
  <c r="BU57" i="487"/>
  <c r="BT57" i="487"/>
  <c r="BS57" i="487"/>
  <c r="BR57" i="487"/>
  <c r="AW57" i="487"/>
  <c r="AV57" i="487"/>
  <c r="AC57" i="487"/>
  <c r="Q57" i="487"/>
  <c r="A57" i="487"/>
  <c r="BW56" i="487"/>
  <c r="BV56" i="487"/>
  <c r="BU56" i="487"/>
  <c r="BT56" i="487"/>
  <c r="BS56" i="487"/>
  <c r="BR56" i="487"/>
  <c r="BX56" i="487" s="1"/>
  <c r="AW56" i="487"/>
  <c r="AX56" i="487" s="1"/>
  <c r="BY56" i="487" s="1"/>
  <c r="AV56" i="487"/>
  <c r="AC56" i="487"/>
  <c r="Q56" i="487"/>
  <c r="A56" i="487"/>
  <c r="BW55" i="487"/>
  <c r="BV55" i="487"/>
  <c r="BU55" i="487"/>
  <c r="BS55" i="487"/>
  <c r="BR55" i="487"/>
  <c r="BF55" i="487"/>
  <c r="BT55" i="487"/>
  <c r="AW55" i="487"/>
  <c r="AV55" i="487"/>
  <c r="AX55" i="487" s="1"/>
  <c r="BY55" i="487" s="1"/>
  <c r="X55" i="487"/>
  <c r="W55" i="487"/>
  <c r="Q55" i="487"/>
  <c r="A55" i="487"/>
  <c r="BW54" i="487"/>
  <c r="BV54" i="487"/>
  <c r="BU54" i="487"/>
  <c r="BS54" i="487"/>
  <c r="BR54" i="487"/>
  <c r="BF54" i="487"/>
  <c r="BT54" i="487" s="1"/>
  <c r="AW54" i="487"/>
  <c r="AV54" i="487"/>
  <c r="W54" i="487"/>
  <c r="Q54" i="487"/>
  <c r="A54" i="487"/>
  <c r="BW53" i="487"/>
  <c r="BV53" i="487"/>
  <c r="BU53" i="487"/>
  <c r="BS53" i="487"/>
  <c r="BR53" i="487"/>
  <c r="BF53" i="487"/>
  <c r="BT53" i="487"/>
  <c r="AW53" i="487"/>
  <c r="AV53" i="487"/>
  <c r="X53" i="487"/>
  <c r="W53" i="487"/>
  <c r="Q53" i="487"/>
  <c r="A53" i="487"/>
  <c r="BW52" i="487"/>
  <c r="BV52" i="487"/>
  <c r="BS52" i="487"/>
  <c r="BR52" i="487"/>
  <c r="BF52" i="487"/>
  <c r="AW52" i="487"/>
  <c r="AV52" i="487"/>
  <c r="X52" i="487"/>
  <c r="W52" i="487"/>
  <c r="A52" i="487"/>
  <c r="BW51" i="487"/>
  <c r="BV51" i="487"/>
  <c r="BU51" i="487"/>
  <c r="BS51" i="487"/>
  <c r="BR51" i="487"/>
  <c r="BF51" i="487"/>
  <c r="BT51" i="487"/>
  <c r="BX51" i="487" s="1"/>
  <c r="AW51" i="487"/>
  <c r="AV51" i="487"/>
  <c r="X51" i="487"/>
  <c r="W51" i="487"/>
  <c r="Q51" i="487"/>
  <c r="A51" i="487"/>
  <c r="BW50" i="487"/>
  <c r="BV50" i="487"/>
  <c r="BU50" i="487"/>
  <c r="BS50" i="487"/>
  <c r="BR50" i="487"/>
  <c r="BF50" i="487"/>
  <c r="BT50" i="487"/>
  <c r="AW50" i="487"/>
  <c r="AV50" i="487"/>
  <c r="R50" i="487"/>
  <c r="X50" i="487" s="1"/>
  <c r="Q50" i="487"/>
  <c r="A50" i="487"/>
  <c r="BW49" i="487"/>
  <c r="BV49" i="487"/>
  <c r="BU49" i="487"/>
  <c r="BS49" i="487"/>
  <c r="BX49" i="487" s="1"/>
  <c r="BZ49" i="487" s="1"/>
  <c r="BR49" i="487"/>
  <c r="BF49" i="487"/>
  <c r="BT49" i="487" s="1"/>
  <c r="AW49" i="487"/>
  <c r="AV49" i="487"/>
  <c r="X49" i="487"/>
  <c r="W49" i="487"/>
  <c r="Q49" i="487"/>
  <c r="A49" i="487"/>
  <c r="BW48" i="487"/>
  <c r="BV48" i="487"/>
  <c r="BU48" i="487"/>
  <c r="BX48" i="487" s="1"/>
  <c r="BZ48" i="487" s="1"/>
  <c r="BS48" i="487"/>
  <c r="BR48" i="487"/>
  <c r="BF48" i="487"/>
  <c r="BT48" i="487" s="1"/>
  <c r="AW48" i="487"/>
  <c r="AV48" i="487"/>
  <c r="AX48" i="487" s="1"/>
  <c r="BY48" i="487" s="1"/>
  <c r="X48" i="487"/>
  <c r="W48" i="487"/>
  <c r="Q48" i="487"/>
  <c r="A48" i="487"/>
  <c r="BW47" i="487"/>
  <c r="BV47" i="487"/>
  <c r="BS47" i="487"/>
  <c r="BR47" i="487"/>
  <c r="BF47" i="487"/>
  <c r="AW47" i="487"/>
  <c r="AV47" i="487"/>
  <c r="X47" i="487"/>
  <c r="W47" i="487"/>
  <c r="Q47" i="487"/>
  <c r="A47" i="487"/>
  <c r="BW46" i="487"/>
  <c r="BV46" i="487"/>
  <c r="BS46" i="487"/>
  <c r="BR46" i="487"/>
  <c r="BF46" i="487"/>
  <c r="BT46" i="487" s="1"/>
  <c r="AW46" i="487"/>
  <c r="AV46" i="487"/>
  <c r="X46" i="487"/>
  <c r="W46" i="487"/>
  <c r="Q46" i="487"/>
  <c r="A46" i="487"/>
  <c r="BW45" i="487"/>
  <c r="BV45" i="487"/>
  <c r="BS45" i="487"/>
  <c r="BR45" i="487"/>
  <c r="BF45" i="487"/>
  <c r="AW45" i="487"/>
  <c r="AV45" i="487"/>
  <c r="X45" i="487"/>
  <c r="W45" i="487"/>
  <c r="Q45" i="487"/>
  <c r="A45" i="487"/>
  <c r="BW44" i="487"/>
  <c r="BV44" i="487"/>
  <c r="BS44" i="487"/>
  <c r="BR44" i="487"/>
  <c r="BF44" i="487"/>
  <c r="AW44" i="487"/>
  <c r="AV44" i="487"/>
  <c r="X44" i="487"/>
  <c r="W44" i="487"/>
  <c r="Q44" i="487"/>
  <c r="A44" i="487"/>
  <c r="BW43" i="487"/>
  <c r="BV43" i="487"/>
  <c r="BS43" i="487"/>
  <c r="BR43" i="487"/>
  <c r="BF43" i="487"/>
  <c r="BU43" i="487" s="1"/>
  <c r="AW43" i="487"/>
  <c r="AV43" i="487"/>
  <c r="X43" i="487"/>
  <c r="W43" i="487"/>
  <c r="Q43" i="487"/>
  <c r="A43" i="487"/>
  <c r="BW42" i="487"/>
  <c r="BV42" i="487"/>
  <c r="BS42" i="487"/>
  <c r="BR42" i="487"/>
  <c r="BF42" i="487"/>
  <c r="AW42" i="487"/>
  <c r="AX42" i="487" s="1"/>
  <c r="BY42" i="487" s="1"/>
  <c r="AV42" i="487"/>
  <c r="X42" i="487"/>
  <c r="W42" i="487"/>
  <c r="Q42" i="487"/>
  <c r="A42" i="487"/>
  <c r="BW41" i="487"/>
  <c r="BV41" i="487"/>
  <c r="BS41" i="487"/>
  <c r="BR41" i="487"/>
  <c r="BF41" i="487"/>
  <c r="AW41" i="487"/>
  <c r="AV41" i="487"/>
  <c r="X41" i="487"/>
  <c r="W41" i="487"/>
  <c r="Q41" i="487"/>
  <c r="A41" i="487"/>
  <c r="BW40" i="487"/>
  <c r="BV40" i="487"/>
  <c r="BS40" i="487"/>
  <c r="BX40" i="487" s="1"/>
  <c r="BZ40" i="487" s="1"/>
  <c r="BR40" i="487"/>
  <c r="BF40" i="487"/>
  <c r="AW40" i="487"/>
  <c r="AV40" i="487"/>
  <c r="X40" i="487"/>
  <c r="W40" i="487"/>
  <c r="Q40" i="487"/>
  <c r="A40" i="487"/>
  <c r="BW39" i="487"/>
  <c r="BV39" i="487"/>
  <c r="BS39" i="487"/>
  <c r="BR39" i="487"/>
  <c r="BF39" i="487"/>
  <c r="BU39" i="487" s="1"/>
  <c r="AW39" i="487"/>
  <c r="AV39" i="487"/>
  <c r="X39" i="487"/>
  <c r="W39" i="487"/>
  <c r="Q39" i="487"/>
  <c r="A39" i="487"/>
  <c r="BW38" i="487"/>
  <c r="BV38" i="487"/>
  <c r="BS38" i="487"/>
  <c r="BR38" i="487"/>
  <c r="BF38" i="487"/>
  <c r="AW38" i="487"/>
  <c r="AV38" i="487"/>
  <c r="X38" i="487"/>
  <c r="W38" i="487"/>
  <c r="A38" i="487"/>
  <c r="BW37" i="487"/>
  <c r="BV37" i="487"/>
  <c r="BU37" i="487"/>
  <c r="BS37" i="487"/>
  <c r="BR37" i="487"/>
  <c r="BF37" i="487"/>
  <c r="BT37" i="487"/>
  <c r="AW37" i="487"/>
  <c r="AV37" i="487"/>
  <c r="W37" i="487"/>
  <c r="A37" i="487"/>
  <c r="BW36" i="487"/>
  <c r="BV36" i="487"/>
  <c r="BU36" i="487"/>
  <c r="BS36" i="487"/>
  <c r="BR36" i="487"/>
  <c r="BF36" i="487"/>
  <c r="BT36" i="487" s="1"/>
  <c r="BX36" i="487" s="1"/>
  <c r="BZ36" i="487" s="1"/>
  <c r="AW36" i="487"/>
  <c r="AV36" i="487"/>
  <c r="W36" i="487"/>
  <c r="Q36" i="487"/>
  <c r="A36" i="487"/>
  <c r="BW35" i="487"/>
  <c r="BV35" i="487"/>
  <c r="BU35" i="487"/>
  <c r="BS35" i="487"/>
  <c r="BR35" i="487"/>
  <c r="BF35" i="487"/>
  <c r="BT35" i="487"/>
  <c r="AW35" i="487"/>
  <c r="AV35" i="487"/>
  <c r="W35" i="487"/>
  <c r="Q35" i="487"/>
  <c r="A35" i="487"/>
  <c r="BW34" i="487"/>
  <c r="BV34" i="487"/>
  <c r="BU34" i="487"/>
  <c r="BS34" i="487"/>
  <c r="BR34" i="487"/>
  <c r="BF34" i="487"/>
  <c r="BT34" i="487"/>
  <c r="BX34" i="487" s="1"/>
  <c r="AW34" i="487"/>
  <c r="AV34" i="487"/>
  <c r="W34" i="487"/>
  <c r="Q34" i="487"/>
  <c r="A34" i="487"/>
  <c r="BW33" i="487"/>
  <c r="BV33" i="487"/>
  <c r="BU33" i="487"/>
  <c r="BS33" i="487"/>
  <c r="BR33" i="487"/>
  <c r="BX33" i="487" s="1"/>
  <c r="BF33" i="487"/>
  <c r="BT33" i="487" s="1"/>
  <c r="AW33" i="487"/>
  <c r="AV33" i="487"/>
  <c r="W33" i="487"/>
  <c r="Q33" i="487"/>
  <c r="A33" i="487"/>
  <c r="BW32" i="487"/>
  <c r="BV32" i="487"/>
  <c r="BU32" i="487"/>
  <c r="BS32" i="487"/>
  <c r="BX32" i="487" s="1"/>
  <c r="BZ32" i="487" s="1"/>
  <c r="BR32" i="487"/>
  <c r="BF32" i="487"/>
  <c r="BT32" i="487" s="1"/>
  <c r="AW32" i="487"/>
  <c r="AV32" i="487"/>
  <c r="AX32" i="487" s="1"/>
  <c r="BY32" i="487" s="1"/>
  <c r="R32" i="487"/>
  <c r="X32" i="487"/>
  <c r="Q32" i="487"/>
  <c r="A32" i="487"/>
  <c r="BW31" i="487"/>
  <c r="BV31" i="487"/>
  <c r="BU31" i="487"/>
  <c r="BS31" i="487"/>
  <c r="BR31" i="487"/>
  <c r="BF31" i="487"/>
  <c r="BT31" i="487" s="1"/>
  <c r="AW31" i="487"/>
  <c r="AV31" i="487"/>
  <c r="W31" i="487"/>
  <c r="Q31" i="487"/>
  <c r="A31" i="487"/>
  <c r="BW30" i="487"/>
  <c r="BV30" i="487"/>
  <c r="BU30" i="487"/>
  <c r="BS30" i="487"/>
  <c r="BR30" i="487"/>
  <c r="BF30" i="487"/>
  <c r="BT30" i="487"/>
  <c r="AW30" i="487"/>
  <c r="AV30" i="487"/>
  <c r="X30" i="487"/>
  <c r="Q30" i="487"/>
  <c r="A30" i="487"/>
  <c r="BW29" i="487"/>
  <c r="BV29" i="487"/>
  <c r="BU29" i="487"/>
  <c r="BS29" i="487"/>
  <c r="BR29" i="487"/>
  <c r="BF29" i="487"/>
  <c r="BT29" i="487" s="1"/>
  <c r="AW29" i="487"/>
  <c r="AX29" i="487" s="1"/>
  <c r="BY29" i="487" s="1"/>
  <c r="AV29" i="487"/>
  <c r="X29" i="487"/>
  <c r="Q29" i="487"/>
  <c r="A29" i="487"/>
  <c r="BW28" i="487"/>
  <c r="BV28" i="487"/>
  <c r="BU28" i="487"/>
  <c r="BS28" i="487"/>
  <c r="BR28" i="487"/>
  <c r="BX28" i="487" s="1"/>
  <c r="BZ28" i="487" s="1"/>
  <c r="BF28" i="487"/>
  <c r="BT28" i="487"/>
  <c r="AW28" i="487"/>
  <c r="AV28" i="487"/>
  <c r="X28" i="487"/>
  <c r="Q28" i="487"/>
  <c r="A28" i="487"/>
  <c r="BW27" i="487"/>
  <c r="BV27" i="487"/>
  <c r="BU27" i="487"/>
  <c r="BS27" i="487"/>
  <c r="BX27" i="487" s="1"/>
  <c r="BR27" i="487"/>
  <c r="BF27" i="487"/>
  <c r="BT27" i="487"/>
  <c r="AW27" i="487"/>
  <c r="AV27" i="487"/>
  <c r="X27" i="487"/>
  <c r="Q27" i="487"/>
  <c r="A27" i="487"/>
  <c r="BW26" i="487"/>
  <c r="BV26" i="487"/>
  <c r="BU26" i="487"/>
  <c r="BS26" i="487"/>
  <c r="BR26" i="487"/>
  <c r="BF26" i="487"/>
  <c r="BT26" i="487"/>
  <c r="BX26" i="487" s="1"/>
  <c r="BZ26" i="487" s="1"/>
  <c r="AW26" i="487"/>
  <c r="AV26" i="487"/>
  <c r="X26" i="487"/>
  <c r="Q26" i="487"/>
  <c r="A26" i="487"/>
  <c r="BW25" i="487"/>
  <c r="BV25" i="487"/>
  <c r="BU25" i="487"/>
  <c r="BS25" i="487"/>
  <c r="BR25" i="487"/>
  <c r="BF25" i="487"/>
  <c r="BT25" i="487"/>
  <c r="AW25" i="487"/>
  <c r="AV25" i="487"/>
  <c r="X25" i="487"/>
  <c r="Q25" i="487"/>
  <c r="A25" i="487"/>
  <c r="BW24" i="487"/>
  <c r="BV24" i="487"/>
  <c r="BU24" i="487"/>
  <c r="BS24" i="487"/>
  <c r="BR24" i="487"/>
  <c r="BF24" i="487"/>
  <c r="BT24" i="487" s="1"/>
  <c r="AW24" i="487"/>
  <c r="AX24" i="487" s="1"/>
  <c r="BY24" i="487" s="1"/>
  <c r="AV24" i="487"/>
  <c r="X24" i="487"/>
  <c r="W24" i="487"/>
  <c r="Q24" i="487"/>
  <c r="A24" i="487"/>
  <c r="BW23" i="487"/>
  <c r="BV23" i="487"/>
  <c r="BU23" i="487"/>
  <c r="BS23" i="487"/>
  <c r="BR23" i="487"/>
  <c r="BF23" i="487"/>
  <c r="BT23" i="487"/>
  <c r="AW23" i="487"/>
  <c r="AV23" i="487"/>
  <c r="AX23" i="487" s="1"/>
  <c r="BY23" i="487" s="1"/>
  <c r="X23" i="487"/>
  <c r="Q23" i="487"/>
  <c r="A23" i="487"/>
  <c r="BW22" i="487"/>
  <c r="BV22" i="487"/>
  <c r="BU22" i="487"/>
  <c r="BS22" i="487"/>
  <c r="BR22" i="487"/>
  <c r="BF22" i="487"/>
  <c r="BT22" i="487"/>
  <c r="AW22" i="487"/>
  <c r="AV22" i="487"/>
  <c r="X22" i="487"/>
  <c r="W22" i="487"/>
  <c r="Q22" i="487"/>
  <c r="A22" i="487"/>
  <c r="BW21" i="487"/>
  <c r="BV21" i="487"/>
  <c r="BU21" i="487"/>
  <c r="BS21" i="487"/>
  <c r="BR21" i="487"/>
  <c r="BF21" i="487"/>
  <c r="BT21" i="487"/>
  <c r="AW21" i="487"/>
  <c r="AV21" i="487"/>
  <c r="X21" i="487"/>
  <c r="W21" i="487"/>
  <c r="Q21" i="487"/>
  <c r="A21" i="487"/>
  <c r="BW20" i="487"/>
  <c r="BV20" i="487"/>
  <c r="BU20" i="487"/>
  <c r="BS20" i="487"/>
  <c r="BR20" i="487"/>
  <c r="BF20" i="487"/>
  <c r="BT20" i="487" s="1"/>
  <c r="AW20" i="487"/>
  <c r="AX20" i="487" s="1"/>
  <c r="BY20" i="487" s="1"/>
  <c r="AV20" i="487"/>
  <c r="W20" i="487"/>
  <c r="Q20" i="487"/>
  <c r="A20" i="487"/>
  <c r="BW19" i="487"/>
  <c r="BX19" i="487" s="1"/>
  <c r="BZ19" i="487" s="1"/>
  <c r="BV19" i="487"/>
  <c r="BU19" i="487"/>
  <c r="BS19" i="487"/>
  <c r="BR19" i="487"/>
  <c r="BF19" i="487"/>
  <c r="BT19" i="487" s="1"/>
  <c r="AW19" i="487"/>
  <c r="AV19" i="487"/>
  <c r="X19" i="487"/>
  <c r="W19" i="487"/>
  <c r="Q19" i="487"/>
  <c r="A19" i="487"/>
  <c r="BW18" i="487"/>
  <c r="BV18" i="487"/>
  <c r="BU18" i="487"/>
  <c r="BS18" i="487"/>
  <c r="BX18" i="487" s="1"/>
  <c r="BZ18" i="487" s="1"/>
  <c r="BR18" i="487"/>
  <c r="BF18" i="487"/>
  <c r="BT18" i="487" s="1"/>
  <c r="AW18" i="487"/>
  <c r="AV18" i="487"/>
  <c r="AX18" i="487" s="1"/>
  <c r="BY18" i="487" s="1"/>
  <c r="X18" i="487"/>
  <c r="W18" i="487"/>
  <c r="Q18" i="487"/>
  <c r="A18" i="487"/>
  <c r="BW17" i="487"/>
  <c r="BV17" i="487"/>
  <c r="BU17" i="487"/>
  <c r="BS17" i="487"/>
  <c r="BR17" i="487"/>
  <c r="BF17" i="487"/>
  <c r="BT17" i="487" s="1"/>
  <c r="AW17" i="487"/>
  <c r="AV17" i="487"/>
  <c r="W17" i="487"/>
  <c r="Q17" i="487"/>
  <c r="A17" i="487"/>
  <c r="BW16" i="487"/>
  <c r="BV16" i="487"/>
  <c r="BU16" i="487"/>
  <c r="BS16" i="487"/>
  <c r="BR16" i="487"/>
  <c r="BF16" i="487"/>
  <c r="BT16" i="487"/>
  <c r="AW16" i="487"/>
  <c r="AV16" i="487"/>
  <c r="R16" i="487"/>
  <c r="W16" i="487" s="1"/>
  <c r="Q16" i="487"/>
  <c r="A16" i="487"/>
  <c r="BW15" i="487"/>
  <c r="BV15" i="487"/>
  <c r="BX15" i="487" s="1"/>
  <c r="BU15" i="487"/>
  <c r="BS15" i="487"/>
  <c r="BR15" i="487"/>
  <c r="BF15" i="487"/>
  <c r="BT15" i="487" s="1"/>
  <c r="AW15" i="487"/>
  <c r="AV15" i="487"/>
  <c r="X15" i="487"/>
  <c r="Q15" i="487"/>
  <c r="A15" i="487"/>
  <c r="BW14" i="487"/>
  <c r="BV14" i="487"/>
  <c r="BU14" i="487"/>
  <c r="BS14" i="487"/>
  <c r="BR14" i="487"/>
  <c r="BF14" i="487"/>
  <c r="BT14" i="487" s="1"/>
  <c r="AW14" i="487"/>
  <c r="AV14" i="487"/>
  <c r="W14" i="487"/>
  <c r="Q14" i="487"/>
  <c r="A14" i="487"/>
  <c r="BW13" i="487"/>
  <c r="BV13" i="487"/>
  <c r="BU13" i="487"/>
  <c r="BS13" i="487"/>
  <c r="BR13" i="487"/>
  <c r="BF13" i="487"/>
  <c r="BT13" i="487" s="1"/>
  <c r="AW13" i="487"/>
  <c r="AV13" i="487"/>
  <c r="R13" i="487"/>
  <c r="Q13" i="487"/>
  <c r="A13" i="487"/>
  <c r="BW12" i="487"/>
  <c r="BV12" i="487"/>
  <c r="BU12" i="487"/>
  <c r="BT12" i="487"/>
  <c r="BS12" i="487"/>
  <c r="BR12" i="487"/>
  <c r="BX12" i="487"/>
  <c r="BZ12" i="487" s="1"/>
  <c r="AW12" i="487"/>
  <c r="AV12" i="487"/>
  <c r="AX12" i="487" s="1"/>
  <c r="BY12" i="487" s="1"/>
  <c r="Q12" i="487"/>
  <c r="BW11" i="487"/>
  <c r="BV11" i="487"/>
  <c r="BU11" i="487"/>
  <c r="BT11" i="487"/>
  <c r="BS11" i="487"/>
  <c r="BR11" i="487"/>
  <c r="BX11" i="487" s="1"/>
  <c r="AW11" i="487"/>
  <c r="AX11" i="487" s="1"/>
  <c r="BY11" i="487" s="1"/>
  <c r="AV11" i="487"/>
  <c r="Q11" i="487"/>
  <c r="BW10" i="487"/>
  <c r="BV10" i="487"/>
  <c r="BU10" i="487"/>
  <c r="BS10" i="487"/>
  <c r="BR10" i="487"/>
  <c r="BF10" i="487"/>
  <c r="BT10" i="487"/>
  <c r="AW10" i="487"/>
  <c r="AV10" i="487"/>
  <c r="W10" i="487"/>
  <c r="A10" i="487"/>
  <c r="BW9" i="487"/>
  <c r="BV9" i="487"/>
  <c r="BU9" i="487"/>
  <c r="BT9" i="487"/>
  <c r="BS9" i="487"/>
  <c r="BR9" i="487"/>
  <c r="BX9" i="487"/>
  <c r="BZ9" i="487" s="1"/>
  <c r="AW9" i="487"/>
  <c r="AV9" i="487"/>
  <c r="Q9" i="487"/>
  <c r="BW8" i="487"/>
  <c r="BV8" i="487"/>
  <c r="BS8" i="487"/>
  <c r="BR8" i="487"/>
  <c r="BF8" i="487"/>
  <c r="AW8" i="487"/>
  <c r="AV8" i="487"/>
  <c r="AN8" i="487"/>
  <c r="Q8" i="487"/>
  <c r="A8" i="487"/>
  <c r="BW7" i="487"/>
  <c r="BV7" i="487"/>
  <c r="BU7" i="487"/>
  <c r="BS7" i="487"/>
  <c r="BR7" i="487"/>
  <c r="BF7" i="487"/>
  <c r="BT7" i="487"/>
  <c r="AW7" i="487"/>
  <c r="AV7" i="487"/>
  <c r="AN7" i="487"/>
  <c r="Q7" i="487"/>
  <c r="A7" i="487"/>
  <c r="BW6" i="487"/>
  <c r="BV6" i="487"/>
  <c r="BU6" i="487"/>
  <c r="BS6" i="487"/>
  <c r="BR6" i="487"/>
  <c r="BF6" i="487"/>
  <c r="BT6" i="487"/>
  <c r="AW6" i="487"/>
  <c r="AV6" i="487"/>
  <c r="AN6" i="487"/>
  <c r="Q6" i="487"/>
  <c r="A6" i="487"/>
  <c r="BW5" i="487"/>
  <c r="BV5" i="487"/>
  <c r="BU5" i="487"/>
  <c r="BS5" i="487"/>
  <c r="BR5" i="487"/>
  <c r="BF5" i="487"/>
  <c r="BT5" i="487" s="1"/>
  <c r="BX5" i="487" s="1"/>
  <c r="BZ5" i="487" s="1"/>
  <c r="AW5" i="487"/>
  <c r="AV5" i="487"/>
  <c r="AN5" i="487"/>
  <c r="Q5" i="487"/>
  <c r="A5" i="487"/>
  <c r="BW4" i="487"/>
  <c r="BV4" i="487"/>
  <c r="BU4" i="487"/>
  <c r="BT4" i="487"/>
  <c r="BS4" i="487"/>
  <c r="BR4" i="487"/>
  <c r="AW4" i="487"/>
  <c r="AX4" i="487" s="1"/>
  <c r="AV4" i="487"/>
  <c r="AM4" i="487"/>
  <c r="AM122" i="487" s="1"/>
  <c r="A4" i="487"/>
  <c r="AT129" i="471"/>
  <c r="AS129" i="471"/>
  <c r="AR129" i="471"/>
  <c r="AQ129" i="471"/>
  <c r="AP129" i="471"/>
  <c r="AO129" i="471"/>
  <c r="AI129" i="471"/>
  <c r="AG129" i="471"/>
  <c r="AF129" i="471"/>
  <c r="AE129" i="471"/>
  <c r="AD129" i="471"/>
  <c r="AC129" i="471"/>
  <c r="AB129" i="471"/>
  <c r="AA129" i="471"/>
  <c r="Z129" i="471"/>
  <c r="V129" i="471"/>
  <c r="S129" i="471"/>
  <c r="BW128" i="471"/>
  <c r="BV128" i="471"/>
  <c r="BU128" i="471"/>
  <c r="BS128" i="471"/>
  <c r="BR128" i="471"/>
  <c r="BF128" i="471"/>
  <c r="BT128" i="471" s="1"/>
  <c r="AW128" i="471"/>
  <c r="AX128" i="471" s="1"/>
  <c r="AV128" i="471"/>
  <c r="T128" i="471"/>
  <c r="Q128" i="471"/>
  <c r="A128" i="471"/>
  <c r="BW127" i="471"/>
  <c r="BV127" i="471"/>
  <c r="BU127" i="471"/>
  <c r="BS127" i="471"/>
  <c r="BR127" i="471"/>
  <c r="BF127" i="471"/>
  <c r="BT127" i="471" s="1"/>
  <c r="AW127" i="471"/>
  <c r="AV127" i="471"/>
  <c r="U127" i="471"/>
  <c r="T127" i="471"/>
  <c r="Q127" i="471"/>
  <c r="A127" i="471"/>
  <c r="BW126" i="471"/>
  <c r="BV126" i="471"/>
  <c r="BU126" i="471"/>
  <c r="BS126" i="471"/>
  <c r="BR126" i="471"/>
  <c r="BF126" i="471"/>
  <c r="BT126" i="471"/>
  <c r="AW126" i="471"/>
  <c r="AV126" i="471"/>
  <c r="AX126" i="471" s="1"/>
  <c r="BY126" i="471" s="1"/>
  <c r="BZ126" i="471" s="1"/>
  <c r="T126" i="471"/>
  <c r="Q126" i="471"/>
  <c r="A126" i="471"/>
  <c r="BW125" i="471"/>
  <c r="BX125" i="471" s="1"/>
  <c r="BV125" i="471"/>
  <c r="BU125" i="471"/>
  <c r="BS125" i="471"/>
  <c r="BR125" i="471"/>
  <c r="BF125" i="471"/>
  <c r="BT125" i="471"/>
  <c r="AW125" i="471"/>
  <c r="AV125" i="471"/>
  <c r="T125" i="471"/>
  <c r="Q125" i="471"/>
  <c r="A125" i="471"/>
  <c r="BW124" i="471"/>
  <c r="BV124" i="471"/>
  <c r="BU124" i="471"/>
  <c r="BS124" i="471"/>
  <c r="BR124" i="471"/>
  <c r="BX124" i="471" s="1"/>
  <c r="BZ124" i="471" s="1"/>
  <c r="BF124" i="471"/>
  <c r="BT124" i="471"/>
  <c r="AW124" i="471"/>
  <c r="AV124" i="471"/>
  <c r="AX124" i="471" s="1"/>
  <c r="BY124" i="471" s="1"/>
  <c r="T124" i="471"/>
  <c r="Q124" i="471"/>
  <c r="A124" i="471"/>
  <c r="BW123" i="471"/>
  <c r="BV123" i="471"/>
  <c r="BU123" i="471"/>
  <c r="BS123" i="471"/>
  <c r="BR123" i="471"/>
  <c r="BF123" i="471"/>
  <c r="BT123" i="471"/>
  <c r="AW123" i="471"/>
  <c r="AV123" i="471"/>
  <c r="U123" i="471"/>
  <c r="U129" i="471"/>
  <c r="T123" i="471"/>
  <c r="Q123" i="471"/>
  <c r="A123" i="471"/>
  <c r="BW122" i="471"/>
  <c r="BV122" i="471"/>
  <c r="BU122" i="471"/>
  <c r="BS122" i="471"/>
  <c r="BR122" i="471"/>
  <c r="BF122" i="471"/>
  <c r="BT122" i="471" s="1"/>
  <c r="AW122" i="471"/>
  <c r="AV122" i="471"/>
  <c r="AX122" i="471" s="1"/>
  <c r="BY122" i="471" s="1"/>
  <c r="T122" i="471"/>
  <c r="Q122" i="471"/>
  <c r="A122" i="471"/>
  <c r="BW121" i="471"/>
  <c r="BV121" i="471"/>
  <c r="BU121" i="471"/>
  <c r="BS121" i="471"/>
  <c r="BR121" i="471"/>
  <c r="BF121" i="471"/>
  <c r="BT121" i="471" s="1"/>
  <c r="AW121" i="471"/>
  <c r="AX121" i="471" s="1"/>
  <c r="BY121" i="471" s="1"/>
  <c r="AV121" i="471"/>
  <c r="T121" i="471"/>
  <c r="Q121" i="471"/>
  <c r="A121" i="471"/>
  <c r="BW120" i="471"/>
  <c r="BV120" i="471"/>
  <c r="BU120" i="471"/>
  <c r="BS120" i="471"/>
  <c r="BR120" i="471"/>
  <c r="BF120" i="471"/>
  <c r="BT120" i="471"/>
  <c r="AW120" i="471"/>
  <c r="AX120" i="471" s="1"/>
  <c r="BY120" i="471" s="1"/>
  <c r="AV120" i="471"/>
  <c r="T120" i="471"/>
  <c r="Q120" i="471"/>
  <c r="A120" i="471"/>
  <c r="BW119" i="471"/>
  <c r="BV119" i="471"/>
  <c r="BU119" i="471"/>
  <c r="BS119" i="471"/>
  <c r="BX119" i="471" s="1"/>
  <c r="BR119" i="471"/>
  <c r="BF119" i="471"/>
  <c r="BT119" i="471" s="1"/>
  <c r="AW119" i="471"/>
  <c r="AV119" i="471"/>
  <c r="R119" i="471"/>
  <c r="T119" i="471" s="1"/>
  <c r="Q119" i="471"/>
  <c r="A119" i="471"/>
  <c r="BW118" i="471"/>
  <c r="BV118" i="471"/>
  <c r="BU118" i="471"/>
  <c r="BS118" i="471"/>
  <c r="BR118" i="471"/>
  <c r="BX118" i="471" s="1"/>
  <c r="BZ118" i="471" s="1"/>
  <c r="BF118" i="471"/>
  <c r="BT118" i="471" s="1"/>
  <c r="AW118" i="471"/>
  <c r="AV118" i="471"/>
  <c r="T118" i="471"/>
  <c r="Q118" i="471"/>
  <c r="A118" i="471"/>
  <c r="BW117" i="471"/>
  <c r="BV117" i="471"/>
  <c r="BU117" i="471"/>
  <c r="BT117" i="471"/>
  <c r="BS117" i="471"/>
  <c r="BR117" i="471"/>
  <c r="AW117" i="471"/>
  <c r="AX117" i="471" s="1"/>
  <c r="AV117" i="471"/>
  <c r="Q117" i="471"/>
  <c r="BW116" i="471"/>
  <c r="BV116" i="471"/>
  <c r="BU116" i="471"/>
  <c r="BX116" i="471" s="1"/>
  <c r="BT116" i="471"/>
  <c r="BS116" i="471"/>
  <c r="BR116" i="471"/>
  <c r="AW116" i="471"/>
  <c r="AX116" i="471" s="1"/>
  <c r="BY116" i="471" s="1"/>
  <c r="AV116" i="471"/>
  <c r="Q116" i="471"/>
  <c r="BW115" i="471"/>
  <c r="BV115" i="471"/>
  <c r="BU115" i="471"/>
  <c r="BT115" i="471"/>
  <c r="BX115" i="471" s="1"/>
  <c r="BZ115" i="471" s="1"/>
  <c r="BS115" i="471"/>
  <c r="BR115" i="471"/>
  <c r="AW115" i="471"/>
  <c r="AV115" i="471"/>
  <c r="Q115" i="471"/>
  <c r="BW114" i="471"/>
  <c r="BV114" i="471"/>
  <c r="BU114" i="471"/>
  <c r="BX114" i="471" s="1"/>
  <c r="BT114" i="471"/>
  <c r="BS114" i="471"/>
  <c r="BR114" i="471"/>
  <c r="AW114" i="471"/>
  <c r="AV114" i="471"/>
  <c r="AU114" i="471"/>
  <c r="AU129" i="471" s="1"/>
  <c r="A114" i="471"/>
  <c r="BW113" i="471"/>
  <c r="BV113" i="471"/>
  <c r="BU113" i="471"/>
  <c r="BS113" i="471"/>
  <c r="BR113" i="471"/>
  <c r="BF113" i="471"/>
  <c r="BT113" i="471" s="1"/>
  <c r="AW113" i="471"/>
  <c r="AV113" i="471"/>
  <c r="Y113" i="471"/>
  <c r="Q113" i="471"/>
  <c r="A113" i="471"/>
  <c r="BW112" i="471"/>
  <c r="BV112" i="471"/>
  <c r="BU112" i="471"/>
  <c r="BS112" i="471"/>
  <c r="BR112" i="471"/>
  <c r="BF112" i="471"/>
  <c r="BT112" i="471" s="1"/>
  <c r="AW112" i="471"/>
  <c r="AV112" i="471"/>
  <c r="Y112" i="471"/>
  <c r="Q112" i="471"/>
  <c r="A112" i="471"/>
  <c r="BW111" i="471"/>
  <c r="BV111" i="471"/>
  <c r="BU111" i="471"/>
  <c r="BS111" i="471"/>
  <c r="BR111" i="471"/>
  <c r="BF111" i="471"/>
  <c r="BT111" i="471"/>
  <c r="BX111" i="471" s="1"/>
  <c r="BZ111" i="471" s="1"/>
  <c r="AW111" i="471"/>
  <c r="AV111" i="471"/>
  <c r="AX111" i="471" s="1"/>
  <c r="BY111" i="471" s="1"/>
  <c r="Y111" i="471"/>
  <c r="Q111" i="471"/>
  <c r="A111" i="471"/>
  <c r="BW110" i="471"/>
  <c r="BV110" i="471"/>
  <c r="BU110" i="471"/>
  <c r="BS110" i="471"/>
  <c r="BR110" i="471"/>
  <c r="BF110" i="471"/>
  <c r="BT110" i="471" s="1"/>
  <c r="BX110" i="471" s="1"/>
  <c r="BZ110" i="471" s="1"/>
  <c r="AW110" i="471"/>
  <c r="AV110" i="471"/>
  <c r="AX110" i="471" s="1"/>
  <c r="BY110" i="471" s="1"/>
  <c r="Y110" i="471"/>
  <c r="Q110" i="471"/>
  <c r="A110" i="471"/>
  <c r="BW109" i="471"/>
  <c r="BV109" i="471"/>
  <c r="BU109" i="471"/>
  <c r="BS109" i="471"/>
  <c r="BR109" i="471"/>
  <c r="BF109" i="471"/>
  <c r="BT109" i="471"/>
  <c r="AW109" i="471"/>
  <c r="AV109" i="471"/>
  <c r="AK109" i="471"/>
  <c r="Q109" i="471"/>
  <c r="A109" i="471"/>
  <c r="BW108" i="471"/>
  <c r="BV108" i="471"/>
  <c r="BU108" i="471"/>
  <c r="BS108" i="471"/>
  <c r="BR108" i="471"/>
  <c r="BF108" i="471"/>
  <c r="BT108" i="471" s="1"/>
  <c r="AW108" i="471"/>
  <c r="AK108" i="471"/>
  <c r="Q108" i="471"/>
  <c r="A108" i="471"/>
  <c r="BW107" i="471"/>
  <c r="BV107" i="471"/>
  <c r="BU107" i="471"/>
  <c r="BS107" i="471"/>
  <c r="BR107" i="471"/>
  <c r="BF107" i="471"/>
  <c r="BT107" i="471" s="1"/>
  <c r="BX107" i="471" s="1"/>
  <c r="BZ107" i="471" s="1"/>
  <c r="AW107" i="471"/>
  <c r="AV107" i="471"/>
  <c r="AX107" i="471" s="1"/>
  <c r="AK107" i="471"/>
  <c r="Q107" i="471"/>
  <c r="A107" i="471"/>
  <c r="BW106" i="471"/>
  <c r="BV106" i="471"/>
  <c r="BU106" i="471"/>
  <c r="BS106" i="471"/>
  <c r="BR106" i="471"/>
  <c r="BF106" i="471"/>
  <c r="BT106" i="471"/>
  <c r="BX106" i="471" s="1"/>
  <c r="BZ106" i="471" s="1"/>
  <c r="AW106" i="471"/>
  <c r="AV106" i="471"/>
  <c r="AX106" i="471" s="1"/>
  <c r="BY106" i="471" s="1"/>
  <c r="AK106" i="471"/>
  <c r="Q106" i="471"/>
  <c r="A106" i="471"/>
  <c r="BW105" i="471"/>
  <c r="BV105" i="471"/>
  <c r="BU105" i="471"/>
  <c r="BS105" i="471"/>
  <c r="BR105" i="471"/>
  <c r="BF105" i="471"/>
  <c r="BT105" i="471" s="1"/>
  <c r="AW105" i="471"/>
  <c r="AV105" i="471"/>
  <c r="AX105" i="471" s="1"/>
  <c r="BY105" i="471" s="1"/>
  <c r="AK105" i="471"/>
  <c r="Q105" i="471"/>
  <c r="A105" i="471"/>
  <c r="BW104" i="471"/>
  <c r="BV104" i="471"/>
  <c r="BU104" i="471"/>
  <c r="BS104" i="471"/>
  <c r="BR104" i="471"/>
  <c r="BX104" i="471" s="1"/>
  <c r="BZ104" i="471" s="1"/>
  <c r="BF104" i="471"/>
  <c r="BT104" i="471" s="1"/>
  <c r="AW104" i="471"/>
  <c r="AV104" i="471"/>
  <c r="AK104" i="471"/>
  <c r="Q104" i="471"/>
  <c r="A104" i="471"/>
  <c r="BW103" i="471"/>
  <c r="BV103" i="471"/>
  <c r="BU103" i="471"/>
  <c r="BS103" i="471"/>
  <c r="BR103" i="471"/>
  <c r="BX103" i="471" s="1"/>
  <c r="BZ103" i="471" s="1"/>
  <c r="BF103" i="471"/>
  <c r="BT103" i="471"/>
  <c r="AW103" i="471"/>
  <c r="AV103" i="471"/>
  <c r="AK103" i="471"/>
  <c r="AK129" i="471" s="1"/>
  <c r="Q103" i="471"/>
  <c r="A103" i="471"/>
  <c r="BW102" i="471"/>
  <c r="BV102" i="471"/>
  <c r="BS102" i="471"/>
  <c r="BR102" i="471"/>
  <c r="BF102" i="471"/>
  <c r="AW102" i="471"/>
  <c r="AX102" i="471" s="1"/>
  <c r="BY102" i="471" s="1"/>
  <c r="AV102" i="471"/>
  <c r="AL102" i="471"/>
  <c r="Q102" i="471"/>
  <c r="A102" i="471"/>
  <c r="BW101" i="471"/>
  <c r="BV101" i="471"/>
  <c r="BU101" i="471"/>
  <c r="BT101" i="471"/>
  <c r="BS101" i="471"/>
  <c r="BR101" i="471"/>
  <c r="AW101" i="471"/>
  <c r="AV101" i="471"/>
  <c r="AL101" i="471"/>
  <c r="AL129" i="471"/>
  <c r="Q101" i="471"/>
  <c r="A101" i="471"/>
  <c r="BW100" i="471"/>
  <c r="BV100" i="471"/>
  <c r="BU100" i="471"/>
  <c r="BT100" i="471"/>
  <c r="BS100" i="471"/>
  <c r="BR100" i="471"/>
  <c r="AW100" i="471"/>
  <c r="AV100" i="471"/>
  <c r="AJ100" i="471"/>
  <c r="AJ129" i="471" s="1"/>
  <c r="A100" i="471"/>
  <c r="BW99" i="471"/>
  <c r="BX99" i="471" s="1"/>
  <c r="BV99" i="471"/>
  <c r="BU99" i="471"/>
  <c r="BT99" i="471"/>
  <c r="BS99" i="471"/>
  <c r="BR99" i="471"/>
  <c r="AW99" i="471"/>
  <c r="AV99" i="471"/>
  <c r="AJ99" i="471"/>
  <c r="A99" i="471"/>
  <c r="BW98" i="471"/>
  <c r="BV98" i="471"/>
  <c r="BX98" i="471" s="1"/>
  <c r="BZ98" i="471" s="1"/>
  <c r="BU98" i="471"/>
  <c r="BT98" i="471"/>
  <c r="BS98" i="471"/>
  <c r="BR98" i="471"/>
  <c r="AW98" i="471"/>
  <c r="AV98" i="471"/>
  <c r="AH98" i="471"/>
  <c r="A98" i="471"/>
  <c r="BW97" i="471"/>
  <c r="BV97" i="471"/>
  <c r="BU97" i="471"/>
  <c r="BT97" i="471"/>
  <c r="BS97" i="471"/>
  <c r="BR97" i="471"/>
  <c r="BX97" i="471" s="1"/>
  <c r="BZ97" i="471" s="1"/>
  <c r="AW97" i="471"/>
  <c r="AV97" i="471"/>
  <c r="AH97" i="471"/>
  <c r="A97" i="471"/>
  <c r="BW96" i="471"/>
  <c r="BV96" i="471"/>
  <c r="BU96" i="471"/>
  <c r="BT96" i="471"/>
  <c r="BX96" i="471" s="1"/>
  <c r="BS96" i="471"/>
  <c r="BR96" i="471"/>
  <c r="AW96" i="471"/>
  <c r="AV96" i="471"/>
  <c r="AX96" i="471" s="1"/>
  <c r="BY96" i="471" s="1"/>
  <c r="AH96" i="471"/>
  <c r="A96" i="471"/>
  <c r="BW95" i="471"/>
  <c r="BV95" i="471"/>
  <c r="BU95" i="471"/>
  <c r="BT95" i="471"/>
  <c r="BS95" i="471"/>
  <c r="BR95" i="471"/>
  <c r="BX95" i="471" s="1"/>
  <c r="AW95" i="471"/>
  <c r="AV95" i="471"/>
  <c r="AH95" i="471"/>
  <c r="A95" i="471"/>
  <c r="BW94" i="471"/>
  <c r="BV94" i="471"/>
  <c r="BU94" i="471"/>
  <c r="BS94" i="471"/>
  <c r="BR94" i="471"/>
  <c r="BF94" i="471"/>
  <c r="BT94" i="471" s="1"/>
  <c r="AW94" i="471"/>
  <c r="AV94" i="471"/>
  <c r="AX94" i="471" s="1"/>
  <c r="BY94" i="471" s="1"/>
  <c r="X94" i="471"/>
  <c r="Q94" i="471"/>
  <c r="A94" i="471"/>
  <c r="BW93" i="471"/>
  <c r="BV93" i="471"/>
  <c r="BU93" i="471"/>
  <c r="BS93" i="471"/>
  <c r="BR93" i="471"/>
  <c r="BF93" i="471"/>
  <c r="BT93" i="471" s="1"/>
  <c r="BX93" i="471" s="1"/>
  <c r="AW93" i="471"/>
  <c r="AV93" i="471"/>
  <c r="AX93" i="471" s="1"/>
  <c r="BY93" i="471" s="1"/>
  <c r="X93" i="471"/>
  <c r="Q93" i="471"/>
  <c r="A93" i="471"/>
  <c r="BW92" i="471"/>
  <c r="BV92" i="471"/>
  <c r="BU92" i="471"/>
  <c r="BS92" i="471"/>
  <c r="BR92" i="471"/>
  <c r="BF92" i="471"/>
  <c r="BT92" i="471" s="1"/>
  <c r="AW92" i="471"/>
  <c r="AX92" i="471" s="1"/>
  <c r="BY92" i="471" s="1"/>
  <c r="AV92" i="471"/>
  <c r="W92" i="471"/>
  <c r="Q92" i="471"/>
  <c r="A92" i="471"/>
  <c r="BW91" i="471"/>
  <c r="BV91" i="471"/>
  <c r="BU91" i="471"/>
  <c r="BS91" i="471"/>
  <c r="BR91" i="471"/>
  <c r="BX91" i="471" s="1"/>
  <c r="BZ91" i="471" s="1"/>
  <c r="BF91" i="471"/>
  <c r="BT91" i="471"/>
  <c r="AW91" i="471"/>
  <c r="AV91" i="471"/>
  <c r="R91" i="471"/>
  <c r="W91" i="471"/>
  <c r="Q91" i="471"/>
  <c r="A91" i="471"/>
  <c r="BW90" i="471"/>
  <c r="BV90" i="471"/>
  <c r="BU90" i="471"/>
  <c r="BS90" i="471"/>
  <c r="BR90" i="471"/>
  <c r="BF90" i="471"/>
  <c r="BT90" i="471"/>
  <c r="AW90" i="471"/>
  <c r="AV90" i="471"/>
  <c r="X90" i="471"/>
  <c r="W90" i="471"/>
  <c r="Q90" i="471"/>
  <c r="A90" i="471"/>
  <c r="BW89" i="471"/>
  <c r="BV89" i="471"/>
  <c r="BU89" i="471"/>
  <c r="BS89" i="471"/>
  <c r="BR89" i="471"/>
  <c r="BF89" i="471"/>
  <c r="BT89" i="471"/>
  <c r="AW89" i="471"/>
  <c r="AV89" i="471"/>
  <c r="W89" i="471"/>
  <c r="Q89" i="471"/>
  <c r="A89" i="471"/>
  <c r="BW88" i="471"/>
  <c r="BV88" i="471"/>
  <c r="BU88" i="471"/>
  <c r="BS88" i="471"/>
  <c r="BR88" i="471"/>
  <c r="BF88" i="471"/>
  <c r="BT88" i="471"/>
  <c r="AW88" i="471"/>
  <c r="AV88" i="471"/>
  <c r="W88" i="471"/>
  <c r="Q88" i="471"/>
  <c r="A88" i="471"/>
  <c r="BW87" i="471"/>
  <c r="BU87" i="471"/>
  <c r="BS87" i="471"/>
  <c r="BR87" i="471"/>
  <c r="BK87" i="471"/>
  <c r="BV87" i="471" s="1"/>
  <c r="BF87" i="471"/>
  <c r="BT87" i="471"/>
  <c r="BX87" i="471" s="1"/>
  <c r="BZ87" i="471" s="1"/>
  <c r="AW87" i="471"/>
  <c r="AV87" i="471"/>
  <c r="AX87" i="471" s="1"/>
  <c r="W87" i="471"/>
  <c r="Q87" i="471"/>
  <c r="A87" i="471"/>
  <c r="BW86" i="471"/>
  <c r="BV86" i="471"/>
  <c r="BU86" i="471"/>
  <c r="BS86" i="471"/>
  <c r="BR86" i="471"/>
  <c r="BF86" i="471"/>
  <c r="BT86" i="471"/>
  <c r="AW86" i="471"/>
  <c r="AV86" i="471"/>
  <c r="W86" i="471"/>
  <c r="Q86" i="471"/>
  <c r="A86" i="471"/>
  <c r="BW85" i="471"/>
  <c r="BV85" i="471"/>
  <c r="BU85" i="471"/>
  <c r="BX85" i="471" s="1"/>
  <c r="BZ85" i="471" s="1"/>
  <c r="BS85" i="471"/>
  <c r="BR85" i="471"/>
  <c r="BF85" i="471"/>
  <c r="BT85" i="471"/>
  <c r="AW85" i="471"/>
  <c r="AV85" i="471"/>
  <c r="W85" i="471"/>
  <c r="Q85" i="471"/>
  <c r="A85" i="471"/>
  <c r="BW84" i="471"/>
  <c r="BV84" i="471"/>
  <c r="BU84" i="471"/>
  <c r="BS84" i="471"/>
  <c r="BR84" i="471"/>
  <c r="BF84" i="471"/>
  <c r="BT84" i="471" s="1"/>
  <c r="AW84" i="471"/>
  <c r="AV84" i="471"/>
  <c r="W84" i="471"/>
  <c r="Q84" i="471"/>
  <c r="A84" i="471"/>
  <c r="BW83" i="471"/>
  <c r="BV83" i="471"/>
  <c r="BU83" i="471"/>
  <c r="BS83" i="471"/>
  <c r="BR83" i="471"/>
  <c r="BE83" i="471"/>
  <c r="BF83" i="471" s="1"/>
  <c r="BT83" i="471"/>
  <c r="BX83" i="471" s="1"/>
  <c r="AW83" i="471"/>
  <c r="AV83" i="471"/>
  <c r="W83" i="471"/>
  <c r="Q83" i="471"/>
  <c r="A83" i="471"/>
  <c r="BW82" i="471"/>
  <c r="BV82" i="471"/>
  <c r="BU82" i="471"/>
  <c r="BS82" i="471"/>
  <c r="BR82" i="471"/>
  <c r="BF82" i="471"/>
  <c r="BT82" i="471"/>
  <c r="AW82" i="471"/>
  <c r="AV82" i="471"/>
  <c r="X82" i="471"/>
  <c r="W82" i="471"/>
  <c r="Q82" i="471"/>
  <c r="A82" i="471"/>
  <c r="BW81" i="471"/>
  <c r="BV81" i="471"/>
  <c r="BU81" i="471"/>
  <c r="BS81" i="471"/>
  <c r="BR81" i="471"/>
  <c r="BF81" i="471"/>
  <c r="BT81" i="471" s="1"/>
  <c r="AW81" i="471"/>
  <c r="AV81" i="471"/>
  <c r="W81" i="471"/>
  <c r="Q81" i="471"/>
  <c r="A81" i="471"/>
  <c r="BW80" i="471"/>
  <c r="BV80" i="471"/>
  <c r="BU80" i="471"/>
  <c r="BX80" i="471" s="1"/>
  <c r="BS80" i="471"/>
  <c r="BR80" i="471"/>
  <c r="BF80" i="471"/>
  <c r="BT80" i="471" s="1"/>
  <c r="AW80" i="471"/>
  <c r="AX80" i="471" s="1"/>
  <c r="AV80" i="471"/>
  <c r="R80" i="471"/>
  <c r="W80" i="471" s="1"/>
  <c r="Q80" i="471"/>
  <c r="A80" i="471"/>
  <c r="BW79" i="471"/>
  <c r="BV79" i="471"/>
  <c r="BU79" i="471"/>
  <c r="BS79" i="471"/>
  <c r="BR79" i="471"/>
  <c r="BF79" i="471"/>
  <c r="BT79" i="471"/>
  <c r="AW79" i="471"/>
  <c r="AV79" i="471"/>
  <c r="W79" i="471"/>
  <c r="Q79" i="471"/>
  <c r="A79" i="471"/>
  <c r="BW78" i="471"/>
  <c r="BV78" i="471"/>
  <c r="BU78" i="471"/>
  <c r="BS78" i="471"/>
  <c r="BR78" i="471"/>
  <c r="BE78" i="471"/>
  <c r="BF78" i="471"/>
  <c r="BT78" i="471"/>
  <c r="BX78" i="471" s="1"/>
  <c r="AW78" i="471"/>
  <c r="AX78" i="471" s="1"/>
  <c r="BY78" i="471" s="1"/>
  <c r="AV78" i="471"/>
  <c r="W78" i="471"/>
  <c r="Q78" i="471"/>
  <c r="A78" i="471"/>
  <c r="BW77" i="471"/>
  <c r="BV77" i="471"/>
  <c r="BU77" i="471"/>
  <c r="BS77" i="471"/>
  <c r="BR77" i="471"/>
  <c r="BF77" i="471"/>
  <c r="BT77" i="471"/>
  <c r="AW77" i="471"/>
  <c r="AV77" i="471"/>
  <c r="W77" i="471"/>
  <c r="Q77" i="471"/>
  <c r="A77" i="471"/>
  <c r="BW76" i="471"/>
  <c r="BV76" i="471"/>
  <c r="BU76" i="471"/>
  <c r="BT76" i="471"/>
  <c r="BX76" i="471" s="1"/>
  <c r="BS76" i="471"/>
  <c r="BR76" i="471"/>
  <c r="AW76" i="471"/>
  <c r="AV76" i="471"/>
  <c r="Q76" i="471"/>
  <c r="BW75" i="471"/>
  <c r="BV75" i="471"/>
  <c r="BU75" i="471"/>
  <c r="BS75" i="471"/>
  <c r="BR75" i="471"/>
  <c r="BX75" i="471" s="1"/>
  <c r="BF75" i="471"/>
  <c r="BT75" i="471" s="1"/>
  <c r="AW75" i="471"/>
  <c r="AV75" i="471"/>
  <c r="W75" i="471"/>
  <c r="Q75" i="471"/>
  <c r="A75" i="471"/>
  <c r="BW74" i="471"/>
  <c r="BV74" i="471"/>
  <c r="BU74" i="471"/>
  <c r="BS74" i="471"/>
  <c r="BX74" i="471" s="1"/>
  <c r="BR74" i="471"/>
  <c r="BF74" i="471"/>
  <c r="BT74" i="471" s="1"/>
  <c r="AW74" i="471"/>
  <c r="AV74" i="471"/>
  <c r="W74" i="471"/>
  <c r="Q74" i="471"/>
  <c r="A74" i="471"/>
  <c r="BW73" i="471"/>
  <c r="BV73" i="471"/>
  <c r="BU73" i="471"/>
  <c r="BS73" i="471"/>
  <c r="BR73" i="471"/>
  <c r="BF73" i="471"/>
  <c r="BT73" i="471"/>
  <c r="AW73" i="471"/>
  <c r="AV73" i="471"/>
  <c r="AX73" i="471" s="1"/>
  <c r="BY73" i="471" s="1"/>
  <c r="BZ73" i="471" s="1"/>
  <c r="W73" i="471"/>
  <c r="Q73" i="471"/>
  <c r="A73" i="471"/>
  <c r="BW72" i="471"/>
  <c r="BX72" i="471" s="1"/>
  <c r="BZ72" i="471" s="1"/>
  <c r="BV72" i="471"/>
  <c r="BU72" i="471"/>
  <c r="BS72" i="471"/>
  <c r="BR72" i="471"/>
  <c r="BF72" i="471"/>
  <c r="BT72" i="471" s="1"/>
  <c r="AW72" i="471"/>
  <c r="AV72" i="471"/>
  <c r="X72" i="471"/>
  <c r="Q72" i="471"/>
  <c r="A72" i="471"/>
  <c r="BW71" i="471"/>
  <c r="BV71" i="471"/>
  <c r="BU71" i="471"/>
  <c r="BS71" i="471"/>
  <c r="BR71" i="471"/>
  <c r="BF71" i="471"/>
  <c r="BT71" i="471" s="1"/>
  <c r="AW71" i="471"/>
  <c r="AV71" i="471"/>
  <c r="X71" i="471"/>
  <c r="Q71" i="471"/>
  <c r="A71" i="471"/>
  <c r="BW70" i="471"/>
  <c r="BV70" i="471"/>
  <c r="BU70" i="471"/>
  <c r="BS70" i="471"/>
  <c r="BR70" i="471"/>
  <c r="BF70" i="471"/>
  <c r="BT70" i="471" s="1"/>
  <c r="AW70" i="471"/>
  <c r="AX70" i="471" s="1"/>
  <c r="BY70" i="471" s="1"/>
  <c r="AV70" i="471"/>
  <c r="X70" i="471"/>
  <c r="Q70" i="471"/>
  <c r="A70" i="471"/>
  <c r="BW69" i="471"/>
  <c r="BV69" i="471"/>
  <c r="BU69" i="471"/>
  <c r="BS69" i="471"/>
  <c r="BR69" i="471"/>
  <c r="BF69" i="471"/>
  <c r="BT69" i="471"/>
  <c r="AW69" i="471"/>
  <c r="AX69" i="471" s="1"/>
  <c r="BY69" i="471" s="1"/>
  <c r="AV69" i="471"/>
  <c r="R69" i="471"/>
  <c r="X69" i="471"/>
  <c r="Q69" i="471"/>
  <c r="A69" i="471"/>
  <c r="BW68" i="471"/>
  <c r="BV68" i="471"/>
  <c r="BU68" i="471"/>
  <c r="BS68" i="471"/>
  <c r="BR68" i="471"/>
  <c r="BF68" i="471"/>
  <c r="BT68" i="471" s="1"/>
  <c r="AW68" i="471"/>
  <c r="AX68" i="471" s="1"/>
  <c r="BY68" i="471" s="1"/>
  <c r="AV68" i="471"/>
  <c r="X68" i="471"/>
  <c r="Q68" i="471"/>
  <c r="A68" i="471"/>
  <c r="BW67" i="471"/>
  <c r="BV67" i="471"/>
  <c r="BU67" i="471"/>
  <c r="BS67" i="471"/>
  <c r="BX67" i="471" s="1"/>
  <c r="BR67" i="471"/>
  <c r="BF67" i="471"/>
  <c r="BT67" i="471"/>
  <c r="AW67" i="471"/>
  <c r="AV67" i="471"/>
  <c r="X67" i="471"/>
  <c r="Q67" i="471"/>
  <c r="A67" i="471"/>
  <c r="BW66" i="471"/>
  <c r="BV66" i="471"/>
  <c r="BU66" i="471"/>
  <c r="BS66" i="471"/>
  <c r="BR66" i="471"/>
  <c r="BF66" i="471"/>
  <c r="BT66" i="471"/>
  <c r="AW66" i="471"/>
  <c r="AX66" i="471" s="1"/>
  <c r="BY66" i="471" s="1"/>
  <c r="AV66" i="471"/>
  <c r="W66" i="471"/>
  <c r="Q66" i="471"/>
  <c r="A66" i="471"/>
  <c r="BW65" i="471"/>
  <c r="BV65" i="471"/>
  <c r="BU65" i="471"/>
  <c r="BS65" i="471"/>
  <c r="BR65" i="471"/>
  <c r="BF65" i="471"/>
  <c r="BT65" i="471"/>
  <c r="AW65" i="471"/>
  <c r="AX65" i="471" s="1"/>
  <c r="AV65" i="471"/>
  <c r="X65" i="471"/>
  <c r="Q65" i="471"/>
  <c r="A65" i="471"/>
  <c r="BW64" i="471"/>
  <c r="BV64" i="471"/>
  <c r="BU64" i="471"/>
  <c r="BS64" i="471"/>
  <c r="BR64" i="471"/>
  <c r="BF64" i="471"/>
  <c r="BT64" i="471"/>
  <c r="AW64" i="471"/>
  <c r="AX64" i="471" s="1"/>
  <c r="BY64" i="471" s="1"/>
  <c r="AV64" i="471"/>
  <c r="X64" i="471"/>
  <c r="Q64" i="471"/>
  <c r="A64" i="471"/>
  <c r="BW63" i="471"/>
  <c r="BV63" i="471"/>
  <c r="BU63" i="471"/>
  <c r="BS63" i="471"/>
  <c r="BR63" i="471"/>
  <c r="BF63" i="471"/>
  <c r="BT63" i="471" s="1"/>
  <c r="AW63" i="471"/>
  <c r="AV63" i="471"/>
  <c r="X63" i="471"/>
  <c r="Q63" i="471"/>
  <c r="A63" i="471"/>
  <c r="BW62" i="471"/>
  <c r="BV62" i="471"/>
  <c r="BU62" i="471"/>
  <c r="BS62" i="471"/>
  <c r="BR62" i="471"/>
  <c r="BX62" i="471" s="1"/>
  <c r="BZ62" i="471" s="1"/>
  <c r="BF62" i="471"/>
  <c r="BT62" i="471" s="1"/>
  <c r="AW62" i="471"/>
  <c r="AX62" i="471" s="1"/>
  <c r="BY62" i="471" s="1"/>
  <c r="AV62" i="471"/>
  <c r="X62" i="471"/>
  <c r="Q62" i="471"/>
  <c r="A62" i="471"/>
  <c r="BW61" i="471"/>
  <c r="BV61" i="471"/>
  <c r="BU61" i="471"/>
  <c r="BS61" i="471"/>
  <c r="BR61" i="471"/>
  <c r="BF61" i="471"/>
  <c r="BT61" i="471"/>
  <c r="AW61" i="471"/>
  <c r="AV61" i="471"/>
  <c r="W61" i="471"/>
  <c r="A61" i="471"/>
  <c r="BW60" i="471"/>
  <c r="BV60" i="471"/>
  <c r="BU60" i="471"/>
  <c r="BX60" i="471" s="1"/>
  <c r="BZ60" i="471" s="1"/>
  <c r="BS60" i="471"/>
  <c r="BR60" i="471"/>
  <c r="BF60" i="471"/>
  <c r="BT60" i="471" s="1"/>
  <c r="AW60" i="471"/>
  <c r="AV60" i="471"/>
  <c r="X60" i="471"/>
  <c r="Q60" i="471"/>
  <c r="A60" i="471"/>
  <c r="BW59" i="471"/>
  <c r="BV59" i="471"/>
  <c r="BU59" i="471"/>
  <c r="BS59" i="471"/>
  <c r="BR59" i="471"/>
  <c r="BF59" i="471"/>
  <c r="BT59" i="471" s="1"/>
  <c r="BX59" i="471" s="1"/>
  <c r="AW59" i="471"/>
  <c r="AV59" i="471"/>
  <c r="W59" i="471"/>
  <c r="Q59" i="471"/>
  <c r="A59" i="471"/>
  <c r="BW58" i="471"/>
  <c r="BV58" i="471"/>
  <c r="BU58" i="471"/>
  <c r="BS58" i="471"/>
  <c r="BR58" i="471"/>
  <c r="BF58" i="471"/>
  <c r="BT58" i="471"/>
  <c r="BX58" i="471" s="1"/>
  <c r="AW58" i="471"/>
  <c r="AV58" i="471"/>
  <c r="W58" i="471"/>
  <c r="A58" i="471"/>
  <c r="BW57" i="471"/>
  <c r="BV57" i="471"/>
  <c r="BU57" i="471"/>
  <c r="BS57" i="471"/>
  <c r="BR57" i="471"/>
  <c r="BF57" i="471"/>
  <c r="BT57" i="471"/>
  <c r="AW57" i="471"/>
  <c r="AV57" i="471"/>
  <c r="W57" i="471"/>
  <c r="Q57" i="471"/>
  <c r="A57" i="471"/>
  <c r="BW56" i="471"/>
  <c r="BV56" i="471"/>
  <c r="BU56" i="471"/>
  <c r="BS56" i="471"/>
  <c r="BR56" i="471"/>
  <c r="BF56" i="471"/>
  <c r="BT56" i="471"/>
  <c r="AW56" i="471"/>
  <c r="AV56" i="471"/>
  <c r="AX56" i="471" s="1"/>
  <c r="W56" i="471"/>
  <c r="Q56" i="471"/>
  <c r="A56" i="471"/>
  <c r="BW55" i="471"/>
  <c r="BV55" i="471"/>
  <c r="BU55" i="471"/>
  <c r="BS55" i="471"/>
  <c r="BR55" i="471"/>
  <c r="BX55" i="471" s="1"/>
  <c r="BZ55" i="471" s="1"/>
  <c r="BF55" i="471"/>
  <c r="BT55" i="471" s="1"/>
  <c r="AW55" i="471"/>
  <c r="AV55" i="471"/>
  <c r="W55" i="471"/>
  <c r="Q55" i="471"/>
  <c r="A55" i="471"/>
  <c r="BW54" i="471"/>
  <c r="BV54" i="471"/>
  <c r="BU54" i="471"/>
  <c r="BS54" i="471"/>
  <c r="BR54" i="471"/>
  <c r="BF54" i="471"/>
  <c r="BT54" i="471"/>
  <c r="AW54" i="471"/>
  <c r="AV54" i="471"/>
  <c r="X54" i="471"/>
  <c r="W54" i="471"/>
  <c r="Q54" i="471"/>
  <c r="A54" i="471"/>
  <c r="BW53" i="471"/>
  <c r="BV53" i="471"/>
  <c r="BU53" i="471"/>
  <c r="BS53" i="471"/>
  <c r="BR53" i="471"/>
  <c r="BF53" i="471"/>
  <c r="BT53" i="471" s="1"/>
  <c r="AW53" i="471"/>
  <c r="AX53" i="471" s="1"/>
  <c r="BY53" i="471" s="1"/>
  <c r="AV53" i="471"/>
  <c r="X53" i="471"/>
  <c r="W53" i="471"/>
  <c r="Q53" i="471"/>
  <c r="A53" i="471"/>
  <c r="BW52" i="471"/>
  <c r="BV52" i="471"/>
  <c r="BU52" i="471"/>
  <c r="BS52" i="471"/>
  <c r="BR52" i="471"/>
  <c r="BF52" i="471"/>
  <c r="BT52" i="471"/>
  <c r="AW52" i="471"/>
  <c r="AX52" i="471" s="1"/>
  <c r="AV52" i="471"/>
  <c r="W52" i="471"/>
  <c r="Q52" i="471"/>
  <c r="A52" i="471"/>
  <c r="BW51" i="471"/>
  <c r="BV51" i="471"/>
  <c r="BU51" i="471"/>
  <c r="BX51" i="471" s="1"/>
  <c r="BZ51" i="471" s="1"/>
  <c r="BS51" i="471"/>
  <c r="BR51" i="471"/>
  <c r="BF51" i="471"/>
  <c r="BT51" i="471"/>
  <c r="AW51" i="471"/>
  <c r="AX51" i="471" s="1"/>
  <c r="BY51" i="471" s="1"/>
  <c r="AV51" i="471"/>
  <c r="X51" i="471"/>
  <c r="W51" i="471"/>
  <c r="Q51" i="471"/>
  <c r="A51" i="471"/>
  <c r="BW50" i="471"/>
  <c r="BV50" i="471"/>
  <c r="BU50" i="471"/>
  <c r="BX50" i="471" s="1"/>
  <c r="BZ50" i="471" s="1"/>
  <c r="BS50" i="471"/>
  <c r="BR50" i="471"/>
  <c r="BF50" i="471"/>
  <c r="BT50" i="471" s="1"/>
  <c r="AW50" i="471"/>
  <c r="AV50" i="471"/>
  <c r="W50" i="471"/>
  <c r="Q50" i="471"/>
  <c r="A50" i="471"/>
  <c r="BW49" i="471"/>
  <c r="BV49" i="471"/>
  <c r="BU49" i="471"/>
  <c r="BS49" i="471"/>
  <c r="BR49" i="471"/>
  <c r="BF49" i="471"/>
  <c r="BT49" i="471" s="1"/>
  <c r="AW49" i="471"/>
  <c r="AV49" i="471"/>
  <c r="X49" i="471"/>
  <c r="W49" i="471"/>
  <c r="Q49" i="471"/>
  <c r="A49" i="471"/>
  <c r="BW48" i="471"/>
  <c r="BV48" i="471"/>
  <c r="BU48" i="471"/>
  <c r="BS48" i="471"/>
  <c r="BR48" i="471"/>
  <c r="BX48" i="471" s="1"/>
  <c r="BZ48" i="471" s="1"/>
  <c r="BF48" i="471"/>
  <c r="BT48" i="471" s="1"/>
  <c r="AW48" i="471"/>
  <c r="AV48" i="471"/>
  <c r="X48" i="471"/>
  <c r="W48" i="471"/>
  <c r="Q48" i="471"/>
  <c r="A48" i="471"/>
  <c r="BW47" i="471"/>
  <c r="BV47" i="471"/>
  <c r="BU47" i="471"/>
  <c r="BS47" i="471"/>
  <c r="BR47" i="471"/>
  <c r="BF47" i="471"/>
  <c r="BT47" i="471" s="1"/>
  <c r="AW47" i="471"/>
  <c r="AV47" i="471"/>
  <c r="AX47" i="471" s="1"/>
  <c r="BY47" i="471" s="1"/>
  <c r="W47" i="471"/>
  <c r="Q47" i="471"/>
  <c r="A47" i="471"/>
  <c r="BW46" i="471"/>
  <c r="BV46" i="471"/>
  <c r="BU46" i="471"/>
  <c r="BS46" i="471"/>
  <c r="BR46" i="471"/>
  <c r="BF46" i="471"/>
  <c r="BT46" i="471" s="1"/>
  <c r="AW46" i="471"/>
  <c r="AV46" i="471"/>
  <c r="X46" i="471"/>
  <c r="Q46" i="471"/>
  <c r="A46" i="471"/>
  <c r="BW45" i="471"/>
  <c r="BV45" i="471"/>
  <c r="BU45" i="471"/>
  <c r="BS45" i="471"/>
  <c r="BR45" i="471"/>
  <c r="BF45" i="471"/>
  <c r="BT45" i="471" s="1"/>
  <c r="AW45" i="471"/>
  <c r="AX45" i="471" s="1"/>
  <c r="AV45" i="471"/>
  <c r="X45" i="471"/>
  <c r="W45" i="471"/>
  <c r="Q45" i="471"/>
  <c r="A45" i="471"/>
  <c r="BW44" i="471"/>
  <c r="BV44" i="471"/>
  <c r="BU44" i="471"/>
  <c r="BS44" i="471"/>
  <c r="BR44" i="471"/>
  <c r="BF44" i="471"/>
  <c r="BT44" i="471" s="1"/>
  <c r="AW44" i="471"/>
  <c r="AV44" i="471"/>
  <c r="W44" i="471"/>
  <c r="Q44" i="471"/>
  <c r="A44" i="471"/>
  <c r="BW43" i="471"/>
  <c r="BV43" i="471"/>
  <c r="BU43" i="471"/>
  <c r="BS43" i="471"/>
  <c r="BR43" i="471"/>
  <c r="BF43" i="471"/>
  <c r="BT43" i="471"/>
  <c r="AW43" i="471"/>
  <c r="AV43" i="471"/>
  <c r="AX43" i="471" s="1"/>
  <c r="BY43" i="471" s="1"/>
  <c r="R43" i="471"/>
  <c r="W43" i="471"/>
  <c r="Q43" i="471"/>
  <c r="A43" i="471"/>
  <c r="BW42" i="471"/>
  <c r="BV42" i="471"/>
  <c r="BU42" i="471"/>
  <c r="BT42" i="471"/>
  <c r="BS42" i="471"/>
  <c r="BR42" i="471"/>
  <c r="BX42" i="471"/>
  <c r="AW42" i="471"/>
  <c r="AX42" i="471" s="1"/>
  <c r="BY42" i="471" s="1"/>
  <c r="AV42" i="471"/>
  <c r="Q42" i="471"/>
  <c r="BW41" i="471"/>
  <c r="BV41" i="471"/>
  <c r="BU41" i="471"/>
  <c r="BS41" i="471"/>
  <c r="BR41" i="471"/>
  <c r="BF41" i="471"/>
  <c r="BT41" i="471" s="1"/>
  <c r="BX41" i="471" s="1"/>
  <c r="BZ41" i="471" s="1"/>
  <c r="AW41" i="471"/>
  <c r="AX41" i="471" s="1"/>
  <c r="BY41" i="471" s="1"/>
  <c r="AV41" i="471"/>
  <c r="W41" i="471"/>
  <c r="Q41" i="471"/>
  <c r="A41" i="471"/>
  <c r="BW40" i="471"/>
  <c r="BV40" i="471"/>
  <c r="BU40" i="471"/>
  <c r="BS40" i="471"/>
  <c r="BR40" i="471"/>
  <c r="BF40" i="471"/>
  <c r="BT40" i="471" s="1"/>
  <c r="AW40" i="471"/>
  <c r="AV40" i="471"/>
  <c r="R40" i="471"/>
  <c r="W40" i="471" s="1"/>
  <c r="Q40" i="471"/>
  <c r="A40" i="471"/>
  <c r="BW39" i="471"/>
  <c r="BV39" i="471"/>
  <c r="BU39" i="471"/>
  <c r="BT39" i="471"/>
  <c r="BS39" i="471"/>
  <c r="BR39" i="471"/>
  <c r="AW39" i="471"/>
  <c r="AV39" i="471"/>
  <c r="Q39" i="471"/>
  <c r="BW38" i="471"/>
  <c r="BV38" i="471"/>
  <c r="BU38" i="471"/>
  <c r="BT38" i="471"/>
  <c r="BS38" i="471"/>
  <c r="BR38" i="471"/>
  <c r="AW38" i="471"/>
  <c r="AV38" i="471"/>
  <c r="Q38" i="471"/>
  <c r="BW37" i="471"/>
  <c r="BV37" i="471"/>
  <c r="BU37" i="471"/>
  <c r="BS37" i="471"/>
  <c r="BR37" i="471"/>
  <c r="BF37" i="471"/>
  <c r="BT37" i="471"/>
  <c r="AW37" i="471"/>
  <c r="AV37" i="471"/>
  <c r="W37" i="471"/>
  <c r="Q37" i="471"/>
  <c r="A37" i="471"/>
  <c r="BW36" i="471"/>
  <c r="BV36" i="471"/>
  <c r="BU36" i="471"/>
  <c r="BS36" i="471"/>
  <c r="BR36" i="471"/>
  <c r="BF36" i="471"/>
  <c r="BT36" i="471"/>
  <c r="AW36" i="471"/>
  <c r="AX36" i="471" s="1"/>
  <c r="BY36" i="471" s="1"/>
  <c r="AV36" i="471"/>
  <c r="X36" i="471"/>
  <c r="Q36" i="471"/>
  <c r="A36" i="471"/>
  <c r="BW35" i="471"/>
  <c r="BV35" i="471"/>
  <c r="BU35" i="471"/>
  <c r="BS35" i="471"/>
  <c r="BR35" i="471"/>
  <c r="BF35" i="471"/>
  <c r="BT35" i="471"/>
  <c r="AW35" i="471"/>
  <c r="AV35" i="471"/>
  <c r="W35" i="471"/>
  <c r="Q35" i="471"/>
  <c r="A35" i="471"/>
  <c r="BW34" i="471"/>
  <c r="BV34" i="471"/>
  <c r="BU34" i="471"/>
  <c r="BS34" i="471"/>
  <c r="BR34" i="471"/>
  <c r="BF34" i="471"/>
  <c r="BT34" i="471"/>
  <c r="BX34" i="471" s="1"/>
  <c r="BZ34" i="471" s="1"/>
  <c r="AW34" i="471"/>
  <c r="AX34" i="471" s="1"/>
  <c r="AV34" i="471"/>
  <c r="X34" i="471"/>
  <c r="Q34" i="471"/>
  <c r="A34" i="471"/>
  <c r="BW33" i="471"/>
  <c r="BV33" i="471"/>
  <c r="BU33" i="471"/>
  <c r="BS33" i="471"/>
  <c r="BR33" i="471"/>
  <c r="BF33" i="471"/>
  <c r="BT33" i="471" s="1"/>
  <c r="AW33" i="471"/>
  <c r="AV33" i="471"/>
  <c r="W33" i="471"/>
  <c r="Q33" i="471"/>
  <c r="A33" i="471"/>
  <c r="BW32" i="471"/>
  <c r="BV32" i="471"/>
  <c r="BU32" i="471"/>
  <c r="BS32" i="471"/>
  <c r="BR32" i="471"/>
  <c r="BX32" i="471" s="1"/>
  <c r="BZ32" i="471" s="1"/>
  <c r="BF32" i="471"/>
  <c r="BT32" i="471" s="1"/>
  <c r="AW32" i="471"/>
  <c r="AX32" i="471" s="1"/>
  <c r="BY32" i="471" s="1"/>
  <c r="AV32" i="471"/>
  <c r="W32" i="471"/>
  <c r="Q32" i="471"/>
  <c r="A32" i="471"/>
  <c r="BW31" i="471"/>
  <c r="BV31" i="471"/>
  <c r="BX31" i="471" s="1"/>
  <c r="BZ31" i="471" s="1"/>
  <c r="BU31" i="471"/>
  <c r="BS31" i="471"/>
  <c r="BR31" i="471"/>
  <c r="BF31" i="471"/>
  <c r="BT31" i="471"/>
  <c r="AW31" i="471"/>
  <c r="AV31" i="471"/>
  <c r="X31" i="471"/>
  <c r="Q31" i="471"/>
  <c r="A31" i="471"/>
  <c r="BW30" i="471"/>
  <c r="BV30" i="471"/>
  <c r="BU30" i="471"/>
  <c r="BS30" i="471"/>
  <c r="BR30" i="471"/>
  <c r="BF30" i="471"/>
  <c r="BT30" i="471"/>
  <c r="AW30" i="471"/>
  <c r="AV30" i="471"/>
  <c r="W30" i="471"/>
  <c r="Q30" i="471"/>
  <c r="A30" i="471"/>
  <c r="BW29" i="471"/>
  <c r="BV29" i="471"/>
  <c r="BU29" i="471"/>
  <c r="BS29" i="471"/>
  <c r="BR29" i="471"/>
  <c r="BF29" i="471"/>
  <c r="BT29" i="471"/>
  <c r="AW29" i="471"/>
  <c r="AV29" i="471"/>
  <c r="W29" i="471"/>
  <c r="W129" i="471" s="1"/>
  <c r="Q29" i="471"/>
  <c r="A29" i="471"/>
  <c r="BW28" i="471"/>
  <c r="BV28" i="471"/>
  <c r="BU28" i="471"/>
  <c r="BS28" i="471"/>
  <c r="BR28" i="471"/>
  <c r="BF28" i="471"/>
  <c r="BT28" i="471" s="1"/>
  <c r="AW28" i="471"/>
  <c r="AV28" i="471"/>
  <c r="R28" i="471"/>
  <c r="X28" i="471"/>
  <c r="Q28" i="471"/>
  <c r="A28" i="471"/>
  <c r="BW27" i="471"/>
  <c r="BV27" i="471"/>
  <c r="BU27" i="471"/>
  <c r="BS27" i="471"/>
  <c r="BR27" i="471"/>
  <c r="BX27" i="471" s="1"/>
  <c r="BZ27" i="471" s="1"/>
  <c r="BF27" i="471"/>
  <c r="BT27" i="471" s="1"/>
  <c r="AW27" i="471"/>
  <c r="AV27" i="471"/>
  <c r="R27" i="471"/>
  <c r="Q27" i="471"/>
  <c r="A27" i="471"/>
  <c r="BW26" i="471"/>
  <c r="BV26" i="471"/>
  <c r="BU26" i="471"/>
  <c r="BS26" i="471"/>
  <c r="BR26" i="471"/>
  <c r="BF26" i="471"/>
  <c r="BT26" i="471"/>
  <c r="AW26" i="471"/>
  <c r="AV26" i="471"/>
  <c r="X26" i="471"/>
  <c r="Q26" i="471"/>
  <c r="A26" i="471"/>
  <c r="BW25" i="471"/>
  <c r="BV25" i="471"/>
  <c r="BU25" i="471"/>
  <c r="BS25" i="471"/>
  <c r="BR25" i="471"/>
  <c r="BF25" i="471"/>
  <c r="BT25" i="471" s="1"/>
  <c r="AW25" i="471"/>
  <c r="AV25" i="471"/>
  <c r="X25" i="471"/>
  <c r="W25" i="471"/>
  <c r="Q25" i="471"/>
  <c r="A25" i="471"/>
  <c r="BW24" i="471"/>
  <c r="BV24" i="471"/>
  <c r="BU24" i="471"/>
  <c r="BS24" i="471"/>
  <c r="BR24" i="471"/>
  <c r="BF24" i="471"/>
  <c r="BT24" i="471"/>
  <c r="AW24" i="471"/>
  <c r="AV24" i="471"/>
  <c r="X24" i="471"/>
  <c r="Q24" i="471"/>
  <c r="A24" i="471"/>
  <c r="BW23" i="471"/>
  <c r="BV23" i="471"/>
  <c r="BU23" i="471"/>
  <c r="BS23" i="471"/>
  <c r="BR23" i="471"/>
  <c r="BF23" i="471"/>
  <c r="BT23" i="471" s="1"/>
  <c r="AW23" i="471"/>
  <c r="AV23" i="471"/>
  <c r="X23" i="471"/>
  <c r="Q23" i="471"/>
  <c r="A23" i="471"/>
  <c r="BW22" i="471"/>
  <c r="BV22" i="471"/>
  <c r="BU22" i="471"/>
  <c r="BS22" i="471"/>
  <c r="BR22" i="471"/>
  <c r="BF22" i="471"/>
  <c r="BT22" i="471" s="1"/>
  <c r="AW22" i="471"/>
  <c r="AV22" i="471"/>
  <c r="AX22" i="471" s="1"/>
  <c r="X22" i="471"/>
  <c r="Q22" i="471"/>
  <c r="A22" i="471"/>
  <c r="BW21" i="471"/>
  <c r="BV21" i="471"/>
  <c r="BU21" i="471"/>
  <c r="BS21" i="471"/>
  <c r="BR21" i="471"/>
  <c r="BX21" i="471" s="1"/>
  <c r="BZ21" i="471" s="1"/>
  <c r="BF21" i="471"/>
  <c r="BT21" i="471"/>
  <c r="AW21" i="471"/>
  <c r="AV21" i="471"/>
  <c r="X21" i="471"/>
  <c r="W21" i="471"/>
  <c r="Q21" i="471"/>
  <c r="A21" i="471"/>
  <c r="BW20" i="471"/>
  <c r="BV20" i="471"/>
  <c r="BU20" i="471"/>
  <c r="BS20" i="471"/>
  <c r="BR20" i="471"/>
  <c r="BF20" i="471"/>
  <c r="BT20" i="471" s="1"/>
  <c r="AW20" i="471"/>
  <c r="AX20" i="471" s="1"/>
  <c r="BY20" i="471" s="1"/>
  <c r="AV20" i="471"/>
  <c r="X20" i="471"/>
  <c r="Q20" i="471"/>
  <c r="A20" i="471"/>
  <c r="BW19" i="471"/>
  <c r="BV19" i="471"/>
  <c r="BU19" i="471"/>
  <c r="BS19" i="471"/>
  <c r="BR19" i="471"/>
  <c r="BF19" i="471"/>
  <c r="BT19" i="471"/>
  <c r="AW19" i="471"/>
  <c r="AV19" i="471"/>
  <c r="X19" i="471"/>
  <c r="Q19" i="471"/>
  <c r="A19" i="471"/>
  <c r="BW18" i="471"/>
  <c r="BV18" i="471"/>
  <c r="BU18" i="471"/>
  <c r="BS18" i="471"/>
  <c r="BR18" i="471"/>
  <c r="BF18" i="471"/>
  <c r="BT18" i="471" s="1"/>
  <c r="AW18" i="471"/>
  <c r="AV18" i="471"/>
  <c r="AX18" i="471" s="1"/>
  <c r="BY18" i="471" s="1"/>
  <c r="X18" i="471"/>
  <c r="Q18" i="471"/>
  <c r="A18" i="471"/>
  <c r="BW17" i="471"/>
  <c r="BV17" i="471"/>
  <c r="BU17" i="471"/>
  <c r="BS17" i="471"/>
  <c r="BR17" i="471"/>
  <c r="BF17" i="471"/>
  <c r="BT17" i="471" s="1"/>
  <c r="AW17" i="471"/>
  <c r="AV17" i="471"/>
  <c r="X17" i="471"/>
  <c r="Q17" i="471"/>
  <c r="A17" i="471"/>
  <c r="BW16" i="471"/>
  <c r="BV16" i="471"/>
  <c r="BU16" i="471"/>
  <c r="BS16" i="471"/>
  <c r="BR16" i="471"/>
  <c r="BF16" i="471"/>
  <c r="BT16" i="471" s="1"/>
  <c r="BX16" i="471" s="1"/>
  <c r="BZ16" i="471" s="1"/>
  <c r="AW16" i="471"/>
  <c r="AV16" i="471"/>
  <c r="X16" i="471"/>
  <c r="Q16" i="471"/>
  <c r="A16" i="471"/>
  <c r="BW15" i="471"/>
  <c r="BV15" i="471"/>
  <c r="BU15" i="471"/>
  <c r="BS15" i="471"/>
  <c r="BR15" i="471"/>
  <c r="BF15" i="471"/>
  <c r="BT15" i="471"/>
  <c r="AW15" i="471"/>
  <c r="AV15" i="471"/>
  <c r="AX15" i="471" s="1"/>
  <c r="BY15" i="471" s="1"/>
  <c r="X15" i="471"/>
  <c r="Q15" i="471"/>
  <c r="A15" i="471"/>
  <c r="BW14" i="471"/>
  <c r="BV14" i="471"/>
  <c r="BU14" i="471"/>
  <c r="BS14" i="471"/>
  <c r="BR14" i="471"/>
  <c r="BF14" i="471"/>
  <c r="BT14" i="471"/>
  <c r="AW14" i="471"/>
  <c r="AV14" i="471"/>
  <c r="W14" i="471"/>
  <c r="Q14" i="471"/>
  <c r="A14" i="471"/>
  <c r="BW13" i="471"/>
  <c r="BV13" i="471"/>
  <c r="BU13" i="471"/>
  <c r="BS13" i="471"/>
  <c r="BR13" i="471"/>
  <c r="BF13" i="471"/>
  <c r="BT13" i="471" s="1"/>
  <c r="AW13" i="471"/>
  <c r="AV13" i="471"/>
  <c r="X13" i="471"/>
  <c r="Q13" i="471"/>
  <c r="A13" i="471"/>
  <c r="BW12" i="471"/>
  <c r="BV12" i="471"/>
  <c r="BU12" i="471"/>
  <c r="BS12" i="471"/>
  <c r="BR12" i="471"/>
  <c r="BF12" i="471"/>
  <c r="BT12" i="471" s="1"/>
  <c r="AW12" i="471"/>
  <c r="AV12" i="471"/>
  <c r="W12" i="471"/>
  <c r="Q12" i="471"/>
  <c r="A12" i="471"/>
  <c r="BW11" i="471"/>
  <c r="BV11" i="471"/>
  <c r="BU11" i="471"/>
  <c r="BS11" i="471"/>
  <c r="BR11" i="471"/>
  <c r="BF11" i="471"/>
  <c r="BT11" i="471" s="1"/>
  <c r="AW11" i="471"/>
  <c r="AV11" i="471"/>
  <c r="AX11" i="471" s="1"/>
  <c r="AN11" i="471"/>
  <c r="Q11" i="471"/>
  <c r="A11" i="471"/>
  <c r="BW10" i="471"/>
  <c r="BV10" i="471"/>
  <c r="BU10" i="471"/>
  <c r="BS10" i="471"/>
  <c r="BR10" i="471"/>
  <c r="BF10" i="471"/>
  <c r="BT10" i="471"/>
  <c r="AW10" i="471"/>
  <c r="AV10" i="471"/>
  <c r="AN10" i="471"/>
  <c r="Q10" i="471"/>
  <c r="A10" i="471"/>
  <c r="BW9" i="471"/>
  <c r="BV9" i="471"/>
  <c r="BU9" i="471"/>
  <c r="BS9" i="471"/>
  <c r="BR9" i="471"/>
  <c r="BF9" i="471"/>
  <c r="BT9" i="471"/>
  <c r="AW9" i="471"/>
  <c r="AV9" i="471"/>
  <c r="AN9" i="471"/>
  <c r="Q9" i="471"/>
  <c r="A9" i="471"/>
  <c r="BW8" i="471"/>
  <c r="BV8" i="471"/>
  <c r="BU8" i="471"/>
  <c r="BS8" i="471"/>
  <c r="BR8" i="471"/>
  <c r="BX8" i="471" s="1"/>
  <c r="BZ8" i="471" s="1"/>
  <c r="BF8" i="471"/>
  <c r="BT8" i="471"/>
  <c r="AW8" i="471"/>
  <c r="AX8" i="471" s="1"/>
  <c r="BY8" i="471" s="1"/>
  <c r="AV8" i="471"/>
  <c r="AN8" i="471"/>
  <c r="Q8" i="471"/>
  <c r="A8" i="471"/>
  <c r="BW7" i="471"/>
  <c r="BV7" i="471"/>
  <c r="BU7" i="471"/>
  <c r="BS7" i="471"/>
  <c r="BR7" i="471"/>
  <c r="BF7" i="471"/>
  <c r="BT7" i="471"/>
  <c r="AW7" i="471"/>
  <c r="AV7" i="471"/>
  <c r="AN7" i="471"/>
  <c r="AN129" i="471" s="1"/>
  <c r="Q7" i="471"/>
  <c r="A7" i="471"/>
  <c r="BW6" i="471"/>
  <c r="BV6" i="471"/>
  <c r="BU6" i="471"/>
  <c r="BS6" i="471"/>
  <c r="BR6" i="471"/>
  <c r="BF6" i="471"/>
  <c r="BT6" i="471" s="1"/>
  <c r="AW6" i="471"/>
  <c r="AV6" i="471"/>
  <c r="AN6" i="471"/>
  <c r="Q6" i="471"/>
  <c r="A6" i="471"/>
  <c r="BW5" i="471"/>
  <c r="BV5" i="471"/>
  <c r="BU5" i="471"/>
  <c r="BS5" i="471"/>
  <c r="BR5" i="471"/>
  <c r="BF5" i="471"/>
  <c r="BT5" i="471"/>
  <c r="AW5" i="471"/>
  <c r="AV5" i="471"/>
  <c r="AN5" i="471"/>
  <c r="Q5" i="471"/>
  <c r="A5" i="471"/>
  <c r="BW4" i="471"/>
  <c r="BV4" i="471"/>
  <c r="BU4" i="471"/>
  <c r="BT4" i="471"/>
  <c r="BS4" i="471"/>
  <c r="BR4" i="471"/>
  <c r="BX4" i="471"/>
  <c r="AW4" i="471"/>
  <c r="AV4" i="471"/>
  <c r="AM4" i="471"/>
  <c r="AM129" i="471"/>
  <c r="A4" i="471"/>
  <c r="H319" i="445"/>
  <c r="H317" i="445"/>
  <c r="AY316" i="445"/>
  <c r="AX316" i="445"/>
  <c r="AW316" i="445"/>
  <c r="AV316" i="445"/>
  <c r="AU316" i="445"/>
  <c r="AT316" i="445"/>
  <c r="AS316" i="445"/>
  <c r="AR316" i="445"/>
  <c r="AQ316" i="445"/>
  <c r="AP316" i="445"/>
  <c r="AO316" i="445"/>
  <c r="AN316" i="445"/>
  <c r="AM316" i="445"/>
  <c r="AL316" i="445"/>
  <c r="AK316" i="445"/>
  <c r="AJ316" i="445"/>
  <c r="AI316" i="445"/>
  <c r="AH316" i="445"/>
  <c r="AG316" i="445"/>
  <c r="AF316" i="445"/>
  <c r="AE316" i="445"/>
  <c r="AD316" i="445"/>
  <c r="AA316" i="445"/>
  <c r="Z316" i="445"/>
  <c r="X316" i="445"/>
  <c r="W316" i="445"/>
  <c r="V316" i="445"/>
  <c r="U316" i="445"/>
  <c r="T316" i="445"/>
  <c r="N316" i="445"/>
  <c r="N315" i="445"/>
  <c r="N314" i="445"/>
  <c r="N313" i="445"/>
  <c r="H313" i="445"/>
  <c r="N312" i="445"/>
  <c r="H312" i="445"/>
  <c r="H314" i="445" s="1"/>
  <c r="N311" i="445"/>
  <c r="N310" i="445"/>
  <c r="H310" i="445"/>
  <c r="AC309" i="445"/>
  <c r="AB309" i="445"/>
  <c r="N309" i="445"/>
  <c r="N308" i="445"/>
  <c r="N307" i="445"/>
  <c r="AB306" i="445"/>
  <c r="J306" i="445"/>
  <c r="N306" i="445" s="1"/>
  <c r="N287" i="445"/>
  <c r="N288" i="445"/>
  <c r="N289" i="445"/>
  <c r="N290" i="445"/>
  <c r="N291" i="445"/>
  <c r="N292" i="445"/>
  <c r="N293" i="445"/>
  <c r="N294" i="445"/>
  <c r="N295" i="445"/>
  <c r="N296" i="445"/>
  <c r="N297" i="445"/>
  <c r="N298" i="445"/>
  <c r="N299" i="445"/>
  <c r="N300" i="445"/>
  <c r="N301" i="445"/>
  <c r="N302" i="445"/>
  <c r="N303" i="445"/>
  <c r="N304" i="445"/>
  <c r="N305" i="445"/>
  <c r="AC303" i="445"/>
  <c r="AB303" i="445"/>
  <c r="AC300" i="445"/>
  <c r="AB300" i="445"/>
  <c r="AC297" i="445"/>
  <c r="AB297" i="445"/>
  <c r="AC294" i="445"/>
  <c r="AB294" i="445"/>
  <c r="AC291" i="445"/>
  <c r="AB291" i="445"/>
  <c r="H290" i="445"/>
  <c r="H315" i="445" s="1"/>
  <c r="Y289" i="445"/>
  <c r="Y288" i="445"/>
  <c r="Y287" i="445"/>
  <c r="Y316" i="445"/>
  <c r="H273" i="445"/>
  <c r="AZ272" i="445"/>
  <c r="AY272" i="445"/>
  <c r="AX272" i="445"/>
  <c r="AW272" i="445"/>
  <c r="AV272" i="445"/>
  <c r="AU272" i="445"/>
  <c r="AT272" i="445"/>
  <c r="AS272" i="445"/>
  <c r="AR272" i="445"/>
  <c r="AQ272" i="445"/>
  <c r="AP272" i="445"/>
  <c r="AO272" i="445"/>
  <c r="AN272" i="445"/>
  <c r="AM272" i="445"/>
  <c r="AL272" i="445"/>
  <c r="AI272" i="445"/>
  <c r="AH272" i="445"/>
  <c r="AG272" i="445"/>
  <c r="AF272" i="445"/>
  <c r="AE272" i="445"/>
  <c r="AD272" i="445"/>
  <c r="AC272" i="445"/>
  <c r="AA272" i="445"/>
  <c r="Z272" i="445"/>
  <c r="Y272" i="445"/>
  <c r="X272" i="445"/>
  <c r="W272" i="445"/>
  <c r="V272" i="445"/>
  <c r="T272" i="445"/>
  <c r="N272" i="445"/>
  <c r="N271" i="445"/>
  <c r="H270" i="445"/>
  <c r="AB269" i="445"/>
  <c r="N269" i="445"/>
  <c r="AB268" i="445"/>
  <c r="N268" i="445"/>
  <c r="AJ267" i="445"/>
  <c r="AJ272" i="445"/>
  <c r="N267" i="445"/>
  <c r="AB266" i="445"/>
  <c r="N266" i="445"/>
  <c r="N258" i="445" s="1"/>
  <c r="AB265" i="445"/>
  <c r="N265" i="445"/>
  <c r="AB264" i="445"/>
  <c r="N264" i="445"/>
  <c r="AB263" i="445"/>
  <c r="N263" i="445"/>
  <c r="AB262" i="445"/>
  <c r="N262" i="445"/>
  <c r="AB261" i="445"/>
  <c r="N261" i="445"/>
  <c r="AB260" i="445"/>
  <c r="N260" i="445"/>
  <c r="AK259" i="445"/>
  <c r="AK272" i="445"/>
  <c r="N259" i="445"/>
  <c r="H245" i="445"/>
  <c r="AZ244" i="445"/>
  <c r="AX244" i="445"/>
  <c r="AW244" i="445"/>
  <c r="AV244" i="445"/>
  <c r="AU244" i="445"/>
  <c r="AT244" i="445"/>
  <c r="AS244" i="445"/>
  <c r="AR244" i="445"/>
  <c r="AQ244" i="445"/>
  <c r="AP244" i="445"/>
  <c r="AO244" i="445"/>
  <c r="AN244" i="445"/>
  <c r="AM244" i="445"/>
  <c r="AL244" i="445"/>
  <c r="AK244" i="445"/>
  <c r="AJ244" i="445"/>
  <c r="AI244" i="445"/>
  <c r="AH244" i="445"/>
  <c r="AG244" i="445"/>
  <c r="AF244" i="445"/>
  <c r="AE244" i="445"/>
  <c r="AD244" i="445"/>
  <c r="AA244" i="445"/>
  <c r="X244" i="445"/>
  <c r="W244" i="445"/>
  <c r="V244" i="445"/>
  <c r="U244" i="445"/>
  <c r="T244" i="445"/>
  <c r="N244" i="445"/>
  <c r="N243" i="445"/>
  <c r="N242" i="445"/>
  <c r="H242" i="445"/>
  <c r="H243" i="445" s="1"/>
  <c r="H246" i="445"/>
  <c r="AC241" i="445"/>
  <c r="N241" i="445"/>
  <c r="AY240" i="445"/>
  <c r="AY244" i="445"/>
  <c r="N240" i="445"/>
  <c r="AB239" i="445"/>
  <c r="AB244" i="445" s="1"/>
  <c r="N239" i="445"/>
  <c r="AC238" i="445"/>
  <c r="AC244" i="445" s="1"/>
  <c r="N238" i="445"/>
  <c r="Z237" i="445"/>
  <c r="Z244" i="445" s="1"/>
  <c r="BA244" i="445" s="1"/>
  <c r="Y237" i="445"/>
  <c r="N237" i="445"/>
  <c r="AC236" i="445"/>
  <c r="N236" i="445"/>
  <c r="AC235" i="445"/>
  <c r="N235" i="445"/>
  <c r="Y234" i="445"/>
  <c r="Y244" i="445"/>
  <c r="N234" i="445"/>
  <c r="AB233" i="445"/>
  <c r="N233" i="445"/>
  <c r="H220" i="445"/>
  <c r="H218" i="445"/>
  <c r="AX217" i="445"/>
  <c r="AW217" i="445"/>
  <c r="AV217" i="445"/>
  <c r="AU217" i="445"/>
  <c r="AT217" i="445"/>
  <c r="AS217" i="445"/>
  <c r="AQ217" i="445"/>
  <c r="AP217" i="445"/>
  <c r="AO217" i="445"/>
  <c r="AN217" i="445"/>
  <c r="AM217" i="445"/>
  <c r="AL217" i="445"/>
  <c r="AI217" i="445"/>
  <c r="AH217" i="445"/>
  <c r="AG217" i="445"/>
  <c r="AF217" i="445"/>
  <c r="AE217" i="445"/>
  <c r="AD217" i="445"/>
  <c r="AA217" i="445"/>
  <c r="Z217" i="445"/>
  <c r="Y217" i="445"/>
  <c r="X217" i="445"/>
  <c r="W217" i="445"/>
  <c r="V217" i="445"/>
  <c r="U217" i="445"/>
  <c r="T217" i="445"/>
  <c r="N217" i="445"/>
  <c r="N216" i="445"/>
  <c r="N215" i="445"/>
  <c r="H215" i="445"/>
  <c r="AB215" i="445"/>
  <c r="AB214" i="445"/>
  <c r="N214" i="445"/>
  <c r="AC213" i="445"/>
  <c r="N213" i="445"/>
  <c r="AB212" i="445"/>
  <c r="N212" i="445"/>
  <c r="AC211" i="445"/>
  <c r="N211" i="445"/>
  <c r="N210" i="445"/>
  <c r="N209" i="445"/>
  <c r="H209" i="445"/>
  <c r="AC208" i="445"/>
  <c r="AC217" i="445" s="1"/>
  <c r="N208" i="445"/>
  <c r="AB207" i="445"/>
  <c r="N207" i="445"/>
  <c r="AJ206" i="445"/>
  <c r="AJ217" i="445"/>
  <c r="N206" i="445"/>
  <c r="AB205" i="445"/>
  <c r="N205" i="445"/>
  <c r="N204" i="445"/>
  <c r="N203" i="445"/>
  <c r="H203" i="445"/>
  <c r="AB202" i="445"/>
  <c r="N202" i="445"/>
  <c r="AC201" i="445"/>
  <c r="N201" i="445"/>
  <c r="N200" i="445"/>
  <c r="N199" i="445"/>
  <c r="H199" i="445"/>
  <c r="H200" i="445" s="1"/>
  <c r="AB198" i="445"/>
  <c r="AB217" i="445"/>
  <c r="N198" i="445"/>
  <c r="N197" i="445" s="1"/>
  <c r="H185" i="445"/>
  <c r="H183" i="445"/>
  <c r="AY182" i="445"/>
  <c r="AX182" i="445"/>
  <c r="AW182" i="445"/>
  <c r="AV182" i="445"/>
  <c r="AU182" i="445"/>
  <c r="AT182" i="445"/>
  <c r="AS182" i="445"/>
  <c r="AR182" i="445"/>
  <c r="AQ182" i="445"/>
  <c r="AP182" i="445"/>
  <c r="AO182" i="445"/>
  <c r="AN182" i="445"/>
  <c r="AM182" i="445"/>
  <c r="AL182" i="445"/>
  <c r="AJ182" i="445"/>
  <c r="AI182" i="445"/>
  <c r="AH182" i="445"/>
  <c r="AG182" i="445"/>
  <c r="AF182" i="445"/>
  <c r="AE182" i="445"/>
  <c r="AD182" i="445"/>
  <c r="AB182" i="445"/>
  <c r="AA182" i="445"/>
  <c r="Z182" i="445"/>
  <c r="Y182" i="445"/>
  <c r="X182" i="445"/>
  <c r="W182" i="445"/>
  <c r="V182" i="445"/>
  <c r="U182" i="445"/>
  <c r="T182" i="445"/>
  <c r="N182" i="445"/>
  <c r="N181" i="445"/>
  <c r="N180" i="445"/>
  <c r="H180" i="445"/>
  <c r="AC180" i="445"/>
  <c r="AC179" i="445"/>
  <c r="AC182" i="445" s="1"/>
  <c r="N179" i="445"/>
  <c r="AC178" i="445"/>
  <c r="N178" i="445"/>
  <c r="AC177" i="445"/>
  <c r="N177" i="445"/>
  <c r="AC176" i="445"/>
  <c r="N176" i="445"/>
  <c r="N175" i="445"/>
  <c r="N174" i="445"/>
  <c r="H174" i="445"/>
  <c r="AC173" i="445"/>
  <c r="N173" i="445"/>
  <c r="AC172" i="445"/>
  <c r="N172" i="445"/>
  <c r="N171" i="445"/>
  <c r="N170" i="445"/>
  <c r="H170" i="445"/>
  <c r="AC169" i="445"/>
  <c r="N169" i="445"/>
  <c r="N168" i="445" s="1"/>
  <c r="H155" i="445"/>
  <c r="AZ154" i="445"/>
  <c r="AY154" i="445"/>
  <c r="AW154" i="445"/>
  <c r="AV154" i="445"/>
  <c r="AU154" i="445"/>
  <c r="AT154" i="445"/>
  <c r="AS154" i="445"/>
  <c r="AR154" i="445"/>
  <c r="AQ154" i="445"/>
  <c r="AP154" i="445"/>
  <c r="AO154" i="445"/>
  <c r="AN154" i="445"/>
  <c r="AM154" i="445"/>
  <c r="AL154" i="445"/>
  <c r="AK154" i="445"/>
  <c r="AJ154" i="445"/>
  <c r="AI154" i="445"/>
  <c r="AH154" i="445"/>
  <c r="AG154" i="445"/>
  <c r="AF154" i="445"/>
  <c r="AE154" i="445"/>
  <c r="AD154" i="445"/>
  <c r="AB154" i="445"/>
  <c r="AA154" i="445"/>
  <c r="X154" i="445"/>
  <c r="W154" i="445"/>
  <c r="V154" i="445"/>
  <c r="U154" i="445"/>
  <c r="T154" i="445"/>
  <c r="N154" i="445"/>
  <c r="N153" i="445"/>
  <c r="H152" i="445"/>
  <c r="H153" i="445" s="1"/>
  <c r="H156" i="445" s="1"/>
  <c r="Z151" i="445"/>
  <c r="Z154" i="445"/>
  <c r="Y151" i="445"/>
  <c r="Y154" i="445" s="1"/>
  <c r="N151" i="445"/>
  <c r="AC150" i="445"/>
  <c r="N150" i="445"/>
  <c r="AC149" i="445"/>
  <c r="N149" i="445"/>
  <c r="AC148" i="445"/>
  <c r="N148" i="445"/>
  <c r="AC147" i="445"/>
  <c r="N147" i="445"/>
  <c r="AC146" i="445"/>
  <c r="AC154" i="445" s="1"/>
  <c r="N146" i="445"/>
  <c r="AX145" i="445"/>
  <c r="AX154" i="445"/>
  <c r="N145" i="445"/>
  <c r="H132" i="445"/>
  <c r="H130" i="445"/>
  <c r="AY129" i="445"/>
  <c r="AX129" i="445"/>
  <c r="AW129" i="445"/>
  <c r="AV129" i="445"/>
  <c r="AU129" i="445"/>
  <c r="AT129" i="445"/>
  <c r="AS129" i="445"/>
  <c r="AR129" i="445"/>
  <c r="AQ129" i="445"/>
  <c r="AP129" i="445"/>
  <c r="AO129" i="445"/>
  <c r="AN129" i="445"/>
  <c r="AM129" i="445"/>
  <c r="AL129" i="445"/>
  <c r="AK129" i="445"/>
  <c r="AJ129" i="445"/>
  <c r="AI129" i="445"/>
  <c r="AH129" i="445"/>
  <c r="AG129" i="445"/>
  <c r="AF129" i="445"/>
  <c r="AE129" i="445"/>
  <c r="AD129" i="445"/>
  <c r="AC129" i="445"/>
  <c r="AA129" i="445"/>
  <c r="Z129" i="445"/>
  <c r="X129" i="445"/>
  <c r="W129" i="445"/>
  <c r="V129" i="445"/>
  <c r="U129" i="445"/>
  <c r="T129" i="445"/>
  <c r="N129" i="445"/>
  <c r="N128" i="445"/>
  <c r="N127" i="445"/>
  <c r="N126" i="445"/>
  <c r="N125" i="445"/>
  <c r="H125" i="445"/>
  <c r="N124" i="445"/>
  <c r="Y123" i="445"/>
  <c r="N123" i="445"/>
  <c r="N122" i="445"/>
  <c r="Y121" i="445"/>
  <c r="N121" i="445"/>
  <c r="N120" i="445"/>
  <c r="H120" i="445"/>
  <c r="Y119" i="445"/>
  <c r="N119" i="445"/>
  <c r="N118" i="445"/>
  <c r="Y117" i="445"/>
  <c r="N117" i="445"/>
  <c r="Y116" i="445"/>
  <c r="N116" i="445"/>
  <c r="N115" i="445"/>
  <c r="H115" i="445"/>
  <c r="AB114" i="445"/>
  <c r="AB129" i="445" s="1"/>
  <c r="N114" i="445"/>
  <c r="AB113" i="445"/>
  <c r="N113" i="445"/>
  <c r="H98" i="445"/>
  <c r="AZ97" i="445"/>
  <c r="AY97" i="445"/>
  <c r="AX97" i="445"/>
  <c r="AW97" i="445"/>
  <c r="AV97" i="445"/>
  <c r="AU97" i="445"/>
  <c r="AT97" i="445"/>
  <c r="AS97" i="445"/>
  <c r="AR97" i="445"/>
  <c r="AQ97" i="445"/>
  <c r="AP97" i="445"/>
  <c r="AO97" i="445"/>
  <c r="AN97" i="445"/>
  <c r="AM97" i="445"/>
  <c r="AL97" i="445"/>
  <c r="AK97" i="445"/>
  <c r="AI97" i="445"/>
  <c r="AH97" i="445"/>
  <c r="AG97" i="445"/>
  <c r="AF97" i="445"/>
  <c r="AE97" i="445"/>
  <c r="AD97" i="445"/>
  <c r="AA97" i="445"/>
  <c r="Z97" i="445"/>
  <c r="Y97" i="445"/>
  <c r="X97" i="445"/>
  <c r="W97" i="445"/>
  <c r="V97" i="445"/>
  <c r="U97" i="445"/>
  <c r="N97" i="445"/>
  <c r="N96" i="445"/>
  <c r="H95" i="445"/>
  <c r="AJ94" i="445"/>
  <c r="N94" i="445"/>
  <c r="AC93" i="445"/>
  <c r="N93" i="445"/>
  <c r="AB92" i="445"/>
  <c r="N92" i="445"/>
  <c r="AC91" i="445"/>
  <c r="AC97" i="445"/>
  <c r="N91" i="445"/>
  <c r="AJ90" i="445"/>
  <c r="AJ97" i="445"/>
  <c r="N90" i="445"/>
  <c r="AB89" i="445"/>
  <c r="N89" i="445"/>
  <c r="AB88" i="445"/>
  <c r="N88" i="445"/>
  <c r="AB87" i="445"/>
  <c r="N87" i="445"/>
  <c r="N86" i="445"/>
  <c r="H69" i="445"/>
  <c r="AZ68" i="445"/>
  <c r="AY68" i="445"/>
  <c r="AX68" i="445"/>
  <c r="AW68" i="445"/>
  <c r="AV68" i="445"/>
  <c r="AT68" i="445"/>
  <c r="AS68" i="445"/>
  <c r="AR68" i="445"/>
  <c r="AQ68" i="445"/>
  <c r="AP68" i="445"/>
  <c r="AO68" i="445"/>
  <c r="AN68" i="445"/>
  <c r="AM68" i="445"/>
  <c r="AL68" i="445"/>
  <c r="AK68" i="445"/>
  <c r="AI68" i="445"/>
  <c r="AH68" i="445"/>
  <c r="AG68" i="445"/>
  <c r="AF68" i="445"/>
  <c r="AE68" i="445"/>
  <c r="AD68" i="445"/>
  <c r="AA68" i="445"/>
  <c r="Z68" i="445"/>
  <c r="Y68" i="445"/>
  <c r="X68" i="445"/>
  <c r="W68" i="445"/>
  <c r="V68" i="445"/>
  <c r="U68" i="445"/>
  <c r="T68" i="445"/>
  <c r="N68" i="445"/>
  <c r="N67" i="445"/>
  <c r="N66" i="445"/>
  <c r="H66" i="445"/>
  <c r="AB65" i="445"/>
  <c r="N65" i="445"/>
  <c r="AB64" i="445"/>
  <c r="N64" i="445"/>
  <c r="AB63" i="445"/>
  <c r="N63" i="445"/>
  <c r="AB62" i="445"/>
  <c r="N62" i="445"/>
  <c r="AJ61" i="445"/>
  <c r="AJ68" i="445" s="1"/>
  <c r="N61" i="445"/>
  <c r="AU60" i="445"/>
  <c r="N60" i="445"/>
  <c r="AU59" i="445"/>
  <c r="AU68" i="445"/>
  <c r="N59" i="445"/>
  <c r="AB58" i="445"/>
  <c r="N58" i="445"/>
  <c r="AC57" i="445"/>
  <c r="AC68" i="445" s="1"/>
  <c r="AB57" i="445"/>
  <c r="N57" i="445"/>
  <c r="H41" i="445"/>
  <c r="AY40" i="445"/>
  <c r="AX40" i="445"/>
  <c r="AW40" i="445"/>
  <c r="AV40" i="445"/>
  <c r="AU40" i="445"/>
  <c r="AT40" i="445"/>
  <c r="AS40" i="445"/>
  <c r="AR40" i="445"/>
  <c r="AQ40" i="445"/>
  <c r="AP40" i="445"/>
  <c r="AO40" i="445"/>
  <c r="AN40" i="445"/>
  <c r="AM40" i="445"/>
  <c r="AL40" i="445"/>
  <c r="AK40" i="445"/>
  <c r="AI40" i="445"/>
  <c r="AH40" i="445"/>
  <c r="AG40" i="445"/>
  <c r="AF40" i="445"/>
  <c r="AE40" i="445"/>
  <c r="AD40" i="445"/>
  <c r="AC40" i="445"/>
  <c r="AB40" i="445"/>
  <c r="Z40" i="445"/>
  <c r="X40" i="445"/>
  <c r="W40" i="445"/>
  <c r="V40" i="445"/>
  <c r="U40" i="445"/>
  <c r="T40" i="445"/>
  <c r="N40" i="445"/>
  <c r="N39" i="445"/>
  <c r="N38" i="445"/>
  <c r="H38" i="445"/>
  <c r="H39" i="445" s="1"/>
  <c r="H42" i="445" s="1"/>
  <c r="AZ37" i="445"/>
  <c r="AZ40" i="445" s="1"/>
  <c r="N37" i="445"/>
  <c r="AA36" i="445"/>
  <c r="N36" i="445"/>
  <c r="AA35" i="445"/>
  <c r="Y35" i="445"/>
  <c r="N35" i="445"/>
  <c r="AJ34" i="445"/>
  <c r="AJ40" i="445"/>
  <c r="N34" i="445"/>
  <c r="AA33" i="445"/>
  <c r="N33" i="445"/>
  <c r="AA32" i="445"/>
  <c r="N32" i="445"/>
  <c r="H17" i="445"/>
  <c r="AY16" i="445"/>
  <c r="AX16" i="445"/>
  <c r="AW16" i="445"/>
  <c r="AV16" i="445"/>
  <c r="AU16" i="445"/>
  <c r="AT16" i="445"/>
  <c r="AS16" i="445"/>
  <c r="AR16" i="445"/>
  <c r="AQ16" i="445"/>
  <c r="AP16" i="445"/>
  <c r="AO16" i="445"/>
  <c r="AN16" i="445"/>
  <c r="AM16" i="445"/>
  <c r="AL16" i="445"/>
  <c r="AK16" i="445"/>
  <c r="AI16" i="445"/>
  <c r="AH16" i="445"/>
  <c r="AG16" i="445"/>
  <c r="AF16" i="445"/>
  <c r="AE16" i="445"/>
  <c r="AD16" i="445"/>
  <c r="AB16" i="445"/>
  <c r="AA16" i="445"/>
  <c r="Z16" i="445"/>
  <c r="Y16" i="445"/>
  <c r="X16" i="445"/>
  <c r="W16" i="445"/>
  <c r="V16" i="445"/>
  <c r="U16" i="445"/>
  <c r="T16" i="445"/>
  <c r="N16" i="445"/>
  <c r="N15" i="445"/>
  <c r="N14" i="445"/>
  <c r="N9" i="445" s="1"/>
  <c r="H14" i="445"/>
  <c r="AC13" i="445"/>
  <c r="N13" i="445"/>
  <c r="AC12" i="445"/>
  <c r="N12" i="445"/>
  <c r="AC11" i="445"/>
  <c r="N11" i="445"/>
  <c r="AJ10" i="445"/>
  <c r="AJ16" i="445"/>
  <c r="N10" i="445"/>
  <c r="L3" i="445"/>
  <c r="BP95" i="202"/>
  <c r="BP101" i="202"/>
  <c r="BP102" i="202"/>
  <c r="BP100" i="202"/>
  <c r="BP93" i="202"/>
  <c r="BP94" i="202"/>
  <c r="BP92" i="202"/>
  <c r="BP89" i="202"/>
  <c r="BP91" i="202"/>
  <c r="BP90" i="202"/>
  <c r="BP88" i="202"/>
  <c r="BP87" i="202"/>
  <c r="BP86" i="202"/>
  <c r="BP85" i="202"/>
  <c r="BP84" i="202"/>
  <c r="BP83" i="202"/>
  <c r="BP82" i="202"/>
  <c r="BP81" i="202"/>
  <c r="BP80" i="202"/>
  <c r="BP79" i="202"/>
  <c r="BP78" i="202"/>
  <c r="BG78" i="202"/>
  <c r="BF74" i="202"/>
  <c r="BE74" i="202"/>
  <c r="AY74" i="202"/>
  <c r="AX74" i="202"/>
  <c r="AW74" i="202"/>
  <c r="AV74" i="202"/>
  <c r="AU74" i="202"/>
  <c r="AT74" i="202"/>
  <c r="AS74" i="202"/>
  <c r="AR74" i="202"/>
  <c r="AQ74" i="202"/>
  <c r="AP74" i="202"/>
  <c r="AO74" i="202"/>
  <c r="AN74" i="202"/>
  <c r="AM74" i="202"/>
  <c r="AL74" i="202"/>
  <c r="AK74" i="202"/>
  <c r="AJ74" i="202"/>
  <c r="AI74" i="202"/>
  <c r="AH74" i="202"/>
  <c r="AG74" i="202"/>
  <c r="AF74" i="202"/>
  <c r="AE74" i="202"/>
  <c r="AD74" i="202"/>
  <c r="AC74" i="202"/>
  <c r="AB74" i="202"/>
  <c r="AA74" i="202"/>
  <c r="AA75" i="202" s="1"/>
  <c r="Z74" i="202"/>
  <c r="Z75" i="202" s="1"/>
  <c r="Y74" i="202"/>
  <c r="X74" i="202"/>
  <c r="X75" i="202" s="1"/>
  <c r="W74" i="202"/>
  <c r="V74" i="202"/>
  <c r="U74" i="202"/>
  <c r="U75" i="202" s="1"/>
  <c r="T74" i="202"/>
  <c r="S74" i="202"/>
  <c r="R74" i="202"/>
  <c r="Q74" i="202"/>
  <c r="P74" i="202"/>
  <c r="BP73" i="202"/>
  <c r="BG73" i="202"/>
  <c r="BP72" i="202"/>
  <c r="BG72" i="202"/>
  <c r="L72" i="202"/>
  <c r="BP71" i="202"/>
  <c r="BG71" i="202"/>
  <c r="BP70" i="202"/>
  <c r="BG70" i="202"/>
  <c r="BP69" i="202"/>
  <c r="BG69" i="202"/>
  <c r="BP68" i="202"/>
  <c r="BG68" i="202"/>
  <c r="BP67" i="202"/>
  <c r="BG67" i="202"/>
  <c r="BP66" i="202"/>
  <c r="BG66" i="202"/>
  <c r="BP65" i="202"/>
  <c r="BG65" i="202"/>
  <c r="BP64" i="202"/>
  <c r="BG64" i="202"/>
  <c r="BP63" i="202"/>
  <c r="BG63" i="202"/>
  <c r="BP62" i="202"/>
  <c r="BG62" i="202"/>
  <c r="BP61" i="202"/>
  <c r="BG61" i="202"/>
  <c r="BP60" i="202"/>
  <c r="BG60" i="202"/>
  <c r="BF56" i="202"/>
  <c r="BE56" i="202"/>
  <c r="AY56" i="202"/>
  <c r="AX56" i="202"/>
  <c r="AW56" i="202"/>
  <c r="AV56" i="202"/>
  <c r="AU56" i="202"/>
  <c r="AT56" i="202"/>
  <c r="AS56" i="202"/>
  <c r="AR56" i="202"/>
  <c r="AQ56" i="202"/>
  <c r="AP56" i="202"/>
  <c r="AO56" i="202"/>
  <c r="AN56" i="202"/>
  <c r="AM56" i="202"/>
  <c r="AL56" i="202"/>
  <c r="AK56" i="202"/>
  <c r="AJ56" i="202"/>
  <c r="AI56" i="202"/>
  <c r="AH56" i="202"/>
  <c r="AG56" i="202"/>
  <c r="AF56" i="202"/>
  <c r="AE56" i="202"/>
  <c r="AD56" i="202"/>
  <c r="AC56" i="202"/>
  <c r="AB56" i="202"/>
  <c r="AA56" i="202"/>
  <c r="AA57" i="202" s="1"/>
  <c r="Z56" i="202"/>
  <c r="Z57" i="202" s="1"/>
  <c r="Y56" i="202"/>
  <c r="X57" i="202" s="1"/>
  <c r="X56" i="202"/>
  <c r="W56" i="202"/>
  <c r="V56" i="202"/>
  <c r="U56" i="202"/>
  <c r="T56" i="202"/>
  <c r="S56" i="202"/>
  <c r="R56" i="202"/>
  <c r="Q56" i="202"/>
  <c r="P56" i="202"/>
  <c r="BP55" i="202"/>
  <c r="BG55" i="202"/>
  <c r="BP54" i="202"/>
  <c r="BG54" i="202"/>
  <c r="BP53" i="202"/>
  <c r="BG53" i="202"/>
  <c r="BP52" i="202"/>
  <c r="BG52" i="202"/>
  <c r="BP51" i="202"/>
  <c r="BG51" i="202"/>
  <c r="BP50" i="202"/>
  <c r="BG50" i="202"/>
  <c r="BP49" i="202"/>
  <c r="BG49" i="202"/>
  <c r="BP48" i="202"/>
  <c r="BG48" i="202"/>
  <c r="BP47" i="202"/>
  <c r="BG47" i="202"/>
  <c r="BP46" i="202"/>
  <c r="BG46" i="202"/>
  <c r="BP45" i="202"/>
  <c r="BG45" i="202"/>
  <c r="BP44" i="202"/>
  <c r="BG44" i="202"/>
  <c r="BP43" i="202"/>
  <c r="BG43" i="202"/>
  <c r="BP42" i="202"/>
  <c r="BG42" i="202"/>
  <c r="BP41" i="202"/>
  <c r="BG41" i="202"/>
  <c r="BP40" i="202"/>
  <c r="BG40" i="202"/>
  <c r="BP39" i="202"/>
  <c r="BG39" i="202"/>
  <c r="BP38" i="202"/>
  <c r="BG38" i="202"/>
  <c r="BF34" i="202"/>
  <c r="BE34" i="202"/>
  <c r="AY34" i="202"/>
  <c r="AX34" i="202"/>
  <c r="AW34" i="202"/>
  <c r="AV34" i="202"/>
  <c r="AU34" i="202"/>
  <c r="AT34" i="202"/>
  <c r="AS34" i="202"/>
  <c r="AR34" i="202"/>
  <c r="AQ34" i="202"/>
  <c r="AP34" i="202"/>
  <c r="AO34" i="202"/>
  <c r="AN34" i="202"/>
  <c r="AM34" i="202"/>
  <c r="AL34" i="202"/>
  <c r="AK34" i="202"/>
  <c r="AJ34" i="202"/>
  <c r="AI34" i="202"/>
  <c r="AH34" i="202"/>
  <c r="AG34" i="202"/>
  <c r="AF34" i="202"/>
  <c r="AE34" i="202"/>
  <c r="AD34" i="202"/>
  <c r="AC34" i="202"/>
  <c r="AB34" i="202"/>
  <c r="AA34" i="202"/>
  <c r="AA35" i="202" s="1"/>
  <c r="Z34" i="202"/>
  <c r="Z35" i="202"/>
  <c r="Y34" i="202"/>
  <c r="X34" i="202"/>
  <c r="W34" i="202"/>
  <c r="V34" i="202"/>
  <c r="U34" i="202"/>
  <c r="U35" i="202" s="1"/>
  <c r="T34" i="202"/>
  <c r="S34" i="202"/>
  <c r="R34" i="202"/>
  <c r="Q34" i="202"/>
  <c r="P34" i="202"/>
  <c r="BP33" i="202"/>
  <c r="BG33" i="202"/>
  <c r="BP32" i="202"/>
  <c r="BG32" i="202"/>
  <c r="BP31" i="202"/>
  <c r="BG31" i="202"/>
  <c r="BP30" i="202"/>
  <c r="BG30" i="202"/>
  <c r="BP29" i="202"/>
  <c r="BG29" i="202"/>
  <c r="BP28" i="202"/>
  <c r="BG28" i="202"/>
  <c r="BP27" i="202"/>
  <c r="BG27" i="202"/>
  <c r="BP26" i="202"/>
  <c r="BG26" i="202"/>
  <c r="BP25" i="202"/>
  <c r="BG25" i="202"/>
  <c r="BP24" i="202"/>
  <c r="BG24" i="202"/>
  <c r="BP23" i="202"/>
  <c r="BG23" i="202"/>
  <c r="BP22" i="202"/>
  <c r="BG22" i="202"/>
  <c r="BP21" i="202"/>
  <c r="BG21" i="202"/>
  <c r="BF17" i="202"/>
  <c r="BE17" i="202"/>
  <c r="AY17" i="202"/>
  <c r="AX17" i="202"/>
  <c r="AW17" i="202"/>
  <c r="AV17" i="202"/>
  <c r="AU17" i="202"/>
  <c r="AT17" i="202"/>
  <c r="AS17" i="202"/>
  <c r="AR17" i="202"/>
  <c r="AQ17" i="202"/>
  <c r="AP17" i="202"/>
  <c r="AO17" i="202"/>
  <c r="AN17" i="202"/>
  <c r="AM17" i="202"/>
  <c r="AL17" i="202"/>
  <c r="AK17" i="202"/>
  <c r="AJ17" i="202"/>
  <c r="AI17" i="202"/>
  <c r="AH17" i="202"/>
  <c r="AG17" i="202"/>
  <c r="AF17" i="202"/>
  <c r="AE17" i="202"/>
  <c r="AD17" i="202"/>
  <c r="AC17" i="202"/>
  <c r="AB17" i="202"/>
  <c r="AA17" i="202"/>
  <c r="AA18" i="202"/>
  <c r="Z17" i="202"/>
  <c r="Z18" i="202"/>
  <c r="Y17" i="202"/>
  <c r="X17" i="202"/>
  <c r="X18" i="202" s="1"/>
  <c r="W17" i="202"/>
  <c r="V17" i="202"/>
  <c r="U17" i="202"/>
  <c r="T17" i="202"/>
  <c r="P18" i="202" s="1"/>
  <c r="S17" i="202"/>
  <c r="R17" i="202"/>
  <c r="Q17" i="202"/>
  <c r="P17" i="202"/>
  <c r="BP16" i="202"/>
  <c r="BG16" i="202"/>
  <c r="BP15" i="202"/>
  <c r="BG15" i="202"/>
  <c r="BP14" i="202"/>
  <c r="BG14" i="202"/>
  <c r="BP13" i="202"/>
  <c r="BG13" i="202"/>
  <c r="BP12" i="202"/>
  <c r="BG12" i="202"/>
  <c r="BP11" i="202"/>
  <c r="BG11" i="202"/>
  <c r="BP10" i="202"/>
  <c r="BG10" i="202"/>
  <c r="BP9" i="202"/>
  <c r="BG9" i="202"/>
  <c r="BP8" i="202"/>
  <c r="BG8" i="202"/>
  <c r="BP7" i="202"/>
  <c r="BP6" i="202"/>
  <c r="BG6" i="202"/>
  <c r="E27" i="297"/>
  <c r="D27" i="297"/>
  <c r="C27" i="297"/>
  <c r="P7" i="297"/>
  <c r="H67" i="445"/>
  <c r="H70" i="445"/>
  <c r="AB66" i="445"/>
  <c r="H204" i="445"/>
  <c r="AY204" i="445"/>
  <c r="AY203" i="445"/>
  <c r="H271" i="445"/>
  <c r="H274" i="445" s="1"/>
  <c r="U270" i="445"/>
  <c r="U272" i="445" s="1"/>
  <c r="AB312" i="445"/>
  <c r="AX4" i="471"/>
  <c r="BY4" i="471"/>
  <c r="BZ4" i="471"/>
  <c r="AX6" i="471"/>
  <c r="BY6" i="471" s="1"/>
  <c r="BX7" i="471"/>
  <c r="AX9" i="471"/>
  <c r="BY9" i="471"/>
  <c r="BX9" i="471"/>
  <c r="BZ9" i="471"/>
  <c r="BY11" i="471"/>
  <c r="BX12" i="471"/>
  <c r="AX13" i="471"/>
  <c r="BY13" i="471"/>
  <c r="BX14" i="471"/>
  <c r="AX16" i="471"/>
  <c r="BY16" i="471" s="1"/>
  <c r="AX21" i="471"/>
  <c r="BY21" i="471"/>
  <c r="BY22" i="471"/>
  <c r="AX23" i="471"/>
  <c r="BY23" i="471"/>
  <c r="AX26" i="471"/>
  <c r="BY26" i="471"/>
  <c r="BX26" i="471"/>
  <c r="AX27" i="471"/>
  <c r="BY27" i="471" s="1"/>
  <c r="AX28" i="471"/>
  <c r="BY28" i="471"/>
  <c r="AY108" i="471"/>
  <c r="AV108" i="471" s="1"/>
  <c r="AX31" i="471"/>
  <c r="BY31" i="471" s="1"/>
  <c r="AX33" i="471"/>
  <c r="BY33" i="471"/>
  <c r="BY34" i="471"/>
  <c r="AX37" i="471"/>
  <c r="BY37" i="471" s="1"/>
  <c r="AX38" i="471"/>
  <c r="BY38" i="471" s="1"/>
  <c r="AX39" i="471"/>
  <c r="BY39" i="471" s="1"/>
  <c r="AX40" i="471"/>
  <c r="BY40" i="471" s="1"/>
  <c r="BX43" i="471"/>
  <c r="BZ43" i="471"/>
  <c r="AX44" i="471"/>
  <c r="BY44" i="471"/>
  <c r="BY45" i="471"/>
  <c r="AX46" i="471"/>
  <c r="BY46" i="471"/>
  <c r="BX46" i="471"/>
  <c r="BZ46" i="471" s="1"/>
  <c r="AX48" i="471"/>
  <c r="BY48" i="471" s="1"/>
  <c r="AX50" i="471"/>
  <c r="BY50" i="471"/>
  <c r="BY52" i="471"/>
  <c r="BX52" i="471"/>
  <c r="AX54" i="471"/>
  <c r="BY54" i="471"/>
  <c r="BX54" i="471"/>
  <c r="BZ54" i="471" s="1"/>
  <c r="AX55" i="471"/>
  <c r="BY55" i="471" s="1"/>
  <c r="BY56" i="471"/>
  <c r="BX56" i="471"/>
  <c r="BZ56" i="471"/>
  <c r="BX57" i="471"/>
  <c r="AX58" i="471"/>
  <c r="BY58" i="471" s="1"/>
  <c r="AX60" i="471"/>
  <c r="BY60" i="471" s="1"/>
  <c r="AX61" i="471"/>
  <c r="BY61" i="471" s="1"/>
  <c r="BX61" i="471"/>
  <c r="AX63" i="471"/>
  <c r="BY63" i="471" s="1"/>
  <c r="BY65" i="471"/>
  <c r="BX65" i="471"/>
  <c r="BZ65" i="471"/>
  <c r="BX66" i="471"/>
  <c r="BZ66" i="471"/>
  <c r="AX67" i="471"/>
  <c r="BY67" i="471" s="1"/>
  <c r="BX68" i="471"/>
  <c r="BX71" i="471"/>
  <c r="AX72" i="471"/>
  <c r="BY72" i="471" s="1"/>
  <c r="BX73" i="471"/>
  <c r="AX75" i="471"/>
  <c r="BY75" i="471"/>
  <c r="AX77" i="471"/>
  <c r="BY77" i="471" s="1"/>
  <c r="AX79" i="471"/>
  <c r="BY79" i="471"/>
  <c r="BY80" i="471"/>
  <c r="AX81" i="471"/>
  <c r="BY81" i="471" s="1"/>
  <c r="AX82" i="471"/>
  <c r="BY82" i="471"/>
  <c r="BX82" i="471"/>
  <c r="BZ82" i="471"/>
  <c r="AX83" i="471"/>
  <c r="BY83" i="471" s="1"/>
  <c r="AX84" i="471"/>
  <c r="BY84" i="471" s="1"/>
  <c r="AX85" i="471"/>
  <c r="BY85" i="471"/>
  <c r="AX86" i="471"/>
  <c r="BY86" i="471"/>
  <c r="BY87" i="471"/>
  <c r="AX88" i="471"/>
  <c r="BY88" i="471" s="1"/>
  <c r="AX89" i="471"/>
  <c r="BY89" i="471"/>
  <c r="BX90" i="471"/>
  <c r="AX91" i="471"/>
  <c r="BY91" i="471" s="1"/>
  <c r="AX97" i="471"/>
  <c r="BY97" i="471"/>
  <c r="AX98" i="471"/>
  <c r="BY98" i="471" s="1"/>
  <c r="AX100" i="471"/>
  <c r="BY100" i="471"/>
  <c r="AX101" i="471"/>
  <c r="BY101" i="471"/>
  <c r="BU102" i="471"/>
  <c r="BT102" i="471"/>
  <c r="AX103" i="471"/>
  <c r="BY103" i="471" s="1"/>
  <c r="AX104" i="471"/>
  <c r="BY104" i="471" s="1"/>
  <c r="BX105" i="471"/>
  <c r="BZ105" i="471" s="1"/>
  <c r="BY107" i="471"/>
  <c r="AX108" i="471"/>
  <c r="BY108" i="471"/>
  <c r="BX108" i="471"/>
  <c r="BZ108" i="471"/>
  <c r="AX109" i="471"/>
  <c r="BY109" i="471"/>
  <c r="BX109" i="471"/>
  <c r="BZ109" i="471" s="1"/>
  <c r="AX112" i="471"/>
  <c r="BY112" i="471" s="1"/>
  <c r="BX112" i="471"/>
  <c r="BZ112" i="471"/>
  <c r="AX113" i="471"/>
  <c r="BY113" i="471" s="1"/>
  <c r="AX114" i="471"/>
  <c r="BY114" i="471" s="1"/>
  <c r="AX115" i="471"/>
  <c r="BY115" i="471"/>
  <c r="BZ116" i="471"/>
  <c r="BY117" i="471"/>
  <c r="AX118" i="471"/>
  <c r="BY118" i="471" s="1"/>
  <c r="AX123" i="471"/>
  <c r="BY123" i="471"/>
  <c r="BX123" i="471"/>
  <c r="BX126" i="471"/>
  <c r="AX127" i="471"/>
  <c r="BY127" i="471" s="1"/>
  <c r="BY128" i="471"/>
  <c r="BY4" i="487"/>
  <c r="AX5" i="487"/>
  <c r="BY5" i="487" s="1"/>
  <c r="AX6" i="487"/>
  <c r="BY6" i="487" s="1"/>
  <c r="AX7" i="487"/>
  <c r="BY7" i="487" s="1"/>
  <c r="AX8" i="487"/>
  <c r="BY8" i="487" s="1"/>
  <c r="AX9" i="487"/>
  <c r="BY9" i="487"/>
  <c r="AX10" i="487"/>
  <c r="BY10" i="487"/>
  <c r="BX10" i="487"/>
  <c r="BZ10" i="487" s="1"/>
  <c r="AX13" i="487"/>
  <c r="BY13" i="487" s="1"/>
  <c r="AX14" i="487"/>
  <c r="BY14" i="487"/>
  <c r="AX15" i="487"/>
  <c r="BY15" i="487" s="1"/>
  <c r="AX16" i="487"/>
  <c r="BY16" i="487"/>
  <c r="BX16" i="487"/>
  <c r="BZ16" i="487"/>
  <c r="AX17" i="487"/>
  <c r="BY17" i="487" s="1"/>
  <c r="BX17" i="487"/>
  <c r="BZ17" i="487" s="1"/>
  <c r="AX19" i="487"/>
  <c r="BY19" i="487" s="1"/>
  <c r="AX21" i="487"/>
  <c r="BY21" i="487" s="1"/>
  <c r="BX21" i="487"/>
  <c r="BZ21" i="487" s="1"/>
  <c r="AX22" i="487"/>
  <c r="BY22" i="487" s="1"/>
  <c r="BX22" i="487"/>
  <c r="BZ22" i="487"/>
  <c r="BX23" i="487"/>
  <c r="BZ23" i="487"/>
  <c r="AX26" i="487"/>
  <c r="BY26" i="487" s="1"/>
  <c r="AX27" i="487"/>
  <c r="BY27" i="487"/>
  <c r="BZ27" i="487"/>
  <c r="AX28" i="487"/>
  <c r="BY28" i="487"/>
  <c r="BX30" i="487"/>
  <c r="AX31" i="487"/>
  <c r="BY31" i="487" s="1"/>
  <c r="AX33" i="487"/>
  <c r="BY33" i="487"/>
  <c r="AX34" i="487"/>
  <c r="BY34" i="487" s="1"/>
  <c r="AX36" i="487"/>
  <c r="BY36" i="487"/>
  <c r="AX38" i="487"/>
  <c r="BY38" i="487"/>
  <c r="BU38" i="487"/>
  <c r="BT38" i="487"/>
  <c r="AX39" i="487"/>
  <c r="BY39" i="487" s="1"/>
  <c r="AX40" i="487"/>
  <c r="BY40" i="487"/>
  <c r="BU40" i="487"/>
  <c r="BT40" i="487"/>
  <c r="AX41" i="487"/>
  <c r="BY41" i="487"/>
  <c r="BU41" i="487"/>
  <c r="BT41" i="487"/>
  <c r="AX45" i="487"/>
  <c r="BY45" i="487"/>
  <c r="BU45" i="487"/>
  <c r="BT45" i="487"/>
  <c r="AX47" i="487"/>
  <c r="BY47" i="487"/>
  <c r="BU47" i="487"/>
  <c r="BT47" i="487"/>
  <c r="AX49" i="487"/>
  <c r="BY49" i="487" s="1"/>
  <c r="X122" i="487"/>
  <c r="W50" i="487"/>
  <c r="AX50" i="487"/>
  <c r="BY50" i="487" s="1"/>
  <c r="AX52" i="487"/>
  <c r="BY52" i="487" s="1"/>
  <c r="BU52" i="487"/>
  <c r="BT52" i="487"/>
  <c r="BX52" i="487" s="1"/>
  <c r="AX53" i="487"/>
  <c r="BY53" i="487" s="1"/>
  <c r="BX53" i="487"/>
  <c r="BZ53" i="487" s="1"/>
  <c r="AX54" i="487"/>
  <c r="BY54" i="487" s="1"/>
  <c r="AX57" i="487"/>
  <c r="BY57" i="487"/>
  <c r="AX58" i="487"/>
  <c r="BY58" i="487"/>
  <c r="AX59" i="487"/>
  <c r="BY59" i="487"/>
  <c r="AX60" i="487"/>
  <c r="BY60" i="487" s="1"/>
  <c r="BZ62" i="487"/>
  <c r="AX63" i="487"/>
  <c r="BY63" i="487"/>
  <c r="AX64" i="487"/>
  <c r="BY64" i="487" s="1"/>
  <c r="AX66" i="487"/>
  <c r="BY66" i="487" s="1"/>
  <c r="BU67" i="487"/>
  <c r="BX67" i="487" s="1"/>
  <c r="BZ67" i="487" s="1"/>
  <c r="BT67" i="487"/>
  <c r="AX70" i="487"/>
  <c r="BY70" i="487" s="1"/>
  <c r="AX71" i="487"/>
  <c r="BY71" i="487"/>
  <c r="BX71" i="487"/>
  <c r="BZ71" i="487"/>
  <c r="BX73" i="487"/>
  <c r="AX74" i="487"/>
  <c r="BY74" i="487"/>
  <c r="AX75" i="487"/>
  <c r="BY75" i="487" s="1"/>
  <c r="AX77" i="487"/>
  <c r="BY77" i="487"/>
  <c r="BU78" i="487"/>
  <c r="BT78" i="487"/>
  <c r="BX78" i="487"/>
  <c r="BZ78" i="487"/>
  <c r="AX79" i="487"/>
  <c r="BY79" i="487" s="1"/>
  <c r="AX80" i="487"/>
  <c r="BY80" i="487" s="1"/>
  <c r="BU81" i="487"/>
  <c r="BT81" i="487"/>
  <c r="AX82" i="487"/>
  <c r="BY82" i="487"/>
  <c r="AX84" i="487"/>
  <c r="BY84" i="487"/>
  <c r="AX85" i="487"/>
  <c r="BY85" i="487"/>
  <c r="BZ85" i="487"/>
  <c r="BY86" i="487"/>
  <c r="BZ87" i="487"/>
  <c r="AX88" i="487"/>
  <c r="BY88" i="487" s="1"/>
  <c r="AX89" i="487"/>
  <c r="BY89" i="487"/>
  <c r="AX91" i="487"/>
  <c r="BY91" i="487"/>
  <c r="BZ91" i="487"/>
  <c r="AX93" i="487"/>
  <c r="BY93" i="487" s="1"/>
  <c r="AX94" i="487"/>
  <c r="BY94" i="487"/>
  <c r="BX94" i="487"/>
  <c r="AX95" i="487"/>
  <c r="BY95" i="487"/>
  <c r="BU96" i="487"/>
  <c r="BT96" i="487"/>
  <c r="BU97" i="487"/>
  <c r="BT97" i="487"/>
  <c r="AX98" i="487"/>
  <c r="BY98" i="487" s="1"/>
  <c r="BU98" i="487"/>
  <c r="BT98" i="487"/>
  <c r="BX98" i="487" s="1"/>
  <c r="BZ98" i="487" s="1"/>
  <c r="BY100" i="487"/>
  <c r="BT101" i="487"/>
  <c r="BX101" i="487" s="1"/>
  <c r="AX102" i="487"/>
  <c r="BY102" i="487" s="1"/>
  <c r="BU102" i="487"/>
  <c r="BT102" i="487"/>
  <c r="T103" i="487"/>
  <c r="BT103" i="487"/>
  <c r="BX103" i="487" s="1"/>
  <c r="AX104" i="487"/>
  <c r="BY104" i="487"/>
  <c r="BU104" i="487"/>
  <c r="BT104" i="487"/>
  <c r="BU105" i="487"/>
  <c r="BT105" i="487"/>
  <c r="BX105" i="487"/>
  <c r="BZ105" i="487" s="1"/>
  <c r="BT106" i="487"/>
  <c r="U107" i="487"/>
  <c r="T107" i="487"/>
  <c r="AX107" i="487"/>
  <c r="BY107" i="487"/>
  <c r="BU107" i="487"/>
  <c r="BT107" i="487"/>
  <c r="BX107" i="487"/>
  <c r="BZ107" i="487"/>
  <c r="BT108" i="487"/>
  <c r="AX111" i="487"/>
  <c r="BY111" i="487"/>
  <c r="BX112" i="487"/>
  <c r="AX114" i="487"/>
  <c r="BY114" i="487" s="1"/>
  <c r="BX115" i="487"/>
  <c r="AX117" i="487"/>
  <c r="BY117" i="487" s="1"/>
  <c r="AX118" i="487"/>
  <c r="BY118" i="487" s="1"/>
  <c r="AX119" i="487"/>
  <c r="BY119" i="487"/>
  <c r="BX120" i="487"/>
  <c r="AY6" i="511"/>
  <c r="BZ6" i="511"/>
  <c r="AY8" i="511"/>
  <c r="AY9" i="511"/>
  <c r="BZ9" i="511" s="1"/>
  <c r="AY11" i="511"/>
  <c r="BZ11" i="511"/>
  <c r="AY12" i="511"/>
  <c r="BZ12" i="511" s="1"/>
  <c r="AY14" i="511"/>
  <c r="BZ14" i="511" s="1"/>
  <c r="BY14" i="511"/>
  <c r="CA14" i="511"/>
  <c r="AY15" i="511"/>
  <c r="BZ15" i="511"/>
  <c r="AY17" i="511"/>
  <c r="BZ17" i="511"/>
  <c r="X18" i="511"/>
  <c r="X19" i="511"/>
  <c r="W19" i="511"/>
  <c r="AY19" i="511"/>
  <c r="BZ19" i="511"/>
  <c r="BZ21" i="511"/>
  <c r="BY21" i="511"/>
  <c r="AY22" i="511"/>
  <c r="BZ22" i="511" s="1"/>
  <c r="BY23" i="511"/>
  <c r="AY24" i="511"/>
  <c r="BZ24" i="511"/>
  <c r="AY25" i="511"/>
  <c r="BZ25" i="511" s="1"/>
  <c r="BY25" i="511"/>
  <c r="CA25" i="511" s="1"/>
  <c r="AY27" i="511"/>
  <c r="BZ27" i="511" s="1"/>
  <c r="BY28" i="511"/>
  <c r="CA29" i="511"/>
  <c r="AY30" i="511"/>
  <c r="BZ30" i="511"/>
  <c r="AY31" i="511"/>
  <c r="BZ31" i="511"/>
  <c r="BY31" i="511"/>
  <c r="AY33" i="511"/>
  <c r="BZ33" i="511"/>
  <c r="CA33" i="511" s="1"/>
  <c r="BY33" i="511"/>
  <c r="AY35" i="511"/>
  <c r="BZ35" i="511" s="1"/>
  <c r="AY36" i="511"/>
  <c r="BZ36" i="511"/>
  <c r="BY36" i="511"/>
  <c r="CA36" i="511" s="1"/>
  <c r="AY38" i="511"/>
  <c r="BZ38" i="511" s="1"/>
  <c r="CA39" i="511"/>
  <c r="AY40" i="511"/>
  <c r="BZ40" i="511"/>
  <c r="BY40" i="511"/>
  <c r="CA40" i="511" s="1"/>
  <c r="AY41" i="511"/>
  <c r="BZ41" i="511"/>
  <c r="BY41" i="511"/>
  <c r="CA41" i="511"/>
  <c r="AY43" i="511"/>
  <c r="BZ43" i="511"/>
  <c r="BY43" i="511"/>
  <c r="CA43" i="511" s="1"/>
  <c r="AY45" i="511"/>
  <c r="BZ45" i="511"/>
  <c r="AY46" i="511"/>
  <c r="BZ46" i="511" s="1"/>
  <c r="BY46" i="511"/>
  <c r="CA46" i="511"/>
  <c r="AY47" i="511"/>
  <c r="BZ47" i="511"/>
  <c r="BY48" i="511"/>
  <c r="CA48" i="511"/>
  <c r="BY49" i="511"/>
  <c r="AY50" i="511"/>
  <c r="BZ50" i="511" s="1"/>
  <c r="AY52" i="511"/>
  <c r="BZ52" i="511" s="1"/>
  <c r="BY52" i="511"/>
  <c r="CA52" i="511" s="1"/>
  <c r="AY53" i="511"/>
  <c r="BZ53" i="511"/>
  <c r="AY55" i="511"/>
  <c r="BZ55" i="511"/>
  <c r="X57" i="511"/>
  <c r="W57" i="511"/>
  <c r="AY58" i="511"/>
  <c r="BZ58" i="511" s="1"/>
  <c r="BY58" i="511"/>
  <c r="CA58" i="511" s="1"/>
  <c r="BY59" i="511"/>
  <c r="CA59" i="511"/>
  <c r="AY60" i="511"/>
  <c r="BZ60" i="511" s="1"/>
  <c r="BY60" i="511"/>
  <c r="CA60" i="511"/>
  <c r="AY62" i="511"/>
  <c r="BZ62" i="511"/>
  <c r="BY62" i="511"/>
  <c r="CA62" i="511" s="1"/>
  <c r="AY63" i="511"/>
  <c r="BZ63" i="511"/>
  <c r="AY64" i="511"/>
  <c r="BZ64" i="511"/>
  <c r="AY65" i="511"/>
  <c r="BZ65" i="511" s="1"/>
  <c r="BY65" i="511"/>
  <c r="CA65" i="511"/>
  <c r="AY68" i="511"/>
  <c r="BZ68" i="511" s="1"/>
  <c r="AY70" i="511"/>
  <c r="BZ70" i="511" s="1"/>
  <c r="CA70" i="511"/>
  <c r="AY71" i="511"/>
  <c r="BZ71" i="511"/>
  <c r="BY71" i="511"/>
  <c r="CA71" i="511"/>
  <c r="AY72" i="511"/>
  <c r="BZ72" i="511"/>
  <c r="AY73" i="511"/>
  <c r="BZ73" i="511"/>
  <c r="BZ74" i="511"/>
  <c r="BY74" i="511"/>
  <c r="CA74" i="511"/>
  <c r="AY75" i="511"/>
  <c r="BZ75" i="511" s="1"/>
  <c r="CA75" i="511"/>
  <c r="AY77" i="511"/>
  <c r="BZ77" i="511" s="1"/>
  <c r="AY78" i="511"/>
  <c r="BZ78" i="511"/>
  <c r="AY80" i="511"/>
  <c r="BZ80" i="511" s="1"/>
  <c r="BY80" i="511"/>
  <c r="CA80" i="511" s="1"/>
  <c r="AY81" i="511"/>
  <c r="BZ81" i="511" s="1"/>
  <c r="CA81" i="511"/>
  <c r="BY83" i="511"/>
  <c r="CA83" i="511"/>
  <c r="AY85" i="511"/>
  <c r="BZ85" i="511" s="1"/>
  <c r="BY85" i="511"/>
  <c r="CA85" i="511" s="1"/>
  <c r="BY86" i="511"/>
  <c r="AY87" i="511"/>
  <c r="BZ87" i="511"/>
  <c r="AY88" i="511"/>
  <c r="BZ88" i="511" s="1"/>
  <c r="AY90" i="511"/>
  <c r="BZ90" i="511" s="1"/>
  <c r="BY91" i="511"/>
  <c r="BY92" i="511"/>
  <c r="AY93" i="511"/>
  <c r="BZ93" i="511"/>
  <c r="BY93" i="511"/>
  <c r="CA93" i="511"/>
  <c r="AY94" i="511"/>
  <c r="BZ94" i="511" s="1"/>
  <c r="AY95" i="511"/>
  <c r="BZ95" i="511" s="1"/>
  <c r="AY96" i="511"/>
  <c r="BZ96" i="511" s="1"/>
  <c r="AY97" i="511"/>
  <c r="BZ97" i="511"/>
  <c r="AY98" i="511"/>
  <c r="BZ98" i="511" s="1"/>
  <c r="BY98" i="511"/>
  <c r="CA98" i="511"/>
  <c r="BY99" i="511"/>
  <c r="CA99" i="511" s="1"/>
  <c r="AY100" i="511"/>
  <c r="BZ100" i="511" s="1"/>
  <c r="AY101" i="511"/>
  <c r="BZ101" i="511"/>
  <c r="BY101" i="511"/>
  <c r="CA101" i="511"/>
  <c r="AY102" i="511"/>
  <c r="BZ102" i="511" s="1"/>
  <c r="AY103" i="511"/>
  <c r="BZ103" i="511" s="1"/>
  <c r="AY105" i="511"/>
  <c r="BZ105" i="511" s="1"/>
  <c r="BZ106" i="511"/>
  <c r="AY109" i="511"/>
  <c r="BZ109" i="511"/>
  <c r="BZ113" i="511"/>
  <c r="AY114" i="511"/>
  <c r="BZ114" i="511"/>
  <c r="BV114" i="511"/>
  <c r="BU114" i="511"/>
  <c r="BY114" i="511" s="1"/>
  <c r="AY115" i="511"/>
  <c r="BZ115" i="511" s="1"/>
  <c r="AY116" i="511"/>
  <c r="BZ116" i="511" s="1"/>
  <c r="AY117" i="511"/>
  <c r="BZ117" i="511" s="1"/>
  <c r="AY118" i="511"/>
  <c r="BZ118" i="511"/>
  <c r="AY120" i="511"/>
  <c r="BZ120" i="511" s="1"/>
  <c r="BY121" i="511"/>
  <c r="AY123" i="511"/>
  <c r="BZ123" i="511" s="1"/>
  <c r="BY123" i="511"/>
  <c r="CA123" i="511" s="1"/>
  <c r="AY124" i="511"/>
  <c r="BZ124" i="511"/>
  <c r="AY125" i="511"/>
  <c r="BZ125" i="511" s="1"/>
  <c r="AY126" i="511"/>
  <c r="BZ126" i="511"/>
  <c r="BZ129" i="511"/>
  <c r="AY132" i="511"/>
  <c r="BZ132" i="511" s="1"/>
  <c r="CA133" i="511"/>
  <c r="AY134" i="511"/>
  <c r="BZ134" i="511"/>
  <c r="CA134" i="511"/>
  <c r="AY135" i="511"/>
  <c r="BZ135" i="511"/>
  <c r="AY136" i="511"/>
  <c r="BZ136" i="511"/>
  <c r="AY138" i="511"/>
  <c r="BZ138" i="511" s="1"/>
  <c r="AY139" i="511"/>
  <c r="BZ139" i="511" s="1"/>
  <c r="BY139" i="511"/>
  <c r="CA139" i="511"/>
  <c r="AY140" i="511"/>
  <c r="BZ140" i="511" s="1"/>
  <c r="BY140" i="511"/>
  <c r="AY142" i="511"/>
  <c r="BZ142" i="511"/>
  <c r="CA142" i="511"/>
  <c r="AY143" i="511"/>
  <c r="BZ143" i="511" s="1"/>
  <c r="AY144" i="511"/>
  <c r="BZ144" i="511" s="1"/>
  <c r="AY145" i="511"/>
  <c r="BZ145" i="511"/>
  <c r="AY146" i="511"/>
  <c r="BZ146" i="511" s="1"/>
  <c r="BY146" i="511"/>
  <c r="CA146" i="511"/>
  <c r="AY147" i="511"/>
  <c r="BZ147" i="511" s="1"/>
  <c r="AY148" i="511"/>
  <c r="BZ148" i="511" s="1"/>
  <c r="AY149" i="511"/>
  <c r="BZ149" i="511"/>
  <c r="AY150" i="511"/>
  <c r="BZ150" i="511"/>
  <c r="AY151" i="511"/>
  <c r="BZ151" i="511" s="1"/>
  <c r="AY152" i="511"/>
  <c r="BZ152" i="511"/>
  <c r="AY154" i="511"/>
  <c r="BZ154" i="511"/>
  <c r="AY155" i="511"/>
  <c r="BZ155" i="511"/>
  <c r="BY155" i="511"/>
  <c r="CA155" i="511" s="1"/>
  <c r="AY156" i="511"/>
  <c r="BZ156" i="511"/>
  <c r="BY157" i="511"/>
  <c r="CA157" i="511"/>
  <c r="AY159" i="511"/>
  <c r="BZ159" i="511"/>
  <c r="AY160" i="511"/>
  <c r="BZ160" i="511"/>
  <c r="BY160" i="511"/>
  <c r="CA160" i="511" s="1"/>
  <c r="AY162" i="511"/>
  <c r="BZ162" i="511"/>
  <c r="BY162" i="511"/>
  <c r="CA162" i="511" s="1"/>
  <c r="AY164" i="511"/>
  <c r="BZ164" i="511" s="1"/>
  <c r="CA164" i="511" s="1"/>
  <c r="BY164" i="511"/>
  <c r="AY165" i="511"/>
  <c r="BZ165" i="511" s="1"/>
  <c r="AY166" i="511"/>
  <c r="BZ166" i="511"/>
  <c r="BY166" i="511"/>
  <c r="CA166" i="511"/>
  <c r="AY167" i="511"/>
  <c r="BZ167" i="511" s="1"/>
  <c r="BY167" i="511"/>
  <c r="AY168" i="511"/>
  <c r="BZ168" i="511" s="1"/>
  <c r="AY169" i="511"/>
  <c r="BZ169" i="511" s="1"/>
  <c r="BY169" i="511"/>
  <c r="CA169" i="511" s="1"/>
  <c r="BY171" i="511"/>
  <c r="CA171" i="511"/>
  <c r="BY172" i="511"/>
  <c r="AY173" i="511"/>
  <c r="BZ173" i="511" s="1"/>
  <c r="AY174" i="511"/>
  <c r="BZ174" i="511" s="1"/>
  <c r="H14" i="479"/>
  <c r="AP10" i="479"/>
  <c r="H42" i="479"/>
  <c r="AC42" i="479" s="1"/>
  <c r="AC54" i="479"/>
  <c r="H88" i="479"/>
  <c r="H89" i="479"/>
  <c r="AC87" i="479"/>
  <c r="AB87" i="479"/>
  <c r="H132" i="479"/>
  <c r="H133" i="479"/>
  <c r="AC129" i="479"/>
  <c r="AC134" i="479"/>
  <c r="AB129" i="479"/>
  <c r="H153" i="479"/>
  <c r="AU151" i="479"/>
  <c r="AC159" i="479"/>
  <c r="AB159" i="479"/>
  <c r="AB161" i="479"/>
  <c r="H198" i="479"/>
  <c r="AK197" i="479"/>
  <c r="AK202" i="479" s="1"/>
  <c r="I205" i="479"/>
  <c r="H226" i="479"/>
  <c r="H229" i="479"/>
  <c r="T225" i="479"/>
  <c r="T227" i="479"/>
  <c r="AZ227" i="479"/>
  <c r="H252" i="479"/>
  <c r="AP250" i="479"/>
  <c r="AP253" i="479"/>
  <c r="H284" i="479"/>
  <c r="H285" i="479" s="1"/>
  <c r="Y282" i="479"/>
  <c r="H330" i="479"/>
  <c r="AY329" i="479"/>
  <c r="AC335" i="479"/>
  <c r="AB335" i="479"/>
  <c r="AB337" i="479" s="1"/>
  <c r="H355" i="479"/>
  <c r="AR353" i="479"/>
  <c r="H388" i="479"/>
  <c r="H391" i="479"/>
  <c r="X387" i="479"/>
  <c r="X389" i="479" s="1"/>
  <c r="H470" i="479"/>
  <c r="Z469" i="479"/>
  <c r="Z481" i="479" s="1"/>
  <c r="AY473" i="479"/>
  <c r="Z479" i="479"/>
  <c r="Y479" i="479"/>
  <c r="H507" i="479"/>
  <c r="H510" i="479"/>
  <c r="T506" i="479"/>
  <c r="T508" i="479"/>
  <c r="H30" i="461"/>
  <c r="AC28" i="461"/>
  <c r="H58" i="461"/>
  <c r="AK50" i="461"/>
  <c r="AB88" i="461"/>
  <c r="AB93" i="461"/>
  <c r="H119" i="461"/>
  <c r="H122" i="461"/>
  <c r="U118" i="461"/>
  <c r="U120" i="461"/>
  <c r="AZ120" i="461" s="1"/>
  <c r="H137" i="461"/>
  <c r="AY136" i="461"/>
  <c r="H142" i="461"/>
  <c r="AY142" i="461" s="1"/>
  <c r="AY141" i="461"/>
  <c r="H198" i="461"/>
  <c r="H199" i="461" s="1"/>
  <c r="H202" i="461"/>
  <c r="H203" i="461"/>
  <c r="AC196" i="461"/>
  <c r="H219" i="461"/>
  <c r="AK218" i="461"/>
  <c r="AK225" i="461" s="1"/>
  <c r="H267" i="461"/>
  <c r="H268" i="461"/>
  <c r="AB266" i="461"/>
  <c r="AB269" i="461" s="1"/>
  <c r="AZ269" i="461"/>
  <c r="H294" i="461"/>
  <c r="H297" i="461" s="1"/>
  <c r="H327" i="461"/>
  <c r="H328" i="461" s="1"/>
  <c r="Z325" i="461"/>
  <c r="Y325" i="461"/>
  <c r="Y329" i="461" s="1"/>
  <c r="H373" i="461"/>
  <c r="AP371" i="461"/>
  <c r="H381" i="461"/>
  <c r="Z381" i="461"/>
  <c r="Z386" i="461" s="1"/>
  <c r="Z384" i="461"/>
  <c r="Y384" i="461"/>
  <c r="H16" i="500"/>
  <c r="AU10" i="500"/>
  <c r="H63" i="500"/>
  <c r="H64" i="500"/>
  <c r="AC62" i="500"/>
  <c r="H101" i="500"/>
  <c r="H102" i="500" s="1"/>
  <c r="AC99" i="500"/>
  <c r="AC103" i="500" s="1"/>
  <c r="AZ103" i="500" s="1"/>
  <c r="H128" i="500"/>
  <c r="X128" i="500" s="1"/>
  <c r="H157" i="500"/>
  <c r="AB156" i="500"/>
  <c r="AB158" i="500" s="1"/>
  <c r="H212" i="500"/>
  <c r="H215" i="500" s="1"/>
  <c r="X211" i="500"/>
  <c r="X213" i="500"/>
  <c r="H249" i="500"/>
  <c r="H250" i="500"/>
  <c r="Y247" i="500"/>
  <c r="Y251" i="500" s="1"/>
  <c r="H319" i="500"/>
  <c r="AB318" i="500"/>
  <c r="AB320" i="500"/>
  <c r="H361" i="500"/>
  <c r="H362" i="500" s="1"/>
  <c r="AB359" i="500"/>
  <c r="AB363" i="500" s="1"/>
  <c r="H388" i="500"/>
  <c r="H391" i="500" s="1"/>
  <c r="X387" i="500"/>
  <c r="X389" i="500"/>
  <c r="H12" i="517"/>
  <c r="AY11" i="517"/>
  <c r="H46" i="517"/>
  <c r="Z45" i="517"/>
  <c r="Y45" i="517"/>
  <c r="H72" i="517"/>
  <c r="H75" i="517" s="1"/>
  <c r="T71" i="517"/>
  <c r="T73" i="517"/>
  <c r="BD73" i="517"/>
  <c r="H91" i="517"/>
  <c r="X91" i="517" s="1"/>
  <c r="X101" i="517" s="1"/>
  <c r="X90" i="517"/>
  <c r="H96" i="517"/>
  <c r="X96" i="517" s="1"/>
  <c r="X95" i="517"/>
  <c r="H130" i="517"/>
  <c r="X126" i="517"/>
  <c r="X128" i="517"/>
  <c r="BD128" i="517" s="1"/>
  <c r="N142" i="517"/>
  <c r="H153" i="517"/>
  <c r="H156" i="517" s="1"/>
  <c r="T152" i="517"/>
  <c r="T154" i="517"/>
  <c r="U57" i="202"/>
  <c r="CD445" i="397"/>
  <c r="CC445" i="397"/>
  <c r="CC446" i="397"/>
  <c r="AY12" i="517"/>
  <c r="AY23" i="517"/>
  <c r="H375" i="461"/>
  <c r="AP373" i="461"/>
  <c r="AK219" i="461"/>
  <c r="H224" i="461"/>
  <c r="AY137" i="461"/>
  <c r="AY147" i="461" s="1"/>
  <c r="H146" i="461"/>
  <c r="Z470" i="479"/>
  <c r="AY330" i="479"/>
  <c r="H336" i="479"/>
  <c r="AK198" i="479"/>
  <c r="H155" i="479"/>
  <c r="H157" i="479" s="1"/>
  <c r="AU157" i="479" s="1"/>
  <c r="AU153" i="479"/>
  <c r="AR200" i="445"/>
  <c r="BG94" i="202"/>
  <c r="BE445" i="397"/>
  <c r="BF445" i="397" s="1"/>
  <c r="CG445" i="397" s="1"/>
  <c r="CE445" i="397"/>
  <c r="CF445" i="397" s="1"/>
  <c r="CD446" i="397"/>
  <c r="BE455" i="397"/>
  <c r="BF455" i="397" s="1"/>
  <c r="CG455" i="397" s="1"/>
  <c r="AU155" i="479"/>
  <c r="BE456" i="397"/>
  <c r="BE446" i="397"/>
  <c r="BF446" i="397" s="1"/>
  <c r="CE446" i="397"/>
  <c r="BG95" i="202"/>
  <c r="BD462" i="397"/>
  <c r="BF462" i="397" s="1"/>
  <c r="CG462" i="397" s="1"/>
  <c r="A462" i="397"/>
  <c r="BG93" i="202"/>
  <c r="BG101" i="202"/>
  <c r="BG105" i="202"/>
  <c r="BG100" i="202"/>
  <c r="A460" i="397"/>
  <c r="BD460" i="397"/>
  <c r="BD456" i="397"/>
  <c r="BD455" i="397"/>
  <c r="A455" i="397"/>
  <c r="A456" i="397"/>
  <c r="X97" i="202"/>
  <c r="Z97" i="202"/>
  <c r="AA97" i="202"/>
  <c r="BD458" i="397"/>
  <c r="BZ440" i="397"/>
  <c r="BZ444" i="397"/>
  <c r="CF444" i="397" s="1"/>
  <c r="BZ449" i="397"/>
  <c r="A458" i="397"/>
  <c r="BZ446" i="397"/>
  <c r="BD452" i="397"/>
  <c r="BD445" i="397"/>
  <c r="BZ439" i="397"/>
  <c r="BD451" i="397"/>
  <c r="BF451" i="397" s="1"/>
  <c r="CG451" i="397" s="1"/>
  <c r="A452" i="397"/>
  <c r="CA452" i="397"/>
  <c r="CB452" i="397"/>
  <c r="BG107" i="202"/>
  <c r="BG109" i="202"/>
  <c r="BG111" i="202"/>
  <c r="BG113" i="202"/>
  <c r="BG115" i="202"/>
  <c r="BG122" i="202"/>
  <c r="BG131" i="202"/>
  <c r="BG127" i="202"/>
  <c r="BG129" i="202"/>
  <c r="BG136" i="202"/>
  <c r="BG137" i="202"/>
  <c r="A451" i="397"/>
  <c r="BG145" i="202"/>
  <c r="CA451" i="397"/>
  <c r="CB451" i="397"/>
  <c r="BG154" i="202"/>
  <c r="BG151" i="202"/>
  <c r="BG153" i="202"/>
  <c r="Y161" i="202"/>
  <c r="BD446" i="397"/>
  <c r="BD449" i="397"/>
  <c r="BD447" i="397"/>
  <c r="BZ447" i="397"/>
  <c r="A449" i="397"/>
  <c r="CB449" i="397"/>
  <c r="CA449" i="397"/>
  <c r="CE447" i="397"/>
  <c r="BE447" i="397"/>
  <c r="A447" i="397"/>
  <c r="CA447" i="397"/>
  <c r="CB447" i="397"/>
  <c r="Z118" i="202"/>
  <c r="U118" i="202"/>
  <c r="X118" i="202"/>
  <c r="AA118" i="202"/>
  <c r="P118" i="202"/>
  <c r="A446" i="397"/>
  <c r="CA446" i="397"/>
  <c r="CB446" i="397"/>
  <c r="BD443" i="397"/>
  <c r="BD444" i="397"/>
  <c r="BF444" i="397" s="1"/>
  <c r="BD442" i="397"/>
  <c r="A445" i="397"/>
  <c r="CA445" i="397"/>
  <c r="CB445" i="397"/>
  <c r="BD439" i="397"/>
  <c r="A444" i="397"/>
  <c r="CA444" i="397"/>
  <c r="CB444" i="397"/>
  <c r="A443" i="397"/>
  <c r="CA443" i="397"/>
  <c r="CB443" i="397"/>
  <c r="BD440" i="397"/>
  <c r="BF440" i="397" s="1"/>
  <c r="CG440" i="397" s="1"/>
  <c r="A439" i="397"/>
  <c r="CA439" i="397"/>
  <c r="CB439" i="397"/>
  <c r="A440" i="397"/>
  <c r="CA440" i="397"/>
  <c r="CB440" i="397"/>
  <c r="BD438" i="397"/>
  <c r="BF438" i="397" s="1"/>
  <c r="CG438" i="397" s="1"/>
  <c r="BD434" i="397"/>
  <c r="BD436" i="397"/>
  <c r="A438" i="397"/>
  <c r="CA438" i="397"/>
  <c r="CB438" i="397"/>
  <c r="A434" i="397"/>
  <c r="BD425" i="397"/>
  <c r="CA434" i="397"/>
  <c r="CB434" i="397"/>
  <c r="BG146" i="202"/>
  <c r="X140" i="202"/>
  <c r="AA140" i="202"/>
  <c r="Z140" i="202"/>
  <c r="P140" i="202"/>
  <c r="BE426" i="397"/>
  <c r="BD431" i="397"/>
  <c r="BF431" i="397" s="1"/>
  <c r="CG431" i="397" s="1"/>
  <c r="A425" i="397"/>
  <c r="CA425" i="397"/>
  <c r="CB425" i="397"/>
  <c r="BG152" i="202"/>
  <c r="A436" i="397"/>
  <c r="CA436" i="397"/>
  <c r="CB436" i="397"/>
  <c r="BD433" i="397"/>
  <c r="A431" i="397"/>
  <c r="CA431" i="397"/>
  <c r="CF431" i="397" s="1"/>
  <c r="CB431" i="397"/>
  <c r="BD432" i="397"/>
  <c r="BF432" i="397"/>
  <c r="CG432" i="397"/>
  <c r="X161" i="202"/>
  <c r="BG158" i="202"/>
  <c r="U162" i="202"/>
  <c r="Z162" i="202"/>
  <c r="AA162" i="202"/>
  <c r="A433" i="397"/>
  <c r="CA433" i="397"/>
  <c r="CF433" i="397" s="1"/>
  <c r="CH433" i="397" s="1"/>
  <c r="CB433" i="397"/>
  <c r="A432" i="397"/>
  <c r="CA432" i="397"/>
  <c r="CB432" i="397"/>
  <c r="BD428" i="397"/>
  <c r="BD430" i="397"/>
  <c r="BF430" i="397"/>
  <c r="CG430" i="397"/>
  <c r="BD429" i="397"/>
  <c r="BF429" i="397" s="1"/>
  <c r="A429" i="397"/>
  <c r="CA429" i="397"/>
  <c r="CB429" i="397"/>
  <c r="A428" i="397"/>
  <c r="CA428" i="397"/>
  <c r="CB428" i="397"/>
  <c r="AF366" i="397"/>
  <c r="AG366" i="397"/>
  <c r="AN366" i="397"/>
  <c r="AO366" i="397"/>
  <c r="CA152" i="397"/>
  <c r="CF152" i="397" s="1"/>
  <c r="CH152" i="397" s="1"/>
  <c r="CB152" i="397"/>
  <c r="BG172" i="202"/>
  <c r="BG171" i="202"/>
  <c r="BG174" i="202"/>
  <c r="CD152" i="397"/>
  <c r="V182" i="202"/>
  <c r="BG177" i="202"/>
  <c r="CE152" i="397"/>
  <c r="BE152" i="397"/>
  <c r="BF152" i="397" s="1"/>
  <c r="CG152" i="397" s="1"/>
  <c r="BD427" i="397"/>
  <c r="BF427" i="397"/>
  <c r="CG427" i="397"/>
  <c r="U182" i="202"/>
  <c r="U183" i="202"/>
  <c r="A427" i="397"/>
  <c r="BG181" i="202"/>
  <c r="CA427" i="397"/>
  <c r="CB427" i="397"/>
  <c r="BD426" i="397"/>
  <c r="AR366" i="397"/>
  <c r="AX366" i="397"/>
  <c r="BD424" i="397"/>
  <c r="CA426" i="397"/>
  <c r="CB426" i="397"/>
  <c r="A426" i="397"/>
  <c r="A424" i="397"/>
  <c r="CA424" i="397"/>
  <c r="CB424" i="397"/>
  <c r="CF424" i="397" s="1"/>
  <c r="BD423" i="397"/>
  <c r="BF423" i="397" s="1"/>
  <c r="CG423" i="397" s="1"/>
  <c r="A423" i="397"/>
  <c r="CA423" i="397"/>
  <c r="CF423" i="397" s="1"/>
  <c r="CH423" i="397" s="1"/>
  <c r="CB423" i="397"/>
  <c r="Z183" i="202"/>
  <c r="X183" i="202"/>
  <c r="AA183" i="202"/>
  <c r="BG192" i="202"/>
  <c r="BD421" i="397"/>
  <c r="BF421" i="397" s="1"/>
  <c r="CG421" i="397" s="1"/>
  <c r="BD420" i="397"/>
  <c r="BF420" i="397" s="1"/>
  <c r="CG420" i="397" s="1"/>
  <c r="A420" i="397"/>
  <c r="CA420" i="397"/>
  <c r="CF420" i="397" s="1"/>
  <c r="CH420" i="397" s="1"/>
  <c r="CB420" i="397"/>
  <c r="A421" i="397"/>
  <c r="CA421" i="397"/>
  <c r="CF421" i="397" s="1"/>
  <c r="CB421" i="397"/>
  <c r="A419" i="397"/>
  <c r="CA419" i="397"/>
  <c r="CB419" i="397"/>
  <c r="BD419" i="397"/>
  <c r="BF419" i="397" s="1"/>
  <c r="CG419" i="397" s="1"/>
  <c r="N122" i="633"/>
  <c r="V203" i="202"/>
  <c r="BA4" i="637"/>
  <c r="CB4" i="637"/>
  <c r="BA5" i="637"/>
  <c r="CB5" i="637"/>
  <c r="CC5" i="637"/>
  <c r="CA6" i="637"/>
  <c r="CA7" i="637"/>
  <c r="CC7" i="637" s="1"/>
  <c r="BA8" i="637"/>
  <c r="CB8" i="637" s="1"/>
  <c r="CB9" i="637"/>
  <c r="CC9" i="637" s="1"/>
  <c r="CA9" i="637"/>
  <c r="CA10" i="637"/>
  <c r="CC10" i="637"/>
  <c r="BA11" i="637"/>
  <c r="CB11" i="637" s="1"/>
  <c r="S163" i="637"/>
  <c r="X12" i="637"/>
  <c r="BA12" i="637"/>
  <c r="CB12" i="637" s="1"/>
  <c r="BA13" i="637"/>
  <c r="CB13" i="637"/>
  <c r="BA14" i="637"/>
  <c r="CB14" i="637" s="1"/>
  <c r="CA14" i="637"/>
  <c r="CC14" i="637" s="1"/>
  <c r="BA15" i="637"/>
  <c r="CB15" i="637"/>
  <c r="CC15" i="637" s="1"/>
  <c r="CA15" i="637"/>
  <c r="BA16" i="637"/>
  <c r="CB16" i="637" s="1"/>
  <c r="CA16" i="637"/>
  <c r="CC16" i="637"/>
  <c r="BA17" i="637"/>
  <c r="CB17" i="637" s="1"/>
  <c r="CA17" i="637"/>
  <c r="CC17" i="637" s="1"/>
  <c r="BA18" i="637"/>
  <c r="CB18" i="637" s="1"/>
  <c r="CC18" i="637" s="1"/>
  <c r="CA18" i="637"/>
  <c r="BA19" i="637"/>
  <c r="CB19" i="637" s="1"/>
  <c r="CC19" i="637" s="1"/>
  <c r="CA19" i="637"/>
  <c r="BA20" i="637"/>
  <c r="CB20" i="637"/>
  <c r="CA20" i="637"/>
  <c r="CC20" i="637"/>
  <c r="BA21" i="637"/>
  <c r="CB21" i="637"/>
  <c r="CA21" i="637"/>
  <c r="BA22" i="637"/>
  <c r="CB22" i="637" s="1"/>
  <c r="CA22" i="637"/>
  <c r="BA23" i="637"/>
  <c r="CB23" i="637"/>
  <c r="CA23" i="637"/>
  <c r="CC23" i="637" s="1"/>
  <c r="BA24" i="637"/>
  <c r="CB24" i="637"/>
  <c r="CA24" i="637"/>
  <c r="CC24" i="637" s="1"/>
  <c r="BA25" i="637"/>
  <c r="CB25" i="637"/>
  <c r="CA25" i="637"/>
  <c r="CC25" i="637" s="1"/>
  <c r="BA26" i="637"/>
  <c r="CB26" i="637" s="1"/>
  <c r="CC26" i="637" s="1"/>
  <c r="CA26" i="637"/>
  <c r="BA27" i="637"/>
  <c r="CB27" i="637" s="1"/>
  <c r="CA27" i="637"/>
  <c r="CC27" i="637" s="1"/>
  <c r="BA28" i="637"/>
  <c r="CB28" i="637" s="1"/>
  <c r="CA28" i="637"/>
  <c r="BA29" i="637"/>
  <c r="CB29" i="637" s="1"/>
  <c r="CA29" i="637"/>
  <c r="CC29" i="637"/>
  <c r="BA30" i="637"/>
  <c r="CB30" i="637" s="1"/>
  <c r="CA30" i="637"/>
  <c r="BA31" i="637"/>
  <c r="CB31" i="637"/>
  <c r="CA31" i="637"/>
  <c r="CC31" i="637"/>
  <c r="BA32" i="637"/>
  <c r="CB32" i="637" s="1"/>
  <c r="BA33" i="637"/>
  <c r="CB33" i="637"/>
  <c r="BA34" i="637"/>
  <c r="CB34" i="637"/>
  <c r="BA35" i="637"/>
  <c r="CB35" i="637" s="1"/>
  <c r="BA36" i="637"/>
  <c r="CB36" i="637" s="1"/>
  <c r="CA36" i="637"/>
  <c r="BA37" i="637"/>
  <c r="CB37" i="637" s="1"/>
  <c r="BA38" i="637"/>
  <c r="CB38" i="637" s="1"/>
  <c r="BA39" i="637"/>
  <c r="CB39" i="637"/>
  <c r="CC39" i="637" s="1"/>
  <c r="CA39" i="637"/>
  <c r="BA40" i="637"/>
  <c r="CB40" i="637" s="1"/>
  <c r="CA40" i="637"/>
  <c r="BA41" i="637"/>
  <c r="CB41" i="637"/>
  <c r="CA41" i="637"/>
  <c r="CC41" i="637" s="1"/>
  <c r="BA42" i="637"/>
  <c r="CB42" i="637" s="1"/>
  <c r="CA42" i="637"/>
  <c r="CC42" i="637" s="1"/>
  <c r="BA43" i="637"/>
  <c r="CB43" i="637" s="1"/>
  <c r="CC43" i="637" s="1"/>
  <c r="CA43" i="637"/>
  <c r="BA44" i="637"/>
  <c r="CB44" i="637"/>
  <c r="CA44" i="637"/>
  <c r="CC44" i="637"/>
  <c r="BA45" i="637"/>
  <c r="CB45" i="637"/>
  <c r="CA45" i="637"/>
  <c r="CC45" i="637"/>
  <c r="BA46" i="637"/>
  <c r="CB46" i="637" s="1"/>
  <c r="CC46" i="637" s="1"/>
  <c r="CA46" i="637"/>
  <c r="BA47" i="637"/>
  <c r="CB47" i="637" s="1"/>
  <c r="CA47" i="637"/>
  <c r="CC47" i="637" s="1"/>
  <c r="BA48" i="637"/>
  <c r="CB48" i="637"/>
  <c r="CA48" i="637"/>
  <c r="CC48" i="637" s="1"/>
  <c r="BA49" i="637"/>
  <c r="CB49" i="637"/>
  <c r="CC49" i="637"/>
  <c r="BA50" i="637"/>
  <c r="CB50" i="637"/>
  <c r="BA51" i="637"/>
  <c r="CB51" i="637"/>
  <c r="CA51" i="637"/>
  <c r="CC51" i="637"/>
  <c r="BA52" i="637"/>
  <c r="CB52" i="637" s="1"/>
  <c r="CC52" i="637" s="1"/>
  <c r="CA52" i="637"/>
  <c r="CB53" i="637"/>
  <c r="CA53" i="637"/>
  <c r="CC53" i="637" s="1"/>
  <c r="BA54" i="637"/>
  <c r="CB54" i="637"/>
  <c r="CA54" i="637"/>
  <c r="CC54" i="637" s="1"/>
  <c r="BA55" i="637"/>
  <c r="CB55" i="637"/>
  <c r="CA55" i="637"/>
  <c r="CC55" i="637" s="1"/>
  <c r="BA56" i="637"/>
  <c r="CB56" i="637"/>
  <c r="CC56" i="637" s="1"/>
  <c r="BA57" i="637"/>
  <c r="CB57" i="637"/>
  <c r="CC57" i="637" s="1"/>
  <c r="CA57" i="637"/>
  <c r="BA58" i="637"/>
  <c r="CB58" i="637"/>
  <c r="CA58" i="637"/>
  <c r="CC58" i="637"/>
  <c r="BA59" i="637"/>
  <c r="CB59" i="637"/>
  <c r="BA60" i="637"/>
  <c r="CB60" i="637" s="1"/>
  <c r="CC60" i="637" s="1"/>
  <c r="CA60" i="637"/>
  <c r="BA61" i="637"/>
  <c r="CB61" i="637"/>
  <c r="CA61" i="637"/>
  <c r="CC61" i="637"/>
  <c r="BA62" i="637"/>
  <c r="CB62" i="637" s="1"/>
  <c r="BA63" i="637"/>
  <c r="CB63" i="637"/>
  <c r="CA63" i="637"/>
  <c r="CC63" i="637"/>
  <c r="BA64" i="637"/>
  <c r="CB64" i="637"/>
  <c r="CA64" i="637"/>
  <c r="CC64" i="637"/>
  <c r="Y65" i="637"/>
  <c r="X65" i="637"/>
  <c r="BA65" i="637"/>
  <c r="CB65" i="637" s="1"/>
  <c r="CC65" i="637" s="1"/>
  <c r="CA65" i="637"/>
  <c r="BA66" i="637"/>
  <c r="CB66" i="637"/>
  <c r="CA66" i="637"/>
  <c r="CC66" i="637" s="1"/>
  <c r="BA67" i="637"/>
  <c r="CB67" i="637"/>
  <c r="CA67" i="637"/>
  <c r="CC67" i="637"/>
  <c r="BA68" i="637"/>
  <c r="CB68" i="637"/>
  <c r="CA68" i="637"/>
  <c r="CC68" i="637"/>
  <c r="BA69" i="637"/>
  <c r="CB69" i="637"/>
  <c r="CA69" i="637"/>
  <c r="CC69" i="637"/>
  <c r="BA70" i="637"/>
  <c r="CB70" i="637" s="1"/>
  <c r="BA71" i="637"/>
  <c r="CB71" i="637"/>
  <c r="CA71" i="637"/>
  <c r="CC71" i="637" s="1"/>
  <c r="BA72" i="637"/>
  <c r="CB72" i="637"/>
  <c r="CC72" i="637"/>
  <c r="BA73" i="637"/>
  <c r="CB73" i="637" s="1"/>
  <c r="BA74" i="637"/>
  <c r="CB74" i="637"/>
  <c r="CA74" i="637"/>
  <c r="CC74" i="637"/>
  <c r="BA75" i="637"/>
  <c r="CB75" i="637"/>
  <c r="BA76" i="637"/>
  <c r="CB76" i="637"/>
  <c r="CA76" i="637"/>
  <c r="CC76" i="637" s="1"/>
  <c r="BA77" i="637"/>
  <c r="CB77" i="637" s="1"/>
  <c r="CA77" i="637"/>
  <c r="BA78" i="637"/>
  <c r="CB78" i="637" s="1"/>
  <c r="BA79" i="637"/>
  <c r="CB79" i="637"/>
  <c r="CA79" i="637"/>
  <c r="CC79" i="637"/>
  <c r="BA80" i="637"/>
  <c r="CB80" i="637" s="1"/>
  <c r="CA80" i="637"/>
  <c r="CC80" i="637" s="1"/>
  <c r="BA81" i="637"/>
  <c r="CB81" i="637"/>
  <c r="BA82" i="637"/>
  <c r="CB82" i="637"/>
  <c r="BA83" i="637"/>
  <c r="CB83" i="637" s="1"/>
  <c r="CA83" i="637"/>
  <c r="CC83" i="637"/>
  <c r="BA84" i="637"/>
  <c r="CB84" i="637"/>
  <c r="CA84" i="637"/>
  <c r="BA85" i="637"/>
  <c r="CB85" i="637"/>
  <c r="BA86" i="637"/>
  <c r="CB86" i="637"/>
  <c r="BX86" i="637"/>
  <c r="BW86" i="637"/>
  <c r="BA87" i="637"/>
  <c r="CB87" i="637"/>
  <c r="CC87" i="637" s="1"/>
  <c r="BA88" i="637"/>
  <c r="CB88" i="637" s="1"/>
  <c r="BX88" i="637"/>
  <c r="BW88" i="637"/>
  <c r="BA89" i="637"/>
  <c r="CB89" i="637" s="1"/>
  <c r="BA90" i="637"/>
  <c r="CB90" i="637" s="1"/>
  <c r="BA91" i="637"/>
  <c r="CB91" i="637" s="1"/>
  <c r="CC91" i="637"/>
  <c r="BA92" i="637"/>
  <c r="CB92" i="637"/>
  <c r="CC92" i="637"/>
  <c r="BA93" i="637"/>
  <c r="CB93" i="637" s="1"/>
  <c r="BA94" i="637"/>
  <c r="CB94" i="637"/>
  <c r="BX94" i="637"/>
  <c r="BW94" i="637"/>
  <c r="CA94" i="637" s="1"/>
  <c r="BA96" i="637"/>
  <c r="CB96" i="637" s="1"/>
  <c r="BA97" i="637"/>
  <c r="CB97" i="637"/>
  <c r="CC97" i="637"/>
  <c r="BA98" i="637"/>
  <c r="CB98" i="637"/>
  <c r="BA99" i="637"/>
  <c r="CB99" i="637"/>
  <c r="BA100" i="637"/>
  <c r="CB100" i="637"/>
  <c r="CA100" i="637"/>
  <c r="CC100" i="637"/>
  <c r="BA101" i="637"/>
  <c r="CB101" i="637" s="1"/>
  <c r="BA102" i="637"/>
  <c r="CB102" i="637" s="1"/>
  <c r="CA102" i="637"/>
  <c r="CC102" i="637"/>
  <c r="BA103" i="637"/>
  <c r="CB103" i="637" s="1"/>
  <c r="CA103" i="637"/>
  <c r="CC103" i="637" s="1"/>
  <c r="BA104" i="637"/>
  <c r="CB104" i="637"/>
  <c r="BA105" i="637"/>
  <c r="CB105" i="637" s="1"/>
  <c r="CA105" i="637"/>
  <c r="CB106" i="637"/>
  <c r="CA106" i="637"/>
  <c r="BA107" i="637"/>
  <c r="CB107" i="637"/>
  <c r="BA108" i="637"/>
  <c r="CB108" i="637"/>
  <c r="CA108" i="637"/>
  <c r="CC108" i="637" s="1"/>
  <c r="BA110" i="637"/>
  <c r="CB110" i="637"/>
  <c r="CA110" i="637"/>
  <c r="CC110" i="637" s="1"/>
  <c r="BA111" i="637"/>
  <c r="CB111" i="637" s="1"/>
  <c r="CA111" i="637"/>
  <c r="BA112" i="637"/>
  <c r="CB112" i="637" s="1"/>
  <c r="BA113" i="637"/>
  <c r="CB113" i="637" s="1"/>
  <c r="CA113" i="637"/>
  <c r="CC113" i="637"/>
  <c r="CA114" i="637"/>
  <c r="BA115" i="637"/>
  <c r="CB115" i="637"/>
  <c r="BA116" i="637"/>
  <c r="CB116" i="637"/>
  <c r="CC116" i="637"/>
  <c r="BA117" i="637"/>
  <c r="CB117" i="637" s="1"/>
  <c r="BA118" i="637"/>
  <c r="CB118" i="637"/>
  <c r="BA120" i="637"/>
  <c r="CB120" i="637"/>
  <c r="BA121" i="637"/>
  <c r="CB121" i="637" s="1"/>
  <c r="CA121" i="637"/>
  <c r="CC121" i="637" s="1"/>
  <c r="BA122" i="637"/>
  <c r="CB122" i="637"/>
  <c r="BA123" i="637"/>
  <c r="CB123" i="637"/>
  <c r="CA123" i="637"/>
  <c r="CC123" i="637"/>
  <c r="BA125" i="637"/>
  <c r="CB125" i="637" s="1"/>
  <c r="BA126" i="637"/>
  <c r="CB126" i="637" s="1"/>
  <c r="BA127" i="637"/>
  <c r="CB127" i="637"/>
  <c r="BA129" i="637"/>
  <c r="CB129" i="637" s="1"/>
  <c r="BA130" i="637"/>
  <c r="CB130" i="637"/>
  <c r="CA130" i="637"/>
  <c r="CC130" i="637"/>
  <c r="CA131" i="637"/>
  <c r="BA132" i="637"/>
  <c r="CB132" i="637" s="1"/>
  <c r="BA133" i="637"/>
  <c r="CB133" i="637"/>
  <c r="CC133" i="637" s="1"/>
  <c r="CA133" i="637"/>
  <c r="BA134" i="637"/>
  <c r="CB134" i="637" s="1"/>
  <c r="CA134" i="637"/>
  <c r="CC134" i="637"/>
  <c r="BA135" i="637"/>
  <c r="CB135" i="637"/>
  <c r="CA135" i="637"/>
  <c r="CA136" i="637"/>
  <c r="BA137" i="637"/>
  <c r="CB137" i="637" s="1"/>
  <c r="CA137" i="637"/>
  <c r="CC137" i="637"/>
  <c r="BA138" i="637"/>
  <c r="CB138" i="637" s="1"/>
  <c r="CA138" i="637"/>
  <c r="CC138" i="637"/>
  <c r="BA139" i="637"/>
  <c r="CB139" i="637" s="1"/>
  <c r="BA140" i="637"/>
  <c r="CB140" i="637"/>
  <c r="CA140" i="637"/>
  <c r="CC140" i="637" s="1"/>
  <c r="BA141" i="637"/>
  <c r="CB141" i="637"/>
  <c r="CA141" i="637"/>
  <c r="BA142" i="637"/>
  <c r="CB142" i="637" s="1"/>
  <c r="BA143" i="637"/>
  <c r="CB143" i="637" s="1"/>
  <c r="CA143" i="637"/>
  <c r="V144" i="637"/>
  <c r="U144" i="637"/>
  <c r="BA144" i="637"/>
  <c r="CB144" i="637"/>
  <c r="CC144" i="637" s="1"/>
  <c r="CA144" i="637"/>
  <c r="BA145" i="637"/>
  <c r="CB145" i="637" s="1"/>
  <c r="BA146" i="637"/>
  <c r="CB146" i="637" s="1"/>
  <c r="CA146" i="637"/>
  <c r="BA147" i="637"/>
  <c r="CB147" i="637"/>
  <c r="CA147" i="637"/>
  <c r="CC147" i="637"/>
  <c r="BA148" i="637"/>
  <c r="CB148" i="637" s="1"/>
  <c r="CA148" i="637"/>
  <c r="V149" i="637"/>
  <c r="U149" i="637"/>
  <c r="BA149" i="637"/>
  <c r="CB149" i="637"/>
  <c r="CA149" i="637"/>
  <c r="CC149" i="637" s="1"/>
  <c r="BA150" i="637"/>
  <c r="CB150" i="637"/>
  <c r="CA150" i="637"/>
  <c r="BA151" i="637"/>
  <c r="CB151" i="637" s="1"/>
  <c r="CA151" i="637"/>
  <c r="BA152" i="637"/>
  <c r="CB152" i="637" s="1"/>
  <c r="CA152" i="637"/>
  <c r="CC152" i="637"/>
  <c r="BA153" i="637"/>
  <c r="CB153" i="637"/>
  <c r="CA153" i="637"/>
  <c r="CC153" i="637" s="1"/>
  <c r="BA154" i="637"/>
  <c r="CB154" i="637"/>
  <c r="CA154" i="637"/>
  <c r="CC154" i="637"/>
  <c r="BA155" i="637"/>
  <c r="CB155" i="637"/>
  <c r="CA155" i="637"/>
  <c r="BA156" i="637"/>
  <c r="CB156" i="637" s="1"/>
  <c r="CA156" i="637"/>
  <c r="CC156" i="637" s="1"/>
  <c r="BA157" i="637"/>
  <c r="CB157" i="637"/>
  <c r="CA157" i="637"/>
  <c r="BA158" i="637"/>
  <c r="CB158" i="637" s="1"/>
  <c r="CC158" i="637" s="1"/>
  <c r="CA158" i="637"/>
  <c r="V159" i="637"/>
  <c r="U159" i="637"/>
  <c r="CB159" i="637"/>
  <c r="BA160" i="637"/>
  <c r="CB160" i="637" s="1"/>
  <c r="Y161" i="637"/>
  <c r="X161" i="637"/>
  <c r="BA161" i="637"/>
  <c r="CB161" i="637"/>
  <c r="CA161" i="637"/>
  <c r="CC161" i="637" s="1"/>
  <c r="BA162" i="637"/>
  <c r="CB162" i="637" s="1"/>
  <c r="H106" i="633"/>
  <c r="V163" i="637"/>
  <c r="BG195" i="202"/>
  <c r="BG200" i="202"/>
  <c r="BD418" i="397"/>
  <c r="CC404" i="397"/>
  <c r="BE399" i="397"/>
  <c r="CC399" i="397"/>
  <c r="CD399" i="397"/>
  <c r="CD303" i="397"/>
  <c r="CE303" i="397"/>
  <c r="CC303" i="397"/>
  <c r="BE403" i="397"/>
  <c r="CD403" i="397"/>
  <c r="CC403" i="397"/>
  <c r="CD406" i="397"/>
  <c r="CD305" i="397"/>
  <c r="CC406" i="397"/>
  <c r="AC238" i="652"/>
  <c r="AC243" i="652" s="1"/>
  <c r="AB238" i="652"/>
  <c r="AK278" i="652"/>
  <c r="AK288" i="652"/>
  <c r="BE263" i="652"/>
  <c r="H241" i="652"/>
  <c r="H242" i="652" s="1"/>
  <c r="AB243" i="652"/>
  <c r="AR225" i="202"/>
  <c r="AC202" i="652"/>
  <c r="AB202" i="652"/>
  <c r="H197" i="652"/>
  <c r="H198" i="652"/>
  <c r="AB195" i="652"/>
  <c r="AB199" i="652"/>
  <c r="H166" i="652"/>
  <c r="H169" i="652"/>
  <c r="X165" i="652"/>
  <c r="X167" i="652" s="1"/>
  <c r="H133" i="652"/>
  <c r="AC131" i="652"/>
  <c r="Z140" i="652"/>
  <c r="Z142" i="652" s="1"/>
  <c r="Y140" i="652"/>
  <c r="Y142" i="652" s="1"/>
  <c r="H113" i="652"/>
  <c r="H114" i="652"/>
  <c r="Z112" i="652"/>
  <c r="Z115" i="652"/>
  <c r="Y112" i="652"/>
  <c r="Y115" i="652"/>
  <c r="H78" i="652"/>
  <c r="X78" i="652" s="1"/>
  <c r="X76" i="652"/>
  <c r="H54" i="652"/>
  <c r="H55" i="652"/>
  <c r="H58" i="652" s="1"/>
  <c r="H16" i="652"/>
  <c r="AY14" i="652"/>
  <c r="AC20" i="652"/>
  <c r="AB20" i="652"/>
  <c r="AC413" i="633"/>
  <c r="AC423" i="633" s="1"/>
  <c r="AB413" i="633"/>
  <c r="H417" i="633"/>
  <c r="AT415" i="633"/>
  <c r="H393" i="633"/>
  <c r="H394" i="633" s="1"/>
  <c r="AC392" i="633"/>
  <c r="AC395" i="633"/>
  <c r="AB392" i="633"/>
  <c r="CC295" i="397"/>
  <c r="CC321" i="397"/>
  <c r="CC407" i="397"/>
  <c r="CC339" i="397"/>
  <c r="CC342" i="397"/>
  <c r="CC400" i="397"/>
  <c r="CC338" i="397"/>
  <c r="CC312" i="397"/>
  <c r="CC300" i="397"/>
  <c r="CC414" i="397"/>
  <c r="CC324" i="397"/>
  <c r="CC340" i="397"/>
  <c r="CC301" i="397"/>
  <c r="CC415" i="397"/>
  <c r="CC402" i="397"/>
  <c r="CC405" i="397"/>
  <c r="CC308" i="397"/>
  <c r="CC351" i="397"/>
  <c r="CC416" i="397"/>
  <c r="CC398" i="397"/>
  <c r="AC351" i="633"/>
  <c r="AB351" i="633"/>
  <c r="H347" i="633"/>
  <c r="AZ345" i="633"/>
  <c r="BG210" i="202"/>
  <c r="AC325" i="633"/>
  <c r="BB325" i="633"/>
  <c r="H276" i="633"/>
  <c r="AR274" i="633"/>
  <c r="AC284" i="633"/>
  <c r="AB284" i="633"/>
  <c r="AB286" i="633"/>
  <c r="N245" i="633"/>
  <c r="H256" i="633"/>
  <c r="H257" i="633" s="1"/>
  <c r="Y253" i="633"/>
  <c r="AU203" i="202"/>
  <c r="AB204" i="202" s="1"/>
  <c r="BG196" i="202"/>
  <c r="U203" i="202"/>
  <c r="H198" i="633"/>
  <c r="AT197" i="633"/>
  <c r="H202" i="633"/>
  <c r="AR200" i="633"/>
  <c r="BB184" i="633"/>
  <c r="AC291" i="652"/>
  <c r="AB291" i="652"/>
  <c r="AC246" i="652"/>
  <c r="AB246" i="652"/>
  <c r="X83" i="652"/>
  <c r="H82" i="652"/>
  <c r="H85" i="652"/>
  <c r="H86" i="652" s="1"/>
  <c r="CD295" i="397"/>
  <c r="CD339" i="397"/>
  <c r="CD407" i="397"/>
  <c r="CD400" i="397"/>
  <c r="CD338" i="397"/>
  <c r="CD300" i="397"/>
  <c r="CD324" i="397"/>
  <c r="CD414" i="397"/>
  <c r="CD340" i="397"/>
  <c r="CD308" i="397"/>
  <c r="CD405" i="397"/>
  <c r="CD402" i="397"/>
  <c r="CD415" i="397"/>
  <c r="CD398" i="397"/>
  <c r="CE416" i="397"/>
  <c r="CD416" i="397"/>
  <c r="CD351" i="397"/>
  <c r="BG211" i="202"/>
  <c r="AZ347" i="633"/>
  <c r="H343" i="633"/>
  <c r="H204" i="633"/>
  <c r="AR202" i="633"/>
  <c r="AT198" i="633"/>
  <c r="AT210" i="633" s="1"/>
  <c r="AB86" i="652"/>
  <c r="BG213" i="202"/>
  <c r="BG216" i="202"/>
  <c r="AC426" i="633"/>
  <c r="AB426" i="633"/>
  <c r="CE295" i="397"/>
  <c r="BE295" i="397"/>
  <c r="CE333" i="397"/>
  <c r="CE321" i="397"/>
  <c r="CE407" i="397"/>
  <c r="BE407" i="397"/>
  <c r="CE339" i="397"/>
  <c r="BE339" i="397"/>
  <c r="CE400" i="397"/>
  <c r="BE400" i="397"/>
  <c r="CE338" i="397"/>
  <c r="BE312" i="397"/>
  <c r="CE300" i="397"/>
  <c r="BE300" i="397"/>
  <c r="CE414" i="397"/>
  <c r="BE414" i="397"/>
  <c r="CE324" i="397"/>
  <c r="BE324" i="397"/>
  <c r="CE340" i="397"/>
  <c r="BE340" i="397"/>
  <c r="CE415" i="397"/>
  <c r="BE415" i="397"/>
  <c r="BF415" i="397" s="1"/>
  <c r="CG415" i="397" s="1"/>
  <c r="CE405" i="397"/>
  <c r="BE405" i="397"/>
  <c r="CE308" i="397"/>
  <c r="BE308" i="397"/>
  <c r="CE351" i="397"/>
  <c r="BE351" i="397"/>
  <c r="CE398" i="397"/>
  <c r="BE398" i="397"/>
  <c r="BE412" i="397"/>
  <c r="BF412" i="397" s="1"/>
  <c r="CG412" i="397" s="1"/>
  <c r="BE305" i="397"/>
  <c r="BE417" i="397"/>
  <c r="BG202" i="202"/>
  <c r="H206" i="633"/>
  <c r="AR206" i="633" s="1"/>
  <c r="AR204" i="633"/>
  <c r="AR210" i="633" s="1"/>
  <c r="BG197" i="202"/>
  <c r="AC353" i="633"/>
  <c r="BG198" i="202"/>
  <c r="Y203" i="202"/>
  <c r="AC145" i="652"/>
  <c r="AB145" i="652"/>
  <c r="BG217" i="202"/>
  <c r="BG215" i="202"/>
  <c r="BG201" i="202"/>
  <c r="X203" i="202"/>
  <c r="BG207" i="202"/>
  <c r="BG208" i="202"/>
  <c r="BG209" i="202"/>
  <c r="BG212" i="202"/>
  <c r="AA204" i="202"/>
  <c r="Z204" i="202"/>
  <c r="BD415" i="397"/>
  <c r="BD414" i="397"/>
  <c r="BD417" i="397"/>
  <c r="BD416" i="397"/>
  <c r="BE416" i="397"/>
  <c r="A416" i="397"/>
  <c r="CA416" i="397"/>
  <c r="CB416" i="397"/>
  <c r="BE322" i="397"/>
  <c r="A411" i="397"/>
  <c r="BE411" i="397"/>
  <c r="BF411" i="397" s="1"/>
  <c r="CG411" i="397" s="1"/>
  <c r="BD413" i="397"/>
  <c r="A413" i="397"/>
  <c r="BE413" i="397"/>
  <c r="BF413" i="397" s="1"/>
  <c r="CG413" i="397" s="1"/>
  <c r="CH413" i="397" s="1"/>
  <c r="A414" i="397"/>
  <c r="CA414" i="397"/>
  <c r="CB414" i="397"/>
  <c r="A415" i="397"/>
  <c r="CA415" i="397"/>
  <c r="CB415" i="397"/>
  <c r="BD17" i="397"/>
  <c r="BD411" i="397"/>
  <c r="Z225" i="202"/>
  <c r="BD18" i="397"/>
  <c r="AB118" i="202"/>
  <c r="AB140" i="202"/>
  <c r="AB162" i="202"/>
  <c r="P162" i="202"/>
  <c r="V316" i="8"/>
  <c r="P204" i="202"/>
  <c r="CD333" i="397"/>
  <c r="CC333" i="397"/>
  <c r="BF425" i="397"/>
  <c r="CG425" i="397" s="1"/>
  <c r="CF411" i="397"/>
  <c r="BF548" i="397"/>
  <c r="CG548" i="397"/>
  <c r="BF599" i="397"/>
  <c r="CG599" i="397" s="1"/>
  <c r="BF615" i="397"/>
  <c r="CG615" i="397"/>
  <c r="BF619" i="397"/>
  <c r="CG619" i="397"/>
  <c r="BF441" i="397"/>
  <c r="CG441" i="397" s="1"/>
  <c r="CC410" i="397"/>
  <c r="CF410" i="397" s="1"/>
  <c r="BF422" i="397"/>
  <c r="CG422" i="397"/>
  <c r="CF417" i="397"/>
  <c r="BF611" i="397"/>
  <c r="CG611" i="397"/>
  <c r="BE410" i="397"/>
  <c r="CD410" i="397"/>
  <c r="BF606" i="397"/>
  <c r="CG606" i="397"/>
  <c r="BF635" i="397"/>
  <c r="CG635" i="397"/>
  <c r="CG532" i="397"/>
  <c r="BF640" i="397"/>
  <c r="CG640" i="397"/>
  <c r="BF607" i="397"/>
  <c r="CG607" i="397"/>
  <c r="BF648" i="397"/>
  <c r="CG648" i="397" s="1"/>
  <c r="CG464" i="397"/>
  <c r="BF480" i="397"/>
  <c r="CG480" i="397"/>
  <c r="BF484" i="397"/>
  <c r="CG484" i="397"/>
  <c r="BF492" i="397"/>
  <c r="CG492" i="397" s="1"/>
  <c r="BF580" i="397"/>
  <c r="CG580" i="397"/>
  <c r="CG594" i="397"/>
  <c r="BF631" i="397"/>
  <c r="CG631" i="397" s="1"/>
  <c r="CF413" i="397"/>
  <c r="BF647" i="397"/>
  <c r="CG647" i="397" s="1"/>
  <c r="BF459" i="397"/>
  <c r="CG459" i="397"/>
  <c r="CH459" i="397" s="1"/>
  <c r="CF418" i="397"/>
  <c r="BF598" i="397"/>
  <c r="CG598" i="397"/>
  <c r="AB432" i="570"/>
  <c r="AB449" i="570" s="1"/>
  <c r="CG496" i="397"/>
  <c r="BF512" i="397"/>
  <c r="CG512" i="397" s="1"/>
  <c r="BF556" i="397"/>
  <c r="CG556" i="397"/>
  <c r="BF564" i="397"/>
  <c r="CG564" i="397" s="1"/>
  <c r="BF572" i="397"/>
  <c r="CG572" i="397"/>
  <c r="CG590" i="397"/>
  <c r="BF603" i="397"/>
  <c r="CG603" i="397"/>
  <c r="BF627" i="397"/>
  <c r="CG627" i="397" s="1"/>
  <c r="BF644" i="397"/>
  <c r="CG644" i="397" s="1"/>
  <c r="CH644" i="397" s="1"/>
  <c r="BF457" i="397"/>
  <c r="CG457" i="397"/>
  <c r="CF419" i="397"/>
  <c r="CF787" i="397"/>
  <c r="CH787" i="397" s="1"/>
  <c r="CF800" i="397"/>
  <c r="CF803" i="397"/>
  <c r="CH803" i="397" s="1"/>
  <c r="BF435" i="397"/>
  <c r="CG435" i="397" s="1"/>
  <c r="CH435" i="397" s="1"/>
  <c r="AB161" i="570"/>
  <c r="AC161" i="570"/>
  <c r="AC168" i="570" s="1"/>
  <c r="U225" i="202"/>
  <c r="U226" i="202" s="1"/>
  <c r="BE320" i="397"/>
  <c r="CD320" i="397"/>
  <c r="CC320" i="397"/>
  <c r="CF457" i="397"/>
  <c r="CH457" i="397" s="1"/>
  <c r="BF646" i="397"/>
  <c r="CG646" i="397" s="1"/>
  <c r="CG622" i="397"/>
  <c r="CF448" i="397"/>
  <c r="CH448" i="397" s="1"/>
  <c r="BF437" i="397"/>
  <c r="CG437" i="397"/>
  <c r="CF650" i="397"/>
  <c r="CH650" i="397" s="1"/>
  <c r="CF659" i="397"/>
  <c r="CH659" i="397"/>
  <c r="CF668" i="397"/>
  <c r="BF443" i="397"/>
  <c r="CG443" i="397" s="1"/>
  <c r="CG446" i="397"/>
  <c r="CF474" i="397"/>
  <c r="CH474" i="397" s="1"/>
  <c r="BF591" i="397"/>
  <c r="CG591" i="397" s="1"/>
  <c r="BF595" i="397"/>
  <c r="CG595" i="397"/>
  <c r="BF616" i="397"/>
  <c r="CG616" i="397"/>
  <c r="BF624" i="397"/>
  <c r="CG624" i="397" s="1"/>
  <c r="CG628" i="397"/>
  <c r="CF679" i="397"/>
  <c r="CF841" i="397"/>
  <c r="CH841" i="397" s="1"/>
  <c r="CF458" i="397"/>
  <c r="CH458" i="397" s="1"/>
  <c r="CF459" i="397"/>
  <c r="CF455" i="397"/>
  <c r="CF461" i="397"/>
  <c r="BF453" i="397"/>
  <c r="CG453" i="397" s="1"/>
  <c r="CG444" i="397"/>
  <c r="BF625" i="397"/>
  <c r="CG625" i="397"/>
  <c r="CF788" i="397"/>
  <c r="CH788" i="397" s="1"/>
  <c r="CF801" i="397"/>
  <c r="CH801" i="397" s="1"/>
  <c r="CF802" i="397"/>
  <c r="CH802" i="397" s="1"/>
  <c r="CF818" i="397"/>
  <c r="CH818" i="397" s="1"/>
  <c r="CF829" i="397"/>
  <c r="CH829" i="397"/>
  <c r="CF830" i="397"/>
  <c r="CH830" i="397" s="1"/>
  <c r="CF833" i="397"/>
  <c r="CF835" i="397"/>
  <c r="CH835" i="397"/>
  <c r="BF461" i="397"/>
  <c r="CG461" i="397" s="1"/>
  <c r="CF454" i="397"/>
  <c r="CF460" i="397"/>
  <c r="CF767" i="397"/>
  <c r="CH767" i="397"/>
  <c r="CF793" i="397"/>
  <c r="CH793" i="397"/>
  <c r="CF838" i="397"/>
  <c r="CH838" i="397"/>
  <c r="CF456" i="397"/>
  <c r="CF462" i="397"/>
  <c r="CH462" i="397" s="1"/>
  <c r="CF435" i="397"/>
  <c r="CG429" i="397"/>
  <c r="CF430" i="397"/>
  <c r="CH430" i="397"/>
  <c r="CF471" i="397"/>
  <c r="CF526" i="397"/>
  <c r="CF530" i="397"/>
  <c r="CF597" i="397"/>
  <c r="CH597" i="397" s="1"/>
  <c r="BF600" i="397"/>
  <c r="CG600" i="397"/>
  <c r="BF604" i="397"/>
  <c r="CG604" i="397" s="1"/>
  <c r="CG612" i="397"/>
  <c r="BF620" i="397"/>
  <c r="CG620" i="397" s="1"/>
  <c r="BF633" i="397"/>
  <c r="CG633" i="397" s="1"/>
  <c r="CF672" i="397"/>
  <c r="CH672" i="397"/>
  <c r="CF673" i="397"/>
  <c r="CH673" i="397" s="1"/>
  <c r="CF626" i="397"/>
  <c r="CH626" i="397" s="1"/>
  <c r="CF657" i="397"/>
  <c r="CF438" i="397"/>
  <c r="CH438" i="397"/>
  <c r="BF593" i="397"/>
  <c r="CG593" i="397"/>
  <c r="BF452" i="397"/>
  <c r="CG452" i="397" s="1"/>
  <c r="CF667" i="397"/>
  <c r="CH667" i="397"/>
  <c r="CF677" i="397"/>
  <c r="CF702" i="397"/>
  <c r="CH702" i="397" s="1"/>
  <c r="CF725" i="397"/>
  <c r="CH725" i="397"/>
  <c r="BF554" i="397"/>
  <c r="CG554" i="397"/>
  <c r="CF848" i="397"/>
  <c r="CH848" i="397"/>
  <c r="BF450" i="397"/>
  <c r="CG450" i="397" s="1"/>
  <c r="CF437" i="397"/>
  <c r="CF791" i="397"/>
  <c r="CH791" i="397"/>
  <c r="CF792" i="397"/>
  <c r="CH792" i="397"/>
  <c r="CF836" i="397"/>
  <c r="CF748" i="397"/>
  <c r="CH748" i="397"/>
  <c r="CF752" i="397"/>
  <c r="CH752" i="397"/>
  <c r="CF769" i="397"/>
  <c r="CH769" i="397" s="1"/>
  <c r="CF778" i="397"/>
  <c r="CF780" i="397"/>
  <c r="CH780" i="397"/>
  <c r="CF837" i="397"/>
  <c r="CH837" i="397"/>
  <c r="CC294" i="397"/>
  <c r="BF414" i="397"/>
  <c r="CG414" i="397" s="1"/>
  <c r="CH800" i="397"/>
  <c r="CF681" i="397"/>
  <c r="CF687" i="397"/>
  <c r="CF705" i="397"/>
  <c r="CF716" i="397"/>
  <c r="CH716" i="397"/>
  <c r="CF720" i="397"/>
  <c r="CH720" i="397"/>
  <c r="CF727" i="397"/>
  <c r="CH727" i="397" s="1"/>
  <c r="BF558" i="397"/>
  <c r="CG558" i="397" s="1"/>
  <c r="BF578" i="397"/>
  <c r="CG578" i="397" s="1"/>
  <c r="BF597" i="397"/>
  <c r="CG597" i="397"/>
  <c r="BF613" i="397"/>
  <c r="CG613" i="397" s="1"/>
  <c r="BF617" i="397"/>
  <c r="CG617" i="397" s="1"/>
  <c r="BF621" i="397"/>
  <c r="CG621" i="397" s="1"/>
  <c r="BF629" i="397"/>
  <c r="CG629" i="397"/>
  <c r="BF637" i="397"/>
  <c r="CG637" i="397" s="1"/>
  <c r="BF641" i="397"/>
  <c r="CG641" i="397"/>
  <c r="BF645" i="397"/>
  <c r="CG645" i="397"/>
  <c r="CF697" i="397"/>
  <c r="CH810" i="397"/>
  <c r="CF813" i="397"/>
  <c r="CH813" i="397"/>
  <c r="CF427" i="397"/>
  <c r="CH427" i="397"/>
  <c r="BF447" i="397"/>
  <c r="CG447" i="397"/>
  <c r="BF626" i="397"/>
  <c r="CG626" i="397"/>
  <c r="CC412" i="397"/>
  <c r="CF709" i="397"/>
  <c r="CH709" i="397"/>
  <c r="BE310" i="397"/>
  <c r="CC310" i="397"/>
  <c r="BF456" i="397"/>
  <c r="CG456" i="397" s="1"/>
  <c r="CH456" i="397" s="1"/>
  <c r="CG509" i="397"/>
  <c r="CH509" i="397" s="1"/>
  <c r="CF510" i="397"/>
  <c r="CH510" i="397" s="1"/>
  <c r="BF521" i="397"/>
  <c r="CG521" i="397" s="1"/>
  <c r="CF524" i="397"/>
  <c r="CF764" i="397"/>
  <c r="CH764" i="397"/>
  <c r="CF765" i="397"/>
  <c r="CH765" i="397" s="1"/>
  <c r="CF770" i="397"/>
  <c r="CH770" i="397" s="1"/>
  <c r="CD310" i="397"/>
  <c r="CF756" i="397"/>
  <c r="CH756" i="397"/>
  <c r="CF757" i="397"/>
  <c r="CH757" i="397"/>
  <c r="CF465" i="397"/>
  <c r="CF467" i="397"/>
  <c r="CF469" i="397"/>
  <c r="BF478" i="397"/>
  <c r="CG478" i="397"/>
  <c r="CF479" i="397"/>
  <c r="CF483" i="397"/>
  <c r="CF485" i="397"/>
  <c r="BF486" i="397"/>
  <c r="CG486" i="397" s="1"/>
  <c r="CF488" i="397"/>
  <c r="CF489" i="397"/>
  <c r="CF499" i="397"/>
  <c r="CF500" i="397"/>
  <c r="CF501" i="397"/>
  <c r="CF503" i="397"/>
  <c r="CF507" i="397"/>
  <c r="CF508" i="397"/>
  <c r="CH508" i="397" s="1"/>
  <c r="CF517" i="397"/>
  <c r="CF521" i="397"/>
  <c r="CF523" i="397"/>
  <c r="CF525" i="397"/>
  <c r="CF527" i="397"/>
  <c r="CH527" i="397" s="1"/>
  <c r="CF529" i="397"/>
  <c r="CF533" i="397"/>
  <c r="CF537" i="397"/>
  <c r="CF539" i="397"/>
  <c r="CF540" i="397"/>
  <c r="CH540" i="397" s="1"/>
  <c r="CF541" i="397"/>
  <c r="CF543" i="397"/>
  <c r="CF545" i="397"/>
  <c r="CF549" i="397"/>
  <c r="CF552" i="397"/>
  <c r="CH552" i="397"/>
  <c r="CF553" i="397"/>
  <c r="CF555" i="397"/>
  <c r="CF557" i="397"/>
  <c r="CF559" i="397"/>
  <c r="CF789" i="397"/>
  <c r="CH789" i="397" s="1"/>
  <c r="CF447" i="397"/>
  <c r="CH447" i="397" s="1"/>
  <c r="BF449" i="397"/>
  <c r="CG449" i="397" s="1"/>
  <c r="BF458" i="397"/>
  <c r="CG458" i="397"/>
  <c r="BF460" i="397"/>
  <c r="CG460" i="397"/>
  <c r="CH460" i="397" s="1"/>
  <c r="CF743" i="397"/>
  <c r="CH743" i="397" s="1"/>
  <c r="CF746" i="397"/>
  <c r="CH746" i="397" s="1"/>
  <c r="CF750" i="397"/>
  <c r="CH750" i="397"/>
  <c r="CF751" i="397"/>
  <c r="CH751" i="397" s="1"/>
  <c r="CF753" i="397"/>
  <c r="CH753" i="397" s="1"/>
  <c r="CF755" i="397"/>
  <c r="CG488" i="397"/>
  <c r="BF500" i="397"/>
  <c r="CG500" i="397"/>
  <c r="CF700" i="397"/>
  <c r="BF636" i="397"/>
  <c r="CG636" i="397" s="1"/>
  <c r="CF422" i="397"/>
  <c r="CH422" i="397"/>
  <c r="BF587" i="397"/>
  <c r="CG587" i="397" s="1"/>
  <c r="CF759" i="397"/>
  <c r="CH759" i="397" s="1"/>
  <c r="CH441" i="397"/>
  <c r="CF429" i="397"/>
  <c r="BF428" i="397"/>
  <c r="CG428" i="397" s="1"/>
  <c r="CF561" i="397"/>
  <c r="CF563" i="397"/>
  <c r="CF565" i="397"/>
  <c r="CF567" i="397"/>
  <c r="CF573" i="397"/>
  <c r="CF575" i="397"/>
  <c r="CF596" i="397"/>
  <c r="CH614" i="397"/>
  <c r="CF616" i="397"/>
  <c r="CH616" i="397" s="1"/>
  <c r="CF618" i="397"/>
  <c r="CH618" i="397" s="1"/>
  <c r="CF628" i="397"/>
  <c r="CH628" i="397" s="1"/>
  <c r="CF646" i="397"/>
  <c r="CH646" i="397" s="1"/>
  <c r="CF648" i="397"/>
  <c r="CH648" i="397" s="1"/>
  <c r="CF649" i="397"/>
  <c r="CF652" i="397"/>
  <c r="CF654" i="397"/>
  <c r="CF661" i="397"/>
  <c r="CH661" i="397"/>
  <c r="CF707" i="397"/>
  <c r="CF708" i="397"/>
  <c r="CH708" i="397"/>
  <c r="CF710" i="397"/>
  <c r="CH710" i="397"/>
  <c r="CF717" i="397"/>
  <c r="CH717" i="397"/>
  <c r="CF737" i="397"/>
  <c r="CH737" i="397"/>
  <c r="CF741" i="397"/>
  <c r="BF638" i="397"/>
  <c r="CG638" i="397" s="1"/>
  <c r="CH665" i="397"/>
  <c r="CF680" i="397"/>
  <c r="CH680" i="397" s="1"/>
  <c r="CF712" i="397"/>
  <c r="CH712" i="397"/>
  <c r="CF797" i="397"/>
  <c r="CH797" i="397"/>
  <c r="CF798" i="397"/>
  <c r="CH798" i="397"/>
  <c r="BF568" i="397"/>
  <c r="CG568" i="397"/>
  <c r="BF639" i="397"/>
  <c r="CG639" i="397"/>
  <c r="BF643" i="397"/>
  <c r="CG643" i="397"/>
  <c r="CF651" i="397"/>
  <c r="CH651" i="397" s="1"/>
  <c r="CF784" i="397"/>
  <c r="CF785" i="397"/>
  <c r="CH785" i="397"/>
  <c r="CF815" i="397"/>
  <c r="CH815" i="397"/>
  <c r="CF816" i="397"/>
  <c r="CH816" i="397" s="1"/>
  <c r="CF817" i="397"/>
  <c r="CH817" i="397" s="1"/>
  <c r="BF416" i="397"/>
  <c r="CG416" i="397" s="1"/>
  <c r="BE402" i="397"/>
  <c r="CF436" i="397"/>
  <c r="CF671" i="397"/>
  <c r="CH671" i="397"/>
  <c r="CF678" i="397"/>
  <c r="CH678" i="397"/>
  <c r="BF514" i="397"/>
  <c r="CG514" i="397"/>
  <c r="BF522" i="397"/>
  <c r="CG522" i="397" s="1"/>
  <c r="CG526" i="397"/>
  <c r="CH526" i="397"/>
  <c r="BF588" i="397"/>
  <c r="CG588" i="397" s="1"/>
  <c r="BF601" i="397"/>
  <c r="CG601" i="397" s="1"/>
  <c r="BF605" i="397"/>
  <c r="CG605" i="397"/>
  <c r="BF609" i="397"/>
  <c r="CG609" i="397"/>
  <c r="CF694" i="397"/>
  <c r="CH694" i="397"/>
  <c r="CH699" i="397"/>
  <c r="BF424" i="397"/>
  <c r="CG424" i="397"/>
  <c r="CF491" i="397"/>
  <c r="CF579" i="397"/>
  <c r="CH729" i="397"/>
  <c r="CF782" i="397"/>
  <c r="CF684" i="397"/>
  <c r="CH684" i="397"/>
  <c r="CF690" i="397"/>
  <c r="CH690" i="397" s="1"/>
  <c r="CF754" i="397"/>
  <c r="CF771" i="397"/>
  <c r="CF845" i="397"/>
  <c r="CH845" i="397" s="1"/>
  <c r="CF819" i="397"/>
  <c r="CH819" i="397" s="1"/>
  <c r="BF439" i="397"/>
  <c r="CG439" i="397"/>
  <c r="CF696" i="397"/>
  <c r="CH696" i="397"/>
  <c r="CF674" i="397"/>
  <c r="CH674" i="397"/>
  <c r="CF675" i="397"/>
  <c r="CH675" i="397" s="1"/>
  <c r="CF676" i="397"/>
  <c r="CH676" i="397"/>
  <c r="CF714" i="397"/>
  <c r="CH714" i="397"/>
  <c r="CF718" i="397"/>
  <c r="CH718" i="397"/>
  <c r="CH779" i="397"/>
  <c r="CF825" i="397"/>
  <c r="CH825" i="397"/>
  <c r="CF449" i="397"/>
  <c r="CH449" i="397" s="1"/>
  <c r="CF744" i="397"/>
  <c r="CH744" i="397"/>
  <c r="BF463" i="397"/>
  <c r="CG463" i="397"/>
  <c r="CG466" i="397"/>
  <c r="BF470" i="397"/>
  <c r="CG470" i="397"/>
  <c r="CH470" i="397"/>
  <c r="CF473" i="397"/>
  <c r="BF474" i="397"/>
  <c r="CG474" i="397"/>
  <c r="BF482" i="397"/>
  <c r="CG482" i="397" s="1"/>
  <c r="BF490" i="397"/>
  <c r="CG490" i="397"/>
  <c r="BF494" i="397"/>
  <c r="CG494" i="397" s="1"/>
  <c r="CF497" i="397"/>
  <c r="BF498" i="397"/>
  <c r="CG498" i="397"/>
  <c r="CF534" i="397"/>
  <c r="CH534" i="397" s="1"/>
  <c r="CF536" i="397"/>
  <c r="CF544" i="397"/>
  <c r="CF547" i="397"/>
  <c r="CF554" i="397"/>
  <c r="BF570" i="397"/>
  <c r="CG570" i="397" s="1"/>
  <c r="BF574" i="397"/>
  <c r="CG574" i="397"/>
  <c r="CF577" i="397"/>
  <c r="CF581" i="397"/>
  <c r="BF592" i="397"/>
  <c r="CG592" i="397"/>
  <c r="CF706" i="397"/>
  <c r="CH419" i="397"/>
  <c r="CF414" i="397"/>
  <c r="CH414" i="397" s="1"/>
  <c r="CF416" i="397"/>
  <c r="CH416" i="397" s="1"/>
  <c r="CD404" i="397"/>
  <c r="BF417" i="397"/>
  <c r="CG417" i="397" s="1"/>
  <c r="CH417" i="397" s="1"/>
  <c r="BE406" i="397"/>
  <c r="CE406" i="397"/>
  <c r="CC305" i="397"/>
  <c r="CD412" i="397"/>
  <c r="H306" i="652"/>
  <c r="AX304" i="652"/>
  <c r="AB314" i="652"/>
  <c r="AB316" i="652"/>
  <c r="CH444" i="397"/>
  <c r="CH424" i="397"/>
  <c r="BG221" i="202"/>
  <c r="CH455" i="397"/>
  <c r="CH544" i="397"/>
  <c r="CH566" i="397"/>
  <c r="CH512" i="397"/>
  <c r="CH542" i="397"/>
  <c r="CH546" i="397"/>
  <c r="CH570" i="397"/>
  <c r="CH436" i="397"/>
  <c r="CH445" i="397"/>
  <c r="CH554" i="397"/>
  <c r="CH500" i="397"/>
  <c r="CH541" i="397"/>
  <c r="CH560" i="397"/>
  <c r="CH421" i="397"/>
  <c r="CH488" i="397"/>
  <c r="CE404" i="397"/>
  <c r="BE404" i="397"/>
  <c r="BE294" i="397"/>
  <c r="BG220" i="202"/>
  <c r="T225" i="202"/>
  <c r="P226" i="202" s="1"/>
  <c r="BG218" i="202"/>
  <c r="BG223" i="202"/>
  <c r="BD121" i="397"/>
  <c r="BF121" i="397" s="1"/>
  <c r="CG121" i="397" s="1"/>
  <c r="BD7" i="397"/>
  <c r="BD15" i="397"/>
  <c r="BD117" i="397"/>
  <c r="BF117" i="397" s="1"/>
  <c r="CG117" i="397" s="1"/>
  <c r="BD115" i="397"/>
  <c r="BF115" i="397" s="1"/>
  <c r="CG115" i="397" s="1"/>
  <c r="BD69" i="397"/>
  <c r="BF69" i="397" s="1"/>
  <c r="CG69" i="397" s="1"/>
  <c r="BD13" i="397"/>
  <c r="BD109" i="397"/>
  <c r="BD412" i="397"/>
  <c r="BD113" i="397"/>
  <c r="BD31" i="397"/>
  <c r="BD57" i="397"/>
  <c r="BF57" i="397" s="1"/>
  <c r="CG57" i="397" s="1"/>
  <c r="A412" i="397"/>
  <c r="CB412" i="397"/>
  <c r="CA412" i="397"/>
  <c r="CF412" i="397" s="1"/>
  <c r="CH412" i="397"/>
  <c r="Z226" i="202"/>
  <c r="AA226" i="202"/>
  <c r="CC117" i="397"/>
  <c r="CC7" i="397"/>
  <c r="CC14" i="397"/>
  <c r="CC114" i="397"/>
  <c r="CC57" i="397"/>
  <c r="CC69" i="397"/>
  <c r="CC8" i="397"/>
  <c r="CC11" i="397"/>
  <c r="CC15" i="397"/>
  <c r="CC13" i="397"/>
  <c r="H447" i="652"/>
  <c r="H448" i="652"/>
  <c r="AC428" i="652"/>
  <c r="AC449" i="652"/>
  <c r="AB428" i="652"/>
  <c r="AB449" i="652" s="1"/>
  <c r="BE449" i="652"/>
  <c r="CC89" i="397"/>
  <c r="CC111" i="397"/>
  <c r="CC91" i="397"/>
  <c r="CC113" i="397"/>
  <c r="CC107" i="397"/>
  <c r="CC121" i="397"/>
  <c r="CC115" i="397"/>
  <c r="CC110" i="397"/>
  <c r="AV403" i="652"/>
  <c r="Y225" i="202"/>
  <c r="CC109" i="397"/>
  <c r="AC379" i="652"/>
  <c r="AB379" i="652"/>
  <c r="H365" i="652"/>
  <c r="AD364" i="652"/>
  <c r="AD384" i="652"/>
  <c r="H382" i="652"/>
  <c r="H383" i="652" s="1"/>
  <c r="AB384" i="652"/>
  <c r="BG224" i="202"/>
  <c r="X225" i="202"/>
  <c r="BD91" i="397"/>
  <c r="BD110" i="397"/>
  <c r="BD12" i="397"/>
  <c r="BD14" i="397"/>
  <c r="BD111" i="397"/>
  <c r="BD11" i="397"/>
  <c r="BD10" i="397"/>
  <c r="BF10" i="397" s="1"/>
  <c r="CG10" i="397" s="1"/>
  <c r="BD154" i="397"/>
  <c r="BD107" i="397"/>
  <c r="BF107" i="397" s="1"/>
  <c r="CG107" i="397" s="1"/>
  <c r="BD123" i="397"/>
  <c r="BD89" i="397"/>
  <c r="BD114" i="397"/>
  <c r="BD8" i="397"/>
  <c r="BD119" i="397"/>
  <c r="BF119" i="397" s="1"/>
  <c r="CG119" i="397" s="1"/>
  <c r="BD90" i="397"/>
  <c r="BZ77" i="397"/>
  <c r="BD77" i="397"/>
  <c r="BD100" i="397"/>
  <c r="BF100" i="397" s="1"/>
  <c r="CG100" i="397" s="1"/>
  <c r="BZ78" i="397"/>
  <c r="BD78" i="397"/>
  <c r="BD22" i="397"/>
  <c r="BD20" i="397"/>
  <c r="BD129" i="397"/>
  <c r="A109" i="397"/>
  <c r="CA109" i="397"/>
  <c r="BN109" i="397"/>
  <c r="CB109" i="397" s="1"/>
  <c r="A107" i="397"/>
  <c r="CA107" i="397"/>
  <c r="BN107" i="397"/>
  <c r="CB107" i="397" s="1"/>
  <c r="CA77" i="397"/>
  <c r="A76" i="397"/>
  <c r="CA76" i="397"/>
  <c r="CB76" i="397"/>
  <c r="A77" i="397"/>
  <c r="BD76" i="397"/>
  <c r="BD116" i="397"/>
  <c r="BD122" i="397"/>
  <c r="BD118" i="397"/>
  <c r="BD127" i="397"/>
  <c r="BF127" i="397" s="1"/>
  <c r="BD19" i="397"/>
  <c r="BD59" i="397"/>
  <c r="BD93" i="397"/>
  <c r="CC90" i="397"/>
  <c r="CC116" i="397"/>
  <c r="CC10" i="397"/>
  <c r="CC154" i="397"/>
  <c r="CC12" i="397"/>
  <c r="A110" i="397"/>
  <c r="H467" i="652"/>
  <c r="H477" i="652" s="1"/>
  <c r="Z466" i="652"/>
  <c r="Y466" i="652"/>
  <c r="H471" i="652"/>
  <c r="T471" i="652"/>
  <c r="T470" i="652"/>
  <c r="H475" i="652"/>
  <c r="T475" i="652"/>
  <c r="T474" i="652"/>
  <c r="AC476" i="652"/>
  <c r="AB476" i="652"/>
  <c r="AB478" i="652" s="1"/>
  <c r="CB77" i="397"/>
  <c r="CC76" i="397"/>
  <c r="CA110" i="397"/>
  <c r="Z467" i="652"/>
  <c r="Z478" i="652"/>
  <c r="Y467" i="652"/>
  <c r="A78" i="397"/>
  <c r="CC77" i="397"/>
  <c r="BN110" i="397"/>
  <c r="CB110" i="397" s="1"/>
  <c r="CA78" i="397"/>
  <c r="CD154" i="397"/>
  <c r="BE401" i="397"/>
  <c r="BD70" i="397"/>
  <c r="CA111" i="397"/>
  <c r="CB78" i="397"/>
  <c r="BN111" i="397"/>
  <c r="CB111" i="397" s="1"/>
  <c r="CC78" i="397"/>
  <c r="CE154" i="397"/>
  <c r="BE154" i="397"/>
  <c r="BF154" i="397"/>
  <c r="CG154" i="397"/>
  <c r="BD410" i="397"/>
  <c r="BD21" i="397"/>
  <c r="BD104" i="397"/>
  <c r="CD111" i="397"/>
  <c r="BD23" i="397"/>
  <c r="CA113" i="397"/>
  <c r="CE111" i="397"/>
  <c r="BE111" i="397"/>
  <c r="BN113" i="397"/>
  <c r="CB113" i="397"/>
  <c r="BF111" i="397"/>
  <c r="CG111" i="397" s="1"/>
  <c r="A89" i="397"/>
  <c r="CA89" i="397"/>
  <c r="BN89" i="397"/>
  <c r="CB89" i="397" s="1"/>
  <c r="BD403" i="397"/>
  <c r="BF403" i="397" s="1"/>
  <c r="CG403" i="397" s="1"/>
  <c r="BD72" i="397"/>
  <c r="BD126" i="397"/>
  <c r="CA114" i="397"/>
  <c r="BN114" i="397"/>
  <c r="CB114" i="397"/>
  <c r="A8" i="397"/>
  <c r="CA7" i="397"/>
  <c r="BN7" i="397"/>
  <c r="CB7" i="397" s="1"/>
  <c r="A403" i="397"/>
  <c r="CA403" i="397"/>
  <c r="CB403" i="397"/>
  <c r="CF403" i="397"/>
  <c r="CH403" i="397" s="1"/>
  <c r="H18" i="669"/>
  <c r="BA15" i="669"/>
  <c r="BA20" i="669"/>
  <c r="BD92" i="397"/>
  <c r="CD78" i="397"/>
  <c r="CE78" i="397"/>
  <c r="BE78" i="397"/>
  <c r="BF78" i="397" s="1"/>
  <c r="CG78" i="397" s="1"/>
  <c r="BD94" i="397"/>
  <c r="CF78" i="397"/>
  <c r="CH78" i="397" s="1"/>
  <c r="BD27" i="397"/>
  <c r="A410" i="397"/>
  <c r="CA410" i="397"/>
  <c r="CB410" i="397"/>
  <c r="CC123" i="397"/>
  <c r="CC20" i="397"/>
  <c r="CC129" i="397"/>
  <c r="CC124" i="397"/>
  <c r="CC126" i="397"/>
  <c r="CC92" i="397"/>
  <c r="CC104" i="397"/>
  <c r="CC59" i="397"/>
  <c r="CC125" i="397"/>
  <c r="CC93" i="397"/>
  <c r="CC70" i="397"/>
  <c r="H58" i="669"/>
  <c r="H59" i="669" s="1"/>
  <c r="AC56" i="669"/>
  <c r="AC60" i="669"/>
  <c r="AB60" i="669"/>
  <c r="BF409" i="397"/>
  <c r="CG409" i="397"/>
  <c r="CD109" i="397"/>
  <c r="BB4" i="670"/>
  <c r="CC4" i="670"/>
  <c r="CD4" i="670" s="1"/>
  <c r="BB5" i="670"/>
  <c r="CC5" i="670" s="1"/>
  <c r="BB6" i="670"/>
  <c r="CC6" i="670" s="1"/>
  <c r="BB7" i="670"/>
  <c r="CC7" i="670"/>
  <c r="CB7" i="670"/>
  <c r="CD7" i="670" s="1"/>
  <c r="BB8" i="670"/>
  <c r="CC8" i="670" s="1"/>
  <c r="CB8" i="670"/>
  <c r="CD8" i="670"/>
  <c r="X9" i="670"/>
  <c r="BB9" i="670"/>
  <c r="CC9" i="670"/>
  <c r="CD9" i="670" s="1"/>
  <c r="CB9" i="670"/>
  <c r="BB10" i="670"/>
  <c r="CC10" i="670"/>
  <c r="CB10" i="670"/>
  <c r="CD10" i="670" s="1"/>
  <c r="BB11" i="670"/>
  <c r="CC11" i="670" s="1"/>
  <c r="CD11" i="670" s="1"/>
  <c r="CB11" i="670"/>
  <c r="BB12" i="670"/>
  <c r="CC12" i="670" s="1"/>
  <c r="CD12" i="670" s="1"/>
  <c r="CB12" i="670"/>
  <c r="BB13" i="670"/>
  <c r="CC13" i="670" s="1"/>
  <c r="CB13" i="670"/>
  <c r="CD13" i="670"/>
  <c r="Y14" i="670"/>
  <c r="X14" i="670"/>
  <c r="BB14" i="670"/>
  <c r="CC14" i="670"/>
  <c r="CB14" i="670"/>
  <c r="CD14" i="670"/>
  <c r="Y15" i="670"/>
  <c r="X15" i="670"/>
  <c r="BB15" i="670"/>
  <c r="CC15" i="670" s="1"/>
  <c r="CD15" i="670" s="1"/>
  <c r="CB15" i="670"/>
  <c r="BB16" i="670"/>
  <c r="CC16" i="670" s="1"/>
  <c r="CB16" i="670"/>
  <c r="CD16" i="670"/>
  <c r="BB17" i="670"/>
  <c r="CC17" i="670"/>
  <c r="CD17" i="670" s="1"/>
  <c r="CB17" i="670"/>
  <c r="BB18" i="670"/>
  <c r="CC18" i="670"/>
  <c r="CB18" i="670"/>
  <c r="CD18" i="670"/>
  <c r="BB19" i="670"/>
  <c r="CC19" i="670"/>
  <c r="CB19" i="670"/>
  <c r="CD19" i="670"/>
  <c r="BB20" i="670"/>
  <c r="CC20" i="670" s="1"/>
  <c r="CD20" i="670" s="1"/>
  <c r="CB20" i="670"/>
  <c r="BB21" i="670"/>
  <c r="CC21" i="670"/>
  <c r="CD21" i="670" s="1"/>
  <c r="BB22" i="670"/>
  <c r="CC22" i="670"/>
  <c r="CB22" i="670"/>
  <c r="CD22" i="670"/>
  <c r="BB23" i="670"/>
  <c r="CC23" i="670"/>
  <c r="CB23" i="670"/>
  <c r="CD23" i="670"/>
  <c r="BB24" i="670"/>
  <c r="CC24" i="670"/>
  <c r="CB24" i="670"/>
  <c r="CD24" i="670"/>
  <c r="BB25" i="670"/>
  <c r="CC25" i="670"/>
  <c r="CB25" i="670"/>
  <c r="CD25" i="670" s="1"/>
  <c r="BB26" i="670"/>
  <c r="CC26" i="670"/>
  <c r="CD26" i="670" s="1"/>
  <c r="CB26" i="670"/>
  <c r="BB27" i="670"/>
  <c r="CC27" i="670" s="1"/>
  <c r="BB28" i="670"/>
  <c r="CC28" i="670" s="1"/>
  <c r="CB28" i="670"/>
  <c r="CD28" i="670"/>
  <c r="CC29" i="670"/>
  <c r="CB29" i="670"/>
  <c r="BB30" i="670"/>
  <c r="CC30" i="670"/>
  <c r="BB31" i="670"/>
  <c r="CC31" i="670" s="1"/>
  <c r="CD31" i="670" s="1"/>
  <c r="CB31" i="670"/>
  <c r="BB32" i="670"/>
  <c r="CC32" i="670" s="1"/>
  <c r="BB33" i="670"/>
  <c r="CC33" i="670"/>
  <c r="CB33" i="670"/>
  <c r="CD33" i="670" s="1"/>
  <c r="BB34" i="670"/>
  <c r="CC34" i="670"/>
  <c r="CB34" i="670"/>
  <c r="BB35" i="670"/>
  <c r="CC35" i="670"/>
  <c r="BB36" i="670"/>
  <c r="CC36" i="670"/>
  <c r="CB36" i="670"/>
  <c r="CD36" i="670"/>
  <c r="BB37" i="670"/>
  <c r="CC37" i="670"/>
  <c r="CB37" i="670"/>
  <c r="CD37" i="670"/>
  <c r="BB38" i="670"/>
  <c r="CC38" i="670"/>
  <c r="BB39" i="670"/>
  <c r="CC39" i="670" s="1"/>
  <c r="CD39" i="670"/>
  <c r="BB40" i="670"/>
  <c r="CC40" i="670"/>
  <c r="CB40" i="670"/>
  <c r="CD40" i="670" s="1"/>
  <c r="BB41" i="670"/>
  <c r="CC41" i="670"/>
  <c r="CD41" i="670" s="1"/>
  <c r="CB42" i="670"/>
  <c r="CD42" i="670"/>
  <c r="BB43" i="670"/>
  <c r="CC43" i="670"/>
  <c r="CD43" i="670" s="1"/>
  <c r="CB43" i="670"/>
  <c r="BB44" i="670"/>
  <c r="CC44" i="670"/>
  <c r="BB45" i="670"/>
  <c r="CC45" i="670"/>
  <c r="CB45" i="670"/>
  <c r="CD45" i="670" s="1"/>
  <c r="CC46" i="670"/>
  <c r="CD46" i="670" s="1"/>
  <c r="CB46" i="670"/>
  <c r="BB47" i="670"/>
  <c r="CC47" i="670"/>
  <c r="BB48" i="670"/>
  <c r="CC48" i="670"/>
  <c r="CB48" i="670"/>
  <c r="CD48" i="670"/>
  <c r="BB49" i="670"/>
  <c r="CC49" i="670"/>
  <c r="CB49" i="670"/>
  <c r="Y50" i="670"/>
  <c r="X50" i="670"/>
  <c r="BB50" i="670"/>
  <c r="CC50" i="670" s="1"/>
  <c r="CD50" i="670"/>
  <c r="BB51" i="670"/>
  <c r="CC51" i="670"/>
  <c r="CB51" i="670"/>
  <c r="CD51" i="670"/>
  <c r="BB52" i="670"/>
  <c r="CC52" i="670"/>
  <c r="CD52" i="670" s="1"/>
  <c r="CB52" i="670"/>
  <c r="BB53" i="670"/>
  <c r="CC53" i="670"/>
  <c r="CB53" i="670"/>
  <c r="CD53" i="670"/>
  <c r="BB54" i="670"/>
  <c r="CC54" i="670"/>
  <c r="CB54" i="670"/>
  <c r="CD54" i="670" s="1"/>
  <c r="BB55" i="670"/>
  <c r="CC55" i="670" s="1"/>
  <c r="CD55" i="670" s="1"/>
  <c r="CB55" i="670"/>
  <c r="BB56" i="670"/>
  <c r="CC56" i="670"/>
  <c r="CB56" i="670"/>
  <c r="CD56" i="670" s="1"/>
  <c r="BB57" i="670"/>
  <c r="CC57" i="670" s="1"/>
  <c r="BB58" i="670"/>
  <c r="CC58" i="670"/>
  <c r="CD58" i="670" s="1"/>
  <c r="CB58" i="670"/>
  <c r="BB60" i="670"/>
  <c r="CC60" i="670" s="1"/>
  <c r="CD60" i="670" s="1"/>
  <c r="CB60" i="670"/>
  <c r="BB61" i="670"/>
  <c r="CC61" i="670"/>
  <c r="CB61" i="670"/>
  <c r="CD61" i="670"/>
  <c r="BB62" i="670"/>
  <c r="CC62" i="670"/>
  <c r="CB62" i="670"/>
  <c r="CD62" i="670"/>
  <c r="BB63" i="670"/>
  <c r="CC63" i="670"/>
  <c r="CB63" i="670"/>
  <c r="CD63" i="670" s="1"/>
  <c r="CB64" i="670"/>
  <c r="BB65" i="670"/>
  <c r="CC65" i="670" s="1"/>
  <c r="BB66" i="670"/>
  <c r="CC66" i="670"/>
  <c r="CB66" i="670"/>
  <c r="CD66" i="670"/>
  <c r="BB67" i="670"/>
  <c r="CC67" i="670"/>
  <c r="CB67" i="670"/>
  <c r="CD67" i="670"/>
  <c r="BB68" i="670"/>
  <c r="CC68" i="670"/>
  <c r="CB68" i="670"/>
  <c r="CD68" i="670"/>
  <c r="Y69" i="670"/>
  <c r="X69" i="670"/>
  <c r="BB69" i="670"/>
  <c r="CC69" i="670"/>
  <c r="BB71" i="670"/>
  <c r="CC71" i="670"/>
  <c r="BB72" i="670"/>
  <c r="CC72" i="670"/>
  <c r="CB72" i="670"/>
  <c r="CD72" i="670" s="1"/>
  <c r="CB73" i="670"/>
  <c r="CD73" i="670"/>
  <c r="BB74" i="670"/>
  <c r="CC74" i="670" s="1"/>
  <c r="CB74" i="670"/>
  <c r="CD74" i="670"/>
  <c r="BB75" i="670"/>
  <c r="CC75" i="670" s="1"/>
  <c r="CB75" i="670"/>
  <c r="CD75" i="670"/>
  <c r="BB76" i="670"/>
  <c r="CC76" i="670"/>
  <c r="CB76" i="670"/>
  <c r="BB77" i="670"/>
  <c r="CC77" i="670"/>
  <c r="BB78" i="670"/>
  <c r="CC78" i="670" s="1"/>
  <c r="CB78" i="670"/>
  <c r="CD78" i="670"/>
  <c r="BB79" i="670"/>
  <c r="CC79" i="670" s="1"/>
  <c r="CB79" i="670"/>
  <c r="CD79" i="670" s="1"/>
  <c r="BB80" i="670"/>
  <c r="CC80" i="670"/>
  <c r="BB81" i="670"/>
  <c r="CC81" i="670"/>
  <c r="CD81" i="670" s="1"/>
  <c r="CB81" i="670"/>
  <c r="BB83" i="670"/>
  <c r="CC83" i="670" s="1"/>
  <c r="BB84" i="670"/>
  <c r="CC84" i="670"/>
  <c r="CB84" i="670"/>
  <c r="CD84" i="670" s="1"/>
  <c r="CB85" i="670"/>
  <c r="CD85" i="670"/>
  <c r="BB86" i="670"/>
  <c r="CC86" i="670"/>
  <c r="BB87" i="670"/>
  <c r="CC87" i="670"/>
  <c r="CB87" i="670"/>
  <c r="CD87" i="670"/>
  <c r="BB89" i="670"/>
  <c r="CC89" i="670" s="1"/>
  <c r="BB90" i="670"/>
  <c r="CC90" i="670"/>
  <c r="CB90" i="670"/>
  <c r="CD90" i="670"/>
  <c r="BB92" i="670"/>
  <c r="CC92" i="670" s="1"/>
  <c r="Y93" i="670"/>
  <c r="X93" i="670"/>
  <c r="BB93" i="670"/>
  <c r="CC93" i="670" s="1"/>
  <c r="CB93" i="670"/>
  <c r="BB95" i="670"/>
  <c r="CC95" i="670"/>
  <c r="BB96" i="670"/>
  <c r="CC96" i="670" s="1"/>
  <c r="CB96" i="670"/>
  <c r="CD96" i="670" s="1"/>
  <c r="BB97" i="670"/>
  <c r="CC97" i="670" s="1"/>
  <c r="BB98" i="670"/>
  <c r="CC98" i="670"/>
  <c r="BB99" i="670"/>
  <c r="CC99" i="670"/>
  <c r="CD99" i="670" s="1"/>
  <c r="CB99" i="670"/>
  <c r="BB101" i="670"/>
  <c r="CC101" i="670"/>
  <c r="BB102" i="670"/>
  <c r="CC102" i="670"/>
  <c r="CB102" i="670"/>
  <c r="CB103" i="670"/>
  <c r="BB104" i="670"/>
  <c r="CC104" i="670" s="1"/>
  <c r="BB105" i="670"/>
  <c r="CC105" i="670"/>
  <c r="CB105" i="670"/>
  <c r="CD105" i="670" s="1"/>
  <c r="BB106" i="670"/>
  <c r="CC106" i="670"/>
  <c r="CB106" i="670"/>
  <c r="CD106" i="670" s="1"/>
  <c r="BB107" i="670"/>
  <c r="CC107" i="670"/>
  <c r="BB108" i="670"/>
  <c r="CC108" i="670"/>
  <c r="CB108" i="670"/>
  <c r="CD108" i="670"/>
  <c r="CC109" i="670"/>
  <c r="CB109" i="670"/>
  <c r="BB110" i="670"/>
  <c r="CC110" i="670"/>
  <c r="BB111" i="670"/>
  <c r="CC111" i="670"/>
  <c r="CB111" i="670"/>
  <c r="CD111" i="670" s="1"/>
  <c r="CB112" i="670"/>
  <c r="CD112" i="670" s="1"/>
  <c r="BB113" i="670"/>
  <c r="CC113" i="670" s="1"/>
  <c r="BB114" i="670"/>
  <c r="CC114" i="670" s="1"/>
  <c r="CB114" i="670"/>
  <c r="CD114" i="670"/>
  <c r="BB116" i="670"/>
  <c r="CC116" i="670" s="1"/>
  <c r="CD116" i="670" s="1"/>
  <c r="CB116" i="670"/>
  <c r="BB117" i="670"/>
  <c r="CC117" i="670" s="1"/>
  <c r="CD117" i="670" s="1"/>
  <c r="CB117" i="670"/>
  <c r="BB118" i="670"/>
  <c r="CC118" i="670" s="1"/>
  <c r="BY118" i="670"/>
  <c r="BX118" i="670"/>
  <c r="BB119" i="670"/>
  <c r="CC119" i="670"/>
  <c r="CD119" i="670"/>
  <c r="BB120" i="670"/>
  <c r="CC120" i="670" s="1"/>
  <c r="BB121" i="670"/>
  <c r="CC121" i="670"/>
  <c r="BB122" i="670"/>
  <c r="CC122" i="670"/>
  <c r="BY122" i="670"/>
  <c r="BX122" i="670"/>
  <c r="CB122" i="670"/>
  <c r="BB123" i="670"/>
  <c r="CC123" i="670" s="1"/>
  <c r="BY123" i="670"/>
  <c r="BX123" i="670"/>
  <c r="CB123" i="670" s="1"/>
  <c r="CD123" i="670" s="1"/>
  <c r="BB124" i="670"/>
  <c r="CC124" i="670" s="1"/>
  <c r="BY124" i="670"/>
  <c r="BX124" i="670"/>
  <c r="CB124" i="670" s="1"/>
  <c r="CD124" i="670" s="1"/>
  <c r="BB125" i="670"/>
  <c r="CC125" i="670" s="1"/>
  <c r="BB127" i="670"/>
  <c r="CC127" i="670" s="1"/>
  <c r="BB128" i="670"/>
  <c r="CC128" i="670" s="1"/>
  <c r="CB128" i="670"/>
  <c r="BB129" i="670"/>
  <c r="CC129" i="670" s="1"/>
  <c r="CB129" i="670"/>
  <c r="CD129" i="670"/>
  <c r="BB130" i="670"/>
  <c r="CC130" i="670" s="1"/>
  <c r="BB131" i="670"/>
  <c r="CC131" i="670" s="1"/>
  <c r="CD131" i="670" s="1"/>
  <c r="CB131" i="670"/>
  <c r="BB132" i="670"/>
  <c r="CC132" i="670"/>
  <c r="CB132" i="670"/>
  <c r="CD132" i="670"/>
  <c r="BB133" i="670"/>
  <c r="CC133" i="670"/>
  <c r="BB134" i="670"/>
  <c r="CC134" i="670" s="1"/>
  <c r="CD134" i="670" s="1"/>
  <c r="CB134" i="670"/>
  <c r="BB135" i="670"/>
  <c r="CC135" i="670" s="1"/>
  <c r="CB135" i="670"/>
  <c r="BB136" i="670"/>
  <c r="CC136" i="670"/>
  <c r="BB137" i="670"/>
  <c r="CC137" i="670"/>
  <c r="CB137" i="670"/>
  <c r="CD137" i="670"/>
  <c r="BB138" i="670"/>
  <c r="CC138" i="670"/>
  <c r="CB138" i="670"/>
  <c r="CD138" i="670" s="1"/>
  <c r="BB139" i="670"/>
  <c r="CC139" i="670" s="1"/>
  <c r="CD139" i="670" s="1"/>
  <c r="CB139" i="670"/>
  <c r="BB140" i="670"/>
  <c r="CC140" i="670"/>
  <c r="CB140" i="670"/>
  <c r="BB141" i="670"/>
  <c r="CC141" i="670"/>
  <c r="BB142" i="670"/>
  <c r="CC142" i="670"/>
  <c r="CB142" i="670"/>
  <c r="BB143" i="670"/>
  <c r="CC143" i="670"/>
  <c r="BY143" i="670"/>
  <c r="BX143" i="670"/>
  <c r="CB143" i="670"/>
  <c r="CD143" i="670"/>
  <c r="BB144" i="670"/>
  <c r="CC144" i="670"/>
  <c r="CD144" i="670" s="1"/>
  <c r="CB144" i="670"/>
  <c r="BB145" i="670"/>
  <c r="CC145" i="670" s="1"/>
  <c r="BB146" i="670"/>
  <c r="CC146" i="670" s="1"/>
  <c r="CD146" i="670" s="1"/>
  <c r="CB146" i="670"/>
  <c r="BB147" i="670"/>
  <c r="CC147" i="670"/>
  <c r="CB147" i="670"/>
  <c r="CD147" i="670"/>
  <c r="BB148" i="670"/>
  <c r="CC148" i="670" s="1"/>
  <c r="CD148" i="670" s="1"/>
  <c r="BB149" i="670"/>
  <c r="CC149" i="670" s="1"/>
  <c r="CB149" i="670"/>
  <c r="CD149" i="670" s="1"/>
  <c r="BB150" i="670"/>
  <c r="CC150" i="670"/>
  <c r="CB150" i="670"/>
  <c r="CD150" i="670" s="1"/>
  <c r="BB151" i="670"/>
  <c r="CC151" i="670"/>
  <c r="CB151" i="670"/>
  <c r="CD151" i="670" s="1"/>
  <c r="BB152" i="670"/>
  <c r="CC152" i="670" s="1"/>
  <c r="CD152" i="670" s="1"/>
  <c r="CB152" i="670"/>
  <c r="BB153" i="670"/>
  <c r="CC153" i="670"/>
  <c r="CB153" i="670"/>
  <c r="CD153" i="670"/>
  <c r="BB154" i="670"/>
  <c r="CC154" i="670" s="1"/>
  <c r="CB154" i="670"/>
  <c r="CD154" i="670"/>
  <c r="BB155" i="670"/>
  <c r="CC155" i="670"/>
  <c r="BB156" i="670"/>
  <c r="CC156" i="670"/>
  <c r="CB156" i="670"/>
  <c r="CD156" i="670"/>
  <c r="BB157" i="670"/>
  <c r="CC157" i="670" s="1"/>
  <c r="CD157" i="670" s="1"/>
  <c r="CB157" i="670"/>
  <c r="BB158" i="670"/>
  <c r="CC158" i="670" s="1"/>
  <c r="CD158" i="670" s="1"/>
  <c r="BY158" i="670"/>
  <c r="BX158" i="670"/>
  <c r="CB158" i="670"/>
  <c r="BB159" i="670"/>
  <c r="CC159" i="670" s="1"/>
  <c r="CB159" i="670"/>
  <c r="CD159" i="670"/>
  <c r="BB160" i="670"/>
  <c r="CC160" i="670" s="1"/>
  <c r="CD160" i="670" s="1"/>
  <c r="BY160" i="670"/>
  <c r="BX160" i="670"/>
  <c r="CB160" i="670"/>
  <c r="BB161" i="670"/>
  <c r="CC161" i="670"/>
  <c r="CB161" i="670"/>
  <c r="BB162" i="670"/>
  <c r="CC162" i="670"/>
  <c r="CD162" i="670" s="1"/>
  <c r="CB162" i="670"/>
  <c r="BB163" i="670"/>
  <c r="CC163" i="670" s="1"/>
  <c r="CB163" i="670"/>
  <c r="CD163" i="670" s="1"/>
  <c r="V164" i="670"/>
  <c r="U164" i="670"/>
  <c r="BB164" i="670"/>
  <c r="CC164" i="670" s="1"/>
  <c r="CB164" i="670"/>
  <c r="CD164" i="670"/>
  <c r="V165" i="670"/>
  <c r="U165" i="670"/>
  <c r="BB165" i="670"/>
  <c r="CC165" i="670"/>
  <c r="CB165" i="670"/>
  <c r="BB166" i="670"/>
  <c r="CC166" i="670"/>
  <c r="BB167" i="670"/>
  <c r="CC167" i="670" s="1"/>
  <c r="BB168" i="670"/>
  <c r="CC168" i="670"/>
  <c r="BY168" i="670"/>
  <c r="BX168" i="670"/>
  <c r="BB169" i="670"/>
  <c r="CC169" i="670"/>
  <c r="CB169" i="670"/>
  <c r="CD169" i="670"/>
  <c r="BB170" i="670"/>
  <c r="CC170" i="670"/>
  <c r="CB170" i="670"/>
  <c r="CD170" i="670"/>
  <c r="CC171" i="670"/>
  <c r="CD171" i="670" s="1"/>
  <c r="CB171" i="670"/>
  <c r="CB172" i="670"/>
  <c r="BB173" i="670"/>
  <c r="CC173" i="670" s="1"/>
  <c r="CB173" i="670"/>
  <c r="BB174" i="670"/>
  <c r="CC174" i="670"/>
  <c r="CD174" i="670"/>
  <c r="CC127" i="397"/>
  <c r="CC19" i="397"/>
  <c r="CC22" i="397"/>
  <c r="CC72" i="397"/>
  <c r="CC119" i="397"/>
  <c r="CC122" i="397"/>
  <c r="CC118" i="397"/>
  <c r="BD124" i="397"/>
  <c r="CE109" i="397"/>
  <c r="BE109" i="397"/>
  <c r="CD110" i="397"/>
  <c r="CD76" i="397"/>
  <c r="BD125" i="397"/>
  <c r="BF109" i="397"/>
  <c r="CG109" i="397" s="1"/>
  <c r="CE76" i="397"/>
  <c r="BE76" i="397"/>
  <c r="BF76" i="397" s="1"/>
  <c r="CG76" i="397" s="1"/>
  <c r="BD24" i="397"/>
  <c r="CE110" i="397"/>
  <c r="BE110" i="397"/>
  <c r="BF110" i="397" s="1"/>
  <c r="CG110" i="397" s="1"/>
  <c r="BD35" i="397"/>
  <c r="BD196" i="397"/>
  <c r="CD8" i="397"/>
  <c r="CD113" i="397"/>
  <c r="CE8" i="397"/>
  <c r="BE8" i="397"/>
  <c r="BF8" i="397" s="1"/>
  <c r="CG8" i="397" s="1"/>
  <c r="BD30" i="397"/>
  <c r="BF30" i="397" s="1"/>
  <c r="CG30" i="397" s="1"/>
  <c r="BD37" i="397"/>
  <c r="BD130" i="397"/>
  <c r="CE113" i="397"/>
  <c r="BE113" i="397"/>
  <c r="BD36" i="397"/>
  <c r="BF36" i="397" s="1"/>
  <c r="CG36" i="397" s="1"/>
  <c r="CD114" i="397"/>
  <c r="CA8" i="397"/>
  <c r="BF113" i="397"/>
  <c r="CG113" i="397"/>
  <c r="A100" i="397"/>
  <c r="BN8" i="397"/>
  <c r="CB8" i="397" s="1"/>
  <c r="BE114" i="397"/>
  <c r="BF114" i="397" s="1"/>
  <c r="CG114" i="397" s="1"/>
  <c r="BD38" i="397"/>
  <c r="CE114" i="397"/>
  <c r="CC112" i="397"/>
  <c r="CD77" i="397"/>
  <c r="CE77" i="397"/>
  <c r="BE77" i="397"/>
  <c r="BD96" i="397"/>
  <c r="BF96" i="397" s="1"/>
  <c r="CG96" i="397" s="1"/>
  <c r="BD88" i="397"/>
  <c r="CA100" i="397"/>
  <c r="BD131" i="397"/>
  <c r="BD29" i="397"/>
  <c r="BF77" i="397"/>
  <c r="CG77" i="397" s="1"/>
  <c r="BD95" i="397"/>
  <c r="CB100" i="397"/>
  <c r="BD25" i="397"/>
  <c r="CA10" i="397"/>
  <c r="BN10" i="397"/>
  <c r="CB10" i="397"/>
  <c r="CF10" i="397" s="1"/>
  <c r="CA91" i="397"/>
  <c r="BN91" i="397"/>
  <c r="CB91" i="397" s="1"/>
  <c r="CA69" i="397"/>
  <c r="BN69" i="397"/>
  <c r="CB69" i="397" s="1"/>
  <c r="CA115" i="397"/>
  <c r="BN115" i="397"/>
  <c r="CB115" i="397" s="1"/>
  <c r="BD79" i="397"/>
  <c r="BZ79" i="397"/>
  <c r="CA11" i="397"/>
  <c r="BN11" i="397"/>
  <c r="CB11" i="397" s="1"/>
  <c r="A116" i="397"/>
  <c r="CA116" i="397"/>
  <c r="A117" i="397"/>
  <c r="BN116" i="397"/>
  <c r="CB116" i="397"/>
  <c r="CA154" i="397"/>
  <c r="CA117" i="397"/>
  <c r="CB154" i="397"/>
  <c r="CF154" i="397"/>
  <c r="CH154" i="397"/>
  <c r="BN117" i="397"/>
  <c r="CB117" i="397" s="1"/>
  <c r="A90" i="397"/>
  <c r="CA90" i="397"/>
  <c r="CB90" i="397"/>
  <c r="A72" i="397"/>
  <c r="CA72" i="397"/>
  <c r="CF72" i="397" s="1"/>
  <c r="CB72" i="397"/>
  <c r="A79" i="397"/>
  <c r="CA79" i="397"/>
  <c r="CC79" i="397"/>
  <c r="CB79" i="397"/>
  <c r="BD26" i="397"/>
  <c r="CC26" i="397"/>
  <c r="CC96" i="397"/>
  <c r="CC94" i="397"/>
  <c r="CC27" i="397"/>
  <c r="H133" i="669"/>
  <c r="H139" i="669" s="1"/>
  <c r="AY131" i="669"/>
  <c r="Z138" i="669"/>
  <c r="Z140" i="669"/>
  <c r="Y138" i="669"/>
  <c r="Y140" i="669" s="1"/>
  <c r="CC196" i="397"/>
  <c r="CC23" i="397"/>
  <c r="CC21" i="397"/>
  <c r="CC24" i="397"/>
  <c r="CC130" i="397"/>
  <c r="CC95" i="397"/>
  <c r="CC131" i="397"/>
  <c r="CC25" i="397"/>
  <c r="A12" i="397"/>
  <c r="CD7" i="397"/>
  <c r="CA12" i="397"/>
  <c r="BD132" i="397"/>
  <c r="BN12" i="397"/>
  <c r="CB12" i="397" s="1"/>
  <c r="CE7" i="397"/>
  <c r="BE7" i="397"/>
  <c r="BD28" i="397"/>
  <c r="A13" i="397"/>
  <c r="BF7" i="397"/>
  <c r="CG7" i="397" s="1"/>
  <c r="CA13" i="397"/>
  <c r="BG235" i="202"/>
  <c r="BN13" i="397"/>
  <c r="CB13" i="397" s="1"/>
  <c r="A14" i="397"/>
  <c r="CA14" i="397"/>
  <c r="A15" i="397"/>
  <c r="BN14" i="397"/>
  <c r="CB14" i="397"/>
  <c r="CA15" i="397"/>
  <c r="A118" i="397"/>
  <c r="BN15" i="397"/>
  <c r="CB15" i="397" s="1"/>
  <c r="CA118" i="397"/>
  <c r="A17" i="397"/>
  <c r="BN118" i="397"/>
  <c r="CB118" i="397" s="1"/>
  <c r="CA17" i="397"/>
  <c r="A119" i="397"/>
  <c r="BN17" i="397"/>
  <c r="CB17" i="397" s="1"/>
  <c r="CA119" i="397"/>
  <c r="A121" i="397"/>
  <c r="BN119" i="397"/>
  <c r="CB119" i="397" s="1"/>
  <c r="A122" i="397"/>
  <c r="CA121" i="397"/>
  <c r="BN121" i="397"/>
  <c r="CB121" i="397" s="1"/>
  <c r="CA122" i="397"/>
  <c r="BN122" i="397"/>
  <c r="CB122" i="397"/>
  <c r="A92" i="397"/>
  <c r="CA92" i="397"/>
  <c r="BN92" i="397"/>
  <c r="CB92" i="397" s="1"/>
  <c r="A93" i="397"/>
  <c r="CA93" i="397"/>
  <c r="CB93" i="397"/>
  <c r="H207" i="669"/>
  <c r="AB205" i="669"/>
  <c r="J209" i="669"/>
  <c r="N209" i="669" s="1"/>
  <c r="AY213" i="669"/>
  <c r="AY212" i="669"/>
  <c r="AY216" i="669" s="1"/>
  <c r="CC41" i="397"/>
  <c r="BD39" i="397"/>
  <c r="BD51" i="397"/>
  <c r="CC51" i="397"/>
  <c r="CC46" i="397"/>
  <c r="CC39" i="397"/>
  <c r="CC71" i="397"/>
  <c r="CC136" i="397"/>
  <c r="CC35" i="397"/>
  <c r="CC97" i="397"/>
  <c r="CC42" i="397"/>
  <c r="AT150" i="397"/>
  <c r="BZ134" i="397"/>
  <c r="H182" i="669"/>
  <c r="AV180" i="669"/>
  <c r="BG236" i="202"/>
  <c r="CC34" i="397"/>
  <c r="CC135" i="397"/>
  <c r="CC134" i="397"/>
  <c r="BZ133" i="397"/>
  <c r="CC133" i="397"/>
  <c r="Y150" i="397"/>
  <c r="BG243" i="202"/>
  <c r="CC28" i="397"/>
  <c r="CC132" i="397"/>
  <c r="CC32" i="397"/>
  <c r="CC31" i="397"/>
  <c r="H158" i="669"/>
  <c r="H162" i="669"/>
  <c r="Z157" i="669"/>
  <c r="Z159" i="669"/>
  <c r="Y157" i="669"/>
  <c r="Y159" i="669"/>
  <c r="BE159" i="669"/>
  <c r="BZ30" i="397"/>
  <c r="CC30" i="397"/>
  <c r="CC29" i="397"/>
  <c r="BF408" i="397"/>
  <c r="CG408" i="397" s="1"/>
  <c r="AB207" i="669"/>
  <c r="BD136" i="397"/>
  <c r="A18" i="397"/>
  <c r="BG240" i="202"/>
  <c r="CA18" i="397"/>
  <c r="T249" i="202"/>
  <c r="BG244" i="202"/>
  <c r="CA104" i="397"/>
  <c r="BN18" i="397"/>
  <c r="CB18" i="397" s="1"/>
  <c r="AB187" i="669"/>
  <c r="AB189" i="669" s="1"/>
  <c r="CD89" i="397"/>
  <c r="A19" i="397"/>
  <c r="BN104" i="397"/>
  <c r="CB104" i="397" s="1"/>
  <c r="CA19" i="397"/>
  <c r="CE89" i="397"/>
  <c r="BE89" i="397"/>
  <c r="BF89" i="397" s="1"/>
  <c r="CG89" i="397" s="1"/>
  <c r="CD115" i="397"/>
  <c r="CD12" i="397"/>
  <c r="BN19" i="397"/>
  <c r="CB19" i="397"/>
  <c r="CF19" i="397" s="1"/>
  <c r="CH19" i="397" s="1"/>
  <c r="BD404" i="397"/>
  <c r="A123" i="397"/>
  <c r="BD87" i="397"/>
  <c r="CE115" i="397"/>
  <c r="BE115" i="397"/>
  <c r="BD134" i="397"/>
  <c r="CE12" i="397"/>
  <c r="BE12" i="397"/>
  <c r="BF12" i="397" s="1"/>
  <c r="CG12" i="397" s="1"/>
  <c r="BD32" i="397"/>
  <c r="CD14" i="397"/>
  <c r="CA123" i="397"/>
  <c r="CD91" i="397"/>
  <c r="CD100" i="397"/>
  <c r="CD17" i="397"/>
  <c r="BN123" i="397"/>
  <c r="CB123" i="397"/>
  <c r="CF123" i="397" s="1"/>
  <c r="CH123" i="397" s="1"/>
  <c r="BZ87" i="397"/>
  <c r="CE14" i="397"/>
  <c r="BE14" i="397"/>
  <c r="BF14" i="397" s="1"/>
  <c r="CG14" i="397" s="1"/>
  <c r="CA125" i="397"/>
  <c r="BD6" i="397"/>
  <c r="BD34" i="397"/>
  <c r="CE91" i="397"/>
  <c r="BE91" i="397"/>
  <c r="BF91" i="397" s="1"/>
  <c r="CG91" i="397" s="1"/>
  <c r="BD71" i="397"/>
  <c r="CD69" i="397"/>
  <c r="CE100" i="397"/>
  <c r="CF100" i="397"/>
  <c r="BE100" i="397"/>
  <c r="CD10" i="397"/>
  <c r="BE17" i="397"/>
  <c r="BF17" i="397" s="1"/>
  <c r="CG17" i="397" s="1"/>
  <c r="BD46" i="397"/>
  <c r="CE17" i="397"/>
  <c r="BN125" i="397"/>
  <c r="CB125" i="397" s="1"/>
  <c r="BZ6" i="397"/>
  <c r="A126" i="397"/>
  <c r="BE348" i="397"/>
  <c r="CE69" i="397"/>
  <c r="BE69" i="397"/>
  <c r="BD41" i="397"/>
  <c r="BF41" i="397" s="1"/>
  <c r="CG41" i="397" s="1"/>
  <c r="CD99" i="397"/>
  <c r="CE10" i="397"/>
  <c r="BE10" i="397"/>
  <c r="BD135" i="397"/>
  <c r="CD9" i="397"/>
  <c r="CA126" i="397"/>
  <c r="CA6" i="397"/>
  <c r="BN126" i="397"/>
  <c r="CB126" i="397" s="1"/>
  <c r="CF126" i="397" s="1"/>
  <c r="CH126" i="397" s="1"/>
  <c r="A125" i="397"/>
  <c r="CB6" i="397"/>
  <c r="CE99" i="397"/>
  <c r="BE99" i="397"/>
  <c r="BF99" i="397"/>
  <c r="CG99" i="397"/>
  <c r="CD101" i="397"/>
  <c r="CE9" i="397"/>
  <c r="BE9" i="397"/>
  <c r="BF9" i="397" s="1"/>
  <c r="CG9" i="397" s="1"/>
  <c r="BD133" i="397"/>
  <c r="BF133" i="397" s="1"/>
  <c r="CG133" i="397" s="1"/>
  <c r="CD11" i="397"/>
  <c r="CC6" i="397"/>
  <c r="CA124" i="397"/>
  <c r="A127" i="397"/>
  <c r="CE101" i="397"/>
  <c r="CF101" i="397" s="1"/>
  <c r="BE101" i="397"/>
  <c r="BF101" i="397"/>
  <c r="CG101" i="397" s="1"/>
  <c r="CE11" i="397"/>
  <c r="BE11" i="397"/>
  <c r="BF11" i="397" s="1"/>
  <c r="CG11" i="397" s="1"/>
  <c r="BD45" i="397"/>
  <c r="CD13" i="397"/>
  <c r="BN124" i="397"/>
  <c r="CB124" i="397" s="1"/>
  <c r="CE13" i="397"/>
  <c r="BE13" i="397"/>
  <c r="BF13" i="397" s="1"/>
  <c r="CG13" i="397" s="1"/>
  <c r="BD40" i="397"/>
  <c r="CC16" i="397"/>
  <c r="CD15" i="397"/>
  <c r="CA127" i="397"/>
  <c r="CE15" i="397"/>
  <c r="BE15" i="397"/>
  <c r="BF15" i="397"/>
  <c r="CG15" i="397" s="1"/>
  <c r="BN127" i="397"/>
  <c r="CB127" i="397" s="1"/>
  <c r="CD16" i="397"/>
  <c r="CA129" i="397"/>
  <c r="CE16" i="397"/>
  <c r="BE16" i="397"/>
  <c r="BD49" i="397"/>
  <c r="A130" i="397"/>
  <c r="BN129" i="397"/>
  <c r="CB129" i="397"/>
  <c r="BF16" i="397"/>
  <c r="CG16" i="397" s="1"/>
  <c r="CA130" i="397"/>
  <c r="BN130" i="397"/>
  <c r="CB130" i="397"/>
  <c r="CF130" i="397" s="1"/>
  <c r="CA20" i="397"/>
  <c r="A70" i="397"/>
  <c r="BN20" i="397"/>
  <c r="CB20" i="397" s="1"/>
  <c r="CA70" i="397"/>
  <c r="A21" i="397"/>
  <c r="A129" i="397"/>
  <c r="BN70" i="397"/>
  <c r="CB70" i="397" s="1"/>
  <c r="CA21" i="397"/>
  <c r="A95" i="397"/>
  <c r="A94" i="397"/>
  <c r="BN21" i="397"/>
  <c r="CB21" i="397" s="1"/>
  <c r="CA94" i="397"/>
  <c r="BN94" i="397"/>
  <c r="CB94" i="397" s="1"/>
  <c r="CA95" i="397"/>
  <c r="BN196" i="397"/>
  <c r="A22" i="397"/>
  <c r="BN95" i="397"/>
  <c r="CB95" i="397" s="1"/>
  <c r="CA22" i="397"/>
  <c r="A23" i="397"/>
  <c r="A196" i="397"/>
  <c r="BN22" i="397"/>
  <c r="CB22" i="397" s="1"/>
  <c r="CF22" i="397" s="1"/>
  <c r="CA196" i="397"/>
  <c r="CB196" i="397"/>
  <c r="CA23" i="397"/>
  <c r="A24" i="397"/>
  <c r="BN23" i="397"/>
  <c r="CB23" i="397" s="1"/>
  <c r="CA24" i="397"/>
  <c r="A25" i="397"/>
  <c r="BN24" i="397"/>
  <c r="CB24" i="397"/>
  <c r="CA25" i="397"/>
  <c r="CF25" i="397" s="1"/>
  <c r="CH25" i="397" s="1"/>
  <c r="A131" i="397"/>
  <c r="A87" i="397"/>
  <c r="BN25" i="397"/>
  <c r="CB25" i="397"/>
  <c r="CA87" i="397"/>
  <c r="A88" i="397"/>
  <c r="CA88" i="397"/>
  <c r="CA131" i="397"/>
  <c r="CC88" i="397"/>
  <c r="CB88" i="397"/>
  <c r="BN131" i="397"/>
  <c r="CB131" i="397"/>
  <c r="CF131" i="397" s="1"/>
  <c r="CC87" i="397"/>
  <c r="CB87" i="397"/>
  <c r="CA26" i="397"/>
  <c r="A27" i="397"/>
  <c r="BN26" i="397"/>
  <c r="CB26" i="397"/>
  <c r="CA27" i="397"/>
  <c r="BN27" i="397"/>
  <c r="CB27" i="397" s="1"/>
  <c r="CA28" i="397"/>
  <c r="A31" i="397"/>
  <c r="BN28" i="397"/>
  <c r="CB28" i="397"/>
  <c r="CD107" i="397"/>
  <c r="CE107" i="397"/>
  <c r="BE107" i="397"/>
  <c r="BD98" i="397"/>
  <c r="CB404" i="397"/>
  <c r="CA404" i="397"/>
  <c r="CF404" i="397" s="1"/>
  <c r="A404" i="397"/>
  <c r="CA31" i="397"/>
  <c r="A96" i="397"/>
  <c r="BN31" i="397"/>
  <c r="CB31" i="397" s="1"/>
  <c r="A29" i="397"/>
  <c r="CA96" i="397"/>
  <c r="BN96" i="397"/>
  <c r="CB96" i="397" s="1"/>
  <c r="CD131" i="397"/>
  <c r="CE131" i="397"/>
  <c r="BE131" i="397"/>
  <c r="BF131" i="397" s="1"/>
  <c r="CG131" i="397" s="1"/>
  <c r="BD53" i="397"/>
  <c r="A30" i="397"/>
  <c r="CA29" i="397"/>
  <c r="CD26" i="397"/>
  <c r="BN29" i="397"/>
  <c r="CB29" i="397"/>
  <c r="CD27" i="397"/>
  <c r="CE26" i="397"/>
  <c r="BE26" i="397"/>
  <c r="BD66" i="397"/>
  <c r="CA30" i="397"/>
  <c r="A32" i="397"/>
  <c r="BF26" i="397"/>
  <c r="CG26" i="397" s="1"/>
  <c r="BN30" i="397"/>
  <c r="CB30" i="397" s="1"/>
  <c r="CE27" i="397"/>
  <c r="BE27" i="397"/>
  <c r="BD5" i="397"/>
  <c r="BF27" i="397"/>
  <c r="CG27" i="397" s="1"/>
  <c r="CA32" i="397"/>
  <c r="A132" i="397"/>
  <c r="BN32" i="397"/>
  <c r="CB32" i="397" s="1"/>
  <c r="CA132" i="397"/>
  <c r="A133" i="397"/>
  <c r="BN132" i="397"/>
  <c r="CB132" i="397"/>
  <c r="CA133" i="397"/>
  <c r="BN133" i="397"/>
  <c r="CB133" i="397" s="1"/>
  <c r="A134" i="397"/>
  <c r="CA134" i="397"/>
  <c r="BN134" i="397"/>
  <c r="CB134" i="397" s="1"/>
  <c r="BD97" i="397"/>
  <c r="BD42" i="397"/>
  <c r="BF42" i="397" s="1"/>
  <c r="CG42" i="397" s="1"/>
  <c r="CD79" i="397"/>
  <c r="BE79" i="397"/>
  <c r="BD73" i="397"/>
  <c r="CE79" i="397"/>
  <c r="CD102" i="397"/>
  <c r="CF102" i="397" s="1"/>
  <c r="CH102" i="397" s="1"/>
  <c r="BF79" i="397"/>
  <c r="CG79" i="397" s="1"/>
  <c r="CE102" i="397"/>
  <c r="BE102" i="397"/>
  <c r="BF102" i="397"/>
  <c r="CG102" i="397" s="1"/>
  <c r="CD116" i="397"/>
  <c r="BE116" i="397"/>
  <c r="BF116" i="397" s="1"/>
  <c r="CG116" i="397" s="1"/>
  <c r="BD74" i="397"/>
  <c r="CE116" i="397"/>
  <c r="CF116" i="397"/>
  <c r="CH116" i="397" s="1"/>
  <c r="CD117" i="397"/>
  <c r="BE117" i="397"/>
  <c r="BD236" i="397"/>
  <c r="CE117" i="397"/>
  <c r="BG237" i="202"/>
  <c r="BG239" i="202"/>
  <c r="BE119" i="397"/>
  <c r="BD47" i="397"/>
  <c r="CD119" i="397"/>
  <c r="CE119" i="397"/>
  <c r="CD121" i="397"/>
  <c r="CE121" i="397"/>
  <c r="BE121" i="397"/>
  <c r="BE118" i="397"/>
  <c r="BF118" i="397" s="1"/>
  <c r="CG118" i="397" s="1"/>
  <c r="BD44" i="397"/>
  <c r="CD118" i="397"/>
  <c r="CE118" i="397"/>
  <c r="BE112" i="397"/>
  <c r="BF112" i="397" s="1"/>
  <c r="CG112" i="397" s="1"/>
  <c r="BD48" i="397"/>
  <c r="BF48" i="397" s="1"/>
  <c r="CG48" i="397" s="1"/>
  <c r="CD112" i="397"/>
  <c r="CE112" i="397"/>
  <c r="CC120" i="397"/>
  <c r="CD120" i="397"/>
  <c r="CE120" i="397"/>
  <c r="BE120" i="397"/>
  <c r="BD50" i="397"/>
  <c r="BF120" i="397"/>
  <c r="CG120" i="397" s="1"/>
  <c r="CD19" i="397"/>
  <c r="CE19" i="397"/>
  <c r="BE19" i="397"/>
  <c r="BF19" i="397" s="1"/>
  <c r="CG19" i="397" s="1"/>
  <c r="BD138" i="397"/>
  <c r="CD72" i="397"/>
  <c r="CE72" i="397"/>
  <c r="BE72" i="397"/>
  <c r="BF72" i="397" s="1"/>
  <c r="CG72" i="397" s="1"/>
  <c r="BD139" i="397"/>
  <c r="CD93" i="397"/>
  <c r="CE93" i="397"/>
  <c r="BE93" i="397"/>
  <c r="BD54" i="397"/>
  <c r="CD85" i="397"/>
  <c r="BF93" i="397"/>
  <c r="CG93" i="397" s="1"/>
  <c r="CD90" i="397"/>
  <c r="CE85" i="397"/>
  <c r="BE85" i="397"/>
  <c r="BF85" i="397"/>
  <c r="CG85" i="397" s="1"/>
  <c r="CE90" i="397"/>
  <c r="BE90" i="397"/>
  <c r="BF90" i="397" s="1"/>
  <c r="CG90" i="397" s="1"/>
  <c r="BD83" i="397"/>
  <c r="BF83" i="397" s="1"/>
  <c r="CG83" i="397" s="1"/>
  <c r="CD20" i="397"/>
  <c r="CE20" i="397"/>
  <c r="BE20" i="397"/>
  <c r="BF20" i="397" s="1"/>
  <c r="BD158" i="397"/>
  <c r="CG20" i="397"/>
  <c r="CD129" i="397"/>
  <c r="CE129" i="397"/>
  <c r="BE129" i="397"/>
  <c r="BD62" i="397"/>
  <c r="BF129" i="397"/>
  <c r="CG129" i="397" s="1"/>
  <c r="CD25" i="397"/>
  <c r="CE25" i="397"/>
  <c r="BE25" i="397"/>
  <c r="BD58" i="397"/>
  <c r="BF58" i="397" s="1"/>
  <c r="CG58" i="397" s="1"/>
  <c r="CD22" i="397"/>
  <c r="BF25" i="397"/>
  <c r="CG25" i="397" s="1"/>
  <c r="CE22" i="397"/>
  <c r="BE22" i="397"/>
  <c r="BF22" i="397" s="1"/>
  <c r="CG22" i="397" s="1"/>
  <c r="BD65" i="397"/>
  <c r="BB354" i="397"/>
  <c r="T354" i="397"/>
  <c r="AF354" i="397"/>
  <c r="AI354" i="397"/>
  <c r="AJ354" i="397"/>
  <c r="AK354" i="397"/>
  <c r="AO354" i="397"/>
  <c r="AQ354" i="397"/>
  <c r="AR354" i="397"/>
  <c r="AS354" i="397"/>
  <c r="AT354" i="397"/>
  <c r="CC48" i="397"/>
  <c r="CC139" i="397"/>
  <c r="CC54" i="397"/>
  <c r="CC50" i="397"/>
  <c r="BF4" i="681"/>
  <c r="CG4" i="681" s="1"/>
  <c r="CH4" i="681" s="1"/>
  <c r="BF5" i="681"/>
  <c r="CG5" i="681" s="1"/>
  <c r="BF6" i="681"/>
  <c r="CG6" i="681"/>
  <c r="CH6" i="681" s="1"/>
  <c r="BF7" i="681"/>
  <c r="CG7" i="681" s="1"/>
  <c r="CF7" i="681"/>
  <c r="CG8" i="681"/>
  <c r="CH8" i="681" s="1"/>
  <c r="CF8" i="681"/>
  <c r="BF9" i="681"/>
  <c r="CG9" i="681" s="1"/>
  <c r="CF9" i="681"/>
  <c r="CH9" i="681" s="1"/>
  <c r="BF10" i="681"/>
  <c r="CG10" i="681"/>
  <c r="CF10" i="681"/>
  <c r="CH10" i="681"/>
  <c r="BF11" i="681"/>
  <c r="CG11" i="681"/>
  <c r="CF11" i="681"/>
  <c r="CH11" i="681"/>
  <c r="BF12" i="681"/>
  <c r="CG12" i="681"/>
  <c r="BF13" i="681"/>
  <c r="CG13" i="681" s="1"/>
  <c r="CF13" i="681"/>
  <c r="Y14" i="681"/>
  <c r="BF14" i="681"/>
  <c r="CG14" i="681"/>
  <c r="CF14" i="681"/>
  <c r="CH14" i="681" s="1"/>
  <c r="BF15" i="681"/>
  <c r="CG15" i="681"/>
  <c r="CF15" i="681"/>
  <c r="CH15" i="681" s="1"/>
  <c r="BF16" i="681"/>
  <c r="CG16" i="681" s="1"/>
  <c r="CF16" i="681"/>
  <c r="CH16" i="681"/>
  <c r="BF17" i="681"/>
  <c r="CG17" i="681"/>
  <c r="CF17" i="681"/>
  <c r="BF18" i="681"/>
  <c r="CG18" i="681" s="1"/>
  <c r="CF18" i="681"/>
  <c r="CH18" i="681" s="1"/>
  <c r="BF19" i="681"/>
  <c r="CG19" i="681" s="1"/>
  <c r="CH19" i="681" s="1"/>
  <c r="CF19" i="681"/>
  <c r="BF20" i="681"/>
  <c r="CG20" i="681" s="1"/>
  <c r="CH20" i="681" s="1"/>
  <c r="CF20" i="681"/>
  <c r="BF21" i="681"/>
  <c r="CG21" i="681"/>
  <c r="CF21" i="681"/>
  <c r="CH21" i="681"/>
  <c r="BF22" i="681"/>
  <c r="CG22" i="681"/>
  <c r="CF22" i="681"/>
  <c r="CH22" i="681"/>
  <c r="BF23" i="681"/>
  <c r="CG23" i="681" s="1"/>
  <c r="CH23" i="681"/>
  <c r="BF24" i="681"/>
  <c r="CG24" i="681"/>
  <c r="CH24" i="681" s="1"/>
  <c r="CF24" i="681"/>
  <c r="BF25" i="681"/>
  <c r="CG25" i="681" s="1"/>
  <c r="CF25" i="681"/>
  <c r="BF26" i="681"/>
  <c r="CG26" i="681"/>
  <c r="CF26" i="681"/>
  <c r="CH26" i="681"/>
  <c r="BF27" i="681"/>
  <c r="CG27" i="681"/>
  <c r="CF27" i="681"/>
  <c r="CH27" i="681"/>
  <c r="BF28" i="681"/>
  <c r="CG28" i="681" s="1"/>
  <c r="CF28" i="681"/>
  <c r="BF29" i="681"/>
  <c r="CG29" i="681"/>
  <c r="CF29" i="681"/>
  <c r="CH29" i="681"/>
  <c r="BF30" i="681"/>
  <c r="CG30" i="681"/>
  <c r="CF30" i="681"/>
  <c r="BF31" i="681"/>
  <c r="CG31" i="681" s="1"/>
  <c r="CH31" i="681" s="1"/>
  <c r="CF31" i="681"/>
  <c r="BF32" i="681"/>
  <c r="CG32" i="681" s="1"/>
  <c r="CF32" i="681"/>
  <c r="CH32" i="681" s="1"/>
  <c r="BF33" i="681"/>
  <c r="CG33" i="681" s="1"/>
  <c r="CF33" i="681"/>
  <c r="BF34" i="681"/>
  <c r="CG34" i="681"/>
  <c r="CF34" i="681"/>
  <c r="CH34" i="681" s="1"/>
  <c r="Y35" i="681"/>
  <c r="X35" i="681"/>
  <c r="BF35" i="681"/>
  <c r="CG35" i="681"/>
  <c r="CF35" i="681"/>
  <c r="CH35" i="681" s="1"/>
  <c r="BF36" i="681"/>
  <c r="CG36" i="681"/>
  <c r="CH36" i="681" s="1"/>
  <c r="CF36" i="681"/>
  <c r="BF37" i="681"/>
  <c r="CG37" i="681"/>
  <c r="BF38" i="681"/>
  <c r="CG38" i="681" s="1"/>
  <c r="BF39" i="681"/>
  <c r="CG39" i="681" s="1"/>
  <c r="CF39" i="681"/>
  <c r="CH39" i="681"/>
  <c r="BF40" i="681"/>
  <c r="CG40" i="681" s="1"/>
  <c r="BF41" i="681"/>
  <c r="CG41" i="681"/>
  <c r="CF41" i="681"/>
  <c r="CH41" i="681"/>
  <c r="BF42" i="681"/>
  <c r="CG42" i="681" s="1"/>
  <c r="CF42" i="681"/>
  <c r="BF43" i="681"/>
  <c r="CG43" i="681" s="1"/>
  <c r="BF44" i="681"/>
  <c r="CG44" i="681"/>
  <c r="BF45" i="681"/>
  <c r="CG45" i="681"/>
  <c r="CF45" i="681"/>
  <c r="CH45" i="681"/>
  <c r="BF46" i="681"/>
  <c r="CG46" i="681"/>
  <c r="CF46" i="681"/>
  <c r="BF47" i="681"/>
  <c r="CG47" i="681"/>
  <c r="CF47" i="681"/>
  <c r="CH47" i="681" s="1"/>
  <c r="BF48" i="681"/>
  <c r="CG48" i="681"/>
  <c r="CF48" i="681"/>
  <c r="CH48" i="681" s="1"/>
  <c r="BF49" i="681"/>
  <c r="CG49" i="681" s="1"/>
  <c r="CF49" i="681"/>
  <c r="CH49" i="681"/>
  <c r="BF50" i="681"/>
  <c r="CG50" i="681" s="1"/>
  <c r="BF51" i="681"/>
  <c r="CG51" i="681"/>
  <c r="CF51" i="681"/>
  <c r="CH51" i="681"/>
  <c r="BF52" i="681"/>
  <c r="CG52" i="681"/>
  <c r="CF52" i="681"/>
  <c r="CH52" i="681" s="1"/>
  <c r="BF53" i="681"/>
  <c r="CG53" i="681"/>
  <c r="CH53" i="681" s="1"/>
  <c r="CF53" i="681"/>
  <c r="BF54" i="681"/>
  <c r="CG54" i="681" s="1"/>
  <c r="CH54" i="681" s="1"/>
  <c r="BF55" i="681"/>
  <c r="CG55" i="681"/>
  <c r="CF55" i="681"/>
  <c r="CH55" i="681" s="1"/>
  <c r="BF56" i="681"/>
  <c r="CG56" i="681"/>
  <c r="CH56" i="681" s="1"/>
  <c r="CF56" i="681"/>
  <c r="Y57" i="681"/>
  <c r="X57" i="681"/>
  <c r="BF57" i="681"/>
  <c r="CG57" i="681" s="1"/>
  <c r="CF57" i="681"/>
  <c r="CH57" i="681"/>
  <c r="Y58" i="681"/>
  <c r="X58" i="681"/>
  <c r="BF58" i="681"/>
  <c r="CG58" i="681" s="1"/>
  <c r="CF58" i="681"/>
  <c r="BF59" i="681"/>
  <c r="CG59" i="681"/>
  <c r="CF59" i="681"/>
  <c r="CH59" i="681" s="1"/>
  <c r="BF60" i="681"/>
  <c r="CG60" i="681" s="1"/>
  <c r="CH60" i="681" s="1"/>
  <c r="CF60" i="681"/>
  <c r="BF61" i="681"/>
  <c r="CG61" i="681" s="1"/>
  <c r="CF61" i="681"/>
  <c r="CH61" i="681" s="1"/>
  <c r="BF62" i="681"/>
  <c r="CG62" i="681" s="1"/>
  <c r="Y63" i="681"/>
  <c r="X63" i="681"/>
  <c r="BF63" i="681"/>
  <c r="CG63" i="681" s="1"/>
  <c r="BF64" i="681"/>
  <c r="CG64" i="681"/>
  <c r="CH64" i="681" s="1"/>
  <c r="CF64" i="681"/>
  <c r="CF65" i="681"/>
  <c r="BF66" i="681"/>
  <c r="CG66" i="681" s="1"/>
  <c r="CF66" i="681"/>
  <c r="CH66" i="681"/>
  <c r="BF67" i="681"/>
  <c r="CG67" i="681"/>
  <c r="CF67" i="681"/>
  <c r="CH67" i="681"/>
  <c r="BF68" i="681"/>
  <c r="CG68" i="681"/>
  <c r="CF68" i="681"/>
  <c r="Y70" i="681"/>
  <c r="X70" i="681"/>
  <c r="BF70" i="681"/>
  <c r="CG70" i="681"/>
  <c r="CF70" i="681"/>
  <c r="BF71" i="681"/>
  <c r="CG71" i="681"/>
  <c r="CF71" i="681"/>
  <c r="CH71" i="681"/>
  <c r="BF72" i="681"/>
  <c r="CG72" i="681" s="1"/>
  <c r="CH72" i="681" s="1"/>
  <c r="CF72" i="681"/>
  <c r="BF73" i="681"/>
  <c r="CG73" i="681" s="1"/>
  <c r="CH73" i="681" s="1"/>
  <c r="CF73" i="681"/>
  <c r="BF74" i="681"/>
  <c r="CG74" i="681" s="1"/>
  <c r="CH74" i="681" s="1"/>
  <c r="CF74" i="681"/>
  <c r="BF75" i="681"/>
  <c r="CG75" i="681"/>
  <c r="CF75" i="681"/>
  <c r="CH75" i="681" s="1"/>
  <c r="BF76" i="681"/>
  <c r="CG76" i="681"/>
  <c r="CF76" i="681"/>
  <c r="CH76" i="681" s="1"/>
  <c r="BF77" i="681"/>
  <c r="CG77" i="681" s="1"/>
  <c r="CH77" i="681" s="1"/>
  <c r="CF77" i="681"/>
  <c r="BF78" i="681"/>
  <c r="CG78" i="681" s="1"/>
  <c r="CF78" i="681"/>
  <c r="CH78" i="681" s="1"/>
  <c r="BF79" i="681"/>
  <c r="CG79" i="681" s="1"/>
  <c r="CF79" i="681"/>
  <c r="BF80" i="681"/>
  <c r="CG80" i="681"/>
  <c r="CF80" i="681"/>
  <c r="BF81" i="681"/>
  <c r="CG81" i="681"/>
  <c r="CF81" i="681"/>
  <c r="BF82" i="681"/>
  <c r="CG82" i="681" s="1"/>
  <c r="CF82" i="681"/>
  <c r="CH82" i="681"/>
  <c r="BF83" i="681"/>
  <c r="CG83" i="681"/>
  <c r="CF83" i="681"/>
  <c r="CH83" i="681" s="1"/>
  <c r="BF84" i="681"/>
  <c r="CG84" i="681"/>
  <c r="CF84" i="681"/>
  <c r="CH84" i="681"/>
  <c r="BF85" i="681"/>
  <c r="CG85" i="681" s="1"/>
  <c r="CF85" i="681"/>
  <c r="BF86" i="681"/>
  <c r="CG86" i="681" s="1"/>
  <c r="CH86" i="681" s="1"/>
  <c r="CF86" i="681"/>
  <c r="BF87" i="681"/>
  <c r="CG87" i="681" s="1"/>
  <c r="CH87" i="681" s="1"/>
  <c r="CF87" i="681"/>
  <c r="BF88" i="681"/>
  <c r="CG88" i="681" s="1"/>
  <c r="CF88" i="681"/>
  <c r="CH88" i="681"/>
  <c r="BF89" i="681"/>
  <c r="CG89" i="681" s="1"/>
  <c r="CF89" i="681"/>
  <c r="CH89" i="681"/>
  <c r="BF90" i="681"/>
  <c r="CG90" i="681"/>
  <c r="CF90" i="681"/>
  <c r="CH90" i="681" s="1"/>
  <c r="Y91" i="681"/>
  <c r="X91" i="681"/>
  <c r="BF91" i="681"/>
  <c r="CG91" i="681"/>
  <c r="CF91" i="681"/>
  <c r="CH91" i="681"/>
  <c r="BF92" i="681"/>
  <c r="CG92" i="681"/>
  <c r="BF93" i="681"/>
  <c r="CG93" i="681" s="1"/>
  <c r="CF93" i="681"/>
  <c r="BF94" i="681"/>
  <c r="CG94" i="681"/>
  <c r="CF94" i="681"/>
  <c r="CH94" i="681"/>
  <c r="BF95" i="681"/>
  <c r="CG95" i="681" s="1"/>
  <c r="CF95" i="681"/>
  <c r="CH95" i="681"/>
  <c r="BF96" i="681"/>
  <c r="CG96" i="681"/>
  <c r="CF96" i="681"/>
  <c r="CH96" i="681"/>
  <c r="BF97" i="681"/>
  <c r="CG97" i="681"/>
  <c r="CF97" i="681"/>
  <c r="CH97" i="681"/>
  <c r="BF98" i="681"/>
  <c r="CG98" i="681"/>
  <c r="CF98" i="681"/>
  <c r="CH98" i="681" s="1"/>
  <c r="Y99" i="681"/>
  <c r="X99" i="681"/>
  <c r="BF99" i="681"/>
  <c r="CG99" i="681" s="1"/>
  <c r="CF99" i="681"/>
  <c r="BF100" i="681"/>
  <c r="CG100" i="681"/>
  <c r="CF100" i="681"/>
  <c r="CH100" i="681" s="1"/>
  <c r="BF101" i="681"/>
  <c r="CG101" i="681"/>
  <c r="CH101" i="681" s="1"/>
  <c r="CF101" i="681"/>
  <c r="BF102" i="681"/>
  <c r="CG102" i="681"/>
  <c r="CF102" i="681"/>
  <c r="CH102" i="681" s="1"/>
  <c r="BF103" i="681"/>
  <c r="CG103" i="681"/>
  <c r="CF103" i="681"/>
  <c r="BF104" i="681"/>
  <c r="CG104" i="681"/>
  <c r="CF104" i="681"/>
  <c r="BF105" i="681"/>
  <c r="CG105" i="681" s="1"/>
  <c r="CF105" i="681"/>
  <c r="BF106" i="681"/>
  <c r="CG106" i="681" s="1"/>
  <c r="CF106" i="681"/>
  <c r="CH106" i="681"/>
  <c r="BF107" i="681"/>
  <c r="CG107" i="681"/>
  <c r="CH107" i="681" s="1"/>
  <c r="CF107" i="681"/>
  <c r="BF108" i="681"/>
  <c r="CG108" i="681"/>
  <c r="CF108" i="681"/>
  <c r="BF109" i="681"/>
  <c r="CG109" i="681" s="1"/>
  <c r="CF109" i="681"/>
  <c r="BF110" i="681"/>
  <c r="CG110" i="681"/>
  <c r="CF110" i="681"/>
  <c r="CH110" i="681"/>
  <c r="BF111" i="681"/>
  <c r="CG111" i="681"/>
  <c r="CF111" i="681"/>
  <c r="X112" i="681"/>
  <c r="BF112" i="681"/>
  <c r="CG112" i="681"/>
  <c r="CF112" i="681"/>
  <c r="CH112" i="681"/>
  <c r="BF113" i="681"/>
  <c r="CG113" i="681" s="1"/>
  <c r="CF113" i="681"/>
  <c r="BF114" i="681"/>
  <c r="CG114" i="681" s="1"/>
  <c r="BF115" i="681"/>
  <c r="CG115" i="681"/>
  <c r="BF116" i="681"/>
  <c r="CG116" i="681"/>
  <c r="CF117" i="681"/>
  <c r="BF118" i="681"/>
  <c r="CG118" i="681"/>
  <c r="CF118" i="681"/>
  <c r="CH118" i="681"/>
  <c r="BF119" i="681"/>
  <c r="CG119" i="681"/>
  <c r="CF119" i="681"/>
  <c r="BF120" i="681"/>
  <c r="CG120" i="681"/>
  <c r="CF120" i="681"/>
  <c r="CH120" i="681"/>
  <c r="BF121" i="681"/>
  <c r="CG121" i="681"/>
  <c r="CC121" i="681"/>
  <c r="CB121" i="681"/>
  <c r="CF121" i="681"/>
  <c r="CH121" i="681" s="1"/>
  <c r="BF122" i="681"/>
  <c r="CG122" i="681" s="1"/>
  <c r="BF123" i="681"/>
  <c r="CG123" i="681" s="1"/>
  <c r="CH123" i="681" s="1"/>
  <c r="CC123" i="681"/>
  <c r="CB123" i="681"/>
  <c r="CF123" i="681"/>
  <c r="BF125" i="681"/>
  <c r="CG125" i="681"/>
  <c r="CH125" i="681" s="1"/>
  <c r="BF126" i="681"/>
  <c r="CG126" i="681" s="1"/>
  <c r="CH126" i="681" s="1"/>
  <c r="BF127" i="681"/>
  <c r="CG127" i="681" s="1"/>
  <c r="BF128" i="681"/>
  <c r="CG128" i="681" s="1"/>
  <c r="CH128" i="681"/>
  <c r="BF129" i="681"/>
  <c r="CG129" i="681"/>
  <c r="BF130" i="681"/>
  <c r="CG130" i="681" s="1"/>
  <c r="BF131" i="681"/>
  <c r="CG131" i="681"/>
  <c r="CH131" i="681"/>
  <c r="BF132" i="681"/>
  <c r="CG132" i="681"/>
  <c r="CC132" i="681"/>
  <c r="CB132" i="681"/>
  <c r="CF132" i="681"/>
  <c r="CH132" i="681"/>
  <c r="BF133" i="681"/>
  <c r="CG133" i="681"/>
  <c r="CH133" i="681" s="1"/>
  <c r="BF135" i="681"/>
  <c r="CG135" i="681"/>
  <c r="CH135" i="681"/>
  <c r="BF136" i="681"/>
  <c r="CG136" i="681" s="1"/>
  <c r="CF137" i="681"/>
  <c r="BF138" i="681"/>
  <c r="CG138" i="681"/>
  <c r="BF139" i="681"/>
  <c r="CG139" i="681"/>
  <c r="CF139" i="681"/>
  <c r="CH139" i="681" s="1"/>
  <c r="BF141" i="681"/>
  <c r="CG141" i="681"/>
  <c r="CH141" i="681"/>
  <c r="BF142" i="681"/>
  <c r="CG142" i="681" s="1"/>
  <c r="CF142" i="681"/>
  <c r="BF143" i="681"/>
  <c r="CG143" i="681"/>
  <c r="BF144" i="681"/>
  <c r="CG144" i="681"/>
  <c r="CF144" i="681"/>
  <c r="CH144" i="681"/>
  <c r="BF145" i="681"/>
  <c r="CG145" i="681"/>
  <c r="CH145" i="681" s="1"/>
  <c r="CF145" i="681"/>
  <c r="BF146" i="681"/>
  <c r="CG146" i="681" s="1"/>
  <c r="BF148" i="681"/>
  <c r="CG148" i="681"/>
  <c r="CF148" i="681"/>
  <c r="CH148" i="681"/>
  <c r="BF149" i="681"/>
  <c r="CG149" i="681"/>
  <c r="BF150" i="681"/>
  <c r="CG150" i="681"/>
  <c r="BF151" i="681"/>
  <c r="CG151" i="681" s="1"/>
  <c r="BF152" i="681"/>
  <c r="CG152" i="681"/>
  <c r="CC152" i="681"/>
  <c r="CB152" i="681"/>
  <c r="BF153" i="681"/>
  <c r="CG153" i="681" s="1"/>
  <c r="BF154" i="681"/>
  <c r="CG154" i="681"/>
  <c r="BF155" i="681"/>
  <c r="CG155" i="681"/>
  <c r="CC155" i="681"/>
  <c r="CF155" i="681" s="1"/>
  <c r="CH155" i="681" s="1"/>
  <c r="CB155" i="681"/>
  <c r="BF156" i="681"/>
  <c r="CG156" i="681"/>
  <c r="CC156" i="681"/>
  <c r="CB156" i="681"/>
  <c r="BF157" i="681"/>
  <c r="CG157" i="681"/>
  <c r="BF158" i="681"/>
  <c r="CG158" i="681" s="1"/>
  <c r="BF159" i="681"/>
  <c r="CG159" i="681" s="1"/>
  <c r="BF160" i="681"/>
  <c r="CG160" i="681"/>
  <c r="CH160" i="681"/>
  <c r="BF161" i="681"/>
  <c r="CG161" i="681"/>
  <c r="BF162" i="681"/>
  <c r="CG162" i="681" s="1"/>
  <c r="CH162" i="681" s="1"/>
  <c r="BF163" i="681"/>
  <c r="CG163" i="681" s="1"/>
  <c r="BF164" i="681"/>
  <c r="CG164" i="681" s="1"/>
  <c r="BF165" i="681"/>
  <c r="CG165" i="681"/>
  <c r="CH165" i="681"/>
  <c r="BF166" i="681"/>
  <c r="CG166" i="681"/>
  <c r="CH166" i="681" s="1"/>
  <c r="CF166" i="681"/>
  <c r="BF167" i="681"/>
  <c r="CG167" i="681" s="1"/>
  <c r="CF167" i="681"/>
  <c r="CH167" i="681"/>
  <c r="BF168" i="681"/>
  <c r="CG168" i="681"/>
  <c r="CF168" i="681"/>
  <c r="CH168" i="681" s="1"/>
  <c r="BF169" i="681"/>
  <c r="CG169" i="681" s="1"/>
  <c r="CH169" i="681" s="1"/>
  <c r="CF169" i="681"/>
  <c r="BF170" i="681"/>
  <c r="CG170" i="681"/>
  <c r="CF170" i="681"/>
  <c r="CH170" i="681" s="1"/>
  <c r="BF171" i="681"/>
  <c r="CG171" i="681"/>
  <c r="CF171" i="681"/>
  <c r="CH171" i="681"/>
  <c r="V172" i="681"/>
  <c r="V199" i="681" s="1"/>
  <c r="U172" i="681"/>
  <c r="BF172" i="681"/>
  <c r="CG172" i="681"/>
  <c r="V173" i="681"/>
  <c r="U173" i="681"/>
  <c r="BF173" i="681"/>
  <c r="CG173" i="681"/>
  <c r="BF174" i="681"/>
  <c r="CG174" i="681" s="1"/>
  <c r="CH174" i="681" s="1"/>
  <c r="CF174" i="681"/>
  <c r="BF175" i="681"/>
  <c r="CG175" i="681" s="1"/>
  <c r="CF175" i="681"/>
  <c r="CH175" i="681"/>
  <c r="BF176" i="681"/>
  <c r="CG176" i="681" s="1"/>
  <c r="CH176" i="681" s="1"/>
  <c r="CF176" i="681"/>
  <c r="CG177" i="681"/>
  <c r="CF177" i="681"/>
  <c r="CH177" i="681" s="1"/>
  <c r="BF178" i="681"/>
  <c r="CG178" i="681"/>
  <c r="BF179" i="681"/>
  <c r="CG179" i="681"/>
  <c r="CF179" i="681"/>
  <c r="CH179" i="681"/>
  <c r="V180" i="681"/>
  <c r="U180" i="681"/>
  <c r="BF181" i="681"/>
  <c r="CG181" i="681"/>
  <c r="CF181" i="681"/>
  <c r="CH181" i="681" s="1"/>
  <c r="BF182" i="681"/>
  <c r="CG182" i="681"/>
  <c r="CF182" i="681"/>
  <c r="CH182" i="681" s="1"/>
  <c r="BF183" i="681"/>
  <c r="CG183" i="681"/>
  <c r="CF183" i="681"/>
  <c r="V184" i="681"/>
  <c r="U184" i="681"/>
  <c r="BF184" i="681"/>
  <c r="CG184" i="681"/>
  <c r="CH184" i="681" s="1"/>
  <c r="CF184" i="681"/>
  <c r="BF185" i="681"/>
  <c r="CG185" i="681" s="1"/>
  <c r="CF185" i="681"/>
  <c r="CH185" i="681"/>
  <c r="CF186" i="681"/>
  <c r="BF187" i="681"/>
  <c r="CG187" i="681" s="1"/>
  <c r="CH187" i="681" s="1"/>
  <c r="CF187" i="681"/>
  <c r="BF188" i="681"/>
  <c r="CG188" i="681" s="1"/>
  <c r="CF188" i="681"/>
  <c r="CG189" i="681"/>
  <c r="CF189" i="681"/>
  <c r="CH189" i="681" s="1"/>
  <c r="V190" i="681"/>
  <c r="U190" i="681"/>
  <c r="BF190" i="681"/>
  <c r="CG190" i="681" s="1"/>
  <c r="BF191" i="681"/>
  <c r="CG191" i="681"/>
  <c r="BF192" i="681"/>
  <c r="CG192" i="681"/>
  <c r="CH192" i="681" s="1"/>
  <c r="CF192" i="681"/>
  <c r="BF193" i="681"/>
  <c r="CG193" i="681"/>
  <c r="CF193" i="681"/>
  <c r="CH193" i="681" s="1"/>
  <c r="BF194" i="681"/>
  <c r="CG194" i="681"/>
  <c r="BF195" i="681"/>
  <c r="CG195" i="681" s="1"/>
  <c r="CH195" i="681" s="1"/>
  <c r="CF195" i="681"/>
  <c r="BF196" i="681"/>
  <c r="CG196" i="681" s="1"/>
  <c r="CF196" i="681"/>
  <c r="BF197" i="681"/>
  <c r="CG197" i="681"/>
  <c r="V198" i="681"/>
  <c r="U198" i="681"/>
  <c r="BF198" i="681"/>
  <c r="CG198" i="681"/>
  <c r="CH198" i="681" s="1"/>
  <c r="CF198" i="681"/>
  <c r="CC346" i="397"/>
  <c r="BF108" i="397"/>
  <c r="CG108" i="397" s="1"/>
  <c r="CF108" i="397"/>
  <c r="CC74" i="397"/>
  <c r="CF74" i="397" s="1"/>
  <c r="CC44" i="397"/>
  <c r="CC47" i="397"/>
  <c r="CC98" i="397"/>
  <c r="A135" i="397"/>
  <c r="Y261" i="669"/>
  <c r="CD24" i="397"/>
  <c r="BZ73" i="397"/>
  <c r="CC73" i="397"/>
  <c r="CC36" i="397"/>
  <c r="CC37" i="397"/>
  <c r="CC38" i="397"/>
  <c r="CD18" i="397"/>
  <c r="U199" i="681"/>
  <c r="CD346" i="397"/>
  <c r="CD28" i="397"/>
  <c r="A73" i="397"/>
  <c r="CE346" i="397"/>
  <c r="BE346" i="397"/>
  <c r="BE307" i="397"/>
  <c r="CE24" i="397"/>
  <c r="BE24" i="397"/>
  <c r="CD130" i="397"/>
  <c r="CA73" i="397"/>
  <c r="BN73" i="397"/>
  <c r="CB73" i="397"/>
  <c r="CE18" i="397"/>
  <c r="BE18" i="397"/>
  <c r="BD56" i="397"/>
  <c r="CE28" i="397"/>
  <c r="BE28" i="397"/>
  <c r="BD55" i="397"/>
  <c r="CD31" i="397"/>
  <c r="BF24" i="397"/>
  <c r="CG24" i="397"/>
  <c r="BF18" i="397"/>
  <c r="CG18" i="397" s="1"/>
  <c r="CD96" i="397"/>
  <c r="BF28" i="397"/>
  <c r="CG28" i="397" s="1"/>
  <c r="CE130" i="397"/>
  <c r="BE130" i="397"/>
  <c r="BF130" i="397" s="1"/>
  <c r="CG130" i="397" s="1"/>
  <c r="BD146" i="397"/>
  <c r="CD21" i="397"/>
  <c r="CA135" i="397"/>
  <c r="A34" i="397"/>
  <c r="CE96" i="397"/>
  <c r="BE96" i="397"/>
  <c r="CE31" i="397"/>
  <c r="BE31" i="397"/>
  <c r="BN135" i="397"/>
  <c r="CB135" i="397" s="1"/>
  <c r="CE21" i="397"/>
  <c r="BE21" i="397"/>
  <c r="BF21" i="397" s="1"/>
  <c r="CG21" i="397" s="1"/>
  <c r="BD68" i="397"/>
  <c r="CD23" i="397"/>
  <c r="CA34" i="397"/>
  <c r="BN34" i="397"/>
  <c r="CB34" i="397"/>
  <c r="A136" i="397"/>
  <c r="CA136" i="397"/>
  <c r="CD122" i="397"/>
  <c r="CD124" i="397"/>
  <c r="CE23" i="397"/>
  <c r="BE23" i="397"/>
  <c r="CD104" i="397"/>
  <c r="BN136" i="397"/>
  <c r="CB136" i="397" s="1"/>
  <c r="A97" i="397"/>
  <c r="CE122" i="397"/>
  <c r="BE122" i="397"/>
  <c r="BF122" i="397" s="1"/>
  <c r="CG122" i="397" s="1"/>
  <c r="BD149" i="397"/>
  <c r="CE124" i="397"/>
  <c r="BE124" i="397"/>
  <c r="BD61" i="397"/>
  <c r="CD123" i="397"/>
  <c r="CE104" i="397"/>
  <c r="CF104" i="397" s="1"/>
  <c r="BE104" i="397"/>
  <c r="BF104" i="397" s="1"/>
  <c r="CG104" i="397" s="1"/>
  <c r="BD82" i="397"/>
  <c r="BF82" i="397" s="1"/>
  <c r="CG82" i="397" s="1"/>
  <c r="CA97" i="397"/>
  <c r="BF124" i="397"/>
  <c r="CG124" i="397" s="1"/>
  <c r="BN35" i="397"/>
  <c r="CB35" i="397" s="1"/>
  <c r="BN97" i="397"/>
  <c r="CB97" i="397" s="1"/>
  <c r="CE123" i="397"/>
  <c r="BE123" i="397"/>
  <c r="BD141" i="397"/>
  <c r="CD125" i="397"/>
  <c r="A35" i="397"/>
  <c r="BF123" i="397"/>
  <c r="CG123" i="397"/>
  <c r="CA35" i="397"/>
  <c r="CE125" i="397"/>
  <c r="BE125" i="397"/>
  <c r="BF125" i="397" s="1"/>
  <c r="CG125" i="397" s="1"/>
  <c r="BD147" i="397"/>
  <c r="CD126" i="397"/>
  <c r="CE126" i="397"/>
  <c r="BE126" i="397"/>
  <c r="CC128" i="397"/>
  <c r="CD127" i="397"/>
  <c r="CE127" i="397"/>
  <c r="BE127" i="397"/>
  <c r="CG127" i="397"/>
  <c r="BF126" i="397"/>
  <c r="CG126" i="397"/>
  <c r="CD73" i="397"/>
  <c r="CE73" i="397"/>
  <c r="BE73" i="397"/>
  <c r="BF73" i="397" s="1"/>
  <c r="CG73" i="397"/>
  <c r="BZ81" i="397"/>
  <c r="CF81" i="397" s="1"/>
  <c r="BD81" i="397"/>
  <c r="CA71" i="397"/>
  <c r="CF71" i="397" s="1"/>
  <c r="CH71" i="397" s="1"/>
  <c r="BN71" i="397"/>
  <c r="CB71" i="397"/>
  <c r="CA36" i="397"/>
  <c r="A39" i="397"/>
  <c r="BN36" i="397"/>
  <c r="CB36" i="397" s="1"/>
  <c r="CA39" i="397"/>
  <c r="A38" i="397"/>
  <c r="BN39" i="397"/>
  <c r="CB39" i="397" s="1"/>
  <c r="CF39" i="397" s="1"/>
  <c r="CD30" i="397"/>
  <c r="CD29" i="397"/>
  <c r="CD97" i="397"/>
  <c r="CD196" i="397"/>
  <c r="BU196" i="397"/>
  <c r="BV196" i="397" s="1"/>
  <c r="BW196" i="397" s="1"/>
  <c r="BE30" i="397"/>
  <c r="BD67" i="397"/>
  <c r="CE30" i="397"/>
  <c r="CD32" i="397"/>
  <c r="CC33" i="397"/>
  <c r="BE196" i="397"/>
  <c r="BG313" i="397" s="1"/>
  <c r="BD313" i="397" s="1"/>
  <c r="CE196" i="397"/>
  <c r="BE29" i="397"/>
  <c r="BF29" i="397" s="1"/>
  <c r="CG29" i="397" s="1"/>
  <c r="BD186" i="397"/>
  <c r="CE29" i="397"/>
  <c r="BE97" i="397"/>
  <c r="BD142" i="397"/>
  <c r="CE97" i="397"/>
  <c r="BF196" i="397"/>
  <c r="CG196" i="397"/>
  <c r="BE32" i="397"/>
  <c r="BF32" i="397"/>
  <c r="CG32" i="397" s="1"/>
  <c r="CE32" i="397"/>
  <c r="A81" i="397"/>
  <c r="BF97" i="397"/>
  <c r="CG97" i="397" s="1"/>
  <c r="N10" i="683"/>
  <c r="CC216" i="397"/>
  <c r="CC204" i="397"/>
  <c r="CC218" i="397"/>
  <c r="CC201" i="397"/>
  <c r="CC212" i="397"/>
  <c r="CC211" i="397"/>
  <c r="CC214" i="397"/>
  <c r="CC199" i="397"/>
  <c r="CC184" i="397"/>
  <c r="CC203" i="397"/>
  <c r="CC208" i="397"/>
  <c r="CC148" i="397"/>
  <c r="Z17" i="682"/>
  <c r="Y17" i="682"/>
  <c r="Z16" i="682"/>
  <c r="Y16" i="682"/>
  <c r="Z19" i="682"/>
  <c r="Y19" i="682"/>
  <c r="Z20" i="682"/>
  <c r="Y20" i="682"/>
  <c r="CC202" i="397"/>
  <c r="CC183" i="397"/>
  <c r="H389" i="669"/>
  <c r="AC387" i="669"/>
  <c r="AC391" i="669" s="1"/>
  <c r="AB387" i="669"/>
  <c r="AB391" i="669" s="1"/>
  <c r="BF397" i="397"/>
  <c r="CG397" i="397"/>
  <c r="CH397" i="397" s="1"/>
  <c r="BZ166" i="397"/>
  <c r="CC176" i="397"/>
  <c r="CC192" i="397"/>
  <c r="CC193" i="397"/>
  <c r="CC200" i="397"/>
  <c r="CC237" i="397"/>
  <c r="CC182" i="397"/>
  <c r="CC179" i="397"/>
  <c r="AZ354" i="397"/>
  <c r="AH354" i="397"/>
  <c r="CC335" i="397"/>
  <c r="H348" i="669"/>
  <c r="T347" i="669"/>
  <c r="CC177" i="397"/>
  <c r="CC191" i="397"/>
  <c r="CC166" i="397"/>
  <c r="CC181" i="397"/>
  <c r="CC178" i="397"/>
  <c r="BZ168" i="397"/>
  <c r="N19" i="685"/>
  <c r="N17" i="685"/>
  <c r="N16" i="685"/>
  <c r="N15" i="685"/>
  <c r="N14" i="685"/>
  <c r="N13" i="685"/>
  <c r="N12" i="685"/>
  <c r="N11" i="685"/>
  <c r="N17" i="684"/>
  <c r="N13" i="684"/>
  <c r="N15" i="684"/>
  <c r="N10" i="684"/>
  <c r="N11" i="684"/>
  <c r="N22" i="683"/>
  <c r="N19" i="683"/>
  <c r="N13" i="683"/>
  <c r="N16" i="683"/>
  <c r="N11" i="683"/>
  <c r="N15" i="683"/>
  <c r="N18" i="683"/>
  <c r="N12" i="682"/>
  <c r="N14" i="682"/>
  <c r="BZ75" i="397"/>
  <c r="CC75" i="397"/>
  <c r="BZ187" i="397"/>
  <c r="CC142" i="397"/>
  <c r="CC186" i="397"/>
  <c r="CC175" i="397"/>
  <c r="CC188" i="397"/>
  <c r="X24" i="683"/>
  <c r="BD167" i="397"/>
  <c r="CC68" i="397"/>
  <c r="CC167" i="397"/>
  <c r="CC67" i="397"/>
  <c r="H315" i="669"/>
  <c r="Z314" i="669"/>
  <c r="H320" i="669"/>
  <c r="AY320" i="669"/>
  <c r="AY319" i="669"/>
  <c r="H324" i="669"/>
  <c r="AY324" i="669" s="1"/>
  <c r="AY323" i="669"/>
  <c r="AC326" i="669"/>
  <c r="AC328" i="669"/>
  <c r="AB328" i="669"/>
  <c r="BG246" i="202"/>
  <c r="BZ53" i="397"/>
  <c r="BD64" i="397"/>
  <c r="CC147" i="397"/>
  <c r="CC64" i="397"/>
  <c r="CC146" i="397"/>
  <c r="H295" i="669"/>
  <c r="H296" i="669"/>
  <c r="Z293" i="669"/>
  <c r="Y293" i="669"/>
  <c r="Y297" i="669"/>
  <c r="N15" i="682"/>
  <c r="N11" i="682"/>
  <c r="N21" i="682"/>
  <c r="N19" i="682"/>
  <c r="N16" i="682"/>
  <c r="N10" i="682"/>
  <c r="N13" i="682"/>
  <c r="BD63" i="397"/>
  <c r="BD157" i="397"/>
  <c r="CC61" i="397"/>
  <c r="CC55" i="397"/>
  <c r="CC149" i="397"/>
  <c r="CC58" i="397"/>
  <c r="CC63" i="397"/>
  <c r="CC157" i="397"/>
  <c r="CC141" i="397"/>
  <c r="CC65" i="397"/>
  <c r="BD80" i="397"/>
  <c r="BZ80" i="397"/>
  <c r="CC56" i="397"/>
  <c r="CC49" i="397"/>
  <c r="CC138" i="397"/>
  <c r="CC140" i="397"/>
  <c r="CC53" i="397"/>
  <c r="CC5" i="397"/>
  <c r="CC62" i="397"/>
  <c r="CC66" i="397"/>
  <c r="CC158" i="397"/>
  <c r="CA81" i="397"/>
  <c r="CD335" i="397"/>
  <c r="A168" i="397"/>
  <c r="Y19" i="684"/>
  <c r="A75" i="397"/>
  <c r="Z315" i="669"/>
  <c r="Z328" i="669"/>
  <c r="CD34" i="397"/>
  <c r="CA38" i="397"/>
  <c r="CE335" i="397"/>
  <c r="BE335" i="397"/>
  <c r="Z18" i="682"/>
  <c r="Y18" i="682"/>
  <c r="CA168" i="397"/>
  <c r="CA75" i="397"/>
  <c r="BN75" i="397"/>
  <c r="CB75" i="397" s="1"/>
  <c r="BG241" i="202"/>
  <c r="U249" i="202"/>
  <c r="BN38" i="397"/>
  <c r="CB38" i="397" s="1"/>
  <c r="CB81" i="397"/>
  <c r="CB168" i="397"/>
  <c r="BG248" i="202"/>
  <c r="CE34" i="397"/>
  <c r="BE34" i="397"/>
  <c r="CD92" i="397"/>
  <c r="CC81" i="397"/>
  <c r="CC168" i="397"/>
  <c r="BD75" i="397"/>
  <c r="BF34" i="397"/>
  <c r="CG34" i="397" s="1"/>
  <c r="CE92" i="397"/>
  <c r="BE92" i="397"/>
  <c r="BF92" i="397" s="1"/>
  <c r="CG92" i="397" s="1"/>
  <c r="BD175" i="397"/>
  <c r="CD128" i="397"/>
  <c r="CD132" i="397"/>
  <c r="CE128" i="397"/>
  <c r="BE128" i="397"/>
  <c r="BF128" i="397" s="1"/>
  <c r="CG128" i="397" s="1"/>
  <c r="BD188" i="397"/>
  <c r="CE132" i="397"/>
  <c r="BE132" i="397"/>
  <c r="CD80" i="397"/>
  <c r="BD187" i="397"/>
  <c r="BF132" i="397"/>
  <c r="CG132" i="397" s="1"/>
  <c r="CD133" i="397"/>
  <c r="CE80" i="397"/>
  <c r="BE80" i="397"/>
  <c r="BD181" i="397"/>
  <c r="BF80" i="397"/>
  <c r="CG80" i="397" s="1"/>
  <c r="CE133" i="397"/>
  <c r="BE133" i="397"/>
  <c r="BD191" i="397"/>
  <c r="CD134" i="397"/>
  <c r="CD87" i="397"/>
  <c r="A37" i="397"/>
  <c r="CA40" i="397"/>
  <c r="BN40" i="397"/>
  <c r="CB40" i="397"/>
  <c r="CE134" i="397"/>
  <c r="BE134" i="397"/>
  <c r="BD166" i="397"/>
  <c r="CD81" i="397"/>
  <c r="CE87" i="397"/>
  <c r="BE87" i="397"/>
  <c r="CA37" i="397"/>
  <c r="A42" i="397"/>
  <c r="BF134" i="397"/>
  <c r="CG134" i="397" s="1"/>
  <c r="BF87" i="397"/>
  <c r="CG87" i="397" s="1"/>
  <c r="BN37" i="397"/>
  <c r="CB37" i="397" s="1"/>
  <c r="CF37" i="397" s="1"/>
  <c r="BD169" i="397"/>
  <c r="BZ169" i="397"/>
  <c r="CE81" i="397"/>
  <c r="BE81" i="397"/>
  <c r="BD192" i="397"/>
  <c r="CD135" i="397"/>
  <c r="CA42" i="397"/>
  <c r="A41" i="397"/>
  <c r="CE135" i="397"/>
  <c r="BE135" i="397"/>
  <c r="BF135" i="397" s="1"/>
  <c r="CG135" i="397" s="1"/>
  <c r="BD193" i="397"/>
  <c r="CC137" i="397"/>
  <c r="CD136" i="397"/>
  <c r="BN42" i="397"/>
  <c r="CB42" i="397"/>
  <c r="CE136" i="397"/>
  <c r="CF136" i="397"/>
  <c r="BE136" i="397"/>
  <c r="BF136" i="397" s="1"/>
  <c r="CG136" i="397"/>
  <c r="CA41" i="397"/>
  <c r="BN41" i="397"/>
  <c r="CB41" i="397" s="1"/>
  <c r="CA44" i="397"/>
  <c r="A45" i="397"/>
  <c r="BN44" i="397"/>
  <c r="CB44" i="397" s="1"/>
  <c r="A46" i="397"/>
  <c r="CA45" i="397"/>
  <c r="BN45" i="397"/>
  <c r="CB45" i="397" s="1"/>
  <c r="CA46" i="397"/>
  <c r="BN46" i="397"/>
  <c r="CB46" i="397" s="1"/>
  <c r="CF46" i="397" s="1"/>
  <c r="CA48" i="397"/>
  <c r="A47" i="397"/>
  <c r="BN48" i="397"/>
  <c r="CB48" i="397" s="1"/>
  <c r="CA47" i="397"/>
  <c r="CA98" i="397"/>
  <c r="A48" i="397"/>
  <c r="BN47" i="397"/>
  <c r="CB47" i="397"/>
  <c r="CF47" i="397" s="1"/>
  <c r="BN98" i="397"/>
  <c r="CB98" i="397"/>
  <c r="CD5" i="397"/>
  <c r="CE5" i="397"/>
  <c r="BE5" i="397"/>
  <c r="BD221" i="397" s="1"/>
  <c r="BF5" i="397"/>
  <c r="CG5" i="397" s="1"/>
  <c r="CA49" i="397"/>
  <c r="BN49" i="397"/>
  <c r="CB49" i="397"/>
  <c r="BN139" i="397"/>
  <c r="CB139" i="397" s="1"/>
  <c r="CA50" i="397"/>
  <c r="A139" i="397"/>
  <c r="BN50" i="397"/>
  <c r="CB50" i="397" s="1"/>
  <c r="CF50" i="397" s="1"/>
  <c r="CA139" i="397"/>
  <c r="A51" i="397"/>
  <c r="CA51" i="397"/>
  <c r="A138" i="397"/>
  <c r="BN51" i="397"/>
  <c r="CB51" i="397" s="1"/>
  <c r="CA138" i="397"/>
  <c r="A53" i="397"/>
  <c r="A50" i="397"/>
  <c r="BN138" i="397"/>
  <c r="CB138" i="397" s="1"/>
  <c r="CA53" i="397"/>
  <c r="A54" i="397"/>
  <c r="BN53" i="397"/>
  <c r="CB53" i="397" s="1"/>
  <c r="CA54" i="397"/>
  <c r="A55" i="397"/>
  <c r="BN54" i="397"/>
  <c r="CB54" i="397" s="1"/>
  <c r="A56" i="397"/>
  <c r="A58" i="397"/>
  <c r="BN55" i="397"/>
  <c r="CB55" i="397" s="1"/>
  <c r="BN56" i="397"/>
  <c r="CB56" i="397" s="1"/>
  <c r="A5" i="397"/>
  <c r="CA5" i="397"/>
  <c r="CB5" i="397"/>
  <c r="CA55" i="397"/>
  <c r="CA56" i="397"/>
  <c r="A82" i="397"/>
  <c r="CA82" i="397"/>
  <c r="A83" i="397"/>
  <c r="CB82" i="397"/>
  <c r="CA83" i="397"/>
  <c r="CC82" i="397"/>
  <c r="CC83" i="397"/>
  <c r="CB83" i="397"/>
  <c r="CD54" i="397"/>
  <c r="CD55" i="397"/>
  <c r="CE54" i="397"/>
  <c r="BE54" i="397"/>
  <c r="BD231" i="397" s="1"/>
  <c r="BF54" i="397"/>
  <c r="CG54" i="397" s="1"/>
  <c r="CE55" i="397"/>
  <c r="BE55" i="397"/>
  <c r="CD64" i="397"/>
  <c r="CE64" i="397"/>
  <c r="BE64" i="397"/>
  <c r="BD213" i="397" s="1"/>
  <c r="BF64" i="397"/>
  <c r="CG64" i="397" s="1"/>
  <c r="CD63" i="397"/>
  <c r="BD407" i="397"/>
  <c r="BF407" i="397"/>
  <c r="CG407" i="397" s="1"/>
  <c r="CE63" i="397"/>
  <c r="BE63" i="397"/>
  <c r="BD215" i="397" s="1"/>
  <c r="CD66" i="397"/>
  <c r="CD71" i="397"/>
  <c r="CD35" i="397"/>
  <c r="CE66" i="397"/>
  <c r="BE66" i="397"/>
  <c r="BD228" i="397" s="1"/>
  <c r="BE71" i="397"/>
  <c r="BD177" i="397"/>
  <c r="CE71" i="397"/>
  <c r="CD36" i="397"/>
  <c r="BE35" i="397"/>
  <c r="BF35" i="397" s="1"/>
  <c r="CG35" i="397" s="1"/>
  <c r="BD178" i="397"/>
  <c r="CE35" i="397"/>
  <c r="BF71" i="397"/>
  <c r="CG71" i="397"/>
  <c r="BE36" i="397"/>
  <c r="BD176" i="397"/>
  <c r="CE36" i="397"/>
  <c r="CD39" i="397"/>
  <c r="BE39" i="397"/>
  <c r="BD200" i="397"/>
  <c r="CE39" i="397"/>
  <c r="CD33" i="397"/>
  <c r="BE33" i="397"/>
  <c r="BF33" i="397" s="1"/>
  <c r="CG33" i="397" s="1"/>
  <c r="BD182" i="397"/>
  <c r="CE33" i="397"/>
  <c r="CD37" i="397"/>
  <c r="CD40" i="397"/>
  <c r="BE37" i="397"/>
  <c r="BD179" i="397"/>
  <c r="CE37" i="397"/>
  <c r="CD38" i="397"/>
  <c r="BE40" i="397"/>
  <c r="BD202" i="397"/>
  <c r="CE40" i="397"/>
  <c r="BF40" i="397"/>
  <c r="CG40" i="397" s="1"/>
  <c r="BE38" i="397"/>
  <c r="BD183" i="397"/>
  <c r="CE38" i="397"/>
  <c r="CD41" i="397"/>
  <c r="BF38" i="397"/>
  <c r="CG38" i="397"/>
  <c r="BE41" i="397"/>
  <c r="BD184" i="397"/>
  <c r="CE41" i="397"/>
  <c r="CD42" i="397"/>
  <c r="CC43" i="397"/>
  <c r="CE42" i="397"/>
  <c r="BE42" i="397"/>
  <c r="CD139" i="397"/>
  <c r="CE139" i="397"/>
  <c r="BE139" i="397"/>
  <c r="BD148" i="397"/>
  <c r="CD82" i="397"/>
  <c r="BF139" i="397"/>
  <c r="CG139" i="397" s="1"/>
  <c r="BD406" i="397"/>
  <c r="BF406" i="397"/>
  <c r="CG406" i="397"/>
  <c r="CE82" i="397"/>
  <c r="BE82" i="397"/>
  <c r="BD214" i="397"/>
  <c r="CD138" i="397"/>
  <c r="BG242" i="202"/>
  <c r="BG245" i="202"/>
  <c r="CE138" i="397"/>
  <c r="BE138" i="397"/>
  <c r="BD199" i="397"/>
  <c r="CD83" i="397"/>
  <c r="BF138" i="397"/>
  <c r="CG138" i="397" s="1"/>
  <c r="CE83" i="397"/>
  <c r="BE83" i="397"/>
  <c r="BD216" i="397"/>
  <c r="CD43" i="397"/>
  <c r="CA407" i="397"/>
  <c r="CB407" i="397"/>
  <c r="A407" i="397"/>
  <c r="CE43" i="397"/>
  <c r="BE43" i="397"/>
  <c r="BF43" i="397" s="1"/>
  <c r="CG43" i="397" s="1"/>
  <c r="BD204" i="397"/>
  <c r="CD45" i="397"/>
  <c r="BU165" i="397"/>
  <c r="BV165" i="397" s="1"/>
  <c r="BE94" i="397"/>
  <c r="BD237" i="397"/>
  <c r="BE70" i="397"/>
  <c r="BF70" i="397" s="1"/>
  <c r="CG70" i="397" s="1"/>
  <c r="BD168" i="397"/>
  <c r="BE95" i="397"/>
  <c r="CD165" i="397"/>
  <c r="BW165" i="397"/>
  <c r="CE165" i="397" s="1"/>
  <c r="BE165" i="397"/>
  <c r="BF165" i="397" s="1"/>
  <c r="CG165" i="397" s="1"/>
  <c r="CD103" i="397"/>
  <c r="CE103" i="397"/>
  <c r="BE103" i="397"/>
  <c r="BF103" i="397"/>
  <c r="CG103" i="397"/>
  <c r="BF94" i="397"/>
  <c r="CG94" i="397" s="1"/>
  <c r="CD94" i="397"/>
  <c r="CE94" i="397"/>
  <c r="CD70" i="397"/>
  <c r="CE70" i="397"/>
  <c r="CD95" i="397"/>
  <c r="CE95" i="397"/>
  <c r="BF95" i="397"/>
  <c r="CG95" i="397" s="1"/>
  <c r="A57" i="397"/>
  <c r="A59" i="397"/>
  <c r="A61" i="397"/>
  <c r="A140" i="397"/>
  <c r="CA140" i="397"/>
  <c r="BN140" i="397"/>
  <c r="CB140" i="397" s="1"/>
  <c r="CA59" i="397"/>
  <c r="BN59" i="397"/>
  <c r="CB59" i="397" s="1"/>
  <c r="CA58" i="397"/>
  <c r="BN58" i="397"/>
  <c r="CB58" i="397"/>
  <c r="CA61" i="397"/>
  <c r="BN61" i="397"/>
  <c r="CB61" i="397" s="1"/>
  <c r="CA57" i="397"/>
  <c r="BN57" i="397"/>
  <c r="CB57" i="397" s="1"/>
  <c r="A62" i="397"/>
  <c r="BE45" i="397"/>
  <c r="CE45" i="397"/>
  <c r="CD48" i="397"/>
  <c r="CA62" i="397"/>
  <c r="BD201" i="397"/>
  <c r="BF45" i="397"/>
  <c r="CG45" i="397" s="1"/>
  <c r="A141" i="397"/>
  <c r="BN62" i="397"/>
  <c r="CB62" i="397"/>
  <c r="CD74" i="397"/>
  <c r="CE48" i="397"/>
  <c r="BE48" i="397"/>
  <c r="CD47" i="397"/>
  <c r="BD211" i="397"/>
  <c r="BE74" i="397"/>
  <c r="BD203" i="397"/>
  <c r="CE74" i="397"/>
  <c r="CD44" i="397"/>
  <c r="CE47" i="397"/>
  <c r="BE47" i="397"/>
  <c r="BD210" i="397" s="1"/>
  <c r="CD49" i="397"/>
  <c r="BF47" i="397"/>
  <c r="CG47" i="397"/>
  <c r="BE44" i="397"/>
  <c r="BD208" i="397"/>
  <c r="CE44" i="397"/>
  <c r="CD46" i="397"/>
  <c r="CE49" i="397"/>
  <c r="BE49" i="397"/>
  <c r="BD209" i="397" s="1"/>
  <c r="CD50" i="397"/>
  <c r="CA141" i="397"/>
  <c r="BF44" i="397"/>
  <c r="CG44" i="397" s="1"/>
  <c r="BF49" i="397"/>
  <c r="CG49" i="397" s="1"/>
  <c r="BN141" i="397"/>
  <c r="CB141" i="397" s="1"/>
  <c r="BE46" i="397"/>
  <c r="CE46" i="397"/>
  <c r="CD98" i="397"/>
  <c r="CE50" i="397"/>
  <c r="BE50" i="397"/>
  <c r="BD217" i="397" s="1"/>
  <c r="CD51" i="397"/>
  <c r="BZ189" i="397"/>
  <c r="BF46" i="397"/>
  <c r="CG46" i="397"/>
  <c r="CC52" i="397"/>
  <c r="BE51" i="397"/>
  <c r="BF51" i="397"/>
  <c r="CG51" i="397" s="1"/>
  <c r="CE51" i="397"/>
  <c r="BD84" i="397"/>
  <c r="BE98" i="397"/>
  <c r="CE98" i="397"/>
  <c r="BZ84" i="397"/>
  <c r="BZ335" i="397"/>
  <c r="BD190" i="397"/>
  <c r="A84" i="397"/>
  <c r="BZ190" i="397"/>
  <c r="CA84" i="397"/>
  <c r="CD137" i="397"/>
  <c r="CD88" i="397"/>
  <c r="CB84" i="397"/>
  <c r="CC84" i="397"/>
  <c r="CE137" i="397"/>
  <c r="BE137" i="397"/>
  <c r="BD227" i="397" s="1"/>
  <c r="BE88" i="397"/>
  <c r="BD212" i="397"/>
  <c r="CE88" i="397"/>
  <c r="BF137" i="397"/>
  <c r="CG137" i="397"/>
  <c r="BF88" i="397"/>
  <c r="CG88" i="397" s="1"/>
  <c r="CD6" i="397"/>
  <c r="BD189" i="397"/>
  <c r="BE6" i="397"/>
  <c r="BF6" i="397" s="1"/>
  <c r="CG6" i="397" s="1"/>
  <c r="BD218" i="397"/>
  <c r="CE6" i="397"/>
  <c r="CF6" i="397"/>
  <c r="CH6" i="397" s="1"/>
  <c r="CD86" i="397"/>
  <c r="CE86" i="397"/>
  <c r="BE86" i="397"/>
  <c r="BF86" i="397"/>
  <c r="CG86" i="397" s="1"/>
  <c r="CA63" i="397"/>
  <c r="A147" i="397"/>
  <c r="BN63" i="397"/>
  <c r="CB63" i="397"/>
  <c r="CA147" i="397"/>
  <c r="BN147" i="397"/>
  <c r="CB147" i="397"/>
  <c r="A146" i="397"/>
  <c r="CA146" i="397"/>
  <c r="BN146" i="397"/>
  <c r="CB146" i="397"/>
  <c r="A157" i="397"/>
  <c r="CA157" i="397"/>
  <c r="A158" i="397"/>
  <c r="A63" i="397"/>
  <c r="BN157" i="397"/>
  <c r="CB157" i="397"/>
  <c r="A142" i="397"/>
  <c r="CA142" i="397"/>
  <c r="CB142" i="397"/>
  <c r="A149" i="397"/>
  <c r="CA158" i="397"/>
  <c r="BN158" i="397"/>
  <c r="CB158" i="397"/>
  <c r="A64" i="397"/>
  <c r="CA149" i="397"/>
  <c r="BN149" i="397"/>
  <c r="CB149" i="397" s="1"/>
  <c r="A65" i="397"/>
  <c r="CA64" i="397"/>
  <c r="BN64" i="397"/>
  <c r="CB64" i="397" s="1"/>
  <c r="A189" i="397"/>
  <c r="A68" i="397"/>
  <c r="CA65" i="397"/>
  <c r="CA189" i="397"/>
  <c r="BN65" i="397"/>
  <c r="CB65" i="397" s="1"/>
  <c r="CB189" i="397"/>
  <c r="CC189" i="397"/>
  <c r="A186" i="397"/>
  <c r="CA186" i="397"/>
  <c r="BN186" i="397"/>
  <c r="CB186" i="397" s="1"/>
  <c r="A66" i="397"/>
  <c r="CA68" i="397"/>
  <c r="BN68" i="397"/>
  <c r="CB68" i="397"/>
  <c r="A67" i="397"/>
  <c r="CA66" i="397"/>
  <c r="CA169" i="397"/>
  <c r="A190" i="397"/>
  <c r="BN66" i="397"/>
  <c r="CB66" i="397" s="1"/>
  <c r="CB169" i="397"/>
  <c r="CA190" i="397"/>
  <c r="CC169" i="397"/>
  <c r="BN67" i="397"/>
  <c r="CB67" i="397" s="1"/>
  <c r="CA67" i="397"/>
  <c r="CB190" i="397"/>
  <c r="CC190" i="397"/>
  <c r="A191" i="397"/>
  <c r="CA191" i="397"/>
  <c r="A167" i="397"/>
  <c r="BN191" i="397"/>
  <c r="CB191" i="397"/>
  <c r="CA167" i="397"/>
  <c r="BN167" i="397"/>
  <c r="CB167" i="397" s="1"/>
  <c r="A188" i="397"/>
  <c r="CA188" i="397"/>
  <c r="BN188" i="397"/>
  <c r="CB188" i="397"/>
  <c r="A187" i="397"/>
  <c r="A193" i="397"/>
  <c r="CA187" i="397"/>
  <c r="BN187" i="397"/>
  <c r="A166" i="397"/>
  <c r="CA166" i="397"/>
  <c r="BN166" i="397"/>
  <c r="CB166" i="397" s="1"/>
  <c r="A192" i="397"/>
  <c r="CA193" i="397"/>
  <c r="BN193" i="397"/>
  <c r="CB193" i="397"/>
  <c r="A178" i="397"/>
  <c r="CA192" i="397"/>
  <c r="BN192" i="397"/>
  <c r="CB192" i="397" s="1"/>
  <c r="CA178" i="397"/>
  <c r="A175" i="397"/>
  <c r="BN178" i="397"/>
  <c r="CB178" i="397"/>
  <c r="CA175" i="397"/>
  <c r="A176" i="397"/>
  <c r="BN175" i="397"/>
  <c r="CB175" i="397" s="1"/>
  <c r="CA176" i="397"/>
  <c r="BN176" i="397"/>
  <c r="CB176" i="397"/>
  <c r="CD53" i="397"/>
  <c r="CE53" i="397"/>
  <c r="BE53" i="397"/>
  <c r="BD219" i="397" s="1"/>
  <c r="CD58" i="397"/>
  <c r="BF53" i="397"/>
  <c r="CG53" i="397" s="1"/>
  <c r="CD57" i="397"/>
  <c r="CE58" i="397"/>
  <c r="BE58" i="397"/>
  <c r="BD172" i="397" s="1"/>
  <c r="CE57" i="397"/>
  <c r="BE57" i="397"/>
  <c r="CD56" i="397"/>
  <c r="CD59" i="397"/>
  <c r="CE56" i="397"/>
  <c r="BE56" i="397"/>
  <c r="BF56" i="397" s="1"/>
  <c r="CG56" i="397" s="1"/>
  <c r="CC60" i="397"/>
  <c r="BE59" i="397"/>
  <c r="BF59" i="397" s="1"/>
  <c r="CG59" i="397" s="1"/>
  <c r="CE59" i="397"/>
  <c r="A406" i="397"/>
  <c r="CA406" i="397"/>
  <c r="CF406" i="397" s="1"/>
  <c r="CH406" i="397" s="1"/>
  <c r="CB406" i="397"/>
  <c r="A148" i="397"/>
  <c r="CA148" i="397"/>
  <c r="CB148" i="397"/>
  <c r="CD4" i="397"/>
  <c r="CE4" i="397"/>
  <c r="BE4" i="397"/>
  <c r="BF4" i="397" s="1"/>
  <c r="CG4" i="397" s="1"/>
  <c r="CD105" i="397"/>
  <c r="CF105" i="397" s="1"/>
  <c r="CE105" i="397"/>
  <c r="BE105" i="397"/>
  <c r="BF105" i="397"/>
  <c r="CG105" i="397" s="1"/>
  <c r="CD75" i="397"/>
  <c r="CE75" i="397"/>
  <c r="BE75" i="397"/>
  <c r="CD106" i="397"/>
  <c r="CE106" i="397"/>
  <c r="BE106" i="397"/>
  <c r="BF106" i="397"/>
  <c r="CG106" i="397" s="1"/>
  <c r="W242" i="397"/>
  <c r="CD157" i="397"/>
  <c r="BW157" i="397"/>
  <c r="AA250" i="202"/>
  <c r="AB18" i="202" l="1"/>
  <c r="X226" i="202"/>
  <c r="P250" i="202"/>
  <c r="BG225" i="202"/>
  <c r="X204" i="202"/>
  <c r="U18" i="202"/>
  <c r="P35" i="202"/>
  <c r="X162" i="202"/>
  <c r="BG117" i="202"/>
  <c r="BG96" i="202"/>
  <c r="P97" i="202"/>
  <c r="BG182" i="202"/>
  <c r="X35" i="202"/>
  <c r="CC117" i="637"/>
  <c r="CD89" i="670"/>
  <c r="CH591" i="397"/>
  <c r="BZ93" i="471"/>
  <c r="CH40" i="681"/>
  <c r="BS331" i="397"/>
  <c r="BT331" i="397" s="1"/>
  <c r="CC331" i="397"/>
  <c r="CF133" i="397"/>
  <c r="CH133" i="397" s="1"/>
  <c r="CF88" i="397"/>
  <c r="CA49" i="511"/>
  <c r="AX5" i="471"/>
  <c r="BY5" i="471" s="1"/>
  <c r="BX15" i="471"/>
  <c r="BZ15" i="471" s="1"/>
  <c r="AX17" i="471"/>
  <c r="BY17" i="471" s="1"/>
  <c r="BX22" i="471"/>
  <c r="BZ22" i="471" s="1"/>
  <c r="AX24" i="471"/>
  <c r="BY24" i="471" s="1"/>
  <c r="BZ78" i="471"/>
  <c r="BZ83" i="471"/>
  <c r="AX95" i="471"/>
  <c r="BY95" i="471" s="1"/>
  <c r="BZ95" i="471" s="1"/>
  <c r="AX99" i="471"/>
  <c r="BY99" i="471" s="1"/>
  <c r="BY170" i="511"/>
  <c r="AZ389" i="479"/>
  <c r="H452" i="479"/>
  <c r="H455" i="479" s="1"/>
  <c r="X451" i="479"/>
  <c r="X453" i="479" s="1"/>
  <c r="BF465" i="397"/>
  <c r="CG465" i="397" s="1"/>
  <c r="CH465" i="397" s="1"/>
  <c r="BF467" i="397"/>
  <c r="CG467" i="397" s="1"/>
  <c r="CH467" i="397" s="1"/>
  <c r="BF469" i="397"/>
  <c r="CG469" i="397" s="1"/>
  <c r="CH469" i="397" s="1"/>
  <c r="BF471" i="397"/>
  <c r="CG471" i="397" s="1"/>
  <c r="CH471" i="397" s="1"/>
  <c r="BF473" i="397"/>
  <c r="CG473" i="397" s="1"/>
  <c r="CH473" i="397" s="1"/>
  <c r="BF475" i="397"/>
  <c r="CG475" i="397" s="1"/>
  <c r="CH475" i="397" s="1"/>
  <c r="BF479" i="397"/>
  <c r="CG479" i="397" s="1"/>
  <c r="BF481" i="397"/>
  <c r="CG481" i="397" s="1"/>
  <c r="CH481" i="397" s="1"/>
  <c r="BF483" i="397"/>
  <c r="CG483" i="397" s="1"/>
  <c r="CH483" i="397" s="1"/>
  <c r="BF485" i="397"/>
  <c r="CG485" i="397" s="1"/>
  <c r="CH485" i="397" s="1"/>
  <c r="BF487" i="397"/>
  <c r="CG487" i="397" s="1"/>
  <c r="BF489" i="397"/>
  <c r="CG489" i="397" s="1"/>
  <c r="CH489" i="397" s="1"/>
  <c r="BF491" i="397"/>
  <c r="CG491" i="397" s="1"/>
  <c r="BF493" i="397"/>
  <c r="CG493" i="397" s="1"/>
  <c r="CH493" i="397" s="1"/>
  <c r="BF495" i="397"/>
  <c r="CG495" i="397" s="1"/>
  <c r="CH495" i="397" s="1"/>
  <c r="BF499" i="397"/>
  <c r="CG499" i="397" s="1"/>
  <c r="CH499" i="397" s="1"/>
  <c r="BF557" i="397"/>
  <c r="CG557" i="397" s="1"/>
  <c r="BF559" i="397"/>
  <c r="CG559" i="397" s="1"/>
  <c r="CH559" i="397" s="1"/>
  <c r="CH583" i="397"/>
  <c r="BS316" i="397"/>
  <c r="BT316" i="397" s="1"/>
  <c r="CC316" i="397"/>
  <c r="U241" i="397"/>
  <c r="CF63" i="397"/>
  <c r="CH63" i="397" s="1"/>
  <c r="CF29" i="397"/>
  <c r="CH29" i="397" s="1"/>
  <c r="BE330" i="397"/>
  <c r="CF446" i="397"/>
  <c r="CH446" i="397" s="1"/>
  <c r="H100" i="517"/>
  <c r="BY156" i="511"/>
  <c r="CA156" i="511" s="1"/>
  <c r="BS290" i="397"/>
  <c r="BT290" i="397" s="1"/>
  <c r="CC290" i="397"/>
  <c r="BS317" i="397"/>
  <c r="BT317" i="397" s="1"/>
  <c r="CC317" i="397"/>
  <c r="BX10" i="471"/>
  <c r="BX17" i="471"/>
  <c r="BZ17" i="471" s="1"/>
  <c r="AX19" i="471"/>
  <c r="BY19" i="471" s="1"/>
  <c r="BX45" i="471"/>
  <c r="BZ45" i="471" s="1"/>
  <c r="BZ33" i="487"/>
  <c r="BU42" i="487"/>
  <c r="BT42" i="487"/>
  <c r="CA144" i="511"/>
  <c r="AY158" i="511"/>
  <c r="BZ158" i="511" s="1"/>
  <c r="CB16" i="583"/>
  <c r="N505" i="669"/>
  <c r="BU291" i="397"/>
  <c r="BV291" i="397" s="1"/>
  <c r="BW291" i="397" s="1"/>
  <c r="BE291" i="397" s="1"/>
  <c r="CD291" i="397"/>
  <c r="BS349" i="397"/>
  <c r="BT349" i="397" s="1"/>
  <c r="CC349" i="397"/>
  <c r="CF145" i="397"/>
  <c r="CF34" i="397"/>
  <c r="CH34" i="397" s="1"/>
  <c r="CH491" i="397"/>
  <c r="CF428" i="397"/>
  <c r="CH428" i="397" s="1"/>
  <c r="AB57" i="202"/>
  <c r="BX5" i="471"/>
  <c r="BZ5" i="471" s="1"/>
  <c r="AX7" i="471"/>
  <c r="BY7" i="471" s="1"/>
  <c r="BZ7" i="471" s="1"/>
  <c r="AX12" i="471"/>
  <c r="BY12" i="471" s="1"/>
  <c r="BZ12" i="471" s="1"/>
  <c r="BX24" i="471"/>
  <c r="BZ24" i="471" s="1"/>
  <c r="R122" i="487"/>
  <c r="W13" i="487"/>
  <c r="W122" i="487" s="1"/>
  <c r="AX35" i="487"/>
  <c r="BY35" i="487" s="1"/>
  <c r="BX42" i="487"/>
  <c r="BZ42" i="487" s="1"/>
  <c r="AX44" i="487"/>
  <c r="BY44" i="487" s="1"/>
  <c r="AX51" i="487"/>
  <c r="BY51" i="487" s="1"/>
  <c r="BZ56" i="487"/>
  <c r="BY165" i="511"/>
  <c r="CA165" i="511" s="1"/>
  <c r="CA77" i="527"/>
  <c r="BD20" i="541"/>
  <c r="AV41" i="541"/>
  <c r="H53" i="541"/>
  <c r="BG161" i="202"/>
  <c r="BS298" i="397"/>
  <c r="BT298" i="397" s="1"/>
  <c r="CC298" i="397"/>
  <c r="CH573" i="397"/>
  <c r="CC30" i="637"/>
  <c r="AC422" i="479"/>
  <c r="AC427" i="479" s="1"/>
  <c r="AZ427" i="479" s="1"/>
  <c r="AA40" i="445"/>
  <c r="H96" i="445"/>
  <c r="H99" i="445" s="1"/>
  <c r="T95" i="445"/>
  <c r="T97" i="445" s="1"/>
  <c r="BA97" i="445" s="1"/>
  <c r="BX128" i="471"/>
  <c r="BZ128" i="471" s="1"/>
  <c r="BU44" i="487"/>
  <c r="BX44" i="487" s="1"/>
  <c r="BZ44" i="487" s="1"/>
  <c r="BT44" i="487"/>
  <c r="BZ51" i="487"/>
  <c r="BY117" i="511"/>
  <c r="CA117" i="511" s="1"/>
  <c r="BU119" i="511"/>
  <c r="BV119" i="511"/>
  <c r="AY121" i="511"/>
  <c r="BZ121" i="511" s="1"/>
  <c r="CA121" i="511" s="1"/>
  <c r="BY151" i="511"/>
  <c r="CA151" i="511" s="1"/>
  <c r="CH719" i="397"/>
  <c r="BB503" i="517"/>
  <c r="CH183" i="681"/>
  <c r="CD109" i="670"/>
  <c r="CH549" i="397"/>
  <c r="CC304" i="397"/>
  <c r="BZ123" i="471"/>
  <c r="BZ90" i="471"/>
  <c r="BZ26" i="471"/>
  <c r="BA40" i="445"/>
  <c r="H210" i="445"/>
  <c r="AK209" i="445"/>
  <c r="BZ11" i="487"/>
  <c r="BY64" i="511"/>
  <c r="CA64" i="511" s="1"/>
  <c r="AY91" i="511"/>
  <c r="BZ91" i="511" s="1"/>
  <c r="N530" i="669"/>
  <c r="BS332" i="397"/>
  <c r="BT332" i="397" s="1"/>
  <c r="CC332" i="397"/>
  <c r="H43" i="445"/>
  <c r="Y38" i="445"/>
  <c r="Y40" i="445" s="1"/>
  <c r="H52" i="479"/>
  <c r="AV52" i="479" s="1"/>
  <c r="AV51" i="479"/>
  <c r="AV56" i="479" s="1"/>
  <c r="AB134" i="479"/>
  <c r="AZ134" i="479" s="1"/>
  <c r="H300" i="541"/>
  <c r="AC294" i="541"/>
  <c r="AC301" i="541" s="1"/>
  <c r="BB301" i="541" s="1"/>
  <c r="BD171" i="397"/>
  <c r="BF75" i="397"/>
  <c r="CG75" i="397" s="1"/>
  <c r="BX113" i="471"/>
  <c r="BZ113" i="471" s="1"/>
  <c r="BZ119" i="471"/>
  <c r="BU95" i="487"/>
  <c r="BT95" i="487"/>
  <c r="BX95" i="487" s="1"/>
  <c r="BZ95" i="487" s="1"/>
  <c r="BT99" i="487"/>
  <c r="BU99" i="487"/>
  <c r="BY13" i="511"/>
  <c r="CA13" i="511" s="1"/>
  <c r="CH635" i="397"/>
  <c r="BS311" i="397"/>
  <c r="BT311" i="397" s="1"/>
  <c r="CC311" i="397"/>
  <c r="BS313" i="397"/>
  <c r="BT313" i="397" s="1"/>
  <c r="CC313" i="397"/>
  <c r="BE328" i="669"/>
  <c r="CH539" i="397"/>
  <c r="AC316" i="445"/>
  <c r="BX28" i="471"/>
  <c r="BZ28" i="471" s="1"/>
  <c r="BZ58" i="487"/>
  <c r="CH738" i="397"/>
  <c r="CB15" i="583"/>
  <c r="BS325" i="397"/>
  <c r="BT325" i="397" s="1"/>
  <c r="CC325" i="397"/>
  <c r="CH37" i="397"/>
  <c r="CH530" i="397"/>
  <c r="AX29" i="471"/>
  <c r="BY29" i="471" s="1"/>
  <c r="AC407" i="652"/>
  <c r="AC409" i="652" s="1"/>
  <c r="H408" i="652"/>
  <c r="AB407" i="652"/>
  <c r="AB409" i="652" s="1"/>
  <c r="BE409" i="652" s="1"/>
  <c r="CH46" i="397"/>
  <c r="BE157" i="397"/>
  <c r="CE157" i="397"/>
  <c r="CF157" i="397" s="1"/>
  <c r="CB187" i="397"/>
  <c r="CC187" i="397"/>
  <c r="CH429" i="397"/>
  <c r="CC157" i="637"/>
  <c r="CA172" i="511"/>
  <c r="BX47" i="487"/>
  <c r="BZ47" i="487" s="1"/>
  <c r="CH484" i="397"/>
  <c r="CH486" i="397"/>
  <c r="CH490" i="397"/>
  <c r="CH494" i="397"/>
  <c r="CH496" i="397"/>
  <c r="CH558" i="397"/>
  <c r="CH564" i="397"/>
  <c r="CH578" i="397"/>
  <c r="CH592" i="397"/>
  <c r="CH606" i="397"/>
  <c r="CH622" i="397"/>
  <c r="CF732" i="397"/>
  <c r="CH732" i="397" s="1"/>
  <c r="CF736" i="397"/>
  <c r="CH736" i="397" s="1"/>
  <c r="CH745" i="397"/>
  <c r="CH747" i="397"/>
  <c r="CA151" i="527"/>
  <c r="BS297" i="397"/>
  <c r="BT297" i="397" s="1"/>
  <c r="CC297" i="397"/>
  <c r="BS314" i="397"/>
  <c r="BT314" i="397" s="1"/>
  <c r="CC314" i="397"/>
  <c r="BS334" i="397"/>
  <c r="BT334" i="397" s="1"/>
  <c r="CC334" i="397"/>
  <c r="CE336" i="397"/>
  <c r="BE336" i="397"/>
  <c r="AY328" i="669"/>
  <c r="CF117" i="397"/>
  <c r="CH117" i="397" s="1"/>
  <c r="CD122" i="670"/>
  <c r="CH514" i="397"/>
  <c r="CH532" i="397"/>
  <c r="CF730" i="397"/>
  <c r="CH730" i="397" s="1"/>
  <c r="CH426" i="397"/>
  <c r="BS341" i="397"/>
  <c r="BT341" i="397" s="1"/>
  <c r="CC341" i="397"/>
  <c r="BS327" i="397"/>
  <c r="BT327" i="397" s="1"/>
  <c r="CC327" i="397"/>
  <c r="BS328" i="397"/>
  <c r="BT328" i="397" s="1"/>
  <c r="CC328" i="397"/>
  <c r="BS329" i="397"/>
  <c r="BT329" i="397" s="1"/>
  <c r="CC329" i="397"/>
  <c r="BZ65" i="487"/>
  <c r="CH563" i="397"/>
  <c r="CF75" i="397"/>
  <c r="CH75" i="397" s="1"/>
  <c r="BD220" i="397"/>
  <c r="BF55" i="397"/>
  <c r="CG55" i="397" s="1"/>
  <c r="CF40" i="397"/>
  <c r="CH40" i="397" s="1"/>
  <c r="CH81" i="397"/>
  <c r="BZ68" i="471"/>
  <c r="BZ79" i="487"/>
  <c r="CF670" i="397"/>
  <c r="CH670" i="397" s="1"/>
  <c r="CH685" i="397"/>
  <c r="BS315" i="397"/>
  <c r="BT315" i="397" s="1"/>
  <c r="CC315" i="397"/>
  <c r="CF196" i="397"/>
  <c r="CH196" i="397" s="1"/>
  <c r="BF426" i="397"/>
  <c r="CG426" i="397" s="1"/>
  <c r="AX10" i="471"/>
  <c r="BY10" i="471" s="1"/>
  <c r="BZ67" i="471"/>
  <c r="BX99" i="487"/>
  <c r="AX101" i="487"/>
  <c r="BY101" i="487" s="1"/>
  <c r="AX103" i="487"/>
  <c r="BY103" i="487" s="1"/>
  <c r="BZ103" i="487" s="1"/>
  <c r="AX115" i="487"/>
  <c r="BY115" i="487" s="1"/>
  <c r="BZ115" i="487" s="1"/>
  <c r="CA10" i="511"/>
  <c r="BY168" i="511"/>
  <c r="CA168" i="511" s="1"/>
  <c r="AZ481" i="479"/>
  <c r="CH587" i="397"/>
  <c r="BZ5" i="555"/>
  <c r="CB5" i="555" s="1"/>
  <c r="AZ7" i="555"/>
  <c r="CA7" i="555" s="1"/>
  <c r="CH565" i="397"/>
  <c r="AZ158" i="500"/>
  <c r="BZ99" i="471"/>
  <c r="CA102" i="511"/>
  <c r="CA104" i="511"/>
  <c r="CA6" i="527"/>
  <c r="W165" i="527"/>
  <c r="BU304" i="397"/>
  <c r="BV304" i="397" s="1"/>
  <c r="BW304" i="397" s="1"/>
  <c r="CD304" i="397"/>
  <c r="BS347" i="397"/>
  <c r="BT347" i="397" s="1"/>
  <c r="CC347" i="397"/>
  <c r="BZ101" i="487"/>
  <c r="CA108" i="511"/>
  <c r="AZ453" i="479"/>
  <c r="CB190" i="603"/>
  <c r="CC132" i="637"/>
  <c r="AB56" i="652"/>
  <c r="BE56" i="652" s="1"/>
  <c r="CB97" i="670"/>
  <c r="CD97" i="670" s="1"/>
  <c r="BB100" i="670"/>
  <c r="CC100" i="670" s="1"/>
  <c r="CB161" i="681"/>
  <c r="CC161" i="681"/>
  <c r="CH194" i="681"/>
  <c r="CH100" i="397"/>
  <c r="BF404" i="397"/>
  <c r="CG404" i="397" s="1"/>
  <c r="CH404" i="397" s="1"/>
  <c r="BX33" i="471"/>
  <c r="BZ33" i="471" s="1"/>
  <c r="CA12" i="511"/>
  <c r="BY19" i="511"/>
  <c r="CA19" i="511" s="1"/>
  <c r="AY54" i="511"/>
  <c r="BZ54" i="511" s="1"/>
  <c r="CA54" i="511" s="1"/>
  <c r="AZ229" i="517"/>
  <c r="CB41" i="583"/>
  <c r="CB52" i="583"/>
  <c r="CB84" i="583"/>
  <c r="CC13" i="637"/>
  <c r="CA104" i="637"/>
  <c r="CC104" i="637" s="1"/>
  <c r="BA109" i="637"/>
  <c r="CB109" i="637" s="1"/>
  <c r="CC109" i="637" s="1"/>
  <c r="CC119" i="637"/>
  <c r="Z288" i="652"/>
  <c r="N355" i="652"/>
  <c r="CD88" i="670"/>
  <c r="CD94" i="670"/>
  <c r="CD100" i="670"/>
  <c r="Y106" i="670"/>
  <c r="X106" i="670"/>
  <c r="CE306" i="397"/>
  <c r="BE306" i="397"/>
  <c r="AX35" i="471"/>
  <c r="BY35" i="471" s="1"/>
  <c r="BX49" i="471"/>
  <c r="CH655" i="397"/>
  <c r="AZ299" i="500"/>
  <c r="AC184" i="517"/>
  <c r="CB132" i="583"/>
  <c r="AZ155" i="583"/>
  <c r="CA155" i="583" s="1"/>
  <c r="CC98" i="637"/>
  <c r="N275" i="652"/>
  <c r="X79" i="670"/>
  <c r="X175" i="670" s="1"/>
  <c r="Y79" i="670"/>
  <c r="Y175" i="670" s="1"/>
  <c r="CH138" i="681"/>
  <c r="CF56" i="397"/>
  <c r="BF37" i="397"/>
  <c r="CG37" i="397" s="1"/>
  <c r="H327" i="669"/>
  <c r="CH108" i="681"/>
  <c r="CD165" i="670"/>
  <c r="CH547" i="397"/>
  <c r="CH778" i="397"/>
  <c r="BZ52" i="471"/>
  <c r="CA120" i="511"/>
  <c r="N496" i="479"/>
  <c r="CF726" i="397"/>
  <c r="CH726" i="397" s="1"/>
  <c r="CF728" i="397"/>
  <c r="CH728" i="397" s="1"/>
  <c r="AC171" i="517"/>
  <c r="BF561" i="397"/>
  <c r="CG561" i="397" s="1"/>
  <c r="CH561" i="397" s="1"/>
  <c r="BF563" i="397"/>
  <c r="CG563" i="397" s="1"/>
  <c r="BF567" i="397"/>
  <c r="CG567" i="397" s="1"/>
  <c r="CH567" i="397" s="1"/>
  <c r="BF569" i="397"/>
  <c r="CG569" i="397" s="1"/>
  <c r="CH569" i="397" s="1"/>
  <c r="BF571" i="397"/>
  <c r="CG571" i="397" s="1"/>
  <c r="CH571" i="397" s="1"/>
  <c r="BF573" i="397"/>
  <c r="CG573" i="397" s="1"/>
  <c r="BF575" i="397"/>
  <c r="CG575" i="397" s="1"/>
  <c r="CH575" i="397" s="1"/>
  <c r="BF577" i="397"/>
  <c r="CG577" i="397" s="1"/>
  <c r="CH577" i="397" s="1"/>
  <c r="BF579" i="397"/>
  <c r="CG579" i="397" s="1"/>
  <c r="CH579" i="397" s="1"/>
  <c r="BF581" i="397"/>
  <c r="CG581" i="397" s="1"/>
  <c r="CH581" i="397" s="1"/>
  <c r="CH585" i="397"/>
  <c r="AZ47" i="517"/>
  <c r="BZ168" i="555"/>
  <c r="CB168" i="555" s="1"/>
  <c r="CB175" i="555"/>
  <c r="CD59" i="670"/>
  <c r="BB64" i="670"/>
  <c r="CC64" i="670" s="1"/>
  <c r="CD64" i="670" s="1"/>
  <c r="Y199" i="681"/>
  <c r="CH119" i="681"/>
  <c r="CH46" i="681"/>
  <c r="CD29" i="670"/>
  <c r="H308" i="652"/>
  <c r="AX306" i="652"/>
  <c r="CH525" i="397"/>
  <c r="CH479" i="397"/>
  <c r="CC105" i="637"/>
  <c r="CC28" i="637"/>
  <c r="AB272" i="445"/>
  <c r="BA272" i="445" s="1"/>
  <c r="BX39" i="487"/>
  <c r="BZ39" i="487" s="1"/>
  <c r="BY17" i="511"/>
  <c r="CA17" i="511" s="1"/>
  <c r="BY24" i="511"/>
  <c r="CA24" i="511" s="1"/>
  <c r="W26" i="511"/>
  <c r="X26" i="511"/>
  <c r="BY37" i="511"/>
  <c r="CA37" i="511" s="1"/>
  <c r="BY42" i="511"/>
  <c r="CA42" i="511" s="1"/>
  <c r="BY97" i="511"/>
  <c r="CA97" i="511" s="1"/>
  <c r="CA174" i="511"/>
  <c r="CF777" i="397"/>
  <c r="CH777" i="397" s="1"/>
  <c r="CF794" i="397"/>
  <c r="CH794" i="397" s="1"/>
  <c r="Z329" i="461"/>
  <c r="T354" i="461"/>
  <c r="T356" i="461" s="1"/>
  <c r="H355" i="461"/>
  <c r="H358" i="461" s="1"/>
  <c r="Y386" i="461"/>
  <c r="AZ386" i="461" s="1"/>
  <c r="BY141" i="527"/>
  <c r="CA141" i="527" s="1"/>
  <c r="CB180" i="555"/>
  <c r="CC95" i="637"/>
  <c r="CH72" i="397"/>
  <c r="CF77" i="397"/>
  <c r="CH77" i="397" s="1"/>
  <c r="BD154" i="517"/>
  <c r="AB75" i="202"/>
  <c r="BZ15" i="487"/>
  <c r="BZ34" i="487"/>
  <c r="BY32" i="511"/>
  <c r="CA32" i="511" s="1"/>
  <c r="CH698" i="397"/>
  <c r="AZ225" i="461"/>
  <c r="BY17" i="527"/>
  <c r="CA17" i="527" s="1"/>
  <c r="CA128" i="527"/>
  <c r="CB156" i="555"/>
  <c r="BZ163" i="555"/>
  <c r="CB163" i="555" s="1"/>
  <c r="CB84" i="603"/>
  <c r="CH47" i="397"/>
  <c r="CH188" i="681"/>
  <c r="BF74" i="397"/>
  <c r="CG74" i="397" s="1"/>
  <c r="CH80" i="681"/>
  <c r="CH25" i="681"/>
  <c r="CD142" i="670"/>
  <c r="CD135" i="670"/>
  <c r="CH668" i="397"/>
  <c r="BE167" i="652"/>
  <c r="CC141" i="637"/>
  <c r="CA92" i="511"/>
  <c r="CA21" i="511"/>
  <c r="BZ94" i="487"/>
  <c r="P57" i="202"/>
  <c r="BG74" i="202"/>
  <c r="BX83" i="487"/>
  <c r="AY16" i="511"/>
  <c r="BZ16" i="511" s="1"/>
  <c r="AY26" i="511"/>
  <c r="BZ26" i="511" s="1"/>
  <c r="CA26" i="511" s="1"/>
  <c r="AY34" i="511"/>
  <c r="BZ34" i="511" s="1"/>
  <c r="CF775" i="397"/>
  <c r="CH775" i="397" s="1"/>
  <c r="AZ363" i="500"/>
  <c r="BY10" i="527"/>
  <c r="CA10" i="527" s="1"/>
  <c r="CA28" i="527"/>
  <c r="BY90" i="527"/>
  <c r="CA90" i="527" s="1"/>
  <c r="BY108" i="527"/>
  <c r="CA108" i="527" s="1"/>
  <c r="BY110" i="527"/>
  <c r="CA110" i="527" s="1"/>
  <c r="AY130" i="527"/>
  <c r="BZ130" i="527" s="1"/>
  <c r="CA130" i="527" s="1"/>
  <c r="CA158" i="527"/>
  <c r="AZ165" i="555"/>
  <c r="CA165" i="555" s="1"/>
  <c r="CD103" i="670"/>
  <c r="CF89" i="397"/>
  <c r="CH89" i="397" s="1"/>
  <c r="T478" i="652"/>
  <c r="CH652" i="397"/>
  <c r="CH521" i="397"/>
  <c r="AC81" i="652"/>
  <c r="AC86" i="652"/>
  <c r="BX127" i="471"/>
  <c r="BZ127" i="471" s="1"/>
  <c r="BZ77" i="487"/>
  <c r="BX102" i="487"/>
  <c r="BZ102" i="487" s="1"/>
  <c r="BZ119" i="487"/>
  <c r="CA5" i="511"/>
  <c r="CA125" i="511"/>
  <c r="CH761" i="397"/>
  <c r="CH766" i="397"/>
  <c r="AZ167" i="461"/>
  <c r="BD389" i="500"/>
  <c r="BY12" i="527"/>
  <c r="CA12" i="527" s="1"/>
  <c r="CA123" i="527"/>
  <c r="CA148" i="527"/>
  <c r="H390" i="669"/>
  <c r="CH657" i="397"/>
  <c r="CA114" i="511"/>
  <c r="CA91" i="511"/>
  <c r="BG56" i="202"/>
  <c r="AX119" i="471"/>
  <c r="BY119" i="471" s="1"/>
  <c r="BX6" i="487"/>
  <c r="BZ6" i="487" s="1"/>
  <c r="BX89" i="487"/>
  <c r="BZ89" i="487" s="1"/>
  <c r="BX111" i="487"/>
  <c r="BZ111" i="487" s="1"/>
  <c r="BY16" i="511"/>
  <c r="CA16" i="511" s="1"/>
  <c r="CA56" i="511"/>
  <c r="BY77" i="511"/>
  <c r="CA77" i="511" s="1"/>
  <c r="AZ32" i="461"/>
  <c r="H186" i="500"/>
  <c r="H189" i="500" s="1"/>
  <c r="X185" i="500"/>
  <c r="X187" i="500" s="1"/>
  <c r="N337" i="570"/>
  <c r="AB352" i="615"/>
  <c r="CC32" i="637"/>
  <c r="Y163" i="637"/>
  <c r="CC59" i="637"/>
  <c r="CC70" i="637"/>
  <c r="AC478" i="652"/>
  <c r="Z150" i="397"/>
  <c r="CF156" i="681"/>
  <c r="CH156" i="681" s="1"/>
  <c r="CH158" i="681"/>
  <c r="CH136" i="397"/>
  <c r="CF42" i="397"/>
  <c r="CH42" i="397" s="1"/>
  <c r="H353" i="669"/>
  <c r="T348" i="669"/>
  <c r="T354" i="669" s="1"/>
  <c r="BE354" i="669" s="1"/>
  <c r="CH557" i="397"/>
  <c r="CH517" i="397"/>
  <c r="CH79" i="681"/>
  <c r="CH30" i="681"/>
  <c r="CH17" i="681"/>
  <c r="CD102" i="670"/>
  <c r="CD93" i="670"/>
  <c r="CH536" i="397"/>
  <c r="CH553" i="397"/>
  <c r="CH437" i="397"/>
  <c r="H278" i="633"/>
  <c r="AR276" i="633"/>
  <c r="CF452" i="397"/>
  <c r="CH452" i="397" s="1"/>
  <c r="CA31" i="511"/>
  <c r="BX102" i="471"/>
  <c r="BZ102" i="471" s="1"/>
  <c r="AY217" i="445"/>
  <c r="BX37" i="471"/>
  <c r="BZ37" i="471" s="1"/>
  <c r="BX117" i="471"/>
  <c r="BZ117" i="471" s="1"/>
  <c r="CB7" i="626"/>
  <c r="N172" i="615"/>
  <c r="AB183" i="202"/>
  <c r="P183" i="202"/>
  <c r="CH50" i="681"/>
  <c r="CH62" i="681"/>
  <c r="AX57" i="471"/>
  <c r="BY57" i="471" s="1"/>
  <c r="BZ57" i="471" s="1"/>
  <c r="BZ104" i="487"/>
  <c r="BY11" i="511"/>
  <c r="CA11" i="511" s="1"/>
  <c r="W31" i="511"/>
  <c r="X31" i="511"/>
  <c r="AY51" i="511"/>
  <c r="BZ51" i="511" s="1"/>
  <c r="AY56" i="511"/>
  <c r="BZ56" i="511" s="1"/>
  <c r="AZ202" i="479"/>
  <c r="CH762" i="397"/>
  <c r="CA160" i="527"/>
  <c r="AZ295" i="517"/>
  <c r="CB131" i="555"/>
  <c r="CB78" i="555"/>
  <c r="CC78" i="637"/>
  <c r="CC139" i="637"/>
  <c r="CD82" i="670"/>
  <c r="BF137" i="681"/>
  <c r="CG137" i="681" s="1"/>
  <c r="CH137" i="681" s="1"/>
  <c r="BF140" i="681"/>
  <c r="CG140" i="681" s="1"/>
  <c r="CH140" i="681" s="1"/>
  <c r="BS318" i="397"/>
  <c r="BT318" i="397" s="1"/>
  <c r="CC318" i="397"/>
  <c r="CF55" i="397"/>
  <c r="CF119" i="397"/>
  <c r="CH119" i="397" s="1"/>
  <c r="CF113" i="397"/>
  <c r="CH113" i="397" s="1"/>
  <c r="CC131" i="637"/>
  <c r="AB107" i="633"/>
  <c r="AC105" i="633"/>
  <c r="AC107" i="633" s="1"/>
  <c r="AB105" i="633"/>
  <c r="CA101" i="637"/>
  <c r="CC101" i="637" s="1"/>
  <c r="U163" i="637"/>
  <c r="H12" i="683"/>
  <c r="AB12" i="683" s="1"/>
  <c r="AB14" i="683"/>
  <c r="N406" i="669"/>
  <c r="V353" i="397"/>
  <c r="BS319" i="397"/>
  <c r="BT319" i="397" s="1"/>
  <c r="CC319" i="397"/>
  <c r="BU301" i="397"/>
  <c r="BV301" i="397" s="1"/>
  <c r="BW301" i="397" s="1"/>
  <c r="CD301" i="397"/>
  <c r="BS343" i="397"/>
  <c r="BT343" i="397" s="1"/>
  <c r="CC343" i="397"/>
  <c r="X199" i="681"/>
  <c r="CF32" i="397"/>
  <c r="CF28" i="397"/>
  <c r="CH28" i="397" s="1"/>
  <c r="CF129" i="397"/>
  <c r="CH129" i="397" s="1"/>
  <c r="V175" i="670"/>
  <c r="X18" i="669"/>
  <c r="X20" i="669" s="1"/>
  <c r="BE20" i="669" s="1"/>
  <c r="H19" i="669"/>
  <c r="H22" i="669" s="1"/>
  <c r="CH545" i="397"/>
  <c r="AB118" i="652"/>
  <c r="H137" i="652"/>
  <c r="AC133" i="652"/>
  <c r="CC36" i="637"/>
  <c r="AU16" i="500"/>
  <c r="H12" i="500"/>
  <c r="CA167" i="511"/>
  <c r="CA140" i="511"/>
  <c r="AR199" i="445"/>
  <c r="AR217" i="445" s="1"/>
  <c r="BG17" i="202"/>
  <c r="BG34" i="202"/>
  <c r="BX40" i="471"/>
  <c r="BZ40" i="471" s="1"/>
  <c r="BZ42" i="471"/>
  <c r="AN122" i="487"/>
  <c r="AC122" i="487"/>
  <c r="BX61" i="487"/>
  <c r="BZ61" i="487" s="1"/>
  <c r="BX108" i="487"/>
  <c r="BZ108" i="487" s="1"/>
  <c r="AY18" i="511"/>
  <c r="BZ18" i="511" s="1"/>
  <c r="AY23" i="511"/>
  <c r="BZ23" i="511" s="1"/>
  <c r="CA23" i="511" s="1"/>
  <c r="CA128" i="511"/>
  <c r="H47" i="479"/>
  <c r="AK47" i="479" s="1"/>
  <c r="AK46" i="479"/>
  <c r="AK56" i="479" s="1"/>
  <c r="Y286" i="479"/>
  <c r="BA286" i="479" s="1"/>
  <c r="H305" i="479"/>
  <c r="AC304" i="479"/>
  <c r="CF604" i="397"/>
  <c r="CH604" i="397" s="1"/>
  <c r="CB98" i="555"/>
  <c r="BX31" i="487"/>
  <c r="BZ31" i="487" s="1"/>
  <c r="AX113" i="487"/>
  <c r="BY113" i="487" s="1"/>
  <c r="AX121" i="487"/>
  <c r="BY121" i="487" s="1"/>
  <c r="N301" i="479"/>
  <c r="CH186" i="681"/>
  <c r="CF132" i="397"/>
  <c r="CH132" i="397" s="1"/>
  <c r="H419" i="633"/>
  <c r="AT417" i="633"/>
  <c r="CF439" i="397"/>
  <c r="CH439" i="397" s="1"/>
  <c r="AB35" i="202"/>
  <c r="H15" i="445"/>
  <c r="H18" i="445" s="1"/>
  <c r="H19" i="445" s="1"/>
  <c r="AC14" i="445"/>
  <c r="AC16" i="445" s="1"/>
  <c r="AZ16" i="445" s="1"/>
  <c r="BX64" i="471"/>
  <c r="BZ64" i="471" s="1"/>
  <c r="BX69" i="471"/>
  <c r="BZ69" i="471" s="1"/>
  <c r="AX71" i="471"/>
  <c r="BY71" i="471" s="1"/>
  <c r="BZ71" i="471" s="1"/>
  <c r="BX88" i="471"/>
  <c r="BZ88" i="471" s="1"/>
  <c r="Y129" i="471"/>
  <c r="U122" i="487"/>
  <c r="BX106" i="487"/>
  <c r="BZ106" i="487" s="1"/>
  <c r="BX116" i="487"/>
  <c r="BZ116" i="487" s="1"/>
  <c r="BU121" i="487"/>
  <c r="BT121" i="487"/>
  <c r="BX121" i="487" s="1"/>
  <c r="BZ121" i="487" s="1"/>
  <c r="BY7" i="511"/>
  <c r="CA7" i="511" s="1"/>
  <c r="BY34" i="511"/>
  <c r="BY44" i="511"/>
  <c r="CA44" i="511" s="1"/>
  <c r="CA51" i="511"/>
  <c r="BS350" i="397"/>
  <c r="BT350" i="397" s="1"/>
  <c r="CC350" i="397"/>
  <c r="BF66" i="397"/>
  <c r="CG66" i="397" s="1"/>
  <c r="CF48" i="397"/>
  <c r="CH48" i="397" s="1"/>
  <c r="CH113" i="681"/>
  <c r="CH142" i="681"/>
  <c r="CH28" i="681"/>
  <c r="CD49" i="670"/>
  <c r="CH741" i="397"/>
  <c r="CH543" i="397"/>
  <c r="CH833" i="397"/>
  <c r="AC118" i="652"/>
  <c r="CC151" i="637"/>
  <c r="CC106" i="637"/>
  <c r="CC21" i="637"/>
  <c r="BG203" i="202"/>
  <c r="CF451" i="397"/>
  <c r="CH451" i="397" s="1"/>
  <c r="BU46" i="487"/>
  <c r="BX46" i="487" s="1"/>
  <c r="BZ46" i="487" s="1"/>
  <c r="H171" i="445"/>
  <c r="AK170" i="445"/>
  <c r="BX47" i="471"/>
  <c r="BZ47" i="471" s="1"/>
  <c r="AX59" i="471"/>
  <c r="BY59" i="471" s="1"/>
  <c r="BZ59" i="471" s="1"/>
  <c r="BX38" i="487"/>
  <c r="BZ38" i="487" s="1"/>
  <c r="BX54" i="487"/>
  <c r="BZ54" i="487" s="1"/>
  <c r="BX72" i="487"/>
  <c r="BZ72" i="487" s="1"/>
  <c r="AX97" i="487"/>
  <c r="BY97" i="487" s="1"/>
  <c r="BZ97" i="487" s="1"/>
  <c r="AX99" i="487"/>
  <c r="BY99" i="487" s="1"/>
  <c r="AX110" i="487"/>
  <c r="BY110" i="487" s="1"/>
  <c r="BZ110" i="487" s="1"/>
  <c r="BX113" i="487"/>
  <c r="BZ113" i="487" s="1"/>
  <c r="AY127" i="511"/>
  <c r="BZ127" i="511" s="1"/>
  <c r="AC389" i="479"/>
  <c r="CF688" i="397"/>
  <c r="CH688" i="397" s="1"/>
  <c r="CF692" i="397"/>
  <c r="CH692" i="397" s="1"/>
  <c r="BF31" i="397"/>
  <c r="CG31" i="397" s="1"/>
  <c r="CC136" i="637"/>
  <c r="H22" i="517"/>
  <c r="AR355" i="479"/>
  <c r="H357" i="479"/>
  <c r="H184" i="669"/>
  <c r="AV182" i="669"/>
  <c r="BG139" i="202"/>
  <c r="BX35" i="487"/>
  <c r="CA159" i="511"/>
  <c r="CH721" i="397"/>
  <c r="CA161" i="527"/>
  <c r="BB353" i="633"/>
  <c r="CH99" i="681"/>
  <c r="CF18" i="397"/>
  <c r="CH18" i="397" s="1"/>
  <c r="CH755" i="397"/>
  <c r="CH537" i="397"/>
  <c r="AB52" i="652"/>
  <c r="AB59" i="652"/>
  <c r="H59" i="652"/>
  <c r="AC52" i="652"/>
  <c r="AC59" i="652"/>
  <c r="CC143" i="637"/>
  <c r="CC111" i="637"/>
  <c r="X163" i="637"/>
  <c r="H377" i="461"/>
  <c r="AP377" i="461" s="1"/>
  <c r="AP375" i="461"/>
  <c r="AP386" i="461" s="1"/>
  <c r="BZ61" i="471"/>
  <c r="N232" i="445"/>
  <c r="BX25" i="471"/>
  <c r="BX77" i="471"/>
  <c r="BZ77" i="471" s="1"/>
  <c r="BX92" i="471"/>
  <c r="BZ92" i="471" s="1"/>
  <c r="BX13" i="487"/>
  <c r="BZ13" i="487" s="1"/>
  <c r="BX20" i="487"/>
  <c r="BZ20" i="487" s="1"/>
  <c r="BZ88" i="487"/>
  <c r="BY173" i="511"/>
  <c r="CA173" i="511" s="1"/>
  <c r="N149" i="479"/>
  <c r="N403" i="479"/>
  <c r="CH742" i="397"/>
  <c r="CF763" i="397"/>
  <c r="CH763" i="397" s="1"/>
  <c r="CH772" i="397"/>
  <c r="H122" i="500"/>
  <c r="AR120" i="500"/>
  <c r="BD320" i="517"/>
  <c r="CB123" i="583"/>
  <c r="H90" i="592"/>
  <c r="H93" i="592" s="1"/>
  <c r="H94" i="592" s="1"/>
  <c r="T89" i="592"/>
  <c r="T91" i="592" s="1"/>
  <c r="BD91" i="592" s="1"/>
  <c r="AZ65" i="626"/>
  <c r="CA65" i="626" s="1"/>
  <c r="CB65" i="626" s="1"/>
  <c r="CB68" i="626"/>
  <c r="BZ147" i="626"/>
  <c r="CB147" i="626" s="1"/>
  <c r="CH10" i="397"/>
  <c r="AP14" i="479"/>
  <c r="H12" i="479"/>
  <c r="BX23" i="471"/>
  <c r="BZ23" i="471" s="1"/>
  <c r="AX125" i="471"/>
  <c r="BY125" i="471" s="1"/>
  <c r="BZ125" i="471" s="1"/>
  <c r="AX46" i="487"/>
  <c r="BY46" i="487" s="1"/>
  <c r="CH518" i="397"/>
  <c r="CH522" i="397"/>
  <c r="CH550" i="397"/>
  <c r="AZ59" i="461"/>
  <c r="N311" i="500"/>
  <c r="CB15" i="555"/>
  <c r="CB74" i="626"/>
  <c r="N399" i="652"/>
  <c r="H209" i="669"/>
  <c r="AB209" i="669" s="1"/>
  <c r="AB216" i="669" s="1"/>
  <c r="BE216" i="669" s="1"/>
  <c r="H215" i="669"/>
  <c r="AY16" i="652"/>
  <c r="AY22" i="652" s="1"/>
  <c r="H21" i="652"/>
  <c r="H24" i="652" s="1"/>
  <c r="CF440" i="397"/>
  <c r="CH440" i="397" s="1"/>
  <c r="BX6" i="471"/>
  <c r="BZ6" i="471" s="1"/>
  <c r="AX25" i="487"/>
  <c r="BY25" i="487" s="1"/>
  <c r="BX37" i="487"/>
  <c r="BZ37" i="487" s="1"/>
  <c r="BZ80" i="487"/>
  <c r="CA135" i="511"/>
  <c r="CH723" i="397"/>
  <c r="Z299" i="500"/>
  <c r="CH463" i="397"/>
  <c r="CB162" i="555"/>
  <c r="CA12" i="637"/>
  <c r="CC12" i="637" s="1"/>
  <c r="N368" i="633"/>
  <c r="CD30" i="670"/>
  <c r="CF57" i="397"/>
  <c r="CH57" i="397" s="1"/>
  <c r="BF39" i="397"/>
  <c r="CG39" i="397" s="1"/>
  <c r="CH39" i="397" s="1"/>
  <c r="CF125" i="397"/>
  <c r="CH125" i="397" s="1"/>
  <c r="CF73" i="397"/>
  <c r="CH73" i="397" s="1"/>
  <c r="CH105" i="681"/>
  <c r="CH7" i="681"/>
  <c r="CF26" i="397"/>
  <c r="CD173" i="670"/>
  <c r="CF44" i="397"/>
  <c r="BF81" i="397"/>
  <c r="CG81" i="397" s="1"/>
  <c r="CH196" i="681"/>
  <c r="CH81" i="681"/>
  <c r="CF31" i="397"/>
  <c r="CH31" i="397" s="1"/>
  <c r="CF127" i="397"/>
  <c r="CH127" i="397" s="1"/>
  <c r="CD161" i="670"/>
  <c r="CD76" i="670"/>
  <c r="CD34" i="670"/>
  <c r="CF90" i="397"/>
  <c r="H209" i="633"/>
  <c r="CC135" i="637"/>
  <c r="AY337" i="479"/>
  <c r="BA154" i="445"/>
  <c r="H175" i="445"/>
  <c r="AK175" i="445" s="1"/>
  <c r="AK174" i="445"/>
  <c r="BX39" i="471"/>
  <c r="BZ39" i="471" s="1"/>
  <c r="BX94" i="471"/>
  <c r="BZ94" i="471" s="1"/>
  <c r="BX120" i="471"/>
  <c r="BZ120" i="471" s="1"/>
  <c r="Y122" i="487"/>
  <c r="BY113" i="511"/>
  <c r="CA113" i="511" s="1"/>
  <c r="BY115" i="511"/>
  <c r="CA115" i="511" s="1"/>
  <c r="AY137" i="511"/>
  <c r="BZ137" i="511" s="1"/>
  <c r="BY152" i="511"/>
  <c r="CA152" i="511" s="1"/>
  <c r="AB56" i="479"/>
  <c r="AZ56" i="479" s="1"/>
  <c r="AB90" i="479"/>
  <c r="AZ90" i="479" s="1"/>
  <c r="AZ181" i="479"/>
  <c r="CF834" i="397"/>
  <c r="CH834" i="397" s="1"/>
  <c r="Z253" i="517"/>
  <c r="H338" i="517"/>
  <c r="Y337" i="517"/>
  <c r="Y339" i="517" s="1"/>
  <c r="BB339" i="517" s="1"/>
  <c r="CB33" i="555"/>
  <c r="CB71" i="555"/>
  <c r="CB32" i="555"/>
  <c r="AD192" i="555"/>
  <c r="AP265" i="541"/>
  <c r="AP273" i="541" s="1"/>
  <c r="H267" i="541"/>
  <c r="AP267" i="541" s="1"/>
  <c r="BZ80" i="583"/>
  <c r="BB205" i="570"/>
  <c r="CF109" i="397"/>
  <c r="CH109" i="397" s="1"/>
  <c r="BS337" i="397"/>
  <c r="BT337" i="397" s="1"/>
  <c r="CC337" i="397"/>
  <c r="BZ112" i="487"/>
  <c r="BZ152" i="626"/>
  <c r="CB152" i="626" s="1"/>
  <c r="BF98" i="397"/>
  <c r="CG98" i="397" s="1"/>
  <c r="CF58" i="397"/>
  <c r="CH58" i="397" s="1"/>
  <c r="CF407" i="397"/>
  <c r="CH407" i="397" s="1"/>
  <c r="AY133" i="669"/>
  <c r="AY140" i="669" s="1"/>
  <c r="BE140" i="669" s="1"/>
  <c r="CH754" i="397"/>
  <c r="CH533" i="397"/>
  <c r="CF415" i="397"/>
  <c r="CH415" i="397" s="1"/>
  <c r="CC94" i="637"/>
  <c r="CC40" i="637"/>
  <c r="CH431" i="397"/>
  <c r="BX30" i="471"/>
  <c r="BX84" i="471"/>
  <c r="BZ84" i="471" s="1"/>
  <c r="BX100" i="471"/>
  <c r="BZ100" i="471" s="1"/>
  <c r="BZ114" i="471"/>
  <c r="BZ60" i="487"/>
  <c r="BZ64" i="487"/>
  <c r="BY137" i="511"/>
  <c r="CA137" i="511" s="1"/>
  <c r="BY161" i="511"/>
  <c r="CA161" i="511" s="1"/>
  <c r="N9" i="479"/>
  <c r="AC41" i="479"/>
  <c r="AC56" i="479" s="1"/>
  <c r="CH695" i="397"/>
  <c r="CF781" i="397"/>
  <c r="CH781" i="397" s="1"/>
  <c r="CH807" i="397"/>
  <c r="AB356" i="461"/>
  <c r="BY93" i="527"/>
  <c r="CA93" i="527" s="1"/>
  <c r="BY144" i="527"/>
  <c r="CA144" i="527" s="1"/>
  <c r="BY154" i="527"/>
  <c r="CA154" i="527" s="1"/>
  <c r="N403" i="517"/>
  <c r="AB97" i="202"/>
  <c r="CB50" i="583"/>
  <c r="CB9" i="603"/>
  <c r="CF118" i="397"/>
  <c r="CH118" i="397" s="1"/>
  <c r="BZ80" i="471"/>
  <c r="AX30" i="487"/>
  <c r="BY30" i="487" s="1"/>
  <c r="BZ30" i="487" s="1"/>
  <c r="AX37" i="487"/>
  <c r="BY37" i="487" s="1"/>
  <c r="CH520" i="397"/>
  <c r="CH528" i="397"/>
  <c r="CH548" i="397"/>
  <c r="CH556" i="397"/>
  <c r="AZ65" i="500"/>
  <c r="H175" i="517"/>
  <c r="AR175" i="517" s="1"/>
  <c r="AR177" i="517"/>
  <c r="CB18" i="555"/>
  <c r="H339" i="541"/>
  <c r="Y337" i="541"/>
  <c r="Y341" i="541" s="1"/>
  <c r="BB341" i="541" s="1"/>
  <c r="CF442" i="397"/>
  <c r="CH442" i="397" s="1"/>
  <c r="N393" i="615"/>
  <c r="Z353" i="397"/>
  <c r="CF45" i="397"/>
  <c r="CH45" i="397" s="1"/>
  <c r="BZ52" i="487"/>
  <c r="BA68" i="445"/>
  <c r="BZ75" i="471"/>
  <c r="CA6" i="511"/>
  <c r="BY129" i="511"/>
  <c r="CA129" i="511" s="1"/>
  <c r="BY147" i="511"/>
  <c r="CA147" i="511" s="1"/>
  <c r="Y24" i="479"/>
  <c r="CH758" i="397"/>
  <c r="CH795" i="397"/>
  <c r="N370" i="461"/>
  <c r="BY89" i="527"/>
  <c r="CA89" i="527" s="1"/>
  <c r="BB168" i="541"/>
  <c r="Y107" i="570"/>
  <c r="BB107" i="570" s="1"/>
  <c r="AZ71" i="626"/>
  <c r="CA71" i="626" s="1"/>
  <c r="CB163" i="626"/>
  <c r="CC4" i="637"/>
  <c r="N225" i="633"/>
  <c r="CD32" i="670"/>
  <c r="CD35" i="670"/>
  <c r="CD145" i="670"/>
  <c r="CH92" i="681"/>
  <c r="H16" i="684"/>
  <c r="Z16" i="684" s="1"/>
  <c r="Z15" i="684"/>
  <c r="CF66" i="397"/>
  <c r="BF50" i="397"/>
  <c r="CG50" i="397" s="1"/>
  <c r="CH50" i="397" s="1"/>
  <c r="CF103" i="397"/>
  <c r="CH103" i="397" s="1"/>
  <c r="CF53" i="397"/>
  <c r="BF23" i="397"/>
  <c r="CG23" i="397" s="1"/>
  <c r="S199" i="681"/>
  <c r="CF85" i="397"/>
  <c r="CH85" i="397" s="1"/>
  <c r="CF91" i="397"/>
  <c r="CH91" i="397" s="1"/>
  <c r="BE261" i="669"/>
  <c r="CH104" i="681"/>
  <c r="CH93" i="681"/>
  <c r="CH68" i="681"/>
  <c r="CH13" i="681"/>
  <c r="CF92" i="397"/>
  <c r="CD172" i="670"/>
  <c r="CH649" i="397"/>
  <c r="CH596" i="397"/>
  <c r="CH681" i="397"/>
  <c r="H352" i="633"/>
  <c r="AZ343" i="633"/>
  <c r="AZ353" i="633" s="1"/>
  <c r="N112" i="445"/>
  <c r="BX20" i="471"/>
  <c r="BZ20" i="471" s="1"/>
  <c r="BZ58" i="471"/>
  <c r="BZ96" i="471"/>
  <c r="BY111" i="511"/>
  <c r="CA111" i="511" s="1"/>
  <c r="BY124" i="511"/>
  <c r="CA124" i="511" s="1"/>
  <c r="AY170" i="511"/>
  <c r="BZ170" i="511" s="1"/>
  <c r="AZ337" i="479"/>
  <c r="CF783" i="397"/>
  <c r="CH783" i="397" s="1"/>
  <c r="CF796" i="397"/>
  <c r="CH796" i="397" s="1"/>
  <c r="CH805" i="397"/>
  <c r="AC213" i="500"/>
  <c r="AZ213" i="500" s="1"/>
  <c r="AB23" i="517"/>
  <c r="CA50" i="527"/>
  <c r="BY69" i="527"/>
  <c r="CA69" i="527" s="1"/>
  <c r="BY74" i="527"/>
  <c r="CA74" i="527" s="1"/>
  <c r="BY129" i="527"/>
  <c r="CA129" i="527" s="1"/>
  <c r="Z339" i="517"/>
  <c r="BZ184" i="583"/>
  <c r="CB184" i="583" s="1"/>
  <c r="BZ187" i="583"/>
  <c r="CB187" i="583" s="1"/>
  <c r="BA275" i="570"/>
  <c r="H277" i="570"/>
  <c r="N33" i="592"/>
  <c r="CB14" i="603"/>
  <c r="N56" i="445"/>
  <c r="BX4" i="487"/>
  <c r="BZ4" i="487" s="1"/>
  <c r="T122" i="487"/>
  <c r="BY18" i="511"/>
  <c r="CA18" i="511" s="1"/>
  <c r="CA110" i="511"/>
  <c r="AY153" i="511"/>
  <c r="BZ153" i="511" s="1"/>
  <c r="CF623" i="397"/>
  <c r="CH623" i="397" s="1"/>
  <c r="AC356" i="461"/>
  <c r="N335" i="500"/>
  <c r="H19" i="517"/>
  <c r="AC19" i="517" s="1"/>
  <c r="AC18" i="517"/>
  <c r="AC23" i="517" s="1"/>
  <c r="CA38" i="527"/>
  <c r="BY43" i="527"/>
  <c r="CA43" i="527" s="1"/>
  <c r="BY126" i="527"/>
  <c r="CA126" i="527" s="1"/>
  <c r="AZ23" i="555"/>
  <c r="CA23" i="555" s="1"/>
  <c r="CB23" i="555" s="1"/>
  <c r="BZ35" i="555"/>
  <c r="CB35" i="555" s="1"/>
  <c r="BZ140" i="555"/>
  <c r="CB140" i="555" s="1"/>
  <c r="AX253" i="541"/>
  <c r="H255" i="541"/>
  <c r="BZ181" i="583"/>
  <c r="CB181" i="583" s="1"/>
  <c r="AZ189" i="583"/>
  <c r="CA189" i="583" s="1"/>
  <c r="BZ71" i="603"/>
  <c r="CB71" i="603" s="1"/>
  <c r="BZ118" i="603"/>
  <c r="CB118" i="603" s="1"/>
  <c r="N9" i="615"/>
  <c r="AC56" i="652"/>
  <c r="AC83" i="652"/>
  <c r="BE83" i="652" s="1"/>
  <c r="N204" i="669"/>
  <c r="CH63" i="681"/>
  <c r="CH111" i="681"/>
  <c r="CH33" i="681"/>
  <c r="CF79" i="397"/>
  <c r="CH79" i="397" s="1"/>
  <c r="CB168" i="670"/>
  <c r="CD168" i="670" s="1"/>
  <c r="U175" i="670"/>
  <c r="CF107" i="397"/>
  <c r="CH107" i="397" s="1"/>
  <c r="CH555" i="397"/>
  <c r="CH529" i="397"/>
  <c r="BF410" i="397"/>
  <c r="CG410" i="397" s="1"/>
  <c r="CH410" i="397" s="1"/>
  <c r="CH411" i="397"/>
  <c r="CC148" i="637"/>
  <c r="H160" i="479"/>
  <c r="BT69" i="487"/>
  <c r="BX69" i="487" s="1"/>
  <c r="BZ69" i="487" s="1"/>
  <c r="AB68" i="445"/>
  <c r="BX81" i="471"/>
  <c r="BZ81" i="471" s="1"/>
  <c r="BX86" i="471"/>
  <c r="BZ86" i="471" s="1"/>
  <c r="BX25" i="487"/>
  <c r="BX76" i="487"/>
  <c r="BZ76" i="487" s="1"/>
  <c r="BX84" i="487"/>
  <c r="BZ84" i="487" s="1"/>
  <c r="AX90" i="487"/>
  <c r="BY90" i="487" s="1"/>
  <c r="BZ90" i="487" s="1"/>
  <c r="BY82" i="511"/>
  <c r="CA82" i="511" s="1"/>
  <c r="CF601" i="397"/>
  <c r="CH601" i="397" s="1"/>
  <c r="CF603" i="397"/>
  <c r="CH603" i="397" s="1"/>
  <c r="CF605" i="397"/>
  <c r="CH605" i="397" s="1"/>
  <c r="CF607" i="397"/>
  <c r="CH607" i="397" s="1"/>
  <c r="CF609" i="397"/>
  <c r="CH609" i="397" s="1"/>
  <c r="CF611" i="397"/>
  <c r="CH611" i="397" s="1"/>
  <c r="CF639" i="397"/>
  <c r="CH639" i="397" s="1"/>
  <c r="CF711" i="397"/>
  <c r="CH711" i="397" s="1"/>
  <c r="CF773" i="397"/>
  <c r="CH773" i="397" s="1"/>
  <c r="CF821" i="397"/>
  <c r="CH821" i="397" s="1"/>
  <c r="N74" i="461"/>
  <c r="AB147" i="461"/>
  <c r="AZ147" i="461" s="1"/>
  <c r="AC200" i="461"/>
  <c r="AZ200" i="461"/>
  <c r="AC320" i="500"/>
  <c r="AZ320" i="500" s="1"/>
  <c r="N199" i="517"/>
  <c r="AN165" i="527"/>
  <c r="BY8" i="527"/>
  <c r="CA8" i="527" s="1"/>
  <c r="CA45" i="527"/>
  <c r="BY52" i="527"/>
  <c r="CA52" i="527" s="1"/>
  <c r="BY64" i="527"/>
  <c r="CA64" i="527" s="1"/>
  <c r="BY133" i="527"/>
  <c r="CA133" i="527" s="1"/>
  <c r="BY137" i="527"/>
  <c r="CA137" i="527" s="1"/>
  <c r="BY139" i="527"/>
  <c r="CA139" i="527" s="1"/>
  <c r="AY143" i="527"/>
  <c r="BZ143" i="527" s="1"/>
  <c r="CA143" i="527" s="1"/>
  <c r="AB127" i="541"/>
  <c r="CF453" i="397"/>
  <c r="CH453" i="397" s="1"/>
  <c r="CB43" i="555"/>
  <c r="BZ134" i="555"/>
  <c r="CB134" i="555" s="1"/>
  <c r="BZ138" i="555"/>
  <c r="CB138" i="555" s="1"/>
  <c r="CB154" i="555"/>
  <c r="BZ166" i="555"/>
  <c r="CB166" i="555" s="1"/>
  <c r="BZ173" i="555"/>
  <c r="CB173" i="555" s="1"/>
  <c r="BZ183" i="555"/>
  <c r="CB183" i="555" s="1"/>
  <c r="X34" i="583"/>
  <c r="Y34" i="583"/>
  <c r="BZ87" i="583"/>
  <c r="CB87" i="583" s="1"/>
  <c r="CB100" i="583"/>
  <c r="CB105" i="583"/>
  <c r="CB110" i="583"/>
  <c r="BZ178" i="583"/>
  <c r="CB178" i="583" s="1"/>
  <c r="BB374" i="570"/>
  <c r="CB15" i="603"/>
  <c r="BZ20" i="603"/>
  <c r="CB20" i="603" s="1"/>
  <c r="BZ23" i="603"/>
  <c r="CB23" i="603" s="1"/>
  <c r="CB28" i="603"/>
  <c r="BZ158" i="626"/>
  <c r="CB158" i="626" s="1"/>
  <c r="BZ161" i="626"/>
  <c r="CB161" i="626" s="1"/>
  <c r="BZ172" i="626"/>
  <c r="CB172" i="626" s="1"/>
  <c r="BZ177" i="626"/>
  <c r="CB177" i="626" s="1"/>
  <c r="H344" i="615"/>
  <c r="N108" i="615"/>
  <c r="CC62" i="637"/>
  <c r="CC88" i="637"/>
  <c r="BF63" i="397"/>
  <c r="CG63" i="397" s="1"/>
  <c r="CF122" i="397"/>
  <c r="CF14" i="397"/>
  <c r="CH14" i="397" s="1"/>
  <c r="BX81" i="487"/>
  <c r="BZ81" i="487" s="1"/>
  <c r="BX18" i="471"/>
  <c r="BZ18" i="471" s="1"/>
  <c r="AX25" i="471"/>
  <c r="BY25" i="471" s="1"/>
  <c r="AX30" i="471"/>
  <c r="BY30" i="471" s="1"/>
  <c r="AX49" i="471"/>
  <c r="BY49" i="471" s="1"/>
  <c r="BU8" i="487"/>
  <c r="BT8" i="487"/>
  <c r="BX8" i="487" s="1"/>
  <c r="BZ8" i="487" s="1"/>
  <c r="BY79" i="511"/>
  <c r="CA79" i="511" s="1"/>
  <c r="AY86" i="511"/>
  <c r="BZ86" i="511" s="1"/>
  <c r="CA86" i="511" s="1"/>
  <c r="BY103" i="511"/>
  <c r="CA103" i="511" s="1"/>
  <c r="BY118" i="511"/>
  <c r="CA118" i="511" s="1"/>
  <c r="BY150" i="511"/>
  <c r="CA150" i="511" s="1"/>
  <c r="H474" i="479"/>
  <c r="AY474" i="479" s="1"/>
  <c r="AY481" i="479" s="1"/>
  <c r="CF656" i="397"/>
  <c r="CH656" i="397" s="1"/>
  <c r="CF662" i="397"/>
  <c r="CH662" i="397" s="1"/>
  <c r="CF683" i="397"/>
  <c r="CH683" i="397" s="1"/>
  <c r="BY83" i="527"/>
  <c r="AY87" i="527"/>
  <c r="BZ87" i="527" s="1"/>
  <c r="AS165" i="527"/>
  <c r="N268" i="517"/>
  <c r="X17" i="555"/>
  <c r="X192" i="555" s="1"/>
  <c r="S192" i="555"/>
  <c r="BZ46" i="555"/>
  <c r="CB46" i="555" s="1"/>
  <c r="BZ51" i="555"/>
  <c r="CB51" i="555" s="1"/>
  <c r="AZ53" i="555"/>
  <c r="CA53" i="555" s="1"/>
  <c r="AZ87" i="555"/>
  <c r="CA87" i="555" s="1"/>
  <c r="CB87" i="555" s="1"/>
  <c r="BZ102" i="555"/>
  <c r="CB102" i="555" s="1"/>
  <c r="BZ124" i="555"/>
  <c r="CB124" i="555" s="1"/>
  <c r="AP16" i="570"/>
  <c r="H18" i="570"/>
  <c r="AP18" i="570" s="1"/>
  <c r="AB226" i="202"/>
  <c r="BE384" i="652"/>
  <c r="CF83" i="397"/>
  <c r="CF49" i="397"/>
  <c r="CH49" i="397" s="1"/>
  <c r="CF38" i="397"/>
  <c r="CH38" i="397" s="1"/>
  <c r="CF36" i="397"/>
  <c r="CH36" i="397" s="1"/>
  <c r="CH109" i="681"/>
  <c r="CH103" i="681"/>
  <c r="CH70" i="681"/>
  <c r="CF134" i="397"/>
  <c r="CH134" i="397" s="1"/>
  <c r="CF24" i="397"/>
  <c r="CH24" i="397" s="1"/>
  <c r="CF70" i="397"/>
  <c r="CH70" i="397" s="1"/>
  <c r="CD140" i="670"/>
  <c r="CH782" i="397"/>
  <c r="CC146" i="637"/>
  <c r="CC84" i="637"/>
  <c r="CC22" i="637"/>
  <c r="AZ316" i="445"/>
  <c r="BX101" i="471"/>
  <c r="BZ101" i="471" s="1"/>
  <c r="AS122" i="487"/>
  <c r="BX109" i="487"/>
  <c r="BZ109" i="487" s="1"/>
  <c r="N105" i="479"/>
  <c r="AC253" i="479"/>
  <c r="AZ253" i="479" s="1"/>
  <c r="BY68" i="527"/>
  <c r="BY80" i="527"/>
  <c r="CA80" i="527" s="1"/>
  <c r="T165" i="527"/>
  <c r="BZ73" i="555"/>
  <c r="CB73" i="555" s="1"/>
  <c r="BZ80" i="555"/>
  <c r="CB80" i="555" s="1"/>
  <c r="CB126" i="555"/>
  <c r="BA318" i="541"/>
  <c r="BA341" i="541" s="1"/>
  <c r="H320" i="541"/>
  <c r="BZ4" i="583"/>
  <c r="V191" i="583"/>
  <c r="CB70" i="603"/>
  <c r="BY22" i="511"/>
  <c r="CA22" i="511" s="1"/>
  <c r="AY76" i="511"/>
  <c r="BZ76" i="511" s="1"/>
  <c r="CA76" i="511" s="1"/>
  <c r="CH487" i="397"/>
  <c r="CH519" i="397"/>
  <c r="CF630" i="397"/>
  <c r="CH630" i="397" s="1"/>
  <c r="CF632" i="397"/>
  <c r="CH632" i="397" s="1"/>
  <c r="CF642" i="397"/>
  <c r="CH642" i="397" s="1"/>
  <c r="CA56" i="527"/>
  <c r="BY107" i="527"/>
  <c r="CA107" i="527" s="1"/>
  <c r="BY125" i="527"/>
  <c r="CA125" i="527" s="1"/>
  <c r="BY132" i="527"/>
  <c r="CA132" i="527" s="1"/>
  <c r="AV54" i="541"/>
  <c r="BB54" i="541" s="1"/>
  <c r="BZ10" i="555"/>
  <c r="CB10" i="555" s="1"/>
  <c r="BZ12" i="555"/>
  <c r="CB12" i="555" s="1"/>
  <c r="BZ20" i="555"/>
  <c r="CB20" i="555" s="1"/>
  <c r="BZ34" i="555"/>
  <c r="CB34" i="555" s="1"/>
  <c r="BZ119" i="555"/>
  <c r="CB119" i="555" s="1"/>
  <c r="BZ141" i="555"/>
  <c r="CB141" i="555" s="1"/>
  <c r="BZ143" i="555"/>
  <c r="CB143" i="555" s="1"/>
  <c r="BZ149" i="555"/>
  <c r="CB149" i="555" s="1"/>
  <c r="BZ151" i="555"/>
  <c r="CB151" i="555" s="1"/>
  <c r="BZ158" i="555"/>
  <c r="CB158" i="555" s="1"/>
  <c r="H49" i="615"/>
  <c r="AB48" i="615"/>
  <c r="CD128" i="670"/>
  <c r="BX13" i="471"/>
  <c r="BZ13" i="471" s="1"/>
  <c r="X27" i="471"/>
  <c r="X129" i="471" s="1"/>
  <c r="R129" i="471"/>
  <c r="BX121" i="471"/>
  <c r="BZ121" i="471" s="1"/>
  <c r="BX45" i="487"/>
  <c r="BZ45" i="487" s="1"/>
  <c r="BX100" i="487"/>
  <c r="BZ100" i="487" s="1"/>
  <c r="CF97" i="397"/>
  <c r="CH97" i="397" s="1"/>
  <c r="CF111" i="397"/>
  <c r="CH111" i="397" s="1"/>
  <c r="CH461" i="397"/>
  <c r="CC77" i="637"/>
  <c r="N31" i="445"/>
  <c r="BX35" i="471"/>
  <c r="BX44" i="471"/>
  <c r="BZ44" i="471" s="1"/>
  <c r="T129" i="471"/>
  <c r="AX83" i="487"/>
  <c r="BY83" i="487" s="1"/>
  <c r="AT122" i="487"/>
  <c r="BX114" i="487"/>
  <c r="BZ114" i="487" s="1"/>
  <c r="BY30" i="511"/>
  <c r="CA30" i="511" s="1"/>
  <c r="AY37" i="511"/>
  <c r="BZ37" i="511" s="1"/>
  <c r="BY69" i="511"/>
  <c r="CA69" i="511" s="1"/>
  <c r="BY109" i="511"/>
  <c r="CA109" i="511" s="1"/>
  <c r="CF776" i="397"/>
  <c r="CH776" i="397" s="1"/>
  <c r="N37" i="500"/>
  <c r="CA63" i="527"/>
  <c r="AY72" i="527"/>
  <c r="BZ72" i="527" s="1"/>
  <c r="CA134" i="527"/>
  <c r="CA138" i="527"/>
  <c r="AY140" i="527"/>
  <c r="BZ140" i="527" s="1"/>
  <c r="CA140" i="527" s="1"/>
  <c r="BZ27" i="555"/>
  <c r="CB27" i="555" s="1"/>
  <c r="BZ48" i="555"/>
  <c r="CB48" i="555" s="1"/>
  <c r="BZ121" i="555"/>
  <c r="CB121" i="555" s="1"/>
  <c r="V192" i="555"/>
  <c r="N437" i="541"/>
  <c r="U204" i="202"/>
  <c r="CC150" i="637"/>
  <c r="AB316" i="445"/>
  <c r="AX14" i="471"/>
  <c r="BY14" i="471" s="1"/>
  <c r="BZ14" i="471" s="1"/>
  <c r="BX19" i="471"/>
  <c r="BX41" i="487"/>
  <c r="BZ41" i="487" s="1"/>
  <c r="AX43" i="487"/>
  <c r="BY43" i="487" s="1"/>
  <c r="AX73" i="487"/>
  <c r="BY73" i="487" s="1"/>
  <c r="BZ73" i="487" s="1"/>
  <c r="BY53" i="511"/>
  <c r="CA53" i="511" s="1"/>
  <c r="BY63" i="511"/>
  <c r="CA63" i="511" s="1"/>
  <c r="CA112" i="511"/>
  <c r="BY141" i="511"/>
  <c r="CA141" i="511" s="1"/>
  <c r="BY158" i="511"/>
  <c r="CA158" i="511" s="1"/>
  <c r="CF598" i="397"/>
  <c r="CH598" i="397" s="1"/>
  <c r="CF600" i="397"/>
  <c r="CH600" i="397" s="1"/>
  <c r="CF610" i="397"/>
  <c r="CH610" i="397" s="1"/>
  <c r="CF612" i="397"/>
  <c r="CH612" i="397" s="1"/>
  <c r="CF704" i="397"/>
  <c r="CH704" i="397" s="1"/>
  <c r="CA53" i="527"/>
  <c r="AY129" i="527"/>
  <c r="BZ129" i="527" s="1"/>
  <c r="AB54" i="541"/>
  <c r="CF443" i="397"/>
  <c r="CH443" i="397" s="1"/>
  <c r="N288" i="541"/>
  <c r="CB161" i="583"/>
  <c r="CB34" i="583"/>
  <c r="AZ140" i="583"/>
  <c r="CA140" i="583" s="1"/>
  <c r="AZ150" i="583"/>
  <c r="CA150" i="583" s="1"/>
  <c r="CB152" i="583"/>
  <c r="S191" i="626"/>
  <c r="Y32" i="626"/>
  <c r="Y191" i="626" s="1"/>
  <c r="CH38" i="681"/>
  <c r="CH136" i="681"/>
  <c r="AB168" i="570"/>
  <c r="BB168" i="570" s="1"/>
  <c r="N144" i="445"/>
  <c r="BX14" i="487"/>
  <c r="BZ14" i="487" s="1"/>
  <c r="BX50" i="487"/>
  <c r="BZ50" i="487" s="1"/>
  <c r="BX55" i="487"/>
  <c r="BZ55" i="487" s="1"/>
  <c r="BY132" i="511"/>
  <c r="CA132" i="511" s="1"/>
  <c r="N268" i="479"/>
  <c r="CF824" i="397"/>
  <c r="CH824" i="397" s="1"/>
  <c r="R165" i="527"/>
  <c r="X24" i="527"/>
  <c r="X165" i="527" s="1"/>
  <c r="CA96" i="527"/>
  <c r="BZ67" i="555"/>
  <c r="CB67" i="555" s="1"/>
  <c r="BD195" i="541"/>
  <c r="BD507" i="541"/>
  <c r="CB150" i="583"/>
  <c r="Y17" i="583"/>
  <c r="Y191" i="583" s="1"/>
  <c r="X17" i="583"/>
  <c r="X191" i="583" s="1"/>
  <c r="S191" i="583"/>
  <c r="CB40" i="583"/>
  <c r="CF432" i="397"/>
  <c r="CH432" i="397" s="1"/>
  <c r="BT43" i="487"/>
  <c r="BX43" i="487" s="1"/>
  <c r="AX74" i="471"/>
  <c r="BY74" i="471" s="1"/>
  <c r="BZ74" i="471" s="1"/>
  <c r="BX89" i="471"/>
  <c r="BZ89" i="471" s="1"/>
  <c r="BX24" i="487"/>
  <c r="BZ24" i="487" s="1"/>
  <c r="BX29" i="487"/>
  <c r="BZ29" i="487" s="1"/>
  <c r="BX57" i="487"/>
  <c r="BZ57" i="487" s="1"/>
  <c r="CA9" i="511"/>
  <c r="BY15" i="511"/>
  <c r="CA15" i="511" s="1"/>
  <c r="CA20" i="511"/>
  <c r="BY38" i="511"/>
  <c r="CA38" i="511" s="1"/>
  <c r="BY50" i="511"/>
  <c r="CA50" i="511" s="1"/>
  <c r="AY67" i="511"/>
  <c r="BZ67" i="511" s="1"/>
  <c r="CA67" i="511" s="1"/>
  <c r="BY116" i="511"/>
  <c r="CA116" i="511" s="1"/>
  <c r="BY153" i="511"/>
  <c r="CA153" i="511" s="1"/>
  <c r="N241" i="479"/>
  <c r="AB508" i="479"/>
  <c r="AZ508" i="479" s="1"/>
  <c r="CF831" i="397"/>
  <c r="CH831" i="397" s="1"/>
  <c r="H228" i="517"/>
  <c r="AY98" i="527"/>
  <c r="BZ98" i="527" s="1"/>
  <c r="CA113" i="527"/>
  <c r="AB415" i="517"/>
  <c r="BZ47" i="555"/>
  <c r="CB47" i="555" s="1"/>
  <c r="AB273" i="541"/>
  <c r="BZ7" i="583"/>
  <c r="CB7" i="583" s="1"/>
  <c r="BZ37" i="583"/>
  <c r="CB37" i="583" s="1"/>
  <c r="H253" i="570"/>
  <c r="Y252" i="570"/>
  <c r="AB333" i="592"/>
  <c r="AB336" i="592" s="1"/>
  <c r="BB336" i="592" s="1"/>
  <c r="H335" i="592"/>
  <c r="CF35" i="397"/>
  <c r="CH35" i="397" s="1"/>
  <c r="CF98" i="397"/>
  <c r="CH98" i="397" s="1"/>
  <c r="CF87" i="397"/>
  <c r="CH87" i="397" s="1"/>
  <c r="CH85" i="681"/>
  <c r="CH58" i="681"/>
  <c r="CH42" i="681"/>
  <c r="CF17" i="397"/>
  <c r="CF69" i="397"/>
  <c r="CH69" i="397" s="1"/>
  <c r="CF82" i="397"/>
  <c r="CF135" i="397"/>
  <c r="CF110" i="397"/>
  <c r="CH110" i="397" s="1"/>
  <c r="Y478" i="652"/>
  <c r="CC155" i="637"/>
  <c r="H127" i="445"/>
  <c r="H128" i="445" s="1"/>
  <c r="Y125" i="445"/>
  <c r="Y129" i="445" s="1"/>
  <c r="AZ129" i="445" s="1"/>
  <c r="BX38" i="471"/>
  <c r="BZ38" i="471" s="1"/>
  <c r="AX76" i="471"/>
  <c r="BY76" i="471" s="1"/>
  <c r="BZ76" i="471" s="1"/>
  <c r="BX79" i="471"/>
  <c r="BZ79" i="471" s="1"/>
  <c r="AY79" i="511"/>
  <c r="BZ79" i="511" s="1"/>
  <c r="BY94" i="511"/>
  <c r="CA94" i="511" s="1"/>
  <c r="N193" i="479"/>
  <c r="Y312" i="479"/>
  <c r="BF584" i="397"/>
  <c r="CG584" i="397" s="1"/>
  <c r="CH584" i="397" s="1"/>
  <c r="CF760" i="397"/>
  <c r="CH760" i="397" s="1"/>
  <c r="CF822" i="397"/>
  <c r="CH822" i="397" s="1"/>
  <c r="CF844" i="397"/>
  <c r="CH844" i="397" s="1"/>
  <c r="AB59" i="461"/>
  <c r="CA34" i="527"/>
  <c r="BY48" i="527"/>
  <c r="CA48" i="527" s="1"/>
  <c r="AY50" i="527"/>
  <c r="BZ50" i="527" s="1"/>
  <c r="CA150" i="527"/>
  <c r="BY152" i="527"/>
  <c r="CA152" i="527" s="1"/>
  <c r="AB168" i="541"/>
  <c r="BZ57" i="555"/>
  <c r="CB57" i="555" s="1"/>
  <c r="CB74" i="583"/>
  <c r="AZ4" i="583"/>
  <c r="CA4" i="583" s="1"/>
  <c r="BZ171" i="603"/>
  <c r="CB171" i="603" s="1"/>
  <c r="CB174" i="603"/>
  <c r="BY122" i="511"/>
  <c r="BY131" i="511"/>
  <c r="CA131" i="511" s="1"/>
  <c r="CF806" i="397"/>
  <c r="CH806" i="397" s="1"/>
  <c r="N240" i="461"/>
  <c r="AB133" i="500"/>
  <c r="H275" i="500"/>
  <c r="AJ274" i="500"/>
  <c r="CA13" i="527"/>
  <c r="BY22" i="527"/>
  <c r="CA22" i="527" s="1"/>
  <c r="BY41" i="527"/>
  <c r="CA41" i="527" s="1"/>
  <c r="CA82" i="527"/>
  <c r="BY94" i="527"/>
  <c r="CA94" i="527" s="1"/>
  <c r="AY111" i="527"/>
  <c r="BZ111" i="527" s="1"/>
  <c r="CA111" i="527" s="1"/>
  <c r="CA145" i="527"/>
  <c r="N229" i="541"/>
  <c r="N217" i="541"/>
  <c r="N212" i="541"/>
  <c r="N234" i="541"/>
  <c r="N210" i="541"/>
  <c r="N226" i="541"/>
  <c r="N211" i="541"/>
  <c r="N220" i="541"/>
  <c r="N231" i="541"/>
  <c r="N228" i="541"/>
  <c r="N223" i="541"/>
  <c r="BZ52" i="555"/>
  <c r="CB52" i="555" s="1"/>
  <c r="BZ62" i="555"/>
  <c r="CB62" i="555" s="1"/>
  <c r="AZ86" i="555"/>
  <c r="CA86" i="555" s="1"/>
  <c r="CB95" i="583"/>
  <c r="CB90" i="583"/>
  <c r="CB39" i="583"/>
  <c r="CB42" i="583"/>
  <c r="BZ75" i="583"/>
  <c r="CB75" i="583" s="1"/>
  <c r="CB94" i="583"/>
  <c r="CB157" i="583"/>
  <c r="Y168" i="592"/>
  <c r="BB168" i="592" s="1"/>
  <c r="CB107" i="603"/>
  <c r="BU344" i="397"/>
  <c r="BV344" i="397" s="1"/>
  <c r="BW344" i="397" s="1"/>
  <c r="CE344" i="397" s="1"/>
  <c r="CD344" i="397"/>
  <c r="BS299" i="397"/>
  <c r="BT299" i="397" s="1"/>
  <c r="CC299" i="397"/>
  <c r="BS326" i="397"/>
  <c r="BT326" i="397" s="1"/>
  <c r="CC326" i="397"/>
  <c r="CF64" i="397"/>
  <c r="CH64" i="397" s="1"/>
  <c r="CF51" i="397"/>
  <c r="CH51" i="397" s="1"/>
  <c r="CF95" i="397"/>
  <c r="CH95" i="397" s="1"/>
  <c r="CF124" i="397"/>
  <c r="CH124" i="397" s="1"/>
  <c r="CF99" i="397"/>
  <c r="CH99" i="397" s="1"/>
  <c r="CF114" i="397"/>
  <c r="AU161" i="479"/>
  <c r="AZ161" i="479" s="1"/>
  <c r="N286" i="445"/>
  <c r="BX36" i="471"/>
  <c r="BZ36" i="471" s="1"/>
  <c r="BX59" i="487"/>
  <c r="BZ59" i="487" s="1"/>
  <c r="AX120" i="487"/>
  <c r="BY120" i="487" s="1"/>
  <c r="BZ120" i="487" s="1"/>
  <c r="BY68" i="511"/>
  <c r="CA68" i="511" s="1"/>
  <c r="BY100" i="511"/>
  <c r="CA100" i="511" s="1"/>
  <c r="AY122" i="511"/>
  <c r="BZ122" i="511" s="1"/>
  <c r="BY148" i="511"/>
  <c r="CA148" i="511" s="1"/>
  <c r="CF653" i="397"/>
  <c r="CH653" i="397" s="1"/>
  <c r="CH739" i="397"/>
  <c r="CF849" i="397"/>
  <c r="CH849" i="397" s="1"/>
  <c r="N216" i="461"/>
  <c r="AB295" i="461"/>
  <c r="AZ295" i="461" s="1"/>
  <c r="N309" i="461"/>
  <c r="X133" i="500"/>
  <c r="N168" i="517"/>
  <c r="BY20" i="527"/>
  <c r="CA20" i="527" s="1"/>
  <c r="BY92" i="527"/>
  <c r="CA92" i="527" s="1"/>
  <c r="BY103" i="527"/>
  <c r="CA103" i="527" s="1"/>
  <c r="BY105" i="527"/>
  <c r="CA105" i="527" s="1"/>
  <c r="AK165" i="527"/>
  <c r="AY125" i="527"/>
  <c r="BZ125" i="527" s="1"/>
  <c r="BY146" i="527"/>
  <c r="CA146" i="527" s="1"/>
  <c r="X356" i="517"/>
  <c r="H357" i="517"/>
  <c r="X357" i="517" s="1"/>
  <c r="H363" i="517"/>
  <c r="AC413" i="517"/>
  <c r="AC415" i="517" s="1"/>
  <c r="CB145" i="555"/>
  <c r="AZ9" i="555"/>
  <c r="CA9" i="555" s="1"/>
  <c r="CB9" i="555" s="1"/>
  <c r="BZ58" i="555"/>
  <c r="CB58" i="555" s="1"/>
  <c r="BZ60" i="555"/>
  <c r="CB60" i="555" s="1"/>
  <c r="BZ75" i="555"/>
  <c r="CB75" i="555" s="1"/>
  <c r="BZ89" i="555"/>
  <c r="CB89" i="555" s="1"/>
  <c r="BZ91" i="555"/>
  <c r="CB91" i="555" s="1"/>
  <c r="BZ104" i="555"/>
  <c r="CB104" i="555" s="1"/>
  <c r="BZ108" i="555"/>
  <c r="CB108" i="555" s="1"/>
  <c r="AZ112" i="555"/>
  <c r="CA112" i="555" s="1"/>
  <c r="CB112" i="555" s="1"/>
  <c r="AZ114" i="555"/>
  <c r="CA114" i="555" s="1"/>
  <c r="CB114" i="555" s="1"/>
  <c r="BZ128" i="555"/>
  <c r="CB128" i="555" s="1"/>
  <c r="CF106" i="397"/>
  <c r="CH106" i="397" s="1"/>
  <c r="CF94" i="397"/>
  <c r="CH94" i="397" s="1"/>
  <c r="CF121" i="397"/>
  <c r="CH121" i="397" s="1"/>
  <c r="CF13" i="397"/>
  <c r="CH13" i="397" s="1"/>
  <c r="CF11" i="397"/>
  <c r="CH11" i="397" s="1"/>
  <c r="CF76" i="397"/>
  <c r="CH76" i="397" s="1"/>
  <c r="BX70" i="471"/>
  <c r="BZ70" i="471" s="1"/>
  <c r="BX7" i="487"/>
  <c r="BZ7" i="487" s="1"/>
  <c r="BX75" i="487"/>
  <c r="BZ75" i="487" s="1"/>
  <c r="BX92" i="487"/>
  <c r="BZ92" i="487" s="1"/>
  <c r="BY73" i="511"/>
  <c r="CA73" i="511" s="1"/>
  <c r="BY127" i="511"/>
  <c r="CA127" i="511" s="1"/>
  <c r="BY143" i="511"/>
  <c r="CA143" i="511" s="1"/>
  <c r="AC93" i="461"/>
  <c r="AZ93" i="461" s="1"/>
  <c r="N181" i="461"/>
  <c r="N344" i="461"/>
  <c r="H385" i="461"/>
  <c r="AB187" i="500"/>
  <c r="CA35" i="527"/>
  <c r="BY39" i="527"/>
  <c r="BY58" i="527"/>
  <c r="CA58" i="527" s="1"/>
  <c r="BY65" i="527"/>
  <c r="CA65" i="527" s="1"/>
  <c r="BY87" i="527"/>
  <c r="CA87" i="527" s="1"/>
  <c r="BY99" i="527"/>
  <c r="CA99" i="527" s="1"/>
  <c r="BY118" i="527"/>
  <c r="CA118" i="527" s="1"/>
  <c r="N214" i="541"/>
  <c r="CB17" i="555"/>
  <c r="BZ110" i="555"/>
  <c r="CB110" i="555" s="1"/>
  <c r="CB174" i="555"/>
  <c r="N383" i="541"/>
  <c r="N464" i="541"/>
  <c r="CB156" i="603"/>
  <c r="CB109" i="603"/>
  <c r="CB151" i="603"/>
  <c r="P75" i="202"/>
  <c r="BX11" i="471"/>
  <c r="BZ11" i="471" s="1"/>
  <c r="BX53" i="471"/>
  <c r="BZ53" i="471" s="1"/>
  <c r="BX122" i="471"/>
  <c r="BZ122" i="471" s="1"/>
  <c r="BY138" i="511"/>
  <c r="CA138" i="511" s="1"/>
  <c r="CF625" i="397"/>
  <c r="CH625" i="397" s="1"/>
  <c r="CF629" i="397"/>
  <c r="CH629" i="397" s="1"/>
  <c r="CF631" i="397"/>
  <c r="CH631" i="397" s="1"/>
  <c r="BY27" i="527"/>
  <c r="CA27" i="527" s="1"/>
  <c r="BY72" i="527"/>
  <c r="Y251" i="517"/>
  <c r="H252" i="517"/>
  <c r="BZ50" i="555"/>
  <c r="CB50" i="555" s="1"/>
  <c r="BZ70" i="555"/>
  <c r="CB70" i="555" s="1"/>
  <c r="N356" i="541"/>
  <c r="AC481" i="541"/>
  <c r="BB481" i="541" s="1"/>
  <c r="Y105" i="570"/>
  <c r="H106" i="570"/>
  <c r="CB165" i="583"/>
  <c r="BZ174" i="583"/>
  <c r="CB174" i="583" s="1"/>
  <c r="BB226" i="592"/>
  <c r="CB11" i="603"/>
  <c r="N266" i="592"/>
  <c r="Y357" i="592"/>
  <c r="CF7" i="397"/>
  <c r="CH7" i="397" s="1"/>
  <c r="AX90" i="471"/>
  <c r="BY90" i="471" s="1"/>
  <c r="BY76" i="527"/>
  <c r="CA76" i="527" s="1"/>
  <c r="AY83" i="527"/>
  <c r="BZ83" i="527" s="1"/>
  <c r="X120" i="541"/>
  <c r="H122" i="541"/>
  <c r="CB123" i="555"/>
  <c r="BZ21" i="555"/>
  <c r="CB21" i="555" s="1"/>
  <c r="BZ42" i="555"/>
  <c r="CB42" i="555" s="1"/>
  <c r="H194" i="541"/>
  <c r="H197" i="541" s="1"/>
  <c r="AC422" i="541"/>
  <c r="BB422" i="541" s="1"/>
  <c r="BB86" i="570"/>
  <c r="CB133" i="583"/>
  <c r="CB104" i="583"/>
  <c r="CB112" i="583"/>
  <c r="BZ126" i="583"/>
  <c r="CB126" i="583" s="1"/>
  <c r="BZ166" i="583"/>
  <c r="CB166" i="583" s="1"/>
  <c r="AT215" i="592"/>
  <c r="H217" i="592"/>
  <c r="AT217" i="592" s="1"/>
  <c r="CB123" i="603"/>
  <c r="N467" i="479"/>
  <c r="N201" i="500"/>
  <c r="BY5" i="527"/>
  <c r="CA5" i="527" s="1"/>
  <c r="H294" i="517"/>
  <c r="H502" i="517"/>
  <c r="N69" i="541"/>
  <c r="BB449" i="541"/>
  <c r="AP24" i="570"/>
  <c r="BB24" i="570" s="1"/>
  <c r="CB144" i="583"/>
  <c r="BZ177" i="583"/>
  <c r="CB177" i="583" s="1"/>
  <c r="N183" i="570"/>
  <c r="BB197" i="592"/>
  <c r="AT226" i="592"/>
  <c r="AD488" i="592"/>
  <c r="H490" i="592"/>
  <c r="AC212" i="615"/>
  <c r="BT39" i="487"/>
  <c r="BX63" i="471"/>
  <c r="BZ63" i="471" s="1"/>
  <c r="BX96" i="487"/>
  <c r="BZ96" i="487" s="1"/>
  <c r="N47" i="461"/>
  <c r="N173" i="500"/>
  <c r="BY40" i="527"/>
  <c r="CA40" i="527" s="1"/>
  <c r="BY162" i="527"/>
  <c r="CA162" i="527" s="1"/>
  <c r="AB471" i="517"/>
  <c r="AB20" i="541"/>
  <c r="AZ80" i="583"/>
  <c r="CA80" i="583" s="1"/>
  <c r="CB139" i="583"/>
  <c r="AY322" i="570"/>
  <c r="BZ45" i="603"/>
  <c r="CB45" i="603" s="1"/>
  <c r="CB178" i="626"/>
  <c r="AB97" i="445"/>
  <c r="BX29" i="471"/>
  <c r="BZ29" i="471" s="1"/>
  <c r="AB279" i="500"/>
  <c r="AB101" i="517"/>
  <c r="AZ101" i="517" s="1"/>
  <c r="H433" i="517"/>
  <c r="BA431" i="517"/>
  <c r="BY135" i="527"/>
  <c r="CA135" i="527" s="1"/>
  <c r="AZ18" i="555"/>
  <c r="CA18" i="555" s="1"/>
  <c r="BZ37" i="555"/>
  <c r="CB37" i="555" s="1"/>
  <c r="BZ105" i="555"/>
  <c r="CB105" i="555" s="1"/>
  <c r="BZ164" i="555"/>
  <c r="CB164" i="555" s="1"/>
  <c r="CB141" i="583"/>
  <c r="CB101" i="583"/>
  <c r="AC91" i="592"/>
  <c r="H115" i="592"/>
  <c r="AT115" i="592" s="1"/>
  <c r="AT114" i="592"/>
  <c r="AT123" i="592" s="1"/>
  <c r="BZ4" i="603"/>
  <c r="CB4" i="603" s="1"/>
  <c r="BZ6" i="603"/>
  <c r="CB6" i="603" s="1"/>
  <c r="BZ17" i="603"/>
  <c r="CB17" i="603" s="1"/>
  <c r="BZ79" i="603"/>
  <c r="CB79" i="603" s="1"/>
  <c r="BZ82" i="603"/>
  <c r="CB82" i="603" s="1"/>
  <c r="AZ110" i="603"/>
  <c r="CA110" i="603" s="1"/>
  <c r="CB110" i="603" s="1"/>
  <c r="AZ115" i="603"/>
  <c r="CA115" i="603" s="1"/>
  <c r="U192" i="603"/>
  <c r="BZ154" i="603"/>
  <c r="CB154" i="603" s="1"/>
  <c r="AC295" i="517"/>
  <c r="CB74" i="555"/>
  <c r="BZ81" i="555"/>
  <c r="CB81" i="555" s="1"/>
  <c r="BZ136" i="555"/>
  <c r="CB136" i="555" s="1"/>
  <c r="BZ152" i="555"/>
  <c r="CB152" i="555" s="1"/>
  <c r="BZ157" i="555"/>
  <c r="CB157" i="555" s="1"/>
  <c r="BZ176" i="555"/>
  <c r="CB176" i="555" s="1"/>
  <c r="BZ181" i="555"/>
  <c r="AB368" i="541"/>
  <c r="AC393" i="541"/>
  <c r="Y66" i="570"/>
  <c r="BB66" i="570" s="1"/>
  <c r="BZ47" i="583"/>
  <c r="CB47" i="583" s="1"/>
  <c r="BZ61" i="583"/>
  <c r="CB61" i="583" s="1"/>
  <c r="Y254" i="570"/>
  <c r="BB254" i="570" s="1"/>
  <c r="BB308" i="592"/>
  <c r="X192" i="603"/>
  <c r="CB93" i="603"/>
  <c r="N133" i="615"/>
  <c r="H413" i="615"/>
  <c r="AH129" i="471"/>
  <c r="BX82" i="487"/>
  <c r="BZ82" i="487" s="1"/>
  <c r="BY142" i="527"/>
  <c r="CA142" i="527" s="1"/>
  <c r="N244" i="517"/>
  <c r="N9" i="517"/>
  <c r="BZ90" i="555"/>
  <c r="CB90" i="555" s="1"/>
  <c r="BZ94" i="555"/>
  <c r="CB94" i="555" s="1"/>
  <c r="CB132" i="555"/>
  <c r="BZ142" i="555"/>
  <c r="CB142" i="555" s="1"/>
  <c r="BZ144" i="555"/>
  <c r="CB144" i="555" s="1"/>
  <c r="AZ146" i="555"/>
  <c r="CA146" i="555" s="1"/>
  <c r="CB146" i="555" s="1"/>
  <c r="BZ148" i="555"/>
  <c r="CB148" i="555" s="1"/>
  <c r="BZ171" i="555"/>
  <c r="CB171" i="555" s="1"/>
  <c r="N407" i="541"/>
  <c r="CB147" i="583"/>
  <c r="BZ21" i="583"/>
  <c r="CB21" i="583" s="1"/>
  <c r="BZ38" i="583"/>
  <c r="CB38" i="583" s="1"/>
  <c r="AZ63" i="583"/>
  <c r="CA63" i="583" s="1"/>
  <c r="CB63" i="583" s="1"/>
  <c r="AB123" i="592"/>
  <c r="AZ11" i="603"/>
  <c r="CA11" i="603" s="1"/>
  <c r="BZ22" i="603"/>
  <c r="CB22" i="603" s="1"/>
  <c r="CB84" i="626"/>
  <c r="AL191" i="626"/>
  <c r="AY19" i="527"/>
  <c r="BZ19" i="527" s="1"/>
  <c r="CA19" i="527" s="1"/>
  <c r="BY36" i="527"/>
  <c r="CA36" i="527" s="1"/>
  <c r="BY55" i="527"/>
  <c r="CA55" i="527" s="1"/>
  <c r="AY153" i="527"/>
  <c r="BZ153" i="527" s="1"/>
  <c r="CA153" i="527" s="1"/>
  <c r="N334" i="517"/>
  <c r="BD389" i="517"/>
  <c r="AC444" i="517"/>
  <c r="CB11" i="555"/>
  <c r="AK192" i="555"/>
  <c r="AZ133" i="555"/>
  <c r="CA133" i="555" s="1"/>
  <c r="AZ175" i="555"/>
  <c r="CA175" i="555" s="1"/>
  <c r="CB91" i="583"/>
  <c r="BZ10" i="583"/>
  <c r="CB10" i="583" s="1"/>
  <c r="BZ18" i="583"/>
  <c r="CB18" i="583" s="1"/>
  <c r="BZ29" i="583"/>
  <c r="CB29" i="583" s="1"/>
  <c r="BZ44" i="583"/>
  <c r="CB44" i="583" s="1"/>
  <c r="BZ66" i="583"/>
  <c r="CB66" i="583" s="1"/>
  <c r="BZ103" i="583"/>
  <c r="CB103" i="583" s="1"/>
  <c r="CB145" i="583"/>
  <c r="BZ104" i="603"/>
  <c r="CB104" i="603" s="1"/>
  <c r="AB50" i="615"/>
  <c r="BB50" i="615" s="1"/>
  <c r="H234" i="615"/>
  <c r="AC234" i="615" s="1"/>
  <c r="AC233" i="615"/>
  <c r="AC239" i="615" s="1"/>
  <c r="CB4" i="626"/>
  <c r="CB6" i="626"/>
  <c r="AZ13" i="626"/>
  <c r="CA13" i="626" s="1"/>
  <c r="CB13" i="626" s="1"/>
  <c r="BZ30" i="626"/>
  <c r="CB30" i="626" s="1"/>
  <c r="BZ54" i="626"/>
  <c r="CB54" i="626" s="1"/>
  <c r="CB59" i="626"/>
  <c r="CB190" i="626"/>
  <c r="N130" i="669"/>
  <c r="BY59" i="527"/>
  <c r="CA59" i="527" s="1"/>
  <c r="BD471" i="517"/>
  <c r="BD77" i="541"/>
  <c r="BZ4" i="555"/>
  <c r="CB4" i="555" s="1"/>
  <c r="AZ46" i="555"/>
  <c r="CA46" i="555" s="1"/>
  <c r="CB97" i="583"/>
  <c r="CB184" i="603"/>
  <c r="AZ8" i="603"/>
  <c r="CA8" i="603" s="1"/>
  <c r="CB8" i="603" s="1"/>
  <c r="AZ19" i="603"/>
  <c r="CA19" i="603" s="1"/>
  <c r="CB53" i="603"/>
  <c r="AZ64" i="603"/>
  <c r="CA64" i="603" s="1"/>
  <c r="CB64" i="603" s="1"/>
  <c r="CB98" i="603"/>
  <c r="BZ70" i="626"/>
  <c r="CB70" i="626" s="1"/>
  <c r="AZ94" i="626"/>
  <c r="CA94" i="626" s="1"/>
  <c r="CB94" i="626" s="1"/>
  <c r="N71" i="652"/>
  <c r="CB80" i="397"/>
  <c r="CC80" i="397"/>
  <c r="AC133" i="500"/>
  <c r="AC389" i="500"/>
  <c r="BY47" i="527"/>
  <c r="CA47" i="527" s="1"/>
  <c r="BZ8" i="555"/>
  <c r="CB8" i="555" s="1"/>
  <c r="AZ32" i="555"/>
  <c r="CA32" i="555" s="1"/>
  <c r="BZ44" i="555"/>
  <c r="CB44" i="555" s="1"/>
  <c r="BZ59" i="555"/>
  <c r="CB59" i="555" s="1"/>
  <c r="BZ130" i="555"/>
  <c r="CB130" i="555" s="1"/>
  <c r="BZ177" i="555"/>
  <c r="CB177" i="555" s="1"/>
  <c r="CB167" i="583"/>
  <c r="CB70" i="583"/>
  <c r="BZ129" i="583"/>
  <c r="CB129" i="583" s="1"/>
  <c r="BZ183" i="583"/>
  <c r="CB183" i="583" s="1"/>
  <c r="AB18" i="592"/>
  <c r="CB102" i="603"/>
  <c r="BZ38" i="603"/>
  <c r="CB38" i="603" s="1"/>
  <c r="AZ61" i="603"/>
  <c r="CA61" i="603" s="1"/>
  <c r="CB61" i="603" s="1"/>
  <c r="AZ78" i="603"/>
  <c r="CA78" i="603" s="1"/>
  <c r="BZ186" i="603"/>
  <c r="CB186" i="603" s="1"/>
  <c r="CA162" i="637"/>
  <c r="CC162" i="637" s="1"/>
  <c r="CF165" i="397"/>
  <c r="CH165" i="397" s="1"/>
  <c r="T329" i="461"/>
  <c r="AZ329" i="461" s="1"/>
  <c r="N80" i="500"/>
  <c r="BY23" i="527"/>
  <c r="CA23" i="527" s="1"/>
  <c r="BY78" i="527"/>
  <c r="CA78" i="527" s="1"/>
  <c r="BZ25" i="555"/>
  <c r="CB25" i="555" s="1"/>
  <c r="BZ86" i="555"/>
  <c r="BZ167" i="555"/>
  <c r="CB167" i="555" s="1"/>
  <c r="BZ187" i="555"/>
  <c r="CB187" i="555" s="1"/>
  <c r="AB135" i="570"/>
  <c r="BD135" i="570" s="1"/>
  <c r="H166" i="570"/>
  <c r="H167" i="570" s="1"/>
  <c r="BZ121" i="583"/>
  <c r="CB121" i="583" s="1"/>
  <c r="AC18" i="592"/>
  <c r="BZ49" i="603"/>
  <c r="CB49" i="603" s="1"/>
  <c r="CB178" i="603"/>
  <c r="CB183" i="603"/>
  <c r="AB437" i="592"/>
  <c r="CB182" i="626"/>
  <c r="CB160" i="626"/>
  <c r="CB79" i="626"/>
  <c r="N231" i="669"/>
  <c r="BY79" i="527"/>
  <c r="CA79" i="527" s="1"/>
  <c r="BY84" i="527"/>
  <c r="CA84" i="527" s="1"/>
  <c r="U165" i="527"/>
  <c r="Y253" i="517"/>
  <c r="AZ253" i="517" s="1"/>
  <c r="BB415" i="517"/>
  <c r="BZ39" i="555"/>
  <c r="CB39" i="555" s="1"/>
  <c r="Z341" i="541"/>
  <c r="BZ9" i="583"/>
  <c r="CB9" i="583" s="1"/>
  <c r="BZ28" i="583"/>
  <c r="CB28" i="583" s="1"/>
  <c r="BZ71" i="583"/>
  <c r="CB71" i="583" s="1"/>
  <c r="AZ84" i="583"/>
  <c r="CA84" i="583" s="1"/>
  <c r="BZ93" i="583"/>
  <c r="CB93" i="583" s="1"/>
  <c r="AZ110" i="583"/>
  <c r="CA110" i="583" s="1"/>
  <c r="H392" i="570"/>
  <c r="AZ392" i="570" s="1"/>
  <c r="H400" i="570"/>
  <c r="AZ391" i="570"/>
  <c r="AZ401" i="570" s="1"/>
  <c r="BZ46" i="603"/>
  <c r="CB46" i="603" s="1"/>
  <c r="BZ58" i="603"/>
  <c r="CB58" i="603" s="1"/>
  <c r="CB67" i="603"/>
  <c r="CB162" i="603"/>
  <c r="N452" i="592"/>
  <c r="CB175" i="626"/>
  <c r="CB105" i="626"/>
  <c r="H211" i="615"/>
  <c r="BZ8" i="626"/>
  <c r="CB8" i="626" s="1"/>
  <c r="X191" i="626"/>
  <c r="AZ21" i="626"/>
  <c r="CA21" i="626" s="1"/>
  <c r="CB21" i="626" s="1"/>
  <c r="BZ27" i="626"/>
  <c r="CB27" i="626" s="1"/>
  <c r="AR191" i="626"/>
  <c r="CB116" i="626"/>
  <c r="CB134" i="626"/>
  <c r="BZ139" i="626"/>
  <c r="CB139" i="626" s="1"/>
  <c r="BB261" i="615"/>
  <c r="N275" i="615"/>
  <c r="N227" i="500"/>
  <c r="AY68" i="527"/>
  <c r="BZ68" i="527" s="1"/>
  <c r="AY73" i="527"/>
  <c r="BZ73" i="527" s="1"/>
  <c r="CA73" i="527" s="1"/>
  <c r="BY122" i="527"/>
  <c r="CA122" i="527" s="1"/>
  <c r="BZ7" i="555"/>
  <c r="CB7" i="555" s="1"/>
  <c r="BZ96" i="555"/>
  <c r="CB96" i="555" s="1"/>
  <c r="BZ125" i="555"/>
  <c r="CB125" i="555" s="1"/>
  <c r="BZ170" i="555"/>
  <c r="CB170" i="555" s="1"/>
  <c r="BZ185" i="555"/>
  <c r="CB185" i="555" s="1"/>
  <c r="BD393" i="541"/>
  <c r="BZ13" i="583"/>
  <c r="CB13" i="583" s="1"/>
  <c r="BZ53" i="583"/>
  <c r="CB53" i="583" s="1"/>
  <c r="AZ89" i="583"/>
  <c r="CA89" i="583" s="1"/>
  <c r="AZ97" i="583"/>
  <c r="CA97" i="583" s="1"/>
  <c r="BZ140" i="583"/>
  <c r="AZ142" i="583"/>
  <c r="CA142" i="583" s="1"/>
  <c r="AZ148" i="583"/>
  <c r="CA148" i="583" s="1"/>
  <c r="BZ155" i="583"/>
  <c r="CB155" i="583" s="1"/>
  <c r="AJ310" i="570"/>
  <c r="AJ322" i="570" s="1"/>
  <c r="H321" i="570"/>
  <c r="BZ166" i="603"/>
  <c r="CB166" i="603" s="1"/>
  <c r="H356" i="592"/>
  <c r="AC157" i="615"/>
  <c r="CA129" i="637"/>
  <c r="CC129" i="637" s="1"/>
  <c r="N276" i="669"/>
  <c r="AJ251" i="500"/>
  <c r="AZ251" i="500" s="1"/>
  <c r="BY49" i="527"/>
  <c r="CA49" i="527" s="1"/>
  <c r="BY54" i="527"/>
  <c r="CA54" i="527" s="1"/>
  <c r="BZ24" i="555"/>
  <c r="CB24" i="555" s="1"/>
  <c r="BZ109" i="555"/>
  <c r="CB109" i="555" s="1"/>
  <c r="AM192" i="555"/>
  <c r="U192" i="555"/>
  <c r="BZ165" i="555"/>
  <c r="BZ8" i="583"/>
  <c r="CB8" i="583" s="1"/>
  <c r="BZ27" i="583"/>
  <c r="CB27" i="583" s="1"/>
  <c r="BZ67" i="583"/>
  <c r="CB67" i="583" s="1"/>
  <c r="BZ172" i="583"/>
  <c r="CB172" i="583" s="1"/>
  <c r="BZ189" i="583"/>
  <c r="AB322" i="570"/>
  <c r="BB322" i="570" s="1"/>
  <c r="BD18" i="592"/>
  <c r="CB147" i="603"/>
  <c r="BZ158" i="603"/>
  <c r="CB158" i="603" s="1"/>
  <c r="Y161" i="633"/>
  <c r="Y164" i="633" s="1"/>
  <c r="BB164" i="633" s="1"/>
  <c r="H163" i="633"/>
  <c r="H166" i="633" s="1"/>
  <c r="H167" i="633" s="1"/>
  <c r="S175" i="670"/>
  <c r="BY61" i="527"/>
  <c r="CA61" i="527" s="1"/>
  <c r="BY88" i="527"/>
  <c r="CA88" i="527" s="1"/>
  <c r="BY98" i="527"/>
  <c r="CA98" i="527" s="1"/>
  <c r="BZ31" i="555"/>
  <c r="CB31" i="555" s="1"/>
  <c r="BZ63" i="555"/>
  <c r="CB63" i="555" s="1"/>
  <c r="BZ120" i="555"/>
  <c r="CB120" i="555" s="1"/>
  <c r="BZ127" i="555"/>
  <c r="CB127" i="555" s="1"/>
  <c r="BZ160" i="555"/>
  <c r="CB160" i="555" s="1"/>
  <c r="BZ182" i="555"/>
  <c r="CB182" i="555" s="1"/>
  <c r="N39" i="570"/>
  <c r="BZ78" i="583"/>
  <c r="CB78" i="583" s="1"/>
  <c r="BZ137" i="583"/>
  <c r="CB137" i="583" s="1"/>
  <c r="AC123" i="592"/>
  <c r="X226" i="592"/>
  <c r="CB97" i="603"/>
  <c r="AD94" i="615"/>
  <c r="AD96" i="615" s="1"/>
  <c r="H95" i="615"/>
  <c r="CA127" i="637"/>
  <c r="CC127" i="637" s="1"/>
  <c r="AY39" i="527"/>
  <c r="BZ39" i="527" s="1"/>
  <c r="BY44" i="527"/>
  <c r="CA44" i="527" s="1"/>
  <c r="AC102" i="541"/>
  <c r="BD102" i="541" s="1"/>
  <c r="AZ100" i="555"/>
  <c r="CA100" i="555" s="1"/>
  <c r="CB100" i="555" s="1"/>
  <c r="BZ111" i="555"/>
  <c r="CB111" i="555" s="1"/>
  <c r="BZ113" i="555"/>
  <c r="CB113" i="555" s="1"/>
  <c r="AZ115" i="555"/>
  <c r="CA115" i="555" s="1"/>
  <c r="CB115" i="555" s="1"/>
  <c r="BZ172" i="555"/>
  <c r="CB172" i="555" s="1"/>
  <c r="CB5" i="583"/>
  <c r="BZ24" i="583"/>
  <c r="CB24" i="583" s="1"/>
  <c r="BZ64" i="583"/>
  <c r="CB64" i="583" s="1"/>
  <c r="BZ86" i="583"/>
  <c r="CB86" i="583" s="1"/>
  <c r="BZ89" i="583"/>
  <c r="H373" i="570"/>
  <c r="AK366" i="570"/>
  <c r="AK374" i="570" s="1"/>
  <c r="BD251" i="592"/>
  <c r="CB16" i="603"/>
  <c r="BZ39" i="603"/>
  <c r="CB39" i="603" s="1"/>
  <c r="BZ57" i="603"/>
  <c r="CB57" i="603" s="1"/>
  <c r="BZ60" i="603"/>
  <c r="CB60" i="603" s="1"/>
  <c r="BZ116" i="603"/>
  <c r="CB116" i="603" s="1"/>
  <c r="BZ132" i="603"/>
  <c r="CB132" i="603" s="1"/>
  <c r="BZ163" i="603"/>
  <c r="CB163" i="603" s="1"/>
  <c r="N323" i="592"/>
  <c r="BZ55" i="626"/>
  <c r="CB55" i="626" s="1"/>
  <c r="CF153" i="681"/>
  <c r="CH153" i="681" s="1"/>
  <c r="Y234" i="541"/>
  <c r="Y237" i="541" s="1"/>
  <c r="BB237" i="541" s="1"/>
  <c r="H235" i="541"/>
  <c r="H236" i="541" s="1"/>
  <c r="N316" i="541"/>
  <c r="AZ28" i="583"/>
  <c r="CA28" i="583" s="1"/>
  <c r="AZ40" i="583"/>
  <c r="CA40" i="583" s="1"/>
  <c r="AZ46" i="583"/>
  <c r="CA46" i="583" s="1"/>
  <c r="CB46" i="583" s="1"/>
  <c r="AT191" i="583"/>
  <c r="BZ160" i="583"/>
  <c r="CB160" i="583" s="1"/>
  <c r="BZ163" i="583"/>
  <c r="CB163" i="583" s="1"/>
  <c r="N241" i="570"/>
  <c r="AB291" i="570"/>
  <c r="Y374" i="570"/>
  <c r="AZ84" i="603"/>
  <c r="CA84" i="603" s="1"/>
  <c r="BZ87" i="603"/>
  <c r="CB87" i="603" s="1"/>
  <c r="AZ56" i="626"/>
  <c r="CA56" i="626" s="1"/>
  <c r="CB56" i="626" s="1"/>
  <c r="BZ144" i="626"/>
  <c r="BZ187" i="626"/>
  <c r="CB187" i="626" s="1"/>
  <c r="AB75" i="633"/>
  <c r="AC75" i="633"/>
  <c r="AC77" i="633" s="1"/>
  <c r="H76" i="633"/>
  <c r="CA75" i="637"/>
  <c r="CC75" i="637" s="1"/>
  <c r="N37" i="652"/>
  <c r="N464" i="652"/>
  <c r="AY90" i="527"/>
  <c r="BZ90" i="527" s="1"/>
  <c r="N91" i="541"/>
  <c r="BZ41" i="555"/>
  <c r="CB41" i="555" s="1"/>
  <c r="AZ16" i="583"/>
  <c r="CA16" i="583" s="1"/>
  <c r="BZ43" i="583"/>
  <c r="CB43" i="583" s="1"/>
  <c r="AT271" i="570"/>
  <c r="AT291" i="570" s="1"/>
  <c r="CB134" i="603"/>
  <c r="CB140" i="626"/>
  <c r="CB5" i="626"/>
  <c r="BZ95" i="626"/>
  <c r="CB95" i="626" s="1"/>
  <c r="BE341" i="652"/>
  <c r="AU150" i="397"/>
  <c r="CF408" i="397"/>
  <c r="CH408" i="397" s="1"/>
  <c r="CF151" i="681"/>
  <c r="CH151" i="681" s="1"/>
  <c r="H12" i="684"/>
  <c r="Z11" i="684"/>
  <c r="AZ15" i="555"/>
  <c r="CA15" i="555" s="1"/>
  <c r="BZ38" i="555"/>
  <c r="CB38" i="555" s="1"/>
  <c r="BZ53" i="555"/>
  <c r="BZ69" i="555"/>
  <c r="CB69" i="555" s="1"/>
  <c r="AZ116" i="555"/>
  <c r="CA116" i="555" s="1"/>
  <c r="AZ181" i="555"/>
  <c r="CA181" i="555" s="1"/>
  <c r="AZ119" i="583"/>
  <c r="CA119" i="583" s="1"/>
  <c r="CB119" i="583" s="1"/>
  <c r="Z191" i="583"/>
  <c r="N306" i="570"/>
  <c r="AB91" i="592"/>
  <c r="CB24" i="603"/>
  <c r="AZ77" i="603"/>
  <c r="CA77" i="603" s="1"/>
  <c r="CB77" i="603" s="1"/>
  <c r="BZ92" i="603"/>
  <c r="CB92" i="603" s="1"/>
  <c r="BZ133" i="603"/>
  <c r="CB133" i="603" s="1"/>
  <c r="BZ175" i="603"/>
  <c r="CB175" i="603" s="1"/>
  <c r="AZ188" i="603"/>
  <c r="CA188" i="603" s="1"/>
  <c r="AC502" i="592"/>
  <c r="BZ20" i="626"/>
  <c r="CB20" i="626" s="1"/>
  <c r="BZ42" i="626"/>
  <c r="CB42" i="626" s="1"/>
  <c r="BZ58" i="626"/>
  <c r="CB58" i="626" s="1"/>
  <c r="BZ64" i="626"/>
  <c r="CB64" i="626" s="1"/>
  <c r="BZ78" i="626"/>
  <c r="CB78" i="626" s="1"/>
  <c r="AB258" i="633"/>
  <c r="BB258" i="633" s="1"/>
  <c r="BZ116" i="555"/>
  <c r="N252" i="541"/>
  <c r="BB368" i="541"/>
  <c r="BZ45" i="583"/>
  <c r="CB45" i="583" s="1"/>
  <c r="U191" i="583"/>
  <c r="BZ159" i="583"/>
  <c r="CB159" i="583" s="1"/>
  <c r="Y163" i="592"/>
  <c r="H166" i="592"/>
  <c r="H167" i="592" s="1"/>
  <c r="N212" i="592"/>
  <c r="BZ69" i="603"/>
  <c r="CB69" i="603" s="1"/>
  <c r="BZ89" i="603"/>
  <c r="CB89" i="603" s="1"/>
  <c r="BZ180" i="603"/>
  <c r="CB180" i="603" s="1"/>
  <c r="N487" i="592"/>
  <c r="CB18" i="626"/>
  <c r="BZ39" i="626"/>
  <c r="CB39" i="626" s="1"/>
  <c r="H325" i="615"/>
  <c r="H328" i="615" s="1"/>
  <c r="AC210" i="633"/>
  <c r="N116" i="541"/>
  <c r="BZ26" i="555"/>
  <c r="CB26" i="555" s="1"/>
  <c r="BZ28" i="555"/>
  <c r="CB28" i="555" s="1"/>
  <c r="BZ45" i="555"/>
  <c r="CB45" i="555" s="1"/>
  <c r="BZ133" i="555"/>
  <c r="CB133" i="555" s="1"/>
  <c r="BZ137" i="555"/>
  <c r="CB137" i="555" s="1"/>
  <c r="BZ139" i="555"/>
  <c r="CB139" i="555" s="1"/>
  <c r="N149" i="570"/>
  <c r="BZ73" i="583"/>
  <c r="CB73" i="583" s="1"/>
  <c r="AZ92" i="583"/>
  <c r="CA92" i="583" s="1"/>
  <c r="CB92" i="583" s="1"/>
  <c r="AZ102" i="583"/>
  <c r="CA102" i="583" s="1"/>
  <c r="CB102" i="583" s="1"/>
  <c r="AZ112" i="583"/>
  <c r="CA112" i="583" s="1"/>
  <c r="AC308" i="592"/>
  <c r="BZ26" i="603"/>
  <c r="CB26" i="603" s="1"/>
  <c r="BZ119" i="603"/>
  <c r="CB119" i="603" s="1"/>
  <c r="BZ127" i="603"/>
  <c r="CB127" i="603" s="1"/>
  <c r="AZ132" i="603"/>
  <c r="CA132" i="603" s="1"/>
  <c r="BZ150" i="603"/>
  <c r="CB150" i="603" s="1"/>
  <c r="BZ161" i="603"/>
  <c r="CB161" i="603" s="1"/>
  <c r="BZ169" i="603"/>
  <c r="CB169" i="603" s="1"/>
  <c r="AZ185" i="603"/>
  <c r="CA185" i="603" s="1"/>
  <c r="AZ44" i="626"/>
  <c r="CA44" i="626" s="1"/>
  <c r="CB44" i="626" s="1"/>
  <c r="N9" i="652"/>
  <c r="AB341" i="652"/>
  <c r="AZ52" i="583"/>
  <c r="CA52" i="583" s="1"/>
  <c r="H111" i="592"/>
  <c r="AP111" i="592" s="1"/>
  <c r="AP123" i="592" s="1"/>
  <c r="BB123" i="592" s="1"/>
  <c r="BZ36" i="603"/>
  <c r="CB36" i="603" s="1"/>
  <c r="BZ41" i="603"/>
  <c r="CB41" i="603" s="1"/>
  <c r="BZ96" i="603"/>
  <c r="CB96" i="603" s="1"/>
  <c r="BZ129" i="603"/>
  <c r="CB129" i="603" s="1"/>
  <c r="BB357" i="592"/>
  <c r="H117" i="615"/>
  <c r="AB239" i="615"/>
  <c r="BB239" i="615" s="1"/>
  <c r="BZ61" i="626"/>
  <c r="CB61" i="626" s="1"/>
  <c r="AZ100" i="626"/>
  <c r="CA100" i="626" s="1"/>
  <c r="CB100" i="626" s="1"/>
  <c r="BZ128" i="626"/>
  <c r="CB128" i="626" s="1"/>
  <c r="CA124" i="637"/>
  <c r="CC124" i="637" s="1"/>
  <c r="N174" i="669"/>
  <c r="CF5" i="681"/>
  <c r="CH5" i="681" s="1"/>
  <c r="CF116" i="681"/>
  <c r="CH116" i="681" s="1"/>
  <c r="CF150" i="681"/>
  <c r="CH150" i="681" s="1"/>
  <c r="CF137" i="397"/>
  <c r="CH137" i="397" s="1"/>
  <c r="BZ19" i="583"/>
  <c r="CB19" i="583" s="1"/>
  <c r="BZ142" i="583"/>
  <c r="CB142" i="583" s="1"/>
  <c r="H314" i="570"/>
  <c r="AY314" i="570" s="1"/>
  <c r="BD348" i="570"/>
  <c r="N78" i="592"/>
  <c r="BZ78" i="603"/>
  <c r="CB187" i="603"/>
  <c r="Y75" i="615"/>
  <c r="BB75" i="615" s="1"/>
  <c r="BB96" i="615"/>
  <c r="CB154" i="626"/>
  <c r="BB212" i="615"/>
  <c r="Y286" i="615"/>
  <c r="BB286" i="615" s="1"/>
  <c r="CA85" i="637"/>
  <c r="CC85" i="637" s="1"/>
  <c r="AC20" i="669"/>
  <c r="CF128" i="397"/>
  <c r="N312" i="669"/>
  <c r="BZ60" i="583"/>
  <c r="CB60" i="583" s="1"/>
  <c r="BZ85" i="583"/>
  <c r="CB85" i="583" s="1"/>
  <c r="H203" i="570"/>
  <c r="H204" i="570" s="1"/>
  <c r="H306" i="592"/>
  <c r="H307" i="592" s="1"/>
  <c r="H310" i="592" s="1"/>
  <c r="BZ10" i="603"/>
  <c r="CB10" i="603" s="1"/>
  <c r="AZ15" i="603"/>
  <c r="CA15" i="603" s="1"/>
  <c r="BZ21" i="603"/>
  <c r="CB21" i="603" s="1"/>
  <c r="S192" i="603"/>
  <c r="BZ35" i="603"/>
  <c r="CB35" i="603" s="1"/>
  <c r="BZ128" i="603"/>
  <c r="CB128" i="603" s="1"/>
  <c r="AZ133" i="603"/>
  <c r="CA133" i="603" s="1"/>
  <c r="AC437" i="592"/>
  <c r="BB437" i="592"/>
  <c r="BZ25" i="626"/>
  <c r="CB25" i="626" s="1"/>
  <c r="BZ183" i="626"/>
  <c r="CB183" i="626" s="1"/>
  <c r="AZ188" i="626"/>
  <c r="CA188" i="626" s="1"/>
  <c r="CB188" i="626" s="1"/>
  <c r="BB379" i="615"/>
  <c r="BB17" i="633"/>
  <c r="CB125" i="670"/>
  <c r="CD125" i="670" s="1"/>
  <c r="BZ54" i="583"/>
  <c r="CB54" i="583" s="1"/>
  <c r="BZ111" i="583"/>
  <c r="CB111" i="583" s="1"/>
  <c r="N138" i="592"/>
  <c r="Y197" i="592"/>
  <c r="AB305" i="592"/>
  <c r="AB308" i="592" s="1"/>
  <c r="BZ7" i="603"/>
  <c r="CB7" i="603" s="1"/>
  <c r="BZ18" i="603"/>
  <c r="CB18" i="603" s="1"/>
  <c r="BZ32" i="603"/>
  <c r="CB32" i="603" s="1"/>
  <c r="BZ189" i="603"/>
  <c r="CB189" i="603" s="1"/>
  <c r="CB141" i="626"/>
  <c r="CB91" i="626"/>
  <c r="BZ63" i="626"/>
  <c r="CB63" i="626" s="1"/>
  <c r="BZ69" i="626"/>
  <c r="CB69" i="626" s="1"/>
  <c r="CB130" i="626"/>
  <c r="BZ180" i="626"/>
  <c r="CB180" i="626" s="1"/>
  <c r="CA82" i="637"/>
  <c r="CC82" i="637" s="1"/>
  <c r="CF157" i="681"/>
  <c r="CH157" i="681" s="1"/>
  <c r="AZ15" i="583"/>
  <c r="CA15" i="583" s="1"/>
  <c r="BZ82" i="583"/>
  <c r="CB82" i="583" s="1"/>
  <c r="BZ148" i="583"/>
  <c r="CB148" i="583" s="1"/>
  <c r="AC401" i="570"/>
  <c r="BB401" i="570" s="1"/>
  <c r="Y63" i="592"/>
  <c r="BB63" i="592" s="1"/>
  <c r="H122" i="592"/>
  <c r="H196" i="592"/>
  <c r="H199" i="592" s="1"/>
  <c r="H200" i="592" s="1"/>
  <c r="AZ23" i="603"/>
  <c r="CA23" i="603" s="1"/>
  <c r="BZ103" i="603"/>
  <c r="CB103" i="603" s="1"/>
  <c r="AZ156" i="603"/>
  <c r="CA156" i="603" s="1"/>
  <c r="CB38" i="626"/>
  <c r="BZ57" i="626"/>
  <c r="CB57" i="626" s="1"/>
  <c r="CB112" i="626"/>
  <c r="CB114" i="626"/>
  <c r="CB119" i="626"/>
  <c r="BZ164" i="626"/>
  <c r="CB164" i="626" s="1"/>
  <c r="Z414" i="615"/>
  <c r="N214" i="652"/>
  <c r="T83" i="669"/>
  <c r="H84" i="669"/>
  <c r="AH199" i="681"/>
  <c r="CF5" i="397"/>
  <c r="BZ68" i="603"/>
  <c r="AZ73" i="603"/>
  <c r="CA73" i="603" s="1"/>
  <c r="CB73" i="603" s="1"/>
  <c r="BZ85" i="603"/>
  <c r="CB85" i="603" s="1"/>
  <c r="BZ124" i="603"/>
  <c r="CB124" i="603" s="1"/>
  <c r="BZ153" i="603"/>
  <c r="CB153" i="603" s="1"/>
  <c r="BZ173" i="603"/>
  <c r="CB173" i="603" s="1"/>
  <c r="BB472" i="592"/>
  <c r="BB20" i="615"/>
  <c r="BZ98" i="626"/>
  <c r="CB98" i="626" s="1"/>
  <c r="BZ106" i="626"/>
  <c r="CB106" i="626" s="1"/>
  <c r="AZ144" i="626"/>
  <c r="CA144" i="626" s="1"/>
  <c r="BZ169" i="626"/>
  <c r="CB169" i="626" s="1"/>
  <c r="BB53" i="633"/>
  <c r="AB77" i="633"/>
  <c r="CB5" i="670"/>
  <c r="CD5" i="670" s="1"/>
  <c r="CF164" i="681"/>
  <c r="CH164" i="681" s="1"/>
  <c r="AB490" i="669"/>
  <c r="BS302" i="397"/>
  <c r="BT302" i="397" s="1"/>
  <c r="CC302" i="397"/>
  <c r="BS345" i="397"/>
  <c r="BT345" i="397" s="1"/>
  <c r="CC345" i="397"/>
  <c r="BZ30" i="603"/>
  <c r="CB30" i="603" s="1"/>
  <c r="BZ59" i="603"/>
  <c r="CB59" i="603" s="1"/>
  <c r="BZ101" i="603"/>
  <c r="CB101" i="603" s="1"/>
  <c r="BZ170" i="603"/>
  <c r="CB170" i="603" s="1"/>
  <c r="BB118" i="615"/>
  <c r="BZ76" i="626"/>
  <c r="CB76" i="626" s="1"/>
  <c r="BZ111" i="626"/>
  <c r="CB111" i="626" s="1"/>
  <c r="BZ118" i="626"/>
  <c r="CB118" i="626" s="1"/>
  <c r="BZ123" i="626"/>
  <c r="CB123" i="626" s="1"/>
  <c r="BZ166" i="626"/>
  <c r="CB166" i="626" s="1"/>
  <c r="CB113" i="670"/>
  <c r="CD113" i="670" s="1"/>
  <c r="BZ170" i="583"/>
  <c r="CB170" i="583" s="1"/>
  <c r="H225" i="592"/>
  <c r="AZ9" i="603"/>
  <c r="CA9" i="603" s="1"/>
  <c r="BZ43" i="603"/>
  <c r="AZ174" i="603"/>
  <c r="CA174" i="603" s="1"/>
  <c r="N227" i="615"/>
  <c r="AO191" i="626"/>
  <c r="AZ22" i="626"/>
  <c r="CA22" i="626" s="1"/>
  <c r="CB22" i="626" s="1"/>
  <c r="BZ28" i="626"/>
  <c r="CB28" i="626" s="1"/>
  <c r="AZ33" i="626"/>
  <c r="CA33" i="626" s="1"/>
  <c r="CB33" i="626" s="1"/>
  <c r="BZ36" i="626"/>
  <c r="CB36" i="626" s="1"/>
  <c r="CB138" i="626"/>
  <c r="CF114" i="681"/>
  <c r="CH114" i="681" s="1"/>
  <c r="BZ75" i="603"/>
  <c r="CB75" i="603" s="1"/>
  <c r="BZ138" i="603"/>
  <c r="CB138" i="603" s="1"/>
  <c r="CB144" i="603"/>
  <c r="BB157" i="615"/>
  <c r="Z212" i="615"/>
  <c r="BB183" i="615"/>
  <c r="BZ41" i="626"/>
  <c r="CB41" i="626" s="1"/>
  <c r="CB52" i="626"/>
  <c r="CB86" i="626"/>
  <c r="BZ110" i="626"/>
  <c r="BZ117" i="626"/>
  <c r="CB117" i="626" s="1"/>
  <c r="BZ127" i="626"/>
  <c r="CB127" i="626" s="1"/>
  <c r="CA125" i="637"/>
  <c r="CC125" i="637" s="1"/>
  <c r="N130" i="652"/>
  <c r="N181" i="652"/>
  <c r="CF12" i="681"/>
  <c r="CH12" i="681" s="1"/>
  <c r="AZ44" i="583"/>
  <c r="CA44" i="583" s="1"/>
  <c r="AZ122" i="583"/>
  <c r="CA122" i="583" s="1"/>
  <c r="CB122" i="583" s="1"/>
  <c r="AC291" i="570"/>
  <c r="AC449" i="570"/>
  <c r="BB449" i="570" s="1"/>
  <c r="AY197" i="592"/>
  <c r="BZ95" i="603"/>
  <c r="CB95" i="603" s="1"/>
  <c r="BZ131" i="603"/>
  <c r="CB131" i="603" s="1"/>
  <c r="BZ11" i="626"/>
  <c r="CB11" i="626" s="1"/>
  <c r="BZ49" i="626"/>
  <c r="CB49" i="626" s="1"/>
  <c r="AU191" i="626"/>
  <c r="CB171" i="626"/>
  <c r="CA81" i="637"/>
  <c r="CC81" i="637" s="1"/>
  <c r="N424" i="652"/>
  <c r="CF409" i="397"/>
  <c r="CH409" i="397" s="1"/>
  <c r="N9" i="669"/>
  <c r="CF129" i="681"/>
  <c r="CH129" i="681" s="1"/>
  <c r="BZ19" i="603"/>
  <c r="BZ80" i="603"/>
  <c r="CB80" i="603" s="1"/>
  <c r="AZ130" i="603"/>
  <c r="CA130" i="603" s="1"/>
  <c r="CB130" i="603" s="1"/>
  <c r="AZ157" i="603"/>
  <c r="CA157" i="603" s="1"/>
  <c r="BB135" i="633"/>
  <c r="CF33" i="397"/>
  <c r="CH33" i="397" s="1"/>
  <c r="CF4" i="397"/>
  <c r="N450" i="669"/>
  <c r="BU292" i="397"/>
  <c r="BV292" i="397" s="1"/>
  <c r="BW292" i="397" s="1"/>
  <c r="CD292" i="397"/>
  <c r="CF144" i="397"/>
  <c r="CH144" i="397" s="1"/>
  <c r="BD227" i="570"/>
  <c r="AU283" i="570"/>
  <c r="AU291" i="570" s="1"/>
  <c r="AZ68" i="603"/>
  <c r="CA68" i="603" s="1"/>
  <c r="AZ99" i="603"/>
  <c r="CA99" i="603" s="1"/>
  <c r="BZ182" i="603"/>
  <c r="CB182" i="603" s="1"/>
  <c r="BZ185" i="603"/>
  <c r="BZ188" i="603"/>
  <c r="BZ90" i="626"/>
  <c r="BZ137" i="626"/>
  <c r="CB137" i="626" s="1"/>
  <c r="BZ167" i="626"/>
  <c r="BZ189" i="626"/>
  <c r="CB189" i="626" s="1"/>
  <c r="N303" i="652"/>
  <c r="BZ33" i="603"/>
  <c r="CB33" i="603" s="1"/>
  <c r="BZ56" i="603"/>
  <c r="BZ99" i="603"/>
  <c r="N351" i="592"/>
  <c r="BZ82" i="626"/>
  <c r="CB82" i="626" s="1"/>
  <c r="U191" i="626"/>
  <c r="AC414" i="615"/>
  <c r="AR163" i="637"/>
  <c r="AD150" i="397"/>
  <c r="AB199" i="681"/>
  <c r="AY308" i="592"/>
  <c r="BZ44" i="603"/>
  <c r="CB44" i="603" s="1"/>
  <c r="BZ65" i="603"/>
  <c r="CB65" i="603" s="1"/>
  <c r="AZ76" i="603"/>
  <c r="CA76" i="603" s="1"/>
  <c r="CB76" i="603" s="1"/>
  <c r="AZ104" i="603"/>
  <c r="CA104" i="603" s="1"/>
  <c r="BZ157" i="603"/>
  <c r="BZ179" i="603"/>
  <c r="CB179" i="603" s="1"/>
  <c r="AZ190" i="603"/>
  <c r="CA190" i="603" s="1"/>
  <c r="Y472" i="592"/>
  <c r="AZ87" i="626"/>
  <c r="CA87" i="626" s="1"/>
  <c r="CB87" i="626" s="1"/>
  <c r="BZ109" i="626"/>
  <c r="CB109" i="626" s="1"/>
  <c r="BZ121" i="626"/>
  <c r="CB121" i="626" s="1"/>
  <c r="BZ129" i="626"/>
  <c r="CB129" i="626" s="1"/>
  <c r="N367" i="615"/>
  <c r="CA89" i="637"/>
  <c r="CC89" i="637" s="1"/>
  <c r="CA118" i="637"/>
  <c r="CC118" i="637" s="1"/>
  <c r="AC167" i="652"/>
  <c r="AC199" i="652"/>
  <c r="BE199" i="652" s="1"/>
  <c r="CB121" i="670"/>
  <c r="CD121" i="670" s="1"/>
  <c r="AX199" i="681"/>
  <c r="BZ12" i="603"/>
  <c r="CB12" i="603" s="1"/>
  <c r="AZ43" i="603"/>
  <c r="CA43" i="603" s="1"/>
  <c r="AZ106" i="603"/>
  <c r="CA106" i="603" s="1"/>
  <c r="CB106" i="603" s="1"/>
  <c r="BZ16" i="626"/>
  <c r="CB16" i="626" s="1"/>
  <c r="BZ19" i="626"/>
  <c r="CB19" i="626" s="1"/>
  <c r="AZ130" i="626"/>
  <c r="CA130" i="626" s="1"/>
  <c r="N340" i="633"/>
  <c r="CB127" i="670"/>
  <c r="CD127" i="670" s="1"/>
  <c r="CF96" i="397"/>
  <c r="V128" i="397"/>
  <c r="V150" i="397" s="1"/>
  <c r="U128" i="397"/>
  <c r="U150" i="397" s="1"/>
  <c r="H20" i="683"/>
  <c r="AZ20" i="683" s="1"/>
  <c r="AZ18" i="683"/>
  <c r="X353" i="397"/>
  <c r="BS352" i="397"/>
  <c r="BT352" i="397" s="1"/>
  <c r="CC352" i="397"/>
  <c r="AZ72" i="603"/>
  <c r="CA72" i="603" s="1"/>
  <c r="CB72" i="603" s="1"/>
  <c r="BZ115" i="603"/>
  <c r="BB398" i="592"/>
  <c r="CB157" i="626"/>
  <c r="BZ32" i="626"/>
  <c r="CB32" i="626" s="1"/>
  <c r="BZ51" i="626"/>
  <c r="CB51" i="626" s="1"/>
  <c r="BZ62" i="626"/>
  <c r="CB62" i="626" s="1"/>
  <c r="BZ71" i="626"/>
  <c r="AZ129" i="626"/>
  <c r="CA129" i="626" s="1"/>
  <c r="BZ156" i="626"/>
  <c r="CB156" i="626" s="1"/>
  <c r="BZ159" i="626"/>
  <c r="CB159" i="626" s="1"/>
  <c r="BZ162" i="626"/>
  <c r="CB162" i="626" s="1"/>
  <c r="AZ167" i="626"/>
  <c r="CA167" i="626" s="1"/>
  <c r="BZ181" i="626"/>
  <c r="CB181" i="626" s="1"/>
  <c r="CA120" i="637"/>
  <c r="CC120" i="637" s="1"/>
  <c r="CF23" i="397"/>
  <c r="CF130" i="681"/>
  <c r="CH130" i="681" s="1"/>
  <c r="BZ29" i="626"/>
  <c r="CB29" i="626" s="1"/>
  <c r="AZ45" i="626"/>
  <c r="CA45" i="626" s="1"/>
  <c r="BZ93" i="626"/>
  <c r="CB93" i="626" s="1"/>
  <c r="N32" i="633"/>
  <c r="N331" i="652"/>
  <c r="CF9" i="397"/>
  <c r="CH9" i="397" s="1"/>
  <c r="BZ12" i="626"/>
  <c r="CB12" i="626" s="1"/>
  <c r="AZ20" i="626"/>
  <c r="CA20" i="626" s="1"/>
  <c r="BZ45" i="626"/>
  <c r="CB45" i="626" s="1"/>
  <c r="BZ48" i="626"/>
  <c r="BZ85" i="626"/>
  <c r="CB85" i="626" s="1"/>
  <c r="AZ164" i="626"/>
  <c r="CA164" i="626" s="1"/>
  <c r="BZ170" i="626"/>
  <c r="CB170" i="626" s="1"/>
  <c r="CA96" i="637"/>
  <c r="CC96" i="637" s="1"/>
  <c r="Z175" i="670"/>
  <c r="BS293" i="397"/>
  <c r="BT293" i="397" s="1"/>
  <c r="CC293" i="397"/>
  <c r="AZ56" i="603"/>
  <c r="CA56" i="603" s="1"/>
  <c r="AC336" i="592"/>
  <c r="Y20" i="615"/>
  <c r="BZ10" i="626"/>
  <c r="CB10" i="626" s="1"/>
  <c r="BZ97" i="626"/>
  <c r="CB97" i="626" s="1"/>
  <c r="AA191" i="626"/>
  <c r="AZ110" i="626"/>
  <c r="CA110" i="626" s="1"/>
  <c r="AZ122" i="626"/>
  <c r="CA122" i="626" s="1"/>
  <c r="CB122" i="626" s="1"/>
  <c r="BZ174" i="626"/>
  <c r="CB174" i="626" s="1"/>
  <c r="Z163" i="637"/>
  <c r="N301" i="633"/>
  <c r="Y288" i="652"/>
  <c r="BE288" i="652" s="1"/>
  <c r="CB6" i="670"/>
  <c r="CD6" i="670" s="1"/>
  <c r="AC93" i="669"/>
  <c r="CF120" i="397"/>
  <c r="CF122" i="681"/>
  <c r="CH122" i="681" s="1"/>
  <c r="AR192" i="603"/>
  <c r="BZ40" i="626"/>
  <c r="CB40" i="626" s="1"/>
  <c r="AZ48" i="626"/>
  <c r="CA48" i="626" s="1"/>
  <c r="CA93" i="637"/>
  <c r="CC93" i="637" s="1"/>
  <c r="AT163" i="637"/>
  <c r="AB115" i="652"/>
  <c r="BE115" i="652" s="1"/>
  <c r="AB20" i="669"/>
  <c r="N108" i="669"/>
  <c r="AZ14" i="626"/>
  <c r="CA14" i="626" s="1"/>
  <c r="CB14" i="626" s="1"/>
  <c r="BZ23" i="626"/>
  <c r="CB23" i="626" s="1"/>
  <c r="BZ34" i="626"/>
  <c r="CB34" i="626" s="1"/>
  <c r="Z191" i="626"/>
  <c r="Y414" i="615"/>
  <c r="BB414" i="615" s="1"/>
  <c r="BE116" i="669"/>
  <c r="AZ143" i="626"/>
  <c r="CA143" i="626" s="1"/>
  <c r="CB143" i="626" s="1"/>
  <c r="N9" i="633"/>
  <c r="N369" i="669"/>
  <c r="BZ17" i="626"/>
  <c r="CB17" i="626" s="1"/>
  <c r="AZ36" i="626"/>
  <c r="CA36" i="626" s="1"/>
  <c r="BZ53" i="626"/>
  <c r="CB53" i="626" s="1"/>
  <c r="AZ90" i="626"/>
  <c r="CA90" i="626" s="1"/>
  <c r="AZ112" i="626"/>
  <c r="CA112" i="626" s="1"/>
  <c r="AZ119" i="626"/>
  <c r="CA119" i="626" s="1"/>
  <c r="AB210" i="633"/>
  <c r="BB210" i="633" s="1"/>
  <c r="N410" i="633"/>
  <c r="AB288" i="652"/>
  <c r="CF16" i="397"/>
  <c r="CH16" i="397" s="1"/>
  <c r="AZ63" i="626"/>
  <c r="CA63" i="626" s="1"/>
  <c r="AZ126" i="626"/>
  <c r="CA126" i="626" s="1"/>
  <c r="CB126" i="626" s="1"/>
  <c r="BZ132" i="626"/>
  <c r="CB132" i="626" s="1"/>
  <c r="CB120" i="670"/>
  <c r="CD120" i="670" s="1"/>
  <c r="AB297" i="669"/>
  <c r="BE297" i="669" s="1"/>
  <c r="N92" i="633"/>
  <c r="AC164" i="633"/>
  <c r="AA175" i="670"/>
  <c r="AO199" i="681"/>
  <c r="CF86" i="397"/>
  <c r="CF20" i="397"/>
  <c r="CH20" i="397" s="1"/>
  <c r="Z435" i="669"/>
  <c r="CF112" i="397"/>
  <c r="CH112" i="397" s="1"/>
  <c r="AB552" i="669"/>
  <c r="S150" i="397"/>
  <c r="CH74" i="397"/>
  <c r="CH83" i="397"/>
  <c r="CH56" i="397"/>
  <c r="CH108" i="397"/>
  <c r="CH101" i="397"/>
  <c r="CH53" i="397"/>
  <c r="CH90" i="397"/>
  <c r="CF59" i="397"/>
  <c r="CH59" i="397" s="1"/>
  <c r="CH23" i="397"/>
  <c r="CH96" i="397"/>
  <c r="CH4" i="397"/>
  <c r="CH86" i="397"/>
  <c r="CF41" i="397"/>
  <c r="CH41" i="397" s="1"/>
  <c r="CH22" i="397"/>
  <c r="CH92" i="397"/>
  <c r="CF115" i="397"/>
  <c r="CH115" i="397" s="1"/>
  <c r="CF15" i="397"/>
  <c r="CH15" i="397" s="1"/>
  <c r="CF12" i="397"/>
  <c r="CH12" i="397" s="1"/>
  <c r="CH120" i="397"/>
  <c r="CH32" i="397"/>
  <c r="CF27" i="397"/>
  <c r="CH27" i="397" s="1"/>
  <c r="CH131" i="397"/>
  <c r="CF8" i="397"/>
  <c r="CH8" i="397" s="1"/>
  <c r="CH128" i="397"/>
  <c r="CF43" i="397"/>
  <c r="CH43" i="397" s="1"/>
  <c r="CF54" i="397"/>
  <c r="CH54" i="397" s="1"/>
  <c r="CH44" i="397"/>
  <c r="CH135" i="397"/>
  <c r="CH82" i="397"/>
  <c r="CH93" i="397"/>
  <c r="CF30" i="397"/>
  <c r="CH30" i="397" s="1"/>
  <c r="CH26" i="397"/>
  <c r="CH88" i="397"/>
  <c r="CH17" i="397"/>
  <c r="CH114" i="397"/>
  <c r="CF139" i="397"/>
  <c r="CH139" i="397" s="1"/>
  <c r="CF138" i="397"/>
  <c r="CH138" i="397" s="1"/>
  <c r="CH5" i="397"/>
  <c r="CH105" i="397"/>
  <c r="CH104" i="397"/>
  <c r="CH122" i="397"/>
  <c r="CF21" i="397"/>
  <c r="CH21" i="397" s="1"/>
  <c r="CH130" i="397"/>
  <c r="H22" i="682"/>
  <c r="H25" i="682" s="1"/>
  <c r="Y15" i="682"/>
  <c r="CF143" i="397"/>
  <c r="CD294" i="397"/>
  <c r="CE291" i="397"/>
  <c r="CC330" i="397"/>
  <c r="CD306" i="397"/>
  <c r="CC336" i="397"/>
  <c r="CD321" i="397"/>
  <c r="CD336" i="397"/>
  <c r="BE344" i="397"/>
  <c r="CC306" i="397"/>
  <c r="CC322" i="397"/>
  <c r="CC344" i="397"/>
  <c r="BE342" i="397"/>
  <c r="CD322" i="397"/>
  <c r="CD312" i="397"/>
  <c r="CD330" i="397"/>
  <c r="CD342" i="397"/>
  <c r="CC291" i="397"/>
  <c r="CD245" i="397"/>
  <c r="BV245" i="397"/>
  <c r="BW245" i="397" s="1"/>
  <c r="Y241" i="397"/>
  <c r="CC309" i="397"/>
  <c r="X241" i="397"/>
  <c r="X242" i="397" s="1"/>
  <c r="CC240" i="397"/>
  <c r="BF143" i="397"/>
  <c r="CG143" i="397" s="1"/>
  <c r="CH143" i="397"/>
  <c r="BF144" i="397"/>
  <c r="CG144" i="397" s="1"/>
  <c r="BF145" i="397"/>
  <c r="CG145" i="397" s="1"/>
  <c r="CH145" i="397"/>
  <c r="CC239" i="397"/>
  <c r="AD354" i="397"/>
  <c r="Z242" i="397"/>
  <c r="W354" i="397"/>
  <c r="W366" i="397" s="1"/>
  <c r="H550" i="669"/>
  <c r="H551" i="669" s="1"/>
  <c r="Z547" i="669"/>
  <c r="Z552" i="669" s="1"/>
  <c r="Y547" i="669"/>
  <c r="Y552" i="669" s="1"/>
  <c r="BE552" i="669"/>
  <c r="CC230" i="397"/>
  <c r="CC234" i="397"/>
  <c r="CC233" i="397"/>
  <c r="CC238" i="397"/>
  <c r="BT238" i="397"/>
  <c r="CC235" i="397"/>
  <c r="BZ172" i="397"/>
  <c r="CC172" i="397"/>
  <c r="BD405" i="397"/>
  <c r="BF405" i="397" s="1"/>
  <c r="CG405" i="397" s="1"/>
  <c r="BD232" i="397"/>
  <c r="BD229" i="397"/>
  <c r="CC225" i="397"/>
  <c r="CC222" i="397"/>
  <c r="CC229" i="397"/>
  <c r="CC232" i="397"/>
  <c r="CC226" i="397"/>
  <c r="CC224" i="397"/>
  <c r="H514" i="669"/>
  <c r="H517" i="669" s="1"/>
  <c r="H518" i="669" s="1"/>
  <c r="AB512" i="669"/>
  <c r="AU276" i="202"/>
  <c r="CD158" i="397"/>
  <c r="N477" i="669"/>
  <c r="H480" i="669"/>
  <c r="AJ479" i="669"/>
  <c r="H484" i="669"/>
  <c r="X484" i="669" s="1"/>
  <c r="X483" i="669"/>
  <c r="X490" i="669" s="1"/>
  <c r="AB250" i="202"/>
  <c r="T255" i="202"/>
  <c r="BG255" i="202" s="1"/>
  <c r="Y242" i="397"/>
  <c r="BT175" i="397"/>
  <c r="CA180" i="397"/>
  <c r="CB180" i="397"/>
  <c r="CC215" i="397"/>
  <c r="CC220" i="397"/>
  <c r="CC221" i="397"/>
  <c r="CC213" i="397"/>
  <c r="CC227" i="397"/>
  <c r="CC231" i="397"/>
  <c r="CC228" i="397"/>
  <c r="CC219" i="397"/>
  <c r="CC223" i="397"/>
  <c r="CC247" i="397"/>
  <c r="AA242" i="397"/>
  <c r="CD84" i="397"/>
  <c r="AJ21" i="685"/>
  <c r="AF257" i="202" s="1"/>
  <c r="BD21" i="685"/>
  <c r="BZ171" i="397"/>
  <c r="CC171" i="397"/>
  <c r="CC210" i="397"/>
  <c r="CC209" i="397"/>
  <c r="CC217" i="397"/>
  <c r="CD61" i="397"/>
  <c r="H462" i="669"/>
  <c r="H465" i="669" s="1"/>
  <c r="X461" i="669"/>
  <c r="X463" i="669" s="1"/>
  <c r="BE463" i="669"/>
  <c r="V249" i="202"/>
  <c r="U250" i="202" s="1"/>
  <c r="Y249" i="202"/>
  <c r="H433" i="669"/>
  <c r="H434" i="669" s="1"/>
  <c r="AB430" i="669"/>
  <c r="AB435" i="669" s="1"/>
  <c r="BE435" i="669" s="1"/>
  <c r="AR363" i="479" l="1"/>
  <c r="AZ363" i="479" s="1"/>
  <c r="CH157" i="397"/>
  <c r="AR286" i="633"/>
  <c r="BB286" i="633" s="1"/>
  <c r="H285" i="633"/>
  <c r="BB77" i="633"/>
  <c r="H16" i="479"/>
  <c r="AP16" i="479" s="1"/>
  <c r="AP12" i="479"/>
  <c r="AP24" i="479" s="1"/>
  <c r="AZ24" i="479" s="1"/>
  <c r="H23" i="479"/>
  <c r="AU12" i="500"/>
  <c r="AU22" i="500" s="1"/>
  <c r="AZ22" i="500" s="1"/>
  <c r="H21" i="500"/>
  <c r="BG290" i="397"/>
  <c r="BF157" i="397"/>
  <c r="CG157" i="397" s="1"/>
  <c r="BU331" i="397"/>
  <c r="BV331" i="397" s="1"/>
  <c r="BW331" i="397" s="1"/>
  <c r="CD331" i="397"/>
  <c r="H257" i="541"/>
  <c r="AX255" i="541"/>
  <c r="CA68" i="527"/>
  <c r="BZ25" i="471"/>
  <c r="BU326" i="397"/>
  <c r="BV326" i="397" s="1"/>
  <c r="BW326" i="397" s="1"/>
  <c r="CD326" i="397"/>
  <c r="BA277" i="570"/>
  <c r="H279" i="570"/>
  <c r="BA279" i="570" s="1"/>
  <c r="BZ35" i="487"/>
  <c r="CE292" i="397"/>
  <c r="BE292" i="397"/>
  <c r="CB78" i="603"/>
  <c r="CA122" i="511"/>
  <c r="AC137" i="652"/>
  <c r="H135" i="652"/>
  <c r="CB181" i="555"/>
  <c r="BU299" i="397"/>
  <c r="BV299" i="397" s="1"/>
  <c r="BW299" i="397" s="1"/>
  <c r="CD299" i="397"/>
  <c r="BZ19" i="471"/>
  <c r="BU347" i="397"/>
  <c r="BV347" i="397" s="1"/>
  <c r="BW347" i="397" s="1"/>
  <c r="CD347" i="397"/>
  <c r="BZ99" i="487"/>
  <c r="CA170" i="511"/>
  <c r="N209" i="541"/>
  <c r="CH66" i="397"/>
  <c r="H186" i="669"/>
  <c r="AV184" i="669"/>
  <c r="AK182" i="445"/>
  <c r="AZ182" i="445" s="1"/>
  <c r="BU350" i="397"/>
  <c r="BV350" i="397" s="1"/>
  <c r="BW350" i="397" s="1"/>
  <c r="CD350" i="397"/>
  <c r="BU298" i="397"/>
  <c r="BV298" i="397" s="1"/>
  <c r="BW298" i="397" s="1"/>
  <c r="CD298" i="397"/>
  <c r="BZ10" i="471"/>
  <c r="BU318" i="397"/>
  <c r="BV318" i="397" s="1"/>
  <c r="BW318" i="397" s="1"/>
  <c r="CD318" i="397"/>
  <c r="AZ187" i="500"/>
  <c r="AR184" i="517"/>
  <c r="AZ184" i="517" s="1"/>
  <c r="AC25" i="652"/>
  <c r="H25" i="652"/>
  <c r="AB18" i="652"/>
  <c r="AB22" i="652" s="1"/>
  <c r="AC18" i="652"/>
  <c r="AC22" i="652" s="1"/>
  <c r="AB25" i="652"/>
  <c r="BZ49" i="471"/>
  <c r="H238" i="615"/>
  <c r="BU316" i="397"/>
  <c r="BV316" i="397" s="1"/>
  <c r="BW316" i="397" s="1"/>
  <c r="CD316" i="397"/>
  <c r="BU352" i="397"/>
  <c r="BV352" i="397" s="1"/>
  <c r="BW352" i="397" s="1"/>
  <c r="CD352" i="397"/>
  <c r="H55" i="479"/>
  <c r="AZ24" i="683"/>
  <c r="AV253" i="202" s="1"/>
  <c r="AV276" i="202" s="1"/>
  <c r="CB99" i="603"/>
  <c r="H290" i="570"/>
  <c r="CA83" i="527"/>
  <c r="AR357" i="479"/>
  <c r="H362" i="479"/>
  <c r="H181" i="445"/>
  <c r="AK171" i="445"/>
  <c r="CE304" i="397"/>
  <c r="BE304" i="397"/>
  <c r="BU332" i="397"/>
  <c r="BV332" i="397" s="1"/>
  <c r="BW332" i="397" s="1"/>
  <c r="CD332" i="397"/>
  <c r="AJ275" i="500"/>
  <c r="H278" i="500"/>
  <c r="BU311" i="397"/>
  <c r="BV311" i="397" s="1"/>
  <c r="BW311" i="397" s="1"/>
  <c r="CD311" i="397"/>
  <c r="AT419" i="633"/>
  <c r="AT423" i="633" s="1"/>
  <c r="BB423" i="633" s="1"/>
  <c r="H422" i="633"/>
  <c r="H124" i="541"/>
  <c r="X122" i="541"/>
  <c r="AR122" i="500"/>
  <c r="AR133" i="500" s="1"/>
  <c r="AZ133" i="500" s="1"/>
  <c r="H124" i="500"/>
  <c r="AR124" i="500" s="1"/>
  <c r="BU334" i="397"/>
  <c r="BV334" i="397" s="1"/>
  <c r="BW334" i="397" s="1"/>
  <c r="CD334" i="397"/>
  <c r="BU325" i="397"/>
  <c r="BV325" i="397" s="1"/>
  <c r="BW325" i="397" s="1"/>
  <c r="CD325" i="397"/>
  <c r="CA72" i="527"/>
  <c r="CB116" i="555"/>
  <c r="BZ43" i="487"/>
  <c r="CB19" i="603"/>
  <c r="BU302" i="397"/>
  <c r="BV302" i="397" s="1"/>
  <c r="BW302" i="397" s="1"/>
  <c r="CD302" i="397"/>
  <c r="H23" i="570"/>
  <c r="AZ23" i="517"/>
  <c r="BU328" i="397"/>
  <c r="BV328" i="397" s="1"/>
  <c r="BW328" i="397" s="1"/>
  <c r="CD328" i="397"/>
  <c r="BU297" i="397"/>
  <c r="BV297" i="397" s="1"/>
  <c r="BW297" i="397" s="1"/>
  <c r="CD297" i="397"/>
  <c r="BY119" i="511"/>
  <c r="CA119" i="511" s="1"/>
  <c r="BU349" i="397"/>
  <c r="BV349" i="397" s="1"/>
  <c r="BW349" i="397" s="1"/>
  <c r="CD349" i="397"/>
  <c r="BE301" i="397"/>
  <c r="CE301" i="397"/>
  <c r="BU341" i="397"/>
  <c r="BV341" i="397" s="1"/>
  <c r="BW341" i="397" s="1"/>
  <c r="CD341" i="397"/>
  <c r="BU319" i="397"/>
  <c r="BV319" i="397" s="1"/>
  <c r="BW319" i="397" s="1"/>
  <c r="CD319" i="397"/>
  <c r="CB86" i="555"/>
  <c r="CF80" i="397"/>
  <c r="CH80" i="397" s="1"/>
  <c r="H280" i="633"/>
  <c r="AR280" i="633" s="1"/>
  <c r="AR278" i="633"/>
  <c r="BU345" i="397"/>
  <c r="BV345" i="397" s="1"/>
  <c r="BW345" i="397" s="1"/>
  <c r="CD345" i="397"/>
  <c r="CF161" i="681"/>
  <c r="CH161" i="681" s="1"/>
  <c r="BU290" i="397"/>
  <c r="BV290" i="397" s="1"/>
  <c r="BW290" i="397" s="1"/>
  <c r="CD290" i="397"/>
  <c r="CB167" i="626"/>
  <c r="CB53" i="555"/>
  <c r="BZ35" i="471"/>
  <c r="H183" i="517"/>
  <c r="CB157" i="603"/>
  <c r="CB90" i="626"/>
  <c r="T84" i="669"/>
  <c r="H92" i="669"/>
  <c r="H95" i="669" s="1"/>
  <c r="H96" i="669" s="1"/>
  <c r="CB4" i="583"/>
  <c r="BU315" i="397"/>
  <c r="BV315" i="397" s="1"/>
  <c r="BW315" i="397" s="1"/>
  <c r="CD315" i="397"/>
  <c r="AJ279" i="500"/>
  <c r="AZ279" i="500" s="1"/>
  <c r="BU313" i="397"/>
  <c r="BV313" i="397" s="1"/>
  <c r="BW313" i="397" s="1"/>
  <c r="CD313" i="397"/>
  <c r="CB115" i="603"/>
  <c r="CB189" i="583"/>
  <c r="CA34" i="511"/>
  <c r="CB68" i="603"/>
  <c r="CB89" i="583"/>
  <c r="BZ25" i="487"/>
  <c r="BU314" i="397"/>
  <c r="BV314" i="397" s="1"/>
  <c r="BW314" i="397" s="1"/>
  <c r="CD314" i="397"/>
  <c r="H480" i="479"/>
  <c r="CB188" i="603"/>
  <c r="CB43" i="603"/>
  <c r="CB165" i="555"/>
  <c r="CB140" i="583"/>
  <c r="H340" i="541"/>
  <c r="BZ30" i="471"/>
  <c r="BU343" i="397"/>
  <c r="BV343" i="397" s="1"/>
  <c r="BW343" i="397" s="1"/>
  <c r="CD343" i="397"/>
  <c r="CH55" i="397"/>
  <c r="BE478" i="652"/>
  <c r="BU327" i="397"/>
  <c r="BV327" i="397" s="1"/>
  <c r="BW327" i="397" s="1"/>
  <c r="CD327" i="397"/>
  <c r="AK217" i="445"/>
  <c r="AZ217" i="445" s="1"/>
  <c r="CB144" i="626"/>
  <c r="AC305" i="479"/>
  <c r="AC312" i="479" s="1"/>
  <c r="AZ312" i="479" s="1"/>
  <c r="H311" i="479"/>
  <c r="CB56" i="603"/>
  <c r="BU317" i="397"/>
  <c r="BV317" i="397" s="1"/>
  <c r="BW317" i="397" s="1"/>
  <c r="CD317" i="397"/>
  <c r="BU293" i="397"/>
  <c r="BV293" i="397" s="1"/>
  <c r="BW293" i="397" s="1"/>
  <c r="CD293" i="397"/>
  <c r="BB107" i="633"/>
  <c r="X364" i="517"/>
  <c r="AZ364" i="517" s="1"/>
  <c r="BU337" i="397"/>
  <c r="BV337" i="397" s="1"/>
  <c r="BW337" i="397" s="1"/>
  <c r="CD337" i="397"/>
  <c r="BZ83" i="487"/>
  <c r="AZ356" i="461"/>
  <c r="H310" i="652"/>
  <c r="AX310" i="652" s="1"/>
  <c r="AX308" i="652"/>
  <c r="AX316" i="652" s="1"/>
  <c r="BE316" i="652" s="1"/>
  <c r="H315" i="652"/>
  <c r="BU329" i="397"/>
  <c r="BV329" i="397" s="1"/>
  <c r="BW329" i="397" s="1"/>
  <c r="CD329" i="397"/>
  <c r="AT344" i="615"/>
  <c r="H346" i="615"/>
  <c r="AT346" i="615" s="1"/>
  <c r="T93" i="669"/>
  <c r="BE93" i="669" s="1"/>
  <c r="H329" i="615"/>
  <c r="AC321" i="615"/>
  <c r="AC326" i="615" s="1"/>
  <c r="BB326" i="615" s="1"/>
  <c r="CB48" i="626"/>
  <c r="CB71" i="626"/>
  <c r="CB185" i="603"/>
  <c r="CB110" i="626"/>
  <c r="H18" i="684"/>
  <c r="H21" i="684" s="1"/>
  <c r="AB17" i="684" s="1"/>
  <c r="AB19" i="684" s="1"/>
  <c r="X254" i="202" s="1"/>
  <c r="Z12" i="684"/>
  <c r="Z19" i="684" s="1"/>
  <c r="H435" i="517"/>
  <c r="BA435" i="517" s="1"/>
  <c r="BA433" i="517"/>
  <c r="BA444" i="517" s="1"/>
  <c r="BB444" i="517" s="1"/>
  <c r="H492" i="592"/>
  <c r="AD490" i="592"/>
  <c r="CA39" i="527"/>
  <c r="CB80" i="583"/>
  <c r="AK210" i="445"/>
  <c r="H216" i="445"/>
  <c r="Z21" i="682"/>
  <c r="Z23" i="682" s="1"/>
  <c r="V256" i="202" s="1"/>
  <c r="Y21" i="682"/>
  <c r="Y23" i="682" s="1"/>
  <c r="CE245" i="397"/>
  <c r="BE245" i="397"/>
  <c r="BG309" i="397" s="1"/>
  <c r="CD309" i="397"/>
  <c r="X354" i="397"/>
  <c r="X366" i="397" s="1"/>
  <c r="BW158" i="397"/>
  <c r="CD238" i="397"/>
  <c r="BU238" i="397"/>
  <c r="Z354" i="397"/>
  <c r="Z366" i="397" s="1"/>
  <c r="V242" i="397"/>
  <c r="AB515" i="669"/>
  <c r="BE515" i="669" s="1"/>
  <c r="BE158" i="397"/>
  <c r="CE158" i="397"/>
  <c r="CF158" i="397" s="1"/>
  <c r="AJ480" i="669"/>
  <c r="AJ490" i="669" s="1"/>
  <c r="BE490" i="669" s="1"/>
  <c r="H489" i="669"/>
  <c r="AA354" i="397"/>
  <c r="AA366" i="397" s="1"/>
  <c r="BU175" i="397"/>
  <c r="BV175" i="397" s="1"/>
  <c r="CD175" i="397"/>
  <c r="A181" i="397"/>
  <c r="CE84" i="397"/>
  <c r="CF84" i="397" s="1"/>
  <c r="BE84" i="397"/>
  <c r="BD225" i="397" s="1"/>
  <c r="U242" i="397"/>
  <c r="AF276" i="202"/>
  <c r="AZ276" i="202"/>
  <c r="AB277" i="202" s="1"/>
  <c r="CD52" i="397"/>
  <c r="A171" i="397"/>
  <c r="V254" i="202" l="1"/>
  <c r="BG254" i="202" s="1"/>
  <c r="BI19" i="684"/>
  <c r="X124" i="541"/>
  <c r="X127" i="541" s="1"/>
  <c r="BB127" i="541" s="1"/>
  <c r="H126" i="541"/>
  <c r="CE290" i="397"/>
  <c r="BE290" i="397"/>
  <c r="CE329" i="397"/>
  <c r="BE329" i="397"/>
  <c r="CE297" i="397"/>
  <c r="BE297" i="397"/>
  <c r="CE350" i="397"/>
  <c r="BE350" i="397"/>
  <c r="BE352" i="397"/>
  <c r="CE352" i="397"/>
  <c r="CE327" i="397"/>
  <c r="BE327" i="397"/>
  <c r="BE345" i="397"/>
  <c r="CE345" i="397"/>
  <c r="CE328" i="397"/>
  <c r="BE328" i="397"/>
  <c r="BE311" i="397"/>
  <c r="CE311" i="397"/>
  <c r="BE316" i="397"/>
  <c r="CE316" i="397"/>
  <c r="AV186" i="669"/>
  <c r="AV189" i="669" s="1"/>
  <c r="BE189" i="669" s="1"/>
  <c r="H188" i="669"/>
  <c r="H443" i="517"/>
  <c r="BA291" i="570"/>
  <c r="BB291" i="570" s="1"/>
  <c r="H494" i="592"/>
  <c r="AD492" i="592"/>
  <c r="CE313" i="397"/>
  <c r="BE313" i="397"/>
  <c r="BF313" i="397" s="1"/>
  <c r="CG313" i="397" s="1"/>
  <c r="H132" i="500"/>
  <c r="CE318" i="397"/>
  <c r="BE318" i="397"/>
  <c r="AT352" i="615"/>
  <c r="BB352" i="615" s="1"/>
  <c r="CE302" i="397"/>
  <c r="BE302" i="397"/>
  <c r="CE326" i="397"/>
  <c r="BE326" i="397"/>
  <c r="CE337" i="397"/>
  <c r="BE337" i="397"/>
  <c r="CE349" i="397"/>
  <c r="BE349" i="397"/>
  <c r="CE298" i="397"/>
  <c r="BE298" i="397"/>
  <c r="AC135" i="652"/>
  <c r="AC142" i="652" s="1"/>
  <c r="BE142" i="652" s="1"/>
  <c r="H141" i="652"/>
  <c r="V276" i="202"/>
  <c r="CE343" i="397"/>
  <c r="BE343" i="397"/>
  <c r="CE314" i="397"/>
  <c r="BE314" i="397"/>
  <c r="CE332" i="397"/>
  <c r="BE332" i="397"/>
  <c r="BE315" i="397"/>
  <c r="CE315" i="397"/>
  <c r="BE22" i="652"/>
  <c r="BE347" i="397"/>
  <c r="CE347" i="397"/>
  <c r="BE319" i="397"/>
  <c r="CE319" i="397"/>
  <c r="CE293" i="397"/>
  <c r="BE293" i="397"/>
  <c r="H259" i="541"/>
  <c r="AX259" i="541" s="1"/>
  <c r="AX257" i="541"/>
  <c r="CE325" i="397"/>
  <c r="BE325" i="397"/>
  <c r="CE317" i="397"/>
  <c r="BE317" i="397"/>
  <c r="CE341" i="397"/>
  <c r="BE341" i="397"/>
  <c r="CE299" i="397"/>
  <c r="BE299" i="397"/>
  <c r="CE331" i="397"/>
  <c r="BE331" i="397"/>
  <c r="H351" i="615"/>
  <c r="CE334" i="397"/>
  <c r="BE334" i="397"/>
  <c r="U256" i="202"/>
  <c r="BI23" i="682"/>
  <c r="CE309" i="397"/>
  <c r="BE309" i="397"/>
  <c r="BV238" i="397"/>
  <c r="V354" i="397"/>
  <c r="V366" i="397" s="1"/>
  <c r="CA172" i="397"/>
  <c r="BN172" i="397"/>
  <c r="CB172" i="397" s="1"/>
  <c r="BG291" i="397"/>
  <c r="BD291" i="397" s="1"/>
  <c r="BF291" i="397" s="1"/>
  <c r="CG291" i="397" s="1"/>
  <c r="BF158" i="397"/>
  <c r="CG158" i="397" s="1"/>
  <c r="CH158" i="397" s="1"/>
  <c r="H23" i="683"/>
  <c r="H26" i="683" s="1"/>
  <c r="BT176" i="397"/>
  <c r="BW175" i="397"/>
  <c r="CA181" i="397"/>
  <c r="Y354" i="397"/>
  <c r="Y366" i="397" s="1"/>
  <c r="U354" i="397"/>
  <c r="U366" i="397" s="1"/>
  <c r="BF84" i="397"/>
  <c r="CG84" i="397" s="1"/>
  <c r="CH84" i="397" s="1"/>
  <c r="CA171" i="397"/>
  <c r="BN171" i="397"/>
  <c r="CB171" i="397" s="1"/>
  <c r="CE61" i="397"/>
  <c r="CF61" i="397" s="1"/>
  <c r="BE61" i="397"/>
  <c r="BD222" i="397" s="1"/>
  <c r="CD62" i="397"/>
  <c r="H496" i="592" l="1"/>
  <c r="AD494" i="592"/>
  <c r="H272" i="541"/>
  <c r="AX273" i="541"/>
  <c r="BB273" i="541" s="1"/>
  <c r="U276" i="202"/>
  <c r="U277" i="202" s="1"/>
  <c r="BG256" i="202"/>
  <c r="BW238" i="397"/>
  <c r="BS239" i="397"/>
  <c r="BT239" i="397" s="1"/>
  <c r="AC22" i="683"/>
  <c r="AC24" i="683" s="1"/>
  <c r="Y253" i="202" s="1"/>
  <c r="Y276" i="202" s="1"/>
  <c r="AB22" i="683"/>
  <c r="AB24" i="683" s="1"/>
  <c r="BG247" i="202"/>
  <c r="BG249" i="202" s="1"/>
  <c r="X249" i="202"/>
  <c r="X250" i="202" s="1"/>
  <c r="BI24" i="683"/>
  <c r="X253" i="202"/>
  <c r="BG253" i="202" s="1"/>
  <c r="BE175" i="397"/>
  <c r="CE175" i="397"/>
  <c r="CF175" i="397" s="1"/>
  <c r="BU176" i="397"/>
  <c r="BV176" i="397" s="1"/>
  <c r="BS177" i="397" s="1"/>
  <c r="CD176" i="397"/>
  <c r="BN181" i="397"/>
  <c r="CB181" i="397" s="1"/>
  <c r="CE52" i="397"/>
  <c r="CF52" i="397" s="1"/>
  <c r="BE52" i="397"/>
  <c r="BD223" i="397" s="1"/>
  <c r="BF61" i="397"/>
  <c r="CG61" i="397" s="1"/>
  <c r="CH61" i="397"/>
  <c r="AD496" i="592" l="1"/>
  <c r="AD502" i="592" s="1"/>
  <c r="BB502" i="592" s="1"/>
  <c r="H501" i="592"/>
  <c r="CD239" i="397"/>
  <c r="BU239" i="397"/>
  <c r="BV239" i="397" s="1"/>
  <c r="CE238" i="397"/>
  <c r="BE238" i="397"/>
  <c r="BG350" i="397" s="1"/>
  <c r="BW176" i="397"/>
  <c r="BG298" i="397"/>
  <c r="BD298" i="397" s="1"/>
  <c r="BF298" i="397" s="1"/>
  <c r="CG298" i="397" s="1"/>
  <c r="BF175" i="397"/>
  <c r="CG175" i="397" s="1"/>
  <c r="CH175" i="397" s="1"/>
  <c r="A177" i="397"/>
  <c r="CD67" i="397"/>
  <c r="BF52" i="397"/>
  <c r="CG52" i="397" s="1"/>
  <c r="CH52" i="397"/>
  <c r="CE62" i="397"/>
  <c r="CF62" i="397" s="1"/>
  <c r="BE62" i="397"/>
  <c r="BD226" i="397" s="1"/>
  <c r="CD140" i="397"/>
  <c r="BW239" i="397" l="1"/>
  <c r="BS240" i="397"/>
  <c r="BT240" i="397" s="1"/>
  <c r="CE176" i="397"/>
  <c r="CF176" i="397" s="1"/>
  <c r="BE176" i="397"/>
  <c r="CA177" i="397"/>
  <c r="BE67" i="397"/>
  <c r="BD247" i="397" s="1"/>
  <c r="CE67" i="397"/>
  <c r="CF67" i="397" s="1"/>
  <c r="BF62" i="397"/>
  <c r="CG62" i="397" s="1"/>
  <c r="CH62" i="397" s="1"/>
  <c r="CD240" i="397" l="1"/>
  <c r="BU240" i="397"/>
  <c r="BV240" i="397" s="1"/>
  <c r="BW240" i="397" s="1"/>
  <c r="CE239" i="397"/>
  <c r="BE239" i="397"/>
  <c r="BG351" i="397" s="1"/>
  <c r="BT177" i="397"/>
  <c r="BF176" i="397"/>
  <c r="CG176" i="397" s="1"/>
  <c r="BG294" i="397"/>
  <c r="BD294" i="397" s="1"/>
  <c r="BF294" i="397" s="1"/>
  <c r="CG294" i="397" s="1"/>
  <c r="CH176" i="397"/>
  <c r="BN177" i="397"/>
  <c r="CB177" i="397" s="1"/>
  <c r="CD65" i="397"/>
  <c r="BF67" i="397"/>
  <c r="CG67" i="397" s="1"/>
  <c r="CH67" i="397" s="1"/>
  <c r="CE140" i="397"/>
  <c r="CF140" i="397" s="1"/>
  <c r="BE140" i="397"/>
  <c r="CD141" i="397"/>
  <c r="CE240" i="397" l="1"/>
  <c r="BE240" i="397"/>
  <c r="BG352" i="397" s="1"/>
  <c r="BD224" i="397"/>
  <c r="BU166" i="397"/>
  <c r="BS167" i="397" s="1"/>
  <c r="BT167" i="397" s="1"/>
  <c r="CD166" i="397"/>
  <c r="BU177" i="397"/>
  <c r="BV177" i="397" s="1"/>
  <c r="BS178" i="397" s="1"/>
  <c r="CD177" i="397"/>
  <c r="A179" i="397"/>
  <c r="BE65" i="397"/>
  <c r="BD233" i="397" s="1"/>
  <c r="CE65" i="397"/>
  <c r="CF65" i="397"/>
  <c r="BF140" i="397"/>
  <c r="CG140" i="397" s="1"/>
  <c r="CH140" i="397"/>
  <c r="BT178" i="397" l="1"/>
  <c r="CD178" i="397"/>
  <c r="BU178" i="397"/>
  <c r="BV178" i="397" s="1"/>
  <c r="BS179" i="397" s="1"/>
  <c r="BS180" i="397" s="1"/>
  <c r="CD148" i="397"/>
  <c r="BV166" i="397"/>
  <c r="BW166" i="397" s="1"/>
  <c r="BW177" i="397"/>
  <c r="CA179" i="397"/>
  <c r="CD60" i="397"/>
  <c r="BF65" i="397"/>
  <c r="CG65" i="397" s="1"/>
  <c r="CH65" i="397" s="1"/>
  <c r="CE141" i="397"/>
  <c r="CF141" i="397" s="1"/>
  <c r="BE141" i="397"/>
  <c r="CD147" i="397"/>
  <c r="BW178" i="397" l="1"/>
  <c r="BD230" i="397"/>
  <c r="CE166" i="397"/>
  <c r="CF166" i="397" s="1"/>
  <c r="BE166" i="397"/>
  <c r="BG292" i="397" s="1"/>
  <c r="BU167" i="397"/>
  <c r="BS168" i="397" s="1"/>
  <c r="BT168" i="397" s="1"/>
  <c r="CD167" i="397"/>
  <c r="BE177" i="397"/>
  <c r="CE177" i="397"/>
  <c r="CF177" i="397" s="1"/>
  <c r="BN179" i="397"/>
  <c r="CB179" i="397" s="1"/>
  <c r="BF141" i="397"/>
  <c r="CG141" i="397" s="1"/>
  <c r="CH141" i="397" s="1"/>
  <c r="BE178" i="397" l="1"/>
  <c r="CE178" i="397"/>
  <c r="CF178" i="397" s="1"/>
  <c r="BT179" i="397"/>
  <c r="CE148" i="397"/>
  <c r="CF148" i="397" s="1"/>
  <c r="BE148" i="397"/>
  <c r="BD240" i="397" s="1"/>
  <c r="BF240" i="397" s="1"/>
  <c r="CG240" i="397" s="1"/>
  <c r="BV167" i="397"/>
  <c r="BW167" i="397" s="1"/>
  <c r="BF166" i="397"/>
  <c r="CG166" i="397" s="1"/>
  <c r="CH166" i="397" s="1"/>
  <c r="BT200" i="397"/>
  <c r="BF177" i="397"/>
  <c r="CG177" i="397" s="1"/>
  <c r="CH177" i="397" s="1"/>
  <c r="BG295" i="397"/>
  <c r="BD295" i="397" s="1"/>
  <c r="BF295" i="397" s="1"/>
  <c r="CG295" i="397" s="1"/>
  <c r="A200" i="397"/>
  <c r="BE60" i="397"/>
  <c r="BD234" i="397" s="1"/>
  <c r="CE60" i="397"/>
  <c r="CF60" i="397" s="1"/>
  <c r="CD68" i="397"/>
  <c r="CE147" i="397"/>
  <c r="CF147" i="397" s="1"/>
  <c r="BE147" i="397"/>
  <c r="BD235" i="397" s="1"/>
  <c r="CD146" i="397"/>
  <c r="BU179" i="397" l="1"/>
  <c r="BV179" i="397" s="1"/>
  <c r="CD179" i="397"/>
  <c r="BG299" i="397"/>
  <c r="BD299" i="397" s="1"/>
  <c r="BF299" i="397" s="1"/>
  <c r="CG299" i="397" s="1"/>
  <c r="BF178" i="397"/>
  <c r="CG178" i="397" s="1"/>
  <c r="CH178" i="397" s="1"/>
  <c r="BD352" i="397"/>
  <c r="BF352" i="397" s="1"/>
  <c r="CG352" i="397" s="1"/>
  <c r="BF148" i="397"/>
  <c r="CG148" i="397" s="1"/>
  <c r="CH148" i="397" s="1"/>
  <c r="CE167" i="397"/>
  <c r="CF167" i="397" s="1"/>
  <c r="BE167" i="397"/>
  <c r="BU168" i="397"/>
  <c r="BS169" i="397" s="1"/>
  <c r="BT169" i="397" s="1"/>
  <c r="CD168" i="397"/>
  <c r="BU200" i="397"/>
  <c r="BV200" i="397" s="1"/>
  <c r="BS201" i="397" s="1"/>
  <c r="CD200" i="397"/>
  <c r="CA200" i="397"/>
  <c r="BE68" i="397"/>
  <c r="BD238" i="397" s="1"/>
  <c r="BF238" i="397" s="1"/>
  <c r="CG238" i="397" s="1"/>
  <c r="CE68" i="397"/>
  <c r="CF68" i="397"/>
  <c r="BF60" i="397"/>
  <c r="CG60" i="397" s="1"/>
  <c r="CH60" i="397" s="1"/>
  <c r="BF147" i="397"/>
  <c r="CG147" i="397" s="1"/>
  <c r="CH147" i="397" s="1"/>
  <c r="BT180" i="397" l="1"/>
  <c r="BW179" i="397"/>
  <c r="BD292" i="397"/>
  <c r="BF292" i="397" s="1"/>
  <c r="CG292" i="397" s="1"/>
  <c r="BF68" i="397"/>
  <c r="CG68" i="397" s="1"/>
  <c r="CH68" i="397" s="1"/>
  <c r="BD350" i="397"/>
  <c r="BF350" i="397" s="1"/>
  <c r="CG350" i="397" s="1"/>
  <c r="BV168" i="397"/>
  <c r="BW168" i="397" s="1"/>
  <c r="CE168" i="397" s="1"/>
  <c r="CF168" i="397" s="1"/>
  <c r="BE168" i="397"/>
  <c r="BF167" i="397"/>
  <c r="CG167" i="397" s="1"/>
  <c r="CH167" i="397" s="1"/>
  <c r="BG293" i="397"/>
  <c r="BD293" i="397" s="1"/>
  <c r="BF293" i="397" s="1"/>
  <c r="CG293" i="397" s="1"/>
  <c r="BD290" i="397"/>
  <c r="BF290" i="397" s="1"/>
  <c r="CG290" i="397" s="1"/>
  <c r="BW200" i="397"/>
  <c r="BN200" i="397"/>
  <c r="CB200" i="397" s="1"/>
  <c r="CE146" i="397"/>
  <c r="CF146" i="397" s="1"/>
  <c r="BE146" i="397"/>
  <c r="BD239" i="397" s="1"/>
  <c r="BF239" i="397" s="1"/>
  <c r="CG239" i="397" s="1"/>
  <c r="CD149" i="397"/>
  <c r="BZ309" i="397" l="1"/>
  <c r="BD309" i="397"/>
  <c r="BF309" i="397" s="1"/>
  <c r="CG309" i="397" s="1"/>
  <c r="BE179" i="397"/>
  <c r="CE179" i="397"/>
  <c r="CF179" i="397" s="1"/>
  <c r="CD180" i="397"/>
  <c r="BU180" i="397"/>
  <c r="BV180" i="397" s="1"/>
  <c r="BS181" i="397" s="1"/>
  <c r="BS182" i="397" s="1"/>
  <c r="BU169" i="397"/>
  <c r="CD169" i="397"/>
  <c r="BF168" i="397"/>
  <c r="CG168" i="397" s="1"/>
  <c r="CH168" i="397" s="1"/>
  <c r="BG245" i="397"/>
  <c r="BE200" i="397"/>
  <c r="BG296" i="397" s="1"/>
  <c r="CE200" i="397"/>
  <c r="CF200" i="397" s="1"/>
  <c r="A182" i="397"/>
  <c r="BT186" i="397"/>
  <c r="BF146" i="397"/>
  <c r="CG146" i="397" s="1"/>
  <c r="CH146" i="397" s="1"/>
  <c r="BD351" i="397"/>
  <c r="BF351" i="397" s="1"/>
  <c r="CG351" i="397" s="1"/>
  <c r="BD245" i="397" l="1"/>
  <c r="BF245" i="397" s="1"/>
  <c r="CG245" i="397" s="1"/>
  <c r="BH245" i="397"/>
  <c r="BI245" i="397" s="1"/>
  <c r="BZ245" i="397" s="1"/>
  <c r="BT170" i="397"/>
  <c r="BU170" i="397"/>
  <c r="BS171" i="397" s="1"/>
  <c r="CD170" i="397"/>
  <c r="BW180" i="397"/>
  <c r="BF179" i="397"/>
  <c r="CG179" i="397" s="1"/>
  <c r="CH179" i="397" s="1"/>
  <c r="BG303" i="397"/>
  <c r="BD303" i="397" s="1"/>
  <c r="BF303" i="397" s="1"/>
  <c r="CG303" i="397" s="1"/>
  <c r="BV169" i="397"/>
  <c r="BW169" i="397" s="1"/>
  <c r="BF200" i="397"/>
  <c r="CG200" i="397" s="1"/>
  <c r="CH200" i="397" s="1"/>
  <c r="BD296" i="397"/>
  <c r="BF296" i="397" s="1"/>
  <c r="CG296" i="397" s="1"/>
  <c r="A183" i="397"/>
  <c r="CA182" i="397"/>
  <c r="CC194" i="397"/>
  <c r="CE149" i="397"/>
  <c r="CF149" i="397" s="1"/>
  <c r="BE149" i="397"/>
  <c r="BF149" i="397" s="1"/>
  <c r="CG149" i="397" s="1"/>
  <c r="CD186" i="397"/>
  <c r="BU186" i="397"/>
  <c r="BS187" i="397" s="1"/>
  <c r="BV170" i="397" l="1"/>
  <c r="BW170" i="397" s="1"/>
  <c r="BT171" i="397"/>
  <c r="CE180" i="397"/>
  <c r="BE180" i="397"/>
  <c r="BG304" i="397" s="1"/>
  <c r="BT182" i="397"/>
  <c r="BT181" i="397"/>
  <c r="BE169" i="397"/>
  <c r="CE169" i="397"/>
  <c r="CF169" i="397" s="1"/>
  <c r="CD142" i="397"/>
  <c r="BN182" i="397"/>
  <c r="CB182" i="397" s="1"/>
  <c r="BV186" i="397"/>
  <c r="BW186" i="397" s="1"/>
  <c r="CH149" i="397"/>
  <c r="CD171" i="397" l="1"/>
  <c r="BU171" i="397"/>
  <c r="BS172" i="397" s="1"/>
  <c r="CE170" i="397"/>
  <c r="CF170" i="397" s="1"/>
  <c r="BE170" i="397"/>
  <c r="BF170" i="397" s="1"/>
  <c r="CG170" i="397" s="1"/>
  <c r="BU181" i="397"/>
  <c r="BV181" i="397" s="1"/>
  <c r="BW181" i="397" s="1"/>
  <c r="CD181" i="397"/>
  <c r="BU182" i="397"/>
  <c r="BV182" i="397" s="1"/>
  <c r="BS183" i="397" s="1"/>
  <c r="CD182" i="397"/>
  <c r="CE142" i="397"/>
  <c r="CF142" i="397" s="1"/>
  <c r="BE142" i="397"/>
  <c r="BG297" i="397"/>
  <c r="BD297" i="397" s="1"/>
  <c r="BF297" i="397" s="1"/>
  <c r="CG297" i="397" s="1"/>
  <c r="BF169" i="397"/>
  <c r="CG169" i="397" s="1"/>
  <c r="CH169" i="397" s="1"/>
  <c r="BE186" i="397"/>
  <c r="CE186" i="397"/>
  <c r="CF186" i="397" s="1"/>
  <c r="CH170" i="397" l="1"/>
  <c r="BV171" i="397"/>
  <c r="BW171" i="397" s="1"/>
  <c r="BT172" i="397"/>
  <c r="BT183" i="397"/>
  <c r="BW182" i="397"/>
  <c r="CE181" i="397"/>
  <c r="CF181" i="397" s="1"/>
  <c r="BE181" i="397"/>
  <c r="BD180" i="397"/>
  <c r="BF180" i="397" s="1"/>
  <c r="CG180" i="397" s="1"/>
  <c r="BZ180" i="397"/>
  <c r="CF180" i="397" s="1"/>
  <c r="CH180" i="397" s="1"/>
  <c r="BF142" i="397"/>
  <c r="CG142" i="397" s="1"/>
  <c r="BD304" i="397"/>
  <c r="BF304" i="397" s="1"/>
  <c r="CG304" i="397" s="1"/>
  <c r="CH142" i="397"/>
  <c r="CA183" i="397"/>
  <c r="A199" i="397"/>
  <c r="BT187" i="397"/>
  <c r="BG323" i="397"/>
  <c r="BD323" i="397" s="1"/>
  <c r="BF323" i="397" s="1"/>
  <c r="CG323" i="397" s="1"/>
  <c r="BF186" i="397"/>
  <c r="CG186" i="397" s="1"/>
  <c r="CH186" i="397" s="1"/>
  <c r="CD172" i="397" l="1"/>
  <c r="BU172" i="397"/>
  <c r="BV172" i="397" s="1"/>
  <c r="BW172" i="397" s="1"/>
  <c r="CE171" i="397"/>
  <c r="CF171" i="397" s="1"/>
  <c r="BE171" i="397"/>
  <c r="BG307" i="397"/>
  <c r="BD307" i="397" s="1"/>
  <c r="BF307" i="397" s="1"/>
  <c r="CG307" i="397" s="1"/>
  <c r="BF181" i="397"/>
  <c r="CG181" i="397" s="1"/>
  <c r="CH181" i="397"/>
  <c r="CE182" i="397"/>
  <c r="CF182" i="397" s="1"/>
  <c r="BE182" i="397"/>
  <c r="BU183" i="397"/>
  <c r="BV183" i="397" s="1"/>
  <c r="BS184" i="397" s="1"/>
  <c r="CD183" i="397"/>
  <c r="BN183" i="397"/>
  <c r="CB183" i="397" s="1"/>
  <c r="CD187" i="397"/>
  <c r="BU187" i="397"/>
  <c r="BS188" i="397" s="1"/>
  <c r="BF171" i="397" l="1"/>
  <c r="CG171" i="397" s="1"/>
  <c r="CH171" i="397" s="1"/>
  <c r="BG311" i="397"/>
  <c r="BD311" i="397" s="1"/>
  <c r="BF311" i="397" s="1"/>
  <c r="CG311" i="397" s="1"/>
  <c r="CE172" i="397"/>
  <c r="CF172" i="397" s="1"/>
  <c r="BE172" i="397"/>
  <c r="BT184" i="397"/>
  <c r="BU184" i="397" s="1"/>
  <c r="BV184" i="397" s="1"/>
  <c r="BW184" i="397" s="1"/>
  <c r="BW183" i="397"/>
  <c r="BF182" i="397"/>
  <c r="CG182" i="397" s="1"/>
  <c r="CH182" i="397" s="1"/>
  <c r="BG306" i="397"/>
  <c r="BD306" i="397" s="1"/>
  <c r="BF306" i="397" s="1"/>
  <c r="CG306" i="397" s="1"/>
  <c r="BT188" i="397"/>
  <c r="BU188" i="397" s="1"/>
  <c r="BS189" i="397" s="1"/>
  <c r="CD188" i="397"/>
  <c r="BV187" i="397"/>
  <c r="BW187" i="397" s="1"/>
  <c r="BF172" i="397" l="1"/>
  <c r="CG172" i="397" s="1"/>
  <c r="CH172" i="397" s="1"/>
  <c r="BG314" i="397"/>
  <c r="BD314" i="397" s="1"/>
  <c r="BF314" i="397" s="1"/>
  <c r="CG314" i="397" s="1"/>
  <c r="CE183" i="397"/>
  <c r="CF183" i="397" s="1"/>
  <c r="BE183" i="397"/>
  <c r="BT189" i="397"/>
  <c r="CD189" i="397" s="1"/>
  <c r="BV188" i="397"/>
  <c r="BW188" i="397" s="1"/>
  <c r="BE187" i="397"/>
  <c r="CE187" i="397"/>
  <c r="CF187" i="397" s="1"/>
  <c r="BU189" i="397"/>
  <c r="BS190" i="397" s="1"/>
  <c r="BF183" i="397" l="1"/>
  <c r="CG183" i="397" s="1"/>
  <c r="CH183" i="397" s="1"/>
  <c r="BG308" i="397"/>
  <c r="BD308" i="397" s="1"/>
  <c r="BF308" i="397" s="1"/>
  <c r="CG308" i="397" s="1"/>
  <c r="CE188" i="397"/>
  <c r="CF188" i="397" s="1"/>
  <c r="BE188" i="397"/>
  <c r="BT190" i="397"/>
  <c r="BV189" i="397"/>
  <c r="BW189" i="397" s="1"/>
  <c r="BG326" i="397"/>
  <c r="BD326" i="397" s="1"/>
  <c r="BF326" i="397" s="1"/>
  <c r="CG326" i="397" s="1"/>
  <c r="BF187" i="397"/>
  <c r="CG187" i="397" s="1"/>
  <c r="CH187" i="397" s="1"/>
  <c r="BF188" i="397" l="1"/>
  <c r="CG188" i="397" s="1"/>
  <c r="CH188" i="397" s="1"/>
  <c r="BG329" i="397"/>
  <c r="BD329" i="397" s="1"/>
  <c r="BF329" i="397" s="1"/>
  <c r="CG329" i="397" s="1"/>
  <c r="CE189" i="397"/>
  <c r="CF189" i="397" s="1"/>
  <c r="BE189" i="397"/>
  <c r="BU190" i="397"/>
  <c r="BS191" i="397" s="1"/>
  <c r="BT191" i="397" s="1"/>
  <c r="CD190" i="397"/>
  <c r="CA199" i="397" l="1"/>
  <c r="A202" i="397"/>
  <c r="BV190" i="397"/>
  <c r="BW190" i="397" s="1"/>
  <c r="BF189" i="397"/>
  <c r="CG189" i="397" s="1"/>
  <c r="BG332" i="397"/>
  <c r="BD332" i="397" s="1"/>
  <c r="BF332" i="397" s="1"/>
  <c r="CG332" i="397" s="1"/>
  <c r="CH189" i="397"/>
  <c r="BN199" i="397" l="1"/>
  <c r="CB199" i="397" s="1"/>
  <c r="CE190" i="397"/>
  <c r="CF190" i="397" s="1"/>
  <c r="BE190" i="397"/>
  <c r="BF190" i="397" l="1"/>
  <c r="CG190" i="397" s="1"/>
  <c r="BG335" i="397"/>
  <c r="BD335" i="397" s="1"/>
  <c r="BF335" i="397" s="1"/>
  <c r="CG335" i="397" s="1"/>
  <c r="CH190" i="397"/>
  <c r="CA202" i="397" l="1"/>
  <c r="A201" i="397"/>
  <c r="CD191" i="397"/>
  <c r="BU191" i="397"/>
  <c r="BS192" i="397" s="1"/>
  <c r="BT192" i="397" s="1"/>
  <c r="BN202" i="397" l="1"/>
  <c r="CB202" i="397" s="1"/>
  <c r="BV191" i="397"/>
  <c r="BW191" i="397" s="1"/>
  <c r="BE191" i="397" l="1"/>
  <c r="CE191" i="397"/>
  <c r="CF191" i="397" s="1"/>
  <c r="BG338" i="397" l="1"/>
  <c r="BD338" i="397" s="1"/>
  <c r="BF338" i="397" s="1"/>
  <c r="CG338" i="397" s="1"/>
  <c r="BF191" i="397"/>
  <c r="CG191" i="397" s="1"/>
  <c r="CH191" i="397" s="1"/>
  <c r="BU192" i="397" l="1"/>
  <c r="CD192" i="397"/>
  <c r="BS193" i="397" l="1"/>
  <c r="BT193" i="397" s="1"/>
  <c r="BU193" i="397"/>
  <c r="BS194" i="397" s="1"/>
  <c r="BT194" i="397" s="1"/>
  <c r="CD193" i="397"/>
  <c r="BV192" i="397"/>
  <c r="BW192" i="397" s="1"/>
  <c r="BE192" i="397" s="1"/>
  <c r="CE192" i="397" l="1"/>
  <c r="CF192" i="397" s="1"/>
  <c r="BV193" i="397"/>
  <c r="BW193" i="397" s="1"/>
  <c r="CA201" i="397"/>
  <c r="CD184" i="397"/>
  <c r="BF192" i="397"/>
  <c r="CG192" i="397" s="1"/>
  <c r="CH192" i="397" s="1"/>
  <c r="BG341" i="397"/>
  <c r="BD341" i="397" s="1"/>
  <c r="BF341" i="397" s="1"/>
  <c r="CG341" i="397" s="1"/>
  <c r="BE193" i="397" l="1"/>
  <c r="CE193" i="397"/>
  <c r="CF193" i="397" s="1"/>
  <c r="BU194" i="397"/>
  <c r="BS217" i="397" s="1"/>
  <c r="CD194" i="397"/>
  <c r="BN201" i="397"/>
  <c r="CB201" i="397" s="1"/>
  <c r="BT217" i="397" l="1"/>
  <c r="BU217" i="397" s="1"/>
  <c r="BV217" i="397" s="1"/>
  <c r="BW217" i="397" s="1"/>
  <c r="BS218" i="397"/>
  <c r="BV194" i="397"/>
  <c r="BW194" i="397" s="1"/>
  <c r="BF193" i="397"/>
  <c r="CG193" i="397" s="1"/>
  <c r="CH193" i="397" s="1"/>
  <c r="BG343" i="397"/>
  <c r="BD343" i="397" s="1"/>
  <c r="BF343" i="397" s="1"/>
  <c r="CG343" i="397" s="1"/>
  <c r="CE184" i="397"/>
  <c r="BE184" i="397"/>
  <c r="CD199" i="397"/>
  <c r="BU199" i="397"/>
  <c r="BT218" i="397" l="1"/>
  <c r="BU218" i="397" s="1"/>
  <c r="BV218" i="397" s="1"/>
  <c r="BW218" i="397" s="1"/>
  <c r="BS219" i="397"/>
  <c r="BT219" i="397" s="1"/>
  <c r="CE194" i="397"/>
  <c r="CF194" i="397" s="1"/>
  <c r="BE194" i="397"/>
  <c r="CA203" i="397"/>
  <c r="A184" i="397"/>
  <c r="BV199" i="397"/>
  <c r="BD398" i="397"/>
  <c r="BF398" i="397" s="1"/>
  <c r="CG398" i="397" s="1"/>
  <c r="BF184" i="397"/>
  <c r="CG184" i="397" s="1"/>
  <c r="BU219" i="397" l="1"/>
  <c r="BV219" i="397" s="1"/>
  <c r="BW219" i="397" s="1"/>
  <c r="CD219" i="397"/>
  <c r="BF194" i="397"/>
  <c r="CG194" i="397" s="1"/>
  <c r="BG344" i="397"/>
  <c r="BD344" i="397" s="1"/>
  <c r="BF344" i="397" s="1"/>
  <c r="CG344" i="397" s="1"/>
  <c r="CH194" i="397"/>
  <c r="BN203" i="397"/>
  <c r="CB203" i="397" s="1"/>
  <c r="BW199" i="397"/>
  <c r="CE199" i="397"/>
  <c r="CF199" i="397" s="1"/>
  <c r="BE199" i="397"/>
  <c r="CE219" i="397" l="1"/>
  <c r="BE219" i="397"/>
  <c r="CA184" i="397"/>
  <c r="A204" i="397"/>
  <c r="BT201" i="397"/>
  <c r="BU201" i="397" s="1"/>
  <c r="BV201" i="397" s="1"/>
  <c r="BS202" i="397" s="1"/>
  <c r="BS203" i="397" s="1"/>
  <c r="BG300" i="397"/>
  <c r="BD300" i="397" s="1"/>
  <c r="BF300" i="397" s="1"/>
  <c r="CG300" i="397" s="1"/>
  <c r="BF199" i="397"/>
  <c r="CG199" i="397" s="1"/>
  <c r="CH199" i="397"/>
  <c r="BF219" i="397" l="1"/>
  <c r="CG219" i="397" s="1"/>
  <c r="BD400" i="397"/>
  <c r="BF400" i="397" s="1"/>
  <c r="CG400" i="397" s="1"/>
  <c r="BT202" i="397"/>
  <c r="BN184" i="397"/>
  <c r="CB184" i="397" s="1"/>
  <c r="CF184" i="397" s="1"/>
  <c r="CH184" i="397" s="1"/>
  <c r="BW201" i="397"/>
  <c r="BT203" i="397"/>
  <c r="BU203" i="397" s="1"/>
  <c r="BV203" i="397" s="1"/>
  <c r="BS204" i="397" s="1"/>
  <c r="BU202" i="397" l="1"/>
  <c r="BV202" i="397" s="1"/>
  <c r="BW202" i="397" s="1"/>
  <c r="CD202" i="397"/>
  <c r="BW203" i="397"/>
  <c r="BT204" i="397"/>
  <c r="CD201" i="397"/>
  <c r="CE202" i="397" l="1"/>
  <c r="CF202" i="397" s="1"/>
  <c r="BE202" i="397"/>
  <c r="CA204" i="397"/>
  <c r="BN204" i="397"/>
  <c r="CB204" i="397" s="1"/>
  <c r="BU204" i="397"/>
  <c r="BV204" i="397" s="1"/>
  <c r="BW204" i="397" s="1"/>
  <c r="CD204" i="397"/>
  <c r="BF202" i="397" l="1"/>
  <c r="CG202" i="397" s="1"/>
  <c r="BG305" i="397"/>
  <c r="BD305" i="397" s="1"/>
  <c r="BF305" i="397" s="1"/>
  <c r="CG305" i="397" s="1"/>
  <c r="CH202" i="397"/>
  <c r="CE204" i="397"/>
  <c r="CF204" i="397" s="1"/>
  <c r="BE204" i="397"/>
  <c r="CE201" i="397"/>
  <c r="CF201" i="397" s="1"/>
  <c r="BE201" i="397"/>
  <c r="CD203" i="397"/>
  <c r="BD399" i="397" l="1"/>
  <c r="BF399" i="397" s="1"/>
  <c r="CG399" i="397" s="1"/>
  <c r="BF204" i="397"/>
  <c r="CG204" i="397" s="1"/>
  <c r="CH204" i="397"/>
  <c r="BG301" i="397"/>
  <c r="BD301" i="397" s="1"/>
  <c r="BF301" i="397" s="1"/>
  <c r="CG301" i="397" s="1"/>
  <c r="BF201" i="397"/>
  <c r="CG201" i="397" s="1"/>
  <c r="CH201" i="397" s="1"/>
  <c r="CE203" i="397" l="1"/>
  <c r="CF203" i="397" s="1"/>
  <c r="BE203" i="397"/>
  <c r="BG302" i="397" l="1"/>
  <c r="BD302" i="397" s="1"/>
  <c r="BF302" i="397" s="1"/>
  <c r="CG302" i="397" s="1"/>
  <c r="BF203" i="397"/>
  <c r="CG203" i="397" s="1"/>
  <c r="CH203" i="397"/>
  <c r="CD218" i="397" l="1"/>
  <c r="CE218" i="397" l="1"/>
  <c r="BE218" i="397"/>
  <c r="BG348" i="397" l="1"/>
  <c r="BD348" i="397" s="1"/>
  <c r="BF348" i="397" s="1"/>
  <c r="CG348" i="397" s="1"/>
  <c r="BF218" i="397"/>
  <c r="CG218" i="397" s="1"/>
  <c r="BD402" i="397"/>
  <c r="BF402" i="397" s="1"/>
  <c r="CG402" i="397" s="1"/>
  <c r="H20" i="685" l="1"/>
  <c r="H23" i="685" s="1"/>
  <c r="AB19" i="685" s="1"/>
  <c r="AB21" i="685" s="1"/>
  <c r="X257" i="202" s="1"/>
  <c r="X276" i="202" s="1"/>
  <c r="X277" i="202" s="1"/>
  <c r="X10" i="685"/>
  <c r="X21" i="685" s="1"/>
  <c r="T257" i="202" s="1"/>
  <c r="T276" i="202" s="1"/>
  <c r="P277" i="202" s="1"/>
  <c r="BI21" i="685" l="1"/>
  <c r="BG257" i="202"/>
  <c r="BG276" i="202" s="1"/>
  <c r="BK208" i="397"/>
  <c r="A208" i="397"/>
  <c r="CA208" i="397" l="1"/>
  <c r="BL208" i="397"/>
  <c r="BJ209" i="397" s="1"/>
  <c r="BM208" i="397" l="1"/>
  <c r="BN208" i="397" s="1"/>
  <c r="CB208" i="397" s="1"/>
  <c r="BT247" i="397" l="1"/>
  <c r="BU247" i="397" l="1"/>
  <c r="BS208" i="397" s="1"/>
  <c r="CD247" i="397"/>
  <c r="BT208" i="397" l="1"/>
  <c r="BV247" i="397"/>
  <c r="BW247" i="397" s="1"/>
  <c r="CE247" i="397"/>
  <c r="BE247" i="397"/>
  <c r="BK209" i="397"/>
  <c r="A209" i="397"/>
  <c r="BU208" i="397" l="1"/>
  <c r="BS209" i="397" s="1"/>
  <c r="CD208" i="397"/>
  <c r="BG310" i="397"/>
  <c r="BD310" i="397" s="1"/>
  <c r="BF310" i="397" s="1"/>
  <c r="CG310" i="397" s="1"/>
  <c r="BF247" i="397"/>
  <c r="CG247" i="397" s="1"/>
  <c r="CA209" i="397"/>
  <c r="BL209" i="397"/>
  <c r="BJ210" i="397" s="1"/>
  <c r="BT209" i="397" l="1"/>
  <c r="BV208" i="397"/>
  <c r="BW208" i="397" s="1"/>
  <c r="BK210" i="397"/>
  <c r="A210" i="397"/>
  <c r="BM209" i="397"/>
  <c r="BN209" i="397" s="1"/>
  <c r="CB209" i="397" s="1"/>
  <c r="CE208" i="397" l="1"/>
  <c r="CF208" i="397" s="1"/>
  <c r="BE208" i="397"/>
  <c r="BU209" i="397"/>
  <c r="BS210" i="397" s="1"/>
  <c r="CD209" i="397"/>
  <c r="BT233" i="397"/>
  <c r="BU233" i="397" s="1"/>
  <c r="CA210" i="397"/>
  <c r="BL210" i="397"/>
  <c r="BJ211" i="397" s="1"/>
  <c r="BT210" i="397" l="1"/>
  <c r="BV209" i="397"/>
  <c r="BW209" i="397" s="1"/>
  <c r="BG312" i="397"/>
  <c r="BD312" i="397" s="1"/>
  <c r="BF312" i="397" s="1"/>
  <c r="CG312" i="397" s="1"/>
  <c r="BF208" i="397"/>
  <c r="CG208" i="397" s="1"/>
  <c r="CH208" i="397" s="1"/>
  <c r="BV233" i="397"/>
  <c r="BM210" i="397"/>
  <c r="BN210" i="397" s="1"/>
  <c r="CB210" i="397" s="1"/>
  <c r="BW233" i="397" l="1"/>
  <c r="BS234" i="397"/>
  <c r="BT234" i="397" s="1"/>
  <c r="BU234" i="397" s="1"/>
  <c r="BV234" i="397" s="1"/>
  <c r="CE209" i="397"/>
  <c r="CF209" i="397" s="1"/>
  <c r="BE209" i="397"/>
  <c r="BU210" i="397"/>
  <c r="BS211" i="397" s="1"/>
  <c r="CD210" i="397"/>
  <c r="CD234" i="397"/>
  <c r="CD233" i="397"/>
  <c r="BK211" i="397"/>
  <c r="A211" i="397"/>
  <c r="BW234" i="397" l="1"/>
  <c r="BS235" i="397"/>
  <c r="BT235" i="397" s="1"/>
  <c r="BT211" i="397"/>
  <c r="BV210" i="397"/>
  <c r="BW210" i="397" s="1"/>
  <c r="BF209" i="397"/>
  <c r="CG209" i="397" s="1"/>
  <c r="CH209" i="397" s="1"/>
  <c r="BG315" i="397"/>
  <c r="BD315" i="397" s="1"/>
  <c r="BF315" i="397" s="1"/>
  <c r="CG315" i="397" s="1"/>
  <c r="CE233" i="397"/>
  <c r="BE233" i="397"/>
  <c r="CA211" i="397"/>
  <c r="BL211" i="397"/>
  <c r="BJ212" i="397" s="1"/>
  <c r="BU235" i="397" l="1"/>
  <c r="BV235" i="397" s="1"/>
  <c r="CD235" i="397"/>
  <c r="CE234" i="397"/>
  <c r="BE234" i="397"/>
  <c r="CE210" i="397"/>
  <c r="CF210" i="397" s="1"/>
  <c r="BE210" i="397"/>
  <c r="BU211" i="397"/>
  <c r="BS212" i="397" s="1"/>
  <c r="CD211" i="397"/>
  <c r="BF233" i="397"/>
  <c r="CG233" i="397" s="1"/>
  <c r="BG342" i="397"/>
  <c r="BD342" i="397" s="1"/>
  <c r="BF342" i="397" s="1"/>
  <c r="CG342" i="397" s="1"/>
  <c r="BM211" i="397"/>
  <c r="BN211" i="397" s="1"/>
  <c r="CB211" i="397" s="1"/>
  <c r="BF234" i="397" l="1"/>
  <c r="CG234" i="397" s="1"/>
  <c r="BG345" i="397"/>
  <c r="BD345" i="397" s="1"/>
  <c r="BF345" i="397" s="1"/>
  <c r="CG345" i="397" s="1"/>
  <c r="BW235" i="397"/>
  <c r="BS236" i="397"/>
  <c r="BT236" i="397" s="1"/>
  <c r="BU236" i="397" s="1"/>
  <c r="BV236" i="397" s="1"/>
  <c r="BT212" i="397"/>
  <c r="BV211" i="397"/>
  <c r="BW211" i="397" s="1"/>
  <c r="BF210" i="397"/>
  <c r="CG210" i="397" s="1"/>
  <c r="CH210" i="397" s="1"/>
  <c r="BG316" i="397"/>
  <c r="BD316" i="397" s="1"/>
  <c r="BF316" i="397" s="1"/>
  <c r="CG316" i="397" s="1"/>
  <c r="BK212" i="397"/>
  <c r="A212" i="397"/>
  <c r="BS237" i="397" l="1"/>
  <c r="BT237" i="397" s="1"/>
  <c r="BU237" i="397" s="1"/>
  <c r="BV237" i="397" s="1"/>
  <c r="BW237" i="397" s="1"/>
  <c r="BW236" i="397"/>
  <c r="CE235" i="397"/>
  <c r="BE235" i="397"/>
  <c r="CE211" i="397"/>
  <c r="CF211" i="397" s="1"/>
  <c r="BE211" i="397"/>
  <c r="BU212" i="397"/>
  <c r="BS213" i="397" s="1"/>
  <c r="CD212" i="397"/>
  <c r="CA212" i="397"/>
  <c r="BL212" i="397"/>
  <c r="BJ213" i="397" s="1"/>
  <c r="BG347" i="397" l="1"/>
  <c r="BD347" i="397" s="1"/>
  <c r="BF347" i="397" s="1"/>
  <c r="CG347" i="397" s="1"/>
  <c r="BF235" i="397"/>
  <c r="CG235" i="397" s="1"/>
  <c r="BT213" i="397"/>
  <c r="BU213" i="397" s="1"/>
  <c r="BS214" i="397" s="1"/>
  <c r="BV212" i="397"/>
  <c r="BW212" i="397" s="1"/>
  <c r="BG317" i="397"/>
  <c r="BD317" i="397" s="1"/>
  <c r="BF317" i="397" s="1"/>
  <c r="CG317" i="397" s="1"/>
  <c r="BF211" i="397"/>
  <c r="CG211" i="397" s="1"/>
  <c r="CH211" i="397" s="1"/>
  <c r="BM212" i="397"/>
  <c r="BN212" i="397" s="1"/>
  <c r="CB212" i="397" s="1"/>
  <c r="BV213" i="397" l="1"/>
  <c r="BW213" i="397" s="1"/>
  <c r="CE212" i="397"/>
  <c r="CF212" i="397" s="1"/>
  <c r="BE212" i="397"/>
  <c r="CD213" i="397"/>
  <c r="BK213" i="397"/>
  <c r="A213" i="397"/>
  <c r="BT214" i="397" l="1"/>
  <c r="BU214" i="397" s="1"/>
  <c r="BS215" i="397" s="1"/>
  <c r="BG318" i="397"/>
  <c r="BD318" i="397" s="1"/>
  <c r="BF318" i="397" s="1"/>
  <c r="CG318" i="397" s="1"/>
  <c r="BF212" i="397"/>
  <c r="CG212" i="397" s="1"/>
  <c r="CH212" i="397" s="1"/>
  <c r="CA213" i="397"/>
  <c r="BL213" i="397"/>
  <c r="BJ214" i="397" s="1"/>
  <c r="BV214" i="397" l="1"/>
  <c r="BW214" i="397" s="1"/>
  <c r="CE213" i="397"/>
  <c r="BE213" i="397"/>
  <c r="CD214" i="397"/>
  <c r="BK214" i="397"/>
  <c r="A214" i="397"/>
  <c r="BM213" i="397"/>
  <c r="BN213" i="397" s="1"/>
  <c r="CB213" i="397" s="1"/>
  <c r="CF213" i="397" s="1"/>
  <c r="BF213" i="397" l="1"/>
  <c r="CG213" i="397" s="1"/>
  <c r="CH213" i="397" s="1"/>
  <c r="BG320" i="397"/>
  <c r="BD320" i="397" s="1"/>
  <c r="BF320" i="397" s="1"/>
  <c r="CG320" i="397" s="1"/>
  <c r="BT215" i="397"/>
  <c r="BU215" i="397" s="1"/>
  <c r="BV215" i="397" s="1"/>
  <c r="BW215" i="397" s="1"/>
  <c r="CA214" i="397"/>
  <c r="BL214" i="397"/>
  <c r="BJ215" i="397" s="1"/>
  <c r="CE214" i="397" l="1"/>
  <c r="BE214" i="397"/>
  <c r="CD215" i="397"/>
  <c r="BM214" i="397"/>
  <c r="BN214" i="397" s="1"/>
  <c r="CB214" i="397" s="1"/>
  <c r="CF214" i="397" l="1"/>
  <c r="BG322" i="397"/>
  <c r="BD322" i="397" s="1"/>
  <c r="BF322" i="397" s="1"/>
  <c r="CG322" i="397" s="1"/>
  <c r="BF214" i="397"/>
  <c r="CG214" i="397" s="1"/>
  <c r="CH214" i="397" s="1"/>
  <c r="BK215" i="397"/>
  <c r="A215" i="397"/>
  <c r="CE215" i="397" l="1"/>
  <c r="BE215" i="397"/>
  <c r="CD217" i="397"/>
  <c r="CA215" i="397"/>
  <c r="BL215" i="397"/>
  <c r="BJ216" i="397" s="1"/>
  <c r="A405" i="397"/>
  <c r="CE217" i="397" l="1"/>
  <c r="BE217" i="397"/>
  <c r="BF215" i="397"/>
  <c r="CG215" i="397" s="1"/>
  <c r="BG321" i="397"/>
  <c r="BD321" i="397" s="1"/>
  <c r="BF321" i="397" s="1"/>
  <c r="CG321" i="397" s="1"/>
  <c r="BM215" i="397"/>
  <c r="BN215" i="397" s="1"/>
  <c r="CB215" i="397" s="1"/>
  <c r="CF215" i="397"/>
  <c r="CH215" i="397" s="1"/>
  <c r="CA405" i="397"/>
  <c r="BF217" i="397" l="1"/>
  <c r="CG217" i="397" s="1"/>
  <c r="BG346" i="397"/>
  <c r="BD346" i="397" s="1"/>
  <c r="BF346" i="397" s="1"/>
  <c r="CG346" i="397" s="1"/>
  <c r="BK216" i="397"/>
  <c r="A216" i="397"/>
  <c r="CB405" i="397"/>
  <c r="CF405" i="397" s="1"/>
  <c r="CH405" i="397" s="1"/>
  <c r="CA216" i="397" l="1"/>
  <c r="BL216" i="397"/>
  <c r="BJ217" i="397" s="1"/>
  <c r="BM216" i="397" l="1"/>
  <c r="BN216" i="397" s="1"/>
  <c r="CB216" i="397" s="1"/>
  <c r="BK217" i="397" l="1"/>
  <c r="A217" i="397"/>
  <c r="CA217" i="397" l="1"/>
  <c r="BL217" i="397"/>
  <c r="BJ218" i="397" s="1"/>
  <c r="BM217" i="397" l="1"/>
  <c r="BN217" i="397" s="1"/>
  <c r="CB217" i="397" s="1"/>
  <c r="CF217" i="397" s="1"/>
  <c r="CH217" i="397" s="1"/>
  <c r="BK218" i="397" l="1"/>
  <c r="A218" i="397"/>
  <c r="CA218" i="397" l="1"/>
  <c r="BL218" i="397"/>
  <c r="BJ219" i="397" s="1"/>
  <c r="BM218" i="397" l="1"/>
  <c r="BN218" i="397" s="1"/>
  <c r="CB218" i="397" s="1"/>
  <c r="CF218" i="397"/>
  <c r="CH218" i="397" s="1"/>
  <c r="BK219" i="397" l="1"/>
  <c r="A219" i="397"/>
  <c r="A398" i="397"/>
  <c r="CA219" i="397" l="1"/>
  <c r="BL219" i="397"/>
  <c r="BJ220" i="397" s="1"/>
  <c r="CA398" i="397"/>
  <c r="BM219" i="397" l="1"/>
  <c r="BN219" i="397" s="1"/>
  <c r="CB219" i="397" s="1"/>
  <c r="CF219" i="397"/>
  <c r="CH219" i="397" s="1"/>
  <c r="CB398" i="397"/>
  <c r="CF398" i="397"/>
  <c r="CH398" i="397" s="1"/>
  <c r="BK220" i="397" l="1"/>
  <c r="A220" i="397"/>
  <c r="CA220" i="397" l="1"/>
  <c r="BL220" i="397"/>
  <c r="BJ221" i="397" s="1"/>
  <c r="BM220" i="397" l="1"/>
  <c r="BN220" i="397" s="1"/>
  <c r="CB220" i="397" s="1"/>
  <c r="BK221" i="397" l="1"/>
  <c r="A221" i="397"/>
  <c r="CA221" i="397" l="1"/>
  <c r="BL221" i="397"/>
  <c r="BJ222" i="397" s="1"/>
  <c r="BM221" i="397" l="1"/>
  <c r="BN221" i="397" s="1"/>
  <c r="CB221" i="397" s="1"/>
  <c r="A399" i="397" l="1"/>
  <c r="CA399" i="397" l="1"/>
  <c r="CB399" i="397" l="1"/>
  <c r="CF399" i="397"/>
  <c r="CH399" i="397" s="1"/>
  <c r="BK222" i="397" l="1"/>
  <c r="A222" i="397"/>
  <c r="CA222" i="397" l="1"/>
  <c r="BL222" i="397"/>
  <c r="BJ223" i="397" s="1"/>
  <c r="A223" i="397" l="1"/>
  <c r="BK223" i="397"/>
  <c r="BM222" i="397"/>
  <c r="BN222" i="397" s="1"/>
  <c r="CB222" i="397" s="1"/>
  <c r="CA223" i="397" l="1"/>
  <c r="BL223" i="397"/>
  <c r="BJ224" i="397" s="1"/>
  <c r="BM223" i="397" l="1"/>
  <c r="BN223" i="397" s="1"/>
  <c r="CB223" i="397" s="1"/>
  <c r="BK224" i="397" l="1"/>
  <c r="A224" i="397"/>
  <c r="CA224" i="397" l="1"/>
  <c r="BL224" i="397"/>
  <c r="BJ225" i="397" s="1"/>
  <c r="BK225" i="397" l="1"/>
  <c r="A225" i="397"/>
  <c r="BM224" i="397"/>
  <c r="BN224" i="397" s="1"/>
  <c r="CB224" i="397" s="1"/>
  <c r="CA225" i="397" l="1"/>
  <c r="BL225" i="397"/>
  <c r="BJ226" i="397" s="1"/>
  <c r="BM225" i="397" l="1"/>
  <c r="BN225" i="397" s="1"/>
  <c r="CB225" i="397" s="1"/>
  <c r="BK226" i="397" l="1"/>
  <c r="A226" i="397"/>
  <c r="A402" i="397"/>
  <c r="CA226" i="397" l="1"/>
  <c r="BL226" i="397"/>
  <c r="BJ227" i="397" s="1"/>
  <c r="CA402" i="397"/>
  <c r="BM226" i="397" l="1"/>
  <c r="BN226" i="397" s="1"/>
  <c r="CB226" i="397" s="1"/>
  <c r="CB402" i="397"/>
  <c r="CF402" i="397"/>
  <c r="CH402" i="397" s="1"/>
  <c r="BK227" i="397" l="1"/>
  <c r="A227" i="397"/>
  <c r="CA227" i="397" l="1"/>
  <c r="BL227" i="397"/>
  <c r="BJ228" i="397" s="1"/>
  <c r="BM227" i="397" l="1"/>
  <c r="BN227" i="397" s="1"/>
  <c r="CB227" i="397" s="1"/>
  <c r="A228" i="397" l="1"/>
  <c r="BK228" i="397"/>
  <c r="CA228" i="397" l="1"/>
  <c r="BL228" i="397"/>
  <c r="BJ229" i="397" s="1"/>
  <c r="BK229" i="397" l="1"/>
  <c r="A229" i="397"/>
  <c r="BM228" i="397"/>
  <c r="BN228" i="397" s="1"/>
  <c r="CB228" i="397" s="1"/>
  <c r="CA229" i="397" l="1"/>
  <c r="BL229" i="397"/>
  <c r="BJ230" i="397" s="1"/>
  <c r="BM229" i="397" l="1"/>
  <c r="BN229" i="397" s="1"/>
  <c r="CB229" i="397" s="1"/>
  <c r="BK230" i="397" l="1"/>
  <c r="A230" i="397"/>
  <c r="CA230" i="397" l="1"/>
  <c r="BL230" i="397"/>
  <c r="BJ231" i="397" s="1"/>
  <c r="BM230" i="397" l="1"/>
  <c r="BN230" i="397" s="1"/>
  <c r="CB230" i="397" s="1"/>
  <c r="BK231" i="397" l="1"/>
  <c r="A231" i="397"/>
  <c r="CA231" i="397" l="1"/>
  <c r="BL231" i="397"/>
  <c r="BJ232" i="397" s="1"/>
  <c r="BM231" i="397" l="1"/>
  <c r="BN231" i="397" s="1"/>
  <c r="CB231" i="397" s="1"/>
  <c r="A247" i="397" l="1"/>
  <c r="CA247" i="397" l="1"/>
  <c r="CB247" i="397" l="1"/>
  <c r="CF247" i="397"/>
  <c r="CH247" i="397" s="1"/>
  <c r="BK232" i="397" l="1"/>
  <c r="A232" i="397"/>
  <c r="CA232" i="397" l="1"/>
  <c r="BL232" i="397"/>
  <c r="BJ233" i="397" s="1"/>
  <c r="BM232" i="397" l="1"/>
  <c r="BN232" i="397" s="1"/>
  <c r="CB232" i="397" s="1"/>
  <c r="BK233" i="397" l="1"/>
  <c r="A233" i="397"/>
  <c r="CA233" i="397" l="1"/>
  <c r="BL233" i="397"/>
  <c r="BJ234" i="397" s="1"/>
  <c r="BM233" i="397" l="1"/>
  <c r="BN233" i="397" s="1"/>
  <c r="CB233" i="397" s="1"/>
  <c r="CF233" i="397" s="1"/>
  <c r="CH233" i="397" s="1"/>
  <c r="BK234" i="397" l="1"/>
  <c r="A234" i="397"/>
  <c r="CA234" i="397" l="1"/>
  <c r="BL234" i="397"/>
  <c r="BJ235" i="397" s="1"/>
  <c r="BM234" i="397" l="1"/>
  <c r="BN234" i="397" s="1"/>
  <c r="CB234" i="397" s="1"/>
  <c r="CF234" i="397" s="1"/>
  <c r="CH234" i="397" s="1"/>
  <c r="BK235" i="397" l="1"/>
  <c r="A235" i="397"/>
  <c r="CA235" i="397" l="1"/>
  <c r="BL235" i="397"/>
  <c r="BJ236" i="397" s="1"/>
  <c r="BM235" i="397" l="1"/>
  <c r="BN235" i="397" s="1"/>
  <c r="CB235" i="397" s="1"/>
  <c r="CF235" i="397"/>
  <c r="CH235" i="397" s="1"/>
  <c r="A245" i="397"/>
  <c r="A236" i="397" l="1"/>
  <c r="BK236" i="397"/>
  <c r="CA245" i="397"/>
  <c r="BL236" i="397" l="1"/>
  <c r="BJ237" i="397" s="1"/>
  <c r="CA236" i="397"/>
  <c r="CB245" i="397"/>
  <c r="CF245" i="397" s="1"/>
  <c r="CH245" i="397" s="1"/>
  <c r="BM236" i="397" l="1"/>
  <c r="BN236" i="397" s="1"/>
  <c r="CB236" i="397" s="1"/>
  <c r="A237" i="397" l="1"/>
  <c r="BK237" i="397"/>
  <c r="BL237" i="397" l="1"/>
  <c r="BJ238" i="397" s="1"/>
  <c r="CA237" i="397"/>
  <c r="BM237" i="397" l="1"/>
  <c r="BN237" i="397" s="1"/>
  <c r="CB237" i="397" s="1"/>
  <c r="BK238" i="397" l="1"/>
  <c r="A238" i="397"/>
  <c r="CA238" i="397" l="1"/>
  <c r="BL238" i="397"/>
  <c r="BJ239" i="397" s="1"/>
  <c r="BM238" i="397" l="1"/>
  <c r="BN238" i="397" s="1"/>
  <c r="CB238" i="397" s="1"/>
  <c r="CF238" i="397"/>
  <c r="CH238" i="397" s="1"/>
  <c r="A239" i="397" l="1"/>
  <c r="BK239" i="397"/>
  <c r="CA239" i="397" l="1"/>
  <c r="BL239" i="397"/>
  <c r="BJ240" i="397" s="1"/>
  <c r="BM239" i="397" l="1"/>
  <c r="BN239" i="397" s="1"/>
  <c r="CB239" i="397" s="1"/>
  <c r="CF239" i="397" s="1"/>
  <c r="CH239" i="397" s="1"/>
  <c r="BK240" i="397" l="1"/>
  <c r="A240" i="397"/>
  <c r="CA240" i="397" l="1"/>
  <c r="BL240" i="397"/>
  <c r="BM240" i="397" l="1"/>
  <c r="BN240" i="397" s="1"/>
  <c r="CB240" i="397" s="1"/>
  <c r="BJ290" i="397"/>
  <c r="CF240" i="397"/>
  <c r="CH240" i="397" s="1"/>
  <c r="BK290" i="397" l="1"/>
  <c r="A290" i="397"/>
  <c r="BL290" i="397" l="1"/>
  <c r="CA290" i="397"/>
  <c r="BJ291" i="397" l="1"/>
  <c r="BM290" i="397"/>
  <c r="BN290" i="397" s="1"/>
  <c r="CB290" i="397" s="1"/>
  <c r="CF290" i="397" s="1"/>
  <c r="CH290" i="397" s="1"/>
  <c r="BK291" i="397" l="1"/>
  <c r="A291" i="397"/>
  <c r="BL291" i="397" l="1"/>
  <c r="CA291" i="397"/>
  <c r="BJ292" i="397" l="1"/>
  <c r="BM291" i="397"/>
  <c r="BN291" i="397" s="1"/>
  <c r="CB291" i="397" s="1"/>
  <c r="CF291" i="397" s="1"/>
  <c r="CH291" i="397" s="1"/>
  <c r="BK292" i="397" l="1"/>
  <c r="A292" i="397"/>
  <c r="BL292" i="397" l="1"/>
  <c r="CA292" i="397"/>
  <c r="BM292" i="397" l="1"/>
  <c r="BN292" i="397" s="1"/>
  <c r="CB292" i="397" s="1"/>
  <c r="CF292" i="397" s="1"/>
  <c r="CH292" i="397" s="1"/>
  <c r="BJ293" i="397"/>
  <c r="BK293" i="397" l="1"/>
  <c r="A293" i="397"/>
  <c r="BL293" i="397" l="1"/>
  <c r="CA293" i="397"/>
  <c r="BM293" i="397" l="1"/>
  <c r="BN293" i="397" s="1"/>
  <c r="CB293" i="397" s="1"/>
  <c r="CF293" i="397" s="1"/>
  <c r="CH293" i="397" s="1"/>
  <c r="BJ294" i="397"/>
  <c r="BK294" i="397" l="1"/>
  <c r="A294" i="397"/>
  <c r="BL294" i="397" l="1"/>
  <c r="CA294" i="397"/>
  <c r="BM294" i="397" l="1"/>
  <c r="BN294" i="397" s="1"/>
  <c r="CB294" i="397" s="1"/>
  <c r="CF294" i="397" s="1"/>
  <c r="CH294" i="397" s="1"/>
  <c r="BJ295" i="397"/>
  <c r="BK295" i="397" l="1"/>
  <c r="A295" i="397"/>
  <c r="BL295" i="397" l="1"/>
  <c r="CA295" i="397"/>
  <c r="BM295" i="397" l="1"/>
  <c r="BN295" i="397" s="1"/>
  <c r="CB295" i="397" s="1"/>
  <c r="CF295" i="397" s="1"/>
  <c r="CH295" i="397" s="1"/>
  <c r="BJ296" i="397"/>
  <c r="BK296" i="397" l="1"/>
  <c r="A296" i="397"/>
  <c r="BL296" i="397" l="1"/>
  <c r="CA296" i="397"/>
  <c r="BM296" i="397" l="1"/>
  <c r="BN296" i="397" s="1"/>
  <c r="CB296" i="397" s="1"/>
  <c r="CF296" i="397" s="1"/>
  <c r="CH296" i="397" s="1"/>
  <c r="BJ297" i="397"/>
  <c r="BK297" i="397" l="1"/>
  <c r="A297" i="397"/>
  <c r="BL297" i="397" l="1"/>
  <c r="CA297" i="397"/>
  <c r="BM297" i="397" l="1"/>
  <c r="BN297" i="397" s="1"/>
  <c r="CB297" i="397" s="1"/>
  <c r="CF297" i="397" s="1"/>
  <c r="CH297" i="397" s="1"/>
  <c r="BJ298" i="397"/>
  <c r="BK298" i="397" l="1"/>
  <c r="A298" i="397"/>
  <c r="BL298" i="397" l="1"/>
  <c r="CA298" i="397"/>
  <c r="BM298" i="397" l="1"/>
  <c r="BN298" i="397" s="1"/>
  <c r="CB298" i="397" s="1"/>
  <c r="CF298" i="397" s="1"/>
  <c r="CH298" i="397" s="1"/>
  <c r="BJ299" i="397"/>
  <c r="BK299" i="397" l="1"/>
  <c r="A299" i="397"/>
  <c r="BL299" i="397" l="1"/>
  <c r="CA299" i="397"/>
  <c r="BM299" i="397" l="1"/>
  <c r="BN299" i="397" s="1"/>
  <c r="CB299" i="397" s="1"/>
  <c r="CF299" i="397" s="1"/>
  <c r="CH299" i="397" s="1"/>
  <c r="BJ300" i="397"/>
  <c r="BK300" i="397" l="1"/>
  <c r="A300" i="397"/>
  <c r="BL300" i="397" l="1"/>
  <c r="CA300" i="397"/>
  <c r="BM300" i="397" l="1"/>
  <c r="BN300" i="397" s="1"/>
  <c r="CB300" i="397" s="1"/>
  <c r="CF300" i="397" s="1"/>
  <c r="CH300" i="397" s="1"/>
  <c r="BJ301" i="397"/>
  <c r="BK301" i="397" l="1"/>
  <c r="A301" i="397"/>
  <c r="BL301" i="397" l="1"/>
  <c r="CA301" i="397"/>
  <c r="BM301" i="397" l="1"/>
  <c r="BN301" i="397" s="1"/>
  <c r="CB301" i="397" s="1"/>
  <c r="CF301" i="397" s="1"/>
  <c r="CH301" i="397" s="1"/>
  <c r="BJ302" i="397"/>
  <c r="BK302" i="397" l="1"/>
  <c r="A302" i="397"/>
  <c r="BL302" i="397" l="1"/>
  <c r="CA302" i="397"/>
  <c r="BM302" i="397" l="1"/>
  <c r="BN302" i="397" s="1"/>
  <c r="CB302" i="397" s="1"/>
  <c r="CF302" i="397" s="1"/>
  <c r="CH302" i="397" s="1"/>
  <c r="BJ303" i="397"/>
  <c r="BK303" i="397" l="1"/>
  <c r="A303" i="397"/>
  <c r="BL303" i="397" l="1"/>
  <c r="CA303" i="397"/>
  <c r="BM303" i="397" l="1"/>
  <c r="BN303" i="397" s="1"/>
  <c r="CB303" i="397" s="1"/>
  <c r="CF303" i="397" s="1"/>
  <c r="CH303" i="397" s="1"/>
  <c r="BJ304" i="397"/>
  <c r="BK304" i="397" l="1"/>
  <c r="A304" i="397"/>
  <c r="BL304" i="397" l="1"/>
  <c r="CA304" i="397"/>
  <c r="BM304" i="397" l="1"/>
  <c r="BN304" i="397" s="1"/>
  <c r="CB304" i="397" s="1"/>
  <c r="CF304" i="397" s="1"/>
  <c r="CH304" i="397" s="1"/>
  <c r="BJ305" i="397"/>
  <c r="BK305" i="397" l="1"/>
  <c r="A305" i="397"/>
  <c r="BL305" i="397" l="1"/>
  <c r="CA305" i="397"/>
  <c r="BM305" i="397" l="1"/>
  <c r="BN305" i="397" s="1"/>
  <c r="CB305" i="397" s="1"/>
  <c r="CF305" i="397" s="1"/>
  <c r="CH305" i="397" s="1"/>
  <c r="BJ306" i="397"/>
  <c r="BK306" i="397" l="1"/>
  <c r="A306" i="397"/>
  <c r="BL306" i="397" l="1"/>
  <c r="CA306" i="397"/>
  <c r="BM306" i="397" l="1"/>
  <c r="BN306" i="397" s="1"/>
  <c r="CB306" i="397" s="1"/>
  <c r="CF306" i="397" s="1"/>
  <c r="CH306" i="397" s="1"/>
  <c r="BJ307" i="397"/>
  <c r="BK307" i="397" l="1"/>
  <c r="A307" i="397"/>
  <c r="BL307" i="397" l="1"/>
  <c r="CA307" i="397"/>
  <c r="BM307" i="397" l="1"/>
  <c r="BN307" i="397" s="1"/>
  <c r="CB307" i="397" s="1"/>
  <c r="CF307" i="397" s="1"/>
  <c r="CH307" i="397" s="1"/>
  <c r="BJ308" i="397"/>
  <c r="BK308" i="397" l="1"/>
  <c r="A308" i="397"/>
  <c r="BL308" i="397" l="1"/>
  <c r="CA308" i="397"/>
  <c r="BM308" i="397" l="1"/>
  <c r="BN308" i="397" s="1"/>
  <c r="CB308" i="397" s="1"/>
  <c r="CF308" i="397" s="1"/>
  <c r="CH308" i="397" s="1"/>
  <c r="BJ309" i="397"/>
  <c r="BK309" i="397" l="1"/>
  <c r="A309" i="397"/>
  <c r="BL309" i="397" l="1"/>
  <c r="CA309" i="397"/>
  <c r="BM309" i="397" l="1"/>
  <c r="BN309" i="397" s="1"/>
  <c r="CB309" i="397" s="1"/>
  <c r="CF309" i="397" s="1"/>
  <c r="CH309" i="397" s="1"/>
  <c r="BJ310" i="397"/>
  <c r="BK310" i="397" l="1"/>
  <c r="A310" i="397"/>
  <c r="BL310" i="397" l="1"/>
  <c r="CA310" i="397"/>
  <c r="BM310" i="397" l="1"/>
  <c r="BN310" i="397" s="1"/>
  <c r="CB310" i="397" s="1"/>
  <c r="CF310" i="397" s="1"/>
  <c r="CH310" i="397" s="1"/>
  <c r="BJ311" i="397"/>
  <c r="BK311" i="397" l="1"/>
  <c r="A311" i="397"/>
  <c r="BL311" i="397" l="1"/>
  <c r="CA311" i="397"/>
  <c r="BM311" i="397" l="1"/>
  <c r="BN311" i="397" s="1"/>
  <c r="CB311" i="397" s="1"/>
  <c r="CF311" i="397" s="1"/>
  <c r="CH311" i="397" s="1"/>
  <c r="BJ312" i="397"/>
  <c r="BK312" i="397" l="1"/>
  <c r="A312" i="397"/>
  <c r="BL312" i="397" l="1"/>
  <c r="CA312" i="397"/>
  <c r="BM312" i="397" l="1"/>
  <c r="BN312" i="397" s="1"/>
  <c r="CB312" i="397" s="1"/>
  <c r="CF312" i="397" s="1"/>
  <c r="CH312" i="397" s="1"/>
  <c r="BJ313" i="397"/>
  <c r="BK313" i="397" l="1"/>
  <c r="A313" i="397"/>
  <c r="BT216" i="397"/>
  <c r="CD216" i="397" s="1"/>
  <c r="BU216" i="397"/>
  <c r="BV216" i="397" s="1"/>
  <c r="BW216" i="397" s="1"/>
  <c r="BE216" i="397" l="1"/>
  <c r="CE216" i="397"/>
  <c r="BL313" i="397"/>
  <c r="CA313" i="397"/>
  <c r="BG319" i="397"/>
  <c r="BD319" i="397" s="1"/>
  <c r="BF319" i="397" s="1"/>
  <c r="CG319" i="397" s="1"/>
  <c r="BF216" i="397"/>
  <c r="CG216" i="397" s="1"/>
  <c r="CF216" i="397"/>
  <c r="CH216" i="397" s="1"/>
  <c r="BT220" i="397"/>
  <c r="CD220" i="397" s="1"/>
  <c r="BU220" i="397"/>
  <c r="BS221" i="397" s="1"/>
  <c r="BT221" i="397" s="1"/>
  <c r="BV220" i="397"/>
  <c r="BW220" i="397"/>
  <c r="CE220" i="397" s="1"/>
  <c r="BE220" i="397"/>
  <c r="BF220" i="397" s="1"/>
  <c r="CG220" i="397" s="1"/>
  <c r="BG324" i="397"/>
  <c r="BD324" i="397"/>
  <c r="BF324" i="397"/>
  <c r="CG324" i="397" s="1"/>
  <c r="BM313" i="397" l="1"/>
  <c r="BN313" i="397" s="1"/>
  <c r="CB313" i="397" s="1"/>
  <c r="CF313" i="397" s="1"/>
  <c r="CH313" i="397" s="1"/>
  <c r="BJ314" i="397"/>
  <c r="BU221" i="397"/>
  <c r="CD221" i="397"/>
  <c r="CF220" i="397"/>
  <c r="CH220" i="397" s="1"/>
  <c r="BK314" i="397" l="1"/>
  <c r="A314" i="397"/>
  <c r="BS222" i="397"/>
  <c r="BT222" i="397" s="1"/>
  <c r="BV221" i="397"/>
  <c r="BW221" i="397" s="1"/>
  <c r="BL314" i="397" l="1"/>
  <c r="CA314" i="397"/>
  <c r="CE221" i="397"/>
  <c r="CF221" i="397" s="1"/>
  <c r="BE221" i="397"/>
  <c r="CD222" i="397"/>
  <c r="BU222" i="397"/>
  <c r="BM314" i="397" l="1"/>
  <c r="BN314" i="397" s="1"/>
  <c r="CB314" i="397" s="1"/>
  <c r="CF314" i="397" s="1"/>
  <c r="CH314" i="397" s="1"/>
  <c r="BJ315" i="397"/>
  <c r="BS223" i="397"/>
  <c r="BT223" i="397" s="1"/>
  <c r="BV222" i="397"/>
  <c r="BW222" i="397" s="1"/>
  <c r="BF221" i="397"/>
  <c r="CG221" i="397" s="1"/>
  <c r="BG327" i="397"/>
  <c r="BD327" i="397" s="1"/>
  <c r="BF327" i="397" s="1"/>
  <c r="CG327" i="397" s="1"/>
  <c r="CH221" i="397"/>
  <c r="BK315" i="397" l="1"/>
  <c r="A315" i="397"/>
  <c r="CE222" i="397"/>
  <c r="CF222" i="397" s="1"/>
  <c r="BE222" i="397"/>
  <c r="CD223" i="397"/>
  <c r="BU223" i="397"/>
  <c r="BL315" i="397" l="1"/>
  <c r="CA315" i="397"/>
  <c r="BS224" i="397"/>
  <c r="BT224" i="397" s="1"/>
  <c r="BV223" i="397"/>
  <c r="BW223" i="397" s="1"/>
  <c r="BF222" i="397"/>
  <c r="CG222" i="397" s="1"/>
  <c r="BG330" i="397"/>
  <c r="BD330" i="397" s="1"/>
  <c r="BF330" i="397" s="1"/>
  <c r="CG330" i="397" s="1"/>
  <c r="CH222" i="397"/>
  <c r="BM315" i="397" l="1"/>
  <c r="BN315" i="397" s="1"/>
  <c r="CB315" i="397" s="1"/>
  <c r="CF315" i="397" s="1"/>
  <c r="CH315" i="397" s="1"/>
  <c r="BJ316" i="397"/>
  <c r="CE223" i="397"/>
  <c r="CF223" i="397" s="1"/>
  <c r="BE223" i="397"/>
  <c r="CD224" i="397"/>
  <c r="BU224" i="397"/>
  <c r="BK316" i="397" l="1"/>
  <c r="A316" i="397"/>
  <c r="BS225" i="397"/>
  <c r="BT225" i="397" s="1"/>
  <c r="BV224" i="397"/>
  <c r="BW224" i="397" s="1"/>
  <c r="BF223" i="397"/>
  <c r="CG223" i="397" s="1"/>
  <c r="BG333" i="397"/>
  <c r="BD333" i="397" s="1"/>
  <c r="BF333" i="397" s="1"/>
  <c r="CG333" i="397" s="1"/>
  <c r="CH223" i="397"/>
  <c r="BT226" i="397"/>
  <c r="BL316" i="397" l="1"/>
  <c r="CA316" i="397"/>
  <c r="CE224" i="397"/>
  <c r="CF224" i="397" s="1"/>
  <c r="BE224" i="397"/>
  <c r="CD225" i="397"/>
  <c r="BU225" i="397"/>
  <c r="BV225" i="397" s="1"/>
  <c r="BW225" i="397" s="1"/>
  <c r="CE225" i="397" s="1"/>
  <c r="CF225" i="397" s="1"/>
  <c r="CD236" i="397"/>
  <c r="CD226" i="397"/>
  <c r="BU226" i="397"/>
  <c r="BV226" i="397" s="1"/>
  <c r="BE225" i="397" l="1"/>
  <c r="BM316" i="397"/>
  <c r="BN316" i="397" s="1"/>
  <c r="CB316" i="397" s="1"/>
  <c r="CF316" i="397" s="1"/>
  <c r="CH316" i="397" s="1"/>
  <c r="BJ317" i="397"/>
  <c r="BW226" i="397"/>
  <c r="BE226" i="397" s="1"/>
  <c r="BS227" i="397"/>
  <c r="BT227" i="397" s="1"/>
  <c r="BF224" i="397"/>
  <c r="CG224" i="397" s="1"/>
  <c r="BG336" i="397"/>
  <c r="BD336" i="397" s="1"/>
  <c r="BF336" i="397" s="1"/>
  <c r="CG336" i="397" s="1"/>
  <c r="CH224" i="397"/>
  <c r="BF225" i="397"/>
  <c r="CG225" i="397" s="1"/>
  <c r="BG339" i="397"/>
  <c r="BD339" i="397" s="1"/>
  <c r="BF339" i="397" s="1"/>
  <c r="CG339" i="397" s="1"/>
  <c r="CH225" i="397"/>
  <c r="CE226" i="397" l="1"/>
  <c r="CF226" i="397" s="1"/>
  <c r="BK317" i="397"/>
  <c r="A317" i="397"/>
  <c r="BU227" i="397"/>
  <c r="BV227" i="397" s="1"/>
  <c r="CD227" i="397"/>
  <c r="CD237" i="397"/>
  <c r="CE236" i="397"/>
  <c r="CF236" i="397" s="1"/>
  <c r="BE236" i="397"/>
  <c r="BF226" i="397"/>
  <c r="CG226" i="397" s="1"/>
  <c r="CH226" i="397" s="1"/>
  <c r="BG325" i="397"/>
  <c r="BD325" i="397" s="1"/>
  <c r="BF325" i="397" s="1"/>
  <c r="CG325" i="397" s="1"/>
  <c r="BL317" i="397" l="1"/>
  <c r="CA317" i="397"/>
  <c r="BW227" i="397"/>
  <c r="BS228" i="397"/>
  <c r="BT228" i="397" s="1"/>
  <c r="BF236" i="397"/>
  <c r="CG236" i="397" s="1"/>
  <c r="CH236" i="397" s="1"/>
  <c r="BG349" i="397"/>
  <c r="BD349" i="397" s="1"/>
  <c r="BF349" i="397" s="1"/>
  <c r="CG349" i="397" s="1"/>
  <c r="BM317" i="397" l="1"/>
  <c r="BN317" i="397" s="1"/>
  <c r="CB317" i="397" s="1"/>
  <c r="CF317" i="397" s="1"/>
  <c r="CH317" i="397" s="1"/>
  <c r="BJ318" i="397"/>
  <c r="BU228" i="397"/>
  <c r="BV228" i="397" s="1"/>
  <c r="CD228" i="397"/>
  <c r="CE227" i="397"/>
  <c r="CF227" i="397" s="1"/>
  <c r="BE227" i="397"/>
  <c r="CE237" i="397"/>
  <c r="CF237" i="397" s="1"/>
  <c r="BE237" i="397"/>
  <c r="BK318" i="397" l="1"/>
  <c r="A318" i="397"/>
  <c r="BF227" i="397"/>
  <c r="CG227" i="397" s="1"/>
  <c r="BG328" i="397"/>
  <c r="BD328" i="397" s="1"/>
  <c r="BF328" i="397" s="1"/>
  <c r="CG328" i="397" s="1"/>
  <c r="CH227" i="397"/>
  <c r="BW228" i="397"/>
  <c r="BS229" i="397"/>
  <c r="BT229" i="397" s="1"/>
  <c r="BF237" i="397"/>
  <c r="CG237" i="397" s="1"/>
  <c r="CH237" i="397" s="1"/>
  <c r="BD401" i="397"/>
  <c r="BF401" i="397" s="1"/>
  <c r="CG401" i="397" s="1"/>
  <c r="BL318" i="397" l="1"/>
  <c r="CA318" i="397"/>
  <c r="BU229" i="397"/>
  <c r="BV229" i="397" s="1"/>
  <c r="CD229" i="397"/>
  <c r="CE228" i="397"/>
  <c r="CF228" i="397" s="1"/>
  <c r="BE228" i="397"/>
  <c r="BM318" i="397" l="1"/>
  <c r="BN318" i="397" s="1"/>
  <c r="CB318" i="397" s="1"/>
  <c r="CF318" i="397" s="1"/>
  <c r="CH318" i="397" s="1"/>
  <c r="BJ319" i="397"/>
  <c r="BF228" i="397"/>
  <c r="CG228" i="397" s="1"/>
  <c r="CH228" i="397" s="1"/>
  <c r="BG331" i="397"/>
  <c r="BD331" i="397" s="1"/>
  <c r="BF331" i="397" s="1"/>
  <c r="CG331" i="397" s="1"/>
  <c r="BW229" i="397"/>
  <c r="BS230" i="397"/>
  <c r="BT230" i="397" s="1"/>
  <c r="BK319" i="397" l="1"/>
  <c r="A319" i="397"/>
  <c r="BU230" i="397"/>
  <c r="BV230" i="397" s="1"/>
  <c r="CD230" i="397"/>
  <c r="CE229" i="397"/>
  <c r="CF229" i="397" s="1"/>
  <c r="BE229" i="397"/>
  <c r="BL319" i="397" l="1"/>
  <c r="CA319" i="397"/>
  <c r="BF229" i="397"/>
  <c r="CG229" i="397" s="1"/>
  <c r="BG334" i="397"/>
  <c r="BD334" i="397" s="1"/>
  <c r="BF334" i="397" s="1"/>
  <c r="CG334" i="397" s="1"/>
  <c r="CH229" i="397"/>
  <c r="BW230" i="397"/>
  <c r="BS231" i="397"/>
  <c r="BT231" i="397" s="1"/>
  <c r="BM319" i="397" l="1"/>
  <c r="BN319" i="397" s="1"/>
  <c r="CB319" i="397" s="1"/>
  <c r="CF319" i="397" s="1"/>
  <c r="CH319" i="397" s="1"/>
  <c r="BJ320" i="397"/>
  <c r="BU231" i="397"/>
  <c r="BV231" i="397" s="1"/>
  <c r="BS232" i="397" s="1"/>
  <c r="CD231" i="397"/>
  <c r="CE230" i="397"/>
  <c r="CF230" i="397" s="1"/>
  <c r="BE230" i="397"/>
  <c r="BK320" i="397" l="1"/>
  <c r="A320" i="397"/>
  <c r="BF230" i="397"/>
  <c r="CG230" i="397" s="1"/>
  <c r="BG337" i="397"/>
  <c r="BD337" i="397" s="1"/>
  <c r="BF337" i="397" s="1"/>
  <c r="CG337" i="397" s="1"/>
  <c r="CH230" i="397"/>
  <c r="BW231" i="397"/>
  <c r="BT232" i="397"/>
  <c r="BL320" i="397" l="1"/>
  <c r="CA320" i="397"/>
  <c r="BU232" i="397"/>
  <c r="BV232" i="397" s="1"/>
  <c r="BW232" i="397" s="1"/>
  <c r="CD232" i="397"/>
  <c r="CE231" i="397"/>
  <c r="CF231" i="397" s="1"/>
  <c r="BE231" i="397"/>
  <c r="BM320" i="397" l="1"/>
  <c r="BN320" i="397" s="1"/>
  <c r="CB320" i="397" s="1"/>
  <c r="CF320" i="397" s="1"/>
  <c r="CH320" i="397" s="1"/>
  <c r="BJ321" i="397"/>
  <c r="BF231" i="397"/>
  <c r="CG231" i="397" s="1"/>
  <c r="CH231" i="397" s="1"/>
  <c r="BG340" i="397"/>
  <c r="BD340" i="397" s="1"/>
  <c r="BF340" i="397" s="1"/>
  <c r="CG340" i="397" s="1"/>
  <c r="CE232" i="397"/>
  <c r="CF232" i="397" s="1"/>
  <c r="BE232" i="397"/>
  <c r="BF232" i="397" s="1"/>
  <c r="CG232" i="397" s="1"/>
  <c r="BK321" i="397" l="1"/>
  <c r="A321" i="397"/>
  <c r="CH232" i="397"/>
  <c r="BL321" i="397" l="1"/>
  <c r="CA321" i="397"/>
  <c r="BM321" i="397" l="1"/>
  <c r="BN321" i="397" s="1"/>
  <c r="CB321" i="397" s="1"/>
  <c r="CF321" i="397" s="1"/>
  <c r="CH321" i="397" s="1"/>
  <c r="BJ322" i="397"/>
  <c r="BK322" i="397" l="1"/>
  <c r="A322" i="397"/>
  <c r="BL322" i="397" l="1"/>
  <c r="CA322" i="397"/>
  <c r="BM322" i="397" l="1"/>
  <c r="BN322" i="397" s="1"/>
  <c r="CB322" i="397" s="1"/>
  <c r="CF322" i="397" s="1"/>
  <c r="CH322" i="397" s="1"/>
  <c r="BJ323" i="397"/>
  <c r="BK323" i="397" l="1"/>
  <c r="A323" i="397"/>
  <c r="BL323" i="397" l="1"/>
  <c r="CA323" i="397"/>
  <c r="BM323" i="397" l="1"/>
  <c r="BN323" i="397" s="1"/>
  <c r="CB323" i="397" s="1"/>
  <c r="CF323" i="397" s="1"/>
  <c r="CH323" i="397" s="1"/>
  <c r="BJ324" i="397"/>
  <c r="BK324" i="397" l="1"/>
  <c r="A324" i="397"/>
  <c r="BL324" i="397" l="1"/>
  <c r="CA324" i="397"/>
  <c r="BM324" i="397" l="1"/>
  <c r="BN324" i="397" s="1"/>
  <c r="CB324" i="397" s="1"/>
  <c r="CF324" i="397" s="1"/>
  <c r="CH324" i="397" s="1"/>
  <c r="BJ325" i="397"/>
  <c r="BK325" i="397" l="1"/>
  <c r="A325" i="397"/>
  <c r="BL325" i="397" l="1"/>
  <c r="CA325" i="397"/>
  <c r="BM325" i="397" l="1"/>
  <c r="BN325" i="397" s="1"/>
  <c r="CB325" i="397" s="1"/>
  <c r="CF325" i="397" s="1"/>
  <c r="CH325" i="397" s="1"/>
  <c r="BJ326" i="397"/>
  <c r="BK326" i="397" l="1"/>
  <c r="A326" i="397"/>
  <c r="BL326" i="397" l="1"/>
  <c r="CA326" i="397"/>
  <c r="BM326" i="397" l="1"/>
  <c r="BN326" i="397" s="1"/>
  <c r="CB326" i="397" s="1"/>
  <c r="CF326" i="397" s="1"/>
  <c r="CH326" i="397" s="1"/>
  <c r="BJ327" i="397"/>
  <c r="BK327" i="397" l="1"/>
  <c r="A327" i="397"/>
  <c r="BL327" i="397" l="1"/>
  <c r="CA327" i="397"/>
  <c r="BM327" i="397" l="1"/>
  <c r="BN327" i="397" s="1"/>
  <c r="CB327" i="397" s="1"/>
  <c r="CF327" i="397" s="1"/>
  <c r="CH327" i="397" s="1"/>
  <c r="BJ328" i="397"/>
  <c r="BK328" i="397" l="1"/>
  <c r="A328" i="397"/>
  <c r="BL328" i="397" l="1"/>
  <c r="CA328" i="397"/>
  <c r="BM328" i="397" l="1"/>
  <c r="BN328" i="397" s="1"/>
  <c r="CB328" i="397" s="1"/>
  <c r="CF328" i="397" s="1"/>
  <c r="CH328" i="397" s="1"/>
  <c r="BJ329" i="397"/>
  <c r="BK329" i="397" l="1"/>
  <c r="A329" i="397"/>
  <c r="BL329" i="397" l="1"/>
  <c r="CA329" i="397"/>
  <c r="BM329" i="397" l="1"/>
  <c r="BN329" i="397" s="1"/>
  <c r="CB329" i="397" s="1"/>
  <c r="CF329" i="397" s="1"/>
  <c r="CH329" i="397" s="1"/>
  <c r="BJ330" i="397"/>
  <c r="BK330" i="397" l="1"/>
  <c r="A330" i="397"/>
  <c r="BL330" i="397" l="1"/>
  <c r="CA330" i="397"/>
  <c r="BM330" i="397" l="1"/>
  <c r="BN330" i="397" s="1"/>
  <c r="CB330" i="397" s="1"/>
  <c r="CF330" i="397" s="1"/>
  <c r="CH330" i="397" s="1"/>
  <c r="BJ331" i="397"/>
  <c r="BK331" i="397" l="1"/>
  <c r="A331" i="397"/>
  <c r="BL331" i="397" l="1"/>
  <c r="CA331" i="397"/>
  <c r="BM331" i="397" l="1"/>
  <c r="BN331" i="397" s="1"/>
  <c r="CB331" i="397" s="1"/>
  <c r="CF331" i="397" s="1"/>
  <c r="CH331" i="397" s="1"/>
  <c r="BJ332" i="397"/>
  <c r="BK332" i="397" l="1"/>
  <c r="A332" i="397"/>
  <c r="BL332" i="397" l="1"/>
  <c r="CA332" i="397"/>
  <c r="BM332" i="397" l="1"/>
  <c r="BN332" i="397" s="1"/>
  <c r="CB332" i="397" s="1"/>
  <c r="CF332" i="397" s="1"/>
  <c r="CH332" i="397" s="1"/>
  <c r="BJ333" i="397"/>
  <c r="BK333" i="397" l="1"/>
  <c r="A333" i="397"/>
  <c r="BL333" i="397" l="1"/>
  <c r="CA333" i="397"/>
  <c r="BM333" i="397" l="1"/>
  <c r="BN333" i="397" s="1"/>
  <c r="CB333" i="397" s="1"/>
  <c r="CF333" i="397" s="1"/>
  <c r="CH333" i="397" s="1"/>
  <c r="BJ334" i="397"/>
  <c r="BK334" i="397" l="1"/>
  <c r="A334" i="397"/>
  <c r="BL334" i="397" l="1"/>
  <c r="CA334" i="397"/>
  <c r="A400" i="397"/>
  <c r="BM334" i="397" l="1"/>
  <c r="BN334" i="397" s="1"/>
  <c r="CB334" i="397" s="1"/>
  <c r="CF334" i="397" s="1"/>
  <c r="CH334" i="397" s="1"/>
  <c r="BJ335" i="397"/>
  <c r="CA400" i="397"/>
  <c r="BK335" i="397" l="1"/>
  <c r="A335" i="397"/>
  <c r="CB400" i="397"/>
  <c r="CF400" i="397" s="1"/>
  <c r="CH400" i="397" s="1"/>
  <c r="BL335" i="397" l="1"/>
  <c r="CA335" i="397"/>
  <c r="A401" i="397"/>
  <c r="BM335" i="397" l="1"/>
  <c r="BN335" i="397" s="1"/>
  <c r="CB335" i="397" s="1"/>
  <c r="CF335" i="397" s="1"/>
  <c r="CH335" i="397" s="1"/>
  <c r="BJ336" i="397"/>
  <c r="CA401" i="397"/>
  <c r="BK336" i="397" l="1"/>
  <c r="A336" i="397"/>
  <c r="CB401" i="397"/>
  <c r="CF401" i="397" s="1"/>
  <c r="CH401" i="397" s="1"/>
  <c r="BL336" i="397" l="1"/>
  <c r="CA336" i="397"/>
  <c r="BM336" i="397" l="1"/>
  <c r="BN336" i="397" s="1"/>
  <c r="CB336" i="397" s="1"/>
  <c r="CF336" i="397" s="1"/>
  <c r="CH336" i="397" s="1"/>
  <c r="BJ337" i="397"/>
  <c r="BK337" i="397" l="1"/>
  <c r="A337" i="397"/>
  <c r="BL337" i="397" l="1"/>
  <c r="CA337" i="397"/>
  <c r="BM337" i="397" l="1"/>
  <c r="BN337" i="397" s="1"/>
  <c r="CB337" i="397" s="1"/>
  <c r="CF337" i="397" s="1"/>
  <c r="CH337" i="397" s="1"/>
  <c r="BJ338" i="397"/>
  <c r="BK338" i="397" l="1"/>
  <c r="A338" i="397"/>
  <c r="BL338" i="397" l="1"/>
  <c r="CA338" i="397"/>
  <c r="BM338" i="397" l="1"/>
  <c r="BN338" i="397" s="1"/>
  <c r="CB338" i="397" s="1"/>
  <c r="CF338" i="397" s="1"/>
  <c r="CH338" i="397" s="1"/>
  <c r="BJ339" i="397"/>
  <c r="BK339" i="397" l="1"/>
  <c r="A339" i="397"/>
  <c r="BL339" i="397" l="1"/>
  <c r="CA339" i="397"/>
  <c r="BM339" i="397" l="1"/>
  <c r="BN339" i="397" s="1"/>
  <c r="CB339" i="397" s="1"/>
  <c r="CF339" i="397" s="1"/>
  <c r="CH339" i="397" s="1"/>
  <c r="BJ340" i="397"/>
  <c r="BK340" i="397" l="1"/>
  <c r="A340" i="397"/>
  <c r="BL340" i="397" l="1"/>
  <c r="CA340" i="397"/>
  <c r="BM340" i="397" l="1"/>
  <c r="BN340" i="397" s="1"/>
  <c r="CB340" i="397" s="1"/>
  <c r="CF340" i="397" s="1"/>
  <c r="CH340" i="397" s="1"/>
  <c r="BJ341" i="397"/>
  <c r="BK341" i="397" l="1"/>
  <c r="A341" i="397"/>
  <c r="BL341" i="397" l="1"/>
  <c r="CA341" i="397"/>
  <c r="BM341" i="397" l="1"/>
  <c r="BN341" i="397" s="1"/>
  <c r="CB341" i="397" s="1"/>
  <c r="CF341" i="397" s="1"/>
  <c r="CH341" i="397" s="1"/>
  <c r="BJ342" i="397"/>
  <c r="BK342" i="397" l="1"/>
  <c r="A342" i="397"/>
  <c r="BL342" i="397" l="1"/>
  <c r="CA342" i="397"/>
  <c r="BM342" i="397" l="1"/>
  <c r="BN342" i="397" s="1"/>
  <c r="CB342" i="397" s="1"/>
  <c r="CF342" i="397" s="1"/>
  <c r="CH342" i="397" s="1"/>
  <c r="BJ343" i="397"/>
  <c r="BK343" i="397" l="1"/>
  <c r="A343" i="397"/>
  <c r="BL343" i="397" l="1"/>
  <c r="CA343" i="397"/>
  <c r="BM343" i="397" l="1"/>
  <c r="BN343" i="397" s="1"/>
  <c r="CB343" i="397" s="1"/>
  <c r="CF343" i="397" s="1"/>
  <c r="CH343" i="397" s="1"/>
  <c r="BJ344" i="397"/>
  <c r="BK344" i="397" l="1"/>
  <c r="A344" i="397"/>
  <c r="BL344" i="397" l="1"/>
  <c r="CA344" i="397"/>
  <c r="BM344" i="397" l="1"/>
  <c r="BN344" i="397" s="1"/>
  <c r="CB344" i="397" s="1"/>
  <c r="CF344" i="397" s="1"/>
  <c r="CH344" i="397" s="1"/>
  <c r="BJ345" i="397"/>
  <c r="BK345" i="397" l="1"/>
  <c r="A345" i="397"/>
  <c r="BL345" i="397" l="1"/>
  <c r="CA345" i="397"/>
  <c r="BM345" i="397" l="1"/>
  <c r="BN345" i="397" s="1"/>
  <c r="CB345" i="397" s="1"/>
  <c r="CF345" i="397" s="1"/>
  <c r="CH345" i="397" s="1"/>
  <c r="BJ346" i="397"/>
  <c r="BK346" i="397" l="1"/>
  <c r="A346" i="397"/>
  <c r="BL346" i="397" l="1"/>
  <c r="CA346" i="397"/>
  <c r="BM346" i="397" l="1"/>
  <c r="BN346" i="397" s="1"/>
  <c r="CB346" i="397" s="1"/>
  <c r="CF346" i="397" s="1"/>
  <c r="CH346" i="397" s="1"/>
  <c r="BJ347" i="397"/>
  <c r="BK347" i="397" l="1"/>
  <c r="A347" i="397"/>
  <c r="BL347" i="397" l="1"/>
  <c r="CA347" i="397"/>
  <c r="BM347" i="397" l="1"/>
  <c r="BN347" i="397" s="1"/>
  <c r="CB347" i="397" s="1"/>
  <c r="CF347" i="397" s="1"/>
  <c r="CH347" i="397" s="1"/>
  <c r="BJ348" i="397"/>
  <c r="BK348" i="397" l="1"/>
  <c r="A348" i="397"/>
  <c r="BL348" i="397" l="1"/>
  <c r="CA348" i="397"/>
  <c r="BM348" i="397" l="1"/>
  <c r="BN348" i="397" s="1"/>
  <c r="CB348" i="397" s="1"/>
  <c r="CF348" i="397" s="1"/>
  <c r="CH348" i="397" s="1"/>
  <c r="BJ349" i="397"/>
  <c r="BK349" i="397" l="1"/>
  <c r="A349" i="397"/>
  <c r="BL349" i="397" l="1"/>
  <c r="CA349" i="397"/>
  <c r="BM349" i="397" l="1"/>
  <c r="BN349" i="397" s="1"/>
  <c r="CB349" i="397" s="1"/>
  <c r="CF349" i="397" s="1"/>
  <c r="CH349" i="397" s="1"/>
  <c r="BJ350" i="397"/>
  <c r="BK350" i="397" l="1"/>
  <c r="A350" i="397"/>
  <c r="BL350" i="397" l="1"/>
  <c r="CA350" i="397"/>
  <c r="BM350" i="397" l="1"/>
  <c r="BN350" i="397" s="1"/>
  <c r="CB350" i="397" s="1"/>
  <c r="CF350" i="397" s="1"/>
  <c r="CH350" i="397" s="1"/>
  <c r="BJ351" i="397"/>
  <c r="BK351" i="397" l="1"/>
  <c r="A351" i="397"/>
  <c r="BL351" i="397" l="1"/>
  <c r="CA351" i="397"/>
  <c r="BM351" i="397" l="1"/>
  <c r="BN351" i="397" s="1"/>
  <c r="CB351" i="397" s="1"/>
  <c r="CF351" i="397" s="1"/>
  <c r="CH351" i="397" s="1"/>
  <c r="BJ352" i="397"/>
  <c r="BK352" i="397" l="1"/>
  <c r="A352" i="397"/>
  <c r="BL352" i="397" l="1"/>
  <c r="BJ356" i="397" s="1"/>
  <c r="CA352" i="397"/>
  <c r="BM352" i="397" l="1"/>
  <c r="BN352" i="397" s="1"/>
  <c r="CB352" i="397" s="1"/>
  <c r="CF352" i="397" s="1"/>
  <c r="CH352" i="397" s="1"/>
  <c r="A356" i="397" l="1"/>
  <c r="BK356" i="397"/>
  <c r="BL356" i="397" s="1"/>
  <c r="BM356" i="397" l="1"/>
  <c r="BN356" i="397" s="1"/>
  <c r="BJ357" i="397"/>
  <c r="A357" i="397" l="1"/>
  <c r="BK357" i="397"/>
  <c r="BL357" i="397" s="1"/>
  <c r="BM357" i="397" l="1"/>
  <c r="BN357" i="397" s="1"/>
  <c r="BJ358" i="397"/>
  <c r="A358" i="397" l="1"/>
  <c r="BK358" i="397"/>
  <c r="BL358" i="397" s="1"/>
  <c r="BM358" i="397" l="1"/>
  <c r="BN358" i="397" s="1"/>
  <c r="BJ359" i="397"/>
  <c r="A359" i="397" l="1"/>
  <c r="BK359" i="397"/>
  <c r="BL359" i="397" s="1"/>
  <c r="BM359" i="397" l="1"/>
  <c r="BN359" i="397" s="1"/>
  <c r="BJ360" i="397"/>
  <c r="A360" i="397" l="1"/>
  <c r="BK360" i="397"/>
  <c r="BL360" i="397" s="1"/>
  <c r="BM360" i="397" l="1"/>
  <c r="BN360" i="397" s="1"/>
  <c r="BJ361" i="397"/>
  <c r="A361" i="397" l="1"/>
  <c r="BK361" i="397"/>
  <c r="BL361" i="397" s="1"/>
  <c r="BM361" i="397" l="1"/>
  <c r="BN361" i="397" s="1"/>
  <c r="BJ362" i="397"/>
  <c r="A362" i="397" l="1"/>
  <c r="BK362" i="397"/>
  <c r="BL362" i="397" s="1"/>
  <c r="BM362" i="397" l="1"/>
  <c r="BN362" i="397" s="1"/>
  <c r="BJ363" i="397"/>
  <c r="A363" i="397" l="1"/>
  <c r="BK363" i="397"/>
  <c r="BL363" i="397" s="1"/>
  <c r="BJ364" i="397" s="1"/>
  <c r="BM363" i="397" l="1"/>
  <c r="BN363" i="397" s="1"/>
  <c r="BK364" i="397" l="1"/>
  <c r="BL364" i="397" s="1"/>
  <c r="BM364" i="397" s="1"/>
  <c r="BN364" i="397" s="1"/>
  <c r="A364" i="3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O2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Side board issue</t>
        </r>
      </text>
    </comment>
    <comment ref="O7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Side board issue</t>
        </r>
      </text>
    </comment>
    <comment ref="BK8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Issue power BoCT</t>
        </r>
      </text>
    </comment>
    <comment ref="BB12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New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G14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G23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G23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G26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P142" authorId="0" shapeId="0" xr:uid="{00000000-0006-0000-0400-000001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43" authorId="0" shapeId="0" xr:uid="{00000000-0006-0000-0400-000002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44" authorId="0" shapeId="0" xr:uid="{00000000-0006-0000-0400-000003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45" authorId="0" shapeId="0" xr:uid="{00000000-0006-0000-0400-000004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46" authorId="0" shapeId="0" xr:uid="{00000000-0006-0000-0400-000005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47" authorId="0" shapeId="0" xr:uid="{00000000-0006-0000-0400-000006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48" authorId="0" shapeId="0" xr:uid="{00000000-0006-0000-0400-000007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49" authorId="0" shapeId="0" xr:uid="{00000000-0006-0000-0400-000008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0" authorId="0" shapeId="0" xr:uid="{00000000-0006-0000-0400-000009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1" authorId="0" shapeId="0" xr:uid="{00000000-0006-0000-0400-00000A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2" authorId="0" shapeId="0" xr:uid="{00000000-0006-0000-0400-00000B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3" authorId="0" shapeId="0" xr:uid="{00000000-0006-0000-0400-00000C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4" authorId="0" shapeId="0" xr:uid="{00000000-0006-0000-0400-00000D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5" authorId="0" shapeId="0" xr:uid="{00000000-0006-0000-0400-00000E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6" authorId="0" shapeId="0" xr:uid="{00000000-0006-0000-0400-00000F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7" authorId="0" shapeId="0" xr:uid="{00000000-0006-0000-0400-000010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8" authorId="0" shapeId="0" xr:uid="{00000000-0006-0000-0400-000011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59" authorId="0" shapeId="0" xr:uid="{00000000-0006-0000-0400-000012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0" authorId="0" shapeId="0" xr:uid="{00000000-0006-0000-0400-000013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1" authorId="0" shapeId="0" xr:uid="{00000000-0006-0000-0400-000014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2" authorId="0" shapeId="0" xr:uid="{00000000-0006-0000-0400-000015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3" authorId="0" shapeId="0" xr:uid="{00000000-0006-0000-0400-000016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4" authorId="0" shapeId="0" xr:uid="{00000000-0006-0000-0400-000017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5" authorId="0" shapeId="0" xr:uid="{00000000-0006-0000-0400-000018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6" authorId="0" shapeId="0" xr:uid="{00000000-0006-0000-0400-000019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7" authorId="0" shapeId="0" xr:uid="{00000000-0006-0000-0400-00001A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8" authorId="0" shapeId="0" xr:uid="{00000000-0006-0000-0400-00001B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69" authorId="0" shapeId="0" xr:uid="{00000000-0006-0000-0400-00001C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70" authorId="0" shapeId="0" xr:uid="{00000000-0006-0000-0400-00001D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71" authorId="0" shapeId="0" xr:uid="{00000000-0006-0000-0400-00001E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72" authorId="0" shapeId="0" xr:uid="{00000000-0006-0000-0400-00001F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73" authorId="0" shapeId="0" xr:uid="{00000000-0006-0000-0400-000020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74" authorId="0" shapeId="0" xr:uid="{00000000-0006-0000-0400-000021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75" authorId="0" shapeId="0" xr:uid="{00000000-0006-0000-0400-000022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76" authorId="0" shapeId="0" xr:uid="{00000000-0006-0000-0400-000023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77" authorId="0" shapeId="0" xr:uid="{00000000-0006-0000-0400-000024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O178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Side board issue</t>
        </r>
      </text>
    </comment>
    <comment ref="P178" authorId="0" shapeId="0" xr:uid="{00000000-0006-0000-0400-000026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79" authorId="0" shapeId="0" xr:uid="{00000000-0006-0000-0400-000027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BB179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  <comment ref="P180" authorId="0" shapeId="0" xr:uid="{00000000-0006-0000-0400-000029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81" authorId="0" shapeId="0" xr:uid="{00000000-0006-0000-0400-00002A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82" authorId="0" shapeId="0" xr:uid="{00000000-0006-0000-0400-00002B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83" authorId="0" shapeId="0" xr:uid="{00000000-0006-0000-0400-00002C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84" authorId="0" shapeId="0" xr:uid="{00000000-0006-0000-0400-00002D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85" authorId="0" shapeId="0" xr:uid="{00000000-0006-0000-0400-00002E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86" authorId="0" shapeId="0" xr:uid="{00000000-0006-0000-0400-00002F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87" authorId="0" shapeId="0" xr:uid="{00000000-0006-0000-0400-000030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88" authorId="0" shapeId="0" xr:uid="{00000000-0006-0000-0400-000031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89" authorId="0" shapeId="0" xr:uid="{00000000-0006-0000-0400-000032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90" authorId="0" shapeId="0" xr:uid="{00000000-0006-0000-0400-000033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91" authorId="0" shapeId="0" xr:uid="{00000000-0006-0000-0400-000034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92" authorId="0" shapeId="0" xr:uid="{00000000-0006-0000-0400-000035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93" authorId="0" shapeId="0" xr:uid="{00000000-0006-0000-0400-000036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94" authorId="0" shapeId="0" xr:uid="{00000000-0006-0000-0400-000037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195" authorId="0" shapeId="0" xr:uid="{00000000-0006-0000-0400-000038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32" authorId="0" shapeId="0" xr:uid="{00000000-0006-0000-0400-000039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33" authorId="0" shapeId="0" xr:uid="{00000000-0006-0000-0400-00003A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34" authorId="0" shapeId="0" xr:uid="{00000000-0006-0000-0400-00003B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35" authorId="0" shapeId="0" xr:uid="{00000000-0006-0000-0400-00003C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36" authorId="0" shapeId="0" xr:uid="{00000000-0006-0000-0400-00003D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37" authorId="0" shapeId="0" xr:uid="{00000000-0006-0000-0400-00003E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38" authorId="0" shapeId="0" xr:uid="{00000000-0006-0000-0400-00003F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39" authorId="0" shapeId="0" xr:uid="{00000000-0006-0000-0400-000040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0" authorId="0" shapeId="0" xr:uid="{00000000-0006-0000-0400-000041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1" authorId="0" shapeId="0" xr:uid="{00000000-0006-0000-0400-000042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2" authorId="0" shapeId="0" xr:uid="{00000000-0006-0000-0400-000043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3" authorId="0" shapeId="0" xr:uid="{00000000-0006-0000-0400-000044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4" authorId="0" shapeId="0" xr:uid="{00000000-0006-0000-0400-000045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5" authorId="0" shapeId="0" xr:uid="{00000000-0006-0000-0400-000046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6" authorId="0" shapeId="0" xr:uid="{00000000-0006-0000-0400-000047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7" authorId="0" shapeId="0" xr:uid="{00000000-0006-0000-0400-000048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8" authorId="0" shapeId="0" xr:uid="{00000000-0006-0000-0400-000049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49" authorId="0" shapeId="0" xr:uid="{00000000-0006-0000-0400-00004A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50" authorId="0" shapeId="0" xr:uid="{00000000-0006-0000-0400-00004B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51" authorId="0" shapeId="0" xr:uid="{00000000-0006-0000-0400-00004C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52" authorId="0" shapeId="0" xr:uid="{00000000-0006-0000-0400-00004D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53" authorId="0" shapeId="0" xr:uid="{00000000-0006-0000-0400-00004E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54" authorId="0" shapeId="0" xr:uid="{00000000-0006-0000-0400-00004F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55" authorId="0" shapeId="0" xr:uid="{00000000-0006-0000-0400-000050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56" authorId="0" shapeId="0" xr:uid="{00000000-0006-0000-0400-000051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P257" authorId="0" shapeId="0" xr:uid="{00000000-0006-0000-0400-000052000000}">
      <text>
        <r>
          <rPr>
            <sz val="9"/>
            <color indexed="81"/>
            <rFont val="Tahoma"/>
            <family val="2"/>
          </rPr>
          <t>Waiting royalty vessel</t>
        </r>
      </text>
    </comment>
    <comment ref="BB656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vessel</t>
        </r>
      </text>
    </comment>
    <comment ref="BB65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H7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original DSR = 7365.012 MT</t>
        </r>
      </text>
    </comment>
    <comment ref="G29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G34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R1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Revised as per DSR</t>
        </r>
      </text>
    </comment>
    <comment ref="R4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correction based on LHV : 7723.312 MT.
Site port : 7723.313 MT</t>
        </r>
      </text>
    </comment>
    <comment ref="R57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adjust quantity due to gain cargo on vessel MV.  MDM BATUR</t>
        </r>
      </text>
    </comment>
    <comment ref="BL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BM77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Finishing by CBU</t>
        </r>
      </text>
    </comment>
    <comment ref="R10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have remaing cargo 552 MT</t>
        </r>
      </text>
    </comment>
    <comment ref="O123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EKA PUTRA :
Docking 9 Mar</t>
        </r>
      </text>
    </comment>
    <comment ref="R138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Have remain cargo = 136.948 MT</t>
        </r>
      </text>
    </comment>
    <comment ref="BC307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vessel</t>
        </r>
      </text>
    </comment>
    <comment ref="BC308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G50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G50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R109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Typo number i.o 7519.757 MT</t>
        </r>
      </text>
    </comment>
    <comment ref="P13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SI under BEK original under TCM</t>
        </r>
      </text>
    </comment>
    <comment ref="BC18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vessel</t>
        </r>
      </text>
    </comment>
    <comment ref="BC182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F9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Subs.of TB. BERAU COAL 55</t>
        </r>
      </text>
    </comment>
    <comment ref="G18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G208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G382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N66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Plan docking before end on May</t>
        </r>
      </text>
    </comment>
    <comment ref="BE124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 xml:space="preserve">EKA PUTRA :
</t>
        </r>
        <r>
          <rPr>
            <sz val="9"/>
            <color indexed="81"/>
            <rFont val="Tahoma"/>
            <family val="2"/>
          </rPr>
          <t>Survey stock and plan PM 2 shift.</t>
        </r>
      </text>
    </comment>
    <comment ref="H134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H185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  <comment ref="H186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  <comment ref="H187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  <comment ref="H188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  <comment ref="H189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  <comment ref="H190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  <comment ref="H19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G70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G46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H13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BD13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  <comment ref="H14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H15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H16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H17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H18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H25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26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27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30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3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32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33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34" authorId="0" shapeId="0" xr:uid="{00000000-0006-0000-0C00-00000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36" authorId="0" shapeId="0" xr:uid="{00000000-0006-0000-0C00-00001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O54" authorId="0" shapeId="0" xr:uid="{00000000-0006-0000-0C00-00001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have remain cargo 203 MT</t>
        </r>
      </text>
    </comment>
    <comment ref="H59" authorId="0" shapeId="0" xr:uid="{00000000-0006-0000-0C00-00001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62" authorId="0" shapeId="0" xr:uid="{00000000-0006-0000-0C00-00001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63" authorId="0" shapeId="0" xr:uid="{00000000-0006-0000-0C00-00001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64" authorId="0" shapeId="0" xr:uid="{00000000-0006-0000-0C00-00001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65" authorId="0" shapeId="0" xr:uid="{00000000-0006-0000-0C00-00001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66" authorId="0" shapeId="0" xr:uid="{00000000-0006-0000-0C00-00001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67" authorId="0" shapeId="0" xr:uid="{00000000-0006-0000-0C00-00001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68" authorId="0" shapeId="0" xr:uid="{00000000-0006-0000-0C00-00001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75" authorId="0" shapeId="0" xr:uid="{00000000-0006-0000-0C00-00001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76" authorId="0" shapeId="0" xr:uid="{00000000-0006-0000-0C00-00001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77" authorId="0" shapeId="0" xr:uid="{00000000-0006-0000-0C00-00001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78" authorId="0" shapeId="0" xr:uid="{00000000-0006-0000-0C00-00001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79" authorId="0" shapeId="0" xr:uid="{00000000-0006-0000-0C00-00001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81" authorId="0" shapeId="0" xr:uid="{00000000-0006-0000-0C00-00001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97" authorId="0" shapeId="0" xr:uid="{00000000-0006-0000-0C00-00002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  <comment ref="H103" authorId="0" shapeId="0" xr:uid="{00000000-0006-0000-0C00-00002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H105" authorId="0" shapeId="0" xr:uid="{00000000-0006-0000-0C00-00002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06" authorId="0" shapeId="0" xr:uid="{00000000-0006-0000-0C00-00002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09" authorId="0" shapeId="0" xr:uid="{00000000-0006-0000-0C00-00002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110" authorId="0" shapeId="0" xr:uid="{00000000-0006-0000-0C00-00002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111" authorId="0" shapeId="0" xr:uid="{00000000-0006-0000-0C00-00002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112" authorId="0" shapeId="0" xr:uid="{00000000-0006-0000-0C00-00002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115" authorId="0" shapeId="0" xr:uid="{00000000-0006-0000-0C00-00002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16" authorId="0" shapeId="0" xr:uid="{00000000-0006-0000-0C00-00002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118" authorId="0" shapeId="0" xr:uid="{00000000-0006-0000-0C00-00002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H119" authorId="0" shapeId="0" xr:uid="{00000000-0006-0000-0C00-00002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  <comment ref="H120" authorId="0" shapeId="0" xr:uid="{00000000-0006-0000-0C00-00002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30" authorId="0" shapeId="0" xr:uid="{00000000-0006-0000-0C00-00002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31" authorId="0" shapeId="0" xr:uid="{00000000-0006-0000-0C00-00002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H142" authorId="0" shapeId="0" xr:uid="{00000000-0006-0000-0C00-00002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48" authorId="0" shapeId="0" xr:uid="{00000000-0006-0000-0C00-00003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53" authorId="0" shapeId="0" xr:uid="{00000000-0006-0000-0C00-00003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H163" authorId="0" shapeId="0" xr:uid="{00000000-0006-0000-0C00-00003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64" authorId="0" shapeId="0" xr:uid="{00000000-0006-0000-0C00-00003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65" authorId="0" shapeId="0" xr:uid="{00000000-0006-0000-0C00-00003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66" authorId="0" shapeId="0" xr:uid="{00000000-0006-0000-0C00-00003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67" authorId="0" shapeId="0" xr:uid="{00000000-0006-0000-0C00-00003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68" authorId="0" shapeId="0" xr:uid="{00000000-0006-0000-0C00-00003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H169" authorId="0" shapeId="0" xr:uid="{00000000-0006-0000-0C00-00003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BD236" authorId="0" shapeId="0" xr:uid="{00000000-0006-0000-0C00-00003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vessel</t>
        </r>
      </text>
    </comment>
    <comment ref="BD237" authorId="0" shapeId="0" xr:uid="{00000000-0006-0000-0C00-00003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G15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D418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17-21 Jul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G24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EKA PUTRA :
Unload by Liebher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  <author>tc={B40C57DD-0A60-4F3F-91A6-F72F0165AD7E}</author>
    <author>tc={0715CDB8-A8E3-4877-98C1-8F64CDAB0201}</author>
  </authors>
  <commentList>
    <comment ref="G177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G180" authorId="1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Unload by Liebher</t>
        </r>
      </text>
    </comment>
    <comment ref="G257" authorId="2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Unload by Liebher</t>
        </r>
      </text>
    </comment>
    <comment ref="G372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BD14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  <comment ref="H24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33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34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35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36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37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38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39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40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4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42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O50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Remain cargo = 634.863 MT</t>
        </r>
      </text>
    </comment>
    <comment ref="H102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107" authorId="0" shapeId="0" xr:uid="{00000000-0006-0000-1100-00000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109" authorId="0" shapeId="0" xr:uid="{00000000-0006-0000-1100-00001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H147" authorId="0" shapeId="0" xr:uid="{00000000-0006-0000-1100-00001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O169" authorId="0" shapeId="0" xr:uid="{00000000-0006-0000-1100-00001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Exp.certificate
All document done on 18 Jul on 17:06 (WA info)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S3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adjust quantity due to short cargo </t>
        </r>
      </text>
    </comment>
    <comment ref="S34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supply to vessel due short cargo</t>
        </r>
      </text>
    </comment>
    <comment ref="S102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Quota issue</t>
        </r>
      </text>
    </comment>
    <comment ref="BD14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Plan PM system loading 1 Shift</t>
        </r>
      </text>
    </comment>
    <comment ref="N152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Subs.of TB. GONAYA</t>
        </r>
      </text>
    </comment>
    <comment ref="BD152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H4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12 Sept</t>
        </r>
      </text>
    </comment>
    <comment ref="N35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Plan docking on 18 Sept</t>
        </r>
      </text>
    </comment>
    <comment ref="H42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12 Sept</t>
        </r>
      </text>
    </comment>
    <comment ref="H43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12 Sept</t>
        </r>
      </text>
    </comment>
    <comment ref="H44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12 Sept</t>
        </r>
      </text>
    </comment>
    <comment ref="H45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12 Sept</t>
        </r>
      </text>
    </comment>
    <comment ref="H46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12 Sept</t>
        </r>
      </text>
    </comment>
    <comment ref="H47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12 Sept</t>
        </r>
      </text>
    </comment>
    <comment ref="H48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12 Sept</t>
        </r>
      </text>
    </comment>
    <comment ref="H53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H54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H55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H56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H57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H58" authorId="0" shapeId="0" xr:uid="{00000000-0006-0000-1300-00000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H59" authorId="0" shapeId="0" xr:uid="{00000000-0006-0000-1300-00001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H86" authorId="0" shapeId="0" xr:uid="{00000000-0006-0000-1300-00001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H88" authorId="0" shapeId="0" xr:uid="{00000000-0006-0000-1300-00001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BE91" authorId="0" shapeId="0" xr:uid="{00000000-0006-0000-1300-000013000000}">
      <text>
        <r>
          <rPr>
            <b/>
            <sz val="9"/>
            <color indexed="81"/>
            <rFont val="Tahoma"/>
            <family val="2"/>
          </rPr>
          <t xml:space="preserve">EKA PUTRA :
</t>
        </r>
        <r>
          <rPr>
            <sz val="9"/>
            <color indexed="81"/>
            <rFont val="Tahoma"/>
            <family val="2"/>
          </rPr>
          <t xml:space="preserve">LAYCAN 02-06 Sep
</t>
        </r>
      </text>
    </comment>
    <comment ref="BE130" authorId="0" shapeId="0" xr:uid="{00000000-0006-0000-1300-00001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  <comment ref="S137" authorId="0" shapeId="0" xr:uid="{00000000-0006-0000-1300-00001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Tonnage of BG. ROBBY 106 subject to stowage plan vessel</t>
        </r>
      </text>
    </comment>
    <comment ref="S161" authorId="0" shapeId="0" xr:uid="{00000000-0006-0000-1300-000016000000}">
      <text>
        <r>
          <rPr>
            <sz val="11"/>
            <color theme="1"/>
            <rFont val="Calibri"/>
            <family val="2"/>
            <scheme val="minor"/>
          </rPr>
          <t>EKA PUTRA WISUDAYASA:
Has remain cargo on barge 551.654 MT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BG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EKA PUTRA :
</t>
        </r>
        <r>
          <rPr>
            <sz val="9"/>
            <color indexed="81"/>
            <rFont val="Tahoma"/>
            <family val="2"/>
          </rPr>
          <t>short cargo 191 MT</t>
        </r>
      </text>
    </comment>
    <comment ref="BG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Release 1 barge grounded and gain cargo 251.286 MT</t>
        </r>
      </text>
    </comment>
    <comment ref="L63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11 Apr</t>
        </r>
      </text>
    </comment>
    <comment ref="P72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Revised quantity due to typo IMM cargo on 08 May</t>
        </r>
      </text>
    </comment>
    <comment ref="X72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9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31360.9786 MT</t>
        </r>
      </text>
    </comment>
    <comment ref="X79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4422.8232</t>
        </r>
      </text>
    </comment>
    <comment ref="Y79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2948.5488</t>
        </r>
      </text>
    </comment>
    <comment ref="U80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44786.917</t>
        </r>
      </text>
    </comment>
    <comment ref="V80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9825.522 MT</t>
        </r>
      </text>
    </comment>
    <comment ref="AU80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7550.895 MT</t>
        </r>
      </text>
    </comment>
    <comment ref="X92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40073.212</t>
        </r>
      </text>
    </comment>
    <comment ref="Y92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5879.601</t>
        </r>
      </text>
    </comment>
    <comment ref="AU92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7525.581</t>
        </r>
      </text>
    </comment>
    <comment ref="P93" authorId="0" shapeId="0" xr:uid="{00000000-0006-0000-1500-00000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7504.375</t>
        </r>
      </text>
    </comment>
    <comment ref="Y93" authorId="0" shapeId="0" xr:uid="{00000000-0006-0000-1500-00001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36843.269</t>
        </r>
      </text>
    </comment>
    <comment ref="AU93" authorId="0" shapeId="0" xr:uid="{00000000-0006-0000-1500-00001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7644.447</t>
        </r>
      </text>
    </comment>
    <comment ref="AW93" authorId="0" shapeId="0" xr:uid="{00000000-0006-0000-1500-00001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7504.573</t>
        </r>
      </text>
    </comment>
    <comment ref="L105" authorId="0" shapeId="0" xr:uid="{00000000-0006-0000-1500-00001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2 Jun</t>
        </r>
      </text>
    </comment>
    <comment ref="BG105" authorId="0" shapeId="0" xr:uid="{00000000-0006-0000-1500-00001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Concern limit draft POD</t>
        </r>
      </text>
    </comment>
    <comment ref="L106" authorId="0" shapeId="0" xr:uid="{00000000-0006-0000-1500-00001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9 Jun</t>
        </r>
      </text>
    </comment>
    <comment ref="L108" authorId="0" shapeId="0" xr:uid="{00000000-0006-0000-1500-00001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L110" authorId="0" shapeId="0" xr:uid="{00000000-0006-0000-1500-00001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Jun</t>
        </r>
      </text>
    </comment>
    <comment ref="L113" authorId="0" shapeId="0" xr:uid="{00000000-0006-0000-1500-00001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on 21 Jun</t>
        </r>
      </text>
    </comment>
    <comment ref="L115" authorId="0" shapeId="0" xr:uid="{00000000-0006-0000-1500-00001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3 Jul</t>
        </r>
      </text>
    </comment>
    <comment ref="L131" authorId="0" shapeId="0" xr:uid="{00000000-0006-0000-1500-00001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start on 11 Jul</t>
        </r>
      </text>
    </comment>
    <comment ref="F138" authorId="0" shapeId="0" xr:uid="{00000000-0006-0000-1500-00001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extend laycan to 29 Jul i.o 27 Jul</t>
        </r>
      </text>
    </comment>
    <comment ref="L178" authorId="0" shapeId="0" xr:uid="{00000000-0006-0000-1500-00001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16 Sept</t>
        </r>
      </text>
    </comment>
    <comment ref="L180" authorId="0" shapeId="0" xr:uid="{00000000-0006-0000-1500-00001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Start laycan 12 Sept</t>
        </r>
      </text>
    </comment>
    <comment ref="BG187" authorId="0" shapeId="0" xr:uid="{00000000-0006-0000-1500-00001E000000}">
      <text>
        <r>
          <rPr>
            <sz val="11"/>
            <color theme="1"/>
            <rFont val="Calibri"/>
            <family val="2"/>
            <scheme val="minor"/>
          </rPr>
          <t>EKA PUTRA:
Deadfreight = 874 MT</t>
        </r>
      </text>
    </comment>
    <comment ref="L197" authorId="0" shapeId="0" xr:uid="{00000000-0006-0000-1500-00001F000000}">
      <text>
        <r>
          <rPr>
            <sz val="11"/>
            <color theme="1"/>
            <rFont val="Calibri"/>
            <family val="2"/>
            <scheme val="minor"/>
          </rPr>
          <t>EKA PUTRA WISUDAYASA:
Laycan start on 17 Oct</t>
        </r>
      </text>
    </comment>
    <comment ref="L207" authorId="0" shapeId="0" xr:uid="{00000000-0006-0000-1500-000020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L210" authorId="0" shapeId="0" xr:uid="{00000000-0006-0000-1500-000021000000}">
      <text>
        <r>
          <rPr>
            <sz val="11"/>
            <color theme="1"/>
            <rFont val="Calibri"/>
            <family val="2"/>
            <scheme val="minor"/>
          </rPr>
          <t>EKA PUTRA WISUDAYASA:
Laycan start on 1 Nov</t>
        </r>
      </text>
    </comment>
    <comment ref="BG215" authorId="0" shapeId="0" xr:uid="{00000000-0006-0000-1500-000022000000}">
      <text>
        <r>
          <rPr>
            <sz val="11"/>
            <color theme="1"/>
            <rFont val="Calibri"/>
            <family val="2"/>
            <scheme val="minor"/>
          </rPr>
          <t>EKA PUTRA WISUDAYASA:
Quantity revised due to limit draft at POD vessel</t>
        </r>
      </text>
    </comment>
    <comment ref="L224" authorId="0" shapeId="0" xr:uid="{00000000-0006-0000-1500-000023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L231" authorId="0" shapeId="0" xr:uid="{00000000-0006-0000-1500-000024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I233" authorId="0" shapeId="0" xr:uid="{00000000-0006-0000-1500-000025000000}">
      <text>
        <r>
          <rPr>
            <sz val="11"/>
            <color theme="1"/>
            <rFont val="Calibri"/>
            <family val="2"/>
            <scheme val="minor"/>
          </rPr>
          <t>EKA PUTRA WISUDAYASA:
Advanced to Nov i.o Dec
Load fac. reverting</t>
        </r>
      </text>
    </comment>
    <comment ref="I242" authorId="0" shapeId="0" xr:uid="{00000000-0006-0000-1500-000026000000}">
      <text>
        <r>
          <rPr>
            <sz val="11"/>
            <color theme="1"/>
            <rFont val="Calibri"/>
            <family val="2"/>
            <scheme val="minor"/>
          </rPr>
          <t>EKA PUTRA WISUDAYASA:
additional shipment on 20 Nov</t>
        </r>
      </text>
    </comment>
    <comment ref="L246" authorId="0" shapeId="0" xr:uid="{00000000-0006-0000-1500-000027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G254" authorId="0" shapeId="0" xr:uid="{00000000-0006-0000-1500-000028000000}">
      <text>
        <r>
          <rPr>
            <sz val="11"/>
            <color theme="1"/>
            <rFont val="Calibri"/>
            <family val="2"/>
            <scheme val="minor"/>
          </rPr>
          <t>EKA PUTRA WISUDAYASA:
MJW Shipment</t>
        </r>
      </text>
    </comment>
    <comment ref="L261" authorId="0" shapeId="0" xr:uid="{00000000-0006-0000-1500-000029000000}">
      <text>
        <r>
          <rPr>
            <sz val="11"/>
            <color theme="1"/>
            <rFont val="Calibri"/>
            <family val="2"/>
            <scheme val="minor"/>
          </rPr>
          <t>EKA PUTRA WISUDAYASA:
Laycan start on 6 Jan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BF7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survey stock</t>
        </r>
      </text>
    </comment>
    <comment ref="H46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EKA PUTRA WISUDAYASA:
Laycan start on 17 Oct</t>
        </r>
      </text>
    </comment>
    <comment ref="H47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EKA PUTRA WISUDAYASA:
Laycan start on 17 Oct</t>
        </r>
      </text>
    </comment>
    <comment ref="H48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EKA PUTRA WISUDAYASA:
Laycan start on 17 Oct</t>
        </r>
      </text>
    </comment>
    <comment ref="H49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EKA PUTRA WISUDAYASA:
Laycan start on 17 Oct</t>
        </r>
      </text>
    </comment>
    <comment ref="H50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EKA PUTRA WISUDAYASA:
Laycan start on 17 Oct</t>
        </r>
      </text>
    </comment>
    <comment ref="H52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EKA PUTRA WISUDAYASA:
Laycan start on 17 Oct</t>
        </r>
      </text>
    </comment>
    <comment ref="H53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EKA PUTRA WISUDAYASA:
Laycan start on 17 Oct</t>
        </r>
      </text>
    </comment>
    <comment ref="S56" authorId="0" shapeId="0" xr:uid="{00000000-0006-0000-1600-000009000000}">
      <text>
        <r>
          <rPr>
            <sz val="11"/>
            <color theme="1"/>
            <rFont val="Calibri"/>
            <family val="2"/>
            <scheme val="minor"/>
          </rPr>
          <t>EKA PUTRA WISUDAYASA:
Has remain cargo on barge around 551.654 MT</t>
        </r>
      </text>
    </comment>
    <comment ref="H80" authorId="0" shapeId="0" xr:uid="{00000000-0006-0000-1600-00000A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H88" authorId="0" shapeId="0" xr:uid="{00000000-0006-0000-1600-00000B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H89" authorId="0" shapeId="0" xr:uid="{00000000-0006-0000-1600-00000C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H90" authorId="0" shapeId="0" xr:uid="{00000000-0006-0000-1600-00000D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H91" authorId="0" shapeId="0" xr:uid="{00000000-0006-0000-1600-00000E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H92" authorId="0" shapeId="0" xr:uid="{00000000-0006-0000-1600-00000F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H93" authorId="0" shapeId="0" xr:uid="{00000000-0006-0000-1600-000010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O93" authorId="0" shapeId="0" xr:uid="{00000000-0006-0000-1600-000011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H94" authorId="0" shapeId="0" xr:uid="{00000000-0006-0000-1600-000012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H95" authorId="0" shapeId="0" xr:uid="{00000000-0006-0000-1600-000013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O95" authorId="0" shapeId="0" xr:uid="{00000000-0006-0000-1600-000014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BN97" authorId="0" shapeId="0" xr:uid="{00000000-0006-0000-1600-000015000000}">
      <text>
        <r>
          <rPr>
            <sz val="11"/>
            <color theme="1"/>
            <rFont val="Calibri"/>
            <family val="2"/>
            <scheme val="minor"/>
          </rPr>
          <t>EKA PUTRA WISUDAYASA:
Mooring at SEGIHAN due to leaked condition</t>
        </r>
      </text>
    </comment>
    <comment ref="BP97" authorId="0" shapeId="0" xr:uid="{00000000-0006-0000-1600-000016000000}">
      <text>
        <r>
          <rPr>
            <sz val="11"/>
            <color theme="1"/>
            <rFont val="Calibri"/>
            <family val="2"/>
            <scheme val="minor"/>
          </rPr>
          <t>EKA PUTRA WISUDAYASA:
Completed transfer cargo to BG. RMN 351</t>
        </r>
      </text>
    </comment>
    <comment ref="O98" authorId="0" shapeId="0" xr:uid="{00000000-0006-0000-1600-000017000000}">
      <text>
        <r>
          <rPr>
            <sz val="11"/>
            <color theme="1"/>
            <rFont val="Calibri"/>
            <family val="2"/>
            <scheme val="minor"/>
          </rPr>
          <t>EKA PUTRA WISUDAYASA:
Support transfer cargo from BG. CEMERLANG 9</t>
        </r>
      </text>
    </comment>
    <comment ref="BE98" authorId="0" shapeId="0" xr:uid="{00000000-0006-0000-1600-000018000000}">
      <text>
        <r>
          <rPr>
            <sz val="11"/>
            <color theme="1"/>
            <rFont val="Calibri"/>
            <family val="2"/>
            <scheme val="minor"/>
          </rPr>
          <t>EKA PUTRA WISUDAYASA:
Arrived at Segihan, berthing at BG. CEMERLANG 9</t>
        </r>
      </text>
    </comment>
    <comment ref="BG98" authorId="0" shapeId="0" xr:uid="{00000000-0006-0000-1600-000019000000}">
      <text>
        <r>
          <rPr>
            <sz val="11"/>
            <color theme="1"/>
            <rFont val="Calibri"/>
            <family val="2"/>
            <scheme val="minor"/>
          </rPr>
          <t>EKA PUTRA WISUDAYASA:
Completed transfer cargo to BG. RMN 351</t>
        </r>
      </text>
    </comment>
    <comment ref="S116" authorId="0" shapeId="0" xr:uid="{00000000-0006-0000-1600-00001A000000}">
      <text>
        <r>
          <rPr>
            <sz val="11"/>
            <color theme="1"/>
            <rFont val="Calibri"/>
            <family val="2"/>
            <scheme val="minor"/>
          </rPr>
          <t>EKA PUTRA WISUDAYASA:
Quantity follow to blend quota</t>
        </r>
      </text>
    </comment>
    <comment ref="S117" authorId="0" shapeId="0" xr:uid="{00000000-0006-0000-1600-00001B000000}">
      <text>
        <r>
          <rPr>
            <sz val="11"/>
            <color theme="1"/>
            <rFont val="Calibri"/>
            <family val="2"/>
            <scheme val="minor"/>
          </rPr>
          <t>EKA PUTRA WISUDAYASA:
Quantity follow to blend quota</t>
        </r>
      </text>
    </comment>
    <comment ref="H119" authorId="0" shapeId="0" xr:uid="{00000000-0006-0000-1600-00001C000000}">
      <text>
        <r>
          <rPr>
            <sz val="11"/>
            <color theme="1"/>
            <rFont val="Calibri"/>
            <family val="2"/>
            <scheme val="minor"/>
          </rPr>
          <t>EKA PUTRA WISUDAYASA:
Laycan start on 17 Oct</t>
        </r>
      </text>
    </comment>
    <comment ref="BF135" authorId="0" shapeId="0" xr:uid="{00000000-0006-0000-1600-00001D000000}">
      <text>
        <r>
          <rPr>
            <sz val="11"/>
            <color theme="1"/>
            <rFont val="Calibri"/>
            <family val="2"/>
            <scheme val="minor"/>
          </rPr>
          <t>EKA PUTRA WISUDAYASA:
Maintenance telescopic chute</t>
        </r>
      </text>
    </comment>
    <comment ref="H140" authorId="0" shapeId="0" xr:uid="{00000000-0006-0000-1600-00001E000000}">
      <text>
        <r>
          <rPr>
            <sz val="11"/>
            <color theme="1"/>
            <rFont val="Calibri"/>
            <family val="2"/>
            <scheme val="minor"/>
          </rPr>
          <t>EKA PUTRA WISUDAYASA:
Laycan start on 27 Oct</t>
        </r>
      </text>
    </comment>
    <comment ref="BF166" authorId="0" shapeId="0" xr:uid="{00000000-0006-0000-1600-00001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Plan PM system loading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BJ13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EKA PUTRA WISUDAYASA:
Survey stock</t>
        </r>
      </text>
    </comment>
    <comment ref="H15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EKA PUTRA WISUDAYASA:
Laycan start on 1 Nov</t>
        </r>
      </text>
    </comment>
    <comment ref="H16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EKA PUTRA WISUDAYASA:
Laycan start on 1 Nov</t>
        </r>
      </text>
    </comment>
    <comment ref="O16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27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shipment due to document issue</t>
        </r>
      </text>
    </comment>
    <comment ref="BJ30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EKA PUTRA WISUDAYASA:
PM System loading</t>
        </r>
      </text>
    </comment>
    <comment ref="O31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34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42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54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56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66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shipment due to document issue</t>
        </r>
      </text>
    </comment>
    <comment ref="O70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71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79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84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TSA Issue</t>
        </r>
      </text>
    </comment>
    <comment ref="O85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TSA Issue</t>
        </r>
      </text>
    </comment>
    <comment ref="H86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H87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H88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H89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H90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H91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O99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H100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O100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BS104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H106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H107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H108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O108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H109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H110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H111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H112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H119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H12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H127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O145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H168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EKA PUTRA WISUDAYASA:
Laycan start on 1 Nov</t>
        </r>
      </text>
    </comment>
    <comment ref="H169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EKA PUTRA WISUDAYASA:
Laycan start on 1 Nov</t>
        </r>
      </text>
    </comment>
    <comment ref="H170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EKA PUTRA WISUDAYASA:
Laycan start on 1 Nov</t>
        </r>
      </text>
    </comment>
    <comment ref="O170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H171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EKA PUTRA WISUDAYASA:
Laycan start on 1 Nov</t>
        </r>
      </text>
    </comment>
    <comment ref="H172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EKA PUTRA WISUDAYASA:
Laycan start on 1 Nov</t>
        </r>
      </text>
    </comment>
    <comment ref="H174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EKA PUTRA WISUDAYASA:
Laycan start on 1 Nov</t>
        </r>
      </text>
    </comment>
    <comment ref="O178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184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S186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EKA PUTRA WISUDAYASA:
tonnage not maximum due to quota issue</t>
        </r>
      </text>
    </comment>
    <comment ref="H187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EKA PUTRA WISUDAYASA:
Laycan start on 28 Nov</t>
        </r>
      </text>
    </comment>
    <comment ref="O189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193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shipment due to document issue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G153" authorId="0" shapeId="0" xr:uid="{00000000-0006-0000-1800-000001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G158" authorId="0" shapeId="0" xr:uid="{00000000-0006-0000-1800-000002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G161" authorId="0" shapeId="0" xr:uid="{00000000-0006-0000-1800-000003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G282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G286" authorId="0" shapeId="0" xr:uid="{00000000-0006-0000-1900-000002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G334" authorId="0" shapeId="0" xr:uid="{00000000-0006-0000-1900-000003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G337" authorId="0" shapeId="0" xr:uid="{00000000-0006-0000-1900-000004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H5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O8" authorId="0" shapeId="0" xr:uid="{00000000-0006-0000-1A00-000002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10" authorId="0" shapeId="0" xr:uid="{00000000-0006-0000-1A00-000003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TSA Issue</t>
        </r>
      </text>
    </comment>
    <comment ref="S17" authorId="0" shapeId="0" xr:uid="{00000000-0006-0000-1A00-000004000000}">
      <text>
        <r>
          <rPr>
            <sz val="11"/>
            <color theme="1"/>
            <rFont val="Calibri"/>
            <family val="2"/>
            <scheme val="minor"/>
          </rPr>
          <t>EKA PUTRA WISUDAYASA:
has remain cargo on board 442.59 MT</t>
        </r>
      </text>
    </comment>
    <comment ref="BJ22" authorId="0" shapeId="0" xr:uid="{00000000-0006-0000-1A00-000005000000}">
      <text>
        <r>
          <rPr>
            <sz val="11"/>
            <color theme="1"/>
            <rFont val="Calibri"/>
            <family val="2"/>
            <scheme val="minor"/>
          </rPr>
          <t>EKA PUTRA WISUDAYASA:
Cast off from jetty due to barge leacked condition</t>
        </r>
      </text>
    </comment>
    <comment ref="O30" authorId="0" shapeId="0" xr:uid="{00000000-0006-0000-1A00-000006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31" authorId="0" shapeId="0" xr:uid="{00000000-0006-0000-1A00-000007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35" authorId="0" shapeId="0" xr:uid="{00000000-0006-0000-1A00-000008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S38" authorId="0" shapeId="0" xr:uid="{00000000-0006-0000-1A00-000009000000}">
      <text>
        <r>
          <rPr>
            <sz val="11"/>
            <color theme="1"/>
            <rFont val="Calibri"/>
            <family val="2"/>
            <scheme val="minor"/>
          </rPr>
          <t>EKA PUTRA WISUDAYASA:
Remain cargo on barge 124.824 MT</t>
        </r>
      </text>
    </comment>
    <comment ref="O51" authorId="0" shapeId="0" xr:uid="{00000000-0006-0000-1A00-00000A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52" authorId="0" shapeId="0" xr:uid="{00000000-0006-0000-1A00-00000B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H53" authorId="0" shapeId="0" xr:uid="{00000000-0006-0000-1A00-00000C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O53" authorId="0" shapeId="0" xr:uid="{00000000-0006-0000-1A00-00000D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H54" authorId="0" shapeId="0" xr:uid="{00000000-0006-0000-1A00-00000E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H55" authorId="0" shapeId="0" xr:uid="{00000000-0006-0000-1A00-00000F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H56" authorId="0" shapeId="0" xr:uid="{00000000-0006-0000-1A00-000010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H57" authorId="0" shapeId="0" xr:uid="{00000000-0006-0000-1A00-000011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H58" authorId="0" shapeId="0" xr:uid="{00000000-0006-0000-1A00-000012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H59" authorId="0" shapeId="0" xr:uid="{00000000-0006-0000-1A00-000013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O63" authorId="0" shapeId="0" xr:uid="{00000000-0006-0000-1A00-000014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67" authorId="0" shapeId="0" xr:uid="{00000000-0006-0000-1A00-000015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BT70" authorId="0" shapeId="0" xr:uid="{00000000-0006-0000-1A00-000016000000}">
      <text>
        <r>
          <rPr>
            <sz val="11"/>
            <color theme="1"/>
            <rFont val="Calibri"/>
            <family val="2"/>
            <scheme val="minor"/>
          </rPr>
          <t>EKA PUTRA WISUDAYASA:
Delay completed unload due to dozzer issue</t>
        </r>
      </text>
    </comment>
    <comment ref="H76" authorId="0" shapeId="0" xr:uid="{00000000-0006-0000-1A00-000017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H77" authorId="0" shapeId="0" xr:uid="{00000000-0006-0000-1A00-000018000000}">
      <text>
        <r>
          <rPr>
            <sz val="11"/>
            <color theme="1"/>
            <rFont val="Calibri"/>
            <family val="2"/>
            <scheme val="minor"/>
          </rPr>
          <t>EKA PUTRA WISUDAYASA:
Start laycan on 30 Nov</t>
        </r>
      </text>
    </comment>
    <comment ref="H84" authorId="0" shapeId="0" xr:uid="{00000000-0006-0000-1A00-000019000000}">
      <text>
        <r>
          <rPr>
            <sz val="11"/>
            <color theme="1"/>
            <rFont val="Calibri"/>
            <family val="2"/>
            <scheme val="minor"/>
          </rPr>
          <t>EKA PUTRA WISUDAYASA:
Start laycan on 21 Dec</t>
        </r>
      </text>
    </comment>
    <comment ref="BS87" authorId="0" shapeId="0" xr:uid="{00000000-0006-0000-1A00-00001A000000}">
      <text>
        <r>
          <rPr>
            <sz val="11"/>
            <color theme="1"/>
            <rFont val="Calibri"/>
            <family val="2"/>
            <scheme val="minor"/>
          </rPr>
          <t>EKA PUTRA WISUDAYASA:
Unload bu Liebher</t>
        </r>
      </text>
    </comment>
    <comment ref="BS104" authorId="0" shapeId="0" xr:uid="{00000000-0006-0000-1A00-00001B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O110" authorId="0" shapeId="0" xr:uid="{00000000-0006-0000-1A00-00001C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111" authorId="0" shapeId="0" xr:uid="{00000000-0006-0000-1A00-00001D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114" authorId="0" shapeId="0" xr:uid="{00000000-0006-0000-1A00-00001E000000}">
      <text>
        <r>
          <rPr>
            <sz val="11"/>
            <color theme="1"/>
            <rFont val="Calibri"/>
            <family val="2"/>
            <scheme val="minor"/>
          </rPr>
          <t>EKA PUTRA WISUDAYASA:
Plan BEK actual loaded TCM</t>
        </r>
      </text>
    </comment>
    <comment ref="S114" authorId="0" shapeId="0" xr:uid="{00000000-0006-0000-1A00-00001F000000}">
      <text>
        <r>
          <rPr>
            <sz val="11"/>
            <color theme="1"/>
            <rFont val="Calibri"/>
            <family val="2"/>
            <scheme val="minor"/>
          </rPr>
          <t>EKA PUTRA WISUDAYASA:
Have remain cargo 124.824 MT</t>
        </r>
      </text>
    </comment>
    <comment ref="O131" authorId="0" shapeId="0" xr:uid="{00000000-0006-0000-1A00-000020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O135" authorId="0" shapeId="0" xr:uid="{00000000-0006-0000-1A00-000021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TSA Issue</t>
        </r>
      </text>
    </comment>
    <comment ref="S158" authorId="0" shapeId="0" xr:uid="{00000000-0006-0000-1A00-000022000000}">
      <text>
        <r>
          <rPr>
            <sz val="11"/>
            <color theme="1"/>
            <rFont val="Calibri"/>
            <family val="2"/>
            <scheme val="minor"/>
          </rPr>
          <t>EKA PUTRA WISUDAYASA:
Request quantity from 3rd Party</t>
        </r>
      </text>
    </comment>
    <comment ref="BS165" authorId="0" shapeId="0" xr:uid="{00000000-0006-0000-1A00-000023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O178" authorId="0" shapeId="0" xr:uid="{00000000-0006-0000-1A00-000024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S184" authorId="0" shapeId="0" xr:uid="{00000000-0006-0000-1A00-000025000000}">
      <text>
        <r>
          <rPr>
            <sz val="11"/>
            <color theme="1"/>
            <rFont val="Calibri"/>
            <family val="2"/>
            <scheme val="minor"/>
          </rPr>
          <t>EKA PUTRA WISUDAYASA:
Adjust quantity plan</t>
        </r>
      </text>
    </comment>
    <comment ref="BJ186" authorId="0" shapeId="0" xr:uid="{00000000-0006-0000-1A00-000026000000}">
      <text>
        <r>
          <rPr>
            <sz val="11"/>
            <color theme="1"/>
            <rFont val="Calibri"/>
            <family val="2"/>
            <scheme val="minor"/>
          </rPr>
          <t>EKA PUTRA WISUDAYASA:
Christmas days</t>
        </r>
      </text>
    </comment>
    <comment ref="O193" authorId="0" shapeId="0" xr:uid="{00000000-0006-0000-1A00-000027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TSA Issue</t>
        </r>
      </text>
    </comment>
    <comment ref="O196" authorId="0" shapeId="0" xr:uid="{00000000-0006-0000-1A00-000028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S201" authorId="0" shapeId="0" xr:uid="{00000000-0006-0000-1A00-000029000000}">
      <text>
        <r>
          <rPr>
            <sz val="11"/>
            <color theme="1"/>
            <rFont val="Calibri"/>
            <family val="2"/>
            <scheme val="minor"/>
          </rPr>
          <t>EKA PUTRA WISUDAYASA:
Adjust quantity plan</t>
        </r>
      </text>
    </comment>
    <comment ref="S202" authorId="0" shapeId="0" xr:uid="{00000000-0006-0000-1A00-00002A000000}">
      <text>
        <r>
          <rPr>
            <sz val="11"/>
            <color theme="1"/>
            <rFont val="Calibri"/>
            <family val="2"/>
            <scheme val="minor"/>
          </rPr>
          <t>EKA PUTRA WISUDAYASA:
Adjust quantity plan</t>
        </r>
      </text>
    </comment>
    <comment ref="S203" authorId="0" shapeId="0" xr:uid="{00000000-0006-0000-1A00-00002B000000}">
      <text>
        <r>
          <rPr>
            <sz val="11"/>
            <color theme="1"/>
            <rFont val="Calibri"/>
            <family val="2"/>
            <scheme val="minor"/>
          </rPr>
          <t>EKA PUTRA WISUDAYASA:
Adjust quantity plan</t>
        </r>
      </text>
    </comment>
    <comment ref="S204" authorId="0" shapeId="0" xr:uid="{00000000-0006-0000-1A00-00002C000000}">
      <text>
        <r>
          <rPr>
            <sz val="11"/>
            <color theme="1"/>
            <rFont val="Calibri"/>
            <family val="2"/>
            <scheme val="minor"/>
          </rPr>
          <t>EKA PUTRA WISUDAYASA:
Adjust quantity plan</t>
        </r>
      </text>
    </comment>
    <comment ref="P207" authorId="0" shapeId="0" xr:uid="{00000000-0006-0000-1A00-00002D000000}">
      <text>
        <r>
          <rPr>
            <sz val="11"/>
            <color theme="1"/>
            <rFont val="Calibri"/>
            <family val="2"/>
            <scheme val="minor"/>
          </rPr>
          <t>EKA PUTRA WISUDAYASA:
Data from CR Bunyut not received</t>
        </r>
      </text>
    </comment>
    <comment ref="P208" authorId="0" shapeId="0" xr:uid="{00000000-0006-0000-1A00-00002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BJ208" authorId="0" shapeId="0" xr:uid="{00000000-0006-0000-1A00-00002F000000}">
      <text>
        <r>
          <rPr>
            <sz val="11"/>
            <color theme="1"/>
            <rFont val="Calibri"/>
            <family val="2"/>
            <scheme val="minor"/>
          </rPr>
          <t>EKA PUTRA WISUDAYASA:
Waiting royalty payment</t>
        </r>
      </text>
    </comment>
    <comment ref="P209" authorId="0" shapeId="0" xr:uid="{00000000-0006-0000-1A00-00003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10" authorId="0" shapeId="0" xr:uid="{00000000-0006-0000-1A00-00003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11" authorId="0" shapeId="0" xr:uid="{00000000-0006-0000-1A00-00003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12" authorId="0" shapeId="0" xr:uid="{00000000-0006-0000-1A00-00003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13" authorId="0" shapeId="0" xr:uid="{00000000-0006-0000-1A00-00003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14" authorId="0" shapeId="0" xr:uid="{00000000-0006-0000-1A00-00003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215" authorId="0" shapeId="0" xr:uid="{00000000-0006-0000-1A00-000036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215" authorId="0" shapeId="0" xr:uid="{00000000-0006-0000-1A00-00003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16" authorId="0" shapeId="0" xr:uid="{00000000-0006-0000-1A00-00003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219" authorId="0" shapeId="0" xr:uid="{00000000-0006-0000-1A00-000039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220" authorId="0" shapeId="0" xr:uid="{00000000-0006-0000-1A00-00003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21" authorId="0" shapeId="0" xr:uid="{00000000-0006-0000-1A00-00003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22" authorId="0" shapeId="0" xr:uid="{00000000-0006-0000-1A00-00003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223" authorId="0" shapeId="0" xr:uid="{00000000-0006-0000-1A00-00003D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223" authorId="0" shapeId="0" xr:uid="{00000000-0006-0000-1A00-00003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24" authorId="0" shapeId="0" xr:uid="{00000000-0006-0000-1A00-00003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25" authorId="0" shapeId="0" xr:uid="{00000000-0006-0000-1A00-00004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26" authorId="0" shapeId="0" xr:uid="{00000000-0006-0000-1A00-00004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27" authorId="0" shapeId="0" xr:uid="{00000000-0006-0000-1A00-00004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28" authorId="0" shapeId="0" xr:uid="{00000000-0006-0000-1A00-00004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29" authorId="0" shapeId="0" xr:uid="{00000000-0006-0000-1A00-00004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0" authorId="0" shapeId="0" xr:uid="{00000000-0006-0000-1A00-00004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1" authorId="0" shapeId="0" xr:uid="{00000000-0006-0000-1A00-00004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2" authorId="0" shapeId="0" xr:uid="{00000000-0006-0000-1A00-00004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3" authorId="0" shapeId="0" xr:uid="{00000000-0006-0000-1A00-00004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4" authorId="0" shapeId="0" xr:uid="{00000000-0006-0000-1A00-00004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5" authorId="0" shapeId="0" xr:uid="{00000000-0006-0000-1A00-00004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6" authorId="0" shapeId="0" xr:uid="{00000000-0006-0000-1A00-00004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7" authorId="0" shapeId="0" xr:uid="{00000000-0006-0000-1A00-00004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8" authorId="0" shapeId="0" xr:uid="{00000000-0006-0000-1A00-00004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39" authorId="0" shapeId="0" xr:uid="{00000000-0006-0000-1A00-00004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40" authorId="0" shapeId="0" xr:uid="{00000000-0006-0000-1A00-00004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45" authorId="0" shapeId="0" xr:uid="{00000000-0006-0000-1A00-00005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247" authorId="0" shapeId="0" xr:uid="{00000000-0006-0000-1A00-000051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290" authorId="0" shapeId="0" xr:uid="{00000000-0006-0000-1A00-00005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91" authorId="0" shapeId="0" xr:uid="{00000000-0006-0000-1A00-00005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92" authorId="0" shapeId="0" xr:uid="{00000000-0006-0000-1A00-00005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93" authorId="0" shapeId="0" xr:uid="{00000000-0006-0000-1A00-00005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94" authorId="0" shapeId="0" xr:uid="{00000000-0006-0000-1A00-00005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95" authorId="0" shapeId="0" xr:uid="{00000000-0006-0000-1A00-00005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96" authorId="0" shapeId="0" xr:uid="{00000000-0006-0000-1A00-00005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97" authorId="0" shapeId="0" xr:uid="{00000000-0006-0000-1A00-00005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298" authorId="0" shapeId="0" xr:uid="{00000000-0006-0000-1A00-00005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299" authorId="0" shapeId="0" xr:uid="{00000000-0006-0000-1A00-00005B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299" authorId="0" shapeId="0" xr:uid="{00000000-0006-0000-1A00-00005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0" authorId="0" shapeId="0" xr:uid="{00000000-0006-0000-1A00-00005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1" authorId="0" shapeId="0" xr:uid="{00000000-0006-0000-1A00-00005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2" authorId="0" shapeId="0" xr:uid="{00000000-0006-0000-1A00-00005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3" authorId="0" shapeId="0" xr:uid="{00000000-0006-0000-1A00-00006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4" authorId="0" shapeId="0" xr:uid="{00000000-0006-0000-1A00-00006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5" authorId="0" shapeId="0" xr:uid="{00000000-0006-0000-1A00-00006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6" authorId="0" shapeId="0" xr:uid="{00000000-0006-0000-1A00-00006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7" authorId="0" shapeId="0" xr:uid="{00000000-0006-0000-1A00-00006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8" authorId="0" shapeId="0" xr:uid="{00000000-0006-0000-1A00-00006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09" authorId="0" shapeId="0" xr:uid="{00000000-0006-0000-1A00-00006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310" authorId="0" shapeId="0" xr:uid="{00000000-0006-0000-1A00-000067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310" authorId="0" shapeId="0" xr:uid="{00000000-0006-0000-1A00-00006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11" authorId="0" shapeId="0" xr:uid="{00000000-0006-0000-1A00-00006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12" authorId="0" shapeId="0" xr:uid="{00000000-0006-0000-1A00-00006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313" authorId="0" shapeId="0" xr:uid="{00000000-0006-0000-1A00-00006B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313" authorId="0" shapeId="0" xr:uid="{00000000-0006-0000-1A00-00006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14" authorId="0" shapeId="0" xr:uid="{00000000-0006-0000-1A00-00006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15" authorId="0" shapeId="0" xr:uid="{00000000-0006-0000-1A00-00006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16" authorId="0" shapeId="0" xr:uid="{00000000-0006-0000-1A00-00006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17" authorId="0" shapeId="0" xr:uid="{00000000-0006-0000-1A00-00007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18" authorId="0" shapeId="0" xr:uid="{00000000-0006-0000-1A00-00007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19" authorId="0" shapeId="0" xr:uid="{00000000-0006-0000-1A00-00007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20" authorId="0" shapeId="0" xr:uid="{00000000-0006-0000-1A00-00007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321" authorId="0" shapeId="0" xr:uid="{00000000-0006-0000-1A00-000074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321" authorId="0" shapeId="0" xr:uid="{00000000-0006-0000-1A00-00007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22" authorId="0" shapeId="0" xr:uid="{00000000-0006-0000-1A00-00007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23" authorId="0" shapeId="0" xr:uid="{00000000-0006-0000-1A00-00007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24" authorId="0" shapeId="0" xr:uid="{00000000-0006-0000-1A00-00007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25" authorId="0" shapeId="0" xr:uid="{00000000-0006-0000-1A00-00007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26" authorId="0" shapeId="0" xr:uid="{00000000-0006-0000-1A00-00007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27" authorId="0" shapeId="0" xr:uid="{00000000-0006-0000-1A00-00007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28" authorId="0" shapeId="0" xr:uid="{00000000-0006-0000-1A00-00007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29" authorId="0" shapeId="0" xr:uid="{00000000-0006-0000-1A00-00007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30" authorId="0" shapeId="0" xr:uid="{00000000-0006-0000-1A00-00007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31" authorId="0" shapeId="0" xr:uid="{00000000-0006-0000-1A00-00007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32" authorId="0" shapeId="0" xr:uid="{00000000-0006-0000-1A00-00008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333" authorId="0" shapeId="0" xr:uid="{00000000-0006-0000-1A00-000081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333" authorId="0" shapeId="0" xr:uid="{00000000-0006-0000-1A00-00008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34" authorId="0" shapeId="0" xr:uid="{00000000-0006-0000-1A00-00008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35" authorId="0" shapeId="0" xr:uid="{00000000-0006-0000-1A00-00008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36" authorId="0" shapeId="0" xr:uid="{00000000-0006-0000-1A00-00008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37" authorId="0" shapeId="0" xr:uid="{00000000-0006-0000-1A00-00008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38" authorId="0" shapeId="0" xr:uid="{00000000-0006-0000-1A00-00008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39" authorId="0" shapeId="0" xr:uid="{00000000-0006-0000-1A00-00008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40" authorId="0" shapeId="0" xr:uid="{00000000-0006-0000-1A00-00008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41" authorId="0" shapeId="0" xr:uid="{00000000-0006-0000-1A00-00008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42" authorId="0" shapeId="0" xr:uid="{00000000-0006-0000-1A00-00008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343" authorId="0" shapeId="0" xr:uid="{00000000-0006-0000-1A00-00008C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TSA Issue</t>
        </r>
      </text>
    </comment>
    <comment ref="P343" authorId="0" shapeId="0" xr:uid="{00000000-0006-0000-1A00-00008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44" authorId="0" shapeId="0" xr:uid="{00000000-0006-0000-1A00-00008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45" authorId="0" shapeId="0" xr:uid="{00000000-0006-0000-1A00-00008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46" authorId="0" shapeId="0" xr:uid="{00000000-0006-0000-1A00-00009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47" authorId="0" shapeId="0" xr:uid="{00000000-0006-0000-1A00-00009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48" authorId="0" shapeId="0" xr:uid="{00000000-0006-0000-1A00-00009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49" authorId="0" shapeId="0" xr:uid="{00000000-0006-0000-1A00-00009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50" authorId="0" shapeId="0" xr:uid="{00000000-0006-0000-1A00-00009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51" authorId="0" shapeId="0" xr:uid="{00000000-0006-0000-1A00-00009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52" authorId="0" shapeId="0" xr:uid="{00000000-0006-0000-1A00-00009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56" authorId="0" shapeId="0" xr:uid="{00000000-0006-0000-1A00-00009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57" authorId="0" shapeId="0" xr:uid="{00000000-0006-0000-1A00-00009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58" authorId="0" shapeId="0" xr:uid="{00000000-0006-0000-1A00-00009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59" authorId="0" shapeId="0" xr:uid="{00000000-0006-0000-1A00-00009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60" authorId="0" shapeId="0" xr:uid="{00000000-0006-0000-1A00-00009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61" authorId="0" shapeId="0" xr:uid="{00000000-0006-0000-1A00-00009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62" authorId="0" shapeId="0" xr:uid="{00000000-0006-0000-1A00-00009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63" authorId="0" shapeId="0" xr:uid="{00000000-0006-0000-1A00-00009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64" authorId="0" shapeId="0" xr:uid="{00000000-0006-0000-1A00-00009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97" authorId="0" shapeId="0" xr:uid="{00000000-0006-0000-1A00-0000A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98" authorId="0" shapeId="0" xr:uid="{00000000-0006-0000-1A00-0000A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399" authorId="0" shapeId="0" xr:uid="{00000000-0006-0000-1A00-0000A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O400" authorId="0" shapeId="0" xr:uid="{00000000-0006-0000-1A00-0000A3000000}">
      <text>
        <r>
          <rPr>
            <sz val="11"/>
            <color theme="1"/>
            <rFont val="Calibri"/>
            <family val="2"/>
            <scheme val="minor"/>
          </rPr>
          <t>EKA PUTRA WISUDAYASA:
Barge route only for Muara Berau due to Syahbandar Issue</t>
        </r>
      </text>
    </comment>
    <comment ref="P400" authorId="0" shapeId="0" xr:uid="{00000000-0006-0000-1A00-0000A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01" authorId="0" shapeId="0" xr:uid="{00000000-0006-0000-1A00-0000A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02" authorId="0" shapeId="0" xr:uid="{00000000-0006-0000-1A00-0000A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03" authorId="0" shapeId="0" xr:uid="{00000000-0006-0000-1A00-0000A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04" authorId="0" shapeId="0" xr:uid="{00000000-0006-0000-1A00-0000A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05" authorId="0" shapeId="0" xr:uid="{00000000-0006-0000-1A00-0000A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06" authorId="0" shapeId="0" xr:uid="{00000000-0006-0000-1A00-0000A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07" authorId="0" shapeId="0" xr:uid="{00000000-0006-0000-1A00-0000A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08" authorId="0" shapeId="0" xr:uid="{00000000-0006-0000-1A00-0000A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09" authorId="0" shapeId="0" xr:uid="{00000000-0006-0000-1A00-0000A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0" authorId="0" shapeId="0" xr:uid="{00000000-0006-0000-1A00-0000A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1" authorId="0" shapeId="0" xr:uid="{00000000-0006-0000-1A00-0000A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2" authorId="0" shapeId="0" xr:uid="{00000000-0006-0000-1A00-0000B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3" authorId="0" shapeId="0" xr:uid="{00000000-0006-0000-1A00-0000B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4" authorId="0" shapeId="0" xr:uid="{00000000-0006-0000-1A00-0000B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5" authorId="0" shapeId="0" xr:uid="{00000000-0006-0000-1A00-0000B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6" authorId="0" shapeId="0" xr:uid="{00000000-0006-0000-1A00-0000B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7" authorId="0" shapeId="0" xr:uid="{00000000-0006-0000-1A00-0000B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8" authorId="0" shapeId="0" xr:uid="{00000000-0006-0000-1A00-0000B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19" authorId="0" shapeId="0" xr:uid="{00000000-0006-0000-1A00-0000B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0" authorId="0" shapeId="0" xr:uid="{00000000-0006-0000-1A00-0000B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1" authorId="0" shapeId="0" xr:uid="{00000000-0006-0000-1A00-0000B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2" authorId="0" shapeId="0" xr:uid="{00000000-0006-0000-1A00-0000B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3" authorId="0" shapeId="0" xr:uid="{00000000-0006-0000-1A00-0000B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4" authorId="0" shapeId="0" xr:uid="{00000000-0006-0000-1A00-0000B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5" authorId="0" shapeId="0" xr:uid="{00000000-0006-0000-1A00-0000B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6" authorId="0" shapeId="0" xr:uid="{00000000-0006-0000-1A00-0000B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7" authorId="0" shapeId="0" xr:uid="{00000000-0006-0000-1A00-0000B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8" authorId="0" shapeId="0" xr:uid="{00000000-0006-0000-1A00-0000C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29" authorId="0" shapeId="0" xr:uid="{00000000-0006-0000-1A00-0000C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0" authorId="0" shapeId="0" xr:uid="{00000000-0006-0000-1A00-0000C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1" authorId="0" shapeId="0" xr:uid="{00000000-0006-0000-1A00-0000C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2" authorId="0" shapeId="0" xr:uid="{00000000-0006-0000-1A00-0000C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3" authorId="0" shapeId="0" xr:uid="{00000000-0006-0000-1A00-0000C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4" authorId="0" shapeId="0" xr:uid="{00000000-0006-0000-1A00-0000C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5" authorId="0" shapeId="0" xr:uid="{00000000-0006-0000-1A00-0000C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6" authorId="0" shapeId="0" xr:uid="{00000000-0006-0000-1A00-0000C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7" authorId="0" shapeId="0" xr:uid="{00000000-0006-0000-1A00-0000C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8" authorId="0" shapeId="0" xr:uid="{00000000-0006-0000-1A00-0000C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39" authorId="0" shapeId="0" xr:uid="{00000000-0006-0000-1A00-0000C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0" authorId="0" shapeId="0" xr:uid="{00000000-0006-0000-1A00-0000C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1" authorId="0" shapeId="0" xr:uid="{00000000-0006-0000-1A00-0000C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2" authorId="0" shapeId="0" xr:uid="{00000000-0006-0000-1A00-0000C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3" authorId="0" shapeId="0" xr:uid="{00000000-0006-0000-1A00-0000C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4" authorId="0" shapeId="0" xr:uid="{00000000-0006-0000-1A00-0000D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5" authorId="0" shapeId="0" xr:uid="{00000000-0006-0000-1A00-0000D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6" authorId="0" shapeId="0" xr:uid="{00000000-0006-0000-1A00-0000D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7" authorId="0" shapeId="0" xr:uid="{00000000-0006-0000-1A00-0000D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8" authorId="0" shapeId="0" xr:uid="{00000000-0006-0000-1A00-0000D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49" authorId="0" shapeId="0" xr:uid="{00000000-0006-0000-1A00-0000D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0" authorId="0" shapeId="0" xr:uid="{00000000-0006-0000-1A00-0000D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1" authorId="0" shapeId="0" xr:uid="{00000000-0006-0000-1A00-0000D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2" authorId="0" shapeId="0" xr:uid="{00000000-0006-0000-1A00-0000D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3" authorId="0" shapeId="0" xr:uid="{00000000-0006-0000-1A00-0000D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4" authorId="0" shapeId="0" xr:uid="{00000000-0006-0000-1A00-0000D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5" authorId="0" shapeId="0" xr:uid="{00000000-0006-0000-1A00-0000D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6" authorId="0" shapeId="0" xr:uid="{00000000-0006-0000-1A00-0000D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7" authorId="0" shapeId="0" xr:uid="{00000000-0006-0000-1A00-0000D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8" authorId="0" shapeId="0" xr:uid="{00000000-0006-0000-1A00-0000D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59" authorId="0" shapeId="0" xr:uid="{00000000-0006-0000-1A00-0000D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0" authorId="0" shapeId="0" xr:uid="{00000000-0006-0000-1A00-0000E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1" authorId="0" shapeId="0" xr:uid="{00000000-0006-0000-1A00-0000E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2" authorId="0" shapeId="0" xr:uid="{00000000-0006-0000-1A00-0000E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3" authorId="0" shapeId="0" xr:uid="{00000000-0006-0000-1A00-0000E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4" authorId="0" shapeId="0" xr:uid="{00000000-0006-0000-1A00-0000E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5" authorId="0" shapeId="0" xr:uid="{00000000-0006-0000-1A00-0000E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6" authorId="0" shapeId="0" xr:uid="{00000000-0006-0000-1A00-0000E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7" authorId="0" shapeId="0" xr:uid="{00000000-0006-0000-1A00-0000E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8" authorId="0" shapeId="0" xr:uid="{00000000-0006-0000-1A00-0000E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69" authorId="0" shapeId="0" xr:uid="{00000000-0006-0000-1A00-0000E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70" authorId="0" shapeId="0" xr:uid="{00000000-0006-0000-1A00-0000E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72" authorId="0" shapeId="0" xr:uid="{00000000-0006-0000-1A00-0000E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73" authorId="0" shapeId="0" xr:uid="{00000000-0006-0000-1A00-0000E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74" authorId="0" shapeId="0" xr:uid="{00000000-0006-0000-1A00-0000E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75" authorId="0" shapeId="0" xr:uid="{00000000-0006-0000-1A00-0000E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76" authorId="0" shapeId="0" xr:uid="{00000000-0006-0000-1A00-0000E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  <comment ref="P477" authorId="0" shapeId="0" xr:uid="{00000000-0006-0000-1A00-0000F0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Waiting royalty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G11" authorId="0" shapeId="0" xr:uid="{00000000-0006-0000-1B00-000001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G14" authorId="0" shapeId="0" xr:uid="{00000000-0006-0000-1B00-000002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G17" authorId="0" shapeId="0" xr:uid="{00000000-0006-0000-1B00-000003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G112" authorId="0" shapeId="0" xr:uid="{00000000-0006-0000-1B00-000004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G454" authorId="0" shapeId="0" xr:uid="{00000000-0006-0000-1B00-000005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G459" authorId="0" shapeId="0" xr:uid="{00000000-0006-0000-1B00-000006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 PUTRA WISUDAYASA</author>
  </authors>
  <commentList>
    <comment ref="F143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L182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EBP shipment</t>
        </r>
      </text>
    </comment>
    <comment ref="L204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EBP shipment</t>
        </r>
      </text>
    </comment>
    <comment ref="H207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plan use FOB barge on 03 July</t>
        </r>
      </text>
    </comment>
    <comment ref="F229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26-30 Jul</t>
        </r>
      </text>
    </comment>
    <comment ref="L23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EBP Shipment</t>
        </r>
      </text>
    </comment>
    <comment ref="F244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30 Jul -03 Aug</t>
        </r>
      </text>
    </comment>
    <comment ref="L253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EBP shipment</t>
        </r>
      </text>
    </comment>
    <comment ref="H264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13-17 Aug</t>
        </r>
      </text>
    </comment>
    <comment ref="H273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18-22 Aug</t>
        </r>
      </text>
    </comment>
    <comment ref="H278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16-20 Aug</t>
        </r>
      </text>
    </comment>
    <comment ref="H289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Laycan 22-26 Aug</t>
        </r>
      </text>
    </comment>
    <comment ref="F297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L300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Shipment EBP</t>
        </r>
      </text>
    </comment>
    <comment ref="L312" authorId="0" shapeId="0" xr:uid="{00000000-0006-0000-1C00-00000F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EBP Shipment</t>
        </r>
      </text>
    </comment>
    <comment ref="F322" authorId="0" shapeId="0" xr:uid="{00000000-0006-0000-1C00-000010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F341" authorId="0" shapeId="0" xr:uid="{00000000-0006-0000-1C00-000011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F345" authorId="0" shapeId="0" xr:uid="{00000000-0006-0000-1C00-000012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Unload by Liebher</t>
        </r>
      </text>
    </comment>
    <comment ref="L352" authorId="0" shapeId="0" xr:uid="{00000000-0006-0000-1C00-000013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F361" authorId="0" shapeId="0" xr:uid="{00000000-0006-0000-1C00-000014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L363" authorId="0" shapeId="0" xr:uid="{00000000-0006-0000-1C00-000015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L376" authorId="0" shapeId="0" xr:uid="{00000000-0006-0000-1C00-000016000000}">
      <text>
        <r>
          <rPr>
            <b/>
            <sz val="9"/>
            <color indexed="81"/>
            <rFont val="Tahoma"/>
            <family val="2"/>
          </rPr>
          <t>EKA PUTRA :</t>
        </r>
        <r>
          <rPr>
            <sz val="9"/>
            <color indexed="81"/>
            <rFont val="Tahoma"/>
            <family val="2"/>
          </rPr>
          <t xml:space="preserve">
EBP SHIPMENT</t>
        </r>
      </text>
    </comment>
    <comment ref="L410" authorId="0" shapeId="0" xr:uid="{00000000-0006-0000-1C00-000017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F414" authorId="0" shapeId="0" xr:uid="{00000000-0006-0000-1C00-000018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L423" authorId="0" shapeId="0" xr:uid="{00000000-0006-0000-1C00-000019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F425" authorId="0" shapeId="0" xr:uid="{00000000-0006-0000-1C00-00001A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F441" authorId="0" shapeId="0" xr:uid="{00000000-0006-0000-1C00-00001B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L448" authorId="0" shapeId="0" xr:uid="{00000000-0006-0000-1C00-00001C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F451" authorId="0" shapeId="0" xr:uid="{00000000-0006-0000-1C00-00001D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F455" authorId="0" shapeId="0" xr:uid="{00000000-0006-0000-1C00-00001E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L465" authorId="0" shapeId="0" xr:uid="{00000000-0006-0000-1C00-00001F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L466" authorId="0" shapeId="0" xr:uid="{00000000-0006-0000-1C00-000020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L467" authorId="0" shapeId="0" xr:uid="{00000000-0006-0000-1C00-000021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L468" authorId="0" shapeId="0" xr:uid="{00000000-0006-0000-1C00-000022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F469" authorId="0" shapeId="0" xr:uid="{00000000-0006-0000-1C00-000023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  <comment ref="L469" authorId="0" shapeId="0" xr:uid="{00000000-0006-0000-1C00-000024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L470" authorId="0" shapeId="0" xr:uid="{00000000-0006-0000-1C00-000025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L471" authorId="0" shapeId="0" xr:uid="{00000000-0006-0000-1C00-000026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L472" authorId="0" shapeId="0" xr:uid="{00000000-0006-0000-1C00-000027000000}">
      <text>
        <r>
          <rPr>
            <sz val="11"/>
            <color theme="1"/>
            <rFont val="Calibri"/>
            <family val="2"/>
            <scheme val="minor"/>
          </rPr>
          <t>EKA PUTRA WISUDAYASA:
EBP Shipment</t>
        </r>
      </text>
    </comment>
    <comment ref="F486" authorId="0" shapeId="0" xr:uid="{00000000-0006-0000-1C00-000028000000}">
      <text>
        <r>
          <rPr>
            <sz val="11"/>
            <color theme="1"/>
            <rFont val="Calibri"/>
            <family val="2"/>
            <scheme val="minor"/>
          </rPr>
          <t>EKA PUTRA WISUDAYASA:
Unload by Liebher</t>
        </r>
      </text>
    </comment>
  </commentList>
</comments>
</file>

<file path=xl/sharedStrings.xml><?xml version="1.0" encoding="utf-8"?>
<sst xmlns="http://schemas.openxmlformats.org/spreadsheetml/2006/main" count="69409" uniqueCount="4593">
  <si>
    <t>COMPANY</t>
  </si>
  <si>
    <t>NOMINATE</t>
  </si>
  <si>
    <t>VESSEL AGENT</t>
  </si>
  <si>
    <t>SHIPPER</t>
  </si>
  <si>
    <t>PNTS</t>
  </si>
  <si>
    <t>WHS ISKANDAR</t>
  </si>
  <si>
    <t>PT. INTERNASIONAL TOTAL SERVICE &amp; LOGISTICS (ITL)</t>
  </si>
  <si>
    <t>PT. KITADIN</t>
  </si>
  <si>
    <t>MERANTI</t>
  </si>
  <si>
    <t>FTU ALI 1</t>
  </si>
  <si>
    <t>PT. PELAYARAN EKA IVANAJASA (EKA IVANAJASA)</t>
  </si>
  <si>
    <t>PT. TRUBAINDO COAL MINING</t>
  </si>
  <si>
    <t>ROCKTREE</t>
  </si>
  <si>
    <t>GREEN CALYPSO</t>
  </si>
  <si>
    <t>PT. SERASI SHIPPING INDONESIA (S5)</t>
  </si>
  <si>
    <t>PT. BHARINTO EKATAMA</t>
  </si>
  <si>
    <t>STEVEDORE</t>
  </si>
  <si>
    <t>PRIMA KARYA 1 &amp; GREEN CALYPSO</t>
  </si>
  <si>
    <t>PT. BAHARI EKA NUSANTARA (BEN)</t>
  </si>
  <si>
    <t>PT. INDOMINCO MANDIRI</t>
  </si>
  <si>
    <t>TERMINAL</t>
  </si>
  <si>
    <t>PRIMA KARYA 1</t>
  </si>
  <si>
    <t>PT. RARA DUTA ARMADA</t>
  </si>
  <si>
    <t>PT. JORONG BARUTAMA GRESTON</t>
  </si>
  <si>
    <t>MGMARITIM</t>
  </si>
  <si>
    <t>OBT DAYSPRING</t>
  </si>
  <si>
    <t>PT. ANDHINI SAMUDERA JAYA (ASJ)</t>
  </si>
  <si>
    <t>PSS</t>
  </si>
  <si>
    <t>NICHOLAS</t>
  </si>
  <si>
    <t>PT. TIRTA SAMUDERA CARAKA (TSC)</t>
  </si>
  <si>
    <t>SURYA PRATAMA KARYA</t>
  </si>
  <si>
    <t>PT. PENASCOP</t>
  </si>
  <si>
    <t>APOLLO</t>
  </si>
  <si>
    <t>PT. ADMIRAL LINES</t>
  </si>
  <si>
    <t>AUGUST-APOLLO</t>
  </si>
  <si>
    <t>PT. BAHARI TIRTA JAYA (BTJ)</t>
  </si>
  <si>
    <t>AUGUST</t>
  </si>
  <si>
    <t>ZEUS</t>
  </si>
  <si>
    <t>PT. ARPENI PRATAMA OCEAN LINE (APOL)</t>
  </si>
  <si>
    <t>MARA / ZEUS</t>
  </si>
  <si>
    <t>PT. TRI ELANG JAYA MARITIM</t>
  </si>
  <si>
    <t>MARA</t>
  </si>
  <si>
    <t>PT. INDO DHARMA TRANSPORT</t>
  </si>
  <si>
    <t>LEO</t>
  </si>
  <si>
    <t>PT. RIANDY FIESTA SAMUDERA (RFS)</t>
  </si>
  <si>
    <t>LABOR</t>
  </si>
  <si>
    <t>PT. ADHIKA SAMUDERA JAYA</t>
  </si>
  <si>
    <t>SHIP LOADER</t>
  </si>
  <si>
    <t>PT. CAKRAWALA LAUTAN INDONESIA</t>
  </si>
  <si>
    <t>HABCO TRANS 8</t>
  </si>
  <si>
    <t>PT. MULTI LINE BORNEO (MLB)</t>
  </si>
  <si>
    <t>PARAMESWARA</t>
  </si>
  <si>
    <t>PT. ATLANTIC GLOBAL SHIPPING</t>
  </si>
  <si>
    <t>ZEUS/MARA</t>
  </si>
  <si>
    <t>PT. TERA LOGISTIC INDONESIA</t>
  </si>
  <si>
    <t>RATU MAHAKAM</t>
  </si>
  <si>
    <t>PT. ORIENTJASA MARITIM INDONESIA</t>
  </si>
  <si>
    <t>ANUGRAH LAUTAN 09</t>
  </si>
  <si>
    <t>PT. KINGSIN MARITIM INDONESIA</t>
  </si>
  <si>
    <t>MARA - APOLLO</t>
  </si>
  <si>
    <t>PT. WIRDANTI SAMUDERA SEJAHTERA</t>
  </si>
  <si>
    <t>BULK JAVA</t>
  </si>
  <si>
    <t>PT. SUKAMARU BERLIAN SHIPPING</t>
  </si>
  <si>
    <t>ANUGRAH LAUTAN 09 &amp; GREEN CALYPSO</t>
  </si>
  <si>
    <t>TBN</t>
  </si>
  <si>
    <t>RATU DEWATA</t>
  </si>
  <si>
    <t>RATU DEWATA &amp; BULK JAVA</t>
  </si>
  <si>
    <t>GREEN CALYPSO &amp; ANUGRAH LAUTAN 09</t>
  </si>
  <si>
    <t>APOLLO-ZEUS</t>
  </si>
  <si>
    <t>ZEUS - APOLLO</t>
  </si>
  <si>
    <t>KSA 99</t>
  </si>
  <si>
    <t>Starting Point to POL (Port of Loading)</t>
  </si>
  <si>
    <t>GAM</t>
  </si>
  <si>
    <t>TCM</t>
  </si>
  <si>
    <t>BEK</t>
  </si>
  <si>
    <t>JMB</t>
  </si>
  <si>
    <t>KMIA</t>
  </si>
  <si>
    <t>KTD</t>
  </si>
  <si>
    <t>BBE</t>
  </si>
  <si>
    <t>GRM/SJA</t>
  </si>
  <si>
    <t>ALH</t>
  </si>
  <si>
    <t>IKJ</t>
  </si>
  <si>
    <t>KBM</t>
  </si>
  <si>
    <t>KEI</t>
  </si>
  <si>
    <t>KJA</t>
  </si>
  <si>
    <t>JBG</t>
  </si>
  <si>
    <t>IDX</t>
  </si>
  <si>
    <t>IMM</t>
  </si>
  <si>
    <t>BBA</t>
  </si>
  <si>
    <t>SAMARINDA</t>
  </si>
  <si>
    <t>Upstream (Start passing Mahakam Bridge)</t>
  </si>
  <si>
    <t>START</t>
  </si>
  <si>
    <t>END</t>
  </si>
  <si>
    <t>IDLE HOURS</t>
  </si>
  <si>
    <t>IDLE BARGE</t>
  </si>
  <si>
    <t>Downstream (No passing Mahakam Bridge)</t>
  </si>
  <si>
    <t>TOTAL</t>
  </si>
  <si>
    <t>(No passing Mahakam Bridge)</t>
  </si>
  <si>
    <t>POL (Port of Loading) to SMD</t>
  </si>
  <si>
    <t>SMD (BEFORE MAHAKAM BRIDGE)</t>
  </si>
  <si>
    <t>SJA</t>
  </si>
  <si>
    <t>Condition of schedule open-close bridge</t>
  </si>
  <si>
    <t>MAHAKAM BRIDGE</t>
  </si>
  <si>
    <t>POL to Mahakam bridge</t>
  </si>
  <si>
    <t>Less or equal to the Mahakam bridge schedule, the barge allow passing bridge on that date</t>
  </si>
  <si>
    <t>Past the Mahakam bridge schedule, then the barge will follow the next day</t>
  </si>
  <si>
    <t>SMD to POD (After Passing Bridge)</t>
  </si>
  <si>
    <t>BoCT</t>
  </si>
  <si>
    <t>MBR</t>
  </si>
  <si>
    <t>SMD</t>
  </si>
  <si>
    <t>ACTIVITIES</t>
  </si>
  <si>
    <t>LOADING</t>
  </si>
  <si>
    <t>FC</t>
  </si>
  <si>
    <t>CBU</t>
  </si>
  <si>
    <t>FLF METHOD</t>
  </si>
  <si>
    <t>* FC = Floating Crane</t>
  </si>
  <si>
    <t>SINGLE</t>
  </si>
  <si>
    <t>BLENDING</t>
  </si>
  <si>
    <t>MAIN BLENDNG</t>
  </si>
  <si>
    <t>* CBU = Continuous Barge Unloading Facilities</t>
  </si>
  <si>
    <t>UNLOADING</t>
  </si>
  <si>
    <t>POD to SMDR</t>
  </si>
  <si>
    <t>LOADING
DATE</t>
  </si>
  <si>
    <t>POL SHARE</t>
  </si>
  <si>
    <t>POL</t>
  </si>
  <si>
    <t>TERM</t>
  </si>
  <si>
    <t>VESSEL NAME</t>
  </si>
  <si>
    <t>ETA</t>
  </si>
  <si>
    <t>ATA</t>
  </si>
  <si>
    <t>Route            (POL - POD)</t>
  </si>
  <si>
    <t>STATUS</t>
  </si>
  <si>
    <t>POSITION</t>
  </si>
  <si>
    <t>TRIP NO.</t>
  </si>
  <si>
    <t>TUG</t>
  </si>
  <si>
    <t>BARGE</t>
  </si>
  <si>
    <t>PRODUCT ID</t>
  </si>
  <si>
    <t>Max. Cargo</t>
  </si>
  <si>
    <t>Actual DSR</t>
  </si>
  <si>
    <t>3RD PARTY</t>
  </si>
  <si>
    <t>EMB</t>
  </si>
  <si>
    <t>Trip start</t>
  </si>
  <si>
    <t>Trip End</t>
  </si>
  <si>
    <t>Barge Cycle (Days)</t>
  </si>
  <si>
    <t>Arrive SMDS</t>
  </si>
  <si>
    <t>Depart SMDS</t>
  </si>
  <si>
    <t>Arrive POL</t>
  </si>
  <si>
    <t>Loading Start</t>
  </si>
  <si>
    <t>Loading End</t>
  </si>
  <si>
    <t>Cast off</t>
  </si>
  <si>
    <t>Departure</t>
  </si>
  <si>
    <t>Sailing To SMD</t>
  </si>
  <si>
    <t>Open Bridge</t>
  </si>
  <si>
    <t>Closing Bridge</t>
  </si>
  <si>
    <t>Actual Passing Bridge</t>
  </si>
  <si>
    <t>Arrive POD</t>
  </si>
  <si>
    <t>Unloading start</t>
  </si>
  <si>
    <t>Unloding End</t>
  </si>
  <si>
    <t>Cast Off</t>
  </si>
  <si>
    <t>Arrive SMDR</t>
  </si>
  <si>
    <t>Remark</t>
  </si>
  <si>
    <t>INTRANSIT (SMD-POL)</t>
  </si>
  <si>
    <t>OUTRANSIT (POL-SMD)</t>
  </si>
  <si>
    <t>OUTRANSIT (SMD-POD)</t>
  </si>
  <si>
    <t>INTRANSIT (POD-SMD)</t>
  </si>
  <si>
    <t>TOTAL (DAYS)</t>
  </si>
  <si>
    <t>TOTAL BARGE CYCLE (DAYS)</t>
  </si>
  <si>
    <t>FUR (%)</t>
  </si>
  <si>
    <t>HCVLS</t>
  </si>
  <si>
    <t>HCVHS</t>
  </si>
  <si>
    <t>HCVMS</t>
  </si>
  <si>
    <t>MCV-LS</t>
  </si>
  <si>
    <t>HCV-MS</t>
  </si>
  <si>
    <t>MBL</t>
  </si>
  <si>
    <t>EBH</t>
  </si>
  <si>
    <t>JORONG</t>
  </si>
  <si>
    <t>WB.HCV.LS</t>
  </si>
  <si>
    <t>WB.HCV.HS</t>
  </si>
  <si>
    <t>EB.MCV.LS</t>
  </si>
  <si>
    <t>EB.MCV.MS</t>
  </si>
  <si>
    <t>EB.MCV.HS</t>
  </si>
  <si>
    <t>GRM</t>
  </si>
  <si>
    <t>JHN</t>
  </si>
  <si>
    <t>KWA</t>
  </si>
  <si>
    <t>MCM</t>
  </si>
  <si>
    <t>MML</t>
  </si>
  <si>
    <t>JAN'23</t>
  </si>
  <si>
    <t>ACTUAL</t>
  </si>
  <si>
    <t>PLAN</t>
  </si>
  <si>
    <t>DONE</t>
  </si>
  <si>
    <t>FAS</t>
  </si>
  <si>
    <t>BoCT/MV. WAN LI</t>
  </si>
  <si>
    <t>BBA-BoCT</t>
  </si>
  <si>
    <t>Completed</t>
  </si>
  <si>
    <t>BBA-2301-001</t>
  </si>
  <si>
    <t>TRANS 9</t>
  </si>
  <si>
    <t>TSM 9</t>
  </si>
  <si>
    <t>N/A</t>
  </si>
  <si>
    <t>STTC</t>
  </si>
  <si>
    <t>BoCT/MV. KARTINI SAMUDERA</t>
  </si>
  <si>
    <t>BBE-BoCT</t>
  </si>
  <si>
    <t>BBE-2301-001</t>
  </si>
  <si>
    <t>KSA 41</t>
  </si>
  <si>
    <t>TBG 310</t>
  </si>
  <si>
    <t>BoCT/MV. SOHO PRINCIPAL</t>
  </si>
  <si>
    <t>BBE-2301-002</t>
  </si>
  <si>
    <t>KSA EMERALD</t>
  </si>
  <si>
    <t>RMN 366</t>
  </si>
  <si>
    <t>BBE-2301-003</t>
  </si>
  <si>
    <t>SELERA 3</t>
  </si>
  <si>
    <t>RMN 336</t>
  </si>
  <si>
    <t xml:space="preserve">MV. REX OLDENDORFF </t>
  </si>
  <si>
    <t>BBE-MBR</t>
  </si>
  <si>
    <t>BBE-2301-004</t>
  </si>
  <si>
    <t>ATK 2010</t>
  </si>
  <si>
    <t>ISA 309</t>
  </si>
  <si>
    <t>TC</t>
  </si>
  <si>
    <t>BoCT/MV. DUTA AZZAM</t>
  </si>
  <si>
    <t>BBE-2301-005</t>
  </si>
  <si>
    <t>HARMONY XVI</t>
  </si>
  <si>
    <t>LINTAS SAMUDERA XX</t>
  </si>
  <si>
    <t>MV. PEACE</t>
  </si>
  <si>
    <t>BBE-2301-006</t>
  </si>
  <si>
    <t>BERAU COAL 30</t>
  </si>
  <si>
    <t>ROBBY 303</t>
  </si>
  <si>
    <t>MV. ZHONGHAIHUARUN 1</t>
  </si>
  <si>
    <t>BBE-2301-007</t>
  </si>
  <si>
    <t>KSA 46</t>
  </si>
  <si>
    <t>RMN 334</t>
  </si>
  <si>
    <t>DONE/FIX</t>
  </si>
  <si>
    <t>BUNYUT</t>
  </si>
  <si>
    <t>MV. LUMOSO PROSPER</t>
  </si>
  <si>
    <t>BEK-MBR</t>
  </si>
  <si>
    <t>BEK-2301-001</t>
  </si>
  <si>
    <t>KENCANA LAUT</t>
  </si>
  <si>
    <t>CEMERLANG 9</t>
  </si>
  <si>
    <t>BEK MCVLS</t>
  </si>
  <si>
    <t>MV. ALIYAH PERTIWI</t>
  </si>
  <si>
    <t>BEK-2301-002</t>
  </si>
  <si>
    <t>KSA 52</t>
  </si>
  <si>
    <t>RMN 357</t>
  </si>
  <si>
    <t>BEK HCVMS</t>
  </si>
  <si>
    <t>MV. KEY SONORITY</t>
  </si>
  <si>
    <t>MV. MEDI SERAPO</t>
  </si>
  <si>
    <t>BEK-BoCT</t>
  </si>
  <si>
    <t>BEK-2301-003</t>
  </si>
  <si>
    <t>BEK-2301-004</t>
  </si>
  <si>
    <t>BERAU COAL 8</t>
  </si>
  <si>
    <t>ROBBY 132</t>
  </si>
  <si>
    <t>BEK-2301-005</t>
  </si>
  <si>
    <t>HARMONY VII</t>
  </si>
  <si>
    <t>LINTAS SAMUDERA 89</t>
  </si>
  <si>
    <t>BEK-2301-006</t>
  </si>
  <si>
    <t>GHITHA 01</t>
  </si>
  <si>
    <t>GSN 01</t>
  </si>
  <si>
    <t>BEK-2301-007</t>
  </si>
  <si>
    <t>ARMADA KALTIM 3003</t>
  </si>
  <si>
    <t>BEK-2301-008</t>
  </si>
  <si>
    <t>BERAU COAL 9</t>
  </si>
  <si>
    <t>ROBBY 337</t>
  </si>
  <si>
    <t>BEK-2301-009</t>
  </si>
  <si>
    <t>PIONEER II</t>
  </si>
  <si>
    <t>RMN 351</t>
  </si>
  <si>
    <t>BEK-2301-010</t>
  </si>
  <si>
    <t>BERAU COAL 26</t>
  </si>
  <si>
    <t>ROBBY 136</t>
  </si>
  <si>
    <t>BEK BLEND LS &amp; MS</t>
  </si>
  <si>
    <t>BEK-2301-011</t>
  </si>
  <si>
    <t>KSA 129</t>
  </si>
  <si>
    <t>RMN 329</t>
  </si>
  <si>
    <t>BEK-2301-012</t>
  </si>
  <si>
    <t>BEK-2301-013</t>
  </si>
  <si>
    <t>TEMAN SEJATI II</t>
  </si>
  <si>
    <t>ROBBY 106</t>
  </si>
  <si>
    <t>BEK-2301-014</t>
  </si>
  <si>
    <t>KINGFISHER 909</t>
  </si>
  <si>
    <t>ASIA BAY 107</t>
  </si>
  <si>
    <t>BEK-2301-015</t>
  </si>
  <si>
    <t>DELTA AYU 268</t>
  </si>
  <si>
    <t>KALIMANTAN ABADI 02</t>
  </si>
  <si>
    <t>BEK-2301-016</t>
  </si>
  <si>
    <t>KALTIM DOLPHIN 17 - 06</t>
  </si>
  <si>
    <t>KALTIM FT 80 - 03</t>
  </si>
  <si>
    <t>MV. REX OLDENDORFF</t>
  </si>
  <si>
    <t>BEK-2301-017</t>
  </si>
  <si>
    <t>BLORO 10</t>
  </si>
  <si>
    <t>ROBBY 116</t>
  </si>
  <si>
    <t>Instruction to POL on 11 Jan</t>
  </si>
  <si>
    <t>BEK-2301-018</t>
  </si>
  <si>
    <t>GONAYA</t>
  </si>
  <si>
    <t>MASADA 14</t>
  </si>
  <si>
    <t>Instruction to POL on 12 Jan</t>
  </si>
  <si>
    <t>BEK-2301-019</t>
  </si>
  <si>
    <t>KSA 44</t>
  </si>
  <si>
    <t>RMN 343</t>
  </si>
  <si>
    <t>BEK-2301-020</t>
  </si>
  <si>
    <t>KINGSTON 626</t>
  </si>
  <si>
    <t>ASIA TRANS 310</t>
  </si>
  <si>
    <t>BEK-2301-021</t>
  </si>
  <si>
    <t>KSA 120</t>
  </si>
  <si>
    <t>RMN 3305</t>
  </si>
  <si>
    <t>BEK-2301-022</t>
  </si>
  <si>
    <t>VES FAIR 10</t>
  </si>
  <si>
    <t>ROBBY 104</t>
  </si>
  <si>
    <t>BEK-2301-023</t>
  </si>
  <si>
    <t>FERY XXI</t>
  </si>
  <si>
    <t>MASADA 10</t>
  </si>
  <si>
    <t>BEK-2301-024</t>
  </si>
  <si>
    <t>ARMADA TIMUR 03</t>
  </si>
  <si>
    <t>LINTAS SAMUDERA 95</t>
  </si>
  <si>
    <t>BEK-2301-025</t>
  </si>
  <si>
    <t>LINTAS SAMUDERA 31</t>
  </si>
  <si>
    <t>LINTAS SAMUDERA  XVIII</t>
  </si>
  <si>
    <t>DOCKING</t>
  </si>
  <si>
    <t>BEK-2301-026</t>
  </si>
  <si>
    <t>KALTIM DOLPHIN 17 - 08</t>
  </si>
  <si>
    <t>KALTIM FT 80-01</t>
  </si>
  <si>
    <t>Instruction to POL on 14 Jan</t>
  </si>
  <si>
    <t>REPAIR</t>
  </si>
  <si>
    <t>BEK-2301-027</t>
  </si>
  <si>
    <t>KSA 49</t>
  </si>
  <si>
    <t>ISA 310</t>
  </si>
  <si>
    <t>Subs.of BG. RMN 333 ; Instruction to POL on 11 Jan</t>
  </si>
  <si>
    <t>BEK-2301-028</t>
  </si>
  <si>
    <t>MAHKOTA JAYA 06</t>
  </si>
  <si>
    <t>MAHKOTA PRIMA 06</t>
  </si>
  <si>
    <t xml:space="preserve">MV. AMPHITRITE </t>
  </si>
  <si>
    <t>BEK-2301-029</t>
  </si>
  <si>
    <t>KOMPAS 03</t>
  </si>
  <si>
    <t>RMN 337</t>
  </si>
  <si>
    <t>BEK-2301-030</t>
  </si>
  <si>
    <t>KSA 34</t>
  </si>
  <si>
    <t>RMN 333</t>
  </si>
  <si>
    <t>Subs.of BG. ISA 310 ; Instruction to POL on 11 Jan</t>
  </si>
  <si>
    <t>BEK-2301-031</t>
  </si>
  <si>
    <t>BERAU COAL 31</t>
  </si>
  <si>
    <t>ROBBY 362</t>
  </si>
  <si>
    <t>BEK BLEND TS 1.20 MAX</t>
  </si>
  <si>
    <t xml:space="preserve">MV. ASTARTE </t>
  </si>
  <si>
    <t>BEK-2301-032</t>
  </si>
  <si>
    <t>KSA ANUGRAH</t>
  </si>
  <si>
    <t>RMN 368</t>
  </si>
  <si>
    <t>BEK-2301-033</t>
  </si>
  <si>
    <t>BEK-2301-034</t>
  </si>
  <si>
    <t>SSP 788</t>
  </si>
  <si>
    <t>ROBBY 155</t>
  </si>
  <si>
    <t>BEK-2301-035</t>
  </si>
  <si>
    <t>BIG FAIR 15</t>
  </si>
  <si>
    <t>ROBBY 112</t>
  </si>
  <si>
    <t>BEK-2301-036</t>
  </si>
  <si>
    <t>HARMONY XXVI</t>
  </si>
  <si>
    <t>LINTAS SAMUDERA 77</t>
  </si>
  <si>
    <t>BEK-2301-037</t>
  </si>
  <si>
    <t>SJP 88</t>
  </si>
  <si>
    <t>ROBBY 123</t>
  </si>
  <si>
    <t>BEK-2301-038</t>
  </si>
  <si>
    <t>KSA 115</t>
  </si>
  <si>
    <t>RMN 350</t>
  </si>
  <si>
    <t>BEK-2301-039</t>
  </si>
  <si>
    <t>BERAU COAL 55</t>
  </si>
  <si>
    <t>ROBBY 100</t>
  </si>
  <si>
    <t>BEK-2301-040</t>
  </si>
  <si>
    <t>SATRIA LAKSANA 98</t>
  </si>
  <si>
    <t>SATRIA LAUT 3098</t>
  </si>
  <si>
    <t>BEK-2301-041</t>
  </si>
  <si>
    <t>KSA 110</t>
  </si>
  <si>
    <t>RMN 326</t>
  </si>
  <si>
    <t>BEK-2301-042</t>
  </si>
  <si>
    <t>ANUGERAH 2</t>
  </si>
  <si>
    <t>RMN 3302</t>
  </si>
  <si>
    <t>Instruction to POL on 16 Jan</t>
  </si>
  <si>
    <t>BEK-2301-043</t>
  </si>
  <si>
    <t>DELTA AYU 388</t>
  </si>
  <si>
    <t>KALIMANTAN CAHAYA 88</t>
  </si>
  <si>
    <t>BEK-2301-044</t>
  </si>
  <si>
    <t>KINGFISHER 507</t>
  </si>
  <si>
    <t>ASIA RIDER 501</t>
  </si>
  <si>
    <t>BEK-2301-045</t>
  </si>
  <si>
    <t>BLORO 25</t>
  </si>
  <si>
    <t>ROBBY 365</t>
  </si>
  <si>
    <t>BEK-2301-046</t>
  </si>
  <si>
    <t>BERAU COAL 63</t>
  </si>
  <si>
    <t>ROBBY 363</t>
  </si>
  <si>
    <t>BEK-2301-047</t>
  </si>
  <si>
    <t>DELTA AYU CHRISTIAN</t>
  </si>
  <si>
    <t>KALIMANTAN 158</t>
  </si>
  <si>
    <t>Divert plan from IKJ due to quality issue on 17 Jan</t>
  </si>
  <si>
    <t>BEK-2301-048</t>
  </si>
  <si>
    <t>BEK-2301-049</t>
  </si>
  <si>
    <t>Subs.of BG. RMN 336</t>
  </si>
  <si>
    <t>BEK-2301-050</t>
  </si>
  <si>
    <t>KINGFISHER 518</t>
  </si>
  <si>
    <t>ASIA RIDER 801</t>
  </si>
  <si>
    <t>BEK-2301-051</t>
  </si>
  <si>
    <t>MV. NINGBO INNOVATION</t>
  </si>
  <si>
    <t>MV. GOLDEN REJEKI</t>
  </si>
  <si>
    <t>BEK-2301-052</t>
  </si>
  <si>
    <t>BEK-2301-053</t>
  </si>
  <si>
    <t>BEK-2301-054</t>
  </si>
  <si>
    <t>BEK-2301-055</t>
  </si>
  <si>
    <t>KINGFISHER 508</t>
  </si>
  <si>
    <t>ASIA STAR 818</t>
  </si>
  <si>
    <t>BEK-2301-056</t>
  </si>
  <si>
    <t>BEK-2301-057</t>
  </si>
  <si>
    <t>GHITHA 02</t>
  </si>
  <si>
    <t>GSN 02</t>
  </si>
  <si>
    <t>BEK-2301-058</t>
  </si>
  <si>
    <t>DELTA AYU 328</t>
  </si>
  <si>
    <t>KALIMANTAN TUJUH</t>
  </si>
  <si>
    <t>BEK-2301-059</t>
  </si>
  <si>
    <t>BEK-2301-060</t>
  </si>
  <si>
    <t>BEK-2301-061</t>
  </si>
  <si>
    <t>Subs.of TB. BLORO 10</t>
  </si>
  <si>
    <t>BEK-2301-062</t>
  </si>
  <si>
    <t>BEK-2301-063</t>
  </si>
  <si>
    <t>BEK-2301-064</t>
  </si>
  <si>
    <t>BEK-2301-065</t>
  </si>
  <si>
    <t>MV. CEDRIC OLDENDORFF</t>
  </si>
  <si>
    <t>BEK-2301-066</t>
  </si>
  <si>
    <t>BEK BLEND TS 0.95 MAX</t>
  </si>
  <si>
    <t>BEK-2301-067</t>
  </si>
  <si>
    <t>BEK-2301-068</t>
  </si>
  <si>
    <t>BEK-2301-069</t>
  </si>
  <si>
    <t>KINGFISHER 201</t>
  </si>
  <si>
    <t>ASIA RIDER 601</t>
  </si>
  <si>
    <t>BEK-2301-070</t>
  </si>
  <si>
    <t>Subs.of TB. BERAU COAL 26</t>
  </si>
  <si>
    <t>BEK-2301-071</t>
  </si>
  <si>
    <t>BEK-2301-072</t>
  </si>
  <si>
    <t>BEK-2301-073</t>
  </si>
  <si>
    <t>KSA 58</t>
  </si>
  <si>
    <t>RMN 308</t>
  </si>
  <si>
    <t>BEK-2301-074</t>
  </si>
  <si>
    <t>BEK-2301-075</t>
  </si>
  <si>
    <t xml:space="preserve">MV. CL ALICE </t>
  </si>
  <si>
    <t>BEK-JBG</t>
  </si>
  <si>
    <t>BEK-2301-076</t>
  </si>
  <si>
    <t>BEK-2301-077</t>
  </si>
  <si>
    <t>KSA 118</t>
  </si>
  <si>
    <t>RMN 319</t>
  </si>
  <si>
    <t>IKJ-MBR</t>
  </si>
  <si>
    <t>IKJ-2301-001</t>
  </si>
  <si>
    <t>WIRA TIMUR XVII</t>
  </si>
  <si>
    <t>LINTAS SAMUDERA XII</t>
  </si>
  <si>
    <t>IKJ-BoCT</t>
  </si>
  <si>
    <t>IKJ-2301-002</t>
  </si>
  <si>
    <t>IKJ-2301-003</t>
  </si>
  <si>
    <t>BoCT/MV. NORD AURIGA</t>
  </si>
  <si>
    <t>IKJ-2301-004</t>
  </si>
  <si>
    <t>JHN-BoCT</t>
  </si>
  <si>
    <t>JHN-2301-001</t>
  </si>
  <si>
    <t>PUTRA RUPAT 16</t>
  </si>
  <si>
    <t>TANJUNG MEDANG VII</t>
  </si>
  <si>
    <t>JHN-2301-002</t>
  </si>
  <si>
    <t>PUTRA RUPAT I</t>
  </si>
  <si>
    <t>TANJUNG MEDANG I</t>
  </si>
  <si>
    <t>KJA-BoCT</t>
  </si>
  <si>
    <t>KJA-2301-001</t>
  </si>
  <si>
    <t>MV. ASTARTE</t>
  </si>
  <si>
    <t>KJA-MBR</t>
  </si>
  <si>
    <t>KJA-2301-002</t>
  </si>
  <si>
    <t>KMIA-MBR</t>
  </si>
  <si>
    <t>KMIA-2301-001</t>
  </si>
  <si>
    <t>KMIA-2301-002</t>
  </si>
  <si>
    <t>KMIA-2301-003</t>
  </si>
  <si>
    <t>KMIA-BoCT</t>
  </si>
  <si>
    <t>KMIA-2301-004</t>
  </si>
  <si>
    <t>KMIA-2301-005</t>
  </si>
  <si>
    <t>KMIA-2301-006</t>
  </si>
  <si>
    <t>KMIA-2301-007</t>
  </si>
  <si>
    <t>MBL-BoCT</t>
  </si>
  <si>
    <t>MBL-2301-001</t>
  </si>
  <si>
    <t>MBL-MBR</t>
  </si>
  <si>
    <t>MBL-2301-002</t>
  </si>
  <si>
    <t>BERAU COAL 7</t>
  </si>
  <si>
    <t>ROBBY 135</t>
  </si>
  <si>
    <t>MBL-2301-003</t>
  </si>
  <si>
    <t>MBL-2301-004</t>
  </si>
  <si>
    <t>SJA-BoCT</t>
  </si>
  <si>
    <t>SJA-2301-001</t>
  </si>
  <si>
    <t>TOB 02</t>
  </si>
  <si>
    <t>MANNA LINE 823</t>
  </si>
  <si>
    <t>TCM-2301-001</t>
  </si>
  <si>
    <t>GONAYA XIX</t>
  </si>
  <si>
    <t>SALWA</t>
  </si>
  <si>
    <t>TCM-2301-002</t>
  </si>
  <si>
    <t>KALTIM DOLPHIN 17 - 09</t>
  </si>
  <si>
    <t>KALTIM FT 80-11</t>
  </si>
  <si>
    <t>Subs. Of BG. KALTIM DOLPHIN 80 - 03</t>
  </si>
  <si>
    <t>TCM-2301-003</t>
  </si>
  <si>
    <t>GONAYA XIV</t>
  </si>
  <si>
    <t>TCM-MBR</t>
  </si>
  <si>
    <t>TCM-2301-004</t>
  </si>
  <si>
    <t>PRIMA STAR 51</t>
  </si>
  <si>
    <t>PRIMA SAKTI 03</t>
  </si>
  <si>
    <t>TCM HCVLS</t>
  </si>
  <si>
    <t>TCM-2301-005</t>
  </si>
  <si>
    <t xml:space="preserve">MV. MEDI SERAPO </t>
  </si>
  <si>
    <t>TCM-BoCT</t>
  </si>
  <si>
    <t>TCM-2301-006</t>
  </si>
  <si>
    <t>TCM-2301-007</t>
  </si>
  <si>
    <t>TCM-2301-008</t>
  </si>
  <si>
    <t>TCM BLEND TS 1.3 MAX</t>
  </si>
  <si>
    <t>TCM-2301-009</t>
  </si>
  <si>
    <t>TCM-2301-010</t>
  </si>
  <si>
    <t>TCM-2301-011</t>
  </si>
  <si>
    <t>KOMPAS 01</t>
  </si>
  <si>
    <t>RMN 374</t>
  </si>
  <si>
    <t>TCM-JBG</t>
  </si>
  <si>
    <t>TCM-2301-012</t>
  </si>
  <si>
    <t>TCM BLEND TS 1.10 MAX</t>
  </si>
  <si>
    <t>TCM-2301-013</t>
  </si>
  <si>
    <t>:</t>
  </si>
  <si>
    <t>MV. MANALAGI YASA</t>
  </si>
  <si>
    <t>COMMENCE LOADING</t>
  </si>
  <si>
    <t>LAYCAN OF VESSEL</t>
  </si>
  <si>
    <t>20 Dec - 29 Dec</t>
  </si>
  <si>
    <t>COMPLETED LOADING</t>
  </si>
  <si>
    <t>ARRIVAL DATE</t>
  </si>
  <si>
    <t>CARGO ON BOARD</t>
  </si>
  <si>
    <t>MT</t>
  </si>
  <si>
    <t>LOAD FACILITIES</t>
  </si>
  <si>
    <t>BUYER</t>
  </si>
  <si>
    <t>PLN DEC #04</t>
  </si>
  <si>
    <t>FLF/FC NOMINATE</t>
  </si>
  <si>
    <t xml:space="preserve">SHIPPER </t>
  </si>
  <si>
    <t>3rd Party</t>
  </si>
  <si>
    <t>NO</t>
  </si>
  <si>
    <t>Service Trip</t>
  </si>
  <si>
    <t>TUG NAME</t>
  </si>
  <si>
    <t>BARGE NAME</t>
  </si>
  <si>
    <t>QTY</t>
  </si>
  <si>
    <t>SPEC</t>
  </si>
  <si>
    <t>ETA UNLOADING PORT</t>
  </si>
  <si>
    <t xml:space="preserve">POSITION 7 AM </t>
  </si>
  <si>
    <t>ROYALTY</t>
  </si>
  <si>
    <t>LHV</t>
  </si>
  <si>
    <t>SP</t>
  </si>
  <si>
    <t>WB LS</t>
  </si>
  <si>
    <t>WB HS</t>
  </si>
  <si>
    <t>EB LS</t>
  </si>
  <si>
    <t>EB MS</t>
  </si>
  <si>
    <t>EB HS</t>
  </si>
  <si>
    <t>BEK MCVMS</t>
  </si>
  <si>
    <t>GBU</t>
  </si>
  <si>
    <t>BOSS</t>
  </si>
  <si>
    <t>MHU</t>
  </si>
  <si>
    <t>BN</t>
  </si>
  <si>
    <t>ABA</t>
  </si>
  <si>
    <t>SINGLE BARGE</t>
  </si>
  <si>
    <t>BBE-2212-008</t>
  </si>
  <si>
    <t>Compelted</t>
  </si>
  <si>
    <t>V</t>
  </si>
  <si>
    <t>BEK-2212-064</t>
  </si>
  <si>
    <t>BEK-2212-054</t>
  </si>
  <si>
    <t>BEK-2212-065</t>
  </si>
  <si>
    <t>BEK-2212-068</t>
  </si>
  <si>
    <t>TOTAL CARGO SUPPLY</t>
  </si>
  <si>
    <t>STOWAGE PLAN</t>
  </si>
  <si>
    <t>BALANCE CARGO ON BOARD</t>
  </si>
  <si>
    <t>REMAINING CARGO</t>
  </si>
  <si>
    <t>LOSS/GAIN CARGO</t>
  </si>
  <si>
    <t xml:space="preserve">Note: </t>
  </si>
  <si>
    <t>No remain cargo on last barge</t>
  </si>
  <si>
    <t>MV. MUBASYIR</t>
  </si>
  <si>
    <t>25 Dec - 03 Jan</t>
  </si>
  <si>
    <t>GCNS DEC #SPOT</t>
  </si>
  <si>
    <t>TCM-2212-042</t>
  </si>
  <si>
    <t>TCM HCVMS</t>
  </si>
  <si>
    <t>TCM-2212-043</t>
  </si>
  <si>
    <t>BBE-2212-006</t>
  </si>
  <si>
    <t>TCM-2212-040</t>
  </si>
  <si>
    <t>TCM HCVMS BLEND LS</t>
  </si>
  <si>
    <t>TCM-2212-035</t>
  </si>
  <si>
    <t>EBH-2212-002</t>
  </si>
  <si>
    <t>TCM-2212-039</t>
  </si>
  <si>
    <t>Stowage plan vessel 58,000 MT due to cargo urgency and delete 1 barge BG. COMET 05 (barge grounded)</t>
  </si>
  <si>
    <t>from original suppy cargo is around 53,897.714  and then have gain cargo 251.286 MT</t>
  </si>
  <si>
    <t>MV. CHANG MING 2</t>
  </si>
  <si>
    <t>12 Dec - 21 Dec</t>
  </si>
  <si>
    <t>SHENHUA DEC SPOT #02</t>
  </si>
  <si>
    <t>BEK-2212-008</t>
  </si>
  <si>
    <t>BEK BLEND TS 0.80 MAX</t>
  </si>
  <si>
    <t>BEK-2212-023</t>
  </si>
  <si>
    <t>JHN-2212-001</t>
  </si>
  <si>
    <t>JHN-2212-002</t>
  </si>
  <si>
    <t>TANJUNG PURA XI</t>
  </si>
  <si>
    <t xml:space="preserve">LANGKAT JAYA V </t>
  </si>
  <si>
    <t>BBE-2212-002</t>
  </si>
  <si>
    <t>BEK-2212-028</t>
  </si>
  <si>
    <t>BEK-2212-025</t>
  </si>
  <si>
    <t>BEK-2212-022</t>
  </si>
  <si>
    <t>BEK-2212-019</t>
  </si>
  <si>
    <t>BEK-2212-035</t>
  </si>
  <si>
    <t>BALANCE CARGO ON PORT STOCK YARD</t>
  </si>
  <si>
    <t>Subs.of MV. HC UNITY</t>
  </si>
  <si>
    <t>Due to change vessel nominted and stowage plan changed to 71,800 MT i.o 82,500 MT</t>
  </si>
  <si>
    <t>Split cargo on BG. ROBBY 106 = 8044.558 MT for MV. CHANG MING 2 &amp; 1251.728 MT for MV. SINOKOR SUNRISE</t>
  </si>
  <si>
    <t>Switch plan BG. RMN 333 to MV. SINOKOR SUNRISE</t>
  </si>
  <si>
    <t>Switch plan BG. ROBBY 135 to MV. XING SHENG</t>
  </si>
  <si>
    <t>MV. SINOKOR SUNRISE</t>
  </si>
  <si>
    <t>22 Dec - 31 Dec</t>
  </si>
  <si>
    <t>MASINLOC #4/6</t>
  </si>
  <si>
    <t>BEK-2212-029</t>
  </si>
  <si>
    <t>.</t>
  </si>
  <si>
    <t>BEK-2212-066</t>
  </si>
  <si>
    <t>BBE-2212-005</t>
  </si>
  <si>
    <t>BEK-2212-062</t>
  </si>
  <si>
    <t>BEK-2212-059</t>
  </si>
  <si>
    <t>BEK-2212-070</t>
  </si>
  <si>
    <t>BBE-2212-007</t>
  </si>
  <si>
    <t>PSY</t>
  </si>
  <si>
    <t>IMM WB LS</t>
  </si>
  <si>
    <t>Additional barge BG. RMN 333 from MV. CHANG MING 2</t>
  </si>
  <si>
    <t>Reduce quantity of IMM due to additional 1 barge from MV. CHANG MING 2 (BG. RMN 333)</t>
  </si>
  <si>
    <t>05 Jan - 14 Jan</t>
  </si>
  <si>
    <t>FREEPORT #1/8</t>
  </si>
  <si>
    <t>STORAGE 2</t>
  </si>
  <si>
    <t>BEK-2212-067</t>
  </si>
  <si>
    <t>TOTAL  STORAGE</t>
  </si>
  <si>
    <t>STEP 1</t>
  </si>
  <si>
    <t>TCM-2212-041</t>
  </si>
  <si>
    <t>STEP 2</t>
  </si>
  <si>
    <t>STEP 3</t>
  </si>
  <si>
    <t>STEP 4</t>
  </si>
  <si>
    <t>STEP 5</t>
  </si>
  <si>
    <t>STEP 6</t>
  </si>
  <si>
    <t>TOTAL DIRECT VESSEL</t>
  </si>
  <si>
    <t>Remain cargo will sent to BoCT-MV. MEDI SERAPO</t>
  </si>
  <si>
    <t>MV. XING SHENG</t>
  </si>
  <si>
    <t>02 Jan - 11 Jan</t>
  </si>
  <si>
    <t>SHENHUA 5500NAR #01</t>
  </si>
  <si>
    <t>KWA-2211-002</t>
  </si>
  <si>
    <t>BEK-2212-071</t>
  </si>
  <si>
    <t>BEK-2212-072</t>
  </si>
  <si>
    <t>BEK-2212-069</t>
  </si>
  <si>
    <t>BEK-2212-074</t>
  </si>
  <si>
    <t>BEK-2212-073</t>
  </si>
  <si>
    <t>TCM-2212-046</t>
  </si>
  <si>
    <t>TCM BLEND TS 1.6 MAX</t>
  </si>
  <si>
    <t>IMM WB LS+HS</t>
  </si>
  <si>
    <t>Divert barge BG. ROBBY 135 from MV. XING SHENG to MV. MEDI SERAPO</t>
  </si>
  <si>
    <t>12 Jan - 21 Jan</t>
  </si>
  <si>
    <t>PLN JAN #01</t>
  </si>
  <si>
    <t>BLEND 67 : 33</t>
  </si>
  <si>
    <t>BLEND 33 : 67</t>
  </si>
  <si>
    <t>Remain cargo sent to MV. REX OLDENDORFF</t>
  </si>
  <si>
    <t>16 Jan - 25 Jan</t>
  </si>
  <si>
    <t>START LAYCAN</t>
  </si>
  <si>
    <t>HMS RELIANCE JAN #SPOT</t>
  </si>
  <si>
    <t>BLEND 78 : 22</t>
  </si>
  <si>
    <t>BLEND 25 : 75</t>
  </si>
  <si>
    <t>BLEND 74 : 26</t>
  </si>
  <si>
    <t>BLEND 30 : 70</t>
  </si>
  <si>
    <t>BLEND 50 : 50</t>
  </si>
  <si>
    <t>BLEND 70 : 30</t>
  </si>
  <si>
    <t>KMIA-2301-023</t>
  </si>
  <si>
    <t>BLEND 34 : 66</t>
  </si>
  <si>
    <t>BLEND 58 : 42</t>
  </si>
  <si>
    <t xml:space="preserve">Remain cargo sent to MV. AMPHITRITE </t>
  </si>
  <si>
    <t>18 Jan - 27 Jan</t>
  </si>
  <si>
    <t>EPDC #8/9</t>
  </si>
  <si>
    <t>BEK-2212-027</t>
  </si>
  <si>
    <t>Revised stowage plan 64,297 MT i.o 67,106 MT</t>
  </si>
  <si>
    <t>22 Jan - 31 Jan</t>
  </si>
  <si>
    <t>SHENHUA 5500NAR #SPOT</t>
  </si>
  <si>
    <t>IMM WB HS</t>
  </si>
  <si>
    <t>17 Jan - 26 Jan</t>
  </si>
  <si>
    <t>JERA #3/4 (TS rej 1.3%)</t>
  </si>
  <si>
    <t>STORAGE 1</t>
  </si>
  <si>
    <t>STEP 7</t>
  </si>
  <si>
    <t>STEP 8</t>
  </si>
  <si>
    <t>Remain cargo sent to MV. ZHONGHAIHUARUN 1</t>
  </si>
  <si>
    <t>FEB'23</t>
  </si>
  <si>
    <t>BoCT/MV. ZHONG XIN PEARL</t>
  </si>
  <si>
    <t>BBA-2302-001</t>
  </si>
  <si>
    <t>PRIMA SAKTI 18</t>
  </si>
  <si>
    <t>PRIMA SAKTI 19</t>
  </si>
  <si>
    <t>BoCT/MV. ENTERPRISE</t>
  </si>
  <si>
    <t>BBE-2302-001</t>
  </si>
  <si>
    <t>BBE-2302-002</t>
  </si>
  <si>
    <t xml:space="preserve">MV. MAGIC VENUS </t>
  </si>
  <si>
    <t>BBE-2302-003</t>
  </si>
  <si>
    <t>BBE-2302-004</t>
  </si>
  <si>
    <t>BEK-2302-001</t>
  </si>
  <si>
    <t>MV. MAGIC TWILIGHT</t>
  </si>
  <si>
    <t>BEK-2302-002</t>
  </si>
  <si>
    <t>KSA 45</t>
  </si>
  <si>
    <t>RMN 342J</t>
  </si>
  <si>
    <t>Subs.of TB. KOMPAS 03 / BG. RMN 337</t>
  </si>
  <si>
    <t>BEK-2302-003</t>
  </si>
  <si>
    <t>BEK-2302-004</t>
  </si>
  <si>
    <t xml:space="preserve">Subs.of TB. BLORO 10 </t>
  </si>
  <si>
    <t>BEK-2302-005</t>
  </si>
  <si>
    <t>MV. HONG KUN 7</t>
  </si>
  <si>
    <t>BEK-2302-006</t>
  </si>
  <si>
    <t>KALTIM DOLPHIN 17 - 10</t>
  </si>
  <si>
    <t>Subs.of TB. KALTIM DOLPHIN 17 - 06</t>
  </si>
  <si>
    <t>BEK-2302-007</t>
  </si>
  <si>
    <t>Instruction depart to POL on 9 Feb</t>
  </si>
  <si>
    <t>MV. HC FORWARD</t>
  </si>
  <si>
    <t>BEK-2302-008</t>
  </si>
  <si>
    <t>BEK-2302-009</t>
  </si>
  <si>
    <t>BEK-2302-010</t>
  </si>
  <si>
    <t>BEK-2302-011</t>
  </si>
  <si>
    <t>BEK-2302-012</t>
  </si>
  <si>
    <t>BEK-2302-013</t>
  </si>
  <si>
    <t>BEK-2302-014</t>
  </si>
  <si>
    <t>MV. MAGIC VENUS BoCT - MASINLOC</t>
  </si>
  <si>
    <t>BEK-2302-015</t>
  </si>
  <si>
    <t>BEK-2302-016</t>
  </si>
  <si>
    <t>BEK-2302-017</t>
  </si>
  <si>
    <t>BEK-2302-018</t>
  </si>
  <si>
    <t>BEK-2302-019</t>
  </si>
  <si>
    <t>BEK-2302-020</t>
  </si>
  <si>
    <t>BEK-2302-021</t>
  </si>
  <si>
    <t>BEK-2302-022</t>
  </si>
  <si>
    <t>BEK-2302-023</t>
  </si>
  <si>
    <t>BEK-2302-024</t>
  </si>
  <si>
    <t>BEK-2302-025</t>
  </si>
  <si>
    <t>BEK-2302-026</t>
  </si>
  <si>
    <t>BEK-2302-027</t>
  </si>
  <si>
    <t>BERAU COAL 27</t>
  </si>
  <si>
    <t>ROBBY 307</t>
  </si>
  <si>
    <t>SUBSTITUTE BERAU COAL 26/ROBBY 136 ; Instruction depart to POL on 9 Feb</t>
  </si>
  <si>
    <t>MV. MAGIC THUNDER</t>
  </si>
  <si>
    <t>BEK-2302-028</t>
  </si>
  <si>
    <t>Instruction depart to POL on 15 Feb ; End trip at BoCT and continue load at C50</t>
  </si>
  <si>
    <t>MV. NEW CONFIDENCE ; Under TCM</t>
  </si>
  <si>
    <t>BEK-2302-029</t>
  </si>
  <si>
    <t>Instruction depart to POL on 11 Feb</t>
  </si>
  <si>
    <t>BEK-2302-030</t>
  </si>
  <si>
    <t>BEK BLEND ( 5000 LS + 2500 MS )</t>
  </si>
  <si>
    <t>BEK-2302-031</t>
  </si>
  <si>
    <t>BEK-2302-032</t>
  </si>
  <si>
    <t>Instruction depart to POL on 11 Feb ; End trip at BoCT &amp; continue load at C50</t>
  </si>
  <si>
    <t>BEK-2302-033</t>
  </si>
  <si>
    <t>BEK-2302-034</t>
  </si>
  <si>
    <t>BEK-2302-035</t>
  </si>
  <si>
    <t>Instruction depart to POL on 15 Feb</t>
  </si>
  <si>
    <t>BEK-2302-036</t>
  </si>
  <si>
    <t>BEK-2302-037</t>
  </si>
  <si>
    <t>BEK-2302-038</t>
  </si>
  <si>
    <t>BEK BLEND TS 0.8 MAX</t>
  </si>
  <si>
    <t>BEK-2302-039</t>
  </si>
  <si>
    <t>BEK-2302-040</t>
  </si>
  <si>
    <t>MV. KING COAL</t>
  </si>
  <si>
    <t>BEK-2302-041</t>
  </si>
  <si>
    <t>BEK-2302-042</t>
  </si>
  <si>
    <t>BEK-2302-043</t>
  </si>
  <si>
    <t>BEK-2302-044</t>
  </si>
  <si>
    <t>MV. NEW CONFIDENCE</t>
  </si>
  <si>
    <t>IMM-MBR</t>
  </si>
  <si>
    <t>IMM-2302-001</t>
  </si>
  <si>
    <t>MV. ENERGY PRIMAVERA</t>
  </si>
  <si>
    <t>IMM-2302-002</t>
  </si>
  <si>
    <t>IMM-2302-003</t>
  </si>
  <si>
    <t xml:space="preserve">MV. CORONA CITRUS </t>
  </si>
  <si>
    <t>IMM-2302-004</t>
  </si>
  <si>
    <t>IMM-2302-005</t>
  </si>
  <si>
    <t xml:space="preserve">MV. VERDURE WAVE </t>
  </si>
  <si>
    <t>IMM-2302-006</t>
  </si>
  <si>
    <t>BoCT/MV. BAO LUCKY</t>
  </si>
  <si>
    <t>JHN-2302-001</t>
  </si>
  <si>
    <t>PUTRA RUPAT 1</t>
  </si>
  <si>
    <t>BoCT/MV. HC SUNSHINE</t>
  </si>
  <si>
    <t>JHN-2302-002</t>
  </si>
  <si>
    <t>BoCT/MV. BEST TRADER</t>
  </si>
  <si>
    <t>JHN-2302-003</t>
  </si>
  <si>
    <t>CSA 6</t>
  </si>
  <si>
    <t>CSA 3003</t>
  </si>
  <si>
    <t>KJA-2302-001</t>
  </si>
  <si>
    <t>KJA-2302-002</t>
  </si>
  <si>
    <t>KMIA-2302-001</t>
  </si>
  <si>
    <t>KMIA-2302-002</t>
  </si>
  <si>
    <t>KINGSTON 333</t>
  </si>
  <si>
    <t>Subs.of TB. KINGFISHER 201</t>
  </si>
  <si>
    <t xml:space="preserve">MV. NEW CONFIDENCE </t>
  </si>
  <si>
    <t>KMIA-2302-003</t>
  </si>
  <si>
    <t>KMIA-2302-004</t>
  </si>
  <si>
    <t>End trip at BoCT and continue load C50</t>
  </si>
  <si>
    <t>KMIA-2302-005</t>
  </si>
  <si>
    <t>KMIA-2302-006</t>
  </si>
  <si>
    <t>KWA-BoCT</t>
  </si>
  <si>
    <t>KWA-2302-001</t>
  </si>
  <si>
    <t>KWA-2302-002</t>
  </si>
  <si>
    <t>MBL-2302-001</t>
  </si>
  <si>
    <t>MBL-2302-002</t>
  </si>
  <si>
    <t>MBL-2302-003</t>
  </si>
  <si>
    <t>End trip at BoCT and continue load at C50</t>
  </si>
  <si>
    <t>MBL-2302-004</t>
  </si>
  <si>
    <t>Instruction depart to POL on 11 Feb ; End trip at BoCT and continue load at C50</t>
  </si>
  <si>
    <t>MCM-BoCT</t>
  </si>
  <si>
    <t>MCM-2302-001</t>
  </si>
  <si>
    <t>ROBBY 84</t>
  </si>
  <si>
    <t>ROBBY 223</t>
  </si>
  <si>
    <t>MCM-2302-002</t>
  </si>
  <si>
    <t>AREK SUROBOYO 06</t>
  </si>
  <si>
    <t>BOSS 6</t>
  </si>
  <si>
    <t>MCM-2302-003</t>
  </si>
  <si>
    <t xml:space="preserve">AVRILL </t>
  </si>
  <si>
    <t>SPA 27007</t>
  </si>
  <si>
    <t>MCM-2302-004</t>
  </si>
  <si>
    <t>BLORO 27</t>
  </si>
  <si>
    <t>ROBBY 206</t>
  </si>
  <si>
    <t>MCM-2302-005</t>
  </si>
  <si>
    <t>SWISSCO 181</t>
  </si>
  <si>
    <t>ROBBY 78</t>
  </si>
  <si>
    <t>MCM-MBR</t>
  </si>
  <si>
    <t>MCM-2302-006</t>
  </si>
  <si>
    <t>ROBBY 28</t>
  </si>
  <si>
    <t>ROBBY 26</t>
  </si>
  <si>
    <t>MCM-2302-007</t>
  </si>
  <si>
    <t>BLORO 31</t>
  </si>
  <si>
    <t>MARINA BAY 101</t>
  </si>
  <si>
    <t>MV. GRACE MILD</t>
  </si>
  <si>
    <t>MCM-2302-008</t>
  </si>
  <si>
    <t>VES FAIR 12</t>
  </si>
  <si>
    <t>ROBBY 80</t>
  </si>
  <si>
    <t>MML-BoCT</t>
  </si>
  <si>
    <t>MML-2302-001</t>
  </si>
  <si>
    <t>SVS STAR</t>
  </si>
  <si>
    <t>SVS 301</t>
  </si>
  <si>
    <t>MML-2302-002</t>
  </si>
  <si>
    <t>SVS STAR 3</t>
  </si>
  <si>
    <t>SVS 302</t>
  </si>
  <si>
    <t>TCM-2302-001</t>
  </si>
  <si>
    <t>TCM-2302-002</t>
  </si>
  <si>
    <t>TCM-2302-003</t>
  </si>
  <si>
    <t xml:space="preserve">Owner email readiness </t>
  </si>
  <si>
    <t>TCM-2302-004</t>
  </si>
  <si>
    <t>TCM-2302-005</t>
  </si>
  <si>
    <t>TCM-2302-006</t>
  </si>
  <si>
    <t>TCM-2302-007</t>
  </si>
  <si>
    <t>TCM-2302-008</t>
  </si>
  <si>
    <t>TCM-2302-009</t>
  </si>
  <si>
    <t>TCM HCVHS</t>
  </si>
  <si>
    <t>Instruction depart to POL on 16 Feb</t>
  </si>
  <si>
    <t>TCM-2302-010</t>
  </si>
  <si>
    <t>TCM-2302-011</t>
  </si>
  <si>
    <t>TCM-2302-012</t>
  </si>
  <si>
    <t>TCM BLEND TS 1.20 MAX</t>
  </si>
  <si>
    <t>TCM-2302-013</t>
  </si>
  <si>
    <t>TCM-2302-014</t>
  </si>
  <si>
    <t>TCM-2302-015</t>
  </si>
  <si>
    <t>TCM-2302-016</t>
  </si>
  <si>
    <t>TCM-2302-017</t>
  </si>
  <si>
    <t>TCM BLEND TS 1.30 MAX</t>
  </si>
  <si>
    <t>TCM-2302-018</t>
  </si>
  <si>
    <t>TCM BLEND TS 1.40 MAX</t>
  </si>
  <si>
    <t>TCM-2302-019</t>
  </si>
  <si>
    <t>Subs.of BG. RMN 319 ; Instruction depart to POL on 17 Feb</t>
  </si>
  <si>
    <t>TCM-2302-020</t>
  </si>
  <si>
    <t>Instruction depart to POL on 17 Feb</t>
  </si>
  <si>
    <t>TCM-2302-021</t>
  </si>
  <si>
    <t>TCM-2302-022</t>
  </si>
  <si>
    <t>TCM-2302-023</t>
  </si>
  <si>
    <t>TCM-2302-024</t>
  </si>
  <si>
    <t>Instruction depart to POL on 18 Feb</t>
  </si>
  <si>
    <t>TCM-2302-025</t>
  </si>
  <si>
    <t>TCM BLEND TS 1.2 MAX</t>
  </si>
  <si>
    <t>TCM-2302-026</t>
  </si>
  <si>
    <t>TCM-2302-027</t>
  </si>
  <si>
    <t>TCM-2302-028</t>
  </si>
  <si>
    <t>TCM-2302-029</t>
  </si>
  <si>
    <t>TCM-2302-030</t>
  </si>
  <si>
    <t>Divert from KWA to Bunyut due to low water level at KWA on 18 Feb</t>
  </si>
  <si>
    <t>ZHEJIANG 5500NAR #1/6</t>
  </si>
  <si>
    <t>STEP 9</t>
  </si>
  <si>
    <t>STEP 10</t>
  </si>
  <si>
    <t>STEP 11</t>
  </si>
  <si>
    <t>27 Jan - 08 Feb</t>
  </si>
  <si>
    <t>SHENHUA 5500NAR FEB #SPOT 01</t>
  </si>
  <si>
    <t>BLEND 68 : 32</t>
  </si>
  <si>
    <t>X</t>
  </si>
  <si>
    <t>Remain cargo sent to MV. CEDRIC OLDENDORFF</t>
  </si>
  <si>
    <t>25 Jan - 03 Feb</t>
  </si>
  <si>
    <t>SMI BEK #1/3</t>
  </si>
  <si>
    <t>TCM-2212-045</t>
  </si>
  <si>
    <t>MAMUJU</t>
  </si>
  <si>
    <t>COMET 05</t>
  </si>
  <si>
    <t>04 Feb - 16 Feb</t>
  </si>
  <si>
    <t>SHENHUA 5500NAR FEB #SPOT 02</t>
  </si>
  <si>
    <t>01 Feb - 10 Feb</t>
  </si>
  <si>
    <t>THERMA LUZON BEK #1/3</t>
  </si>
  <si>
    <t>BLEND 66 : 34</t>
  </si>
  <si>
    <t>BLEND 29 : 71</t>
  </si>
  <si>
    <t xml:space="preserve">Remain cargo sent to BoCT-MV. MAGIC VENUS </t>
  </si>
  <si>
    <t>02 Feb - 11 Feb</t>
  </si>
  <si>
    <t>GLOW # 01</t>
  </si>
  <si>
    <t>BEK-2301-078</t>
  </si>
  <si>
    <t>14 Feb - 23 Feb</t>
  </si>
  <si>
    <t>ZHEJIANG 5500NAR #2/6</t>
  </si>
  <si>
    <t>Due to gain cargo BG. ROBBY 363 cancelled unload to vessel</t>
  </si>
  <si>
    <t>Remain cargo sent to MV. ALIYAH PERTIWI</t>
  </si>
  <si>
    <t>16 Feb - 25 Feb</t>
  </si>
  <si>
    <t>TOSOH #09</t>
  </si>
  <si>
    <t>BLEND 45 : 55</t>
  </si>
  <si>
    <t>Due to on BG. ROBBY 136 less than 500 MT, remain cargo back to SMD</t>
  </si>
  <si>
    <t>15 Feb - 20 Feb</t>
  </si>
  <si>
    <t>HKE #1/4</t>
  </si>
  <si>
    <t>RMN 342</t>
  </si>
  <si>
    <t>Remain cargo sent to MV. HC FORWARD</t>
  </si>
  <si>
    <t>MASINLOC 5700GAR FEB #SPOT</t>
  </si>
  <si>
    <t>SPB</t>
  </si>
  <si>
    <t>19 Feb - 28 Feb</t>
  </si>
  <si>
    <t>TOKUYAMA #03</t>
  </si>
  <si>
    <t>Return cargo sent to MV. VERDURE WAVE</t>
  </si>
  <si>
    <t>18 Feb - 27 Feb</t>
  </si>
  <si>
    <t>SMEC 5700GAR #1/4</t>
  </si>
  <si>
    <t>17 Feb - 26 Feb</t>
  </si>
  <si>
    <t>EPDC #9/9</t>
  </si>
  <si>
    <t>BLEND 20 : 80</t>
  </si>
  <si>
    <t>BLEND 17 : 82</t>
  </si>
  <si>
    <t>BMM</t>
  </si>
  <si>
    <t>MAR'23</t>
  </si>
  <si>
    <t>BBA-2303-001</t>
  </si>
  <si>
    <t>BoCT/MV. XIN MENG XIANG</t>
  </si>
  <si>
    <t>BBE-2303-001</t>
  </si>
  <si>
    <t>BBE-2303-002</t>
  </si>
  <si>
    <t>MV. HC SUNSHINE</t>
  </si>
  <si>
    <t>BBE-2303-003</t>
  </si>
  <si>
    <t>BEK-2303-001</t>
  </si>
  <si>
    <t>BEK-2303-002</t>
  </si>
  <si>
    <t>BEK-2303-003</t>
  </si>
  <si>
    <t>BEK-2303-004</t>
  </si>
  <si>
    <t>BEK-2303-005</t>
  </si>
  <si>
    <t>BEK-2303-006</t>
  </si>
  <si>
    <t>BEK-2303-007</t>
  </si>
  <si>
    <t>BEK-2303-008</t>
  </si>
  <si>
    <t>MV. ENGIADINA</t>
  </si>
  <si>
    <t>BEK-2303-009</t>
  </si>
  <si>
    <t>BEK-2303-010</t>
  </si>
  <si>
    <t>BEK-2303-011</t>
  </si>
  <si>
    <t>BEK-2303-012</t>
  </si>
  <si>
    <t>BEK BLEND TS 0.90 MAX</t>
  </si>
  <si>
    <t>BEK-2303-013</t>
  </si>
  <si>
    <t>BEK-2303-014</t>
  </si>
  <si>
    <t>BEK-2303-015</t>
  </si>
  <si>
    <t>BEK-2303-016</t>
  </si>
  <si>
    <t>Instruction depart POL on 2 Mar</t>
  </si>
  <si>
    <t>BEK-2303-017</t>
  </si>
  <si>
    <t>BEK-2303-018</t>
  </si>
  <si>
    <t>Instruction depart POL on 3 Mar</t>
  </si>
  <si>
    <t>MV. MANALAGI ASTA</t>
  </si>
  <si>
    <t>MV. AMANAH KENDARI AMC</t>
  </si>
  <si>
    <t>BEK-2303-019</t>
  </si>
  <si>
    <t>BEK-2303-020</t>
  </si>
  <si>
    <t>BEK-2303-021</t>
  </si>
  <si>
    <t>BEK-2303-022</t>
  </si>
  <si>
    <t>BEK-2303-023</t>
  </si>
  <si>
    <t>MV. YUE DIAN 8</t>
  </si>
  <si>
    <t>BEK-2303-024</t>
  </si>
  <si>
    <t>BEK-2303-025</t>
  </si>
  <si>
    <t>BEK-2303-026</t>
  </si>
  <si>
    <t>BEK-2303-027</t>
  </si>
  <si>
    <t>BEK-2303-028</t>
  </si>
  <si>
    <t>Info depart to POL on 5 Mar</t>
  </si>
  <si>
    <t>BEK-2303-029</t>
  </si>
  <si>
    <t>Divert MV. YUE DIAN 8 - BoCT due to overdraft</t>
  </si>
  <si>
    <t>BEK-2303-030</t>
  </si>
  <si>
    <t>BEK-2303-031</t>
  </si>
  <si>
    <t>Info depart to POL on 8 Mar</t>
  </si>
  <si>
    <t>BEK-2303-032</t>
  </si>
  <si>
    <t>Info depart to POL on 7 Mar</t>
  </si>
  <si>
    <t>BEK-2303-033</t>
  </si>
  <si>
    <t>MV. MDM BATUR</t>
  </si>
  <si>
    <t>BEK-2303-034</t>
  </si>
  <si>
    <t>BEK-2303-035</t>
  </si>
  <si>
    <t>BEK-2303-036</t>
  </si>
  <si>
    <t>MV. LUMOSO HARMONI</t>
  </si>
  <si>
    <t>BEK-2303-037</t>
  </si>
  <si>
    <t>BoCT/MV. KARTINI SAMUDRA</t>
  </si>
  <si>
    <t>BEK-2303-038</t>
  </si>
  <si>
    <t>BEK-2303-039</t>
  </si>
  <si>
    <t>BEK-2303-040</t>
  </si>
  <si>
    <t>BEK-2303-041</t>
  </si>
  <si>
    <t>BEK-2303-042</t>
  </si>
  <si>
    <t>MV. MANALAGI ENZI</t>
  </si>
  <si>
    <t>BEK-2303-043</t>
  </si>
  <si>
    <t>MV. YI PENG 5</t>
  </si>
  <si>
    <t>BEK-2303-044</t>
  </si>
  <si>
    <t>Due to gain cargo supply, cancel discharge to MV. MDM BATUR</t>
  </si>
  <si>
    <t>BEK-2303-045</t>
  </si>
  <si>
    <t>BEK-2303-046</t>
  </si>
  <si>
    <t>BEK-2303-047</t>
  </si>
  <si>
    <t>BEK-2303-048</t>
  </si>
  <si>
    <t>MV. XIN DONG GUAN 14</t>
  </si>
  <si>
    <t>BEK-2303-049</t>
  </si>
  <si>
    <t>MV. TIGER WEST</t>
  </si>
  <si>
    <t>BEK-2303-050</t>
  </si>
  <si>
    <t>BEK-2303-051</t>
  </si>
  <si>
    <t>BEK-2303-052</t>
  </si>
  <si>
    <t>BEK-2303-053</t>
  </si>
  <si>
    <t>BEK-2303-054</t>
  </si>
  <si>
    <t>MV. HABCO CARINA</t>
  </si>
  <si>
    <t>BEK-2303-055</t>
  </si>
  <si>
    <t>BEK-2303-056</t>
  </si>
  <si>
    <t>BEK-2303-057</t>
  </si>
  <si>
    <t>BEK-2303-058</t>
  </si>
  <si>
    <t>BEK-2303-059</t>
  </si>
  <si>
    <t>BEK-2303-060</t>
  </si>
  <si>
    <t>BEK-2303-061</t>
  </si>
  <si>
    <t>BEK-2303-062</t>
  </si>
  <si>
    <t>BEK-2303-063</t>
  </si>
  <si>
    <t>BEK-2303-064</t>
  </si>
  <si>
    <t>BEK-2303-065</t>
  </si>
  <si>
    <t>BEK-2303-066</t>
  </si>
  <si>
    <t>BEK-2303-067</t>
  </si>
  <si>
    <t>BEK-2303-068</t>
  </si>
  <si>
    <t>BEK-2303-069</t>
  </si>
  <si>
    <t>BEK-2303-070</t>
  </si>
  <si>
    <t>BEK-2303-071</t>
  </si>
  <si>
    <t>BEK-2303-072</t>
  </si>
  <si>
    <t>BEK-2303-073</t>
  </si>
  <si>
    <t>BEK-2303-074</t>
  </si>
  <si>
    <t>BEK-2303-075</t>
  </si>
  <si>
    <t>BEK-2303-076</t>
  </si>
  <si>
    <t>BEK-2303-077</t>
  </si>
  <si>
    <t>BEK-2303-078</t>
  </si>
  <si>
    <t>BEK-2303-079</t>
  </si>
  <si>
    <t>BEK-2303-080</t>
  </si>
  <si>
    <t>BEK-2303-081</t>
  </si>
  <si>
    <t>BEK-2303-082</t>
  </si>
  <si>
    <t>MV. IOANNIS M</t>
  </si>
  <si>
    <t>BEK-2303-083</t>
  </si>
  <si>
    <t>BEK-2303-084</t>
  </si>
  <si>
    <t>BEK-2303-085</t>
  </si>
  <si>
    <t xml:space="preserve">MV. HARMONY </t>
  </si>
  <si>
    <t>BEK-2303-086</t>
  </si>
  <si>
    <t>BEK-2303-087</t>
  </si>
  <si>
    <t>MV. KING MILO</t>
  </si>
  <si>
    <t>EBH-MBR</t>
  </si>
  <si>
    <t>EBH-2303-001</t>
  </si>
  <si>
    <t>IKJ-2303-001</t>
  </si>
  <si>
    <t>IKJ-2303-002</t>
  </si>
  <si>
    <t>IKJ-2303-003</t>
  </si>
  <si>
    <t>IKJ-2303-004</t>
  </si>
  <si>
    <t>IKJ-2303-005</t>
  </si>
  <si>
    <t>IMM-2303-001</t>
  </si>
  <si>
    <t>JHN-MBR</t>
  </si>
  <si>
    <t>JHN-2303-001</t>
  </si>
  <si>
    <t>JHN-2303-002</t>
  </si>
  <si>
    <t>JHN-2303-003</t>
  </si>
  <si>
    <t>KBM-MBR</t>
  </si>
  <si>
    <t>KBM-2303-001</t>
  </si>
  <si>
    <t>BoCT/MV. FU SHENG</t>
  </si>
  <si>
    <t>KBM-BoCT</t>
  </si>
  <si>
    <t>KBM-2303-002</t>
  </si>
  <si>
    <t>KJA-2303-001</t>
  </si>
  <si>
    <t>BoCT/MV. ACRUX AMELIA</t>
  </si>
  <si>
    <t>KJA-2303-002</t>
  </si>
  <si>
    <t>KMIA-2303-001</t>
  </si>
  <si>
    <t>MV. VINCA</t>
  </si>
  <si>
    <t>KMIA-2303-002</t>
  </si>
  <si>
    <t>KMIA-2303-003</t>
  </si>
  <si>
    <t>KMIA-2303-004</t>
  </si>
  <si>
    <t>KMIA-2303-005</t>
  </si>
  <si>
    <t>KWA-2303-001</t>
  </si>
  <si>
    <t>Divert POL to KWA i.o Bunyut on 27 Feb</t>
  </si>
  <si>
    <t>MBL-2303-001</t>
  </si>
  <si>
    <t>MBL-2303-002</t>
  </si>
  <si>
    <t>MBL-2303-003</t>
  </si>
  <si>
    <t>MBL-2303-004</t>
  </si>
  <si>
    <t>MBL-2303-005</t>
  </si>
  <si>
    <t>MV. TOMINI NOBILITY</t>
  </si>
  <si>
    <t>MBL-2303-006</t>
  </si>
  <si>
    <t>MBL-2303-007</t>
  </si>
  <si>
    <t>MBL-2303-008</t>
  </si>
  <si>
    <t>MCM-2303-001</t>
  </si>
  <si>
    <t>MCM-2303-002</t>
  </si>
  <si>
    <t>BLORO 29</t>
  </si>
  <si>
    <t>ROBBY 221</t>
  </si>
  <si>
    <t>BoCT/MV. THERESA PRIDE</t>
  </si>
  <si>
    <t>MML-2303-001</t>
  </si>
  <si>
    <t>TCM-2303-001</t>
  </si>
  <si>
    <t>TCM-2303-002</t>
  </si>
  <si>
    <t>TCM-2303-003</t>
  </si>
  <si>
    <t>TCM-2303-004</t>
  </si>
  <si>
    <t>TCM-2303-005</t>
  </si>
  <si>
    <t>TCM-2303-006</t>
  </si>
  <si>
    <t>TCM-2303-007</t>
  </si>
  <si>
    <t>TCM-2303-008</t>
  </si>
  <si>
    <t>TCM-2303-009</t>
  </si>
  <si>
    <t>TCM-2303-010</t>
  </si>
  <si>
    <t>MV. BLUE WAVE</t>
  </si>
  <si>
    <t>TCM-2303-011</t>
  </si>
  <si>
    <t>TCM-2303-012</t>
  </si>
  <si>
    <t>TCM-2303-013</t>
  </si>
  <si>
    <t>TCM-2303-014</t>
  </si>
  <si>
    <t>TCM-2303-015</t>
  </si>
  <si>
    <t>TCM-2303-016</t>
  </si>
  <si>
    <t>TCM-2303-017</t>
  </si>
  <si>
    <t>TCM-2303-018</t>
  </si>
  <si>
    <t>ASIA RIDER 901</t>
  </si>
  <si>
    <t>Subs.of. BG. ASIA STAR 818 ; Info depart to POL on 8 Mar</t>
  </si>
  <si>
    <t>TCM-2303-019</t>
  </si>
  <si>
    <t>TCM-2303-020</t>
  </si>
  <si>
    <t>TCM-2303-021</t>
  </si>
  <si>
    <t>TCM-2303-022</t>
  </si>
  <si>
    <t>Subs.of BG. ROBBY 136 ; Info depart to POL on 7 Mar ;</t>
  </si>
  <si>
    <t>TCM-2303-023</t>
  </si>
  <si>
    <t>TCM-2303-024</t>
  </si>
  <si>
    <t>TCM-2303-025</t>
  </si>
  <si>
    <t>TCM-2303-026</t>
  </si>
  <si>
    <t>TCM-2303-027</t>
  </si>
  <si>
    <t xml:space="preserve">Info depart to POL on 7 Mar ; Subs. Of TB. SSP 788 </t>
  </si>
  <si>
    <t>TCM-2303-028</t>
  </si>
  <si>
    <t>TCM-2303-029</t>
  </si>
  <si>
    <t>TCM-2303-030</t>
  </si>
  <si>
    <t>TCM-2303-031</t>
  </si>
  <si>
    <t>TCM BLEND TS 1.35 MAX</t>
  </si>
  <si>
    <t>TCM-2303-032</t>
  </si>
  <si>
    <t>TCM-2303-033</t>
  </si>
  <si>
    <t>TCM-2303-034</t>
  </si>
  <si>
    <t>TCM-2303-035</t>
  </si>
  <si>
    <t>TCM-2303-036</t>
  </si>
  <si>
    <t>TCM-2303-037</t>
  </si>
  <si>
    <t>EMPTY</t>
  </si>
  <si>
    <t>LOADED</t>
  </si>
  <si>
    <t>22 Feb - 03 Mar</t>
  </si>
  <si>
    <t>JERA #4/4 (TS rej 1.3%)</t>
  </si>
  <si>
    <t>BLEND 16 : 84</t>
  </si>
  <si>
    <t>BLEND 40 : 60</t>
  </si>
  <si>
    <t>Remain cargo sent MV. HC FORWARD</t>
  </si>
  <si>
    <t>22 Feb - 28 Feb</t>
  </si>
  <si>
    <t>SHENHUA 5500NAR FEB #SPOT 03</t>
  </si>
  <si>
    <t>BLEND 56 : 44</t>
  </si>
  <si>
    <t>BLEND 42 : 57</t>
  </si>
  <si>
    <t>BEK-2302-045</t>
  </si>
  <si>
    <t>BLEND 44 : 56</t>
  </si>
  <si>
    <t>Remain cargo sent MV. KING COAL</t>
  </si>
  <si>
    <t>01 Mar - 10 Mar</t>
  </si>
  <si>
    <t>SMEC 5700GAR #2/4</t>
  </si>
  <si>
    <t>Remain cargo sent to MV. GRACE MILD</t>
  </si>
  <si>
    <t>02 Mar - 11 Mar</t>
  </si>
  <si>
    <t>SHENHUA 5500NAR #1/2</t>
  </si>
  <si>
    <t>KBM-2302-001</t>
  </si>
  <si>
    <t>Remain cargo sent to MV. MANALAGI ASTA</t>
  </si>
  <si>
    <t>25 Feb - 08 Mar</t>
  </si>
  <si>
    <t>WEDA BAY #2/3</t>
  </si>
  <si>
    <t>8 Feb - 17 Feb</t>
  </si>
  <si>
    <t>GLOW # 02</t>
  </si>
  <si>
    <t>09 Mar - 18 Mar</t>
  </si>
  <si>
    <t>TOSOH #10</t>
  </si>
  <si>
    <t>Remain cargo sent to MV. LUMOSO HARMONI</t>
  </si>
  <si>
    <t>15 Mar - 24 Mar</t>
  </si>
  <si>
    <t>KOBE #MUTAL OPTION</t>
  </si>
  <si>
    <t>16 Mar - 25 Mar</t>
  </si>
  <si>
    <t>TJ JATI BEK MAR #PROSPECT</t>
  </si>
  <si>
    <t>Remain cargo sent to MV. MDM BATUR</t>
  </si>
  <si>
    <t>ENEL #1/4</t>
  </si>
  <si>
    <t>Remain cargo sent to MV. TOMINI NOBILITY</t>
  </si>
  <si>
    <t>12 Mar - 18 Mar</t>
  </si>
  <si>
    <t>FREEPORT #2/8</t>
  </si>
  <si>
    <t>BLEND 71 : 29</t>
  </si>
  <si>
    <t>12 Mar - 21 Mar</t>
  </si>
  <si>
    <t>WEDA BAY 5800GAR #1/5</t>
  </si>
  <si>
    <t>BLEND 44 :56</t>
  </si>
  <si>
    <t>BLEND 43 : 57</t>
  </si>
  <si>
    <t>Gain cargo supply and have remain cargo on BG. ARMADA KALTIM 3003 around 552 MT</t>
  </si>
  <si>
    <t>PLN BEK #01</t>
  </si>
  <si>
    <t>BLEND 18 : 82</t>
  </si>
  <si>
    <t>Remain cargo sent to BoCT - MV. XIN DONG GUAN 14</t>
  </si>
  <si>
    <t>SHENHUA 5200NAR #02</t>
  </si>
  <si>
    <t>IMM EB HS</t>
  </si>
  <si>
    <t>17 Mar - 26 Mar</t>
  </si>
  <si>
    <t>ZHEJIANG 5500NAR #MO</t>
  </si>
  <si>
    <t>Remain cargo sent to MV. HABCO CARINA</t>
  </si>
  <si>
    <t>18 Mar - 27 Mar</t>
  </si>
  <si>
    <t>XINDIAN BAI GUI 5500NAR #SPOT</t>
  </si>
  <si>
    <t>22 Mar - 31 Mar</t>
  </si>
  <si>
    <t>TOKUYAMA #04</t>
  </si>
  <si>
    <t>BLEND 61 : 29</t>
  </si>
  <si>
    <t>BLEND 53 : 47</t>
  </si>
  <si>
    <t>Remain cargo sent to BoCT - MV. IOANNIS M - HMS RELIANCE APR #SPOT</t>
  </si>
  <si>
    <t>20 Mar - 29 Mar</t>
  </si>
  <si>
    <t>SMEC 5700GAR #3/4</t>
  </si>
  <si>
    <t xml:space="preserve"> </t>
  </si>
  <si>
    <t>APR'23</t>
  </si>
  <si>
    <t>BoCT/MV. S'HAIL AL DUKHAN</t>
  </si>
  <si>
    <t>BBA-2304-001</t>
  </si>
  <si>
    <t>TRANS 3</t>
  </si>
  <si>
    <t>TSM 3</t>
  </si>
  <si>
    <t>BBE-2304-001</t>
  </si>
  <si>
    <t>MV. SANTA BARBARA</t>
  </si>
  <si>
    <t>BBE-2304-002</t>
  </si>
  <si>
    <t>RMN 342 J</t>
  </si>
  <si>
    <t>BBE-2304-003</t>
  </si>
  <si>
    <t>BBE-2304-004</t>
  </si>
  <si>
    <t>MV. HE DA</t>
  </si>
  <si>
    <t>BBE-2304-005</t>
  </si>
  <si>
    <t>BBE-2304-006</t>
  </si>
  <si>
    <t>BEK-2304-001</t>
  </si>
  <si>
    <t>BEK-2304-002</t>
  </si>
  <si>
    <t>BEK-2304-003</t>
  </si>
  <si>
    <t>BEK-2304-004</t>
  </si>
  <si>
    <t>BEK-2304-005</t>
  </si>
  <si>
    <t>BEK-2304-006</t>
  </si>
  <si>
    <t>BEK-2304-007</t>
  </si>
  <si>
    <t>BEK-2304-008</t>
  </si>
  <si>
    <t>BEK-2304-009</t>
  </si>
  <si>
    <t>BEK-2304-010</t>
  </si>
  <si>
    <t>Subs.of TB. BERAU COAL 55 at Harapan Baru due to gearbox breakdown</t>
  </si>
  <si>
    <t>BEK-2304-011</t>
  </si>
  <si>
    <t>BEK-2304-012</t>
  </si>
  <si>
    <t>BEK-2304-013</t>
  </si>
  <si>
    <t>BEK-2304-014</t>
  </si>
  <si>
    <t>MV. KARTINI SAMUDRA</t>
  </si>
  <si>
    <t>BEK-2304-015</t>
  </si>
  <si>
    <t>BEK-2304-016</t>
  </si>
  <si>
    <t>BEK-2304-017</t>
  </si>
  <si>
    <t>BEK-2304-018</t>
  </si>
  <si>
    <t>BEK-2304-019</t>
  </si>
  <si>
    <t>BEK-2304-020</t>
  </si>
  <si>
    <t>BEK-2304-021</t>
  </si>
  <si>
    <t>Subs.of BG. ROBBY 155</t>
  </si>
  <si>
    <t>BEK-2304-022</t>
  </si>
  <si>
    <t>BEK-2304-023</t>
  </si>
  <si>
    <t>BEK-2304-024</t>
  </si>
  <si>
    <t>BEK-2304-025</t>
  </si>
  <si>
    <t>BEK-2304-026</t>
  </si>
  <si>
    <t>BEK-2304-027</t>
  </si>
  <si>
    <t>MV. CHANG YANG JIN HAI</t>
  </si>
  <si>
    <t>BEK-2304-028</t>
  </si>
  <si>
    <t>BEK-2304-029</t>
  </si>
  <si>
    <t>BEK-2304-030</t>
  </si>
  <si>
    <t>BEK-2304-031</t>
  </si>
  <si>
    <t>BEK-2304-032</t>
  </si>
  <si>
    <t>BEK-2304-033</t>
  </si>
  <si>
    <t>BEK-2304-034</t>
  </si>
  <si>
    <t>PANCARAN 215</t>
  </si>
  <si>
    <t>PST 212</t>
  </si>
  <si>
    <t>Subs. Of TB. KALTIM DOLPHIN 17 - 09 / BG. KALTIM FT 80-11</t>
  </si>
  <si>
    <t>BEK-2304-035</t>
  </si>
  <si>
    <t>MV. MARIA TOPIC</t>
  </si>
  <si>
    <t>BEK-2304-036</t>
  </si>
  <si>
    <t>BEK-2304-037</t>
  </si>
  <si>
    <t>BEK-2304-038</t>
  </si>
  <si>
    <t>BEK-2304-039</t>
  </si>
  <si>
    <t>BEK-2304-040</t>
  </si>
  <si>
    <t>DELTA ABADI 18</t>
  </si>
  <si>
    <t>KALIMANTAN ABADI 03</t>
  </si>
  <si>
    <t>New onhire 4/6/2023  10:54:00 AM</t>
  </si>
  <si>
    <t>BEK-2304-041</t>
  </si>
  <si>
    <t>MV. ELECTRA</t>
  </si>
  <si>
    <t>BEK-2304-042</t>
  </si>
  <si>
    <t>MV. STARLIGHT</t>
  </si>
  <si>
    <t>BEK-2304-043</t>
  </si>
  <si>
    <t>SPOT</t>
  </si>
  <si>
    <t>BEK-2304-044</t>
  </si>
  <si>
    <t>ECO MARINE 02</t>
  </si>
  <si>
    <t>MARITIM PERKASA 3028</t>
  </si>
  <si>
    <t>BEK-2304-045</t>
  </si>
  <si>
    <t>BEK-2304-046</t>
  </si>
  <si>
    <t>BEK-2304-047</t>
  </si>
  <si>
    <t>KSA 23</t>
  </si>
  <si>
    <t>Subs.of TB. KSA 129</t>
  </si>
  <si>
    <t>BEK-2304-048</t>
  </si>
  <si>
    <t>BEK-2304-049</t>
  </si>
  <si>
    <t>BEK-2304-050</t>
  </si>
  <si>
    <t>BEK-2304-051</t>
  </si>
  <si>
    <t>BEK-2304-052</t>
  </si>
  <si>
    <t>BEK-2304-053</t>
  </si>
  <si>
    <t>BEK-2304-054</t>
  </si>
  <si>
    <t>BEK-2304-055</t>
  </si>
  <si>
    <t>BEK-2304-056</t>
  </si>
  <si>
    <t>BEK-2304-057</t>
  </si>
  <si>
    <t>BEK-2304-058</t>
  </si>
  <si>
    <t>BEK-2304-059</t>
  </si>
  <si>
    <t>MV. YU PENG HAI</t>
  </si>
  <si>
    <t>MV. PANCARAN GLORY</t>
  </si>
  <si>
    <t>BEK-2304-060</t>
  </si>
  <si>
    <t>BEK-2304-061</t>
  </si>
  <si>
    <t>BEK-2304-062</t>
  </si>
  <si>
    <t>BEK-2304-063</t>
  </si>
  <si>
    <t>BEK-2304-064</t>
  </si>
  <si>
    <t>BEK-2304-065</t>
  </si>
  <si>
    <t>BEK-2304-066</t>
  </si>
  <si>
    <t>BEK-2304-067</t>
  </si>
  <si>
    <t>BEK-2304-068</t>
  </si>
  <si>
    <t>MV. YUE FAN</t>
  </si>
  <si>
    <t>BEK-2304-069</t>
  </si>
  <si>
    <t>BEK-2304-070</t>
  </si>
  <si>
    <t>MV. LUMOSO AMAN</t>
  </si>
  <si>
    <t>BEK-2304-071</t>
  </si>
  <si>
    <t>BEK-2304-072</t>
  </si>
  <si>
    <t>BEK-2304-073</t>
  </si>
  <si>
    <t>BEK-2304-074</t>
  </si>
  <si>
    <t>Subs.of TB. BERAU COAL 8 / BG. ROBBY 132</t>
  </si>
  <si>
    <t>BEK-2304-075</t>
  </si>
  <si>
    <t>BEK-2304-076</t>
  </si>
  <si>
    <t>BEK-2304-077</t>
  </si>
  <si>
    <t>MV. GLEAMSTAR</t>
  </si>
  <si>
    <t>MV. CHAILEASE GLORY</t>
  </si>
  <si>
    <t>BEK-2304-078</t>
  </si>
  <si>
    <t>BEK-2304-079</t>
  </si>
  <si>
    <t>BEK-2304-080</t>
  </si>
  <si>
    <t>BEK-2304-081</t>
  </si>
  <si>
    <t>BMM-BoCT</t>
  </si>
  <si>
    <t>BMM-2304-001</t>
  </si>
  <si>
    <t>IKJ-2304-001</t>
  </si>
  <si>
    <t>IKJ-2304-002</t>
  </si>
  <si>
    <t>IKJ-2304-003</t>
  </si>
  <si>
    <t>LINTAS SAMUDERA 53</t>
  </si>
  <si>
    <t>LINTAS SAMUDERA XXIX</t>
  </si>
  <si>
    <t>IKJ-2304-004</t>
  </si>
  <si>
    <t>IKJ-2304-005</t>
  </si>
  <si>
    <t>LINTAS SAMUDERA 32</t>
  </si>
  <si>
    <t>LINTAS SAMUDERA 55</t>
  </si>
  <si>
    <t>Subs.of TB. WIRA TIMUR XVII /BG. LINTAS SAMUDERA XII</t>
  </si>
  <si>
    <t>IKJ-2304-006</t>
  </si>
  <si>
    <t>IMM-2304-001</t>
  </si>
  <si>
    <t>IMM-2304-002</t>
  </si>
  <si>
    <t>KSA 90</t>
  </si>
  <si>
    <t>IMM-2304-003</t>
  </si>
  <si>
    <t>IMM-2304-004</t>
  </si>
  <si>
    <t>IMM-2304-005</t>
  </si>
  <si>
    <t>IMM-2304-006</t>
  </si>
  <si>
    <t>JHN-2304-001</t>
  </si>
  <si>
    <t>PUTRA RUPAT 10</t>
  </si>
  <si>
    <t>MAJESTIC 3005</t>
  </si>
  <si>
    <t>JHN-2304-002</t>
  </si>
  <si>
    <t>PUTRA RUPAT V</t>
  </si>
  <si>
    <t>TANJUNG MEDANG V</t>
  </si>
  <si>
    <t>BoCT/MV. HC FORWARD</t>
  </si>
  <si>
    <t>KBM-2304-001</t>
  </si>
  <si>
    <t>KBM-2304-002</t>
  </si>
  <si>
    <t>BoCT/MV. SHI DAI 11</t>
  </si>
  <si>
    <t>KJA-2304-001</t>
  </si>
  <si>
    <t>KMIA-2304-001</t>
  </si>
  <si>
    <t>KMIA-2304-002</t>
  </si>
  <si>
    <t>End trip at BoCT</t>
  </si>
  <si>
    <t>KMIA-2304-003</t>
  </si>
  <si>
    <t>MV. HARMONY</t>
  </si>
  <si>
    <t>KMIA-2304-004</t>
  </si>
  <si>
    <t>KMIA-2304-005</t>
  </si>
  <si>
    <t>KMIA-2304-006</t>
  </si>
  <si>
    <t>KMIA-2304-007</t>
  </si>
  <si>
    <t>KMIA-2304-008</t>
  </si>
  <si>
    <t>KMIA-2304-009</t>
  </si>
  <si>
    <t>KMIA-2304-010</t>
  </si>
  <si>
    <t>MBL-2304-001</t>
  </si>
  <si>
    <t>MBL-2304-002</t>
  </si>
  <si>
    <t>MBL-2304-003</t>
  </si>
  <si>
    <t>Subs.of TB. VES FAIR 10 / BG. ROBBY 104</t>
  </si>
  <si>
    <t>MV. GREAT MIND</t>
  </si>
  <si>
    <t>MBL-2304-004</t>
  </si>
  <si>
    <t>MBL-2304-005</t>
  </si>
  <si>
    <t>MBL-2304-006</t>
  </si>
  <si>
    <t>ROBBY 96</t>
  </si>
  <si>
    <t>BoCT/MV. SANTARLI</t>
  </si>
  <si>
    <t>MBL-2304-007</t>
  </si>
  <si>
    <t>MCM-2304-001</t>
  </si>
  <si>
    <t>KANAKA 08</t>
  </si>
  <si>
    <t>KSS 18</t>
  </si>
  <si>
    <t>MCM-2304-002</t>
  </si>
  <si>
    <t>MCM-2304-003</t>
  </si>
  <si>
    <t>TECTONA</t>
  </si>
  <si>
    <t>MEGA POWER 08</t>
  </si>
  <si>
    <t>MCM-2304-004</t>
  </si>
  <si>
    <t>MULAWARMAN X</t>
  </si>
  <si>
    <t>ROBBY 209</t>
  </si>
  <si>
    <t>BoCT/MV. DONG JIANG LI</t>
  </si>
  <si>
    <t>MCM-2304-005</t>
  </si>
  <si>
    <t>ROBBY 118</t>
  </si>
  <si>
    <t>NOBEL SEA 203</t>
  </si>
  <si>
    <t>MML-2304-001</t>
  </si>
  <si>
    <t>SVS STAR 2</t>
  </si>
  <si>
    <t>SVS 303</t>
  </si>
  <si>
    <t>TCM-2304-001</t>
  </si>
  <si>
    <t>TCM-2304-002</t>
  </si>
  <si>
    <t>TCM-2304-003</t>
  </si>
  <si>
    <t>TCM BLEND TS 1.0 MAX</t>
  </si>
  <si>
    <t>Subs.of TB. KINGFISHER 909</t>
  </si>
  <si>
    <t>TCM-2304-004</t>
  </si>
  <si>
    <t>TCM-2304-005</t>
  </si>
  <si>
    <t>TCM-2304-006</t>
  </si>
  <si>
    <t>Subs.of BG. ROBBY 307</t>
  </si>
  <si>
    <t>TCM-2304-007</t>
  </si>
  <si>
    <t>TCM-2304-008</t>
  </si>
  <si>
    <t>TCM-2304-009</t>
  </si>
  <si>
    <t>TCM-2304-010</t>
  </si>
  <si>
    <t>TCM-2304-011</t>
  </si>
  <si>
    <t>TCM-2304-012</t>
  </si>
  <si>
    <t>TCM-2304-013</t>
  </si>
  <si>
    <t>TCM-2304-014</t>
  </si>
  <si>
    <t>TCM-2304-015</t>
  </si>
  <si>
    <t>TCM-2304-016</t>
  </si>
  <si>
    <t>TCM-2304-017</t>
  </si>
  <si>
    <t>TCM BLEND TS 0.9 MAX</t>
  </si>
  <si>
    <t>TCM-2304-018</t>
  </si>
  <si>
    <t>TCM-2304-019</t>
  </si>
  <si>
    <t>ATK 2013</t>
  </si>
  <si>
    <t>Subs.of TB. KSA 110</t>
  </si>
  <si>
    <t>TCM-2304-020</t>
  </si>
  <si>
    <t>TCM-2304-021</t>
  </si>
  <si>
    <t>TCM-2304-022</t>
  </si>
  <si>
    <t>TCM BLEND TS 1.1 MAX</t>
  </si>
  <si>
    <t xml:space="preserve">MV. HABCO CARINA </t>
  </si>
  <si>
    <t>19 Mar - 28 Mar</t>
  </si>
  <si>
    <t>WEDA BAY BEK #3/3</t>
  </si>
  <si>
    <t>BLEND 21 : 79</t>
  </si>
  <si>
    <t>Remain cargo sent to HC SUNSHINE</t>
  </si>
  <si>
    <t>23 Mar - 01 Apr</t>
  </si>
  <si>
    <t>XINDIAN BAI GUI 5500NAR #1/3</t>
  </si>
  <si>
    <t>Remain cargo sent to MV. HARMONY</t>
  </si>
  <si>
    <t>5 Apr - 14 Apr</t>
  </si>
  <si>
    <t>SHENHUA 5500NAR APR #SPOT</t>
  </si>
  <si>
    <t>TOTAL  2nd STORAGE</t>
  </si>
  <si>
    <t>Remain cargo sent to MV. KARTINI SAMUDRA</t>
  </si>
  <si>
    <t>11 Apr - 21 Apr</t>
  </si>
  <si>
    <t>LAYCAN START</t>
  </si>
  <si>
    <t>TJ JATI BEK APR #01</t>
  </si>
  <si>
    <t>Remain cargo sent to MV. HE DA</t>
  </si>
  <si>
    <t>08 Apr - 17 Apr</t>
  </si>
  <si>
    <t>WEDA BAY 5800GAR #2/5</t>
  </si>
  <si>
    <t>LAYER BY LAYER</t>
  </si>
  <si>
    <t>01 Apr - 10 Apr</t>
  </si>
  <si>
    <t>HMS RELIANCE APR #SPOT</t>
  </si>
  <si>
    <t>05 Apr - 14 Apr</t>
  </si>
  <si>
    <t>EWR #1/2</t>
  </si>
  <si>
    <t>10 Apr - 19 Apr</t>
  </si>
  <si>
    <t>HO PING POWER #1/4</t>
  </si>
  <si>
    <t>Remain cargo sent to MV. ELECTRA</t>
  </si>
  <si>
    <t>12 Apr - 21 Apr</t>
  </si>
  <si>
    <t>SHENHUA 5500NAR #2/2</t>
  </si>
  <si>
    <t>16 Apr - 25 Apr</t>
  </si>
  <si>
    <t>GLOW # 03</t>
  </si>
  <si>
    <t>07 Apr - 16 Apr</t>
  </si>
  <si>
    <t>PLN BEK #02</t>
  </si>
  <si>
    <t>Remain cargo sent to MV. YU PENG HAI</t>
  </si>
  <si>
    <t>13 Apr - 22 Apr</t>
  </si>
  <si>
    <t>THERMA LUZON BEK #2/3</t>
  </si>
  <si>
    <t>HINDUSTAN ZINC APR #SPOT</t>
  </si>
  <si>
    <t xml:space="preserve">TANJUNG MEDANG I </t>
  </si>
  <si>
    <t>Est. commence loading subject to CBU sequence and vessel line up</t>
  </si>
  <si>
    <t>Min. Cargo</t>
  </si>
  <si>
    <r>
      <rPr>
        <b/>
        <sz val="11"/>
        <color rgb="FF0000CC"/>
        <rFont val="Calibri"/>
        <family val="2"/>
        <scheme val="minor"/>
      </rPr>
      <t>PLAN</t>
    </r>
    <r>
      <rPr>
        <b/>
        <sz val="11"/>
        <rFont val="Calibri"/>
        <family val="2"/>
        <scheme val="minor"/>
      </rPr>
      <t xml:space="preserve"> / </t>
    </r>
    <r>
      <rPr>
        <b/>
        <sz val="11"/>
        <color rgb="FFFF0000"/>
        <rFont val="Calibri"/>
        <family val="2"/>
        <scheme val="minor"/>
      </rPr>
      <t>ACTUAL</t>
    </r>
  </si>
  <si>
    <t>Arrived POL</t>
  </si>
  <si>
    <t>MAY'23</t>
  </si>
  <si>
    <t>BBE-2305-001</t>
  </si>
  <si>
    <t>BoCT/MV. DIAMOND INDAH</t>
  </si>
  <si>
    <t>BBE-2305-002</t>
  </si>
  <si>
    <t xml:space="preserve">MV. CHARLOTTE OLDENDORFF </t>
  </si>
  <si>
    <t>BBE-2305-003</t>
  </si>
  <si>
    <t>MV. KARTINI BARUNA</t>
  </si>
  <si>
    <t>BBE-2305-004</t>
  </si>
  <si>
    <t>BEK-2305-001</t>
  </si>
  <si>
    <t>BEK-2305-002</t>
  </si>
  <si>
    <t>Change shipper to BEK i.o TCM due to misloading on 02 May</t>
  </si>
  <si>
    <t>BEK-2305-003</t>
  </si>
  <si>
    <t>Breakdown</t>
  </si>
  <si>
    <t>BEK-2305-004</t>
  </si>
  <si>
    <t>subs.of TB. SSP 788 ; Tugs set back to Samarinda without cargo/empty</t>
  </si>
  <si>
    <t>BEK-2305-005</t>
  </si>
  <si>
    <t>BEK BLEND TS 0.85 MAX</t>
  </si>
  <si>
    <t>BEK-2305-006</t>
  </si>
  <si>
    <t>HARMONY X</t>
  </si>
  <si>
    <t>LINTAS SAMUDERA 51</t>
  </si>
  <si>
    <t>Subs.of TB. ARMADA TIMUR 03 / BG. LINTAS SAMUDERA 95</t>
  </si>
  <si>
    <t>BEK-2305-007</t>
  </si>
  <si>
    <t>BEK-2305-008</t>
  </si>
  <si>
    <t>BEK-2305-009</t>
  </si>
  <si>
    <t>BEK-2305-010</t>
  </si>
  <si>
    <t>MV. OCEAN PRINCE</t>
  </si>
  <si>
    <t>MV. JR SUMMER</t>
  </si>
  <si>
    <t>BEK-2305-011</t>
  </si>
  <si>
    <t>BEK-2305-012</t>
  </si>
  <si>
    <t>BEK-2305-013</t>
  </si>
  <si>
    <t>BEK-2305-014</t>
  </si>
  <si>
    <t>BEK-2305-015</t>
  </si>
  <si>
    <t>BEK-2305-016</t>
  </si>
  <si>
    <t>BEK BLEND TS 1.0 MAX</t>
  </si>
  <si>
    <t>BEK-2305-017</t>
  </si>
  <si>
    <t>BEK-2305-018</t>
  </si>
  <si>
    <t>BEK-2305-019</t>
  </si>
  <si>
    <t>BEK-2305-020</t>
  </si>
  <si>
    <t>BEK-2305-021</t>
  </si>
  <si>
    <t>BEK-2305-022</t>
  </si>
  <si>
    <t>BEK-2305-023</t>
  </si>
  <si>
    <t>BEK-2305-024</t>
  </si>
  <si>
    <t>MV. XIN HAI ZHOU 71</t>
  </si>
  <si>
    <t>BEK-2305-025</t>
  </si>
  <si>
    <t>BISON 9</t>
  </si>
  <si>
    <t>Subs.of TB. BLORO 25</t>
  </si>
  <si>
    <t>BEK-2305-026</t>
  </si>
  <si>
    <t>BEK-2305-027</t>
  </si>
  <si>
    <t>BEK-2305-028</t>
  </si>
  <si>
    <t>BEK-2305-029</t>
  </si>
  <si>
    <t>End trip at BoCT and continue to load C50</t>
  </si>
  <si>
    <t>BEK-2305-030</t>
  </si>
  <si>
    <t>BEK-2305-031</t>
  </si>
  <si>
    <t>BEK-2305-032</t>
  </si>
  <si>
    <t>MV. HUA YANG CHUAN QI</t>
  </si>
  <si>
    <t>BEK-2305-033</t>
  </si>
  <si>
    <t>BEK-2305-034</t>
  </si>
  <si>
    <t>BEK-2305-035</t>
  </si>
  <si>
    <t>BEK-2305-036</t>
  </si>
  <si>
    <t>BEK-2305-037</t>
  </si>
  <si>
    <t>MV. HUA YANG CHUAN QI ; MV. BULK BATAVIA ; Changed POD to BoCT</t>
  </si>
  <si>
    <t>BEK-2305-038</t>
  </si>
  <si>
    <t>MV. ALAN</t>
  </si>
  <si>
    <t>BEK-2305-039</t>
  </si>
  <si>
    <t>BEK-2305-040</t>
  </si>
  <si>
    <t>BEK-2305-041</t>
  </si>
  <si>
    <t>BEK-2305-042</t>
  </si>
  <si>
    <t>BEK-2305-043</t>
  </si>
  <si>
    <t>End trip at BoCT and continue to Load at C50</t>
  </si>
  <si>
    <t>BEK-2305-044</t>
  </si>
  <si>
    <t>BEK-2305-045</t>
  </si>
  <si>
    <t>MV. BULK BATAVIA ; Change vessel as substitute TB. MAHKOTA JAYA 06 due to engine failure</t>
  </si>
  <si>
    <t>BEK-2305-046</t>
  </si>
  <si>
    <t>HARMONY XVIII</t>
  </si>
  <si>
    <t>PERMATA KALTIM III</t>
  </si>
  <si>
    <t>Subs.of HARMONY X / BG. LINTAS SAMUDERA 51</t>
  </si>
  <si>
    <t>MV. BULK BATAVIA</t>
  </si>
  <si>
    <t>BEK-2305-047</t>
  </si>
  <si>
    <t>BEK-2305-048</t>
  </si>
  <si>
    <t>BEK-2305-049</t>
  </si>
  <si>
    <t>BEK-2305-050</t>
  </si>
  <si>
    <t>MV. CHARLOTTE OLDENDORFF</t>
  </si>
  <si>
    <t>MV. AN HAI VINCENT</t>
  </si>
  <si>
    <t>MV. OCEAN ROAD ; Changed to BEK i.o TCM due to updated stowage plan</t>
  </si>
  <si>
    <t>BEK-2305-051</t>
  </si>
  <si>
    <t>BEK-2305-052</t>
  </si>
  <si>
    <t>BEK-2305-053</t>
  </si>
  <si>
    <t>MV. ZHONGHAIHUARUN 1 ; Change POD as subs.of. MAKHOTA JAYA 06 breakdown</t>
  </si>
  <si>
    <t>BEK-2305-054</t>
  </si>
  <si>
    <t xml:space="preserve">MV. ZHONGHAIHUARUN 1 </t>
  </si>
  <si>
    <t>BEK-2305-055</t>
  </si>
  <si>
    <t>BEK-2305-056</t>
  </si>
  <si>
    <t>End trip at BoCT and continue to KJA</t>
  </si>
  <si>
    <t>BEK-2305-057</t>
  </si>
  <si>
    <t>BEK-2305-058</t>
  </si>
  <si>
    <t>BEK-2305-059</t>
  </si>
  <si>
    <t>BEK-2305-060</t>
  </si>
  <si>
    <t>BEK-2305-061</t>
  </si>
  <si>
    <t>BEK-2305-062</t>
  </si>
  <si>
    <t>BEK-2305-063</t>
  </si>
  <si>
    <t>BEK-2305-064</t>
  </si>
  <si>
    <t>BEK-2305-065</t>
  </si>
  <si>
    <t>Subs.of BG. ROBBY 104</t>
  </si>
  <si>
    <t>BEK-2305-066</t>
  </si>
  <si>
    <t>BEK-2305-067</t>
  </si>
  <si>
    <t>ROBBY 138</t>
  </si>
  <si>
    <t>BEK-2305-068</t>
  </si>
  <si>
    <t>BEK-2305-069</t>
  </si>
  <si>
    <t>BEK-2305-070</t>
  </si>
  <si>
    <t>MV. PENTA</t>
  </si>
  <si>
    <t>BEK-2305-071</t>
  </si>
  <si>
    <t>EBH-BoCT</t>
  </si>
  <si>
    <t>EBH-2305-001</t>
  </si>
  <si>
    <t>BoCT/MV. LEADING GLORY</t>
  </si>
  <si>
    <t>EBH-2305-002</t>
  </si>
  <si>
    <t>EBH-2305-003</t>
  </si>
  <si>
    <t>IKJ-2305-001</t>
  </si>
  <si>
    <t>IKJ-2305-002</t>
  </si>
  <si>
    <t>BoCT/MV. YI LI</t>
  </si>
  <si>
    <t>IKJ-2305-003</t>
  </si>
  <si>
    <t xml:space="preserve">End trip at BoCT and continue to IKJ </t>
  </si>
  <si>
    <t>IKJ-2305-004</t>
  </si>
  <si>
    <t>End trip at BoCT and continue direct to IKJ</t>
  </si>
  <si>
    <t>IKJ-2305-005</t>
  </si>
  <si>
    <t>End trip at BoCT and continue direct to IkJ</t>
  </si>
  <si>
    <t>IKJ-2305-006</t>
  </si>
  <si>
    <t>IKJ-2305-007</t>
  </si>
  <si>
    <t>End trip at BoCT and continue to IKJ</t>
  </si>
  <si>
    <t>IMM-2305-001</t>
  </si>
  <si>
    <t>IMM-2305-002</t>
  </si>
  <si>
    <t>IMM-2305-003</t>
  </si>
  <si>
    <t>IMM-2305-004</t>
  </si>
  <si>
    <t>MV. PACIFIC VISION</t>
  </si>
  <si>
    <t>IMM-2305-005</t>
  </si>
  <si>
    <t>IMM-2305-006</t>
  </si>
  <si>
    <t>IMM-2305-007</t>
  </si>
  <si>
    <t>IMM-2305-008</t>
  </si>
  <si>
    <t>IMM-2305-009</t>
  </si>
  <si>
    <t>IMM-2305-010</t>
  </si>
  <si>
    <t>IMM WB LS BLEND WB HS</t>
  </si>
  <si>
    <t>IMM-2305-011</t>
  </si>
  <si>
    <t>IMM-2305-012</t>
  </si>
  <si>
    <t>IMM WB LS BLEND EB HS</t>
  </si>
  <si>
    <t>IMM-2305-013</t>
  </si>
  <si>
    <t>MV. MAGIC ECLIPSE</t>
  </si>
  <si>
    <t>JBG-BoCT</t>
  </si>
  <si>
    <t>JBG-2305-001</t>
  </si>
  <si>
    <t>BoCT/MV. MAGIC VENUS</t>
  </si>
  <si>
    <t>JHN-2305-001</t>
  </si>
  <si>
    <t>JHN-2305-002</t>
  </si>
  <si>
    <t>JHN-2305-003</t>
  </si>
  <si>
    <t>KBM-2305-001</t>
  </si>
  <si>
    <t>BoCT/MV. OCEAN VENUS</t>
  </si>
  <si>
    <t>KBM-2305-002</t>
  </si>
  <si>
    <t>KJA-2305-001</t>
  </si>
  <si>
    <t>KJA-2305-002</t>
  </si>
  <si>
    <t>KJA-2305-003</t>
  </si>
  <si>
    <t>KMIA-2305-001</t>
  </si>
  <si>
    <t>KMIA-2305-002</t>
  </si>
  <si>
    <t>End trip at BoCT and continue to C50</t>
  </si>
  <si>
    <t>KMIA-2305-003</t>
  </si>
  <si>
    <t>MV. LUMOSO KARUNIA IX</t>
  </si>
  <si>
    <t>KMIA-2305-004</t>
  </si>
  <si>
    <t>KMIA-2305-005</t>
  </si>
  <si>
    <t>KMIA-2305-006</t>
  </si>
  <si>
    <t>MBL-2305-001</t>
  </si>
  <si>
    <t>MBL-2305-002</t>
  </si>
  <si>
    <t>MBL-2305-003</t>
  </si>
  <si>
    <t>MBL-2305-004</t>
  </si>
  <si>
    <t>MBL-2305-005</t>
  </si>
  <si>
    <t>Subs.of BG. ROBBY 112</t>
  </si>
  <si>
    <t>MBL-2305-006</t>
  </si>
  <si>
    <t>MBL-2305-007</t>
  </si>
  <si>
    <t>MBL-2305-008</t>
  </si>
  <si>
    <t>MBL-2305-009</t>
  </si>
  <si>
    <t>MBL-2305-010</t>
  </si>
  <si>
    <t>MBL-2305-011</t>
  </si>
  <si>
    <t>MCM-2305-001</t>
  </si>
  <si>
    <t>BIG FAIR MT-5</t>
  </si>
  <si>
    <t>NOBEL SEA 202</t>
  </si>
  <si>
    <t>MCM-2305-002</t>
  </si>
  <si>
    <t>AREK SUROBOYO 3</t>
  </si>
  <si>
    <t>BOSS 5</t>
  </si>
  <si>
    <t>MCM-2305-003</t>
  </si>
  <si>
    <t>AREK SUROBOYO 01</t>
  </si>
  <si>
    <t>BOSS 01</t>
  </si>
  <si>
    <t>MCM-2305-004</t>
  </si>
  <si>
    <t>SETIA ABADI</t>
  </si>
  <si>
    <t xml:space="preserve">FERY 8 </t>
  </si>
  <si>
    <t>MCM-2305-005</t>
  </si>
  <si>
    <t>MCM-2305-006</t>
  </si>
  <si>
    <t>MCM-2305-007</t>
  </si>
  <si>
    <t>AREK SUROBOYO 6</t>
  </si>
  <si>
    <t xml:space="preserve">BoCT/MV. ALERCE </t>
  </si>
  <si>
    <t>MCM-2305-008</t>
  </si>
  <si>
    <t>MCM-2305-009</t>
  </si>
  <si>
    <t>MCM-2305-010</t>
  </si>
  <si>
    <t>SSP 878</t>
  </si>
  <si>
    <t>MCM-2305-011</t>
  </si>
  <si>
    <t>BoCT/MV. W-MAYFAIR</t>
  </si>
  <si>
    <t>MCM-2305-012</t>
  </si>
  <si>
    <t>MCM-2305-013</t>
  </si>
  <si>
    <t>MML-2305-001</t>
  </si>
  <si>
    <t>MML-MBR</t>
  </si>
  <si>
    <t>MML-2305-002</t>
  </si>
  <si>
    <t>DELTA CAHAYA 2</t>
  </si>
  <si>
    <t>KALIMANTAN CAHAYA 58</t>
  </si>
  <si>
    <t>MML-2305-003</t>
  </si>
  <si>
    <t>MARINA 26</t>
  </si>
  <si>
    <t>BEE POWER 3002</t>
  </si>
  <si>
    <t>BoCT/MV. BEI LUN HAI 81</t>
  </si>
  <si>
    <t>MML-2305-004</t>
  </si>
  <si>
    <t xml:space="preserve">ALDRICK </t>
  </si>
  <si>
    <t>ROBBY 156</t>
  </si>
  <si>
    <t>TCM-2305-001</t>
  </si>
  <si>
    <t>TCM-2305-002</t>
  </si>
  <si>
    <t>TCM-2305-003</t>
  </si>
  <si>
    <t>TCM-2305-004</t>
  </si>
  <si>
    <t>TCM-2305-005</t>
  </si>
  <si>
    <t>TCM-2305-006</t>
  </si>
  <si>
    <t>TCM-2305-007</t>
  </si>
  <si>
    <t>TCM-2305-008</t>
  </si>
  <si>
    <t>TCM-2305-009</t>
  </si>
  <si>
    <t>TCM-2305-010</t>
  </si>
  <si>
    <t>End trip at MBR and continue to BoCT</t>
  </si>
  <si>
    <t>TCM-2305-011</t>
  </si>
  <si>
    <t>TCM-2305-012</t>
  </si>
  <si>
    <t>TCM-2305-013</t>
  </si>
  <si>
    <t>TCM-2305-014</t>
  </si>
  <si>
    <t>MV. ORIENTAL MASTER</t>
  </si>
  <si>
    <t>TCM-2305-015</t>
  </si>
  <si>
    <t>TCM-2305-016</t>
  </si>
  <si>
    <t>TCM-2305-017</t>
  </si>
  <si>
    <t>TCM-2305-018</t>
  </si>
  <si>
    <t>TCM-2305-019</t>
  </si>
  <si>
    <t>TCM-2305-020</t>
  </si>
  <si>
    <t>TCM-2305-021</t>
  </si>
  <si>
    <t>TCM-2305-022</t>
  </si>
  <si>
    <t>TCM BLEND TS 0.85 MAX</t>
  </si>
  <si>
    <t>MV. OCEAN ROAD</t>
  </si>
  <si>
    <t>TCM-2305-023</t>
  </si>
  <si>
    <t>TCM-2305-024</t>
  </si>
  <si>
    <t>TCM BLEND TS 0.70 MAX</t>
  </si>
  <si>
    <t>TCM-2305-025</t>
  </si>
  <si>
    <t>TCM-2305-026</t>
  </si>
  <si>
    <t>TCM-2305-027</t>
  </si>
  <si>
    <t>TCM-2305-028</t>
  </si>
  <si>
    <t>TCM-2305-029</t>
  </si>
  <si>
    <t>As subs.of TB. BERAU COAL 55/BG. ROBBY 100 at Bunyut Port due to engine failure</t>
  </si>
  <si>
    <t>TCM-2305-030</t>
  </si>
  <si>
    <t>MV. MARIA D</t>
  </si>
  <si>
    <t>TCM-2305-031</t>
  </si>
  <si>
    <t>TCM-2305-032</t>
  </si>
  <si>
    <t>TCM-2305-033</t>
  </si>
  <si>
    <t>TCM-2305-034</t>
  </si>
  <si>
    <t>TCM-2305-035</t>
  </si>
  <si>
    <t>TCM-2305-036</t>
  </si>
  <si>
    <t>TCM-2305-037</t>
  </si>
  <si>
    <t>SHENHUA 5200NAR #03</t>
  </si>
  <si>
    <t>BLEND 49 : 51</t>
  </si>
  <si>
    <t>Remain cargo sent to MV. YUE FAN</t>
  </si>
  <si>
    <t>20 Apr - 29 Apr</t>
  </si>
  <si>
    <t>GCNS APR #01</t>
  </si>
  <si>
    <t>Return cargo sent to MV. GLEAMSTAR</t>
  </si>
  <si>
    <t>17 Apr - 26 Apr</t>
  </si>
  <si>
    <t>SMEC #4/4</t>
  </si>
  <si>
    <t>24 Apr - 03 May</t>
  </si>
  <si>
    <t>XINDIAN BAI GUI 5500NAR #2/3</t>
  </si>
  <si>
    <t>BLEND 67:33</t>
  </si>
  <si>
    <t>BLEND 33:67</t>
  </si>
  <si>
    <t>BLEND 59:41</t>
  </si>
  <si>
    <t>BLEND 43:57</t>
  </si>
  <si>
    <t>SHENHUA 5200NAR #04</t>
  </si>
  <si>
    <t>BBE-2304-007</t>
  </si>
  <si>
    <t>02 May - 11 May</t>
  </si>
  <si>
    <t>SMEC 5700GAR #4/4</t>
  </si>
  <si>
    <t>29 Apr - 08 May</t>
  </si>
  <si>
    <t>XINDIAN BAI GUI 5500NAR #1/2</t>
  </si>
  <si>
    <t>BLEND 19 : 81</t>
  </si>
  <si>
    <t>Remain cargo sent to MV. OCEAN PRINCE</t>
  </si>
  <si>
    <t>03 May - 08 May</t>
  </si>
  <si>
    <t>HKE #2/4</t>
  </si>
  <si>
    <t>TOTAL STORAGE</t>
  </si>
  <si>
    <t>-</t>
  </si>
  <si>
    <t>04 May - 13 May</t>
  </si>
  <si>
    <t>TOKUYAMA #05</t>
  </si>
  <si>
    <t>Remain cargo sent to MV. ORIENTAL MASTER</t>
  </si>
  <si>
    <t>01 May - 10 May</t>
  </si>
  <si>
    <t>ZHEJIANG 5500NAR #MUTUAL OPTION</t>
  </si>
  <si>
    <t>Remain cargo sent to MV. AMANAH KENDARI AMC</t>
  </si>
  <si>
    <t>05 May - 14 May</t>
  </si>
  <si>
    <t>SHENHUA 5500NAR MAY #SPOT</t>
  </si>
  <si>
    <t>18 May - 27 May</t>
  </si>
  <si>
    <t>NIPPON PAPER #1/2</t>
  </si>
  <si>
    <t>Remain cargo sent to MV. OCEAN ROAD</t>
  </si>
  <si>
    <t>SMI BEK 5800GAR #3/5</t>
  </si>
  <si>
    <t>BLEND 54 : 46</t>
  </si>
  <si>
    <t>Remain cargo sent to MV. HUA YANG CHUAN QI</t>
  </si>
  <si>
    <t>14 May - 23 May</t>
  </si>
  <si>
    <t>FREEPORT #3/8</t>
  </si>
  <si>
    <t>12 May - 21 May</t>
  </si>
  <si>
    <t>SHENHUA 5200NAR MAY SPOT #01</t>
  </si>
  <si>
    <t>Remain cargo sent to MV. BULK BATAVIA</t>
  </si>
  <si>
    <t>22 May - 31 May</t>
  </si>
  <si>
    <t>TJ JATI BEK MAY #01</t>
  </si>
  <si>
    <t>Remain cargo sent to MV. CHARLOTTE OLDENDORFF</t>
  </si>
  <si>
    <t>10 May - 19 May</t>
  </si>
  <si>
    <t>HMS RELIANCE #1/3</t>
  </si>
  <si>
    <t>KOBE #1/8</t>
  </si>
  <si>
    <t>JUNE'23</t>
  </si>
  <si>
    <t>BoCT/MV. XIANG MING YANG</t>
  </si>
  <si>
    <t>BBA-2306-001</t>
  </si>
  <si>
    <t>MV. OCEAN TREASURE</t>
  </si>
  <si>
    <t>BBA-2306-002</t>
  </si>
  <si>
    <t>NSS II</t>
  </si>
  <si>
    <t>PRIMA SAKTI 37</t>
  </si>
  <si>
    <t>BBE-2306-001</t>
  </si>
  <si>
    <t>BoCT/MV. PRIMA ANDALAN 1</t>
  </si>
  <si>
    <t>BBE-2306-002</t>
  </si>
  <si>
    <t>BoCT/MV. MARIA TOPIC</t>
  </si>
  <si>
    <t>BBE-2306-003</t>
  </si>
  <si>
    <t>BBE-2306-004</t>
  </si>
  <si>
    <t>BoCT/MV. ALPHA AFOVOS</t>
  </si>
  <si>
    <t>BBE-2306-005</t>
  </si>
  <si>
    <t>MV. PEGASUS ISLAND</t>
  </si>
  <si>
    <t>BBE-2306-006</t>
  </si>
  <si>
    <t>BEK-2306-001</t>
  </si>
  <si>
    <t>BEK-2306-002</t>
  </si>
  <si>
    <t>LINTAS SAMUDERA 90</t>
  </si>
  <si>
    <t>LINTAS SAMUDERA 88</t>
  </si>
  <si>
    <t>Subs.of TB. HARMONY VII / BG. LINTAS SAMUDERA 89</t>
  </si>
  <si>
    <t>BEK-2306-003</t>
  </si>
  <si>
    <t>BEK-2306-004</t>
  </si>
  <si>
    <t>Subs.of TB. BERAU COAL 31</t>
  </si>
  <si>
    <t>BEK-2306-005</t>
  </si>
  <si>
    <t>BEK-2306-006</t>
  </si>
  <si>
    <t>BEK-2306-007</t>
  </si>
  <si>
    <t xml:space="preserve">MV. PANCARAN GLORY </t>
  </si>
  <si>
    <t>BEK-2306-008</t>
  </si>
  <si>
    <t>BEK-2306-009</t>
  </si>
  <si>
    <t>BEK-2306-010</t>
  </si>
  <si>
    <t>BEK-2306-011</t>
  </si>
  <si>
    <t>MV. SHIN SANYO MARU</t>
  </si>
  <si>
    <t>Assign barge MBL</t>
  </si>
  <si>
    <t>BEK-2306-012</t>
  </si>
  <si>
    <t>Changed shipper BEK i.o MBL due to oversized issue</t>
  </si>
  <si>
    <t>MV. MARINE GLORY</t>
  </si>
  <si>
    <t>BEK-2306-013</t>
  </si>
  <si>
    <t>BEK-2306-014</t>
  </si>
  <si>
    <t>BEK-2306-015</t>
  </si>
  <si>
    <t>BoCT/MV. KARTINI BARUNA</t>
  </si>
  <si>
    <t>BEK-2306-016</t>
  </si>
  <si>
    <t>BEK-2306-017</t>
  </si>
  <si>
    <t>BEK-2306-018</t>
  </si>
  <si>
    <t>MV. PRINCESS DORIS ; Changed shipper from TCM</t>
  </si>
  <si>
    <t>BEK-2306-019</t>
  </si>
  <si>
    <t>BEK-2306-020</t>
  </si>
  <si>
    <t>BEK-2306-021</t>
  </si>
  <si>
    <t>Subs.of TB. LINTAS SAMUDERA 31 / BG. LINTAS SAMUDERA  XVIII</t>
  </si>
  <si>
    <t>BEK-2306-022</t>
  </si>
  <si>
    <t>ALAMANDA</t>
  </si>
  <si>
    <t>Subs.of TB. KSA ANUGRAH</t>
  </si>
  <si>
    <t>MV. SHI DAI 11</t>
  </si>
  <si>
    <t>BEK-2306-023</t>
  </si>
  <si>
    <t>BEK-2306-024</t>
  </si>
  <si>
    <t>BEK-2306-025</t>
  </si>
  <si>
    <t>BEK-2306-026</t>
  </si>
  <si>
    <t>BEK-2306-027</t>
  </si>
  <si>
    <t>BEK-2306-028</t>
  </si>
  <si>
    <t>BEK-2306-029</t>
  </si>
  <si>
    <t xml:space="preserve">MV. OCEAN PERKASA </t>
  </si>
  <si>
    <t>BEK-2306-030</t>
  </si>
  <si>
    <t>BEK-2306-031</t>
  </si>
  <si>
    <t>BEK-2306-032</t>
  </si>
  <si>
    <t>BEK-2306-033</t>
  </si>
  <si>
    <t>BEK-2306-034</t>
  </si>
  <si>
    <t>BEK-2306-035</t>
  </si>
  <si>
    <t>BEK-2306-036</t>
  </si>
  <si>
    <t>MV. MEGA SPEED</t>
  </si>
  <si>
    <t>BEK-2306-037</t>
  </si>
  <si>
    <t>BEK-2306-038</t>
  </si>
  <si>
    <t>BEK-2306-039</t>
  </si>
  <si>
    <t>BEK-2306-040</t>
  </si>
  <si>
    <t>BEK-2306-041</t>
  </si>
  <si>
    <t>Subs.of TB. SWISSCO 181</t>
  </si>
  <si>
    <t>BEK-2306-042</t>
  </si>
  <si>
    <t>BEK-2306-043</t>
  </si>
  <si>
    <t>BEK-2306-044</t>
  </si>
  <si>
    <t>MV. LUMOSO PRATAMA</t>
  </si>
  <si>
    <t>BoCT/MV. PRIMA ANDALAN I</t>
  </si>
  <si>
    <t>BEK-2306-045</t>
  </si>
  <si>
    <t>BEK-2306-046</t>
  </si>
  <si>
    <t>BEK-2306-047</t>
  </si>
  <si>
    <t>BEK-2306-048</t>
  </si>
  <si>
    <t>BEK-2306-049</t>
  </si>
  <si>
    <t>PANCARAN 311</t>
  </si>
  <si>
    <t>ANGELINE 219-01</t>
  </si>
  <si>
    <t>Subs.of TB. KALTIM DOLPHIN 17 - 08 / BG. KALTIM FT 80-01</t>
  </si>
  <si>
    <t>BEK-2306-050</t>
  </si>
  <si>
    <t>BEK-2306-051</t>
  </si>
  <si>
    <t>BEK-2306-052</t>
  </si>
  <si>
    <t>BEK-2306-053</t>
  </si>
  <si>
    <t>BEK-2306-054</t>
  </si>
  <si>
    <t>BEK-2306-055</t>
  </si>
  <si>
    <t>BEK-2306-056</t>
  </si>
  <si>
    <t>BEK-2306-057</t>
  </si>
  <si>
    <t>BEK-2306-058</t>
  </si>
  <si>
    <t>BEK-2306-059</t>
  </si>
  <si>
    <t>BEK-2306-060</t>
  </si>
  <si>
    <t>HARMONY XVII</t>
  </si>
  <si>
    <t>BEK-2306-061</t>
  </si>
  <si>
    <t>BEK-2306-062</t>
  </si>
  <si>
    <t>BEK-2306-063</t>
  </si>
  <si>
    <t>MV. CHANG MING</t>
  </si>
  <si>
    <t>BEK-2306-064</t>
  </si>
  <si>
    <t>BEK-2306-065</t>
  </si>
  <si>
    <t>BEK-2306-066</t>
  </si>
  <si>
    <t>BEK-2306-067</t>
  </si>
  <si>
    <t>BEK-2306-068</t>
  </si>
  <si>
    <t>BEK-2306-069</t>
  </si>
  <si>
    <t>BEK-2306-070</t>
  </si>
  <si>
    <t>BEK-2306-071</t>
  </si>
  <si>
    <t>BEK BLEND TS 1.2 MAX</t>
  </si>
  <si>
    <t>BEK-2306-072</t>
  </si>
  <si>
    <t>Subs.of TB. KINGFISHER 507</t>
  </si>
  <si>
    <t xml:space="preserve">MV. TTM HARVEST </t>
  </si>
  <si>
    <t>BEK-2306-073</t>
  </si>
  <si>
    <t>BEK-2306-074</t>
  </si>
  <si>
    <t>BEK-2306-075</t>
  </si>
  <si>
    <t>BEK-2306-076</t>
  </si>
  <si>
    <t>EBH-2306-001</t>
  </si>
  <si>
    <t>EBH-2306-002</t>
  </si>
  <si>
    <t>IKJ-2306-001</t>
  </si>
  <si>
    <t>IKJ-2306-002</t>
  </si>
  <si>
    <t>IKJ-2306-003</t>
  </si>
  <si>
    <t>LINTAS SAMUDERA XXVII</t>
  </si>
  <si>
    <t>LINTAS SAMUDERA 36</t>
  </si>
  <si>
    <t>IKJ-2306-004</t>
  </si>
  <si>
    <t>IKJ-2306-005</t>
  </si>
  <si>
    <t>IMM-2306-001</t>
  </si>
  <si>
    <t>IMM-2306-002</t>
  </si>
  <si>
    <t>IMM-2306-003</t>
  </si>
  <si>
    <t>IMM-2306-004</t>
  </si>
  <si>
    <t>IMM-2306-005</t>
  </si>
  <si>
    <t>IMM-2306-006</t>
  </si>
  <si>
    <t>IMM-2306-007</t>
  </si>
  <si>
    <t>IMM-2306-008</t>
  </si>
  <si>
    <t>IMM-2306-009</t>
  </si>
  <si>
    <t>IMM-2306-010</t>
  </si>
  <si>
    <t>IMM-2306-011</t>
  </si>
  <si>
    <t>IMM-2306-012</t>
  </si>
  <si>
    <t>JHN-2306-001</t>
  </si>
  <si>
    <t>MV. PRINCESS DORIS</t>
  </si>
  <si>
    <t>JHN-2306-002</t>
  </si>
  <si>
    <t>CIPTA 2002</t>
  </si>
  <si>
    <t>SATRIA 3002</t>
  </si>
  <si>
    <t>JHN-2306-003</t>
  </si>
  <si>
    <t>BoCT/MV. VINCA</t>
  </si>
  <si>
    <t>KBM-2306-001</t>
  </si>
  <si>
    <t>KBM-2306-002</t>
  </si>
  <si>
    <t>KJA-2306-001</t>
  </si>
  <si>
    <t>KJA-2306-002</t>
  </si>
  <si>
    <t>Subs.of TB. HARMONY XXVI</t>
  </si>
  <si>
    <t>KJA-2306-003</t>
  </si>
  <si>
    <t>KJA-2306-004</t>
  </si>
  <si>
    <t>KMIA-2306-001</t>
  </si>
  <si>
    <t>KMIA-2306-002</t>
  </si>
  <si>
    <t>KMIA-2306-003</t>
  </si>
  <si>
    <t>KMIA-2306-004</t>
  </si>
  <si>
    <t>KMIA-2306-005</t>
  </si>
  <si>
    <t>KMIA-2306-006</t>
  </si>
  <si>
    <t>KMIA-2306-007</t>
  </si>
  <si>
    <t>Change POL to KWA i.o Bunyut</t>
  </si>
  <si>
    <t>KWA-MBR</t>
  </si>
  <si>
    <t>KWA-2306-001</t>
  </si>
  <si>
    <t xml:space="preserve">Change POL to KWA i.o BUNYUT on 6 June </t>
  </si>
  <si>
    <t>KWA-2306-002</t>
  </si>
  <si>
    <t>MBL-2306-001</t>
  </si>
  <si>
    <t>MBL-2306-002</t>
  </si>
  <si>
    <t>BoCT/MV. S'HAIL AL RAYAN</t>
  </si>
  <si>
    <t>MBL-2306-003</t>
  </si>
  <si>
    <t>MBL-2306-004</t>
  </si>
  <si>
    <t>MBL-2306-005</t>
  </si>
  <si>
    <t>MV. NAVIOS VICTORY</t>
  </si>
  <si>
    <t>MBL-2306-006</t>
  </si>
  <si>
    <t>MBL-2306-007</t>
  </si>
  <si>
    <t>BoCT/MV. CHAILEASE GLORY</t>
  </si>
  <si>
    <t>MBL-2306-008</t>
  </si>
  <si>
    <t>MBL-2306-009</t>
  </si>
  <si>
    <t>MCM-2306-001</t>
  </si>
  <si>
    <t>FERY 8</t>
  </si>
  <si>
    <t>MCM-2306-002</t>
  </si>
  <si>
    <t xml:space="preserve">BoCT/MV. CHAILEASE GLORY </t>
  </si>
  <si>
    <t>MCM-2306-003</t>
  </si>
  <si>
    <t>MCM-2306-004</t>
  </si>
  <si>
    <t>MCM-2306-005</t>
  </si>
  <si>
    <t>MCM-2306-006</t>
  </si>
  <si>
    <t>BoCT/MV. LUCKY JULIA</t>
  </si>
  <si>
    <t>MCM-2306-007</t>
  </si>
  <si>
    <t>MML-2306-001</t>
  </si>
  <si>
    <t>SVS 305</t>
  </si>
  <si>
    <t>MML-2306-002</t>
  </si>
  <si>
    <t>MARINA 12</t>
  </si>
  <si>
    <t>MARINE POWER 3012</t>
  </si>
  <si>
    <t>MML-2306-003</t>
  </si>
  <si>
    <t>ABUNAWAS V</t>
  </si>
  <si>
    <t>MML-2306-004</t>
  </si>
  <si>
    <t>TCM-2306-001</t>
  </si>
  <si>
    <t>TCM-2306-002</t>
  </si>
  <si>
    <t>TCM-2306-003</t>
  </si>
  <si>
    <t>TCM BLEND TS 1.00 MAX</t>
  </si>
  <si>
    <t>TCM-2306-004</t>
  </si>
  <si>
    <t>TCM-2306-005</t>
  </si>
  <si>
    <t>TCM-2306-006</t>
  </si>
  <si>
    <t>TCM-2306-007</t>
  </si>
  <si>
    <t>Subs.of TB. KINGFISHER 508</t>
  </si>
  <si>
    <t>TCM-2306-008</t>
  </si>
  <si>
    <t>TCM-2306-009</t>
  </si>
  <si>
    <t>TCM-2306-010</t>
  </si>
  <si>
    <t>TCM-2306-011</t>
  </si>
  <si>
    <t>TCM HCVHS (BLEND HAC)</t>
  </si>
  <si>
    <t>TCM-2306-012</t>
  </si>
  <si>
    <t>TCM-2306-013</t>
  </si>
  <si>
    <t>TCM-2306-014</t>
  </si>
  <si>
    <t>TCM HCVLS (BLEND HAC)</t>
  </si>
  <si>
    <t>TCM-2306-015</t>
  </si>
  <si>
    <t>TCM-2306-016</t>
  </si>
  <si>
    <t>TCM-2306-017</t>
  </si>
  <si>
    <t>TCM-2306-018</t>
  </si>
  <si>
    <t>TCM BLEND TS 0.95 MAX</t>
  </si>
  <si>
    <t>Subs.oF BG. ROBBY 138</t>
  </si>
  <si>
    <t>TCM-2306-019</t>
  </si>
  <si>
    <t>TCM-2306-020</t>
  </si>
  <si>
    <t>GONAYA XII</t>
  </si>
  <si>
    <t>ALMANAR</t>
  </si>
  <si>
    <t>Subs.of TB. GONAYA XIX / BG. SALWA</t>
  </si>
  <si>
    <t>TCM-2306-021</t>
  </si>
  <si>
    <t>TCM-2306-022</t>
  </si>
  <si>
    <t>TCM-2306-023</t>
  </si>
  <si>
    <t>TCM-2306-024</t>
  </si>
  <si>
    <t>TCM-2306-025</t>
  </si>
  <si>
    <t>TCM-2306-026</t>
  </si>
  <si>
    <t>TCM-2306-027</t>
  </si>
  <si>
    <t>RMN 344</t>
  </si>
  <si>
    <t>Subs.of BG. ARMADA KALTIM 3003</t>
  </si>
  <si>
    <t>TCM-2306-028</t>
  </si>
  <si>
    <t>TCM-2306-029</t>
  </si>
  <si>
    <t>TCM-2306-030</t>
  </si>
  <si>
    <t>TCM-2306-031</t>
  </si>
  <si>
    <t>TCM-2306-032</t>
  </si>
  <si>
    <t>TCM-2306-033</t>
  </si>
  <si>
    <t>TCM-2306-034</t>
  </si>
  <si>
    <t>TCM-2306-035</t>
  </si>
  <si>
    <t>SHENHUA 5200NAR MAY SPOT #02</t>
  </si>
  <si>
    <t>24 May - 02 June</t>
  </si>
  <si>
    <t>THERMA LUZON BEK #3/3</t>
  </si>
  <si>
    <t>BLEND 15 : 85</t>
  </si>
  <si>
    <t>BLEND 84 : 16</t>
  </si>
  <si>
    <t>BLEND 17 : 83</t>
  </si>
  <si>
    <t>BLEND 46 : 54</t>
  </si>
  <si>
    <t>Remain cargo sent to MV. PENTA</t>
  </si>
  <si>
    <t>21 May - 04 June</t>
  </si>
  <si>
    <t>VEDAN #SPOT</t>
  </si>
  <si>
    <t>01 June - 10 June</t>
  </si>
  <si>
    <t>TJ JATI BEK JUN #01</t>
  </si>
  <si>
    <t>6/9/23 9:30</t>
  </si>
  <si>
    <t>06 June - 15 June</t>
  </si>
  <si>
    <t>SMI BEK 5800GAR #4/5</t>
  </si>
  <si>
    <t>Remain cargo sent to MV. SANTA BARBARA</t>
  </si>
  <si>
    <t>02 June - 07 June</t>
  </si>
  <si>
    <t>HKE #1/2</t>
  </si>
  <si>
    <t>BEK-2305-073</t>
  </si>
  <si>
    <t xml:space="preserve">Remain cargo sent to SMD </t>
  </si>
  <si>
    <t>09 June - 18 June</t>
  </si>
  <si>
    <t>HO PING POWER #2/4</t>
  </si>
  <si>
    <t>04 June - 13 June</t>
  </si>
  <si>
    <t>KANSAI #1/4</t>
  </si>
  <si>
    <t>13 June - 22 June</t>
  </si>
  <si>
    <t>HMS RELIANCE #2/3</t>
  </si>
  <si>
    <t>Remain cargo sent to MV. SHI DAI 11</t>
  </si>
  <si>
    <t>08 June - 17 June</t>
  </si>
  <si>
    <t>SMEC #2/4</t>
  </si>
  <si>
    <t>BLEND 26 : 74</t>
  </si>
  <si>
    <t>11 June - 20 June</t>
  </si>
  <si>
    <t>XINDIAN BAI GUI 5500NAR #2/2</t>
  </si>
  <si>
    <t>Remain cargo sent to MV. NAVIOS VICTORY</t>
  </si>
  <si>
    <t>18 June - 27 June</t>
  </si>
  <si>
    <t>SHENHUA 5500NAR JUN SPOT #01</t>
  </si>
  <si>
    <t>Remain cargo sent to MV. LUMOSO PRATAMA</t>
  </si>
  <si>
    <t>MV. OCEAN PERKASA</t>
  </si>
  <si>
    <t>16 June - 25 June</t>
  </si>
  <si>
    <t>JERA #1/7</t>
  </si>
  <si>
    <t>21 June - 30 June</t>
  </si>
  <si>
    <t>TJ JATI BEK JUN #02</t>
  </si>
  <si>
    <t>Remain cargo sent to MV. KARTINI BARUNA</t>
  </si>
  <si>
    <t>ENEL #2/4</t>
  </si>
  <si>
    <t>Remain cargo sent to MV. PEGASUS ISLAND</t>
  </si>
  <si>
    <t>3 July - 12 July</t>
  </si>
  <si>
    <t>TJ JATI BEK JUL #01</t>
  </si>
  <si>
    <t>Remain cargo sent to MV. CHANG MING</t>
  </si>
  <si>
    <t>23 June - 02 July</t>
  </si>
  <si>
    <t>6/30/23 17:02</t>
  </si>
  <si>
    <t>SHENHUA 5500NAR JUN SPOT #02</t>
  </si>
  <si>
    <t>28 June - 07 July</t>
  </si>
  <si>
    <t>Remain cargo sent to MV. TTM HARVEST</t>
  </si>
  <si>
    <t>24 June - 03 July</t>
  </si>
  <si>
    <t>TOHOKU #1/4</t>
  </si>
  <si>
    <t>20 June - 29 June</t>
  </si>
  <si>
    <t>GLOW # 04</t>
  </si>
  <si>
    <t>22 June - 03 July</t>
  </si>
  <si>
    <t>GCNS JUN #01</t>
  </si>
  <si>
    <t>MBL-2307-001</t>
  </si>
  <si>
    <t>TCM-2307-001</t>
  </si>
  <si>
    <t xml:space="preserve">Remain cargo sent to MV. CEMTEX DILIGENCE </t>
  </si>
  <si>
    <t>05 July - 14 July</t>
  </si>
  <si>
    <t>ZHEJIANG 5500NAR #3/6</t>
  </si>
  <si>
    <t xml:space="preserve"> Completed</t>
  </si>
  <si>
    <t>BEK-2307-001</t>
  </si>
  <si>
    <t>BEK-2307-002</t>
  </si>
  <si>
    <t>BEK-2307-004</t>
  </si>
  <si>
    <t>BEK-2307-003</t>
  </si>
  <si>
    <t>MV. TTM HARVEST</t>
  </si>
  <si>
    <t>11 July - 20 July</t>
  </si>
  <si>
    <t>TOSOH MCV SPOT #TRIAL</t>
  </si>
  <si>
    <t>IKJ-2307-002</t>
  </si>
  <si>
    <t>KMIA-2307-001</t>
  </si>
  <si>
    <t>BEK-2307-010</t>
  </si>
  <si>
    <t>BEK-2307-008</t>
  </si>
  <si>
    <t>BEK-2307-011</t>
  </si>
  <si>
    <t>BEK BLEND TS 1.00 MAX</t>
  </si>
  <si>
    <t>BEK-2307-009</t>
  </si>
  <si>
    <t>Remain cargo sent to MV. PAUL OLDENDORFF</t>
  </si>
  <si>
    <t>MV. SUNRISE SERENITY</t>
  </si>
  <si>
    <t>10 July - 19 July</t>
  </si>
  <si>
    <t>KOBE #2/8</t>
  </si>
  <si>
    <t>KMIA-2307-002</t>
  </si>
  <si>
    <t>MBL-2307-004</t>
  </si>
  <si>
    <t>TCM-2307-007</t>
  </si>
  <si>
    <t>TCM-2307-010</t>
  </si>
  <si>
    <t>TCM-2307-011</t>
  </si>
  <si>
    <t>TCM-2307-009</t>
  </si>
  <si>
    <t>TCM-2307-012</t>
  </si>
  <si>
    <t>TCM-2307-008</t>
  </si>
  <si>
    <t>Remain cargo sent to MV. CORONA XANADU</t>
  </si>
  <si>
    <t>MV. NORD ANNAPOLIS</t>
  </si>
  <si>
    <t>IKJ-2307-001</t>
  </si>
  <si>
    <t>BEK-2307-005</t>
  </si>
  <si>
    <t>BEK-2307-007</t>
  </si>
  <si>
    <t>BEK-2307-006</t>
  </si>
  <si>
    <t>MV. CEMTEX DILIGENCE</t>
  </si>
  <si>
    <t>TOKUYAMA #06</t>
  </si>
  <si>
    <t>BEK-2307-012</t>
  </si>
  <si>
    <t>TCM-2307-002</t>
  </si>
  <si>
    <t>TCM-2307-004</t>
  </si>
  <si>
    <t>BEK-2307-013</t>
  </si>
  <si>
    <t>BEK-2307-014</t>
  </si>
  <si>
    <t>TCM-2307-005</t>
  </si>
  <si>
    <t>TCM BLEND TS 1.0 MIN</t>
  </si>
  <si>
    <t>BEK-2307-015</t>
  </si>
  <si>
    <t>TCM-2307-006</t>
  </si>
  <si>
    <t>IMM-2307-001</t>
  </si>
  <si>
    <t>TCM-2307-003</t>
  </si>
  <si>
    <t>Remain cargo on last barge BG. CEMERLANG 9 will sent to MV. CORONA XANADU</t>
  </si>
  <si>
    <t>MV. PAUL OLDENDORFF</t>
  </si>
  <si>
    <t>HMS RELIANCE #3/3</t>
  </si>
  <si>
    <t>KBM-2307-001</t>
  </si>
  <si>
    <t>BEK-2307-018</t>
  </si>
  <si>
    <t>MML-2307-003</t>
  </si>
  <si>
    <t>BEK-2307-023</t>
  </si>
  <si>
    <t>BEK-2307-019</t>
  </si>
  <si>
    <t>BEK-2307-020</t>
  </si>
  <si>
    <t>BEK-2307-021</t>
  </si>
  <si>
    <t>BEK-2307-026</t>
  </si>
  <si>
    <t>IMM-2307-002</t>
  </si>
  <si>
    <t>JHN-2307-002</t>
  </si>
  <si>
    <t>BEK-2307-022</t>
  </si>
  <si>
    <t>BEK-2307-024</t>
  </si>
  <si>
    <t>BEK-2307-025</t>
  </si>
  <si>
    <t>BEK BLEND TS 1.1 MAX</t>
  </si>
  <si>
    <t>BEK-2307-027</t>
  </si>
  <si>
    <t>Remain cargo sent to MV. LOWLANDS AMBER</t>
  </si>
  <si>
    <t>MV. CORONA XANADU</t>
  </si>
  <si>
    <t>17 July - 26 July</t>
  </si>
  <si>
    <t>JOBAN #1/4</t>
  </si>
  <si>
    <t>BLEND 73 : 27</t>
  </si>
  <si>
    <t>TCM-2307-013</t>
  </si>
  <si>
    <t>BBE-2307-004</t>
  </si>
  <si>
    <t>TCM-2307-014</t>
  </si>
  <si>
    <t>BLEND 67: 33</t>
  </si>
  <si>
    <t>TCM-2307-016</t>
  </si>
  <si>
    <t>MBL-2307-005</t>
  </si>
  <si>
    <t>TCM-2307-015</t>
  </si>
  <si>
    <t>TCM-2307-017</t>
  </si>
  <si>
    <t>BEK-2307-028</t>
  </si>
  <si>
    <t>Remain cargo on BG. MASADA 14 sent to MV. LUMOSO HAWARI</t>
  </si>
  <si>
    <t>MV. PRIMA ANDALAN I</t>
  </si>
  <si>
    <t>TJ JATI BEK JUL #02</t>
  </si>
  <si>
    <t>BBA-2307-001</t>
  </si>
  <si>
    <t>TRANS 11</t>
  </si>
  <si>
    <t>TSM 11</t>
  </si>
  <si>
    <t>KMIA-2307-005</t>
  </si>
  <si>
    <t>BEK-2307-030</t>
  </si>
  <si>
    <t>BEK-2307-029</t>
  </si>
  <si>
    <t>BEK-2307-033</t>
  </si>
  <si>
    <t>BEK-2307-031</t>
  </si>
  <si>
    <t>BEK-2307-032</t>
  </si>
  <si>
    <t>BEK-2307-034</t>
  </si>
  <si>
    <t>MV. LUMOSO HAWARI</t>
  </si>
  <si>
    <t>22 July - 31 July</t>
  </si>
  <si>
    <t>FREEPORT #4/8</t>
  </si>
  <si>
    <t>TCM-2307-019</t>
  </si>
  <si>
    <t>KMIA-2307-007</t>
  </si>
  <si>
    <t>TCM-2307-018</t>
  </si>
  <si>
    <t>TCM-2307-020</t>
  </si>
  <si>
    <t>KMIA-2307-006</t>
  </si>
  <si>
    <t>TCM-2307-022</t>
  </si>
  <si>
    <t>TCM-2307-021</t>
  </si>
  <si>
    <t>PANCARAN 1112</t>
  </si>
  <si>
    <t>Remain cargo sent to MV. UNITAMA LILY</t>
  </si>
  <si>
    <t>MV. ARFIANIE AYU</t>
  </si>
  <si>
    <t>12 July - 23 July</t>
  </si>
  <si>
    <t>SMI BEK 5800GAR #5/5</t>
  </si>
  <si>
    <t>BEK-2307-048</t>
  </si>
  <si>
    <t>EBH-2307-001</t>
  </si>
  <si>
    <t>BEK-2307-047</t>
  </si>
  <si>
    <t>BEK-2307-046</t>
  </si>
  <si>
    <t>BEK-2307-049</t>
  </si>
  <si>
    <t>BEK-2307-050</t>
  </si>
  <si>
    <t>MCM-2307-006</t>
  </si>
  <si>
    <t>MULAWARMAN 88</t>
  </si>
  <si>
    <t>BLEND 27 : 73</t>
  </si>
  <si>
    <t>BEK-2307-051</t>
  </si>
  <si>
    <t>Remain cargo sent to MV. FEDERICO II</t>
  </si>
  <si>
    <t>MV. LOWLANDS AMBER</t>
  </si>
  <si>
    <t>18 July - 27 July</t>
  </si>
  <si>
    <t>THERMA LUZON #1/2</t>
  </si>
  <si>
    <t>IMM-2307-004</t>
  </si>
  <si>
    <t>IMM WB HS BLEND EB MS</t>
  </si>
  <si>
    <t>IKJ-2307-004</t>
  </si>
  <si>
    <t>IMM-2307-003</t>
  </si>
  <si>
    <t>BEK-2307-039</t>
  </si>
  <si>
    <t>BEK-2307-041</t>
  </si>
  <si>
    <t>IKJ-2307-005</t>
  </si>
  <si>
    <t>TOTAL 2ND STORAGE</t>
  </si>
  <si>
    <t>BEK-2307-038</t>
  </si>
  <si>
    <t>BEK-2307-035</t>
  </si>
  <si>
    <t>BEK-2307-043</t>
  </si>
  <si>
    <t>BEK-2307-042</t>
  </si>
  <si>
    <t>BEK-2307-045</t>
  </si>
  <si>
    <t>BEK-2307-044</t>
  </si>
  <si>
    <t>MV. UNITAMA LILY</t>
  </si>
  <si>
    <t>GCNS JUL #01</t>
  </si>
  <si>
    <t>TCM-2307-029</t>
  </si>
  <si>
    <t>TCM-2307-026</t>
  </si>
  <si>
    <t>TCM-2307-028</t>
  </si>
  <si>
    <t>TCM-2307-030</t>
  </si>
  <si>
    <t>TCM-2307-027</t>
  </si>
  <si>
    <t>TCM-2307-031</t>
  </si>
  <si>
    <t>TCM-2307-032</t>
  </si>
  <si>
    <t>Remain cargo sent to MV. INDIAN SOLIDARITY</t>
  </si>
  <si>
    <t>MV. NORD BELUGA</t>
  </si>
  <si>
    <t>20 July - 29 July</t>
  </si>
  <si>
    <t>SMEC #3/4</t>
  </si>
  <si>
    <t>EBH-2307-002</t>
  </si>
  <si>
    <t>BEK-2307-054</t>
  </si>
  <si>
    <t>BEK-2307-055</t>
  </si>
  <si>
    <t>BEK-2307-058</t>
  </si>
  <si>
    <t>BEK-2307-056</t>
  </si>
  <si>
    <t>FRANSISCUS 02</t>
  </si>
  <si>
    <t>SATRIA LAUT 3028</t>
  </si>
  <si>
    <t>BEK-2307-057</t>
  </si>
  <si>
    <t>CAHAYA SULTHAN 1468</t>
  </si>
  <si>
    <t>MV. FEDERICO II</t>
  </si>
  <si>
    <t>23 July - 01 Aug</t>
  </si>
  <si>
    <t>KANSAI #2/4</t>
  </si>
  <si>
    <t>MBL-2307-009</t>
  </si>
  <si>
    <t>KMIA-2307-009</t>
  </si>
  <si>
    <t>TCM-2307-023</t>
  </si>
  <si>
    <t>TCM HCVLS (MCVLS)</t>
  </si>
  <si>
    <t>TCM-2307-025</t>
  </si>
  <si>
    <t>BEK-2307-063</t>
  </si>
  <si>
    <t>BEK-2307-060</t>
  </si>
  <si>
    <t>BEK-2307-062</t>
  </si>
  <si>
    <t>BEK-2307-061</t>
  </si>
  <si>
    <t>BEK-2307-064</t>
  </si>
  <si>
    <t>BEK-2307-065</t>
  </si>
  <si>
    <t>BEK-2307-059</t>
  </si>
  <si>
    <t>MV. SDTR ALICE</t>
  </si>
  <si>
    <t>03 Aug - 12 Aug</t>
  </si>
  <si>
    <t>EPDC #1/6</t>
  </si>
  <si>
    <t>BEK-2308-001</t>
  </si>
  <si>
    <t>BEK-2308-005</t>
  </si>
  <si>
    <t>TCM-2308-004</t>
  </si>
  <si>
    <t>BEK-2308-006</t>
  </si>
  <si>
    <t>BEK-2308-003</t>
  </si>
  <si>
    <t>BEK-2308-002</t>
  </si>
  <si>
    <t>BEK-2308-007</t>
  </si>
  <si>
    <t>BEK-2308-004</t>
  </si>
  <si>
    <t>BEK-2308-008</t>
  </si>
  <si>
    <t>26 July - 04 Aug</t>
  </si>
  <si>
    <t>PLN BEK #03</t>
  </si>
  <si>
    <t>BLEND 79 :21</t>
  </si>
  <si>
    <t>BEK-2307-066</t>
  </si>
  <si>
    <t>KJA-2307-003</t>
  </si>
  <si>
    <t>BEK-2307-068</t>
  </si>
  <si>
    <t>BEK-2307-070</t>
  </si>
  <si>
    <t>BEK-2307-069</t>
  </si>
  <si>
    <t>KBM-2307-002</t>
  </si>
  <si>
    <t>BEK-2307-073</t>
  </si>
  <si>
    <t>BEK-2307-067</t>
  </si>
  <si>
    <t>IMM-2307-005</t>
  </si>
  <si>
    <t>BEK-2307-071</t>
  </si>
  <si>
    <t>BEK-2307-072</t>
  </si>
  <si>
    <t>Remain cargo sent to MV. PATRICIA OLDENDORFF</t>
  </si>
  <si>
    <t>MV. INDIAN SOLIDARITY</t>
  </si>
  <si>
    <t>01 Aug - 10 Aug</t>
  </si>
  <si>
    <t>HO PING POWER #3/4</t>
  </si>
  <si>
    <t>MBL-2307-012</t>
  </si>
  <si>
    <t>KMIA-2308-001</t>
  </si>
  <si>
    <t>BBE-2308-002</t>
  </si>
  <si>
    <t>TCM-2307-033</t>
  </si>
  <si>
    <t>TCM-2307-034</t>
  </si>
  <si>
    <t>TCM-2307-035</t>
  </si>
  <si>
    <t>TCM-2307-036</t>
  </si>
  <si>
    <t>TCM-2307-037</t>
  </si>
  <si>
    <t>TCM-2307-038</t>
  </si>
  <si>
    <t>TCM-2308-001</t>
  </si>
  <si>
    <t>TCM-2308-002</t>
  </si>
  <si>
    <t>Remain cargo sent to MV. KING COAL</t>
  </si>
  <si>
    <t>06 Aug - 15 Aug</t>
  </si>
  <si>
    <t>HOKURIKU #1/4</t>
  </si>
  <si>
    <t>TCM-2308-005</t>
  </si>
  <si>
    <t>EBH-2308-001</t>
  </si>
  <si>
    <t>TCM-2308-006</t>
  </si>
  <si>
    <t>MBL-2308-002</t>
  </si>
  <si>
    <t>TCM-2308-007</t>
  </si>
  <si>
    <t>BLEND 24 : 76</t>
  </si>
  <si>
    <t>TCM-2308-009</t>
  </si>
  <si>
    <t>DELTA AYU 5</t>
  </si>
  <si>
    <t>KALIMANTAN ABADI 05</t>
  </si>
  <si>
    <t>TCM-2308-011</t>
  </si>
  <si>
    <t>ALDRICK</t>
  </si>
  <si>
    <t>TCM-2308-008</t>
  </si>
  <si>
    <t>No remain cargo on last barge BG. SATRIA LAUT 3098</t>
  </si>
  <si>
    <t>MV. ASPASIA LUCK</t>
  </si>
  <si>
    <t>XINDIAN BAI GUI 5500NAR #3/3</t>
  </si>
  <si>
    <t>KBM-2308-001</t>
  </si>
  <si>
    <t>BEK-2308-020</t>
  </si>
  <si>
    <t>IMM-2308-002</t>
  </si>
  <si>
    <t>BEK-2308-019</t>
  </si>
  <si>
    <t>BEK-2308-023</t>
  </si>
  <si>
    <t>BEK-2308-021</t>
  </si>
  <si>
    <t>IMM-2308-003</t>
  </si>
  <si>
    <t>BLEND 35 : 65</t>
  </si>
  <si>
    <t>BEK-2308-022</t>
  </si>
  <si>
    <t>BEK-2308-025</t>
  </si>
  <si>
    <t>KSA 134</t>
  </si>
  <si>
    <t>RMN 3303</t>
  </si>
  <si>
    <t>Remain cargo sent to MV. XING SHENG</t>
  </si>
  <si>
    <t>MV. LADY MARITE</t>
  </si>
  <si>
    <t>10 Aug - 19 Aug</t>
  </si>
  <si>
    <t>SUAL POWER #4/4</t>
  </si>
  <si>
    <t>EBH-2308-002</t>
  </si>
  <si>
    <t>BBE-2308-005</t>
  </si>
  <si>
    <t>TCM-2308-014</t>
  </si>
  <si>
    <t>TCM-2308-018</t>
  </si>
  <si>
    <t>TCM-2308-017</t>
  </si>
  <si>
    <t>BEK-2308-024</t>
  </si>
  <si>
    <t>TCM-2308-016</t>
  </si>
  <si>
    <t>TCM-2308-015</t>
  </si>
  <si>
    <t>MV. PATRICIA OLDENDORFF</t>
  </si>
  <si>
    <t>08 Aug - 17 Aug</t>
  </si>
  <si>
    <t>HMS RELIANCE #MO</t>
  </si>
  <si>
    <t>MBL-2308-003</t>
  </si>
  <si>
    <t>JBG-2308-001</t>
  </si>
  <si>
    <t>JBG-2308-002</t>
  </si>
  <si>
    <t>LINTAS SAMUDERA 138</t>
  </si>
  <si>
    <t>MBL-2308-004</t>
  </si>
  <si>
    <t>TOTAL 1ST STORAGE</t>
  </si>
  <si>
    <t>BEK-2308-011</t>
  </si>
  <si>
    <t>DELTA AYU 228</t>
  </si>
  <si>
    <t xml:space="preserve">KALIMANTAN DUA </t>
  </si>
  <si>
    <t>BEK-2308-012</t>
  </si>
  <si>
    <t>DELTA AYU 7</t>
  </si>
  <si>
    <t>KALIMANTAN CAHAYA 28</t>
  </si>
  <si>
    <t>BEK-2308-014</t>
  </si>
  <si>
    <t>DELTA AYU 18</t>
  </si>
  <si>
    <t>KALIMANTAN CAHAYA 38</t>
  </si>
  <si>
    <t>BEK-2308-013</t>
  </si>
  <si>
    <t>DELTA AYU 138</t>
  </si>
  <si>
    <t>KALIMANTAN DELAPAN</t>
  </si>
  <si>
    <t>BEK-2308-018</t>
  </si>
  <si>
    <t>ROBBY XII</t>
  </si>
  <si>
    <t>BEK-2308-010</t>
  </si>
  <si>
    <t>BEK-2308-009</t>
  </si>
  <si>
    <t>IMM-2308-001</t>
  </si>
  <si>
    <t>IMM EBHS</t>
  </si>
  <si>
    <t>BEK-2308-016</t>
  </si>
  <si>
    <t>ROBBY 83</t>
  </si>
  <si>
    <t>ROBBY 101</t>
  </si>
  <si>
    <t>KMIA-2308-002</t>
  </si>
  <si>
    <t>BEK-2308-015</t>
  </si>
  <si>
    <t>STEP 12</t>
  </si>
  <si>
    <t>BEK-2308-017</t>
  </si>
  <si>
    <t>ZHEJIANG 5500NAR #4/6</t>
  </si>
  <si>
    <t>BEK-2308-030</t>
  </si>
  <si>
    <t>BEK-2308-028</t>
  </si>
  <si>
    <t>BEK-2308-029</t>
  </si>
  <si>
    <t>BEK-2308-031</t>
  </si>
  <si>
    <t>BEK-2308-036</t>
  </si>
  <si>
    <t>BEK-2308-033</t>
  </si>
  <si>
    <t>MBL-2308-006</t>
  </si>
  <si>
    <t>BEK-2308-032</t>
  </si>
  <si>
    <t>LINTAS SAMUDERA XVIII</t>
  </si>
  <si>
    <t>BEK-2308-035</t>
  </si>
  <si>
    <t>Remain cargo sent to MV. NORD BELUGA</t>
  </si>
  <si>
    <t>MV. THOR CALIBER</t>
  </si>
  <si>
    <t>12 Aug - 21 Aug</t>
  </si>
  <si>
    <t>GLOW # 05</t>
  </si>
  <si>
    <t>TCM-2308-012</t>
  </si>
  <si>
    <t>TCM-2308-013</t>
  </si>
  <si>
    <t>TCM-2308-010</t>
  </si>
  <si>
    <t>MV. HABCO AQUILA</t>
  </si>
  <si>
    <t>16 Aug - 25 Aug</t>
  </si>
  <si>
    <t>SMI BEK AUG #01</t>
  </si>
  <si>
    <t>TCM-2308-019</t>
  </si>
  <si>
    <t>BEK-2308-034</t>
  </si>
  <si>
    <t>BEK-2308-037</t>
  </si>
  <si>
    <t>EBH-2308-003</t>
  </si>
  <si>
    <t>BEK-2308-038</t>
  </si>
  <si>
    <t>BEK-2308-039</t>
  </si>
  <si>
    <t>BEK-2308-048</t>
  </si>
  <si>
    <t>MV. DIANTHUS</t>
  </si>
  <si>
    <t>17 Aug - 26 Aug</t>
  </si>
  <si>
    <t>NIPPON COKE #SPOT</t>
  </si>
  <si>
    <t>TCM-2308-020</t>
  </si>
  <si>
    <t>TCM-2308-022</t>
  </si>
  <si>
    <t>TCM-2308-023</t>
  </si>
  <si>
    <t>13 Aug - 22 Aug</t>
  </si>
  <si>
    <t>HKE #3/4</t>
  </si>
  <si>
    <t>IMM-2308-004</t>
  </si>
  <si>
    <t>BEK-2308-040</t>
  </si>
  <si>
    <t>BEK BLEND TS 0.75 MAX</t>
  </si>
  <si>
    <t>BEK-2308-041</t>
  </si>
  <si>
    <t>BEK-2308-042</t>
  </si>
  <si>
    <t>BEK-2308-043</t>
  </si>
  <si>
    <t>BEK-2308-044</t>
  </si>
  <si>
    <t>BEK-2308-045</t>
  </si>
  <si>
    <t>BEK-2308-046</t>
  </si>
  <si>
    <t>MASADA 29</t>
  </si>
  <si>
    <t>BEK-2308-049</t>
  </si>
  <si>
    <t>BEK-2308-050</t>
  </si>
  <si>
    <t>Remain cargo sent to SMD</t>
  </si>
  <si>
    <t>MV. COFCO 1</t>
  </si>
  <si>
    <t>15 Aug - 24 Aug</t>
  </si>
  <si>
    <t>KOBE #3/8</t>
  </si>
  <si>
    <t>TCM-2308-021</t>
  </si>
  <si>
    <t>TCM-2308-024</t>
  </si>
  <si>
    <t>BEK-2308-051</t>
  </si>
  <si>
    <t>TCM-2308-025</t>
  </si>
  <si>
    <t>TCM-2308-026</t>
  </si>
  <si>
    <t>TCM-2308-027</t>
  </si>
  <si>
    <t>TCM-2308-028</t>
  </si>
  <si>
    <t>KALIMANTAN DUA</t>
  </si>
  <si>
    <t>TCM-2308-029</t>
  </si>
  <si>
    <t>KSA 131</t>
  </si>
  <si>
    <t>RMN 3308</t>
  </si>
  <si>
    <t>Remain cargo sent to MV. VINCA</t>
  </si>
  <si>
    <t>19 Aug - 28 Aug</t>
  </si>
  <si>
    <t>TJ JATI BEK AUG #01</t>
  </si>
  <si>
    <t>JBG-2308-007</t>
  </si>
  <si>
    <t>BEK-2308-054</t>
  </si>
  <si>
    <t>BEK-2308-055</t>
  </si>
  <si>
    <t>BEK-2308-056</t>
  </si>
  <si>
    <t>BLEND 13 : 87</t>
  </si>
  <si>
    <t>BEK-2308-057</t>
  </si>
  <si>
    <t>BEK-2308-058</t>
  </si>
  <si>
    <t>BEK-2308-060</t>
  </si>
  <si>
    <t>BEK-2308-061</t>
  </si>
  <si>
    <t>BEK-2308-059</t>
  </si>
  <si>
    <t>Remain cargo sent to MV. VIBEKE IRIS</t>
  </si>
  <si>
    <t>MV. AMPHITRITE</t>
  </si>
  <si>
    <t>JERA #3/7</t>
  </si>
  <si>
    <t>BEK-2308-064</t>
  </si>
  <si>
    <t>BEK-2308-062</t>
  </si>
  <si>
    <t>BEK-2308-065</t>
  </si>
  <si>
    <t>BEK-2308-063</t>
  </si>
  <si>
    <t>TCM-2308-030</t>
  </si>
  <si>
    <t>TCM-2308-031</t>
  </si>
  <si>
    <t>TCM-2308-032</t>
  </si>
  <si>
    <t>TCM-2308-033</t>
  </si>
  <si>
    <t>TCM-2308-034</t>
  </si>
  <si>
    <t>MV. VIBEKE IRIS</t>
  </si>
  <si>
    <t>20 Aug - 29 Aug</t>
  </si>
  <si>
    <t>SUAL POWER #SPOT</t>
  </si>
  <si>
    <t>KBM-2308-006</t>
  </si>
  <si>
    <t>BEK-2308-066</t>
  </si>
  <si>
    <t>BEK-2308-067</t>
  </si>
  <si>
    <t>RMN 382</t>
  </si>
  <si>
    <t>BEK-2308-068</t>
  </si>
  <si>
    <t>BLEND 23 : 77</t>
  </si>
  <si>
    <t>BEK-2308-069</t>
  </si>
  <si>
    <t>EBH-2308-004</t>
  </si>
  <si>
    <t>BEK-2308-070</t>
  </si>
  <si>
    <t>MBL-2308-010</t>
  </si>
  <si>
    <t>BEK-2308-071</t>
  </si>
  <si>
    <t>BEK-2308-072</t>
  </si>
  <si>
    <t>Remain cargo sent to MV. ABDUL HAMID</t>
  </si>
  <si>
    <t>22 Aug - 31 Aug</t>
  </si>
  <si>
    <t>TOSOH #03</t>
  </si>
  <si>
    <t>BLEND 28 : 72</t>
  </si>
  <si>
    <t>MBL-2309-001</t>
  </si>
  <si>
    <t>TCM-2308-037</t>
  </si>
  <si>
    <t>TCM-2308-036</t>
  </si>
  <si>
    <t>TCM-2309-001</t>
  </si>
  <si>
    <t>BEK-2309-001</t>
  </si>
  <si>
    <t>TCM-2309-002</t>
  </si>
  <si>
    <t>Remain cargo sent to MV. TWINKLE ISLAND</t>
  </si>
  <si>
    <t>MV. VINDONISSA</t>
  </si>
  <si>
    <t>04 Sept - 09 Sept</t>
  </si>
  <si>
    <t>GLOW # 06</t>
  </si>
  <si>
    <t>TCM-2308-035</t>
  </si>
  <si>
    <t>BEK-2308-074</t>
  </si>
  <si>
    <t>BEK-2308-073</t>
  </si>
  <si>
    <t>MV. ABDUL HAMID</t>
  </si>
  <si>
    <t>23 Aug - 01 Sept</t>
  </si>
  <si>
    <t>SMI BEK AUG #02</t>
  </si>
  <si>
    <t>BEK-2309-002</t>
  </si>
  <si>
    <t>BEK-2309-003</t>
  </si>
  <si>
    <t>BEK-2309-004</t>
  </si>
  <si>
    <t>BEK-2309-007</t>
  </si>
  <si>
    <t>IMM-2309-001</t>
  </si>
  <si>
    <t>BEK-2309-006</t>
  </si>
  <si>
    <t>BEK-2309-005</t>
  </si>
  <si>
    <t>Remain cargo sent to MV. LUMOSO AMAN</t>
  </si>
  <si>
    <t>MV. PRIMA SPIRIT</t>
  </si>
  <si>
    <t>27 Aug - 05 Sept</t>
  </si>
  <si>
    <t>TJ JATI BEK AUG #02</t>
  </si>
  <si>
    <t>BEK-2309-008</t>
  </si>
  <si>
    <t>JBG-2309-001</t>
  </si>
  <si>
    <t>BEK-2309-009</t>
  </si>
  <si>
    <t>BEK-2309-010</t>
  </si>
  <si>
    <t>BEK-2309-011</t>
  </si>
  <si>
    <t>BEK-2309-014</t>
  </si>
  <si>
    <t>BEK-2309-013</t>
  </si>
  <si>
    <t>BEK-2309-012</t>
  </si>
  <si>
    <t>BEK-2309-015</t>
  </si>
  <si>
    <t>RMN 372</t>
  </si>
  <si>
    <t>MV. MISTRAL</t>
  </si>
  <si>
    <t>29 Aug - 07 Sept</t>
  </si>
  <si>
    <t>SUAL POWER #08</t>
  </si>
  <si>
    <t>TCM-2309-004</t>
  </si>
  <si>
    <t>TCM-2309-003</t>
  </si>
  <si>
    <t>TCM-2309-005</t>
  </si>
  <si>
    <t>BEK-2309-016</t>
  </si>
  <si>
    <t>BEK-2309-017</t>
  </si>
  <si>
    <t>HARMONY II</t>
  </si>
  <si>
    <t>TCM-2309-006</t>
  </si>
  <si>
    <t>KBM-2309-002</t>
  </si>
  <si>
    <t>BEK-2309-018</t>
  </si>
  <si>
    <t>TCM-2309-007</t>
  </si>
  <si>
    <t>MV. TWINKLE ISLAND</t>
  </si>
  <si>
    <t>TOKUYAMA #07</t>
  </si>
  <si>
    <t>BLEND 37 : 63</t>
  </si>
  <si>
    <t>BEK-2309-020</t>
  </si>
  <si>
    <t>TCM-2309-009</t>
  </si>
  <si>
    <t>TCM-2309-008</t>
  </si>
  <si>
    <t>BEK-2309-019</t>
  </si>
  <si>
    <t>TCM-2309-010</t>
  </si>
  <si>
    <t>TCM-2309-011</t>
  </si>
  <si>
    <t>BEK-2309-021</t>
  </si>
  <si>
    <t>TCM-2309-012</t>
  </si>
  <si>
    <t>TCM-2309-013</t>
  </si>
  <si>
    <t>Remain cargo sent to MV. LUMOSO PROSPER</t>
  </si>
  <si>
    <t>07 Sept - 16 Sept</t>
  </si>
  <si>
    <t>SMI BEK 5600GAR SEP #01</t>
  </si>
  <si>
    <t>BEK-2309-026</t>
  </si>
  <si>
    <t>BEK-2309-023</t>
  </si>
  <si>
    <t>BEK-2309-024</t>
  </si>
  <si>
    <t>BEK-2309-022</t>
  </si>
  <si>
    <t>BLEND 32 : 68</t>
  </si>
  <si>
    <t>BEK-2309-025</t>
  </si>
  <si>
    <t>BEK-2309-027</t>
  </si>
  <si>
    <t>BEK-2309-028</t>
  </si>
  <si>
    <t>MV. PRIME STAR</t>
  </si>
  <si>
    <t>06 Sept - 15 Sept</t>
  </si>
  <si>
    <t>VEDAN SEP #SPOT</t>
  </si>
  <si>
    <t>KBM-2309-003</t>
  </si>
  <si>
    <t>BEK-2309-029</t>
  </si>
  <si>
    <t>BEK-2309-030</t>
  </si>
  <si>
    <t>BEK-2309-031</t>
  </si>
  <si>
    <t>08 Sept - 17 Sept</t>
  </si>
  <si>
    <t>FREEPORT #5/8</t>
  </si>
  <si>
    <t>TCM-2309-015</t>
  </si>
  <si>
    <t>BLEND 42 : 58</t>
  </si>
  <si>
    <t>MBL-2309-006</t>
  </si>
  <si>
    <t>TCM-2309-014</t>
  </si>
  <si>
    <t>TCM-2309-016</t>
  </si>
  <si>
    <t>TCM-2309-017</t>
  </si>
  <si>
    <t>BEK-2309-042</t>
  </si>
  <si>
    <t>TCM-2309-018</t>
  </si>
  <si>
    <t>Remain cargo sent to MV. CRISTAL ADMIRER</t>
  </si>
  <si>
    <t>16 Sept - 25 Sept</t>
  </si>
  <si>
    <t>TJ JATI BEK SEP #01</t>
  </si>
  <si>
    <t>IMM-2309-002</t>
  </si>
  <si>
    <t>JBG-2309-008</t>
  </si>
  <si>
    <t>BEK-2309-044</t>
  </si>
  <si>
    <t>BEK-2309-043</t>
  </si>
  <si>
    <t>BEK-2309-046</t>
  </si>
  <si>
    <t>BEK-2309-048</t>
  </si>
  <si>
    <t>BEK-2309-047</t>
  </si>
  <si>
    <t>BEK-2309-049</t>
  </si>
  <si>
    <t>BEK-2309-045</t>
  </si>
  <si>
    <t>MV. ABDUL HAMID (voy.02)</t>
  </si>
  <si>
    <t>15 Sept - 24 Sept</t>
  </si>
  <si>
    <t>SMI BEK SEP #01</t>
  </si>
  <si>
    <t>KBM-2309-005</t>
  </si>
  <si>
    <t>BEK-2309-051</t>
  </si>
  <si>
    <t>BEK-2309-052</t>
  </si>
  <si>
    <t>BEK-2309-053</t>
  </si>
  <si>
    <t>EBH-2309-001</t>
  </si>
  <si>
    <t>BEK-2309-054</t>
  </si>
  <si>
    <t>BEK-2309-055</t>
  </si>
  <si>
    <t>Remain cargo back to SMD and to bunyut port</t>
  </si>
  <si>
    <t>MV. SM HARMONY2</t>
  </si>
  <si>
    <t>12 Sept - 21 Sept</t>
  </si>
  <si>
    <t>TATA #1/2</t>
  </si>
  <si>
    <t>BEK-2309-036</t>
  </si>
  <si>
    <t>BEK-2309-032</t>
  </si>
  <si>
    <t>BEK-2309-037</t>
  </si>
  <si>
    <t>BEK-2309-033</t>
  </si>
  <si>
    <t>BBA-2309-001</t>
  </si>
  <si>
    <t>BEK-2309-038</t>
  </si>
  <si>
    <t>BEK-2309-034</t>
  </si>
  <si>
    <t>BEK-2309-035</t>
  </si>
  <si>
    <t>MV. CRYSTAL ADMIRER</t>
  </si>
  <si>
    <t>18 Sept - 27 Sept</t>
  </si>
  <si>
    <t>ENEL #3/4</t>
  </si>
  <si>
    <t>KMIA-2309-002</t>
  </si>
  <si>
    <t>BEK-2309-056</t>
  </si>
  <si>
    <t>BEK-2309-057</t>
  </si>
  <si>
    <t>TCM-2309-021</t>
  </si>
  <si>
    <t>TCM-2309-019</t>
  </si>
  <si>
    <t>TCM-2309-020</t>
  </si>
  <si>
    <t>TCM-2309-022</t>
  </si>
  <si>
    <t>Remain cargo sent to MV. BLUE WAVE</t>
  </si>
  <si>
    <t>JULY'23</t>
  </si>
  <si>
    <t>BoCT/MV. TAI HANG 1</t>
  </si>
  <si>
    <t>BBA-2307-002</t>
  </si>
  <si>
    <t>PRIMA STAR 35</t>
  </si>
  <si>
    <t>PRIMA SAKTI 36</t>
  </si>
  <si>
    <t>BoCT/MV. ALAM SAYANG</t>
  </si>
  <si>
    <t>BBA-2307-003</t>
  </si>
  <si>
    <t>TRANS 21</t>
  </si>
  <si>
    <t>TSM 21</t>
  </si>
  <si>
    <t>BoCT/MV. DE XIN HE XIE</t>
  </si>
  <si>
    <t>BBE-2307-001</t>
  </si>
  <si>
    <t>BBE-2307-002</t>
  </si>
  <si>
    <t>BoCT/MV. ALPHA MELODY</t>
  </si>
  <si>
    <t>BBE-2307-003</t>
  </si>
  <si>
    <t>BoCT/MV. ANDREA PALLADIO</t>
  </si>
  <si>
    <t>BBE-2307-005</t>
  </si>
  <si>
    <t>BoCT/MV. LING BAI</t>
  </si>
  <si>
    <t>BBE-2307-006</t>
  </si>
  <si>
    <t>BoCT/MV. LESTARI MANJUNG</t>
  </si>
  <si>
    <t>BBE-2307-007</t>
  </si>
  <si>
    <t>BoCT/MV. BULK BATAVIA</t>
  </si>
  <si>
    <t>BEK-2307-016</t>
  </si>
  <si>
    <t>BEK-2307-017</t>
  </si>
  <si>
    <t>Subs.of TB. BERAU COAL 9</t>
  </si>
  <si>
    <t>Subs.of TB. HARMONY XVIII</t>
  </si>
  <si>
    <t>BEK-2307-036</t>
  </si>
  <si>
    <t>BEK-2307-037</t>
  </si>
  <si>
    <t>Subs.with TB. KOMPAS 01 as email owner on 27 Jul</t>
  </si>
  <si>
    <t>BEK-2307-040</t>
  </si>
  <si>
    <t>Subs.to TB. FRANSISCUS 02 / BG. SATRIA LAUT 3028</t>
  </si>
  <si>
    <t>BoCT/MV. BULK BATAVIA (Voy.2)</t>
  </si>
  <si>
    <t>BEK-2307-052</t>
  </si>
  <si>
    <t>End trip at BoCT and continue to KBM</t>
  </si>
  <si>
    <t>BEK-2307-053</t>
  </si>
  <si>
    <t>Subs.of TB. FERY XXI / BG. MASADA 10</t>
  </si>
  <si>
    <t>Subs.of TB. MAHKOTA JAYA 06</t>
  </si>
  <si>
    <t>Subs.of TB. VES FAIR 10</t>
  </si>
  <si>
    <t>MV. EMERALD INDAH</t>
  </si>
  <si>
    <t>IKJ-2307-003</t>
  </si>
  <si>
    <t>End trip at MBR and continue to load at BoCT</t>
  </si>
  <si>
    <t>IKJ-2307-006</t>
  </si>
  <si>
    <t>JHN-2307-001</t>
  </si>
  <si>
    <t>JHN-2307-003</t>
  </si>
  <si>
    <t>KBM-2307-003</t>
  </si>
  <si>
    <t>KJA-2307-001</t>
  </si>
  <si>
    <t>KJA-2307-002</t>
  </si>
  <si>
    <t>Change POL to KMIA i.o BUNYUT on 04 July</t>
  </si>
  <si>
    <t>KMIA-2307-003</t>
  </si>
  <si>
    <t>KMIA-2307-004</t>
  </si>
  <si>
    <t>KMIA-2307-008</t>
  </si>
  <si>
    <t>MBL-2307-002</t>
  </si>
  <si>
    <t>MBL-2307-003</t>
  </si>
  <si>
    <t>MBL-2307-006</t>
  </si>
  <si>
    <t>MBL-2307-007</t>
  </si>
  <si>
    <t>MBL-2307-008</t>
  </si>
  <si>
    <t>MBL-2307-010</t>
  </si>
  <si>
    <t>BoCT/MV. MARIELENA</t>
  </si>
  <si>
    <t>MBL-2307-011</t>
  </si>
  <si>
    <t>Subs.of BG. PERMATA KALTIM III</t>
  </si>
  <si>
    <t>MCM-2307-001</t>
  </si>
  <si>
    <t>MCM-2307-002</t>
  </si>
  <si>
    <t>MCM-2307-003</t>
  </si>
  <si>
    <t>MCM-2307-004</t>
  </si>
  <si>
    <t>MCM-2307-005</t>
  </si>
  <si>
    <t xml:space="preserve">FERY 9 </t>
  </si>
  <si>
    <t>MCM-2307-007</t>
  </si>
  <si>
    <t>BoCT/MV. PHOENIX</t>
  </si>
  <si>
    <t>MCM-2307-008</t>
  </si>
  <si>
    <t>MCM-2307-009</t>
  </si>
  <si>
    <t>FERY 9</t>
  </si>
  <si>
    <t>MML-2307-001</t>
  </si>
  <si>
    <t>End trip at BoCT and direct to KJA</t>
  </si>
  <si>
    <t>MML-2307-002</t>
  </si>
  <si>
    <t>Subs.of TB. BISON 9</t>
  </si>
  <si>
    <t>Subs.of TB. PANCARAN 311</t>
  </si>
  <si>
    <t>DRY DOCK</t>
  </si>
  <si>
    <t>TCM-2307-024</t>
  </si>
  <si>
    <t>AUG'23</t>
  </si>
  <si>
    <t>BBA-2308-001</t>
  </si>
  <si>
    <t>TRANS 16</t>
  </si>
  <si>
    <t>TSM 16</t>
  </si>
  <si>
    <t>BoCT/MV. DA TANG 712</t>
  </si>
  <si>
    <t>BBA-2308-002</t>
  </si>
  <si>
    <t>PRIMA BAHARI 31</t>
  </si>
  <si>
    <t>TSM 1</t>
  </si>
  <si>
    <t>BBA-2308-003</t>
  </si>
  <si>
    <t>SR STAR 26</t>
  </si>
  <si>
    <t xml:space="preserve">PRIMA SAKTI 10 </t>
  </si>
  <si>
    <t>BBE-2308-001</t>
  </si>
  <si>
    <t>Subs.of TB. ALAMANDA</t>
  </si>
  <si>
    <t>BoCT/MV. NEMRUT BAY</t>
  </si>
  <si>
    <t>BBE-2308-003</t>
  </si>
  <si>
    <t>BoCT/MV. HONGCHANG</t>
  </si>
  <si>
    <t>BBE-2308-004</t>
  </si>
  <si>
    <t>BBE-2308-006</t>
  </si>
  <si>
    <t>BBE-2308-007</t>
  </si>
  <si>
    <t>BoCT/MV. MANALAGI PRITA</t>
  </si>
  <si>
    <t>BBE-2308-008</t>
  </si>
  <si>
    <t>BBE-2308-009</t>
  </si>
  <si>
    <t>BoCT/MV. MH OSLO</t>
  </si>
  <si>
    <t>BBE-2308-010</t>
  </si>
  <si>
    <t>BBE-2308-011</t>
  </si>
  <si>
    <t>Shipper TCM ; MV. THOR CALIBER</t>
  </si>
  <si>
    <t>Subs.of TB. KSA 23 ; Subs.of BG. RMN 329</t>
  </si>
  <si>
    <t>Onhire 8/5/2023  12:10:00 PM</t>
  </si>
  <si>
    <t>BEK-2308-026</t>
  </si>
  <si>
    <t>BEK-2308-027</t>
  </si>
  <si>
    <t>Subs.of BG. LINTAS SAMUDERA 88</t>
  </si>
  <si>
    <t>BREAKDOWN</t>
  </si>
  <si>
    <t>BEK-2308-047</t>
  </si>
  <si>
    <t>Subs.of KOMPAS 01 ; Info readiness by Owner at 21 Aug on 8:44 LT</t>
  </si>
  <si>
    <t>BEK-2308-052</t>
  </si>
  <si>
    <t>BEK-2308-053</t>
  </si>
  <si>
    <t>Subs.of BG. RMN 329</t>
  </si>
  <si>
    <t>End trip at JBG and continue load at JBG</t>
  </si>
  <si>
    <t>BEK-2308-075</t>
  </si>
  <si>
    <t>BEK BLEND 50 LS 50 MS</t>
  </si>
  <si>
    <t>IKJ-2308-001</t>
  </si>
  <si>
    <t>IKJ-2308-002</t>
  </si>
  <si>
    <t>JBG-MBR</t>
  </si>
  <si>
    <t>Subs.of BG. LINTAS SAMUDERA 89 ; Subs. Of BG. LINTAS SAMUDERA XVIII</t>
  </si>
  <si>
    <t>BoCT/MV. TIAN SHENG 26</t>
  </si>
  <si>
    <t>JBG-2308-003</t>
  </si>
  <si>
    <t>JBG-2308-010</t>
  </si>
  <si>
    <t>JHN-2308-001</t>
  </si>
  <si>
    <t>JHN-2308-002</t>
  </si>
  <si>
    <t>KBM-2308-002</t>
  </si>
  <si>
    <t>KBM-2308-003</t>
  </si>
  <si>
    <t>BoCT/MV. TAI HANG 3</t>
  </si>
  <si>
    <t>KBM-2308-004</t>
  </si>
  <si>
    <t>KBM-2308-005</t>
  </si>
  <si>
    <t>KBM-2308-007</t>
  </si>
  <si>
    <t>Subs.of TB. LINTAS SAMUDERA 32</t>
  </si>
  <si>
    <t>KJA-2308-001</t>
  </si>
  <si>
    <t>KJA-2308-002</t>
  </si>
  <si>
    <t>KJA-2308-003</t>
  </si>
  <si>
    <t>KJA-2308-004</t>
  </si>
  <si>
    <t>KMIA-2308-003</t>
  </si>
  <si>
    <t>KMIA-2308-004</t>
  </si>
  <si>
    <t>KMIA-2308-005</t>
  </si>
  <si>
    <t>KWA-2308-001</t>
  </si>
  <si>
    <t>MBL-2308-001</t>
  </si>
  <si>
    <t>Subs.of TB. CAHAYA SULTHAN 1468</t>
  </si>
  <si>
    <t>MBL-2308-005</t>
  </si>
  <si>
    <t>MBL-2308-007</t>
  </si>
  <si>
    <t>MBL-2308-008</t>
  </si>
  <si>
    <t>MBL-2308-009</t>
  </si>
  <si>
    <t>MCM-2308-001</t>
  </si>
  <si>
    <t>BoCT/MV. CHANG MING</t>
  </si>
  <si>
    <t>MCM-2308-002</t>
  </si>
  <si>
    <t>MCM-2308-003</t>
  </si>
  <si>
    <t>MCM-2308-004</t>
  </si>
  <si>
    <t>MCM-2308-005</t>
  </si>
  <si>
    <t>MML-2308-001</t>
  </si>
  <si>
    <t>MML-2308-002</t>
  </si>
  <si>
    <t>BoCT/MV. DONG JIANG HE</t>
  </si>
  <si>
    <t>MML-2308-003</t>
  </si>
  <si>
    <t>Finish docking</t>
  </si>
  <si>
    <t>Overtowing after completed unload at MBR ; subs of TB. GONAYA</t>
  </si>
  <si>
    <t>TCM-2308-003</t>
  </si>
  <si>
    <t>Onhire 8/16/2023  12:40:00 PM</t>
  </si>
  <si>
    <t xml:space="preserve">MV. VINCA </t>
  </si>
  <si>
    <t>KJM</t>
  </si>
  <si>
    <t>SEPT'23</t>
  </si>
  <si>
    <t>BBA-2309-002</t>
  </si>
  <si>
    <t>PRIMA STAR 57</t>
  </si>
  <si>
    <t>PRIMA SAKTI 20</t>
  </si>
  <si>
    <t>BBE-2309-001</t>
  </si>
  <si>
    <t>BBE-2309-002</t>
  </si>
  <si>
    <t xml:space="preserve">Subs.of BG. RMN 319 </t>
  </si>
  <si>
    <t>Subs.of TB. HARMONY XVI ; Subs.of TB. LINTAS SAMUDERA 116</t>
  </si>
  <si>
    <t>Subs.of TB. PRIMA STAR 51 ; Cancel overtowing on 8 Sept</t>
  </si>
  <si>
    <t>Docking</t>
  </si>
  <si>
    <t>BEK-2309-039</t>
  </si>
  <si>
    <t>BEK-2309-040</t>
  </si>
  <si>
    <t>BEK-2309-041</t>
  </si>
  <si>
    <t>BEK-2309-050</t>
  </si>
  <si>
    <t>21/9/23 9:04</t>
  </si>
  <si>
    <t>BEK-2309-058</t>
  </si>
  <si>
    <t>Change shipper from TCM to BEK on 21 Sept</t>
  </si>
  <si>
    <t>BEK-2309-059</t>
  </si>
  <si>
    <t>BEK-2309-060</t>
  </si>
  <si>
    <t>BEK-2309-061</t>
  </si>
  <si>
    <t>BEK-2309-062</t>
  </si>
  <si>
    <t>BEK-2309-064</t>
  </si>
  <si>
    <t>Subs.of TB. PRIMA STAR 51</t>
  </si>
  <si>
    <t>BEK-2309-065</t>
  </si>
  <si>
    <t>BEK-2309-066</t>
  </si>
  <si>
    <t>BEK-2309-067</t>
  </si>
  <si>
    <t>BEK-2309-068</t>
  </si>
  <si>
    <t>BEK-2309-069</t>
  </si>
  <si>
    <t>BEK-2309-070</t>
  </si>
  <si>
    <t>BEK-2309-071</t>
  </si>
  <si>
    <t>BMM-2309-001</t>
  </si>
  <si>
    <t>BMM-2309-002</t>
  </si>
  <si>
    <t>BoCT/MV. PABAL</t>
  </si>
  <si>
    <t>EBH-2309-002</t>
  </si>
  <si>
    <t>IMM-BoCT</t>
  </si>
  <si>
    <t>JHN-2309-001</t>
  </si>
  <si>
    <t>ARTHA KALTIM 01</t>
  </si>
  <si>
    <t>ASK VIII</t>
  </si>
  <si>
    <t>BoCT/MV. HC ENERGY</t>
  </si>
  <si>
    <t>JHN-2309-002</t>
  </si>
  <si>
    <t>PUTRA RUPAT III</t>
  </si>
  <si>
    <t>MAJESTIC 3002</t>
  </si>
  <si>
    <t>KBM-2309-001</t>
  </si>
  <si>
    <t>KBM-2309-004</t>
  </si>
  <si>
    <t>KBM-2309-006</t>
  </si>
  <si>
    <t>KJA-2309-001</t>
  </si>
  <si>
    <t>KJA-2309-002</t>
  </si>
  <si>
    <t>Change POL to KJA i.o BUNYUT on 9 Sept</t>
  </si>
  <si>
    <t>KMIA-2309-001</t>
  </si>
  <si>
    <t>KMIA-2309-003</t>
  </si>
  <si>
    <t>BoCT/MV. OCEAN HAPPY</t>
  </si>
  <si>
    <t>KWA-2309-001</t>
  </si>
  <si>
    <t>LINTAS SAMUDERA 60</t>
  </si>
  <si>
    <t>LINTAS SAMUDERA 69</t>
  </si>
  <si>
    <t>Subs.of TB. LINTAS SAMUDERA 53 / BG. LINTAS SAMUDERA XXIX</t>
  </si>
  <si>
    <t>KWA-2309-002</t>
  </si>
  <si>
    <t>Change POL to KWA i.o Bunyut on 20 Sept</t>
  </si>
  <si>
    <t>MBL-2309-002</t>
  </si>
  <si>
    <t>BoCT/MV. HOANH SON GALAXY</t>
  </si>
  <si>
    <t>MBL-2309-003</t>
  </si>
  <si>
    <t>MBL-2309-004</t>
  </si>
  <si>
    <t>MBL-2309-005</t>
  </si>
  <si>
    <t>MBL-2309-007</t>
  </si>
  <si>
    <t>MBL-2309-008</t>
  </si>
  <si>
    <t>MBL-2309-009</t>
  </si>
  <si>
    <t>MBL-2309-010</t>
  </si>
  <si>
    <t>MBL-2309-011</t>
  </si>
  <si>
    <t>Change shipper from BEK to MBL on 27 due to royalty issue</t>
  </si>
  <si>
    <t>BoCT/MV. CHORUS</t>
  </si>
  <si>
    <t>MBL-2309-012</t>
  </si>
  <si>
    <t>MCM-2309-001</t>
  </si>
  <si>
    <t>MCM-2309-002</t>
  </si>
  <si>
    <t>SWISCO 181</t>
  </si>
  <si>
    <t>MCM-2309-003</t>
  </si>
  <si>
    <t>BLORO 33</t>
  </si>
  <si>
    <t>MCM-2309-004</t>
  </si>
  <si>
    <t>GILANG PERKASA</t>
  </si>
  <si>
    <t>MCM-2309-005</t>
  </si>
  <si>
    <t>BoCT/MV. TRAMP LADY</t>
  </si>
  <si>
    <t>MCM-2309-006</t>
  </si>
  <si>
    <t>MCM-2309-007</t>
  </si>
  <si>
    <t>MCM-2309-008</t>
  </si>
  <si>
    <t>BoCT/MV. CHAILEASE BRIGHT</t>
  </si>
  <si>
    <t>MCM-2309-009</t>
  </si>
  <si>
    <t>BIG FAIR MT 5</t>
  </si>
  <si>
    <t>ROBBY 211</t>
  </si>
  <si>
    <t>MCM-2309-010</t>
  </si>
  <si>
    <t>MCM-2309-011</t>
  </si>
  <si>
    <t>CANDRA A1</t>
  </si>
  <si>
    <t>DHAMMA PARAMITHA</t>
  </si>
  <si>
    <t>MML-2309-001</t>
  </si>
  <si>
    <t>MML-2309-002</t>
  </si>
  <si>
    <t>MML-2309-003</t>
  </si>
  <si>
    <t>TCM-2309-023</t>
  </si>
  <si>
    <t>TCM-2309-024</t>
  </si>
  <si>
    <t>TCM-2309-025</t>
  </si>
  <si>
    <t>TCM-2309-026</t>
  </si>
  <si>
    <t>TCM-2309-027</t>
  </si>
  <si>
    <t>TCM BLEND LS 50 HS 50</t>
  </si>
  <si>
    <t>Change shipper to TCM i.o BEK on 23 due to MOMS server failed</t>
  </si>
  <si>
    <t>BEK-2309-063</t>
  </si>
  <si>
    <t>TCM-2309-028</t>
  </si>
  <si>
    <t> </t>
  </si>
  <si>
    <t>EBH-2312-004</t>
  </si>
  <si>
    <t>MBL-2312-010</t>
  </si>
  <si>
    <t>MBL-2312-011</t>
  </si>
  <si>
    <t>LINTAS SAMUDERA VIII</t>
  </si>
  <si>
    <t>BBS-2312-002</t>
  </si>
  <si>
    <t>BBS</t>
  </si>
  <si>
    <t>MML-2312-003</t>
  </si>
  <si>
    <t>IMM-2312-???</t>
  </si>
  <si>
    <t>CAHAYA SULTAN 1468</t>
  </si>
  <si>
    <t>MBL-2312-???</t>
  </si>
  <si>
    <t>KPM-2312-???</t>
  </si>
  <si>
    <t>KPM</t>
  </si>
  <si>
    <t>MCM-2312-???</t>
  </si>
  <si>
    <t>SUPER STAR 5</t>
  </si>
  <si>
    <t>SUMBER SAMUDERA 05</t>
  </si>
  <si>
    <t>QYT</t>
  </si>
  <si>
    <t>FLF NOMINATE</t>
  </si>
  <si>
    <t>AGENT INFO</t>
  </si>
  <si>
    <t>VESSEL INFO</t>
  </si>
  <si>
    <t>ITM INFO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</si>
  <si>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</si>
  <si>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</si>
  <si>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</si>
  <si>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</si>
  <si>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</si>
  <si>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</si>
  <si>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</si>
  <si>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</si>
  <si>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</si>
  <si>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</si>
  <si>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</si>
  <si>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</si>
  <si>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JUN'23</t>
  </si>
  <si>
    <t>JUL'23</t>
  </si>
  <si>
    <t>OCT'23</t>
  </si>
  <si>
    <t>NOV'23</t>
  </si>
  <si>
    <t>JAN'24</t>
  </si>
  <si>
    <t>NO.</t>
  </si>
  <si>
    <t>Month</t>
  </si>
  <si>
    <t>LAYCAN</t>
  </si>
  <si>
    <t>VESSEL</t>
  </si>
  <si>
    <t>DEST.</t>
  </si>
  <si>
    <t>TA</t>
  </si>
  <si>
    <t>Commenced
Loading</t>
  </si>
  <si>
    <t>Completed
Loading</t>
  </si>
  <si>
    <t>EMJ</t>
  </si>
  <si>
    <t>PSB</t>
  </si>
  <si>
    <t>SOS</t>
  </si>
  <si>
    <t>STOWAGE 
PLAN</t>
  </si>
  <si>
    <t>ACTUAL LOADED</t>
  </si>
  <si>
    <t>DEM            DES ($/DAY)</t>
  </si>
  <si>
    <t>LOADING FACILITIES</t>
  </si>
  <si>
    <t>AGENCY</t>
  </si>
  <si>
    <t>APPOINT</t>
  </si>
  <si>
    <t>STWD PLAN</t>
  </si>
  <si>
    <t>Time Received SP</t>
  </si>
  <si>
    <t>DWT</t>
  </si>
  <si>
    <t>TYPE OF VESSEL</t>
  </si>
  <si>
    <t>LOADING PLAN</t>
  </si>
  <si>
    <t>BARGE SCHEDULE</t>
  </si>
  <si>
    <t>DRAFT SPK &amp; ROYALTY</t>
  </si>
  <si>
    <t>ROYALTY PAYMENT</t>
  </si>
  <si>
    <t>REMARK</t>
  </si>
  <si>
    <t>Samarinda</t>
  </si>
  <si>
    <t>Indonesia Port</t>
  </si>
  <si>
    <t>COMPLETED</t>
  </si>
  <si>
    <t>ROCTREE</t>
  </si>
  <si>
    <t>RFS</t>
  </si>
  <si>
    <t>Subs.of MV. MUTIA BARUNA on 23 Dec</t>
  </si>
  <si>
    <t>IDT</t>
  </si>
  <si>
    <t>Additional vessel on 15 Dec</t>
  </si>
  <si>
    <t>China Port</t>
  </si>
  <si>
    <t>SHIPLOADER</t>
  </si>
  <si>
    <t>SSI</t>
  </si>
  <si>
    <t>Additional vessel on 21 Nov ; Subs.of MV. HC UNITY on 30 Dec</t>
  </si>
  <si>
    <t>Philippines Port</t>
  </si>
  <si>
    <t>BEN</t>
  </si>
  <si>
    <t>Change POL to BoCT i/o MBR on 14 Nov ; Subs.of MV. MAGIC VENUS on 16 Dec</t>
  </si>
  <si>
    <t>3&amp;4</t>
  </si>
  <si>
    <t>Subs.of MV. MUTIA BARUNA on 23 Dec ; Revised stowage plan from 71,500 MT on 8 Jan</t>
  </si>
  <si>
    <t>Revised stowage plan to 72,000 MT i.o 71,000 MT on 19 Jan</t>
  </si>
  <si>
    <t>India Port</t>
  </si>
  <si>
    <t>Japan Port</t>
  </si>
  <si>
    <t>Subs.of MV. MEDI SERAPO on 16 Jan ; Subs. Of MV. FIRST D'YQUEM on 18 Jan ; Revised stowage plan original 67106 MT on 21 Jan</t>
  </si>
  <si>
    <t>Change POL to BoCT i/o SMD on 12 Jan ; Subs.of MV. HUA YANG CHUAN QI on 16 Jan</t>
  </si>
  <si>
    <t>2&amp;3</t>
  </si>
  <si>
    <t>ITL</t>
  </si>
  <si>
    <t>Subs.of MV. LUMOSO LESTARI on 20 Jan</t>
  </si>
  <si>
    <t>1&amp;3</t>
  </si>
  <si>
    <t>Change POL to BoCT i/o SMD on 26 Jan</t>
  </si>
  <si>
    <t>additional vessel as of SOS on 27 Jan</t>
  </si>
  <si>
    <t>JBGAnchorage</t>
  </si>
  <si>
    <t>Thailand Port</t>
  </si>
  <si>
    <t>TSC</t>
  </si>
  <si>
    <t>Subs.of MV. CL ALICE ; Back to MV. CL ALICE i.o MV. ILIANA on 27 Jan</t>
  </si>
  <si>
    <t>2&amp;4</t>
  </si>
  <si>
    <t>Swap FLF nominate to RT i.o PNTS on 9 Feb</t>
  </si>
  <si>
    <t>Hong Kong Port</t>
  </si>
  <si>
    <t>Subs.of MV. CSK UNITY (DUMMY) on 7 Feb ; Swap FLF nominate to PNTS i.o RT on 9 Feb</t>
  </si>
  <si>
    <t>Additional vessel on 2 Feb ; Change naming MASINLOC FEB #PROSPECT on 6 Feb</t>
  </si>
  <si>
    <t>Swap FLF Nominate to PNTS i.o RT on 9 Feb</t>
  </si>
  <si>
    <t>Change shipper to BEK i.o TCM on 2 Feb ; Change naming SMEC 4/4 ; Subs.of MAGIC ARGO on 11 Feb</t>
  </si>
  <si>
    <t>Subs.of MV. HAKUYO on 7 Feb ; Subs. Of MV. AMABIE SALUTE on 8 Feb</t>
  </si>
  <si>
    <t>OJMI</t>
  </si>
  <si>
    <t>Changed laycan i.o 17-26 Dec ; Changed POL to MBR i.o BoCT on 13 Feb</t>
  </si>
  <si>
    <t>Additional vessel on 2 Feb ; change naming SHENHUA 5500NAR FEB #PROSPECT ; Revised stowage plan i.o 75,800 mt on 21 Feb</t>
  </si>
  <si>
    <t>1&amp;2</t>
  </si>
  <si>
    <t>Subs.of MV. MAGIC ARGO (DUMMY) on 27 Feb</t>
  </si>
  <si>
    <t>Laycan changed i.o 23 Feb-4 Mar on 23 Feb ; Renaming from SMI BEK #2/3 on 2 Mar</t>
  </si>
  <si>
    <t>Subs. Of MV. CUMBRIA (DUMMY) on 24 Feb ; revised stowage plan from 54450 MT on 02 Mar</t>
  </si>
  <si>
    <t>Subs.of MV. BRILLIANT SAKURA on 8 Mar</t>
  </si>
  <si>
    <t>TJ JATI BEK MAR #SPOT</t>
  </si>
  <si>
    <t>Tj. Jati Port</t>
  </si>
  <si>
    <t>Subs.of MV. PRIMA ANDALAN I on 1 Mar ; revised laycan i.o 4-13 Mar</t>
  </si>
  <si>
    <t>Italy Port</t>
  </si>
  <si>
    <t>Subs. Of MV. LIVIA ROSE on 2 Mar</t>
  </si>
  <si>
    <t>Change shipper to TCM i.o BEK on 16 Feb ; Laycan changed I.o 6-12 ; Laycan changed i.o 9-15 Mar ; Subs. Of MV. LUMOSO KARUNIA VIII on 8 Mar</t>
  </si>
  <si>
    <t>PENASCOP</t>
  </si>
  <si>
    <t>Subs.of MV. LUMOSO ALAM on 9 Mar</t>
  </si>
  <si>
    <t>Tonnage changed i.o 35,000 MT ; Change laycan original plan 6-17 Feb ; Subs.of MV. ALIYAH PERTIWI on 15 Mar</t>
  </si>
  <si>
    <t>Subs.of MV. CSSC SHI JIA ZHUANG on 7 Mar</t>
  </si>
  <si>
    <t xml:space="preserve">Subs.of MV. APOLLON on 14 Mar ; Swap vessel nominate from MV. HC SUNSHINE ; Revised stowage plan from 74,000 MT on 18 Mar </t>
  </si>
  <si>
    <t>1&amp;4</t>
  </si>
  <si>
    <t>Renaming from SMI BEK #3/3</t>
  </si>
  <si>
    <t>Swap vessel nominate from MV. YI PENG 5</t>
  </si>
  <si>
    <t>Laycan changed to 11-20 Apr i.o 7-16 Apr ; Swap FLF to RT i.o PNTS on 6 Apr</t>
  </si>
  <si>
    <t>swap FLF to PNTS i.o RT on 6 Apr</t>
  </si>
  <si>
    <t>Subs.of MV. OCEAN RHEA on 29 Mar</t>
  </si>
  <si>
    <t>Taiwan Port</t>
  </si>
  <si>
    <t>Subs.of MV. NORD PENGUIN (Dummy) on 03 Apr</t>
  </si>
  <si>
    <t>Subs.of MV. RONG YUAN on 4 Apr ; Subs. Of MV. HE YUAN on 5 Apr</t>
  </si>
  <si>
    <t>Subs.of MV. AKIJ STAR on 5 Apr</t>
  </si>
  <si>
    <t>EBP</t>
  </si>
  <si>
    <t>MV. THERESA PRIDE</t>
  </si>
  <si>
    <t>SCGP #SPOT</t>
  </si>
  <si>
    <t>Subs.of MV. CP NANJING on 5 Apr</t>
  </si>
  <si>
    <t>WSS</t>
  </si>
  <si>
    <t>Subs.of MV. CEDRIC OLDENDORFF on 17 Apr</t>
  </si>
  <si>
    <t>Subs.of MV. EVANGELIA on 12 Apr ; Swap FLF from PNTS on 18 Apr</t>
  </si>
  <si>
    <t>Subs.of MV. CL ALICE on 14 Apr ; Swap FLF from RT on 18 Apr ; Swap load facilities to Stevedore i.o PNTS</t>
  </si>
  <si>
    <t xml:space="preserve">Laycan changed i.o 17-26 Apr ; Subs. Of MV. MAGIC ARGO on 15 Apr </t>
  </si>
  <si>
    <t>RDA</t>
  </si>
  <si>
    <t>Additional on 27 Mar</t>
  </si>
  <si>
    <t>Subs.of MV. CSSC SHI JIA ZHUANG on 18 Apr</t>
  </si>
  <si>
    <t>&amp;3</t>
  </si>
  <si>
    <t>Subs. Of MV. MAGIC ARGO on 27 Apr</t>
  </si>
  <si>
    <t>Additional on 31 Mar ; Subs. Of MV. RUBY INDAH on 26 Apr</t>
  </si>
  <si>
    <t>APOL</t>
  </si>
  <si>
    <t>Subs.of MV. S’HAIL AL WAJBAH on 26 Apr ; Subs.of MV. NAVIOS ALDEBARAN</t>
  </si>
  <si>
    <t>Changed laycan i.o 7-16 May ; Subs.of MV. LUMOSO BERKAT on 10 May</t>
  </si>
  <si>
    <t xml:space="preserve">Changed POL to BoCT i.o SMD on 05 May ; Subs. Of MV. LUMOSO PROSPER </t>
  </si>
  <si>
    <t>Subs,of MV. S'HAIL AL RAYAN on 5 May ; Subs.of MV. HONOR STAR on 10 May ; Changed FLF to MERANTI i.o PNTS</t>
  </si>
  <si>
    <t>2&amp;5</t>
  </si>
  <si>
    <t>Subs.of MV. BULK BATAVIA on 01 May ; Laycan changed 22-31 May ; Subs.of MV. MANALAGI PRITA ; Changed loading facilities to RT i.o PNTS</t>
  </si>
  <si>
    <t>Subs.of MV. DELPHINUS</t>
  </si>
  <si>
    <t>Vietnam Port</t>
  </si>
  <si>
    <t>Subs. Of MV. XING ZHI HAI</t>
  </si>
  <si>
    <t>Subs.of MV. CMB PERMEKE (Dummy)</t>
  </si>
  <si>
    <t>Subs.of MV. ARCADIA SALUTE</t>
  </si>
  <si>
    <t>Subs.of MV. MAGIC THUNDER</t>
  </si>
  <si>
    <t>KMI</t>
  </si>
  <si>
    <t>Swap FLF nominated to PNTS i.o RT on 15 Jun</t>
  </si>
  <si>
    <t>APOLLO-MARA-APOLLO</t>
  </si>
  <si>
    <t>Subs.of MV. KARTINI SAMUDRA</t>
  </si>
  <si>
    <t>Changed FLF nominated to RT i.o PNTS</t>
  </si>
  <si>
    <t>Subs.of MV. KARTINI BARUNA</t>
  </si>
  <si>
    <t>Subs.of MV. PENTA ; Subs.of MV. BEST UNITY</t>
  </si>
  <si>
    <t xml:space="preserve">MV. CHAILEASE GLORY </t>
  </si>
  <si>
    <t>XINDIAN BAI GUI #3/7 (4450NAR)</t>
  </si>
  <si>
    <t>Changed laycan from 20 Jun - 03 Jul</t>
  </si>
  <si>
    <t>Subs.of MV. TRIDENT STAR</t>
  </si>
  <si>
    <t xml:space="preserve">MERANTI </t>
  </si>
  <si>
    <t>Subs.of MV. VICTORIA I ; Swap Load Fac. To MERANTI i.o RT on 30 Jun</t>
  </si>
  <si>
    <t>Subs.of MV. PENTA (DUMMY)</t>
  </si>
  <si>
    <t>Swap FLF to PNTS i.o RT on 7 Jul</t>
  </si>
  <si>
    <t>TEM</t>
  </si>
  <si>
    <t>Subs.of MV. GLOBAL EFFORT (DUMMY) ; Subs.of MV. PENGHU SW</t>
  </si>
  <si>
    <t>Subs. Of MV. CEMTEX DILIGENCE ; Subs.of MV. VALADON ; Revised stowage plan from 67150 MT i.o 67450 MT</t>
  </si>
  <si>
    <t>3&amp;5</t>
  </si>
  <si>
    <t>4&amp;6</t>
  </si>
  <si>
    <t>Swap FLF to RT i.o PNTS on 7 Jul : Revised stowage plan to 105,300 i.o 106,300 MT on 7 Jul</t>
  </si>
  <si>
    <t>Swap FLF to RT i.o PNTS on 13 Jul</t>
  </si>
  <si>
    <t>MV. LUCKY JULIA</t>
  </si>
  <si>
    <t>XINDIAN BAI GUI #4/7 (4450NAR)</t>
  </si>
  <si>
    <t>Subs.of MV. MANALAGI ASTI</t>
  </si>
  <si>
    <t>Subs.of MV. LUMOSO KARUNIA IX</t>
  </si>
  <si>
    <t>Subs.of MV. LUMOSO ALAM ; Subs. Of MV. HABCO CARINA</t>
  </si>
  <si>
    <t>Swap FLF to PNTS i.o RT on 13 Jul</t>
  </si>
  <si>
    <t>MV. ALAM SAYANG</t>
  </si>
  <si>
    <t>SCGP #1/2</t>
  </si>
  <si>
    <t>Subs.of MV. THERESA HEBEI</t>
  </si>
  <si>
    <t>Subs.of MV. SHIN SANYO MARU</t>
  </si>
  <si>
    <t>Change shipper to TCM i.o BEK on 24 Jul ; Change shipper to BEK i.o TCM on 27 Jul</t>
  </si>
  <si>
    <t>PLN Port</t>
  </si>
  <si>
    <t>CQD</t>
  </si>
  <si>
    <t>Postpone to Jul ; Subs.of MV. EMERALD INDAH on 3 Aug</t>
  </si>
  <si>
    <t>Subs.of MV. CMB PERMEKE (DUMMY)</t>
  </si>
  <si>
    <t>Subs.of MV. MAGIC THUNDER on 31 Jul</t>
  </si>
  <si>
    <t>MV. MARIELENA</t>
  </si>
  <si>
    <t>XINDIAN BAI GUI #5/7 (4450NAR)</t>
  </si>
  <si>
    <t>As subs.of MV. PENTA (DUMMY)</t>
  </si>
  <si>
    <t>Subs.of MV. AKIRA SUN on 29 Jul</t>
  </si>
  <si>
    <t>Change shipper to TCM i.o BEK on 24 Jul</t>
  </si>
  <si>
    <t>Revised stowage plan i.o 104,987 MT on 13 Aug</t>
  </si>
  <si>
    <t>Subs.of MV. YANGTZE BRIGHTNESS on 01 Aug</t>
  </si>
  <si>
    <t>Revised laycan 14-23 Aug</t>
  </si>
  <si>
    <t>Subs.of MV. OINOUSSIAN COURAGE (DUMMY) on 10 Aug</t>
  </si>
  <si>
    <t>Subs.of MV. DELPHINUS on 15 Aug</t>
  </si>
  <si>
    <t>Subs.of MV. YM ENDEAVOUR on 15 Aug</t>
  </si>
  <si>
    <t>Additional vessel SOS 21 Jul ; Subs.of MV. XIN HAN on 16 Aug</t>
  </si>
  <si>
    <t>Revised laycan 29 Aug - 07 Sept</t>
  </si>
  <si>
    <t>Change load facilities to MERANTI i.o Rocktree on 8 Sept</t>
  </si>
  <si>
    <t>MV. PHOENIX</t>
  </si>
  <si>
    <t>SHENHUA 4450NAR #MO</t>
  </si>
  <si>
    <t>Subs.of MV. PENTA on 30 Aug ; Subs.of MV. RUI NING 22 on 5 Sept</t>
  </si>
  <si>
    <t>Changed laycan i.o 24 Aug - 02 Sep, Change Load Facilities to WHS Iskandar i.o Rocktree on 1 Sept ; Subs.of MV. PRIMA ANDALAN I on 4 Sept</t>
  </si>
  <si>
    <t>Subs.of MV. MDM BROMO on 30 Aug ; Subs.of MV. MDM BATUR on 5 Sept</t>
  </si>
  <si>
    <t>XINDIAN BAI GUI #6/7 (4450NAR)</t>
  </si>
  <si>
    <t>&amp;2</t>
  </si>
  <si>
    <t>Revised laycan from original 05-11 Sept ; Subs.of MV. LUMOSO HAWARI on 7 Sept</t>
  </si>
  <si>
    <t>Revised laycan from original 9-18 Sept</t>
  </si>
  <si>
    <t>Subs.of MV. HABCO AQUILA on 16 Sept</t>
  </si>
  <si>
    <t>2&amp;4&amp;6</t>
  </si>
  <si>
    <t>Changed POL to BoCT i.o SMD on 31 Aug</t>
  </si>
  <si>
    <t>SUKAMARU BERLIAN SHIPPING</t>
  </si>
  <si>
    <t>TOSOH #04</t>
  </si>
  <si>
    <t>KOBE #4/8</t>
  </si>
  <si>
    <t>Subs.of MV. ARPEGGIO on 11 Sept ; Subs.of MV. KM HONGKONG on 13 Sept</t>
  </si>
  <si>
    <t>1&amp;5</t>
  </si>
  <si>
    <t>SMI BEK 5600GAR SEP #02</t>
  </si>
  <si>
    <t>Added 1 shipment on 24 Aug ; Subs.of MV. GOLDEN REJEKI on 20 Sept ; Swap from RT on 7 Oct due to PTB Issue</t>
  </si>
  <si>
    <t>MV. CHORUS</t>
  </si>
  <si>
    <t>SHENHUA 5200NAR #2/6</t>
  </si>
  <si>
    <t>Change shipper to EBP i.o BEK on 18 Sept ; Change POL to BoCT i.o Samarinda ; Subs.of MV. YUE FAN on 27 Sept</t>
  </si>
  <si>
    <t>MV. WELPROFIT</t>
  </si>
  <si>
    <t>THERMA LUZON #2/2</t>
  </si>
  <si>
    <t>MV. CORONA BRAVE</t>
  </si>
  <si>
    <t>TOKUYAMA #01</t>
  </si>
  <si>
    <t>Change naming TOKUYAMA OCT #PROSPECT</t>
  </si>
  <si>
    <t>MV. CAMELLIA ISLAND</t>
  </si>
  <si>
    <t>EPDC #2/6</t>
  </si>
  <si>
    <t>Change shipper to TCM i.o BEK on 21 Aug</t>
  </si>
  <si>
    <t>MV. QI HONG</t>
  </si>
  <si>
    <t>GLOW # 07</t>
  </si>
  <si>
    <t>Subs.of MV. THOR CALIBER (dummy) on 5 Oct</t>
  </si>
  <si>
    <t>MV. TRAMP LADY</t>
  </si>
  <si>
    <t>XINDIAN BAI GUI #MO (4450NAR)</t>
  </si>
  <si>
    <t>Change laycan i.o 4-13 Oct on 25 Sept ; Subs.of MV. ASPASIA LUCK on 04 Oct</t>
  </si>
  <si>
    <t>MV. PEACE GARDEN</t>
  </si>
  <si>
    <t>SHENHUA 5200NAR #3/6</t>
  </si>
  <si>
    <t>10/21/23 08:30</t>
  </si>
  <si>
    <t>ZEUS-APOLLO</t>
  </si>
  <si>
    <t>Subs.of MV. GH POWER on 6 Oct</t>
  </si>
  <si>
    <t>MV. HARAMACHI MARU</t>
  </si>
  <si>
    <t>TOHOKU #2/4</t>
  </si>
  <si>
    <t>SMI BEK 5600GAR OCT #01</t>
  </si>
  <si>
    <t>Change laycan i.o 14-23 Oct ; Change load facilities i.o WHS Iskandar on 13 Oct</t>
  </si>
  <si>
    <t>TJ JATI BEK OCT #01</t>
  </si>
  <si>
    <t>Change laycan i.o 4-13 Oct on 2 Oct ; Change laycan i.o 9-18 Oct on 6 Oct ; Subs.of MV. LUMOSO PRATAMA on 11 Oct ; Change load facilities i.o RT on 13 Oct</t>
  </si>
  <si>
    <t>MV. CHAILEASE BRIGHT</t>
  </si>
  <si>
    <t>XINDIAN BAI GUI #7/7 (4450NAR)</t>
  </si>
  <si>
    <t>Changed shipper to EBP i.o IMM on 14 Sept ; Subs.of MV. HOANH SON GALAXY on 11 OCT ; Subs.of MV. LONG SHAN HU on 11 Oct</t>
  </si>
  <si>
    <t>MV. KAYSAN</t>
  </si>
  <si>
    <t>SMI BEK OCT #01</t>
  </si>
  <si>
    <t>Change laycan i.o 17-26 Oct on 12 Oct ; Change naming i.o SMI BEK 5600GAR OCT #02 on 12 Oct</t>
  </si>
  <si>
    <t>ZHEJIANG 5500NAR #5/6</t>
  </si>
  <si>
    <t>Change laycan i.o 10-19 Oct on 2 Oct</t>
  </si>
  <si>
    <t>MV. LUMOSO BERKAT</t>
  </si>
  <si>
    <t>SMI BEK 5600GAR OCT #02</t>
  </si>
  <si>
    <t>Change naming i.o SMI BEK OCT #01 on 12 Oct ; Revised laycan from 23 Oct - 01 Nov ; Subs.of MV. SAMI on 23 Oct</t>
  </si>
  <si>
    <t>Nov</t>
  </si>
  <si>
    <t>MV. SENTOSA CHALLENGER</t>
  </si>
  <si>
    <t>TATA #2/2</t>
  </si>
  <si>
    <t>Revised stowage plan i.o 73850 MT on 31 Oct</t>
  </si>
  <si>
    <t>MV. W-JADE</t>
  </si>
  <si>
    <t>HKE #1/3</t>
  </si>
  <si>
    <t>SUbs.of MV. PHOENIX on 23 Oct</t>
  </si>
  <si>
    <t>TJ JATI BEK OCT #02</t>
  </si>
  <si>
    <t>Change laycan i.o 8-7 Oct on 2 Oct ; Subs.of MV. KARTINI SAMUDERA on 17 Oct</t>
  </si>
  <si>
    <t>FREEPORT #6/8</t>
  </si>
  <si>
    <t>Changed load fac. from RT on 1 Nov due to slot availibility</t>
  </si>
  <si>
    <t>TOSOH #05</t>
  </si>
  <si>
    <t>MV. OCEAN BAO</t>
  </si>
  <si>
    <t>EWR #2/2 (5200NAR TS 1.7%)</t>
  </si>
  <si>
    <t>MV. HUAYANG DREAM</t>
  </si>
  <si>
    <t>JOBAN #2/4</t>
  </si>
  <si>
    <t>MV. E.R. BRISTOL</t>
  </si>
  <si>
    <t>SCGP #2/2</t>
  </si>
  <si>
    <t>MV. ENERGY SUNRISE</t>
  </si>
  <si>
    <t>THERMA LUZON #MO</t>
  </si>
  <si>
    <t>MV. IKAN PARANG</t>
  </si>
  <si>
    <t>GLOW # 08</t>
  </si>
  <si>
    <t>7&amp;9</t>
  </si>
  <si>
    <t>MV. MSXT HELEN</t>
  </si>
  <si>
    <t>KANSAI #3/4</t>
  </si>
  <si>
    <t>Subs.of MV. MEDI NEWPORT on 24 Oct</t>
  </si>
  <si>
    <t>SMI BEK 5600GAR NOV #01</t>
  </si>
  <si>
    <t>MV. THOR ACHIEVER</t>
  </si>
  <si>
    <t>SHENHUA 5200NAR #4/6</t>
  </si>
  <si>
    <t>Subs.of MV. ALPHA AFOVOS on 3 Nov ; Revised stowage plan i.o 55,180 mt on 22 Nov</t>
  </si>
  <si>
    <t>MV. XIAO MAY</t>
  </si>
  <si>
    <t>MV. GOLDEN ACE</t>
  </si>
  <si>
    <t>SMI BEK 5600GAR NOV #02</t>
  </si>
  <si>
    <t>MV. ORIENTAL PROMOTION</t>
  </si>
  <si>
    <t>Revised stowage plan i.o 72185MT on 24 Nov</t>
  </si>
  <si>
    <t>MV. MANALAGI PRITA</t>
  </si>
  <si>
    <t>TJ JATI BEK NOV #01</t>
  </si>
  <si>
    <t>Subs.of MV. PRIMA ANDALAN I on 20 Nov ; Change load facitilies i.o RT on 23 Nov</t>
  </si>
  <si>
    <t>MV. CORONA NATURE</t>
  </si>
  <si>
    <t>EPDC #3/6</t>
  </si>
  <si>
    <t>DEC'23</t>
  </si>
  <si>
    <t>MV. JIN NING 77</t>
  </si>
  <si>
    <t>SHENHUA 5200NAR #5/6</t>
  </si>
  <si>
    <t>MV. BULK BATAVIA (voy.02)</t>
  </si>
  <si>
    <t>TJ JATI BEK NOV #02</t>
  </si>
  <si>
    <t>Subs. of MV. LUMOSO PRATAMA on 20 Nov</t>
  </si>
  <si>
    <t>Dec</t>
  </si>
  <si>
    <t>MV. YIN ZHU HAI</t>
  </si>
  <si>
    <t>HKE #2/2</t>
  </si>
  <si>
    <t>Subs.of MV. W-JADE (DUMMY) on 22 Nov ; change loading faciilities i.o Iskandar on 30 Nov</t>
  </si>
  <si>
    <t>TOSOH #06</t>
  </si>
  <si>
    <t>Changed loading port i.o MBR on 24 Nov</t>
  </si>
  <si>
    <t>GCNS #01</t>
  </si>
  <si>
    <t>Advanced to Nov i.o Dec on 26 Oct</t>
  </si>
  <si>
    <t>MV. KOBE GLORIA</t>
  </si>
  <si>
    <t>NIPPON PAPER #2/2</t>
  </si>
  <si>
    <t>MV. BULK NUSANTARA</t>
  </si>
  <si>
    <t>SMI BEK 5600GAR DEC #01</t>
  </si>
  <si>
    <t>MV. CALYPSO N</t>
  </si>
  <si>
    <t>TOKUYAMA #02</t>
  </si>
  <si>
    <t>Subs.of MV. PARADISE ISLAND on 24 Nov</t>
  </si>
  <si>
    <t>MV. TM LUSTROUS</t>
  </si>
  <si>
    <t>SUAL POWER #1/12</t>
  </si>
  <si>
    <t>Change load fac. i.o Rocktree on 30 Nov</t>
  </si>
  <si>
    <t>XINDIAN BAI GUI SPOT #01 (4450NAR)</t>
  </si>
  <si>
    <t>MV. VERDURE WAVE</t>
  </si>
  <si>
    <t>HOKURIKU #2/4</t>
  </si>
  <si>
    <t>MV. QI FAN LUN</t>
  </si>
  <si>
    <t>ZHEJIANG 5500NAR #6/6</t>
  </si>
  <si>
    <t>Change load fac. i.o PNTS on 12 Dec</t>
  </si>
  <si>
    <t>MV. DRY TRANSPORT</t>
  </si>
  <si>
    <t>GCNS #02</t>
  </si>
  <si>
    <t>Change shipper i.o BEK on 11 Dec ; Change naming i.o SMI BEK 5600GAR DEC #02 on 14 Dec</t>
  </si>
  <si>
    <t>MV. DOLPHIN 76</t>
  </si>
  <si>
    <t>Additional shipment on 20 Nov ; Change load facilities i.o RT on 12 Dec</t>
  </si>
  <si>
    <t>XINDIAN BAI GUI 4450 #SPOT</t>
  </si>
  <si>
    <t>12/25/23 20:01</t>
  </si>
  <si>
    <t>Subs.of MV. MYKONOS WAVE on 7 Dec</t>
  </si>
  <si>
    <t>MV. KATAGALAN WISDOM III</t>
  </si>
  <si>
    <t>JERA #4/7</t>
  </si>
  <si>
    <t>ORIENJASA</t>
  </si>
  <si>
    <t>Changed loading port i.o MBR on 19 Dec</t>
  </si>
  <si>
    <t>TJ JATI BEK DEC #01</t>
  </si>
  <si>
    <t>Subs.of MV. KARTINI BARUNA on 11 Dec</t>
  </si>
  <si>
    <t>SMI BEK 5600GAR DEC #02</t>
  </si>
  <si>
    <t>Laycan changed i.o 26 Dec - 04 Jan on 14 Dec ; Change shipper i.o TCM on 14 Dec</t>
  </si>
  <si>
    <t>MV. PARASKEVI 2</t>
  </si>
  <si>
    <t>KOBE #5/8</t>
  </si>
  <si>
    <t>Change laycan i.o 16-30 Dec on 13 Nov ; Subs.of MV. ARGO WIND on 13 Dec</t>
  </si>
  <si>
    <t>ZHEJIANG 5500NAR #01</t>
  </si>
  <si>
    <t>1/3/24 AM</t>
  </si>
  <si>
    <t>1/5/24 PM</t>
  </si>
  <si>
    <t>WAITING LOAD</t>
  </si>
  <si>
    <t>Additional shipment on 30 Nov ; Change load port to MBR on 22 Dec</t>
  </si>
  <si>
    <t>MV. VINCA (voy.02)</t>
  </si>
  <si>
    <t>TOSOH #07</t>
  </si>
  <si>
    <t>1/3/24 PM</t>
  </si>
  <si>
    <t>MV. BEI YUAN</t>
  </si>
  <si>
    <t>XINDIAN BAI GUI SPOT #02 (4450NAR)</t>
  </si>
  <si>
    <t>1/1/24 PM</t>
  </si>
  <si>
    <t>MV. RIN YO</t>
  </si>
  <si>
    <t>TOHOKU #3/4</t>
  </si>
  <si>
    <t>1/11/24 AM</t>
  </si>
  <si>
    <t>1/13/24 PM</t>
  </si>
  <si>
    <t>MV. XIN WU ZHOU 1</t>
  </si>
  <si>
    <t>SHENHUA 5200NAR #6/6</t>
  </si>
  <si>
    <t>1/7/24 PM</t>
  </si>
  <si>
    <t>1/10/24 AM</t>
  </si>
  <si>
    <t>Change POL i.o BoCT on 27 Dec</t>
  </si>
  <si>
    <t>Jan</t>
  </si>
  <si>
    <t>MV. TAIRYU</t>
  </si>
  <si>
    <t>EPDC #4/6</t>
  </si>
  <si>
    <t>1/11/24 PM</t>
  </si>
  <si>
    <t>1/12/24 PM</t>
  </si>
  <si>
    <t>FREEPORT #7/8</t>
  </si>
  <si>
    <t>1/10/24 PM</t>
  </si>
  <si>
    <t>INCOMING VESSEL</t>
  </si>
  <si>
    <t>Subs.of MV. LUMOSO HARMONI on 29 Dec</t>
  </si>
  <si>
    <t>SMI BEK 5600GAR JAN #01</t>
  </si>
  <si>
    <t>1/14/24 PM</t>
  </si>
  <si>
    <t>Subs.of DRY TRANSPORT on 29 Dec</t>
  </si>
  <si>
    <t>TJ JATI BEK JAN #01</t>
  </si>
  <si>
    <t>1/17/24 AM</t>
  </si>
  <si>
    <t>MV. TBN</t>
  </si>
  <si>
    <t>JERA #6/7</t>
  </si>
  <si>
    <t>1/18/24 AM</t>
  </si>
  <si>
    <t>1/19/24 PM</t>
  </si>
  <si>
    <t>MV. TRANSPACIFIC (DUMMY)</t>
  </si>
  <si>
    <t>HOKURIKU #3/4</t>
  </si>
  <si>
    <t>1/16/24 PM</t>
  </si>
  <si>
    <t>1/19/24 AM</t>
  </si>
  <si>
    <t>GCNS #03</t>
  </si>
  <si>
    <t xml:space="preserve">MV. TBN </t>
  </si>
  <si>
    <t>SMI BEK 5600GAR JAN #02</t>
  </si>
  <si>
    <t>1/21/24 AM</t>
  </si>
  <si>
    <t>Muara Jawa</t>
  </si>
  <si>
    <t>XINDIAN BAI GUI #1/18 (4450NAR)</t>
  </si>
  <si>
    <t>1/21/24 PM</t>
  </si>
  <si>
    <t>Change load port i.o BoCT on 1 Jan</t>
  </si>
  <si>
    <t>MV OCEAN ANG (DUMMY)</t>
  </si>
  <si>
    <t>1/23/24 PM</t>
  </si>
  <si>
    <t>1/25/24 AM</t>
  </si>
  <si>
    <t>MV. VITTORIA (DUMMY)</t>
  </si>
  <si>
    <t>KOBE #6/8</t>
  </si>
  <si>
    <t>1/25/24 PM</t>
  </si>
  <si>
    <t>TJ JATI BEK JAN #02</t>
  </si>
  <si>
    <t>1/28/24 AM</t>
  </si>
  <si>
    <t>XINDIAN BAI GUI 1st #MO (4450NAR)</t>
  </si>
  <si>
    <t>MV. SUNLEAF STAR</t>
  </si>
  <si>
    <t>1/30/24 AM</t>
  </si>
  <si>
    <t>SHENHUA 5200NAR #1/13</t>
  </si>
  <si>
    <t>2/1/24 AM</t>
  </si>
  <si>
    <t>BG. TBN</t>
  </si>
  <si>
    <t>1/28/24 PM</t>
  </si>
  <si>
    <t>TOSOH #08</t>
  </si>
  <si>
    <t>2/3/24 AM</t>
  </si>
  <si>
    <t>Source from SOS 01 Jan'24</t>
  </si>
  <si>
    <t>MBL JETTY</t>
  </si>
  <si>
    <t>BBA-2310-001</t>
  </si>
  <si>
    <t>TRANS 24</t>
  </si>
  <si>
    <t>TSM 24</t>
  </si>
  <si>
    <t>BEK-2310-001</t>
  </si>
  <si>
    <t>BEK-2310-002</t>
  </si>
  <si>
    <t>BEK-2310-003</t>
  </si>
  <si>
    <t>BEK-2310-004</t>
  </si>
  <si>
    <t>BEK-2310-005</t>
  </si>
  <si>
    <t>BEK-2310-006</t>
  </si>
  <si>
    <t>BEK-2310-007</t>
  </si>
  <si>
    <t>BEK-2310-008</t>
  </si>
  <si>
    <t>BEK-2310-009</t>
  </si>
  <si>
    <t>BEK-2310-010</t>
  </si>
  <si>
    <t>BEK-2310-011</t>
  </si>
  <si>
    <t>BEK-2310-012</t>
  </si>
  <si>
    <t>BEK-2310-013</t>
  </si>
  <si>
    <t>BEK-2310-014</t>
  </si>
  <si>
    <t>BEK-2310-015</t>
  </si>
  <si>
    <t>BEK-2310-016</t>
  </si>
  <si>
    <t>BEK-2310-017</t>
  </si>
  <si>
    <t>BEK-2310-018</t>
  </si>
  <si>
    <t>BEK-2310-019</t>
  </si>
  <si>
    <t>Subs.of TB. BERAU COAL 63</t>
  </si>
  <si>
    <t>BEK-2310-020</t>
  </si>
  <si>
    <t>BEK-2310-021</t>
  </si>
  <si>
    <t>BEK-2310-022</t>
  </si>
  <si>
    <t>BEK-2310-023</t>
  </si>
  <si>
    <t>BEK-2310-024</t>
  </si>
  <si>
    <t>BEK-2310-025</t>
  </si>
  <si>
    <t>BEK-2310-026</t>
  </si>
  <si>
    <t>BEK-2310-027</t>
  </si>
  <si>
    <t>BEK-2310-028</t>
  </si>
  <si>
    <t>BEK-2310-029</t>
  </si>
  <si>
    <t>BEK-2310-030</t>
  </si>
  <si>
    <t>BEK-2310-031</t>
  </si>
  <si>
    <t>BEK-2310-032</t>
  </si>
  <si>
    <t>BEK-2310-033</t>
  </si>
  <si>
    <t>BEK-2310-034</t>
  </si>
  <si>
    <t>BEK BLEND TS 0.9 MAX</t>
  </si>
  <si>
    <t>BEK-2310-035</t>
  </si>
  <si>
    <t>BEK-2310-036</t>
  </si>
  <si>
    <t>BEK-2310-037</t>
  </si>
  <si>
    <t>KALIMATAN CAHAYA 28</t>
  </si>
  <si>
    <t>BEK-2310-038</t>
  </si>
  <si>
    <t>BEK-2310-039</t>
  </si>
  <si>
    <t>BEK-2310-040</t>
  </si>
  <si>
    <t>BEK-2310-041</t>
  </si>
  <si>
    <t>BEK-2310-042</t>
  </si>
  <si>
    <t>BEK-2310-043</t>
  </si>
  <si>
    <t>BEK-2310-044</t>
  </si>
  <si>
    <t>Subs.of TB.HARMONY XVII &amp; BG.LINTAS SAMUDERA 77</t>
  </si>
  <si>
    <t>BEK-2310-045</t>
  </si>
  <si>
    <t>BEK-2310-046</t>
  </si>
  <si>
    <t>BEK-2310-047</t>
  </si>
  <si>
    <t>BEK-2310-048</t>
  </si>
  <si>
    <t>BEK-2310-049</t>
  </si>
  <si>
    <t>BEK-2310-050</t>
  </si>
  <si>
    <t>BEK-2310-051</t>
  </si>
  <si>
    <t>BEK-2310-052</t>
  </si>
  <si>
    <t>BoCT/MV. LUMOSO PRATAMA</t>
  </si>
  <si>
    <t>BEK-2310-053</t>
  </si>
  <si>
    <t>BEK-2310-054</t>
  </si>
  <si>
    <t>BEK-2310-055</t>
  </si>
  <si>
    <t>ASIA TRANS 555</t>
  </si>
  <si>
    <t>Subs.of BG. ASIA RIDER 501</t>
  </si>
  <si>
    <t>BEK-2310-056</t>
  </si>
  <si>
    <t>BEK-2310-057</t>
  </si>
  <si>
    <t>ASIA TRANS 222</t>
  </si>
  <si>
    <t>BEK-2310-058</t>
  </si>
  <si>
    <t>BEK-2310-059</t>
  </si>
  <si>
    <t>BEK-2310-060</t>
  </si>
  <si>
    <t>BEK-2310-061</t>
  </si>
  <si>
    <t>BEK-2310-062</t>
  </si>
  <si>
    <t>BEK-2310-063</t>
  </si>
  <si>
    <t>BEK-2310-064</t>
  </si>
  <si>
    <t>BEK-2310-065</t>
  </si>
  <si>
    <t>BEK-2310-066</t>
  </si>
  <si>
    <t>BEK-2310-067</t>
  </si>
  <si>
    <t>BEK-2310-068</t>
  </si>
  <si>
    <t>BEK-2310-069</t>
  </si>
  <si>
    <t>BEK-2310-070</t>
  </si>
  <si>
    <t>BEK-2310-071</t>
  </si>
  <si>
    <t>BEK-2310-072</t>
  </si>
  <si>
    <t>BEK-2310-073</t>
  </si>
  <si>
    <t>BEK-2310-074</t>
  </si>
  <si>
    <t>BEK-2310-075</t>
  </si>
  <si>
    <t>BEK-2310-076</t>
  </si>
  <si>
    <t>BEK-2310-077</t>
  </si>
  <si>
    <t>BEK-2310-078</t>
  </si>
  <si>
    <t>BEK-2310-079</t>
  </si>
  <si>
    <t>BEK-2310-080</t>
  </si>
  <si>
    <t>BEK-2310-081</t>
  </si>
  <si>
    <t>BEK-2310-082</t>
  </si>
  <si>
    <t>BEK-2310-083</t>
  </si>
  <si>
    <t>BEK-2310-084</t>
  </si>
  <si>
    <t>BG. RMN 351</t>
  </si>
  <si>
    <t>BEK-2310-085</t>
  </si>
  <si>
    <t>Discharging activity/Transfer cargo to BG. RMN 351</t>
  </si>
  <si>
    <t>BoCT/MV. JIN RUN</t>
  </si>
  <si>
    <t>EKSPOR</t>
  </si>
  <si>
    <t>BEK-2310-085A</t>
  </si>
  <si>
    <t>BEK-2310-086</t>
  </si>
  <si>
    <t>BEK-2310-087</t>
  </si>
  <si>
    <t>BEK-2310-088</t>
  </si>
  <si>
    <t>BEK-2310-089</t>
  </si>
  <si>
    <t>BEK-2310-090</t>
  </si>
  <si>
    <t>BEK-2310-091</t>
  </si>
  <si>
    <t>BEK-2310-092</t>
  </si>
  <si>
    <t>BEK-2310-093</t>
  </si>
  <si>
    <t>BEK-2310-094</t>
  </si>
  <si>
    <t>BEK-2310-095</t>
  </si>
  <si>
    <t>BEK-2310-096</t>
  </si>
  <si>
    <t>PST 1112</t>
  </si>
  <si>
    <t>Subs.of BG.ANGELINE 219-01</t>
  </si>
  <si>
    <t>BEK-2310-097</t>
  </si>
  <si>
    <t>BEK-2310-098</t>
  </si>
  <si>
    <t>BEK-2310-099</t>
  </si>
  <si>
    <t>BMM-2310-001</t>
  </si>
  <si>
    <t>BoCT/MV. XIN HAI ZHOU 71</t>
  </si>
  <si>
    <t>EBH-2310-001</t>
  </si>
  <si>
    <t>EBH-2310-002</t>
  </si>
  <si>
    <t>EBH-2310-003</t>
  </si>
  <si>
    <t>BoCT/MV. AC XINGHAI</t>
  </si>
  <si>
    <t>EBH-2310-004</t>
  </si>
  <si>
    <t>KSA SURYA</t>
  </si>
  <si>
    <t>IKJ-2310-001</t>
  </si>
  <si>
    <t>IKJ-2310-002</t>
  </si>
  <si>
    <t>JHN-2310-001</t>
  </si>
  <si>
    <t>KBM-2310-001</t>
  </si>
  <si>
    <t>KBM-2310-002</t>
  </si>
  <si>
    <t>KBM-2310-003</t>
  </si>
  <si>
    <t>KBM-2310-004</t>
  </si>
  <si>
    <t>KJA-2310-001</t>
  </si>
  <si>
    <t>KJA-2310-002</t>
  </si>
  <si>
    <t>KJM-BoCT</t>
  </si>
  <si>
    <t>KJM-2310-001</t>
  </si>
  <si>
    <t>BoCT/MV. TAI SUMMIT</t>
  </si>
  <si>
    <t>KMIA-2310-001</t>
  </si>
  <si>
    <t>MBL-2310-001</t>
  </si>
  <si>
    <t>MBL-2310-002</t>
  </si>
  <si>
    <t>MBL-2310-003</t>
  </si>
  <si>
    <t>MBL-2310-004</t>
  </si>
  <si>
    <t>MBL-2310-005</t>
  </si>
  <si>
    <t>MBL-2310-006</t>
  </si>
  <si>
    <t>MBL-2310-007</t>
  </si>
  <si>
    <t>MBL-2310-008</t>
  </si>
  <si>
    <t>MBL-2310-009</t>
  </si>
  <si>
    <t>MBL-2310-010</t>
  </si>
  <si>
    <t>MBL-2310-011</t>
  </si>
  <si>
    <t>MBL-2310-012</t>
  </si>
  <si>
    <t>MBL-2310-013</t>
  </si>
  <si>
    <t>MCM-2310-001</t>
  </si>
  <si>
    <t>MCM-2310-002</t>
  </si>
  <si>
    <t>MCM-2310-003</t>
  </si>
  <si>
    <t>MCM-2310-004</t>
  </si>
  <si>
    <t>MML-2310-001</t>
  </si>
  <si>
    <t>BoC/TMV. LUMOSO PRATAMA</t>
  </si>
  <si>
    <t>MML-2310-002</t>
  </si>
  <si>
    <t>TCM-2310-001</t>
  </si>
  <si>
    <t>TCM-2310-002</t>
  </si>
  <si>
    <t>TCM BLEND TS 1.5 MAX</t>
  </si>
  <si>
    <t>End trip at BoCT and continue to KJM (Balikpapan)</t>
  </si>
  <si>
    <t>TCM-2310-003</t>
  </si>
  <si>
    <t>TCM-2310-004</t>
  </si>
  <si>
    <t>TCM-2310-005</t>
  </si>
  <si>
    <t>TCM-2310-006</t>
  </si>
  <si>
    <t>TCM-2310-007</t>
  </si>
  <si>
    <t>TCM-2310-008</t>
  </si>
  <si>
    <t>TCM-2310-009</t>
  </si>
  <si>
    <t>TCM-2310-010</t>
  </si>
  <si>
    <t>TCM-2310-011</t>
  </si>
  <si>
    <t>TCM-2310-012</t>
  </si>
  <si>
    <t>TCM-2310-013</t>
  </si>
  <si>
    <t>TCM-2310-014</t>
  </si>
  <si>
    <t>TCM-2310-015</t>
  </si>
  <si>
    <t>TCM-2310-016</t>
  </si>
  <si>
    <t>Subs.of BG. ASIA RIDER 801</t>
  </si>
  <si>
    <t>TCM-2310-017</t>
  </si>
  <si>
    <t>TCM-2310-018</t>
  </si>
  <si>
    <t>TCM-2310-019</t>
  </si>
  <si>
    <t>TCM-2310-020</t>
  </si>
  <si>
    <t>TCM-2310-021</t>
  </si>
  <si>
    <t>TCM-2310-022</t>
  </si>
  <si>
    <t>TCM-2310-023</t>
  </si>
  <si>
    <t>TCM-2310-024</t>
  </si>
  <si>
    <t>TCM-2310-025</t>
  </si>
  <si>
    <t>Term</t>
  </si>
  <si>
    <t>Route              (POL - POD)</t>
  </si>
  <si>
    <t>BBA-2311-001</t>
  </si>
  <si>
    <t>BBA-2311-002</t>
  </si>
  <si>
    <t>TRANS 1</t>
  </si>
  <si>
    <t>TSM 26</t>
  </si>
  <si>
    <t>BoCT/MV. ORIENTAL PROMOTION</t>
  </si>
  <si>
    <t>BBA-2311-003</t>
  </si>
  <si>
    <t>BoCT/MV. PRIMA SPIRIT</t>
  </si>
  <si>
    <t>DOMESTIK</t>
  </si>
  <si>
    <t>BBE-2311-001</t>
  </si>
  <si>
    <t>BBE-2311-002</t>
  </si>
  <si>
    <t>BBE-2311-003</t>
  </si>
  <si>
    <t>BBE-2311-004</t>
  </si>
  <si>
    <t>BBE-2311-005</t>
  </si>
  <si>
    <t>BEK-2311-001</t>
  </si>
  <si>
    <t>BEK-2311-002</t>
  </si>
  <si>
    <t>BEK-2311-003</t>
  </si>
  <si>
    <t>BEK-2311-004</t>
  </si>
  <si>
    <t>BEK-2311-005</t>
  </si>
  <si>
    <t>BEK-2311-006</t>
  </si>
  <si>
    <t>BEK-2311-007</t>
  </si>
  <si>
    <t>BEK-2311-008</t>
  </si>
  <si>
    <t>BEK-2311-009</t>
  </si>
  <si>
    <t>End trip at Jorong and continue load at JBG</t>
  </si>
  <si>
    <t>BEK-2311-010</t>
  </si>
  <si>
    <t>BEK-2311-011</t>
  </si>
  <si>
    <t>BEK-2311-012</t>
  </si>
  <si>
    <t>BEK-2311-013</t>
  </si>
  <si>
    <t>BEK-2311-014</t>
  </si>
  <si>
    <t>BEK-2311-015</t>
  </si>
  <si>
    <t>BEK-2311-016</t>
  </si>
  <si>
    <t>BEK-2311-017</t>
  </si>
  <si>
    <t>BEK-2311-018</t>
  </si>
  <si>
    <t>BEK-2311-019</t>
  </si>
  <si>
    <t>BEK-2311-020</t>
  </si>
  <si>
    <t>BEK-2311-021</t>
  </si>
  <si>
    <t>BEK-2311-022</t>
  </si>
  <si>
    <t>BEK-2311-023</t>
  </si>
  <si>
    <t>BEK-2311-024</t>
  </si>
  <si>
    <t>BEK-2311-025</t>
  </si>
  <si>
    <t>BEK-2311-026</t>
  </si>
  <si>
    <t>BEK-2311-027</t>
  </si>
  <si>
    <t>BEK-2311-028</t>
  </si>
  <si>
    <t>BEK-2311-029</t>
  </si>
  <si>
    <t>BEK-2311-030</t>
  </si>
  <si>
    <t>BEK-2311-031</t>
  </si>
  <si>
    <t>BEK-2311-032</t>
  </si>
  <si>
    <t>Change vessel name i.o MV. MSXT HELEN due to certificate issue</t>
  </si>
  <si>
    <t>BEK-2311-033</t>
  </si>
  <si>
    <t>BEK-2311-034</t>
  </si>
  <si>
    <t>Change vessel name i.o MV. THOR ACHIEVER due to TB. KADO 1710 issue</t>
  </si>
  <si>
    <t>BEK-2311-035</t>
  </si>
  <si>
    <t>BEK-2311-036</t>
  </si>
  <si>
    <t>BEK-2311-037</t>
  </si>
  <si>
    <t>BEK-2311-038</t>
  </si>
  <si>
    <t>BEK-2311-039</t>
  </si>
  <si>
    <t>BEK-2311-040</t>
  </si>
  <si>
    <t>BEK-2311-041</t>
  </si>
  <si>
    <t>BEK-2311-042</t>
  </si>
  <si>
    <t>BEK-2311-043</t>
  </si>
  <si>
    <t>BEK-2311-044</t>
  </si>
  <si>
    <t>BEK-2311-045</t>
  </si>
  <si>
    <t>BEK-2311-046</t>
  </si>
  <si>
    <t>BEK-2311-047</t>
  </si>
  <si>
    <t>BEK-2311-048</t>
  </si>
  <si>
    <t>BEK-2311-049</t>
  </si>
  <si>
    <t>BEK-2311-050</t>
  </si>
  <si>
    <t>End trip at MBR and continue to BoCT for load C50</t>
  </si>
  <si>
    <t>BEK-2311-051</t>
  </si>
  <si>
    <t>BEK-2311-052</t>
  </si>
  <si>
    <t>BEK-2311-053</t>
  </si>
  <si>
    <t>BEK-2311-054</t>
  </si>
  <si>
    <t>BEK-2311-055</t>
  </si>
  <si>
    <t>BEK-2311-056</t>
  </si>
  <si>
    <t>BEK-2311-057</t>
  </si>
  <si>
    <t>BEK-2311-058</t>
  </si>
  <si>
    <t>BEK-2311-059</t>
  </si>
  <si>
    <t>BEK-2311-060</t>
  </si>
  <si>
    <t>BEK-2311-061</t>
  </si>
  <si>
    <t>BEK-2311-062</t>
  </si>
  <si>
    <t>LINTAS SAMUDERA 61</t>
  </si>
  <si>
    <t>BEK-2311-063</t>
  </si>
  <si>
    <t>BEK-2311-064</t>
  </si>
  <si>
    <t>BEK-2311-065</t>
  </si>
  <si>
    <t>Change POL i.o KWA port on 20 due to water level issue</t>
  </si>
  <si>
    <t>BEK-2311-066</t>
  </si>
  <si>
    <t>BEK-2311-067</t>
  </si>
  <si>
    <t>BEK-2311-068</t>
  </si>
  <si>
    <t>BEK-2311-069</t>
  </si>
  <si>
    <t>BEK-2311-070</t>
  </si>
  <si>
    <t>BEK-2311-071</t>
  </si>
  <si>
    <t>BEK-2311-072</t>
  </si>
  <si>
    <t>BEK-2311-073</t>
  </si>
  <si>
    <t>BEK-2311-074</t>
  </si>
  <si>
    <t>BEK-2311-075</t>
  </si>
  <si>
    <t>BEK-2311-076</t>
  </si>
  <si>
    <t>BEK-2311-077</t>
  </si>
  <si>
    <t>KSA 142</t>
  </si>
  <si>
    <t>Subs. of. TB. KSA EMERALD</t>
  </si>
  <si>
    <t>BEK-2311-078</t>
  </si>
  <si>
    <t>BEK-2311-079</t>
  </si>
  <si>
    <t>BEK-2311-080</t>
  </si>
  <si>
    <t>BEK-2311-081</t>
  </si>
  <si>
    <t>BEK-2311-082</t>
  </si>
  <si>
    <t>BEK-2311-083</t>
  </si>
  <si>
    <t>27/11/23 7:45</t>
  </si>
  <si>
    <t>BEK-2311-084</t>
  </si>
  <si>
    <t>BEK-2311-085</t>
  </si>
  <si>
    <t>BEK-2311-086</t>
  </si>
  <si>
    <t>BEK-2311-087</t>
  </si>
  <si>
    <t>BEK-2311-088</t>
  </si>
  <si>
    <t>BEK-2311-089</t>
  </si>
  <si>
    <t>BEK-2311-090</t>
  </si>
  <si>
    <t>BEK-2311-091</t>
  </si>
  <si>
    <t>BEK-2311-092</t>
  </si>
  <si>
    <t>BEK-2311-093</t>
  </si>
  <si>
    <t>BEK-2311-094</t>
  </si>
  <si>
    <t>BEK-2311-095</t>
  </si>
  <si>
    <t>BoCT/MV. E.R BRISTOL</t>
  </si>
  <si>
    <t>BMM-2311-001</t>
  </si>
  <si>
    <t>BMM-2311-002</t>
  </si>
  <si>
    <t>BoCT/MV. ORION</t>
  </si>
  <si>
    <t>BMM-2311-003</t>
  </si>
  <si>
    <t>EBH-2311-001</t>
  </si>
  <si>
    <t>EBH-2311-002</t>
  </si>
  <si>
    <t>EBH-2311-003</t>
  </si>
  <si>
    <t>EBH-2311-004</t>
  </si>
  <si>
    <t>IMM-2311-001</t>
  </si>
  <si>
    <t xml:space="preserve">DONE </t>
  </si>
  <si>
    <t>IMM-2311-002</t>
  </si>
  <si>
    <t>IMM-2311-003</t>
  </si>
  <si>
    <t>Start trip from MUARA BERAU</t>
  </si>
  <si>
    <t>IMM-2311-004</t>
  </si>
  <si>
    <t>IMM-2311-005</t>
  </si>
  <si>
    <t>IMM-2311-006</t>
  </si>
  <si>
    <t>IMM WBLS</t>
  </si>
  <si>
    <t>IMM-2311-007</t>
  </si>
  <si>
    <t>JBG-2311-001</t>
  </si>
  <si>
    <t>JBG-2311-006</t>
  </si>
  <si>
    <t>JBG-2311-007</t>
  </si>
  <si>
    <t>KJA-2311-001</t>
  </si>
  <si>
    <t>KJA-2311-002</t>
  </si>
  <si>
    <t>KJM-2311-001</t>
  </si>
  <si>
    <t>Cast off due to dust issue</t>
  </si>
  <si>
    <t>KJM-2311-002</t>
  </si>
  <si>
    <t>KMIA-2311-001</t>
  </si>
  <si>
    <t>KWA-2311-001</t>
  </si>
  <si>
    <t>MBL-2311-001</t>
  </si>
  <si>
    <t>End trip at BoCT and continue to load at C50</t>
  </si>
  <si>
    <t>MBL-2311-002</t>
  </si>
  <si>
    <t>MBL-2311-003</t>
  </si>
  <si>
    <t>MBL-2311-004</t>
  </si>
  <si>
    <t>MBL-2311-005</t>
  </si>
  <si>
    <t>MBL-2311-006</t>
  </si>
  <si>
    <t>MBL-2311-007</t>
  </si>
  <si>
    <t>MBL-2311-008</t>
  </si>
  <si>
    <t>MBL JETTY -BoCT</t>
  </si>
  <si>
    <t>MBL-2311-009</t>
  </si>
  <si>
    <t>MBL-2311-010</t>
  </si>
  <si>
    <t>MCM-2311-001</t>
  </si>
  <si>
    <t>MCM-2311-002</t>
  </si>
  <si>
    <t>Subs.of. TB. WIRA TIMUR XVII</t>
  </si>
  <si>
    <t>MCM-2311-003</t>
  </si>
  <si>
    <t>MCM-2311-004</t>
  </si>
  <si>
    <t>MCM-2311-005</t>
  </si>
  <si>
    <t>MCM-2311-006</t>
  </si>
  <si>
    <t>BERAU COAL 23</t>
  </si>
  <si>
    <t>MCM-2311-007</t>
  </si>
  <si>
    <t>MCM-2311-008</t>
  </si>
  <si>
    <t>MCM-2311-009</t>
  </si>
  <si>
    <t>MCM-2311-010</t>
  </si>
  <si>
    <t>ROBBY 56</t>
  </si>
  <si>
    <t>ROBBY 124</t>
  </si>
  <si>
    <t>MCM-2311-011</t>
  </si>
  <si>
    <t>MCM-2311-012</t>
  </si>
  <si>
    <t>BPW 15</t>
  </si>
  <si>
    <t>MCM-2311-013</t>
  </si>
  <si>
    <t>MML-2311-001</t>
  </si>
  <si>
    <t>AMAN 01</t>
  </si>
  <si>
    <t>KASEN POWER 3001</t>
  </si>
  <si>
    <t>MML-2311-002</t>
  </si>
  <si>
    <t>MML-2311-003</t>
  </si>
  <si>
    <t>BoCT/MV. JIN HAI FU</t>
  </si>
  <si>
    <t>MML-2311-004</t>
  </si>
  <si>
    <t>SINAR SURYA STAR</t>
  </si>
  <si>
    <t>BoCT/MV. HUA YANG CHUAN QI</t>
  </si>
  <si>
    <t>MML-2311-005</t>
  </si>
  <si>
    <t>PACIFIC TWENTY THREE</t>
  </si>
  <si>
    <t>PACIFIC 3023</t>
  </si>
  <si>
    <t>MML -BoCT</t>
  </si>
  <si>
    <t>MML-2311-006</t>
  </si>
  <si>
    <t>MML-2311-007</t>
  </si>
  <si>
    <t>End trip at BoCT and direct to BSS (TG REDEP)</t>
  </si>
  <si>
    <t>TCM-2311-001</t>
  </si>
  <si>
    <t>TCM-2311-002</t>
  </si>
  <si>
    <t>End trip at MBR and continue to load at BOCT - c50</t>
  </si>
  <si>
    <t>TCM-2311-003</t>
  </si>
  <si>
    <t>TCM-2311-004</t>
  </si>
  <si>
    <t>TCM-2311-005</t>
  </si>
  <si>
    <t>TCM-2311-006</t>
  </si>
  <si>
    <t>TCM-2311-007</t>
  </si>
  <si>
    <t>TCM-2311-008</t>
  </si>
  <si>
    <t>TCM-2311-009</t>
  </si>
  <si>
    <t>TCM-2311-010</t>
  </si>
  <si>
    <t>TCM-2311-011</t>
  </si>
  <si>
    <t>Remain cargo sent to BoCT</t>
  </si>
  <si>
    <t>TCM-2311-012</t>
  </si>
  <si>
    <t>TCM-2311-013</t>
  </si>
  <si>
    <t>End trip at BoCT and direct to JBG</t>
  </si>
  <si>
    <t>TCM-2311-014</t>
  </si>
  <si>
    <t>TCM-2311-015</t>
  </si>
  <si>
    <t>TCM-2311-016</t>
  </si>
  <si>
    <t>TCM-2311-017</t>
  </si>
  <si>
    <t>TCM-2311-018</t>
  </si>
  <si>
    <t>TCM-2311-019</t>
  </si>
  <si>
    <t>TCM-2311-020</t>
  </si>
  <si>
    <t>TCM-2311-021</t>
  </si>
  <si>
    <t>TCM-2311-022</t>
  </si>
  <si>
    <t>TCM-2311-023</t>
  </si>
  <si>
    <t>TCM-2311-024</t>
  </si>
  <si>
    <t>TCM-2311-025</t>
  </si>
  <si>
    <t>MBL-2311-011</t>
  </si>
  <si>
    <t>TCM-2311-026</t>
  </si>
  <si>
    <t>27 Sept - 06 Oct</t>
  </si>
  <si>
    <t>Remain cargo sent to MV. WELPROFIT</t>
  </si>
  <si>
    <t>14 Sept - 23 Sept</t>
  </si>
  <si>
    <t>QUANTITY LOADED</t>
  </si>
  <si>
    <t>DEAD FREIGHT</t>
  </si>
  <si>
    <t>23 Sept - 02 Oct</t>
  </si>
  <si>
    <t>Remain cargo sent to SMD due to LHV issue</t>
  </si>
  <si>
    <t>01 Oct - 10 Oct</t>
  </si>
  <si>
    <t>Remain cargo sent to MV. PEACE GARDEN</t>
  </si>
  <si>
    <t>Remain cargo sent to MV. HARAMACHI MARU</t>
  </si>
  <si>
    <t>21 Sept - 30 Sept</t>
  </si>
  <si>
    <t>14 Oct - 23 Oct</t>
  </si>
  <si>
    <t>12 Oct - 21 Oct</t>
  </si>
  <si>
    <t>BLEND 22 : 78</t>
  </si>
  <si>
    <t>BLEND 14 : 86</t>
  </si>
  <si>
    <t>Remain cargo sent to MV. HABCO AQUILA</t>
  </si>
  <si>
    <t>19 Sept - 28 Sept</t>
  </si>
  <si>
    <t>TOTAL 2nd STORAGE</t>
  </si>
  <si>
    <t>TOTAL 3rd STORAGE</t>
  </si>
  <si>
    <t>Remain cargo sent to MV. KAYSAN</t>
  </si>
  <si>
    <t>17 Oct - 26 Oct</t>
  </si>
  <si>
    <t>BLEND 12 : 88</t>
  </si>
  <si>
    <t>19 Oct - 28 Oct</t>
  </si>
  <si>
    <t>Remain Cargo Sent To MV. JR SUMMER</t>
  </si>
  <si>
    <t>20 Oct - 29 Oct</t>
  </si>
  <si>
    <t>Remain cargo sent to MV. LUMOSO BERKAT</t>
  </si>
  <si>
    <t>Remain cargo sent to MV. SENTOSA CHALLENGER</t>
  </si>
  <si>
    <t>23 Oct - 01 Nov</t>
  </si>
  <si>
    <t>27 Oct - 05 Nov</t>
  </si>
  <si>
    <t>No remain cargo on last barge BG. ROBBY 135</t>
  </si>
  <si>
    <t>29 Oct - 07 Nov</t>
  </si>
  <si>
    <t>No Remain cargo on last barge BG. RMN 3303</t>
  </si>
  <si>
    <t>24 Oct - 02 Nov</t>
  </si>
  <si>
    <t>BLEND 50 :50</t>
  </si>
  <si>
    <t>BLEND 34 :66</t>
  </si>
  <si>
    <t>No Remain cargo on last barge BG. LINTAS SAMUDERA XX</t>
  </si>
  <si>
    <t>01 Nov - 10 Nov</t>
  </si>
  <si>
    <t>Remain cargo sent to BoCT - MV. MSXT HELEN</t>
  </si>
  <si>
    <t>6 Nov - 15 Nov</t>
  </si>
  <si>
    <t>7 Nov - 16 Nov</t>
  </si>
  <si>
    <t>Remain cargo sent to MV. ENERGY SUNRISE</t>
  </si>
  <si>
    <t>11 Nov - 20 Nov</t>
  </si>
  <si>
    <t>10 Nov - 19 Nov</t>
  </si>
  <si>
    <t>1 Nov - 10 Nov</t>
  </si>
  <si>
    <t>12 Nov - 21 Nov</t>
  </si>
  <si>
    <t>BLEND 10 : 90</t>
  </si>
  <si>
    <t>Remain cargo sent to MV. GOLDEN ACE</t>
  </si>
  <si>
    <t>2 Nov - 11 Nov</t>
  </si>
  <si>
    <t>21 Nov - 30 Nov</t>
  </si>
  <si>
    <t>Remain cargo sent to MV. MANALAGI PRITA</t>
  </si>
  <si>
    <t>15 Nov - 24 Nov</t>
  </si>
  <si>
    <t>Remain cargo sent to MV. BULK BATAVIA (voy.02)</t>
  </si>
  <si>
    <t>23 Nov - 02 Dec</t>
  </si>
  <si>
    <t>28 Nov - 07 Dec</t>
  </si>
  <si>
    <t>BLEND 48 : 52</t>
  </si>
  <si>
    <t>Remain cargo on last barge BG. GSN 01 sent to MV. BULK BATAVIA (voy.02)</t>
  </si>
  <si>
    <t>BoCT/MV. HH PIONEER</t>
  </si>
  <si>
    <t>BBA-2312-001</t>
  </si>
  <si>
    <t>TSM 25</t>
  </si>
  <si>
    <t>BBE-2312-001</t>
  </si>
  <si>
    <t>BoCT/MV. BEI YUAN</t>
  </si>
  <si>
    <t>BBS-BoCT</t>
  </si>
  <si>
    <t>BBS-2312-001</t>
  </si>
  <si>
    <t>BEK-2312-003</t>
  </si>
  <si>
    <t>BEK BLEND TS 0.65 MAX</t>
  </si>
  <si>
    <t>BEK-2312-004</t>
  </si>
  <si>
    <t>BEK-2312-005</t>
  </si>
  <si>
    <t>BEK-2312-006</t>
  </si>
  <si>
    <t>BEK-2312-007</t>
  </si>
  <si>
    <t>BEK-2312-008</t>
  </si>
  <si>
    <t>BEK-2312-009</t>
  </si>
  <si>
    <t>BEK-2312-010</t>
  </si>
  <si>
    <t>BEK-2312-011</t>
  </si>
  <si>
    <t>BEK-2312-012</t>
  </si>
  <si>
    <t>BEK-2312-013</t>
  </si>
  <si>
    <t>BEK-2312-014</t>
  </si>
  <si>
    <t>BEK-2312-015</t>
  </si>
  <si>
    <t>BEK-2312-016</t>
  </si>
  <si>
    <t>BEK-2312-017</t>
  </si>
  <si>
    <t>Subs.of TB.PIONEER II</t>
  </si>
  <si>
    <t>BEK-2312-018</t>
  </si>
  <si>
    <t>Subs.of BG. LINTAS SAMUDERA XVIII</t>
  </si>
  <si>
    <t>BEK-2312-019</t>
  </si>
  <si>
    <t>BEK-2312-020</t>
  </si>
  <si>
    <t>BEK-2312-021</t>
  </si>
  <si>
    <t>BEK-2312-022</t>
  </si>
  <si>
    <t>BEK-2312-023</t>
  </si>
  <si>
    <t>BEK-2312-024</t>
  </si>
  <si>
    <t>BEK-2312-025</t>
  </si>
  <si>
    <t>BEK-2312-026</t>
  </si>
  <si>
    <t>BEK-2312-027</t>
  </si>
  <si>
    <t>BEK-2312-028</t>
  </si>
  <si>
    <t>BEK-2312-029</t>
  </si>
  <si>
    <t>BEK-2312-030</t>
  </si>
  <si>
    <t>BEK-2312-031</t>
  </si>
  <si>
    <t>BEK-2312-032</t>
  </si>
  <si>
    <t>BEK-2312-033</t>
  </si>
  <si>
    <t>LINTAS SAMUDERA V</t>
  </si>
  <si>
    <t>BEK-2312-034</t>
  </si>
  <si>
    <t>Repair information</t>
  </si>
  <si>
    <t>BEK-2312-035</t>
  </si>
  <si>
    <t>BEK-2312-036</t>
  </si>
  <si>
    <t>BoCT/MV. LOWLANDS DAWN</t>
  </si>
  <si>
    <t>BEK-2312-037</t>
  </si>
  <si>
    <t>BEK-2312-038</t>
  </si>
  <si>
    <t>BEK-2312-039</t>
  </si>
  <si>
    <t>Repair information ; End trip at BoCT and continue load at C50</t>
  </si>
  <si>
    <t>BEK-2312-040</t>
  </si>
  <si>
    <t>BEK-2312-041</t>
  </si>
  <si>
    <t>BEK-2312-042</t>
  </si>
  <si>
    <t>BEK-2312-043</t>
  </si>
  <si>
    <t>BEK-2312-044</t>
  </si>
  <si>
    <t>BEK-2312-045</t>
  </si>
  <si>
    <t>BEK-2312-046</t>
  </si>
  <si>
    <t>Change shipper i.o EBH on 20 Dec due MV. BEI YUAN not confirm POL.</t>
  </si>
  <si>
    <t>BEK-2312-047</t>
  </si>
  <si>
    <t>BEK-2312-048</t>
  </si>
  <si>
    <t>BEK-2312-049</t>
  </si>
  <si>
    <t>ANNA 2</t>
  </si>
  <si>
    <t>Subs.of TB. KSA 46</t>
  </si>
  <si>
    <t>BEK-2312-050</t>
  </si>
  <si>
    <t>Change shipper i.o MBL on 20 Dec due MV. BEI YUAN not confirm POL.</t>
  </si>
  <si>
    <t>BEK-2312-051</t>
  </si>
  <si>
    <t>Subs.of TB. PIONEER II</t>
  </si>
  <si>
    <t>BEK-2312-052</t>
  </si>
  <si>
    <t>BEK-2312-053</t>
  </si>
  <si>
    <t>BEK-2312-054</t>
  </si>
  <si>
    <t>BEK-2312-055</t>
  </si>
  <si>
    <t>BEK-2312-056</t>
  </si>
  <si>
    <t>Subs.of TB. ANUGERAH 2</t>
  </si>
  <si>
    <t>BEK-2312-057</t>
  </si>
  <si>
    <t>BEK-2312-058</t>
  </si>
  <si>
    <t>BEK-2312-059</t>
  </si>
  <si>
    <t>EBH-2312-001</t>
  </si>
  <si>
    <t>EBH-2312-002</t>
  </si>
  <si>
    <t>End trip at BoCT and continue to BBS</t>
  </si>
  <si>
    <t>EBH-2312-003</t>
  </si>
  <si>
    <t>EMJ-BoCT</t>
  </si>
  <si>
    <t>EMJ-2312-001</t>
  </si>
  <si>
    <t>Subs.of BG. RMN 343</t>
  </si>
  <si>
    <t>EMJ-2312-002</t>
  </si>
  <si>
    <t>EMJ-2312-003</t>
  </si>
  <si>
    <t>BoCT/MV. ASIAN MAJESTY</t>
  </si>
  <si>
    <t>EMJ-2312-004</t>
  </si>
  <si>
    <t>IMM-2312-001</t>
  </si>
  <si>
    <t>IMM-2312-002</t>
  </si>
  <si>
    <t>IMM-2312-003</t>
  </si>
  <si>
    <t>IMM-2312-004</t>
  </si>
  <si>
    <t>IMM-2312-005</t>
  </si>
  <si>
    <t>IMM-2312-006</t>
  </si>
  <si>
    <t>IMM-2312-007</t>
  </si>
  <si>
    <t>IMM-2312-008</t>
  </si>
  <si>
    <t>IMM-2312-009</t>
  </si>
  <si>
    <t>JHN-2312-001</t>
  </si>
  <si>
    <t>MARINA 2201</t>
  </si>
  <si>
    <t>MARINE POWER 3037</t>
  </si>
  <si>
    <t>JHN-2312-002</t>
  </si>
  <si>
    <t>KPM-BoCT</t>
  </si>
  <si>
    <t>KPM-2312-001</t>
  </si>
  <si>
    <t>End trip at BoCT and continue to KPM</t>
  </si>
  <si>
    <t>KPM-2312-002</t>
  </si>
  <si>
    <t>KWA-2312-001</t>
  </si>
  <si>
    <t>End trip at BoCT and direct to KPM (MARANGKAYU)</t>
  </si>
  <si>
    <t>KWA-2312-002</t>
  </si>
  <si>
    <t>MBL-2312-001</t>
  </si>
  <si>
    <t>MBL-2312-002</t>
  </si>
  <si>
    <t>MBL-2312-003</t>
  </si>
  <si>
    <t>MBL-2312-004</t>
  </si>
  <si>
    <t>MBL-2312-005</t>
  </si>
  <si>
    <t>End trip at BoCT and continue load at c50</t>
  </si>
  <si>
    <t>MBL-2312-007</t>
  </si>
  <si>
    <t>MBL-2312-008</t>
  </si>
  <si>
    <t>BoCT/MV. PRIMROSE ATLANTIC</t>
  </si>
  <si>
    <t>MBL-2312-009</t>
  </si>
  <si>
    <t>MCM-2312-001</t>
  </si>
  <si>
    <t xml:space="preserve">JANICE </t>
  </si>
  <si>
    <t>SPA 27005</t>
  </si>
  <si>
    <t>MCM-2312-002</t>
  </si>
  <si>
    <t>MCM-2312-003</t>
  </si>
  <si>
    <t>MCM-2312-004</t>
  </si>
  <si>
    <t>MCM-2312-005</t>
  </si>
  <si>
    <t>SAMUDRA PRATAMA 1</t>
  </si>
  <si>
    <t>SUMBER SAMUDERA 06</t>
  </si>
  <si>
    <t>MCM-2312-006</t>
  </si>
  <si>
    <t>MCM-2312-007</t>
  </si>
  <si>
    <t>DHAMMA PARAMITA</t>
  </si>
  <si>
    <t>MCM-2312-008</t>
  </si>
  <si>
    <t>JANICE</t>
  </si>
  <si>
    <t>MML-2312-001</t>
  </si>
  <si>
    <t>MML-2312-002</t>
  </si>
  <si>
    <t>End trip at BoCT and continue load at C50 ; Cancel load at C50 due to delay loading schedule at C50 on 15 Dec</t>
  </si>
  <si>
    <t>TCM-2312-001</t>
  </si>
  <si>
    <t>Subs.of TB. ARMADA TIMUR 03/BG. LINTAS SAMUDERA 95</t>
  </si>
  <si>
    <t>TCM-2312-002</t>
  </si>
  <si>
    <t>TCM-2312-003</t>
  </si>
  <si>
    <t>TCM-2312-004</t>
  </si>
  <si>
    <t>TCM-2312-005</t>
  </si>
  <si>
    <t>TCM-2312-006</t>
  </si>
  <si>
    <t>BoCT/MV JIN HAI FU</t>
  </si>
  <si>
    <t>TCM -BoCT</t>
  </si>
  <si>
    <t>TCM-2312-007</t>
  </si>
  <si>
    <t>Change route from MBL jetty due to cargo readiness on 04 Dec</t>
  </si>
  <si>
    <t>TCM-2312-008</t>
  </si>
  <si>
    <t>TCM-2312-009</t>
  </si>
  <si>
    <t>BERAU COAL 1</t>
  </si>
  <si>
    <t>Overtowing TB. BIG FAIR 15 at Muara Bearu due to engine issue</t>
  </si>
  <si>
    <t>TCM-2312-010</t>
  </si>
  <si>
    <t>TCM-2312-011</t>
  </si>
  <si>
    <t>TCM-2312-012</t>
  </si>
  <si>
    <t>TCM-2312-013</t>
  </si>
  <si>
    <t>TCM-2312-014</t>
  </si>
  <si>
    <t>TCM-2312-015</t>
  </si>
  <si>
    <t>TCM-2312-016</t>
  </si>
  <si>
    <t>TCM-2312-017</t>
  </si>
  <si>
    <t>TCM-2312-018</t>
  </si>
  <si>
    <t>TCM-2312-019</t>
  </si>
  <si>
    <t>TCM-2312-020</t>
  </si>
  <si>
    <t>TCM-2312-021</t>
  </si>
  <si>
    <t>TCM-2312-022</t>
  </si>
  <si>
    <t>Shipper changed to TCM i.o BEK on 12 Dec</t>
  </si>
  <si>
    <t>TCM-2312-023</t>
  </si>
  <si>
    <t>TCM-2312-024</t>
  </si>
  <si>
    <t>Shipper changed to EBH i.o BEK on 12 Dec</t>
  </si>
  <si>
    <t>TCM-2312-025</t>
  </si>
  <si>
    <t>Shipper changed to BEK i.o BEK on 12 Dec</t>
  </si>
  <si>
    <t>TCM-2312-026</t>
  </si>
  <si>
    <t>TCM-2312-027</t>
  </si>
  <si>
    <t>TCM-2312-028</t>
  </si>
  <si>
    <t>TCM-2312-029</t>
  </si>
  <si>
    <t>TCM BLEND 0.9 MAX</t>
  </si>
  <si>
    <t>TCM-2312-030</t>
  </si>
  <si>
    <t>BoCT/MV OCEAN ANG (DUMMY)</t>
  </si>
  <si>
    <t>BEK-2312-001</t>
  </si>
  <si>
    <t>BEK-2312-002</t>
  </si>
  <si>
    <t>BEK-2312-075</t>
  </si>
  <si>
    <t>TCM-2312-032</t>
  </si>
  <si>
    <t>TCM-2312-031</t>
  </si>
  <si>
    <t>EMJ-2312-005</t>
  </si>
  <si>
    <t>TCM-2312-033</t>
  </si>
  <si>
    <t>Subs.of BG. ASIA RIDER 601</t>
  </si>
  <si>
    <t>DRY DOCK / BREAKDOWN</t>
  </si>
  <si>
    <t>BEK-2401-001</t>
  </si>
  <si>
    <t>BEK-2401-002</t>
  </si>
  <si>
    <t>BEK-2401-003</t>
  </si>
  <si>
    <t>EMPTY BARGE BACK TO SMD</t>
  </si>
  <si>
    <t>Unloaded Transit</t>
  </si>
  <si>
    <t>MUARA BERAU</t>
  </si>
  <si>
    <t>POD (PORT OF DISCHARGING)</t>
  </si>
  <si>
    <t>JORONG ANCHORAGE</t>
  </si>
  <si>
    <t>NIL</t>
  </si>
  <si>
    <t>BOCT</t>
  </si>
  <si>
    <t>PSB-BoCT</t>
  </si>
  <si>
    <t>Unloading</t>
  </si>
  <si>
    <t>BONTANG</t>
  </si>
  <si>
    <t>PSB-2312-001</t>
  </si>
  <si>
    <t>PRIMA STAR 25</t>
  </si>
  <si>
    <t>PRIMA SAKTI 57</t>
  </si>
  <si>
    <t>MBL JETTY - BoCT</t>
  </si>
  <si>
    <t>MBL-2312-012</t>
  </si>
  <si>
    <t>Waiting Unload</t>
  </si>
  <si>
    <t>Subs.of BG. LINTAS SAMUDERA 95</t>
  </si>
  <si>
    <t>KPM-2312-003</t>
  </si>
  <si>
    <t>Loaded Transit to BoCT</t>
  </si>
  <si>
    <t>JHN-2312-003</t>
  </si>
  <si>
    <t>PASS MUARA BERAU</t>
  </si>
  <si>
    <t>HARAPAN BARU</t>
  </si>
  <si>
    <t>EMJ-2312-006</t>
  </si>
  <si>
    <t>MUARA BERAU ANCHORAGE</t>
  </si>
  <si>
    <t>BEK-2312-064</t>
  </si>
  <si>
    <t>BEK-2312-065</t>
  </si>
  <si>
    <t>BEK-2312-067</t>
  </si>
  <si>
    <t>BEK-2312-063</t>
  </si>
  <si>
    <t>BEK-2312-066</t>
  </si>
  <si>
    <t>Loaded Transit to MBR</t>
  </si>
  <si>
    <t>IMM-2401-001</t>
  </si>
  <si>
    <t>EBH-2312-005</t>
  </si>
  <si>
    <t>BEK-2312-069</t>
  </si>
  <si>
    <t xml:space="preserve">KAELI </t>
  </si>
  <si>
    <t>BEK-2312-070</t>
  </si>
  <si>
    <t>BEK-2312-071</t>
  </si>
  <si>
    <t>BEK-2312-060</t>
  </si>
  <si>
    <t>BEK-2312-062</t>
  </si>
  <si>
    <t xml:space="preserve">Change load port i.o KJA on 21 Dec </t>
  </si>
  <si>
    <t>BEK-2312-061</t>
  </si>
  <si>
    <t>IMM-2312-010</t>
  </si>
  <si>
    <t>IMM-2312-011</t>
  </si>
  <si>
    <t>TCM-2312-035</t>
  </si>
  <si>
    <t>TCM-2312-037</t>
  </si>
  <si>
    <t>TCM-2312-036</t>
  </si>
  <si>
    <t>MBL JETTY-TBN</t>
  </si>
  <si>
    <t>TERATAK</t>
  </si>
  <si>
    <t>MBL-2312-006</t>
  </si>
  <si>
    <t>Original plan to MV. QI FAN LUN</t>
  </si>
  <si>
    <t>MUARA JAWA ANCHORAGE</t>
  </si>
  <si>
    <t>TCM-MJW</t>
  </si>
  <si>
    <t>MUARA JAWA</t>
  </si>
  <si>
    <t>TCM-2312-038</t>
  </si>
  <si>
    <t>BEK-MJW</t>
  </si>
  <si>
    <t>Loaded Transit to MJW</t>
  </si>
  <si>
    <t>PENDINGIN</t>
  </si>
  <si>
    <t>BEK-2312-068</t>
  </si>
  <si>
    <t>BEK-2312-072</t>
  </si>
  <si>
    <t>TCM-2312-034</t>
  </si>
  <si>
    <t>SUNGAI LAIS</t>
  </si>
  <si>
    <t>BEK-2312-073</t>
  </si>
  <si>
    <t>BEK-2312-074</t>
  </si>
  <si>
    <t>POL (PORT OF LOADING)</t>
  </si>
  <si>
    <t>BUNYUT PORT</t>
  </si>
  <si>
    <t>JAN'24 TRIP</t>
  </si>
  <si>
    <t>PSY on 31 Dec</t>
  </si>
  <si>
    <t>Waiting Load1</t>
  </si>
  <si>
    <t>BEK-2401-004</t>
  </si>
  <si>
    <t>Waiting Load2</t>
  </si>
  <si>
    <t>BEK-2401-005</t>
  </si>
  <si>
    <t>Waiting Load3</t>
  </si>
  <si>
    <t>BEK-2401-006</t>
  </si>
  <si>
    <t>Waiting Load4</t>
  </si>
  <si>
    <t>BEK-2401-007</t>
  </si>
  <si>
    <t>Waiting Load5</t>
  </si>
  <si>
    <t>BEK-2401-008</t>
  </si>
  <si>
    <t>Waiting Load6</t>
  </si>
  <si>
    <t>BEK-2401-009</t>
  </si>
  <si>
    <t>Waiting Load7</t>
  </si>
  <si>
    <t>BEK-2401-010</t>
  </si>
  <si>
    <t>Waiting Load8</t>
  </si>
  <si>
    <t>BEK-2401-011</t>
  </si>
  <si>
    <t>Waiting Load9</t>
  </si>
  <si>
    <t>BEK-2401-012</t>
  </si>
  <si>
    <t>Waiting Load10</t>
  </si>
  <si>
    <t>TCM-2401-001</t>
  </si>
  <si>
    <t>Waiting Load11</t>
  </si>
  <si>
    <t>TCM-2401-002</t>
  </si>
  <si>
    <t>Waiting Load12</t>
  </si>
  <si>
    <t>TCM-2401-003</t>
  </si>
  <si>
    <t>Waiting Load13</t>
  </si>
  <si>
    <t>BEK-2401-013</t>
  </si>
  <si>
    <t>Waiting Load14</t>
  </si>
  <si>
    <t>BEK-2401-014</t>
  </si>
  <si>
    <t>Waiting Load15</t>
  </si>
  <si>
    <t>BEK-2401-015</t>
  </si>
  <si>
    <t>Waiting Load16</t>
  </si>
  <si>
    <t>BEK-2401-016</t>
  </si>
  <si>
    <t>Waiting Load17</t>
  </si>
  <si>
    <t>BEK-2401-017</t>
  </si>
  <si>
    <t>Waiting Load18</t>
  </si>
  <si>
    <t>BEK-2401-018</t>
  </si>
  <si>
    <t>Waiting Load19</t>
  </si>
  <si>
    <t>MBL-2401-001</t>
  </si>
  <si>
    <t>Transit to Load Port1</t>
  </si>
  <si>
    <t>PENYINGGAHAN</t>
  </si>
  <si>
    <t>BEK-2401-019</t>
  </si>
  <si>
    <t>Transit to Load Port2</t>
  </si>
  <si>
    <t>DESA LIANG</t>
  </si>
  <si>
    <t>TCM-2401-004</t>
  </si>
  <si>
    <t>Transit to Load Port3</t>
  </si>
  <si>
    <t>MUARA JINTAN</t>
  </si>
  <si>
    <t>TCM-2401-005</t>
  </si>
  <si>
    <t>Transit to Load Port4</t>
  </si>
  <si>
    <t>MUARAPAHU</t>
  </si>
  <si>
    <t>TCM-2401-006</t>
  </si>
  <si>
    <t>Transit to Load Port5</t>
  </si>
  <si>
    <t>LOAJANAN</t>
  </si>
  <si>
    <t>TCM-2401-007</t>
  </si>
  <si>
    <t>Transit to Load Port6</t>
  </si>
  <si>
    <t>LOADURI</t>
  </si>
  <si>
    <t>TCM-2401-008</t>
  </si>
  <si>
    <t>Transit to Load Port7</t>
  </si>
  <si>
    <t>MBL-2401-002</t>
  </si>
  <si>
    <t>Transit to Load Port8</t>
  </si>
  <si>
    <t>TEPIAN ULAQ</t>
  </si>
  <si>
    <t>BEK-2401-020</t>
  </si>
  <si>
    <t>Transit to Load Port9</t>
  </si>
  <si>
    <t>JONGKANG</t>
  </si>
  <si>
    <t>BEK-2401-021</t>
  </si>
  <si>
    <t>Transit to Load Port10</t>
  </si>
  <si>
    <t>SELERONG</t>
  </si>
  <si>
    <t>BEK-2401-022</t>
  </si>
  <si>
    <t>HERCULES 9</t>
  </si>
  <si>
    <t>Subs.of TB. BERAU COAL 1 / BG. ROBBY 112</t>
  </si>
  <si>
    <t>Waiting At None1</t>
  </si>
  <si>
    <t>BEK-2401-023</t>
  </si>
  <si>
    <t>Waiting At None2</t>
  </si>
  <si>
    <t>BEK-2401-024</t>
  </si>
  <si>
    <t>Waiting At None3</t>
  </si>
  <si>
    <t>BEK-2401-025</t>
  </si>
  <si>
    <t>Waiting At None4</t>
  </si>
  <si>
    <t>BEK-2401-026</t>
  </si>
  <si>
    <t>IMM-2401-002</t>
  </si>
  <si>
    <t>BBE PORT</t>
  </si>
  <si>
    <t>Waiting At None</t>
  </si>
  <si>
    <t>BBE-2401-001</t>
  </si>
  <si>
    <t>Change POL i.o BUNYUT on 2 Jan</t>
  </si>
  <si>
    <t>EMJ PORT</t>
  </si>
  <si>
    <t>KPM PORT</t>
  </si>
  <si>
    <t>MBL PORT</t>
  </si>
  <si>
    <t>MML PORT</t>
  </si>
  <si>
    <t>BBS PORT</t>
  </si>
  <si>
    <t>KMIA PORT</t>
  </si>
  <si>
    <t>KJA (KIDECO) PORT</t>
  </si>
  <si>
    <t>PSB PORT</t>
  </si>
  <si>
    <t>MCM PORT</t>
  </si>
  <si>
    <t>JHN &amp; BMM PORT</t>
  </si>
  <si>
    <t>KWA PORT</t>
  </si>
  <si>
    <t>JBG PORT</t>
  </si>
  <si>
    <t>KJM PORT</t>
  </si>
  <si>
    <t>KBM &amp; IKJ PORT</t>
  </si>
  <si>
    <t>BBA PORT</t>
  </si>
  <si>
    <t>GRM PORT</t>
  </si>
  <si>
    <t>IDX PORT</t>
  </si>
  <si>
    <t>ALHASANIE PORT</t>
  </si>
  <si>
    <t>KEI PORT</t>
  </si>
  <si>
    <t>LSP PORT</t>
  </si>
  <si>
    <t>PLAN NEXT TRIP</t>
  </si>
  <si>
    <t>BEK-2401-???</t>
  </si>
  <si>
    <t>MBL-2401-???</t>
  </si>
  <si>
    <t>MV. TRANSPACIFIC</t>
  </si>
  <si>
    <t>TCM-2401-???</t>
  </si>
  <si>
    <t>EBH-MJW</t>
  </si>
  <si>
    <t>EBH-2401-???</t>
  </si>
  <si>
    <t>PLAN NEXT 2nd TRIP</t>
  </si>
  <si>
    <t>Start from SMD</t>
  </si>
  <si>
    <t>Start from BoCT</t>
  </si>
  <si>
    <t>Start from MBR</t>
  </si>
  <si>
    <t>Start from JBG</t>
  </si>
  <si>
    <t>JBG COAL</t>
  </si>
  <si>
    <t>KJA COAL</t>
  </si>
  <si>
    <t>ALHASANIE</t>
  </si>
  <si>
    <t>ALHASANIE COAL</t>
  </si>
  <si>
    <t>KEI COAL</t>
  </si>
  <si>
    <t>HARMONY VIII</t>
  </si>
  <si>
    <t>=</t>
  </si>
  <si>
    <t>BERAU COAL 62</t>
  </si>
  <si>
    <t>ROBBY 201</t>
  </si>
  <si>
    <t>ROBBY 111</t>
  </si>
  <si>
    <t>KALTIM DOLPHIN 80 - 03</t>
  </si>
  <si>
    <t>RMN 318</t>
  </si>
  <si>
    <t>ROBBY 151</t>
  </si>
  <si>
    <t>PST 113</t>
  </si>
  <si>
    <t>KSA 111</t>
  </si>
  <si>
    <t>ARMADA KALTIM 3001</t>
  </si>
  <si>
    <t>ROBBY 130</t>
  </si>
  <si>
    <t>KSA 128</t>
  </si>
  <si>
    <t>HARMONY V</t>
  </si>
  <si>
    <t>ASIA BAY 108</t>
  </si>
  <si>
    <t>KALTIM DOLPHIN 17 - 03</t>
  </si>
  <si>
    <t>KALTIM FT 80-10</t>
  </si>
  <si>
    <t>RMN 321</t>
  </si>
  <si>
    <t>KSA 47</t>
  </si>
  <si>
    <t>KINGSTON 808</t>
  </si>
  <si>
    <t>DHIRA BRATA 90</t>
  </si>
  <si>
    <t>LINTAS SAMUDERA 75</t>
  </si>
  <si>
    <t>KSA 35</t>
  </si>
  <si>
    <t>LINTAS SAMUDERA 73</t>
  </si>
  <si>
    <t>BINTANG III</t>
  </si>
  <si>
    <t>BAIDURI 30301</t>
  </si>
  <si>
    <t>BIG FAIR 16</t>
  </si>
  <si>
    <t>BB 99</t>
  </si>
  <si>
    <t>BERAU COAL 11</t>
  </si>
  <si>
    <t>BERAU COAL 61</t>
  </si>
  <si>
    <t>BLUE DRAGON 58</t>
  </si>
  <si>
    <t>SEA DRAGON 3068</t>
  </si>
  <si>
    <t>MJL 301</t>
  </si>
  <si>
    <t>GONAYA XVI</t>
  </si>
  <si>
    <t>MJL 302</t>
  </si>
  <si>
    <t>LINTAS SAMUDERA 93</t>
  </si>
  <si>
    <t>LINTAS SAMUDERA III</t>
  </si>
  <si>
    <t>KALTIM DOLPHIN 17 - 01</t>
  </si>
  <si>
    <t>KALTIM FT 80-05</t>
  </si>
  <si>
    <t>KALTIM DOLPHIN 17 - 02</t>
  </si>
  <si>
    <t>KALTIM FT 80-04</t>
  </si>
  <si>
    <t>KALTIM FT 80-02</t>
  </si>
  <si>
    <t>KALTIM DOLPHIN 17-01</t>
  </si>
  <si>
    <t>KALTIM DOLPHIN 17-10</t>
  </si>
  <si>
    <t>KINGFISHER 501</t>
  </si>
  <si>
    <t>ASIA STAR 101</t>
  </si>
  <si>
    <t>ASIA RIDER 701</t>
  </si>
  <si>
    <t>RMN 311</t>
  </si>
  <si>
    <t>KSA 109</t>
  </si>
  <si>
    <t>ARMADA KALTIM 02</t>
  </si>
  <si>
    <t>INTAN 7502</t>
  </si>
  <si>
    <t>KSA 116</t>
  </si>
  <si>
    <t>BAIDURI 30272</t>
  </si>
  <si>
    <t>KSA 2000</t>
  </si>
  <si>
    <t>INTAN 7504</t>
  </si>
  <si>
    <t>LINTAS SAMUDERA 76</t>
  </si>
  <si>
    <t>MANGALA</t>
  </si>
  <si>
    <t>MASADA 16</t>
  </si>
  <si>
    <t>TEMAN SEJATI III</t>
  </si>
  <si>
    <t>WILLIAM 2</t>
  </si>
  <si>
    <t>TTB 2009</t>
  </si>
  <si>
    <t>ATLANTIC STAR 808</t>
  </si>
  <si>
    <t>TAURUS 05</t>
  </si>
  <si>
    <t>CHARLES 212</t>
  </si>
  <si>
    <t>ROBBY 82</t>
  </si>
  <si>
    <t>MIROSI</t>
  </si>
  <si>
    <t>ARMADA KALTIM 08</t>
  </si>
  <si>
    <t>MASADA 27</t>
  </si>
  <si>
    <t>JAUHAR</t>
  </si>
  <si>
    <t>ASIA STAR 707</t>
  </si>
  <si>
    <t>CHARLES 2</t>
  </si>
  <si>
    <t>ROBBY 98</t>
  </si>
  <si>
    <t>RMN 384</t>
  </si>
  <si>
    <t>BERAU COAL 65</t>
  </si>
  <si>
    <t>ROBBY 202</t>
  </si>
  <si>
    <t>RMN 381</t>
  </si>
  <si>
    <t>KALTIM DOLPHIN 17-02</t>
  </si>
  <si>
    <t>MULAWARMAN 15</t>
  </si>
  <si>
    <t>BLORO 30</t>
  </si>
  <si>
    <t>KALIMANTAN 28</t>
  </si>
  <si>
    <t>LINTAS SAMUDERA 83</t>
  </si>
  <si>
    <t>LINTAS SAMUDERA IX</t>
  </si>
  <si>
    <t>LINTAS SAMUDERA 97</t>
  </si>
  <si>
    <t>PANCARAN 512</t>
  </si>
  <si>
    <t>PST 512</t>
  </si>
  <si>
    <t>BLORO 2</t>
  </si>
  <si>
    <t>ASIA RIDER 201</t>
  </si>
  <si>
    <t>MASADA 18</t>
  </si>
  <si>
    <t>KOMPAS 3001</t>
  </si>
  <si>
    <t>RMN 3201</t>
  </si>
  <si>
    <t>PST 511</t>
  </si>
  <si>
    <t>BAHARI JAYA 300</t>
  </si>
  <si>
    <t>PANCARAN 111</t>
  </si>
  <si>
    <t>PST 1111</t>
  </si>
  <si>
    <t>TITAN 35</t>
  </si>
  <si>
    <t>TITAN 36</t>
  </si>
  <si>
    <t>MICHELLE 219-01</t>
  </si>
  <si>
    <t>TITAN 11</t>
  </si>
  <si>
    <t>TITAN 12</t>
  </si>
  <si>
    <t>BERAU COAL 118</t>
  </si>
  <si>
    <t>BINA MARINE 25</t>
  </si>
  <si>
    <t>TITAN 20</t>
  </si>
  <si>
    <t>TITAN 19</t>
  </si>
  <si>
    <t>BINA MARINE 26</t>
  </si>
  <si>
    <t>GONAYA X</t>
  </si>
  <si>
    <t>GONAYA II</t>
  </si>
  <si>
    <t>HARMONY XV</t>
  </si>
  <si>
    <t>ROBBY 134</t>
  </si>
  <si>
    <t>PANCARAN 611</t>
  </si>
  <si>
    <t>KALTIM DOLPHIN 17-04</t>
  </si>
  <si>
    <t>MITRA STAR 10</t>
  </si>
  <si>
    <t>MITRA X</t>
  </si>
  <si>
    <t>DELTA ABADI 38</t>
  </si>
  <si>
    <t>KALIMANTAN CAHAYA 2</t>
  </si>
  <si>
    <t>TTB 1601</t>
  </si>
  <si>
    <t>CA 8001</t>
  </si>
  <si>
    <t>MITRA STAR II</t>
  </si>
  <si>
    <t>FINACIA 19</t>
  </si>
  <si>
    <t>ENTEBE EMERALD 32</t>
  </si>
  <si>
    <t>MITRA VI</t>
  </si>
  <si>
    <t>BARAKUDA 1</t>
  </si>
  <si>
    <t>MARITIM PERKASA 3018</t>
  </si>
  <si>
    <t>CAKRAWALA III</t>
  </si>
  <si>
    <t>LINTAS SAMUDERA 79</t>
  </si>
  <si>
    <t>LINTAS SAMUDERA XXVI</t>
  </si>
  <si>
    <t>LINTAS SAMUDERA 78</t>
  </si>
  <si>
    <t>LINTAS SAMUDERA 67</t>
  </si>
  <si>
    <t>MITRA STAR III</t>
  </si>
  <si>
    <t>MITRA V</t>
  </si>
  <si>
    <t>LINTAS SAMUDERA 58</t>
  </si>
  <si>
    <t>LINTAS SAMUDERA 82</t>
  </si>
  <si>
    <t>KSA 103</t>
  </si>
  <si>
    <t>PACIFIC JAYA 1</t>
  </si>
  <si>
    <t>MARITIM PERKASA 3027</t>
  </si>
  <si>
    <t>MITRA STAR 9</t>
  </si>
  <si>
    <t>TBG 308</t>
  </si>
  <si>
    <t>MAHKOTA VIII</t>
  </si>
  <si>
    <t>MARITIM PERKASA 3022</t>
  </si>
  <si>
    <t>KSA 98</t>
  </si>
  <si>
    <t>ISA 308</t>
  </si>
  <si>
    <t>DELTA CAHAYA 1</t>
  </si>
  <si>
    <t>KALIMANTAN 108</t>
  </si>
  <si>
    <t>KALIMANTAN CAHAYA 8</t>
  </si>
  <si>
    <t>KINGSTON 909</t>
  </si>
  <si>
    <t>DELTA AYU 118</t>
  </si>
  <si>
    <t>KALIMANTAN 68</t>
  </si>
  <si>
    <t>BARAKUDA VI</t>
  </si>
  <si>
    <t>BARAMAR 3012</t>
  </si>
  <si>
    <t>DELTA AYU 28</t>
  </si>
  <si>
    <t>OCEANIC 3</t>
  </si>
  <si>
    <t>VOYAGER 3003</t>
  </si>
  <si>
    <t>OCEANIC 2</t>
  </si>
  <si>
    <t>VOYAGER 3001</t>
  </si>
  <si>
    <t>ECO MARINE 01</t>
  </si>
  <si>
    <t>MARITIM PERKASA 3020</t>
  </si>
  <si>
    <t>INTAN MEGAH 24</t>
  </si>
  <si>
    <t>INTAN KELANA 2</t>
  </si>
  <si>
    <t>INTAN MEGAH 15</t>
  </si>
  <si>
    <t>INTAN KELANA 23</t>
  </si>
  <si>
    <t>KINGSTON 616</t>
  </si>
  <si>
    <t>ASIA STAR 515</t>
  </si>
  <si>
    <t>PANCARAN 610</t>
  </si>
  <si>
    <t>PST 112</t>
  </si>
  <si>
    <t>TTB 2002</t>
  </si>
  <si>
    <t>TBG 305</t>
  </si>
  <si>
    <t>DELTA AYU 168</t>
  </si>
  <si>
    <t>KALIMANTAN 58</t>
  </si>
  <si>
    <t>MITRA III</t>
  </si>
  <si>
    <t>PANCARAN 211</t>
  </si>
  <si>
    <t>RIMAU 3006</t>
  </si>
  <si>
    <t>ECO MARINE 1</t>
  </si>
  <si>
    <t>BARAKUDA II</t>
  </si>
  <si>
    <t>MARITIM PERKASA 3021</t>
  </si>
  <si>
    <t>ARMADA KALTIM 01</t>
  </si>
  <si>
    <t>BARAKUDA I</t>
  </si>
  <si>
    <t>MARITIM PERKASA</t>
  </si>
  <si>
    <t>KSA 53</t>
  </si>
  <si>
    <t>ARMADA KALTIM 3002</t>
  </si>
  <si>
    <t>DELTA AYU 38</t>
  </si>
  <si>
    <t>KALTIM DOLPHIN 17-06</t>
  </si>
  <si>
    <t>CFH 108</t>
  </si>
  <si>
    <t>DELTA CAHAYA 3</t>
  </si>
  <si>
    <t>MITRA STAR VI</t>
  </si>
  <si>
    <t>MITRA IX</t>
  </si>
  <si>
    <t>MITRA STAR 8</t>
  </si>
  <si>
    <t>MITRA VIII</t>
  </si>
  <si>
    <t>MITRA STAR V</t>
  </si>
  <si>
    <t>KALIMANTAN 18</t>
  </si>
  <si>
    <t>PANCARAN 513</t>
  </si>
  <si>
    <t>PST 513</t>
  </si>
  <si>
    <t>HARMONY IX</t>
  </si>
  <si>
    <t>KSA 89</t>
  </si>
  <si>
    <t>VOYAGER 16</t>
  </si>
  <si>
    <t>AZAMARA 18</t>
  </si>
  <si>
    <t>BERAU COAL 10</t>
  </si>
  <si>
    <t>PACIFIC JAYA I</t>
  </si>
  <si>
    <t>BARAKUDA V</t>
  </si>
  <si>
    <t>MARITIM PERKASA 3019</t>
  </si>
  <si>
    <t>KSA 08</t>
  </si>
  <si>
    <t>RMN 360</t>
  </si>
  <si>
    <t>KSA 81</t>
  </si>
  <si>
    <t>DELTA ABADI 7</t>
  </si>
  <si>
    <t>PUTRA LAUTAN IX</t>
  </si>
  <si>
    <t>MARITIM PERKASA 3017</t>
  </si>
  <si>
    <t>INTAN MEGAH 25</t>
  </si>
  <si>
    <t>INTAN KELANA 7</t>
  </si>
  <si>
    <t>ECO MARINE 06</t>
  </si>
  <si>
    <t>MARITIM PERKASA 3026</t>
  </si>
  <si>
    <t>PACIFIC JAYA VIII</t>
  </si>
  <si>
    <t xml:space="preserve">MARITIM PERKASA 3029 </t>
  </si>
  <si>
    <t>INTAN MEGAH 3</t>
  </si>
  <si>
    <t>PACIFIC JAYA II</t>
  </si>
  <si>
    <t>ELEANOR 3009</t>
  </si>
  <si>
    <t>MARINA 21</t>
  </si>
  <si>
    <t>KALTIM DOLPHIN 17-08</t>
  </si>
  <si>
    <t>KALTIM FT 8001</t>
  </si>
  <si>
    <t>ROBBY 126</t>
  </si>
  <si>
    <t>PRIME 161</t>
  </si>
  <si>
    <t>PB 3033</t>
  </si>
  <si>
    <t>ECHO MARINE 02</t>
  </si>
  <si>
    <t>DELTA CAHAYA 5</t>
  </si>
  <si>
    <t>PST 111</t>
  </si>
  <si>
    <t>KALTIM DOLPHIN 17-03</t>
  </si>
  <si>
    <t>PST 8010</t>
  </si>
  <si>
    <t>KSA 04</t>
  </si>
  <si>
    <t>KSA 51</t>
  </si>
  <si>
    <t>PANCARAN 813</t>
  </si>
  <si>
    <t>PST 613</t>
  </si>
  <si>
    <t>PIONEER 2</t>
  </si>
  <si>
    <t>ATK 312</t>
  </si>
  <si>
    <t>SYUKUR 54</t>
  </si>
  <si>
    <t>SYUKUR 49</t>
  </si>
  <si>
    <t>INTAN MEGAH 20</t>
  </si>
  <si>
    <t>INTAN KELANA 25</t>
  </si>
  <si>
    <t>PRIME 167</t>
  </si>
  <si>
    <t>PB 3032</t>
  </si>
  <si>
    <t>PANCARAN 912</t>
  </si>
  <si>
    <t>KSA 108</t>
  </si>
  <si>
    <t>ROBBY 86</t>
  </si>
  <si>
    <t>DELTA AYU 78</t>
  </si>
  <si>
    <t>ASIA STAR 303</t>
  </si>
  <si>
    <t>ROBBY 318</t>
  </si>
  <si>
    <t>VINCENT 1</t>
  </si>
  <si>
    <t>KSA 119</t>
  </si>
  <si>
    <t>KSA 112</t>
  </si>
  <si>
    <t>RMN 3301</t>
  </si>
  <si>
    <t xml:space="preserve">MAHAKAM BRIDGE </t>
  </si>
  <si>
    <t>18 Nov - 27 Nov</t>
  </si>
  <si>
    <t>26 Nov - 05 Dec</t>
  </si>
  <si>
    <t xml:space="preserve">STORAGE 2	</t>
  </si>
  <si>
    <t>Remain cargo sent to MV. YIN ZHU HAI</t>
  </si>
  <si>
    <t>30 Nov - 05 Dec</t>
  </si>
  <si>
    <t>03 Dec - 12 Dec</t>
  </si>
  <si>
    <t>25 Nov - 04 Dec</t>
  </si>
  <si>
    <t>BLEND 50:50</t>
  </si>
  <si>
    <t>Remain cargo sent to MV. TM LUSTROUS</t>
  </si>
  <si>
    <t>01 Dec - 10 Dec</t>
  </si>
  <si>
    <t>BLEND 85 : 15</t>
  </si>
  <si>
    <t>BLEND 89 : 11</t>
  </si>
  <si>
    <t>BLEND 87 : 13</t>
  </si>
  <si>
    <t>BLEND 86 : 14</t>
  </si>
  <si>
    <t>Remain cargo sent to MV. QI FAN LUN</t>
  </si>
  <si>
    <t>02 Dec - 11 Dec</t>
  </si>
  <si>
    <t>BLEND 69 : 31</t>
  </si>
  <si>
    <t>06 Dec - 15 Dec</t>
  </si>
  <si>
    <t>Remain cargo sent to MV. VERDURE WAVE</t>
  </si>
  <si>
    <t>08 Dec - 17 Dec</t>
  </si>
  <si>
    <t>Remain cargo sent to MV. DRY TRANSPORT</t>
  </si>
  <si>
    <t>15 Dec - 24 Dec</t>
  </si>
  <si>
    <t>Remain cargo sent to MV. DOLPHIN 76</t>
  </si>
  <si>
    <t>Remain cargo sent to MV. PARASKEVI 2</t>
  </si>
  <si>
    <t>16 Dec - 25 Dec</t>
  </si>
  <si>
    <t>Remain cargo sent to MV. KATAGALAN WISDOM III</t>
  </si>
  <si>
    <t>11 Dec - 20 Dec</t>
  </si>
  <si>
    <t>21 Dec - 30 Dec</t>
  </si>
  <si>
    <t>Remaining cargo will sent MV. MDM BATUR</t>
  </si>
  <si>
    <t>No remain cargo on last barge BG. PST 1112</t>
  </si>
  <si>
    <t>Remain cargo sent to MV. RIN YO</t>
  </si>
  <si>
    <t>END USER</t>
  </si>
  <si>
    <t>TIME ARRIVAL</t>
  </si>
  <si>
    <t>Jan'23</t>
  </si>
  <si>
    <t>KBM-2212-003</t>
  </si>
  <si>
    <t>MV. FLORENTINE OETKER</t>
  </si>
  <si>
    <t>SCGC #4/4</t>
  </si>
  <si>
    <t>MCM-2212-003</t>
  </si>
  <si>
    <t>MV. SEA OPAL</t>
  </si>
  <si>
    <t>JIMAH #5/9</t>
  </si>
  <si>
    <t>BBA-2211-002</t>
  </si>
  <si>
    <t>PRIMA STAR 52</t>
  </si>
  <si>
    <t>PRIMA SAKTI 32</t>
  </si>
  <si>
    <t>XINDIAN BAI GUI #9/11 (4450NAR)</t>
  </si>
  <si>
    <t>BBA-2212-001</t>
  </si>
  <si>
    <t>TRANS 23</t>
  </si>
  <si>
    <t>TSM 23</t>
  </si>
  <si>
    <t>BBA-2212-002</t>
  </si>
  <si>
    <t>MML-2212-001</t>
  </si>
  <si>
    <t>KBM-2212-004</t>
  </si>
  <si>
    <t>MV. JIE LI</t>
  </si>
  <si>
    <t>SHENHUA #10/10</t>
  </si>
  <si>
    <t>JHN-2212-003</t>
  </si>
  <si>
    <t>MCM-2212-004</t>
  </si>
  <si>
    <t>MV. ABIGAIL</t>
  </si>
  <si>
    <t>MV. SOHO PRINCIPAL</t>
  </si>
  <si>
    <t>SCCC #1/7</t>
  </si>
  <si>
    <t>MV. KARTINI SAMUDERA</t>
  </si>
  <si>
    <t>TJ. JATI B LOT (M) #08</t>
  </si>
  <si>
    <t>BBA-2212-003</t>
  </si>
  <si>
    <t>PRIMA STAR 9</t>
  </si>
  <si>
    <t>PRIMA STAR 06</t>
  </si>
  <si>
    <t>MV. WAN LI</t>
  </si>
  <si>
    <t>XINDIAN BAI GUI #6/6 (5200NAR)</t>
  </si>
  <si>
    <t>Feb'23</t>
  </si>
  <si>
    <t>MV. DUTA AZZAM</t>
  </si>
  <si>
    <t>JIMAH #6/9</t>
  </si>
  <si>
    <t>MV. ENTERPRISE</t>
  </si>
  <si>
    <t>UPPC #SPOT</t>
  </si>
  <si>
    <t>MCM-2212-005</t>
  </si>
  <si>
    <t>MV. NORD AURIGA</t>
  </si>
  <si>
    <t>JIMAH #7/9</t>
  </si>
  <si>
    <t>TJ. JATI B LOT (M) #09</t>
  </si>
  <si>
    <t>MV. BAO LUCKY</t>
  </si>
  <si>
    <t>SCCC #2/7</t>
  </si>
  <si>
    <t>Mar'23</t>
  </si>
  <si>
    <t>SHENHUA 5200NAR #01</t>
  </si>
  <si>
    <t>MV. BEST TRADER</t>
  </si>
  <si>
    <t>XINDIAN BAI GUI #10/11 (4450NAR)</t>
  </si>
  <si>
    <t>MV. ZHONG XIN PEARL</t>
  </si>
  <si>
    <t>XINDIAN BAI GUI #11/11 (4450NAR)</t>
  </si>
  <si>
    <t>TJ. JATI B LOT (M) #10</t>
  </si>
  <si>
    <t>Apr'23</t>
  </si>
  <si>
    <t>MV. XIN MENG XIANG</t>
  </si>
  <si>
    <t>SHENHUA 5200NAR #1/3</t>
  </si>
  <si>
    <t>MV. FU SHENG</t>
  </si>
  <si>
    <t>ZHEJIANG 5200NAR #1/6</t>
  </si>
  <si>
    <t>BBE-2303-004</t>
  </si>
  <si>
    <t>MV. ACRUX AMELIA</t>
  </si>
  <si>
    <t>JIMAH #8/9</t>
  </si>
  <si>
    <t>XINDIAN BAI GUI #1/6 (5200NAR)</t>
  </si>
  <si>
    <t>SUNNY EXPRESS #6/8</t>
  </si>
  <si>
    <t>TJ. JATI B LOT (H) #20</t>
  </si>
  <si>
    <t>MV. S'HAIL AL DUKHAN</t>
  </si>
  <si>
    <t>XINDIAN BAI GUI #1/7 (4450NAR)</t>
  </si>
  <si>
    <t>May'23</t>
  </si>
  <si>
    <t>MV. SANTARLI</t>
  </si>
  <si>
    <t>XINDIAN BAI GUI #2/6 (5200NAR)</t>
  </si>
  <si>
    <t>MEGA POWER 8</t>
  </si>
  <si>
    <t>MV. MAGIC VENUS</t>
  </si>
  <si>
    <t>JIMAH #9/9</t>
  </si>
  <si>
    <t>MV. DONG JIANG LI</t>
  </si>
  <si>
    <t>SHENHUA 5200NAR #MUTUAL OPTION</t>
  </si>
  <si>
    <t>MV. DIAMOND INDAH</t>
  </si>
  <si>
    <t>SHENHUA 5200NAR TS 2% max #1/6</t>
  </si>
  <si>
    <t>MV. YI LI</t>
  </si>
  <si>
    <t>XINDIAN BAI GUI #2/7 (4450NAR)</t>
  </si>
  <si>
    <t>TJ. JATI B LOT (H) #21</t>
  </si>
  <si>
    <t xml:space="preserve">MV. ALERCE </t>
  </si>
  <si>
    <t>SCGIC (UPPC)</t>
  </si>
  <si>
    <t>MV. LEADING GLORY</t>
  </si>
  <si>
    <t>ZHEJIANG 5200NAR #2/6</t>
  </si>
  <si>
    <t>June'23</t>
  </si>
  <si>
    <t>MV. OCEAN VENUS</t>
  </si>
  <si>
    <t>SUNNY EXPRESS #7/8</t>
  </si>
  <si>
    <t>ZHEJIANG 5200NAR #3/6</t>
  </si>
  <si>
    <t>TJ. JATI B LOT (M) #11</t>
  </si>
  <si>
    <t>MV. BEI LUN HAI 81</t>
  </si>
  <si>
    <t>XINDIAN BAI GUI 5200NAR #MO</t>
  </si>
  <si>
    <t>MV. W-MAYFAIR</t>
  </si>
  <si>
    <t>HUANENG (previous #5/8)</t>
  </si>
  <si>
    <t>TOSOH #01</t>
  </si>
  <si>
    <t>TJ. JATI B LOT (H) #22</t>
  </si>
  <si>
    <t>SCCC #3/7</t>
  </si>
  <si>
    <t>July'23</t>
  </si>
  <si>
    <t>MV. S'HAIL AL RAYAN</t>
  </si>
  <si>
    <t>XINDIAN BAI GUI #3/6 (5200NAR)</t>
  </si>
  <si>
    <t>MV. XIANG MING YANG</t>
  </si>
  <si>
    <t>HUANENG #8/8</t>
  </si>
  <si>
    <t>MV. ALPHA AFOVOS</t>
  </si>
  <si>
    <t>YUEDIAN #2/2</t>
  </si>
  <si>
    <t>TJ. JATI B LOT (M) #12</t>
  </si>
  <si>
    <t>MV. DE XIN HE XIE</t>
  </si>
  <si>
    <t>SHENHUA 5200NAR TS 2% max #2/6</t>
  </si>
  <si>
    <t>MV. ALPHA MELODY</t>
  </si>
  <si>
    <t>SHENHUA 5200NAR #2/3</t>
  </si>
  <si>
    <t>MV. ANDREA PALLADIO</t>
  </si>
  <si>
    <t>JERA #2/7</t>
  </si>
  <si>
    <t>MV. TAI HANG 1</t>
  </si>
  <si>
    <t>XINDIAN BAI GUI #4/6 (5200NAR)</t>
  </si>
  <si>
    <t>MV. BULK BATAVIA (Voy.2)</t>
  </si>
  <si>
    <t>TJ. JATI B LOT (H) #23</t>
  </si>
  <si>
    <t>TOSOH #02</t>
  </si>
  <si>
    <t>Aug'23</t>
  </si>
  <si>
    <t xml:space="preserve">NOBEL SEA 202 </t>
  </si>
  <si>
    <t>MV. LING BAI</t>
  </si>
  <si>
    <t>SHENHUA 5200NAR TS 2% max #3/6</t>
  </si>
  <si>
    <t>MV. LESTARI MANJUNG</t>
  </si>
  <si>
    <t>JIMAH #1/4</t>
  </si>
  <si>
    <t>MV. NEMRUT BAY</t>
  </si>
  <si>
    <t>UPPC #2/5</t>
  </si>
  <si>
    <t>MV. HONGCHANG</t>
  </si>
  <si>
    <t>SHENHUA 5200NAR TS 2% max #4/6</t>
  </si>
  <si>
    <t>SHENHUA 5200NAR #3/3</t>
  </si>
  <si>
    <t>SHENHUA 5200NAR TS 2% #MO</t>
  </si>
  <si>
    <t>TJ. JATI B LOT (M) #13</t>
  </si>
  <si>
    <t>MV. TAI HANG 3</t>
  </si>
  <si>
    <t>XINDIAN BAI GUI #5/6 (5200NAR)</t>
  </si>
  <si>
    <t>MV. TIAN SHENG 26</t>
  </si>
  <si>
    <t>TJ. JATI B LOT (H) #24</t>
  </si>
  <si>
    <t>Sept'23</t>
  </si>
  <si>
    <t>MV. DA TANG 712</t>
  </si>
  <si>
    <t>ZHEJIANG 5200NAR #4/6</t>
  </si>
  <si>
    <t>MV. MH OSLO</t>
  </si>
  <si>
    <t>SCCC #4/7</t>
  </si>
  <si>
    <t>SHENHUA 4450NAR #SPOT</t>
  </si>
  <si>
    <t>MV. DONG JIANG HE</t>
  </si>
  <si>
    <t>SUNNY EXPRESS #1/2</t>
  </si>
  <si>
    <t>TJ. JATI B LOT (M) #14</t>
  </si>
  <si>
    <t>Oct'23</t>
  </si>
  <si>
    <t>MV. HOANH SON GALAXY</t>
  </si>
  <si>
    <t>XINDIAN BAI GUI #MO (5200NAR)</t>
  </si>
  <si>
    <t>SHENHUA 5200NAR #1/6</t>
  </si>
  <si>
    <t>TJ. JATI B LOT (H) #25</t>
  </si>
  <si>
    <t>MV. PABAL</t>
  </si>
  <si>
    <t>HO PING POWER #4/4</t>
  </si>
  <si>
    <t>KWA -2309-001</t>
  </si>
  <si>
    <t>MV. OCEAN HAPPY</t>
  </si>
  <si>
    <t>JIMAH #2/6</t>
  </si>
  <si>
    <t>MV. HC ENERGY</t>
  </si>
  <si>
    <t>SHENHUA 5200NAR TS 2% max #5/6</t>
  </si>
  <si>
    <t>TJ. JATI B LOT (M) #15</t>
  </si>
  <si>
    <t>KMIA-2309-004</t>
  </si>
  <si>
    <t>MV. TAI SUMMIT</t>
  </si>
  <si>
    <t>SCCC #5/7</t>
  </si>
  <si>
    <t>ZHEJIANG 5200NAR #5/6</t>
  </si>
  <si>
    <t>TJ. JATI B LOT (H) #26</t>
  </si>
  <si>
    <t>Nov'23</t>
  </si>
  <si>
    <t>SUNNY EXPRESS #2/2</t>
  </si>
  <si>
    <t>TJ. JATI B LOT (H) #27</t>
  </si>
  <si>
    <t>MV. AC XINGHAI</t>
  </si>
  <si>
    <t>SUNNY EXPRESS #MO</t>
  </si>
  <si>
    <t>TJ. JATI B LOT (M) #16</t>
  </si>
  <si>
    <t>TJ. JATI B LOT (H) #28</t>
  </si>
  <si>
    <t>Dec'23</t>
  </si>
  <si>
    <t>MV. JIN RUN</t>
  </si>
  <si>
    <t>ZHEJIANG 5200NAR #6/6</t>
  </si>
  <si>
    <t>MV. ORION</t>
  </si>
  <si>
    <t>SCCC #6/7</t>
  </si>
  <si>
    <t>MV. JIN HAI FU</t>
  </si>
  <si>
    <t>SHENHUA 5200NAR TS 2% max #6/6</t>
  </si>
  <si>
    <t>MCM-2311-014</t>
  </si>
  <si>
    <t>TJ. JATI B LOT (H) #29</t>
  </si>
  <si>
    <t>MV. LOWLANDS DAWN</t>
  </si>
  <si>
    <t>JERA #5/7</t>
  </si>
  <si>
    <t>Jan'24</t>
  </si>
  <si>
    <t>MV. PRIMROSE ATLANTIC</t>
  </si>
  <si>
    <t>JIMAH #3/6</t>
  </si>
  <si>
    <t>MV ASIAN MAJESTY</t>
  </si>
  <si>
    <t>EWR #4/4</t>
  </si>
  <si>
    <t>MV BEST UNITY</t>
  </si>
  <si>
    <t>SHENHUA 5200NAR TS 2% #1/8</t>
  </si>
  <si>
    <t>BBA-2312-002</t>
  </si>
  <si>
    <t>1/2/2024  AM IAGWWP</t>
  </si>
  <si>
    <t>1/2/2024  PM IAGWWP</t>
  </si>
  <si>
    <t>1/4/2024  AM IAGWWP</t>
  </si>
  <si>
    <t>25 Dec - 01 Jan</t>
  </si>
  <si>
    <t>1/3/2024  AM IAGWWP</t>
  </si>
  <si>
    <t>Remain cargo</t>
  </si>
  <si>
    <t>26 Dec - 01 Jan</t>
  </si>
  <si>
    <t>BLEND 65 : 35</t>
  </si>
  <si>
    <t>1/6/2024  PM IAGWWP</t>
  </si>
  <si>
    <t>Waiting Load</t>
  </si>
  <si>
    <t>1/7/2024  PM IAGWWP</t>
  </si>
  <si>
    <t>1/8/2024  PM IAGWWP</t>
  </si>
  <si>
    <t>1/10/2024  AM IAGWWP</t>
  </si>
  <si>
    <t>Est.commence loading subject to cargo readiness 100% at MBR &amp; Assume Iskandar served after MV. XIN WU ZHOU 1</t>
  </si>
  <si>
    <t>DEC'23 &amp; JAN'24TRIP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</si>
</sst>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m/d/yy\ h:mm;@"/>
    <numFmt numFmtId="166" formatCode="0.0"/>
    <numFmt numFmtId="167" formatCode="[$-409]d\-mmm;@"/>
    <numFmt numFmtId="168" formatCode="_(&quot;$&quot;* #,##0_);_(&quot;$&quot;* \(#,##0\);_(&quot;$&quot;* &quot;-&quot;??_);_(@_)"/>
    <numFmt numFmtId="169" formatCode="_(* #,##0_);_(* \(#,##0\);_(* &quot;-&quot;??_);_(@_)"/>
    <numFmt numFmtId="170" formatCode="_(* #,##0.000_);_(* \(#,##0.000\);_(* &quot;-&quot;??_);_(@_)"/>
    <numFmt numFmtId="171" formatCode="#,##0.000"/>
    <numFmt numFmtId="172" formatCode="mmm"/>
    <numFmt numFmtId="173" formatCode="\t&quot;$&quot;#,##0_);\(\t&quot;$&quot;#,##0\)"/>
    <numFmt numFmtId="174" formatCode="_(* #,##0.00_);_(* \(#,##0.00\);_(* \-??_);_(@_)"/>
    <numFmt numFmtId="175" formatCode="[$-409]d\-mmm\-yy;@"/>
    <numFmt numFmtId="176" formatCode="0.000"/>
    <numFmt numFmtId="177" formatCode="_(* #,##0.000_);_(* \(#,##0.000\);_(* &quot;-&quot;???_);_(@_)"/>
  </numFmts>
  <fonts count="1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00CC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36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rgb="FF0000CC"/>
      <name val="Calibri"/>
      <family val="2"/>
      <scheme val="minor"/>
    </font>
    <font>
      <sz val="10"/>
      <color rgb="FF0000CC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24"/>
      <color rgb="FF0000CC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</font>
    <font>
      <b/>
      <sz val="8"/>
      <name val="Calibri"/>
      <family val="2"/>
    </font>
    <font>
      <sz val="8"/>
      <name val="Calibri"/>
      <family val="2"/>
      <scheme val="minor"/>
    </font>
    <font>
      <sz val="8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8"/>
      <color rgb="FF0000CC"/>
      <name val="Calibri"/>
      <family val="2"/>
    </font>
    <font>
      <b/>
      <sz val="8"/>
      <color rgb="FFFF0000"/>
      <name val="Calibri"/>
      <family val="2"/>
      <scheme val="minor"/>
    </font>
    <font>
      <b/>
      <sz val="8"/>
      <color rgb="FF0000CC"/>
      <name val="Calibri"/>
      <family val="2"/>
    </font>
    <font>
      <b/>
      <sz val="8"/>
      <color theme="1"/>
      <name val="Calibri"/>
      <family val="2"/>
      <scheme val="minor"/>
    </font>
    <font>
      <sz val="12"/>
      <color theme="1"/>
      <name val="Levenim MT"/>
      <charset val="177"/>
    </font>
    <font>
      <sz val="11"/>
      <color indexed="62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2"/>
      <name val="PMingLiU"/>
      <family val="1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i/>
      <sz val="11"/>
      <color indexed="23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0"/>
      <color rgb="FF000000"/>
      <name val="Arial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20"/>
      <name val="Calibri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8"/>
      <color rgb="FF0000CC"/>
      <name val="Calibri"/>
      <family val="2"/>
      <scheme val="minor"/>
    </font>
    <font>
      <sz val="8"/>
      <color rgb="FF0000CC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8"/>
      <color theme="1"/>
      <name val="Calibri"/>
      <family val="2"/>
      <scheme val="minor"/>
    </font>
    <font>
      <sz val="14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rgb="FF0000CC"/>
      <name val="Calibri"/>
      <family val="2"/>
      <scheme val="minor"/>
    </font>
    <font>
      <b/>
      <sz val="8"/>
      <color rgb="FFFF0000"/>
      <name val="Calibri"/>
      <family val="2"/>
    </font>
    <font>
      <sz val="11"/>
      <color rgb="FF0000CC"/>
      <name val="Calibri"/>
      <family val="2"/>
    </font>
    <font>
      <b/>
      <sz val="13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</font>
    <font>
      <sz val="11"/>
      <color rgb="FFFF0000"/>
      <name val="Calibri"/>
      <family val="2"/>
    </font>
    <font>
      <sz val="13"/>
      <color rgb="FF0000FF"/>
      <name val="Calibri"/>
      <family val="2"/>
      <scheme val="minor"/>
    </font>
    <font>
      <b/>
      <sz val="13"/>
      <name val="Calibri"/>
      <family val="2"/>
      <scheme val="minor"/>
    </font>
    <font>
      <sz val="13"/>
      <color rgb="FF00B050"/>
      <name val="Calibri"/>
      <family val="2"/>
      <scheme val="minor"/>
    </font>
    <font>
      <sz val="11"/>
      <color rgb="FF0000CC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CC"/>
      <name val="Calibri"/>
      <family val="2"/>
    </font>
    <font>
      <b/>
      <sz val="8"/>
      <color rgb="FF000000"/>
      <name val="Calibri"/>
      <family val="2"/>
    </font>
    <font>
      <sz val="11"/>
      <color rgb="FFFFFFFF"/>
      <name val="Calibri"/>
      <family val="2"/>
    </font>
    <font>
      <sz val="8"/>
      <color rgb="FFFF0000"/>
      <name val="Calibri"/>
      <family val="2"/>
    </font>
    <font>
      <b/>
      <sz val="10"/>
      <color rgb="FF0000CC"/>
      <name val="Calibri"/>
      <family val="2"/>
    </font>
    <font>
      <sz val="10"/>
      <color rgb="FF0000CC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8"/>
      <color rgb="FFFF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8"/>
      <color rgb="FF0000CC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28"/>
      <name val="Calibri"/>
      <family val="2"/>
    </font>
    <font>
      <b/>
      <sz val="11"/>
      <color rgb="FF0000CC"/>
      <name val="Calibri"/>
      <family val="2"/>
    </font>
    <font>
      <b/>
      <sz val="10"/>
      <color rgb="FFFF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sz val="8"/>
      <color theme="1"/>
      <name val="Calibri"/>
      <family val="2"/>
      <charset val="1"/>
    </font>
    <font>
      <sz val="8"/>
      <color rgb="FF000000"/>
      <name val="Calibri"/>
      <family val="2"/>
      <charset val="1"/>
    </font>
    <font>
      <sz val="9"/>
      <color rgb="FF000000"/>
      <name val="Calibri"/>
      <family val="2"/>
    </font>
    <font>
      <sz val="11"/>
      <color rgb="FF00B050"/>
      <name val="Calibri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  <charset val="1"/>
    </font>
    <font>
      <b/>
      <sz val="10"/>
      <name val="Calibri"/>
      <family val="2"/>
    </font>
    <font>
      <sz val="10"/>
      <color rgb="FFFF0000"/>
      <name val="Calibri"/>
      <family val="2"/>
    </font>
    <font>
      <sz val="11"/>
      <color rgb="FF00B050"/>
      <name val="Calibri"/>
      <family val="2"/>
    </font>
    <font>
      <sz val="11"/>
      <color theme="0"/>
      <name val="Calibri"/>
      <family val="2"/>
    </font>
    <font>
      <b/>
      <sz val="11"/>
      <color rgb="FFFFFFFF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0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17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58" fillId="21" borderId="0" applyNumberFormat="0" applyBorder="0" applyAlignment="0" applyProtection="0"/>
    <xf numFmtId="0" fontId="50" fillId="21" borderId="0" applyNumberFormat="0" applyBorder="0" applyAlignment="0" applyProtection="0"/>
    <xf numFmtId="0" fontId="58" fillId="15" borderId="0" applyNumberFormat="0" applyBorder="0" applyAlignment="0" applyProtection="0"/>
    <xf numFmtId="0" fontId="58" fillId="22" borderId="0" applyNumberFormat="0" applyBorder="0" applyAlignment="0" applyProtection="0"/>
    <xf numFmtId="0" fontId="58" fillId="25" borderId="0" applyNumberFormat="0" applyBorder="0" applyAlignment="0" applyProtection="0"/>
    <xf numFmtId="0" fontId="17" fillId="0" borderId="0">
      <protection locked="0"/>
    </xf>
    <xf numFmtId="0" fontId="59" fillId="20" borderId="0" applyNumberFormat="0" applyBorder="0" applyAlignment="0" applyProtection="0"/>
    <xf numFmtId="0" fontId="58" fillId="27" borderId="0" applyNumberFormat="0" applyBorder="0" applyAlignment="0" applyProtection="0"/>
    <xf numFmtId="0" fontId="55" fillId="0" borderId="13" applyNumberFormat="0" applyFill="0" applyAlignment="0" applyProtection="0"/>
    <xf numFmtId="0" fontId="48" fillId="15" borderId="9" applyNumberFormat="0" applyAlignment="0" applyProtection="0"/>
    <xf numFmtId="0" fontId="55" fillId="0" borderId="13" applyNumberFormat="0" applyFill="0" applyAlignment="0" applyProtection="0"/>
    <xf numFmtId="0" fontId="54" fillId="17" borderId="12" applyNumberFormat="0" applyAlignment="0" applyProtection="0"/>
    <xf numFmtId="0" fontId="58" fillId="23" borderId="0" applyNumberFormat="0" applyBorder="0" applyAlignment="0" applyProtection="0"/>
    <xf numFmtId="0" fontId="58" fillId="29" borderId="0" applyNumberFormat="0" applyBorder="0" applyAlignment="0" applyProtection="0"/>
    <xf numFmtId="0" fontId="58" fillId="19" borderId="0" applyNumberFormat="0" applyBorder="0" applyAlignment="0" applyProtection="0"/>
    <xf numFmtId="0" fontId="58" fillId="22" borderId="0" applyNumberFormat="0" applyBorder="0" applyAlignment="0" applyProtection="0"/>
    <xf numFmtId="0" fontId="50" fillId="31" borderId="0" applyNumberFormat="0" applyBorder="0" applyAlignment="0" applyProtection="0"/>
    <xf numFmtId="0" fontId="58" fillId="28" borderId="0" applyNumberFormat="0" applyBorder="0" applyAlignment="0" applyProtection="0"/>
    <xf numFmtId="0" fontId="58" fillId="23" borderId="0" applyNumberFormat="0" applyBorder="0" applyAlignment="0" applyProtection="0"/>
    <xf numFmtId="0" fontId="17" fillId="0" borderId="0"/>
    <xf numFmtId="0" fontId="58" fillId="24" borderId="0" applyNumberFormat="0" applyBorder="0" applyAlignment="0" applyProtection="0"/>
    <xf numFmtId="0" fontId="50" fillId="25" borderId="0" applyNumberFormat="0" applyBorder="0" applyAlignment="0" applyProtection="0"/>
    <xf numFmtId="0" fontId="50" fillId="16" borderId="0" applyNumberFormat="0" applyBorder="0" applyAlignment="0" applyProtection="0"/>
    <xf numFmtId="0" fontId="50" fillId="30" borderId="0" applyNumberFormat="0" applyBorder="0" applyAlignment="0" applyProtection="0"/>
    <xf numFmtId="44" fontId="17" fillId="0" borderId="0" applyFont="0" applyFill="0" applyBorder="0" applyAlignment="0" applyProtection="0"/>
    <xf numFmtId="0" fontId="50" fillId="26" borderId="0" applyNumberFormat="0" applyBorder="0" applyAlignment="0" applyProtection="0"/>
    <xf numFmtId="41" fontId="17" fillId="0" borderId="0" applyFont="0" applyFill="0" applyBorder="0" applyAlignment="0" applyProtection="0"/>
    <xf numFmtId="0" fontId="49" fillId="0" borderId="0" applyNumberFormat="0" applyFill="0" applyBorder="0" applyAlignment="0" applyProtection="0"/>
    <xf numFmtId="41" fontId="17" fillId="0" borderId="0" applyFont="0" applyFill="0" applyBorder="0" applyAlignment="0" applyProtection="0"/>
    <xf numFmtId="0" fontId="2" fillId="0" borderId="0"/>
    <xf numFmtId="41" fontId="17" fillId="0" borderId="0" applyFont="0" applyFill="0" applyBorder="0" applyAlignment="0" applyProtection="0"/>
    <xf numFmtId="0" fontId="53" fillId="19" borderId="0" applyNumberFormat="0" applyBorder="0" applyAlignment="0" applyProtection="0"/>
    <xf numFmtId="0" fontId="2" fillId="0" borderId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164" fontId="5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3" fillId="0" borderId="0">
      <protection locked="0"/>
    </xf>
    <xf numFmtId="43" fontId="17" fillId="0" borderId="0">
      <protection locked="0"/>
    </xf>
    <xf numFmtId="43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4" fontId="17" fillId="0" borderId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2" fillId="0" borderId="0" applyNumberForma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58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9" fillId="0" borderId="0">
      <alignment vertical="center"/>
    </xf>
    <xf numFmtId="0" fontId="2" fillId="0" borderId="0"/>
    <xf numFmtId="0" fontId="56" fillId="0" borderId="14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47" fillId="0" borderId="0"/>
    <xf numFmtId="0" fontId="63" fillId="0" borderId="0">
      <protection locked="0"/>
    </xf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1"/>
    <xf numFmtId="0" fontId="61" fillId="0" borderId="1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65" fillId="35" borderId="17" applyNumberFormat="0" applyAlignment="0" applyProtection="0"/>
    <xf numFmtId="0" fontId="52" fillId="0" borderId="11" applyNumberFormat="0" applyFill="0" applyAlignment="0" applyProtection="0"/>
    <xf numFmtId="0" fontId="67" fillId="27" borderId="0" applyNumberFormat="0" applyBorder="0" applyAlignment="0" applyProtection="0"/>
    <xf numFmtId="0" fontId="54" fillId="17" borderId="12" applyNumberFormat="0" applyAlignment="0" applyProtection="0"/>
    <xf numFmtId="0" fontId="54" fillId="17" borderId="12" applyNumberFormat="0" applyAlignment="0" applyProtection="0"/>
    <xf numFmtId="0" fontId="51" fillId="17" borderId="9" applyNumberFormat="0" applyAlignment="0" applyProtection="0"/>
    <xf numFmtId="0" fontId="51" fillId="17" borderId="9" applyNumberFormat="0" applyAlignment="0" applyProtection="0"/>
    <xf numFmtId="0" fontId="51" fillId="17" borderId="9" applyNumberFormat="0" applyAlignment="0" applyProtection="0"/>
    <xf numFmtId="0" fontId="60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7" fillId="0" borderId="0"/>
    <xf numFmtId="0" fontId="48" fillId="15" borderId="9" applyNumberFormat="0" applyAlignment="0" applyProtection="0"/>
    <xf numFmtId="0" fontId="48" fillId="15" borderId="9" applyNumberFormat="0" applyAlignment="0" applyProtection="0"/>
    <xf numFmtId="0" fontId="55" fillId="0" borderId="13" applyNumberFormat="0" applyFill="0" applyAlignment="0" applyProtection="0"/>
    <xf numFmtId="0" fontId="50" fillId="18" borderId="0" applyNumberFormat="0" applyBorder="0" applyAlignment="0" applyProtection="0"/>
    <xf numFmtId="0" fontId="50" fillId="34" borderId="0" applyNumberFormat="0" applyBorder="0" applyAlignment="0" applyProtection="0"/>
    <xf numFmtId="0" fontId="50" fillId="33" borderId="0" applyNumberFormat="0" applyBorder="0" applyAlignment="0" applyProtection="0"/>
    <xf numFmtId="0" fontId="50" fillId="16" borderId="0" applyNumberFormat="0" applyBorder="0" applyAlignment="0" applyProtection="0"/>
    <xf numFmtId="0" fontId="50" fillId="30" borderId="0" applyNumberFormat="0" applyBorder="0" applyAlignment="0" applyProtection="0"/>
    <xf numFmtId="0" fontId="50" fillId="36" borderId="0" applyNumberFormat="0" applyBorder="0" applyAlignment="0" applyProtection="0"/>
    <xf numFmtId="0" fontId="17" fillId="32" borderId="15" applyNumberFormat="0" applyFont="0" applyAlignment="0" applyProtection="0"/>
    <xf numFmtId="0" fontId="17" fillId="32" borderId="15" applyNumberFormat="0" applyFont="0" applyAlignment="0" applyProtection="0"/>
    <xf numFmtId="0" fontId="17" fillId="32" borderId="15" applyNumberFormat="0" applyFont="0" applyAlignment="0" applyProtection="0"/>
    <xf numFmtId="0" fontId="64" fillId="0" borderId="16" applyNumberFormat="0" applyFill="0" applyAlignment="0" applyProtection="0"/>
    <xf numFmtId="0" fontId="49" fillId="0" borderId="10" applyNumberFormat="0" applyFill="0" applyAlignment="0" applyProtection="0"/>
    <xf numFmtId="0" fontId="57" fillId="0" borderId="0"/>
    <xf numFmtId="43" fontId="68" fillId="0" borderId="0">
      <alignment vertical="top"/>
      <protection locked="0"/>
    </xf>
    <xf numFmtId="164" fontId="68" fillId="0" borderId="0">
      <alignment vertical="top"/>
      <protection locked="0"/>
    </xf>
    <xf numFmtId="164" fontId="68" fillId="0" borderId="0">
      <alignment vertical="top"/>
      <protection locked="0"/>
    </xf>
    <xf numFmtId="43" fontId="68" fillId="0" borderId="0">
      <alignment vertical="top"/>
      <protection locked="0"/>
    </xf>
    <xf numFmtId="43" fontId="2" fillId="0" borderId="0" applyFont="0" applyFill="0" applyBorder="0" applyAlignment="0" applyProtection="0"/>
    <xf numFmtId="0" fontId="58" fillId="21" borderId="0" applyNumberFormat="0" applyBorder="0" applyAlignment="0" applyProtection="0"/>
    <xf numFmtId="0" fontId="58" fillId="15" borderId="0" applyNumberFormat="0" applyBorder="0" applyAlignment="0" applyProtection="0"/>
    <xf numFmtId="0" fontId="58" fillId="22" borderId="0" applyNumberFormat="0" applyBorder="0" applyAlignment="0" applyProtection="0"/>
    <xf numFmtId="0" fontId="58" fillId="25" borderId="0" applyNumberFormat="0" applyBorder="0" applyAlignment="0" applyProtection="0"/>
    <xf numFmtId="0" fontId="58" fillId="27" borderId="0" applyNumberFormat="0" applyBorder="0" applyAlignment="0" applyProtection="0"/>
    <xf numFmtId="0" fontId="58" fillId="23" borderId="0" applyNumberFormat="0" applyBorder="0" applyAlignment="0" applyProtection="0"/>
    <xf numFmtId="0" fontId="58" fillId="29" borderId="0" applyNumberFormat="0" applyBorder="0" applyAlignment="0" applyProtection="0"/>
    <xf numFmtId="0" fontId="58" fillId="19" borderId="0" applyNumberFormat="0" applyBorder="0" applyAlignment="0" applyProtection="0"/>
    <xf numFmtId="0" fontId="58" fillId="22" borderId="0" applyNumberFormat="0" applyBorder="0" applyAlignment="0" applyProtection="0"/>
    <xf numFmtId="0" fontId="58" fillId="28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1"/>
    <xf numFmtId="0" fontId="61" fillId="0" borderId="1"/>
  </cellStyleXfs>
  <cellXfs count="1580">
    <xf numFmtId="0" fontId="0" fillId="0" borderId="0" xfId="0"/>
    <xf numFmtId="0" fontId="3" fillId="0" borderId="0" xfId="0" applyFont="1"/>
    <xf numFmtId="0" fontId="16" fillId="6" borderId="0" xfId="4" applyFont="1" applyFill="1"/>
    <xf numFmtId="0" fontId="16" fillId="6" borderId="0" xfId="4" applyFont="1" applyFill="1" applyAlignment="1">
      <alignment horizontal="center"/>
    </xf>
    <xf numFmtId="0" fontId="16" fillId="6" borderId="0" xfId="4" applyFont="1" applyFill="1" applyAlignment="1">
      <alignment horizontal="center" vertical="center"/>
    </xf>
    <xf numFmtId="1" fontId="16" fillId="6" borderId="0" xfId="4" applyNumberFormat="1" applyFont="1" applyFill="1"/>
    <xf numFmtId="0" fontId="18" fillId="3" borderId="0" xfId="5" applyFont="1" applyFill="1"/>
    <xf numFmtId="0" fontId="18" fillId="3" borderId="0" xfId="5" applyFont="1" applyFill="1" applyAlignment="1">
      <alignment horizontal="center"/>
    </xf>
    <xf numFmtId="165" fontId="18" fillId="3" borderId="0" xfId="4" applyNumberFormat="1" applyFont="1" applyFill="1" applyAlignment="1">
      <alignment horizontal="left"/>
    </xf>
    <xf numFmtId="0" fontId="19" fillId="6" borderId="0" xfId="4" applyFont="1" applyFill="1"/>
    <xf numFmtId="165" fontId="18" fillId="6" borderId="0" xfId="4" applyNumberFormat="1" applyFont="1" applyFill="1"/>
    <xf numFmtId="0" fontId="18" fillId="6" borderId="0" xfId="5" applyFont="1" applyFill="1"/>
    <xf numFmtId="0" fontId="18" fillId="6" borderId="0" xfId="5" applyFont="1" applyFill="1" applyAlignment="1">
      <alignment horizontal="center"/>
    </xf>
    <xf numFmtId="165" fontId="18" fillId="6" borderId="0" xfId="4" applyNumberFormat="1" applyFont="1" applyFill="1" applyAlignment="1">
      <alignment horizontal="left"/>
    </xf>
    <xf numFmtId="165" fontId="20" fillId="6" borderId="0" xfId="4" applyNumberFormat="1" applyFont="1" applyFill="1"/>
    <xf numFmtId="165" fontId="20" fillId="6" borderId="0" xfId="4" applyNumberFormat="1" applyFont="1" applyFill="1" applyAlignment="1">
      <alignment horizontal="center"/>
    </xf>
    <xf numFmtId="165" fontId="21" fillId="6" borderId="0" xfId="4" applyNumberFormat="1" applyFont="1" applyFill="1" applyAlignment="1">
      <alignment horizontal="left"/>
    </xf>
    <xf numFmtId="22" fontId="22" fillId="6" borderId="2" xfId="4" applyNumberFormat="1" applyFont="1" applyFill="1" applyBorder="1" applyAlignment="1">
      <alignment horizontal="center" vertical="center"/>
    </xf>
    <xf numFmtId="170" fontId="19" fillId="6" borderId="0" xfId="1" applyNumberFormat="1" applyFont="1" applyFill="1"/>
    <xf numFmtId="170" fontId="23" fillId="0" borderId="0" xfId="1" applyNumberFormat="1" applyFont="1" applyFill="1"/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23" fillId="0" borderId="0" xfId="4" applyFont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6" fillId="9" borderId="0" xfId="2" applyFont="1" applyFill="1"/>
    <xf numFmtId="0" fontId="20" fillId="6" borderId="0" xfId="5" applyFont="1" applyFill="1" applyAlignment="1">
      <alignment horizontal="center"/>
    </xf>
    <xf numFmtId="0" fontId="36" fillId="3" borderId="0" xfId="5" applyFont="1" applyFill="1"/>
    <xf numFmtId="0" fontId="37" fillId="3" borderId="0" xfId="4" applyFont="1" applyFill="1"/>
    <xf numFmtId="0" fontId="36" fillId="3" borderId="0" xfId="5" applyFont="1" applyFill="1" applyAlignment="1">
      <alignment horizontal="center"/>
    </xf>
    <xf numFmtId="165" fontId="36" fillId="3" borderId="0" xfId="4" applyNumberFormat="1" applyFont="1" applyFill="1" applyAlignment="1">
      <alignment horizontal="left"/>
    </xf>
    <xf numFmtId="0" fontId="37" fillId="6" borderId="0" xfId="4" applyFont="1" applyFill="1"/>
    <xf numFmtId="165" fontId="36" fillId="6" borderId="0" xfId="4" applyNumberFormat="1" applyFont="1" applyFill="1"/>
    <xf numFmtId="0" fontId="38" fillId="6" borderId="0" xfId="4" applyFont="1" applyFill="1" applyAlignment="1">
      <alignment horizontal="center"/>
    </xf>
    <xf numFmtId="0" fontId="36" fillId="6" borderId="0" xfId="5" applyFont="1" applyFill="1"/>
    <xf numFmtId="0" fontId="36" fillId="6" borderId="0" xfId="5" applyFont="1" applyFill="1" applyAlignment="1">
      <alignment horizontal="center"/>
    </xf>
    <xf numFmtId="165" fontId="36" fillId="6" borderId="0" xfId="4" applyNumberFormat="1" applyFont="1" applyFill="1" applyAlignment="1">
      <alignment horizontal="left"/>
    </xf>
    <xf numFmtId="165" fontId="38" fillId="6" borderId="0" xfId="4" applyNumberFormat="1" applyFont="1" applyFill="1" applyAlignment="1">
      <alignment horizontal="center"/>
    </xf>
    <xf numFmtId="0" fontId="39" fillId="6" borderId="0" xfId="0" applyFont="1" applyFill="1"/>
    <xf numFmtId="0" fontId="38" fillId="6" borderId="0" xfId="4" applyFont="1" applyFill="1"/>
    <xf numFmtId="3" fontId="38" fillId="0" borderId="0" xfId="4" applyNumberFormat="1" applyFont="1" applyAlignment="1">
      <alignment vertical="center"/>
    </xf>
    <xf numFmtId="0" fontId="38" fillId="6" borderId="0" xfId="5" applyFont="1" applyFill="1"/>
    <xf numFmtId="1" fontId="38" fillId="6" borderId="0" xfId="5" applyNumberFormat="1" applyFont="1" applyFill="1"/>
    <xf numFmtId="165" fontId="38" fillId="6" borderId="0" xfId="4" applyNumberFormat="1" applyFont="1" applyFill="1" applyAlignment="1">
      <alignment horizontal="right"/>
    </xf>
    <xf numFmtId="171" fontId="38" fillId="6" borderId="0" xfId="4" applyNumberFormat="1" applyFont="1" applyFill="1"/>
    <xf numFmtId="0" fontId="38" fillId="6" borderId="2" xfId="5" applyFont="1" applyFill="1" applyBorder="1" applyAlignment="1">
      <alignment horizontal="center" vertical="top" wrapText="1"/>
    </xf>
    <xf numFmtId="22" fontId="39" fillId="6" borderId="2" xfId="4" applyNumberFormat="1" applyFont="1" applyFill="1" applyBorder="1" applyAlignment="1">
      <alignment horizontal="center" vertical="center"/>
    </xf>
    <xf numFmtId="170" fontId="37" fillId="6" borderId="0" xfId="1" applyNumberFormat="1" applyFont="1" applyFill="1"/>
    <xf numFmtId="165" fontId="36" fillId="6" borderId="0" xfId="4" applyNumberFormat="1" applyFont="1" applyFill="1" applyAlignment="1">
      <alignment horizontal="center"/>
    </xf>
    <xf numFmtId="3" fontId="38" fillId="6" borderId="0" xfId="4" applyNumberFormat="1" applyFont="1" applyFill="1" applyAlignment="1">
      <alignment vertical="center"/>
    </xf>
    <xf numFmtId="0" fontId="37" fillId="6" borderId="2" xfId="4" applyFont="1" applyFill="1" applyBorder="1" applyAlignment="1">
      <alignment vertical="center"/>
    </xf>
    <xf numFmtId="0" fontId="37" fillId="6" borderId="0" xfId="4" applyFont="1" applyFill="1" applyAlignment="1">
      <alignment horizontal="center" vertical="center"/>
    </xf>
    <xf numFmtId="169" fontId="37" fillId="6" borderId="0" xfId="5" applyNumberFormat="1" applyFont="1" applyFill="1" applyAlignment="1">
      <alignment horizontal="center" vertical="center" wrapText="1"/>
    </xf>
    <xf numFmtId="1" fontId="36" fillId="6" borderId="0" xfId="5" applyNumberFormat="1" applyFont="1" applyFill="1" applyAlignment="1">
      <alignment horizontal="center" vertical="center" wrapText="1"/>
    </xf>
    <xf numFmtId="1" fontId="37" fillId="6" borderId="0" xfId="4" applyNumberFormat="1" applyFont="1" applyFill="1"/>
    <xf numFmtId="0" fontId="39" fillId="6" borderId="0" xfId="0" applyFont="1" applyFill="1" applyAlignment="1">
      <alignment horizontal="center"/>
    </xf>
    <xf numFmtId="0" fontId="37" fillId="6" borderId="0" xfId="4" applyFont="1" applyFill="1" applyAlignment="1">
      <alignment horizontal="center"/>
    </xf>
    <xf numFmtId="3" fontId="6" fillId="8" borderId="0" xfId="1" applyNumberFormat="1" applyFont="1" applyFill="1"/>
    <xf numFmtId="0" fontId="38" fillId="8" borderId="0" xfId="4" applyFont="1" applyFill="1"/>
    <xf numFmtId="165" fontId="36" fillId="8" borderId="0" xfId="4" applyNumberFormat="1" applyFont="1" applyFill="1" applyAlignment="1">
      <alignment horizontal="left"/>
    </xf>
    <xf numFmtId="0" fontId="26" fillId="6" borderId="0" xfId="0" applyFont="1" applyFill="1"/>
    <xf numFmtId="3" fontId="6" fillId="0" borderId="0" xfId="1" applyNumberFormat="1" applyFont="1" applyFill="1"/>
    <xf numFmtId="0" fontId="37" fillId="6" borderId="2" xfId="4" applyFont="1" applyFill="1" applyBorder="1"/>
    <xf numFmtId="0" fontId="23" fillId="0" borderId="0" xfId="4" applyFont="1" applyAlignment="1">
      <alignment vertical="center"/>
    </xf>
    <xf numFmtId="0" fontId="6" fillId="0" borderId="0" xfId="2" applyFont="1"/>
    <xf numFmtId="3" fontId="6" fillId="0" borderId="0" xfId="2" applyNumberFormat="1" applyFont="1" applyAlignment="1">
      <alignment horizontal="right"/>
    </xf>
    <xf numFmtId="0" fontId="23" fillId="0" borderId="0" xfId="4" applyFont="1" applyAlignment="1">
      <alignment horizontal="center" vertical="center"/>
    </xf>
    <xf numFmtId="168" fontId="13" fillId="0" borderId="0" xfId="3" applyNumberFormat="1" applyFont="1" applyFill="1"/>
    <xf numFmtId="168" fontId="6" fillId="0" borderId="0" xfId="3" applyNumberFormat="1" applyFont="1" applyFill="1"/>
    <xf numFmtId="167" fontId="13" fillId="0" borderId="0" xfId="2" applyNumberFormat="1" applyFont="1" applyAlignment="1">
      <alignment horizontal="center"/>
    </xf>
    <xf numFmtId="0" fontId="13" fillId="0" borderId="0" xfId="2" applyFont="1"/>
    <xf numFmtId="167" fontId="6" fillId="0" borderId="0" xfId="2" applyNumberFormat="1" applyFont="1" applyAlignment="1">
      <alignment horizontal="center"/>
    </xf>
    <xf numFmtId="165" fontId="6" fillId="0" borderId="0" xfId="2" quotePrefix="1" applyNumberFormat="1" applyFont="1"/>
    <xf numFmtId="165" fontId="7" fillId="0" borderId="0" xfId="2" quotePrefix="1" applyNumberFormat="1" applyFont="1" applyAlignment="1">
      <alignment horizontal="right"/>
    </xf>
    <xf numFmtId="0" fontId="6" fillId="0" borderId="0" xfId="2" applyFont="1" applyAlignment="1">
      <alignment horizontal="center"/>
    </xf>
    <xf numFmtId="0" fontId="2" fillId="0" borderId="0" xfId="2" applyAlignment="1">
      <alignment horizontal="center"/>
    </xf>
    <xf numFmtId="0" fontId="2" fillId="0" borderId="0" xfId="2"/>
    <xf numFmtId="167" fontId="2" fillId="0" borderId="0" xfId="2" applyNumberFormat="1" applyAlignment="1">
      <alignment horizontal="center"/>
    </xf>
    <xf numFmtId="168" fontId="2" fillId="0" borderId="0" xfId="3" applyNumberFormat="1" applyFont="1" applyFill="1"/>
    <xf numFmtId="3" fontId="2" fillId="0" borderId="0" xfId="1" applyNumberFormat="1" applyFont="1" applyFill="1"/>
    <xf numFmtId="3" fontId="2" fillId="0" borderId="0" xfId="1" applyNumberFormat="1" applyFont="1" applyFill="1" applyAlignment="1">
      <alignment horizontal="right"/>
    </xf>
    <xf numFmtId="3" fontId="2" fillId="0" borderId="0" xfId="2" applyNumberFormat="1"/>
    <xf numFmtId="169" fontId="2" fillId="0" borderId="0" xfId="1" applyNumberFormat="1" applyFont="1" applyFill="1"/>
    <xf numFmtId="3" fontId="6" fillId="0" borderId="0" xfId="2" applyNumberFormat="1" applyFont="1" applyAlignment="1">
      <alignment horizont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167" fontId="4" fillId="0" borderId="0" xfId="2" applyNumberFormat="1" applyFont="1" applyAlignment="1">
      <alignment horizontal="center" vertical="center"/>
    </xf>
    <xf numFmtId="168" fontId="4" fillId="0" borderId="0" xfId="3" applyNumberFormat="1" applyFont="1" applyFill="1" applyAlignment="1">
      <alignment vertical="center"/>
    </xf>
    <xf numFmtId="0" fontId="5" fillId="0" borderId="3" xfId="2" applyFont="1" applyBorder="1" applyAlignment="1">
      <alignment horizontal="center" vertical="center"/>
    </xf>
    <xf numFmtId="0" fontId="4" fillId="0" borderId="0" xfId="2" applyFont="1"/>
    <xf numFmtId="0" fontId="5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8" fontId="4" fillId="0" borderId="0" xfId="3" applyNumberFormat="1" applyFont="1" applyFill="1" applyBorder="1" applyAlignment="1">
      <alignment horizontal="center" vertical="center" wrapText="1"/>
    </xf>
    <xf numFmtId="3" fontId="4" fillId="0" borderId="0" xfId="1" applyNumberFormat="1" applyFont="1" applyFill="1" applyBorder="1" applyAlignment="1">
      <alignment horizontal="center" vertical="center" wrapText="1"/>
    </xf>
    <xf numFmtId="3" fontId="4" fillId="0" borderId="0" xfId="2" applyNumberFormat="1" applyFont="1" applyAlignment="1">
      <alignment horizontal="center" vertical="center" wrapText="1"/>
    </xf>
    <xf numFmtId="169" fontId="4" fillId="0" borderId="0" xfId="1" applyNumberFormat="1" applyFont="1" applyFill="1" applyBorder="1" applyAlignment="1">
      <alignment horizontal="center" vertical="center"/>
    </xf>
    <xf numFmtId="0" fontId="5" fillId="0" borderId="0" xfId="2" applyFont="1"/>
    <xf numFmtId="0" fontId="3" fillId="0" borderId="0" xfId="2" applyFont="1"/>
    <xf numFmtId="0" fontId="13" fillId="0" borderId="0" xfId="2" quotePrefix="1" applyFont="1" applyAlignment="1">
      <alignment horizontal="center"/>
    </xf>
    <xf numFmtId="165" fontId="13" fillId="0" borderId="0" xfId="2" quotePrefix="1" applyNumberFormat="1" applyFont="1"/>
    <xf numFmtId="165" fontId="13" fillId="0" borderId="0" xfId="2" quotePrefix="1" applyNumberFormat="1" applyFont="1" applyAlignment="1">
      <alignment horizontal="right"/>
    </xf>
    <xf numFmtId="0" fontId="13" fillId="0" borderId="0" xfId="2" applyFont="1" applyAlignment="1">
      <alignment horizontal="center"/>
    </xf>
    <xf numFmtId="16" fontId="13" fillId="0" borderId="0" xfId="2" applyNumberFormat="1" applyFont="1" applyAlignment="1">
      <alignment horizontal="center"/>
    </xf>
    <xf numFmtId="169" fontId="13" fillId="0" borderId="0" xfId="1" applyNumberFormat="1" applyFont="1" applyFill="1"/>
    <xf numFmtId="0" fontId="5" fillId="0" borderId="0" xfId="2" quotePrefix="1" applyFont="1" applyAlignment="1">
      <alignment horizontal="center"/>
    </xf>
    <xf numFmtId="0" fontId="5" fillId="0" borderId="0" xfId="2" applyFont="1" applyAlignment="1">
      <alignment horizontal="center"/>
    </xf>
    <xf numFmtId="167" fontId="5" fillId="0" borderId="0" xfId="2" applyNumberFormat="1" applyFont="1" applyAlignment="1">
      <alignment horizontal="center"/>
    </xf>
    <xf numFmtId="165" fontId="5" fillId="0" borderId="0" xfId="2" quotePrefix="1" applyNumberFormat="1" applyFont="1"/>
    <xf numFmtId="165" fontId="5" fillId="0" borderId="0" xfId="2" quotePrefix="1" applyNumberFormat="1" applyFont="1" applyAlignment="1">
      <alignment horizontal="right"/>
    </xf>
    <xf numFmtId="168" fontId="5" fillId="0" borderId="0" xfId="3" applyNumberFormat="1" applyFont="1" applyFill="1"/>
    <xf numFmtId="16" fontId="5" fillId="0" borderId="0" xfId="2" applyNumberFormat="1" applyFont="1" applyAlignment="1">
      <alignment horizontal="center"/>
    </xf>
    <xf numFmtId="169" fontId="5" fillId="0" borderId="0" xfId="1" applyNumberFormat="1" applyFont="1" applyFill="1"/>
    <xf numFmtId="0" fontId="2" fillId="0" borderId="0" xfId="6"/>
    <xf numFmtId="0" fontId="3" fillId="0" borderId="0" xfId="6" applyFont="1"/>
    <xf numFmtId="3" fontId="2" fillId="0" borderId="0" xfId="6" applyNumberFormat="1" applyAlignment="1">
      <alignment horizontal="center"/>
    </xf>
    <xf numFmtId="0" fontId="2" fillId="0" borderId="0" xfId="6" applyAlignment="1">
      <alignment horizontal="center"/>
    </xf>
    <xf numFmtId="14" fontId="2" fillId="0" borderId="0" xfId="6" applyNumberFormat="1"/>
    <xf numFmtId="165" fontId="7" fillId="0" borderId="0" xfId="6" applyNumberFormat="1" applyFont="1"/>
    <xf numFmtId="0" fontId="7" fillId="0" borderId="0" xfId="6" applyFont="1"/>
    <xf numFmtId="3" fontId="7" fillId="0" borderId="0" xfId="6" applyNumberFormat="1" applyFont="1" applyAlignment="1">
      <alignment horizontal="center"/>
    </xf>
    <xf numFmtId="0" fontId="7" fillId="0" borderId="0" xfId="6" applyFont="1" applyAlignment="1">
      <alignment horizontal="center"/>
    </xf>
    <xf numFmtId="165" fontId="7" fillId="0" borderId="0" xfId="6" applyNumberFormat="1" applyFont="1" applyAlignment="1">
      <alignment horizontal="center"/>
    </xf>
    <xf numFmtId="14" fontId="7" fillId="0" borderId="0" xfId="6" applyNumberFormat="1" applyFont="1"/>
    <xf numFmtId="0" fontId="6" fillId="0" borderId="0" xfId="6" applyFont="1"/>
    <xf numFmtId="165" fontId="3" fillId="0" borderId="0" xfId="6" applyNumberFormat="1" applyFont="1"/>
    <xf numFmtId="0" fontId="13" fillId="0" borderId="0" xfId="6" applyFont="1"/>
    <xf numFmtId="0" fontId="3" fillId="0" borderId="0" xfId="6" applyFont="1" applyAlignment="1">
      <alignment horizontal="center"/>
    </xf>
    <xf numFmtId="165" fontId="3" fillId="0" borderId="0" xfId="6" applyNumberFormat="1" applyFont="1" applyAlignment="1">
      <alignment horizontal="center"/>
    </xf>
    <xf numFmtId="3" fontId="3" fillId="0" borderId="0" xfId="6" applyNumberFormat="1" applyFont="1" applyAlignment="1">
      <alignment horizontal="center"/>
    </xf>
    <xf numFmtId="14" fontId="3" fillId="0" borderId="0" xfId="6" applyNumberFormat="1" applyFont="1"/>
    <xf numFmtId="9" fontId="5" fillId="2" borderId="0" xfId="9" applyFont="1" applyFill="1"/>
    <xf numFmtId="2" fontId="5" fillId="2" borderId="0" xfId="6" applyNumberFormat="1" applyFont="1" applyFill="1"/>
    <xf numFmtId="166" fontId="6" fillId="0" borderId="0" xfId="6" applyNumberFormat="1" applyFont="1" applyAlignment="1">
      <alignment horizontal="center"/>
    </xf>
    <xf numFmtId="2" fontId="6" fillId="0" borderId="0" xfId="6" applyNumberFormat="1" applyFont="1" applyAlignment="1">
      <alignment horizontal="center"/>
    </xf>
    <xf numFmtId="166" fontId="6" fillId="2" borderId="0" xfId="6" applyNumberFormat="1" applyFont="1" applyFill="1" applyAlignment="1">
      <alignment horizontal="center"/>
    </xf>
    <xf numFmtId="0" fontId="7" fillId="8" borderId="0" xfId="6" applyFont="1" applyFill="1"/>
    <xf numFmtId="3" fontId="7" fillId="0" borderId="0" xfId="6" applyNumberFormat="1" applyFont="1"/>
    <xf numFmtId="165" fontId="7" fillId="0" borderId="0" xfId="6" applyNumberFormat="1" applyFont="1" applyAlignment="1">
      <alignment horizontal="right"/>
    </xf>
    <xf numFmtId="0" fontId="15" fillId="0" borderId="0" xfId="6" applyFont="1"/>
    <xf numFmtId="3" fontId="41" fillId="13" borderId="0" xfId="6" applyNumberFormat="1" applyFont="1" applyFill="1" applyAlignment="1">
      <alignment horizontal="center"/>
    </xf>
    <xf numFmtId="3" fontId="5" fillId="10" borderId="0" xfId="6" applyNumberFormat="1" applyFont="1" applyFill="1" applyAlignment="1">
      <alignment horizontal="center"/>
    </xf>
    <xf numFmtId="0" fontId="35" fillId="0" borderId="0" xfId="6" applyFont="1"/>
    <xf numFmtId="165" fontId="35" fillId="0" borderId="0" xfId="6" applyNumberFormat="1" applyFont="1"/>
    <xf numFmtId="0" fontId="32" fillId="0" borderId="0" xfId="6" applyFont="1"/>
    <xf numFmtId="165" fontId="33" fillId="0" borderId="0" xfId="6" applyNumberFormat="1" applyFont="1" applyAlignment="1">
      <alignment horizontal="center"/>
    </xf>
    <xf numFmtId="165" fontId="33" fillId="0" borderId="0" xfId="6" applyNumberFormat="1" applyFont="1"/>
    <xf numFmtId="3" fontId="33" fillId="0" borderId="0" xfId="6" applyNumberFormat="1" applyFont="1" applyAlignment="1">
      <alignment horizontal="center"/>
    </xf>
    <xf numFmtId="14" fontId="34" fillId="0" borderId="0" xfId="6" applyNumberFormat="1" applyFont="1"/>
    <xf numFmtId="0" fontId="10" fillId="0" borderId="0" xfId="6" applyFont="1"/>
    <xf numFmtId="165" fontId="11" fillId="0" borderId="0" xfId="6" applyNumberFormat="1" applyFont="1"/>
    <xf numFmtId="165" fontId="11" fillId="0" borderId="0" xfId="6" applyNumberFormat="1" applyFont="1" applyAlignment="1">
      <alignment horizontal="center"/>
    </xf>
    <xf numFmtId="2" fontId="11" fillId="0" borderId="0" xfId="6" applyNumberFormat="1" applyFont="1"/>
    <xf numFmtId="165" fontId="10" fillId="0" borderId="0" xfId="6" applyNumberFormat="1" applyFont="1"/>
    <xf numFmtId="3" fontId="10" fillId="0" borderId="0" xfId="6" applyNumberFormat="1" applyFont="1" applyAlignment="1">
      <alignment horizontal="center"/>
    </xf>
    <xf numFmtId="0" fontId="10" fillId="0" borderId="0" xfId="6" applyFont="1" applyAlignment="1">
      <alignment horizontal="center"/>
    </xf>
    <xf numFmtId="165" fontId="10" fillId="0" borderId="0" xfId="6" applyNumberFormat="1" applyFont="1" applyAlignment="1">
      <alignment horizontal="center"/>
    </xf>
    <xf numFmtId="2" fontId="3" fillId="0" borderId="0" xfId="6" applyNumberFormat="1" applyFont="1"/>
    <xf numFmtId="9" fontId="5" fillId="0" borderId="0" xfId="9" applyFont="1" applyFill="1"/>
    <xf numFmtId="2" fontId="5" fillId="0" borderId="0" xfId="6" applyNumberFormat="1" applyFont="1"/>
    <xf numFmtId="22" fontId="10" fillId="0" borderId="0" xfId="6" applyNumberFormat="1" applyFont="1"/>
    <xf numFmtId="3" fontId="41" fillId="0" borderId="0" xfId="6" applyNumberFormat="1" applyFont="1" applyAlignment="1">
      <alignment horizontal="center"/>
    </xf>
    <xf numFmtId="3" fontId="8" fillId="0" borderId="0" xfId="6" applyNumberFormat="1" applyFont="1" applyAlignment="1">
      <alignment horizontal="center"/>
    </xf>
    <xf numFmtId="165" fontId="6" fillId="0" borderId="0" xfId="6" applyNumberFormat="1" applyFont="1"/>
    <xf numFmtId="165" fontId="6" fillId="0" borderId="0" xfId="6" applyNumberFormat="1" applyFont="1" applyAlignment="1">
      <alignment horizontal="center"/>
    </xf>
    <xf numFmtId="0" fontId="6" fillId="0" borderId="0" xfId="6" applyFont="1" applyAlignment="1">
      <alignment horizontal="center"/>
    </xf>
    <xf numFmtId="14" fontId="5" fillId="0" borderId="0" xfId="6" applyNumberFormat="1" applyFont="1"/>
    <xf numFmtId="165" fontId="7" fillId="12" borderId="0" xfId="6" applyNumberFormat="1" applyFont="1" applyFill="1"/>
    <xf numFmtId="4" fontId="3" fillId="0" borderId="0" xfId="6" applyNumberFormat="1" applyFont="1"/>
    <xf numFmtId="3" fontId="41" fillId="0" borderId="0" xfId="7" applyNumberFormat="1" applyFont="1" applyFill="1" applyAlignment="1">
      <alignment horizontal="center"/>
    </xf>
    <xf numFmtId="4" fontId="6" fillId="0" borderId="0" xfId="6" applyNumberFormat="1" applyFont="1"/>
    <xf numFmtId="14" fontId="31" fillId="0" borderId="0" xfId="6" applyNumberFormat="1" applyFont="1" applyAlignment="1">
      <alignment horizontal="center" vertical="center"/>
    </xf>
    <xf numFmtId="14" fontId="12" fillId="0" borderId="0" xfId="6" applyNumberFormat="1" applyFont="1" applyAlignment="1">
      <alignment horizontal="center" vertical="center"/>
    </xf>
    <xf numFmtId="14" fontId="12" fillId="2" borderId="0" xfId="6" applyNumberFormat="1" applyFont="1" applyFill="1" applyAlignment="1">
      <alignment vertical="center"/>
    </xf>
    <xf numFmtId="165" fontId="32" fillId="0" borderId="0" xfId="6" applyNumberFormat="1" applyFont="1"/>
    <xf numFmtId="14" fontId="31" fillId="0" borderId="0" xfId="6" applyNumberFormat="1" applyFont="1" applyAlignment="1">
      <alignment vertical="center"/>
    </xf>
    <xf numFmtId="165" fontId="31" fillId="0" borderId="0" xfId="6" applyNumberFormat="1" applyFont="1" applyAlignment="1">
      <alignment vertical="center"/>
    </xf>
    <xf numFmtId="165" fontId="7" fillId="8" borderId="0" xfId="6" applyNumberFormat="1" applyFont="1" applyFill="1"/>
    <xf numFmtId="0" fontId="11" fillId="0" borderId="0" xfId="6" applyFont="1"/>
    <xf numFmtId="3" fontId="6" fillId="0" borderId="0" xfId="6" applyNumberFormat="1" applyFont="1" applyAlignment="1">
      <alignment horizontal="center"/>
    </xf>
    <xf numFmtId="43" fontId="3" fillId="0" borderId="0" xfId="7" applyFont="1" applyFill="1"/>
    <xf numFmtId="3" fontId="32" fillId="0" borderId="0" xfId="6" applyNumberFormat="1" applyFont="1" applyAlignment="1">
      <alignment horizontal="center"/>
    </xf>
    <xf numFmtId="0" fontId="4" fillId="8" borderId="0" xfId="6" applyFont="1" applyFill="1"/>
    <xf numFmtId="14" fontId="4" fillId="8" borderId="0" xfId="6" applyNumberFormat="1" applyFont="1" applyFill="1"/>
    <xf numFmtId="2" fontId="6" fillId="0" borderId="0" xfId="6" applyNumberFormat="1" applyFont="1"/>
    <xf numFmtId="0" fontId="6" fillId="9" borderId="0" xfId="6" applyFont="1" applyFill="1"/>
    <xf numFmtId="3" fontId="6" fillId="9" borderId="0" xfId="6" applyNumberFormat="1" applyFont="1" applyFill="1" applyAlignment="1">
      <alignment horizontal="center"/>
    </xf>
    <xf numFmtId="165" fontId="6" fillId="9" borderId="0" xfId="6" applyNumberFormat="1" applyFont="1" applyFill="1" applyAlignment="1">
      <alignment horizontal="center"/>
    </xf>
    <xf numFmtId="14" fontId="14" fillId="9" borderId="0" xfId="6" applyNumberFormat="1" applyFont="1" applyFill="1"/>
    <xf numFmtId="3" fontId="5" fillId="4" borderId="0" xfId="7" applyNumberFormat="1" applyFont="1" applyFill="1" applyAlignment="1">
      <alignment horizontal="center"/>
    </xf>
    <xf numFmtId="14" fontId="6" fillId="0" borderId="0" xfId="6" applyNumberFormat="1" applyFont="1"/>
    <xf numFmtId="0" fontId="5" fillId="0" borderId="0" xfId="6" applyFont="1"/>
    <xf numFmtId="172" fontId="6" fillId="0" borderId="0" xfId="2" quotePrefix="1" applyNumberFormat="1" applyFont="1" applyAlignment="1">
      <alignment horizontal="center"/>
    </xf>
    <xf numFmtId="0" fontId="6" fillId="0" borderId="0" xfId="2" quotePrefix="1" applyFont="1" applyAlignment="1">
      <alignment horizontal="center"/>
    </xf>
    <xf numFmtId="165" fontId="6" fillId="0" borderId="0" xfId="2" quotePrefix="1" applyNumberFormat="1" applyFont="1" applyAlignment="1">
      <alignment horizontal="right"/>
    </xf>
    <xf numFmtId="16" fontId="6" fillId="0" borderId="0" xfId="2" applyNumberFormat="1" applyFont="1" applyAlignment="1">
      <alignment horizontal="center"/>
    </xf>
    <xf numFmtId="169" fontId="6" fillId="0" borderId="0" xfId="1" applyNumberFormat="1" applyFont="1" applyFill="1"/>
    <xf numFmtId="16" fontId="6" fillId="0" borderId="0" xfId="2" applyNumberFormat="1" applyFont="1" applyAlignment="1">
      <alignment horizontal="center" wrapText="1"/>
    </xf>
    <xf numFmtId="0" fontId="6" fillId="6" borderId="0" xfId="0" applyFont="1" applyFill="1" applyAlignment="1">
      <alignment horizontal="center"/>
    </xf>
    <xf numFmtId="0" fontId="42" fillId="6" borderId="0" xfId="4" applyFont="1" applyFill="1"/>
    <xf numFmtId="170" fontId="42" fillId="6" borderId="0" xfId="1" applyNumberFormat="1" applyFont="1" applyFill="1"/>
    <xf numFmtId="1" fontId="42" fillId="6" borderId="0" xfId="4" applyNumberFormat="1" applyFont="1" applyFill="1"/>
    <xf numFmtId="165" fontId="44" fillId="6" borderId="0" xfId="4" applyNumberFormat="1" applyFont="1" applyFill="1" applyAlignment="1">
      <alignment horizontal="center"/>
    </xf>
    <xf numFmtId="165" fontId="44" fillId="6" borderId="0" xfId="4" applyNumberFormat="1" applyFont="1" applyFill="1"/>
    <xf numFmtId="0" fontId="44" fillId="6" borderId="0" xfId="5" applyFont="1" applyFill="1" applyAlignment="1">
      <alignment horizontal="center"/>
    </xf>
    <xf numFmtId="0" fontId="43" fillId="6" borderId="0" xfId="4" applyFont="1" applyFill="1"/>
    <xf numFmtId="14" fontId="5" fillId="8" borderId="0" xfId="6" applyNumberFormat="1" applyFont="1" applyFill="1"/>
    <xf numFmtId="0" fontId="42" fillId="6" borderId="0" xfId="4" applyFont="1" applyFill="1" applyAlignment="1">
      <alignment horizontal="center" vertical="center"/>
    </xf>
    <xf numFmtId="165" fontId="6" fillId="0" borderId="0" xfId="6" applyNumberFormat="1" applyFont="1" applyAlignment="1">
      <alignment horizontal="right"/>
    </xf>
    <xf numFmtId="165" fontId="70" fillId="6" borderId="0" xfId="4" applyNumberFormat="1" applyFont="1" applyFill="1" applyAlignment="1">
      <alignment horizontal="left"/>
    </xf>
    <xf numFmtId="22" fontId="71" fillId="6" borderId="2" xfId="4" applyNumberFormat="1" applyFont="1" applyFill="1" applyBorder="1" applyAlignment="1">
      <alignment horizontal="center" vertical="center"/>
    </xf>
    <xf numFmtId="0" fontId="42" fillId="6" borderId="0" xfId="4" applyFont="1" applyFill="1" applyAlignment="1">
      <alignment horizontal="center"/>
    </xf>
    <xf numFmtId="3" fontId="6" fillId="6" borderId="0" xfId="1" applyNumberFormat="1" applyFont="1" applyFill="1"/>
    <xf numFmtId="0" fontId="72" fillId="0" borderId="0" xfId="106" applyFont="1"/>
    <xf numFmtId="0" fontId="42" fillId="0" borderId="0" xfId="104" applyFont="1"/>
    <xf numFmtId="0" fontId="74" fillId="0" borderId="0" xfId="0" applyFont="1"/>
    <xf numFmtId="1" fontId="72" fillId="0" borderId="0" xfId="106" applyNumberFormat="1" applyFont="1" applyAlignment="1">
      <alignment horizontal="center"/>
    </xf>
    <xf numFmtId="3" fontId="6" fillId="0" borderId="0" xfId="6" applyNumberFormat="1" applyFont="1"/>
    <xf numFmtId="0" fontId="8" fillId="0" borderId="0" xfId="6" applyFont="1"/>
    <xf numFmtId="14" fontId="13" fillId="0" borderId="0" xfId="6" applyNumberFormat="1" applyFont="1"/>
    <xf numFmtId="165" fontId="13" fillId="0" borderId="0" xfId="6" applyNumberFormat="1" applyFont="1" applyAlignment="1">
      <alignment horizontal="center"/>
    </xf>
    <xf numFmtId="3" fontId="13" fillId="0" borderId="0" xfId="6" applyNumberFormat="1" applyFont="1" applyAlignment="1">
      <alignment horizontal="center"/>
    </xf>
    <xf numFmtId="0" fontId="13" fillId="0" borderId="0" xfId="6" applyFont="1" applyAlignment="1">
      <alignment horizontal="center"/>
    </xf>
    <xf numFmtId="165" fontId="13" fillId="0" borderId="0" xfId="6" applyNumberFormat="1" applyFont="1"/>
    <xf numFmtId="3" fontId="7" fillId="0" borderId="0" xfId="7" applyNumberFormat="1" applyFont="1" applyFill="1" applyAlignment="1">
      <alignment horizontal="center"/>
    </xf>
    <xf numFmtId="3" fontId="3" fillId="0" borderId="0" xfId="7" applyNumberFormat="1" applyFont="1" applyFill="1" applyAlignment="1">
      <alignment horizontal="center"/>
    </xf>
    <xf numFmtId="166" fontId="3" fillId="0" borderId="0" xfId="6" applyNumberFormat="1" applyFont="1" applyAlignment="1">
      <alignment horizontal="center"/>
    </xf>
    <xf numFmtId="0" fontId="7" fillId="0" borderId="0" xfId="8" applyFont="1"/>
    <xf numFmtId="165" fontId="75" fillId="0" borderId="0" xfId="6" applyNumberFormat="1" applyFont="1"/>
    <xf numFmtId="0" fontId="75" fillId="0" borderId="0" xfId="6" applyFont="1"/>
    <xf numFmtId="3" fontId="0" fillId="0" borderId="0" xfId="2" applyNumberFormat="1" applyFont="1"/>
    <xf numFmtId="165" fontId="2" fillId="0" borderId="0" xfId="6" applyNumberFormat="1" applyAlignment="1">
      <alignment horizontal="center" vertical="center"/>
    </xf>
    <xf numFmtId="3" fontId="2" fillId="0" borderId="0" xfId="6" applyNumberFormat="1" applyAlignment="1">
      <alignment horizontal="center" vertical="center"/>
    </xf>
    <xf numFmtId="0" fontId="2" fillId="0" borderId="0" xfId="6" applyAlignment="1">
      <alignment horizontal="center" vertical="center"/>
    </xf>
    <xf numFmtId="14" fontId="2" fillId="0" borderId="0" xfId="6" applyNumberForma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76" fillId="0" borderId="0" xfId="6" applyFont="1" applyAlignment="1">
      <alignment vertical="center"/>
    </xf>
    <xf numFmtId="165" fontId="76" fillId="0" borderId="0" xfId="6" applyNumberFormat="1" applyFont="1" applyAlignment="1">
      <alignment vertical="center"/>
    </xf>
    <xf numFmtId="0" fontId="76" fillId="0" borderId="0" xfId="6" applyFont="1" applyAlignment="1">
      <alignment horizontal="center" vertical="center"/>
    </xf>
    <xf numFmtId="0" fontId="77" fillId="13" borderId="0" xfId="6" applyFont="1" applyFill="1" applyAlignment="1">
      <alignment vertical="center"/>
    </xf>
    <xf numFmtId="3" fontId="77" fillId="13" borderId="0" xfId="6" applyNumberFormat="1" applyFont="1" applyFill="1" applyAlignment="1">
      <alignment horizontal="center" vertical="center"/>
    </xf>
    <xf numFmtId="165" fontId="78" fillId="0" borderId="0" xfId="6" applyNumberFormat="1" applyFont="1" applyAlignment="1">
      <alignment vertical="center"/>
    </xf>
    <xf numFmtId="0" fontId="78" fillId="0" borderId="0" xfId="6" applyFont="1" applyAlignment="1">
      <alignment vertical="center"/>
    </xf>
    <xf numFmtId="3" fontId="13" fillId="6" borderId="0" xfId="1" applyNumberFormat="1" applyFont="1" applyFill="1"/>
    <xf numFmtId="3" fontId="0" fillId="0" borderId="0" xfId="1" applyNumberFormat="1" applyFont="1" applyFill="1"/>
    <xf numFmtId="168" fontId="13" fillId="0" borderId="0" xfId="3" applyNumberFormat="1" applyFont="1" applyFill="1" applyAlignment="1">
      <alignment wrapText="1"/>
    </xf>
    <xf numFmtId="3" fontId="5" fillId="0" borderId="0" xfId="7" applyNumberFormat="1" applyFont="1" applyFill="1" applyAlignment="1">
      <alignment horizontal="center"/>
    </xf>
    <xf numFmtId="3" fontId="77" fillId="13" borderId="0" xfId="6" applyNumberFormat="1" applyFont="1" applyFill="1" applyAlignment="1">
      <alignment horizontal="center"/>
    </xf>
    <xf numFmtId="0" fontId="5" fillId="0" borderId="3" xfId="6" applyFont="1" applyBorder="1" applyAlignment="1">
      <alignment horizontal="center" vertical="center"/>
    </xf>
    <xf numFmtId="165" fontId="2" fillId="0" borderId="0" xfId="6" applyNumberFormat="1"/>
    <xf numFmtId="165" fontId="2" fillId="0" borderId="0" xfId="6" applyNumberFormat="1" applyAlignment="1">
      <alignment horizontal="center"/>
    </xf>
    <xf numFmtId="0" fontId="7" fillId="0" borderId="0" xfId="2" applyFont="1"/>
    <xf numFmtId="168" fontId="6" fillId="0" borderId="0" xfId="3" applyNumberFormat="1" applyFont="1" applyFill="1" applyAlignment="1">
      <alignment horizontal="center"/>
    </xf>
    <xf numFmtId="0" fontId="37" fillId="6" borderId="0" xfId="4" applyFont="1" applyFill="1" applyAlignment="1">
      <alignment vertical="center"/>
    </xf>
    <xf numFmtId="165" fontId="6" fillId="6" borderId="0" xfId="6" applyNumberFormat="1" applyFont="1" applyFill="1"/>
    <xf numFmtId="167" fontId="3" fillId="0" borderId="0" xfId="2" applyNumberFormat="1" applyFont="1" applyAlignment="1">
      <alignment horizontal="center"/>
    </xf>
    <xf numFmtId="168" fontId="3" fillId="0" borderId="0" xfId="3" applyNumberFormat="1" applyFont="1" applyFill="1"/>
    <xf numFmtId="43" fontId="5" fillId="0" borderId="0" xfId="70" applyFont="1" applyFill="1" applyAlignment="1">
      <alignment horizontal="center"/>
    </xf>
    <xf numFmtId="0" fontId="3" fillId="0" borderId="0" xfId="2" applyFont="1" applyAlignment="1">
      <alignment horizontal="center"/>
    </xf>
    <xf numFmtId="3" fontId="13" fillId="0" borderId="0" xfId="1" applyNumberFormat="1" applyFont="1" applyFill="1"/>
    <xf numFmtId="3" fontId="6" fillId="8" borderId="0" xfId="6" applyNumberFormat="1" applyFont="1" applyFill="1" applyAlignment="1">
      <alignment horizontal="center"/>
    </xf>
    <xf numFmtId="2" fontId="2" fillId="0" borderId="0" xfId="6" applyNumberFormat="1"/>
    <xf numFmtId="165" fontId="6" fillId="8" borderId="0" xfId="6" applyNumberFormat="1" applyFont="1" applyFill="1"/>
    <xf numFmtId="0" fontId="43" fillId="6" borderId="2" xfId="4" applyFont="1" applyFill="1" applyBorder="1" applyAlignment="1">
      <alignment vertical="center"/>
    </xf>
    <xf numFmtId="0" fontId="6" fillId="6" borderId="0" xfId="2" applyFont="1" applyFill="1"/>
    <xf numFmtId="43" fontId="39" fillId="6" borderId="0" xfId="0" applyNumberFormat="1" applyFont="1" applyFill="1"/>
    <xf numFmtId="3" fontId="81" fillId="13" borderId="0" xfId="6" applyNumberFormat="1" applyFont="1" applyFill="1" applyAlignment="1">
      <alignment horizontal="center" vertical="center"/>
    </xf>
    <xf numFmtId="0" fontId="37" fillId="8" borderId="0" xfId="4" applyFont="1" applyFill="1" applyAlignment="1">
      <alignment vertical="center"/>
    </xf>
    <xf numFmtId="171" fontId="37" fillId="8" borderId="0" xfId="4" applyNumberFormat="1" applyFont="1" applyFill="1" applyAlignment="1">
      <alignment vertical="center"/>
    </xf>
    <xf numFmtId="0" fontId="0" fillId="0" borderId="0" xfId="2" applyFont="1"/>
    <xf numFmtId="0" fontId="9" fillId="0" borderId="0" xfId="6" applyFont="1"/>
    <xf numFmtId="22" fontId="39" fillId="0" borderId="3" xfId="4" applyNumberFormat="1" applyFont="1" applyBorder="1" applyAlignment="1">
      <alignment horizontal="center" vertical="center"/>
    </xf>
    <xf numFmtId="4" fontId="37" fillId="6" borderId="0" xfId="4" applyNumberFormat="1" applyFont="1" applyFill="1" applyAlignment="1">
      <alignment vertical="center"/>
    </xf>
    <xf numFmtId="171" fontId="40" fillId="8" borderId="0" xfId="4" applyNumberFormat="1" applyFont="1" applyFill="1" applyAlignment="1">
      <alignment vertical="center"/>
    </xf>
    <xf numFmtId="3" fontId="37" fillId="6" borderId="0" xfId="4" applyNumberFormat="1" applyFont="1" applyFill="1" applyAlignment="1">
      <alignment vertical="center"/>
    </xf>
    <xf numFmtId="0" fontId="77" fillId="0" borderId="0" xfId="6" applyFont="1" applyAlignment="1">
      <alignment vertical="center"/>
    </xf>
    <xf numFmtId="3" fontId="77" fillId="0" borderId="0" xfId="6" applyNumberFormat="1" applyFont="1" applyAlignment="1">
      <alignment horizontal="center" vertical="center"/>
    </xf>
    <xf numFmtId="3" fontId="77" fillId="0" borderId="0" xfId="6" applyNumberFormat="1" applyFont="1" applyAlignment="1">
      <alignment horizontal="center"/>
    </xf>
    <xf numFmtId="171" fontId="37" fillId="6" borderId="0" xfId="4" applyNumberFormat="1" applyFont="1" applyFill="1" applyAlignment="1">
      <alignment vertical="center"/>
    </xf>
    <xf numFmtId="3" fontId="37" fillId="6" borderId="0" xfId="4" applyNumberFormat="1" applyFont="1" applyFill="1" applyAlignment="1">
      <alignment horizontal="right" vertical="center"/>
    </xf>
    <xf numFmtId="165" fontId="6" fillId="0" borderId="0" xfId="6" applyNumberFormat="1" applyFont="1" applyAlignment="1">
      <alignment vertical="center"/>
    </xf>
    <xf numFmtId="168" fontId="5" fillId="8" borderId="0" xfId="3" applyNumberFormat="1" applyFont="1" applyFill="1"/>
    <xf numFmtId="4" fontId="37" fillId="6" borderId="0" xfId="4" applyNumberFormat="1" applyFont="1" applyFill="1" applyAlignment="1">
      <alignment horizontal="center" vertical="center"/>
    </xf>
    <xf numFmtId="0" fontId="6" fillId="8" borderId="0" xfId="6" applyFont="1" applyFill="1"/>
    <xf numFmtId="171" fontId="37" fillId="6" borderId="0" xfId="4" applyNumberFormat="1" applyFont="1" applyFill="1"/>
    <xf numFmtId="3" fontId="6" fillId="4" borderId="0" xfId="6" applyNumberFormat="1" applyFont="1" applyFill="1" applyAlignment="1">
      <alignment horizontal="center"/>
    </xf>
    <xf numFmtId="0" fontId="6" fillId="0" borderId="0" xfId="2" applyFont="1" applyAlignment="1">
      <alignment wrapText="1"/>
    </xf>
    <xf numFmtId="170" fontId="37" fillId="6" borderId="0" xfId="1" applyNumberFormat="1" applyFont="1" applyFill="1" applyBorder="1" applyAlignment="1">
      <alignment vertical="center"/>
    </xf>
    <xf numFmtId="0" fontId="6" fillId="0" borderId="0" xfId="0" applyFont="1" applyAlignment="1">
      <alignment horizontal="center"/>
    </xf>
    <xf numFmtId="3" fontId="45" fillId="6" borderId="0" xfId="4" applyNumberFormat="1" applyFont="1" applyFill="1" applyAlignment="1">
      <alignment vertical="center"/>
    </xf>
    <xf numFmtId="175" fontId="18" fillId="6" borderId="0" xfId="4" applyNumberFormat="1" applyFont="1" applyFill="1" applyAlignment="1">
      <alignment horizontal="left"/>
    </xf>
    <xf numFmtId="0" fontId="38" fillId="7" borderId="18" xfId="4" applyFont="1" applyFill="1" applyBorder="1" applyAlignment="1">
      <alignment horizontal="center" vertical="center"/>
    </xf>
    <xf numFmtId="0" fontId="37" fillId="6" borderId="19" xfId="4" applyFont="1" applyFill="1" applyBorder="1" applyAlignment="1">
      <alignment horizontal="center" vertical="center"/>
    </xf>
    <xf numFmtId="169" fontId="37" fillId="6" borderId="19" xfId="5" applyNumberFormat="1" applyFont="1" applyFill="1" applyBorder="1" applyAlignment="1">
      <alignment horizontal="center" vertical="center" wrapText="1"/>
    </xf>
    <xf numFmtId="1" fontId="36" fillId="6" borderId="19" xfId="5" applyNumberFormat="1" applyFont="1" applyFill="1" applyBorder="1" applyAlignment="1">
      <alignment horizontal="center" vertical="center" wrapText="1"/>
    </xf>
    <xf numFmtId="0" fontId="37" fillId="6" borderId="19" xfId="4" applyFont="1" applyFill="1" applyBorder="1"/>
    <xf numFmtId="3" fontId="38" fillId="6" borderId="0" xfId="4" applyNumberFormat="1" applyFont="1" applyFill="1" applyAlignment="1">
      <alignment horizontal="right" vertical="center"/>
    </xf>
    <xf numFmtId="165" fontId="2" fillId="0" borderId="0" xfId="2" quotePrefix="1" applyNumberFormat="1"/>
    <xf numFmtId="166" fontId="2" fillId="2" borderId="0" xfId="6" applyNumberFormat="1" applyFill="1" applyAlignment="1">
      <alignment horizontal="center"/>
    </xf>
    <xf numFmtId="165" fontId="2" fillId="3" borderId="0" xfId="6" applyNumberFormat="1" applyFill="1"/>
    <xf numFmtId="2" fontId="2" fillId="0" borderId="0" xfId="6" applyNumberFormat="1" applyAlignment="1">
      <alignment horizontal="center"/>
    </xf>
    <xf numFmtId="166" fontId="2" fillId="0" borderId="0" xfId="6" applyNumberFormat="1" applyAlignment="1">
      <alignment horizontal="center"/>
    </xf>
    <xf numFmtId="2" fontId="4" fillId="2" borderId="0" xfId="6" applyNumberFormat="1" applyFont="1" applyFill="1"/>
    <xf numFmtId="9" fontId="4" fillId="2" borderId="0" xfId="9" applyFont="1" applyFill="1"/>
    <xf numFmtId="165" fontId="46" fillId="6" borderId="0" xfId="4" applyNumberFormat="1" applyFont="1" applyFill="1" applyAlignment="1">
      <alignment horizontal="left"/>
    </xf>
    <xf numFmtId="3" fontId="83" fillId="6" borderId="0" xfId="4" applyNumberFormat="1" applyFont="1" applyFill="1" applyAlignment="1">
      <alignment vertical="center"/>
    </xf>
    <xf numFmtId="0" fontId="42" fillId="6" borderId="2" xfId="4" applyFont="1" applyFill="1" applyBorder="1" applyAlignment="1">
      <alignment vertical="center"/>
    </xf>
    <xf numFmtId="3" fontId="13" fillId="0" borderId="0" xfId="2" applyNumberFormat="1" applyFont="1"/>
    <xf numFmtId="171" fontId="42" fillId="6" borderId="0" xfId="4" applyNumberFormat="1" applyFont="1" applyFill="1"/>
    <xf numFmtId="175" fontId="36" fillId="6" borderId="0" xfId="4" applyNumberFormat="1" applyFont="1" applyFill="1" applyAlignment="1">
      <alignment horizontal="left"/>
    </xf>
    <xf numFmtId="165" fontId="7" fillId="10" borderId="0" xfId="6" applyNumberFormat="1" applyFont="1" applyFill="1"/>
    <xf numFmtId="3" fontId="6" fillId="0" borderId="0" xfId="7" applyNumberFormat="1" applyFont="1" applyFill="1" applyAlignment="1">
      <alignment horizontal="center"/>
    </xf>
    <xf numFmtId="171" fontId="37" fillId="6" borderId="0" xfId="4" applyNumberFormat="1" applyFont="1" applyFill="1" applyAlignment="1">
      <alignment horizontal="center" vertical="center"/>
    </xf>
    <xf numFmtId="165" fontId="6" fillId="0" borderId="0" xfId="2" applyNumberFormat="1" applyFont="1" applyAlignment="1">
      <alignment horizontal="right"/>
    </xf>
    <xf numFmtId="165" fontId="6" fillId="0" borderId="0" xfId="2" applyNumberFormat="1" applyFont="1"/>
    <xf numFmtId="172" fontId="6" fillId="8" borderId="0" xfId="2" quotePrefix="1" applyNumberFormat="1" applyFont="1" applyFill="1" applyAlignment="1">
      <alignment horizontal="center"/>
    </xf>
    <xf numFmtId="3" fontId="6" fillId="0" borderId="0" xfId="2" applyNumberFormat="1" applyFont="1"/>
    <xf numFmtId="170" fontId="6" fillId="0" borderId="0" xfId="1" applyNumberFormat="1" applyFont="1" applyFill="1"/>
    <xf numFmtId="0" fontId="37" fillId="0" borderId="2" xfId="4" applyFont="1" applyBorder="1" applyAlignment="1">
      <alignment vertical="center"/>
    </xf>
    <xf numFmtId="0" fontId="37" fillId="0" borderId="0" xfId="4" applyFont="1"/>
    <xf numFmtId="170" fontId="37" fillId="0" borderId="0" xfId="1" applyNumberFormat="1" applyFont="1" applyFill="1" applyBorder="1" applyAlignment="1">
      <alignment vertical="center"/>
    </xf>
    <xf numFmtId="3" fontId="3" fillId="0" borderId="0" xfId="2" applyNumberFormat="1" applyFont="1"/>
    <xf numFmtId="169" fontId="3" fillId="0" borderId="0" xfId="1" applyNumberFormat="1" applyFont="1" applyFill="1"/>
    <xf numFmtId="3" fontId="6" fillId="0" borderId="0" xfId="1" applyNumberFormat="1" applyFont="1" applyFill="1" applyAlignment="1">
      <alignment horizontal="right"/>
    </xf>
    <xf numFmtId="165" fontId="13" fillId="0" borderId="0" xfId="2" applyNumberFormat="1" applyFont="1"/>
    <xf numFmtId="0" fontId="2" fillId="9" borderId="0" xfId="2" applyFill="1"/>
    <xf numFmtId="3" fontId="6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0" fontId="7" fillId="0" borderId="0" xfId="2" applyFont="1" applyAlignment="1">
      <alignment horizontal="center"/>
    </xf>
    <xf numFmtId="167" fontId="7" fillId="0" borderId="0" xfId="2" applyNumberFormat="1" applyFont="1" applyAlignment="1">
      <alignment horizontal="center"/>
    </xf>
    <xf numFmtId="168" fontId="7" fillId="0" borderId="0" xfId="3" applyNumberFormat="1" applyFont="1" applyFill="1"/>
    <xf numFmtId="3" fontId="7" fillId="0" borderId="0" xfId="2" applyNumberFormat="1" applyFont="1"/>
    <xf numFmtId="169" fontId="7" fillId="0" borderId="0" xfId="1" applyNumberFormat="1" applyFont="1" applyFill="1"/>
    <xf numFmtId="165" fontId="7" fillId="0" borderId="0" xfId="2" applyNumberFormat="1" applyFont="1"/>
    <xf numFmtId="4" fontId="10" fillId="0" borderId="0" xfId="6" applyNumberFormat="1" applyFont="1"/>
    <xf numFmtId="165" fontId="6" fillId="3" borderId="0" xfId="6" applyNumberFormat="1" applyFont="1" applyFill="1"/>
    <xf numFmtId="176" fontId="36" fillId="6" borderId="0" xfId="5" applyNumberFormat="1" applyFont="1" applyFill="1" applyAlignment="1">
      <alignment horizontal="center" vertical="center" wrapText="1"/>
    </xf>
    <xf numFmtId="165" fontId="3" fillId="0" borderId="0" xfId="2" applyNumberFormat="1" applyFont="1"/>
    <xf numFmtId="176" fontId="36" fillId="6" borderId="0" xfId="5" applyNumberFormat="1" applyFont="1" applyFill="1" applyAlignment="1">
      <alignment horizontal="right" vertical="center"/>
    </xf>
    <xf numFmtId="176" fontId="42" fillId="6" borderId="0" xfId="4" applyNumberFormat="1" applyFont="1" applyFill="1"/>
    <xf numFmtId="0" fontId="6" fillId="6" borderId="0" xfId="2" applyFont="1" applyFill="1" applyAlignment="1">
      <alignment horizontal="center"/>
    </xf>
    <xf numFmtId="14" fontId="78" fillId="0" borderId="0" xfId="6" applyNumberFormat="1" applyFont="1"/>
    <xf numFmtId="0" fontId="78" fillId="0" borderId="0" xfId="6" applyFont="1"/>
    <xf numFmtId="0" fontId="76" fillId="0" borderId="0" xfId="6" applyFont="1"/>
    <xf numFmtId="165" fontId="76" fillId="0" borderId="0" xfId="6" applyNumberFormat="1" applyFont="1" applyAlignment="1">
      <alignment horizontal="center"/>
    </xf>
    <xf numFmtId="0" fontId="78" fillId="0" borderId="0" xfId="6" applyFont="1" applyAlignment="1">
      <alignment horizontal="center"/>
    </xf>
    <xf numFmtId="3" fontId="85" fillId="0" borderId="0" xfId="6" applyNumberFormat="1" applyFont="1" applyAlignment="1">
      <alignment horizontal="center"/>
    </xf>
    <xf numFmtId="3" fontId="86" fillId="10" borderId="0" xfId="6" applyNumberFormat="1" applyFont="1" applyFill="1" applyAlignment="1">
      <alignment horizontal="center"/>
    </xf>
    <xf numFmtId="165" fontId="78" fillId="0" borderId="0" xfId="6" applyNumberFormat="1" applyFont="1"/>
    <xf numFmtId="165" fontId="78" fillId="0" borderId="0" xfId="6" applyNumberFormat="1" applyFont="1" applyAlignment="1">
      <alignment horizontal="center"/>
    </xf>
    <xf numFmtId="0" fontId="87" fillId="0" borderId="0" xfId="6" applyFont="1"/>
    <xf numFmtId="0" fontId="0" fillId="9" borderId="0" xfId="2" applyFont="1" applyFill="1"/>
    <xf numFmtId="165" fontId="6" fillId="0" borderId="0" xfId="6" applyNumberFormat="1" applyFont="1" applyAlignment="1">
      <alignment wrapText="1"/>
    </xf>
    <xf numFmtId="170" fontId="43" fillId="6" borderId="0" xfId="1" applyNumberFormat="1" applyFont="1" applyFill="1" applyBorder="1" applyAlignment="1">
      <alignment vertical="center"/>
    </xf>
    <xf numFmtId="0" fontId="39" fillId="6" borderId="18" xfId="4" applyFont="1" applyFill="1" applyBorder="1" applyAlignment="1">
      <alignment horizontal="center" vertical="center"/>
    </xf>
    <xf numFmtId="0" fontId="39" fillId="6" borderId="18" xfId="4" applyFont="1" applyFill="1" applyBorder="1" applyAlignment="1">
      <alignment vertical="center"/>
    </xf>
    <xf numFmtId="22" fontId="39" fillId="6" borderId="18" xfId="4" applyNumberFormat="1" applyFont="1" applyFill="1" applyBorder="1" applyAlignment="1">
      <alignment horizontal="center" vertical="center"/>
    </xf>
    <xf numFmtId="165" fontId="7" fillId="0" borderId="0" xfId="0" applyNumberFormat="1" applyFont="1"/>
    <xf numFmtId="165" fontId="2" fillId="0" borderId="0" xfId="2" applyNumberFormat="1"/>
    <xf numFmtId="165" fontId="2" fillId="0" borderId="0" xfId="6" applyNumberFormat="1" applyAlignment="1">
      <alignment horizontal="right"/>
    </xf>
    <xf numFmtId="165" fontId="6" fillId="0" borderId="0" xfId="0" applyNumberFormat="1" applyFont="1"/>
    <xf numFmtId="165" fontId="6" fillId="0" borderId="0" xfId="0" applyNumberFormat="1" applyFont="1" applyAlignment="1">
      <alignment horizontal="center"/>
    </xf>
    <xf numFmtId="0" fontId="39" fillId="0" borderId="19" xfId="6" applyFont="1" applyBorder="1" applyAlignment="1">
      <alignment horizontal="center" vertical="center"/>
    </xf>
    <xf numFmtId="1" fontId="72" fillId="0" borderId="19" xfId="106" applyNumberFormat="1" applyFont="1" applyBorder="1" applyAlignment="1">
      <alignment horizontal="center"/>
    </xf>
    <xf numFmtId="0" fontId="45" fillId="7" borderId="18" xfId="4" applyFont="1" applyFill="1" applyBorder="1" applyAlignment="1">
      <alignment horizontal="center" vertical="center"/>
    </xf>
    <xf numFmtId="0" fontId="79" fillId="7" borderId="18" xfId="4" applyFont="1" applyFill="1" applyBorder="1" applyAlignment="1">
      <alignment horizontal="center" vertical="center"/>
    </xf>
    <xf numFmtId="169" fontId="4" fillId="0" borderId="18" xfId="1" applyNumberFormat="1" applyFont="1" applyFill="1" applyBorder="1" applyAlignment="1">
      <alignment horizontal="center" vertical="center"/>
    </xf>
    <xf numFmtId="0" fontId="0" fillId="0" borderId="0" xfId="6" applyFont="1"/>
    <xf numFmtId="0" fontId="23" fillId="8" borderId="1" xfId="4" applyFont="1" applyFill="1" applyBorder="1" applyAlignment="1">
      <alignment horizontal="center" vertical="center"/>
    </xf>
    <xf numFmtId="170" fontId="23" fillId="8" borderId="1" xfId="1" applyNumberFormat="1" applyFont="1" applyFill="1" applyBorder="1" applyAlignment="1">
      <alignment horizontal="center" vertical="center"/>
    </xf>
    <xf numFmtId="0" fontId="72" fillId="14" borderId="1" xfId="106" applyFont="1" applyFill="1" applyBorder="1" applyAlignment="1">
      <alignment horizontal="center"/>
    </xf>
    <xf numFmtId="0" fontId="39" fillId="3" borderId="1" xfId="6" applyFont="1" applyFill="1" applyBorder="1" applyAlignment="1">
      <alignment horizontal="center" vertical="center"/>
    </xf>
    <xf numFmtId="0" fontId="39" fillId="4" borderId="1" xfId="6" applyFont="1" applyFill="1" applyBorder="1" applyAlignment="1">
      <alignment horizontal="center" vertical="center"/>
    </xf>
    <xf numFmtId="0" fontId="73" fillId="0" borderId="1" xfId="106" applyFont="1" applyBorder="1" applyAlignment="1">
      <alignment vertical="center" wrapText="1"/>
    </xf>
    <xf numFmtId="1" fontId="72" fillId="0" borderId="1" xfId="106" applyNumberFormat="1" applyFont="1" applyBorder="1" applyAlignment="1">
      <alignment horizontal="center"/>
    </xf>
    <xf numFmtId="0" fontId="72" fillId="0" borderId="1" xfId="106" applyFont="1" applyBorder="1" applyAlignment="1">
      <alignment horizontal="right" vertical="center" wrapText="1"/>
    </xf>
    <xf numFmtId="1" fontId="72" fillId="8" borderId="1" xfId="106" applyNumberFormat="1" applyFont="1" applyFill="1" applyBorder="1" applyAlignment="1">
      <alignment horizontal="center"/>
    </xf>
    <xf numFmtId="165" fontId="5" fillId="8" borderId="1" xfId="6" applyNumberFormat="1" applyFont="1" applyFill="1" applyBorder="1" applyAlignment="1">
      <alignment horizontal="center"/>
    </xf>
    <xf numFmtId="0" fontId="72" fillId="0" borderId="1" xfId="106" applyFont="1" applyBorder="1"/>
    <xf numFmtId="165" fontId="5" fillId="0" borderId="1" xfId="6" applyNumberFormat="1" applyFont="1" applyBorder="1" applyAlignment="1">
      <alignment horizontal="center"/>
    </xf>
    <xf numFmtId="1" fontId="5" fillId="0" borderId="1" xfId="6" applyNumberFormat="1" applyFont="1" applyBorder="1" applyAlignment="1">
      <alignment horizontal="center"/>
    </xf>
    <xf numFmtId="0" fontId="72" fillId="0" borderId="1" xfId="106" applyFont="1" applyBorder="1" applyAlignment="1">
      <alignment vertical="center" wrapText="1"/>
    </xf>
    <xf numFmtId="165" fontId="5" fillId="9" borderId="1" xfId="6" applyNumberFormat="1" applyFont="1" applyFill="1" applyBorder="1" applyAlignment="1">
      <alignment horizontal="center"/>
    </xf>
    <xf numFmtId="1" fontId="5" fillId="9" borderId="1" xfId="6" applyNumberFormat="1" applyFont="1" applyFill="1" applyBorder="1" applyAlignment="1">
      <alignment horizontal="center"/>
    </xf>
    <xf numFmtId="0" fontId="72" fillId="14" borderId="1" xfId="106" applyFont="1" applyFill="1" applyBorder="1"/>
    <xf numFmtId="0" fontId="72" fillId="0" borderId="1" xfId="106" applyFont="1" applyBorder="1" applyAlignment="1">
      <alignment horizontal="right"/>
    </xf>
    <xf numFmtId="0" fontId="38" fillId="7" borderId="20" xfId="4" applyFont="1" applyFill="1" applyBorder="1" applyAlignment="1">
      <alignment vertical="center"/>
    </xf>
    <xf numFmtId="0" fontId="38" fillId="7" borderId="21" xfId="4" applyFont="1" applyFill="1" applyBorder="1" applyAlignment="1">
      <alignment horizontal="center" vertical="center"/>
    </xf>
    <xf numFmtId="0" fontId="45" fillId="7" borderId="20" xfId="4" applyFont="1" applyFill="1" applyBorder="1" applyAlignment="1">
      <alignment vertical="center"/>
    </xf>
    <xf numFmtId="0" fontId="45" fillId="7" borderId="21" xfId="4" applyFont="1" applyFill="1" applyBorder="1" applyAlignment="1">
      <alignment horizontal="center" vertical="center"/>
    </xf>
    <xf numFmtId="3" fontId="4" fillId="0" borderId="21" xfId="2" applyNumberFormat="1" applyFont="1" applyBorder="1" applyAlignment="1">
      <alignment vertical="center"/>
    </xf>
    <xf numFmtId="0" fontId="4" fillId="0" borderId="21" xfId="2" applyFont="1" applyBorder="1" applyAlignment="1">
      <alignment horizontal="center" vertical="center"/>
    </xf>
    <xf numFmtId="3" fontId="5" fillId="0" borderId="21" xfId="1" applyNumberFormat="1" applyFont="1" applyFill="1" applyBorder="1" applyAlignment="1">
      <alignment horizontal="center"/>
    </xf>
    <xf numFmtId="0" fontId="39" fillId="6" borderId="20" xfId="4" applyFont="1" applyFill="1" applyBorder="1" applyAlignment="1">
      <alignment horizontal="center" vertical="center"/>
    </xf>
    <xf numFmtId="22" fontId="39" fillId="6" borderId="21" xfId="4" applyNumberFormat="1" applyFont="1" applyFill="1" applyBorder="1" applyAlignment="1">
      <alignment horizontal="center" vertical="center"/>
    </xf>
    <xf numFmtId="0" fontId="88" fillId="0" borderId="0" xfId="0" applyFont="1"/>
    <xf numFmtId="165" fontId="0" fillId="0" borderId="0" xfId="6" applyNumberFormat="1" applyFont="1" applyAlignment="1">
      <alignment horizontal="center"/>
    </xf>
    <xf numFmtId="0" fontId="89" fillId="0" borderId="0" xfId="0" applyFont="1"/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72" fillId="8" borderId="1" xfId="106" applyFont="1" applyFill="1" applyBorder="1" applyAlignment="1">
      <alignment horizontal="center" vertical="center" wrapText="1"/>
    </xf>
    <xf numFmtId="3" fontId="5" fillId="0" borderId="1" xfId="6" applyNumberFormat="1" applyFont="1" applyBorder="1" applyAlignment="1">
      <alignment horizontal="center" vertical="center" wrapText="1"/>
    </xf>
    <xf numFmtId="0" fontId="5" fillId="10" borderId="1" xfId="6" applyFont="1" applyFill="1" applyBorder="1" applyAlignment="1">
      <alignment horizontal="center" vertical="center"/>
    </xf>
    <xf numFmtId="0" fontId="5" fillId="10" borderId="1" xfId="6" applyFont="1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/>
    </xf>
    <xf numFmtId="3" fontId="36" fillId="0" borderId="1" xfId="1" applyNumberFormat="1" applyFont="1" applyFill="1" applyBorder="1" applyAlignment="1">
      <alignment horizontal="center" vertical="center"/>
    </xf>
    <xf numFmtId="0" fontId="38" fillId="11" borderId="1" xfId="5" applyFont="1" applyFill="1" applyBorder="1" applyAlignment="1">
      <alignment horizontal="center" vertical="top" wrapText="1"/>
    </xf>
    <xf numFmtId="0" fontId="38" fillId="7" borderId="1" xfId="5" applyFont="1" applyFill="1" applyBorder="1" applyAlignment="1">
      <alignment horizontal="center" vertical="top" wrapText="1"/>
    </xf>
    <xf numFmtId="3" fontId="36" fillId="0" borderId="1" xfId="1" applyNumberFormat="1" applyFont="1" applyFill="1" applyBorder="1" applyAlignment="1">
      <alignment horizontal="center" vertical="center" wrapText="1"/>
    </xf>
    <xf numFmtId="0" fontId="39" fillId="0" borderId="1" xfId="4" applyFont="1" applyBorder="1" applyAlignment="1">
      <alignment vertical="center"/>
    </xf>
    <xf numFmtId="171" fontId="37" fillId="0" borderId="1" xfId="4" applyNumberFormat="1" applyFont="1" applyBorder="1" applyAlignment="1">
      <alignment horizontal="center" vertical="center"/>
    </xf>
    <xf numFmtId="0" fontId="39" fillId="0" borderId="1" xfId="4" applyFont="1" applyBorder="1" applyAlignment="1">
      <alignment horizontal="center" vertical="center"/>
    </xf>
    <xf numFmtId="22" fontId="39" fillId="0" borderId="1" xfId="4" applyNumberFormat="1" applyFont="1" applyBorder="1" applyAlignment="1">
      <alignment horizontal="center" vertical="center"/>
    </xf>
    <xf numFmtId="0" fontId="36" fillId="0" borderId="1" xfId="5" applyFont="1" applyBorder="1" applyAlignment="1">
      <alignment horizontal="center" vertical="center" wrapText="1"/>
    </xf>
    <xf numFmtId="170" fontId="37" fillId="6" borderId="1" xfId="1" applyNumberFormat="1" applyFont="1" applyFill="1" applyBorder="1" applyAlignment="1">
      <alignment vertical="center"/>
    </xf>
    <xf numFmtId="171" fontId="38" fillId="7" borderId="1" xfId="4" applyNumberFormat="1" applyFont="1" applyFill="1" applyBorder="1" applyAlignment="1">
      <alignment horizontal="center" vertical="center"/>
    </xf>
    <xf numFmtId="0" fontId="38" fillId="7" borderId="1" xfId="4" applyFont="1" applyFill="1" applyBorder="1" applyAlignment="1">
      <alignment vertical="center"/>
    </xf>
    <xf numFmtId="171" fontId="37" fillId="6" borderId="1" xfId="4" applyNumberFormat="1" applyFont="1" applyFill="1" applyBorder="1" applyAlignment="1">
      <alignment horizontal="right" vertical="center"/>
    </xf>
    <xf numFmtId="171" fontId="37" fillId="6" borderId="1" xfId="5" applyNumberFormat="1" applyFont="1" applyFill="1" applyBorder="1" applyAlignment="1">
      <alignment horizontal="right" vertical="top" wrapText="1"/>
    </xf>
    <xf numFmtId="171" fontId="40" fillId="6" borderId="1" xfId="5" applyNumberFormat="1" applyFont="1" applyFill="1" applyBorder="1" applyAlignment="1">
      <alignment horizontal="right" vertical="top" wrapText="1"/>
    </xf>
    <xf numFmtId="0" fontId="36" fillId="5" borderId="1" xfId="4" applyFont="1" applyFill="1" applyBorder="1" applyAlignment="1">
      <alignment horizontal="center" vertical="center"/>
    </xf>
    <xf numFmtId="3" fontId="46" fillId="0" borderId="1" xfId="1" applyNumberFormat="1" applyFont="1" applyFill="1" applyBorder="1" applyAlignment="1">
      <alignment horizontal="center" vertical="center"/>
    </xf>
    <xf numFmtId="3" fontId="46" fillId="0" borderId="1" xfId="1" applyNumberFormat="1" applyFont="1" applyFill="1" applyBorder="1" applyAlignment="1">
      <alignment horizontal="center" vertical="center" wrapText="1"/>
    </xf>
    <xf numFmtId="0" fontId="39" fillId="8" borderId="1" xfId="4" applyFont="1" applyFill="1" applyBorder="1" applyAlignment="1">
      <alignment vertical="center"/>
    </xf>
    <xf numFmtId="171" fontId="37" fillId="8" borderId="1" xfId="4" applyNumberFormat="1" applyFont="1" applyFill="1" applyBorder="1" applyAlignment="1">
      <alignment horizontal="center" vertical="center"/>
    </xf>
    <xf numFmtId="0" fontId="79" fillId="7" borderId="1" xfId="4" applyFont="1" applyFill="1" applyBorder="1" applyAlignment="1">
      <alignment vertical="center"/>
    </xf>
    <xf numFmtId="170" fontId="43" fillId="6" borderId="1" xfId="1" applyNumberFormat="1" applyFont="1" applyFill="1" applyBorder="1" applyAlignment="1">
      <alignment vertical="center"/>
    </xf>
    <xf numFmtId="170" fontId="40" fillId="6" borderId="1" xfId="1" applyNumberFormat="1" applyFont="1" applyFill="1" applyBorder="1" applyAlignment="1">
      <alignment vertical="center"/>
    </xf>
    <xf numFmtId="171" fontId="40" fillId="6" borderId="1" xfId="4" applyNumberFormat="1" applyFont="1" applyFill="1" applyBorder="1" applyAlignment="1">
      <alignment horizontal="right" vertical="center"/>
    </xf>
    <xf numFmtId="22" fontId="71" fillId="0" borderId="1" xfId="4" applyNumberFormat="1" applyFont="1" applyBorder="1" applyAlignment="1">
      <alignment horizontal="center" vertical="center"/>
    </xf>
    <xf numFmtId="0" fontId="44" fillId="0" borderId="1" xfId="5" applyFont="1" applyBorder="1" applyAlignment="1">
      <alignment horizontal="center" vertical="center" wrapText="1"/>
    </xf>
    <xf numFmtId="170" fontId="37" fillId="8" borderId="1" xfId="1" applyNumberFormat="1" applyFont="1" applyFill="1" applyBorder="1" applyAlignment="1">
      <alignment vertical="center"/>
    </xf>
    <xf numFmtId="171" fontId="37" fillId="6" borderId="1" xfId="4" applyNumberFormat="1" applyFont="1" applyFill="1" applyBorder="1"/>
    <xf numFmtId="170" fontId="37" fillId="0" borderId="1" xfId="1" applyNumberFormat="1" applyFont="1" applyFill="1" applyBorder="1" applyAlignment="1">
      <alignment vertical="center"/>
    </xf>
    <xf numFmtId="0" fontId="74" fillId="0" borderId="1" xfId="4" applyFont="1" applyBorder="1" applyAlignment="1">
      <alignment vertical="center"/>
    </xf>
    <xf numFmtId="171" fontId="42" fillId="0" borderId="1" xfId="4" applyNumberFormat="1" applyFont="1" applyBorder="1" applyAlignment="1">
      <alignment horizontal="center" vertical="center"/>
    </xf>
    <xf numFmtId="0" fontId="74" fillId="0" borderId="1" xfId="4" applyFont="1" applyBorder="1" applyAlignment="1">
      <alignment horizontal="center" vertical="center"/>
    </xf>
    <xf numFmtId="22" fontId="74" fillId="0" borderId="1" xfId="4" applyNumberFormat="1" applyFont="1" applyBorder="1" applyAlignment="1">
      <alignment horizontal="center" vertical="center"/>
    </xf>
    <xf numFmtId="0" fontId="46" fillId="0" borderId="1" xfId="5" applyFont="1" applyBorder="1" applyAlignment="1">
      <alignment horizontal="center" vertical="center" wrapText="1"/>
    </xf>
    <xf numFmtId="170" fontId="42" fillId="6" borderId="1" xfId="1" applyNumberFormat="1" applyFont="1" applyFill="1" applyBorder="1" applyAlignment="1">
      <alignment vertical="center"/>
    </xf>
    <xf numFmtId="0" fontId="74" fillId="8" borderId="1" xfId="4" applyFont="1" applyFill="1" applyBorder="1" applyAlignment="1">
      <alignment vertical="center"/>
    </xf>
    <xf numFmtId="171" fontId="42" fillId="6" borderId="1" xfId="4" applyNumberFormat="1" applyFont="1" applyFill="1" applyBorder="1"/>
    <xf numFmtId="0" fontId="39" fillId="3" borderId="1" xfId="4" applyFont="1" applyFill="1" applyBorder="1" applyAlignment="1">
      <alignment vertical="center"/>
    </xf>
    <xf numFmtId="171" fontId="37" fillId="8" borderId="1" xfId="5" applyNumberFormat="1" applyFont="1" applyFill="1" applyBorder="1" applyAlignment="1">
      <alignment horizontal="right" vertical="top" wrapText="1"/>
    </xf>
    <xf numFmtId="171" fontId="37" fillId="0" borderId="1" xfId="5" applyNumberFormat="1" applyFont="1" applyBorder="1" applyAlignment="1">
      <alignment horizontal="right" vertical="top" wrapText="1"/>
    </xf>
    <xf numFmtId="0" fontId="71" fillId="0" borderId="1" xfId="4" applyFont="1" applyBorder="1" applyAlignment="1">
      <alignment horizontal="center" vertical="center"/>
    </xf>
    <xf numFmtId="3" fontId="4" fillId="0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168" fontId="4" fillId="0" borderId="1" xfId="3" applyNumberFormat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center" vertical="center" wrapText="1"/>
    </xf>
    <xf numFmtId="3" fontId="4" fillId="0" borderId="1" xfId="2" applyNumberFormat="1" applyFont="1" applyBorder="1" applyAlignment="1">
      <alignment horizontal="center" vertical="center" wrapText="1"/>
    </xf>
    <xf numFmtId="169" fontId="4" fillId="0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3" fontId="4" fillId="0" borderId="1" xfId="1" applyNumberFormat="1" applyFont="1" applyFill="1" applyBorder="1" applyAlignment="1">
      <alignment horizontal="center"/>
    </xf>
    <xf numFmtId="3" fontId="5" fillId="0" borderId="1" xfId="1" applyNumberFormat="1" applyFont="1" applyFill="1" applyBorder="1" applyAlignment="1">
      <alignment horizontal="center"/>
    </xf>
    <xf numFmtId="3" fontId="5" fillId="0" borderId="1" xfId="2" applyNumberFormat="1" applyFont="1" applyBorder="1" applyAlignment="1">
      <alignment horizontal="right"/>
    </xf>
    <xf numFmtId="171" fontId="37" fillId="0" borderId="1" xfId="4" applyNumberFormat="1" applyFont="1" applyBorder="1" applyAlignment="1">
      <alignment horizontal="right" vertical="center"/>
    </xf>
    <xf numFmtId="171" fontId="37" fillId="6" borderId="1" xfId="4" applyNumberFormat="1" applyFont="1" applyFill="1" applyBorder="1" applyAlignment="1">
      <alignment horizontal="center" vertical="center"/>
    </xf>
    <xf numFmtId="0" fontId="37" fillId="6" borderId="1" xfId="4" applyFont="1" applyFill="1" applyBorder="1"/>
    <xf numFmtId="0" fontId="18" fillId="0" borderId="1" xfId="5" applyFont="1" applyBorder="1" applyAlignment="1">
      <alignment horizontal="center" vertical="center" wrapText="1"/>
    </xf>
    <xf numFmtId="0" fontId="20" fillId="0" borderId="1" xfId="5" applyFont="1" applyBorder="1" applyAlignment="1">
      <alignment horizontal="center" vertical="center" wrapText="1"/>
    </xf>
    <xf numFmtId="22" fontId="30" fillId="0" borderId="1" xfId="4" applyNumberFormat="1" applyFont="1" applyBorder="1" applyAlignment="1">
      <alignment horizontal="center" vertical="center"/>
    </xf>
    <xf numFmtId="22" fontId="22" fillId="0" borderId="1" xfId="4" applyNumberFormat="1" applyFont="1" applyBorder="1" applyAlignment="1">
      <alignment horizontal="center" vertical="center"/>
    </xf>
    <xf numFmtId="0" fontId="18" fillId="5" borderId="1" xfId="4" applyFont="1" applyFill="1" applyBorder="1" applyAlignment="1">
      <alignment horizontal="center" vertical="center"/>
    </xf>
    <xf numFmtId="0" fontId="26" fillId="0" borderId="1" xfId="4" applyFont="1" applyBorder="1" applyAlignment="1">
      <alignment horizontal="center" vertical="center"/>
    </xf>
    <xf numFmtId="0" fontId="30" fillId="0" borderId="1" xfId="4" applyFont="1" applyBorder="1" applyAlignment="1">
      <alignment vertical="center"/>
    </xf>
    <xf numFmtId="0" fontId="22" fillId="0" borderId="1" xfId="4" applyFont="1" applyBorder="1" applyAlignment="1">
      <alignment vertical="center"/>
    </xf>
    <xf numFmtId="165" fontId="90" fillId="0" borderId="0" xfId="2" applyNumberFormat="1" applyFont="1"/>
    <xf numFmtId="165" fontId="90" fillId="0" borderId="0" xfId="6" applyNumberFormat="1" applyFont="1"/>
    <xf numFmtId="14" fontId="90" fillId="0" borderId="0" xfId="6" applyNumberFormat="1" applyFont="1"/>
    <xf numFmtId="0" fontId="90" fillId="0" borderId="0" xfId="6" applyFont="1"/>
    <xf numFmtId="0" fontId="90" fillId="0" borderId="0" xfId="2" applyFont="1"/>
    <xf numFmtId="3" fontId="90" fillId="0" borderId="0" xfId="6" applyNumberFormat="1" applyFont="1" applyAlignment="1">
      <alignment horizontal="center"/>
    </xf>
    <xf numFmtId="4" fontId="90" fillId="0" borderId="0" xfId="6" applyNumberFormat="1" applyFont="1"/>
    <xf numFmtId="166" fontId="90" fillId="2" borderId="0" xfId="6" applyNumberFormat="1" applyFont="1" applyFill="1" applyAlignment="1">
      <alignment horizontal="center"/>
    </xf>
    <xf numFmtId="165" fontId="90" fillId="0" borderId="0" xfId="6" applyNumberFormat="1" applyFont="1" applyAlignment="1">
      <alignment horizontal="right"/>
    </xf>
    <xf numFmtId="2" fontId="90" fillId="0" borderId="0" xfId="6" applyNumberFormat="1" applyFont="1" applyAlignment="1">
      <alignment horizontal="center"/>
    </xf>
    <xf numFmtId="166" fontId="90" fillId="0" borderId="0" xfId="6" applyNumberFormat="1" applyFont="1" applyAlignment="1">
      <alignment horizontal="center"/>
    </xf>
    <xf numFmtId="2" fontId="91" fillId="2" borderId="0" xfId="6" applyNumberFormat="1" applyFont="1" applyFill="1"/>
    <xf numFmtId="9" fontId="91" fillId="2" borderId="0" xfId="9" applyFont="1" applyFill="1"/>
    <xf numFmtId="165" fontId="90" fillId="0" borderId="0" xfId="0" applyNumberFormat="1" applyFont="1"/>
    <xf numFmtId="3" fontId="90" fillId="8" borderId="0" xfId="1" applyNumberFormat="1" applyFont="1" applyFill="1"/>
    <xf numFmtId="0" fontId="0" fillId="6" borderId="0" xfId="2" applyFont="1" applyFill="1"/>
    <xf numFmtId="0" fontId="0" fillId="0" borderId="0" xfId="2" applyFont="1" applyAlignment="1">
      <alignment horizontal="center"/>
    </xf>
    <xf numFmtId="172" fontId="0" fillId="0" borderId="0" xfId="2" quotePrefix="1" applyNumberFormat="1" applyFont="1" applyAlignment="1">
      <alignment horizontal="center"/>
    </xf>
    <xf numFmtId="167" fontId="0" fillId="0" borderId="0" xfId="2" applyNumberFormat="1" applyFont="1" applyAlignment="1">
      <alignment horizontal="center"/>
    </xf>
    <xf numFmtId="168" fontId="0" fillId="0" borderId="0" xfId="3" applyNumberFormat="1" applyFont="1" applyFill="1"/>
    <xf numFmtId="165" fontId="0" fillId="0" borderId="0" xfId="2" applyNumberFormat="1" applyFont="1"/>
    <xf numFmtId="165" fontId="0" fillId="0" borderId="0" xfId="2" quotePrefix="1" applyNumberFormat="1" applyFont="1" applyAlignment="1">
      <alignment horizontal="right"/>
    </xf>
    <xf numFmtId="169" fontId="0" fillId="0" borderId="0" xfId="1" applyNumberFormat="1" applyFont="1" applyFill="1"/>
    <xf numFmtId="3" fontId="0" fillId="0" borderId="0" xfId="2" applyNumberFormat="1" applyFont="1" applyAlignment="1">
      <alignment horizontal="center"/>
    </xf>
    <xf numFmtId="0" fontId="74" fillId="6" borderId="0" xfId="0" applyFont="1" applyFill="1"/>
    <xf numFmtId="171" fontId="42" fillId="6" borderId="1" xfId="5" applyNumberFormat="1" applyFont="1" applyFill="1" applyBorder="1" applyAlignment="1">
      <alignment horizontal="right" vertical="top" wrapText="1"/>
    </xf>
    <xf numFmtId="169" fontId="42" fillId="6" borderId="0" xfId="5" applyNumberFormat="1" applyFont="1" applyFill="1" applyAlignment="1">
      <alignment horizontal="center" vertical="center" wrapText="1"/>
    </xf>
    <xf numFmtId="1" fontId="46" fillId="6" borderId="0" xfId="5" applyNumberFormat="1" applyFont="1" applyFill="1" applyAlignment="1">
      <alignment horizontal="center" vertical="center" wrapText="1"/>
    </xf>
    <xf numFmtId="0" fontId="93" fillId="6" borderId="0" xfId="4" applyFont="1" applyFill="1"/>
    <xf numFmtId="0" fontId="92" fillId="0" borderId="1" xfId="4" applyFont="1" applyBorder="1" applyAlignment="1">
      <alignment vertical="center"/>
    </xf>
    <xf numFmtId="0" fontId="92" fillId="8" borderId="1" xfId="4" applyFont="1" applyFill="1" applyBorder="1" applyAlignment="1">
      <alignment vertical="center"/>
    </xf>
    <xf numFmtId="171" fontId="93" fillId="0" borderId="1" xfId="4" applyNumberFormat="1" applyFont="1" applyBorder="1" applyAlignment="1">
      <alignment horizontal="center" vertical="center"/>
    </xf>
    <xf numFmtId="22" fontId="92" fillId="0" borderId="1" xfId="4" applyNumberFormat="1" applyFont="1" applyBorder="1" applyAlignment="1">
      <alignment horizontal="center" vertical="center"/>
    </xf>
    <xf numFmtId="0" fontId="92" fillId="0" borderId="1" xfId="4" applyFont="1" applyBorder="1" applyAlignment="1">
      <alignment horizontal="center" vertical="center"/>
    </xf>
    <xf numFmtId="0" fontId="93" fillId="6" borderId="2" xfId="4" applyFont="1" applyFill="1" applyBorder="1" applyAlignment="1">
      <alignment vertical="center"/>
    </xf>
    <xf numFmtId="0" fontId="94" fillId="0" borderId="1" xfId="5" applyFont="1" applyBorder="1" applyAlignment="1">
      <alignment horizontal="center" vertical="center" wrapText="1"/>
    </xf>
    <xf numFmtId="170" fontId="93" fillId="6" borderId="1" xfId="1" applyNumberFormat="1" applyFont="1" applyFill="1" applyBorder="1" applyAlignment="1">
      <alignment vertical="center"/>
    </xf>
    <xf numFmtId="171" fontId="42" fillId="6" borderId="1" xfId="4" applyNumberFormat="1" applyFont="1" applyFill="1" applyBorder="1" applyAlignment="1">
      <alignment horizontal="right" vertical="center"/>
    </xf>
    <xf numFmtId="0" fontId="42" fillId="6" borderId="2" xfId="4" applyFont="1" applyFill="1" applyBorder="1"/>
    <xf numFmtId="0" fontId="42" fillId="6" borderId="19" xfId="4" applyFont="1" applyFill="1" applyBorder="1" applyAlignment="1">
      <alignment horizontal="center" vertical="center"/>
    </xf>
    <xf numFmtId="169" fontId="42" fillId="6" borderId="19" xfId="5" applyNumberFormat="1" applyFont="1" applyFill="1" applyBorder="1" applyAlignment="1">
      <alignment horizontal="center" vertical="center" wrapText="1"/>
    </xf>
    <xf numFmtId="1" fontId="46" fillId="6" borderId="19" xfId="5" applyNumberFormat="1" applyFont="1" applyFill="1" applyBorder="1" applyAlignment="1">
      <alignment horizontal="center" vertical="center" wrapText="1"/>
    </xf>
    <xf numFmtId="0" fontId="42" fillId="6" borderId="19" xfId="4" applyFont="1" applyFill="1" applyBorder="1"/>
    <xf numFmtId="171" fontId="42" fillId="0" borderId="1" xfId="5" applyNumberFormat="1" applyFont="1" applyBorder="1" applyAlignment="1">
      <alignment horizontal="right" vertical="top" wrapText="1"/>
    </xf>
    <xf numFmtId="165" fontId="94" fillId="6" borderId="0" xfId="4" applyNumberFormat="1" applyFont="1" applyFill="1" applyAlignment="1">
      <alignment horizontal="left"/>
    </xf>
    <xf numFmtId="0" fontId="80" fillId="0" borderId="0" xfId="0" applyFont="1"/>
    <xf numFmtId="165" fontId="90" fillId="0" borderId="0" xfId="6" applyNumberFormat="1" applyFont="1" applyAlignment="1">
      <alignment horizontal="center"/>
    </xf>
    <xf numFmtId="0" fontId="95" fillId="0" borderId="0" xfId="0" applyFont="1"/>
    <xf numFmtId="3" fontId="0" fillId="0" borderId="0" xfId="6" applyNumberFormat="1" applyFont="1" applyAlignment="1">
      <alignment horizontal="center"/>
    </xf>
    <xf numFmtId="14" fontId="0" fillId="0" borderId="0" xfId="6" applyNumberFormat="1" applyFont="1"/>
    <xf numFmtId="165" fontId="0" fillId="0" borderId="0" xfId="6" applyNumberFormat="1" applyFont="1"/>
    <xf numFmtId="166" fontId="0" fillId="2" borderId="0" xfId="6" applyNumberFormat="1" applyFont="1" applyFill="1" applyAlignment="1">
      <alignment horizontal="center"/>
    </xf>
    <xf numFmtId="165" fontId="0" fillId="0" borderId="0" xfId="0" applyNumberFormat="1"/>
    <xf numFmtId="2" fontId="0" fillId="0" borderId="0" xfId="6" applyNumberFormat="1" applyFont="1" applyAlignment="1">
      <alignment horizontal="center"/>
    </xf>
    <xf numFmtId="166" fontId="0" fillId="0" borderId="0" xfId="6" applyNumberFormat="1" applyFont="1" applyAlignment="1">
      <alignment horizontal="center"/>
    </xf>
    <xf numFmtId="165" fontId="0" fillId="0" borderId="0" xfId="6" applyNumberFormat="1" applyFont="1" applyAlignment="1">
      <alignment horizontal="right"/>
    </xf>
    <xf numFmtId="4" fontId="0" fillId="0" borderId="0" xfId="6" applyNumberFormat="1" applyFont="1"/>
    <xf numFmtId="0" fontId="0" fillId="0" borderId="0" xfId="6" applyFont="1" applyAlignment="1">
      <alignment horizontal="center"/>
    </xf>
    <xf numFmtId="0" fontId="90" fillId="0" borderId="0" xfId="6" applyFont="1" applyAlignment="1">
      <alignment horizontal="center"/>
    </xf>
    <xf numFmtId="22" fontId="92" fillId="0" borderId="3" xfId="4" applyNumberFormat="1" applyFont="1" applyBorder="1" applyAlignment="1">
      <alignment horizontal="center" vertical="center"/>
    </xf>
    <xf numFmtId="171" fontId="93" fillId="0" borderId="1" xfId="5" applyNumberFormat="1" applyFont="1" applyBorder="1" applyAlignment="1">
      <alignment horizontal="right" vertical="top" wrapText="1"/>
    </xf>
    <xf numFmtId="0" fontId="90" fillId="6" borderId="0" xfId="2" applyFont="1" applyFill="1"/>
    <xf numFmtId="0" fontId="90" fillId="0" borderId="0" xfId="2" applyFont="1" applyAlignment="1">
      <alignment horizontal="center"/>
    </xf>
    <xf numFmtId="172" fontId="90" fillId="0" borderId="0" xfId="2" quotePrefix="1" applyNumberFormat="1" applyFont="1" applyAlignment="1">
      <alignment horizontal="center"/>
    </xf>
    <xf numFmtId="167" fontId="90" fillId="0" borderId="0" xfId="2" applyNumberFormat="1" applyFont="1" applyAlignment="1">
      <alignment horizontal="center"/>
    </xf>
    <xf numFmtId="168" fontId="90" fillId="0" borderId="0" xfId="3" applyNumberFormat="1" applyFont="1" applyFill="1"/>
    <xf numFmtId="165" fontId="90" fillId="0" borderId="0" xfId="2" quotePrefix="1" applyNumberFormat="1" applyFont="1" applyAlignment="1">
      <alignment horizontal="right"/>
    </xf>
    <xf numFmtId="3" fontId="90" fillId="0" borderId="0" xfId="1" applyNumberFormat="1" applyFont="1" applyFill="1"/>
    <xf numFmtId="3" fontId="90" fillId="0" borderId="0" xfId="2" applyNumberFormat="1" applyFont="1"/>
    <xf numFmtId="169" fontId="90" fillId="0" borderId="0" xfId="1" applyNumberFormat="1" applyFont="1" applyFill="1"/>
    <xf numFmtId="3" fontId="90" fillId="0" borderId="0" xfId="2" applyNumberFormat="1" applyFont="1" applyAlignment="1">
      <alignment horizontal="center"/>
    </xf>
    <xf numFmtId="0" fontId="90" fillId="9" borderId="0" xfId="2" applyFont="1" applyFill="1"/>
    <xf numFmtId="3" fontId="97" fillId="6" borderId="0" xfId="4" applyNumberFormat="1" applyFont="1" applyFill="1" applyAlignment="1">
      <alignment vertical="center"/>
    </xf>
    <xf numFmtId="171" fontId="93" fillId="6" borderId="1" xfId="4" applyNumberFormat="1" applyFont="1" applyFill="1" applyBorder="1" applyAlignment="1">
      <alignment horizontal="right" vertical="center"/>
    </xf>
    <xf numFmtId="171" fontId="93" fillId="6" borderId="1" xfId="5" applyNumberFormat="1" applyFont="1" applyFill="1" applyBorder="1" applyAlignment="1">
      <alignment horizontal="right" vertical="top" wrapText="1"/>
    </xf>
    <xf numFmtId="1" fontId="21" fillId="6" borderId="0" xfId="5" applyNumberFormat="1" applyFont="1" applyFill="1" applyAlignment="1">
      <alignment horizontal="center" vertical="center" wrapText="1"/>
    </xf>
    <xf numFmtId="171" fontId="97" fillId="7" borderId="1" xfId="4" applyNumberFormat="1" applyFont="1" applyFill="1" applyBorder="1" applyAlignment="1">
      <alignment horizontal="center" vertical="center"/>
    </xf>
    <xf numFmtId="0" fontId="97" fillId="7" borderId="20" xfId="4" applyFont="1" applyFill="1" applyBorder="1" applyAlignment="1">
      <alignment vertical="center"/>
    </xf>
    <xf numFmtId="0" fontId="97" fillId="7" borderId="18" xfId="4" applyFont="1" applyFill="1" applyBorder="1" applyAlignment="1">
      <alignment horizontal="center" vertical="center"/>
    </xf>
    <xf numFmtId="0" fontId="97" fillId="7" borderId="21" xfId="4" applyFont="1" applyFill="1" applyBorder="1" applyAlignment="1">
      <alignment horizontal="center" vertical="center"/>
    </xf>
    <xf numFmtId="22" fontId="92" fillId="6" borderId="2" xfId="4" applyNumberFormat="1" applyFont="1" applyFill="1" applyBorder="1" applyAlignment="1">
      <alignment horizontal="center" vertical="center"/>
    </xf>
    <xf numFmtId="0" fontId="97" fillId="7" borderId="1" xfId="4" applyFont="1" applyFill="1" applyBorder="1" applyAlignment="1">
      <alignment vertical="center"/>
    </xf>
    <xf numFmtId="0" fontId="92" fillId="6" borderId="0" xfId="0" applyFont="1" applyFill="1"/>
    <xf numFmtId="0" fontId="93" fillId="6" borderId="2" xfId="4" applyFont="1" applyFill="1" applyBorder="1"/>
    <xf numFmtId="0" fontId="93" fillId="6" borderId="19" xfId="4" applyFont="1" applyFill="1" applyBorder="1" applyAlignment="1">
      <alignment horizontal="center" vertical="center"/>
    </xf>
    <xf numFmtId="169" fontId="93" fillId="6" borderId="19" xfId="5" applyNumberFormat="1" applyFont="1" applyFill="1" applyBorder="1" applyAlignment="1">
      <alignment horizontal="center" vertical="center" wrapText="1"/>
    </xf>
    <xf numFmtId="1" fontId="94" fillId="6" borderId="19" xfId="5" applyNumberFormat="1" applyFont="1" applyFill="1" applyBorder="1" applyAlignment="1">
      <alignment horizontal="center" vertical="center" wrapText="1"/>
    </xf>
    <xf numFmtId="0" fontId="93" fillId="6" borderId="19" xfId="4" applyFont="1" applyFill="1" applyBorder="1"/>
    <xf numFmtId="170" fontId="93" fillId="6" borderId="0" xfId="1" applyNumberFormat="1" applyFont="1" applyFill="1"/>
    <xf numFmtId="0" fontId="93" fillId="6" borderId="0" xfId="4" applyFont="1" applyFill="1" applyAlignment="1">
      <alignment horizontal="center" vertical="center"/>
    </xf>
    <xf numFmtId="169" fontId="93" fillId="6" borderId="0" xfId="5" applyNumberFormat="1" applyFont="1" applyFill="1" applyAlignment="1">
      <alignment horizontal="center" vertical="center" wrapText="1"/>
    </xf>
    <xf numFmtId="1" fontId="94" fillId="6" borderId="0" xfId="5" applyNumberFormat="1" applyFont="1" applyFill="1" applyAlignment="1">
      <alignment horizontal="center" vertical="center" wrapText="1"/>
    </xf>
    <xf numFmtId="165" fontId="3" fillId="0" borderId="0" xfId="6" applyNumberFormat="1" applyFont="1" applyAlignment="1">
      <alignment horizontal="right"/>
    </xf>
    <xf numFmtId="0" fontId="72" fillId="3" borderId="28" xfId="106" applyFont="1" applyFill="1" applyBorder="1" applyAlignment="1">
      <alignment horizontal="center" vertical="center" wrapText="1"/>
    </xf>
    <xf numFmtId="0" fontId="72" fillId="8" borderId="28" xfId="106" applyFont="1" applyFill="1" applyBorder="1" applyAlignment="1">
      <alignment horizontal="center" vertical="center" wrapText="1"/>
    </xf>
    <xf numFmtId="0" fontId="73" fillId="8" borderId="28" xfId="106" applyFont="1" applyFill="1" applyBorder="1" applyAlignment="1">
      <alignment horizontal="center" vertical="center" wrapText="1"/>
    </xf>
    <xf numFmtId="0" fontId="72" fillId="10" borderId="28" xfId="106" applyFont="1" applyFill="1" applyBorder="1" applyAlignment="1">
      <alignment horizontal="center" vertical="center" wrapText="1"/>
    </xf>
    <xf numFmtId="0" fontId="5" fillId="0" borderId="28" xfId="6" applyFont="1" applyBorder="1" applyAlignment="1">
      <alignment horizontal="center" vertical="center"/>
    </xf>
    <xf numFmtId="0" fontId="38" fillId="7" borderId="28" xfId="5" applyFont="1" applyFill="1" applyBorder="1" applyAlignment="1">
      <alignment horizontal="center" vertical="top" wrapText="1"/>
    </xf>
    <xf numFmtId="22" fontId="39" fillId="0" borderId="28" xfId="4" applyNumberFormat="1" applyFont="1" applyBorder="1" applyAlignment="1">
      <alignment horizontal="center" vertical="center"/>
    </xf>
    <xf numFmtId="0" fontId="36" fillId="0" borderId="28" xfId="5" applyFont="1" applyBorder="1" applyAlignment="1">
      <alignment horizontal="center" vertical="center" wrapText="1"/>
    </xf>
    <xf numFmtId="0" fontId="39" fillId="0" borderId="28" xfId="4" applyFont="1" applyBorder="1" applyAlignment="1">
      <alignment horizontal="center" vertical="center"/>
    </xf>
    <xf numFmtId="22" fontId="92" fillId="0" borderId="28" xfId="4" applyNumberFormat="1" applyFont="1" applyBorder="1" applyAlignment="1">
      <alignment horizontal="center" vertical="center"/>
    </xf>
    <xf numFmtId="0" fontId="100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0" fillId="0" borderId="0" xfId="0" applyFont="1" applyAlignment="1">
      <alignment horizontal="center"/>
    </xf>
    <xf numFmtId="0" fontId="84" fillId="0" borderId="0" xfId="0" applyFont="1"/>
    <xf numFmtId="165" fontId="90" fillId="0" borderId="0" xfId="0" applyNumberFormat="1" applyFont="1" applyAlignment="1">
      <alignment horizontal="center"/>
    </xf>
    <xf numFmtId="3" fontId="89" fillId="0" borderId="0" xfId="0" applyNumberFormat="1" applyFont="1" applyAlignment="1">
      <alignment horizontal="center"/>
    </xf>
    <xf numFmtId="0" fontId="68" fillId="0" borderId="0" xfId="0" applyFont="1" applyAlignment="1">
      <alignment horizontal="center"/>
    </xf>
    <xf numFmtId="165" fontId="90" fillId="0" borderId="0" xfId="0" applyNumberFormat="1" applyFont="1" applyAlignment="1">
      <alignment horizontal="right"/>
    </xf>
    <xf numFmtId="0" fontId="92" fillId="0" borderId="21" xfId="4" applyFont="1" applyBorder="1" applyAlignment="1">
      <alignment horizontal="center" vertical="center"/>
    </xf>
    <xf numFmtId="0" fontId="92" fillId="0" borderId="28" xfId="4" applyFont="1" applyBorder="1" applyAlignment="1">
      <alignment horizontal="center" vertical="center"/>
    </xf>
    <xf numFmtId="0" fontId="92" fillId="3" borderId="1" xfId="4" applyFont="1" applyFill="1" applyBorder="1" applyAlignment="1">
      <alignment vertical="center"/>
    </xf>
    <xf numFmtId="171" fontId="101" fillId="7" borderId="1" xfId="4" applyNumberFormat="1" applyFont="1" applyFill="1" applyBorder="1" applyAlignment="1">
      <alignment horizontal="center" vertical="center"/>
    </xf>
    <xf numFmtId="0" fontId="101" fillId="7" borderId="20" xfId="4" applyFont="1" applyFill="1" applyBorder="1" applyAlignment="1">
      <alignment vertical="center"/>
    </xf>
    <xf numFmtId="0" fontId="101" fillId="7" borderId="18" xfId="4" applyFont="1" applyFill="1" applyBorder="1" applyAlignment="1">
      <alignment horizontal="center" vertical="center"/>
    </xf>
    <xf numFmtId="0" fontId="101" fillId="7" borderId="21" xfId="4" applyFont="1" applyFill="1" applyBorder="1" applyAlignment="1">
      <alignment horizontal="center" vertical="center"/>
    </xf>
    <xf numFmtId="0" fontId="101" fillId="7" borderId="1" xfId="4" applyFont="1" applyFill="1" applyBorder="1" applyAlignment="1">
      <alignment vertical="center"/>
    </xf>
    <xf numFmtId="0" fontId="102" fillId="6" borderId="0" xfId="4" applyFont="1" applyFill="1"/>
    <xf numFmtId="170" fontId="102" fillId="6" borderId="1" xfId="1" applyNumberFormat="1" applyFont="1" applyFill="1" applyBorder="1" applyAlignment="1">
      <alignment vertical="center"/>
    </xf>
    <xf numFmtId="0" fontId="92" fillId="0" borderId="23" xfId="4" applyFont="1" applyBorder="1" applyAlignment="1">
      <alignment vertical="center"/>
    </xf>
    <xf numFmtId="171" fontId="93" fillId="0" borderId="21" xfId="4" applyNumberFormat="1" applyFont="1" applyBorder="1" applyAlignment="1">
      <alignment horizontal="center" vertical="center"/>
    </xf>
    <xf numFmtId="0" fontId="92" fillId="0" borderId="23" xfId="4" applyFont="1" applyBorder="1" applyAlignment="1">
      <alignment horizontal="center" vertical="center"/>
    </xf>
    <xf numFmtId="171" fontId="104" fillId="0" borderId="21" xfId="4" applyNumberFormat="1" applyFont="1" applyBorder="1" applyAlignment="1">
      <alignment horizontal="center" vertical="center"/>
    </xf>
    <xf numFmtId="0" fontId="104" fillId="6" borderId="2" xfId="4" applyFont="1" applyFill="1" applyBorder="1" applyAlignment="1">
      <alignment vertical="center"/>
    </xf>
    <xf numFmtId="0" fontId="104" fillId="6" borderId="0" xfId="4" applyFont="1" applyFill="1"/>
    <xf numFmtId="170" fontId="104" fillId="6" borderId="1" xfId="1" applyNumberFormat="1" applyFont="1" applyFill="1" applyBorder="1" applyAlignment="1">
      <alignment vertical="center"/>
    </xf>
    <xf numFmtId="0" fontId="101" fillId="7" borderId="4" xfId="4" applyFont="1" applyFill="1" applyBorder="1" applyAlignment="1">
      <alignment vertical="center"/>
    </xf>
    <xf numFmtId="0" fontId="101" fillId="7" borderId="5" xfId="4" applyFont="1" applyFill="1" applyBorder="1" applyAlignment="1">
      <alignment horizontal="center" vertical="center"/>
    </xf>
    <xf numFmtId="0" fontId="101" fillId="7" borderId="6" xfId="4" applyFont="1" applyFill="1" applyBorder="1" applyAlignment="1">
      <alignment horizontal="center" vertical="center"/>
    </xf>
    <xf numFmtId="177" fontId="42" fillId="6" borderId="0" xfId="4" applyNumberFormat="1" applyFont="1" applyFill="1" applyAlignment="1">
      <alignment horizontal="center" vertical="center"/>
    </xf>
    <xf numFmtId="171" fontId="93" fillId="0" borderId="18" xfId="4" applyNumberFormat="1" applyFont="1" applyBorder="1" applyAlignment="1">
      <alignment horizontal="center" vertical="center"/>
    </xf>
    <xf numFmtId="22" fontId="92" fillId="0" borderId="23" xfId="4" applyNumberFormat="1" applyFont="1" applyBorder="1" applyAlignment="1">
      <alignment horizontal="center" vertical="center"/>
    </xf>
    <xf numFmtId="170" fontId="93" fillId="6" borderId="0" xfId="5" applyNumberFormat="1" applyFont="1" applyFill="1" applyAlignment="1">
      <alignment horizontal="center" vertical="center" wrapText="1"/>
    </xf>
    <xf numFmtId="22" fontId="92" fillId="0" borderId="20" xfId="4" applyNumberFormat="1" applyFont="1" applyBorder="1" applyAlignment="1">
      <alignment vertical="center"/>
    </xf>
    <xf numFmtId="22" fontId="92" fillId="0" borderId="20" xfId="4" applyNumberFormat="1" applyFont="1" applyBorder="1" applyAlignment="1">
      <alignment horizontal="center" vertical="center"/>
    </xf>
    <xf numFmtId="0" fontId="38" fillId="7" borderId="5" xfId="4" applyFont="1" applyFill="1" applyBorder="1" applyAlignment="1">
      <alignment horizontal="center" vertical="center"/>
    </xf>
    <xf numFmtId="165" fontId="0" fillId="0" borderId="0" xfId="0" applyNumberFormat="1" applyAlignment="1">
      <alignment horizontal="right"/>
    </xf>
    <xf numFmtId="165" fontId="101" fillId="6" borderId="0" xfId="4" applyNumberFormat="1" applyFont="1" applyFill="1" applyAlignment="1">
      <alignment horizontal="right"/>
    </xf>
    <xf numFmtId="165" fontId="0" fillId="0" borderId="0" xfId="2" applyNumberFormat="1" applyFont="1" applyAlignment="1">
      <alignment horizontal="right"/>
    </xf>
    <xf numFmtId="0" fontId="106" fillId="6" borderId="0" xfId="4" applyFont="1" applyFill="1"/>
    <xf numFmtId="0" fontId="102" fillId="3" borderId="0" xfId="4" applyFont="1" applyFill="1"/>
    <xf numFmtId="0" fontId="101" fillId="6" borderId="0" xfId="4" applyFont="1" applyFill="1" applyAlignment="1">
      <alignment horizontal="center"/>
    </xf>
    <xf numFmtId="170" fontId="106" fillId="6" borderId="0" xfId="1" applyNumberFormat="1" applyFont="1" applyFill="1"/>
    <xf numFmtId="165" fontId="101" fillId="6" borderId="0" xfId="4" applyNumberFormat="1" applyFont="1" applyFill="1" applyAlignment="1">
      <alignment horizontal="center"/>
    </xf>
    <xf numFmtId="3" fontId="107" fillId="6" borderId="0" xfId="4" applyNumberFormat="1" applyFont="1" applyFill="1" applyAlignment="1">
      <alignment vertical="center"/>
    </xf>
    <xf numFmtId="0" fontId="101" fillId="6" borderId="0" xfId="4" applyFont="1" applyFill="1"/>
    <xf numFmtId="3" fontId="101" fillId="0" borderId="0" xfId="4" applyNumberFormat="1" applyFont="1" applyAlignment="1">
      <alignment vertical="center"/>
    </xf>
    <xf numFmtId="1" fontId="36" fillId="6" borderId="0" xfId="5" applyNumberFormat="1" applyFont="1" applyFill="1"/>
    <xf numFmtId="171" fontId="101" fillId="6" borderId="0" xfId="4" applyNumberFormat="1" applyFont="1" applyFill="1"/>
    <xf numFmtId="3" fontId="46" fillId="0" borderId="1" xfId="1" applyNumberFormat="1" applyFont="1" applyBorder="1" applyAlignment="1">
      <alignment horizontal="center" vertical="center"/>
    </xf>
    <xf numFmtId="0" fontId="36" fillId="7" borderId="28" xfId="5" applyFont="1" applyFill="1" applyBorder="1" applyAlignment="1">
      <alignment horizontal="center" vertical="top" wrapText="1"/>
    </xf>
    <xf numFmtId="0" fontId="36" fillId="11" borderId="1" xfId="5" applyFont="1" applyFill="1" applyBorder="1" applyAlignment="1">
      <alignment horizontal="center" vertical="top" wrapText="1"/>
    </xf>
    <xf numFmtId="0" fontId="36" fillId="6" borderId="2" xfId="5" applyFont="1" applyFill="1" applyBorder="1" applyAlignment="1">
      <alignment horizontal="center" vertical="top" wrapText="1"/>
    </xf>
    <xf numFmtId="0" fontId="36" fillId="7" borderId="1" xfId="5" applyFont="1" applyFill="1" applyBorder="1" applyAlignment="1">
      <alignment horizontal="center" vertical="top" wrapText="1"/>
    </xf>
    <xf numFmtId="3" fontId="46" fillId="0" borderId="1" xfId="1" applyNumberFormat="1" applyFont="1" applyBorder="1" applyAlignment="1">
      <alignment horizontal="center" vertical="center" wrapText="1"/>
    </xf>
    <xf numFmtId="171" fontId="104" fillId="0" borderId="1" xfId="4" applyNumberFormat="1" applyFont="1" applyBorder="1" applyAlignment="1">
      <alignment horizontal="center" vertical="center"/>
    </xf>
    <xf numFmtId="171" fontId="106" fillId="0" borderId="1" xfId="4" applyNumberFormat="1" applyFont="1" applyBorder="1" applyAlignment="1">
      <alignment horizontal="center" vertical="center"/>
    </xf>
    <xf numFmtId="0" fontId="106" fillId="6" borderId="2" xfId="4" applyFont="1" applyFill="1" applyBorder="1" applyAlignment="1">
      <alignment vertical="center"/>
    </xf>
    <xf numFmtId="170" fontId="106" fillId="6" borderId="1" xfId="1" applyNumberFormat="1" applyFont="1" applyFill="1" applyBorder="1" applyAlignment="1">
      <alignment vertical="center"/>
    </xf>
    <xf numFmtId="0" fontId="108" fillId="6" borderId="0" xfId="4" applyFont="1" applyFill="1"/>
    <xf numFmtId="171" fontId="106" fillId="6" borderId="1" xfId="4" applyNumberFormat="1" applyFont="1" applyFill="1" applyBorder="1" applyAlignment="1">
      <alignment horizontal="right" vertical="center"/>
    </xf>
    <xf numFmtId="0" fontId="106" fillId="6" borderId="2" xfId="4" applyFont="1" applyFill="1" applyBorder="1"/>
    <xf numFmtId="171" fontId="74" fillId="6" borderId="1" xfId="5" applyNumberFormat="1" applyFont="1" applyFill="1" applyBorder="1" applyAlignment="1">
      <alignment horizontal="right" vertical="top" wrapText="1"/>
    </xf>
    <xf numFmtId="0" fontId="106" fillId="6" borderId="19" xfId="4" applyFont="1" applyFill="1" applyBorder="1" applyAlignment="1">
      <alignment horizontal="center" vertical="center"/>
    </xf>
    <xf numFmtId="169" fontId="74" fillId="6" borderId="19" xfId="5" applyNumberFormat="1" applyFont="1" applyFill="1" applyBorder="1" applyAlignment="1">
      <alignment horizontal="center" vertical="center" wrapText="1"/>
    </xf>
    <xf numFmtId="0" fontId="106" fillId="6" borderId="19" xfId="4" applyFont="1" applyFill="1" applyBorder="1"/>
    <xf numFmtId="171" fontId="74" fillId="0" borderId="1" xfId="5" applyNumberFormat="1" applyFont="1" applyBorder="1" applyAlignment="1">
      <alignment horizontal="right" vertical="top" wrapText="1"/>
    </xf>
    <xf numFmtId="0" fontId="106" fillId="6" borderId="0" xfId="4" applyFont="1" applyFill="1" applyAlignment="1">
      <alignment horizontal="center" vertical="center"/>
    </xf>
    <xf numFmtId="169" fontId="74" fillId="6" borderId="0" xfId="5" applyNumberFormat="1" applyFont="1" applyFill="1" applyAlignment="1">
      <alignment horizontal="center" vertical="center" wrapText="1"/>
    </xf>
    <xf numFmtId="0" fontId="106" fillId="6" borderId="0" xfId="4" applyFont="1" applyFill="1" applyAlignment="1">
      <alignment horizontal="center"/>
    </xf>
    <xf numFmtId="1" fontId="106" fillId="6" borderId="0" xfId="4" applyNumberFormat="1" applyFont="1" applyFill="1"/>
    <xf numFmtId="170" fontId="102" fillId="6" borderId="0" xfId="1" applyNumberFormat="1" applyFont="1" applyFill="1"/>
    <xf numFmtId="0" fontId="102" fillId="6" borderId="0" xfId="4" applyFont="1" applyFill="1" applyAlignment="1">
      <alignment horizontal="center" vertical="center"/>
    </xf>
    <xf numFmtId="1" fontId="102" fillId="6" borderId="0" xfId="4" applyNumberFormat="1" applyFont="1" applyFill="1"/>
    <xf numFmtId="0" fontId="101" fillId="8" borderId="0" xfId="4" applyFont="1" applyFill="1"/>
    <xf numFmtId="0" fontId="105" fillId="0" borderId="0" xfId="0" applyFont="1"/>
    <xf numFmtId="0" fontId="105" fillId="0" borderId="0" xfId="0" applyFont="1" applyAlignment="1">
      <alignment horizontal="center"/>
    </xf>
    <xf numFmtId="165" fontId="6" fillId="0" borderId="0" xfId="0" applyNumberFormat="1" applyFont="1" applyAlignment="1">
      <alignment horizontal="right"/>
    </xf>
    <xf numFmtId="0" fontId="74" fillId="3" borderId="1" xfId="4" applyFont="1" applyFill="1" applyBorder="1" applyAlignment="1">
      <alignment vertical="center"/>
    </xf>
    <xf numFmtId="0" fontId="39" fillId="0" borderId="21" xfId="4" applyFont="1" applyBorder="1" applyAlignment="1">
      <alignment vertical="center"/>
    </xf>
    <xf numFmtId="171" fontId="37" fillId="0" borderId="20" xfId="4" applyNumberFormat="1" applyFont="1" applyBorder="1" applyAlignment="1">
      <alignment horizontal="center" vertical="center"/>
    </xf>
    <xf numFmtId="0" fontId="39" fillId="0" borderId="23" xfId="4" applyFont="1" applyBorder="1" applyAlignment="1">
      <alignment horizontal="center" vertical="center"/>
    </xf>
    <xf numFmtId="22" fontId="39" fillId="0" borderId="23" xfId="4" applyNumberFormat="1" applyFont="1" applyBorder="1" applyAlignment="1">
      <alignment horizontal="center" vertical="center"/>
    </xf>
    <xf numFmtId="0" fontId="39" fillId="0" borderId="18" xfId="4" applyFont="1" applyBorder="1" applyAlignment="1">
      <alignment vertical="center"/>
    </xf>
    <xf numFmtId="0" fontId="38" fillId="7" borderId="4" xfId="4" applyFont="1" applyFill="1" applyBorder="1" applyAlignment="1">
      <alignment vertical="center"/>
    </xf>
    <xf numFmtId="0" fontId="38" fillId="7" borderId="6" xfId="4" applyFont="1" applyFill="1" applyBorder="1" applyAlignment="1">
      <alignment horizontal="center" vertical="center"/>
    </xf>
    <xf numFmtId="3" fontId="90" fillId="4" borderId="0" xfId="1" applyNumberFormat="1" applyFont="1" applyFill="1"/>
    <xf numFmtId="0" fontId="96" fillId="0" borderId="0" xfId="0" applyFont="1"/>
    <xf numFmtId="0" fontId="29" fillId="0" borderId="0" xfId="0" applyFont="1"/>
    <xf numFmtId="0" fontId="29" fillId="0" borderId="0" xfId="0" applyFont="1" applyAlignment="1">
      <alignment horizontal="center"/>
    </xf>
    <xf numFmtId="3" fontId="84" fillId="0" borderId="0" xfId="0" applyNumberFormat="1" applyFont="1" applyAlignment="1">
      <alignment horizontal="center"/>
    </xf>
    <xf numFmtId="4" fontId="100" fillId="0" borderId="0" xfId="0" applyNumberFormat="1" applyFont="1" applyAlignment="1">
      <alignment horizontal="center"/>
    </xf>
    <xf numFmtId="0" fontId="3" fillId="0" borderId="0" xfId="6" quotePrefix="1" applyFont="1"/>
    <xf numFmtId="0" fontId="68" fillId="0" borderId="0" xfId="0" applyFont="1"/>
    <xf numFmtId="176" fontId="90" fillId="0" borderId="0" xfId="0" applyNumberFormat="1" applyFont="1" applyAlignment="1">
      <alignment horizontal="center"/>
    </xf>
    <xf numFmtId="0" fontId="43" fillId="6" borderId="19" xfId="4" applyFont="1" applyFill="1" applyBorder="1" applyAlignment="1">
      <alignment horizontal="center" vertical="center"/>
    </xf>
    <xf numFmtId="169" fontId="43" fillId="6" borderId="19" xfId="5" applyNumberFormat="1" applyFont="1" applyFill="1" applyBorder="1" applyAlignment="1">
      <alignment horizontal="center" vertical="center" wrapText="1"/>
    </xf>
    <xf numFmtId="1" fontId="70" fillId="6" borderId="19" xfId="5" applyNumberFormat="1" applyFont="1" applyFill="1" applyBorder="1" applyAlignment="1">
      <alignment horizontal="center" vertical="center" wrapText="1"/>
    </xf>
    <xf numFmtId="0" fontId="43" fillId="6" borderId="0" xfId="4" applyFont="1" applyFill="1" applyAlignment="1">
      <alignment horizontal="center" vertical="center"/>
    </xf>
    <xf numFmtId="169" fontId="43" fillId="6" borderId="0" xfId="5" applyNumberFormat="1" applyFont="1" applyFill="1" applyAlignment="1">
      <alignment horizontal="center" vertical="center" wrapText="1"/>
    </xf>
    <xf numFmtId="1" fontId="70" fillId="6" borderId="0" xfId="5" applyNumberFormat="1" applyFont="1" applyFill="1" applyAlignment="1">
      <alignment horizontal="center" vertical="center" wrapText="1"/>
    </xf>
    <xf numFmtId="0" fontId="6" fillId="0" borderId="0" xfId="0" applyFont="1"/>
    <xf numFmtId="14" fontId="69" fillId="0" borderId="0" xfId="6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9" fillId="0" borderId="0" xfId="0" applyNumberFormat="1" applyFont="1" applyAlignment="1">
      <alignment horizontal="center"/>
    </xf>
    <xf numFmtId="165" fontId="90" fillId="0" borderId="0" xfId="2" applyNumberFormat="1" applyFont="1" applyAlignment="1">
      <alignment horizontal="right"/>
    </xf>
    <xf numFmtId="0" fontId="94" fillId="3" borderId="0" xfId="5" applyFont="1" applyFill="1"/>
    <xf numFmtId="0" fontId="104" fillId="3" borderId="0" xfId="4" applyFont="1" applyFill="1"/>
    <xf numFmtId="0" fontId="94" fillId="3" borderId="0" xfId="5" applyFont="1" applyFill="1" applyAlignment="1">
      <alignment horizontal="center"/>
    </xf>
    <xf numFmtId="165" fontId="94" fillId="3" borderId="0" xfId="4" applyNumberFormat="1" applyFont="1" applyFill="1" applyAlignment="1">
      <alignment horizontal="left"/>
    </xf>
    <xf numFmtId="165" fontId="94" fillId="6" borderId="0" xfId="4" applyNumberFormat="1" applyFont="1" applyFill="1"/>
    <xf numFmtId="0" fontId="109" fillId="6" borderId="0" xfId="4" applyFont="1" applyFill="1" applyAlignment="1">
      <alignment horizontal="center"/>
    </xf>
    <xf numFmtId="0" fontId="94" fillId="6" borderId="0" xfId="5" applyFont="1" applyFill="1"/>
    <xf numFmtId="0" fontId="94" fillId="6" borderId="0" xfId="5" applyFont="1" applyFill="1" applyAlignment="1">
      <alignment horizontal="center"/>
    </xf>
    <xf numFmtId="170" fontId="104" fillId="6" borderId="0" xfId="1" applyNumberFormat="1" applyFont="1" applyFill="1"/>
    <xf numFmtId="165" fontId="94" fillId="6" borderId="0" xfId="4" applyNumberFormat="1" applyFont="1" applyFill="1" applyAlignment="1">
      <alignment horizontal="center"/>
    </xf>
    <xf numFmtId="165" fontId="109" fillId="6" borderId="0" xfId="4" applyNumberFormat="1" applyFont="1" applyFill="1" applyAlignment="1">
      <alignment horizontal="center"/>
    </xf>
    <xf numFmtId="175" fontId="94" fillId="6" borderId="0" xfId="4" applyNumberFormat="1" applyFont="1" applyFill="1" applyAlignment="1">
      <alignment horizontal="left"/>
    </xf>
    <xf numFmtId="3" fontId="109" fillId="6" borderId="0" xfId="4" applyNumberFormat="1" applyFont="1" applyFill="1" applyAlignment="1">
      <alignment vertical="center"/>
    </xf>
    <xf numFmtId="0" fontId="109" fillId="6" borderId="0" xfId="4" applyFont="1" applyFill="1"/>
    <xf numFmtId="1" fontId="94" fillId="6" borderId="0" xfId="5" applyNumberFormat="1" applyFont="1" applyFill="1"/>
    <xf numFmtId="165" fontId="109" fillId="6" borderId="0" xfId="4" applyNumberFormat="1" applyFont="1" applyFill="1" applyAlignment="1">
      <alignment horizontal="right"/>
    </xf>
    <xf numFmtId="171" fontId="109" fillId="6" borderId="0" xfId="4" applyNumberFormat="1" applyFont="1" applyFill="1"/>
    <xf numFmtId="3" fontId="94" fillId="0" borderId="1" xfId="1" applyNumberFormat="1" applyFont="1" applyBorder="1" applyAlignment="1">
      <alignment horizontal="center" vertical="center"/>
    </xf>
    <xf numFmtId="0" fontId="94" fillId="7" borderId="28" xfId="5" applyFont="1" applyFill="1" applyBorder="1" applyAlignment="1">
      <alignment horizontal="center" vertical="top" wrapText="1"/>
    </xf>
    <xf numFmtId="0" fontId="94" fillId="6" borderId="2" xfId="5" applyFont="1" applyFill="1" applyBorder="1" applyAlignment="1">
      <alignment horizontal="center" vertical="top" wrapText="1"/>
    </xf>
    <xf numFmtId="0" fontId="94" fillId="7" borderId="1" xfId="5" applyFont="1" applyFill="1" applyBorder="1" applyAlignment="1">
      <alignment horizontal="center" vertical="top" wrapText="1"/>
    </xf>
    <xf numFmtId="3" fontId="94" fillId="0" borderId="1" xfId="1" applyNumberFormat="1" applyFont="1" applyBorder="1" applyAlignment="1">
      <alignment horizontal="center" vertical="center" wrapText="1"/>
    </xf>
    <xf numFmtId="171" fontId="109" fillId="7" borderId="1" xfId="4" applyNumberFormat="1" applyFont="1" applyFill="1" applyBorder="1" applyAlignment="1">
      <alignment horizontal="center" vertical="center"/>
    </xf>
    <xf numFmtId="0" fontId="109" fillId="7" borderId="20" xfId="4" applyFont="1" applyFill="1" applyBorder="1" applyAlignment="1">
      <alignment vertical="center"/>
    </xf>
    <xf numFmtId="0" fontId="109" fillId="7" borderId="18" xfId="4" applyFont="1" applyFill="1" applyBorder="1" applyAlignment="1">
      <alignment horizontal="center" vertical="center"/>
    </xf>
    <xf numFmtId="0" fontId="109" fillId="7" borderId="21" xfId="4" applyFont="1" applyFill="1" applyBorder="1" applyAlignment="1">
      <alignment horizontal="center" vertical="center"/>
    </xf>
    <xf numFmtId="0" fontId="109" fillId="7" borderId="1" xfId="4" applyFont="1" applyFill="1" applyBorder="1" applyAlignment="1">
      <alignment vertical="center"/>
    </xf>
    <xf numFmtId="0" fontId="109" fillId="7" borderId="4" xfId="4" applyFont="1" applyFill="1" applyBorder="1" applyAlignment="1">
      <alignment vertical="center"/>
    </xf>
    <xf numFmtId="0" fontId="109" fillId="7" borderId="5" xfId="4" applyFont="1" applyFill="1" applyBorder="1" applyAlignment="1">
      <alignment horizontal="center" vertical="center"/>
    </xf>
    <xf numFmtId="0" fontId="109" fillId="7" borderId="6" xfId="4" applyFont="1" applyFill="1" applyBorder="1" applyAlignment="1">
      <alignment horizontal="center" vertical="center"/>
    </xf>
    <xf numFmtId="171" fontId="104" fillId="6" borderId="1" xfId="4" applyNumberFormat="1" applyFont="1" applyFill="1" applyBorder="1" applyAlignment="1">
      <alignment horizontal="right" vertical="center"/>
    </xf>
    <xf numFmtId="0" fontId="104" fillId="6" borderId="2" xfId="4" applyFont="1" applyFill="1" applyBorder="1"/>
    <xf numFmtId="171" fontId="92" fillId="6" borderId="1" xfId="5" applyNumberFormat="1" applyFont="1" applyFill="1" applyBorder="1" applyAlignment="1">
      <alignment horizontal="right" vertical="top" wrapText="1"/>
    </xf>
    <xf numFmtId="0" fontId="104" fillId="6" borderId="19" xfId="4" applyFont="1" applyFill="1" applyBorder="1" applyAlignment="1">
      <alignment horizontal="center" vertical="center"/>
    </xf>
    <xf numFmtId="169" fontId="92" fillId="6" borderId="19" xfId="5" applyNumberFormat="1" applyFont="1" applyFill="1" applyBorder="1" applyAlignment="1">
      <alignment horizontal="center" vertical="center" wrapText="1"/>
    </xf>
    <xf numFmtId="0" fontId="104" fillId="6" borderId="19" xfId="4" applyFont="1" applyFill="1" applyBorder="1"/>
    <xf numFmtId="0" fontId="104" fillId="6" borderId="0" xfId="4" applyFont="1" applyFill="1" applyAlignment="1">
      <alignment horizontal="center" vertical="center"/>
    </xf>
    <xf numFmtId="169" fontId="92" fillId="6" borderId="0" xfId="5" applyNumberFormat="1" applyFont="1" applyFill="1" applyAlignment="1">
      <alignment horizontal="center" vertical="center" wrapText="1"/>
    </xf>
    <xf numFmtId="0" fontId="104" fillId="6" borderId="0" xfId="4" applyFont="1" applyFill="1" applyAlignment="1">
      <alignment horizontal="center"/>
    </xf>
    <xf numFmtId="1" fontId="104" fillId="6" borderId="0" xfId="4" applyNumberFormat="1" applyFont="1" applyFill="1"/>
    <xf numFmtId="0" fontId="94" fillId="5" borderId="1" xfId="4" applyFont="1" applyFill="1" applyBorder="1" applyAlignment="1">
      <alignment horizontal="center" vertical="center"/>
    </xf>
    <xf numFmtId="171" fontId="82" fillId="8" borderId="28" xfId="5" applyNumberFormat="1" applyFont="1" applyFill="1" applyBorder="1" applyAlignment="1">
      <alignment horizontal="right" vertical="top" wrapText="1"/>
    </xf>
    <xf numFmtId="171" fontId="82" fillId="0" borderId="23" xfId="5" applyNumberFormat="1" applyFont="1" applyBorder="1" applyAlignment="1">
      <alignment horizontal="right" vertical="top" wrapText="1"/>
    </xf>
    <xf numFmtId="3" fontId="110" fillId="38" borderId="0" xfId="0" applyNumberFormat="1" applyFont="1" applyFill="1" applyAlignment="1">
      <alignment horizontal="center"/>
    </xf>
    <xf numFmtId="3" fontId="90" fillId="0" borderId="0" xfId="0" applyNumberFormat="1" applyFont="1" applyAlignment="1">
      <alignment horizontal="center"/>
    </xf>
    <xf numFmtId="0" fontId="90" fillId="0" borderId="0" xfId="0" applyFont="1"/>
    <xf numFmtId="3" fontId="68" fillId="0" borderId="0" xfId="0" applyNumberFormat="1" applyFont="1" applyAlignment="1">
      <alignment horizontal="center"/>
    </xf>
    <xf numFmtId="0" fontId="70" fillId="0" borderId="1" xfId="5" applyFont="1" applyBorder="1" applyAlignment="1">
      <alignment horizontal="center" vertical="center" wrapText="1"/>
    </xf>
    <xf numFmtId="0" fontId="43" fillId="6" borderId="2" xfId="4" applyFont="1" applyFill="1" applyBorder="1"/>
    <xf numFmtId="0" fontId="40" fillId="6" borderId="19" xfId="4" applyFont="1" applyFill="1" applyBorder="1" applyAlignment="1">
      <alignment horizontal="center" vertical="center"/>
    </xf>
    <xf numFmtId="169" fontId="40" fillId="6" borderId="19" xfId="5" applyNumberFormat="1" applyFont="1" applyFill="1" applyBorder="1" applyAlignment="1">
      <alignment horizontal="center" vertical="center" wrapText="1"/>
    </xf>
    <xf numFmtId="1" fontId="44" fillId="6" borderId="19" xfId="5" applyNumberFormat="1" applyFont="1" applyFill="1" applyBorder="1" applyAlignment="1">
      <alignment horizontal="center" vertical="center" wrapText="1"/>
    </xf>
    <xf numFmtId="0" fontId="40" fillId="6" borderId="0" xfId="4" applyFont="1" applyFill="1"/>
    <xf numFmtId="0" fontId="43" fillId="6" borderId="19" xfId="4" applyFont="1" applyFill="1" applyBorder="1"/>
    <xf numFmtId="170" fontId="43" fillId="6" borderId="0" xfId="1" applyNumberFormat="1" applyFont="1" applyFill="1"/>
    <xf numFmtId="0" fontId="71" fillId="6" borderId="0" xfId="0" applyFont="1" applyFill="1"/>
    <xf numFmtId="0" fontId="40" fillId="6" borderId="0" xfId="4" applyFont="1" applyFill="1" applyAlignment="1">
      <alignment horizontal="center" vertical="center"/>
    </xf>
    <xf numFmtId="169" fontId="40" fillId="6" borderId="0" xfId="5" applyNumberFormat="1" applyFont="1" applyFill="1" applyAlignment="1">
      <alignment horizontal="center" vertical="center" wrapText="1"/>
    </xf>
    <xf numFmtId="1" fontId="44" fillId="6" borderId="0" xfId="5" applyNumberFormat="1" applyFont="1" applyFill="1" applyAlignment="1">
      <alignment horizontal="center" vertical="center" wrapText="1"/>
    </xf>
    <xf numFmtId="0" fontId="80" fillId="0" borderId="0" xfId="0" applyFont="1" applyAlignment="1">
      <alignment horizontal="center"/>
    </xf>
    <xf numFmtId="0" fontId="102" fillId="6" borderId="2" xfId="4" applyFont="1" applyFill="1" applyBorder="1"/>
    <xf numFmtId="171" fontId="82" fillId="6" borderId="1" xfId="5" applyNumberFormat="1" applyFont="1" applyFill="1" applyBorder="1" applyAlignment="1">
      <alignment horizontal="right" vertical="top" wrapText="1"/>
    </xf>
    <xf numFmtId="0" fontId="108" fillId="6" borderId="19" xfId="4" applyFont="1" applyFill="1" applyBorder="1" applyAlignment="1">
      <alignment horizontal="center" vertical="center"/>
    </xf>
    <xf numFmtId="169" fontId="71" fillId="6" borderId="19" xfId="5" applyNumberFormat="1" applyFont="1" applyFill="1" applyBorder="1" applyAlignment="1">
      <alignment horizontal="center" vertical="center" wrapText="1"/>
    </xf>
    <xf numFmtId="0" fontId="102" fillId="6" borderId="19" xfId="4" applyFont="1" applyFill="1" applyBorder="1"/>
    <xf numFmtId="0" fontId="108" fillId="6" borderId="0" xfId="4" applyFont="1" applyFill="1" applyAlignment="1">
      <alignment horizontal="center" vertical="center"/>
    </xf>
    <xf numFmtId="169" fontId="71" fillId="6" borderId="0" xfId="5" applyNumberFormat="1" applyFont="1" applyFill="1" applyAlignment="1">
      <alignment horizontal="center" vertical="center" wrapText="1"/>
    </xf>
    <xf numFmtId="171" fontId="92" fillId="0" borderId="1" xfId="5" applyNumberFormat="1" applyFont="1" applyBorder="1" applyAlignment="1">
      <alignment horizontal="right" vertical="top" wrapText="1"/>
    </xf>
    <xf numFmtId="0" fontId="92" fillId="0" borderId="20" xfId="4" applyFont="1" applyBorder="1" applyAlignment="1">
      <alignment vertical="center"/>
    </xf>
    <xf numFmtId="0" fontId="92" fillId="0" borderId="1" xfId="6" applyFont="1" applyBorder="1"/>
    <xf numFmtId="0" fontId="92" fillId="6" borderId="1" xfId="4" applyFont="1" applyFill="1" applyBorder="1" applyAlignment="1">
      <alignment vertical="center"/>
    </xf>
    <xf numFmtId="0" fontId="92" fillId="6" borderId="20" xfId="4" applyFont="1" applyFill="1" applyBorder="1" applyAlignment="1">
      <alignment vertical="center"/>
    </xf>
    <xf numFmtId="0" fontId="92" fillId="6" borderId="1" xfId="6" applyFont="1" applyFill="1" applyBorder="1"/>
    <xf numFmtId="171" fontId="104" fillId="6" borderId="1" xfId="4" applyNumberFormat="1" applyFont="1" applyFill="1" applyBorder="1" applyAlignment="1">
      <alignment horizontal="center" vertical="center"/>
    </xf>
    <xf numFmtId="0" fontId="92" fillId="6" borderId="1" xfId="4" applyFont="1" applyFill="1" applyBorder="1" applyAlignment="1">
      <alignment horizontal="center" vertical="center"/>
    </xf>
    <xf numFmtId="22" fontId="92" fillId="6" borderId="1" xfId="4" applyNumberFormat="1" applyFont="1" applyFill="1" applyBorder="1" applyAlignment="1">
      <alignment horizontal="center" vertical="center"/>
    </xf>
    <xf numFmtId="0" fontId="94" fillId="6" borderId="1" xfId="5" applyFont="1" applyFill="1" applyBorder="1" applyAlignment="1">
      <alignment horizontal="center" vertical="center" wrapText="1"/>
    </xf>
    <xf numFmtId="171" fontId="101" fillId="7" borderId="3" xfId="4" applyNumberFormat="1" applyFont="1" applyFill="1" applyBorder="1" applyAlignment="1">
      <alignment horizontal="center" vertical="center"/>
    </xf>
    <xf numFmtId="3" fontId="101" fillId="6" borderId="0" xfId="4" applyNumberFormat="1" applyFont="1" applyFill="1" applyAlignment="1">
      <alignment vertical="center"/>
    </xf>
    <xf numFmtId="0" fontId="0" fillId="0" borderId="0" xfId="0" applyAlignment="1">
      <alignment horizontal="center"/>
    </xf>
    <xf numFmtId="3" fontId="96" fillId="0" borderId="0" xfId="0" applyNumberFormat="1" applyFont="1" applyAlignment="1">
      <alignment horizontal="center"/>
    </xf>
    <xf numFmtId="165" fontId="0" fillId="10" borderId="0" xfId="6" applyNumberFormat="1" applyFont="1" applyFill="1"/>
    <xf numFmtId="171" fontId="111" fillId="6" borderId="1" xfId="4" applyNumberFormat="1" applyFont="1" applyFill="1" applyBorder="1" applyAlignment="1">
      <alignment horizontal="right" vertical="center"/>
    </xf>
    <xf numFmtId="171" fontId="82" fillId="0" borderId="1" xfId="5" applyNumberFormat="1" applyFont="1" applyBorder="1" applyAlignment="1">
      <alignment horizontal="right" vertical="top" wrapText="1"/>
    </xf>
    <xf numFmtId="171" fontId="93" fillId="6" borderId="0" xfId="4" applyNumberFormat="1" applyFont="1" applyFill="1"/>
    <xf numFmtId="0" fontId="90" fillId="8" borderId="0" xfId="6" applyFont="1" applyFill="1"/>
    <xf numFmtId="0" fontId="2" fillId="10" borderId="0" xfId="2" applyFill="1"/>
    <xf numFmtId="3" fontId="100" fillId="0" borderId="0" xfId="0" applyNumberFormat="1" applyFont="1" applyAlignment="1">
      <alignment horizontal="center"/>
    </xf>
    <xf numFmtId="170" fontId="93" fillId="6" borderId="1" xfId="1" applyNumberFormat="1" applyFont="1" applyFill="1" applyBorder="1" applyAlignment="1">
      <alignment horizontal="center" vertical="center"/>
    </xf>
    <xf numFmtId="165" fontId="94" fillId="8" borderId="0" xfId="4" applyNumberFormat="1" applyFont="1" applyFill="1" applyAlignment="1">
      <alignment horizontal="left"/>
    </xf>
    <xf numFmtId="0" fontId="112" fillId="6" borderId="0" xfId="4" applyFont="1" applyFill="1"/>
    <xf numFmtId="171" fontId="113" fillId="0" borderId="1" xfId="4" applyNumberFormat="1" applyFont="1" applyBorder="1" applyAlignment="1">
      <alignment horizontal="center" vertical="center"/>
    </xf>
    <xf numFmtId="0" fontId="113" fillId="6" borderId="0" xfId="4" applyFont="1" applyFill="1" applyAlignment="1">
      <alignment horizontal="center" vertical="center"/>
    </xf>
    <xf numFmtId="0" fontId="113" fillId="6" borderId="0" xfId="4" applyFont="1" applyFill="1"/>
    <xf numFmtId="0" fontId="114" fillId="7" borderId="1" xfId="4" applyFont="1" applyFill="1" applyBorder="1" applyAlignment="1">
      <alignment vertical="center"/>
    </xf>
    <xf numFmtId="171" fontId="113" fillId="7" borderId="1" xfId="4" applyNumberFormat="1" applyFont="1" applyFill="1" applyBorder="1" applyAlignment="1">
      <alignment horizontal="center" vertical="center"/>
    </xf>
    <xf numFmtId="0" fontId="114" fillId="7" borderId="1" xfId="4" applyFont="1" applyFill="1" applyBorder="1" applyAlignment="1">
      <alignment horizontal="center" vertical="center"/>
    </xf>
    <xf numFmtId="171" fontId="104" fillId="6" borderId="0" xfId="4" applyNumberFormat="1" applyFont="1" applyFill="1"/>
    <xf numFmtId="0" fontId="113" fillId="6" borderId="2" xfId="4" applyFont="1" applyFill="1" applyBorder="1" applyAlignment="1">
      <alignment vertical="center"/>
    </xf>
    <xf numFmtId="0" fontId="115" fillId="6" borderId="0" xfId="4" applyFont="1" applyFill="1"/>
    <xf numFmtId="170" fontId="113" fillId="6" borderId="1" xfId="1" applyNumberFormat="1" applyFont="1" applyFill="1" applyBorder="1" applyAlignment="1">
      <alignment vertical="center"/>
    </xf>
    <xf numFmtId="0" fontId="116" fillId="6" borderId="0" xfId="4" applyFont="1" applyFill="1"/>
    <xf numFmtId="0" fontId="116" fillId="6" borderId="0" xfId="4" applyFont="1" applyFill="1" applyAlignment="1">
      <alignment horizontal="center"/>
    </xf>
    <xf numFmtId="0" fontId="116" fillId="6" borderId="0" xfId="4" applyFont="1" applyFill="1" applyAlignment="1">
      <alignment horizontal="center" vertical="center"/>
    </xf>
    <xf numFmtId="1" fontId="116" fillId="6" borderId="0" xfId="4" applyNumberFormat="1" applyFont="1" applyFill="1"/>
    <xf numFmtId="170" fontId="116" fillId="6" borderId="0" xfId="1" applyNumberFormat="1" applyFont="1" applyFill="1"/>
    <xf numFmtId="0" fontId="115" fillId="3" borderId="0" xfId="4" applyFont="1" applyFill="1"/>
    <xf numFmtId="0" fontId="117" fillId="6" borderId="0" xfId="4" applyFont="1" applyFill="1" applyAlignment="1">
      <alignment horizontal="center"/>
    </xf>
    <xf numFmtId="165" fontId="117" fillId="6" borderId="0" xfId="4" applyNumberFormat="1" applyFont="1" applyFill="1" applyAlignment="1">
      <alignment horizontal="center"/>
    </xf>
    <xf numFmtId="3" fontId="112" fillId="6" borderId="0" xfId="4" applyNumberFormat="1" applyFont="1" applyFill="1" applyAlignment="1">
      <alignment vertical="center"/>
    </xf>
    <xf numFmtId="0" fontId="117" fillId="6" borderId="0" xfId="4" applyFont="1" applyFill="1"/>
    <xf numFmtId="3" fontId="117" fillId="0" borderId="0" xfId="4" applyNumberFormat="1" applyFont="1" applyAlignment="1">
      <alignment vertical="center"/>
    </xf>
    <xf numFmtId="1" fontId="18" fillId="6" borderId="0" xfId="5" applyNumberFormat="1" applyFont="1" applyFill="1"/>
    <xf numFmtId="165" fontId="117" fillId="6" borderId="0" xfId="4" applyNumberFormat="1" applyFont="1" applyFill="1" applyAlignment="1">
      <alignment horizontal="right"/>
    </xf>
    <xf numFmtId="171" fontId="117" fillId="6" borderId="0" xfId="4" applyNumberFormat="1" applyFont="1" applyFill="1"/>
    <xf numFmtId="3" fontId="4" fillId="0" borderId="1" xfId="1" applyNumberFormat="1" applyFont="1" applyBorder="1" applyAlignment="1">
      <alignment horizontal="center" vertical="center"/>
    </xf>
    <xf numFmtId="3" fontId="4" fillId="0" borderId="20" xfId="1" applyNumberFormat="1" applyFont="1" applyBorder="1" applyAlignment="1">
      <alignment horizontal="center" vertical="center"/>
    </xf>
    <xf numFmtId="0" fontId="18" fillId="7" borderId="28" xfId="5" applyFont="1" applyFill="1" applyBorder="1" applyAlignment="1">
      <alignment horizontal="center" vertical="top" wrapText="1"/>
    </xf>
    <xf numFmtId="0" fontId="18" fillId="11" borderId="1" xfId="5" applyFont="1" applyFill="1" applyBorder="1" applyAlignment="1">
      <alignment horizontal="center" vertical="top" wrapText="1"/>
    </xf>
    <xf numFmtId="0" fontId="18" fillId="6" borderId="2" xfId="5" applyFont="1" applyFill="1" applyBorder="1" applyAlignment="1">
      <alignment horizontal="center" vertical="top" wrapText="1"/>
    </xf>
    <xf numFmtId="0" fontId="18" fillId="7" borderId="1" xfId="5" applyFont="1" applyFill="1" applyBorder="1" applyAlignment="1">
      <alignment horizontal="center" vertical="top" wrapText="1"/>
    </xf>
    <xf numFmtId="3" fontId="4" fillId="0" borderId="1" xfId="1" applyNumberFormat="1" applyFont="1" applyBorder="1" applyAlignment="1">
      <alignment horizontal="center" vertical="center" wrapText="1"/>
    </xf>
    <xf numFmtId="3" fontId="4" fillId="0" borderId="3" xfId="1" applyNumberFormat="1" applyFont="1" applyBorder="1" applyAlignment="1">
      <alignment horizontal="center" vertical="center" wrapText="1"/>
    </xf>
    <xf numFmtId="170" fontId="114" fillId="6" borderId="1" xfId="1" applyNumberFormat="1" applyFont="1" applyFill="1" applyBorder="1" applyAlignment="1">
      <alignment vertical="center"/>
    </xf>
    <xf numFmtId="0" fontId="117" fillId="7" borderId="1" xfId="4" applyFont="1" applyFill="1" applyBorder="1" applyAlignment="1">
      <alignment vertical="center"/>
    </xf>
    <xf numFmtId="0" fontId="115" fillId="6" borderId="2" xfId="4" applyFont="1" applyFill="1" applyBorder="1"/>
    <xf numFmtId="170" fontId="115" fillId="6" borderId="1" xfId="1" applyNumberFormat="1" applyFont="1" applyFill="1" applyBorder="1" applyAlignment="1">
      <alignment vertical="center"/>
    </xf>
    <xf numFmtId="171" fontId="30" fillId="6" borderId="1" xfId="5" applyNumberFormat="1" applyFont="1" applyFill="1" applyBorder="1" applyAlignment="1">
      <alignment horizontal="right" vertical="top" wrapText="1"/>
    </xf>
    <xf numFmtId="0" fontId="115" fillId="6" borderId="19" xfId="4" applyFont="1" applyFill="1" applyBorder="1"/>
    <xf numFmtId="170" fontId="115" fillId="6" borderId="0" xfId="1" applyNumberFormat="1" applyFont="1" applyFill="1"/>
    <xf numFmtId="171" fontId="30" fillId="0" borderId="1" xfId="5" applyNumberFormat="1" applyFont="1" applyBorder="1" applyAlignment="1">
      <alignment horizontal="right" vertical="top" wrapText="1"/>
    </xf>
    <xf numFmtId="169" fontId="22" fillId="6" borderId="0" xfId="5" applyNumberFormat="1" applyFont="1" applyFill="1" applyAlignment="1">
      <alignment horizontal="center" vertical="center" wrapText="1"/>
    </xf>
    <xf numFmtId="0" fontId="115" fillId="6" borderId="0" xfId="4" applyFont="1" applyFill="1" applyAlignment="1">
      <alignment horizontal="center" vertical="center"/>
    </xf>
    <xf numFmtId="1" fontId="115" fillId="6" borderId="0" xfId="4" applyNumberFormat="1" applyFont="1" applyFill="1"/>
    <xf numFmtId="3" fontId="90" fillId="37" borderId="0" xfId="1" applyNumberFormat="1" applyFont="1" applyFill="1"/>
    <xf numFmtId="0" fontId="84" fillId="0" borderId="0" xfId="0" applyFont="1" applyAlignment="1">
      <alignment horizontal="center"/>
    </xf>
    <xf numFmtId="171" fontId="114" fillId="0" borderId="1" xfId="4" applyNumberFormat="1" applyFont="1" applyBorder="1" applyAlignment="1">
      <alignment horizontal="center" vertical="center"/>
    </xf>
    <xf numFmtId="171" fontId="114" fillId="6" borderId="20" xfId="4" applyNumberFormat="1" applyFont="1" applyFill="1" applyBorder="1" applyAlignment="1">
      <alignment horizontal="right" vertical="center"/>
    </xf>
    <xf numFmtId="0" fontId="26" fillId="0" borderId="21" xfId="4" applyFont="1" applyBorder="1" applyAlignment="1">
      <alignment horizontal="center" vertical="center"/>
    </xf>
    <xf numFmtId="3" fontId="95" fillId="0" borderId="0" xfId="0" applyNumberFormat="1" applyFont="1" applyAlignment="1">
      <alignment horizontal="center"/>
    </xf>
    <xf numFmtId="0" fontId="118" fillId="7" borderId="18" xfId="4" applyFont="1" applyFill="1" applyBorder="1" applyAlignment="1">
      <alignment horizontal="center" vertical="center"/>
    </xf>
    <xf numFmtId="170" fontId="93" fillId="6" borderId="0" xfId="1" applyNumberFormat="1" applyFont="1" applyFill="1" applyBorder="1" applyAlignment="1">
      <alignment vertical="center"/>
    </xf>
    <xf numFmtId="170" fontId="42" fillId="6" borderId="0" xfId="1" applyNumberFormat="1" applyFont="1" applyFill="1" applyBorder="1" applyAlignment="1">
      <alignment vertical="center"/>
    </xf>
    <xf numFmtId="0" fontId="74" fillId="0" borderId="21" xfId="4" applyFont="1" applyBorder="1" applyAlignment="1">
      <alignment vertical="center"/>
    </xf>
    <xf numFmtId="0" fontId="120" fillId="6" borderId="0" xfId="4" applyFont="1" applyFill="1"/>
    <xf numFmtId="0" fontId="120" fillId="0" borderId="1" xfId="4" applyFont="1" applyBorder="1" applyAlignment="1">
      <alignment horizontal="center" vertical="center"/>
    </xf>
    <xf numFmtId="0" fontId="120" fillId="0" borderId="1" xfId="4" applyFont="1" applyBorder="1" applyAlignment="1">
      <alignment vertical="center"/>
    </xf>
    <xf numFmtId="171" fontId="120" fillId="0" borderId="1" xfId="4" applyNumberFormat="1" applyFont="1" applyBorder="1" applyAlignment="1">
      <alignment horizontal="center" vertical="center"/>
    </xf>
    <xf numFmtId="171" fontId="117" fillId="7" borderId="20" xfId="4" applyNumberFormat="1" applyFont="1" applyFill="1" applyBorder="1" applyAlignment="1">
      <alignment horizontal="center" vertical="center"/>
    </xf>
    <xf numFmtId="22" fontId="22" fillId="0" borderId="28" xfId="4" applyNumberFormat="1" applyFont="1" applyBorder="1" applyAlignment="1">
      <alignment horizontal="center" vertical="center"/>
    </xf>
    <xf numFmtId="0" fontId="119" fillId="6" borderId="0" xfId="4" applyFont="1" applyFill="1"/>
    <xf numFmtId="0" fontId="120" fillId="6" borderId="0" xfId="4" applyFont="1" applyFill="1" applyAlignment="1">
      <alignment horizontal="center" vertical="center"/>
    </xf>
    <xf numFmtId="0" fontId="121" fillId="0" borderId="0" xfId="0" applyFont="1"/>
    <xf numFmtId="0" fontId="30" fillId="0" borderId="28" xfId="4" applyFont="1" applyBorder="1" applyAlignment="1">
      <alignment horizontal="center" vertical="center"/>
    </xf>
    <xf numFmtId="3" fontId="46" fillId="0" borderId="20" xfId="1" applyNumberFormat="1" applyFont="1" applyFill="1" applyBorder="1" applyAlignment="1">
      <alignment horizontal="center" vertical="center"/>
    </xf>
    <xf numFmtId="3" fontId="46" fillId="0" borderId="3" xfId="1" applyNumberFormat="1" applyFont="1" applyFill="1" applyBorder="1" applyAlignment="1">
      <alignment horizontal="center" vertical="center" wrapText="1"/>
    </xf>
    <xf numFmtId="0" fontId="92" fillId="0" borderId="21" xfId="4" applyFont="1" applyBorder="1" applyAlignment="1">
      <alignment vertical="center"/>
    </xf>
    <xf numFmtId="170" fontId="104" fillId="6" borderId="0" xfId="1" applyNumberFormat="1" applyFont="1" applyFill="1" applyAlignment="1">
      <alignment vertical="center"/>
    </xf>
    <xf numFmtId="170" fontId="104" fillId="6" borderId="28" xfId="1" applyNumberFormat="1" applyFont="1" applyFill="1" applyBorder="1" applyAlignment="1">
      <alignment vertical="center"/>
    </xf>
    <xf numFmtId="3" fontId="109" fillId="0" borderId="0" xfId="4" applyNumberFormat="1" applyFont="1" applyAlignment="1">
      <alignment vertical="center"/>
    </xf>
    <xf numFmtId="3" fontId="94" fillId="0" borderId="20" xfId="1" applyNumberFormat="1" applyFont="1" applyBorder="1" applyAlignment="1">
      <alignment horizontal="center" vertical="center"/>
    </xf>
    <xf numFmtId="3" fontId="94" fillId="0" borderId="3" xfId="1" applyNumberFormat="1" applyFont="1" applyBorder="1" applyAlignment="1">
      <alignment horizontal="center" vertical="center" wrapText="1"/>
    </xf>
    <xf numFmtId="0" fontId="109" fillId="7" borderId="29" xfId="4" applyFont="1" applyFill="1" applyBorder="1" applyAlignment="1">
      <alignment vertical="center"/>
    </xf>
    <xf numFmtId="0" fontId="109" fillId="7" borderId="19" xfId="4" applyFont="1" applyFill="1" applyBorder="1" applyAlignment="1">
      <alignment horizontal="center" vertical="center"/>
    </xf>
    <xf numFmtId="0" fontId="109" fillId="7" borderId="25" xfId="4" applyFont="1" applyFill="1" applyBorder="1" applyAlignment="1">
      <alignment horizontal="center" vertical="center"/>
    </xf>
    <xf numFmtId="171" fontId="104" fillId="6" borderId="20" xfId="4" applyNumberFormat="1" applyFont="1" applyFill="1" applyBorder="1" applyAlignment="1">
      <alignment horizontal="right" vertical="center"/>
    </xf>
    <xf numFmtId="3" fontId="110" fillId="39" borderId="0" xfId="0" applyNumberFormat="1" applyFont="1" applyFill="1" applyAlignment="1">
      <alignment horizontal="center"/>
    </xf>
    <xf numFmtId="3" fontId="13" fillId="0" borderId="0" xfId="1" applyNumberFormat="1" applyFont="1" applyFill="1" applyAlignment="1">
      <alignment horizontal="right"/>
    </xf>
    <xf numFmtId="3" fontId="13" fillId="0" borderId="0" xfId="2" applyNumberFormat="1" applyFont="1" applyAlignment="1">
      <alignment horizontal="center"/>
    </xf>
    <xf numFmtId="0" fontId="0" fillId="8" borderId="0" xfId="2" applyFont="1" applyFill="1"/>
    <xf numFmtId="168" fontId="13" fillId="0" borderId="0" xfId="3" applyNumberFormat="1" applyFont="1"/>
    <xf numFmtId="0" fontId="13" fillId="0" borderId="0" xfId="3" applyNumberFormat="1" applyFont="1"/>
    <xf numFmtId="0" fontId="94" fillId="5" borderId="20" xfId="4" applyFont="1" applyFill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3" fontId="46" fillId="0" borderId="20" xfId="1" applyNumberFormat="1" applyFont="1" applyBorder="1" applyAlignment="1">
      <alignment horizontal="center" vertical="center"/>
    </xf>
    <xf numFmtId="3" fontId="46" fillId="0" borderId="3" xfId="1" applyNumberFormat="1" applyFont="1" applyBorder="1" applyAlignment="1">
      <alignment horizontal="center" vertical="center" wrapText="1"/>
    </xf>
    <xf numFmtId="171" fontId="104" fillId="0" borderId="45" xfId="4" applyNumberFormat="1" applyFont="1" applyBorder="1" applyAlignment="1">
      <alignment horizontal="center" vertical="center"/>
    </xf>
    <xf numFmtId="0" fontId="30" fillId="8" borderId="1" xfId="4" applyFont="1" applyFill="1" applyBorder="1" applyAlignment="1">
      <alignment vertical="center"/>
    </xf>
    <xf numFmtId="165" fontId="68" fillId="0" borderId="0" xfId="0" applyNumberFormat="1" applyFont="1"/>
    <xf numFmtId="3" fontId="122" fillId="6" borderId="0" xfId="4" applyNumberFormat="1" applyFont="1" applyFill="1" applyAlignment="1">
      <alignment vertical="center"/>
    </xf>
    <xf numFmtId="170" fontId="111" fillId="6" borderId="1" xfId="1" applyNumberFormat="1" applyFont="1" applyFill="1" applyBorder="1" applyAlignment="1">
      <alignment vertical="center"/>
    </xf>
    <xf numFmtId="170" fontId="108" fillId="6" borderId="1" xfId="1" applyNumberFormat="1" applyFont="1" applyFill="1" applyBorder="1" applyAlignment="1">
      <alignment vertical="center"/>
    </xf>
    <xf numFmtId="170" fontId="104" fillId="6" borderId="0" xfId="1" applyNumberFormat="1" applyFont="1" applyFill="1" applyBorder="1" applyAlignment="1">
      <alignment vertical="center"/>
    </xf>
    <xf numFmtId="171" fontId="101" fillId="7" borderId="20" xfId="4" applyNumberFormat="1" applyFont="1" applyFill="1" applyBorder="1" applyAlignment="1">
      <alignment horizontal="center" vertical="center"/>
    </xf>
    <xf numFmtId="0" fontId="123" fillId="0" borderId="0" xfId="0" applyFont="1"/>
    <xf numFmtId="165" fontId="90" fillId="10" borderId="0" xfId="6" applyNumberFormat="1" applyFont="1" applyFill="1"/>
    <xf numFmtId="171" fontId="104" fillId="0" borderId="20" xfId="4" applyNumberFormat="1" applyFont="1" applyBorder="1" applyAlignment="1">
      <alignment horizontal="center" vertical="center"/>
    </xf>
    <xf numFmtId="171" fontId="109" fillId="7" borderId="29" xfId="4" applyNumberFormat="1" applyFont="1" applyFill="1" applyBorder="1" applyAlignment="1">
      <alignment horizontal="center" vertical="center"/>
    </xf>
    <xf numFmtId="0" fontId="109" fillId="7" borderId="23" xfId="4" applyFont="1" applyFill="1" applyBorder="1" applyAlignment="1">
      <alignment vertical="center"/>
    </xf>
    <xf numFmtId="0" fontId="109" fillId="7" borderId="23" xfId="4" applyFont="1" applyFill="1" applyBorder="1" applyAlignment="1">
      <alignment horizontal="center" vertical="center"/>
    </xf>
    <xf numFmtId="171" fontId="101" fillId="7" borderId="31" xfId="4" applyNumberFormat="1" applyFont="1" applyFill="1" applyBorder="1" applyAlignment="1">
      <alignment horizontal="center" vertical="center"/>
    </xf>
    <xf numFmtId="171" fontId="104" fillId="6" borderId="27" xfId="4" applyNumberFormat="1" applyFont="1" applyFill="1" applyBorder="1" applyAlignment="1">
      <alignment horizontal="right" vertical="center"/>
    </xf>
    <xf numFmtId="171" fontId="92" fillId="6" borderId="3" xfId="5" applyNumberFormat="1" applyFont="1" applyFill="1" applyBorder="1" applyAlignment="1">
      <alignment horizontal="right" vertical="top" wrapText="1"/>
    </xf>
    <xf numFmtId="4" fontId="68" fillId="0" borderId="0" xfId="0" applyNumberFormat="1" applyFont="1" applyAlignment="1">
      <alignment horizontal="center"/>
    </xf>
    <xf numFmtId="0" fontId="92" fillId="0" borderId="0" xfId="6" applyFont="1"/>
    <xf numFmtId="0" fontId="92" fillId="0" borderId="23" xfId="6" applyFont="1" applyBorder="1"/>
    <xf numFmtId="0" fontId="22" fillId="0" borderId="1" xfId="4" applyFont="1" applyBorder="1" applyAlignment="1">
      <alignment horizontal="center" vertical="center"/>
    </xf>
    <xf numFmtId="22" fontId="30" fillId="0" borderId="28" xfId="4" applyNumberFormat="1" applyFont="1" applyBorder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65" fontId="29" fillId="0" borderId="0" xfId="0" applyNumberFormat="1" applyFont="1"/>
    <xf numFmtId="3" fontId="90" fillId="8" borderId="0" xfId="6" applyNumberFormat="1" applyFont="1" applyFill="1" applyAlignment="1">
      <alignment horizontal="center"/>
    </xf>
    <xf numFmtId="0" fontId="124" fillId="0" borderId="0" xfId="0" applyFont="1" applyAlignment="1">
      <alignment horizontal="center"/>
    </xf>
    <xf numFmtId="0" fontId="114" fillId="0" borderId="23" xfId="4" applyFont="1" applyBorder="1" applyAlignment="1">
      <alignment vertical="center"/>
    </xf>
    <xf numFmtId="0" fontId="114" fillId="7" borderId="28" xfId="4" applyFont="1" applyFill="1" applyBorder="1" applyAlignment="1">
      <alignment vertical="center"/>
    </xf>
    <xf numFmtId="171" fontId="113" fillId="7" borderId="28" xfId="4" applyNumberFormat="1" applyFont="1" applyFill="1" applyBorder="1" applyAlignment="1">
      <alignment horizontal="center" vertical="center"/>
    </xf>
    <xf numFmtId="0" fontId="114" fillId="7" borderId="28" xfId="4" applyFont="1" applyFill="1" applyBorder="1" applyAlignment="1">
      <alignment horizontal="center" vertical="center"/>
    </xf>
    <xf numFmtId="1" fontId="82" fillId="0" borderId="0" xfId="6" applyNumberFormat="1" applyFont="1"/>
    <xf numFmtId="0" fontId="92" fillId="0" borderId="3" xfId="4" applyFont="1" applyBorder="1" applyAlignment="1">
      <alignment horizontal="center" vertical="center"/>
    </xf>
    <xf numFmtId="171" fontId="104" fillId="0" borderId="28" xfId="4" applyNumberFormat="1" applyFont="1" applyBorder="1" applyAlignment="1">
      <alignment horizontal="center" vertical="center"/>
    </xf>
    <xf numFmtId="171" fontId="109" fillId="7" borderId="23" xfId="4" applyNumberFormat="1" applyFont="1" applyFill="1" applyBorder="1" applyAlignment="1">
      <alignment horizontal="center" vertical="center"/>
    </xf>
    <xf numFmtId="171" fontId="101" fillId="7" borderId="23" xfId="4" applyNumberFormat="1" applyFont="1" applyFill="1" applyBorder="1" applyAlignment="1">
      <alignment horizontal="center" vertical="center"/>
    </xf>
    <xf numFmtId="22" fontId="92" fillId="6" borderId="8" xfId="4" applyNumberFormat="1" applyFont="1" applyFill="1" applyBorder="1" applyAlignment="1">
      <alignment horizontal="center" vertical="center"/>
    </xf>
    <xf numFmtId="22" fontId="71" fillId="6" borderId="8" xfId="4" applyNumberFormat="1" applyFont="1" applyFill="1" applyBorder="1" applyAlignment="1">
      <alignment horizontal="center" vertical="center"/>
    </xf>
    <xf numFmtId="171" fontId="104" fillId="6" borderId="40" xfId="4" applyNumberFormat="1" applyFont="1" applyFill="1" applyBorder="1" applyAlignment="1">
      <alignment vertical="center"/>
    </xf>
    <xf numFmtId="171" fontId="92" fillId="6" borderId="3" xfId="5" applyNumberFormat="1" applyFont="1" applyFill="1" applyBorder="1" applyAlignment="1">
      <alignment vertical="top" wrapText="1"/>
    </xf>
    <xf numFmtId="171" fontId="92" fillId="0" borderId="1" xfId="5" applyNumberFormat="1" applyFont="1" applyBorder="1" applyAlignment="1">
      <alignment vertical="top" wrapText="1"/>
    </xf>
    <xf numFmtId="3" fontId="90" fillId="0" borderId="0" xfId="1" applyNumberFormat="1" applyFont="1"/>
    <xf numFmtId="22" fontId="92" fillId="9" borderId="1" xfId="4" applyNumberFormat="1" applyFont="1" applyFill="1" applyBorder="1" applyAlignment="1">
      <alignment horizontal="center" vertical="center"/>
    </xf>
    <xf numFmtId="0" fontId="92" fillId="9" borderId="1" xfId="4" applyFont="1" applyFill="1" applyBorder="1" applyAlignment="1">
      <alignment horizontal="center" vertical="center"/>
    </xf>
    <xf numFmtId="171" fontId="104" fillId="6" borderId="20" xfId="4" applyNumberFormat="1" applyFont="1" applyFill="1" applyBorder="1" applyAlignment="1">
      <alignment vertical="center"/>
    </xf>
    <xf numFmtId="171" fontId="92" fillId="6" borderId="1" xfId="5" applyNumberFormat="1" applyFont="1" applyFill="1" applyBorder="1" applyAlignment="1">
      <alignment vertical="top" wrapText="1"/>
    </xf>
    <xf numFmtId="165" fontId="90" fillId="8" borderId="0" xfId="6" applyNumberFormat="1" applyFont="1" applyFill="1" applyAlignment="1">
      <alignment horizontal="center"/>
    </xf>
    <xf numFmtId="171" fontId="116" fillId="0" borderId="1" xfId="4" applyNumberFormat="1" applyFont="1" applyBorder="1" applyAlignment="1">
      <alignment horizontal="center" vertical="center"/>
    </xf>
    <xf numFmtId="0" fontId="114" fillId="6" borderId="0" xfId="4" applyFont="1" applyFill="1"/>
    <xf numFmtId="0" fontId="96" fillId="0" borderId="0" xfId="0" applyFont="1" applyAlignment="1">
      <alignment horizontal="center"/>
    </xf>
    <xf numFmtId="165" fontId="7" fillId="0" borderId="0" xfId="6" applyNumberFormat="1" applyFont="1" applyAlignment="1">
      <alignment wrapText="1"/>
    </xf>
    <xf numFmtId="0" fontId="74" fillId="0" borderId="28" xfId="4" applyFont="1" applyBorder="1" applyAlignment="1">
      <alignment horizontal="center" vertical="center"/>
    </xf>
    <xf numFmtId="22" fontId="74" fillId="0" borderId="28" xfId="4" applyNumberFormat="1" applyFont="1" applyBorder="1" applyAlignment="1">
      <alignment horizontal="center" vertical="center"/>
    </xf>
    <xf numFmtId="171" fontId="109" fillId="7" borderId="31" xfId="4" applyNumberFormat="1" applyFont="1" applyFill="1" applyBorder="1" applyAlignment="1">
      <alignment horizontal="center" vertical="center"/>
    </xf>
    <xf numFmtId="0" fontId="114" fillId="7" borderId="36" xfId="4" applyFont="1" applyFill="1" applyBorder="1" applyAlignment="1">
      <alignment vertical="center"/>
    </xf>
    <xf numFmtId="171" fontId="113" fillId="7" borderId="36" xfId="4" applyNumberFormat="1" applyFont="1" applyFill="1" applyBorder="1" applyAlignment="1">
      <alignment horizontal="center" vertical="center"/>
    </xf>
    <xf numFmtId="0" fontId="114" fillId="7" borderId="36" xfId="4" applyFont="1" applyFill="1" applyBorder="1" applyAlignment="1">
      <alignment horizontal="center" vertical="center"/>
    </xf>
    <xf numFmtId="0" fontId="114" fillId="7" borderId="33" xfId="4" applyFont="1" applyFill="1" applyBorder="1" applyAlignment="1">
      <alignment vertical="center"/>
    </xf>
    <xf numFmtId="171" fontId="113" fillId="7" borderId="33" xfId="4" applyNumberFormat="1" applyFont="1" applyFill="1" applyBorder="1" applyAlignment="1">
      <alignment horizontal="center" vertical="center"/>
    </xf>
    <xf numFmtId="0" fontId="126" fillId="6" borderId="0" xfId="4" applyFont="1" applyFill="1"/>
    <xf numFmtId="0" fontId="127" fillId="6" borderId="0" xfId="4" applyFont="1" applyFill="1"/>
    <xf numFmtId="0" fontId="127" fillId="6" borderId="0" xfId="4" applyFont="1" applyFill="1" applyAlignment="1">
      <alignment horizontal="center"/>
    </xf>
    <xf numFmtId="165" fontId="127" fillId="6" borderId="0" xfId="4" applyNumberFormat="1" applyFont="1" applyFill="1" applyAlignment="1">
      <alignment horizontal="center" vertical="center"/>
    </xf>
    <xf numFmtId="0" fontId="127" fillId="6" borderId="0" xfId="4" applyFont="1" applyFill="1" applyAlignment="1">
      <alignment horizontal="center" vertical="center"/>
    </xf>
    <xf numFmtId="0" fontId="128" fillId="6" borderId="0" xfId="4" applyFont="1" applyFill="1"/>
    <xf numFmtId="165" fontId="117" fillId="6" borderId="5" xfId="4" applyNumberFormat="1" applyFont="1" applyFill="1" applyBorder="1"/>
    <xf numFmtId="165" fontId="117" fillId="6" borderId="0" xfId="5" applyNumberFormat="1" applyFont="1" applyFill="1"/>
    <xf numFmtId="0" fontId="117" fillId="7" borderId="28" xfId="5" applyFont="1" applyFill="1" applyBorder="1" applyAlignment="1">
      <alignment horizontal="center" vertical="top" wrapText="1"/>
    </xf>
    <xf numFmtId="165" fontId="117" fillId="7" borderId="28" xfId="5" applyNumberFormat="1" applyFont="1" applyFill="1" applyBorder="1" applyAlignment="1">
      <alignment horizontal="center" vertical="top" wrapText="1"/>
    </xf>
    <xf numFmtId="0" fontId="117" fillId="7" borderId="1" xfId="5" applyFont="1" applyFill="1" applyBorder="1" applyAlignment="1">
      <alignment horizontal="center" vertical="top" wrapText="1"/>
    </xf>
    <xf numFmtId="165" fontId="113" fillId="7" borderId="1" xfId="4" applyNumberFormat="1" applyFont="1" applyFill="1" applyBorder="1" applyAlignment="1">
      <alignment horizontal="center" vertical="center"/>
    </xf>
    <xf numFmtId="0" fontId="113" fillId="7" borderId="1" xfId="5" applyFont="1" applyFill="1" applyBorder="1" applyAlignment="1">
      <alignment horizontal="center" vertical="center" wrapText="1"/>
    </xf>
    <xf numFmtId="0" fontId="114" fillId="7" borderId="1" xfId="5" applyFont="1" applyFill="1" applyBorder="1" applyAlignment="1">
      <alignment horizontal="center" vertical="center" wrapText="1"/>
    </xf>
    <xf numFmtId="0" fontId="112" fillId="7" borderId="1" xfId="5" applyFont="1" applyFill="1" applyBorder="1" applyAlignment="1">
      <alignment horizontal="center" vertical="center" wrapText="1"/>
    </xf>
    <xf numFmtId="0" fontId="117" fillId="8" borderId="0" xfId="4" applyFont="1" applyFill="1" applyAlignment="1">
      <alignment horizontal="center"/>
    </xf>
    <xf numFmtId="0" fontId="115" fillId="0" borderId="1" xfId="4" applyFont="1" applyBorder="1" applyAlignment="1">
      <alignment horizontal="center" vertical="center"/>
    </xf>
    <xf numFmtId="0" fontId="115" fillId="0" borderId="1" xfId="4" applyFont="1" applyBorder="1" applyAlignment="1">
      <alignment vertical="center"/>
    </xf>
    <xf numFmtId="171" fontId="115" fillId="0" borderId="1" xfId="4" applyNumberFormat="1" applyFont="1" applyBorder="1" applyAlignment="1">
      <alignment horizontal="center" vertical="center"/>
    </xf>
    <xf numFmtId="165" fontId="115" fillId="0" borderId="1" xfId="4" applyNumberFormat="1" applyFont="1" applyBorder="1" applyAlignment="1">
      <alignment horizontal="center" vertical="center"/>
    </xf>
    <xf numFmtId="0" fontId="115" fillId="6" borderId="1" xfId="5" applyFont="1" applyFill="1" applyBorder="1" applyAlignment="1">
      <alignment horizontal="center" vertical="center" wrapText="1"/>
    </xf>
    <xf numFmtId="0" fontId="115" fillId="6" borderId="28" xfId="5" applyFont="1" applyFill="1" applyBorder="1" applyAlignment="1">
      <alignment horizontal="center" vertical="center" wrapText="1"/>
    </xf>
    <xf numFmtId="0" fontId="117" fillId="0" borderId="1" xfId="5" applyFont="1" applyBorder="1" applyAlignment="1">
      <alignment horizontal="center" vertical="center" wrapText="1"/>
    </xf>
    <xf numFmtId="165" fontId="115" fillId="6" borderId="0" xfId="6" applyNumberFormat="1" applyFont="1" applyFill="1"/>
    <xf numFmtId="0" fontId="115" fillId="6" borderId="3" xfId="5" applyFont="1" applyFill="1" applyBorder="1" applyAlignment="1">
      <alignment horizontal="center" vertical="center" wrapText="1"/>
    </xf>
    <xf numFmtId="165" fontId="115" fillId="6" borderId="0" xfId="4" applyNumberFormat="1" applyFont="1" applyFill="1"/>
    <xf numFmtId="0" fontId="115" fillId="0" borderId="28" xfId="5" applyFont="1" applyBorder="1" applyAlignment="1">
      <alignment horizontal="center" vertical="center" wrapText="1"/>
    </xf>
    <xf numFmtId="0" fontId="115" fillId="0" borderId="3" xfId="5" applyFont="1" applyBorder="1" applyAlignment="1">
      <alignment horizontal="center" vertical="center" wrapText="1"/>
    </xf>
    <xf numFmtId="0" fontId="115" fillId="7" borderId="1" xfId="5" applyFont="1" applyFill="1" applyBorder="1" applyAlignment="1">
      <alignment horizontal="center" vertical="center" wrapText="1"/>
    </xf>
    <xf numFmtId="0" fontId="115" fillId="6" borderId="28" xfId="4" applyFont="1" applyFill="1" applyBorder="1" applyAlignment="1">
      <alignment horizontal="center" vertical="center"/>
    </xf>
    <xf numFmtId="0" fontId="115" fillId="6" borderId="3" xfId="4" applyFont="1" applyFill="1" applyBorder="1" applyAlignment="1">
      <alignment horizontal="center" vertical="center"/>
    </xf>
    <xf numFmtId="0" fontId="113" fillId="7" borderId="1" xfId="4" applyFont="1" applyFill="1" applyBorder="1" applyAlignment="1">
      <alignment horizontal="center" vertical="center"/>
    </xf>
    <xf numFmtId="0" fontId="115" fillId="2" borderId="1" xfId="4" applyFont="1" applyFill="1" applyBorder="1" applyAlignment="1">
      <alignment vertical="center"/>
    </xf>
    <xf numFmtId="0" fontId="115" fillId="6" borderId="1" xfId="4" applyFont="1" applyFill="1" applyBorder="1" applyAlignment="1">
      <alignment horizontal="center" vertical="center"/>
    </xf>
    <xf numFmtId="0" fontId="88" fillId="6" borderId="0" xfId="4" applyFont="1" applyFill="1" applyAlignment="1">
      <alignment horizontal="center" vertical="center"/>
    </xf>
    <xf numFmtId="0" fontId="88" fillId="6" borderId="0" xfId="4" applyFont="1" applyFill="1"/>
    <xf numFmtId="0" fontId="130" fillId="6" borderId="0" xfId="4" applyFont="1" applyFill="1"/>
    <xf numFmtId="171" fontId="127" fillId="6" borderId="0" xfId="4" applyNumberFormat="1" applyFont="1" applyFill="1"/>
    <xf numFmtId="22" fontId="115" fillId="0" borderId="1" xfId="4" applyNumberFormat="1" applyFont="1" applyBorder="1" applyAlignment="1">
      <alignment vertical="center"/>
    </xf>
    <xf numFmtId="0" fontId="115" fillId="0" borderId="1" xfId="5" applyFont="1" applyBorder="1" applyAlignment="1">
      <alignment horizontal="center" vertical="center" wrapText="1"/>
    </xf>
    <xf numFmtId="0" fontId="115" fillId="0" borderId="0" xfId="0" applyFont="1"/>
    <xf numFmtId="0" fontId="131" fillId="0" borderId="1" xfId="5" applyFont="1" applyBorder="1" applyAlignment="1">
      <alignment horizontal="center" vertical="center" wrapText="1"/>
    </xf>
    <xf numFmtId="171" fontId="88" fillId="6" borderId="0" xfId="4" applyNumberFormat="1" applyFont="1" applyFill="1"/>
    <xf numFmtId="171" fontId="95" fillId="6" borderId="0" xfId="4" applyNumberFormat="1" applyFont="1" applyFill="1"/>
    <xf numFmtId="165" fontId="113" fillId="6" borderId="0" xfId="6" applyNumberFormat="1" applyFont="1" applyFill="1"/>
    <xf numFmtId="165" fontId="120" fillId="0" borderId="0" xfId="2" applyNumberFormat="1" applyFont="1"/>
    <xf numFmtId="0" fontId="132" fillId="6" borderId="0" xfId="4" applyFont="1" applyFill="1"/>
    <xf numFmtId="0" fontId="116" fillId="0" borderId="1" xfId="4" applyFont="1" applyBorder="1" applyAlignment="1">
      <alignment horizontal="center" vertical="center"/>
    </xf>
    <xf numFmtId="0" fontId="116" fillId="0" borderId="1" xfId="4" applyFont="1" applyBorder="1" applyAlignment="1">
      <alignment vertical="center"/>
    </xf>
    <xf numFmtId="22" fontId="116" fillId="0" borderId="1" xfId="4" applyNumberFormat="1" applyFont="1" applyBorder="1" applyAlignment="1">
      <alignment vertical="center"/>
    </xf>
    <xf numFmtId="165" fontId="116" fillId="0" borderId="1" xfId="4" applyNumberFormat="1" applyFont="1" applyBorder="1" applyAlignment="1">
      <alignment horizontal="center" vertical="center"/>
    </xf>
    <xf numFmtId="0" fontId="116" fillId="6" borderId="1" xfId="5" applyFont="1" applyFill="1" applyBorder="1" applyAlignment="1">
      <alignment horizontal="center" vertical="center" wrapText="1"/>
    </xf>
    <xf numFmtId="0" fontId="105" fillId="6" borderId="0" xfId="4" applyFont="1" applyFill="1" applyAlignment="1">
      <alignment horizontal="center" vertical="center"/>
    </xf>
    <xf numFmtId="0" fontId="133" fillId="0" borderId="1" xfId="5" applyFont="1" applyBorder="1" applyAlignment="1">
      <alignment horizontal="center" vertical="center" wrapText="1"/>
    </xf>
    <xf numFmtId="0" fontId="105" fillId="6" borderId="0" xfId="4" applyFont="1" applyFill="1"/>
    <xf numFmtId="171" fontId="105" fillId="6" borderId="0" xfId="4" applyNumberFormat="1" applyFont="1" applyFill="1"/>
    <xf numFmtId="0" fontId="134" fillId="6" borderId="0" xfId="4" applyFont="1" applyFill="1"/>
    <xf numFmtId="22" fontId="120" fillId="0" borderId="1" xfId="4" applyNumberFormat="1" applyFont="1" applyBorder="1" applyAlignment="1">
      <alignment vertical="center"/>
    </xf>
    <xf numFmtId="165" fontId="120" fillId="0" borderId="1" xfId="4" applyNumberFormat="1" applyFont="1" applyBorder="1" applyAlignment="1">
      <alignment horizontal="center" vertical="center"/>
    </xf>
    <xf numFmtId="0" fontId="89" fillId="6" borderId="0" xfId="4" applyFont="1" applyFill="1" applyAlignment="1">
      <alignment horizontal="center" vertical="center"/>
    </xf>
    <xf numFmtId="0" fontId="119" fillId="0" borderId="1" xfId="5" applyFont="1" applyBorder="1" applyAlignment="1">
      <alignment horizontal="center" vertical="center" wrapText="1"/>
    </xf>
    <xf numFmtId="0" fontId="89" fillId="6" borderId="0" xfId="4" applyFont="1" applyFill="1"/>
    <xf numFmtId="165" fontId="115" fillId="0" borderId="0" xfId="2" applyNumberFormat="1" applyFont="1"/>
    <xf numFmtId="0" fontId="113" fillId="7" borderId="28" xfId="5" applyFont="1" applyFill="1" applyBorder="1" applyAlignment="1">
      <alignment horizontal="center" vertical="center" wrapText="1"/>
    </xf>
    <xf numFmtId="0" fontId="115" fillId="7" borderId="28" xfId="5" applyFont="1" applyFill="1" applyBorder="1" applyAlignment="1">
      <alignment horizontal="center" vertical="center" wrapText="1"/>
    </xf>
    <xf numFmtId="0" fontId="115" fillId="0" borderId="20" xfId="4" applyFont="1" applyBorder="1" applyAlignment="1">
      <alignment vertical="center"/>
    </xf>
    <xf numFmtId="0" fontId="115" fillId="0" borderId="23" xfId="6" applyFont="1" applyBorder="1"/>
    <xf numFmtId="0" fontId="115" fillId="0" borderId="22" xfId="6" applyFont="1" applyBorder="1"/>
    <xf numFmtId="22" fontId="115" fillId="0" borderId="3" xfId="4" applyNumberFormat="1" applyFont="1" applyBorder="1" applyAlignment="1">
      <alignment vertical="center"/>
    </xf>
    <xf numFmtId="0" fontId="115" fillId="0" borderId="0" xfId="6" applyFont="1"/>
    <xf numFmtId="0" fontId="113" fillId="7" borderId="2" xfId="5" applyFont="1" applyFill="1" applyBorder="1" applyAlignment="1">
      <alignment horizontal="center" vertical="center" wrapText="1"/>
    </xf>
    <xf numFmtId="0" fontId="113" fillId="7" borderId="3" xfId="5" applyFont="1" applyFill="1" applyBorder="1" applyAlignment="1">
      <alignment horizontal="center" vertical="center" wrapText="1"/>
    </xf>
    <xf numFmtId="171" fontId="115" fillId="0" borderId="21" xfId="4" applyNumberFormat="1" applyFont="1" applyBorder="1" applyAlignment="1">
      <alignment horizontal="center" vertical="center"/>
    </xf>
    <xf numFmtId="0" fontId="115" fillId="0" borderId="36" xfId="6" applyFont="1" applyBorder="1"/>
    <xf numFmtId="0" fontId="115" fillId="0" borderId="37" xfId="6" applyFont="1" applyBorder="1"/>
    <xf numFmtId="0" fontId="115" fillId="0" borderId="1" xfId="6" applyFont="1" applyBorder="1"/>
    <xf numFmtId="0" fontId="120" fillId="0" borderId="1" xfId="6" applyFont="1" applyBorder="1"/>
    <xf numFmtId="0" fontId="120" fillId="6" borderId="1" xfId="5" applyFont="1" applyFill="1" applyBorder="1" applyAlignment="1">
      <alignment horizontal="center" vertical="center" wrapText="1"/>
    </xf>
    <xf numFmtId="171" fontId="113" fillId="6" borderId="0" xfId="4" applyNumberFormat="1" applyFont="1" applyFill="1"/>
    <xf numFmtId="171" fontId="115" fillId="6" borderId="0" xfId="4" applyNumberFormat="1" applyFont="1" applyFill="1"/>
    <xf numFmtId="0" fontId="115" fillId="8" borderId="0" xfId="4" applyFont="1" applyFill="1" applyAlignment="1">
      <alignment horizontal="center"/>
    </xf>
    <xf numFmtId="0" fontId="114" fillId="7" borderId="3" xfId="4" applyFont="1" applyFill="1" applyBorder="1" applyAlignment="1">
      <alignment horizontal="center" vertical="center"/>
    </xf>
    <xf numFmtId="0" fontId="114" fillId="7" borderId="3" xfId="4" applyFont="1" applyFill="1" applyBorder="1" applyAlignment="1">
      <alignment vertical="center"/>
    </xf>
    <xf numFmtId="171" fontId="113" fillId="7" borderId="3" xfId="4" applyNumberFormat="1" applyFont="1" applyFill="1" applyBorder="1" applyAlignment="1">
      <alignment horizontal="center" vertical="center"/>
    </xf>
    <xf numFmtId="165" fontId="113" fillId="7" borderId="3" xfId="4" applyNumberFormat="1" applyFont="1" applyFill="1" applyBorder="1" applyAlignment="1">
      <alignment horizontal="center" vertical="center"/>
    </xf>
    <xf numFmtId="165" fontId="113" fillId="0" borderId="0" xfId="2" applyNumberFormat="1" applyFont="1"/>
    <xf numFmtId="0" fontId="114" fillId="7" borderId="2" xfId="5" applyFont="1" applyFill="1" applyBorder="1" applyAlignment="1">
      <alignment horizontal="center" vertical="center" wrapText="1"/>
    </xf>
    <xf numFmtId="0" fontId="120" fillId="6" borderId="20" xfId="5" applyFont="1" applyFill="1" applyBorder="1" applyAlignment="1">
      <alignment horizontal="center" vertical="center" wrapText="1"/>
    </xf>
    <xf numFmtId="171" fontId="114" fillId="6" borderId="0" xfId="4" applyNumberFormat="1" applyFont="1" applyFill="1"/>
    <xf numFmtId="171" fontId="120" fillId="6" borderId="0" xfId="4" applyNumberFormat="1" applyFont="1" applyFill="1"/>
    <xf numFmtId="0" fontId="113" fillId="7" borderId="20" xfId="5" applyFont="1" applyFill="1" applyBorder="1" applyAlignment="1">
      <alignment horizontal="center" vertical="center" wrapText="1"/>
    </xf>
    <xf numFmtId="0" fontId="120" fillId="7" borderId="23" xfId="5" applyFont="1" applyFill="1" applyBorder="1" applyAlignment="1">
      <alignment horizontal="center" vertical="center" wrapText="1"/>
    </xf>
    <xf numFmtId="0" fontId="113" fillId="7" borderId="23" xfId="5" applyFont="1" applyFill="1" applyBorder="1" applyAlignment="1">
      <alignment horizontal="center" vertical="center" wrapText="1"/>
    </xf>
    <xf numFmtId="0" fontId="120" fillId="7" borderId="2" xfId="5" applyFont="1" applyFill="1" applyBorder="1" applyAlignment="1">
      <alignment horizontal="center" vertical="center" wrapText="1"/>
    </xf>
    <xf numFmtId="0" fontId="120" fillId="0" borderId="28" xfId="6" applyFont="1" applyBorder="1"/>
    <xf numFmtId="0" fontId="113" fillId="7" borderId="36" xfId="5" applyFont="1" applyFill="1" applyBorder="1" applyAlignment="1">
      <alignment horizontal="center" vertical="center" wrapText="1"/>
    </xf>
    <xf numFmtId="0" fontId="113" fillId="7" borderId="33" xfId="5" applyFont="1" applyFill="1" applyBorder="1" applyAlignment="1">
      <alignment horizontal="center" vertical="center" wrapText="1"/>
    </xf>
    <xf numFmtId="0" fontId="120" fillId="0" borderId="23" xfId="0" applyFont="1" applyBorder="1"/>
    <xf numFmtId="0" fontId="120" fillId="0" borderId="23" xfId="4" applyFont="1" applyBorder="1" applyAlignment="1">
      <alignment vertical="center"/>
    </xf>
    <xf numFmtId="0" fontId="120" fillId="0" borderId="23" xfId="6" applyFont="1" applyBorder="1"/>
    <xf numFmtId="171" fontId="120" fillId="0" borderId="23" xfId="4" applyNumberFormat="1" applyFont="1" applyBorder="1" applyAlignment="1">
      <alignment horizontal="center" vertical="center"/>
    </xf>
    <xf numFmtId="0" fontId="120" fillId="0" borderId="23" xfId="4" applyFont="1" applyBorder="1" applyAlignment="1">
      <alignment horizontal="center" vertical="center"/>
    </xf>
    <xf numFmtId="171" fontId="120" fillId="0" borderId="1" xfId="6" applyNumberFormat="1" applyFont="1" applyBorder="1"/>
    <xf numFmtId="0" fontId="113" fillId="7" borderId="29" xfId="5" applyFont="1" applyFill="1" applyBorder="1" applyAlignment="1">
      <alignment horizontal="center" vertical="center" wrapText="1"/>
    </xf>
    <xf numFmtId="0" fontId="113" fillId="7" borderId="4" xfId="5" applyFont="1" applyFill="1" applyBorder="1" applyAlignment="1">
      <alignment horizontal="center" vertical="center" wrapText="1"/>
    </xf>
    <xf numFmtId="0" fontId="113" fillId="7" borderId="40" xfId="5" applyFont="1" applyFill="1" applyBorder="1" applyAlignment="1">
      <alignment horizontal="center" vertical="center" wrapText="1"/>
    </xf>
    <xf numFmtId="0" fontId="114" fillId="6" borderId="23" xfId="4" applyFont="1" applyFill="1" applyBorder="1"/>
    <xf numFmtId="0" fontId="114" fillId="6" borderId="23" xfId="4" applyFont="1" applyFill="1" applyBorder="1" applyAlignment="1">
      <alignment horizontal="center"/>
    </xf>
    <xf numFmtId="165" fontId="113" fillId="0" borderId="23" xfId="4" applyNumberFormat="1" applyFont="1" applyBorder="1" applyAlignment="1">
      <alignment horizontal="center" vertical="center"/>
    </xf>
    <xf numFmtId="165" fontId="113" fillId="7" borderId="36" xfId="4" applyNumberFormat="1" applyFont="1" applyFill="1" applyBorder="1" applyAlignment="1">
      <alignment horizontal="center" vertical="center"/>
    </xf>
    <xf numFmtId="165" fontId="113" fillId="7" borderId="28" xfId="4" applyNumberFormat="1" applyFont="1" applyFill="1" applyBorder="1" applyAlignment="1">
      <alignment horizontal="center" vertical="center"/>
    </xf>
    <xf numFmtId="165" fontId="113" fillId="7" borderId="33" xfId="4" applyNumberFormat="1" applyFont="1" applyFill="1" applyBorder="1" applyAlignment="1">
      <alignment horizontal="center" vertical="center"/>
    </xf>
    <xf numFmtId="165" fontId="113" fillId="6" borderId="0" xfId="4" applyNumberFormat="1" applyFont="1" applyFill="1"/>
    <xf numFmtId="0" fontId="117" fillId="5" borderId="1" xfId="4" applyFont="1" applyFill="1" applyBorder="1" applyAlignment="1">
      <alignment horizontal="center" vertical="center"/>
    </xf>
    <xf numFmtId="165" fontId="127" fillId="6" borderId="0" xfId="4" applyNumberFormat="1" applyFont="1" applyFill="1"/>
    <xf numFmtId="165" fontId="114" fillId="0" borderId="23" xfId="4" applyNumberFormat="1" applyFont="1" applyBorder="1" applyAlignment="1">
      <alignment horizontal="center" vertical="center"/>
    </xf>
    <xf numFmtId="0" fontId="114" fillId="7" borderId="33" xfId="4" applyFont="1" applyFill="1" applyBorder="1" applyAlignment="1">
      <alignment horizontal="center" vertical="center"/>
    </xf>
    <xf numFmtId="22" fontId="74" fillId="0" borderId="29" xfId="4" applyNumberFormat="1" applyFont="1" applyBorder="1" applyAlignment="1">
      <alignment horizontal="center" vertical="center"/>
    </xf>
    <xf numFmtId="0" fontId="136" fillId="0" borderId="23" xfId="0" applyFont="1" applyBorder="1" applyAlignment="1">
      <alignment horizontal="center"/>
    </xf>
    <xf numFmtId="22" fontId="92" fillId="0" borderId="29" xfId="4" applyNumberFormat="1" applyFont="1" applyBorder="1" applyAlignment="1">
      <alignment horizontal="center" vertical="center"/>
    </xf>
    <xf numFmtId="0" fontId="114" fillId="7" borderId="2" xfId="4" applyFont="1" applyFill="1" applyBorder="1" applyAlignment="1">
      <alignment vertical="center"/>
    </xf>
    <xf numFmtId="171" fontId="113" fillId="7" borderId="2" xfId="4" applyNumberFormat="1" applyFont="1" applyFill="1" applyBorder="1" applyAlignment="1">
      <alignment horizontal="center" vertical="center"/>
    </xf>
    <xf numFmtId="0" fontId="114" fillId="7" borderId="2" xfId="4" applyFont="1" applyFill="1" applyBorder="1" applyAlignment="1">
      <alignment horizontal="center" vertical="center"/>
    </xf>
    <xf numFmtId="165" fontId="113" fillId="7" borderId="2" xfId="4" applyNumberFormat="1" applyFont="1" applyFill="1" applyBorder="1" applyAlignment="1">
      <alignment horizontal="center" vertical="center"/>
    </xf>
    <xf numFmtId="0" fontId="113" fillId="7" borderId="7" xfId="5" applyFont="1" applyFill="1" applyBorder="1" applyAlignment="1">
      <alignment horizontal="center" vertical="center" wrapText="1"/>
    </xf>
    <xf numFmtId="0" fontId="3" fillId="10" borderId="0" xfId="6" applyFont="1" applyFill="1" applyAlignment="1">
      <alignment horizontal="center"/>
    </xf>
    <xf numFmtId="0" fontId="94" fillId="11" borderId="1" xfId="5" applyFont="1" applyFill="1" applyBorder="1" applyAlignment="1">
      <alignment horizontal="center" vertical="top" wrapText="1"/>
    </xf>
    <xf numFmtId="171" fontId="109" fillId="7" borderId="20" xfId="4" applyNumberFormat="1" applyFont="1" applyFill="1" applyBorder="1" applyAlignment="1">
      <alignment horizontal="center" vertical="center"/>
    </xf>
    <xf numFmtId="0" fontId="92" fillId="6" borderId="0" xfId="0" applyFont="1" applyFill="1" applyAlignment="1">
      <alignment horizontal="center"/>
    </xf>
    <xf numFmtId="0" fontId="7" fillId="10" borderId="0" xfId="6" applyFont="1" applyFill="1" applyAlignment="1">
      <alignment horizontal="center"/>
    </xf>
    <xf numFmtId="171" fontId="93" fillId="0" borderId="28" xfId="4" applyNumberFormat="1" applyFont="1" applyBorder="1" applyAlignment="1">
      <alignment horizontal="center" vertical="center"/>
    </xf>
    <xf numFmtId="171" fontId="104" fillId="0" borderId="3" xfId="4" applyNumberFormat="1" applyFont="1" applyBorder="1" applyAlignment="1">
      <alignment horizontal="center" vertical="center"/>
    </xf>
    <xf numFmtId="165" fontId="120" fillId="0" borderId="23" xfId="4" applyNumberFormat="1" applyFont="1" applyBorder="1" applyAlignment="1">
      <alignment horizontal="center" vertical="center"/>
    </xf>
    <xf numFmtId="0" fontId="101" fillId="7" borderId="23" xfId="4" applyFont="1" applyFill="1" applyBorder="1" applyAlignment="1">
      <alignment horizontal="center" vertical="center"/>
    </xf>
    <xf numFmtId="0" fontId="98" fillId="6" borderId="20" xfId="5" applyFont="1" applyFill="1" applyBorder="1" applyAlignment="1">
      <alignment horizontal="center" vertical="center" wrapText="1"/>
    </xf>
    <xf numFmtId="0" fontId="98" fillId="6" borderId="1" xfId="5" applyFont="1" applyFill="1" applyBorder="1" applyAlignment="1">
      <alignment horizontal="center" vertical="center" wrapText="1"/>
    </xf>
    <xf numFmtId="22" fontId="71" fillId="0" borderId="28" xfId="4" applyNumberFormat="1" applyFont="1" applyBorder="1" applyAlignment="1">
      <alignment horizontal="center" vertical="center"/>
    </xf>
    <xf numFmtId="22" fontId="82" fillId="0" borderId="28" xfId="4" applyNumberFormat="1" applyFont="1" applyBorder="1" applyAlignment="1">
      <alignment horizontal="center" vertical="center"/>
    </xf>
    <xf numFmtId="0" fontId="108" fillId="6" borderId="2" xfId="4" applyFont="1" applyFill="1" applyBorder="1" applyAlignment="1">
      <alignment vertical="center"/>
    </xf>
    <xf numFmtId="0" fontId="101" fillId="7" borderId="23" xfId="4" applyFont="1" applyFill="1" applyBorder="1" applyAlignment="1">
      <alignment vertical="center"/>
    </xf>
    <xf numFmtId="0" fontId="114" fillId="0" borderId="23" xfId="4" applyFont="1" applyBorder="1" applyAlignment="1">
      <alignment horizontal="center"/>
    </xf>
    <xf numFmtId="0" fontId="120" fillId="6" borderId="23" xfId="4" applyFont="1" applyFill="1" applyBorder="1" applyAlignment="1">
      <alignment horizontal="center"/>
    </xf>
    <xf numFmtId="0" fontId="120" fillId="6" borderId="23" xfId="4" applyFont="1" applyFill="1" applyBorder="1"/>
    <xf numFmtId="165" fontId="89" fillId="0" borderId="0" xfId="2" applyNumberFormat="1" applyFont="1"/>
    <xf numFmtId="0" fontId="98" fillId="0" borderId="1" xfId="4" applyFont="1" applyBorder="1" applyAlignment="1">
      <alignment horizontal="center" vertical="center"/>
    </xf>
    <xf numFmtId="3" fontId="90" fillId="0" borderId="0" xfId="1" applyNumberFormat="1" applyFont="1" applyFill="1" applyAlignment="1">
      <alignment horizontal="right"/>
    </xf>
    <xf numFmtId="165" fontId="120" fillId="6" borderId="0" xfId="2" applyNumberFormat="1" applyFont="1" applyFill="1"/>
    <xf numFmtId="14" fontId="91" fillId="0" borderId="0" xfId="6" applyNumberFormat="1" applyFont="1"/>
    <xf numFmtId="3" fontId="91" fillId="4" borderId="0" xfId="7" applyNumberFormat="1" applyFont="1" applyFill="1" applyAlignment="1">
      <alignment horizontal="center"/>
    </xf>
    <xf numFmtId="22" fontId="92" fillId="8" borderId="1" xfId="4" applyNumberFormat="1" applyFont="1" applyFill="1" applyBorder="1" applyAlignment="1">
      <alignment horizontal="center" vertical="center"/>
    </xf>
    <xf numFmtId="0" fontId="120" fillId="0" borderId="36" xfId="4" applyFont="1" applyBorder="1" applyAlignment="1">
      <alignment vertical="center"/>
    </xf>
    <xf numFmtId="0" fontId="120" fillId="0" borderId="36" xfId="6" applyFont="1" applyBorder="1"/>
    <xf numFmtId="171" fontId="120" fillId="0" borderId="28" xfId="4" applyNumberFormat="1" applyFont="1" applyBorder="1" applyAlignment="1">
      <alignment horizontal="center" vertical="center"/>
    </xf>
    <xf numFmtId="165" fontId="120" fillId="0" borderId="36" xfId="4" applyNumberFormat="1" applyFont="1" applyBorder="1" applyAlignment="1">
      <alignment horizontal="center" vertical="center"/>
    </xf>
    <xf numFmtId="0" fontId="120" fillId="6" borderId="31" xfId="4" applyFont="1" applyFill="1" applyBorder="1"/>
    <xf numFmtId="171" fontId="120" fillId="6" borderId="23" xfId="4" applyNumberFormat="1" applyFont="1" applyFill="1" applyBorder="1" applyAlignment="1">
      <alignment horizontal="center"/>
    </xf>
    <xf numFmtId="0" fontId="120" fillId="0" borderId="23" xfId="4" applyFont="1" applyBorder="1"/>
    <xf numFmtId="3" fontId="7" fillId="0" borderId="0" xfId="2" applyNumberFormat="1" applyFont="1" applyAlignment="1">
      <alignment horizontal="center"/>
    </xf>
    <xf numFmtId="165" fontId="3" fillId="0" borderId="0" xfId="6" applyNumberFormat="1" applyFont="1" applyAlignment="1">
      <alignment wrapText="1"/>
    </xf>
    <xf numFmtId="0" fontId="109" fillId="7" borderId="40" xfId="4" applyFont="1" applyFill="1" applyBorder="1" applyAlignment="1">
      <alignment vertical="center"/>
    </xf>
    <xf numFmtId="0" fontId="109" fillId="7" borderId="40" xfId="4" applyFont="1" applyFill="1" applyBorder="1" applyAlignment="1">
      <alignment horizontal="center" vertical="center"/>
    </xf>
    <xf numFmtId="171" fontId="120" fillId="0" borderId="0" xfId="4" applyNumberFormat="1" applyFont="1" applyAlignment="1">
      <alignment horizontal="center" vertical="center"/>
    </xf>
    <xf numFmtId="0" fontId="98" fillId="6" borderId="49" xfId="5" applyFont="1" applyFill="1" applyBorder="1" applyAlignment="1">
      <alignment horizontal="center" vertical="center" wrapText="1"/>
    </xf>
    <xf numFmtId="0" fontId="114" fillId="0" borderId="23" xfId="4" applyFont="1" applyBorder="1"/>
    <xf numFmtId="165" fontId="99" fillId="6" borderId="0" xfId="4" applyNumberFormat="1" applyFont="1" applyFill="1" applyAlignment="1">
      <alignment horizontal="left"/>
    </xf>
    <xf numFmtId="0" fontId="3" fillId="8" borderId="0" xfId="2" applyFont="1" applyFill="1"/>
    <xf numFmtId="0" fontId="120" fillId="6" borderId="2" xfId="4" applyFont="1" applyFill="1" applyBorder="1" applyAlignment="1">
      <alignment vertical="center"/>
    </xf>
    <xf numFmtId="0" fontId="120" fillId="0" borderId="22" xfId="4" applyFont="1" applyBorder="1" applyAlignment="1">
      <alignment horizontal="center"/>
    </xf>
    <xf numFmtId="3" fontId="105" fillId="0" borderId="0" xfId="0" applyNumberFormat="1" applyFont="1" applyAlignment="1">
      <alignment horizontal="center"/>
    </xf>
    <xf numFmtId="168" fontId="3" fillId="0" borderId="0" xfId="3" applyNumberFormat="1" applyFont="1"/>
    <xf numFmtId="0" fontId="138" fillId="0" borderId="0" xfId="0" applyFont="1" applyAlignment="1">
      <alignment horizontal="center"/>
    </xf>
    <xf numFmtId="0" fontId="139" fillId="6" borderId="0" xfId="4" applyFont="1" applyFill="1"/>
    <xf numFmtId="165" fontId="114" fillId="0" borderId="31" xfId="4" applyNumberFormat="1" applyFont="1" applyBorder="1" applyAlignment="1">
      <alignment horizontal="center" vertical="center"/>
    </xf>
    <xf numFmtId="165" fontId="7" fillId="3" borderId="0" xfId="6" applyNumberFormat="1" applyFont="1" applyFill="1"/>
    <xf numFmtId="165" fontId="3" fillId="8" borderId="0" xfId="6" applyNumberFormat="1" applyFont="1" applyFill="1" applyAlignment="1">
      <alignment horizontal="center"/>
    </xf>
    <xf numFmtId="0" fontId="30" fillId="3" borderId="1" xfId="4" applyFont="1" applyFill="1" applyBorder="1" applyAlignment="1">
      <alignment vertical="center"/>
    </xf>
    <xf numFmtId="0" fontId="5" fillId="0" borderId="28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171" fontId="101" fillId="7" borderId="4" xfId="4" applyNumberFormat="1" applyFont="1" applyFill="1" applyBorder="1" applyAlignment="1">
      <alignment horizontal="center" vertical="center"/>
    </xf>
    <xf numFmtId="0" fontId="120" fillId="0" borderId="36" xfId="4" applyFont="1" applyBorder="1" applyAlignment="1">
      <alignment horizontal="center" vertical="center"/>
    </xf>
    <xf numFmtId="0" fontId="120" fillId="0" borderId="23" xfId="4" applyFont="1" applyBorder="1" applyAlignment="1">
      <alignment horizontal="center"/>
    </xf>
    <xf numFmtId="0" fontId="113" fillId="7" borderId="26" xfId="5" applyFont="1" applyFill="1" applyBorder="1" applyAlignment="1">
      <alignment horizontal="center" vertical="center" wrapText="1"/>
    </xf>
    <xf numFmtId="0" fontId="114" fillId="7" borderId="23" xfId="4" applyFont="1" applyFill="1" applyBorder="1" applyAlignment="1">
      <alignment horizontal="center" vertical="center"/>
    </xf>
    <xf numFmtId="0" fontId="114" fillId="7" borderId="23" xfId="4" applyFont="1" applyFill="1" applyBorder="1" applyAlignment="1">
      <alignment vertical="center"/>
    </xf>
    <xf numFmtId="171" fontId="113" fillId="7" borderId="23" xfId="4" applyNumberFormat="1" applyFont="1" applyFill="1" applyBorder="1" applyAlignment="1">
      <alignment horizontal="center" vertical="center"/>
    </xf>
    <xf numFmtId="0" fontId="125" fillId="7" borderId="23" xfId="4" applyFont="1" applyFill="1" applyBorder="1" applyAlignment="1">
      <alignment horizontal="center" vertical="center"/>
    </xf>
    <xf numFmtId="165" fontId="113" fillId="7" borderId="23" xfId="4" applyNumberFormat="1" applyFont="1" applyFill="1" applyBorder="1" applyAlignment="1">
      <alignment horizontal="center" vertical="center"/>
    </xf>
    <xf numFmtId="22" fontId="92" fillId="0" borderId="28" xfId="4" applyNumberFormat="1" applyFont="1" applyBorder="1" applyAlignment="1">
      <alignment vertical="center"/>
    </xf>
    <xf numFmtId="0" fontId="84" fillId="0" borderId="6" xfId="0" applyFont="1" applyBorder="1"/>
    <xf numFmtId="0" fontId="80" fillId="0" borderId="6" xfId="0" applyFont="1" applyBorder="1"/>
    <xf numFmtId="0" fontId="121" fillId="0" borderId="6" xfId="0" applyFont="1" applyBorder="1"/>
    <xf numFmtId="0" fontId="80" fillId="40" borderId="6" xfId="0" applyFont="1" applyFill="1" applyBorder="1"/>
    <xf numFmtId="4" fontId="141" fillId="41" borderId="6" xfId="0" applyNumberFormat="1" applyFont="1" applyFill="1" applyBorder="1"/>
    <xf numFmtId="4" fontId="142" fillId="42" borderId="6" xfId="0" applyNumberFormat="1" applyFont="1" applyFill="1" applyBorder="1"/>
    <xf numFmtId="0" fontId="141" fillId="41" borderId="1" xfId="0" applyFont="1" applyFill="1" applyBorder="1" applyAlignment="1">
      <alignment horizontal="center" vertical="center" wrapText="1"/>
    </xf>
    <xf numFmtId="0" fontId="141" fillId="41" borderId="21" xfId="0" applyFont="1" applyFill="1" applyBorder="1" applyAlignment="1">
      <alignment horizontal="center" vertical="center" wrapText="1"/>
    </xf>
    <xf numFmtId="0" fontId="84" fillId="0" borderId="6" xfId="0" applyFont="1" applyBorder="1" applyAlignment="1">
      <alignment horizontal="center"/>
    </xf>
    <xf numFmtId="0" fontId="80" fillId="0" borderId="6" xfId="0" applyFont="1" applyBorder="1" applyAlignment="1">
      <alignment horizontal="center"/>
    </xf>
    <xf numFmtId="4" fontId="142" fillId="0" borderId="6" xfId="0" applyNumberFormat="1" applyFont="1" applyBorder="1" applyAlignment="1">
      <alignment wrapText="1"/>
    </xf>
    <xf numFmtId="3" fontId="80" fillId="0" borderId="6" xfId="0" applyNumberFormat="1" applyFont="1" applyBorder="1" applyAlignment="1">
      <alignment horizontal="center"/>
    </xf>
    <xf numFmtId="0" fontId="113" fillId="7" borderId="31" xfId="5" applyFont="1" applyFill="1" applyBorder="1" applyAlignment="1">
      <alignment horizontal="center" vertical="center" wrapText="1"/>
    </xf>
    <xf numFmtId="0" fontId="140" fillId="0" borderId="3" xfId="0" applyFont="1" applyBorder="1" applyAlignment="1">
      <alignment horizontal="center"/>
    </xf>
    <xf numFmtId="0" fontId="80" fillId="0" borderId="3" xfId="0" applyFont="1" applyBorder="1" applyAlignment="1">
      <alignment horizontal="center"/>
    </xf>
    <xf numFmtId="3" fontId="80" fillId="8" borderId="6" xfId="0" applyNumberFormat="1" applyFont="1" applyFill="1" applyBorder="1" applyAlignment="1">
      <alignment horizontal="center"/>
    </xf>
    <xf numFmtId="0" fontId="114" fillId="0" borderId="23" xfId="0" applyFont="1" applyBorder="1" applyAlignment="1">
      <alignment horizontal="center" vertical="center"/>
    </xf>
    <xf numFmtId="0" fontId="92" fillId="0" borderId="31" xfId="4" applyFont="1" applyBorder="1" applyAlignment="1">
      <alignment horizontal="center" vertical="center"/>
    </xf>
    <xf numFmtId="0" fontId="36" fillId="5" borderId="23" xfId="4" applyFont="1" applyFill="1" applyBorder="1" applyAlignment="1">
      <alignment horizontal="center" vertical="center"/>
    </xf>
    <xf numFmtId="0" fontId="120" fillId="0" borderId="0" xfId="4" applyFont="1"/>
    <xf numFmtId="0" fontId="120" fillId="0" borderId="36" xfId="0" applyFont="1" applyBorder="1" applyAlignment="1">
      <alignment horizontal="center" vertical="center"/>
    </xf>
    <xf numFmtId="0" fontId="120" fillId="0" borderId="23" xfId="0" applyFont="1" applyBorder="1" applyAlignment="1">
      <alignment horizontal="center" vertical="center"/>
    </xf>
    <xf numFmtId="165" fontId="113" fillId="6" borderId="0" xfId="2" applyNumberFormat="1" applyFont="1" applyFill="1"/>
    <xf numFmtId="0" fontId="90" fillId="8" borderId="0" xfId="2" applyFont="1" applyFill="1"/>
    <xf numFmtId="0" fontId="143" fillId="0" borderId="0" xfId="0" applyFont="1" applyAlignment="1">
      <alignment horizontal="center"/>
    </xf>
    <xf numFmtId="3" fontId="90" fillId="0" borderId="0" xfId="1" applyNumberFormat="1" applyFont="1" applyFill="1" applyAlignment="1">
      <alignment wrapText="1"/>
    </xf>
    <xf numFmtId="171" fontId="114" fillId="6" borderId="23" xfId="4" applyNumberFormat="1" applyFont="1" applyFill="1" applyBorder="1"/>
    <xf numFmtId="170" fontId="113" fillId="6" borderId="20" xfId="1" applyNumberFormat="1" applyFont="1" applyFill="1" applyBorder="1" applyAlignment="1">
      <alignment vertical="center"/>
    </xf>
    <xf numFmtId="170" fontId="113" fillId="6" borderId="21" xfId="1" applyNumberFormat="1" applyFont="1" applyFill="1" applyBorder="1" applyAlignment="1">
      <alignment vertical="center"/>
    </xf>
    <xf numFmtId="3" fontId="8" fillId="13" borderId="0" xfId="6" applyNumberFormat="1" applyFont="1" applyFill="1" applyAlignment="1">
      <alignment horizontal="center"/>
    </xf>
    <xf numFmtId="171" fontId="104" fillId="6" borderId="4" xfId="4" applyNumberFormat="1" applyFont="1" applyFill="1" applyBorder="1" applyAlignment="1">
      <alignment horizontal="right" vertical="center"/>
    </xf>
    <xf numFmtId="165" fontId="90" fillId="0" borderId="0" xfId="6" applyNumberFormat="1" applyFont="1" applyAlignment="1">
      <alignment wrapText="1"/>
    </xf>
    <xf numFmtId="0" fontId="113" fillId="0" borderId="23" xfId="4" applyFont="1" applyBorder="1" applyAlignment="1">
      <alignment horizontal="center"/>
    </xf>
    <xf numFmtId="0" fontId="113" fillId="0" borderId="23" xfId="4" applyFont="1" applyBorder="1" applyAlignment="1">
      <alignment vertical="center"/>
    </xf>
    <xf numFmtId="0" fontId="113" fillId="0" borderId="23" xfId="4" applyFont="1" applyBorder="1"/>
    <xf numFmtId="165" fontId="113" fillId="0" borderId="0" xfId="4" applyNumberFormat="1" applyFont="1" applyAlignment="1">
      <alignment horizontal="center" vertical="center"/>
    </xf>
    <xf numFmtId="0" fontId="113" fillId="0" borderId="23" xfId="0" applyFont="1" applyBorder="1" applyAlignment="1">
      <alignment horizontal="center" vertical="center"/>
    </xf>
    <xf numFmtId="0" fontId="113" fillId="6" borderId="20" xfId="5" applyFont="1" applyFill="1" applyBorder="1" applyAlignment="1">
      <alignment horizontal="center" vertical="center" wrapText="1"/>
    </xf>
    <xf numFmtId="0" fontId="95" fillId="0" borderId="0" xfId="0" applyFont="1" applyAlignment="1">
      <alignment horizontal="center"/>
    </xf>
    <xf numFmtId="3" fontId="68" fillId="8" borderId="0" xfId="0" applyNumberFormat="1" applyFont="1" applyFill="1" applyAlignment="1">
      <alignment horizontal="center"/>
    </xf>
    <xf numFmtId="0" fontId="5" fillId="0" borderId="20" xfId="2" applyFont="1" applyBorder="1" applyAlignment="1">
      <alignment horizontal="center" vertical="center"/>
    </xf>
    <xf numFmtId="3" fontId="90" fillId="3" borderId="0" xfId="1" applyNumberFormat="1" applyFont="1" applyFill="1"/>
    <xf numFmtId="0" fontId="5" fillId="0" borderId="6" xfId="2" applyFont="1" applyBorder="1" applyAlignment="1">
      <alignment horizontal="center" vertical="center"/>
    </xf>
    <xf numFmtId="3" fontId="5" fillId="0" borderId="20" xfId="1" applyNumberFormat="1" applyFont="1" applyFill="1" applyBorder="1" applyAlignment="1">
      <alignment horizontal="center"/>
    </xf>
    <xf numFmtId="3" fontId="4" fillId="0" borderId="4" xfId="1" applyNumberFormat="1" applyFont="1" applyBorder="1" applyAlignment="1">
      <alignment horizontal="center" vertical="center" wrapText="1"/>
    </xf>
    <xf numFmtId="170" fontId="113" fillId="6" borderId="3" xfId="1" applyNumberFormat="1" applyFont="1" applyFill="1" applyBorder="1" applyAlignment="1">
      <alignment vertical="center"/>
    </xf>
    <xf numFmtId="3" fontId="4" fillId="0" borderId="3" xfId="1" applyNumberFormat="1" applyFont="1" applyFill="1" applyBorder="1" applyAlignment="1">
      <alignment horizontal="center" vertical="center" wrapText="1"/>
    </xf>
    <xf numFmtId="3" fontId="4" fillId="0" borderId="40" xfId="1" applyNumberFormat="1" applyFont="1" applyFill="1" applyBorder="1" applyAlignment="1">
      <alignment horizontal="center" vertical="center" wrapText="1"/>
    </xf>
    <xf numFmtId="170" fontId="113" fillId="6" borderId="28" xfId="1" applyNumberFormat="1" applyFont="1" applyFill="1" applyBorder="1" applyAlignment="1">
      <alignment vertical="center"/>
    </xf>
    <xf numFmtId="170" fontId="115" fillId="6" borderId="3" xfId="1" applyNumberFormat="1" applyFont="1" applyFill="1" applyBorder="1" applyAlignment="1">
      <alignment vertical="center"/>
    </xf>
    <xf numFmtId="3" fontId="5" fillId="0" borderId="21" xfId="2" applyNumberFormat="1" applyFont="1" applyBorder="1" applyAlignment="1">
      <alignment horizontal="right"/>
    </xf>
    <xf numFmtId="3" fontId="4" fillId="0" borderId="28" xfId="1" applyNumberFormat="1" applyFont="1" applyFill="1" applyBorder="1" applyAlignment="1">
      <alignment horizontal="center"/>
    </xf>
    <xf numFmtId="0" fontId="104" fillId="0" borderId="2" xfId="4" applyFont="1" applyBorder="1" applyAlignment="1">
      <alignment vertical="center"/>
    </xf>
    <xf numFmtId="0" fontId="104" fillId="0" borderId="0" xfId="4" applyFont="1"/>
    <xf numFmtId="170" fontId="104" fillId="0" borderId="1" xfId="1" applyNumberFormat="1" applyFont="1" applyFill="1" applyBorder="1" applyAlignment="1">
      <alignment vertical="center"/>
    </xf>
    <xf numFmtId="3" fontId="144" fillId="9" borderId="0" xfId="0" applyNumberFormat="1" applyFont="1" applyFill="1" applyAlignment="1">
      <alignment horizontal="center"/>
    </xf>
    <xf numFmtId="0" fontId="3" fillId="8" borderId="0" xfId="6" applyFont="1" applyFill="1"/>
    <xf numFmtId="0" fontId="92" fillId="0" borderId="25" xfId="4" applyFont="1" applyBorder="1" applyAlignment="1">
      <alignment vertical="center"/>
    </xf>
    <xf numFmtId="0" fontId="92" fillId="0" borderId="28" xfId="4" applyFont="1" applyBorder="1" applyAlignment="1">
      <alignment vertical="center"/>
    </xf>
    <xf numFmtId="171" fontId="104" fillId="0" borderId="23" xfId="4" applyNumberFormat="1" applyFont="1" applyBorder="1" applyAlignment="1">
      <alignment horizontal="center" vertical="center"/>
    </xf>
    <xf numFmtId="168" fontId="13" fillId="8" borderId="0" xfId="3" applyNumberFormat="1" applyFont="1" applyFill="1"/>
    <xf numFmtId="165" fontId="7" fillId="43" borderId="0" xfId="6" applyNumberFormat="1" applyFont="1" applyFill="1"/>
    <xf numFmtId="0" fontId="22" fillId="3" borderId="1" xfId="4" applyFont="1" applyFill="1" applyBorder="1" applyAlignment="1">
      <alignment vertical="center"/>
    </xf>
    <xf numFmtId="171" fontId="104" fillId="8" borderId="1" xfId="4" applyNumberFormat="1" applyFont="1" applyFill="1" applyBorder="1" applyAlignment="1">
      <alignment horizontal="center" vertical="center"/>
    </xf>
    <xf numFmtId="0" fontId="3" fillId="3" borderId="0" xfId="6" applyFont="1" applyFill="1" applyAlignment="1">
      <alignment horizontal="center"/>
    </xf>
    <xf numFmtId="0" fontId="110" fillId="44" borderId="0" xfId="0" applyFont="1" applyFill="1"/>
    <xf numFmtId="0" fontId="145" fillId="44" borderId="0" xfId="0" applyFont="1" applyFill="1" applyAlignment="1">
      <alignment horizontal="right"/>
    </xf>
    <xf numFmtId="3" fontId="145" fillId="44" borderId="0" xfId="0" applyNumberFormat="1" applyFont="1" applyFill="1" applyAlignment="1">
      <alignment horizontal="center"/>
    </xf>
    <xf numFmtId="0" fontId="145" fillId="44" borderId="0" xfId="0" applyFont="1" applyFill="1" applyAlignment="1">
      <alignment horizontal="center"/>
    </xf>
    <xf numFmtId="3" fontId="110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3" fontId="0" fillId="8" borderId="0" xfId="2" applyNumberFormat="1" applyFont="1" applyFill="1"/>
    <xf numFmtId="3" fontId="4" fillId="8" borderId="1" xfId="2" applyNumberFormat="1" applyFont="1" applyFill="1" applyBorder="1" applyAlignment="1">
      <alignment horizontal="center" vertical="center" wrapText="1"/>
    </xf>
    <xf numFmtId="3" fontId="4" fillId="8" borderId="0" xfId="2" applyNumberFormat="1" applyFont="1" applyFill="1" applyAlignment="1">
      <alignment horizontal="center" vertical="center" wrapText="1"/>
    </xf>
    <xf numFmtId="3" fontId="2" fillId="8" borderId="0" xfId="2" applyNumberFormat="1" applyFill="1"/>
    <xf numFmtId="3" fontId="6" fillId="8" borderId="0" xfId="2" applyNumberFormat="1" applyFont="1" applyFill="1" applyAlignment="1">
      <alignment horizontal="right"/>
    </xf>
    <xf numFmtId="3" fontId="4" fillId="8" borderId="1" xfId="1" applyNumberFormat="1" applyFont="1" applyFill="1" applyBorder="1" applyAlignment="1">
      <alignment horizontal="center"/>
    </xf>
    <xf numFmtId="3" fontId="6" fillId="8" borderId="0" xfId="2" applyNumberFormat="1" applyFont="1" applyFill="1"/>
    <xf numFmtId="3" fontId="90" fillId="8" borderId="0" xfId="2" applyNumberFormat="1" applyFont="1" applyFill="1"/>
    <xf numFmtId="3" fontId="3" fillId="8" borderId="0" xfId="2" applyNumberFormat="1" applyFont="1" applyFill="1"/>
    <xf numFmtId="3" fontId="7" fillId="8" borderId="0" xfId="2" applyNumberFormat="1" applyFont="1" applyFill="1"/>
    <xf numFmtId="3" fontId="13" fillId="8" borderId="0" xfId="2" applyNumberFormat="1" applyFont="1" applyFill="1"/>
    <xf numFmtId="0" fontId="2" fillId="37" borderId="0" xfId="2" applyFill="1"/>
    <xf numFmtId="0" fontId="4" fillId="37" borderId="1" xfId="2" applyFont="1" applyFill="1" applyBorder="1" applyAlignment="1">
      <alignment horizontal="center" vertical="center" wrapText="1"/>
    </xf>
    <xf numFmtId="0" fontId="4" fillId="37" borderId="0" xfId="2" applyFont="1" applyFill="1" applyAlignment="1">
      <alignment horizontal="center" vertical="center" wrapText="1"/>
    </xf>
    <xf numFmtId="0" fontId="6" fillId="37" borderId="0" xfId="2" applyFont="1" applyFill="1"/>
    <xf numFmtId="0" fontId="13" fillId="37" borderId="0" xfId="2" applyFont="1" applyFill="1"/>
    <xf numFmtId="0" fontId="5" fillId="37" borderId="0" xfId="2" applyFont="1" applyFill="1"/>
    <xf numFmtId="0" fontId="6" fillId="37" borderId="0" xfId="2" applyFont="1" applyFill="1" applyAlignment="1">
      <alignment horizontal="left"/>
    </xf>
    <xf numFmtId="0" fontId="0" fillId="37" borderId="0" xfId="2" applyFont="1" applyFill="1"/>
    <xf numFmtId="0" fontId="90" fillId="37" borderId="0" xfId="2" applyFont="1" applyFill="1"/>
    <xf numFmtId="0" fontId="3" fillId="37" borderId="0" xfId="2" applyFont="1" applyFill="1"/>
    <xf numFmtId="0" fontId="7" fillId="37" borderId="0" xfId="2" applyFont="1" applyFill="1"/>
    <xf numFmtId="0" fontId="4" fillId="37" borderId="0" xfId="2" applyFont="1" applyFill="1" applyAlignment="1">
      <alignment vertical="center"/>
    </xf>
    <xf numFmtId="0" fontId="5" fillId="37" borderId="1" xfId="2" applyFont="1" applyFill="1" applyBorder="1" applyAlignment="1">
      <alignment horizontal="center" vertical="center" wrapText="1"/>
    </xf>
    <xf numFmtId="0" fontId="5" fillId="37" borderId="0" xfId="2" applyFont="1" applyFill="1" applyAlignment="1">
      <alignment horizontal="center" vertical="center" wrapText="1"/>
    </xf>
    <xf numFmtId="0" fontId="5" fillId="37" borderId="1" xfId="2" applyFont="1" applyFill="1" applyBorder="1"/>
    <xf numFmtId="0" fontId="23" fillId="0" borderId="0" xfId="4" applyFont="1" applyAlignment="1">
      <alignment horizontal="center" vertical="center"/>
    </xf>
    <xf numFmtId="0" fontId="72" fillId="10" borderId="20" xfId="106" applyFont="1" applyFill="1" applyBorder="1" applyAlignment="1">
      <alignment horizontal="center" vertical="center" wrapText="1"/>
    </xf>
    <xf numFmtId="0" fontId="72" fillId="10" borderId="18" xfId="106" applyFont="1" applyFill="1" applyBorder="1" applyAlignment="1">
      <alignment horizontal="center" vertical="center" wrapText="1"/>
    </xf>
    <xf numFmtId="0" fontId="72" fillId="10" borderId="21" xfId="106" applyFont="1" applyFill="1" applyBorder="1" applyAlignment="1">
      <alignment horizontal="center" vertical="center" wrapText="1"/>
    </xf>
    <xf numFmtId="0" fontId="73" fillId="8" borderId="20" xfId="106" applyFont="1" applyFill="1" applyBorder="1" applyAlignment="1">
      <alignment horizontal="center" vertical="center" wrapText="1"/>
    </xf>
    <xf numFmtId="0" fontId="73" fillId="8" borderId="18" xfId="106" applyFont="1" applyFill="1" applyBorder="1" applyAlignment="1">
      <alignment horizontal="center" vertical="center" wrapText="1"/>
    </xf>
    <xf numFmtId="0" fontId="73" fillId="8" borderId="21" xfId="106" applyFont="1" applyFill="1" applyBorder="1" applyAlignment="1">
      <alignment horizontal="center" vertical="center" wrapText="1"/>
    </xf>
    <xf numFmtId="0" fontId="72" fillId="10" borderId="28" xfId="106" applyFont="1" applyFill="1" applyBorder="1" applyAlignment="1">
      <alignment horizontal="center" vertical="center" wrapText="1"/>
    </xf>
    <xf numFmtId="0" fontId="72" fillId="10" borderId="3" xfId="106" applyFont="1" applyFill="1" applyBorder="1" applyAlignment="1">
      <alignment horizontal="center" vertical="center" wrapText="1"/>
    </xf>
    <xf numFmtId="0" fontId="72" fillId="14" borderId="1" xfId="106" applyFont="1" applyFill="1" applyBorder="1" applyAlignment="1">
      <alignment horizontal="center" vertical="center" wrapText="1"/>
    </xf>
    <xf numFmtId="0" fontId="72" fillId="0" borderId="1" xfId="106" applyFont="1" applyBorder="1" applyAlignment="1">
      <alignment horizontal="center" vertical="center" wrapText="1"/>
    </xf>
    <xf numFmtId="0" fontId="72" fillId="0" borderId="28" xfId="106" applyFont="1" applyBorder="1" applyAlignment="1">
      <alignment horizontal="right" vertical="center" wrapText="1"/>
    </xf>
    <xf numFmtId="0" fontId="72" fillId="0" borderId="3" xfId="106" applyFont="1" applyBorder="1" applyAlignment="1">
      <alignment horizontal="right" vertical="center" wrapText="1"/>
    </xf>
    <xf numFmtId="165" fontId="5" fillId="0" borderId="28" xfId="6" applyNumberFormat="1" applyFont="1" applyBorder="1" applyAlignment="1">
      <alignment horizontal="center" vertical="center" textRotation="90" wrapText="1"/>
    </xf>
    <xf numFmtId="165" fontId="5" fillId="0" borderId="3" xfId="6" applyNumberFormat="1" applyFont="1" applyBorder="1" applyAlignment="1">
      <alignment horizontal="center" vertical="center" textRotation="90" wrapText="1"/>
    </xf>
    <xf numFmtId="165" fontId="5" fillId="2" borderId="28" xfId="6" applyNumberFormat="1" applyFont="1" applyFill="1" applyBorder="1" applyAlignment="1">
      <alignment horizontal="center" vertical="center" textRotation="90" wrapText="1"/>
    </xf>
    <xf numFmtId="165" fontId="5" fillId="2" borderId="3" xfId="6" applyNumberFormat="1" applyFont="1" applyFill="1" applyBorder="1" applyAlignment="1">
      <alignment horizontal="center" vertical="center" textRotation="90" wrapText="1"/>
    </xf>
    <xf numFmtId="0" fontId="5" fillId="0" borderId="1" xfId="6" applyFont="1" applyBorder="1" applyAlignment="1">
      <alignment horizontal="center" vertical="center"/>
    </xf>
    <xf numFmtId="165" fontId="5" fillId="0" borderId="1" xfId="6" applyNumberFormat="1" applyFont="1" applyBorder="1" applyAlignment="1">
      <alignment horizontal="center" vertical="center"/>
    </xf>
    <xf numFmtId="165" fontId="5" fillId="0" borderId="1" xfId="6" applyNumberFormat="1" applyFont="1" applyBorder="1" applyAlignment="1">
      <alignment horizontal="center" vertical="center" wrapText="1"/>
    </xf>
    <xf numFmtId="0" fontId="5" fillId="10" borderId="18" xfId="6" applyFont="1" applyFill="1" applyBorder="1" applyAlignment="1">
      <alignment horizontal="center" vertical="center"/>
    </xf>
    <xf numFmtId="0" fontId="5" fillId="10" borderId="21" xfId="6" applyFont="1" applyFill="1" applyBorder="1" applyAlignment="1">
      <alignment horizontal="center" vertical="center"/>
    </xf>
    <xf numFmtId="0" fontId="5" fillId="3" borderId="20" xfId="6" applyFont="1" applyFill="1" applyBorder="1" applyAlignment="1">
      <alignment horizontal="center" vertical="center"/>
    </xf>
    <xf numFmtId="0" fontId="5" fillId="3" borderId="21" xfId="6" applyFont="1" applyFill="1" applyBorder="1" applyAlignment="1">
      <alignment horizontal="center" vertical="center"/>
    </xf>
    <xf numFmtId="0" fontId="5" fillId="10" borderId="1" xfId="6" applyFont="1" applyFill="1" applyBorder="1" applyAlignment="1">
      <alignment horizontal="center" vertical="center"/>
    </xf>
    <xf numFmtId="0" fontId="5" fillId="10" borderId="20" xfId="6" applyFont="1" applyFill="1" applyBorder="1" applyAlignment="1">
      <alignment horizontal="center" vertical="center"/>
    </xf>
    <xf numFmtId="165" fontId="5" fillId="2" borderId="28" xfId="6" applyNumberFormat="1" applyFont="1" applyFill="1" applyBorder="1" applyAlignment="1">
      <alignment horizontal="center" vertical="center" wrapText="1"/>
    </xf>
    <xf numFmtId="165" fontId="5" fillId="2" borderId="3" xfId="6" applyNumberFormat="1" applyFont="1" applyFill="1" applyBorder="1" applyAlignment="1">
      <alignment horizontal="center" vertical="center" wrapText="1"/>
    </xf>
    <xf numFmtId="165" fontId="5" fillId="0" borderId="28" xfId="6" applyNumberFormat="1" applyFont="1" applyBorder="1" applyAlignment="1">
      <alignment horizontal="center" vertical="center"/>
    </xf>
    <xf numFmtId="165" fontId="5" fillId="0" borderId="3" xfId="6" applyNumberFormat="1" applyFont="1" applyBorder="1" applyAlignment="1">
      <alignment horizontal="center" vertical="center"/>
    </xf>
    <xf numFmtId="165" fontId="5" fillId="0" borderId="28" xfId="6" applyNumberFormat="1" applyFont="1" applyBorder="1" applyAlignment="1">
      <alignment horizontal="center" vertical="center" wrapText="1"/>
    </xf>
    <xf numFmtId="165" fontId="5" fillId="0" borderId="3" xfId="6" applyNumberFormat="1" applyFont="1" applyBorder="1" applyAlignment="1">
      <alignment horizontal="center" vertical="center" wrapText="1"/>
    </xf>
    <xf numFmtId="0" fontId="5" fillId="0" borderId="28" xfId="6" applyFont="1" applyBorder="1" applyAlignment="1">
      <alignment horizontal="center" vertical="center" wrapText="1"/>
    </xf>
    <xf numFmtId="0" fontId="5" fillId="0" borderId="3" xfId="6" applyFont="1" applyBorder="1" applyAlignment="1">
      <alignment horizontal="center" vertical="center" wrapText="1"/>
    </xf>
    <xf numFmtId="0" fontId="5" fillId="0" borderId="28" xfId="6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3" fontId="5" fillId="0" borderId="1" xfId="6" applyNumberFormat="1" applyFont="1" applyBorder="1" applyAlignment="1">
      <alignment horizontal="center" vertical="center" wrapText="1"/>
    </xf>
    <xf numFmtId="14" fontId="5" fillId="0" borderId="28" xfId="6" applyNumberFormat="1" applyFont="1" applyBorder="1" applyAlignment="1">
      <alignment horizontal="center" vertical="center" wrapText="1"/>
    </xf>
    <xf numFmtId="14" fontId="5" fillId="0" borderId="3" xfId="6" applyNumberFormat="1" applyFont="1" applyBorder="1" applyAlignment="1">
      <alignment horizontal="center" vertical="center" wrapText="1"/>
    </xf>
    <xf numFmtId="0" fontId="5" fillId="0" borderId="29" xfId="6" applyFont="1" applyBorder="1" applyAlignment="1">
      <alignment horizontal="center" vertical="center"/>
    </xf>
    <xf numFmtId="0" fontId="5" fillId="0" borderId="25" xfId="6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37" fillId="0" borderId="20" xfId="5" applyFont="1" applyBorder="1" applyAlignment="1">
      <alignment horizontal="center" vertical="center"/>
    </xf>
    <xf numFmtId="0" fontId="37" fillId="0" borderId="18" xfId="5" applyFont="1" applyBorder="1" applyAlignment="1">
      <alignment horizontal="center" vertical="center"/>
    </xf>
    <xf numFmtId="0" fontId="37" fillId="0" borderId="21" xfId="5" applyFont="1" applyBorder="1" applyAlignment="1">
      <alignment horizontal="center" vertical="center"/>
    </xf>
    <xf numFmtId="0" fontId="37" fillId="0" borderId="20" xfId="4" applyFont="1" applyBorder="1" applyAlignment="1">
      <alignment vertical="center"/>
    </xf>
    <xf numFmtId="0" fontId="37" fillId="0" borderId="18" xfId="4" applyFont="1" applyBorder="1" applyAlignment="1">
      <alignment vertical="center"/>
    </xf>
    <xf numFmtId="0" fontId="37" fillId="0" borderId="21" xfId="4" applyFont="1" applyBorder="1" applyAlignment="1">
      <alignment vertical="center"/>
    </xf>
    <xf numFmtId="0" fontId="36" fillId="5" borderId="1" xfId="4" applyFont="1" applyFill="1" applyBorder="1" applyAlignment="1">
      <alignment vertical="center"/>
    </xf>
    <xf numFmtId="0" fontId="39" fillId="0" borderId="29" xfId="4" applyFont="1" applyBorder="1" applyAlignment="1">
      <alignment horizontal="center" vertical="center"/>
    </xf>
    <xf numFmtId="0" fontId="39" fillId="0" borderId="25" xfId="4" applyFont="1" applyBorder="1" applyAlignment="1">
      <alignment horizontal="center" vertical="center"/>
    </xf>
    <xf numFmtId="0" fontId="39" fillId="0" borderId="7" xfId="4" applyFont="1" applyBorder="1" applyAlignment="1">
      <alignment horizontal="center" vertical="center"/>
    </xf>
    <xf numFmtId="0" fontId="39" fillId="0" borderId="8" xfId="4" applyFont="1" applyBorder="1" applyAlignment="1">
      <alignment horizontal="center" vertical="center"/>
    </xf>
    <xf numFmtId="0" fontId="39" fillId="0" borderId="4" xfId="4" applyFont="1" applyBorder="1" applyAlignment="1">
      <alignment horizontal="center" vertical="center"/>
    </xf>
    <xf numFmtId="0" fontId="39" fillId="0" borderId="6" xfId="4" applyFont="1" applyBorder="1" applyAlignment="1">
      <alignment horizontal="center" vertical="center"/>
    </xf>
    <xf numFmtId="0" fontId="39" fillId="0" borderId="20" xfId="4" applyFont="1" applyBorder="1" applyAlignment="1">
      <alignment horizontal="center" vertical="center"/>
    </xf>
    <xf numFmtId="0" fontId="39" fillId="0" borderId="21" xfId="4" applyFont="1" applyBorder="1" applyAlignment="1">
      <alignment horizontal="center" vertical="center"/>
    </xf>
    <xf numFmtId="0" fontId="36" fillId="7" borderId="20" xfId="4" applyFont="1" applyFill="1" applyBorder="1" applyAlignment="1">
      <alignment horizontal="center" vertical="center"/>
    </xf>
    <xf numFmtId="0" fontId="36" fillId="7" borderId="18" xfId="4" applyFont="1" applyFill="1" applyBorder="1" applyAlignment="1">
      <alignment horizontal="center" vertical="center"/>
    </xf>
    <xf numFmtId="0" fontId="36" fillId="7" borderId="21" xfId="4" applyFont="1" applyFill="1" applyBorder="1" applyAlignment="1">
      <alignment horizontal="center" vertical="center"/>
    </xf>
    <xf numFmtId="170" fontId="37" fillId="7" borderId="1" xfId="1" applyNumberFormat="1" applyFont="1" applyFill="1" applyBorder="1" applyAlignment="1">
      <alignment horizontal="center"/>
    </xf>
    <xf numFmtId="170" fontId="37" fillId="7" borderId="20" xfId="1" applyNumberFormat="1" applyFont="1" applyFill="1" applyBorder="1" applyAlignment="1">
      <alignment horizontal="center"/>
    </xf>
    <xf numFmtId="170" fontId="37" fillId="7" borderId="18" xfId="1" applyNumberFormat="1" applyFont="1" applyFill="1" applyBorder="1" applyAlignment="1">
      <alignment horizontal="center"/>
    </xf>
    <xf numFmtId="170" fontId="37" fillId="7" borderId="21" xfId="1" applyNumberFormat="1" applyFont="1" applyFill="1" applyBorder="1" applyAlignment="1">
      <alignment horizontal="center"/>
    </xf>
    <xf numFmtId="3" fontId="46" fillId="0" borderId="1" xfId="1" applyNumberFormat="1" applyFont="1" applyFill="1" applyBorder="1" applyAlignment="1">
      <alignment horizontal="center" vertical="center"/>
    </xf>
    <xf numFmtId="0" fontId="38" fillId="7" borderId="20" xfId="5" applyFont="1" applyFill="1" applyBorder="1" applyAlignment="1">
      <alignment horizontal="center" vertical="top" wrapText="1"/>
    </xf>
    <xf numFmtId="0" fontId="38" fillId="7" borderId="21" xfId="5" applyFont="1" applyFill="1" applyBorder="1" applyAlignment="1">
      <alignment horizontal="center" vertical="top" wrapText="1"/>
    </xf>
    <xf numFmtId="22" fontId="39" fillId="0" borderId="28" xfId="4" applyNumberFormat="1" applyFont="1" applyBorder="1" applyAlignment="1">
      <alignment horizontal="center" vertical="center"/>
    </xf>
    <xf numFmtId="22" fontId="39" fillId="0" borderId="3" xfId="4" applyNumberFormat="1" applyFont="1" applyBorder="1" applyAlignment="1">
      <alignment horizontal="center" vertical="center"/>
    </xf>
    <xf numFmtId="3" fontId="36" fillId="0" borderId="1" xfId="1" applyNumberFormat="1" applyFont="1" applyFill="1" applyBorder="1" applyAlignment="1">
      <alignment horizontal="center" vertical="center"/>
    </xf>
    <xf numFmtId="3" fontId="46" fillId="0" borderId="4" xfId="1" applyNumberFormat="1" applyFont="1" applyFill="1" applyBorder="1" applyAlignment="1">
      <alignment horizontal="center" vertical="center"/>
    </xf>
    <xf numFmtId="3" fontId="46" fillId="0" borderId="5" xfId="1" applyNumberFormat="1" applyFont="1" applyFill="1" applyBorder="1" applyAlignment="1">
      <alignment horizontal="center" vertical="center"/>
    </xf>
    <xf numFmtId="0" fontId="40" fillId="0" borderId="20" xfId="4" applyFont="1" applyBorder="1" applyAlignment="1">
      <alignment vertical="center"/>
    </xf>
    <xf numFmtId="0" fontId="40" fillId="0" borderId="18" xfId="4" applyFont="1" applyBorder="1" applyAlignment="1">
      <alignment vertical="center"/>
    </xf>
    <xf numFmtId="0" fontId="40" fillId="0" borderId="21" xfId="4" applyFont="1" applyBorder="1" applyAlignment="1">
      <alignment vertical="center"/>
    </xf>
    <xf numFmtId="0" fontId="39" fillId="0" borderId="18" xfId="4" applyFont="1" applyBorder="1" applyAlignment="1">
      <alignment horizontal="center" vertical="center"/>
    </xf>
    <xf numFmtId="0" fontId="40" fillId="0" borderId="20" xfId="5" applyFont="1" applyBorder="1" applyAlignment="1">
      <alignment horizontal="center" vertical="center"/>
    </xf>
    <xf numFmtId="0" fontId="40" fillId="0" borderId="18" xfId="5" applyFont="1" applyBorder="1" applyAlignment="1">
      <alignment horizontal="center" vertical="center"/>
    </xf>
    <xf numFmtId="0" fontId="40" fillId="0" borderId="21" xfId="5" applyFont="1" applyBorder="1" applyAlignment="1">
      <alignment horizontal="center" vertical="center"/>
    </xf>
    <xf numFmtId="0" fontId="36" fillId="0" borderId="28" xfId="5" applyFont="1" applyBorder="1" applyAlignment="1">
      <alignment horizontal="center" vertical="center" wrapText="1"/>
    </xf>
    <xf numFmtId="0" fontId="36" fillId="0" borderId="3" xfId="5" applyFont="1" applyBorder="1" applyAlignment="1">
      <alignment horizontal="center" vertical="center" wrapText="1"/>
    </xf>
    <xf numFmtId="0" fontId="39" fillId="0" borderId="28" xfId="4" applyFont="1" applyBorder="1" applyAlignment="1">
      <alignment horizontal="center" vertical="center"/>
    </xf>
    <xf numFmtId="0" fontId="39" fillId="0" borderId="3" xfId="4" applyFont="1" applyBorder="1" applyAlignment="1">
      <alignment horizontal="center" vertical="center"/>
    </xf>
    <xf numFmtId="165" fontId="2" fillId="0" borderId="0" xfId="6" applyNumberFormat="1"/>
    <xf numFmtId="165" fontId="0" fillId="0" borderId="0" xfId="6" applyNumberFormat="1" applyFont="1" applyAlignment="1">
      <alignment horizontal="center" vertical="center"/>
    </xf>
    <xf numFmtId="3" fontId="5" fillId="0" borderId="28" xfId="6" applyNumberFormat="1" applyFont="1" applyBorder="1" applyAlignment="1">
      <alignment horizontal="center" vertical="center" wrapText="1"/>
    </xf>
    <xf numFmtId="3" fontId="5" fillId="0" borderId="3" xfId="6" applyNumberFormat="1" applyFont="1" applyBorder="1" applyAlignment="1">
      <alignment horizontal="center" vertical="center" wrapText="1"/>
    </xf>
    <xf numFmtId="3" fontId="36" fillId="0" borderId="4" xfId="1" applyNumberFormat="1" applyFont="1" applyFill="1" applyBorder="1" applyAlignment="1">
      <alignment horizontal="center" vertical="center"/>
    </xf>
    <xf numFmtId="3" fontId="36" fillId="0" borderId="5" xfId="1" applyNumberFormat="1" applyFont="1" applyFill="1" applyBorder="1" applyAlignment="1">
      <alignment horizontal="center" vertical="center"/>
    </xf>
    <xf numFmtId="165" fontId="2" fillId="0" borderId="0" xfId="6" applyNumberFormat="1" applyAlignment="1">
      <alignment horizontal="center"/>
    </xf>
    <xf numFmtId="0" fontId="36" fillId="5" borderId="20" xfId="4" applyFont="1" applyFill="1" applyBorder="1" applyAlignment="1">
      <alignment vertical="center"/>
    </xf>
    <xf numFmtId="0" fontId="36" fillId="5" borderId="18" xfId="4" applyFont="1" applyFill="1" applyBorder="1" applyAlignment="1">
      <alignment vertical="center"/>
    </xf>
    <xf numFmtId="0" fontId="36" fillId="5" borderId="21" xfId="4" applyFont="1" applyFill="1" applyBorder="1" applyAlignment="1">
      <alignment vertical="center"/>
    </xf>
    <xf numFmtId="0" fontId="74" fillId="0" borderId="20" xfId="4" applyFont="1" applyBorder="1" applyAlignment="1">
      <alignment horizontal="center" vertical="center"/>
    </xf>
    <xf numFmtId="0" fontId="74" fillId="0" borderId="21" xfId="4" applyFont="1" applyBorder="1" applyAlignment="1">
      <alignment horizontal="center" vertical="center"/>
    </xf>
    <xf numFmtId="0" fontId="74" fillId="0" borderId="29" xfId="4" applyFont="1" applyBorder="1" applyAlignment="1">
      <alignment horizontal="center" vertical="center"/>
    </xf>
    <xf numFmtId="0" fontId="74" fillId="0" borderId="25" xfId="4" applyFont="1" applyBorder="1" applyAlignment="1">
      <alignment horizontal="center" vertical="center"/>
    </xf>
    <xf numFmtId="0" fontId="74" fillId="0" borderId="4" xfId="4" applyFont="1" applyBorder="1" applyAlignment="1">
      <alignment horizontal="center" vertical="center"/>
    </xf>
    <xf numFmtId="0" fontId="74" fillId="0" borderId="6" xfId="4" applyFont="1" applyBorder="1" applyAlignment="1">
      <alignment horizontal="center" vertical="center"/>
    </xf>
    <xf numFmtId="170" fontId="43" fillId="7" borderId="20" xfId="1" applyNumberFormat="1" applyFont="1" applyFill="1" applyBorder="1" applyAlignment="1">
      <alignment horizontal="center"/>
    </xf>
    <xf numFmtId="170" fontId="43" fillId="7" borderId="18" xfId="1" applyNumberFormat="1" applyFont="1" applyFill="1" applyBorder="1" applyAlignment="1">
      <alignment horizontal="center"/>
    </xf>
    <xf numFmtId="0" fontId="39" fillId="0" borderId="1" xfId="4" applyFont="1" applyBorder="1" applyAlignment="1">
      <alignment horizontal="center" vertical="center"/>
    </xf>
    <xf numFmtId="0" fontId="44" fillId="0" borderId="28" xfId="5" applyFont="1" applyBorder="1" applyAlignment="1">
      <alignment horizontal="center" vertical="center" wrapText="1"/>
    </xf>
    <xf numFmtId="0" fontId="44" fillId="0" borderId="3" xfId="5" applyFont="1" applyBorder="1" applyAlignment="1">
      <alignment horizontal="center" vertical="center" wrapText="1"/>
    </xf>
    <xf numFmtId="0" fontId="39" fillId="6" borderId="18" xfId="4" applyFont="1" applyFill="1" applyBorder="1" applyAlignment="1">
      <alignment horizontal="center" vertical="center"/>
    </xf>
    <xf numFmtId="0" fontId="39" fillId="6" borderId="21" xfId="4" applyFont="1" applyFill="1" applyBorder="1" applyAlignment="1">
      <alignment horizontal="center" vertical="center"/>
    </xf>
    <xf numFmtId="170" fontId="108" fillId="7" borderId="20" xfId="1" applyNumberFormat="1" applyFont="1" applyFill="1" applyBorder="1" applyAlignment="1">
      <alignment horizontal="center"/>
    </xf>
    <xf numFmtId="170" fontId="108" fillId="7" borderId="18" xfId="1" applyNumberFormat="1" applyFont="1" applyFill="1" applyBorder="1" applyAlignment="1">
      <alignment horizontal="center"/>
    </xf>
    <xf numFmtId="0" fontId="74" fillId="0" borderId="20" xfId="5" applyFont="1" applyBorder="1" applyAlignment="1">
      <alignment horizontal="center" vertical="center"/>
    </xf>
    <xf numFmtId="0" fontId="74" fillId="0" borderId="18" xfId="5" applyFont="1" applyBorder="1" applyAlignment="1">
      <alignment horizontal="center" vertical="center"/>
    </xf>
    <xf numFmtId="0" fontId="74" fillId="0" borderId="21" xfId="5" applyFont="1" applyBorder="1" applyAlignment="1">
      <alignment horizontal="center" vertical="center"/>
    </xf>
    <xf numFmtId="0" fontId="106" fillId="0" borderId="20" xfId="4" applyFont="1" applyBorder="1" applyAlignment="1">
      <alignment vertical="center"/>
    </xf>
    <xf numFmtId="0" fontId="106" fillId="0" borderId="18" xfId="4" applyFont="1" applyBorder="1" applyAlignment="1">
      <alignment vertical="center"/>
    </xf>
    <xf numFmtId="0" fontId="106" fillId="0" borderId="21" xfId="4" applyFont="1" applyBorder="1" applyAlignment="1">
      <alignment vertical="center"/>
    </xf>
    <xf numFmtId="0" fontId="92" fillId="0" borderId="20" xfId="4" applyFont="1" applyBorder="1" applyAlignment="1">
      <alignment horizontal="center" vertical="center"/>
    </xf>
    <xf numFmtId="0" fontId="92" fillId="0" borderId="21" xfId="4" applyFont="1" applyBorder="1" applyAlignment="1">
      <alignment horizontal="center" vertical="center"/>
    </xf>
    <xf numFmtId="3" fontId="46" fillId="0" borderId="1" xfId="1" applyNumberFormat="1" applyFont="1" applyBorder="1" applyAlignment="1">
      <alignment horizontal="center" vertical="center"/>
    </xf>
    <xf numFmtId="0" fontId="36" fillId="7" borderId="20" xfId="5" applyFont="1" applyFill="1" applyBorder="1" applyAlignment="1">
      <alignment horizontal="center" vertical="top" wrapText="1"/>
    </xf>
    <xf numFmtId="0" fontId="36" fillId="7" borderId="21" xfId="5" applyFont="1" applyFill="1" applyBorder="1" applyAlignment="1">
      <alignment horizontal="center" vertical="top" wrapText="1"/>
    </xf>
    <xf numFmtId="0" fontId="93" fillId="0" borderId="20" xfId="5" applyFont="1" applyBorder="1" applyAlignment="1">
      <alignment horizontal="center" vertical="center"/>
    </xf>
    <xf numFmtId="0" fontId="93" fillId="0" borderId="18" xfId="5" applyFont="1" applyBorder="1" applyAlignment="1">
      <alignment horizontal="center" vertical="center"/>
    </xf>
    <xf numFmtId="0" fontId="93" fillId="0" borderId="21" xfId="5" applyFont="1" applyBorder="1" applyAlignment="1">
      <alignment horizontal="center" vertical="center"/>
    </xf>
    <xf numFmtId="0" fontId="42" fillId="0" borderId="20" xfId="5" applyFont="1" applyBorder="1" applyAlignment="1">
      <alignment horizontal="center" vertical="center"/>
    </xf>
    <xf numFmtId="0" fontId="42" fillId="0" borderId="18" xfId="5" applyFont="1" applyBorder="1" applyAlignment="1">
      <alignment horizontal="center" vertical="center"/>
    </xf>
    <xf numFmtId="0" fontId="42" fillId="0" borderId="21" xfId="5" applyFont="1" applyBorder="1" applyAlignment="1">
      <alignment horizontal="center" vertical="center"/>
    </xf>
    <xf numFmtId="0" fontId="92" fillId="0" borderId="29" xfId="4" applyFont="1" applyBorder="1" applyAlignment="1">
      <alignment horizontal="center" vertical="center"/>
    </xf>
    <xf numFmtId="0" fontId="92" fillId="0" borderId="25" xfId="4" applyFont="1" applyBorder="1" applyAlignment="1">
      <alignment horizontal="center" vertical="center"/>
    </xf>
    <xf numFmtId="0" fontId="92" fillId="0" borderId="4" xfId="4" applyFont="1" applyBorder="1" applyAlignment="1">
      <alignment horizontal="center" vertical="center"/>
    </xf>
    <xf numFmtId="0" fontId="92" fillId="0" borderId="6" xfId="4" applyFont="1" applyBorder="1" applyAlignment="1">
      <alignment horizontal="center" vertical="center"/>
    </xf>
    <xf numFmtId="170" fontId="102" fillId="7" borderId="1" xfId="1" applyNumberFormat="1" applyFont="1" applyFill="1" applyBorder="1" applyAlignment="1">
      <alignment horizontal="center"/>
    </xf>
    <xf numFmtId="0" fontId="93" fillId="0" borderId="20" xfId="4" applyFont="1" applyBorder="1" applyAlignment="1">
      <alignment vertical="center"/>
    </xf>
    <xf numFmtId="0" fontId="93" fillId="0" borderId="18" xfId="4" applyFont="1" applyBorder="1" applyAlignment="1">
      <alignment vertical="center"/>
    </xf>
    <xf numFmtId="0" fontId="93" fillId="0" borderId="21" xfId="4" applyFont="1" applyBorder="1" applyAlignment="1">
      <alignment vertical="center"/>
    </xf>
    <xf numFmtId="0" fontId="103" fillId="0" borderId="29" xfId="4" applyFont="1" applyBorder="1" applyAlignment="1">
      <alignment horizontal="center" vertical="center"/>
    </xf>
    <xf numFmtId="0" fontId="103" fillId="0" borderId="19" xfId="4" applyFont="1" applyBorder="1" applyAlignment="1">
      <alignment horizontal="center" vertical="center"/>
    </xf>
    <xf numFmtId="0" fontId="103" fillId="0" borderId="4" xfId="4" applyFont="1" applyBorder="1" applyAlignment="1">
      <alignment horizontal="center" vertical="center"/>
    </xf>
    <xf numFmtId="0" fontId="103" fillId="0" borderId="5" xfId="4" applyFont="1" applyBorder="1" applyAlignment="1">
      <alignment horizontal="center" vertical="center"/>
    </xf>
    <xf numFmtId="0" fontId="92" fillId="0" borderId="23" xfId="4" applyFont="1" applyBorder="1" applyAlignment="1">
      <alignment horizontal="center" vertical="center"/>
    </xf>
    <xf numFmtId="0" fontId="103" fillId="0" borderId="23" xfId="4" applyFont="1" applyBorder="1" applyAlignment="1">
      <alignment horizontal="center" vertical="center"/>
    </xf>
    <xf numFmtId="0" fontId="92" fillId="0" borderId="31" xfId="4" applyFont="1" applyBorder="1" applyAlignment="1">
      <alignment horizontal="center" vertical="center"/>
    </xf>
    <xf numFmtId="0" fontId="103" fillId="0" borderId="24" xfId="4" applyFont="1" applyBorder="1" applyAlignment="1">
      <alignment horizontal="center" vertical="center"/>
    </xf>
    <xf numFmtId="0" fontId="103" fillId="0" borderId="26" xfId="4" applyFont="1" applyBorder="1" applyAlignment="1">
      <alignment horizontal="center" vertical="center"/>
    </xf>
    <xf numFmtId="0" fontId="103" fillId="0" borderId="0" xfId="4" applyFont="1" applyAlignment="1">
      <alignment horizontal="center" vertical="center"/>
    </xf>
    <xf numFmtId="0" fontId="103" fillId="0" borderId="27" xfId="4" applyFont="1" applyBorder="1" applyAlignment="1">
      <alignment horizontal="center" vertical="center"/>
    </xf>
    <xf numFmtId="0" fontId="103" fillId="0" borderId="30" xfId="4" applyFont="1" applyBorder="1" applyAlignment="1">
      <alignment horizontal="center" vertical="center"/>
    </xf>
    <xf numFmtId="0" fontId="36" fillId="7" borderId="4" xfId="4" applyFont="1" applyFill="1" applyBorder="1" applyAlignment="1">
      <alignment horizontal="center" vertical="center"/>
    </xf>
    <xf numFmtId="0" fontId="36" fillId="7" borderId="5" xfId="4" applyFont="1" applyFill="1" applyBorder="1" applyAlignment="1">
      <alignment horizontal="center" vertical="center"/>
    </xf>
    <xf numFmtId="0" fontId="36" fillId="7" borderId="6" xfId="4" applyFont="1" applyFill="1" applyBorder="1" applyAlignment="1">
      <alignment horizontal="center" vertical="center"/>
    </xf>
    <xf numFmtId="0" fontId="36" fillId="7" borderId="19" xfId="4" applyFont="1" applyFill="1" applyBorder="1" applyAlignment="1">
      <alignment horizontal="center" vertical="center"/>
    </xf>
    <xf numFmtId="0" fontId="36" fillId="7" borderId="25" xfId="4" applyFont="1" applyFill="1" applyBorder="1" applyAlignment="1">
      <alignment horizontal="center" vertical="center"/>
    </xf>
    <xf numFmtId="0" fontId="94" fillId="7" borderId="20" xfId="4" applyFont="1" applyFill="1" applyBorder="1" applyAlignment="1">
      <alignment horizontal="center" vertical="center"/>
    </xf>
    <xf numFmtId="0" fontId="94" fillId="7" borderId="18" xfId="4" applyFont="1" applyFill="1" applyBorder="1" applyAlignment="1">
      <alignment horizontal="center" vertical="center"/>
    </xf>
    <xf numFmtId="0" fontId="94" fillId="7" borderId="21" xfId="4" applyFont="1" applyFill="1" applyBorder="1" applyAlignment="1">
      <alignment horizontal="center" vertical="center"/>
    </xf>
    <xf numFmtId="170" fontId="93" fillId="7" borderId="20" xfId="1" applyNumberFormat="1" applyFont="1" applyFill="1" applyBorder="1" applyAlignment="1">
      <alignment horizontal="center"/>
    </xf>
    <xf numFmtId="170" fontId="93" fillId="7" borderId="18" xfId="1" applyNumberFormat="1" applyFont="1" applyFill="1" applyBorder="1" applyAlignment="1">
      <alignment horizontal="center"/>
    </xf>
    <xf numFmtId="0" fontId="42" fillId="0" borderId="20" xfId="4" applyFont="1" applyBorder="1" applyAlignment="1">
      <alignment vertical="center"/>
    </xf>
    <xf numFmtId="0" fontId="42" fillId="0" borderId="18" xfId="4" applyFont="1" applyBorder="1" applyAlignment="1">
      <alignment vertical="center"/>
    </xf>
    <xf numFmtId="0" fontId="42" fillId="0" borderId="21" xfId="4" applyFont="1" applyBorder="1" applyAlignment="1">
      <alignment vertical="center"/>
    </xf>
    <xf numFmtId="0" fontId="92" fillId="0" borderId="28" xfId="4" applyFont="1" applyBorder="1" applyAlignment="1">
      <alignment horizontal="center" vertical="center"/>
    </xf>
    <xf numFmtId="0" fontId="92" fillId="0" borderId="3" xfId="4" applyFont="1" applyBorder="1" applyAlignment="1">
      <alignment horizontal="center" vertical="center"/>
    </xf>
    <xf numFmtId="22" fontId="92" fillId="0" borderId="28" xfId="4" applyNumberFormat="1" applyFont="1" applyBorder="1" applyAlignment="1">
      <alignment horizontal="center" vertical="center"/>
    </xf>
    <xf numFmtId="22" fontId="92" fillId="0" borderId="3" xfId="4" applyNumberFormat="1" applyFont="1" applyBorder="1" applyAlignment="1">
      <alignment horizontal="center" vertical="center"/>
    </xf>
    <xf numFmtId="0" fontId="74" fillId="0" borderId="28" xfId="4" applyFont="1" applyBorder="1" applyAlignment="1">
      <alignment horizontal="center" vertical="center"/>
    </xf>
    <xf numFmtId="0" fontId="74" fillId="0" borderId="3" xfId="4" applyFont="1" applyBorder="1" applyAlignment="1">
      <alignment horizontal="center" vertical="center"/>
    </xf>
    <xf numFmtId="22" fontId="74" fillId="0" borderId="28" xfId="4" applyNumberFormat="1" applyFont="1" applyBorder="1" applyAlignment="1">
      <alignment horizontal="center" vertical="center"/>
    </xf>
    <xf numFmtId="22" fontId="74" fillId="0" borderId="3" xfId="4" applyNumberFormat="1" applyFont="1" applyBorder="1" applyAlignment="1">
      <alignment horizontal="center" vertical="center"/>
    </xf>
    <xf numFmtId="3" fontId="46" fillId="0" borderId="20" xfId="1" applyNumberFormat="1" applyFont="1" applyFill="1" applyBorder="1" applyAlignment="1">
      <alignment horizontal="center" vertical="center"/>
    </xf>
    <xf numFmtId="3" fontId="46" fillId="0" borderId="18" xfId="1" applyNumberFormat="1" applyFont="1" applyFill="1" applyBorder="1" applyAlignment="1">
      <alignment horizontal="center" vertical="center"/>
    </xf>
    <xf numFmtId="3" fontId="46" fillId="0" borderId="21" xfId="1" applyNumberFormat="1" applyFont="1" applyFill="1" applyBorder="1" applyAlignment="1">
      <alignment horizontal="center" vertical="center"/>
    </xf>
    <xf numFmtId="0" fontId="39" fillId="6" borderId="20" xfId="4" applyFont="1" applyFill="1" applyBorder="1" applyAlignment="1">
      <alignment horizontal="center" vertical="center"/>
    </xf>
    <xf numFmtId="0" fontId="39" fillId="8" borderId="20" xfId="4" applyFont="1" applyFill="1" applyBorder="1" applyAlignment="1">
      <alignment horizontal="center" vertical="center"/>
    </xf>
    <xf numFmtId="0" fontId="39" fillId="8" borderId="21" xfId="4" applyFont="1" applyFill="1" applyBorder="1" applyAlignment="1">
      <alignment horizontal="center" vertical="center"/>
    </xf>
    <xf numFmtId="0" fontId="141" fillId="41" borderId="20" xfId="0" applyFont="1" applyFill="1" applyBorder="1" applyAlignment="1">
      <alignment horizontal="center"/>
    </xf>
    <xf numFmtId="0" fontId="141" fillId="41" borderId="18" xfId="0" applyFont="1" applyFill="1" applyBorder="1" applyAlignment="1">
      <alignment horizontal="center"/>
    </xf>
    <xf numFmtId="0" fontId="141" fillId="41" borderId="21" xfId="0" applyFont="1" applyFill="1" applyBorder="1" applyAlignment="1">
      <alignment horizontal="center"/>
    </xf>
    <xf numFmtId="0" fontId="142" fillId="0" borderId="20" xfId="0" applyFont="1" applyBorder="1" applyAlignment="1">
      <alignment horizontal="center"/>
    </xf>
    <xf numFmtId="0" fontId="142" fillId="0" borderId="18" xfId="0" applyFont="1" applyBorder="1" applyAlignment="1">
      <alignment horizontal="center"/>
    </xf>
    <xf numFmtId="0" fontId="142" fillId="0" borderId="21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4" fillId="0" borderId="23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4" fillId="0" borderId="31" xfId="2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3" fontId="5" fillId="0" borderId="20" xfId="1" applyNumberFormat="1" applyFont="1" applyFill="1" applyBorder="1" applyAlignment="1">
      <alignment horizontal="center"/>
    </xf>
    <xf numFmtId="3" fontId="5" fillId="0" borderId="18" xfId="1" applyNumberFormat="1" applyFont="1" applyFill="1" applyBorder="1" applyAlignment="1">
      <alignment horizontal="center"/>
    </xf>
    <xf numFmtId="3" fontId="5" fillId="0" borderId="21" xfId="1" applyNumberFormat="1" applyFont="1" applyFill="1" applyBorder="1" applyAlignment="1">
      <alignment horizontal="center"/>
    </xf>
    <xf numFmtId="0" fontId="5" fillId="0" borderId="20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17" fontId="5" fillId="0" borderId="31" xfId="2" applyNumberFormat="1" applyFont="1" applyBorder="1" applyAlignment="1">
      <alignment horizontal="center" vertical="center"/>
    </xf>
    <xf numFmtId="17" fontId="5" fillId="0" borderId="51" xfId="2" applyNumberFormat="1" applyFont="1" applyBorder="1" applyAlignment="1">
      <alignment horizontal="center" vertical="center"/>
    </xf>
    <xf numFmtId="17" fontId="5" fillId="0" borderId="22" xfId="2" applyNumberFormat="1" applyFont="1" applyBorder="1" applyAlignment="1">
      <alignment horizontal="center" vertical="center"/>
    </xf>
    <xf numFmtId="3" fontId="5" fillId="0" borderId="23" xfId="1" applyNumberFormat="1" applyFont="1" applyFill="1" applyBorder="1" applyAlignment="1">
      <alignment horizontal="center"/>
    </xf>
    <xf numFmtId="167" fontId="5" fillId="0" borderId="20" xfId="2" applyNumberFormat="1" applyFont="1" applyBorder="1" applyAlignment="1">
      <alignment horizontal="center" vertical="center"/>
    </xf>
    <xf numFmtId="167" fontId="5" fillId="0" borderId="21" xfId="2" applyNumberFormat="1" applyFont="1" applyBorder="1" applyAlignment="1">
      <alignment horizontal="center" vertical="center"/>
    </xf>
    <xf numFmtId="3" fontId="4" fillId="0" borderId="1" xfId="1" applyNumberFormat="1" applyFont="1" applyFill="1" applyBorder="1" applyAlignment="1">
      <alignment horizontal="center" vertical="center"/>
    </xf>
    <xf numFmtId="3" fontId="4" fillId="0" borderId="20" xfId="1" applyNumberFormat="1" applyFont="1" applyFill="1" applyBorder="1" applyAlignment="1">
      <alignment horizontal="center" vertical="center"/>
    </xf>
    <xf numFmtId="3" fontId="4" fillId="0" borderId="18" xfId="1" applyNumberFormat="1" applyFont="1" applyFill="1" applyBorder="1" applyAlignment="1">
      <alignment horizontal="center" vertical="center"/>
    </xf>
    <xf numFmtId="3" fontId="4" fillId="0" borderId="21" xfId="1" applyNumberFormat="1" applyFont="1" applyFill="1" applyBorder="1" applyAlignment="1">
      <alignment horizontal="center" vertical="center"/>
    </xf>
    <xf numFmtId="0" fontId="4" fillId="37" borderId="20" xfId="2" applyFont="1" applyFill="1" applyBorder="1" applyAlignment="1">
      <alignment horizontal="center" vertical="center"/>
    </xf>
    <xf numFmtId="0" fontId="4" fillId="37" borderId="21" xfId="2" applyFont="1" applyFill="1" applyBorder="1" applyAlignment="1">
      <alignment horizontal="center" vertical="center"/>
    </xf>
    <xf numFmtId="169" fontId="4" fillId="0" borderId="20" xfId="1" applyNumberFormat="1" applyFont="1" applyFill="1" applyBorder="1" applyAlignment="1">
      <alignment horizontal="center" vertical="center"/>
    </xf>
    <xf numFmtId="169" fontId="4" fillId="0" borderId="18" xfId="1" applyNumberFormat="1" applyFont="1" applyFill="1" applyBorder="1" applyAlignment="1">
      <alignment horizontal="center" vertical="center"/>
    </xf>
    <xf numFmtId="169" fontId="4" fillId="0" borderId="21" xfId="1" applyNumberFormat="1" applyFont="1" applyFill="1" applyBorder="1" applyAlignment="1">
      <alignment horizontal="center" vertical="center"/>
    </xf>
    <xf numFmtId="0" fontId="5" fillId="0" borderId="20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3" fontId="4" fillId="0" borderId="1" xfId="2" applyNumberFormat="1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92" fillId="0" borderId="20" xfId="5" applyFont="1" applyBorder="1" applyAlignment="1">
      <alignment horizontal="center" vertical="center"/>
    </xf>
    <xf numFmtId="0" fontId="92" fillId="0" borderId="18" xfId="5" applyFont="1" applyBorder="1" applyAlignment="1">
      <alignment horizontal="center" vertical="center"/>
    </xf>
    <xf numFmtId="0" fontId="92" fillId="0" borderId="21" xfId="5" applyFont="1" applyBorder="1" applyAlignment="1">
      <alignment horizontal="center" vertical="center"/>
    </xf>
    <xf numFmtId="0" fontId="43" fillId="0" borderId="20" xfId="4" applyFont="1" applyBorder="1" applyAlignment="1">
      <alignment vertical="center"/>
    </xf>
    <xf numFmtId="0" fontId="43" fillId="0" borderId="18" xfId="4" applyFont="1" applyBorder="1" applyAlignment="1">
      <alignment vertical="center"/>
    </xf>
    <xf numFmtId="0" fontId="43" fillId="0" borderId="21" xfId="4" applyFont="1" applyBorder="1" applyAlignment="1">
      <alignment vertical="center"/>
    </xf>
    <xf numFmtId="0" fontId="92" fillId="0" borderId="7" xfId="4" applyFont="1" applyBorder="1" applyAlignment="1">
      <alignment horizontal="center" vertical="center"/>
    </xf>
    <xf numFmtId="0" fontId="92" fillId="0" borderId="8" xfId="4" applyFont="1" applyBorder="1" applyAlignment="1">
      <alignment horizontal="center" vertical="center"/>
    </xf>
    <xf numFmtId="170" fontId="104" fillId="7" borderId="1" xfId="1" applyNumberFormat="1" applyFont="1" applyFill="1" applyBorder="1" applyAlignment="1">
      <alignment horizontal="center"/>
    </xf>
    <xf numFmtId="0" fontId="82" fillId="0" borderId="20" xfId="5" applyFont="1" applyBorder="1" applyAlignment="1">
      <alignment horizontal="center" vertical="center"/>
    </xf>
    <xf numFmtId="0" fontId="82" fillId="0" borderId="18" xfId="5" applyFont="1" applyBorder="1" applyAlignment="1">
      <alignment horizontal="center" vertical="center"/>
    </xf>
    <xf numFmtId="0" fontId="82" fillId="0" borderId="21" xfId="5" applyFont="1" applyBorder="1" applyAlignment="1">
      <alignment horizontal="center" vertical="center"/>
    </xf>
    <xf numFmtId="0" fontId="108" fillId="0" borderId="20" xfId="4" applyFont="1" applyBorder="1" applyAlignment="1">
      <alignment vertical="center"/>
    </xf>
    <xf numFmtId="0" fontId="108" fillId="0" borderId="18" xfId="4" applyFont="1" applyBorder="1" applyAlignment="1">
      <alignment vertical="center"/>
    </xf>
    <xf numFmtId="0" fontId="108" fillId="0" borderId="21" xfId="4" applyFont="1" applyBorder="1" applyAlignment="1">
      <alignment vertical="center"/>
    </xf>
    <xf numFmtId="0" fontId="92" fillId="0" borderId="23" xfId="5" applyFont="1" applyBorder="1" applyAlignment="1">
      <alignment horizontal="center" vertical="center"/>
    </xf>
    <xf numFmtId="0" fontId="94" fillId="5" borderId="1" xfId="4" applyFont="1" applyFill="1" applyBorder="1" applyAlignment="1">
      <alignment vertical="center"/>
    </xf>
    <xf numFmtId="170" fontId="104" fillId="7" borderId="20" xfId="1" applyNumberFormat="1" applyFont="1" applyFill="1" applyBorder="1" applyAlignment="1">
      <alignment horizontal="center"/>
    </xf>
    <xf numFmtId="170" fontId="104" fillId="7" borderId="18" xfId="1" applyNumberFormat="1" applyFont="1" applyFill="1" applyBorder="1" applyAlignment="1">
      <alignment horizontal="center"/>
    </xf>
    <xf numFmtId="0" fontId="104" fillId="0" borderId="20" xfId="4" applyFont="1" applyBorder="1" applyAlignment="1">
      <alignment vertical="center"/>
    </xf>
    <xf numFmtId="0" fontId="104" fillId="0" borderId="18" xfId="4" applyFont="1" applyBorder="1" applyAlignment="1">
      <alignment vertical="center"/>
    </xf>
    <xf numFmtId="0" fontId="104" fillId="0" borderId="21" xfId="4" applyFont="1" applyBorder="1" applyAlignment="1">
      <alignment vertical="center"/>
    </xf>
    <xf numFmtId="0" fontId="92" fillId="0" borderId="29" xfId="5" applyFont="1" applyBorder="1" applyAlignment="1">
      <alignment horizontal="center" vertical="center"/>
    </xf>
    <xf numFmtId="0" fontId="92" fillId="0" borderId="19" xfId="5" applyFont="1" applyBorder="1" applyAlignment="1">
      <alignment horizontal="center" vertical="center"/>
    </xf>
    <xf numFmtId="0" fontId="92" fillId="0" borderId="25" xfId="5" applyFont="1" applyBorder="1" applyAlignment="1">
      <alignment horizontal="center" vertical="center"/>
    </xf>
    <xf numFmtId="3" fontId="94" fillId="0" borderId="1" xfId="1" applyNumberFormat="1" applyFont="1" applyBorder="1" applyAlignment="1">
      <alignment horizontal="center" vertical="center"/>
    </xf>
    <xf numFmtId="0" fontId="94" fillId="7" borderId="20" xfId="5" applyFont="1" applyFill="1" applyBorder="1" applyAlignment="1">
      <alignment horizontal="center" vertical="top" wrapText="1"/>
    </xf>
    <xf numFmtId="0" fontId="94" fillId="7" borderId="21" xfId="5" applyFont="1" applyFill="1" applyBorder="1" applyAlignment="1">
      <alignment horizontal="center" vertical="top" wrapText="1"/>
    </xf>
    <xf numFmtId="170" fontId="43" fillId="7" borderId="1" xfId="1" applyNumberFormat="1" applyFont="1" applyFill="1" applyBorder="1" applyAlignment="1">
      <alignment horizontal="center"/>
    </xf>
    <xf numFmtId="0" fontId="92" fillId="6" borderId="20" xfId="4" applyFont="1" applyFill="1" applyBorder="1" applyAlignment="1">
      <alignment horizontal="center" vertical="center"/>
    </xf>
    <xf numFmtId="0" fontId="92" fillId="6" borderId="21" xfId="4" applyFont="1" applyFill="1" applyBorder="1" applyAlignment="1">
      <alignment horizontal="center" vertical="center"/>
    </xf>
    <xf numFmtId="0" fontId="92" fillId="6" borderId="20" xfId="5" applyFont="1" applyFill="1" applyBorder="1" applyAlignment="1">
      <alignment horizontal="center" vertical="center"/>
    </xf>
    <xf numFmtId="0" fontId="92" fillId="6" borderId="18" xfId="5" applyFont="1" applyFill="1" applyBorder="1" applyAlignment="1">
      <alignment horizontal="center" vertical="center"/>
    </xf>
    <xf numFmtId="0" fontId="92" fillId="6" borderId="21" xfId="5" applyFont="1" applyFill="1" applyBorder="1" applyAlignment="1">
      <alignment horizontal="center" vertical="center"/>
    </xf>
    <xf numFmtId="0" fontId="111" fillId="0" borderId="20" xfId="4" applyFont="1" applyBorder="1" applyAlignment="1">
      <alignment vertical="center"/>
    </xf>
    <xf numFmtId="0" fontId="111" fillId="0" borderId="18" xfId="4" applyFont="1" applyBorder="1" applyAlignment="1">
      <alignment vertical="center"/>
    </xf>
    <xf numFmtId="0" fontId="111" fillId="0" borderId="21" xfId="4" applyFont="1" applyBorder="1" applyAlignment="1">
      <alignment vertical="center"/>
    </xf>
    <xf numFmtId="0" fontId="74" fillId="0" borderId="7" xfId="4" applyFont="1" applyBorder="1" applyAlignment="1">
      <alignment horizontal="center" vertical="center"/>
    </xf>
    <xf numFmtId="0" fontId="74" fillId="0" borderId="8" xfId="4" applyFont="1" applyBorder="1" applyAlignment="1">
      <alignment horizontal="center" vertical="center"/>
    </xf>
    <xf numFmtId="0" fontId="74" fillId="0" borderId="23" xfId="4" applyFont="1" applyBorder="1" applyAlignment="1">
      <alignment horizontal="center" vertical="center"/>
    </xf>
    <xf numFmtId="0" fontId="111" fillId="0" borderId="23" xfId="4" applyFont="1" applyBorder="1" applyAlignment="1">
      <alignment vertical="center"/>
    </xf>
    <xf numFmtId="0" fontId="92" fillId="0" borderId="38" xfId="4" applyFont="1" applyBorder="1" applyAlignment="1">
      <alignment horizontal="center" vertical="center"/>
    </xf>
    <xf numFmtId="0" fontId="92" fillId="0" borderId="39" xfId="4" applyFont="1" applyBorder="1" applyAlignment="1">
      <alignment horizontal="center" vertical="center"/>
    </xf>
    <xf numFmtId="0" fontId="101" fillId="7" borderId="23" xfId="4" applyFont="1" applyFill="1" applyBorder="1" applyAlignment="1">
      <alignment horizontal="center" vertical="center"/>
    </xf>
    <xf numFmtId="3" fontId="46" fillId="0" borderId="23" xfId="1" applyNumberFormat="1" applyFont="1" applyBorder="1" applyAlignment="1">
      <alignment horizontal="center" vertical="center"/>
    </xf>
    <xf numFmtId="22" fontId="135" fillId="0" borderId="23" xfId="4" applyNumberFormat="1" applyFont="1" applyBorder="1" applyAlignment="1">
      <alignment horizontal="center" vertical="center"/>
    </xf>
    <xf numFmtId="22" fontId="74" fillId="0" borderId="23" xfId="4" applyNumberFormat="1" applyFont="1" applyBorder="1" applyAlignment="1">
      <alignment horizontal="center" vertical="center"/>
    </xf>
    <xf numFmtId="170" fontId="104" fillId="7" borderId="23" xfId="1" applyNumberFormat="1" applyFont="1" applyFill="1" applyBorder="1" applyAlignment="1">
      <alignment horizontal="center"/>
    </xf>
    <xf numFmtId="0" fontId="111" fillId="0" borderId="40" xfId="4" applyFont="1" applyBorder="1" applyAlignment="1">
      <alignment vertical="center"/>
    </xf>
    <xf numFmtId="0" fontId="92" fillId="0" borderId="18" xfId="4" applyFont="1" applyBorder="1" applyAlignment="1">
      <alignment horizontal="center" vertical="center"/>
    </xf>
    <xf numFmtId="3" fontId="94" fillId="0" borderId="23" xfId="1" applyNumberFormat="1" applyFont="1" applyBorder="1" applyAlignment="1">
      <alignment horizontal="center" vertical="center"/>
    </xf>
    <xf numFmtId="3" fontId="46" fillId="0" borderId="23" xfId="1" applyNumberFormat="1" applyFont="1" applyFill="1" applyBorder="1" applyAlignment="1">
      <alignment horizontal="center" vertical="center"/>
    </xf>
    <xf numFmtId="0" fontId="92" fillId="0" borderId="41" xfId="4" applyFont="1" applyBorder="1" applyAlignment="1">
      <alignment horizontal="center" vertical="center"/>
    </xf>
    <xf numFmtId="0" fontId="92" fillId="0" borderId="42" xfId="4" applyFont="1" applyBorder="1" applyAlignment="1">
      <alignment horizontal="center" vertical="center"/>
    </xf>
    <xf numFmtId="170" fontId="43" fillId="7" borderId="4" xfId="1" applyNumberFormat="1" applyFont="1" applyFill="1" applyBorder="1" applyAlignment="1">
      <alignment horizontal="center"/>
    </xf>
    <xf numFmtId="170" fontId="43" fillId="7" borderId="5" xfId="1" applyNumberFormat="1" applyFont="1" applyFill="1" applyBorder="1" applyAlignment="1">
      <alignment horizontal="center"/>
    </xf>
    <xf numFmtId="0" fontId="94" fillId="7" borderId="29" xfId="5" applyFont="1" applyFill="1" applyBorder="1" applyAlignment="1">
      <alignment horizontal="center" vertical="top" wrapText="1"/>
    </xf>
    <xf numFmtId="0" fontId="94" fillId="7" borderId="25" xfId="5" applyFont="1" applyFill="1" applyBorder="1" applyAlignment="1">
      <alignment horizontal="center" vertical="top" wrapText="1"/>
    </xf>
    <xf numFmtId="0" fontId="104" fillId="0" borderId="23" xfId="4" applyFont="1" applyBorder="1" applyAlignment="1">
      <alignment vertical="center"/>
    </xf>
    <xf numFmtId="0" fontId="94" fillId="5" borderId="23" xfId="4" applyFont="1" applyFill="1" applyBorder="1" applyAlignment="1">
      <alignment vertical="center"/>
    </xf>
    <xf numFmtId="0" fontId="101" fillId="7" borderId="36" xfId="4" applyFont="1" applyFill="1" applyBorder="1" applyAlignment="1">
      <alignment horizontal="center" vertical="center"/>
    </xf>
    <xf numFmtId="14" fontId="12" fillId="3" borderId="0" xfId="6" applyNumberFormat="1" applyFont="1" applyFill="1" applyAlignment="1">
      <alignment horizontal="center" vertical="center"/>
    </xf>
    <xf numFmtId="14" fontId="12" fillId="2" borderId="0" xfId="6" applyNumberFormat="1" applyFont="1" applyFill="1" applyAlignment="1">
      <alignment horizontal="center" vertical="center"/>
    </xf>
    <xf numFmtId="165" fontId="4" fillId="8" borderId="0" xfId="6" applyNumberFormat="1" applyFont="1" applyFill="1" applyAlignment="1">
      <alignment horizontal="center"/>
    </xf>
    <xf numFmtId="0" fontId="109" fillId="7" borderId="23" xfId="4" applyFont="1" applyFill="1" applyBorder="1" applyAlignment="1">
      <alignment horizontal="center" vertical="center"/>
    </xf>
    <xf numFmtId="0" fontId="94" fillId="7" borderId="38" xfId="4" applyFont="1" applyFill="1" applyBorder="1" applyAlignment="1">
      <alignment horizontal="center" vertical="center"/>
    </xf>
    <xf numFmtId="0" fontId="94" fillId="7" borderId="30" xfId="4" applyFont="1" applyFill="1" applyBorder="1" applyAlignment="1">
      <alignment horizontal="center" vertical="center"/>
    </xf>
    <xf numFmtId="0" fontId="94" fillId="7" borderId="48" xfId="4" applyFont="1" applyFill="1" applyBorder="1" applyAlignment="1">
      <alignment horizontal="center" vertical="center"/>
    </xf>
    <xf numFmtId="0" fontId="104" fillId="0" borderId="40" xfId="4" applyFont="1" applyBorder="1" applyAlignment="1">
      <alignment vertical="center"/>
    </xf>
    <xf numFmtId="0" fontId="36" fillId="5" borderId="23" xfId="4" applyFont="1" applyFill="1" applyBorder="1" applyAlignment="1">
      <alignment vertical="center"/>
    </xf>
    <xf numFmtId="0" fontId="94" fillId="7" borderId="47" xfId="4" applyFont="1" applyFill="1" applyBorder="1" applyAlignment="1">
      <alignment horizontal="center" vertical="center"/>
    </xf>
    <xf numFmtId="0" fontId="101" fillId="7" borderId="40" xfId="4" applyFont="1" applyFill="1" applyBorder="1" applyAlignment="1">
      <alignment horizontal="center" vertical="center"/>
    </xf>
    <xf numFmtId="0" fontId="94" fillId="7" borderId="23" xfId="4" applyFont="1" applyFill="1" applyBorder="1" applyAlignment="1">
      <alignment horizontal="center" vertical="center"/>
    </xf>
    <xf numFmtId="0" fontId="120" fillId="0" borderId="23" xfId="0" applyFont="1" applyBorder="1" applyAlignment="1">
      <alignment horizontal="center" vertical="center"/>
    </xf>
    <xf numFmtId="0" fontId="120" fillId="6" borderId="23" xfId="5" applyFont="1" applyFill="1" applyBorder="1" applyAlignment="1">
      <alignment horizontal="center" vertical="center" wrapText="1"/>
    </xf>
    <xf numFmtId="0" fontId="120" fillId="0" borderId="36" xfId="0" applyFont="1" applyBorder="1" applyAlignment="1">
      <alignment horizontal="center" vertical="center"/>
    </xf>
    <xf numFmtId="0" fontId="120" fillId="0" borderId="33" xfId="0" applyFont="1" applyBorder="1" applyAlignment="1">
      <alignment horizontal="center" vertical="center"/>
    </xf>
    <xf numFmtId="0" fontId="120" fillId="0" borderId="40" xfId="0" applyFont="1" applyBorder="1" applyAlignment="1">
      <alignment horizontal="center" vertical="center"/>
    </xf>
    <xf numFmtId="0" fontId="120" fillId="0" borderId="23" xfId="0" applyFont="1" applyBorder="1" applyAlignment="1">
      <alignment horizontal="center" vertical="center" wrapText="1"/>
    </xf>
    <xf numFmtId="0" fontId="120" fillId="0" borderId="46" xfId="0" applyFont="1" applyBorder="1" applyAlignment="1">
      <alignment horizontal="center" vertical="center"/>
    </xf>
    <xf numFmtId="0" fontId="120" fillId="0" borderId="34" xfId="0" applyFont="1" applyBorder="1" applyAlignment="1">
      <alignment horizontal="center" vertical="center"/>
    </xf>
    <xf numFmtId="0" fontId="137" fillId="0" borderId="36" xfId="0" applyFont="1" applyBorder="1" applyAlignment="1">
      <alignment horizontal="center" vertical="center"/>
    </xf>
    <xf numFmtId="0" fontId="137" fillId="0" borderId="33" xfId="0" applyFont="1" applyBorder="1" applyAlignment="1">
      <alignment horizontal="center" vertical="center"/>
    </xf>
    <xf numFmtId="0" fontId="120" fillId="6" borderId="37" xfId="5" applyFont="1" applyFill="1" applyBorder="1" applyAlignment="1">
      <alignment horizontal="center" vertical="center" wrapText="1"/>
    </xf>
    <xf numFmtId="0" fontId="120" fillId="6" borderId="43" xfId="5" applyFont="1" applyFill="1" applyBorder="1" applyAlignment="1">
      <alignment horizontal="center" vertical="center" wrapText="1"/>
    </xf>
    <xf numFmtId="0" fontId="120" fillId="6" borderId="44" xfId="5" applyFont="1" applyFill="1" applyBorder="1" applyAlignment="1">
      <alignment horizontal="center" vertical="center" wrapText="1"/>
    </xf>
    <xf numFmtId="0" fontId="115" fillId="0" borderId="28" xfId="5" applyFont="1" applyBorder="1" applyAlignment="1">
      <alignment horizontal="center" vertical="center" wrapText="1"/>
    </xf>
    <xf numFmtId="0" fontId="115" fillId="0" borderId="2" xfId="5" applyFont="1" applyBorder="1" applyAlignment="1">
      <alignment horizontal="center" vertical="center" wrapText="1"/>
    </xf>
    <xf numFmtId="0" fontId="120" fillId="0" borderId="37" xfId="5" applyFont="1" applyBorder="1" applyAlignment="1">
      <alignment horizontal="center" vertical="center" wrapText="1"/>
    </xf>
    <xf numFmtId="0" fontId="120" fillId="0" borderId="43" xfId="5" applyFont="1" applyBorder="1" applyAlignment="1">
      <alignment horizontal="center" vertical="center" wrapText="1"/>
    </xf>
    <xf numFmtId="0" fontId="120" fillId="0" borderId="44" xfId="5" applyFont="1" applyBorder="1" applyAlignment="1">
      <alignment horizontal="center" vertical="center" wrapText="1"/>
    </xf>
    <xf numFmtId="0" fontId="115" fillId="6" borderId="28" xfId="4" applyFont="1" applyFill="1" applyBorder="1" applyAlignment="1">
      <alignment horizontal="center" vertical="center"/>
    </xf>
    <xf numFmtId="0" fontId="115" fillId="6" borderId="3" xfId="4" applyFont="1" applyFill="1" applyBorder="1" applyAlignment="1">
      <alignment horizontal="center" vertical="center"/>
    </xf>
    <xf numFmtId="0" fontId="120" fillId="0" borderId="23" xfId="5" applyFont="1" applyBorder="1" applyAlignment="1">
      <alignment horizontal="center" vertical="center" wrapText="1"/>
    </xf>
    <xf numFmtId="0" fontId="115" fillId="6" borderId="2" xfId="4" applyFont="1" applyFill="1" applyBorder="1" applyAlignment="1">
      <alignment horizontal="center" vertical="center"/>
    </xf>
    <xf numFmtId="0" fontId="120" fillId="6" borderId="23" xfId="5" applyFont="1" applyFill="1" applyBorder="1" applyAlignment="1">
      <alignment horizontal="center" vertical="center"/>
    </xf>
    <xf numFmtId="0" fontId="115" fillId="0" borderId="3" xfId="5" applyFont="1" applyBorder="1" applyAlignment="1">
      <alignment horizontal="center" vertical="center" wrapText="1"/>
    </xf>
    <xf numFmtId="0" fontId="116" fillId="0" borderId="28" xfId="5" applyFont="1" applyBorder="1" applyAlignment="1">
      <alignment horizontal="center" vertical="center" wrapText="1"/>
    </xf>
    <xf numFmtId="0" fontId="116" fillId="0" borderId="2" xfId="5" applyFont="1" applyBorder="1" applyAlignment="1">
      <alignment horizontal="center" vertical="center" wrapText="1"/>
    </xf>
    <xf numFmtId="0" fontId="116" fillId="0" borderId="3" xfId="5" applyFont="1" applyBorder="1" applyAlignment="1">
      <alignment horizontal="center" vertical="center" wrapText="1"/>
    </xf>
    <xf numFmtId="0" fontId="115" fillId="0" borderId="29" xfId="5" applyFont="1" applyBorder="1" applyAlignment="1">
      <alignment horizontal="center" vertical="center" wrapText="1"/>
    </xf>
    <xf numFmtId="0" fontId="115" fillId="0" borderId="7" xfId="5" applyFont="1" applyBorder="1" applyAlignment="1">
      <alignment horizontal="center" vertical="center" wrapText="1"/>
    </xf>
    <xf numFmtId="0" fontId="115" fillId="0" borderId="4" xfId="5" applyFont="1" applyBorder="1" applyAlignment="1">
      <alignment horizontal="center" vertical="center" wrapText="1"/>
    </xf>
    <xf numFmtId="0" fontId="120" fillId="0" borderId="28" xfId="5" applyFont="1" applyBorder="1" applyAlignment="1">
      <alignment horizontal="center" vertical="center" wrapText="1"/>
    </xf>
    <xf numFmtId="0" fontId="120" fillId="0" borderId="2" xfId="5" applyFont="1" applyBorder="1" applyAlignment="1">
      <alignment horizontal="center" vertical="center" wrapText="1"/>
    </xf>
    <xf numFmtId="0" fontId="120" fillId="0" borderId="3" xfId="5" applyFont="1" applyBorder="1" applyAlignment="1">
      <alignment horizontal="center" vertical="center" wrapText="1"/>
    </xf>
    <xf numFmtId="0" fontId="120" fillId="6" borderId="28" xfId="5" applyFont="1" applyFill="1" applyBorder="1" applyAlignment="1">
      <alignment horizontal="center" vertical="center" wrapText="1"/>
    </xf>
    <xf numFmtId="0" fontId="120" fillId="6" borderId="2" xfId="5" applyFont="1" applyFill="1" applyBorder="1" applyAlignment="1">
      <alignment horizontal="center" vertical="center" wrapText="1"/>
    </xf>
    <xf numFmtId="0" fontId="120" fillId="0" borderId="35" xfId="5" applyFont="1" applyBorder="1" applyAlignment="1">
      <alignment horizontal="center" vertical="center" wrapText="1"/>
    </xf>
    <xf numFmtId="0" fontId="120" fillId="0" borderId="34" xfId="5" applyFont="1" applyBorder="1" applyAlignment="1">
      <alignment horizontal="center" vertical="center" wrapText="1"/>
    </xf>
    <xf numFmtId="0" fontId="120" fillId="6" borderId="36" xfId="5" applyFont="1" applyFill="1" applyBorder="1" applyAlignment="1">
      <alignment horizontal="center" vertical="center" wrapText="1"/>
    </xf>
    <xf numFmtId="0" fontId="120" fillId="6" borderId="33" xfId="5" applyFont="1" applyFill="1" applyBorder="1" applyAlignment="1">
      <alignment horizontal="center" vertical="center" wrapText="1"/>
    </xf>
    <xf numFmtId="0" fontId="120" fillId="6" borderId="40" xfId="5" applyFont="1" applyFill="1" applyBorder="1" applyAlignment="1">
      <alignment horizontal="center" vertical="center" wrapText="1"/>
    </xf>
    <xf numFmtId="0" fontId="120" fillId="0" borderId="32" xfId="5" applyFont="1" applyBorder="1" applyAlignment="1">
      <alignment horizontal="center" vertical="center" wrapText="1"/>
    </xf>
    <xf numFmtId="0" fontId="120" fillId="0" borderId="33" xfId="5" applyFont="1" applyBorder="1" applyAlignment="1">
      <alignment horizontal="center" vertical="center" wrapText="1"/>
    </xf>
    <xf numFmtId="0" fontId="115" fillId="0" borderId="33" xfId="5" applyFont="1" applyBorder="1" applyAlignment="1">
      <alignment horizontal="center" vertical="center" wrapText="1"/>
    </xf>
    <xf numFmtId="0" fontId="115" fillId="0" borderId="1" xfId="5" applyFont="1" applyBorder="1" applyAlignment="1">
      <alignment horizontal="center" vertical="center" wrapText="1"/>
    </xf>
    <xf numFmtId="0" fontId="117" fillId="5" borderId="1" xfId="4" applyFont="1" applyFill="1" applyBorder="1" applyAlignment="1">
      <alignment vertical="center"/>
    </xf>
    <xf numFmtId="0" fontId="129" fillId="3" borderId="1" xfId="5" applyFont="1" applyFill="1" applyBorder="1" applyAlignment="1">
      <alignment horizontal="center" vertical="center"/>
    </xf>
    <xf numFmtId="0" fontId="117" fillId="6" borderId="5" xfId="5" applyFont="1" applyFill="1" applyBorder="1" applyAlignment="1">
      <alignment horizontal="left"/>
    </xf>
    <xf numFmtId="0" fontId="115" fillId="6" borderId="28" xfId="5" applyFont="1" applyFill="1" applyBorder="1" applyAlignment="1">
      <alignment horizontal="center" vertical="center" wrapText="1"/>
    </xf>
    <xf numFmtId="0" fontId="115" fillId="6" borderId="2" xfId="5" applyFont="1" applyFill="1" applyBorder="1" applyAlignment="1">
      <alignment horizontal="center" vertical="center" wrapText="1"/>
    </xf>
    <xf numFmtId="0" fontId="115" fillId="6" borderId="3" xfId="5" applyFont="1" applyFill="1" applyBorder="1" applyAlignment="1">
      <alignment horizontal="center" vertical="center" wrapText="1"/>
    </xf>
    <xf numFmtId="0" fontId="115" fillId="6" borderId="28" xfId="4" applyFont="1" applyFill="1" applyBorder="1" applyAlignment="1">
      <alignment horizontal="center" vertical="center" wrapText="1"/>
    </xf>
    <xf numFmtId="0" fontId="115" fillId="6" borderId="2" xfId="4" applyFont="1" applyFill="1" applyBorder="1" applyAlignment="1">
      <alignment horizontal="center" vertical="center" wrapText="1"/>
    </xf>
    <xf numFmtId="0" fontId="115" fillId="6" borderId="3" xfId="4" applyFont="1" applyFill="1" applyBorder="1" applyAlignment="1">
      <alignment horizontal="center" vertical="center" wrapText="1"/>
    </xf>
    <xf numFmtId="0" fontId="115" fillId="6" borderId="1" xfId="4" applyFont="1" applyFill="1" applyBorder="1" applyAlignment="1">
      <alignment horizontal="center" vertical="center"/>
    </xf>
    <xf numFmtId="0" fontId="115" fillId="0" borderId="35" xfId="5" applyFont="1" applyBorder="1" applyAlignment="1">
      <alignment horizontal="center" vertical="center" wrapText="1"/>
    </xf>
    <xf numFmtId="0" fontId="115" fillId="0" borderId="34" xfId="5" applyFont="1" applyBorder="1" applyAlignment="1">
      <alignment horizontal="center" vertical="center" wrapText="1"/>
    </xf>
    <xf numFmtId="0" fontId="115" fillId="0" borderId="32" xfId="5" applyFont="1" applyBorder="1" applyAlignment="1">
      <alignment horizontal="center" vertical="center" wrapText="1"/>
    </xf>
    <xf numFmtId="170" fontId="113" fillId="7" borderId="29" xfId="1" applyNumberFormat="1" applyFont="1" applyFill="1" applyBorder="1" applyAlignment="1">
      <alignment horizontal="center"/>
    </xf>
    <xf numFmtId="170" fontId="113" fillId="7" borderId="19" xfId="1" applyNumberFormat="1" applyFont="1" applyFill="1" applyBorder="1" applyAlignment="1">
      <alignment horizontal="center"/>
    </xf>
    <xf numFmtId="3" fontId="4" fillId="0" borderId="23" xfId="1" applyNumberFormat="1" applyFont="1" applyBorder="1" applyAlignment="1">
      <alignment horizontal="center" vertical="center"/>
    </xf>
    <xf numFmtId="0" fontId="30" fillId="0" borderId="29" xfId="4" applyFont="1" applyBorder="1" applyAlignment="1">
      <alignment horizontal="center" vertical="center"/>
    </xf>
    <xf numFmtId="0" fontId="30" fillId="0" borderId="25" xfId="4" applyFont="1" applyBorder="1" applyAlignment="1">
      <alignment horizontal="center" vertical="center"/>
    </xf>
    <xf numFmtId="0" fontId="30" fillId="0" borderId="38" xfId="4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20" xfId="5" applyFont="1" applyBorder="1" applyAlignment="1">
      <alignment horizontal="center" vertical="center"/>
    </xf>
    <xf numFmtId="0" fontId="30" fillId="0" borderId="18" xfId="5" applyFont="1" applyBorder="1" applyAlignment="1">
      <alignment horizontal="center" vertical="center"/>
    </xf>
    <xf numFmtId="0" fontId="30" fillId="0" borderId="21" xfId="5" applyFont="1" applyBorder="1" applyAlignment="1">
      <alignment horizontal="center" vertical="center"/>
    </xf>
    <xf numFmtId="0" fontId="114" fillId="0" borderId="23" xfId="4" applyFont="1" applyBorder="1" applyAlignment="1">
      <alignment vertical="center"/>
    </xf>
    <xf numFmtId="0" fontId="30" fillId="0" borderId="20" xfId="4" applyFont="1" applyBorder="1" applyAlignment="1">
      <alignment horizontal="center" vertical="center"/>
    </xf>
    <xf numFmtId="0" fontId="30" fillId="0" borderId="21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0" borderId="4" xfId="4" applyFont="1" applyBorder="1" applyAlignment="1">
      <alignment horizontal="center" vertical="center"/>
    </xf>
    <xf numFmtId="0" fontId="30" fillId="0" borderId="6" xfId="4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0" fontId="18" fillId="7" borderId="20" xfId="5" applyFont="1" applyFill="1" applyBorder="1" applyAlignment="1">
      <alignment horizontal="center" vertical="top" wrapText="1"/>
    </xf>
    <xf numFmtId="0" fontId="18" fillId="7" borderId="21" xfId="5" applyFont="1" applyFill="1" applyBorder="1" applyAlignment="1">
      <alignment horizontal="center" vertical="top" wrapText="1"/>
    </xf>
    <xf numFmtId="0" fontId="18" fillId="5" borderId="1" xfId="4" applyFont="1" applyFill="1" applyBorder="1" applyAlignment="1">
      <alignment vertical="center"/>
    </xf>
    <xf numFmtId="0" fontId="18" fillId="7" borderId="20" xfId="4" applyFont="1" applyFill="1" applyBorder="1" applyAlignment="1">
      <alignment horizontal="center" vertical="center"/>
    </xf>
    <xf numFmtId="0" fontId="18" fillId="7" borderId="18" xfId="4" applyFont="1" applyFill="1" applyBorder="1" applyAlignment="1">
      <alignment horizontal="center" vertical="center"/>
    </xf>
    <xf numFmtId="0" fontId="18" fillId="7" borderId="21" xfId="4" applyFont="1" applyFill="1" applyBorder="1" applyAlignment="1">
      <alignment horizontal="center" vertical="center"/>
    </xf>
    <xf numFmtId="0" fontId="117" fillId="7" borderId="23" xfId="4" applyFont="1" applyFill="1" applyBorder="1" applyAlignment="1">
      <alignment horizontal="center" vertical="center"/>
    </xf>
    <xf numFmtId="22" fontId="30" fillId="0" borderId="28" xfId="4" applyNumberFormat="1" applyFont="1" applyBorder="1" applyAlignment="1">
      <alignment horizontal="center" vertical="center"/>
    </xf>
    <xf numFmtId="22" fontId="30" fillId="0" borderId="3" xfId="4" applyNumberFormat="1" applyFont="1" applyBorder="1" applyAlignment="1">
      <alignment horizontal="center" vertical="center"/>
    </xf>
    <xf numFmtId="0" fontId="30" fillId="0" borderId="7" xfId="4" applyFont="1" applyBorder="1" applyAlignment="1">
      <alignment horizontal="center" vertical="center"/>
    </xf>
    <xf numFmtId="0" fontId="30" fillId="0" borderId="8" xfId="4" applyFont="1" applyBorder="1" applyAlignment="1">
      <alignment horizontal="center" vertical="center"/>
    </xf>
    <xf numFmtId="0" fontId="18" fillId="7" borderId="4" xfId="4" applyFont="1" applyFill="1" applyBorder="1" applyAlignment="1">
      <alignment horizontal="center" vertical="center"/>
    </xf>
    <xf numFmtId="0" fontId="18" fillId="7" borderId="5" xfId="4" applyFont="1" applyFill="1" applyBorder="1" applyAlignment="1">
      <alignment horizontal="center" vertical="center"/>
    </xf>
    <xf numFmtId="22" fontId="140" fillId="0" borderId="28" xfId="4" applyNumberFormat="1" applyFont="1" applyBorder="1" applyAlignment="1">
      <alignment horizontal="center" vertical="center"/>
    </xf>
    <xf numFmtId="0" fontId="22" fillId="0" borderId="20" xfId="4" applyFont="1" applyBorder="1" applyAlignment="1">
      <alignment horizontal="center" vertical="center"/>
    </xf>
    <xf numFmtId="0" fontId="22" fillId="0" borderId="21" xfId="4" applyFont="1" applyBorder="1" applyAlignment="1">
      <alignment horizontal="center" vertical="center"/>
    </xf>
    <xf numFmtId="170" fontId="113" fillId="7" borderId="23" xfId="1" applyNumberFormat="1" applyFont="1" applyFill="1" applyBorder="1" applyAlignment="1">
      <alignment horizontal="center"/>
    </xf>
  </cellXfs>
  <cellStyles count="205">
    <cellStyle name="20% - ส่วนที่ถูกเน้น1" xfId="23" xr:uid="{00000000-0005-0000-0000-000000000000}"/>
    <cellStyle name="20% - ส่วนที่ถูกเน้น1 2" xfId="164" xr:uid="{00000000-0005-0000-0000-000001000000}"/>
    <cellStyle name="20% - ส่วนที่ถูกเน้น2" xfId="17" xr:uid="{00000000-0005-0000-0000-000002000000}"/>
    <cellStyle name="20% - ส่วนที่ถูกเน้น2 2" xfId="162" xr:uid="{00000000-0005-0000-0000-000003000000}"/>
    <cellStyle name="20% - ส่วนที่ถูกเน้น3" xfId="24" xr:uid="{00000000-0005-0000-0000-000004000000}"/>
    <cellStyle name="20% - ส่วนที่ถูกเน้น3 2" xfId="165" xr:uid="{00000000-0005-0000-0000-000005000000}"/>
    <cellStyle name="20% - ส่วนที่ถูกเน้น4" xfId="25" xr:uid="{00000000-0005-0000-0000-000006000000}"/>
    <cellStyle name="20% - ส่วนที่ถูกเน้น4 2" xfId="166" xr:uid="{00000000-0005-0000-0000-000007000000}"/>
    <cellStyle name="20% - ส่วนที่ถูกเน้น5" xfId="27" xr:uid="{00000000-0005-0000-0000-000008000000}"/>
    <cellStyle name="20% - ส่วนที่ถูกเน้น5 2" xfId="167" xr:uid="{00000000-0005-0000-0000-000009000000}"/>
    <cellStyle name="20% - ส่วนที่ถูกเน้น6" xfId="12" xr:uid="{00000000-0005-0000-0000-00000A000000}"/>
    <cellStyle name="20% - ส่วนที่ถูกเน้น6 2" xfId="159" xr:uid="{00000000-0005-0000-0000-00000B000000}"/>
    <cellStyle name="40% - ส่วนที่ถูกเน้น1" xfId="22" xr:uid="{00000000-0005-0000-0000-00000C000000}"/>
    <cellStyle name="40% - ส่วนที่ถูกเน้น1 2" xfId="163" xr:uid="{00000000-0005-0000-0000-00000D000000}"/>
    <cellStyle name="40% - ส่วนที่ถูกเน้น2" xfId="10" xr:uid="{00000000-0005-0000-0000-00000E000000}"/>
    <cellStyle name="40% - ส่วนที่ถูกเน้น2 2" xfId="158" xr:uid="{00000000-0005-0000-0000-00000F000000}"/>
    <cellStyle name="40% - ส่วนที่ถูกเน้น3" xfId="14" xr:uid="{00000000-0005-0000-0000-000010000000}"/>
    <cellStyle name="40% - ส่วนที่ถูกเน้น3 2" xfId="161" xr:uid="{00000000-0005-0000-0000-000011000000}"/>
    <cellStyle name="40% - ส่วนที่ถูกเน้น4" xfId="13" xr:uid="{00000000-0005-0000-0000-000012000000}"/>
    <cellStyle name="40% - ส่วนที่ถูกเน้น4 2" xfId="160" xr:uid="{00000000-0005-0000-0000-000013000000}"/>
    <cellStyle name="40% - ส่วนที่ถูกเน้น5" xfId="28" xr:uid="{00000000-0005-0000-0000-000014000000}"/>
    <cellStyle name="40% - ส่วนที่ถูกเน้น5 2" xfId="168" xr:uid="{00000000-0005-0000-0000-000015000000}"/>
    <cellStyle name="40% - ส่วนที่ถูกเน้น6" xfId="30" xr:uid="{00000000-0005-0000-0000-000016000000}"/>
    <cellStyle name="40% - ส่วนที่ถูกเน้น6 2" xfId="169" xr:uid="{00000000-0005-0000-0000-000017000000}"/>
    <cellStyle name="60% - ส่วนที่ถูกเน้น1" xfId="26" xr:uid="{00000000-0005-0000-0000-000018000000}"/>
    <cellStyle name="60% - ส่วนที่ถูกเน้น2" xfId="11" xr:uid="{00000000-0005-0000-0000-000019000000}"/>
    <cellStyle name="60% - ส่วนที่ถูกเน้น3" xfId="31" xr:uid="{00000000-0005-0000-0000-00001A000000}"/>
    <cellStyle name="60% - ส่วนที่ถูกเน้น4" xfId="32" xr:uid="{00000000-0005-0000-0000-00001B000000}"/>
    <cellStyle name="60% - ส่วนที่ถูกเน้น5" xfId="33" xr:uid="{00000000-0005-0000-0000-00001C000000}"/>
    <cellStyle name="60% - ส่วนที่ถูกเน้น6" xfId="35" xr:uid="{00000000-0005-0000-0000-00001D000000}"/>
    <cellStyle name="Comma" xfId="1" builtinId="3"/>
    <cellStyle name="Comma [0] 2" xfId="36" xr:uid="{00000000-0005-0000-0000-00001F000000}"/>
    <cellStyle name="Comma [0] 2 2" xfId="38" xr:uid="{00000000-0005-0000-0000-000020000000}"/>
    <cellStyle name="Comma [0] 3" xfId="40" xr:uid="{00000000-0005-0000-0000-000021000000}"/>
    <cellStyle name="Comma [0] 4" xfId="43" xr:uid="{00000000-0005-0000-0000-000022000000}"/>
    <cellStyle name="Comma 10" xfId="44" xr:uid="{00000000-0005-0000-0000-000023000000}"/>
    <cellStyle name="Comma 11" xfId="45" xr:uid="{00000000-0005-0000-0000-000024000000}"/>
    <cellStyle name="Comma 11 2" xfId="46" xr:uid="{00000000-0005-0000-0000-000025000000}"/>
    <cellStyle name="Comma 11 3" xfId="47" xr:uid="{00000000-0005-0000-0000-000026000000}"/>
    <cellStyle name="Comma 12" xfId="48" xr:uid="{00000000-0005-0000-0000-000027000000}"/>
    <cellStyle name="Comma 13" xfId="49" xr:uid="{00000000-0005-0000-0000-000028000000}"/>
    <cellStyle name="Comma 13 2" xfId="50" xr:uid="{00000000-0005-0000-0000-000029000000}"/>
    <cellStyle name="Comma 13 3" xfId="51" xr:uid="{00000000-0005-0000-0000-00002A000000}"/>
    <cellStyle name="Comma 13 4" xfId="52" xr:uid="{00000000-0005-0000-0000-00002B000000}"/>
    <cellStyle name="Comma 14" xfId="53" xr:uid="{00000000-0005-0000-0000-00002C000000}"/>
    <cellStyle name="Comma 15" xfId="55" xr:uid="{00000000-0005-0000-0000-00002D000000}"/>
    <cellStyle name="Comma 16" xfId="57" xr:uid="{00000000-0005-0000-0000-00002E000000}"/>
    <cellStyle name="Comma 16 2" xfId="172" xr:uid="{00000000-0005-0000-0000-00002F000000}"/>
    <cellStyle name="Comma 17" xfId="59" xr:uid="{00000000-0005-0000-0000-000030000000}"/>
    <cellStyle name="Comma 17 2" xfId="174" xr:uid="{00000000-0005-0000-0000-000031000000}"/>
    <cellStyle name="Comma 18" xfId="60" xr:uid="{00000000-0005-0000-0000-000032000000}"/>
    <cellStyle name="Comma 18 2" xfId="175" xr:uid="{00000000-0005-0000-0000-000033000000}"/>
    <cellStyle name="Comma 19" xfId="61" xr:uid="{00000000-0005-0000-0000-000034000000}"/>
    <cellStyle name="Comma 19 2" xfId="62" xr:uid="{00000000-0005-0000-0000-000035000000}"/>
    <cellStyle name="Comma 19 2 2" xfId="63" xr:uid="{00000000-0005-0000-0000-000036000000}"/>
    <cellStyle name="Comma 19 2 2 2" xfId="178" xr:uid="{00000000-0005-0000-0000-000037000000}"/>
    <cellStyle name="Comma 19 2 2 2 2" xfId="154" xr:uid="{00000000-0005-0000-0000-000038000000}"/>
    <cellStyle name="Comma 19 2 2 2 2 2" xfId="155" xr:uid="{00000000-0005-0000-0000-000039000000}"/>
    <cellStyle name="Comma 19 2 2 2 3" xfId="156" xr:uid="{00000000-0005-0000-0000-00003A000000}"/>
    <cellStyle name="Comma 19 2 3" xfId="177" xr:uid="{00000000-0005-0000-0000-00003B000000}"/>
    <cellStyle name="Comma 19 3" xfId="64" xr:uid="{00000000-0005-0000-0000-00003C000000}"/>
    <cellStyle name="Comma 19 3 2" xfId="179" xr:uid="{00000000-0005-0000-0000-00003D000000}"/>
    <cellStyle name="Comma 19 4" xfId="176" xr:uid="{00000000-0005-0000-0000-00003E000000}"/>
    <cellStyle name="Comma 19 4 3" xfId="153" xr:uid="{00000000-0005-0000-0000-00003F000000}"/>
    <cellStyle name="Comma 2" xfId="65" xr:uid="{00000000-0005-0000-0000-000040000000}"/>
    <cellStyle name="Comma 2 2" xfId="66" xr:uid="{00000000-0005-0000-0000-000041000000}"/>
    <cellStyle name="Comma 2 2 2" xfId="67" xr:uid="{00000000-0005-0000-0000-000042000000}"/>
    <cellStyle name="Comma 2 2 3" xfId="68" xr:uid="{00000000-0005-0000-0000-000043000000}"/>
    <cellStyle name="Comma 2 3" xfId="69" xr:uid="{00000000-0005-0000-0000-000044000000}"/>
    <cellStyle name="Comma 20" xfId="54" xr:uid="{00000000-0005-0000-0000-000045000000}"/>
    <cellStyle name="Comma 21" xfId="56" xr:uid="{00000000-0005-0000-0000-000046000000}"/>
    <cellStyle name="Comma 22" xfId="58" xr:uid="{00000000-0005-0000-0000-000047000000}"/>
    <cellStyle name="Comma 22 2" xfId="173" xr:uid="{00000000-0005-0000-0000-000048000000}"/>
    <cellStyle name="Comma 23" xfId="157" xr:uid="{00000000-0005-0000-0000-000049000000}"/>
    <cellStyle name="Comma 24" xfId="7" xr:uid="{00000000-0005-0000-0000-00004A000000}"/>
    <cellStyle name="Comma 3" xfId="70" xr:uid="{00000000-0005-0000-0000-00004B000000}"/>
    <cellStyle name="Comma 3 2" xfId="71" xr:uid="{00000000-0005-0000-0000-00004C000000}"/>
    <cellStyle name="Comma 3 2 2" xfId="72" xr:uid="{00000000-0005-0000-0000-00004D000000}"/>
    <cellStyle name="Comma 3 2 3" xfId="73" xr:uid="{00000000-0005-0000-0000-00004E000000}"/>
    <cellStyle name="Comma 3 3" xfId="74" xr:uid="{00000000-0005-0000-0000-00004F000000}"/>
    <cellStyle name="Comma 3 4" xfId="75" xr:uid="{00000000-0005-0000-0000-000050000000}"/>
    <cellStyle name="Comma 4" xfId="76" xr:uid="{00000000-0005-0000-0000-000051000000}"/>
    <cellStyle name="Comma 4 2" xfId="77" xr:uid="{00000000-0005-0000-0000-000052000000}"/>
    <cellStyle name="Comma 5" xfId="78" xr:uid="{00000000-0005-0000-0000-000053000000}"/>
    <cellStyle name="Comma 5 2" xfId="79" xr:uid="{00000000-0005-0000-0000-000054000000}"/>
    <cellStyle name="Comma 6" xfId="80" xr:uid="{00000000-0005-0000-0000-000055000000}"/>
    <cellStyle name="Comma 6 2" xfId="81" xr:uid="{00000000-0005-0000-0000-000056000000}"/>
    <cellStyle name="Comma 7" xfId="82" xr:uid="{00000000-0005-0000-0000-000057000000}"/>
    <cellStyle name="Comma 8" xfId="83" xr:uid="{00000000-0005-0000-0000-000058000000}"/>
    <cellStyle name="Comma 9" xfId="84" xr:uid="{00000000-0005-0000-0000-000059000000}"/>
    <cellStyle name="Currency" xfId="3" builtinId="4"/>
    <cellStyle name="Currency 2" xfId="85" xr:uid="{00000000-0005-0000-0000-00005B000000}"/>
    <cellStyle name="Currency 2 2" xfId="34" xr:uid="{00000000-0005-0000-0000-00005C000000}"/>
    <cellStyle name="Currency 2 2 2" xfId="86" xr:uid="{00000000-0005-0000-0000-00005D000000}"/>
    <cellStyle name="Currency 2 3" xfId="88" xr:uid="{00000000-0005-0000-0000-00005E000000}"/>
    <cellStyle name="Currency 3" xfId="89" xr:uid="{00000000-0005-0000-0000-00005F000000}"/>
    <cellStyle name="Currency 4" xfId="90" xr:uid="{00000000-0005-0000-0000-000060000000}"/>
    <cellStyle name="Normal" xfId="0" builtinId="0"/>
    <cellStyle name="Normal 10" xfId="91" xr:uid="{00000000-0005-0000-0000-000062000000}"/>
    <cellStyle name="Normal 10 2" xfId="180" xr:uid="{00000000-0005-0000-0000-000063000000}"/>
    <cellStyle name="Normal 11" xfId="92" xr:uid="{00000000-0005-0000-0000-000064000000}"/>
    <cellStyle name="Normal 11 2" xfId="181" xr:uid="{00000000-0005-0000-0000-000065000000}"/>
    <cellStyle name="Normal 12" xfId="93" xr:uid="{00000000-0005-0000-0000-000066000000}"/>
    <cellStyle name="Normal 12 2" xfId="182" xr:uid="{00000000-0005-0000-0000-000067000000}"/>
    <cellStyle name="Normal 13" xfId="2" xr:uid="{00000000-0005-0000-0000-000068000000}"/>
    <cellStyle name="Normal 13 2" xfId="183" xr:uid="{00000000-0005-0000-0000-000069000000}"/>
    <cellStyle name="Normal 13 3" xfId="8" xr:uid="{00000000-0005-0000-0000-00006A000000}"/>
    <cellStyle name="Normal 14" xfId="94" xr:uid="{00000000-0005-0000-0000-00006B000000}"/>
    <cellStyle name="Normal 14 2" xfId="95" xr:uid="{00000000-0005-0000-0000-00006C000000}"/>
    <cellStyle name="Normal 15" xfId="96" xr:uid="{00000000-0005-0000-0000-00006D000000}"/>
    <cellStyle name="Normal 16" xfId="97" xr:uid="{00000000-0005-0000-0000-00006E000000}"/>
    <cellStyle name="Normal 16 2" xfId="184" xr:uid="{00000000-0005-0000-0000-00006F000000}"/>
    <cellStyle name="Normal 17" xfId="6" xr:uid="{00000000-0005-0000-0000-000070000000}"/>
    <cellStyle name="Normal 2" xfId="98" xr:uid="{00000000-0005-0000-0000-000071000000}"/>
    <cellStyle name="Normal 2 2" xfId="29" xr:uid="{00000000-0005-0000-0000-000072000000}"/>
    <cellStyle name="Normal 2 2 2" xfId="99" xr:uid="{00000000-0005-0000-0000-000073000000}"/>
    <cellStyle name="Normal 2 3" xfId="5" xr:uid="{00000000-0005-0000-0000-000074000000}"/>
    <cellStyle name="Normal 2 4" xfId="100" xr:uid="{00000000-0005-0000-0000-000075000000}"/>
    <cellStyle name="Normal 2 4 2" xfId="101" xr:uid="{00000000-0005-0000-0000-000076000000}"/>
    <cellStyle name="Normal 2 4 2 2" xfId="187" xr:uid="{00000000-0005-0000-0000-000077000000}"/>
    <cellStyle name="Normal 2 4 3" xfId="186" xr:uid="{00000000-0005-0000-0000-000078000000}"/>
    <cellStyle name="Normal 2 5" xfId="102" xr:uid="{00000000-0005-0000-0000-000079000000}"/>
    <cellStyle name="Normal 2 5 2" xfId="188" xr:uid="{00000000-0005-0000-0000-00007A000000}"/>
    <cellStyle name="Normal 2 6" xfId="185" xr:uid="{00000000-0005-0000-0000-00007B000000}"/>
    <cellStyle name="Normal 2_Barge Line up August 17, 2012" xfId="103" xr:uid="{00000000-0005-0000-0000-00007C000000}"/>
    <cellStyle name="Normal 3" xfId="104" xr:uid="{00000000-0005-0000-0000-00007D000000}"/>
    <cellStyle name="Normal 3 2" xfId="105" xr:uid="{00000000-0005-0000-0000-00007E000000}"/>
    <cellStyle name="Normal 3 2 2" xfId="190" xr:uid="{00000000-0005-0000-0000-00007F000000}"/>
    <cellStyle name="Normal 3 3" xfId="189" xr:uid="{00000000-0005-0000-0000-000080000000}"/>
    <cellStyle name="Normal 4" xfId="106" xr:uid="{00000000-0005-0000-0000-000081000000}"/>
    <cellStyle name="Normal 4 2" xfId="107" xr:uid="{00000000-0005-0000-0000-000082000000}"/>
    <cellStyle name="Normal 4 3" xfId="108" xr:uid="{00000000-0005-0000-0000-000083000000}"/>
    <cellStyle name="Normal 4 3 2" xfId="110" xr:uid="{00000000-0005-0000-0000-000084000000}"/>
    <cellStyle name="Normal 4 3 2 2" xfId="193" xr:uid="{00000000-0005-0000-0000-000085000000}"/>
    <cellStyle name="Normal 4 3 3" xfId="192" xr:uid="{00000000-0005-0000-0000-000086000000}"/>
    <cellStyle name="Normal 4 4" xfId="111" xr:uid="{00000000-0005-0000-0000-000087000000}"/>
    <cellStyle name="Normal 4 4 2" xfId="194" xr:uid="{00000000-0005-0000-0000-000088000000}"/>
    <cellStyle name="Normal 4 5" xfId="191" xr:uid="{00000000-0005-0000-0000-000089000000}"/>
    <cellStyle name="Normal 5" xfId="112" xr:uid="{00000000-0005-0000-0000-00008A000000}"/>
    <cellStyle name="Normal 5 2" xfId="195" xr:uid="{00000000-0005-0000-0000-00008B000000}"/>
    <cellStyle name="Normal 6" xfId="113" xr:uid="{00000000-0005-0000-0000-00008C000000}"/>
    <cellStyle name="Normal 7" xfId="114" xr:uid="{00000000-0005-0000-0000-00008D000000}"/>
    <cellStyle name="Normal 7 2" xfId="15" xr:uid="{00000000-0005-0000-0000-00008E000000}"/>
    <cellStyle name="Normal 7 3" xfId="115" xr:uid="{00000000-0005-0000-0000-00008F000000}"/>
    <cellStyle name="Normal 8" xfId="116" xr:uid="{00000000-0005-0000-0000-000090000000}"/>
    <cellStyle name="Normal 8 2" xfId="196" xr:uid="{00000000-0005-0000-0000-000091000000}"/>
    <cellStyle name="Normal 9" xfId="4" xr:uid="{00000000-0005-0000-0000-000092000000}"/>
    <cellStyle name="Normal 9 2" xfId="39" xr:uid="{00000000-0005-0000-0000-000093000000}"/>
    <cellStyle name="Normal 9 2 2" xfId="117" xr:uid="{00000000-0005-0000-0000-000094000000}"/>
    <cellStyle name="Normal 9 2 2 2" xfId="118" xr:uid="{00000000-0005-0000-0000-000095000000}"/>
    <cellStyle name="Normal 9 2 2 2 2" xfId="199" xr:uid="{00000000-0005-0000-0000-000096000000}"/>
    <cellStyle name="Normal 9 2 2 3" xfId="198" xr:uid="{00000000-0005-0000-0000-000097000000}"/>
    <cellStyle name="Normal 9 2 3" xfId="170" xr:uid="{00000000-0005-0000-0000-000098000000}"/>
    <cellStyle name="Normal 9 3" xfId="42" xr:uid="{00000000-0005-0000-0000-000099000000}"/>
    <cellStyle name="Normal 9 3 2" xfId="119" xr:uid="{00000000-0005-0000-0000-00009A000000}"/>
    <cellStyle name="Normal 9 3 2 2" xfId="120" xr:uid="{00000000-0005-0000-0000-00009B000000}"/>
    <cellStyle name="Normal 9 3 2 2 2" xfId="201" xr:uid="{00000000-0005-0000-0000-00009C000000}"/>
    <cellStyle name="Normal 9 3 2 3" xfId="200" xr:uid="{00000000-0005-0000-0000-00009D000000}"/>
    <cellStyle name="Normal 9 3 3" xfId="171" xr:uid="{00000000-0005-0000-0000-00009E000000}"/>
    <cellStyle name="Normal 9 4" xfId="121" xr:uid="{00000000-0005-0000-0000-00009F000000}"/>
    <cellStyle name="Normal 9 4 2" xfId="202" xr:uid="{00000000-0005-0000-0000-0000A0000000}"/>
    <cellStyle name="Normal 9 5" xfId="197" xr:uid="{00000000-0005-0000-0000-0000A1000000}"/>
    <cellStyle name="outline" xfId="122" xr:uid="{00000000-0005-0000-0000-0000A2000000}"/>
    <cellStyle name="outline 2" xfId="123" xr:uid="{00000000-0005-0000-0000-0000A3000000}"/>
    <cellStyle name="outline 2 2" xfId="204" xr:uid="{00000000-0005-0000-0000-0000A4000000}"/>
    <cellStyle name="outline 3" xfId="203" xr:uid="{00000000-0005-0000-0000-0000A5000000}"/>
    <cellStyle name="Percent 2" xfId="124" xr:uid="{00000000-0005-0000-0000-0000A6000000}"/>
    <cellStyle name="Percent 2 2" xfId="125" xr:uid="{00000000-0005-0000-0000-0000A7000000}"/>
    <cellStyle name="Percent 3" xfId="126" xr:uid="{00000000-0005-0000-0000-0000A8000000}"/>
    <cellStyle name="Percent 4" xfId="9" xr:uid="{00000000-0005-0000-0000-0000A9000000}"/>
    <cellStyle name="เซลล์ตรวจสอบ" xfId="127" xr:uid="{00000000-0005-0000-0000-0000AA000000}"/>
    <cellStyle name="เซลล์ที่มีการเชื่อมโยง" xfId="128" xr:uid="{00000000-0005-0000-0000-0000AB000000}"/>
    <cellStyle name="แย่" xfId="129" xr:uid="{00000000-0005-0000-0000-0000AC000000}"/>
    <cellStyle name="แสดงผล" xfId="21" xr:uid="{00000000-0005-0000-0000-0000AD000000}"/>
    <cellStyle name="แสดงผล 2" xfId="130" xr:uid="{00000000-0005-0000-0000-0000AE000000}"/>
    <cellStyle name="แสดงผล 3" xfId="131" xr:uid="{00000000-0005-0000-0000-0000AF000000}"/>
    <cellStyle name="การคำนวณ" xfId="132" xr:uid="{00000000-0005-0000-0000-0000B0000000}"/>
    <cellStyle name="การคำนวณ 2" xfId="133" xr:uid="{00000000-0005-0000-0000-0000B1000000}"/>
    <cellStyle name="การคำนวณ 3" xfId="134" xr:uid="{00000000-0005-0000-0000-0000B2000000}"/>
    <cellStyle name="ข้อความเตือน" xfId="87" xr:uid="{00000000-0005-0000-0000-0000B3000000}"/>
    <cellStyle name="ข้อความอธิบาย" xfId="135" xr:uid="{00000000-0005-0000-0000-0000B4000000}"/>
    <cellStyle name="ชื่อเรื่อง" xfId="136" xr:uid="{00000000-0005-0000-0000-0000B5000000}"/>
    <cellStyle name="ดี" xfId="41" xr:uid="{00000000-0005-0000-0000-0000B6000000}"/>
    <cellStyle name="ปกติ_DEM-DES (KTD-TCM) 2005" xfId="137" xr:uid="{00000000-0005-0000-0000-0000B7000000}"/>
    <cellStyle name="ป้อนค่า" xfId="19" xr:uid="{00000000-0005-0000-0000-0000B8000000}"/>
    <cellStyle name="ป้อนค่า 2" xfId="138" xr:uid="{00000000-0005-0000-0000-0000B9000000}"/>
    <cellStyle name="ป้อนค่า 3" xfId="139" xr:uid="{00000000-0005-0000-0000-0000BA000000}"/>
    <cellStyle name="ปานกลาง" xfId="16" xr:uid="{00000000-0005-0000-0000-0000BB000000}"/>
    <cellStyle name="ผลรวม" xfId="140" xr:uid="{00000000-0005-0000-0000-0000BC000000}"/>
    <cellStyle name="ผลรวม 2" xfId="20" xr:uid="{00000000-0005-0000-0000-0000BD000000}"/>
    <cellStyle name="ผลรวม 3" xfId="18" xr:uid="{00000000-0005-0000-0000-0000BE000000}"/>
    <cellStyle name="ส่วนที่ถูกเน้น1" xfId="141" xr:uid="{00000000-0005-0000-0000-0000BF000000}"/>
    <cellStyle name="ส่วนที่ถูกเน้น2" xfId="142" xr:uid="{00000000-0005-0000-0000-0000C0000000}"/>
    <cellStyle name="ส่วนที่ถูกเน้น3" xfId="143" xr:uid="{00000000-0005-0000-0000-0000C1000000}"/>
    <cellStyle name="ส่วนที่ถูกเน้น4" xfId="144" xr:uid="{00000000-0005-0000-0000-0000C2000000}"/>
    <cellStyle name="ส่วนที่ถูกเน้น5" xfId="145" xr:uid="{00000000-0005-0000-0000-0000C3000000}"/>
    <cellStyle name="ส่วนที่ถูกเน้น6" xfId="146" xr:uid="{00000000-0005-0000-0000-0000C4000000}"/>
    <cellStyle name="หมายเหตุ" xfId="147" xr:uid="{00000000-0005-0000-0000-0000C5000000}"/>
    <cellStyle name="หมายเหตุ 2" xfId="148" xr:uid="{00000000-0005-0000-0000-0000C6000000}"/>
    <cellStyle name="หมายเหตุ 3" xfId="149" xr:uid="{00000000-0005-0000-0000-0000C7000000}"/>
    <cellStyle name="หัวเรื่อง 1" xfId="109" xr:uid="{00000000-0005-0000-0000-0000C8000000}"/>
    <cellStyle name="หัวเรื่อง 2" xfId="150" xr:uid="{00000000-0005-0000-0000-0000C9000000}"/>
    <cellStyle name="หัวเรื่อง 3" xfId="151" xr:uid="{00000000-0005-0000-0000-0000CA000000}"/>
    <cellStyle name="หัวเรื่อง 4" xfId="37" xr:uid="{00000000-0005-0000-0000-0000CB000000}"/>
    <cellStyle name="一般_STWG-PLAN-DI" xfId="152" xr:uid="{00000000-0005-0000-0000-0000CC000000}"/>
  </cellStyles>
  <dxfs count="0"/>
  <tableStyles count="0" defaultTableStyle="TableStyleMedium2" defaultPivotStyle="PivotStyleLight16"/>
  <colors>
    <mruColors>
      <color rgb="FF66FF33"/>
      <color rgb="FF0000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PTOP%20BARU/SOS/2020/SOS%20Report_2021-12-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%20download/Barge%20Line%20Up/Barge%20Line%20Up%202023-2405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lity"/>
      <sheetName val="Validation"/>
      <sheetName val="ALLMineSource"/>
      <sheetName val="Sheet1"/>
      <sheetName val="Sheet1 (2)"/>
      <sheetName val="Total Revenue.Tonnage "/>
      <sheetName val="Pivot"/>
      <sheetName val="SOS Report_2021-12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F &amp; AGENT INFO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KA PUTRA WISUDAYASA" id="{C34E7EE8-DB82-4F31-A06E-E4F2A1466994}" userId="S::eka_wisudayasa@banpuindo.co.id::77775afe-823e-4734-bb54-1b4955f235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80" dT="2023-09-14T12:59:28.06" personId="{C34E7EE8-DB82-4F31-A06E-E4F2A1466994}" id="{B40C57DD-0A60-4F3F-91A6-F72F0165AD7E}">
    <text>Unload by Liebher</text>
  </threadedComment>
  <threadedComment ref="G257" dT="2023-09-17T11:15:08.05" personId="{C34E7EE8-DB82-4F31-A06E-E4F2A1466994}" id="{0715CDB8-A8E3-4877-98C1-8F64CDAB0201}">
    <text>Unload by Liebher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120"/>
  <sheetViews>
    <sheetView topLeftCell="A2" zoomScale="55" zoomScaleNormal="55" workbookViewId="0">
      <selection activeCell="E12" sqref="E12"/>
    </sheetView>
  </sheetViews>
  <sheetFormatPr defaultColWidth="9.33203125" defaultRowHeight="13.8"/>
  <cols>
    <col min="1" max="1" width="5.44140625" style="21" customWidth="1"/>
    <col min="2" max="2" width="10.5546875" style="21" bestFit="1" customWidth="1"/>
    <col min="3" max="3" width="1.5546875" style="25" bestFit="1" customWidth="1"/>
    <col min="4" max="4" width="29.5546875" style="21" customWidth="1"/>
    <col min="5" max="5" width="1.33203125" style="21" customWidth="1"/>
    <col min="6" max="6" width="43.5546875" style="21" bestFit="1" customWidth="1"/>
    <col min="7" max="7" width="1.33203125" style="21" customWidth="1"/>
    <col min="8" max="8" width="28" style="21" bestFit="1" customWidth="1"/>
    <col min="9" max="16384" width="9.33203125" style="21"/>
  </cols>
  <sheetData>
    <row r="2" spans="2:8" s="20" customFormat="1" ht="25.5" customHeight="1">
      <c r="B2" s="370" t="s">
        <v>0</v>
      </c>
      <c r="C2" s="370"/>
      <c r="D2" s="371" t="s">
        <v>1</v>
      </c>
      <c r="E2" s="371"/>
      <c r="F2" s="370" t="s">
        <v>2</v>
      </c>
      <c r="G2" s="371"/>
      <c r="H2" s="370" t="s">
        <v>3</v>
      </c>
    </row>
    <row r="3" spans="2:8">
      <c r="B3" s="23" t="s">
        <v>4</v>
      </c>
      <c r="C3" s="67"/>
      <c r="D3" s="19" t="s">
        <v>5</v>
      </c>
      <c r="E3" s="19"/>
      <c r="F3" s="19" t="s">
        <v>6</v>
      </c>
      <c r="G3" s="19"/>
      <c r="H3" s="22" t="s">
        <v>7</v>
      </c>
    </row>
    <row r="4" spans="2:8">
      <c r="B4" s="64" t="s">
        <v>8</v>
      </c>
      <c r="C4" s="1200"/>
      <c r="D4" s="19" t="s">
        <v>9</v>
      </c>
      <c r="E4" s="19"/>
      <c r="F4" s="19" t="s">
        <v>10</v>
      </c>
      <c r="G4" s="19"/>
      <c r="H4" s="22" t="s">
        <v>11</v>
      </c>
    </row>
    <row r="5" spans="2:8">
      <c r="B5" s="64" t="s">
        <v>12</v>
      </c>
      <c r="C5" s="1200"/>
      <c r="D5" s="19" t="s">
        <v>13</v>
      </c>
      <c r="E5" s="19"/>
      <c r="F5" s="19" t="s">
        <v>14</v>
      </c>
      <c r="G5" s="19"/>
      <c r="H5" s="22" t="s">
        <v>15</v>
      </c>
    </row>
    <row r="6" spans="2:8">
      <c r="B6" s="23" t="s">
        <v>16</v>
      </c>
      <c r="C6" s="1200"/>
      <c r="D6" s="19" t="s">
        <v>17</v>
      </c>
      <c r="E6" s="19"/>
      <c r="F6" s="19" t="s">
        <v>18</v>
      </c>
      <c r="G6" s="19"/>
      <c r="H6" s="22" t="s">
        <v>19</v>
      </c>
    </row>
    <row r="7" spans="2:8">
      <c r="B7" s="23" t="s">
        <v>20</v>
      </c>
      <c r="C7" s="1200"/>
      <c r="D7" s="19" t="s">
        <v>21</v>
      </c>
      <c r="E7" s="19"/>
      <c r="F7" s="19" t="s">
        <v>22</v>
      </c>
      <c r="G7" s="19"/>
      <c r="H7" s="22" t="s">
        <v>23</v>
      </c>
    </row>
    <row r="8" spans="2:8">
      <c r="B8" s="23" t="s">
        <v>24</v>
      </c>
      <c r="C8" s="1200"/>
      <c r="D8" s="19" t="s">
        <v>25</v>
      </c>
      <c r="E8" s="19"/>
      <c r="F8" s="19" t="s">
        <v>26</v>
      </c>
      <c r="G8" s="19"/>
    </row>
    <row r="9" spans="2:8">
      <c r="B9" s="64" t="s">
        <v>27</v>
      </c>
      <c r="C9" s="1200"/>
      <c r="D9" s="19" t="s">
        <v>28</v>
      </c>
      <c r="E9" s="22"/>
      <c r="F9" s="19" t="s">
        <v>29</v>
      </c>
      <c r="G9" s="22"/>
    </row>
    <row r="10" spans="2:8">
      <c r="B10" s="64"/>
      <c r="C10" s="1200"/>
      <c r="D10" s="19" t="s">
        <v>30</v>
      </c>
      <c r="E10" s="19"/>
      <c r="F10" s="19" t="s">
        <v>31</v>
      </c>
      <c r="G10" s="19"/>
    </row>
    <row r="11" spans="2:8">
      <c r="B11" s="64"/>
      <c r="C11" s="1200"/>
      <c r="D11" s="19" t="s">
        <v>32</v>
      </c>
      <c r="E11" s="19"/>
      <c r="F11" s="19" t="s">
        <v>33</v>
      </c>
      <c r="G11" s="19"/>
    </row>
    <row r="12" spans="2:8">
      <c r="B12" s="64"/>
      <c r="C12" s="1200"/>
      <c r="D12" s="19" t="s">
        <v>34</v>
      </c>
      <c r="E12" s="19"/>
      <c r="F12" s="19" t="s">
        <v>35</v>
      </c>
      <c r="G12" s="19"/>
    </row>
    <row r="13" spans="2:8">
      <c r="B13" s="64"/>
      <c r="C13" s="1200"/>
      <c r="D13" s="19" t="s">
        <v>36</v>
      </c>
      <c r="E13" s="19"/>
      <c r="F13" s="19" t="s">
        <v>35</v>
      </c>
      <c r="G13" s="19"/>
    </row>
    <row r="14" spans="2:8">
      <c r="B14" s="64"/>
      <c r="C14" s="1200"/>
      <c r="D14" s="19" t="s">
        <v>37</v>
      </c>
      <c r="E14" s="19"/>
      <c r="F14" s="19" t="s">
        <v>38</v>
      </c>
      <c r="G14" s="19"/>
    </row>
    <row r="15" spans="2:8">
      <c r="B15" s="64"/>
      <c r="C15" s="1200"/>
      <c r="D15" s="19" t="s">
        <v>39</v>
      </c>
      <c r="E15" s="19"/>
      <c r="F15" s="19" t="s">
        <v>40</v>
      </c>
      <c r="G15" s="19"/>
    </row>
    <row r="16" spans="2:8">
      <c r="B16" s="64"/>
      <c r="C16" s="1200"/>
      <c r="D16" s="19" t="s">
        <v>41</v>
      </c>
      <c r="E16" s="19"/>
      <c r="F16" s="19" t="s">
        <v>42</v>
      </c>
      <c r="G16" s="19"/>
    </row>
    <row r="17" spans="2:7">
      <c r="B17" s="23"/>
      <c r="C17" s="67"/>
      <c r="D17" s="19" t="s">
        <v>43</v>
      </c>
      <c r="E17" s="19"/>
      <c r="F17" s="19" t="s">
        <v>44</v>
      </c>
      <c r="G17" s="19"/>
    </row>
    <row r="18" spans="2:7">
      <c r="B18" s="23"/>
      <c r="C18" s="67"/>
      <c r="D18" s="19" t="s">
        <v>45</v>
      </c>
      <c r="E18" s="22"/>
      <c r="F18" s="19" t="s">
        <v>46</v>
      </c>
      <c r="G18" s="22"/>
    </row>
    <row r="19" spans="2:7">
      <c r="B19" s="23"/>
      <c r="C19" s="67"/>
      <c r="D19" s="19" t="s">
        <v>47</v>
      </c>
      <c r="E19" s="22"/>
      <c r="F19" s="19" t="s">
        <v>48</v>
      </c>
      <c r="G19" s="22"/>
    </row>
    <row r="20" spans="2:7">
      <c r="D20" s="19" t="s">
        <v>49</v>
      </c>
      <c r="E20" s="22"/>
      <c r="F20" s="19" t="s">
        <v>50</v>
      </c>
      <c r="G20" s="22"/>
    </row>
    <row r="21" spans="2:7">
      <c r="D21" s="19" t="s">
        <v>51</v>
      </c>
      <c r="F21" s="19" t="s">
        <v>52</v>
      </c>
    </row>
    <row r="22" spans="2:7">
      <c r="B22" s="22"/>
      <c r="C22" s="24"/>
      <c r="D22" s="19" t="s">
        <v>53</v>
      </c>
      <c r="E22" s="22"/>
      <c r="F22" s="19" t="s">
        <v>54</v>
      </c>
      <c r="G22" s="22"/>
    </row>
    <row r="23" spans="2:7">
      <c r="B23" s="22"/>
      <c r="C23" s="24"/>
      <c r="D23" s="19" t="s">
        <v>55</v>
      </c>
      <c r="E23" s="22"/>
      <c r="F23" s="19" t="s">
        <v>56</v>
      </c>
      <c r="G23" s="22"/>
    </row>
    <row r="24" spans="2:7">
      <c r="B24" s="22"/>
      <c r="C24" s="24"/>
      <c r="D24" s="19" t="s">
        <v>57</v>
      </c>
      <c r="E24" s="22"/>
      <c r="F24" s="19" t="s">
        <v>58</v>
      </c>
      <c r="G24" s="22"/>
    </row>
    <row r="25" spans="2:7">
      <c r="B25" s="22"/>
      <c r="C25" s="24"/>
      <c r="D25" s="19" t="s">
        <v>59</v>
      </c>
      <c r="E25" s="22"/>
      <c r="F25" s="19" t="s">
        <v>60</v>
      </c>
      <c r="G25" s="22"/>
    </row>
    <row r="26" spans="2:7">
      <c r="B26" s="22"/>
      <c r="C26" s="24"/>
      <c r="D26" s="19" t="s">
        <v>61</v>
      </c>
      <c r="E26" s="22"/>
      <c r="F26" s="19" t="s">
        <v>62</v>
      </c>
      <c r="G26" s="22"/>
    </row>
    <row r="27" spans="2:7">
      <c r="D27" s="19" t="s">
        <v>63</v>
      </c>
      <c r="F27" s="19" t="s">
        <v>64</v>
      </c>
    </row>
    <row r="28" spans="2:7">
      <c r="B28" s="22"/>
      <c r="C28" s="24"/>
      <c r="D28" s="19" t="s">
        <v>65</v>
      </c>
      <c r="F28" s="19" t="s">
        <v>64</v>
      </c>
    </row>
    <row r="29" spans="2:7">
      <c r="B29" s="22"/>
      <c r="C29" s="24"/>
      <c r="D29" s="19" t="s">
        <v>66</v>
      </c>
    </row>
    <row r="30" spans="2:7">
      <c r="B30" s="22"/>
      <c r="C30" s="24"/>
      <c r="D30" s="19" t="s">
        <v>67</v>
      </c>
    </row>
    <row r="31" spans="2:7">
      <c r="B31" s="22"/>
      <c r="C31" s="24"/>
      <c r="D31" s="19" t="s">
        <v>68</v>
      </c>
    </row>
    <row r="32" spans="2:7">
      <c r="B32" s="22"/>
      <c r="C32" s="24"/>
      <c r="D32" s="19" t="s">
        <v>69</v>
      </c>
    </row>
    <row r="120" spans="7:7" ht="14.4">
      <c r="G120" s="1" t="s">
        <v>70</v>
      </c>
    </row>
  </sheetData>
  <mergeCells count="2">
    <mergeCell ref="C10:C16"/>
    <mergeCell ref="C4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FFFF00"/>
  </sheetPr>
  <dimension ref="B2:AA37"/>
  <sheetViews>
    <sheetView topLeftCell="H1" workbookViewId="0">
      <selection activeCell="X4" sqref="X4:AA6"/>
    </sheetView>
  </sheetViews>
  <sheetFormatPr defaultColWidth="9.33203125" defaultRowHeight="10.199999999999999"/>
  <cols>
    <col min="1" max="1" width="1.44140625" style="217" customWidth="1"/>
    <col min="2" max="2" width="34" style="217" customWidth="1"/>
    <col min="3" max="7" width="7.5546875" style="217" customWidth="1"/>
    <col min="8" max="8" width="11.6640625" style="217" customWidth="1"/>
    <col min="9" max="19" width="7.5546875" style="217" customWidth="1"/>
    <col min="20" max="23" width="9.33203125" style="217"/>
    <col min="24" max="24" width="14" style="217" bestFit="1" customWidth="1"/>
    <col min="25" max="25" width="12.6640625" style="217" bestFit="1" customWidth="1"/>
    <col min="26" max="26" width="11.5546875" style="217" bestFit="1" customWidth="1"/>
    <col min="27" max="27" width="10.5546875" style="217" bestFit="1" customWidth="1"/>
    <col min="28" max="16384" width="9.33203125" style="217"/>
  </cols>
  <sheetData>
    <row r="2" spans="2:27">
      <c r="B2" s="372" t="s">
        <v>71</v>
      </c>
      <c r="C2" s="565" t="s">
        <v>72</v>
      </c>
      <c r="D2" s="565" t="s">
        <v>73</v>
      </c>
      <c r="E2" s="565" t="s">
        <v>74</v>
      </c>
      <c r="F2" s="373" t="s">
        <v>75</v>
      </c>
      <c r="G2" s="373" t="s">
        <v>76</v>
      </c>
      <c r="H2" s="565" t="s">
        <v>77</v>
      </c>
      <c r="I2" s="373" t="s">
        <v>78</v>
      </c>
      <c r="J2" s="373" t="s">
        <v>79</v>
      </c>
      <c r="K2" s="374" t="s">
        <v>80</v>
      </c>
      <c r="L2" s="374" t="s">
        <v>81</v>
      </c>
      <c r="M2" s="374" t="s">
        <v>82</v>
      </c>
      <c r="N2" s="374" t="s">
        <v>83</v>
      </c>
      <c r="O2" s="374" t="s">
        <v>84</v>
      </c>
      <c r="P2" s="374" t="s">
        <v>85</v>
      </c>
      <c r="Q2" s="374" t="s">
        <v>86</v>
      </c>
      <c r="R2" s="374" t="s">
        <v>87</v>
      </c>
      <c r="S2" s="374" t="s">
        <v>88</v>
      </c>
    </row>
    <row r="3" spans="2:27">
      <c r="B3" s="375" t="s">
        <v>89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</row>
    <row r="4" spans="2:27" ht="14.4">
      <c r="B4" s="377" t="s">
        <v>90</v>
      </c>
      <c r="C4" s="376">
        <v>43</v>
      </c>
      <c r="D4" s="376">
        <v>41</v>
      </c>
      <c r="E4" s="378">
        <v>41</v>
      </c>
      <c r="F4" s="376">
        <v>10</v>
      </c>
      <c r="G4" s="376">
        <v>10</v>
      </c>
      <c r="H4" s="376">
        <v>8</v>
      </c>
      <c r="I4" s="376">
        <v>5</v>
      </c>
      <c r="J4" s="376">
        <v>5</v>
      </c>
      <c r="K4" s="376"/>
      <c r="L4" s="376"/>
      <c r="M4" s="376"/>
      <c r="N4" s="376"/>
      <c r="O4" s="376"/>
      <c r="P4" s="376"/>
      <c r="Q4" s="376"/>
      <c r="R4" s="376"/>
      <c r="S4" s="376"/>
      <c r="X4" s="379" t="s">
        <v>91</v>
      </c>
      <c r="Y4" s="379" t="s">
        <v>92</v>
      </c>
      <c r="Z4" s="379" t="s">
        <v>93</v>
      </c>
      <c r="AA4" s="379" t="s">
        <v>94</v>
      </c>
    </row>
    <row r="5" spans="2:27" ht="14.4">
      <c r="B5" s="377" t="s">
        <v>95</v>
      </c>
      <c r="C5" s="380"/>
      <c r="D5" s="380"/>
      <c r="E5" s="380"/>
      <c r="F5" s="380"/>
      <c r="G5" s="380"/>
      <c r="H5" s="380"/>
      <c r="I5" s="380"/>
      <c r="J5" s="380"/>
      <c r="K5" s="376">
        <v>3</v>
      </c>
      <c r="L5" s="376">
        <v>5</v>
      </c>
      <c r="M5" s="376">
        <v>5</v>
      </c>
      <c r="N5" s="376">
        <v>5</v>
      </c>
      <c r="O5" s="376">
        <v>20</v>
      </c>
      <c r="P5" s="376">
        <v>96</v>
      </c>
      <c r="Q5" s="376">
        <v>41</v>
      </c>
      <c r="R5" s="376">
        <v>17</v>
      </c>
      <c r="S5" s="376">
        <v>113</v>
      </c>
      <c r="X5" s="381">
        <v>45212.777777777854</v>
      </c>
      <c r="Y5" s="381">
        <v>45213.3125</v>
      </c>
      <c r="Z5" s="382">
        <f>(Y5-X5)*24</f>
        <v>12.833333331509493</v>
      </c>
      <c r="AA5" s="382">
        <f>Z5/3</f>
        <v>4.2777777771698311</v>
      </c>
    </row>
    <row r="6" spans="2:27" ht="14.4">
      <c r="B6" s="383"/>
      <c r="C6" s="380"/>
      <c r="D6" s="380"/>
      <c r="E6" s="380"/>
      <c r="F6" s="380"/>
      <c r="G6" s="380"/>
      <c r="H6" s="380"/>
      <c r="I6" s="380"/>
      <c r="J6" s="380"/>
      <c r="K6" s="376"/>
      <c r="L6" s="376"/>
      <c r="M6" s="376"/>
      <c r="N6" s="376"/>
      <c r="O6" s="376"/>
      <c r="P6" s="376"/>
      <c r="Q6" s="376"/>
      <c r="R6" s="376"/>
      <c r="S6" s="376"/>
      <c r="X6" s="576"/>
      <c r="Y6" s="384" t="s">
        <v>96</v>
      </c>
      <c r="Z6" s="385">
        <f>SUM(Z5:Z5)</f>
        <v>12.833333331509493</v>
      </c>
      <c r="AA6" s="385">
        <f>SUM(AA5:AA5)</f>
        <v>4.2777777771698311</v>
      </c>
    </row>
    <row r="7" spans="2:27">
      <c r="B7" s="377" t="s">
        <v>97</v>
      </c>
      <c r="C7" s="380"/>
      <c r="D7" s="380"/>
      <c r="E7" s="380"/>
      <c r="F7" s="380"/>
      <c r="G7" s="380"/>
      <c r="H7" s="380"/>
      <c r="I7" s="380"/>
      <c r="J7" s="380"/>
      <c r="K7" s="376"/>
      <c r="L7" s="376"/>
      <c r="M7" s="376"/>
      <c r="N7" s="376"/>
      <c r="O7" s="376">
        <v>40</v>
      </c>
      <c r="P7" s="376">
        <f>P5+17</f>
        <v>113</v>
      </c>
      <c r="Q7" s="376">
        <v>24</v>
      </c>
      <c r="R7" s="376">
        <v>1</v>
      </c>
      <c r="S7" s="376">
        <v>96</v>
      </c>
    </row>
    <row r="8" spans="2:27">
      <c r="B8" s="364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</row>
    <row r="9" spans="2:27">
      <c r="B9" s="386" t="s">
        <v>98</v>
      </c>
      <c r="C9" s="1209" t="s">
        <v>99</v>
      </c>
      <c r="D9" s="1209"/>
      <c r="E9" s="1209"/>
      <c r="F9" s="1209"/>
      <c r="G9" s="1209"/>
      <c r="H9" s="1209"/>
      <c r="I9" s="1209"/>
      <c r="J9" s="1209"/>
    </row>
    <row r="10" spans="2:27">
      <c r="B10" s="565" t="s">
        <v>72</v>
      </c>
      <c r="C10" s="376">
        <v>43</v>
      </c>
      <c r="D10" s="376"/>
      <c r="E10" s="376"/>
      <c r="F10" s="376"/>
      <c r="G10" s="376"/>
      <c r="H10" s="376"/>
      <c r="I10" s="376"/>
      <c r="J10" s="376"/>
      <c r="K10" s="218"/>
      <c r="L10" s="218"/>
    </row>
    <row r="11" spans="2:27">
      <c r="B11" s="565" t="s">
        <v>73</v>
      </c>
      <c r="C11" s="376"/>
      <c r="D11" s="376">
        <v>41</v>
      </c>
      <c r="E11" s="376"/>
      <c r="F11" s="376"/>
      <c r="G11" s="376"/>
      <c r="H11" s="376"/>
      <c r="I11" s="376"/>
      <c r="J11" s="376"/>
      <c r="K11" s="218"/>
      <c r="L11" s="218"/>
    </row>
    <row r="12" spans="2:27">
      <c r="B12" s="565" t="s">
        <v>74</v>
      </c>
      <c r="C12" s="376"/>
      <c r="D12" s="376"/>
      <c r="E12" s="376">
        <v>41</v>
      </c>
      <c r="F12" s="376"/>
      <c r="G12" s="376"/>
      <c r="H12" s="376"/>
      <c r="I12" s="376"/>
      <c r="J12" s="376"/>
      <c r="K12" s="218"/>
      <c r="L12" s="218"/>
    </row>
    <row r="13" spans="2:27">
      <c r="B13" s="373" t="s">
        <v>75</v>
      </c>
      <c r="C13" s="376"/>
      <c r="D13" s="376"/>
      <c r="E13" s="376"/>
      <c r="F13" s="376">
        <v>10</v>
      </c>
      <c r="G13" s="376"/>
      <c r="H13" s="376"/>
      <c r="I13" s="376"/>
      <c r="J13" s="376"/>
      <c r="K13" s="218"/>
      <c r="L13" s="218"/>
    </row>
    <row r="14" spans="2:27">
      <c r="B14" s="373" t="s">
        <v>76</v>
      </c>
      <c r="C14" s="376"/>
      <c r="D14" s="376"/>
      <c r="E14" s="376"/>
      <c r="F14" s="376"/>
      <c r="G14" s="376">
        <v>10</v>
      </c>
      <c r="H14" s="376"/>
      <c r="I14" s="376"/>
      <c r="J14" s="376"/>
      <c r="K14" s="218"/>
      <c r="L14" s="218"/>
    </row>
    <row r="15" spans="2:27">
      <c r="B15" s="565" t="s">
        <v>77</v>
      </c>
      <c r="C15" s="376"/>
      <c r="D15" s="376"/>
      <c r="E15" s="376"/>
      <c r="F15" s="376"/>
      <c r="G15" s="376"/>
      <c r="H15" s="376">
        <v>8</v>
      </c>
      <c r="I15" s="376"/>
      <c r="J15" s="376"/>
      <c r="K15" s="218"/>
      <c r="L15" s="218"/>
    </row>
    <row r="16" spans="2:27">
      <c r="B16" s="373" t="s">
        <v>78</v>
      </c>
      <c r="C16" s="376"/>
      <c r="D16" s="376"/>
      <c r="E16" s="376"/>
      <c r="F16" s="376"/>
      <c r="G16" s="376"/>
      <c r="H16" s="376"/>
      <c r="I16" s="376">
        <v>5</v>
      </c>
      <c r="J16" s="376"/>
      <c r="K16" s="218"/>
      <c r="L16" s="218"/>
    </row>
    <row r="17" spans="2:19">
      <c r="B17" s="373" t="s">
        <v>100</v>
      </c>
      <c r="C17" s="376"/>
      <c r="D17" s="376"/>
      <c r="E17" s="376"/>
      <c r="F17" s="376"/>
      <c r="G17" s="376"/>
      <c r="H17" s="376"/>
      <c r="I17" s="376"/>
      <c r="J17" s="376">
        <v>5</v>
      </c>
      <c r="K17" s="218"/>
      <c r="L17" s="218"/>
    </row>
    <row r="18" spans="2:19">
      <c r="B18" s="364"/>
      <c r="C18" s="365"/>
      <c r="D18" s="365"/>
      <c r="E18" s="365"/>
      <c r="F18" s="365"/>
      <c r="G18" s="365"/>
      <c r="H18" s="365"/>
      <c r="I18" s="365"/>
      <c r="J18" s="365"/>
      <c r="K18" s="218"/>
      <c r="L18" s="218"/>
    </row>
    <row r="19" spans="2:19" ht="11.25" customHeight="1">
      <c r="B19" s="386" t="s">
        <v>101</v>
      </c>
      <c r="C19" s="1209" t="s">
        <v>102</v>
      </c>
      <c r="D19" s="1209"/>
      <c r="E19" s="1209"/>
      <c r="F19" s="1209"/>
      <c r="G19" s="1209"/>
      <c r="H19" s="1209"/>
      <c r="I19" s="1209"/>
      <c r="J19" s="1209"/>
      <c r="K19" s="1209"/>
      <c r="L19" s="1209"/>
      <c r="M19" s="1209"/>
      <c r="N19" s="1209"/>
      <c r="O19" s="1209"/>
    </row>
    <row r="20" spans="2:19" ht="11.25" customHeight="1">
      <c r="B20" s="1211" t="s">
        <v>103</v>
      </c>
      <c r="C20" s="1210" t="s">
        <v>104</v>
      </c>
      <c r="D20" s="1210"/>
      <c r="E20" s="1210"/>
      <c r="F20" s="1210"/>
      <c r="G20" s="1210"/>
      <c r="H20" s="1210"/>
      <c r="I20" s="1210"/>
      <c r="J20" s="1210"/>
      <c r="K20" s="1210"/>
      <c r="L20" s="1210"/>
      <c r="M20" s="1210"/>
      <c r="N20" s="1210"/>
      <c r="O20" s="1210"/>
    </row>
    <row r="21" spans="2:19" ht="11.25" customHeight="1">
      <c r="B21" s="1212"/>
      <c r="C21" s="1210" t="s">
        <v>105</v>
      </c>
      <c r="D21" s="1210"/>
      <c r="E21" s="1210"/>
      <c r="F21" s="1210"/>
      <c r="G21" s="1210"/>
      <c r="H21" s="1210"/>
      <c r="I21" s="1210"/>
      <c r="J21" s="1210"/>
      <c r="K21" s="1210"/>
      <c r="L21" s="1210"/>
      <c r="M21" s="1210"/>
      <c r="N21" s="1210"/>
      <c r="O21" s="1210"/>
    </row>
    <row r="23" spans="2:19" ht="11.25" customHeight="1">
      <c r="B23" s="386" t="s">
        <v>106</v>
      </c>
      <c r="C23" s="566" t="s">
        <v>85</v>
      </c>
      <c r="D23" s="566" t="s">
        <v>107</v>
      </c>
      <c r="E23" s="566" t="s">
        <v>108</v>
      </c>
    </row>
    <row r="24" spans="2:19">
      <c r="B24" s="383" t="s">
        <v>109</v>
      </c>
      <c r="C24" s="376">
        <v>96</v>
      </c>
      <c r="D24" s="376">
        <v>30</v>
      </c>
      <c r="E24" s="376">
        <v>24</v>
      </c>
      <c r="L24" s="218"/>
    </row>
    <row r="25" spans="2:19"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6"/>
      <c r="O25" s="216"/>
    </row>
    <row r="26" spans="2:19">
      <c r="B26" s="380" t="s">
        <v>110</v>
      </c>
      <c r="C26" s="565" t="s">
        <v>72</v>
      </c>
      <c r="D26" s="565" t="s">
        <v>73</v>
      </c>
      <c r="E26" s="565" t="s">
        <v>74</v>
      </c>
      <c r="F26" s="373" t="s">
        <v>75</v>
      </c>
      <c r="G26" s="373" t="s">
        <v>76</v>
      </c>
      <c r="H26" s="565" t="s">
        <v>77</v>
      </c>
      <c r="I26" s="373" t="s">
        <v>78</v>
      </c>
      <c r="J26" s="373" t="s">
        <v>78</v>
      </c>
      <c r="K26" s="374" t="s">
        <v>80</v>
      </c>
      <c r="L26" s="374" t="s">
        <v>81</v>
      </c>
      <c r="M26" s="374" t="s">
        <v>82</v>
      </c>
      <c r="N26" s="374" t="s">
        <v>83</v>
      </c>
      <c r="O26" s="374" t="s">
        <v>84</v>
      </c>
      <c r="P26" s="374" t="s">
        <v>85</v>
      </c>
      <c r="Q26" s="374" t="s">
        <v>86</v>
      </c>
      <c r="R26" s="374" t="s">
        <v>87</v>
      </c>
      <c r="S26" s="374" t="s">
        <v>88</v>
      </c>
    </row>
    <row r="27" spans="2:19">
      <c r="B27" s="387" t="s">
        <v>111</v>
      </c>
      <c r="C27" s="376">
        <f>7500/2000</f>
        <v>3.75</v>
      </c>
      <c r="D27" s="376">
        <f>7500/2000</f>
        <v>3.75</v>
      </c>
      <c r="E27" s="376">
        <f>7500/2000</f>
        <v>3.75</v>
      </c>
      <c r="F27" s="376">
        <v>15</v>
      </c>
      <c r="G27" s="376">
        <v>15</v>
      </c>
      <c r="H27" s="376">
        <v>15</v>
      </c>
      <c r="I27" s="376">
        <v>15</v>
      </c>
      <c r="J27" s="376">
        <v>15</v>
      </c>
      <c r="K27" s="376">
        <v>15</v>
      </c>
      <c r="L27" s="376">
        <v>15</v>
      </c>
      <c r="M27" s="376">
        <v>15</v>
      </c>
      <c r="N27" s="376">
        <v>15</v>
      </c>
      <c r="O27" s="376">
        <v>4</v>
      </c>
      <c r="P27" s="376">
        <v>15</v>
      </c>
      <c r="Q27" s="376">
        <v>4</v>
      </c>
      <c r="R27" s="376">
        <v>4</v>
      </c>
      <c r="S27" s="376">
        <v>20</v>
      </c>
    </row>
    <row r="28" spans="2:19"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</row>
    <row r="29" spans="2:19">
      <c r="B29" s="380" t="s">
        <v>110</v>
      </c>
      <c r="C29" s="1204" t="s">
        <v>85</v>
      </c>
      <c r="D29" s="1206"/>
      <c r="E29" s="567" t="s">
        <v>107</v>
      </c>
      <c r="F29" s="1204" t="s">
        <v>108</v>
      </c>
      <c r="G29" s="1205"/>
      <c r="H29" s="1205"/>
      <c r="I29" s="1205"/>
      <c r="J29" s="1206"/>
      <c r="K29" s="216"/>
      <c r="L29" s="216"/>
      <c r="M29" s="216"/>
      <c r="N29" s="216"/>
      <c r="O29" s="216"/>
      <c r="P29" s="216"/>
    </row>
    <row r="30" spans="2:19">
      <c r="B30" s="380"/>
      <c r="C30" s="568" t="s">
        <v>112</v>
      </c>
      <c r="D30" s="568" t="s">
        <v>45</v>
      </c>
      <c r="E30" s="1207" t="s">
        <v>113</v>
      </c>
      <c r="F30" s="1201" t="s">
        <v>114</v>
      </c>
      <c r="G30" s="1202"/>
      <c r="H30" s="1203"/>
      <c r="I30" s="568" t="s">
        <v>112</v>
      </c>
      <c r="J30" s="568" t="s">
        <v>45</v>
      </c>
      <c r="K30" s="216" t="s">
        <v>115</v>
      </c>
      <c r="M30" s="216"/>
      <c r="N30" s="216"/>
      <c r="O30" s="216"/>
      <c r="P30" s="216"/>
    </row>
    <row r="31" spans="2:19" ht="12.75" customHeight="1">
      <c r="B31" s="380"/>
      <c r="C31" s="568" t="s">
        <v>116</v>
      </c>
      <c r="D31" s="568" t="s">
        <v>116</v>
      </c>
      <c r="E31" s="1208"/>
      <c r="F31" s="568" t="s">
        <v>116</v>
      </c>
      <c r="G31" s="568" t="s">
        <v>117</v>
      </c>
      <c r="H31" s="568" t="s">
        <v>118</v>
      </c>
      <c r="I31" s="568" t="s">
        <v>116</v>
      </c>
      <c r="J31" s="568" t="s">
        <v>116</v>
      </c>
      <c r="K31" s="216" t="s">
        <v>119</v>
      </c>
      <c r="M31" s="216"/>
      <c r="N31" s="216"/>
      <c r="O31" s="216"/>
      <c r="P31" s="216"/>
    </row>
    <row r="32" spans="2:19">
      <c r="B32" s="387" t="s">
        <v>120</v>
      </c>
      <c r="C32" s="376">
        <v>12</v>
      </c>
      <c r="D32" s="376">
        <v>15</v>
      </c>
      <c r="E32" s="376">
        <v>6</v>
      </c>
      <c r="F32" s="376">
        <v>6</v>
      </c>
      <c r="G32" s="376">
        <v>8</v>
      </c>
      <c r="H32" s="376">
        <v>18</v>
      </c>
      <c r="I32" s="376">
        <v>12</v>
      </c>
      <c r="J32" s="376">
        <v>15</v>
      </c>
    </row>
    <row r="33" spans="2:12" ht="9.6" customHeight="1"/>
    <row r="34" spans="2:12" ht="11.25" customHeight="1">
      <c r="B34" s="386" t="s">
        <v>121</v>
      </c>
    </row>
    <row r="35" spans="2:12">
      <c r="B35" s="402" t="s">
        <v>108</v>
      </c>
      <c r="C35" s="376">
        <v>10</v>
      </c>
      <c r="L35" s="218"/>
    </row>
    <row r="36" spans="2:12">
      <c r="B36" s="402" t="s">
        <v>107</v>
      </c>
      <c r="C36" s="376">
        <v>17</v>
      </c>
    </row>
    <row r="37" spans="2:12">
      <c r="B37" s="402" t="s">
        <v>85</v>
      </c>
      <c r="C37" s="376">
        <v>96</v>
      </c>
    </row>
  </sheetData>
  <mergeCells count="9">
    <mergeCell ref="B20:B21"/>
    <mergeCell ref="F30:H30"/>
    <mergeCell ref="F29:J29"/>
    <mergeCell ref="C29:D29"/>
    <mergeCell ref="E30:E31"/>
    <mergeCell ref="C9:J9"/>
    <mergeCell ref="C19:O19"/>
    <mergeCell ref="C20:O20"/>
    <mergeCell ref="C21:O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B152"/>
  <sheetViews>
    <sheetView zoomScale="80" zoomScaleNormal="80" zoomScaleSheetLayoutView="73" workbookViewId="0">
      <pane xSplit="16" ySplit="2" topLeftCell="R3" activePane="bottomRight" state="frozen"/>
      <selection pane="topRight" activeCell="A3" sqref="A3"/>
      <selection pane="bottomLeft" activeCell="A3" sqref="A3"/>
      <selection pane="bottomRight" activeCell="A3" sqref="A3"/>
    </sheetView>
  </sheetViews>
  <sheetFormatPr defaultColWidth="9.33203125" defaultRowHeight="14.4"/>
  <cols>
    <col min="1" max="1" width="12.6640625" style="119" customWidth="1"/>
    <col min="2" max="2" width="7.5546875" style="119" customWidth="1"/>
    <col min="3" max="3" width="7.6640625" style="115" customWidth="1"/>
    <col min="4" max="4" width="6.5546875" style="115" customWidth="1"/>
    <col min="5" max="5" width="21.6640625" style="115" customWidth="1"/>
    <col min="6" max="6" width="10.5546875" style="115" customWidth="1"/>
    <col min="7" max="8" width="13.5546875" style="252" customWidth="1"/>
    <col min="9" max="9" width="11.109375" style="117" customWidth="1"/>
    <col min="10" max="10" width="18.33203125" style="115" customWidth="1"/>
    <col min="11" max="11" width="15.5546875" style="115" customWidth="1"/>
    <col min="12" max="12" width="13.5546875" style="115" customWidth="1"/>
    <col min="13" max="13" width="0.5546875" style="118" customWidth="1"/>
    <col min="14" max="14" width="21.44140625" style="115" customWidth="1"/>
    <col min="15" max="15" width="22" style="115" customWidth="1"/>
    <col min="16" max="16" width="20.6640625" style="115" customWidth="1"/>
    <col min="17" max="17" width="8.5546875" style="117" customWidth="1"/>
    <col min="18" max="18" width="10.33203125" style="117" customWidth="1"/>
    <col min="19" max="19" width="1.33203125" style="117" customWidth="1"/>
    <col min="20" max="20" width="9.6640625" style="115" customWidth="1"/>
    <col min="21" max="21" width="10.33203125" style="115" customWidth="1"/>
    <col min="22" max="22" width="8.5546875" style="115" customWidth="1"/>
    <col min="23" max="23" width="10.33203125" style="115" customWidth="1"/>
    <col min="24" max="24" width="10.109375" style="115" customWidth="1"/>
    <col min="25" max="47" width="8.5546875" style="115" customWidth="1"/>
    <col min="48" max="48" width="15.5546875" style="251" customWidth="1"/>
    <col min="49" max="49" width="16" style="251" customWidth="1"/>
    <col min="50" max="50" width="9.6640625" style="251" customWidth="1"/>
    <col min="51" max="51" width="15.5546875" style="251" customWidth="1"/>
    <col min="52" max="52" width="16.5546875" style="251" customWidth="1"/>
    <col min="53" max="53" width="16.44140625" style="251" customWidth="1"/>
    <col min="54" max="54" width="16" style="251" customWidth="1"/>
    <col min="55" max="55" width="15.5546875" style="251" customWidth="1"/>
    <col min="56" max="56" width="16.44140625" style="251" customWidth="1"/>
    <col min="57" max="57" width="15.5546875" style="251" customWidth="1"/>
    <col min="58" max="58" width="15.44140625" style="251" customWidth="1"/>
    <col min="59" max="59" width="17" style="251" customWidth="1"/>
    <col min="60" max="60" width="15.33203125" style="252" customWidth="1"/>
    <col min="61" max="61" width="15.5546875" style="251" customWidth="1"/>
    <col min="62" max="62" width="16.33203125" style="251" customWidth="1"/>
    <col min="63" max="63" width="15.5546875" style="251" customWidth="1"/>
    <col min="64" max="64" width="16.44140625" style="251" customWidth="1"/>
    <col min="65" max="66" width="15.5546875" style="115" customWidth="1"/>
    <col min="67" max="67" width="16.44140625" style="115" customWidth="1"/>
    <col min="68" max="68" width="49.5546875" style="116" customWidth="1"/>
    <col min="69" max="69" width="1.33203125" style="116" customWidth="1"/>
    <col min="70" max="70" width="10.5546875" style="251" customWidth="1"/>
    <col min="71" max="77" width="9.6640625" style="251" customWidth="1"/>
    <col min="78" max="78" width="11.33203125" style="115" bestFit="1" customWidth="1"/>
    <col min="79" max="16384" width="9.33203125" style="115"/>
  </cols>
  <sheetData>
    <row r="1" spans="1:79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136</v>
      </c>
      <c r="R1" s="1236" t="s">
        <v>137</v>
      </c>
      <c r="S1" s="403"/>
      <c r="T1" s="1224" t="s">
        <v>73</v>
      </c>
      <c r="U1" s="1224"/>
      <c r="V1" s="1224"/>
      <c r="W1" s="1220" t="s">
        <v>74</v>
      </c>
      <c r="X1" s="1221"/>
      <c r="Y1" s="1222" t="s">
        <v>138</v>
      </c>
      <c r="Z1" s="1223"/>
      <c r="AA1" s="404" t="s">
        <v>85</v>
      </c>
      <c r="AB1" s="404" t="s">
        <v>139</v>
      </c>
      <c r="AC1" s="1224" t="s">
        <v>87</v>
      </c>
      <c r="AD1" s="1224"/>
      <c r="AE1" s="1224"/>
      <c r="AF1" s="1224"/>
      <c r="AG1" s="1224"/>
      <c r="AH1" s="1225" t="s">
        <v>138</v>
      </c>
      <c r="AI1" s="1220"/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1"/>
      <c r="AV1" s="1218" t="s">
        <v>140</v>
      </c>
      <c r="AW1" s="1218" t="s">
        <v>141</v>
      </c>
      <c r="AX1" s="1226" t="s">
        <v>142</v>
      </c>
      <c r="AY1" s="1228" t="s">
        <v>143</v>
      </c>
      <c r="AZ1" s="1228" t="s">
        <v>144</v>
      </c>
      <c r="BA1" s="1219" t="s">
        <v>145</v>
      </c>
      <c r="BB1" s="1218" t="s">
        <v>146</v>
      </c>
      <c r="BC1" s="1218" t="s">
        <v>147</v>
      </c>
      <c r="BD1" s="1218" t="s">
        <v>148</v>
      </c>
      <c r="BE1" s="1218" t="s">
        <v>149</v>
      </c>
      <c r="BF1" s="1219" t="s">
        <v>150</v>
      </c>
      <c r="BG1" s="1219" t="s">
        <v>151</v>
      </c>
      <c r="BH1" s="1219" t="s">
        <v>152</v>
      </c>
      <c r="BI1" s="1219" t="s">
        <v>153</v>
      </c>
      <c r="BJ1" s="1219" t="s">
        <v>154</v>
      </c>
      <c r="BK1" s="1218" t="s">
        <v>155</v>
      </c>
      <c r="BL1" s="1218" t="s">
        <v>156</v>
      </c>
      <c r="BM1" s="1218" t="s">
        <v>157</v>
      </c>
      <c r="BN1" s="1218" t="s">
        <v>149</v>
      </c>
      <c r="BO1" s="1218" t="s">
        <v>158</v>
      </c>
      <c r="BP1" s="1217" t="s">
        <v>159</v>
      </c>
      <c r="BQ1" s="569"/>
      <c r="BR1" s="1213" t="s">
        <v>160</v>
      </c>
      <c r="BS1" s="1213" t="s">
        <v>111</v>
      </c>
      <c r="BT1" s="1213" t="s">
        <v>161</v>
      </c>
      <c r="BU1" s="1213" t="s">
        <v>162</v>
      </c>
      <c r="BV1" s="1213" t="s">
        <v>120</v>
      </c>
      <c r="BW1" s="1213" t="s">
        <v>163</v>
      </c>
      <c r="BX1" s="1215" t="s">
        <v>164</v>
      </c>
      <c r="BY1" s="1215" t="s">
        <v>165</v>
      </c>
      <c r="BZ1" s="1215" t="s">
        <v>166</v>
      </c>
    </row>
    <row r="2" spans="1:79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36"/>
      <c r="S2" s="403"/>
      <c r="T2" s="404" t="s">
        <v>167</v>
      </c>
      <c r="U2" s="404" t="s">
        <v>168</v>
      </c>
      <c r="V2" s="405" t="s">
        <v>169</v>
      </c>
      <c r="W2" s="404" t="s">
        <v>170</v>
      </c>
      <c r="X2" s="404" t="s">
        <v>171</v>
      </c>
      <c r="Y2" s="406" t="s">
        <v>172</v>
      </c>
      <c r="Z2" s="406" t="s">
        <v>173</v>
      </c>
      <c r="AA2" s="404" t="s">
        <v>174</v>
      </c>
      <c r="AB2" s="404" t="s">
        <v>139</v>
      </c>
      <c r="AC2" s="405" t="s">
        <v>175</v>
      </c>
      <c r="AD2" s="405" t="s">
        <v>176</v>
      </c>
      <c r="AE2" s="405" t="s">
        <v>177</v>
      </c>
      <c r="AF2" s="405" t="s">
        <v>178</v>
      </c>
      <c r="AG2" s="405" t="s">
        <v>179</v>
      </c>
      <c r="AH2" s="404" t="s">
        <v>81</v>
      </c>
      <c r="AI2" s="404" t="s">
        <v>180</v>
      </c>
      <c r="AJ2" s="404" t="s">
        <v>181</v>
      </c>
      <c r="AK2" s="404" t="s">
        <v>76</v>
      </c>
      <c r="AL2" s="404" t="s">
        <v>84</v>
      </c>
      <c r="AM2" s="404" t="s">
        <v>88</v>
      </c>
      <c r="AN2" s="404" t="s">
        <v>78</v>
      </c>
      <c r="AO2" s="404" t="s">
        <v>80</v>
      </c>
      <c r="AP2" s="404" t="s">
        <v>86</v>
      </c>
      <c r="AQ2" s="404" t="s">
        <v>82</v>
      </c>
      <c r="AR2" s="404" t="s">
        <v>182</v>
      </c>
      <c r="AS2" s="404" t="s">
        <v>183</v>
      </c>
      <c r="AT2" s="404" t="s">
        <v>184</v>
      </c>
      <c r="AU2" s="404" t="s">
        <v>100</v>
      </c>
      <c r="AV2" s="1218"/>
      <c r="AW2" s="1218"/>
      <c r="AX2" s="1227"/>
      <c r="AY2" s="1229"/>
      <c r="AZ2" s="1229"/>
      <c r="BA2" s="1219"/>
      <c r="BB2" s="1218"/>
      <c r="BC2" s="1218"/>
      <c r="BD2" s="1218"/>
      <c r="BE2" s="1218"/>
      <c r="BF2" s="1219"/>
      <c r="BG2" s="1219"/>
      <c r="BH2" s="1219"/>
      <c r="BI2" s="1219"/>
      <c r="BJ2" s="1219"/>
      <c r="BK2" s="1218"/>
      <c r="BL2" s="1218"/>
      <c r="BM2" s="1218"/>
      <c r="BN2" s="1218"/>
      <c r="BO2" s="1218"/>
      <c r="BP2" s="1217"/>
      <c r="BQ2" s="250"/>
      <c r="BR2" s="1214"/>
      <c r="BS2" s="1214"/>
      <c r="BT2" s="1214"/>
      <c r="BU2" s="1214"/>
      <c r="BV2" s="1214"/>
      <c r="BW2" s="1214"/>
      <c r="BX2" s="1216"/>
      <c r="BY2" s="1216"/>
      <c r="BZ2" s="1216"/>
    </row>
    <row r="3" spans="1:79" s="121" customFormat="1">
      <c r="A3" s="208" t="s">
        <v>185</v>
      </c>
      <c r="B3" s="116"/>
      <c r="C3" s="116"/>
      <c r="D3" s="116"/>
      <c r="E3" s="167" t="s">
        <v>186</v>
      </c>
      <c r="F3" s="167" t="s">
        <v>187</v>
      </c>
      <c r="G3" s="130"/>
      <c r="H3" s="130"/>
      <c r="I3" s="131"/>
      <c r="J3" s="116"/>
      <c r="K3" s="116"/>
      <c r="L3" s="116"/>
      <c r="M3" s="167"/>
      <c r="N3" s="116"/>
      <c r="O3" s="116"/>
      <c r="P3" s="116"/>
      <c r="Q3" s="131"/>
      <c r="R3" s="131"/>
      <c r="S3" s="131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27"/>
      <c r="AW3" s="120"/>
      <c r="AX3" s="120"/>
      <c r="AY3" s="127"/>
      <c r="AZ3" s="127"/>
      <c r="BA3" s="127"/>
      <c r="BB3" s="127"/>
      <c r="BC3" s="127"/>
      <c r="BD3" s="127"/>
      <c r="BE3" s="120"/>
      <c r="BF3" s="120"/>
      <c r="BG3" s="120"/>
      <c r="BH3" s="120"/>
      <c r="BI3" s="124"/>
      <c r="BJ3" s="120"/>
      <c r="BK3" s="120"/>
      <c r="BL3" s="120"/>
      <c r="BM3" s="120"/>
      <c r="BN3" s="120"/>
      <c r="BO3" s="120"/>
      <c r="BR3" s="120"/>
      <c r="BS3" s="120"/>
      <c r="BT3" s="120"/>
      <c r="BU3" s="120"/>
      <c r="BV3" s="120"/>
      <c r="BW3" s="120"/>
      <c r="BX3" s="120"/>
      <c r="BY3" s="120"/>
    </row>
    <row r="4" spans="1:79" s="126" customFormat="1">
      <c r="A4" s="192">
        <f t="shared" ref="A4:A37" si="0">BB4</f>
        <v>44939.475694444445</v>
      </c>
      <c r="B4" s="126" t="s">
        <v>188</v>
      </c>
      <c r="C4" s="126" t="s">
        <v>88</v>
      </c>
      <c r="D4" s="126" t="s">
        <v>189</v>
      </c>
      <c r="E4" s="126" t="s">
        <v>190</v>
      </c>
      <c r="G4" s="165">
        <v>44940.552083333336</v>
      </c>
      <c r="H4" s="165">
        <v>44940.552083333336</v>
      </c>
      <c r="I4" s="126" t="s">
        <v>191</v>
      </c>
      <c r="J4" s="126" t="s">
        <v>192</v>
      </c>
      <c r="K4" s="126" t="s">
        <v>192</v>
      </c>
      <c r="L4" s="126" t="s">
        <v>193</v>
      </c>
      <c r="M4" s="167"/>
      <c r="N4" s="126" t="s">
        <v>194</v>
      </c>
      <c r="O4" s="126" t="s">
        <v>195</v>
      </c>
      <c r="P4" s="126" t="s">
        <v>88</v>
      </c>
      <c r="Q4" s="181">
        <v>5300</v>
      </c>
      <c r="R4" s="181">
        <v>5109.3609999999999</v>
      </c>
      <c r="S4" s="181"/>
      <c r="AJ4" s="181"/>
      <c r="AM4" s="181">
        <f>R4</f>
        <v>5109.3609999999999</v>
      </c>
      <c r="AT4" s="181"/>
      <c r="AU4" s="181"/>
      <c r="AV4" s="165">
        <f t="shared" ref="AV4:AV67" si="1">AY4</f>
        <v>44939.46875</v>
      </c>
      <c r="AW4" s="165">
        <f t="shared" ref="AW4:AW67" si="2">BO4</f>
        <v>44947.159722222219</v>
      </c>
      <c r="AX4" s="137">
        <f t="shared" ref="AX4:AX67" si="3">AW4-AV4</f>
        <v>7.6909722222189885</v>
      </c>
      <c r="AY4" s="165">
        <v>44939.46875</v>
      </c>
      <c r="AZ4" s="165">
        <v>44939.46875</v>
      </c>
      <c r="BA4" s="165">
        <v>44939.46875</v>
      </c>
      <c r="BB4" s="165">
        <v>44939.475694444445</v>
      </c>
      <c r="BC4" s="165">
        <v>44939.913194444445</v>
      </c>
      <c r="BD4" s="165">
        <v>44939.916666666664</v>
      </c>
      <c r="BE4" s="165">
        <v>44939.916666666664</v>
      </c>
      <c r="BF4" s="165">
        <v>44939.916666666664</v>
      </c>
      <c r="BG4" s="166" t="s">
        <v>196</v>
      </c>
      <c r="BH4" s="166" t="s">
        <v>196</v>
      </c>
      <c r="BI4" s="166" t="s">
        <v>196</v>
      </c>
      <c r="BJ4" s="165">
        <v>44945.972222222219</v>
      </c>
      <c r="BK4" s="165">
        <v>44946.350694444445</v>
      </c>
      <c r="BL4" s="165">
        <v>44947.145833333336</v>
      </c>
      <c r="BM4" s="165">
        <v>44947.159722222219</v>
      </c>
      <c r="BN4" s="165">
        <v>44947.159722222219</v>
      </c>
      <c r="BO4" s="165">
        <v>44947.159722222219</v>
      </c>
      <c r="BR4" s="136">
        <f t="shared" ref="BR4:BR67" si="4">(BA4-AZ4)*24</f>
        <v>0</v>
      </c>
      <c r="BS4" s="136">
        <f t="shared" ref="BS4:BS67" si="5">(BC4-BB4)*24</f>
        <v>10.5</v>
      </c>
      <c r="BT4" s="136">
        <f t="shared" ref="BT4:BT67" si="6">(BF4-BE4)*24</f>
        <v>0</v>
      </c>
      <c r="BU4" s="136">
        <f>(BJ4-BF4)*24</f>
        <v>145.33333333331393</v>
      </c>
      <c r="BV4" s="135">
        <f t="shared" ref="BV4:BV67" si="7">(BL4-BK4)*24</f>
        <v>19.083333333372138</v>
      </c>
      <c r="BW4" s="135">
        <f t="shared" ref="BW4:BW67" si="8">(BO4-BN4)*24</f>
        <v>0</v>
      </c>
      <c r="BX4" s="134">
        <f t="shared" ref="BX4:BX67" si="9">SUM(BR4:BW4)/24</f>
        <v>7.2881944444452529</v>
      </c>
      <c r="BY4" s="134">
        <f t="shared" ref="BY4:BY67" si="10">AX4</f>
        <v>7.6909722222189885</v>
      </c>
      <c r="BZ4" s="133">
        <f t="shared" ref="BZ4:BZ67" si="11">BX4/BY4</f>
        <v>0.94762979684023263</v>
      </c>
    </row>
    <row r="5" spans="1:79" s="126" customFormat="1">
      <c r="A5" s="192">
        <f t="shared" si="0"/>
        <v>44937.5625</v>
      </c>
      <c r="B5" s="126" t="s">
        <v>188</v>
      </c>
      <c r="C5" s="126" t="s">
        <v>78</v>
      </c>
      <c r="D5" s="126" t="s">
        <v>197</v>
      </c>
      <c r="E5" s="126" t="s">
        <v>198</v>
      </c>
      <c r="G5" s="165">
        <v>44943.166666666664</v>
      </c>
      <c r="H5" s="165">
        <v>44943.166666666664</v>
      </c>
      <c r="I5" s="126" t="s">
        <v>199</v>
      </c>
      <c r="J5" s="126" t="s">
        <v>192</v>
      </c>
      <c r="K5" s="126" t="s">
        <v>192</v>
      </c>
      <c r="L5" s="126" t="s">
        <v>200</v>
      </c>
      <c r="M5" s="167"/>
      <c r="N5" s="126" t="s">
        <v>201</v>
      </c>
      <c r="O5" s="126" t="s">
        <v>202</v>
      </c>
      <c r="P5" s="126" t="s">
        <v>78</v>
      </c>
      <c r="Q5" s="181">
        <f>3141*2.4</f>
        <v>7538.4</v>
      </c>
      <c r="R5" s="181">
        <v>7500</v>
      </c>
      <c r="S5" s="181"/>
      <c r="AN5" s="181">
        <f t="shared" ref="AN5:AN11" si="12">R5</f>
        <v>7500</v>
      </c>
      <c r="AV5" s="165">
        <f t="shared" si="1"/>
        <v>44924.395833333336</v>
      </c>
      <c r="AW5" s="165">
        <f t="shared" si="2"/>
        <v>44944.368055555555</v>
      </c>
      <c r="AX5" s="137">
        <f t="shared" si="3"/>
        <v>19.972222222218988</v>
      </c>
      <c r="AY5" s="165">
        <v>44924.395833333336</v>
      </c>
      <c r="AZ5" s="165">
        <v>44934.791666666664</v>
      </c>
      <c r="BA5" s="165">
        <v>44934.829861111109</v>
      </c>
      <c r="BB5" s="165">
        <v>44937.5625</v>
      </c>
      <c r="BC5" s="165">
        <v>44938.125</v>
      </c>
      <c r="BD5" s="165">
        <v>44938.149305555555</v>
      </c>
      <c r="BE5" s="165">
        <v>44938.152777777781</v>
      </c>
      <c r="BF5" s="165">
        <f>BE5+(5/24)</f>
        <v>44938.361111111117</v>
      </c>
      <c r="BG5" s="165">
        <v>44940.291666608799</v>
      </c>
      <c r="BH5" s="165">
        <v>44940.458333275463</v>
      </c>
      <c r="BI5" s="165">
        <v>44940.375</v>
      </c>
      <c r="BJ5" s="165">
        <v>44942.902777777781</v>
      </c>
      <c r="BK5" s="165">
        <v>44943.607638888891</v>
      </c>
      <c r="BL5" s="165">
        <v>44943.888888888891</v>
      </c>
      <c r="BM5" s="165">
        <v>44943.899305555555</v>
      </c>
      <c r="BN5" s="165">
        <v>44943.944444444445</v>
      </c>
      <c r="BO5" s="165">
        <v>44944.368055555555</v>
      </c>
      <c r="BR5" s="136">
        <f t="shared" si="4"/>
        <v>0.91666666668606922</v>
      </c>
      <c r="BS5" s="136">
        <f t="shared" si="5"/>
        <v>13.5</v>
      </c>
      <c r="BT5" s="136">
        <f t="shared" si="6"/>
        <v>5.0000000000582077</v>
      </c>
      <c r="BU5" s="136">
        <f t="shared" ref="BU5:BU68" si="13">(BJ5-BH5)*24</f>
        <v>58.666668055637274</v>
      </c>
      <c r="BV5" s="135">
        <f t="shared" si="7"/>
        <v>6.75</v>
      </c>
      <c r="BW5" s="135">
        <f t="shared" si="8"/>
        <v>10.166666666627862</v>
      </c>
      <c r="BX5" s="134">
        <f t="shared" si="9"/>
        <v>3.9583333912087255</v>
      </c>
      <c r="BY5" s="134">
        <f t="shared" si="10"/>
        <v>19.972222222218988</v>
      </c>
      <c r="BZ5" s="133">
        <f t="shared" si="11"/>
        <v>0.19819193613843838</v>
      </c>
    </row>
    <row r="6" spans="1:79" s="126" customFormat="1">
      <c r="A6" s="192">
        <f t="shared" si="0"/>
        <v>44938.340277777781</v>
      </c>
      <c r="B6" s="126" t="s">
        <v>188</v>
      </c>
      <c r="C6" s="126" t="s">
        <v>78</v>
      </c>
      <c r="D6" s="126" t="s">
        <v>197</v>
      </c>
      <c r="E6" s="126" t="s">
        <v>203</v>
      </c>
      <c r="G6" s="73">
        <v>44940.583333333336</v>
      </c>
      <c r="H6" s="73">
        <v>44940.583333333336</v>
      </c>
      <c r="I6" s="126" t="s">
        <v>199</v>
      </c>
      <c r="J6" s="126" t="s">
        <v>192</v>
      </c>
      <c r="K6" s="126" t="s">
        <v>192</v>
      </c>
      <c r="L6" s="126" t="s">
        <v>204</v>
      </c>
      <c r="M6" s="167"/>
      <c r="N6" s="126" t="s">
        <v>205</v>
      </c>
      <c r="O6" s="126" t="s">
        <v>206</v>
      </c>
      <c r="P6" s="126" t="s">
        <v>78</v>
      </c>
      <c r="Q6" s="181">
        <f>3015*2.4</f>
        <v>7236</v>
      </c>
      <c r="R6" s="181">
        <v>7500</v>
      </c>
      <c r="S6" s="181"/>
      <c r="AN6" s="181">
        <f t="shared" si="12"/>
        <v>7500</v>
      </c>
      <c r="AV6" s="165">
        <f t="shared" si="1"/>
        <v>44924.000694444447</v>
      </c>
      <c r="AW6" s="165">
        <f t="shared" si="2"/>
        <v>44944.445833333331</v>
      </c>
      <c r="AX6" s="137">
        <f t="shared" si="3"/>
        <v>20.445138888884685</v>
      </c>
      <c r="AY6" s="165">
        <v>44924.000694444447</v>
      </c>
      <c r="AZ6" s="165">
        <v>44934.8125</v>
      </c>
      <c r="BA6" s="165">
        <v>44934.84375</v>
      </c>
      <c r="BB6" s="165">
        <v>44938.340277777781</v>
      </c>
      <c r="BC6" s="165">
        <v>44938.947916666664</v>
      </c>
      <c r="BD6" s="165">
        <v>44938.979166666664</v>
      </c>
      <c r="BE6" s="165">
        <v>44938.979166666664</v>
      </c>
      <c r="BF6" s="165">
        <f>BE6+(5/24)</f>
        <v>44939.1875</v>
      </c>
      <c r="BG6" s="165">
        <v>44940.291666608799</v>
      </c>
      <c r="BH6" s="165">
        <v>44940.458333275463</v>
      </c>
      <c r="BI6" s="165">
        <v>44940.447916666664</v>
      </c>
      <c r="BJ6" s="165">
        <v>44942.375</v>
      </c>
      <c r="BK6" s="165">
        <v>44943.329861111109</v>
      </c>
      <c r="BL6" s="165">
        <v>44943.545138888891</v>
      </c>
      <c r="BM6" s="165">
        <v>44943.559027777781</v>
      </c>
      <c r="BN6" s="165">
        <v>44943.958333333336</v>
      </c>
      <c r="BO6" s="165">
        <v>44944.445833333331</v>
      </c>
      <c r="BR6" s="136">
        <f t="shared" si="4"/>
        <v>0.75</v>
      </c>
      <c r="BS6" s="136">
        <f t="shared" si="5"/>
        <v>14.583333333197515</v>
      </c>
      <c r="BT6" s="136">
        <f t="shared" si="6"/>
        <v>5.0000000000582077</v>
      </c>
      <c r="BU6" s="136">
        <f t="shared" si="13"/>
        <v>46.000001388892997</v>
      </c>
      <c r="BV6" s="135">
        <f t="shared" si="7"/>
        <v>5.1666666667442769</v>
      </c>
      <c r="BW6" s="135">
        <f t="shared" si="8"/>
        <v>11.699999999895226</v>
      </c>
      <c r="BX6" s="134">
        <f t="shared" si="9"/>
        <v>3.4666667245328426</v>
      </c>
      <c r="BY6" s="134">
        <f t="shared" si="10"/>
        <v>20.445138888884685</v>
      </c>
      <c r="BZ6" s="133">
        <f t="shared" si="11"/>
        <v>0.16955946072919806</v>
      </c>
    </row>
    <row r="7" spans="1:79" s="126" customFormat="1">
      <c r="A7" s="192">
        <f t="shared" si="0"/>
        <v>44939.052083333336</v>
      </c>
      <c r="B7" s="126" t="s">
        <v>188</v>
      </c>
      <c r="C7" s="126" t="s">
        <v>78</v>
      </c>
      <c r="D7" s="126" t="s">
        <v>197</v>
      </c>
      <c r="E7" s="126" t="s">
        <v>203</v>
      </c>
      <c r="G7" s="73">
        <v>44940.583333333336</v>
      </c>
      <c r="H7" s="73">
        <v>44940.583333333336</v>
      </c>
      <c r="I7" s="126" t="s">
        <v>199</v>
      </c>
      <c r="J7" s="126" t="s">
        <v>192</v>
      </c>
      <c r="K7" s="126" t="s">
        <v>192</v>
      </c>
      <c r="L7" s="126" t="s">
        <v>207</v>
      </c>
      <c r="M7" s="167"/>
      <c r="N7" s="126" t="s">
        <v>208</v>
      </c>
      <c r="O7" s="126" t="s">
        <v>209</v>
      </c>
      <c r="P7" s="126" t="s">
        <v>78</v>
      </c>
      <c r="Q7" s="181">
        <f>3128*2.4</f>
        <v>7507.2</v>
      </c>
      <c r="R7" s="181">
        <v>7500</v>
      </c>
      <c r="S7" s="181"/>
      <c r="AN7" s="181">
        <f t="shared" si="12"/>
        <v>7500</v>
      </c>
      <c r="AV7" s="165">
        <f t="shared" si="1"/>
        <v>44936.409722222219</v>
      </c>
      <c r="AW7" s="165">
        <f t="shared" si="2"/>
        <v>44944.375</v>
      </c>
      <c r="AX7" s="137">
        <f t="shared" si="3"/>
        <v>7.9652777777810115</v>
      </c>
      <c r="AY7" s="165">
        <v>44936.409722222219</v>
      </c>
      <c r="AZ7" s="165">
        <v>44938.822916666664</v>
      </c>
      <c r="BA7" s="165">
        <v>44939.013888888891</v>
      </c>
      <c r="BB7" s="165">
        <v>44939.052083333336</v>
      </c>
      <c r="BC7" s="165">
        <v>44939.673611111109</v>
      </c>
      <c r="BD7" s="165">
        <v>44939.722222222219</v>
      </c>
      <c r="BE7" s="165">
        <v>44939.729166666664</v>
      </c>
      <c r="BF7" s="165">
        <f>BE7+(5/24)</f>
        <v>44939.9375</v>
      </c>
      <c r="BG7" s="165">
        <v>44940.291666608799</v>
      </c>
      <c r="BH7" s="165">
        <v>44940.458333275463</v>
      </c>
      <c r="BI7" s="165">
        <v>44940.444444444445</v>
      </c>
      <c r="BJ7" s="165">
        <v>44941.996527777781</v>
      </c>
      <c r="BK7" s="165">
        <v>44942.75</v>
      </c>
      <c r="BL7" s="165">
        <v>44943.138888888891</v>
      </c>
      <c r="BM7" s="165">
        <v>44943.236111111109</v>
      </c>
      <c r="BN7" s="165">
        <v>44943.947916666664</v>
      </c>
      <c r="BO7" s="165">
        <v>44944.375</v>
      </c>
      <c r="BR7" s="136">
        <f t="shared" si="4"/>
        <v>4.5833333334303461</v>
      </c>
      <c r="BS7" s="136">
        <f t="shared" si="5"/>
        <v>14.916666666569654</v>
      </c>
      <c r="BT7" s="136">
        <f t="shared" si="6"/>
        <v>5.0000000000582077</v>
      </c>
      <c r="BU7" s="136">
        <f t="shared" si="13"/>
        <v>36.916668055637274</v>
      </c>
      <c r="BV7" s="135">
        <f t="shared" si="7"/>
        <v>9.3333333333721384</v>
      </c>
      <c r="BW7" s="135">
        <f t="shared" si="8"/>
        <v>10.250000000058208</v>
      </c>
      <c r="BX7" s="134">
        <f t="shared" si="9"/>
        <v>3.3750000578802428</v>
      </c>
      <c r="BY7" s="134">
        <f t="shared" si="10"/>
        <v>7.9652777777810115</v>
      </c>
      <c r="BZ7" s="133">
        <f t="shared" si="11"/>
        <v>0.42371404388365969</v>
      </c>
      <c r="CA7" s="193"/>
    </row>
    <row r="8" spans="1:79" s="126" customFormat="1">
      <c r="A8" s="192">
        <f t="shared" si="0"/>
        <v>44941.6875</v>
      </c>
      <c r="B8" s="126" t="s">
        <v>188</v>
      </c>
      <c r="C8" s="126" t="s">
        <v>78</v>
      </c>
      <c r="D8" s="126" t="s">
        <v>197</v>
      </c>
      <c r="E8" s="126" t="s">
        <v>210</v>
      </c>
      <c r="G8" s="73">
        <v>44940.5</v>
      </c>
      <c r="H8" s="73">
        <v>44940.510416666664</v>
      </c>
      <c r="I8" s="126" t="s">
        <v>211</v>
      </c>
      <c r="J8" s="126" t="s">
        <v>192</v>
      </c>
      <c r="K8" s="126" t="s">
        <v>192</v>
      </c>
      <c r="L8" s="126" t="s">
        <v>212</v>
      </c>
      <c r="M8" s="167"/>
      <c r="N8" s="126" t="s">
        <v>213</v>
      </c>
      <c r="O8" s="126" t="s">
        <v>214</v>
      </c>
      <c r="P8" s="126" t="s">
        <v>78</v>
      </c>
      <c r="Q8" s="181">
        <f>3113*2.4</f>
        <v>7471.2</v>
      </c>
      <c r="R8" s="181">
        <v>7500</v>
      </c>
      <c r="S8" s="181"/>
      <c r="AN8" s="181">
        <f t="shared" si="12"/>
        <v>7500</v>
      </c>
      <c r="AV8" s="165">
        <f t="shared" si="1"/>
        <v>44930.666666666664</v>
      </c>
      <c r="AW8" s="165">
        <f t="shared" si="2"/>
        <v>44949.399305555555</v>
      </c>
      <c r="AX8" s="137">
        <f t="shared" si="3"/>
        <v>18.732638888890506</v>
      </c>
      <c r="AY8" s="165">
        <v>44930.666666666664</v>
      </c>
      <c r="AZ8" s="165">
        <v>44939.658333333333</v>
      </c>
      <c r="BA8" s="165">
        <v>44939.736111111109</v>
      </c>
      <c r="BB8" s="165">
        <v>44941.6875</v>
      </c>
      <c r="BC8" s="165">
        <v>44942.243055555555</v>
      </c>
      <c r="BD8" s="165">
        <v>44942.357638888891</v>
      </c>
      <c r="BE8" s="165">
        <v>44942.357638888891</v>
      </c>
      <c r="BF8" s="165">
        <f>BE8+(5/24)</f>
        <v>44942.565972222226</v>
      </c>
      <c r="BG8" s="165">
        <v>44942.333333333336</v>
      </c>
      <c r="BH8" s="165">
        <v>44942.5</v>
      </c>
      <c r="BI8" s="165">
        <v>44942.486111111109</v>
      </c>
      <c r="BJ8" s="165">
        <v>44944.385416666664</v>
      </c>
      <c r="BK8" s="165">
        <v>44948.489583333336</v>
      </c>
      <c r="BL8" s="165">
        <v>44949.097222222219</v>
      </c>
      <c r="BM8" s="165">
        <v>44949.125</v>
      </c>
      <c r="BN8" s="165">
        <v>44949.125</v>
      </c>
      <c r="BO8" s="165">
        <v>44949.399305555555</v>
      </c>
      <c r="BR8" s="136">
        <f t="shared" si="4"/>
        <v>1.8666666666395031</v>
      </c>
      <c r="BS8" s="136">
        <f t="shared" si="5"/>
        <v>13.333333333313931</v>
      </c>
      <c r="BT8" s="136">
        <f t="shared" si="6"/>
        <v>5.0000000000582077</v>
      </c>
      <c r="BU8" s="136">
        <f t="shared" si="13"/>
        <v>45.249999999941792</v>
      </c>
      <c r="BV8" s="135">
        <f t="shared" si="7"/>
        <v>14.583333333197515</v>
      </c>
      <c r="BW8" s="135">
        <f t="shared" si="8"/>
        <v>6.5833333333139308</v>
      </c>
      <c r="BX8" s="134">
        <f t="shared" si="9"/>
        <v>3.60902777776937</v>
      </c>
      <c r="BY8" s="134">
        <f t="shared" si="10"/>
        <v>18.732638888890506</v>
      </c>
      <c r="BZ8" s="133">
        <f t="shared" si="11"/>
        <v>0.19265987024976625</v>
      </c>
    </row>
    <row r="9" spans="1:79" s="126" customFormat="1">
      <c r="A9" s="192">
        <f t="shared" si="0"/>
        <v>44950.84375</v>
      </c>
      <c r="B9" s="126" t="s">
        <v>188</v>
      </c>
      <c r="C9" s="126" t="s">
        <v>78</v>
      </c>
      <c r="D9" s="126" t="s">
        <v>215</v>
      </c>
      <c r="E9" s="126" t="s">
        <v>216</v>
      </c>
      <c r="G9" s="256">
        <v>44947.929166666669</v>
      </c>
      <c r="H9" s="256">
        <v>44947.929166666669</v>
      </c>
      <c r="I9" s="126" t="s">
        <v>199</v>
      </c>
      <c r="J9" s="126" t="s">
        <v>192</v>
      </c>
      <c r="K9" s="126" t="s">
        <v>192</v>
      </c>
      <c r="L9" s="126" t="s">
        <v>217</v>
      </c>
      <c r="M9" s="167"/>
      <c r="N9" s="126" t="s">
        <v>218</v>
      </c>
      <c r="O9" s="126" t="s">
        <v>219</v>
      </c>
      <c r="P9" s="126" t="s">
        <v>78</v>
      </c>
      <c r="Q9" s="181">
        <f>3087*2.4</f>
        <v>7408.7999999999993</v>
      </c>
      <c r="R9" s="181">
        <v>7500</v>
      </c>
      <c r="S9" s="181"/>
      <c r="AN9" s="181">
        <f t="shared" si="12"/>
        <v>7500</v>
      </c>
      <c r="AV9" s="165">
        <f t="shared" si="1"/>
        <v>44947.923611111109</v>
      </c>
      <c r="AW9" s="165">
        <f t="shared" si="2"/>
        <v>44957.194444444445</v>
      </c>
      <c r="AX9" s="137">
        <f t="shared" si="3"/>
        <v>9.2708333333357587</v>
      </c>
      <c r="AY9" s="165">
        <v>44947.923611111109</v>
      </c>
      <c r="AZ9" s="165">
        <v>44949.569444444445</v>
      </c>
      <c r="BA9" s="165">
        <v>44949.628472222219</v>
      </c>
      <c r="BB9" s="165">
        <v>44950.84375</v>
      </c>
      <c r="BC9" s="165">
        <v>44951.40625</v>
      </c>
      <c r="BD9" s="165">
        <v>44951.4375</v>
      </c>
      <c r="BE9" s="165">
        <v>44951.4375</v>
      </c>
      <c r="BF9" s="165">
        <f>BE9+(5/24)</f>
        <v>44951.645833333336</v>
      </c>
      <c r="BG9" s="165">
        <v>44952.25</v>
      </c>
      <c r="BH9" s="165">
        <v>44952.416666666664</v>
      </c>
      <c r="BI9" s="165">
        <v>44952.333333333336</v>
      </c>
      <c r="BJ9" s="165">
        <v>44953.930555555555</v>
      </c>
      <c r="BK9" s="165">
        <v>44956.274305555555</v>
      </c>
      <c r="BL9" s="165">
        <v>44956.615972222222</v>
      </c>
      <c r="BM9" s="165">
        <v>44956.625</v>
      </c>
      <c r="BN9" s="165">
        <v>44956.774305555555</v>
      </c>
      <c r="BO9" s="165">
        <v>44957.194444444445</v>
      </c>
      <c r="BR9" s="136">
        <f t="shared" si="4"/>
        <v>1.4166666665696539</v>
      </c>
      <c r="BS9" s="136">
        <f t="shared" si="5"/>
        <v>13.5</v>
      </c>
      <c r="BT9" s="136">
        <f t="shared" si="6"/>
        <v>5.0000000000582077</v>
      </c>
      <c r="BU9" s="136">
        <f t="shared" si="13"/>
        <v>36.333333333372138</v>
      </c>
      <c r="BV9" s="135">
        <f t="shared" si="7"/>
        <v>8.2000000000116415</v>
      </c>
      <c r="BW9" s="135">
        <f t="shared" si="8"/>
        <v>10.083333333372138</v>
      </c>
      <c r="BX9" s="134">
        <f t="shared" si="9"/>
        <v>3.1055555555576575</v>
      </c>
      <c r="BY9" s="134">
        <f t="shared" si="10"/>
        <v>9.2708333333357587</v>
      </c>
      <c r="BZ9" s="133">
        <f t="shared" si="11"/>
        <v>0.3349812734083788</v>
      </c>
    </row>
    <row r="10" spans="1:79" s="126" customFormat="1">
      <c r="A10" s="192">
        <f t="shared" si="0"/>
        <v>44947.548611111109</v>
      </c>
      <c r="B10" s="126" t="s">
        <v>188</v>
      </c>
      <c r="C10" s="126" t="s">
        <v>78</v>
      </c>
      <c r="D10" s="126" t="s">
        <v>215</v>
      </c>
      <c r="E10" s="126" t="s">
        <v>220</v>
      </c>
      <c r="G10" s="73">
        <v>44953.208333333336</v>
      </c>
      <c r="H10" s="73">
        <v>44953.104166666664</v>
      </c>
      <c r="I10" s="126" t="s">
        <v>199</v>
      </c>
      <c r="J10" s="126" t="s">
        <v>192</v>
      </c>
      <c r="K10" s="126" t="s">
        <v>192</v>
      </c>
      <c r="L10" s="126" t="s">
        <v>221</v>
      </c>
      <c r="M10" s="167"/>
      <c r="N10" s="126" t="s">
        <v>222</v>
      </c>
      <c r="O10" s="126" t="s">
        <v>223</v>
      </c>
      <c r="P10" s="126" t="s">
        <v>78</v>
      </c>
      <c r="Q10" s="181">
        <f>3137*2.4</f>
        <v>7528.7999999999993</v>
      </c>
      <c r="R10" s="181">
        <v>7500</v>
      </c>
      <c r="S10" s="181"/>
      <c r="AN10" s="181">
        <f t="shared" si="12"/>
        <v>7500</v>
      </c>
      <c r="AV10" s="165">
        <f t="shared" si="1"/>
        <v>44946.958333333336</v>
      </c>
      <c r="AW10" s="165">
        <f t="shared" si="2"/>
        <v>44955.520833333336</v>
      </c>
      <c r="AX10" s="137">
        <f t="shared" si="3"/>
        <v>8.5625</v>
      </c>
      <c r="AY10" s="165">
        <v>44946.958333333336</v>
      </c>
      <c r="AZ10" s="165">
        <v>44947.375</v>
      </c>
      <c r="BA10" s="165">
        <v>44947.458333333336</v>
      </c>
      <c r="BB10" s="165">
        <v>44947.548611111109</v>
      </c>
      <c r="BC10" s="165">
        <v>44948.073611111111</v>
      </c>
      <c r="BD10" s="165">
        <v>44948.28125</v>
      </c>
      <c r="BE10" s="165">
        <v>44948.28125</v>
      </c>
      <c r="BF10" s="165">
        <f>BE10+(15/24)</f>
        <v>44948.90625</v>
      </c>
      <c r="BG10" s="165">
        <v>44949.25</v>
      </c>
      <c r="BH10" s="165">
        <v>44949.416666666664</v>
      </c>
      <c r="BI10" s="165">
        <v>44949.329861111109</v>
      </c>
      <c r="BJ10" s="165">
        <v>44951.104166666664</v>
      </c>
      <c r="BK10" s="165">
        <v>44954.725694444445</v>
      </c>
      <c r="BL10" s="165">
        <v>44954.972222222219</v>
      </c>
      <c r="BM10" s="165">
        <v>44954.986111111109</v>
      </c>
      <c r="BN10" s="165">
        <v>44954.989583333336</v>
      </c>
      <c r="BO10" s="165">
        <v>44955.520833333336</v>
      </c>
      <c r="BR10" s="136">
        <f t="shared" si="4"/>
        <v>2.0000000000582077</v>
      </c>
      <c r="BS10" s="136">
        <f t="shared" si="5"/>
        <v>12.600000000034925</v>
      </c>
      <c r="BT10" s="136">
        <f t="shared" si="6"/>
        <v>15</v>
      </c>
      <c r="BU10" s="136">
        <f t="shared" si="13"/>
        <v>40.5</v>
      </c>
      <c r="BV10" s="135">
        <f t="shared" si="7"/>
        <v>5.9166666665696539</v>
      </c>
      <c r="BW10" s="135">
        <f t="shared" si="8"/>
        <v>12.75</v>
      </c>
      <c r="BX10" s="134">
        <f t="shared" si="9"/>
        <v>3.6986111111109494</v>
      </c>
      <c r="BY10" s="134">
        <f t="shared" si="10"/>
        <v>8.5625</v>
      </c>
      <c r="BZ10" s="133">
        <f t="shared" si="11"/>
        <v>0.43195458231952694</v>
      </c>
    </row>
    <row r="11" spans="1:79" s="126" customFormat="1">
      <c r="A11" s="192">
        <f t="shared" si="0"/>
        <v>44951.725694444445</v>
      </c>
      <c r="B11" s="126" t="s">
        <v>188</v>
      </c>
      <c r="C11" s="126" t="s">
        <v>78</v>
      </c>
      <c r="D11" s="126" t="s">
        <v>197</v>
      </c>
      <c r="E11" s="126" t="s">
        <v>224</v>
      </c>
      <c r="G11" s="73">
        <v>44952.666666666664</v>
      </c>
      <c r="H11" s="73">
        <v>44952.694444444445</v>
      </c>
      <c r="I11" s="126" t="s">
        <v>211</v>
      </c>
      <c r="J11" s="126" t="s">
        <v>192</v>
      </c>
      <c r="K11" s="126" t="s">
        <v>192</v>
      </c>
      <c r="L11" s="126" t="s">
        <v>225</v>
      </c>
      <c r="M11" s="167"/>
      <c r="N11" s="126" t="s">
        <v>226</v>
      </c>
      <c r="O11" s="126" t="s">
        <v>227</v>
      </c>
      <c r="P11" s="126" t="s">
        <v>78</v>
      </c>
      <c r="Q11" s="181">
        <f>3100*2.4</f>
        <v>7440</v>
      </c>
      <c r="R11" s="181">
        <v>7500</v>
      </c>
      <c r="S11" s="181"/>
      <c r="AN11" s="181">
        <f t="shared" si="12"/>
        <v>7500</v>
      </c>
      <c r="AV11" s="165">
        <f t="shared" si="1"/>
        <v>44947.381944444445</v>
      </c>
      <c r="AW11" s="165">
        <f t="shared" si="2"/>
        <v>44959.340277777781</v>
      </c>
      <c r="AX11" s="137">
        <f t="shared" si="3"/>
        <v>11.958333333335759</v>
      </c>
      <c r="AY11" s="165">
        <v>44947.381944444445</v>
      </c>
      <c r="AZ11" s="165">
        <v>44950.579861111109</v>
      </c>
      <c r="BA11" s="165">
        <v>44951.666666666664</v>
      </c>
      <c r="BB11" s="165">
        <v>44951.725694444445</v>
      </c>
      <c r="BC11" s="165">
        <v>44952.579861111109</v>
      </c>
      <c r="BD11" s="165">
        <v>44952.600694444445</v>
      </c>
      <c r="BE11" s="165">
        <v>44952.600694444445</v>
      </c>
      <c r="BF11" s="165">
        <f>BE11+(5/24)</f>
        <v>44952.809027777781</v>
      </c>
      <c r="BG11" s="165">
        <v>44954.291666666664</v>
      </c>
      <c r="BH11" s="165">
        <v>44954.458333333328</v>
      </c>
      <c r="BI11" s="165">
        <v>44954.354166666664</v>
      </c>
      <c r="BJ11" s="165">
        <v>44955.520833333336</v>
      </c>
      <c r="BK11" s="165">
        <v>44958.590277777781</v>
      </c>
      <c r="BL11" s="165">
        <v>44958.888888888891</v>
      </c>
      <c r="BM11" s="165">
        <v>44958.909722222219</v>
      </c>
      <c r="BN11" s="165">
        <v>44959.125</v>
      </c>
      <c r="BO11" s="165">
        <v>44959.340277777781</v>
      </c>
      <c r="BR11" s="136">
        <f t="shared" si="4"/>
        <v>26.083333333313931</v>
      </c>
      <c r="BS11" s="136">
        <f t="shared" si="5"/>
        <v>20.499999999941792</v>
      </c>
      <c r="BT11" s="136">
        <f t="shared" si="6"/>
        <v>5.0000000000582077</v>
      </c>
      <c r="BU11" s="136">
        <f t="shared" si="13"/>
        <v>25.500000000174623</v>
      </c>
      <c r="BV11" s="135">
        <f t="shared" si="7"/>
        <v>7.1666666666278616</v>
      </c>
      <c r="BW11" s="135">
        <f t="shared" si="8"/>
        <v>5.1666666667442769</v>
      </c>
      <c r="BX11" s="134">
        <f t="shared" si="9"/>
        <v>3.7256944444525288</v>
      </c>
      <c r="BY11" s="134">
        <f t="shared" si="10"/>
        <v>11.958333333335759</v>
      </c>
      <c r="BZ11" s="133">
        <f t="shared" si="11"/>
        <v>0.31155632984962561</v>
      </c>
    </row>
    <row r="12" spans="1:79" s="126" customFormat="1">
      <c r="A12" s="192">
        <f t="shared" si="0"/>
        <v>44928.010416666664</v>
      </c>
      <c r="B12" s="126" t="s">
        <v>228</v>
      </c>
      <c r="C12" s="126" t="s">
        <v>229</v>
      </c>
      <c r="D12" s="126" t="s">
        <v>197</v>
      </c>
      <c r="E12" s="126" t="s">
        <v>230</v>
      </c>
      <c r="G12" s="73">
        <v>44934.75</v>
      </c>
      <c r="H12" s="73">
        <v>44934.758333333331</v>
      </c>
      <c r="I12" s="126" t="s">
        <v>231</v>
      </c>
      <c r="J12" s="126" t="s">
        <v>192</v>
      </c>
      <c r="K12" s="126" t="s">
        <v>192</v>
      </c>
      <c r="L12" s="126" t="s">
        <v>232</v>
      </c>
      <c r="M12" s="167"/>
      <c r="N12" s="126" t="s">
        <v>233</v>
      </c>
      <c r="O12" s="126" t="s">
        <v>234</v>
      </c>
      <c r="P12" s="126" t="s">
        <v>235</v>
      </c>
      <c r="Q12" s="181">
        <f>3215*2.4</f>
        <v>7716</v>
      </c>
      <c r="R12" s="181">
        <v>7728.76</v>
      </c>
      <c r="S12" s="181"/>
      <c r="W12" s="181">
        <f>R12</f>
        <v>7728.76</v>
      </c>
      <c r="AV12" s="165">
        <f t="shared" si="1"/>
        <v>44919.583333333336</v>
      </c>
      <c r="AW12" s="165">
        <f t="shared" si="2"/>
        <v>44935.527777777781</v>
      </c>
      <c r="AX12" s="137">
        <f t="shared" si="3"/>
        <v>15.944444444445253</v>
      </c>
      <c r="AY12" s="165">
        <v>44919.583333333336</v>
      </c>
      <c r="AZ12" s="165">
        <v>44923.572916666664</v>
      </c>
      <c r="BA12" s="165">
        <v>44925.541666666664</v>
      </c>
      <c r="BB12" s="165">
        <v>44928.010416666664</v>
      </c>
      <c r="BC12" s="165">
        <v>44928.144444444442</v>
      </c>
      <c r="BD12" s="165">
        <v>44928.163194444445</v>
      </c>
      <c r="BE12" s="165">
        <v>44928.163194444445</v>
      </c>
      <c r="BF12" s="165">
        <f t="shared" ref="BF12:BF37" si="14">BE12+(41/24)</f>
        <v>44929.871527777781</v>
      </c>
      <c r="BG12" s="165">
        <v>44930.583333333336</v>
      </c>
      <c r="BH12" s="165">
        <v>44930.75</v>
      </c>
      <c r="BI12" s="165">
        <v>44930.628472222219</v>
      </c>
      <c r="BJ12" s="165">
        <v>44934.541666666664</v>
      </c>
      <c r="BK12" s="165">
        <v>44934.791666666664</v>
      </c>
      <c r="BL12" s="165">
        <v>44934.940972222219</v>
      </c>
      <c r="BM12" s="165">
        <v>44934.961805555555</v>
      </c>
      <c r="BN12" s="165">
        <v>44934.961805555555</v>
      </c>
      <c r="BO12" s="165">
        <v>44935.527777777781</v>
      </c>
      <c r="BR12" s="136">
        <f t="shared" si="4"/>
        <v>47.25</v>
      </c>
      <c r="BS12" s="136">
        <f t="shared" si="5"/>
        <v>3.2166666666744277</v>
      </c>
      <c r="BT12" s="136">
        <f t="shared" si="6"/>
        <v>41.000000000058208</v>
      </c>
      <c r="BU12" s="136">
        <f t="shared" si="13"/>
        <v>90.999999999941792</v>
      </c>
      <c r="BV12" s="135">
        <f t="shared" si="7"/>
        <v>3.5833333333139308</v>
      </c>
      <c r="BW12" s="135">
        <f t="shared" si="8"/>
        <v>13.583333333430346</v>
      </c>
      <c r="BX12" s="134">
        <f t="shared" si="9"/>
        <v>8.3180555555591127</v>
      </c>
      <c r="BY12" s="134">
        <f t="shared" si="10"/>
        <v>15.944444444445253</v>
      </c>
      <c r="BZ12" s="133">
        <f t="shared" si="11"/>
        <v>0.52168989547057987</v>
      </c>
    </row>
    <row r="13" spans="1:79" s="126" customFormat="1">
      <c r="A13" s="192">
        <f t="shared" si="0"/>
        <v>44938.722222222219</v>
      </c>
      <c r="B13" s="126" t="s">
        <v>228</v>
      </c>
      <c r="C13" s="126" t="s">
        <v>229</v>
      </c>
      <c r="D13" s="126" t="s">
        <v>197</v>
      </c>
      <c r="E13" s="126" t="s">
        <v>236</v>
      </c>
      <c r="G13" s="73">
        <v>44944.166666666664</v>
      </c>
      <c r="H13" s="73">
        <v>44944.133333333331</v>
      </c>
      <c r="I13" s="126" t="s">
        <v>231</v>
      </c>
      <c r="J13" s="126" t="s">
        <v>192</v>
      </c>
      <c r="K13" s="126" t="s">
        <v>192</v>
      </c>
      <c r="L13" s="126" t="s">
        <v>237</v>
      </c>
      <c r="M13" s="167"/>
      <c r="N13" s="126" t="s">
        <v>238</v>
      </c>
      <c r="O13" s="126" t="s">
        <v>239</v>
      </c>
      <c r="P13" s="126" t="s">
        <v>240</v>
      </c>
      <c r="Q13" s="181">
        <f>3100*2.4</f>
        <v>7440</v>
      </c>
      <c r="R13" s="181">
        <v>7584.6319999999996</v>
      </c>
      <c r="S13" s="181"/>
      <c r="X13" s="181">
        <f>R13</f>
        <v>7584.6319999999996</v>
      </c>
      <c r="AV13" s="165">
        <f t="shared" si="1"/>
        <v>44923.5</v>
      </c>
      <c r="AW13" s="165">
        <f t="shared" si="2"/>
        <v>44946.510416666664</v>
      </c>
      <c r="AX13" s="137">
        <f t="shared" si="3"/>
        <v>23.010416666664241</v>
      </c>
      <c r="AY13" s="165">
        <v>44923.5</v>
      </c>
      <c r="AZ13" s="165">
        <v>44925.8125</v>
      </c>
      <c r="BA13" s="165">
        <v>44927.375</v>
      </c>
      <c r="BB13" s="165">
        <v>44938.722222222219</v>
      </c>
      <c r="BC13" s="165">
        <v>44938.920138888891</v>
      </c>
      <c r="BD13" s="165">
        <v>44938.923611111109</v>
      </c>
      <c r="BE13" s="165">
        <v>44938.923611111109</v>
      </c>
      <c r="BF13" s="165">
        <f t="shared" si="14"/>
        <v>44940.631944444445</v>
      </c>
      <c r="BG13" s="165">
        <v>44942.333333333336</v>
      </c>
      <c r="BH13" s="165">
        <v>44942.5</v>
      </c>
      <c r="BI13" s="165">
        <v>44942.399305555555</v>
      </c>
      <c r="BJ13" s="165">
        <v>44944.385416666664</v>
      </c>
      <c r="BK13" s="165">
        <v>44945.9375</v>
      </c>
      <c r="BL13" s="165">
        <v>44946.236111111109</v>
      </c>
      <c r="BM13" s="165">
        <v>44946.263888888891</v>
      </c>
      <c r="BN13" s="165">
        <v>44946.263888888891</v>
      </c>
      <c r="BO13" s="165">
        <v>44946.510416666664</v>
      </c>
      <c r="BR13" s="136">
        <f t="shared" si="4"/>
        <v>37.5</v>
      </c>
      <c r="BS13" s="136">
        <f t="shared" si="5"/>
        <v>4.7500000001164153</v>
      </c>
      <c r="BT13" s="136">
        <f t="shared" si="6"/>
        <v>41.000000000058208</v>
      </c>
      <c r="BU13" s="136">
        <f t="shared" si="13"/>
        <v>45.249999999941792</v>
      </c>
      <c r="BV13" s="135">
        <f t="shared" si="7"/>
        <v>7.1666666666278616</v>
      </c>
      <c r="BW13" s="135">
        <f t="shared" si="8"/>
        <v>5.9166666665696539</v>
      </c>
      <c r="BX13" s="134">
        <f t="shared" si="9"/>
        <v>5.8993055555547471</v>
      </c>
      <c r="BY13" s="134">
        <f t="shared" si="10"/>
        <v>23.010416666664241</v>
      </c>
      <c r="BZ13" s="133">
        <f t="shared" si="11"/>
        <v>0.25637543383128808</v>
      </c>
    </row>
    <row r="14" spans="1:79" s="126" customFormat="1">
      <c r="A14" s="192">
        <f t="shared" si="0"/>
        <v>44936.625</v>
      </c>
      <c r="B14" s="126" t="s">
        <v>228</v>
      </c>
      <c r="C14" s="126" t="s">
        <v>229</v>
      </c>
      <c r="D14" s="126" t="s">
        <v>215</v>
      </c>
      <c r="E14" s="126" t="s">
        <v>241</v>
      </c>
      <c r="F14" s="126" t="s">
        <v>242</v>
      </c>
      <c r="G14" s="73">
        <v>44952.4375</v>
      </c>
      <c r="H14" s="73">
        <v>44952.388888888891</v>
      </c>
      <c r="I14" s="126" t="s">
        <v>243</v>
      </c>
      <c r="J14" s="126" t="s">
        <v>192</v>
      </c>
      <c r="K14" s="126" t="s">
        <v>192</v>
      </c>
      <c r="L14" s="126" t="s">
        <v>244</v>
      </c>
      <c r="M14" s="167"/>
      <c r="N14" s="126" t="s">
        <v>218</v>
      </c>
      <c r="O14" s="126" t="s">
        <v>219</v>
      </c>
      <c r="P14" s="126" t="s">
        <v>235</v>
      </c>
      <c r="Q14" s="181">
        <f>3087*2.4</f>
        <v>7408.7999999999993</v>
      </c>
      <c r="R14" s="181">
        <v>7500.183</v>
      </c>
      <c r="S14" s="181"/>
      <c r="W14" s="181">
        <f>R14</f>
        <v>7500.183</v>
      </c>
      <c r="AV14" s="165">
        <f t="shared" si="1"/>
        <v>44923.979166666664</v>
      </c>
      <c r="AW14" s="165">
        <f t="shared" si="2"/>
        <v>44947.923611111109</v>
      </c>
      <c r="AX14" s="137">
        <f t="shared" si="3"/>
        <v>23.944444444445253</v>
      </c>
      <c r="AY14" s="165">
        <v>44923.979166666664</v>
      </c>
      <c r="AZ14" s="165">
        <v>44924.820833333331</v>
      </c>
      <c r="BA14" s="165">
        <v>44926.763888888891</v>
      </c>
      <c r="BB14" s="165">
        <v>44936.625</v>
      </c>
      <c r="BC14" s="165">
        <v>44936.763888888891</v>
      </c>
      <c r="BD14" s="165">
        <v>44936.770833333336</v>
      </c>
      <c r="BE14" s="165">
        <v>44936.770833333336</v>
      </c>
      <c r="BF14" s="165">
        <f t="shared" si="14"/>
        <v>44938.479166666672</v>
      </c>
      <c r="BG14" s="165">
        <v>44939.291666666664</v>
      </c>
      <c r="BH14" s="165">
        <v>44939.458333333328</v>
      </c>
      <c r="BI14" s="165">
        <v>44939.402777777781</v>
      </c>
      <c r="BJ14" s="165">
        <v>44941.010416666664</v>
      </c>
      <c r="BK14" s="165">
        <v>44947.260416666664</v>
      </c>
      <c r="BL14" s="165">
        <v>44947.493055555555</v>
      </c>
      <c r="BM14" s="165">
        <v>44947.520833333336</v>
      </c>
      <c r="BN14" s="165">
        <v>44947.524305555555</v>
      </c>
      <c r="BO14" s="165">
        <v>44947.923611111109</v>
      </c>
      <c r="BR14" s="136">
        <f t="shared" si="4"/>
        <v>46.633333333418705</v>
      </c>
      <c r="BS14" s="136">
        <f t="shared" si="5"/>
        <v>3.3333333333721384</v>
      </c>
      <c r="BT14" s="136">
        <f t="shared" si="6"/>
        <v>41.000000000058208</v>
      </c>
      <c r="BU14" s="136">
        <f t="shared" si="13"/>
        <v>37.250000000058208</v>
      </c>
      <c r="BV14" s="135">
        <f t="shared" si="7"/>
        <v>5.5833333333721384</v>
      </c>
      <c r="BW14" s="135">
        <f t="shared" si="8"/>
        <v>9.5833333333139308</v>
      </c>
      <c r="BX14" s="134">
        <f t="shared" si="9"/>
        <v>5.9743055555663886</v>
      </c>
      <c r="BY14" s="134">
        <f t="shared" si="10"/>
        <v>23.944444444445253</v>
      </c>
      <c r="BZ14" s="133">
        <f t="shared" si="11"/>
        <v>0.24950696055728855</v>
      </c>
    </row>
    <row r="15" spans="1:79" s="126" customFormat="1">
      <c r="A15" s="192">
        <f t="shared" si="0"/>
        <v>44936.458333333336</v>
      </c>
      <c r="B15" s="126" t="s">
        <v>228</v>
      </c>
      <c r="C15" s="126" t="s">
        <v>229</v>
      </c>
      <c r="D15" s="126" t="s">
        <v>197</v>
      </c>
      <c r="E15" s="126" t="s">
        <v>241</v>
      </c>
      <c r="F15" s="126" t="s">
        <v>242</v>
      </c>
      <c r="G15" s="73">
        <v>44952.4375</v>
      </c>
      <c r="H15" s="73">
        <v>44952.388888888891</v>
      </c>
      <c r="I15" s="126" t="s">
        <v>243</v>
      </c>
      <c r="J15" s="126" t="s">
        <v>192</v>
      </c>
      <c r="K15" s="126" t="s">
        <v>192</v>
      </c>
      <c r="L15" s="126" t="s">
        <v>245</v>
      </c>
      <c r="M15" s="167"/>
      <c r="N15" s="126" t="s">
        <v>246</v>
      </c>
      <c r="O15" s="126" t="s">
        <v>247</v>
      </c>
      <c r="P15" s="126" t="s">
        <v>240</v>
      </c>
      <c r="Q15" s="181">
        <f>3136*2.4</f>
        <v>7526.4</v>
      </c>
      <c r="R15" s="181">
        <v>7402.7449999999999</v>
      </c>
      <c r="S15" s="181"/>
      <c r="X15" s="181">
        <f t="shared" ref="X15:X20" si="15">R15</f>
        <v>7402.7449999999999</v>
      </c>
      <c r="AV15" s="165">
        <f t="shared" si="1"/>
        <v>44922.291666666664</v>
      </c>
      <c r="AW15" s="165">
        <f t="shared" si="2"/>
        <v>44945.861111111109</v>
      </c>
      <c r="AX15" s="137">
        <f t="shared" si="3"/>
        <v>23.569444444445253</v>
      </c>
      <c r="AY15" s="165">
        <v>44922.291666666664</v>
      </c>
      <c r="AZ15" s="165">
        <v>44924.822916666664</v>
      </c>
      <c r="BA15" s="165">
        <v>44926.753472222219</v>
      </c>
      <c r="BB15" s="165">
        <v>44936.458333333336</v>
      </c>
      <c r="BC15" s="165">
        <v>44936.59375</v>
      </c>
      <c r="BD15" s="165">
        <v>44936.600694444445</v>
      </c>
      <c r="BE15" s="165">
        <v>44936.600694444445</v>
      </c>
      <c r="BF15" s="165">
        <f t="shared" si="14"/>
        <v>44938.309027777781</v>
      </c>
      <c r="BG15" s="165">
        <v>44938.25</v>
      </c>
      <c r="BH15" s="165">
        <v>44938.416666666664</v>
      </c>
      <c r="BI15" s="165">
        <v>44938.423611111109</v>
      </c>
      <c r="BJ15" s="165">
        <v>44940.291666666664</v>
      </c>
      <c r="BK15" s="165">
        <v>44945.114583333336</v>
      </c>
      <c r="BL15" s="165">
        <v>44945.354166666664</v>
      </c>
      <c r="BM15" s="165">
        <v>44945.368055555555</v>
      </c>
      <c r="BN15" s="165">
        <v>44945.388888888891</v>
      </c>
      <c r="BO15" s="165">
        <v>44945.861111111109</v>
      </c>
      <c r="BR15" s="136">
        <f t="shared" si="4"/>
        <v>46.333333333313931</v>
      </c>
      <c r="BS15" s="136">
        <f t="shared" si="5"/>
        <v>3.2499999999417923</v>
      </c>
      <c r="BT15" s="136">
        <f t="shared" si="6"/>
        <v>41.000000000058208</v>
      </c>
      <c r="BU15" s="136">
        <f t="shared" si="13"/>
        <v>45</v>
      </c>
      <c r="BV15" s="135">
        <f t="shared" si="7"/>
        <v>5.7499999998835847</v>
      </c>
      <c r="BW15" s="135">
        <f t="shared" si="8"/>
        <v>11.333333333255723</v>
      </c>
      <c r="BX15" s="134">
        <f t="shared" si="9"/>
        <v>6.3611111111022183</v>
      </c>
      <c r="BY15" s="134">
        <f t="shared" si="10"/>
        <v>23.569444444445253</v>
      </c>
      <c r="BZ15" s="133">
        <f t="shared" si="11"/>
        <v>0.26988803771322567</v>
      </c>
    </row>
    <row r="16" spans="1:79" s="126" customFormat="1">
      <c r="A16" s="192">
        <f t="shared" si="0"/>
        <v>44936.225694444445</v>
      </c>
      <c r="B16" s="126" t="s">
        <v>228</v>
      </c>
      <c r="C16" s="126" t="s">
        <v>229</v>
      </c>
      <c r="D16" s="126" t="s">
        <v>197</v>
      </c>
      <c r="E16" s="126" t="s">
        <v>241</v>
      </c>
      <c r="F16" s="126" t="s">
        <v>242</v>
      </c>
      <c r="G16" s="73">
        <v>44952.4375</v>
      </c>
      <c r="H16" s="73">
        <v>44952.388888888891</v>
      </c>
      <c r="I16" s="126" t="s">
        <v>243</v>
      </c>
      <c r="J16" s="126" t="s">
        <v>192</v>
      </c>
      <c r="K16" s="126" t="s">
        <v>192</v>
      </c>
      <c r="L16" s="126" t="s">
        <v>248</v>
      </c>
      <c r="M16" s="167"/>
      <c r="N16" s="126" t="s">
        <v>249</v>
      </c>
      <c r="O16" s="126" t="s">
        <v>250</v>
      </c>
      <c r="P16" s="126" t="s">
        <v>240</v>
      </c>
      <c r="Q16" s="181">
        <f>3139*2.4</f>
        <v>7533.5999999999995</v>
      </c>
      <c r="R16" s="181">
        <v>7459.991</v>
      </c>
      <c r="S16" s="181"/>
      <c r="X16" s="181">
        <f t="shared" si="15"/>
        <v>7459.991</v>
      </c>
      <c r="AV16" s="165">
        <f t="shared" si="1"/>
        <v>44923.625</v>
      </c>
      <c r="AW16" s="165">
        <f t="shared" si="2"/>
        <v>44946.347222222219</v>
      </c>
      <c r="AX16" s="137">
        <f t="shared" si="3"/>
        <v>22.722222222218988</v>
      </c>
      <c r="AY16" s="165">
        <v>44923.625</v>
      </c>
      <c r="AZ16" s="165">
        <v>44924.813194444447</v>
      </c>
      <c r="BA16" s="165">
        <v>44926.75</v>
      </c>
      <c r="BB16" s="165">
        <v>44936.225694444445</v>
      </c>
      <c r="BC16" s="165">
        <v>44936.427083333336</v>
      </c>
      <c r="BD16" s="165">
        <v>44936.434027777781</v>
      </c>
      <c r="BE16" s="165">
        <v>44936.434027777781</v>
      </c>
      <c r="BF16" s="165">
        <f t="shared" si="14"/>
        <v>44938.142361111117</v>
      </c>
      <c r="BG16" s="165">
        <v>44938.25</v>
      </c>
      <c r="BH16" s="165">
        <v>44938.416666666664</v>
      </c>
      <c r="BI16" s="165">
        <v>44938.298611111109</v>
      </c>
      <c r="BJ16" s="165">
        <v>44940.375</v>
      </c>
      <c r="BK16" s="165">
        <v>44945.451388888891</v>
      </c>
      <c r="BL16" s="165">
        <v>44945.680555555555</v>
      </c>
      <c r="BM16" s="165">
        <v>44945.690972222219</v>
      </c>
      <c r="BN16" s="165">
        <v>44945.694444444445</v>
      </c>
      <c r="BO16" s="165">
        <v>44946.347222222219</v>
      </c>
      <c r="BR16" s="136">
        <f t="shared" si="4"/>
        <v>46.483333333279006</v>
      </c>
      <c r="BS16" s="136">
        <f t="shared" si="5"/>
        <v>4.8333333333721384</v>
      </c>
      <c r="BT16" s="136">
        <f t="shared" si="6"/>
        <v>41.000000000058208</v>
      </c>
      <c r="BU16" s="136">
        <f t="shared" si="13"/>
        <v>47.000000000058208</v>
      </c>
      <c r="BV16" s="135">
        <f t="shared" si="7"/>
        <v>5.4999999999417923</v>
      </c>
      <c r="BW16" s="135">
        <f t="shared" si="8"/>
        <v>15.666666666569654</v>
      </c>
      <c r="BX16" s="134">
        <f t="shared" si="9"/>
        <v>6.6868055555532919</v>
      </c>
      <c r="BY16" s="134">
        <f t="shared" si="10"/>
        <v>22.722222222218988</v>
      </c>
      <c r="BZ16" s="133">
        <f t="shared" si="11"/>
        <v>0.29428484107573688</v>
      </c>
    </row>
    <row r="17" spans="1:78" s="126" customFormat="1">
      <c r="A17" s="192">
        <f t="shared" si="0"/>
        <v>44935.878472222219</v>
      </c>
      <c r="B17" s="126" t="s">
        <v>228</v>
      </c>
      <c r="C17" s="126" t="s">
        <v>229</v>
      </c>
      <c r="D17" s="126" t="s">
        <v>215</v>
      </c>
      <c r="E17" s="126" t="s">
        <v>241</v>
      </c>
      <c r="F17" s="126" t="s">
        <v>242</v>
      </c>
      <c r="G17" s="73">
        <v>44952.4375</v>
      </c>
      <c r="H17" s="73">
        <v>44952.388888888891</v>
      </c>
      <c r="I17" s="126" t="s">
        <v>243</v>
      </c>
      <c r="J17" s="126" t="s">
        <v>192</v>
      </c>
      <c r="K17" s="126" t="s">
        <v>192</v>
      </c>
      <c r="L17" s="126" t="s">
        <v>251</v>
      </c>
      <c r="M17" s="167"/>
      <c r="N17" s="126" t="s">
        <v>252</v>
      </c>
      <c r="O17" s="126" t="s">
        <v>253</v>
      </c>
      <c r="P17" s="126" t="s">
        <v>240</v>
      </c>
      <c r="Q17" s="181">
        <f>3107*2.4</f>
        <v>7456.7999999999993</v>
      </c>
      <c r="R17" s="181">
        <v>7523.6559999999999</v>
      </c>
      <c r="S17" s="181"/>
      <c r="X17" s="181">
        <f t="shared" si="15"/>
        <v>7523.6559999999999</v>
      </c>
      <c r="AV17" s="165">
        <f t="shared" si="1"/>
        <v>44923.666666666664</v>
      </c>
      <c r="AW17" s="165">
        <f t="shared" si="2"/>
        <v>44947.447916666664</v>
      </c>
      <c r="AX17" s="137">
        <f t="shared" si="3"/>
        <v>23.78125</v>
      </c>
      <c r="AY17" s="165">
        <v>44923.666666666664</v>
      </c>
      <c r="AZ17" s="165">
        <v>44924.572916666664</v>
      </c>
      <c r="BA17" s="165">
        <v>44926.197916666664</v>
      </c>
      <c r="BB17" s="165">
        <v>44935.878472222219</v>
      </c>
      <c r="BC17" s="165">
        <v>44936.01458333333</v>
      </c>
      <c r="BD17" s="165">
        <v>44936.020833333336</v>
      </c>
      <c r="BE17" s="165">
        <v>44936.027777777781</v>
      </c>
      <c r="BF17" s="165">
        <f t="shared" si="14"/>
        <v>44937.736111111117</v>
      </c>
      <c r="BG17" s="165">
        <v>44938.25</v>
      </c>
      <c r="BH17" s="165">
        <v>44938.416666666664</v>
      </c>
      <c r="BI17" s="165">
        <v>44938.322916666664</v>
      </c>
      <c r="BJ17" s="165">
        <v>44940.25</v>
      </c>
      <c r="BK17" s="165">
        <v>44945.427083333336</v>
      </c>
      <c r="BL17" s="165">
        <v>44946.9375</v>
      </c>
      <c r="BM17" s="165">
        <v>44946.965277777781</v>
      </c>
      <c r="BN17" s="165">
        <v>44946.96875</v>
      </c>
      <c r="BO17" s="165">
        <v>44947.447916666664</v>
      </c>
      <c r="BR17" s="136">
        <f t="shared" si="4"/>
        <v>39</v>
      </c>
      <c r="BS17" s="136">
        <f t="shared" si="5"/>
        <v>3.2666666666627862</v>
      </c>
      <c r="BT17" s="136">
        <f t="shared" si="6"/>
        <v>41.000000000058208</v>
      </c>
      <c r="BU17" s="136">
        <f t="shared" si="13"/>
        <v>44.000000000058208</v>
      </c>
      <c r="BV17" s="135">
        <f t="shared" si="7"/>
        <v>36.249999999941792</v>
      </c>
      <c r="BW17" s="135">
        <f t="shared" si="8"/>
        <v>11.499999999941792</v>
      </c>
      <c r="BX17" s="134">
        <f t="shared" si="9"/>
        <v>7.2923611111109494</v>
      </c>
      <c r="BY17" s="134">
        <f t="shared" si="10"/>
        <v>23.78125</v>
      </c>
      <c r="BZ17" s="133">
        <f t="shared" si="11"/>
        <v>0.30664330559205044</v>
      </c>
    </row>
    <row r="18" spans="1:78" s="126" customFormat="1">
      <c r="A18" s="192">
        <f t="shared" si="0"/>
        <v>44936.05</v>
      </c>
      <c r="B18" s="126" t="s">
        <v>228</v>
      </c>
      <c r="C18" s="126" t="s">
        <v>229</v>
      </c>
      <c r="D18" s="126" t="s">
        <v>197</v>
      </c>
      <c r="E18" s="126" t="s">
        <v>241</v>
      </c>
      <c r="F18" s="126" t="s">
        <v>242</v>
      </c>
      <c r="G18" s="73">
        <v>44952.4375</v>
      </c>
      <c r="H18" s="73">
        <v>44952.388888888891</v>
      </c>
      <c r="I18" s="126" t="s">
        <v>243</v>
      </c>
      <c r="J18" s="126" t="s">
        <v>192</v>
      </c>
      <c r="K18" s="126" t="s">
        <v>192</v>
      </c>
      <c r="L18" s="126" t="s">
        <v>254</v>
      </c>
      <c r="M18" s="167"/>
      <c r="N18" s="126" t="s">
        <v>70</v>
      </c>
      <c r="O18" s="126" t="s">
        <v>255</v>
      </c>
      <c r="P18" s="126" t="s">
        <v>240</v>
      </c>
      <c r="Q18" s="181">
        <f>3047*2.4</f>
        <v>7312.8</v>
      </c>
      <c r="R18" s="181">
        <v>7400.0370000000003</v>
      </c>
      <c r="S18" s="181"/>
      <c r="X18" s="181">
        <f t="shared" si="15"/>
        <v>7400.0370000000003</v>
      </c>
      <c r="AV18" s="165">
        <f t="shared" si="1"/>
        <v>44924.090277777781</v>
      </c>
      <c r="AW18" s="165">
        <f t="shared" si="2"/>
        <v>44948.8125</v>
      </c>
      <c r="AX18" s="137">
        <f t="shared" si="3"/>
        <v>24.722222222218988</v>
      </c>
      <c r="AY18" s="165">
        <v>44924.090277777781</v>
      </c>
      <c r="AZ18" s="165">
        <v>44924.861111111109</v>
      </c>
      <c r="BA18" s="165">
        <v>44926.611111111109</v>
      </c>
      <c r="BB18" s="165">
        <v>44936.05</v>
      </c>
      <c r="BC18" s="165">
        <v>44936.215277777781</v>
      </c>
      <c r="BD18" s="165">
        <v>44936.215277777781</v>
      </c>
      <c r="BE18" s="165">
        <v>44936.215277777781</v>
      </c>
      <c r="BF18" s="165">
        <f t="shared" si="14"/>
        <v>44937.923611111117</v>
      </c>
      <c r="BG18" s="165">
        <v>44939.291666666664</v>
      </c>
      <c r="BH18" s="165">
        <v>44939.458333333328</v>
      </c>
      <c r="BI18" s="165">
        <v>44939.371527777781</v>
      </c>
      <c r="BJ18" s="165">
        <v>44941.083333333336</v>
      </c>
      <c r="BK18" s="165">
        <v>44947.909722222219</v>
      </c>
      <c r="BL18" s="165">
        <v>44948.170138888891</v>
      </c>
      <c r="BM18" s="165">
        <v>44948.239583333336</v>
      </c>
      <c r="BN18" s="165">
        <v>44948.243055555555</v>
      </c>
      <c r="BO18" s="165">
        <v>44948.8125</v>
      </c>
      <c r="BR18" s="136">
        <f t="shared" si="4"/>
        <v>42</v>
      </c>
      <c r="BS18" s="136">
        <f t="shared" si="5"/>
        <v>3.9666666666744277</v>
      </c>
      <c r="BT18" s="136">
        <f t="shared" si="6"/>
        <v>41.000000000058208</v>
      </c>
      <c r="BU18" s="136">
        <f t="shared" si="13"/>
        <v>39.000000000174623</v>
      </c>
      <c r="BV18" s="135">
        <f t="shared" si="7"/>
        <v>6.2500000001164153</v>
      </c>
      <c r="BW18" s="135">
        <f t="shared" si="8"/>
        <v>13.666666666686069</v>
      </c>
      <c r="BX18" s="134">
        <f t="shared" si="9"/>
        <v>6.078472222237906</v>
      </c>
      <c r="BY18" s="134">
        <f t="shared" si="10"/>
        <v>24.722222222218988</v>
      </c>
      <c r="BZ18" s="133">
        <f t="shared" si="11"/>
        <v>0.24587078651752048</v>
      </c>
    </row>
    <row r="19" spans="1:78" s="126" customFormat="1">
      <c r="A19" s="192">
        <f t="shared" si="0"/>
        <v>44938.038194444445</v>
      </c>
      <c r="B19" s="126" t="s">
        <v>228</v>
      </c>
      <c r="C19" s="126" t="s">
        <v>229</v>
      </c>
      <c r="D19" s="126" t="s">
        <v>197</v>
      </c>
      <c r="E19" s="126" t="s">
        <v>236</v>
      </c>
      <c r="G19" s="73">
        <v>44944.166666666664</v>
      </c>
      <c r="H19" s="73">
        <v>44944.133333333331</v>
      </c>
      <c r="I19" s="126" t="s">
        <v>231</v>
      </c>
      <c r="J19" s="126" t="s">
        <v>192</v>
      </c>
      <c r="K19" s="126" t="s">
        <v>192</v>
      </c>
      <c r="L19" s="126" t="s">
        <v>256</v>
      </c>
      <c r="M19" s="167"/>
      <c r="N19" s="126" t="s">
        <v>257</v>
      </c>
      <c r="O19" s="126" t="s">
        <v>258</v>
      </c>
      <c r="P19" s="126" t="s">
        <v>240</v>
      </c>
      <c r="Q19" s="181">
        <f>3139*2.4</f>
        <v>7533.5999999999995</v>
      </c>
      <c r="R19" s="181">
        <v>7584.4070000000002</v>
      </c>
      <c r="S19" s="181"/>
      <c r="X19" s="181">
        <f t="shared" si="15"/>
        <v>7584.4070000000002</v>
      </c>
      <c r="AV19" s="165">
        <f t="shared" si="1"/>
        <v>44923.583333333336</v>
      </c>
      <c r="AW19" s="165">
        <f t="shared" si="2"/>
        <v>44946.309027777781</v>
      </c>
      <c r="AX19" s="137">
        <f t="shared" si="3"/>
        <v>22.725694444445253</v>
      </c>
      <c r="AY19" s="165">
        <v>44923.583333333336</v>
      </c>
      <c r="AZ19" s="165">
        <v>44925.576388888891</v>
      </c>
      <c r="BA19" s="165">
        <v>44927.277777777781</v>
      </c>
      <c r="BB19" s="165">
        <v>44938.038194444445</v>
      </c>
      <c r="BC19" s="165">
        <v>44938.17083333333</v>
      </c>
      <c r="BD19" s="165">
        <v>44938.1875</v>
      </c>
      <c r="BE19" s="165">
        <v>44938.1875</v>
      </c>
      <c r="BF19" s="165">
        <f t="shared" si="14"/>
        <v>44939.895833333336</v>
      </c>
      <c r="BG19" s="165">
        <v>44941.333333333336</v>
      </c>
      <c r="BH19" s="165">
        <v>44941.5</v>
      </c>
      <c r="BI19" s="165">
        <v>44941.482638888891</v>
      </c>
      <c r="BJ19" s="165">
        <v>44944.354166666664</v>
      </c>
      <c r="BK19" s="165">
        <v>44945.541666666664</v>
      </c>
      <c r="BL19" s="165">
        <v>44945.868055555555</v>
      </c>
      <c r="BM19" s="165">
        <v>44945.895833333336</v>
      </c>
      <c r="BN19" s="165">
        <v>44946.0625</v>
      </c>
      <c r="BO19" s="165">
        <v>44946.309027777781</v>
      </c>
      <c r="BR19" s="136">
        <f t="shared" si="4"/>
        <v>40.833333333372138</v>
      </c>
      <c r="BS19" s="136">
        <f t="shared" si="5"/>
        <v>3.1833333332324401</v>
      </c>
      <c r="BT19" s="136">
        <f t="shared" si="6"/>
        <v>41.000000000058208</v>
      </c>
      <c r="BU19" s="136">
        <f t="shared" si="13"/>
        <v>68.499999999941792</v>
      </c>
      <c r="BV19" s="135">
        <f t="shared" si="7"/>
        <v>7.8333333333721384</v>
      </c>
      <c r="BW19" s="135">
        <f t="shared" si="8"/>
        <v>5.9166666667442769</v>
      </c>
      <c r="BX19" s="134">
        <f t="shared" si="9"/>
        <v>6.9694444444467081</v>
      </c>
      <c r="BY19" s="134">
        <f t="shared" si="10"/>
        <v>22.725694444445253</v>
      </c>
      <c r="BZ19" s="133">
        <f t="shared" si="11"/>
        <v>0.30667685255929422</v>
      </c>
    </row>
    <row r="20" spans="1:78" s="126" customFormat="1">
      <c r="A20" s="192">
        <f t="shared" si="0"/>
        <v>44939.336805555555</v>
      </c>
      <c r="B20" s="126" t="s">
        <v>228</v>
      </c>
      <c r="C20" s="126" t="s">
        <v>229</v>
      </c>
      <c r="D20" s="126" t="s">
        <v>197</v>
      </c>
      <c r="E20" s="126" t="s">
        <v>236</v>
      </c>
      <c r="G20" s="73">
        <v>44944.166666666664</v>
      </c>
      <c r="H20" s="73">
        <v>44944.133333333331</v>
      </c>
      <c r="I20" s="126" t="s">
        <v>231</v>
      </c>
      <c r="J20" s="126" t="s">
        <v>192</v>
      </c>
      <c r="K20" s="126" t="s">
        <v>192</v>
      </c>
      <c r="L20" s="126" t="s">
        <v>259</v>
      </c>
      <c r="M20" s="167"/>
      <c r="N20" s="126" t="s">
        <v>260</v>
      </c>
      <c r="O20" s="126" t="s">
        <v>261</v>
      </c>
      <c r="P20" s="126" t="s">
        <v>240</v>
      </c>
      <c r="Q20" s="181">
        <f>3107*2.4</f>
        <v>7456.7999999999993</v>
      </c>
      <c r="R20" s="181">
        <v>7562.5990000000002</v>
      </c>
      <c r="S20" s="181"/>
      <c r="X20" s="181">
        <f t="shared" si="15"/>
        <v>7562.5990000000002</v>
      </c>
      <c r="AV20" s="165">
        <f t="shared" si="1"/>
        <v>44924.493055555555</v>
      </c>
      <c r="AW20" s="165">
        <f t="shared" si="2"/>
        <v>44947.378472222219</v>
      </c>
      <c r="AX20" s="137">
        <f t="shared" si="3"/>
        <v>22.885416666664241</v>
      </c>
      <c r="AY20" s="165">
        <v>44924.493055555555</v>
      </c>
      <c r="AZ20" s="165">
        <v>44926.621527777781</v>
      </c>
      <c r="BA20" s="165">
        <v>44928.5</v>
      </c>
      <c r="BB20" s="165">
        <v>44939.336805555555</v>
      </c>
      <c r="BC20" s="165">
        <v>44939.524305555555</v>
      </c>
      <c r="BD20" s="165">
        <v>44939.527777777781</v>
      </c>
      <c r="BE20" s="165">
        <v>44939.527777777781</v>
      </c>
      <c r="BF20" s="165">
        <f t="shared" si="14"/>
        <v>44941.236111111117</v>
      </c>
      <c r="BG20" s="165">
        <v>44941.333333333336</v>
      </c>
      <c r="BH20" s="165">
        <v>44941.5</v>
      </c>
      <c r="BI20" s="165">
        <v>44941.354166666664</v>
      </c>
      <c r="BJ20" s="165">
        <v>44944.375</v>
      </c>
      <c r="BK20" s="165">
        <v>44946.6875</v>
      </c>
      <c r="BL20" s="165">
        <v>44946.875</v>
      </c>
      <c r="BM20" s="165">
        <v>44946.888888888891</v>
      </c>
      <c r="BN20" s="165">
        <v>44947.1875</v>
      </c>
      <c r="BO20" s="165">
        <v>44947.378472222219</v>
      </c>
      <c r="BR20" s="136">
        <f t="shared" si="4"/>
        <v>45.083333333255723</v>
      </c>
      <c r="BS20" s="136">
        <f t="shared" si="5"/>
        <v>4.5</v>
      </c>
      <c r="BT20" s="136">
        <f t="shared" si="6"/>
        <v>41.000000000058208</v>
      </c>
      <c r="BU20" s="136">
        <f t="shared" si="13"/>
        <v>69</v>
      </c>
      <c r="BV20" s="135">
        <f t="shared" si="7"/>
        <v>4.5</v>
      </c>
      <c r="BW20" s="135">
        <f t="shared" si="8"/>
        <v>4.5833333332557231</v>
      </c>
      <c r="BX20" s="134">
        <f t="shared" si="9"/>
        <v>7.0277777777737356</v>
      </c>
      <c r="BY20" s="134">
        <f t="shared" si="10"/>
        <v>22.885416666664241</v>
      </c>
      <c r="BZ20" s="133">
        <f t="shared" si="11"/>
        <v>0.30708541951131091</v>
      </c>
    </row>
    <row r="21" spans="1:78" s="126" customFormat="1">
      <c r="A21" s="192">
        <f t="shared" si="0"/>
        <v>44937.677083333336</v>
      </c>
      <c r="B21" s="126" t="s">
        <v>228</v>
      </c>
      <c r="C21" s="126" t="s">
        <v>229</v>
      </c>
      <c r="D21" s="126" t="s">
        <v>197</v>
      </c>
      <c r="E21" s="126" t="s">
        <v>198</v>
      </c>
      <c r="G21" s="165">
        <v>44943.166666666664</v>
      </c>
      <c r="H21" s="165">
        <v>44943.166666666664</v>
      </c>
      <c r="I21" s="126" t="s">
        <v>243</v>
      </c>
      <c r="J21" s="126" t="s">
        <v>192</v>
      </c>
      <c r="K21" s="126" t="s">
        <v>192</v>
      </c>
      <c r="L21" s="126" t="s">
        <v>262</v>
      </c>
      <c r="M21" s="167"/>
      <c r="N21" s="126" t="s">
        <v>263</v>
      </c>
      <c r="O21" s="126" t="s">
        <v>264</v>
      </c>
      <c r="P21" s="126" t="s">
        <v>265</v>
      </c>
      <c r="Q21" s="181">
        <f>3136*2.4</f>
        <v>7526.4</v>
      </c>
      <c r="R21" s="181">
        <v>7557.3320000000003</v>
      </c>
      <c r="S21" s="181"/>
      <c r="W21" s="181">
        <f>R21*0.65</f>
        <v>4912.2658000000001</v>
      </c>
      <c r="X21" s="181">
        <f>R21*0.35</f>
        <v>2645.0661999999998</v>
      </c>
      <c r="AV21" s="165">
        <f t="shared" si="1"/>
        <v>44924.534722222219</v>
      </c>
      <c r="AW21" s="165">
        <f t="shared" si="2"/>
        <v>44944.625</v>
      </c>
      <c r="AX21" s="137">
        <f t="shared" si="3"/>
        <v>20.090277777781012</v>
      </c>
      <c r="AY21" s="165">
        <v>44924.534722222219</v>
      </c>
      <c r="AZ21" s="165">
        <v>44925.583333333336</v>
      </c>
      <c r="BA21" s="165">
        <v>44927.020833333336</v>
      </c>
      <c r="BB21" s="165">
        <v>44937.677083333336</v>
      </c>
      <c r="BC21" s="165">
        <v>44937.843055555553</v>
      </c>
      <c r="BD21" s="165">
        <v>44937.854166666664</v>
      </c>
      <c r="BE21" s="165">
        <v>44937.854166666664</v>
      </c>
      <c r="BF21" s="165">
        <f t="shared" si="14"/>
        <v>44939.5625</v>
      </c>
      <c r="BG21" s="165">
        <v>44939.291666666664</v>
      </c>
      <c r="BH21" s="165">
        <v>44939.458333333328</v>
      </c>
      <c r="BI21" s="165">
        <v>44939.46875</v>
      </c>
      <c r="BJ21" s="165">
        <v>44941.149305555555</v>
      </c>
      <c r="BK21" s="165">
        <v>44943.972222222219</v>
      </c>
      <c r="BL21" s="165">
        <v>44944.184027777781</v>
      </c>
      <c r="BM21" s="165">
        <v>44944.222222222219</v>
      </c>
      <c r="BN21" s="165">
        <v>44944.225694444445</v>
      </c>
      <c r="BO21" s="165">
        <v>44944.625</v>
      </c>
      <c r="BR21" s="136">
        <f t="shared" si="4"/>
        <v>34.5</v>
      </c>
      <c r="BS21" s="136">
        <f t="shared" si="5"/>
        <v>3.9833333332207985</v>
      </c>
      <c r="BT21" s="136">
        <f t="shared" si="6"/>
        <v>41.000000000058208</v>
      </c>
      <c r="BU21" s="136">
        <f t="shared" si="13"/>
        <v>40.583333333430346</v>
      </c>
      <c r="BV21" s="135">
        <f t="shared" si="7"/>
        <v>5.0833333334885538</v>
      </c>
      <c r="BW21" s="135">
        <f t="shared" si="8"/>
        <v>9.5833333333139308</v>
      </c>
      <c r="BX21" s="134">
        <f t="shared" si="9"/>
        <v>5.6138888888963265</v>
      </c>
      <c r="BY21" s="134">
        <f t="shared" si="10"/>
        <v>20.090277777781012</v>
      </c>
      <c r="BZ21" s="133">
        <f t="shared" si="11"/>
        <v>0.27943311441442825</v>
      </c>
    </row>
    <row r="22" spans="1:78" s="126" customFormat="1">
      <c r="A22" s="192">
        <f t="shared" si="0"/>
        <v>44938.215277777781</v>
      </c>
      <c r="B22" s="126" t="s">
        <v>228</v>
      </c>
      <c r="C22" s="126" t="s">
        <v>229</v>
      </c>
      <c r="D22" s="126" t="s">
        <v>197</v>
      </c>
      <c r="E22" s="126" t="s">
        <v>236</v>
      </c>
      <c r="G22" s="73">
        <v>44944.166666666664</v>
      </c>
      <c r="H22" s="73">
        <v>44944.133333333331</v>
      </c>
      <c r="I22" s="126" t="s">
        <v>231</v>
      </c>
      <c r="J22" s="126" t="s">
        <v>192</v>
      </c>
      <c r="K22" s="126" t="s">
        <v>192</v>
      </c>
      <c r="L22" s="126" t="s">
        <v>266</v>
      </c>
      <c r="M22" s="167"/>
      <c r="N22" s="126" t="s">
        <v>267</v>
      </c>
      <c r="O22" s="126" t="s">
        <v>268</v>
      </c>
      <c r="P22" s="126" t="s">
        <v>240</v>
      </c>
      <c r="Q22" s="181">
        <f>3142*2.4</f>
        <v>7540.7999999999993</v>
      </c>
      <c r="R22" s="181">
        <v>7441.5240000000003</v>
      </c>
      <c r="S22" s="181"/>
      <c r="X22" s="181">
        <f>R22</f>
        <v>7441.5240000000003</v>
      </c>
      <c r="AV22" s="165">
        <f t="shared" si="1"/>
        <v>44924.159722222219</v>
      </c>
      <c r="AW22" s="165">
        <f t="shared" si="2"/>
        <v>44946.9375</v>
      </c>
      <c r="AX22" s="137">
        <f t="shared" si="3"/>
        <v>22.777777777781012</v>
      </c>
      <c r="AY22" s="165">
        <v>44924.159722222219</v>
      </c>
      <c r="AZ22" s="165">
        <v>44925.552083333336</v>
      </c>
      <c r="BA22" s="165">
        <v>44927.34375</v>
      </c>
      <c r="BB22" s="165">
        <v>44938.215277777781</v>
      </c>
      <c r="BC22" s="165">
        <v>44938.486111111109</v>
      </c>
      <c r="BD22" s="165">
        <v>44938.489583333336</v>
      </c>
      <c r="BE22" s="165">
        <v>44938.489583333336</v>
      </c>
      <c r="BF22" s="165">
        <f t="shared" si="14"/>
        <v>44940.197916666672</v>
      </c>
      <c r="BG22" s="165">
        <v>44940.291666608799</v>
      </c>
      <c r="BH22" s="165">
        <v>44940.458333275463</v>
      </c>
      <c r="BI22" s="210">
        <v>44940.392361111109</v>
      </c>
      <c r="BJ22" s="165">
        <v>44944.388888888891</v>
      </c>
      <c r="BK22" s="165">
        <v>44946.3125</v>
      </c>
      <c r="BL22" s="165">
        <v>44946.645833333336</v>
      </c>
      <c r="BM22" s="165">
        <v>44946.666666666664</v>
      </c>
      <c r="BN22" s="165">
        <v>44946.666666666664</v>
      </c>
      <c r="BO22" s="165">
        <v>44946.9375</v>
      </c>
      <c r="BR22" s="136">
        <f t="shared" si="4"/>
        <v>42.999999999941792</v>
      </c>
      <c r="BS22" s="136">
        <f t="shared" si="5"/>
        <v>6.4999999998835847</v>
      </c>
      <c r="BT22" s="136">
        <f t="shared" si="6"/>
        <v>41.000000000058208</v>
      </c>
      <c r="BU22" s="136">
        <f t="shared" si="13"/>
        <v>94.333334722265135</v>
      </c>
      <c r="BV22" s="135">
        <f t="shared" si="7"/>
        <v>8.0000000000582077</v>
      </c>
      <c r="BW22" s="135">
        <f t="shared" si="8"/>
        <v>6.5000000000582077</v>
      </c>
      <c r="BX22" s="134">
        <f t="shared" si="9"/>
        <v>8.305555613427714</v>
      </c>
      <c r="BY22" s="134">
        <f t="shared" si="10"/>
        <v>22.777777777781012</v>
      </c>
      <c r="BZ22" s="133">
        <f t="shared" si="11"/>
        <v>0.36463414888214057</v>
      </c>
    </row>
    <row r="23" spans="1:78" s="126" customFormat="1">
      <c r="A23" s="192">
        <f t="shared" si="0"/>
        <v>44938.517361111109</v>
      </c>
      <c r="B23" s="126" t="s">
        <v>228</v>
      </c>
      <c r="C23" s="126" t="s">
        <v>229</v>
      </c>
      <c r="D23" s="126" t="s">
        <v>197</v>
      </c>
      <c r="E23" s="126" t="s">
        <v>236</v>
      </c>
      <c r="G23" s="73">
        <v>44944.166666666664</v>
      </c>
      <c r="H23" s="73">
        <v>44944.133333333331</v>
      </c>
      <c r="I23" s="126" t="s">
        <v>231</v>
      </c>
      <c r="J23" s="126" t="s">
        <v>192</v>
      </c>
      <c r="K23" s="126" t="s">
        <v>192</v>
      </c>
      <c r="L23" s="126" t="s">
        <v>269</v>
      </c>
      <c r="M23" s="167"/>
      <c r="N23" s="126" t="s">
        <v>226</v>
      </c>
      <c r="O23" s="126" t="s">
        <v>227</v>
      </c>
      <c r="P23" s="126" t="s">
        <v>240</v>
      </c>
      <c r="Q23" s="181">
        <f>3100*2.4</f>
        <v>7440</v>
      </c>
      <c r="R23" s="181">
        <v>7458.4160000000002</v>
      </c>
      <c r="S23" s="181"/>
      <c r="X23" s="181">
        <f>R23</f>
        <v>7458.4160000000002</v>
      </c>
      <c r="AV23" s="165">
        <f t="shared" si="1"/>
        <v>44924.652777777781</v>
      </c>
      <c r="AW23" s="165">
        <f t="shared" si="2"/>
        <v>44947.381944444445</v>
      </c>
      <c r="AX23" s="137">
        <f t="shared" si="3"/>
        <v>22.729166666664241</v>
      </c>
      <c r="AY23" s="165">
        <v>44924.652777777781</v>
      </c>
      <c r="AZ23" s="165">
        <v>44925.670138888891</v>
      </c>
      <c r="BA23" s="165">
        <v>44927.350694444445</v>
      </c>
      <c r="BB23" s="165">
        <v>44938.517361111109</v>
      </c>
      <c r="BC23" s="165">
        <v>44938.690972222219</v>
      </c>
      <c r="BD23" s="165">
        <v>44938.694444444445</v>
      </c>
      <c r="BE23" s="165">
        <v>44938.694444444445</v>
      </c>
      <c r="BF23" s="165">
        <f t="shared" si="14"/>
        <v>44940.402777777781</v>
      </c>
      <c r="BG23" s="165">
        <v>44940.291666608799</v>
      </c>
      <c r="BH23" s="165">
        <v>44940.458333275463</v>
      </c>
      <c r="BI23" s="165">
        <v>44940.364583333336</v>
      </c>
      <c r="BJ23" s="165">
        <v>44944.381944444445</v>
      </c>
      <c r="BK23" s="165">
        <v>44946.916666666664</v>
      </c>
      <c r="BL23" s="165">
        <v>44947.104166666664</v>
      </c>
      <c r="BM23" s="165">
        <v>44947.118055555555</v>
      </c>
      <c r="BN23" s="165">
        <v>44947.118055555555</v>
      </c>
      <c r="BO23" s="165">
        <v>44947.381944444445</v>
      </c>
      <c r="BR23" s="136">
        <f t="shared" si="4"/>
        <v>40.333333333313931</v>
      </c>
      <c r="BS23" s="136">
        <f t="shared" si="5"/>
        <v>4.1666666666278616</v>
      </c>
      <c r="BT23" s="136">
        <f t="shared" si="6"/>
        <v>41.000000000058208</v>
      </c>
      <c r="BU23" s="136">
        <f t="shared" si="13"/>
        <v>94.166668055579066</v>
      </c>
      <c r="BV23" s="135">
        <f t="shared" si="7"/>
        <v>4.5</v>
      </c>
      <c r="BW23" s="135">
        <f t="shared" si="8"/>
        <v>6.3333333333721384</v>
      </c>
      <c r="BX23" s="134">
        <f t="shared" si="9"/>
        <v>7.9375000578729669</v>
      </c>
      <c r="BY23" s="134">
        <f t="shared" si="10"/>
        <v>22.729166666664241</v>
      </c>
      <c r="BZ23" s="133">
        <f t="shared" si="11"/>
        <v>0.34922090080471407</v>
      </c>
    </row>
    <row r="24" spans="1:78" s="126" customFormat="1">
      <c r="A24" s="192">
        <f t="shared" si="0"/>
        <v>44939.552083333336</v>
      </c>
      <c r="B24" s="126" t="s">
        <v>228</v>
      </c>
      <c r="C24" s="126" t="s">
        <v>229</v>
      </c>
      <c r="D24" s="126" t="s">
        <v>215</v>
      </c>
      <c r="E24" s="126" t="s">
        <v>236</v>
      </c>
      <c r="G24" s="73">
        <v>44944.166666666664</v>
      </c>
      <c r="H24" s="73">
        <v>44944.133333333331</v>
      </c>
      <c r="I24" s="126" t="s">
        <v>231</v>
      </c>
      <c r="J24" s="126" t="s">
        <v>192</v>
      </c>
      <c r="K24" s="126" t="s">
        <v>192</v>
      </c>
      <c r="L24" s="126" t="s">
        <v>270</v>
      </c>
      <c r="M24" s="167"/>
      <c r="N24" s="126" t="s">
        <v>271</v>
      </c>
      <c r="O24" s="126" t="s">
        <v>272</v>
      </c>
      <c r="P24" s="126" t="s">
        <v>240</v>
      </c>
      <c r="Q24" s="181">
        <f>3852*2.4</f>
        <v>9244.7999999999993</v>
      </c>
      <c r="R24" s="181">
        <v>9008.3430000000008</v>
      </c>
      <c r="S24" s="181"/>
      <c r="X24" s="181">
        <f>R24</f>
        <v>9008.3430000000008</v>
      </c>
      <c r="AV24" s="165">
        <f t="shared" si="1"/>
        <v>44925.513888888891</v>
      </c>
      <c r="AW24" s="165">
        <f t="shared" si="2"/>
        <v>44948.21875</v>
      </c>
      <c r="AX24" s="137">
        <f t="shared" si="3"/>
        <v>22.704861111109494</v>
      </c>
      <c r="AY24" s="165">
        <v>44925.513888888891</v>
      </c>
      <c r="AZ24" s="165">
        <v>44927.399305555555</v>
      </c>
      <c r="BA24" s="165">
        <v>44929.138888888891</v>
      </c>
      <c r="BB24" s="165">
        <v>44939.552083333336</v>
      </c>
      <c r="BC24" s="165">
        <v>44939.722222222219</v>
      </c>
      <c r="BD24" s="165">
        <v>44939.725694444445</v>
      </c>
      <c r="BE24" s="165">
        <v>44939.725694444445</v>
      </c>
      <c r="BF24" s="165">
        <f t="shared" si="14"/>
        <v>44941.434027777781</v>
      </c>
      <c r="BG24" s="165">
        <v>44941.333333333336</v>
      </c>
      <c r="BH24" s="165">
        <v>44941.5</v>
      </c>
      <c r="BI24" s="165">
        <v>44941.430555555555</v>
      </c>
      <c r="BJ24" s="165">
        <v>44944.423611111109</v>
      </c>
      <c r="BK24" s="165">
        <v>44947.138888888891</v>
      </c>
      <c r="BL24" s="165">
        <v>44947.847222222219</v>
      </c>
      <c r="BM24" s="165">
        <v>44947.861111111109</v>
      </c>
      <c r="BN24" s="165">
        <v>44947.861111111109</v>
      </c>
      <c r="BO24" s="165">
        <v>44948.21875</v>
      </c>
      <c r="BR24" s="136">
        <f t="shared" si="4"/>
        <v>41.750000000058208</v>
      </c>
      <c r="BS24" s="136">
        <f t="shared" si="5"/>
        <v>4.0833333331975155</v>
      </c>
      <c r="BT24" s="136">
        <f t="shared" si="6"/>
        <v>41.000000000058208</v>
      </c>
      <c r="BU24" s="136">
        <f t="shared" si="13"/>
        <v>70.166666666627862</v>
      </c>
      <c r="BV24" s="135">
        <f t="shared" si="7"/>
        <v>16.999999999883585</v>
      </c>
      <c r="BW24" s="135">
        <f t="shared" si="8"/>
        <v>8.5833333333721384</v>
      </c>
      <c r="BX24" s="134">
        <f t="shared" si="9"/>
        <v>7.6076388888832298</v>
      </c>
      <c r="BY24" s="134">
        <f t="shared" si="10"/>
        <v>22.704861111109494</v>
      </c>
      <c r="BZ24" s="133">
        <f t="shared" si="11"/>
        <v>0.33506652393309777</v>
      </c>
    </row>
    <row r="25" spans="1:78" s="126" customFormat="1">
      <c r="A25" s="192">
        <f t="shared" si="0"/>
        <v>44937.881249999999</v>
      </c>
      <c r="B25" s="126" t="s">
        <v>228</v>
      </c>
      <c r="C25" s="126" t="s">
        <v>229</v>
      </c>
      <c r="D25" s="126" t="s">
        <v>215</v>
      </c>
      <c r="E25" s="126" t="s">
        <v>198</v>
      </c>
      <c r="G25" s="165">
        <v>44943.166666666664</v>
      </c>
      <c r="H25" s="165">
        <v>44943.166666666664</v>
      </c>
      <c r="I25" s="126" t="s">
        <v>243</v>
      </c>
      <c r="J25" s="126" t="s">
        <v>192</v>
      </c>
      <c r="K25" s="126" t="s">
        <v>192</v>
      </c>
      <c r="L25" s="126" t="s">
        <v>273</v>
      </c>
      <c r="M25" s="167"/>
      <c r="N25" s="126" t="s">
        <v>274</v>
      </c>
      <c r="O25" s="126" t="s">
        <v>275</v>
      </c>
      <c r="P25" s="126" t="s">
        <v>265</v>
      </c>
      <c r="Q25" s="181">
        <f>3097*2.4</f>
        <v>7432.7999999999993</v>
      </c>
      <c r="R25" s="181">
        <v>7598.9539999999997</v>
      </c>
      <c r="S25" s="181"/>
      <c r="W25" s="181">
        <f>R25*0.65</f>
        <v>4939.3200999999999</v>
      </c>
      <c r="X25" s="181">
        <f>R25*0.35</f>
        <v>2659.6338999999998</v>
      </c>
      <c r="AV25" s="165">
        <f t="shared" si="1"/>
        <v>44924.736111111109</v>
      </c>
      <c r="AW25" s="165">
        <f t="shared" si="2"/>
        <v>44945.46875</v>
      </c>
      <c r="AX25" s="137">
        <f t="shared" si="3"/>
        <v>20.732638888890506</v>
      </c>
      <c r="AY25" s="165">
        <v>44924.736111111109</v>
      </c>
      <c r="AZ25" s="165">
        <v>44925.569444444445</v>
      </c>
      <c r="BA25" s="165">
        <v>44927.163194444445</v>
      </c>
      <c r="BB25" s="165">
        <v>44937.881249999999</v>
      </c>
      <c r="BC25" s="165">
        <v>44938.006944444445</v>
      </c>
      <c r="BD25" s="165">
        <v>44938.010416666664</v>
      </c>
      <c r="BE25" s="165">
        <v>44938.25</v>
      </c>
      <c r="BF25" s="165">
        <f t="shared" si="14"/>
        <v>44939.958333333336</v>
      </c>
      <c r="BG25" s="165">
        <v>44940.291666608799</v>
      </c>
      <c r="BH25" s="165">
        <v>44940.458333275463</v>
      </c>
      <c r="BI25" s="165">
        <v>44940.336805555555</v>
      </c>
      <c r="BJ25" s="165">
        <v>44941.6875</v>
      </c>
      <c r="BK25" s="165">
        <v>44944.329861111109</v>
      </c>
      <c r="BL25" s="165">
        <v>44944.684027777781</v>
      </c>
      <c r="BM25" s="165">
        <v>44944.694444444445</v>
      </c>
      <c r="BN25" s="165">
        <v>44945.017361111109</v>
      </c>
      <c r="BO25" s="165">
        <v>44945.46875</v>
      </c>
      <c r="BR25" s="136">
        <f t="shared" si="4"/>
        <v>38.25</v>
      </c>
      <c r="BS25" s="136">
        <f t="shared" si="5"/>
        <v>3.0166666667209938</v>
      </c>
      <c r="BT25" s="136">
        <f t="shared" si="6"/>
        <v>41.000000000058208</v>
      </c>
      <c r="BU25" s="136">
        <f t="shared" si="13"/>
        <v>29.500001388892997</v>
      </c>
      <c r="BV25" s="135">
        <f t="shared" si="7"/>
        <v>8.5000000001164153</v>
      </c>
      <c r="BW25" s="135">
        <f t="shared" si="8"/>
        <v>10.833333333372138</v>
      </c>
      <c r="BX25" s="134">
        <f t="shared" si="9"/>
        <v>5.462500057881698</v>
      </c>
      <c r="BY25" s="134">
        <f t="shared" si="10"/>
        <v>20.732638888890506</v>
      </c>
      <c r="BZ25" s="133">
        <f t="shared" si="11"/>
        <v>0.26347345782445258</v>
      </c>
    </row>
    <row r="26" spans="1:78" s="126" customFormat="1">
      <c r="A26" s="192">
        <f t="shared" si="0"/>
        <v>44939.109722222223</v>
      </c>
      <c r="B26" s="126" t="s">
        <v>228</v>
      </c>
      <c r="C26" s="126" t="s">
        <v>229</v>
      </c>
      <c r="D26" s="126" t="s">
        <v>197</v>
      </c>
      <c r="E26" s="126" t="s">
        <v>236</v>
      </c>
      <c r="G26" s="73">
        <v>44944.166666666664</v>
      </c>
      <c r="H26" s="73">
        <v>44944.133333333331</v>
      </c>
      <c r="I26" s="126" t="s">
        <v>231</v>
      </c>
      <c r="J26" s="126" t="s">
        <v>192</v>
      </c>
      <c r="K26" s="126" t="s">
        <v>192</v>
      </c>
      <c r="L26" s="126" t="s">
        <v>276</v>
      </c>
      <c r="M26" s="167"/>
      <c r="N26" s="126" t="s">
        <v>277</v>
      </c>
      <c r="O26" s="126" t="s">
        <v>278</v>
      </c>
      <c r="P26" s="126" t="s">
        <v>240</v>
      </c>
      <c r="Q26" s="181">
        <f>3117*2.4</f>
        <v>7480.7999999999993</v>
      </c>
      <c r="R26" s="181">
        <v>7265.018</v>
      </c>
      <c r="S26" s="181"/>
      <c r="X26" s="181">
        <f>R26</f>
        <v>7265.018</v>
      </c>
      <c r="AV26" s="165">
        <f t="shared" si="1"/>
        <v>44925.729166666664</v>
      </c>
      <c r="AW26" s="165">
        <f t="shared" si="2"/>
        <v>44945.708333333336</v>
      </c>
      <c r="AX26" s="137">
        <f t="shared" si="3"/>
        <v>19.979166666671517</v>
      </c>
      <c r="AY26" s="165">
        <v>44925.729166666664</v>
      </c>
      <c r="AZ26" s="165">
        <v>44926.611111111109</v>
      </c>
      <c r="BA26" s="165">
        <v>44928.107638888891</v>
      </c>
      <c r="BB26" s="165">
        <v>44939.109722222223</v>
      </c>
      <c r="BC26" s="165">
        <v>44939.25</v>
      </c>
      <c r="BD26" s="165">
        <v>44939.256944444445</v>
      </c>
      <c r="BE26" s="165">
        <v>44939.256944444445</v>
      </c>
      <c r="BF26" s="165">
        <f t="shared" si="14"/>
        <v>44940.965277777781</v>
      </c>
      <c r="BG26" s="165">
        <v>44941.333333333336</v>
      </c>
      <c r="BH26" s="165">
        <v>44941.5</v>
      </c>
      <c r="BI26" s="165">
        <v>44941.420138888891</v>
      </c>
      <c r="BJ26" s="165">
        <v>44944.232638888891</v>
      </c>
      <c r="BK26" s="165">
        <v>44945.076388888891</v>
      </c>
      <c r="BL26" s="165">
        <v>44945.486111111109</v>
      </c>
      <c r="BM26" s="165">
        <v>44945.506944444445</v>
      </c>
      <c r="BN26" s="165">
        <v>44945.506944444445</v>
      </c>
      <c r="BO26" s="165">
        <v>44945.708333333336</v>
      </c>
      <c r="BR26" s="136">
        <f t="shared" si="4"/>
        <v>35.916666666744277</v>
      </c>
      <c r="BS26" s="136">
        <f t="shared" si="5"/>
        <v>3.3666666666395031</v>
      </c>
      <c r="BT26" s="136">
        <f t="shared" si="6"/>
        <v>41.000000000058208</v>
      </c>
      <c r="BU26" s="136">
        <f t="shared" si="13"/>
        <v>65.583333333372138</v>
      </c>
      <c r="BV26" s="135">
        <f t="shared" si="7"/>
        <v>9.8333333332557231</v>
      </c>
      <c r="BW26" s="135">
        <f t="shared" si="8"/>
        <v>4.8333333333721384</v>
      </c>
      <c r="BX26" s="134">
        <f t="shared" si="9"/>
        <v>6.6888888888934162</v>
      </c>
      <c r="BY26" s="134">
        <f t="shared" si="10"/>
        <v>19.979166666671517</v>
      </c>
      <c r="BZ26" s="133">
        <f t="shared" si="11"/>
        <v>0.33479318734807717</v>
      </c>
    </row>
    <row r="27" spans="1:78" s="126" customFormat="1">
      <c r="A27" s="192">
        <f t="shared" si="0"/>
        <v>44938.951388888891</v>
      </c>
      <c r="B27" s="126" t="s">
        <v>228</v>
      </c>
      <c r="C27" s="126" t="s">
        <v>229</v>
      </c>
      <c r="D27" s="126" t="s">
        <v>197</v>
      </c>
      <c r="E27" s="126" t="s">
        <v>236</v>
      </c>
      <c r="G27" s="73">
        <v>44944.166666666664</v>
      </c>
      <c r="H27" s="73">
        <v>44944.133333333331</v>
      </c>
      <c r="I27" s="126" t="s">
        <v>231</v>
      </c>
      <c r="J27" s="126" t="s">
        <v>192</v>
      </c>
      <c r="K27" s="126" t="s">
        <v>192</v>
      </c>
      <c r="L27" s="126" t="s">
        <v>279</v>
      </c>
      <c r="M27" s="167"/>
      <c r="N27" s="126" t="s">
        <v>280</v>
      </c>
      <c r="O27" s="126" t="s">
        <v>281</v>
      </c>
      <c r="P27" s="126" t="s">
        <v>240</v>
      </c>
      <c r="Q27" s="181">
        <f>3102*2.4</f>
        <v>7444.7999999999993</v>
      </c>
      <c r="R27" s="181">
        <f>7340.753-4245.692</f>
        <v>3095.0609999999997</v>
      </c>
      <c r="S27" s="181"/>
      <c r="X27" s="181">
        <f>R27</f>
        <v>3095.0609999999997</v>
      </c>
      <c r="AV27" s="165">
        <f t="shared" si="1"/>
        <v>44922.506944444445</v>
      </c>
      <c r="AW27" s="165">
        <f t="shared" si="2"/>
        <v>44947.986111111109</v>
      </c>
      <c r="AX27" s="137">
        <f t="shared" si="3"/>
        <v>25.479166666664241</v>
      </c>
      <c r="AY27" s="165">
        <v>44922.506944444445</v>
      </c>
      <c r="AZ27" s="165">
        <v>44925.621527777781</v>
      </c>
      <c r="BA27" s="165">
        <v>44927.743055555555</v>
      </c>
      <c r="BB27" s="165">
        <v>44938.951388888891</v>
      </c>
      <c r="BC27" s="165">
        <v>44939.081250000003</v>
      </c>
      <c r="BD27" s="165">
        <v>44939.086805555555</v>
      </c>
      <c r="BE27" s="165">
        <v>44939.086805555555</v>
      </c>
      <c r="BF27" s="165">
        <f t="shared" si="14"/>
        <v>44940.795138888891</v>
      </c>
      <c r="BG27" s="165">
        <v>44943.5</v>
      </c>
      <c r="BH27" s="165">
        <v>44943.666666666664</v>
      </c>
      <c r="BI27" s="165">
        <v>44943.559027777781</v>
      </c>
      <c r="BJ27" s="165">
        <v>44946.125</v>
      </c>
      <c r="BK27" s="165">
        <v>44947.881944444445</v>
      </c>
      <c r="BL27" s="165">
        <v>44947.9375</v>
      </c>
      <c r="BM27" s="165">
        <v>44947.986111111109</v>
      </c>
      <c r="BN27" s="165">
        <v>44947.986111111109</v>
      </c>
      <c r="BO27" s="165">
        <v>44947.986111111109</v>
      </c>
      <c r="BR27" s="136">
        <f t="shared" si="4"/>
        <v>50.916666666569654</v>
      </c>
      <c r="BS27" s="136">
        <f t="shared" si="5"/>
        <v>3.1166666666977108</v>
      </c>
      <c r="BT27" s="136">
        <f t="shared" si="6"/>
        <v>41.000000000058208</v>
      </c>
      <c r="BU27" s="136">
        <f t="shared" si="13"/>
        <v>59.000000000058208</v>
      </c>
      <c r="BV27" s="135">
        <f t="shared" si="7"/>
        <v>1.3333333333139308</v>
      </c>
      <c r="BW27" s="135">
        <f t="shared" si="8"/>
        <v>0</v>
      </c>
      <c r="BX27" s="134">
        <f t="shared" si="9"/>
        <v>6.4736111111124046</v>
      </c>
      <c r="BY27" s="134">
        <f t="shared" si="10"/>
        <v>25.479166666664241</v>
      </c>
      <c r="BZ27" s="133">
        <f t="shared" si="11"/>
        <v>0.2540746797493254</v>
      </c>
    </row>
    <row r="28" spans="1:78" s="126" customFormat="1">
      <c r="A28" s="192">
        <f t="shared" si="0"/>
        <v>44938.951388888891</v>
      </c>
      <c r="B28" s="126" t="s">
        <v>228</v>
      </c>
      <c r="C28" s="126" t="s">
        <v>229</v>
      </c>
      <c r="D28" s="126" t="s">
        <v>197</v>
      </c>
      <c r="E28" s="126" t="s">
        <v>282</v>
      </c>
      <c r="G28" s="73">
        <v>44940.5</v>
      </c>
      <c r="H28" s="73">
        <v>44940.510416666664</v>
      </c>
      <c r="I28" s="126" t="s">
        <v>231</v>
      </c>
      <c r="J28" s="126" t="s">
        <v>192</v>
      </c>
      <c r="K28" s="126" t="s">
        <v>192</v>
      </c>
      <c r="L28" s="126" t="s">
        <v>279</v>
      </c>
      <c r="M28" s="167"/>
      <c r="N28" s="126" t="s">
        <v>280</v>
      </c>
      <c r="O28" s="126" t="s">
        <v>281</v>
      </c>
      <c r="P28" s="126" t="s">
        <v>240</v>
      </c>
      <c r="Q28" s="181">
        <f>3102*2.4</f>
        <v>7444.7999999999993</v>
      </c>
      <c r="R28" s="181">
        <f>5117</f>
        <v>5117</v>
      </c>
      <c r="S28" s="181"/>
      <c r="X28" s="181">
        <f>R28</f>
        <v>5117</v>
      </c>
      <c r="AV28" s="165">
        <f t="shared" si="1"/>
        <v>44922.506944444445</v>
      </c>
      <c r="AW28" s="165">
        <f t="shared" si="2"/>
        <v>44950.888888888891</v>
      </c>
      <c r="AX28" s="137">
        <f t="shared" si="3"/>
        <v>28.381944444445253</v>
      </c>
      <c r="AY28" s="165">
        <v>44922.506944444445</v>
      </c>
      <c r="AZ28" s="165">
        <v>44925.621527777781</v>
      </c>
      <c r="BA28" s="165">
        <v>44927.743055555555</v>
      </c>
      <c r="BB28" s="165">
        <v>44938.951388888891</v>
      </c>
      <c r="BC28" s="165">
        <v>44939.081250000003</v>
      </c>
      <c r="BD28" s="165">
        <v>44939.086805555555</v>
      </c>
      <c r="BE28" s="165">
        <v>44939.086805555555</v>
      </c>
      <c r="BF28" s="165">
        <f t="shared" si="14"/>
        <v>44940.795138888891</v>
      </c>
      <c r="BG28" s="165">
        <v>44943.5</v>
      </c>
      <c r="BH28" s="165">
        <v>44943.666666666664</v>
      </c>
      <c r="BI28" s="165">
        <v>44943.559027777781</v>
      </c>
      <c r="BJ28" s="165">
        <v>44947.986111111109</v>
      </c>
      <c r="BK28" s="165">
        <v>44950.277777777781</v>
      </c>
      <c r="BL28" s="165">
        <v>44950.510416666664</v>
      </c>
      <c r="BM28" s="165">
        <v>44950.527777777781</v>
      </c>
      <c r="BN28" s="165">
        <v>44950.722222222219</v>
      </c>
      <c r="BO28" s="165">
        <v>44950.888888888891</v>
      </c>
      <c r="BR28" s="136">
        <f t="shared" si="4"/>
        <v>50.916666666569654</v>
      </c>
      <c r="BS28" s="136">
        <f t="shared" si="5"/>
        <v>3.1166666666977108</v>
      </c>
      <c r="BT28" s="136">
        <f t="shared" si="6"/>
        <v>41.000000000058208</v>
      </c>
      <c r="BU28" s="136">
        <f t="shared" si="13"/>
        <v>103.66666666668607</v>
      </c>
      <c r="BV28" s="135">
        <f t="shared" si="7"/>
        <v>5.5833333331975155</v>
      </c>
      <c r="BW28" s="135">
        <f t="shared" si="8"/>
        <v>4.0000000001164153</v>
      </c>
      <c r="BX28" s="134">
        <f t="shared" si="9"/>
        <v>8.6784722222218988</v>
      </c>
      <c r="BY28" s="134">
        <f t="shared" si="10"/>
        <v>28.381944444445253</v>
      </c>
      <c r="BZ28" s="133">
        <f t="shared" si="11"/>
        <v>0.30577440665522826</v>
      </c>
    </row>
    <row r="29" spans="1:78" s="126" customFormat="1">
      <c r="A29" s="192">
        <f t="shared" si="0"/>
        <v>44940.104166666664</v>
      </c>
      <c r="B29" s="126" t="s">
        <v>228</v>
      </c>
      <c r="C29" s="126" t="s">
        <v>229</v>
      </c>
      <c r="D29" s="126" t="s">
        <v>215</v>
      </c>
      <c r="E29" s="126" t="s">
        <v>282</v>
      </c>
      <c r="G29" s="73">
        <v>44940.5</v>
      </c>
      <c r="H29" s="73">
        <v>44940.510416666664</v>
      </c>
      <c r="I29" s="126" t="s">
        <v>231</v>
      </c>
      <c r="J29" s="126" t="s">
        <v>192</v>
      </c>
      <c r="K29" s="126" t="s">
        <v>192</v>
      </c>
      <c r="L29" s="126" t="s">
        <v>283</v>
      </c>
      <c r="M29" s="167"/>
      <c r="N29" s="126" t="s">
        <v>284</v>
      </c>
      <c r="O29" s="126" t="s">
        <v>285</v>
      </c>
      <c r="P29" s="126" t="s">
        <v>235</v>
      </c>
      <c r="Q29" s="181">
        <f>3852*2.4</f>
        <v>9244.7999999999993</v>
      </c>
      <c r="R29" s="181">
        <v>8902.11</v>
      </c>
      <c r="S29" s="181"/>
      <c r="W29" s="181">
        <f>R29</f>
        <v>8902.11</v>
      </c>
      <c r="AV29" s="165">
        <f t="shared" si="1"/>
        <v>44924.159722222219</v>
      </c>
      <c r="AW29" s="165">
        <f t="shared" si="2"/>
        <v>44947.493055555555</v>
      </c>
      <c r="AX29" s="137">
        <f t="shared" si="3"/>
        <v>23.333333333335759</v>
      </c>
      <c r="AY29" s="165">
        <v>44924.159722222219</v>
      </c>
      <c r="AZ29" s="165">
        <v>44928.385416666664</v>
      </c>
      <c r="BA29" s="165">
        <v>44938.791666666664</v>
      </c>
      <c r="BB29" s="165">
        <v>44940.104166666664</v>
      </c>
      <c r="BC29" s="165">
        <v>44940.40625</v>
      </c>
      <c r="BD29" s="165">
        <v>44940.409722222219</v>
      </c>
      <c r="BE29" s="165">
        <v>44940.409722222219</v>
      </c>
      <c r="BF29" s="165">
        <f t="shared" si="14"/>
        <v>44942.118055555555</v>
      </c>
      <c r="BG29" s="165">
        <v>44942.333333333336</v>
      </c>
      <c r="BH29" s="165">
        <v>44942.5</v>
      </c>
      <c r="BI29" s="165">
        <v>44942.40625</v>
      </c>
      <c r="BJ29" s="165">
        <v>44944.361111111109</v>
      </c>
      <c r="BK29" s="165">
        <v>44946.798611111109</v>
      </c>
      <c r="BL29" s="165">
        <v>44947.104166666664</v>
      </c>
      <c r="BM29" s="165">
        <v>44947.111111111109</v>
      </c>
      <c r="BN29" s="165">
        <v>44947.111111111109</v>
      </c>
      <c r="BO29" s="165">
        <v>44947.493055555555</v>
      </c>
      <c r="BP29" s="126" t="s">
        <v>286</v>
      </c>
      <c r="BR29" s="136">
        <f t="shared" si="4"/>
        <v>249.75</v>
      </c>
      <c r="BS29" s="136">
        <f t="shared" si="5"/>
        <v>7.2500000000582077</v>
      </c>
      <c r="BT29" s="136">
        <f t="shared" si="6"/>
        <v>41.000000000058208</v>
      </c>
      <c r="BU29" s="136">
        <f t="shared" si="13"/>
        <v>44.666666666627862</v>
      </c>
      <c r="BV29" s="135">
        <f t="shared" si="7"/>
        <v>7.3333333333139308</v>
      </c>
      <c r="BW29" s="135">
        <f t="shared" si="8"/>
        <v>9.1666666666860692</v>
      </c>
      <c r="BX29" s="134">
        <f t="shared" si="9"/>
        <v>14.965277777781012</v>
      </c>
      <c r="BY29" s="134">
        <f t="shared" si="10"/>
        <v>23.333333333335759</v>
      </c>
      <c r="BZ29" s="133">
        <f t="shared" si="11"/>
        <v>0.6413690476191195</v>
      </c>
    </row>
    <row r="30" spans="1:78" s="126" customFormat="1">
      <c r="A30" s="192">
        <f t="shared" si="0"/>
        <v>44942.461805555555</v>
      </c>
      <c r="B30" s="126" t="s">
        <v>228</v>
      </c>
      <c r="C30" s="126" t="s">
        <v>229</v>
      </c>
      <c r="D30" s="126" t="s">
        <v>215</v>
      </c>
      <c r="E30" s="126" t="s">
        <v>282</v>
      </c>
      <c r="G30" s="73">
        <v>44940.5</v>
      </c>
      <c r="H30" s="73">
        <v>44940.510416666664</v>
      </c>
      <c r="I30" s="126" t="s">
        <v>231</v>
      </c>
      <c r="J30" s="126" t="s">
        <v>192</v>
      </c>
      <c r="K30" s="126" t="s">
        <v>192</v>
      </c>
      <c r="L30" s="126" t="s">
        <v>287</v>
      </c>
      <c r="M30" s="167"/>
      <c r="N30" s="126" t="s">
        <v>288</v>
      </c>
      <c r="O30" s="126" t="s">
        <v>289</v>
      </c>
      <c r="P30" s="126" t="s">
        <v>235</v>
      </c>
      <c r="Q30" s="181">
        <f>3107*2.4</f>
        <v>7456.7999999999993</v>
      </c>
      <c r="R30" s="181">
        <v>7426.9709999999995</v>
      </c>
      <c r="S30" s="181"/>
      <c r="W30" s="181">
        <f>R30</f>
        <v>7426.9709999999995</v>
      </c>
      <c r="AV30" s="165">
        <f t="shared" si="1"/>
        <v>44929.3125</v>
      </c>
      <c r="AW30" s="165">
        <f t="shared" si="2"/>
        <v>44952</v>
      </c>
      <c r="AX30" s="137">
        <f t="shared" si="3"/>
        <v>22.6875</v>
      </c>
      <c r="AY30" s="165">
        <v>44929.3125</v>
      </c>
      <c r="AZ30" s="165">
        <v>44938.555555555555</v>
      </c>
      <c r="BA30" s="165">
        <v>44939.833333333336</v>
      </c>
      <c r="BB30" s="165">
        <v>44942.461805555555</v>
      </c>
      <c r="BC30" s="165">
        <v>44942.590277777781</v>
      </c>
      <c r="BD30" s="165">
        <v>44942.600694444445</v>
      </c>
      <c r="BE30" s="165">
        <v>44942.600694444445</v>
      </c>
      <c r="BF30" s="165">
        <f t="shared" si="14"/>
        <v>44944.309027777781</v>
      </c>
      <c r="BG30" s="165">
        <v>44944.5</v>
      </c>
      <c r="BH30" s="165">
        <v>44944.666666666664</v>
      </c>
      <c r="BI30" s="165">
        <v>44944.625</v>
      </c>
      <c r="BJ30" s="165">
        <v>44945.708333333336</v>
      </c>
      <c r="BK30" s="165">
        <v>44950.875</v>
      </c>
      <c r="BL30" s="165">
        <v>44951.1875</v>
      </c>
      <c r="BM30" s="165">
        <v>44951.270833333336</v>
      </c>
      <c r="BN30" s="165">
        <v>44951.270833333336</v>
      </c>
      <c r="BO30" s="165">
        <v>44952</v>
      </c>
      <c r="BP30" s="126" t="s">
        <v>290</v>
      </c>
      <c r="BR30" s="136">
        <f t="shared" si="4"/>
        <v>30.666666666744277</v>
      </c>
      <c r="BS30" s="136">
        <f t="shared" si="5"/>
        <v>3.0833333334303461</v>
      </c>
      <c r="BT30" s="136">
        <f t="shared" si="6"/>
        <v>41.000000000058208</v>
      </c>
      <c r="BU30" s="136">
        <f t="shared" si="13"/>
        <v>25.000000000116415</v>
      </c>
      <c r="BV30" s="135">
        <f t="shared" si="7"/>
        <v>7.5</v>
      </c>
      <c r="BW30" s="135">
        <f t="shared" si="8"/>
        <v>17.499999999941792</v>
      </c>
      <c r="BX30" s="134">
        <f t="shared" si="9"/>
        <v>5.1979166666787933</v>
      </c>
      <c r="BY30" s="134">
        <f t="shared" si="10"/>
        <v>22.6875</v>
      </c>
      <c r="BZ30" s="133">
        <f t="shared" si="11"/>
        <v>0.22910927456435454</v>
      </c>
    </row>
    <row r="31" spans="1:78" s="126" customFormat="1">
      <c r="A31" s="192">
        <f t="shared" si="0"/>
        <v>44940.434027777781</v>
      </c>
      <c r="B31" s="126" t="s">
        <v>228</v>
      </c>
      <c r="C31" s="126" t="s">
        <v>229</v>
      </c>
      <c r="D31" s="126" t="s">
        <v>197</v>
      </c>
      <c r="E31" s="126" t="s">
        <v>282</v>
      </c>
      <c r="G31" s="73">
        <v>44940.5</v>
      </c>
      <c r="H31" s="73">
        <v>44940.510416666664</v>
      </c>
      <c r="I31" s="126" t="s">
        <v>231</v>
      </c>
      <c r="J31" s="126" t="s">
        <v>192</v>
      </c>
      <c r="K31" s="126" t="s">
        <v>192</v>
      </c>
      <c r="L31" s="126" t="s">
        <v>291</v>
      </c>
      <c r="M31" s="167"/>
      <c r="N31" s="126" t="s">
        <v>292</v>
      </c>
      <c r="O31" s="126" t="s">
        <v>293</v>
      </c>
      <c r="P31" s="126" t="s">
        <v>240</v>
      </c>
      <c r="Q31" s="181">
        <f>3142*2.4</f>
        <v>7540.7999999999993</v>
      </c>
      <c r="R31" s="181">
        <v>7470.7870000000003</v>
      </c>
      <c r="S31" s="181"/>
      <c r="X31" s="181">
        <f>R31</f>
        <v>7470.7870000000003</v>
      </c>
      <c r="AV31" s="165">
        <f t="shared" si="1"/>
        <v>44926.038194444445</v>
      </c>
      <c r="AW31" s="165">
        <f t="shared" si="2"/>
        <v>44947.791666666664</v>
      </c>
      <c r="AX31" s="137">
        <f t="shared" si="3"/>
        <v>21.753472222218988</v>
      </c>
      <c r="AY31" s="165">
        <v>44926.038194444445</v>
      </c>
      <c r="AZ31" s="165">
        <v>44937.597222222219</v>
      </c>
      <c r="BA31" s="165">
        <v>44939.229166666664</v>
      </c>
      <c r="BB31" s="165">
        <v>44940.434027777781</v>
      </c>
      <c r="BC31" s="165">
        <v>44940.583333333336</v>
      </c>
      <c r="BD31" s="165">
        <v>44940.586805555555</v>
      </c>
      <c r="BE31" s="165">
        <v>44940.586805555555</v>
      </c>
      <c r="BF31" s="165">
        <f t="shared" si="14"/>
        <v>44942.295138888891</v>
      </c>
      <c r="BG31" s="165">
        <v>44942.333333333336</v>
      </c>
      <c r="BH31" s="165">
        <v>44942.5</v>
      </c>
      <c r="BI31" s="165">
        <v>44942.482638888891</v>
      </c>
      <c r="BJ31" s="165">
        <v>44944.395833333336</v>
      </c>
      <c r="BK31" s="165">
        <v>44947.145833333336</v>
      </c>
      <c r="BL31" s="165">
        <v>44947.395833333336</v>
      </c>
      <c r="BM31" s="165">
        <v>44947.409722222219</v>
      </c>
      <c r="BN31" s="165">
        <v>44947.625</v>
      </c>
      <c r="BO31" s="165">
        <v>44947.791666666664</v>
      </c>
      <c r="BP31" s="126" t="s">
        <v>286</v>
      </c>
      <c r="BR31" s="136">
        <f t="shared" si="4"/>
        <v>39.166666666686069</v>
      </c>
      <c r="BS31" s="136">
        <f t="shared" si="5"/>
        <v>3.5833333333139308</v>
      </c>
      <c r="BT31" s="136">
        <f t="shared" si="6"/>
        <v>41.000000000058208</v>
      </c>
      <c r="BU31" s="136">
        <f t="shared" si="13"/>
        <v>45.500000000058208</v>
      </c>
      <c r="BV31" s="135">
        <f t="shared" si="7"/>
        <v>6</v>
      </c>
      <c r="BW31" s="135">
        <f t="shared" si="8"/>
        <v>3.9999999999417923</v>
      </c>
      <c r="BX31" s="134">
        <f t="shared" si="9"/>
        <v>5.8020833333357587</v>
      </c>
      <c r="BY31" s="134">
        <f t="shared" si="10"/>
        <v>21.753472222218988</v>
      </c>
      <c r="BZ31" s="133">
        <f t="shared" si="11"/>
        <v>0.26671987230661565</v>
      </c>
    </row>
    <row r="32" spans="1:78" s="126" customFormat="1">
      <c r="A32" s="192">
        <f t="shared" si="0"/>
        <v>44941.333333333336</v>
      </c>
      <c r="B32" s="126" t="s">
        <v>228</v>
      </c>
      <c r="C32" s="126" t="s">
        <v>229</v>
      </c>
      <c r="D32" s="126" t="s">
        <v>197</v>
      </c>
      <c r="E32" s="126" t="s">
        <v>282</v>
      </c>
      <c r="G32" s="73">
        <v>44940.5</v>
      </c>
      <c r="H32" s="73">
        <v>44940.510416666664</v>
      </c>
      <c r="I32" s="126" t="s">
        <v>231</v>
      </c>
      <c r="J32" s="126" t="s">
        <v>192</v>
      </c>
      <c r="K32" s="126" t="s">
        <v>192</v>
      </c>
      <c r="L32" s="126" t="s">
        <v>294</v>
      </c>
      <c r="M32" s="167"/>
      <c r="N32" s="126" t="s">
        <v>295</v>
      </c>
      <c r="O32" s="126" t="s">
        <v>296</v>
      </c>
      <c r="P32" s="126" t="s">
        <v>235</v>
      </c>
      <c r="Q32" s="181">
        <f>4118*2.4</f>
        <v>9883.1999999999989</v>
      </c>
      <c r="R32" s="181">
        <v>8805.6769999999997</v>
      </c>
      <c r="S32" s="181"/>
      <c r="W32" s="181">
        <f>R32</f>
        <v>8805.6769999999997</v>
      </c>
      <c r="AV32" s="165">
        <f t="shared" si="1"/>
        <v>44926.059027777781</v>
      </c>
      <c r="AW32" s="165">
        <f t="shared" si="2"/>
        <v>44948.765972222223</v>
      </c>
      <c r="AX32" s="137">
        <f t="shared" si="3"/>
        <v>22.706944444442343</v>
      </c>
      <c r="AY32" s="165">
        <v>44926.059027777781</v>
      </c>
      <c r="AZ32" s="165">
        <v>44937.611111111109</v>
      </c>
      <c r="BA32" s="165">
        <v>44939.236111111109</v>
      </c>
      <c r="BB32" s="165">
        <v>44941.333333333336</v>
      </c>
      <c r="BC32" s="165">
        <v>44941.506944444445</v>
      </c>
      <c r="BD32" s="165">
        <v>44941.583333333336</v>
      </c>
      <c r="BE32" s="165">
        <v>44941.583333333336</v>
      </c>
      <c r="BF32" s="165">
        <f t="shared" si="14"/>
        <v>44943.291666666672</v>
      </c>
      <c r="BG32" s="165">
        <v>44943.5</v>
      </c>
      <c r="BH32" s="165">
        <v>44943.666666666664</v>
      </c>
      <c r="BI32" s="165">
        <v>44943.604166666664</v>
      </c>
      <c r="BJ32" s="165">
        <v>44944.645833333336</v>
      </c>
      <c r="BK32" s="165">
        <v>44948.138888888891</v>
      </c>
      <c r="BL32" s="165">
        <v>44948.427083333336</v>
      </c>
      <c r="BM32" s="165">
        <v>44948.447916666664</v>
      </c>
      <c r="BN32" s="165">
        <v>44948.447916666664</v>
      </c>
      <c r="BO32" s="165">
        <v>44948.765972222223</v>
      </c>
      <c r="BP32" s="126" t="s">
        <v>286</v>
      </c>
      <c r="BR32" s="136">
        <f t="shared" si="4"/>
        <v>39</v>
      </c>
      <c r="BS32" s="136">
        <f t="shared" si="5"/>
        <v>4.1666666666278616</v>
      </c>
      <c r="BT32" s="136">
        <f t="shared" si="6"/>
        <v>41.000000000058208</v>
      </c>
      <c r="BU32" s="136">
        <f t="shared" si="13"/>
        <v>23.500000000116415</v>
      </c>
      <c r="BV32" s="135">
        <f t="shared" si="7"/>
        <v>6.9166666666860692</v>
      </c>
      <c r="BW32" s="135">
        <f t="shared" si="8"/>
        <v>7.6333333334187046</v>
      </c>
      <c r="BX32" s="134">
        <f t="shared" si="9"/>
        <v>5.0923611111211358</v>
      </c>
      <c r="BY32" s="134">
        <f t="shared" si="10"/>
        <v>22.706944444442343</v>
      </c>
      <c r="BZ32" s="133">
        <f t="shared" si="11"/>
        <v>0.22426448100847496</v>
      </c>
    </row>
    <row r="33" spans="1:78" s="126" customFormat="1">
      <c r="A33" s="192">
        <f t="shared" si="0"/>
        <v>44939.754861111112</v>
      </c>
      <c r="B33" s="126" t="s">
        <v>228</v>
      </c>
      <c r="C33" s="126" t="s">
        <v>229</v>
      </c>
      <c r="D33" s="126" t="s">
        <v>197</v>
      </c>
      <c r="E33" s="126" t="s">
        <v>282</v>
      </c>
      <c r="G33" s="73">
        <v>44940.5</v>
      </c>
      <c r="H33" s="73">
        <v>44940.510416666664</v>
      </c>
      <c r="I33" s="126" t="s">
        <v>231</v>
      </c>
      <c r="J33" s="126" t="s">
        <v>192</v>
      </c>
      <c r="K33" s="126" t="s">
        <v>192</v>
      </c>
      <c r="L33" s="126" t="s">
        <v>297</v>
      </c>
      <c r="M33" s="167"/>
      <c r="N33" s="126" t="s">
        <v>298</v>
      </c>
      <c r="O33" s="126" t="s">
        <v>299</v>
      </c>
      <c r="P33" s="126" t="s">
        <v>235</v>
      </c>
      <c r="Q33" s="181">
        <f>4337*2.4</f>
        <v>10408.799999999999</v>
      </c>
      <c r="R33" s="181">
        <v>10408.395</v>
      </c>
      <c r="S33" s="181"/>
      <c r="W33" s="181">
        <f>R33</f>
        <v>10408.395</v>
      </c>
      <c r="AV33" s="165">
        <f t="shared" si="1"/>
        <v>44926.163194444445</v>
      </c>
      <c r="AW33" s="165">
        <f t="shared" si="2"/>
        <v>44948.378472222219</v>
      </c>
      <c r="AX33" s="137">
        <f t="shared" si="3"/>
        <v>22.215277777773736</v>
      </c>
      <c r="AY33" s="165">
        <v>44926.163194444445</v>
      </c>
      <c r="AZ33" s="165">
        <v>44936.795138888891</v>
      </c>
      <c r="BA33" s="165">
        <v>44938.260416666664</v>
      </c>
      <c r="BB33" s="165">
        <v>44939.754861111112</v>
      </c>
      <c r="BC33" s="165">
        <v>44940.0625</v>
      </c>
      <c r="BD33" s="165">
        <v>44940.065972222219</v>
      </c>
      <c r="BE33" s="165">
        <v>44940.291666666664</v>
      </c>
      <c r="BF33" s="165">
        <f t="shared" si="14"/>
        <v>44942</v>
      </c>
      <c r="BG33" s="165">
        <v>44942.333333333336</v>
      </c>
      <c r="BH33" s="165">
        <v>44942.5</v>
      </c>
      <c r="BI33" s="165">
        <v>44942.4375</v>
      </c>
      <c r="BJ33" s="165">
        <v>44944.107638888891</v>
      </c>
      <c r="BK33" s="165">
        <v>44947.684027777781</v>
      </c>
      <c r="BL33" s="165">
        <v>44948.09375</v>
      </c>
      <c r="BM33" s="165">
        <v>44948.114583333336</v>
      </c>
      <c r="BN33" s="165">
        <v>44948.114583333336</v>
      </c>
      <c r="BO33" s="165">
        <v>44948.378472222219</v>
      </c>
      <c r="BP33" s="126" t="s">
        <v>286</v>
      </c>
      <c r="BR33" s="136">
        <f t="shared" si="4"/>
        <v>35.166666666569654</v>
      </c>
      <c r="BS33" s="136">
        <f t="shared" si="5"/>
        <v>7.3833333333022892</v>
      </c>
      <c r="BT33" s="136">
        <f t="shared" si="6"/>
        <v>41.000000000058208</v>
      </c>
      <c r="BU33" s="136">
        <f t="shared" si="13"/>
        <v>38.583333333372138</v>
      </c>
      <c r="BV33" s="135">
        <f t="shared" si="7"/>
        <v>9.8333333332557231</v>
      </c>
      <c r="BW33" s="135">
        <f t="shared" si="8"/>
        <v>6.3333333331975155</v>
      </c>
      <c r="BX33" s="134">
        <f t="shared" si="9"/>
        <v>5.7624999999898137</v>
      </c>
      <c r="BY33" s="134">
        <f t="shared" si="10"/>
        <v>22.215277777773736</v>
      </c>
      <c r="BZ33" s="133">
        <f t="shared" si="11"/>
        <v>0.25939356048724105</v>
      </c>
    </row>
    <row r="34" spans="1:78" s="126" customFormat="1">
      <c r="A34" s="192">
        <f t="shared" si="0"/>
        <v>44941.614583333336</v>
      </c>
      <c r="B34" s="126" t="s">
        <v>228</v>
      </c>
      <c r="C34" s="126" t="s">
        <v>229</v>
      </c>
      <c r="D34" s="126" t="s">
        <v>215</v>
      </c>
      <c r="E34" s="126" t="s">
        <v>282</v>
      </c>
      <c r="G34" s="73">
        <v>44940.5</v>
      </c>
      <c r="H34" s="73">
        <v>44940.510416666664</v>
      </c>
      <c r="I34" s="126" t="s">
        <v>231</v>
      </c>
      <c r="J34" s="126" t="s">
        <v>192</v>
      </c>
      <c r="K34" s="126" t="s">
        <v>192</v>
      </c>
      <c r="L34" s="126" t="s">
        <v>300</v>
      </c>
      <c r="M34" s="167"/>
      <c r="N34" s="126" t="s">
        <v>301</v>
      </c>
      <c r="O34" s="126" t="s">
        <v>302</v>
      </c>
      <c r="P34" s="126" t="s">
        <v>240</v>
      </c>
      <c r="Q34" s="181">
        <f>3852*2.4</f>
        <v>9244.7999999999993</v>
      </c>
      <c r="R34" s="181">
        <v>8601.7559999999994</v>
      </c>
      <c r="S34" s="181"/>
      <c r="X34" s="181">
        <f>R34</f>
        <v>8601.7559999999994</v>
      </c>
      <c r="AV34" s="165">
        <f t="shared" si="1"/>
        <v>44926.399305555555</v>
      </c>
      <c r="AW34" s="165">
        <f t="shared" si="2"/>
        <v>44949.826388888891</v>
      </c>
      <c r="AX34" s="137">
        <f t="shared" si="3"/>
        <v>23.427083333335759</v>
      </c>
      <c r="AY34" s="165">
        <v>44926.399305555555</v>
      </c>
      <c r="AZ34" s="165">
        <v>44929.833333333336</v>
      </c>
      <c r="BA34" s="165">
        <v>44939.302083333336</v>
      </c>
      <c r="BB34" s="165">
        <v>44941.614583333336</v>
      </c>
      <c r="BC34" s="165">
        <v>44941.765277777777</v>
      </c>
      <c r="BD34" s="165">
        <v>44941.767361111109</v>
      </c>
      <c r="BE34" s="165">
        <v>44941.767361111109</v>
      </c>
      <c r="BF34" s="165">
        <f t="shared" si="14"/>
        <v>44943.475694444445</v>
      </c>
      <c r="BG34" s="165">
        <v>44943.5</v>
      </c>
      <c r="BH34" s="165">
        <v>44943.666666666664</v>
      </c>
      <c r="BI34" s="165">
        <v>44943.618055555555</v>
      </c>
      <c r="BJ34" s="165">
        <v>44944.729166666664</v>
      </c>
      <c r="BK34" s="165">
        <v>44949.166666666664</v>
      </c>
      <c r="BL34" s="165">
        <v>44949.458333333336</v>
      </c>
      <c r="BM34" s="165">
        <v>44949.472222222219</v>
      </c>
      <c r="BN34" s="165">
        <v>44949.625</v>
      </c>
      <c r="BO34" s="165">
        <v>44949.826388888891</v>
      </c>
      <c r="BP34" s="126" t="s">
        <v>290</v>
      </c>
      <c r="BR34" s="136">
        <f t="shared" si="4"/>
        <v>227.25</v>
      </c>
      <c r="BS34" s="136">
        <f t="shared" si="5"/>
        <v>3.6166666665812954</v>
      </c>
      <c r="BT34" s="136">
        <f t="shared" si="6"/>
        <v>41.000000000058208</v>
      </c>
      <c r="BU34" s="136">
        <f t="shared" si="13"/>
        <v>25.5</v>
      </c>
      <c r="BV34" s="135">
        <f t="shared" si="7"/>
        <v>7.0000000001164153</v>
      </c>
      <c r="BW34" s="135">
        <f t="shared" si="8"/>
        <v>4.8333333333721384</v>
      </c>
      <c r="BX34" s="134">
        <f t="shared" si="9"/>
        <v>12.883333333338669</v>
      </c>
      <c r="BY34" s="134">
        <f t="shared" si="10"/>
        <v>23.427083333335759</v>
      </c>
      <c r="BZ34" s="133">
        <f t="shared" si="11"/>
        <v>0.54993330369069993</v>
      </c>
    </row>
    <row r="35" spans="1:78" s="126" customFormat="1">
      <c r="A35" s="192">
        <f t="shared" si="0"/>
        <v>44942.140277777777</v>
      </c>
      <c r="B35" s="126" t="s">
        <v>228</v>
      </c>
      <c r="C35" s="126" t="s">
        <v>229</v>
      </c>
      <c r="D35" s="126" t="s">
        <v>197</v>
      </c>
      <c r="E35" s="126" t="s">
        <v>282</v>
      </c>
      <c r="G35" s="73">
        <v>44940.5</v>
      </c>
      <c r="H35" s="73">
        <v>44940.510416666664</v>
      </c>
      <c r="I35" s="126" t="s">
        <v>231</v>
      </c>
      <c r="J35" s="126" t="s">
        <v>192</v>
      </c>
      <c r="K35" s="126" t="s">
        <v>192</v>
      </c>
      <c r="L35" s="126" t="s">
        <v>303</v>
      </c>
      <c r="M35" s="167"/>
      <c r="N35" s="126" t="s">
        <v>304</v>
      </c>
      <c r="O35" s="126" t="s">
        <v>305</v>
      </c>
      <c r="P35" s="126" t="s">
        <v>235</v>
      </c>
      <c r="Q35" s="181">
        <f>3107*2.4</f>
        <v>7456.7999999999993</v>
      </c>
      <c r="R35" s="181">
        <v>7401.009</v>
      </c>
      <c r="S35" s="181"/>
      <c r="W35" s="181">
        <f>R35</f>
        <v>7401.009</v>
      </c>
      <c r="AV35" s="165">
        <f t="shared" si="1"/>
        <v>44927.277777777781</v>
      </c>
      <c r="AW35" s="165">
        <f t="shared" si="2"/>
        <v>44951.270833333336</v>
      </c>
      <c r="AX35" s="137">
        <f t="shared" si="3"/>
        <v>23.993055555554747</v>
      </c>
      <c r="AY35" s="165">
        <v>44927.277777777781</v>
      </c>
      <c r="AZ35" s="165">
        <v>44938.541666666664</v>
      </c>
      <c r="BA35" s="165">
        <v>44939.8125</v>
      </c>
      <c r="BB35" s="165">
        <v>44942.140277777777</v>
      </c>
      <c r="BC35" s="165">
        <v>44942.416666666664</v>
      </c>
      <c r="BD35" s="165">
        <v>44942.4375</v>
      </c>
      <c r="BE35" s="165">
        <v>44942.4375</v>
      </c>
      <c r="BF35" s="165">
        <f t="shared" si="14"/>
        <v>44944.145833333336</v>
      </c>
      <c r="BG35" s="165">
        <v>44944.5</v>
      </c>
      <c r="BH35" s="165">
        <v>44944.666666666664</v>
      </c>
      <c r="BI35" s="165">
        <v>44944.631944444445</v>
      </c>
      <c r="BJ35" s="165">
        <v>44945.75</v>
      </c>
      <c r="BK35" s="165">
        <v>44950.277777777781</v>
      </c>
      <c r="BL35" s="165">
        <v>44950.510416666664</v>
      </c>
      <c r="BM35" s="165">
        <v>44950.861111111109</v>
      </c>
      <c r="BN35" s="165">
        <v>44950.861111111109</v>
      </c>
      <c r="BO35" s="165">
        <v>44951.270833333336</v>
      </c>
      <c r="BP35" s="126" t="s">
        <v>290</v>
      </c>
      <c r="BR35" s="136">
        <f t="shared" si="4"/>
        <v>30.500000000058208</v>
      </c>
      <c r="BS35" s="136">
        <f t="shared" si="5"/>
        <v>6.6333333333022892</v>
      </c>
      <c r="BT35" s="136">
        <f t="shared" si="6"/>
        <v>41.000000000058208</v>
      </c>
      <c r="BU35" s="136">
        <f t="shared" si="13"/>
        <v>26.000000000058208</v>
      </c>
      <c r="BV35" s="135">
        <f t="shared" si="7"/>
        <v>5.5833333331975155</v>
      </c>
      <c r="BW35" s="135">
        <f t="shared" si="8"/>
        <v>9.8333333334303461</v>
      </c>
      <c r="BX35" s="134">
        <f t="shared" si="9"/>
        <v>4.9812500000043656</v>
      </c>
      <c r="BY35" s="134">
        <f t="shared" si="10"/>
        <v>23.993055555554747</v>
      </c>
      <c r="BZ35" s="133">
        <f t="shared" si="11"/>
        <v>0.20761215629541327</v>
      </c>
    </row>
    <row r="36" spans="1:78" s="126" customFormat="1">
      <c r="A36" s="192">
        <f t="shared" si="0"/>
        <v>44941.963194444441</v>
      </c>
      <c r="B36" s="126" t="s">
        <v>228</v>
      </c>
      <c r="C36" s="126" t="s">
        <v>229</v>
      </c>
      <c r="D36" s="126" t="s">
        <v>197</v>
      </c>
      <c r="E36" s="126" t="s">
        <v>282</v>
      </c>
      <c r="G36" s="73">
        <v>44940.5</v>
      </c>
      <c r="H36" s="73">
        <v>44940.510416666664</v>
      </c>
      <c r="I36" s="126" t="s">
        <v>231</v>
      </c>
      <c r="J36" s="126" t="s">
        <v>192</v>
      </c>
      <c r="K36" s="126" t="s">
        <v>192</v>
      </c>
      <c r="L36" s="126" t="s">
        <v>306</v>
      </c>
      <c r="M36" s="167"/>
      <c r="N36" s="126" t="s">
        <v>307</v>
      </c>
      <c r="O36" s="126" t="s">
        <v>308</v>
      </c>
      <c r="P36" s="126" t="s">
        <v>240</v>
      </c>
      <c r="Q36" s="181">
        <f>3170*2.4</f>
        <v>7608</v>
      </c>
      <c r="R36" s="181">
        <v>7453.4809999999998</v>
      </c>
      <c r="S36" s="181"/>
      <c r="X36" s="181">
        <f>R36</f>
        <v>7453.4809999999998</v>
      </c>
      <c r="AV36" s="165">
        <f t="shared" si="1"/>
        <v>44927.701388888891</v>
      </c>
      <c r="AW36" s="165">
        <f t="shared" si="2"/>
        <v>44950.574999999997</v>
      </c>
      <c r="AX36" s="137">
        <f t="shared" si="3"/>
        <v>22.873611111106584</v>
      </c>
      <c r="AY36" s="165">
        <v>44927.701388888891</v>
      </c>
      <c r="AZ36" s="165">
        <v>44930.850694444445</v>
      </c>
      <c r="BA36" s="165">
        <v>44939.444444444445</v>
      </c>
      <c r="BB36" s="165">
        <v>44941.963194444441</v>
      </c>
      <c r="BC36" s="165">
        <v>44942.107638888891</v>
      </c>
      <c r="BD36" s="165">
        <v>44942.118055555555</v>
      </c>
      <c r="BE36" s="165">
        <v>44942.25</v>
      </c>
      <c r="BF36" s="165">
        <f t="shared" si="14"/>
        <v>44943.958333333336</v>
      </c>
      <c r="BG36" s="165">
        <v>44944.5</v>
      </c>
      <c r="BH36" s="165">
        <v>44944.666666666664</v>
      </c>
      <c r="BI36" s="165">
        <v>44944.586805555555</v>
      </c>
      <c r="BJ36" s="165">
        <v>44945.753472222219</v>
      </c>
      <c r="BK36" s="165">
        <v>44949.930555555555</v>
      </c>
      <c r="BL36" s="165">
        <v>44950.166666666664</v>
      </c>
      <c r="BM36" s="165">
        <v>44950.184027777781</v>
      </c>
      <c r="BN36" s="165">
        <v>44950.184027777781</v>
      </c>
      <c r="BO36" s="165">
        <v>44950.574999999997</v>
      </c>
      <c r="BP36" s="126" t="s">
        <v>290</v>
      </c>
      <c r="BR36" s="136">
        <f t="shared" si="4"/>
        <v>206.25</v>
      </c>
      <c r="BS36" s="136">
        <f t="shared" si="5"/>
        <v>3.466666666790843</v>
      </c>
      <c r="BT36" s="136">
        <f t="shared" si="6"/>
        <v>41.000000000058208</v>
      </c>
      <c r="BU36" s="136">
        <f t="shared" si="13"/>
        <v>26.083333333313931</v>
      </c>
      <c r="BV36" s="135">
        <f t="shared" si="7"/>
        <v>5.6666666666278616</v>
      </c>
      <c r="BW36" s="135">
        <f t="shared" si="8"/>
        <v>9.3833333331858739</v>
      </c>
      <c r="BX36" s="134">
        <f t="shared" si="9"/>
        <v>12.160416666665697</v>
      </c>
      <c r="BY36" s="134">
        <f t="shared" si="10"/>
        <v>22.873611111106584</v>
      </c>
      <c r="BZ36" s="133">
        <f t="shared" si="11"/>
        <v>0.53163519339371146</v>
      </c>
    </row>
    <row r="37" spans="1:78" s="126" customFormat="1">
      <c r="A37" s="192">
        <f t="shared" si="0"/>
        <v>44941.802083333336</v>
      </c>
      <c r="B37" s="126" t="s">
        <v>228</v>
      </c>
      <c r="C37" s="126" t="s">
        <v>229</v>
      </c>
      <c r="D37" s="126" t="s">
        <v>197</v>
      </c>
      <c r="E37" s="126" t="s">
        <v>282</v>
      </c>
      <c r="G37" s="73">
        <v>44940.5</v>
      </c>
      <c r="H37" s="73">
        <v>44940.510416666664</v>
      </c>
      <c r="I37" s="126" t="s">
        <v>231</v>
      </c>
      <c r="J37" s="126" t="s">
        <v>192</v>
      </c>
      <c r="K37" s="126" t="s">
        <v>192</v>
      </c>
      <c r="L37" s="126" t="s">
        <v>309</v>
      </c>
      <c r="M37" s="167"/>
      <c r="N37" s="126" t="s">
        <v>310</v>
      </c>
      <c r="O37" s="126" t="s">
        <v>311</v>
      </c>
      <c r="P37" s="126" t="s">
        <v>235</v>
      </c>
      <c r="Q37" s="181">
        <f>3128*2.4</f>
        <v>7507.2</v>
      </c>
      <c r="R37" s="181">
        <v>7519.5379999999996</v>
      </c>
      <c r="S37" s="181"/>
      <c r="W37" s="181">
        <f>R37</f>
        <v>7519.5379999999996</v>
      </c>
      <c r="AV37" s="165">
        <f t="shared" si="1"/>
        <v>44927.760416666664</v>
      </c>
      <c r="AW37" s="165">
        <f t="shared" si="2"/>
        <v>44949.541666666664</v>
      </c>
      <c r="AX37" s="137">
        <f t="shared" si="3"/>
        <v>21.78125</v>
      </c>
      <c r="AY37" s="165">
        <v>44927.760416666664</v>
      </c>
      <c r="AZ37" s="165">
        <v>44929.829861111109</v>
      </c>
      <c r="BA37" s="165">
        <v>44939.364583333336</v>
      </c>
      <c r="BB37" s="165">
        <v>44941.802083333336</v>
      </c>
      <c r="BC37" s="165">
        <v>44941.930555555555</v>
      </c>
      <c r="BD37" s="165">
        <v>44941.9375</v>
      </c>
      <c r="BE37" s="165">
        <v>44942.25</v>
      </c>
      <c r="BF37" s="165">
        <f t="shared" si="14"/>
        <v>44943.958333333336</v>
      </c>
      <c r="BG37" s="165">
        <v>44944.5</v>
      </c>
      <c r="BH37" s="165">
        <v>44944.666666666664</v>
      </c>
      <c r="BI37" s="165">
        <v>44944.597222222219</v>
      </c>
      <c r="BJ37" s="165">
        <v>44945.736111111109</v>
      </c>
      <c r="BK37" s="165">
        <v>44948.489583333336</v>
      </c>
      <c r="BL37" s="165">
        <v>44949.097222222219</v>
      </c>
      <c r="BM37" s="165">
        <v>44949.114583333336</v>
      </c>
      <c r="BN37" s="165">
        <v>44949.114583333336</v>
      </c>
      <c r="BO37" s="165">
        <v>44949.541666666664</v>
      </c>
      <c r="BP37" s="126" t="s">
        <v>290</v>
      </c>
      <c r="BR37" s="136">
        <f t="shared" si="4"/>
        <v>228.83333333343035</v>
      </c>
      <c r="BS37" s="136">
        <f t="shared" si="5"/>
        <v>3.0833333332557231</v>
      </c>
      <c r="BT37" s="136">
        <f t="shared" si="6"/>
        <v>41.000000000058208</v>
      </c>
      <c r="BU37" s="136">
        <f t="shared" si="13"/>
        <v>25.666666666686069</v>
      </c>
      <c r="BV37" s="135">
        <f t="shared" si="7"/>
        <v>14.583333333197515</v>
      </c>
      <c r="BW37" s="135">
        <f t="shared" si="8"/>
        <v>10.249999999883585</v>
      </c>
      <c r="BX37" s="134">
        <f t="shared" si="9"/>
        <v>13.475694444437977</v>
      </c>
      <c r="BY37" s="134">
        <f t="shared" si="10"/>
        <v>21.78125</v>
      </c>
      <c r="BZ37" s="133">
        <f t="shared" si="11"/>
        <v>0.618683245655689</v>
      </c>
    </row>
    <row r="38" spans="1:78" s="126" customFormat="1">
      <c r="A38" s="192"/>
      <c r="D38" s="126" t="s">
        <v>197</v>
      </c>
      <c r="G38" s="165"/>
      <c r="H38" s="165"/>
      <c r="J38" s="126" t="s">
        <v>312</v>
      </c>
      <c r="L38" s="126" t="s">
        <v>313</v>
      </c>
      <c r="M38" s="167"/>
      <c r="N38" s="126" t="s">
        <v>314</v>
      </c>
      <c r="O38" s="126" t="s">
        <v>315</v>
      </c>
      <c r="Q38" s="181">
        <f>3146*2.4</f>
        <v>7550.4</v>
      </c>
      <c r="R38" s="181"/>
      <c r="S38" s="181"/>
      <c r="AV38" s="165">
        <f t="shared" si="1"/>
        <v>44930.486111111109</v>
      </c>
      <c r="AW38" s="165">
        <f t="shared" si="2"/>
        <v>44958</v>
      </c>
      <c r="AX38" s="137">
        <f t="shared" si="3"/>
        <v>27.513888888890506</v>
      </c>
      <c r="AY38" s="165">
        <v>44930.486111111109</v>
      </c>
      <c r="AZ38" s="165"/>
      <c r="BA38" s="165"/>
      <c r="BB38" s="165"/>
      <c r="BC38" s="165"/>
      <c r="BD38" s="165"/>
      <c r="BE38" s="165"/>
      <c r="BF38" s="165"/>
      <c r="BG38" s="165"/>
      <c r="BH38" s="165"/>
      <c r="BI38" s="166"/>
      <c r="BJ38" s="165"/>
      <c r="BK38" s="165"/>
      <c r="BL38" s="165"/>
      <c r="BM38" s="165"/>
      <c r="BN38" s="165"/>
      <c r="BO38" s="165">
        <v>44958</v>
      </c>
      <c r="BP38" s="126" t="s">
        <v>316</v>
      </c>
      <c r="BR38" s="136">
        <f t="shared" si="4"/>
        <v>0</v>
      </c>
      <c r="BS38" s="136">
        <f t="shared" si="5"/>
        <v>0</v>
      </c>
      <c r="BT38" s="136">
        <f t="shared" si="6"/>
        <v>0</v>
      </c>
      <c r="BU38" s="136">
        <f t="shared" si="13"/>
        <v>0</v>
      </c>
      <c r="BV38" s="135">
        <f t="shared" si="7"/>
        <v>0</v>
      </c>
      <c r="BW38" s="135">
        <f t="shared" si="8"/>
        <v>1078992</v>
      </c>
      <c r="BX38" s="134">
        <f t="shared" si="9"/>
        <v>44958</v>
      </c>
      <c r="BY38" s="134">
        <f t="shared" si="10"/>
        <v>27.513888888890506</v>
      </c>
      <c r="BZ38" s="133">
        <f t="shared" si="11"/>
        <v>1634.0111055021755</v>
      </c>
    </row>
    <row r="39" spans="1:78" s="126" customFormat="1">
      <c r="A39" s="192"/>
      <c r="D39" s="126" t="s">
        <v>197</v>
      </c>
      <c r="G39" s="165"/>
      <c r="H39" s="165"/>
      <c r="J39" s="126" t="s">
        <v>317</v>
      </c>
      <c r="L39" s="126" t="s">
        <v>318</v>
      </c>
      <c r="M39" s="167"/>
      <c r="N39" s="126" t="s">
        <v>319</v>
      </c>
      <c r="O39" s="126" t="s">
        <v>320</v>
      </c>
      <c r="Q39" s="181">
        <f>3136*2.4</f>
        <v>7526.4</v>
      </c>
      <c r="R39" s="181"/>
      <c r="S39" s="181"/>
      <c r="AV39" s="165">
        <f t="shared" si="1"/>
        <v>44925.083333333336</v>
      </c>
      <c r="AW39" s="165">
        <f t="shared" si="2"/>
        <v>44958</v>
      </c>
      <c r="AX39" s="137">
        <f t="shared" si="3"/>
        <v>32.916666666664241</v>
      </c>
      <c r="AY39" s="165">
        <v>44925.083333333336</v>
      </c>
      <c r="AZ39" s="165"/>
      <c r="BA39" s="165"/>
      <c r="BB39" s="165"/>
      <c r="BC39" s="165"/>
      <c r="BD39" s="165"/>
      <c r="BE39" s="165"/>
      <c r="BF39" s="165"/>
      <c r="BG39" s="165"/>
      <c r="BH39" s="165"/>
      <c r="BI39" s="166"/>
      <c r="BJ39" s="165"/>
      <c r="BK39" s="165"/>
      <c r="BL39" s="165"/>
      <c r="BM39" s="165"/>
      <c r="BN39" s="165"/>
      <c r="BO39" s="165">
        <v>44958</v>
      </c>
      <c r="BP39" s="126" t="s">
        <v>321</v>
      </c>
      <c r="BR39" s="136">
        <f t="shared" si="4"/>
        <v>0</v>
      </c>
      <c r="BS39" s="136">
        <f t="shared" si="5"/>
        <v>0</v>
      </c>
      <c r="BT39" s="136">
        <f t="shared" si="6"/>
        <v>0</v>
      </c>
      <c r="BU39" s="136">
        <f t="shared" si="13"/>
        <v>0</v>
      </c>
      <c r="BV39" s="135">
        <f t="shared" si="7"/>
        <v>0</v>
      </c>
      <c r="BW39" s="135">
        <f t="shared" si="8"/>
        <v>1078992</v>
      </c>
      <c r="BX39" s="134">
        <f t="shared" si="9"/>
        <v>44958</v>
      </c>
      <c r="BY39" s="134">
        <f t="shared" si="10"/>
        <v>32.916666666664241</v>
      </c>
      <c r="BZ39" s="133">
        <f t="shared" si="11"/>
        <v>1365.8126582279488</v>
      </c>
    </row>
    <row r="40" spans="1:78" s="126" customFormat="1">
      <c r="A40" s="192">
        <f>BB40</f>
        <v>44942.621527777781</v>
      </c>
      <c r="B40" s="126" t="s">
        <v>228</v>
      </c>
      <c r="C40" s="126" t="s">
        <v>229</v>
      </c>
      <c r="D40" s="126" t="s">
        <v>197</v>
      </c>
      <c r="E40" s="126" t="s">
        <v>282</v>
      </c>
      <c r="G40" s="73">
        <v>44940.5</v>
      </c>
      <c r="H40" s="73">
        <v>44940.510416666664</v>
      </c>
      <c r="I40" s="126" t="s">
        <v>231</v>
      </c>
      <c r="J40" s="126" t="s">
        <v>192</v>
      </c>
      <c r="K40" s="126" t="s">
        <v>192</v>
      </c>
      <c r="L40" s="126" t="s">
        <v>322</v>
      </c>
      <c r="M40" s="167"/>
      <c r="N40" s="126" t="s">
        <v>323</v>
      </c>
      <c r="O40" s="126" t="s">
        <v>324</v>
      </c>
      <c r="P40" s="126" t="s">
        <v>235</v>
      </c>
      <c r="Q40" s="181">
        <f>3095*2.4</f>
        <v>7428</v>
      </c>
      <c r="R40" s="181">
        <f>7307.956-5501.5</f>
        <v>1806.4560000000001</v>
      </c>
      <c r="S40" s="181"/>
      <c r="W40" s="181">
        <f>R40</f>
        <v>1806.4560000000001</v>
      </c>
      <c r="AV40" s="165">
        <f t="shared" si="1"/>
        <v>44927.789583333331</v>
      </c>
      <c r="AW40" s="165">
        <f t="shared" si="2"/>
        <v>44951.25</v>
      </c>
      <c r="AX40" s="137">
        <f t="shared" si="3"/>
        <v>23.460416666668607</v>
      </c>
      <c r="AY40" s="165">
        <v>44927.789583333331</v>
      </c>
      <c r="AZ40" s="165">
        <v>44938.552777777775</v>
      </c>
      <c r="BA40" s="165">
        <v>44940.180555555555</v>
      </c>
      <c r="BB40" s="165">
        <v>44942.621527777781</v>
      </c>
      <c r="BC40" s="165">
        <v>44942.743055555555</v>
      </c>
      <c r="BD40" s="165">
        <v>44942.746527777781</v>
      </c>
      <c r="BE40" s="165">
        <v>44942.746527777781</v>
      </c>
      <c r="BF40" s="165">
        <f>BE40+(41/24)</f>
        <v>44944.454861111117</v>
      </c>
      <c r="BG40" s="165">
        <v>44945.5</v>
      </c>
      <c r="BH40" s="165">
        <v>44945.666666666664</v>
      </c>
      <c r="BI40" s="165">
        <v>44945.536111111112</v>
      </c>
      <c r="BJ40" s="165">
        <v>44946.666666666664</v>
      </c>
      <c r="BK40" s="165">
        <v>44950.902777777781</v>
      </c>
      <c r="BL40" s="165">
        <v>44951.1875</v>
      </c>
      <c r="BM40" s="165">
        <v>44951.25</v>
      </c>
      <c r="BN40" s="165">
        <v>44951.25</v>
      </c>
      <c r="BO40" s="165">
        <v>44951.25</v>
      </c>
      <c r="BP40" s="126" t="s">
        <v>290</v>
      </c>
      <c r="BR40" s="136">
        <f t="shared" si="4"/>
        <v>39.066666666709352</v>
      </c>
      <c r="BS40" s="136">
        <f t="shared" si="5"/>
        <v>2.9166666665696539</v>
      </c>
      <c r="BT40" s="136">
        <f t="shared" si="6"/>
        <v>41.000000000058208</v>
      </c>
      <c r="BU40" s="136">
        <f t="shared" si="13"/>
        <v>24</v>
      </c>
      <c r="BV40" s="135">
        <f t="shared" si="7"/>
        <v>6.8333333332557231</v>
      </c>
      <c r="BW40" s="135">
        <f t="shared" si="8"/>
        <v>0</v>
      </c>
      <c r="BX40" s="134">
        <f t="shared" si="9"/>
        <v>4.742361111108039</v>
      </c>
      <c r="BY40" s="134">
        <f t="shared" si="10"/>
        <v>23.460416666668607</v>
      </c>
      <c r="BZ40" s="133">
        <f t="shared" si="11"/>
        <v>0.20214308971953382</v>
      </c>
    </row>
    <row r="41" spans="1:78" s="126" customFormat="1">
      <c r="A41" s="192">
        <f>BB41</f>
        <v>44942.621527777781</v>
      </c>
      <c r="B41" s="126" t="s">
        <v>228</v>
      </c>
      <c r="C41" s="126" t="s">
        <v>229</v>
      </c>
      <c r="D41" s="126" t="s">
        <v>197</v>
      </c>
      <c r="E41" s="126" t="s">
        <v>325</v>
      </c>
      <c r="G41" s="73">
        <v>44951.541666666664</v>
      </c>
      <c r="H41" s="73">
        <v>44951.54583333333</v>
      </c>
      <c r="I41" s="126" t="s">
        <v>231</v>
      </c>
      <c r="J41" s="126" t="s">
        <v>192</v>
      </c>
      <c r="K41" s="126" t="s">
        <v>192</v>
      </c>
      <c r="L41" s="126" t="s">
        <v>322</v>
      </c>
      <c r="M41" s="167"/>
      <c r="N41" s="126" t="s">
        <v>323</v>
      </c>
      <c r="O41" s="126" t="s">
        <v>324</v>
      </c>
      <c r="P41" s="126" t="s">
        <v>235</v>
      </c>
      <c r="Q41" s="181">
        <f>3095*2.4</f>
        <v>7428</v>
      </c>
      <c r="R41" s="181">
        <v>5618.1570000000002</v>
      </c>
      <c r="S41" s="181"/>
      <c r="W41" s="181">
        <f>R41</f>
        <v>5618.1570000000002</v>
      </c>
      <c r="AV41" s="165">
        <f t="shared" si="1"/>
        <v>44927.789583333331</v>
      </c>
      <c r="AW41" s="165">
        <f t="shared" si="2"/>
        <v>44956.583333333336</v>
      </c>
      <c r="AX41" s="137">
        <f t="shared" si="3"/>
        <v>28.793750000004366</v>
      </c>
      <c r="AY41" s="165">
        <v>44927.789583333331</v>
      </c>
      <c r="AZ41" s="165">
        <v>44938.552777777775</v>
      </c>
      <c r="BA41" s="165">
        <v>44940.180555555555</v>
      </c>
      <c r="BB41" s="165">
        <v>44942.621527777781</v>
      </c>
      <c r="BC41" s="165">
        <v>44942.743055555555</v>
      </c>
      <c r="BD41" s="165">
        <v>44942.746527777781</v>
      </c>
      <c r="BE41" s="165">
        <v>44942.746527777781</v>
      </c>
      <c r="BF41" s="165">
        <f>BE41+(41/24)</f>
        <v>44944.454861111117</v>
      </c>
      <c r="BG41" s="165">
        <v>44945.5</v>
      </c>
      <c r="BH41" s="165">
        <v>44945.666666666664</v>
      </c>
      <c r="BI41" s="165">
        <v>44945.536111111112</v>
      </c>
      <c r="BJ41" s="165">
        <v>44951.25</v>
      </c>
      <c r="BK41" s="165">
        <v>44955.951388888891</v>
      </c>
      <c r="BL41" s="165">
        <v>44956.097222222219</v>
      </c>
      <c r="BM41" s="165">
        <v>44956.118055555555</v>
      </c>
      <c r="BN41" s="165">
        <v>44956.333333333336</v>
      </c>
      <c r="BO41" s="165">
        <v>44956.583333333336</v>
      </c>
      <c r="BP41" s="126" t="s">
        <v>290</v>
      </c>
      <c r="BR41" s="136">
        <f t="shared" si="4"/>
        <v>39.066666666709352</v>
      </c>
      <c r="BS41" s="136">
        <f t="shared" si="5"/>
        <v>2.9166666665696539</v>
      </c>
      <c r="BT41" s="136">
        <f t="shared" si="6"/>
        <v>41.000000000058208</v>
      </c>
      <c r="BU41" s="136">
        <f t="shared" si="13"/>
        <v>134.00000000005821</v>
      </c>
      <c r="BV41" s="135">
        <f t="shared" si="7"/>
        <v>3.4999999998835847</v>
      </c>
      <c r="BW41" s="135">
        <f t="shared" si="8"/>
        <v>6</v>
      </c>
      <c r="BX41" s="134">
        <f t="shared" si="9"/>
        <v>9.4368055555532919</v>
      </c>
      <c r="BY41" s="134">
        <f t="shared" si="10"/>
        <v>28.793750000004366</v>
      </c>
      <c r="BZ41" s="133">
        <f t="shared" si="11"/>
        <v>0.32773798326205728</v>
      </c>
    </row>
    <row r="42" spans="1:78" s="126" customFormat="1">
      <c r="A42" s="192"/>
      <c r="D42" s="126" t="s">
        <v>197</v>
      </c>
      <c r="G42" s="165"/>
      <c r="H42" s="165"/>
      <c r="J42" s="126" t="s">
        <v>317</v>
      </c>
      <c r="L42" s="126" t="s">
        <v>326</v>
      </c>
      <c r="M42" s="167"/>
      <c r="N42" s="126" t="s">
        <v>327</v>
      </c>
      <c r="O42" s="126" t="s">
        <v>328</v>
      </c>
      <c r="Q42" s="181">
        <f>3143*2.4</f>
        <v>7543.2</v>
      </c>
      <c r="R42" s="181"/>
      <c r="S42" s="181"/>
      <c r="AV42" s="165">
        <f t="shared" si="1"/>
        <v>44928.125</v>
      </c>
      <c r="AW42" s="165">
        <f t="shared" si="2"/>
        <v>44958</v>
      </c>
      <c r="AX42" s="137">
        <f t="shared" si="3"/>
        <v>29.875</v>
      </c>
      <c r="AY42" s="165">
        <v>44928.125</v>
      </c>
      <c r="AZ42" s="165"/>
      <c r="BA42" s="165"/>
      <c r="BB42" s="165"/>
      <c r="BC42" s="165"/>
      <c r="BD42" s="165"/>
      <c r="BE42" s="165"/>
      <c r="BF42" s="165"/>
      <c r="BG42" s="165"/>
      <c r="BH42" s="165"/>
      <c r="BI42" s="166"/>
      <c r="BJ42" s="165"/>
      <c r="BK42" s="165"/>
      <c r="BL42" s="165"/>
      <c r="BM42" s="165"/>
      <c r="BN42" s="165"/>
      <c r="BO42" s="165">
        <v>44958</v>
      </c>
      <c r="BP42" s="126" t="s">
        <v>290</v>
      </c>
      <c r="BR42" s="136">
        <f t="shared" si="4"/>
        <v>0</v>
      </c>
      <c r="BS42" s="136">
        <f t="shared" si="5"/>
        <v>0</v>
      </c>
      <c r="BT42" s="136">
        <f t="shared" si="6"/>
        <v>0</v>
      </c>
      <c r="BU42" s="136">
        <f t="shared" si="13"/>
        <v>0</v>
      </c>
      <c r="BV42" s="135">
        <f t="shared" si="7"/>
        <v>0</v>
      </c>
      <c r="BW42" s="135">
        <f t="shared" si="8"/>
        <v>1078992</v>
      </c>
      <c r="BX42" s="134">
        <f t="shared" si="9"/>
        <v>44958</v>
      </c>
      <c r="BY42" s="134">
        <f t="shared" si="10"/>
        <v>29.875</v>
      </c>
      <c r="BZ42" s="133">
        <f t="shared" si="11"/>
        <v>1504.8702928870293</v>
      </c>
    </row>
    <row r="43" spans="1:78" s="126" customFormat="1">
      <c r="A43" s="192">
        <f t="shared" ref="A43:A75" si="16">BB43</f>
        <v>44945.440972222219</v>
      </c>
      <c r="B43" s="126" t="s">
        <v>228</v>
      </c>
      <c r="C43" s="126" t="s">
        <v>229</v>
      </c>
      <c r="D43" s="126" t="s">
        <v>197</v>
      </c>
      <c r="E43" s="126" t="s">
        <v>325</v>
      </c>
      <c r="F43" s="126" t="s">
        <v>220</v>
      </c>
      <c r="G43" s="73">
        <v>44951.541666666664</v>
      </c>
      <c r="H43" s="73">
        <v>44951.54583333333</v>
      </c>
      <c r="I43" s="126" t="s">
        <v>231</v>
      </c>
      <c r="J43" s="126" t="s">
        <v>192</v>
      </c>
      <c r="K43" s="126" t="s">
        <v>192</v>
      </c>
      <c r="L43" s="126" t="s">
        <v>329</v>
      </c>
      <c r="M43" s="167"/>
      <c r="N43" s="126" t="s">
        <v>330</v>
      </c>
      <c r="O43" s="126" t="s">
        <v>331</v>
      </c>
      <c r="P43" s="126" t="s">
        <v>235</v>
      </c>
      <c r="Q43" s="181">
        <f>3136*2.4</f>
        <v>7526.4</v>
      </c>
      <c r="R43" s="181">
        <f>7111.135-5376.296</f>
        <v>1734.8389999999999</v>
      </c>
      <c r="S43" s="181"/>
      <c r="T43" s="172"/>
      <c r="W43" s="181">
        <f>R43</f>
        <v>1734.8389999999999</v>
      </c>
      <c r="AV43" s="165">
        <f t="shared" si="1"/>
        <v>44924.666666666664</v>
      </c>
      <c r="AW43" s="165">
        <f t="shared" si="2"/>
        <v>44956.96875</v>
      </c>
      <c r="AX43" s="137">
        <f t="shared" si="3"/>
        <v>32.302083333335759</v>
      </c>
      <c r="AY43" s="165">
        <v>44924.666666666664</v>
      </c>
      <c r="AZ43" s="165">
        <v>44940.590277777781</v>
      </c>
      <c r="BA43" s="165">
        <v>44942.625</v>
      </c>
      <c r="BB43" s="165">
        <v>44945.440972222219</v>
      </c>
      <c r="BC43" s="165">
        <v>44945.571527777778</v>
      </c>
      <c r="BD43" s="165">
        <v>44945.576388888891</v>
      </c>
      <c r="BE43" s="165">
        <v>44945.576388888891</v>
      </c>
      <c r="BF43" s="165">
        <f t="shared" ref="BF43:BF75" si="17">BE43+(41/24)</f>
        <v>44947.284722222226</v>
      </c>
      <c r="BG43" s="165">
        <v>44948.25</v>
      </c>
      <c r="BH43" s="165">
        <v>44948.416666666664</v>
      </c>
      <c r="BI43" s="165">
        <v>44948.392361111109</v>
      </c>
      <c r="BJ43" s="165">
        <v>44953.416666666664</v>
      </c>
      <c r="BK43" s="165">
        <v>44956.4375</v>
      </c>
      <c r="BL43" s="165">
        <v>44956.930555555555</v>
      </c>
      <c r="BM43" s="165">
        <v>44956.96875</v>
      </c>
      <c r="BN43" s="165">
        <v>44956.96875</v>
      </c>
      <c r="BO43" s="165">
        <v>44956.96875</v>
      </c>
      <c r="BP43" s="126" t="s">
        <v>332</v>
      </c>
      <c r="BR43" s="136">
        <f t="shared" si="4"/>
        <v>48.833333333255723</v>
      </c>
      <c r="BS43" s="136">
        <f t="shared" si="5"/>
        <v>3.1333333334187046</v>
      </c>
      <c r="BT43" s="136">
        <f t="shared" si="6"/>
        <v>41.000000000058208</v>
      </c>
      <c r="BU43" s="136">
        <f t="shared" si="13"/>
        <v>120</v>
      </c>
      <c r="BV43" s="135">
        <f t="shared" si="7"/>
        <v>11.833333333313931</v>
      </c>
      <c r="BW43" s="135">
        <f t="shared" si="8"/>
        <v>0</v>
      </c>
      <c r="BX43" s="134">
        <f t="shared" si="9"/>
        <v>9.3666666666686069</v>
      </c>
      <c r="BY43" s="134">
        <f t="shared" si="10"/>
        <v>32.302083333335759</v>
      </c>
      <c r="BZ43" s="133">
        <f t="shared" si="11"/>
        <v>0.28997097710419822</v>
      </c>
    </row>
    <row r="44" spans="1:78" s="126" customFormat="1">
      <c r="A44" s="192">
        <f t="shared" si="16"/>
        <v>44945.440972222219</v>
      </c>
      <c r="B44" s="126" t="s">
        <v>228</v>
      </c>
      <c r="C44" s="126" t="s">
        <v>229</v>
      </c>
      <c r="D44" s="126" t="s">
        <v>197</v>
      </c>
      <c r="E44" s="126" t="s">
        <v>224</v>
      </c>
      <c r="F44" s="126" t="s">
        <v>220</v>
      </c>
      <c r="G44" s="73">
        <v>44952.666666666664</v>
      </c>
      <c r="H44" s="73">
        <v>44952.694444444445</v>
      </c>
      <c r="I44" s="126" t="s">
        <v>231</v>
      </c>
      <c r="J44" s="126" t="s">
        <v>192</v>
      </c>
      <c r="K44" s="126" t="s">
        <v>192</v>
      </c>
      <c r="L44" s="126" t="s">
        <v>329</v>
      </c>
      <c r="M44" s="167"/>
      <c r="N44" s="126" t="s">
        <v>330</v>
      </c>
      <c r="O44" s="126" t="s">
        <v>331</v>
      </c>
      <c r="P44" s="126" t="s">
        <v>235</v>
      </c>
      <c r="Q44" s="181">
        <f>3136*2.4</f>
        <v>7526.4</v>
      </c>
      <c r="R44" s="181">
        <v>5690.0290000000005</v>
      </c>
      <c r="S44" s="181"/>
      <c r="T44" s="172"/>
      <c r="W44" s="181">
        <f>R44</f>
        <v>5690.0290000000005</v>
      </c>
      <c r="AV44" s="165">
        <f t="shared" si="1"/>
        <v>44924.666666666664</v>
      </c>
      <c r="AW44" s="165">
        <f t="shared" si="2"/>
        <v>44959.694444444445</v>
      </c>
      <c r="AX44" s="137">
        <f t="shared" si="3"/>
        <v>35.027777777781012</v>
      </c>
      <c r="AY44" s="165">
        <v>44924.666666666664</v>
      </c>
      <c r="AZ44" s="165">
        <v>44940.590277777781</v>
      </c>
      <c r="BA44" s="165">
        <v>44942.625</v>
      </c>
      <c r="BB44" s="165">
        <v>44945.440972222219</v>
      </c>
      <c r="BC44" s="165">
        <v>44945.571527777778</v>
      </c>
      <c r="BD44" s="165">
        <v>44945.576388888891</v>
      </c>
      <c r="BE44" s="165">
        <v>44945.576388888891</v>
      </c>
      <c r="BF44" s="165">
        <f t="shared" si="17"/>
        <v>44947.284722222226</v>
      </c>
      <c r="BG44" s="165">
        <v>44948.25</v>
      </c>
      <c r="BH44" s="165">
        <v>44948.416666666664</v>
      </c>
      <c r="BI44" s="165">
        <v>44948.392361111109</v>
      </c>
      <c r="BJ44" s="165">
        <v>44956.96875</v>
      </c>
      <c r="BK44" s="165">
        <v>44958.934027777781</v>
      </c>
      <c r="BL44" s="165">
        <v>44959.194444444445</v>
      </c>
      <c r="BM44" s="165">
        <v>44959.215277777781</v>
      </c>
      <c r="BN44" s="165">
        <v>44959.215277777781</v>
      </c>
      <c r="BO44" s="165">
        <v>44959.694444444445</v>
      </c>
      <c r="BP44" s="126" t="s">
        <v>332</v>
      </c>
      <c r="BR44" s="136">
        <f t="shared" si="4"/>
        <v>48.833333333255723</v>
      </c>
      <c r="BS44" s="136">
        <f t="shared" si="5"/>
        <v>3.1333333334187046</v>
      </c>
      <c r="BT44" s="136">
        <f t="shared" si="6"/>
        <v>41.000000000058208</v>
      </c>
      <c r="BU44" s="136">
        <f t="shared" si="13"/>
        <v>205.25000000005821</v>
      </c>
      <c r="BV44" s="135">
        <f t="shared" si="7"/>
        <v>6.2499999999417923</v>
      </c>
      <c r="BW44" s="135">
        <f t="shared" si="8"/>
        <v>11.499999999941792</v>
      </c>
      <c r="BX44" s="134">
        <f t="shared" si="9"/>
        <v>13.165277777778101</v>
      </c>
      <c r="BY44" s="134">
        <f t="shared" si="10"/>
        <v>35.027777777781012</v>
      </c>
      <c r="BZ44" s="133">
        <f t="shared" si="11"/>
        <v>0.37585249801742099</v>
      </c>
    </row>
    <row r="45" spans="1:78" s="126" customFormat="1">
      <c r="A45" s="192">
        <f t="shared" si="16"/>
        <v>44944.135416666664</v>
      </c>
      <c r="B45" s="126" t="s">
        <v>228</v>
      </c>
      <c r="C45" s="126" t="s">
        <v>229</v>
      </c>
      <c r="D45" s="126" t="s">
        <v>197</v>
      </c>
      <c r="E45" s="126" t="s">
        <v>325</v>
      </c>
      <c r="G45" s="73">
        <v>44951.541666666664</v>
      </c>
      <c r="H45" s="73">
        <v>44951.54583333333</v>
      </c>
      <c r="I45" s="126" t="s">
        <v>231</v>
      </c>
      <c r="J45" s="126" t="s">
        <v>192</v>
      </c>
      <c r="K45" s="126" t="s">
        <v>192</v>
      </c>
      <c r="L45" s="126" t="s">
        <v>333</v>
      </c>
      <c r="M45" s="167"/>
      <c r="N45" s="126" t="s">
        <v>334</v>
      </c>
      <c r="O45" s="126" t="s">
        <v>335</v>
      </c>
      <c r="P45" s="126" t="s">
        <v>336</v>
      </c>
      <c r="Q45" s="181">
        <f>3242 *2.4</f>
        <v>7780.7999999999993</v>
      </c>
      <c r="R45" s="181">
        <v>7260.81</v>
      </c>
      <c r="S45" s="181"/>
      <c r="W45" s="181">
        <f>R45*0.35</f>
        <v>2541.2835</v>
      </c>
      <c r="X45" s="181">
        <f>R45*0.65</f>
        <v>4719.5265000000009</v>
      </c>
      <c r="AV45" s="165">
        <f t="shared" si="1"/>
        <v>44928.729166666664</v>
      </c>
      <c r="AW45" s="165">
        <f t="shared" si="2"/>
        <v>44956.875</v>
      </c>
      <c r="AX45" s="137">
        <f t="shared" si="3"/>
        <v>28.145833333335759</v>
      </c>
      <c r="AY45" s="165">
        <v>44928.729166666664</v>
      </c>
      <c r="AZ45" s="165">
        <v>44938.579861111109</v>
      </c>
      <c r="BA45" s="165">
        <v>44940.541666666664</v>
      </c>
      <c r="BB45" s="165">
        <v>44944.135416666664</v>
      </c>
      <c r="BC45" s="165">
        <v>44944.36041666667</v>
      </c>
      <c r="BD45" s="165">
        <v>44944.364583333336</v>
      </c>
      <c r="BE45" s="165">
        <v>44944.364583333336</v>
      </c>
      <c r="BF45" s="165">
        <f t="shared" si="17"/>
        <v>44946.072916666672</v>
      </c>
      <c r="BG45" s="165">
        <v>44946.583333333336</v>
      </c>
      <c r="BH45" s="165">
        <v>44946.75</v>
      </c>
      <c r="BI45" s="165">
        <v>44946.690972222219</v>
      </c>
      <c r="BJ45" s="165">
        <v>44951.604166666664</v>
      </c>
      <c r="BK45" s="165">
        <v>44956.159722222219</v>
      </c>
      <c r="BL45" s="165">
        <v>44956.375</v>
      </c>
      <c r="BM45" s="165">
        <v>44956.395833333336</v>
      </c>
      <c r="BN45" s="165">
        <v>44956.395833333336</v>
      </c>
      <c r="BO45" s="165">
        <v>44956.875</v>
      </c>
      <c r="BP45" s="126" t="s">
        <v>290</v>
      </c>
      <c r="BR45" s="136">
        <f t="shared" si="4"/>
        <v>47.083333333313931</v>
      </c>
      <c r="BS45" s="136">
        <f t="shared" si="5"/>
        <v>5.4000000001396984</v>
      </c>
      <c r="BT45" s="136">
        <f t="shared" si="6"/>
        <v>41.000000000058208</v>
      </c>
      <c r="BU45" s="136">
        <f t="shared" si="13"/>
        <v>116.49999999994179</v>
      </c>
      <c r="BV45" s="135">
        <f t="shared" si="7"/>
        <v>5.1666666667442769</v>
      </c>
      <c r="BW45" s="135">
        <f t="shared" si="8"/>
        <v>11.499999999941792</v>
      </c>
      <c r="BX45" s="134">
        <f t="shared" si="9"/>
        <v>9.4437500000058208</v>
      </c>
      <c r="BY45" s="134">
        <f t="shared" si="10"/>
        <v>28.145833333335759</v>
      </c>
      <c r="BZ45" s="133">
        <f t="shared" si="11"/>
        <v>0.33552923760195436</v>
      </c>
    </row>
    <row r="46" spans="1:78" s="126" customFormat="1">
      <c r="A46" s="192">
        <f t="shared" si="16"/>
        <v>44947.236111111109</v>
      </c>
      <c r="B46" s="126" t="s">
        <v>228</v>
      </c>
      <c r="C46" s="126" t="s">
        <v>229</v>
      </c>
      <c r="D46" s="126" t="s">
        <v>197</v>
      </c>
      <c r="E46" s="126" t="s">
        <v>337</v>
      </c>
      <c r="G46" s="73">
        <v>44949.729166666664</v>
      </c>
      <c r="H46" s="73">
        <v>44949.722222222219</v>
      </c>
      <c r="I46" s="126" t="s">
        <v>231</v>
      </c>
      <c r="J46" s="126" t="s">
        <v>192</v>
      </c>
      <c r="K46" s="126" t="s">
        <v>192</v>
      </c>
      <c r="L46" s="126" t="s">
        <v>338</v>
      </c>
      <c r="M46" s="167"/>
      <c r="N46" s="126" t="s">
        <v>339</v>
      </c>
      <c r="O46" s="126" t="s">
        <v>340</v>
      </c>
      <c r="P46" s="126" t="s">
        <v>240</v>
      </c>
      <c r="Q46" s="181">
        <f>3141*2.4</f>
        <v>7538.4</v>
      </c>
      <c r="R46" s="181">
        <v>6320.8280000000004</v>
      </c>
      <c r="S46" s="181"/>
      <c r="X46" s="181">
        <f>R46</f>
        <v>6320.8280000000004</v>
      </c>
      <c r="AV46" s="165">
        <f t="shared" si="1"/>
        <v>44933.4375</v>
      </c>
      <c r="AW46" s="165">
        <f t="shared" si="2"/>
        <v>44960.229166666664</v>
      </c>
      <c r="AX46" s="137">
        <f t="shared" si="3"/>
        <v>26.791666666664241</v>
      </c>
      <c r="AY46" s="165">
        <v>44933.4375</v>
      </c>
      <c r="AZ46" s="165">
        <v>44943.840277777781</v>
      </c>
      <c r="BA46" s="165">
        <v>44946.638888888891</v>
      </c>
      <c r="BB46" s="165">
        <v>44947.236111111109</v>
      </c>
      <c r="BC46" s="165">
        <v>44947.440972222219</v>
      </c>
      <c r="BD46" s="165">
        <v>44947.444444444445</v>
      </c>
      <c r="BE46" s="165">
        <v>44947.444444444445</v>
      </c>
      <c r="BF46" s="165">
        <f t="shared" si="17"/>
        <v>44949.152777777781</v>
      </c>
      <c r="BG46" s="165">
        <v>44954.291666666664</v>
      </c>
      <c r="BH46" s="165">
        <v>44954.458333333328</v>
      </c>
      <c r="BI46" s="165">
        <v>44954.40625</v>
      </c>
      <c r="BJ46" s="165">
        <v>44955.40625</v>
      </c>
      <c r="BK46" s="165">
        <v>44959.743055555555</v>
      </c>
      <c r="BL46" s="165">
        <v>44959.875</v>
      </c>
      <c r="BM46" s="165">
        <v>44959.895833333336</v>
      </c>
      <c r="BN46" s="165">
        <v>44959.895833333336</v>
      </c>
      <c r="BO46" s="165">
        <v>44960.229166666664</v>
      </c>
      <c r="BP46" s="126" t="s">
        <v>316</v>
      </c>
      <c r="BR46" s="136">
        <f t="shared" si="4"/>
        <v>67.166666666627862</v>
      </c>
      <c r="BS46" s="136">
        <f t="shared" si="5"/>
        <v>4.9166666666278616</v>
      </c>
      <c r="BT46" s="136">
        <f t="shared" si="6"/>
        <v>41.000000000058208</v>
      </c>
      <c r="BU46" s="136">
        <f t="shared" si="13"/>
        <v>22.750000000116415</v>
      </c>
      <c r="BV46" s="135">
        <f t="shared" si="7"/>
        <v>3.1666666666860692</v>
      </c>
      <c r="BW46" s="135">
        <f t="shared" si="8"/>
        <v>7.9999999998835847</v>
      </c>
      <c r="BX46" s="134">
        <f t="shared" si="9"/>
        <v>6.125</v>
      </c>
      <c r="BY46" s="134">
        <f t="shared" si="10"/>
        <v>26.791666666664241</v>
      </c>
      <c r="BZ46" s="133">
        <f t="shared" si="11"/>
        <v>0.22861586314154481</v>
      </c>
    </row>
    <row r="47" spans="1:78" s="126" customFormat="1">
      <c r="A47" s="192">
        <f t="shared" si="16"/>
        <v>44946.503472222219</v>
      </c>
      <c r="B47" s="126" t="s">
        <v>228</v>
      </c>
      <c r="C47" s="126" t="s">
        <v>229</v>
      </c>
      <c r="D47" s="126" t="s">
        <v>197</v>
      </c>
      <c r="E47" s="126" t="s">
        <v>220</v>
      </c>
      <c r="G47" s="73">
        <v>44953.208333333336</v>
      </c>
      <c r="H47" s="73">
        <v>44953.104166666664</v>
      </c>
      <c r="I47" s="126" t="s">
        <v>243</v>
      </c>
      <c r="J47" s="126" t="s">
        <v>192</v>
      </c>
      <c r="K47" s="126" t="s">
        <v>192</v>
      </c>
      <c r="L47" s="126" t="s">
        <v>341</v>
      </c>
      <c r="M47" s="167"/>
      <c r="N47" s="126" t="s">
        <v>233</v>
      </c>
      <c r="O47" s="126" t="s">
        <v>234</v>
      </c>
      <c r="P47" s="126" t="s">
        <v>235</v>
      </c>
      <c r="Q47" s="181">
        <f>3215*2.4</f>
        <v>7716</v>
      </c>
      <c r="R47" s="181">
        <v>6424.3680000000004</v>
      </c>
      <c r="S47" s="181"/>
      <c r="T47" s="172"/>
      <c r="W47" s="181">
        <f>R47</f>
        <v>6424.3680000000004</v>
      </c>
      <c r="AV47" s="165">
        <f t="shared" si="1"/>
        <v>44935.527777777781</v>
      </c>
      <c r="AW47" s="165">
        <f t="shared" si="2"/>
        <v>44956.645833333336</v>
      </c>
      <c r="AX47" s="137">
        <f t="shared" si="3"/>
        <v>21.118055555554747</v>
      </c>
      <c r="AY47" s="165">
        <v>44935.527777777781</v>
      </c>
      <c r="AZ47" s="165">
        <v>44942.850694444445</v>
      </c>
      <c r="BA47" s="165">
        <v>44944.590277777781</v>
      </c>
      <c r="BB47" s="165">
        <v>44946.503472222219</v>
      </c>
      <c r="BC47" s="165">
        <v>44946.675694444442</v>
      </c>
      <c r="BD47" s="165">
        <v>44946.677083333336</v>
      </c>
      <c r="BE47" s="165">
        <v>44946.677083333336</v>
      </c>
      <c r="BF47" s="165">
        <f t="shared" si="17"/>
        <v>44948.385416666672</v>
      </c>
      <c r="BG47" s="165">
        <v>44949.25</v>
      </c>
      <c r="BH47" s="165">
        <v>44949.416666666664</v>
      </c>
      <c r="BI47" s="165">
        <v>44949.371527777781</v>
      </c>
      <c r="BJ47" s="165">
        <v>44951.395833333336</v>
      </c>
      <c r="BK47" s="165">
        <v>44955.638888888891</v>
      </c>
      <c r="BL47" s="165">
        <v>44955.864583333336</v>
      </c>
      <c r="BM47" s="165">
        <v>44955.878472222219</v>
      </c>
      <c r="BN47" s="165">
        <v>44955.881944444445</v>
      </c>
      <c r="BO47" s="165">
        <v>44956.645833333336</v>
      </c>
      <c r="BP47" s="126" t="s">
        <v>316</v>
      </c>
      <c r="BR47" s="136">
        <f t="shared" si="4"/>
        <v>41.750000000058208</v>
      </c>
      <c r="BS47" s="136">
        <f t="shared" si="5"/>
        <v>4.1333333333604969</v>
      </c>
      <c r="BT47" s="136">
        <f t="shared" si="6"/>
        <v>41.000000000058208</v>
      </c>
      <c r="BU47" s="136">
        <f t="shared" si="13"/>
        <v>47.500000000116415</v>
      </c>
      <c r="BV47" s="135">
        <f t="shared" si="7"/>
        <v>5.4166666666860692</v>
      </c>
      <c r="BW47" s="135">
        <f t="shared" si="8"/>
        <v>18.333333333372138</v>
      </c>
      <c r="BX47" s="134">
        <f t="shared" si="9"/>
        <v>6.5888888889021473</v>
      </c>
      <c r="BY47" s="134">
        <f t="shared" si="10"/>
        <v>21.118055555554747</v>
      </c>
      <c r="BZ47" s="133">
        <f t="shared" si="11"/>
        <v>0.31200263071422085</v>
      </c>
    </row>
    <row r="48" spans="1:78" s="126" customFormat="1">
      <c r="A48" s="192">
        <f t="shared" si="16"/>
        <v>44944.71875</v>
      </c>
      <c r="B48" s="126" t="s">
        <v>228</v>
      </c>
      <c r="C48" s="126" t="s">
        <v>229</v>
      </c>
      <c r="D48" s="126" t="s">
        <v>197</v>
      </c>
      <c r="E48" s="126" t="s">
        <v>325</v>
      </c>
      <c r="G48" s="73">
        <v>44951.541666666664</v>
      </c>
      <c r="H48" s="73">
        <v>44951.54583333333</v>
      </c>
      <c r="I48" s="126" t="s">
        <v>231</v>
      </c>
      <c r="J48" s="126" t="s">
        <v>192</v>
      </c>
      <c r="K48" s="126" t="s">
        <v>192</v>
      </c>
      <c r="L48" s="126" t="s">
        <v>342</v>
      </c>
      <c r="M48" s="167"/>
      <c r="N48" s="126" t="s">
        <v>343</v>
      </c>
      <c r="O48" s="126" t="s">
        <v>344</v>
      </c>
      <c r="P48" s="126" t="s">
        <v>336</v>
      </c>
      <c r="Q48" s="181">
        <f>3136*2.4</f>
        <v>7526.4</v>
      </c>
      <c r="R48" s="181">
        <v>7271.3149999999996</v>
      </c>
      <c r="S48" s="181"/>
      <c r="W48" s="181">
        <f>R48*0.35</f>
        <v>2544.9602499999996</v>
      </c>
      <c r="X48" s="181">
        <f>R48*0.65</f>
        <v>4726.3547499999995</v>
      </c>
      <c r="AV48" s="165">
        <f t="shared" si="1"/>
        <v>44935.541666666664</v>
      </c>
      <c r="AW48" s="165">
        <f t="shared" si="2"/>
        <v>44956.180555555555</v>
      </c>
      <c r="AX48" s="137">
        <f t="shared" si="3"/>
        <v>20.638888888890506</v>
      </c>
      <c r="AY48" s="165">
        <v>44935.541666666664</v>
      </c>
      <c r="AZ48" s="165">
        <v>44940.590277777781</v>
      </c>
      <c r="BA48" s="165">
        <v>44942.416666666664</v>
      </c>
      <c r="BB48" s="165">
        <v>44944.71875</v>
      </c>
      <c r="BC48" s="165">
        <v>44944.892361111109</v>
      </c>
      <c r="BD48" s="165">
        <v>44944.895833333336</v>
      </c>
      <c r="BE48" s="165">
        <v>44945.291666666664</v>
      </c>
      <c r="BF48" s="165">
        <f t="shared" si="17"/>
        <v>44947</v>
      </c>
      <c r="BG48" s="165">
        <v>44947.583333333336</v>
      </c>
      <c r="BH48" s="165">
        <v>44947.75</v>
      </c>
      <c r="BI48" s="165">
        <v>44947.694444444445</v>
      </c>
      <c r="BJ48" s="165">
        <v>44951.166666666664</v>
      </c>
      <c r="BK48" s="165">
        <v>44955.5625</v>
      </c>
      <c r="BL48" s="165">
        <v>44955.868055555555</v>
      </c>
      <c r="BM48" s="165">
        <v>44955.888888888891</v>
      </c>
      <c r="BN48" s="165">
        <v>44955.888888888891</v>
      </c>
      <c r="BO48" s="165">
        <v>44956.180555555555</v>
      </c>
      <c r="BP48" s="126" t="s">
        <v>316</v>
      </c>
      <c r="BR48" s="136">
        <f t="shared" si="4"/>
        <v>43.833333333197515</v>
      </c>
      <c r="BS48" s="136">
        <f t="shared" si="5"/>
        <v>4.1666666666278616</v>
      </c>
      <c r="BT48" s="136">
        <f t="shared" si="6"/>
        <v>41.000000000058208</v>
      </c>
      <c r="BU48" s="136">
        <f t="shared" si="13"/>
        <v>81.999999999941792</v>
      </c>
      <c r="BV48" s="135">
        <f t="shared" si="7"/>
        <v>7.3333333333139308</v>
      </c>
      <c r="BW48" s="135">
        <f t="shared" si="8"/>
        <v>6.9999999999417923</v>
      </c>
      <c r="BX48" s="134">
        <f t="shared" si="9"/>
        <v>7.7222222222117125</v>
      </c>
      <c r="BY48" s="134">
        <f t="shared" si="10"/>
        <v>20.638888888890506</v>
      </c>
      <c r="BZ48" s="133">
        <f t="shared" si="11"/>
        <v>0.37415881561184372</v>
      </c>
    </row>
    <row r="49" spans="1:78" s="126" customFormat="1">
      <c r="A49" s="192">
        <f t="shared" si="16"/>
        <v>44944.559027777781</v>
      </c>
      <c r="B49" s="126" t="s">
        <v>228</v>
      </c>
      <c r="C49" s="126" t="s">
        <v>229</v>
      </c>
      <c r="D49" s="126" t="s">
        <v>197</v>
      </c>
      <c r="E49" s="126" t="s">
        <v>325</v>
      </c>
      <c r="G49" s="73">
        <v>44951.541666666664</v>
      </c>
      <c r="H49" s="73">
        <v>44951.54583333333</v>
      </c>
      <c r="I49" s="126" t="s">
        <v>231</v>
      </c>
      <c r="J49" s="126" t="s">
        <v>192</v>
      </c>
      <c r="K49" s="126" t="s">
        <v>192</v>
      </c>
      <c r="L49" s="126" t="s">
        <v>345</v>
      </c>
      <c r="M49" s="167"/>
      <c r="N49" s="126" t="s">
        <v>346</v>
      </c>
      <c r="O49" s="126" t="s">
        <v>347</v>
      </c>
      <c r="P49" s="126" t="s">
        <v>336</v>
      </c>
      <c r="Q49" s="181">
        <f>3136*2.4</f>
        <v>7526.4</v>
      </c>
      <c r="R49" s="181">
        <v>7294.8969999999999</v>
      </c>
      <c r="S49" s="181"/>
      <c r="W49" s="181">
        <f>R49*0.35</f>
        <v>2553.2139499999998</v>
      </c>
      <c r="X49" s="181">
        <f>R49*0.65</f>
        <v>4741.6830500000005</v>
      </c>
      <c r="AV49" s="165">
        <f t="shared" si="1"/>
        <v>44935.701388888891</v>
      </c>
      <c r="AW49" s="165">
        <f t="shared" si="2"/>
        <v>44955.0625</v>
      </c>
      <c r="AX49" s="137">
        <f t="shared" si="3"/>
        <v>19.361111111109494</v>
      </c>
      <c r="AY49" s="165">
        <v>44935.701388888891</v>
      </c>
      <c r="AZ49" s="165">
        <v>44940.607638888891</v>
      </c>
      <c r="BA49" s="165">
        <v>44942.34375</v>
      </c>
      <c r="BB49" s="165">
        <v>44944.559027777781</v>
      </c>
      <c r="BC49" s="165">
        <v>44944.6875</v>
      </c>
      <c r="BD49" s="165">
        <v>44944.690972222219</v>
      </c>
      <c r="BE49" s="165">
        <v>44944.690972222219</v>
      </c>
      <c r="BF49" s="165">
        <f t="shared" si="17"/>
        <v>44946.399305555555</v>
      </c>
      <c r="BG49" s="165">
        <v>44946.583333333336</v>
      </c>
      <c r="BH49" s="165">
        <v>44946.75</v>
      </c>
      <c r="BI49" s="165">
        <v>44946.621527777781</v>
      </c>
      <c r="BJ49" s="165">
        <v>44949.975694444445</v>
      </c>
      <c r="BK49" s="165">
        <v>44954.25</v>
      </c>
      <c r="BL49" s="165">
        <v>44954.545138888891</v>
      </c>
      <c r="BM49" s="165">
        <v>44954.565972222219</v>
      </c>
      <c r="BN49" s="165">
        <v>44954.565972222219</v>
      </c>
      <c r="BO49" s="165">
        <v>44955.0625</v>
      </c>
      <c r="BP49" s="126" t="s">
        <v>316</v>
      </c>
      <c r="BR49" s="136">
        <f t="shared" si="4"/>
        <v>41.666666666627862</v>
      </c>
      <c r="BS49" s="136">
        <f t="shared" si="5"/>
        <v>3.0833333332557231</v>
      </c>
      <c r="BT49" s="136">
        <f t="shared" si="6"/>
        <v>41.000000000058208</v>
      </c>
      <c r="BU49" s="136">
        <f t="shared" si="13"/>
        <v>77.416666666686069</v>
      </c>
      <c r="BV49" s="135">
        <f t="shared" si="7"/>
        <v>7.0833333333721384</v>
      </c>
      <c r="BW49" s="135">
        <f t="shared" si="8"/>
        <v>11.916666666744277</v>
      </c>
      <c r="BX49" s="134">
        <f t="shared" si="9"/>
        <v>7.5902777777810115</v>
      </c>
      <c r="BY49" s="134">
        <f t="shared" si="10"/>
        <v>19.361111111109494</v>
      </c>
      <c r="BZ49" s="133">
        <f t="shared" si="11"/>
        <v>0.39203730272616821</v>
      </c>
    </row>
    <row r="50" spans="1:78" s="126" customFormat="1">
      <c r="A50" s="192">
        <f t="shared" si="16"/>
        <v>44945.96875</v>
      </c>
      <c r="B50" s="126" t="s">
        <v>228</v>
      </c>
      <c r="C50" s="126" t="s">
        <v>229</v>
      </c>
      <c r="D50" s="126" t="s">
        <v>197</v>
      </c>
      <c r="E50" s="126" t="s">
        <v>220</v>
      </c>
      <c r="G50" s="73">
        <v>44953.208333333336</v>
      </c>
      <c r="H50" s="73">
        <v>44953.104166666664</v>
      </c>
      <c r="I50" s="126" t="s">
        <v>243</v>
      </c>
      <c r="J50" s="126" t="s">
        <v>192</v>
      </c>
      <c r="K50" s="126" t="s">
        <v>192</v>
      </c>
      <c r="L50" s="126" t="s">
        <v>348</v>
      </c>
      <c r="M50" s="167"/>
      <c r="N50" s="126" t="s">
        <v>349</v>
      </c>
      <c r="O50" s="126" t="s">
        <v>350</v>
      </c>
      <c r="P50" s="126" t="s">
        <v>235</v>
      </c>
      <c r="Q50" s="181">
        <f>3077*2.4</f>
        <v>7384.7999999999993</v>
      </c>
      <c r="R50" s="181">
        <v>6366.5379999999996</v>
      </c>
      <c r="S50" s="181"/>
      <c r="T50" s="172"/>
      <c r="W50" s="181">
        <f>R50</f>
        <v>6366.5379999999996</v>
      </c>
      <c r="AV50" s="165">
        <f t="shared" si="1"/>
        <v>44935.833333333336</v>
      </c>
      <c r="AW50" s="165">
        <f t="shared" si="2"/>
        <v>44953.458333333336</v>
      </c>
      <c r="AX50" s="137">
        <f t="shared" si="3"/>
        <v>17.625</v>
      </c>
      <c r="AY50" s="165">
        <v>44935.833333333336</v>
      </c>
      <c r="AZ50" s="165">
        <v>44942.635416666664</v>
      </c>
      <c r="BA50" s="165">
        <v>44944.336805555555</v>
      </c>
      <c r="BB50" s="165">
        <v>44945.96875</v>
      </c>
      <c r="BC50" s="165">
        <v>44946.086805555555</v>
      </c>
      <c r="BD50" s="165">
        <v>44946.090277777781</v>
      </c>
      <c r="BE50" s="165">
        <v>44946.291666666664</v>
      </c>
      <c r="BF50" s="165">
        <f t="shared" si="17"/>
        <v>44948</v>
      </c>
      <c r="BG50" s="165">
        <v>44948.25</v>
      </c>
      <c r="BH50" s="165">
        <v>44948.416666666664</v>
      </c>
      <c r="BI50" s="165">
        <v>44948.336805555555</v>
      </c>
      <c r="BJ50" s="165">
        <v>44949.763888888891</v>
      </c>
      <c r="BK50" s="165">
        <v>44952.871527777781</v>
      </c>
      <c r="BL50" s="165">
        <v>44953.0625</v>
      </c>
      <c r="BM50" s="165">
        <v>44953.076388888891</v>
      </c>
      <c r="BN50" s="165">
        <v>44953.079861111109</v>
      </c>
      <c r="BO50" s="165">
        <v>44953.458333333336</v>
      </c>
      <c r="BP50" s="126" t="s">
        <v>316</v>
      </c>
      <c r="BR50" s="136">
        <f t="shared" si="4"/>
        <v>40.833333333372138</v>
      </c>
      <c r="BS50" s="136">
        <f t="shared" si="5"/>
        <v>2.8333333333139308</v>
      </c>
      <c r="BT50" s="136">
        <f t="shared" si="6"/>
        <v>41.000000000058208</v>
      </c>
      <c r="BU50" s="136">
        <f t="shared" si="13"/>
        <v>32.333333333430346</v>
      </c>
      <c r="BV50" s="135">
        <f t="shared" si="7"/>
        <v>4.5833333332557231</v>
      </c>
      <c r="BW50" s="135">
        <f t="shared" si="8"/>
        <v>9.0833333334303461</v>
      </c>
      <c r="BX50" s="134">
        <f t="shared" si="9"/>
        <v>5.4444444444525288</v>
      </c>
      <c r="BY50" s="134">
        <f t="shared" si="10"/>
        <v>17.625</v>
      </c>
      <c r="BZ50" s="133">
        <f t="shared" si="11"/>
        <v>0.30890464933063994</v>
      </c>
    </row>
    <row r="51" spans="1:78" s="126" customFormat="1">
      <c r="A51" s="192">
        <f t="shared" si="16"/>
        <v>44945.15625</v>
      </c>
      <c r="B51" s="126" t="s">
        <v>228</v>
      </c>
      <c r="C51" s="126" t="s">
        <v>229</v>
      </c>
      <c r="D51" s="126" t="s">
        <v>215</v>
      </c>
      <c r="E51" s="126" t="s">
        <v>325</v>
      </c>
      <c r="G51" s="73">
        <v>44951.541666666664</v>
      </c>
      <c r="H51" s="73">
        <v>44951.54583333333</v>
      </c>
      <c r="I51" s="126" t="s">
        <v>231</v>
      </c>
      <c r="J51" s="126" t="s">
        <v>192</v>
      </c>
      <c r="K51" s="126" t="s">
        <v>192</v>
      </c>
      <c r="L51" s="126" t="s">
        <v>351</v>
      </c>
      <c r="M51" s="167"/>
      <c r="N51" s="126" t="s">
        <v>352</v>
      </c>
      <c r="O51" s="126" t="s">
        <v>353</v>
      </c>
      <c r="P51" s="126" t="s">
        <v>336</v>
      </c>
      <c r="Q51" s="181">
        <f>3852*2.4</f>
        <v>9244.7999999999993</v>
      </c>
      <c r="R51" s="181">
        <v>7431.5429999999997</v>
      </c>
      <c r="S51" s="181"/>
      <c r="T51" s="172"/>
      <c r="V51" s="219"/>
      <c r="W51" s="181">
        <f>R51*0.35</f>
        <v>2601.0400499999996</v>
      </c>
      <c r="X51" s="181">
        <f>R51*0.65</f>
        <v>4830.5029500000001</v>
      </c>
      <c r="AV51" s="165">
        <f t="shared" si="1"/>
        <v>44935.875</v>
      </c>
      <c r="AW51" s="165">
        <f t="shared" si="2"/>
        <v>44955.666666666664</v>
      </c>
      <c r="AX51" s="137">
        <f t="shared" si="3"/>
        <v>19.791666666664241</v>
      </c>
      <c r="AY51" s="165">
        <v>44935.875</v>
      </c>
      <c r="AZ51" s="165">
        <v>44940.804166666669</v>
      </c>
      <c r="BA51" s="165">
        <v>44942.430555555555</v>
      </c>
      <c r="BB51" s="165">
        <v>44945.15625</v>
      </c>
      <c r="BC51" s="165">
        <v>44945.413194444445</v>
      </c>
      <c r="BD51" s="165">
        <v>44945.420138888891</v>
      </c>
      <c r="BE51" s="165">
        <v>44945.420138888891</v>
      </c>
      <c r="BF51" s="165">
        <f t="shared" si="17"/>
        <v>44947.128472222226</v>
      </c>
      <c r="BG51" s="165">
        <v>44947.583333333336</v>
      </c>
      <c r="BH51" s="165">
        <v>44947.75</v>
      </c>
      <c r="BI51" s="165">
        <v>44947.601388888892</v>
      </c>
      <c r="BJ51" s="165">
        <v>44950.833333333336</v>
      </c>
      <c r="BK51" s="165">
        <v>44955.121527777781</v>
      </c>
      <c r="BL51" s="165">
        <v>44955.333333333336</v>
      </c>
      <c r="BM51" s="165">
        <v>44955.354166666664</v>
      </c>
      <c r="BN51" s="165">
        <v>44955.354166666664</v>
      </c>
      <c r="BO51" s="165">
        <v>44955.666666666664</v>
      </c>
      <c r="BP51" s="126" t="s">
        <v>316</v>
      </c>
      <c r="BR51" s="136">
        <f t="shared" si="4"/>
        <v>39.033333333267365</v>
      </c>
      <c r="BS51" s="136">
        <f t="shared" si="5"/>
        <v>6.1666666666860692</v>
      </c>
      <c r="BT51" s="136">
        <f t="shared" si="6"/>
        <v>41.000000000058208</v>
      </c>
      <c r="BU51" s="136">
        <f t="shared" si="13"/>
        <v>74.000000000058208</v>
      </c>
      <c r="BV51" s="135">
        <f t="shared" si="7"/>
        <v>5.0833333333139308</v>
      </c>
      <c r="BW51" s="135">
        <f t="shared" si="8"/>
        <v>7.5</v>
      </c>
      <c r="BX51" s="134">
        <f t="shared" si="9"/>
        <v>7.1993055555576575</v>
      </c>
      <c r="BY51" s="134">
        <f t="shared" si="10"/>
        <v>19.791666666664241</v>
      </c>
      <c r="BZ51" s="133">
        <f t="shared" si="11"/>
        <v>0.36375438596506304</v>
      </c>
    </row>
    <row r="52" spans="1:78" s="126" customFormat="1">
      <c r="A52" s="192">
        <f t="shared" si="16"/>
        <v>44945.761805555558</v>
      </c>
      <c r="B52" s="126" t="s">
        <v>228</v>
      </c>
      <c r="C52" s="126" t="s">
        <v>229</v>
      </c>
      <c r="D52" s="126" t="s">
        <v>197</v>
      </c>
      <c r="E52" s="126" t="s">
        <v>220</v>
      </c>
      <c r="G52" s="73">
        <v>44953.208333333336</v>
      </c>
      <c r="H52" s="73">
        <v>44953.104166666664</v>
      </c>
      <c r="I52" s="126" t="s">
        <v>243</v>
      </c>
      <c r="J52" s="126" t="s">
        <v>192</v>
      </c>
      <c r="K52" s="126" t="s">
        <v>192</v>
      </c>
      <c r="L52" s="126" t="s">
        <v>354</v>
      </c>
      <c r="M52" s="167"/>
      <c r="N52" s="126" t="s">
        <v>355</v>
      </c>
      <c r="O52" s="126" t="s">
        <v>356</v>
      </c>
      <c r="P52" s="126" t="s">
        <v>235</v>
      </c>
      <c r="Q52" s="181">
        <f>3107*2.4</f>
        <v>7456.7999999999993</v>
      </c>
      <c r="R52" s="181">
        <v>7002.6369999999997</v>
      </c>
      <c r="S52" s="181"/>
      <c r="T52" s="172"/>
      <c r="W52" s="181">
        <f>R52</f>
        <v>7002.6369999999997</v>
      </c>
      <c r="AV52" s="165">
        <f t="shared" si="1"/>
        <v>44936.388888888891</v>
      </c>
      <c r="AW52" s="165">
        <f t="shared" si="2"/>
        <v>44953.916666666664</v>
      </c>
      <c r="AX52" s="137">
        <f t="shared" si="3"/>
        <v>17.527777777773736</v>
      </c>
      <c r="AY52" s="165">
        <v>44936.388888888891</v>
      </c>
      <c r="AZ52" s="165">
        <v>44942.815972222219</v>
      </c>
      <c r="BA52" s="165">
        <v>44944.131944444445</v>
      </c>
      <c r="BB52" s="165">
        <v>44945.761805555558</v>
      </c>
      <c r="BC52" s="165">
        <v>44945.934027777781</v>
      </c>
      <c r="BD52" s="165">
        <v>44945.940972222219</v>
      </c>
      <c r="BE52" s="165">
        <v>44946.298611111109</v>
      </c>
      <c r="BF52" s="165">
        <f t="shared" si="17"/>
        <v>44948.006944444445</v>
      </c>
      <c r="BG52" s="165">
        <v>44948.25</v>
      </c>
      <c r="BH52" s="165">
        <v>44948.416666666664</v>
      </c>
      <c r="BI52" s="165">
        <v>44948.302083333336</v>
      </c>
      <c r="BJ52" s="165">
        <v>44949.770833333336</v>
      </c>
      <c r="BK52" s="165">
        <v>44953.152777777781</v>
      </c>
      <c r="BL52" s="165">
        <v>44953.385416666664</v>
      </c>
      <c r="BM52" s="165">
        <v>44953.395833333336</v>
      </c>
      <c r="BN52" s="165">
        <v>44953.399305555555</v>
      </c>
      <c r="BO52" s="165">
        <v>44953.916666666664</v>
      </c>
      <c r="BP52" s="126" t="s">
        <v>316</v>
      </c>
      <c r="BR52" s="136">
        <f t="shared" si="4"/>
        <v>31.583333333430346</v>
      </c>
      <c r="BS52" s="136">
        <f t="shared" si="5"/>
        <v>4.1333333333604969</v>
      </c>
      <c r="BT52" s="136">
        <f t="shared" si="6"/>
        <v>41.000000000058208</v>
      </c>
      <c r="BU52" s="136">
        <f t="shared" si="13"/>
        <v>32.500000000116415</v>
      </c>
      <c r="BV52" s="135">
        <f t="shared" si="7"/>
        <v>5.5833333331975155</v>
      </c>
      <c r="BW52" s="135">
        <f t="shared" si="8"/>
        <v>12.416666666627862</v>
      </c>
      <c r="BX52" s="134">
        <f t="shared" si="9"/>
        <v>5.3006944444496185</v>
      </c>
      <c r="BY52" s="134">
        <f t="shared" si="10"/>
        <v>17.527777777773736</v>
      </c>
      <c r="BZ52" s="133">
        <f t="shared" si="11"/>
        <v>0.30241679873253607</v>
      </c>
    </row>
    <row r="53" spans="1:78" s="126" customFormat="1">
      <c r="A53" s="192">
        <f t="shared" si="16"/>
        <v>44944.951388888891</v>
      </c>
      <c r="B53" s="126" t="s">
        <v>228</v>
      </c>
      <c r="C53" s="126" t="s">
        <v>229</v>
      </c>
      <c r="D53" s="126" t="s">
        <v>215</v>
      </c>
      <c r="E53" s="126" t="s">
        <v>325</v>
      </c>
      <c r="G53" s="73">
        <v>44951.541666666664</v>
      </c>
      <c r="H53" s="73">
        <v>44951.54583333333</v>
      </c>
      <c r="I53" s="126" t="s">
        <v>231</v>
      </c>
      <c r="J53" s="126" t="s">
        <v>192</v>
      </c>
      <c r="K53" s="126" t="s">
        <v>192</v>
      </c>
      <c r="L53" s="126" t="s">
        <v>357</v>
      </c>
      <c r="M53" s="167"/>
      <c r="N53" s="126" t="s">
        <v>358</v>
      </c>
      <c r="O53" s="126" t="s">
        <v>359</v>
      </c>
      <c r="P53" s="126" t="s">
        <v>336</v>
      </c>
      <c r="Q53" s="181">
        <f>3852*2.4</f>
        <v>9244.7999999999993</v>
      </c>
      <c r="R53" s="181">
        <v>7607.6549999999997</v>
      </c>
      <c r="S53" s="181"/>
      <c r="V53" s="219"/>
      <c r="W53" s="181">
        <f>R53*0.35</f>
        <v>2662.6792499999997</v>
      </c>
      <c r="X53" s="181">
        <f>R53*0.65</f>
        <v>4944.9757499999996</v>
      </c>
      <c r="AV53" s="165">
        <f t="shared" si="1"/>
        <v>44936.416666666664</v>
      </c>
      <c r="AW53" s="165">
        <f t="shared" si="2"/>
        <v>44955.489583333336</v>
      </c>
      <c r="AX53" s="137">
        <f t="shared" si="3"/>
        <v>19.072916666671517</v>
      </c>
      <c r="AY53" s="165">
        <v>44936.416666666664</v>
      </c>
      <c r="AZ53" s="165">
        <v>44940.791666666664</v>
      </c>
      <c r="BA53" s="165">
        <v>44942.423611111109</v>
      </c>
      <c r="BB53" s="165">
        <v>44944.951388888891</v>
      </c>
      <c r="BC53" s="165">
        <v>44945.118055555555</v>
      </c>
      <c r="BD53" s="165">
        <v>44945.121527777781</v>
      </c>
      <c r="BE53" s="165">
        <v>44945.25</v>
      </c>
      <c r="BF53" s="165">
        <f t="shared" si="17"/>
        <v>44946.958333333336</v>
      </c>
      <c r="BG53" s="165">
        <v>44947.583333333336</v>
      </c>
      <c r="BH53" s="165">
        <v>44947.75</v>
      </c>
      <c r="BI53" s="165">
        <v>44947.618055555555</v>
      </c>
      <c r="BJ53" s="165">
        <v>44950.840277777781</v>
      </c>
      <c r="BK53" s="165">
        <v>44954.861111111109</v>
      </c>
      <c r="BL53" s="165">
        <v>44955.059027777781</v>
      </c>
      <c r="BM53" s="165">
        <v>44955.079861111109</v>
      </c>
      <c r="BN53" s="165">
        <v>44955.291666666664</v>
      </c>
      <c r="BO53" s="165">
        <v>44955.489583333336</v>
      </c>
      <c r="BP53" s="126" t="s">
        <v>316</v>
      </c>
      <c r="BR53" s="136">
        <f t="shared" si="4"/>
        <v>39.166666666686069</v>
      </c>
      <c r="BS53" s="136">
        <f t="shared" si="5"/>
        <v>3.9999999999417923</v>
      </c>
      <c r="BT53" s="136">
        <f t="shared" si="6"/>
        <v>41.000000000058208</v>
      </c>
      <c r="BU53" s="136">
        <f t="shared" si="13"/>
        <v>74.166666666744277</v>
      </c>
      <c r="BV53" s="135">
        <f t="shared" si="7"/>
        <v>4.7500000001164153</v>
      </c>
      <c r="BW53" s="135">
        <f t="shared" si="8"/>
        <v>4.7500000001164153</v>
      </c>
      <c r="BX53" s="134">
        <f t="shared" si="9"/>
        <v>6.993055555569299</v>
      </c>
      <c r="BY53" s="134">
        <f t="shared" si="10"/>
        <v>19.072916666671517</v>
      </c>
      <c r="BZ53" s="133">
        <f t="shared" si="11"/>
        <v>0.36664846167912724</v>
      </c>
    </row>
    <row r="54" spans="1:78" s="126" customFormat="1">
      <c r="A54" s="192">
        <f t="shared" si="16"/>
        <v>44944.388888888891</v>
      </c>
      <c r="B54" s="126" t="s">
        <v>228</v>
      </c>
      <c r="C54" s="126" t="s">
        <v>229</v>
      </c>
      <c r="D54" s="126" t="s">
        <v>197</v>
      </c>
      <c r="E54" s="126" t="s">
        <v>325</v>
      </c>
      <c r="G54" s="73">
        <v>44951.541666666664</v>
      </c>
      <c r="H54" s="73">
        <v>44951.54583333333</v>
      </c>
      <c r="I54" s="126" t="s">
        <v>231</v>
      </c>
      <c r="J54" s="126" t="s">
        <v>192</v>
      </c>
      <c r="K54" s="126" t="s">
        <v>192</v>
      </c>
      <c r="L54" s="126" t="s">
        <v>360</v>
      </c>
      <c r="M54" s="167"/>
      <c r="N54" s="126" t="s">
        <v>361</v>
      </c>
      <c r="O54" s="126" t="s">
        <v>362</v>
      </c>
      <c r="P54" s="126" t="s">
        <v>336</v>
      </c>
      <c r="Q54" s="181">
        <f>3039*2.4</f>
        <v>7293.5999999999995</v>
      </c>
      <c r="R54" s="181">
        <v>7138.6480000000001</v>
      </c>
      <c r="S54" s="181"/>
      <c r="W54" s="181">
        <f>R54*0.35</f>
        <v>2498.5268000000001</v>
      </c>
      <c r="X54" s="181">
        <f>R54*0.65</f>
        <v>4640.1212000000005</v>
      </c>
      <c r="AV54" s="165">
        <f t="shared" si="1"/>
        <v>44936.625</v>
      </c>
      <c r="AW54" s="165">
        <f t="shared" si="2"/>
        <v>44955.15625</v>
      </c>
      <c r="AX54" s="137">
        <f t="shared" si="3"/>
        <v>18.53125</v>
      </c>
      <c r="AY54" s="165">
        <v>44936.625</v>
      </c>
      <c r="AZ54" s="165">
        <v>44939.8125</v>
      </c>
      <c r="BA54" s="165">
        <v>44942.041666666664</v>
      </c>
      <c r="BB54" s="165">
        <v>44944.388888888891</v>
      </c>
      <c r="BC54" s="165">
        <v>44944.527777777781</v>
      </c>
      <c r="BD54" s="165">
        <v>44944.534722222219</v>
      </c>
      <c r="BE54" s="165">
        <v>44944.534722222219</v>
      </c>
      <c r="BF54" s="165">
        <f t="shared" si="17"/>
        <v>44946.243055555555</v>
      </c>
      <c r="BG54" s="165">
        <v>44946.583333333336</v>
      </c>
      <c r="BH54" s="165">
        <v>44946.75</v>
      </c>
      <c r="BI54" s="165">
        <v>44946.590277777781</v>
      </c>
      <c r="BJ54" s="165">
        <v>44950.375</v>
      </c>
      <c r="BK54" s="165">
        <v>44954.607638888891</v>
      </c>
      <c r="BL54" s="165">
        <v>44954.798611111109</v>
      </c>
      <c r="BM54" s="165">
        <v>44954.819444444445</v>
      </c>
      <c r="BN54" s="165">
        <v>44954.819444444445</v>
      </c>
      <c r="BO54" s="165">
        <v>44955.15625</v>
      </c>
      <c r="BP54" s="126" t="s">
        <v>316</v>
      </c>
      <c r="BR54" s="136">
        <f t="shared" si="4"/>
        <v>53.499999999941792</v>
      </c>
      <c r="BS54" s="136">
        <f t="shared" si="5"/>
        <v>3.3333333333721384</v>
      </c>
      <c r="BT54" s="136">
        <f t="shared" si="6"/>
        <v>41.000000000058208</v>
      </c>
      <c r="BU54" s="136">
        <f t="shared" si="13"/>
        <v>87</v>
      </c>
      <c r="BV54" s="135">
        <f t="shared" si="7"/>
        <v>4.5833333332557231</v>
      </c>
      <c r="BW54" s="135">
        <f t="shared" si="8"/>
        <v>8.0833333333139308</v>
      </c>
      <c r="BX54" s="134">
        <f t="shared" si="9"/>
        <v>8.2291666666642413</v>
      </c>
      <c r="BY54" s="134">
        <f t="shared" si="10"/>
        <v>18.53125</v>
      </c>
      <c r="BZ54" s="133">
        <f t="shared" si="11"/>
        <v>0.44406970207968927</v>
      </c>
    </row>
    <row r="55" spans="1:78" s="126" customFormat="1">
      <c r="A55" s="192">
        <f t="shared" si="16"/>
        <v>44945.600694444445</v>
      </c>
      <c r="B55" s="126" t="s">
        <v>228</v>
      </c>
      <c r="C55" s="126" t="s">
        <v>229</v>
      </c>
      <c r="D55" s="126" t="s">
        <v>197</v>
      </c>
      <c r="E55" s="126" t="s">
        <v>220</v>
      </c>
      <c r="G55" s="73">
        <v>44953.208333333336</v>
      </c>
      <c r="H55" s="73">
        <v>44953.104166666664</v>
      </c>
      <c r="I55" s="126" t="s">
        <v>243</v>
      </c>
      <c r="J55" s="126" t="s">
        <v>192</v>
      </c>
      <c r="K55" s="126" t="s">
        <v>192</v>
      </c>
      <c r="L55" s="126" t="s">
        <v>363</v>
      </c>
      <c r="M55" s="167"/>
      <c r="N55" s="126" t="s">
        <v>364</v>
      </c>
      <c r="O55" s="126" t="s">
        <v>365</v>
      </c>
      <c r="P55" s="126" t="s">
        <v>235</v>
      </c>
      <c r="Q55" s="181">
        <f>3142*2.4</f>
        <v>7540.7999999999993</v>
      </c>
      <c r="R55" s="181">
        <v>6700.1019999999999</v>
      </c>
      <c r="S55" s="181"/>
      <c r="T55" s="172"/>
      <c r="W55" s="181">
        <f>R55</f>
        <v>6700.1019999999999</v>
      </c>
      <c r="AV55" s="165">
        <f t="shared" si="1"/>
        <v>44936.916666666664</v>
      </c>
      <c r="AW55" s="165">
        <f t="shared" si="2"/>
        <v>44955.166666666664</v>
      </c>
      <c r="AX55" s="137">
        <f t="shared" si="3"/>
        <v>18.25</v>
      </c>
      <c r="AY55" s="165">
        <v>44936.916666666664</v>
      </c>
      <c r="AZ55" s="165">
        <v>44942.805555555555</v>
      </c>
      <c r="BA55" s="165">
        <v>44944.125</v>
      </c>
      <c r="BB55" s="165">
        <v>44945.600694444445</v>
      </c>
      <c r="BC55" s="165">
        <v>44945.736111111109</v>
      </c>
      <c r="BD55" s="165">
        <v>44945.739583333336</v>
      </c>
      <c r="BE55" s="165">
        <v>44945.739583333336</v>
      </c>
      <c r="BF55" s="165">
        <f t="shared" si="17"/>
        <v>44947.447916666672</v>
      </c>
      <c r="BG55" s="165">
        <v>44947.583333333336</v>
      </c>
      <c r="BH55" s="165">
        <v>44947.75</v>
      </c>
      <c r="BI55" s="165">
        <v>44947.611111111109</v>
      </c>
      <c r="BJ55" s="165">
        <v>44949.340277777781</v>
      </c>
      <c r="BK55" s="165">
        <v>44951.3125</v>
      </c>
      <c r="BL55" s="165">
        <v>44953.895833333336</v>
      </c>
      <c r="BM55" s="165">
        <v>44954.461805555555</v>
      </c>
      <c r="BN55" s="165">
        <v>44954.763888888891</v>
      </c>
      <c r="BO55" s="165">
        <v>44955.166666666664</v>
      </c>
      <c r="BP55" s="126" t="s">
        <v>316</v>
      </c>
      <c r="BR55" s="136">
        <f t="shared" si="4"/>
        <v>31.666666666686069</v>
      </c>
      <c r="BS55" s="136">
        <f t="shared" si="5"/>
        <v>3.2499999999417923</v>
      </c>
      <c r="BT55" s="136">
        <f t="shared" si="6"/>
        <v>41.000000000058208</v>
      </c>
      <c r="BU55" s="136">
        <f t="shared" si="13"/>
        <v>38.166666666744277</v>
      </c>
      <c r="BV55" s="135">
        <f t="shared" si="7"/>
        <v>62.000000000058208</v>
      </c>
      <c r="BW55" s="135">
        <f t="shared" si="8"/>
        <v>9.6666666665696539</v>
      </c>
      <c r="BX55" s="134">
        <f t="shared" si="9"/>
        <v>7.7395833333357587</v>
      </c>
      <c r="BY55" s="134">
        <f t="shared" si="10"/>
        <v>18.25</v>
      </c>
      <c r="BZ55" s="133">
        <f t="shared" si="11"/>
        <v>0.42408675799100048</v>
      </c>
    </row>
    <row r="56" spans="1:78" s="126" customFormat="1">
      <c r="A56" s="192">
        <f t="shared" si="16"/>
        <v>44947.052083333336</v>
      </c>
      <c r="B56" s="126" t="s">
        <v>228</v>
      </c>
      <c r="C56" s="126" t="s">
        <v>229</v>
      </c>
      <c r="D56" s="126" t="s">
        <v>197</v>
      </c>
      <c r="E56" s="126" t="s">
        <v>220</v>
      </c>
      <c r="F56" s="126" t="s">
        <v>337</v>
      </c>
      <c r="G56" s="73">
        <v>44953.208333333336</v>
      </c>
      <c r="H56" s="73">
        <v>44953.104166666664</v>
      </c>
      <c r="I56" s="126" t="s">
        <v>243</v>
      </c>
      <c r="J56" s="126" t="s">
        <v>192</v>
      </c>
      <c r="K56" s="126" t="s">
        <v>192</v>
      </c>
      <c r="L56" s="126" t="s">
        <v>366</v>
      </c>
      <c r="M56" s="167"/>
      <c r="N56" s="126" t="s">
        <v>367</v>
      </c>
      <c r="O56" s="126" t="s">
        <v>368</v>
      </c>
      <c r="P56" s="126" t="s">
        <v>235</v>
      </c>
      <c r="Q56" s="181">
        <f>4111*2.4</f>
        <v>9866.4</v>
      </c>
      <c r="R56" s="181">
        <v>8044.41</v>
      </c>
      <c r="S56" s="181"/>
      <c r="T56" s="172"/>
      <c r="V56" s="219"/>
      <c r="W56" s="181">
        <f>R56</f>
        <v>8044.41</v>
      </c>
      <c r="AV56" s="165">
        <f t="shared" si="1"/>
        <v>44937.4375</v>
      </c>
      <c r="AW56" s="165">
        <f t="shared" si="2"/>
        <v>44955.956250000003</v>
      </c>
      <c r="AX56" s="137">
        <f t="shared" si="3"/>
        <v>18.51875000000291</v>
      </c>
      <c r="AY56" s="165">
        <v>44937.4375</v>
      </c>
      <c r="AZ56" s="165">
        <v>44943.864583333336</v>
      </c>
      <c r="BA56" s="165">
        <v>44945.413194444445</v>
      </c>
      <c r="BB56" s="165">
        <v>44947.052083333336</v>
      </c>
      <c r="BC56" s="165">
        <v>44947.197916666664</v>
      </c>
      <c r="BD56" s="165">
        <v>44947.204861111109</v>
      </c>
      <c r="BE56" s="165">
        <v>44947.291666666664</v>
      </c>
      <c r="BF56" s="165">
        <f t="shared" si="17"/>
        <v>44949</v>
      </c>
      <c r="BG56" s="165">
        <v>44949.25</v>
      </c>
      <c r="BH56" s="165">
        <v>44949.416666666664</v>
      </c>
      <c r="BI56" s="165">
        <v>44949.387499999997</v>
      </c>
      <c r="BJ56" s="165">
        <v>44951.194444444445</v>
      </c>
      <c r="BK56" s="165">
        <v>44955.059027777781</v>
      </c>
      <c r="BL56" s="165">
        <v>44955.402777777781</v>
      </c>
      <c r="BM56" s="165">
        <v>44955.555555555555</v>
      </c>
      <c r="BN56" s="165">
        <v>44955.559027777781</v>
      </c>
      <c r="BO56" s="165">
        <v>44955.956250000003</v>
      </c>
      <c r="BP56" s="126" t="s">
        <v>369</v>
      </c>
      <c r="BR56" s="136">
        <f t="shared" si="4"/>
        <v>37.166666666627862</v>
      </c>
      <c r="BS56" s="136">
        <f t="shared" si="5"/>
        <v>3.4999999998835847</v>
      </c>
      <c r="BT56" s="136">
        <f t="shared" si="6"/>
        <v>41.000000000058208</v>
      </c>
      <c r="BU56" s="136">
        <f t="shared" si="13"/>
        <v>42.666666666744277</v>
      </c>
      <c r="BV56" s="135">
        <f t="shared" si="7"/>
        <v>8.25</v>
      </c>
      <c r="BW56" s="135">
        <f t="shared" si="8"/>
        <v>9.5333333333255723</v>
      </c>
      <c r="BX56" s="134">
        <f t="shared" si="9"/>
        <v>5.921527777776646</v>
      </c>
      <c r="BY56" s="134">
        <f t="shared" si="10"/>
        <v>18.51875000000291</v>
      </c>
      <c r="BZ56" s="133">
        <f t="shared" si="11"/>
        <v>0.31975850301860087</v>
      </c>
    </row>
    <row r="57" spans="1:78" s="126" customFormat="1">
      <c r="A57" s="192">
        <f t="shared" si="16"/>
        <v>44946.114583333336</v>
      </c>
      <c r="B57" s="126" t="s">
        <v>228</v>
      </c>
      <c r="C57" s="126" t="s">
        <v>229</v>
      </c>
      <c r="D57" s="126" t="s">
        <v>197</v>
      </c>
      <c r="E57" s="126" t="s">
        <v>220</v>
      </c>
      <c r="G57" s="73">
        <v>44953.208333333336</v>
      </c>
      <c r="H57" s="73">
        <v>44953.104166666664</v>
      </c>
      <c r="I57" s="126" t="s">
        <v>243</v>
      </c>
      <c r="J57" s="126" t="s">
        <v>192</v>
      </c>
      <c r="K57" s="126" t="s">
        <v>192</v>
      </c>
      <c r="L57" s="126" t="s">
        <v>370</v>
      </c>
      <c r="M57" s="167"/>
      <c r="N57" s="126" t="s">
        <v>371</v>
      </c>
      <c r="O57" s="126" t="s">
        <v>372</v>
      </c>
      <c r="P57" s="126" t="s">
        <v>235</v>
      </c>
      <c r="Q57" s="181">
        <f>3117*2.4</f>
        <v>7480.7999999999993</v>
      </c>
      <c r="R57" s="181">
        <v>6650.9229999999998</v>
      </c>
      <c r="S57" s="181"/>
      <c r="T57" s="172"/>
      <c r="W57" s="181">
        <f>R57</f>
        <v>6650.9229999999998</v>
      </c>
      <c r="AV57" s="165">
        <f t="shared" si="1"/>
        <v>44937.444444444445</v>
      </c>
      <c r="AW57" s="165">
        <f t="shared" si="2"/>
        <v>44955.249305555553</v>
      </c>
      <c r="AX57" s="137">
        <f t="shared" si="3"/>
        <v>17.804861111108039</v>
      </c>
      <c r="AY57" s="165">
        <v>44937.444444444445</v>
      </c>
      <c r="AZ57" s="165">
        <v>44942.798611111109</v>
      </c>
      <c r="BA57" s="165">
        <v>44944.326388888891</v>
      </c>
      <c r="BB57" s="165">
        <v>44946.114583333336</v>
      </c>
      <c r="BC57" s="165">
        <v>44946.246527777781</v>
      </c>
      <c r="BD57" s="165">
        <v>44946.25</v>
      </c>
      <c r="BE57" s="165">
        <v>44946.25</v>
      </c>
      <c r="BF57" s="165">
        <f t="shared" si="17"/>
        <v>44947.958333333336</v>
      </c>
      <c r="BG57" s="165">
        <v>44948.25</v>
      </c>
      <c r="BH57" s="165">
        <v>44948.416666666664</v>
      </c>
      <c r="BI57" s="165">
        <v>44948.333333333336</v>
      </c>
      <c r="BJ57" s="165">
        <v>44950.888888888891</v>
      </c>
      <c r="BK57" s="165">
        <v>44954.458333333336</v>
      </c>
      <c r="BL57" s="165">
        <v>44954.666666666664</v>
      </c>
      <c r="BM57" s="165">
        <v>44954.680555555555</v>
      </c>
      <c r="BN57" s="165">
        <v>44954.784722222219</v>
      </c>
      <c r="BO57" s="165">
        <v>44955.249305555553</v>
      </c>
      <c r="BP57" s="126" t="s">
        <v>369</v>
      </c>
      <c r="BR57" s="136">
        <f t="shared" si="4"/>
        <v>36.666666666744277</v>
      </c>
      <c r="BS57" s="136">
        <f t="shared" si="5"/>
        <v>3.1666666666860692</v>
      </c>
      <c r="BT57" s="136">
        <f t="shared" si="6"/>
        <v>41.000000000058208</v>
      </c>
      <c r="BU57" s="136">
        <f t="shared" si="13"/>
        <v>59.333333333430346</v>
      </c>
      <c r="BV57" s="135">
        <f t="shared" si="7"/>
        <v>4.9999999998835847</v>
      </c>
      <c r="BW57" s="135">
        <f t="shared" si="8"/>
        <v>11.150000000023283</v>
      </c>
      <c r="BX57" s="134">
        <f t="shared" si="9"/>
        <v>6.5131944444510737</v>
      </c>
      <c r="BY57" s="134">
        <f t="shared" si="10"/>
        <v>17.804861111108039</v>
      </c>
      <c r="BZ57" s="133">
        <f t="shared" si="11"/>
        <v>0.36580989898245503</v>
      </c>
    </row>
    <row r="58" spans="1:78" s="126" customFormat="1">
      <c r="A58" s="192">
        <f t="shared" si="16"/>
        <v>44946.913194444445</v>
      </c>
      <c r="B58" s="126" t="s">
        <v>228</v>
      </c>
      <c r="C58" s="126" t="s">
        <v>229</v>
      </c>
      <c r="D58" s="126" t="s">
        <v>215</v>
      </c>
      <c r="E58" s="126" t="s">
        <v>220</v>
      </c>
      <c r="G58" s="73">
        <v>44953.208333333336</v>
      </c>
      <c r="H58" s="73">
        <v>44953.104166666664</v>
      </c>
      <c r="I58" s="126" t="s">
        <v>243</v>
      </c>
      <c r="J58" s="126" t="s">
        <v>192</v>
      </c>
      <c r="K58" s="126" t="s">
        <v>192</v>
      </c>
      <c r="L58" s="126" t="s">
        <v>373</v>
      </c>
      <c r="M58" s="167"/>
      <c r="N58" s="126" t="s">
        <v>374</v>
      </c>
      <c r="O58" s="126" t="s">
        <v>375</v>
      </c>
      <c r="P58" s="126" t="s">
        <v>235</v>
      </c>
      <c r="Q58" s="181">
        <v>7508.4480000000003</v>
      </c>
      <c r="R58" s="181">
        <v>6306.223</v>
      </c>
      <c r="S58" s="181"/>
      <c r="T58" s="172"/>
      <c r="W58" s="181">
        <f>R58</f>
        <v>6306.223</v>
      </c>
      <c r="AV58" s="165">
        <f t="shared" si="1"/>
        <v>44937.538194444445</v>
      </c>
      <c r="AW58" s="165">
        <f t="shared" si="2"/>
        <v>44954.538194444445</v>
      </c>
      <c r="AX58" s="137">
        <f t="shared" si="3"/>
        <v>17</v>
      </c>
      <c r="AY58" s="165">
        <v>44937.538194444445</v>
      </c>
      <c r="AZ58" s="165">
        <v>44943.378472222219</v>
      </c>
      <c r="BA58" s="165">
        <v>44945.041666666664</v>
      </c>
      <c r="BB58" s="165">
        <v>44946.913194444445</v>
      </c>
      <c r="BC58" s="165">
        <v>44947.027777777781</v>
      </c>
      <c r="BD58" s="165">
        <v>44947.03125</v>
      </c>
      <c r="BE58" s="165">
        <v>44947.25</v>
      </c>
      <c r="BF58" s="165">
        <f t="shared" si="17"/>
        <v>44948.958333333336</v>
      </c>
      <c r="BG58" s="165">
        <v>44949.25</v>
      </c>
      <c r="BH58" s="165">
        <v>44949.416666666664</v>
      </c>
      <c r="BI58" s="165">
        <v>44949.322916666664</v>
      </c>
      <c r="BJ58" s="165">
        <v>44950.625</v>
      </c>
      <c r="BK58" s="165">
        <v>44953.694444444445</v>
      </c>
      <c r="BL58" s="165">
        <v>44953.944444444445</v>
      </c>
      <c r="BM58" s="165">
        <v>44953.972222222219</v>
      </c>
      <c r="BN58" s="165">
        <v>44953.975694444445</v>
      </c>
      <c r="BO58" s="165">
        <v>44954.538194444445</v>
      </c>
      <c r="BP58" s="126" t="s">
        <v>369</v>
      </c>
      <c r="BR58" s="136">
        <f t="shared" si="4"/>
        <v>39.916666666686069</v>
      </c>
      <c r="BS58" s="136">
        <f t="shared" si="5"/>
        <v>2.7500000000582077</v>
      </c>
      <c r="BT58" s="136">
        <f t="shared" si="6"/>
        <v>41.000000000058208</v>
      </c>
      <c r="BU58" s="136">
        <f t="shared" si="13"/>
        <v>29.000000000058208</v>
      </c>
      <c r="BV58" s="135">
        <f t="shared" si="7"/>
        <v>6</v>
      </c>
      <c r="BW58" s="135">
        <f t="shared" si="8"/>
        <v>13.5</v>
      </c>
      <c r="BX58" s="134">
        <f t="shared" si="9"/>
        <v>5.5069444444525288</v>
      </c>
      <c r="BY58" s="134">
        <f t="shared" si="10"/>
        <v>17</v>
      </c>
      <c r="BZ58" s="133">
        <f t="shared" si="11"/>
        <v>0.32393790849720761</v>
      </c>
    </row>
    <row r="59" spans="1:78" s="126" customFormat="1">
      <c r="A59" s="192">
        <f t="shared" si="16"/>
        <v>44946.274305555555</v>
      </c>
      <c r="B59" s="126" t="s">
        <v>228</v>
      </c>
      <c r="C59" s="126" t="s">
        <v>229</v>
      </c>
      <c r="D59" s="126" t="s">
        <v>197</v>
      </c>
      <c r="E59" s="126" t="s">
        <v>220</v>
      </c>
      <c r="G59" s="73">
        <v>44953.208333333336</v>
      </c>
      <c r="H59" s="73">
        <v>44953.104166666664</v>
      </c>
      <c r="I59" s="126" t="s">
        <v>243</v>
      </c>
      <c r="J59" s="126" t="s">
        <v>192</v>
      </c>
      <c r="K59" s="126" t="s">
        <v>192</v>
      </c>
      <c r="L59" s="126" t="s">
        <v>376</v>
      </c>
      <c r="M59" s="167"/>
      <c r="N59" s="126" t="s">
        <v>377</v>
      </c>
      <c r="O59" s="126" t="s">
        <v>378</v>
      </c>
      <c r="P59" s="126" t="s">
        <v>235</v>
      </c>
      <c r="Q59" s="181">
        <f>3271*2.4</f>
        <v>7850.4</v>
      </c>
      <c r="R59" s="181">
        <v>6486.5280000000002</v>
      </c>
      <c r="S59" s="181"/>
      <c r="T59" s="172"/>
      <c r="W59" s="181">
        <f>R59</f>
        <v>6486.5280000000002</v>
      </c>
      <c r="AV59" s="165">
        <f t="shared" si="1"/>
        <v>44937.923611111109</v>
      </c>
      <c r="AW59" s="165">
        <f t="shared" si="2"/>
        <v>44955.34375</v>
      </c>
      <c r="AX59" s="137">
        <f t="shared" si="3"/>
        <v>17.420138888890506</v>
      </c>
      <c r="AY59" s="165">
        <v>44937.923611111109</v>
      </c>
      <c r="AZ59" s="165">
        <v>44942.826388888891</v>
      </c>
      <c r="BA59" s="165">
        <v>44944.333333333336</v>
      </c>
      <c r="BB59" s="165">
        <v>44946.274305555555</v>
      </c>
      <c r="BC59" s="165">
        <v>44946.465277777781</v>
      </c>
      <c r="BD59" s="165">
        <v>44946.472222222219</v>
      </c>
      <c r="BE59" s="165">
        <v>44946.472222222219</v>
      </c>
      <c r="BF59" s="165">
        <f t="shared" si="17"/>
        <v>44948.180555555555</v>
      </c>
      <c r="BG59" s="165">
        <v>44948.25</v>
      </c>
      <c r="BH59" s="165">
        <v>44948.416666666664</v>
      </c>
      <c r="BI59" s="165">
        <v>44948.284722222219</v>
      </c>
      <c r="BJ59" s="165">
        <v>44950.833333333336</v>
      </c>
      <c r="BK59" s="165">
        <v>44954.027777777781</v>
      </c>
      <c r="BL59" s="165">
        <v>44954.392361111109</v>
      </c>
      <c r="BM59" s="165">
        <v>44954.413194444445</v>
      </c>
      <c r="BN59" s="165">
        <v>44954.791666666664</v>
      </c>
      <c r="BO59" s="165">
        <v>44955.34375</v>
      </c>
      <c r="BP59" s="126" t="s">
        <v>369</v>
      </c>
      <c r="BR59" s="136">
        <f t="shared" si="4"/>
        <v>36.166666666686069</v>
      </c>
      <c r="BS59" s="136">
        <f t="shared" si="5"/>
        <v>4.5833333334303461</v>
      </c>
      <c r="BT59" s="136">
        <f t="shared" si="6"/>
        <v>41.000000000058208</v>
      </c>
      <c r="BU59" s="136">
        <f t="shared" si="13"/>
        <v>58.000000000116415</v>
      </c>
      <c r="BV59" s="135">
        <f t="shared" si="7"/>
        <v>8.7499999998835847</v>
      </c>
      <c r="BW59" s="135">
        <f t="shared" si="8"/>
        <v>13.250000000058208</v>
      </c>
      <c r="BX59" s="134">
        <f t="shared" si="9"/>
        <v>6.7395833333430346</v>
      </c>
      <c r="BY59" s="134">
        <f t="shared" si="10"/>
        <v>17.420138888890506</v>
      </c>
      <c r="BZ59" s="133">
        <f t="shared" si="11"/>
        <v>0.38688459238640899</v>
      </c>
    </row>
    <row r="60" spans="1:78" s="126" customFormat="1">
      <c r="A60" s="192">
        <f t="shared" si="16"/>
        <v>44946.708333333336</v>
      </c>
      <c r="B60" s="126" t="s">
        <v>228</v>
      </c>
      <c r="C60" s="126" t="s">
        <v>229</v>
      </c>
      <c r="D60" s="126" t="s">
        <v>197</v>
      </c>
      <c r="E60" s="126" t="s">
        <v>337</v>
      </c>
      <c r="G60" s="73">
        <v>44949.729166666664</v>
      </c>
      <c r="H60" s="73">
        <v>44949.722222222219</v>
      </c>
      <c r="I60" s="126" t="s">
        <v>231</v>
      </c>
      <c r="J60" s="126" t="s">
        <v>192</v>
      </c>
      <c r="K60" s="126" t="s">
        <v>192</v>
      </c>
      <c r="L60" s="126" t="s">
        <v>379</v>
      </c>
      <c r="M60" s="167"/>
      <c r="N60" s="126" t="s">
        <v>380</v>
      </c>
      <c r="O60" s="126" t="s">
        <v>381</v>
      </c>
      <c r="P60" s="126" t="s">
        <v>240</v>
      </c>
      <c r="Q60" s="181">
        <f>3271*2.4</f>
        <v>7850.4</v>
      </c>
      <c r="R60" s="181">
        <v>6354.1080000000002</v>
      </c>
      <c r="S60" s="181"/>
      <c r="T60" s="172"/>
      <c r="X60" s="181">
        <f>R60</f>
        <v>6354.1080000000002</v>
      </c>
      <c r="AV60" s="165">
        <f t="shared" si="1"/>
        <v>44941.541666666664</v>
      </c>
      <c r="AW60" s="165">
        <f t="shared" si="2"/>
        <v>44958.333333333336</v>
      </c>
      <c r="AX60" s="137">
        <f t="shared" si="3"/>
        <v>16.791666666671517</v>
      </c>
      <c r="AY60" s="165">
        <v>44941.541666666664</v>
      </c>
      <c r="AZ60" s="165">
        <v>44943.385416666664</v>
      </c>
      <c r="BA60" s="165">
        <v>44945.104166666664</v>
      </c>
      <c r="BB60" s="165">
        <v>44946.708333333336</v>
      </c>
      <c r="BC60" s="165">
        <v>44946.878472222219</v>
      </c>
      <c r="BD60" s="165">
        <v>44946.885416666664</v>
      </c>
      <c r="BE60" s="165">
        <v>44947.263888888891</v>
      </c>
      <c r="BF60" s="165">
        <f t="shared" si="17"/>
        <v>44948.972222222226</v>
      </c>
      <c r="BG60" s="165">
        <v>44951.25</v>
      </c>
      <c r="BH60" s="165">
        <v>44951.416666666664</v>
      </c>
      <c r="BI60" s="165">
        <v>44951.291666666664</v>
      </c>
      <c r="BJ60" s="165">
        <v>44954.041666666664</v>
      </c>
      <c r="BK60" s="165">
        <v>44957.5625</v>
      </c>
      <c r="BL60" s="165">
        <v>44957.871527777781</v>
      </c>
      <c r="BM60" s="165">
        <v>44957.892361111109</v>
      </c>
      <c r="BN60" s="165">
        <v>44957.892361111109</v>
      </c>
      <c r="BO60" s="165">
        <v>44958.333333333336</v>
      </c>
      <c r="BP60" s="126" t="s">
        <v>369</v>
      </c>
      <c r="BR60" s="136">
        <f t="shared" si="4"/>
        <v>41.25</v>
      </c>
      <c r="BS60" s="136">
        <f t="shared" si="5"/>
        <v>4.0833333331975155</v>
      </c>
      <c r="BT60" s="136">
        <f t="shared" si="6"/>
        <v>41.000000000058208</v>
      </c>
      <c r="BU60" s="136">
        <f t="shared" si="13"/>
        <v>63</v>
      </c>
      <c r="BV60" s="135">
        <f t="shared" si="7"/>
        <v>7.4166666667442769</v>
      </c>
      <c r="BW60" s="135">
        <f t="shared" si="8"/>
        <v>10.583333333430346</v>
      </c>
      <c r="BX60" s="134">
        <f t="shared" si="9"/>
        <v>6.9722222222262644</v>
      </c>
      <c r="BY60" s="134">
        <f t="shared" si="10"/>
        <v>16.791666666671517</v>
      </c>
      <c r="BZ60" s="133">
        <f t="shared" si="11"/>
        <v>0.41521918941285857</v>
      </c>
    </row>
    <row r="61" spans="1:78" s="126" customFormat="1">
      <c r="A61" s="192">
        <f t="shared" si="16"/>
        <v>44947.475694444445</v>
      </c>
      <c r="B61" s="126" t="s">
        <v>228</v>
      </c>
      <c r="C61" s="126" t="s">
        <v>229</v>
      </c>
      <c r="D61" s="126" t="s">
        <v>197</v>
      </c>
      <c r="E61" s="126" t="s">
        <v>220</v>
      </c>
      <c r="F61" s="126" t="s">
        <v>337</v>
      </c>
      <c r="G61" s="73">
        <v>44953.208333333336</v>
      </c>
      <c r="H61" s="73">
        <v>44953.104166666664</v>
      </c>
      <c r="I61" s="126" t="s">
        <v>243</v>
      </c>
      <c r="J61" s="126" t="s">
        <v>192</v>
      </c>
      <c r="K61" s="126" t="s">
        <v>192</v>
      </c>
      <c r="L61" s="126" t="s">
        <v>382</v>
      </c>
      <c r="M61" s="167"/>
      <c r="N61" s="126" t="s">
        <v>383</v>
      </c>
      <c r="O61" s="126" t="s">
        <v>384</v>
      </c>
      <c r="P61" s="126" t="s">
        <v>235</v>
      </c>
      <c r="Q61" s="181">
        <v>5500</v>
      </c>
      <c r="R61" s="181">
        <v>4500.9880000000003</v>
      </c>
      <c r="S61" s="181"/>
      <c r="W61" s="181">
        <f>R61</f>
        <v>4500.9880000000003</v>
      </c>
      <c r="AV61" s="165">
        <f t="shared" si="1"/>
        <v>44926.444444444445</v>
      </c>
      <c r="AW61" s="165">
        <f t="shared" si="2"/>
        <v>44953.607638888891</v>
      </c>
      <c r="AX61" s="137">
        <f t="shared" si="3"/>
        <v>27.163194444445253</v>
      </c>
      <c r="AY61" s="165">
        <v>44926.444444444445</v>
      </c>
      <c r="AZ61" s="165">
        <v>44945.375</v>
      </c>
      <c r="BA61" s="165">
        <v>44946.513888888891</v>
      </c>
      <c r="BB61" s="165">
        <v>44947.475694444445</v>
      </c>
      <c r="BC61" s="165">
        <v>44947.586805555555</v>
      </c>
      <c r="BD61" s="165">
        <v>44947.590277777781</v>
      </c>
      <c r="BE61" s="165">
        <v>44947.590277777781</v>
      </c>
      <c r="BF61" s="165">
        <f t="shared" si="17"/>
        <v>44949.298611111117</v>
      </c>
      <c r="BG61" s="165">
        <v>44949.25</v>
      </c>
      <c r="BH61" s="165">
        <v>44949.416666666664</v>
      </c>
      <c r="BI61" s="165">
        <v>44949.324305555558</v>
      </c>
      <c r="BJ61" s="165">
        <v>44952.986111111109</v>
      </c>
      <c r="BK61" s="165">
        <v>44953.4375</v>
      </c>
      <c r="BL61" s="165">
        <v>44953.59375</v>
      </c>
      <c r="BM61" s="165">
        <v>44953.607638888891</v>
      </c>
      <c r="BN61" s="165">
        <v>44953.607638888891</v>
      </c>
      <c r="BO61" s="165">
        <v>44953.607638888891</v>
      </c>
      <c r="BP61" s="126" t="s">
        <v>385</v>
      </c>
      <c r="BR61" s="136">
        <f t="shared" si="4"/>
        <v>27.333333333372138</v>
      </c>
      <c r="BS61" s="136">
        <f t="shared" si="5"/>
        <v>2.6666666666278616</v>
      </c>
      <c r="BT61" s="136">
        <f t="shared" si="6"/>
        <v>41.000000000058208</v>
      </c>
      <c r="BU61" s="136">
        <f t="shared" si="13"/>
        <v>85.666666666686069</v>
      </c>
      <c r="BV61" s="135">
        <f t="shared" si="7"/>
        <v>3.75</v>
      </c>
      <c r="BW61" s="135">
        <f t="shared" si="8"/>
        <v>0</v>
      </c>
      <c r="BX61" s="134">
        <f t="shared" si="9"/>
        <v>6.6840277777810115</v>
      </c>
      <c r="BY61" s="134">
        <f t="shared" si="10"/>
        <v>27.163194444445253</v>
      </c>
      <c r="BZ61" s="133">
        <f t="shared" si="11"/>
        <v>0.24606928288391589</v>
      </c>
    </row>
    <row r="62" spans="1:78" s="126" customFormat="1">
      <c r="A62" s="192">
        <f t="shared" si="16"/>
        <v>44948.50277777778</v>
      </c>
      <c r="B62" s="126" t="s">
        <v>228</v>
      </c>
      <c r="C62" s="126" t="s">
        <v>229</v>
      </c>
      <c r="D62" s="126" t="s">
        <v>197</v>
      </c>
      <c r="E62" s="126" t="s">
        <v>337</v>
      </c>
      <c r="G62" s="73">
        <v>44949.729166666664</v>
      </c>
      <c r="H62" s="73">
        <v>44949.722222222219</v>
      </c>
      <c r="I62" s="126" t="s">
        <v>231</v>
      </c>
      <c r="J62" s="126" t="s">
        <v>192</v>
      </c>
      <c r="K62" s="126" t="s">
        <v>192</v>
      </c>
      <c r="L62" s="126" t="s">
        <v>386</v>
      </c>
      <c r="M62" s="167"/>
      <c r="N62" s="126" t="s">
        <v>201</v>
      </c>
      <c r="O62" s="126" t="s">
        <v>202</v>
      </c>
      <c r="P62" s="126" t="s">
        <v>240</v>
      </c>
      <c r="Q62" s="181">
        <f>3141*2.4</f>
        <v>7538.4</v>
      </c>
      <c r="R62" s="181">
        <v>7563.0720000000001</v>
      </c>
      <c r="S62" s="181"/>
      <c r="X62" s="181">
        <f>R62</f>
        <v>7563.0720000000001</v>
      </c>
      <c r="AV62" s="165">
        <f t="shared" si="1"/>
        <v>44944.368055555555</v>
      </c>
      <c r="AW62" s="165">
        <f t="shared" si="2"/>
        <v>44960.8125</v>
      </c>
      <c r="AX62" s="137">
        <f t="shared" si="3"/>
        <v>16.444444444445253</v>
      </c>
      <c r="AY62" s="165">
        <v>44944.368055555555</v>
      </c>
      <c r="AZ62" s="165">
        <v>44946.829861111109</v>
      </c>
      <c r="BA62" s="165">
        <v>44948.392361111109</v>
      </c>
      <c r="BB62" s="165">
        <v>44948.50277777778</v>
      </c>
      <c r="BC62" s="165">
        <v>44948.655555555553</v>
      </c>
      <c r="BD62" s="165">
        <v>44948.663194444445</v>
      </c>
      <c r="BE62" s="165">
        <v>44948.663194444445</v>
      </c>
      <c r="BF62" s="165">
        <f t="shared" si="17"/>
        <v>44950.371527777781</v>
      </c>
      <c r="BG62" s="165">
        <v>44955.291666666664</v>
      </c>
      <c r="BH62" s="165">
        <v>44955.458333333328</v>
      </c>
      <c r="BI62" s="165">
        <v>44955.371527777781</v>
      </c>
      <c r="BJ62" s="165">
        <v>44956.611111111109</v>
      </c>
      <c r="BK62" s="165">
        <v>44959.9375</v>
      </c>
      <c r="BL62" s="165">
        <v>44960.472222222219</v>
      </c>
      <c r="BM62" s="165">
        <v>44960.493055555555</v>
      </c>
      <c r="BN62" s="165">
        <v>44960.493055555555</v>
      </c>
      <c r="BO62" s="165">
        <v>44960.8125</v>
      </c>
      <c r="BR62" s="136">
        <f t="shared" si="4"/>
        <v>37.5</v>
      </c>
      <c r="BS62" s="136">
        <f t="shared" si="5"/>
        <v>3.6666666665696539</v>
      </c>
      <c r="BT62" s="136">
        <f t="shared" si="6"/>
        <v>41.000000000058208</v>
      </c>
      <c r="BU62" s="136">
        <f t="shared" si="13"/>
        <v>27.666666666744277</v>
      </c>
      <c r="BV62" s="135">
        <f t="shared" si="7"/>
        <v>12.833333333255723</v>
      </c>
      <c r="BW62" s="135">
        <f t="shared" si="8"/>
        <v>7.6666666666860692</v>
      </c>
      <c r="BX62" s="134">
        <f t="shared" si="9"/>
        <v>5.4305555555547471</v>
      </c>
      <c r="BY62" s="134">
        <f t="shared" si="10"/>
        <v>16.444444444445253</v>
      </c>
      <c r="BZ62" s="133">
        <f t="shared" si="11"/>
        <v>0.33023648648642107</v>
      </c>
    </row>
    <row r="63" spans="1:78" s="126" customFormat="1">
      <c r="A63" s="192">
        <f t="shared" si="16"/>
        <v>44947.612500000003</v>
      </c>
      <c r="B63" s="126" t="s">
        <v>228</v>
      </c>
      <c r="C63" s="126" t="s">
        <v>229</v>
      </c>
      <c r="D63" s="126" t="s">
        <v>197</v>
      </c>
      <c r="E63" s="126" t="s">
        <v>337</v>
      </c>
      <c r="G63" s="73">
        <v>44949.729166666664</v>
      </c>
      <c r="H63" s="73">
        <v>44949.722222222219</v>
      </c>
      <c r="I63" s="126" t="s">
        <v>231</v>
      </c>
      <c r="J63" s="126" t="s">
        <v>192</v>
      </c>
      <c r="K63" s="126" t="s">
        <v>192</v>
      </c>
      <c r="L63" s="126" t="s">
        <v>387</v>
      </c>
      <c r="M63" s="167"/>
      <c r="N63" s="126" t="s">
        <v>208</v>
      </c>
      <c r="O63" s="126" t="s">
        <v>328</v>
      </c>
      <c r="P63" s="126" t="s">
        <v>240</v>
      </c>
      <c r="Q63" s="181">
        <f>3128*2.4</f>
        <v>7507.2</v>
      </c>
      <c r="R63" s="181">
        <v>6697.7669999999998</v>
      </c>
      <c r="S63" s="181"/>
      <c r="X63" s="181">
        <f>R63</f>
        <v>6697.7669999999998</v>
      </c>
      <c r="AV63" s="165">
        <f t="shared" si="1"/>
        <v>44944.375</v>
      </c>
      <c r="AW63" s="165">
        <f t="shared" si="2"/>
        <v>44958.71875</v>
      </c>
      <c r="AX63" s="137">
        <f t="shared" si="3"/>
        <v>14.34375</v>
      </c>
      <c r="AY63" s="165">
        <v>44944.375</v>
      </c>
      <c r="AZ63" s="165">
        <v>44945.847222222219</v>
      </c>
      <c r="BA63" s="165">
        <v>44947.458333333336</v>
      </c>
      <c r="BB63" s="165">
        <v>44947.612500000003</v>
      </c>
      <c r="BC63" s="165">
        <v>44947.727777777778</v>
      </c>
      <c r="BD63" s="165">
        <v>44947.736111111109</v>
      </c>
      <c r="BE63" s="165">
        <v>44947.736111111109</v>
      </c>
      <c r="BF63" s="165">
        <f t="shared" si="17"/>
        <v>44949.444444444445</v>
      </c>
      <c r="BG63" s="165">
        <v>44949.25</v>
      </c>
      <c r="BH63" s="165">
        <v>44949.416666666664</v>
      </c>
      <c r="BI63" s="165">
        <v>44949.409722222219</v>
      </c>
      <c r="BJ63" s="165">
        <v>44954.197916666664</v>
      </c>
      <c r="BK63" s="165">
        <v>44958.243055555555</v>
      </c>
      <c r="BL63" s="165">
        <v>44958.409722222219</v>
      </c>
      <c r="BM63" s="165">
        <v>44958.430555555555</v>
      </c>
      <c r="BN63" s="165">
        <v>44958.430555555555</v>
      </c>
      <c r="BO63" s="165">
        <v>44958.71875</v>
      </c>
      <c r="BP63" s="126" t="s">
        <v>388</v>
      </c>
      <c r="BR63" s="136">
        <f t="shared" si="4"/>
        <v>38.666666666802485</v>
      </c>
      <c r="BS63" s="136">
        <f t="shared" si="5"/>
        <v>2.7666666666045785</v>
      </c>
      <c r="BT63" s="136">
        <f t="shared" si="6"/>
        <v>41.000000000058208</v>
      </c>
      <c r="BU63" s="136">
        <f t="shared" si="13"/>
        <v>114.75</v>
      </c>
      <c r="BV63" s="135">
        <f t="shared" si="7"/>
        <v>3.9999999999417923</v>
      </c>
      <c r="BW63" s="135">
        <f t="shared" si="8"/>
        <v>6.9166666666860692</v>
      </c>
      <c r="BX63" s="134">
        <f t="shared" si="9"/>
        <v>8.6708333333372138</v>
      </c>
      <c r="BY63" s="134">
        <f t="shared" si="10"/>
        <v>14.34375</v>
      </c>
      <c r="BZ63" s="133">
        <f t="shared" si="11"/>
        <v>0.60450254175771423</v>
      </c>
    </row>
    <row r="64" spans="1:78" s="126" customFormat="1">
      <c r="A64" s="192">
        <f t="shared" si="16"/>
        <v>44948.685416666667</v>
      </c>
      <c r="B64" s="126" t="s">
        <v>228</v>
      </c>
      <c r="C64" s="126" t="s">
        <v>229</v>
      </c>
      <c r="D64" s="126" t="s">
        <v>215</v>
      </c>
      <c r="E64" s="126" t="s">
        <v>337</v>
      </c>
      <c r="G64" s="73">
        <v>44949.729166666664</v>
      </c>
      <c r="H64" s="73">
        <v>44949.722222222219</v>
      </c>
      <c r="I64" s="126" t="s">
        <v>231</v>
      </c>
      <c r="J64" s="126" t="s">
        <v>192</v>
      </c>
      <c r="K64" s="126" t="s">
        <v>192</v>
      </c>
      <c r="L64" s="126" t="s">
        <v>389</v>
      </c>
      <c r="M64" s="167"/>
      <c r="N64" s="126" t="s">
        <v>390</v>
      </c>
      <c r="O64" s="126" t="s">
        <v>391</v>
      </c>
      <c r="P64" s="126" t="s">
        <v>240</v>
      </c>
      <c r="Q64" s="181">
        <f>3097*2.4</f>
        <v>7432.7999999999993</v>
      </c>
      <c r="R64" s="181">
        <v>7427.05</v>
      </c>
      <c r="S64" s="181"/>
      <c r="X64" s="181">
        <f>R64</f>
        <v>7427.05</v>
      </c>
      <c r="AV64" s="165">
        <f t="shared" si="1"/>
        <v>44945.697916666664</v>
      </c>
      <c r="AW64" s="165">
        <f t="shared" si="2"/>
        <v>44958.604166666664</v>
      </c>
      <c r="AX64" s="137">
        <f t="shared" si="3"/>
        <v>12.90625</v>
      </c>
      <c r="AY64" s="165">
        <v>44945.697916666664</v>
      </c>
      <c r="AZ64" s="165">
        <v>44946.364583333336</v>
      </c>
      <c r="BA64" s="165">
        <v>44947.979166666664</v>
      </c>
      <c r="BB64" s="165">
        <v>44948.685416666667</v>
      </c>
      <c r="BC64" s="165">
        <v>44948.850694444445</v>
      </c>
      <c r="BD64" s="165">
        <v>44948.857638888891</v>
      </c>
      <c r="BE64" s="165">
        <v>44948.291666666664</v>
      </c>
      <c r="BF64" s="165">
        <f t="shared" si="17"/>
        <v>44950</v>
      </c>
      <c r="BG64" s="165">
        <v>44951.25</v>
      </c>
      <c r="BH64" s="165">
        <v>44951.416666666664</v>
      </c>
      <c r="BI64" s="165">
        <v>44951.416666666664</v>
      </c>
      <c r="BJ64" s="165">
        <v>44954.1875</v>
      </c>
      <c r="BK64" s="165">
        <v>44957.975694444445</v>
      </c>
      <c r="BL64" s="165">
        <v>44958.180555555555</v>
      </c>
      <c r="BM64" s="165">
        <v>44958.201388888891</v>
      </c>
      <c r="BN64" s="165">
        <v>44958.291666666664</v>
      </c>
      <c r="BO64" s="165">
        <v>44958.604166666664</v>
      </c>
      <c r="BR64" s="136">
        <f t="shared" si="4"/>
        <v>38.749999999883585</v>
      </c>
      <c r="BS64" s="136">
        <f t="shared" si="5"/>
        <v>3.9666666666744277</v>
      </c>
      <c r="BT64" s="136">
        <f t="shared" si="6"/>
        <v>41.000000000058208</v>
      </c>
      <c r="BU64" s="136">
        <f t="shared" si="13"/>
        <v>66.500000000058208</v>
      </c>
      <c r="BV64" s="135">
        <f t="shared" si="7"/>
        <v>4.9166666666278616</v>
      </c>
      <c r="BW64" s="135">
        <f t="shared" si="8"/>
        <v>7.5</v>
      </c>
      <c r="BX64" s="134">
        <f t="shared" si="9"/>
        <v>6.7763888888875954</v>
      </c>
      <c r="BY64" s="134">
        <f t="shared" si="10"/>
        <v>12.90625</v>
      </c>
      <c r="BZ64" s="133">
        <f t="shared" si="11"/>
        <v>0.52504708097918418</v>
      </c>
    </row>
    <row r="65" spans="1:78" s="126" customFormat="1">
      <c r="A65" s="192">
        <f t="shared" si="16"/>
        <v>44948.336805555555</v>
      </c>
      <c r="B65" s="126" t="s">
        <v>228</v>
      </c>
      <c r="C65" s="126" t="s">
        <v>229</v>
      </c>
      <c r="D65" s="126" t="s">
        <v>197</v>
      </c>
      <c r="E65" s="126" t="s">
        <v>337</v>
      </c>
      <c r="G65" s="73">
        <v>44949.729166666664</v>
      </c>
      <c r="H65" s="73">
        <v>44949.722222222219</v>
      </c>
      <c r="I65" s="126" t="s">
        <v>231</v>
      </c>
      <c r="J65" s="126" t="s">
        <v>192</v>
      </c>
      <c r="K65" s="126" t="s">
        <v>192</v>
      </c>
      <c r="L65" s="126" t="s">
        <v>392</v>
      </c>
      <c r="M65" s="167"/>
      <c r="N65" s="126" t="s">
        <v>277</v>
      </c>
      <c r="O65" s="126" t="s">
        <v>278</v>
      </c>
      <c r="P65" s="126" t="s">
        <v>240</v>
      </c>
      <c r="Q65" s="181">
        <f>3117*2.4</f>
        <v>7480.7999999999993</v>
      </c>
      <c r="R65" s="181">
        <v>7130.7650000000003</v>
      </c>
      <c r="S65" s="181"/>
      <c r="X65" s="181">
        <f>R65</f>
        <v>7130.7650000000003</v>
      </c>
      <c r="AV65" s="165">
        <f t="shared" si="1"/>
        <v>44945.708333333336</v>
      </c>
      <c r="AW65" s="165">
        <f t="shared" si="2"/>
        <v>44958.993055555555</v>
      </c>
      <c r="AX65" s="137">
        <f t="shared" si="3"/>
        <v>13.284722222218988</v>
      </c>
      <c r="AY65" s="165">
        <v>44945.708333333336</v>
      </c>
      <c r="AZ65" s="165">
        <v>44946.84375</v>
      </c>
      <c r="BA65" s="165">
        <v>44948.295138888891</v>
      </c>
      <c r="BB65" s="165">
        <v>44948.336805555555</v>
      </c>
      <c r="BC65" s="165">
        <v>44948.475694444445</v>
      </c>
      <c r="BD65" s="165">
        <v>44948.479166666664</v>
      </c>
      <c r="BE65" s="165">
        <v>44948.479166666664</v>
      </c>
      <c r="BF65" s="165">
        <f t="shared" si="17"/>
        <v>44950.1875</v>
      </c>
      <c r="BG65" s="165">
        <v>44952.25</v>
      </c>
      <c r="BH65" s="165">
        <v>44952.416666666664</v>
      </c>
      <c r="BI65" s="165">
        <v>44952.416666666664</v>
      </c>
      <c r="BJ65" s="165">
        <v>44954.211805555555</v>
      </c>
      <c r="BK65" s="165">
        <v>44958.472222222219</v>
      </c>
      <c r="BL65" s="165">
        <v>44958.677083333336</v>
      </c>
      <c r="BM65" s="165">
        <v>44958.697916666664</v>
      </c>
      <c r="BN65" s="165">
        <v>44958.697916666664</v>
      </c>
      <c r="BO65" s="165">
        <v>44958.993055555555</v>
      </c>
      <c r="BR65" s="136">
        <f t="shared" si="4"/>
        <v>34.833333333372138</v>
      </c>
      <c r="BS65" s="136">
        <f t="shared" si="5"/>
        <v>3.3333333333721384</v>
      </c>
      <c r="BT65" s="136">
        <f t="shared" si="6"/>
        <v>41.000000000058208</v>
      </c>
      <c r="BU65" s="136">
        <f t="shared" si="13"/>
        <v>43.083333333372138</v>
      </c>
      <c r="BV65" s="135">
        <f t="shared" si="7"/>
        <v>4.9166666668024845</v>
      </c>
      <c r="BW65" s="135">
        <f t="shared" si="8"/>
        <v>7.0833333333721384</v>
      </c>
      <c r="BX65" s="134">
        <f t="shared" si="9"/>
        <v>5.5937500000145519</v>
      </c>
      <c r="BY65" s="134">
        <f t="shared" si="10"/>
        <v>13.284722222218988</v>
      </c>
      <c r="BZ65" s="133">
        <f t="shared" si="11"/>
        <v>0.42106638787364953</v>
      </c>
    </row>
    <row r="66" spans="1:78" s="126" customFormat="1">
      <c r="A66" s="192">
        <f t="shared" si="16"/>
        <v>44954.805555555555</v>
      </c>
      <c r="B66" s="126" t="s">
        <v>228</v>
      </c>
      <c r="C66" s="126" t="s">
        <v>229</v>
      </c>
      <c r="D66" s="126" t="s">
        <v>197</v>
      </c>
      <c r="E66" s="126" t="s">
        <v>393</v>
      </c>
      <c r="F66" s="126" t="s">
        <v>394</v>
      </c>
      <c r="G66" s="73">
        <v>44961.854166666664</v>
      </c>
      <c r="H66" s="73">
        <v>44961.895833333336</v>
      </c>
      <c r="I66" s="126" t="s">
        <v>243</v>
      </c>
      <c r="J66" s="126" t="s">
        <v>192</v>
      </c>
      <c r="K66" s="126" t="s">
        <v>192</v>
      </c>
      <c r="L66" s="126" t="s">
        <v>395</v>
      </c>
      <c r="M66" s="167"/>
      <c r="N66" s="126" t="s">
        <v>246</v>
      </c>
      <c r="O66" s="126" t="s">
        <v>247</v>
      </c>
      <c r="P66" s="126" t="s">
        <v>235</v>
      </c>
      <c r="Q66" s="181">
        <f>3136*2.4</f>
        <v>7526.4</v>
      </c>
      <c r="R66" s="181">
        <v>7402.6679999999997</v>
      </c>
      <c r="S66" s="181"/>
      <c r="W66" s="181">
        <f>R66</f>
        <v>7402.6679999999997</v>
      </c>
      <c r="AV66" s="165">
        <f t="shared" si="1"/>
        <v>44945.861111111109</v>
      </c>
      <c r="AW66" s="165">
        <f t="shared" si="2"/>
        <v>44961.604166666664</v>
      </c>
      <c r="AX66" s="137">
        <f t="shared" si="3"/>
        <v>15.743055555554747</v>
      </c>
      <c r="AY66" s="165">
        <v>44945.861111111109</v>
      </c>
      <c r="AZ66" s="165">
        <v>44950.826388888891</v>
      </c>
      <c r="BA66" s="165">
        <v>44952.6875</v>
      </c>
      <c r="BB66" s="165">
        <v>44954.805555555555</v>
      </c>
      <c r="BC66" s="165">
        <v>44954.989583333336</v>
      </c>
      <c r="BD66" s="165">
        <v>44954.996527777781</v>
      </c>
      <c r="BE66" s="165">
        <v>44955.274305555555</v>
      </c>
      <c r="BF66" s="165">
        <f t="shared" si="17"/>
        <v>44956.982638888891</v>
      </c>
      <c r="BG66" s="165">
        <v>44957.333333333336</v>
      </c>
      <c r="BH66" s="165">
        <v>44957.5</v>
      </c>
      <c r="BI66" s="165">
        <v>44957.465277777781</v>
      </c>
      <c r="BJ66" s="165">
        <v>44959.1875</v>
      </c>
      <c r="BK66" s="165">
        <v>44960.517361111109</v>
      </c>
      <c r="BL66" s="165">
        <v>44960.732638888891</v>
      </c>
      <c r="BM66" s="165">
        <v>44960.746527777781</v>
      </c>
      <c r="BN66" s="165">
        <v>44961.017361111109</v>
      </c>
      <c r="BO66" s="165">
        <v>44961.604166666664</v>
      </c>
      <c r="BR66" s="136">
        <f t="shared" si="4"/>
        <v>44.666666666627862</v>
      </c>
      <c r="BS66" s="136">
        <f t="shared" si="5"/>
        <v>4.4166666667442769</v>
      </c>
      <c r="BT66" s="136">
        <f t="shared" si="6"/>
        <v>41.000000000058208</v>
      </c>
      <c r="BU66" s="136">
        <f t="shared" si="13"/>
        <v>40.5</v>
      </c>
      <c r="BV66" s="135">
        <f t="shared" si="7"/>
        <v>5.1666666667442769</v>
      </c>
      <c r="BW66" s="135">
        <f t="shared" si="8"/>
        <v>14.083333333313931</v>
      </c>
      <c r="BX66" s="134">
        <f t="shared" si="9"/>
        <v>6.2430555555620231</v>
      </c>
      <c r="BY66" s="134">
        <f t="shared" si="10"/>
        <v>15.743055555554747</v>
      </c>
      <c r="BZ66" s="133">
        <f t="shared" si="11"/>
        <v>0.39655932951079731</v>
      </c>
    </row>
    <row r="67" spans="1:78" s="126" customFormat="1">
      <c r="A67" s="192">
        <f t="shared" si="16"/>
        <v>44949.336805555555</v>
      </c>
      <c r="B67" s="126" t="s">
        <v>228</v>
      </c>
      <c r="C67" s="126" t="s">
        <v>229</v>
      </c>
      <c r="D67" s="126" t="s">
        <v>197</v>
      </c>
      <c r="E67" s="126" t="s">
        <v>337</v>
      </c>
      <c r="G67" s="73">
        <v>44949.729166666664</v>
      </c>
      <c r="H67" s="73">
        <v>44949.722222222219</v>
      </c>
      <c r="I67" s="126" t="s">
        <v>231</v>
      </c>
      <c r="J67" s="126" t="s">
        <v>192</v>
      </c>
      <c r="K67" s="126" t="s">
        <v>192</v>
      </c>
      <c r="L67" s="126" t="s">
        <v>396</v>
      </c>
      <c r="M67" s="167"/>
      <c r="N67" s="126" t="s">
        <v>257</v>
      </c>
      <c r="O67" s="126" t="s">
        <v>258</v>
      </c>
      <c r="P67" s="126" t="s">
        <v>240</v>
      </c>
      <c r="Q67" s="181">
        <f>3139*2.4</f>
        <v>7533.5999999999995</v>
      </c>
      <c r="R67" s="181">
        <v>7437.8010000000004</v>
      </c>
      <c r="S67" s="181"/>
      <c r="X67" s="181">
        <f t="shared" ref="X67:X72" si="18">R67</f>
        <v>7437.8010000000004</v>
      </c>
      <c r="AV67" s="165">
        <f t="shared" si="1"/>
        <v>44946.309027777781</v>
      </c>
      <c r="AW67" s="165">
        <f t="shared" si="2"/>
        <v>44959.263888888891</v>
      </c>
      <c r="AX67" s="137">
        <f t="shared" si="3"/>
        <v>12.954861111109494</v>
      </c>
      <c r="AY67" s="165">
        <v>44946.309027777781</v>
      </c>
      <c r="AZ67" s="165">
        <v>44947.364583333336</v>
      </c>
      <c r="BA67" s="165">
        <v>44948.916666666664</v>
      </c>
      <c r="BB67" s="165">
        <v>44949.336805555555</v>
      </c>
      <c r="BC67" s="165">
        <v>44949.475694444445</v>
      </c>
      <c r="BD67" s="165">
        <v>44949.479166666664</v>
      </c>
      <c r="BE67" s="165">
        <v>44949.479166666664</v>
      </c>
      <c r="BF67" s="165">
        <f t="shared" si="17"/>
        <v>44951.1875</v>
      </c>
      <c r="BG67" s="165">
        <v>44951.25</v>
      </c>
      <c r="BH67" s="165">
        <v>44951.416666666664</v>
      </c>
      <c r="BI67" s="165">
        <v>44951.413194444445</v>
      </c>
      <c r="BJ67" s="165">
        <v>44954.104166666664</v>
      </c>
      <c r="BK67" s="165">
        <v>44958.739583333336</v>
      </c>
      <c r="BL67" s="165">
        <v>44958.923611111109</v>
      </c>
      <c r="BM67" s="165">
        <v>44958.944444444445</v>
      </c>
      <c r="BN67" s="165">
        <v>44958.944444444445</v>
      </c>
      <c r="BO67" s="165">
        <v>44959.263888888891</v>
      </c>
      <c r="BR67" s="136">
        <f t="shared" si="4"/>
        <v>37.249999999883585</v>
      </c>
      <c r="BS67" s="136">
        <f t="shared" si="5"/>
        <v>3.3333333333721384</v>
      </c>
      <c r="BT67" s="136">
        <f t="shared" si="6"/>
        <v>41.000000000058208</v>
      </c>
      <c r="BU67" s="136">
        <f t="shared" si="13"/>
        <v>64.5</v>
      </c>
      <c r="BV67" s="135">
        <f t="shared" si="7"/>
        <v>4.4166666665696539</v>
      </c>
      <c r="BW67" s="135">
        <f t="shared" si="8"/>
        <v>7.6666666666860692</v>
      </c>
      <c r="BX67" s="134">
        <f t="shared" si="9"/>
        <v>6.5902777777737356</v>
      </c>
      <c r="BY67" s="134">
        <f t="shared" si="10"/>
        <v>12.954861111109494</v>
      </c>
      <c r="BZ67" s="133">
        <f t="shared" si="11"/>
        <v>0.50871080139347968</v>
      </c>
    </row>
    <row r="68" spans="1:78" s="126" customFormat="1">
      <c r="A68" s="192">
        <f t="shared" si="16"/>
        <v>44949.809027777781</v>
      </c>
      <c r="B68" s="126" t="s">
        <v>228</v>
      </c>
      <c r="C68" s="126" t="s">
        <v>229</v>
      </c>
      <c r="D68" s="126" t="s">
        <v>197</v>
      </c>
      <c r="E68" s="126" t="s">
        <v>224</v>
      </c>
      <c r="G68" s="73">
        <v>44952.666666666664</v>
      </c>
      <c r="H68" s="73">
        <v>44952.694444444445</v>
      </c>
      <c r="I68" s="126" t="s">
        <v>231</v>
      </c>
      <c r="J68" s="126" t="s">
        <v>192</v>
      </c>
      <c r="K68" s="126" t="s">
        <v>192</v>
      </c>
      <c r="L68" s="126" t="s">
        <v>397</v>
      </c>
      <c r="M68" s="167"/>
      <c r="N68" s="126" t="s">
        <v>249</v>
      </c>
      <c r="O68" s="126" t="s">
        <v>250</v>
      </c>
      <c r="P68" s="126" t="s">
        <v>240</v>
      </c>
      <c r="Q68" s="181">
        <f>3139*2.4</f>
        <v>7533.5999999999995</v>
      </c>
      <c r="R68" s="181">
        <v>7321</v>
      </c>
      <c r="S68" s="181"/>
      <c r="X68" s="181">
        <f t="shared" si="18"/>
        <v>7321</v>
      </c>
      <c r="AV68" s="165">
        <f t="shared" ref="AV68:AV128" si="19">AY68</f>
        <v>44946.347222222219</v>
      </c>
      <c r="AW68" s="165">
        <f t="shared" ref="AW68:AW128" si="20">BO68</f>
        <v>44961.645833333336</v>
      </c>
      <c r="AX68" s="137">
        <f t="shared" ref="AX68:AX128" si="21">AW68-AV68</f>
        <v>15.29861111111677</v>
      </c>
      <c r="AY68" s="165">
        <v>44946.347222222219</v>
      </c>
      <c r="AZ68" s="165">
        <v>44947.888888888891</v>
      </c>
      <c r="BA68" s="165">
        <v>44949.770833333336</v>
      </c>
      <c r="BB68" s="165">
        <v>44949.809027777781</v>
      </c>
      <c r="BC68" s="165">
        <v>44949.9375</v>
      </c>
      <c r="BD68" s="165">
        <v>44949.944444444445</v>
      </c>
      <c r="BE68" s="165">
        <v>44950.291666666664</v>
      </c>
      <c r="BF68" s="165">
        <f t="shared" si="17"/>
        <v>44952</v>
      </c>
      <c r="BG68" s="165">
        <v>44952.25</v>
      </c>
      <c r="BH68" s="165">
        <v>44952.416666666664</v>
      </c>
      <c r="BI68" s="165">
        <v>44952.291666666664</v>
      </c>
      <c r="BJ68" s="165">
        <v>44960.631944444445</v>
      </c>
      <c r="BK68" s="165">
        <v>44960.875</v>
      </c>
      <c r="BL68" s="165">
        <v>44961.201388888891</v>
      </c>
      <c r="BM68" s="165">
        <v>44961.21875</v>
      </c>
      <c r="BN68" s="165">
        <v>44961.21875</v>
      </c>
      <c r="BO68" s="165">
        <v>44961.645833333336</v>
      </c>
      <c r="BR68" s="136">
        <f t="shared" ref="BR68:BR128" si="22">(BA68-AZ68)*24</f>
        <v>45.166666666686069</v>
      </c>
      <c r="BS68" s="136">
        <f t="shared" ref="BS68:BS128" si="23">(BC68-BB68)*24</f>
        <v>3.0833333332557231</v>
      </c>
      <c r="BT68" s="136">
        <f t="shared" ref="BT68:BT128" si="24">(BF68-BE68)*24</f>
        <v>41.000000000058208</v>
      </c>
      <c r="BU68" s="136">
        <f t="shared" si="13"/>
        <v>197.16666666674428</v>
      </c>
      <c r="BV68" s="135">
        <f t="shared" ref="BV68:BV128" si="25">(BL68-BK68)*24</f>
        <v>7.8333333333721384</v>
      </c>
      <c r="BW68" s="135">
        <f t="shared" ref="BW68:BW128" si="26">(BO68-BN68)*24</f>
        <v>10.250000000058208</v>
      </c>
      <c r="BX68" s="134">
        <f t="shared" ref="BX68:BX128" si="27">SUM(BR68:BW68)/24</f>
        <v>12.687500000007276</v>
      </c>
      <c r="BY68" s="134">
        <f t="shared" ref="BY68:BY128" si="28">AX68</f>
        <v>15.29861111111677</v>
      </c>
      <c r="BZ68" s="133">
        <f t="shared" ref="BZ68:BZ128" si="29">BX68/BY68</f>
        <v>0.82932364956893867</v>
      </c>
    </row>
    <row r="69" spans="1:78" s="126" customFormat="1">
      <c r="A69" s="192">
        <f t="shared" si="16"/>
        <v>44949.809027777781</v>
      </c>
      <c r="B69" s="126" t="s">
        <v>228</v>
      </c>
      <c r="C69" s="126" t="s">
        <v>229</v>
      </c>
      <c r="D69" s="126" t="s">
        <v>197</v>
      </c>
      <c r="E69" s="126" t="s">
        <v>337</v>
      </c>
      <c r="G69" s="73">
        <v>44949.729166666664</v>
      </c>
      <c r="H69" s="73">
        <v>44949.722222222219</v>
      </c>
      <c r="I69" s="126" t="s">
        <v>231</v>
      </c>
      <c r="J69" s="126" t="s">
        <v>192</v>
      </c>
      <c r="K69" s="126" t="s">
        <v>192</v>
      </c>
      <c r="L69" s="126" t="s">
        <v>397</v>
      </c>
      <c r="M69" s="167"/>
      <c r="N69" s="126" t="s">
        <v>249</v>
      </c>
      <c r="O69" s="126" t="s">
        <v>250</v>
      </c>
      <c r="P69" s="126" t="s">
        <v>240</v>
      </c>
      <c r="Q69" s="181">
        <f>3139*2.4</f>
        <v>7533.5999999999995</v>
      </c>
      <c r="R69" s="181">
        <f>7500.438-6948.689</f>
        <v>551.7489999999998</v>
      </c>
      <c r="S69" s="181"/>
      <c r="X69" s="181">
        <f t="shared" si="18"/>
        <v>551.7489999999998</v>
      </c>
      <c r="AV69" s="165">
        <f t="shared" si="19"/>
        <v>44946.347222222219</v>
      </c>
      <c r="AW69" s="165">
        <f t="shared" si="20"/>
        <v>44960.631944444445</v>
      </c>
      <c r="AX69" s="137">
        <f t="shared" si="21"/>
        <v>14.284722222226264</v>
      </c>
      <c r="AY69" s="165">
        <v>44946.347222222219</v>
      </c>
      <c r="AZ69" s="165">
        <v>44947.888888888891</v>
      </c>
      <c r="BA69" s="165">
        <v>44949.770833333336</v>
      </c>
      <c r="BB69" s="165">
        <v>44949.809027777781</v>
      </c>
      <c r="BC69" s="165">
        <v>44949.9375</v>
      </c>
      <c r="BD69" s="165">
        <v>44949.944444444445</v>
      </c>
      <c r="BE69" s="165">
        <v>44950.291666666664</v>
      </c>
      <c r="BF69" s="165">
        <f t="shared" si="17"/>
        <v>44952</v>
      </c>
      <c r="BG69" s="165">
        <v>44952.25</v>
      </c>
      <c r="BH69" s="165">
        <v>44952.416666666664</v>
      </c>
      <c r="BI69" s="165">
        <v>44952.291666666664</v>
      </c>
      <c r="BJ69" s="165">
        <v>44954.277777777781</v>
      </c>
      <c r="BK69" s="165">
        <v>44960.590277777781</v>
      </c>
      <c r="BL69" s="165">
        <v>44960.614583333336</v>
      </c>
      <c r="BM69" s="165">
        <v>44960.631944444445</v>
      </c>
      <c r="BN69" s="165">
        <v>44960.631944444445</v>
      </c>
      <c r="BO69" s="165">
        <v>44960.631944444445</v>
      </c>
      <c r="BR69" s="136">
        <f t="shared" si="22"/>
        <v>45.166666666686069</v>
      </c>
      <c r="BS69" s="136">
        <f t="shared" si="23"/>
        <v>3.0833333332557231</v>
      </c>
      <c r="BT69" s="136">
        <f t="shared" si="24"/>
        <v>41.000000000058208</v>
      </c>
      <c r="BU69" s="136">
        <f t="shared" ref="BU69:BU94" si="30">(BJ69-BH69)*24</f>
        <v>44.666666666802485</v>
      </c>
      <c r="BV69" s="135">
        <f t="shared" si="25"/>
        <v>0.58333333331393078</v>
      </c>
      <c r="BW69" s="135">
        <f t="shared" si="26"/>
        <v>0</v>
      </c>
      <c r="BX69" s="134">
        <f t="shared" si="27"/>
        <v>5.6041666666715173</v>
      </c>
      <c r="BY69" s="134">
        <f t="shared" si="28"/>
        <v>14.284722222226264</v>
      </c>
      <c r="BZ69" s="133">
        <f t="shared" si="29"/>
        <v>0.39231891103571714</v>
      </c>
    </row>
    <row r="70" spans="1:78" s="126" customFormat="1">
      <c r="A70" s="192">
        <f t="shared" si="16"/>
        <v>44948.899305555555</v>
      </c>
      <c r="B70" s="126" t="s">
        <v>228</v>
      </c>
      <c r="C70" s="126" t="s">
        <v>229</v>
      </c>
      <c r="D70" s="126" t="s">
        <v>215</v>
      </c>
      <c r="E70" s="126" t="s">
        <v>337</v>
      </c>
      <c r="G70" s="73">
        <v>44949.729166666664</v>
      </c>
      <c r="H70" s="73">
        <v>44949.722222222219</v>
      </c>
      <c r="I70" s="126" t="s">
        <v>231</v>
      </c>
      <c r="J70" s="126" t="s">
        <v>192</v>
      </c>
      <c r="K70" s="126" t="s">
        <v>192</v>
      </c>
      <c r="L70" s="126" t="s">
        <v>398</v>
      </c>
      <c r="M70" s="167"/>
      <c r="N70" s="126" t="s">
        <v>399</v>
      </c>
      <c r="O70" s="126" t="s">
        <v>400</v>
      </c>
      <c r="P70" s="126" t="s">
        <v>240</v>
      </c>
      <c r="Q70" s="181">
        <f>3146*2.4</f>
        <v>7550.4</v>
      </c>
      <c r="R70" s="181">
        <v>7590.7950000000001</v>
      </c>
      <c r="S70" s="181"/>
      <c r="X70" s="181">
        <f t="shared" si="18"/>
        <v>7590.7950000000001</v>
      </c>
      <c r="AV70" s="165">
        <f t="shared" si="19"/>
        <v>44946.402777777781</v>
      </c>
      <c r="AW70" s="165">
        <f t="shared" si="20"/>
        <v>44959.763888888891</v>
      </c>
      <c r="AX70" s="137">
        <f t="shared" si="21"/>
        <v>13.361111111109494</v>
      </c>
      <c r="AY70" s="165">
        <v>44946.402777777781</v>
      </c>
      <c r="AZ70" s="165">
        <v>44946.833333333336</v>
      </c>
      <c r="BA70" s="165">
        <v>44948.5</v>
      </c>
      <c r="BB70" s="165">
        <v>44948.899305555555</v>
      </c>
      <c r="BC70" s="165">
        <v>44949.059027777781</v>
      </c>
      <c r="BD70" s="165">
        <v>44949.065972222219</v>
      </c>
      <c r="BE70" s="165">
        <v>44949.270833333336</v>
      </c>
      <c r="BF70" s="165">
        <f t="shared" si="17"/>
        <v>44950.979166666672</v>
      </c>
      <c r="BG70" s="165">
        <v>44951.25</v>
      </c>
      <c r="BH70" s="165">
        <v>44951.416666666664</v>
      </c>
      <c r="BI70" s="165">
        <v>44951.416666666664</v>
      </c>
      <c r="BJ70" s="165">
        <v>44954.416666666664</v>
      </c>
      <c r="BK70" s="165">
        <v>44959.21875</v>
      </c>
      <c r="BL70" s="165">
        <v>44959.388888888891</v>
      </c>
      <c r="BM70" s="165">
        <v>44959.409722222219</v>
      </c>
      <c r="BN70" s="165">
        <v>44959.409722222219</v>
      </c>
      <c r="BO70" s="165">
        <v>44959.763888888891</v>
      </c>
      <c r="BR70" s="136">
        <f t="shared" si="22"/>
        <v>39.999999999941792</v>
      </c>
      <c r="BS70" s="136">
        <f t="shared" si="23"/>
        <v>3.8333333334303461</v>
      </c>
      <c r="BT70" s="136">
        <f t="shared" si="24"/>
        <v>41.000000000058208</v>
      </c>
      <c r="BU70" s="136">
        <f t="shared" si="30"/>
        <v>72</v>
      </c>
      <c r="BV70" s="135">
        <f t="shared" si="25"/>
        <v>4.0833333333721384</v>
      </c>
      <c r="BW70" s="135">
        <f t="shared" si="26"/>
        <v>8.5000000001164153</v>
      </c>
      <c r="BX70" s="134">
        <f t="shared" si="27"/>
        <v>7.0590277777882875</v>
      </c>
      <c r="BY70" s="134">
        <f t="shared" si="28"/>
        <v>13.361111111109494</v>
      </c>
      <c r="BZ70" s="133">
        <f t="shared" si="29"/>
        <v>0.52832640332725389</v>
      </c>
    </row>
    <row r="71" spans="1:78" s="126" customFormat="1">
      <c r="A71" s="192">
        <f t="shared" si="16"/>
        <v>44950.462500000001</v>
      </c>
      <c r="B71" s="126" t="s">
        <v>228</v>
      </c>
      <c r="C71" s="126" t="s">
        <v>229</v>
      </c>
      <c r="D71" s="126" t="s">
        <v>197</v>
      </c>
      <c r="E71" s="126" t="s">
        <v>337</v>
      </c>
      <c r="G71" s="73">
        <v>44949.729166666664</v>
      </c>
      <c r="H71" s="73">
        <v>44949.722222222219</v>
      </c>
      <c r="I71" s="126" t="s">
        <v>231</v>
      </c>
      <c r="J71" s="126" t="s">
        <v>192</v>
      </c>
      <c r="K71" s="126" t="s">
        <v>192</v>
      </c>
      <c r="L71" s="126" t="s">
        <v>401</v>
      </c>
      <c r="M71" s="167"/>
      <c r="N71" s="126" t="s">
        <v>238</v>
      </c>
      <c r="O71" s="126" t="s">
        <v>239</v>
      </c>
      <c r="P71" s="126" t="s">
        <v>240</v>
      </c>
      <c r="Q71" s="181">
        <f>3100*2.4</f>
        <v>7440</v>
      </c>
      <c r="R71" s="181">
        <v>7469.2190000000001</v>
      </c>
      <c r="S71" s="181"/>
      <c r="T71" s="172"/>
      <c r="X71" s="181">
        <f t="shared" si="18"/>
        <v>7469.2190000000001</v>
      </c>
      <c r="AV71" s="165">
        <f t="shared" si="19"/>
        <v>44946.510416666664</v>
      </c>
      <c r="AW71" s="165">
        <f t="shared" si="20"/>
        <v>44959.979166666664</v>
      </c>
      <c r="AX71" s="137">
        <f t="shared" si="21"/>
        <v>13.46875</v>
      </c>
      <c r="AY71" s="165">
        <v>44946.510416666664</v>
      </c>
      <c r="AZ71" s="165">
        <v>44948.59375</v>
      </c>
      <c r="BA71" s="165">
        <v>44950.326388888891</v>
      </c>
      <c r="BB71" s="165">
        <v>44950.462500000001</v>
      </c>
      <c r="BC71" s="165">
        <v>44950.466666666667</v>
      </c>
      <c r="BD71" s="165">
        <v>44950.466666666667</v>
      </c>
      <c r="BE71" s="165">
        <v>44950.466666666667</v>
      </c>
      <c r="BF71" s="165">
        <f t="shared" si="17"/>
        <v>44952.175000000003</v>
      </c>
      <c r="BG71" s="165">
        <v>44954.291666666664</v>
      </c>
      <c r="BH71" s="165">
        <v>44954.458333333328</v>
      </c>
      <c r="BI71" s="165">
        <v>44954.402777777781</v>
      </c>
      <c r="BJ71" s="165">
        <v>44955.413194444445</v>
      </c>
      <c r="BK71" s="165">
        <v>44959.493055555555</v>
      </c>
      <c r="BL71" s="165">
        <v>44959.680555555555</v>
      </c>
      <c r="BM71" s="165">
        <v>44959.701388888891</v>
      </c>
      <c r="BN71" s="165">
        <v>44959.701388888891</v>
      </c>
      <c r="BO71" s="165">
        <v>44959.979166666664</v>
      </c>
      <c r="BR71" s="136">
        <f t="shared" si="22"/>
        <v>41.583333333372138</v>
      </c>
      <c r="BS71" s="136">
        <f t="shared" si="23"/>
        <v>9.9999999976716936E-2</v>
      </c>
      <c r="BT71" s="136">
        <f t="shared" si="24"/>
        <v>41.000000000058208</v>
      </c>
      <c r="BU71" s="136">
        <f t="shared" si="30"/>
        <v>22.916666666802485</v>
      </c>
      <c r="BV71" s="135">
        <f t="shared" si="25"/>
        <v>4.5</v>
      </c>
      <c r="BW71" s="135">
        <f t="shared" si="26"/>
        <v>6.6666666665696539</v>
      </c>
      <c r="BX71" s="134">
        <f t="shared" si="27"/>
        <v>4.8652777777824667</v>
      </c>
      <c r="BY71" s="134">
        <f t="shared" si="28"/>
        <v>13.46875</v>
      </c>
      <c r="BZ71" s="133">
        <f t="shared" si="29"/>
        <v>0.36122712039220173</v>
      </c>
    </row>
    <row r="72" spans="1:78" s="126" customFormat="1">
      <c r="A72" s="192">
        <f t="shared" si="16"/>
        <v>44949.503472222219</v>
      </c>
      <c r="B72" s="126" t="s">
        <v>228</v>
      </c>
      <c r="C72" s="126" t="s">
        <v>229</v>
      </c>
      <c r="D72" s="126" t="s">
        <v>215</v>
      </c>
      <c r="E72" s="126" t="s">
        <v>337</v>
      </c>
      <c r="G72" s="73">
        <v>44949.729166666664</v>
      </c>
      <c r="H72" s="73">
        <v>44949.722222222219</v>
      </c>
      <c r="I72" s="126" t="s">
        <v>231</v>
      </c>
      <c r="J72" s="126" t="s">
        <v>192</v>
      </c>
      <c r="K72" s="126" t="s">
        <v>192</v>
      </c>
      <c r="L72" s="126" t="s">
        <v>402</v>
      </c>
      <c r="M72" s="167"/>
      <c r="N72" s="126" t="s">
        <v>403</v>
      </c>
      <c r="O72" s="126" t="s">
        <v>404</v>
      </c>
      <c r="P72" s="126" t="s">
        <v>240</v>
      </c>
      <c r="Q72" s="181">
        <f>3107*2.4</f>
        <v>7456.7999999999993</v>
      </c>
      <c r="R72" s="181">
        <v>7453.8459999999995</v>
      </c>
      <c r="S72" s="181"/>
      <c r="X72" s="181">
        <f t="shared" si="18"/>
        <v>7453.8459999999995</v>
      </c>
      <c r="AV72" s="165">
        <f t="shared" si="19"/>
        <v>44946.740277777775</v>
      </c>
      <c r="AW72" s="165">
        <f t="shared" si="20"/>
        <v>44959.541666666664</v>
      </c>
      <c r="AX72" s="137">
        <f t="shared" si="21"/>
        <v>12.801388888889051</v>
      </c>
      <c r="AY72" s="165">
        <v>44946.740277777775</v>
      </c>
      <c r="AZ72" s="165">
        <v>44947.857638888891</v>
      </c>
      <c r="BA72" s="165">
        <v>44949.458333333336</v>
      </c>
      <c r="BB72" s="165">
        <v>44949.503472222219</v>
      </c>
      <c r="BC72" s="165">
        <v>44949.642361111109</v>
      </c>
      <c r="BD72" s="165">
        <v>44949.645833333336</v>
      </c>
      <c r="BE72" s="165">
        <v>44949.645833333336</v>
      </c>
      <c r="BF72" s="165">
        <f t="shared" si="17"/>
        <v>44951.354166666672</v>
      </c>
      <c r="BG72" s="165">
        <v>44952.25</v>
      </c>
      <c r="BH72" s="165">
        <v>44952.416666666664</v>
      </c>
      <c r="BI72" s="165">
        <v>44952.293055555558</v>
      </c>
      <c r="BJ72" s="165">
        <v>44954.357638888891</v>
      </c>
      <c r="BK72" s="165">
        <v>44958.986111111109</v>
      </c>
      <c r="BL72" s="165">
        <v>44959.15625</v>
      </c>
      <c r="BM72" s="165">
        <v>44959.177083333336</v>
      </c>
      <c r="BN72" s="165">
        <v>44959.25</v>
      </c>
      <c r="BO72" s="165">
        <v>44959.541666666664</v>
      </c>
      <c r="BR72" s="136">
        <f t="shared" si="22"/>
        <v>38.416666666686069</v>
      </c>
      <c r="BS72" s="136">
        <f t="shared" si="23"/>
        <v>3.3333333333721384</v>
      </c>
      <c r="BT72" s="136">
        <f t="shared" si="24"/>
        <v>41.000000000058208</v>
      </c>
      <c r="BU72" s="136">
        <f t="shared" si="30"/>
        <v>46.583333333430346</v>
      </c>
      <c r="BV72" s="135">
        <f t="shared" si="25"/>
        <v>4.0833333333721384</v>
      </c>
      <c r="BW72" s="135">
        <f t="shared" si="26"/>
        <v>6.9999999999417923</v>
      </c>
      <c r="BX72" s="134">
        <f t="shared" si="27"/>
        <v>5.8506944444525288</v>
      </c>
      <c r="BY72" s="134">
        <f t="shared" si="28"/>
        <v>12.801388888889051</v>
      </c>
      <c r="BZ72" s="133">
        <f t="shared" si="29"/>
        <v>0.45703591190254611</v>
      </c>
    </row>
    <row r="73" spans="1:78" s="126" customFormat="1">
      <c r="A73" s="192">
        <f t="shared" si="16"/>
        <v>44953.927083333336</v>
      </c>
      <c r="B73" s="126" t="s">
        <v>228</v>
      </c>
      <c r="C73" s="126" t="s">
        <v>229</v>
      </c>
      <c r="D73" s="126" t="s">
        <v>197</v>
      </c>
      <c r="E73" s="126" t="s">
        <v>393</v>
      </c>
      <c r="F73" s="126" t="s">
        <v>394</v>
      </c>
      <c r="G73" s="73">
        <v>44961.854166666664</v>
      </c>
      <c r="H73" s="73">
        <v>44961.895833333336</v>
      </c>
      <c r="I73" s="126" t="s">
        <v>243</v>
      </c>
      <c r="J73" s="126" t="s">
        <v>192</v>
      </c>
      <c r="K73" s="126" t="s">
        <v>192</v>
      </c>
      <c r="L73" s="126" t="s">
        <v>405</v>
      </c>
      <c r="M73" s="167"/>
      <c r="N73" s="126" t="s">
        <v>406</v>
      </c>
      <c r="O73" s="126" t="s">
        <v>407</v>
      </c>
      <c r="P73" s="126" t="s">
        <v>235</v>
      </c>
      <c r="Q73" s="181">
        <f>3107*2.4</f>
        <v>7456.7999999999993</v>
      </c>
      <c r="R73" s="181">
        <v>7542.7569999999996</v>
      </c>
      <c r="S73" s="181"/>
      <c r="W73" s="181">
        <f>R73</f>
        <v>7542.7569999999996</v>
      </c>
      <c r="AV73" s="165">
        <f t="shared" si="19"/>
        <v>44948.479166666664</v>
      </c>
      <c r="AW73" s="165">
        <f t="shared" si="20"/>
        <v>44960.416666666664</v>
      </c>
      <c r="AX73" s="137">
        <f t="shared" si="21"/>
        <v>11.9375</v>
      </c>
      <c r="AY73" s="165">
        <v>44948.479166666664</v>
      </c>
      <c r="AZ73" s="165">
        <v>44950.833333333336</v>
      </c>
      <c r="BA73" s="165">
        <v>44952.034722222219</v>
      </c>
      <c r="BB73" s="165">
        <v>44953.927083333336</v>
      </c>
      <c r="BC73" s="165">
        <v>44954.090277777781</v>
      </c>
      <c r="BD73" s="165">
        <v>44954.09375</v>
      </c>
      <c r="BE73" s="165">
        <v>44954.09375</v>
      </c>
      <c r="BF73" s="165">
        <f t="shared" si="17"/>
        <v>44955.802083333336</v>
      </c>
      <c r="BG73" s="165">
        <v>44956.333333333336</v>
      </c>
      <c r="BH73" s="165">
        <v>44956.5</v>
      </c>
      <c r="BI73" s="165">
        <v>44956.364583333336</v>
      </c>
      <c r="BJ73" s="165">
        <v>44958.003472222219</v>
      </c>
      <c r="BK73" s="165">
        <v>44959.013888888891</v>
      </c>
      <c r="BL73" s="165">
        <v>44959.427083333336</v>
      </c>
      <c r="BM73" s="165">
        <v>44959.440972222219</v>
      </c>
      <c r="BN73" s="165">
        <v>44959.864583333336</v>
      </c>
      <c r="BO73" s="165">
        <v>44960.416666666664</v>
      </c>
      <c r="BR73" s="136">
        <f t="shared" si="22"/>
        <v>28.833333333197515</v>
      </c>
      <c r="BS73" s="136">
        <f t="shared" si="23"/>
        <v>3.9166666666860692</v>
      </c>
      <c r="BT73" s="136">
        <f t="shared" si="24"/>
        <v>41.000000000058208</v>
      </c>
      <c r="BU73" s="136">
        <f t="shared" si="30"/>
        <v>36.083333333255723</v>
      </c>
      <c r="BV73" s="135">
        <f t="shared" si="25"/>
        <v>9.9166666666860692</v>
      </c>
      <c r="BW73" s="135">
        <f t="shared" si="26"/>
        <v>13.249999999883585</v>
      </c>
      <c r="BX73" s="134">
        <f t="shared" si="27"/>
        <v>5.5416666666569654</v>
      </c>
      <c r="BY73" s="134">
        <f t="shared" si="28"/>
        <v>11.9375</v>
      </c>
      <c r="BZ73" s="133">
        <f t="shared" si="29"/>
        <v>0.4642233856885416</v>
      </c>
    </row>
    <row r="74" spans="1:78" s="126" customFormat="1">
      <c r="A74" s="192">
        <f t="shared" si="16"/>
        <v>44954.618055555555</v>
      </c>
      <c r="B74" s="126" t="s">
        <v>228</v>
      </c>
      <c r="C74" s="126" t="s">
        <v>229</v>
      </c>
      <c r="D74" s="126" t="s">
        <v>197</v>
      </c>
      <c r="E74" s="126" t="s">
        <v>393</v>
      </c>
      <c r="F74" s="126" t="s">
        <v>394</v>
      </c>
      <c r="G74" s="73">
        <v>44961.854166666664</v>
      </c>
      <c r="H74" s="73">
        <v>44961.895833333336</v>
      </c>
      <c r="I74" s="126" t="s">
        <v>243</v>
      </c>
      <c r="J74" s="126" t="s">
        <v>192</v>
      </c>
      <c r="K74" s="126" t="s">
        <v>192</v>
      </c>
      <c r="L74" s="126" t="s">
        <v>408</v>
      </c>
      <c r="M74" s="167"/>
      <c r="N74" s="126" t="s">
        <v>260</v>
      </c>
      <c r="O74" s="126" t="s">
        <v>261</v>
      </c>
      <c r="P74" s="126" t="s">
        <v>235</v>
      </c>
      <c r="Q74" s="181">
        <f>3107*2.4</f>
        <v>7456.7999999999993</v>
      </c>
      <c r="R74" s="181">
        <v>7522.3810000000003</v>
      </c>
      <c r="S74" s="181"/>
      <c r="W74" s="181">
        <f>R74</f>
        <v>7522.3810000000003</v>
      </c>
      <c r="AV74" s="165">
        <f t="shared" si="19"/>
        <v>44947.378472222219</v>
      </c>
      <c r="AW74" s="165">
        <f t="shared" si="20"/>
        <v>44962.079861111109</v>
      </c>
      <c r="AX74" s="137">
        <f t="shared" si="21"/>
        <v>14.701388888890506</v>
      </c>
      <c r="AY74" s="165">
        <v>44947.378472222219</v>
      </c>
      <c r="AZ74" s="165">
        <v>44950.8125</v>
      </c>
      <c r="BA74" s="165">
        <v>44952.541666666664</v>
      </c>
      <c r="BB74" s="165">
        <v>44954.618055555555</v>
      </c>
      <c r="BC74" s="165">
        <v>44954.725694444445</v>
      </c>
      <c r="BD74" s="165">
        <v>44954.729166666664</v>
      </c>
      <c r="BE74" s="165">
        <v>44954.729166666664</v>
      </c>
      <c r="BF74" s="165">
        <f t="shared" si="17"/>
        <v>44956.4375</v>
      </c>
      <c r="BG74" s="165">
        <v>44957.333333333336</v>
      </c>
      <c r="BH74" s="165">
        <v>44957.5</v>
      </c>
      <c r="BI74" s="165">
        <v>44957.427083333336</v>
      </c>
      <c r="BJ74" s="165">
        <v>44959.253472222219</v>
      </c>
      <c r="BK74" s="165">
        <v>44960.815972222219</v>
      </c>
      <c r="BL74" s="165">
        <v>44961.652777777781</v>
      </c>
      <c r="BM74" s="165">
        <v>44961.673611111109</v>
      </c>
      <c r="BN74" s="165">
        <v>44961.673611111109</v>
      </c>
      <c r="BO74" s="165">
        <v>44962.079861111109</v>
      </c>
      <c r="BR74" s="136">
        <f t="shared" si="22"/>
        <v>41.499999999941792</v>
      </c>
      <c r="BS74" s="136">
        <f t="shared" si="23"/>
        <v>2.5833333333721384</v>
      </c>
      <c r="BT74" s="136">
        <f t="shared" si="24"/>
        <v>41.000000000058208</v>
      </c>
      <c r="BU74" s="136">
        <f t="shared" si="30"/>
        <v>42.083333333255723</v>
      </c>
      <c r="BV74" s="135">
        <f t="shared" si="25"/>
        <v>20.083333333488554</v>
      </c>
      <c r="BW74" s="135">
        <f t="shared" si="26"/>
        <v>9.75</v>
      </c>
      <c r="BX74" s="134">
        <f t="shared" si="27"/>
        <v>6.5416666666715173</v>
      </c>
      <c r="BY74" s="134">
        <f t="shared" si="28"/>
        <v>14.701388888890506</v>
      </c>
      <c r="BZ74" s="133">
        <f t="shared" si="29"/>
        <v>0.44496929617411191</v>
      </c>
    </row>
    <row r="75" spans="1:78" s="126" customFormat="1">
      <c r="A75" s="192">
        <f t="shared" si="16"/>
        <v>44951.451388888891</v>
      </c>
      <c r="B75" s="126" t="s">
        <v>228</v>
      </c>
      <c r="C75" s="126" t="s">
        <v>229</v>
      </c>
      <c r="D75" s="126" t="s">
        <v>215</v>
      </c>
      <c r="E75" s="126" t="s">
        <v>224</v>
      </c>
      <c r="G75" s="73">
        <v>44952.666666666664</v>
      </c>
      <c r="H75" s="73">
        <v>44952.694444444445</v>
      </c>
      <c r="I75" s="126" t="s">
        <v>231</v>
      </c>
      <c r="J75" s="126" t="s">
        <v>192</v>
      </c>
      <c r="K75" s="126" t="s">
        <v>192</v>
      </c>
      <c r="L75" s="126" t="s">
        <v>409</v>
      </c>
      <c r="M75" s="167"/>
      <c r="N75" s="126" t="s">
        <v>252</v>
      </c>
      <c r="O75" s="126" t="s">
        <v>253</v>
      </c>
      <c r="P75" s="126" t="s">
        <v>235</v>
      </c>
      <c r="Q75" s="181">
        <f>3107*2.4</f>
        <v>7456.7999999999993</v>
      </c>
      <c r="R75" s="181">
        <v>7466.6589999999997</v>
      </c>
      <c r="S75" s="181"/>
      <c r="T75" s="172"/>
      <c r="W75" s="181">
        <f>R75</f>
        <v>7466.6589999999997</v>
      </c>
      <c r="AV75" s="165">
        <f t="shared" si="19"/>
        <v>44947.447916666664</v>
      </c>
      <c r="AW75" s="165">
        <f t="shared" si="20"/>
        <v>44959.277777777781</v>
      </c>
      <c r="AX75" s="137">
        <f t="shared" si="21"/>
        <v>11.82986111111677</v>
      </c>
      <c r="AY75" s="165">
        <v>44947.447916666664</v>
      </c>
      <c r="AZ75" s="165">
        <v>44949.5625</v>
      </c>
      <c r="BA75" s="165">
        <v>44951.145833333336</v>
      </c>
      <c r="BB75" s="165">
        <v>44951.451388888891</v>
      </c>
      <c r="BC75" s="165">
        <v>44951.604166666664</v>
      </c>
      <c r="BD75" s="165">
        <v>44951.607638888891</v>
      </c>
      <c r="BE75" s="165">
        <v>44951.607638888891</v>
      </c>
      <c r="BF75" s="165">
        <f t="shared" si="17"/>
        <v>44953.315972222226</v>
      </c>
      <c r="BG75" s="165">
        <v>44953.291666666664</v>
      </c>
      <c r="BH75" s="165">
        <v>44953.458333333328</v>
      </c>
      <c r="BI75" s="165">
        <v>44953.302083333336</v>
      </c>
      <c r="BJ75" s="165">
        <v>44955.291666666664</v>
      </c>
      <c r="BK75" s="165">
        <v>44958.590277777781</v>
      </c>
      <c r="BL75" s="165">
        <v>44958.888888888891</v>
      </c>
      <c r="BM75" s="165">
        <v>44958.902777777781</v>
      </c>
      <c r="BN75" s="165">
        <v>44958.902777777781</v>
      </c>
      <c r="BO75" s="165">
        <v>44959.277777777781</v>
      </c>
      <c r="BR75" s="136">
        <f t="shared" si="22"/>
        <v>38.000000000058208</v>
      </c>
      <c r="BS75" s="136">
        <f t="shared" si="23"/>
        <v>3.6666666665696539</v>
      </c>
      <c r="BT75" s="136">
        <f t="shared" si="24"/>
        <v>41.000000000058208</v>
      </c>
      <c r="BU75" s="136">
        <f t="shared" si="30"/>
        <v>44.000000000058208</v>
      </c>
      <c r="BV75" s="135">
        <f t="shared" si="25"/>
        <v>7.1666666666278616</v>
      </c>
      <c r="BW75" s="135">
        <f t="shared" si="26"/>
        <v>9</v>
      </c>
      <c r="BX75" s="134">
        <f t="shared" si="27"/>
        <v>5.9513888888905058</v>
      </c>
      <c r="BY75" s="134">
        <f t="shared" si="28"/>
        <v>11.82986111111677</v>
      </c>
      <c r="BZ75" s="133">
        <f t="shared" si="29"/>
        <v>0.50308189022590133</v>
      </c>
    </row>
    <row r="76" spans="1:78" s="126" customFormat="1">
      <c r="A76" s="192"/>
      <c r="D76" s="126" t="s">
        <v>215</v>
      </c>
      <c r="J76" s="126" t="s">
        <v>312</v>
      </c>
      <c r="L76" s="126" t="s">
        <v>410</v>
      </c>
      <c r="M76" s="167"/>
      <c r="N76" s="126" t="s">
        <v>263</v>
      </c>
      <c r="O76" s="126" t="s">
        <v>285</v>
      </c>
      <c r="Q76" s="181">
        <f>3852*2.4</f>
        <v>9244.7999999999993</v>
      </c>
      <c r="R76" s="181"/>
      <c r="S76" s="181"/>
      <c r="AV76" s="165">
        <f t="shared" si="19"/>
        <v>44947.493055555555</v>
      </c>
      <c r="AW76" s="165">
        <f t="shared" si="20"/>
        <v>44958</v>
      </c>
      <c r="AX76" s="137">
        <f t="shared" si="21"/>
        <v>10.506944444445253</v>
      </c>
      <c r="AY76" s="165">
        <v>44947.493055555555</v>
      </c>
      <c r="AZ76" s="165"/>
      <c r="BA76" s="165"/>
      <c r="BB76" s="165"/>
      <c r="BC76" s="165"/>
      <c r="BD76" s="165"/>
      <c r="BE76" s="165"/>
      <c r="BF76" s="165"/>
      <c r="BG76" s="165"/>
      <c r="BH76" s="165"/>
      <c r="BI76" s="166"/>
      <c r="BJ76" s="165"/>
      <c r="BK76" s="165"/>
      <c r="BL76" s="165"/>
      <c r="BM76" s="165"/>
      <c r="BN76" s="165"/>
      <c r="BO76" s="165">
        <v>44958</v>
      </c>
      <c r="BP76" s="126" t="s">
        <v>411</v>
      </c>
      <c r="BR76" s="136">
        <f t="shared" si="22"/>
        <v>0</v>
      </c>
      <c r="BS76" s="136">
        <f t="shared" si="23"/>
        <v>0</v>
      </c>
      <c r="BT76" s="136">
        <f t="shared" si="24"/>
        <v>0</v>
      </c>
      <c r="BU76" s="136">
        <f t="shared" si="30"/>
        <v>0</v>
      </c>
      <c r="BV76" s="135">
        <f t="shared" si="25"/>
        <v>0</v>
      </c>
      <c r="BW76" s="135">
        <f t="shared" si="26"/>
        <v>1078992</v>
      </c>
      <c r="BX76" s="134">
        <f t="shared" si="27"/>
        <v>44958</v>
      </c>
      <c r="BY76" s="134">
        <f t="shared" si="28"/>
        <v>10.506944444445253</v>
      </c>
      <c r="BZ76" s="133">
        <f t="shared" si="29"/>
        <v>4278.8843357564456</v>
      </c>
    </row>
    <row r="77" spans="1:78" s="126" customFormat="1">
      <c r="A77" s="192">
        <f t="shared" ref="A77:A114" si="31">BB77</f>
        <v>44951.211805555555</v>
      </c>
      <c r="B77" s="126" t="s">
        <v>228</v>
      </c>
      <c r="C77" s="126" t="s">
        <v>229</v>
      </c>
      <c r="D77" s="126" t="s">
        <v>197</v>
      </c>
      <c r="E77" s="126" t="s">
        <v>224</v>
      </c>
      <c r="G77" s="73">
        <v>44952.666666666664</v>
      </c>
      <c r="H77" s="73">
        <v>44952.694444444445</v>
      </c>
      <c r="I77" s="126" t="s">
        <v>231</v>
      </c>
      <c r="J77" s="126" t="s">
        <v>192</v>
      </c>
      <c r="K77" s="126" t="s">
        <v>192</v>
      </c>
      <c r="L77" s="126" t="s">
        <v>412</v>
      </c>
      <c r="M77" s="167"/>
      <c r="N77" s="126" t="s">
        <v>267</v>
      </c>
      <c r="O77" s="126" t="s">
        <v>268</v>
      </c>
      <c r="P77" s="126" t="s">
        <v>235</v>
      </c>
      <c r="Q77" s="181">
        <f>3142*2.4</f>
        <v>7540.7999999999993</v>
      </c>
      <c r="R77" s="181">
        <v>7535.2129999999997</v>
      </c>
      <c r="S77" s="181"/>
      <c r="T77" s="172"/>
      <c r="W77" s="181">
        <f>R77</f>
        <v>7535.2129999999997</v>
      </c>
      <c r="AV77" s="165">
        <f t="shared" si="19"/>
        <v>44946.9375</v>
      </c>
      <c r="AW77" s="165">
        <f t="shared" si="20"/>
        <v>44961.548611111109</v>
      </c>
      <c r="AX77" s="137">
        <f t="shared" si="21"/>
        <v>14.611111111109494</v>
      </c>
      <c r="AY77" s="165">
        <v>44946.9375</v>
      </c>
      <c r="AZ77" s="165">
        <v>44949.704861111109</v>
      </c>
      <c r="BA77" s="165">
        <v>44951.131944444445</v>
      </c>
      <c r="BB77" s="165">
        <v>44951.211805555555</v>
      </c>
      <c r="BC77" s="165">
        <v>44951.425000000003</v>
      </c>
      <c r="BD77" s="165">
        <v>44951.430555555555</v>
      </c>
      <c r="BE77" s="165">
        <v>44951.430555555555</v>
      </c>
      <c r="BF77" s="165">
        <f t="shared" ref="BF77:BF94" si="32">BE77+(41/24)</f>
        <v>44953.138888888891</v>
      </c>
      <c r="BG77" s="165">
        <v>44953.291666666664</v>
      </c>
      <c r="BH77" s="165">
        <v>44953.458333333328</v>
      </c>
      <c r="BI77" s="165">
        <v>44953.336805555555</v>
      </c>
      <c r="BJ77" s="165">
        <v>44956.319444444445</v>
      </c>
      <c r="BK77" s="165">
        <v>44960.875</v>
      </c>
      <c r="BL77" s="165">
        <v>44961.201388888891</v>
      </c>
      <c r="BM77" s="165">
        <v>44961.256944444445</v>
      </c>
      <c r="BN77" s="165">
        <v>44961.256944444445</v>
      </c>
      <c r="BO77" s="165">
        <v>44961.548611111109</v>
      </c>
      <c r="BR77" s="136">
        <f t="shared" si="22"/>
        <v>34.250000000058208</v>
      </c>
      <c r="BS77" s="136">
        <f t="shared" si="23"/>
        <v>5.1166666667559184</v>
      </c>
      <c r="BT77" s="136">
        <f t="shared" si="24"/>
        <v>41.000000000058208</v>
      </c>
      <c r="BU77" s="136">
        <f t="shared" si="30"/>
        <v>68.666666666802485</v>
      </c>
      <c r="BV77" s="135">
        <f t="shared" si="25"/>
        <v>7.8333333333721384</v>
      </c>
      <c r="BW77" s="135">
        <f t="shared" si="26"/>
        <v>6.9999999999417923</v>
      </c>
      <c r="BX77" s="134">
        <f t="shared" si="27"/>
        <v>6.8277777777911979</v>
      </c>
      <c r="BY77" s="134">
        <f t="shared" si="28"/>
        <v>14.611111111109494</v>
      </c>
      <c r="BZ77" s="133">
        <f t="shared" si="29"/>
        <v>0.46730038022910708</v>
      </c>
    </row>
    <row r="78" spans="1:78" s="126" customFormat="1">
      <c r="A78" s="192">
        <f t="shared" si="31"/>
        <v>44950.739583333336</v>
      </c>
      <c r="B78" s="126" t="s">
        <v>228</v>
      </c>
      <c r="C78" s="126" t="s">
        <v>229</v>
      </c>
      <c r="D78" s="126" t="s">
        <v>215</v>
      </c>
      <c r="E78" s="126" t="s">
        <v>224</v>
      </c>
      <c r="G78" s="73">
        <v>44952.666666666664</v>
      </c>
      <c r="H78" s="73">
        <v>44952.694444444445</v>
      </c>
      <c r="I78" s="126" t="s">
        <v>231</v>
      </c>
      <c r="J78" s="126" t="s">
        <v>192</v>
      </c>
      <c r="K78" s="126" t="s">
        <v>192</v>
      </c>
      <c r="L78" s="126" t="s">
        <v>413</v>
      </c>
      <c r="M78" s="167"/>
      <c r="N78" s="126" t="s">
        <v>271</v>
      </c>
      <c r="O78" s="126" t="s">
        <v>272</v>
      </c>
      <c r="P78" s="126" t="s">
        <v>235</v>
      </c>
      <c r="Q78" s="181">
        <f>3852*2.4</f>
        <v>9244.7999999999993</v>
      </c>
      <c r="R78" s="181">
        <v>8133.3280000000004</v>
      </c>
      <c r="S78" s="181"/>
      <c r="T78" s="172"/>
      <c r="W78" s="181">
        <f>R78</f>
        <v>8133.3280000000004</v>
      </c>
      <c r="AV78" s="165">
        <f t="shared" si="19"/>
        <v>44948.21875</v>
      </c>
      <c r="AW78" s="165">
        <f t="shared" si="20"/>
        <v>44958.625</v>
      </c>
      <c r="AX78" s="137">
        <f t="shared" si="21"/>
        <v>10.40625</v>
      </c>
      <c r="AY78" s="165">
        <v>44948.21875</v>
      </c>
      <c r="AZ78" s="165">
        <v>44948.822916666664</v>
      </c>
      <c r="BA78" s="165">
        <v>44950.59375</v>
      </c>
      <c r="BB78" s="165">
        <v>44950.739583333336</v>
      </c>
      <c r="BC78" s="165">
        <v>44950.743055555555</v>
      </c>
      <c r="BD78" s="165">
        <v>44950.743055555555</v>
      </c>
      <c r="BE78" s="165">
        <f>BD78+(0.5/24)</f>
        <v>44950.763888888891</v>
      </c>
      <c r="BF78" s="165">
        <f t="shared" si="32"/>
        <v>44952.472222222226</v>
      </c>
      <c r="BG78" s="165">
        <v>44953.291666666664</v>
      </c>
      <c r="BH78" s="165">
        <v>44953.458333333328</v>
      </c>
      <c r="BI78" s="165">
        <v>44953.329861111109</v>
      </c>
      <c r="BJ78" s="165">
        <v>44955.118055555555</v>
      </c>
      <c r="BK78" s="165">
        <v>44957.965277777781</v>
      </c>
      <c r="BL78" s="165">
        <v>44958.25</v>
      </c>
      <c r="BM78" s="165">
        <v>44958.263888888891</v>
      </c>
      <c r="BN78" s="165">
        <v>44958.263888888891</v>
      </c>
      <c r="BO78" s="165">
        <v>44958.625</v>
      </c>
      <c r="BR78" s="136">
        <f t="shared" si="22"/>
        <v>42.500000000058208</v>
      </c>
      <c r="BS78" s="136">
        <f t="shared" si="23"/>
        <v>8.3333333255723119E-2</v>
      </c>
      <c r="BT78" s="136">
        <f t="shared" si="24"/>
        <v>41.000000000058208</v>
      </c>
      <c r="BU78" s="136">
        <f t="shared" si="30"/>
        <v>39.833333333430346</v>
      </c>
      <c r="BV78" s="135">
        <f t="shared" si="25"/>
        <v>6.8333333332557231</v>
      </c>
      <c r="BW78" s="135">
        <f t="shared" si="26"/>
        <v>8.6666666666278616</v>
      </c>
      <c r="BX78" s="134">
        <f t="shared" si="27"/>
        <v>5.7881944444452529</v>
      </c>
      <c r="BY78" s="134">
        <f t="shared" si="28"/>
        <v>10.40625</v>
      </c>
      <c r="BZ78" s="133">
        <f t="shared" si="29"/>
        <v>0.55622288955630061</v>
      </c>
    </row>
    <row r="79" spans="1:78" s="126" customFormat="1">
      <c r="A79" s="192">
        <f t="shared" si="31"/>
        <v>44954.118055555555</v>
      </c>
      <c r="B79" s="126" t="s">
        <v>228</v>
      </c>
      <c r="C79" s="126" t="s">
        <v>229</v>
      </c>
      <c r="D79" s="126" t="s">
        <v>197</v>
      </c>
      <c r="E79" s="126" t="s">
        <v>393</v>
      </c>
      <c r="F79" s="126" t="s">
        <v>394</v>
      </c>
      <c r="G79" s="73">
        <v>44961.854166666664</v>
      </c>
      <c r="H79" s="73">
        <v>44961.895833333336</v>
      </c>
      <c r="I79" s="126" t="s">
        <v>243</v>
      </c>
      <c r="J79" s="126" t="s">
        <v>192</v>
      </c>
      <c r="K79" s="126" t="s">
        <v>192</v>
      </c>
      <c r="L79" s="126" t="s">
        <v>414</v>
      </c>
      <c r="M79" s="167"/>
      <c r="N79" s="126" t="s">
        <v>310</v>
      </c>
      <c r="O79" s="126" t="s">
        <v>311</v>
      </c>
      <c r="P79" s="126" t="s">
        <v>235</v>
      </c>
      <c r="Q79" s="181">
        <f>3128*2.4</f>
        <v>7507.2</v>
      </c>
      <c r="R79" s="181">
        <v>7427.4</v>
      </c>
      <c r="S79" s="181"/>
      <c r="W79" s="181">
        <f>R79</f>
        <v>7427.4</v>
      </c>
      <c r="AV79" s="165">
        <f t="shared" si="19"/>
        <v>44949.541666666664</v>
      </c>
      <c r="AW79" s="165">
        <f t="shared" si="20"/>
        <v>44961.548611111109</v>
      </c>
      <c r="AX79" s="137">
        <f t="shared" si="21"/>
        <v>12.006944444445253</v>
      </c>
      <c r="AY79" s="165">
        <v>44949.541666666664</v>
      </c>
      <c r="AZ79" s="165">
        <v>44950.604166666664</v>
      </c>
      <c r="BA79" s="165">
        <v>44952.465277777781</v>
      </c>
      <c r="BB79" s="165">
        <v>44954.118055555555</v>
      </c>
      <c r="BC79" s="165">
        <v>44954.236111111109</v>
      </c>
      <c r="BD79" s="165">
        <v>44954.239583333336</v>
      </c>
      <c r="BE79" s="165">
        <v>44954.239583333336</v>
      </c>
      <c r="BF79" s="165">
        <f t="shared" si="32"/>
        <v>44955.947916666672</v>
      </c>
      <c r="BG79" s="165">
        <v>44956.333333333336</v>
      </c>
      <c r="BH79" s="165">
        <v>44956.5</v>
      </c>
      <c r="BI79" s="165">
        <v>44956.416666666664</v>
      </c>
      <c r="BJ79" s="165">
        <v>44958.138888888891</v>
      </c>
      <c r="BK79" s="165">
        <v>44959.833333333336</v>
      </c>
      <c r="BL79" s="165">
        <v>44960.097222222219</v>
      </c>
      <c r="BM79" s="165">
        <v>44960.114583333336</v>
      </c>
      <c r="BN79" s="165">
        <v>44961.020833333336</v>
      </c>
      <c r="BO79" s="165">
        <v>44961.548611111109</v>
      </c>
      <c r="BR79" s="136">
        <f t="shared" si="22"/>
        <v>44.666666666802485</v>
      </c>
      <c r="BS79" s="136">
        <f t="shared" si="23"/>
        <v>2.8333333333139308</v>
      </c>
      <c r="BT79" s="136">
        <f t="shared" si="24"/>
        <v>41.000000000058208</v>
      </c>
      <c r="BU79" s="136">
        <f t="shared" si="30"/>
        <v>39.333333333372138</v>
      </c>
      <c r="BV79" s="135">
        <f t="shared" si="25"/>
        <v>6.3333333331975155</v>
      </c>
      <c r="BW79" s="135">
        <f t="shared" si="26"/>
        <v>12.666666666569654</v>
      </c>
      <c r="BX79" s="134">
        <f t="shared" si="27"/>
        <v>6.1180555555547471</v>
      </c>
      <c r="BY79" s="134">
        <f t="shared" si="28"/>
        <v>12.006944444445253</v>
      </c>
      <c r="BZ79" s="133">
        <f t="shared" si="29"/>
        <v>0.50954308849035523</v>
      </c>
    </row>
    <row r="80" spans="1:78" s="126" customFormat="1">
      <c r="A80" s="192">
        <f t="shared" si="31"/>
        <v>44951.631944444445</v>
      </c>
      <c r="B80" s="126" t="s">
        <v>228</v>
      </c>
      <c r="C80" s="126" t="s">
        <v>229</v>
      </c>
      <c r="D80" s="126" t="s">
        <v>197</v>
      </c>
      <c r="E80" s="126" t="s">
        <v>224</v>
      </c>
      <c r="G80" s="73">
        <v>44952.666666666664</v>
      </c>
      <c r="H80" s="73">
        <v>44952.694444444445</v>
      </c>
      <c r="I80" s="126" t="s">
        <v>231</v>
      </c>
      <c r="J80" s="126" t="s">
        <v>192</v>
      </c>
      <c r="K80" s="126" t="s">
        <v>192</v>
      </c>
      <c r="L80" s="126" t="s">
        <v>415</v>
      </c>
      <c r="M80" s="167"/>
      <c r="N80" s="126" t="s">
        <v>295</v>
      </c>
      <c r="O80" s="126" t="s">
        <v>296</v>
      </c>
      <c r="P80" s="126" t="s">
        <v>235</v>
      </c>
      <c r="Q80" s="181">
        <f>4118*2.4</f>
        <v>9883.1999999999989</v>
      </c>
      <c r="R80" s="181">
        <f>8745.888-1236.72700000001</f>
        <v>7509.160999999991</v>
      </c>
      <c r="S80" s="181"/>
      <c r="T80" s="172"/>
      <c r="W80" s="181">
        <f>R80</f>
        <v>7509.160999999991</v>
      </c>
      <c r="AV80" s="165">
        <f t="shared" si="19"/>
        <v>44948.765972222223</v>
      </c>
      <c r="AW80" s="165">
        <f t="shared" si="20"/>
        <v>44961.590277777781</v>
      </c>
      <c r="AX80" s="137">
        <f t="shared" si="21"/>
        <v>12.824305555557657</v>
      </c>
      <c r="AY80" s="165">
        <v>44948.765972222223</v>
      </c>
      <c r="AZ80" s="165">
        <v>44949.8125</v>
      </c>
      <c r="BA80" s="165">
        <v>44951.444444444445</v>
      </c>
      <c r="BB80" s="165">
        <v>44951.631944444445</v>
      </c>
      <c r="BC80" s="165">
        <v>44951.878472222219</v>
      </c>
      <c r="BD80" s="165">
        <v>44951.885416666664</v>
      </c>
      <c r="BE80" s="165">
        <v>44951.885416666664</v>
      </c>
      <c r="BF80" s="165">
        <f t="shared" si="32"/>
        <v>44953.59375</v>
      </c>
      <c r="BG80" s="165">
        <v>44954.291666666664</v>
      </c>
      <c r="BH80" s="165">
        <v>44954.458333333328</v>
      </c>
      <c r="BI80" s="165">
        <v>44954.329861111109</v>
      </c>
      <c r="BJ80" s="165">
        <v>44955.517361111109</v>
      </c>
      <c r="BK80" s="165">
        <v>44961.256944444445</v>
      </c>
      <c r="BL80" s="165">
        <v>44961.538194444445</v>
      </c>
      <c r="BM80" s="165">
        <v>44961.590277777781</v>
      </c>
      <c r="BN80" s="165">
        <v>44961.590277777781</v>
      </c>
      <c r="BO80" s="165">
        <v>44961.590277777781</v>
      </c>
      <c r="BR80" s="136">
        <f t="shared" si="22"/>
        <v>39.166666666686069</v>
      </c>
      <c r="BS80" s="136">
        <f t="shared" si="23"/>
        <v>5.9166666665696539</v>
      </c>
      <c r="BT80" s="136">
        <f t="shared" si="24"/>
        <v>41.000000000058208</v>
      </c>
      <c r="BU80" s="136">
        <f t="shared" si="30"/>
        <v>25.416666666744277</v>
      </c>
      <c r="BV80" s="135">
        <f t="shared" si="25"/>
        <v>6.75</v>
      </c>
      <c r="BW80" s="135">
        <f t="shared" si="26"/>
        <v>0</v>
      </c>
      <c r="BX80" s="134">
        <f t="shared" si="27"/>
        <v>4.9270833333357587</v>
      </c>
      <c r="BY80" s="134">
        <f t="shared" si="28"/>
        <v>12.824305555557657</v>
      </c>
      <c r="BZ80" s="133">
        <f t="shared" si="29"/>
        <v>0.38419884117627823</v>
      </c>
    </row>
    <row r="81" spans="1:78" s="126" customFormat="1">
      <c r="A81" s="192">
        <f t="shared" si="31"/>
        <v>44951.631944444445</v>
      </c>
      <c r="B81" s="126" t="s">
        <v>228</v>
      </c>
      <c r="C81" s="126" t="s">
        <v>229</v>
      </c>
      <c r="D81" s="126" t="s">
        <v>197</v>
      </c>
      <c r="E81" s="126" t="s">
        <v>416</v>
      </c>
      <c r="G81" s="73">
        <v>44955.895833333336</v>
      </c>
      <c r="H81" s="73">
        <v>44955.895833333336</v>
      </c>
      <c r="I81" s="126" t="s">
        <v>231</v>
      </c>
      <c r="J81" s="126" t="s">
        <v>192</v>
      </c>
      <c r="K81" s="126" t="s">
        <v>192</v>
      </c>
      <c r="L81" s="126" t="s">
        <v>415</v>
      </c>
      <c r="M81" s="167"/>
      <c r="N81" s="126" t="s">
        <v>295</v>
      </c>
      <c r="O81" s="126" t="s">
        <v>296</v>
      </c>
      <c r="P81" s="126" t="s">
        <v>235</v>
      </c>
      <c r="Q81" s="181">
        <f>4118*2.4</f>
        <v>9883.1999999999989</v>
      </c>
      <c r="R81" s="181">
        <v>1310.0260000000001</v>
      </c>
      <c r="S81" s="181"/>
      <c r="T81" s="172"/>
      <c r="W81" s="181">
        <f>R81</f>
        <v>1310.0260000000001</v>
      </c>
      <c r="AV81" s="165">
        <f t="shared" si="19"/>
        <v>44948.765972222223</v>
      </c>
      <c r="AW81" s="165">
        <f t="shared" si="20"/>
        <v>44963.8125</v>
      </c>
      <c r="AX81" s="137">
        <f t="shared" si="21"/>
        <v>15.046527777776646</v>
      </c>
      <c r="AY81" s="165">
        <v>44948.765972222223</v>
      </c>
      <c r="AZ81" s="165">
        <v>44949.8125</v>
      </c>
      <c r="BA81" s="165">
        <v>44951.444444444445</v>
      </c>
      <c r="BB81" s="165">
        <v>44951.631944444445</v>
      </c>
      <c r="BC81" s="165">
        <v>44951.878472222219</v>
      </c>
      <c r="BD81" s="165">
        <v>44951.885416666664</v>
      </c>
      <c r="BE81" s="165">
        <v>44951.885416666664</v>
      </c>
      <c r="BF81" s="165">
        <f t="shared" si="32"/>
        <v>44953.59375</v>
      </c>
      <c r="BG81" s="165">
        <v>44954.291666666664</v>
      </c>
      <c r="BH81" s="165">
        <v>44954.458333333328</v>
      </c>
      <c r="BI81" s="165">
        <v>44954.329861111109</v>
      </c>
      <c r="BJ81" s="165">
        <v>44961.590277777781</v>
      </c>
      <c r="BK81" s="165">
        <v>44963.413194444445</v>
      </c>
      <c r="BL81" s="165">
        <v>44963.527777777781</v>
      </c>
      <c r="BM81" s="165">
        <v>44963.541666666664</v>
      </c>
      <c r="BN81" s="165">
        <v>44963.541666666664</v>
      </c>
      <c r="BO81" s="165">
        <v>44963.8125</v>
      </c>
      <c r="BR81" s="136">
        <f t="shared" si="22"/>
        <v>39.166666666686069</v>
      </c>
      <c r="BS81" s="136">
        <f t="shared" si="23"/>
        <v>5.9166666665696539</v>
      </c>
      <c r="BT81" s="136">
        <f t="shared" si="24"/>
        <v>41.000000000058208</v>
      </c>
      <c r="BU81" s="136">
        <f t="shared" si="30"/>
        <v>171.16666666686069</v>
      </c>
      <c r="BV81" s="135">
        <f t="shared" si="25"/>
        <v>2.7500000000582077</v>
      </c>
      <c r="BW81" s="135">
        <f t="shared" si="26"/>
        <v>6.5000000000582077</v>
      </c>
      <c r="BX81" s="134">
        <f t="shared" si="27"/>
        <v>11.104166666678793</v>
      </c>
      <c r="BY81" s="134">
        <f t="shared" si="28"/>
        <v>15.046527777776646</v>
      </c>
      <c r="BZ81" s="133">
        <f t="shared" si="29"/>
        <v>0.73798864632937944</v>
      </c>
    </row>
    <row r="82" spans="1:78" s="126" customFormat="1">
      <c r="A82" s="192">
        <f t="shared" si="31"/>
        <v>44955.809027777781</v>
      </c>
      <c r="B82" s="126" t="s">
        <v>228</v>
      </c>
      <c r="C82" s="126" t="s">
        <v>229</v>
      </c>
      <c r="D82" s="126" t="s">
        <v>215</v>
      </c>
      <c r="E82" s="126" t="s">
        <v>394</v>
      </c>
      <c r="G82" s="73">
        <v>44956.833333333336</v>
      </c>
      <c r="H82" s="73">
        <v>44956.833333333336</v>
      </c>
      <c r="I82" s="126" t="s">
        <v>231</v>
      </c>
      <c r="J82" s="126" t="s">
        <v>192</v>
      </c>
      <c r="K82" s="126" t="s">
        <v>192</v>
      </c>
      <c r="L82" s="126" t="s">
        <v>417</v>
      </c>
      <c r="M82" s="167"/>
      <c r="N82" s="126" t="s">
        <v>301</v>
      </c>
      <c r="O82" s="126" t="s">
        <v>302</v>
      </c>
      <c r="P82" s="126" t="s">
        <v>418</v>
      </c>
      <c r="Q82" s="181">
        <f>3852*2.4</f>
        <v>9244.7999999999993</v>
      </c>
      <c r="R82" s="181">
        <v>8901.4</v>
      </c>
      <c r="S82" s="181"/>
      <c r="W82" s="181">
        <f>R82*0.6</f>
        <v>5340.8399999999992</v>
      </c>
      <c r="X82" s="181">
        <f>R82*0.4</f>
        <v>3560.56</v>
      </c>
      <c r="AV82" s="165">
        <f t="shared" si="19"/>
        <v>44949.826388888891</v>
      </c>
      <c r="AW82" s="165">
        <f t="shared" si="20"/>
        <v>44963.088194444441</v>
      </c>
      <c r="AX82" s="137">
        <f t="shared" si="21"/>
        <v>13.261805555550382</v>
      </c>
      <c r="AY82" s="165">
        <v>44949.826388888891</v>
      </c>
      <c r="AZ82" s="165">
        <v>44951.8125</v>
      </c>
      <c r="BA82" s="165">
        <v>44953.395833333336</v>
      </c>
      <c r="BB82" s="165">
        <v>44955.809027777781</v>
      </c>
      <c r="BC82" s="165">
        <v>44955.96875</v>
      </c>
      <c r="BD82" s="165">
        <v>44955.972222222219</v>
      </c>
      <c r="BE82" s="165">
        <v>44956.270833333336</v>
      </c>
      <c r="BF82" s="165">
        <f t="shared" si="32"/>
        <v>44957.979166666672</v>
      </c>
      <c r="BG82" s="165">
        <v>44958.5</v>
      </c>
      <c r="BH82" s="165">
        <v>44958.666666666664</v>
      </c>
      <c r="BI82" s="165">
        <v>44958.611111111109</v>
      </c>
      <c r="BJ82" s="165">
        <v>44959.625</v>
      </c>
      <c r="BK82" s="165">
        <v>44962.3125</v>
      </c>
      <c r="BL82" s="165">
        <v>44962.732638888891</v>
      </c>
      <c r="BM82" s="165">
        <v>44962.753472222219</v>
      </c>
      <c r="BN82" s="165">
        <v>44962.753472222219</v>
      </c>
      <c r="BO82" s="165">
        <v>44963.088194444441</v>
      </c>
      <c r="BR82" s="136">
        <f t="shared" si="22"/>
        <v>38.000000000058208</v>
      </c>
      <c r="BS82" s="136">
        <f t="shared" si="23"/>
        <v>3.8333333332557231</v>
      </c>
      <c r="BT82" s="136">
        <f t="shared" si="24"/>
        <v>41.000000000058208</v>
      </c>
      <c r="BU82" s="136">
        <f t="shared" si="30"/>
        <v>23.000000000058208</v>
      </c>
      <c r="BV82" s="135">
        <f t="shared" si="25"/>
        <v>10.083333333372138</v>
      </c>
      <c r="BW82" s="135">
        <f t="shared" si="26"/>
        <v>8.0333333333255723</v>
      </c>
      <c r="BX82" s="134">
        <f t="shared" si="27"/>
        <v>5.164583333338669</v>
      </c>
      <c r="BY82" s="134">
        <f t="shared" si="28"/>
        <v>13.261805555550382</v>
      </c>
      <c r="BZ82" s="133">
        <f t="shared" si="29"/>
        <v>0.38943289521969865</v>
      </c>
    </row>
    <row r="83" spans="1:78" s="126" customFormat="1">
      <c r="A83" s="192">
        <f t="shared" si="31"/>
        <v>44951.17291666667</v>
      </c>
      <c r="B83" s="126" t="s">
        <v>228</v>
      </c>
      <c r="C83" s="126" t="s">
        <v>229</v>
      </c>
      <c r="D83" s="126" t="s">
        <v>197</v>
      </c>
      <c r="E83" s="126" t="s">
        <v>224</v>
      </c>
      <c r="G83" s="73">
        <v>44952.666666666664</v>
      </c>
      <c r="H83" s="73">
        <v>44952.694444444445</v>
      </c>
      <c r="I83" s="126" t="s">
        <v>231</v>
      </c>
      <c r="J83" s="126" t="s">
        <v>192</v>
      </c>
      <c r="K83" s="126" t="s">
        <v>192</v>
      </c>
      <c r="L83" s="126" t="s">
        <v>419</v>
      </c>
      <c r="M83" s="167"/>
      <c r="N83" s="126" t="s">
        <v>70</v>
      </c>
      <c r="O83" s="126" t="s">
        <v>255</v>
      </c>
      <c r="P83" s="126" t="s">
        <v>235</v>
      </c>
      <c r="Q83" s="181">
        <f>3047*2.4</f>
        <v>7312.8</v>
      </c>
      <c r="R83" s="181">
        <v>7416.9210000000003</v>
      </c>
      <c r="S83" s="181"/>
      <c r="T83" s="172"/>
      <c r="W83" s="181">
        <f t="shared" ref="W83:W89" si="33">R83</f>
        <v>7416.9210000000003</v>
      </c>
      <c r="AV83" s="165">
        <f t="shared" si="19"/>
        <v>44948.8125</v>
      </c>
      <c r="AW83" s="165">
        <f t="shared" si="20"/>
        <v>44958.788194444445</v>
      </c>
      <c r="AX83" s="137">
        <f t="shared" si="21"/>
        <v>9.9756944444452529</v>
      </c>
      <c r="AY83" s="165">
        <v>44948.8125</v>
      </c>
      <c r="AZ83" s="165">
        <v>44949.5625</v>
      </c>
      <c r="BA83" s="165">
        <v>44951.04791666667</v>
      </c>
      <c r="BB83" s="165">
        <v>44951.17291666667</v>
      </c>
      <c r="BC83" s="165">
        <v>44951.184027777781</v>
      </c>
      <c r="BD83" s="165">
        <v>44951.288194444445</v>
      </c>
      <c r="BE83" s="165">
        <f>BD83+(0.5/24)</f>
        <v>44951.309027777781</v>
      </c>
      <c r="BF83" s="165">
        <f t="shared" si="32"/>
        <v>44953.017361111117</v>
      </c>
      <c r="BG83" s="165">
        <v>44953.291666666664</v>
      </c>
      <c r="BH83" s="165">
        <v>44953.458333333328</v>
      </c>
      <c r="BI83" s="165">
        <v>44953.3125</v>
      </c>
      <c r="BJ83" s="165">
        <v>44955.513888888891</v>
      </c>
      <c r="BK83" s="165">
        <v>44958.291666666664</v>
      </c>
      <c r="BL83" s="165">
        <v>44958.520833333336</v>
      </c>
      <c r="BM83" s="165">
        <v>44958.538194444445</v>
      </c>
      <c r="BN83" s="165">
        <v>44958.538194444445</v>
      </c>
      <c r="BO83" s="165">
        <v>44958.788194444445</v>
      </c>
      <c r="BR83" s="136">
        <f t="shared" si="22"/>
        <v>35.650000000081491</v>
      </c>
      <c r="BS83" s="136">
        <f t="shared" si="23"/>
        <v>0.26666666666278616</v>
      </c>
      <c r="BT83" s="136">
        <f t="shared" si="24"/>
        <v>41.000000000058208</v>
      </c>
      <c r="BU83" s="136">
        <f t="shared" si="30"/>
        <v>49.333333333488554</v>
      </c>
      <c r="BV83" s="135">
        <f t="shared" si="25"/>
        <v>5.5000000001164153</v>
      </c>
      <c r="BW83" s="135">
        <f t="shared" si="26"/>
        <v>6</v>
      </c>
      <c r="BX83" s="134">
        <f t="shared" si="27"/>
        <v>5.7395833333503106</v>
      </c>
      <c r="BY83" s="134">
        <f t="shared" si="28"/>
        <v>9.9756944444452529</v>
      </c>
      <c r="BZ83" s="133">
        <f t="shared" si="29"/>
        <v>0.57535676992856088</v>
      </c>
    </row>
    <row r="84" spans="1:78" s="126" customFormat="1">
      <c r="A84" s="192">
        <f t="shared" si="31"/>
        <v>44953.743055555555</v>
      </c>
      <c r="B84" s="126" t="s">
        <v>228</v>
      </c>
      <c r="C84" s="126" t="s">
        <v>229</v>
      </c>
      <c r="D84" s="126" t="s">
        <v>197</v>
      </c>
      <c r="E84" s="126" t="s">
        <v>393</v>
      </c>
      <c r="F84" s="126" t="s">
        <v>394</v>
      </c>
      <c r="G84" s="73">
        <v>44961.854166666664</v>
      </c>
      <c r="H84" s="73">
        <v>44961.895833333336</v>
      </c>
      <c r="I84" s="126" t="s">
        <v>243</v>
      </c>
      <c r="J84" s="126" t="s">
        <v>192</v>
      </c>
      <c r="K84" s="126" t="s">
        <v>192</v>
      </c>
      <c r="L84" s="126" t="s">
        <v>420</v>
      </c>
      <c r="M84" s="167"/>
      <c r="N84" s="126" t="s">
        <v>213</v>
      </c>
      <c r="O84" s="126" t="s">
        <v>214</v>
      </c>
      <c r="P84" s="126" t="s">
        <v>235</v>
      </c>
      <c r="Q84" s="181">
        <f>3113*2.4</f>
        <v>7471.2</v>
      </c>
      <c r="R84" s="181">
        <v>7411.2889999999998</v>
      </c>
      <c r="S84" s="181"/>
      <c r="W84" s="181">
        <f t="shared" si="33"/>
        <v>7411.2889999999998</v>
      </c>
      <c r="AV84" s="165">
        <f t="shared" si="19"/>
        <v>44949.399305555555</v>
      </c>
      <c r="AW84" s="165">
        <f t="shared" si="20"/>
        <v>44959.395833333336</v>
      </c>
      <c r="AX84" s="137">
        <f t="shared" si="21"/>
        <v>9.9965277777810115</v>
      </c>
      <c r="AY84" s="165">
        <v>44949.399305555555</v>
      </c>
      <c r="AZ84" s="165">
        <v>44949.829861111109</v>
      </c>
      <c r="BA84" s="165">
        <v>44951.333333333336</v>
      </c>
      <c r="BB84" s="165">
        <v>44953.743055555555</v>
      </c>
      <c r="BC84" s="165">
        <v>44953.902777777781</v>
      </c>
      <c r="BD84" s="165">
        <v>44953.90625</v>
      </c>
      <c r="BE84" s="165">
        <v>44953.90625</v>
      </c>
      <c r="BF84" s="165">
        <f t="shared" si="32"/>
        <v>44955.614583333336</v>
      </c>
      <c r="BG84" s="165">
        <v>44955.291666666664</v>
      </c>
      <c r="BH84" s="165">
        <v>44955.458333333328</v>
      </c>
      <c r="BI84" s="165">
        <v>44955.472222222219</v>
      </c>
      <c r="BJ84" s="165">
        <v>44957.100694444445</v>
      </c>
      <c r="BK84" s="165">
        <v>44958.638888888891</v>
      </c>
      <c r="BL84" s="165">
        <v>44958.9375</v>
      </c>
      <c r="BM84" s="165">
        <v>44958.975694444445</v>
      </c>
      <c r="BN84" s="165">
        <v>44958.979166666664</v>
      </c>
      <c r="BO84" s="165">
        <v>44959.395833333336</v>
      </c>
      <c r="BR84" s="136">
        <f t="shared" si="22"/>
        <v>36.083333333430346</v>
      </c>
      <c r="BS84" s="136">
        <f t="shared" si="23"/>
        <v>3.8333333334303461</v>
      </c>
      <c r="BT84" s="136">
        <f t="shared" si="24"/>
        <v>41.000000000058208</v>
      </c>
      <c r="BU84" s="136">
        <f t="shared" si="30"/>
        <v>39.416666666802485</v>
      </c>
      <c r="BV84" s="135">
        <f t="shared" si="25"/>
        <v>7.1666666666278616</v>
      </c>
      <c r="BW84" s="135">
        <f t="shared" si="26"/>
        <v>10.000000000116415</v>
      </c>
      <c r="BX84" s="134">
        <f t="shared" si="27"/>
        <v>5.7291666666860692</v>
      </c>
      <c r="BY84" s="134">
        <f t="shared" si="28"/>
        <v>9.9965277777810115</v>
      </c>
      <c r="BZ84" s="133">
        <f t="shared" si="29"/>
        <v>0.57311566516326995</v>
      </c>
    </row>
    <row r="85" spans="1:78" s="126" customFormat="1">
      <c r="A85" s="192">
        <f t="shared" si="31"/>
        <v>44955.020833333336</v>
      </c>
      <c r="B85" s="126" t="s">
        <v>228</v>
      </c>
      <c r="C85" s="126" t="s">
        <v>229</v>
      </c>
      <c r="D85" s="126" t="s">
        <v>215</v>
      </c>
      <c r="E85" s="126" t="s">
        <v>393</v>
      </c>
      <c r="F85" s="126" t="s">
        <v>394</v>
      </c>
      <c r="G85" s="73">
        <v>44961.854166666664</v>
      </c>
      <c r="H85" s="73">
        <v>44961.895833333336</v>
      </c>
      <c r="I85" s="126" t="s">
        <v>243</v>
      </c>
      <c r="J85" s="126" t="s">
        <v>192</v>
      </c>
      <c r="K85" s="126" t="s">
        <v>192</v>
      </c>
      <c r="L85" s="126" t="s">
        <v>421</v>
      </c>
      <c r="M85" s="167"/>
      <c r="N85" s="126" t="s">
        <v>422</v>
      </c>
      <c r="O85" s="126" t="s">
        <v>423</v>
      </c>
      <c r="P85" s="126" t="s">
        <v>235</v>
      </c>
      <c r="Q85" s="181">
        <f>3156*2.4</f>
        <v>7574.4</v>
      </c>
      <c r="R85" s="181">
        <v>7500.7089999999998</v>
      </c>
      <c r="S85" s="181"/>
      <c r="W85" s="181">
        <f t="shared" si="33"/>
        <v>7500.7089999999998</v>
      </c>
      <c r="AV85" s="165">
        <f t="shared" si="19"/>
        <v>44950.527777777781</v>
      </c>
      <c r="AW85" s="165">
        <f t="shared" si="20"/>
        <v>44961.552083333336</v>
      </c>
      <c r="AX85" s="137">
        <f t="shared" si="21"/>
        <v>11.024305555554747</v>
      </c>
      <c r="AY85" s="165">
        <v>44950.527777777781</v>
      </c>
      <c r="AZ85" s="165">
        <v>44951.628472222219</v>
      </c>
      <c r="BA85" s="165">
        <v>44953.354166666664</v>
      </c>
      <c r="BB85" s="165">
        <v>44955.020833333336</v>
      </c>
      <c r="BC85" s="165">
        <v>44955.180555555555</v>
      </c>
      <c r="BD85" s="165">
        <v>44955.1875</v>
      </c>
      <c r="BE85" s="165">
        <v>44955.291666666664</v>
      </c>
      <c r="BF85" s="165">
        <f t="shared" si="32"/>
        <v>44957</v>
      </c>
      <c r="BG85" s="165">
        <v>44957.333333333336</v>
      </c>
      <c r="BH85" s="165">
        <v>44957.5</v>
      </c>
      <c r="BI85" s="165">
        <v>44957.479166666664</v>
      </c>
      <c r="BJ85" s="165">
        <v>44958.875</v>
      </c>
      <c r="BK85" s="165">
        <v>44960.201388888891</v>
      </c>
      <c r="BL85" s="165">
        <v>44960.444444444445</v>
      </c>
      <c r="BM85" s="165">
        <v>44960.458333333336</v>
      </c>
      <c r="BN85" s="165">
        <v>44960.972222222219</v>
      </c>
      <c r="BO85" s="165">
        <v>44961.552083333336</v>
      </c>
      <c r="BR85" s="136">
        <f t="shared" si="22"/>
        <v>41.416666666686069</v>
      </c>
      <c r="BS85" s="136">
        <f t="shared" si="23"/>
        <v>3.8333333332557231</v>
      </c>
      <c r="BT85" s="136">
        <f t="shared" si="24"/>
        <v>41.000000000058208</v>
      </c>
      <c r="BU85" s="136">
        <f t="shared" si="30"/>
        <v>33</v>
      </c>
      <c r="BV85" s="135">
        <f t="shared" si="25"/>
        <v>5.8333333333139308</v>
      </c>
      <c r="BW85" s="135">
        <f t="shared" si="26"/>
        <v>13.916666666802485</v>
      </c>
      <c r="BX85" s="134">
        <f t="shared" si="27"/>
        <v>5.7916666666715173</v>
      </c>
      <c r="BY85" s="134">
        <f t="shared" si="28"/>
        <v>11.024305555554747</v>
      </c>
      <c r="BZ85" s="133">
        <f t="shared" si="29"/>
        <v>0.52535433070913995</v>
      </c>
    </row>
    <row r="86" spans="1:78" s="126" customFormat="1">
      <c r="A86" s="192">
        <f t="shared" si="31"/>
        <v>44956.704861111109</v>
      </c>
      <c r="B86" s="126" t="s">
        <v>228</v>
      </c>
      <c r="C86" s="126" t="s">
        <v>229</v>
      </c>
      <c r="D86" s="126" t="s">
        <v>197</v>
      </c>
      <c r="E86" s="126" t="s">
        <v>416</v>
      </c>
      <c r="G86" s="73">
        <v>44955.895833333336</v>
      </c>
      <c r="H86" s="73">
        <v>44955.895833333336</v>
      </c>
      <c r="I86" s="126" t="s">
        <v>231</v>
      </c>
      <c r="J86" s="126" t="s">
        <v>192</v>
      </c>
      <c r="K86" s="126" t="s">
        <v>192</v>
      </c>
      <c r="L86" s="126" t="s">
        <v>424</v>
      </c>
      <c r="M86" s="167"/>
      <c r="N86" s="126" t="s">
        <v>284</v>
      </c>
      <c r="O86" s="126" t="s">
        <v>264</v>
      </c>
      <c r="P86" s="126" t="s">
        <v>235</v>
      </c>
      <c r="Q86" s="181">
        <f>3136*2.4</f>
        <v>7526.4</v>
      </c>
      <c r="R86" s="181">
        <v>7463.7240000000002</v>
      </c>
      <c r="S86" s="181"/>
      <c r="W86" s="181">
        <f t="shared" si="33"/>
        <v>7463.7240000000002</v>
      </c>
      <c r="AV86" s="165">
        <f t="shared" si="19"/>
        <v>44944.625</v>
      </c>
      <c r="AW86" s="165">
        <f t="shared" si="20"/>
        <v>44964.513888888891</v>
      </c>
      <c r="AX86" s="137">
        <f t="shared" si="21"/>
        <v>19.888888888890506</v>
      </c>
      <c r="AY86" s="165">
        <v>44944.625</v>
      </c>
      <c r="AZ86" s="165">
        <v>44952.802083333336</v>
      </c>
      <c r="BA86" s="165">
        <v>44954.6875</v>
      </c>
      <c r="BB86" s="165">
        <v>44956.704861111109</v>
      </c>
      <c r="BC86" s="165">
        <v>44956.915277777778</v>
      </c>
      <c r="BD86" s="165">
        <v>44956.920138888891</v>
      </c>
      <c r="BE86" s="165">
        <v>44956.920138888891</v>
      </c>
      <c r="BF86" s="165">
        <f t="shared" si="32"/>
        <v>44958.628472222226</v>
      </c>
      <c r="BG86" s="165">
        <v>44958.5</v>
      </c>
      <c r="BH86" s="165">
        <v>44958.666666666664</v>
      </c>
      <c r="BI86" s="165">
        <v>44958.597222222219</v>
      </c>
      <c r="BJ86" s="165">
        <v>44959.875</v>
      </c>
      <c r="BK86" s="165">
        <v>44963.902777777781</v>
      </c>
      <c r="BL86" s="165">
        <v>44964.152777777781</v>
      </c>
      <c r="BM86" s="165">
        <v>44964.173611111109</v>
      </c>
      <c r="BN86" s="165">
        <v>44964.173611111109</v>
      </c>
      <c r="BO86" s="165">
        <v>44964.513888888891</v>
      </c>
      <c r="BP86" s="126" t="s">
        <v>425</v>
      </c>
      <c r="BR86" s="136">
        <f t="shared" si="22"/>
        <v>45.249999999941792</v>
      </c>
      <c r="BS86" s="136">
        <f t="shared" si="23"/>
        <v>5.0500000000465661</v>
      </c>
      <c r="BT86" s="136">
        <f t="shared" si="24"/>
        <v>41.000000000058208</v>
      </c>
      <c r="BU86" s="136">
        <f t="shared" si="30"/>
        <v>29.000000000058208</v>
      </c>
      <c r="BV86" s="135">
        <f t="shared" si="25"/>
        <v>6</v>
      </c>
      <c r="BW86" s="135">
        <f t="shared" si="26"/>
        <v>8.1666666667442769</v>
      </c>
      <c r="BX86" s="134">
        <f t="shared" si="27"/>
        <v>5.6027777777853771</v>
      </c>
      <c r="BY86" s="134">
        <f t="shared" si="28"/>
        <v>19.888888888890506</v>
      </c>
      <c r="BZ86" s="133">
        <f t="shared" si="29"/>
        <v>0.28170391061488431</v>
      </c>
    </row>
    <row r="87" spans="1:78" s="126" customFormat="1">
      <c r="A87" s="192">
        <f t="shared" si="31"/>
        <v>44957.600694444445</v>
      </c>
      <c r="B87" s="126" t="s">
        <v>228</v>
      </c>
      <c r="C87" s="126" t="s">
        <v>229</v>
      </c>
      <c r="D87" s="126" t="s">
        <v>197</v>
      </c>
      <c r="E87" s="126" t="s">
        <v>416</v>
      </c>
      <c r="G87" s="73">
        <v>44955.895833333336</v>
      </c>
      <c r="H87" s="73">
        <v>44955.895833333336</v>
      </c>
      <c r="I87" s="126" t="s">
        <v>231</v>
      </c>
      <c r="J87" s="126" t="s">
        <v>192</v>
      </c>
      <c r="K87" s="126" t="s">
        <v>192</v>
      </c>
      <c r="L87" s="126" t="s">
        <v>426</v>
      </c>
      <c r="M87" s="167"/>
      <c r="N87" s="126" t="s">
        <v>361</v>
      </c>
      <c r="O87" s="126" t="s">
        <v>362</v>
      </c>
      <c r="P87" s="126" t="s">
        <v>235</v>
      </c>
      <c r="Q87" s="181">
        <f>3039*2.4</f>
        <v>7293.5999999999995</v>
      </c>
      <c r="R87" s="181">
        <v>7438.4189999999999</v>
      </c>
      <c r="S87" s="181"/>
      <c r="W87" s="181">
        <f t="shared" si="33"/>
        <v>7438.4189999999999</v>
      </c>
      <c r="AV87" s="165">
        <f t="shared" si="19"/>
        <v>44955.15625</v>
      </c>
      <c r="AW87" s="165">
        <f t="shared" si="20"/>
        <v>44963.489583333336</v>
      </c>
      <c r="AX87" s="137">
        <f t="shared" si="21"/>
        <v>8.3333333333357587</v>
      </c>
      <c r="AY87" s="165">
        <v>44955.15625</v>
      </c>
      <c r="AZ87" s="165">
        <v>44955.888888888891</v>
      </c>
      <c r="BA87" s="165">
        <v>44957.572916666664</v>
      </c>
      <c r="BB87" s="165">
        <v>44957.600694444445</v>
      </c>
      <c r="BC87" s="165">
        <v>44957.763888888891</v>
      </c>
      <c r="BD87" s="165">
        <v>44957.774305555555</v>
      </c>
      <c r="BE87" s="165">
        <v>44957.774305555555</v>
      </c>
      <c r="BF87" s="165">
        <f t="shared" si="32"/>
        <v>44959.482638888891</v>
      </c>
      <c r="BG87" s="165">
        <v>44959.5</v>
      </c>
      <c r="BH87" s="165">
        <v>44959.666666666664</v>
      </c>
      <c r="BI87" s="165">
        <v>44959.554166666669</v>
      </c>
      <c r="BJ87" s="165">
        <v>44960.694444444445</v>
      </c>
      <c r="BK87" s="165">
        <f>BK94</f>
        <v>44965.677083333336</v>
      </c>
      <c r="BL87" s="165">
        <v>44963.017361111109</v>
      </c>
      <c r="BM87" s="165">
        <v>44963.03125</v>
      </c>
      <c r="BN87" s="165">
        <v>44963.232638888891</v>
      </c>
      <c r="BO87" s="165">
        <v>44963.489583333336</v>
      </c>
      <c r="BR87" s="136">
        <f t="shared" si="22"/>
        <v>40.416666666569654</v>
      </c>
      <c r="BS87" s="136">
        <f t="shared" si="23"/>
        <v>3.9166666666860692</v>
      </c>
      <c r="BT87" s="136">
        <f t="shared" si="24"/>
        <v>41.000000000058208</v>
      </c>
      <c r="BU87" s="136">
        <f t="shared" si="30"/>
        <v>24.666666666744277</v>
      </c>
      <c r="BV87" s="135">
        <f t="shared" si="25"/>
        <v>-63.833333333430346</v>
      </c>
      <c r="BW87" s="135">
        <f t="shared" si="26"/>
        <v>6.1666666666860692</v>
      </c>
      <c r="BX87" s="134">
        <f t="shared" si="27"/>
        <v>2.1805555555547471</v>
      </c>
      <c r="BY87" s="134">
        <f t="shared" si="28"/>
        <v>8.3333333333357587</v>
      </c>
      <c r="BZ87" s="133">
        <f t="shared" si="29"/>
        <v>0.26166666666649352</v>
      </c>
    </row>
    <row r="88" spans="1:78" s="126" customFormat="1">
      <c r="A88" s="192">
        <f t="shared" si="31"/>
        <v>44955.232638888891</v>
      </c>
      <c r="B88" s="126" t="s">
        <v>228</v>
      </c>
      <c r="C88" s="126" t="s">
        <v>229</v>
      </c>
      <c r="D88" s="126" t="s">
        <v>197</v>
      </c>
      <c r="E88" s="126" t="s">
        <v>393</v>
      </c>
      <c r="F88" s="126" t="s">
        <v>394</v>
      </c>
      <c r="G88" s="73">
        <v>44961.854166666664</v>
      </c>
      <c r="H88" s="73">
        <v>44961.895833333336</v>
      </c>
      <c r="I88" s="126" t="s">
        <v>243</v>
      </c>
      <c r="J88" s="126" t="s">
        <v>192</v>
      </c>
      <c r="K88" s="126" t="s">
        <v>192</v>
      </c>
      <c r="L88" s="126" t="s">
        <v>427</v>
      </c>
      <c r="M88" s="167"/>
      <c r="N88" s="126" t="s">
        <v>307</v>
      </c>
      <c r="O88" s="126" t="s">
        <v>308</v>
      </c>
      <c r="P88" s="126" t="s">
        <v>235</v>
      </c>
      <c r="Q88" s="181">
        <f>3170*2.4</f>
        <v>7608</v>
      </c>
      <c r="R88" s="181">
        <v>7474.826</v>
      </c>
      <c r="S88" s="181"/>
      <c r="W88" s="181">
        <f t="shared" si="33"/>
        <v>7474.826</v>
      </c>
      <c r="AV88" s="165">
        <f t="shared" si="19"/>
        <v>44950.574999999997</v>
      </c>
      <c r="AW88" s="165">
        <f t="shared" si="20"/>
        <v>44962.529166666667</v>
      </c>
      <c r="AX88" s="137">
        <f t="shared" si="21"/>
        <v>11.954166666670062</v>
      </c>
      <c r="AY88" s="165">
        <v>44950.574999999997</v>
      </c>
      <c r="AZ88" s="165">
        <v>44951.815972222219</v>
      </c>
      <c r="BA88" s="165">
        <v>44953.763888888891</v>
      </c>
      <c r="BB88" s="165">
        <v>44955.232638888891</v>
      </c>
      <c r="BC88" s="165">
        <v>44955.482638888891</v>
      </c>
      <c r="BD88" s="165">
        <v>44955.486111111109</v>
      </c>
      <c r="BE88" s="165">
        <v>44955.486111111109</v>
      </c>
      <c r="BF88" s="165">
        <f t="shared" si="32"/>
        <v>44957.194444444445</v>
      </c>
      <c r="BG88" s="165">
        <v>44957.333333333336</v>
      </c>
      <c r="BH88" s="165">
        <v>44957.5</v>
      </c>
      <c r="BI88" s="165">
        <v>44957.496527777781</v>
      </c>
      <c r="BJ88" s="165">
        <v>44959.395833333336</v>
      </c>
      <c r="BK88" s="165">
        <v>44961.454861111109</v>
      </c>
      <c r="BL88" s="165">
        <v>44961.673611111109</v>
      </c>
      <c r="BM88" s="165">
        <v>44961.690972222219</v>
      </c>
      <c r="BN88" s="165">
        <v>44961.916666666664</v>
      </c>
      <c r="BO88" s="165">
        <v>44962.529166666667</v>
      </c>
      <c r="BR88" s="136">
        <f t="shared" si="22"/>
        <v>46.750000000116415</v>
      </c>
      <c r="BS88" s="136">
        <f t="shared" si="23"/>
        <v>6</v>
      </c>
      <c r="BT88" s="136">
        <f t="shared" si="24"/>
        <v>41.000000000058208</v>
      </c>
      <c r="BU88" s="136">
        <f t="shared" si="30"/>
        <v>45.500000000058208</v>
      </c>
      <c r="BV88" s="135">
        <f t="shared" si="25"/>
        <v>5.25</v>
      </c>
      <c r="BW88" s="135">
        <f t="shared" si="26"/>
        <v>14.700000000069849</v>
      </c>
      <c r="BX88" s="134">
        <f t="shared" si="27"/>
        <v>6.633333333345945</v>
      </c>
      <c r="BY88" s="134">
        <f t="shared" si="28"/>
        <v>11.954166666670062</v>
      </c>
      <c r="BZ88" s="133">
        <f t="shared" si="29"/>
        <v>0.55489717671752337</v>
      </c>
    </row>
    <row r="89" spans="1:78" s="126" customFormat="1">
      <c r="A89" s="192">
        <f t="shared" si="31"/>
        <v>44956.319444444445</v>
      </c>
      <c r="B89" s="126" t="s">
        <v>228</v>
      </c>
      <c r="C89" s="126" t="s">
        <v>229</v>
      </c>
      <c r="D89" s="126" t="s">
        <v>197</v>
      </c>
      <c r="E89" s="126" t="s">
        <v>394</v>
      </c>
      <c r="G89" s="73">
        <v>44956.833333333336</v>
      </c>
      <c r="H89" s="73">
        <v>44956.833333333336</v>
      </c>
      <c r="I89" s="126" t="s">
        <v>231</v>
      </c>
      <c r="J89" s="126" t="s">
        <v>192</v>
      </c>
      <c r="K89" s="126" t="s">
        <v>192</v>
      </c>
      <c r="L89" s="126" t="s">
        <v>428</v>
      </c>
      <c r="M89" s="167"/>
      <c r="N89" s="126" t="s">
        <v>429</v>
      </c>
      <c r="O89" s="126" t="s">
        <v>430</v>
      </c>
      <c r="P89" s="126" t="s">
        <v>235</v>
      </c>
      <c r="Q89" s="181">
        <f>3145 *2.4</f>
        <v>7548</v>
      </c>
      <c r="R89" s="181">
        <v>7594.53</v>
      </c>
      <c r="S89" s="181"/>
      <c r="W89" s="181">
        <f t="shared" si="33"/>
        <v>7594.53</v>
      </c>
      <c r="AV89" s="165">
        <f t="shared" si="19"/>
        <v>44951.927083333336</v>
      </c>
      <c r="AW89" s="165">
        <f t="shared" si="20"/>
        <v>44962.46875</v>
      </c>
      <c r="AX89" s="137">
        <f t="shared" si="21"/>
        <v>10.541666666664241</v>
      </c>
      <c r="AY89" s="165">
        <v>44951.927083333336</v>
      </c>
      <c r="AZ89" s="165">
        <v>44952.638888888891</v>
      </c>
      <c r="BA89" s="165">
        <v>44954.638888888891</v>
      </c>
      <c r="BB89" s="165">
        <v>44956.319444444445</v>
      </c>
      <c r="BC89" s="165">
        <v>44956.461805555555</v>
      </c>
      <c r="BD89" s="165">
        <v>44956.465277777781</v>
      </c>
      <c r="BE89" s="165">
        <v>44956.465277777781</v>
      </c>
      <c r="BF89" s="165">
        <f t="shared" si="32"/>
        <v>44958.173611111117</v>
      </c>
      <c r="BG89" s="165">
        <v>44958.5</v>
      </c>
      <c r="BH89" s="165">
        <v>44958.666666666664</v>
      </c>
      <c r="BI89" s="165">
        <v>44958.576388888891</v>
      </c>
      <c r="BJ89" s="165">
        <v>44959.600694444445</v>
      </c>
      <c r="BK89" s="165">
        <v>44961.611111111109</v>
      </c>
      <c r="BL89" s="165">
        <v>44961.829861111109</v>
      </c>
      <c r="BM89" s="165">
        <v>44961.850694444445</v>
      </c>
      <c r="BN89" s="165">
        <v>44962.229166666664</v>
      </c>
      <c r="BO89" s="165">
        <v>44962.46875</v>
      </c>
      <c r="BR89" s="136">
        <f t="shared" si="22"/>
        <v>48</v>
      </c>
      <c r="BS89" s="136">
        <f t="shared" si="23"/>
        <v>3.4166666666278616</v>
      </c>
      <c r="BT89" s="136">
        <f t="shared" si="24"/>
        <v>41.000000000058208</v>
      </c>
      <c r="BU89" s="136">
        <f t="shared" si="30"/>
        <v>22.416666666744277</v>
      </c>
      <c r="BV89" s="135">
        <f t="shared" si="25"/>
        <v>5.25</v>
      </c>
      <c r="BW89" s="135">
        <f t="shared" si="26"/>
        <v>5.7500000000582077</v>
      </c>
      <c r="BX89" s="134">
        <f t="shared" si="27"/>
        <v>5.2430555555620231</v>
      </c>
      <c r="BY89" s="134">
        <f t="shared" si="28"/>
        <v>10.541666666664241</v>
      </c>
      <c r="BZ89" s="133">
        <f t="shared" si="29"/>
        <v>0.49736495388742097</v>
      </c>
    </row>
    <row r="90" spans="1:78" s="126" customFormat="1">
      <c r="A90" s="192">
        <f t="shared" si="31"/>
        <v>44956.114583333336</v>
      </c>
      <c r="B90" s="126" t="s">
        <v>228</v>
      </c>
      <c r="C90" s="126" t="s">
        <v>229</v>
      </c>
      <c r="D90" s="126" t="s">
        <v>215</v>
      </c>
      <c r="E90" s="126" t="s">
        <v>394</v>
      </c>
      <c r="G90" s="73">
        <v>44956.833333333336</v>
      </c>
      <c r="H90" s="73">
        <v>44956.833333333336</v>
      </c>
      <c r="I90" s="126" t="s">
        <v>231</v>
      </c>
      <c r="J90" s="126" t="s">
        <v>192</v>
      </c>
      <c r="K90" s="126" t="s">
        <v>192</v>
      </c>
      <c r="L90" s="126" t="s">
        <v>431</v>
      </c>
      <c r="M90" s="167"/>
      <c r="N90" s="126" t="s">
        <v>288</v>
      </c>
      <c r="O90" s="126" t="s">
        <v>289</v>
      </c>
      <c r="P90" s="126" t="s">
        <v>418</v>
      </c>
      <c r="Q90" s="181">
        <f>3107*2.4</f>
        <v>7456.7999999999993</v>
      </c>
      <c r="R90" s="181">
        <v>7500.2449999999999</v>
      </c>
      <c r="S90" s="181"/>
      <c r="W90" s="181">
        <f>R90*0.6</f>
        <v>4500.1469999999999</v>
      </c>
      <c r="X90" s="181">
        <f>R90*0.4</f>
        <v>3000.098</v>
      </c>
      <c r="AV90" s="165">
        <f t="shared" si="19"/>
        <v>44952</v>
      </c>
      <c r="AW90" s="165">
        <f t="shared" si="20"/>
        <v>44962.625</v>
      </c>
      <c r="AX90" s="137">
        <f t="shared" si="21"/>
        <v>10.625</v>
      </c>
      <c r="AY90" s="165">
        <v>44952</v>
      </c>
      <c r="AZ90" s="165">
        <v>44952.836805555555</v>
      </c>
      <c r="BA90" s="165">
        <v>44954.291666666664</v>
      </c>
      <c r="BB90" s="165">
        <v>44956.114583333336</v>
      </c>
      <c r="BC90" s="165">
        <v>44956.263888888891</v>
      </c>
      <c r="BD90" s="165">
        <v>44956.267361111109</v>
      </c>
      <c r="BE90" s="165">
        <v>44956.267361111109</v>
      </c>
      <c r="BF90" s="165">
        <f t="shared" si="32"/>
        <v>44957.975694444445</v>
      </c>
      <c r="BG90" s="165">
        <v>44958.5</v>
      </c>
      <c r="BH90" s="165">
        <v>44958.666666666664</v>
      </c>
      <c r="BI90" s="165">
        <v>44958.625</v>
      </c>
      <c r="BJ90" s="165">
        <v>44959.625</v>
      </c>
      <c r="BK90" s="165">
        <v>44961.892361111109</v>
      </c>
      <c r="BL90" s="165">
        <v>44962.25</v>
      </c>
      <c r="BM90" s="165">
        <v>44962.270833333336</v>
      </c>
      <c r="BN90" s="165">
        <v>44962.270833333336</v>
      </c>
      <c r="BO90" s="165">
        <v>44962.625</v>
      </c>
      <c r="BR90" s="136">
        <f t="shared" si="22"/>
        <v>34.916666666627862</v>
      </c>
      <c r="BS90" s="136">
        <f t="shared" si="23"/>
        <v>3.5833333333139308</v>
      </c>
      <c r="BT90" s="136">
        <f t="shared" si="24"/>
        <v>41.000000000058208</v>
      </c>
      <c r="BU90" s="136">
        <f t="shared" si="30"/>
        <v>23.000000000058208</v>
      </c>
      <c r="BV90" s="135">
        <f t="shared" si="25"/>
        <v>8.5833333333721384</v>
      </c>
      <c r="BW90" s="135">
        <f t="shared" si="26"/>
        <v>8.4999999999417923</v>
      </c>
      <c r="BX90" s="134">
        <f t="shared" si="27"/>
        <v>4.9826388888905058</v>
      </c>
      <c r="BY90" s="134">
        <f t="shared" si="28"/>
        <v>10.625</v>
      </c>
      <c r="BZ90" s="133">
        <f t="shared" si="29"/>
        <v>0.46895424836616523</v>
      </c>
    </row>
    <row r="91" spans="1:78" s="126" customFormat="1">
      <c r="A91" s="192">
        <f t="shared" si="31"/>
        <v>44956.486111111109</v>
      </c>
      <c r="B91" s="126" t="s">
        <v>228</v>
      </c>
      <c r="C91" s="126" t="s">
        <v>229</v>
      </c>
      <c r="D91" s="126" t="s">
        <v>197</v>
      </c>
      <c r="E91" s="126" t="s">
        <v>394</v>
      </c>
      <c r="G91" s="73">
        <v>44956.833333333336</v>
      </c>
      <c r="H91" s="73">
        <v>44956.833333333336</v>
      </c>
      <c r="I91" s="126" t="s">
        <v>231</v>
      </c>
      <c r="J91" s="126" t="s">
        <v>192</v>
      </c>
      <c r="K91" s="126" t="s">
        <v>192</v>
      </c>
      <c r="L91" s="126" t="s">
        <v>432</v>
      </c>
      <c r="M91" s="167"/>
      <c r="N91" s="126" t="s">
        <v>298</v>
      </c>
      <c r="O91" s="126" t="s">
        <v>299</v>
      </c>
      <c r="P91" s="126" t="s">
        <v>235</v>
      </c>
      <c r="Q91" s="181">
        <f>4337*2.4</f>
        <v>10408.799999999999</v>
      </c>
      <c r="R91" s="181">
        <f>10427.088-655.438999999998</f>
        <v>9771.6490000000013</v>
      </c>
      <c r="S91" s="181"/>
      <c r="W91" s="181">
        <f>R91</f>
        <v>9771.6490000000013</v>
      </c>
      <c r="AV91" s="165">
        <f t="shared" si="19"/>
        <v>44948.378472222219</v>
      </c>
      <c r="AW91" s="165">
        <f t="shared" si="20"/>
        <v>44963.291666666664</v>
      </c>
      <c r="AX91" s="137">
        <f t="shared" si="21"/>
        <v>14.913194444445253</v>
      </c>
      <c r="AY91" s="165">
        <v>44948.378472222219</v>
      </c>
      <c r="AZ91" s="165">
        <v>44953.819444444445</v>
      </c>
      <c r="BA91" s="165">
        <v>44955.375</v>
      </c>
      <c r="BB91" s="165">
        <v>44956.486111111109</v>
      </c>
      <c r="BC91" s="165">
        <v>44956.674305555556</v>
      </c>
      <c r="BD91" s="165">
        <v>44956.680555555555</v>
      </c>
      <c r="BE91" s="165">
        <v>44956.680555555555</v>
      </c>
      <c r="BF91" s="165">
        <f t="shared" si="32"/>
        <v>44958.388888888891</v>
      </c>
      <c r="BG91" s="165">
        <v>44958.5</v>
      </c>
      <c r="BH91" s="165">
        <v>44958.666666666664</v>
      </c>
      <c r="BI91" s="165">
        <v>44958.618055555555</v>
      </c>
      <c r="BJ91" s="165">
        <v>44959.708333333336</v>
      </c>
      <c r="BK91" s="165">
        <v>44962.795138888891</v>
      </c>
      <c r="BL91" s="165">
        <v>44963.229166666664</v>
      </c>
      <c r="BM91" s="165">
        <v>44963.291666666664</v>
      </c>
      <c r="BN91" s="165">
        <v>44963.291666666664</v>
      </c>
      <c r="BO91" s="165">
        <v>44963.291666666664</v>
      </c>
      <c r="BR91" s="136">
        <f t="shared" si="22"/>
        <v>37.333333333313931</v>
      </c>
      <c r="BS91" s="136">
        <f t="shared" si="23"/>
        <v>4.5166666667209938</v>
      </c>
      <c r="BT91" s="136">
        <f t="shared" si="24"/>
        <v>41.000000000058208</v>
      </c>
      <c r="BU91" s="136">
        <f t="shared" si="30"/>
        <v>25.000000000116415</v>
      </c>
      <c r="BV91" s="135">
        <f t="shared" si="25"/>
        <v>10.416666666569654</v>
      </c>
      <c r="BW91" s="135">
        <f t="shared" si="26"/>
        <v>0</v>
      </c>
      <c r="BX91" s="134">
        <f t="shared" si="27"/>
        <v>4.9277777777824667</v>
      </c>
      <c r="BY91" s="134">
        <f t="shared" si="28"/>
        <v>14.913194444445253</v>
      </c>
      <c r="BZ91" s="133">
        <f t="shared" si="29"/>
        <v>0.33043073341123946</v>
      </c>
    </row>
    <row r="92" spans="1:78" s="126" customFormat="1">
      <c r="A92" s="192">
        <f t="shared" si="31"/>
        <v>44956.486111111109</v>
      </c>
      <c r="B92" s="126" t="s">
        <v>228</v>
      </c>
      <c r="C92" s="126" t="s">
        <v>229</v>
      </c>
      <c r="D92" s="126" t="s">
        <v>197</v>
      </c>
      <c r="E92" s="126" t="s">
        <v>416</v>
      </c>
      <c r="G92" s="73">
        <v>44955.895833333336</v>
      </c>
      <c r="H92" s="73">
        <v>44955.895833333336</v>
      </c>
      <c r="I92" s="126" t="s">
        <v>231</v>
      </c>
      <c r="J92" s="126" t="s">
        <v>192</v>
      </c>
      <c r="K92" s="126" t="s">
        <v>192</v>
      </c>
      <c r="L92" s="126" t="s">
        <v>432</v>
      </c>
      <c r="M92" s="167"/>
      <c r="N92" s="126" t="s">
        <v>298</v>
      </c>
      <c r="O92" s="126" t="s">
        <v>299</v>
      </c>
      <c r="P92" s="126" t="s">
        <v>235</v>
      </c>
      <c r="Q92" s="181">
        <f>4337*2.4</f>
        <v>10408.799999999999</v>
      </c>
      <c r="R92" s="181">
        <v>877</v>
      </c>
      <c r="S92" s="181"/>
      <c r="W92" s="181">
        <f>R92</f>
        <v>877</v>
      </c>
      <c r="AV92" s="165">
        <f t="shared" si="19"/>
        <v>44948.378472222219</v>
      </c>
      <c r="AW92" s="165">
        <f t="shared" si="20"/>
        <v>44964.885416666664</v>
      </c>
      <c r="AX92" s="137">
        <f t="shared" si="21"/>
        <v>16.506944444445253</v>
      </c>
      <c r="AY92" s="165">
        <v>44948.378472222219</v>
      </c>
      <c r="AZ92" s="165">
        <v>44953.819444444445</v>
      </c>
      <c r="BA92" s="165">
        <v>44955.375</v>
      </c>
      <c r="BB92" s="165">
        <v>44956.486111111109</v>
      </c>
      <c r="BC92" s="165">
        <v>44956.674305555556</v>
      </c>
      <c r="BD92" s="165">
        <v>44956.680555555555</v>
      </c>
      <c r="BE92" s="165">
        <v>44956.680555555555</v>
      </c>
      <c r="BF92" s="165">
        <f t="shared" si="32"/>
        <v>44958.388888888891</v>
      </c>
      <c r="BG92" s="165">
        <v>44958.5</v>
      </c>
      <c r="BH92" s="165">
        <v>44958.666666666664</v>
      </c>
      <c r="BI92" s="165">
        <v>44958.618055555555</v>
      </c>
      <c r="BJ92" s="165">
        <v>44963.291666666664</v>
      </c>
      <c r="BK92" s="165">
        <v>44964.472222222219</v>
      </c>
      <c r="BL92" s="165">
        <v>44964.548611111109</v>
      </c>
      <c r="BM92" s="165">
        <v>44964.5625</v>
      </c>
      <c r="BN92" s="165">
        <v>44964.6875</v>
      </c>
      <c r="BO92" s="165">
        <v>44964.885416666664</v>
      </c>
      <c r="BR92" s="136">
        <f t="shared" si="22"/>
        <v>37.333333333313931</v>
      </c>
      <c r="BS92" s="136">
        <f t="shared" si="23"/>
        <v>4.5166666667209938</v>
      </c>
      <c r="BT92" s="136">
        <f t="shared" si="24"/>
        <v>41.000000000058208</v>
      </c>
      <c r="BU92" s="136">
        <f t="shared" si="30"/>
        <v>111</v>
      </c>
      <c r="BV92" s="135">
        <f t="shared" si="25"/>
        <v>1.8333333333721384</v>
      </c>
      <c r="BW92" s="135">
        <f t="shared" si="26"/>
        <v>4.7499999999417923</v>
      </c>
      <c r="BX92" s="134">
        <f t="shared" si="27"/>
        <v>8.351388888891961</v>
      </c>
      <c r="BY92" s="134">
        <f t="shared" si="28"/>
        <v>16.506944444445253</v>
      </c>
      <c r="BZ92" s="133">
        <f t="shared" si="29"/>
        <v>0.5059318468659586</v>
      </c>
    </row>
    <row r="93" spans="1:78" s="126" customFormat="1">
      <c r="A93" s="192">
        <f t="shared" si="31"/>
        <v>44957.256944444445</v>
      </c>
      <c r="B93" s="126" t="s">
        <v>228</v>
      </c>
      <c r="C93" s="126" t="s">
        <v>229</v>
      </c>
      <c r="D93" s="126" t="s">
        <v>197</v>
      </c>
      <c r="E93" s="126" t="s">
        <v>433</v>
      </c>
      <c r="G93" s="73">
        <v>44964.125</v>
      </c>
      <c r="H93" s="73">
        <v>44964.195833333331</v>
      </c>
      <c r="I93" s="126" t="s">
        <v>434</v>
      </c>
      <c r="J93" s="126" t="s">
        <v>192</v>
      </c>
      <c r="K93" s="126" t="s">
        <v>192</v>
      </c>
      <c r="L93" s="126" t="s">
        <v>435</v>
      </c>
      <c r="M93" s="167"/>
      <c r="N93" s="126" t="s">
        <v>349</v>
      </c>
      <c r="O93" s="126" t="s">
        <v>350</v>
      </c>
      <c r="P93" s="126" t="s">
        <v>240</v>
      </c>
      <c r="Q93" s="181">
        <f>3077*2.4</f>
        <v>7384.7999999999993</v>
      </c>
      <c r="R93" s="181">
        <v>7505.9449999999997</v>
      </c>
      <c r="S93" s="181"/>
      <c r="X93" s="181">
        <f>R93</f>
        <v>7505.9449999999997</v>
      </c>
      <c r="AV93" s="165">
        <f t="shared" si="19"/>
        <v>44953.458333333336</v>
      </c>
      <c r="AW93" s="165">
        <f t="shared" si="20"/>
        <v>44971.666666666664</v>
      </c>
      <c r="AX93" s="137">
        <f t="shared" si="21"/>
        <v>18.208333333328483</v>
      </c>
      <c r="AY93" s="165">
        <v>44953.458333333336</v>
      </c>
      <c r="AZ93" s="165">
        <v>44953.836805555555</v>
      </c>
      <c r="BA93" s="165">
        <v>44956.5</v>
      </c>
      <c r="BB93" s="165">
        <v>44957.256944444445</v>
      </c>
      <c r="BC93" s="165">
        <v>44957.46875</v>
      </c>
      <c r="BD93" s="165">
        <v>44957.475694444445</v>
      </c>
      <c r="BE93" s="165">
        <v>44957.475694444445</v>
      </c>
      <c r="BF93" s="165">
        <f t="shared" si="32"/>
        <v>44959.184027777781</v>
      </c>
      <c r="BG93" s="165">
        <v>44959.5</v>
      </c>
      <c r="BH93" s="165">
        <v>44959.666666666664</v>
      </c>
      <c r="BI93" s="165">
        <v>44959.548611111109</v>
      </c>
      <c r="BJ93" s="165">
        <v>44963.625</v>
      </c>
      <c r="BK93" s="165">
        <v>44968.472222222219</v>
      </c>
      <c r="BL93" s="165">
        <v>44969.395833333336</v>
      </c>
      <c r="BM93" s="165">
        <v>44969.40625</v>
      </c>
      <c r="BN93" s="165">
        <v>44969.40625</v>
      </c>
      <c r="BO93" s="165">
        <v>44971.666666666664</v>
      </c>
      <c r="BR93" s="136">
        <f t="shared" si="22"/>
        <v>63.916666666686069</v>
      </c>
      <c r="BS93" s="136">
        <f t="shared" si="23"/>
        <v>5.0833333333139308</v>
      </c>
      <c r="BT93" s="136">
        <f t="shared" si="24"/>
        <v>41.000000000058208</v>
      </c>
      <c r="BU93" s="136">
        <f t="shared" si="30"/>
        <v>95.000000000058208</v>
      </c>
      <c r="BV93" s="135">
        <f t="shared" si="25"/>
        <v>22.166666666802485</v>
      </c>
      <c r="BW93" s="135">
        <f t="shared" si="26"/>
        <v>54.249999999941792</v>
      </c>
      <c r="BX93" s="134">
        <f t="shared" si="27"/>
        <v>11.725694444452529</v>
      </c>
      <c r="BY93" s="134">
        <f t="shared" si="28"/>
        <v>18.208333333328483</v>
      </c>
      <c r="BZ93" s="133">
        <f t="shared" si="29"/>
        <v>0.64397406559939507</v>
      </c>
    </row>
    <row r="94" spans="1:78" s="126" customFormat="1">
      <c r="A94" s="192">
        <f t="shared" si="31"/>
        <v>44957.100694444445</v>
      </c>
      <c r="B94" s="126" t="s">
        <v>228</v>
      </c>
      <c r="C94" s="126" t="s">
        <v>229</v>
      </c>
      <c r="D94" s="126" t="s">
        <v>197</v>
      </c>
      <c r="E94" s="126" t="s">
        <v>433</v>
      </c>
      <c r="G94" s="73">
        <v>44964.125</v>
      </c>
      <c r="H94" s="73">
        <v>44964.195833333331</v>
      </c>
      <c r="I94" s="126" t="s">
        <v>434</v>
      </c>
      <c r="J94" s="126" t="s">
        <v>192</v>
      </c>
      <c r="K94" s="126" t="s">
        <v>192</v>
      </c>
      <c r="L94" s="126" t="s">
        <v>436</v>
      </c>
      <c r="M94" s="167"/>
      <c r="N94" s="126" t="s">
        <v>437</v>
      </c>
      <c r="O94" s="126" t="s">
        <v>438</v>
      </c>
      <c r="P94" s="126" t="s">
        <v>240</v>
      </c>
      <c r="Q94" s="181">
        <f>3136*2.4</f>
        <v>7526.4</v>
      </c>
      <c r="R94" s="181">
        <v>7714.8869999999997</v>
      </c>
      <c r="S94" s="181"/>
      <c r="X94" s="181">
        <f>R94</f>
        <v>7714.8869999999997</v>
      </c>
      <c r="AV94" s="165">
        <f t="shared" si="19"/>
        <v>44953.951388888891</v>
      </c>
      <c r="AW94" s="165">
        <f t="shared" si="20"/>
        <v>44969.524305555555</v>
      </c>
      <c r="AX94" s="137">
        <f t="shared" si="21"/>
        <v>15.572916666664241</v>
      </c>
      <c r="AY94" s="165">
        <v>44953.951388888891</v>
      </c>
      <c r="AZ94" s="165">
        <v>44954.59375</v>
      </c>
      <c r="BA94" s="165">
        <v>44956.28125</v>
      </c>
      <c r="BB94" s="165">
        <v>44957.100694444445</v>
      </c>
      <c r="BC94" s="165">
        <v>44957.224305555559</v>
      </c>
      <c r="BD94" s="165">
        <v>44957.232638888891</v>
      </c>
      <c r="BE94" s="165">
        <v>44957.232638888891</v>
      </c>
      <c r="BF94" s="165">
        <f t="shared" si="32"/>
        <v>44958.940972222226</v>
      </c>
      <c r="BG94" s="165">
        <v>44958.5</v>
      </c>
      <c r="BH94" s="165">
        <v>44958.666666666664</v>
      </c>
      <c r="BI94" s="165">
        <v>44958.680555555555</v>
      </c>
      <c r="BJ94" s="165">
        <v>44962.854166666664</v>
      </c>
      <c r="BK94" s="165">
        <v>44965.677083333336</v>
      </c>
      <c r="BL94" s="165">
        <v>44966.302083333336</v>
      </c>
      <c r="BM94" s="165">
        <v>44966.3125</v>
      </c>
      <c r="BN94" s="165">
        <v>44966.46875</v>
      </c>
      <c r="BO94" s="165">
        <v>44969.524305555555</v>
      </c>
      <c r="BR94" s="136">
        <f t="shared" si="22"/>
        <v>40.5</v>
      </c>
      <c r="BS94" s="136">
        <f t="shared" si="23"/>
        <v>2.9666666667326353</v>
      </c>
      <c r="BT94" s="136">
        <f t="shared" si="24"/>
        <v>41.000000000058208</v>
      </c>
      <c r="BU94" s="136">
        <f t="shared" si="30"/>
        <v>100.5</v>
      </c>
      <c r="BV94" s="135">
        <f t="shared" si="25"/>
        <v>15</v>
      </c>
      <c r="BW94" s="135">
        <f t="shared" si="26"/>
        <v>73.333333333313931</v>
      </c>
      <c r="BX94" s="134">
        <f t="shared" si="27"/>
        <v>11.387500000004366</v>
      </c>
      <c r="BY94" s="134">
        <f t="shared" si="28"/>
        <v>15.572916666664241</v>
      </c>
      <c r="BZ94" s="133">
        <f t="shared" si="29"/>
        <v>0.73123745819437413</v>
      </c>
    </row>
    <row r="95" spans="1:78" s="126" customFormat="1">
      <c r="A95" s="192">
        <f t="shared" si="31"/>
        <v>44939.743055555555</v>
      </c>
      <c r="B95" s="126" t="s">
        <v>188</v>
      </c>
      <c r="C95" s="126" t="s">
        <v>81</v>
      </c>
      <c r="D95" s="126" t="s">
        <v>197</v>
      </c>
      <c r="E95" s="126" t="s">
        <v>210</v>
      </c>
      <c r="G95" s="73">
        <v>44940.5</v>
      </c>
      <c r="H95" s="73">
        <v>44940.510416666664</v>
      </c>
      <c r="I95" s="126" t="s">
        <v>439</v>
      </c>
      <c r="J95" s="126" t="s">
        <v>192</v>
      </c>
      <c r="K95" s="126" t="s">
        <v>192</v>
      </c>
      <c r="L95" s="126" t="s">
        <v>440</v>
      </c>
      <c r="M95" s="167"/>
      <c r="N95" s="126" t="s">
        <v>441</v>
      </c>
      <c r="O95" s="126" t="s">
        <v>442</v>
      </c>
      <c r="P95" s="126" t="s">
        <v>81</v>
      </c>
      <c r="Q95" s="181">
        <v>5500</v>
      </c>
      <c r="R95" s="181">
        <v>5072</v>
      </c>
      <c r="S95" s="181"/>
      <c r="AH95" s="181">
        <f>R95</f>
        <v>5072</v>
      </c>
      <c r="AV95" s="165">
        <f t="shared" si="19"/>
        <v>44926.791666666664</v>
      </c>
      <c r="AW95" s="165">
        <f t="shared" si="20"/>
        <v>44947.791666666664</v>
      </c>
      <c r="AX95" s="137">
        <f t="shared" si="21"/>
        <v>21</v>
      </c>
      <c r="AY95" s="165">
        <v>44926.791666666664</v>
      </c>
      <c r="AZ95" s="165">
        <v>44939.416666666664</v>
      </c>
      <c r="BA95" s="165">
        <v>44939.635416666664</v>
      </c>
      <c r="BB95" s="165">
        <v>44939.743055555555</v>
      </c>
      <c r="BC95" s="165">
        <v>44940.229166666664</v>
      </c>
      <c r="BD95" s="165">
        <v>44940.354166666664</v>
      </c>
      <c r="BE95" s="165">
        <v>44940.732638888891</v>
      </c>
      <c r="BF95" s="165">
        <v>44940.732638888891</v>
      </c>
      <c r="BG95" s="166" t="s">
        <v>196</v>
      </c>
      <c r="BH95" s="166" t="s">
        <v>196</v>
      </c>
      <c r="BI95" s="166" t="s">
        <v>196</v>
      </c>
      <c r="BJ95" s="165">
        <v>44941.9375</v>
      </c>
      <c r="BK95" s="165">
        <v>44946.798611111109</v>
      </c>
      <c r="BL95" s="165">
        <v>44947.395833333336</v>
      </c>
      <c r="BM95" s="165">
        <v>44947.416666666664</v>
      </c>
      <c r="BN95" s="165">
        <v>44947.416666666664</v>
      </c>
      <c r="BO95" s="165">
        <v>44947.791666666664</v>
      </c>
      <c r="BR95" s="136">
        <f t="shared" si="22"/>
        <v>5.25</v>
      </c>
      <c r="BS95" s="136">
        <f t="shared" si="23"/>
        <v>11.666666666627862</v>
      </c>
      <c r="BT95" s="136">
        <f t="shared" si="24"/>
        <v>0</v>
      </c>
      <c r="BU95" s="136">
        <f t="shared" ref="BU95:BU102" si="34">(BJ95-BF95)*24</f>
        <v>28.916666666627862</v>
      </c>
      <c r="BV95" s="135">
        <f t="shared" si="25"/>
        <v>14.333333333430346</v>
      </c>
      <c r="BW95" s="135">
        <f t="shared" si="26"/>
        <v>9</v>
      </c>
      <c r="BX95" s="134">
        <f t="shared" si="27"/>
        <v>2.8819444444452529</v>
      </c>
      <c r="BY95" s="134">
        <f t="shared" si="28"/>
        <v>21</v>
      </c>
      <c r="BZ95" s="133">
        <f t="shared" si="29"/>
        <v>0.13723544973548824</v>
      </c>
    </row>
    <row r="96" spans="1:78" s="126" customFormat="1">
      <c r="A96" s="192">
        <f t="shared" si="31"/>
        <v>44949.715277777781</v>
      </c>
      <c r="B96" s="126" t="s">
        <v>188</v>
      </c>
      <c r="C96" s="126" t="s">
        <v>81</v>
      </c>
      <c r="D96" s="126" t="s">
        <v>197</v>
      </c>
      <c r="E96" s="126" t="s">
        <v>216</v>
      </c>
      <c r="G96" s="256">
        <v>44947.929166666669</v>
      </c>
      <c r="H96" s="256">
        <v>44947.929166666669</v>
      </c>
      <c r="I96" s="126" t="s">
        <v>443</v>
      </c>
      <c r="J96" s="126" t="s">
        <v>192</v>
      </c>
      <c r="K96" s="126" t="s">
        <v>192</v>
      </c>
      <c r="L96" s="126" t="s">
        <v>444</v>
      </c>
      <c r="M96" s="167"/>
      <c r="N96" s="126" t="s">
        <v>441</v>
      </c>
      <c r="O96" s="126" t="s">
        <v>442</v>
      </c>
      <c r="P96" s="126" t="s">
        <v>81</v>
      </c>
      <c r="Q96" s="181">
        <v>5500</v>
      </c>
      <c r="R96" s="181">
        <v>5006</v>
      </c>
      <c r="S96" s="181"/>
      <c r="AH96" s="181">
        <f>R96</f>
        <v>5006</v>
      </c>
      <c r="AV96" s="165">
        <f t="shared" si="19"/>
        <v>44947.791666666664</v>
      </c>
      <c r="AW96" s="165">
        <f t="shared" si="20"/>
        <v>44956.854166666664</v>
      </c>
      <c r="AX96" s="137">
        <f t="shared" si="21"/>
        <v>9.0625</v>
      </c>
      <c r="AY96" s="165">
        <v>44947.791666666664</v>
      </c>
      <c r="AZ96" s="165">
        <v>44949.333333333336</v>
      </c>
      <c r="BA96" s="165">
        <v>44949.53125</v>
      </c>
      <c r="BB96" s="165">
        <v>44949.715277777781</v>
      </c>
      <c r="BC96" s="165">
        <v>44950.166666666664</v>
      </c>
      <c r="BD96" s="165">
        <v>44950.284722222219</v>
      </c>
      <c r="BE96" s="165">
        <v>44951.159722222219</v>
      </c>
      <c r="BF96" s="165">
        <v>44951.159722222219</v>
      </c>
      <c r="BG96" s="166" t="s">
        <v>196</v>
      </c>
      <c r="BH96" s="166" t="s">
        <v>196</v>
      </c>
      <c r="BI96" s="166" t="s">
        <v>196</v>
      </c>
      <c r="BJ96" s="165">
        <v>44952.916666666664</v>
      </c>
      <c r="BK96" s="165">
        <v>44955.944444444445</v>
      </c>
      <c r="BL96" s="165">
        <v>44956.142361111109</v>
      </c>
      <c r="BM96" s="165">
        <v>44956.166666666664</v>
      </c>
      <c r="BN96" s="165">
        <v>44956.173611111109</v>
      </c>
      <c r="BO96" s="165">
        <v>44956.854166666664</v>
      </c>
      <c r="BR96" s="136">
        <f t="shared" si="22"/>
        <v>4.7499999999417923</v>
      </c>
      <c r="BS96" s="136">
        <f t="shared" si="23"/>
        <v>10.833333333197515</v>
      </c>
      <c r="BT96" s="136">
        <f t="shared" si="24"/>
        <v>0</v>
      </c>
      <c r="BU96" s="136">
        <f t="shared" si="34"/>
        <v>42.166666666686069</v>
      </c>
      <c r="BV96" s="135">
        <f t="shared" si="25"/>
        <v>4.7499999999417923</v>
      </c>
      <c r="BW96" s="135">
        <f t="shared" si="26"/>
        <v>16.333333333313931</v>
      </c>
      <c r="BX96" s="134">
        <f t="shared" si="27"/>
        <v>3.2847222222117125</v>
      </c>
      <c r="BY96" s="134">
        <f t="shared" si="28"/>
        <v>9.0625</v>
      </c>
      <c r="BZ96" s="133">
        <f t="shared" si="29"/>
        <v>0.36245210727853377</v>
      </c>
    </row>
    <row r="97" spans="1:78" s="126" customFormat="1">
      <c r="A97" s="192">
        <f t="shared" si="31"/>
        <v>44954.875</v>
      </c>
      <c r="B97" s="126" t="s">
        <v>188</v>
      </c>
      <c r="C97" s="126" t="s">
        <v>81</v>
      </c>
      <c r="D97" s="126" t="s">
        <v>197</v>
      </c>
      <c r="E97" s="126" t="s">
        <v>394</v>
      </c>
      <c r="G97" s="73">
        <v>44956.833333333336</v>
      </c>
      <c r="H97" s="73">
        <v>44956.833333333336</v>
      </c>
      <c r="I97" s="126" t="s">
        <v>439</v>
      </c>
      <c r="J97" s="126" t="s">
        <v>192</v>
      </c>
      <c r="K97" s="126" t="s">
        <v>192</v>
      </c>
      <c r="L97" s="126" t="s">
        <v>445</v>
      </c>
      <c r="M97" s="167"/>
      <c r="N97" s="126" t="s">
        <v>383</v>
      </c>
      <c r="O97" s="126" t="s">
        <v>384</v>
      </c>
      <c r="P97" s="126" t="s">
        <v>81</v>
      </c>
      <c r="Q97" s="181">
        <v>5500</v>
      </c>
      <c r="R97" s="181">
        <v>5180</v>
      </c>
      <c r="S97" s="181"/>
      <c r="AH97" s="181">
        <f>R97</f>
        <v>5180</v>
      </c>
      <c r="AV97" s="165">
        <f t="shared" si="19"/>
        <v>44953.607638888891</v>
      </c>
      <c r="AW97" s="165">
        <f t="shared" si="20"/>
        <v>44961.291666666664</v>
      </c>
      <c r="AX97" s="137">
        <f t="shared" si="21"/>
        <v>7.6840277777737356</v>
      </c>
      <c r="AY97" s="165">
        <v>44953.607638888891</v>
      </c>
      <c r="AZ97" s="165">
        <v>44954.079861111109</v>
      </c>
      <c r="BA97" s="165">
        <v>44954.805555555555</v>
      </c>
      <c r="BB97" s="165">
        <v>44954.875</v>
      </c>
      <c r="BC97" s="165">
        <v>44955.576388888891</v>
      </c>
      <c r="BD97" s="165">
        <v>44955.649305555555</v>
      </c>
      <c r="BE97" s="165">
        <v>44956.298611111109</v>
      </c>
      <c r="BF97" s="165">
        <v>44956.298611111109</v>
      </c>
      <c r="BG97" s="166" t="s">
        <v>196</v>
      </c>
      <c r="BH97" s="166" t="s">
        <v>196</v>
      </c>
      <c r="BI97" s="166" t="s">
        <v>196</v>
      </c>
      <c r="BJ97" s="165">
        <v>44957.333333333336</v>
      </c>
      <c r="BK97" s="165">
        <v>44960.694444444445</v>
      </c>
      <c r="BL97" s="165">
        <v>44960.836805555555</v>
      </c>
      <c r="BM97" s="165">
        <v>44960.857638888891</v>
      </c>
      <c r="BN97" s="165">
        <v>44960.857638888891</v>
      </c>
      <c r="BO97" s="165">
        <v>44961.291666666664</v>
      </c>
      <c r="BR97" s="136">
        <f t="shared" si="22"/>
        <v>17.416666666686069</v>
      </c>
      <c r="BS97" s="136">
        <f t="shared" si="23"/>
        <v>16.833333333372138</v>
      </c>
      <c r="BT97" s="136">
        <f t="shared" si="24"/>
        <v>0</v>
      </c>
      <c r="BU97" s="136">
        <f t="shared" si="34"/>
        <v>24.833333333430346</v>
      </c>
      <c r="BV97" s="135">
        <f t="shared" si="25"/>
        <v>3.4166666666278616</v>
      </c>
      <c r="BW97" s="135">
        <f t="shared" si="26"/>
        <v>10.416666666569654</v>
      </c>
      <c r="BX97" s="134">
        <f t="shared" si="27"/>
        <v>3.0381944444452529</v>
      </c>
      <c r="BY97" s="134">
        <f t="shared" si="28"/>
        <v>7.6840277777737356</v>
      </c>
      <c r="BZ97" s="133">
        <f t="shared" si="29"/>
        <v>0.39539087211960827</v>
      </c>
    </row>
    <row r="98" spans="1:78" s="126" customFormat="1">
      <c r="A98" s="192">
        <f t="shared" si="31"/>
        <v>44957.385416666664</v>
      </c>
      <c r="B98" s="126" t="s">
        <v>188</v>
      </c>
      <c r="C98" s="126" t="s">
        <v>81</v>
      </c>
      <c r="D98" s="126" t="s">
        <v>197</v>
      </c>
      <c r="E98" s="126" t="s">
        <v>446</v>
      </c>
      <c r="G98" s="165">
        <v>44973.962500000001</v>
      </c>
      <c r="H98" s="165">
        <v>44973.962500000001</v>
      </c>
      <c r="I98" s="126" t="s">
        <v>443</v>
      </c>
      <c r="J98" s="126" t="s">
        <v>192</v>
      </c>
      <c r="K98" s="126" t="s">
        <v>192</v>
      </c>
      <c r="L98" s="126" t="s">
        <v>447</v>
      </c>
      <c r="M98" s="167"/>
      <c r="N98" s="126" t="s">
        <v>441</v>
      </c>
      <c r="O98" s="126" t="s">
        <v>442</v>
      </c>
      <c r="P98" s="126" t="s">
        <v>81</v>
      </c>
      <c r="Q98" s="181">
        <v>5500</v>
      </c>
      <c r="R98" s="181">
        <v>5005</v>
      </c>
      <c r="S98" s="181"/>
      <c r="AH98" s="181">
        <f>R98</f>
        <v>5005</v>
      </c>
      <c r="AV98" s="165">
        <f t="shared" si="19"/>
        <v>44956.854166666664</v>
      </c>
      <c r="AW98" s="165">
        <f t="shared" si="20"/>
        <v>44962.659722222219</v>
      </c>
      <c r="AX98" s="137">
        <f t="shared" si="21"/>
        <v>5.8055555555547471</v>
      </c>
      <c r="AY98" s="165">
        <v>44956.854166666664</v>
      </c>
      <c r="AZ98" s="165">
        <v>44957</v>
      </c>
      <c r="BA98" s="165">
        <v>44957.1875</v>
      </c>
      <c r="BB98" s="165">
        <v>44957.385416666664</v>
      </c>
      <c r="BC98" s="165">
        <v>44957.847222222219</v>
      </c>
      <c r="BD98" s="165">
        <v>44957.888888888891</v>
      </c>
      <c r="BE98" s="165">
        <v>44958.5625</v>
      </c>
      <c r="BF98" s="165">
        <v>44958.5625</v>
      </c>
      <c r="BG98" s="166" t="s">
        <v>196</v>
      </c>
      <c r="BH98" s="166" t="s">
        <v>196</v>
      </c>
      <c r="BI98" s="166" t="s">
        <v>196</v>
      </c>
      <c r="BJ98" s="165">
        <v>44960.0625</v>
      </c>
      <c r="BK98" s="165">
        <v>44961.756944444445</v>
      </c>
      <c r="BL98" s="165">
        <v>44961.927083333336</v>
      </c>
      <c r="BM98" s="165">
        <v>44961.979166666664</v>
      </c>
      <c r="BN98" s="165">
        <v>44961.982638888891</v>
      </c>
      <c r="BO98" s="165">
        <v>44962.659722222219</v>
      </c>
      <c r="BR98" s="136">
        <f t="shared" si="22"/>
        <v>4.5</v>
      </c>
      <c r="BS98" s="136">
        <f t="shared" si="23"/>
        <v>11.083333333313931</v>
      </c>
      <c r="BT98" s="136">
        <f t="shared" si="24"/>
        <v>0</v>
      </c>
      <c r="BU98" s="136">
        <f t="shared" si="34"/>
        <v>36</v>
      </c>
      <c r="BV98" s="135">
        <f t="shared" si="25"/>
        <v>4.0833333333721384</v>
      </c>
      <c r="BW98" s="135">
        <f t="shared" si="26"/>
        <v>16.249999999883585</v>
      </c>
      <c r="BX98" s="134">
        <f t="shared" si="27"/>
        <v>2.9965277777737356</v>
      </c>
      <c r="BY98" s="134">
        <f t="shared" si="28"/>
        <v>5.8055555555547471</v>
      </c>
      <c r="BZ98" s="133">
        <f t="shared" si="29"/>
        <v>0.5161483253582273</v>
      </c>
    </row>
    <row r="99" spans="1:78" s="126" customFormat="1">
      <c r="A99" s="192">
        <f t="shared" si="31"/>
        <v>44934.409722222219</v>
      </c>
      <c r="B99" s="126" t="s">
        <v>188</v>
      </c>
      <c r="C99" s="126" t="s">
        <v>181</v>
      </c>
      <c r="D99" s="126" t="s">
        <v>189</v>
      </c>
      <c r="E99" s="126" t="s">
        <v>203</v>
      </c>
      <c r="G99" s="73">
        <v>44940.583333333336</v>
      </c>
      <c r="H99" s="73">
        <v>44940.583333333336</v>
      </c>
      <c r="I99" s="126" t="s">
        <v>448</v>
      </c>
      <c r="J99" s="126" t="s">
        <v>192</v>
      </c>
      <c r="K99" s="126" t="s">
        <v>192</v>
      </c>
      <c r="L99" s="126" t="s">
        <v>449</v>
      </c>
      <c r="M99" s="167"/>
      <c r="N99" s="126" t="s">
        <v>450</v>
      </c>
      <c r="O99" s="126" t="s">
        <v>451</v>
      </c>
      <c r="P99" s="126" t="s">
        <v>181</v>
      </c>
      <c r="Q99" s="181">
        <v>7500</v>
      </c>
      <c r="R99" s="181">
        <v>7774.7039999999997</v>
      </c>
      <c r="S99" s="181"/>
      <c r="AJ99" s="181">
        <f>R99</f>
        <v>7774.7039999999997</v>
      </c>
      <c r="AT99" s="181"/>
      <c r="AU99" s="181"/>
      <c r="AV99" s="165">
        <f t="shared" si="19"/>
        <v>44933.666666666664</v>
      </c>
      <c r="AW99" s="165">
        <f t="shared" si="20"/>
        <v>44942.59375</v>
      </c>
      <c r="AX99" s="137">
        <f t="shared" si="21"/>
        <v>8.9270833333357587</v>
      </c>
      <c r="AY99" s="165">
        <v>44933.666666666664</v>
      </c>
      <c r="AZ99" s="165">
        <v>44933.666666666664</v>
      </c>
      <c r="BA99" s="165">
        <v>44933.666666666664</v>
      </c>
      <c r="BB99" s="165">
        <v>44934.409722222219</v>
      </c>
      <c r="BC99" s="165">
        <v>44937.819444444445</v>
      </c>
      <c r="BD99" s="165">
        <v>44937.881944444445</v>
      </c>
      <c r="BE99" s="165">
        <v>44937.881944444445</v>
      </c>
      <c r="BF99" s="165">
        <v>44937.881944444445</v>
      </c>
      <c r="BG99" s="166" t="s">
        <v>196</v>
      </c>
      <c r="BH99" s="166" t="s">
        <v>196</v>
      </c>
      <c r="BI99" s="166" t="s">
        <v>196</v>
      </c>
      <c r="BJ99" s="165">
        <v>44939.767361111109</v>
      </c>
      <c r="BK99" s="165">
        <v>44941.340277777781</v>
      </c>
      <c r="BL99" s="165">
        <v>44942.583333333336</v>
      </c>
      <c r="BM99" s="165">
        <v>44942.59375</v>
      </c>
      <c r="BN99" s="165">
        <v>44942.59375</v>
      </c>
      <c r="BO99" s="165">
        <v>44942.59375</v>
      </c>
      <c r="BR99" s="136">
        <f t="shared" si="22"/>
        <v>0</v>
      </c>
      <c r="BS99" s="136">
        <f t="shared" si="23"/>
        <v>81.833333333430346</v>
      </c>
      <c r="BT99" s="136">
        <f t="shared" si="24"/>
        <v>0</v>
      </c>
      <c r="BU99" s="136">
        <f t="shared" si="34"/>
        <v>45.249999999941792</v>
      </c>
      <c r="BV99" s="135">
        <f t="shared" si="25"/>
        <v>29.833333333313931</v>
      </c>
      <c r="BW99" s="135">
        <f t="shared" si="26"/>
        <v>0</v>
      </c>
      <c r="BX99" s="134">
        <f t="shared" si="27"/>
        <v>6.5381944444452529</v>
      </c>
      <c r="BY99" s="134">
        <f t="shared" si="28"/>
        <v>8.9270833333357587</v>
      </c>
      <c r="BZ99" s="133">
        <f t="shared" si="29"/>
        <v>0.73239984441840578</v>
      </c>
    </row>
    <row r="100" spans="1:78" s="126" customFormat="1">
      <c r="A100" s="192">
        <f t="shared" si="31"/>
        <v>44952.024305555555</v>
      </c>
      <c r="B100" s="126" t="s">
        <v>188</v>
      </c>
      <c r="C100" s="126" t="s">
        <v>181</v>
      </c>
      <c r="D100" s="126" t="s">
        <v>189</v>
      </c>
      <c r="E100" s="126" t="s">
        <v>216</v>
      </c>
      <c r="G100" s="256">
        <v>44947.929166666669</v>
      </c>
      <c r="H100" s="256">
        <v>44947.929166666669</v>
      </c>
      <c r="I100" s="126" t="s">
        <v>448</v>
      </c>
      <c r="J100" s="126" t="s">
        <v>192</v>
      </c>
      <c r="K100" s="126" t="s">
        <v>192</v>
      </c>
      <c r="L100" s="126" t="s">
        <v>452</v>
      </c>
      <c r="M100" s="167"/>
      <c r="N100" s="126" t="s">
        <v>453</v>
      </c>
      <c r="O100" s="126" t="s">
        <v>454</v>
      </c>
      <c r="P100" s="126" t="s">
        <v>181</v>
      </c>
      <c r="Q100" s="181">
        <v>7500</v>
      </c>
      <c r="R100" s="181">
        <v>7689.19</v>
      </c>
      <c r="S100" s="181"/>
      <c r="AJ100" s="181">
        <f>R100</f>
        <v>7689.19</v>
      </c>
      <c r="AT100" s="181"/>
      <c r="AU100" s="181"/>
      <c r="AV100" s="165">
        <f t="shared" si="19"/>
        <v>44951.770833333336</v>
      </c>
      <c r="AW100" s="165">
        <f t="shared" si="20"/>
        <v>44957.975694444445</v>
      </c>
      <c r="AX100" s="137">
        <f t="shared" si="21"/>
        <v>6.2048611111094942</v>
      </c>
      <c r="AY100" s="165">
        <v>44951.770833333336</v>
      </c>
      <c r="AZ100" s="165">
        <v>44951.770833333336</v>
      </c>
      <c r="BA100" s="165">
        <v>44951.770833333336</v>
      </c>
      <c r="BB100" s="165">
        <v>44952.024305555555</v>
      </c>
      <c r="BC100" s="165">
        <v>44952.840277777781</v>
      </c>
      <c r="BD100" s="165">
        <v>44952.840277777781</v>
      </c>
      <c r="BE100" s="165">
        <v>44952.840277777781</v>
      </c>
      <c r="BF100" s="165">
        <v>44952.840277777781</v>
      </c>
      <c r="BG100" s="166" t="s">
        <v>196</v>
      </c>
      <c r="BH100" s="166" t="s">
        <v>196</v>
      </c>
      <c r="BI100" s="166" t="s">
        <v>196</v>
      </c>
      <c r="BJ100" s="165">
        <v>44955.986111111109</v>
      </c>
      <c r="BK100" s="165">
        <v>44956.694444444445</v>
      </c>
      <c r="BL100" s="165">
        <v>44957.541666666664</v>
      </c>
      <c r="BM100" s="165">
        <v>44957.975694444445</v>
      </c>
      <c r="BN100" s="165">
        <v>44957.975694444445</v>
      </c>
      <c r="BO100" s="165">
        <v>44957.975694444445</v>
      </c>
      <c r="BR100" s="136">
        <f t="shared" si="22"/>
        <v>0</v>
      </c>
      <c r="BS100" s="136">
        <f t="shared" si="23"/>
        <v>19.583333333430346</v>
      </c>
      <c r="BT100" s="136">
        <f t="shared" si="24"/>
        <v>0</v>
      </c>
      <c r="BU100" s="136">
        <f t="shared" si="34"/>
        <v>75.499999999883585</v>
      </c>
      <c r="BV100" s="135">
        <f t="shared" si="25"/>
        <v>20.333333333255723</v>
      </c>
      <c r="BW100" s="135">
        <f t="shared" si="26"/>
        <v>0</v>
      </c>
      <c r="BX100" s="134">
        <f t="shared" si="27"/>
        <v>4.8090277777737356</v>
      </c>
      <c r="BY100" s="134">
        <f t="shared" si="28"/>
        <v>6.2048611111094942</v>
      </c>
      <c r="BZ100" s="133">
        <f t="shared" si="29"/>
        <v>0.77504196978130768</v>
      </c>
    </row>
    <row r="101" spans="1:78" s="126" customFormat="1">
      <c r="A101" s="192">
        <f t="shared" si="31"/>
        <v>44939.725694444445</v>
      </c>
      <c r="B101" s="126" t="s">
        <v>188</v>
      </c>
      <c r="C101" s="126" t="s">
        <v>84</v>
      </c>
      <c r="D101" s="126" t="s">
        <v>215</v>
      </c>
      <c r="E101" s="126" t="s">
        <v>198</v>
      </c>
      <c r="G101" s="165">
        <v>44943.166666666664</v>
      </c>
      <c r="H101" s="165">
        <v>44943.166666666664</v>
      </c>
      <c r="I101" s="126" t="s">
        <v>455</v>
      </c>
      <c r="J101" s="126" t="s">
        <v>192</v>
      </c>
      <c r="K101" s="126" t="s">
        <v>192</v>
      </c>
      <c r="L101" s="126" t="s">
        <v>456</v>
      </c>
      <c r="M101" s="167"/>
      <c r="N101" s="126" t="s">
        <v>390</v>
      </c>
      <c r="O101" s="126" t="s">
        <v>391</v>
      </c>
      <c r="P101" s="126" t="s">
        <v>84</v>
      </c>
      <c r="Q101" s="181">
        <f>3097*2.4</f>
        <v>7432.7999999999993</v>
      </c>
      <c r="R101" s="181">
        <v>7538</v>
      </c>
      <c r="S101" s="181"/>
      <c r="AL101" s="181">
        <f>R101</f>
        <v>7538</v>
      </c>
      <c r="AV101" s="165">
        <f t="shared" si="19"/>
        <v>44926.625</v>
      </c>
      <c r="AW101" s="165">
        <f t="shared" si="20"/>
        <v>44945.697916666664</v>
      </c>
      <c r="AX101" s="137">
        <f t="shared" si="21"/>
        <v>19.072916666664241</v>
      </c>
      <c r="AY101" s="165">
        <v>44926.625</v>
      </c>
      <c r="AZ101" s="165">
        <v>44937.527777777781</v>
      </c>
      <c r="BA101" s="165">
        <v>44938.604166666664</v>
      </c>
      <c r="BB101" s="165">
        <v>44939.725694444445</v>
      </c>
      <c r="BC101" s="165">
        <v>44939.861111111109</v>
      </c>
      <c r="BD101" s="165">
        <v>44939.881944444445</v>
      </c>
      <c r="BE101" s="165">
        <v>44940.635416666664</v>
      </c>
      <c r="BF101" s="165">
        <v>44940.635416666664</v>
      </c>
      <c r="BG101" s="166" t="s">
        <v>196</v>
      </c>
      <c r="BH101" s="166" t="s">
        <v>196</v>
      </c>
      <c r="BI101" s="166" t="s">
        <v>196</v>
      </c>
      <c r="BJ101" s="165">
        <v>44942.53125</v>
      </c>
      <c r="BK101" s="165">
        <v>44944.753472222219</v>
      </c>
      <c r="BL101" s="165">
        <v>44945.034722222219</v>
      </c>
      <c r="BM101" s="165">
        <v>44945.055555555555</v>
      </c>
      <c r="BN101" s="165">
        <v>44945.059027777781</v>
      </c>
      <c r="BO101" s="165">
        <v>44945.697916666664</v>
      </c>
      <c r="BR101" s="136">
        <f t="shared" si="22"/>
        <v>25.833333333197515</v>
      </c>
      <c r="BS101" s="136">
        <f t="shared" si="23"/>
        <v>3.2499999999417923</v>
      </c>
      <c r="BT101" s="136">
        <f t="shared" si="24"/>
        <v>0</v>
      </c>
      <c r="BU101" s="136">
        <f t="shared" si="34"/>
        <v>45.500000000058208</v>
      </c>
      <c r="BV101" s="135">
        <f t="shared" si="25"/>
        <v>6.75</v>
      </c>
      <c r="BW101" s="135">
        <f t="shared" si="26"/>
        <v>15.333333333197515</v>
      </c>
      <c r="BX101" s="134">
        <f t="shared" si="27"/>
        <v>4.0277777777664596</v>
      </c>
      <c r="BY101" s="134">
        <f t="shared" si="28"/>
        <v>19.072916666664241</v>
      </c>
      <c r="BZ101" s="133">
        <f t="shared" si="29"/>
        <v>0.21117786273382266</v>
      </c>
    </row>
    <row r="102" spans="1:78" s="126" customFormat="1">
      <c r="A102" s="192">
        <f t="shared" si="31"/>
        <v>44951.121527777781</v>
      </c>
      <c r="B102" s="126" t="s">
        <v>188</v>
      </c>
      <c r="C102" s="126" t="s">
        <v>84</v>
      </c>
      <c r="D102" s="126" t="s">
        <v>197</v>
      </c>
      <c r="E102" s="126" t="s">
        <v>457</v>
      </c>
      <c r="G102" s="73">
        <v>44949.729166666664</v>
      </c>
      <c r="H102" s="73">
        <v>44949.722222222219</v>
      </c>
      <c r="I102" s="126" t="s">
        <v>458</v>
      </c>
      <c r="J102" s="126" t="s">
        <v>192</v>
      </c>
      <c r="K102" s="126" t="s">
        <v>192</v>
      </c>
      <c r="L102" s="126" t="s">
        <v>459</v>
      </c>
      <c r="M102" s="167"/>
      <c r="N102" s="126" t="s">
        <v>205</v>
      </c>
      <c r="O102" s="126" t="s">
        <v>206</v>
      </c>
      <c r="P102" s="126" t="s">
        <v>84</v>
      </c>
      <c r="Q102" s="181">
        <f>3015*2.4</f>
        <v>7236</v>
      </c>
      <c r="R102" s="181">
        <v>7503</v>
      </c>
      <c r="S102" s="181"/>
      <c r="AL102" s="181">
        <f>R102</f>
        <v>7503</v>
      </c>
      <c r="AV102" s="165">
        <f t="shared" si="19"/>
        <v>44944.445833333331</v>
      </c>
      <c r="AW102" s="165">
        <f t="shared" si="20"/>
        <v>44957.8125</v>
      </c>
      <c r="AX102" s="137">
        <f t="shared" si="21"/>
        <v>13.366666666668607</v>
      </c>
      <c r="AY102" s="165">
        <v>44944.445833333331</v>
      </c>
      <c r="AZ102" s="165">
        <v>44947.25</v>
      </c>
      <c r="BA102" s="165">
        <v>44948.041666666664</v>
      </c>
      <c r="BB102" s="165">
        <v>44951.121527777781</v>
      </c>
      <c r="BC102" s="165">
        <v>44951.274305555555</v>
      </c>
      <c r="BD102" s="165">
        <v>44951.288194444445</v>
      </c>
      <c r="BE102" s="165">
        <v>44951.791666666664</v>
      </c>
      <c r="BF102" s="165">
        <f>BE102</f>
        <v>44951.791666666664</v>
      </c>
      <c r="BG102" s="166" t="s">
        <v>196</v>
      </c>
      <c r="BH102" s="166" t="s">
        <v>196</v>
      </c>
      <c r="BI102" s="166" t="s">
        <v>196</v>
      </c>
      <c r="BJ102" s="165">
        <v>44953.125</v>
      </c>
      <c r="BK102" s="165">
        <v>44957.072916666664</v>
      </c>
      <c r="BL102" s="165">
        <v>44957.5</v>
      </c>
      <c r="BM102" s="165">
        <v>44957.520833333336</v>
      </c>
      <c r="BN102" s="165">
        <v>44957.583333333336</v>
      </c>
      <c r="BO102" s="165">
        <v>44957.8125</v>
      </c>
      <c r="BR102" s="136">
        <f t="shared" si="22"/>
        <v>18.999999999941792</v>
      </c>
      <c r="BS102" s="136">
        <f t="shared" si="23"/>
        <v>3.6666666665696539</v>
      </c>
      <c r="BT102" s="136">
        <f t="shared" si="24"/>
        <v>0</v>
      </c>
      <c r="BU102" s="136">
        <f t="shared" si="34"/>
        <v>32.000000000058208</v>
      </c>
      <c r="BV102" s="135">
        <f t="shared" si="25"/>
        <v>10.250000000058208</v>
      </c>
      <c r="BW102" s="135">
        <f t="shared" si="26"/>
        <v>5.4999999999417923</v>
      </c>
      <c r="BX102" s="134">
        <f t="shared" si="27"/>
        <v>2.9340277777737356</v>
      </c>
      <c r="BY102" s="134">
        <f t="shared" si="28"/>
        <v>13.366666666668607</v>
      </c>
      <c r="BZ102" s="133">
        <f t="shared" si="29"/>
        <v>0.21950332502044712</v>
      </c>
    </row>
    <row r="103" spans="1:78" s="126" customFormat="1">
      <c r="A103" s="192">
        <f t="shared" si="31"/>
        <v>44941.34375</v>
      </c>
      <c r="B103" s="126" t="s">
        <v>188</v>
      </c>
      <c r="C103" s="126" t="s">
        <v>76</v>
      </c>
      <c r="D103" s="126" t="s">
        <v>215</v>
      </c>
      <c r="E103" s="126" t="s">
        <v>236</v>
      </c>
      <c r="G103" s="73">
        <v>44944.166666666664</v>
      </c>
      <c r="H103" s="73">
        <v>44944.133333333331</v>
      </c>
      <c r="I103" s="126" t="s">
        <v>460</v>
      </c>
      <c r="J103" s="126" t="s">
        <v>192</v>
      </c>
      <c r="K103" s="126" t="s">
        <v>192</v>
      </c>
      <c r="L103" s="126" t="s">
        <v>461</v>
      </c>
      <c r="M103" s="167"/>
      <c r="N103" s="126" t="s">
        <v>399</v>
      </c>
      <c r="O103" s="126" t="s">
        <v>400</v>
      </c>
      <c r="P103" s="126" t="s">
        <v>76</v>
      </c>
      <c r="Q103" s="181">
        <f>3146*2.4</f>
        <v>7550.4</v>
      </c>
      <c r="R103" s="181">
        <v>7500</v>
      </c>
      <c r="S103" s="181"/>
      <c r="AK103" s="181">
        <f t="shared" ref="AK103:AK109" si="35">R103</f>
        <v>7500</v>
      </c>
      <c r="AV103" s="165">
        <f t="shared" si="19"/>
        <v>44926.854166666664</v>
      </c>
      <c r="AW103" s="165">
        <f t="shared" si="20"/>
        <v>44946.402777777781</v>
      </c>
      <c r="AX103" s="137">
        <f t="shared" si="21"/>
        <v>19.54861111111677</v>
      </c>
      <c r="AY103" s="165">
        <v>44926.854166666664</v>
      </c>
      <c r="AZ103" s="165">
        <v>44938.5625</v>
      </c>
      <c r="BA103" s="165">
        <v>44938.979166666664</v>
      </c>
      <c r="BB103" s="165">
        <v>44941.34375</v>
      </c>
      <c r="BC103" s="165">
        <v>44941.715277777781</v>
      </c>
      <c r="BD103" s="165">
        <v>44941.732638888891</v>
      </c>
      <c r="BE103" s="165">
        <v>44941.732638888891</v>
      </c>
      <c r="BF103" s="165">
        <f>BE103+(10/24)</f>
        <v>44942.149305555555</v>
      </c>
      <c r="BG103" s="165">
        <v>44942.333333333336</v>
      </c>
      <c r="BH103" s="165">
        <v>44942.5</v>
      </c>
      <c r="BI103" s="165">
        <v>44942.388888888891</v>
      </c>
      <c r="BJ103" s="165">
        <v>44944.0625</v>
      </c>
      <c r="BK103" s="165">
        <v>44945.076388888891</v>
      </c>
      <c r="BL103" s="165">
        <v>44945.868055555555</v>
      </c>
      <c r="BM103" s="165">
        <v>44945.881944444445</v>
      </c>
      <c r="BN103" s="165">
        <v>44946.041666666664</v>
      </c>
      <c r="BO103" s="165">
        <v>44946.402777777781</v>
      </c>
      <c r="BR103" s="136">
        <f t="shared" si="22"/>
        <v>9.9999999999417923</v>
      </c>
      <c r="BS103" s="136">
        <f t="shared" si="23"/>
        <v>8.9166666667442769</v>
      </c>
      <c r="BT103" s="136">
        <f t="shared" si="24"/>
        <v>9.9999999999417923</v>
      </c>
      <c r="BU103" s="136">
        <f t="shared" ref="BU103:BU113" si="36">(BJ103-BH103)*24</f>
        <v>37.5</v>
      </c>
      <c r="BV103" s="135">
        <f t="shared" si="25"/>
        <v>18.999999999941792</v>
      </c>
      <c r="BW103" s="135">
        <f t="shared" si="26"/>
        <v>8.6666666668024845</v>
      </c>
      <c r="BX103" s="134">
        <f t="shared" si="27"/>
        <v>3.9201388888905058</v>
      </c>
      <c r="BY103" s="134">
        <f t="shared" si="28"/>
        <v>19.54861111111677</v>
      </c>
      <c r="BZ103" s="133">
        <f t="shared" si="29"/>
        <v>0.20053285968030884</v>
      </c>
    </row>
    <row r="104" spans="1:78" s="126" customFormat="1">
      <c r="A104" s="192">
        <f t="shared" si="31"/>
        <v>44939.96875</v>
      </c>
      <c r="B104" s="126" t="s">
        <v>188</v>
      </c>
      <c r="C104" s="126" t="s">
        <v>76</v>
      </c>
      <c r="D104" s="126" t="s">
        <v>215</v>
      </c>
      <c r="E104" s="126" t="s">
        <v>236</v>
      </c>
      <c r="G104" s="73">
        <v>44944.166666666664</v>
      </c>
      <c r="H104" s="73">
        <v>44944.133333333331</v>
      </c>
      <c r="I104" s="126" t="s">
        <v>460</v>
      </c>
      <c r="J104" s="126" t="s">
        <v>192</v>
      </c>
      <c r="K104" s="126" t="s">
        <v>192</v>
      </c>
      <c r="L104" s="126" t="s">
        <v>462</v>
      </c>
      <c r="M104" s="167"/>
      <c r="N104" s="126" t="s">
        <v>222</v>
      </c>
      <c r="O104" s="126" t="s">
        <v>223</v>
      </c>
      <c r="P104" s="126" t="s">
        <v>76</v>
      </c>
      <c r="Q104" s="181">
        <f>3137*2.4</f>
        <v>7528.7999999999993</v>
      </c>
      <c r="R104" s="181">
        <v>7500</v>
      </c>
      <c r="S104" s="181"/>
      <c r="AK104" s="181">
        <f t="shared" si="35"/>
        <v>7500</v>
      </c>
      <c r="AV104" s="165">
        <f t="shared" si="19"/>
        <v>44927.680555555555</v>
      </c>
      <c r="AW104" s="165">
        <f t="shared" si="20"/>
        <v>44946.958333333336</v>
      </c>
      <c r="AX104" s="137">
        <f t="shared" si="21"/>
        <v>19.277777777781012</v>
      </c>
      <c r="AY104" s="165">
        <v>44927.680555555555</v>
      </c>
      <c r="AZ104" s="165">
        <v>44937.902777777781</v>
      </c>
      <c r="BA104" s="165">
        <v>44938.291666666664</v>
      </c>
      <c r="BB104" s="165">
        <v>44939.96875</v>
      </c>
      <c r="BC104" s="165">
        <v>44941.131944444445</v>
      </c>
      <c r="BD104" s="165">
        <v>44941.170138888891</v>
      </c>
      <c r="BE104" s="165">
        <v>44941.170138888891</v>
      </c>
      <c r="BF104" s="165">
        <f>BE104+(10/24)</f>
        <v>44941.586805555555</v>
      </c>
      <c r="BG104" s="165">
        <v>44942.333333333336</v>
      </c>
      <c r="BH104" s="165">
        <v>44942.5</v>
      </c>
      <c r="BI104" s="165">
        <v>44942.381944444445</v>
      </c>
      <c r="BJ104" s="165">
        <v>44944.416666666664</v>
      </c>
      <c r="BK104" s="165">
        <v>44945.9375</v>
      </c>
      <c r="BL104" s="165">
        <v>44946.645833333336</v>
      </c>
      <c r="BM104" s="165">
        <v>44946.659722222219</v>
      </c>
      <c r="BN104" s="165">
        <v>44946.659722222219</v>
      </c>
      <c r="BO104" s="165">
        <v>44946.958333333336</v>
      </c>
      <c r="BR104" s="136">
        <f t="shared" si="22"/>
        <v>9.3333333331975155</v>
      </c>
      <c r="BS104" s="136">
        <f t="shared" si="23"/>
        <v>27.916666666686069</v>
      </c>
      <c r="BT104" s="136">
        <f t="shared" si="24"/>
        <v>9.9999999999417923</v>
      </c>
      <c r="BU104" s="136">
        <f t="shared" si="36"/>
        <v>45.999999999941792</v>
      </c>
      <c r="BV104" s="135">
        <f t="shared" si="25"/>
        <v>17.000000000058208</v>
      </c>
      <c r="BW104" s="135">
        <f t="shared" si="26"/>
        <v>7.1666666668024845</v>
      </c>
      <c r="BX104" s="134">
        <f t="shared" si="27"/>
        <v>4.8923611111094942</v>
      </c>
      <c r="BY104" s="134">
        <f t="shared" si="28"/>
        <v>19.277777777781012</v>
      </c>
      <c r="BZ104" s="133">
        <f t="shared" si="29"/>
        <v>0.25378242074915308</v>
      </c>
    </row>
    <row r="105" spans="1:78" s="126" customFormat="1">
      <c r="A105" s="192">
        <f t="shared" si="31"/>
        <v>44942.819444444445</v>
      </c>
      <c r="B105" s="126" t="s">
        <v>188</v>
      </c>
      <c r="C105" s="126" t="s">
        <v>76</v>
      </c>
      <c r="D105" s="126" t="s">
        <v>215</v>
      </c>
      <c r="E105" s="126" t="s">
        <v>210</v>
      </c>
      <c r="G105" s="73">
        <v>44940.5</v>
      </c>
      <c r="H105" s="73">
        <v>44940.510416666664</v>
      </c>
      <c r="I105" s="126" t="s">
        <v>460</v>
      </c>
      <c r="J105" s="126" t="s">
        <v>192</v>
      </c>
      <c r="K105" s="126" t="s">
        <v>192</v>
      </c>
      <c r="L105" s="126" t="s">
        <v>463</v>
      </c>
      <c r="M105" s="167"/>
      <c r="N105" s="126" t="s">
        <v>422</v>
      </c>
      <c r="O105" s="126" t="s">
        <v>423</v>
      </c>
      <c r="P105" s="126" t="s">
        <v>76</v>
      </c>
      <c r="Q105" s="181">
        <f>3156*2.4</f>
        <v>7574.4</v>
      </c>
      <c r="R105" s="181">
        <v>7500</v>
      </c>
      <c r="S105" s="181"/>
      <c r="AK105" s="181">
        <f t="shared" si="35"/>
        <v>7500</v>
      </c>
      <c r="AV105" s="165">
        <f t="shared" si="19"/>
        <v>44931.53125</v>
      </c>
      <c r="AW105" s="165">
        <f t="shared" si="20"/>
        <v>44950.527777777781</v>
      </c>
      <c r="AX105" s="137">
        <f t="shared" si="21"/>
        <v>18.996527777781012</v>
      </c>
      <c r="AY105" s="165">
        <v>44931.53125</v>
      </c>
      <c r="AZ105" s="165">
        <v>44939.628472222219</v>
      </c>
      <c r="BA105" s="165">
        <v>44940.0625</v>
      </c>
      <c r="BB105" s="165">
        <v>44942.819444444445</v>
      </c>
      <c r="BC105" s="165">
        <v>44943.166666666664</v>
      </c>
      <c r="BD105" s="165">
        <v>44943.1875</v>
      </c>
      <c r="BE105" s="165">
        <v>44943.1875</v>
      </c>
      <c r="BF105" s="165">
        <f>BE105+(10/24)</f>
        <v>44943.604166666664</v>
      </c>
      <c r="BG105" s="165">
        <v>44943.5</v>
      </c>
      <c r="BH105" s="165">
        <v>44943.666666666664</v>
      </c>
      <c r="BI105" s="165">
        <v>44943.635416666664</v>
      </c>
      <c r="BJ105" s="165">
        <v>44944.815972222219</v>
      </c>
      <c r="BK105" s="165">
        <v>44949.166666666664</v>
      </c>
      <c r="BL105" s="165">
        <v>44950.166666666664</v>
      </c>
      <c r="BM105" s="165">
        <v>44950.190972222219</v>
      </c>
      <c r="BN105" s="165">
        <v>44950.190972222219</v>
      </c>
      <c r="BO105" s="165">
        <v>44950.527777777781</v>
      </c>
      <c r="BR105" s="136">
        <f t="shared" si="22"/>
        <v>10.416666666744277</v>
      </c>
      <c r="BS105" s="136">
        <f t="shared" si="23"/>
        <v>8.3333333332557231</v>
      </c>
      <c r="BT105" s="136">
        <f t="shared" si="24"/>
        <v>9.9999999999417923</v>
      </c>
      <c r="BU105" s="136">
        <f t="shared" si="36"/>
        <v>27.583333333313931</v>
      </c>
      <c r="BV105" s="135">
        <f t="shared" si="25"/>
        <v>24</v>
      </c>
      <c r="BW105" s="135">
        <f t="shared" si="26"/>
        <v>8.0833333334885538</v>
      </c>
      <c r="BX105" s="134">
        <f t="shared" si="27"/>
        <v>3.6840277777810115</v>
      </c>
      <c r="BY105" s="134">
        <f t="shared" si="28"/>
        <v>18.996527777781012</v>
      </c>
      <c r="BZ105" s="133">
        <f t="shared" si="29"/>
        <v>0.19393163955414927</v>
      </c>
    </row>
    <row r="106" spans="1:78" s="126" customFormat="1">
      <c r="A106" s="192">
        <f t="shared" si="31"/>
        <v>44946.333333333336</v>
      </c>
      <c r="B106" s="126" t="s">
        <v>188</v>
      </c>
      <c r="C106" s="126" t="s">
        <v>76</v>
      </c>
      <c r="D106" s="126" t="s">
        <v>197</v>
      </c>
      <c r="E106" s="126" t="s">
        <v>216</v>
      </c>
      <c r="G106" s="256">
        <v>44947.929166666669</v>
      </c>
      <c r="H106" s="256">
        <v>44947.929166666669</v>
      </c>
      <c r="I106" s="126" t="s">
        <v>464</v>
      </c>
      <c r="J106" s="126" t="s">
        <v>192</v>
      </c>
      <c r="K106" s="126" t="s">
        <v>192</v>
      </c>
      <c r="L106" s="126" t="s">
        <v>465</v>
      </c>
      <c r="M106" s="167"/>
      <c r="N106" s="126" t="s">
        <v>429</v>
      </c>
      <c r="O106" s="126" t="s">
        <v>430</v>
      </c>
      <c r="P106" s="126" t="s">
        <v>76</v>
      </c>
      <c r="Q106" s="181">
        <f>3145 *2.4</f>
        <v>7548</v>
      </c>
      <c r="R106" s="181">
        <v>7500</v>
      </c>
      <c r="S106" s="181"/>
      <c r="AK106" s="181">
        <f t="shared" si="35"/>
        <v>7500</v>
      </c>
      <c r="AV106" s="165">
        <f t="shared" si="19"/>
        <v>44938.472222222219</v>
      </c>
      <c r="AW106" s="165">
        <f t="shared" si="20"/>
        <v>44951.927083333336</v>
      </c>
      <c r="AX106" s="137">
        <f t="shared" si="21"/>
        <v>13.45486111111677</v>
      </c>
      <c r="AY106" s="165">
        <v>44938.472222222219</v>
      </c>
      <c r="AZ106" s="165">
        <v>44943.857638888891</v>
      </c>
      <c r="BA106" s="165">
        <v>44944.208333333336</v>
      </c>
      <c r="BB106" s="165">
        <v>44946.333333333336</v>
      </c>
      <c r="BC106" s="165">
        <v>44946.75</v>
      </c>
      <c r="BD106" s="165">
        <v>44946.777777777781</v>
      </c>
      <c r="BE106" s="165">
        <v>44946.777777777781</v>
      </c>
      <c r="BF106" s="165">
        <f>BE106+(10/24)</f>
        <v>44947.194444444445</v>
      </c>
      <c r="BG106" s="165">
        <v>44947.583333333336</v>
      </c>
      <c r="BH106" s="165">
        <v>44947.75</v>
      </c>
      <c r="BI106" s="165">
        <v>44947.628472222219</v>
      </c>
      <c r="BJ106" s="165">
        <v>44949.034722222219</v>
      </c>
      <c r="BK106" s="165">
        <v>44950.989583333336</v>
      </c>
      <c r="BL106" s="165">
        <v>44951.211805555555</v>
      </c>
      <c r="BM106" s="165">
        <v>44951.239583333336</v>
      </c>
      <c r="BN106" s="165">
        <v>44951.243055555555</v>
      </c>
      <c r="BO106" s="165">
        <v>44951.927083333336</v>
      </c>
      <c r="BR106" s="136">
        <f t="shared" si="22"/>
        <v>8.4166666666860692</v>
      </c>
      <c r="BS106" s="136">
        <f t="shared" si="23"/>
        <v>9.9999999999417923</v>
      </c>
      <c r="BT106" s="136">
        <f t="shared" si="24"/>
        <v>9.9999999999417923</v>
      </c>
      <c r="BU106" s="136">
        <f t="shared" si="36"/>
        <v>30.833333333255723</v>
      </c>
      <c r="BV106" s="135">
        <f t="shared" si="25"/>
        <v>5.3333333332557231</v>
      </c>
      <c r="BW106" s="135">
        <f t="shared" si="26"/>
        <v>16.416666666744277</v>
      </c>
      <c r="BX106" s="134">
        <f t="shared" si="27"/>
        <v>3.374999999992724</v>
      </c>
      <c r="BY106" s="134">
        <f t="shared" si="28"/>
        <v>13.45486111111677</v>
      </c>
      <c r="BZ106" s="133">
        <f t="shared" si="29"/>
        <v>0.25083870967677308</v>
      </c>
    </row>
    <row r="107" spans="1:78" s="126" customFormat="1">
      <c r="A107" s="192">
        <f t="shared" si="31"/>
        <v>44946.826388888891</v>
      </c>
      <c r="B107" s="126" t="s">
        <v>188</v>
      </c>
      <c r="C107" s="126" t="s">
        <v>76</v>
      </c>
      <c r="D107" s="126" t="s">
        <v>215</v>
      </c>
      <c r="E107" s="126" t="s">
        <v>220</v>
      </c>
      <c r="G107" s="73">
        <v>44953.208333333336</v>
      </c>
      <c r="H107" s="73">
        <v>44953.104166666664</v>
      </c>
      <c r="I107" s="126" t="s">
        <v>464</v>
      </c>
      <c r="J107" s="126" t="s">
        <v>192</v>
      </c>
      <c r="K107" s="126" t="s">
        <v>192</v>
      </c>
      <c r="L107" s="126" t="s">
        <v>466</v>
      </c>
      <c r="M107" s="167"/>
      <c r="N107" s="126" t="s">
        <v>274</v>
      </c>
      <c r="O107" s="126" t="s">
        <v>275</v>
      </c>
      <c r="P107" s="126" t="s">
        <v>76</v>
      </c>
      <c r="Q107" s="181">
        <f>3097*2.4</f>
        <v>7432.7999999999993</v>
      </c>
      <c r="R107" s="181">
        <v>7500</v>
      </c>
      <c r="S107" s="181"/>
      <c r="AK107" s="181">
        <f t="shared" si="35"/>
        <v>7500</v>
      </c>
      <c r="AV107" s="165">
        <f t="shared" si="19"/>
        <v>44945.46875</v>
      </c>
      <c r="AW107" s="165">
        <f t="shared" si="20"/>
        <v>44953.583333333336</v>
      </c>
      <c r="AX107" s="137">
        <f t="shared" si="21"/>
        <v>8.1145833333357587</v>
      </c>
      <c r="AY107" s="165">
        <v>44945.46875</v>
      </c>
      <c r="AZ107" s="165">
        <v>44946.375</v>
      </c>
      <c r="BA107" s="165">
        <v>44946.78125</v>
      </c>
      <c r="BB107" s="165">
        <v>44946.826388888891</v>
      </c>
      <c r="BC107" s="165">
        <v>44947.177083333336</v>
      </c>
      <c r="BD107" s="165">
        <v>44947.204861111109</v>
      </c>
      <c r="BE107" s="165">
        <v>44947.204861111109</v>
      </c>
      <c r="BF107" s="165">
        <f>BE107+(10/24)</f>
        <v>44947.621527777774</v>
      </c>
      <c r="BG107" s="165">
        <v>44947.583333333336</v>
      </c>
      <c r="BH107" s="165">
        <v>44947.75</v>
      </c>
      <c r="BI107" s="165">
        <v>44947.645833333336</v>
      </c>
      <c r="BJ107" s="165">
        <v>44949.420138888891</v>
      </c>
      <c r="BK107" s="165">
        <v>44951.3125</v>
      </c>
      <c r="BL107" s="165">
        <v>44952.802083333336</v>
      </c>
      <c r="BM107" s="165">
        <v>44952.815972222219</v>
      </c>
      <c r="BN107" s="165">
        <v>44952.819444444445</v>
      </c>
      <c r="BO107" s="165">
        <v>44953.583333333336</v>
      </c>
      <c r="BR107" s="136">
        <f t="shared" si="22"/>
        <v>9.75</v>
      </c>
      <c r="BS107" s="136">
        <f t="shared" si="23"/>
        <v>8.4166666666860692</v>
      </c>
      <c r="BT107" s="136">
        <f t="shared" si="24"/>
        <v>9.9999999999417923</v>
      </c>
      <c r="BU107" s="136">
        <f t="shared" si="36"/>
        <v>40.083333333372138</v>
      </c>
      <c r="BV107" s="135">
        <f t="shared" si="25"/>
        <v>35.750000000058208</v>
      </c>
      <c r="BW107" s="135">
        <f t="shared" si="26"/>
        <v>18.333333333372138</v>
      </c>
      <c r="BX107" s="134">
        <f t="shared" si="27"/>
        <v>5.0972222222262644</v>
      </c>
      <c r="BY107" s="134">
        <f t="shared" si="28"/>
        <v>8.1145833333357587</v>
      </c>
      <c r="BZ107" s="133">
        <f t="shared" si="29"/>
        <v>0.62815575524207334</v>
      </c>
    </row>
    <row r="108" spans="1:78" s="126" customFormat="1">
      <c r="A108" s="192">
        <f t="shared" si="31"/>
        <v>44950.930555555555</v>
      </c>
      <c r="B108" s="126" t="s">
        <v>188</v>
      </c>
      <c r="C108" s="126" t="s">
        <v>76</v>
      </c>
      <c r="D108" s="126" t="s">
        <v>197</v>
      </c>
      <c r="E108" s="126" t="s">
        <v>224</v>
      </c>
      <c r="G108" s="73">
        <v>44952.666666666664</v>
      </c>
      <c r="H108" s="73">
        <v>44952.694444444445</v>
      </c>
      <c r="I108" s="126" t="s">
        <v>460</v>
      </c>
      <c r="J108" s="126" t="s">
        <v>192</v>
      </c>
      <c r="K108" s="126" t="s">
        <v>192</v>
      </c>
      <c r="L108" s="126" t="s">
        <v>467</v>
      </c>
      <c r="M108" s="167"/>
      <c r="N108" s="126" t="s">
        <v>292</v>
      </c>
      <c r="O108" s="126" t="s">
        <v>293</v>
      </c>
      <c r="P108" s="126" t="s">
        <v>76</v>
      </c>
      <c r="Q108" s="181">
        <f>3142*2.4</f>
        <v>7540.7999999999993</v>
      </c>
      <c r="R108" s="181">
        <v>7500</v>
      </c>
      <c r="S108" s="181"/>
      <c r="AK108" s="181">
        <f t="shared" si="35"/>
        <v>7500</v>
      </c>
      <c r="AV108" s="165">
        <f t="shared" si="19"/>
        <v>44947.791666666664</v>
      </c>
      <c r="AW108" s="165">
        <f t="shared" si="20"/>
        <v>44958.791666666664</v>
      </c>
      <c r="AX108" s="137">
        <f t="shared" si="21"/>
        <v>11</v>
      </c>
      <c r="AY108" s="165">
        <f>$AW$31</f>
        <v>44947.791666666664</v>
      </c>
      <c r="AZ108" s="165">
        <v>44948.819444444445</v>
      </c>
      <c r="BA108" s="165">
        <v>44949.555555555555</v>
      </c>
      <c r="BB108" s="165">
        <v>44950.930555555555</v>
      </c>
      <c r="BC108" s="165">
        <v>44951.416666666664</v>
      </c>
      <c r="BD108" s="165">
        <v>44951.430555555555</v>
      </c>
      <c r="BE108" s="165">
        <v>44951.430555555555</v>
      </c>
      <c r="BF108" s="165">
        <f>BE108+(5/24)</f>
        <v>44951.638888888891</v>
      </c>
      <c r="BG108" s="165">
        <v>44952.25</v>
      </c>
      <c r="BH108" s="165">
        <v>44952.416666666664</v>
      </c>
      <c r="BI108" s="165">
        <v>44952.319444444445</v>
      </c>
      <c r="BJ108" s="165">
        <v>44955.166666666664</v>
      </c>
      <c r="BK108" s="165">
        <v>44957.965277777781</v>
      </c>
      <c r="BL108" s="165">
        <v>44958.520833333336</v>
      </c>
      <c r="BM108" s="165">
        <v>44958.548611111109</v>
      </c>
      <c r="BN108" s="165">
        <v>44958.548611111109</v>
      </c>
      <c r="BO108" s="165">
        <v>44958.791666666664</v>
      </c>
      <c r="BR108" s="136">
        <f t="shared" si="22"/>
        <v>17.666666666627862</v>
      </c>
      <c r="BS108" s="136">
        <f t="shared" si="23"/>
        <v>11.666666666627862</v>
      </c>
      <c r="BT108" s="136">
        <f t="shared" si="24"/>
        <v>5.0000000000582077</v>
      </c>
      <c r="BU108" s="136">
        <f t="shared" si="36"/>
        <v>66</v>
      </c>
      <c r="BV108" s="135">
        <f t="shared" si="25"/>
        <v>13.333333333313931</v>
      </c>
      <c r="BW108" s="135">
        <f t="shared" si="26"/>
        <v>5.8333333333139308</v>
      </c>
      <c r="BX108" s="134">
        <f t="shared" si="27"/>
        <v>4.9791666666642413</v>
      </c>
      <c r="BY108" s="134">
        <f t="shared" si="28"/>
        <v>11</v>
      </c>
      <c r="BZ108" s="133">
        <f t="shared" si="29"/>
        <v>0.45265151515129465</v>
      </c>
    </row>
    <row r="109" spans="1:78" s="126" customFormat="1" ht="15" customHeight="1">
      <c r="A109" s="192">
        <f t="shared" si="31"/>
        <v>44956.690972222219</v>
      </c>
      <c r="B109" s="126" t="s">
        <v>188</v>
      </c>
      <c r="C109" s="126" t="s">
        <v>76</v>
      </c>
      <c r="D109" s="126" t="s">
        <v>197</v>
      </c>
      <c r="E109" s="126" t="s">
        <v>393</v>
      </c>
      <c r="G109" s="73">
        <v>44961.854166666664</v>
      </c>
      <c r="H109" s="73">
        <v>44961.895833333336</v>
      </c>
      <c r="I109" s="126" t="s">
        <v>464</v>
      </c>
      <c r="J109" s="126" t="s">
        <v>192</v>
      </c>
      <c r="K109" s="126" t="s">
        <v>192</v>
      </c>
      <c r="L109" s="126" t="s">
        <v>468</v>
      </c>
      <c r="M109" s="167"/>
      <c r="N109" s="126" t="s">
        <v>355</v>
      </c>
      <c r="O109" s="126" t="s">
        <v>356</v>
      </c>
      <c r="P109" s="126" t="s">
        <v>76</v>
      </c>
      <c r="Q109" s="181">
        <f>3107*2.4</f>
        <v>7456.7999999999993</v>
      </c>
      <c r="R109" s="181">
        <v>7500</v>
      </c>
      <c r="S109" s="181"/>
      <c r="AK109" s="181">
        <f t="shared" si="35"/>
        <v>7500</v>
      </c>
      <c r="AV109" s="165">
        <f t="shared" si="19"/>
        <v>44953.916666666664</v>
      </c>
      <c r="AW109" s="165">
        <f t="shared" si="20"/>
        <v>44961.770833333336</v>
      </c>
      <c r="AX109" s="137">
        <f t="shared" si="21"/>
        <v>7.8541666666715173</v>
      </c>
      <c r="AY109" s="165">
        <v>44953.916666666664</v>
      </c>
      <c r="AZ109" s="165">
        <v>44954.829861111109</v>
      </c>
      <c r="BA109" s="165">
        <v>44955.204861111109</v>
      </c>
      <c r="BB109" s="165">
        <v>44956.690972222219</v>
      </c>
      <c r="BC109" s="165">
        <v>44957.125</v>
      </c>
      <c r="BD109" s="165">
        <v>44957.145833333336</v>
      </c>
      <c r="BE109" s="165">
        <v>44957.145833333336</v>
      </c>
      <c r="BF109" s="165">
        <f>BE109+(10/24)</f>
        <v>44957.5625</v>
      </c>
      <c r="BG109" s="165">
        <v>44957.333333333336</v>
      </c>
      <c r="BH109" s="165">
        <v>44957.5</v>
      </c>
      <c r="BI109" s="165">
        <v>44957.513888888891</v>
      </c>
      <c r="BJ109" s="165">
        <v>44959.291666666664</v>
      </c>
      <c r="BK109" s="165">
        <v>44961.059027777781</v>
      </c>
      <c r="BL109" s="165">
        <v>44961.267361111109</v>
      </c>
      <c r="BM109" s="165">
        <v>44961.371527777781</v>
      </c>
      <c r="BN109" s="165">
        <v>44961.375</v>
      </c>
      <c r="BO109" s="165">
        <v>44961.770833333336</v>
      </c>
      <c r="BR109" s="136">
        <f t="shared" si="22"/>
        <v>9</v>
      </c>
      <c r="BS109" s="136">
        <f t="shared" si="23"/>
        <v>10.416666666744277</v>
      </c>
      <c r="BT109" s="136">
        <f t="shared" si="24"/>
        <v>9.9999999999417923</v>
      </c>
      <c r="BU109" s="136">
        <f t="shared" si="36"/>
        <v>42.999999999941792</v>
      </c>
      <c r="BV109" s="135">
        <f t="shared" si="25"/>
        <v>4.9999999998835847</v>
      </c>
      <c r="BW109" s="135">
        <f t="shared" si="26"/>
        <v>9.5000000000582077</v>
      </c>
      <c r="BX109" s="134">
        <f t="shared" si="27"/>
        <v>3.6215277777737356</v>
      </c>
      <c r="BY109" s="134">
        <f t="shared" si="28"/>
        <v>7.8541666666715173</v>
      </c>
      <c r="BZ109" s="133">
        <f t="shared" si="29"/>
        <v>0.46109637488867894</v>
      </c>
    </row>
    <row r="110" spans="1:78" s="126" customFormat="1">
      <c r="A110" s="192">
        <f t="shared" si="31"/>
        <v>44937.409722222219</v>
      </c>
      <c r="B110" s="126" t="s">
        <v>228</v>
      </c>
      <c r="C110" s="126" t="s">
        <v>229</v>
      </c>
      <c r="D110" s="126" t="s">
        <v>197</v>
      </c>
      <c r="E110" s="126" t="s">
        <v>241</v>
      </c>
      <c r="F110" s="126" t="s">
        <v>242</v>
      </c>
      <c r="G110" s="73">
        <v>44952.4375</v>
      </c>
      <c r="H110" s="73">
        <v>44952.388888888891</v>
      </c>
      <c r="I110" s="126" t="s">
        <v>469</v>
      </c>
      <c r="J110" s="126" t="s">
        <v>192</v>
      </c>
      <c r="K110" s="126" t="s">
        <v>192</v>
      </c>
      <c r="L110" s="126" t="s">
        <v>470</v>
      </c>
      <c r="M110" s="167"/>
      <c r="N110" s="126" t="s">
        <v>406</v>
      </c>
      <c r="O110" s="126" t="s">
        <v>407</v>
      </c>
      <c r="P110" s="126" t="s">
        <v>172</v>
      </c>
      <c r="Q110" s="181">
        <f>3107*2.4</f>
        <v>7456.7999999999993</v>
      </c>
      <c r="R110" s="181">
        <v>7530.6409999999996</v>
      </c>
      <c r="S110" s="181"/>
      <c r="Y110" s="181">
        <f>R110</f>
        <v>7530.6409999999996</v>
      </c>
      <c r="AV110" s="165">
        <f t="shared" si="19"/>
        <v>44923.920138888891</v>
      </c>
      <c r="AW110" s="165">
        <f t="shared" si="20"/>
        <v>44948.479166666664</v>
      </c>
      <c r="AX110" s="137">
        <f t="shared" si="21"/>
        <v>24.559027777773736</v>
      </c>
      <c r="AY110" s="165">
        <v>44923.920138888891</v>
      </c>
      <c r="AZ110" s="165">
        <v>44924.864583333336</v>
      </c>
      <c r="BA110" s="165">
        <v>44926.107638888891</v>
      </c>
      <c r="BB110" s="165">
        <v>44937.409722222219</v>
      </c>
      <c r="BC110" s="165">
        <v>44937.597222222219</v>
      </c>
      <c r="BD110" s="165">
        <v>44937.600694444445</v>
      </c>
      <c r="BE110" s="165">
        <v>44937.600694444445</v>
      </c>
      <c r="BF110" s="165">
        <f>BE110+(41/24)</f>
        <v>44939.309027777781</v>
      </c>
      <c r="BG110" s="165">
        <v>44939.291666666664</v>
      </c>
      <c r="BH110" s="165">
        <v>44939.458333333328</v>
      </c>
      <c r="BI110" s="165">
        <v>44939.364583333336</v>
      </c>
      <c r="BJ110" s="165">
        <v>44941.079861111109</v>
      </c>
      <c r="BK110" s="165">
        <v>44947.572916666664</v>
      </c>
      <c r="BL110" s="165">
        <v>44947.854166666664</v>
      </c>
      <c r="BM110" s="165">
        <v>44947.864583333336</v>
      </c>
      <c r="BN110" s="165">
        <v>44947.920138888891</v>
      </c>
      <c r="BO110" s="165">
        <v>44948.479166666664</v>
      </c>
      <c r="BR110" s="136">
        <f t="shared" si="22"/>
        <v>29.833333333313931</v>
      </c>
      <c r="BS110" s="136">
        <f t="shared" si="23"/>
        <v>4.5</v>
      </c>
      <c r="BT110" s="136">
        <f t="shared" si="24"/>
        <v>41.000000000058208</v>
      </c>
      <c r="BU110" s="136">
        <f t="shared" si="36"/>
        <v>38.916666666744277</v>
      </c>
      <c r="BV110" s="135">
        <f t="shared" si="25"/>
        <v>6.75</v>
      </c>
      <c r="BW110" s="135">
        <f t="shared" si="26"/>
        <v>13.416666666569654</v>
      </c>
      <c r="BX110" s="134">
        <f t="shared" si="27"/>
        <v>5.6006944444452529</v>
      </c>
      <c r="BY110" s="134">
        <f t="shared" si="28"/>
        <v>24.559027777773736</v>
      </c>
      <c r="BZ110" s="133">
        <f t="shared" si="29"/>
        <v>0.22805033224946958</v>
      </c>
    </row>
    <row r="111" spans="1:78" s="126" customFormat="1">
      <c r="A111" s="192">
        <f t="shared" si="31"/>
        <v>44940.607638888891</v>
      </c>
      <c r="B111" s="126" t="s">
        <v>228</v>
      </c>
      <c r="C111" s="126" t="s">
        <v>229</v>
      </c>
      <c r="D111" s="126" t="s">
        <v>197</v>
      </c>
      <c r="E111" s="126" t="s">
        <v>282</v>
      </c>
      <c r="G111" s="73">
        <v>44940.5</v>
      </c>
      <c r="H111" s="73">
        <v>44940.510416666664</v>
      </c>
      <c r="I111" s="126" t="s">
        <v>471</v>
      </c>
      <c r="J111" s="126" t="s">
        <v>192</v>
      </c>
      <c r="K111" s="126" t="s">
        <v>192</v>
      </c>
      <c r="L111" s="126" t="s">
        <v>472</v>
      </c>
      <c r="M111" s="167"/>
      <c r="N111" s="126" t="s">
        <v>473</v>
      </c>
      <c r="O111" s="126" t="s">
        <v>474</v>
      </c>
      <c r="P111" s="126" t="s">
        <v>172</v>
      </c>
      <c r="Q111" s="181">
        <f>3136*2.4</f>
        <v>7526.4</v>
      </c>
      <c r="R111" s="181">
        <v>7514.82</v>
      </c>
      <c r="S111" s="181"/>
      <c r="Y111" s="181">
        <f>R111</f>
        <v>7514.82</v>
      </c>
      <c r="AV111" s="165">
        <f t="shared" si="19"/>
        <v>44925.520833333336</v>
      </c>
      <c r="AW111" s="165">
        <f t="shared" si="20"/>
        <v>44948.791666666664</v>
      </c>
      <c r="AX111" s="137">
        <f t="shared" si="21"/>
        <v>23.270833333328483</v>
      </c>
      <c r="AY111" s="165">
        <v>44925.520833333336</v>
      </c>
      <c r="AZ111" s="165">
        <v>44937.572916666664</v>
      </c>
      <c r="BA111" s="165">
        <v>44939.145833333336</v>
      </c>
      <c r="BB111" s="165">
        <v>44940.607638888891</v>
      </c>
      <c r="BC111" s="165">
        <v>44940.934027777781</v>
      </c>
      <c r="BD111" s="165">
        <v>44940.947916666664</v>
      </c>
      <c r="BE111" s="165">
        <v>44940.947916666664</v>
      </c>
      <c r="BF111" s="165">
        <f>BE111+(41/24)</f>
        <v>44942.65625</v>
      </c>
      <c r="BG111" s="165">
        <v>44943.5</v>
      </c>
      <c r="BH111" s="165">
        <v>44943.666666666664</v>
      </c>
      <c r="BI111" s="165">
        <v>44943.652777777781</v>
      </c>
      <c r="BJ111" s="165">
        <v>44944.670138888891</v>
      </c>
      <c r="BK111" s="165">
        <v>44947.684027777781</v>
      </c>
      <c r="BL111" s="165">
        <v>44948.427083333336</v>
      </c>
      <c r="BM111" s="165">
        <v>44948.434027777781</v>
      </c>
      <c r="BN111" s="165">
        <v>44948.434027777781</v>
      </c>
      <c r="BO111" s="165">
        <v>44948.791666666664</v>
      </c>
      <c r="BP111" s="126" t="s">
        <v>286</v>
      </c>
      <c r="BR111" s="136">
        <f t="shared" si="22"/>
        <v>37.750000000116415</v>
      </c>
      <c r="BS111" s="136">
        <f t="shared" si="23"/>
        <v>7.8333333333721384</v>
      </c>
      <c r="BT111" s="136">
        <f t="shared" si="24"/>
        <v>41.000000000058208</v>
      </c>
      <c r="BU111" s="136">
        <f t="shared" si="36"/>
        <v>24.083333333430346</v>
      </c>
      <c r="BV111" s="135">
        <f t="shared" si="25"/>
        <v>17.833333333313931</v>
      </c>
      <c r="BW111" s="135">
        <f t="shared" si="26"/>
        <v>8.5833333331975155</v>
      </c>
      <c r="BX111" s="134">
        <f t="shared" si="27"/>
        <v>5.7118055555620231</v>
      </c>
      <c r="BY111" s="134">
        <f t="shared" si="28"/>
        <v>23.270833333328483</v>
      </c>
      <c r="BZ111" s="133">
        <f t="shared" si="29"/>
        <v>0.2454491196661005</v>
      </c>
    </row>
    <row r="112" spans="1:78" s="126" customFormat="1">
      <c r="A112" s="192">
        <f t="shared" si="31"/>
        <v>44955.511805555558</v>
      </c>
      <c r="B112" s="126" t="s">
        <v>228</v>
      </c>
      <c r="C112" s="126" t="s">
        <v>229</v>
      </c>
      <c r="D112" s="126" t="s">
        <v>197</v>
      </c>
      <c r="E112" s="126" t="s">
        <v>394</v>
      </c>
      <c r="G112" s="73">
        <v>44956.833333333336</v>
      </c>
      <c r="H112" s="73">
        <v>44956.833333333336</v>
      </c>
      <c r="I112" s="126" t="s">
        <v>471</v>
      </c>
      <c r="J112" s="126" t="s">
        <v>192</v>
      </c>
      <c r="K112" s="126" t="s">
        <v>192</v>
      </c>
      <c r="L112" s="126" t="s">
        <v>475</v>
      </c>
      <c r="M112" s="167"/>
      <c r="N112" s="126" t="s">
        <v>473</v>
      </c>
      <c r="O112" s="126" t="s">
        <v>474</v>
      </c>
      <c r="P112" s="126" t="s">
        <v>172</v>
      </c>
      <c r="Q112" s="181">
        <f>3136*2.4</f>
        <v>7526.4</v>
      </c>
      <c r="R112" s="181">
        <v>7501.8609999999999</v>
      </c>
      <c r="S112" s="181"/>
      <c r="Y112" s="181">
        <f>R112</f>
        <v>7501.8609999999999</v>
      </c>
      <c r="AV112" s="165">
        <f t="shared" si="19"/>
        <v>44948.791666666664</v>
      </c>
      <c r="AW112" s="165">
        <f t="shared" si="20"/>
        <v>44961.854166666664</v>
      </c>
      <c r="AX112" s="137">
        <f t="shared" si="21"/>
        <v>13.0625</v>
      </c>
      <c r="AY112" s="165">
        <v>44948.791666666664</v>
      </c>
      <c r="AZ112" s="165">
        <v>44949.847222222219</v>
      </c>
      <c r="BA112" s="165">
        <v>44951.28125</v>
      </c>
      <c r="BB112" s="165">
        <v>44955.511805555558</v>
      </c>
      <c r="BC112" s="165">
        <v>44955.743055555555</v>
      </c>
      <c r="BD112" s="165">
        <v>44955.75</v>
      </c>
      <c r="BE112" s="165">
        <v>44955.75</v>
      </c>
      <c r="BF112" s="165">
        <f>BE112+(41/24)</f>
        <v>44957.458333333336</v>
      </c>
      <c r="BG112" s="165">
        <v>44958.5</v>
      </c>
      <c r="BH112" s="165">
        <v>44958.666666666664</v>
      </c>
      <c r="BI112" s="165">
        <v>44958.670138888891</v>
      </c>
      <c r="BJ112" s="165">
        <v>44959.666666666664</v>
      </c>
      <c r="BK112" s="165">
        <v>44961.3125</v>
      </c>
      <c r="BL112" s="165">
        <v>44961.548611111109</v>
      </c>
      <c r="BM112" s="165">
        <v>44961.569444444445</v>
      </c>
      <c r="BN112" s="165">
        <v>44961.569444444445</v>
      </c>
      <c r="BO112" s="165">
        <v>44961.854166666664</v>
      </c>
      <c r="BR112" s="136">
        <f t="shared" si="22"/>
        <v>34.416666666744277</v>
      </c>
      <c r="BS112" s="136">
        <f t="shared" si="23"/>
        <v>5.5499999999301508</v>
      </c>
      <c r="BT112" s="136">
        <f t="shared" si="24"/>
        <v>41.000000000058208</v>
      </c>
      <c r="BU112" s="136">
        <f t="shared" si="36"/>
        <v>24</v>
      </c>
      <c r="BV112" s="135">
        <f t="shared" si="25"/>
        <v>5.6666666666278616</v>
      </c>
      <c r="BW112" s="135">
        <f t="shared" si="26"/>
        <v>6.8333333332557231</v>
      </c>
      <c r="BX112" s="134">
        <f t="shared" si="27"/>
        <v>4.8944444444423425</v>
      </c>
      <c r="BY112" s="134">
        <f t="shared" si="28"/>
        <v>13.0625</v>
      </c>
      <c r="BZ112" s="133">
        <f t="shared" si="29"/>
        <v>0.37469431153625588</v>
      </c>
    </row>
    <row r="113" spans="1:78" s="126" customFormat="1">
      <c r="A113" s="192">
        <f t="shared" si="31"/>
        <v>44953.529861111114</v>
      </c>
      <c r="B113" s="126" t="s">
        <v>228</v>
      </c>
      <c r="C113" s="126" t="s">
        <v>229</v>
      </c>
      <c r="D113" s="126" t="s">
        <v>197</v>
      </c>
      <c r="E113" s="126" t="s">
        <v>393</v>
      </c>
      <c r="G113" s="73">
        <v>44961.854166666664</v>
      </c>
      <c r="H113" s="73">
        <v>44961.895833333336</v>
      </c>
      <c r="I113" s="126" t="s">
        <v>469</v>
      </c>
      <c r="J113" s="126" t="s">
        <v>192</v>
      </c>
      <c r="K113" s="126" t="s">
        <v>192</v>
      </c>
      <c r="L113" s="126" t="s">
        <v>476</v>
      </c>
      <c r="M113" s="167"/>
      <c r="N113" s="126" t="s">
        <v>304</v>
      </c>
      <c r="O113" s="126" t="s">
        <v>305</v>
      </c>
      <c r="P113" s="126" t="s">
        <v>172</v>
      </c>
      <c r="Q113" s="181">
        <f>3107*2.4</f>
        <v>7456.7999999999993</v>
      </c>
      <c r="R113" s="181">
        <v>7535.1040000000003</v>
      </c>
      <c r="S113" s="181"/>
      <c r="Y113" s="181">
        <f>R113</f>
        <v>7535.1040000000003</v>
      </c>
      <c r="AV113" s="165">
        <f t="shared" si="19"/>
        <v>44951.270833333336</v>
      </c>
      <c r="AW113" s="165">
        <f t="shared" si="20"/>
        <v>44960.319444444445</v>
      </c>
      <c r="AX113" s="137">
        <f t="shared" si="21"/>
        <v>9.0486111111094942</v>
      </c>
      <c r="AY113" s="165">
        <v>44951.270833333336</v>
      </c>
      <c r="AZ113" s="165">
        <v>44951.864583333336</v>
      </c>
      <c r="BA113" s="165">
        <v>44953.479166666664</v>
      </c>
      <c r="BB113" s="165">
        <v>44953.529861111114</v>
      </c>
      <c r="BC113" s="165">
        <v>44953.708333333336</v>
      </c>
      <c r="BD113" s="165">
        <v>44953.71875</v>
      </c>
      <c r="BE113" s="165">
        <v>44953.291666666664</v>
      </c>
      <c r="BF113" s="165">
        <f>BE113+(41/24)</f>
        <v>44955</v>
      </c>
      <c r="BG113" s="165">
        <v>44956.333333333336</v>
      </c>
      <c r="BH113" s="165">
        <v>44956.5</v>
      </c>
      <c r="BI113" s="165">
        <v>44956.395833333336</v>
      </c>
      <c r="BJ113" s="165">
        <v>44958.104166666664</v>
      </c>
      <c r="BK113" s="165">
        <v>44959.513888888891</v>
      </c>
      <c r="BL113" s="165">
        <v>44959.697916666664</v>
      </c>
      <c r="BM113" s="165">
        <v>44959.784722222219</v>
      </c>
      <c r="BN113" s="165">
        <v>44959.875</v>
      </c>
      <c r="BO113" s="165">
        <v>44960.319444444445</v>
      </c>
      <c r="BR113" s="136">
        <f t="shared" si="22"/>
        <v>38.749999999883585</v>
      </c>
      <c r="BS113" s="136">
        <f t="shared" si="23"/>
        <v>4.2833333333255723</v>
      </c>
      <c r="BT113" s="136">
        <f t="shared" si="24"/>
        <v>41.000000000058208</v>
      </c>
      <c r="BU113" s="136">
        <f t="shared" si="36"/>
        <v>38.499999999941792</v>
      </c>
      <c r="BV113" s="135">
        <f t="shared" si="25"/>
        <v>4.4166666665696539</v>
      </c>
      <c r="BW113" s="135">
        <f t="shared" si="26"/>
        <v>10.666666666686069</v>
      </c>
      <c r="BX113" s="134">
        <f t="shared" si="27"/>
        <v>5.73402777776937</v>
      </c>
      <c r="BY113" s="134">
        <f t="shared" si="28"/>
        <v>9.0486111111094942</v>
      </c>
      <c r="BZ113" s="133">
        <f t="shared" si="29"/>
        <v>0.63369148119642116</v>
      </c>
    </row>
    <row r="114" spans="1:78" s="126" customFormat="1">
      <c r="A114" s="192">
        <f t="shared" si="31"/>
        <v>44955.045138888891</v>
      </c>
      <c r="B114" s="126" t="s">
        <v>188</v>
      </c>
      <c r="C114" s="126" t="s">
        <v>100</v>
      </c>
      <c r="D114" s="126" t="s">
        <v>189</v>
      </c>
      <c r="E114" s="126" t="s">
        <v>446</v>
      </c>
      <c r="G114" s="165">
        <v>44973.962500000001</v>
      </c>
      <c r="H114" s="165">
        <v>44973.962500000001</v>
      </c>
      <c r="I114" s="126" t="s">
        <v>477</v>
      </c>
      <c r="J114" s="126" t="s">
        <v>192</v>
      </c>
      <c r="K114" s="126" t="s">
        <v>192</v>
      </c>
      <c r="L114" s="126" t="s">
        <v>478</v>
      </c>
      <c r="M114" s="167"/>
      <c r="N114" s="126" t="s">
        <v>479</v>
      </c>
      <c r="O114" s="126" t="s">
        <v>480</v>
      </c>
      <c r="P114" s="126" t="s">
        <v>100</v>
      </c>
      <c r="Q114" s="181">
        <v>7500</v>
      </c>
      <c r="R114" s="181">
        <v>7539.3</v>
      </c>
      <c r="S114" s="181"/>
      <c r="AJ114" s="181"/>
      <c r="AS114" s="181"/>
      <c r="AT114" s="181"/>
      <c r="AU114" s="181">
        <f>R114</f>
        <v>7539.3</v>
      </c>
      <c r="AV114" s="165">
        <f t="shared" si="19"/>
        <v>44955.0625</v>
      </c>
      <c r="AW114" s="165">
        <f t="shared" si="20"/>
        <v>44964.805555555555</v>
      </c>
      <c r="AX114" s="137">
        <f t="shared" si="21"/>
        <v>9.7430555555547471</v>
      </c>
      <c r="AY114" s="165">
        <v>44955.0625</v>
      </c>
      <c r="AZ114" s="165">
        <v>44955.0625</v>
      </c>
      <c r="BA114" s="165">
        <v>44955.0625</v>
      </c>
      <c r="BB114" s="165">
        <v>44955.045138888891</v>
      </c>
      <c r="BC114" s="165">
        <v>44956.604166666664</v>
      </c>
      <c r="BD114" s="165">
        <v>44956.645833333336</v>
      </c>
      <c r="BE114" s="165">
        <v>44956.645833333336</v>
      </c>
      <c r="BF114" s="165">
        <v>44956.645833333336</v>
      </c>
      <c r="BG114" s="166" t="s">
        <v>196</v>
      </c>
      <c r="BH114" s="166" t="s">
        <v>196</v>
      </c>
      <c r="BI114" s="166" t="s">
        <v>196</v>
      </c>
      <c r="BJ114" s="165">
        <v>44960.125</v>
      </c>
      <c r="BK114" s="165">
        <v>44963.663194444445</v>
      </c>
      <c r="BL114" s="165">
        <v>44964.791666666664</v>
      </c>
      <c r="BM114" s="165">
        <v>44964.805555555555</v>
      </c>
      <c r="BN114" s="165">
        <v>44964.805555555555</v>
      </c>
      <c r="BO114" s="165">
        <v>44964.805555555555</v>
      </c>
      <c r="BR114" s="136">
        <f t="shared" si="22"/>
        <v>0</v>
      </c>
      <c r="BS114" s="136">
        <f t="shared" si="23"/>
        <v>37.416666666569654</v>
      </c>
      <c r="BT114" s="136">
        <f t="shared" si="24"/>
        <v>0</v>
      </c>
      <c r="BU114" s="136">
        <f>(BJ114-BF114)*24</f>
        <v>83.499999999941792</v>
      </c>
      <c r="BV114" s="135">
        <f t="shared" si="25"/>
        <v>27.083333333255723</v>
      </c>
      <c r="BW114" s="135">
        <f t="shared" si="26"/>
        <v>0</v>
      </c>
      <c r="BX114" s="134">
        <f t="shared" si="27"/>
        <v>6.1666666666569654</v>
      </c>
      <c r="BY114" s="134">
        <f t="shared" si="28"/>
        <v>9.7430555555547471</v>
      </c>
      <c r="BZ114" s="133">
        <f t="shared" si="29"/>
        <v>0.63292943691994064</v>
      </c>
    </row>
    <row r="115" spans="1:78" s="126" customFormat="1">
      <c r="A115" s="192"/>
      <c r="D115" s="126" t="s">
        <v>215</v>
      </c>
      <c r="G115" s="165"/>
      <c r="H115" s="165"/>
      <c r="J115" s="126" t="s">
        <v>312</v>
      </c>
      <c r="L115" s="126" t="s">
        <v>481</v>
      </c>
      <c r="M115" s="167"/>
      <c r="N115" s="126" t="s">
        <v>482</v>
      </c>
      <c r="O115" s="126" t="s">
        <v>483</v>
      </c>
      <c r="Q115" s="181">
        <f>3107*2.4</f>
        <v>7456.7999999999993</v>
      </c>
      <c r="R115" s="181"/>
      <c r="S115" s="181"/>
      <c r="T115" s="181"/>
      <c r="U115" s="181"/>
      <c r="AV115" s="165">
        <f t="shared" si="19"/>
        <v>44927</v>
      </c>
      <c r="AW115" s="165">
        <f t="shared" si="20"/>
        <v>44958</v>
      </c>
      <c r="AX115" s="137">
        <f t="shared" si="21"/>
        <v>31</v>
      </c>
      <c r="AY115" s="165">
        <v>44927</v>
      </c>
      <c r="AZ115" s="165"/>
      <c r="BA115" s="165"/>
      <c r="BB115" s="165"/>
      <c r="BC115" s="165"/>
      <c r="BD115" s="165"/>
      <c r="BE115" s="165"/>
      <c r="BF115" s="165"/>
      <c r="BG115" s="165"/>
      <c r="BH115" s="165"/>
      <c r="BI115" s="166"/>
      <c r="BJ115" s="165"/>
      <c r="BK115" s="165"/>
      <c r="BL115" s="165"/>
      <c r="BM115" s="165"/>
      <c r="BN115" s="165"/>
      <c r="BO115" s="165">
        <v>44958</v>
      </c>
      <c r="BR115" s="136">
        <f t="shared" si="22"/>
        <v>0</v>
      </c>
      <c r="BS115" s="136">
        <f t="shared" si="23"/>
        <v>0</v>
      </c>
      <c r="BT115" s="136">
        <f t="shared" si="24"/>
        <v>0</v>
      </c>
      <c r="BU115" s="136">
        <f t="shared" ref="BU115:BU128" si="37">(BJ115-BH115)*24</f>
        <v>0</v>
      </c>
      <c r="BV115" s="135">
        <f t="shared" si="25"/>
        <v>0</v>
      </c>
      <c r="BW115" s="135">
        <f t="shared" si="26"/>
        <v>1078992</v>
      </c>
      <c r="BX115" s="134">
        <f t="shared" si="27"/>
        <v>44958</v>
      </c>
      <c r="BY115" s="134">
        <f t="shared" si="28"/>
        <v>31</v>
      </c>
      <c r="BZ115" s="133">
        <f t="shared" si="29"/>
        <v>1450.258064516129</v>
      </c>
    </row>
    <row r="116" spans="1:78" s="126" customFormat="1">
      <c r="A116" s="192"/>
      <c r="D116" s="126" t="s">
        <v>215</v>
      </c>
      <c r="J116" s="126" t="s">
        <v>312</v>
      </c>
      <c r="L116" s="126" t="s">
        <v>484</v>
      </c>
      <c r="M116" s="167"/>
      <c r="N116" s="126" t="s">
        <v>485</v>
      </c>
      <c r="O116" s="126" t="s">
        <v>486</v>
      </c>
      <c r="Q116" s="181">
        <f>3102*2.4</f>
        <v>7444.7999999999993</v>
      </c>
      <c r="R116" s="181"/>
      <c r="S116" s="181"/>
      <c r="T116" s="181"/>
      <c r="AV116" s="165">
        <f t="shared" si="19"/>
        <v>44927</v>
      </c>
      <c r="AW116" s="165">
        <f t="shared" si="20"/>
        <v>44958</v>
      </c>
      <c r="AX116" s="137">
        <f t="shared" si="21"/>
        <v>31</v>
      </c>
      <c r="AY116" s="165">
        <v>44927</v>
      </c>
      <c r="AZ116" s="165"/>
      <c r="BA116" s="165"/>
      <c r="BB116" s="165"/>
      <c r="BC116" s="165"/>
      <c r="BD116" s="165"/>
      <c r="BE116" s="165"/>
      <c r="BF116" s="165"/>
      <c r="BG116" s="165"/>
      <c r="BH116" s="165"/>
      <c r="BI116" s="166"/>
      <c r="BJ116" s="165"/>
      <c r="BK116" s="165"/>
      <c r="BL116" s="165"/>
      <c r="BM116" s="165"/>
      <c r="BN116" s="165"/>
      <c r="BO116" s="165">
        <v>44958</v>
      </c>
      <c r="BP116" s="126" t="s">
        <v>487</v>
      </c>
      <c r="BR116" s="136">
        <f t="shared" si="22"/>
        <v>0</v>
      </c>
      <c r="BS116" s="136">
        <f t="shared" si="23"/>
        <v>0</v>
      </c>
      <c r="BT116" s="136">
        <f t="shared" si="24"/>
        <v>0</v>
      </c>
      <c r="BU116" s="136">
        <f t="shared" si="37"/>
        <v>0</v>
      </c>
      <c r="BV116" s="135">
        <f t="shared" si="25"/>
        <v>0</v>
      </c>
      <c r="BW116" s="135">
        <f t="shared" si="26"/>
        <v>1078992</v>
      </c>
      <c r="BX116" s="134">
        <f t="shared" si="27"/>
        <v>44958</v>
      </c>
      <c r="BY116" s="134">
        <f t="shared" si="28"/>
        <v>31</v>
      </c>
      <c r="BZ116" s="133">
        <f t="shared" si="29"/>
        <v>1450.258064516129</v>
      </c>
    </row>
    <row r="117" spans="1:78" s="126" customFormat="1">
      <c r="A117" s="192"/>
      <c r="D117" s="126" t="s">
        <v>197</v>
      </c>
      <c r="J117" s="126" t="s">
        <v>312</v>
      </c>
      <c r="L117" s="126" t="s">
        <v>488</v>
      </c>
      <c r="M117" s="167"/>
      <c r="N117" s="126" t="s">
        <v>489</v>
      </c>
      <c r="O117" s="126" t="s">
        <v>483</v>
      </c>
      <c r="Q117" s="181">
        <f>3107*2.4</f>
        <v>7456.7999999999993</v>
      </c>
      <c r="R117" s="181"/>
      <c r="S117" s="181"/>
      <c r="AV117" s="165">
        <f t="shared" si="19"/>
        <v>44927</v>
      </c>
      <c r="AW117" s="165">
        <f t="shared" si="20"/>
        <v>44958</v>
      </c>
      <c r="AX117" s="137">
        <f t="shared" si="21"/>
        <v>31</v>
      </c>
      <c r="AY117" s="165">
        <v>44927</v>
      </c>
      <c r="AZ117" s="165"/>
      <c r="BA117" s="165"/>
      <c r="BB117" s="165"/>
      <c r="BC117" s="165"/>
      <c r="BD117" s="165"/>
      <c r="BE117" s="165"/>
      <c r="BF117" s="165"/>
      <c r="BG117" s="165"/>
      <c r="BH117" s="165"/>
      <c r="BI117" s="166"/>
      <c r="BJ117" s="165"/>
      <c r="BK117" s="165"/>
      <c r="BL117" s="165"/>
      <c r="BM117" s="165"/>
      <c r="BN117" s="165"/>
      <c r="BO117" s="165">
        <v>44958</v>
      </c>
      <c r="BR117" s="136">
        <f t="shared" si="22"/>
        <v>0</v>
      </c>
      <c r="BS117" s="136">
        <f t="shared" si="23"/>
        <v>0</v>
      </c>
      <c r="BT117" s="136">
        <f t="shared" si="24"/>
        <v>0</v>
      </c>
      <c r="BU117" s="136">
        <f t="shared" si="37"/>
        <v>0</v>
      </c>
      <c r="BV117" s="135">
        <f t="shared" si="25"/>
        <v>0</v>
      </c>
      <c r="BW117" s="135">
        <f t="shared" si="26"/>
        <v>1078992</v>
      </c>
      <c r="BX117" s="134">
        <f t="shared" si="27"/>
        <v>44958</v>
      </c>
      <c r="BY117" s="134">
        <f t="shared" si="28"/>
        <v>31</v>
      </c>
      <c r="BZ117" s="133">
        <f t="shared" si="29"/>
        <v>1450.258064516129</v>
      </c>
    </row>
    <row r="118" spans="1:78" s="126" customFormat="1">
      <c r="A118" s="192">
        <f t="shared" ref="A118:A128" si="38">BB118</f>
        <v>44943.805555555555</v>
      </c>
      <c r="B118" s="126" t="s">
        <v>228</v>
      </c>
      <c r="C118" s="126" t="s">
        <v>229</v>
      </c>
      <c r="D118" s="126" t="s">
        <v>197</v>
      </c>
      <c r="E118" s="126" t="s">
        <v>325</v>
      </c>
      <c r="G118" s="73">
        <v>44951.541666666664</v>
      </c>
      <c r="H118" s="73">
        <v>44951.54583333333</v>
      </c>
      <c r="I118" s="126" t="s">
        <v>490</v>
      </c>
      <c r="J118" s="126" t="s">
        <v>192</v>
      </c>
      <c r="K118" s="126" t="s">
        <v>192</v>
      </c>
      <c r="L118" s="126" t="s">
        <v>491</v>
      </c>
      <c r="M118" s="167"/>
      <c r="N118" s="126" t="s">
        <v>492</v>
      </c>
      <c r="O118" s="126" t="s">
        <v>493</v>
      </c>
      <c r="P118" s="126" t="s">
        <v>494</v>
      </c>
      <c r="Q118" s="181">
        <f>3152*2.4</f>
        <v>7564.7999999999993</v>
      </c>
      <c r="R118" s="181">
        <v>7218.3879999999999</v>
      </c>
      <c r="S118" s="181"/>
      <c r="T118" s="181">
        <f>R118</f>
        <v>7218.3879999999999</v>
      </c>
      <c r="AV118" s="165">
        <f t="shared" si="19"/>
        <v>44928.166666666664</v>
      </c>
      <c r="AW118" s="165">
        <f t="shared" si="20"/>
        <v>44954.479166666664</v>
      </c>
      <c r="AX118" s="137">
        <f t="shared" si="21"/>
        <v>26.3125</v>
      </c>
      <c r="AY118" s="165">
        <v>44928.166666666664</v>
      </c>
      <c r="AZ118" s="165">
        <v>44938.554166666669</v>
      </c>
      <c r="BA118" s="165">
        <v>44940.201388888891</v>
      </c>
      <c r="BB118" s="165">
        <v>44943.805555555555</v>
      </c>
      <c r="BC118" s="165">
        <v>44943.951388888891</v>
      </c>
      <c r="BD118" s="165">
        <v>44943.954861111109</v>
      </c>
      <c r="BE118" s="165">
        <v>44944.270833333336</v>
      </c>
      <c r="BF118" s="165">
        <f t="shared" ref="BF118:BF128" si="39">BE118+(41/24)</f>
        <v>44945.979166666672</v>
      </c>
      <c r="BG118" s="165">
        <v>44946.583333333336</v>
      </c>
      <c r="BH118" s="165">
        <v>44946.75</v>
      </c>
      <c r="BI118" s="165">
        <v>44946.65625</v>
      </c>
      <c r="BJ118" s="165">
        <v>44950.84375</v>
      </c>
      <c r="BK118" s="165">
        <v>44953.892361111109</v>
      </c>
      <c r="BL118" s="165">
        <v>44954.128472222219</v>
      </c>
      <c r="BM118" s="165">
        <v>44954.149305555555</v>
      </c>
      <c r="BN118" s="165">
        <v>44954.149305555555</v>
      </c>
      <c r="BO118" s="165">
        <v>44954.479166666664</v>
      </c>
      <c r="BP118" s="126" t="s">
        <v>290</v>
      </c>
      <c r="BR118" s="136">
        <f t="shared" si="22"/>
        <v>39.533333333325572</v>
      </c>
      <c r="BS118" s="136">
        <f t="shared" si="23"/>
        <v>3.5000000000582077</v>
      </c>
      <c r="BT118" s="136">
        <f t="shared" si="24"/>
        <v>41.000000000058208</v>
      </c>
      <c r="BU118" s="136">
        <f t="shared" si="37"/>
        <v>98.25</v>
      </c>
      <c r="BV118" s="135">
        <f t="shared" si="25"/>
        <v>5.6666666666278616</v>
      </c>
      <c r="BW118" s="135">
        <f t="shared" si="26"/>
        <v>7.9166666666278616</v>
      </c>
      <c r="BX118" s="134">
        <f t="shared" si="27"/>
        <v>8.1611111111124046</v>
      </c>
      <c r="BY118" s="134">
        <f t="shared" si="28"/>
        <v>26.3125</v>
      </c>
      <c r="BZ118" s="133">
        <f t="shared" si="29"/>
        <v>0.31016099234631467</v>
      </c>
    </row>
    <row r="119" spans="1:78" s="126" customFormat="1">
      <c r="A119" s="192">
        <f t="shared" si="38"/>
        <v>44928.194444444445</v>
      </c>
      <c r="B119" s="126" t="s">
        <v>228</v>
      </c>
      <c r="C119" s="126" t="s">
        <v>229</v>
      </c>
      <c r="D119" s="126" t="s">
        <v>197</v>
      </c>
      <c r="E119" s="126" t="s">
        <v>230</v>
      </c>
      <c r="G119" s="73">
        <v>44934.75</v>
      </c>
      <c r="H119" s="73">
        <v>44934.758333333331</v>
      </c>
      <c r="I119" s="126" t="s">
        <v>490</v>
      </c>
      <c r="J119" s="126" t="s">
        <v>192</v>
      </c>
      <c r="K119" s="126" t="s">
        <v>192</v>
      </c>
      <c r="L119" s="126" t="s">
        <v>495</v>
      </c>
      <c r="M119" s="167"/>
      <c r="N119" s="126" t="s">
        <v>380</v>
      </c>
      <c r="O119" s="126" t="s">
        <v>381</v>
      </c>
      <c r="P119" s="126" t="s">
        <v>494</v>
      </c>
      <c r="Q119" s="181">
        <f>3271*2.4</f>
        <v>7850.4</v>
      </c>
      <c r="R119" s="181">
        <f>7803.492-2891.458</f>
        <v>4912.0339999999997</v>
      </c>
      <c r="S119" s="181"/>
      <c r="T119" s="181">
        <f>R119</f>
        <v>4912.0339999999997</v>
      </c>
      <c r="AV119" s="165">
        <f t="shared" si="19"/>
        <v>44922.524305555555</v>
      </c>
      <c r="AW119" s="165">
        <f t="shared" si="20"/>
        <v>44938.895833333336</v>
      </c>
      <c r="AX119" s="137">
        <f t="shared" si="21"/>
        <v>16.371527777781012</v>
      </c>
      <c r="AY119" s="165">
        <v>44922.524305555555</v>
      </c>
      <c r="AZ119" s="165">
        <v>44923.795138888891</v>
      </c>
      <c r="BA119" s="165">
        <v>44925.604166666664</v>
      </c>
      <c r="BB119" s="165">
        <v>44928.194444444445</v>
      </c>
      <c r="BC119" s="165">
        <v>44928.395833333336</v>
      </c>
      <c r="BD119" s="165">
        <v>44928.409722222219</v>
      </c>
      <c r="BE119" s="165">
        <v>44928.409722222219</v>
      </c>
      <c r="BF119" s="165">
        <f t="shared" si="39"/>
        <v>44930.118055555555</v>
      </c>
      <c r="BG119" s="165">
        <v>44930.583333333336</v>
      </c>
      <c r="BH119" s="165">
        <v>44930.75</v>
      </c>
      <c r="BI119" s="165">
        <v>44930.604166666664</v>
      </c>
      <c r="BJ119" s="165">
        <v>44936.625</v>
      </c>
      <c r="BK119" s="165">
        <v>44937.083333333336</v>
      </c>
      <c r="BL119" s="165">
        <v>44937.333333333336</v>
      </c>
      <c r="BM119" s="165">
        <v>44937.395833333336</v>
      </c>
      <c r="BN119" s="165">
        <v>44938.895833333336</v>
      </c>
      <c r="BO119" s="165">
        <v>44938.895833333336</v>
      </c>
      <c r="BR119" s="136">
        <f t="shared" si="22"/>
        <v>43.416666666569654</v>
      </c>
      <c r="BS119" s="136">
        <f t="shared" si="23"/>
        <v>4.8333333333721384</v>
      </c>
      <c r="BT119" s="136">
        <f t="shared" si="24"/>
        <v>41.000000000058208</v>
      </c>
      <c r="BU119" s="136">
        <f t="shared" si="37"/>
        <v>141</v>
      </c>
      <c r="BV119" s="135">
        <f t="shared" si="25"/>
        <v>6</v>
      </c>
      <c r="BW119" s="135">
        <f t="shared" si="26"/>
        <v>0</v>
      </c>
      <c r="BX119" s="134">
        <f t="shared" si="27"/>
        <v>9.84375</v>
      </c>
      <c r="BY119" s="134">
        <f t="shared" si="28"/>
        <v>16.371527777781012</v>
      </c>
      <c r="BZ119" s="133">
        <f t="shared" si="29"/>
        <v>0.60127253446435636</v>
      </c>
    </row>
    <row r="120" spans="1:78" s="126" customFormat="1">
      <c r="A120" s="192">
        <f t="shared" si="38"/>
        <v>44928.194444444445</v>
      </c>
      <c r="B120" s="126" t="s">
        <v>228</v>
      </c>
      <c r="C120" s="126" t="s">
        <v>229</v>
      </c>
      <c r="D120" s="126" t="s">
        <v>197</v>
      </c>
      <c r="E120" s="126" t="s">
        <v>241</v>
      </c>
      <c r="F120" s="126" t="s">
        <v>496</v>
      </c>
      <c r="G120" s="73">
        <v>44952.4375</v>
      </c>
      <c r="H120" s="73">
        <v>44952.388888888891</v>
      </c>
      <c r="I120" s="126" t="s">
        <v>497</v>
      </c>
      <c r="J120" s="126" t="s">
        <v>192</v>
      </c>
      <c r="K120" s="126" t="s">
        <v>192</v>
      </c>
      <c r="L120" s="126" t="s">
        <v>495</v>
      </c>
      <c r="M120" s="167"/>
      <c r="N120" s="126" t="s">
        <v>380</v>
      </c>
      <c r="O120" s="126" t="s">
        <v>381</v>
      </c>
      <c r="P120" s="126" t="s">
        <v>494</v>
      </c>
      <c r="Q120" s="181">
        <f>3271*2.4</f>
        <v>7850.4</v>
      </c>
      <c r="R120" s="181">
        <v>2080</v>
      </c>
      <c r="S120" s="181"/>
      <c r="T120" s="181">
        <f>R120</f>
        <v>2080</v>
      </c>
      <c r="AV120" s="165">
        <f t="shared" si="19"/>
        <v>44922.524305555555</v>
      </c>
      <c r="AW120" s="165">
        <f t="shared" si="20"/>
        <v>44941.541666666664</v>
      </c>
      <c r="AX120" s="137">
        <f t="shared" si="21"/>
        <v>19.017361111109494</v>
      </c>
      <c r="AY120" s="165">
        <v>44922.524305555555</v>
      </c>
      <c r="AZ120" s="165">
        <v>44923.795138888891</v>
      </c>
      <c r="BA120" s="165">
        <v>44925.604166666664</v>
      </c>
      <c r="BB120" s="165">
        <v>44928.194444444445</v>
      </c>
      <c r="BC120" s="165">
        <v>44928.395833333336</v>
      </c>
      <c r="BD120" s="165">
        <v>44928.409722222219</v>
      </c>
      <c r="BE120" s="165">
        <v>44928.409722222219</v>
      </c>
      <c r="BF120" s="165">
        <f t="shared" si="39"/>
        <v>44930.118055555555</v>
      </c>
      <c r="BG120" s="165">
        <v>44930.583333333336</v>
      </c>
      <c r="BH120" s="165">
        <v>44930.75</v>
      </c>
      <c r="BI120" s="165">
        <v>44930.604166666664</v>
      </c>
      <c r="BJ120" s="165">
        <v>44939.159722222219</v>
      </c>
      <c r="BK120" s="165">
        <v>44940.902777777781</v>
      </c>
      <c r="BL120" s="165">
        <v>44941.013888888891</v>
      </c>
      <c r="BM120" s="165">
        <v>44941.03125</v>
      </c>
      <c r="BN120" s="165">
        <v>44941.034722222219</v>
      </c>
      <c r="BO120" s="165">
        <v>44941.541666666664</v>
      </c>
      <c r="BR120" s="136">
        <f t="shared" si="22"/>
        <v>43.416666666569654</v>
      </c>
      <c r="BS120" s="136">
        <f t="shared" si="23"/>
        <v>4.8333333333721384</v>
      </c>
      <c r="BT120" s="136">
        <f t="shared" si="24"/>
        <v>41.000000000058208</v>
      </c>
      <c r="BU120" s="136">
        <f t="shared" si="37"/>
        <v>201.83333333325572</v>
      </c>
      <c r="BV120" s="135">
        <f t="shared" si="25"/>
        <v>2.6666666666278616</v>
      </c>
      <c r="BW120" s="135">
        <f t="shared" si="26"/>
        <v>12.166666666686069</v>
      </c>
      <c r="BX120" s="134">
        <f t="shared" si="27"/>
        <v>12.746527777773736</v>
      </c>
      <c r="BY120" s="134">
        <f t="shared" si="28"/>
        <v>19.017361111109494</v>
      </c>
      <c r="BZ120" s="133">
        <f t="shared" si="29"/>
        <v>0.67025744020433597</v>
      </c>
    </row>
    <row r="121" spans="1:78" s="126" customFormat="1">
      <c r="A121" s="192">
        <f t="shared" si="38"/>
        <v>44928.436111111114</v>
      </c>
      <c r="B121" s="126" t="s">
        <v>228</v>
      </c>
      <c r="C121" s="126" t="s">
        <v>229</v>
      </c>
      <c r="D121" s="126" t="s">
        <v>197</v>
      </c>
      <c r="E121" s="126" t="s">
        <v>230</v>
      </c>
      <c r="G121" s="73">
        <v>44934.75</v>
      </c>
      <c r="H121" s="73">
        <v>44934.758333333331</v>
      </c>
      <c r="I121" s="126" t="s">
        <v>490</v>
      </c>
      <c r="J121" s="126" t="s">
        <v>192</v>
      </c>
      <c r="K121" s="126" t="s">
        <v>192</v>
      </c>
      <c r="L121" s="126" t="s">
        <v>498</v>
      </c>
      <c r="M121" s="167"/>
      <c r="N121" s="126" t="s">
        <v>364</v>
      </c>
      <c r="O121" s="126" t="s">
        <v>365</v>
      </c>
      <c r="P121" s="126" t="s">
        <v>494</v>
      </c>
      <c r="Q121" s="181">
        <f>3142*2.4</f>
        <v>7540.7999999999993</v>
      </c>
      <c r="R121" s="181">
        <v>7375.6959999999999</v>
      </c>
      <c r="S121" s="181"/>
      <c r="T121" s="181">
        <f>R121</f>
        <v>7375.6959999999999</v>
      </c>
      <c r="AV121" s="165">
        <f t="shared" si="19"/>
        <v>44922.625</v>
      </c>
      <c r="AW121" s="165">
        <f t="shared" si="20"/>
        <v>44936.916666666664</v>
      </c>
      <c r="AX121" s="137">
        <f t="shared" si="21"/>
        <v>14.291666666664241</v>
      </c>
      <c r="AY121" s="165">
        <v>44922.625</v>
      </c>
      <c r="AZ121" s="165">
        <v>44924.59375</v>
      </c>
      <c r="BA121" s="165">
        <v>44926.104166666664</v>
      </c>
      <c r="BB121" s="165">
        <v>44928.436111111114</v>
      </c>
      <c r="BC121" s="165">
        <v>44928.555555555555</v>
      </c>
      <c r="BD121" s="165">
        <v>44928.5625</v>
      </c>
      <c r="BE121" s="165">
        <v>44928.5625</v>
      </c>
      <c r="BF121" s="165">
        <f t="shared" si="39"/>
        <v>44930.270833333336</v>
      </c>
      <c r="BG121" s="165">
        <v>44930.583333333336</v>
      </c>
      <c r="BH121" s="165">
        <v>44930.75</v>
      </c>
      <c r="BI121" s="165">
        <v>44930.673611111109</v>
      </c>
      <c r="BJ121" s="165">
        <v>44934.534722222219</v>
      </c>
      <c r="BK121" s="165">
        <v>44936.354166666664</v>
      </c>
      <c r="BL121" s="165">
        <v>44936.590277777781</v>
      </c>
      <c r="BM121" s="165">
        <v>44936.611111111109</v>
      </c>
      <c r="BN121" s="165">
        <v>44936.611111111109</v>
      </c>
      <c r="BO121" s="165">
        <v>44936.916666666664</v>
      </c>
      <c r="BR121" s="136">
        <f t="shared" si="22"/>
        <v>36.249999999941792</v>
      </c>
      <c r="BS121" s="136">
        <f t="shared" si="23"/>
        <v>2.8666666665812954</v>
      </c>
      <c r="BT121" s="136">
        <f t="shared" si="24"/>
        <v>41.000000000058208</v>
      </c>
      <c r="BU121" s="136">
        <f t="shared" si="37"/>
        <v>90.833333333255723</v>
      </c>
      <c r="BV121" s="135">
        <f t="shared" si="25"/>
        <v>5.6666666668024845</v>
      </c>
      <c r="BW121" s="135">
        <f t="shared" si="26"/>
        <v>7.3333333333139308</v>
      </c>
      <c r="BX121" s="134">
        <f t="shared" si="27"/>
        <v>7.6645833333313931</v>
      </c>
      <c r="BY121" s="134">
        <f t="shared" si="28"/>
        <v>14.291666666664241</v>
      </c>
      <c r="BZ121" s="133">
        <f t="shared" si="29"/>
        <v>0.53629737609324968</v>
      </c>
    </row>
    <row r="122" spans="1:78" s="126" customFormat="1">
      <c r="A122" s="192">
        <f t="shared" si="38"/>
        <v>44927.836805555555</v>
      </c>
      <c r="B122" s="126" t="s">
        <v>228</v>
      </c>
      <c r="C122" s="126" t="s">
        <v>229</v>
      </c>
      <c r="D122" s="126" t="s">
        <v>197</v>
      </c>
      <c r="E122" s="126" t="s">
        <v>230</v>
      </c>
      <c r="G122" s="73">
        <v>44934.75</v>
      </c>
      <c r="H122" s="73">
        <v>44934.758333333331</v>
      </c>
      <c r="I122" s="126" t="s">
        <v>490</v>
      </c>
      <c r="J122" s="126" t="s">
        <v>192</v>
      </c>
      <c r="K122" s="126" t="s">
        <v>192</v>
      </c>
      <c r="L122" s="126" t="s">
        <v>499</v>
      </c>
      <c r="M122" s="167"/>
      <c r="N122" s="126" t="s">
        <v>355</v>
      </c>
      <c r="O122" s="126" t="s">
        <v>356</v>
      </c>
      <c r="P122" s="126" t="s">
        <v>494</v>
      </c>
      <c r="Q122" s="181">
        <f>3107*2.4</f>
        <v>7456.7999999999993</v>
      </c>
      <c r="R122" s="181">
        <v>7577.9040000000005</v>
      </c>
      <c r="S122" s="181"/>
      <c r="T122" s="181">
        <f>R122</f>
        <v>7577.9040000000005</v>
      </c>
      <c r="AV122" s="165">
        <f t="shared" si="19"/>
        <v>44922.885416666664</v>
      </c>
      <c r="AW122" s="165">
        <f t="shared" si="20"/>
        <v>44936.388888888891</v>
      </c>
      <c r="AX122" s="137">
        <f t="shared" si="21"/>
        <v>13.503472222226264</v>
      </c>
      <c r="AY122" s="165">
        <v>44922.885416666664</v>
      </c>
      <c r="AZ122" s="165">
        <v>44923.8125</v>
      </c>
      <c r="BA122" s="165">
        <v>44925.451388888891</v>
      </c>
      <c r="BB122" s="165">
        <v>44927.836805555555</v>
      </c>
      <c r="BC122" s="165">
        <v>44927.970833333333</v>
      </c>
      <c r="BD122" s="165">
        <v>44927.979166666664</v>
      </c>
      <c r="BE122" s="165">
        <v>44927.979166666664</v>
      </c>
      <c r="BF122" s="165">
        <f t="shared" si="39"/>
        <v>44929.6875</v>
      </c>
      <c r="BG122" s="165">
        <v>44929.541666666664</v>
      </c>
      <c r="BH122" s="165">
        <v>44929.708333333328</v>
      </c>
      <c r="BI122" s="165">
        <v>44929.621527777781</v>
      </c>
      <c r="BJ122" s="165">
        <v>44934.260416666664</v>
      </c>
      <c r="BK122" s="165">
        <v>44935.520833333336</v>
      </c>
      <c r="BL122" s="165">
        <v>44935.857638888891</v>
      </c>
      <c r="BM122" s="165">
        <v>44935.878472222219</v>
      </c>
      <c r="BN122" s="165">
        <v>44936.246527777781</v>
      </c>
      <c r="BO122" s="165">
        <v>44936.388888888891</v>
      </c>
      <c r="BR122" s="136">
        <f t="shared" si="22"/>
        <v>39.333333333372138</v>
      </c>
      <c r="BS122" s="136">
        <f t="shared" si="23"/>
        <v>3.2166666666744277</v>
      </c>
      <c r="BT122" s="136">
        <f t="shared" si="24"/>
        <v>41.000000000058208</v>
      </c>
      <c r="BU122" s="136">
        <f t="shared" si="37"/>
        <v>109.25000000005821</v>
      </c>
      <c r="BV122" s="135">
        <f t="shared" si="25"/>
        <v>8.0833333333139308</v>
      </c>
      <c r="BW122" s="135">
        <f t="shared" si="26"/>
        <v>3.4166666666278616</v>
      </c>
      <c r="BX122" s="134">
        <f t="shared" si="27"/>
        <v>8.5125000000043656</v>
      </c>
      <c r="BY122" s="134">
        <f t="shared" si="28"/>
        <v>13.503472222226264</v>
      </c>
      <c r="BZ122" s="133">
        <f t="shared" si="29"/>
        <v>0.63039341733106802</v>
      </c>
    </row>
    <row r="123" spans="1:78" s="126" customFormat="1">
      <c r="A123" s="192">
        <f t="shared" si="38"/>
        <v>44936.805555555555</v>
      </c>
      <c r="B123" s="126" t="s">
        <v>228</v>
      </c>
      <c r="C123" s="126" t="s">
        <v>229</v>
      </c>
      <c r="D123" s="126" t="s">
        <v>215</v>
      </c>
      <c r="E123" s="126" t="s">
        <v>241</v>
      </c>
      <c r="F123" s="126" t="s">
        <v>242</v>
      </c>
      <c r="G123" s="73">
        <v>44952.4375</v>
      </c>
      <c r="H123" s="73">
        <v>44952.388888888891</v>
      </c>
      <c r="I123" s="126" t="s">
        <v>497</v>
      </c>
      <c r="J123" s="126" t="s">
        <v>192</v>
      </c>
      <c r="K123" s="126" t="s">
        <v>192</v>
      </c>
      <c r="L123" s="126" t="s">
        <v>500</v>
      </c>
      <c r="M123" s="167"/>
      <c r="N123" s="126" t="s">
        <v>403</v>
      </c>
      <c r="O123" s="126" t="s">
        <v>404</v>
      </c>
      <c r="P123" s="126" t="s">
        <v>501</v>
      </c>
      <c r="Q123" s="181">
        <f>3107*2.4</f>
        <v>7456.7999999999993</v>
      </c>
      <c r="R123" s="181">
        <v>7502.1880000000001</v>
      </c>
      <c r="S123" s="181"/>
      <c r="T123" s="181">
        <f>R123*0.55</f>
        <v>4126.2034000000003</v>
      </c>
      <c r="U123" s="181">
        <f>R123*0.45</f>
        <v>3375.9846000000002</v>
      </c>
      <c r="AV123" s="165">
        <f t="shared" si="19"/>
        <v>44923.517361111109</v>
      </c>
      <c r="AW123" s="165">
        <f t="shared" si="20"/>
        <v>44946.740277777775</v>
      </c>
      <c r="AX123" s="137">
        <f t="shared" si="21"/>
        <v>23.222916666665697</v>
      </c>
      <c r="AY123" s="165">
        <v>44923.517361111109</v>
      </c>
      <c r="AZ123" s="165">
        <v>44924.606249999997</v>
      </c>
      <c r="BA123" s="165">
        <v>44926.1875</v>
      </c>
      <c r="BB123" s="165">
        <v>44936.805555555555</v>
      </c>
      <c r="BC123" s="165">
        <v>44936.9375</v>
      </c>
      <c r="BD123" s="165">
        <v>44936.944444444445</v>
      </c>
      <c r="BE123" s="165">
        <v>44937.291666666664</v>
      </c>
      <c r="BF123" s="165">
        <f t="shared" si="39"/>
        <v>44939</v>
      </c>
      <c r="BG123" s="165">
        <v>44939.291666666664</v>
      </c>
      <c r="BH123" s="165">
        <v>44939.458333333328</v>
      </c>
      <c r="BI123" s="165">
        <v>44939.341666666667</v>
      </c>
      <c r="BJ123" s="165">
        <v>44940.777777777781</v>
      </c>
      <c r="BK123" s="165">
        <v>44945.75</v>
      </c>
      <c r="BL123" s="165">
        <v>44946.246527777781</v>
      </c>
      <c r="BM123" s="165">
        <v>44946.267361111109</v>
      </c>
      <c r="BN123" s="165">
        <v>44946.270833333336</v>
      </c>
      <c r="BO123" s="165">
        <v>44946.740277777775</v>
      </c>
      <c r="BR123" s="136">
        <f t="shared" si="22"/>
        <v>37.950000000069849</v>
      </c>
      <c r="BS123" s="136">
        <f t="shared" si="23"/>
        <v>3.1666666666860692</v>
      </c>
      <c r="BT123" s="136">
        <f t="shared" si="24"/>
        <v>41.000000000058208</v>
      </c>
      <c r="BU123" s="136">
        <f t="shared" si="37"/>
        <v>31.666666666860692</v>
      </c>
      <c r="BV123" s="135">
        <f t="shared" si="25"/>
        <v>11.916666666744277</v>
      </c>
      <c r="BW123" s="135">
        <f t="shared" si="26"/>
        <v>11.266666666546371</v>
      </c>
      <c r="BX123" s="134">
        <f t="shared" si="27"/>
        <v>5.7069444444568944</v>
      </c>
      <c r="BY123" s="134">
        <f t="shared" si="28"/>
        <v>23.222916666665697</v>
      </c>
      <c r="BZ123" s="133">
        <f t="shared" si="29"/>
        <v>0.24574623964648998</v>
      </c>
    </row>
    <row r="124" spans="1:78" s="126" customFormat="1">
      <c r="A124" s="192">
        <f t="shared" si="38"/>
        <v>44928.590277777781</v>
      </c>
      <c r="B124" s="126" t="s">
        <v>228</v>
      </c>
      <c r="C124" s="126" t="s">
        <v>229</v>
      </c>
      <c r="D124" s="126" t="s">
        <v>197</v>
      </c>
      <c r="E124" s="126" t="s">
        <v>230</v>
      </c>
      <c r="G124" s="73">
        <v>44934.75</v>
      </c>
      <c r="H124" s="73">
        <v>44934.758333333331</v>
      </c>
      <c r="I124" s="126" t="s">
        <v>490</v>
      </c>
      <c r="J124" s="126" t="s">
        <v>192</v>
      </c>
      <c r="K124" s="126" t="s">
        <v>192</v>
      </c>
      <c r="L124" s="126" t="s">
        <v>502</v>
      </c>
      <c r="M124" s="167"/>
      <c r="N124" s="126" t="s">
        <v>361</v>
      </c>
      <c r="O124" s="126" t="s">
        <v>362</v>
      </c>
      <c r="P124" s="126" t="s">
        <v>494</v>
      </c>
      <c r="Q124" s="181">
        <f>3039*2.4</f>
        <v>7293.5999999999995</v>
      </c>
      <c r="R124" s="181">
        <v>7607.4970000000003</v>
      </c>
      <c r="S124" s="181"/>
      <c r="T124" s="181">
        <f>R124</f>
        <v>7607.4970000000003</v>
      </c>
      <c r="AV124" s="165">
        <f t="shared" si="19"/>
        <v>44923.545138888891</v>
      </c>
      <c r="AW124" s="165">
        <f t="shared" si="20"/>
        <v>44936.625</v>
      </c>
      <c r="AX124" s="137">
        <f t="shared" si="21"/>
        <v>13.079861111109494</v>
      </c>
      <c r="AY124" s="165">
        <v>44923.545138888891</v>
      </c>
      <c r="AZ124" s="165">
        <v>44924.612500000003</v>
      </c>
      <c r="BA124" s="165">
        <v>44926.177083333336</v>
      </c>
      <c r="BB124" s="165">
        <v>44928.590277777781</v>
      </c>
      <c r="BC124" s="165">
        <v>44928.746527777781</v>
      </c>
      <c r="BD124" s="165">
        <v>44928.75</v>
      </c>
      <c r="BE124" s="165">
        <v>44929.270833333336</v>
      </c>
      <c r="BF124" s="165">
        <f t="shared" si="39"/>
        <v>44930.979166666672</v>
      </c>
      <c r="BG124" s="165">
        <v>44931.583333333336</v>
      </c>
      <c r="BH124" s="165">
        <v>44931.75</v>
      </c>
      <c r="BI124" s="165">
        <v>44931.638888888891</v>
      </c>
      <c r="BJ124" s="165">
        <v>44934.25</v>
      </c>
      <c r="BK124" s="165">
        <v>44935.920138888891</v>
      </c>
      <c r="BL124" s="165">
        <v>44936.291666666664</v>
      </c>
      <c r="BM124" s="165">
        <v>44936.3125</v>
      </c>
      <c r="BN124" s="165">
        <v>44936.3125</v>
      </c>
      <c r="BO124" s="165">
        <v>44936.625</v>
      </c>
      <c r="BR124" s="136">
        <f t="shared" si="22"/>
        <v>37.549999999988358</v>
      </c>
      <c r="BS124" s="136">
        <f t="shared" si="23"/>
        <v>3.75</v>
      </c>
      <c r="BT124" s="136">
        <f t="shared" si="24"/>
        <v>41.000000000058208</v>
      </c>
      <c r="BU124" s="136">
        <f t="shared" si="37"/>
        <v>60</v>
      </c>
      <c r="BV124" s="135">
        <f t="shared" si="25"/>
        <v>8.9166666665696539</v>
      </c>
      <c r="BW124" s="135">
        <f t="shared" si="26"/>
        <v>7.5</v>
      </c>
      <c r="BX124" s="134">
        <f t="shared" si="27"/>
        <v>6.6131944444423425</v>
      </c>
      <c r="BY124" s="134">
        <f t="shared" si="28"/>
        <v>13.079861111109494</v>
      </c>
      <c r="BZ124" s="133">
        <f t="shared" si="29"/>
        <v>0.50560127422342183</v>
      </c>
    </row>
    <row r="125" spans="1:78" s="126" customFormat="1">
      <c r="A125" s="192">
        <f t="shared" si="38"/>
        <v>44943.597222222219</v>
      </c>
      <c r="B125" s="126" t="s">
        <v>228</v>
      </c>
      <c r="C125" s="126" t="s">
        <v>229</v>
      </c>
      <c r="D125" s="126" t="s">
        <v>197</v>
      </c>
      <c r="E125" s="126" t="s">
        <v>325</v>
      </c>
      <c r="G125" s="73">
        <v>44951.541666666664</v>
      </c>
      <c r="H125" s="73">
        <v>44951.54583333333</v>
      </c>
      <c r="I125" s="126" t="s">
        <v>490</v>
      </c>
      <c r="J125" s="126" t="s">
        <v>192</v>
      </c>
      <c r="K125" s="126" t="s">
        <v>192</v>
      </c>
      <c r="L125" s="126" t="s">
        <v>503</v>
      </c>
      <c r="M125" s="167"/>
      <c r="N125" s="126" t="s">
        <v>437</v>
      </c>
      <c r="O125" s="126" t="s">
        <v>438</v>
      </c>
      <c r="P125" s="126" t="s">
        <v>494</v>
      </c>
      <c r="Q125" s="181">
        <f>3136*2.4</f>
        <v>7526.4</v>
      </c>
      <c r="R125" s="181">
        <v>7502.1880000000001</v>
      </c>
      <c r="S125" s="181"/>
      <c r="T125" s="181">
        <f>R125</f>
        <v>7502.1880000000001</v>
      </c>
      <c r="AV125" s="165">
        <f t="shared" si="19"/>
        <v>44930.34375</v>
      </c>
      <c r="AW125" s="165">
        <f t="shared" si="20"/>
        <v>44953.951388888891</v>
      </c>
      <c r="AX125" s="137">
        <f t="shared" si="21"/>
        <v>23.607638888890506</v>
      </c>
      <c r="AY125" s="165">
        <v>44930.34375</v>
      </c>
      <c r="AZ125" s="165">
        <v>44938.590277777781</v>
      </c>
      <c r="BA125" s="165">
        <v>44940.083333333336</v>
      </c>
      <c r="BB125" s="165">
        <v>44943.597222222219</v>
      </c>
      <c r="BC125" s="165">
        <v>44943.739583333336</v>
      </c>
      <c r="BD125" s="165">
        <v>44943.743055555555</v>
      </c>
      <c r="BE125" s="165">
        <v>44943.743055555555</v>
      </c>
      <c r="BF125" s="165">
        <f t="shared" si="39"/>
        <v>44945.451388888891</v>
      </c>
      <c r="BG125" s="165">
        <v>44945.5</v>
      </c>
      <c r="BH125" s="165">
        <v>44945.666666666664</v>
      </c>
      <c r="BI125" s="165">
        <v>44945.569444444445</v>
      </c>
      <c r="BJ125" s="165">
        <v>44950.840277777781</v>
      </c>
      <c r="BK125" s="165">
        <v>44953.305555555555</v>
      </c>
      <c r="BL125" s="165">
        <v>44953.520833333336</v>
      </c>
      <c r="BM125" s="165">
        <v>44953.541666666664</v>
      </c>
      <c r="BN125" s="165">
        <v>44953.75</v>
      </c>
      <c r="BO125" s="165">
        <v>44953.951388888891</v>
      </c>
      <c r="BP125" s="126" t="s">
        <v>290</v>
      </c>
      <c r="BR125" s="136">
        <f t="shared" si="22"/>
        <v>35.833333333313931</v>
      </c>
      <c r="BS125" s="136">
        <f t="shared" si="23"/>
        <v>3.4166666668024845</v>
      </c>
      <c r="BT125" s="136">
        <f t="shared" si="24"/>
        <v>41.000000000058208</v>
      </c>
      <c r="BU125" s="136">
        <f t="shared" si="37"/>
        <v>124.16666666680248</v>
      </c>
      <c r="BV125" s="135">
        <f t="shared" si="25"/>
        <v>5.1666666667442769</v>
      </c>
      <c r="BW125" s="135">
        <f t="shared" si="26"/>
        <v>4.8333333333721384</v>
      </c>
      <c r="BX125" s="134">
        <f t="shared" si="27"/>
        <v>8.9340277777955635</v>
      </c>
      <c r="BY125" s="134">
        <f t="shared" si="28"/>
        <v>23.607638888890506</v>
      </c>
      <c r="BZ125" s="133">
        <f t="shared" si="29"/>
        <v>0.37843800558978469</v>
      </c>
    </row>
    <row r="126" spans="1:78" s="126" customFormat="1">
      <c r="A126" s="192">
        <f t="shared" si="38"/>
        <v>44943.972222222219</v>
      </c>
      <c r="B126" s="126" t="s">
        <v>228</v>
      </c>
      <c r="C126" s="126" t="s">
        <v>229</v>
      </c>
      <c r="D126" s="126" t="s">
        <v>197</v>
      </c>
      <c r="E126" s="126" t="s">
        <v>325</v>
      </c>
      <c r="G126" s="73">
        <v>44951.541666666664</v>
      </c>
      <c r="H126" s="73">
        <v>44951.54583333333</v>
      </c>
      <c r="I126" s="126" t="s">
        <v>490</v>
      </c>
      <c r="J126" s="126" t="s">
        <v>192</v>
      </c>
      <c r="K126" s="126" t="s">
        <v>192</v>
      </c>
      <c r="L126" s="126" t="s">
        <v>504</v>
      </c>
      <c r="M126" s="167"/>
      <c r="N126" s="126" t="s">
        <v>505</v>
      </c>
      <c r="O126" s="126" t="s">
        <v>506</v>
      </c>
      <c r="P126" s="126" t="s">
        <v>494</v>
      </c>
      <c r="Q126" s="181">
        <f>3071*2.4</f>
        <v>7370.4</v>
      </c>
      <c r="R126" s="181">
        <v>7311.56</v>
      </c>
      <c r="S126" s="181"/>
      <c r="T126" s="181">
        <f>R126</f>
        <v>7311.56</v>
      </c>
      <c r="AV126" s="165">
        <f t="shared" si="19"/>
        <v>44930.354166666664</v>
      </c>
      <c r="AW126" s="165">
        <f t="shared" si="20"/>
        <v>44954.118055555555</v>
      </c>
      <c r="AX126" s="137">
        <f t="shared" si="21"/>
        <v>23.763888888890506</v>
      </c>
      <c r="AY126" s="165">
        <v>44930.354166666664</v>
      </c>
      <c r="AZ126" s="165">
        <v>44938.802083333336</v>
      </c>
      <c r="BA126" s="165">
        <v>44940.340277777781</v>
      </c>
      <c r="BB126" s="165">
        <v>44943.972222222219</v>
      </c>
      <c r="BC126" s="165">
        <v>44944.107638888891</v>
      </c>
      <c r="BD126" s="165">
        <v>44944.114583333336</v>
      </c>
      <c r="BE126" s="165">
        <v>44944.114583333336</v>
      </c>
      <c r="BF126" s="165">
        <f t="shared" si="39"/>
        <v>44945.822916666672</v>
      </c>
      <c r="BG126" s="165">
        <v>44945.5</v>
      </c>
      <c r="BH126" s="165">
        <v>44945.666666666664</v>
      </c>
      <c r="BI126" s="165">
        <v>44945.690972222219</v>
      </c>
      <c r="BJ126" s="165">
        <v>44950.854166666664</v>
      </c>
      <c r="BK126" s="165">
        <v>44953.621527777781</v>
      </c>
      <c r="BL126" s="165">
        <v>44953.829861111109</v>
      </c>
      <c r="BM126" s="165">
        <v>44953.850694444445</v>
      </c>
      <c r="BN126" s="165">
        <v>44953.850694444445</v>
      </c>
      <c r="BO126" s="165">
        <v>44954.118055555555</v>
      </c>
      <c r="BP126" s="126" t="s">
        <v>290</v>
      </c>
      <c r="BR126" s="136">
        <f t="shared" si="22"/>
        <v>36.916666666686069</v>
      </c>
      <c r="BS126" s="136">
        <f t="shared" si="23"/>
        <v>3.2500000001164153</v>
      </c>
      <c r="BT126" s="136">
        <f t="shared" si="24"/>
        <v>41.000000000058208</v>
      </c>
      <c r="BU126" s="136">
        <f t="shared" si="37"/>
        <v>124.5</v>
      </c>
      <c r="BV126" s="135">
        <f t="shared" si="25"/>
        <v>4.9999999998835847</v>
      </c>
      <c r="BW126" s="135">
        <f t="shared" si="26"/>
        <v>6.4166666666278616</v>
      </c>
      <c r="BX126" s="134">
        <f t="shared" si="27"/>
        <v>9.0451388888905058</v>
      </c>
      <c r="BY126" s="134">
        <f t="shared" si="28"/>
        <v>23.763888888890506</v>
      </c>
      <c r="BZ126" s="133">
        <f t="shared" si="29"/>
        <v>0.3806253652835021</v>
      </c>
    </row>
    <row r="127" spans="1:78" s="126" customFormat="1">
      <c r="A127" s="192">
        <f t="shared" si="38"/>
        <v>44956.940972222219</v>
      </c>
      <c r="B127" s="126" t="s">
        <v>228</v>
      </c>
      <c r="C127" s="126" t="s">
        <v>229</v>
      </c>
      <c r="D127" s="126" t="s">
        <v>215</v>
      </c>
      <c r="E127" s="126" t="s">
        <v>433</v>
      </c>
      <c r="G127" s="73">
        <v>44964.125</v>
      </c>
      <c r="H127" s="73">
        <v>44964.195833333331</v>
      </c>
      <c r="I127" s="126" t="s">
        <v>507</v>
      </c>
      <c r="J127" s="126" t="s">
        <v>192</v>
      </c>
      <c r="K127" s="126" t="s">
        <v>192</v>
      </c>
      <c r="L127" s="126" t="s">
        <v>508</v>
      </c>
      <c r="M127" s="167"/>
      <c r="N127" s="126" t="s">
        <v>274</v>
      </c>
      <c r="O127" s="126" t="s">
        <v>275</v>
      </c>
      <c r="P127" s="126" t="s">
        <v>509</v>
      </c>
      <c r="Q127" s="181">
        <f>3097*2.4</f>
        <v>7432.7999999999993</v>
      </c>
      <c r="R127" s="181">
        <v>7475.0919999999996</v>
      </c>
      <c r="S127" s="181"/>
      <c r="T127" s="181">
        <f>R127*0.75</f>
        <v>5606.3189999999995</v>
      </c>
      <c r="U127" s="181">
        <f>R127*0.25</f>
        <v>1868.7729999999999</v>
      </c>
      <c r="AV127" s="165">
        <f t="shared" si="19"/>
        <v>44953.583333333336</v>
      </c>
      <c r="AW127" s="165">
        <f t="shared" si="20"/>
        <v>44970.826388888891</v>
      </c>
      <c r="AX127" s="137">
        <f t="shared" si="21"/>
        <v>17.243055555554747</v>
      </c>
      <c r="AY127" s="165">
        <v>44953.583333333336</v>
      </c>
      <c r="AZ127" s="165">
        <v>44954.559027777781</v>
      </c>
      <c r="BA127" s="165">
        <v>44956.25</v>
      </c>
      <c r="BB127" s="165">
        <v>44956.940972222219</v>
      </c>
      <c r="BC127" s="165">
        <v>44957.076388888891</v>
      </c>
      <c r="BD127" s="165">
        <v>44957.083333333336</v>
      </c>
      <c r="BE127" s="165">
        <v>44957.319444444445</v>
      </c>
      <c r="BF127" s="165">
        <f t="shared" si="39"/>
        <v>44959.027777777781</v>
      </c>
      <c r="BG127" s="165">
        <v>44958.5</v>
      </c>
      <c r="BH127" s="165">
        <v>44958.666666666664</v>
      </c>
      <c r="BI127" s="165">
        <v>44958.680555555555</v>
      </c>
      <c r="BJ127" s="165">
        <v>44962.899305555555</v>
      </c>
      <c r="BK127" s="165">
        <v>44967.013888888891</v>
      </c>
      <c r="BL127" s="165">
        <v>44967.677083333336</v>
      </c>
      <c r="BM127" s="165">
        <v>44967.6875</v>
      </c>
      <c r="BN127" s="165">
        <v>44968.538194444445</v>
      </c>
      <c r="BO127" s="165">
        <v>44970.826388888891</v>
      </c>
      <c r="BR127" s="136">
        <f t="shared" si="22"/>
        <v>40.583333333255723</v>
      </c>
      <c r="BS127" s="136">
        <f t="shared" si="23"/>
        <v>3.2500000001164153</v>
      </c>
      <c r="BT127" s="136">
        <f t="shared" si="24"/>
        <v>41.000000000058208</v>
      </c>
      <c r="BU127" s="136">
        <f t="shared" si="37"/>
        <v>101.58333333337214</v>
      </c>
      <c r="BV127" s="135">
        <f t="shared" si="25"/>
        <v>15.916666666686069</v>
      </c>
      <c r="BW127" s="135">
        <f t="shared" si="26"/>
        <v>54.916666666686069</v>
      </c>
      <c r="BX127" s="134">
        <f t="shared" si="27"/>
        <v>10.718750000007276</v>
      </c>
      <c r="BY127" s="134">
        <f t="shared" si="28"/>
        <v>17.243055555554747</v>
      </c>
      <c r="BZ127" s="133">
        <f t="shared" si="29"/>
        <v>0.62162706403589207</v>
      </c>
    </row>
    <row r="128" spans="1:78" s="126" customFormat="1">
      <c r="A128" s="192">
        <f t="shared" si="38"/>
        <v>44928.809027777781</v>
      </c>
      <c r="B128" s="126" t="s">
        <v>228</v>
      </c>
      <c r="C128" s="126" t="s">
        <v>229</v>
      </c>
      <c r="D128" s="126" t="s">
        <v>197</v>
      </c>
      <c r="E128" s="126" t="s">
        <v>230</v>
      </c>
      <c r="G128" s="73">
        <v>44934.75</v>
      </c>
      <c r="H128" s="73">
        <v>44934.758333333331</v>
      </c>
      <c r="I128" s="126" t="s">
        <v>490</v>
      </c>
      <c r="J128" s="126" t="s">
        <v>192</v>
      </c>
      <c r="K128" s="126" t="s">
        <v>192</v>
      </c>
      <c r="L128" s="126" t="s">
        <v>510</v>
      </c>
      <c r="M128" s="167"/>
      <c r="N128" s="126" t="s">
        <v>367</v>
      </c>
      <c r="O128" s="126" t="s">
        <v>368</v>
      </c>
      <c r="P128" s="126" t="s">
        <v>494</v>
      </c>
      <c r="Q128" s="181">
        <f>4111*2.4</f>
        <v>9866.4</v>
      </c>
      <c r="R128" s="181">
        <v>10274.504000000001</v>
      </c>
      <c r="S128" s="181"/>
      <c r="T128" s="181">
        <f>R128</f>
        <v>10274.504000000001</v>
      </c>
      <c r="AV128" s="165">
        <f t="shared" si="19"/>
        <v>44922.847222222219</v>
      </c>
      <c r="AW128" s="165">
        <f t="shared" si="20"/>
        <v>44937.4375</v>
      </c>
      <c r="AX128" s="137">
        <f t="shared" si="21"/>
        <v>14.590277777781012</v>
      </c>
      <c r="AY128" s="165">
        <v>44922.847222222219</v>
      </c>
      <c r="AZ128" s="165">
        <v>44925.826388888891</v>
      </c>
      <c r="BA128" s="165">
        <v>44927.395833333336</v>
      </c>
      <c r="BB128" s="165">
        <v>44928.809027777781</v>
      </c>
      <c r="BC128" s="165">
        <v>44929.059027777781</v>
      </c>
      <c r="BD128" s="165">
        <v>44929.065972222219</v>
      </c>
      <c r="BE128" s="165">
        <v>44929.25</v>
      </c>
      <c r="BF128" s="165">
        <f t="shared" si="39"/>
        <v>44930.958333333336</v>
      </c>
      <c r="BG128" s="165">
        <v>44931.583333333336</v>
      </c>
      <c r="BH128" s="165">
        <v>44931.75</v>
      </c>
      <c r="BI128" s="165">
        <v>44931.652777777781</v>
      </c>
      <c r="BJ128" s="165">
        <v>44935.416666666664</v>
      </c>
      <c r="BK128" s="165">
        <v>44936.652777777781</v>
      </c>
      <c r="BL128" s="165">
        <v>44937.020833333336</v>
      </c>
      <c r="BM128" s="165">
        <v>44937.041666666664</v>
      </c>
      <c r="BN128" s="165">
        <v>44937.291666666664</v>
      </c>
      <c r="BO128" s="165">
        <v>44937.4375</v>
      </c>
      <c r="BR128" s="136">
        <f t="shared" si="22"/>
        <v>37.666666666686069</v>
      </c>
      <c r="BS128" s="136">
        <f t="shared" si="23"/>
        <v>6</v>
      </c>
      <c r="BT128" s="136">
        <f t="shared" si="24"/>
        <v>41.000000000058208</v>
      </c>
      <c r="BU128" s="136">
        <f t="shared" si="37"/>
        <v>87.999999999941792</v>
      </c>
      <c r="BV128" s="135">
        <f t="shared" si="25"/>
        <v>8.8333333333139308</v>
      </c>
      <c r="BW128" s="135">
        <f t="shared" si="26"/>
        <v>3.5000000000582077</v>
      </c>
      <c r="BX128" s="134">
        <f t="shared" si="27"/>
        <v>7.7083333333357587</v>
      </c>
      <c r="BY128" s="134">
        <f t="shared" si="28"/>
        <v>14.590277777781012</v>
      </c>
      <c r="BZ128" s="133">
        <f t="shared" si="29"/>
        <v>0.52831984769162454</v>
      </c>
    </row>
    <row r="129" spans="1:80" s="126" customFormat="1">
      <c r="A129" s="192"/>
      <c r="G129" s="166"/>
      <c r="H129" s="166"/>
      <c r="I129" s="181"/>
      <c r="M129" s="167"/>
      <c r="Q129" s="181"/>
      <c r="R129" s="191">
        <f>SUM(R4:R128)</f>
        <v>824690.61699999974</v>
      </c>
      <c r="S129" s="191">
        <f t="shared" ref="S129:AU129" si="40">SUM(S4:S128)</f>
        <v>0</v>
      </c>
      <c r="T129" s="191">
        <f t="shared" si="40"/>
        <v>71592.293399999995</v>
      </c>
      <c r="U129" s="191">
        <f t="shared" si="40"/>
        <v>5244.7575999999999</v>
      </c>
      <c r="V129" s="191">
        <f t="shared" si="40"/>
        <v>0</v>
      </c>
      <c r="W129" s="191">
        <f t="shared" si="40"/>
        <v>298917.77770000004</v>
      </c>
      <c r="X129" s="191">
        <f t="shared" si="40"/>
        <v>250436.80730000004</v>
      </c>
      <c r="Y129" s="191">
        <f t="shared" si="40"/>
        <v>30082.425999999999</v>
      </c>
      <c r="Z129" s="191">
        <f t="shared" si="40"/>
        <v>0</v>
      </c>
      <c r="AA129" s="191">
        <f t="shared" si="40"/>
        <v>0</v>
      </c>
      <c r="AB129" s="191">
        <f t="shared" si="40"/>
        <v>0</v>
      </c>
      <c r="AC129" s="191">
        <f t="shared" si="40"/>
        <v>0</v>
      </c>
      <c r="AD129" s="191">
        <f t="shared" si="40"/>
        <v>0</v>
      </c>
      <c r="AE129" s="191">
        <f t="shared" si="40"/>
        <v>0</v>
      </c>
      <c r="AF129" s="191">
        <f t="shared" si="40"/>
        <v>0</v>
      </c>
      <c r="AG129" s="191">
        <f t="shared" si="40"/>
        <v>0</v>
      </c>
      <c r="AH129" s="191">
        <f t="shared" si="40"/>
        <v>20263</v>
      </c>
      <c r="AI129" s="191">
        <f t="shared" si="40"/>
        <v>0</v>
      </c>
      <c r="AJ129" s="191">
        <f t="shared" si="40"/>
        <v>15463.894</v>
      </c>
      <c r="AK129" s="191">
        <f t="shared" si="40"/>
        <v>52500</v>
      </c>
      <c r="AL129" s="191">
        <f t="shared" si="40"/>
        <v>15041</v>
      </c>
      <c r="AM129" s="191">
        <f t="shared" si="40"/>
        <v>5109.3609999999999</v>
      </c>
      <c r="AN129" s="191">
        <f t="shared" si="40"/>
        <v>52500</v>
      </c>
      <c r="AO129" s="191">
        <f t="shared" si="40"/>
        <v>0</v>
      </c>
      <c r="AP129" s="191">
        <f t="shared" si="40"/>
        <v>0</v>
      </c>
      <c r="AQ129" s="191">
        <f t="shared" si="40"/>
        <v>0</v>
      </c>
      <c r="AR129" s="191">
        <f t="shared" si="40"/>
        <v>0</v>
      </c>
      <c r="AS129" s="191">
        <f t="shared" si="40"/>
        <v>0</v>
      </c>
      <c r="AT129" s="191">
        <f t="shared" si="40"/>
        <v>0</v>
      </c>
      <c r="AU129" s="191">
        <f t="shared" si="40"/>
        <v>7539.3</v>
      </c>
      <c r="AV129" s="165"/>
      <c r="AW129" s="165"/>
      <c r="AX129" s="165"/>
      <c r="AY129" s="165"/>
      <c r="AZ129" s="165"/>
      <c r="BA129" s="165"/>
      <c r="BB129" s="165"/>
      <c r="BC129" s="165"/>
      <c r="BD129" s="165"/>
      <c r="BE129" s="165"/>
      <c r="BF129" s="165"/>
      <c r="BG129" s="165"/>
      <c r="BH129" s="165"/>
      <c r="BI129" s="165"/>
      <c r="BJ129" s="165"/>
      <c r="BK129" s="165"/>
      <c r="BL129" s="165"/>
      <c r="BM129" s="165"/>
      <c r="BN129" s="165"/>
      <c r="BO129" s="165"/>
      <c r="BR129" s="136"/>
      <c r="BS129" s="136"/>
      <c r="BT129" s="136"/>
      <c r="BU129" s="136"/>
      <c r="BV129" s="135"/>
      <c r="BW129" s="135"/>
      <c r="BX129" s="165"/>
      <c r="BY129" s="165"/>
    </row>
    <row r="130" spans="1:80">
      <c r="AY130" s="120"/>
      <c r="AZ130" s="120"/>
      <c r="BG130" s="120"/>
      <c r="BH130" s="120"/>
    </row>
    <row r="131" spans="1:80">
      <c r="AY131" s="120"/>
      <c r="AZ131" s="120"/>
      <c r="BG131" s="120"/>
      <c r="BH131" s="120"/>
    </row>
    <row r="132" spans="1:80">
      <c r="AY132" s="120"/>
      <c r="AZ132" s="120"/>
      <c r="BG132" s="120"/>
      <c r="BH132" s="120"/>
    </row>
    <row r="133" spans="1:80" s="251" customFormat="1">
      <c r="A133" s="119"/>
      <c r="B133" s="119"/>
      <c r="C133" s="115"/>
      <c r="D133" s="115"/>
      <c r="E133" s="115"/>
      <c r="F133" s="115"/>
      <c r="G133" s="252"/>
      <c r="H133" s="252"/>
      <c r="I133" s="117"/>
      <c r="J133" s="115"/>
      <c r="K133" s="115"/>
      <c r="L133" s="115"/>
      <c r="M133" s="118"/>
      <c r="N133" s="115"/>
      <c r="O133" s="115"/>
      <c r="P133" s="115"/>
      <c r="Q133" s="117"/>
      <c r="R133" s="117"/>
      <c r="S133" s="117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15"/>
      <c r="AT133" s="115"/>
      <c r="AU133" s="115"/>
      <c r="AY133" s="120"/>
      <c r="AZ133" s="120"/>
      <c r="BG133" s="120"/>
      <c r="BH133" s="120"/>
      <c r="BM133" s="115"/>
      <c r="BN133" s="115"/>
      <c r="BO133" s="115"/>
      <c r="BP133" s="116"/>
      <c r="BQ133" s="116"/>
      <c r="BZ133" s="115"/>
      <c r="CA133" s="115"/>
      <c r="CB133" s="115"/>
    </row>
    <row r="134" spans="1:80" s="251" customFormat="1">
      <c r="A134" s="119"/>
      <c r="B134" s="119"/>
      <c r="C134" s="115"/>
      <c r="D134" s="115"/>
      <c r="E134" s="115"/>
      <c r="F134" s="115"/>
      <c r="G134" s="252"/>
      <c r="H134" s="252"/>
      <c r="I134" s="117"/>
      <c r="J134" s="115"/>
      <c r="K134" s="115"/>
      <c r="L134" s="115"/>
      <c r="M134" s="118"/>
      <c r="N134" s="115"/>
      <c r="O134" s="115"/>
      <c r="P134" s="115"/>
      <c r="Q134" s="117"/>
      <c r="R134" s="117"/>
      <c r="S134" s="117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  <c r="AN134" s="115"/>
      <c r="AO134" s="115"/>
      <c r="AP134" s="115"/>
      <c r="AQ134" s="115"/>
      <c r="AR134" s="115"/>
      <c r="AS134" s="115"/>
      <c r="AT134" s="115"/>
      <c r="AU134" s="115"/>
      <c r="AY134" s="120"/>
      <c r="AZ134" s="120"/>
      <c r="BG134" s="120"/>
      <c r="BH134" s="120"/>
      <c r="BM134" s="115"/>
      <c r="BN134" s="115"/>
      <c r="BO134" s="115"/>
      <c r="BP134" s="116"/>
      <c r="BQ134" s="116"/>
      <c r="BZ134" s="115"/>
      <c r="CA134" s="115"/>
      <c r="CB134" s="115"/>
    </row>
    <row r="135" spans="1:80" s="251" customFormat="1">
      <c r="A135" s="119"/>
      <c r="B135" s="119"/>
      <c r="C135" s="115"/>
      <c r="D135" s="115"/>
      <c r="E135" s="115"/>
      <c r="F135" s="115"/>
      <c r="G135" s="252"/>
      <c r="H135" s="252"/>
      <c r="I135" s="117"/>
      <c r="J135" s="115"/>
      <c r="K135" s="115"/>
      <c r="L135" s="115"/>
      <c r="M135" s="118"/>
      <c r="N135" s="115"/>
      <c r="O135" s="115"/>
      <c r="P135" s="115"/>
      <c r="Q135" s="117"/>
      <c r="R135" s="117"/>
      <c r="S135" s="117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/>
      <c r="AL135" s="115"/>
      <c r="AM135" s="115"/>
      <c r="AN135" s="115"/>
      <c r="AO135" s="115"/>
      <c r="AP135" s="115"/>
      <c r="AQ135" s="115"/>
      <c r="AR135" s="115"/>
      <c r="AS135" s="115"/>
      <c r="AT135" s="115"/>
      <c r="AU135" s="115"/>
      <c r="AY135" s="120"/>
      <c r="AZ135" s="120"/>
      <c r="BG135" s="120"/>
      <c r="BH135" s="120"/>
      <c r="BM135" s="115"/>
      <c r="BN135" s="115"/>
      <c r="BO135" s="115"/>
      <c r="BP135" s="116"/>
      <c r="BQ135" s="116"/>
      <c r="BZ135" s="115"/>
      <c r="CA135" s="115"/>
      <c r="CB135" s="115"/>
    </row>
    <row r="136" spans="1:80" s="251" customFormat="1">
      <c r="A136" s="119"/>
      <c r="B136" s="119"/>
      <c r="C136" s="115"/>
      <c r="D136" s="115"/>
      <c r="E136" s="115"/>
      <c r="F136" s="115"/>
      <c r="G136" s="252"/>
      <c r="H136" s="252"/>
      <c r="I136" s="117"/>
      <c r="J136" s="115"/>
      <c r="K136" s="115"/>
      <c r="L136" s="115"/>
      <c r="M136" s="118"/>
      <c r="N136" s="115"/>
      <c r="O136" s="115"/>
      <c r="P136" s="115"/>
      <c r="Q136" s="117"/>
      <c r="R136" s="117"/>
      <c r="S136" s="117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115"/>
      <c r="AN136" s="115"/>
      <c r="AO136" s="115"/>
      <c r="AP136" s="115"/>
      <c r="AQ136" s="115"/>
      <c r="AR136" s="115"/>
      <c r="AS136" s="115"/>
      <c r="AT136" s="115"/>
      <c r="AU136" s="115"/>
      <c r="AY136" s="120"/>
      <c r="AZ136" s="120"/>
      <c r="BG136" s="120"/>
      <c r="BH136" s="120"/>
      <c r="BM136" s="115"/>
      <c r="BN136" s="115"/>
      <c r="BO136" s="115"/>
      <c r="BP136" s="116"/>
      <c r="BQ136" s="116"/>
      <c r="BZ136" s="115"/>
      <c r="CA136" s="115"/>
      <c r="CB136" s="115"/>
    </row>
    <row r="137" spans="1:80" s="251" customFormat="1">
      <c r="A137" s="119"/>
      <c r="B137" s="119"/>
      <c r="C137" s="115"/>
      <c r="D137" s="115"/>
      <c r="E137" s="115"/>
      <c r="F137" s="115"/>
      <c r="G137" s="252"/>
      <c r="H137" s="252"/>
      <c r="I137" s="117"/>
      <c r="J137" s="115"/>
      <c r="K137" s="115"/>
      <c r="L137" s="115"/>
      <c r="M137" s="118"/>
      <c r="N137" s="115"/>
      <c r="O137" s="115"/>
      <c r="P137" s="115"/>
      <c r="Q137" s="117"/>
      <c r="R137" s="117"/>
      <c r="S137" s="117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15"/>
      <c r="AT137" s="115"/>
      <c r="AU137" s="115"/>
      <c r="AY137" s="120"/>
      <c r="AZ137" s="120"/>
      <c r="BG137" s="120"/>
      <c r="BH137" s="120"/>
      <c r="BM137" s="115"/>
      <c r="BN137" s="115"/>
      <c r="BO137" s="115"/>
      <c r="BP137" s="116"/>
      <c r="BQ137" s="116"/>
      <c r="BZ137" s="115"/>
      <c r="CA137" s="115"/>
      <c r="CB137" s="115"/>
    </row>
    <row r="138" spans="1:80" s="251" customFormat="1">
      <c r="A138" s="119"/>
      <c r="B138" s="119"/>
      <c r="C138" s="115"/>
      <c r="D138" s="115"/>
      <c r="E138" s="115"/>
      <c r="F138" s="115"/>
      <c r="G138" s="252"/>
      <c r="H138" s="252"/>
      <c r="I138" s="117"/>
      <c r="J138" s="115"/>
      <c r="K138" s="115"/>
      <c r="L138" s="115"/>
      <c r="M138" s="118"/>
      <c r="N138" s="115"/>
      <c r="O138" s="115"/>
      <c r="P138" s="115"/>
      <c r="Q138" s="117"/>
      <c r="R138" s="117"/>
      <c r="S138" s="117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15"/>
      <c r="AT138" s="115"/>
      <c r="AU138" s="115"/>
      <c r="AY138" s="120"/>
      <c r="AZ138" s="120"/>
      <c r="BG138" s="120"/>
      <c r="BH138" s="120"/>
      <c r="BM138" s="115"/>
      <c r="BN138" s="115"/>
      <c r="BO138" s="115"/>
      <c r="BP138" s="116"/>
      <c r="BQ138" s="116"/>
      <c r="BZ138" s="115"/>
      <c r="CA138" s="115"/>
      <c r="CB138" s="115"/>
    </row>
    <row r="139" spans="1:80" s="251" customFormat="1">
      <c r="A139" s="119"/>
      <c r="B139" s="119"/>
      <c r="C139" s="115"/>
      <c r="D139" s="115"/>
      <c r="E139" s="115"/>
      <c r="F139" s="115"/>
      <c r="G139" s="252"/>
      <c r="H139" s="252"/>
      <c r="I139" s="117"/>
      <c r="J139" s="115"/>
      <c r="K139" s="115"/>
      <c r="L139" s="115"/>
      <c r="M139" s="118"/>
      <c r="N139" s="115"/>
      <c r="O139" s="115"/>
      <c r="P139" s="115"/>
      <c r="Q139" s="117"/>
      <c r="R139" s="117"/>
      <c r="S139" s="117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Y139" s="120"/>
      <c r="AZ139" s="120"/>
      <c r="BG139" s="120"/>
      <c r="BH139" s="120"/>
      <c r="BM139" s="115"/>
      <c r="BN139" s="115"/>
      <c r="BO139" s="115"/>
      <c r="BP139" s="116"/>
      <c r="BQ139" s="116"/>
      <c r="BZ139" s="115"/>
      <c r="CA139" s="115"/>
      <c r="CB139" s="115"/>
    </row>
    <row r="140" spans="1:80" s="251" customFormat="1">
      <c r="A140" s="119"/>
      <c r="B140" s="119"/>
      <c r="C140" s="115"/>
      <c r="D140" s="115"/>
      <c r="E140" s="115"/>
      <c r="F140" s="115"/>
      <c r="G140" s="252"/>
      <c r="H140" s="252"/>
      <c r="I140" s="117"/>
      <c r="J140" s="115"/>
      <c r="K140" s="115"/>
      <c r="L140" s="115"/>
      <c r="M140" s="118"/>
      <c r="N140" s="115"/>
      <c r="O140" s="115"/>
      <c r="P140" s="115"/>
      <c r="Q140" s="117"/>
      <c r="R140" s="117"/>
      <c r="S140" s="117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15"/>
      <c r="AT140" s="115"/>
      <c r="AU140" s="115"/>
      <c r="AY140" s="120"/>
      <c r="AZ140" s="120"/>
      <c r="BG140" s="120"/>
      <c r="BH140" s="120"/>
      <c r="BM140" s="115"/>
      <c r="BN140" s="115"/>
      <c r="BO140" s="115"/>
      <c r="BP140" s="116"/>
      <c r="BQ140" s="116"/>
      <c r="BZ140" s="115"/>
      <c r="CA140" s="115"/>
      <c r="CB140" s="115"/>
    </row>
    <row r="141" spans="1:80" s="251" customFormat="1">
      <c r="A141" s="119"/>
      <c r="B141" s="119"/>
      <c r="C141" s="115"/>
      <c r="D141" s="115"/>
      <c r="E141" s="115"/>
      <c r="F141" s="115"/>
      <c r="G141" s="252"/>
      <c r="H141" s="252"/>
      <c r="I141" s="117"/>
      <c r="J141" s="115"/>
      <c r="K141" s="115"/>
      <c r="L141" s="115"/>
      <c r="M141" s="118"/>
      <c r="N141" s="115"/>
      <c r="O141" s="115"/>
      <c r="P141" s="115"/>
      <c r="Q141" s="117"/>
      <c r="R141" s="117"/>
      <c r="S141" s="117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115"/>
      <c r="AU141" s="115"/>
      <c r="AY141" s="120"/>
      <c r="AZ141" s="120"/>
      <c r="BG141" s="120"/>
      <c r="BH141" s="120"/>
      <c r="BM141" s="115"/>
      <c r="BN141" s="115"/>
      <c r="BO141" s="115"/>
      <c r="BP141" s="116"/>
      <c r="BQ141" s="116"/>
      <c r="BZ141" s="115"/>
      <c r="CA141" s="115"/>
      <c r="CB141" s="115"/>
    </row>
    <row r="142" spans="1:80" s="251" customFormat="1">
      <c r="A142" s="119"/>
      <c r="B142" s="119"/>
      <c r="C142" s="115"/>
      <c r="D142" s="115"/>
      <c r="E142" s="115"/>
      <c r="F142" s="115"/>
      <c r="G142" s="252"/>
      <c r="H142" s="252"/>
      <c r="I142" s="117"/>
      <c r="J142" s="115"/>
      <c r="K142" s="115"/>
      <c r="L142" s="115"/>
      <c r="M142" s="118"/>
      <c r="N142" s="115"/>
      <c r="O142" s="115"/>
      <c r="P142" s="115"/>
      <c r="Q142" s="117"/>
      <c r="R142" s="117"/>
      <c r="S142" s="117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115"/>
      <c r="AY142" s="120"/>
      <c r="AZ142" s="120"/>
      <c r="BG142" s="120"/>
      <c r="BH142" s="120"/>
      <c r="BM142" s="115"/>
      <c r="BN142" s="115"/>
      <c r="BO142" s="115"/>
      <c r="BP142" s="116"/>
      <c r="BQ142" s="116"/>
      <c r="BZ142" s="115"/>
      <c r="CA142" s="115"/>
      <c r="CB142" s="115"/>
    </row>
    <row r="143" spans="1:80" s="251" customFormat="1">
      <c r="A143" s="119"/>
      <c r="B143" s="119"/>
      <c r="C143" s="115"/>
      <c r="D143" s="115"/>
      <c r="E143" s="115"/>
      <c r="F143" s="115"/>
      <c r="G143" s="252"/>
      <c r="H143" s="252"/>
      <c r="I143" s="117"/>
      <c r="J143" s="115"/>
      <c r="K143" s="115"/>
      <c r="L143" s="115"/>
      <c r="M143" s="118"/>
      <c r="N143" s="115"/>
      <c r="O143" s="115"/>
      <c r="P143" s="115"/>
      <c r="Q143" s="117"/>
      <c r="R143" s="117"/>
      <c r="S143" s="117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115"/>
      <c r="AY143" s="120"/>
      <c r="AZ143" s="120"/>
      <c r="BG143" s="120"/>
      <c r="BH143" s="120"/>
      <c r="BM143" s="115"/>
      <c r="BN143" s="115"/>
      <c r="BO143" s="115"/>
      <c r="BP143" s="116"/>
      <c r="BQ143" s="116"/>
      <c r="BZ143" s="115"/>
      <c r="CA143" s="115"/>
      <c r="CB143" s="115"/>
    </row>
    <row r="144" spans="1:80" s="251" customFormat="1">
      <c r="A144" s="119"/>
      <c r="B144" s="119"/>
      <c r="C144" s="115"/>
      <c r="D144" s="115"/>
      <c r="E144" s="115"/>
      <c r="F144" s="115"/>
      <c r="G144" s="252"/>
      <c r="H144" s="252"/>
      <c r="I144" s="117"/>
      <c r="J144" s="115"/>
      <c r="K144" s="115"/>
      <c r="L144" s="115"/>
      <c r="M144" s="118"/>
      <c r="N144" s="115"/>
      <c r="O144" s="115"/>
      <c r="P144" s="115"/>
      <c r="Q144" s="117"/>
      <c r="R144" s="117"/>
      <c r="S144" s="117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115"/>
      <c r="AT144" s="115"/>
      <c r="AU144" s="115"/>
      <c r="AY144" s="120"/>
      <c r="AZ144" s="120"/>
      <c r="BG144" s="120"/>
      <c r="BH144" s="120"/>
      <c r="BM144" s="115"/>
      <c r="BN144" s="115"/>
      <c r="BO144" s="115"/>
      <c r="BP144" s="116"/>
      <c r="BQ144" s="116"/>
      <c r="BZ144" s="115"/>
      <c r="CA144" s="115"/>
      <c r="CB144" s="115"/>
    </row>
    <row r="145" spans="1:80" s="251" customFormat="1">
      <c r="A145" s="119"/>
      <c r="B145" s="119"/>
      <c r="C145" s="115"/>
      <c r="D145" s="115"/>
      <c r="E145" s="115"/>
      <c r="F145" s="115"/>
      <c r="G145" s="252"/>
      <c r="H145" s="252"/>
      <c r="I145" s="117"/>
      <c r="J145" s="115"/>
      <c r="K145" s="115"/>
      <c r="L145" s="115"/>
      <c r="M145" s="118"/>
      <c r="N145" s="115"/>
      <c r="O145" s="115"/>
      <c r="P145" s="115"/>
      <c r="Q145" s="117"/>
      <c r="R145" s="117"/>
      <c r="S145" s="117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15"/>
      <c r="AT145" s="115"/>
      <c r="AU145" s="115"/>
      <c r="AY145" s="120"/>
      <c r="AZ145" s="120"/>
      <c r="BG145" s="120"/>
      <c r="BH145" s="120"/>
      <c r="BM145" s="115"/>
      <c r="BN145" s="115"/>
      <c r="BO145" s="115"/>
      <c r="BP145" s="116"/>
      <c r="BQ145" s="116"/>
      <c r="BZ145" s="115"/>
      <c r="CA145" s="115"/>
      <c r="CB145" s="115"/>
    </row>
    <row r="146" spans="1:80" s="251" customFormat="1">
      <c r="A146" s="119"/>
      <c r="B146" s="119"/>
      <c r="C146" s="115"/>
      <c r="D146" s="115"/>
      <c r="E146" s="115"/>
      <c r="F146" s="115"/>
      <c r="G146" s="252"/>
      <c r="H146" s="252"/>
      <c r="I146" s="117"/>
      <c r="J146" s="115"/>
      <c r="K146" s="115"/>
      <c r="L146" s="115"/>
      <c r="M146" s="118"/>
      <c r="N146" s="115"/>
      <c r="O146" s="115"/>
      <c r="P146" s="115"/>
      <c r="Q146" s="117"/>
      <c r="R146" s="117"/>
      <c r="S146" s="117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15"/>
      <c r="AT146" s="115"/>
      <c r="AU146" s="115"/>
      <c r="AY146" s="120"/>
      <c r="AZ146" s="120"/>
      <c r="BG146" s="120"/>
      <c r="BH146" s="120"/>
      <c r="BM146" s="115"/>
      <c r="BN146" s="115"/>
      <c r="BO146" s="115"/>
      <c r="BP146" s="116"/>
      <c r="BQ146" s="116"/>
      <c r="BZ146" s="115"/>
      <c r="CA146" s="115"/>
      <c r="CB146" s="115"/>
    </row>
    <row r="147" spans="1:80" s="251" customFormat="1">
      <c r="A147" s="119"/>
      <c r="B147" s="119"/>
      <c r="C147" s="115"/>
      <c r="D147" s="115"/>
      <c r="E147" s="115"/>
      <c r="F147" s="115"/>
      <c r="G147" s="252"/>
      <c r="H147" s="252"/>
      <c r="I147" s="117"/>
      <c r="J147" s="115"/>
      <c r="K147" s="115"/>
      <c r="L147" s="115"/>
      <c r="M147" s="118"/>
      <c r="N147" s="115"/>
      <c r="O147" s="115"/>
      <c r="P147" s="115"/>
      <c r="Q147" s="117"/>
      <c r="R147" s="117"/>
      <c r="S147" s="117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115"/>
      <c r="AT147" s="115"/>
      <c r="AU147" s="115"/>
      <c r="AY147" s="120"/>
      <c r="AZ147" s="120"/>
      <c r="BG147" s="120"/>
      <c r="BH147" s="120"/>
      <c r="BM147" s="115"/>
      <c r="BN147" s="115"/>
      <c r="BO147" s="115"/>
      <c r="BP147" s="116"/>
      <c r="BQ147" s="116"/>
      <c r="BZ147" s="115"/>
      <c r="CA147" s="115"/>
      <c r="CB147" s="115"/>
    </row>
    <row r="148" spans="1:80" s="251" customFormat="1">
      <c r="A148" s="119"/>
      <c r="B148" s="119"/>
      <c r="C148" s="115"/>
      <c r="D148" s="115"/>
      <c r="E148" s="115"/>
      <c r="F148" s="115"/>
      <c r="G148" s="252"/>
      <c r="H148" s="252"/>
      <c r="I148" s="117"/>
      <c r="J148" s="115"/>
      <c r="K148" s="115"/>
      <c r="L148" s="115"/>
      <c r="M148" s="118"/>
      <c r="N148" s="115"/>
      <c r="O148" s="115"/>
      <c r="P148" s="115"/>
      <c r="Q148" s="117"/>
      <c r="R148" s="117"/>
      <c r="S148" s="117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115"/>
      <c r="AY148" s="120"/>
      <c r="AZ148" s="120"/>
      <c r="BG148" s="120"/>
      <c r="BH148" s="120"/>
      <c r="BM148" s="115"/>
      <c r="BN148" s="115"/>
      <c r="BO148" s="115"/>
      <c r="BP148" s="116"/>
      <c r="BQ148" s="116"/>
      <c r="BZ148" s="115"/>
      <c r="CA148" s="115"/>
      <c r="CB148" s="115"/>
    </row>
    <row r="149" spans="1:80" s="251" customFormat="1">
      <c r="A149" s="119"/>
      <c r="B149" s="119"/>
      <c r="C149" s="115"/>
      <c r="D149" s="115"/>
      <c r="E149" s="115"/>
      <c r="F149" s="115"/>
      <c r="G149" s="252"/>
      <c r="H149" s="252"/>
      <c r="I149" s="117"/>
      <c r="J149" s="115"/>
      <c r="K149" s="115"/>
      <c r="L149" s="115"/>
      <c r="M149" s="118"/>
      <c r="N149" s="115"/>
      <c r="O149" s="115"/>
      <c r="P149" s="115"/>
      <c r="Q149" s="117"/>
      <c r="R149" s="117"/>
      <c r="S149" s="117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5"/>
      <c r="AY149" s="120"/>
      <c r="AZ149" s="120"/>
      <c r="BG149" s="120"/>
      <c r="BH149" s="120"/>
      <c r="BM149" s="115"/>
      <c r="BN149" s="115"/>
      <c r="BO149" s="115"/>
      <c r="BP149" s="116"/>
      <c r="BQ149" s="116"/>
      <c r="BZ149" s="115"/>
      <c r="CA149" s="115"/>
      <c r="CB149" s="115"/>
    </row>
    <row r="150" spans="1:80" s="251" customFormat="1">
      <c r="A150" s="119"/>
      <c r="B150" s="119"/>
      <c r="C150" s="115"/>
      <c r="D150" s="115"/>
      <c r="E150" s="115"/>
      <c r="F150" s="115"/>
      <c r="G150" s="252"/>
      <c r="H150" s="252"/>
      <c r="I150" s="117"/>
      <c r="J150" s="115"/>
      <c r="K150" s="115"/>
      <c r="L150" s="115"/>
      <c r="M150" s="118"/>
      <c r="N150" s="115"/>
      <c r="O150" s="115"/>
      <c r="P150" s="115"/>
      <c r="Q150" s="117"/>
      <c r="R150" s="117"/>
      <c r="S150" s="117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115"/>
      <c r="AN150" s="115"/>
      <c r="AO150" s="115"/>
      <c r="AP150" s="115"/>
      <c r="AQ150" s="115"/>
      <c r="AR150" s="115"/>
      <c r="AS150" s="115"/>
      <c r="AT150" s="115"/>
      <c r="AU150" s="115"/>
      <c r="AY150" s="120"/>
      <c r="AZ150" s="120"/>
      <c r="BG150" s="120"/>
      <c r="BH150" s="120"/>
      <c r="BM150" s="115"/>
      <c r="BN150" s="115"/>
      <c r="BO150" s="115"/>
      <c r="BP150" s="116"/>
      <c r="BQ150" s="116"/>
      <c r="BZ150" s="115"/>
      <c r="CA150" s="115"/>
      <c r="CB150" s="115"/>
    </row>
    <row r="151" spans="1:80" s="251" customFormat="1">
      <c r="A151" s="119"/>
      <c r="B151" s="119"/>
      <c r="C151" s="115"/>
      <c r="D151" s="115"/>
      <c r="E151" s="115"/>
      <c r="F151" s="115"/>
      <c r="G151" s="252"/>
      <c r="H151" s="252"/>
      <c r="I151" s="117"/>
      <c r="J151" s="115"/>
      <c r="K151" s="115"/>
      <c r="L151" s="115"/>
      <c r="M151" s="118"/>
      <c r="N151" s="115"/>
      <c r="O151" s="115"/>
      <c r="P151" s="115"/>
      <c r="Q151" s="117"/>
      <c r="R151" s="117"/>
      <c r="S151" s="117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115"/>
      <c r="AN151" s="115"/>
      <c r="AO151" s="115"/>
      <c r="AP151" s="115"/>
      <c r="AQ151" s="115"/>
      <c r="AR151" s="115"/>
      <c r="AS151" s="115"/>
      <c r="AT151" s="115"/>
      <c r="AU151" s="115"/>
      <c r="AY151" s="120"/>
      <c r="AZ151" s="120"/>
      <c r="BG151" s="120"/>
      <c r="BH151" s="120"/>
      <c r="BM151" s="115"/>
      <c r="BN151" s="115"/>
      <c r="BO151" s="115"/>
      <c r="BP151" s="116"/>
      <c r="BQ151" s="116"/>
      <c r="BZ151" s="115"/>
      <c r="CA151" s="115"/>
      <c r="CB151" s="115"/>
    </row>
    <row r="152" spans="1:80" s="251" customFormat="1">
      <c r="A152" s="119"/>
      <c r="B152" s="119"/>
      <c r="C152" s="115"/>
      <c r="D152" s="115"/>
      <c r="E152" s="115"/>
      <c r="F152" s="115"/>
      <c r="G152" s="252"/>
      <c r="H152" s="252"/>
      <c r="I152" s="117"/>
      <c r="J152" s="115"/>
      <c r="K152" s="115"/>
      <c r="L152" s="115"/>
      <c r="M152" s="118"/>
      <c r="N152" s="115"/>
      <c r="O152" s="115"/>
      <c r="P152" s="115"/>
      <c r="Q152" s="117"/>
      <c r="R152" s="117"/>
      <c r="S152" s="117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Y152" s="120"/>
      <c r="AZ152" s="120"/>
      <c r="BG152" s="120"/>
      <c r="BH152" s="120"/>
      <c r="BM152" s="115"/>
      <c r="BN152" s="115"/>
      <c r="BO152" s="115"/>
      <c r="BP152" s="116"/>
      <c r="BQ152" s="116"/>
      <c r="BZ152" s="115"/>
      <c r="CA152" s="115"/>
      <c r="CB152" s="115"/>
    </row>
  </sheetData>
  <autoFilter ref="A1:L128" xr:uid="{00000000-0009-0000-0000-000002000000}">
    <filterColumn colId="4" showButton="0"/>
  </autoFilter>
  <mergeCells count="52">
    <mergeCell ref="G1:G2"/>
    <mergeCell ref="A1:A2"/>
    <mergeCell ref="B1:B2"/>
    <mergeCell ref="C1:C2"/>
    <mergeCell ref="D1:D2"/>
    <mergeCell ref="E1:F2"/>
    <mergeCell ref="T1:V1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BC1:BC2"/>
    <mergeCell ref="W1:X1"/>
    <mergeCell ref="Y1:Z1"/>
    <mergeCell ref="AC1:AG1"/>
    <mergeCell ref="AH1:AU1"/>
    <mergeCell ref="AV1:AV2"/>
    <mergeCell ref="AW1:AW2"/>
    <mergeCell ref="AX1:AX2"/>
    <mergeCell ref="AY1:AY2"/>
    <mergeCell ref="AZ1:AZ2"/>
    <mergeCell ref="BA1:BA2"/>
    <mergeCell ref="BB1:BB2"/>
    <mergeCell ref="BO1:BO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W1:BW2"/>
    <mergeCell ref="BX1:BX2"/>
    <mergeCell ref="BY1:BY2"/>
    <mergeCell ref="BZ1:BZ2"/>
    <mergeCell ref="BP1:BP2"/>
    <mergeCell ref="BR1:BR2"/>
    <mergeCell ref="BS1:BS2"/>
    <mergeCell ref="BT1:BT2"/>
    <mergeCell ref="BU1:BU2"/>
    <mergeCell ref="BV1:BV2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2:BA322"/>
  <sheetViews>
    <sheetView topLeftCell="A315" zoomScaleNormal="100" workbookViewId="0">
      <selection activeCell="A3" sqref="A3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1.44140625" style="56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16384" width="9.33203125" style="39"/>
  </cols>
  <sheetData>
    <row r="2" spans="2:52">
      <c r="B2" s="28" t="s">
        <v>2</v>
      </c>
      <c r="C2" s="28"/>
      <c r="D2" s="29"/>
      <c r="E2" s="30" t="s">
        <v>511</v>
      </c>
      <c r="F2" s="31" t="s">
        <v>512</v>
      </c>
      <c r="G2" s="32"/>
      <c r="H2" s="33"/>
      <c r="I2" s="34"/>
      <c r="J2" s="35" t="s">
        <v>513</v>
      </c>
      <c r="K2" s="36" t="s">
        <v>511</v>
      </c>
      <c r="L2" s="37">
        <v>44927.013888888891</v>
      </c>
      <c r="M2" s="32"/>
      <c r="N2" s="32"/>
      <c r="O2" s="36"/>
      <c r="P2" s="33"/>
      <c r="Q2" s="48"/>
      <c r="R2" s="49"/>
      <c r="S2" s="38"/>
      <c r="T2" s="32"/>
      <c r="U2" s="32"/>
      <c r="V2" s="32"/>
      <c r="W2" s="32"/>
      <c r="X2" s="32"/>
      <c r="Y2" s="32"/>
      <c r="Z2" s="32"/>
      <c r="AA2" s="32"/>
      <c r="AB2" s="48"/>
      <c r="AC2" s="48"/>
      <c r="AD2" s="48"/>
      <c r="AE2" s="48"/>
      <c r="AF2" s="48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</row>
    <row r="3" spans="2:52">
      <c r="B3" s="35" t="s">
        <v>514</v>
      </c>
      <c r="C3" s="35"/>
      <c r="D3" s="32"/>
      <c r="E3" s="36" t="s">
        <v>511</v>
      </c>
      <c r="F3" s="37" t="s">
        <v>515</v>
      </c>
      <c r="G3" s="32"/>
      <c r="H3" s="33"/>
      <c r="I3" s="34"/>
      <c r="J3" s="35" t="s">
        <v>516</v>
      </c>
      <c r="K3" s="36" t="s">
        <v>511</v>
      </c>
      <c r="L3" s="37">
        <f>'VLU 2023 &amp; 2024'!$N$6</f>
        <v>44928.208333333336</v>
      </c>
      <c r="M3" s="32"/>
      <c r="N3" s="32"/>
      <c r="O3" s="36"/>
      <c r="P3" s="33"/>
      <c r="Q3" s="48"/>
      <c r="R3" s="49"/>
      <c r="S3" s="38"/>
      <c r="T3" s="32"/>
      <c r="U3" s="32"/>
      <c r="V3" s="32"/>
      <c r="W3" s="32"/>
      <c r="X3" s="32"/>
      <c r="Y3" s="32"/>
      <c r="Z3" s="32"/>
      <c r="AA3" s="32"/>
      <c r="AB3" s="48"/>
      <c r="AC3" s="48"/>
      <c r="AD3" s="48"/>
      <c r="AE3" s="48"/>
      <c r="AF3" s="48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</row>
    <row r="4" spans="2:52">
      <c r="B4" s="35" t="s">
        <v>517</v>
      </c>
      <c r="C4" s="35"/>
      <c r="D4" s="32"/>
      <c r="E4" s="36" t="s">
        <v>511</v>
      </c>
      <c r="F4" s="37">
        <v>44926.729166666664</v>
      </c>
      <c r="G4" s="32"/>
      <c r="H4" s="33"/>
      <c r="I4" s="34"/>
      <c r="J4" s="35" t="s">
        <v>518</v>
      </c>
      <c r="K4" s="36" t="s">
        <v>511</v>
      </c>
      <c r="L4" s="50">
        <v>31509</v>
      </c>
      <c r="M4" s="40" t="s">
        <v>519</v>
      </c>
      <c r="N4" s="40"/>
      <c r="O4" s="36"/>
      <c r="P4" s="33"/>
      <c r="Q4" s="48"/>
      <c r="R4" s="49"/>
      <c r="S4" s="38"/>
      <c r="T4" s="32"/>
      <c r="U4" s="32"/>
      <c r="V4" s="32"/>
      <c r="W4" s="32"/>
      <c r="X4" s="32"/>
      <c r="Y4" s="32"/>
      <c r="Z4" s="32"/>
      <c r="AA4" s="32"/>
      <c r="AB4" s="48"/>
      <c r="AC4" s="48"/>
      <c r="AD4" s="48"/>
      <c r="AE4" s="48"/>
      <c r="AF4" s="48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</row>
    <row r="5" spans="2:52">
      <c r="B5" s="35" t="s">
        <v>520</v>
      </c>
      <c r="C5" s="35"/>
      <c r="D5" s="32"/>
      <c r="E5" s="36" t="s">
        <v>511</v>
      </c>
      <c r="F5" s="37" t="s">
        <v>12</v>
      </c>
      <c r="G5" s="32"/>
      <c r="H5" s="33"/>
      <c r="I5" s="34"/>
      <c r="J5" s="35" t="s">
        <v>521</v>
      </c>
      <c r="K5" s="36" t="s">
        <v>511</v>
      </c>
      <c r="L5" s="41" t="s">
        <v>522</v>
      </c>
      <c r="M5" s="32"/>
      <c r="N5" s="32"/>
      <c r="O5" s="36"/>
      <c r="P5" s="48"/>
      <c r="Q5" s="48"/>
      <c r="R5" s="49"/>
      <c r="S5" s="38"/>
      <c r="T5" s="32"/>
      <c r="U5" s="32"/>
      <c r="V5" s="32"/>
      <c r="W5" s="32"/>
      <c r="X5" s="32"/>
      <c r="Y5" s="32"/>
      <c r="Z5" s="32"/>
      <c r="AA5" s="32"/>
      <c r="AB5" s="48"/>
      <c r="AC5" s="48"/>
      <c r="AD5" s="48"/>
      <c r="AE5" s="48"/>
      <c r="AF5" s="48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</row>
    <row r="6" spans="2:52">
      <c r="B6" s="35" t="s">
        <v>523</v>
      </c>
      <c r="C6" s="35"/>
      <c r="D6" s="32"/>
      <c r="E6" s="36" t="s">
        <v>511</v>
      </c>
      <c r="F6" s="37" t="s">
        <v>32</v>
      </c>
      <c r="G6" s="32"/>
      <c r="H6" s="33"/>
      <c r="I6" s="34"/>
      <c r="J6" s="42" t="s">
        <v>524</v>
      </c>
      <c r="K6" s="36" t="s">
        <v>511</v>
      </c>
      <c r="L6" s="43" t="s">
        <v>15</v>
      </c>
      <c r="M6" s="44"/>
      <c r="N6" s="44"/>
      <c r="O6" s="36"/>
      <c r="P6" s="33"/>
      <c r="Q6" s="48"/>
      <c r="R6" s="49"/>
      <c r="S6" s="38"/>
      <c r="T6" s="32"/>
      <c r="U6" s="32"/>
      <c r="V6" s="32"/>
      <c r="W6" s="32"/>
      <c r="X6" s="32"/>
      <c r="Y6" s="32"/>
      <c r="Z6" s="32"/>
      <c r="AA6" s="32"/>
      <c r="AB6" s="48"/>
      <c r="AC6" s="48"/>
      <c r="AD6" s="48"/>
      <c r="AE6" s="48"/>
      <c r="AF6" s="48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</row>
    <row r="7" spans="2:52">
      <c r="B7" s="35" t="s">
        <v>2</v>
      </c>
      <c r="C7" s="35"/>
      <c r="D7" s="32"/>
      <c r="E7" s="36" t="s">
        <v>511</v>
      </c>
      <c r="F7" s="37" t="s">
        <v>44</v>
      </c>
      <c r="G7" s="32"/>
      <c r="H7" s="33"/>
      <c r="I7" s="45"/>
      <c r="J7" s="42"/>
      <c r="K7" s="36"/>
      <c r="L7" s="37"/>
      <c r="M7" s="32"/>
      <c r="N7" s="32"/>
      <c r="O7" s="42"/>
      <c r="P7" s="44"/>
      <c r="Q7" s="44"/>
      <c r="R7" s="44"/>
      <c r="S7" s="34"/>
      <c r="T7" s="32"/>
      <c r="U7" s="32"/>
      <c r="V7" s="32"/>
      <c r="W7" s="32"/>
      <c r="X7" s="32"/>
      <c r="Y7" s="32"/>
      <c r="Z7" s="32"/>
      <c r="AA7" s="32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</row>
    <row r="8" spans="2:52">
      <c r="B8" s="32"/>
      <c r="C8" s="32"/>
      <c r="D8" s="32"/>
      <c r="E8" s="32"/>
      <c r="F8" s="32"/>
      <c r="G8" s="32"/>
      <c r="H8" s="32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70" t="s">
        <v>87</v>
      </c>
      <c r="U8" s="1270"/>
      <c r="V8" s="1270"/>
      <c r="W8" s="1270"/>
      <c r="X8" s="1270"/>
      <c r="Y8" s="1270" t="s">
        <v>73</v>
      </c>
      <c r="Z8" s="1270"/>
      <c r="AA8" s="1270"/>
      <c r="AB8" s="1270" t="s">
        <v>74</v>
      </c>
      <c r="AC8" s="1270"/>
      <c r="AD8" s="407" t="s">
        <v>85</v>
      </c>
      <c r="AE8" s="407" t="s">
        <v>77</v>
      </c>
      <c r="AF8" s="1270" t="s">
        <v>525</v>
      </c>
      <c r="AG8" s="1270"/>
      <c r="AH8" s="1270"/>
      <c r="AI8" s="1270"/>
      <c r="AJ8" s="1270"/>
      <c r="AK8" s="1270"/>
      <c r="AL8" s="1270"/>
      <c r="AM8" s="1270"/>
      <c r="AN8" s="1270"/>
      <c r="AO8" s="1270"/>
      <c r="AP8" s="1270"/>
      <c r="AQ8" s="1270"/>
      <c r="AR8" s="1270"/>
      <c r="AS8" s="1270"/>
      <c r="AT8" s="1270"/>
      <c r="AU8" s="1270"/>
      <c r="AV8" s="1270"/>
      <c r="AW8" s="1270"/>
      <c r="AX8" s="1270"/>
      <c r="AY8" s="1270"/>
      <c r="AZ8" s="32"/>
    </row>
    <row r="9" spans="2:52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408" t="str">
        <f>"On time - "&amp;COUNTIF(N10:N14,"On time")&amp;" from "&amp;ROWS(N10:N14)-COUNTIF(N10:N14," ")</f>
        <v>On time - 4 from 5</v>
      </c>
      <c r="O9" s="46"/>
      <c r="P9" s="409" t="s">
        <v>534</v>
      </c>
      <c r="Q9" s="409" t="s">
        <v>535</v>
      </c>
      <c r="R9" s="409" t="s">
        <v>536</v>
      </c>
      <c r="S9" s="32"/>
      <c r="T9" s="410" t="s">
        <v>537</v>
      </c>
      <c r="U9" s="410" t="s">
        <v>538</v>
      </c>
      <c r="V9" s="410" t="s">
        <v>539</v>
      </c>
      <c r="W9" s="410" t="s">
        <v>540</v>
      </c>
      <c r="X9" s="410" t="s">
        <v>541</v>
      </c>
      <c r="Y9" s="410" t="s">
        <v>167</v>
      </c>
      <c r="Z9" s="410" t="s">
        <v>168</v>
      </c>
      <c r="AA9" s="410" t="s">
        <v>169</v>
      </c>
      <c r="AB9" s="410" t="s">
        <v>235</v>
      </c>
      <c r="AC9" s="410" t="s">
        <v>542</v>
      </c>
      <c r="AD9" s="407" t="s">
        <v>85</v>
      </c>
      <c r="AE9" s="410" t="s">
        <v>139</v>
      </c>
      <c r="AF9" s="410" t="s">
        <v>72</v>
      </c>
      <c r="AG9" s="410" t="s">
        <v>88</v>
      </c>
      <c r="AH9" s="410" t="s">
        <v>75</v>
      </c>
      <c r="AI9" s="410" t="s">
        <v>543</v>
      </c>
      <c r="AJ9" s="410" t="s">
        <v>78</v>
      </c>
      <c r="AK9" s="410" t="s">
        <v>76</v>
      </c>
      <c r="AL9" s="410" t="s">
        <v>544</v>
      </c>
      <c r="AM9" s="410" t="s">
        <v>545</v>
      </c>
      <c r="AN9" s="410" t="s">
        <v>86</v>
      </c>
      <c r="AO9" s="410" t="s">
        <v>83</v>
      </c>
      <c r="AP9" s="410" t="s">
        <v>84</v>
      </c>
      <c r="AQ9" s="410" t="s">
        <v>546</v>
      </c>
      <c r="AR9" s="410" t="s">
        <v>81</v>
      </c>
      <c r="AS9" s="410" t="s">
        <v>80</v>
      </c>
      <c r="AT9" s="410" t="s">
        <v>82</v>
      </c>
      <c r="AU9" s="410" t="s">
        <v>181</v>
      </c>
      <c r="AV9" s="410" t="s">
        <v>183</v>
      </c>
      <c r="AW9" s="410" t="s">
        <v>547</v>
      </c>
      <c r="AX9" s="410" t="s">
        <v>182</v>
      </c>
      <c r="AY9" s="410" t="s">
        <v>172</v>
      </c>
      <c r="AZ9" s="32"/>
    </row>
    <row r="10" spans="2:52">
      <c r="B10" s="1256" t="s">
        <v>548</v>
      </c>
      <c r="C10" s="1257"/>
      <c r="D10" s="411" t="s">
        <v>549</v>
      </c>
      <c r="E10" s="411"/>
      <c r="F10" s="411" t="s">
        <v>307</v>
      </c>
      <c r="G10" s="411" t="s">
        <v>308</v>
      </c>
      <c r="H10" s="412">
        <v>7500</v>
      </c>
      <c r="I10" s="413" t="s">
        <v>78</v>
      </c>
      <c r="J10" s="414">
        <v>44926.666666666664</v>
      </c>
      <c r="K10" s="414"/>
      <c r="L10" s="414" t="s">
        <v>550</v>
      </c>
      <c r="M10" s="414" t="s">
        <v>550</v>
      </c>
      <c r="N10" s="413" t="str">
        <f>IF(ISBLANK(J10)," ",IF(J10&lt;$F$4,"On time",(IF(DAY(J10-$F$4)&lt;1,"On time",(IF(J10&gt;$F$4,"DELAY ( "&amp;DAY(J10-$F$4)&amp;" day "&amp;HOUR(J10-$F$4)&amp;" hour "&amp;MINUTE(J10-$F$4)&amp;" minute )","xxx"))))))</f>
        <v>On time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/>
      <c r="AC10" s="416"/>
      <c r="AD10" s="416"/>
      <c r="AE10" s="416"/>
      <c r="AF10" s="416"/>
      <c r="AG10" s="416"/>
      <c r="AH10" s="416"/>
      <c r="AI10" s="416"/>
      <c r="AJ10" s="416">
        <f>H10</f>
        <v>7500</v>
      </c>
      <c r="AK10" s="416"/>
      <c r="AL10" s="416"/>
      <c r="AM10" s="416"/>
      <c r="AN10" s="416"/>
      <c r="AO10" s="416"/>
      <c r="AP10" s="416"/>
      <c r="AQ10" s="416"/>
      <c r="AR10" s="416"/>
      <c r="AS10" s="416"/>
      <c r="AT10" s="416"/>
      <c r="AU10" s="416"/>
      <c r="AV10" s="416"/>
      <c r="AW10" s="416"/>
      <c r="AX10" s="416"/>
      <c r="AY10" s="416"/>
      <c r="AZ10" s="32"/>
    </row>
    <row r="11" spans="2:52">
      <c r="B11" s="1256" t="s">
        <v>548</v>
      </c>
      <c r="C11" s="1257"/>
      <c r="D11" s="411" t="s">
        <v>552</v>
      </c>
      <c r="E11" s="411"/>
      <c r="F11" s="411" t="s">
        <v>310</v>
      </c>
      <c r="G11" s="411" t="s">
        <v>311</v>
      </c>
      <c r="H11" s="412">
        <v>1686</v>
      </c>
      <c r="I11" s="413" t="s">
        <v>240</v>
      </c>
      <c r="J11" s="414">
        <v>44926.697916666664</v>
      </c>
      <c r="K11" s="414"/>
      <c r="L11" s="414" t="s">
        <v>550</v>
      </c>
      <c r="M11" s="414" t="s">
        <v>550</v>
      </c>
      <c r="N11" s="413" t="str">
        <f t="shared" ref="N11:N16" si="0">IF(ISBLANK(J11)," ",IF(J11&lt;$F$4,"On time",(IF(DAY(J11-$F$4)&lt;1,"On time",(IF(J11&gt;$F$4,"DELAY ( "&amp;DAY(J11-$F$4)&amp;" day "&amp;HOUR(J11-$F$4)&amp;" hour "&amp;MINUTE(J11-$F$4)&amp;" minute )","xxx"))))))</f>
        <v>On time</v>
      </c>
      <c r="O11" s="51"/>
      <c r="P11" s="415" t="s">
        <v>551</v>
      </c>
      <c r="Q11" s="415" t="s">
        <v>551</v>
      </c>
      <c r="R11" s="415" t="s">
        <v>551</v>
      </c>
      <c r="S11" s="32"/>
      <c r="T11" s="416"/>
      <c r="U11" s="416"/>
      <c r="V11" s="416"/>
      <c r="W11" s="416"/>
      <c r="X11" s="416"/>
      <c r="Y11" s="416"/>
      <c r="Z11" s="416"/>
      <c r="AA11" s="416"/>
      <c r="AB11" s="416"/>
      <c r="AC11" s="416">
        <f>H11</f>
        <v>1686</v>
      </c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6"/>
      <c r="AQ11" s="416"/>
      <c r="AR11" s="416"/>
      <c r="AS11" s="416"/>
      <c r="AT11" s="416"/>
      <c r="AU11" s="416"/>
      <c r="AV11" s="416"/>
      <c r="AW11" s="416"/>
      <c r="AX11" s="416"/>
      <c r="AY11" s="416"/>
      <c r="AZ11" s="32"/>
    </row>
    <row r="12" spans="2:52">
      <c r="B12" s="1256" t="s">
        <v>548</v>
      </c>
      <c r="C12" s="1257"/>
      <c r="D12" s="411" t="s">
        <v>553</v>
      </c>
      <c r="E12" s="411"/>
      <c r="F12" s="411" t="s">
        <v>323</v>
      </c>
      <c r="G12" s="411" t="s">
        <v>324</v>
      </c>
      <c r="H12" s="412">
        <v>7563.732</v>
      </c>
      <c r="I12" s="413" t="s">
        <v>240</v>
      </c>
      <c r="J12" s="414">
        <v>44926.375</v>
      </c>
      <c r="K12" s="414"/>
      <c r="L12" s="414" t="s">
        <v>550</v>
      </c>
      <c r="M12" s="414" t="s">
        <v>550</v>
      </c>
      <c r="N12" s="413" t="str">
        <f t="shared" si="0"/>
        <v>On time</v>
      </c>
      <c r="O12" s="51"/>
      <c r="P12" s="415" t="s">
        <v>551</v>
      </c>
      <c r="Q12" s="415" t="s">
        <v>551</v>
      </c>
      <c r="R12" s="415" t="s">
        <v>551</v>
      </c>
      <c r="S12" s="32"/>
      <c r="T12" s="416"/>
      <c r="U12" s="416"/>
      <c r="V12" s="416"/>
      <c r="W12" s="416"/>
      <c r="X12" s="416"/>
      <c r="Y12" s="416"/>
      <c r="Z12" s="416"/>
      <c r="AA12" s="416"/>
      <c r="AB12" s="416"/>
      <c r="AC12" s="416">
        <f>H12</f>
        <v>7563.732</v>
      </c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/>
      <c r="AQ12" s="416"/>
      <c r="AR12" s="416"/>
      <c r="AS12" s="416"/>
      <c r="AT12" s="416"/>
      <c r="AU12" s="416"/>
      <c r="AV12" s="416"/>
      <c r="AW12" s="416"/>
      <c r="AX12" s="416"/>
      <c r="AY12" s="416"/>
      <c r="AZ12" s="32"/>
    </row>
    <row r="13" spans="2:52">
      <c r="B13" s="1256" t="s">
        <v>548</v>
      </c>
      <c r="C13" s="1257"/>
      <c r="D13" s="411" t="s">
        <v>554</v>
      </c>
      <c r="E13" s="411"/>
      <c r="F13" s="411" t="s">
        <v>492</v>
      </c>
      <c r="G13" s="411" t="s">
        <v>493</v>
      </c>
      <c r="H13" s="412">
        <v>7601.9089999999997</v>
      </c>
      <c r="I13" s="413" t="s">
        <v>240</v>
      </c>
      <c r="J13" s="414">
        <v>44927.541666666664</v>
      </c>
      <c r="K13" s="414"/>
      <c r="L13" s="414" t="s">
        <v>550</v>
      </c>
      <c r="M13" s="414" t="s">
        <v>550</v>
      </c>
      <c r="N13" s="413" t="str">
        <f t="shared" si="0"/>
        <v>On time</v>
      </c>
      <c r="O13" s="51"/>
      <c r="P13" s="415" t="s">
        <v>551</v>
      </c>
      <c r="Q13" s="415" t="s">
        <v>551</v>
      </c>
      <c r="R13" s="415" t="s">
        <v>551</v>
      </c>
      <c r="S13" s="32"/>
      <c r="T13" s="416"/>
      <c r="U13" s="416"/>
      <c r="V13" s="416"/>
      <c r="W13" s="416"/>
      <c r="X13" s="416"/>
      <c r="Y13" s="416"/>
      <c r="Z13" s="416"/>
      <c r="AA13" s="416"/>
      <c r="AB13" s="416"/>
      <c r="AC13" s="416">
        <f>H13</f>
        <v>7601.9089999999997</v>
      </c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32"/>
    </row>
    <row r="14" spans="2:52">
      <c r="B14" s="1256" t="s">
        <v>548</v>
      </c>
      <c r="C14" s="1257"/>
      <c r="D14" s="411" t="s">
        <v>555</v>
      </c>
      <c r="E14" s="411"/>
      <c r="F14" s="411" t="s">
        <v>334</v>
      </c>
      <c r="G14" s="411" t="s">
        <v>335</v>
      </c>
      <c r="H14" s="412">
        <f>7861.768-704.409</f>
        <v>7157.3590000000004</v>
      </c>
      <c r="I14" s="413" t="s">
        <v>240</v>
      </c>
      <c r="J14" s="414">
        <v>44927.833333333336</v>
      </c>
      <c r="K14" s="414"/>
      <c r="L14" s="414" t="s">
        <v>550</v>
      </c>
      <c r="M14" s="414" t="s">
        <v>550</v>
      </c>
      <c r="N14" s="413" t="str">
        <f t="shared" si="0"/>
        <v>DELAY ( 1 day 2 hour 30 minute )</v>
      </c>
      <c r="O14" s="51"/>
      <c r="P14" s="415" t="s">
        <v>551</v>
      </c>
      <c r="Q14" s="415" t="s">
        <v>551</v>
      </c>
      <c r="R14" s="415" t="s">
        <v>551</v>
      </c>
      <c r="S14" s="32"/>
      <c r="T14" s="416"/>
      <c r="U14" s="416"/>
      <c r="V14" s="416"/>
      <c r="W14" s="416"/>
      <c r="X14" s="416"/>
      <c r="Y14" s="416"/>
      <c r="Z14" s="416"/>
      <c r="AA14" s="416"/>
      <c r="AB14" s="416"/>
      <c r="AC14" s="416">
        <f>H14-H18</f>
        <v>7157.3590000000004</v>
      </c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/>
      <c r="AQ14" s="416"/>
      <c r="AR14" s="416"/>
      <c r="AS14" s="416"/>
      <c r="AT14" s="416"/>
      <c r="AU14" s="416"/>
      <c r="AV14" s="416"/>
      <c r="AW14" s="416"/>
      <c r="AX14" s="416"/>
      <c r="AY14" s="416"/>
      <c r="AZ14" s="32"/>
    </row>
    <row r="15" spans="2:52">
      <c r="B15" s="1258" t="s">
        <v>556</v>
      </c>
      <c r="C15" s="1259"/>
      <c r="D15" s="1259"/>
      <c r="E15" s="1259"/>
      <c r="F15" s="1259"/>
      <c r="G15" s="1260"/>
      <c r="H15" s="417">
        <f>SUM(H10:H14)</f>
        <v>31509</v>
      </c>
      <c r="I15" s="388"/>
      <c r="J15" s="293"/>
      <c r="K15" s="293"/>
      <c r="L15" s="293"/>
      <c r="M15" s="389"/>
      <c r="N15" s="413" t="str">
        <f t="shared" si="0"/>
        <v xml:space="preserve"> </v>
      </c>
      <c r="O15" s="47"/>
      <c r="P15" s="418"/>
      <c r="Q15" s="418"/>
      <c r="R15" s="418"/>
      <c r="S15" s="32"/>
      <c r="T15" s="1262"/>
      <c r="U15" s="1263"/>
      <c r="V15" s="1263"/>
      <c r="W15" s="1263"/>
      <c r="X15" s="1263"/>
      <c r="Y15" s="1263"/>
      <c r="Z15" s="1263"/>
      <c r="AA15" s="1263"/>
      <c r="AB15" s="1263"/>
      <c r="AC15" s="1263"/>
      <c r="AD15" s="1263"/>
      <c r="AE15" s="1263"/>
      <c r="AF15" s="1263"/>
      <c r="AG15" s="1263"/>
      <c r="AH15" s="1263"/>
      <c r="AI15" s="1263"/>
      <c r="AJ15" s="1263"/>
      <c r="AK15" s="1263"/>
      <c r="AL15" s="1263"/>
      <c r="AM15" s="1263"/>
      <c r="AN15" s="1263"/>
      <c r="AO15" s="1263"/>
      <c r="AP15" s="1263"/>
      <c r="AQ15" s="1263"/>
      <c r="AR15" s="1263"/>
      <c r="AS15" s="1263"/>
      <c r="AT15" s="1263"/>
      <c r="AU15" s="1263"/>
      <c r="AV15" s="1263"/>
      <c r="AW15" s="1263"/>
      <c r="AX15" s="1263"/>
      <c r="AY15" s="1264"/>
    </row>
    <row r="16" spans="2:52">
      <c r="B16" s="1243" t="s">
        <v>557</v>
      </c>
      <c r="C16" s="1244"/>
      <c r="D16" s="1244"/>
      <c r="E16" s="1244"/>
      <c r="F16" s="1244"/>
      <c r="G16" s="1245"/>
      <c r="H16" s="419">
        <v>31509</v>
      </c>
      <c r="I16" s="1246"/>
      <c r="J16" s="1247"/>
      <c r="K16" s="1247"/>
      <c r="L16" s="1247"/>
      <c r="M16" s="1248"/>
      <c r="N16" s="413" t="str">
        <f t="shared" si="0"/>
        <v xml:space="preserve"> </v>
      </c>
      <c r="O16" s="32"/>
      <c r="P16" s="415"/>
      <c r="Q16" s="415"/>
      <c r="R16" s="415"/>
      <c r="S16" s="63"/>
      <c r="T16" s="416">
        <f t="shared" ref="T16:AY16" si="1">SUM(T10:T14)</f>
        <v>0</v>
      </c>
      <c r="U16" s="416">
        <f t="shared" si="1"/>
        <v>0</v>
      </c>
      <c r="V16" s="416">
        <f t="shared" si="1"/>
        <v>0</v>
      </c>
      <c r="W16" s="416">
        <f t="shared" si="1"/>
        <v>0</v>
      </c>
      <c r="X16" s="416">
        <f t="shared" si="1"/>
        <v>0</v>
      </c>
      <c r="Y16" s="416">
        <f t="shared" si="1"/>
        <v>0</v>
      </c>
      <c r="Z16" s="416">
        <f t="shared" si="1"/>
        <v>0</v>
      </c>
      <c r="AA16" s="416">
        <f t="shared" si="1"/>
        <v>0</v>
      </c>
      <c r="AB16" s="416">
        <f t="shared" si="1"/>
        <v>0</v>
      </c>
      <c r="AC16" s="416">
        <f t="shared" si="1"/>
        <v>24009</v>
      </c>
      <c r="AD16" s="416">
        <f t="shared" si="1"/>
        <v>0</v>
      </c>
      <c r="AE16" s="416">
        <f t="shared" si="1"/>
        <v>0</v>
      </c>
      <c r="AF16" s="416">
        <f t="shared" si="1"/>
        <v>0</v>
      </c>
      <c r="AG16" s="416">
        <f t="shared" si="1"/>
        <v>0</v>
      </c>
      <c r="AH16" s="416">
        <f t="shared" si="1"/>
        <v>0</v>
      </c>
      <c r="AI16" s="416">
        <f t="shared" si="1"/>
        <v>0</v>
      </c>
      <c r="AJ16" s="416">
        <f t="shared" si="1"/>
        <v>7500</v>
      </c>
      <c r="AK16" s="416">
        <f t="shared" si="1"/>
        <v>0</v>
      </c>
      <c r="AL16" s="416">
        <f t="shared" si="1"/>
        <v>0</v>
      </c>
      <c r="AM16" s="416">
        <f t="shared" si="1"/>
        <v>0</v>
      </c>
      <c r="AN16" s="416">
        <f t="shared" si="1"/>
        <v>0</v>
      </c>
      <c r="AO16" s="416">
        <f t="shared" si="1"/>
        <v>0</v>
      </c>
      <c r="AP16" s="416">
        <f t="shared" si="1"/>
        <v>0</v>
      </c>
      <c r="AQ16" s="416">
        <f t="shared" si="1"/>
        <v>0</v>
      </c>
      <c r="AR16" s="416">
        <f t="shared" si="1"/>
        <v>0</v>
      </c>
      <c r="AS16" s="416">
        <f t="shared" si="1"/>
        <v>0</v>
      </c>
      <c r="AT16" s="416">
        <f t="shared" si="1"/>
        <v>0</v>
      </c>
      <c r="AU16" s="416">
        <f t="shared" si="1"/>
        <v>0</v>
      </c>
      <c r="AV16" s="416">
        <f t="shared" si="1"/>
        <v>0</v>
      </c>
      <c r="AW16" s="416">
        <f t="shared" si="1"/>
        <v>0</v>
      </c>
      <c r="AX16" s="416">
        <f t="shared" si="1"/>
        <v>0</v>
      </c>
      <c r="AY16" s="416">
        <f t="shared" si="1"/>
        <v>0</v>
      </c>
      <c r="AZ16" s="416">
        <f>SUM(T16:AY16)</f>
        <v>31509</v>
      </c>
    </row>
    <row r="17" spans="2:53">
      <c r="B17" s="1243" t="s">
        <v>558</v>
      </c>
      <c r="C17" s="1244"/>
      <c r="D17" s="1244"/>
      <c r="E17" s="1244"/>
      <c r="F17" s="1244"/>
      <c r="G17" s="1245"/>
      <c r="H17" s="420">
        <f>H16-L4</f>
        <v>0</v>
      </c>
      <c r="I17" s="294"/>
      <c r="J17" s="295"/>
      <c r="K17" s="295"/>
      <c r="L17" s="296"/>
      <c r="M17" s="32"/>
      <c r="N17" s="32"/>
      <c r="O17" s="32"/>
      <c r="P17" s="32"/>
      <c r="Q17" s="297"/>
      <c r="R17" s="297"/>
      <c r="S17" s="32"/>
      <c r="T17" s="48"/>
      <c r="U17" s="48"/>
      <c r="V17" s="48"/>
      <c r="W17" s="48"/>
      <c r="X17" s="48"/>
      <c r="Y17" s="48"/>
      <c r="Z17" s="48"/>
      <c r="AA17" s="48"/>
      <c r="AB17" s="48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</row>
    <row r="18" spans="2:53">
      <c r="B18" s="1243" t="s">
        <v>559</v>
      </c>
      <c r="C18" s="1244"/>
      <c r="D18" s="1244"/>
      <c r="E18" s="1244"/>
      <c r="F18" s="1244"/>
      <c r="G18" s="1245"/>
      <c r="H18" s="420">
        <f>H15-H16</f>
        <v>0</v>
      </c>
      <c r="I18" s="52"/>
      <c r="J18" s="53"/>
      <c r="K18" s="53"/>
      <c r="L18" s="54"/>
      <c r="M18" s="32"/>
      <c r="N18" s="32"/>
      <c r="O18" s="32"/>
      <c r="P18" s="32"/>
      <c r="Q18" s="32"/>
      <c r="R18" s="32"/>
      <c r="S18" s="32"/>
      <c r="T18" s="48"/>
      <c r="U18" s="48"/>
      <c r="V18" s="48"/>
      <c r="W18" s="48"/>
      <c r="X18" s="48"/>
      <c r="Y18" s="48"/>
      <c r="Z18" s="48"/>
      <c r="AA18" s="48"/>
      <c r="AB18" s="48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2:53">
      <c r="B19" s="1243" t="s">
        <v>560</v>
      </c>
      <c r="C19" s="1244"/>
      <c r="D19" s="1244"/>
      <c r="E19" s="1244"/>
      <c r="F19" s="1244"/>
      <c r="G19" s="1245"/>
      <c r="H19" s="421">
        <f>H18-704.409</f>
        <v>-704.40899999999999</v>
      </c>
      <c r="I19" s="255"/>
      <c r="J19" s="53"/>
      <c r="K19" s="53"/>
      <c r="L19" s="54"/>
      <c r="M19" s="32"/>
      <c r="N19" s="32"/>
      <c r="O19" s="32"/>
      <c r="P19" s="32"/>
      <c r="Q19" s="32"/>
      <c r="R19" s="32"/>
      <c r="S19" s="48"/>
      <c r="T19" s="48"/>
      <c r="U19" s="48"/>
      <c r="V19" s="48"/>
      <c r="W19" s="48"/>
      <c r="X19" s="48"/>
      <c r="Y19" s="48"/>
      <c r="Z19" s="48"/>
      <c r="AA19" s="48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2:53">
      <c r="B20" s="32"/>
      <c r="C20" s="32"/>
      <c r="D20" s="32"/>
      <c r="E20" s="32"/>
      <c r="F20" s="32"/>
      <c r="G20" s="32"/>
      <c r="H20" s="32"/>
      <c r="I20" s="57"/>
      <c r="J20" s="52"/>
      <c r="K20" s="52"/>
      <c r="L20" s="55"/>
      <c r="M20" s="32"/>
      <c r="N20" s="32"/>
      <c r="O20" s="52"/>
      <c r="P20" s="32"/>
      <c r="Q20" s="32"/>
      <c r="R20" s="32"/>
      <c r="S20" s="32"/>
      <c r="T20" s="48"/>
      <c r="U20" s="48"/>
      <c r="V20" s="48"/>
      <c r="W20" s="48"/>
      <c r="X20" s="48"/>
      <c r="Y20" s="48"/>
      <c r="Z20" s="48"/>
      <c r="AA20" s="48"/>
      <c r="AB20" s="48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2:53">
      <c r="B21" s="40" t="s">
        <v>561</v>
      </c>
      <c r="C21" s="40"/>
      <c r="D21" s="32"/>
      <c r="E21" s="32"/>
      <c r="F21" s="32"/>
      <c r="G21" s="32"/>
      <c r="H21" s="32"/>
      <c r="I21" s="32"/>
      <c r="J21" s="52"/>
      <c r="K21" s="52"/>
      <c r="L21" s="55"/>
      <c r="M21" s="32"/>
      <c r="N21" s="32"/>
      <c r="O21" s="52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Z21" s="32"/>
    </row>
    <row r="22" spans="2:53">
      <c r="B22" s="422">
        <v>1</v>
      </c>
      <c r="C22" s="1249" t="s">
        <v>562</v>
      </c>
      <c r="D22" s="1249"/>
      <c r="E22" s="1249"/>
      <c r="F22" s="1249"/>
      <c r="G22" s="1249"/>
      <c r="H22" s="1249"/>
      <c r="I22" s="1249"/>
      <c r="J22" s="1249"/>
      <c r="K22" s="1249"/>
      <c r="L22" s="55"/>
      <c r="M22" s="32"/>
      <c r="N22" s="32"/>
      <c r="O22" s="52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Z22" s="32"/>
    </row>
    <row r="24" spans="2:53">
      <c r="B24" s="28" t="s">
        <v>2</v>
      </c>
      <c r="C24" s="28"/>
      <c r="D24" s="29"/>
      <c r="E24" s="30" t="s">
        <v>511</v>
      </c>
      <c r="F24" s="31" t="s">
        <v>563</v>
      </c>
      <c r="G24" s="32"/>
      <c r="H24" s="33"/>
      <c r="I24" s="34"/>
      <c r="J24" s="35" t="s">
        <v>513</v>
      </c>
      <c r="K24" s="36" t="s">
        <v>511</v>
      </c>
      <c r="L24" s="37">
        <v>44925.458333333336</v>
      </c>
      <c r="M24" s="32"/>
      <c r="N24" s="32"/>
      <c r="O24" s="206"/>
      <c r="P24" s="205"/>
      <c r="Q24" s="202"/>
      <c r="R24" s="204"/>
      <c r="S24" s="38"/>
      <c r="T24" s="201"/>
      <c r="U24" s="201"/>
      <c r="V24" s="201"/>
      <c r="W24" s="201"/>
      <c r="X24" s="201"/>
      <c r="Y24" s="201"/>
      <c r="Z24" s="201"/>
      <c r="AA24" s="201"/>
      <c r="AB24" s="202"/>
      <c r="AC24" s="202"/>
      <c r="AD24" s="202"/>
      <c r="AE24" s="202"/>
      <c r="AF24" s="202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1"/>
      <c r="AT24" s="201"/>
      <c r="AU24" s="201"/>
      <c r="AV24" s="201"/>
      <c r="AW24" s="201"/>
      <c r="AX24" s="201"/>
      <c r="AY24" s="201"/>
      <c r="AZ24" s="201"/>
      <c r="BA24" s="201"/>
    </row>
    <row r="25" spans="2:53">
      <c r="B25" s="35" t="s">
        <v>514</v>
      </c>
      <c r="C25" s="35"/>
      <c r="D25" s="32"/>
      <c r="E25" s="36" t="s">
        <v>511</v>
      </c>
      <c r="F25" s="37" t="s">
        <v>564</v>
      </c>
      <c r="G25" s="32"/>
      <c r="H25" s="33"/>
      <c r="I25" s="34"/>
      <c r="J25" s="35" t="s">
        <v>516</v>
      </c>
      <c r="K25" s="36" t="s">
        <v>511</v>
      </c>
      <c r="L25" s="37">
        <v>44934.333333333336</v>
      </c>
      <c r="M25" s="32"/>
      <c r="N25" s="32"/>
      <c r="O25" s="206"/>
      <c r="P25" s="205"/>
      <c r="Q25" s="202"/>
      <c r="R25" s="204"/>
      <c r="S25" s="38"/>
      <c r="T25" s="201"/>
      <c r="U25" s="201"/>
      <c r="V25" s="201"/>
      <c r="W25" s="201"/>
      <c r="X25" s="201"/>
      <c r="Y25" s="201"/>
      <c r="Z25" s="201"/>
      <c r="AA25" s="201"/>
      <c r="AB25" s="202"/>
      <c r="AC25" s="202"/>
      <c r="AD25" s="202"/>
      <c r="AE25" s="202"/>
      <c r="AF25" s="202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</row>
    <row r="26" spans="2:53">
      <c r="B26" s="35" t="s">
        <v>517</v>
      </c>
      <c r="C26" s="35"/>
      <c r="D26" s="32"/>
      <c r="E26" s="36" t="s">
        <v>511</v>
      </c>
      <c r="F26" s="37">
        <v>44922.291666666664</v>
      </c>
      <c r="G26" s="32"/>
      <c r="H26" s="33"/>
      <c r="I26" s="34"/>
      <c r="J26" s="35" t="s">
        <v>518</v>
      </c>
      <c r="K26" s="36" t="s">
        <v>511</v>
      </c>
      <c r="L26" s="50">
        <v>54149</v>
      </c>
      <c r="M26" s="40" t="s">
        <v>519</v>
      </c>
      <c r="N26" s="40"/>
      <c r="O26" s="206"/>
      <c r="P26" s="205"/>
      <c r="Q26" s="202"/>
      <c r="R26" s="204"/>
      <c r="S26" s="38"/>
      <c r="T26" s="201"/>
      <c r="U26" s="201"/>
      <c r="V26" s="201"/>
      <c r="W26" s="201"/>
      <c r="X26" s="201"/>
      <c r="Y26" s="201"/>
      <c r="Z26" s="201"/>
      <c r="AA26" s="201"/>
      <c r="AB26" s="202"/>
      <c r="AC26" s="202"/>
      <c r="AD26" s="202"/>
      <c r="AE26" s="202"/>
      <c r="AF26" s="202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</row>
    <row r="27" spans="2:53">
      <c r="B27" s="35" t="s">
        <v>520</v>
      </c>
      <c r="C27" s="35"/>
      <c r="D27" s="32"/>
      <c r="E27" s="36" t="s">
        <v>511</v>
      </c>
      <c r="F27" s="37" t="s">
        <v>16</v>
      </c>
      <c r="G27" s="32"/>
      <c r="H27" s="33"/>
      <c r="I27" s="34"/>
      <c r="J27" s="35" t="s">
        <v>521</v>
      </c>
      <c r="K27" s="36" t="s">
        <v>511</v>
      </c>
      <c r="L27" s="41" t="s">
        <v>565</v>
      </c>
      <c r="M27" s="32"/>
      <c r="N27" s="32"/>
      <c r="O27" s="206"/>
      <c r="P27" s="202"/>
      <c r="Q27" s="202"/>
      <c r="R27" s="204"/>
      <c r="S27" s="38"/>
      <c r="T27" s="201"/>
      <c r="U27" s="201"/>
      <c r="V27" s="201"/>
      <c r="W27" s="201"/>
      <c r="X27" s="201"/>
      <c r="Y27" s="201"/>
      <c r="Z27" s="201"/>
      <c r="AA27" s="201"/>
      <c r="AB27" s="202"/>
      <c r="AC27" s="202"/>
      <c r="AD27" s="202"/>
      <c r="AE27" s="202"/>
      <c r="AF27" s="202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</row>
    <row r="28" spans="2:53">
      <c r="B28" s="35" t="s">
        <v>523</v>
      </c>
      <c r="C28" s="35"/>
      <c r="D28" s="32"/>
      <c r="E28" s="36" t="s">
        <v>511</v>
      </c>
      <c r="F28" s="37" t="s">
        <v>45</v>
      </c>
      <c r="G28" s="32"/>
      <c r="H28" s="33"/>
      <c r="I28" s="34"/>
      <c r="J28" s="42" t="s">
        <v>524</v>
      </c>
      <c r="K28" s="36" t="s">
        <v>511</v>
      </c>
      <c r="L28" s="43" t="s">
        <v>11</v>
      </c>
      <c r="M28" s="44"/>
      <c r="N28" s="44"/>
      <c r="O28" s="206"/>
      <c r="P28" s="205"/>
      <c r="Q28" s="202"/>
      <c r="R28" s="204"/>
      <c r="S28" s="38"/>
      <c r="T28" s="201"/>
      <c r="U28" s="201"/>
      <c r="V28" s="201"/>
      <c r="W28" s="201"/>
      <c r="X28" s="201"/>
      <c r="Y28" s="201"/>
      <c r="Z28" s="201"/>
      <c r="AA28" s="201"/>
      <c r="AB28" s="202"/>
      <c r="AC28" s="202"/>
      <c r="AD28" s="202"/>
      <c r="AE28" s="202"/>
      <c r="AF28" s="202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</row>
    <row r="29" spans="2:53">
      <c r="B29" s="35" t="s">
        <v>2</v>
      </c>
      <c r="C29" s="35"/>
      <c r="D29" s="32"/>
      <c r="E29" s="36" t="s">
        <v>511</v>
      </c>
      <c r="F29" s="37" t="s">
        <v>42</v>
      </c>
      <c r="G29" s="32"/>
      <c r="H29" s="33"/>
      <c r="I29" s="45"/>
      <c r="J29" s="42"/>
      <c r="K29" s="36"/>
      <c r="L29" s="211"/>
      <c r="M29" s="201"/>
      <c r="N29" s="201"/>
      <c r="O29" s="42"/>
      <c r="P29" s="44"/>
      <c r="Q29" s="44"/>
      <c r="R29" s="44"/>
      <c r="S29" s="34"/>
      <c r="T29" s="201"/>
      <c r="U29" s="201"/>
      <c r="V29" s="201"/>
      <c r="W29" s="201"/>
      <c r="X29" s="201"/>
      <c r="Y29" s="201"/>
      <c r="Z29" s="201"/>
      <c r="AA29" s="201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</row>
    <row r="30" spans="2:53">
      <c r="B30" s="201"/>
      <c r="C30" s="201"/>
      <c r="D30" s="201"/>
      <c r="E30" s="201"/>
      <c r="F30" s="201"/>
      <c r="G30" s="201"/>
      <c r="H30" s="201"/>
      <c r="I30" s="45"/>
      <c r="J30" s="42"/>
      <c r="K30" s="42"/>
      <c r="L30" s="43"/>
      <c r="M30" s="44"/>
      <c r="N30" s="44"/>
      <c r="O30" s="42"/>
      <c r="P30" s="44"/>
      <c r="Q30" s="44"/>
      <c r="R30" s="44"/>
      <c r="S30" s="34"/>
      <c r="T30" s="1265" t="s">
        <v>87</v>
      </c>
      <c r="U30" s="1265"/>
      <c r="V30" s="1265"/>
      <c r="W30" s="1265"/>
      <c r="X30" s="1265"/>
      <c r="Y30" s="1265" t="s">
        <v>73</v>
      </c>
      <c r="Z30" s="1265"/>
      <c r="AA30" s="1265"/>
      <c r="AB30" s="1265" t="s">
        <v>74</v>
      </c>
      <c r="AC30" s="1265"/>
      <c r="AD30" s="423" t="s">
        <v>85</v>
      </c>
      <c r="AE30" s="423" t="s">
        <v>77</v>
      </c>
      <c r="AF30" s="1271" t="s">
        <v>525</v>
      </c>
      <c r="AG30" s="1272"/>
      <c r="AH30" s="1272"/>
      <c r="AI30" s="1272"/>
      <c r="AJ30" s="1272"/>
      <c r="AK30" s="1272"/>
      <c r="AL30" s="1272"/>
      <c r="AM30" s="1272"/>
      <c r="AN30" s="1272"/>
      <c r="AO30" s="1272"/>
      <c r="AP30" s="1272"/>
      <c r="AQ30" s="1272"/>
      <c r="AR30" s="1272"/>
      <c r="AS30" s="1272"/>
      <c r="AT30" s="1272"/>
      <c r="AU30" s="1272"/>
      <c r="AV30" s="1272"/>
      <c r="AW30" s="1272"/>
      <c r="AX30" s="1272"/>
      <c r="AY30" s="1272"/>
      <c r="AZ30" s="1272"/>
      <c r="BA30" s="201"/>
    </row>
    <row r="31" spans="2:53">
      <c r="B31" s="1266" t="s">
        <v>526</v>
      </c>
      <c r="C31" s="1267"/>
      <c r="D31" s="570" t="s">
        <v>527</v>
      </c>
      <c r="E31" s="570"/>
      <c r="F31" s="570" t="s">
        <v>528</v>
      </c>
      <c r="G31" s="570" t="s">
        <v>529</v>
      </c>
      <c r="H31" s="570" t="s">
        <v>530</v>
      </c>
      <c r="I31" s="570" t="s">
        <v>531</v>
      </c>
      <c r="J31" s="570" t="s">
        <v>532</v>
      </c>
      <c r="K31" s="570"/>
      <c r="L31" s="570" t="s">
        <v>130</v>
      </c>
      <c r="M31" s="570" t="s">
        <v>533</v>
      </c>
      <c r="N31" s="408" t="str">
        <f>"On time - "&amp;COUNTIF(N32:N38,"On time")&amp;" from "&amp;ROWS(N32:N38)-COUNTIF(N32:N38," ")</f>
        <v>On time - 0 from 7</v>
      </c>
      <c r="O31" s="46"/>
      <c r="P31" s="409" t="s">
        <v>534</v>
      </c>
      <c r="Q31" s="409" t="s">
        <v>535</v>
      </c>
      <c r="R31" s="409" t="s">
        <v>536</v>
      </c>
      <c r="S31" s="32"/>
      <c r="T31" s="424" t="s">
        <v>537</v>
      </c>
      <c r="U31" s="424" t="s">
        <v>538</v>
      </c>
      <c r="V31" s="424" t="s">
        <v>539</v>
      </c>
      <c r="W31" s="424" t="s">
        <v>540</v>
      </c>
      <c r="X31" s="424" t="s">
        <v>541</v>
      </c>
      <c r="Y31" s="424" t="s">
        <v>167</v>
      </c>
      <c r="Z31" s="424" t="s">
        <v>168</v>
      </c>
      <c r="AA31" s="424" t="s">
        <v>169</v>
      </c>
      <c r="AB31" s="424" t="s">
        <v>235</v>
      </c>
      <c r="AC31" s="424" t="s">
        <v>542</v>
      </c>
      <c r="AD31" s="423" t="s">
        <v>85</v>
      </c>
      <c r="AE31" s="424" t="s">
        <v>139</v>
      </c>
      <c r="AF31" s="424" t="s">
        <v>72</v>
      </c>
      <c r="AG31" s="424" t="s">
        <v>88</v>
      </c>
      <c r="AH31" s="424" t="s">
        <v>75</v>
      </c>
      <c r="AI31" s="424" t="s">
        <v>543</v>
      </c>
      <c r="AJ31" s="424" t="s">
        <v>78</v>
      </c>
      <c r="AK31" s="424" t="s">
        <v>76</v>
      </c>
      <c r="AL31" s="424" t="s">
        <v>544</v>
      </c>
      <c r="AM31" s="424" t="s">
        <v>545</v>
      </c>
      <c r="AN31" s="424" t="s">
        <v>86</v>
      </c>
      <c r="AO31" s="424" t="s">
        <v>83</v>
      </c>
      <c r="AP31" s="424" t="s">
        <v>84</v>
      </c>
      <c r="AQ31" s="424" t="s">
        <v>546</v>
      </c>
      <c r="AR31" s="424" t="s">
        <v>81</v>
      </c>
      <c r="AS31" s="424" t="s">
        <v>80</v>
      </c>
      <c r="AT31" s="424" t="s">
        <v>82</v>
      </c>
      <c r="AU31" s="424" t="s">
        <v>181</v>
      </c>
      <c r="AV31" s="424" t="s">
        <v>183</v>
      </c>
      <c r="AW31" s="424" t="s">
        <v>547</v>
      </c>
      <c r="AX31" s="424" t="s">
        <v>182</v>
      </c>
      <c r="AY31" s="424" t="s">
        <v>172</v>
      </c>
      <c r="AZ31" s="424" t="s">
        <v>173</v>
      </c>
      <c r="BA31" s="201"/>
    </row>
    <row r="32" spans="2:53">
      <c r="B32" s="1256">
        <v>1</v>
      </c>
      <c r="C32" s="1257"/>
      <c r="D32" s="411" t="s">
        <v>566</v>
      </c>
      <c r="E32" s="411"/>
      <c r="F32" s="411" t="s">
        <v>301</v>
      </c>
      <c r="G32" s="411" t="s">
        <v>302</v>
      </c>
      <c r="H32" s="412">
        <v>9079.5059999999994</v>
      </c>
      <c r="I32" s="413" t="s">
        <v>567</v>
      </c>
      <c r="J32" s="414">
        <v>44925.349305555559</v>
      </c>
      <c r="K32" s="414"/>
      <c r="L32" s="414" t="s">
        <v>192</v>
      </c>
      <c r="M32" s="414" t="s">
        <v>192</v>
      </c>
      <c r="N32" s="413" t="str">
        <f t="shared" ref="N32:N39" si="2">IF(ISBLANK(J32)," ",IF(J32&lt;$F$26,"On time",(IF(DAY(J32-$F$26)&lt;1,"On time",(IF(J32&gt;$F$26,"DELAY ( "&amp;DAY(J32-$F$26)&amp;" day "&amp;HOUR(J32-$F$26)&amp;" hour "&amp;MINUTE(J32-$F$26)&amp;" minute )","xxx"))))))</f>
        <v>DELAY ( 3 day 1 hour 23 minute )</v>
      </c>
      <c r="O32" s="51"/>
      <c r="P32" s="415" t="s">
        <v>551</v>
      </c>
      <c r="Q32" s="415" t="s">
        <v>551</v>
      </c>
      <c r="R32" s="415" t="s">
        <v>551</v>
      </c>
      <c r="S32" s="32"/>
      <c r="T32" s="416"/>
      <c r="U32" s="416"/>
      <c r="V32" s="416"/>
      <c r="W32" s="416"/>
      <c r="X32" s="416"/>
      <c r="Y32" s="416"/>
      <c r="Z32" s="416"/>
      <c r="AA32" s="416">
        <f>H32</f>
        <v>9079.5059999999994</v>
      </c>
      <c r="AB32" s="416"/>
      <c r="AC32" s="416"/>
      <c r="AD32" s="416"/>
      <c r="AE32" s="416"/>
      <c r="AF32" s="416"/>
      <c r="AG32" s="416"/>
      <c r="AH32" s="416"/>
      <c r="AI32" s="416"/>
      <c r="AJ32" s="416"/>
      <c r="AK32" s="416"/>
      <c r="AL32" s="416"/>
      <c r="AM32" s="416"/>
      <c r="AN32" s="416"/>
      <c r="AO32" s="416"/>
      <c r="AP32" s="416"/>
      <c r="AQ32" s="416"/>
      <c r="AR32" s="416"/>
      <c r="AS32" s="416"/>
      <c r="AT32" s="416"/>
      <c r="AU32" s="416"/>
      <c r="AV32" s="416"/>
      <c r="AW32" s="416"/>
      <c r="AX32" s="416"/>
      <c r="AY32" s="416"/>
      <c r="AZ32" s="416"/>
      <c r="BA32" s="32"/>
    </row>
    <row r="33" spans="2:53">
      <c r="B33" s="1256">
        <v>2</v>
      </c>
      <c r="C33" s="1257"/>
      <c r="D33" s="411" t="s">
        <v>568</v>
      </c>
      <c r="E33" s="411"/>
      <c r="F33" s="411" t="s">
        <v>399</v>
      </c>
      <c r="G33" s="411" t="s">
        <v>400</v>
      </c>
      <c r="H33" s="412">
        <v>7403.5169999999998</v>
      </c>
      <c r="I33" s="413" t="s">
        <v>567</v>
      </c>
      <c r="J33" s="414">
        <v>44925.458333333336</v>
      </c>
      <c r="K33" s="414"/>
      <c r="L33" s="414" t="s">
        <v>192</v>
      </c>
      <c r="M33" s="414" t="s">
        <v>192</v>
      </c>
      <c r="N33" s="413" t="str">
        <f t="shared" si="2"/>
        <v>DELAY ( 3 day 4 hour 0 minute )</v>
      </c>
      <c r="O33" s="51"/>
      <c r="P33" s="415" t="s">
        <v>551</v>
      </c>
      <c r="Q33" s="415" t="s">
        <v>551</v>
      </c>
      <c r="R33" s="415" t="s">
        <v>551</v>
      </c>
      <c r="S33" s="32"/>
      <c r="T33" s="416"/>
      <c r="U33" s="416"/>
      <c r="V33" s="416"/>
      <c r="W33" s="416"/>
      <c r="X33" s="416"/>
      <c r="Y33" s="416"/>
      <c r="Z33" s="416"/>
      <c r="AA33" s="416">
        <f>H33</f>
        <v>7403.5169999999998</v>
      </c>
      <c r="AB33" s="416"/>
      <c r="AC33" s="416"/>
      <c r="AD33" s="416"/>
      <c r="AE33" s="416"/>
      <c r="AF33" s="416"/>
      <c r="AG33" s="416"/>
      <c r="AH33" s="416"/>
      <c r="AI33" s="416"/>
      <c r="AJ33" s="416"/>
      <c r="AK33" s="416"/>
      <c r="AL33" s="416"/>
      <c r="AM33" s="416"/>
      <c r="AN33" s="416"/>
      <c r="AO33" s="416"/>
      <c r="AP33" s="416"/>
      <c r="AQ33" s="416"/>
      <c r="AR33" s="416"/>
      <c r="AS33" s="416"/>
      <c r="AT33" s="416"/>
      <c r="AU33" s="416"/>
      <c r="AV33" s="416"/>
      <c r="AW33" s="416"/>
      <c r="AX33" s="416"/>
      <c r="AY33" s="416"/>
      <c r="AZ33" s="416"/>
      <c r="BA33" s="32"/>
    </row>
    <row r="34" spans="2:53">
      <c r="B34" s="1256">
        <v>3</v>
      </c>
      <c r="C34" s="1257"/>
      <c r="D34" s="411" t="s">
        <v>569</v>
      </c>
      <c r="E34" s="411"/>
      <c r="F34" s="411" t="s">
        <v>304</v>
      </c>
      <c r="G34" s="411" t="s">
        <v>305</v>
      </c>
      <c r="H34" s="412">
        <v>7500</v>
      </c>
      <c r="I34" s="413" t="s">
        <v>78</v>
      </c>
      <c r="J34" s="414">
        <v>44925.666666666664</v>
      </c>
      <c r="K34" s="414"/>
      <c r="L34" s="414" t="s">
        <v>192</v>
      </c>
      <c r="M34" s="414" t="s">
        <v>192</v>
      </c>
      <c r="N34" s="413" t="str">
        <f t="shared" si="2"/>
        <v>DELAY ( 3 day 9 hour 0 minute )</v>
      </c>
      <c r="O34" s="51"/>
      <c r="P34" s="415" t="s">
        <v>551</v>
      </c>
      <c r="Q34" s="415" t="s">
        <v>551</v>
      </c>
      <c r="R34" s="415" t="s">
        <v>551</v>
      </c>
      <c r="S34" s="32"/>
      <c r="T34" s="416"/>
      <c r="U34" s="416"/>
      <c r="V34" s="416"/>
      <c r="W34" s="416"/>
      <c r="X34" s="416"/>
      <c r="Y34" s="416"/>
      <c r="Z34" s="416"/>
      <c r="AA34" s="416"/>
      <c r="AB34" s="416"/>
      <c r="AC34" s="416"/>
      <c r="AD34" s="416"/>
      <c r="AE34" s="416"/>
      <c r="AF34" s="416"/>
      <c r="AG34" s="416"/>
      <c r="AH34" s="416"/>
      <c r="AI34" s="416"/>
      <c r="AJ34" s="416">
        <f>H34</f>
        <v>7500</v>
      </c>
      <c r="AK34" s="416"/>
      <c r="AL34" s="416"/>
      <c r="AM34" s="416"/>
      <c r="AN34" s="416"/>
      <c r="AO34" s="416"/>
      <c r="AP34" s="416"/>
      <c r="AQ34" s="416"/>
      <c r="AR34" s="416"/>
      <c r="AS34" s="416"/>
      <c r="AT34" s="416"/>
      <c r="AU34" s="416"/>
      <c r="AV34" s="416"/>
      <c r="AW34" s="416"/>
      <c r="AX34" s="416"/>
      <c r="AY34" s="416"/>
      <c r="AZ34" s="416"/>
      <c r="BA34" s="32"/>
    </row>
    <row r="35" spans="2:53">
      <c r="B35" s="1256">
        <v>4</v>
      </c>
      <c r="C35" s="1257"/>
      <c r="D35" s="411" t="s">
        <v>570</v>
      </c>
      <c r="E35" s="411"/>
      <c r="F35" s="411" t="s">
        <v>222</v>
      </c>
      <c r="G35" s="411" t="s">
        <v>223</v>
      </c>
      <c r="H35" s="412">
        <v>7407.7849999999999</v>
      </c>
      <c r="I35" s="413" t="s">
        <v>571</v>
      </c>
      <c r="J35" s="414">
        <v>44926.291666666664</v>
      </c>
      <c r="K35" s="414"/>
      <c r="L35" s="414" t="s">
        <v>192</v>
      </c>
      <c r="M35" s="414" t="s">
        <v>192</v>
      </c>
      <c r="N35" s="413" t="str">
        <f t="shared" si="2"/>
        <v>DELAY ( 4 day 0 hour 0 minute )</v>
      </c>
      <c r="O35" s="51"/>
      <c r="P35" s="415" t="s">
        <v>551</v>
      </c>
      <c r="Q35" s="415" t="s">
        <v>551</v>
      </c>
      <c r="R35" s="415" t="s">
        <v>551</v>
      </c>
      <c r="S35" s="32"/>
      <c r="T35" s="416"/>
      <c r="U35" s="416"/>
      <c r="V35" s="416"/>
      <c r="W35" s="416"/>
      <c r="X35" s="416"/>
      <c r="Y35" s="416">
        <f>H35*0.85</f>
        <v>6296.6172499999993</v>
      </c>
      <c r="Z35" s="416"/>
      <c r="AA35" s="416">
        <f>H35*0.15</f>
        <v>1111.1677499999998</v>
      </c>
      <c r="AB35" s="416"/>
      <c r="AC35" s="416"/>
      <c r="AD35" s="416"/>
      <c r="AE35" s="416"/>
      <c r="AF35" s="416"/>
      <c r="AG35" s="416"/>
      <c r="AH35" s="416"/>
      <c r="AI35" s="416"/>
      <c r="AJ35" s="416"/>
      <c r="AK35" s="416"/>
      <c r="AL35" s="416"/>
      <c r="AM35" s="416"/>
      <c r="AN35" s="416"/>
      <c r="AO35" s="416"/>
      <c r="AP35" s="416"/>
      <c r="AQ35" s="416"/>
      <c r="AR35" s="416"/>
      <c r="AS35" s="416"/>
      <c r="AT35" s="416"/>
      <c r="AU35" s="416"/>
      <c r="AV35" s="416"/>
      <c r="AW35" s="416"/>
      <c r="AX35" s="416"/>
      <c r="AY35" s="416"/>
      <c r="AZ35" s="416"/>
      <c r="BA35" s="32"/>
    </row>
    <row r="36" spans="2:53">
      <c r="B36" s="1256">
        <v>5</v>
      </c>
      <c r="C36" s="1257"/>
      <c r="D36" s="411" t="s">
        <v>572</v>
      </c>
      <c r="E36" s="411"/>
      <c r="F36" s="411" t="s">
        <v>327</v>
      </c>
      <c r="G36" s="411" t="s">
        <v>328</v>
      </c>
      <c r="H36" s="412">
        <v>7429.2569999999996</v>
      </c>
      <c r="I36" s="413" t="s">
        <v>567</v>
      </c>
      <c r="J36" s="414">
        <v>44926.458333333336</v>
      </c>
      <c r="K36" s="414"/>
      <c r="L36" s="414" t="s">
        <v>192</v>
      </c>
      <c r="M36" s="414" t="s">
        <v>192</v>
      </c>
      <c r="N36" s="413" t="str">
        <f t="shared" si="2"/>
        <v>DELAY ( 4 day 4 hour 0 minute )</v>
      </c>
      <c r="O36" s="51"/>
      <c r="P36" s="415" t="s">
        <v>551</v>
      </c>
      <c r="Q36" s="415" t="s">
        <v>551</v>
      </c>
      <c r="R36" s="415" t="s">
        <v>551</v>
      </c>
      <c r="S36" s="32"/>
      <c r="T36" s="416"/>
      <c r="U36" s="416"/>
      <c r="V36" s="416"/>
      <c r="W36" s="416"/>
      <c r="X36" s="416"/>
      <c r="Y36" s="416"/>
      <c r="Z36" s="416"/>
      <c r="AA36" s="416">
        <f>H36</f>
        <v>7429.2569999999996</v>
      </c>
      <c r="AB36" s="416"/>
      <c r="AC36" s="416"/>
      <c r="AD36" s="416"/>
      <c r="AE36" s="416"/>
      <c r="AF36" s="416"/>
      <c r="AG36" s="416"/>
      <c r="AH36" s="416"/>
      <c r="AI36" s="416"/>
      <c r="AJ36" s="416"/>
      <c r="AK36" s="416"/>
      <c r="AL36" s="416"/>
      <c r="AM36" s="416"/>
      <c r="AN36" s="416"/>
      <c r="AO36" s="416"/>
      <c r="AP36" s="416"/>
      <c r="AQ36" s="416"/>
      <c r="AR36" s="416"/>
      <c r="AS36" s="416"/>
      <c r="AT36" s="416"/>
      <c r="AU36" s="416"/>
      <c r="AV36" s="416"/>
      <c r="AW36" s="416"/>
      <c r="AX36" s="416"/>
      <c r="AY36" s="416"/>
      <c r="AZ36" s="416"/>
      <c r="BA36" s="32"/>
    </row>
    <row r="37" spans="2:53">
      <c r="B37" s="1256">
        <v>6</v>
      </c>
      <c r="C37" s="1257"/>
      <c r="D37" s="411" t="s">
        <v>573</v>
      </c>
      <c r="E37" s="411"/>
      <c r="F37" s="411" t="s">
        <v>288</v>
      </c>
      <c r="G37" s="411" t="s">
        <v>289</v>
      </c>
      <c r="H37" s="412">
        <v>7526.3890000000001</v>
      </c>
      <c r="I37" s="413" t="s">
        <v>173</v>
      </c>
      <c r="J37" s="414">
        <v>44926.416666666664</v>
      </c>
      <c r="K37" s="414"/>
      <c r="L37" s="414" t="s">
        <v>192</v>
      </c>
      <c r="M37" s="414" t="s">
        <v>192</v>
      </c>
      <c r="N37" s="413" t="str">
        <f t="shared" si="2"/>
        <v>DELAY ( 4 day 3 hour 0 minute )</v>
      </c>
      <c r="O37" s="51"/>
      <c r="P37" s="415" t="s">
        <v>551</v>
      </c>
      <c r="Q37" s="415" t="s">
        <v>551</v>
      </c>
      <c r="R37" s="415" t="s">
        <v>551</v>
      </c>
      <c r="S37" s="32"/>
      <c r="T37" s="416"/>
      <c r="U37" s="416"/>
      <c r="V37" s="416"/>
      <c r="W37" s="416"/>
      <c r="X37" s="416"/>
      <c r="Y37" s="416"/>
      <c r="Z37" s="416"/>
      <c r="AA37" s="416"/>
      <c r="AB37" s="416"/>
      <c r="AC37" s="416"/>
      <c r="AD37" s="416"/>
      <c r="AE37" s="416"/>
      <c r="AF37" s="416"/>
      <c r="AG37" s="416"/>
      <c r="AH37" s="416"/>
      <c r="AI37" s="416"/>
      <c r="AJ37" s="416"/>
      <c r="AK37" s="416"/>
      <c r="AL37" s="416"/>
      <c r="AM37" s="416"/>
      <c r="AN37" s="416"/>
      <c r="AO37" s="416"/>
      <c r="AP37" s="416"/>
      <c r="AQ37" s="416"/>
      <c r="AR37" s="416"/>
      <c r="AS37" s="416"/>
      <c r="AT37" s="416"/>
      <c r="AU37" s="416"/>
      <c r="AV37" s="416"/>
      <c r="AW37" s="416"/>
      <c r="AX37" s="416"/>
      <c r="AY37" s="416"/>
      <c r="AZ37" s="416">
        <f>H37</f>
        <v>7526.3890000000001</v>
      </c>
      <c r="BA37" s="32"/>
    </row>
    <row r="38" spans="2:53">
      <c r="B38" s="1256">
        <v>7</v>
      </c>
      <c r="C38" s="1257"/>
      <c r="D38" s="411" t="s">
        <v>574</v>
      </c>
      <c r="E38" s="411"/>
      <c r="F38" s="411" t="s">
        <v>346</v>
      </c>
      <c r="G38" s="411" t="s">
        <v>347</v>
      </c>
      <c r="H38" s="412">
        <f>7551.26+251.286</f>
        <v>7802.5460000000003</v>
      </c>
      <c r="I38" s="413" t="s">
        <v>494</v>
      </c>
      <c r="J38" s="414">
        <v>44926.5</v>
      </c>
      <c r="K38" s="414"/>
      <c r="L38" s="414" t="s">
        <v>192</v>
      </c>
      <c r="M38" s="414" t="s">
        <v>192</v>
      </c>
      <c r="N38" s="413" t="str">
        <f t="shared" si="2"/>
        <v>DELAY ( 4 day 5 hour 0 minute )</v>
      </c>
      <c r="O38" s="51"/>
      <c r="P38" s="415" t="s">
        <v>551</v>
      </c>
      <c r="Q38" s="415" t="s">
        <v>551</v>
      </c>
      <c r="R38" s="415" t="s">
        <v>551</v>
      </c>
      <c r="S38" s="32"/>
      <c r="T38" s="416"/>
      <c r="U38" s="416"/>
      <c r="V38" s="416"/>
      <c r="W38" s="416"/>
      <c r="X38" s="416"/>
      <c r="Y38" s="416">
        <f>H38-H42</f>
        <v>7802.5460000000003</v>
      </c>
      <c r="Z38" s="416"/>
      <c r="AA38" s="416"/>
      <c r="AB38" s="416"/>
      <c r="AC38" s="416"/>
      <c r="AD38" s="416"/>
      <c r="AE38" s="416"/>
      <c r="AF38" s="416"/>
      <c r="AG38" s="416"/>
      <c r="AH38" s="416"/>
      <c r="AI38" s="416"/>
      <c r="AJ38" s="416"/>
      <c r="AK38" s="416"/>
      <c r="AL38" s="416"/>
      <c r="AM38" s="416"/>
      <c r="AN38" s="416"/>
      <c r="AO38" s="416"/>
      <c r="AP38" s="416"/>
      <c r="AQ38" s="416"/>
      <c r="AR38" s="416"/>
      <c r="AS38" s="416"/>
      <c r="AT38" s="416"/>
      <c r="AU38" s="416"/>
      <c r="AV38" s="416"/>
      <c r="AW38" s="416"/>
      <c r="AX38" s="416"/>
      <c r="AY38" s="416"/>
      <c r="AZ38" s="416"/>
      <c r="BA38" s="32"/>
    </row>
    <row r="39" spans="2:53">
      <c r="B39" s="1258" t="s">
        <v>556</v>
      </c>
      <c r="C39" s="1259"/>
      <c r="D39" s="1259"/>
      <c r="E39" s="1259"/>
      <c r="F39" s="1259"/>
      <c r="G39" s="1260"/>
      <c r="H39" s="417">
        <f>SUM(H32:H38)</f>
        <v>54149.000000000007</v>
      </c>
      <c r="I39" s="388"/>
      <c r="J39" s="293"/>
      <c r="K39" s="293"/>
      <c r="L39" s="293"/>
      <c r="M39" s="389"/>
      <c r="N39" s="413" t="str">
        <f t="shared" si="2"/>
        <v xml:space="preserve"> </v>
      </c>
      <c r="O39" s="212"/>
      <c r="P39" s="418"/>
      <c r="Q39" s="418"/>
      <c r="R39" s="418"/>
      <c r="S39" s="207"/>
      <c r="T39" s="1261"/>
      <c r="U39" s="1261"/>
      <c r="V39" s="1261"/>
      <c r="W39" s="1261"/>
      <c r="X39" s="1261"/>
      <c r="Y39" s="1261"/>
      <c r="Z39" s="1261"/>
      <c r="AA39" s="1261"/>
      <c r="AB39" s="1261"/>
      <c r="AC39" s="1261"/>
      <c r="AD39" s="1261"/>
      <c r="AE39" s="1261"/>
      <c r="AF39" s="1261"/>
      <c r="AG39" s="1261"/>
      <c r="AH39" s="1261"/>
      <c r="AI39" s="1261"/>
      <c r="AJ39" s="1261"/>
      <c r="AK39" s="1261"/>
      <c r="AL39" s="1261"/>
      <c r="AM39" s="1261"/>
      <c r="AN39" s="1261"/>
      <c r="AO39" s="1261"/>
      <c r="AP39" s="1261"/>
      <c r="AQ39" s="1261"/>
      <c r="AR39" s="1261"/>
      <c r="AS39" s="1261"/>
      <c r="AT39" s="1261"/>
      <c r="AU39" s="1261"/>
      <c r="AV39" s="1261"/>
      <c r="AW39" s="1261"/>
      <c r="AX39" s="1261"/>
      <c r="AY39" s="1261"/>
      <c r="AZ39" s="1261"/>
    </row>
    <row r="40" spans="2:53">
      <c r="B40" s="1243" t="s">
        <v>557</v>
      </c>
      <c r="C40" s="1244"/>
      <c r="D40" s="1244"/>
      <c r="E40" s="1244"/>
      <c r="F40" s="1244"/>
      <c r="G40" s="1245"/>
      <c r="H40" s="419">
        <v>54149</v>
      </c>
      <c r="I40" s="1246"/>
      <c r="J40" s="1247"/>
      <c r="K40" s="1247"/>
      <c r="L40" s="1247"/>
      <c r="M40" s="1248"/>
      <c r="N40" s="413" t="str">
        <f>IF(ISBLANK(J40)," ",IF(J40&lt;$F$4,"On time",(IF(DAY(J40-$F$4)&lt;1,"On time",(IF(J40&gt;$F$4,"DELAY ( "&amp;DAY(J40-$F$4)&amp;" day "&amp;HOUR(J40-$F$4)&amp;" hour "&amp;MINUTE(J40-$F$4)&amp;" minute )","xxx"))))))</f>
        <v xml:space="preserve"> </v>
      </c>
      <c r="O40" s="32"/>
      <c r="P40" s="415"/>
      <c r="Q40" s="415"/>
      <c r="R40" s="415"/>
      <c r="S40" s="63"/>
      <c r="T40" s="416">
        <f t="shared" ref="T40:AZ40" si="3">SUM(T32:T38)</f>
        <v>0</v>
      </c>
      <c r="U40" s="416">
        <f t="shared" si="3"/>
        <v>0</v>
      </c>
      <c r="V40" s="416">
        <f t="shared" si="3"/>
        <v>0</v>
      </c>
      <c r="W40" s="416">
        <f t="shared" si="3"/>
        <v>0</v>
      </c>
      <c r="X40" s="416">
        <f t="shared" si="3"/>
        <v>0</v>
      </c>
      <c r="Y40" s="416">
        <f t="shared" si="3"/>
        <v>14099.16325</v>
      </c>
      <c r="Z40" s="416">
        <f t="shared" si="3"/>
        <v>0</v>
      </c>
      <c r="AA40" s="416">
        <f t="shared" si="3"/>
        <v>25023.447749999999</v>
      </c>
      <c r="AB40" s="416">
        <f t="shared" si="3"/>
        <v>0</v>
      </c>
      <c r="AC40" s="416">
        <f t="shared" si="3"/>
        <v>0</v>
      </c>
      <c r="AD40" s="416">
        <f t="shared" si="3"/>
        <v>0</v>
      </c>
      <c r="AE40" s="416">
        <f t="shared" si="3"/>
        <v>0</v>
      </c>
      <c r="AF40" s="416">
        <f t="shared" si="3"/>
        <v>0</v>
      </c>
      <c r="AG40" s="416">
        <f t="shared" si="3"/>
        <v>0</v>
      </c>
      <c r="AH40" s="416">
        <f t="shared" si="3"/>
        <v>0</v>
      </c>
      <c r="AI40" s="416">
        <f t="shared" si="3"/>
        <v>0</v>
      </c>
      <c r="AJ40" s="416">
        <f t="shared" si="3"/>
        <v>7500</v>
      </c>
      <c r="AK40" s="416">
        <f t="shared" si="3"/>
        <v>0</v>
      </c>
      <c r="AL40" s="416">
        <f t="shared" si="3"/>
        <v>0</v>
      </c>
      <c r="AM40" s="416">
        <f t="shared" si="3"/>
        <v>0</v>
      </c>
      <c r="AN40" s="416">
        <f t="shared" si="3"/>
        <v>0</v>
      </c>
      <c r="AO40" s="416">
        <f t="shared" si="3"/>
        <v>0</v>
      </c>
      <c r="AP40" s="416">
        <f t="shared" si="3"/>
        <v>0</v>
      </c>
      <c r="AQ40" s="416">
        <f t="shared" si="3"/>
        <v>0</v>
      </c>
      <c r="AR40" s="416">
        <f t="shared" si="3"/>
        <v>0</v>
      </c>
      <c r="AS40" s="416">
        <f t="shared" si="3"/>
        <v>0</v>
      </c>
      <c r="AT40" s="416">
        <f t="shared" si="3"/>
        <v>0</v>
      </c>
      <c r="AU40" s="416">
        <f t="shared" si="3"/>
        <v>0</v>
      </c>
      <c r="AV40" s="416">
        <f t="shared" si="3"/>
        <v>0</v>
      </c>
      <c r="AW40" s="416">
        <f t="shared" si="3"/>
        <v>0</v>
      </c>
      <c r="AX40" s="416">
        <f t="shared" si="3"/>
        <v>0</v>
      </c>
      <c r="AY40" s="416">
        <f t="shared" si="3"/>
        <v>0</v>
      </c>
      <c r="AZ40" s="416">
        <f t="shared" si="3"/>
        <v>7526.3890000000001</v>
      </c>
      <c r="BA40" s="416">
        <f>SUM(T40:AZ40)</f>
        <v>54149</v>
      </c>
    </row>
    <row r="41" spans="2:53">
      <c r="B41" s="1243" t="s">
        <v>558</v>
      </c>
      <c r="C41" s="1244"/>
      <c r="D41" s="1244"/>
      <c r="E41" s="1244"/>
      <c r="F41" s="1244"/>
      <c r="G41" s="1245"/>
      <c r="H41" s="420">
        <f>H40-L26</f>
        <v>0</v>
      </c>
      <c r="I41" s="294"/>
      <c r="J41" s="295"/>
      <c r="K41" s="295"/>
      <c r="L41" s="296"/>
      <c r="M41" s="32"/>
      <c r="N41" s="32"/>
      <c r="O41" s="32"/>
      <c r="P41" s="32"/>
      <c r="Q41" s="297"/>
      <c r="R41" s="297"/>
      <c r="S41" s="32"/>
      <c r="T41" s="48"/>
      <c r="U41" s="48"/>
      <c r="V41" s="48"/>
      <c r="W41" s="48"/>
      <c r="X41" s="48"/>
      <c r="Y41" s="48"/>
      <c r="Z41" s="48"/>
      <c r="AA41" s="48"/>
      <c r="AB41" s="48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</row>
    <row r="42" spans="2:53">
      <c r="B42" s="1243" t="s">
        <v>559</v>
      </c>
      <c r="C42" s="1244"/>
      <c r="D42" s="1244"/>
      <c r="E42" s="1244"/>
      <c r="F42" s="1244"/>
      <c r="G42" s="1245"/>
      <c r="H42" s="420">
        <f>H39-H40</f>
        <v>0</v>
      </c>
      <c r="I42" s="52"/>
      <c r="J42" s="53"/>
      <c r="K42" s="53"/>
      <c r="L42" s="54"/>
      <c r="M42" s="32"/>
      <c r="N42" s="32"/>
      <c r="O42" s="32"/>
      <c r="P42" s="32"/>
      <c r="Q42" s="32"/>
      <c r="R42" s="32"/>
      <c r="S42" s="32"/>
      <c r="T42" s="48"/>
      <c r="U42" s="48"/>
      <c r="V42" s="48"/>
      <c r="W42" s="48"/>
      <c r="X42" s="48"/>
      <c r="Y42" s="48"/>
      <c r="Z42" s="48"/>
      <c r="AA42" s="48"/>
      <c r="AB42" s="48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</row>
    <row r="43" spans="2:53">
      <c r="B43" s="1243" t="s">
        <v>560</v>
      </c>
      <c r="C43" s="1244"/>
      <c r="D43" s="1244"/>
      <c r="E43" s="1244"/>
      <c r="F43" s="1244"/>
      <c r="G43" s="1245"/>
      <c r="H43" s="420">
        <f>H42+251.286</f>
        <v>251.286</v>
      </c>
      <c r="I43" s="255"/>
      <c r="J43" s="53"/>
      <c r="K43" s="53"/>
      <c r="L43" s="54"/>
      <c r="M43" s="32"/>
      <c r="N43" s="32"/>
      <c r="O43" s="32"/>
      <c r="P43" s="32"/>
      <c r="Q43" s="32"/>
      <c r="R43" s="32"/>
      <c r="S43" s="48"/>
      <c r="T43" s="48"/>
      <c r="U43" s="48"/>
      <c r="V43" s="48"/>
      <c r="W43" s="48"/>
      <c r="X43" s="48"/>
      <c r="Y43" s="48"/>
      <c r="Z43" s="48"/>
      <c r="AA43" s="48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</row>
    <row r="44" spans="2:53">
      <c r="B44" s="201"/>
      <c r="C44" s="201"/>
      <c r="D44" s="201"/>
      <c r="E44" s="201"/>
      <c r="F44" s="201"/>
      <c r="G44" s="201"/>
      <c r="H44" s="201"/>
      <c r="I44" s="213"/>
      <c r="J44" s="209"/>
      <c r="K44" s="209"/>
      <c r="L44" s="203"/>
      <c r="M44" s="201"/>
      <c r="N44" s="201"/>
      <c r="O44" s="209"/>
      <c r="P44" s="32"/>
      <c r="Q44" s="32"/>
      <c r="R44" s="32"/>
      <c r="S44" s="32"/>
      <c r="T44" s="48"/>
      <c r="U44" s="48"/>
      <c r="V44" s="48"/>
      <c r="W44" s="48"/>
      <c r="X44" s="48"/>
      <c r="Y44" s="48"/>
      <c r="Z44" s="48"/>
      <c r="AA44" s="48"/>
      <c r="AB44" s="48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</row>
    <row r="45" spans="2:53">
      <c r="B45" s="40" t="s">
        <v>561</v>
      </c>
      <c r="C45" s="40"/>
      <c r="D45" s="32"/>
      <c r="E45" s="32"/>
      <c r="F45" s="32"/>
      <c r="G45" s="32"/>
      <c r="H45" s="32"/>
      <c r="I45" s="32"/>
      <c r="J45" s="52"/>
      <c r="K45" s="52"/>
      <c r="L45" s="55"/>
      <c r="M45" s="32"/>
      <c r="N45" s="201"/>
      <c r="O45" s="5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1"/>
      <c r="AR45" s="201"/>
      <c r="AS45" s="201"/>
      <c r="AT45" s="201"/>
      <c r="AU45" s="201"/>
      <c r="BA45" s="201"/>
    </row>
    <row r="46" spans="2:53">
      <c r="B46" s="422">
        <v>1</v>
      </c>
      <c r="C46" s="1249" t="s">
        <v>575</v>
      </c>
      <c r="D46" s="1249"/>
      <c r="E46" s="1249"/>
      <c r="F46" s="1249"/>
      <c r="G46" s="1249"/>
      <c r="H46" s="1249"/>
      <c r="I46" s="1249"/>
      <c r="J46" s="1249"/>
      <c r="K46" s="1249"/>
      <c r="L46" s="203"/>
      <c r="M46" s="201"/>
      <c r="N46" s="201"/>
      <c r="O46" s="209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  <c r="AU46" s="201"/>
      <c r="BA46" s="201"/>
    </row>
    <row r="47" spans="2:53">
      <c r="B47" s="422">
        <v>2</v>
      </c>
      <c r="C47" s="1249" t="s">
        <v>576</v>
      </c>
      <c r="D47" s="1249"/>
      <c r="E47" s="1249"/>
      <c r="F47" s="1249"/>
      <c r="G47" s="1249"/>
      <c r="H47" s="1249"/>
      <c r="I47" s="1249"/>
      <c r="J47" s="1249"/>
      <c r="K47" s="1249"/>
    </row>
    <row r="49" spans="2:53">
      <c r="B49" s="28" t="s">
        <v>2</v>
      </c>
      <c r="C49" s="28"/>
      <c r="D49" s="29"/>
      <c r="E49" s="30" t="s">
        <v>511</v>
      </c>
      <c r="F49" s="31" t="s">
        <v>577</v>
      </c>
      <c r="G49" s="32"/>
      <c r="H49" s="33"/>
      <c r="I49" s="34"/>
      <c r="J49" s="35" t="s">
        <v>513</v>
      </c>
      <c r="K49" s="36" t="s">
        <v>511</v>
      </c>
      <c r="L49" s="37">
        <v>44932.93472222222</v>
      </c>
      <c r="M49" s="32"/>
      <c r="N49" s="32"/>
      <c r="O49" s="206"/>
      <c r="P49" s="205"/>
      <c r="Q49" s="202"/>
      <c r="R49" s="204"/>
      <c r="S49" s="38"/>
      <c r="T49" s="201"/>
      <c r="U49" s="201"/>
      <c r="V49" s="201"/>
      <c r="W49" s="201"/>
      <c r="X49" s="201"/>
      <c r="Y49" s="201"/>
      <c r="Z49" s="201"/>
      <c r="AA49" s="201"/>
      <c r="AB49" s="202"/>
      <c r="AC49" s="202"/>
      <c r="AD49" s="202"/>
      <c r="AE49" s="202"/>
      <c r="AF49" s="202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</row>
    <row r="50" spans="2:53">
      <c r="B50" s="35" t="s">
        <v>514</v>
      </c>
      <c r="C50" s="35"/>
      <c r="D50" s="32"/>
      <c r="E50" s="36" t="s">
        <v>511</v>
      </c>
      <c r="F50" s="37" t="s">
        <v>578</v>
      </c>
      <c r="G50" s="32"/>
      <c r="H50" s="33"/>
      <c r="I50" s="34"/>
      <c r="J50" s="35" t="s">
        <v>516</v>
      </c>
      <c r="K50" s="36" t="s">
        <v>511</v>
      </c>
      <c r="L50" s="37">
        <v>44934.681944444441</v>
      </c>
      <c r="M50" s="32"/>
      <c r="N50" s="32"/>
      <c r="O50" s="206"/>
      <c r="P50" s="205"/>
      <c r="Q50" s="202"/>
      <c r="R50" s="204"/>
      <c r="S50" s="38"/>
      <c r="T50" s="201"/>
      <c r="U50" s="201"/>
      <c r="V50" s="201"/>
      <c r="W50" s="201"/>
      <c r="X50" s="201"/>
      <c r="Y50" s="201"/>
      <c r="Z50" s="201"/>
      <c r="AA50" s="201"/>
      <c r="AB50" s="202"/>
      <c r="AC50" s="202"/>
      <c r="AD50" s="202"/>
      <c r="AE50" s="202"/>
      <c r="AF50" s="202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201"/>
      <c r="AR50" s="201"/>
      <c r="AS50" s="201"/>
      <c r="AT50" s="201"/>
      <c r="AU50" s="201"/>
      <c r="AV50" s="201"/>
      <c r="AW50" s="201"/>
      <c r="AX50" s="201"/>
      <c r="AY50" s="201"/>
      <c r="AZ50" s="201"/>
      <c r="BA50" s="201"/>
    </row>
    <row r="51" spans="2:53">
      <c r="B51" s="35" t="s">
        <v>517</v>
      </c>
      <c r="C51" s="35"/>
      <c r="D51" s="32"/>
      <c r="E51" s="36" t="s">
        <v>511</v>
      </c>
      <c r="F51" s="37">
        <v>44929.944444444445</v>
      </c>
      <c r="G51" s="37"/>
      <c r="H51" s="33"/>
      <c r="I51" s="34"/>
      <c r="J51" s="35" t="s">
        <v>518</v>
      </c>
      <c r="K51" s="36" t="s">
        <v>511</v>
      </c>
      <c r="L51" s="50">
        <v>71800</v>
      </c>
      <c r="M51" s="40" t="s">
        <v>519</v>
      </c>
      <c r="N51" s="40"/>
      <c r="O51" s="206"/>
      <c r="P51" s="205"/>
      <c r="Q51" s="202"/>
      <c r="R51" s="204"/>
      <c r="S51" s="38"/>
      <c r="T51" s="201"/>
      <c r="U51" s="201"/>
      <c r="V51" s="201"/>
      <c r="W51" s="201"/>
      <c r="X51" s="201"/>
      <c r="Y51" s="201"/>
      <c r="Z51" s="201"/>
      <c r="AA51" s="201"/>
      <c r="AB51" s="202"/>
      <c r="AC51" s="202"/>
      <c r="AD51" s="202"/>
      <c r="AE51" s="202"/>
      <c r="AF51" s="202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  <c r="AU51" s="201"/>
      <c r="AV51" s="201"/>
      <c r="AW51" s="201"/>
      <c r="AX51" s="201"/>
      <c r="AY51" s="201"/>
      <c r="AZ51" s="201"/>
      <c r="BA51" s="201"/>
    </row>
    <row r="52" spans="2:53">
      <c r="B52" s="35" t="s">
        <v>520</v>
      </c>
      <c r="C52" s="35"/>
      <c r="D52" s="32"/>
      <c r="E52" s="36" t="s">
        <v>511</v>
      </c>
      <c r="F52" s="37" t="s">
        <v>20</v>
      </c>
      <c r="G52" s="32"/>
      <c r="H52" s="33"/>
      <c r="I52" s="34"/>
      <c r="J52" s="35" t="s">
        <v>521</v>
      </c>
      <c r="K52" s="36" t="s">
        <v>511</v>
      </c>
      <c r="L52" s="41" t="s">
        <v>579</v>
      </c>
      <c r="M52" s="32"/>
      <c r="N52" s="32"/>
      <c r="O52" s="206"/>
      <c r="P52" s="202"/>
      <c r="Q52" s="202"/>
      <c r="R52" s="204"/>
      <c r="S52" s="38"/>
      <c r="T52" s="201"/>
      <c r="U52" s="201"/>
      <c r="V52" s="201"/>
      <c r="W52" s="201"/>
      <c r="X52" s="201"/>
      <c r="Y52" s="201"/>
      <c r="Z52" s="201"/>
      <c r="AA52" s="201"/>
      <c r="AB52" s="202"/>
      <c r="AC52" s="202"/>
      <c r="AD52" s="202"/>
      <c r="AE52" s="202"/>
      <c r="AF52" s="202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  <c r="AU52" s="201"/>
      <c r="AV52" s="201"/>
      <c r="AW52" s="201"/>
      <c r="AX52" s="201"/>
      <c r="AY52" s="201"/>
      <c r="AZ52" s="201"/>
      <c r="BA52" s="201"/>
    </row>
    <row r="53" spans="2:53">
      <c r="B53" s="35" t="s">
        <v>523</v>
      </c>
      <c r="C53" s="35"/>
      <c r="D53" s="32"/>
      <c r="E53" s="36" t="s">
        <v>511</v>
      </c>
      <c r="F53" s="37" t="s">
        <v>47</v>
      </c>
      <c r="G53" s="32"/>
      <c r="H53" s="33"/>
      <c r="I53" s="34"/>
      <c r="J53" s="42" t="s">
        <v>524</v>
      </c>
      <c r="K53" s="36" t="s">
        <v>511</v>
      </c>
      <c r="L53" s="43" t="s">
        <v>15</v>
      </c>
      <c r="M53" s="44"/>
      <c r="N53" s="44"/>
      <c r="O53" s="206"/>
      <c r="P53" s="205"/>
      <c r="Q53" s="202"/>
      <c r="R53" s="204"/>
      <c r="S53" s="38"/>
      <c r="T53" s="201"/>
      <c r="U53" s="201"/>
      <c r="V53" s="201"/>
      <c r="W53" s="201"/>
      <c r="X53" s="201"/>
      <c r="Y53" s="201"/>
      <c r="Z53" s="201"/>
      <c r="AA53" s="201"/>
      <c r="AB53" s="202"/>
      <c r="AC53" s="202"/>
      <c r="AD53" s="202"/>
      <c r="AE53" s="202"/>
      <c r="AF53" s="202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201"/>
      <c r="AV53" s="201"/>
      <c r="AW53" s="201"/>
      <c r="AX53" s="201"/>
      <c r="AY53" s="201"/>
      <c r="AZ53" s="201"/>
      <c r="BA53" s="201"/>
    </row>
    <row r="54" spans="2:53">
      <c r="B54" s="35" t="s">
        <v>2</v>
      </c>
      <c r="C54" s="35"/>
      <c r="D54" s="32"/>
      <c r="E54" s="36" t="s">
        <v>511</v>
      </c>
      <c r="F54" s="37" t="s">
        <v>14</v>
      </c>
      <c r="G54" s="32"/>
      <c r="H54" s="33"/>
      <c r="I54" s="45"/>
      <c r="J54" s="42"/>
      <c r="K54" s="36"/>
      <c r="L54" s="211"/>
      <c r="M54" s="201"/>
      <c r="N54" s="201"/>
      <c r="O54" s="42"/>
      <c r="P54" s="44"/>
      <c r="Q54" s="44"/>
      <c r="R54" s="44"/>
      <c r="S54" s="34"/>
      <c r="T54" s="201"/>
      <c r="U54" s="201"/>
      <c r="V54" s="201"/>
      <c r="W54" s="201"/>
      <c r="X54" s="201"/>
      <c r="Y54" s="201"/>
      <c r="Z54" s="201"/>
      <c r="AA54" s="201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1"/>
      <c r="BA54" s="201"/>
    </row>
    <row r="55" spans="2:53">
      <c r="B55" s="201"/>
      <c r="C55" s="201"/>
      <c r="D55" s="201"/>
      <c r="E55" s="201"/>
      <c r="F55" s="201"/>
      <c r="G55" s="201"/>
      <c r="H55" s="201"/>
      <c r="I55" s="45"/>
      <c r="J55" s="42"/>
      <c r="K55" s="42"/>
      <c r="L55" s="43"/>
      <c r="M55" s="44"/>
      <c r="N55" s="44"/>
      <c r="O55" s="42"/>
      <c r="P55" s="44"/>
      <c r="Q55" s="44"/>
      <c r="R55" s="44"/>
      <c r="S55" s="34"/>
      <c r="T55" s="1265" t="s">
        <v>87</v>
      </c>
      <c r="U55" s="1265"/>
      <c r="V55" s="1265"/>
      <c r="W55" s="1265"/>
      <c r="X55" s="1265"/>
      <c r="Y55" s="1265" t="s">
        <v>73</v>
      </c>
      <c r="Z55" s="1265"/>
      <c r="AA55" s="1265"/>
      <c r="AB55" s="1265" t="s">
        <v>74</v>
      </c>
      <c r="AC55" s="1265"/>
      <c r="AD55" s="423" t="s">
        <v>85</v>
      </c>
      <c r="AE55" s="423" t="s">
        <v>77</v>
      </c>
      <c r="AF55" s="1271" t="s">
        <v>525</v>
      </c>
      <c r="AG55" s="1272"/>
      <c r="AH55" s="1272"/>
      <c r="AI55" s="1272"/>
      <c r="AJ55" s="1272"/>
      <c r="AK55" s="1272"/>
      <c r="AL55" s="1272"/>
      <c r="AM55" s="1272"/>
      <c r="AN55" s="1272"/>
      <c r="AO55" s="1272"/>
      <c r="AP55" s="1272"/>
      <c r="AQ55" s="1272"/>
      <c r="AR55" s="1272"/>
      <c r="AS55" s="1272"/>
      <c r="AT55" s="1272"/>
      <c r="AU55" s="1272"/>
      <c r="AV55" s="1272"/>
      <c r="AW55" s="1272"/>
      <c r="AX55" s="1272"/>
      <c r="AY55" s="1272"/>
      <c r="AZ55" s="1272"/>
      <c r="BA55" s="201"/>
    </row>
    <row r="56" spans="2:53">
      <c r="B56" s="1266" t="s">
        <v>526</v>
      </c>
      <c r="C56" s="1267"/>
      <c r="D56" s="570" t="s">
        <v>527</v>
      </c>
      <c r="E56" s="570"/>
      <c r="F56" s="570" t="s">
        <v>528</v>
      </c>
      <c r="G56" s="570" t="s">
        <v>529</v>
      </c>
      <c r="H56" s="570" t="s">
        <v>530</v>
      </c>
      <c r="I56" s="570" t="s">
        <v>531</v>
      </c>
      <c r="J56" s="570" t="s">
        <v>532</v>
      </c>
      <c r="K56" s="570"/>
      <c r="L56" s="570" t="s">
        <v>130</v>
      </c>
      <c r="M56" s="570" t="s">
        <v>533</v>
      </c>
      <c r="N56" s="408" t="str">
        <f>"On time - "&amp;COUNTIF(N57:N66,"On time")&amp;" from "&amp;ROWS(N57:N66)-COUNTIF(N57:N66," ")</f>
        <v>On time - 10 from 10</v>
      </c>
      <c r="O56" s="46"/>
      <c r="P56" s="409" t="s">
        <v>534</v>
      </c>
      <c r="Q56" s="409" t="s">
        <v>535</v>
      </c>
      <c r="R56" s="409" t="s">
        <v>536</v>
      </c>
      <c r="S56" s="32"/>
      <c r="T56" s="424" t="s">
        <v>537</v>
      </c>
      <c r="U56" s="424" t="s">
        <v>538</v>
      </c>
      <c r="V56" s="424" t="s">
        <v>539</v>
      </c>
      <c r="W56" s="424" t="s">
        <v>540</v>
      </c>
      <c r="X56" s="424" t="s">
        <v>541</v>
      </c>
      <c r="Y56" s="424" t="s">
        <v>167</v>
      </c>
      <c r="Z56" s="424" t="s">
        <v>168</v>
      </c>
      <c r="AA56" s="424" t="s">
        <v>169</v>
      </c>
      <c r="AB56" s="424" t="s">
        <v>235</v>
      </c>
      <c r="AC56" s="424" t="s">
        <v>542</v>
      </c>
      <c r="AD56" s="423" t="s">
        <v>85</v>
      </c>
      <c r="AE56" s="424" t="s">
        <v>139</v>
      </c>
      <c r="AF56" s="424" t="s">
        <v>72</v>
      </c>
      <c r="AG56" s="424" t="s">
        <v>88</v>
      </c>
      <c r="AH56" s="424" t="s">
        <v>75</v>
      </c>
      <c r="AI56" s="424" t="s">
        <v>543</v>
      </c>
      <c r="AJ56" s="424" t="s">
        <v>78</v>
      </c>
      <c r="AK56" s="424" t="s">
        <v>76</v>
      </c>
      <c r="AL56" s="424" t="s">
        <v>544</v>
      </c>
      <c r="AM56" s="424" t="s">
        <v>545</v>
      </c>
      <c r="AN56" s="424" t="s">
        <v>86</v>
      </c>
      <c r="AO56" s="424" t="s">
        <v>83</v>
      </c>
      <c r="AP56" s="424" t="s">
        <v>84</v>
      </c>
      <c r="AQ56" s="424" t="s">
        <v>546</v>
      </c>
      <c r="AR56" s="424" t="s">
        <v>81</v>
      </c>
      <c r="AS56" s="424" t="s">
        <v>80</v>
      </c>
      <c r="AT56" s="424" t="s">
        <v>82</v>
      </c>
      <c r="AU56" s="424" t="s">
        <v>181</v>
      </c>
      <c r="AV56" s="424" t="s">
        <v>183</v>
      </c>
      <c r="AW56" s="424" t="s">
        <v>547</v>
      </c>
      <c r="AX56" s="424" t="s">
        <v>182</v>
      </c>
      <c r="AY56" s="424" t="s">
        <v>172</v>
      </c>
      <c r="AZ56" s="424" t="s">
        <v>173</v>
      </c>
      <c r="BA56" s="201"/>
    </row>
    <row r="57" spans="2:53">
      <c r="B57" s="1256">
        <v>1</v>
      </c>
      <c r="C57" s="1257"/>
      <c r="D57" s="411" t="s">
        <v>580</v>
      </c>
      <c r="E57" s="411"/>
      <c r="F57" s="425" t="s">
        <v>399</v>
      </c>
      <c r="G57" s="425" t="s">
        <v>400</v>
      </c>
      <c r="H57" s="426">
        <v>5829.3680000000022</v>
      </c>
      <c r="I57" s="413" t="s">
        <v>581</v>
      </c>
      <c r="J57" s="414">
        <v>44905.659722222219</v>
      </c>
      <c r="K57" s="414"/>
      <c r="L57" s="414" t="s">
        <v>192</v>
      </c>
      <c r="M57" s="414" t="s">
        <v>192</v>
      </c>
      <c r="N57" s="413" t="str">
        <f t="shared" ref="N57:N66" si="4">IF(ISBLANK(J57)," ",IF(J57&lt;$F$51,"On time",(IF(DAY(J57-$F$51)&lt;1,"On time",(IF(J57&gt;$F$51,"DELAY ( "&amp;DAY(J57-$F$51)&amp;" day "&amp;HOUR(J57-$F$51)&amp;" hour "&amp;MINUTE(J57-$F$51)&amp;" minute )","xxx"))))))</f>
        <v>On time</v>
      </c>
      <c r="O57" s="51"/>
      <c r="P57" s="415" t="s">
        <v>551</v>
      </c>
      <c r="Q57" s="415" t="s">
        <v>551</v>
      </c>
      <c r="R57" s="415" t="s">
        <v>551</v>
      </c>
      <c r="S57" s="32"/>
      <c r="T57" s="416"/>
      <c r="U57" s="416"/>
      <c r="V57" s="416"/>
      <c r="W57" s="416"/>
      <c r="X57" s="416"/>
      <c r="Y57" s="416"/>
      <c r="Z57" s="416"/>
      <c r="AA57" s="416"/>
      <c r="AB57" s="416">
        <f>H57*0.7</f>
        <v>4080.5576000000015</v>
      </c>
      <c r="AC57" s="416">
        <f>H57*0.3</f>
        <v>1748.8104000000005</v>
      </c>
      <c r="AD57" s="416"/>
      <c r="AE57" s="416"/>
      <c r="AF57" s="416"/>
      <c r="AG57" s="416"/>
      <c r="AH57" s="416"/>
      <c r="AI57" s="416"/>
      <c r="AJ57" s="416"/>
      <c r="AK57" s="416"/>
      <c r="AL57" s="416"/>
      <c r="AM57" s="416"/>
      <c r="AN57" s="416"/>
      <c r="AO57" s="416"/>
      <c r="AP57" s="416"/>
      <c r="AQ57" s="416"/>
      <c r="AR57" s="416"/>
      <c r="AS57" s="416"/>
      <c r="AT57" s="416"/>
      <c r="AU57" s="416"/>
      <c r="AV57" s="416"/>
      <c r="AW57" s="416"/>
      <c r="AX57" s="416"/>
      <c r="AY57" s="416"/>
      <c r="AZ57" s="416"/>
      <c r="BA57" s="32"/>
    </row>
    <row r="58" spans="2:53">
      <c r="B58" s="1256">
        <v>2</v>
      </c>
      <c r="C58" s="1257"/>
      <c r="D58" s="411" t="s">
        <v>582</v>
      </c>
      <c r="E58" s="411"/>
      <c r="F58" s="411" t="s">
        <v>377</v>
      </c>
      <c r="G58" s="411" t="s">
        <v>378</v>
      </c>
      <c r="H58" s="412">
        <v>7405.0540000000001</v>
      </c>
      <c r="I58" s="413" t="s">
        <v>235</v>
      </c>
      <c r="J58" s="414">
        <v>44908.972222222219</v>
      </c>
      <c r="K58" s="414"/>
      <c r="L58" s="414" t="s">
        <v>192</v>
      </c>
      <c r="M58" s="414" t="s">
        <v>192</v>
      </c>
      <c r="N58" s="413" t="str">
        <f t="shared" si="4"/>
        <v>On time</v>
      </c>
      <c r="O58" s="51"/>
      <c r="P58" s="415" t="s">
        <v>551</v>
      </c>
      <c r="Q58" s="415" t="s">
        <v>551</v>
      </c>
      <c r="R58" s="415" t="s">
        <v>551</v>
      </c>
      <c r="S58" s="32"/>
      <c r="T58" s="416"/>
      <c r="U58" s="416"/>
      <c r="V58" s="416"/>
      <c r="W58" s="416"/>
      <c r="X58" s="416"/>
      <c r="Y58" s="416"/>
      <c r="Z58" s="416"/>
      <c r="AA58" s="416"/>
      <c r="AB58" s="416">
        <f>H58</f>
        <v>7405.0540000000001</v>
      </c>
      <c r="AC58" s="416"/>
      <c r="AD58" s="416"/>
      <c r="AE58" s="416"/>
      <c r="AF58" s="416"/>
      <c r="AG58" s="416"/>
      <c r="AH58" s="416"/>
      <c r="AI58" s="416"/>
      <c r="AJ58" s="416"/>
      <c r="AK58" s="416"/>
      <c r="AL58" s="416"/>
      <c r="AM58" s="416"/>
      <c r="AN58" s="416"/>
      <c r="AO58" s="416"/>
      <c r="AP58" s="416"/>
      <c r="AQ58" s="416"/>
      <c r="AR58" s="416"/>
      <c r="AS58" s="416"/>
      <c r="AT58" s="416"/>
      <c r="AU58" s="416"/>
      <c r="AV58" s="416"/>
      <c r="AW58" s="416"/>
      <c r="AX58" s="416"/>
      <c r="AY58" s="416"/>
      <c r="AZ58" s="416"/>
      <c r="BA58" s="32"/>
    </row>
    <row r="59" spans="2:53">
      <c r="B59" s="1256">
        <v>3</v>
      </c>
      <c r="C59" s="1257"/>
      <c r="D59" s="411" t="s">
        <v>583</v>
      </c>
      <c r="E59" s="411"/>
      <c r="F59" s="411" t="s">
        <v>450</v>
      </c>
      <c r="G59" s="411" t="s">
        <v>451</v>
      </c>
      <c r="H59" s="412">
        <v>7393.9089999999997</v>
      </c>
      <c r="I59" s="413" t="s">
        <v>181</v>
      </c>
      <c r="J59" s="414">
        <v>44909.416666666664</v>
      </c>
      <c r="K59" s="414"/>
      <c r="L59" s="414" t="s">
        <v>192</v>
      </c>
      <c r="M59" s="414" t="s">
        <v>192</v>
      </c>
      <c r="N59" s="413" t="str">
        <f t="shared" si="4"/>
        <v>On time</v>
      </c>
      <c r="O59" s="51"/>
      <c r="P59" s="415" t="s">
        <v>551</v>
      </c>
      <c r="Q59" s="415" t="s">
        <v>551</v>
      </c>
      <c r="R59" s="415" t="s">
        <v>551</v>
      </c>
      <c r="S59" s="32"/>
      <c r="T59" s="416"/>
      <c r="U59" s="416"/>
      <c r="V59" s="416"/>
      <c r="W59" s="416"/>
      <c r="X59" s="416"/>
      <c r="Y59" s="416"/>
      <c r="Z59" s="416"/>
      <c r="AA59" s="416"/>
      <c r="AB59" s="416"/>
      <c r="AC59" s="416"/>
      <c r="AD59" s="416"/>
      <c r="AE59" s="416"/>
      <c r="AF59" s="416"/>
      <c r="AG59" s="416"/>
      <c r="AH59" s="416"/>
      <c r="AI59" s="416"/>
      <c r="AJ59" s="416"/>
      <c r="AK59" s="416"/>
      <c r="AL59" s="416"/>
      <c r="AM59" s="416"/>
      <c r="AN59" s="416"/>
      <c r="AO59" s="416"/>
      <c r="AP59" s="416"/>
      <c r="AQ59" s="416"/>
      <c r="AR59" s="416"/>
      <c r="AS59" s="416"/>
      <c r="AT59" s="416"/>
      <c r="AU59" s="416">
        <f>H59</f>
        <v>7393.9089999999997</v>
      </c>
      <c r="AV59" s="416"/>
      <c r="AW59" s="416"/>
      <c r="AX59" s="416"/>
      <c r="AY59" s="416"/>
      <c r="AZ59" s="416"/>
      <c r="BA59" s="32"/>
    </row>
    <row r="60" spans="2:53">
      <c r="B60" s="1256">
        <v>4</v>
      </c>
      <c r="C60" s="1257"/>
      <c r="D60" s="411" t="s">
        <v>584</v>
      </c>
      <c r="E60" s="411"/>
      <c r="F60" s="411" t="s">
        <v>585</v>
      </c>
      <c r="G60" s="411" t="s">
        <v>586</v>
      </c>
      <c r="H60" s="412">
        <v>5193.1490000000003</v>
      </c>
      <c r="I60" s="413" t="s">
        <v>181</v>
      </c>
      <c r="J60" s="414">
        <v>44916.6875</v>
      </c>
      <c r="K60" s="414"/>
      <c r="L60" s="414" t="s">
        <v>192</v>
      </c>
      <c r="M60" s="414" t="s">
        <v>192</v>
      </c>
      <c r="N60" s="413" t="str">
        <f t="shared" si="4"/>
        <v>On time</v>
      </c>
      <c r="O60" s="51"/>
      <c r="P60" s="415" t="s">
        <v>551</v>
      </c>
      <c r="Q60" s="415" t="s">
        <v>551</v>
      </c>
      <c r="R60" s="415" t="s">
        <v>551</v>
      </c>
      <c r="S60" s="32"/>
      <c r="T60" s="416"/>
      <c r="U60" s="416"/>
      <c r="V60" s="416"/>
      <c r="W60" s="416"/>
      <c r="X60" s="416"/>
      <c r="Y60" s="416"/>
      <c r="Z60" s="416"/>
      <c r="AA60" s="416"/>
      <c r="AB60" s="416"/>
      <c r="AC60" s="416"/>
      <c r="AD60" s="416"/>
      <c r="AE60" s="416"/>
      <c r="AF60" s="416"/>
      <c r="AG60" s="416"/>
      <c r="AH60" s="416"/>
      <c r="AI60" s="416"/>
      <c r="AJ60" s="416"/>
      <c r="AK60" s="416"/>
      <c r="AL60" s="416"/>
      <c r="AM60" s="416"/>
      <c r="AN60" s="416"/>
      <c r="AO60" s="416"/>
      <c r="AP60" s="416"/>
      <c r="AQ60" s="416"/>
      <c r="AR60" s="416"/>
      <c r="AS60" s="416"/>
      <c r="AT60" s="416"/>
      <c r="AU60" s="416">
        <f>H60</f>
        <v>5193.1490000000003</v>
      </c>
      <c r="AV60" s="416"/>
      <c r="AW60" s="416"/>
      <c r="AX60" s="416"/>
      <c r="AY60" s="416"/>
      <c r="AZ60" s="416"/>
      <c r="BA60" s="32"/>
    </row>
    <row r="61" spans="2:53">
      <c r="B61" s="1256">
        <v>5</v>
      </c>
      <c r="C61" s="1257"/>
      <c r="D61" s="411" t="s">
        <v>587</v>
      </c>
      <c r="E61" s="411"/>
      <c r="F61" s="411" t="s">
        <v>355</v>
      </c>
      <c r="G61" s="411" t="s">
        <v>356</v>
      </c>
      <c r="H61" s="412">
        <v>7500</v>
      </c>
      <c r="I61" s="413" t="s">
        <v>78</v>
      </c>
      <c r="J61" s="414">
        <v>44909.927083333336</v>
      </c>
      <c r="K61" s="414"/>
      <c r="L61" s="414" t="s">
        <v>192</v>
      </c>
      <c r="M61" s="414" t="s">
        <v>192</v>
      </c>
      <c r="N61" s="413" t="str">
        <f t="shared" si="4"/>
        <v>On time</v>
      </c>
      <c r="O61" s="51"/>
      <c r="P61" s="415" t="s">
        <v>551</v>
      </c>
      <c r="Q61" s="415" t="s">
        <v>551</v>
      </c>
      <c r="R61" s="415" t="s">
        <v>551</v>
      </c>
      <c r="S61" s="32"/>
      <c r="T61" s="416"/>
      <c r="U61" s="416"/>
      <c r="V61" s="416"/>
      <c r="W61" s="416"/>
      <c r="X61" s="416"/>
      <c r="Y61" s="416"/>
      <c r="Z61" s="416"/>
      <c r="AA61" s="416"/>
      <c r="AB61" s="416"/>
      <c r="AC61" s="416"/>
      <c r="AD61" s="416"/>
      <c r="AE61" s="416"/>
      <c r="AF61" s="416"/>
      <c r="AG61" s="416"/>
      <c r="AH61" s="416"/>
      <c r="AI61" s="416"/>
      <c r="AJ61" s="416">
        <f>H61</f>
        <v>7500</v>
      </c>
      <c r="AK61" s="416"/>
      <c r="AL61" s="416"/>
      <c r="AM61" s="416"/>
      <c r="AN61" s="416"/>
      <c r="AO61" s="416"/>
      <c r="AP61" s="416"/>
      <c r="AQ61" s="416"/>
      <c r="AR61" s="416"/>
      <c r="AS61" s="416"/>
      <c r="AT61" s="416"/>
      <c r="AU61" s="416"/>
      <c r="AV61" s="416"/>
      <c r="AW61" s="416"/>
      <c r="AX61" s="416"/>
      <c r="AY61" s="416"/>
      <c r="AZ61" s="416"/>
      <c r="BA61" s="32"/>
    </row>
    <row r="62" spans="2:53">
      <c r="B62" s="1256">
        <v>6</v>
      </c>
      <c r="C62" s="1257"/>
      <c r="D62" s="411" t="s">
        <v>588</v>
      </c>
      <c r="E62" s="411"/>
      <c r="F62" s="411" t="s">
        <v>361</v>
      </c>
      <c r="G62" s="411" t="s">
        <v>362</v>
      </c>
      <c r="H62" s="412">
        <v>7610.8969999999999</v>
      </c>
      <c r="I62" s="413" t="s">
        <v>235</v>
      </c>
      <c r="J62" s="414">
        <v>44910.083333333336</v>
      </c>
      <c r="K62" s="414"/>
      <c r="L62" s="414" t="s">
        <v>192</v>
      </c>
      <c r="M62" s="414" t="s">
        <v>192</v>
      </c>
      <c r="N62" s="413" t="str">
        <f t="shared" si="4"/>
        <v>On time</v>
      </c>
      <c r="O62" s="51"/>
      <c r="P62" s="415" t="s">
        <v>551</v>
      </c>
      <c r="Q62" s="415" t="s">
        <v>551</v>
      </c>
      <c r="R62" s="415" t="s">
        <v>551</v>
      </c>
      <c r="S62" s="32"/>
      <c r="T62" s="416"/>
      <c r="U62" s="416"/>
      <c r="V62" s="416"/>
      <c r="W62" s="416"/>
      <c r="X62" s="416"/>
      <c r="Y62" s="416"/>
      <c r="Z62" s="416"/>
      <c r="AA62" s="416"/>
      <c r="AB62" s="416">
        <f>H62</f>
        <v>7610.8969999999999</v>
      </c>
      <c r="AC62" s="416"/>
      <c r="AD62" s="416"/>
      <c r="AE62" s="416"/>
      <c r="AF62" s="416"/>
      <c r="AG62" s="416"/>
      <c r="AH62" s="416"/>
      <c r="AI62" s="416"/>
      <c r="AJ62" s="416"/>
      <c r="AK62" s="416"/>
      <c r="AL62" s="416"/>
      <c r="AM62" s="416"/>
      <c r="AN62" s="416"/>
      <c r="AO62" s="416"/>
      <c r="AP62" s="416"/>
      <c r="AQ62" s="416"/>
      <c r="AR62" s="416"/>
      <c r="AS62" s="416"/>
      <c r="AT62" s="416"/>
      <c r="AU62" s="416"/>
      <c r="AV62" s="416"/>
      <c r="AW62" s="416"/>
      <c r="AX62" s="416"/>
      <c r="AY62" s="416"/>
      <c r="AZ62" s="416"/>
      <c r="BA62" s="32"/>
    </row>
    <row r="63" spans="2:53">
      <c r="B63" s="1256">
        <v>7</v>
      </c>
      <c r="C63" s="1257"/>
      <c r="D63" s="411" t="s">
        <v>589</v>
      </c>
      <c r="E63" s="411"/>
      <c r="F63" s="411" t="s">
        <v>252</v>
      </c>
      <c r="G63" s="411" t="s">
        <v>253</v>
      </c>
      <c r="H63" s="412">
        <v>7553.5060000000003</v>
      </c>
      <c r="I63" s="413" t="s">
        <v>235</v>
      </c>
      <c r="J63" s="414">
        <v>44910.145833333336</v>
      </c>
      <c r="K63" s="414"/>
      <c r="L63" s="414" t="s">
        <v>192</v>
      </c>
      <c r="M63" s="414" t="s">
        <v>192</v>
      </c>
      <c r="N63" s="413" t="str">
        <f t="shared" si="4"/>
        <v>On time</v>
      </c>
      <c r="O63" s="51"/>
      <c r="P63" s="415" t="s">
        <v>551</v>
      </c>
      <c r="Q63" s="415" t="s">
        <v>551</v>
      </c>
      <c r="R63" s="415" t="s">
        <v>551</v>
      </c>
      <c r="S63" s="32"/>
      <c r="T63" s="416"/>
      <c r="U63" s="416"/>
      <c r="V63" s="416"/>
      <c r="W63" s="416"/>
      <c r="X63" s="416"/>
      <c r="Y63" s="416"/>
      <c r="Z63" s="416"/>
      <c r="AA63" s="416"/>
      <c r="AB63" s="416">
        <f>H63</f>
        <v>7553.5060000000003</v>
      </c>
      <c r="AC63" s="416"/>
      <c r="AD63" s="416"/>
      <c r="AE63" s="416"/>
      <c r="AF63" s="416"/>
      <c r="AG63" s="416"/>
      <c r="AH63" s="416"/>
      <c r="AI63" s="416"/>
      <c r="AJ63" s="416"/>
      <c r="AK63" s="416"/>
      <c r="AL63" s="416"/>
      <c r="AM63" s="416"/>
      <c r="AN63" s="416"/>
      <c r="AO63" s="416"/>
      <c r="AP63" s="416"/>
      <c r="AQ63" s="416"/>
      <c r="AR63" s="416"/>
      <c r="AS63" s="416"/>
      <c r="AT63" s="416"/>
      <c r="AU63" s="416"/>
      <c r="AV63" s="416"/>
      <c r="AW63" s="416"/>
      <c r="AX63" s="416"/>
      <c r="AY63" s="416"/>
      <c r="AZ63" s="416"/>
      <c r="BA63" s="32"/>
    </row>
    <row r="64" spans="2:53">
      <c r="B64" s="1256">
        <v>8</v>
      </c>
      <c r="C64" s="1257"/>
      <c r="D64" s="411" t="s">
        <v>590</v>
      </c>
      <c r="E64" s="411"/>
      <c r="F64" s="411" t="s">
        <v>201</v>
      </c>
      <c r="G64" s="411" t="s">
        <v>202</v>
      </c>
      <c r="H64" s="412">
        <v>7617.7529999999997</v>
      </c>
      <c r="I64" s="413" t="s">
        <v>235</v>
      </c>
      <c r="J64" s="414">
        <v>44910.166666666664</v>
      </c>
      <c r="K64" s="414"/>
      <c r="L64" s="414" t="s">
        <v>192</v>
      </c>
      <c r="M64" s="414" t="s">
        <v>192</v>
      </c>
      <c r="N64" s="413" t="str">
        <f t="shared" si="4"/>
        <v>On time</v>
      </c>
      <c r="O64" s="51"/>
      <c r="P64" s="415" t="s">
        <v>551</v>
      </c>
      <c r="Q64" s="415" t="s">
        <v>551</v>
      </c>
      <c r="R64" s="415" t="s">
        <v>551</v>
      </c>
      <c r="S64" s="32"/>
      <c r="T64" s="416"/>
      <c r="U64" s="416"/>
      <c r="V64" s="416"/>
      <c r="W64" s="416"/>
      <c r="X64" s="416"/>
      <c r="Y64" s="416"/>
      <c r="Z64" s="416"/>
      <c r="AA64" s="416"/>
      <c r="AB64" s="416">
        <f>H64</f>
        <v>7617.7529999999997</v>
      </c>
      <c r="AC64" s="416"/>
      <c r="AD64" s="416"/>
      <c r="AE64" s="416"/>
      <c r="AF64" s="416"/>
      <c r="AG64" s="416"/>
      <c r="AH64" s="416"/>
      <c r="AI64" s="416"/>
      <c r="AJ64" s="416"/>
      <c r="AK64" s="416"/>
      <c r="AL64" s="416"/>
      <c r="AM64" s="416"/>
      <c r="AN64" s="416"/>
      <c r="AO64" s="416"/>
      <c r="AP64" s="416"/>
      <c r="AQ64" s="416"/>
      <c r="AR64" s="416"/>
      <c r="AS64" s="416"/>
      <c r="AT64" s="416"/>
      <c r="AU64" s="416"/>
      <c r="AV64" s="416"/>
      <c r="AW64" s="416"/>
      <c r="AX64" s="416"/>
      <c r="AY64" s="416"/>
      <c r="AZ64" s="416"/>
      <c r="BA64" s="32"/>
    </row>
    <row r="65" spans="2:53">
      <c r="B65" s="1256">
        <v>9</v>
      </c>
      <c r="C65" s="1257"/>
      <c r="D65" s="411" t="s">
        <v>591</v>
      </c>
      <c r="E65" s="411"/>
      <c r="F65" s="411" t="s">
        <v>260</v>
      </c>
      <c r="G65" s="411" t="s">
        <v>261</v>
      </c>
      <c r="H65" s="412">
        <v>7651.8059999999996</v>
      </c>
      <c r="I65" s="413" t="s">
        <v>235</v>
      </c>
      <c r="J65" s="414">
        <v>44910.454861111109</v>
      </c>
      <c r="K65" s="414"/>
      <c r="L65" s="414" t="s">
        <v>192</v>
      </c>
      <c r="M65" s="414" t="s">
        <v>192</v>
      </c>
      <c r="N65" s="413" t="str">
        <f t="shared" si="4"/>
        <v>On time</v>
      </c>
      <c r="O65" s="51"/>
      <c r="P65" s="415" t="s">
        <v>551</v>
      </c>
      <c r="Q65" s="415" t="s">
        <v>551</v>
      </c>
      <c r="R65" s="415" t="s">
        <v>551</v>
      </c>
      <c r="S65" s="32"/>
      <c r="T65" s="416"/>
      <c r="U65" s="416"/>
      <c r="V65" s="416"/>
      <c r="W65" s="416"/>
      <c r="X65" s="416"/>
      <c r="Y65" s="416"/>
      <c r="Z65" s="416"/>
      <c r="AA65" s="416"/>
      <c r="AB65" s="416">
        <f>H65</f>
        <v>7651.8059999999996</v>
      </c>
      <c r="AC65" s="416"/>
      <c r="AD65" s="416"/>
      <c r="AE65" s="416"/>
      <c r="AF65" s="416"/>
      <c r="AG65" s="416"/>
      <c r="AH65" s="416"/>
      <c r="AI65" s="416"/>
      <c r="AJ65" s="416"/>
      <c r="AK65" s="416"/>
      <c r="AL65" s="416"/>
      <c r="AM65" s="416"/>
      <c r="AN65" s="416"/>
      <c r="AO65" s="416"/>
      <c r="AP65" s="416"/>
      <c r="AQ65" s="416"/>
      <c r="AR65" s="416"/>
      <c r="AS65" s="416"/>
      <c r="AT65" s="416"/>
      <c r="AU65" s="416"/>
      <c r="AV65" s="416"/>
      <c r="AW65" s="416"/>
      <c r="AX65" s="416"/>
      <c r="AY65" s="416"/>
      <c r="AZ65" s="416"/>
      <c r="BA65" s="32"/>
    </row>
    <row r="66" spans="2:53">
      <c r="B66" s="1256">
        <v>10</v>
      </c>
      <c r="C66" s="1257"/>
      <c r="D66" s="411" t="s">
        <v>592</v>
      </c>
      <c r="E66" s="411"/>
      <c r="F66" s="411" t="s">
        <v>271</v>
      </c>
      <c r="G66" s="411" t="s">
        <v>272</v>
      </c>
      <c r="H66" s="412">
        <f>9296.287-1251.729</f>
        <v>8044.558</v>
      </c>
      <c r="I66" s="413" t="s">
        <v>235</v>
      </c>
      <c r="J66" s="414">
        <v>44911.798611111109</v>
      </c>
      <c r="K66" s="414"/>
      <c r="L66" s="414" t="s">
        <v>192</v>
      </c>
      <c r="M66" s="414" t="s">
        <v>192</v>
      </c>
      <c r="N66" s="413" t="str">
        <f t="shared" si="4"/>
        <v>On time</v>
      </c>
      <c r="O66" s="51"/>
      <c r="P66" s="415" t="s">
        <v>551</v>
      </c>
      <c r="Q66" s="415" t="s">
        <v>551</v>
      </c>
      <c r="R66" s="415" t="s">
        <v>551</v>
      </c>
      <c r="S66" s="32"/>
      <c r="T66" s="416"/>
      <c r="U66" s="416"/>
      <c r="V66" s="416"/>
      <c r="W66" s="416"/>
      <c r="X66" s="416"/>
      <c r="Y66" s="416"/>
      <c r="Z66" s="416"/>
      <c r="AA66" s="416"/>
      <c r="AB66" s="416">
        <f>H66-H70</f>
        <v>8044.558</v>
      </c>
      <c r="AC66" s="416"/>
      <c r="AD66" s="416"/>
      <c r="AE66" s="416"/>
      <c r="AF66" s="416"/>
      <c r="AG66" s="416"/>
      <c r="AH66" s="416"/>
      <c r="AI66" s="416"/>
      <c r="AJ66" s="416"/>
      <c r="AK66" s="416"/>
      <c r="AL66" s="416"/>
      <c r="AM66" s="416"/>
      <c r="AN66" s="416"/>
      <c r="AO66" s="416"/>
      <c r="AP66" s="416"/>
      <c r="AQ66" s="416"/>
      <c r="AR66" s="416"/>
      <c r="AS66" s="416"/>
      <c r="AT66" s="416"/>
      <c r="AU66" s="416"/>
      <c r="AV66" s="416"/>
      <c r="AW66" s="416"/>
      <c r="AX66" s="416"/>
      <c r="AY66" s="416"/>
      <c r="AZ66" s="416"/>
      <c r="BA66" s="32"/>
    </row>
    <row r="67" spans="2:53">
      <c r="B67" s="1258" t="s">
        <v>556</v>
      </c>
      <c r="C67" s="1259"/>
      <c r="D67" s="1259"/>
      <c r="E67" s="1259"/>
      <c r="F67" s="1259"/>
      <c r="G67" s="1260"/>
      <c r="H67" s="417">
        <f>SUM(H57:H66)</f>
        <v>71800</v>
      </c>
      <c r="I67" s="388"/>
      <c r="J67" s="293"/>
      <c r="K67" s="293"/>
      <c r="L67" s="293"/>
      <c r="M67" s="389"/>
      <c r="N67" s="413" t="str">
        <f>IF(ISBLANK(J67)," ",IF(J67&lt;$F$4,"On time",(IF(DAY(J67-$F$4)&lt;1,"On time",(IF(J67&gt;$F$4,"DELAY ( "&amp;DAY(J67-$F$4)&amp;" day "&amp;HOUR(J67-$F$4)&amp;" hour "&amp;MINUTE(J67-$F$4)&amp;" minute )","xxx"))))))</f>
        <v xml:space="preserve"> </v>
      </c>
      <c r="O67" s="212"/>
      <c r="P67" s="418"/>
      <c r="Q67" s="418"/>
      <c r="R67" s="418"/>
      <c r="S67" s="207"/>
      <c r="T67" s="1261"/>
      <c r="U67" s="1261"/>
      <c r="V67" s="1261"/>
      <c r="W67" s="1261"/>
      <c r="X67" s="1261"/>
      <c r="Y67" s="1261"/>
      <c r="Z67" s="1261"/>
      <c r="AA67" s="1261"/>
      <c r="AB67" s="1261"/>
      <c r="AC67" s="1261"/>
      <c r="AD67" s="1261"/>
      <c r="AE67" s="1261"/>
      <c r="AF67" s="1261"/>
      <c r="AG67" s="1261"/>
      <c r="AH67" s="1261"/>
      <c r="AI67" s="1261"/>
      <c r="AJ67" s="1261"/>
      <c r="AK67" s="1261"/>
      <c r="AL67" s="1261"/>
      <c r="AM67" s="1261"/>
      <c r="AN67" s="1261"/>
      <c r="AO67" s="1261"/>
      <c r="AP67" s="1261"/>
      <c r="AQ67" s="1261"/>
      <c r="AR67" s="1261"/>
      <c r="AS67" s="1261"/>
      <c r="AT67" s="1261"/>
      <c r="AU67" s="1261"/>
      <c r="AV67" s="1261"/>
      <c r="AW67" s="1261"/>
      <c r="AX67" s="1261"/>
      <c r="AY67" s="1261"/>
      <c r="AZ67" s="1261"/>
    </row>
    <row r="68" spans="2:53">
      <c r="B68" s="1243" t="s">
        <v>557</v>
      </c>
      <c r="C68" s="1244"/>
      <c r="D68" s="1244"/>
      <c r="E68" s="1244"/>
      <c r="F68" s="1244"/>
      <c r="G68" s="1245"/>
      <c r="H68" s="419">
        <v>71800</v>
      </c>
      <c r="I68" s="1246"/>
      <c r="J68" s="1247"/>
      <c r="K68" s="1247"/>
      <c r="L68" s="1247"/>
      <c r="M68" s="1248"/>
      <c r="N68" s="413" t="str">
        <f>IF(ISBLANK(J68)," ",IF(J68&lt;$F$4,"On time",(IF(DAY(J68-$F$4)&lt;1,"On time",(IF(J68&gt;$F$4,"DELAY ( "&amp;DAY(J68-$F$4)&amp;" day "&amp;HOUR(J68-$F$4)&amp;" hour "&amp;MINUTE(J68-$F$4)&amp;" minute )","xxx"))))))</f>
        <v xml:space="preserve"> </v>
      </c>
      <c r="O68" s="32"/>
      <c r="P68" s="415"/>
      <c r="Q68" s="415"/>
      <c r="R68" s="415"/>
      <c r="S68" s="63"/>
      <c r="T68" s="416">
        <f t="shared" ref="T68:AZ68" si="5">SUM(T57:T66)</f>
        <v>0</v>
      </c>
      <c r="U68" s="416">
        <f t="shared" si="5"/>
        <v>0</v>
      </c>
      <c r="V68" s="416">
        <f t="shared" si="5"/>
        <v>0</v>
      </c>
      <c r="W68" s="416">
        <f t="shared" si="5"/>
        <v>0</v>
      </c>
      <c r="X68" s="416">
        <f t="shared" si="5"/>
        <v>0</v>
      </c>
      <c r="Y68" s="416">
        <f t="shared" si="5"/>
        <v>0</v>
      </c>
      <c r="Z68" s="416">
        <f t="shared" si="5"/>
        <v>0</v>
      </c>
      <c r="AA68" s="416">
        <f t="shared" si="5"/>
        <v>0</v>
      </c>
      <c r="AB68" s="416">
        <f t="shared" si="5"/>
        <v>49964.131599999993</v>
      </c>
      <c r="AC68" s="416">
        <f t="shared" si="5"/>
        <v>1748.8104000000005</v>
      </c>
      <c r="AD68" s="416">
        <f t="shared" si="5"/>
        <v>0</v>
      </c>
      <c r="AE68" s="416">
        <f t="shared" si="5"/>
        <v>0</v>
      </c>
      <c r="AF68" s="416">
        <f t="shared" si="5"/>
        <v>0</v>
      </c>
      <c r="AG68" s="416">
        <f t="shared" si="5"/>
        <v>0</v>
      </c>
      <c r="AH68" s="416">
        <f t="shared" si="5"/>
        <v>0</v>
      </c>
      <c r="AI68" s="416">
        <f t="shared" si="5"/>
        <v>0</v>
      </c>
      <c r="AJ68" s="416">
        <f t="shared" si="5"/>
        <v>7500</v>
      </c>
      <c r="AK68" s="416">
        <f t="shared" si="5"/>
        <v>0</v>
      </c>
      <c r="AL68" s="416">
        <f t="shared" si="5"/>
        <v>0</v>
      </c>
      <c r="AM68" s="416">
        <f t="shared" si="5"/>
        <v>0</v>
      </c>
      <c r="AN68" s="416">
        <f t="shared" si="5"/>
        <v>0</v>
      </c>
      <c r="AO68" s="416">
        <f t="shared" si="5"/>
        <v>0</v>
      </c>
      <c r="AP68" s="416">
        <f t="shared" si="5"/>
        <v>0</v>
      </c>
      <c r="AQ68" s="416">
        <f t="shared" si="5"/>
        <v>0</v>
      </c>
      <c r="AR68" s="416">
        <f t="shared" si="5"/>
        <v>0</v>
      </c>
      <c r="AS68" s="416">
        <f t="shared" si="5"/>
        <v>0</v>
      </c>
      <c r="AT68" s="416">
        <f t="shared" si="5"/>
        <v>0</v>
      </c>
      <c r="AU68" s="416">
        <f t="shared" si="5"/>
        <v>12587.058000000001</v>
      </c>
      <c r="AV68" s="416">
        <f t="shared" si="5"/>
        <v>0</v>
      </c>
      <c r="AW68" s="416">
        <f t="shared" si="5"/>
        <v>0</v>
      </c>
      <c r="AX68" s="416">
        <f t="shared" si="5"/>
        <v>0</v>
      </c>
      <c r="AY68" s="416">
        <f t="shared" si="5"/>
        <v>0</v>
      </c>
      <c r="AZ68" s="416">
        <f t="shared" si="5"/>
        <v>0</v>
      </c>
      <c r="BA68" s="416">
        <f>SUM(T68:AZ68)</f>
        <v>71800</v>
      </c>
    </row>
    <row r="69" spans="2:53">
      <c r="B69" s="1243" t="s">
        <v>558</v>
      </c>
      <c r="C69" s="1244"/>
      <c r="D69" s="1244"/>
      <c r="E69" s="1244"/>
      <c r="F69" s="1244"/>
      <c r="G69" s="1245"/>
      <c r="H69" s="420">
        <f>H68-L51</f>
        <v>0</v>
      </c>
      <c r="I69" s="294"/>
      <c r="J69" s="295"/>
      <c r="K69" s="295"/>
      <c r="L69" s="296"/>
      <c r="M69" s="32"/>
      <c r="N69" s="32"/>
      <c r="O69" s="32"/>
      <c r="P69" s="32"/>
      <c r="Q69" s="297"/>
      <c r="R69" s="297"/>
      <c r="S69" s="32"/>
      <c r="T69" s="48"/>
      <c r="U69" s="48"/>
      <c r="V69" s="48"/>
      <c r="W69" s="48"/>
      <c r="X69" s="48"/>
      <c r="Y69" s="48"/>
      <c r="Z69" s="48"/>
      <c r="AA69" s="48"/>
      <c r="AB69" s="48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</row>
    <row r="70" spans="2:53">
      <c r="B70" s="1243" t="s">
        <v>593</v>
      </c>
      <c r="C70" s="1244"/>
      <c r="D70" s="1244"/>
      <c r="E70" s="1244"/>
      <c r="F70" s="1244"/>
      <c r="G70" s="1245"/>
      <c r="H70" s="420">
        <f>H67-H68</f>
        <v>0</v>
      </c>
      <c r="I70" s="52"/>
      <c r="J70" s="53"/>
      <c r="K70" s="53"/>
      <c r="L70" s="54"/>
      <c r="M70" s="32"/>
      <c r="N70" s="32"/>
      <c r="O70" s="32"/>
      <c r="P70" s="32"/>
      <c r="Q70" s="32"/>
      <c r="R70" s="32"/>
      <c r="S70" s="32"/>
      <c r="T70" s="48"/>
      <c r="U70" s="48"/>
      <c r="V70" s="48"/>
      <c r="W70" s="48"/>
      <c r="X70" s="48"/>
      <c r="Y70" s="48"/>
      <c r="Z70" s="48"/>
      <c r="AA70" s="48"/>
      <c r="AB70" s="48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</row>
    <row r="71" spans="2:53">
      <c r="B71" s="201"/>
      <c r="C71" s="201"/>
      <c r="D71" s="201"/>
      <c r="E71" s="201"/>
      <c r="F71" s="201"/>
      <c r="G71" s="201"/>
      <c r="H71" s="201"/>
      <c r="I71" s="213"/>
      <c r="J71" s="209"/>
      <c r="K71" s="209"/>
      <c r="L71" s="203"/>
      <c r="M71" s="201"/>
      <c r="N71" s="201"/>
      <c r="O71" s="209"/>
      <c r="P71" s="32"/>
      <c r="Q71" s="32"/>
      <c r="R71" s="32"/>
      <c r="S71" s="32"/>
      <c r="T71" s="48"/>
      <c r="U71" s="48"/>
      <c r="V71" s="48"/>
      <c r="W71" s="48"/>
      <c r="X71" s="48"/>
      <c r="Y71" s="48"/>
      <c r="Z71" s="48"/>
      <c r="AA71" s="48"/>
      <c r="AB71" s="48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</row>
    <row r="72" spans="2:53">
      <c r="B72" s="40" t="s">
        <v>561</v>
      </c>
      <c r="C72" s="40"/>
      <c r="D72" s="32"/>
      <c r="E72" s="32"/>
      <c r="F72" s="32"/>
      <c r="G72" s="32"/>
      <c r="H72" s="32"/>
      <c r="I72" s="32"/>
      <c r="J72" s="52"/>
      <c r="K72" s="52"/>
      <c r="L72" s="55"/>
      <c r="M72" s="32"/>
      <c r="N72" s="201"/>
      <c r="O72" s="5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1"/>
      <c r="AR72" s="201"/>
      <c r="AS72" s="201"/>
      <c r="AT72" s="201"/>
      <c r="AU72" s="201"/>
      <c r="BA72" s="201"/>
    </row>
    <row r="73" spans="2:53">
      <c r="B73" s="422">
        <v>1</v>
      </c>
      <c r="C73" s="1249" t="s">
        <v>594</v>
      </c>
      <c r="D73" s="1249"/>
      <c r="E73" s="1249"/>
      <c r="F73" s="1249"/>
      <c r="G73" s="1249"/>
      <c r="H73" s="1249"/>
      <c r="I73" s="1249"/>
      <c r="J73" s="1249"/>
      <c r="K73" s="1249"/>
      <c r="L73" s="203"/>
      <c r="M73" s="201"/>
      <c r="N73" s="201"/>
      <c r="O73" s="209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  <c r="AR73" s="201"/>
      <c r="AS73" s="201"/>
      <c r="AT73" s="201"/>
      <c r="AU73" s="201"/>
      <c r="BA73" s="201"/>
    </row>
    <row r="74" spans="2:53">
      <c r="B74" s="422">
        <v>2</v>
      </c>
      <c r="C74" s="1249" t="s">
        <v>595</v>
      </c>
      <c r="D74" s="1249"/>
      <c r="E74" s="1249"/>
      <c r="F74" s="1249"/>
      <c r="G74" s="1249"/>
      <c r="H74" s="1249"/>
      <c r="I74" s="1249"/>
      <c r="J74" s="1249"/>
      <c r="K74" s="1249"/>
      <c r="L74" s="203"/>
      <c r="M74" s="201"/>
      <c r="N74" s="201"/>
      <c r="O74" s="209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BA74" s="201"/>
    </row>
    <row r="75" spans="2:53">
      <c r="B75" s="422">
        <v>3</v>
      </c>
      <c r="C75" s="1249" t="s">
        <v>596</v>
      </c>
      <c r="D75" s="1249"/>
      <c r="E75" s="1249"/>
      <c r="F75" s="1249"/>
      <c r="G75" s="1249"/>
      <c r="H75" s="1249"/>
      <c r="I75" s="1249"/>
      <c r="J75" s="1249"/>
      <c r="K75" s="1249"/>
      <c r="L75" s="203"/>
      <c r="M75" s="201"/>
      <c r="N75" s="201"/>
      <c r="O75" s="209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  <c r="AR75" s="201"/>
      <c r="AS75" s="201"/>
      <c r="AT75" s="201"/>
      <c r="AU75" s="201"/>
      <c r="AV75" s="201"/>
      <c r="AW75" s="201"/>
      <c r="AX75" s="201"/>
      <c r="AY75" s="201"/>
      <c r="AZ75" s="201"/>
      <c r="BA75" s="201"/>
    </row>
    <row r="76" spans="2:53">
      <c r="B76" s="422">
        <v>4</v>
      </c>
      <c r="C76" s="1249" t="s">
        <v>597</v>
      </c>
      <c r="D76" s="1249"/>
      <c r="E76" s="1249"/>
      <c r="F76" s="1249"/>
      <c r="G76" s="1249"/>
      <c r="H76" s="1249"/>
      <c r="I76" s="1249"/>
      <c r="J76" s="1249"/>
      <c r="K76" s="1249"/>
      <c r="L76" s="203"/>
      <c r="M76" s="201"/>
      <c r="N76" s="201"/>
      <c r="O76" s="209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  <c r="AR76" s="201"/>
      <c r="AS76" s="201"/>
      <c r="AT76" s="201"/>
      <c r="AU76" s="201"/>
      <c r="AV76" s="201"/>
      <c r="AW76" s="201"/>
      <c r="AX76" s="201"/>
      <c r="AY76" s="201"/>
      <c r="AZ76" s="201"/>
      <c r="BA76" s="201"/>
    </row>
    <row r="77" spans="2:53">
      <c r="B77" s="422">
        <v>5</v>
      </c>
      <c r="C77" s="1249" t="s">
        <v>598</v>
      </c>
      <c r="D77" s="1249"/>
      <c r="E77" s="1249"/>
      <c r="F77" s="1249"/>
      <c r="G77" s="1249"/>
      <c r="H77" s="1249"/>
      <c r="I77" s="1249"/>
      <c r="J77" s="1249"/>
      <c r="K77" s="1249"/>
      <c r="L77" s="203"/>
      <c r="M77" s="201"/>
      <c r="N77" s="201"/>
      <c r="O77" s="209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  <c r="AP77" s="201"/>
      <c r="AQ77" s="201"/>
      <c r="AR77" s="201"/>
      <c r="AS77" s="201"/>
      <c r="AT77" s="201"/>
      <c r="AU77" s="201"/>
      <c r="AV77" s="201"/>
      <c r="AW77" s="201"/>
      <c r="AX77" s="201"/>
      <c r="AY77" s="201"/>
      <c r="AZ77" s="201"/>
      <c r="BA77" s="201"/>
    </row>
    <row r="79" spans="2:53">
      <c r="B79" s="28" t="s">
        <v>2</v>
      </c>
      <c r="C79" s="28"/>
      <c r="D79" s="29"/>
      <c r="E79" s="30" t="s">
        <v>511</v>
      </c>
      <c r="F79" s="31" t="s">
        <v>599</v>
      </c>
      <c r="G79" s="32"/>
      <c r="H79" s="33"/>
      <c r="I79" s="34"/>
      <c r="J79" s="35" t="s">
        <v>513</v>
      </c>
      <c r="K79" s="36" t="s">
        <v>511</v>
      </c>
      <c r="L79" s="37">
        <v>44934.791666666664</v>
      </c>
      <c r="M79" s="32"/>
      <c r="N79" s="32"/>
      <c r="O79" s="206"/>
      <c r="P79" s="205"/>
      <c r="Q79" s="202"/>
      <c r="R79" s="204"/>
      <c r="S79" s="38"/>
      <c r="T79" s="201"/>
      <c r="U79" s="201"/>
      <c r="V79" s="201"/>
      <c r="W79" s="201"/>
      <c r="X79" s="201"/>
      <c r="Y79" s="201"/>
      <c r="Z79" s="201"/>
      <c r="AA79" s="201"/>
      <c r="AB79" s="202"/>
      <c r="AC79" s="202"/>
      <c r="AD79" s="202"/>
      <c r="AE79" s="202"/>
      <c r="AF79" s="202"/>
      <c r="AG79" s="201"/>
      <c r="AH79" s="201"/>
      <c r="AI79" s="201"/>
      <c r="AJ79" s="201"/>
      <c r="AK79" s="201"/>
      <c r="AL79" s="201"/>
      <c r="AM79" s="201"/>
      <c r="AN79" s="201"/>
      <c r="AO79" s="201"/>
      <c r="AP79" s="201"/>
      <c r="AQ79" s="201"/>
      <c r="AR79" s="201"/>
      <c r="AS79" s="201"/>
      <c r="AT79" s="201"/>
      <c r="AU79" s="201"/>
      <c r="AV79" s="201"/>
      <c r="AW79" s="201"/>
      <c r="AX79" s="201"/>
      <c r="AY79" s="201"/>
      <c r="AZ79" s="201"/>
      <c r="BA79" s="201"/>
    </row>
    <row r="80" spans="2:53">
      <c r="B80" s="35" t="s">
        <v>514</v>
      </c>
      <c r="C80" s="35"/>
      <c r="D80" s="32"/>
      <c r="E80" s="36" t="s">
        <v>511</v>
      </c>
      <c r="F80" s="37" t="s">
        <v>600</v>
      </c>
      <c r="G80" s="32"/>
      <c r="H80" s="33"/>
      <c r="I80" s="34"/>
      <c r="J80" s="35" t="s">
        <v>516</v>
      </c>
      <c r="K80" s="36" t="s">
        <v>511</v>
      </c>
      <c r="L80" s="37">
        <v>44936.484027777777</v>
      </c>
      <c r="M80" s="32"/>
      <c r="N80" s="32"/>
      <c r="O80" s="206"/>
      <c r="P80" s="205"/>
      <c r="Q80" s="202"/>
      <c r="R80" s="204"/>
      <c r="S80" s="38"/>
      <c r="T80" s="201"/>
      <c r="U80" s="201"/>
      <c r="V80" s="201"/>
      <c r="W80" s="201"/>
      <c r="X80" s="201"/>
      <c r="Y80" s="201"/>
      <c r="Z80" s="201"/>
      <c r="AA80" s="201"/>
      <c r="AB80" s="202"/>
      <c r="AC80" s="202"/>
      <c r="AD80" s="202"/>
      <c r="AE80" s="202"/>
      <c r="AF80" s="202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  <c r="BA80" s="201"/>
    </row>
    <row r="81" spans="2:53">
      <c r="B81" s="35" t="s">
        <v>517</v>
      </c>
      <c r="C81" s="35"/>
      <c r="D81" s="32"/>
      <c r="E81" s="36" t="s">
        <v>511</v>
      </c>
      <c r="F81" s="37">
        <v>44926.758333333331</v>
      </c>
      <c r="G81" s="32"/>
      <c r="H81" s="33"/>
      <c r="I81" s="34"/>
      <c r="J81" s="35" t="s">
        <v>518</v>
      </c>
      <c r="K81" s="36" t="s">
        <v>511</v>
      </c>
      <c r="L81" s="50">
        <v>58500</v>
      </c>
      <c r="M81" s="40" t="s">
        <v>519</v>
      </c>
      <c r="N81" s="40"/>
      <c r="O81" s="206"/>
      <c r="P81" s="205"/>
      <c r="Q81" s="202"/>
      <c r="R81" s="204"/>
      <c r="S81" s="38"/>
      <c r="T81" s="201"/>
      <c r="U81" s="201"/>
      <c r="V81" s="201"/>
      <c r="W81" s="201"/>
      <c r="X81" s="201"/>
      <c r="Y81" s="201"/>
      <c r="Z81" s="201"/>
      <c r="AA81" s="201"/>
      <c r="AB81" s="202"/>
      <c r="AC81" s="202"/>
      <c r="AD81" s="202"/>
      <c r="AE81" s="202"/>
      <c r="AF81" s="202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  <c r="AR81" s="201"/>
      <c r="AS81" s="201"/>
      <c r="AT81" s="201"/>
      <c r="AU81" s="201"/>
      <c r="AV81" s="201"/>
      <c r="AW81" s="201"/>
      <c r="AX81" s="201"/>
      <c r="AY81" s="201"/>
      <c r="AZ81" s="201"/>
      <c r="BA81" s="201"/>
    </row>
    <row r="82" spans="2:53">
      <c r="B82" s="35" t="s">
        <v>520</v>
      </c>
      <c r="C82" s="35"/>
      <c r="D82" s="32"/>
      <c r="E82" s="36" t="s">
        <v>511</v>
      </c>
      <c r="F82" s="37" t="s">
        <v>20</v>
      </c>
      <c r="G82" s="32"/>
      <c r="H82" s="33"/>
      <c r="I82" s="34"/>
      <c r="J82" s="35" t="s">
        <v>521</v>
      </c>
      <c r="K82" s="36" t="s">
        <v>511</v>
      </c>
      <c r="L82" s="41" t="s">
        <v>601</v>
      </c>
      <c r="M82" s="32"/>
      <c r="N82" s="32"/>
      <c r="O82" s="206"/>
      <c r="P82" s="202"/>
      <c r="Q82" s="202"/>
      <c r="R82" s="204"/>
      <c r="S82" s="38"/>
      <c r="T82" s="201"/>
      <c r="U82" s="201"/>
      <c r="V82" s="201"/>
      <c r="W82" s="201"/>
      <c r="X82" s="201"/>
      <c r="Y82" s="201"/>
      <c r="Z82" s="201"/>
      <c r="AA82" s="201"/>
      <c r="AB82" s="202"/>
      <c r="AC82" s="202"/>
      <c r="AD82" s="202"/>
      <c r="AE82" s="202"/>
      <c r="AF82" s="202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  <c r="AT82" s="201"/>
      <c r="AU82" s="201"/>
      <c r="AV82" s="201"/>
      <c r="AW82" s="201"/>
      <c r="AX82" s="201"/>
      <c r="AY82" s="201"/>
      <c r="AZ82" s="201"/>
      <c r="BA82" s="201"/>
    </row>
    <row r="83" spans="2:53">
      <c r="B83" s="35" t="s">
        <v>523</v>
      </c>
      <c r="C83" s="35"/>
      <c r="D83" s="32"/>
      <c r="E83" s="36" t="s">
        <v>511</v>
      </c>
      <c r="F83" s="37" t="s">
        <v>47</v>
      </c>
      <c r="G83" s="32"/>
      <c r="H83" s="33"/>
      <c r="I83" s="34"/>
      <c r="J83" s="42" t="s">
        <v>524</v>
      </c>
      <c r="K83" s="36" t="s">
        <v>511</v>
      </c>
      <c r="L83" s="43" t="s">
        <v>15</v>
      </c>
      <c r="M83" s="44"/>
      <c r="N83" s="44"/>
      <c r="O83" s="206"/>
      <c r="P83" s="205"/>
      <c r="Q83" s="202"/>
      <c r="R83" s="204"/>
      <c r="S83" s="38"/>
      <c r="T83" s="201"/>
      <c r="U83" s="201"/>
      <c r="V83" s="201"/>
      <c r="W83" s="201"/>
      <c r="X83" s="201"/>
      <c r="Y83" s="201"/>
      <c r="Z83" s="201"/>
      <c r="AA83" s="201"/>
      <c r="AB83" s="202"/>
      <c r="AC83" s="202"/>
      <c r="AD83" s="202"/>
      <c r="AE83" s="202"/>
      <c r="AF83" s="202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  <c r="AQ83" s="201"/>
      <c r="AR83" s="201"/>
      <c r="AS83" s="201"/>
      <c r="AT83" s="201"/>
      <c r="AU83" s="201"/>
      <c r="AV83" s="201"/>
      <c r="AW83" s="201"/>
      <c r="AX83" s="201"/>
      <c r="AY83" s="201"/>
      <c r="AZ83" s="201"/>
      <c r="BA83" s="201"/>
    </row>
    <row r="84" spans="2:53">
      <c r="B84" s="35" t="s">
        <v>2</v>
      </c>
      <c r="C84" s="35"/>
      <c r="D84" s="32"/>
      <c r="E84" s="36" t="s">
        <v>511</v>
      </c>
      <c r="F84" s="37" t="s">
        <v>18</v>
      </c>
      <c r="G84" s="32"/>
      <c r="H84" s="33"/>
      <c r="I84" s="45"/>
      <c r="J84" s="42"/>
      <c r="K84" s="36"/>
      <c r="L84" s="211"/>
      <c r="M84" s="201"/>
      <c r="N84" s="201"/>
      <c r="O84" s="42"/>
      <c r="P84" s="44"/>
      <c r="Q84" s="44"/>
      <c r="R84" s="44"/>
      <c r="S84" s="34"/>
      <c r="T84" s="201"/>
      <c r="U84" s="201"/>
      <c r="V84" s="201"/>
      <c r="W84" s="201"/>
      <c r="X84" s="201"/>
      <c r="Y84" s="201"/>
      <c r="Z84" s="201"/>
      <c r="AA84" s="201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201"/>
      <c r="AP84" s="201"/>
      <c r="AQ84" s="201"/>
      <c r="AR84" s="201"/>
      <c r="AS84" s="201"/>
      <c r="AT84" s="201"/>
      <c r="AU84" s="201"/>
      <c r="AV84" s="201"/>
      <c r="AW84" s="201"/>
      <c r="AX84" s="201"/>
      <c r="AY84" s="201"/>
      <c r="AZ84" s="201"/>
      <c r="BA84" s="201"/>
    </row>
    <row r="85" spans="2:53">
      <c r="B85" s="201"/>
      <c r="C85" s="201"/>
      <c r="D85" s="201"/>
      <c r="E85" s="201"/>
      <c r="F85" s="201"/>
      <c r="G85" s="201"/>
      <c r="H85" s="201"/>
      <c r="I85" s="45"/>
      <c r="J85" s="42"/>
      <c r="K85" s="42"/>
      <c r="L85" s="43"/>
      <c r="M85" s="44"/>
      <c r="N85" s="44"/>
      <c r="O85" s="42"/>
      <c r="P85" s="44"/>
      <c r="Q85" s="44"/>
      <c r="R85" s="44"/>
      <c r="S85" s="34"/>
      <c r="T85" s="1265" t="s">
        <v>87</v>
      </c>
      <c r="U85" s="1265"/>
      <c r="V85" s="1265"/>
      <c r="W85" s="1265"/>
      <c r="X85" s="1265"/>
      <c r="Y85" s="1265" t="s">
        <v>73</v>
      </c>
      <c r="Z85" s="1265"/>
      <c r="AA85" s="1265"/>
      <c r="AB85" s="1265" t="s">
        <v>74</v>
      </c>
      <c r="AC85" s="1265"/>
      <c r="AD85" s="423" t="s">
        <v>85</v>
      </c>
      <c r="AE85" s="423" t="s">
        <v>77</v>
      </c>
      <c r="AF85" s="1271" t="s">
        <v>525</v>
      </c>
      <c r="AG85" s="1272"/>
      <c r="AH85" s="1272"/>
      <c r="AI85" s="1272"/>
      <c r="AJ85" s="1272"/>
      <c r="AK85" s="1272"/>
      <c r="AL85" s="1272"/>
      <c r="AM85" s="1272"/>
      <c r="AN85" s="1272"/>
      <c r="AO85" s="1272"/>
      <c r="AP85" s="1272"/>
      <c r="AQ85" s="1272"/>
      <c r="AR85" s="1272"/>
      <c r="AS85" s="1272"/>
      <c r="AT85" s="1272"/>
      <c r="AU85" s="1272"/>
      <c r="AV85" s="1272"/>
      <c r="AW85" s="1272"/>
      <c r="AX85" s="1272"/>
      <c r="AY85" s="1272"/>
      <c r="AZ85" s="1272"/>
      <c r="BA85" s="201"/>
    </row>
    <row r="86" spans="2:53">
      <c r="B86" s="1266" t="s">
        <v>526</v>
      </c>
      <c r="C86" s="1267"/>
      <c r="D86" s="570" t="s">
        <v>527</v>
      </c>
      <c r="E86" s="570"/>
      <c r="F86" s="570" t="s">
        <v>528</v>
      </c>
      <c r="G86" s="570" t="s">
        <v>529</v>
      </c>
      <c r="H86" s="570" t="s">
        <v>530</v>
      </c>
      <c r="I86" s="570" t="s">
        <v>531</v>
      </c>
      <c r="J86" s="570" t="s">
        <v>532</v>
      </c>
      <c r="K86" s="570"/>
      <c r="L86" s="570" t="s">
        <v>130</v>
      </c>
      <c r="M86" s="570" t="s">
        <v>533</v>
      </c>
      <c r="N86" s="408" t="str">
        <f>"On time - "&amp;COUNTIF(N87:N96,"On time")&amp;" from "&amp;ROWS(N87:N96)-COUNTIF(N87:N96," ")</f>
        <v>On time - 2 from 9</v>
      </c>
      <c r="O86" s="46"/>
      <c r="P86" s="409" t="s">
        <v>534</v>
      </c>
      <c r="Q86" s="409" t="s">
        <v>535</v>
      </c>
      <c r="R86" s="409" t="s">
        <v>536</v>
      </c>
      <c r="S86" s="32"/>
      <c r="T86" s="424" t="s">
        <v>537</v>
      </c>
      <c r="U86" s="424" t="s">
        <v>538</v>
      </c>
      <c r="V86" s="424" t="s">
        <v>539</v>
      </c>
      <c r="W86" s="424" t="s">
        <v>540</v>
      </c>
      <c r="X86" s="424" t="s">
        <v>541</v>
      </c>
      <c r="Y86" s="424" t="s">
        <v>167</v>
      </c>
      <c r="Z86" s="424" t="s">
        <v>168</v>
      </c>
      <c r="AA86" s="424" t="s">
        <v>169</v>
      </c>
      <c r="AB86" s="424" t="s">
        <v>235</v>
      </c>
      <c r="AC86" s="424" t="s">
        <v>542</v>
      </c>
      <c r="AD86" s="423" t="s">
        <v>85</v>
      </c>
      <c r="AE86" s="424" t="s">
        <v>139</v>
      </c>
      <c r="AF86" s="424" t="s">
        <v>72</v>
      </c>
      <c r="AG86" s="424" t="s">
        <v>88</v>
      </c>
      <c r="AH86" s="424" t="s">
        <v>75</v>
      </c>
      <c r="AI86" s="424" t="s">
        <v>543</v>
      </c>
      <c r="AJ86" s="424" t="s">
        <v>78</v>
      </c>
      <c r="AK86" s="424" t="s">
        <v>76</v>
      </c>
      <c r="AL86" s="424" t="s">
        <v>544</v>
      </c>
      <c r="AM86" s="424" t="s">
        <v>545</v>
      </c>
      <c r="AN86" s="424" t="s">
        <v>86</v>
      </c>
      <c r="AO86" s="424" t="s">
        <v>83</v>
      </c>
      <c r="AP86" s="424" t="s">
        <v>84</v>
      </c>
      <c r="AQ86" s="424" t="s">
        <v>546</v>
      </c>
      <c r="AR86" s="424" t="s">
        <v>81</v>
      </c>
      <c r="AS86" s="424" t="s">
        <v>80</v>
      </c>
      <c r="AT86" s="424" t="s">
        <v>82</v>
      </c>
      <c r="AU86" s="424" t="s">
        <v>181</v>
      </c>
      <c r="AV86" s="424" t="s">
        <v>183</v>
      </c>
      <c r="AW86" s="424" t="s">
        <v>547</v>
      </c>
      <c r="AX86" s="424" t="s">
        <v>182</v>
      </c>
      <c r="AY86" s="424" t="s">
        <v>172</v>
      </c>
      <c r="AZ86" s="424" t="s">
        <v>173</v>
      </c>
      <c r="BA86" s="201"/>
    </row>
    <row r="87" spans="2:53">
      <c r="B87" s="1256">
        <v>1</v>
      </c>
      <c r="C87" s="1257"/>
      <c r="D87" s="411" t="s">
        <v>602</v>
      </c>
      <c r="E87" s="411"/>
      <c r="F87" s="411" t="s">
        <v>319</v>
      </c>
      <c r="G87" s="411" t="s">
        <v>331</v>
      </c>
      <c r="H87" s="412">
        <v>7574.6319999999996</v>
      </c>
      <c r="I87" s="413" t="s">
        <v>235</v>
      </c>
      <c r="J87" s="414">
        <v>44911.791666666664</v>
      </c>
      <c r="K87" s="414"/>
      <c r="L87" s="414" t="s">
        <v>192</v>
      </c>
      <c r="M87" s="414" t="s">
        <v>192</v>
      </c>
      <c r="N87" s="413" t="str">
        <f t="shared" ref="N87:N94" si="6">IF(ISBLANK(J87)," ",IF(J87&lt;$F$81,"On time",(IF(DAY(J87-$F$81)&lt;1,"On time",(IF(J87&gt;$F$81,"DELAY ( "&amp;DAY(J87-$F$81)&amp;" day "&amp;HOUR(J87-$F$81)&amp;" hour "&amp;MINUTE(J87-$F$81)&amp;" minute )","xxx"))))))</f>
        <v>On time</v>
      </c>
      <c r="O87" s="51"/>
      <c r="P87" s="415" t="s">
        <v>551</v>
      </c>
      <c r="Q87" s="415" t="s">
        <v>551</v>
      </c>
      <c r="R87" s="415" t="s">
        <v>551</v>
      </c>
      <c r="S87" s="32"/>
      <c r="T87" s="416"/>
      <c r="U87" s="416"/>
      <c r="V87" s="416" t="s">
        <v>603</v>
      </c>
      <c r="W87" s="416"/>
      <c r="X87" s="416"/>
      <c r="Y87" s="416"/>
      <c r="Z87" s="416"/>
      <c r="AA87" s="416"/>
      <c r="AB87" s="416">
        <f>H87</f>
        <v>7574.6319999999996</v>
      </c>
      <c r="AC87" s="416"/>
      <c r="AD87" s="416"/>
      <c r="AE87" s="416"/>
      <c r="AF87" s="416"/>
      <c r="AG87" s="416"/>
      <c r="AH87" s="416"/>
      <c r="AI87" s="416"/>
      <c r="AJ87" s="416"/>
      <c r="AK87" s="416"/>
      <c r="AL87" s="416"/>
      <c r="AM87" s="416"/>
      <c r="AN87" s="416"/>
      <c r="AO87" s="416"/>
      <c r="AP87" s="416"/>
      <c r="AQ87" s="416"/>
      <c r="AR87" s="416"/>
      <c r="AS87" s="416"/>
      <c r="AT87" s="416"/>
      <c r="AU87" s="416"/>
      <c r="AV87" s="416"/>
      <c r="AW87" s="416"/>
      <c r="AX87" s="416"/>
      <c r="AY87" s="416"/>
      <c r="AZ87" s="416"/>
      <c r="BA87" s="32"/>
    </row>
    <row r="88" spans="2:53">
      <c r="B88" s="1256">
        <v>2</v>
      </c>
      <c r="C88" s="1257"/>
      <c r="D88" s="411" t="s">
        <v>592</v>
      </c>
      <c r="E88" s="411"/>
      <c r="F88" s="411" t="s">
        <v>271</v>
      </c>
      <c r="G88" s="411" t="s">
        <v>272</v>
      </c>
      <c r="H88" s="412">
        <v>1251.729</v>
      </c>
      <c r="I88" s="413" t="s">
        <v>235</v>
      </c>
      <c r="J88" s="414">
        <v>44911.798611111109</v>
      </c>
      <c r="K88" s="414"/>
      <c r="L88" s="414" t="s">
        <v>192</v>
      </c>
      <c r="M88" s="414" t="s">
        <v>192</v>
      </c>
      <c r="N88" s="413" t="str">
        <f t="shared" si="6"/>
        <v>On time</v>
      </c>
      <c r="O88" s="51"/>
      <c r="P88" s="415" t="s">
        <v>551</v>
      </c>
      <c r="Q88" s="415" t="s">
        <v>551</v>
      </c>
      <c r="R88" s="415" t="s">
        <v>551</v>
      </c>
      <c r="S88" s="32"/>
      <c r="T88" s="416"/>
      <c r="U88" s="416"/>
      <c r="V88" s="416"/>
      <c r="W88" s="416"/>
      <c r="X88" s="416"/>
      <c r="Y88" s="416"/>
      <c r="Z88" s="416"/>
      <c r="AA88" s="416"/>
      <c r="AB88" s="416">
        <f>H88</f>
        <v>1251.729</v>
      </c>
      <c r="AC88" s="416"/>
      <c r="AD88" s="416"/>
      <c r="AE88" s="416"/>
      <c r="AF88" s="416"/>
      <c r="AG88" s="416"/>
      <c r="AH88" s="416"/>
      <c r="AI88" s="416"/>
      <c r="AJ88" s="416"/>
      <c r="AK88" s="416"/>
      <c r="AL88" s="416"/>
      <c r="AM88" s="416"/>
      <c r="AN88" s="416"/>
      <c r="AO88" s="416"/>
      <c r="AP88" s="416"/>
      <c r="AQ88" s="416"/>
      <c r="AR88" s="416"/>
      <c r="AS88" s="416"/>
      <c r="AT88" s="416"/>
      <c r="AU88" s="416"/>
      <c r="AV88" s="416"/>
      <c r="AW88" s="416"/>
      <c r="AX88" s="416"/>
      <c r="AY88" s="416"/>
      <c r="AZ88" s="416"/>
      <c r="BA88" s="32"/>
    </row>
    <row r="89" spans="2:53">
      <c r="B89" s="1256">
        <v>3</v>
      </c>
      <c r="C89" s="1257"/>
      <c r="D89" s="411" t="s">
        <v>604</v>
      </c>
      <c r="E89" s="411"/>
      <c r="F89" s="411" t="s">
        <v>437</v>
      </c>
      <c r="G89" s="411" t="s">
        <v>438</v>
      </c>
      <c r="H89" s="412">
        <v>7654.768</v>
      </c>
      <c r="I89" s="413" t="s">
        <v>235</v>
      </c>
      <c r="J89" s="414">
        <v>44928.3125</v>
      </c>
      <c r="K89" s="414"/>
      <c r="L89" s="414" t="s">
        <v>192</v>
      </c>
      <c r="M89" s="414" t="s">
        <v>192</v>
      </c>
      <c r="N89" s="413" t="str">
        <f t="shared" si="6"/>
        <v>DELAY ( 1 day 13 hour 18 minute )</v>
      </c>
      <c r="O89" s="51"/>
      <c r="P89" s="415" t="s">
        <v>551</v>
      </c>
      <c r="Q89" s="415" t="s">
        <v>551</v>
      </c>
      <c r="R89" s="415" t="s">
        <v>551</v>
      </c>
      <c r="S89" s="32"/>
      <c r="T89" s="416"/>
      <c r="U89" s="416"/>
      <c r="V89" s="416"/>
      <c r="W89" s="416"/>
      <c r="X89" s="416"/>
      <c r="Y89" s="416"/>
      <c r="Z89" s="416"/>
      <c r="AA89" s="416"/>
      <c r="AB89" s="416">
        <f>H89</f>
        <v>7654.768</v>
      </c>
      <c r="AC89" s="416"/>
      <c r="AD89" s="416"/>
      <c r="AE89" s="416"/>
      <c r="AF89" s="416"/>
      <c r="AG89" s="416"/>
      <c r="AH89" s="416"/>
      <c r="AI89" s="416"/>
      <c r="AJ89" s="416"/>
      <c r="AK89" s="416"/>
      <c r="AL89" s="416"/>
      <c r="AM89" s="416"/>
      <c r="AN89" s="416"/>
      <c r="AO89" s="416"/>
      <c r="AP89" s="416"/>
      <c r="AQ89" s="416"/>
      <c r="AR89" s="416"/>
      <c r="AS89" s="416"/>
      <c r="AT89" s="416"/>
      <c r="AU89" s="416"/>
      <c r="AV89" s="416"/>
      <c r="AW89" s="416"/>
      <c r="AX89" s="416"/>
      <c r="AY89" s="416"/>
      <c r="AZ89" s="416"/>
      <c r="BA89" s="32"/>
    </row>
    <row r="90" spans="2:53">
      <c r="B90" s="1256">
        <v>4</v>
      </c>
      <c r="C90" s="1257"/>
      <c r="D90" s="411" t="s">
        <v>605</v>
      </c>
      <c r="E90" s="411"/>
      <c r="F90" s="411" t="s">
        <v>314</v>
      </c>
      <c r="G90" s="411" t="s">
        <v>315</v>
      </c>
      <c r="H90" s="412">
        <v>7500</v>
      </c>
      <c r="I90" s="413" t="s">
        <v>78</v>
      </c>
      <c r="J90" s="414">
        <v>44928.34375</v>
      </c>
      <c r="K90" s="414"/>
      <c r="L90" s="414" t="s">
        <v>192</v>
      </c>
      <c r="M90" s="414" t="s">
        <v>192</v>
      </c>
      <c r="N90" s="413" t="str">
        <f t="shared" si="6"/>
        <v>DELAY ( 1 day 14 hour 3 minute )</v>
      </c>
      <c r="O90" s="51"/>
      <c r="P90" s="415" t="s">
        <v>551</v>
      </c>
      <c r="Q90" s="415" t="s">
        <v>551</v>
      </c>
      <c r="R90" s="415" t="s">
        <v>551</v>
      </c>
      <c r="S90" s="32"/>
      <c r="T90" s="416"/>
      <c r="U90" s="416"/>
      <c r="V90" s="416"/>
      <c r="W90" s="416"/>
      <c r="X90" s="416"/>
      <c r="Y90" s="416"/>
      <c r="Z90" s="416"/>
      <c r="AA90" s="416"/>
      <c r="AB90" s="416"/>
      <c r="AC90" s="416"/>
      <c r="AD90" s="416"/>
      <c r="AE90" s="416"/>
      <c r="AF90" s="416"/>
      <c r="AG90" s="416"/>
      <c r="AH90" s="416"/>
      <c r="AI90" s="416"/>
      <c r="AJ90" s="416">
        <f>H90</f>
        <v>7500</v>
      </c>
      <c r="AK90" s="416"/>
      <c r="AL90" s="416"/>
      <c r="AM90" s="416"/>
      <c r="AN90" s="416"/>
      <c r="AO90" s="416"/>
      <c r="AP90" s="416"/>
      <c r="AQ90" s="416"/>
      <c r="AR90" s="416"/>
      <c r="AS90" s="416"/>
      <c r="AT90" s="416"/>
      <c r="AU90" s="416"/>
      <c r="AV90" s="416"/>
      <c r="AW90" s="416"/>
      <c r="AX90" s="416"/>
      <c r="AY90" s="416"/>
      <c r="AZ90" s="416"/>
      <c r="BA90" s="32"/>
    </row>
    <row r="91" spans="2:53">
      <c r="B91" s="1256">
        <v>5</v>
      </c>
      <c r="C91" s="1257"/>
      <c r="D91" s="411" t="s">
        <v>606</v>
      </c>
      <c r="E91" s="411"/>
      <c r="F91" s="411" t="s">
        <v>505</v>
      </c>
      <c r="G91" s="411" t="s">
        <v>506</v>
      </c>
      <c r="H91" s="412">
        <v>7609.2179999999998</v>
      </c>
      <c r="I91" s="413" t="s">
        <v>240</v>
      </c>
      <c r="J91" s="414">
        <v>44929.350694444445</v>
      </c>
      <c r="K91" s="414"/>
      <c r="L91" s="414" t="s">
        <v>192</v>
      </c>
      <c r="M91" s="414" t="s">
        <v>192</v>
      </c>
      <c r="N91" s="413" t="str">
        <f t="shared" si="6"/>
        <v>DELAY ( 2 day 14 hour 13 minute )</v>
      </c>
      <c r="O91" s="51"/>
      <c r="P91" s="415" t="s">
        <v>551</v>
      </c>
      <c r="Q91" s="415" t="s">
        <v>551</v>
      </c>
      <c r="R91" s="415" t="s">
        <v>551</v>
      </c>
      <c r="S91" s="32"/>
      <c r="T91" s="416"/>
      <c r="U91" s="416"/>
      <c r="V91" s="416"/>
      <c r="W91" s="416"/>
      <c r="X91" s="416"/>
      <c r="Y91" s="416"/>
      <c r="Z91" s="416"/>
      <c r="AA91" s="416"/>
      <c r="AB91" s="416"/>
      <c r="AC91" s="416">
        <f>H91</f>
        <v>7609.2179999999998</v>
      </c>
      <c r="AD91" s="416"/>
      <c r="AE91" s="416"/>
      <c r="AF91" s="416"/>
      <c r="AG91" s="416"/>
      <c r="AH91" s="416"/>
      <c r="AI91" s="416"/>
      <c r="AJ91" s="416"/>
      <c r="AK91" s="416"/>
      <c r="AL91" s="416"/>
      <c r="AM91" s="416"/>
      <c r="AN91" s="416"/>
      <c r="AO91" s="416"/>
      <c r="AP91" s="416"/>
      <c r="AQ91" s="416"/>
      <c r="AR91" s="416"/>
      <c r="AS91" s="416"/>
      <c r="AT91" s="416"/>
      <c r="AU91" s="416"/>
      <c r="AV91" s="416"/>
      <c r="AW91" s="416"/>
      <c r="AX91" s="416"/>
      <c r="AY91" s="416"/>
      <c r="AZ91" s="416"/>
      <c r="BA91" s="32"/>
    </row>
    <row r="92" spans="2:53">
      <c r="B92" s="1256">
        <v>6</v>
      </c>
      <c r="C92" s="1257"/>
      <c r="D92" s="411" t="s">
        <v>607</v>
      </c>
      <c r="E92" s="411"/>
      <c r="F92" s="411" t="s">
        <v>213</v>
      </c>
      <c r="G92" s="411" t="s">
        <v>214</v>
      </c>
      <c r="H92" s="412">
        <v>7574.3879999999999</v>
      </c>
      <c r="I92" s="413" t="s">
        <v>235</v>
      </c>
      <c r="J92" s="414">
        <v>44928.0625</v>
      </c>
      <c r="K92" s="414"/>
      <c r="L92" s="414" t="s">
        <v>192</v>
      </c>
      <c r="M92" s="414" t="s">
        <v>192</v>
      </c>
      <c r="N92" s="413" t="str">
        <f t="shared" si="6"/>
        <v>DELAY ( 1 day 7 hour 18 minute )</v>
      </c>
      <c r="O92" s="51"/>
      <c r="P92" s="415" t="s">
        <v>551</v>
      </c>
      <c r="Q92" s="415" t="s">
        <v>551</v>
      </c>
      <c r="R92" s="415" t="s">
        <v>551</v>
      </c>
      <c r="S92" s="32"/>
      <c r="T92" s="416"/>
      <c r="U92" s="416"/>
      <c r="V92" s="416"/>
      <c r="W92" s="416"/>
      <c r="X92" s="416"/>
      <c r="Y92" s="416"/>
      <c r="Z92" s="416"/>
      <c r="AA92" s="416"/>
      <c r="AB92" s="416">
        <f>H92</f>
        <v>7574.3879999999999</v>
      </c>
      <c r="AC92" s="416"/>
      <c r="AD92" s="416"/>
      <c r="AE92" s="416"/>
      <c r="AF92" s="416"/>
      <c r="AG92" s="416"/>
      <c r="AH92" s="416"/>
      <c r="AI92" s="416"/>
      <c r="AJ92" s="416"/>
      <c r="AK92" s="416"/>
      <c r="AL92" s="416"/>
      <c r="AM92" s="416"/>
      <c r="AN92" s="416"/>
      <c r="AO92" s="416"/>
      <c r="AP92" s="416"/>
      <c r="AQ92" s="416"/>
      <c r="AR92" s="416"/>
      <c r="AS92" s="416"/>
      <c r="AT92" s="416"/>
      <c r="AU92" s="416"/>
      <c r="AV92" s="416"/>
      <c r="AW92" s="416"/>
      <c r="AX92" s="416"/>
      <c r="AY92" s="416"/>
      <c r="AZ92" s="416"/>
      <c r="BA92" s="32"/>
    </row>
    <row r="93" spans="2:53">
      <c r="B93" s="1256">
        <v>7</v>
      </c>
      <c r="C93" s="1257"/>
      <c r="D93" s="411" t="s">
        <v>608</v>
      </c>
      <c r="E93" s="411"/>
      <c r="F93" s="411" t="s">
        <v>422</v>
      </c>
      <c r="G93" s="411" t="s">
        <v>423</v>
      </c>
      <c r="H93" s="412">
        <v>7518.11</v>
      </c>
      <c r="I93" s="413" t="s">
        <v>240</v>
      </c>
      <c r="J93" s="414">
        <v>44929.020833333336</v>
      </c>
      <c r="K93" s="414"/>
      <c r="L93" s="414" t="s">
        <v>192</v>
      </c>
      <c r="M93" s="414" t="s">
        <v>192</v>
      </c>
      <c r="N93" s="413" t="str">
        <f t="shared" si="6"/>
        <v>DELAY ( 2 day 6 hour 18 minute )</v>
      </c>
      <c r="O93" s="51"/>
      <c r="P93" s="415" t="s">
        <v>551</v>
      </c>
      <c r="Q93" s="415" t="s">
        <v>551</v>
      </c>
      <c r="R93" s="415" t="s">
        <v>551</v>
      </c>
      <c r="S93" s="32"/>
      <c r="T93" s="416"/>
      <c r="U93" s="416"/>
      <c r="V93" s="416"/>
      <c r="W93" s="416"/>
      <c r="X93" s="416"/>
      <c r="Y93" s="416"/>
      <c r="Z93" s="416"/>
      <c r="AA93" s="416"/>
      <c r="AB93" s="416"/>
      <c r="AC93" s="416">
        <f>H93</f>
        <v>7518.11</v>
      </c>
      <c r="AD93" s="416"/>
      <c r="AE93" s="416"/>
      <c r="AF93" s="416"/>
      <c r="AG93" s="416"/>
      <c r="AH93" s="416"/>
      <c r="AI93" s="416"/>
      <c r="AJ93" s="416"/>
      <c r="AK93" s="416"/>
      <c r="AL93" s="416"/>
      <c r="AM93" s="416"/>
      <c r="AN93" s="416"/>
      <c r="AO93" s="416"/>
      <c r="AP93" s="416"/>
      <c r="AQ93" s="416"/>
      <c r="AR93" s="416"/>
      <c r="AS93" s="416"/>
      <c r="AT93" s="416"/>
      <c r="AU93" s="416"/>
      <c r="AV93" s="416"/>
      <c r="AW93" s="416"/>
      <c r="AX93" s="416"/>
      <c r="AY93" s="416"/>
      <c r="AZ93" s="416"/>
      <c r="BA93" s="32"/>
    </row>
    <row r="94" spans="2:53">
      <c r="B94" s="1256">
        <v>8</v>
      </c>
      <c r="C94" s="1257"/>
      <c r="D94" s="411" t="s">
        <v>609</v>
      </c>
      <c r="E94" s="411"/>
      <c r="F94" s="411" t="s">
        <v>339</v>
      </c>
      <c r="G94" s="411" t="s">
        <v>340</v>
      </c>
      <c r="H94" s="412">
        <v>7500</v>
      </c>
      <c r="I94" s="413" t="s">
        <v>78</v>
      </c>
      <c r="J94" s="414">
        <v>44929.4375</v>
      </c>
      <c r="K94" s="414"/>
      <c r="L94" s="414" t="s">
        <v>192</v>
      </c>
      <c r="M94" s="414" t="s">
        <v>192</v>
      </c>
      <c r="N94" s="413" t="str">
        <f t="shared" si="6"/>
        <v>DELAY ( 2 day 16 hour 18 minute )</v>
      </c>
      <c r="O94" s="51"/>
      <c r="P94" s="415" t="s">
        <v>551</v>
      </c>
      <c r="Q94" s="415" t="s">
        <v>551</v>
      </c>
      <c r="R94" s="415" t="s">
        <v>551</v>
      </c>
      <c r="S94" s="32"/>
      <c r="T94" s="416"/>
      <c r="U94" s="416"/>
      <c r="V94" s="416"/>
      <c r="W94" s="416"/>
      <c r="X94" s="416"/>
      <c r="Y94" s="416"/>
      <c r="Z94" s="416"/>
      <c r="AA94" s="416"/>
      <c r="AB94" s="416"/>
      <c r="AC94" s="416"/>
      <c r="AD94" s="416"/>
      <c r="AE94" s="416"/>
      <c r="AF94" s="416"/>
      <c r="AG94" s="416"/>
      <c r="AH94" s="416"/>
      <c r="AI94" s="416"/>
      <c r="AJ94" s="416">
        <f>H94</f>
        <v>7500</v>
      </c>
      <c r="AK94" s="416"/>
      <c r="AL94" s="416"/>
      <c r="AM94" s="416"/>
      <c r="AN94" s="416"/>
      <c r="AO94" s="416"/>
      <c r="AP94" s="416"/>
      <c r="AQ94" s="416"/>
      <c r="AR94" s="416"/>
      <c r="AS94" s="416"/>
      <c r="AT94" s="416"/>
      <c r="AU94" s="416"/>
      <c r="AV94" s="416"/>
      <c r="AW94" s="416"/>
      <c r="AX94" s="416"/>
      <c r="AY94" s="416"/>
      <c r="AZ94" s="416"/>
      <c r="BA94" s="32"/>
    </row>
    <row r="95" spans="2:53">
      <c r="B95" s="1256">
        <v>9</v>
      </c>
      <c r="C95" s="1257"/>
      <c r="D95" s="1256" t="s">
        <v>610</v>
      </c>
      <c r="E95" s="1276"/>
      <c r="F95" s="1276"/>
      <c r="G95" s="1257"/>
      <c r="H95" s="412">
        <f>H97-SUM(H87:H94)</f>
        <v>4317.1549999999988</v>
      </c>
      <c r="I95" s="413" t="s">
        <v>611</v>
      </c>
      <c r="J95" s="414"/>
      <c r="K95" s="414"/>
      <c r="L95" s="414"/>
      <c r="M95" s="414"/>
      <c r="N95" s="413"/>
      <c r="O95" s="51"/>
      <c r="P95" s="415" t="s">
        <v>551</v>
      </c>
      <c r="Q95" s="415"/>
      <c r="R95" s="415"/>
      <c r="S95" s="32"/>
      <c r="T95" s="416">
        <f>H95</f>
        <v>4317.1549999999988</v>
      </c>
      <c r="U95" s="416"/>
      <c r="V95" s="416"/>
      <c r="W95" s="416"/>
      <c r="X95" s="416"/>
      <c r="Y95" s="416"/>
      <c r="Z95" s="416"/>
      <c r="AA95" s="416"/>
      <c r="AB95" s="416"/>
      <c r="AC95" s="416"/>
      <c r="AD95" s="416"/>
      <c r="AE95" s="416"/>
      <c r="AF95" s="416"/>
      <c r="AG95" s="416"/>
      <c r="AH95" s="416"/>
      <c r="AI95" s="416"/>
      <c r="AJ95" s="416"/>
      <c r="AK95" s="416"/>
      <c r="AL95" s="416"/>
      <c r="AM95" s="416"/>
      <c r="AN95" s="416"/>
      <c r="AO95" s="416"/>
      <c r="AP95" s="416"/>
      <c r="AQ95" s="416"/>
      <c r="AR95" s="416"/>
      <c r="AS95" s="416"/>
      <c r="AT95" s="416"/>
      <c r="AU95" s="416"/>
      <c r="AV95" s="416"/>
      <c r="AW95" s="416"/>
      <c r="AX95" s="416"/>
      <c r="AY95" s="416"/>
      <c r="AZ95" s="416"/>
      <c r="BA95" s="32"/>
    </row>
    <row r="96" spans="2:53">
      <c r="B96" s="1258" t="s">
        <v>556</v>
      </c>
      <c r="C96" s="1259"/>
      <c r="D96" s="1259"/>
      <c r="E96" s="1259"/>
      <c r="F96" s="1259"/>
      <c r="G96" s="1260"/>
      <c r="H96" s="417">
        <f>SUM(H87:H95)</f>
        <v>58500</v>
      </c>
      <c r="I96" s="388"/>
      <c r="J96" s="293"/>
      <c r="K96" s="293"/>
      <c r="L96" s="293"/>
      <c r="M96" s="389"/>
      <c r="N96" s="413" t="str">
        <f>IF(ISBLANK(J96)," ",IF(J96&lt;$F$4,"On time",(IF(DAY(J96-$F$4)&lt;1,"On time",(IF(J96&gt;$F$4,"DELAY ( "&amp;DAY(J96-$F$4)&amp;" day "&amp;HOUR(J96-$F$4)&amp;" hour "&amp;MINUTE(J96-$F$4)&amp;" minute )","xxx"))))))</f>
        <v xml:space="preserve"> </v>
      </c>
      <c r="O96" s="212"/>
      <c r="P96" s="418"/>
      <c r="Q96" s="418"/>
      <c r="R96" s="418"/>
      <c r="S96" s="207"/>
      <c r="T96" s="1261"/>
      <c r="U96" s="1261"/>
      <c r="V96" s="1261"/>
      <c r="W96" s="1261"/>
      <c r="X96" s="1261"/>
      <c r="Y96" s="1261"/>
      <c r="Z96" s="1261"/>
      <c r="AA96" s="1261"/>
      <c r="AB96" s="1261"/>
      <c r="AC96" s="1261"/>
      <c r="AD96" s="1261"/>
      <c r="AE96" s="1261"/>
      <c r="AF96" s="1261"/>
      <c r="AG96" s="1261"/>
      <c r="AH96" s="1261"/>
      <c r="AI96" s="1261"/>
      <c r="AJ96" s="1261"/>
      <c r="AK96" s="1261"/>
      <c r="AL96" s="1261"/>
      <c r="AM96" s="1261"/>
      <c r="AN96" s="1261"/>
      <c r="AO96" s="1261"/>
      <c r="AP96" s="1261"/>
      <c r="AQ96" s="1261"/>
      <c r="AR96" s="1261"/>
      <c r="AS96" s="1261"/>
      <c r="AT96" s="1261"/>
      <c r="AU96" s="1261"/>
      <c r="AV96" s="1261"/>
      <c r="AW96" s="1261"/>
      <c r="AX96" s="1261"/>
      <c r="AY96" s="1261"/>
      <c r="AZ96" s="1261"/>
    </row>
    <row r="97" spans="2:53">
      <c r="B97" s="1243" t="s">
        <v>557</v>
      </c>
      <c r="C97" s="1244"/>
      <c r="D97" s="1244"/>
      <c r="E97" s="1244"/>
      <c r="F97" s="1244"/>
      <c r="G97" s="1245"/>
      <c r="H97" s="419">
        <v>58500</v>
      </c>
      <c r="I97" s="1273"/>
      <c r="J97" s="1274"/>
      <c r="K97" s="1274"/>
      <c r="L97" s="1274"/>
      <c r="M97" s="1275"/>
      <c r="N97" s="413" t="str">
        <f>IF(ISBLANK(J97)," ",IF(J97&lt;$F$4,"On time",(IF(DAY(J97-$F$4)&lt;1,"On time",(IF(J97&gt;$F$4,"DELAY ( "&amp;DAY(J97-$F$4)&amp;" day "&amp;HOUR(J97-$F$4)&amp;" hour "&amp;MINUTE(J97-$F$4)&amp;" minute )","xxx"))))))</f>
        <v xml:space="preserve"> </v>
      </c>
      <c r="O97" s="32"/>
      <c r="P97" s="415"/>
      <c r="Q97" s="415"/>
      <c r="R97" s="415"/>
      <c r="S97" s="63"/>
      <c r="T97" s="416">
        <f t="shared" ref="T97:AZ97" si="7">SUM(T87:T95)</f>
        <v>4317.1549999999988</v>
      </c>
      <c r="U97" s="416">
        <f t="shared" si="7"/>
        <v>0</v>
      </c>
      <c r="V97" s="416">
        <f t="shared" si="7"/>
        <v>0</v>
      </c>
      <c r="W97" s="416">
        <f t="shared" si="7"/>
        <v>0</v>
      </c>
      <c r="X97" s="416">
        <f t="shared" si="7"/>
        <v>0</v>
      </c>
      <c r="Y97" s="416">
        <f t="shared" si="7"/>
        <v>0</v>
      </c>
      <c r="Z97" s="416">
        <f t="shared" si="7"/>
        <v>0</v>
      </c>
      <c r="AA97" s="416">
        <f t="shared" si="7"/>
        <v>0</v>
      </c>
      <c r="AB97" s="416">
        <f t="shared" si="7"/>
        <v>24055.517</v>
      </c>
      <c r="AC97" s="416">
        <f t="shared" si="7"/>
        <v>15127.328</v>
      </c>
      <c r="AD97" s="416">
        <f t="shared" si="7"/>
        <v>0</v>
      </c>
      <c r="AE97" s="416">
        <f t="shared" si="7"/>
        <v>0</v>
      </c>
      <c r="AF97" s="416">
        <f t="shared" si="7"/>
        <v>0</v>
      </c>
      <c r="AG97" s="416">
        <f t="shared" si="7"/>
        <v>0</v>
      </c>
      <c r="AH97" s="416">
        <f t="shared" si="7"/>
        <v>0</v>
      </c>
      <c r="AI97" s="416">
        <f t="shared" si="7"/>
        <v>0</v>
      </c>
      <c r="AJ97" s="416">
        <f t="shared" si="7"/>
        <v>15000</v>
      </c>
      <c r="AK97" s="416">
        <f t="shared" si="7"/>
        <v>0</v>
      </c>
      <c r="AL97" s="416">
        <f t="shared" si="7"/>
        <v>0</v>
      </c>
      <c r="AM97" s="416">
        <f t="shared" si="7"/>
        <v>0</v>
      </c>
      <c r="AN97" s="416">
        <f t="shared" si="7"/>
        <v>0</v>
      </c>
      <c r="AO97" s="416">
        <f t="shared" si="7"/>
        <v>0</v>
      </c>
      <c r="AP97" s="416">
        <f t="shared" si="7"/>
        <v>0</v>
      </c>
      <c r="AQ97" s="416">
        <f t="shared" si="7"/>
        <v>0</v>
      </c>
      <c r="AR97" s="416">
        <f t="shared" si="7"/>
        <v>0</v>
      </c>
      <c r="AS97" s="416">
        <f t="shared" si="7"/>
        <v>0</v>
      </c>
      <c r="AT97" s="416">
        <f t="shared" si="7"/>
        <v>0</v>
      </c>
      <c r="AU97" s="416">
        <f t="shared" si="7"/>
        <v>0</v>
      </c>
      <c r="AV97" s="416">
        <f t="shared" si="7"/>
        <v>0</v>
      </c>
      <c r="AW97" s="416">
        <f t="shared" si="7"/>
        <v>0</v>
      </c>
      <c r="AX97" s="416">
        <f t="shared" si="7"/>
        <v>0</v>
      </c>
      <c r="AY97" s="416">
        <f t="shared" si="7"/>
        <v>0</v>
      </c>
      <c r="AZ97" s="416">
        <f t="shared" si="7"/>
        <v>0</v>
      </c>
      <c r="BA97" s="416">
        <f>SUM(T97:AZ97)</f>
        <v>58500</v>
      </c>
    </row>
    <row r="98" spans="2:53">
      <c r="B98" s="1243" t="s">
        <v>558</v>
      </c>
      <c r="C98" s="1244"/>
      <c r="D98" s="1244"/>
      <c r="E98" s="1244"/>
      <c r="F98" s="1244"/>
      <c r="G98" s="1245"/>
      <c r="H98" s="420">
        <f>H97-L81</f>
        <v>0</v>
      </c>
      <c r="I98" s="294"/>
      <c r="J98" s="295"/>
      <c r="K98" s="295"/>
      <c r="L98" s="296"/>
      <c r="M98" s="32"/>
      <c r="N98" s="32"/>
      <c r="O98" s="32"/>
      <c r="P98" s="32"/>
      <c r="Q98" s="297"/>
      <c r="R98" s="297"/>
      <c r="S98" s="32"/>
      <c r="T98" s="48"/>
      <c r="U98" s="48"/>
      <c r="V98" s="48"/>
      <c r="W98" s="48"/>
      <c r="X98" s="48"/>
      <c r="Y98" s="48"/>
      <c r="Z98" s="48"/>
      <c r="AA98" s="48"/>
      <c r="AB98" s="48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</row>
    <row r="99" spans="2:53">
      <c r="B99" s="1243" t="s">
        <v>559</v>
      </c>
      <c r="C99" s="1244"/>
      <c r="D99" s="1244"/>
      <c r="E99" s="1244"/>
      <c r="F99" s="1244"/>
      <c r="G99" s="1245"/>
      <c r="H99" s="420">
        <f>H96-H97</f>
        <v>0</v>
      </c>
      <c r="I99" s="52"/>
      <c r="J99" s="53"/>
      <c r="K99" s="53"/>
      <c r="L99" s="54"/>
      <c r="M99" s="32"/>
      <c r="N99" s="201"/>
      <c r="O99" s="32"/>
      <c r="P99" s="32"/>
      <c r="Q99" s="32"/>
      <c r="R99" s="32"/>
      <c r="S99" s="32"/>
      <c r="T99" s="48"/>
      <c r="U99" s="48"/>
      <c r="V99" s="48"/>
      <c r="W99" s="48"/>
      <c r="X99" s="48"/>
      <c r="Y99" s="48"/>
      <c r="Z99" s="48"/>
      <c r="AA99" s="48"/>
      <c r="AB99" s="48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</row>
    <row r="100" spans="2:53">
      <c r="B100" s="32"/>
      <c r="C100" s="32"/>
      <c r="D100" s="32"/>
      <c r="E100" s="32"/>
      <c r="F100" s="32"/>
      <c r="G100" s="32"/>
      <c r="H100" s="32"/>
      <c r="I100" s="213"/>
      <c r="J100" s="209"/>
      <c r="K100" s="209"/>
      <c r="L100" s="203"/>
      <c r="M100" s="201"/>
      <c r="N100" s="201"/>
      <c r="O100" s="209"/>
      <c r="P100" s="32"/>
      <c r="Q100" s="32"/>
      <c r="R100" s="32"/>
      <c r="S100" s="32"/>
      <c r="T100" s="48"/>
      <c r="U100" s="48"/>
      <c r="V100" s="48"/>
      <c r="W100" s="48"/>
      <c r="X100" s="48"/>
      <c r="Y100" s="48"/>
      <c r="Z100" s="48"/>
      <c r="AA100" s="48"/>
      <c r="AB100" s="48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</row>
    <row r="101" spans="2:53">
      <c r="B101" s="40" t="s">
        <v>561</v>
      </c>
      <c r="C101" s="40"/>
      <c r="D101" s="32"/>
      <c r="E101" s="32"/>
      <c r="F101" s="32"/>
      <c r="G101" s="32"/>
      <c r="H101" s="32"/>
      <c r="I101" s="32"/>
      <c r="J101" s="52"/>
      <c r="K101" s="52"/>
      <c r="L101" s="55"/>
      <c r="M101" s="32"/>
      <c r="N101" s="201"/>
      <c r="O101" s="5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1"/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  <c r="BA101" s="201"/>
    </row>
    <row r="102" spans="2:53">
      <c r="B102" s="422">
        <v>1</v>
      </c>
      <c r="C102" s="1249" t="s">
        <v>612</v>
      </c>
      <c r="D102" s="1249"/>
      <c r="E102" s="1249"/>
      <c r="F102" s="1249"/>
      <c r="G102" s="1249"/>
      <c r="H102" s="1249"/>
      <c r="I102" s="1249"/>
      <c r="J102" s="1249"/>
      <c r="K102" s="1249"/>
      <c r="L102" s="203"/>
      <c r="M102" s="201"/>
      <c r="N102" s="201"/>
      <c r="O102" s="209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  <c r="BA102" s="201"/>
    </row>
    <row r="103" spans="2:53">
      <c r="B103" s="422">
        <v>2</v>
      </c>
      <c r="C103" s="1249" t="s">
        <v>613</v>
      </c>
      <c r="D103" s="1249"/>
      <c r="E103" s="1249"/>
      <c r="F103" s="1249"/>
      <c r="G103" s="1249"/>
      <c r="H103" s="1249"/>
      <c r="I103" s="1249"/>
      <c r="J103" s="1249"/>
      <c r="K103" s="1249"/>
      <c r="L103" s="203"/>
      <c r="M103" s="201"/>
      <c r="N103" s="201"/>
      <c r="O103" s="209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  <c r="AT103" s="201"/>
      <c r="AU103" s="201"/>
      <c r="BA103" s="201"/>
    </row>
    <row r="105" spans="2:53">
      <c r="B105" s="28" t="s">
        <v>2</v>
      </c>
      <c r="C105" s="28"/>
      <c r="D105" s="29"/>
      <c r="E105" s="30" t="s">
        <v>511</v>
      </c>
      <c r="F105" s="31" t="s">
        <v>230</v>
      </c>
      <c r="G105" s="32"/>
      <c r="H105" s="33"/>
      <c r="I105" s="34"/>
      <c r="J105" s="35" t="s">
        <v>513</v>
      </c>
      <c r="K105" s="36" t="s">
        <v>511</v>
      </c>
      <c r="L105" s="37">
        <v>44935.402777777781</v>
      </c>
      <c r="M105" s="32"/>
      <c r="N105" s="32"/>
      <c r="O105" s="36"/>
      <c r="P105" s="33"/>
      <c r="Q105" s="48"/>
      <c r="R105" s="49"/>
      <c r="S105" s="38"/>
      <c r="T105" s="32"/>
      <c r="U105" s="32"/>
      <c r="V105" s="32"/>
      <c r="W105" s="32"/>
      <c r="X105" s="32"/>
      <c r="Y105" s="32"/>
      <c r="Z105" s="32"/>
      <c r="AA105" s="32"/>
      <c r="AB105" s="48"/>
      <c r="AC105" s="48"/>
      <c r="AD105" s="48"/>
      <c r="AE105" s="48"/>
      <c r="AF105" s="48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</row>
    <row r="106" spans="2:53">
      <c r="B106" s="35" t="s">
        <v>514</v>
      </c>
      <c r="C106" s="35"/>
      <c r="D106" s="32"/>
      <c r="E106" s="36" t="s">
        <v>511</v>
      </c>
      <c r="F106" s="37" t="s">
        <v>614</v>
      </c>
      <c r="G106" s="32"/>
      <c r="H106" s="33"/>
      <c r="I106" s="34"/>
      <c r="J106" s="35" t="s">
        <v>516</v>
      </c>
      <c r="K106" s="36" t="s">
        <v>511</v>
      </c>
      <c r="L106" s="37">
        <v>44937.333333333336</v>
      </c>
      <c r="M106" s="32"/>
      <c r="N106" s="32"/>
      <c r="O106" s="36"/>
      <c r="P106" s="33"/>
      <c r="Q106" s="48"/>
      <c r="R106" s="49"/>
      <c r="S106" s="38"/>
      <c r="T106" s="32"/>
      <c r="U106" s="32"/>
      <c r="V106" s="32"/>
      <c r="W106" s="32"/>
      <c r="X106" s="32"/>
      <c r="Y106" s="32"/>
      <c r="Z106" s="32"/>
      <c r="AA106" s="32"/>
      <c r="AB106" s="48"/>
      <c r="AC106" s="48"/>
      <c r="AD106" s="48"/>
      <c r="AE106" s="48"/>
      <c r="AF106" s="48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</row>
    <row r="107" spans="2:53">
      <c r="B107" s="35" t="s">
        <v>517</v>
      </c>
      <c r="C107" s="35"/>
      <c r="D107" s="32"/>
      <c r="E107" s="36" t="s">
        <v>511</v>
      </c>
      <c r="F107" s="37">
        <v>44934.758333333331</v>
      </c>
      <c r="G107" s="32"/>
      <c r="H107" s="33"/>
      <c r="I107" s="34"/>
      <c r="J107" s="35" t="s">
        <v>518</v>
      </c>
      <c r="K107" s="36" t="s">
        <v>511</v>
      </c>
      <c r="L107" s="50">
        <v>55600</v>
      </c>
      <c r="M107" s="40" t="s">
        <v>519</v>
      </c>
      <c r="N107" s="40"/>
      <c r="O107" s="36"/>
      <c r="P107" s="33"/>
      <c r="Q107" s="48"/>
      <c r="R107" s="49"/>
      <c r="S107" s="38"/>
      <c r="T107" s="32"/>
      <c r="U107" s="32"/>
      <c r="V107" s="32"/>
      <c r="W107" s="32"/>
      <c r="X107" s="32"/>
      <c r="Y107" s="32"/>
      <c r="Z107" s="32"/>
      <c r="AA107" s="32"/>
      <c r="AB107" s="48"/>
      <c r="AC107" s="48"/>
      <c r="AD107" s="48"/>
      <c r="AE107" s="48"/>
      <c r="AF107" s="48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</row>
    <row r="108" spans="2:53">
      <c r="B108" s="35" t="s">
        <v>520</v>
      </c>
      <c r="C108" s="35"/>
      <c r="D108" s="32"/>
      <c r="E108" s="36" t="s">
        <v>511</v>
      </c>
      <c r="F108" s="37" t="s">
        <v>4</v>
      </c>
      <c r="G108" s="32"/>
      <c r="H108" s="33"/>
      <c r="I108" s="34"/>
      <c r="J108" s="35" t="s">
        <v>521</v>
      </c>
      <c r="K108" s="36" t="s">
        <v>511</v>
      </c>
      <c r="L108" s="41" t="s">
        <v>615</v>
      </c>
      <c r="M108" s="32"/>
      <c r="N108" s="32"/>
      <c r="O108" s="36"/>
      <c r="P108" s="48"/>
      <c r="Q108" s="48"/>
      <c r="R108" s="49"/>
      <c r="S108" s="38"/>
      <c r="T108" s="32"/>
      <c r="U108" s="32"/>
      <c r="V108" s="32"/>
      <c r="W108" s="32"/>
      <c r="X108" s="32"/>
      <c r="Y108" s="32"/>
      <c r="Z108" s="32"/>
      <c r="AA108" s="32"/>
      <c r="AB108" s="48"/>
      <c r="AC108" s="48"/>
      <c r="AD108" s="48"/>
      <c r="AE108" s="48"/>
      <c r="AF108" s="48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</row>
    <row r="109" spans="2:53">
      <c r="B109" s="35" t="s">
        <v>523</v>
      </c>
      <c r="C109" s="35"/>
      <c r="D109" s="32"/>
      <c r="E109" s="36" t="s">
        <v>511</v>
      </c>
      <c r="F109" s="37" t="s">
        <v>5</v>
      </c>
      <c r="G109" s="32"/>
      <c r="H109" s="33"/>
      <c r="I109" s="34"/>
      <c r="J109" s="42" t="s">
        <v>524</v>
      </c>
      <c r="K109" s="36" t="s">
        <v>511</v>
      </c>
      <c r="L109" s="43" t="s">
        <v>11</v>
      </c>
      <c r="M109" s="44"/>
      <c r="N109" s="44"/>
      <c r="O109" s="36"/>
      <c r="P109" s="33"/>
      <c r="Q109" s="48"/>
      <c r="R109" s="49"/>
      <c r="S109" s="38"/>
      <c r="T109" s="32"/>
      <c r="U109" s="32"/>
      <c r="V109" s="32"/>
      <c r="W109" s="32"/>
      <c r="X109" s="32"/>
      <c r="Y109" s="32"/>
      <c r="Z109" s="32"/>
      <c r="AA109" s="32"/>
      <c r="AB109" s="48"/>
      <c r="AC109" s="48"/>
      <c r="AD109" s="48"/>
      <c r="AE109" s="48"/>
      <c r="AF109" s="48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</row>
    <row r="110" spans="2:53">
      <c r="B110" s="35" t="s">
        <v>2</v>
      </c>
      <c r="C110" s="35"/>
      <c r="D110" s="32"/>
      <c r="E110" s="36" t="s">
        <v>511</v>
      </c>
      <c r="F110" s="37" t="s">
        <v>14</v>
      </c>
      <c r="G110" s="32"/>
      <c r="H110" s="33"/>
      <c r="I110" s="45"/>
      <c r="J110" s="42"/>
      <c r="K110" s="36"/>
      <c r="L110" s="37"/>
      <c r="M110" s="32"/>
      <c r="N110" s="32"/>
      <c r="O110" s="42"/>
      <c r="P110" s="44"/>
      <c r="Q110" s="44"/>
      <c r="R110" s="44"/>
      <c r="S110" s="34"/>
      <c r="T110" s="32"/>
      <c r="U110" s="32"/>
      <c r="V110" s="32"/>
      <c r="W110" s="32"/>
      <c r="X110" s="32"/>
      <c r="Y110" s="32"/>
      <c r="Z110" s="32"/>
      <c r="AA110" s="32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</row>
    <row r="111" spans="2:53">
      <c r="B111" s="32"/>
      <c r="C111" s="32"/>
      <c r="D111" s="32"/>
      <c r="E111" s="32"/>
      <c r="F111" s="32"/>
      <c r="G111" s="32"/>
      <c r="H111" s="32"/>
      <c r="I111" s="45"/>
      <c r="J111" s="42"/>
      <c r="K111" s="42"/>
      <c r="L111" s="43"/>
      <c r="M111" s="44"/>
      <c r="N111" s="44"/>
      <c r="O111" s="42"/>
      <c r="P111" s="44"/>
      <c r="Q111" s="44"/>
      <c r="R111" s="44"/>
      <c r="S111" s="34"/>
      <c r="T111" s="1270" t="s">
        <v>87</v>
      </c>
      <c r="U111" s="1270"/>
      <c r="V111" s="1270"/>
      <c r="W111" s="1270"/>
      <c r="X111" s="1270"/>
      <c r="Y111" s="1270" t="s">
        <v>73</v>
      </c>
      <c r="Z111" s="1270"/>
      <c r="AA111" s="1270"/>
      <c r="AB111" s="1270" t="s">
        <v>74</v>
      </c>
      <c r="AC111" s="1270"/>
      <c r="AD111" s="407" t="s">
        <v>85</v>
      </c>
      <c r="AE111" s="407" t="s">
        <v>77</v>
      </c>
      <c r="AF111" s="1270" t="s">
        <v>525</v>
      </c>
      <c r="AG111" s="1270"/>
      <c r="AH111" s="1270"/>
      <c r="AI111" s="1270"/>
      <c r="AJ111" s="1270"/>
      <c r="AK111" s="1270"/>
      <c r="AL111" s="1270"/>
      <c r="AM111" s="1270"/>
      <c r="AN111" s="1270"/>
      <c r="AO111" s="1270"/>
      <c r="AP111" s="1270"/>
      <c r="AQ111" s="1270"/>
      <c r="AR111" s="1270"/>
      <c r="AS111" s="1270"/>
      <c r="AT111" s="1270"/>
      <c r="AU111" s="1270"/>
      <c r="AV111" s="1270"/>
      <c r="AW111" s="1270"/>
      <c r="AX111" s="1270"/>
      <c r="AY111" s="1270"/>
      <c r="AZ111" s="32"/>
    </row>
    <row r="112" spans="2:53">
      <c r="B112" s="1266" t="s">
        <v>526</v>
      </c>
      <c r="C112" s="1267"/>
      <c r="D112" s="570" t="s">
        <v>527</v>
      </c>
      <c r="E112" s="570"/>
      <c r="F112" s="570" t="s">
        <v>528</v>
      </c>
      <c r="G112" s="570" t="s">
        <v>529</v>
      </c>
      <c r="H112" s="570" t="s">
        <v>530</v>
      </c>
      <c r="I112" s="570" t="s">
        <v>531</v>
      </c>
      <c r="J112" s="570" t="s">
        <v>532</v>
      </c>
      <c r="K112" s="570"/>
      <c r="L112" s="570" t="s">
        <v>130</v>
      </c>
      <c r="M112" s="570" t="s">
        <v>533</v>
      </c>
      <c r="N112" s="408" t="str">
        <f>"On time - "&amp;COUNTIF(N113:N126,"On time")&amp;" from "&amp;ROWS(N113:N126)-COUNTIF(N113:N126," ")</f>
        <v>On time - 7 from 8</v>
      </c>
      <c r="O112" s="46"/>
      <c r="P112" s="409" t="s">
        <v>534</v>
      </c>
      <c r="Q112" s="409" t="s">
        <v>535</v>
      </c>
      <c r="R112" s="409" t="s">
        <v>536</v>
      </c>
      <c r="S112" s="32"/>
      <c r="T112" s="410" t="s">
        <v>537</v>
      </c>
      <c r="U112" s="410" t="s">
        <v>538</v>
      </c>
      <c r="V112" s="410" t="s">
        <v>539</v>
      </c>
      <c r="W112" s="410" t="s">
        <v>540</v>
      </c>
      <c r="X112" s="410" t="s">
        <v>541</v>
      </c>
      <c r="Y112" s="410" t="s">
        <v>167</v>
      </c>
      <c r="Z112" s="410" t="s">
        <v>168</v>
      </c>
      <c r="AA112" s="410" t="s">
        <v>169</v>
      </c>
      <c r="AB112" s="410" t="s">
        <v>235</v>
      </c>
      <c r="AC112" s="410" t="s">
        <v>542</v>
      </c>
      <c r="AD112" s="407" t="s">
        <v>85</v>
      </c>
      <c r="AE112" s="410" t="s">
        <v>139</v>
      </c>
      <c r="AF112" s="410" t="s">
        <v>72</v>
      </c>
      <c r="AG112" s="410" t="s">
        <v>88</v>
      </c>
      <c r="AH112" s="410" t="s">
        <v>75</v>
      </c>
      <c r="AI112" s="410" t="s">
        <v>543</v>
      </c>
      <c r="AJ112" s="410" t="s">
        <v>78</v>
      </c>
      <c r="AK112" s="410" t="s">
        <v>76</v>
      </c>
      <c r="AL112" s="410" t="s">
        <v>544</v>
      </c>
      <c r="AM112" s="410" t="s">
        <v>545</v>
      </c>
      <c r="AN112" s="410" t="s">
        <v>86</v>
      </c>
      <c r="AO112" s="410" t="s">
        <v>83</v>
      </c>
      <c r="AP112" s="410" t="s">
        <v>84</v>
      </c>
      <c r="AQ112" s="410" t="s">
        <v>546</v>
      </c>
      <c r="AR112" s="410" t="s">
        <v>81</v>
      </c>
      <c r="AS112" s="410" t="s">
        <v>80</v>
      </c>
      <c r="AT112" s="410" t="s">
        <v>82</v>
      </c>
      <c r="AU112" s="410" t="s">
        <v>181</v>
      </c>
      <c r="AV112" s="410" t="s">
        <v>183</v>
      </c>
      <c r="AW112" s="410" t="s">
        <v>547</v>
      </c>
      <c r="AX112" s="410" t="s">
        <v>182</v>
      </c>
      <c r="AY112" s="410" t="s">
        <v>172</v>
      </c>
      <c r="AZ112" s="32"/>
    </row>
    <row r="113" spans="2:52">
      <c r="B113" s="1256" t="s">
        <v>616</v>
      </c>
      <c r="C113" s="1257"/>
      <c r="D113" s="411" t="s">
        <v>232</v>
      </c>
      <c r="E113" s="411"/>
      <c r="F113" s="411" t="s">
        <v>233</v>
      </c>
      <c r="G113" s="411" t="s">
        <v>234</v>
      </c>
      <c r="H113" s="412">
        <v>7728.76</v>
      </c>
      <c r="I113" s="413" t="s">
        <v>235</v>
      </c>
      <c r="J113" s="414">
        <v>44934.541666666664</v>
      </c>
      <c r="K113" s="414"/>
      <c r="L113" s="414" t="s">
        <v>192</v>
      </c>
      <c r="M113" s="414" t="s">
        <v>192</v>
      </c>
      <c r="N113" s="413" t="str">
        <f>IF(ISBLANK(J113)," ",IF(J113&lt;$F$107,"On time",(IF(DAY(J113-$F$107)&lt;1,"On time",(IF(J113&gt;$F$107,"DELAY ( "&amp;DAY(J113-$F$107)&amp;" day "&amp;HOUR(J113-$F$107)&amp;" hour "&amp;MINUTE(J113-$F$107)&amp;" minute )","xxx"))))))</f>
        <v>On time</v>
      </c>
      <c r="O113" s="51"/>
      <c r="P113" s="415" t="s">
        <v>551</v>
      </c>
      <c r="Q113" s="415" t="s">
        <v>551</v>
      </c>
      <c r="R113" s="415" t="s">
        <v>551</v>
      </c>
      <c r="S113" s="32"/>
      <c r="T113" s="416"/>
      <c r="U113" s="416"/>
      <c r="V113" s="416"/>
      <c r="W113" s="416"/>
      <c r="X113" s="416"/>
      <c r="Y113" s="416"/>
      <c r="Z113" s="416"/>
      <c r="AA113" s="416"/>
      <c r="AB113" s="416">
        <f>H113</f>
        <v>7728.76</v>
      </c>
      <c r="AC113" s="416"/>
      <c r="AD113" s="416"/>
      <c r="AE113" s="416"/>
      <c r="AF113" s="416"/>
      <c r="AG113" s="416"/>
      <c r="AH113" s="416"/>
      <c r="AI113" s="416"/>
      <c r="AJ113" s="416"/>
      <c r="AK113" s="416"/>
      <c r="AL113" s="416"/>
      <c r="AM113" s="416"/>
      <c r="AN113" s="416"/>
      <c r="AO113" s="416"/>
      <c r="AP113" s="416"/>
      <c r="AQ113" s="416"/>
      <c r="AR113" s="416"/>
      <c r="AS113" s="416"/>
      <c r="AT113" s="416"/>
      <c r="AU113" s="416"/>
      <c r="AV113" s="416"/>
      <c r="AW113" s="416"/>
      <c r="AX113" s="416"/>
      <c r="AY113" s="416"/>
      <c r="AZ113" s="32"/>
    </row>
    <row r="114" spans="2:52">
      <c r="B114" s="1256" t="s">
        <v>616</v>
      </c>
      <c r="C114" s="1257"/>
      <c r="D114" s="411" t="s">
        <v>617</v>
      </c>
      <c r="E114" s="411"/>
      <c r="F114" s="411" t="s">
        <v>343</v>
      </c>
      <c r="G114" s="411" t="s">
        <v>344</v>
      </c>
      <c r="H114" s="412">
        <v>7580.6049999999996</v>
      </c>
      <c r="I114" s="413" t="s">
        <v>235</v>
      </c>
      <c r="J114" s="414">
        <v>44934.625</v>
      </c>
      <c r="K114" s="414"/>
      <c r="L114" s="414" t="s">
        <v>192</v>
      </c>
      <c r="M114" s="414" t="s">
        <v>192</v>
      </c>
      <c r="N114" s="413" t="str">
        <f t="shared" ref="N114:N129" si="8">IF(ISBLANK(J114)," ",IF(J114&lt;$F$107,"On time",(IF(DAY(J114-$F$107)&lt;1,"On time",(IF(J114&gt;$F$107,"DELAY ( "&amp;DAY(J114-$F$107)&amp;" day "&amp;HOUR(J114-$F$107)&amp;" hour "&amp;MINUTE(J114-$F$107)&amp;" minute )","xxx"))))))</f>
        <v>On time</v>
      </c>
      <c r="O114" s="51"/>
      <c r="P114" s="415" t="s">
        <v>551</v>
      </c>
      <c r="Q114" s="415" t="s">
        <v>551</v>
      </c>
      <c r="R114" s="415" t="s">
        <v>551</v>
      </c>
      <c r="S114" s="32"/>
      <c r="T114" s="416"/>
      <c r="U114" s="416"/>
      <c r="V114" s="416"/>
      <c r="W114" s="416"/>
      <c r="X114" s="416"/>
      <c r="Y114" s="416"/>
      <c r="Z114" s="416"/>
      <c r="AA114" s="416"/>
      <c r="AB114" s="416">
        <f>H114</f>
        <v>7580.6049999999996</v>
      </c>
      <c r="AC114" s="416"/>
      <c r="AD114" s="416"/>
      <c r="AE114" s="416"/>
      <c r="AF114" s="416"/>
      <c r="AG114" s="416"/>
      <c r="AH114" s="416"/>
      <c r="AI114" s="416"/>
      <c r="AJ114" s="416"/>
      <c r="AK114" s="416"/>
      <c r="AL114" s="416"/>
      <c r="AM114" s="416"/>
      <c r="AN114" s="416"/>
      <c r="AO114" s="416"/>
      <c r="AP114" s="416"/>
      <c r="AQ114" s="416"/>
      <c r="AR114" s="416"/>
      <c r="AS114" s="416"/>
      <c r="AT114" s="416"/>
      <c r="AU114" s="416"/>
      <c r="AV114" s="416"/>
      <c r="AW114" s="416"/>
      <c r="AX114" s="416"/>
      <c r="AY114" s="416"/>
      <c r="AZ114" s="32"/>
    </row>
    <row r="115" spans="2:52">
      <c r="B115" s="1258" t="s">
        <v>618</v>
      </c>
      <c r="C115" s="1259"/>
      <c r="D115" s="1259"/>
      <c r="E115" s="1259"/>
      <c r="F115" s="1259"/>
      <c r="G115" s="1260"/>
      <c r="H115" s="417">
        <f>SUM(H113:H114)</f>
        <v>15309.365</v>
      </c>
      <c r="I115" s="388"/>
      <c r="J115" s="293"/>
      <c r="K115" s="293"/>
      <c r="L115" s="293"/>
      <c r="M115" s="389"/>
      <c r="N115" s="413" t="str">
        <f t="shared" si="8"/>
        <v xml:space="preserve"> </v>
      </c>
      <c r="O115" s="47"/>
      <c r="P115" s="418"/>
      <c r="Q115" s="418"/>
      <c r="R115" s="418"/>
      <c r="S115" s="32"/>
      <c r="T115" s="416"/>
      <c r="U115" s="416"/>
      <c r="V115" s="416"/>
      <c r="W115" s="416"/>
      <c r="X115" s="416"/>
      <c r="Y115" s="416"/>
      <c r="Z115" s="416"/>
      <c r="AA115" s="416"/>
      <c r="AB115" s="416"/>
      <c r="AC115" s="416"/>
      <c r="AD115" s="416"/>
      <c r="AE115" s="416"/>
      <c r="AF115" s="416"/>
      <c r="AG115" s="416"/>
      <c r="AH115" s="416"/>
      <c r="AI115" s="416"/>
      <c r="AJ115" s="416"/>
      <c r="AK115" s="416"/>
      <c r="AL115" s="416"/>
      <c r="AM115" s="416"/>
      <c r="AN115" s="416"/>
      <c r="AO115" s="416"/>
      <c r="AP115" s="416"/>
      <c r="AQ115" s="416"/>
      <c r="AR115" s="416"/>
      <c r="AS115" s="416"/>
      <c r="AT115" s="416"/>
      <c r="AU115" s="416"/>
      <c r="AV115" s="416"/>
      <c r="AW115" s="416"/>
      <c r="AX115" s="416"/>
      <c r="AY115" s="416"/>
    </row>
    <row r="116" spans="2:52">
      <c r="B116" s="1256" t="s">
        <v>619</v>
      </c>
      <c r="C116" s="1257"/>
      <c r="D116" s="411" t="s">
        <v>620</v>
      </c>
      <c r="E116" s="411"/>
      <c r="F116" s="411" t="s">
        <v>349</v>
      </c>
      <c r="G116" s="411" t="s">
        <v>350</v>
      </c>
      <c r="H116" s="412">
        <v>2543</v>
      </c>
      <c r="I116" s="413" t="s">
        <v>494</v>
      </c>
      <c r="J116" s="414">
        <v>44926.020833333336</v>
      </c>
      <c r="K116" s="414"/>
      <c r="L116" s="414" t="s">
        <v>192</v>
      </c>
      <c r="M116" s="414" t="s">
        <v>192</v>
      </c>
      <c r="N116" s="413" t="str">
        <f t="shared" si="8"/>
        <v>On time</v>
      </c>
      <c r="O116" s="51"/>
      <c r="P116" s="415" t="s">
        <v>551</v>
      </c>
      <c r="Q116" s="415" t="s">
        <v>551</v>
      </c>
      <c r="R116" s="415" t="s">
        <v>551</v>
      </c>
      <c r="S116" s="32"/>
      <c r="T116" s="416"/>
      <c r="U116" s="416"/>
      <c r="V116" s="416"/>
      <c r="W116" s="416"/>
      <c r="X116" s="416"/>
      <c r="Y116" s="416">
        <f>H116</f>
        <v>2543</v>
      </c>
      <c r="Z116" s="416"/>
      <c r="AA116" s="416"/>
      <c r="AB116" s="416"/>
      <c r="AC116" s="416"/>
      <c r="AD116" s="416"/>
      <c r="AE116" s="416"/>
      <c r="AF116" s="416"/>
      <c r="AG116" s="416"/>
      <c r="AH116" s="416"/>
      <c r="AI116" s="416"/>
      <c r="AJ116" s="416"/>
      <c r="AK116" s="416"/>
      <c r="AL116" s="416"/>
      <c r="AM116" s="416"/>
      <c r="AN116" s="416"/>
      <c r="AO116" s="416"/>
      <c r="AP116" s="416"/>
      <c r="AQ116" s="416"/>
      <c r="AR116" s="416"/>
      <c r="AS116" s="416"/>
      <c r="AT116" s="416"/>
      <c r="AU116" s="416"/>
      <c r="AV116" s="416"/>
      <c r="AW116" s="416"/>
      <c r="AX116" s="416"/>
      <c r="AY116" s="416"/>
      <c r="AZ116" s="32"/>
    </row>
    <row r="117" spans="2:52">
      <c r="B117" s="1250" t="s">
        <v>621</v>
      </c>
      <c r="C117" s="1251"/>
      <c r="D117" s="411" t="s">
        <v>499</v>
      </c>
      <c r="E117" s="411"/>
      <c r="F117" s="411" t="s">
        <v>355</v>
      </c>
      <c r="G117" s="411" t="s">
        <v>356</v>
      </c>
      <c r="H117" s="412">
        <v>7577.9040000000005</v>
      </c>
      <c r="I117" s="413" t="s">
        <v>494</v>
      </c>
      <c r="J117" s="414">
        <v>44934.260416666664</v>
      </c>
      <c r="K117" s="414"/>
      <c r="L117" s="414" t="s">
        <v>192</v>
      </c>
      <c r="M117" s="414" t="s">
        <v>192</v>
      </c>
      <c r="N117" s="413" t="str">
        <f t="shared" si="8"/>
        <v>On time</v>
      </c>
      <c r="O117" s="51"/>
      <c r="P117" s="415" t="s">
        <v>551</v>
      </c>
      <c r="Q117" s="415" t="s">
        <v>551</v>
      </c>
      <c r="R117" s="415" t="s">
        <v>551</v>
      </c>
      <c r="S117" s="32"/>
      <c r="T117" s="416"/>
      <c r="U117" s="416"/>
      <c r="V117" s="416"/>
      <c r="W117" s="416"/>
      <c r="X117" s="416"/>
      <c r="Y117" s="416">
        <f>H117</f>
        <v>7577.9040000000005</v>
      </c>
      <c r="Z117" s="416"/>
      <c r="AA117" s="416"/>
      <c r="AB117" s="416"/>
      <c r="AC117" s="416"/>
      <c r="AD117" s="416"/>
      <c r="AE117" s="416"/>
      <c r="AF117" s="416"/>
      <c r="AG117" s="416"/>
      <c r="AH117" s="416"/>
      <c r="AI117" s="416"/>
      <c r="AJ117" s="416"/>
      <c r="AK117" s="416"/>
      <c r="AL117" s="416"/>
      <c r="AM117" s="416"/>
      <c r="AN117" s="416"/>
      <c r="AO117" s="416"/>
      <c r="AP117" s="416"/>
      <c r="AQ117" s="416"/>
      <c r="AR117" s="416"/>
      <c r="AS117" s="416"/>
      <c r="AT117" s="416"/>
      <c r="AU117" s="416"/>
      <c r="AV117" s="416"/>
      <c r="AW117" s="416"/>
      <c r="AX117" s="416"/>
      <c r="AY117" s="416"/>
      <c r="AZ117" s="32"/>
    </row>
    <row r="118" spans="2:52">
      <c r="B118" s="1254"/>
      <c r="C118" s="1255"/>
      <c r="D118" s="411"/>
      <c r="E118" s="411"/>
      <c r="F118" s="1256" t="s">
        <v>616</v>
      </c>
      <c r="G118" s="1257"/>
      <c r="H118" s="412">
        <v>4000</v>
      </c>
      <c r="I118" s="413"/>
      <c r="J118" s="414"/>
      <c r="K118" s="414"/>
      <c r="L118" s="414"/>
      <c r="M118" s="414"/>
      <c r="N118" s="413" t="str">
        <f t="shared" si="8"/>
        <v xml:space="preserve"> </v>
      </c>
      <c r="O118" s="51"/>
      <c r="P118" s="415"/>
      <c r="Q118" s="415"/>
      <c r="R118" s="415"/>
      <c r="S118" s="32"/>
      <c r="T118" s="416"/>
      <c r="U118" s="416"/>
      <c r="V118" s="416"/>
      <c r="W118" s="416"/>
      <c r="X118" s="416"/>
      <c r="Y118" s="416"/>
      <c r="Z118" s="416"/>
      <c r="AA118" s="416"/>
      <c r="AB118" s="416"/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32"/>
    </row>
    <row r="119" spans="2:52">
      <c r="B119" s="1250" t="s">
        <v>622</v>
      </c>
      <c r="C119" s="1251"/>
      <c r="D119" s="411" t="s">
        <v>502</v>
      </c>
      <c r="E119" s="411"/>
      <c r="F119" s="411" t="s">
        <v>361</v>
      </c>
      <c r="G119" s="411" t="s">
        <v>362</v>
      </c>
      <c r="H119" s="412">
        <v>7607.4970000000003</v>
      </c>
      <c r="I119" s="413" t="s">
        <v>494</v>
      </c>
      <c r="J119" s="414">
        <v>44934.25</v>
      </c>
      <c r="K119" s="414"/>
      <c r="L119" s="414" t="s">
        <v>192</v>
      </c>
      <c r="M119" s="414" t="s">
        <v>192</v>
      </c>
      <c r="N119" s="413" t="str">
        <f t="shared" si="8"/>
        <v>On time</v>
      </c>
      <c r="O119" s="51"/>
      <c r="P119" s="415" t="s">
        <v>551</v>
      </c>
      <c r="Q119" s="415" t="s">
        <v>551</v>
      </c>
      <c r="R119" s="415" t="s">
        <v>551</v>
      </c>
      <c r="S119" s="32"/>
      <c r="T119" s="416"/>
      <c r="U119" s="416"/>
      <c r="V119" s="416"/>
      <c r="W119" s="416"/>
      <c r="X119" s="416"/>
      <c r="Y119" s="416">
        <f>H119</f>
        <v>7607.4970000000003</v>
      </c>
      <c r="Z119" s="416"/>
      <c r="AA119" s="416"/>
      <c r="AB119" s="416"/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32"/>
    </row>
    <row r="120" spans="2:52">
      <c r="B120" s="1254"/>
      <c r="C120" s="1255"/>
      <c r="D120" s="411"/>
      <c r="E120" s="411"/>
      <c r="F120" s="1256" t="s">
        <v>616</v>
      </c>
      <c r="G120" s="1257"/>
      <c r="H120" s="412">
        <f>2000+0.365</f>
        <v>2000.365</v>
      </c>
      <c r="I120" s="413"/>
      <c r="J120" s="414"/>
      <c r="K120" s="414"/>
      <c r="L120" s="414"/>
      <c r="M120" s="414"/>
      <c r="N120" s="413" t="str">
        <f t="shared" si="8"/>
        <v xml:space="preserve"> </v>
      </c>
      <c r="O120" s="51"/>
      <c r="P120" s="415"/>
      <c r="Q120" s="415"/>
      <c r="R120" s="415"/>
      <c r="S120" s="32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416"/>
      <c r="AU120" s="416"/>
      <c r="AV120" s="416"/>
      <c r="AW120" s="416"/>
      <c r="AX120" s="416"/>
      <c r="AY120" s="416"/>
      <c r="AZ120" s="32"/>
    </row>
    <row r="121" spans="2:52">
      <c r="B121" s="1250" t="s">
        <v>623</v>
      </c>
      <c r="C121" s="1251"/>
      <c r="D121" s="411" t="s">
        <v>498</v>
      </c>
      <c r="E121" s="411"/>
      <c r="F121" s="411" t="s">
        <v>364</v>
      </c>
      <c r="G121" s="411" t="s">
        <v>365</v>
      </c>
      <c r="H121" s="412">
        <v>7375.6959999999999</v>
      </c>
      <c r="I121" s="413" t="s">
        <v>494</v>
      </c>
      <c r="J121" s="414">
        <v>44934.534722222219</v>
      </c>
      <c r="K121" s="414"/>
      <c r="L121" s="414" t="s">
        <v>192</v>
      </c>
      <c r="M121" s="414" t="s">
        <v>192</v>
      </c>
      <c r="N121" s="413" t="str">
        <f t="shared" si="8"/>
        <v>On time</v>
      </c>
      <c r="O121" s="51"/>
      <c r="P121" s="415" t="s">
        <v>551</v>
      </c>
      <c r="Q121" s="415" t="s">
        <v>551</v>
      </c>
      <c r="R121" s="415" t="s">
        <v>551</v>
      </c>
      <c r="S121" s="32"/>
      <c r="T121" s="416"/>
      <c r="U121" s="416"/>
      <c r="V121" s="416"/>
      <c r="W121" s="416"/>
      <c r="X121" s="416"/>
      <c r="Y121" s="416">
        <f>H121</f>
        <v>7375.6959999999999</v>
      </c>
      <c r="Z121" s="416"/>
      <c r="AA121" s="416"/>
      <c r="AB121" s="416"/>
      <c r="AC121" s="416"/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32"/>
    </row>
    <row r="122" spans="2:52">
      <c r="B122" s="1254"/>
      <c r="C122" s="1255"/>
      <c r="D122" s="411"/>
      <c r="E122" s="411"/>
      <c r="F122" s="1256" t="s">
        <v>616</v>
      </c>
      <c r="G122" s="1257"/>
      <c r="H122" s="412">
        <v>2009</v>
      </c>
      <c r="I122" s="413"/>
      <c r="J122" s="414"/>
      <c r="K122" s="414"/>
      <c r="L122" s="414"/>
      <c r="M122" s="414"/>
      <c r="N122" s="413" t="str">
        <f t="shared" si="8"/>
        <v xml:space="preserve"> </v>
      </c>
      <c r="O122" s="51"/>
      <c r="P122" s="415"/>
      <c r="Q122" s="415"/>
      <c r="R122" s="415"/>
      <c r="S122" s="32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416"/>
      <c r="AQ122" s="416"/>
      <c r="AR122" s="416"/>
      <c r="AS122" s="416"/>
      <c r="AT122" s="416"/>
      <c r="AU122" s="416"/>
      <c r="AV122" s="416"/>
      <c r="AW122" s="416"/>
      <c r="AX122" s="416"/>
      <c r="AY122" s="416"/>
      <c r="AZ122" s="32"/>
    </row>
    <row r="123" spans="2:52">
      <c r="B123" s="1250" t="s">
        <v>624</v>
      </c>
      <c r="C123" s="1251"/>
      <c r="D123" s="411" t="s">
        <v>510</v>
      </c>
      <c r="E123" s="411"/>
      <c r="F123" s="411" t="s">
        <v>367</v>
      </c>
      <c r="G123" s="411" t="s">
        <v>368</v>
      </c>
      <c r="H123" s="412">
        <v>10274.504000000001</v>
      </c>
      <c r="I123" s="413" t="s">
        <v>494</v>
      </c>
      <c r="J123" s="414">
        <v>44935.416666666664</v>
      </c>
      <c r="K123" s="414"/>
      <c r="L123" s="414" t="s">
        <v>192</v>
      </c>
      <c r="M123" s="414" t="s">
        <v>192</v>
      </c>
      <c r="N123" s="413" t="str">
        <f t="shared" si="8"/>
        <v>On time</v>
      </c>
      <c r="O123" s="51"/>
      <c r="P123" s="415" t="s">
        <v>551</v>
      </c>
      <c r="Q123" s="415" t="s">
        <v>551</v>
      </c>
      <c r="R123" s="415" t="s">
        <v>551</v>
      </c>
      <c r="S123" s="32"/>
      <c r="T123" s="416"/>
      <c r="U123" s="416"/>
      <c r="V123" s="416"/>
      <c r="W123" s="416"/>
      <c r="X123" s="416"/>
      <c r="Y123" s="416">
        <f>H123</f>
        <v>10274.504000000001</v>
      </c>
      <c r="Z123" s="416"/>
      <c r="AA123" s="416"/>
      <c r="AB123" s="416"/>
      <c r="AC123" s="416"/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32"/>
    </row>
    <row r="124" spans="2:52">
      <c r="B124" s="1254"/>
      <c r="C124" s="1255"/>
      <c r="D124" s="411"/>
      <c r="E124" s="411"/>
      <c r="F124" s="1256" t="s">
        <v>616</v>
      </c>
      <c r="G124" s="1257"/>
      <c r="H124" s="412">
        <v>3300</v>
      </c>
      <c r="I124" s="413"/>
      <c r="J124" s="414"/>
      <c r="K124" s="414"/>
      <c r="L124" s="414"/>
      <c r="M124" s="414"/>
      <c r="N124" s="413" t="str">
        <f t="shared" si="8"/>
        <v xml:space="preserve"> </v>
      </c>
      <c r="O124" s="51"/>
      <c r="P124" s="415"/>
      <c r="Q124" s="415"/>
      <c r="R124" s="415"/>
      <c r="S124" s="32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/>
      <c r="AH124" s="416"/>
      <c r="AI124" s="416"/>
      <c r="AJ124" s="416"/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416"/>
      <c r="AZ124" s="32"/>
    </row>
    <row r="125" spans="2:52">
      <c r="B125" s="1250" t="s">
        <v>625</v>
      </c>
      <c r="C125" s="1251"/>
      <c r="D125" s="411" t="s">
        <v>495</v>
      </c>
      <c r="E125" s="411"/>
      <c r="F125" s="411" t="s">
        <v>380</v>
      </c>
      <c r="G125" s="411" t="s">
        <v>381</v>
      </c>
      <c r="H125" s="412">
        <f>7803.492-2891.458</f>
        <v>4912.0339999999997</v>
      </c>
      <c r="I125" s="413" t="s">
        <v>494</v>
      </c>
      <c r="J125" s="414">
        <v>44936.625</v>
      </c>
      <c r="K125" s="414"/>
      <c r="L125" s="414" t="s">
        <v>192</v>
      </c>
      <c r="M125" s="414" t="s">
        <v>192</v>
      </c>
      <c r="N125" s="413" t="str">
        <f t="shared" si="8"/>
        <v>DELAY ( 1 day 20 hour 48 minute )</v>
      </c>
      <c r="O125" s="51"/>
      <c r="P125" s="415" t="s">
        <v>551</v>
      </c>
      <c r="Q125" s="415" t="s">
        <v>551</v>
      </c>
      <c r="R125" s="415" t="s">
        <v>551</v>
      </c>
      <c r="S125" s="32"/>
      <c r="T125" s="416"/>
      <c r="U125" s="416"/>
      <c r="V125" s="416"/>
      <c r="W125" s="416"/>
      <c r="X125" s="416"/>
      <c r="Y125" s="416">
        <f>H125</f>
        <v>4912.0339999999997</v>
      </c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32"/>
    </row>
    <row r="126" spans="2:52">
      <c r="B126" s="1254"/>
      <c r="C126" s="1255"/>
      <c r="D126" s="411"/>
      <c r="E126" s="411"/>
      <c r="F126" s="1256" t="s">
        <v>616</v>
      </c>
      <c r="G126" s="1257"/>
      <c r="H126" s="412">
        <v>4000</v>
      </c>
      <c r="I126" s="413"/>
      <c r="J126" s="414"/>
      <c r="K126" s="414"/>
      <c r="L126" s="414"/>
      <c r="M126" s="414"/>
      <c r="N126" s="413" t="str">
        <f t="shared" si="8"/>
        <v xml:space="preserve"> </v>
      </c>
      <c r="O126" s="51"/>
      <c r="P126" s="415"/>
      <c r="Q126" s="415"/>
      <c r="R126" s="415"/>
      <c r="S126" s="32"/>
      <c r="T126" s="416"/>
      <c r="U126" s="416"/>
      <c r="V126" s="416"/>
      <c r="W126" s="416"/>
      <c r="X126" s="416"/>
      <c r="Y126" s="416"/>
      <c r="Z126" s="416"/>
      <c r="AA126" s="416"/>
      <c r="AB126" s="416"/>
      <c r="AC126" s="416"/>
      <c r="AD126" s="416"/>
      <c r="AE126" s="416"/>
      <c r="AF126" s="416"/>
      <c r="AG126" s="416"/>
      <c r="AH126" s="416"/>
      <c r="AI126" s="416"/>
      <c r="AJ126" s="416"/>
      <c r="AK126" s="416"/>
      <c r="AL126" s="416"/>
      <c r="AM126" s="416"/>
      <c r="AN126" s="416"/>
      <c r="AO126" s="416"/>
      <c r="AP126" s="416"/>
      <c r="AQ126" s="416"/>
      <c r="AR126" s="416"/>
      <c r="AS126" s="416"/>
      <c r="AT126" s="416"/>
      <c r="AU126" s="416"/>
      <c r="AV126" s="416"/>
      <c r="AW126" s="416"/>
      <c r="AX126" s="416"/>
      <c r="AY126" s="416"/>
      <c r="AZ126" s="32"/>
    </row>
    <row r="127" spans="2:52">
      <c r="B127" s="1258" t="s">
        <v>626</v>
      </c>
      <c r="C127" s="1259"/>
      <c r="D127" s="1259"/>
      <c r="E127" s="1259"/>
      <c r="F127" s="1259"/>
      <c r="G127" s="1260"/>
      <c r="H127" s="417">
        <f>H116+H117+H125+H121+H123+H119</f>
        <v>40290.635000000002</v>
      </c>
      <c r="I127" s="388"/>
      <c r="J127" s="293"/>
      <c r="K127" s="293"/>
      <c r="L127" s="293"/>
      <c r="M127" s="389"/>
      <c r="N127" s="413" t="str">
        <f t="shared" si="8"/>
        <v xml:space="preserve"> </v>
      </c>
      <c r="O127" s="47"/>
      <c r="P127" s="418"/>
      <c r="Q127" s="418"/>
      <c r="R127" s="418"/>
      <c r="S127" s="32"/>
      <c r="T127" s="1261"/>
      <c r="U127" s="1261"/>
      <c r="V127" s="1261"/>
      <c r="W127" s="1261"/>
      <c r="X127" s="1261"/>
      <c r="Y127" s="1261"/>
      <c r="Z127" s="1261"/>
      <c r="AA127" s="1261"/>
      <c r="AB127" s="1261"/>
      <c r="AC127" s="1261"/>
      <c r="AD127" s="1261"/>
      <c r="AE127" s="1261"/>
      <c r="AF127" s="1261"/>
      <c r="AG127" s="1261"/>
      <c r="AH127" s="1261"/>
      <c r="AI127" s="1261"/>
      <c r="AJ127" s="1261"/>
      <c r="AK127" s="1261"/>
      <c r="AL127" s="1261"/>
      <c r="AM127" s="1261"/>
      <c r="AN127" s="1261"/>
      <c r="AO127" s="1261"/>
      <c r="AP127" s="1261"/>
      <c r="AQ127" s="1261"/>
      <c r="AR127" s="1261"/>
      <c r="AS127" s="1261"/>
      <c r="AT127" s="1261"/>
      <c r="AU127" s="1261"/>
      <c r="AV127" s="1261"/>
      <c r="AW127" s="1261"/>
      <c r="AX127" s="1261"/>
      <c r="AY127" s="1261"/>
    </row>
    <row r="128" spans="2:52">
      <c r="B128" s="1258" t="s">
        <v>556</v>
      </c>
      <c r="C128" s="1259"/>
      <c r="D128" s="1259"/>
      <c r="E128" s="1259"/>
      <c r="F128" s="1259"/>
      <c r="G128" s="1260"/>
      <c r="H128" s="417">
        <f>H115+H127</f>
        <v>55600</v>
      </c>
      <c r="I128" s="388"/>
      <c r="J128" s="293"/>
      <c r="K128" s="293"/>
      <c r="L128" s="293"/>
      <c r="M128" s="389"/>
      <c r="N128" s="413" t="str">
        <f t="shared" si="8"/>
        <v xml:space="preserve"> </v>
      </c>
      <c r="O128" s="47"/>
      <c r="P128" s="418"/>
      <c r="Q128" s="418"/>
      <c r="R128" s="418"/>
      <c r="S128" s="32"/>
      <c r="T128" s="1262"/>
      <c r="U128" s="1263"/>
      <c r="V128" s="1263"/>
      <c r="W128" s="1263"/>
      <c r="X128" s="1263"/>
      <c r="Y128" s="1263"/>
      <c r="Z128" s="1263"/>
      <c r="AA128" s="1263"/>
      <c r="AB128" s="1263"/>
      <c r="AC128" s="1263"/>
      <c r="AD128" s="1263"/>
      <c r="AE128" s="1263"/>
      <c r="AF128" s="1263"/>
      <c r="AG128" s="1263"/>
      <c r="AH128" s="1263"/>
      <c r="AI128" s="1263"/>
      <c r="AJ128" s="1263"/>
      <c r="AK128" s="1263"/>
      <c r="AL128" s="1263"/>
      <c r="AM128" s="1263"/>
      <c r="AN128" s="1263"/>
      <c r="AO128" s="1263"/>
      <c r="AP128" s="1263"/>
      <c r="AQ128" s="1263"/>
      <c r="AR128" s="1263"/>
      <c r="AS128" s="1263"/>
      <c r="AT128" s="1263"/>
      <c r="AU128" s="1263"/>
      <c r="AV128" s="1263"/>
      <c r="AW128" s="1263"/>
      <c r="AX128" s="1263"/>
      <c r="AY128" s="1264"/>
    </row>
    <row r="129" spans="2:53">
      <c r="B129" s="1243" t="s">
        <v>557</v>
      </c>
      <c r="C129" s="1244"/>
      <c r="D129" s="1244"/>
      <c r="E129" s="1244"/>
      <c r="F129" s="1244"/>
      <c r="G129" s="1245"/>
      <c r="H129" s="419">
        <v>55600</v>
      </c>
      <c r="I129" s="1246"/>
      <c r="J129" s="1247"/>
      <c r="K129" s="1247"/>
      <c r="L129" s="1247"/>
      <c r="M129" s="1248"/>
      <c r="N129" s="413" t="str">
        <f t="shared" si="8"/>
        <v xml:space="preserve"> </v>
      </c>
      <c r="O129" s="32"/>
      <c r="P129" s="415"/>
      <c r="Q129" s="415"/>
      <c r="R129" s="415"/>
      <c r="S129" s="63"/>
      <c r="T129" s="416">
        <f>SUM(T113:T126)</f>
        <v>0</v>
      </c>
      <c r="U129" s="416">
        <f t="shared" ref="U129:AY129" si="9">SUM(U113:U126)</f>
        <v>0</v>
      </c>
      <c r="V129" s="416">
        <f t="shared" si="9"/>
        <v>0</v>
      </c>
      <c r="W129" s="416">
        <f t="shared" si="9"/>
        <v>0</v>
      </c>
      <c r="X129" s="416">
        <f t="shared" si="9"/>
        <v>0</v>
      </c>
      <c r="Y129" s="416">
        <f t="shared" si="9"/>
        <v>40290.635000000002</v>
      </c>
      <c r="Z129" s="416">
        <f t="shared" si="9"/>
        <v>0</v>
      </c>
      <c r="AA129" s="416">
        <f t="shared" si="9"/>
        <v>0</v>
      </c>
      <c r="AB129" s="416">
        <f t="shared" si="9"/>
        <v>15309.365</v>
      </c>
      <c r="AC129" s="416">
        <f t="shared" si="9"/>
        <v>0</v>
      </c>
      <c r="AD129" s="416">
        <f t="shared" si="9"/>
        <v>0</v>
      </c>
      <c r="AE129" s="416">
        <f t="shared" si="9"/>
        <v>0</v>
      </c>
      <c r="AF129" s="416">
        <f t="shared" si="9"/>
        <v>0</v>
      </c>
      <c r="AG129" s="416">
        <f t="shared" si="9"/>
        <v>0</v>
      </c>
      <c r="AH129" s="416">
        <f t="shared" si="9"/>
        <v>0</v>
      </c>
      <c r="AI129" s="416">
        <f t="shared" si="9"/>
        <v>0</v>
      </c>
      <c r="AJ129" s="416">
        <f t="shared" si="9"/>
        <v>0</v>
      </c>
      <c r="AK129" s="416">
        <f t="shared" si="9"/>
        <v>0</v>
      </c>
      <c r="AL129" s="416">
        <f t="shared" si="9"/>
        <v>0</v>
      </c>
      <c r="AM129" s="416">
        <f t="shared" si="9"/>
        <v>0</v>
      </c>
      <c r="AN129" s="416">
        <f t="shared" si="9"/>
        <v>0</v>
      </c>
      <c r="AO129" s="416">
        <f t="shared" si="9"/>
        <v>0</v>
      </c>
      <c r="AP129" s="416">
        <f t="shared" si="9"/>
        <v>0</v>
      </c>
      <c r="AQ129" s="416">
        <f t="shared" si="9"/>
        <v>0</v>
      </c>
      <c r="AR129" s="416">
        <f t="shared" si="9"/>
        <v>0</v>
      </c>
      <c r="AS129" s="416">
        <f t="shared" si="9"/>
        <v>0</v>
      </c>
      <c r="AT129" s="416">
        <f t="shared" si="9"/>
        <v>0</v>
      </c>
      <c r="AU129" s="416">
        <f t="shared" si="9"/>
        <v>0</v>
      </c>
      <c r="AV129" s="416">
        <f t="shared" si="9"/>
        <v>0</v>
      </c>
      <c r="AW129" s="416">
        <f t="shared" si="9"/>
        <v>0</v>
      </c>
      <c r="AX129" s="416">
        <f t="shared" si="9"/>
        <v>0</v>
      </c>
      <c r="AY129" s="416">
        <f t="shared" si="9"/>
        <v>0</v>
      </c>
      <c r="AZ129" s="416">
        <f>SUM(T129:AY129)</f>
        <v>55600</v>
      </c>
    </row>
    <row r="130" spans="2:53">
      <c r="B130" s="1243" t="s">
        <v>558</v>
      </c>
      <c r="C130" s="1244"/>
      <c r="D130" s="1244"/>
      <c r="E130" s="1244"/>
      <c r="F130" s="1244"/>
      <c r="G130" s="1245"/>
      <c r="H130" s="420">
        <f>H129-L107</f>
        <v>0</v>
      </c>
      <c r="I130" s="294"/>
      <c r="J130" s="295"/>
      <c r="K130" s="295"/>
      <c r="L130" s="296"/>
      <c r="M130" s="32"/>
      <c r="N130" s="32"/>
      <c r="O130" s="32"/>
      <c r="P130" s="32"/>
      <c r="Q130" s="297"/>
      <c r="R130" s="297"/>
      <c r="S130" s="32"/>
      <c r="T130" s="48"/>
      <c r="U130" s="48"/>
      <c r="V130" s="48"/>
      <c r="W130" s="48"/>
      <c r="X130" s="48"/>
      <c r="Y130" s="48"/>
      <c r="Z130" s="48"/>
      <c r="AA130" s="48"/>
      <c r="AB130" s="48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</row>
    <row r="131" spans="2:53">
      <c r="B131" s="1243" t="s">
        <v>559</v>
      </c>
      <c r="C131" s="1244"/>
      <c r="D131" s="1244"/>
      <c r="E131" s="1244"/>
      <c r="F131" s="1244"/>
      <c r="G131" s="1245"/>
      <c r="H131" s="420">
        <v>2080</v>
      </c>
      <c r="I131" s="52"/>
      <c r="J131" s="53"/>
      <c r="K131" s="53"/>
      <c r="L131" s="54"/>
      <c r="M131" s="32"/>
      <c r="N131" s="32"/>
      <c r="O131" s="32"/>
      <c r="P131" s="32"/>
      <c r="Q131" s="32"/>
      <c r="R131" s="32"/>
      <c r="S131" s="32"/>
      <c r="T131" s="48"/>
      <c r="U131" s="48"/>
      <c r="V131" s="48"/>
      <c r="W131" s="48"/>
      <c r="X131" s="48"/>
      <c r="Y131" s="48"/>
      <c r="Z131" s="48"/>
      <c r="AA131" s="48"/>
      <c r="AB131" s="48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</row>
    <row r="132" spans="2:53">
      <c r="B132" s="1243" t="s">
        <v>560</v>
      </c>
      <c r="C132" s="1244"/>
      <c r="D132" s="1244"/>
      <c r="E132" s="1244"/>
      <c r="F132" s="1244"/>
      <c r="G132" s="1245"/>
      <c r="H132" s="421">
        <f>H131-2891.458</f>
        <v>-811.45800000000008</v>
      </c>
      <c r="I132" s="255"/>
      <c r="J132" s="53"/>
      <c r="K132" s="53"/>
      <c r="L132" s="54"/>
      <c r="M132" s="32"/>
      <c r="N132" s="32"/>
      <c r="O132" s="32"/>
      <c r="P132" s="32"/>
      <c r="Q132" s="32"/>
      <c r="R132" s="32"/>
      <c r="S132" s="48"/>
      <c r="T132" s="48"/>
      <c r="U132" s="48"/>
      <c r="V132" s="48"/>
      <c r="W132" s="48"/>
      <c r="X132" s="48"/>
      <c r="Y132" s="48"/>
      <c r="Z132" s="48"/>
      <c r="AA132" s="48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2:53">
      <c r="B133" s="32"/>
      <c r="C133" s="32"/>
      <c r="D133" s="32"/>
      <c r="E133" s="32"/>
      <c r="F133" s="32"/>
      <c r="G133" s="32"/>
      <c r="H133" s="32"/>
      <c r="I133" s="57"/>
      <c r="J133" s="52"/>
      <c r="K133" s="52"/>
      <c r="L133" s="55"/>
      <c r="M133" s="32"/>
      <c r="N133" s="32"/>
      <c r="O133" s="52"/>
      <c r="P133" s="32"/>
      <c r="Q133" s="32"/>
      <c r="R133" s="32"/>
      <c r="S133" s="32"/>
      <c r="T133" s="48"/>
      <c r="U133" s="48"/>
      <c r="V133" s="48"/>
      <c r="W133" s="48"/>
      <c r="X133" s="48"/>
      <c r="Y133" s="48"/>
      <c r="Z133" s="48"/>
      <c r="AA133" s="48"/>
      <c r="AB133" s="48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</row>
    <row r="134" spans="2:53">
      <c r="B134" s="40" t="s">
        <v>561</v>
      </c>
      <c r="C134" s="40"/>
      <c r="D134" s="32"/>
      <c r="E134" s="32"/>
      <c r="F134" s="32"/>
      <c r="G134" s="32"/>
      <c r="H134" s="32"/>
      <c r="I134" s="32"/>
      <c r="J134" s="52"/>
      <c r="K134" s="52"/>
      <c r="L134" s="55"/>
      <c r="M134" s="32"/>
      <c r="N134" s="32"/>
      <c r="O134" s="52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Z134" s="32"/>
    </row>
    <row r="135" spans="2:53">
      <c r="B135" s="422">
        <v>1</v>
      </c>
      <c r="C135" s="1249" t="s">
        <v>627</v>
      </c>
      <c r="D135" s="1249"/>
      <c r="E135" s="1249"/>
      <c r="F135" s="1249"/>
      <c r="G135" s="1249"/>
      <c r="H135" s="1249"/>
      <c r="I135" s="1249"/>
      <c r="J135" s="1249"/>
      <c r="K135" s="1249"/>
      <c r="L135" s="55"/>
      <c r="M135" s="32"/>
      <c r="N135" s="32"/>
      <c r="O135" s="52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Z135" s="32"/>
    </row>
    <row r="137" spans="2:53">
      <c r="B137" s="28" t="s">
        <v>2</v>
      </c>
      <c r="C137" s="28"/>
      <c r="D137" s="29"/>
      <c r="E137" s="30" t="s">
        <v>511</v>
      </c>
      <c r="F137" s="31" t="s">
        <v>628</v>
      </c>
      <c r="G137" s="32"/>
      <c r="H137" s="33"/>
      <c r="I137" s="34"/>
      <c r="J137" s="35" t="s">
        <v>513</v>
      </c>
      <c r="K137" s="36" t="s">
        <v>511</v>
      </c>
      <c r="L137" s="37">
        <v>44937.902083333334</v>
      </c>
      <c r="M137" s="32"/>
      <c r="N137" s="32"/>
      <c r="O137" s="206"/>
      <c r="P137" s="205"/>
      <c r="Q137" s="202"/>
      <c r="R137" s="204"/>
      <c r="S137" s="38"/>
      <c r="T137" s="201"/>
      <c r="U137" s="201"/>
      <c r="V137" s="201"/>
      <c r="W137" s="201"/>
      <c r="X137" s="201"/>
      <c r="Y137" s="201"/>
      <c r="Z137" s="201"/>
      <c r="AA137" s="201"/>
      <c r="AB137" s="202"/>
      <c r="AC137" s="202"/>
      <c r="AD137" s="202"/>
      <c r="AE137" s="202"/>
      <c r="AF137" s="202"/>
      <c r="AG137" s="201"/>
      <c r="AH137" s="201"/>
      <c r="AI137" s="201"/>
      <c r="AJ137" s="201"/>
      <c r="AK137" s="201"/>
      <c r="AL137" s="201"/>
      <c r="AM137" s="201"/>
      <c r="AN137" s="201"/>
      <c r="AO137" s="201"/>
      <c r="AP137" s="201"/>
      <c r="AQ137" s="201"/>
      <c r="AR137" s="201"/>
      <c r="AS137" s="201"/>
      <c r="AT137" s="201"/>
      <c r="AU137" s="201"/>
      <c r="AV137" s="201"/>
      <c r="AW137" s="201"/>
      <c r="AX137" s="201"/>
      <c r="AY137" s="201"/>
      <c r="AZ137" s="201"/>
      <c r="BA137" s="201"/>
    </row>
    <row r="138" spans="2:53">
      <c r="B138" s="35" t="s">
        <v>514</v>
      </c>
      <c r="C138" s="35"/>
      <c r="D138" s="32"/>
      <c r="E138" s="36" t="s">
        <v>511</v>
      </c>
      <c r="F138" s="37" t="s">
        <v>629</v>
      </c>
      <c r="G138" s="32"/>
      <c r="H138" s="33"/>
      <c r="I138" s="34"/>
      <c r="J138" s="35" t="s">
        <v>516</v>
      </c>
      <c r="K138" s="36" t="s">
        <v>511</v>
      </c>
      <c r="L138" s="37">
        <v>44939.46597222222</v>
      </c>
      <c r="M138" s="32"/>
      <c r="N138" s="32"/>
      <c r="O138" s="206"/>
      <c r="P138" s="205"/>
      <c r="Q138" s="202"/>
      <c r="R138" s="204"/>
      <c r="S138" s="38"/>
      <c r="T138" s="201"/>
      <c r="U138" s="201"/>
      <c r="V138" s="201"/>
      <c r="W138" s="201"/>
      <c r="X138" s="201"/>
      <c r="Y138" s="201"/>
      <c r="Z138" s="201"/>
      <c r="AA138" s="201"/>
      <c r="AB138" s="202"/>
      <c r="AC138" s="202"/>
      <c r="AD138" s="202"/>
      <c r="AE138" s="202"/>
      <c r="AF138" s="202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</row>
    <row r="139" spans="2:53">
      <c r="B139" s="35" t="s">
        <v>517</v>
      </c>
      <c r="C139" s="35"/>
      <c r="D139" s="32"/>
      <c r="E139" s="36" t="s">
        <v>511</v>
      </c>
      <c r="F139" s="37">
        <v>44929.195833333331</v>
      </c>
      <c r="G139" s="32"/>
      <c r="H139" s="33"/>
      <c r="I139" s="34"/>
      <c r="J139" s="35" t="s">
        <v>518</v>
      </c>
      <c r="K139" s="36" t="s">
        <v>511</v>
      </c>
      <c r="L139" s="50">
        <v>58600</v>
      </c>
      <c r="M139" s="40" t="s">
        <v>519</v>
      </c>
      <c r="N139" s="40"/>
      <c r="O139" s="206"/>
      <c r="P139" s="205"/>
      <c r="Q139" s="202"/>
      <c r="R139" s="204"/>
      <c r="S139" s="38"/>
      <c r="T139" s="201"/>
      <c r="U139" s="201"/>
      <c r="V139" s="201"/>
      <c r="W139" s="201"/>
      <c r="X139" s="201"/>
      <c r="Y139" s="201"/>
      <c r="Z139" s="201"/>
      <c r="AA139" s="201"/>
      <c r="AB139" s="202"/>
      <c r="AC139" s="202"/>
      <c r="AD139" s="202"/>
      <c r="AE139" s="202"/>
      <c r="AF139" s="202"/>
      <c r="AG139" s="201"/>
      <c r="AH139" s="201"/>
      <c r="AI139" s="201"/>
      <c r="AJ139" s="201"/>
      <c r="AK139" s="201"/>
      <c r="AL139" s="201"/>
      <c r="AM139" s="201"/>
      <c r="AN139" s="201"/>
      <c r="AO139" s="201"/>
      <c r="AP139" s="201"/>
      <c r="AQ139" s="201"/>
      <c r="AR139" s="201"/>
      <c r="AS139" s="201"/>
      <c r="AT139" s="201"/>
      <c r="AU139" s="201"/>
      <c r="AV139" s="201"/>
      <c r="AW139" s="201"/>
      <c r="AX139" s="201"/>
      <c r="AY139" s="201"/>
      <c r="AZ139" s="201"/>
      <c r="BA139" s="201"/>
    </row>
    <row r="140" spans="2:53">
      <c r="B140" s="35" t="s">
        <v>520</v>
      </c>
      <c r="C140" s="35"/>
      <c r="D140" s="32"/>
      <c r="E140" s="36" t="s">
        <v>511</v>
      </c>
      <c r="F140" s="37" t="s">
        <v>20</v>
      </c>
      <c r="G140" s="32"/>
      <c r="H140" s="33"/>
      <c r="I140" s="34"/>
      <c r="J140" s="35" t="s">
        <v>521</v>
      </c>
      <c r="K140" s="36" t="s">
        <v>511</v>
      </c>
      <c r="L140" s="41" t="s">
        <v>630</v>
      </c>
      <c r="M140" s="32"/>
      <c r="N140" s="32"/>
      <c r="O140" s="206"/>
      <c r="P140" s="202"/>
      <c r="Q140" s="202"/>
      <c r="R140" s="204"/>
      <c r="S140" s="38"/>
      <c r="T140" s="201"/>
      <c r="U140" s="201"/>
      <c r="V140" s="201"/>
      <c r="W140" s="201"/>
      <c r="X140" s="201"/>
      <c r="Y140" s="201"/>
      <c r="Z140" s="201"/>
      <c r="AA140" s="201"/>
      <c r="AB140" s="202"/>
      <c r="AC140" s="202"/>
      <c r="AD140" s="202"/>
      <c r="AE140" s="202"/>
      <c r="AF140" s="202"/>
      <c r="AG140" s="201"/>
      <c r="AH140" s="201"/>
      <c r="AI140" s="201"/>
      <c r="AJ140" s="201"/>
      <c r="AK140" s="201"/>
      <c r="AL140" s="201"/>
      <c r="AM140" s="201"/>
      <c r="AN140" s="201"/>
      <c r="AO140" s="201"/>
      <c r="AP140" s="201"/>
      <c r="AQ140" s="201"/>
      <c r="AR140" s="201"/>
      <c r="AS140" s="201"/>
      <c r="AT140" s="201"/>
      <c r="AU140" s="201"/>
      <c r="AV140" s="201"/>
      <c r="AW140" s="201"/>
      <c r="AX140" s="201"/>
      <c r="AY140" s="201"/>
      <c r="AZ140" s="201"/>
      <c r="BA140" s="201"/>
    </row>
    <row r="141" spans="2:53">
      <c r="B141" s="35" t="s">
        <v>523</v>
      </c>
      <c r="C141" s="35"/>
      <c r="D141" s="32"/>
      <c r="E141" s="36" t="s">
        <v>511</v>
      </c>
      <c r="F141" s="37" t="s">
        <v>47</v>
      </c>
      <c r="G141" s="32"/>
      <c r="H141" s="33"/>
      <c r="I141" s="34"/>
      <c r="J141" s="42" t="s">
        <v>524</v>
      </c>
      <c r="K141" s="36" t="s">
        <v>511</v>
      </c>
      <c r="L141" s="43" t="s">
        <v>15</v>
      </c>
      <c r="M141" s="44"/>
      <c r="N141" s="44"/>
      <c r="O141" s="206"/>
      <c r="P141" s="205"/>
      <c r="Q141" s="202"/>
      <c r="R141" s="204"/>
      <c r="S141" s="38"/>
      <c r="T141" s="201"/>
      <c r="U141" s="201"/>
      <c r="V141" s="201"/>
      <c r="W141" s="201"/>
      <c r="X141" s="201"/>
      <c r="Y141" s="201"/>
      <c r="Z141" s="201"/>
      <c r="AA141" s="201"/>
      <c r="AB141" s="202"/>
      <c r="AC141" s="202"/>
      <c r="AD141" s="202"/>
      <c r="AE141" s="202"/>
      <c r="AF141" s="202"/>
      <c r="AG141" s="201"/>
      <c r="AH141" s="201"/>
      <c r="AI141" s="201"/>
      <c r="AJ141" s="201"/>
      <c r="AK141" s="201"/>
      <c r="AL141" s="201"/>
      <c r="AM141" s="201"/>
      <c r="AN141" s="201"/>
      <c r="AO141" s="201"/>
      <c r="AP141" s="201"/>
      <c r="AQ141" s="201"/>
      <c r="AR141" s="201"/>
      <c r="AS141" s="201"/>
      <c r="AT141" s="201"/>
      <c r="AU141" s="201"/>
      <c r="AV141" s="201"/>
      <c r="AW141" s="201"/>
      <c r="AX141" s="201"/>
      <c r="AY141" s="201"/>
      <c r="AZ141" s="201"/>
      <c r="BA141" s="201"/>
    </row>
    <row r="142" spans="2:53">
      <c r="B142" s="35" t="s">
        <v>2</v>
      </c>
      <c r="C142" s="35"/>
      <c r="D142" s="32"/>
      <c r="E142" s="36" t="s">
        <v>511</v>
      </c>
      <c r="F142" s="37" t="s">
        <v>14</v>
      </c>
      <c r="G142" s="32"/>
      <c r="H142" s="33"/>
      <c r="I142" s="45"/>
      <c r="J142" s="42"/>
      <c r="K142" s="36"/>
      <c r="L142" s="211"/>
      <c r="M142" s="201"/>
      <c r="N142" s="201"/>
      <c r="O142" s="42"/>
      <c r="P142" s="44"/>
      <c r="Q142" s="44"/>
      <c r="R142" s="44"/>
      <c r="S142" s="34"/>
      <c r="T142" s="201"/>
      <c r="U142" s="201"/>
      <c r="V142" s="201"/>
      <c r="W142" s="201"/>
      <c r="X142" s="201"/>
      <c r="Y142" s="201"/>
      <c r="Z142" s="201"/>
      <c r="AA142" s="201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201"/>
      <c r="AP142" s="201"/>
      <c r="AQ142" s="201"/>
      <c r="AR142" s="201"/>
      <c r="AS142" s="201"/>
      <c r="AT142" s="201"/>
      <c r="AU142" s="201"/>
      <c r="AV142" s="201"/>
      <c r="AW142" s="201"/>
      <c r="AX142" s="201"/>
      <c r="AY142" s="201"/>
      <c r="AZ142" s="201"/>
      <c r="BA142" s="201"/>
    </row>
    <row r="143" spans="2:53">
      <c r="B143" s="201"/>
      <c r="C143" s="201"/>
      <c r="D143" s="201"/>
      <c r="E143" s="201"/>
      <c r="F143" s="201"/>
      <c r="G143" s="201"/>
      <c r="H143" s="201"/>
      <c r="I143" s="45"/>
      <c r="J143" s="42"/>
      <c r="K143" s="42"/>
      <c r="L143" s="43"/>
      <c r="M143" s="44"/>
      <c r="N143" s="44"/>
      <c r="O143" s="42"/>
      <c r="P143" s="44"/>
      <c r="Q143" s="44"/>
      <c r="R143" s="44"/>
      <c r="S143" s="34"/>
      <c r="T143" s="1265" t="s">
        <v>87</v>
      </c>
      <c r="U143" s="1265"/>
      <c r="V143" s="1265"/>
      <c r="W143" s="1265"/>
      <c r="X143" s="1265"/>
      <c r="Y143" s="1265" t="s">
        <v>73</v>
      </c>
      <c r="Z143" s="1265"/>
      <c r="AA143" s="1265"/>
      <c r="AB143" s="1265" t="s">
        <v>74</v>
      </c>
      <c r="AC143" s="1265"/>
      <c r="AD143" s="423" t="s">
        <v>85</v>
      </c>
      <c r="AE143" s="423" t="s">
        <v>77</v>
      </c>
      <c r="AF143" s="1271" t="s">
        <v>525</v>
      </c>
      <c r="AG143" s="1272"/>
      <c r="AH143" s="1272"/>
      <c r="AI143" s="1272"/>
      <c r="AJ143" s="1272"/>
      <c r="AK143" s="1272"/>
      <c r="AL143" s="1272"/>
      <c r="AM143" s="1272"/>
      <c r="AN143" s="1272"/>
      <c r="AO143" s="1272"/>
      <c r="AP143" s="1272"/>
      <c r="AQ143" s="1272"/>
      <c r="AR143" s="1272"/>
      <c r="AS143" s="1272"/>
      <c r="AT143" s="1272"/>
      <c r="AU143" s="1272"/>
      <c r="AV143" s="1272"/>
      <c r="AW143" s="1272"/>
      <c r="AX143" s="1272"/>
      <c r="AY143" s="1272"/>
      <c r="AZ143" s="1272"/>
      <c r="BA143" s="201"/>
    </row>
    <row r="144" spans="2:53">
      <c r="B144" s="1266" t="s">
        <v>526</v>
      </c>
      <c r="C144" s="1267"/>
      <c r="D144" s="570" t="s">
        <v>527</v>
      </c>
      <c r="E144" s="570"/>
      <c r="F144" s="570" t="s">
        <v>528</v>
      </c>
      <c r="G144" s="570" t="s">
        <v>529</v>
      </c>
      <c r="H144" s="570" t="s">
        <v>530</v>
      </c>
      <c r="I144" s="570" t="s">
        <v>531</v>
      </c>
      <c r="J144" s="570" t="s">
        <v>532</v>
      </c>
      <c r="K144" s="570"/>
      <c r="L144" s="570" t="s">
        <v>130</v>
      </c>
      <c r="M144" s="570" t="s">
        <v>533</v>
      </c>
      <c r="N144" s="408" t="str">
        <f>"On time - "&amp;COUNTIF(N145:N152,"On time")&amp;" from "&amp;ROWS(N145:N152)-COUNTIF(N145:N152," ")</f>
        <v>On time - 6 from 8</v>
      </c>
      <c r="O144" s="46"/>
      <c r="P144" s="409" t="s">
        <v>534</v>
      </c>
      <c r="Q144" s="409" t="s">
        <v>535</v>
      </c>
      <c r="R144" s="409" t="s">
        <v>536</v>
      </c>
      <c r="S144" s="32"/>
      <c r="T144" s="424" t="s">
        <v>537</v>
      </c>
      <c r="U144" s="424" t="s">
        <v>538</v>
      </c>
      <c r="V144" s="424" t="s">
        <v>539</v>
      </c>
      <c r="W144" s="424" t="s">
        <v>540</v>
      </c>
      <c r="X144" s="424" t="s">
        <v>541</v>
      </c>
      <c r="Y144" s="424" t="s">
        <v>167</v>
      </c>
      <c r="Z144" s="424" t="s">
        <v>168</v>
      </c>
      <c r="AA144" s="424" t="s">
        <v>169</v>
      </c>
      <c r="AB144" s="424" t="s">
        <v>235</v>
      </c>
      <c r="AC144" s="424" t="s">
        <v>542</v>
      </c>
      <c r="AD144" s="423" t="s">
        <v>85</v>
      </c>
      <c r="AE144" s="424" t="s">
        <v>139</v>
      </c>
      <c r="AF144" s="424" t="s">
        <v>72</v>
      </c>
      <c r="AG144" s="424" t="s">
        <v>88</v>
      </c>
      <c r="AH144" s="424" t="s">
        <v>75</v>
      </c>
      <c r="AI144" s="424" t="s">
        <v>543</v>
      </c>
      <c r="AJ144" s="424" t="s">
        <v>78</v>
      </c>
      <c r="AK144" s="424" t="s">
        <v>76</v>
      </c>
      <c r="AL144" s="424" t="s">
        <v>544</v>
      </c>
      <c r="AM144" s="424" t="s">
        <v>545</v>
      </c>
      <c r="AN144" s="424" t="s">
        <v>86</v>
      </c>
      <c r="AO144" s="424" t="s">
        <v>83</v>
      </c>
      <c r="AP144" s="424" t="s">
        <v>84</v>
      </c>
      <c r="AQ144" s="424" t="s">
        <v>546</v>
      </c>
      <c r="AR144" s="424" t="s">
        <v>81</v>
      </c>
      <c r="AS144" s="424" t="s">
        <v>80</v>
      </c>
      <c r="AT144" s="424" t="s">
        <v>82</v>
      </c>
      <c r="AU144" s="424" t="s">
        <v>181</v>
      </c>
      <c r="AV144" s="424" t="s">
        <v>183</v>
      </c>
      <c r="AW144" s="424" t="s">
        <v>547</v>
      </c>
      <c r="AX144" s="424" t="s">
        <v>182</v>
      </c>
      <c r="AY144" s="424" t="s">
        <v>172</v>
      </c>
      <c r="AZ144" s="424" t="s">
        <v>173</v>
      </c>
      <c r="BA144" s="201"/>
    </row>
    <row r="145" spans="2:53">
      <c r="B145" s="1256">
        <v>1</v>
      </c>
      <c r="C145" s="1257"/>
      <c r="D145" s="411" t="s">
        <v>631</v>
      </c>
      <c r="E145" s="411"/>
      <c r="F145" s="411" t="s">
        <v>208</v>
      </c>
      <c r="G145" s="411" t="s">
        <v>209</v>
      </c>
      <c r="H145" s="412">
        <v>7057.3519999999999</v>
      </c>
      <c r="I145" s="413" t="s">
        <v>182</v>
      </c>
      <c r="J145" s="414">
        <v>44900.184027777781</v>
      </c>
      <c r="K145" s="414"/>
      <c r="L145" s="414" t="s">
        <v>192</v>
      </c>
      <c r="M145" s="414" t="s">
        <v>192</v>
      </c>
      <c r="N145" s="413" t="str">
        <f t="shared" ref="N145:N151" si="10">IF(ISBLANK(J145)," ",IF(J145&lt;$F$139,"On time",(IF(DAY(J145-$F$139)&lt;1,"On time",(IF(J145&gt;$F$139,"DELAY ( "&amp;DAY(J145-$F$139)&amp;" day "&amp;HOUR(J145-$F$139)&amp;" hour "&amp;MINUTE(J145-$F$139)&amp;" minute )","xxx"))))))</f>
        <v>On time</v>
      </c>
      <c r="O145" s="51"/>
      <c r="P145" s="415" t="s">
        <v>551</v>
      </c>
      <c r="Q145" s="415" t="s">
        <v>551</v>
      </c>
      <c r="R145" s="415" t="s">
        <v>551</v>
      </c>
      <c r="S145" s="32"/>
      <c r="T145" s="416"/>
      <c r="U145" s="416"/>
      <c r="V145" s="416"/>
      <c r="W145" s="416"/>
      <c r="X145" s="416"/>
      <c r="Y145" s="416"/>
      <c r="Z145" s="416"/>
      <c r="AA145" s="416"/>
      <c r="AB145" s="416"/>
      <c r="AC145" s="416"/>
      <c r="AD145" s="416"/>
      <c r="AE145" s="416"/>
      <c r="AF145" s="416"/>
      <c r="AG145" s="416"/>
      <c r="AH145" s="416"/>
      <c r="AI145" s="416"/>
      <c r="AJ145" s="416"/>
      <c r="AK145" s="416"/>
      <c r="AL145" s="416"/>
      <c r="AM145" s="416"/>
      <c r="AN145" s="416"/>
      <c r="AO145" s="416"/>
      <c r="AP145" s="416"/>
      <c r="AQ145" s="416"/>
      <c r="AR145" s="416"/>
      <c r="AS145" s="416"/>
      <c r="AT145" s="416"/>
      <c r="AU145" s="416"/>
      <c r="AV145" s="416"/>
      <c r="AW145" s="416"/>
      <c r="AX145" s="416">
        <f>H145</f>
        <v>7057.3519999999999</v>
      </c>
      <c r="AY145" s="416"/>
      <c r="AZ145" s="416"/>
      <c r="BA145" s="32"/>
    </row>
    <row r="146" spans="2:53">
      <c r="B146" s="1256">
        <v>2</v>
      </c>
      <c r="C146" s="1257"/>
      <c r="D146" s="411" t="s">
        <v>632</v>
      </c>
      <c r="E146" s="411"/>
      <c r="F146" s="411" t="s">
        <v>352</v>
      </c>
      <c r="G146" s="411" t="s">
        <v>353</v>
      </c>
      <c r="H146" s="412">
        <v>9110.7510000000002</v>
      </c>
      <c r="I146" s="413" t="s">
        <v>240</v>
      </c>
      <c r="J146" s="414">
        <v>44929.895833333336</v>
      </c>
      <c r="K146" s="414"/>
      <c r="L146" s="414" t="s">
        <v>192</v>
      </c>
      <c r="M146" s="414" t="s">
        <v>192</v>
      </c>
      <c r="N146" s="413" t="str">
        <f t="shared" si="10"/>
        <v>On time</v>
      </c>
      <c r="O146" s="51"/>
      <c r="P146" s="415" t="s">
        <v>551</v>
      </c>
      <c r="Q146" s="415" t="s">
        <v>551</v>
      </c>
      <c r="R146" s="415" t="s">
        <v>551</v>
      </c>
      <c r="S146" s="32"/>
      <c r="T146" s="416"/>
      <c r="U146" s="416"/>
      <c r="V146" s="416"/>
      <c r="W146" s="416"/>
      <c r="X146" s="416"/>
      <c r="Y146" s="416"/>
      <c r="Z146" s="416"/>
      <c r="AA146" s="416"/>
      <c r="AB146" s="416"/>
      <c r="AC146" s="416">
        <f>H146</f>
        <v>9110.7510000000002</v>
      </c>
      <c r="AD146" s="416"/>
      <c r="AE146" s="416"/>
      <c r="AF146" s="416"/>
      <c r="AG146" s="416"/>
      <c r="AH146" s="416"/>
      <c r="AI146" s="416"/>
      <c r="AJ146" s="416"/>
      <c r="AK146" s="416"/>
      <c r="AL146" s="416"/>
      <c r="AM146" s="416"/>
      <c r="AN146" s="416"/>
      <c r="AO146" s="416"/>
      <c r="AP146" s="416"/>
      <c r="AQ146" s="416"/>
      <c r="AR146" s="416"/>
      <c r="AS146" s="416"/>
      <c r="AT146" s="416"/>
      <c r="AU146" s="416"/>
      <c r="AV146" s="416"/>
      <c r="AW146" s="416"/>
      <c r="AX146" s="416"/>
      <c r="AY146" s="416"/>
      <c r="AZ146" s="416"/>
      <c r="BA146" s="32"/>
    </row>
    <row r="147" spans="2:53">
      <c r="B147" s="1256">
        <v>3</v>
      </c>
      <c r="C147" s="1257"/>
      <c r="D147" s="411" t="s">
        <v>633</v>
      </c>
      <c r="E147" s="411"/>
      <c r="F147" s="411" t="s">
        <v>358</v>
      </c>
      <c r="G147" s="411" t="s">
        <v>359</v>
      </c>
      <c r="H147" s="412">
        <v>9312.9869999999992</v>
      </c>
      <c r="I147" s="413" t="s">
        <v>240</v>
      </c>
      <c r="J147" s="414">
        <v>44929.902777777781</v>
      </c>
      <c r="K147" s="414"/>
      <c r="L147" s="414" t="s">
        <v>192</v>
      </c>
      <c r="M147" s="414" t="s">
        <v>192</v>
      </c>
      <c r="N147" s="413" t="str">
        <f t="shared" si="10"/>
        <v>On time</v>
      </c>
      <c r="O147" s="51"/>
      <c r="P147" s="415" t="s">
        <v>551</v>
      </c>
      <c r="Q147" s="415" t="s">
        <v>551</v>
      </c>
      <c r="R147" s="415" t="s">
        <v>551</v>
      </c>
      <c r="S147" s="32"/>
      <c r="T147" s="416"/>
      <c r="U147" s="416"/>
      <c r="V147" s="416"/>
      <c r="W147" s="416"/>
      <c r="X147" s="416"/>
      <c r="Y147" s="416"/>
      <c r="Z147" s="416"/>
      <c r="AA147" s="416"/>
      <c r="AB147" s="416"/>
      <c r="AC147" s="416">
        <f>H147</f>
        <v>9312.9869999999992</v>
      </c>
      <c r="AD147" s="416"/>
      <c r="AE147" s="416"/>
      <c r="AF147" s="416"/>
      <c r="AG147" s="416"/>
      <c r="AH147" s="416"/>
      <c r="AI147" s="416"/>
      <c r="AJ147" s="416"/>
      <c r="AK147" s="416"/>
      <c r="AL147" s="416"/>
      <c r="AM147" s="416"/>
      <c r="AN147" s="416"/>
      <c r="AO147" s="416"/>
      <c r="AP147" s="416"/>
      <c r="AQ147" s="416"/>
      <c r="AR147" s="416"/>
      <c r="AS147" s="416"/>
      <c r="AT147" s="416"/>
      <c r="AU147" s="416"/>
      <c r="AV147" s="416"/>
      <c r="AW147" s="416"/>
      <c r="AX147" s="416"/>
      <c r="AY147" s="416"/>
      <c r="AZ147" s="416"/>
      <c r="BA147" s="32"/>
    </row>
    <row r="148" spans="2:53">
      <c r="B148" s="1256">
        <v>4</v>
      </c>
      <c r="C148" s="1257"/>
      <c r="D148" s="411" t="s">
        <v>634</v>
      </c>
      <c r="E148" s="411"/>
      <c r="F148" s="411" t="s">
        <v>374</v>
      </c>
      <c r="G148" s="411" t="s">
        <v>375</v>
      </c>
      <c r="H148" s="412">
        <v>7602.0739999999996</v>
      </c>
      <c r="I148" s="413" t="s">
        <v>240</v>
      </c>
      <c r="J148" s="414">
        <v>44929.979166666664</v>
      </c>
      <c r="K148" s="414"/>
      <c r="L148" s="414" t="s">
        <v>192</v>
      </c>
      <c r="M148" s="414" t="s">
        <v>192</v>
      </c>
      <c r="N148" s="413" t="str">
        <f t="shared" si="10"/>
        <v>On time</v>
      </c>
      <c r="O148" s="51"/>
      <c r="P148" s="415" t="s">
        <v>551</v>
      </c>
      <c r="Q148" s="415" t="s">
        <v>551</v>
      </c>
      <c r="R148" s="415" t="s">
        <v>551</v>
      </c>
      <c r="S148" s="32"/>
      <c r="T148" s="416"/>
      <c r="U148" s="416"/>
      <c r="V148" s="416"/>
      <c r="W148" s="416"/>
      <c r="X148" s="416"/>
      <c r="Y148" s="416"/>
      <c r="Z148" s="416"/>
      <c r="AA148" s="416"/>
      <c r="AB148" s="416"/>
      <c r="AC148" s="416">
        <f>H148</f>
        <v>7602.0739999999996</v>
      </c>
      <c r="AD148" s="416"/>
      <c r="AE148" s="416"/>
      <c r="AF148" s="416"/>
      <c r="AG148" s="416"/>
      <c r="AH148" s="416"/>
      <c r="AI148" s="416"/>
      <c r="AJ148" s="416"/>
      <c r="AK148" s="416"/>
      <c r="AL148" s="416"/>
      <c r="AM148" s="416"/>
      <c r="AN148" s="416"/>
      <c r="AO148" s="416"/>
      <c r="AP148" s="416"/>
      <c r="AQ148" s="416"/>
      <c r="AR148" s="416"/>
      <c r="AS148" s="416"/>
      <c r="AT148" s="416"/>
      <c r="AU148" s="416"/>
      <c r="AV148" s="416"/>
      <c r="AW148" s="416"/>
      <c r="AX148" s="416"/>
      <c r="AY148" s="416"/>
      <c r="AZ148" s="416"/>
      <c r="BA148" s="32"/>
    </row>
    <row r="149" spans="2:53">
      <c r="B149" s="1256">
        <v>5</v>
      </c>
      <c r="C149" s="1257"/>
      <c r="D149" s="411" t="s">
        <v>635</v>
      </c>
      <c r="E149" s="411"/>
      <c r="F149" s="411" t="s">
        <v>371</v>
      </c>
      <c r="G149" s="411" t="s">
        <v>372</v>
      </c>
      <c r="H149" s="412">
        <v>7403.049</v>
      </c>
      <c r="I149" s="413" t="s">
        <v>240</v>
      </c>
      <c r="J149" s="414">
        <v>44930.083333333336</v>
      </c>
      <c r="K149" s="414"/>
      <c r="L149" s="414" t="s">
        <v>192</v>
      </c>
      <c r="M149" s="414" t="s">
        <v>192</v>
      </c>
      <c r="N149" s="413" t="str">
        <f t="shared" si="10"/>
        <v>On time</v>
      </c>
      <c r="O149" s="51"/>
      <c r="P149" s="415" t="s">
        <v>551</v>
      </c>
      <c r="Q149" s="415" t="s">
        <v>551</v>
      </c>
      <c r="R149" s="415" t="s">
        <v>551</v>
      </c>
      <c r="S149" s="32"/>
      <c r="T149" s="416"/>
      <c r="U149" s="416"/>
      <c r="V149" s="416"/>
      <c r="W149" s="416"/>
      <c r="X149" s="416"/>
      <c r="Y149" s="416"/>
      <c r="Z149" s="416"/>
      <c r="AA149" s="416"/>
      <c r="AB149" s="416"/>
      <c r="AC149" s="416">
        <f>H149</f>
        <v>7403.049</v>
      </c>
      <c r="AD149" s="416"/>
      <c r="AE149" s="416"/>
      <c r="AF149" s="416"/>
      <c r="AG149" s="416"/>
      <c r="AH149" s="416"/>
      <c r="AI149" s="416"/>
      <c r="AJ149" s="416"/>
      <c r="AK149" s="416"/>
      <c r="AL149" s="416"/>
      <c r="AM149" s="416"/>
      <c r="AN149" s="416"/>
      <c r="AO149" s="416"/>
      <c r="AP149" s="416"/>
      <c r="AQ149" s="416"/>
      <c r="AR149" s="416"/>
      <c r="AS149" s="416"/>
      <c r="AT149" s="416"/>
      <c r="AU149" s="416"/>
      <c r="AV149" s="416"/>
      <c r="AW149" s="416"/>
      <c r="AX149" s="416"/>
      <c r="AY149" s="416"/>
      <c r="AZ149" s="416"/>
      <c r="BA149" s="32"/>
    </row>
    <row r="150" spans="2:53">
      <c r="B150" s="1256">
        <v>6</v>
      </c>
      <c r="C150" s="1257"/>
      <c r="D150" s="411" t="s">
        <v>636</v>
      </c>
      <c r="E150" s="411"/>
      <c r="F150" s="411" t="s">
        <v>377</v>
      </c>
      <c r="G150" s="411" t="s">
        <v>378</v>
      </c>
      <c r="H150" s="412">
        <v>7706.1310000000003</v>
      </c>
      <c r="I150" s="413" t="s">
        <v>240</v>
      </c>
      <c r="J150" s="414">
        <v>44930.166666666664</v>
      </c>
      <c r="K150" s="414"/>
      <c r="L150" s="414" t="s">
        <v>192</v>
      </c>
      <c r="M150" s="414" t="s">
        <v>192</v>
      </c>
      <c r="N150" s="413" t="str">
        <f t="shared" si="10"/>
        <v>On time</v>
      </c>
      <c r="O150" s="51"/>
      <c r="P150" s="415" t="s">
        <v>551</v>
      </c>
      <c r="Q150" s="415" t="s">
        <v>551</v>
      </c>
      <c r="R150" s="415" t="s">
        <v>551</v>
      </c>
      <c r="S150" s="32"/>
      <c r="T150" s="416"/>
      <c r="U150" s="416"/>
      <c r="V150" s="416"/>
      <c r="W150" s="416"/>
      <c r="X150" s="416"/>
      <c r="Y150" s="416"/>
      <c r="Z150" s="416"/>
      <c r="AA150" s="416"/>
      <c r="AB150" s="416"/>
      <c r="AC150" s="416">
        <f>H150</f>
        <v>7706.1310000000003</v>
      </c>
      <c r="AD150" s="416"/>
      <c r="AE150" s="416"/>
      <c r="AF150" s="416"/>
      <c r="AG150" s="416"/>
      <c r="AH150" s="416"/>
      <c r="AI150" s="416"/>
      <c r="AJ150" s="416"/>
      <c r="AK150" s="416"/>
      <c r="AL150" s="416"/>
      <c r="AM150" s="416"/>
      <c r="AN150" s="416"/>
      <c r="AO150" s="416"/>
      <c r="AP150" s="416"/>
      <c r="AQ150" s="416"/>
      <c r="AR150" s="416"/>
      <c r="AS150" s="416"/>
      <c r="AT150" s="416"/>
      <c r="AU150" s="416"/>
      <c r="AV150" s="416"/>
      <c r="AW150" s="416"/>
      <c r="AX150" s="416"/>
      <c r="AY150" s="416"/>
      <c r="AZ150" s="416"/>
      <c r="BA150" s="32"/>
    </row>
    <row r="151" spans="2:53">
      <c r="B151" s="1256">
        <v>7</v>
      </c>
      <c r="C151" s="1257"/>
      <c r="D151" s="411" t="s">
        <v>637</v>
      </c>
      <c r="E151" s="411"/>
      <c r="F151" s="411" t="s">
        <v>429</v>
      </c>
      <c r="G151" s="411" t="s">
        <v>430</v>
      </c>
      <c r="H151" s="412">
        <v>7683.9139999999998</v>
      </c>
      <c r="I151" s="413" t="s">
        <v>638</v>
      </c>
      <c r="J151" s="414">
        <v>44930.388888888891</v>
      </c>
      <c r="K151" s="414"/>
      <c r="L151" s="414" t="s">
        <v>192</v>
      </c>
      <c r="M151" s="414" t="s">
        <v>192</v>
      </c>
      <c r="N151" s="413" t="str">
        <f t="shared" si="10"/>
        <v>DELAY ( 1 day 4 hour 38 minute )</v>
      </c>
      <c r="O151" s="51"/>
      <c r="P151" s="415" t="s">
        <v>551</v>
      </c>
      <c r="Q151" s="415" t="s">
        <v>551</v>
      </c>
      <c r="R151" s="415" t="s">
        <v>551</v>
      </c>
      <c r="S151" s="32"/>
      <c r="T151" s="416"/>
      <c r="U151" s="416"/>
      <c r="V151" s="416"/>
      <c r="W151" s="416"/>
      <c r="X151" s="416"/>
      <c r="Y151" s="416">
        <f>H151*0.35</f>
        <v>2689.3698999999997</v>
      </c>
      <c r="Z151" s="416">
        <f>H151*0.65</f>
        <v>4994.5441000000001</v>
      </c>
      <c r="AA151" s="416"/>
      <c r="AB151" s="416"/>
      <c r="AC151" s="416"/>
      <c r="AD151" s="416"/>
      <c r="AE151" s="416"/>
      <c r="AF151" s="416"/>
      <c r="AG151" s="416"/>
      <c r="AH151" s="416"/>
      <c r="AI151" s="416"/>
      <c r="AJ151" s="416"/>
      <c r="AK151" s="416"/>
      <c r="AL151" s="416"/>
      <c r="AM151" s="416"/>
      <c r="AN151" s="416"/>
      <c r="AO151" s="416"/>
      <c r="AP151" s="416"/>
      <c r="AQ151" s="416"/>
      <c r="AR151" s="416"/>
      <c r="AS151" s="416"/>
      <c r="AT151" s="416"/>
      <c r="AU151" s="416"/>
      <c r="AV151" s="416"/>
      <c r="AW151" s="416"/>
      <c r="AX151" s="416"/>
      <c r="AY151" s="416"/>
      <c r="AZ151" s="416"/>
      <c r="BA151" s="32"/>
    </row>
    <row r="152" spans="2:53">
      <c r="B152" s="1256">
        <v>8</v>
      </c>
      <c r="C152" s="1257"/>
      <c r="D152" s="1256" t="s">
        <v>610</v>
      </c>
      <c r="E152" s="1276"/>
      <c r="F152" s="1276"/>
      <c r="G152" s="1257"/>
      <c r="H152" s="412">
        <f>H154-SUM(H145:H151)</f>
        <v>2723.7420000000056</v>
      </c>
      <c r="I152" s="413" t="s">
        <v>639</v>
      </c>
      <c r="J152" s="414"/>
      <c r="K152" s="414"/>
      <c r="L152" s="414"/>
      <c r="M152" s="414"/>
      <c r="N152" s="413"/>
      <c r="O152" s="51"/>
      <c r="P152" s="415" t="s">
        <v>551</v>
      </c>
      <c r="Q152" s="415"/>
      <c r="R152" s="415"/>
      <c r="S152" s="32"/>
      <c r="T152" s="416">
        <v>1364.3609339042191</v>
      </c>
      <c r="U152" s="416"/>
      <c r="V152" s="416"/>
      <c r="W152" s="416"/>
      <c r="X152" s="416">
        <v>1359.3809341272145</v>
      </c>
      <c r="Y152" s="416"/>
      <c r="Z152" s="416"/>
      <c r="AA152" s="416"/>
      <c r="AB152" s="416"/>
      <c r="AC152" s="416"/>
      <c r="AD152" s="416"/>
      <c r="AE152" s="416"/>
      <c r="AF152" s="416"/>
      <c r="AG152" s="416"/>
      <c r="AH152" s="416"/>
      <c r="AI152" s="416"/>
      <c r="AJ152" s="416"/>
      <c r="AK152" s="416"/>
      <c r="AL152" s="416"/>
      <c r="AM152" s="416"/>
      <c r="AN152" s="416"/>
      <c r="AO152" s="416"/>
      <c r="AP152" s="416"/>
      <c r="AQ152" s="416"/>
      <c r="AR152" s="416"/>
      <c r="AS152" s="416"/>
      <c r="AT152" s="416"/>
      <c r="AU152" s="416"/>
      <c r="AV152" s="416"/>
      <c r="AW152" s="416"/>
      <c r="AX152" s="416"/>
      <c r="AY152" s="416"/>
      <c r="AZ152" s="416"/>
      <c r="BA152" s="32"/>
    </row>
    <row r="153" spans="2:53">
      <c r="B153" s="1258" t="s">
        <v>556</v>
      </c>
      <c r="C153" s="1259"/>
      <c r="D153" s="1259"/>
      <c r="E153" s="1259"/>
      <c r="F153" s="1259"/>
      <c r="G153" s="1260"/>
      <c r="H153" s="417">
        <f>SUM(H145:H152)</f>
        <v>58600</v>
      </c>
      <c r="I153" s="388"/>
      <c r="J153" s="293"/>
      <c r="K153" s="293"/>
      <c r="L153" s="293"/>
      <c r="M153" s="389"/>
      <c r="N153" s="413" t="str">
        <f>IF(ISBLANK(J153)," ",IF(J153&lt;$F$4,"On time",(IF(DAY(J153-$F$4)&lt;1,"On time",(IF(J153&gt;$F$4,"DELAY ( "&amp;DAY(J153-$F$4)&amp;" day "&amp;HOUR(J153-$F$4)&amp;" hour "&amp;MINUTE(J153-$F$4)&amp;" minute )","xxx"))))))</f>
        <v xml:space="preserve"> </v>
      </c>
      <c r="O153" s="212"/>
      <c r="P153" s="418"/>
      <c r="Q153" s="418"/>
      <c r="R153" s="418"/>
      <c r="S153" s="207"/>
      <c r="T153" s="1261"/>
      <c r="U153" s="1261"/>
      <c r="V153" s="1261"/>
      <c r="W153" s="1261"/>
      <c r="X153" s="1261"/>
      <c r="Y153" s="1261"/>
      <c r="Z153" s="1261"/>
      <c r="AA153" s="1261"/>
      <c r="AB153" s="1261"/>
      <c r="AC153" s="1261"/>
      <c r="AD153" s="1261"/>
      <c r="AE153" s="1261"/>
      <c r="AF153" s="1261"/>
      <c r="AG153" s="1261"/>
      <c r="AH153" s="1261"/>
      <c r="AI153" s="1261"/>
      <c r="AJ153" s="1261"/>
      <c r="AK153" s="1261"/>
      <c r="AL153" s="1261"/>
      <c r="AM153" s="1261"/>
      <c r="AN153" s="1261"/>
      <c r="AO153" s="1261"/>
      <c r="AP153" s="1261"/>
      <c r="AQ153" s="1261"/>
      <c r="AR153" s="1261"/>
      <c r="AS153" s="1261"/>
      <c r="AT153" s="1261"/>
      <c r="AU153" s="1261"/>
      <c r="AV153" s="1261"/>
      <c r="AW153" s="1261"/>
      <c r="AX153" s="1261"/>
      <c r="AY153" s="1261"/>
      <c r="AZ153" s="1261"/>
    </row>
    <row r="154" spans="2:53">
      <c r="B154" s="1243" t="s">
        <v>557</v>
      </c>
      <c r="C154" s="1244"/>
      <c r="D154" s="1244"/>
      <c r="E154" s="1244"/>
      <c r="F154" s="1244"/>
      <c r="G154" s="1245"/>
      <c r="H154" s="419">
        <v>58600</v>
      </c>
      <c r="I154" s="1246"/>
      <c r="J154" s="1247"/>
      <c r="K154" s="1247"/>
      <c r="L154" s="1247"/>
      <c r="M154" s="1248"/>
      <c r="N154" s="413" t="str">
        <f>IF(ISBLANK(J154)," ",IF(J154&lt;$F$4,"On time",(IF(DAY(J154-$F$4)&lt;1,"On time",(IF(J154&gt;$F$4,"DELAY ( "&amp;DAY(J154-$F$4)&amp;" day "&amp;HOUR(J154-$F$4)&amp;" hour "&amp;MINUTE(J154-$F$4)&amp;" minute )","xxx"))))))</f>
        <v xml:space="preserve"> </v>
      </c>
      <c r="O154" s="32"/>
      <c r="P154" s="415"/>
      <c r="Q154" s="415"/>
      <c r="R154" s="415"/>
      <c r="S154" s="63"/>
      <c r="T154" s="416">
        <f>SUM(T145:T152)</f>
        <v>1364.3609339042191</v>
      </c>
      <c r="U154" s="416">
        <f t="shared" ref="U154:AZ154" si="11">SUM(U145:U152)</f>
        <v>0</v>
      </c>
      <c r="V154" s="416">
        <f t="shared" si="11"/>
        <v>0</v>
      </c>
      <c r="W154" s="416">
        <f t="shared" si="11"/>
        <v>0</v>
      </c>
      <c r="X154" s="416">
        <f t="shared" si="11"/>
        <v>1359.3809341272145</v>
      </c>
      <c r="Y154" s="416">
        <f t="shared" si="11"/>
        <v>2689.3698999999997</v>
      </c>
      <c r="Z154" s="416">
        <f t="shared" si="11"/>
        <v>4994.5441000000001</v>
      </c>
      <c r="AA154" s="416">
        <f t="shared" si="11"/>
        <v>0</v>
      </c>
      <c r="AB154" s="416">
        <f t="shared" si="11"/>
        <v>0</v>
      </c>
      <c r="AC154" s="416">
        <f t="shared" si="11"/>
        <v>41134.991999999998</v>
      </c>
      <c r="AD154" s="416">
        <f t="shared" si="11"/>
        <v>0</v>
      </c>
      <c r="AE154" s="416">
        <f t="shared" si="11"/>
        <v>0</v>
      </c>
      <c r="AF154" s="416">
        <f t="shared" si="11"/>
        <v>0</v>
      </c>
      <c r="AG154" s="416">
        <f t="shared" si="11"/>
        <v>0</v>
      </c>
      <c r="AH154" s="416">
        <f t="shared" si="11"/>
        <v>0</v>
      </c>
      <c r="AI154" s="416">
        <f t="shared" si="11"/>
        <v>0</v>
      </c>
      <c r="AJ154" s="416">
        <f t="shared" si="11"/>
        <v>0</v>
      </c>
      <c r="AK154" s="416">
        <f t="shared" si="11"/>
        <v>0</v>
      </c>
      <c r="AL154" s="416">
        <f t="shared" si="11"/>
        <v>0</v>
      </c>
      <c r="AM154" s="416">
        <f t="shared" si="11"/>
        <v>0</v>
      </c>
      <c r="AN154" s="416">
        <f t="shared" si="11"/>
        <v>0</v>
      </c>
      <c r="AO154" s="416">
        <f t="shared" si="11"/>
        <v>0</v>
      </c>
      <c r="AP154" s="416">
        <f t="shared" si="11"/>
        <v>0</v>
      </c>
      <c r="AQ154" s="416">
        <f t="shared" si="11"/>
        <v>0</v>
      </c>
      <c r="AR154" s="416">
        <f t="shared" si="11"/>
        <v>0</v>
      </c>
      <c r="AS154" s="416">
        <f t="shared" si="11"/>
        <v>0</v>
      </c>
      <c r="AT154" s="416">
        <f t="shared" si="11"/>
        <v>0</v>
      </c>
      <c r="AU154" s="416">
        <f t="shared" si="11"/>
        <v>0</v>
      </c>
      <c r="AV154" s="416">
        <f t="shared" si="11"/>
        <v>0</v>
      </c>
      <c r="AW154" s="416">
        <f t="shared" si="11"/>
        <v>0</v>
      </c>
      <c r="AX154" s="416">
        <f t="shared" si="11"/>
        <v>7057.3519999999999</v>
      </c>
      <c r="AY154" s="416">
        <f t="shared" si="11"/>
        <v>0</v>
      </c>
      <c r="AZ154" s="416">
        <f t="shared" si="11"/>
        <v>0</v>
      </c>
      <c r="BA154" s="416">
        <f>SUM(T154:AZ154)</f>
        <v>58599.999868031431</v>
      </c>
    </row>
    <row r="155" spans="2:53">
      <c r="B155" s="1243" t="s">
        <v>558</v>
      </c>
      <c r="C155" s="1244"/>
      <c r="D155" s="1244"/>
      <c r="E155" s="1244"/>
      <c r="F155" s="1244"/>
      <c r="G155" s="1245"/>
      <c r="H155" s="420">
        <f>H154-L139</f>
        <v>0</v>
      </c>
      <c r="I155" s="294"/>
      <c r="J155" s="295"/>
      <c r="K155" s="295"/>
      <c r="L155" s="296"/>
      <c r="M155" s="32"/>
      <c r="N155" s="32"/>
      <c r="O155" s="32"/>
      <c r="P155" s="32"/>
      <c r="Q155" s="297"/>
      <c r="R155" s="297"/>
      <c r="S155" s="32"/>
      <c r="T155" s="48"/>
      <c r="U155" s="48"/>
      <c r="V155" s="48"/>
      <c r="W155" s="48"/>
      <c r="X155" s="48"/>
      <c r="Y155" s="48"/>
      <c r="Z155" s="48"/>
      <c r="AA155" s="48"/>
      <c r="AB155" s="48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</row>
    <row r="156" spans="2:53">
      <c r="B156" s="1243" t="s">
        <v>559</v>
      </c>
      <c r="C156" s="1244"/>
      <c r="D156" s="1244"/>
      <c r="E156" s="1244"/>
      <c r="F156" s="1244"/>
      <c r="G156" s="1245"/>
      <c r="H156" s="420">
        <f>H153-H154</f>
        <v>0</v>
      </c>
      <c r="I156" s="52"/>
      <c r="J156" s="53"/>
      <c r="K156" s="53"/>
      <c r="L156" s="54"/>
      <c r="M156" s="32"/>
      <c r="N156" s="32"/>
      <c r="O156" s="32"/>
      <c r="P156" s="32"/>
      <c r="Q156" s="32"/>
      <c r="R156" s="32"/>
      <c r="S156" s="32"/>
      <c r="T156" s="48"/>
      <c r="U156" s="48"/>
      <c r="V156" s="48"/>
      <c r="W156" s="48"/>
      <c r="X156" s="48"/>
      <c r="Y156" s="48"/>
      <c r="Z156" s="48"/>
      <c r="AA156" s="48"/>
      <c r="AB156" s="48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</row>
    <row r="157" spans="2:53">
      <c r="B157" s="201"/>
      <c r="C157" s="201"/>
      <c r="D157" s="201"/>
      <c r="E157" s="201"/>
      <c r="F157" s="201"/>
      <c r="G157" s="201"/>
      <c r="H157" s="201"/>
      <c r="I157" s="213"/>
      <c r="J157" s="209"/>
      <c r="K157" s="209"/>
      <c r="L157" s="203"/>
      <c r="M157" s="201"/>
      <c r="N157" s="201"/>
      <c r="O157" s="209"/>
      <c r="P157" s="32"/>
      <c r="Q157" s="32"/>
      <c r="R157" s="32"/>
      <c r="S157" s="32"/>
      <c r="T157" s="48"/>
      <c r="U157" s="48"/>
      <c r="V157" s="48"/>
      <c r="W157" s="48"/>
      <c r="X157" s="48"/>
      <c r="Y157" s="48"/>
      <c r="Z157" s="48"/>
      <c r="AA157" s="48"/>
      <c r="AB157" s="48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</row>
    <row r="158" spans="2:53">
      <c r="B158" s="40" t="s">
        <v>561</v>
      </c>
      <c r="C158" s="40"/>
      <c r="D158" s="32"/>
      <c r="E158" s="32"/>
      <c r="F158" s="32"/>
      <c r="G158" s="32"/>
      <c r="H158" s="32"/>
      <c r="I158" s="32"/>
      <c r="J158" s="52"/>
      <c r="K158" s="52"/>
      <c r="L158" s="55"/>
      <c r="M158" s="32"/>
      <c r="N158" s="201"/>
      <c r="O158" s="5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1"/>
      <c r="AC158" s="201"/>
      <c r="AD158" s="201"/>
      <c r="AE158" s="201"/>
      <c r="AF158" s="201"/>
      <c r="AG158" s="201"/>
      <c r="AH158" s="201"/>
      <c r="AI158" s="201"/>
      <c r="AJ158" s="201"/>
      <c r="AK158" s="201"/>
      <c r="AL158" s="201"/>
      <c r="AM158" s="201"/>
      <c r="AN158" s="201"/>
      <c r="AO158" s="201"/>
      <c r="AP158" s="201"/>
      <c r="AQ158" s="201"/>
      <c r="AR158" s="201"/>
      <c r="AS158" s="201"/>
      <c r="AT158" s="201"/>
      <c r="AU158" s="201"/>
      <c r="BA158" s="201"/>
    </row>
    <row r="159" spans="2:53">
      <c r="B159" s="422">
        <v>1</v>
      </c>
      <c r="C159" s="1249" t="s">
        <v>640</v>
      </c>
      <c r="D159" s="1249"/>
      <c r="E159" s="1249"/>
      <c r="F159" s="1249"/>
      <c r="G159" s="1249"/>
      <c r="H159" s="1249"/>
      <c r="I159" s="1249"/>
      <c r="J159" s="1249"/>
      <c r="K159" s="1249"/>
      <c r="L159" s="203"/>
      <c r="M159" s="201"/>
      <c r="N159" s="201"/>
      <c r="O159" s="209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1"/>
      <c r="AC159" s="201"/>
      <c r="AD159" s="201"/>
      <c r="AE159" s="201"/>
      <c r="AF159" s="201"/>
      <c r="AG159" s="201"/>
      <c r="AH159" s="201"/>
      <c r="AI159" s="201"/>
      <c r="AJ159" s="201"/>
      <c r="AK159" s="201"/>
      <c r="AL159" s="201"/>
      <c r="AM159" s="201"/>
      <c r="AN159" s="201"/>
      <c r="AO159" s="201"/>
      <c r="AP159" s="201"/>
      <c r="AQ159" s="201"/>
      <c r="AR159" s="201"/>
      <c r="AS159" s="201"/>
      <c r="AT159" s="201"/>
      <c r="AU159" s="201"/>
      <c r="BA159" s="201"/>
    </row>
    <row r="161" spans="2:52">
      <c r="B161" s="28" t="s">
        <v>2</v>
      </c>
      <c r="C161" s="28"/>
      <c r="D161" s="29"/>
      <c r="E161" s="30" t="s">
        <v>511</v>
      </c>
      <c r="F161" s="31" t="s">
        <v>236</v>
      </c>
      <c r="G161" s="32"/>
      <c r="H161" s="33"/>
      <c r="I161" s="34"/>
      <c r="J161" s="35" t="s">
        <v>513</v>
      </c>
      <c r="K161" s="36" t="s">
        <v>511</v>
      </c>
      <c r="L161" s="37">
        <v>44945.076388888891</v>
      </c>
      <c r="M161" s="32"/>
      <c r="N161" s="32"/>
      <c r="O161" s="36"/>
      <c r="P161" s="33"/>
      <c r="Q161" s="48"/>
      <c r="R161" s="49"/>
      <c r="S161" s="38"/>
      <c r="T161" s="32"/>
      <c r="U161" s="32"/>
      <c r="V161" s="32"/>
      <c r="W161" s="32"/>
      <c r="X161" s="32"/>
      <c r="Y161" s="32"/>
      <c r="Z161" s="32"/>
      <c r="AA161" s="32"/>
      <c r="AB161" s="48"/>
      <c r="AC161" s="48"/>
      <c r="AD161" s="48"/>
      <c r="AE161" s="48"/>
      <c r="AF161" s="48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</row>
    <row r="162" spans="2:52">
      <c r="B162" s="35" t="s">
        <v>514</v>
      </c>
      <c r="C162" s="35"/>
      <c r="D162" s="32"/>
      <c r="E162" s="36" t="s">
        <v>511</v>
      </c>
      <c r="F162" s="37" t="s">
        <v>641</v>
      </c>
      <c r="G162" s="32"/>
      <c r="H162" s="33"/>
      <c r="I162" s="34"/>
      <c r="J162" s="35" t="s">
        <v>516</v>
      </c>
      <c r="K162" s="36" t="s">
        <v>511</v>
      </c>
      <c r="L162" s="37">
        <v>44947.9375</v>
      </c>
      <c r="M162" s="32"/>
      <c r="N162" s="32"/>
      <c r="O162" s="36"/>
      <c r="P162" s="33"/>
      <c r="Q162" s="48"/>
      <c r="R162" s="49"/>
      <c r="S162" s="38"/>
      <c r="T162" s="32"/>
      <c r="U162" s="32"/>
      <c r="V162" s="32"/>
      <c r="W162" s="32"/>
      <c r="X162" s="32"/>
      <c r="Y162" s="32"/>
      <c r="Z162" s="32"/>
      <c r="AA162" s="32"/>
      <c r="AB162" s="48"/>
      <c r="AC162" s="48"/>
      <c r="AD162" s="48"/>
      <c r="AE162" s="48"/>
      <c r="AF162" s="48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</row>
    <row r="163" spans="2:52">
      <c r="B163" s="35" t="s">
        <v>517</v>
      </c>
      <c r="C163" s="35"/>
      <c r="D163" s="32"/>
      <c r="E163" s="36" t="s">
        <v>511</v>
      </c>
      <c r="F163" s="37">
        <v>44944.133333333331</v>
      </c>
      <c r="G163" s="32"/>
      <c r="H163" s="33"/>
      <c r="I163" s="34"/>
      <c r="J163" s="35" t="s">
        <v>518</v>
      </c>
      <c r="K163" s="36" t="s">
        <v>511</v>
      </c>
      <c r="L163" s="50">
        <v>72000</v>
      </c>
      <c r="M163" s="40" t="s">
        <v>519</v>
      </c>
      <c r="N163" s="40"/>
      <c r="O163" s="36"/>
      <c r="P163" s="33"/>
      <c r="Q163" s="48"/>
      <c r="R163" s="49"/>
      <c r="S163" s="38"/>
      <c r="T163" s="32"/>
      <c r="U163" s="32"/>
      <c r="V163" s="32"/>
      <c r="W163" s="32"/>
      <c r="X163" s="32"/>
      <c r="Y163" s="32"/>
      <c r="Z163" s="32"/>
      <c r="AA163" s="32"/>
      <c r="AB163" s="48"/>
      <c r="AC163" s="48"/>
      <c r="AD163" s="48"/>
      <c r="AE163" s="48"/>
      <c r="AF163" s="48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</row>
    <row r="164" spans="2:52">
      <c r="B164" s="35" t="s">
        <v>520</v>
      </c>
      <c r="C164" s="35"/>
      <c r="D164" s="32"/>
      <c r="E164" s="36" t="s">
        <v>511</v>
      </c>
      <c r="F164" s="37" t="s">
        <v>12</v>
      </c>
      <c r="G164" s="32"/>
      <c r="H164" s="33"/>
      <c r="I164" s="34"/>
      <c r="J164" s="35" t="s">
        <v>521</v>
      </c>
      <c r="K164" s="36" t="s">
        <v>511</v>
      </c>
      <c r="L164" s="41" t="s">
        <v>642</v>
      </c>
      <c r="M164" s="32"/>
      <c r="N164" s="32"/>
      <c r="O164" s="36"/>
      <c r="P164" s="48"/>
      <c r="Q164" s="48"/>
      <c r="R164" s="49"/>
      <c r="S164" s="38"/>
      <c r="T164" s="32"/>
      <c r="U164" s="32"/>
      <c r="V164" s="32"/>
      <c r="W164" s="32"/>
      <c r="X164" s="32"/>
      <c r="Y164" s="32"/>
      <c r="Z164" s="32"/>
      <c r="AA164" s="32"/>
      <c r="AB164" s="48"/>
      <c r="AC164" s="48"/>
      <c r="AD164" s="48"/>
      <c r="AE164" s="48"/>
      <c r="AF164" s="48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</row>
    <row r="165" spans="2:52">
      <c r="B165" s="35" t="s">
        <v>523</v>
      </c>
      <c r="C165" s="35"/>
      <c r="D165" s="32"/>
      <c r="E165" s="36" t="s">
        <v>511</v>
      </c>
      <c r="F165" s="37" t="s">
        <v>32</v>
      </c>
      <c r="G165" s="32"/>
      <c r="H165" s="33"/>
      <c r="I165" s="34"/>
      <c r="J165" s="42" t="s">
        <v>524</v>
      </c>
      <c r="K165" s="36" t="s">
        <v>511</v>
      </c>
      <c r="L165" s="43" t="s">
        <v>15</v>
      </c>
      <c r="M165" s="44"/>
      <c r="N165" s="44"/>
      <c r="O165" s="36"/>
      <c r="P165" s="33"/>
      <c r="Q165" s="48"/>
      <c r="R165" s="49"/>
      <c r="S165" s="38"/>
      <c r="T165" s="32"/>
      <c r="U165" s="32"/>
      <c r="V165" s="32"/>
      <c r="W165" s="32"/>
      <c r="X165" s="32"/>
      <c r="Y165" s="32"/>
      <c r="Z165" s="32"/>
      <c r="AA165" s="32"/>
      <c r="AB165" s="48"/>
      <c r="AC165" s="48"/>
      <c r="AD165" s="48"/>
      <c r="AE165" s="48"/>
      <c r="AF165" s="48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</row>
    <row r="166" spans="2:52">
      <c r="B166" s="35" t="s">
        <v>2</v>
      </c>
      <c r="C166" s="35"/>
      <c r="D166" s="32"/>
      <c r="E166" s="36" t="s">
        <v>511</v>
      </c>
      <c r="F166" s="37" t="s">
        <v>18</v>
      </c>
      <c r="G166" s="32"/>
      <c r="H166" s="33"/>
      <c r="I166" s="45"/>
      <c r="J166" s="42"/>
      <c r="K166" s="36"/>
      <c r="L166" s="37"/>
      <c r="M166" s="32"/>
      <c r="N166" s="32"/>
      <c r="O166" s="42"/>
      <c r="P166" s="44"/>
      <c r="Q166" s="44"/>
      <c r="R166" s="44"/>
      <c r="S166" s="34"/>
      <c r="T166" s="32"/>
      <c r="U166" s="32"/>
      <c r="V166" s="32"/>
      <c r="W166" s="32"/>
      <c r="X166" s="32"/>
      <c r="Y166" s="32"/>
      <c r="Z166" s="32"/>
      <c r="AA166" s="32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</row>
    <row r="167" spans="2:52">
      <c r="B167" s="32"/>
      <c r="C167" s="32"/>
      <c r="D167" s="32"/>
      <c r="E167" s="32"/>
      <c r="F167" s="32"/>
      <c r="G167" s="32"/>
      <c r="H167" s="32"/>
      <c r="I167" s="45"/>
      <c r="J167" s="42"/>
      <c r="K167" s="42"/>
      <c r="L167" s="43"/>
      <c r="M167" s="44"/>
      <c r="N167" s="44"/>
      <c r="O167" s="42"/>
      <c r="P167" s="44"/>
      <c r="Q167" s="44"/>
      <c r="R167" s="44"/>
      <c r="S167" s="34"/>
      <c r="T167" s="1270" t="s">
        <v>87</v>
      </c>
      <c r="U167" s="1270"/>
      <c r="V167" s="1270"/>
      <c r="W167" s="1270"/>
      <c r="X167" s="1270"/>
      <c r="Y167" s="1270" t="s">
        <v>73</v>
      </c>
      <c r="Z167" s="1270"/>
      <c r="AA167" s="1270"/>
      <c r="AB167" s="1270" t="s">
        <v>74</v>
      </c>
      <c r="AC167" s="1270"/>
      <c r="AD167" s="407" t="s">
        <v>85</v>
      </c>
      <c r="AE167" s="407" t="s">
        <v>77</v>
      </c>
      <c r="AF167" s="1270" t="s">
        <v>525</v>
      </c>
      <c r="AG167" s="1270"/>
      <c r="AH167" s="1270"/>
      <c r="AI167" s="1270"/>
      <c r="AJ167" s="1270"/>
      <c r="AK167" s="1270"/>
      <c r="AL167" s="1270"/>
      <c r="AM167" s="1270"/>
      <c r="AN167" s="1270"/>
      <c r="AO167" s="1270"/>
      <c r="AP167" s="1270"/>
      <c r="AQ167" s="1270"/>
      <c r="AR167" s="1270"/>
      <c r="AS167" s="1270"/>
      <c r="AT167" s="1270"/>
      <c r="AU167" s="1270"/>
      <c r="AV167" s="1270"/>
      <c r="AW167" s="1270"/>
      <c r="AX167" s="1270"/>
      <c r="AY167" s="1270"/>
      <c r="AZ167" s="32"/>
    </row>
    <row r="168" spans="2:52">
      <c r="B168" s="1266" t="s">
        <v>526</v>
      </c>
      <c r="C168" s="1267"/>
      <c r="D168" s="570" t="s">
        <v>527</v>
      </c>
      <c r="E168" s="570"/>
      <c r="F168" s="570" t="s">
        <v>528</v>
      </c>
      <c r="G168" s="570" t="s">
        <v>529</v>
      </c>
      <c r="H168" s="570" t="s">
        <v>530</v>
      </c>
      <c r="I168" s="570" t="s">
        <v>531</v>
      </c>
      <c r="J168" s="570" t="s">
        <v>532</v>
      </c>
      <c r="K168" s="570"/>
      <c r="L168" s="570" t="s">
        <v>130</v>
      </c>
      <c r="M168" s="570" t="s">
        <v>533</v>
      </c>
      <c r="N168" s="408" t="str">
        <f>"On time - "&amp;COUNTIF(N169:N180,"On time")&amp;" from "&amp;ROWS(N169:N180)-COUNTIF(N169:N180," ")</f>
        <v>On time - 9 from 10</v>
      </c>
      <c r="O168" s="46"/>
      <c r="P168" s="409" t="s">
        <v>534</v>
      </c>
      <c r="Q168" s="409" t="s">
        <v>535</v>
      </c>
      <c r="R168" s="409" t="s">
        <v>536</v>
      </c>
      <c r="S168" s="32"/>
      <c r="T168" s="410" t="s">
        <v>537</v>
      </c>
      <c r="U168" s="410" t="s">
        <v>538</v>
      </c>
      <c r="V168" s="410" t="s">
        <v>539</v>
      </c>
      <c r="W168" s="410" t="s">
        <v>540</v>
      </c>
      <c r="X168" s="410" t="s">
        <v>541</v>
      </c>
      <c r="Y168" s="410" t="s">
        <v>167</v>
      </c>
      <c r="Z168" s="410" t="s">
        <v>168</v>
      </c>
      <c r="AA168" s="410" t="s">
        <v>169</v>
      </c>
      <c r="AB168" s="410" t="s">
        <v>235</v>
      </c>
      <c r="AC168" s="410" t="s">
        <v>542</v>
      </c>
      <c r="AD168" s="407" t="s">
        <v>85</v>
      </c>
      <c r="AE168" s="410" t="s">
        <v>139</v>
      </c>
      <c r="AF168" s="410" t="s">
        <v>72</v>
      </c>
      <c r="AG168" s="410" t="s">
        <v>88</v>
      </c>
      <c r="AH168" s="410" t="s">
        <v>75</v>
      </c>
      <c r="AI168" s="410" t="s">
        <v>543</v>
      </c>
      <c r="AJ168" s="410" t="s">
        <v>78</v>
      </c>
      <c r="AK168" s="410" t="s">
        <v>76</v>
      </c>
      <c r="AL168" s="410" t="s">
        <v>544</v>
      </c>
      <c r="AM168" s="410" t="s">
        <v>545</v>
      </c>
      <c r="AN168" s="410" t="s">
        <v>86</v>
      </c>
      <c r="AO168" s="410" t="s">
        <v>83</v>
      </c>
      <c r="AP168" s="410" t="s">
        <v>84</v>
      </c>
      <c r="AQ168" s="410" t="s">
        <v>546</v>
      </c>
      <c r="AR168" s="410" t="s">
        <v>81</v>
      </c>
      <c r="AS168" s="410" t="s">
        <v>80</v>
      </c>
      <c r="AT168" s="410" t="s">
        <v>82</v>
      </c>
      <c r="AU168" s="410" t="s">
        <v>181</v>
      </c>
      <c r="AV168" s="410" t="s">
        <v>183</v>
      </c>
      <c r="AW168" s="410" t="s">
        <v>547</v>
      </c>
      <c r="AX168" s="410" t="s">
        <v>182</v>
      </c>
      <c r="AY168" s="410" t="s">
        <v>172</v>
      </c>
      <c r="AZ168" s="32"/>
    </row>
    <row r="169" spans="2:52">
      <c r="B169" s="1250" t="s">
        <v>643</v>
      </c>
      <c r="C169" s="1251"/>
      <c r="D169" s="411" t="s">
        <v>276</v>
      </c>
      <c r="E169" s="411"/>
      <c r="F169" s="411" t="s">
        <v>277</v>
      </c>
      <c r="G169" s="411" t="s">
        <v>278</v>
      </c>
      <c r="H169" s="412">
        <v>7265.018</v>
      </c>
      <c r="I169" s="413" t="s">
        <v>240</v>
      </c>
      <c r="J169" s="414">
        <v>44944.232638888891</v>
      </c>
      <c r="K169" s="414"/>
      <c r="L169" s="414" t="s">
        <v>192</v>
      </c>
      <c r="M169" s="414" t="s">
        <v>192</v>
      </c>
      <c r="N169" s="413" t="str">
        <f t="shared" ref="N169:N180" si="12">IF(ISBLANK(J169)," ",IF(J169&lt;$F$163,"On time",(IF(DAY(J169-$F$163)&lt;1,"On time",(IF(J169&gt;$F$163,"DELAY ( "&amp;DAY(J169-$F$163)&amp;" day "&amp;HOUR(J169-$F$163)&amp;" hour "&amp;MINUTE(J169-$F$163)&amp;" minute )","xxx"))))))</f>
        <v>On time</v>
      </c>
      <c r="O169" s="51"/>
      <c r="P169" s="415" t="s">
        <v>551</v>
      </c>
      <c r="Q169" s="415" t="s">
        <v>551</v>
      </c>
      <c r="R169" s="415" t="s">
        <v>551</v>
      </c>
      <c r="S169" s="32"/>
      <c r="T169" s="416"/>
      <c r="U169" s="416"/>
      <c r="V169" s="416"/>
      <c r="W169" s="416"/>
      <c r="X169" s="416"/>
      <c r="Y169" s="416"/>
      <c r="Z169" s="416"/>
      <c r="AA169" s="416"/>
      <c r="AB169" s="416"/>
      <c r="AC169" s="416">
        <f>H169</f>
        <v>7265.018</v>
      </c>
      <c r="AD169" s="416"/>
      <c r="AE169" s="416"/>
      <c r="AF169" s="416"/>
      <c r="AG169" s="416"/>
      <c r="AH169" s="416"/>
      <c r="AI169" s="416"/>
      <c r="AJ169" s="416"/>
      <c r="AK169" s="416"/>
      <c r="AL169" s="416"/>
      <c r="AM169" s="416"/>
      <c r="AN169" s="416"/>
      <c r="AO169" s="416"/>
      <c r="AP169" s="416"/>
      <c r="AQ169" s="416"/>
      <c r="AR169" s="416"/>
      <c r="AS169" s="416"/>
      <c r="AT169" s="416"/>
      <c r="AU169" s="416"/>
      <c r="AV169" s="416"/>
      <c r="AW169" s="416"/>
      <c r="AX169" s="416"/>
      <c r="AY169" s="416"/>
      <c r="AZ169" s="32"/>
    </row>
    <row r="170" spans="2:52">
      <c r="B170" s="1254"/>
      <c r="C170" s="1255"/>
      <c r="D170" s="411" t="s">
        <v>461</v>
      </c>
      <c r="E170" s="425"/>
      <c r="F170" s="411" t="s">
        <v>399</v>
      </c>
      <c r="G170" s="411" t="s">
        <v>400</v>
      </c>
      <c r="H170" s="412">
        <f>7500/2</f>
        <v>3750</v>
      </c>
      <c r="I170" s="413" t="s">
        <v>76</v>
      </c>
      <c r="J170" s="1268">
        <v>44944.0625</v>
      </c>
      <c r="K170" s="414"/>
      <c r="L170" s="414" t="s">
        <v>192</v>
      </c>
      <c r="M170" s="414" t="s">
        <v>192</v>
      </c>
      <c r="N170" s="413" t="str">
        <f t="shared" si="12"/>
        <v>On time</v>
      </c>
      <c r="O170" s="51"/>
      <c r="P170" s="415" t="s">
        <v>551</v>
      </c>
      <c r="Q170" s="415" t="s">
        <v>551</v>
      </c>
      <c r="R170" s="415" t="s">
        <v>551</v>
      </c>
      <c r="S170" s="32"/>
      <c r="T170" s="416"/>
      <c r="U170" s="416"/>
      <c r="V170" s="416"/>
      <c r="W170" s="416"/>
      <c r="X170" s="416"/>
      <c r="Y170" s="416"/>
      <c r="Z170" s="416"/>
      <c r="AA170" s="416"/>
      <c r="AB170" s="416"/>
      <c r="AC170" s="416"/>
      <c r="AD170" s="416"/>
      <c r="AE170" s="416"/>
      <c r="AF170" s="416"/>
      <c r="AG170" s="416"/>
      <c r="AH170" s="416"/>
      <c r="AI170" s="416"/>
      <c r="AJ170" s="416"/>
      <c r="AK170" s="416">
        <f>H170</f>
        <v>3750</v>
      </c>
      <c r="AL170" s="416"/>
      <c r="AM170" s="416"/>
      <c r="AN170" s="416"/>
      <c r="AO170" s="416"/>
      <c r="AP170" s="416"/>
      <c r="AQ170" s="416"/>
      <c r="AR170" s="416"/>
      <c r="AS170" s="416"/>
      <c r="AT170" s="416"/>
      <c r="AU170" s="416"/>
      <c r="AV170" s="416"/>
      <c r="AW170" s="416"/>
      <c r="AX170" s="416"/>
      <c r="AY170" s="416"/>
      <c r="AZ170" s="32"/>
    </row>
    <row r="171" spans="2:52">
      <c r="B171" s="1250" t="s">
        <v>644</v>
      </c>
      <c r="C171" s="1251"/>
      <c r="D171" s="411" t="s">
        <v>461</v>
      </c>
      <c r="E171" s="425"/>
      <c r="F171" s="411" t="s">
        <v>399</v>
      </c>
      <c r="G171" s="411" t="s">
        <v>400</v>
      </c>
      <c r="H171" s="412">
        <f>H170</f>
        <v>3750</v>
      </c>
      <c r="I171" s="413" t="s">
        <v>76</v>
      </c>
      <c r="J171" s="1269"/>
      <c r="K171" s="414"/>
      <c r="L171" s="414" t="s">
        <v>192</v>
      </c>
      <c r="M171" s="414" t="s">
        <v>192</v>
      </c>
      <c r="N171" s="413" t="str">
        <f t="shared" si="12"/>
        <v xml:space="preserve"> </v>
      </c>
      <c r="O171" s="51"/>
      <c r="P171" s="415" t="s">
        <v>551</v>
      </c>
      <c r="Q171" s="415" t="s">
        <v>551</v>
      </c>
      <c r="R171" s="415" t="s">
        <v>551</v>
      </c>
      <c r="S171" s="32"/>
      <c r="T171" s="416"/>
      <c r="U171" s="416"/>
      <c r="V171" s="416"/>
      <c r="W171" s="416"/>
      <c r="X171" s="416"/>
      <c r="Y171" s="416"/>
      <c r="Z171" s="416"/>
      <c r="AA171" s="416"/>
      <c r="AB171" s="416"/>
      <c r="AC171" s="416"/>
      <c r="AD171" s="416"/>
      <c r="AE171" s="416"/>
      <c r="AF171" s="416"/>
      <c r="AG171" s="416"/>
      <c r="AH171" s="416"/>
      <c r="AI171" s="416"/>
      <c r="AJ171" s="416"/>
      <c r="AK171" s="416">
        <f>H171</f>
        <v>3750</v>
      </c>
      <c r="AL171" s="416"/>
      <c r="AM171" s="416"/>
      <c r="AN171" s="416"/>
      <c r="AO171" s="416"/>
      <c r="AP171" s="416"/>
      <c r="AQ171" s="416"/>
      <c r="AR171" s="416"/>
      <c r="AS171" s="416"/>
      <c r="AT171" s="416"/>
      <c r="AU171" s="416"/>
      <c r="AV171" s="416"/>
      <c r="AW171" s="416"/>
      <c r="AX171" s="416"/>
      <c r="AY171" s="416"/>
      <c r="AZ171" s="32"/>
    </row>
    <row r="172" spans="2:52">
      <c r="B172" s="1254"/>
      <c r="C172" s="1255"/>
      <c r="D172" s="411" t="s">
        <v>256</v>
      </c>
      <c r="E172" s="411"/>
      <c r="F172" s="411" t="s">
        <v>257</v>
      </c>
      <c r="G172" s="411" t="s">
        <v>258</v>
      </c>
      <c r="H172" s="412">
        <v>7584.4070000000002</v>
      </c>
      <c r="I172" s="413" t="s">
        <v>240</v>
      </c>
      <c r="J172" s="414">
        <v>44944.354166666664</v>
      </c>
      <c r="K172" s="414"/>
      <c r="L172" s="414" t="s">
        <v>192</v>
      </c>
      <c r="M172" s="414" t="s">
        <v>192</v>
      </c>
      <c r="N172" s="413" t="str">
        <f t="shared" si="12"/>
        <v>On time</v>
      </c>
      <c r="O172" s="51"/>
      <c r="P172" s="415" t="s">
        <v>551</v>
      </c>
      <c r="Q172" s="415" t="s">
        <v>551</v>
      </c>
      <c r="R172" s="415" t="s">
        <v>551</v>
      </c>
      <c r="S172" s="32"/>
      <c r="T172" s="416"/>
      <c r="U172" s="416"/>
      <c r="V172" s="416"/>
      <c r="W172" s="416"/>
      <c r="X172" s="416"/>
      <c r="Y172" s="416"/>
      <c r="Z172" s="416"/>
      <c r="AA172" s="416"/>
      <c r="AB172" s="416"/>
      <c r="AC172" s="416">
        <f>H172</f>
        <v>7584.4070000000002</v>
      </c>
      <c r="AD172" s="416"/>
      <c r="AE172" s="416"/>
      <c r="AF172" s="416"/>
      <c r="AG172" s="416"/>
      <c r="AH172" s="416"/>
      <c r="AI172" s="416"/>
      <c r="AJ172" s="416"/>
      <c r="AK172" s="416"/>
      <c r="AL172" s="416"/>
      <c r="AM172" s="416"/>
      <c r="AN172" s="416"/>
      <c r="AO172" s="416"/>
      <c r="AP172" s="416"/>
      <c r="AQ172" s="416"/>
      <c r="AR172" s="416"/>
      <c r="AS172" s="416"/>
      <c r="AT172" s="416"/>
      <c r="AU172" s="416"/>
      <c r="AV172" s="416"/>
      <c r="AW172" s="416"/>
      <c r="AX172" s="416"/>
      <c r="AY172" s="416"/>
      <c r="AZ172" s="32"/>
    </row>
    <row r="173" spans="2:52">
      <c r="B173" s="1250" t="s">
        <v>643</v>
      </c>
      <c r="C173" s="1251"/>
      <c r="D173" s="411" t="s">
        <v>237</v>
      </c>
      <c r="E173" s="411"/>
      <c r="F173" s="411" t="s">
        <v>238</v>
      </c>
      <c r="G173" s="411" t="s">
        <v>239</v>
      </c>
      <c r="H173" s="412">
        <v>7584.6319999999996</v>
      </c>
      <c r="I173" s="413" t="s">
        <v>240</v>
      </c>
      <c r="J173" s="414">
        <v>44944.385416666664</v>
      </c>
      <c r="K173" s="414"/>
      <c r="L173" s="414" t="s">
        <v>192</v>
      </c>
      <c r="M173" s="414" t="s">
        <v>192</v>
      </c>
      <c r="N173" s="413" t="str">
        <f t="shared" si="12"/>
        <v>On time</v>
      </c>
      <c r="O173" s="51"/>
      <c r="P173" s="415" t="s">
        <v>551</v>
      </c>
      <c r="Q173" s="415" t="s">
        <v>551</v>
      </c>
      <c r="R173" s="415" t="s">
        <v>551</v>
      </c>
      <c r="S173" s="32"/>
      <c r="T173" s="416"/>
      <c r="U173" s="416"/>
      <c r="V173" s="416"/>
      <c r="W173" s="416"/>
      <c r="X173" s="416"/>
      <c r="Y173" s="416"/>
      <c r="Z173" s="416"/>
      <c r="AA173" s="416"/>
      <c r="AB173" s="416"/>
      <c r="AC173" s="416">
        <f>H173</f>
        <v>7584.6319999999996</v>
      </c>
      <c r="AD173" s="416"/>
      <c r="AE173" s="416"/>
      <c r="AF173" s="416"/>
      <c r="AG173" s="416"/>
      <c r="AH173" s="416"/>
      <c r="AI173" s="416"/>
      <c r="AJ173" s="416"/>
      <c r="AK173" s="416"/>
      <c r="AL173" s="416"/>
      <c r="AM173" s="416"/>
      <c r="AN173" s="416"/>
      <c r="AO173" s="416"/>
      <c r="AP173" s="416"/>
      <c r="AQ173" s="416"/>
      <c r="AR173" s="416"/>
      <c r="AS173" s="416"/>
      <c r="AT173" s="416"/>
      <c r="AU173" s="416"/>
      <c r="AV173" s="416"/>
      <c r="AW173" s="416"/>
      <c r="AX173" s="416"/>
      <c r="AY173" s="416"/>
      <c r="AZ173" s="32"/>
    </row>
    <row r="174" spans="2:52">
      <c r="B174" s="1254"/>
      <c r="C174" s="1255"/>
      <c r="D174" s="411" t="s">
        <v>462</v>
      </c>
      <c r="E174" s="425"/>
      <c r="F174" s="411" t="s">
        <v>222</v>
      </c>
      <c r="G174" s="411" t="s">
        <v>223</v>
      </c>
      <c r="H174" s="412">
        <f>7500/2</f>
        <v>3750</v>
      </c>
      <c r="I174" s="413" t="s">
        <v>76</v>
      </c>
      <c r="J174" s="1268">
        <v>44944.416666666664</v>
      </c>
      <c r="K174" s="414"/>
      <c r="L174" s="414" t="s">
        <v>192</v>
      </c>
      <c r="M174" s="414" t="s">
        <v>192</v>
      </c>
      <c r="N174" s="413" t="str">
        <f t="shared" si="12"/>
        <v>On time</v>
      </c>
      <c r="O174" s="51"/>
      <c r="P174" s="415" t="s">
        <v>551</v>
      </c>
      <c r="Q174" s="415" t="s">
        <v>551</v>
      </c>
      <c r="R174" s="415" t="s">
        <v>551</v>
      </c>
      <c r="S174" s="32"/>
      <c r="T174" s="416"/>
      <c r="U174" s="416"/>
      <c r="V174" s="416"/>
      <c r="W174" s="416"/>
      <c r="X174" s="416"/>
      <c r="Y174" s="416"/>
      <c r="Z174" s="416"/>
      <c r="AA174" s="416"/>
      <c r="AB174" s="416"/>
      <c r="AC174" s="416"/>
      <c r="AD174" s="416"/>
      <c r="AE174" s="416"/>
      <c r="AF174" s="416"/>
      <c r="AG174" s="416"/>
      <c r="AH174" s="416"/>
      <c r="AI174" s="416"/>
      <c r="AJ174" s="416"/>
      <c r="AK174" s="416">
        <f>H174</f>
        <v>3750</v>
      </c>
      <c r="AL174" s="416"/>
      <c r="AM174" s="416"/>
      <c r="AN174" s="416"/>
      <c r="AO174" s="416"/>
      <c r="AP174" s="416"/>
      <c r="AQ174" s="416"/>
      <c r="AR174" s="416"/>
      <c r="AS174" s="416"/>
      <c r="AT174" s="416"/>
      <c r="AU174" s="416"/>
      <c r="AV174" s="416"/>
      <c r="AW174" s="416"/>
      <c r="AX174" s="416"/>
      <c r="AY174" s="416"/>
      <c r="AZ174" s="32"/>
    </row>
    <row r="175" spans="2:52">
      <c r="B175" s="1250" t="s">
        <v>644</v>
      </c>
      <c r="C175" s="1251"/>
      <c r="D175" s="411" t="s">
        <v>462</v>
      </c>
      <c r="E175" s="425"/>
      <c r="F175" s="411" t="s">
        <v>222</v>
      </c>
      <c r="G175" s="411" t="s">
        <v>223</v>
      </c>
      <c r="H175" s="412">
        <f>H174</f>
        <v>3750</v>
      </c>
      <c r="I175" s="413" t="s">
        <v>76</v>
      </c>
      <c r="J175" s="1269"/>
      <c r="K175" s="414"/>
      <c r="L175" s="414" t="s">
        <v>192</v>
      </c>
      <c r="M175" s="414" t="s">
        <v>192</v>
      </c>
      <c r="N175" s="413" t="str">
        <f t="shared" si="12"/>
        <v xml:space="preserve"> </v>
      </c>
      <c r="O175" s="51"/>
      <c r="P175" s="415" t="s">
        <v>551</v>
      </c>
      <c r="Q175" s="415" t="s">
        <v>551</v>
      </c>
      <c r="R175" s="415" t="s">
        <v>551</v>
      </c>
      <c r="S175" s="32"/>
      <c r="T175" s="416"/>
      <c r="U175" s="416"/>
      <c r="V175" s="416"/>
      <c r="W175" s="416"/>
      <c r="X175" s="416"/>
      <c r="Y175" s="416"/>
      <c r="Z175" s="416"/>
      <c r="AA175" s="416"/>
      <c r="AB175" s="416"/>
      <c r="AC175" s="416"/>
      <c r="AD175" s="416"/>
      <c r="AE175" s="416"/>
      <c r="AF175" s="416"/>
      <c r="AG175" s="416"/>
      <c r="AH175" s="416"/>
      <c r="AI175" s="416"/>
      <c r="AJ175" s="416"/>
      <c r="AK175" s="416">
        <f>H175</f>
        <v>3750</v>
      </c>
      <c r="AL175" s="416"/>
      <c r="AM175" s="416"/>
      <c r="AN175" s="416"/>
      <c r="AO175" s="416"/>
      <c r="AP175" s="416"/>
      <c r="AQ175" s="416"/>
      <c r="AR175" s="416"/>
      <c r="AS175" s="416"/>
      <c r="AT175" s="416"/>
      <c r="AU175" s="416"/>
      <c r="AV175" s="416"/>
      <c r="AW175" s="416"/>
      <c r="AX175" s="416"/>
      <c r="AY175" s="416"/>
      <c r="AZ175" s="32"/>
    </row>
    <row r="176" spans="2:52">
      <c r="B176" s="1254"/>
      <c r="C176" s="1255"/>
      <c r="D176" s="411" t="s">
        <v>266</v>
      </c>
      <c r="E176" s="411"/>
      <c r="F176" s="411" t="s">
        <v>267</v>
      </c>
      <c r="G176" s="411" t="s">
        <v>268</v>
      </c>
      <c r="H176" s="412">
        <v>7441.5240000000003</v>
      </c>
      <c r="I176" s="413" t="s">
        <v>240</v>
      </c>
      <c r="J176" s="414">
        <v>44944.388888888891</v>
      </c>
      <c r="K176" s="414"/>
      <c r="L176" s="414" t="s">
        <v>192</v>
      </c>
      <c r="M176" s="414" t="s">
        <v>192</v>
      </c>
      <c r="N176" s="413" t="str">
        <f t="shared" si="12"/>
        <v>On time</v>
      </c>
      <c r="O176" s="51"/>
      <c r="P176" s="415" t="s">
        <v>551</v>
      </c>
      <c r="Q176" s="415" t="s">
        <v>551</v>
      </c>
      <c r="R176" s="415" t="s">
        <v>551</v>
      </c>
      <c r="S176" s="32"/>
      <c r="T176" s="416"/>
      <c r="U176" s="416"/>
      <c r="V176" s="416"/>
      <c r="W176" s="416"/>
      <c r="X176" s="416"/>
      <c r="Y176" s="416"/>
      <c r="Z176" s="416"/>
      <c r="AA176" s="416"/>
      <c r="AB176" s="416"/>
      <c r="AC176" s="416">
        <f>H176</f>
        <v>7441.5240000000003</v>
      </c>
      <c r="AD176" s="416"/>
      <c r="AE176" s="416"/>
      <c r="AF176" s="416"/>
      <c r="AG176" s="416"/>
      <c r="AH176" s="416"/>
      <c r="AI176" s="416"/>
      <c r="AJ176" s="416"/>
      <c r="AK176" s="416"/>
      <c r="AL176" s="416"/>
      <c r="AM176" s="416"/>
      <c r="AN176" s="416"/>
      <c r="AO176" s="416"/>
      <c r="AP176" s="416"/>
      <c r="AQ176" s="416"/>
      <c r="AR176" s="416"/>
      <c r="AS176" s="416"/>
      <c r="AT176" s="416"/>
      <c r="AU176" s="416"/>
      <c r="AV176" s="416"/>
      <c r="AW176" s="416"/>
      <c r="AX176" s="416"/>
      <c r="AY176" s="416"/>
      <c r="AZ176" s="32"/>
    </row>
    <row r="177" spans="2:52">
      <c r="B177" s="1256" t="s">
        <v>548</v>
      </c>
      <c r="C177" s="1257"/>
      <c r="D177" s="411" t="s">
        <v>259</v>
      </c>
      <c r="E177" s="411"/>
      <c r="F177" s="411" t="s">
        <v>260</v>
      </c>
      <c r="G177" s="411" t="s">
        <v>261</v>
      </c>
      <c r="H177" s="412">
        <v>7562.5990000000002</v>
      </c>
      <c r="I177" s="413" t="s">
        <v>240</v>
      </c>
      <c r="J177" s="414">
        <v>44944.375</v>
      </c>
      <c r="K177" s="414"/>
      <c r="L177" s="414" t="s">
        <v>192</v>
      </c>
      <c r="M177" s="414" t="s">
        <v>192</v>
      </c>
      <c r="N177" s="413" t="str">
        <f t="shared" si="12"/>
        <v>On time</v>
      </c>
      <c r="O177" s="51"/>
      <c r="P177" s="415" t="s">
        <v>551</v>
      </c>
      <c r="Q177" s="415" t="s">
        <v>551</v>
      </c>
      <c r="R177" s="415" t="s">
        <v>551</v>
      </c>
      <c r="S177" s="32"/>
      <c r="T177" s="416"/>
      <c r="U177" s="416"/>
      <c r="V177" s="416"/>
      <c r="W177" s="416"/>
      <c r="X177" s="416"/>
      <c r="Y177" s="416"/>
      <c r="Z177" s="416"/>
      <c r="AA177" s="416"/>
      <c r="AB177" s="416"/>
      <c r="AC177" s="416">
        <f>H177</f>
        <v>7562.5990000000002</v>
      </c>
      <c r="AD177" s="416"/>
      <c r="AE177" s="416"/>
      <c r="AF177" s="416"/>
      <c r="AG177" s="416"/>
      <c r="AH177" s="416"/>
      <c r="AI177" s="416"/>
      <c r="AJ177" s="416"/>
      <c r="AK177" s="416"/>
      <c r="AL177" s="416"/>
      <c r="AM177" s="416"/>
      <c r="AN177" s="416"/>
      <c r="AO177" s="416"/>
      <c r="AP177" s="416"/>
      <c r="AQ177" s="416"/>
      <c r="AR177" s="416"/>
      <c r="AS177" s="416"/>
      <c r="AT177" s="416"/>
      <c r="AU177" s="416"/>
      <c r="AV177" s="416"/>
      <c r="AW177" s="416"/>
      <c r="AX177" s="416"/>
      <c r="AY177" s="416"/>
      <c r="AZ177" s="32"/>
    </row>
    <row r="178" spans="2:52">
      <c r="B178" s="1256" t="s">
        <v>548</v>
      </c>
      <c r="C178" s="1257"/>
      <c r="D178" s="411" t="s">
        <v>269</v>
      </c>
      <c r="E178" s="411"/>
      <c r="F178" s="411" t="s">
        <v>226</v>
      </c>
      <c r="G178" s="411" t="s">
        <v>227</v>
      </c>
      <c r="H178" s="412">
        <v>7458.4160000000002</v>
      </c>
      <c r="I178" s="413" t="s">
        <v>240</v>
      </c>
      <c r="J178" s="414">
        <v>44944.381944444445</v>
      </c>
      <c r="K178" s="414"/>
      <c r="L178" s="414" t="s">
        <v>192</v>
      </c>
      <c r="M178" s="414" t="s">
        <v>192</v>
      </c>
      <c r="N178" s="413" t="str">
        <f t="shared" si="12"/>
        <v>On time</v>
      </c>
      <c r="O178" s="51"/>
      <c r="P178" s="415" t="s">
        <v>551</v>
      </c>
      <c r="Q178" s="415" t="s">
        <v>551</v>
      </c>
      <c r="R178" s="415" t="s">
        <v>551</v>
      </c>
      <c r="S178" s="32"/>
      <c r="T178" s="416"/>
      <c r="U178" s="416"/>
      <c r="V178" s="416"/>
      <c r="W178" s="416"/>
      <c r="X178" s="416"/>
      <c r="Y178" s="416"/>
      <c r="Z178" s="416"/>
      <c r="AA178" s="416"/>
      <c r="AB178" s="416"/>
      <c r="AC178" s="416">
        <f>H178</f>
        <v>7458.4160000000002</v>
      </c>
      <c r="AD178" s="416"/>
      <c r="AE178" s="416"/>
      <c r="AF178" s="416"/>
      <c r="AG178" s="416"/>
      <c r="AH178" s="416"/>
      <c r="AI178" s="416"/>
      <c r="AJ178" s="416"/>
      <c r="AK178" s="416"/>
      <c r="AL178" s="416"/>
      <c r="AM178" s="416"/>
      <c r="AN178" s="416"/>
      <c r="AO178" s="416"/>
      <c r="AP178" s="416"/>
      <c r="AQ178" s="416"/>
      <c r="AR178" s="416"/>
      <c r="AS178" s="416"/>
      <c r="AT178" s="416"/>
      <c r="AU178" s="416"/>
      <c r="AV178" s="416"/>
      <c r="AW178" s="416"/>
      <c r="AX178" s="416"/>
      <c r="AY178" s="416"/>
      <c r="AZ178" s="32"/>
    </row>
    <row r="179" spans="2:52">
      <c r="B179" s="1256" t="s">
        <v>548</v>
      </c>
      <c r="C179" s="1257"/>
      <c r="D179" s="411" t="s">
        <v>270</v>
      </c>
      <c r="E179" s="411"/>
      <c r="F179" s="411" t="s">
        <v>271</v>
      </c>
      <c r="G179" s="411" t="s">
        <v>272</v>
      </c>
      <c r="H179" s="412">
        <v>9008.3430000000008</v>
      </c>
      <c r="I179" s="413" t="s">
        <v>240</v>
      </c>
      <c r="J179" s="414">
        <v>44944.423611111109</v>
      </c>
      <c r="K179" s="414"/>
      <c r="L179" s="414" t="s">
        <v>192</v>
      </c>
      <c r="M179" s="414" t="s">
        <v>192</v>
      </c>
      <c r="N179" s="413" t="str">
        <f t="shared" si="12"/>
        <v>On time</v>
      </c>
      <c r="O179" s="51"/>
      <c r="P179" s="415" t="s">
        <v>551</v>
      </c>
      <c r="Q179" s="415" t="s">
        <v>551</v>
      </c>
      <c r="R179" s="415" t="s">
        <v>551</v>
      </c>
      <c r="S179" s="32"/>
      <c r="T179" s="416"/>
      <c r="U179" s="416"/>
      <c r="V179" s="416"/>
      <c r="W179" s="416"/>
      <c r="X179" s="416"/>
      <c r="Y179" s="416"/>
      <c r="Z179" s="416"/>
      <c r="AA179" s="416"/>
      <c r="AB179" s="416"/>
      <c r="AC179" s="416">
        <f>H179</f>
        <v>9008.3430000000008</v>
      </c>
      <c r="AD179" s="416"/>
      <c r="AE179" s="416"/>
      <c r="AF179" s="416"/>
      <c r="AG179" s="416"/>
      <c r="AH179" s="416"/>
      <c r="AI179" s="416"/>
      <c r="AJ179" s="416"/>
      <c r="AK179" s="416"/>
      <c r="AL179" s="416"/>
      <c r="AM179" s="416"/>
      <c r="AN179" s="416"/>
      <c r="AO179" s="416"/>
      <c r="AP179" s="416"/>
      <c r="AQ179" s="416"/>
      <c r="AR179" s="416"/>
      <c r="AS179" s="416"/>
      <c r="AT179" s="416"/>
      <c r="AU179" s="416"/>
      <c r="AV179" s="416"/>
      <c r="AW179" s="416"/>
      <c r="AX179" s="416"/>
      <c r="AY179" s="416"/>
      <c r="AZ179" s="32"/>
    </row>
    <row r="180" spans="2:52">
      <c r="B180" s="1256" t="s">
        <v>548</v>
      </c>
      <c r="C180" s="1257"/>
      <c r="D180" s="411" t="s">
        <v>279</v>
      </c>
      <c r="E180" s="411"/>
      <c r="F180" s="411" t="s">
        <v>280</v>
      </c>
      <c r="G180" s="411" t="s">
        <v>281</v>
      </c>
      <c r="H180" s="412">
        <f>7340.753-4245.692</f>
        <v>3095.0609999999997</v>
      </c>
      <c r="I180" s="413" t="s">
        <v>240</v>
      </c>
      <c r="J180" s="414">
        <v>44946.125</v>
      </c>
      <c r="K180" s="414"/>
      <c r="L180" s="414" t="s">
        <v>192</v>
      </c>
      <c r="M180" s="414" t="s">
        <v>192</v>
      </c>
      <c r="N180" s="413" t="str">
        <f t="shared" si="12"/>
        <v>DELAY ( 1 day 23 hour 48 minute )</v>
      </c>
      <c r="O180" s="51"/>
      <c r="P180" s="415" t="s">
        <v>551</v>
      </c>
      <c r="Q180" s="415" t="s">
        <v>551</v>
      </c>
      <c r="R180" s="415" t="s">
        <v>551</v>
      </c>
      <c r="S180" s="32"/>
      <c r="T180" s="416"/>
      <c r="U180" s="416"/>
      <c r="V180" s="416"/>
      <c r="W180" s="416"/>
      <c r="X180" s="416"/>
      <c r="Y180" s="416"/>
      <c r="Z180" s="416"/>
      <c r="AA180" s="416"/>
      <c r="AB180" s="416"/>
      <c r="AC180" s="416">
        <f>H180</f>
        <v>3095.0609999999997</v>
      </c>
      <c r="AD180" s="416"/>
      <c r="AE180" s="416"/>
      <c r="AF180" s="416"/>
      <c r="AG180" s="416"/>
      <c r="AH180" s="416"/>
      <c r="AI180" s="416"/>
      <c r="AJ180" s="416"/>
      <c r="AK180" s="416"/>
      <c r="AL180" s="416"/>
      <c r="AM180" s="416"/>
      <c r="AN180" s="416"/>
      <c r="AO180" s="416"/>
      <c r="AP180" s="416"/>
      <c r="AQ180" s="416"/>
      <c r="AR180" s="416"/>
      <c r="AS180" s="416"/>
      <c r="AT180" s="416"/>
      <c r="AU180" s="416"/>
      <c r="AV180" s="416"/>
      <c r="AW180" s="416"/>
      <c r="AX180" s="416"/>
      <c r="AY180" s="416"/>
      <c r="AZ180" s="32"/>
    </row>
    <row r="181" spans="2:52">
      <c r="B181" s="1258" t="s">
        <v>556</v>
      </c>
      <c r="C181" s="1259"/>
      <c r="D181" s="1259"/>
      <c r="E181" s="1259"/>
      <c r="F181" s="1259"/>
      <c r="G181" s="1260"/>
      <c r="H181" s="417">
        <f>SUM(H169:H180)</f>
        <v>72000</v>
      </c>
      <c r="I181" s="388"/>
      <c r="J181" s="293"/>
      <c r="K181" s="293"/>
      <c r="L181" s="293"/>
      <c r="M181" s="389"/>
      <c r="N181" s="413" t="str">
        <f>IF(ISBLANK(J181)," ",IF(J181&lt;$F$4,"On time",(IF(DAY(J181-$F$4)&lt;1,"On time",(IF(J181&gt;$F$4,"DELAY ( "&amp;DAY(J181-$F$4)&amp;" day "&amp;HOUR(J181-$F$4)&amp;" hour "&amp;MINUTE(J181-$F$4)&amp;" minute )","xxx"))))))</f>
        <v xml:space="preserve"> </v>
      </c>
      <c r="O181" s="47"/>
      <c r="P181" s="418"/>
      <c r="Q181" s="418"/>
      <c r="R181" s="418"/>
      <c r="S181" s="32"/>
      <c r="T181" s="1262"/>
      <c r="U181" s="1263"/>
      <c r="V181" s="1263"/>
      <c r="W181" s="1263"/>
      <c r="X181" s="1263"/>
      <c r="Y181" s="1263"/>
      <c r="Z181" s="1263"/>
      <c r="AA181" s="1263"/>
      <c r="AB181" s="1263"/>
      <c r="AC181" s="1263"/>
      <c r="AD181" s="1263"/>
      <c r="AE181" s="1263"/>
      <c r="AF181" s="1263"/>
      <c r="AG181" s="1263"/>
      <c r="AH181" s="1263"/>
      <c r="AI181" s="1263"/>
      <c r="AJ181" s="1263"/>
      <c r="AK181" s="1263"/>
      <c r="AL181" s="1263"/>
      <c r="AM181" s="1263"/>
      <c r="AN181" s="1263"/>
      <c r="AO181" s="1263"/>
      <c r="AP181" s="1263"/>
      <c r="AQ181" s="1263"/>
      <c r="AR181" s="1263"/>
      <c r="AS181" s="1263"/>
      <c r="AT181" s="1263"/>
      <c r="AU181" s="1263"/>
      <c r="AV181" s="1263"/>
      <c r="AW181" s="1263"/>
      <c r="AX181" s="1263"/>
      <c r="AY181" s="1264"/>
    </row>
    <row r="182" spans="2:52">
      <c r="B182" s="1243" t="s">
        <v>557</v>
      </c>
      <c r="C182" s="1244"/>
      <c r="D182" s="1244"/>
      <c r="E182" s="1244"/>
      <c r="F182" s="1244"/>
      <c r="G182" s="1245"/>
      <c r="H182" s="419">
        <v>72000</v>
      </c>
      <c r="I182" s="1246"/>
      <c r="J182" s="1247"/>
      <c r="K182" s="1247"/>
      <c r="L182" s="1247"/>
      <c r="M182" s="1248"/>
      <c r="N182" s="413" t="str">
        <f>IF(ISBLANK(J182)," ",IF(J182&lt;$F$4,"On time",(IF(DAY(J182-$F$4)&lt;1,"On time",(IF(J182&gt;$F$4,"DELAY ( "&amp;DAY(J182-$F$4)&amp;" day "&amp;HOUR(J182-$F$4)&amp;" hour "&amp;MINUTE(J182-$F$4)&amp;" minute )","xxx"))))))</f>
        <v xml:space="preserve"> </v>
      </c>
      <c r="O182" s="32"/>
      <c r="P182" s="415"/>
      <c r="Q182" s="415"/>
      <c r="R182" s="415"/>
      <c r="S182" s="63"/>
      <c r="T182" s="416">
        <f t="shared" ref="T182:AY182" si="13">SUM(T169:T180)</f>
        <v>0</v>
      </c>
      <c r="U182" s="416">
        <f t="shared" si="13"/>
        <v>0</v>
      </c>
      <c r="V182" s="416">
        <f t="shared" si="13"/>
        <v>0</v>
      </c>
      <c r="W182" s="416">
        <f t="shared" si="13"/>
        <v>0</v>
      </c>
      <c r="X182" s="416">
        <f t="shared" si="13"/>
        <v>0</v>
      </c>
      <c r="Y182" s="416">
        <f t="shared" si="13"/>
        <v>0</v>
      </c>
      <c r="Z182" s="416">
        <f t="shared" si="13"/>
        <v>0</v>
      </c>
      <c r="AA182" s="416">
        <f t="shared" si="13"/>
        <v>0</v>
      </c>
      <c r="AB182" s="416">
        <f t="shared" si="13"/>
        <v>0</v>
      </c>
      <c r="AC182" s="416">
        <f t="shared" si="13"/>
        <v>57000</v>
      </c>
      <c r="AD182" s="416">
        <f t="shared" si="13"/>
        <v>0</v>
      </c>
      <c r="AE182" s="416">
        <f t="shared" si="13"/>
        <v>0</v>
      </c>
      <c r="AF182" s="416">
        <f t="shared" si="13"/>
        <v>0</v>
      </c>
      <c r="AG182" s="416">
        <f t="shared" si="13"/>
        <v>0</v>
      </c>
      <c r="AH182" s="416">
        <f t="shared" si="13"/>
        <v>0</v>
      </c>
      <c r="AI182" s="416">
        <f t="shared" si="13"/>
        <v>0</v>
      </c>
      <c r="AJ182" s="416">
        <f t="shared" si="13"/>
        <v>0</v>
      </c>
      <c r="AK182" s="416">
        <f t="shared" si="13"/>
        <v>15000</v>
      </c>
      <c r="AL182" s="416">
        <f t="shared" si="13"/>
        <v>0</v>
      </c>
      <c r="AM182" s="416">
        <f t="shared" si="13"/>
        <v>0</v>
      </c>
      <c r="AN182" s="416">
        <f t="shared" si="13"/>
        <v>0</v>
      </c>
      <c r="AO182" s="416">
        <f t="shared" si="13"/>
        <v>0</v>
      </c>
      <c r="AP182" s="416">
        <f t="shared" si="13"/>
        <v>0</v>
      </c>
      <c r="AQ182" s="416">
        <f t="shared" si="13"/>
        <v>0</v>
      </c>
      <c r="AR182" s="416">
        <f t="shared" si="13"/>
        <v>0</v>
      </c>
      <c r="AS182" s="416">
        <f t="shared" si="13"/>
        <v>0</v>
      </c>
      <c r="AT182" s="416">
        <f t="shared" si="13"/>
        <v>0</v>
      </c>
      <c r="AU182" s="416">
        <f t="shared" si="13"/>
        <v>0</v>
      </c>
      <c r="AV182" s="416">
        <f t="shared" si="13"/>
        <v>0</v>
      </c>
      <c r="AW182" s="416">
        <f t="shared" si="13"/>
        <v>0</v>
      </c>
      <c r="AX182" s="416">
        <f t="shared" si="13"/>
        <v>0</v>
      </c>
      <c r="AY182" s="416">
        <f t="shared" si="13"/>
        <v>0</v>
      </c>
      <c r="AZ182" s="416">
        <f>SUM(T182:AY182)</f>
        <v>72000</v>
      </c>
    </row>
    <row r="183" spans="2:52">
      <c r="B183" s="1243" t="s">
        <v>558</v>
      </c>
      <c r="C183" s="1244"/>
      <c r="D183" s="1244"/>
      <c r="E183" s="1244"/>
      <c r="F183" s="1244"/>
      <c r="G183" s="1245"/>
      <c r="H183" s="420">
        <f>H182-L163</f>
        <v>0</v>
      </c>
      <c r="I183" s="294"/>
      <c r="J183" s="295"/>
      <c r="K183" s="295"/>
      <c r="L183" s="296"/>
      <c r="M183" s="32"/>
      <c r="N183" s="32"/>
      <c r="O183" s="32"/>
      <c r="P183" s="32"/>
      <c r="Q183" s="297"/>
      <c r="R183" s="297"/>
      <c r="S183" s="32"/>
      <c r="T183" s="48"/>
      <c r="U183" s="48"/>
      <c r="V183" s="48"/>
      <c r="W183" s="48"/>
      <c r="X183" s="48"/>
      <c r="Y183" s="48"/>
      <c r="Z183" s="48"/>
      <c r="AA183" s="48"/>
      <c r="AB183" s="48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</row>
    <row r="184" spans="2:52">
      <c r="B184" s="1243" t="s">
        <v>559</v>
      </c>
      <c r="C184" s="1244"/>
      <c r="D184" s="1244"/>
      <c r="E184" s="1244"/>
      <c r="F184" s="1244"/>
      <c r="G184" s="1245"/>
      <c r="H184" s="420">
        <v>5117</v>
      </c>
      <c r="I184" s="52"/>
      <c r="J184" s="53"/>
      <c r="K184" s="53"/>
      <c r="L184" s="54"/>
      <c r="M184" s="32"/>
      <c r="N184" s="32"/>
      <c r="O184" s="32"/>
      <c r="P184" s="32"/>
      <c r="Q184" s="32"/>
      <c r="R184" s="32"/>
      <c r="S184" s="32"/>
      <c r="T184" s="48"/>
      <c r="U184" s="48"/>
      <c r="V184" s="48"/>
      <c r="W184" s="48"/>
      <c r="X184" s="48"/>
      <c r="Y184" s="48"/>
      <c r="Z184" s="48"/>
      <c r="AA184" s="48"/>
      <c r="AB184" s="48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</row>
    <row r="185" spans="2:52">
      <c r="B185" s="1243" t="s">
        <v>560</v>
      </c>
      <c r="C185" s="1244"/>
      <c r="D185" s="1244"/>
      <c r="E185" s="1244"/>
      <c r="F185" s="1244"/>
      <c r="G185" s="1245"/>
      <c r="H185" s="420">
        <f>H184-4245.692</f>
        <v>871.30799999999999</v>
      </c>
      <c r="I185" s="255"/>
      <c r="J185" s="53"/>
      <c r="K185" s="53"/>
      <c r="L185" s="54"/>
      <c r="M185" s="32"/>
      <c r="N185" s="32"/>
      <c r="O185" s="32"/>
      <c r="P185" s="32"/>
      <c r="Q185" s="32"/>
      <c r="R185" s="32"/>
      <c r="S185" s="48"/>
      <c r="T185" s="48"/>
      <c r="U185" s="48"/>
      <c r="V185" s="48"/>
      <c r="W185" s="48"/>
      <c r="X185" s="48"/>
      <c r="Y185" s="48"/>
      <c r="Z185" s="48"/>
      <c r="AA185" s="48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2:52">
      <c r="B186" s="32"/>
      <c r="C186" s="32"/>
      <c r="D186" s="32"/>
      <c r="E186" s="32"/>
      <c r="F186" s="32"/>
      <c r="G186" s="32"/>
      <c r="H186" s="32"/>
      <c r="I186" s="57"/>
      <c r="J186" s="52"/>
      <c r="K186" s="52"/>
      <c r="L186" s="55"/>
      <c r="M186" s="32"/>
      <c r="N186" s="32"/>
      <c r="O186" s="52"/>
      <c r="P186" s="32"/>
      <c r="Q186" s="32"/>
      <c r="R186" s="32"/>
      <c r="S186" s="32"/>
      <c r="T186" s="48"/>
      <c r="U186" s="48"/>
      <c r="V186" s="48"/>
      <c r="W186" s="48"/>
      <c r="X186" s="48"/>
      <c r="Y186" s="48"/>
      <c r="Z186" s="48"/>
      <c r="AA186" s="48"/>
      <c r="AB186" s="48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</row>
    <row r="187" spans="2:52">
      <c r="B187" s="40" t="s">
        <v>561</v>
      </c>
      <c r="C187" s="40"/>
      <c r="D187" s="32"/>
      <c r="E187" s="32"/>
      <c r="F187" s="32"/>
      <c r="G187" s="32"/>
      <c r="H187" s="32"/>
      <c r="I187" s="32"/>
      <c r="J187" s="52"/>
      <c r="K187" s="52"/>
      <c r="L187" s="55"/>
      <c r="M187" s="32"/>
      <c r="N187" s="32"/>
      <c r="O187" s="52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Z187" s="32"/>
    </row>
    <row r="188" spans="2:52">
      <c r="B188" s="422">
        <v>1</v>
      </c>
      <c r="C188" s="1249" t="s">
        <v>645</v>
      </c>
      <c r="D188" s="1249"/>
      <c r="E188" s="1249"/>
      <c r="F188" s="1249"/>
      <c r="G188" s="1249"/>
      <c r="H188" s="1249"/>
      <c r="I188" s="1249"/>
      <c r="J188" s="1249"/>
      <c r="K188" s="1249"/>
      <c r="L188" s="55"/>
      <c r="M188" s="32"/>
      <c r="N188" s="32"/>
      <c r="O188" s="52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</row>
    <row r="190" spans="2:52">
      <c r="B190" s="28" t="s">
        <v>2</v>
      </c>
      <c r="C190" s="28"/>
      <c r="D190" s="29"/>
      <c r="E190" s="30" t="s">
        <v>511</v>
      </c>
      <c r="F190" s="31" t="s">
        <v>282</v>
      </c>
      <c r="G190" s="32"/>
      <c r="H190" s="33"/>
      <c r="I190" s="34"/>
      <c r="J190" s="35" t="s">
        <v>513</v>
      </c>
      <c r="K190" s="36" t="s">
        <v>511</v>
      </c>
      <c r="L190" s="37">
        <v>44946.798611111109</v>
      </c>
      <c r="M190" s="32"/>
      <c r="N190" s="32"/>
      <c r="O190" s="206"/>
      <c r="P190" s="205"/>
      <c r="Q190" s="202"/>
      <c r="R190" s="204"/>
      <c r="S190" s="38"/>
      <c r="T190" s="201"/>
      <c r="U190" s="201"/>
      <c r="V190" s="201"/>
      <c r="W190" s="201"/>
      <c r="X190" s="201"/>
      <c r="Y190" s="201"/>
      <c r="Z190" s="201"/>
      <c r="AA190" s="201"/>
      <c r="AB190" s="202"/>
      <c r="AC190" s="202"/>
      <c r="AD190" s="202"/>
      <c r="AE190" s="202"/>
      <c r="AF190" s="202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201"/>
      <c r="AR190" s="201"/>
      <c r="AS190" s="201"/>
      <c r="AT190" s="201"/>
      <c r="AU190" s="201"/>
      <c r="AV190" s="201"/>
      <c r="AW190" s="201"/>
      <c r="AX190" s="201"/>
      <c r="AY190" s="201"/>
      <c r="AZ190" s="201"/>
    </row>
    <row r="191" spans="2:52">
      <c r="B191" s="35" t="s">
        <v>514</v>
      </c>
      <c r="C191" s="35"/>
      <c r="D191" s="32"/>
      <c r="E191" s="36" t="s">
        <v>511</v>
      </c>
      <c r="F191" s="37" t="s">
        <v>646</v>
      </c>
      <c r="G191" s="59" t="s">
        <v>647</v>
      </c>
      <c r="H191" s="33"/>
      <c r="I191" s="34"/>
      <c r="J191" s="35" t="s">
        <v>516</v>
      </c>
      <c r="K191" s="36" t="s">
        <v>511</v>
      </c>
      <c r="L191" s="37">
        <v>44951.1875</v>
      </c>
      <c r="M191" s="32"/>
      <c r="N191" s="32"/>
      <c r="O191" s="206"/>
      <c r="P191" s="205"/>
      <c r="Q191" s="202"/>
      <c r="R191" s="204"/>
      <c r="S191" s="38"/>
      <c r="T191" s="201"/>
      <c r="U191" s="201"/>
      <c r="V191" s="201"/>
      <c r="W191" s="201"/>
      <c r="X191" s="201"/>
      <c r="Y191" s="201"/>
      <c r="Z191" s="201"/>
      <c r="AA191" s="201"/>
      <c r="AB191" s="202"/>
      <c r="AC191" s="202"/>
      <c r="AD191" s="202"/>
      <c r="AE191" s="202"/>
      <c r="AF191" s="202"/>
      <c r="AG191" s="201"/>
      <c r="AH191" s="201"/>
      <c r="AI191" s="201"/>
      <c r="AJ191" s="201"/>
      <c r="AK191" s="201"/>
      <c r="AL191" s="201"/>
      <c r="AM191" s="201"/>
      <c r="AN191" s="201"/>
      <c r="AO191" s="201"/>
      <c r="AP191" s="201"/>
      <c r="AQ191" s="201"/>
      <c r="AR191" s="201"/>
      <c r="AS191" s="201"/>
      <c r="AT191" s="201"/>
      <c r="AU191" s="201"/>
      <c r="AV191" s="201"/>
      <c r="AW191" s="201"/>
      <c r="AX191" s="201"/>
      <c r="AY191" s="201"/>
      <c r="AZ191" s="201"/>
    </row>
    <row r="192" spans="2:52">
      <c r="B192" s="35" t="s">
        <v>517</v>
      </c>
      <c r="C192" s="35"/>
      <c r="D192" s="32"/>
      <c r="E192" s="36" t="s">
        <v>511</v>
      </c>
      <c r="F192" s="37">
        <v>44940.510416666664</v>
      </c>
      <c r="G192" s="60">
        <v>44942</v>
      </c>
      <c r="H192" s="33"/>
      <c r="I192" s="34"/>
      <c r="J192" s="35" t="s">
        <v>518</v>
      </c>
      <c r="K192" s="36" t="s">
        <v>511</v>
      </c>
      <c r="L192" s="50">
        <v>108500</v>
      </c>
      <c r="M192" s="40" t="s">
        <v>519</v>
      </c>
      <c r="N192" s="40"/>
      <c r="O192" s="206"/>
      <c r="P192" s="205"/>
      <c r="Q192" s="202"/>
      <c r="R192" s="204"/>
      <c r="S192" s="38"/>
      <c r="T192" s="201"/>
      <c r="U192" s="201"/>
      <c r="V192" s="201"/>
      <c r="W192" s="201"/>
      <c r="X192" s="201"/>
      <c r="Y192" s="201"/>
      <c r="Z192" s="201"/>
      <c r="AA192" s="201"/>
      <c r="AB192" s="202"/>
      <c r="AC192" s="202"/>
      <c r="AD192" s="202"/>
      <c r="AE192" s="202"/>
      <c r="AF192" s="202"/>
      <c r="AG192" s="201"/>
      <c r="AH192" s="201"/>
      <c r="AI192" s="201"/>
      <c r="AJ192" s="201"/>
      <c r="AK192" s="201"/>
      <c r="AL192" s="201"/>
      <c r="AM192" s="201"/>
      <c r="AN192" s="201"/>
      <c r="AO192" s="201"/>
      <c r="AP192" s="201"/>
      <c r="AQ192" s="201"/>
      <c r="AR192" s="201"/>
      <c r="AS192" s="201"/>
      <c r="AT192" s="201"/>
      <c r="AU192" s="201"/>
      <c r="AV192" s="201"/>
      <c r="AW192" s="201"/>
      <c r="AX192" s="201"/>
      <c r="AY192" s="201"/>
      <c r="AZ192" s="201"/>
    </row>
    <row r="193" spans="2:52">
      <c r="B193" s="35" t="s">
        <v>520</v>
      </c>
      <c r="C193" s="35"/>
      <c r="D193" s="32"/>
      <c r="E193" s="36" t="s">
        <v>511</v>
      </c>
      <c r="F193" s="37" t="s">
        <v>12</v>
      </c>
      <c r="G193" s="32"/>
      <c r="H193" s="33"/>
      <c r="I193" s="34"/>
      <c r="J193" s="35" t="s">
        <v>521</v>
      </c>
      <c r="K193" s="36" t="s">
        <v>511</v>
      </c>
      <c r="L193" s="41" t="s">
        <v>648</v>
      </c>
      <c r="M193" s="32"/>
      <c r="N193" s="32"/>
      <c r="O193" s="206"/>
      <c r="P193" s="202"/>
      <c r="Q193" s="202"/>
      <c r="R193" s="204"/>
      <c r="S193" s="38"/>
      <c r="T193" s="201"/>
      <c r="U193" s="201"/>
      <c r="V193" s="201"/>
      <c r="W193" s="201"/>
      <c r="X193" s="201"/>
      <c r="Y193" s="201"/>
      <c r="Z193" s="201"/>
      <c r="AA193" s="201"/>
      <c r="AB193" s="202"/>
      <c r="AC193" s="202"/>
      <c r="AD193" s="202"/>
      <c r="AE193" s="202"/>
      <c r="AF193" s="202"/>
      <c r="AG193" s="201"/>
      <c r="AH193" s="201"/>
      <c r="AI193" s="201"/>
      <c r="AJ193" s="201"/>
      <c r="AK193" s="201"/>
      <c r="AL193" s="201"/>
      <c r="AM193" s="201"/>
      <c r="AN193" s="201"/>
      <c r="AO193" s="201"/>
      <c r="AP193" s="201"/>
      <c r="AQ193" s="201"/>
      <c r="AR193" s="201"/>
      <c r="AS193" s="201"/>
      <c r="AT193" s="201"/>
      <c r="AU193" s="201"/>
      <c r="AV193" s="201"/>
      <c r="AW193" s="201"/>
      <c r="AX193" s="201"/>
      <c r="AY193" s="201"/>
      <c r="AZ193" s="201"/>
    </row>
    <row r="194" spans="2:52">
      <c r="B194" s="35" t="s">
        <v>523</v>
      </c>
      <c r="C194" s="35"/>
      <c r="D194" s="32"/>
      <c r="E194" s="36" t="s">
        <v>511</v>
      </c>
      <c r="F194" s="37" t="s">
        <v>41</v>
      </c>
      <c r="G194" s="32"/>
      <c r="H194" s="33"/>
      <c r="I194" s="34"/>
      <c r="J194" s="42" t="s">
        <v>524</v>
      </c>
      <c r="K194" s="36" t="s">
        <v>511</v>
      </c>
      <c r="L194" s="43" t="s">
        <v>15</v>
      </c>
      <c r="M194" s="44"/>
      <c r="N194" s="44"/>
      <c r="O194" s="206"/>
      <c r="P194" s="205"/>
      <c r="Q194" s="202"/>
      <c r="R194" s="204"/>
      <c r="S194" s="38"/>
      <c r="T194" s="201"/>
      <c r="U194" s="201"/>
      <c r="V194" s="201"/>
      <c r="W194" s="201"/>
      <c r="X194" s="201"/>
      <c r="Y194" s="201"/>
      <c r="Z194" s="201"/>
      <c r="AA194" s="201"/>
      <c r="AB194" s="202"/>
      <c r="AC194" s="202"/>
      <c r="AD194" s="202"/>
      <c r="AE194" s="202"/>
      <c r="AF194" s="202"/>
      <c r="AG194" s="201"/>
      <c r="AH194" s="201"/>
      <c r="AI194" s="201"/>
      <c r="AJ194" s="201"/>
      <c r="AK194" s="201"/>
      <c r="AL194" s="201"/>
      <c r="AM194" s="201"/>
      <c r="AN194" s="201"/>
      <c r="AO194" s="201"/>
      <c r="AP194" s="201"/>
      <c r="AQ194" s="201"/>
      <c r="AR194" s="201"/>
      <c r="AS194" s="201"/>
      <c r="AT194" s="201"/>
      <c r="AU194" s="201"/>
      <c r="AV194" s="201"/>
      <c r="AW194" s="201"/>
      <c r="AX194" s="201"/>
      <c r="AY194" s="201"/>
      <c r="AZ194" s="201"/>
    </row>
    <row r="195" spans="2:52">
      <c r="B195" s="35" t="s">
        <v>2</v>
      </c>
      <c r="C195" s="35"/>
      <c r="D195" s="32"/>
      <c r="E195" s="36" t="s">
        <v>511</v>
      </c>
      <c r="F195" s="37" t="s">
        <v>44</v>
      </c>
      <c r="G195" s="32"/>
      <c r="H195" s="33"/>
      <c r="I195" s="45"/>
      <c r="J195" s="42"/>
      <c r="K195" s="36"/>
      <c r="L195" s="211"/>
      <c r="M195" s="201"/>
      <c r="N195" s="201"/>
      <c r="O195" s="42"/>
      <c r="P195" s="44"/>
      <c r="Q195" s="44"/>
      <c r="R195" s="44"/>
      <c r="S195" s="34"/>
      <c r="T195" s="201"/>
      <c r="U195" s="201"/>
      <c r="V195" s="201"/>
      <c r="W195" s="201"/>
      <c r="X195" s="201"/>
      <c r="Y195" s="201"/>
      <c r="Z195" s="201"/>
      <c r="AA195" s="201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201"/>
      <c r="AP195" s="201"/>
      <c r="AQ195" s="201"/>
      <c r="AR195" s="201"/>
      <c r="AS195" s="201"/>
      <c r="AT195" s="201"/>
      <c r="AU195" s="201"/>
      <c r="AV195" s="201"/>
      <c r="AW195" s="201"/>
      <c r="AX195" s="201"/>
      <c r="AY195" s="201"/>
      <c r="AZ195" s="201"/>
    </row>
    <row r="196" spans="2:52">
      <c r="B196" s="201"/>
      <c r="C196" s="201"/>
      <c r="D196" s="201"/>
      <c r="E196" s="201"/>
      <c r="F196" s="201"/>
      <c r="G196" s="201"/>
      <c r="H196" s="201"/>
      <c r="I196" s="45"/>
      <c r="J196" s="42"/>
      <c r="K196" s="42"/>
      <c r="L196" s="43"/>
      <c r="M196" s="44"/>
      <c r="N196" s="44"/>
      <c r="O196" s="42"/>
      <c r="P196" s="44"/>
      <c r="Q196" s="44"/>
      <c r="R196" s="44"/>
      <c r="S196" s="34"/>
      <c r="T196" s="1265" t="s">
        <v>87</v>
      </c>
      <c r="U196" s="1265"/>
      <c r="V196" s="1265"/>
      <c r="W196" s="1265"/>
      <c r="X196" s="1265"/>
      <c r="Y196" s="1265" t="s">
        <v>73</v>
      </c>
      <c r="Z196" s="1265"/>
      <c r="AA196" s="1265"/>
      <c r="AB196" s="1265" t="s">
        <v>74</v>
      </c>
      <c r="AC196" s="1265"/>
      <c r="AD196" s="423" t="s">
        <v>85</v>
      </c>
      <c r="AE196" s="423" t="s">
        <v>77</v>
      </c>
      <c r="AF196" s="1265" t="s">
        <v>525</v>
      </c>
      <c r="AG196" s="1265"/>
      <c r="AH196" s="1265"/>
      <c r="AI196" s="1265"/>
      <c r="AJ196" s="1265"/>
      <c r="AK196" s="1265"/>
      <c r="AL196" s="1265"/>
      <c r="AM196" s="1265"/>
      <c r="AN196" s="1265"/>
      <c r="AO196" s="1265"/>
      <c r="AP196" s="1265"/>
      <c r="AQ196" s="1265"/>
      <c r="AR196" s="1265"/>
      <c r="AS196" s="1265"/>
      <c r="AT196" s="1265"/>
      <c r="AU196" s="1265"/>
      <c r="AV196" s="1265"/>
      <c r="AW196" s="1265"/>
      <c r="AX196" s="1265"/>
      <c r="AY196" s="1265"/>
      <c r="AZ196" s="201"/>
    </row>
    <row r="197" spans="2:52">
      <c r="B197" s="1266" t="s">
        <v>526</v>
      </c>
      <c r="C197" s="1267"/>
      <c r="D197" s="570" t="s">
        <v>527</v>
      </c>
      <c r="E197" s="570"/>
      <c r="F197" s="570" t="s">
        <v>528</v>
      </c>
      <c r="G197" s="570" t="s">
        <v>529</v>
      </c>
      <c r="H197" s="570" t="s">
        <v>530</v>
      </c>
      <c r="I197" s="570" t="s">
        <v>531</v>
      </c>
      <c r="J197" s="570" t="s">
        <v>532</v>
      </c>
      <c r="K197" s="570"/>
      <c r="L197" s="570" t="s">
        <v>130</v>
      </c>
      <c r="M197" s="570" t="s">
        <v>533</v>
      </c>
      <c r="N197" s="408" t="str">
        <f>"On time - "&amp;COUNTIF(N198:N215,"On time")&amp;" from "&amp;ROWS(N198:N215)-COUNTIF(N198:N215," ")</f>
        <v>On time - 1 from 15</v>
      </c>
      <c r="O197" s="46"/>
      <c r="P197" s="409" t="s">
        <v>534</v>
      </c>
      <c r="Q197" s="409" t="s">
        <v>535</v>
      </c>
      <c r="R197" s="409" t="s">
        <v>536</v>
      </c>
      <c r="S197" s="32"/>
      <c r="T197" s="424" t="s">
        <v>537</v>
      </c>
      <c r="U197" s="424" t="s">
        <v>538</v>
      </c>
      <c r="V197" s="424" t="s">
        <v>539</v>
      </c>
      <c r="W197" s="424" t="s">
        <v>540</v>
      </c>
      <c r="X197" s="424" t="s">
        <v>541</v>
      </c>
      <c r="Y197" s="424" t="s">
        <v>167</v>
      </c>
      <c r="Z197" s="424" t="s">
        <v>168</v>
      </c>
      <c r="AA197" s="424" t="s">
        <v>169</v>
      </c>
      <c r="AB197" s="424" t="s">
        <v>235</v>
      </c>
      <c r="AC197" s="424" t="s">
        <v>542</v>
      </c>
      <c r="AD197" s="423" t="s">
        <v>85</v>
      </c>
      <c r="AE197" s="424" t="s">
        <v>139</v>
      </c>
      <c r="AF197" s="424" t="s">
        <v>72</v>
      </c>
      <c r="AG197" s="424" t="s">
        <v>88</v>
      </c>
      <c r="AH197" s="424" t="s">
        <v>75</v>
      </c>
      <c r="AI197" s="424" t="s">
        <v>543</v>
      </c>
      <c r="AJ197" s="424" t="s">
        <v>78</v>
      </c>
      <c r="AK197" s="424" t="s">
        <v>76</v>
      </c>
      <c r="AL197" s="424" t="s">
        <v>544</v>
      </c>
      <c r="AM197" s="424" t="s">
        <v>545</v>
      </c>
      <c r="AN197" s="424" t="s">
        <v>86</v>
      </c>
      <c r="AO197" s="424" t="s">
        <v>83</v>
      </c>
      <c r="AP197" s="424" t="s">
        <v>84</v>
      </c>
      <c r="AQ197" s="424" t="s">
        <v>546</v>
      </c>
      <c r="AR197" s="424" t="s">
        <v>81</v>
      </c>
      <c r="AS197" s="424" t="s">
        <v>80</v>
      </c>
      <c r="AT197" s="424" t="s">
        <v>82</v>
      </c>
      <c r="AU197" s="424" t="s">
        <v>181</v>
      </c>
      <c r="AV197" s="424" t="s">
        <v>183</v>
      </c>
      <c r="AW197" s="424" t="s">
        <v>547</v>
      </c>
      <c r="AX197" s="424" t="s">
        <v>182</v>
      </c>
      <c r="AY197" s="424" t="s">
        <v>172</v>
      </c>
      <c r="AZ197" s="201"/>
    </row>
    <row r="198" spans="2:52">
      <c r="B198" s="1250" t="s">
        <v>649</v>
      </c>
      <c r="C198" s="1251"/>
      <c r="D198" s="411" t="s">
        <v>283</v>
      </c>
      <c r="E198" s="411"/>
      <c r="F198" s="411" t="s">
        <v>284</v>
      </c>
      <c r="G198" s="411" t="s">
        <v>285</v>
      </c>
      <c r="H198" s="412">
        <v>8902.11</v>
      </c>
      <c r="I198" s="413" t="s">
        <v>235</v>
      </c>
      <c r="J198" s="414">
        <v>44944.361111111109</v>
      </c>
      <c r="K198" s="414"/>
      <c r="L198" s="414" t="s">
        <v>192</v>
      </c>
      <c r="M198" s="414" t="s">
        <v>192</v>
      </c>
      <c r="N198" s="413" t="str">
        <f t="shared" ref="N198:N215" si="14">IF(ISBLANK(J198)," ",IF(J198&lt;$G$192,"On time",(IF(DAY(J198-$G$192)&lt;1,"On time",(IF(J198&gt;$G$192,"DELAY ( "&amp;DAY(J198-$G$192)&amp;" day "&amp;HOUR(J198-$G$192)&amp;" hour "&amp;MINUTE(J198-$G$192)&amp;" minute )","xxx"))))))</f>
        <v>DELAY ( 2 day 8 hour 40 minute )</v>
      </c>
      <c r="O198" s="51"/>
      <c r="P198" s="415" t="s">
        <v>551</v>
      </c>
      <c r="Q198" s="415" t="s">
        <v>551</v>
      </c>
      <c r="R198" s="415" t="s">
        <v>551</v>
      </c>
      <c r="S198" s="32"/>
      <c r="T198" s="416"/>
      <c r="U198" s="416"/>
      <c r="V198" s="416"/>
      <c r="W198" s="416"/>
      <c r="X198" s="416"/>
      <c r="Y198" s="416"/>
      <c r="Z198" s="416"/>
      <c r="AA198" s="416"/>
      <c r="AB198" s="416">
        <f>H198</f>
        <v>8902.11</v>
      </c>
      <c r="AC198" s="416"/>
      <c r="AD198" s="416"/>
      <c r="AE198" s="416"/>
      <c r="AF198" s="416"/>
      <c r="AG198" s="416"/>
      <c r="AH198" s="416"/>
      <c r="AI198" s="416"/>
      <c r="AJ198" s="416"/>
      <c r="AK198" s="416"/>
      <c r="AL198" s="416"/>
      <c r="AM198" s="416"/>
      <c r="AN198" s="416"/>
      <c r="AO198" s="416"/>
      <c r="AP198" s="416"/>
      <c r="AQ198" s="416"/>
      <c r="AR198" s="416"/>
      <c r="AS198" s="416"/>
      <c r="AT198" s="416"/>
      <c r="AU198" s="416"/>
      <c r="AV198" s="416"/>
      <c r="AW198" s="416"/>
      <c r="AX198" s="416"/>
      <c r="AY198" s="416"/>
      <c r="AZ198" s="32"/>
    </row>
    <row r="199" spans="2:52">
      <c r="B199" s="1254"/>
      <c r="C199" s="1255"/>
      <c r="D199" s="411" t="s">
        <v>440</v>
      </c>
      <c r="E199" s="425"/>
      <c r="F199" s="411" t="s">
        <v>441</v>
      </c>
      <c r="G199" s="411" t="s">
        <v>442</v>
      </c>
      <c r="H199" s="412">
        <f>5072/2</f>
        <v>2536</v>
      </c>
      <c r="I199" s="413" t="s">
        <v>81</v>
      </c>
      <c r="J199" s="1268">
        <v>44941.9375</v>
      </c>
      <c r="K199" s="414"/>
      <c r="L199" s="414" t="s">
        <v>192</v>
      </c>
      <c r="M199" s="414" t="s">
        <v>192</v>
      </c>
      <c r="N199" s="413" t="str">
        <f t="shared" si="14"/>
        <v>On time</v>
      </c>
      <c r="O199" s="51"/>
      <c r="P199" s="415" t="s">
        <v>551</v>
      </c>
      <c r="Q199" s="415" t="s">
        <v>551</v>
      </c>
      <c r="R199" s="415" t="s">
        <v>551</v>
      </c>
      <c r="S199" s="32"/>
      <c r="T199" s="416"/>
      <c r="U199" s="416"/>
      <c r="V199" s="416"/>
      <c r="W199" s="416"/>
      <c r="X199" s="416"/>
      <c r="Y199" s="416"/>
      <c r="Z199" s="416"/>
      <c r="AA199" s="416"/>
      <c r="AB199" s="416"/>
      <c r="AC199" s="416"/>
      <c r="AD199" s="416"/>
      <c r="AE199" s="416"/>
      <c r="AF199" s="416"/>
      <c r="AG199" s="416"/>
      <c r="AH199" s="416"/>
      <c r="AI199" s="416"/>
      <c r="AJ199" s="416"/>
      <c r="AK199" s="416"/>
      <c r="AL199" s="416"/>
      <c r="AM199" s="416"/>
      <c r="AN199" s="416"/>
      <c r="AO199" s="416"/>
      <c r="AP199" s="416"/>
      <c r="AQ199" s="416"/>
      <c r="AR199" s="416">
        <f>H199</f>
        <v>2536</v>
      </c>
      <c r="AS199" s="416"/>
      <c r="AT199" s="416"/>
      <c r="AU199" s="416"/>
      <c r="AV199" s="416"/>
      <c r="AW199" s="416"/>
      <c r="AX199" s="416"/>
      <c r="AY199" s="416"/>
      <c r="AZ199" s="32"/>
    </row>
    <row r="200" spans="2:52">
      <c r="B200" s="1250" t="s">
        <v>650</v>
      </c>
      <c r="C200" s="1251"/>
      <c r="D200" s="411" t="s">
        <v>440</v>
      </c>
      <c r="E200" s="425"/>
      <c r="F200" s="411" t="s">
        <v>441</v>
      </c>
      <c r="G200" s="411" t="s">
        <v>442</v>
      </c>
      <c r="H200" s="412">
        <f>H199</f>
        <v>2536</v>
      </c>
      <c r="I200" s="413" t="s">
        <v>81</v>
      </c>
      <c r="J200" s="1269"/>
      <c r="K200" s="414"/>
      <c r="L200" s="414" t="s">
        <v>192</v>
      </c>
      <c r="M200" s="414" t="s">
        <v>192</v>
      </c>
      <c r="N200" s="413" t="str">
        <f t="shared" si="14"/>
        <v xml:space="preserve"> </v>
      </c>
      <c r="O200" s="51"/>
      <c r="P200" s="415" t="s">
        <v>551</v>
      </c>
      <c r="Q200" s="415" t="s">
        <v>551</v>
      </c>
      <c r="R200" s="415" t="s">
        <v>551</v>
      </c>
      <c r="S200" s="32"/>
      <c r="T200" s="416"/>
      <c r="U200" s="416"/>
      <c r="V200" s="416"/>
      <c r="W200" s="416"/>
      <c r="X200" s="416"/>
      <c r="Y200" s="416"/>
      <c r="Z200" s="416"/>
      <c r="AA200" s="416"/>
      <c r="AB200" s="416"/>
      <c r="AC200" s="416"/>
      <c r="AD200" s="416"/>
      <c r="AE200" s="416"/>
      <c r="AF200" s="416"/>
      <c r="AG200" s="416"/>
      <c r="AH200" s="416"/>
      <c r="AI200" s="416"/>
      <c r="AJ200" s="416"/>
      <c r="AK200" s="416"/>
      <c r="AL200" s="416"/>
      <c r="AM200" s="416"/>
      <c r="AN200" s="416"/>
      <c r="AO200" s="416"/>
      <c r="AP200" s="416"/>
      <c r="AQ200" s="416"/>
      <c r="AR200" s="416">
        <f>H200</f>
        <v>2536</v>
      </c>
      <c r="AS200" s="416"/>
      <c r="AT200" s="416"/>
      <c r="AU200" s="416"/>
      <c r="AV200" s="416"/>
      <c r="AW200" s="416"/>
      <c r="AX200" s="416"/>
      <c r="AY200" s="416"/>
      <c r="AZ200" s="32"/>
    </row>
    <row r="201" spans="2:52">
      <c r="B201" s="1254"/>
      <c r="C201" s="1255"/>
      <c r="D201" s="411" t="s">
        <v>291</v>
      </c>
      <c r="E201" s="411"/>
      <c r="F201" s="411" t="s">
        <v>292</v>
      </c>
      <c r="G201" s="411" t="s">
        <v>293</v>
      </c>
      <c r="H201" s="412">
        <v>7470.7870000000003</v>
      </c>
      <c r="I201" s="413" t="s">
        <v>240</v>
      </c>
      <c r="J201" s="414">
        <v>44944.395833333336</v>
      </c>
      <c r="K201" s="414"/>
      <c r="L201" s="414" t="s">
        <v>192</v>
      </c>
      <c r="M201" s="414" t="s">
        <v>192</v>
      </c>
      <c r="N201" s="413" t="str">
        <f t="shared" si="14"/>
        <v>DELAY ( 2 day 9 hour 30 minute )</v>
      </c>
      <c r="O201" s="51"/>
      <c r="P201" s="415" t="s">
        <v>551</v>
      </c>
      <c r="Q201" s="415" t="s">
        <v>551</v>
      </c>
      <c r="R201" s="415" t="s">
        <v>551</v>
      </c>
      <c r="S201" s="32"/>
      <c r="T201" s="416"/>
      <c r="U201" s="416"/>
      <c r="V201" s="416"/>
      <c r="W201" s="416"/>
      <c r="X201" s="416"/>
      <c r="Y201" s="416"/>
      <c r="Z201" s="416"/>
      <c r="AA201" s="416"/>
      <c r="AB201" s="416"/>
      <c r="AC201" s="416">
        <f>H201</f>
        <v>7470.7870000000003</v>
      </c>
      <c r="AD201" s="416"/>
      <c r="AE201" s="416"/>
      <c r="AF201" s="416"/>
      <c r="AG201" s="416"/>
      <c r="AH201" s="416"/>
      <c r="AI201" s="416"/>
      <c r="AJ201" s="416"/>
      <c r="AK201" s="416"/>
      <c r="AL201" s="416"/>
      <c r="AM201" s="416"/>
      <c r="AN201" s="416"/>
      <c r="AO201" s="416"/>
      <c r="AP201" s="416"/>
      <c r="AQ201" s="416"/>
      <c r="AR201" s="416"/>
      <c r="AS201" s="416"/>
      <c r="AT201" s="416"/>
      <c r="AU201" s="416"/>
      <c r="AV201" s="416"/>
      <c r="AW201" s="416"/>
      <c r="AX201" s="416"/>
      <c r="AY201" s="416"/>
      <c r="AZ201" s="32"/>
    </row>
    <row r="202" spans="2:52">
      <c r="B202" s="1250" t="s">
        <v>651</v>
      </c>
      <c r="C202" s="1251"/>
      <c r="D202" s="411" t="s">
        <v>297</v>
      </c>
      <c r="E202" s="411"/>
      <c r="F202" s="411" t="s">
        <v>298</v>
      </c>
      <c r="G202" s="411" t="s">
        <v>299</v>
      </c>
      <c r="H202" s="412">
        <v>10408.395</v>
      </c>
      <c r="I202" s="413" t="s">
        <v>235</v>
      </c>
      <c r="J202" s="414">
        <v>44944.107638888891</v>
      </c>
      <c r="K202" s="414"/>
      <c r="L202" s="414" t="s">
        <v>192</v>
      </c>
      <c r="M202" s="414" t="s">
        <v>192</v>
      </c>
      <c r="N202" s="413" t="str">
        <f t="shared" si="14"/>
        <v>DELAY ( 2 day 2 hour 35 minute )</v>
      </c>
      <c r="O202" s="51"/>
      <c r="P202" s="415" t="s">
        <v>551</v>
      </c>
      <c r="Q202" s="415" t="s">
        <v>551</v>
      </c>
      <c r="R202" s="415" t="s">
        <v>551</v>
      </c>
      <c r="S202" s="32"/>
      <c r="T202" s="416"/>
      <c r="U202" s="416"/>
      <c r="V202" s="416"/>
      <c r="W202" s="416"/>
      <c r="X202" s="416"/>
      <c r="Y202" s="416"/>
      <c r="Z202" s="416"/>
      <c r="AA202" s="416"/>
      <c r="AB202" s="416">
        <f>H202</f>
        <v>10408.395</v>
      </c>
      <c r="AC202" s="416"/>
      <c r="AD202" s="416"/>
      <c r="AE202" s="416"/>
      <c r="AF202" s="416"/>
      <c r="AG202" s="416"/>
      <c r="AH202" s="416"/>
      <c r="AI202" s="416"/>
      <c r="AJ202" s="416"/>
      <c r="AK202" s="416"/>
      <c r="AL202" s="416"/>
      <c r="AM202" s="416"/>
      <c r="AN202" s="416"/>
      <c r="AO202" s="416"/>
      <c r="AP202" s="416"/>
      <c r="AQ202" s="416"/>
      <c r="AR202" s="416"/>
      <c r="AS202" s="416"/>
      <c r="AT202" s="416"/>
      <c r="AU202" s="416"/>
      <c r="AV202" s="416"/>
      <c r="AW202" s="416"/>
      <c r="AX202" s="416"/>
      <c r="AY202" s="416"/>
      <c r="AZ202" s="32"/>
    </row>
    <row r="203" spans="2:52">
      <c r="B203" s="1254"/>
      <c r="C203" s="1255"/>
      <c r="D203" s="411" t="s">
        <v>472</v>
      </c>
      <c r="E203" s="425"/>
      <c r="F203" s="411" t="s">
        <v>473</v>
      </c>
      <c r="G203" s="411" t="s">
        <v>474</v>
      </c>
      <c r="H203" s="412">
        <f>7514.82/2</f>
        <v>3757.41</v>
      </c>
      <c r="I203" s="413" t="s">
        <v>172</v>
      </c>
      <c r="J203" s="1268">
        <v>44944.670138888891</v>
      </c>
      <c r="K203" s="414"/>
      <c r="L203" s="414" t="s">
        <v>192</v>
      </c>
      <c r="M203" s="414" t="s">
        <v>192</v>
      </c>
      <c r="N203" s="413" t="str">
        <f t="shared" si="14"/>
        <v>DELAY ( 2 day 16 hour 5 minute )</v>
      </c>
      <c r="O203" s="51"/>
      <c r="P203" s="415" t="s">
        <v>551</v>
      </c>
      <c r="Q203" s="415" t="s">
        <v>551</v>
      </c>
      <c r="R203" s="415" t="s">
        <v>551</v>
      </c>
      <c r="S203" s="32"/>
      <c r="T203" s="416"/>
      <c r="U203" s="416"/>
      <c r="V203" s="416"/>
      <c r="W203" s="416"/>
      <c r="X203" s="416"/>
      <c r="Y203" s="416"/>
      <c r="Z203" s="416"/>
      <c r="AA203" s="416"/>
      <c r="AB203" s="416"/>
      <c r="AC203" s="416"/>
      <c r="AD203" s="416"/>
      <c r="AE203" s="416"/>
      <c r="AF203" s="416"/>
      <c r="AG203" s="416"/>
      <c r="AH203" s="416"/>
      <c r="AI203" s="416"/>
      <c r="AJ203" s="416"/>
      <c r="AK203" s="416"/>
      <c r="AL203" s="416"/>
      <c r="AM203" s="416"/>
      <c r="AN203" s="416"/>
      <c r="AO203" s="416"/>
      <c r="AP203" s="416"/>
      <c r="AQ203" s="416"/>
      <c r="AR203" s="416"/>
      <c r="AS203" s="416"/>
      <c r="AT203" s="416"/>
      <c r="AU203" s="416"/>
      <c r="AV203" s="416"/>
      <c r="AW203" s="416"/>
      <c r="AX203" s="416"/>
      <c r="AY203" s="416">
        <f>H203</f>
        <v>3757.41</v>
      </c>
      <c r="AZ203" s="32"/>
    </row>
    <row r="204" spans="2:52">
      <c r="B204" s="1250" t="s">
        <v>652</v>
      </c>
      <c r="C204" s="1251"/>
      <c r="D204" s="411" t="s">
        <v>472</v>
      </c>
      <c r="E204" s="425"/>
      <c r="F204" s="411" t="s">
        <v>473</v>
      </c>
      <c r="G204" s="411" t="s">
        <v>474</v>
      </c>
      <c r="H204" s="412">
        <f>H203</f>
        <v>3757.41</v>
      </c>
      <c r="I204" s="413" t="s">
        <v>172</v>
      </c>
      <c r="J204" s="1269"/>
      <c r="K204" s="414"/>
      <c r="L204" s="414" t="s">
        <v>192</v>
      </c>
      <c r="M204" s="414" t="s">
        <v>192</v>
      </c>
      <c r="N204" s="413" t="str">
        <f t="shared" si="14"/>
        <v xml:space="preserve"> </v>
      </c>
      <c r="O204" s="51"/>
      <c r="P204" s="415" t="s">
        <v>551</v>
      </c>
      <c r="Q204" s="415" t="s">
        <v>551</v>
      </c>
      <c r="R204" s="415" t="s">
        <v>551</v>
      </c>
      <c r="S204" s="32"/>
      <c r="T204" s="416"/>
      <c r="U204" s="416"/>
      <c r="V204" s="416"/>
      <c r="W204" s="416"/>
      <c r="X204" s="416"/>
      <c r="Y204" s="416"/>
      <c r="Z204" s="416"/>
      <c r="AA204" s="416"/>
      <c r="AB204" s="416"/>
      <c r="AC204" s="416"/>
      <c r="AD204" s="416"/>
      <c r="AE204" s="416"/>
      <c r="AF204" s="416"/>
      <c r="AG204" s="416"/>
      <c r="AH204" s="416"/>
      <c r="AI204" s="416"/>
      <c r="AJ204" s="416"/>
      <c r="AK204" s="416"/>
      <c r="AL204" s="416"/>
      <c r="AM204" s="416"/>
      <c r="AN204" s="416"/>
      <c r="AO204" s="416"/>
      <c r="AP204" s="416"/>
      <c r="AQ204" s="416"/>
      <c r="AR204" s="416"/>
      <c r="AS204" s="416"/>
      <c r="AT204" s="416"/>
      <c r="AU204" s="416"/>
      <c r="AV204" s="416"/>
      <c r="AW204" s="416"/>
      <c r="AX204" s="416"/>
      <c r="AY204" s="416">
        <f>H204</f>
        <v>3757.41</v>
      </c>
      <c r="AZ204" s="32"/>
    </row>
    <row r="205" spans="2:52">
      <c r="B205" s="1254"/>
      <c r="C205" s="1255"/>
      <c r="D205" s="411" t="s">
        <v>294</v>
      </c>
      <c r="E205" s="411"/>
      <c r="F205" s="411" t="s">
        <v>295</v>
      </c>
      <c r="G205" s="411" t="s">
        <v>296</v>
      </c>
      <c r="H205" s="412">
        <v>8805.6769999999997</v>
      </c>
      <c r="I205" s="413" t="s">
        <v>235</v>
      </c>
      <c r="J205" s="414">
        <v>44944.645833333336</v>
      </c>
      <c r="K205" s="414"/>
      <c r="L205" s="414" t="s">
        <v>192</v>
      </c>
      <c r="M205" s="414" t="s">
        <v>192</v>
      </c>
      <c r="N205" s="413" t="str">
        <f t="shared" si="14"/>
        <v>DELAY ( 2 day 15 hour 30 minute )</v>
      </c>
      <c r="O205" s="51"/>
      <c r="P205" s="415" t="s">
        <v>551</v>
      </c>
      <c r="Q205" s="415" t="s">
        <v>551</v>
      </c>
      <c r="R205" s="415" t="s">
        <v>551</v>
      </c>
      <c r="S205" s="32"/>
      <c r="T205" s="416"/>
      <c r="U205" s="416"/>
      <c r="V205" s="416"/>
      <c r="W205" s="416"/>
      <c r="X205" s="416"/>
      <c r="Y205" s="416"/>
      <c r="Z205" s="416"/>
      <c r="AA205" s="416"/>
      <c r="AB205" s="416">
        <f>H205</f>
        <v>8805.6769999999997</v>
      </c>
      <c r="AC205" s="416"/>
      <c r="AD205" s="416"/>
      <c r="AE205" s="416"/>
      <c r="AF205" s="416"/>
      <c r="AG205" s="416"/>
      <c r="AH205" s="416"/>
      <c r="AI205" s="416"/>
      <c r="AJ205" s="416"/>
      <c r="AK205" s="416"/>
      <c r="AL205" s="416"/>
      <c r="AM205" s="416"/>
      <c r="AN205" s="416"/>
      <c r="AO205" s="416"/>
      <c r="AP205" s="416"/>
      <c r="AQ205" s="416"/>
      <c r="AR205" s="416"/>
      <c r="AS205" s="416"/>
      <c r="AT205" s="416"/>
      <c r="AU205" s="416"/>
      <c r="AV205" s="416"/>
      <c r="AW205" s="416"/>
      <c r="AX205" s="416"/>
      <c r="AY205" s="416"/>
      <c r="AZ205" s="32"/>
    </row>
    <row r="206" spans="2:52">
      <c r="B206" s="1250" t="s">
        <v>653</v>
      </c>
      <c r="C206" s="1251"/>
      <c r="D206" s="411" t="s">
        <v>212</v>
      </c>
      <c r="E206" s="411"/>
      <c r="F206" s="411" t="s">
        <v>213</v>
      </c>
      <c r="G206" s="411" t="s">
        <v>214</v>
      </c>
      <c r="H206" s="412">
        <v>7500</v>
      </c>
      <c r="I206" s="413" t="s">
        <v>78</v>
      </c>
      <c r="J206" s="414">
        <v>44944.385416666664</v>
      </c>
      <c r="K206" s="414"/>
      <c r="L206" s="414" t="s">
        <v>192</v>
      </c>
      <c r="M206" s="414" t="s">
        <v>192</v>
      </c>
      <c r="N206" s="413" t="str">
        <f t="shared" si="14"/>
        <v>DELAY ( 2 day 9 hour 15 minute )</v>
      </c>
      <c r="O206" s="51"/>
      <c r="P206" s="415" t="s">
        <v>551</v>
      </c>
      <c r="Q206" s="415" t="s">
        <v>551</v>
      </c>
      <c r="R206" s="415" t="s">
        <v>551</v>
      </c>
      <c r="S206" s="32"/>
      <c r="T206" s="416"/>
      <c r="U206" s="416"/>
      <c r="V206" s="416"/>
      <c r="W206" s="416"/>
      <c r="X206" s="416"/>
      <c r="Y206" s="416"/>
      <c r="Z206" s="416"/>
      <c r="AA206" s="416"/>
      <c r="AB206" s="416"/>
      <c r="AC206" s="416"/>
      <c r="AD206" s="416"/>
      <c r="AE206" s="416"/>
      <c r="AF206" s="416"/>
      <c r="AG206" s="416"/>
      <c r="AH206" s="416"/>
      <c r="AI206" s="416"/>
      <c r="AJ206" s="416">
        <f>H206</f>
        <v>7500</v>
      </c>
      <c r="AK206" s="416"/>
      <c r="AL206" s="416"/>
      <c r="AM206" s="416"/>
      <c r="AN206" s="416"/>
      <c r="AO206" s="416"/>
      <c r="AP206" s="416"/>
      <c r="AQ206" s="416"/>
      <c r="AR206" s="416"/>
      <c r="AS206" s="416"/>
      <c r="AT206" s="416"/>
      <c r="AU206" s="416"/>
      <c r="AV206" s="416"/>
      <c r="AW206" s="416"/>
      <c r="AX206" s="416"/>
      <c r="AY206" s="416"/>
      <c r="AZ206" s="32"/>
    </row>
    <row r="207" spans="2:52">
      <c r="B207" s="1254"/>
      <c r="C207" s="1255"/>
      <c r="D207" s="411" t="s">
        <v>309</v>
      </c>
      <c r="E207" s="411"/>
      <c r="F207" s="411" t="s">
        <v>310</v>
      </c>
      <c r="G207" s="411" t="s">
        <v>311</v>
      </c>
      <c r="H207" s="412">
        <v>7519.5379999999996</v>
      </c>
      <c r="I207" s="413" t="s">
        <v>235</v>
      </c>
      <c r="J207" s="414">
        <v>44945.736111111109</v>
      </c>
      <c r="K207" s="414"/>
      <c r="L207" s="414" t="s">
        <v>192</v>
      </c>
      <c r="M207" s="414" t="s">
        <v>192</v>
      </c>
      <c r="N207" s="413" t="str">
        <f t="shared" si="14"/>
        <v>DELAY ( 3 day 17 hour 40 minute )</v>
      </c>
      <c r="O207" s="51"/>
      <c r="P207" s="415" t="s">
        <v>551</v>
      </c>
      <c r="Q207" s="415" t="s">
        <v>551</v>
      </c>
      <c r="R207" s="415" t="s">
        <v>551</v>
      </c>
      <c r="S207" s="32"/>
      <c r="T207" s="416"/>
      <c r="U207" s="416"/>
      <c r="V207" s="416"/>
      <c r="W207" s="416"/>
      <c r="X207" s="416"/>
      <c r="Y207" s="416"/>
      <c r="Z207" s="416"/>
      <c r="AA207" s="416"/>
      <c r="AB207" s="416">
        <f>H207</f>
        <v>7519.5379999999996</v>
      </c>
      <c r="AC207" s="416"/>
      <c r="AD207" s="416"/>
      <c r="AE207" s="416"/>
      <c r="AF207" s="416"/>
      <c r="AG207" s="416"/>
      <c r="AH207" s="416"/>
      <c r="AI207" s="416"/>
      <c r="AJ207" s="416"/>
      <c r="AK207" s="416"/>
      <c r="AL207" s="416"/>
      <c r="AM207" s="416"/>
      <c r="AN207" s="416"/>
      <c r="AO207" s="416"/>
      <c r="AP207" s="416"/>
      <c r="AQ207" s="416"/>
      <c r="AR207" s="416"/>
      <c r="AS207" s="416"/>
      <c r="AT207" s="416"/>
      <c r="AU207" s="416"/>
      <c r="AV207" s="416"/>
      <c r="AW207" s="416"/>
      <c r="AX207" s="416"/>
      <c r="AY207" s="416"/>
      <c r="AZ207" s="32"/>
    </row>
    <row r="208" spans="2:52">
      <c r="B208" s="1250" t="s">
        <v>654</v>
      </c>
      <c r="C208" s="1251"/>
      <c r="D208" s="411" t="s">
        <v>300</v>
      </c>
      <c r="E208" s="411"/>
      <c r="F208" s="411" t="s">
        <v>301</v>
      </c>
      <c r="G208" s="411" t="s">
        <v>302</v>
      </c>
      <c r="H208" s="412">
        <v>8601.7559999999994</v>
      </c>
      <c r="I208" s="413" t="s">
        <v>240</v>
      </c>
      <c r="J208" s="414">
        <v>44944.729166666664</v>
      </c>
      <c r="K208" s="414"/>
      <c r="L208" s="414" t="s">
        <v>192</v>
      </c>
      <c r="M208" s="414" t="s">
        <v>192</v>
      </c>
      <c r="N208" s="413" t="str">
        <f t="shared" si="14"/>
        <v>DELAY ( 2 day 17 hour 30 minute )</v>
      </c>
      <c r="O208" s="51"/>
      <c r="P208" s="415" t="s">
        <v>551</v>
      </c>
      <c r="Q208" s="415" t="s">
        <v>551</v>
      </c>
      <c r="R208" s="415" t="s">
        <v>551</v>
      </c>
      <c r="S208" s="32"/>
      <c r="T208" s="416"/>
      <c r="U208" s="416"/>
      <c r="V208" s="416"/>
      <c r="W208" s="416"/>
      <c r="X208" s="416"/>
      <c r="Y208" s="416"/>
      <c r="Z208" s="416"/>
      <c r="AA208" s="416"/>
      <c r="AB208" s="416"/>
      <c r="AC208" s="416">
        <f>H208</f>
        <v>8601.7559999999994</v>
      </c>
      <c r="AD208" s="416"/>
      <c r="AE208" s="416"/>
      <c r="AF208" s="416"/>
      <c r="AG208" s="416"/>
      <c r="AH208" s="416"/>
      <c r="AI208" s="416"/>
      <c r="AJ208" s="416"/>
      <c r="AK208" s="416"/>
      <c r="AL208" s="416"/>
      <c r="AM208" s="416"/>
      <c r="AN208" s="416"/>
      <c r="AO208" s="416"/>
      <c r="AP208" s="416"/>
      <c r="AQ208" s="416"/>
      <c r="AR208" s="416"/>
      <c r="AS208" s="416"/>
      <c r="AT208" s="416"/>
      <c r="AU208" s="416"/>
      <c r="AV208" s="416"/>
      <c r="AW208" s="416"/>
      <c r="AX208" s="416"/>
      <c r="AY208" s="416"/>
      <c r="AZ208" s="32"/>
    </row>
    <row r="209" spans="2:52">
      <c r="B209" s="1254"/>
      <c r="C209" s="1255"/>
      <c r="D209" s="411" t="s">
        <v>655</v>
      </c>
      <c r="E209" s="425"/>
      <c r="F209" s="411" t="s">
        <v>422</v>
      </c>
      <c r="G209" s="411" t="s">
        <v>423</v>
      </c>
      <c r="H209" s="412">
        <f>7500/2</f>
        <v>3750</v>
      </c>
      <c r="I209" s="413" t="s">
        <v>76</v>
      </c>
      <c r="J209" s="1268">
        <v>44944.815972222219</v>
      </c>
      <c r="K209" s="414"/>
      <c r="L209" s="414" t="s">
        <v>192</v>
      </c>
      <c r="M209" s="414" t="s">
        <v>192</v>
      </c>
      <c r="N209" s="413" t="str">
        <f t="shared" si="14"/>
        <v>DELAY ( 2 day 19 hour 35 minute )</v>
      </c>
      <c r="O209" s="51"/>
      <c r="P209" s="415" t="s">
        <v>551</v>
      </c>
      <c r="Q209" s="415" t="s">
        <v>551</v>
      </c>
      <c r="R209" s="415" t="s">
        <v>551</v>
      </c>
      <c r="S209" s="32"/>
      <c r="T209" s="416"/>
      <c r="U209" s="416"/>
      <c r="V209" s="416"/>
      <c r="W209" s="416"/>
      <c r="X209" s="416"/>
      <c r="Y209" s="416"/>
      <c r="Z209" s="416"/>
      <c r="AA209" s="416"/>
      <c r="AB209" s="416"/>
      <c r="AC209" s="416"/>
      <c r="AD209" s="416"/>
      <c r="AE209" s="416"/>
      <c r="AF209" s="416"/>
      <c r="AG209" s="416"/>
      <c r="AH209" s="416"/>
      <c r="AI209" s="416"/>
      <c r="AJ209" s="416"/>
      <c r="AK209" s="416">
        <f>H209</f>
        <v>3750</v>
      </c>
      <c r="AL209" s="416"/>
      <c r="AM209" s="416"/>
      <c r="AN209" s="416"/>
      <c r="AO209" s="416"/>
      <c r="AP209" s="416"/>
      <c r="AQ209" s="416"/>
      <c r="AR209" s="416"/>
      <c r="AS209" s="416"/>
      <c r="AT209" s="416"/>
      <c r="AU209" s="416"/>
      <c r="AV209" s="416"/>
      <c r="AW209" s="416"/>
      <c r="AX209" s="416"/>
      <c r="AY209" s="416"/>
      <c r="AZ209" s="32"/>
    </row>
    <row r="210" spans="2:52">
      <c r="B210" s="1250" t="s">
        <v>656</v>
      </c>
      <c r="C210" s="1251"/>
      <c r="D210" s="411" t="s">
        <v>655</v>
      </c>
      <c r="E210" s="425"/>
      <c r="F210" s="411" t="s">
        <v>422</v>
      </c>
      <c r="G210" s="411" t="s">
        <v>423</v>
      </c>
      <c r="H210" s="412">
        <f>H209</f>
        <v>3750</v>
      </c>
      <c r="I210" s="413" t="s">
        <v>76</v>
      </c>
      <c r="J210" s="1269"/>
      <c r="K210" s="414"/>
      <c r="L210" s="414" t="s">
        <v>192</v>
      </c>
      <c r="M210" s="414" t="s">
        <v>192</v>
      </c>
      <c r="N210" s="413" t="str">
        <f t="shared" si="14"/>
        <v xml:space="preserve"> </v>
      </c>
      <c r="O210" s="51"/>
      <c r="P210" s="415" t="s">
        <v>551</v>
      </c>
      <c r="Q210" s="415" t="s">
        <v>551</v>
      </c>
      <c r="R210" s="415" t="s">
        <v>551</v>
      </c>
      <c r="S210" s="32"/>
      <c r="T210" s="416"/>
      <c r="U210" s="416"/>
      <c r="V210" s="416"/>
      <c r="W210" s="416"/>
      <c r="X210" s="416"/>
      <c r="Y210" s="416"/>
      <c r="Z210" s="416"/>
      <c r="AA210" s="416"/>
      <c r="AB210" s="416"/>
      <c r="AC210" s="416"/>
      <c r="AD210" s="416"/>
      <c r="AE210" s="416"/>
      <c r="AF210" s="416"/>
      <c r="AG210" s="416"/>
      <c r="AH210" s="416"/>
      <c r="AI210" s="416"/>
      <c r="AJ210" s="416"/>
      <c r="AK210" s="416">
        <f>H210</f>
        <v>3750</v>
      </c>
      <c r="AL210" s="416"/>
      <c r="AM210" s="416"/>
      <c r="AN210" s="416"/>
      <c r="AO210" s="416"/>
      <c r="AP210" s="416"/>
      <c r="AQ210" s="416"/>
      <c r="AR210" s="416"/>
      <c r="AS210" s="416"/>
      <c r="AT210" s="416"/>
      <c r="AU210" s="416"/>
      <c r="AV210" s="416"/>
      <c r="AW210" s="416"/>
      <c r="AX210" s="416"/>
      <c r="AY210" s="416"/>
      <c r="AZ210" s="32"/>
    </row>
    <row r="211" spans="2:52">
      <c r="B211" s="1252"/>
      <c r="C211" s="1253"/>
      <c r="D211" s="411" t="s">
        <v>306</v>
      </c>
      <c r="E211" s="411"/>
      <c r="F211" s="411" t="s">
        <v>307</v>
      </c>
      <c r="G211" s="411" t="s">
        <v>308</v>
      </c>
      <c r="H211" s="412">
        <v>7453.4809999999998</v>
      </c>
      <c r="I211" s="413" t="s">
        <v>240</v>
      </c>
      <c r="J211" s="414">
        <v>44945.753472222219</v>
      </c>
      <c r="K211" s="414"/>
      <c r="L211" s="414" t="s">
        <v>192</v>
      </c>
      <c r="M211" s="414" t="s">
        <v>192</v>
      </c>
      <c r="N211" s="413" t="str">
        <f t="shared" si="14"/>
        <v>DELAY ( 3 day 18 hour 5 minute )</v>
      </c>
      <c r="O211" s="51"/>
      <c r="P211" s="415" t="s">
        <v>551</v>
      </c>
      <c r="Q211" s="415" t="s">
        <v>551</v>
      </c>
      <c r="R211" s="415" t="s">
        <v>551</v>
      </c>
      <c r="S211" s="32"/>
      <c r="T211" s="416"/>
      <c r="U211" s="416"/>
      <c r="V211" s="416"/>
      <c r="W211" s="416"/>
      <c r="X211" s="416"/>
      <c r="Y211" s="416"/>
      <c r="Z211" s="416"/>
      <c r="AA211" s="416"/>
      <c r="AB211" s="416"/>
      <c r="AC211" s="416">
        <f>H211</f>
        <v>7453.4809999999998</v>
      </c>
      <c r="AD211" s="416"/>
      <c r="AE211" s="416"/>
      <c r="AF211" s="416"/>
      <c r="AG211" s="416"/>
      <c r="AH211" s="416"/>
      <c r="AI211" s="416"/>
      <c r="AJ211" s="416"/>
      <c r="AK211" s="416"/>
      <c r="AL211" s="416"/>
      <c r="AM211" s="416"/>
      <c r="AN211" s="416"/>
      <c r="AO211" s="416"/>
      <c r="AP211" s="416"/>
      <c r="AQ211" s="416"/>
      <c r="AR211" s="416"/>
      <c r="AS211" s="416"/>
      <c r="AT211" s="416"/>
      <c r="AU211" s="416"/>
      <c r="AV211" s="416"/>
      <c r="AW211" s="416"/>
      <c r="AX211" s="416"/>
      <c r="AY211" s="416"/>
      <c r="AZ211" s="32"/>
    </row>
    <row r="212" spans="2:52">
      <c r="B212" s="1250" t="s">
        <v>657</v>
      </c>
      <c r="C212" s="1251"/>
      <c r="D212" s="411" t="s">
        <v>303</v>
      </c>
      <c r="E212" s="411"/>
      <c r="F212" s="411" t="s">
        <v>304</v>
      </c>
      <c r="G212" s="411" t="s">
        <v>305</v>
      </c>
      <c r="H212" s="412">
        <v>7401.009</v>
      </c>
      <c r="I212" s="413" t="s">
        <v>235</v>
      </c>
      <c r="J212" s="414">
        <v>44945.75</v>
      </c>
      <c r="K212" s="414"/>
      <c r="L212" s="414" t="s">
        <v>192</v>
      </c>
      <c r="M212" s="414" t="s">
        <v>192</v>
      </c>
      <c r="N212" s="413" t="str">
        <f t="shared" si="14"/>
        <v>DELAY ( 3 day 18 hour 0 minute )</v>
      </c>
      <c r="O212" s="51"/>
      <c r="P212" s="415" t="s">
        <v>551</v>
      </c>
      <c r="Q212" s="415" t="s">
        <v>551</v>
      </c>
      <c r="R212" s="415" t="s">
        <v>551</v>
      </c>
      <c r="S212" s="32"/>
      <c r="T212" s="416"/>
      <c r="U212" s="416"/>
      <c r="V212" s="416"/>
      <c r="W212" s="416"/>
      <c r="X212" s="416"/>
      <c r="Y212" s="416"/>
      <c r="Z212" s="416"/>
      <c r="AA212" s="416"/>
      <c r="AB212" s="416">
        <f>H212</f>
        <v>7401.009</v>
      </c>
      <c r="AC212" s="416"/>
      <c r="AD212" s="416"/>
      <c r="AE212" s="416"/>
      <c r="AF212" s="416"/>
      <c r="AG212" s="416"/>
      <c r="AH212" s="416"/>
      <c r="AI212" s="416"/>
      <c r="AJ212" s="416"/>
      <c r="AK212" s="416"/>
      <c r="AL212" s="416"/>
      <c r="AM212" s="416"/>
      <c r="AN212" s="416"/>
      <c r="AO212" s="416"/>
      <c r="AP212" s="416"/>
      <c r="AQ212" s="416"/>
      <c r="AR212" s="416"/>
      <c r="AS212" s="416"/>
      <c r="AT212" s="416"/>
      <c r="AU212" s="416"/>
      <c r="AV212" s="416"/>
      <c r="AW212" s="416"/>
      <c r="AX212" s="416"/>
      <c r="AY212" s="416"/>
      <c r="AZ212" s="32"/>
    </row>
    <row r="213" spans="2:52">
      <c r="B213" s="1252"/>
      <c r="C213" s="1253"/>
      <c r="D213" s="411" t="s">
        <v>279</v>
      </c>
      <c r="E213" s="411"/>
      <c r="F213" s="411" t="s">
        <v>280</v>
      </c>
      <c r="G213" s="411" t="s">
        <v>281</v>
      </c>
      <c r="H213" s="412">
        <v>5117</v>
      </c>
      <c r="I213" s="413" t="s">
        <v>240</v>
      </c>
      <c r="J213" s="414">
        <v>44947.986111111109</v>
      </c>
      <c r="K213" s="414"/>
      <c r="L213" s="414" t="s">
        <v>192</v>
      </c>
      <c r="M213" s="414" t="s">
        <v>192</v>
      </c>
      <c r="N213" s="413" t="str">
        <f t="shared" si="14"/>
        <v>DELAY ( 5 day 23 hour 40 minute )</v>
      </c>
      <c r="O213" s="51"/>
      <c r="P213" s="415" t="s">
        <v>551</v>
      </c>
      <c r="Q213" s="415" t="s">
        <v>551</v>
      </c>
      <c r="R213" s="415" t="s">
        <v>551</v>
      </c>
      <c r="S213" s="32"/>
      <c r="T213" s="416"/>
      <c r="U213" s="416"/>
      <c r="V213" s="416"/>
      <c r="W213" s="416"/>
      <c r="X213" s="416"/>
      <c r="Y213" s="416"/>
      <c r="Z213" s="416"/>
      <c r="AA213" s="416"/>
      <c r="AB213" s="416"/>
      <c r="AC213" s="416">
        <f>H213</f>
        <v>5117</v>
      </c>
      <c r="AD213" s="416"/>
      <c r="AE213" s="416"/>
      <c r="AF213" s="416"/>
      <c r="AG213" s="416"/>
      <c r="AH213" s="416"/>
      <c r="AI213" s="416"/>
      <c r="AJ213" s="416"/>
      <c r="AK213" s="416"/>
      <c r="AL213" s="416"/>
      <c r="AM213" s="416"/>
      <c r="AN213" s="416"/>
      <c r="AO213" s="416"/>
      <c r="AP213" s="416"/>
      <c r="AQ213" s="416"/>
      <c r="AR213" s="416"/>
      <c r="AS213" s="416"/>
      <c r="AT213" s="416"/>
      <c r="AU213" s="416"/>
      <c r="AV213" s="416"/>
      <c r="AW213" s="416"/>
      <c r="AX213" s="416"/>
      <c r="AY213" s="416"/>
      <c r="AZ213" s="32"/>
    </row>
    <row r="214" spans="2:52">
      <c r="B214" s="1256" t="s">
        <v>548</v>
      </c>
      <c r="C214" s="1257"/>
      <c r="D214" s="411" t="s">
        <v>287</v>
      </c>
      <c r="E214" s="411"/>
      <c r="F214" s="411" t="s">
        <v>288</v>
      </c>
      <c r="G214" s="411" t="s">
        <v>289</v>
      </c>
      <c r="H214" s="412">
        <v>7426.9709999999995</v>
      </c>
      <c r="I214" s="413" t="s">
        <v>235</v>
      </c>
      <c r="J214" s="414">
        <v>44945.708333333336</v>
      </c>
      <c r="K214" s="414"/>
      <c r="L214" s="414" t="s">
        <v>192</v>
      </c>
      <c r="M214" s="414" t="s">
        <v>192</v>
      </c>
      <c r="N214" s="413" t="str">
        <f t="shared" si="14"/>
        <v>DELAY ( 3 day 17 hour 0 minute )</v>
      </c>
      <c r="O214" s="51"/>
      <c r="P214" s="415" t="s">
        <v>551</v>
      </c>
      <c r="Q214" s="415" t="s">
        <v>551</v>
      </c>
      <c r="R214" s="415" t="s">
        <v>551</v>
      </c>
      <c r="S214" s="32"/>
      <c r="T214" s="416"/>
      <c r="U214" s="416"/>
      <c r="V214" s="416"/>
      <c r="W214" s="416"/>
      <c r="X214" s="416"/>
      <c r="Y214" s="416"/>
      <c r="Z214" s="416"/>
      <c r="AA214" s="416"/>
      <c r="AB214" s="416">
        <f>H214</f>
        <v>7426.9709999999995</v>
      </c>
      <c r="AC214" s="416"/>
      <c r="AD214" s="416"/>
      <c r="AE214" s="416"/>
      <c r="AF214" s="416"/>
      <c r="AG214" s="416"/>
      <c r="AH214" s="416"/>
      <c r="AI214" s="416"/>
      <c r="AJ214" s="416"/>
      <c r="AK214" s="416"/>
      <c r="AL214" s="416"/>
      <c r="AM214" s="416"/>
      <c r="AN214" s="416"/>
      <c r="AO214" s="416"/>
      <c r="AP214" s="416"/>
      <c r="AQ214" s="416"/>
      <c r="AR214" s="416"/>
      <c r="AS214" s="416"/>
      <c r="AT214" s="416"/>
      <c r="AU214" s="416"/>
      <c r="AV214" s="416"/>
      <c r="AW214" s="416"/>
      <c r="AX214" s="416"/>
      <c r="AY214" s="416"/>
      <c r="AZ214" s="32"/>
    </row>
    <row r="215" spans="2:52">
      <c r="B215" s="1256" t="s">
        <v>548</v>
      </c>
      <c r="C215" s="1257"/>
      <c r="D215" s="411" t="s">
        <v>322</v>
      </c>
      <c r="E215" s="411"/>
      <c r="F215" s="411" t="s">
        <v>323</v>
      </c>
      <c r="G215" s="411" t="s">
        <v>324</v>
      </c>
      <c r="H215" s="412">
        <f>7307.956-5501.5</f>
        <v>1806.4560000000001</v>
      </c>
      <c r="I215" s="413" t="s">
        <v>235</v>
      </c>
      <c r="J215" s="414">
        <v>44946.666666666664</v>
      </c>
      <c r="K215" s="414"/>
      <c r="L215" s="414" t="s">
        <v>192</v>
      </c>
      <c r="M215" s="414" t="s">
        <v>192</v>
      </c>
      <c r="N215" s="413" t="str">
        <f t="shared" si="14"/>
        <v>DELAY ( 4 day 16 hour 0 minute )</v>
      </c>
      <c r="O215" s="51"/>
      <c r="P215" s="415" t="s">
        <v>551</v>
      </c>
      <c r="Q215" s="415" t="s">
        <v>551</v>
      </c>
      <c r="R215" s="415" t="s">
        <v>551</v>
      </c>
      <c r="S215" s="32"/>
      <c r="T215" s="416"/>
      <c r="U215" s="416"/>
      <c r="V215" s="416"/>
      <c r="W215" s="416"/>
      <c r="X215" s="416"/>
      <c r="Y215" s="416"/>
      <c r="Z215" s="416"/>
      <c r="AA215" s="416"/>
      <c r="AB215" s="416">
        <f>H215</f>
        <v>1806.4560000000001</v>
      </c>
      <c r="AC215" s="416"/>
      <c r="AD215" s="416"/>
      <c r="AE215" s="416"/>
      <c r="AF215" s="416"/>
      <c r="AG215" s="416"/>
      <c r="AH215" s="416"/>
      <c r="AI215" s="416"/>
      <c r="AJ215" s="416"/>
      <c r="AK215" s="416"/>
      <c r="AL215" s="416"/>
      <c r="AM215" s="416"/>
      <c r="AN215" s="416"/>
      <c r="AO215" s="416"/>
      <c r="AP215" s="416"/>
      <c r="AQ215" s="416"/>
      <c r="AR215" s="416"/>
      <c r="AS215" s="416"/>
      <c r="AT215" s="416"/>
      <c r="AU215" s="416"/>
      <c r="AV215" s="416"/>
      <c r="AW215" s="416"/>
      <c r="AX215" s="416"/>
      <c r="AY215" s="416"/>
      <c r="AZ215" s="32"/>
    </row>
    <row r="216" spans="2:52">
      <c r="B216" s="1258" t="s">
        <v>556</v>
      </c>
      <c r="C216" s="1259"/>
      <c r="D216" s="1259"/>
      <c r="E216" s="1259"/>
      <c r="F216" s="1259"/>
      <c r="G216" s="1260"/>
      <c r="H216" s="417">
        <f>SUM(H198:H215)</f>
        <v>108500.00000000001</v>
      </c>
      <c r="I216" s="388"/>
      <c r="J216" s="293"/>
      <c r="K216" s="293"/>
      <c r="L216" s="293"/>
      <c r="M216" s="389"/>
      <c r="N216" s="413" t="str">
        <f>IF(ISBLANK(J216)," ",IF(J216&lt;$F$4,"On time",(IF(DAY(J216-$F$4)&lt;1,"On time",(IF(J216&gt;$F$4,"DELAY ( "&amp;DAY(J216-$F$4)&amp;" day "&amp;HOUR(J216-$F$4)&amp;" hour "&amp;MINUTE(J216-$F$4)&amp;" minute )","xxx"))))))</f>
        <v xml:space="preserve"> </v>
      </c>
      <c r="O216" s="212"/>
      <c r="P216" s="418"/>
      <c r="Q216" s="418"/>
      <c r="R216" s="418"/>
      <c r="S216" s="207"/>
      <c r="T216" s="1262"/>
      <c r="U216" s="1263"/>
      <c r="V216" s="1263"/>
      <c r="W216" s="1263"/>
      <c r="X216" s="1263"/>
      <c r="Y216" s="1263"/>
      <c r="Z216" s="1263"/>
      <c r="AA216" s="1263"/>
      <c r="AB216" s="1263"/>
      <c r="AC216" s="1263"/>
      <c r="AD216" s="1263"/>
      <c r="AE216" s="1263"/>
      <c r="AF216" s="1263"/>
      <c r="AG216" s="1263"/>
      <c r="AH216" s="1263"/>
      <c r="AI216" s="1263"/>
      <c r="AJ216" s="1263"/>
      <c r="AK216" s="1263"/>
      <c r="AL216" s="1263"/>
      <c r="AM216" s="1263"/>
      <c r="AN216" s="1263"/>
      <c r="AO216" s="1263"/>
      <c r="AP216" s="1263"/>
      <c r="AQ216" s="1263"/>
      <c r="AR216" s="1263"/>
      <c r="AS216" s="1263"/>
      <c r="AT216" s="1263"/>
      <c r="AU216" s="1263"/>
      <c r="AV216" s="1263"/>
      <c r="AW216" s="1263"/>
      <c r="AX216" s="1263"/>
      <c r="AY216" s="1264"/>
    </row>
    <row r="217" spans="2:52">
      <c r="B217" s="1243" t="s">
        <v>557</v>
      </c>
      <c r="C217" s="1244"/>
      <c r="D217" s="1244"/>
      <c r="E217" s="1244"/>
      <c r="F217" s="1244"/>
      <c r="G217" s="1245"/>
      <c r="H217" s="419">
        <v>108500</v>
      </c>
      <c r="I217" s="1246"/>
      <c r="J217" s="1247"/>
      <c r="K217" s="1247"/>
      <c r="L217" s="1247"/>
      <c r="M217" s="1248"/>
      <c r="N217" s="413" t="str">
        <f>IF(ISBLANK(J217)," ",IF(J217&lt;$F$4,"On time",(IF(DAY(J217-$F$4)&lt;1,"On time",(IF(J217&gt;$F$4,"DELAY ( "&amp;DAY(J217-$F$4)&amp;" day "&amp;HOUR(J217-$F$4)&amp;" hour "&amp;MINUTE(J217-$F$4)&amp;" minute )","xxx"))))))</f>
        <v xml:space="preserve"> </v>
      </c>
      <c r="O217" s="32"/>
      <c r="P217" s="415"/>
      <c r="Q217" s="415"/>
      <c r="R217" s="415"/>
      <c r="S217" s="63"/>
      <c r="T217" s="416">
        <f>SUM(T198:T215)</f>
        <v>0</v>
      </c>
      <c r="U217" s="416">
        <f t="shared" ref="U217:AY217" si="15">SUM(U198:U215)</f>
        <v>0</v>
      </c>
      <c r="V217" s="416">
        <f t="shared" si="15"/>
        <v>0</v>
      </c>
      <c r="W217" s="416">
        <f t="shared" si="15"/>
        <v>0</v>
      </c>
      <c r="X217" s="416">
        <f t="shared" si="15"/>
        <v>0</v>
      </c>
      <c r="Y217" s="416">
        <f t="shared" si="15"/>
        <v>0</v>
      </c>
      <c r="Z217" s="416">
        <f t="shared" si="15"/>
        <v>0</v>
      </c>
      <c r="AA217" s="416">
        <f t="shared" si="15"/>
        <v>0</v>
      </c>
      <c r="AB217" s="416">
        <f t="shared" si="15"/>
        <v>52270.155999999995</v>
      </c>
      <c r="AC217" s="416">
        <f t="shared" si="15"/>
        <v>28643.023999999998</v>
      </c>
      <c r="AD217" s="416">
        <f t="shared" si="15"/>
        <v>0</v>
      </c>
      <c r="AE217" s="416">
        <f t="shared" si="15"/>
        <v>0</v>
      </c>
      <c r="AF217" s="416">
        <f t="shared" si="15"/>
        <v>0</v>
      </c>
      <c r="AG217" s="416">
        <f t="shared" si="15"/>
        <v>0</v>
      </c>
      <c r="AH217" s="416">
        <f t="shared" si="15"/>
        <v>0</v>
      </c>
      <c r="AI217" s="416">
        <f t="shared" si="15"/>
        <v>0</v>
      </c>
      <c r="AJ217" s="416">
        <f t="shared" si="15"/>
        <v>7500</v>
      </c>
      <c r="AK217" s="416">
        <f t="shared" si="15"/>
        <v>7500</v>
      </c>
      <c r="AL217" s="416">
        <f t="shared" si="15"/>
        <v>0</v>
      </c>
      <c r="AM217" s="416">
        <f t="shared" si="15"/>
        <v>0</v>
      </c>
      <c r="AN217" s="416">
        <f t="shared" si="15"/>
        <v>0</v>
      </c>
      <c r="AO217" s="416">
        <f t="shared" si="15"/>
        <v>0</v>
      </c>
      <c r="AP217" s="416">
        <f t="shared" si="15"/>
        <v>0</v>
      </c>
      <c r="AQ217" s="416">
        <f t="shared" si="15"/>
        <v>0</v>
      </c>
      <c r="AR217" s="416">
        <f t="shared" si="15"/>
        <v>5072</v>
      </c>
      <c r="AS217" s="416">
        <f t="shared" si="15"/>
        <v>0</v>
      </c>
      <c r="AT217" s="416">
        <f t="shared" si="15"/>
        <v>0</v>
      </c>
      <c r="AU217" s="416">
        <f t="shared" si="15"/>
        <v>0</v>
      </c>
      <c r="AV217" s="416">
        <f t="shared" si="15"/>
        <v>0</v>
      </c>
      <c r="AW217" s="416">
        <f t="shared" si="15"/>
        <v>0</v>
      </c>
      <c r="AX217" s="416">
        <f t="shared" si="15"/>
        <v>0</v>
      </c>
      <c r="AY217" s="416">
        <f t="shared" si="15"/>
        <v>7514.82</v>
      </c>
      <c r="AZ217" s="416">
        <f>SUM(T217:AY217)</f>
        <v>108500</v>
      </c>
    </row>
    <row r="218" spans="2:52">
      <c r="B218" s="1243" t="s">
        <v>558</v>
      </c>
      <c r="C218" s="1244"/>
      <c r="D218" s="1244"/>
      <c r="E218" s="1244"/>
      <c r="F218" s="1244"/>
      <c r="G218" s="1245"/>
      <c r="H218" s="420">
        <f>H217-L192</f>
        <v>0</v>
      </c>
      <c r="I218" s="294"/>
      <c r="J218" s="295"/>
      <c r="K218" s="295"/>
      <c r="L218" s="296"/>
      <c r="M218" s="32"/>
      <c r="N218" s="32"/>
      <c r="O218" s="32"/>
      <c r="P218" s="32"/>
      <c r="Q218" s="297"/>
      <c r="R218" s="297"/>
      <c r="S218" s="32"/>
      <c r="T218" s="48"/>
      <c r="U218" s="48"/>
      <c r="V218" s="48"/>
      <c r="W218" s="48"/>
      <c r="X218" s="48"/>
      <c r="Y218" s="48"/>
      <c r="Z218" s="48"/>
      <c r="AA218" s="48"/>
      <c r="AB218" s="48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</row>
    <row r="219" spans="2:52">
      <c r="B219" s="1243" t="s">
        <v>559</v>
      </c>
      <c r="C219" s="1244"/>
      <c r="D219" s="1244"/>
      <c r="E219" s="1244"/>
      <c r="F219" s="1244"/>
      <c r="G219" s="1245"/>
      <c r="H219" s="420">
        <v>5618.1570000000002</v>
      </c>
      <c r="I219" s="52"/>
      <c r="J219" s="53"/>
      <c r="K219" s="53"/>
      <c r="L219" s="54"/>
      <c r="M219" s="32"/>
      <c r="N219" s="32"/>
      <c r="O219" s="32"/>
      <c r="P219" s="32"/>
      <c r="Q219" s="32"/>
      <c r="R219" s="32"/>
      <c r="S219" s="32"/>
      <c r="T219" s="48"/>
      <c r="U219" s="48"/>
      <c r="V219" s="48"/>
      <c r="W219" s="48"/>
      <c r="X219" s="48"/>
      <c r="Y219" s="48"/>
      <c r="Z219" s="48"/>
      <c r="AA219" s="48"/>
      <c r="AB219" s="48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</row>
    <row r="220" spans="2:52">
      <c r="B220" s="1243" t="s">
        <v>560</v>
      </c>
      <c r="C220" s="1244"/>
      <c r="D220" s="1244"/>
      <c r="E220" s="1244"/>
      <c r="F220" s="1244"/>
      <c r="G220" s="1245"/>
      <c r="H220" s="420">
        <f>H219-5501.5</f>
        <v>116.65700000000015</v>
      </c>
      <c r="I220" s="255"/>
      <c r="J220" s="53"/>
      <c r="K220" s="53"/>
      <c r="L220" s="54"/>
      <c r="M220" s="32"/>
      <c r="N220" s="32"/>
      <c r="O220" s="32"/>
      <c r="P220" s="32"/>
      <c r="Q220" s="32"/>
      <c r="R220" s="32"/>
      <c r="S220" s="48"/>
      <c r="T220" s="48"/>
      <c r="U220" s="48"/>
      <c r="V220" s="48"/>
      <c r="W220" s="48"/>
      <c r="X220" s="48"/>
      <c r="Y220" s="48"/>
      <c r="Z220" s="48"/>
      <c r="AA220" s="48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</row>
    <row r="221" spans="2:52">
      <c r="B221" s="201"/>
      <c r="C221" s="201"/>
      <c r="D221" s="201"/>
      <c r="E221" s="201"/>
      <c r="F221" s="201"/>
      <c r="G221" s="201"/>
      <c r="H221" s="201"/>
      <c r="I221" s="213"/>
      <c r="J221" s="209"/>
      <c r="K221" s="209"/>
      <c r="L221" s="203"/>
      <c r="M221" s="201"/>
      <c r="N221" s="201"/>
      <c r="O221" s="209"/>
      <c r="P221" s="32"/>
      <c r="Q221" s="32"/>
      <c r="R221" s="32"/>
      <c r="S221" s="32"/>
      <c r="T221" s="48"/>
      <c r="U221" s="48"/>
      <c r="V221" s="48"/>
      <c r="W221" s="48"/>
      <c r="X221" s="48"/>
      <c r="Y221" s="48"/>
      <c r="Z221" s="48"/>
      <c r="AA221" s="48"/>
      <c r="AB221" s="48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</row>
    <row r="222" spans="2:52">
      <c r="B222" s="40" t="s">
        <v>561</v>
      </c>
      <c r="C222" s="40"/>
      <c r="D222" s="32"/>
      <c r="E222" s="32"/>
      <c r="F222" s="32"/>
      <c r="G222" s="32"/>
      <c r="H222" s="32"/>
      <c r="I222" s="32"/>
      <c r="J222" s="52"/>
      <c r="K222" s="52"/>
      <c r="L222" s="55"/>
      <c r="M222" s="32"/>
      <c r="N222" s="201"/>
      <c r="O222" s="5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  <c r="AB222" s="201"/>
      <c r="AC222" s="201"/>
      <c r="AD222" s="201"/>
      <c r="AE222" s="201"/>
      <c r="AF222" s="201"/>
      <c r="AG222" s="201"/>
      <c r="AH222" s="201"/>
      <c r="AI222" s="201"/>
      <c r="AJ222" s="201"/>
      <c r="AK222" s="201"/>
      <c r="AL222" s="201"/>
      <c r="AM222" s="201"/>
      <c r="AN222" s="201"/>
      <c r="AO222" s="201"/>
      <c r="AP222" s="201"/>
      <c r="AQ222" s="201"/>
      <c r="AR222" s="201"/>
      <c r="AS222" s="201"/>
      <c r="AT222" s="201"/>
      <c r="AU222" s="201"/>
      <c r="AZ222" s="201"/>
    </row>
    <row r="223" spans="2:52">
      <c r="B223" s="422">
        <v>1</v>
      </c>
      <c r="C223" s="1249" t="s">
        <v>658</v>
      </c>
      <c r="D223" s="1249"/>
      <c r="E223" s="1249"/>
      <c r="F223" s="1249"/>
      <c r="G223" s="1249"/>
      <c r="H223" s="1249"/>
      <c r="I223" s="1249"/>
      <c r="J223" s="1249"/>
      <c r="K223" s="1249"/>
      <c r="L223" s="203"/>
      <c r="M223" s="201"/>
      <c r="N223" s="201"/>
      <c r="O223" s="209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  <c r="AB223" s="201"/>
      <c r="AC223" s="201"/>
      <c r="AD223" s="201"/>
      <c r="AE223" s="201"/>
      <c r="AF223" s="201"/>
      <c r="AG223" s="201"/>
      <c r="AH223" s="201"/>
      <c r="AI223" s="201"/>
      <c r="AJ223" s="201"/>
      <c r="AK223" s="201"/>
      <c r="AL223" s="201"/>
      <c r="AM223" s="201"/>
      <c r="AN223" s="201"/>
      <c r="AO223" s="201"/>
      <c r="AP223" s="201"/>
      <c r="AQ223" s="201"/>
      <c r="AR223" s="201"/>
      <c r="AS223" s="201"/>
      <c r="AT223" s="201"/>
      <c r="AU223" s="201"/>
      <c r="AV223" s="201"/>
      <c r="AW223" s="201"/>
      <c r="AX223" s="201"/>
      <c r="AY223" s="201"/>
      <c r="AZ223" s="201"/>
    </row>
    <row r="225" spans="2:53">
      <c r="B225" s="28" t="s">
        <v>2</v>
      </c>
      <c r="C225" s="28"/>
      <c r="D225" s="29"/>
      <c r="E225" s="30" t="s">
        <v>511</v>
      </c>
      <c r="F225" s="31" t="s">
        <v>241</v>
      </c>
      <c r="G225" s="32"/>
      <c r="H225" s="33"/>
      <c r="I225" s="34"/>
      <c r="J225" s="35" t="s">
        <v>513</v>
      </c>
      <c r="K225" s="36" t="s">
        <v>511</v>
      </c>
      <c r="L225" s="37">
        <v>44952.705555555556</v>
      </c>
      <c r="M225" s="32"/>
      <c r="N225" s="32"/>
      <c r="O225" s="206"/>
      <c r="P225" s="205"/>
      <c r="Q225" s="202"/>
      <c r="R225" s="204"/>
      <c r="S225" s="38"/>
      <c r="T225" s="201"/>
      <c r="U225" s="201"/>
      <c r="V225" s="201"/>
      <c r="W225" s="201"/>
      <c r="X225" s="201"/>
      <c r="Y225" s="201"/>
      <c r="Z225" s="201"/>
      <c r="AA225" s="201"/>
      <c r="AB225" s="202"/>
      <c r="AC225" s="202"/>
      <c r="AD225" s="202"/>
      <c r="AE225" s="202"/>
      <c r="AF225" s="202"/>
      <c r="AG225" s="201"/>
      <c r="AH225" s="201"/>
      <c r="AI225" s="201"/>
      <c r="AJ225" s="201"/>
      <c r="AK225" s="201"/>
      <c r="AL225" s="201"/>
      <c r="AM225" s="201"/>
      <c r="AN225" s="201"/>
      <c r="AO225" s="201"/>
      <c r="AP225" s="201"/>
      <c r="AQ225" s="201"/>
      <c r="AR225" s="201"/>
      <c r="AS225" s="201"/>
      <c r="AT225" s="201"/>
      <c r="AU225" s="201"/>
      <c r="AV225" s="201"/>
      <c r="AW225" s="201"/>
      <c r="AX225" s="201"/>
      <c r="AY225" s="201"/>
      <c r="AZ225" s="201"/>
      <c r="BA225" s="201"/>
    </row>
    <row r="226" spans="2:53">
      <c r="B226" s="35" t="s">
        <v>514</v>
      </c>
      <c r="C226" s="35"/>
      <c r="D226" s="32"/>
      <c r="E226" s="36" t="s">
        <v>511</v>
      </c>
      <c r="F226" s="37" t="s">
        <v>659</v>
      </c>
      <c r="G226" s="32"/>
      <c r="H226" s="33"/>
      <c r="I226" s="34"/>
      <c r="J226" s="35" t="s">
        <v>516</v>
      </c>
      <c r="K226" s="36" t="s">
        <v>511</v>
      </c>
      <c r="L226" s="37">
        <v>44954.172222222223</v>
      </c>
      <c r="M226" s="32"/>
      <c r="N226" s="32"/>
      <c r="O226" s="206"/>
      <c r="P226" s="205"/>
      <c r="Q226" s="202"/>
      <c r="R226" s="204"/>
      <c r="S226" s="38"/>
      <c r="T226" s="201"/>
      <c r="U226" s="201"/>
      <c r="V226" s="201"/>
      <c r="W226" s="201"/>
      <c r="X226" s="201"/>
      <c r="Y226" s="201"/>
      <c r="Z226" s="201"/>
      <c r="AA226" s="201"/>
      <c r="AB226" s="202"/>
      <c r="AC226" s="202"/>
      <c r="AD226" s="202"/>
      <c r="AE226" s="202"/>
      <c r="AF226" s="202"/>
      <c r="AG226" s="201"/>
      <c r="AH226" s="201"/>
      <c r="AI226" s="201"/>
      <c r="AJ226" s="201"/>
      <c r="AK226" s="201"/>
      <c r="AL226" s="201"/>
      <c r="AM226" s="201"/>
      <c r="AN226" s="201"/>
      <c r="AO226" s="201"/>
      <c r="AP226" s="201"/>
      <c r="AQ226" s="201"/>
      <c r="AR226" s="201"/>
      <c r="AS226" s="201"/>
      <c r="AT226" s="201"/>
      <c r="AU226" s="201"/>
      <c r="AV226" s="201"/>
      <c r="AW226" s="201"/>
      <c r="AX226" s="201"/>
      <c r="AY226" s="201"/>
      <c r="AZ226" s="201"/>
      <c r="BA226" s="201"/>
    </row>
    <row r="227" spans="2:53">
      <c r="B227" s="35" t="s">
        <v>517</v>
      </c>
      <c r="C227" s="35"/>
      <c r="D227" s="32"/>
      <c r="E227" s="36" t="s">
        <v>511</v>
      </c>
      <c r="F227" s="37">
        <v>44952.388888888891</v>
      </c>
      <c r="G227" s="32"/>
      <c r="H227" s="33"/>
      <c r="I227" s="34"/>
      <c r="J227" s="35" t="s">
        <v>518</v>
      </c>
      <c r="K227" s="36" t="s">
        <v>511</v>
      </c>
      <c r="L227" s="50">
        <v>64300</v>
      </c>
      <c r="M227" s="40" t="s">
        <v>519</v>
      </c>
      <c r="N227" s="40"/>
      <c r="O227" s="206"/>
      <c r="P227" s="205"/>
      <c r="Q227" s="202"/>
      <c r="R227" s="204"/>
      <c r="S227" s="38"/>
      <c r="T227" s="201"/>
      <c r="U227" s="201"/>
      <c r="V227" s="201"/>
      <c r="W227" s="201"/>
      <c r="X227" s="201"/>
      <c r="Y227" s="201"/>
      <c r="Z227" s="201"/>
      <c r="AA227" s="201"/>
      <c r="AB227" s="202"/>
      <c r="AC227" s="202"/>
      <c r="AD227" s="202"/>
      <c r="AE227" s="202"/>
      <c r="AF227" s="202"/>
      <c r="AG227" s="201"/>
      <c r="AH227" s="201"/>
      <c r="AI227" s="201"/>
      <c r="AJ227" s="201"/>
      <c r="AK227" s="201"/>
      <c r="AL227" s="201"/>
      <c r="AM227" s="201"/>
      <c r="AN227" s="201"/>
      <c r="AO227" s="201"/>
      <c r="AP227" s="201"/>
      <c r="AQ227" s="201"/>
      <c r="AR227" s="201"/>
      <c r="AS227" s="201"/>
      <c r="AT227" s="201"/>
      <c r="AU227" s="201"/>
      <c r="AV227" s="201"/>
      <c r="AW227" s="201"/>
      <c r="AX227" s="201"/>
      <c r="AY227" s="201"/>
      <c r="AZ227" s="201"/>
      <c r="BA227" s="201"/>
    </row>
    <row r="228" spans="2:53">
      <c r="B228" s="35" t="s">
        <v>520</v>
      </c>
      <c r="C228" s="35"/>
      <c r="D228" s="32"/>
      <c r="E228" s="36" t="s">
        <v>511</v>
      </c>
      <c r="F228" s="37" t="s">
        <v>20</v>
      </c>
      <c r="G228" s="32"/>
      <c r="H228" s="33"/>
      <c r="I228" s="34"/>
      <c r="J228" s="35" t="s">
        <v>521</v>
      </c>
      <c r="K228" s="36" t="s">
        <v>511</v>
      </c>
      <c r="L228" s="41" t="s">
        <v>660</v>
      </c>
      <c r="M228" s="32"/>
      <c r="N228" s="32"/>
      <c r="O228" s="206"/>
      <c r="P228" s="202"/>
      <c r="Q228" s="202"/>
      <c r="R228" s="204"/>
      <c r="S228" s="38"/>
      <c r="T228" s="201"/>
      <c r="U228" s="201"/>
      <c r="V228" s="201"/>
      <c r="W228" s="201"/>
      <c r="X228" s="201"/>
      <c r="Y228" s="201"/>
      <c r="Z228" s="201"/>
      <c r="AA228" s="201"/>
      <c r="AB228" s="202"/>
      <c r="AC228" s="202"/>
      <c r="AD228" s="202"/>
      <c r="AE228" s="202"/>
      <c r="AF228" s="202"/>
      <c r="AG228" s="201"/>
      <c r="AH228" s="201"/>
      <c r="AI228" s="201"/>
      <c r="AJ228" s="201"/>
      <c r="AK228" s="201"/>
      <c r="AL228" s="201"/>
      <c r="AM228" s="201"/>
      <c r="AN228" s="201"/>
      <c r="AO228" s="201"/>
      <c r="AP228" s="201"/>
      <c r="AQ228" s="201"/>
      <c r="AR228" s="201"/>
      <c r="AS228" s="201"/>
      <c r="AT228" s="201"/>
      <c r="AU228" s="201"/>
      <c r="AV228" s="201"/>
      <c r="AW228" s="201"/>
      <c r="AX228" s="201"/>
      <c r="AY228" s="201"/>
      <c r="AZ228" s="201"/>
      <c r="BA228" s="201"/>
    </row>
    <row r="229" spans="2:53">
      <c r="B229" s="35" t="s">
        <v>523</v>
      </c>
      <c r="C229" s="35"/>
      <c r="D229" s="32"/>
      <c r="E229" s="36" t="s">
        <v>511</v>
      </c>
      <c r="F229" s="37" t="s">
        <v>47</v>
      </c>
      <c r="G229" s="32"/>
      <c r="H229" s="33"/>
      <c r="I229" s="34"/>
      <c r="J229" s="42" t="s">
        <v>524</v>
      </c>
      <c r="K229" s="36" t="s">
        <v>511</v>
      </c>
      <c r="L229" s="43" t="s">
        <v>15</v>
      </c>
      <c r="M229" s="44"/>
      <c r="N229" s="44"/>
      <c r="O229" s="206"/>
      <c r="P229" s="205"/>
      <c r="Q229" s="202"/>
      <c r="R229" s="204"/>
      <c r="S229" s="38"/>
      <c r="T229" s="201"/>
      <c r="U229" s="201"/>
      <c r="V229" s="201"/>
      <c r="W229" s="201"/>
      <c r="X229" s="201"/>
      <c r="Y229" s="201"/>
      <c r="Z229" s="201"/>
      <c r="AA229" s="201"/>
      <c r="AB229" s="202"/>
      <c r="AC229" s="202"/>
      <c r="AD229" s="202"/>
      <c r="AE229" s="202"/>
      <c r="AF229" s="202"/>
      <c r="AG229" s="201"/>
      <c r="AH229" s="201"/>
      <c r="AI229" s="201"/>
      <c r="AJ229" s="201"/>
      <c r="AK229" s="201"/>
      <c r="AL229" s="201"/>
      <c r="AM229" s="201"/>
      <c r="AN229" s="201"/>
      <c r="AO229" s="201"/>
      <c r="AP229" s="201"/>
      <c r="AQ229" s="201"/>
      <c r="AR229" s="201"/>
      <c r="AS229" s="201"/>
      <c r="AT229" s="201"/>
      <c r="AU229" s="201"/>
      <c r="AV229" s="201"/>
      <c r="AW229" s="201"/>
      <c r="AX229" s="201"/>
      <c r="AY229" s="201"/>
      <c r="AZ229" s="201"/>
      <c r="BA229" s="201"/>
    </row>
    <row r="230" spans="2:53">
      <c r="B230" s="35" t="s">
        <v>2</v>
      </c>
      <c r="C230" s="35"/>
      <c r="D230" s="32"/>
      <c r="E230" s="36" t="s">
        <v>511</v>
      </c>
      <c r="F230" s="37" t="s">
        <v>14</v>
      </c>
      <c r="G230" s="32"/>
      <c r="H230" s="33"/>
      <c r="I230" s="45"/>
      <c r="J230" s="42"/>
      <c r="K230" s="36"/>
      <c r="L230" s="211"/>
      <c r="M230" s="201"/>
      <c r="N230" s="201"/>
      <c r="O230" s="42"/>
      <c r="P230" s="44"/>
      <c r="Q230" s="44"/>
      <c r="R230" s="44"/>
      <c r="S230" s="34"/>
      <c r="T230" s="201"/>
      <c r="U230" s="201"/>
      <c r="V230" s="201"/>
      <c r="W230" s="201"/>
      <c r="X230" s="201"/>
      <c r="Y230" s="201"/>
      <c r="Z230" s="201"/>
      <c r="AA230" s="201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201"/>
      <c r="AP230" s="201"/>
      <c r="AQ230" s="201"/>
      <c r="AR230" s="201"/>
      <c r="AS230" s="201"/>
      <c r="AT230" s="201"/>
      <c r="AU230" s="201"/>
      <c r="AV230" s="201"/>
      <c r="AW230" s="201"/>
      <c r="AX230" s="201"/>
      <c r="AY230" s="201"/>
      <c r="AZ230" s="201"/>
      <c r="BA230" s="201"/>
    </row>
    <row r="231" spans="2:53">
      <c r="B231" s="201"/>
      <c r="C231" s="201"/>
      <c r="D231" s="201"/>
      <c r="E231" s="201"/>
      <c r="F231" s="201"/>
      <c r="G231" s="201"/>
      <c r="H231" s="201"/>
      <c r="I231" s="45"/>
      <c r="J231" s="42"/>
      <c r="K231" s="42"/>
      <c r="L231" s="43"/>
      <c r="M231" s="44"/>
      <c r="N231" s="44"/>
      <c r="O231" s="42"/>
      <c r="P231" s="44"/>
      <c r="Q231" s="44"/>
      <c r="R231" s="44"/>
      <c r="S231" s="34"/>
      <c r="T231" s="1265" t="s">
        <v>87</v>
      </c>
      <c r="U231" s="1265"/>
      <c r="V231" s="1265"/>
      <c r="W231" s="1265"/>
      <c r="X231" s="1265"/>
      <c r="Y231" s="1265" t="s">
        <v>73</v>
      </c>
      <c r="Z231" s="1265"/>
      <c r="AA231" s="1265"/>
      <c r="AB231" s="1265" t="s">
        <v>74</v>
      </c>
      <c r="AC231" s="1265"/>
      <c r="AD231" s="423" t="s">
        <v>85</v>
      </c>
      <c r="AE231" s="423" t="s">
        <v>77</v>
      </c>
      <c r="AF231" s="1271" t="s">
        <v>525</v>
      </c>
      <c r="AG231" s="1272"/>
      <c r="AH231" s="1272"/>
      <c r="AI231" s="1272"/>
      <c r="AJ231" s="1272"/>
      <c r="AK231" s="1272"/>
      <c r="AL231" s="1272"/>
      <c r="AM231" s="1272"/>
      <c r="AN231" s="1272"/>
      <c r="AO231" s="1272"/>
      <c r="AP231" s="1272"/>
      <c r="AQ231" s="1272"/>
      <c r="AR231" s="1272"/>
      <c r="AS231" s="1272"/>
      <c r="AT231" s="1272"/>
      <c r="AU231" s="1272"/>
      <c r="AV231" s="1272"/>
      <c r="AW231" s="1272"/>
      <c r="AX231" s="1272"/>
      <c r="AY231" s="1272"/>
      <c r="AZ231" s="1272"/>
      <c r="BA231" s="201"/>
    </row>
    <row r="232" spans="2:53">
      <c r="B232" s="1266" t="s">
        <v>526</v>
      </c>
      <c r="C232" s="1267"/>
      <c r="D232" s="570" t="s">
        <v>527</v>
      </c>
      <c r="E232" s="570"/>
      <c r="F232" s="570" t="s">
        <v>528</v>
      </c>
      <c r="G232" s="570" t="s">
        <v>529</v>
      </c>
      <c r="H232" s="570" t="s">
        <v>530</v>
      </c>
      <c r="I232" s="570" t="s">
        <v>531</v>
      </c>
      <c r="J232" s="570" t="s">
        <v>532</v>
      </c>
      <c r="K232" s="570"/>
      <c r="L232" s="570" t="s">
        <v>130</v>
      </c>
      <c r="M232" s="570" t="s">
        <v>533</v>
      </c>
      <c r="N232" s="408" t="str">
        <f>"On time - "&amp;COUNTIF(N233:N242,"On time")&amp;" from "&amp;ROWS(N233:N242)-COUNTIF(N233:N242," ")</f>
        <v>On time - 9 from 9</v>
      </c>
      <c r="O232" s="46"/>
      <c r="P232" s="409" t="s">
        <v>534</v>
      </c>
      <c r="Q232" s="409" t="s">
        <v>535</v>
      </c>
      <c r="R232" s="409" t="s">
        <v>536</v>
      </c>
      <c r="S232" s="32"/>
      <c r="T232" s="424" t="s">
        <v>537</v>
      </c>
      <c r="U232" s="424" t="s">
        <v>538</v>
      </c>
      <c r="V232" s="424" t="s">
        <v>539</v>
      </c>
      <c r="W232" s="424" t="s">
        <v>540</v>
      </c>
      <c r="X232" s="424" t="s">
        <v>541</v>
      </c>
      <c r="Y232" s="424" t="s">
        <v>167</v>
      </c>
      <c r="Z232" s="424" t="s">
        <v>168</v>
      </c>
      <c r="AA232" s="424" t="s">
        <v>169</v>
      </c>
      <c r="AB232" s="424" t="s">
        <v>235</v>
      </c>
      <c r="AC232" s="424" t="s">
        <v>542</v>
      </c>
      <c r="AD232" s="423" t="s">
        <v>85</v>
      </c>
      <c r="AE232" s="424" t="s">
        <v>139</v>
      </c>
      <c r="AF232" s="424" t="s">
        <v>72</v>
      </c>
      <c r="AG232" s="424" t="s">
        <v>88</v>
      </c>
      <c r="AH232" s="424" t="s">
        <v>75</v>
      </c>
      <c r="AI232" s="424" t="s">
        <v>543</v>
      </c>
      <c r="AJ232" s="424" t="s">
        <v>78</v>
      </c>
      <c r="AK232" s="424" t="s">
        <v>76</v>
      </c>
      <c r="AL232" s="424" t="s">
        <v>544</v>
      </c>
      <c r="AM232" s="424" t="s">
        <v>545</v>
      </c>
      <c r="AN232" s="424" t="s">
        <v>86</v>
      </c>
      <c r="AO232" s="424" t="s">
        <v>83</v>
      </c>
      <c r="AP232" s="424" t="s">
        <v>84</v>
      </c>
      <c r="AQ232" s="424" t="s">
        <v>546</v>
      </c>
      <c r="AR232" s="424" t="s">
        <v>81</v>
      </c>
      <c r="AS232" s="424" t="s">
        <v>80</v>
      </c>
      <c r="AT232" s="424" t="s">
        <v>82</v>
      </c>
      <c r="AU232" s="424" t="s">
        <v>181</v>
      </c>
      <c r="AV232" s="424" t="s">
        <v>183</v>
      </c>
      <c r="AW232" s="424" t="s">
        <v>547</v>
      </c>
      <c r="AX232" s="424" t="s">
        <v>182</v>
      </c>
      <c r="AY232" s="424" t="s">
        <v>172</v>
      </c>
      <c r="AZ232" s="424" t="s">
        <v>173</v>
      </c>
      <c r="BA232" s="201"/>
    </row>
    <row r="233" spans="2:53">
      <c r="B233" s="1256">
        <v>1</v>
      </c>
      <c r="C233" s="1257"/>
      <c r="D233" s="411" t="s">
        <v>661</v>
      </c>
      <c r="E233" s="411"/>
      <c r="F233" s="411" t="s">
        <v>473</v>
      </c>
      <c r="G233" s="411" t="s">
        <v>474</v>
      </c>
      <c r="H233" s="412">
        <v>7504.5870000000004</v>
      </c>
      <c r="I233" s="413" t="s">
        <v>235</v>
      </c>
      <c r="J233" s="414">
        <v>44909.975694444445</v>
      </c>
      <c r="K233" s="414"/>
      <c r="L233" s="414" t="s">
        <v>192</v>
      </c>
      <c r="M233" s="414" t="s">
        <v>192</v>
      </c>
      <c r="N233" s="413" t="str">
        <f>IF(ISBLANK(J233)," ",IF(J233&lt;$F$227,"On time",(IF(DAY(J233-$F$227)&lt;1,"On time",(IF(J233&gt;$F$227,"DELAY ( "&amp;DAY(J233-$F$227)&amp;" day "&amp;HOUR(J233-$F$227)&amp;" hour "&amp;MINUTE(J233-$F$227)&amp;" minute )","xxx"))))))</f>
        <v>On time</v>
      </c>
      <c r="O233" s="51"/>
      <c r="P233" s="415" t="s">
        <v>551</v>
      </c>
      <c r="Q233" s="415" t="s">
        <v>551</v>
      </c>
      <c r="R233" s="415" t="s">
        <v>551</v>
      </c>
      <c r="S233" s="32"/>
      <c r="T233" s="416"/>
      <c r="U233" s="416"/>
      <c r="V233" s="416"/>
      <c r="W233" s="416"/>
      <c r="X233" s="416"/>
      <c r="Y233" s="416"/>
      <c r="Z233" s="416"/>
      <c r="AA233" s="416"/>
      <c r="AB233" s="416">
        <f>H233</f>
        <v>7504.5870000000004</v>
      </c>
      <c r="AC233" s="416"/>
      <c r="AD233" s="416"/>
      <c r="AE233" s="416"/>
      <c r="AF233" s="416"/>
      <c r="AG233" s="416"/>
      <c r="AH233" s="416"/>
      <c r="AI233" s="416"/>
      <c r="AJ233" s="416"/>
      <c r="AK233" s="416"/>
      <c r="AL233" s="416"/>
      <c r="AM233" s="416"/>
      <c r="AN233" s="416"/>
      <c r="AO233" s="416"/>
      <c r="AP233" s="416"/>
      <c r="AQ233" s="416"/>
      <c r="AR233" s="416"/>
      <c r="AS233" s="416"/>
      <c r="AT233" s="416"/>
      <c r="AU233" s="416"/>
      <c r="AV233" s="416"/>
      <c r="AW233" s="416"/>
      <c r="AX233" s="416"/>
      <c r="AY233" s="416"/>
      <c r="AZ233" s="416"/>
      <c r="BA233" s="32"/>
    </row>
    <row r="234" spans="2:53">
      <c r="B234" s="1256">
        <v>2</v>
      </c>
      <c r="C234" s="1257"/>
      <c r="D234" s="411" t="s">
        <v>495</v>
      </c>
      <c r="E234" s="411"/>
      <c r="F234" s="411" t="s">
        <v>380</v>
      </c>
      <c r="G234" s="411" t="s">
        <v>381</v>
      </c>
      <c r="H234" s="412">
        <v>2080</v>
      </c>
      <c r="I234" s="413" t="s">
        <v>494</v>
      </c>
      <c r="J234" s="414">
        <v>44939.159722222219</v>
      </c>
      <c r="K234" s="414"/>
      <c r="L234" s="414" t="s">
        <v>192</v>
      </c>
      <c r="M234" s="414" t="s">
        <v>192</v>
      </c>
      <c r="N234" s="413" t="str">
        <f t="shared" ref="N234:N241" si="16">IF(ISBLANK(J234)," ",IF(J234&lt;$F$227,"On time",(IF(DAY(J234-$F$227)&lt;1,"On time",(IF(J234&gt;$F$227,"DELAY ( "&amp;DAY(J234-$F$227)&amp;" day "&amp;HOUR(J234-$F$227)&amp;" hour "&amp;MINUTE(J234-$F$227)&amp;" minute )","xxx"))))))</f>
        <v>On time</v>
      </c>
      <c r="O234" s="51"/>
      <c r="P234" s="415" t="s">
        <v>551</v>
      </c>
      <c r="Q234" s="415" t="s">
        <v>551</v>
      </c>
      <c r="R234" s="415" t="s">
        <v>551</v>
      </c>
      <c r="S234" s="32"/>
      <c r="T234" s="416"/>
      <c r="U234" s="416"/>
      <c r="V234" s="416"/>
      <c r="W234" s="416"/>
      <c r="X234" s="416"/>
      <c r="Y234" s="416">
        <f>H234</f>
        <v>2080</v>
      </c>
      <c r="Z234" s="416"/>
      <c r="AA234" s="416"/>
      <c r="AB234" s="416"/>
      <c r="AC234" s="416"/>
      <c r="AD234" s="416"/>
      <c r="AE234" s="416"/>
      <c r="AF234" s="416"/>
      <c r="AG234" s="416"/>
      <c r="AH234" s="416"/>
      <c r="AI234" s="416"/>
      <c r="AJ234" s="416"/>
      <c r="AK234" s="416"/>
      <c r="AL234" s="416"/>
      <c r="AM234" s="416"/>
      <c r="AN234" s="416"/>
      <c r="AO234" s="416"/>
      <c r="AP234" s="416"/>
      <c r="AQ234" s="416"/>
      <c r="AR234" s="416"/>
      <c r="AS234" s="416"/>
      <c r="AT234" s="416"/>
      <c r="AU234" s="416"/>
      <c r="AV234" s="416"/>
      <c r="AW234" s="416"/>
      <c r="AX234" s="416"/>
      <c r="AY234" s="416"/>
      <c r="AZ234" s="416"/>
      <c r="BA234" s="32"/>
    </row>
    <row r="235" spans="2:53">
      <c r="B235" s="1256">
        <v>3</v>
      </c>
      <c r="C235" s="1257"/>
      <c r="D235" s="411" t="s">
        <v>245</v>
      </c>
      <c r="E235" s="411"/>
      <c r="F235" s="411" t="s">
        <v>246</v>
      </c>
      <c r="G235" s="411" t="s">
        <v>247</v>
      </c>
      <c r="H235" s="412">
        <v>7402.7449999999999</v>
      </c>
      <c r="I235" s="413" t="s">
        <v>240</v>
      </c>
      <c r="J235" s="414">
        <v>44940.291666666664</v>
      </c>
      <c r="K235" s="414"/>
      <c r="L235" s="414" t="s">
        <v>192</v>
      </c>
      <c r="M235" s="414" t="s">
        <v>192</v>
      </c>
      <c r="N235" s="413" t="str">
        <f t="shared" si="16"/>
        <v>On time</v>
      </c>
      <c r="O235" s="51"/>
      <c r="P235" s="415" t="s">
        <v>551</v>
      </c>
      <c r="Q235" s="415" t="s">
        <v>551</v>
      </c>
      <c r="R235" s="415" t="s">
        <v>551</v>
      </c>
      <c r="S235" s="32"/>
      <c r="T235" s="416"/>
      <c r="U235" s="416"/>
      <c r="V235" s="416"/>
      <c r="W235" s="416"/>
      <c r="X235" s="416"/>
      <c r="Y235" s="416"/>
      <c r="Z235" s="416"/>
      <c r="AA235" s="416"/>
      <c r="AB235" s="416"/>
      <c r="AC235" s="416">
        <f>H235</f>
        <v>7402.7449999999999</v>
      </c>
      <c r="AD235" s="416"/>
      <c r="AE235" s="416"/>
      <c r="AF235" s="416"/>
      <c r="AG235" s="416"/>
      <c r="AH235" s="416"/>
      <c r="AI235" s="416"/>
      <c r="AJ235" s="416"/>
      <c r="AK235" s="416"/>
      <c r="AL235" s="416"/>
      <c r="AM235" s="416"/>
      <c r="AN235" s="416"/>
      <c r="AO235" s="416"/>
      <c r="AP235" s="416"/>
      <c r="AQ235" s="416"/>
      <c r="AR235" s="416"/>
      <c r="AS235" s="416"/>
      <c r="AT235" s="416"/>
      <c r="AU235" s="416"/>
      <c r="AV235" s="416"/>
      <c r="AW235" s="416"/>
      <c r="AX235" s="416"/>
      <c r="AY235" s="416"/>
      <c r="AZ235" s="416"/>
      <c r="BA235" s="32"/>
    </row>
    <row r="236" spans="2:53">
      <c r="B236" s="1256">
        <v>4</v>
      </c>
      <c r="C236" s="1257"/>
      <c r="D236" s="411" t="s">
        <v>248</v>
      </c>
      <c r="E236" s="411"/>
      <c r="F236" s="411" t="s">
        <v>249</v>
      </c>
      <c r="G236" s="411" t="s">
        <v>250</v>
      </c>
      <c r="H236" s="412">
        <v>7459.991</v>
      </c>
      <c r="I236" s="413" t="s">
        <v>240</v>
      </c>
      <c r="J236" s="414">
        <v>44940.375</v>
      </c>
      <c r="K236" s="414"/>
      <c r="L236" s="414" t="s">
        <v>192</v>
      </c>
      <c r="M236" s="414" t="s">
        <v>192</v>
      </c>
      <c r="N236" s="413" t="str">
        <f t="shared" si="16"/>
        <v>On time</v>
      </c>
      <c r="O236" s="51"/>
      <c r="P236" s="415" t="s">
        <v>551</v>
      </c>
      <c r="Q236" s="415" t="s">
        <v>551</v>
      </c>
      <c r="R236" s="415" t="s">
        <v>551</v>
      </c>
      <c r="S236" s="32"/>
      <c r="T236" s="416"/>
      <c r="U236" s="416"/>
      <c r="V236" s="416"/>
      <c r="W236" s="416"/>
      <c r="X236" s="416"/>
      <c r="Y236" s="416"/>
      <c r="Z236" s="416"/>
      <c r="AA236" s="416"/>
      <c r="AB236" s="416"/>
      <c r="AC236" s="416">
        <f>H236</f>
        <v>7459.991</v>
      </c>
      <c r="AD236" s="416"/>
      <c r="AE236" s="416"/>
      <c r="AF236" s="416"/>
      <c r="AG236" s="416"/>
      <c r="AH236" s="416"/>
      <c r="AI236" s="416"/>
      <c r="AJ236" s="416"/>
      <c r="AK236" s="416"/>
      <c r="AL236" s="416"/>
      <c r="AM236" s="416"/>
      <c r="AN236" s="416"/>
      <c r="AO236" s="416"/>
      <c r="AP236" s="416"/>
      <c r="AQ236" s="416"/>
      <c r="AR236" s="416"/>
      <c r="AS236" s="416"/>
      <c r="AT236" s="416"/>
      <c r="AU236" s="416"/>
      <c r="AV236" s="416"/>
      <c r="AW236" s="416"/>
      <c r="AX236" s="416"/>
      <c r="AY236" s="416"/>
      <c r="AZ236" s="416"/>
      <c r="BA236" s="32"/>
    </row>
    <row r="237" spans="2:53">
      <c r="B237" s="1256">
        <v>5</v>
      </c>
      <c r="C237" s="1257"/>
      <c r="D237" s="411" t="s">
        <v>500</v>
      </c>
      <c r="E237" s="411"/>
      <c r="F237" s="411" t="s">
        <v>403</v>
      </c>
      <c r="G237" s="411" t="s">
        <v>404</v>
      </c>
      <c r="H237" s="412">
        <v>7502.1880000000001</v>
      </c>
      <c r="I237" s="413" t="s">
        <v>501</v>
      </c>
      <c r="J237" s="414">
        <v>44940.777777777781</v>
      </c>
      <c r="K237" s="414"/>
      <c r="L237" s="414" t="s">
        <v>192</v>
      </c>
      <c r="M237" s="414" t="s">
        <v>192</v>
      </c>
      <c r="N237" s="413" t="str">
        <f t="shared" si="16"/>
        <v>On time</v>
      </c>
      <c r="O237" s="51"/>
      <c r="P237" s="415" t="s">
        <v>551</v>
      </c>
      <c r="Q237" s="415" t="s">
        <v>551</v>
      </c>
      <c r="R237" s="415" t="s">
        <v>551</v>
      </c>
      <c r="S237" s="32"/>
      <c r="T237" s="416"/>
      <c r="U237" s="416"/>
      <c r="V237" s="416"/>
      <c r="W237" s="416"/>
      <c r="X237" s="416"/>
      <c r="Y237" s="416">
        <f>H237*0.55</f>
        <v>4126.2034000000003</v>
      </c>
      <c r="Z237" s="416">
        <f>H237*0.45</f>
        <v>3375.9846000000002</v>
      </c>
      <c r="AA237" s="416"/>
      <c r="AB237" s="416"/>
      <c r="AC237" s="416"/>
      <c r="AD237" s="416"/>
      <c r="AE237" s="416"/>
      <c r="AF237" s="416"/>
      <c r="AG237" s="416"/>
      <c r="AH237" s="416"/>
      <c r="AI237" s="416"/>
      <c r="AJ237" s="416"/>
      <c r="AK237" s="416"/>
      <c r="AL237" s="416"/>
      <c r="AM237" s="416"/>
      <c r="AN237" s="416"/>
      <c r="AO237" s="416"/>
      <c r="AP237" s="416"/>
      <c r="AQ237" s="416"/>
      <c r="AR237" s="416"/>
      <c r="AS237" s="416"/>
      <c r="AT237" s="416"/>
      <c r="AU237" s="416"/>
      <c r="AV237" s="416"/>
      <c r="AW237" s="416"/>
      <c r="AX237" s="416"/>
      <c r="AY237" s="416"/>
      <c r="AZ237" s="416"/>
      <c r="BA237" s="32"/>
    </row>
    <row r="238" spans="2:53">
      <c r="B238" s="1256">
        <v>6</v>
      </c>
      <c r="C238" s="1257"/>
      <c r="D238" s="411" t="s">
        <v>251</v>
      </c>
      <c r="E238" s="411"/>
      <c r="F238" s="411" t="s">
        <v>252</v>
      </c>
      <c r="G238" s="411" t="s">
        <v>253</v>
      </c>
      <c r="H238" s="412">
        <v>7523.6559999999999</v>
      </c>
      <c r="I238" s="413" t="s">
        <v>240</v>
      </c>
      <c r="J238" s="414">
        <v>44940.25</v>
      </c>
      <c r="K238" s="414"/>
      <c r="L238" s="414" t="s">
        <v>192</v>
      </c>
      <c r="M238" s="414" t="s">
        <v>192</v>
      </c>
      <c r="N238" s="413" t="str">
        <f t="shared" si="16"/>
        <v>On time</v>
      </c>
      <c r="O238" s="51"/>
      <c r="P238" s="415" t="s">
        <v>551</v>
      </c>
      <c r="Q238" s="415" t="s">
        <v>551</v>
      </c>
      <c r="R238" s="415" t="s">
        <v>551</v>
      </c>
      <c r="S238" s="32"/>
      <c r="T238" s="416"/>
      <c r="U238" s="416"/>
      <c r="V238" s="416"/>
      <c r="W238" s="416"/>
      <c r="X238" s="416"/>
      <c r="Y238" s="416"/>
      <c r="Z238" s="416"/>
      <c r="AA238" s="416"/>
      <c r="AB238" s="416"/>
      <c r="AC238" s="416">
        <f>H238</f>
        <v>7523.6559999999999</v>
      </c>
      <c r="AD238" s="416"/>
      <c r="AE238" s="416"/>
      <c r="AF238" s="416"/>
      <c r="AG238" s="416"/>
      <c r="AH238" s="416"/>
      <c r="AI238" s="416"/>
      <c r="AJ238" s="416"/>
      <c r="AK238" s="416"/>
      <c r="AL238" s="416"/>
      <c r="AM238" s="416"/>
      <c r="AN238" s="416"/>
      <c r="AO238" s="416"/>
      <c r="AP238" s="416"/>
      <c r="AQ238" s="416"/>
      <c r="AR238" s="416"/>
      <c r="AS238" s="416"/>
      <c r="AT238" s="416"/>
      <c r="AU238" s="416"/>
      <c r="AV238" s="416"/>
      <c r="AW238" s="416"/>
      <c r="AX238" s="416"/>
      <c r="AY238" s="416"/>
      <c r="AZ238" s="416"/>
      <c r="BA238" s="32"/>
    </row>
    <row r="239" spans="2:53">
      <c r="B239" s="1256">
        <v>7</v>
      </c>
      <c r="C239" s="1257"/>
      <c r="D239" s="411" t="s">
        <v>244</v>
      </c>
      <c r="E239" s="411"/>
      <c r="F239" s="411" t="s">
        <v>218</v>
      </c>
      <c r="G239" s="411" t="s">
        <v>219</v>
      </c>
      <c r="H239" s="412">
        <v>7500.183</v>
      </c>
      <c r="I239" s="413" t="s">
        <v>235</v>
      </c>
      <c r="J239" s="414">
        <v>44941.010416666664</v>
      </c>
      <c r="K239" s="414"/>
      <c r="L239" s="414" t="s">
        <v>192</v>
      </c>
      <c r="M239" s="414" t="s">
        <v>192</v>
      </c>
      <c r="N239" s="413" t="str">
        <f t="shared" si="16"/>
        <v>On time</v>
      </c>
      <c r="O239" s="51"/>
      <c r="P239" s="415" t="s">
        <v>551</v>
      </c>
      <c r="Q239" s="415" t="s">
        <v>551</v>
      </c>
      <c r="R239" s="415" t="s">
        <v>551</v>
      </c>
      <c r="S239" s="32"/>
      <c r="T239" s="416"/>
      <c r="U239" s="416"/>
      <c r="V239" s="416"/>
      <c r="W239" s="416"/>
      <c r="X239" s="416"/>
      <c r="Y239" s="416"/>
      <c r="Z239" s="416"/>
      <c r="AA239" s="416"/>
      <c r="AB239" s="416">
        <f>H239</f>
        <v>7500.183</v>
      </c>
      <c r="AC239" s="416"/>
      <c r="AD239" s="416"/>
      <c r="AE239" s="416"/>
      <c r="AF239" s="416"/>
      <c r="AG239" s="416"/>
      <c r="AH239" s="416"/>
      <c r="AI239" s="416"/>
      <c r="AJ239" s="416"/>
      <c r="AK239" s="416"/>
      <c r="AL239" s="416"/>
      <c r="AM239" s="416"/>
      <c r="AN239" s="416"/>
      <c r="AO239" s="416"/>
      <c r="AP239" s="416"/>
      <c r="AQ239" s="416"/>
      <c r="AR239" s="416"/>
      <c r="AS239" s="416"/>
      <c r="AT239" s="416"/>
      <c r="AU239" s="416"/>
      <c r="AV239" s="416"/>
      <c r="AW239" s="416"/>
      <c r="AX239" s="416"/>
      <c r="AY239" s="416"/>
      <c r="AZ239" s="416"/>
      <c r="BA239" s="32"/>
    </row>
    <row r="240" spans="2:53">
      <c r="B240" s="1256">
        <v>8</v>
      </c>
      <c r="C240" s="1257"/>
      <c r="D240" s="411" t="s">
        <v>470</v>
      </c>
      <c r="E240" s="411"/>
      <c r="F240" s="411" t="s">
        <v>406</v>
      </c>
      <c r="G240" s="411" t="s">
        <v>407</v>
      </c>
      <c r="H240" s="412">
        <v>7530.6409999999996</v>
      </c>
      <c r="I240" s="413" t="s">
        <v>172</v>
      </c>
      <c r="J240" s="414">
        <v>44941.079861111109</v>
      </c>
      <c r="K240" s="414"/>
      <c r="L240" s="414" t="s">
        <v>192</v>
      </c>
      <c r="M240" s="414" t="s">
        <v>192</v>
      </c>
      <c r="N240" s="413" t="str">
        <f t="shared" si="16"/>
        <v>On time</v>
      </c>
      <c r="O240" s="51"/>
      <c r="P240" s="415" t="s">
        <v>551</v>
      </c>
      <c r="Q240" s="415" t="s">
        <v>551</v>
      </c>
      <c r="R240" s="415" t="s">
        <v>551</v>
      </c>
      <c r="S240" s="32"/>
      <c r="T240" s="416"/>
      <c r="U240" s="416"/>
      <c r="V240" s="416"/>
      <c r="W240" s="416"/>
      <c r="X240" s="416"/>
      <c r="Y240" s="416"/>
      <c r="Z240" s="416"/>
      <c r="AA240" s="416"/>
      <c r="AB240" s="416"/>
      <c r="AC240" s="416"/>
      <c r="AD240" s="416"/>
      <c r="AE240" s="416"/>
      <c r="AF240" s="416"/>
      <c r="AG240" s="416"/>
      <c r="AH240" s="416"/>
      <c r="AI240" s="416"/>
      <c r="AJ240" s="416"/>
      <c r="AK240" s="416"/>
      <c r="AL240" s="416"/>
      <c r="AM240" s="416"/>
      <c r="AN240" s="416"/>
      <c r="AO240" s="416"/>
      <c r="AP240" s="416"/>
      <c r="AQ240" s="416"/>
      <c r="AR240" s="416"/>
      <c r="AS240" s="416"/>
      <c r="AT240" s="416"/>
      <c r="AU240" s="416"/>
      <c r="AV240" s="416"/>
      <c r="AW240" s="416"/>
      <c r="AX240" s="416"/>
      <c r="AY240" s="416">
        <f>H240</f>
        <v>7530.6409999999996</v>
      </c>
      <c r="AZ240" s="416"/>
      <c r="BA240" s="32"/>
    </row>
    <row r="241" spans="2:53">
      <c r="B241" s="1256">
        <v>9</v>
      </c>
      <c r="C241" s="1257"/>
      <c r="D241" s="411" t="s">
        <v>254</v>
      </c>
      <c r="E241" s="411"/>
      <c r="F241" s="411" t="s">
        <v>70</v>
      </c>
      <c r="G241" s="411" t="s">
        <v>255</v>
      </c>
      <c r="H241" s="412">
        <v>7400.0370000000003</v>
      </c>
      <c r="I241" s="413" t="s">
        <v>240</v>
      </c>
      <c r="J241" s="414">
        <v>44941.083333333336</v>
      </c>
      <c r="K241" s="414"/>
      <c r="L241" s="414" t="s">
        <v>192</v>
      </c>
      <c r="M241" s="414" t="s">
        <v>192</v>
      </c>
      <c r="N241" s="413" t="str">
        <f t="shared" si="16"/>
        <v>On time</v>
      </c>
      <c r="O241" s="51"/>
      <c r="P241" s="415" t="s">
        <v>551</v>
      </c>
      <c r="Q241" s="415" t="s">
        <v>551</v>
      </c>
      <c r="R241" s="415" t="s">
        <v>551</v>
      </c>
      <c r="S241" s="32"/>
      <c r="T241" s="416"/>
      <c r="U241" s="416"/>
      <c r="V241" s="416"/>
      <c r="W241" s="416"/>
      <c r="X241" s="416"/>
      <c r="Y241" s="416"/>
      <c r="Z241" s="416"/>
      <c r="AA241" s="416"/>
      <c r="AB241" s="416"/>
      <c r="AC241" s="416">
        <f>H241</f>
        <v>7400.0370000000003</v>
      </c>
      <c r="AD241" s="416"/>
      <c r="AE241" s="416"/>
      <c r="AF241" s="416"/>
      <c r="AG241" s="416"/>
      <c r="AH241" s="416"/>
      <c r="AI241" s="416"/>
      <c r="AJ241" s="416"/>
      <c r="AK241" s="416"/>
      <c r="AL241" s="416"/>
      <c r="AM241" s="416"/>
      <c r="AN241" s="416"/>
      <c r="AO241" s="416"/>
      <c r="AP241" s="416"/>
      <c r="AQ241" s="416"/>
      <c r="AR241" s="416"/>
      <c r="AS241" s="416"/>
      <c r="AT241" s="416"/>
      <c r="AU241" s="416"/>
      <c r="AV241" s="416"/>
      <c r="AW241" s="416"/>
      <c r="AX241" s="416"/>
      <c r="AY241" s="416"/>
      <c r="AZ241" s="416"/>
      <c r="BA241" s="32"/>
    </row>
    <row r="242" spans="2:53">
      <c r="B242" s="1256">
        <v>10</v>
      </c>
      <c r="C242" s="1257"/>
      <c r="D242" s="1256" t="s">
        <v>610</v>
      </c>
      <c r="E242" s="1276"/>
      <c r="F242" s="1276"/>
      <c r="G242" s="1257"/>
      <c r="H242" s="412">
        <f>H244-SUM(H233:H241)</f>
        <v>2395.9720000000088</v>
      </c>
      <c r="I242" s="413" t="s">
        <v>639</v>
      </c>
      <c r="J242" s="414"/>
      <c r="K242" s="414"/>
      <c r="L242" s="414"/>
      <c r="M242" s="414"/>
      <c r="N242" s="413" t="str">
        <f>IF(ISBLANK(J242)," ",IF(J242&lt;$F$227,"On time",(IF(DAY(J242-$F$227)&lt;1,"On time",(IF(J242&gt;$F$227,"DELAY ( "&amp;DAY(J242-$F$227)&amp;" day "&amp;HOUR(J242-$F$227)&amp;" hour "&amp;MINUTE(J242-$F$227)&amp;" minute )","xxx"))))))</f>
        <v xml:space="preserve"> </v>
      </c>
      <c r="O242" s="51"/>
      <c r="P242" s="415" t="s">
        <v>551</v>
      </c>
      <c r="Q242" s="415"/>
      <c r="R242" s="415"/>
      <c r="S242" s="32"/>
      <c r="T242" s="416">
        <v>1197.9860000000044</v>
      </c>
      <c r="U242" s="416">
        <v>242</v>
      </c>
      <c r="V242" s="416"/>
      <c r="W242" s="416"/>
      <c r="X242" s="416"/>
      <c r="Y242" s="416"/>
      <c r="Z242" s="416"/>
      <c r="AA242" s="416"/>
      <c r="AB242" s="416"/>
      <c r="AC242" s="416"/>
      <c r="AD242" s="416"/>
      <c r="AE242" s="416"/>
      <c r="AF242" s="416"/>
      <c r="AG242" s="416"/>
      <c r="AH242" s="416"/>
      <c r="AI242" s="416"/>
      <c r="AJ242" s="416"/>
      <c r="AK242" s="416"/>
      <c r="AL242" s="416"/>
      <c r="AM242" s="416"/>
      <c r="AN242" s="416"/>
      <c r="AO242" s="416"/>
      <c r="AP242" s="416"/>
      <c r="AQ242" s="416"/>
      <c r="AR242" s="416"/>
      <c r="AS242" s="416"/>
      <c r="AT242" s="416"/>
      <c r="AU242" s="416"/>
      <c r="AV242" s="416"/>
      <c r="AW242" s="416"/>
      <c r="AX242" s="416"/>
      <c r="AY242" s="416"/>
      <c r="AZ242" s="416"/>
      <c r="BA242" s="32"/>
    </row>
    <row r="243" spans="2:53">
      <c r="B243" s="1258" t="s">
        <v>556</v>
      </c>
      <c r="C243" s="1259"/>
      <c r="D243" s="1259"/>
      <c r="E243" s="1259"/>
      <c r="F243" s="1259"/>
      <c r="G243" s="1260"/>
      <c r="H243" s="417">
        <f>SUM(H233:H242)</f>
        <v>64300</v>
      </c>
      <c r="I243" s="388"/>
      <c r="J243" s="293"/>
      <c r="K243" s="293"/>
      <c r="L243" s="293"/>
      <c r="M243" s="389"/>
      <c r="N243" s="413" t="str">
        <f>IF(ISBLANK(J243)," ",IF(J243&lt;$F$227,"On time",(IF(DAY(J243-$F$227)&lt;1,"On time",(IF(J243&gt;$F$227,"DELAY ( "&amp;DAY(J243-$F$227)&amp;" day "&amp;HOUR(J243-$F$227)&amp;" hour "&amp;MINUTE(J243-$F$227)&amp;" minute )","xxx"))))))</f>
        <v xml:space="preserve"> </v>
      </c>
      <c r="O243" s="212"/>
      <c r="P243" s="418"/>
      <c r="Q243" s="418"/>
      <c r="R243" s="418"/>
      <c r="S243" s="207"/>
      <c r="T243" s="1261"/>
      <c r="U243" s="1261"/>
      <c r="V243" s="1261"/>
      <c r="W243" s="1261"/>
      <c r="X243" s="1261"/>
      <c r="Y243" s="1261"/>
      <c r="Z243" s="1261"/>
      <c r="AA243" s="1261"/>
      <c r="AB243" s="1261"/>
      <c r="AC243" s="1261"/>
      <c r="AD243" s="1261"/>
      <c r="AE243" s="1261"/>
      <c r="AF243" s="1261"/>
      <c r="AG243" s="1261"/>
      <c r="AH243" s="1261"/>
      <c r="AI243" s="1261"/>
      <c r="AJ243" s="1261"/>
      <c r="AK243" s="1261"/>
      <c r="AL243" s="1261"/>
      <c r="AM243" s="1261"/>
      <c r="AN243" s="1261"/>
      <c r="AO243" s="1261"/>
      <c r="AP243" s="1261"/>
      <c r="AQ243" s="1261"/>
      <c r="AR243" s="1261"/>
      <c r="AS243" s="1261"/>
      <c r="AT243" s="1261"/>
      <c r="AU243" s="1261"/>
      <c r="AV243" s="1261"/>
      <c r="AW243" s="1261"/>
      <c r="AX243" s="1261"/>
      <c r="AY243" s="1261"/>
      <c r="AZ243" s="1261"/>
    </row>
    <row r="244" spans="2:53">
      <c r="B244" s="1243" t="s">
        <v>557</v>
      </c>
      <c r="C244" s="1244"/>
      <c r="D244" s="1244"/>
      <c r="E244" s="1244"/>
      <c r="F244" s="1244"/>
      <c r="G244" s="1245"/>
      <c r="H244" s="419">
        <v>64300</v>
      </c>
      <c r="I244" s="1246"/>
      <c r="J244" s="1247"/>
      <c r="K244" s="1247"/>
      <c r="L244" s="1247"/>
      <c r="M244" s="1248"/>
      <c r="N244" s="413" t="str">
        <f>IF(ISBLANK(J244)," ",IF(J244&lt;$F$227,"On time",(IF(DAY(J244-$F$227)&lt;1,"On time",(IF(J244&gt;$F$227,"DELAY ( "&amp;DAY(J244-$F$227)&amp;" day "&amp;HOUR(J244-$F$227)&amp;" hour "&amp;MINUTE(J244-$F$227)&amp;" minute )","xxx"))))))</f>
        <v xml:space="preserve"> </v>
      </c>
      <c r="O244" s="32"/>
      <c r="P244" s="415"/>
      <c r="Q244" s="415"/>
      <c r="R244" s="415"/>
      <c r="S244" s="63"/>
      <c r="T244" s="416">
        <f t="shared" ref="T244:AZ244" si="17">SUM(T233:T242)</f>
        <v>1197.9860000000044</v>
      </c>
      <c r="U244" s="416">
        <f t="shared" si="17"/>
        <v>242</v>
      </c>
      <c r="V244" s="416">
        <f t="shared" si="17"/>
        <v>0</v>
      </c>
      <c r="W244" s="416">
        <f t="shared" si="17"/>
        <v>0</v>
      </c>
      <c r="X244" s="416">
        <f t="shared" si="17"/>
        <v>0</v>
      </c>
      <c r="Y244" s="416">
        <f t="shared" si="17"/>
        <v>6206.2034000000003</v>
      </c>
      <c r="Z244" s="416">
        <f t="shared" si="17"/>
        <v>3375.9846000000002</v>
      </c>
      <c r="AA244" s="416">
        <f t="shared" si="17"/>
        <v>0</v>
      </c>
      <c r="AB244" s="416">
        <f t="shared" si="17"/>
        <v>15004.77</v>
      </c>
      <c r="AC244" s="416">
        <f t="shared" si="17"/>
        <v>29786.429</v>
      </c>
      <c r="AD244" s="416">
        <f t="shared" si="17"/>
        <v>0</v>
      </c>
      <c r="AE244" s="416">
        <f t="shared" si="17"/>
        <v>0</v>
      </c>
      <c r="AF244" s="416">
        <f t="shared" si="17"/>
        <v>0</v>
      </c>
      <c r="AG244" s="416">
        <f t="shared" si="17"/>
        <v>0</v>
      </c>
      <c r="AH244" s="416">
        <f t="shared" si="17"/>
        <v>0</v>
      </c>
      <c r="AI244" s="416">
        <f t="shared" si="17"/>
        <v>0</v>
      </c>
      <c r="AJ244" s="416">
        <f t="shared" si="17"/>
        <v>0</v>
      </c>
      <c r="AK244" s="416">
        <f t="shared" si="17"/>
        <v>0</v>
      </c>
      <c r="AL244" s="416">
        <f t="shared" si="17"/>
        <v>0</v>
      </c>
      <c r="AM244" s="416">
        <f t="shared" si="17"/>
        <v>0</v>
      </c>
      <c r="AN244" s="416">
        <f t="shared" si="17"/>
        <v>0</v>
      </c>
      <c r="AO244" s="416">
        <f t="shared" si="17"/>
        <v>0</v>
      </c>
      <c r="AP244" s="416">
        <f t="shared" si="17"/>
        <v>0</v>
      </c>
      <c r="AQ244" s="416">
        <f t="shared" si="17"/>
        <v>0</v>
      </c>
      <c r="AR244" s="416">
        <f t="shared" si="17"/>
        <v>0</v>
      </c>
      <c r="AS244" s="416">
        <f t="shared" si="17"/>
        <v>0</v>
      </c>
      <c r="AT244" s="416">
        <f t="shared" si="17"/>
        <v>0</v>
      </c>
      <c r="AU244" s="416">
        <f t="shared" si="17"/>
        <v>0</v>
      </c>
      <c r="AV244" s="416">
        <f t="shared" si="17"/>
        <v>0</v>
      </c>
      <c r="AW244" s="416">
        <f t="shared" si="17"/>
        <v>0</v>
      </c>
      <c r="AX244" s="416">
        <f t="shared" si="17"/>
        <v>0</v>
      </c>
      <c r="AY244" s="416">
        <f t="shared" si="17"/>
        <v>7530.6409999999996</v>
      </c>
      <c r="AZ244" s="416">
        <f t="shared" si="17"/>
        <v>0</v>
      </c>
      <c r="BA244" s="416">
        <f>SUM(T244:AZ244)</f>
        <v>63344.01400000001</v>
      </c>
    </row>
    <row r="245" spans="2:53">
      <c r="B245" s="1243" t="s">
        <v>558</v>
      </c>
      <c r="C245" s="1244"/>
      <c r="D245" s="1244"/>
      <c r="E245" s="1244"/>
      <c r="F245" s="1244"/>
      <c r="G245" s="1245"/>
      <c r="H245" s="420">
        <f>H244-L227</f>
        <v>0</v>
      </c>
      <c r="I245" s="294"/>
      <c r="J245" s="295"/>
      <c r="K245" s="295"/>
      <c r="L245" s="296"/>
      <c r="M245" s="32"/>
      <c r="N245" s="32"/>
      <c r="O245" s="32"/>
      <c r="P245" s="32"/>
      <c r="Q245" s="297"/>
      <c r="R245" s="297"/>
      <c r="S245" s="32"/>
      <c r="T245" s="48"/>
      <c r="U245" s="48"/>
      <c r="V245" s="48"/>
      <c r="W245" s="48"/>
      <c r="X245" s="48"/>
      <c r="Y245" s="48"/>
      <c r="Z245" s="48"/>
      <c r="AA245" s="48"/>
      <c r="AB245" s="48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</row>
    <row r="246" spans="2:53">
      <c r="B246" s="1243" t="s">
        <v>559</v>
      </c>
      <c r="C246" s="1244"/>
      <c r="D246" s="1244"/>
      <c r="E246" s="1244"/>
      <c r="F246" s="1244"/>
      <c r="G246" s="1245"/>
      <c r="H246" s="420">
        <f>H243-H244</f>
        <v>0</v>
      </c>
      <c r="I246" s="52"/>
      <c r="J246" s="53"/>
      <c r="K246" s="53"/>
      <c r="L246" s="54"/>
      <c r="M246" s="32"/>
      <c r="N246" s="32"/>
      <c r="O246" s="32"/>
      <c r="P246" s="32"/>
      <c r="Q246" s="32"/>
      <c r="R246" s="32"/>
      <c r="S246" s="32"/>
      <c r="T246" s="48"/>
      <c r="U246" s="48"/>
      <c r="V246" s="48"/>
      <c r="W246" s="48"/>
      <c r="X246" s="48"/>
      <c r="Y246" s="48"/>
      <c r="Z246" s="48"/>
      <c r="AA246" s="48"/>
      <c r="AB246" s="48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</row>
    <row r="247" spans="2:53">
      <c r="B247" s="32"/>
      <c r="C247" s="32"/>
      <c r="D247" s="32"/>
      <c r="E247" s="32"/>
      <c r="F247" s="32"/>
      <c r="G247" s="32"/>
      <c r="H247" s="32"/>
      <c r="I247" s="57"/>
      <c r="J247" s="52"/>
      <c r="K247" s="52"/>
      <c r="L247" s="55"/>
      <c r="M247" s="32"/>
      <c r="N247" s="32"/>
      <c r="O247" s="52"/>
      <c r="P247" s="32"/>
      <c r="Q247" s="32"/>
      <c r="R247" s="32"/>
      <c r="S247" s="32"/>
      <c r="T247" s="48"/>
      <c r="U247" s="48"/>
      <c r="V247" s="48"/>
      <c r="W247" s="48"/>
      <c r="X247" s="48"/>
      <c r="Y247" s="48"/>
      <c r="Z247" s="48"/>
      <c r="AA247" s="48"/>
      <c r="AB247" s="48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</row>
    <row r="248" spans="2:53">
      <c r="B248" s="40" t="s">
        <v>561</v>
      </c>
      <c r="C248" s="40"/>
      <c r="D248" s="32"/>
      <c r="E248" s="32"/>
      <c r="F248" s="32"/>
      <c r="G248" s="32"/>
      <c r="H248" s="32"/>
      <c r="I248" s="32"/>
      <c r="J248" s="52"/>
      <c r="K248" s="52"/>
      <c r="L248" s="55"/>
      <c r="M248" s="32"/>
      <c r="N248" s="201"/>
      <c r="O248" s="5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  <c r="AA248" s="202"/>
      <c r="AB248" s="201"/>
      <c r="AC248" s="201"/>
      <c r="AD248" s="201"/>
      <c r="AE248" s="201"/>
      <c r="AF248" s="201"/>
      <c r="AG248" s="201"/>
      <c r="AH248" s="201"/>
      <c r="AI248" s="201"/>
      <c r="AJ248" s="201"/>
      <c r="AK248" s="201"/>
      <c r="AL248" s="201"/>
      <c r="AM248" s="201"/>
      <c r="AN248" s="201"/>
      <c r="AO248" s="201"/>
      <c r="AP248" s="201"/>
      <c r="AQ248" s="201"/>
      <c r="AR248" s="201"/>
      <c r="AS248" s="201"/>
      <c r="AT248" s="201"/>
      <c r="AU248" s="201"/>
      <c r="BA248" s="201"/>
    </row>
    <row r="249" spans="2:53">
      <c r="B249" s="422">
        <v>1</v>
      </c>
      <c r="C249" s="1249" t="s">
        <v>662</v>
      </c>
      <c r="D249" s="1249"/>
      <c r="E249" s="1249"/>
      <c r="F249" s="1249"/>
      <c r="G249" s="1249"/>
      <c r="H249" s="1249"/>
      <c r="I249" s="1249"/>
      <c r="J249" s="1249"/>
      <c r="K249" s="1249"/>
      <c r="L249" s="203"/>
      <c r="M249" s="201"/>
      <c r="N249" s="201"/>
      <c r="O249" s="209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  <c r="AA249" s="202"/>
      <c r="AB249" s="201"/>
      <c r="AC249" s="201"/>
      <c r="AD249" s="201"/>
      <c r="AE249" s="201"/>
      <c r="AF249" s="201"/>
      <c r="AG249" s="201"/>
      <c r="AH249" s="201"/>
      <c r="AI249" s="201"/>
      <c r="AJ249" s="201"/>
      <c r="AK249" s="201"/>
      <c r="AL249" s="201"/>
      <c r="AM249" s="201"/>
      <c r="AN249" s="201"/>
      <c r="AO249" s="201"/>
      <c r="AP249" s="201"/>
      <c r="AQ249" s="201"/>
      <c r="AR249" s="201"/>
      <c r="AS249" s="201"/>
      <c r="AT249" s="201"/>
      <c r="AU249" s="201"/>
      <c r="BA249" s="201"/>
    </row>
    <row r="251" spans="2:53">
      <c r="B251" s="28" t="s">
        <v>2</v>
      </c>
      <c r="C251" s="28"/>
      <c r="D251" s="29"/>
      <c r="E251" s="30" t="s">
        <v>511</v>
      </c>
      <c r="F251" s="31" t="s">
        <v>220</v>
      </c>
      <c r="G251" s="32"/>
      <c r="H251" s="33"/>
      <c r="I251" s="34"/>
      <c r="J251" s="35" t="s">
        <v>513</v>
      </c>
      <c r="K251" s="36" t="s">
        <v>511</v>
      </c>
      <c r="L251" s="37">
        <v>44954.34375</v>
      </c>
      <c r="M251" s="32"/>
      <c r="N251" s="32"/>
      <c r="O251" s="206"/>
      <c r="P251" s="205"/>
      <c r="Q251" s="202"/>
      <c r="R251" s="204"/>
      <c r="S251" s="38"/>
      <c r="T251" s="201"/>
      <c r="U251" s="201"/>
      <c r="V251" s="201"/>
      <c r="W251" s="201"/>
      <c r="X251" s="201"/>
      <c r="Y251" s="201"/>
      <c r="Z251" s="201"/>
      <c r="AA251" s="201"/>
      <c r="AB251" s="202"/>
      <c r="AC251" s="202"/>
      <c r="AD251" s="202"/>
      <c r="AE251" s="202"/>
      <c r="AF251" s="202"/>
      <c r="AG251" s="201"/>
      <c r="AH251" s="201"/>
      <c r="AI251" s="201"/>
      <c r="AJ251" s="201"/>
      <c r="AK251" s="201"/>
      <c r="AL251" s="201"/>
      <c r="AM251" s="201"/>
      <c r="AN251" s="201"/>
      <c r="AO251" s="201"/>
      <c r="AP251" s="201"/>
      <c r="AQ251" s="201"/>
      <c r="AR251" s="201"/>
      <c r="AS251" s="201"/>
      <c r="AT251" s="201"/>
      <c r="AU251" s="201"/>
      <c r="AV251" s="201"/>
      <c r="AW251" s="201"/>
      <c r="AX251" s="201"/>
      <c r="AY251" s="201"/>
      <c r="AZ251" s="201"/>
      <c r="BA251" s="201"/>
    </row>
    <row r="252" spans="2:53">
      <c r="B252" s="35" t="s">
        <v>514</v>
      </c>
      <c r="C252" s="35"/>
      <c r="D252" s="32"/>
      <c r="E252" s="36" t="s">
        <v>511</v>
      </c>
      <c r="F252" s="37" t="s">
        <v>663</v>
      </c>
      <c r="G252" s="32"/>
      <c r="H252" s="33"/>
      <c r="I252" s="34"/>
      <c r="J252" s="35" t="s">
        <v>516</v>
      </c>
      <c r="K252" s="36" t="s">
        <v>511</v>
      </c>
      <c r="L252" s="37">
        <v>44956.3125</v>
      </c>
      <c r="M252" s="32"/>
      <c r="N252" s="32"/>
      <c r="O252" s="206"/>
      <c r="P252" s="205"/>
      <c r="Q252" s="202"/>
      <c r="R252" s="204"/>
      <c r="S252" s="38"/>
      <c r="T252" s="201"/>
      <c r="U252" s="201"/>
      <c r="V252" s="201"/>
      <c r="W252" s="201"/>
      <c r="X252" s="201"/>
      <c r="Y252" s="201"/>
      <c r="Z252" s="201"/>
      <c r="AA252" s="201"/>
      <c r="AB252" s="202"/>
      <c r="AC252" s="202"/>
      <c r="AD252" s="202"/>
      <c r="AE252" s="202"/>
      <c r="AF252" s="202"/>
      <c r="AG252" s="201"/>
      <c r="AH252" s="201"/>
      <c r="AI252" s="201"/>
      <c r="AJ252" s="201"/>
      <c r="AK252" s="201"/>
      <c r="AL252" s="201"/>
      <c r="AM252" s="201"/>
      <c r="AN252" s="201"/>
      <c r="AO252" s="201"/>
      <c r="AP252" s="201"/>
      <c r="AQ252" s="201"/>
      <c r="AR252" s="201"/>
      <c r="AS252" s="201"/>
      <c r="AT252" s="201"/>
      <c r="AU252" s="201"/>
      <c r="AV252" s="201"/>
      <c r="AW252" s="201"/>
      <c r="AX252" s="201"/>
      <c r="AY252" s="201"/>
      <c r="AZ252" s="201"/>
      <c r="BA252" s="201"/>
    </row>
    <row r="253" spans="2:53">
      <c r="B253" s="35" t="s">
        <v>517</v>
      </c>
      <c r="C253" s="35"/>
      <c r="D253" s="32"/>
      <c r="E253" s="36" t="s">
        <v>511</v>
      </c>
      <c r="F253" s="37">
        <v>44953.104166666664</v>
      </c>
      <c r="G253" s="32"/>
      <c r="H253" s="33"/>
      <c r="I253" s="34"/>
      <c r="J253" s="35" t="s">
        <v>518</v>
      </c>
      <c r="K253" s="36" t="s">
        <v>511</v>
      </c>
      <c r="L253" s="50">
        <v>74100</v>
      </c>
      <c r="M253" s="40" t="s">
        <v>519</v>
      </c>
      <c r="N253" s="40"/>
      <c r="O253" s="206"/>
      <c r="P253" s="205"/>
      <c r="Q253" s="202"/>
      <c r="R253" s="204"/>
      <c r="S253" s="38"/>
      <c r="T253" s="201"/>
      <c r="U253" s="201"/>
      <c r="V253" s="201"/>
      <c r="W253" s="201"/>
      <c r="X253" s="201"/>
      <c r="Y253" s="201"/>
      <c r="Z253" s="201"/>
      <c r="AA253" s="201"/>
      <c r="AB253" s="202"/>
      <c r="AC253" s="202"/>
      <c r="AD253" s="202"/>
      <c r="AE253" s="202"/>
      <c r="AF253" s="202"/>
      <c r="AG253" s="201"/>
      <c r="AH253" s="201"/>
      <c r="AI253" s="201"/>
      <c r="AJ253" s="201"/>
      <c r="AK253" s="201"/>
      <c r="AL253" s="201"/>
      <c r="AM253" s="201"/>
      <c r="AN253" s="201"/>
      <c r="AO253" s="201"/>
      <c r="AP253" s="201"/>
      <c r="AQ253" s="201"/>
      <c r="AR253" s="201"/>
      <c r="AS253" s="201"/>
      <c r="AT253" s="201"/>
      <c r="AU253" s="201"/>
      <c r="AV253" s="201"/>
      <c r="AW253" s="201"/>
      <c r="AX253" s="201"/>
      <c r="AY253" s="201"/>
      <c r="AZ253" s="201"/>
      <c r="BA253" s="201"/>
    </row>
    <row r="254" spans="2:53">
      <c r="B254" s="35" t="s">
        <v>520</v>
      </c>
      <c r="C254" s="35"/>
      <c r="D254" s="32"/>
      <c r="E254" s="36" t="s">
        <v>511</v>
      </c>
      <c r="F254" s="37" t="s">
        <v>20</v>
      </c>
      <c r="G254" s="32"/>
      <c r="H254" s="33"/>
      <c r="I254" s="34"/>
      <c r="J254" s="35" t="s">
        <v>521</v>
      </c>
      <c r="K254" s="36" t="s">
        <v>511</v>
      </c>
      <c r="L254" s="41" t="s">
        <v>664</v>
      </c>
      <c r="M254" s="32"/>
      <c r="N254" s="32"/>
      <c r="O254" s="206"/>
      <c r="P254" s="202"/>
      <c r="Q254" s="202"/>
      <c r="R254" s="204"/>
      <c r="S254" s="38"/>
      <c r="T254" s="201"/>
      <c r="U254" s="201"/>
      <c r="V254" s="201"/>
      <c r="W254" s="201"/>
      <c r="X254" s="201"/>
      <c r="Y254" s="201"/>
      <c r="Z254" s="201"/>
      <c r="AA254" s="201"/>
      <c r="AB254" s="202"/>
      <c r="AC254" s="202"/>
      <c r="AD254" s="202"/>
      <c r="AE254" s="202"/>
      <c r="AF254" s="202"/>
      <c r="AG254" s="201"/>
      <c r="AH254" s="201"/>
      <c r="AI254" s="201"/>
      <c r="AJ254" s="201"/>
      <c r="AK254" s="201"/>
      <c r="AL254" s="201"/>
      <c r="AM254" s="201"/>
      <c r="AN254" s="201"/>
      <c r="AO254" s="201"/>
      <c r="AP254" s="201"/>
      <c r="AQ254" s="201"/>
      <c r="AR254" s="201"/>
      <c r="AS254" s="201"/>
      <c r="AT254" s="201"/>
      <c r="AU254" s="201"/>
      <c r="AV254" s="201"/>
      <c r="AW254" s="201"/>
      <c r="AX254" s="201"/>
      <c r="AY254" s="201"/>
      <c r="AZ254" s="201"/>
      <c r="BA254" s="201"/>
    </row>
    <row r="255" spans="2:53">
      <c r="B255" s="35" t="s">
        <v>523</v>
      </c>
      <c r="C255" s="35"/>
      <c r="D255" s="32"/>
      <c r="E255" s="36" t="s">
        <v>511</v>
      </c>
      <c r="F255" s="37" t="s">
        <v>47</v>
      </c>
      <c r="G255" s="32"/>
      <c r="H255" s="33"/>
      <c r="I255" s="34"/>
      <c r="J255" s="42" t="s">
        <v>524</v>
      </c>
      <c r="K255" s="36" t="s">
        <v>511</v>
      </c>
      <c r="L255" s="43" t="s">
        <v>15</v>
      </c>
      <c r="M255" s="44"/>
      <c r="N255" s="44"/>
      <c r="O255" s="206"/>
      <c r="P255" s="205"/>
      <c r="Q255" s="202"/>
      <c r="R255" s="204"/>
      <c r="S255" s="38"/>
      <c r="T255" s="201"/>
      <c r="U255" s="201"/>
      <c r="V255" s="201"/>
      <c r="W255" s="201"/>
      <c r="X255" s="201"/>
      <c r="Y255" s="201"/>
      <c r="Z255" s="201"/>
      <c r="AA255" s="201"/>
      <c r="AB255" s="202"/>
      <c r="AC255" s="202"/>
      <c r="AD255" s="202"/>
      <c r="AE255" s="202"/>
      <c r="AF255" s="202"/>
      <c r="AG255" s="201"/>
      <c r="AH255" s="201"/>
      <c r="AI255" s="201"/>
      <c r="AJ255" s="201"/>
      <c r="AK255" s="201"/>
      <c r="AL255" s="201"/>
      <c r="AM255" s="201"/>
      <c r="AN255" s="201"/>
      <c r="AO255" s="201"/>
      <c r="AP255" s="201"/>
      <c r="AQ255" s="201"/>
      <c r="AR255" s="201"/>
      <c r="AS255" s="201"/>
      <c r="AT255" s="201"/>
      <c r="AU255" s="201"/>
      <c r="AV255" s="201"/>
      <c r="AW255" s="201"/>
      <c r="AX255" s="201"/>
      <c r="AY255" s="201"/>
      <c r="AZ255" s="201"/>
      <c r="BA255" s="201"/>
    </row>
    <row r="256" spans="2:53">
      <c r="B256" s="35" t="s">
        <v>2</v>
      </c>
      <c r="C256" s="35"/>
      <c r="D256" s="32"/>
      <c r="E256" s="36" t="s">
        <v>511</v>
      </c>
      <c r="F256" s="37" t="s">
        <v>14</v>
      </c>
      <c r="G256" s="32"/>
      <c r="H256" s="33"/>
      <c r="I256" s="45"/>
      <c r="J256" s="42"/>
      <c r="K256" s="36"/>
      <c r="L256" s="211"/>
      <c r="M256" s="201"/>
      <c r="N256" s="201"/>
      <c r="O256" s="42"/>
      <c r="P256" s="44"/>
      <c r="Q256" s="44"/>
      <c r="R256" s="44"/>
      <c r="S256" s="34"/>
      <c r="T256" s="201"/>
      <c r="U256" s="201"/>
      <c r="V256" s="201"/>
      <c r="W256" s="201"/>
      <c r="X256" s="201"/>
      <c r="Y256" s="201"/>
      <c r="Z256" s="201"/>
      <c r="AA256" s="201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201"/>
      <c r="AP256" s="201"/>
      <c r="AQ256" s="201"/>
      <c r="AR256" s="201"/>
      <c r="AS256" s="201"/>
      <c r="AT256" s="201"/>
      <c r="AU256" s="201"/>
      <c r="AV256" s="201"/>
      <c r="AW256" s="201"/>
      <c r="AX256" s="201"/>
      <c r="AY256" s="201"/>
      <c r="AZ256" s="201"/>
      <c r="BA256" s="201"/>
    </row>
    <row r="257" spans="2:53">
      <c r="B257" s="201"/>
      <c r="C257" s="201"/>
      <c r="D257" s="201"/>
      <c r="E257" s="201"/>
      <c r="F257" s="201"/>
      <c r="G257" s="201"/>
      <c r="H257" s="201"/>
      <c r="I257" s="45"/>
      <c r="J257" s="42"/>
      <c r="K257" s="42"/>
      <c r="L257" s="43"/>
      <c r="M257" s="44"/>
      <c r="N257" s="44"/>
      <c r="O257" s="42"/>
      <c r="P257" s="44"/>
      <c r="Q257" s="44"/>
      <c r="R257" s="44"/>
      <c r="S257" s="34"/>
      <c r="T257" s="1265" t="s">
        <v>87</v>
      </c>
      <c r="U257" s="1265"/>
      <c r="V257" s="1265"/>
      <c r="W257" s="1265"/>
      <c r="X257" s="1265"/>
      <c r="Y257" s="1265" t="s">
        <v>73</v>
      </c>
      <c r="Z257" s="1265"/>
      <c r="AA257" s="1265"/>
      <c r="AB257" s="1265" t="s">
        <v>74</v>
      </c>
      <c r="AC257" s="1265"/>
      <c r="AD257" s="423" t="s">
        <v>85</v>
      </c>
      <c r="AE257" s="423" t="s">
        <v>77</v>
      </c>
      <c r="AF257" s="1271" t="s">
        <v>525</v>
      </c>
      <c r="AG257" s="1272"/>
      <c r="AH257" s="1272"/>
      <c r="AI257" s="1272"/>
      <c r="AJ257" s="1272"/>
      <c r="AK257" s="1272"/>
      <c r="AL257" s="1272"/>
      <c r="AM257" s="1272"/>
      <c r="AN257" s="1272"/>
      <c r="AO257" s="1272"/>
      <c r="AP257" s="1272"/>
      <c r="AQ257" s="1272"/>
      <c r="AR257" s="1272"/>
      <c r="AS257" s="1272"/>
      <c r="AT257" s="1272"/>
      <c r="AU257" s="1272"/>
      <c r="AV257" s="1272"/>
      <c r="AW257" s="1272"/>
      <c r="AX257" s="1272"/>
      <c r="AY257" s="1272"/>
      <c r="AZ257" s="1272"/>
      <c r="BA257" s="201"/>
    </row>
    <row r="258" spans="2:53">
      <c r="B258" s="1266" t="s">
        <v>526</v>
      </c>
      <c r="C258" s="1267"/>
      <c r="D258" s="570" t="s">
        <v>527</v>
      </c>
      <c r="E258" s="570"/>
      <c r="F258" s="570" t="s">
        <v>528</v>
      </c>
      <c r="G258" s="570" t="s">
        <v>529</v>
      </c>
      <c r="H258" s="570" t="s">
        <v>530</v>
      </c>
      <c r="I258" s="570" t="s">
        <v>531</v>
      </c>
      <c r="J258" s="570" t="s">
        <v>532</v>
      </c>
      <c r="K258" s="570"/>
      <c r="L258" s="570" t="s">
        <v>130</v>
      </c>
      <c r="M258" s="570" t="s">
        <v>533</v>
      </c>
      <c r="N258" s="408" t="str">
        <f>"On time - "&amp;COUNTIF(N259:N268,"On time")&amp;" from "&amp;ROWS(N259:N268)-COUNTIF(N259:N268," ")</f>
        <v>On time - 10 from 10</v>
      </c>
      <c r="O258" s="46"/>
      <c r="P258" s="409" t="s">
        <v>534</v>
      </c>
      <c r="Q258" s="409" t="s">
        <v>535</v>
      </c>
      <c r="R258" s="409" t="s">
        <v>536</v>
      </c>
      <c r="S258" s="32"/>
      <c r="T258" s="424" t="s">
        <v>537</v>
      </c>
      <c r="U258" s="424" t="s">
        <v>538</v>
      </c>
      <c r="V258" s="424" t="s">
        <v>539</v>
      </c>
      <c r="W258" s="424" t="s">
        <v>540</v>
      </c>
      <c r="X258" s="424" t="s">
        <v>541</v>
      </c>
      <c r="Y258" s="424" t="s">
        <v>167</v>
      </c>
      <c r="Z258" s="424" t="s">
        <v>168</v>
      </c>
      <c r="AA258" s="424" t="s">
        <v>169</v>
      </c>
      <c r="AB258" s="424" t="s">
        <v>235</v>
      </c>
      <c r="AC258" s="424" t="s">
        <v>542</v>
      </c>
      <c r="AD258" s="423" t="s">
        <v>85</v>
      </c>
      <c r="AE258" s="424" t="s">
        <v>139</v>
      </c>
      <c r="AF258" s="424" t="s">
        <v>72</v>
      </c>
      <c r="AG258" s="424" t="s">
        <v>88</v>
      </c>
      <c r="AH258" s="424" t="s">
        <v>75</v>
      </c>
      <c r="AI258" s="424" t="s">
        <v>543</v>
      </c>
      <c r="AJ258" s="424" t="s">
        <v>78</v>
      </c>
      <c r="AK258" s="424" t="s">
        <v>76</v>
      </c>
      <c r="AL258" s="424" t="s">
        <v>544</v>
      </c>
      <c r="AM258" s="424" t="s">
        <v>545</v>
      </c>
      <c r="AN258" s="424" t="s">
        <v>86</v>
      </c>
      <c r="AO258" s="424" t="s">
        <v>83</v>
      </c>
      <c r="AP258" s="424" t="s">
        <v>84</v>
      </c>
      <c r="AQ258" s="424" t="s">
        <v>546</v>
      </c>
      <c r="AR258" s="424" t="s">
        <v>81</v>
      </c>
      <c r="AS258" s="424" t="s">
        <v>80</v>
      </c>
      <c r="AT258" s="424" t="s">
        <v>82</v>
      </c>
      <c r="AU258" s="424" t="s">
        <v>181</v>
      </c>
      <c r="AV258" s="424" t="s">
        <v>183</v>
      </c>
      <c r="AW258" s="424" t="s">
        <v>547</v>
      </c>
      <c r="AX258" s="424" t="s">
        <v>182</v>
      </c>
      <c r="AY258" s="424" t="s">
        <v>172</v>
      </c>
      <c r="AZ258" s="424" t="s">
        <v>173</v>
      </c>
      <c r="BA258" s="201"/>
    </row>
    <row r="259" spans="2:53">
      <c r="B259" s="1256">
        <v>1</v>
      </c>
      <c r="C259" s="1257"/>
      <c r="D259" s="411" t="s">
        <v>466</v>
      </c>
      <c r="E259" s="411"/>
      <c r="F259" s="411" t="s">
        <v>274</v>
      </c>
      <c r="G259" s="411" t="s">
        <v>275</v>
      </c>
      <c r="H259" s="412">
        <v>7500</v>
      </c>
      <c r="I259" s="413" t="s">
        <v>76</v>
      </c>
      <c r="J259" s="414">
        <v>44949.420138888891</v>
      </c>
      <c r="K259" s="414"/>
      <c r="L259" s="414" t="s">
        <v>192</v>
      </c>
      <c r="M259" s="414" t="s">
        <v>192</v>
      </c>
      <c r="N259" s="413" t="str">
        <f t="shared" ref="N259:N269" si="18">IF(ISBLANK(J259)," ",IF(J259&lt;$F$253,"On time",(IF(DAY(J259-$F$253)&lt;1,"On time",(IF(J259&gt;$F$253,"DELAY ( "&amp;DAY(J259-$F$253)&amp;" day "&amp;HOUR(J259-$F$253)&amp;" hour "&amp;MINUTE(J259-$F$253)&amp;" minute )","xxx"))))))</f>
        <v>On time</v>
      </c>
      <c r="O259" s="51"/>
      <c r="P259" s="415" t="s">
        <v>551</v>
      </c>
      <c r="Q259" s="415" t="s">
        <v>551</v>
      </c>
      <c r="R259" s="415" t="s">
        <v>551</v>
      </c>
      <c r="S259" s="32"/>
      <c r="T259" s="416"/>
      <c r="U259" s="416"/>
      <c r="V259" s="416"/>
      <c r="W259" s="416"/>
      <c r="X259" s="416"/>
      <c r="Y259" s="416"/>
      <c r="Z259" s="416"/>
      <c r="AA259" s="416"/>
      <c r="AB259" s="416"/>
      <c r="AC259" s="416"/>
      <c r="AD259" s="416"/>
      <c r="AE259" s="416"/>
      <c r="AF259" s="416"/>
      <c r="AG259" s="416"/>
      <c r="AH259" s="416"/>
      <c r="AI259" s="416"/>
      <c r="AJ259" s="416"/>
      <c r="AK259" s="416">
        <f>H259</f>
        <v>7500</v>
      </c>
      <c r="AL259" s="416"/>
      <c r="AM259" s="416"/>
      <c r="AN259" s="416"/>
      <c r="AO259" s="416"/>
      <c r="AP259" s="416"/>
      <c r="AQ259" s="416"/>
      <c r="AR259" s="416"/>
      <c r="AS259" s="416"/>
      <c r="AT259" s="416"/>
      <c r="AU259" s="416"/>
      <c r="AV259" s="416"/>
      <c r="AW259" s="416"/>
      <c r="AX259" s="416"/>
      <c r="AY259" s="416"/>
      <c r="AZ259" s="416"/>
      <c r="BA259" s="32"/>
    </row>
    <row r="260" spans="2:53">
      <c r="B260" s="1256">
        <v>2</v>
      </c>
      <c r="C260" s="1257"/>
      <c r="D260" s="411" t="s">
        <v>348</v>
      </c>
      <c r="E260" s="411"/>
      <c r="F260" s="411" t="s">
        <v>349</v>
      </c>
      <c r="G260" s="411" t="s">
        <v>350</v>
      </c>
      <c r="H260" s="412">
        <v>6366.5379999999996</v>
      </c>
      <c r="I260" s="413" t="s">
        <v>235</v>
      </c>
      <c r="J260" s="414">
        <v>44949.763888888891</v>
      </c>
      <c r="K260" s="414"/>
      <c r="L260" s="414" t="s">
        <v>192</v>
      </c>
      <c r="M260" s="414" t="s">
        <v>192</v>
      </c>
      <c r="N260" s="413" t="str">
        <f t="shared" si="18"/>
        <v>On time</v>
      </c>
      <c r="O260" s="51"/>
      <c r="P260" s="415" t="s">
        <v>551</v>
      </c>
      <c r="Q260" s="415" t="s">
        <v>551</v>
      </c>
      <c r="R260" s="415" t="s">
        <v>551</v>
      </c>
      <c r="S260" s="32"/>
      <c r="T260" s="416"/>
      <c r="U260" s="416"/>
      <c r="V260" s="416"/>
      <c r="W260" s="416"/>
      <c r="X260" s="416"/>
      <c r="Y260" s="416"/>
      <c r="Z260" s="416"/>
      <c r="AA260" s="416"/>
      <c r="AB260" s="416">
        <f t="shared" ref="AB260:AB266" si="19">H260</f>
        <v>6366.5379999999996</v>
      </c>
      <c r="AC260" s="416"/>
      <c r="AD260" s="416"/>
      <c r="AE260" s="416"/>
      <c r="AF260" s="416"/>
      <c r="AG260" s="416"/>
      <c r="AH260" s="416"/>
      <c r="AI260" s="416"/>
      <c r="AJ260" s="416"/>
      <c r="AK260" s="416"/>
      <c r="AL260" s="416"/>
      <c r="AM260" s="416"/>
      <c r="AN260" s="416"/>
      <c r="AO260" s="416"/>
      <c r="AP260" s="416"/>
      <c r="AQ260" s="416"/>
      <c r="AR260" s="416"/>
      <c r="AS260" s="416"/>
      <c r="AT260" s="416"/>
      <c r="AU260" s="416"/>
      <c r="AV260" s="416"/>
      <c r="AW260" s="416"/>
      <c r="AX260" s="416"/>
      <c r="AY260" s="416"/>
      <c r="AZ260" s="416"/>
      <c r="BA260" s="32"/>
    </row>
    <row r="261" spans="2:53">
      <c r="B261" s="1256">
        <v>3</v>
      </c>
      <c r="C261" s="1257"/>
      <c r="D261" s="411" t="s">
        <v>363</v>
      </c>
      <c r="E261" s="411"/>
      <c r="F261" s="411" t="s">
        <v>364</v>
      </c>
      <c r="G261" s="411" t="s">
        <v>365</v>
      </c>
      <c r="H261" s="412">
        <v>6700.1019999999999</v>
      </c>
      <c r="I261" s="413" t="s">
        <v>235</v>
      </c>
      <c r="J261" s="414">
        <v>44949.340277777781</v>
      </c>
      <c r="K261" s="414"/>
      <c r="L261" s="414" t="s">
        <v>192</v>
      </c>
      <c r="M261" s="414" t="s">
        <v>192</v>
      </c>
      <c r="N261" s="413" t="str">
        <f t="shared" si="18"/>
        <v>On time</v>
      </c>
      <c r="O261" s="51"/>
      <c r="P261" s="415" t="s">
        <v>551</v>
      </c>
      <c r="Q261" s="415" t="s">
        <v>551</v>
      </c>
      <c r="R261" s="415" t="s">
        <v>551</v>
      </c>
      <c r="S261" s="32"/>
      <c r="T261" s="416"/>
      <c r="U261" s="416"/>
      <c r="V261" s="416"/>
      <c r="W261" s="416"/>
      <c r="X261" s="416"/>
      <c r="Y261" s="416"/>
      <c r="Z261" s="416"/>
      <c r="AA261" s="416"/>
      <c r="AB261" s="416">
        <f t="shared" si="19"/>
        <v>6700.1019999999999</v>
      </c>
      <c r="AC261" s="416"/>
      <c r="AD261" s="416"/>
      <c r="AE261" s="416"/>
      <c r="AF261" s="416"/>
      <c r="AG261" s="416"/>
      <c r="AH261" s="416"/>
      <c r="AI261" s="416"/>
      <c r="AJ261" s="416"/>
      <c r="AK261" s="416"/>
      <c r="AL261" s="416"/>
      <c r="AM261" s="416"/>
      <c r="AN261" s="416"/>
      <c r="AO261" s="416"/>
      <c r="AP261" s="416"/>
      <c r="AQ261" s="416"/>
      <c r="AR261" s="416"/>
      <c r="AS261" s="416"/>
      <c r="AT261" s="416"/>
      <c r="AU261" s="416"/>
      <c r="AV261" s="416"/>
      <c r="AW261" s="416"/>
      <c r="AX261" s="416"/>
      <c r="AY261" s="416"/>
      <c r="AZ261" s="416"/>
      <c r="BA261" s="32"/>
    </row>
    <row r="262" spans="2:53">
      <c r="B262" s="1256">
        <v>4</v>
      </c>
      <c r="C262" s="1257"/>
      <c r="D262" s="411" t="s">
        <v>354</v>
      </c>
      <c r="E262" s="411"/>
      <c r="F262" s="411" t="s">
        <v>355</v>
      </c>
      <c r="G262" s="411" t="s">
        <v>356</v>
      </c>
      <c r="H262" s="412">
        <v>7002.6369999999997</v>
      </c>
      <c r="I262" s="413" t="s">
        <v>235</v>
      </c>
      <c r="J262" s="414">
        <v>44949.770833333336</v>
      </c>
      <c r="K262" s="414"/>
      <c r="L262" s="414" t="s">
        <v>192</v>
      </c>
      <c r="M262" s="414" t="s">
        <v>192</v>
      </c>
      <c r="N262" s="413" t="str">
        <f t="shared" si="18"/>
        <v>On time</v>
      </c>
      <c r="O262" s="51"/>
      <c r="P262" s="415" t="s">
        <v>551</v>
      </c>
      <c r="Q262" s="415" t="s">
        <v>551</v>
      </c>
      <c r="R262" s="415" t="s">
        <v>551</v>
      </c>
      <c r="S262" s="32"/>
      <c r="T262" s="416"/>
      <c r="U262" s="416"/>
      <c r="V262" s="416"/>
      <c r="W262" s="416"/>
      <c r="X262" s="416"/>
      <c r="Y262" s="416"/>
      <c r="Z262" s="416"/>
      <c r="AA262" s="416"/>
      <c r="AB262" s="416">
        <f t="shared" si="19"/>
        <v>7002.6369999999997</v>
      </c>
      <c r="AC262" s="416"/>
      <c r="AD262" s="416"/>
      <c r="AE262" s="416"/>
      <c r="AF262" s="416"/>
      <c r="AG262" s="416"/>
      <c r="AH262" s="416"/>
      <c r="AI262" s="416"/>
      <c r="AJ262" s="416"/>
      <c r="AK262" s="416"/>
      <c r="AL262" s="416"/>
      <c r="AM262" s="416"/>
      <c r="AN262" s="416"/>
      <c r="AO262" s="416"/>
      <c r="AP262" s="416"/>
      <c r="AQ262" s="416"/>
      <c r="AR262" s="416"/>
      <c r="AS262" s="416"/>
      <c r="AT262" s="416"/>
      <c r="AU262" s="416"/>
      <c r="AV262" s="416"/>
      <c r="AW262" s="416"/>
      <c r="AX262" s="416"/>
      <c r="AY262" s="416"/>
      <c r="AZ262" s="416"/>
      <c r="BA262" s="32"/>
    </row>
    <row r="263" spans="2:53">
      <c r="B263" s="1256">
        <v>5</v>
      </c>
      <c r="C263" s="1257"/>
      <c r="D263" s="411" t="s">
        <v>382</v>
      </c>
      <c r="E263" s="411"/>
      <c r="F263" s="411" t="s">
        <v>383</v>
      </c>
      <c r="G263" s="411" t="s">
        <v>384</v>
      </c>
      <c r="H263" s="412">
        <v>4500.9880000000003</v>
      </c>
      <c r="I263" s="413" t="s">
        <v>235</v>
      </c>
      <c r="J263" s="414">
        <v>44952.986111111109</v>
      </c>
      <c r="K263" s="414"/>
      <c r="L263" s="414" t="s">
        <v>192</v>
      </c>
      <c r="M263" s="414" t="s">
        <v>192</v>
      </c>
      <c r="N263" s="413" t="str">
        <f t="shared" si="18"/>
        <v>On time</v>
      </c>
      <c r="O263" s="51"/>
      <c r="P263" s="415" t="s">
        <v>551</v>
      </c>
      <c r="Q263" s="415" t="s">
        <v>551</v>
      </c>
      <c r="R263" s="415" t="s">
        <v>551</v>
      </c>
      <c r="S263" s="32"/>
      <c r="T263" s="416"/>
      <c r="U263" s="416"/>
      <c r="V263" s="416"/>
      <c r="W263" s="416"/>
      <c r="X263" s="416"/>
      <c r="Y263" s="416"/>
      <c r="Z263" s="416"/>
      <c r="AA263" s="416"/>
      <c r="AB263" s="416">
        <f t="shared" si="19"/>
        <v>4500.9880000000003</v>
      </c>
      <c r="AC263" s="416"/>
      <c r="AD263" s="416"/>
      <c r="AE263" s="416"/>
      <c r="AF263" s="416"/>
      <c r="AG263" s="416"/>
      <c r="AH263" s="416"/>
      <c r="AI263" s="416"/>
      <c r="AJ263" s="416"/>
      <c r="AK263" s="416"/>
      <c r="AL263" s="416"/>
      <c r="AM263" s="416"/>
      <c r="AN263" s="416"/>
      <c r="AO263" s="416"/>
      <c r="AP263" s="416"/>
      <c r="AQ263" s="416"/>
      <c r="AR263" s="416"/>
      <c r="AS263" s="416"/>
      <c r="AT263" s="416"/>
      <c r="AU263" s="416"/>
      <c r="AV263" s="416"/>
      <c r="AW263" s="416"/>
      <c r="AX263" s="416"/>
      <c r="AY263" s="416"/>
      <c r="AZ263" s="416"/>
      <c r="BA263" s="32"/>
    </row>
    <row r="264" spans="2:53">
      <c r="B264" s="1256">
        <v>6</v>
      </c>
      <c r="C264" s="1257"/>
      <c r="D264" s="411" t="s">
        <v>373</v>
      </c>
      <c r="E264" s="411"/>
      <c r="F264" s="411" t="s">
        <v>374</v>
      </c>
      <c r="G264" s="411" t="s">
        <v>375</v>
      </c>
      <c r="H264" s="412">
        <v>6306.223</v>
      </c>
      <c r="I264" s="413" t="s">
        <v>235</v>
      </c>
      <c r="J264" s="414">
        <v>44950.625</v>
      </c>
      <c r="K264" s="414"/>
      <c r="L264" s="414" t="s">
        <v>192</v>
      </c>
      <c r="M264" s="414" t="s">
        <v>192</v>
      </c>
      <c r="N264" s="413" t="str">
        <f t="shared" si="18"/>
        <v>On time</v>
      </c>
      <c r="O264" s="51"/>
      <c r="P264" s="415" t="s">
        <v>551</v>
      </c>
      <c r="Q264" s="415" t="s">
        <v>551</v>
      </c>
      <c r="R264" s="415" t="s">
        <v>551</v>
      </c>
      <c r="S264" s="32"/>
      <c r="T264" s="416"/>
      <c r="U264" s="416"/>
      <c r="V264" s="416"/>
      <c r="W264" s="416"/>
      <c r="X264" s="416"/>
      <c r="Y264" s="416"/>
      <c r="Z264" s="416"/>
      <c r="AA264" s="416"/>
      <c r="AB264" s="416">
        <f t="shared" si="19"/>
        <v>6306.223</v>
      </c>
      <c r="AC264" s="416"/>
      <c r="AD264" s="416"/>
      <c r="AE264" s="416"/>
      <c r="AF264" s="416"/>
      <c r="AG264" s="416"/>
      <c r="AH264" s="416"/>
      <c r="AI264" s="416"/>
      <c r="AJ264" s="416"/>
      <c r="AK264" s="416"/>
      <c r="AL264" s="416"/>
      <c r="AM264" s="416"/>
      <c r="AN264" s="416"/>
      <c r="AO264" s="416"/>
      <c r="AP264" s="416"/>
      <c r="AQ264" s="416"/>
      <c r="AR264" s="416"/>
      <c r="AS264" s="416"/>
      <c r="AT264" s="416"/>
      <c r="AU264" s="416"/>
      <c r="AV264" s="416"/>
      <c r="AW264" s="416"/>
      <c r="AX264" s="416"/>
      <c r="AY264" s="416"/>
      <c r="AZ264" s="416"/>
      <c r="BA264" s="32"/>
    </row>
    <row r="265" spans="2:53">
      <c r="B265" s="1256">
        <v>7</v>
      </c>
      <c r="C265" s="1257"/>
      <c r="D265" s="411" t="s">
        <v>376</v>
      </c>
      <c r="E265" s="411"/>
      <c r="F265" s="411" t="s">
        <v>377</v>
      </c>
      <c r="G265" s="411" t="s">
        <v>378</v>
      </c>
      <c r="H265" s="412">
        <v>6486.5280000000002</v>
      </c>
      <c r="I265" s="413" t="s">
        <v>235</v>
      </c>
      <c r="J265" s="414">
        <v>44950.833333333336</v>
      </c>
      <c r="K265" s="414"/>
      <c r="L265" s="414" t="s">
        <v>192</v>
      </c>
      <c r="M265" s="414" t="s">
        <v>192</v>
      </c>
      <c r="N265" s="413" t="str">
        <f t="shared" si="18"/>
        <v>On time</v>
      </c>
      <c r="O265" s="51"/>
      <c r="P265" s="415" t="s">
        <v>551</v>
      </c>
      <c r="Q265" s="415" t="s">
        <v>551</v>
      </c>
      <c r="R265" s="415" t="s">
        <v>551</v>
      </c>
      <c r="S265" s="32"/>
      <c r="T265" s="416"/>
      <c r="U265" s="416"/>
      <c r="V265" s="416"/>
      <c r="W265" s="416"/>
      <c r="X265" s="416"/>
      <c r="Y265" s="416"/>
      <c r="Z265" s="416"/>
      <c r="AA265" s="416"/>
      <c r="AB265" s="416">
        <f t="shared" si="19"/>
        <v>6486.5280000000002</v>
      </c>
      <c r="AC265" s="416"/>
      <c r="AD265" s="416"/>
      <c r="AE265" s="416"/>
      <c r="AF265" s="416"/>
      <c r="AG265" s="416"/>
      <c r="AH265" s="416"/>
      <c r="AI265" s="416"/>
      <c r="AJ265" s="416"/>
      <c r="AK265" s="416"/>
      <c r="AL265" s="416"/>
      <c r="AM265" s="416"/>
      <c r="AN265" s="416"/>
      <c r="AO265" s="416"/>
      <c r="AP265" s="416"/>
      <c r="AQ265" s="416"/>
      <c r="AR265" s="416"/>
      <c r="AS265" s="416"/>
      <c r="AT265" s="416"/>
      <c r="AU265" s="416"/>
      <c r="AV265" s="416"/>
      <c r="AW265" s="416"/>
      <c r="AX265" s="416"/>
      <c r="AY265" s="416"/>
      <c r="AZ265" s="416"/>
      <c r="BA265" s="32"/>
    </row>
    <row r="266" spans="2:53">
      <c r="B266" s="1256">
        <v>8</v>
      </c>
      <c r="C266" s="1257"/>
      <c r="D266" s="411" t="s">
        <v>370</v>
      </c>
      <c r="E266" s="411"/>
      <c r="F266" s="411" t="s">
        <v>371</v>
      </c>
      <c r="G266" s="411" t="s">
        <v>372</v>
      </c>
      <c r="H266" s="412">
        <v>6650.9229999999998</v>
      </c>
      <c r="I266" s="413" t="s">
        <v>235</v>
      </c>
      <c r="J266" s="414">
        <v>44950.888888888891</v>
      </c>
      <c r="K266" s="414"/>
      <c r="L266" s="414" t="s">
        <v>192</v>
      </c>
      <c r="M266" s="414" t="s">
        <v>192</v>
      </c>
      <c r="N266" s="413" t="str">
        <f t="shared" si="18"/>
        <v>On time</v>
      </c>
      <c r="O266" s="51"/>
      <c r="P266" s="415" t="s">
        <v>551</v>
      </c>
      <c r="Q266" s="415" t="s">
        <v>551</v>
      </c>
      <c r="R266" s="415" t="s">
        <v>551</v>
      </c>
      <c r="S266" s="32"/>
      <c r="T266" s="416"/>
      <c r="U266" s="416"/>
      <c r="V266" s="416"/>
      <c r="W266" s="416"/>
      <c r="X266" s="416"/>
      <c r="Y266" s="416"/>
      <c r="Z266" s="416"/>
      <c r="AA266" s="416"/>
      <c r="AB266" s="416">
        <f t="shared" si="19"/>
        <v>6650.9229999999998</v>
      </c>
      <c r="AC266" s="416"/>
      <c r="AD266" s="416"/>
      <c r="AE266" s="416"/>
      <c r="AF266" s="416"/>
      <c r="AG266" s="416"/>
      <c r="AH266" s="416"/>
      <c r="AI266" s="416"/>
      <c r="AJ266" s="416"/>
      <c r="AK266" s="416"/>
      <c r="AL266" s="416"/>
      <c r="AM266" s="416"/>
      <c r="AN266" s="416"/>
      <c r="AO266" s="416"/>
      <c r="AP266" s="416"/>
      <c r="AQ266" s="416"/>
      <c r="AR266" s="416"/>
      <c r="AS266" s="416"/>
      <c r="AT266" s="416"/>
      <c r="AU266" s="416"/>
      <c r="AV266" s="416"/>
      <c r="AW266" s="416"/>
      <c r="AX266" s="416"/>
      <c r="AY266" s="416"/>
      <c r="AZ266" s="416"/>
      <c r="BA266" s="32"/>
    </row>
    <row r="267" spans="2:53">
      <c r="B267" s="1256">
        <v>9</v>
      </c>
      <c r="C267" s="1257"/>
      <c r="D267" s="411" t="s">
        <v>221</v>
      </c>
      <c r="E267" s="411"/>
      <c r="F267" s="411" t="s">
        <v>222</v>
      </c>
      <c r="G267" s="411" t="s">
        <v>223</v>
      </c>
      <c r="H267" s="412">
        <v>7500</v>
      </c>
      <c r="I267" s="413" t="s">
        <v>78</v>
      </c>
      <c r="J267" s="414">
        <v>44951.104166666664</v>
      </c>
      <c r="K267" s="414"/>
      <c r="L267" s="414" t="s">
        <v>192</v>
      </c>
      <c r="M267" s="414" t="s">
        <v>192</v>
      </c>
      <c r="N267" s="413" t="str">
        <f t="shared" si="18"/>
        <v>On time</v>
      </c>
      <c r="O267" s="51"/>
      <c r="P267" s="415" t="s">
        <v>551</v>
      </c>
      <c r="Q267" s="415" t="s">
        <v>551</v>
      </c>
      <c r="R267" s="415" t="s">
        <v>551</v>
      </c>
      <c r="S267" s="32"/>
      <c r="T267" s="416"/>
      <c r="U267" s="416"/>
      <c r="V267" s="416"/>
      <c r="W267" s="416"/>
      <c r="X267" s="416"/>
      <c r="Y267" s="416"/>
      <c r="Z267" s="416"/>
      <c r="AA267" s="416"/>
      <c r="AB267" s="416"/>
      <c r="AC267" s="416"/>
      <c r="AD267" s="416"/>
      <c r="AE267" s="416"/>
      <c r="AF267" s="416"/>
      <c r="AG267" s="416"/>
      <c r="AH267" s="416"/>
      <c r="AI267" s="416"/>
      <c r="AJ267" s="416">
        <f>H267</f>
        <v>7500</v>
      </c>
      <c r="AK267" s="416"/>
      <c r="AL267" s="416"/>
      <c r="AM267" s="416"/>
      <c r="AN267" s="416"/>
      <c r="AO267" s="416"/>
      <c r="AP267" s="416"/>
      <c r="AQ267" s="416"/>
      <c r="AR267" s="416"/>
      <c r="AS267" s="416"/>
      <c r="AT267" s="416"/>
      <c r="AU267" s="416"/>
      <c r="AV267" s="416"/>
      <c r="AW267" s="416"/>
      <c r="AX267" s="416"/>
      <c r="AY267" s="416"/>
      <c r="AZ267" s="416"/>
      <c r="BA267" s="32"/>
    </row>
    <row r="268" spans="2:53">
      <c r="B268" s="1256">
        <v>10</v>
      </c>
      <c r="C268" s="1257"/>
      <c r="D268" s="411" t="s">
        <v>366</v>
      </c>
      <c r="E268" s="411"/>
      <c r="F268" s="411" t="s">
        <v>367</v>
      </c>
      <c r="G268" s="411" t="s">
        <v>368</v>
      </c>
      <c r="H268" s="412">
        <v>8044.41</v>
      </c>
      <c r="I268" s="413" t="s">
        <v>235</v>
      </c>
      <c r="J268" s="414">
        <v>44951.194444444445</v>
      </c>
      <c r="K268" s="414"/>
      <c r="L268" s="414" t="s">
        <v>192</v>
      </c>
      <c r="M268" s="414" t="s">
        <v>192</v>
      </c>
      <c r="N268" s="413" t="str">
        <f t="shared" si="18"/>
        <v>On time</v>
      </c>
      <c r="O268" s="51"/>
      <c r="P268" s="415" t="s">
        <v>551</v>
      </c>
      <c r="Q268" s="415" t="s">
        <v>551</v>
      </c>
      <c r="R268" s="415" t="s">
        <v>551</v>
      </c>
      <c r="S268" s="32"/>
      <c r="T268" s="416"/>
      <c r="U268" s="416"/>
      <c r="V268" s="416"/>
      <c r="W268" s="416"/>
      <c r="X268" s="416"/>
      <c r="Y268" s="416"/>
      <c r="Z268" s="416"/>
      <c r="AA268" s="416"/>
      <c r="AB268" s="416">
        <f>H268</f>
        <v>8044.41</v>
      </c>
      <c r="AC268" s="416"/>
      <c r="AD268" s="416"/>
      <c r="AE268" s="416"/>
      <c r="AF268" s="416"/>
      <c r="AG268" s="416"/>
      <c r="AH268" s="416"/>
      <c r="AI268" s="416"/>
      <c r="AJ268" s="416"/>
      <c r="AK268" s="416"/>
      <c r="AL268" s="416"/>
      <c r="AM268" s="416"/>
      <c r="AN268" s="416"/>
      <c r="AO268" s="416"/>
      <c r="AP268" s="416"/>
      <c r="AQ268" s="416"/>
      <c r="AR268" s="416"/>
      <c r="AS268" s="416"/>
      <c r="AT268" s="416"/>
      <c r="AU268" s="416"/>
      <c r="AV268" s="416"/>
      <c r="AW268" s="416"/>
      <c r="AX268" s="416"/>
      <c r="AY268" s="416"/>
      <c r="AZ268" s="416"/>
      <c r="BA268" s="32"/>
    </row>
    <row r="269" spans="2:53">
      <c r="B269" s="1256">
        <v>11</v>
      </c>
      <c r="C269" s="1257"/>
      <c r="D269" s="411" t="s">
        <v>341</v>
      </c>
      <c r="E269" s="411"/>
      <c r="F269" s="411" t="s">
        <v>233</v>
      </c>
      <c r="G269" s="411" t="s">
        <v>234</v>
      </c>
      <c r="H269" s="412">
        <v>6424.3680000000004</v>
      </c>
      <c r="I269" s="413" t="s">
        <v>235</v>
      </c>
      <c r="J269" s="414">
        <v>44951.395833333336</v>
      </c>
      <c r="K269" s="414"/>
      <c r="L269" s="414" t="s">
        <v>192</v>
      </c>
      <c r="M269" s="414" t="s">
        <v>192</v>
      </c>
      <c r="N269" s="413" t="str">
        <f t="shared" si="18"/>
        <v>On time</v>
      </c>
      <c r="O269" s="51"/>
      <c r="P269" s="415" t="s">
        <v>551</v>
      </c>
      <c r="Q269" s="415" t="s">
        <v>551</v>
      </c>
      <c r="R269" s="415" t="s">
        <v>551</v>
      </c>
      <c r="S269" s="32"/>
      <c r="T269" s="416"/>
      <c r="U269" s="416"/>
      <c r="V269" s="416"/>
      <c r="W269" s="416"/>
      <c r="X269" s="416"/>
      <c r="Y269" s="416"/>
      <c r="Z269" s="416"/>
      <c r="AA269" s="416"/>
      <c r="AB269" s="416">
        <f>H269</f>
        <v>6424.3680000000004</v>
      </c>
      <c r="AC269" s="416"/>
      <c r="AD269" s="416"/>
      <c r="AE269" s="416"/>
      <c r="AF269" s="416"/>
      <c r="AG269" s="416"/>
      <c r="AH269" s="416"/>
      <c r="AI269" s="416"/>
      <c r="AJ269" s="416"/>
      <c r="AK269" s="416"/>
      <c r="AL269" s="416"/>
      <c r="AM269" s="416"/>
      <c r="AN269" s="416"/>
      <c r="AO269" s="416"/>
      <c r="AP269" s="416"/>
      <c r="AQ269" s="416"/>
      <c r="AR269" s="416"/>
      <c r="AS269" s="416"/>
      <c r="AT269" s="416"/>
      <c r="AU269" s="416"/>
      <c r="AV269" s="416"/>
      <c r="AW269" s="416"/>
      <c r="AX269" s="416"/>
      <c r="AY269" s="416"/>
      <c r="AZ269" s="416"/>
      <c r="BA269" s="32"/>
    </row>
    <row r="270" spans="2:53">
      <c r="B270" s="1256">
        <v>12</v>
      </c>
      <c r="C270" s="1257"/>
      <c r="D270" s="1256" t="s">
        <v>610</v>
      </c>
      <c r="E270" s="1276"/>
      <c r="F270" s="1276"/>
      <c r="G270" s="1257"/>
      <c r="H270" s="412">
        <f>H272-SUM(H259:H269)</f>
        <v>617.28299999999581</v>
      </c>
      <c r="I270" s="413" t="s">
        <v>665</v>
      </c>
      <c r="J270" s="414"/>
      <c r="K270" s="414"/>
      <c r="L270" s="414"/>
      <c r="M270" s="414"/>
      <c r="N270" s="413"/>
      <c r="O270" s="51"/>
      <c r="P270" s="415" t="s">
        <v>551</v>
      </c>
      <c r="Q270" s="415"/>
      <c r="R270" s="415"/>
      <c r="S270" s="32"/>
      <c r="T270" s="416"/>
      <c r="U270" s="416">
        <f>H270</f>
        <v>617.28299999999581</v>
      </c>
      <c r="V270" s="416"/>
      <c r="W270" s="416"/>
      <c r="X270" s="416"/>
      <c r="Y270" s="416"/>
      <c r="Z270" s="416"/>
      <c r="AA270" s="416"/>
      <c r="AB270" s="416"/>
      <c r="AC270" s="416"/>
      <c r="AD270" s="416"/>
      <c r="AE270" s="416"/>
      <c r="AF270" s="416"/>
      <c r="AG270" s="416"/>
      <c r="AH270" s="416"/>
      <c r="AI270" s="416"/>
      <c r="AJ270" s="416"/>
      <c r="AK270" s="416"/>
      <c r="AL270" s="416"/>
      <c r="AM270" s="416"/>
      <c r="AN270" s="416"/>
      <c r="AO270" s="416"/>
      <c r="AP270" s="416"/>
      <c r="AQ270" s="416"/>
      <c r="AR270" s="416"/>
      <c r="AS270" s="416"/>
      <c r="AT270" s="416"/>
      <c r="AU270" s="416"/>
      <c r="AV270" s="416"/>
      <c r="AW270" s="416"/>
      <c r="AX270" s="416"/>
      <c r="AY270" s="416"/>
      <c r="AZ270" s="416"/>
      <c r="BA270" s="32"/>
    </row>
    <row r="271" spans="2:53">
      <c r="B271" s="1258" t="s">
        <v>556</v>
      </c>
      <c r="C271" s="1259"/>
      <c r="D271" s="1259"/>
      <c r="E271" s="1259"/>
      <c r="F271" s="1259"/>
      <c r="G271" s="1260"/>
      <c r="H271" s="417">
        <f>SUM(H259:H270)</f>
        <v>74100</v>
      </c>
      <c r="I271" s="388"/>
      <c r="J271" s="293"/>
      <c r="K271" s="293"/>
      <c r="L271" s="293"/>
      <c r="M271" s="389"/>
      <c r="N271" s="413" t="str">
        <f>IF(ISBLANK(J271)," ",IF(J271&lt;$F$4,"On time",(IF(DAY(J271-$F$4)&lt;1,"On time",(IF(J271&gt;$F$4,"DELAY ( "&amp;DAY(J271-$F$4)&amp;" day "&amp;HOUR(J271-$F$4)&amp;" hour "&amp;MINUTE(J271-$F$4)&amp;" minute )","xxx"))))))</f>
        <v xml:space="preserve"> </v>
      </c>
      <c r="O271" s="47"/>
      <c r="P271" s="418"/>
      <c r="Q271" s="418"/>
      <c r="R271" s="418"/>
      <c r="S271" s="32"/>
      <c r="T271" s="1261"/>
      <c r="U271" s="1261"/>
      <c r="V271" s="1261"/>
      <c r="W271" s="1261"/>
      <c r="X271" s="1261"/>
      <c r="Y271" s="1261"/>
      <c r="Z271" s="1261"/>
      <c r="AA271" s="1261"/>
      <c r="AB271" s="1261"/>
      <c r="AC271" s="1261"/>
      <c r="AD271" s="1261"/>
      <c r="AE271" s="1261"/>
      <c r="AF271" s="1261"/>
      <c r="AG271" s="1261"/>
      <c r="AH271" s="1261"/>
      <c r="AI271" s="1261"/>
      <c r="AJ271" s="1261"/>
      <c r="AK271" s="1261"/>
      <c r="AL271" s="1261"/>
      <c r="AM271" s="1261"/>
      <c r="AN271" s="1261"/>
      <c r="AO271" s="1261"/>
      <c r="AP271" s="1261"/>
      <c r="AQ271" s="1261"/>
      <c r="AR271" s="1261"/>
      <c r="AS271" s="1261"/>
      <c r="AT271" s="1261"/>
      <c r="AU271" s="1261"/>
      <c r="AV271" s="1261"/>
      <c r="AW271" s="1261"/>
      <c r="AX271" s="1261"/>
      <c r="AY271" s="1261"/>
      <c r="AZ271" s="1261"/>
    </row>
    <row r="272" spans="2:53">
      <c r="B272" s="1243" t="s">
        <v>557</v>
      </c>
      <c r="C272" s="1244"/>
      <c r="D272" s="1244"/>
      <c r="E272" s="1244"/>
      <c r="F272" s="1244"/>
      <c r="G272" s="1245"/>
      <c r="H272" s="419">
        <v>74100</v>
      </c>
      <c r="I272" s="1246"/>
      <c r="J272" s="1247"/>
      <c r="K272" s="1247"/>
      <c r="L272" s="1247"/>
      <c r="M272" s="1248"/>
      <c r="N272" s="413" t="str">
        <f>IF(ISBLANK(J272)," ",IF(J272&lt;$F$4,"On time",(IF(DAY(J272-$F$4)&lt;1,"On time",(IF(J272&gt;$F$4,"DELAY ( "&amp;DAY(J272-$F$4)&amp;" day "&amp;HOUR(J272-$F$4)&amp;" hour "&amp;MINUTE(J272-$F$4)&amp;" minute )","xxx"))))))</f>
        <v xml:space="preserve"> </v>
      </c>
      <c r="O272" s="32"/>
      <c r="P272" s="415"/>
      <c r="Q272" s="415"/>
      <c r="R272" s="415"/>
      <c r="S272" s="63"/>
      <c r="T272" s="416">
        <f t="shared" ref="T272:AZ272" si="20">SUM(T259:T270)</f>
        <v>0</v>
      </c>
      <c r="U272" s="416">
        <f t="shared" si="20"/>
        <v>617.28299999999581</v>
      </c>
      <c r="V272" s="416">
        <f t="shared" si="20"/>
        <v>0</v>
      </c>
      <c r="W272" s="416">
        <f t="shared" si="20"/>
        <v>0</v>
      </c>
      <c r="X272" s="416">
        <f t="shared" si="20"/>
        <v>0</v>
      </c>
      <c r="Y272" s="416">
        <f t="shared" si="20"/>
        <v>0</v>
      </c>
      <c r="Z272" s="416">
        <f t="shared" si="20"/>
        <v>0</v>
      </c>
      <c r="AA272" s="416">
        <f t="shared" si="20"/>
        <v>0</v>
      </c>
      <c r="AB272" s="416">
        <f t="shared" si="20"/>
        <v>58482.717000000004</v>
      </c>
      <c r="AC272" s="416">
        <f t="shared" si="20"/>
        <v>0</v>
      </c>
      <c r="AD272" s="416">
        <f t="shared" si="20"/>
        <v>0</v>
      </c>
      <c r="AE272" s="416">
        <f t="shared" si="20"/>
        <v>0</v>
      </c>
      <c r="AF272" s="416">
        <f t="shared" si="20"/>
        <v>0</v>
      </c>
      <c r="AG272" s="416">
        <f t="shared" si="20"/>
        <v>0</v>
      </c>
      <c r="AH272" s="416">
        <f t="shared" si="20"/>
        <v>0</v>
      </c>
      <c r="AI272" s="416">
        <f t="shared" si="20"/>
        <v>0</v>
      </c>
      <c r="AJ272" s="416">
        <f t="shared" si="20"/>
        <v>7500</v>
      </c>
      <c r="AK272" s="416">
        <f t="shared" si="20"/>
        <v>7500</v>
      </c>
      <c r="AL272" s="416">
        <f t="shared" si="20"/>
        <v>0</v>
      </c>
      <c r="AM272" s="416">
        <f t="shared" si="20"/>
        <v>0</v>
      </c>
      <c r="AN272" s="416">
        <f t="shared" si="20"/>
        <v>0</v>
      </c>
      <c r="AO272" s="416">
        <f t="shared" si="20"/>
        <v>0</v>
      </c>
      <c r="AP272" s="416">
        <f t="shared" si="20"/>
        <v>0</v>
      </c>
      <c r="AQ272" s="416">
        <f t="shared" si="20"/>
        <v>0</v>
      </c>
      <c r="AR272" s="416">
        <f t="shared" si="20"/>
        <v>0</v>
      </c>
      <c r="AS272" s="416">
        <f t="shared" si="20"/>
        <v>0</v>
      </c>
      <c r="AT272" s="416">
        <f t="shared" si="20"/>
        <v>0</v>
      </c>
      <c r="AU272" s="416">
        <f t="shared" si="20"/>
        <v>0</v>
      </c>
      <c r="AV272" s="416">
        <f t="shared" si="20"/>
        <v>0</v>
      </c>
      <c r="AW272" s="416">
        <f t="shared" si="20"/>
        <v>0</v>
      </c>
      <c r="AX272" s="416">
        <f t="shared" si="20"/>
        <v>0</v>
      </c>
      <c r="AY272" s="416">
        <f t="shared" si="20"/>
        <v>0</v>
      </c>
      <c r="AZ272" s="416">
        <f t="shared" si="20"/>
        <v>0</v>
      </c>
      <c r="BA272" s="416">
        <f>SUM(T272:AZ272)</f>
        <v>74100</v>
      </c>
    </row>
    <row r="273" spans="2:53">
      <c r="B273" s="1243" t="s">
        <v>558</v>
      </c>
      <c r="C273" s="1244"/>
      <c r="D273" s="1244"/>
      <c r="E273" s="1244"/>
      <c r="F273" s="1244"/>
      <c r="G273" s="1245"/>
      <c r="H273" s="420">
        <f>H272-L253</f>
        <v>0</v>
      </c>
      <c r="I273" s="294"/>
      <c r="J273" s="295"/>
      <c r="K273" s="295"/>
      <c r="L273" s="296"/>
      <c r="M273" s="32"/>
      <c r="N273" s="32"/>
      <c r="O273" s="32"/>
      <c r="P273" s="32"/>
      <c r="Q273" s="297"/>
      <c r="R273" s="297"/>
      <c r="S273" s="32"/>
      <c r="T273" s="48"/>
      <c r="U273" s="48"/>
      <c r="V273" s="48"/>
      <c r="W273" s="48"/>
      <c r="X273" s="48"/>
      <c r="Y273" s="48"/>
      <c r="Z273" s="48"/>
      <c r="AA273" s="48"/>
      <c r="AB273" s="48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</row>
    <row r="274" spans="2:53">
      <c r="B274" s="1243" t="s">
        <v>559</v>
      </c>
      <c r="C274" s="1244"/>
      <c r="D274" s="1244"/>
      <c r="E274" s="1244"/>
      <c r="F274" s="1244"/>
      <c r="G274" s="1245"/>
      <c r="H274" s="420">
        <f>H271-H272</f>
        <v>0</v>
      </c>
      <c r="I274" s="52"/>
      <c r="J274" s="53"/>
      <c r="K274" s="53"/>
      <c r="L274" s="54"/>
      <c r="M274" s="32"/>
      <c r="N274" s="32"/>
      <c r="O274" s="32"/>
      <c r="P274" s="32"/>
      <c r="Q274" s="32"/>
      <c r="R274" s="32"/>
      <c r="S274" s="32"/>
      <c r="T274" s="48"/>
      <c r="U274" s="48"/>
      <c r="V274" s="48"/>
      <c r="W274" s="48"/>
      <c r="X274" s="48"/>
      <c r="Y274" s="48"/>
      <c r="Z274" s="48"/>
      <c r="AA274" s="48"/>
      <c r="AB274" s="48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</row>
    <row r="275" spans="2:53">
      <c r="B275" s="201"/>
      <c r="C275" s="201"/>
      <c r="D275" s="201"/>
      <c r="E275" s="201"/>
      <c r="F275" s="201"/>
      <c r="G275" s="201"/>
      <c r="H275" s="201"/>
      <c r="I275" s="213"/>
      <c r="J275" s="209"/>
      <c r="K275" s="209"/>
      <c r="L275" s="203"/>
      <c r="M275" s="201"/>
      <c r="N275" s="201"/>
      <c r="O275" s="209"/>
      <c r="P275" s="32"/>
      <c r="Q275" s="32"/>
      <c r="R275" s="32"/>
      <c r="S275" s="32"/>
      <c r="T275" s="48"/>
      <c r="U275" s="48"/>
      <c r="V275" s="48"/>
      <c r="W275" s="48"/>
      <c r="X275" s="48"/>
      <c r="Y275" s="48"/>
      <c r="Z275" s="48"/>
      <c r="AA275" s="48"/>
      <c r="AB275" s="48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</row>
    <row r="276" spans="2:53">
      <c r="B276" s="40" t="s">
        <v>561</v>
      </c>
      <c r="C276" s="40"/>
      <c r="D276" s="32"/>
      <c r="E276" s="32"/>
      <c r="F276" s="32"/>
      <c r="G276" s="32"/>
      <c r="H276" s="32"/>
      <c r="I276" s="32"/>
      <c r="J276" s="52"/>
      <c r="K276" s="52"/>
      <c r="L276" s="55"/>
      <c r="M276" s="32"/>
      <c r="N276" s="201"/>
      <c r="O276" s="5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  <c r="AA276" s="202"/>
      <c r="AB276" s="201"/>
      <c r="AC276" s="201"/>
      <c r="AD276" s="201"/>
      <c r="AE276" s="201"/>
      <c r="AF276" s="201"/>
      <c r="AG276" s="201"/>
      <c r="AH276" s="201"/>
      <c r="AI276" s="201"/>
      <c r="AJ276" s="201"/>
      <c r="AK276" s="201"/>
      <c r="AL276" s="201"/>
      <c r="AM276" s="201"/>
      <c r="AN276" s="201"/>
      <c r="AO276" s="201"/>
      <c r="AP276" s="201"/>
      <c r="AQ276" s="201"/>
      <c r="AR276" s="201"/>
      <c r="AS276" s="201"/>
      <c r="AT276" s="201"/>
      <c r="AU276" s="201"/>
      <c r="BA276" s="201"/>
    </row>
    <row r="277" spans="2:53">
      <c r="B277" s="422"/>
      <c r="C277" s="1249"/>
      <c r="D277" s="1249"/>
      <c r="E277" s="1249"/>
      <c r="F277" s="1249"/>
      <c r="G277" s="1249"/>
      <c r="H277" s="1249"/>
      <c r="I277" s="1249"/>
      <c r="J277" s="1249"/>
      <c r="K277" s="1249"/>
      <c r="L277" s="203"/>
      <c r="M277" s="201"/>
      <c r="N277" s="201"/>
      <c r="O277" s="209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  <c r="AA277" s="202"/>
      <c r="AB277" s="201"/>
      <c r="AC277" s="201"/>
      <c r="AD277" s="201"/>
      <c r="AE277" s="201"/>
      <c r="AF277" s="201"/>
      <c r="AG277" s="201"/>
      <c r="AH277" s="201"/>
      <c r="AI277" s="201"/>
      <c r="AJ277" s="201"/>
      <c r="AK277" s="201"/>
      <c r="AL277" s="201"/>
      <c r="AM277" s="201"/>
      <c r="AN277" s="201"/>
      <c r="AO277" s="201"/>
      <c r="AP277" s="201"/>
      <c r="AQ277" s="201"/>
      <c r="AR277" s="201"/>
      <c r="AS277" s="201"/>
      <c r="AT277" s="201"/>
      <c r="AU277" s="201"/>
      <c r="BA277" s="201"/>
    </row>
    <row r="279" spans="2:53">
      <c r="B279" s="28" t="s">
        <v>2</v>
      </c>
      <c r="C279" s="28"/>
      <c r="D279" s="29"/>
      <c r="E279" s="30" t="s">
        <v>511</v>
      </c>
      <c r="F279" s="31" t="s">
        <v>325</v>
      </c>
      <c r="G279" s="32"/>
      <c r="H279" s="33"/>
      <c r="I279" s="34"/>
      <c r="J279" s="35" t="s">
        <v>513</v>
      </c>
      <c r="K279" s="36" t="s">
        <v>511</v>
      </c>
      <c r="L279" s="37">
        <v>44954.25</v>
      </c>
      <c r="M279" s="32"/>
      <c r="N279" s="32"/>
      <c r="O279" s="206"/>
      <c r="P279" s="205"/>
      <c r="Q279" s="202"/>
      <c r="R279" s="204"/>
      <c r="S279" s="38"/>
      <c r="T279" s="201"/>
      <c r="U279" s="201"/>
      <c r="V279" s="201"/>
      <c r="W279" s="201"/>
      <c r="X279" s="201"/>
      <c r="Y279" s="201"/>
      <c r="Z279" s="201"/>
      <c r="AA279" s="201"/>
      <c r="AB279" s="202"/>
      <c r="AC279" s="202"/>
      <c r="AD279" s="202"/>
      <c r="AE279" s="202"/>
      <c r="AF279" s="202"/>
      <c r="AG279" s="201"/>
      <c r="AH279" s="201"/>
      <c r="AI279" s="201"/>
      <c r="AJ279" s="201"/>
      <c r="AK279" s="201"/>
      <c r="AL279" s="201"/>
      <c r="AM279" s="201"/>
      <c r="AN279" s="201"/>
      <c r="AO279" s="201"/>
      <c r="AP279" s="201"/>
      <c r="AQ279" s="201"/>
      <c r="AR279" s="201"/>
      <c r="AS279" s="201"/>
      <c r="AT279" s="201"/>
      <c r="AU279" s="201"/>
      <c r="AV279" s="201"/>
      <c r="AW279" s="201"/>
      <c r="AX279" s="201"/>
      <c r="AY279" s="201"/>
      <c r="AZ279" s="201"/>
    </row>
    <row r="280" spans="2:53">
      <c r="B280" s="35" t="s">
        <v>514</v>
      </c>
      <c r="C280" s="35"/>
      <c r="D280" s="32"/>
      <c r="E280" s="36" t="s">
        <v>511</v>
      </c>
      <c r="F280" s="37" t="s">
        <v>666</v>
      </c>
      <c r="G280" s="32"/>
      <c r="H280" s="33"/>
      <c r="I280" s="34"/>
      <c r="J280" s="35" t="s">
        <v>516</v>
      </c>
      <c r="K280" s="36" t="s">
        <v>511</v>
      </c>
      <c r="L280" s="37">
        <v>44956.930555555555</v>
      </c>
      <c r="M280" s="32"/>
      <c r="N280" s="32"/>
      <c r="O280" s="206"/>
      <c r="P280" s="205"/>
      <c r="Q280" s="202"/>
      <c r="R280" s="204"/>
      <c r="S280" s="38"/>
      <c r="T280" s="201"/>
      <c r="U280" s="201"/>
      <c r="V280" s="201"/>
      <c r="W280" s="201"/>
      <c r="X280" s="201"/>
      <c r="Y280" s="201"/>
      <c r="Z280" s="201"/>
      <c r="AA280" s="201"/>
      <c r="AB280" s="202"/>
      <c r="AC280" s="202"/>
      <c r="AD280" s="202"/>
      <c r="AE280" s="202"/>
      <c r="AF280" s="202"/>
      <c r="AG280" s="201"/>
      <c r="AH280" s="201"/>
      <c r="AI280" s="201"/>
      <c r="AJ280" s="201"/>
      <c r="AK280" s="201"/>
      <c r="AL280" s="201"/>
      <c r="AM280" s="201"/>
      <c r="AN280" s="201"/>
      <c r="AO280" s="201"/>
      <c r="AP280" s="201"/>
      <c r="AQ280" s="201"/>
      <c r="AR280" s="201"/>
      <c r="AS280" s="201"/>
      <c r="AT280" s="201"/>
      <c r="AU280" s="201"/>
      <c r="AV280" s="201"/>
      <c r="AW280" s="201"/>
      <c r="AX280" s="201"/>
      <c r="AY280" s="201"/>
      <c r="AZ280" s="201"/>
    </row>
    <row r="281" spans="2:53">
      <c r="B281" s="35" t="s">
        <v>517</v>
      </c>
      <c r="C281" s="35"/>
      <c r="D281" s="32"/>
      <c r="E281" s="36" t="s">
        <v>511</v>
      </c>
      <c r="F281" s="37">
        <v>44951.54583333333</v>
      </c>
      <c r="G281" s="32"/>
      <c r="H281" s="33"/>
      <c r="I281" s="34"/>
      <c r="J281" s="35" t="s">
        <v>518</v>
      </c>
      <c r="K281" s="36" t="s">
        <v>511</v>
      </c>
      <c r="L281" s="50">
        <v>73390</v>
      </c>
      <c r="M281" s="40" t="s">
        <v>519</v>
      </c>
      <c r="N281" s="40"/>
      <c r="O281" s="206"/>
      <c r="P281" s="205"/>
      <c r="Q281" s="202"/>
      <c r="R281" s="204"/>
      <c r="S281" s="38"/>
      <c r="T281" s="201"/>
      <c r="U281" s="201"/>
      <c r="V281" s="201"/>
      <c r="W281" s="201"/>
      <c r="X281" s="201"/>
      <c r="Y281" s="201"/>
      <c r="Z281" s="201"/>
      <c r="AA281" s="201"/>
      <c r="AB281" s="202"/>
      <c r="AC281" s="202"/>
      <c r="AD281" s="202"/>
      <c r="AE281" s="202"/>
      <c r="AF281" s="202"/>
      <c r="AG281" s="201"/>
      <c r="AH281" s="201"/>
      <c r="AI281" s="201"/>
      <c r="AJ281" s="201"/>
      <c r="AK281" s="201"/>
      <c r="AL281" s="201"/>
      <c r="AM281" s="201"/>
      <c r="AN281" s="201"/>
      <c r="AO281" s="201"/>
      <c r="AP281" s="201"/>
      <c r="AQ281" s="201"/>
      <c r="AR281" s="201"/>
      <c r="AS281" s="201"/>
      <c r="AT281" s="201"/>
      <c r="AU281" s="201"/>
      <c r="AV281" s="201"/>
      <c r="AW281" s="201"/>
      <c r="AX281" s="201"/>
      <c r="AY281" s="201"/>
      <c r="AZ281" s="201"/>
    </row>
    <row r="282" spans="2:53">
      <c r="B282" s="35" t="s">
        <v>520</v>
      </c>
      <c r="C282" s="35"/>
      <c r="D282" s="32"/>
      <c r="E282" s="36" t="s">
        <v>511</v>
      </c>
      <c r="F282" s="37" t="s">
        <v>4</v>
      </c>
      <c r="G282" s="32"/>
      <c r="H282" s="33"/>
      <c r="I282" s="34"/>
      <c r="J282" s="35" t="s">
        <v>521</v>
      </c>
      <c r="K282" s="36" t="s">
        <v>511</v>
      </c>
      <c r="L282" s="41" t="s">
        <v>667</v>
      </c>
      <c r="M282" s="32"/>
      <c r="N282" s="32"/>
      <c r="O282" s="206"/>
      <c r="P282" s="202"/>
      <c r="Q282" s="202"/>
      <c r="R282" s="204"/>
      <c r="S282" s="38"/>
      <c r="T282" s="201"/>
      <c r="U282" s="201"/>
      <c r="V282" s="201"/>
      <c r="W282" s="201"/>
      <c r="X282" s="201"/>
      <c r="Y282" s="201"/>
      <c r="Z282" s="201"/>
      <c r="AA282" s="201"/>
      <c r="AB282" s="202"/>
      <c r="AC282" s="202"/>
      <c r="AD282" s="202"/>
      <c r="AE282" s="202"/>
      <c r="AF282" s="202"/>
      <c r="AG282" s="201"/>
      <c r="AH282" s="201"/>
      <c r="AI282" s="201"/>
      <c r="AJ282" s="201"/>
      <c r="AK282" s="201"/>
      <c r="AL282" s="201"/>
      <c r="AM282" s="201"/>
      <c r="AN282" s="201"/>
      <c r="AO282" s="201"/>
      <c r="AP282" s="201"/>
      <c r="AQ282" s="201"/>
      <c r="AR282" s="201"/>
      <c r="AS282" s="201"/>
      <c r="AT282" s="201"/>
      <c r="AU282" s="201"/>
      <c r="AV282" s="201"/>
      <c r="AW282" s="201"/>
      <c r="AX282" s="201"/>
      <c r="AY282" s="201"/>
      <c r="AZ282" s="201"/>
    </row>
    <row r="283" spans="2:53">
      <c r="B283" s="35" t="s">
        <v>523</v>
      </c>
      <c r="C283" s="35"/>
      <c r="D283" s="32"/>
      <c r="E283" s="36" t="s">
        <v>511</v>
      </c>
      <c r="F283" s="37" t="s">
        <v>5</v>
      </c>
      <c r="G283" s="32"/>
      <c r="H283" s="33"/>
      <c r="I283" s="34"/>
      <c r="J283" s="42" t="s">
        <v>524</v>
      </c>
      <c r="K283" s="36" t="s">
        <v>511</v>
      </c>
      <c r="L283" s="43" t="s">
        <v>15</v>
      </c>
      <c r="M283" s="44"/>
      <c r="N283" s="44"/>
      <c r="O283" s="206"/>
      <c r="P283" s="205"/>
      <c r="Q283" s="202"/>
      <c r="R283" s="204"/>
      <c r="S283" s="38"/>
      <c r="T283" s="201"/>
      <c r="U283" s="201"/>
      <c r="V283" s="201"/>
      <c r="W283" s="201"/>
      <c r="X283" s="201"/>
      <c r="Y283" s="201"/>
      <c r="Z283" s="201"/>
      <c r="AA283" s="201"/>
      <c r="AB283" s="202"/>
      <c r="AC283" s="202"/>
      <c r="AD283" s="202"/>
      <c r="AE283" s="202"/>
      <c r="AF283" s="202"/>
      <c r="AG283" s="201"/>
      <c r="AH283" s="201"/>
      <c r="AI283" s="201"/>
      <c r="AJ283" s="201"/>
      <c r="AK283" s="201"/>
      <c r="AL283" s="201"/>
      <c r="AM283" s="201"/>
      <c r="AN283" s="201"/>
      <c r="AO283" s="201"/>
      <c r="AP283" s="201"/>
      <c r="AQ283" s="201"/>
      <c r="AR283" s="201"/>
      <c r="AS283" s="201"/>
      <c r="AT283" s="201"/>
      <c r="AU283" s="201"/>
      <c r="AV283" s="201"/>
      <c r="AW283" s="201"/>
      <c r="AX283" s="201"/>
      <c r="AY283" s="201"/>
      <c r="AZ283" s="201"/>
    </row>
    <row r="284" spans="2:53">
      <c r="B284" s="35" t="s">
        <v>2</v>
      </c>
      <c r="C284" s="35"/>
      <c r="D284" s="32"/>
      <c r="E284" s="36" t="s">
        <v>511</v>
      </c>
      <c r="F284" s="37" t="s">
        <v>6</v>
      </c>
      <c r="G284" s="32"/>
      <c r="H284" s="33"/>
      <c r="I284" s="45"/>
      <c r="J284" s="42"/>
      <c r="K284" s="36"/>
      <c r="L284" s="211"/>
      <c r="M284" s="201"/>
      <c r="N284" s="201"/>
      <c r="O284" s="42"/>
      <c r="P284" s="44"/>
      <c r="Q284" s="44"/>
      <c r="R284" s="44"/>
      <c r="S284" s="34"/>
      <c r="T284" s="201"/>
      <c r="U284" s="201"/>
      <c r="V284" s="201"/>
      <c r="W284" s="201"/>
      <c r="X284" s="201"/>
      <c r="Y284" s="201"/>
      <c r="Z284" s="201"/>
      <c r="AA284" s="201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201"/>
      <c r="AP284" s="201"/>
      <c r="AQ284" s="201"/>
      <c r="AR284" s="201"/>
      <c r="AS284" s="201"/>
      <c r="AT284" s="201"/>
      <c r="AU284" s="201"/>
      <c r="AV284" s="201"/>
      <c r="AW284" s="201"/>
      <c r="AX284" s="201"/>
      <c r="AY284" s="201"/>
      <c r="AZ284" s="201"/>
    </row>
    <row r="285" spans="2:53">
      <c r="B285" s="201"/>
      <c r="C285" s="201"/>
      <c r="D285" s="201"/>
      <c r="E285" s="201"/>
      <c r="F285" s="201"/>
      <c r="G285" s="201"/>
      <c r="H285" s="201"/>
      <c r="I285" s="45"/>
      <c r="J285" s="42"/>
      <c r="K285" s="42"/>
      <c r="L285" s="43"/>
      <c r="M285" s="44"/>
      <c r="N285" s="44"/>
      <c r="O285" s="42"/>
      <c r="P285" s="44"/>
      <c r="Q285" s="44"/>
      <c r="R285" s="44"/>
      <c r="S285" s="34"/>
      <c r="T285" s="1265" t="s">
        <v>87</v>
      </c>
      <c r="U285" s="1265"/>
      <c r="V285" s="1265"/>
      <c r="W285" s="1265"/>
      <c r="X285" s="1265"/>
      <c r="Y285" s="1265" t="s">
        <v>73</v>
      </c>
      <c r="Z285" s="1265"/>
      <c r="AA285" s="1265"/>
      <c r="AB285" s="1265" t="s">
        <v>74</v>
      </c>
      <c r="AC285" s="1265"/>
      <c r="AD285" s="423" t="s">
        <v>85</v>
      </c>
      <c r="AE285" s="423" t="s">
        <v>77</v>
      </c>
      <c r="AF285" s="1265" t="s">
        <v>525</v>
      </c>
      <c r="AG285" s="1265"/>
      <c r="AH285" s="1265"/>
      <c r="AI285" s="1265"/>
      <c r="AJ285" s="1265"/>
      <c r="AK285" s="1265"/>
      <c r="AL285" s="1265"/>
      <c r="AM285" s="1265"/>
      <c r="AN285" s="1265"/>
      <c r="AO285" s="1265"/>
      <c r="AP285" s="1265"/>
      <c r="AQ285" s="1265"/>
      <c r="AR285" s="1265"/>
      <c r="AS285" s="1265"/>
      <c r="AT285" s="1265"/>
      <c r="AU285" s="1265"/>
      <c r="AV285" s="1265"/>
      <c r="AW285" s="1265"/>
      <c r="AX285" s="1265"/>
      <c r="AY285" s="1265"/>
      <c r="AZ285" s="201"/>
    </row>
    <row r="286" spans="2:53">
      <c r="B286" s="1266" t="s">
        <v>526</v>
      </c>
      <c r="C286" s="1267"/>
      <c r="D286" s="570" t="s">
        <v>527</v>
      </c>
      <c r="E286" s="570"/>
      <c r="F286" s="570" t="s">
        <v>528</v>
      </c>
      <c r="G286" s="570" t="s">
        <v>529</v>
      </c>
      <c r="H286" s="570" t="s">
        <v>530</v>
      </c>
      <c r="I286" s="570" t="s">
        <v>531</v>
      </c>
      <c r="J286" s="570" t="s">
        <v>532</v>
      </c>
      <c r="K286" s="570"/>
      <c r="L286" s="570" t="s">
        <v>130</v>
      </c>
      <c r="M286" s="570" t="s">
        <v>533</v>
      </c>
      <c r="N286" s="408" t="str">
        <f>"On time - "&amp;COUNTIF(N287:N313,"On time")&amp;" from "&amp;ROWS(N287:N313)-COUNTIF(N287:N313," ")</f>
        <v>On time - 10 from 11</v>
      </c>
      <c r="O286" s="46"/>
      <c r="P286" s="409" t="s">
        <v>534</v>
      </c>
      <c r="Q286" s="409" t="s">
        <v>535</v>
      </c>
      <c r="R286" s="409" t="s">
        <v>536</v>
      </c>
      <c r="S286" s="32"/>
      <c r="T286" s="424" t="s">
        <v>537</v>
      </c>
      <c r="U286" s="424" t="s">
        <v>538</v>
      </c>
      <c r="V286" s="424" t="s">
        <v>539</v>
      </c>
      <c r="W286" s="424" t="s">
        <v>540</v>
      </c>
      <c r="X286" s="424" t="s">
        <v>541</v>
      </c>
      <c r="Y286" s="424" t="s">
        <v>167</v>
      </c>
      <c r="Z286" s="424" t="s">
        <v>168</v>
      </c>
      <c r="AA286" s="424" t="s">
        <v>169</v>
      </c>
      <c r="AB286" s="424" t="s">
        <v>235</v>
      </c>
      <c r="AC286" s="424" t="s">
        <v>542</v>
      </c>
      <c r="AD286" s="423" t="s">
        <v>85</v>
      </c>
      <c r="AE286" s="424" t="s">
        <v>139</v>
      </c>
      <c r="AF286" s="424" t="s">
        <v>72</v>
      </c>
      <c r="AG286" s="424" t="s">
        <v>88</v>
      </c>
      <c r="AH286" s="424" t="s">
        <v>75</v>
      </c>
      <c r="AI286" s="424" t="s">
        <v>543</v>
      </c>
      <c r="AJ286" s="424" t="s">
        <v>78</v>
      </c>
      <c r="AK286" s="424" t="s">
        <v>76</v>
      </c>
      <c r="AL286" s="424" t="s">
        <v>544</v>
      </c>
      <c r="AM286" s="424" t="s">
        <v>545</v>
      </c>
      <c r="AN286" s="424" t="s">
        <v>86</v>
      </c>
      <c r="AO286" s="424" t="s">
        <v>83</v>
      </c>
      <c r="AP286" s="424" t="s">
        <v>84</v>
      </c>
      <c r="AQ286" s="424" t="s">
        <v>546</v>
      </c>
      <c r="AR286" s="424" t="s">
        <v>81</v>
      </c>
      <c r="AS286" s="424" t="s">
        <v>80</v>
      </c>
      <c r="AT286" s="424" t="s">
        <v>82</v>
      </c>
      <c r="AU286" s="424" t="s">
        <v>181</v>
      </c>
      <c r="AV286" s="424" t="s">
        <v>183</v>
      </c>
      <c r="AW286" s="424" t="s">
        <v>547</v>
      </c>
      <c r="AX286" s="424" t="s">
        <v>182</v>
      </c>
      <c r="AY286" s="424" t="s">
        <v>172</v>
      </c>
      <c r="AZ286" s="201"/>
    </row>
    <row r="287" spans="2:53">
      <c r="B287" s="1256" t="s">
        <v>616</v>
      </c>
      <c r="C287" s="1257"/>
      <c r="D287" s="411" t="s">
        <v>503</v>
      </c>
      <c r="E287" s="411"/>
      <c r="F287" s="411" t="s">
        <v>437</v>
      </c>
      <c r="G287" s="411" t="s">
        <v>438</v>
      </c>
      <c r="H287" s="412">
        <v>7502.1880000000001</v>
      </c>
      <c r="I287" s="413" t="s">
        <v>494</v>
      </c>
      <c r="J287" s="414">
        <v>44950.840277777781</v>
      </c>
      <c r="K287" s="414"/>
      <c r="L287" s="414" t="s">
        <v>192</v>
      </c>
      <c r="M287" s="414" t="s">
        <v>192</v>
      </c>
      <c r="N287" s="413" t="str">
        <f>IF(ISBLANK(J287)," ",IF(J287&lt;$F$281,"On time",(IF(DAY(J287-$F$281)&lt;1,"On time",(IF(J287&gt;$F$281,"DELAY ( "&amp;DAY(J287-$F$281)&amp;" day "&amp;HOUR(J287-$F$281)&amp;" hour "&amp;MINUTE(J287-$F$281)&amp;" minute )","xxx"))))))</f>
        <v>On time</v>
      </c>
      <c r="O287" s="51"/>
      <c r="P287" s="415" t="s">
        <v>551</v>
      </c>
      <c r="Q287" s="415" t="s">
        <v>551</v>
      </c>
      <c r="R287" s="415" t="s">
        <v>551</v>
      </c>
      <c r="S287" s="32"/>
      <c r="T287" s="416"/>
      <c r="U287" s="416"/>
      <c r="V287" s="416"/>
      <c r="W287" s="416"/>
      <c r="X287" s="416"/>
      <c r="Y287" s="416">
        <f>H287</f>
        <v>7502.1880000000001</v>
      </c>
      <c r="Z287" s="416"/>
      <c r="AA287" s="416"/>
      <c r="AB287" s="416"/>
      <c r="AC287" s="416"/>
      <c r="AD287" s="416"/>
      <c r="AE287" s="416"/>
      <c r="AF287" s="416"/>
      <c r="AG287" s="416"/>
      <c r="AH287" s="416"/>
      <c r="AI287" s="416"/>
      <c r="AJ287" s="416"/>
      <c r="AK287" s="416"/>
      <c r="AL287" s="416"/>
      <c r="AM287" s="416"/>
      <c r="AN287" s="416"/>
      <c r="AO287" s="416"/>
      <c r="AP287" s="416"/>
      <c r="AQ287" s="416"/>
      <c r="AR287" s="416"/>
      <c r="AS287" s="416"/>
      <c r="AT287" s="416"/>
      <c r="AU287" s="416"/>
      <c r="AV287" s="416"/>
      <c r="AW287" s="416"/>
      <c r="AX287" s="416"/>
      <c r="AY287" s="416"/>
      <c r="AZ287" s="32"/>
    </row>
    <row r="288" spans="2:53">
      <c r="B288" s="1256" t="s">
        <v>668</v>
      </c>
      <c r="C288" s="1257"/>
      <c r="D288" s="411" t="s">
        <v>504</v>
      </c>
      <c r="E288" s="411"/>
      <c r="F288" s="411" t="s">
        <v>505</v>
      </c>
      <c r="G288" s="411" t="s">
        <v>506</v>
      </c>
      <c r="H288" s="412">
        <v>7311.56</v>
      </c>
      <c r="I288" s="413" t="s">
        <v>494</v>
      </c>
      <c r="J288" s="414">
        <v>44950.854166666664</v>
      </c>
      <c r="K288" s="414"/>
      <c r="L288" s="414" t="s">
        <v>192</v>
      </c>
      <c r="M288" s="414" t="s">
        <v>192</v>
      </c>
      <c r="N288" s="413" t="str">
        <f t="shared" ref="N288:N316" si="21">IF(ISBLANK(J288)," ",IF(J288&lt;$F$281,"On time",(IF(DAY(J288-$F$281)&lt;1,"On time",(IF(J288&gt;$F$281,"DELAY ( "&amp;DAY(J288-$F$281)&amp;" day "&amp;HOUR(J288-$F$281)&amp;" hour "&amp;MINUTE(J288-$F$281)&amp;" minute )","xxx"))))))</f>
        <v>On time</v>
      </c>
      <c r="O288" s="51"/>
      <c r="P288" s="415" t="s">
        <v>551</v>
      </c>
      <c r="Q288" s="415" t="s">
        <v>551</v>
      </c>
      <c r="R288" s="415" t="s">
        <v>551</v>
      </c>
      <c r="S288" s="32"/>
      <c r="T288" s="416"/>
      <c r="U288" s="416"/>
      <c r="V288" s="416"/>
      <c r="W288" s="416"/>
      <c r="X288" s="416"/>
      <c r="Y288" s="416">
        <f>H288</f>
        <v>7311.56</v>
      </c>
      <c r="Z288" s="416"/>
      <c r="AA288" s="416"/>
      <c r="AB288" s="416"/>
      <c r="AC288" s="416"/>
      <c r="AD288" s="416"/>
      <c r="AE288" s="416"/>
      <c r="AF288" s="416"/>
      <c r="AG288" s="416"/>
      <c r="AH288" s="416"/>
      <c r="AI288" s="416"/>
      <c r="AJ288" s="416"/>
      <c r="AK288" s="416"/>
      <c r="AL288" s="416"/>
      <c r="AM288" s="416"/>
      <c r="AN288" s="416"/>
      <c r="AO288" s="416"/>
      <c r="AP288" s="416"/>
      <c r="AQ288" s="416"/>
      <c r="AR288" s="416"/>
      <c r="AS288" s="416"/>
      <c r="AT288" s="416"/>
      <c r="AU288" s="416"/>
      <c r="AV288" s="416"/>
      <c r="AW288" s="416"/>
      <c r="AX288" s="416"/>
      <c r="AY288" s="416"/>
      <c r="AZ288" s="32"/>
    </row>
    <row r="289" spans="2:52">
      <c r="B289" s="1256" t="s">
        <v>616</v>
      </c>
      <c r="C289" s="1257"/>
      <c r="D289" s="411" t="s">
        <v>491</v>
      </c>
      <c r="E289" s="411"/>
      <c r="F289" s="411" t="s">
        <v>492</v>
      </c>
      <c r="G289" s="411" t="s">
        <v>493</v>
      </c>
      <c r="H289" s="412">
        <v>7218.3879999999999</v>
      </c>
      <c r="I289" s="413" t="s">
        <v>494</v>
      </c>
      <c r="J289" s="414">
        <v>44950.84375</v>
      </c>
      <c r="K289" s="414"/>
      <c r="L289" s="414" t="s">
        <v>192</v>
      </c>
      <c r="M289" s="414" t="s">
        <v>192</v>
      </c>
      <c r="N289" s="413" t="str">
        <f t="shared" si="21"/>
        <v>On time</v>
      </c>
      <c r="O289" s="51"/>
      <c r="P289" s="415" t="s">
        <v>551</v>
      </c>
      <c r="Q289" s="415" t="s">
        <v>551</v>
      </c>
      <c r="R289" s="415" t="s">
        <v>551</v>
      </c>
      <c r="S289" s="32"/>
      <c r="T289" s="416"/>
      <c r="U289" s="416"/>
      <c r="V289" s="416"/>
      <c r="W289" s="416"/>
      <c r="X289" s="416"/>
      <c r="Y289" s="416">
        <f>H289</f>
        <v>7218.3879999999999</v>
      </c>
      <c r="Z289" s="416"/>
      <c r="AA289" s="416"/>
      <c r="AB289" s="416"/>
      <c r="AC289" s="416"/>
      <c r="AD289" s="416"/>
      <c r="AE289" s="416"/>
      <c r="AF289" s="416"/>
      <c r="AG289" s="416"/>
      <c r="AH289" s="416"/>
      <c r="AI289" s="416"/>
      <c r="AJ289" s="416"/>
      <c r="AK289" s="416"/>
      <c r="AL289" s="416"/>
      <c r="AM289" s="416"/>
      <c r="AN289" s="416"/>
      <c r="AO289" s="416"/>
      <c r="AP289" s="416"/>
      <c r="AQ289" s="416"/>
      <c r="AR289" s="416"/>
      <c r="AS289" s="416"/>
      <c r="AT289" s="416"/>
      <c r="AU289" s="416"/>
      <c r="AV289" s="416"/>
      <c r="AW289" s="416"/>
      <c r="AX289" s="416"/>
      <c r="AY289" s="416"/>
      <c r="AZ289" s="32"/>
    </row>
    <row r="290" spans="2:52">
      <c r="B290" s="1258" t="s">
        <v>618</v>
      </c>
      <c r="C290" s="1259"/>
      <c r="D290" s="1259"/>
      <c r="E290" s="1259"/>
      <c r="F290" s="1259"/>
      <c r="G290" s="1260"/>
      <c r="H290" s="417">
        <f>SUM(H287:H289)</f>
        <v>22032.135999999999</v>
      </c>
      <c r="I290" s="390"/>
      <c r="J290" s="366"/>
      <c r="K290" s="366"/>
      <c r="L290" s="366"/>
      <c r="M290" s="391"/>
      <c r="N290" s="413" t="str">
        <f t="shared" si="21"/>
        <v xml:space="preserve"> </v>
      </c>
      <c r="O290" s="212"/>
      <c r="P290" s="427"/>
      <c r="Q290" s="427"/>
      <c r="R290" s="427"/>
      <c r="S290" s="207"/>
      <c r="T290" s="428"/>
      <c r="U290" s="428"/>
      <c r="V290" s="428"/>
      <c r="W290" s="428"/>
      <c r="X290" s="428"/>
      <c r="Y290" s="428"/>
      <c r="Z290" s="428"/>
      <c r="AA290" s="428"/>
      <c r="AB290" s="428"/>
      <c r="AC290" s="429"/>
      <c r="AD290" s="429"/>
      <c r="AE290" s="428"/>
      <c r="AF290" s="428"/>
      <c r="AG290" s="428"/>
      <c r="AH290" s="428"/>
      <c r="AI290" s="428"/>
      <c r="AJ290" s="428"/>
      <c r="AK290" s="428"/>
      <c r="AL290" s="428"/>
      <c r="AM290" s="428"/>
      <c r="AN290" s="428"/>
      <c r="AO290" s="428"/>
      <c r="AP290" s="428"/>
      <c r="AQ290" s="428"/>
      <c r="AR290" s="428"/>
      <c r="AS290" s="428"/>
      <c r="AT290" s="428"/>
      <c r="AU290" s="428"/>
      <c r="AV290" s="428"/>
      <c r="AW290" s="428"/>
      <c r="AX290" s="428"/>
      <c r="AY290" s="428"/>
    </row>
    <row r="291" spans="2:52">
      <c r="B291" s="1250" t="s">
        <v>619</v>
      </c>
      <c r="C291" s="1251"/>
      <c r="D291" s="411" t="s">
        <v>345</v>
      </c>
      <c r="E291" s="411"/>
      <c r="F291" s="411" t="s">
        <v>346</v>
      </c>
      <c r="G291" s="411" t="s">
        <v>347</v>
      </c>
      <c r="H291" s="412">
        <v>7294.8969999999999</v>
      </c>
      <c r="I291" s="413" t="s">
        <v>336</v>
      </c>
      <c r="J291" s="414">
        <v>44949.975694444445</v>
      </c>
      <c r="K291" s="414"/>
      <c r="L291" s="414" t="s">
        <v>192</v>
      </c>
      <c r="M291" s="414" t="s">
        <v>192</v>
      </c>
      <c r="N291" s="413" t="str">
        <f t="shared" si="21"/>
        <v>On time</v>
      </c>
      <c r="O291" s="51"/>
      <c r="P291" s="415" t="s">
        <v>551</v>
      </c>
      <c r="Q291" s="415" t="s">
        <v>551</v>
      </c>
      <c r="R291" s="415" t="s">
        <v>551</v>
      </c>
      <c r="S291" s="32"/>
      <c r="T291" s="416"/>
      <c r="U291" s="416"/>
      <c r="V291" s="416"/>
      <c r="W291" s="416"/>
      <c r="X291" s="416"/>
      <c r="Y291" s="416"/>
      <c r="Z291" s="416"/>
      <c r="AA291" s="416"/>
      <c r="AB291" s="416">
        <f>H291*0.35</f>
        <v>2553.2139499999998</v>
      </c>
      <c r="AC291" s="416">
        <f>H291*0.65</f>
        <v>4741.6830500000005</v>
      </c>
      <c r="AD291" s="416"/>
      <c r="AE291" s="416"/>
      <c r="AF291" s="416"/>
      <c r="AG291" s="416"/>
      <c r="AH291" s="416"/>
      <c r="AI291" s="416"/>
      <c r="AJ291" s="416"/>
      <c r="AK291" s="416"/>
      <c r="AL291" s="416"/>
      <c r="AM291" s="416"/>
      <c r="AN291" s="416"/>
      <c r="AO291" s="416"/>
      <c r="AP291" s="416"/>
      <c r="AQ291" s="416"/>
      <c r="AR291" s="416"/>
      <c r="AS291" s="416"/>
      <c r="AT291" s="416"/>
      <c r="AU291" s="416"/>
      <c r="AV291" s="416"/>
      <c r="AW291" s="416"/>
      <c r="AX291" s="416"/>
      <c r="AY291" s="416"/>
      <c r="AZ291" s="32"/>
    </row>
    <row r="292" spans="2:52">
      <c r="B292" s="1252"/>
      <c r="C292" s="1253"/>
      <c r="D292" s="411"/>
      <c r="E292" s="411"/>
      <c r="F292" s="1256" t="s">
        <v>668</v>
      </c>
      <c r="G292" s="1257"/>
      <c r="H292" s="412">
        <v>1000</v>
      </c>
      <c r="I292" s="413"/>
      <c r="J292" s="414"/>
      <c r="K292" s="414"/>
      <c r="L292" s="414"/>
      <c r="M292" s="414"/>
      <c r="N292" s="413" t="str">
        <f t="shared" si="21"/>
        <v xml:space="preserve"> </v>
      </c>
      <c r="O292" s="51"/>
      <c r="P292" s="415"/>
      <c r="Q292" s="415"/>
      <c r="R292" s="415"/>
      <c r="S292" s="32"/>
      <c r="T292" s="416"/>
      <c r="U292" s="416"/>
      <c r="V292" s="416"/>
      <c r="W292" s="416"/>
      <c r="X292" s="416"/>
      <c r="Y292" s="416"/>
      <c r="Z292" s="416"/>
      <c r="AA292" s="416"/>
      <c r="AB292" s="416"/>
      <c r="AC292" s="416"/>
      <c r="AD292" s="416"/>
      <c r="AE292" s="416"/>
      <c r="AF292" s="416"/>
      <c r="AG292" s="416"/>
      <c r="AH292" s="416"/>
      <c r="AI292" s="416"/>
      <c r="AJ292" s="416"/>
      <c r="AK292" s="416"/>
      <c r="AL292" s="416"/>
      <c r="AM292" s="416"/>
      <c r="AN292" s="416"/>
      <c r="AO292" s="416"/>
      <c r="AP292" s="416"/>
      <c r="AQ292" s="416"/>
      <c r="AR292" s="416"/>
      <c r="AS292" s="416"/>
      <c r="AT292" s="416"/>
      <c r="AU292" s="416"/>
      <c r="AV292" s="416"/>
      <c r="AW292" s="416"/>
      <c r="AX292" s="416"/>
      <c r="AY292" s="416"/>
      <c r="AZ292" s="32"/>
    </row>
    <row r="293" spans="2:52">
      <c r="B293" s="1254"/>
      <c r="C293" s="1255"/>
      <c r="D293" s="411"/>
      <c r="E293" s="411"/>
      <c r="F293" s="1256" t="s">
        <v>616</v>
      </c>
      <c r="G293" s="1257"/>
      <c r="H293" s="412">
        <v>3000</v>
      </c>
      <c r="I293" s="413"/>
      <c r="J293" s="414"/>
      <c r="K293" s="414"/>
      <c r="L293" s="414"/>
      <c r="M293" s="414"/>
      <c r="N293" s="413" t="str">
        <f t="shared" si="21"/>
        <v xml:space="preserve"> </v>
      </c>
      <c r="O293" s="51"/>
      <c r="P293" s="415"/>
      <c r="Q293" s="415"/>
      <c r="R293" s="415"/>
      <c r="S293" s="32"/>
      <c r="T293" s="416"/>
      <c r="U293" s="416"/>
      <c r="V293" s="416"/>
      <c r="W293" s="416"/>
      <c r="X293" s="416"/>
      <c r="Y293" s="416"/>
      <c r="Z293" s="416"/>
      <c r="AA293" s="416"/>
      <c r="AB293" s="416"/>
      <c r="AC293" s="416"/>
      <c r="AD293" s="416"/>
      <c r="AE293" s="416"/>
      <c r="AF293" s="416"/>
      <c r="AG293" s="416"/>
      <c r="AH293" s="416"/>
      <c r="AI293" s="416"/>
      <c r="AJ293" s="416"/>
      <c r="AK293" s="416"/>
      <c r="AL293" s="416"/>
      <c r="AM293" s="416"/>
      <c r="AN293" s="416"/>
      <c r="AO293" s="416"/>
      <c r="AP293" s="416"/>
      <c r="AQ293" s="416"/>
      <c r="AR293" s="416"/>
      <c r="AS293" s="416"/>
      <c r="AT293" s="416"/>
      <c r="AU293" s="416"/>
      <c r="AV293" s="416"/>
      <c r="AW293" s="416"/>
      <c r="AX293" s="416"/>
      <c r="AY293" s="416"/>
      <c r="AZ293" s="32"/>
    </row>
    <row r="294" spans="2:52">
      <c r="B294" s="1250" t="s">
        <v>621</v>
      </c>
      <c r="C294" s="1251"/>
      <c r="D294" s="411" t="s">
        <v>360</v>
      </c>
      <c r="E294" s="411"/>
      <c r="F294" s="411" t="s">
        <v>361</v>
      </c>
      <c r="G294" s="411" t="s">
        <v>362</v>
      </c>
      <c r="H294" s="412">
        <v>7138.6480000000001</v>
      </c>
      <c r="I294" s="413" t="s">
        <v>336</v>
      </c>
      <c r="J294" s="414">
        <v>44950.375</v>
      </c>
      <c r="K294" s="414"/>
      <c r="L294" s="414" t="s">
        <v>192</v>
      </c>
      <c r="M294" s="414" t="s">
        <v>192</v>
      </c>
      <c r="N294" s="413" t="str">
        <f t="shared" si="21"/>
        <v>On time</v>
      </c>
      <c r="O294" s="51"/>
      <c r="P294" s="415" t="s">
        <v>551</v>
      </c>
      <c r="Q294" s="415" t="s">
        <v>551</v>
      </c>
      <c r="R294" s="415" t="s">
        <v>551</v>
      </c>
      <c r="S294" s="32"/>
      <c r="T294" s="416"/>
      <c r="U294" s="416"/>
      <c r="V294" s="416"/>
      <c r="W294" s="416"/>
      <c r="X294" s="416"/>
      <c r="Y294" s="416"/>
      <c r="Z294" s="416"/>
      <c r="AA294" s="416"/>
      <c r="AB294" s="416">
        <f>H294*0.35</f>
        <v>2498.5268000000001</v>
      </c>
      <c r="AC294" s="416">
        <f>H294*0.65</f>
        <v>4640.1212000000005</v>
      </c>
      <c r="AD294" s="416"/>
      <c r="AE294" s="416"/>
      <c r="AF294" s="416"/>
      <c r="AG294" s="416"/>
      <c r="AH294" s="416"/>
      <c r="AI294" s="416"/>
      <c r="AJ294" s="416"/>
      <c r="AK294" s="416"/>
      <c r="AL294" s="416"/>
      <c r="AM294" s="416"/>
      <c r="AN294" s="416"/>
      <c r="AO294" s="416"/>
      <c r="AP294" s="416"/>
      <c r="AQ294" s="416"/>
      <c r="AR294" s="416"/>
      <c r="AS294" s="416"/>
      <c r="AT294" s="416"/>
      <c r="AU294" s="416"/>
      <c r="AV294" s="416"/>
      <c r="AW294" s="416"/>
      <c r="AX294" s="416"/>
      <c r="AY294" s="416"/>
      <c r="AZ294" s="32"/>
    </row>
    <row r="295" spans="2:52">
      <c r="B295" s="1252"/>
      <c r="C295" s="1253"/>
      <c r="D295" s="411"/>
      <c r="E295" s="411"/>
      <c r="F295" s="1256" t="s">
        <v>668</v>
      </c>
      <c r="G295" s="1257"/>
      <c r="H295" s="412">
        <v>1000</v>
      </c>
      <c r="I295" s="413"/>
      <c r="J295" s="414"/>
      <c r="K295" s="414"/>
      <c r="L295" s="414"/>
      <c r="M295" s="414"/>
      <c r="N295" s="413" t="str">
        <f t="shared" si="21"/>
        <v xml:space="preserve"> </v>
      </c>
      <c r="O295" s="51"/>
      <c r="P295" s="415"/>
      <c r="Q295" s="415"/>
      <c r="R295" s="415"/>
      <c r="S295" s="32"/>
      <c r="T295" s="416"/>
      <c r="U295" s="416"/>
      <c r="V295" s="416"/>
      <c r="W295" s="416"/>
      <c r="X295" s="416"/>
      <c r="Y295" s="416"/>
      <c r="Z295" s="416"/>
      <c r="AA295" s="416"/>
      <c r="AB295" s="416"/>
      <c r="AC295" s="416"/>
      <c r="AD295" s="416"/>
      <c r="AE295" s="416"/>
      <c r="AF295" s="416"/>
      <c r="AG295" s="416"/>
      <c r="AH295" s="416"/>
      <c r="AI295" s="416"/>
      <c r="AJ295" s="416"/>
      <c r="AK295" s="416"/>
      <c r="AL295" s="416"/>
      <c r="AM295" s="416"/>
      <c r="AN295" s="416"/>
      <c r="AO295" s="416"/>
      <c r="AP295" s="416"/>
      <c r="AQ295" s="416"/>
      <c r="AR295" s="416"/>
      <c r="AS295" s="416"/>
      <c r="AT295" s="416"/>
      <c r="AU295" s="416"/>
      <c r="AV295" s="416"/>
      <c r="AW295" s="416"/>
      <c r="AX295" s="416"/>
      <c r="AY295" s="416"/>
      <c r="AZ295" s="32"/>
    </row>
    <row r="296" spans="2:52">
      <c r="B296" s="1254"/>
      <c r="C296" s="1255"/>
      <c r="D296" s="411"/>
      <c r="E296" s="411"/>
      <c r="F296" s="1256" t="s">
        <v>616</v>
      </c>
      <c r="G296" s="1257"/>
      <c r="H296" s="412">
        <v>3000</v>
      </c>
      <c r="I296" s="413"/>
      <c r="J296" s="414"/>
      <c r="K296" s="414"/>
      <c r="L296" s="414"/>
      <c r="M296" s="414"/>
      <c r="N296" s="413" t="str">
        <f t="shared" si="21"/>
        <v xml:space="preserve"> </v>
      </c>
      <c r="O296" s="51"/>
      <c r="P296" s="415"/>
      <c r="Q296" s="415"/>
      <c r="R296" s="415"/>
      <c r="S296" s="32"/>
      <c r="T296" s="416"/>
      <c r="U296" s="416"/>
      <c r="V296" s="416"/>
      <c r="W296" s="416"/>
      <c r="X296" s="416"/>
      <c r="Y296" s="416"/>
      <c r="Z296" s="416"/>
      <c r="AA296" s="416"/>
      <c r="AB296" s="416"/>
      <c r="AC296" s="416"/>
      <c r="AD296" s="416"/>
      <c r="AE296" s="416"/>
      <c r="AF296" s="416"/>
      <c r="AG296" s="416"/>
      <c r="AH296" s="416"/>
      <c r="AI296" s="416"/>
      <c r="AJ296" s="416"/>
      <c r="AK296" s="416"/>
      <c r="AL296" s="416"/>
      <c r="AM296" s="416"/>
      <c r="AN296" s="416"/>
      <c r="AO296" s="416"/>
      <c r="AP296" s="416"/>
      <c r="AQ296" s="416"/>
      <c r="AR296" s="416"/>
      <c r="AS296" s="416"/>
      <c r="AT296" s="416"/>
      <c r="AU296" s="416"/>
      <c r="AV296" s="416"/>
      <c r="AW296" s="416"/>
      <c r="AX296" s="416"/>
      <c r="AY296" s="416"/>
      <c r="AZ296" s="32"/>
    </row>
    <row r="297" spans="2:52">
      <c r="B297" s="1250" t="s">
        <v>622</v>
      </c>
      <c r="C297" s="1251"/>
      <c r="D297" s="411" t="s">
        <v>357</v>
      </c>
      <c r="E297" s="411"/>
      <c r="F297" s="411" t="s">
        <v>358</v>
      </c>
      <c r="G297" s="411" t="s">
        <v>359</v>
      </c>
      <c r="H297" s="412">
        <v>7607.6549999999997</v>
      </c>
      <c r="I297" s="413" t="s">
        <v>336</v>
      </c>
      <c r="J297" s="414">
        <v>44950.840277777781</v>
      </c>
      <c r="K297" s="414"/>
      <c r="L297" s="414" t="s">
        <v>192</v>
      </c>
      <c r="M297" s="414" t="s">
        <v>192</v>
      </c>
      <c r="N297" s="413" t="str">
        <f t="shared" si="21"/>
        <v>On time</v>
      </c>
      <c r="O297" s="51"/>
      <c r="P297" s="415" t="s">
        <v>551</v>
      </c>
      <c r="Q297" s="415" t="s">
        <v>551</v>
      </c>
      <c r="R297" s="415" t="s">
        <v>551</v>
      </c>
      <c r="S297" s="32"/>
      <c r="T297" s="416"/>
      <c r="U297" s="416"/>
      <c r="V297" s="416"/>
      <c r="W297" s="416"/>
      <c r="X297" s="416"/>
      <c r="Y297" s="416"/>
      <c r="Z297" s="416"/>
      <c r="AA297" s="416"/>
      <c r="AB297" s="416">
        <f>H297*0.35</f>
        <v>2662.6792499999997</v>
      </c>
      <c r="AC297" s="416">
        <f>H297*0.65</f>
        <v>4944.9757499999996</v>
      </c>
      <c r="AD297" s="416"/>
      <c r="AE297" s="416"/>
      <c r="AF297" s="416"/>
      <c r="AG297" s="416"/>
      <c r="AH297" s="416"/>
      <c r="AI297" s="416"/>
      <c r="AJ297" s="416"/>
      <c r="AK297" s="416"/>
      <c r="AL297" s="416"/>
      <c r="AM297" s="416"/>
      <c r="AN297" s="416"/>
      <c r="AO297" s="416"/>
      <c r="AP297" s="416"/>
      <c r="AQ297" s="416"/>
      <c r="AR297" s="416"/>
      <c r="AS297" s="416"/>
      <c r="AT297" s="416"/>
      <c r="AU297" s="416"/>
      <c r="AV297" s="416"/>
      <c r="AW297" s="416"/>
      <c r="AX297" s="416"/>
      <c r="AY297" s="416"/>
      <c r="AZ297" s="32"/>
    </row>
    <row r="298" spans="2:52">
      <c r="B298" s="1252"/>
      <c r="C298" s="1253"/>
      <c r="D298" s="411"/>
      <c r="E298" s="411"/>
      <c r="F298" s="1256" t="s">
        <v>668</v>
      </c>
      <c r="G298" s="1257"/>
      <c r="H298" s="412">
        <v>1000</v>
      </c>
      <c r="I298" s="413"/>
      <c r="J298" s="414"/>
      <c r="K298" s="414"/>
      <c r="L298" s="414"/>
      <c r="M298" s="414"/>
      <c r="N298" s="413" t="str">
        <f t="shared" si="21"/>
        <v xml:space="preserve"> </v>
      </c>
      <c r="O298" s="51"/>
      <c r="P298" s="415"/>
      <c r="Q298" s="415"/>
      <c r="R298" s="415"/>
      <c r="S298" s="32"/>
      <c r="T298" s="416"/>
      <c r="U298" s="416"/>
      <c r="V298" s="416"/>
      <c r="W298" s="416"/>
      <c r="X298" s="416"/>
      <c r="Y298" s="416"/>
      <c r="Z298" s="416"/>
      <c r="AA298" s="416"/>
      <c r="AB298" s="416"/>
      <c r="AC298" s="416"/>
      <c r="AD298" s="416"/>
      <c r="AE298" s="416"/>
      <c r="AF298" s="416"/>
      <c r="AG298" s="416"/>
      <c r="AH298" s="416"/>
      <c r="AI298" s="416"/>
      <c r="AJ298" s="416"/>
      <c r="AK298" s="416"/>
      <c r="AL298" s="416"/>
      <c r="AM298" s="416"/>
      <c r="AN298" s="416"/>
      <c r="AO298" s="416"/>
      <c r="AP298" s="416"/>
      <c r="AQ298" s="416"/>
      <c r="AR298" s="416"/>
      <c r="AS298" s="416"/>
      <c r="AT298" s="416"/>
      <c r="AU298" s="416"/>
      <c r="AV298" s="416"/>
      <c r="AW298" s="416"/>
      <c r="AX298" s="416"/>
      <c r="AY298" s="416"/>
      <c r="AZ298" s="32"/>
    </row>
    <row r="299" spans="2:52">
      <c r="B299" s="1254"/>
      <c r="C299" s="1255"/>
      <c r="D299" s="411"/>
      <c r="E299" s="411"/>
      <c r="F299" s="1256" t="s">
        <v>616</v>
      </c>
      <c r="G299" s="1257"/>
      <c r="H299" s="412">
        <v>1000</v>
      </c>
      <c r="I299" s="413"/>
      <c r="J299" s="414"/>
      <c r="K299" s="414"/>
      <c r="L299" s="414"/>
      <c r="M299" s="414"/>
      <c r="N299" s="413" t="str">
        <f t="shared" si="21"/>
        <v xml:space="preserve"> </v>
      </c>
      <c r="O299" s="51"/>
      <c r="P299" s="415"/>
      <c r="Q299" s="415"/>
      <c r="R299" s="415"/>
      <c r="S299" s="32"/>
      <c r="T299" s="416"/>
      <c r="U299" s="416"/>
      <c r="V299" s="416"/>
      <c r="W299" s="416"/>
      <c r="X299" s="416"/>
      <c r="Y299" s="416"/>
      <c r="Z299" s="416"/>
      <c r="AA299" s="416"/>
      <c r="AB299" s="416"/>
      <c r="AC299" s="416"/>
      <c r="AD299" s="416"/>
      <c r="AE299" s="416"/>
      <c r="AF299" s="416"/>
      <c r="AG299" s="416"/>
      <c r="AH299" s="416"/>
      <c r="AI299" s="416"/>
      <c r="AJ299" s="416"/>
      <c r="AK299" s="416"/>
      <c r="AL299" s="416"/>
      <c r="AM299" s="416"/>
      <c r="AN299" s="416"/>
      <c r="AO299" s="416"/>
      <c r="AP299" s="416"/>
      <c r="AQ299" s="416"/>
      <c r="AR299" s="416"/>
      <c r="AS299" s="416"/>
      <c r="AT299" s="416"/>
      <c r="AU299" s="416"/>
      <c r="AV299" s="416"/>
      <c r="AW299" s="416"/>
      <c r="AX299" s="416"/>
      <c r="AY299" s="416"/>
      <c r="AZ299" s="32"/>
    </row>
    <row r="300" spans="2:52">
      <c r="B300" s="1250" t="s">
        <v>623</v>
      </c>
      <c r="C300" s="1251"/>
      <c r="D300" s="411" t="s">
        <v>351</v>
      </c>
      <c r="E300" s="411"/>
      <c r="F300" s="411" t="s">
        <v>352</v>
      </c>
      <c r="G300" s="411" t="s">
        <v>353</v>
      </c>
      <c r="H300" s="412">
        <v>7431.5429999999997</v>
      </c>
      <c r="I300" s="413" t="s">
        <v>336</v>
      </c>
      <c r="J300" s="414">
        <v>44950.833333333336</v>
      </c>
      <c r="K300" s="414"/>
      <c r="L300" s="414" t="s">
        <v>192</v>
      </c>
      <c r="M300" s="414" t="s">
        <v>192</v>
      </c>
      <c r="N300" s="413" t="str">
        <f t="shared" si="21"/>
        <v>On time</v>
      </c>
      <c r="O300" s="51"/>
      <c r="P300" s="415" t="s">
        <v>551</v>
      </c>
      <c r="Q300" s="415" t="s">
        <v>551</v>
      </c>
      <c r="R300" s="415" t="s">
        <v>551</v>
      </c>
      <c r="S300" s="32"/>
      <c r="T300" s="416"/>
      <c r="U300" s="416"/>
      <c r="V300" s="416"/>
      <c r="W300" s="416"/>
      <c r="X300" s="416"/>
      <c r="Y300" s="416"/>
      <c r="Z300" s="416"/>
      <c r="AA300" s="416"/>
      <c r="AB300" s="416">
        <f>H300*0.35</f>
        <v>2601.0400499999996</v>
      </c>
      <c r="AC300" s="416">
        <f>H300*0.65</f>
        <v>4830.5029500000001</v>
      </c>
      <c r="AD300" s="416"/>
      <c r="AE300" s="416"/>
      <c r="AF300" s="416"/>
      <c r="AG300" s="416"/>
      <c r="AH300" s="416"/>
      <c r="AI300" s="416"/>
      <c r="AJ300" s="416"/>
      <c r="AK300" s="416"/>
      <c r="AL300" s="416"/>
      <c r="AM300" s="416"/>
      <c r="AN300" s="416"/>
      <c r="AO300" s="416"/>
      <c r="AP300" s="416"/>
      <c r="AQ300" s="416"/>
      <c r="AR300" s="416"/>
      <c r="AS300" s="416"/>
      <c r="AT300" s="416"/>
      <c r="AU300" s="416"/>
      <c r="AV300" s="416"/>
      <c r="AW300" s="416"/>
      <c r="AX300" s="416"/>
      <c r="AY300" s="416"/>
      <c r="AZ300" s="32"/>
    </row>
    <row r="301" spans="2:52">
      <c r="B301" s="1252"/>
      <c r="C301" s="1253"/>
      <c r="D301" s="411"/>
      <c r="E301" s="411"/>
      <c r="F301" s="1256" t="s">
        <v>668</v>
      </c>
      <c r="G301" s="1257"/>
      <c r="H301" s="412">
        <v>1312</v>
      </c>
      <c r="I301" s="413"/>
      <c r="J301" s="414"/>
      <c r="K301" s="414"/>
      <c r="L301" s="414"/>
      <c r="M301" s="414"/>
      <c r="N301" s="413" t="str">
        <f t="shared" si="21"/>
        <v xml:space="preserve"> </v>
      </c>
      <c r="O301" s="51"/>
      <c r="P301" s="415"/>
      <c r="Q301" s="415"/>
      <c r="R301" s="415"/>
      <c r="S301" s="32"/>
      <c r="T301" s="416"/>
      <c r="U301" s="416"/>
      <c r="V301" s="416"/>
      <c r="W301" s="416"/>
      <c r="X301" s="416"/>
      <c r="Y301" s="416"/>
      <c r="Z301" s="416"/>
      <c r="AA301" s="416"/>
      <c r="AB301" s="416"/>
      <c r="AC301" s="416"/>
      <c r="AD301" s="416"/>
      <c r="AE301" s="416"/>
      <c r="AF301" s="416"/>
      <c r="AG301" s="416"/>
      <c r="AH301" s="416"/>
      <c r="AI301" s="416"/>
      <c r="AJ301" s="416"/>
      <c r="AK301" s="416"/>
      <c r="AL301" s="416"/>
      <c r="AM301" s="416"/>
      <c r="AN301" s="416"/>
      <c r="AO301" s="416"/>
      <c r="AP301" s="416"/>
      <c r="AQ301" s="416"/>
      <c r="AR301" s="416"/>
      <c r="AS301" s="416"/>
      <c r="AT301" s="416"/>
      <c r="AU301" s="416"/>
      <c r="AV301" s="416"/>
      <c r="AW301" s="416"/>
      <c r="AX301" s="416"/>
      <c r="AY301" s="416"/>
      <c r="AZ301" s="32"/>
    </row>
    <row r="302" spans="2:52">
      <c r="B302" s="1254"/>
      <c r="C302" s="1255"/>
      <c r="D302" s="411"/>
      <c r="E302" s="411"/>
      <c r="F302" s="1256" t="s">
        <v>616</v>
      </c>
      <c r="G302" s="1257"/>
      <c r="H302" s="412">
        <v>1000</v>
      </c>
      <c r="I302" s="413"/>
      <c r="J302" s="414"/>
      <c r="K302" s="414"/>
      <c r="L302" s="414"/>
      <c r="M302" s="414"/>
      <c r="N302" s="413" t="str">
        <f t="shared" si="21"/>
        <v xml:space="preserve"> </v>
      </c>
      <c r="O302" s="51"/>
      <c r="P302" s="415"/>
      <c r="Q302" s="415"/>
      <c r="R302" s="415"/>
      <c r="S302" s="32"/>
      <c r="T302" s="416"/>
      <c r="U302" s="416"/>
      <c r="V302" s="416"/>
      <c r="W302" s="416"/>
      <c r="X302" s="416"/>
      <c r="Y302" s="416"/>
      <c r="Z302" s="416"/>
      <c r="AA302" s="416"/>
      <c r="AB302" s="416"/>
      <c r="AC302" s="416"/>
      <c r="AD302" s="416"/>
      <c r="AE302" s="416"/>
      <c r="AF302" s="416"/>
      <c r="AG302" s="416"/>
      <c r="AH302" s="416"/>
      <c r="AI302" s="416"/>
      <c r="AJ302" s="416"/>
      <c r="AK302" s="416"/>
      <c r="AL302" s="416"/>
      <c r="AM302" s="416"/>
      <c r="AN302" s="416"/>
      <c r="AO302" s="416"/>
      <c r="AP302" s="416"/>
      <c r="AQ302" s="416"/>
      <c r="AR302" s="416"/>
      <c r="AS302" s="416"/>
      <c r="AT302" s="416"/>
      <c r="AU302" s="416"/>
      <c r="AV302" s="416"/>
      <c r="AW302" s="416"/>
      <c r="AX302" s="416"/>
      <c r="AY302" s="416"/>
      <c r="AZ302" s="32"/>
    </row>
    <row r="303" spans="2:52">
      <c r="B303" s="1250" t="s">
        <v>624</v>
      </c>
      <c r="C303" s="1251"/>
      <c r="D303" s="411" t="s">
        <v>342</v>
      </c>
      <c r="E303" s="411"/>
      <c r="F303" s="411" t="s">
        <v>343</v>
      </c>
      <c r="G303" s="411" t="s">
        <v>344</v>
      </c>
      <c r="H303" s="412">
        <v>7271.3149999999996</v>
      </c>
      <c r="I303" s="413" t="s">
        <v>336</v>
      </c>
      <c r="J303" s="414">
        <v>44951.166666666664</v>
      </c>
      <c r="K303" s="414"/>
      <c r="L303" s="414" t="s">
        <v>192</v>
      </c>
      <c r="M303" s="414" t="s">
        <v>192</v>
      </c>
      <c r="N303" s="413" t="str">
        <f t="shared" si="21"/>
        <v>On time</v>
      </c>
      <c r="O303" s="51"/>
      <c r="P303" s="415" t="s">
        <v>551</v>
      </c>
      <c r="Q303" s="415" t="s">
        <v>551</v>
      </c>
      <c r="R303" s="415" t="s">
        <v>551</v>
      </c>
      <c r="S303" s="32"/>
      <c r="T303" s="416"/>
      <c r="U303" s="416"/>
      <c r="V303" s="416"/>
      <c r="W303" s="416"/>
      <c r="X303" s="416"/>
      <c r="Y303" s="416"/>
      <c r="Z303" s="416"/>
      <c r="AA303" s="416"/>
      <c r="AB303" s="416">
        <f>H303*0.35</f>
        <v>2544.9602499999996</v>
      </c>
      <c r="AC303" s="416">
        <f>H303*0.65</f>
        <v>4726.3547499999995</v>
      </c>
      <c r="AD303" s="416"/>
      <c r="AE303" s="416"/>
      <c r="AF303" s="416"/>
      <c r="AG303" s="416"/>
      <c r="AH303" s="416"/>
      <c r="AI303" s="416"/>
      <c r="AJ303" s="416"/>
      <c r="AK303" s="416"/>
      <c r="AL303" s="416"/>
      <c r="AM303" s="416"/>
      <c r="AN303" s="416"/>
      <c r="AO303" s="416"/>
      <c r="AP303" s="416"/>
      <c r="AQ303" s="416"/>
      <c r="AR303" s="416"/>
      <c r="AS303" s="416"/>
      <c r="AT303" s="416"/>
      <c r="AU303" s="416"/>
      <c r="AV303" s="416"/>
      <c r="AW303" s="416"/>
      <c r="AX303" s="416"/>
      <c r="AY303" s="416"/>
      <c r="AZ303" s="32"/>
    </row>
    <row r="304" spans="2:52">
      <c r="B304" s="1252"/>
      <c r="C304" s="1253"/>
      <c r="D304" s="411"/>
      <c r="E304" s="411"/>
      <c r="F304" s="1256" t="s">
        <v>668</v>
      </c>
      <c r="G304" s="1257"/>
      <c r="H304" s="412">
        <v>1000</v>
      </c>
      <c r="I304" s="413"/>
      <c r="J304" s="414"/>
      <c r="K304" s="414"/>
      <c r="L304" s="414"/>
      <c r="M304" s="414"/>
      <c r="N304" s="413" t="str">
        <f t="shared" si="21"/>
        <v xml:space="preserve"> </v>
      </c>
      <c r="O304" s="51"/>
      <c r="P304" s="415"/>
      <c r="Q304" s="415"/>
      <c r="R304" s="415"/>
      <c r="S304" s="32"/>
      <c r="T304" s="416"/>
      <c r="U304" s="416"/>
      <c r="V304" s="416"/>
      <c r="W304" s="416"/>
      <c r="X304" s="416"/>
      <c r="Y304" s="416"/>
      <c r="Z304" s="416"/>
      <c r="AA304" s="416"/>
      <c r="AB304" s="416"/>
      <c r="AC304" s="416"/>
      <c r="AD304" s="416"/>
      <c r="AE304" s="416"/>
      <c r="AF304" s="416"/>
      <c r="AG304" s="416"/>
      <c r="AH304" s="416"/>
      <c r="AI304" s="416"/>
      <c r="AJ304" s="416"/>
      <c r="AK304" s="416"/>
      <c r="AL304" s="416"/>
      <c r="AM304" s="416"/>
      <c r="AN304" s="416"/>
      <c r="AO304" s="416"/>
      <c r="AP304" s="416"/>
      <c r="AQ304" s="416"/>
      <c r="AR304" s="416"/>
      <c r="AS304" s="416"/>
      <c r="AT304" s="416"/>
      <c r="AU304" s="416"/>
      <c r="AV304" s="416"/>
      <c r="AW304" s="416"/>
      <c r="AX304" s="416"/>
      <c r="AY304" s="416"/>
      <c r="AZ304" s="32"/>
    </row>
    <row r="305" spans="2:52">
      <c r="B305" s="1254"/>
      <c r="C305" s="1255"/>
      <c r="D305" s="411"/>
      <c r="E305" s="411"/>
      <c r="F305" s="1256" t="s">
        <v>616</v>
      </c>
      <c r="G305" s="1257"/>
      <c r="H305" s="412">
        <v>1000</v>
      </c>
      <c r="I305" s="413"/>
      <c r="J305" s="414"/>
      <c r="K305" s="414"/>
      <c r="L305" s="414"/>
      <c r="M305" s="414"/>
      <c r="N305" s="413" t="str">
        <f t="shared" si="21"/>
        <v xml:space="preserve"> </v>
      </c>
      <c r="O305" s="51"/>
      <c r="P305" s="415"/>
      <c r="Q305" s="415"/>
      <c r="R305" s="415"/>
      <c r="S305" s="32"/>
      <c r="T305" s="416"/>
      <c r="U305" s="416"/>
      <c r="V305" s="416"/>
      <c r="W305" s="416"/>
      <c r="X305" s="416"/>
      <c r="Y305" s="416"/>
      <c r="Z305" s="416"/>
      <c r="AA305" s="416"/>
      <c r="AB305" s="416"/>
      <c r="AC305" s="416"/>
      <c r="AD305" s="416"/>
      <c r="AE305" s="416"/>
      <c r="AF305" s="416"/>
      <c r="AG305" s="416"/>
      <c r="AH305" s="416"/>
      <c r="AI305" s="416"/>
      <c r="AJ305" s="416"/>
      <c r="AK305" s="416"/>
      <c r="AL305" s="416"/>
      <c r="AM305" s="416"/>
      <c r="AN305" s="416"/>
      <c r="AO305" s="416"/>
      <c r="AP305" s="416"/>
      <c r="AQ305" s="416"/>
      <c r="AR305" s="416"/>
      <c r="AS305" s="416"/>
      <c r="AT305" s="416"/>
      <c r="AU305" s="416"/>
      <c r="AV305" s="416"/>
      <c r="AW305" s="416"/>
      <c r="AX305" s="416"/>
      <c r="AY305" s="416"/>
      <c r="AZ305" s="32"/>
    </row>
    <row r="306" spans="2:52">
      <c r="B306" s="1250" t="s">
        <v>625</v>
      </c>
      <c r="C306" s="1251"/>
      <c r="D306" s="411" t="s">
        <v>342</v>
      </c>
      <c r="E306" s="411"/>
      <c r="F306" s="411" t="s">
        <v>323</v>
      </c>
      <c r="G306" s="411" t="s">
        <v>324</v>
      </c>
      <c r="H306" s="412">
        <v>5618.1570000000002</v>
      </c>
      <c r="I306" s="413" t="s">
        <v>235</v>
      </c>
      <c r="J306" s="414">
        <f>'BLU DEC''23 &amp; JAN''24'!BR544</f>
        <v>0</v>
      </c>
      <c r="K306" s="414"/>
      <c r="L306" s="414" t="s">
        <v>192</v>
      </c>
      <c r="M306" s="414" t="s">
        <v>192</v>
      </c>
      <c r="N306" s="413" t="str">
        <f t="shared" si="21"/>
        <v>On time</v>
      </c>
      <c r="O306" s="51"/>
      <c r="P306" s="415" t="s">
        <v>551</v>
      </c>
      <c r="Q306" s="415" t="s">
        <v>551</v>
      </c>
      <c r="R306" s="415" t="s">
        <v>551</v>
      </c>
      <c r="S306" s="32"/>
      <c r="T306" s="416"/>
      <c r="U306" s="416"/>
      <c r="V306" s="416"/>
      <c r="W306" s="416"/>
      <c r="X306" s="416"/>
      <c r="Y306" s="416"/>
      <c r="Z306" s="416"/>
      <c r="AA306" s="416"/>
      <c r="AB306" s="416">
        <f>H306</f>
        <v>5618.1570000000002</v>
      </c>
      <c r="AC306" s="416"/>
      <c r="AD306" s="416"/>
      <c r="AE306" s="416"/>
      <c r="AF306" s="416"/>
      <c r="AG306" s="416"/>
      <c r="AH306" s="416"/>
      <c r="AI306" s="416"/>
      <c r="AJ306" s="416"/>
      <c r="AK306" s="416"/>
      <c r="AL306" s="416"/>
      <c r="AM306" s="416"/>
      <c r="AN306" s="416"/>
      <c r="AO306" s="416"/>
      <c r="AP306" s="416"/>
      <c r="AQ306" s="416"/>
      <c r="AR306" s="416"/>
      <c r="AS306" s="416"/>
      <c r="AT306" s="416"/>
      <c r="AU306" s="416"/>
      <c r="AV306" s="416"/>
      <c r="AW306" s="416"/>
      <c r="AX306" s="416"/>
      <c r="AY306" s="416"/>
      <c r="AZ306" s="32"/>
    </row>
    <row r="307" spans="2:52">
      <c r="B307" s="1252"/>
      <c r="C307" s="1253"/>
      <c r="D307" s="411"/>
      <c r="E307" s="411"/>
      <c r="F307" s="1256" t="s">
        <v>668</v>
      </c>
      <c r="G307" s="1257"/>
      <c r="H307" s="412">
        <v>1000</v>
      </c>
      <c r="I307" s="413"/>
      <c r="J307" s="414"/>
      <c r="K307" s="414"/>
      <c r="L307" s="414"/>
      <c r="M307" s="414"/>
      <c r="N307" s="413" t="str">
        <f t="shared" si="21"/>
        <v xml:space="preserve"> </v>
      </c>
      <c r="O307" s="51"/>
      <c r="P307" s="415"/>
      <c r="Q307" s="415"/>
      <c r="R307" s="415"/>
      <c r="S307" s="32"/>
      <c r="T307" s="416"/>
      <c r="U307" s="416"/>
      <c r="V307" s="416"/>
      <c r="W307" s="416"/>
      <c r="X307" s="416"/>
      <c r="Y307" s="416"/>
      <c r="Z307" s="416"/>
      <c r="AA307" s="416"/>
      <c r="AB307" s="416"/>
      <c r="AC307" s="416"/>
      <c r="AD307" s="416"/>
      <c r="AE307" s="416"/>
      <c r="AF307" s="416"/>
      <c r="AG307" s="416"/>
      <c r="AH307" s="416"/>
      <c r="AI307" s="416"/>
      <c r="AJ307" s="416"/>
      <c r="AK307" s="416"/>
      <c r="AL307" s="416"/>
      <c r="AM307" s="416"/>
      <c r="AN307" s="416"/>
      <c r="AO307" s="416"/>
      <c r="AP307" s="416"/>
      <c r="AQ307" s="416"/>
      <c r="AR307" s="416"/>
      <c r="AS307" s="416"/>
      <c r="AT307" s="416"/>
      <c r="AU307" s="416"/>
      <c r="AV307" s="416"/>
      <c r="AW307" s="416"/>
      <c r="AX307" s="416"/>
      <c r="AY307" s="416"/>
      <c r="AZ307" s="32"/>
    </row>
    <row r="308" spans="2:52">
      <c r="B308" s="1254"/>
      <c r="C308" s="1255"/>
      <c r="D308" s="411"/>
      <c r="E308" s="411"/>
      <c r="F308" s="1256" t="s">
        <v>616</v>
      </c>
      <c r="G308" s="1257"/>
      <c r="H308" s="412">
        <v>2221</v>
      </c>
      <c r="I308" s="413"/>
      <c r="J308" s="414"/>
      <c r="K308" s="414"/>
      <c r="L308" s="414"/>
      <c r="M308" s="414"/>
      <c r="N308" s="413" t="str">
        <f t="shared" si="21"/>
        <v xml:space="preserve"> </v>
      </c>
      <c r="O308" s="51"/>
      <c r="P308" s="415"/>
      <c r="Q308" s="415"/>
      <c r="R308" s="415"/>
      <c r="S308" s="32"/>
      <c r="T308" s="416"/>
      <c r="U308" s="416"/>
      <c r="V308" s="416"/>
      <c r="W308" s="416"/>
      <c r="X308" s="416"/>
      <c r="Y308" s="416"/>
      <c r="Z308" s="416"/>
      <c r="AA308" s="416"/>
      <c r="AB308" s="416"/>
      <c r="AC308" s="416"/>
      <c r="AD308" s="416"/>
      <c r="AE308" s="416"/>
      <c r="AF308" s="416"/>
      <c r="AG308" s="416"/>
      <c r="AH308" s="416"/>
      <c r="AI308" s="416"/>
      <c r="AJ308" s="416"/>
      <c r="AK308" s="416"/>
      <c r="AL308" s="416"/>
      <c r="AM308" s="416"/>
      <c r="AN308" s="416"/>
      <c r="AO308" s="416"/>
      <c r="AP308" s="416"/>
      <c r="AQ308" s="416"/>
      <c r="AR308" s="416"/>
      <c r="AS308" s="416"/>
      <c r="AT308" s="416"/>
      <c r="AU308" s="416"/>
      <c r="AV308" s="416"/>
      <c r="AW308" s="416"/>
      <c r="AX308" s="416"/>
      <c r="AY308" s="416"/>
      <c r="AZ308" s="32"/>
    </row>
    <row r="309" spans="2:52">
      <c r="B309" s="1250" t="s">
        <v>669</v>
      </c>
      <c r="C309" s="1251"/>
      <c r="D309" s="411" t="s">
        <v>333</v>
      </c>
      <c r="E309" s="411"/>
      <c r="F309" s="411" t="s">
        <v>334</v>
      </c>
      <c r="G309" s="411" t="s">
        <v>335</v>
      </c>
      <c r="H309" s="412">
        <v>7260.81</v>
      </c>
      <c r="I309" s="413" t="s">
        <v>336</v>
      </c>
      <c r="J309" s="414">
        <v>44951.604166666664</v>
      </c>
      <c r="K309" s="414"/>
      <c r="L309" s="414" t="s">
        <v>192</v>
      </c>
      <c r="M309" s="414" t="s">
        <v>192</v>
      </c>
      <c r="N309" s="413" t="str">
        <f t="shared" si="21"/>
        <v>On time</v>
      </c>
      <c r="O309" s="51"/>
      <c r="P309" s="415" t="s">
        <v>551</v>
      </c>
      <c r="Q309" s="415" t="s">
        <v>551</v>
      </c>
      <c r="R309" s="415" t="s">
        <v>551</v>
      </c>
      <c r="S309" s="32"/>
      <c r="T309" s="416"/>
      <c r="U309" s="416"/>
      <c r="V309" s="416"/>
      <c r="W309" s="416"/>
      <c r="X309" s="416"/>
      <c r="Y309" s="416"/>
      <c r="Z309" s="416"/>
      <c r="AA309" s="416"/>
      <c r="AB309" s="416">
        <f>H309*0.35</f>
        <v>2541.2835</v>
      </c>
      <c r="AC309" s="416">
        <f>H309*0.65</f>
        <v>4719.5265000000009</v>
      </c>
      <c r="AD309" s="416"/>
      <c r="AE309" s="416"/>
      <c r="AF309" s="416"/>
      <c r="AG309" s="416"/>
      <c r="AH309" s="416"/>
      <c r="AI309" s="416"/>
      <c r="AJ309" s="416"/>
      <c r="AK309" s="416"/>
      <c r="AL309" s="416"/>
      <c r="AM309" s="416"/>
      <c r="AN309" s="416"/>
      <c r="AO309" s="416"/>
      <c r="AP309" s="416"/>
      <c r="AQ309" s="416"/>
      <c r="AR309" s="416"/>
      <c r="AS309" s="416"/>
      <c r="AT309" s="416"/>
      <c r="AU309" s="416"/>
      <c r="AV309" s="416"/>
      <c r="AW309" s="416"/>
      <c r="AX309" s="416"/>
      <c r="AY309" s="416"/>
      <c r="AZ309" s="32"/>
    </row>
    <row r="310" spans="2:52">
      <c r="B310" s="1252"/>
      <c r="C310" s="1253"/>
      <c r="D310" s="411"/>
      <c r="E310" s="411"/>
      <c r="F310" s="1256" t="s">
        <v>668</v>
      </c>
      <c r="G310" s="1257"/>
      <c r="H310" s="412">
        <f>1000-0.44</f>
        <v>999.56</v>
      </c>
      <c r="I310" s="413"/>
      <c r="J310" s="414"/>
      <c r="K310" s="414"/>
      <c r="L310" s="414"/>
      <c r="M310" s="414"/>
      <c r="N310" s="413" t="str">
        <f t="shared" si="21"/>
        <v xml:space="preserve"> </v>
      </c>
      <c r="O310" s="51"/>
      <c r="P310" s="415"/>
      <c r="Q310" s="415"/>
      <c r="R310" s="415"/>
      <c r="S310" s="32"/>
      <c r="T310" s="416"/>
      <c r="U310" s="416"/>
      <c r="V310" s="416"/>
      <c r="W310" s="416"/>
      <c r="X310" s="416"/>
      <c r="Y310" s="416"/>
      <c r="Z310" s="416"/>
      <c r="AA310" s="416"/>
      <c r="AB310" s="416"/>
      <c r="AC310" s="416"/>
      <c r="AD310" s="416"/>
      <c r="AE310" s="416"/>
      <c r="AF310" s="416"/>
      <c r="AG310" s="416"/>
      <c r="AH310" s="416"/>
      <c r="AI310" s="416"/>
      <c r="AJ310" s="416"/>
      <c r="AK310" s="416"/>
      <c r="AL310" s="416"/>
      <c r="AM310" s="416"/>
      <c r="AN310" s="416"/>
      <c r="AO310" s="416"/>
      <c r="AP310" s="416"/>
      <c r="AQ310" s="416"/>
      <c r="AR310" s="416"/>
      <c r="AS310" s="416"/>
      <c r="AT310" s="416"/>
      <c r="AU310" s="416"/>
      <c r="AV310" s="416"/>
      <c r="AW310" s="416"/>
      <c r="AX310" s="416"/>
      <c r="AY310" s="416"/>
      <c r="AZ310" s="32"/>
    </row>
    <row r="311" spans="2:52">
      <c r="B311" s="1254"/>
      <c r="C311" s="1255"/>
      <c r="D311" s="411"/>
      <c r="E311" s="411"/>
      <c r="F311" s="1256" t="s">
        <v>616</v>
      </c>
      <c r="G311" s="1257"/>
      <c r="H311" s="412">
        <v>2500</v>
      </c>
      <c r="I311" s="413"/>
      <c r="J311" s="414"/>
      <c r="K311" s="414"/>
      <c r="L311" s="414"/>
      <c r="M311" s="414"/>
      <c r="N311" s="413" t="str">
        <f t="shared" si="21"/>
        <v xml:space="preserve"> </v>
      </c>
      <c r="O311" s="51"/>
      <c r="P311" s="415"/>
      <c r="Q311" s="415"/>
      <c r="R311" s="415"/>
      <c r="S311" s="32"/>
      <c r="T311" s="416"/>
      <c r="U311" s="416"/>
      <c r="V311" s="416"/>
      <c r="W311" s="416"/>
      <c r="X311" s="416"/>
      <c r="Y311" s="416"/>
      <c r="Z311" s="416"/>
      <c r="AA311" s="416"/>
      <c r="AB311" s="416"/>
      <c r="AC311" s="416"/>
      <c r="AD311" s="416"/>
      <c r="AE311" s="416"/>
      <c r="AF311" s="416"/>
      <c r="AG311" s="416"/>
      <c r="AH311" s="416"/>
      <c r="AI311" s="416"/>
      <c r="AJ311" s="416"/>
      <c r="AK311" s="416"/>
      <c r="AL311" s="416"/>
      <c r="AM311" s="416"/>
      <c r="AN311" s="416"/>
      <c r="AO311" s="416"/>
      <c r="AP311" s="416"/>
      <c r="AQ311" s="416"/>
      <c r="AR311" s="416"/>
      <c r="AS311" s="416"/>
      <c r="AT311" s="416"/>
      <c r="AU311" s="416"/>
      <c r="AV311" s="416"/>
      <c r="AW311" s="416"/>
      <c r="AX311" s="416"/>
      <c r="AY311" s="416"/>
      <c r="AZ311" s="32"/>
    </row>
    <row r="312" spans="2:52">
      <c r="B312" s="1250" t="s">
        <v>670</v>
      </c>
      <c r="C312" s="1251"/>
      <c r="D312" s="411" t="s">
        <v>329</v>
      </c>
      <c r="E312" s="411"/>
      <c r="F312" s="411" t="s">
        <v>330</v>
      </c>
      <c r="G312" s="411" t="s">
        <v>331</v>
      </c>
      <c r="H312" s="412">
        <f>7111.135-5376.296</f>
        <v>1734.8389999999999</v>
      </c>
      <c r="I312" s="413" t="s">
        <v>235</v>
      </c>
      <c r="J312" s="414">
        <v>44953.416666666664</v>
      </c>
      <c r="K312" s="414"/>
      <c r="L312" s="414" t="s">
        <v>192</v>
      </c>
      <c r="M312" s="414" t="s">
        <v>192</v>
      </c>
      <c r="N312" s="413" t="str">
        <f t="shared" si="21"/>
        <v>DELAY ( 1 day 20 hour 54 minute )</v>
      </c>
      <c r="O312" s="51"/>
      <c r="P312" s="415" t="s">
        <v>551</v>
      </c>
      <c r="Q312" s="415" t="s">
        <v>551</v>
      </c>
      <c r="R312" s="415" t="s">
        <v>551</v>
      </c>
      <c r="S312" s="32"/>
      <c r="T312" s="416"/>
      <c r="U312" s="416"/>
      <c r="V312" s="416"/>
      <c r="W312" s="416"/>
      <c r="X312" s="416"/>
      <c r="Y312" s="416"/>
      <c r="Z312" s="416"/>
      <c r="AA312" s="416"/>
      <c r="AB312" s="416">
        <f>H312</f>
        <v>1734.8389999999999</v>
      </c>
      <c r="AC312" s="416"/>
      <c r="AD312" s="416"/>
      <c r="AE312" s="416"/>
      <c r="AF312" s="416"/>
      <c r="AG312" s="416"/>
      <c r="AH312" s="416"/>
      <c r="AI312" s="416"/>
      <c r="AJ312" s="416"/>
      <c r="AK312" s="416"/>
      <c r="AL312" s="416"/>
      <c r="AM312" s="416"/>
      <c r="AN312" s="416"/>
      <c r="AO312" s="416"/>
      <c r="AP312" s="416"/>
      <c r="AQ312" s="416"/>
      <c r="AR312" s="416"/>
      <c r="AS312" s="416"/>
      <c r="AT312" s="416"/>
      <c r="AU312" s="416"/>
      <c r="AV312" s="416"/>
      <c r="AW312" s="416"/>
      <c r="AX312" s="416"/>
      <c r="AY312" s="416"/>
      <c r="AZ312" s="32"/>
    </row>
    <row r="313" spans="2:52">
      <c r="B313" s="1254"/>
      <c r="C313" s="1255"/>
      <c r="D313" s="411"/>
      <c r="E313" s="411"/>
      <c r="F313" s="1256" t="s">
        <v>616</v>
      </c>
      <c r="G313" s="1257"/>
      <c r="H313" s="412">
        <f>1000-0.424</f>
        <v>999.57600000000002</v>
      </c>
      <c r="I313" s="413"/>
      <c r="J313" s="414"/>
      <c r="K313" s="414"/>
      <c r="L313" s="414"/>
      <c r="M313" s="414"/>
      <c r="N313" s="413" t="str">
        <f t="shared" si="21"/>
        <v xml:space="preserve"> </v>
      </c>
      <c r="O313" s="51"/>
      <c r="P313" s="415"/>
      <c r="Q313" s="415"/>
      <c r="R313" s="415"/>
      <c r="S313" s="32"/>
      <c r="T313" s="416"/>
      <c r="U313" s="416"/>
      <c r="V313" s="416"/>
      <c r="W313" s="416"/>
      <c r="X313" s="416"/>
      <c r="Y313" s="416"/>
      <c r="Z313" s="416"/>
      <c r="AA313" s="416"/>
      <c r="AB313" s="416"/>
      <c r="AC313" s="416"/>
      <c r="AD313" s="416"/>
      <c r="AE313" s="416"/>
      <c r="AF313" s="416"/>
      <c r="AG313" s="416"/>
      <c r="AH313" s="416"/>
      <c r="AI313" s="416"/>
      <c r="AJ313" s="416"/>
      <c r="AK313" s="416"/>
      <c r="AL313" s="416"/>
      <c r="AM313" s="416"/>
      <c r="AN313" s="416"/>
      <c r="AO313" s="416"/>
      <c r="AP313" s="416"/>
      <c r="AQ313" s="416"/>
      <c r="AR313" s="416"/>
      <c r="AS313" s="416"/>
      <c r="AT313" s="416"/>
      <c r="AU313" s="416"/>
      <c r="AV313" s="416"/>
      <c r="AW313" s="416"/>
      <c r="AX313" s="416"/>
      <c r="AY313" s="416"/>
      <c r="AZ313" s="32"/>
    </row>
    <row r="314" spans="2:52">
      <c r="B314" s="1258" t="s">
        <v>626</v>
      </c>
      <c r="C314" s="1259"/>
      <c r="D314" s="1259"/>
      <c r="E314" s="1259"/>
      <c r="F314" s="1259"/>
      <c r="G314" s="1260"/>
      <c r="H314" s="417">
        <f>H291+H294+H297+H300+H303+H306+H309+H312</f>
        <v>51357.864000000001</v>
      </c>
      <c r="I314" s="388"/>
      <c r="J314" s="293"/>
      <c r="K314" s="293"/>
      <c r="L314" s="293"/>
      <c r="M314" s="389"/>
      <c r="N314" s="413" t="str">
        <f t="shared" si="21"/>
        <v xml:space="preserve"> </v>
      </c>
      <c r="O314" s="47"/>
      <c r="P314" s="418"/>
      <c r="Q314" s="418"/>
      <c r="R314" s="418"/>
      <c r="S314" s="32"/>
      <c r="T314" s="1261"/>
      <c r="U314" s="1261"/>
      <c r="V314" s="1261"/>
      <c r="W314" s="1261"/>
      <c r="X314" s="1261"/>
      <c r="Y314" s="1261"/>
      <c r="Z314" s="1261"/>
      <c r="AA314" s="1261"/>
      <c r="AB314" s="1261"/>
      <c r="AC314" s="1261"/>
      <c r="AD314" s="1261"/>
      <c r="AE314" s="1261"/>
      <c r="AF314" s="1261"/>
      <c r="AG314" s="1261"/>
      <c r="AH314" s="1261"/>
      <c r="AI314" s="1261"/>
      <c r="AJ314" s="1261"/>
      <c r="AK314" s="1261"/>
      <c r="AL314" s="1261"/>
      <c r="AM314" s="1261"/>
      <c r="AN314" s="1261"/>
      <c r="AO314" s="1261"/>
      <c r="AP314" s="1261"/>
      <c r="AQ314" s="1261"/>
      <c r="AR314" s="1261"/>
      <c r="AS314" s="1261"/>
      <c r="AT314" s="1261"/>
      <c r="AU314" s="1261"/>
      <c r="AV314" s="1261"/>
      <c r="AW314" s="1261"/>
      <c r="AX314" s="1261"/>
      <c r="AY314" s="1261"/>
    </row>
    <row r="315" spans="2:52">
      <c r="B315" s="1258" t="s">
        <v>556</v>
      </c>
      <c r="C315" s="1259"/>
      <c r="D315" s="1259"/>
      <c r="E315" s="1259"/>
      <c r="F315" s="1259"/>
      <c r="G315" s="1260"/>
      <c r="H315" s="417">
        <f>H290+H314</f>
        <v>73390</v>
      </c>
      <c r="I315" s="388"/>
      <c r="J315" s="293"/>
      <c r="K315" s="293"/>
      <c r="L315" s="293"/>
      <c r="M315" s="389"/>
      <c r="N315" s="413" t="str">
        <f t="shared" si="21"/>
        <v xml:space="preserve"> </v>
      </c>
      <c r="O315" s="212"/>
      <c r="P315" s="418"/>
      <c r="Q315" s="418"/>
      <c r="R315" s="418"/>
      <c r="S315" s="207"/>
      <c r="T315" s="1262"/>
      <c r="U315" s="1263"/>
      <c r="V315" s="1263"/>
      <c r="W315" s="1263"/>
      <c r="X315" s="1263"/>
      <c r="Y315" s="1263"/>
      <c r="Z315" s="1263"/>
      <c r="AA315" s="1263"/>
      <c r="AB315" s="1263"/>
      <c r="AC315" s="1263"/>
      <c r="AD315" s="1263"/>
      <c r="AE315" s="1263"/>
      <c r="AF315" s="1263"/>
      <c r="AG315" s="1263"/>
      <c r="AH315" s="1263"/>
      <c r="AI315" s="1263"/>
      <c r="AJ315" s="1263"/>
      <c r="AK315" s="1263"/>
      <c r="AL315" s="1263"/>
      <c r="AM315" s="1263"/>
      <c r="AN315" s="1263"/>
      <c r="AO315" s="1263"/>
      <c r="AP315" s="1263"/>
      <c r="AQ315" s="1263"/>
      <c r="AR315" s="1263"/>
      <c r="AS315" s="1263"/>
      <c r="AT315" s="1263"/>
      <c r="AU315" s="1263"/>
      <c r="AV315" s="1263"/>
      <c r="AW315" s="1263"/>
      <c r="AX315" s="1263"/>
      <c r="AY315" s="1264"/>
    </row>
    <row r="316" spans="2:52">
      <c r="B316" s="1243" t="s">
        <v>557</v>
      </c>
      <c r="C316" s="1244"/>
      <c r="D316" s="1244"/>
      <c r="E316" s="1244"/>
      <c r="F316" s="1244"/>
      <c r="G316" s="1245"/>
      <c r="H316" s="419">
        <v>73390</v>
      </c>
      <c r="I316" s="1246"/>
      <c r="J316" s="1247"/>
      <c r="K316" s="1247"/>
      <c r="L316" s="1247"/>
      <c r="M316" s="1248"/>
      <c r="N316" s="413" t="str">
        <f t="shared" si="21"/>
        <v xml:space="preserve"> </v>
      </c>
      <c r="O316" s="32"/>
      <c r="P316" s="415"/>
      <c r="Q316" s="415"/>
      <c r="R316" s="415"/>
      <c r="S316" s="63"/>
      <c r="T316" s="416">
        <f>SUM(T287:T312)</f>
        <v>0</v>
      </c>
      <c r="U316" s="416">
        <f t="shared" ref="U316:AY316" si="22">SUM(U287:U312)</f>
        <v>0</v>
      </c>
      <c r="V316" s="416">
        <f t="shared" si="22"/>
        <v>0</v>
      </c>
      <c r="W316" s="416">
        <f t="shared" si="22"/>
        <v>0</v>
      </c>
      <c r="X316" s="416">
        <f t="shared" si="22"/>
        <v>0</v>
      </c>
      <c r="Y316" s="416">
        <f t="shared" si="22"/>
        <v>22032.135999999999</v>
      </c>
      <c r="Z316" s="416">
        <f t="shared" si="22"/>
        <v>0</v>
      </c>
      <c r="AA316" s="416">
        <f t="shared" si="22"/>
        <v>0</v>
      </c>
      <c r="AB316" s="416">
        <f t="shared" si="22"/>
        <v>22754.699800000002</v>
      </c>
      <c r="AC316" s="416">
        <f t="shared" si="22"/>
        <v>28603.164199999999</v>
      </c>
      <c r="AD316" s="416">
        <f t="shared" si="22"/>
        <v>0</v>
      </c>
      <c r="AE316" s="416">
        <f t="shared" si="22"/>
        <v>0</v>
      </c>
      <c r="AF316" s="416">
        <f t="shared" si="22"/>
        <v>0</v>
      </c>
      <c r="AG316" s="416">
        <f t="shared" si="22"/>
        <v>0</v>
      </c>
      <c r="AH316" s="416">
        <f t="shared" si="22"/>
        <v>0</v>
      </c>
      <c r="AI316" s="416">
        <f t="shared" si="22"/>
        <v>0</v>
      </c>
      <c r="AJ316" s="416">
        <f t="shared" si="22"/>
        <v>0</v>
      </c>
      <c r="AK316" s="416">
        <f t="shared" si="22"/>
        <v>0</v>
      </c>
      <c r="AL316" s="416">
        <f t="shared" si="22"/>
        <v>0</v>
      </c>
      <c r="AM316" s="416">
        <f t="shared" si="22"/>
        <v>0</v>
      </c>
      <c r="AN316" s="416">
        <f t="shared" si="22"/>
        <v>0</v>
      </c>
      <c r="AO316" s="416">
        <f t="shared" si="22"/>
        <v>0</v>
      </c>
      <c r="AP316" s="416">
        <f t="shared" si="22"/>
        <v>0</v>
      </c>
      <c r="AQ316" s="416">
        <f t="shared" si="22"/>
        <v>0</v>
      </c>
      <c r="AR316" s="416">
        <f t="shared" si="22"/>
        <v>0</v>
      </c>
      <c r="AS316" s="416">
        <f t="shared" si="22"/>
        <v>0</v>
      </c>
      <c r="AT316" s="416">
        <f t="shared" si="22"/>
        <v>0</v>
      </c>
      <c r="AU316" s="416">
        <f t="shared" si="22"/>
        <v>0</v>
      </c>
      <c r="AV316" s="416">
        <f t="shared" si="22"/>
        <v>0</v>
      </c>
      <c r="AW316" s="416">
        <f t="shared" si="22"/>
        <v>0</v>
      </c>
      <c r="AX316" s="416">
        <f t="shared" si="22"/>
        <v>0</v>
      </c>
      <c r="AY316" s="416">
        <f t="shared" si="22"/>
        <v>0</v>
      </c>
      <c r="AZ316" s="416">
        <f>SUM(T316:AY316)</f>
        <v>73390</v>
      </c>
    </row>
    <row r="317" spans="2:52">
      <c r="B317" s="1243" t="s">
        <v>558</v>
      </c>
      <c r="C317" s="1244"/>
      <c r="D317" s="1244"/>
      <c r="E317" s="1244"/>
      <c r="F317" s="1244"/>
      <c r="G317" s="1245"/>
      <c r="H317" s="420">
        <f>H316-L281</f>
        <v>0</v>
      </c>
      <c r="I317" s="294"/>
      <c r="J317" s="295"/>
      <c r="K317" s="295"/>
      <c r="L317" s="296"/>
      <c r="M317" s="32"/>
      <c r="N317" s="32"/>
      <c r="O317" s="32"/>
      <c r="P317" s="32"/>
      <c r="Q317" s="297"/>
      <c r="R317" s="297"/>
      <c r="S317" s="32"/>
      <c r="T317" s="48"/>
      <c r="U317" s="48"/>
      <c r="V317" s="48"/>
      <c r="W317" s="48"/>
      <c r="X317" s="48"/>
      <c r="Y317" s="48"/>
      <c r="Z317" s="48"/>
      <c r="AA317" s="48"/>
      <c r="AB317" s="48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</row>
    <row r="318" spans="2:52">
      <c r="B318" s="1243" t="s">
        <v>559</v>
      </c>
      <c r="C318" s="1244"/>
      <c r="D318" s="1244"/>
      <c r="E318" s="1244"/>
      <c r="F318" s="1244"/>
      <c r="G318" s="1245"/>
      <c r="H318" s="420">
        <v>5690.0290000000005</v>
      </c>
      <c r="I318" s="52"/>
      <c r="J318" s="53"/>
      <c r="K318" s="53"/>
      <c r="L318" s="54"/>
      <c r="M318" s="32"/>
      <c r="N318" s="32"/>
      <c r="O318" s="32"/>
      <c r="P318" s="32"/>
      <c r="Q318" s="32"/>
      <c r="R318" s="32"/>
      <c r="S318" s="32"/>
      <c r="T318" s="48"/>
      <c r="U318" s="48"/>
      <c r="V318" s="48"/>
      <c r="W318" s="48"/>
      <c r="X318" s="48"/>
      <c r="Y318" s="48"/>
      <c r="Z318" s="48"/>
      <c r="AA318" s="48"/>
      <c r="AB318" s="48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</row>
    <row r="319" spans="2:52">
      <c r="B319" s="1243" t="s">
        <v>560</v>
      </c>
      <c r="C319" s="1244"/>
      <c r="D319" s="1244"/>
      <c r="E319" s="1244"/>
      <c r="F319" s="1244"/>
      <c r="G319" s="1245"/>
      <c r="H319" s="420">
        <f>H318-5376.296</f>
        <v>313.73300000000017</v>
      </c>
      <c r="I319" s="255"/>
      <c r="J319" s="53"/>
      <c r="K319" s="53"/>
      <c r="L319" s="54"/>
      <c r="M319" s="32"/>
      <c r="N319" s="32"/>
      <c r="O319" s="32"/>
      <c r="P319" s="32"/>
      <c r="Q319" s="32"/>
      <c r="R319" s="32"/>
      <c r="S319" s="48"/>
      <c r="T319" s="48"/>
      <c r="U319" s="48"/>
      <c r="V319" s="48"/>
      <c r="W319" s="48"/>
      <c r="X319" s="48"/>
      <c r="Y319" s="48"/>
      <c r="Z319" s="48"/>
      <c r="AA319" s="48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</row>
    <row r="320" spans="2:52">
      <c r="B320" s="201"/>
      <c r="C320" s="201"/>
      <c r="D320" s="201"/>
      <c r="E320" s="201"/>
      <c r="F320" s="201"/>
      <c r="G320" s="201"/>
      <c r="H320" s="201"/>
      <c r="I320" s="213"/>
      <c r="J320" s="209"/>
      <c r="K320" s="209"/>
      <c r="L320" s="203"/>
      <c r="M320" s="201"/>
      <c r="N320" s="201"/>
      <c r="O320" s="209"/>
      <c r="P320" s="32"/>
      <c r="Q320" s="32"/>
      <c r="R320" s="32"/>
      <c r="S320" s="32"/>
      <c r="T320" s="48"/>
      <c r="U320" s="48"/>
      <c r="V320" s="48"/>
      <c r="W320" s="48"/>
      <c r="X320" s="48"/>
      <c r="Y320" s="48"/>
      <c r="Z320" s="48"/>
      <c r="AA320" s="48"/>
      <c r="AB320" s="48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</row>
    <row r="321" spans="2:52">
      <c r="B321" s="40" t="s">
        <v>561</v>
      </c>
      <c r="C321" s="40"/>
      <c r="D321" s="32"/>
      <c r="E321" s="32"/>
      <c r="F321" s="32"/>
      <c r="G321" s="32"/>
      <c r="H321" s="32"/>
      <c r="I321" s="32"/>
      <c r="J321" s="52"/>
      <c r="K321" s="52"/>
      <c r="L321" s="55"/>
      <c r="M321" s="32"/>
      <c r="N321" s="201"/>
      <c r="O321" s="5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  <c r="AA321" s="202"/>
      <c r="AB321" s="201"/>
      <c r="AC321" s="201"/>
      <c r="AD321" s="201"/>
      <c r="AE321" s="201"/>
      <c r="AF321" s="201"/>
      <c r="AG321" s="201"/>
      <c r="AH321" s="201"/>
      <c r="AI321" s="201"/>
      <c r="AJ321" s="201"/>
      <c r="AK321" s="201"/>
      <c r="AL321" s="201"/>
      <c r="AM321" s="201"/>
      <c r="AN321" s="201"/>
      <c r="AO321" s="201"/>
      <c r="AP321" s="201"/>
      <c r="AQ321" s="201"/>
      <c r="AR321" s="201"/>
      <c r="AS321" s="201"/>
      <c r="AT321" s="201"/>
      <c r="AU321" s="201"/>
      <c r="AZ321" s="201"/>
    </row>
    <row r="322" spans="2:52">
      <c r="B322" s="422">
        <v>1</v>
      </c>
      <c r="C322" s="1249" t="s">
        <v>671</v>
      </c>
      <c r="D322" s="1249"/>
      <c r="E322" s="1249"/>
      <c r="F322" s="1249"/>
      <c r="G322" s="1249"/>
      <c r="H322" s="1249"/>
      <c r="I322" s="1249"/>
      <c r="J322" s="1249"/>
      <c r="K322" s="1249"/>
      <c r="L322" s="203"/>
      <c r="M322" s="201"/>
      <c r="N322" s="201"/>
      <c r="O322" s="209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  <c r="AA322" s="202"/>
      <c r="AB322" s="201"/>
      <c r="AC322" s="201"/>
      <c r="AD322" s="201"/>
      <c r="AE322" s="201"/>
      <c r="AF322" s="201"/>
      <c r="AG322" s="201"/>
      <c r="AH322" s="201"/>
      <c r="AI322" s="201"/>
      <c r="AJ322" s="201"/>
      <c r="AK322" s="201"/>
      <c r="AL322" s="201"/>
      <c r="AM322" s="201"/>
      <c r="AN322" s="201"/>
      <c r="AO322" s="201"/>
      <c r="AP322" s="201"/>
      <c r="AQ322" s="201"/>
      <c r="AR322" s="201"/>
      <c r="AS322" s="201"/>
      <c r="AT322" s="201"/>
      <c r="AU322" s="201"/>
      <c r="AV322" s="201"/>
      <c r="AW322" s="201"/>
      <c r="AX322" s="201"/>
      <c r="AY322" s="201"/>
      <c r="AZ322" s="201"/>
    </row>
  </sheetData>
  <mergeCells count="277">
    <mergeCell ref="B271:G271"/>
    <mergeCell ref="T271:AZ271"/>
    <mergeCell ref="B272:G272"/>
    <mergeCell ref="I272:M272"/>
    <mergeCell ref="B273:G273"/>
    <mergeCell ref="B274:G274"/>
    <mergeCell ref="C277:K277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D270:G270"/>
    <mergeCell ref="T257:X257"/>
    <mergeCell ref="Y257:AA257"/>
    <mergeCell ref="AB257:AC257"/>
    <mergeCell ref="AF257:AZ257"/>
    <mergeCell ref="B258:C258"/>
    <mergeCell ref="B259:C259"/>
    <mergeCell ref="B260:C260"/>
    <mergeCell ref="B261:C261"/>
    <mergeCell ref="B262:C262"/>
    <mergeCell ref="B244:G244"/>
    <mergeCell ref="I244:M244"/>
    <mergeCell ref="B245:G245"/>
    <mergeCell ref="B246:G246"/>
    <mergeCell ref="C249:K249"/>
    <mergeCell ref="B237:C237"/>
    <mergeCell ref="B238:C238"/>
    <mergeCell ref="B239:C239"/>
    <mergeCell ref="B240:C240"/>
    <mergeCell ref="B241:C241"/>
    <mergeCell ref="B242:C242"/>
    <mergeCell ref="D242:G242"/>
    <mergeCell ref="B243:G243"/>
    <mergeCell ref="T243:AZ243"/>
    <mergeCell ref="T231:X231"/>
    <mergeCell ref="Y231:AA231"/>
    <mergeCell ref="AB231:AC231"/>
    <mergeCell ref="AF231:AZ231"/>
    <mergeCell ref="B232:C232"/>
    <mergeCell ref="B233:C233"/>
    <mergeCell ref="B234:C234"/>
    <mergeCell ref="B235:C235"/>
    <mergeCell ref="B236:C236"/>
    <mergeCell ref="B155:G155"/>
    <mergeCell ref="B156:G156"/>
    <mergeCell ref="C159:K159"/>
    <mergeCell ref="B149:C149"/>
    <mergeCell ref="B150:C150"/>
    <mergeCell ref="B151:C151"/>
    <mergeCell ref="B152:C152"/>
    <mergeCell ref="D152:G152"/>
    <mergeCell ref="B153:G153"/>
    <mergeCell ref="T153:AZ153"/>
    <mergeCell ref="B154:G154"/>
    <mergeCell ref="I154:M154"/>
    <mergeCell ref="T143:X143"/>
    <mergeCell ref="Y143:AA143"/>
    <mergeCell ref="AB143:AC143"/>
    <mergeCell ref="AF143:AZ143"/>
    <mergeCell ref="B144:C144"/>
    <mergeCell ref="B145:C145"/>
    <mergeCell ref="B146:C146"/>
    <mergeCell ref="B147:C147"/>
    <mergeCell ref="B148:C148"/>
    <mergeCell ref="B130:G130"/>
    <mergeCell ref="B131:G131"/>
    <mergeCell ref="C135:K135"/>
    <mergeCell ref="B132:G132"/>
    <mergeCell ref="B127:G127"/>
    <mergeCell ref="T127:AY127"/>
    <mergeCell ref="B128:G128"/>
    <mergeCell ref="T128:AY128"/>
    <mergeCell ref="B129:G129"/>
    <mergeCell ref="I129:M129"/>
    <mergeCell ref="B121:C122"/>
    <mergeCell ref="F122:G122"/>
    <mergeCell ref="B123:C124"/>
    <mergeCell ref="F124:G124"/>
    <mergeCell ref="B125:C126"/>
    <mergeCell ref="F126:G126"/>
    <mergeCell ref="B115:G115"/>
    <mergeCell ref="B116:C116"/>
    <mergeCell ref="B117:C118"/>
    <mergeCell ref="F118:G118"/>
    <mergeCell ref="B119:C120"/>
    <mergeCell ref="F120:G120"/>
    <mergeCell ref="AB111:AC111"/>
    <mergeCell ref="AF111:AY111"/>
    <mergeCell ref="B112:C112"/>
    <mergeCell ref="B113:C113"/>
    <mergeCell ref="B114:C114"/>
    <mergeCell ref="B99:G99"/>
    <mergeCell ref="C102:K102"/>
    <mergeCell ref="C103:K103"/>
    <mergeCell ref="T111:X111"/>
    <mergeCell ref="Y111:AA111"/>
    <mergeCell ref="B96:G96"/>
    <mergeCell ref="T96:AZ96"/>
    <mergeCell ref="B97:G97"/>
    <mergeCell ref="I97:M97"/>
    <mergeCell ref="B98:G98"/>
    <mergeCell ref="B92:C92"/>
    <mergeCell ref="B93:C93"/>
    <mergeCell ref="B94:C94"/>
    <mergeCell ref="B95:C95"/>
    <mergeCell ref="D95:G95"/>
    <mergeCell ref="B87:C87"/>
    <mergeCell ref="B88:C88"/>
    <mergeCell ref="B89:C89"/>
    <mergeCell ref="B90:C90"/>
    <mergeCell ref="B91:C91"/>
    <mergeCell ref="T85:X85"/>
    <mergeCell ref="Y85:AA85"/>
    <mergeCell ref="AB85:AC85"/>
    <mergeCell ref="AF85:AZ85"/>
    <mergeCell ref="B86:C86"/>
    <mergeCell ref="C77:K77"/>
    <mergeCell ref="B70:G70"/>
    <mergeCell ref="C73:K73"/>
    <mergeCell ref="C74:K74"/>
    <mergeCell ref="C75:K75"/>
    <mergeCell ref="C76:K76"/>
    <mergeCell ref="B67:G67"/>
    <mergeCell ref="T67:AZ67"/>
    <mergeCell ref="B68:G68"/>
    <mergeCell ref="I68:M68"/>
    <mergeCell ref="B69:G69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T55:X55"/>
    <mergeCell ref="Y55:AA55"/>
    <mergeCell ref="AB55:AC55"/>
    <mergeCell ref="AF55:AZ55"/>
    <mergeCell ref="B56:C56"/>
    <mergeCell ref="T15:AY15"/>
    <mergeCell ref="B16:G16"/>
    <mergeCell ref="I16:M16"/>
    <mergeCell ref="AB8:AC8"/>
    <mergeCell ref="AF8:AY8"/>
    <mergeCell ref="B9:C9"/>
    <mergeCell ref="B10:C10"/>
    <mergeCell ref="B11:C11"/>
    <mergeCell ref="B12:C12"/>
    <mergeCell ref="T8:X8"/>
    <mergeCell ref="Y8:AA8"/>
    <mergeCell ref="B17:G17"/>
    <mergeCell ref="B18:G18"/>
    <mergeCell ref="C22:K22"/>
    <mergeCell ref="B19:G19"/>
    <mergeCell ref="B13:C13"/>
    <mergeCell ref="B14:C14"/>
    <mergeCell ref="B15:G15"/>
    <mergeCell ref="T30:X30"/>
    <mergeCell ref="Y30:AA30"/>
    <mergeCell ref="AB30:AC30"/>
    <mergeCell ref="AF30:AZ30"/>
    <mergeCell ref="B31:C31"/>
    <mergeCell ref="B32:C32"/>
    <mergeCell ref="B33:C33"/>
    <mergeCell ref="B34:C34"/>
    <mergeCell ref="B35:C35"/>
    <mergeCell ref="B36:C36"/>
    <mergeCell ref="C47:K47"/>
    <mergeCell ref="B43:G43"/>
    <mergeCell ref="B37:C37"/>
    <mergeCell ref="B38:C38"/>
    <mergeCell ref="B39:G39"/>
    <mergeCell ref="T39:AZ39"/>
    <mergeCell ref="B40:G40"/>
    <mergeCell ref="I40:M40"/>
    <mergeCell ref="B41:G41"/>
    <mergeCell ref="B42:G42"/>
    <mergeCell ref="C46:K46"/>
    <mergeCell ref="T181:AY181"/>
    <mergeCell ref="B182:G182"/>
    <mergeCell ref="I182:M182"/>
    <mergeCell ref="B183:G183"/>
    <mergeCell ref="T167:X167"/>
    <mergeCell ref="Y167:AA167"/>
    <mergeCell ref="AB167:AC167"/>
    <mergeCell ref="AF167:AY167"/>
    <mergeCell ref="B168:C168"/>
    <mergeCell ref="B169:C170"/>
    <mergeCell ref="B171:C172"/>
    <mergeCell ref="B173:C174"/>
    <mergeCell ref="B175:C176"/>
    <mergeCell ref="B184:G184"/>
    <mergeCell ref="C188:K188"/>
    <mergeCell ref="J170:J171"/>
    <mergeCell ref="J174:J175"/>
    <mergeCell ref="B177:C177"/>
    <mergeCell ref="B178:C178"/>
    <mergeCell ref="B179:C179"/>
    <mergeCell ref="B180:C180"/>
    <mergeCell ref="B181:G181"/>
    <mergeCell ref="B185:G185"/>
    <mergeCell ref="T216:AY216"/>
    <mergeCell ref="B217:G217"/>
    <mergeCell ref="I217:M217"/>
    <mergeCell ref="T196:X196"/>
    <mergeCell ref="Y196:AA196"/>
    <mergeCell ref="AB196:AC196"/>
    <mergeCell ref="AF196:AY196"/>
    <mergeCell ref="B197:C197"/>
    <mergeCell ref="B198:C199"/>
    <mergeCell ref="B200:C201"/>
    <mergeCell ref="B202:C203"/>
    <mergeCell ref="B204:C205"/>
    <mergeCell ref="B218:G218"/>
    <mergeCell ref="B219:G219"/>
    <mergeCell ref="C223:K223"/>
    <mergeCell ref="J199:J200"/>
    <mergeCell ref="J209:J210"/>
    <mergeCell ref="J203:J204"/>
    <mergeCell ref="B220:G220"/>
    <mergeCell ref="B206:C207"/>
    <mergeCell ref="B208:C209"/>
    <mergeCell ref="B210:C211"/>
    <mergeCell ref="B212:C213"/>
    <mergeCell ref="B214:C214"/>
    <mergeCell ref="B215:C215"/>
    <mergeCell ref="B216:G216"/>
    <mergeCell ref="T285:X285"/>
    <mergeCell ref="Y285:AA285"/>
    <mergeCell ref="AB285:AC285"/>
    <mergeCell ref="AF285:AY285"/>
    <mergeCell ref="B286:C286"/>
    <mergeCell ref="B287:C287"/>
    <mergeCell ref="B288:C288"/>
    <mergeCell ref="B289:C289"/>
    <mergeCell ref="B290:G290"/>
    <mergeCell ref="B291:C293"/>
    <mergeCell ref="F292:G292"/>
    <mergeCell ref="F293:G293"/>
    <mergeCell ref="B294:C296"/>
    <mergeCell ref="F295:G295"/>
    <mergeCell ref="F296:G296"/>
    <mergeCell ref="B297:C299"/>
    <mergeCell ref="F298:G298"/>
    <mergeCell ref="F299:G299"/>
    <mergeCell ref="T314:AY314"/>
    <mergeCell ref="B315:G315"/>
    <mergeCell ref="T315:AY315"/>
    <mergeCell ref="B300:C302"/>
    <mergeCell ref="F301:G301"/>
    <mergeCell ref="F302:G302"/>
    <mergeCell ref="B303:C305"/>
    <mergeCell ref="F304:G304"/>
    <mergeCell ref="F305:G305"/>
    <mergeCell ref="B306:C308"/>
    <mergeCell ref="F307:G307"/>
    <mergeCell ref="F308:G308"/>
    <mergeCell ref="B316:G316"/>
    <mergeCell ref="I316:M316"/>
    <mergeCell ref="B317:G317"/>
    <mergeCell ref="B318:G318"/>
    <mergeCell ref="C322:K322"/>
    <mergeCell ref="B319:G319"/>
    <mergeCell ref="B309:C311"/>
    <mergeCell ref="F310:G310"/>
    <mergeCell ref="F311:G311"/>
    <mergeCell ref="B312:C313"/>
    <mergeCell ref="F313:G313"/>
    <mergeCell ref="B314:G314"/>
  </mergeCells>
  <dataValidations disablePrompts="1" count="2">
    <dataValidation type="list" allowBlank="1" showInputMessage="1" showErrorMessage="1" sqref="L82 L140 L108 L193 L164" xr:uid="{00000000-0002-0000-0300-000000000000}">
      <formula1>$I$8:$I$19</formula1>
    </dataValidation>
    <dataValidation type="list" allowBlank="1" showInputMessage="1" showErrorMessage="1" sqref="F79 F137 F105 F190 F161" xr:uid="{00000000-0002-0000-0300-000001000000}">
      <formula1>$H$8:$H$19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0">
        <x14:dataValidation type="list" allowBlank="1" showInputMessage="1" showErrorMessage="1" xr:uid="{00000000-0002-0000-0300-000002000000}">
          <x14:formula1>
            <xm:f>'FLF &amp; AGENT INFO'!$B$3:$B$20</xm:f>
          </x14:formula1>
          <xm:sqref>F5 F27 F52 F82 F108 F140 F164 F193 F228 F254 F282</xm:sqref>
        </x14:dataValidation>
        <x14:dataValidation type="list" allowBlank="1" showInputMessage="1" showErrorMessage="1" xr:uid="{00000000-0002-0000-0300-000003000000}">
          <x14:formula1>
            <xm:f>'FLF &amp; AGENT INFO'!$H$3:$H$7</xm:f>
          </x14:formula1>
          <xm:sqref>L6 L28 L53 L83 L109 L141 L165 L194 L229 L255 L283</xm:sqref>
        </x14:dataValidation>
        <x14:dataValidation type="list" allowBlank="1" showInputMessage="1" showErrorMessage="1" xr:uid="{00000000-0002-0000-0300-000004000000}">
          <x14:formula1>
            <xm:f>'FLF &amp; AGENT INFO'!$F$3:$F$24</xm:f>
          </x14:formula1>
          <xm:sqref>F7 F29 F54 F84 F110 F142 F166 F195 F230 F256 F284</xm:sqref>
        </x14:dataValidation>
        <x14:dataValidation type="list" allowBlank="1" showInputMessage="1" showErrorMessage="1" xr:uid="{00000000-0002-0000-0300-000005000000}">
          <x14:formula1>
            <xm:f>'VLU 2023 &amp; 2024'!$I$5:$I$11</xm:f>
          </x14:formula1>
          <xm:sqref>L27</xm:sqref>
        </x14:dataValidation>
        <x14:dataValidation type="list" allowBlank="1" showInputMessage="1" showErrorMessage="1" xr:uid="{00000000-0002-0000-0300-000006000000}">
          <x14:formula1>
            <xm:f>'VLU 2023 &amp; 2024'!$H$5:$H$11</xm:f>
          </x14:formula1>
          <xm:sqref>F24</xm:sqref>
        </x14:dataValidation>
        <x14:dataValidation type="list" allowBlank="1" showInputMessage="1" showErrorMessage="1" xr:uid="{00000000-0002-0000-0300-000007000000}">
          <x14:formula1>
            <xm:f>'FLF &amp; AGENT INFO'!$D$3:$D$31</xm:f>
          </x14:formula1>
          <xm:sqref>F6 F283 F255 F229 F194 F165 F141 F109 F83 F53 F28</xm:sqref>
        </x14:dataValidation>
        <x14:dataValidation type="list" allowBlank="1" showInputMessage="1" showErrorMessage="1" xr:uid="{00000000-0002-0000-0300-000008000000}">
          <x14:formula1>
            <xm:f>'VLU 2023 &amp; 2024'!$H$6:$H$21</xm:f>
          </x14:formula1>
          <xm:sqref>F2 F279</xm:sqref>
        </x14:dataValidation>
        <x14:dataValidation type="list" allowBlank="1" showInputMessage="1" showErrorMessage="1" xr:uid="{00000000-0002-0000-0300-000009000000}">
          <x14:formula1>
            <xm:f>'VLU 2023 &amp; 2024'!$I$6:$I$21</xm:f>
          </x14:formula1>
          <xm:sqref>L5 L282</xm:sqref>
        </x14:dataValidation>
        <x14:dataValidation type="list" allowBlank="1" showInputMessage="1" showErrorMessage="1" xr:uid="{00000000-0002-0000-0300-00000A000000}">
          <x14:formula1>
            <xm:f>'VLU 2023 &amp; 2024'!$I$7:$I$21</xm:f>
          </x14:formula1>
          <xm:sqref>L52 L228 L254</xm:sqref>
        </x14:dataValidation>
        <x14:dataValidation type="list" allowBlank="1" showInputMessage="1" showErrorMessage="1" xr:uid="{00000000-0002-0000-0300-00000B000000}">
          <x14:formula1>
            <xm:f>'VLU 2023 &amp; 2024'!$H$7:$H$21</xm:f>
          </x14:formula1>
          <xm:sqref>F49 F225 F251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CB657"/>
  <sheetViews>
    <sheetView zoomScale="80" zoomScaleNormal="80" zoomScaleSheetLayoutView="73" workbookViewId="0">
      <pane xSplit="16" ySplit="2" topLeftCell="BN3" activePane="bottomRight" state="frozen"/>
      <selection pane="topRight" activeCell="A3" sqref="A3"/>
      <selection pane="bottomLeft" activeCell="A3" sqref="A3"/>
      <selection pane="bottomRight" activeCell="A3" sqref="A3"/>
    </sheetView>
  </sheetViews>
  <sheetFormatPr defaultColWidth="9.33203125" defaultRowHeight="14.4"/>
  <cols>
    <col min="1" max="1" width="12.6640625" style="119" customWidth="1"/>
    <col min="2" max="2" width="7.5546875" style="119" customWidth="1"/>
    <col min="3" max="3" width="7.6640625" style="115" customWidth="1"/>
    <col min="4" max="4" width="6.5546875" style="115" customWidth="1"/>
    <col min="5" max="5" width="21.6640625" style="115" customWidth="1"/>
    <col min="6" max="6" width="10.5546875" style="115" customWidth="1"/>
    <col min="7" max="8" width="13.5546875" style="252" customWidth="1"/>
    <col min="9" max="9" width="11.109375" style="117" customWidth="1"/>
    <col min="10" max="10" width="19.88671875" style="115" customWidth="1"/>
    <col min="11" max="11" width="15.5546875" style="115" customWidth="1"/>
    <col min="12" max="12" width="13.5546875" style="115" customWidth="1"/>
    <col min="13" max="13" width="0.5546875" style="118" customWidth="1"/>
    <col min="14" max="14" width="21.44140625" style="115" customWidth="1"/>
    <col min="15" max="15" width="22" style="115" customWidth="1"/>
    <col min="16" max="16" width="20.6640625" style="115" customWidth="1"/>
    <col min="17" max="17" width="8.5546875" style="117" customWidth="1"/>
    <col min="18" max="18" width="10.33203125" style="117" customWidth="1"/>
    <col min="19" max="19" width="1.33203125" style="117" customWidth="1"/>
    <col min="20" max="20" width="9.6640625" style="115" customWidth="1"/>
    <col min="21" max="21" width="10.33203125" style="115" customWidth="1"/>
    <col min="22" max="22" width="8.5546875" style="115" customWidth="1"/>
    <col min="23" max="23" width="10.33203125" style="115" customWidth="1"/>
    <col min="24" max="24" width="10.109375" style="115" customWidth="1"/>
    <col min="25" max="47" width="8.5546875" style="115" customWidth="1"/>
    <col min="48" max="48" width="15.5546875" style="251" customWidth="1"/>
    <col min="49" max="49" width="16" style="251" customWidth="1"/>
    <col min="50" max="50" width="9.6640625" style="251" customWidth="1"/>
    <col min="51" max="51" width="15.5546875" style="251" customWidth="1"/>
    <col min="52" max="52" width="16.5546875" style="251" customWidth="1"/>
    <col min="53" max="53" width="16.44140625" style="251" customWidth="1"/>
    <col min="54" max="54" width="16" style="251" customWidth="1"/>
    <col min="55" max="55" width="15.5546875" style="251" customWidth="1"/>
    <col min="56" max="56" width="16.44140625" style="251" customWidth="1"/>
    <col min="57" max="57" width="15.5546875" style="251" customWidth="1"/>
    <col min="58" max="58" width="15.44140625" style="251" customWidth="1"/>
    <col min="59" max="59" width="17" style="251" customWidth="1"/>
    <col min="60" max="60" width="15.33203125" style="252" customWidth="1"/>
    <col min="61" max="61" width="15.5546875" style="251" customWidth="1"/>
    <col min="62" max="62" width="16.33203125" style="251" customWidth="1"/>
    <col min="63" max="63" width="15.5546875" style="251" customWidth="1"/>
    <col min="64" max="64" width="16.44140625" style="251" customWidth="1"/>
    <col min="65" max="66" width="15.5546875" style="115" customWidth="1"/>
    <col min="67" max="67" width="16.44140625" style="115" customWidth="1"/>
    <col min="68" max="68" width="49.5546875" style="116" customWidth="1"/>
    <col min="69" max="69" width="1.33203125" style="116" customWidth="1"/>
    <col min="70" max="70" width="10.5546875" style="251" customWidth="1"/>
    <col min="71" max="77" width="9.6640625" style="251" customWidth="1"/>
    <col min="78" max="78" width="11.33203125" style="115" bestFit="1" customWidth="1"/>
    <col min="79" max="16384" width="9.33203125" style="115"/>
  </cols>
  <sheetData>
    <row r="1" spans="1:78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136</v>
      </c>
      <c r="R1" s="1236" t="s">
        <v>137</v>
      </c>
      <c r="S1" s="403"/>
      <c r="T1" s="1224" t="s">
        <v>73</v>
      </c>
      <c r="U1" s="1224"/>
      <c r="V1" s="1224"/>
      <c r="W1" s="1220" t="s">
        <v>74</v>
      </c>
      <c r="X1" s="1221"/>
      <c r="Y1" s="1222" t="s">
        <v>138</v>
      </c>
      <c r="Z1" s="1223"/>
      <c r="AA1" s="404" t="s">
        <v>85</v>
      </c>
      <c r="AB1" s="404" t="s">
        <v>139</v>
      </c>
      <c r="AC1" s="1224" t="s">
        <v>87</v>
      </c>
      <c r="AD1" s="1224"/>
      <c r="AE1" s="1224"/>
      <c r="AF1" s="1224"/>
      <c r="AG1" s="1224"/>
      <c r="AH1" s="1225" t="s">
        <v>138</v>
      </c>
      <c r="AI1" s="1220"/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1"/>
      <c r="AV1" s="1218" t="s">
        <v>140</v>
      </c>
      <c r="AW1" s="1218" t="s">
        <v>141</v>
      </c>
      <c r="AX1" s="1226" t="s">
        <v>142</v>
      </c>
      <c r="AY1" s="1228" t="s">
        <v>143</v>
      </c>
      <c r="AZ1" s="1228" t="s">
        <v>144</v>
      </c>
      <c r="BA1" s="1219" t="s">
        <v>145</v>
      </c>
      <c r="BB1" s="1218" t="s">
        <v>146</v>
      </c>
      <c r="BC1" s="1218" t="s">
        <v>147</v>
      </c>
      <c r="BD1" s="1218" t="s">
        <v>148</v>
      </c>
      <c r="BE1" s="1218" t="s">
        <v>149</v>
      </c>
      <c r="BF1" s="1219" t="s">
        <v>150</v>
      </c>
      <c r="BG1" s="1219" t="s">
        <v>151</v>
      </c>
      <c r="BH1" s="1219" t="s">
        <v>152</v>
      </c>
      <c r="BI1" s="1219" t="s">
        <v>153</v>
      </c>
      <c r="BJ1" s="1219" t="s">
        <v>154</v>
      </c>
      <c r="BK1" s="1218" t="s">
        <v>155</v>
      </c>
      <c r="BL1" s="1218" t="s">
        <v>156</v>
      </c>
      <c r="BM1" s="1218" t="s">
        <v>157</v>
      </c>
      <c r="BN1" s="1218" t="s">
        <v>149</v>
      </c>
      <c r="BO1" s="1218" t="s">
        <v>158</v>
      </c>
      <c r="BP1" s="1217" t="s">
        <v>159</v>
      </c>
      <c r="BQ1" s="569"/>
      <c r="BR1" s="1213" t="s">
        <v>160</v>
      </c>
      <c r="BS1" s="1213" t="s">
        <v>111</v>
      </c>
      <c r="BT1" s="1213" t="s">
        <v>161</v>
      </c>
      <c r="BU1" s="1213" t="s">
        <v>162</v>
      </c>
      <c r="BV1" s="1213" t="s">
        <v>120</v>
      </c>
      <c r="BW1" s="1213" t="s">
        <v>163</v>
      </c>
      <c r="BX1" s="1215" t="s">
        <v>164</v>
      </c>
      <c r="BY1" s="1215" t="s">
        <v>165</v>
      </c>
      <c r="BZ1" s="1215" t="s">
        <v>166</v>
      </c>
    </row>
    <row r="2" spans="1:78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36"/>
      <c r="S2" s="403"/>
      <c r="T2" s="404" t="s">
        <v>167</v>
      </c>
      <c r="U2" s="404" t="s">
        <v>168</v>
      </c>
      <c r="V2" s="405" t="s">
        <v>169</v>
      </c>
      <c r="W2" s="404" t="s">
        <v>170</v>
      </c>
      <c r="X2" s="404" t="s">
        <v>171</v>
      </c>
      <c r="Y2" s="406" t="s">
        <v>172</v>
      </c>
      <c r="Z2" s="406" t="s">
        <v>173</v>
      </c>
      <c r="AA2" s="404" t="s">
        <v>174</v>
      </c>
      <c r="AB2" s="404" t="s">
        <v>139</v>
      </c>
      <c r="AC2" s="405" t="s">
        <v>175</v>
      </c>
      <c r="AD2" s="405" t="s">
        <v>176</v>
      </c>
      <c r="AE2" s="405" t="s">
        <v>177</v>
      </c>
      <c r="AF2" s="405" t="s">
        <v>178</v>
      </c>
      <c r="AG2" s="405" t="s">
        <v>179</v>
      </c>
      <c r="AH2" s="404" t="s">
        <v>81</v>
      </c>
      <c r="AI2" s="404" t="s">
        <v>180</v>
      </c>
      <c r="AJ2" s="404" t="s">
        <v>181</v>
      </c>
      <c r="AK2" s="404" t="s">
        <v>76</v>
      </c>
      <c r="AL2" s="404" t="s">
        <v>84</v>
      </c>
      <c r="AM2" s="404" t="s">
        <v>88</v>
      </c>
      <c r="AN2" s="404" t="s">
        <v>78</v>
      </c>
      <c r="AO2" s="404" t="s">
        <v>80</v>
      </c>
      <c r="AP2" s="404" t="s">
        <v>86</v>
      </c>
      <c r="AQ2" s="404" t="s">
        <v>82</v>
      </c>
      <c r="AR2" s="404" t="s">
        <v>182</v>
      </c>
      <c r="AS2" s="404" t="s">
        <v>183</v>
      </c>
      <c r="AT2" s="404" t="s">
        <v>184</v>
      </c>
      <c r="AU2" s="404" t="s">
        <v>100</v>
      </c>
      <c r="AV2" s="1218"/>
      <c r="AW2" s="1218"/>
      <c r="AX2" s="1227"/>
      <c r="AY2" s="1229"/>
      <c r="AZ2" s="1229"/>
      <c r="BA2" s="1219"/>
      <c r="BB2" s="1218"/>
      <c r="BC2" s="1218"/>
      <c r="BD2" s="1218"/>
      <c r="BE2" s="1218"/>
      <c r="BF2" s="1219"/>
      <c r="BG2" s="1219"/>
      <c r="BH2" s="1219"/>
      <c r="BI2" s="1219"/>
      <c r="BJ2" s="1219"/>
      <c r="BK2" s="1218"/>
      <c r="BL2" s="1218"/>
      <c r="BM2" s="1218"/>
      <c r="BN2" s="1218"/>
      <c r="BO2" s="1218"/>
      <c r="BP2" s="1217"/>
      <c r="BQ2" s="250"/>
      <c r="BR2" s="1214"/>
      <c r="BS2" s="1214"/>
      <c r="BT2" s="1214"/>
      <c r="BU2" s="1214"/>
      <c r="BV2" s="1214"/>
      <c r="BW2" s="1214"/>
      <c r="BX2" s="1216"/>
      <c r="BY2" s="1216"/>
      <c r="BZ2" s="1216"/>
    </row>
    <row r="3" spans="1:78" s="126" customFormat="1">
      <c r="A3" s="208" t="s">
        <v>672</v>
      </c>
      <c r="E3" s="167" t="s">
        <v>186</v>
      </c>
      <c r="F3" s="167" t="s">
        <v>187</v>
      </c>
      <c r="G3" s="166"/>
      <c r="H3" s="166"/>
      <c r="I3" s="181"/>
      <c r="M3" s="167"/>
      <c r="Q3" s="181"/>
      <c r="R3" s="181"/>
      <c r="S3" s="181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6"/>
      <c r="BJ3" s="165"/>
      <c r="BK3" s="165"/>
      <c r="BL3" s="165"/>
      <c r="BM3" s="165"/>
      <c r="BN3" s="165"/>
      <c r="BO3" s="165"/>
      <c r="BR3" s="165"/>
      <c r="BS3" s="165"/>
      <c r="BT3" s="165"/>
      <c r="BU3" s="165"/>
      <c r="BV3" s="165"/>
      <c r="BW3" s="165"/>
      <c r="BX3" s="165"/>
      <c r="BY3" s="165"/>
    </row>
    <row r="4" spans="1:78" s="126" customFormat="1">
      <c r="A4" s="192">
        <f>BB4</f>
        <v>44985.569444444445</v>
      </c>
      <c r="B4" s="126" t="s">
        <v>188</v>
      </c>
      <c r="C4" s="126" t="s">
        <v>184</v>
      </c>
      <c r="D4" s="126" t="s">
        <v>189</v>
      </c>
      <c r="E4" s="126" t="s">
        <v>673</v>
      </c>
      <c r="G4" s="165">
        <v>45003.279166666667</v>
      </c>
      <c r="H4" s="165">
        <v>45003.279166666667</v>
      </c>
      <c r="I4" s="126" t="s">
        <v>191</v>
      </c>
      <c r="J4" s="126" t="s">
        <v>192</v>
      </c>
      <c r="K4" s="126" t="s">
        <v>192</v>
      </c>
      <c r="L4" s="126" t="s">
        <v>674</v>
      </c>
      <c r="M4" s="167"/>
      <c r="N4" s="126" t="s">
        <v>675</v>
      </c>
      <c r="O4" s="126" t="s">
        <v>676</v>
      </c>
      <c r="P4" s="126" t="s">
        <v>88</v>
      </c>
      <c r="Q4" s="181">
        <v>5500</v>
      </c>
      <c r="R4" s="181">
        <v>5008.63</v>
      </c>
      <c r="S4" s="181"/>
      <c r="AM4" s="181">
        <f>R4</f>
        <v>5008.63</v>
      </c>
      <c r="AV4" s="165">
        <f t="shared" ref="AV4:AV67" si="0">AY4</f>
        <v>44985.5625</v>
      </c>
      <c r="AW4" s="165">
        <f t="shared" ref="AW4:AW67" si="1">BO4</f>
        <v>44992.805555555555</v>
      </c>
      <c r="AX4" s="137">
        <f t="shared" ref="AX4:AX67" si="2">AW4-AV4</f>
        <v>7.2430555555547471</v>
      </c>
      <c r="AY4" s="165">
        <v>44985.5625</v>
      </c>
      <c r="AZ4" s="165">
        <v>44985.5625</v>
      </c>
      <c r="BA4" s="165">
        <v>44985.5625</v>
      </c>
      <c r="BB4" s="165">
        <v>44985.569444444445</v>
      </c>
      <c r="BC4" s="165">
        <v>44985.975694444445</v>
      </c>
      <c r="BD4" s="165">
        <v>44985.975694444445</v>
      </c>
      <c r="BE4" s="165">
        <v>44985.975694444445</v>
      </c>
      <c r="BF4" s="165">
        <v>44985.975694444445</v>
      </c>
      <c r="BG4" s="166" t="s">
        <v>196</v>
      </c>
      <c r="BH4" s="166" t="s">
        <v>196</v>
      </c>
      <c r="BI4" s="166" t="s">
        <v>196</v>
      </c>
      <c r="BJ4" s="165">
        <v>44992.479166666664</v>
      </c>
      <c r="BK4" s="165">
        <v>44992.5625</v>
      </c>
      <c r="BL4" s="165">
        <v>44992.791666666664</v>
      </c>
      <c r="BM4" s="165">
        <v>44992.805555555555</v>
      </c>
      <c r="BN4" s="165">
        <v>44992.805555555555</v>
      </c>
      <c r="BO4" s="165">
        <v>44992.805555555555</v>
      </c>
      <c r="BR4" s="136">
        <f t="shared" ref="BR4:BR67" si="3">(BA4-AZ4)*24</f>
        <v>0</v>
      </c>
      <c r="BS4" s="136">
        <f t="shared" ref="BS4:BS67" si="4">(BC4-BB4)*24</f>
        <v>9.75</v>
      </c>
      <c r="BT4" s="136">
        <f t="shared" ref="BT4:BT67" si="5">(BF4-BE4)*24</f>
        <v>0</v>
      </c>
      <c r="BU4" s="136">
        <f>(BJ4-BF4)*24</f>
        <v>156.08333333325572</v>
      </c>
      <c r="BV4" s="135">
        <f t="shared" ref="BV4:BV67" si="6">(BL4-BK4)*24</f>
        <v>5.4999999999417923</v>
      </c>
      <c r="BW4" s="135">
        <f t="shared" ref="BW4:BW67" si="7">(BO4-BN4)*24</f>
        <v>0</v>
      </c>
      <c r="BX4" s="134">
        <f t="shared" ref="BX4:BX67" si="8">SUM(BR4:BW4)/24</f>
        <v>7.1388888888832298</v>
      </c>
      <c r="BY4" s="134">
        <f t="shared" ref="BY4:BY67" si="9">AX4</f>
        <v>7.2430555555547471</v>
      </c>
      <c r="BZ4" s="133">
        <f t="shared" ref="BZ4:BZ67" si="10">BX4/BY4</f>
        <v>0.98561840843652904</v>
      </c>
    </row>
    <row r="5" spans="1:78" s="126" customFormat="1">
      <c r="A5" s="192">
        <f>BB5</f>
        <v>44959.954861111109</v>
      </c>
      <c r="B5" s="126" t="s">
        <v>188</v>
      </c>
      <c r="C5" s="126" t="s">
        <v>78</v>
      </c>
      <c r="D5" s="126" t="s">
        <v>197</v>
      </c>
      <c r="E5" s="126" t="s">
        <v>677</v>
      </c>
      <c r="G5" s="165">
        <v>44969.470833333333</v>
      </c>
      <c r="H5" s="165">
        <v>44969.470833333333</v>
      </c>
      <c r="I5" s="126" t="s">
        <v>199</v>
      </c>
      <c r="J5" s="126" t="s">
        <v>192</v>
      </c>
      <c r="K5" s="126" t="s">
        <v>192</v>
      </c>
      <c r="L5" s="126" t="s">
        <v>678</v>
      </c>
      <c r="M5" s="167"/>
      <c r="N5" s="126" t="s">
        <v>208</v>
      </c>
      <c r="O5" s="126" t="s">
        <v>328</v>
      </c>
      <c r="P5" s="126" t="s">
        <v>78</v>
      </c>
      <c r="Q5" s="181">
        <f>3128*2.4</f>
        <v>7507.2</v>
      </c>
      <c r="R5" s="181">
        <v>7500</v>
      </c>
      <c r="S5" s="181"/>
      <c r="AN5" s="181">
        <f>R5</f>
        <v>7500</v>
      </c>
      <c r="AV5" s="165">
        <f t="shared" si="0"/>
        <v>44958.71875</v>
      </c>
      <c r="AW5" s="165">
        <f t="shared" si="1"/>
        <v>44963.418055555558</v>
      </c>
      <c r="AX5" s="137">
        <f t="shared" si="2"/>
        <v>4.6993055555576575</v>
      </c>
      <c r="AY5" s="165">
        <v>44958.71875</v>
      </c>
      <c r="AZ5" s="165">
        <v>44959.850694444445</v>
      </c>
      <c r="BA5" s="165">
        <v>44959.920138888891</v>
      </c>
      <c r="BB5" s="165">
        <v>44959.954861111109</v>
      </c>
      <c r="BC5" s="165">
        <v>44960.447916666664</v>
      </c>
      <c r="BD5" s="165">
        <v>44960.475694444445</v>
      </c>
      <c r="BE5" s="165">
        <v>44960.475694444445</v>
      </c>
      <c r="BF5" s="165">
        <f>BE5+(5/24)</f>
        <v>44960.684027777781</v>
      </c>
      <c r="BG5" s="165">
        <v>44960.541666666664</v>
      </c>
      <c r="BH5" s="165">
        <v>44960.708333333328</v>
      </c>
      <c r="BI5" s="165">
        <v>44960.666666666664</v>
      </c>
      <c r="BJ5" s="165">
        <v>44962.4375</v>
      </c>
      <c r="BK5" s="165">
        <v>44962.493055555555</v>
      </c>
      <c r="BL5" s="165">
        <v>44962.947916666664</v>
      </c>
      <c r="BM5" s="165">
        <v>44962.989583333336</v>
      </c>
      <c r="BN5" s="165">
        <v>44962.993055555555</v>
      </c>
      <c r="BO5" s="165">
        <v>44963.418055555558</v>
      </c>
      <c r="BR5" s="136">
        <f t="shared" si="3"/>
        <v>1.6666666666860692</v>
      </c>
      <c r="BS5" s="136">
        <f t="shared" si="4"/>
        <v>11.833333333313931</v>
      </c>
      <c r="BT5" s="136">
        <f t="shared" si="5"/>
        <v>5.0000000000582077</v>
      </c>
      <c r="BU5" s="136">
        <f>(BJ5-BH5)*24</f>
        <v>41.500000000116415</v>
      </c>
      <c r="BV5" s="135">
        <f t="shared" si="6"/>
        <v>10.916666666627862</v>
      </c>
      <c r="BW5" s="135">
        <f t="shared" si="7"/>
        <v>10.200000000069849</v>
      </c>
      <c r="BX5" s="134">
        <f t="shared" si="8"/>
        <v>3.3798611111196806</v>
      </c>
      <c r="BY5" s="134">
        <f t="shared" si="9"/>
        <v>4.6993055555576575</v>
      </c>
      <c r="BZ5" s="133">
        <f t="shared" si="10"/>
        <v>0.71922565391017634</v>
      </c>
    </row>
    <row r="6" spans="1:78" s="126" customFormat="1">
      <c r="A6" s="192">
        <f>BB6</f>
        <v>44964.982638888891</v>
      </c>
      <c r="B6" s="126" t="s">
        <v>188</v>
      </c>
      <c r="C6" s="126" t="s">
        <v>78</v>
      </c>
      <c r="D6" s="126" t="s">
        <v>197</v>
      </c>
      <c r="E6" s="126" t="s">
        <v>446</v>
      </c>
      <c r="G6" s="165">
        <v>44973.962500000001</v>
      </c>
      <c r="H6" s="165">
        <v>44973.962500000001</v>
      </c>
      <c r="I6" s="126" t="s">
        <v>199</v>
      </c>
      <c r="J6" s="126" t="s">
        <v>192</v>
      </c>
      <c r="K6" s="126" t="s">
        <v>192</v>
      </c>
      <c r="L6" s="126" t="s">
        <v>679</v>
      </c>
      <c r="M6" s="167"/>
      <c r="N6" s="126" t="s">
        <v>205</v>
      </c>
      <c r="O6" s="126" t="s">
        <v>206</v>
      </c>
      <c r="P6" s="126" t="s">
        <v>78</v>
      </c>
      <c r="Q6" s="181">
        <f>3015*2.4</f>
        <v>7236</v>
      </c>
      <c r="R6" s="181">
        <v>7500</v>
      </c>
      <c r="S6" s="181"/>
      <c r="AN6" s="181">
        <f>R6</f>
        <v>7500</v>
      </c>
      <c r="AV6" s="165">
        <f t="shared" si="0"/>
        <v>44957.8125</v>
      </c>
      <c r="AW6" s="165">
        <f t="shared" si="1"/>
        <v>44973.642361111109</v>
      </c>
      <c r="AX6" s="137">
        <f t="shared" si="2"/>
        <v>15.829861111109494</v>
      </c>
      <c r="AY6" s="165">
        <v>44957.8125</v>
      </c>
      <c r="AZ6" s="165">
        <v>44964.871527777781</v>
      </c>
      <c r="BA6" s="165">
        <v>44964.927083333336</v>
      </c>
      <c r="BB6" s="165">
        <v>44964.982638888891</v>
      </c>
      <c r="BC6" s="165">
        <v>44965.461805555555</v>
      </c>
      <c r="BD6" s="165">
        <v>44965.482638888891</v>
      </c>
      <c r="BE6" s="165">
        <v>44965.482638888891</v>
      </c>
      <c r="BF6" s="165">
        <f>BE6+(5/24)</f>
        <v>44965.690972222226</v>
      </c>
      <c r="BG6" s="165">
        <v>44968.25</v>
      </c>
      <c r="BH6" s="165">
        <v>44968.416666666664</v>
      </c>
      <c r="BI6" s="165">
        <v>44968.430555555555</v>
      </c>
      <c r="BJ6" s="165">
        <v>44970.03125</v>
      </c>
      <c r="BK6" s="165">
        <v>44972.704861111109</v>
      </c>
      <c r="BL6" s="165">
        <v>44972.920138888891</v>
      </c>
      <c r="BM6" s="165">
        <v>44972.934027777781</v>
      </c>
      <c r="BN6" s="165">
        <v>44972.9375</v>
      </c>
      <c r="BO6" s="165">
        <v>44973.642361111109</v>
      </c>
      <c r="BR6" s="136">
        <f t="shared" si="3"/>
        <v>1.3333333333139308</v>
      </c>
      <c r="BS6" s="136">
        <f t="shared" si="4"/>
        <v>11.499999999941792</v>
      </c>
      <c r="BT6" s="136">
        <f t="shared" si="5"/>
        <v>5.0000000000582077</v>
      </c>
      <c r="BU6" s="136">
        <f>(BJ6-BH6)*24</f>
        <v>38.750000000058208</v>
      </c>
      <c r="BV6" s="135">
        <f t="shared" si="6"/>
        <v>5.1666666667442769</v>
      </c>
      <c r="BW6" s="135">
        <f t="shared" si="7"/>
        <v>16.916666666627862</v>
      </c>
      <c r="BX6" s="134">
        <f t="shared" si="8"/>
        <v>3.2777777777810115</v>
      </c>
      <c r="BY6" s="134">
        <f t="shared" si="9"/>
        <v>15.829861111109494</v>
      </c>
      <c r="BZ6" s="133">
        <f t="shared" si="10"/>
        <v>0.20706295240206793</v>
      </c>
    </row>
    <row r="7" spans="1:78" s="126" customFormat="1">
      <c r="A7" s="192">
        <f>BB7</f>
        <v>44966.184027777781</v>
      </c>
      <c r="B7" s="126" t="s">
        <v>188</v>
      </c>
      <c r="C7" s="126" t="s">
        <v>78</v>
      </c>
      <c r="D7" s="126" t="s">
        <v>197</v>
      </c>
      <c r="E7" s="126" t="s">
        <v>680</v>
      </c>
      <c r="G7" s="165">
        <v>44978.833333333336</v>
      </c>
      <c r="H7" s="165">
        <v>44978.833333333336</v>
      </c>
      <c r="I7" s="126" t="s">
        <v>199</v>
      </c>
      <c r="J7" s="126" t="s">
        <v>192</v>
      </c>
      <c r="K7" s="126" t="s">
        <v>192</v>
      </c>
      <c r="L7" s="126" t="s">
        <v>681</v>
      </c>
      <c r="M7" s="167"/>
      <c r="N7" s="126" t="s">
        <v>238</v>
      </c>
      <c r="O7" s="126" t="s">
        <v>239</v>
      </c>
      <c r="P7" s="126" t="s">
        <v>78</v>
      </c>
      <c r="Q7" s="181">
        <f>3100*2.4</f>
        <v>7440</v>
      </c>
      <c r="R7" s="181">
        <v>7500</v>
      </c>
      <c r="S7" s="181"/>
      <c r="AN7" s="181">
        <f>R7</f>
        <v>7500</v>
      </c>
      <c r="AV7" s="165">
        <f t="shared" si="0"/>
        <v>44959.979166666664</v>
      </c>
      <c r="AW7" s="165">
        <f t="shared" si="1"/>
        <v>44974.291666666664</v>
      </c>
      <c r="AX7" s="137">
        <f t="shared" si="2"/>
        <v>14.3125</v>
      </c>
      <c r="AY7" s="165">
        <v>44959.979166666664</v>
      </c>
      <c r="AZ7" s="165">
        <v>44964.840277777781</v>
      </c>
      <c r="BA7" s="165">
        <v>44964.875</v>
      </c>
      <c r="BB7" s="165">
        <v>44966.184027777781</v>
      </c>
      <c r="BC7" s="165">
        <v>44966.618055555555</v>
      </c>
      <c r="BD7" s="165">
        <v>44966.645833333336</v>
      </c>
      <c r="BE7" s="165">
        <v>44966.645833333336</v>
      </c>
      <c r="BF7" s="165">
        <f>BE7+(5/24)</f>
        <v>44966.854166666672</v>
      </c>
      <c r="BG7" s="165">
        <v>44970.291666666664</v>
      </c>
      <c r="BH7" s="165">
        <v>44970.458333333328</v>
      </c>
      <c r="BI7" s="165">
        <v>44970.399305555555</v>
      </c>
      <c r="BJ7" s="165">
        <v>44973.541666666664</v>
      </c>
      <c r="BK7" s="165">
        <v>44973.680555555555</v>
      </c>
      <c r="BL7" s="165">
        <v>44973.909722222219</v>
      </c>
      <c r="BM7" s="165">
        <v>44973.927083333336</v>
      </c>
      <c r="BN7" s="165">
        <v>44973.944444444445</v>
      </c>
      <c r="BO7" s="165">
        <v>44974.291666666664</v>
      </c>
      <c r="BR7" s="136">
        <f t="shared" si="3"/>
        <v>0.83333333325572312</v>
      </c>
      <c r="BS7" s="136">
        <f t="shared" si="4"/>
        <v>10.416666666569654</v>
      </c>
      <c r="BT7" s="136">
        <f t="shared" si="5"/>
        <v>5.0000000000582077</v>
      </c>
      <c r="BU7" s="136">
        <f>(BJ7-BH7)*24</f>
        <v>74.000000000058208</v>
      </c>
      <c r="BV7" s="135">
        <f t="shared" si="6"/>
        <v>5.4999999999417923</v>
      </c>
      <c r="BW7" s="135">
        <f t="shared" si="7"/>
        <v>8.3333333332557231</v>
      </c>
      <c r="BX7" s="134">
        <f t="shared" si="8"/>
        <v>4.3368055555474712</v>
      </c>
      <c r="BY7" s="134">
        <f t="shared" si="9"/>
        <v>14.3125</v>
      </c>
      <c r="BZ7" s="133">
        <f t="shared" si="10"/>
        <v>0.30300824842253071</v>
      </c>
    </row>
    <row r="8" spans="1:78" s="126" customFormat="1">
      <c r="A8" s="192">
        <f>BB8</f>
        <v>44965.545138888891</v>
      </c>
      <c r="B8" s="126" t="s">
        <v>188</v>
      </c>
      <c r="C8" s="126" t="s">
        <v>78</v>
      </c>
      <c r="D8" s="126" t="s">
        <v>197</v>
      </c>
      <c r="E8" s="126" t="s">
        <v>680</v>
      </c>
      <c r="G8" s="165">
        <v>44978.833333333336</v>
      </c>
      <c r="H8" s="165">
        <v>44978.833333333336</v>
      </c>
      <c r="I8" s="126" t="s">
        <v>199</v>
      </c>
      <c r="J8" s="126" t="s">
        <v>192</v>
      </c>
      <c r="K8" s="126" t="s">
        <v>192</v>
      </c>
      <c r="L8" s="126" t="s">
        <v>682</v>
      </c>
      <c r="M8" s="167"/>
      <c r="N8" s="126" t="s">
        <v>304</v>
      </c>
      <c r="O8" s="126" t="s">
        <v>305</v>
      </c>
      <c r="P8" s="126" t="s">
        <v>78</v>
      </c>
      <c r="Q8" s="181">
        <f>3107*2.4</f>
        <v>7456.7999999999993</v>
      </c>
      <c r="R8" s="181">
        <v>7500</v>
      </c>
      <c r="S8" s="181"/>
      <c r="AN8" s="181">
        <f>R8</f>
        <v>7500</v>
      </c>
      <c r="AV8" s="165">
        <f t="shared" si="0"/>
        <v>44960.319444444445</v>
      </c>
      <c r="AW8" s="165">
        <f t="shared" si="1"/>
        <v>44969.5</v>
      </c>
      <c r="AX8" s="137">
        <f t="shared" si="2"/>
        <v>9.1805555555547471</v>
      </c>
      <c r="AY8" s="165">
        <v>44960.319444444445</v>
      </c>
      <c r="AZ8" s="165">
        <v>44964.631944444445</v>
      </c>
      <c r="BA8" s="165">
        <v>44964.71875</v>
      </c>
      <c r="BB8" s="165">
        <v>44965.545138888891</v>
      </c>
      <c r="BC8" s="165">
        <v>44966.104166666664</v>
      </c>
      <c r="BD8" s="165">
        <v>44966.138888888891</v>
      </c>
      <c r="BE8" s="165">
        <v>44966.138888888891</v>
      </c>
      <c r="BF8" s="165">
        <f>BE8+(5/24)</f>
        <v>44966.347222222226</v>
      </c>
      <c r="BG8" s="165">
        <v>44966.25</v>
      </c>
      <c r="BH8" s="165">
        <v>44966.416666666664</v>
      </c>
      <c r="BI8" s="165">
        <v>44966.302083333336</v>
      </c>
      <c r="BJ8" s="165">
        <v>44968.5</v>
      </c>
      <c r="BK8" s="165">
        <v>44968.638888888891</v>
      </c>
      <c r="BL8" s="165">
        <v>44969.027777777781</v>
      </c>
      <c r="BM8" s="165">
        <v>44969.09375</v>
      </c>
      <c r="BN8" s="165">
        <v>44969.114583333336</v>
      </c>
      <c r="BO8" s="165">
        <v>44969.5</v>
      </c>
      <c r="BR8" s="136">
        <f t="shared" si="3"/>
        <v>2.0833333333139308</v>
      </c>
      <c r="BS8" s="136">
        <f t="shared" si="4"/>
        <v>13.416666666569654</v>
      </c>
      <c r="BT8" s="136">
        <f t="shared" si="5"/>
        <v>5.0000000000582077</v>
      </c>
      <c r="BU8" s="136">
        <f>(BJ8-BF8)*24</f>
        <v>51.666666666569654</v>
      </c>
      <c r="BV8" s="135">
        <f t="shared" si="6"/>
        <v>9.3333333333721384</v>
      </c>
      <c r="BW8" s="135">
        <f t="shared" si="7"/>
        <v>9.2499999999417923</v>
      </c>
      <c r="BX8" s="134">
        <f t="shared" si="8"/>
        <v>3.781249999992724</v>
      </c>
      <c r="BY8" s="134">
        <f t="shared" si="9"/>
        <v>9.1805555555547471</v>
      </c>
      <c r="BZ8" s="133">
        <f t="shared" si="10"/>
        <v>0.4118759455363088</v>
      </c>
    </row>
    <row r="9" spans="1:78" s="126" customFormat="1">
      <c r="A9" s="192"/>
      <c r="D9" s="126" t="s">
        <v>197</v>
      </c>
      <c r="G9" s="165"/>
      <c r="H9" s="165"/>
      <c r="J9" s="126" t="s">
        <v>312</v>
      </c>
      <c r="L9" s="126" t="s">
        <v>683</v>
      </c>
      <c r="M9" s="167"/>
      <c r="N9" s="126" t="s">
        <v>319</v>
      </c>
      <c r="O9" s="126" t="s">
        <v>320</v>
      </c>
      <c r="Q9" s="181">
        <f>3136*2.4</f>
        <v>7526.4</v>
      </c>
      <c r="R9" s="181"/>
      <c r="S9" s="181"/>
      <c r="AV9" s="165">
        <f t="shared" si="0"/>
        <v>44958</v>
      </c>
      <c r="AW9" s="165">
        <f t="shared" si="1"/>
        <v>44986</v>
      </c>
      <c r="AX9" s="137">
        <f t="shared" si="2"/>
        <v>28</v>
      </c>
      <c r="AY9" s="165">
        <v>44958</v>
      </c>
      <c r="AZ9" s="165"/>
      <c r="BA9" s="165"/>
      <c r="BB9" s="165"/>
      <c r="BC9" s="165"/>
      <c r="BD9" s="165"/>
      <c r="BE9" s="165"/>
      <c r="BF9" s="165"/>
      <c r="BG9" s="165"/>
      <c r="BH9" s="165"/>
      <c r="BI9" s="166"/>
      <c r="BJ9" s="165"/>
      <c r="BK9" s="165"/>
      <c r="BL9" s="165"/>
      <c r="BM9" s="165"/>
      <c r="BN9" s="165"/>
      <c r="BO9" s="165">
        <v>44986</v>
      </c>
      <c r="BP9" s="126" t="s">
        <v>321</v>
      </c>
      <c r="BR9" s="136">
        <f t="shared" si="3"/>
        <v>0</v>
      </c>
      <c r="BS9" s="136">
        <f t="shared" si="4"/>
        <v>0</v>
      </c>
      <c r="BT9" s="136">
        <f t="shared" si="5"/>
        <v>0</v>
      </c>
      <c r="BU9" s="136">
        <f t="shared" ref="BU9:BU37" si="11">(BJ9-BH9)*24</f>
        <v>0</v>
      </c>
      <c r="BV9" s="135">
        <f t="shared" si="6"/>
        <v>0</v>
      </c>
      <c r="BW9" s="135">
        <f t="shared" si="7"/>
        <v>1079664</v>
      </c>
      <c r="BX9" s="134">
        <f t="shared" si="8"/>
        <v>44986</v>
      </c>
      <c r="BY9" s="134">
        <f t="shared" si="9"/>
        <v>28</v>
      </c>
      <c r="BZ9" s="133">
        <f t="shared" si="10"/>
        <v>1606.6428571428571</v>
      </c>
    </row>
    <row r="10" spans="1:78" s="126" customFormat="1">
      <c r="A10" s="192">
        <f>BB10</f>
        <v>44971.090277777781</v>
      </c>
      <c r="B10" s="126" t="s">
        <v>228</v>
      </c>
      <c r="C10" s="126" t="s">
        <v>229</v>
      </c>
      <c r="D10" s="126" t="s">
        <v>197</v>
      </c>
      <c r="E10" s="126" t="s">
        <v>684</v>
      </c>
      <c r="G10" s="73">
        <v>44972.000694444447</v>
      </c>
      <c r="H10" s="73">
        <v>44972.000694444447</v>
      </c>
      <c r="I10" s="126" t="s">
        <v>231</v>
      </c>
      <c r="J10" s="126" t="s">
        <v>192</v>
      </c>
      <c r="K10" s="126" t="s">
        <v>192</v>
      </c>
      <c r="L10" s="126" t="s">
        <v>685</v>
      </c>
      <c r="M10" s="167"/>
      <c r="N10" s="126" t="s">
        <v>686</v>
      </c>
      <c r="O10" s="126" t="s">
        <v>687</v>
      </c>
      <c r="P10" s="126" t="s">
        <v>235</v>
      </c>
      <c r="Q10" s="181">
        <v>7500</v>
      </c>
      <c r="R10" s="181">
        <v>7417.7449999999999</v>
      </c>
      <c r="S10" s="181"/>
      <c r="W10" s="181">
        <f>R10</f>
        <v>7417.7449999999999</v>
      </c>
      <c r="AV10" s="165">
        <f t="shared" si="0"/>
        <v>44958</v>
      </c>
      <c r="AW10" s="165">
        <f t="shared" si="1"/>
        <v>44980.041666666664</v>
      </c>
      <c r="AX10" s="137">
        <f t="shared" si="2"/>
        <v>22.041666666664241</v>
      </c>
      <c r="AY10" s="165">
        <v>44958</v>
      </c>
      <c r="AZ10" s="165">
        <v>44961.385416666664</v>
      </c>
      <c r="BA10" s="165">
        <v>44963.270833333336</v>
      </c>
      <c r="BB10" s="165">
        <v>44971.090277777781</v>
      </c>
      <c r="BC10" s="165">
        <v>44971.256944444445</v>
      </c>
      <c r="BD10" s="165">
        <v>44971.260416666664</v>
      </c>
      <c r="BE10" s="165">
        <v>44971.260416666664</v>
      </c>
      <c r="BF10" s="165">
        <f>BE10+(41/24)</f>
        <v>44972.96875</v>
      </c>
      <c r="BG10" s="165">
        <v>44973.541666608799</v>
      </c>
      <c r="BH10" s="165">
        <v>44973.708333275463</v>
      </c>
      <c r="BI10" s="165">
        <v>44973.6875</v>
      </c>
      <c r="BJ10" s="165">
        <v>44977.291666666664</v>
      </c>
      <c r="BK10" s="165">
        <v>44979.465277777781</v>
      </c>
      <c r="BL10" s="165">
        <v>44979.708333333336</v>
      </c>
      <c r="BM10" s="165">
        <v>44979.729166666664</v>
      </c>
      <c r="BN10" s="165">
        <v>44979.729166666664</v>
      </c>
      <c r="BO10" s="165">
        <v>44980.041666666664</v>
      </c>
      <c r="BP10" s="126" t="s">
        <v>688</v>
      </c>
      <c r="BR10" s="136">
        <f t="shared" si="3"/>
        <v>45.250000000116415</v>
      </c>
      <c r="BS10" s="136">
        <f t="shared" si="4"/>
        <v>3.9999999999417923</v>
      </c>
      <c r="BT10" s="136">
        <f t="shared" si="5"/>
        <v>41.000000000058208</v>
      </c>
      <c r="BU10" s="136">
        <f t="shared" si="11"/>
        <v>86.000001388834789</v>
      </c>
      <c r="BV10" s="135">
        <f t="shared" si="6"/>
        <v>5.8333333333139308</v>
      </c>
      <c r="BW10" s="135">
        <f t="shared" si="7"/>
        <v>7.5</v>
      </c>
      <c r="BX10" s="134">
        <f t="shared" si="8"/>
        <v>7.899305613427714</v>
      </c>
      <c r="BY10" s="134">
        <f t="shared" si="9"/>
        <v>22.041666666664241</v>
      </c>
      <c r="BZ10" s="133">
        <f t="shared" si="10"/>
        <v>0.35838059493815877</v>
      </c>
    </row>
    <row r="11" spans="1:78" s="126" customFormat="1">
      <c r="A11" s="192"/>
      <c r="D11" s="126" t="s">
        <v>197</v>
      </c>
      <c r="G11" s="165"/>
      <c r="H11" s="165"/>
      <c r="J11" s="126" t="s">
        <v>312</v>
      </c>
      <c r="L11" s="126" t="s">
        <v>689</v>
      </c>
      <c r="M11" s="167"/>
      <c r="N11" s="126" t="s">
        <v>314</v>
      </c>
      <c r="O11" s="126" t="s">
        <v>315</v>
      </c>
      <c r="Q11" s="181">
        <f>3146*2.4</f>
        <v>7550.4</v>
      </c>
      <c r="R11" s="181"/>
      <c r="S11" s="181"/>
      <c r="AV11" s="165">
        <f t="shared" si="0"/>
        <v>44958</v>
      </c>
      <c r="AW11" s="165">
        <f t="shared" si="1"/>
        <v>44986</v>
      </c>
      <c r="AX11" s="137">
        <f t="shared" si="2"/>
        <v>28</v>
      </c>
      <c r="AY11" s="165">
        <v>44958</v>
      </c>
      <c r="AZ11" s="165"/>
      <c r="BA11" s="165"/>
      <c r="BB11" s="165"/>
      <c r="BC11" s="165"/>
      <c r="BD11" s="165"/>
      <c r="BE11" s="165"/>
      <c r="BF11" s="165"/>
      <c r="BG11" s="165"/>
      <c r="BH11" s="165"/>
      <c r="BI11" s="166"/>
      <c r="BJ11" s="165"/>
      <c r="BK11" s="165"/>
      <c r="BL11" s="165"/>
      <c r="BM11" s="165"/>
      <c r="BN11" s="165"/>
      <c r="BO11" s="165">
        <v>44986</v>
      </c>
      <c r="BP11" s="126" t="s">
        <v>316</v>
      </c>
      <c r="BR11" s="136">
        <f t="shared" si="3"/>
        <v>0</v>
      </c>
      <c r="BS11" s="136">
        <f t="shared" si="4"/>
        <v>0</v>
      </c>
      <c r="BT11" s="136">
        <f t="shared" si="5"/>
        <v>0</v>
      </c>
      <c r="BU11" s="136">
        <f t="shared" si="11"/>
        <v>0</v>
      </c>
      <c r="BV11" s="135">
        <f t="shared" si="6"/>
        <v>0</v>
      </c>
      <c r="BW11" s="135">
        <f t="shared" si="7"/>
        <v>1079664</v>
      </c>
      <c r="BX11" s="134">
        <f t="shared" si="8"/>
        <v>44986</v>
      </c>
      <c r="BY11" s="134">
        <f t="shared" si="9"/>
        <v>28</v>
      </c>
      <c r="BZ11" s="133">
        <f t="shared" si="10"/>
        <v>1606.6428571428571</v>
      </c>
    </row>
    <row r="12" spans="1:78" s="126" customFormat="1">
      <c r="A12" s="192"/>
      <c r="D12" s="126" t="s">
        <v>215</v>
      </c>
      <c r="J12" s="126" t="s">
        <v>312</v>
      </c>
      <c r="L12" s="126" t="s">
        <v>690</v>
      </c>
      <c r="M12" s="167"/>
      <c r="N12" s="126" t="s">
        <v>263</v>
      </c>
      <c r="O12" s="126" t="s">
        <v>285</v>
      </c>
      <c r="Q12" s="181">
        <f>3852*2.4</f>
        <v>9244.7999999999993</v>
      </c>
      <c r="R12" s="181"/>
      <c r="S12" s="181"/>
      <c r="AV12" s="165">
        <f t="shared" si="0"/>
        <v>44958</v>
      </c>
      <c r="AW12" s="165">
        <f t="shared" si="1"/>
        <v>44963.388888888891</v>
      </c>
      <c r="AX12" s="137">
        <f t="shared" si="2"/>
        <v>5.3888888888905058</v>
      </c>
      <c r="AY12" s="165">
        <v>44958</v>
      </c>
      <c r="AZ12" s="166" t="s">
        <v>196</v>
      </c>
      <c r="BA12" s="166" t="s">
        <v>196</v>
      </c>
      <c r="BB12" s="166" t="s">
        <v>196</v>
      </c>
      <c r="BC12" s="166" t="s">
        <v>196</v>
      </c>
      <c r="BD12" s="166" t="s">
        <v>196</v>
      </c>
      <c r="BE12" s="166" t="s">
        <v>196</v>
      </c>
      <c r="BF12" s="166" t="s">
        <v>196</v>
      </c>
      <c r="BG12" s="166" t="s">
        <v>196</v>
      </c>
      <c r="BH12" s="166" t="s">
        <v>196</v>
      </c>
      <c r="BI12" s="166" t="s">
        <v>196</v>
      </c>
      <c r="BJ12" s="166" t="s">
        <v>196</v>
      </c>
      <c r="BK12" s="166" t="s">
        <v>196</v>
      </c>
      <c r="BL12" s="166" t="s">
        <v>196</v>
      </c>
      <c r="BM12" s="166" t="s">
        <v>196</v>
      </c>
      <c r="BN12" s="166" t="s">
        <v>196</v>
      </c>
      <c r="BO12" s="165">
        <v>44963.388888888891</v>
      </c>
      <c r="BP12" s="126" t="s">
        <v>691</v>
      </c>
      <c r="BR12" s="136" t="e">
        <f t="shared" si="3"/>
        <v>#VALUE!</v>
      </c>
      <c r="BS12" s="136" t="e">
        <f t="shared" si="4"/>
        <v>#VALUE!</v>
      </c>
      <c r="BT12" s="136" t="e">
        <f t="shared" si="5"/>
        <v>#VALUE!</v>
      </c>
      <c r="BU12" s="136" t="e">
        <f t="shared" si="11"/>
        <v>#VALUE!</v>
      </c>
      <c r="BV12" s="135" t="e">
        <f t="shared" si="6"/>
        <v>#VALUE!</v>
      </c>
      <c r="BW12" s="135" t="e">
        <f t="shared" si="7"/>
        <v>#VALUE!</v>
      </c>
      <c r="BX12" s="134" t="e">
        <f t="shared" si="8"/>
        <v>#VALUE!</v>
      </c>
      <c r="BY12" s="134">
        <f t="shared" si="9"/>
        <v>5.3888888888905058</v>
      </c>
      <c r="BZ12" s="133" t="e">
        <f t="shared" si="10"/>
        <v>#VALUE!</v>
      </c>
    </row>
    <row r="13" spans="1:78" s="126" customFormat="1">
      <c r="A13" s="192">
        <f t="shared" ref="A13:A76" si="12">BB13</f>
        <v>44959.157638888886</v>
      </c>
      <c r="B13" s="126" t="s">
        <v>228</v>
      </c>
      <c r="C13" s="126" t="s">
        <v>229</v>
      </c>
      <c r="D13" s="126" t="s">
        <v>197</v>
      </c>
      <c r="E13" s="126" t="s">
        <v>416</v>
      </c>
      <c r="G13" s="73">
        <v>44955.895833333336</v>
      </c>
      <c r="H13" s="73">
        <v>44955.895833333336</v>
      </c>
      <c r="I13" s="126" t="s">
        <v>231</v>
      </c>
      <c r="J13" s="126" t="s">
        <v>192</v>
      </c>
      <c r="K13" s="126" t="s">
        <v>192</v>
      </c>
      <c r="L13" s="126" t="s">
        <v>692</v>
      </c>
      <c r="M13" s="167"/>
      <c r="N13" s="126" t="s">
        <v>346</v>
      </c>
      <c r="O13" s="126" t="s">
        <v>347</v>
      </c>
      <c r="P13" s="126" t="s">
        <v>235</v>
      </c>
      <c r="Q13" s="181">
        <f>3136*2.4</f>
        <v>7526.4</v>
      </c>
      <c r="R13" s="181">
        <f>7598.229-6288.251</f>
        <v>1309.9780000000001</v>
      </c>
      <c r="S13" s="181"/>
      <c r="W13" s="181">
        <f>R13</f>
        <v>1309.9780000000001</v>
      </c>
      <c r="AV13" s="165">
        <f t="shared" si="0"/>
        <v>44955.0625</v>
      </c>
      <c r="AW13" s="165">
        <f t="shared" si="1"/>
        <v>44966.0625</v>
      </c>
      <c r="AX13" s="137">
        <f t="shared" si="2"/>
        <v>11</v>
      </c>
      <c r="AY13" s="165">
        <v>44955.0625</v>
      </c>
      <c r="AZ13" s="165">
        <v>44956.815972222219</v>
      </c>
      <c r="BA13" s="165">
        <v>44958.895833333336</v>
      </c>
      <c r="BB13" s="165">
        <v>44959.157638888886</v>
      </c>
      <c r="BC13" s="165">
        <v>44959.361111111109</v>
      </c>
      <c r="BD13" s="165">
        <v>44959.371527777781</v>
      </c>
      <c r="BE13" s="165">
        <v>44959.371527777781</v>
      </c>
      <c r="BF13" s="165">
        <f t="shared" ref="BF13:BF55" si="13">BE13+(41/24)</f>
        <v>44961.079861111117</v>
      </c>
      <c r="BG13" s="165">
        <v>44962.25</v>
      </c>
      <c r="BH13" s="165">
        <v>44962.416666666664</v>
      </c>
      <c r="BI13" s="165">
        <v>44962.277777777781</v>
      </c>
      <c r="BJ13" s="165">
        <v>44963.541666666664</v>
      </c>
      <c r="BK13" s="165">
        <v>44964.336805555555</v>
      </c>
      <c r="BL13" s="165">
        <v>44964.548611111109</v>
      </c>
      <c r="BM13" s="165">
        <v>44964.614583333336</v>
      </c>
      <c r="BN13" s="165">
        <v>44966.0625</v>
      </c>
      <c r="BO13" s="165">
        <v>44966.0625</v>
      </c>
      <c r="BR13" s="136">
        <f t="shared" si="3"/>
        <v>49.916666666802485</v>
      </c>
      <c r="BS13" s="136">
        <f t="shared" si="4"/>
        <v>4.8833333333604969</v>
      </c>
      <c r="BT13" s="136">
        <f t="shared" si="5"/>
        <v>41.000000000058208</v>
      </c>
      <c r="BU13" s="136">
        <f t="shared" si="11"/>
        <v>27</v>
      </c>
      <c r="BV13" s="135">
        <f t="shared" si="6"/>
        <v>5.0833333333139308</v>
      </c>
      <c r="BW13" s="135">
        <f t="shared" si="7"/>
        <v>0</v>
      </c>
      <c r="BX13" s="134">
        <f t="shared" si="8"/>
        <v>5.32847222223063</v>
      </c>
      <c r="BY13" s="134">
        <f t="shared" si="9"/>
        <v>11</v>
      </c>
      <c r="BZ13" s="133">
        <f t="shared" si="10"/>
        <v>0.48440656565732998</v>
      </c>
    </row>
    <row r="14" spans="1:78" s="126" customFormat="1">
      <c r="A14" s="192">
        <f t="shared" si="12"/>
        <v>44959.157638888886</v>
      </c>
      <c r="B14" s="126" t="s">
        <v>228</v>
      </c>
      <c r="C14" s="126" t="s">
        <v>229</v>
      </c>
      <c r="D14" s="126" t="s">
        <v>197</v>
      </c>
      <c r="E14" s="126" t="s">
        <v>680</v>
      </c>
      <c r="G14" s="165">
        <v>44978.833333333336</v>
      </c>
      <c r="H14" s="165">
        <v>44978.833333333336</v>
      </c>
      <c r="I14" s="126" t="s">
        <v>243</v>
      </c>
      <c r="J14" s="126" t="s">
        <v>192</v>
      </c>
      <c r="K14" s="126" t="s">
        <v>192</v>
      </c>
      <c r="L14" s="126" t="s">
        <v>692</v>
      </c>
      <c r="M14" s="167"/>
      <c r="N14" s="126" t="s">
        <v>346</v>
      </c>
      <c r="O14" s="126" t="s">
        <v>347</v>
      </c>
      <c r="P14" s="126" t="s">
        <v>235</v>
      </c>
      <c r="Q14" s="181">
        <f>3136*2.4</f>
        <v>7526.4</v>
      </c>
      <c r="R14" s="181">
        <v>6022</v>
      </c>
      <c r="S14" s="181"/>
      <c r="W14" s="181">
        <f>R14</f>
        <v>6022</v>
      </c>
      <c r="AV14" s="165">
        <f t="shared" si="0"/>
        <v>44955.0625</v>
      </c>
      <c r="AW14" s="165">
        <f t="shared" si="1"/>
        <v>44968.395833333336</v>
      </c>
      <c r="AX14" s="137">
        <f t="shared" si="2"/>
        <v>13.333333333335759</v>
      </c>
      <c r="AY14" s="165">
        <v>44955.0625</v>
      </c>
      <c r="AZ14" s="165">
        <v>44956.815972222219</v>
      </c>
      <c r="BA14" s="165">
        <v>44958.895833333336</v>
      </c>
      <c r="BB14" s="165">
        <v>44959.157638888886</v>
      </c>
      <c r="BC14" s="165">
        <v>44959.361111111109</v>
      </c>
      <c r="BD14" s="165">
        <v>44959.371527777781</v>
      </c>
      <c r="BE14" s="165">
        <v>44959.371527777781</v>
      </c>
      <c r="BF14" s="165">
        <f t="shared" si="13"/>
        <v>44961.079861111117</v>
      </c>
      <c r="BG14" s="165">
        <v>44962.25</v>
      </c>
      <c r="BH14" s="165">
        <v>44962.416666666664</v>
      </c>
      <c r="BI14" s="165">
        <v>44962.277777777781</v>
      </c>
      <c r="BJ14" s="165">
        <v>44966.333333333336</v>
      </c>
      <c r="BK14" s="165">
        <v>44967.364583333336</v>
      </c>
      <c r="BL14" s="165">
        <v>44967.607638888891</v>
      </c>
      <c r="BM14" s="165">
        <v>44967.621527777781</v>
      </c>
      <c r="BN14" s="165">
        <v>44967.84375</v>
      </c>
      <c r="BO14" s="165">
        <v>44968.395833333336</v>
      </c>
      <c r="BR14" s="136">
        <f t="shared" si="3"/>
        <v>49.916666666802485</v>
      </c>
      <c r="BS14" s="136">
        <f t="shared" si="4"/>
        <v>4.8833333333604969</v>
      </c>
      <c r="BT14" s="136">
        <f t="shared" si="5"/>
        <v>41.000000000058208</v>
      </c>
      <c r="BU14" s="136">
        <f t="shared" si="11"/>
        <v>94.000000000116415</v>
      </c>
      <c r="BV14" s="135">
        <f t="shared" si="6"/>
        <v>5.8333333333139308</v>
      </c>
      <c r="BW14" s="135">
        <f t="shared" si="7"/>
        <v>13.250000000058208</v>
      </c>
      <c r="BX14" s="134">
        <f t="shared" si="8"/>
        <v>8.703472222237906</v>
      </c>
      <c r="BY14" s="134">
        <f t="shared" si="9"/>
        <v>13.333333333335759</v>
      </c>
      <c r="BZ14" s="133">
        <f t="shared" si="10"/>
        <v>0.65276041666772422</v>
      </c>
    </row>
    <row r="15" spans="1:78" s="126" customFormat="1">
      <c r="A15" s="192">
        <f t="shared" si="12"/>
        <v>44967.017361111109</v>
      </c>
      <c r="B15" s="126" t="s">
        <v>228</v>
      </c>
      <c r="C15" s="126" t="s">
        <v>229</v>
      </c>
      <c r="D15" s="126" t="s">
        <v>197</v>
      </c>
      <c r="E15" s="126" t="s">
        <v>693</v>
      </c>
      <c r="G15" s="73">
        <v>44973.989583333336</v>
      </c>
      <c r="H15" s="73">
        <v>44973.999305555553</v>
      </c>
      <c r="I15" s="126" t="s">
        <v>231</v>
      </c>
      <c r="J15" s="126" t="s">
        <v>192</v>
      </c>
      <c r="K15" s="126" t="s">
        <v>192</v>
      </c>
      <c r="L15" s="126" t="s">
        <v>694</v>
      </c>
      <c r="M15" s="167"/>
      <c r="N15" s="126" t="s">
        <v>695</v>
      </c>
      <c r="O15" s="126" t="s">
        <v>281</v>
      </c>
      <c r="P15" s="126" t="s">
        <v>240</v>
      </c>
      <c r="Q15" s="181">
        <f>3102*2.4</f>
        <v>7444.7999999999993</v>
      </c>
      <c r="R15" s="181">
        <v>7634.335</v>
      </c>
      <c r="S15" s="181"/>
      <c r="X15" s="181">
        <f>R15</f>
        <v>7634.335</v>
      </c>
      <c r="AV15" s="165">
        <f t="shared" si="0"/>
        <v>44950.888888888891</v>
      </c>
      <c r="AW15" s="165">
        <f t="shared" si="1"/>
        <v>44975.916666666664</v>
      </c>
      <c r="AX15" s="137">
        <f t="shared" si="2"/>
        <v>25.027777777773736</v>
      </c>
      <c r="AY15" s="165">
        <v>44950.888888888891</v>
      </c>
      <c r="AZ15" s="165">
        <v>44957.836805555555</v>
      </c>
      <c r="BA15" s="165">
        <v>44960.083333333336</v>
      </c>
      <c r="BB15" s="165">
        <v>44967.017361111109</v>
      </c>
      <c r="BC15" s="165">
        <v>44967.911111111112</v>
      </c>
      <c r="BD15" s="165">
        <v>44967.916666666664</v>
      </c>
      <c r="BE15" s="165">
        <v>44967.916666666664</v>
      </c>
      <c r="BF15" s="165">
        <f t="shared" si="13"/>
        <v>44969.625</v>
      </c>
      <c r="BG15" s="165">
        <v>44970.291666666664</v>
      </c>
      <c r="BH15" s="165">
        <v>44970.458333333328</v>
      </c>
      <c r="BI15" s="165">
        <v>44970.361111111109</v>
      </c>
      <c r="BJ15" s="165">
        <v>44973.729166666664</v>
      </c>
      <c r="BK15" s="165">
        <v>44975.434027777781</v>
      </c>
      <c r="BL15" s="165">
        <v>44975.59375</v>
      </c>
      <c r="BM15" s="165">
        <v>44975.614583333336</v>
      </c>
      <c r="BN15" s="165">
        <v>44975.614583333336</v>
      </c>
      <c r="BO15" s="165">
        <v>44975.916666666664</v>
      </c>
      <c r="BP15" s="126" t="s">
        <v>696</v>
      </c>
      <c r="BR15" s="136">
        <f t="shared" si="3"/>
        <v>53.916666666744277</v>
      </c>
      <c r="BS15" s="136">
        <f t="shared" si="4"/>
        <v>21.450000000069849</v>
      </c>
      <c r="BT15" s="136">
        <f t="shared" si="5"/>
        <v>41.000000000058208</v>
      </c>
      <c r="BU15" s="136">
        <f t="shared" si="11"/>
        <v>78.500000000058208</v>
      </c>
      <c r="BV15" s="135">
        <f t="shared" si="6"/>
        <v>3.8333333332557231</v>
      </c>
      <c r="BW15" s="135">
        <f t="shared" si="7"/>
        <v>7.2499999998835847</v>
      </c>
      <c r="BX15" s="134">
        <f t="shared" si="8"/>
        <v>8.5812500000029104</v>
      </c>
      <c r="BY15" s="134">
        <f t="shared" si="9"/>
        <v>25.027777777773736</v>
      </c>
      <c r="BZ15" s="133">
        <f t="shared" si="10"/>
        <v>0.342869034406387</v>
      </c>
    </row>
    <row r="16" spans="1:78" s="126" customFormat="1">
      <c r="A16" s="192">
        <f t="shared" si="12"/>
        <v>44971.732638888891</v>
      </c>
      <c r="B16" s="126" t="s">
        <v>228</v>
      </c>
      <c r="C16" s="126" t="s">
        <v>229</v>
      </c>
      <c r="D16" s="126" t="s">
        <v>197</v>
      </c>
      <c r="E16" s="126" t="s">
        <v>684</v>
      </c>
      <c r="G16" s="73">
        <v>44972.000694444447</v>
      </c>
      <c r="H16" s="73">
        <v>44972.000694444447</v>
      </c>
      <c r="I16" s="126" t="s">
        <v>231</v>
      </c>
      <c r="J16" s="126" t="s">
        <v>192</v>
      </c>
      <c r="K16" s="126" t="s">
        <v>192</v>
      </c>
      <c r="L16" s="126" t="s">
        <v>697</v>
      </c>
      <c r="M16" s="167"/>
      <c r="N16" s="126" t="s">
        <v>310</v>
      </c>
      <c r="O16" s="126" t="s">
        <v>311</v>
      </c>
      <c r="P16" s="126" t="s">
        <v>235</v>
      </c>
      <c r="Q16" s="181">
        <f>3128*2.4</f>
        <v>7507.2</v>
      </c>
      <c r="R16" s="181">
        <f>7535.942-5574.283</f>
        <v>1961.6589999999997</v>
      </c>
      <c r="S16" s="181"/>
      <c r="W16" s="181">
        <f>R16</f>
        <v>1961.6589999999997</v>
      </c>
      <c r="AV16" s="165">
        <f t="shared" si="0"/>
        <v>44961.548611111109</v>
      </c>
      <c r="AW16" s="165">
        <f t="shared" si="1"/>
        <v>44979.90625</v>
      </c>
      <c r="AX16" s="137">
        <f t="shared" si="2"/>
        <v>18.357638888890506</v>
      </c>
      <c r="AY16" s="165">
        <v>44961.548611111109</v>
      </c>
      <c r="AZ16" s="165">
        <v>44964.552083333336</v>
      </c>
      <c r="BA16" s="165">
        <v>44968.6875</v>
      </c>
      <c r="BB16" s="165">
        <v>44971.732638888891</v>
      </c>
      <c r="BC16" s="165">
        <v>44971.927083333336</v>
      </c>
      <c r="BD16" s="165">
        <v>44971.934027777781</v>
      </c>
      <c r="BE16" s="165">
        <v>44971.934027777781</v>
      </c>
      <c r="BF16" s="165">
        <f t="shared" si="13"/>
        <v>44973.642361111117</v>
      </c>
      <c r="BG16" s="165">
        <v>44973.541666608799</v>
      </c>
      <c r="BH16" s="165">
        <v>44973.708333275463</v>
      </c>
      <c r="BI16" s="165">
        <v>44973.635416666664</v>
      </c>
      <c r="BJ16" s="165">
        <v>44976.413194444445</v>
      </c>
      <c r="BK16" s="165">
        <v>44979.770833333336</v>
      </c>
      <c r="BL16" s="165">
        <v>44979.833333333336</v>
      </c>
      <c r="BM16" s="165">
        <v>44979.90625</v>
      </c>
      <c r="BN16" s="165">
        <v>44979.90625</v>
      </c>
      <c r="BO16" s="165">
        <v>44979.90625</v>
      </c>
      <c r="BP16" s="126" t="s">
        <v>698</v>
      </c>
      <c r="BR16" s="136">
        <f t="shared" si="3"/>
        <v>99.249999999941792</v>
      </c>
      <c r="BS16" s="136">
        <f t="shared" si="4"/>
        <v>4.6666666666860692</v>
      </c>
      <c r="BT16" s="136">
        <f t="shared" si="5"/>
        <v>41.000000000058208</v>
      </c>
      <c r="BU16" s="136">
        <f t="shared" si="11"/>
        <v>64.916668055579066</v>
      </c>
      <c r="BV16" s="135">
        <f t="shared" si="6"/>
        <v>1.5</v>
      </c>
      <c r="BW16" s="135">
        <f t="shared" si="7"/>
        <v>0</v>
      </c>
      <c r="BX16" s="134">
        <f t="shared" si="8"/>
        <v>8.805555613427714</v>
      </c>
      <c r="BY16" s="134">
        <f t="shared" si="9"/>
        <v>18.357638888890506</v>
      </c>
      <c r="BZ16" s="133">
        <f t="shared" si="10"/>
        <v>0.4796671111531981</v>
      </c>
    </row>
    <row r="17" spans="1:78" s="126" customFormat="1">
      <c r="A17" s="192">
        <f t="shared" si="12"/>
        <v>44971.732638888891</v>
      </c>
      <c r="B17" s="126" t="s">
        <v>228</v>
      </c>
      <c r="C17" s="126" t="s">
        <v>229</v>
      </c>
      <c r="D17" s="126" t="s">
        <v>197</v>
      </c>
      <c r="E17" s="126" t="s">
        <v>699</v>
      </c>
      <c r="G17" s="73">
        <v>44982.416666666664</v>
      </c>
      <c r="H17" s="73">
        <v>44982.378472222219</v>
      </c>
      <c r="I17" s="126" t="s">
        <v>231</v>
      </c>
      <c r="J17" s="126" t="s">
        <v>192</v>
      </c>
      <c r="K17" s="126" t="s">
        <v>192</v>
      </c>
      <c r="L17" s="126" t="s">
        <v>697</v>
      </c>
      <c r="M17" s="167"/>
      <c r="N17" s="126" t="s">
        <v>310</v>
      </c>
      <c r="O17" s="126" t="s">
        <v>311</v>
      </c>
      <c r="P17" s="126" t="s">
        <v>235</v>
      </c>
      <c r="Q17" s="181">
        <f>3128*2.4</f>
        <v>7507.2</v>
      </c>
      <c r="R17" s="181">
        <v>4696</v>
      </c>
      <c r="S17" s="181"/>
      <c r="W17" s="181">
        <f>R17</f>
        <v>4696</v>
      </c>
      <c r="AV17" s="165">
        <f t="shared" si="0"/>
        <v>44961.548611111109</v>
      </c>
      <c r="AW17" s="165">
        <f t="shared" si="1"/>
        <v>44989.548611111109</v>
      </c>
      <c r="AX17" s="137">
        <f t="shared" si="2"/>
        <v>28</v>
      </c>
      <c r="AY17" s="165">
        <v>44961.548611111109</v>
      </c>
      <c r="AZ17" s="165">
        <v>44964.552083333336</v>
      </c>
      <c r="BA17" s="165">
        <v>44968.6875</v>
      </c>
      <c r="BB17" s="165">
        <v>44971.732638888891</v>
      </c>
      <c r="BC17" s="165">
        <v>44971.927083333336</v>
      </c>
      <c r="BD17" s="165">
        <v>44971.934027777781</v>
      </c>
      <c r="BE17" s="165">
        <v>44971.934027777781</v>
      </c>
      <c r="BF17" s="165">
        <f t="shared" si="13"/>
        <v>44973.642361111117</v>
      </c>
      <c r="BG17" s="165">
        <v>44973.541666608799</v>
      </c>
      <c r="BH17" s="165">
        <v>44973.708333275463</v>
      </c>
      <c r="BI17" s="165">
        <v>44973.635416666664</v>
      </c>
      <c r="BJ17" s="165">
        <v>44979.90625</v>
      </c>
      <c r="BK17" s="165">
        <v>44988.673611111109</v>
      </c>
      <c r="BL17" s="165">
        <v>44988.881944444445</v>
      </c>
      <c r="BM17" s="165">
        <v>44988.895833333336</v>
      </c>
      <c r="BN17" s="165">
        <v>44989.291666666664</v>
      </c>
      <c r="BO17" s="165">
        <v>44989.548611111109</v>
      </c>
      <c r="BP17" s="126" t="s">
        <v>698</v>
      </c>
      <c r="BR17" s="136">
        <f t="shared" si="3"/>
        <v>99.249999999941792</v>
      </c>
      <c r="BS17" s="136">
        <f t="shared" si="4"/>
        <v>4.6666666666860692</v>
      </c>
      <c r="BT17" s="136">
        <f t="shared" si="5"/>
        <v>41.000000000058208</v>
      </c>
      <c r="BU17" s="136">
        <f t="shared" si="11"/>
        <v>148.750001388893</v>
      </c>
      <c r="BV17" s="135">
        <f t="shared" si="6"/>
        <v>5.0000000000582077</v>
      </c>
      <c r="BW17" s="135">
        <f t="shared" si="7"/>
        <v>6.1666666666860692</v>
      </c>
      <c r="BX17" s="134">
        <f t="shared" si="8"/>
        <v>12.701388946763473</v>
      </c>
      <c r="BY17" s="134">
        <f t="shared" si="9"/>
        <v>28</v>
      </c>
      <c r="BZ17" s="133">
        <f t="shared" si="10"/>
        <v>0.45362103381298119</v>
      </c>
    </row>
    <row r="18" spans="1:78" s="126" customFormat="1">
      <c r="A18" s="192">
        <f t="shared" si="12"/>
        <v>44965.159722222219</v>
      </c>
      <c r="B18" s="126" t="s">
        <v>228</v>
      </c>
      <c r="C18" s="126" t="s">
        <v>229</v>
      </c>
      <c r="D18" s="126" t="s">
        <v>197</v>
      </c>
      <c r="E18" s="126" t="s">
        <v>680</v>
      </c>
      <c r="G18" s="165">
        <v>44978.833333333336</v>
      </c>
      <c r="H18" s="165">
        <v>44978.833333333336</v>
      </c>
      <c r="I18" s="126" t="s">
        <v>243</v>
      </c>
      <c r="J18" s="126" t="s">
        <v>192</v>
      </c>
      <c r="K18" s="126" t="s">
        <v>192</v>
      </c>
      <c r="L18" s="126" t="s">
        <v>700</v>
      </c>
      <c r="M18" s="167"/>
      <c r="N18" s="126" t="s">
        <v>377</v>
      </c>
      <c r="O18" s="126" t="s">
        <v>378</v>
      </c>
      <c r="P18" s="126" t="s">
        <v>581</v>
      </c>
      <c r="Q18" s="181">
        <f>3271*2.4</f>
        <v>7850.4</v>
      </c>
      <c r="R18" s="181">
        <v>7607.1629999999996</v>
      </c>
      <c r="S18" s="181"/>
      <c r="W18" s="181">
        <f>R18*0.8</f>
        <v>6085.7304000000004</v>
      </c>
      <c r="X18" s="181">
        <f>R18*0.2</f>
        <v>1521.4326000000001</v>
      </c>
      <c r="AV18" s="165">
        <f t="shared" si="0"/>
        <v>44955.34375</v>
      </c>
      <c r="AW18" s="165">
        <f t="shared" si="1"/>
        <v>44972.256944444445</v>
      </c>
      <c r="AX18" s="137">
        <f t="shared" si="2"/>
        <v>16.913194444445253</v>
      </c>
      <c r="AY18" s="165">
        <v>44955.34375</v>
      </c>
      <c r="AZ18" s="165">
        <v>44957.607638888891</v>
      </c>
      <c r="BA18" s="165">
        <v>44959.447916666664</v>
      </c>
      <c r="BB18" s="165">
        <v>44965.159722222219</v>
      </c>
      <c r="BC18" s="165">
        <v>44965.357638888891</v>
      </c>
      <c r="BD18" s="165">
        <v>44965.361111111109</v>
      </c>
      <c r="BE18" s="165">
        <v>44965.361111111109</v>
      </c>
      <c r="BF18" s="165">
        <f t="shared" si="13"/>
        <v>44967.069444444445</v>
      </c>
      <c r="BG18" s="165">
        <v>44967.25</v>
      </c>
      <c r="BH18" s="165">
        <v>44967.416666666664</v>
      </c>
      <c r="BI18" s="165">
        <v>44967.315972222219</v>
      </c>
      <c r="BJ18" s="165">
        <v>44969</v>
      </c>
      <c r="BK18" s="165">
        <v>44971.413194444445</v>
      </c>
      <c r="BL18" s="165">
        <v>44971.65625</v>
      </c>
      <c r="BM18" s="165">
        <v>44971.670138888891</v>
      </c>
      <c r="BN18" s="165">
        <v>44971.763888888891</v>
      </c>
      <c r="BO18" s="165">
        <v>44972.256944444445</v>
      </c>
      <c r="BR18" s="136">
        <f t="shared" si="3"/>
        <v>44.166666666569654</v>
      </c>
      <c r="BS18" s="136">
        <f t="shared" si="4"/>
        <v>4.7500000001164153</v>
      </c>
      <c r="BT18" s="136">
        <f t="shared" si="5"/>
        <v>41.000000000058208</v>
      </c>
      <c r="BU18" s="136">
        <f t="shared" si="11"/>
        <v>38.000000000058208</v>
      </c>
      <c r="BV18" s="135">
        <f t="shared" si="6"/>
        <v>5.8333333333139308</v>
      </c>
      <c r="BW18" s="135">
        <f t="shared" si="7"/>
        <v>11.833333333313931</v>
      </c>
      <c r="BX18" s="134">
        <f t="shared" si="8"/>
        <v>6.0659722222262644</v>
      </c>
      <c r="BY18" s="134">
        <f t="shared" si="9"/>
        <v>16.913194444445253</v>
      </c>
      <c r="BZ18" s="133">
        <f t="shared" si="10"/>
        <v>0.35865325395218245</v>
      </c>
    </row>
    <row r="19" spans="1:78" s="126" customFormat="1">
      <c r="A19" s="192">
        <f t="shared" si="12"/>
        <v>44964.732638888891</v>
      </c>
      <c r="B19" s="126" t="s">
        <v>228</v>
      </c>
      <c r="C19" s="126" t="s">
        <v>229</v>
      </c>
      <c r="D19" s="126" t="s">
        <v>215</v>
      </c>
      <c r="E19" s="126" t="s">
        <v>680</v>
      </c>
      <c r="F19" s="126" t="s">
        <v>416</v>
      </c>
      <c r="G19" s="165">
        <v>44978.833333333336</v>
      </c>
      <c r="H19" s="165">
        <v>44978.833333333336</v>
      </c>
      <c r="I19" s="126" t="s">
        <v>243</v>
      </c>
      <c r="J19" s="126" t="s">
        <v>192</v>
      </c>
      <c r="K19" s="126" t="s">
        <v>192</v>
      </c>
      <c r="L19" s="126" t="s">
        <v>701</v>
      </c>
      <c r="M19" s="167"/>
      <c r="N19" s="126" t="s">
        <v>358</v>
      </c>
      <c r="O19" s="126" t="s">
        <v>359</v>
      </c>
      <c r="P19" s="126" t="s">
        <v>581</v>
      </c>
      <c r="Q19" s="181">
        <f>3852*2.4</f>
        <v>9244.7999999999993</v>
      </c>
      <c r="R19" s="181">
        <v>9158.92</v>
      </c>
      <c r="S19" s="181"/>
      <c r="W19" s="181">
        <f>R19*0.8</f>
        <v>7327.1360000000004</v>
      </c>
      <c r="X19" s="181">
        <f>R19*0.2</f>
        <v>1831.7840000000001</v>
      </c>
      <c r="AV19" s="165">
        <f t="shared" si="0"/>
        <v>44955.489583333336</v>
      </c>
      <c r="AW19" s="165">
        <f t="shared" si="1"/>
        <v>44970.430555555555</v>
      </c>
      <c r="AX19" s="137">
        <f t="shared" si="2"/>
        <v>14.940972222218988</v>
      </c>
      <c r="AY19" s="165">
        <v>44955.489583333336</v>
      </c>
      <c r="AZ19" s="165">
        <v>44956.802083333336</v>
      </c>
      <c r="BA19" s="165">
        <v>44958.666666666664</v>
      </c>
      <c r="BB19" s="165">
        <v>44964.732638888891</v>
      </c>
      <c r="BC19" s="165">
        <v>44964.96875</v>
      </c>
      <c r="BD19" s="165">
        <v>44964.975694444445</v>
      </c>
      <c r="BE19" s="165">
        <v>44965.298611111109</v>
      </c>
      <c r="BF19" s="165">
        <f t="shared" si="13"/>
        <v>44967.006944444445</v>
      </c>
      <c r="BG19" s="165">
        <v>44967.25</v>
      </c>
      <c r="BH19" s="165">
        <v>44967.416666666664</v>
      </c>
      <c r="BI19" s="165">
        <v>44967.277777777781</v>
      </c>
      <c r="BJ19" s="165">
        <v>44968.947916666664</v>
      </c>
      <c r="BK19" s="165">
        <v>44969.170138888891</v>
      </c>
      <c r="BL19" s="165">
        <v>44969.5625</v>
      </c>
      <c r="BM19" s="165">
        <v>44969.576388888891</v>
      </c>
      <c r="BN19" s="165">
        <v>44969.847222222219</v>
      </c>
      <c r="BO19" s="165">
        <v>44970.430555555555</v>
      </c>
      <c r="BR19" s="136">
        <f t="shared" si="3"/>
        <v>44.749999999883585</v>
      </c>
      <c r="BS19" s="136">
        <f t="shared" si="4"/>
        <v>5.6666666666278616</v>
      </c>
      <c r="BT19" s="136">
        <f t="shared" si="5"/>
        <v>41.000000000058208</v>
      </c>
      <c r="BU19" s="136">
        <f t="shared" si="11"/>
        <v>36.75</v>
      </c>
      <c r="BV19" s="135">
        <f t="shared" si="6"/>
        <v>9.4166666666278616</v>
      </c>
      <c r="BW19" s="135">
        <f t="shared" si="7"/>
        <v>14.000000000058208</v>
      </c>
      <c r="BX19" s="134">
        <f t="shared" si="8"/>
        <v>6.3159722222189885</v>
      </c>
      <c r="BY19" s="134">
        <f t="shared" si="9"/>
        <v>14.940972222218988</v>
      </c>
      <c r="BZ19" s="133">
        <f t="shared" si="10"/>
        <v>0.42272832907261498</v>
      </c>
    </row>
    <row r="20" spans="1:78" s="126" customFormat="1">
      <c r="A20" s="192">
        <f t="shared" si="12"/>
        <v>44958.423611111109</v>
      </c>
      <c r="B20" s="126" t="s">
        <v>228</v>
      </c>
      <c r="C20" s="126" t="s">
        <v>229</v>
      </c>
      <c r="D20" s="126" t="s">
        <v>215</v>
      </c>
      <c r="E20" s="126" t="s">
        <v>416</v>
      </c>
      <c r="G20" s="73">
        <v>44955.895833333336</v>
      </c>
      <c r="H20" s="73">
        <v>44955.895833333336</v>
      </c>
      <c r="I20" s="126" t="s">
        <v>231</v>
      </c>
      <c r="J20" s="126" t="s">
        <v>192</v>
      </c>
      <c r="K20" s="126" t="s">
        <v>192</v>
      </c>
      <c r="L20" s="126" t="s">
        <v>702</v>
      </c>
      <c r="M20" s="167"/>
      <c r="N20" s="126" t="s">
        <v>352</v>
      </c>
      <c r="O20" s="126" t="s">
        <v>353</v>
      </c>
      <c r="P20" s="126" t="s">
        <v>235</v>
      </c>
      <c r="Q20" s="181">
        <f>3852*2.4</f>
        <v>9244.7999999999993</v>
      </c>
      <c r="R20" s="181">
        <v>9070.9120000000003</v>
      </c>
      <c r="S20" s="181"/>
      <c r="W20" s="181">
        <f>R20</f>
        <v>9070.9120000000003</v>
      </c>
      <c r="Y20" s="172"/>
      <c r="AV20" s="165">
        <f t="shared" si="0"/>
        <v>44955.666666666664</v>
      </c>
      <c r="AW20" s="165">
        <f t="shared" si="1"/>
        <v>44963.8125</v>
      </c>
      <c r="AX20" s="137">
        <f t="shared" si="2"/>
        <v>8.1458333333357587</v>
      </c>
      <c r="AY20" s="165">
        <v>44955.666666666664</v>
      </c>
      <c r="AZ20" s="165">
        <v>44956.586805555555</v>
      </c>
      <c r="BA20" s="165">
        <v>44958.3125</v>
      </c>
      <c r="BB20" s="165">
        <v>44958.423611111109</v>
      </c>
      <c r="BC20" s="165">
        <v>44958.572916666664</v>
      </c>
      <c r="BD20" s="165">
        <v>44958.579861111109</v>
      </c>
      <c r="BE20" s="165">
        <v>44958.579861111109</v>
      </c>
      <c r="BF20" s="165">
        <f t="shared" si="13"/>
        <v>44960.288194444445</v>
      </c>
      <c r="BG20" s="165">
        <v>44960.541666666664</v>
      </c>
      <c r="BH20" s="165">
        <v>44960.708333333328</v>
      </c>
      <c r="BI20" s="165">
        <v>44960.649305555555</v>
      </c>
      <c r="BJ20" s="165">
        <v>44961.4375</v>
      </c>
      <c r="BK20" s="165">
        <v>44963.052083333336</v>
      </c>
      <c r="BL20" s="165">
        <v>44963.361111111109</v>
      </c>
      <c r="BM20" s="165">
        <v>44963.381944444445</v>
      </c>
      <c r="BN20" s="165">
        <v>44963.625</v>
      </c>
      <c r="BO20" s="165">
        <v>44963.8125</v>
      </c>
      <c r="BR20" s="136">
        <f t="shared" si="3"/>
        <v>41.416666666686069</v>
      </c>
      <c r="BS20" s="136">
        <f t="shared" si="4"/>
        <v>3.5833333333139308</v>
      </c>
      <c r="BT20" s="136">
        <f t="shared" si="5"/>
        <v>41.000000000058208</v>
      </c>
      <c r="BU20" s="136">
        <f t="shared" si="11"/>
        <v>17.500000000116415</v>
      </c>
      <c r="BV20" s="135">
        <f t="shared" si="6"/>
        <v>7.4166666665696539</v>
      </c>
      <c r="BW20" s="135">
        <f t="shared" si="7"/>
        <v>4.5</v>
      </c>
      <c r="BX20" s="134">
        <f t="shared" si="8"/>
        <v>4.8090277777810115</v>
      </c>
      <c r="BY20" s="134">
        <f t="shared" si="9"/>
        <v>8.1458333333357587</v>
      </c>
      <c r="BZ20" s="133">
        <f t="shared" si="10"/>
        <v>0.590366581415396</v>
      </c>
    </row>
    <row r="21" spans="1:78" s="126" customFormat="1">
      <c r="A21" s="192">
        <f t="shared" si="12"/>
        <v>44965.378472222219</v>
      </c>
      <c r="B21" s="126" t="s">
        <v>228</v>
      </c>
      <c r="C21" s="126" t="s">
        <v>229</v>
      </c>
      <c r="D21" s="126" t="s">
        <v>215</v>
      </c>
      <c r="E21" s="126" t="s">
        <v>680</v>
      </c>
      <c r="G21" s="165">
        <v>44978.833333333336</v>
      </c>
      <c r="H21" s="165">
        <v>44978.833333333336</v>
      </c>
      <c r="I21" s="126" t="s">
        <v>243</v>
      </c>
      <c r="J21" s="126" t="s">
        <v>192</v>
      </c>
      <c r="K21" s="126" t="s">
        <v>192</v>
      </c>
      <c r="L21" s="126" t="s">
        <v>703</v>
      </c>
      <c r="M21" s="167"/>
      <c r="N21" s="126" t="s">
        <v>222</v>
      </c>
      <c r="O21" s="126" t="s">
        <v>223</v>
      </c>
      <c r="P21" s="126" t="s">
        <v>581</v>
      </c>
      <c r="Q21" s="181">
        <f>3137*2.4</f>
        <v>7528.7999999999993</v>
      </c>
      <c r="R21" s="181">
        <v>7427.6949999999997</v>
      </c>
      <c r="S21" s="181"/>
      <c r="W21" s="181">
        <f>R21*0.8</f>
        <v>5942.1559999999999</v>
      </c>
      <c r="X21" s="181">
        <f>R21*0.2</f>
        <v>1485.539</v>
      </c>
      <c r="AV21" s="165">
        <f t="shared" si="0"/>
        <v>44955.520833333336</v>
      </c>
      <c r="AW21" s="165">
        <f t="shared" si="1"/>
        <v>44973.052083333336</v>
      </c>
      <c r="AX21" s="137">
        <f t="shared" si="2"/>
        <v>17.53125</v>
      </c>
      <c r="AY21" s="165">
        <v>44955.520833333336</v>
      </c>
      <c r="AZ21" s="165">
        <v>44957.645833333336</v>
      </c>
      <c r="BA21" s="165">
        <v>44959.673611111109</v>
      </c>
      <c r="BB21" s="165">
        <v>44965.378472222219</v>
      </c>
      <c r="BC21" s="165">
        <v>44965.520833333336</v>
      </c>
      <c r="BD21" s="165">
        <v>44965.524305555555</v>
      </c>
      <c r="BE21" s="165">
        <v>44965.524305555555</v>
      </c>
      <c r="BF21" s="165">
        <f t="shared" si="13"/>
        <v>44967.232638888891</v>
      </c>
      <c r="BG21" s="165">
        <v>44967.25</v>
      </c>
      <c r="BH21" s="165">
        <v>44967.416666666664</v>
      </c>
      <c r="BI21" s="165">
        <v>44967.28125</v>
      </c>
      <c r="BJ21" s="165">
        <v>44969.03125</v>
      </c>
      <c r="BK21" s="165">
        <v>44971.430555555555</v>
      </c>
      <c r="BL21" s="165">
        <v>44972.600694444445</v>
      </c>
      <c r="BM21" s="165">
        <v>44972.638888888891</v>
      </c>
      <c r="BN21" s="165">
        <v>44972.652777777781</v>
      </c>
      <c r="BO21" s="165">
        <v>44973.052083333336</v>
      </c>
      <c r="BR21" s="136">
        <f t="shared" si="3"/>
        <v>48.666666666569654</v>
      </c>
      <c r="BS21" s="136">
        <f t="shared" si="4"/>
        <v>3.4166666668024845</v>
      </c>
      <c r="BT21" s="136">
        <f t="shared" si="5"/>
        <v>41.000000000058208</v>
      </c>
      <c r="BU21" s="136">
        <f t="shared" si="11"/>
        <v>38.750000000058208</v>
      </c>
      <c r="BV21" s="135">
        <f t="shared" si="6"/>
        <v>28.083333333372138</v>
      </c>
      <c r="BW21" s="135">
        <f t="shared" si="7"/>
        <v>9.5833333333139308</v>
      </c>
      <c r="BX21" s="134">
        <f t="shared" si="8"/>
        <v>7.062500000007276</v>
      </c>
      <c r="BY21" s="134">
        <f t="shared" si="9"/>
        <v>17.53125</v>
      </c>
      <c r="BZ21" s="133">
        <f t="shared" si="10"/>
        <v>0.40285204991128848</v>
      </c>
    </row>
    <row r="22" spans="1:78" s="126" customFormat="1">
      <c r="A22" s="192">
        <f t="shared" si="12"/>
        <v>44965.545138888891</v>
      </c>
      <c r="B22" s="126" t="s">
        <v>228</v>
      </c>
      <c r="C22" s="126" t="s">
        <v>229</v>
      </c>
      <c r="D22" s="126" t="s">
        <v>197</v>
      </c>
      <c r="E22" s="126" t="s">
        <v>680</v>
      </c>
      <c r="G22" s="165">
        <v>44978.833333333336</v>
      </c>
      <c r="H22" s="165">
        <v>44978.833333333336</v>
      </c>
      <c r="I22" s="126" t="s">
        <v>243</v>
      </c>
      <c r="J22" s="126" t="s">
        <v>192</v>
      </c>
      <c r="K22" s="126" t="s">
        <v>192</v>
      </c>
      <c r="L22" s="126" t="s">
        <v>704</v>
      </c>
      <c r="M22" s="167"/>
      <c r="N22" s="126" t="s">
        <v>367</v>
      </c>
      <c r="O22" s="126" t="s">
        <v>368</v>
      </c>
      <c r="P22" s="126" t="s">
        <v>581</v>
      </c>
      <c r="Q22" s="181">
        <f>4111*2.4</f>
        <v>9866.4</v>
      </c>
      <c r="R22" s="181">
        <v>9978.69</v>
      </c>
      <c r="S22" s="181"/>
      <c r="W22" s="181">
        <f>R22*0.8</f>
        <v>7982.9520000000011</v>
      </c>
      <c r="X22" s="181">
        <f>R22*0.2</f>
        <v>1995.7380000000003</v>
      </c>
      <c r="AV22" s="165">
        <f t="shared" si="0"/>
        <v>44955.956250000003</v>
      </c>
      <c r="AW22" s="165">
        <f t="shared" si="1"/>
        <v>44973.347222222219</v>
      </c>
      <c r="AX22" s="137">
        <f t="shared" si="2"/>
        <v>17.390972222216078</v>
      </c>
      <c r="AY22" s="165">
        <v>44955.956250000003</v>
      </c>
      <c r="AZ22" s="165">
        <v>44957.663194444445</v>
      </c>
      <c r="BA22" s="165">
        <v>44959.708333333336</v>
      </c>
      <c r="BB22" s="165">
        <v>44965.545138888891</v>
      </c>
      <c r="BC22" s="165">
        <v>44965.760416666664</v>
      </c>
      <c r="BD22" s="165">
        <v>44965.767361111109</v>
      </c>
      <c r="BE22" s="165">
        <v>44966.291666666664</v>
      </c>
      <c r="BF22" s="165">
        <f t="shared" si="13"/>
        <v>44968</v>
      </c>
      <c r="BG22" s="165">
        <v>44968.25</v>
      </c>
      <c r="BH22" s="165">
        <v>44968.416666666664</v>
      </c>
      <c r="BI22" s="165">
        <v>44968.371527777781</v>
      </c>
      <c r="BJ22" s="165">
        <v>44970.322916666664</v>
      </c>
      <c r="BK22" s="165">
        <v>44972.010416666664</v>
      </c>
      <c r="BL22" s="165">
        <v>44972.375</v>
      </c>
      <c r="BM22" s="165">
        <v>44972.402777777781</v>
      </c>
      <c r="BN22" s="165">
        <v>44972.854166666664</v>
      </c>
      <c r="BO22" s="165">
        <v>44973.347222222219</v>
      </c>
      <c r="BR22" s="136">
        <f t="shared" si="3"/>
        <v>49.083333333372138</v>
      </c>
      <c r="BS22" s="136">
        <f t="shared" si="4"/>
        <v>5.1666666665696539</v>
      </c>
      <c r="BT22" s="136">
        <f t="shared" si="5"/>
        <v>41.000000000058208</v>
      </c>
      <c r="BU22" s="136">
        <f t="shared" si="11"/>
        <v>45.75</v>
      </c>
      <c r="BV22" s="135">
        <f t="shared" si="6"/>
        <v>8.7500000000582077</v>
      </c>
      <c r="BW22" s="135">
        <f t="shared" si="7"/>
        <v>11.833333333313931</v>
      </c>
      <c r="BX22" s="134">
        <f t="shared" si="8"/>
        <v>6.7326388888905058</v>
      </c>
      <c r="BY22" s="134">
        <f t="shared" si="9"/>
        <v>17.390972222216078</v>
      </c>
      <c r="BZ22" s="133">
        <f t="shared" si="10"/>
        <v>0.38713412929783786</v>
      </c>
    </row>
    <row r="23" spans="1:78" s="126" customFormat="1">
      <c r="A23" s="192">
        <f t="shared" si="12"/>
        <v>44966.805555555555</v>
      </c>
      <c r="B23" s="126" t="s">
        <v>228</v>
      </c>
      <c r="C23" s="126" t="s">
        <v>229</v>
      </c>
      <c r="D23" s="126" t="s">
        <v>197</v>
      </c>
      <c r="E23" s="126" t="s">
        <v>693</v>
      </c>
      <c r="G23" s="73">
        <v>44973.989583333336</v>
      </c>
      <c r="H23" s="73">
        <v>44973.999305555553</v>
      </c>
      <c r="I23" s="126" t="s">
        <v>231</v>
      </c>
      <c r="J23" s="126" t="s">
        <v>192</v>
      </c>
      <c r="K23" s="126" t="s">
        <v>192</v>
      </c>
      <c r="L23" s="126" t="s">
        <v>705</v>
      </c>
      <c r="M23" s="167"/>
      <c r="N23" s="126" t="s">
        <v>343</v>
      </c>
      <c r="O23" s="126" t="s">
        <v>344</v>
      </c>
      <c r="P23" s="126" t="s">
        <v>240</v>
      </c>
      <c r="Q23" s="181">
        <f>3136*2.4</f>
        <v>7526.4</v>
      </c>
      <c r="R23" s="181">
        <v>7462.1210000000001</v>
      </c>
      <c r="S23" s="181"/>
      <c r="X23" s="181">
        <f>R23</f>
        <v>7462.1210000000001</v>
      </c>
      <c r="AV23" s="165">
        <f t="shared" si="0"/>
        <v>44956.180555555555</v>
      </c>
      <c r="AW23" s="165">
        <f t="shared" si="1"/>
        <v>44976.458333333336</v>
      </c>
      <c r="AX23" s="137">
        <f t="shared" si="2"/>
        <v>20.277777777781012</v>
      </c>
      <c r="AY23" s="165">
        <v>44956.180555555555</v>
      </c>
      <c r="AZ23" s="165">
        <v>44957.819444444445</v>
      </c>
      <c r="BA23" s="165">
        <v>44959.756944444445</v>
      </c>
      <c r="BB23" s="165">
        <v>44966.805555555555</v>
      </c>
      <c r="BC23" s="165">
        <v>44966.979166666664</v>
      </c>
      <c r="BD23" s="165">
        <v>44966.982638888891</v>
      </c>
      <c r="BE23" s="165">
        <v>44966.982638888891</v>
      </c>
      <c r="BF23" s="165">
        <f t="shared" si="13"/>
        <v>44968.690972222226</v>
      </c>
      <c r="BG23" s="165">
        <v>44969.25</v>
      </c>
      <c r="BH23" s="165">
        <v>44969.416666666664</v>
      </c>
      <c r="BI23" s="165">
        <v>44969.395833333336</v>
      </c>
      <c r="BJ23" s="165">
        <v>44974.354166666664</v>
      </c>
      <c r="BK23" s="165">
        <v>44975.65625</v>
      </c>
      <c r="BL23" s="165">
        <v>44975.836805555555</v>
      </c>
      <c r="BM23" s="165">
        <v>44975.857638888891</v>
      </c>
      <c r="BN23" s="165">
        <v>44976.208333333336</v>
      </c>
      <c r="BO23" s="165">
        <v>44976.458333333336</v>
      </c>
      <c r="BR23" s="136">
        <f t="shared" si="3"/>
        <v>46.5</v>
      </c>
      <c r="BS23" s="136">
        <f t="shared" si="4"/>
        <v>4.1666666666278616</v>
      </c>
      <c r="BT23" s="136">
        <f t="shared" si="5"/>
        <v>41.000000000058208</v>
      </c>
      <c r="BU23" s="136">
        <f t="shared" si="11"/>
        <v>118.5</v>
      </c>
      <c r="BV23" s="135">
        <f t="shared" si="6"/>
        <v>4.3333333333139308</v>
      </c>
      <c r="BW23" s="135">
        <f t="shared" si="7"/>
        <v>6</v>
      </c>
      <c r="BX23" s="134">
        <f t="shared" si="8"/>
        <v>9.1875</v>
      </c>
      <c r="BY23" s="134">
        <f t="shared" si="9"/>
        <v>20.277777777781012</v>
      </c>
      <c r="BZ23" s="133">
        <f t="shared" si="10"/>
        <v>0.45308219178074965</v>
      </c>
    </row>
    <row r="24" spans="1:78" s="126" customFormat="1">
      <c r="A24" s="192">
        <f t="shared" si="12"/>
        <v>44964.996527777781</v>
      </c>
      <c r="B24" s="126" t="s">
        <v>228</v>
      </c>
      <c r="C24" s="126" t="s">
        <v>229</v>
      </c>
      <c r="D24" s="126" t="s">
        <v>197</v>
      </c>
      <c r="E24" s="126" t="s">
        <v>680</v>
      </c>
      <c r="G24" s="165">
        <v>44978.833333333336</v>
      </c>
      <c r="H24" s="165">
        <v>44978.833333333336</v>
      </c>
      <c r="I24" s="126" t="s">
        <v>243</v>
      </c>
      <c r="J24" s="126" t="s">
        <v>192</v>
      </c>
      <c r="K24" s="126" t="s">
        <v>192</v>
      </c>
      <c r="L24" s="126" t="s">
        <v>706</v>
      </c>
      <c r="M24" s="167"/>
      <c r="N24" s="126" t="s">
        <v>323</v>
      </c>
      <c r="O24" s="126" t="s">
        <v>324</v>
      </c>
      <c r="P24" s="126" t="s">
        <v>581</v>
      </c>
      <c r="Q24" s="181">
        <f>3095*2.4</f>
        <v>7428</v>
      </c>
      <c r="R24" s="181">
        <v>7503.4639999999999</v>
      </c>
      <c r="S24" s="181"/>
      <c r="W24" s="181">
        <f>R24*0.8</f>
        <v>6002.7712000000001</v>
      </c>
      <c r="X24" s="181">
        <f>R24*0.2</f>
        <v>1500.6928</v>
      </c>
      <c r="AV24" s="165">
        <f t="shared" si="0"/>
        <v>44956.583333333336</v>
      </c>
      <c r="AW24" s="165">
        <f t="shared" si="1"/>
        <v>44972.551388888889</v>
      </c>
      <c r="AX24" s="137">
        <f t="shared" si="2"/>
        <v>15.968055555553292</v>
      </c>
      <c r="AY24" s="165">
        <v>44956.583333333336</v>
      </c>
      <c r="AZ24" s="165">
        <v>44957.64166666667</v>
      </c>
      <c r="BA24" s="165">
        <v>44959.4375</v>
      </c>
      <c r="BB24" s="165">
        <v>44964.996527777781</v>
      </c>
      <c r="BC24" s="165">
        <v>44965.131944444445</v>
      </c>
      <c r="BD24" s="165">
        <v>44965.138888888891</v>
      </c>
      <c r="BE24" s="165">
        <v>44965.291666666664</v>
      </c>
      <c r="BF24" s="165">
        <f t="shared" si="13"/>
        <v>44967</v>
      </c>
      <c r="BG24" s="165">
        <v>44967.25</v>
      </c>
      <c r="BH24" s="165">
        <v>44967.416666666664</v>
      </c>
      <c r="BI24" s="165">
        <v>44967.274305555555</v>
      </c>
      <c r="BJ24" s="165">
        <v>44969.138888888891</v>
      </c>
      <c r="BK24" s="165">
        <v>44971.715277777781</v>
      </c>
      <c r="BL24" s="165">
        <v>44971.927083333336</v>
      </c>
      <c r="BM24" s="165">
        <v>44971.944444444445</v>
      </c>
      <c r="BN24" s="165">
        <v>44971.947916666664</v>
      </c>
      <c r="BO24" s="165">
        <v>44972.551388888889</v>
      </c>
      <c r="BR24" s="136">
        <f t="shared" si="3"/>
        <v>43.099999999918509</v>
      </c>
      <c r="BS24" s="136">
        <f t="shared" si="4"/>
        <v>3.2499999999417923</v>
      </c>
      <c r="BT24" s="136">
        <f t="shared" si="5"/>
        <v>41.000000000058208</v>
      </c>
      <c r="BU24" s="136">
        <f t="shared" si="11"/>
        <v>41.333333333430346</v>
      </c>
      <c r="BV24" s="135">
        <f t="shared" si="6"/>
        <v>5.0833333333139308</v>
      </c>
      <c r="BW24" s="135">
        <f t="shared" si="7"/>
        <v>14.483333333395422</v>
      </c>
      <c r="BX24" s="134">
        <f t="shared" si="8"/>
        <v>6.1770833333357587</v>
      </c>
      <c r="BY24" s="134">
        <f t="shared" si="9"/>
        <v>15.968055555553292</v>
      </c>
      <c r="BZ24" s="133">
        <f t="shared" si="10"/>
        <v>0.38684004522939697</v>
      </c>
    </row>
    <row r="25" spans="1:78" s="126" customFormat="1">
      <c r="A25" s="192">
        <f t="shared" si="12"/>
        <v>44966.604166666664</v>
      </c>
      <c r="B25" s="126" t="s">
        <v>228</v>
      </c>
      <c r="C25" s="126" t="s">
        <v>229</v>
      </c>
      <c r="D25" s="126" t="s">
        <v>197</v>
      </c>
      <c r="E25" s="126" t="s">
        <v>693</v>
      </c>
      <c r="F25" s="126" t="s">
        <v>707</v>
      </c>
      <c r="G25" s="73">
        <v>44973.989583333336</v>
      </c>
      <c r="H25" s="73">
        <v>44973.999305555553</v>
      </c>
      <c r="I25" s="126" t="s">
        <v>231</v>
      </c>
      <c r="J25" s="126" t="s">
        <v>192</v>
      </c>
      <c r="K25" s="126" t="s">
        <v>192</v>
      </c>
      <c r="L25" s="126" t="s">
        <v>708</v>
      </c>
      <c r="M25" s="167"/>
      <c r="N25" s="126" t="s">
        <v>233</v>
      </c>
      <c r="O25" s="126" t="s">
        <v>234</v>
      </c>
      <c r="P25" s="126" t="s">
        <v>240</v>
      </c>
      <c r="Q25" s="181">
        <f>3215*2.4</f>
        <v>7716</v>
      </c>
      <c r="R25" s="181">
        <v>7614.3180000000002</v>
      </c>
      <c r="S25" s="181"/>
      <c r="X25" s="181">
        <f t="shared" ref="X25:X30" si="14">R25</f>
        <v>7614.3180000000002</v>
      </c>
      <c r="AV25" s="165">
        <f t="shared" si="0"/>
        <v>44956.645833333336</v>
      </c>
      <c r="AW25" s="165">
        <f t="shared" si="1"/>
        <v>44975.4375</v>
      </c>
      <c r="AX25" s="137">
        <f t="shared" si="2"/>
        <v>18.791666666664241</v>
      </c>
      <c r="AY25" s="165">
        <v>44956.645833333336</v>
      </c>
      <c r="AZ25" s="165">
        <v>44957.621527777781</v>
      </c>
      <c r="BA25" s="165">
        <v>44959.75</v>
      </c>
      <c r="BB25" s="165">
        <v>44966.604166666664</v>
      </c>
      <c r="BC25" s="165">
        <v>44966.743055555555</v>
      </c>
      <c r="BD25" s="165">
        <v>44966.746527777781</v>
      </c>
      <c r="BE25" s="165">
        <v>44966.746527777781</v>
      </c>
      <c r="BF25" s="165">
        <f t="shared" si="13"/>
        <v>44968.454861111117</v>
      </c>
      <c r="BG25" s="165">
        <v>44968.25</v>
      </c>
      <c r="BH25" s="165">
        <v>44968.416666666664</v>
      </c>
      <c r="BI25" s="165">
        <v>44968.402777777781</v>
      </c>
      <c r="BJ25" s="165">
        <v>44974.5</v>
      </c>
      <c r="BK25" s="165">
        <v>44974.666666666664</v>
      </c>
      <c r="BL25" s="165">
        <v>44974.822916666664</v>
      </c>
      <c r="BM25" s="165">
        <v>44974.84375</v>
      </c>
      <c r="BN25" s="165">
        <v>44975.166666666664</v>
      </c>
      <c r="BO25" s="165">
        <v>44975.4375</v>
      </c>
      <c r="BR25" s="136">
        <f t="shared" si="3"/>
        <v>51.083333333255723</v>
      </c>
      <c r="BS25" s="136">
        <f t="shared" si="4"/>
        <v>3.3333333333721384</v>
      </c>
      <c r="BT25" s="136">
        <f t="shared" si="5"/>
        <v>41.000000000058208</v>
      </c>
      <c r="BU25" s="136">
        <f t="shared" si="11"/>
        <v>146.00000000005821</v>
      </c>
      <c r="BV25" s="135">
        <f t="shared" si="6"/>
        <v>3.75</v>
      </c>
      <c r="BW25" s="135">
        <f t="shared" si="7"/>
        <v>6.5000000000582077</v>
      </c>
      <c r="BX25" s="134">
        <f t="shared" si="8"/>
        <v>10.48611111111677</v>
      </c>
      <c r="BY25" s="134">
        <f t="shared" si="9"/>
        <v>18.791666666664241</v>
      </c>
      <c r="BZ25" s="133">
        <f t="shared" si="10"/>
        <v>0.55801921655617504</v>
      </c>
    </row>
    <row r="26" spans="1:78" s="126" customFormat="1">
      <c r="A26" s="192">
        <f t="shared" si="12"/>
        <v>44968.454861111109</v>
      </c>
      <c r="B26" s="126" t="s">
        <v>228</v>
      </c>
      <c r="C26" s="126" t="s">
        <v>229</v>
      </c>
      <c r="D26" s="126" t="s">
        <v>197</v>
      </c>
      <c r="E26" s="126" t="s">
        <v>693</v>
      </c>
      <c r="G26" s="73">
        <v>44973.989583333336</v>
      </c>
      <c r="H26" s="73">
        <v>44973.999305555553</v>
      </c>
      <c r="I26" s="126" t="s">
        <v>231</v>
      </c>
      <c r="J26" s="126" t="s">
        <v>192</v>
      </c>
      <c r="K26" s="126" t="s">
        <v>192</v>
      </c>
      <c r="L26" s="126" t="s">
        <v>709</v>
      </c>
      <c r="M26" s="167"/>
      <c r="N26" s="126" t="s">
        <v>334</v>
      </c>
      <c r="O26" s="126" t="s">
        <v>335</v>
      </c>
      <c r="P26" s="126" t="s">
        <v>240</v>
      </c>
      <c r="Q26" s="181">
        <f>3242 *2.4</f>
        <v>7780.7999999999993</v>
      </c>
      <c r="R26" s="181">
        <v>7527.2089999999998</v>
      </c>
      <c r="S26" s="181"/>
      <c r="X26" s="181">
        <f t="shared" si="14"/>
        <v>7527.2089999999998</v>
      </c>
      <c r="AV26" s="165">
        <f t="shared" si="0"/>
        <v>44956.875</v>
      </c>
      <c r="AW26" s="165">
        <f t="shared" si="1"/>
        <v>44976.541666666664</v>
      </c>
      <c r="AX26" s="137">
        <f t="shared" si="2"/>
        <v>19.666666666664241</v>
      </c>
      <c r="AY26" s="165">
        <v>44956.875</v>
      </c>
      <c r="AZ26" s="165">
        <v>44958.822916666664</v>
      </c>
      <c r="BA26" s="165">
        <v>44960.993055555555</v>
      </c>
      <c r="BB26" s="165">
        <v>44968.454861111109</v>
      </c>
      <c r="BC26" s="165">
        <v>44968.618055555555</v>
      </c>
      <c r="BD26" s="165">
        <v>44968.628472222219</v>
      </c>
      <c r="BE26" s="165">
        <v>44968.628472222219</v>
      </c>
      <c r="BF26" s="165">
        <f t="shared" si="13"/>
        <v>44970.336805555555</v>
      </c>
      <c r="BG26" s="165">
        <v>44970.291666666664</v>
      </c>
      <c r="BH26" s="165">
        <v>44970.458333333328</v>
      </c>
      <c r="BI26" s="165">
        <v>44970.368055555555</v>
      </c>
      <c r="BJ26" s="165">
        <v>44974.423611111109</v>
      </c>
      <c r="BK26" s="165">
        <v>44975.899305555555</v>
      </c>
      <c r="BL26" s="165">
        <v>44976.114583333336</v>
      </c>
      <c r="BM26" s="165">
        <v>44976.135416666664</v>
      </c>
      <c r="BN26" s="165">
        <v>44976.135416666664</v>
      </c>
      <c r="BO26" s="165">
        <v>44976.541666666664</v>
      </c>
      <c r="BR26" s="136">
        <f t="shared" si="3"/>
        <v>52.083333333372138</v>
      </c>
      <c r="BS26" s="136">
        <f t="shared" si="4"/>
        <v>3.9166666666860692</v>
      </c>
      <c r="BT26" s="136">
        <f t="shared" si="5"/>
        <v>41.000000000058208</v>
      </c>
      <c r="BU26" s="136">
        <f t="shared" si="11"/>
        <v>95.166666666744277</v>
      </c>
      <c r="BV26" s="135">
        <f t="shared" si="6"/>
        <v>5.1666666667442769</v>
      </c>
      <c r="BW26" s="135">
        <f t="shared" si="7"/>
        <v>9.75</v>
      </c>
      <c r="BX26" s="134">
        <f t="shared" si="8"/>
        <v>8.6284722222335404</v>
      </c>
      <c r="BY26" s="134">
        <f t="shared" si="9"/>
        <v>19.666666666664241</v>
      </c>
      <c r="BZ26" s="133">
        <f t="shared" si="10"/>
        <v>0.4387358757068443</v>
      </c>
    </row>
    <row r="27" spans="1:78" s="126" customFormat="1">
      <c r="A27" s="192">
        <f t="shared" si="12"/>
        <v>44967.934027777781</v>
      </c>
      <c r="B27" s="126" t="s">
        <v>228</v>
      </c>
      <c r="C27" s="126" t="s">
        <v>229</v>
      </c>
      <c r="D27" s="126" t="s">
        <v>215</v>
      </c>
      <c r="E27" s="126" t="s">
        <v>693</v>
      </c>
      <c r="G27" s="73">
        <v>44973.989583333336</v>
      </c>
      <c r="H27" s="73">
        <v>44973.999305555553</v>
      </c>
      <c r="I27" s="126" t="s">
        <v>231</v>
      </c>
      <c r="J27" s="126" t="s">
        <v>192</v>
      </c>
      <c r="K27" s="126" t="s">
        <v>192</v>
      </c>
      <c r="L27" s="126" t="s">
        <v>710</v>
      </c>
      <c r="M27" s="167"/>
      <c r="N27" s="126" t="s">
        <v>218</v>
      </c>
      <c r="O27" s="126" t="s">
        <v>219</v>
      </c>
      <c r="P27" s="126" t="s">
        <v>240</v>
      </c>
      <c r="Q27" s="181">
        <f>3087*2.4</f>
        <v>7408.7999999999993</v>
      </c>
      <c r="R27" s="181">
        <v>7454.884</v>
      </c>
      <c r="S27" s="181"/>
      <c r="X27" s="181">
        <f t="shared" si="14"/>
        <v>7454.884</v>
      </c>
      <c r="AV27" s="165">
        <f t="shared" si="0"/>
        <v>44957.194444444445</v>
      </c>
      <c r="AW27" s="165">
        <f t="shared" si="1"/>
        <v>44975.770833333336</v>
      </c>
      <c r="AX27" s="137">
        <f t="shared" si="2"/>
        <v>18.576388888890506</v>
      </c>
      <c r="AY27" s="165">
        <v>44957.194444444445</v>
      </c>
      <c r="AZ27" s="165">
        <v>44958.347222222219</v>
      </c>
      <c r="BA27" s="165">
        <v>44960.395833333336</v>
      </c>
      <c r="BB27" s="165">
        <v>44967.934027777781</v>
      </c>
      <c r="BC27" s="165">
        <v>44968.097222222219</v>
      </c>
      <c r="BD27" s="165">
        <v>44968.100694444445</v>
      </c>
      <c r="BE27" s="165">
        <v>44968.291666666664</v>
      </c>
      <c r="BF27" s="165">
        <f t="shared" si="13"/>
        <v>44970</v>
      </c>
      <c r="BG27" s="165">
        <v>44970.291666666664</v>
      </c>
      <c r="BH27" s="165">
        <v>44970.458333333328</v>
      </c>
      <c r="BI27" s="165">
        <v>44970.336805555555</v>
      </c>
      <c r="BJ27" s="165">
        <v>44973.489583333336</v>
      </c>
      <c r="BK27" s="165">
        <v>44975.135416666664</v>
      </c>
      <c r="BL27" s="165">
        <v>44975.371527777781</v>
      </c>
      <c r="BM27" s="165">
        <v>44975.392361111109</v>
      </c>
      <c r="BN27" s="165">
        <v>44975.569444444445</v>
      </c>
      <c r="BO27" s="165">
        <v>44975.770833333336</v>
      </c>
      <c r="BR27" s="136">
        <f t="shared" si="3"/>
        <v>49.166666666802485</v>
      </c>
      <c r="BS27" s="136">
        <f t="shared" si="4"/>
        <v>3.9166666665114462</v>
      </c>
      <c r="BT27" s="136">
        <f t="shared" si="5"/>
        <v>41.000000000058208</v>
      </c>
      <c r="BU27" s="136">
        <f t="shared" si="11"/>
        <v>72.750000000174623</v>
      </c>
      <c r="BV27" s="135">
        <f t="shared" si="6"/>
        <v>5.6666666668024845</v>
      </c>
      <c r="BW27" s="135">
        <f t="shared" si="7"/>
        <v>4.8333333333721384</v>
      </c>
      <c r="BX27" s="134">
        <f t="shared" si="8"/>
        <v>7.3888888889050577</v>
      </c>
      <c r="BY27" s="134">
        <f t="shared" si="9"/>
        <v>18.576388888890506</v>
      </c>
      <c r="BZ27" s="133">
        <f t="shared" si="10"/>
        <v>0.39775700934663016</v>
      </c>
    </row>
    <row r="28" spans="1:78" s="126" customFormat="1">
      <c r="A28" s="192">
        <f t="shared" si="12"/>
        <v>44968.649305555555</v>
      </c>
      <c r="B28" s="126" t="s">
        <v>228</v>
      </c>
      <c r="C28" s="126" t="s">
        <v>229</v>
      </c>
      <c r="D28" s="126" t="s">
        <v>197</v>
      </c>
      <c r="E28" s="126" t="s">
        <v>699</v>
      </c>
      <c r="G28" s="73">
        <v>44982.416666666664</v>
      </c>
      <c r="H28" s="73">
        <v>44982.378472222219</v>
      </c>
      <c r="I28" s="126" t="s">
        <v>231</v>
      </c>
      <c r="J28" s="126" t="s">
        <v>192</v>
      </c>
      <c r="K28" s="126" t="s">
        <v>192</v>
      </c>
      <c r="L28" s="126" t="s">
        <v>711</v>
      </c>
      <c r="M28" s="167"/>
      <c r="N28" s="126" t="s">
        <v>380</v>
      </c>
      <c r="O28" s="126" t="s">
        <v>381</v>
      </c>
      <c r="P28" s="126" t="s">
        <v>240</v>
      </c>
      <c r="Q28" s="181">
        <f>3271*2.4</f>
        <v>7850.4</v>
      </c>
      <c r="R28" s="181">
        <v>7400.0609999999997</v>
      </c>
      <c r="S28" s="181"/>
      <c r="X28" s="181">
        <f t="shared" si="14"/>
        <v>7400.0609999999997</v>
      </c>
      <c r="AV28" s="165">
        <f t="shared" si="0"/>
        <v>44958.333333333336</v>
      </c>
      <c r="AW28" s="165">
        <f t="shared" si="1"/>
        <v>44989.715277777781</v>
      </c>
      <c r="AX28" s="137">
        <f t="shared" si="2"/>
        <v>31.381944444445253</v>
      </c>
      <c r="AY28" s="165">
        <v>44958.333333333336</v>
      </c>
      <c r="AZ28" s="165">
        <v>44958.8125</v>
      </c>
      <c r="BA28" s="165">
        <v>44960.791666666664</v>
      </c>
      <c r="BB28" s="165">
        <v>44968.649305555555</v>
      </c>
      <c r="BC28" s="165">
        <v>44968.864583333336</v>
      </c>
      <c r="BD28" s="165">
        <v>44968.868055555555</v>
      </c>
      <c r="BE28" s="165">
        <v>44969.291666666664</v>
      </c>
      <c r="BF28" s="165">
        <f t="shared" si="13"/>
        <v>44971</v>
      </c>
      <c r="BG28" s="165">
        <v>44971.291666608799</v>
      </c>
      <c r="BH28" s="165">
        <v>44971.458333275463</v>
      </c>
      <c r="BI28" s="165">
        <v>44971.347222222219</v>
      </c>
      <c r="BJ28" s="165">
        <v>44974.361111111109</v>
      </c>
      <c r="BK28" s="165">
        <v>44988.673611111109</v>
      </c>
      <c r="BL28" s="165">
        <v>44989.229166666664</v>
      </c>
      <c r="BM28" s="165">
        <v>44989.236111111109</v>
      </c>
      <c r="BN28" s="165">
        <v>44989.291666666664</v>
      </c>
      <c r="BO28" s="165">
        <v>44989.715277777781</v>
      </c>
      <c r="BR28" s="136">
        <f t="shared" si="3"/>
        <v>47.499999999941792</v>
      </c>
      <c r="BS28" s="136">
        <f t="shared" si="4"/>
        <v>5.1666666667442769</v>
      </c>
      <c r="BT28" s="136">
        <f t="shared" si="5"/>
        <v>41.000000000058208</v>
      </c>
      <c r="BU28" s="136">
        <f t="shared" si="11"/>
        <v>69.666668055520859</v>
      </c>
      <c r="BV28" s="135">
        <f t="shared" si="6"/>
        <v>13.333333333313931</v>
      </c>
      <c r="BW28" s="135">
        <f t="shared" si="7"/>
        <v>10.166666666802485</v>
      </c>
      <c r="BX28" s="134">
        <f t="shared" si="8"/>
        <v>7.7847222800992313</v>
      </c>
      <c r="BY28" s="134">
        <f t="shared" si="9"/>
        <v>31.381944444445253</v>
      </c>
      <c r="BZ28" s="133">
        <f t="shared" si="10"/>
        <v>0.24806373275818996</v>
      </c>
    </row>
    <row r="29" spans="1:78" s="126" customFormat="1">
      <c r="A29" s="192">
        <f t="shared" si="12"/>
        <v>44969.125</v>
      </c>
      <c r="B29" s="126" t="s">
        <v>228</v>
      </c>
      <c r="C29" s="126" t="s">
        <v>229</v>
      </c>
      <c r="D29" s="126" t="s">
        <v>215</v>
      </c>
      <c r="E29" s="126" t="s">
        <v>693</v>
      </c>
      <c r="G29" s="73">
        <v>44973.989583333336</v>
      </c>
      <c r="H29" s="73">
        <v>44973.999305555553</v>
      </c>
      <c r="I29" s="126" t="s">
        <v>231</v>
      </c>
      <c r="J29" s="126" t="s">
        <v>192</v>
      </c>
      <c r="K29" s="126" t="s">
        <v>192</v>
      </c>
      <c r="L29" s="126" t="s">
        <v>712</v>
      </c>
      <c r="M29" s="167"/>
      <c r="N29" s="126" t="s">
        <v>390</v>
      </c>
      <c r="O29" s="126" t="s">
        <v>391</v>
      </c>
      <c r="P29" s="126" t="s">
        <v>240</v>
      </c>
      <c r="Q29" s="181">
        <f>3097*2.4</f>
        <v>7432.7999999999993</v>
      </c>
      <c r="R29" s="181">
        <v>7570.4</v>
      </c>
      <c r="S29" s="181"/>
      <c r="X29" s="181">
        <f t="shared" si="14"/>
        <v>7570.4</v>
      </c>
      <c r="AV29" s="165">
        <f t="shared" si="0"/>
        <v>44958.604166666664</v>
      </c>
      <c r="AW29" s="165">
        <f t="shared" si="1"/>
        <v>44975.440972222219</v>
      </c>
      <c r="AX29" s="137">
        <f t="shared" si="2"/>
        <v>16.836805555554747</v>
      </c>
      <c r="AY29" s="165">
        <v>44958.604166666664</v>
      </c>
      <c r="AZ29" s="165">
        <v>44959.388888888891</v>
      </c>
      <c r="BA29" s="165">
        <v>44961.3125</v>
      </c>
      <c r="BB29" s="165">
        <v>44969.125</v>
      </c>
      <c r="BC29" s="165">
        <v>44969.356249999997</v>
      </c>
      <c r="BD29" s="165">
        <v>44969.361111111109</v>
      </c>
      <c r="BE29" s="165">
        <v>44969.361111111109</v>
      </c>
      <c r="BF29" s="165">
        <f t="shared" si="13"/>
        <v>44971.069444444445</v>
      </c>
      <c r="BG29" s="165">
        <v>44971.291666608799</v>
      </c>
      <c r="BH29" s="165">
        <v>44971.458333275463</v>
      </c>
      <c r="BI29" s="165">
        <v>44971.305555555555</v>
      </c>
      <c r="BJ29" s="165">
        <v>44973.416666666664</v>
      </c>
      <c r="BK29" s="165">
        <v>44974.885416666664</v>
      </c>
      <c r="BL29" s="165">
        <v>44975.072916666664</v>
      </c>
      <c r="BM29" s="165">
        <v>44975.09375</v>
      </c>
      <c r="BN29" s="165">
        <v>44975.09375</v>
      </c>
      <c r="BO29" s="165">
        <v>44975.440972222219</v>
      </c>
      <c r="BR29" s="136">
        <f t="shared" si="3"/>
        <v>46.166666666627862</v>
      </c>
      <c r="BS29" s="136">
        <f t="shared" si="4"/>
        <v>5.5499999999301508</v>
      </c>
      <c r="BT29" s="136">
        <f t="shared" si="5"/>
        <v>41.000000000058208</v>
      </c>
      <c r="BU29" s="136">
        <f t="shared" si="11"/>
        <v>47.000001388834789</v>
      </c>
      <c r="BV29" s="135">
        <f t="shared" si="6"/>
        <v>4.5</v>
      </c>
      <c r="BW29" s="135">
        <f t="shared" si="7"/>
        <v>8.3333333332557231</v>
      </c>
      <c r="BX29" s="134">
        <f t="shared" si="8"/>
        <v>6.3562500578627805</v>
      </c>
      <c r="BY29" s="134">
        <f t="shared" si="9"/>
        <v>16.836805555554747</v>
      </c>
      <c r="BZ29" s="133">
        <f t="shared" si="10"/>
        <v>0.37752114181574936</v>
      </c>
    </row>
    <row r="30" spans="1:78" s="126" customFormat="1">
      <c r="A30" s="192">
        <f t="shared" si="12"/>
        <v>44968.899305555555</v>
      </c>
      <c r="B30" s="126" t="s">
        <v>228</v>
      </c>
      <c r="C30" s="126" t="s">
        <v>229</v>
      </c>
      <c r="D30" s="126" t="s">
        <v>215</v>
      </c>
      <c r="E30" s="126" t="s">
        <v>693</v>
      </c>
      <c r="G30" s="73">
        <v>44973.989583333336</v>
      </c>
      <c r="H30" s="73">
        <v>44973.999305555553</v>
      </c>
      <c r="I30" s="126" t="s">
        <v>231</v>
      </c>
      <c r="J30" s="126" t="s">
        <v>192</v>
      </c>
      <c r="K30" s="126" t="s">
        <v>192</v>
      </c>
      <c r="L30" s="126" t="s">
        <v>713</v>
      </c>
      <c r="M30" s="167"/>
      <c r="N30" s="126" t="s">
        <v>271</v>
      </c>
      <c r="O30" s="126" t="s">
        <v>272</v>
      </c>
      <c r="P30" s="126" t="s">
        <v>240</v>
      </c>
      <c r="Q30" s="181">
        <f>3852*2.4</f>
        <v>9244.7999999999993</v>
      </c>
      <c r="R30" s="181">
        <v>9235.3490000000002</v>
      </c>
      <c r="S30" s="181"/>
      <c r="X30" s="181">
        <f t="shared" si="14"/>
        <v>9235.3490000000002</v>
      </c>
      <c r="AV30" s="165">
        <f t="shared" si="0"/>
        <v>44958.625</v>
      </c>
      <c r="AW30" s="165">
        <f t="shared" si="1"/>
        <v>44976.759027777778</v>
      </c>
      <c r="AX30" s="137">
        <f t="shared" si="2"/>
        <v>18.134027777778101</v>
      </c>
      <c r="AY30" s="165">
        <v>44958.625</v>
      </c>
      <c r="AZ30" s="165">
        <v>44959.361111111109</v>
      </c>
      <c r="BA30" s="165">
        <v>44961.111111111109</v>
      </c>
      <c r="BB30" s="165">
        <v>44968.899305555555</v>
      </c>
      <c r="BC30" s="165">
        <v>44969.09375</v>
      </c>
      <c r="BD30" s="165">
        <v>44969.104166666664</v>
      </c>
      <c r="BE30" s="165">
        <v>44969.104166666664</v>
      </c>
      <c r="BF30" s="165">
        <f t="shared" si="13"/>
        <v>44970.8125</v>
      </c>
      <c r="BG30" s="165">
        <v>44971.291666608799</v>
      </c>
      <c r="BH30" s="165">
        <v>44971.458333275463</v>
      </c>
      <c r="BI30" s="165">
        <v>44971.333333333336</v>
      </c>
      <c r="BJ30" s="165">
        <v>44974.465277777781</v>
      </c>
      <c r="BK30" s="165">
        <v>44976.177083333336</v>
      </c>
      <c r="BL30" s="165">
        <v>44976.378472222219</v>
      </c>
      <c r="BM30" s="165">
        <v>44976.399305555555</v>
      </c>
      <c r="BN30" s="165">
        <v>44976.590277777781</v>
      </c>
      <c r="BO30" s="165">
        <v>44976.759027777778</v>
      </c>
      <c r="BR30" s="136">
        <f t="shared" si="3"/>
        <v>42</v>
      </c>
      <c r="BS30" s="136">
        <f t="shared" si="4"/>
        <v>4.6666666666860692</v>
      </c>
      <c r="BT30" s="136">
        <f t="shared" si="5"/>
        <v>41.000000000058208</v>
      </c>
      <c r="BU30" s="136">
        <f t="shared" si="11"/>
        <v>72.166668055637274</v>
      </c>
      <c r="BV30" s="135">
        <f t="shared" si="6"/>
        <v>4.8333333331975155</v>
      </c>
      <c r="BW30" s="135">
        <f t="shared" si="7"/>
        <v>4.0499999999301508</v>
      </c>
      <c r="BX30" s="134">
        <f t="shared" si="8"/>
        <v>7.0298611689795507</v>
      </c>
      <c r="BY30" s="134">
        <f t="shared" si="9"/>
        <v>18.134027777778101</v>
      </c>
      <c r="BZ30" s="133">
        <f t="shared" si="10"/>
        <v>0.3876613213085579</v>
      </c>
    </row>
    <row r="31" spans="1:78" s="126" customFormat="1">
      <c r="A31" s="192">
        <f t="shared" si="12"/>
        <v>44970.65625</v>
      </c>
      <c r="B31" s="126" t="s">
        <v>228</v>
      </c>
      <c r="C31" s="126" t="s">
        <v>229</v>
      </c>
      <c r="D31" s="126" t="s">
        <v>197</v>
      </c>
      <c r="E31" s="126" t="s">
        <v>684</v>
      </c>
      <c r="G31" s="73">
        <v>44972.000694444447</v>
      </c>
      <c r="H31" s="73">
        <v>44972.000694444447</v>
      </c>
      <c r="I31" s="126" t="s">
        <v>231</v>
      </c>
      <c r="J31" s="126" t="s">
        <v>192</v>
      </c>
      <c r="K31" s="126" t="s">
        <v>192</v>
      </c>
      <c r="L31" s="126" t="s">
        <v>714</v>
      </c>
      <c r="M31" s="167"/>
      <c r="N31" s="126" t="s">
        <v>257</v>
      </c>
      <c r="O31" s="126" t="s">
        <v>258</v>
      </c>
      <c r="P31" s="126" t="s">
        <v>235</v>
      </c>
      <c r="Q31" s="181">
        <f>3139*2.4</f>
        <v>7533.5999999999995</v>
      </c>
      <c r="R31" s="181">
        <v>7471.0559999999996</v>
      </c>
      <c r="S31" s="181"/>
      <c r="W31" s="181">
        <f>R31</f>
        <v>7471.0559999999996</v>
      </c>
      <c r="AV31" s="165">
        <f t="shared" si="0"/>
        <v>44959.263888888891</v>
      </c>
      <c r="AW31" s="165">
        <f t="shared" si="1"/>
        <v>44978.472222222219</v>
      </c>
      <c r="AX31" s="137">
        <f t="shared" si="2"/>
        <v>19.208333333328483</v>
      </c>
      <c r="AY31" s="165">
        <v>44959.263888888891</v>
      </c>
      <c r="AZ31" s="165">
        <v>44960.84375</v>
      </c>
      <c r="BA31" s="165">
        <v>44962.645833333336</v>
      </c>
      <c r="BB31" s="165">
        <v>44970.65625</v>
      </c>
      <c r="BC31" s="165">
        <v>44970.885416666664</v>
      </c>
      <c r="BD31" s="165">
        <v>44970.888888888891</v>
      </c>
      <c r="BE31" s="165">
        <v>44970.888888888891</v>
      </c>
      <c r="BF31" s="165">
        <f t="shared" si="13"/>
        <v>44972.597222222226</v>
      </c>
      <c r="BG31" s="165">
        <v>44973.541666608799</v>
      </c>
      <c r="BH31" s="165">
        <v>44973.708333275463</v>
      </c>
      <c r="BI31" s="165">
        <v>44973.75</v>
      </c>
      <c r="BJ31" s="165">
        <v>44976.399305555555</v>
      </c>
      <c r="BK31" s="165">
        <v>44977.875</v>
      </c>
      <c r="BL31" s="165">
        <v>44978.142361111109</v>
      </c>
      <c r="BM31" s="165">
        <v>44978.163194444445</v>
      </c>
      <c r="BN31" s="165">
        <v>44978.163194444445</v>
      </c>
      <c r="BO31" s="165">
        <v>44978.472222222219</v>
      </c>
      <c r="BR31" s="136">
        <f t="shared" si="3"/>
        <v>43.250000000058208</v>
      </c>
      <c r="BS31" s="136">
        <f t="shared" si="4"/>
        <v>5.4999999999417923</v>
      </c>
      <c r="BT31" s="136">
        <f t="shared" si="5"/>
        <v>41.000000000058208</v>
      </c>
      <c r="BU31" s="136">
        <f t="shared" si="11"/>
        <v>64.583334722206928</v>
      </c>
      <c r="BV31" s="135">
        <f t="shared" si="6"/>
        <v>6.4166666666278616</v>
      </c>
      <c r="BW31" s="135">
        <f t="shared" si="7"/>
        <v>7.4166666665696539</v>
      </c>
      <c r="BX31" s="134">
        <f t="shared" si="8"/>
        <v>7.0069445023109438</v>
      </c>
      <c r="BY31" s="134">
        <f t="shared" si="9"/>
        <v>19.208333333328483</v>
      </c>
      <c r="BZ31" s="133">
        <f t="shared" si="10"/>
        <v>0.36478669860196339</v>
      </c>
    </row>
    <row r="32" spans="1:78" s="126" customFormat="1">
      <c r="A32" s="192">
        <f t="shared" si="12"/>
        <v>44968.121527777781</v>
      </c>
      <c r="B32" s="126" t="s">
        <v>228</v>
      </c>
      <c r="C32" s="126" t="s">
        <v>229</v>
      </c>
      <c r="D32" s="126" t="s">
        <v>197</v>
      </c>
      <c r="E32" s="126" t="s">
        <v>693</v>
      </c>
      <c r="G32" s="73">
        <v>44973.989583333336</v>
      </c>
      <c r="H32" s="73">
        <v>44973.999305555553</v>
      </c>
      <c r="I32" s="126" t="s">
        <v>231</v>
      </c>
      <c r="J32" s="126" t="s">
        <v>192</v>
      </c>
      <c r="K32" s="126" t="s">
        <v>192</v>
      </c>
      <c r="L32" s="126" t="s">
        <v>715</v>
      </c>
      <c r="M32" s="167"/>
      <c r="N32" s="126" t="s">
        <v>277</v>
      </c>
      <c r="O32" s="126" t="s">
        <v>278</v>
      </c>
      <c r="P32" s="126" t="s">
        <v>240</v>
      </c>
      <c r="Q32" s="181">
        <f>3117*2.4</f>
        <v>7480.7999999999993</v>
      </c>
      <c r="R32" s="181">
        <f>7554.89+546.494</f>
        <v>8101.384</v>
      </c>
      <c r="S32" s="181"/>
      <c r="X32" s="181">
        <f>R32</f>
        <v>8101.384</v>
      </c>
      <c r="AV32" s="165">
        <f t="shared" si="0"/>
        <v>44958.993055555555</v>
      </c>
      <c r="AW32" s="165">
        <f t="shared" si="1"/>
        <v>44977.340277777781</v>
      </c>
      <c r="AX32" s="137">
        <f t="shared" si="2"/>
        <v>18.347222222226264</v>
      </c>
      <c r="AY32" s="165">
        <v>44958.993055555555</v>
      </c>
      <c r="AZ32" s="165">
        <v>44959.34375</v>
      </c>
      <c r="BA32" s="165">
        <v>44960.9375</v>
      </c>
      <c r="BB32" s="165">
        <v>44968.121527777781</v>
      </c>
      <c r="BC32" s="165">
        <v>44968.354166666664</v>
      </c>
      <c r="BD32" s="165">
        <v>44968.357638888891</v>
      </c>
      <c r="BE32" s="165">
        <v>44968.357638888891</v>
      </c>
      <c r="BF32" s="165">
        <f t="shared" si="13"/>
        <v>44970.065972222226</v>
      </c>
      <c r="BG32" s="165">
        <v>44970.291666666664</v>
      </c>
      <c r="BH32" s="165">
        <v>44970.458333333328</v>
      </c>
      <c r="BI32" s="165">
        <v>44970.413194444445</v>
      </c>
      <c r="BJ32" s="165">
        <v>44974.423611111109</v>
      </c>
      <c r="BK32" s="165">
        <v>44976.458333333336</v>
      </c>
      <c r="BL32" s="165">
        <v>44976.864583333336</v>
      </c>
      <c r="BM32" s="165">
        <v>44976.916666666664</v>
      </c>
      <c r="BN32" s="165">
        <v>44977.166666666664</v>
      </c>
      <c r="BO32" s="165">
        <v>44977.340277777781</v>
      </c>
      <c r="BR32" s="136">
        <f t="shared" si="3"/>
        <v>38.25</v>
      </c>
      <c r="BS32" s="136">
        <f t="shared" si="4"/>
        <v>5.5833333331975155</v>
      </c>
      <c r="BT32" s="136">
        <f t="shared" si="5"/>
        <v>41.000000000058208</v>
      </c>
      <c r="BU32" s="136">
        <f t="shared" si="11"/>
        <v>95.166666666744277</v>
      </c>
      <c r="BV32" s="135">
        <f t="shared" si="6"/>
        <v>9.75</v>
      </c>
      <c r="BW32" s="135">
        <f t="shared" si="7"/>
        <v>4.1666666668024845</v>
      </c>
      <c r="BX32" s="134">
        <f t="shared" si="8"/>
        <v>8.0798611111167702</v>
      </c>
      <c r="BY32" s="134">
        <f t="shared" si="9"/>
        <v>18.347222222226264</v>
      </c>
      <c r="BZ32" s="133">
        <f t="shared" si="10"/>
        <v>0.44038607115842487</v>
      </c>
    </row>
    <row r="33" spans="1:78" s="126" customFormat="1">
      <c r="A33" s="192">
        <f t="shared" si="12"/>
        <v>44971.333333333336</v>
      </c>
      <c r="B33" s="126" t="s">
        <v>228</v>
      </c>
      <c r="C33" s="126" t="s">
        <v>229</v>
      </c>
      <c r="D33" s="126" t="s">
        <v>197</v>
      </c>
      <c r="E33" s="126" t="s">
        <v>684</v>
      </c>
      <c r="G33" s="73">
        <v>44972.000694444447</v>
      </c>
      <c r="H33" s="73">
        <v>44972.000694444447</v>
      </c>
      <c r="I33" s="126" t="s">
        <v>231</v>
      </c>
      <c r="J33" s="126" t="s">
        <v>192</v>
      </c>
      <c r="K33" s="126" t="s">
        <v>192</v>
      </c>
      <c r="L33" s="126" t="s">
        <v>716</v>
      </c>
      <c r="M33" s="167"/>
      <c r="N33" s="126" t="s">
        <v>406</v>
      </c>
      <c r="O33" s="126" t="s">
        <v>407</v>
      </c>
      <c r="P33" s="126" t="s">
        <v>235</v>
      </c>
      <c r="Q33" s="181">
        <f>3107*2.4</f>
        <v>7456.7999999999993</v>
      </c>
      <c r="R33" s="181">
        <v>7458.5209999999997</v>
      </c>
      <c r="S33" s="181"/>
      <c r="W33" s="181">
        <f>R33</f>
        <v>7458.5209999999997</v>
      </c>
      <c r="AV33" s="165">
        <f t="shared" si="0"/>
        <v>44960.416666666664</v>
      </c>
      <c r="AW33" s="165">
        <f t="shared" si="1"/>
        <v>44979.503472222219</v>
      </c>
      <c r="AX33" s="137">
        <f t="shared" si="2"/>
        <v>19.086805555554747</v>
      </c>
      <c r="AY33" s="165">
        <v>44960.416666666664</v>
      </c>
      <c r="AZ33" s="165">
        <v>44965.84375</v>
      </c>
      <c r="BA33" s="165">
        <v>44968.125</v>
      </c>
      <c r="BB33" s="165">
        <v>44971.333333333336</v>
      </c>
      <c r="BC33" s="165">
        <v>44971.489583333336</v>
      </c>
      <c r="BD33" s="165">
        <v>44971.493055555555</v>
      </c>
      <c r="BE33" s="165">
        <v>44971.493055555555</v>
      </c>
      <c r="BF33" s="165">
        <f t="shared" si="13"/>
        <v>44973.201388888891</v>
      </c>
      <c r="BG33" s="165">
        <v>44973.541666608799</v>
      </c>
      <c r="BH33" s="165">
        <v>44973.708333275463</v>
      </c>
      <c r="BI33" s="165">
        <v>44973.583333333336</v>
      </c>
      <c r="BJ33" s="165">
        <v>44976.666666666664</v>
      </c>
      <c r="BK33" s="165">
        <v>44978.965277777781</v>
      </c>
      <c r="BL33" s="165">
        <v>44979.15625</v>
      </c>
      <c r="BM33" s="165">
        <v>44979.177083333336</v>
      </c>
      <c r="BN33" s="165">
        <v>44979.270833333336</v>
      </c>
      <c r="BO33" s="264">
        <v>44979.503472222219</v>
      </c>
      <c r="BP33" s="126" t="s">
        <v>698</v>
      </c>
      <c r="BR33" s="136">
        <f t="shared" si="3"/>
        <v>54.75</v>
      </c>
      <c r="BS33" s="136">
        <f t="shared" si="4"/>
        <v>3.75</v>
      </c>
      <c r="BT33" s="136">
        <f t="shared" si="5"/>
        <v>41.000000000058208</v>
      </c>
      <c r="BU33" s="136">
        <f t="shared" si="11"/>
        <v>71.000001388834789</v>
      </c>
      <c r="BV33" s="135">
        <f t="shared" si="6"/>
        <v>4.5833333332557231</v>
      </c>
      <c r="BW33" s="135">
        <f t="shared" si="7"/>
        <v>5.5833333331975155</v>
      </c>
      <c r="BX33" s="134">
        <f t="shared" si="8"/>
        <v>7.5277778356394265</v>
      </c>
      <c r="BY33" s="134">
        <f t="shared" si="9"/>
        <v>19.086805555554747</v>
      </c>
      <c r="BZ33" s="133">
        <f t="shared" si="10"/>
        <v>0.39439694681903703</v>
      </c>
    </row>
    <row r="34" spans="1:78" s="126" customFormat="1">
      <c r="A34" s="192">
        <f t="shared" si="12"/>
        <v>44970.909722222219</v>
      </c>
      <c r="B34" s="126" t="s">
        <v>228</v>
      </c>
      <c r="C34" s="126" t="s">
        <v>229</v>
      </c>
      <c r="D34" s="126" t="s">
        <v>197</v>
      </c>
      <c r="E34" s="126" t="s">
        <v>684</v>
      </c>
      <c r="G34" s="73">
        <v>44972.000694444447</v>
      </c>
      <c r="H34" s="73">
        <v>44972.000694444447</v>
      </c>
      <c r="I34" s="126" t="s">
        <v>231</v>
      </c>
      <c r="J34" s="126" t="s">
        <v>192</v>
      </c>
      <c r="K34" s="126" t="s">
        <v>192</v>
      </c>
      <c r="L34" s="126" t="s">
        <v>717</v>
      </c>
      <c r="M34" s="167"/>
      <c r="N34" s="126" t="s">
        <v>213</v>
      </c>
      <c r="O34" s="126" t="s">
        <v>214</v>
      </c>
      <c r="P34" s="126" t="s">
        <v>235</v>
      </c>
      <c r="Q34" s="181">
        <f>3113*2.4</f>
        <v>7471.2</v>
      </c>
      <c r="R34" s="181">
        <v>7551.0290000000005</v>
      </c>
      <c r="S34" s="181"/>
      <c r="W34" s="181">
        <f>R34</f>
        <v>7551.0290000000005</v>
      </c>
      <c r="AV34" s="165">
        <f t="shared" si="0"/>
        <v>44959.395833333336</v>
      </c>
      <c r="AW34" s="165">
        <f t="shared" si="1"/>
        <v>44979.427083333336</v>
      </c>
      <c r="AX34" s="137">
        <f t="shared" si="2"/>
        <v>20.03125</v>
      </c>
      <c r="AY34" s="165">
        <v>44959.395833333336</v>
      </c>
      <c r="AZ34" s="165">
        <v>44960.864583333336</v>
      </c>
      <c r="BA34" s="165">
        <v>44963.256944444445</v>
      </c>
      <c r="BB34" s="165">
        <v>44970.909722222219</v>
      </c>
      <c r="BC34" s="165">
        <v>44971.069444444445</v>
      </c>
      <c r="BD34" s="165">
        <v>44971.072916666664</v>
      </c>
      <c r="BE34" s="165">
        <v>44971.072916666664</v>
      </c>
      <c r="BF34" s="165">
        <f t="shared" si="13"/>
        <v>44972.78125</v>
      </c>
      <c r="BG34" s="165">
        <v>44973.541666608799</v>
      </c>
      <c r="BH34" s="165">
        <v>44973.708333275463</v>
      </c>
      <c r="BI34" s="165">
        <v>44973.666666666664</v>
      </c>
      <c r="BJ34" s="165">
        <v>44976.625</v>
      </c>
      <c r="BK34" s="165">
        <v>44978.71875</v>
      </c>
      <c r="BL34" s="165">
        <v>44978.902777777781</v>
      </c>
      <c r="BM34" s="165">
        <v>44978.923611111109</v>
      </c>
      <c r="BN34" s="165">
        <v>44979.25</v>
      </c>
      <c r="BO34" s="165">
        <v>44979.427083333336</v>
      </c>
      <c r="BR34" s="136">
        <f t="shared" si="3"/>
        <v>57.416666666627862</v>
      </c>
      <c r="BS34" s="136">
        <f t="shared" si="4"/>
        <v>3.8333333334303461</v>
      </c>
      <c r="BT34" s="136">
        <f t="shared" si="5"/>
        <v>41.000000000058208</v>
      </c>
      <c r="BU34" s="136">
        <f t="shared" si="11"/>
        <v>70.000001388892997</v>
      </c>
      <c r="BV34" s="135">
        <f t="shared" si="6"/>
        <v>4.4166666667442769</v>
      </c>
      <c r="BW34" s="135">
        <f t="shared" si="7"/>
        <v>4.2500000000582077</v>
      </c>
      <c r="BX34" s="134">
        <f t="shared" si="8"/>
        <v>7.5381945023254957</v>
      </c>
      <c r="BY34" s="134">
        <f t="shared" si="9"/>
        <v>20.03125</v>
      </c>
      <c r="BZ34" s="133">
        <f t="shared" si="10"/>
        <v>0.37632172242498574</v>
      </c>
    </row>
    <row r="35" spans="1:78" s="126" customFormat="1">
      <c r="A35" s="192">
        <f t="shared" si="12"/>
        <v>44970.149305555555</v>
      </c>
      <c r="B35" s="126" t="s">
        <v>228</v>
      </c>
      <c r="C35" s="126" t="s">
        <v>229</v>
      </c>
      <c r="D35" s="126" t="s">
        <v>215</v>
      </c>
      <c r="E35" s="126" t="s">
        <v>684</v>
      </c>
      <c r="G35" s="73">
        <v>44972.000694444447</v>
      </c>
      <c r="H35" s="73">
        <v>44972.000694444447</v>
      </c>
      <c r="I35" s="126" t="s">
        <v>231</v>
      </c>
      <c r="J35" s="126" t="s">
        <v>192</v>
      </c>
      <c r="K35" s="126" t="s">
        <v>192</v>
      </c>
      <c r="L35" s="126" t="s">
        <v>718</v>
      </c>
      <c r="M35" s="167"/>
      <c r="N35" s="126" t="s">
        <v>403</v>
      </c>
      <c r="O35" s="126" t="s">
        <v>404</v>
      </c>
      <c r="P35" s="126" t="s">
        <v>235</v>
      </c>
      <c r="Q35" s="181">
        <f>3107*2.4</f>
        <v>7456.7999999999993</v>
      </c>
      <c r="R35" s="181">
        <v>7540.0839999999998</v>
      </c>
      <c r="S35" s="181"/>
      <c r="W35" s="181">
        <f>R35</f>
        <v>7540.0839999999998</v>
      </c>
      <c r="AV35" s="165">
        <f t="shared" si="0"/>
        <v>44959.541666666664</v>
      </c>
      <c r="AW35" s="165">
        <f t="shared" si="1"/>
        <v>44979.003472222219</v>
      </c>
      <c r="AX35" s="137">
        <f t="shared" si="2"/>
        <v>19.461805555554747</v>
      </c>
      <c r="AY35" s="165">
        <v>44959.541666666664</v>
      </c>
      <c r="AZ35" s="165">
        <v>44960.378472222219</v>
      </c>
      <c r="BA35" s="165">
        <v>44962.041666666664</v>
      </c>
      <c r="BB35" s="165">
        <v>44970.149305555555</v>
      </c>
      <c r="BC35" s="165">
        <v>44970.381944444445</v>
      </c>
      <c r="BD35" s="165">
        <v>44970.388888888891</v>
      </c>
      <c r="BE35" s="165">
        <v>44970.388888888891</v>
      </c>
      <c r="BF35" s="165">
        <f t="shared" si="13"/>
        <v>44972.097222222226</v>
      </c>
      <c r="BG35" s="165">
        <v>44973.541666608799</v>
      </c>
      <c r="BH35" s="165">
        <v>44973.708333275463</v>
      </c>
      <c r="BI35" s="165">
        <v>44973.732638888891</v>
      </c>
      <c r="BJ35" s="165">
        <v>44976.625</v>
      </c>
      <c r="BK35" s="165">
        <v>44978.486111111109</v>
      </c>
      <c r="BL35" s="165">
        <v>44978.65625</v>
      </c>
      <c r="BM35" s="165">
        <v>44978.677083333336</v>
      </c>
      <c r="BN35" s="165">
        <v>44978.677083333336</v>
      </c>
      <c r="BO35" s="165">
        <v>44979.003472222219</v>
      </c>
      <c r="BR35" s="136">
        <f t="shared" si="3"/>
        <v>39.916666666686069</v>
      </c>
      <c r="BS35" s="136">
        <f t="shared" si="4"/>
        <v>5.5833333333721384</v>
      </c>
      <c r="BT35" s="136">
        <f t="shared" si="5"/>
        <v>41.000000000058208</v>
      </c>
      <c r="BU35" s="136">
        <f t="shared" si="11"/>
        <v>70.000001388892997</v>
      </c>
      <c r="BV35" s="135">
        <f t="shared" si="6"/>
        <v>4.0833333333721384</v>
      </c>
      <c r="BW35" s="135">
        <f t="shared" si="7"/>
        <v>7.8333333331975155</v>
      </c>
      <c r="BX35" s="134">
        <f t="shared" si="8"/>
        <v>7.0173611689824611</v>
      </c>
      <c r="BY35" s="134">
        <f t="shared" si="9"/>
        <v>19.461805555554747</v>
      </c>
      <c r="BZ35" s="133">
        <f t="shared" si="10"/>
        <v>0.3605709217960808</v>
      </c>
    </row>
    <row r="36" spans="1:78" s="126" customFormat="1">
      <c r="A36" s="192">
        <f t="shared" si="12"/>
        <v>44970.440972222219</v>
      </c>
      <c r="B36" s="126" t="s">
        <v>228</v>
      </c>
      <c r="C36" s="126" t="s">
        <v>229</v>
      </c>
      <c r="D36" s="126" t="s">
        <v>215</v>
      </c>
      <c r="E36" s="126" t="s">
        <v>684</v>
      </c>
      <c r="G36" s="73">
        <v>44972.000694444447</v>
      </c>
      <c r="H36" s="73">
        <v>44972.000694444447</v>
      </c>
      <c r="I36" s="126" t="s">
        <v>231</v>
      </c>
      <c r="J36" s="126" t="s">
        <v>192</v>
      </c>
      <c r="K36" s="126" t="s">
        <v>192</v>
      </c>
      <c r="L36" s="126" t="s">
        <v>719</v>
      </c>
      <c r="M36" s="167"/>
      <c r="N36" s="126" t="s">
        <v>399</v>
      </c>
      <c r="O36" s="126" t="s">
        <v>400</v>
      </c>
      <c r="P36" s="126" t="s">
        <v>235</v>
      </c>
      <c r="Q36" s="181">
        <f>3146*2.4</f>
        <v>7550.4</v>
      </c>
      <c r="R36" s="181">
        <v>7425.915</v>
      </c>
      <c r="S36" s="181"/>
      <c r="W36" s="181">
        <f>R36</f>
        <v>7425.915</v>
      </c>
      <c r="AV36" s="165">
        <f t="shared" si="0"/>
        <v>44959.763888888891</v>
      </c>
      <c r="AW36" s="165">
        <f t="shared" si="1"/>
        <v>44980.111111111109</v>
      </c>
      <c r="AX36" s="137">
        <f t="shared" si="2"/>
        <v>20.347222222218988</v>
      </c>
      <c r="AY36" s="165">
        <v>44959.763888888891</v>
      </c>
      <c r="AZ36" s="165">
        <v>44960.361111111109</v>
      </c>
      <c r="BA36" s="165">
        <v>44962.208333333336</v>
      </c>
      <c r="BB36" s="165">
        <v>44970.440972222219</v>
      </c>
      <c r="BC36" s="165">
        <v>44970.621527777781</v>
      </c>
      <c r="BD36" s="165">
        <v>44970.628472222219</v>
      </c>
      <c r="BE36" s="165">
        <v>44970.628472222219</v>
      </c>
      <c r="BF36" s="165">
        <f t="shared" si="13"/>
        <v>44972.336805555555</v>
      </c>
      <c r="BG36" s="165">
        <v>44972.333333333336</v>
      </c>
      <c r="BH36" s="165">
        <v>44972.5</v>
      </c>
      <c r="BI36" s="165">
        <v>44972.368055555555</v>
      </c>
      <c r="BJ36" s="165">
        <v>44976.729166666664</v>
      </c>
      <c r="BK36" s="165">
        <v>44979.21875</v>
      </c>
      <c r="BL36" s="165">
        <v>44979.402777777781</v>
      </c>
      <c r="BM36" s="165">
        <v>44979.423611111109</v>
      </c>
      <c r="BN36" s="165">
        <v>44979.708333333336</v>
      </c>
      <c r="BO36" s="165">
        <v>44980.111111111109</v>
      </c>
      <c r="BR36" s="136">
        <f t="shared" si="3"/>
        <v>44.333333333430346</v>
      </c>
      <c r="BS36" s="136">
        <f t="shared" si="4"/>
        <v>4.3333333334885538</v>
      </c>
      <c r="BT36" s="136">
        <f t="shared" si="5"/>
        <v>41.000000000058208</v>
      </c>
      <c r="BU36" s="136">
        <f t="shared" si="11"/>
        <v>101.49999999994179</v>
      </c>
      <c r="BV36" s="135">
        <f t="shared" si="6"/>
        <v>4.4166666667442769</v>
      </c>
      <c r="BW36" s="135">
        <f t="shared" si="7"/>
        <v>9.6666666665696539</v>
      </c>
      <c r="BX36" s="134">
        <f t="shared" si="8"/>
        <v>8.5520833333430346</v>
      </c>
      <c r="BY36" s="134">
        <f t="shared" si="9"/>
        <v>20.347222222218988</v>
      </c>
      <c r="BZ36" s="133">
        <f t="shared" si="10"/>
        <v>0.42030716723603845</v>
      </c>
    </row>
    <row r="37" spans="1:78" s="126" customFormat="1">
      <c r="A37" s="192">
        <f t="shared" si="12"/>
        <v>44971.513888888891</v>
      </c>
      <c r="B37" s="126" t="s">
        <v>228</v>
      </c>
      <c r="C37" s="126" t="s">
        <v>229</v>
      </c>
      <c r="D37" s="126" t="s">
        <v>215</v>
      </c>
      <c r="E37" s="126" t="s">
        <v>684</v>
      </c>
      <c r="G37" s="73">
        <v>44972.000694444447</v>
      </c>
      <c r="H37" s="73">
        <v>44972.000694444447</v>
      </c>
      <c r="I37" s="126" t="s">
        <v>231</v>
      </c>
      <c r="J37" s="126" t="s">
        <v>192</v>
      </c>
      <c r="K37" s="126" t="s">
        <v>192</v>
      </c>
      <c r="L37" s="126" t="s">
        <v>720</v>
      </c>
      <c r="M37" s="167"/>
      <c r="N37" s="126" t="s">
        <v>721</v>
      </c>
      <c r="O37" s="126" t="s">
        <v>722</v>
      </c>
      <c r="P37" s="126" t="s">
        <v>235</v>
      </c>
      <c r="Q37" s="181">
        <v>7500</v>
      </c>
      <c r="R37" s="181">
        <v>7650.6760000000004</v>
      </c>
      <c r="S37" s="181"/>
      <c r="W37" s="181">
        <f>R37</f>
        <v>7650.6760000000004</v>
      </c>
      <c r="AV37" s="165">
        <f t="shared" si="0"/>
        <v>44963.388888888891</v>
      </c>
      <c r="AW37" s="165">
        <f t="shared" si="1"/>
        <v>44978.819444444445</v>
      </c>
      <c r="AX37" s="137">
        <f t="shared" si="2"/>
        <v>15.430555555554747</v>
      </c>
      <c r="AY37" s="165">
        <v>44963.388888888891</v>
      </c>
      <c r="AZ37" s="165">
        <v>44966.836805555555</v>
      </c>
      <c r="BA37" s="165">
        <v>44968.458333333336</v>
      </c>
      <c r="BB37" s="165">
        <v>44971.513888888891</v>
      </c>
      <c r="BC37" s="165">
        <v>44971.708333333336</v>
      </c>
      <c r="BD37" s="165">
        <v>44971.711805555555</v>
      </c>
      <c r="BE37" s="165">
        <v>44971.711805555555</v>
      </c>
      <c r="BF37" s="165">
        <f t="shared" si="13"/>
        <v>44973.420138888891</v>
      </c>
      <c r="BG37" s="165">
        <v>44973.541666608799</v>
      </c>
      <c r="BH37" s="165">
        <v>44973.708333275463</v>
      </c>
      <c r="BI37" s="165">
        <v>44973.736111111109</v>
      </c>
      <c r="BJ37" s="165">
        <v>44976.402777777781</v>
      </c>
      <c r="BK37" s="165">
        <v>44978.204861111109</v>
      </c>
      <c r="BL37" s="165">
        <v>44978.423611111109</v>
      </c>
      <c r="BM37" s="165">
        <v>44978.444444444445</v>
      </c>
      <c r="BN37" s="165">
        <v>44978.666666666664</v>
      </c>
      <c r="BO37" s="165">
        <v>44978.819444444445</v>
      </c>
      <c r="BP37" s="126" t="s">
        <v>723</v>
      </c>
      <c r="BR37" s="136">
        <f t="shared" si="3"/>
        <v>38.916666666744277</v>
      </c>
      <c r="BS37" s="136">
        <f t="shared" si="4"/>
        <v>4.6666666666860692</v>
      </c>
      <c r="BT37" s="136">
        <f t="shared" si="5"/>
        <v>41.000000000058208</v>
      </c>
      <c r="BU37" s="136">
        <f t="shared" si="11"/>
        <v>64.666668055637274</v>
      </c>
      <c r="BV37" s="135">
        <f t="shared" si="6"/>
        <v>5.25</v>
      </c>
      <c r="BW37" s="135">
        <f t="shared" si="7"/>
        <v>3.6666666667442769</v>
      </c>
      <c r="BX37" s="134">
        <f t="shared" si="8"/>
        <v>6.5902778356612544</v>
      </c>
      <c r="BY37" s="134">
        <f t="shared" si="9"/>
        <v>15.430555555554747</v>
      </c>
      <c r="BZ37" s="133">
        <f t="shared" si="10"/>
        <v>0.42709271302217389</v>
      </c>
    </row>
    <row r="38" spans="1:78" s="126" customFormat="1">
      <c r="A38" s="192">
        <f t="shared" si="12"/>
        <v>44976.625</v>
      </c>
      <c r="B38" s="126" t="s">
        <v>228</v>
      </c>
      <c r="C38" s="126" t="s">
        <v>229</v>
      </c>
      <c r="D38" s="126" t="s">
        <v>215</v>
      </c>
      <c r="E38" s="126" t="s">
        <v>724</v>
      </c>
      <c r="G38" s="165">
        <v>44977.541666666664</v>
      </c>
      <c r="H38" s="165">
        <v>44977.520833333336</v>
      </c>
      <c r="I38" s="126" t="s">
        <v>243</v>
      </c>
      <c r="J38" s="126" t="s">
        <v>192</v>
      </c>
      <c r="K38" s="126" t="s">
        <v>192</v>
      </c>
      <c r="L38" s="126" t="s">
        <v>725</v>
      </c>
      <c r="M38" s="167"/>
      <c r="N38" s="126" t="s">
        <v>374</v>
      </c>
      <c r="O38" s="126" t="s">
        <v>375</v>
      </c>
      <c r="P38" s="126" t="s">
        <v>581</v>
      </c>
      <c r="Q38" s="181">
        <v>7508.4480000000003</v>
      </c>
      <c r="R38" s="181">
        <v>7501.4859999999999</v>
      </c>
      <c r="S38" s="181"/>
      <c r="W38" s="181">
        <f t="shared" ref="W38:W53" si="15">R38*0.7</f>
        <v>5251.0401999999995</v>
      </c>
      <c r="X38" s="181">
        <f t="shared" ref="X38:X53" si="16">R38*0.3</f>
        <v>2250.4458</v>
      </c>
      <c r="AV38" s="165">
        <f t="shared" si="0"/>
        <v>44963.881944444445</v>
      </c>
      <c r="AW38" s="165">
        <f t="shared" si="1"/>
        <v>44981.125</v>
      </c>
      <c r="AX38" s="137">
        <f t="shared" si="2"/>
        <v>17.243055555554747</v>
      </c>
      <c r="AY38" s="165">
        <v>44963.881944444445</v>
      </c>
      <c r="AZ38" s="165">
        <v>44972.652777777781</v>
      </c>
      <c r="BA38" s="165">
        <v>44974.659722222219</v>
      </c>
      <c r="BB38" s="165">
        <v>44976.625</v>
      </c>
      <c r="BC38" s="165">
        <v>44976.767361111109</v>
      </c>
      <c r="BD38" s="165">
        <v>44976.770833333336</v>
      </c>
      <c r="BE38" s="165">
        <v>44977.25</v>
      </c>
      <c r="BF38" s="165">
        <f t="shared" si="13"/>
        <v>44978.958333333336</v>
      </c>
      <c r="BG38" s="165">
        <v>44979.25</v>
      </c>
      <c r="BH38" s="165">
        <v>44979.416666666664</v>
      </c>
      <c r="BI38" s="165">
        <v>44979.3125</v>
      </c>
      <c r="BJ38" s="165">
        <v>44980.767361111109</v>
      </c>
      <c r="BK38" s="165">
        <v>44980.836805555555</v>
      </c>
      <c r="BL38" s="165">
        <v>44981.107638888891</v>
      </c>
      <c r="BM38" s="165">
        <v>44981.125</v>
      </c>
      <c r="BN38" s="165">
        <v>44981.125</v>
      </c>
      <c r="BO38" s="165">
        <v>44981.125</v>
      </c>
      <c r="BP38" s="126" t="s">
        <v>726</v>
      </c>
      <c r="BR38" s="136">
        <f t="shared" si="3"/>
        <v>48.166666666511446</v>
      </c>
      <c r="BS38" s="136">
        <f t="shared" si="4"/>
        <v>3.4166666666278616</v>
      </c>
      <c r="BT38" s="136">
        <f t="shared" si="5"/>
        <v>41.000000000058208</v>
      </c>
      <c r="BU38" s="136">
        <f t="shared" ref="BU38:BU47" si="17">(BJ38-BF38)*24</f>
        <v>43.416666666569654</v>
      </c>
      <c r="BV38" s="135">
        <f t="shared" si="6"/>
        <v>6.5000000000582077</v>
      </c>
      <c r="BW38" s="135">
        <f t="shared" si="7"/>
        <v>0</v>
      </c>
      <c r="BX38" s="134">
        <f t="shared" si="8"/>
        <v>5.937499999992724</v>
      </c>
      <c r="BY38" s="134">
        <f t="shared" si="9"/>
        <v>17.243055555554747</v>
      </c>
      <c r="BZ38" s="133">
        <f t="shared" si="10"/>
        <v>0.34434152235158771</v>
      </c>
    </row>
    <row r="39" spans="1:78" s="126" customFormat="1">
      <c r="A39" s="192">
        <f t="shared" si="12"/>
        <v>44974.913194444445</v>
      </c>
      <c r="B39" s="126" t="s">
        <v>228</v>
      </c>
      <c r="C39" s="126" t="s">
        <v>229</v>
      </c>
      <c r="D39" s="126" t="s">
        <v>197</v>
      </c>
      <c r="E39" s="126" t="s">
        <v>724</v>
      </c>
      <c r="F39" s="126" t="s">
        <v>727</v>
      </c>
      <c r="G39" s="165">
        <v>44977.541666666664</v>
      </c>
      <c r="H39" s="165">
        <v>44977.520833333336</v>
      </c>
      <c r="I39" s="126" t="s">
        <v>243</v>
      </c>
      <c r="J39" s="126" t="s">
        <v>192</v>
      </c>
      <c r="K39" s="126" t="s">
        <v>192</v>
      </c>
      <c r="L39" s="126" t="s">
        <v>728</v>
      </c>
      <c r="M39" s="167"/>
      <c r="N39" s="126" t="s">
        <v>429</v>
      </c>
      <c r="O39" s="126" t="s">
        <v>430</v>
      </c>
      <c r="P39" s="126" t="s">
        <v>581</v>
      </c>
      <c r="Q39" s="181">
        <f>3145 *2.4</f>
        <v>7548</v>
      </c>
      <c r="R39" s="181">
        <v>7742.6239999999998</v>
      </c>
      <c r="S39" s="181"/>
      <c r="W39" s="181">
        <f t="shared" si="15"/>
        <v>5419.8367999999991</v>
      </c>
      <c r="X39" s="181">
        <f t="shared" si="16"/>
        <v>2322.7871999999998</v>
      </c>
      <c r="AV39" s="165">
        <f t="shared" si="0"/>
        <v>44962.46875</v>
      </c>
      <c r="AW39" s="165">
        <f t="shared" si="1"/>
        <v>44983.458333333336</v>
      </c>
      <c r="AX39" s="137">
        <f t="shared" si="2"/>
        <v>20.989583333335759</v>
      </c>
      <c r="AY39" s="165">
        <v>44962.46875</v>
      </c>
      <c r="AZ39" s="165">
        <v>44968.569444444445</v>
      </c>
      <c r="BA39" s="165">
        <v>44970.65625</v>
      </c>
      <c r="BB39" s="165">
        <v>44974.913194444445</v>
      </c>
      <c r="BC39" s="165">
        <v>44975.041666666664</v>
      </c>
      <c r="BD39" s="165">
        <v>44975.052083333336</v>
      </c>
      <c r="BE39" s="165">
        <v>44975.28125</v>
      </c>
      <c r="BF39" s="165">
        <f t="shared" si="13"/>
        <v>44976.989583333336</v>
      </c>
      <c r="BG39" s="165">
        <v>44977.25</v>
      </c>
      <c r="BH39" s="165">
        <v>44977.416666666664</v>
      </c>
      <c r="BI39" s="165">
        <v>44977.319444444445</v>
      </c>
      <c r="BJ39" s="165">
        <v>44981.322916666664</v>
      </c>
      <c r="BK39" s="165">
        <v>44981.972222222219</v>
      </c>
      <c r="BL39" s="165">
        <v>44982.440972222219</v>
      </c>
      <c r="BM39" s="165">
        <v>44982.510416666664</v>
      </c>
      <c r="BN39" s="165">
        <v>44982.940972222219</v>
      </c>
      <c r="BO39" s="165">
        <v>44983.458333333336</v>
      </c>
      <c r="BP39" s="126" t="s">
        <v>729</v>
      </c>
      <c r="BR39" s="136">
        <f t="shared" si="3"/>
        <v>50.083333333313931</v>
      </c>
      <c r="BS39" s="136">
        <f t="shared" si="4"/>
        <v>3.0833333332557231</v>
      </c>
      <c r="BT39" s="136">
        <f t="shared" si="5"/>
        <v>41.000000000058208</v>
      </c>
      <c r="BU39" s="136">
        <f t="shared" si="17"/>
        <v>103.99999999988358</v>
      </c>
      <c r="BV39" s="135">
        <f t="shared" si="6"/>
        <v>11.25</v>
      </c>
      <c r="BW39" s="135">
        <f t="shared" si="7"/>
        <v>12.416666666802485</v>
      </c>
      <c r="BX39" s="134">
        <f t="shared" si="8"/>
        <v>9.2430555555547471</v>
      </c>
      <c r="BY39" s="134">
        <f t="shared" si="9"/>
        <v>20.989583333335759</v>
      </c>
      <c r="BZ39" s="133">
        <f t="shared" si="10"/>
        <v>0.44036393713804128</v>
      </c>
    </row>
    <row r="40" spans="1:78" s="126" customFormat="1">
      <c r="A40" s="192">
        <f t="shared" si="12"/>
        <v>44971.954861111109</v>
      </c>
      <c r="B40" s="126" t="s">
        <v>228</v>
      </c>
      <c r="C40" s="126" t="s">
        <v>229</v>
      </c>
      <c r="D40" s="126" t="s">
        <v>197</v>
      </c>
      <c r="E40" s="126" t="s">
        <v>198</v>
      </c>
      <c r="G40" s="165">
        <v>44969.1875</v>
      </c>
      <c r="H40" s="165">
        <v>44969.1875</v>
      </c>
      <c r="I40" s="126" t="s">
        <v>243</v>
      </c>
      <c r="J40" s="126" t="s">
        <v>192</v>
      </c>
      <c r="K40" s="126" t="s">
        <v>192</v>
      </c>
      <c r="L40" s="126" t="s">
        <v>730</v>
      </c>
      <c r="M40" s="167"/>
      <c r="N40" s="126" t="s">
        <v>201</v>
      </c>
      <c r="O40" s="126" t="s">
        <v>202</v>
      </c>
      <c r="P40" s="126" t="s">
        <v>731</v>
      </c>
      <c r="Q40" s="181">
        <f>3141*2.4</f>
        <v>7538.4</v>
      </c>
      <c r="R40" s="181">
        <v>7632.95</v>
      </c>
      <c r="S40" s="181"/>
      <c r="W40" s="181">
        <f t="shared" si="15"/>
        <v>5343.0649999999996</v>
      </c>
      <c r="X40" s="181">
        <f t="shared" si="16"/>
        <v>2289.8849999999998</v>
      </c>
      <c r="AV40" s="165">
        <f t="shared" si="0"/>
        <v>44960.8125</v>
      </c>
      <c r="AW40" s="165">
        <f t="shared" si="1"/>
        <v>44977.847222222219</v>
      </c>
      <c r="AX40" s="137">
        <f t="shared" si="2"/>
        <v>17.034722222218988</v>
      </c>
      <c r="AY40" s="165">
        <v>44960.8125</v>
      </c>
      <c r="AZ40" s="165">
        <v>44967.576388888891</v>
      </c>
      <c r="BA40" s="165">
        <v>44969.444444444445</v>
      </c>
      <c r="BB40" s="165">
        <v>44971.954861111109</v>
      </c>
      <c r="BC40" s="165">
        <v>44972.138888888891</v>
      </c>
      <c r="BD40" s="165">
        <v>44972.145833333336</v>
      </c>
      <c r="BE40" s="165">
        <v>44972.145833333336</v>
      </c>
      <c r="BF40" s="165">
        <f t="shared" si="13"/>
        <v>44973.854166666672</v>
      </c>
      <c r="BG40" s="165">
        <v>44974.541666666664</v>
      </c>
      <c r="BH40" s="165">
        <v>44974.708333333328</v>
      </c>
      <c r="BI40" s="165">
        <v>44974.631944444445</v>
      </c>
      <c r="BJ40" s="165">
        <v>44976.260416666664</v>
      </c>
      <c r="BK40" s="165">
        <v>44977.572916666664</v>
      </c>
      <c r="BL40" s="165">
        <v>44977.833333333336</v>
      </c>
      <c r="BM40" s="165">
        <v>44977.847222222219</v>
      </c>
      <c r="BN40" s="165">
        <v>44977.847222222219</v>
      </c>
      <c r="BO40" s="165">
        <v>44977.847222222219</v>
      </c>
      <c r="BP40" s="126" t="s">
        <v>698</v>
      </c>
      <c r="BR40" s="136">
        <f t="shared" si="3"/>
        <v>44.833333333313931</v>
      </c>
      <c r="BS40" s="136">
        <f t="shared" si="4"/>
        <v>4.4166666667442769</v>
      </c>
      <c r="BT40" s="136">
        <f t="shared" si="5"/>
        <v>41.000000000058208</v>
      </c>
      <c r="BU40" s="136">
        <f t="shared" si="17"/>
        <v>57.749999999825377</v>
      </c>
      <c r="BV40" s="135">
        <f t="shared" si="6"/>
        <v>6.2500000001164153</v>
      </c>
      <c r="BW40" s="135">
        <f t="shared" si="7"/>
        <v>0</v>
      </c>
      <c r="BX40" s="134">
        <f t="shared" si="8"/>
        <v>6.4270833333357587</v>
      </c>
      <c r="BY40" s="134">
        <f t="shared" si="9"/>
        <v>17.034722222218988</v>
      </c>
      <c r="BZ40" s="133">
        <f t="shared" si="10"/>
        <v>0.377293110477181</v>
      </c>
    </row>
    <row r="41" spans="1:78" s="126" customFormat="1">
      <c r="A41" s="192">
        <f t="shared" si="12"/>
        <v>44975.496527777781</v>
      </c>
      <c r="B41" s="126" t="s">
        <v>228</v>
      </c>
      <c r="C41" s="126" t="s">
        <v>229</v>
      </c>
      <c r="D41" s="126" t="s">
        <v>197</v>
      </c>
      <c r="E41" s="126" t="s">
        <v>724</v>
      </c>
      <c r="G41" s="165">
        <v>44977.541666666664</v>
      </c>
      <c r="H41" s="165">
        <v>44977.520833333336</v>
      </c>
      <c r="I41" s="126" t="s">
        <v>243</v>
      </c>
      <c r="J41" s="126" t="s">
        <v>192</v>
      </c>
      <c r="K41" s="126" t="s">
        <v>192</v>
      </c>
      <c r="L41" s="126" t="s">
        <v>732</v>
      </c>
      <c r="M41" s="167"/>
      <c r="N41" s="126" t="s">
        <v>260</v>
      </c>
      <c r="O41" s="126" t="s">
        <v>261</v>
      </c>
      <c r="P41" s="126" t="s">
        <v>581</v>
      </c>
      <c r="Q41" s="181">
        <f>3107*2.4</f>
        <v>7456.7999999999993</v>
      </c>
      <c r="R41" s="181">
        <v>7688.3919999999998</v>
      </c>
      <c r="S41" s="181"/>
      <c r="W41" s="181">
        <f t="shared" si="15"/>
        <v>5381.8743999999997</v>
      </c>
      <c r="X41" s="181">
        <f t="shared" si="16"/>
        <v>2306.5175999999997</v>
      </c>
      <c r="AV41" s="165">
        <f t="shared" si="0"/>
        <v>44962.079861111109</v>
      </c>
      <c r="AW41" s="165">
        <f t="shared" si="1"/>
        <v>44980.434027777781</v>
      </c>
      <c r="AX41" s="137">
        <f t="shared" si="2"/>
        <v>18.354166666671517</v>
      </c>
      <c r="AY41" s="165">
        <v>44962.079861111109</v>
      </c>
      <c r="AZ41" s="165">
        <v>44970.84375</v>
      </c>
      <c r="BA41" s="165">
        <v>44972.895833333336</v>
      </c>
      <c r="BB41" s="165">
        <v>44975.496527777781</v>
      </c>
      <c r="BC41" s="165">
        <v>44975.708333333336</v>
      </c>
      <c r="BD41" s="165">
        <v>44975.715277777781</v>
      </c>
      <c r="BE41" s="165">
        <v>44975.715277777781</v>
      </c>
      <c r="BF41" s="165">
        <f t="shared" si="13"/>
        <v>44977.423611111117</v>
      </c>
      <c r="BG41" s="165">
        <v>44977.25</v>
      </c>
      <c r="BH41" s="165">
        <v>44977.416666666664</v>
      </c>
      <c r="BI41" s="165">
        <v>44977.399305555555</v>
      </c>
      <c r="BJ41" s="165">
        <v>44979.333333333336</v>
      </c>
      <c r="BK41" s="165">
        <v>44979.670138888891</v>
      </c>
      <c r="BL41" s="165">
        <v>44980.079861111109</v>
      </c>
      <c r="BM41" s="165">
        <v>44980.097222222219</v>
      </c>
      <c r="BN41" s="165">
        <v>44980.100694444445</v>
      </c>
      <c r="BO41" s="165">
        <v>44980.434027777781</v>
      </c>
      <c r="BP41" s="126" t="s">
        <v>729</v>
      </c>
      <c r="BR41" s="136">
        <f t="shared" si="3"/>
        <v>49.250000000058208</v>
      </c>
      <c r="BS41" s="136">
        <f t="shared" si="4"/>
        <v>5.0833333333139308</v>
      </c>
      <c r="BT41" s="136">
        <f t="shared" si="5"/>
        <v>41.000000000058208</v>
      </c>
      <c r="BU41" s="136">
        <f t="shared" si="17"/>
        <v>45.833333333255723</v>
      </c>
      <c r="BV41" s="135">
        <f t="shared" si="6"/>
        <v>9.8333333332557231</v>
      </c>
      <c r="BW41" s="135">
        <f t="shared" si="7"/>
        <v>8.0000000000582077</v>
      </c>
      <c r="BX41" s="134">
        <f t="shared" si="8"/>
        <v>6.625</v>
      </c>
      <c r="BY41" s="134">
        <f t="shared" si="9"/>
        <v>18.354166666671517</v>
      </c>
      <c r="BZ41" s="133">
        <f t="shared" si="10"/>
        <v>0.360953461974933</v>
      </c>
    </row>
    <row r="42" spans="1:78" s="126" customFormat="1">
      <c r="A42" s="192">
        <f t="shared" si="12"/>
        <v>44972.170138888891</v>
      </c>
      <c r="B42" s="126" t="s">
        <v>228</v>
      </c>
      <c r="C42" s="126" t="s">
        <v>229</v>
      </c>
      <c r="D42" s="126" t="s">
        <v>215</v>
      </c>
      <c r="E42" s="126" t="s">
        <v>198</v>
      </c>
      <c r="G42" s="165">
        <v>44969.1875</v>
      </c>
      <c r="H42" s="165">
        <v>44969.1875</v>
      </c>
      <c r="I42" s="126" t="s">
        <v>243</v>
      </c>
      <c r="J42" s="126" t="s">
        <v>192</v>
      </c>
      <c r="K42" s="126" t="s">
        <v>192</v>
      </c>
      <c r="L42" s="126" t="s">
        <v>733</v>
      </c>
      <c r="M42" s="167"/>
      <c r="N42" s="126" t="s">
        <v>288</v>
      </c>
      <c r="O42" s="126" t="s">
        <v>289</v>
      </c>
      <c r="P42" s="126" t="s">
        <v>731</v>
      </c>
      <c r="Q42" s="181">
        <f>3107*2.4</f>
        <v>7456.7999999999993</v>
      </c>
      <c r="R42" s="181">
        <v>7447.2250000000004</v>
      </c>
      <c r="S42" s="181"/>
      <c r="W42" s="181">
        <f t="shared" si="15"/>
        <v>5213.0574999999999</v>
      </c>
      <c r="X42" s="181">
        <f t="shared" si="16"/>
        <v>2234.1675</v>
      </c>
      <c r="AV42" s="165">
        <f t="shared" si="0"/>
        <v>44962.625</v>
      </c>
      <c r="AW42" s="165">
        <f t="shared" si="1"/>
        <v>44977.180555555555</v>
      </c>
      <c r="AX42" s="137">
        <f t="shared" si="2"/>
        <v>14.555555555554747</v>
      </c>
      <c r="AY42" s="165">
        <v>44962.625</v>
      </c>
      <c r="AZ42" s="165">
        <v>44967.840277777781</v>
      </c>
      <c r="BA42" s="165">
        <v>44969.458333333336</v>
      </c>
      <c r="BB42" s="165">
        <v>44972.170138888891</v>
      </c>
      <c r="BC42" s="165">
        <v>44972.402777777781</v>
      </c>
      <c r="BD42" s="165">
        <v>44972.413194444445</v>
      </c>
      <c r="BE42" s="165">
        <v>44972.413194444445</v>
      </c>
      <c r="BF42" s="165">
        <f t="shared" si="13"/>
        <v>44974.121527777781</v>
      </c>
      <c r="BG42" s="165">
        <v>44974.541666666664</v>
      </c>
      <c r="BH42" s="165">
        <v>44974.708333333328</v>
      </c>
      <c r="BI42" s="165">
        <v>44974.666666666664</v>
      </c>
      <c r="BJ42" s="165">
        <v>44976.159722222219</v>
      </c>
      <c r="BK42" s="165">
        <v>44976.868055555555</v>
      </c>
      <c r="BL42" s="165">
        <v>44977.163194444445</v>
      </c>
      <c r="BM42" s="165">
        <v>44977.180555555555</v>
      </c>
      <c r="BN42" s="165">
        <v>44977.180555555555</v>
      </c>
      <c r="BO42" s="165">
        <v>44977.180555555555</v>
      </c>
      <c r="BP42" s="126" t="s">
        <v>734</v>
      </c>
      <c r="BR42" s="136">
        <f t="shared" si="3"/>
        <v>38.833333333313931</v>
      </c>
      <c r="BS42" s="136">
        <f t="shared" si="4"/>
        <v>5.5833333333721384</v>
      </c>
      <c r="BT42" s="136">
        <f t="shared" si="5"/>
        <v>41.000000000058208</v>
      </c>
      <c r="BU42" s="136">
        <f t="shared" si="17"/>
        <v>48.916666666511446</v>
      </c>
      <c r="BV42" s="135">
        <f t="shared" si="6"/>
        <v>7.0833333333721384</v>
      </c>
      <c r="BW42" s="135">
        <f t="shared" si="7"/>
        <v>0</v>
      </c>
      <c r="BX42" s="134">
        <f t="shared" si="8"/>
        <v>5.8923611111094942</v>
      </c>
      <c r="BY42" s="134">
        <f t="shared" si="9"/>
        <v>14.555555555554747</v>
      </c>
      <c r="BZ42" s="133">
        <f t="shared" si="10"/>
        <v>0.40481870228998773</v>
      </c>
    </row>
    <row r="43" spans="1:78" s="126" customFormat="1">
      <c r="A43" s="192">
        <f t="shared" si="12"/>
        <v>44975.074305555558</v>
      </c>
      <c r="B43" s="126" t="s">
        <v>228</v>
      </c>
      <c r="C43" s="126" t="s">
        <v>229</v>
      </c>
      <c r="D43" s="126" t="s">
        <v>197</v>
      </c>
      <c r="E43" s="126" t="s">
        <v>724</v>
      </c>
      <c r="G43" s="165">
        <v>44977.541666666664</v>
      </c>
      <c r="H43" s="165">
        <v>44977.520833333336</v>
      </c>
      <c r="I43" s="126" t="s">
        <v>243</v>
      </c>
      <c r="J43" s="126" t="s">
        <v>192</v>
      </c>
      <c r="K43" s="126" t="s">
        <v>192</v>
      </c>
      <c r="L43" s="126" t="s">
        <v>735</v>
      </c>
      <c r="M43" s="167"/>
      <c r="N43" s="126" t="s">
        <v>307</v>
      </c>
      <c r="O43" s="126" t="s">
        <v>308</v>
      </c>
      <c r="P43" s="126" t="s">
        <v>581</v>
      </c>
      <c r="Q43" s="181">
        <f>3170*2.4</f>
        <v>7608</v>
      </c>
      <c r="R43" s="181">
        <v>7535.1040000000003</v>
      </c>
      <c r="S43" s="181"/>
      <c r="W43" s="181">
        <f t="shared" si="15"/>
        <v>5274.5727999999999</v>
      </c>
      <c r="X43" s="181">
        <f t="shared" si="16"/>
        <v>2260.5311999999999</v>
      </c>
      <c r="AV43" s="165">
        <f t="shared" si="0"/>
        <v>44962.529166666667</v>
      </c>
      <c r="AW43" s="165">
        <f t="shared" si="1"/>
        <v>44982.719444444447</v>
      </c>
      <c r="AX43" s="137">
        <f t="shared" si="2"/>
        <v>20.190277777779556</v>
      </c>
      <c r="AY43" s="165">
        <v>44962.529166666667</v>
      </c>
      <c r="AZ43" s="165">
        <v>44968.847222222219</v>
      </c>
      <c r="BA43" s="165">
        <v>44971.1875</v>
      </c>
      <c r="BB43" s="165">
        <v>44975.074305555558</v>
      </c>
      <c r="BC43" s="165">
        <v>44975.267361111109</v>
      </c>
      <c r="BD43" s="165">
        <v>44975.267361111109</v>
      </c>
      <c r="BE43" s="165">
        <v>44975.270833333336</v>
      </c>
      <c r="BF43" s="165">
        <f t="shared" si="13"/>
        <v>44976.979166666672</v>
      </c>
      <c r="BG43" s="165">
        <v>44977.25</v>
      </c>
      <c r="BH43" s="165">
        <v>44977.416666666664</v>
      </c>
      <c r="BI43" s="165">
        <v>44977.350694444445</v>
      </c>
      <c r="BJ43" s="165">
        <v>44979.375</v>
      </c>
      <c r="BK43" s="165">
        <v>44979.635416666664</v>
      </c>
      <c r="BL43" s="165">
        <v>44981.947916666664</v>
      </c>
      <c r="BM43" s="165">
        <v>44981.96875</v>
      </c>
      <c r="BN43" s="165">
        <v>44981.972222222219</v>
      </c>
      <c r="BO43" s="165">
        <v>44982.719444444447</v>
      </c>
      <c r="BP43" s="126" t="s">
        <v>729</v>
      </c>
      <c r="BR43" s="136">
        <f t="shared" si="3"/>
        <v>56.166666666744277</v>
      </c>
      <c r="BS43" s="136">
        <f t="shared" si="4"/>
        <v>4.6333333332440816</v>
      </c>
      <c r="BT43" s="136">
        <f t="shared" si="5"/>
        <v>41.000000000058208</v>
      </c>
      <c r="BU43" s="136">
        <f t="shared" si="17"/>
        <v>57.499999999883585</v>
      </c>
      <c r="BV43" s="135">
        <f t="shared" si="6"/>
        <v>55.5</v>
      </c>
      <c r="BW43" s="135">
        <f t="shared" si="7"/>
        <v>17.933333333465271</v>
      </c>
      <c r="BX43" s="134">
        <f t="shared" si="8"/>
        <v>9.6972222222248092</v>
      </c>
      <c r="BY43" s="134">
        <f t="shared" si="9"/>
        <v>20.190277777779556</v>
      </c>
      <c r="BZ43" s="133">
        <f t="shared" si="10"/>
        <v>0.48029166953300184</v>
      </c>
    </row>
    <row r="44" spans="1:78" s="126" customFormat="1">
      <c r="A44" s="192">
        <f t="shared" si="12"/>
        <v>44975.315972222219</v>
      </c>
      <c r="B44" s="126" t="s">
        <v>228</v>
      </c>
      <c r="C44" s="126" t="s">
        <v>229</v>
      </c>
      <c r="D44" s="126" t="s">
        <v>197</v>
      </c>
      <c r="E44" s="126" t="s">
        <v>724</v>
      </c>
      <c r="G44" s="165">
        <v>44977.541666666664</v>
      </c>
      <c r="H44" s="165">
        <v>44977.520833333336</v>
      </c>
      <c r="I44" s="126" t="s">
        <v>243</v>
      </c>
      <c r="J44" s="126" t="s">
        <v>192</v>
      </c>
      <c r="K44" s="126" t="s">
        <v>192</v>
      </c>
      <c r="L44" s="126" t="s">
        <v>736</v>
      </c>
      <c r="M44" s="167"/>
      <c r="N44" s="126" t="s">
        <v>226</v>
      </c>
      <c r="O44" s="126" t="s">
        <v>227</v>
      </c>
      <c r="P44" s="126" t="s">
        <v>581</v>
      </c>
      <c r="Q44" s="181">
        <f>3100*2.4</f>
        <v>7440</v>
      </c>
      <c r="R44" s="181">
        <v>7367.8410000000003</v>
      </c>
      <c r="S44" s="181"/>
      <c r="W44" s="181">
        <f t="shared" si="15"/>
        <v>5157.4886999999999</v>
      </c>
      <c r="X44" s="181">
        <f t="shared" si="16"/>
        <v>2210.3523</v>
      </c>
      <c r="AV44" s="165">
        <f t="shared" si="0"/>
        <v>44959.340277777781</v>
      </c>
      <c r="AW44" s="165">
        <f t="shared" si="1"/>
        <v>44980.899305555555</v>
      </c>
      <c r="AX44" s="137">
        <f t="shared" si="2"/>
        <v>21.559027777773736</v>
      </c>
      <c r="AY44" s="165">
        <v>44959.340277777781</v>
      </c>
      <c r="AZ44" s="165">
        <v>44970.614583333336</v>
      </c>
      <c r="BA44" s="165">
        <v>44972.708333333336</v>
      </c>
      <c r="BB44" s="165">
        <v>44975.315972222219</v>
      </c>
      <c r="BC44" s="165">
        <v>44975.472222222219</v>
      </c>
      <c r="BD44" s="165">
        <v>44975.475694444445</v>
      </c>
      <c r="BE44" s="165">
        <v>44975.475694444445</v>
      </c>
      <c r="BF44" s="165">
        <f t="shared" si="13"/>
        <v>44977.184027777781</v>
      </c>
      <c r="BG44" s="165">
        <v>44977.25</v>
      </c>
      <c r="BH44" s="165">
        <v>44977.416666666664</v>
      </c>
      <c r="BI44" s="165">
        <v>44977.354166666664</v>
      </c>
      <c r="BJ44" s="165">
        <v>44979.395833333336</v>
      </c>
      <c r="BK44" s="165">
        <v>44980.173611111109</v>
      </c>
      <c r="BL44" s="165">
        <v>44980.447916666664</v>
      </c>
      <c r="BM44" s="165">
        <v>44980.472222222219</v>
      </c>
      <c r="BN44" s="165">
        <v>44980.475694444445</v>
      </c>
      <c r="BO44" s="165">
        <v>44980.899305555555</v>
      </c>
      <c r="BP44" s="126" t="s">
        <v>698</v>
      </c>
      <c r="BR44" s="136">
        <f t="shared" si="3"/>
        <v>50.25</v>
      </c>
      <c r="BS44" s="136">
        <f t="shared" si="4"/>
        <v>3.75</v>
      </c>
      <c r="BT44" s="136">
        <f t="shared" si="5"/>
        <v>41.000000000058208</v>
      </c>
      <c r="BU44" s="136">
        <f t="shared" si="17"/>
        <v>53.083333333313931</v>
      </c>
      <c r="BV44" s="135">
        <f t="shared" si="6"/>
        <v>6.5833333333139308</v>
      </c>
      <c r="BW44" s="135">
        <f t="shared" si="7"/>
        <v>10.166666666627862</v>
      </c>
      <c r="BX44" s="134">
        <f t="shared" si="8"/>
        <v>6.8680555555547471</v>
      </c>
      <c r="BY44" s="134">
        <f t="shared" si="9"/>
        <v>21.559027777773736</v>
      </c>
      <c r="BZ44" s="133">
        <f t="shared" si="10"/>
        <v>0.31856981800614237</v>
      </c>
    </row>
    <row r="45" spans="1:78" s="126" customFormat="1">
      <c r="A45" s="192">
        <f t="shared" si="12"/>
        <v>44975.953472222223</v>
      </c>
      <c r="B45" s="126" t="s">
        <v>228</v>
      </c>
      <c r="C45" s="126" t="s">
        <v>229</v>
      </c>
      <c r="D45" s="126" t="s">
        <v>197</v>
      </c>
      <c r="E45" s="126" t="s">
        <v>724</v>
      </c>
      <c r="G45" s="165">
        <v>44977.541666666664</v>
      </c>
      <c r="H45" s="165">
        <v>44977.520833333336</v>
      </c>
      <c r="I45" s="126" t="s">
        <v>243</v>
      </c>
      <c r="J45" s="126" t="s">
        <v>192</v>
      </c>
      <c r="K45" s="126" t="s">
        <v>192</v>
      </c>
      <c r="L45" s="126" t="s">
        <v>737</v>
      </c>
      <c r="M45" s="167"/>
      <c r="N45" s="126" t="s">
        <v>361</v>
      </c>
      <c r="O45" s="126" t="s">
        <v>362</v>
      </c>
      <c r="P45" s="126" t="s">
        <v>581</v>
      </c>
      <c r="Q45" s="181">
        <f>3039*2.4</f>
        <v>7293.5999999999995</v>
      </c>
      <c r="R45" s="181">
        <v>7529.2740000000003</v>
      </c>
      <c r="S45" s="181"/>
      <c r="W45" s="181">
        <f t="shared" si="15"/>
        <v>5270.4917999999998</v>
      </c>
      <c r="X45" s="181">
        <f t="shared" si="16"/>
        <v>2258.7822000000001</v>
      </c>
      <c r="AV45" s="165">
        <f t="shared" si="0"/>
        <v>44963.489583333336</v>
      </c>
      <c r="AW45" s="165">
        <f t="shared" si="1"/>
        <v>44982.5</v>
      </c>
      <c r="AX45" s="137">
        <f t="shared" si="2"/>
        <v>19.010416666664241</v>
      </c>
      <c r="AY45" s="165">
        <v>44963.489583333336</v>
      </c>
      <c r="AZ45" s="165">
        <v>44972.565972222219</v>
      </c>
      <c r="BA45" s="165">
        <v>44974.166666666664</v>
      </c>
      <c r="BB45" s="165">
        <v>44975.953472222223</v>
      </c>
      <c r="BC45" s="165">
        <v>44976.086805555555</v>
      </c>
      <c r="BD45" s="165">
        <v>44976.09375</v>
      </c>
      <c r="BE45" s="165">
        <v>44976.34375</v>
      </c>
      <c r="BF45" s="165">
        <f t="shared" si="13"/>
        <v>44978.052083333336</v>
      </c>
      <c r="BG45" s="165">
        <v>44978.25</v>
      </c>
      <c r="BH45" s="165">
        <v>44978.416666666664</v>
      </c>
      <c r="BI45" s="165">
        <v>44978.277777777781</v>
      </c>
      <c r="BJ45" s="165">
        <v>44980.989583333336</v>
      </c>
      <c r="BK45" s="165">
        <v>44981.190972222219</v>
      </c>
      <c r="BL45" s="165">
        <v>44981.510416666664</v>
      </c>
      <c r="BM45" s="165">
        <v>44981.53125</v>
      </c>
      <c r="BN45" s="165">
        <v>44982.024305555555</v>
      </c>
      <c r="BO45" s="165">
        <v>44982.5</v>
      </c>
      <c r="BP45" s="126" t="s">
        <v>738</v>
      </c>
      <c r="BR45" s="136">
        <f t="shared" si="3"/>
        <v>38.416666666686069</v>
      </c>
      <c r="BS45" s="136">
        <f t="shared" si="4"/>
        <v>3.1999999999534339</v>
      </c>
      <c r="BT45" s="136">
        <f t="shared" si="5"/>
        <v>41.000000000058208</v>
      </c>
      <c r="BU45" s="136">
        <f t="shared" si="17"/>
        <v>70.5</v>
      </c>
      <c r="BV45" s="135">
        <f t="shared" si="6"/>
        <v>7.6666666666860692</v>
      </c>
      <c r="BW45" s="135">
        <f t="shared" si="7"/>
        <v>11.416666666686069</v>
      </c>
      <c r="BX45" s="134">
        <f t="shared" si="8"/>
        <v>7.1750000000029104</v>
      </c>
      <c r="BY45" s="134">
        <f t="shared" si="9"/>
        <v>19.010416666664241</v>
      </c>
      <c r="BZ45" s="133">
        <f t="shared" si="10"/>
        <v>0.37742465753444782</v>
      </c>
    </row>
    <row r="46" spans="1:78" s="126" customFormat="1">
      <c r="A46" s="192">
        <f t="shared" si="12"/>
        <v>44976.118055555555</v>
      </c>
      <c r="B46" s="126" t="s">
        <v>228</v>
      </c>
      <c r="C46" s="126" t="s">
        <v>229</v>
      </c>
      <c r="D46" s="126" t="s">
        <v>215</v>
      </c>
      <c r="E46" s="126" t="s">
        <v>724</v>
      </c>
      <c r="G46" s="165">
        <v>44977.541666666664</v>
      </c>
      <c r="H46" s="165">
        <v>44977.520833333336</v>
      </c>
      <c r="I46" s="126" t="s">
        <v>243</v>
      </c>
      <c r="J46" s="126" t="s">
        <v>192</v>
      </c>
      <c r="K46" s="126" t="s">
        <v>192</v>
      </c>
      <c r="L46" s="126" t="s">
        <v>739</v>
      </c>
      <c r="M46" s="167"/>
      <c r="N46" s="126" t="s">
        <v>352</v>
      </c>
      <c r="O46" s="126" t="s">
        <v>353</v>
      </c>
      <c r="P46" s="126" t="s">
        <v>581</v>
      </c>
      <c r="Q46" s="181">
        <f>3852*2.4</f>
        <v>9244.7999999999993</v>
      </c>
      <c r="R46" s="181">
        <v>9018.7090000000007</v>
      </c>
      <c r="S46" s="181"/>
      <c r="W46" s="181">
        <f t="shared" si="15"/>
        <v>6313.0963000000002</v>
      </c>
      <c r="X46" s="181">
        <f t="shared" si="16"/>
        <v>2705.6127000000001</v>
      </c>
      <c r="AV46" s="165">
        <f t="shared" si="0"/>
        <v>44963.8125</v>
      </c>
      <c r="AW46" s="165">
        <f t="shared" si="1"/>
        <v>44984.354166666664</v>
      </c>
      <c r="AX46" s="137">
        <f t="shared" si="2"/>
        <v>20.541666666664241</v>
      </c>
      <c r="AY46" s="165">
        <v>44963.8125</v>
      </c>
      <c r="AZ46" s="165">
        <v>44972.638888888891</v>
      </c>
      <c r="BA46" s="165">
        <v>44974.493055555555</v>
      </c>
      <c r="BB46" s="165">
        <v>44976.118055555555</v>
      </c>
      <c r="BC46" s="165">
        <v>44976.375</v>
      </c>
      <c r="BD46" s="165">
        <v>44976.375</v>
      </c>
      <c r="BE46" s="165">
        <v>44976.375</v>
      </c>
      <c r="BF46" s="165">
        <f t="shared" si="13"/>
        <v>44978.083333333336</v>
      </c>
      <c r="BG46" s="165">
        <v>44978.25</v>
      </c>
      <c r="BH46" s="165">
        <v>44978.416666666664</v>
      </c>
      <c r="BI46" s="165">
        <v>44978.298611111109</v>
      </c>
      <c r="BJ46" s="165">
        <v>44982.770833333336</v>
      </c>
      <c r="BK46" s="165">
        <v>44983.243055555555</v>
      </c>
      <c r="BL46" s="165">
        <v>44983.701388888891</v>
      </c>
      <c r="BM46" s="165">
        <v>44983.715277777781</v>
      </c>
      <c r="BN46" s="165">
        <v>44983.71875</v>
      </c>
      <c r="BO46" s="165">
        <v>44984.354166666664</v>
      </c>
      <c r="BP46" s="126" t="s">
        <v>738</v>
      </c>
      <c r="BR46" s="136">
        <f t="shared" si="3"/>
        <v>44.499999999941792</v>
      </c>
      <c r="BS46" s="136">
        <f t="shared" si="4"/>
        <v>6.1666666666860692</v>
      </c>
      <c r="BT46" s="136">
        <f t="shared" si="5"/>
        <v>41.000000000058208</v>
      </c>
      <c r="BU46" s="136">
        <f t="shared" si="17"/>
        <v>112.5</v>
      </c>
      <c r="BV46" s="135">
        <f t="shared" si="6"/>
        <v>11.000000000058208</v>
      </c>
      <c r="BW46" s="135">
        <f t="shared" si="7"/>
        <v>15.249999999941792</v>
      </c>
      <c r="BX46" s="134">
        <f t="shared" si="8"/>
        <v>9.6006944444452529</v>
      </c>
      <c r="BY46" s="134">
        <f t="shared" si="9"/>
        <v>20.541666666664241</v>
      </c>
      <c r="BZ46" s="133">
        <f t="shared" si="10"/>
        <v>0.4673766058148342</v>
      </c>
    </row>
    <row r="47" spans="1:78" s="126" customFormat="1">
      <c r="A47" s="192">
        <f t="shared" si="12"/>
        <v>44975.736111111109</v>
      </c>
      <c r="B47" s="126" t="s">
        <v>228</v>
      </c>
      <c r="C47" s="126" t="s">
        <v>229</v>
      </c>
      <c r="D47" s="126" t="s">
        <v>197</v>
      </c>
      <c r="E47" s="126" t="s">
        <v>724</v>
      </c>
      <c r="G47" s="165">
        <v>44977.541666666664</v>
      </c>
      <c r="H47" s="165">
        <v>44977.520833333336</v>
      </c>
      <c r="I47" s="126" t="s">
        <v>243</v>
      </c>
      <c r="J47" s="126" t="s">
        <v>192</v>
      </c>
      <c r="K47" s="126" t="s">
        <v>192</v>
      </c>
      <c r="L47" s="126" t="s">
        <v>740</v>
      </c>
      <c r="M47" s="167"/>
      <c r="N47" s="126" t="s">
        <v>489</v>
      </c>
      <c r="O47" s="126" t="s">
        <v>483</v>
      </c>
      <c r="P47" s="126" t="s">
        <v>581</v>
      </c>
      <c r="Q47" s="181">
        <f>3107*2.4</f>
        <v>7456.7999999999993</v>
      </c>
      <c r="R47" s="181">
        <v>7406.11</v>
      </c>
      <c r="S47" s="181"/>
      <c r="W47" s="181">
        <f t="shared" si="15"/>
        <v>5184.2769999999991</v>
      </c>
      <c r="X47" s="181">
        <f t="shared" si="16"/>
        <v>2221.8329999999996</v>
      </c>
      <c r="AV47" s="165">
        <f t="shared" si="0"/>
        <v>44966.863888888889</v>
      </c>
      <c r="AW47" s="165">
        <f t="shared" si="1"/>
        <v>44982.525000000001</v>
      </c>
      <c r="AX47" s="137">
        <f t="shared" si="2"/>
        <v>15.661111111112405</v>
      </c>
      <c r="AY47" s="165">
        <v>44966.863888888889</v>
      </c>
      <c r="AZ47" s="165">
        <v>44971.579861111109</v>
      </c>
      <c r="BA47" s="165">
        <v>44973.586805555555</v>
      </c>
      <c r="BB47" s="165">
        <v>44975.736111111109</v>
      </c>
      <c r="BC47" s="165">
        <v>44975.929166666669</v>
      </c>
      <c r="BD47" s="165">
        <v>44975.9375</v>
      </c>
      <c r="BE47" s="165">
        <v>44976.28125</v>
      </c>
      <c r="BF47" s="165">
        <f t="shared" si="13"/>
        <v>44977.989583333336</v>
      </c>
      <c r="BG47" s="165">
        <v>44978.25</v>
      </c>
      <c r="BH47" s="165">
        <v>44978.416666666664</v>
      </c>
      <c r="BI47" s="165">
        <v>44978.347222222219</v>
      </c>
      <c r="BJ47" s="165">
        <v>44980.996527777781</v>
      </c>
      <c r="BK47" s="165">
        <v>44981.583333333336</v>
      </c>
      <c r="BL47" s="165">
        <v>44981.861111111109</v>
      </c>
      <c r="BM47" s="165">
        <v>44981.878472222219</v>
      </c>
      <c r="BN47" s="165">
        <v>44981.881944444445</v>
      </c>
      <c r="BO47" s="165">
        <v>44982.525000000001</v>
      </c>
      <c r="BP47" s="126" t="s">
        <v>738</v>
      </c>
      <c r="BR47" s="136">
        <f t="shared" si="3"/>
        <v>48.166666666686069</v>
      </c>
      <c r="BS47" s="136">
        <f t="shared" si="4"/>
        <v>4.6333333334187046</v>
      </c>
      <c r="BT47" s="136">
        <f t="shared" si="5"/>
        <v>41.000000000058208</v>
      </c>
      <c r="BU47" s="136">
        <f t="shared" si="17"/>
        <v>72.166666666686069</v>
      </c>
      <c r="BV47" s="135">
        <f t="shared" si="6"/>
        <v>6.6666666665696539</v>
      </c>
      <c r="BW47" s="135">
        <f t="shared" si="7"/>
        <v>15.433333333348855</v>
      </c>
      <c r="BX47" s="134">
        <f t="shared" si="8"/>
        <v>7.836111111115315</v>
      </c>
      <c r="BY47" s="134">
        <f t="shared" si="9"/>
        <v>15.661111111112405</v>
      </c>
      <c r="BZ47" s="133">
        <f t="shared" si="10"/>
        <v>0.50035473572211431</v>
      </c>
    </row>
    <row r="48" spans="1:78" s="126" customFormat="1">
      <c r="A48" s="192">
        <f t="shared" si="12"/>
        <v>44982.559027777781</v>
      </c>
      <c r="B48" s="126" t="s">
        <v>228</v>
      </c>
      <c r="C48" s="126" t="s">
        <v>229</v>
      </c>
      <c r="D48" s="126" t="s">
        <v>197</v>
      </c>
      <c r="E48" s="65" t="s">
        <v>699</v>
      </c>
      <c r="G48" s="73">
        <v>44982.416666666664</v>
      </c>
      <c r="H48" s="73">
        <v>44982.378472222219</v>
      </c>
      <c r="I48" s="126" t="s">
        <v>231</v>
      </c>
      <c r="J48" s="126" t="s">
        <v>192</v>
      </c>
      <c r="K48" s="126" t="s">
        <v>192</v>
      </c>
      <c r="L48" s="126" t="s">
        <v>741</v>
      </c>
      <c r="M48" s="167"/>
      <c r="N48" s="126" t="s">
        <v>339</v>
      </c>
      <c r="O48" s="126" t="s">
        <v>340</v>
      </c>
      <c r="P48" s="126" t="s">
        <v>742</v>
      </c>
      <c r="Q48" s="181">
        <f>3141*2.4</f>
        <v>7538.4</v>
      </c>
      <c r="R48" s="181">
        <v>7402.6469999999999</v>
      </c>
      <c r="S48" s="181"/>
      <c r="W48" s="181">
        <f t="shared" si="15"/>
        <v>5181.8528999999999</v>
      </c>
      <c r="X48" s="181">
        <f t="shared" si="16"/>
        <v>2220.7941000000001</v>
      </c>
      <c r="AV48" s="165">
        <f t="shared" si="0"/>
        <v>44974.708333333336</v>
      </c>
      <c r="AW48" s="165">
        <f t="shared" si="1"/>
        <v>44991.354166666664</v>
      </c>
      <c r="AX48" s="137">
        <f t="shared" si="2"/>
        <v>16.645833333328483</v>
      </c>
      <c r="AY48" s="165">
        <v>44974.708333333336</v>
      </c>
      <c r="AZ48" s="165">
        <v>44976.798611111109</v>
      </c>
      <c r="BA48" s="165">
        <v>44978.548611111109</v>
      </c>
      <c r="BB48" s="165">
        <v>44982.559027777781</v>
      </c>
      <c r="BC48" s="165">
        <v>44982.770833333336</v>
      </c>
      <c r="BD48" s="165">
        <v>44982.774305555555</v>
      </c>
      <c r="BE48" s="165">
        <v>44982.774305555555</v>
      </c>
      <c r="BF48" s="165">
        <f t="shared" si="13"/>
        <v>44984.482638888891</v>
      </c>
      <c r="BG48" s="165">
        <v>44986.291666666664</v>
      </c>
      <c r="BH48" s="165">
        <v>44986.458333333336</v>
      </c>
      <c r="BI48" s="165">
        <v>44986.319444444445</v>
      </c>
      <c r="BJ48" s="165">
        <v>44987.375</v>
      </c>
      <c r="BK48" s="165">
        <v>44990.770833333336</v>
      </c>
      <c r="BL48" s="165">
        <v>44990.975694444445</v>
      </c>
      <c r="BM48" s="165">
        <v>44991</v>
      </c>
      <c r="BN48" s="165">
        <v>44991</v>
      </c>
      <c r="BO48" s="165">
        <v>44991.354166666664</v>
      </c>
      <c r="BR48" s="136">
        <f t="shared" si="3"/>
        <v>42</v>
      </c>
      <c r="BS48" s="136">
        <f t="shared" si="4"/>
        <v>5.0833333333139308</v>
      </c>
      <c r="BT48" s="136">
        <f t="shared" si="5"/>
        <v>41.000000000058208</v>
      </c>
      <c r="BU48" s="136">
        <f>(BJ48-BH48)*24</f>
        <v>21.999999999941792</v>
      </c>
      <c r="BV48" s="135">
        <f t="shared" si="6"/>
        <v>4.9166666666278616</v>
      </c>
      <c r="BW48" s="135">
        <f t="shared" si="7"/>
        <v>8.4999999999417923</v>
      </c>
      <c r="BX48" s="134">
        <f t="shared" si="8"/>
        <v>5.1458333333284827</v>
      </c>
      <c r="BY48" s="134">
        <f t="shared" si="9"/>
        <v>16.645833333328483</v>
      </c>
      <c r="BZ48" s="133">
        <f t="shared" si="10"/>
        <v>0.30913642052545576</v>
      </c>
    </row>
    <row r="49" spans="1:78" s="126" customFormat="1">
      <c r="A49" s="192">
        <f t="shared" si="12"/>
        <v>44982.34375</v>
      </c>
      <c r="B49" s="126" t="s">
        <v>228</v>
      </c>
      <c r="C49" s="126" t="s">
        <v>229</v>
      </c>
      <c r="D49" s="126" t="s">
        <v>197</v>
      </c>
      <c r="E49" s="65" t="s">
        <v>699</v>
      </c>
      <c r="G49" s="73">
        <v>44982.416666666664</v>
      </c>
      <c r="H49" s="73">
        <v>44982.378472222219</v>
      </c>
      <c r="I49" s="126" t="s">
        <v>231</v>
      </c>
      <c r="J49" s="126" t="s">
        <v>192</v>
      </c>
      <c r="K49" s="126" t="s">
        <v>192</v>
      </c>
      <c r="L49" s="126" t="s">
        <v>743</v>
      </c>
      <c r="M49" s="167"/>
      <c r="N49" s="126" t="s">
        <v>238</v>
      </c>
      <c r="O49" s="126" t="s">
        <v>239</v>
      </c>
      <c r="P49" s="126" t="s">
        <v>742</v>
      </c>
      <c r="Q49" s="181">
        <f>3100*2.4</f>
        <v>7440</v>
      </c>
      <c r="R49" s="181">
        <v>7479.94</v>
      </c>
      <c r="S49" s="181"/>
      <c r="W49" s="181">
        <f t="shared" si="15"/>
        <v>5235.9579999999996</v>
      </c>
      <c r="X49" s="181">
        <f t="shared" si="16"/>
        <v>2243.982</v>
      </c>
      <c r="AV49" s="165">
        <f t="shared" si="0"/>
        <v>44974.291666666664</v>
      </c>
      <c r="AW49" s="165">
        <f t="shared" si="1"/>
        <v>44991.041666666664</v>
      </c>
      <c r="AX49" s="137">
        <f t="shared" si="2"/>
        <v>16.75</v>
      </c>
      <c r="AY49" s="165">
        <v>44974.291666666664</v>
      </c>
      <c r="AZ49" s="165">
        <v>44976.809027777781</v>
      </c>
      <c r="BA49" s="165">
        <v>44978.520833333336</v>
      </c>
      <c r="BB49" s="165">
        <v>44982.34375</v>
      </c>
      <c r="BC49" s="165">
        <v>44982.520833333336</v>
      </c>
      <c r="BD49" s="165">
        <v>44982.524305555555</v>
      </c>
      <c r="BE49" s="165">
        <v>44982.524305555555</v>
      </c>
      <c r="BF49" s="165">
        <f t="shared" si="13"/>
        <v>44984.232638888891</v>
      </c>
      <c r="BG49" s="165">
        <v>44985.291666608799</v>
      </c>
      <c r="BH49" s="165">
        <v>44985.458333275463</v>
      </c>
      <c r="BI49" s="165">
        <v>44985.444444444445</v>
      </c>
      <c r="BJ49" s="165">
        <v>44986.472222222219</v>
      </c>
      <c r="BK49" s="165">
        <v>44990.555555555555</v>
      </c>
      <c r="BL49" s="165">
        <v>44990.715277777781</v>
      </c>
      <c r="BM49" s="165">
        <v>44990.729166666664</v>
      </c>
      <c r="BN49" s="165">
        <v>44990.729166666664</v>
      </c>
      <c r="BO49" s="165">
        <v>44991.041666666664</v>
      </c>
      <c r="BR49" s="136">
        <f t="shared" si="3"/>
        <v>41.083333333313931</v>
      </c>
      <c r="BS49" s="136">
        <f t="shared" si="4"/>
        <v>4.2500000000582077</v>
      </c>
      <c r="BT49" s="136">
        <f t="shared" si="5"/>
        <v>41.000000000058208</v>
      </c>
      <c r="BU49" s="136">
        <f>(BJ49-BH49)*24</f>
        <v>24.33333472214872</v>
      </c>
      <c r="BV49" s="135">
        <f t="shared" si="6"/>
        <v>3.8333333334303461</v>
      </c>
      <c r="BW49" s="135">
        <f t="shared" si="7"/>
        <v>7.5</v>
      </c>
      <c r="BX49" s="134">
        <f t="shared" si="8"/>
        <v>5.0833333912087255</v>
      </c>
      <c r="BY49" s="134">
        <f t="shared" si="9"/>
        <v>16.75</v>
      </c>
      <c r="BZ49" s="133">
        <f t="shared" si="10"/>
        <v>0.30348259051992393</v>
      </c>
    </row>
    <row r="50" spans="1:78" s="126" customFormat="1">
      <c r="A50" s="192">
        <f t="shared" si="12"/>
        <v>44983.611111111109</v>
      </c>
      <c r="B50" s="126" t="s">
        <v>228</v>
      </c>
      <c r="C50" s="126" t="s">
        <v>229</v>
      </c>
      <c r="D50" s="126" t="s">
        <v>197</v>
      </c>
      <c r="E50" s="65" t="s">
        <v>699</v>
      </c>
      <c r="G50" s="73">
        <v>44982.416666666664</v>
      </c>
      <c r="H50" s="73">
        <v>44982.378472222219</v>
      </c>
      <c r="I50" s="126" t="s">
        <v>231</v>
      </c>
      <c r="J50" s="126" t="s">
        <v>192</v>
      </c>
      <c r="K50" s="126" t="s">
        <v>192</v>
      </c>
      <c r="L50" s="126" t="s">
        <v>744</v>
      </c>
      <c r="M50" s="167"/>
      <c r="N50" s="126" t="s">
        <v>695</v>
      </c>
      <c r="O50" s="126" t="s">
        <v>281</v>
      </c>
      <c r="P50" s="126" t="s">
        <v>742</v>
      </c>
      <c r="Q50" s="181">
        <f>3102*2.4</f>
        <v>7444.7999999999993</v>
      </c>
      <c r="R50" s="181">
        <f>7476.364-2716.816</f>
        <v>4759.5479999999998</v>
      </c>
      <c r="S50" s="181"/>
      <c r="W50" s="181">
        <f t="shared" si="15"/>
        <v>3331.6835999999998</v>
      </c>
      <c r="X50" s="181">
        <f t="shared" si="16"/>
        <v>1427.8643999999999</v>
      </c>
      <c r="AV50" s="165">
        <f t="shared" si="0"/>
        <v>44975.916666666664</v>
      </c>
      <c r="AW50" s="165">
        <f t="shared" si="1"/>
        <v>44991.479166666664</v>
      </c>
      <c r="AX50" s="137">
        <f t="shared" si="2"/>
        <v>15.5625</v>
      </c>
      <c r="AY50" s="165">
        <v>44975.916666666664</v>
      </c>
      <c r="AZ50" s="165">
        <v>44977.576388888891</v>
      </c>
      <c r="BA50" s="165">
        <v>44980.052083333336</v>
      </c>
      <c r="BB50" s="165">
        <v>44983.611111111109</v>
      </c>
      <c r="BC50" s="165">
        <v>44983.732638888891</v>
      </c>
      <c r="BD50" s="165">
        <v>44983.736111111109</v>
      </c>
      <c r="BE50" s="165">
        <v>44983.736111111109</v>
      </c>
      <c r="BF50" s="165">
        <f t="shared" si="13"/>
        <v>44985.444444444445</v>
      </c>
      <c r="BG50" s="165">
        <v>44985.291666608799</v>
      </c>
      <c r="BH50" s="165">
        <v>44985.458333275463</v>
      </c>
      <c r="BI50" s="165">
        <v>44985.314583333333</v>
      </c>
      <c r="BJ50" s="165">
        <v>44987.25</v>
      </c>
      <c r="BK50" s="165">
        <v>44991.291666666664</v>
      </c>
      <c r="BL50" s="165">
        <v>44991.4375</v>
      </c>
      <c r="BM50" s="165">
        <v>44991.479166666664</v>
      </c>
      <c r="BN50" s="165">
        <v>44991.479166666664</v>
      </c>
      <c r="BO50" s="165">
        <v>44991.479166666664</v>
      </c>
      <c r="BR50" s="136">
        <f t="shared" si="3"/>
        <v>59.416666666686069</v>
      </c>
      <c r="BS50" s="136">
        <f t="shared" si="4"/>
        <v>2.9166666667442769</v>
      </c>
      <c r="BT50" s="136">
        <f t="shared" si="5"/>
        <v>41.000000000058208</v>
      </c>
      <c r="BU50" s="136">
        <f>(BJ50-BH50)*24</f>
        <v>43.000001388892997</v>
      </c>
      <c r="BV50" s="135">
        <f t="shared" si="6"/>
        <v>3.5000000000582077</v>
      </c>
      <c r="BW50" s="135">
        <f t="shared" si="7"/>
        <v>0</v>
      </c>
      <c r="BX50" s="134">
        <f t="shared" si="8"/>
        <v>6.2430556134349899</v>
      </c>
      <c r="BY50" s="134">
        <f t="shared" si="9"/>
        <v>15.5625</v>
      </c>
      <c r="BZ50" s="133">
        <f t="shared" si="10"/>
        <v>0.40116020006007969</v>
      </c>
    </row>
    <row r="51" spans="1:78" s="126" customFormat="1">
      <c r="A51" s="192">
        <f t="shared" si="12"/>
        <v>44983.611111111109</v>
      </c>
      <c r="B51" s="126" t="s">
        <v>228</v>
      </c>
      <c r="C51" s="126" t="s">
        <v>229</v>
      </c>
      <c r="D51" s="126" t="s">
        <v>197</v>
      </c>
      <c r="E51" s="65" t="s">
        <v>745</v>
      </c>
      <c r="G51" s="73">
        <v>44985.75</v>
      </c>
      <c r="H51" s="73">
        <v>44985.75</v>
      </c>
      <c r="I51" s="126" t="s">
        <v>231</v>
      </c>
      <c r="J51" s="126" t="s">
        <v>192</v>
      </c>
      <c r="K51" s="126" t="s">
        <v>192</v>
      </c>
      <c r="L51" s="126" t="s">
        <v>744</v>
      </c>
      <c r="M51" s="167"/>
      <c r="N51" s="126" t="s">
        <v>695</v>
      </c>
      <c r="O51" s="126" t="s">
        <v>281</v>
      </c>
      <c r="P51" s="126" t="s">
        <v>742</v>
      </c>
      <c r="Q51" s="181">
        <f>3102*2.4</f>
        <v>7444.7999999999993</v>
      </c>
      <c r="R51" s="181">
        <v>2712.971</v>
      </c>
      <c r="S51" s="181"/>
      <c r="W51" s="181">
        <f t="shared" si="15"/>
        <v>1899.0796999999998</v>
      </c>
      <c r="X51" s="181">
        <f t="shared" si="16"/>
        <v>813.8913</v>
      </c>
      <c r="AV51" s="165">
        <f t="shared" si="0"/>
        <v>44975.916666666664</v>
      </c>
      <c r="AW51" s="165">
        <f t="shared" si="1"/>
        <v>44994.931944444441</v>
      </c>
      <c r="AX51" s="137">
        <f t="shared" si="2"/>
        <v>19.015277777776646</v>
      </c>
      <c r="AY51" s="165">
        <v>44975.916666666664</v>
      </c>
      <c r="AZ51" s="165">
        <v>44977.576388888891</v>
      </c>
      <c r="BA51" s="165">
        <v>44980.052083333336</v>
      </c>
      <c r="BB51" s="165">
        <v>44983.611111111109</v>
      </c>
      <c r="BC51" s="165">
        <v>44983.732638888891</v>
      </c>
      <c r="BD51" s="165">
        <v>44983.736111111109</v>
      </c>
      <c r="BE51" s="165">
        <v>44983.736111111109</v>
      </c>
      <c r="BF51" s="165">
        <f t="shared" si="13"/>
        <v>44985.444444444445</v>
      </c>
      <c r="BG51" s="165">
        <v>44985.291666608799</v>
      </c>
      <c r="BH51" s="165">
        <v>44985.458333275463</v>
      </c>
      <c r="BI51" s="165">
        <v>44985.314583333333</v>
      </c>
      <c r="BJ51" s="165">
        <v>44991.479166666664</v>
      </c>
      <c r="BK51" s="165">
        <v>44994.388888888891</v>
      </c>
      <c r="BL51" s="165">
        <v>44994.510416666664</v>
      </c>
      <c r="BM51" s="165">
        <v>44994.53125</v>
      </c>
      <c r="BN51" s="165">
        <v>44994.708333333336</v>
      </c>
      <c r="BO51" s="165">
        <v>44994.931944444441</v>
      </c>
      <c r="BR51" s="136">
        <f t="shared" si="3"/>
        <v>59.416666666686069</v>
      </c>
      <c r="BS51" s="136">
        <f t="shared" si="4"/>
        <v>2.9166666667442769</v>
      </c>
      <c r="BT51" s="136">
        <f t="shared" si="5"/>
        <v>41.000000000058208</v>
      </c>
      <c r="BU51" s="136">
        <f>(BJ51-BH51)*24</f>
        <v>144.50000138883479</v>
      </c>
      <c r="BV51" s="135">
        <f t="shared" si="6"/>
        <v>2.9166666665696539</v>
      </c>
      <c r="BW51" s="135">
        <f t="shared" si="7"/>
        <v>5.3666666665230878</v>
      </c>
      <c r="BX51" s="134">
        <f t="shared" si="8"/>
        <v>10.671527835642337</v>
      </c>
      <c r="BY51" s="134">
        <f t="shared" si="9"/>
        <v>19.015277777776646</v>
      </c>
      <c r="BZ51" s="133">
        <f t="shared" si="10"/>
        <v>0.5612080959508392</v>
      </c>
    </row>
    <row r="52" spans="1:78" s="126" customFormat="1">
      <c r="A52" s="192">
        <f t="shared" si="12"/>
        <v>44982.145833333336</v>
      </c>
      <c r="B52" s="126" t="s">
        <v>228</v>
      </c>
      <c r="C52" s="126" t="s">
        <v>229</v>
      </c>
      <c r="D52" s="126" t="s">
        <v>197</v>
      </c>
      <c r="E52" s="65" t="s">
        <v>699</v>
      </c>
      <c r="G52" s="73">
        <v>44982.416666666664</v>
      </c>
      <c r="H52" s="73">
        <v>44982.378472222219</v>
      </c>
      <c r="I52" s="126" t="s">
        <v>231</v>
      </c>
      <c r="J52" s="126" t="s">
        <v>192</v>
      </c>
      <c r="K52" s="126" t="s">
        <v>192</v>
      </c>
      <c r="L52" s="126" t="s">
        <v>746</v>
      </c>
      <c r="M52" s="167"/>
      <c r="N52" s="126" t="s">
        <v>383</v>
      </c>
      <c r="O52" s="126" t="s">
        <v>384</v>
      </c>
      <c r="P52" s="126" t="s">
        <v>742</v>
      </c>
      <c r="Q52" s="181">
        <v>5500</v>
      </c>
      <c r="R52" s="181">
        <v>5045.9840000000004</v>
      </c>
      <c r="S52" s="181"/>
      <c r="W52" s="181">
        <f t="shared" si="15"/>
        <v>3532.1887999999999</v>
      </c>
      <c r="X52" s="181">
        <f t="shared" si="16"/>
        <v>1513.7952</v>
      </c>
      <c r="AV52" s="165">
        <f t="shared" si="0"/>
        <v>44961.291666666664</v>
      </c>
      <c r="AW52" s="165">
        <f t="shared" si="1"/>
        <v>44989.666666666664</v>
      </c>
      <c r="AX52" s="137">
        <f t="shared" si="2"/>
        <v>28.375</v>
      </c>
      <c r="AY52" s="165">
        <v>44961.291666666664</v>
      </c>
      <c r="AZ52" s="165">
        <v>44979.59375</v>
      </c>
      <c r="BA52" s="165">
        <v>44981.291666666664</v>
      </c>
      <c r="BB52" s="165">
        <v>44982.145833333336</v>
      </c>
      <c r="BC52" s="165">
        <v>44982.236111111109</v>
      </c>
      <c r="BD52" s="165">
        <v>44982.246527777781</v>
      </c>
      <c r="BE52" s="165">
        <v>44982.246527777781</v>
      </c>
      <c r="BF52" s="165">
        <f t="shared" si="13"/>
        <v>44983.954861111117</v>
      </c>
      <c r="BG52" s="165">
        <v>44984.291666666664</v>
      </c>
      <c r="BH52" s="165">
        <v>44984.458333333328</v>
      </c>
      <c r="BI52" s="165">
        <v>44984.336805555555</v>
      </c>
      <c r="BJ52" s="165">
        <v>44986.291666666664</v>
      </c>
      <c r="BK52" s="165">
        <v>44988.947916666664</v>
      </c>
      <c r="BL52" s="165">
        <v>44989.229166666664</v>
      </c>
      <c r="BM52" s="165">
        <v>44989.243055555555</v>
      </c>
      <c r="BN52" s="165">
        <v>44989.243055555555</v>
      </c>
      <c r="BO52" s="165">
        <v>44989.666666666664</v>
      </c>
      <c r="BR52" s="136">
        <f t="shared" si="3"/>
        <v>40.749999999941792</v>
      </c>
      <c r="BS52" s="136">
        <f t="shared" si="4"/>
        <v>2.1666666665696539</v>
      </c>
      <c r="BT52" s="136">
        <f t="shared" si="5"/>
        <v>41.000000000058208</v>
      </c>
      <c r="BU52" s="136">
        <f>(BJ52-BF52)*24</f>
        <v>56.083333333139308</v>
      </c>
      <c r="BV52" s="135">
        <f t="shared" si="6"/>
        <v>6.75</v>
      </c>
      <c r="BW52" s="135">
        <f t="shared" si="7"/>
        <v>10.166666666627862</v>
      </c>
      <c r="BX52" s="134">
        <f t="shared" si="8"/>
        <v>6.538194444430701</v>
      </c>
      <c r="BY52" s="134">
        <f t="shared" si="9"/>
        <v>28.375</v>
      </c>
      <c r="BZ52" s="133">
        <f t="shared" si="10"/>
        <v>0.23042094958346082</v>
      </c>
    </row>
    <row r="53" spans="1:78" s="126" customFormat="1">
      <c r="A53" s="192">
        <f t="shared" si="12"/>
        <v>44983.451388888891</v>
      </c>
      <c r="B53" s="126" t="s">
        <v>228</v>
      </c>
      <c r="C53" s="126" t="s">
        <v>229</v>
      </c>
      <c r="D53" s="126" t="s">
        <v>197</v>
      </c>
      <c r="E53" s="65" t="s">
        <v>699</v>
      </c>
      <c r="G53" s="73">
        <v>44982.416666666664</v>
      </c>
      <c r="H53" s="73">
        <v>44982.378472222219</v>
      </c>
      <c r="I53" s="126" t="s">
        <v>231</v>
      </c>
      <c r="J53" s="126" t="s">
        <v>192</v>
      </c>
      <c r="K53" s="126" t="s">
        <v>192</v>
      </c>
      <c r="L53" s="126" t="s">
        <v>747</v>
      </c>
      <c r="M53" s="167"/>
      <c r="N53" s="126" t="s">
        <v>343</v>
      </c>
      <c r="O53" s="126" t="s">
        <v>344</v>
      </c>
      <c r="P53" s="126" t="s">
        <v>742</v>
      </c>
      <c r="Q53" s="181">
        <f>3136*2.4</f>
        <v>7526.4</v>
      </c>
      <c r="R53" s="181">
        <v>7441.6570000000002</v>
      </c>
      <c r="S53" s="181"/>
      <c r="W53" s="181">
        <f t="shared" si="15"/>
        <v>5209.1598999999997</v>
      </c>
      <c r="X53" s="181">
        <f t="shared" si="16"/>
        <v>2232.4971</v>
      </c>
      <c r="AV53" s="165">
        <f t="shared" si="0"/>
        <v>44976.458333333336</v>
      </c>
      <c r="AW53" s="165">
        <f t="shared" si="1"/>
        <v>44990.416666666664</v>
      </c>
      <c r="AX53" s="137">
        <f t="shared" si="2"/>
        <v>13.958333333328483</v>
      </c>
      <c r="AY53" s="165">
        <v>44976.458333333336</v>
      </c>
      <c r="AZ53" s="165">
        <v>44977.805555555555</v>
      </c>
      <c r="BA53" s="165">
        <v>44979.604166666664</v>
      </c>
      <c r="BB53" s="165">
        <v>44983.451388888891</v>
      </c>
      <c r="BC53" s="165">
        <v>44983.579861111109</v>
      </c>
      <c r="BD53" s="165">
        <v>44983.586805555555</v>
      </c>
      <c r="BE53" s="165">
        <v>44983.586805555555</v>
      </c>
      <c r="BF53" s="165">
        <f t="shared" si="13"/>
        <v>44985.295138888891</v>
      </c>
      <c r="BG53" s="165">
        <v>44985.291666608799</v>
      </c>
      <c r="BH53" s="165">
        <v>44985.458333275463</v>
      </c>
      <c r="BI53" s="165">
        <v>44985.295138888891</v>
      </c>
      <c r="BJ53" s="165">
        <v>44986.583333333336</v>
      </c>
      <c r="BK53" s="165">
        <v>44989.8125</v>
      </c>
      <c r="BL53" s="165">
        <v>44990.0625</v>
      </c>
      <c r="BM53" s="165">
        <v>44990.083333333336</v>
      </c>
      <c r="BN53" s="165">
        <v>44990.083333333336</v>
      </c>
      <c r="BO53" s="165">
        <v>44990.416666666664</v>
      </c>
      <c r="BR53" s="136">
        <f t="shared" si="3"/>
        <v>43.166666666627862</v>
      </c>
      <c r="BS53" s="136">
        <f t="shared" si="4"/>
        <v>3.0833333332557231</v>
      </c>
      <c r="BT53" s="136">
        <f t="shared" si="5"/>
        <v>41.000000000058208</v>
      </c>
      <c r="BU53" s="136">
        <f>(BJ53-BH53)*24</f>
        <v>27.000001388951205</v>
      </c>
      <c r="BV53" s="135">
        <f t="shared" si="6"/>
        <v>6</v>
      </c>
      <c r="BW53" s="135">
        <f t="shared" si="7"/>
        <v>7.9999999998835847</v>
      </c>
      <c r="BX53" s="134">
        <f t="shared" si="8"/>
        <v>5.3437500578656909</v>
      </c>
      <c r="BY53" s="134">
        <f t="shared" si="9"/>
        <v>13.958333333328483</v>
      </c>
      <c r="BZ53" s="133">
        <f t="shared" si="10"/>
        <v>0.38283582504125718</v>
      </c>
    </row>
    <row r="54" spans="1:78" s="126" customFormat="1">
      <c r="A54" s="192">
        <f t="shared" si="12"/>
        <v>44983.006944444445</v>
      </c>
      <c r="B54" s="126" t="s">
        <v>228</v>
      </c>
      <c r="C54" s="126" t="s">
        <v>229</v>
      </c>
      <c r="D54" s="126" t="s">
        <v>197</v>
      </c>
      <c r="E54" s="65" t="s">
        <v>699</v>
      </c>
      <c r="G54" s="73">
        <v>44982.416666666664</v>
      </c>
      <c r="H54" s="73">
        <v>44982.378472222219</v>
      </c>
      <c r="I54" s="126" t="s">
        <v>231</v>
      </c>
      <c r="J54" s="126" t="s">
        <v>192</v>
      </c>
      <c r="K54" s="126" t="s">
        <v>192</v>
      </c>
      <c r="L54" s="126" t="s">
        <v>748</v>
      </c>
      <c r="M54" s="167"/>
      <c r="N54" s="126" t="s">
        <v>277</v>
      </c>
      <c r="O54" s="126" t="s">
        <v>278</v>
      </c>
      <c r="P54" s="126" t="s">
        <v>235</v>
      </c>
      <c r="Q54" s="181">
        <f>3117*2.4</f>
        <v>7480.7999999999993</v>
      </c>
      <c r="R54" s="181">
        <v>7414.6120000000001</v>
      </c>
      <c r="S54" s="181"/>
      <c r="W54" s="181">
        <f>R54</f>
        <v>7414.6120000000001</v>
      </c>
      <c r="AV54" s="165">
        <f t="shared" si="0"/>
        <v>44977.340277777781</v>
      </c>
      <c r="AW54" s="165">
        <f t="shared" si="1"/>
        <v>44990.048611111109</v>
      </c>
      <c r="AX54" s="137">
        <f t="shared" si="2"/>
        <v>12.708333333328483</v>
      </c>
      <c r="AY54" s="165">
        <v>44977.340277777781</v>
      </c>
      <c r="AZ54" s="165">
        <v>44977.791666666664</v>
      </c>
      <c r="BA54" s="165">
        <v>44979.295138888891</v>
      </c>
      <c r="BB54" s="165">
        <v>44983.006944444445</v>
      </c>
      <c r="BC54" s="165">
        <v>44983.145833333336</v>
      </c>
      <c r="BD54" s="165">
        <v>44983.15625</v>
      </c>
      <c r="BE54" s="165">
        <v>44983.15625</v>
      </c>
      <c r="BF54" s="165">
        <f t="shared" si="13"/>
        <v>44984.864583333336</v>
      </c>
      <c r="BG54" s="165">
        <v>44985.291666608799</v>
      </c>
      <c r="BH54" s="165">
        <v>44985.458333275463</v>
      </c>
      <c r="BI54" s="165">
        <v>44985.3125</v>
      </c>
      <c r="BJ54" s="165">
        <v>44986.649305555555</v>
      </c>
      <c r="BK54" s="165">
        <v>44989.513888888891</v>
      </c>
      <c r="BL54" s="165">
        <v>44989.739583333336</v>
      </c>
      <c r="BM54" s="165">
        <v>44989.760416666664</v>
      </c>
      <c r="BN54" s="165">
        <v>44989.760416666664</v>
      </c>
      <c r="BO54" s="165">
        <v>44990.048611111109</v>
      </c>
      <c r="BR54" s="136">
        <f t="shared" si="3"/>
        <v>36.083333333430346</v>
      </c>
      <c r="BS54" s="136">
        <f t="shared" si="4"/>
        <v>3.3333333333721384</v>
      </c>
      <c r="BT54" s="136">
        <f t="shared" si="5"/>
        <v>41.000000000058208</v>
      </c>
      <c r="BU54" s="136">
        <f>(BJ54-BH54)*24</f>
        <v>28.583334722206928</v>
      </c>
      <c r="BV54" s="135">
        <f t="shared" si="6"/>
        <v>5.4166666666860692</v>
      </c>
      <c r="BW54" s="135">
        <f t="shared" si="7"/>
        <v>6.9166666666860692</v>
      </c>
      <c r="BX54" s="134">
        <f t="shared" si="8"/>
        <v>5.0555556134349899</v>
      </c>
      <c r="BY54" s="134">
        <f t="shared" si="9"/>
        <v>12.708333333328483</v>
      </c>
      <c r="BZ54" s="133">
        <f t="shared" si="10"/>
        <v>0.39781421220487234</v>
      </c>
    </row>
    <row r="55" spans="1:78" s="126" customFormat="1" ht="14.4" customHeight="1">
      <c r="A55" s="192">
        <f t="shared" si="12"/>
        <v>44983.1875</v>
      </c>
      <c r="B55" s="126" t="s">
        <v>228</v>
      </c>
      <c r="C55" s="126" t="s">
        <v>229</v>
      </c>
      <c r="D55" s="126" t="s">
        <v>215</v>
      </c>
      <c r="E55" s="65" t="s">
        <v>699</v>
      </c>
      <c r="G55" s="73">
        <v>44982.416666666664</v>
      </c>
      <c r="H55" s="73">
        <v>44982.378472222219</v>
      </c>
      <c r="I55" s="126" t="s">
        <v>231</v>
      </c>
      <c r="J55" s="126" t="s">
        <v>192</v>
      </c>
      <c r="K55" s="126" t="s">
        <v>192</v>
      </c>
      <c r="L55" s="126" t="s">
        <v>749</v>
      </c>
      <c r="M55" s="167"/>
      <c r="N55" s="126" t="s">
        <v>271</v>
      </c>
      <c r="O55" s="126" t="s">
        <v>272</v>
      </c>
      <c r="P55" s="126" t="s">
        <v>742</v>
      </c>
      <c r="Q55" s="181">
        <f>3852*2.4</f>
        <v>9244.7999999999993</v>
      </c>
      <c r="R55" s="181">
        <v>9318.3979999999992</v>
      </c>
      <c r="S55" s="181"/>
      <c r="W55" s="181">
        <f>R55*0.7</f>
        <v>6522.8785999999991</v>
      </c>
      <c r="X55" s="181">
        <f>R55*0.3</f>
        <v>2795.5193999999997</v>
      </c>
      <c r="AV55" s="165">
        <f t="shared" si="0"/>
        <v>44976.759027777778</v>
      </c>
      <c r="AW55" s="165">
        <f t="shared" si="1"/>
        <v>44990.777777777781</v>
      </c>
      <c r="AX55" s="137">
        <f t="shared" si="2"/>
        <v>14.01875000000291</v>
      </c>
      <c r="AY55" s="165">
        <v>44976.759027777778</v>
      </c>
      <c r="AZ55" s="165">
        <v>44977.791666666664</v>
      </c>
      <c r="BA55" s="165">
        <v>44979.5</v>
      </c>
      <c r="BB55" s="165">
        <v>44983.1875</v>
      </c>
      <c r="BC55" s="165">
        <v>44983.427777777775</v>
      </c>
      <c r="BD55" s="165">
        <v>44983.434027777781</v>
      </c>
      <c r="BE55" s="165">
        <v>44983.434027777781</v>
      </c>
      <c r="BF55" s="165">
        <f t="shared" si="13"/>
        <v>44985.142361111117</v>
      </c>
      <c r="BG55" s="165">
        <v>44985.291666608799</v>
      </c>
      <c r="BH55" s="165">
        <v>44985.458333275463</v>
      </c>
      <c r="BI55" s="165">
        <v>44985.305555555555</v>
      </c>
      <c r="BJ55" s="165">
        <v>44986.746527777781</v>
      </c>
      <c r="BK55" s="165">
        <v>44990.125</v>
      </c>
      <c r="BL55" s="165">
        <v>44990.513888888891</v>
      </c>
      <c r="BM55" s="165">
        <v>44990.534722222219</v>
      </c>
      <c r="BN55" s="165">
        <v>44990.534722222219</v>
      </c>
      <c r="BO55" s="165">
        <v>44990.777777777781</v>
      </c>
      <c r="BR55" s="136">
        <f t="shared" si="3"/>
        <v>41.000000000058208</v>
      </c>
      <c r="BS55" s="136">
        <f t="shared" si="4"/>
        <v>5.7666666666045785</v>
      </c>
      <c r="BT55" s="136">
        <f t="shared" si="5"/>
        <v>41.000000000058208</v>
      </c>
      <c r="BU55" s="136">
        <f>(BJ55-BH55)*24</f>
        <v>30.916668055637274</v>
      </c>
      <c r="BV55" s="135">
        <f t="shared" si="6"/>
        <v>9.3333333333721384</v>
      </c>
      <c r="BW55" s="135">
        <f t="shared" si="7"/>
        <v>5.8333333334885538</v>
      </c>
      <c r="BX55" s="134">
        <f t="shared" si="8"/>
        <v>5.5770833912174567</v>
      </c>
      <c r="BY55" s="134">
        <f t="shared" si="9"/>
        <v>14.01875000000291</v>
      </c>
      <c r="BZ55" s="133">
        <f t="shared" si="10"/>
        <v>0.39783029094721706</v>
      </c>
    </row>
    <row r="56" spans="1:78" s="126" customFormat="1">
      <c r="A56" s="192">
        <f t="shared" si="12"/>
        <v>44976.006944444445</v>
      </c>
      <c r="B56" s="126" t="s">
        <v>188</v>
      </c>
      <c r="C56" s="126" t="s">
        <v>87</v>
      </c>
      <c r="D56" s="126" t="s">
        <v>197</v>
      </c>
      <c r="E56" s="126" t="s">
        <v>750</v>
      </c>
      <c r="G56" s="73">
        <v>44971.8125</v>
      </c>
      <c r="H56" s="73">
        <v>44971.791666666664</v>
      </c>
      <c r="I56" s="126" t="s">
        <v>751</v>
      </c>
      <c r="J56" s="126" t="s">
        <v>192</v>
      </c>
      <c r="K56" s="126" t="s">
        <v>192</v>
      </c>
      <c r="L56" s="126" t="s">
        <v>752</v>
      </c>
      <c r="M56" s="167"/>
      <c r="N56" s="126" t="s">
        <v>70</v>
      </c>
      <c r="O56" s="126" t="s">
        <v>255</v>
      </c>
      <c r="P56" s="126" t="s">
        <v>611</v>
      </c>
      <c r="Q56" s="181">
        <f>3047*2.4</f>
        <v>7312.8</v>
      </c>
      <c r="R56" s="181">
        <v>7527.8490000000002</v>
      </c>
      <c r="S56" s="181"/>
      <c r="AC56" s="181">
        <f t="shared" ref="AC56:AC61" si="18">R56</f>
        <v>7527.8490000000002</v>
      </c>
      <c r="AV56" s="165">
        <f t="shared" si="0"/>
        <v>44974.329861111109</v>
      </c>
      <c r="AW56" s="165">
        <f t="shared" si="1"/>
        <v>44979.847222222219</v>
      </c>
      <c r="AX56" s="137">
        <f t="shared" si="2"/>
        <v>5.5173611111094942</v>
      </c>
      <c r="AY56" s="165">
        <v>44974.329861111109</v>
      </c>
      <c r="AZ56" s="165">
        <v>44974.329861111109</v>
      </c>
      <c r="BA56" s="165">
        <v>44974.354166666664</v>
      </c>
      <c r="BB56" s="165">
        <v>44976.006944444445</v>
      </c>
      <c r="BC56" s="165">
        <v>44976.148611111108</v>
      </c>
      <c r="BD56" s="165">
        <v>44976.159722222219</v>
      </c>
      <c r="BE56" s="165">
        <v>44976.763888888891</v>
      </c>
      <c r="BF56" s="165">
        <v>44976.763888888891</v>
      </c>
      <c r="BG56" s="166" t="s">
        <v>196</v>
      </c>
      <c r="BH56" s="166" t="s">
        <v>196</v>
      </c>
      <c r="BI56" s="166" t="s">
        <v>196</v>
      </c>
      <c r="BJ56" s="165">
        <v>44976.96875</v>
      </c>
      <c r="BK56" s="165">
        <v>44978.854166666664</v>
      </c>
      <c r="BL56" s="165">
        <v>44979.277777777781</v>
      </c>
      <c r="BM56" s="165">
        <v>44979.288194444445</v>
      </c>
      <c r="BN56" s="165">
        <v>44979.659722222219</v>
      </c>
      <c r="BO56" s="165">
        <v>44979.847222222219</v>
      </c>
      <c r="BR56" s="136">
        <f t="shared" si="3"/>
        <v>0.58333333331393078</v>
      </c>
      <c r="BS56" s="136">
        <f t="shared" si="4"/>
        <v>3.3999999999068677</v>
      </c>
      <c r="BT56" s="136">
        <f t="shared" si="5"/>
        <v>0</v>
      </c>
      <c r="BU56" s="136">
        <f t="shared" ref="BU56:BU67" si="19">(BJ56-BF56)*24</f>
        <v>4.9166666666278616</v>
      </c>
      <c r="BV56" s="135">
        <f t="shared" si="6"/>
        <v>10.166666666802485</v>
      </c>
      <c r="BW56" s="135">
        <f t="shared" si="7"/>
        <v>4.5</v>
      </c>
      <c r="BX56" s="134">
        <f t="shared" si="8"/>
        <v>0.98194444444379769</v>
      </c>
      <c r="BY56" s="134">
        <f t="shared" si="9"/>
        <v>5.5173611111094942</v>
      </c>
      <c r="BZ56" s="133">
        <f t="shared" si="10"/>
        <v>0.17797356828187327</v>
      </c>
    </row>
    <row r="57" spans="1:78" s="126" customFormat="1">
      <c r="A57" s="192">
        <f t="shared" si="12"/>
        <v>44977.320833333331</v>
      </c>
      <c r="B57" s="126" t="s">
        <v>188</v>
      </c>
      <c r="C57" s="126" t="s">
        <v>87</v>
      </c>
      <c r="D57" s="126" t="s">
        <v>215</v>
      </c>
      <c r="E57" s="65" t="s">
        <v>753</v>
      </c>
      <c r="G57" s="165">
        <v>44976.541666666664</v>
      </c>
      <c r="H57" s="165">
        <v>44976.583333333336</v>
      </c>
      <c r="I57" s="126" t="s">
        <v>751</v>
      </c>
      <c r="J57" s="126" t="s">
        <v>192</v>
      </c>
      <c r="K57" s="126" t="s">
        <v>192</v>
      </c>
      <c r="L57" s="126" t="s">
        <v>754</v>
      </c>
      <c r="M57" s="167"/>
      <c r="N57" s="126" t="s">
        <v>288</v>
      </c>
      <c r="O57" s="126" t="s">
        <v>289</v>
      </c>
      <c r="P57" s="126" t="s">
        <v>611</v>
      </c>
      <c r="Q57" s="181">
        <f>3107*2.4</f>
        <v>7456.7999999999993</v>
      </c>
      <c r="R57" s="181">
        <v>7509.0029999999997</v>
      </c>
      <c r="S57" s="181"/>
      <c r="AC57" s="181">
        <f t="shared" si="18"/>
        <v>7509.0029999999997</v>
      </c>
      <c r="AV57" s="165">
        <f t="shared" si="0"/>
        <v>44977.180555555555</v>
      </c>
      <c r="AW57" s="165">
        <f t="shared" si="1"/>
        <v>44980.916666666664</v>
      </c>
      <c r="AX57" s="137">
        <f t="shared" si="2"/>
        <v>3.7361111111094942</v>
      </c>
      <c r="AY57" s="165">
        <v>44977.180555555555</v>
      </c>
      <c r="AZ57" s="165">
        <v>44977.180555555555</v>
      </c>
      <c r="BA57" s="165">
        <v>44977.256944444445</v>
      </c>
      <c r="BB57" s="165">
        <v>44977.320833333331</v>
      </c>
      <c r="BC57" s="165">
        <v>44977.455555555556</v>
      </c>
      <c r="BD57" s="165">
        <v>44977.461805555555</v>
      </c>
      <c r="BE57" s="165">
        <v>44977.916666666664</v>
      </c>
      <c r="BF57" s="165">
        <v>44977.916666666664</v>
      </c>
      <c r="BG57" s="166" t="s">
        <v>196</v>
      </c>
      <c r="BH57" s="166" t="s">
        <v>196</v>
      </c>
      <c r="BI57" s="166" t="s">
        <v>196</v>
      </c>
      <c r="BJ57" s="165">
        <v>44978.083333333336</v>
      </c>
      <c r="BK57" s="165">
        <v>44980.291666666664</v>
      </c>
      <c r="BL57" s="165">
        <v>44980.416666666664</v>
      </c>
      <c r="BM57" s="165">
        <v>44980.4375</v>
      </c>
      <c r="BN57" s="165">
        <v>44980.666666666664</v>
      </c>
      <c r="BO57" s="165">
        <v>44980.916666666664</v>
      </c>
      <c r="BR57" s="136">
        <f t="shared" si="3"/>
        <v>1.8333333333721384</v>
      </c>
      <c r="BS57" s="136">
        <f t="shared" si="4"/>
        <v>3.2333333333954215</v>
      </c>
      <c r="BT57" s="136">
        <f t="shared" si="5"/>
        <v>0</v>
      </c>
      <c r="BU57" s="136">
        <f t="shared" si="19"/>
        <v>4.0000000001164153</v>
      </c>
      <c r="BV57" s="135">
        <f t="shared" si="6"/>
        <v>3</v>
      </c>
      <c r="BW57" s="135">
        <f t="shared" si="7"/>
        <v>6</v>
      </c>
      <c r="BX57" s="134">
        <f t="shared" si="8"/>
        <v>0.7527777777868323</v>
      </c>
      <c r="BY57" s="134">
        <f t="shared" si="9"/>
        <v>3.7361111111094942</v>
      </c>
      <c r="BZ57" s="133">
        <f t="shared" si="10"/>
        <v>0.20148698885009436</v>
      </c>
    </row>
    <row r="58" spans="1:78" s="126" customFormat="1">
      <c r="A58" s="192">
        <f t="shared" si="12"/>
        <v>44978.388888888891</v>
      </c>
      <c r="B58" s="126" t="s">
        <v>188</v>
      </c>
      <c r="C58" s="126" t="s">
        <v>87</v>
      </c>
      <c r="D58" s="126" t="s">
        <v>197</v>
      </c>
      <c r="E58" s="65" t="s">
        <v>753</v>
      </c>
      <c r="G58" s="165">
        <v>44976.541666666664</v>
      </c>
      <c r="H58" s="165">
        <v>44976.583333333336</v>
      </c>
      <c r="I58" s="126" t="s">
        <v>751</v>
      </c>
      <c r="J58" s="126" t="s">
        <v>192</v>
      </c>
      <c r="K58" s="126" t="s">
        <v>192</v>
      </c>
      <c r="L58" s="126" t="s">
        <v>755</v>
      </c>
      <c r="M58" s="167"/>
      <c r="N58" s="126" t="s">
        <v>201</v>
      </c>
      <c r="O58" s="126" t="s">
        <v>202</v>
      </c>
      <c r="P58" s="126" t="s">
        <v>611</v>
      </c>
      <c r="Q58" s="181">
        <f>3141*2.4</f>
        <v>7538.4</v>
      </c>
      <c r="R58" s="181">
        <v>7512.4830000000002</v>
      </c>
      <c r="S58" s="181"/>
      <c r="AC58" s="181">
        <f t="shared" si="18"/>
        <v>7512.4830000000002</v>
      </c>
      <c r="AV58" s="165">
        <f t="shared" si="0"/>
        <v>44977.847222222219</v>
      </c>
      <c r="AW58" s="165">
        <f t="shared" si="1"/>
        <v>44980.947916666664</v>
      </c>
      <c r="AX58" s="137">
        <f t="shared" si="2"/>
        <v>3.1006944444452529</v>
      </c>
      <c r="AY58" s="165">
        <v>44977.847222222219</v>
      </c>
      <c r="AZ58" s="165">
        <v>44977.847222222219</v>
      </c>
      <c r="BA58" s="165">
        <v>44977.871527777781</v>
      </c>
      <c r="BB58" s="165">
        <v>44978.388888888891</v>
      </c>
      <c r="BC58" s="165">
        <v>44978.521527777775</v>
      </c>
      <c r="BD58" s="165">
        <v>44978.527777777781</v>
      </c>
      <c r="BE58" s="165">
        <v>44978.90625</v>
      </c>
      <c r="BF58" s="165">
        <v>44978.90625</v>
      </c>
      <c r="BG58" s="166" t="s">
        <v>196</v>
      </c>
      <c r="BH58" s="166" t="s">
        <v>196</v>
      </c>
      <c r="BI58" s="166" t="s">
        <v>196</v>
      </c>
      <c r="BJ58" s="165">
        <v>44979.145833333336</v>
      </c>
      <c r="BK58" s="165">
        <v>44980.479166666664</v>
      </c>
      <c r="BL58" s="165">
        <v>44980.680555555555</v>
      </c>
      <c r="BM58" s="165">
        <v>44980.701388888891</v>
      </c>
      <c r="BN58" s="165">
        <v>44980.701388888891</v>
      </c>
      <c r="BO58" s="165">
        <v>44980.947916666664</v>
      </c>
      <c r="BR58" s="136">
        <f t="shared" si="3"/>
        <v>0.58333333348855376</v>
      </c>
      <c r="BS58" s="136">
        <f t="shared" si="4"/>
        <v>3.1833333332324401</v>
      </c>
      <c r="BT58" s="136">
        <f t="shared" si="5"/>
        <v>0</v>
      </c>
      <c r="BU58" s="136">
        <f t="shared" si="19"/>
        <v>5.7500000000582077</v>
      </c>
      <c r="BV58" s="135">
        <f t="shared" si="6"/>
        <v>4.8333333333721384</v>
      </c>
      <c r="BW58" s="135">
        <f t="shared" si="7"/>
        <v>5.9166666665696539</v>
      </c>
      <c r="BX58" s="134">
        <f t="shared" si="8"/>
        <v>0.84444444444670808</v>
      </c>
      <c r="BY58" s="134">
        <f t="shared" si="9"/>
        <v>3.1006944444452529</v>
      </c>
      <c r="BZ58" s="133">
        <f t="shared" si="10"/>
        <v>0.27234042553257393</v>
      </c>
    </row>
    <row r="59" spans="1:78" s="126" customFormat="1">
      <c r="A59" s="192">
        <f t="shared" si="12"/>
        <v>44980.263888888891</v>
      </c>
      <c r="B59" s="126" t="s">
        <v>188</v>
      </c>
      <c r="C59" s="126" t="s">
        <v>87</v>
      </c>
      <c r="D59" s="126" t="s">
        <v>197</v>
      </c>
      <c r="E59" s="126" t="s">
        <v>756</v>
      </c>
      <c r="G59" s="73">
        <v>44981.375</v>
      </c>
      <c r="H59" s="73">
        <v>44981.375</v>
      </c>
      <c r="I59" s="126" t="s">
        <v>751</v>
      </c>
      <c r="J59" s="126" t="s">
        <v>192</v>
      </c>
      <c r="K59" s="126" t="s">
        <v>192</v>
      </c>
      <c r="L59" s="126" t="s">
        <v>757</v>
      </c>
      <c r="M59" s="167"/>
      <c r="N59" s="126" t="s">
        <v>304</v>
      </c>
      <c r="O59" s="126" t="s">
        <v>305</v>
      </c>
      <c r="P59" s="126" t="s">
        <v>611</v>
      </c>
      <c r="Q59" s="181">
        <f>3107*2.4</f>
        <v>7456.7999999999993</v>
      </c>
      <c r="R59" s="181">
        <v>7523.6809999999996</v>
      </c>
      <c r="S59" s="181"/>
      <c r="AC59" s="181">
        <f t="shared" si="18"/>
        <v>7523.6809999999996</v>
      </c>
      <c r="AV59" s="165">
        <f t="shared" si="0"/>
        <v>44978.569444444445</v>
      </c>
      <c r="AW59" s="165">
        <f t="shared" si="1"/>
        <v>44983.986111111109</v>
      </c>
      <c r="AX59" s="137">
        <f t="shared" si="2"/>
        <v>5.4166666666642413</v>
      </c>
      <c r="AY59" s="165">
        <v>44978.569444444445</v>
      </c>
      <c r="AZ59" s="165">
        <v>44978.569444444445</v>
      </c>
      <c r="BA59" s="165">
        <v>44978.600694444445</v>
      </c>
      <c r="BB59" s="165">
        <v>44980.263888888891</v>
      </c>
      <c r="BC59" s="165">
        <v>44980.414583333331</v>
      </c>
      <c r="BD59" s="165">
        <v>44980.420138888891</v>
      </c>
      <c r="BE59" s="165">
        <v>44980.989583333336</v>
      </c>
      <c r="BF59" s="165">
        <v>44980.989583333336</v>
      </c>
      <c r="BG59" s="166" t="s">
        <v>196</v>
      </c>
      <c r="BH59" s="166" t="s">
        <v>196</v>
      </c>
      <c r="BI59" s="166" t="s">
        <v>196</v>
      </c>
      <c r="BJ59" s="165">
        <v>44981.25</v>
      </c>
      <c r="BK59" s="165">
        <v>44983.243055555555</v>
      </c>
      <c r="BL59" s="165">
        <v>44983.5</v>
      </c>
      <c r="BM59" s="165">
        <v>44983.520833333336</v>
      </c>
      <c r="BN59" s="165">
        <v>44983.520833333336</v>
      </c>
      <c r="BO59" s="165">
        <v>44983.986111111109</v>
      </c>
      <c r="BR59" s="136">
        <f t="shared" si="3"/>
        <v>0.75</v>
      </c>
      <c r="BS59" s="136">
        <f t="shared" si="4"/>
        <v>3.6166666665812954</v>
      </c>
      <c r="BT59" s="136">
        <f t="shared" si="5"/>
        <v>0</v>
      </c>
      <c r="BU59" s="136">
        <f t="shared" si="19"/>
        <v>6.2499999999417923</v>
      </c>
      <c r="BV59" s="135">
        <f t="shared" si="6"/>
        <v>6.1666666666860692</v>
      </c>
      <c r="BW59" s="135">
        <f t="shared" si="7"/>
        <v>11.166666666569654</v>
      </c>
      <c r="BX59" s="134">
        <f t="shared" si="8"/>
        <v>1.1645833333241171</v>
      </c>
      <c r="BY59" s="134">
        <f t="shared" si="9"/>
        <v>5.4166666666642413</v>
      </c>
      <c r="BZ59" s="133">
        <f t="shared" si="10"/>
        <v>0.21499999999839481</v>
      </c>
    </row>
    <row r="60" spans="1:78" s="126" customFormat="1">
      <c r="A60" s="192">
        <f t="shared" si="12"/>
        <v>44980.565972222219</v>
      </c>
      <c r="B60" s="126" t="s">
        <v>188</v>
      </c>
      <c r="C60" s="126" t="s">
        <v>87</v>
      </c>
      <c r="D60" s="126" t="s">
        <v>197</v>
      </c>
      <c r="E60" s="126" t="s">
        <v>756</v>
      </c>
      <c r="G60" s="73">
        <v>44981.375</v>
      </c>
      <c r="H60" s="73">
        <v>44981.375</v>
      </c>
      <c r="I60" s="126" t="s">
        <v>751</v>
      </c>
      <c r="J60" s="126" t="s">
        <v>192</v>
      </c>
      <c r="K60" s="126" t="s">
        <v>192</v>
      </c>
      <c r="L60" s="126" t="s">
        <v>758</v>
      </c>
      <c r="M60" s="167"/>
      <c r="N60" s="126" t="s">
        <v>246</v>
      </c>
      <c r="O60" s="126" t="s">
        <v>247</v>
      </c>
      <c r="P60" s="126" t="s">
        <v>611</v>
      </c>
      <c r="Q60" s="181">
        <f>3136*2.4</f>
        <v>7526.4</v>
      </c>
      <c r="R60" s="181">
        <v>7513.65</v>
      </c>
      <c r="S60" s="181"/>
      <c r="AC60" s="181">
        <f t="shared" si="18"/>
        <v>7513.65</v>
      </c>
      <c r="AV60" s="165">
        <f t="shared" si="0"/>
        <v>44979.600694444445</v>
      </c>
      <c r="AW60" s="165">
        <f t="shared" si="1"/>
        <v>44984.34375</v>
      </c>
      <c r="AX60" s="137">
        <f t="shared" si="2"/>
        <v>4.7430555555547471</v>
      </c>
      <c r="AY60" s="165">
        <v>44979.600694444445</v>
      </c>
      <c r="AZ60" s="165">
        <v>44979.600694444445</v>
      </c>
      <c r="BA60" s="165">
        <v>44979.625</v>
      </c>
      <c r="BB60" s="165">
        <v>44980.565972222219</v>
      </c>
      <c r="BC60" s="165">
        <v>44980.718055555553</v>
      </c>
      <c r="BD60" s="165">
        <v>44980.720833333333</v>
      </c>
      <c r="BE60" s="165">
        <v>44980.993055555555</v>
      </c>
      <c r="BF60" s="165">
        <v>44980.993055555555</v>
      </c>
      <c r="BG60" s="166" t="s">
        <v>196</v>
      </c>
      <c r="BH60" s="166" t="s">
        <v>196</v>
      </c>
      <c r="BI60" s="166" t="s">
        <v>196</v>
      </c>
      <c r="BJ60" s="165">
        <v>44981.25</v>
      </c>
      <c r="BK60" s="165">
        <v>44983.572916666664</v>
      </c>
      <c r="BL60" s="165">
        <v>44983.8125</v>
      </c>
      <c r="BM60" s="165">
        <v>44983.840277777781</v>
      </c>
      <c r="BN60" s="165">
        <v>44983.979166666664</v>
      </c>
      <c r="BO60" s="165">
        <v>44984.34375</v>
      </c>
      <c r="BR60" s="136">
        <f t="shared" si="3"/>
        <v>0.58333333331393078</v>
      </c>
      <c r="BS60" s="136">
        <f t="shared" si="4"/>
        <v>3.6500000000232831</v>
      </c>
      <c r="BT60" s="136">
        <f t="shared" si="5"/>
        <v>0</v>
      </c>
      <c r="BU60" s="136">
        <f t="shared" si="19"/>
        <v>6.1666666666860692</v>
      </c>
      <c r="BV60" s="135">
        <f t="shared" si="6"/>
        <v>5.7500000000582077</v>
      </c>
      <c r="BW60" s="135">
        <f t="shared" si="7"/>
        <v>8.7500000000582077</v>
      </c>
      <c r="BX60" s="134">
        <f t="shared" si="8"/>
        <v>1.0375000000058208</v>
      </c>
      <c r="BY60" s="134">
        <f t="shared" si="9"/>
        <v>4.7430555555547471</v>
      </c>
      <c r="BZ60" s="133">
        <f t="shared" si="10"/>
        <v>0.21874084919599363</v>
      </c>
    </row>
    <row r="61" spans="1:78" s="126" customFormat="1">
      <c r="A61" s="192">
        <f t="shared" si="12"/>
        <v>44982.354166666664</v>
      </c>
      <c r="B61" s="126" t="s">
        <v>188</v>
      </c>
      <c r="C61" s="126" t="s">
        <v>87</v>
      </c>
      <c r="D61" s="126" t="s">
        <v>197</v>
      </c>
      <c r="E61" s="126" t="s">
        <v>759</v>
      </c>
      <c r="G61" s="73">
        <v>44981.333333333336</v>
      </c>
      <c r="H61" s="73">
        <v>44981.356944444444</v>
      </c>
      <c r="I61" s="126" t="s">
        <v>751</v>
      </c>
      <c r="J61" s="126" t="s">
        <v>192</v>
      </c>
      <c r="K61" s="126" t="s">
        <v>192</v>
      </c>
      <c r="L61" s="126" t="s">
        <v>760</v>
      </c>
      <c r="M61" s="167"/>
      <c r="N61" s="126" t="s">
        <v>374</v>
      </c>
      <c r="O61" s="126" t="s">
        <v>375</v>
      </c>
      <c r="P61" s="126" t="s">
        <v>611</v>
      </c>
      <c r="Q61" s="181">
        <v>7508.4480000000003</v>
      </c>
      <c r="R61" s="181">
        <v>7527.3950000000004</v>
      </c>
      <c r="S61" s="181"/>
      <c r="AC61" s="181">
        <f t="shared" si="18"/>
        <v>7527.3950000000004</v>
      </c>
      <c r="AV61" s="165">
        <f t="shared" si="0"/>
        <v>44981.125</v>
      </c>
      <c r="AW61" s="165">
        <f t="shared" si="1"/>
        <v>44987.59375</v>
      </c>
      <c r="AX61" s="137">
        <f t="shared" si="2"/>
        <v>6.46875</v>
      </c>
      <c r="AY61" s="165">
        <v>44981.125</v>
      </c>
      <c r="AZ61" s="165">
        <v>44981.125</v>
      </c>
      <c r="BA61" s="165">
        <v>44981.163194444445</v>
      </c>
      <c r="BB61" s="165">
        <v>44982.354166666664</v>
      </c>
      <c r="BC61" s="165">
        <v>44982.484722222223</v>
      </c>
      <c r="BD61" s="165">
        <v>44982.491666666669</v>
      </c>
      <c r="BE61" s="165">
        <v>44982.90625</v>
      </c>
      <c r="BF61" s="165">
        <v>44982.90625</v>
      </c>
      <c r="BG61" s="166" t="s">
        <v>196</v>
      </c>
      <c r="BH61" s="166" t="s">
        <v>196</v>
      </c>
      <c r="BI61" s="166" t="s">
        <v>196</v>
      </c>
      <c r="BJ61" s="165">
        <v>44983.170138888891</v>
      </c>
      <c r="BK61" s="165">
        <v>44986.850694444445</v>
      </c>
      <c r="BL61" s="165">
        <v>44987.236111111109</v>
      </c>
      <c r="BM61" s="165">
        <v>44987.25</v>
      </c>
      <c r="BN61" s="165">
        <v>44987.25</v>
      </c>
      <c r="BO61" s="165">
        <v>44987.59375</v>
      </c>
      <c r="BR61" s="136">
        <f t="shared" si="3"/>
        <v>0.91666666668606922</v>
      </c>
      <c r="BS61" s="136">
        <f t="shared" si="4"/>
        <v>3.1333333334187046</v>
      </c>
      <c r="BT61" s="136">
        <f t="shared" si="5"/>
        <v>0</v>
      </c>
      <c r="BU61" s="136">
        <f t="shared" si="19"/>
        <v>6.3333333333721384</v>
      </c>
      <c r="BV61" s="135">
        <f t="shared" si="6"/>
        <v>9.2499999999417923</v>
      </c>
      <c r="BW61" s="135">
        <f t="shared" si="7"/>
        <v>8.25</v>
      </c>
      <c r="BX61" s="134">
        <f t="shared" si="8"/>
        <v>1.1618055555591127</v>
      </c>
      <c r="BY61" s="134">
        <f t="shared" si="9"/>
        <v>6.46875</v>
      </c>
      <c r="BZ61" s="133">
        <f t="shared" si="10"/>
        <v>0.17960279119754399</v>
      </c>
    </row>
    <row r="62" spans="1:78" s="126" customFormat="1">
      <c r="A62" s="192">
        <f t="shared" si="12"/>
        <v>44959.670138888891</v>
      </c>
      <c r="B62" s="126" t="s">
        <v>188</v>
      </c>
      <c r="C62" s="126" t="s">
        <v>181</v>
      </c>
      <c r="D62" s="126" t="s">
        <v>189</v>
      </c>
      <c r="E62" s="126" t="s">
        <v>761</v>
      </c>
      <c r="G62" s="165">
        <v>44982.520833333336</v>
      </c>
      <c r="H62" s="165">
        <v>44982.520833333336</v>
      </c>
      <c r="I62" s="126" t="s">
        <v>448</v>
      </c>
      <c r="J62" s="126" t="s">
        <v>192</v>
      </c>
      <c r="K62" s="126" t="s">
        <v>192</v>
      </c>
      <c r="L62" s="126" t="s">
        <v>762</v>
      </c>
      <c r="M62" s="167"/>
      <c r="N62" s="126" t="s">
        <v>763</v>
      </c>
      <c r="O62" s="126" t="s">
        <v>454</v>
      </c>
      <c r="P62" s="126" t="s">
        <v>181</v>
      </c>
      <c r="Q62" s="181">
        <v>7500</v>
      </c>
      <c r="R62" s="181">
        <v>7725.0820000000003</v>
      </c>
      <c r="S62" s="181"/>
      <c r="AJ62" s="181">
        <f>R62</f>
        <v>7725.0820000000003</v>
      </c>
      <c r="AT62" s="181"/>
      <c r="AU62" s="181"/>
      <c r="AV62" s="165">
        <f t="shared" si="0"/>
        <v>44959.416666666664</v>
      </c>
      <c r="AW62" s="165">
        <f t="shared" si="1"/>
        <v>44967.302083333336</v>
      </c>
      <c r="AX62" s="137">
        <f t="shared" si="2"/>
        <v>7.8854166666715173</v>
      </c>
      <c r="AY62" s="165">
        <v>44959.416666666664</v>
      </c>
      <c r="AZ62" s="165">
        <v>44959.416666666664</v>
      </c>
      <c r="BA62" s="165">
        <v>44959.416666666664</v>
      </c>
      <c r="BB62" s="165">
        <v>44959.670138888891</v>
      </c>
      <c r="BC62" s="165">
        <v>44962.871527777781</v>
      </c>
      <c r="BD62" s="165">
        <v>44963.743055555555</v>
      </c>
      <c r="BE62" s="165">
        <v>44963.743055555555</v>
      </c>
      <c r="BF62" s="165">
        <v>44963.743055555555</v>
      </c>
      <c r="BG62" s="166" t="s">
        <v>196</v>
      </c>
      <c r="BH62" s="166" t="s">
        <v>196</v>
      </c>
      <c r="BI62" s="166" t="s">
        <v>196</v>
      </c>
      <c r="BJ62" s="165">
        <v>44965.680555555555</v>
      </c>
      <c r="BK62" s="165">
        <v>44966.631944444445</v>
      </c>
      <c r="BL62" s="165">
        <v>44967.270833333336</v>
      </c>
      <c r="BM62" s="165">
        <v>44967.302083333336</v>
      </c>
      <c r="BN62" s="165">
        <v>44967.302083333336</v>
      </c>
      <c r="BO62" s="165">
        <v>44967.302083333336</v>
      </c>
      <c r="BR62" s="136">
        <f t="shared" si="3"/>
        <v>0</v>
      </c>
      <c r="BS62" s="136">
        <f t="shared" si="4"/>
        <v>76.833333333372138</v>
      </c>
      <c r="BT62" s="136">
        <f t="shared" si="5"/>
        <v>0</v>
      </c>
      <c r="BU62" s="136">
        <f t="shared" si="19"/>
        <v>46.5</v>
      </c>
      <c r="BV62" s="135">
        <f t="shared" si="6"/>
        <v>15.333333333372138</v>
      </c>
      <c r="BW62" s="135">
        <f t="shared" si="7"/>
        <v>0</v>
      </c>
      <c r="BX62" s="134">
        <f t="shared" si="8"/>
        <v>5.7777777777810115</v>
      </c>
      <c r="BY62" s="134">
        <f t="shared" si="9"/>
        <v>7.8854166666715173</v>
      </c>
      <c r="BZ62" s="133">
        <f t="shared" si="10"/>
        <v>0.73271686481722054</v>
      </c>
    </row>
    <row r="63" spans="1:78" s="126" customFormat="1">
      <c r="A63" s="192">
        <f t="shared" si="12"/>
        <v>44973.524305555555</v>
      </c>
      <c r="B63" s="126" t="s">
        <v>188</v>
      </c>
      <c r="C63" s="126" t="s">
        <v>181</v>
      </c>
      <c r="D63" s="126" t="s">
        <v>189</v>
      </c>
      <c r="E63" s="126" t="s">
        <v>764</v>
      </c>
      <c r="G63" s="165">
        <v>44984.73333333333</v>
      </c>
      <c r="H63" s="165">
        <v>44984.73333333333</v>
      </c>
      <c r="I63" s="126" t="s">
        <v>448</v>
      </c>
      <c r="J63" s="126" t="s">
        <v>192</v>
      </c>
      <c r="K63" s="126" t="s">
        <v>192</v>
      </c>
      <c r="L63" s="126" t="s">
        <v>765</v>
      </c>
      <c r="M63" s="167"/>
      <c r="N63" s="126" t="s">
        <v>763</v>
      </c>
      <c r="O63" s="126" t="s">
        <v>454</v>
      </c>
      <c r="P63" s="126" t="s">
        <v>181</v>
      </c>
      <c r="Q63" s="181">
        <v>7500</v>
      </c>
      <c r="R63" s="181">
        <v>7710.8450000000003</v>
      </c>
      <c r="S63" s="181"/>
      <c r="AJ63" s="181">
        <f>R63</f>
        <v>7710.8450000000003</v>
      </c>
      <c r="AV63" s="165">
        <f t="shared" si="0"/>
        <v>44972.881944444445</v>
      </c>
      <c r="AW63" s="165">
        <f t="shared" si="1"/>
        <v>44979.1875</v>
      </c>
      <c r="AX63" s="137">
        <f t="shared" si="2"/>
        <v>6.3055555555547471</v>
      </c>
      <c r="AY63" s="165">
        <v>44972.881944444445</v>
      </c>
      <c r="AZ63" s="165">
        <v>44972.881944444445</v>
      </c>
      <c r="BA63" s="165">
        <v>44972.881944444445</v>
      </c>
      <c r="BB63" s="165">
        <v>44973.524305555555</v>
      </c>
      <c r="BC63" s="165">
        <v>44974.847222222219</v>
      </c>
      <c r="BD63" s="165">
        <v>44975.690972222219</v>
      </c>
      <c r="BE63" s="165">
        <v>44975.690972222219</v>
      </c>
      <c r="BF63" s="165">
        <v>44975.690972222219</v>
      </c>
      <c r="BG63" s="166" t="s">
        <v>196</v>
      </c>
      <c r="BH63" s="166" t="s">
        <v>196</v>
      </c>
      <c r="BI63" s="166" t="s">
        <v>196</v>
      </c>
      <c r="BJ63" s="165">
        <v>44977.395833333336</v>
      </c>
      <c r="BK63" s="165">
        <v>44978.701388888891</v>
      </c>
      <c r="BL63" s="165">
        <v>44979.159722222219</v>
      </c>
      <c r="BM63" s="165">
        <v>44979.1875</v>
      </c>
      <c r="BN63" s="165">
        <v>44979.1875</v>
      </c>
      <c r="BO63" s="165">
        <v>44979.1875</v>
      </c>
      <c r="BR63" s="136">
        <f t="shared" si="3"/>
        <v>0</v>
      </c>
      <c r="BS63" s="136">
        <f t="shared" si="4"/>
        <v>31.749999999941792</v>
      </c>
      <c r="BT63" s="136">
        <f t="shared" si="5"/>
        <v>0</v>
      </c>
      <c r="BU63" s="136">
        <f t="shared" si="19"/>
        <v>40.916666666802485</v>
      </c>
      <c r="BV63" s="135">
        <f t="shared" si="6"/>
        <v>10.999999999883585</v>
      </c>
      <c r="BW63" s="135">
        <f t="shared" si="7"/>
        <v>0</v>
      </c>
      <c r="BX63" s="134">
        <f t="shared" si="8"/>
        <v>3.4861111111094942</v>
      </c>
      <c r="BY63" s="134">
        <f t="shared" si="9"/>
        <v>6.3055555555547471</v>
      </c>
      <c r="BZ63" s="133">
        <f t="shared" si="10"/>
        <v>0.55286343612316247</v>
      </c>
    </row>
    <row r="64" spans="1:78" s="126" customFormat="1">
      <c r="A64" s="192">
        <f t="shared" si="12"/>
        <v>44979.565972222219</v>
      </c>
      <c r="B64" s="126" t="s">
        <v>188</v>
      </c>
      <c r="C64" s="126" t="s">
        <v>181</v>
      </c>
      <c r="D64" s="126" t="s">
        <v>189</v>
      </c>
      <c r="E64" s="126" t="s">
        <v>766</v>
      </c>
      <c r="G64" s="165">
        <v>44989.612500000003</v>
      </c>
      <c r="H64" s="165">
        <v>44989.612500000003</v>
      </c>
      <c r="I64" s="126" t="s">
        <v>448</v>
      </c>
      <c r="J64" s="126" t="s">
        <v>192</v>
      </c>
      <c r="K64" s="126" t="s">
        <v>192</v>
      </c>
      <c r="L64" s="126" t="s">
        <v>767</v>
      </c>
      <c r="M64" s="167"/>
      <c r="N64" s="126" t="s">
        <v>768</v>
      </c>
      <c r="O64" s="126" t="s">
        <v>769</v>
      </c>
      <c r="P64" s="126" t="s">
        <v>181</v>
      </c>
      <c r="Q64" s="181">
        <v>7500</v>
      </c>
      <c r="R64" s="181">
        <v>7509.6769999999997</v>
      </c>
      <c r="S64" s="181"/>
      <c r="AJ64" s="181">
        <f>R64</f>
        <v>7509.6769999999997</v>
      </c>
      <c r="AS64" s="181"/>
      <c r="AV64" s="165">
        <f t="shared" si="0"/>
        <v>44975.760416666664</v>
      </c>
      <c r="AW64" s="165">
        <f t="shared" si="1"/>
        <v>44984.979166666664</v>
      </c>
      <c r="AX64" s="137">
        <f t="shared" si="2"/>
        <v>9.21875</v>
      </c>
      <c r="AY64" s="165">
        <v>44975.760416666664</v>
      </c>
      <c r="AZ64" s="165">
        <v>44975.760416666664</v>
      </c>
      <c r="BA64" s="165">
        <v>44975.760416666664</v>
      </c>
      <c r="BB64" s="165">
        <v>44979.565972222219</v>
      </c>
      <c r="BC64" s="165">
        <v>44982.618055555555</v>
      </c>
      <c r="BD64" s="165">
        <v>44982.836805555555</v>
      </c>
      <c r="BE64" s="165">
        <v>44982.836805555555</v>
      </c>
      <c r="BF64" s="165">
        <v>44982.836805555555</v>
      </c>
      <c r="BG64" s="166" t="s">
        <v>196</v>
      </c>
      <c r="BH64" s="166" t="s">
        <v>196</v>
      </c>
      <c r="BI64" s="166" t="s">
        <v>196</v>
      </c>
      <c r="BJ64" s="165">
        <v>44984.3125</v>
      </c>
      <c r="BK64" s="165">
        <v>44984.545138888891</v>
      </c>
      <c r="BL64" s="165">
        <v>44984.947916666664</v>
      </c>
      <c r="BM64" s="165">
        <v>44984.979166666664</v>
      </c>
      <c r="BN64" s="165">
        <v>44984.979166666664</v>
      </c>
      <c r="BO64" s="165">
        <v>44984.979166666664</v>
      </c>
      <c r="BR64" s="136">
        <f t="shared" si="3"/>
        <v>0</v>
      </c>
      <c r="BS64" s="136">
        <f t="shared" si="4"/>
        <v>73.250000000058208</v>
      </c>
      <c r="BT64" s="136">
        <f t="shared" si="5"/>
        <v>0</v>
      </c>
      <c r="BU64" s="136">
        <f t="shared" si="19"/>
        <v>35.416666666686069</v>
      </c>
      <c r="BV64" s="135">
        <f t="shared" si="6"/>
        <v>9.6666666665696539</v>
      </c>
      <c r="BW64" s="135">
        <f t="shared" si="7"/>
        <v>0</v>
      </c>
      <c r="BX64" s="134">
        <f t="shared" si="8"/>
        <v>4.9305555555547471</v>
      </c>
      <c r="BY64" s="134">
        <f t="shared" si="9"/>
        <v>9.21875</v>
      </c>
      <c r="BZ64" s="133">
        <f t="shared" si="10"/>
        <v>0.53483992467034547</v>
      </c>
    </row>
    <row r="65" spans="1:78" s="126" customFormat="1">
      <c r="A65" s="192">
        <f t="shared" si="12"/>
        <v>44978.194444444445</v>
      </c>
      <c r="B65" s="126" t="s">
        <v>188</v>
      </c>
      <c r="C65" s="126" t="s">
        <v>84</v>
      </c>
      <c r="D65" s="126" t="s">
        <v>197</v>
      </c>
      <c r="E65" s="126" t="s">
        <v>756</v>
      </c>
      <c r="G65" s="73">
        <v>44981.375</v>
      </c>
      <c r="H65" s="73">
        <v>44981.375</v>
      </c>
      <c r="I65" s="126" t="s">
        <v>458</v>
      </c>
      <c r="J65" s="126" t="s">
        <v>192</v>
      </c>
      <c r="K65" s="126" t="s">
        <v>192</v>
      </c>
      <c r="L65" s="126" t="s">
        <v>770</v>
      </c>
      <c r="M65" s="167"/>
      <c r="N65" s="126" t="s">
        <v>205</v>
      </c>
      <c r="O65" s="126" t="s">
        <v>206</v>
      </c>
      <c r="P65" s="126" t="s">
        <v>84</v>
      </c>
      <c r="Q65" s="181">
        <f>3015*2.4</f>
        <v>7236</v>
      </c>
      <c r="R65" s="181">
        <v>7509</v>
      </c>
      <c r="S65" s="181"/>
      <c r="AL65" s="181">
        <f>R65</f>
        <v>7509</v>
      </c>
      <c r="AV65" s="165">
        <f t="shared" si="0"/>
        <v>44973.642361111109</v>
      </c>
      <c r="AW65" s="165">
        <f t="shared" si="1"/>
        <v>44983.454861111109</v>
      </c>
      <c r="AX65" s="137">
        <f t="shared" si="2"/>
        <v>9.8125</v>
      </c>
      <c r="AY65" s="165">
        <v>44973.642361111109</v>
      </c>
      <c r="AZ65" s="165">
        <v>44976.208333333336</v>
      </c>
      <c r="BA65" s="165">
        <v>44977</v>
      </c>
      <c r="BB65" s="165">
        <v>44978.194444444445</v>
      </c>
      <c r="BC65" s="165">
        <v>44978.4375</v>
      </c>
      <c r="BD65" s="165">
        <v>44978.447916666664</v>
      </c>
      <c r="BE65" s="165">
        <v>44979.229166666664</v>
      </c>
      <c r="BF65" s="165">
        <v>44979.229166666664</v>
      </c>
      <c r="BG65" s="166" t="s">
        <v>196</v>
      </c>
      <c r="BH65" s="166" t="s">
        <v>196</v>
      </c>
      <c r="BI65" s="166" t="s">
        <v>196</v>
      </c>
      <c r="BJ65" s="165">
        <v>44980.666666666664</v>
      </c>
      <c r="BK65" s="165">
        <v>44981.885416666664</v>
      </c>
      <c r="BL65" s="165">
        <v>44983.1875</v>
      </c>
      <c r="BM65" s="165">
        <v>44983.194444444445</v>
      </c>
      <c r="BN65" s="165">
        <v>44983.194444444445</v>
      </c>
      <c r="BO65" s="165">
        <v>44983.454861111109</v>
      </c>
      <c r="BR65" s="136">
        <f t="shared" si="3"/>
        <v>18.999999999941792</v>
      </c>
      <c r="BS65" s="136">
        <f t="shared" si="4"/>
        <v>5.8333333333139308</v>
      </c>
      <c r="BT65" s="136">
        <f t="shared" si="5"/>
        <v>0</v>
      </c>
      <c r="BU65" s="136">
        <f t="shared" si="19"/>
        <v>34.5</v>
      </c>
      <c r="BV65" s="135">
        <f t="shared" si="6"/>
        <v>31.250000000058208</v>
      </c>
      <c r="BW65" s="135">
        <f t="shared" si="7"/>
        <v>6.2499999999417923</v>
      </c>
      <c r="BX65" s="134">
        <f t="shared" si="8"/>
        <v>4.0347222222189885</v>
      </c>
      <c r="BY65" s="134">
        <f t="shared" si="9"/>
        <v>9.8125</v>
      </c>
      <c r="BZ65" s="133">
        <f t="shared" si="10"/>
        <v>0.41118188251913257</v>
      </c>
    </row>
    <row r="66" spans="1:78" s="126" customFormat="1">
      <c r="A66" s="192">
        <f t="shared" si="12"/>
        <v>44981.114583333336</v>
      </c>
      <c r="B66" s="126" t="s">
        <v>188</v>
      </c>
      <c r="C66" s="126" t="s">
        <v>84</v>
      </c>
      <c r="D66" s="126" t="s">
        <v>197</v>
      </c>
      <c r="E66" s="65" t="s">
        <v>759</v>
      </c>
      <c r="G66" s="73">
        <v>44981.333333333336</v>
      </c>
      <c r="H66" s="73">
        <v>44981.356944444444</v>
      </c>
      <c r="I66" s="126" t="s">
        <v>458</v>
      </c>
      <c r="J66" s="126" t="s">
        <v>192</v>
      </c>
      <c r="K66" s="126" t="s">
        <v>192</v>
      </c>
      <c r="L66" s="126" t="s">
        <v>771</v>
      </c>
      <c r="M66" s="167"/>
      <c r="N66" s="126" t="s">
        <v>292</v>
      </c>
      <c r="O66" s="126" t="s">
        <v>293</v>
      </c>
      <c r="P66" s="126" t="s">
        <v>84</v>
      </c>
      <c r="Q66" s="181">
        <f>3142*2.4</f>
        <v>7540.7999999999993</v>
      </c>
      <c r="R66" s="181">
        <v>7509</v>
      </c>
      <c r="S66" s="181"/>
      <c r="AL66" s="181">
        <f>R66</f>
        <v>7509</v>
      </c>
      <c r="AV66" s="165">
        <f t="shared" si="0"/>
        <v>44977.416666666664</v>
      </c>
      <c r="AW66" s="165">
        <f t="shared" si="1"/>
        <v>44986.791666666664</v>
      </c>
      <c r="AX66" s="137">
        <f t="shared" si="2"/>
        <v>9.375</v>
      </c>
      <c r="AY66" s="165">
        <v>44977.416666666664</v>
      </c>
      <c r="AZ66" s="165">
        <v>44978.916666666664</v>
      </c>
      <c r="BA66" s="165">
        <v>44979.708333333336</v>
      </c>
      <c r="BB66" s="165">
        <v>44981.114583333336</v>
      </c>
      <c r="BC66" s="165">
        <v>44981.288194444445</v>
      </c>
      <c r="BD66" s="165">
        <v>44981.302083333336</v>
      </c>
      <c r="BE66" s="165">
        <v>44981.75</v>
      </c>
      <c r="BF66" s="165">
        <v>44981.75</v>
      </c>
      <c r="BG66" s="166" t="s">
        <v>196</v>
      </c>
      <c r="BH66" s="166" t="s">
        <v>196</v>
      </c>
      <c r="BI66" s="166" t="s">
        <v>196</v>
      </c>
      <c r="BJ66" s="165">
        <v>44983.1875</v>
      </c>
      <c r="BK66" s="165">
        <v>44984.791666666664</v>
      </c>
      <c r="BL66" s="165">
        <v>44986.444444444445</v>
      </c>
      <c r="BM66" s="165">
        <v>44986.465277777781</v>
      </c>
      <c r="BN66" s="165">
        <v>44986.465277777781</v>
      </c>
      <c r="BO66" s="165">
        <v>44986.791666666664</v>
      </c>
      <c r="BR66" s="136">
        <f t="shared" si="3"/>
        <v>19.000000000116415</v>
      </c>
      <c r="BS66" s="136">
        <f t="shared" si="4"/>
        <v>4.1666666666278616</v>
      </c>
      <c r="BT66" s="136">
        <f t="shared" si="5"/>
        <v>0</v>
      </c>
      <c r="BU66" s="136">
        <f t="shared" si="19"/>
        <v>34.5</v>
      </c>
      <c r="BV66" s="135">
        <f t="shared" si="6"/>
        <v>39.666666666744277</v>
      </c>
      <c r="BW66" s="135">
        <f t="shared" si="7"/>
        <v>7.8333333331975155</v>
      </c>
      <c r="BX66" s="134">
        <f t="shared" si="8"/>
        <v>4.3819444444452529</v>
      </c>
      <c r="BY66" s="134">
        <f t="shared" si="9"/>
        <v>9.375</v>
      </c>
      <c r="BZ66" s="133">
        <f t="shared" si="10"/>
        <v>0.46740740740749365</v>
      </c>
    </row>
    <row r="67" spans="1:78" s="126" customFormat="1">
      <c r="A67" s="192">
        <f t="shared" si="12"/>
        <v>44967.631944444445</v>
      </c>
      <c r="B67" s="126" t="s">
        <v>188</v>
      </c>
      <c r="C67" s="126" t="s">
        <v>76</v>
      </c>
      <c r="D67" s="126" t="s">
        <v>197</v>
      </c>
      <c r="E67" s="126" t="s">
        <v>693</v>
      </c>
      <c r="G67" s="73">
        <v>44973.989583333336</v>
      </c>
      <c r="H67" s="73">
        <v>44973.999305555553</v>
      </c>
      <c r="I67" s="126" t="s">
        <v>460</v>
      </c>
      <c r="J67" s="126" t="s">
        <v>192</v>
      </c>
      <c r="K67" s="126" t="s">
        <v>192</v>
      </c>
      <c r="L67" s="126" t="s">
        <v>772</v>
      </c>
      <c r="M67" s="167"/>
      <c r="N67" s="126" t="s">
        <v>339</v>
      </c>
      <c r="O67" s="126" t="s">
        <v>340</v>
      </c>
      <c r="P67" s="126" t="s">
        <v>76</v>
      </c>
      <c r="Q67" s="181">
        <f>3141*2.4</f>
        <v>7538.4</v>
      </c>
      <c r="R67" s="181">
        <v>7500</v>
      </c>
      <c r="S67" s="181"/>
      <c r="AK67" s="181">
        <f t="shared" ref="AK67:AK72" si="20">R67</f>
        <v>7500</v>
      </c>
      <c r="AV67" s="165">
        <f t="shared" si="0"/>
        <v>44960.229166666664</v>
      </c>
      <c r="AW67" s="165">
        <f t="shared" si="1"/>
        <v>44974.708333333336</v>
      </c>
      <c r="AX67" s="137">
        <f t="shared" si="2"/>
        <v>14.479166666671517</v>
      </c>
      <c r="AY67" s="165">
        <v>44960.229166666664</v>
      </c>
      <c r="AZ67" s="165">
        <v>44966.864583333336</v>
      </c>
      <c r="BA67" s="165">
        <v>44967.3125</v>
      </c>
      <c r="BB67" s="165">
        <v>44967.631944444445</v>
      </c>
      <c r="BC67" s="165">
        <v>44968.079861111109</v>
      </c>
      <c r="BD67" s="165">
        <v>44968.097222222219</v>
      </c>
      <c r="BE67" s="165">
        <v>44968.100694444445</v>
      </c>
      <c r="BF67" s="165">
        <f t="shared" ref="BF67:BF72" si="21">BE67+(10/24)</f>
        <v>44968.517361111109</v>
      </c>
      <c r="BG67" s="165">
        <v>44970.291666666664</v>
      </c>
      <c r="BH67" s="165">
        <v>44970.458333333328</v>
      </c>
      <c r="BI67" s="165">
        <v>44970.402777777781</v>
      </c>
      <c r="BJ67" s="165">
        <v>44973.729166666664</v>
      </c>
      <c r="BK67" s="165">
        <v>44974.194444444445</v>
      </c>
      <c r="BL67" s="165">
        <v>44974.375</v>
      </c>
      <c r="BM67" s="165">
        <v>44974.395833333336</v>
      </c>
      <c r="BN67" s="165">
        <v>44974.395833333336</v>
      </c>
      <c r="BO67" s="165">
        <v>44974.708333333336</v>
      </c>
      <c r="BR67" s="136">
        <f t="shared" si="3"/>
        <v>10.749999999941792</v>
      </c>
      <c r="BS67" s="136">
        <f t="shared" si="4"/>
        <v>10.749999999941792</v>
      </c>
      <c r="BT67" s="136">
        <f t="shared" si="5"/>
        <v>9.9999999999417923</v>
      </c>
      <c r="BU67" s="136">
        <f t="shared" si="19"/>
        <v>125.08333333331393</v>
      </c>
      <c r="BV67" s="135">
        <f t="shared" si="6"/>
        <v>4.3333333333139308</v>
      </c>
      <c r="BW67" s="135">
        <f t="shared" si="7"/>
        <v>7.5</v>
      </c>
      <c r="BX67" s="134">
        <f t="shared" si="8"/>
        <v>7.0173611111022183</v>
      </c>
      <c r="BY67" s="134">
        <f t="shared" si="9"/>
        <v>14.479166666671517</v>
      </c>
      <c r="BZ67" s="133">
        <f t="shared" si="10"/>
        <v>0.48465227817668149</v>
      </c>
    </row>
    <row r="68" spans="1:78" s="126" customFormat="1">
      <c r="A68" s="192">
        <f t="shared" si="12"/>
        <v>44971.378472222219</v>
      </c>
      <c r="B68" s="126" t="s">
        <v>188</v>
      </c>
      <c r="C68" s="126" t="s">
        <v>76</v>
      </c>
      <c r="D68" s="126" t="s">
        <v>215</v>
      </c>
      <c r="E68" s="126" t="s">
        <v>684</v>
      </c>
      <c r="G68" s="73">
        <v>44972.000694444447</v>
      </c>
      <c r="H68" s="73">
        <v>44972.000694444447</v>
      </c>
      <c r="I68" s="126" t="s">
        <v>460</v>
      </c>
      <c r="J68" s="126" t="s">
        <v>192</v>
      </c>
      <c r="K68" s="126" t="s">
        <v>192</v>
      </c>
      <c r="L68" s="126" t="s">
        <v>773</v>
      </c>
      <c r="M68" s="167"/>
      <c r="N68" s="126" t="s">
        <v>774</v>
      </c>
      <c r="O68" s="126" t="s">
        <v>423</v>
      </c>
      <c r="P68" s="126" t="s">
        <v>76</v>
      </c>
      <c r="Q68" s="181">
        <f>3156*2.4</f>
        <v>7574.4</v>
      </c>
      <c r="R68" s="181">
        <v>7500</v>
      </c>
      <c r="S68" s="181"/>
      <c r="AK68" s="181">
        <f t="shared" si="20"/>
        <v>7500</v>
      </c>
      <c r="AV68" s="165">
        <f t="shared" ref="AV68:AV121" si="22">AY68</f>
        <v>44961.552083333336</v>
      </c>
      <c r="AW68" s="165">
        <f t="shared" ref="AW68:AW121" si="23">BO68</f>
        <v>44977.84375</v>
      </c>
      <c r="AX68" s="137">
        <f t="shared" ref="AX68:AX121" si="24">AW68-AV68</f>
        <v>16.291666666664241</v>
      </c>
      <c r="AY68" s="165">
        <v>44961.552083333336</v>
      </c>
      <c r="AZ68" s="165">
        <v>44969.559027777781</v>
      </c>
      <c r="BA68" s="165">
        <v>44970.472222222219</v>
      </c>
      <c r="BB68" s="165">
        <v>44971.378472222219</v>
      </c>
      <c r="BC68" s="165">
        <v>44971.732638888891</v>
      </c>
      <c r="BD68" s="165">
        <v>44971.75</v>
      </c>
      <c r="BE68" s="165">
        <v>44971.75</v>
      </c>
      <c r="BF68" s="165">
        <f t="shared" si="21"/>
        <v>44972.166666666664</v>
      </c>
      <c r="BG68" s="165">
        <v>44972.333333333336</v>
      </c>
      <c r="BH68" s="165">
        <v>44972.5</v>
      </c>
      <c r="BI68" s="165">
        <v>44972.413194444445</v>
      </c>
      <c r="BJ68" s="165">
        <v>44976.385416666664</v>
      </c>
      <c r="BK68" s="165">
        <v>44977.201388888891</v>
      </c>
      <c r="BL68" s="165">
        <v>44977.555555555555</v>
      </c>
      <c r="BM68" s="165">
        <v>44977.576388888891</v>
      </c>
      <c r="BN68" s="165">
        <v>44977.6875</v>
      </c>
      <c r="BO68" s="165">
        <v>44977.84375</v>
      </c>
      <c r="BP68" s="126" t="s">
        <v>775</v>
      </c>
      <c r="BR68" s="136">
        <f t="shared" ref="BR68:BR121" si="25">(BA68-AZ68)*24</f>
        <v>21.916666666511446</v>
      </c>
      <c r="BS68" s="136">
        <f t="shared" ref="BS68:BS121" si="26">(BC68-BB68)*24</f>
        <v>8.5000000001164153</v>
      </c>
      <c r="BT68" s="136">
        <f t="shared" ref="BT68:BT121" si="27">(BF68-BE68)*24</f>
        <v>9.9999999999417923</v>
      </c>
      <c r="BU68" s="136">
        <f>(BJ68-BH68)*24</f>
        <v>93.249999999941792</v>
      </c>
      <c r="BV68" s="135">
        <f t="shared" ref="BV68:BV121" si="28">(BL68-BK68)*24</f>
        <v>8.4999999999417923</v>
      </c>
      <c r="BW68" s="135">
        <f t="shared" ref="BW68:BW121" si="29">(BO68-BN68)*24</f>
        <v>3.75</v>
      </c>
      <c r="BX68" s="134">
        <f t="shared" ref="BX68:BX121" si="30">SUM(BR68:BW68)/24</f>
        <v>6.0798611111022183</v>
      </c>
      <c r="BY68" s="134">
        <f t="shared" ref="BY68:BY121" si="31">AX68</f>
        <v>16.291666666664241</v>
      </c>
      <c r="BZ68" s="133">
        <f t="shared" ref="BZ68:BZ121" si="32">BX68/BY68</f>
        <v>0.37318840579661117</v>
      </c>
    </row>
    <row r="69" spans="1:78" s="126" customFormat="1">
      <c r="A69" s="192">
        <f t="shared" si="12"/>
        <v>44971.819444444445</v>
      </c>
      <c r="B69" s="126" t="s">
        <v>188</v>
      </c>
      <c r="C69" s="126" t="s">
        <v>76</v>
      </c>
      <c r="D69" s="126" t="s">
        <v>197</v>
      </c>
      <c r="E69" s="126" t="s">
        <v>776</v>
      </c>
      <c r="G69" s="73">
        <v>44971.8125</v>
      </c>
      <c r="H69" s="73">
        <v>44971.791666666664</v>
      </c>
      <c r="I69" s="126" t="s">
        <v>460</v>
      </c>
      <c r="J69" s="126" t="s">
        <v>192</v>
      </c>
      <c r="K69" s="126" t="s">
        <v>192</v>
      </c>
      <c r="L69" s="126" t="s">
        <v>777</v>
      </c>
      <c r="M69" s="167"/>
      <c r="N69" s="126" t="s">
        <v>355</v>
      </c>
      <c r="O69" s="126" t="s">
        <v>356</v>
      </c>
      <c r="P69" s="126" t="s">
        <v>76</v>
      </c>
      <c r="Q69" s="181">
        <f>3107*2.4</f>
        <v>7456.7999999999993</v>
      </c>
      <c r="R69" s="181">
        <v>7500</v>
      </c>
      <c r="S69" s="181"/>
      <c r="AK69" s="181">
        <f t="shared" si="20"/>
        <v>7500</v>
      </c>
      <c r="AV69" s="165">
        <f t="shared" si="22"/>
        <v>44961.770833333336</v>
      </c>
      <c r="AW69" s="165">
        <f t="shared" si="23"/>
        <v>44979.065972222219</v>
      </c>
      <c r="AX69" s="137">
        <f t="shared" si="24"/>
        <v>17.29513888888323</v>
      </c>
      <c r="AY69" s="165">
        <v>44961.770833333336</v>
      </c>
      <c r="AZ69" s="165">
        <v>44967.871527777781</v>
      </c>
      <c r="BA69" s="165">
        <v>44968.277777777781</v>
      </c>
      <c r="BB69" s="165">
        <v>44971.819444444445</v>
      </c>
      <c r="BC69" s="165">
        <v>44972.201388888891</v>
      </c>
      <c r="BD69" s="165">
        <v>44972.215277777781</v>
      </c>
      <c r="BE69" s="165">
        <v>44972.222222222219</v>
      </c>
      <c r="BF69" s="165">
        <f t="shared" si="21"/>
        <v>44972.638888888883</v>
      </c>
      <c r="BG69" s="165">
        <v>44973.541666608799</v>
      </c>
      <c r="BH69" s="165">
        <v>44973.708333275463</v>
      </c>
      <c r="BI69" s="165">
        <v>44973.618055555555</v>
      </c>
      <c r="BJ69" s="165">
        <v>44976.152777777781</v>
      </c>
      <c r="BK69" s="165">
        <v>44978.083333333336</v>
      </c>
      <c r="BL69" s="165">
        <v>44978.78125</v>
      </c>
      <c r="BM69" s="165">
        <v>44978.798611111109</v>
      </c>
      <c r="BN69" s="165">
        <v>44978.798611111109</v>
      </c>
      <c r="BO69" s="165">
        <v>44979.065972222219</v>
      </c>
      <c r="BR69" s="136">
        <f t="shared" si="25"/>
        <v>9.75</v>
      </c>
      <c r="BS69" s="136">
        <f t="shared" si="26"/>
        <v>9.1666666666860692</v>
      </c>
      <c r="BT69" s="136">
        <f t="shared" si="27"/>
        <v>9.9999999999417923</v>
      </c>
      <c r="BU69" s="136">
        <f>(BJ69-BF69)*24</f>
        <v>84.333333333546761</v>
      </c>
      <c r="BV69" s="135">
        <f t="shared" si="28"/>
        <v>16.749999999941792</v>
      </c>
      <c r="BW69" s="135">
        <f t="shared" si="29"/>
        <v>6.4166666666278616</v>
      </c>
      <c r="BX69" s="134">
        <f t="shared" si="30"/>
        <v>5.6840277777810115</v>
      </c>
      <c r="BY69" s="134">
        <f t="shared" si="31"/>
        <v>17.29513888888323</v>
      </c>
      <c r="BZ69" s="133">
        <f t="shared" si="32"/>
        <v>0.32864886568991508</v>
      </c>
    </row>
    <row r="70" spans="1:78" s="126" customFormat="1">
      <c r="A70" s="192">
        <f t="shared" si="12"/>
        <v>44974.354166666664</v>
      </c>
      <c r="B70" s="126" t="s">
        <v>188</v>
      </c>
      <c r="C70" s="126" t="s">
        <v>76</v>
      </c>
      <c r="D70" s="126" t="s">
        <v>197</v>
      </c>
      <c r="E70" s="126" t="s">
        <v>724</v>
      </c>
      <c r="G70" s="165">
        <v>44977.541666666664</v>
      </c>
      <c r="H70" s="165">
        <v>44977.520833333336</v>
      </c>
      <c r="I70" s="126" t="s">
        <v>464</v>
      </c>
      <c r="J70" s="126" t="s">
        <v>192</v>
      </c>
      <c r="K70" s="126" t="s">
        <v>192</v>
      </c>
      <c r="L70" s="126" t="s">
        <v>778</v>
      </c>
      <c r="M70" s="167"/>
      <c r="N70" s="126" t="s">
        <v>304</v>
      </c>
      <c r="O70" s="126" t="s">
        <v>305</v>
      </c>
      <c r="P70" s="126" t="s">
        <v>76</v>
      </c>
      <c r="Q70" s="181">
        <f>3107*2.4</f>
        <v>7456.7999999999993</v>
      </c>
      <c r="R70" s="181">
        <v>7500</v>
      </c>
      <c r="S70" s="181"/>
      <c r="AK70" s="181">
        <f t="shared" si="20"/>
        <v>7500</v>
      </c>
      <c r="AV70" s="165">
        <f t="shared" si="22"/>
        <v>44969.5</v>
      </c>
      <c r="AW70" s="165">
        <f t="shared" si="23"/>
        <v>44978.569444444445</v>
      </c>
      <c r="AX70" s="137">
        <f t="shared" si="24"/>
        <v>9.0694444444452529</v>
      </c>
      <c r="AY70" s="165">
        <v>44969.5</v>
      </c>
      <c r="AZ70" s="165">
        <v>44973.840277777781</v>
      </c>
      <c r="BA70" s="165">
        <v>44974.25</v>
      </c>
      <c r="BB70" s="165">
        <v>44974.354166666664</v>
      </c>
      <c r="BC70" s="165">
        <v>44974.864583333336</v>
      </c>
      <c r="BD70" s="165">
        <v>44974.881944444445</v>
      </c>
      <c r="BE70" s="165">
        <v>44974.909722222219</v>
      </c>
      <c r="BF70" s="165">
        <f t="shared" si="21"/>
        <v>44975.326388888883</v>
      </c>
      <c r="BG70" s="165">
        <v>44975.541666608799</v>
      </c>
      <c r="BH70" s="165">
        <v>44975.708333275463</v>
      </c>
      <c r="BI70" s="165">
        <v>44975.680555555555</v>
      </c>
      <c r="BJ70" s="165">
        <v>44977.083333333336</v>
      </c>
      <c r="BK70" s="165">
        <v>44978.3125</v>
      </c>
      <c r="BL70" s="165">
        <v>44978.555555555555</v>
      </c>
      <c r="BM70" s="165">
        <v>44978.569444444445</v>
      </c>
      <c r="BN70" s="165">
        <v>44978.569444444445</v>
      </c>
      <c r="BO70" s="165">
        <v>44978.569444444445</v>
      </c>
      <c r="BP70" s="126" t="s">
        <v>779</v>
      </c>
      <c r="BR70" s="136">
        <f t="shared" si="25"/>
        <v>9.8333333332557231</v>
      </c>
      <c r="BS70" s="136">
        <f t="shared" si="26"/>
        <v>12.250000000116415</v>
      </c>
      <c r="BT70" s="136">
        <f t="shared" si="27"/>
        <v>9.9999999999417923</v>
      </c>
      <c r="BU70" s="136">
        <f t="shared" ref="BU70:BU77" si="33">(BJ70-BH70)*24</f>
        <v>33.000001388951205</v>
      </c>
      <c r="BV70" s="135">
        <f t="shared" si="28"/>
        <v>5.8333333333139308</v>
      </c>
      <c r="BW70" s="135">
        <f t="shared" si="29"/>
        <v>0</v>
      </c>
      <c r="BX70" s="134">
        <f t="shared" si="30"/>
        <v>2.9548611689824611</v>
      </c>
      <c r="BY70" s="134">
        <f t="shared" si="31"/>
        <v>9.0694444444452529</v>
      </c>
      <c r="BZ70" s="133">
        <f t="shared" si="32"/>
        <v>0.32580398800416271</v>
      </c>
    </row>
    <row r="71" spans="1:78" s="126" customFormat="1">
      <c r="A71" s="192">
        <f t="shared" si="12"/>
        <v>44974.9375</v>
      </c>
      <c r="B71" s="126" t="s">
        <v>188</v>
      </c>
      <c r="C71" s="126" t="s">
        <v>76</v>
      </c>
      <c r="D71" s="126" t="s">
        <v>197</v>
      </c>
      <c r="E71" s="126" t="s">
        <v>761</v>
      </c>
      <c r="G71" s="165">
        <v>44982.520833333336</v>
      </c>
      <c r="H71" s="165">
        <v>44982.520833333336</v>
      </c>
      <c r="I71" s="126" t="s">
        <v>464</v>
      </c>
      <c r="J71" s="126" t="s">
        <v>192</v>
      </c>
      <c r="K71" s="126" t="s">
        <v>192</v>
      </c>
      <c r="L71" s="126" t="s">
        <v>780</v>
      </c>
      <c r="M71" s="167"/>
      <c r="N71" s="126" t="s">
        <v>505</v>
      </c>
      <c r="O71" s="126" t="s">
        <v>506</v>
      </c>
      <c r="P71" s="126" t="s">
        <v>76</v>
      </c>
      <c r="Q71" s="181">
        <f>3071*2.4</f>
        <v>7370.4</v>
      </c>
      <c r="R71" s="181">
        <v>7500</v>
      </c>
      <c r="S71" s="181"/>
      <c r="AK71" s="181">
        <f t="shared" si="20"/>
        <v>7500</v>
      </c>
      <c r="AV71" s="165">
        <f t="shared" si="22"/>
        <v>44969.381944444445</v>
      </c>
      <c r="AW71" s="165">
        <f t="shared" si="23"/>
        <v>44981.375</v>
      </c>
      <c r="AX71" s="137">
        <f t="shared" si="24"/>
        <v>11.993055555554747</v>
      </c>
      <c r="AY71" s="165">
        <v>44969.381944444445</v>
      </c>
      <c r="AZ71" s="165">
        <v>44973.861111111109</v>
      </c>
      <c r="BA71" s="165">
        <v>44974.270833333336</v>
      </c>
      <c r="BB71" s="165">
        <v>44974.9375</v>
      </c>
      <c r="BC71" s="165">
        <v>44975.440972222219</v>
      </c>
      <c r="BD71" s="165">
        <v>44975.46875</v>
      </c>
      <c r="BE71" s="165">
        <v>44975.475694444445</v>
      </c>
      <c r="BF71" s="165">
        <f t="shared" si="21"/>
        <v>44975.892361111109</v>
      </c>
      <c r="BG71" s="165">
        <v>44977.25</v>
      </c>
      <c r="BH71" s="165">
        <v>44977.416666666664</v>
      </c>
      <c r="BI71" s="165">
        <v>44977.409722222219</v>
      </c>
      <c r="BJ71" s="165">
        <v>44979.229166666664</v>
      </c>
      <c r="BK71" s="165">
        <v>44980.545138888891</v>
      </c>
      <c r="BL71" s="165">
        <v>44980.777777777781</v>
      </c>
      <c r="BM71" s="165">
        <v>44980.791666666664</v>
      </c>
      <c r="BN71" s="165">
        <v>44980.826388888891</v>
      </c>
      <c r="BO71" s="165">
        <v>44981.375</v>
      </c>
      <c r="BR71" s="136">
        <f t="shared" si="25"/>
        <v>9.8333333334303461</v>
      </c>
      <c r="BS71" s="136">
        <f t="shared" si="26"/>
        <v>12.083333333255723</v>
      </c>
      <c r="BT71" s="136">
        <f t="shared" si="27"/>
        <v>9.9999999999417923</v>
      </c>
      <c r="BU71" s="136">
        <f t="shared" si="33"/>
        <v>43.5</v>
      </c>
      <c r="BV71" s="135">
        <f t="shared" si="28"/>
        <v>5.5833333333721384</v>
      </c>
      <c r="BW71" s="135">
        <f t="shared" si="29"/>
        <v>13.166666666627862</v>
      </c>
      <c r="BX71" s="134">
        <f t="shared" si="30"/>
        <v>3.9236111111094942</v>
      </c>
      <c r="BY71" s="134">
        <f t="shared" si="31"/>
        <v>11.993055555554747</v>
      </c>
      <c r="BZ71" s="133">
        <f t="shared" si="32"/>
        <v>0.32715691951349463</v>
      </c>
    </row>
    <row r="72" spans="1:78" s="126" customFormat="1">
      <c r="A72" s="192">
        <f t="shared" si="12"/>
        <v>44982.479166666664</v>
      </c>
      <c r="B72" s="126" t="s">
        <v>188</v>
      </c>
      <c r="C72" s="126" t="s">
        <v>76</v>
      </c>
      <c r="D72" s="126" t="s">
        <v>197</v>
      </c>
      <c r="E72" s="65" t="s">
        <v>699</v>
      </c>
      <c r="G72" s="73">
        <v>44982.416666666664</v>
      </c>
      <c r="H72" s="73">
        <v>44982.378472222219</v>
      </c>
      <c r="I72" s="126" t="s">
        <v>460</v>
      </c>
      <c r="J72" s="126" t="s">
        <v>192</v>
      </c>
      <c r="K72" s="126" t="s">
        <v>192</v>
      </c>
      <c r="L72" s="126" t="s">
        <v>781</v>
      </c>
      <c r="M72" s="167"/>
      <c r="N72" s="126" t="s">
        <v>267</v>
      </c>
      <c r="O72" s="126" t="s">
        <v>268</v>
      </c>
      <c r="P72" s="126" t="s">
        <v>76</v>
      </c>
      <c r="Q72" s="181">
        <f>3142*2.4</f>
        <v>7540.7999999999993</v>
      </c>
      <c r="R72" s="181">
        <v>7500</v>
      </c>
      <c r="S72" s="181"/>
      <c r="AK72" s="181">
        <f t="shared" si="20"/>
        <v>7500</v>
      </c>
      <c r="AV72" s="165">
        <f t="shared" si="22"/>
        <v>44978.947916666664</v>
      </c>
      <c r="AW72" s="165">
        <f t="shared" si="23"/>
        <v>44990.78125</v>
      </c>
      <c r="AX72" s="137">
        <f t="shared" si="24"/>
        <v>11.833333333335759</v>
      </c>
      <c r="AY72" s="165">
        <v>44978.947916666664</v>
      </c>
      <c r="AZ72" s="165">
        <v>44979.833333333336</v>
      </c>
      <c r="BA72" s="165">
        <v>44980.208333333336</v>
      </c>
      <c r="BB72" s="165">
        <v>44982.479166666664</v>
      </c>
      <c r="BC72" s="165">
        <v>44982.982638888891</v>
      </c>
      <c r="BD72" s="165">
        <v>44983.010416666664</v>
      </c>
      <c r="BE72" s="165">
        <v>44983.013888888891</v>
      </c>
      <c r="BF72" s="165">
        <f t="shared" si="21"/>
        <v>44983.430555555555</v>
      </c>
      <c r="BG72" s="165">
        <v>44985.291666608799</v>
      </c>
      <c r="BH72" s="165">
        <v>44985.458333275463</v>
      </c>
      <c r="BI72" s="165">
        <v>44985.458333275463</v>
      </c>
      <c r="BJ72" s="165">
        <v>44986.767361111109</v>
      </c>
      <c r="BK72" s="165">
        <v>44989.8125</v>
      </c>
      <c r="BL72" s="165">
        <v>44990.513888888891</v>
      </c>
      <c r="BM72" s="165">
        <v>44990.527777777781</v>
      </c>
      <c r="BN72" s="165">
        <v>44990.527777777781</v>
      </c>
      <c r="BO72" s="165">
        <v>44990.78125</v>
      </c>
      <c r="BR72" s="136">
        <f t="shared" si="25"/>
        <v>9</v>
      </c>
      <c r="BS72" s="136">
        <f t="shared" si="26"/>
        <v>12.083333333430346</v>
      </c>
      <c r="BT72" s="136">
        <f t="shared" si="27"/>
        <v>9.9999999999417923</v>
      </c>
      <c r="BU72" s="136">
        <f t="shared" si="33"/>
        <v>31.416668055520859</v>
      </c>
      <c r="BV72" s="135">
        <f t="shared" si="28"/>
        <v>16.833333333372138</v>
      </c>
      <c r="BW72" s="135">
        <f t="shared" si="29"/>
        <v>6.0833333332557231</v>
      </c>
      <c r="BX72" s="134">
        <f t="shared" si="30"/>
        <v>3.5590278356467024</v>
      </c>
      <c r="BY72" s="134">
        <f t="shared" si="31"/>
        <v>11.833333333335759</v>
      </c>
      <c r="BZ72" s="133">
        <f t="shared" si="32"/>
        <v>0.30076291568839209</v>
      </c>
    </row>
    <row r="73" spans="1:78" s="126" customFormat="1">
      <c r="A73" s="192">
        <f t="shared" si="12"/>
        <v>44961.833333333336</v>
      </c>
      <c r="B73" s="126" t="s">
        <v>188</v>
      </c>
      <c r="C73" s="126" t="s">
        <v>182</v>
      </c>
      <c r="D73" s="126" t="s">
        <v>197</v>
      </c>
      <c r="E73" s="126" t="s">
        <v>766</v>
      </c>
      <c r="G73" s="165">
        <v>44989.612500000003</v>
      </c>
      <c r="H73" s="165">
        <v>44989.612500000003</v>
      </c>
      <c r="I73" s="126" t="s">
        <v>782</v>
      </c>
      <c r="J73" s="126" t="s">
        <v>192</v>
      </c>
      <c r="K73" s="126" t="s">
        <v>192</v>
      </c>
      <c r="L73" s="126" t="s">
        <v>783</v>
      </c>
      <c r="M73" s="167"/>
      <c r="N73" s="126" t="s">
        <v>371</v>
      </c>
      <c r="O73" s="126" t="s">
        <v>372</v>
      </c>
      <c r="P73" s="126" t="s">
        <v>182</v>
      </c>
      <c r="Q73" s="181">
        <f>3117*2.4</f>
        <v>7480.7999999999993</v>
      </c>
      <c r="R73" s="181">
        <v>7501.5609999999997</v>
      </c>
      <c r="S73" s="181"/>
      <c r="AR73" s="181">
        <f>R73</f>
        <v>7501.5609999999997</v>
      </c>
      <c r="AV73" s="165">
        <f t="shared" si="22"/>
        <v>44955.249305555553</v>
      </c>
      <c r="AW73" s="165">
        <f t="shared" si="23"/>
        <v>44968.470138888886</v>
      </c>
      <c r="AX73" s="137">
        <f t="shared" si="24"/>
        <v>13.220833333332848</v>
      </c>
      <c r="AY73" s="165">
        <v>44955.249305555553</v>
      </c>
      <c r="AZ73" s="165">
        <v>44956.805555555555</v>
      </c>
      <c r="BA73" s="165">
        <v>44958.868055555555</v>
      </c>
      <c r="BB73" s="165">
        <v>44961.833333333336</v>
      </c>
      <c r="BC73" s="165">
        <v>44962.732638888891</v>
      </c>
      <c r="BD73" s="165">
        <v>44962.847222222219</v>
      </c>
      <c r="BE73" s="165">
        <v>44962.875</v>
      </c>
      <c r="BF73" s="165">
        <f>BE73+(51/24)</f>
        <v>44965</v>
      </c>
      <c r="BG73" s="165">
        <v>44965.25</v>
      </c>
      <c r="BH73" s="165">
        <v>44965.416666666664</v>
      </c>
      <c r="BI73" s="165">
        <v>44965.318749999999</v>
      </c>
      <c r="BJ73" s="165">
        <v>44967.083333333336</v>
      </c>
      <c r="BK73" s="165">
        <v>44967.666666666664</v>
      </c>
      <c r="BL73" s="165">
        <v>44968.034722222219</v>
      </c>
      <c r="BM73" s="165">
        <v>44968.059027777781</v>
      </c>
      <c r="BN73" s="165">
        <v>44968.0625</v>
      </c>
      <c r="BO73" s="165">
        <v>44968.470138888886</v>
      </c>
      <c r="BR73" s="136">
        <f t="shared" si="25"/>
        <v>49.5</v>
      </c>
      <c r="BS73" s="136">
        <f t="shared" si="26"/>
        <v>21.583333333313931</v>
      </c>
      <c r="BT73" s="136">
        <f t="shared" si="27"/>
        <v>51</v>
      </c>
      <c r="BU73" s="136">
        <f t="shared" si="33"/>
        <v>40.000000000116415</v>
      </c>
      <c r="BV73" s="135">
        <f t="shared" si="28"/>
        <v>8.8333333333139308</v>
      </c>
      <c r="BW73" s="135">
        <f t="shared" si="29"/>
        <v>9.7833333332673647</v>
      </c>
      <c r="BX73" s="134">
        <f t="shared" si="30"/>
        <v>7.5291666666671517</v>
      </c>
      <c r="BY73" s="134">
        <f t="shared" si="31"/>
        <v>13.220833333332848</v>
      </c>
      <c r="BZ73" s="133">
        <f t="shared" si="32"/>
        <v>0.56949259375990635</v>
      </c>
    </row>
    <row r="74" spans="1:78" s="126" customFormat="1">
      <c r="A74" s="192">
        <f t="shared" si="12"/>
        <v>44959.545138888891</v>
      </c>
      <c r="B74" s="126" t="s">
        <v>188</v>
      </c>
      <c r="C74" s="126" t="s">
        <v>182</v>
      </c>
      <c r="D74" s="126" t="s">
        <v>197</v>
      </c>
      <c r="E74" s="126" t="s">
        <v>766</v>
      </c>
      <c r="G74" s="165">
        <v>44989.612500000003</v>
      </c>
      <c r="H74" s="165">
        <v>44989.612500000003</v>
      </c>
      <c r="I74" s="126" t="s">
        <v>782</v>
      </c>
      <c r="J74" s="126" t="s">
        <v>192</v>
      </c>
      <c r="K74" s="126" t="s">
        <v>192</v>
      </c>
      <c r="L74" s="126" t="s">
        <v>784</v>
      </c>
      <c r="M74" s="167"/>
      <c r="N74" s="126" t="s">
        <v>505</v>
      </c>
      <c r="O74" s="126" t="s">
        <v>506</v>
      </c>
      <c r="P74" s="126" t="s">
        <v>182</v>
      </c>
      <c r="Q74" s="181">
        <f>3071*2.4</f>
        <v>7370.4</v>
      </c>
      <c r="R74" s="181">
        <v>7555.1270000000004</v>
      </c>
      <c r="S74" s="181"/>
      <c r="AR74" s="181">
        <f>R74</f>
        <v>7555.1270000000004</v>
      </c>
      <c r="AV74" s="165">
        <f t="shared" si="22"/>
        <v>44954.118055555555</v>
      </c>
      <c r="AW74" s="165">
        <f t="shared" si="23"/>
        <v>44969.381944444445</v>
      </c>
      <c r="AX74" s="137">
        <f t="shared" si="24"/>
        <v>15.263888888890506</v>
      </c>
      <c r="AY74" s="165">
        <v>44954.118055555555</v>
      </c>
      <c r="AZ74" s="165">
        <v>44956.840277777781</v>
      </c>
      <c r="BA74" s="165">
        <v>44958.770833333336</v>
      </c>
      <c r="BB74" s="165">
        <v>44959.545138888891</v>
      </c>
      <c r="BC74" s="165">
        <v>44960.5</v>
      </c>
      <c r="BD74" s="165">
        <v>44960.631944444445</v>
      </c>
      <c r="BE74" s="165">
        <v>44960.631944444445</v>
      </c>
      <c r="BF74" s="165">
        <f>BE74+(51/24)</f>
        <v>44962.756944444445</v>
      </c>
      <c r="BG74" s="165">
        <v>44965.25</v>
      </c>
      <c r="BH74" s="165">
        <v>44965.416666666664</v>
      </c>
      <c r="BI74" s="165">
        <v>44965.399305555555</v>
      </c>
      <c r="BJ74" s="165">
        <v>44968.03125</v>
      </c>
      <c r="BK74" s="165">
        <v>44968.138888888891</v>
      </c>
      <c r="BL74" s="165">
        <v>44968.506944444445</v>
      </c>
      <c r="BM74" s="165">
        <v>44968.524305555555</v>
      </c>
      <c r="BN74" s="165">
        <v>44968.8125</v>
      </c>
      <c r="BO74" s="165">
        <v>44969.381944444445</v>
      </c>
      <c r="BR74" s="136">
        <f t="shared" si="25"/>
        <v>46.333333333313931</v>
      </c>
      <c r="BS74" s="136">
        <f t="shared" si="26"/>
        <v>22.916666666627862</v>
      </c>
      <c r="BT74" s="136">
        <f t="shared" si="27"/>
        <v>51</v>
      </c>
      <c r="BU74" s="136">
        <f t="shared" si="33"/>
        <v>62.750000000058208</v>
      </c>
      <c r="BV74" s="135">
        <f t="shared" si="28"/>
        <v>8.8333333333139308</v>
      </c>
      <c r="BW74" s="135">
        <f t="shared" si="29"/>
        <v>13.666666666686069</v>
      </c>
      <c r="BX74" s="134">
        <f t="shared" si="30"/>
        <v>8.5625</v>
      </c>
      <c r="BY74" s="134">
        <f t="shared" si="31"/>
        <v>15.263888888890506</v>
      </c>
      <c r="BZ74" s="133">
        <f t="shared" si="32"/>
        <v>0.56096451319375318</v>
      </c>
    </row>
    <row r="75" spans="1:78" s="126" customFormat="1">
      <c r="A75" s="192">
        <f t="shared" si="12"/>
        <v>44958.600694444445</v>
      </c>
      <c r="B75" s="126" t="s">
        <v>228</v>
      </c>
      <c r="C75" s="126" t="s">
        <v>229</v>
      </c>
      <c r="D75" s="126" t="s">
        <v>215</v>
      </c>
      <c r="E75" s="126" t="s">
        <v>416</v>
      </c>
      <c r="G75" s="73">
        <v>44955.895833333336</v>
      </c>
      <c r="H75" s="73">
        <v>44955.895833333336</v>
      </c>
      <c r="I75" s="126" t="s">
        <v>471</v>
      </c>
      <c r="J75" s="126" t="s">
        <v>192</v>
      </c>
      <c r="K75" s="126" t="s">
        <v>192</v>
      </c>
      <c r="L75" s="126" t="s">
        <v>785</v>
      </c>
      <c r="M75" s="167"/>
      <c r="N75" s="126" t="s">
        <v>374</v>
      </c>
      <c r="O75" s="126" t="s">
        <v>375</v>
      </c>
      <c r="P75" s="126" t="s">
        <v>172</v>
      </c>
      <c r="Q75" s="181">
        <v>7508.4480000000003</v>
      </c>
      <c r="R75" s="181">
        <v>7501.9870000000001</v>
      </c>
      <c r="S75" s="181"/>
      <c r="Y75" s="181">
        <f>R75</f>
        <v>7501.9870000000001</v>
      </c>
      <c r="AV75" s="165">
        <f t="shared" si="22"/>
        <v>44954.538194444445</v>
      </c>
      <c r="AW75" s="165">
        <f t="shared" si="23"/>
        <v>44963.881944444445</v>
      </c>
      <c r="AX75" s="137">
        <f t="shared" si="24"/>
        <v>9.34375</v>
      </c>
      <c r="AY75" s="165">
        <v>44954.538194444445</v>
      </c>
      <c r="AZ75" s="165">
        <v>44955.618055555555</v>
      </c>
      <c r="BA75" s="165">
        <v>44957.569444444445</v>
      </c>
      <c r="BB75" s="165">
        <v>44958.600694444445</v>
      </c>
      <c r="BC75" s="165">
        <v>44958.774305555555</v>
      </c>
      <c r="BD75" s="165">
        <v>44958.78125</v>
      </c>
      <c r="BE75" s="165">
        <v>44959.267361111109</v>
      </c>
      <c r="BF75" s="165">
        <f>BE75+(41/24)</f>
        <v>44960.975694444445</v>
      </c>
      <c r="BG75" s="165">
        <v>44960.541666666664</v>
      </c>
      <c r="BH75" s="165">
        <v>44960.708333333328</v>
      </c>
      <c r="BI75" s="165">
        <v>44960.722222222219</v>
      </c>
      <c r="BJ75" s="165">
        <v>44961.920138888891</v>
      </c>
      <c r="BK75" s="165">
        <v>44962.770833333336</v>
      </c>
      <c r="BL75" s="165">
        <v>44963.361111111109</v>
      </c>
      <c r="BM75" s="165">
        <v>44963.388888888891</v>
      </c>
      <c r="BN75" s="165">
        <v>44963.614583333336</v>
      </c>
      <c r="BO75" s="165">
        <v>44963.881944444445</v>
      </c>
      <c r="BR75" s="136">
        <f t="shared" si="25"/>
        <v>46.833333333372138</v>
      </c>
      <c r="BS75" s="136">
        <f t="shared" si="26"/>
        <v>4.1666666666278616</v>
      </c>
      <c r="BT75" s="136">
        <f t="shared" si="27"/>
        <v>41.000000000058208</v>
      </c>
      <c r="BU75" s="136">
        <f t="shared" si="33"/>
        <v>29.083333333488554</v>
      </c>
      <c r="BV75" s="135">
        <f t="shared" si="28"/>
        <v>14.166666666569654</v>
      </c>
      <c r="BW75" s="135">
        <f t="shared" si="29"/>
        <v>6.4166666666278616</v>
      </c>
      <c r="BX75" s="134">
        <f t="shared" si="30"/>
        <v>5.9027777777810115</v>
      </c>
      <c r="BY75" s="134">
        <f t="shared" si="31"/>
        <v>9.34375</v>
      </c>
      <c r="BZ75" s="133">
        <f t="shared" si="32"/>
        <v>0.63173541434445613</v>
      </c>
    </row>
    <row r="76" spans="1:78" s="126" customFormat="1">
      <c r="A76" s="192">
        <f t="shared" si="12"/>
        <v>44958.866666666669</v>
      </c>
      <c r="B76" s="126" t="s">
        <v>228</v>
      </c>
      <c r="C76" s="126" t="s">
        <v>229</v>
      </c>
      <c r="D76" s="126" t="s">
        <v>197</v>
      </c>
      <c r="E76" s="126" t="s">
        <v>416</v>
      </c>
      <c r="G76" s="73">
        <v>44955.895833333336</v>
      </c>
      <c r="H76" s="73">
        <v>44955.895833333336</v>
      </c>
      <c r="I76" s="126" t="s">
        <v>471</v>
      </c>
      <c r="J76" s="126" t="s">
        <v>192</v>
      </c>
      <c r="K76" s="126" t="s">
        <v>192</v>
      </c>
      <c r="L76" s="126" t="s">
        <v>786</v>
      </c>
      <c r="M76" s="167"/>
      <c r="N76" s="126" t="s">
        <v>492</v>
      </c>
      <c r="O76" s="126" t="s">
        <v>493</v>
      </c>
      <c r="P76" s="126" t="s">
        <v>172</v>
      </c>
      <c r="Q76" s="181">
        <f>3152*2.4</f>
        <v>7564.7999999999993</v>
      </c>
      <c r="R76" s="181">
        <v>7586.6040000000003</v>
      </c>
      <c r="S76" s="181"/>
      <c r="Y76" s="181">
        <f>R76</f>
        <v>7586.6040000000003</v>
      </c>
      <c r="AV76" s="165">
        <f t="shared" si="22"/>
        <v>44954.479166666664</v>
      </c>
      <c r="AW76" s="165">
        <f t="shared" si="23"/>
        <v>44964.458333333336</v>
      </c>
      <c r="AX76" s="137">
        <f t="shared" si="24"/>
        <v>9.9791666666715173</v>
      </c>
      <c r="AY76" s="165">
        <v>44954.479166666664</v>
      </c>
      <c r="AZ76" s="165">
        <v>44955.809027777781</v>
      </c>
      <c r="BA76" s="165">
        <v>44957.652777777781</v>
      </c>
      <c r="BB76" s="165">
        <v>44958.866666666669</v>
      </c>
      <c r="BC76" s="165">
        <v>44959.111111111109</v>
      </c>
      <c r="BD76" s="165">
        <v>44959.118055555555</v>
      </c>
      <c r="BE76" s="165">
        <v>44959.291666666664</v>
      </c>
      <c r="BF76" s="165">
        <f>BE76+(41/24)</f>
        <v>44961</v>
      </c>
      <c r="BG76" s="165">
        <v>44961.583333333336</v>
      </c>
      <c r="BH76" s="165">
        <v>44961.75</v>
      </c>
      <c r="BI76" s="165">
        <v>44961.620138888888</v>
      </c>
      <c r="BJ76" s="165">
        <v>44962.75</v>
      </c>
      <c r="BK76" s="165">
        <v>44963.618055555555</v>
      </c>
      <c r="BL76" s="165">
        <v>44964.152777777781</v>
      </c>
      <c r="BM76" s="165">
        <v>44964.166666666664</v>
      </c>
      <c r="BN76" s="165">
        <v>44964.166666666664</v>
      </c>
      <c r="BO76" s="165">
        <v>44964.458333333336</v>
      </c>
      <c r="BR76" s="136">
        <f t="shared" si="25"/>
        <v>44.25</v>
      </c>
      <c r="BS76" s="136">
        <f t="shared" si="26"/>
        <v>5.8666666665812954</v>
      </c>
      <c r="BT76" s="136">
        <f t="shared" si="27"/>
        <v>41.000000000058208</v>
      </c>
      <c r="BU76" s="136">
        <f t="shared" si="33"/>
        <v>24</v>
      </c>
      <c r="BV76" s="135">
        <f t="shared" si="28"/>
        <v>12.833333333430346</v>
      </c>
      <c r="BW76" s="135">
        <f t="shared" si="29"/>
        <v>7.0000000001164153</v>
      </c>
      <c r="BX76" s="134">
        <f t="shared" si="30"/>
        <v>5.6229166666744277</v>
      </c>
      <c r="BY76" s="134">
        <f t="shared" si="31"/>
        <v>9.9791666666715173</v>
      </c>
      <c r="BZ76" s="133">
        <f t="shared" si="32"/>
        <v>0.56346555323641201</v>
      </c>
    </row>
    <row r="77" spans="1:78" s="126" customFormat="1">
      <c r="A77" s="192">
        <f t="shared" ref="A77:A88" si="34">BB77</f>
        <v>44969.385416666664</v>
      </c>
      <c r="B77" s="126" t="s">
        <v>228</v>
      </c>
      <c r="C77" s="126" t="s">
        <v>229</v>
      </c>
      <c r="D77" s="126" t="s">
        <v>197</v>
      </c>
      <c r="E77" s="126" t="s">
        <v>446</v>
      </c>
      <c r="G77" s="165">
        <v>44973.962500000001</v>
      </c>
      <c r="H77" s="165">
        <v>44973.962500000001</v>
      </c>
      <c r="I77" s="126" t="s">
        <v>469</v>
      </c>
      <c r="J77" s="126" t="s">
        <v>192</v>
      </c>
      <c r="K77" s="126" t="s">
        <v>192</v>
      </c>
      <c r="L77" s="126" t="s">
        <v>787</v>
      </c>
      <c r="M77" s="167"/>
      <c r="N77" s="126" t="s">
        <v>70</v>
      </c>
      <c r="O77" s="126" t="s">
        <v>255</v>
      </c>
      <c r="P77" s="126" t="s">
        <v>172</v>
      </c>
      <c r="Q77" s="181">
        <f>3047*2.4</f>
        <v>7312.8</v>
      </c>
      <c r="R77" s="181">
        <v>7502.5519999999997</v>
      </c>
      <c r="S77" s="181"/>
      <c r="Y77" s="181">
        <f>R77</f>
        <v>7502.5519999999997</v>
      </c>
      <c r="AV77" s="165">
        <f t="shared" si="22"/>
        <v>44958.788194444445</v>
      </c>
      <c r="AW77" s="165">
        <f t="shared" si="23"/>
        <v>44974.329861111109</v>
      </c>
      <c r="AX77" s="137">
        <f t="shared" si="24"/>
        <v>15.541666666664241</v>
      </c>
      <c r="AY77" s="165">
        <v>44958.788194444445</v>
      </c>
      <c r="AZ77" s="165">
        <v>44959.847222222219</v>
      </c>
      <c r="BA77" s="165">
        <v>44961.5</v>
      </c>
      <c r="BB77" s="165">
        <v>44969.385416666664</v>
      </c>
      <c r="BC77" s="165">
        <v>44969.588194444441</v>
      </c>
      <c r="BD77" s="165">
        <v>44969.59375</v>
      </c>
      <c r="BE77" s="165">
        <v>44969.59375</v>
      </c>
      <c r="BF77" s="165">
        <f>BE77+(41/24)</f>
        <v>44971.302083333336</v>
      </c>
      <c r="BG77" s="165">
        <v>44971.291666608799</v>
      </c>
      <c r="BH77" s="165">
        <v>44971.458333275463</v>
      </c>
      <c r="BI77" s="165">
        <v>44971.309027777781</v>
      </c>
      <c r="BJ77" s="165">
        <v>44973.576388888891</v>
      </c>
      <c r="BK77" s="165">
        <v>44974.090277777781</v>
      </c>
      <c r="BL77" s="165">
        <v>44974.3125</v>
      </c>
      <c r="BM77" s="165">
        <v>44974.329861111109</v>
      </c>
      <c r="BN77" s="165">
        <v>44974.329861111109</v>
      </c>
      <c r="BO77" s="165">
        <v>44974.329861111109</v>
      </c>
      <c r="BP77" s="126" t="s">
        <v>788</v>
      </c>
      <c r="BR77" s="136">
        <f t="shared" si="25"/>
        <v>39.666666666744277</v>
      </c>
      <c r="BS77" s="136">
        <f t="shared" si="26"/>
        <v>4.8666666666395031</v>
      </c>
      <c r="BT77" s="136">
        <f t="shared" si="27"/>
        <v>41.000000000058208</v>
      </c>
      <c r="BU77" s="136">
        <f t="shared" si="33"/>
        <v>50.833334722265135</v>
      </c>
      <c r="BV77" s="135">
        <f t="shared" si="28"/>
        <v>5.3333333332557231</v>
      </c>
      <c r="BW77" s="135">
        <f t="shared" si="29"/>
        <v>0</v>
      </c>
      <c r="BX77" s="134">
        <f t="shared" si="30"/>
        <v>5.9041667245401186</v>
      </c>
      <c r="BY77" s="134">
        <f t="shared" si="31"/>
        <v>15.541666666664241</v>
      </c>
      <c r="BZ77" s="133">
        <f t="shared" si="32"/>
        <v>0.37989276511792214</v>
      </c>
    </row>
    <row r="78" spans="1:78" s="126" customFormat="1">
      <c r="A78" s="192">
        <f t="shared" si="34"/>
        <v>44974.635416666664</v>
      </c>
      <c r="B78" s="126" t="s">
        <v>228</v>
      </c>
      <c r="C78" s="126" t="s">
        <v>229</v>
      </c>
      <c r="D78" s="126" t="s">
        <v>197</v>
      </c>
      <c r="E78" s="126" t="s">
        <v>761</v>
      </c>
      <c r="G78" s="165">
        <v>44982.520833333336</v>
      </c>
      <c r="H78" s="165">
        <v>44982.520833333336</v>
      </c>
      <c r="I78" s="126" t="s">
        <v>469</v>
      </c>
      <c r="J78" s="126" t="s">
        <v>192</v>
      </c>
      <c r="K78" s="126" t="s">
        <v>192</v>
      </c>
      <c r="L78" s="126" t="s">
        <v>789</v>
      </c>
      <c r="M78" s="167"/>
      <c r="N78" s="126" t="s">
        <v>246</v>
      </c>
      <c r="O78" s="126" t="s">
        <v>247</v>
      </c>
      <c r="P78" s="126" t="s">
        <v>172</v>
      </c>
      <c r="Q78" s="181">
        <f>3136*2.4</f>
        <v>7526.4</v>
      </c>
      <c r="R78" s="181">
        <v>7675.3869999999997</v>
      </c>
      <c r="S78" s="181"/>
      <c r="Y78" s="181">
        <f>R78</f>
        <v>7675.3869999999997</v>
      </c>
      <c r="AV78" s="165">
        <f t="shared" si="22"/>
        <v>44961.604166666664</v>
      </c>
      <c r="AW78" s="165">
        <f t="shared" si="23"/>
        <v>44979.600694444445</v>
      </c>
      <c r="AX78" s="137">
        <f t="shared" si="24"/>
        <v>17.996527777781012</v>
      </c>
      <c r="AY78" s="165">
        <v>44961.604166666664</v>
      </c>
      <c r="AZ78" s="165">
        <v>44968.604166666664</v>
      </c>
      <c r="BA78" s="165">
        <v>44970.708333333336</v>
      </c>
      <c r="BB78" s="165">
        <v>44974.635416666664</v>
      </c>
      <c r="BC78" s="165">
        <v>44974.881944444445</v>
      </c>
      <c r="BD78" s="165">
        <v>44974.892361111109</v>
      </c>
      <c r="BE78" s="165">
        <v>44975.256944444445</v>
      </c>
      <c r="BF78" s="165">
        <f>BE78+(41/24)</f>
        <v>44976.965277777781</v>
      </c>
      <c r="BG78" s="165">
        <v>44977.25</v>
      </c>
      <c r="BH78" s="165">
        <v>44977.416666666664</v>
      </c>
      <c r="BI78" s="165">
        <v>44977.378472222219</v>
      </c>
      <c r="BJ78" s="165">
        <v>44979</v>
      </c>
      <c r="BK78" s="165">
        <v>44979.309027777781</v>
      </c>
      <c r="BL78" s="165">
        <v>44979.586805555555</v>
      </c>
      <c r="BM78" s="165">
        <v>44979.600694444445</v>
      </c>
      <c r="BN78" s="165">
        <v>44979.600694444445</v>
      </c>
      <c r="BO78" s="165">
        <v>44979.600694444445</v>
      </c>
      <c r="BP78" s="126" t="s">
        <v>790</v>
      </c>
      <c r="BR78" s="136">
        <f t="shared" si="25"/>
        <v>50.500000000116415</v>
      </c>
      <c r="BS78" s="136">
        <f t="shared" si="26"/>
        <v>5.9166666667442769</v>
      </c>
      <c r="BT78" s="136">
        <f t="shared" si="27"/>
        <v>41.000000000058208</v>
      </c>
      <c r="BU78" s="136">
        <f t="shared" ref="BU78:BU88" si="35">(BJ78-BF78)*24</f>
        <v>48.833333333255723</v>
      </c>
      <c r="BV78" s="135">
        <f t="shared" si="28"/>
        <v>6.6666666665696539</v>
      </c>
      <c r="BW78" s="135">
        <f t="shared" si="29"/>
        <v>0</v>
      </c>
      <c r="BX78" s="134">
        <f t="shared" si="30"/>
        <v>6.3715277777810115</v>
      </c>
      <c r="BY78" s="134">
        <f t="shared" si="31"/>
        <v>17.996527777781012</v>
      </c>
      <c r="BZ78" s="133">
        <f t="shared" si="32"/>
        <v>0.3540420605827902</v>
      </c>
    </row>
    <row r="79" spans="1:78" s="126" customFormat="1">
      <c r="A79" s="192">
        <f t="shared" si="34"/>
        <v>44968.361111111109</v>
      </c>
      <c r="B79" s="126" t="s">
        <v>188</v>
      </c>
      <c r="C79" s="126" t="s">
        <v>183</v>
      </c>
      <c r="D79" s="126" t="s">
        <v>189</v>
      </c>
      <c r="E79" s="126" t="s">
        <v>198</v>
      </c>
      <c r="G79" s="165">
        <v>44969.1875</v>
      </c>
      <c r="H79" s="165">
        <v>44969.1875</v>
      </c>
      <c r="I79" s="126" t="s">
        <v>791</v>
      </c>
      <c r="J79" s="126" t="s">
        <v>192</v>
      </c>
      <c r="K79" s="126" t="s">
        <v>192</v>
      </c>
      <c r="L79" s="126" t="s">
        <v>792</v>
      </c>
      <c r="M79" s="167"/>
      <c r="N79" s="126" t="s">
        <v>793</v>
      </c>
      <c r="O79" s="126" t="s">
        <v>794</v>
      </c>
      <c r="P79" s="126" t="s">
        <v>183</v>
      </c>
      <c r="Q79" s="181">
        <v>5500</v>
      </c>
      <c r="R79" s="181">
        <v>5404.259</v>
      </c>
      <c r="S79" s="181"/>
      <c r="AS79" s="181">
        <f t="shared" ref="AS79:AS85" si="36">R79</f>
        <v>5404.259</v>
      </c>
      <c r="AV79" s="165">
        <f t="shared" si="22"/>
        <v>44968.333333333336</v>
      </c>
      <c r="AW79" s="165">
        <f t="shared" si="23"/>
        <v>44976.243055555555</v>
      </c>
      <c r="AX79" s="137">
        <f t="shared" si="24"/>
        <v>7.9097222222189885</v>
      </c>
      <c r="AY79" s="165">
        <v>44968.333333333336</v>
      </c>
      <c r="AZ79" s="165">
        <v>44968.333333333336</v>
      </c>
      <c r="BA79" s="165">
        <v>44968.333333333336</v>
      </c>
      <c r="BB79" s="165">
        <v>44968.361111111109</v>
      </c>
      <c r="BC79" s="165">
        <v>44968.9375</v>
      </c>
      <c r="BD79" s="165">
        <v>44968.989583333336</v>
      </c>
      <c r="BE79" s="165">
        <v>44968.989583333336</v>
      </c>
      <c r="BF79" s="165">
        <v>44968.989583333336</v>
      </c>
      <c r="BG79" s="166" t="s">
        <v>196</v>
      </c>
      <c r="BH79" s="166" t="s">
        <v>196</v>
      </c>
      <c r="BI79" s="166" t="s">
        <v>196</v>
      </c>
      <c r="BJ79" s="165">
        <v>44975.635416666664</v>
      </c>
      <c r="BK79" s="165">
        <v>44975.711805555555</v>
      </c>
      <c r="BL79" s="165">
        <v>44976.215277777781</v>
      </c>
      <c r="BM79" s="165">
        <v>44976.243055555555</v>
      </c>
      <c r="BN79" s="165">
        <v>44976.243055555555</v>
      </c>
      <c r="BO79" s="165">
        <v>44976.243055555555</v>
      </c>
      <c r="BR79" s="136">
        <f t="shared" si="25"/>
        <v>0</v>
      </c>
      <c r="BS79" s="136">
        <f t="shared" si="26"/>
        <v>13.833333333372138</v>
      </c>
      <c r="BT79" s="136">
        <f t="shared" si="27"/>
        <v>0</v>
      </c>
      <c r="BU79" s="136">
        <f t="shared" si="35"/>
        <v>159.49999999988358</v>
      </c>
      <c r="BV79" s="135">
        <f t="shared" si="28"/>
        <v>12.083333333430346</v>
      </c>
      <c r="BW79" s="135">
        <f t="shared" si="29"/>
        <v>0</v>
      </c>
      <c r="BX79" s="134">
        <f t="shared" si="30"/>
        <v>7.7256944444452529</v>
      </c>
      <c r="BY79" s="134">
        <f t="shared" si="31"/>
        <v>7.9097222222189885</v>
      </c>
      <c r="BZ79" s="133">
        <f t="shared" si="32"/>
        <v>0.97673397717346022</v>
      </c>
    </row>
    <row r="80" spans="1:78" s="126" customFormat="1">
      <c r="A80" s="192">
        <f t="shared" si="34"/>
        <v>44969.104166666664</v>
      </c>
      <c r="B80" s="126" t="s">
        <v>188</v>
      </c>
      <c r="C80" s="126" t="s">
        <v>183</v>
      </c>
      <c r="D80" s="126" t="s">
        <v>189</v>
      </c>
      <c r="E80" s="126" t="s">
        <v>198</v>
      </c>
      <c r="G80" s="165">
        <v>44969.1875</v>
      </c>
      <c r="H80" s="165">
        <v>44969.1875</v>
      </c>
      <c r="I80" s="126" t="s">
        <v>791</v>
      </c>
      <c r="J80" s="126" t="s">
        <v>192</v>
      </c>
      <c r="K80" s="126" t="s">
        <v>192</v>
      </c>
      <c r="L80" s="126" t="s">
        <v>795</v>
      </c>
      <c r="M80" s="167"/>
      <c r="N80" s="126" t="s">
        <v>796</v>
      </c>
      <c r="O80" s="126" t="s">
        <v>797</v>
      </c>
      <c r="P80" s="126" t="s">
        <v>183</v>
      </c>
      <c r="Q80" s="181">
        <v>5500</v>
      </c>
      <c r="R80" s="181">
        <v>5063.5460000000003</v>
      </c>
      <c r="S80" s="181"/>
      <c r="AS80" s="181">
        <f t="shared" si="36"/>
        <v>5063.5460000000003</v>
      </c>
      <c r="AV80" s="165">
        <f t="shared" si="22"/>
        <v>44969.0625</v>
      </c>
      <c r="AW80" s="165">
        <f t="shared" si="23"/>
        <v>44977.520833333336</v>
      </c>
      <c r="AX80" s="137">
        <f t="shared" si="24"/>
        <v>8.4583333333357587</v>
      </c>
      <c r="AY80" s="165">
        <v>44969.0625</v>
      </c>
      <c r="AZ80" s="165">
        <v>44969.0625</v>
      </c>
      <c r="BA80" s="165">
        <v>44969.0625</v>
      </c>
      <c r="BB80" s="165">
        <v>44969.104166666664</v>
      </c>
      <c r="BC80" s="165">
        <v>44970.979166666664</v>
      </c>
      <c r="BD80" s="165">
        <v>44970.989583333336</v>
      </c>
      <c r="BE80" s="165">
        <v>44970.989583333336</v>
      </c>
      <c r="BF80" s="165">
        <v>44970.989583333336</v>
      </c>
      <c r="BG80" s="166" t="s">
        <v>196</v>
      </c>
      <c r="BH80" s="166" t="s">
        <v>196</v>
      </c>
      <c r="BI80" s="166" t="s">
        <v>196</v>
      </c>
      <c r="BJ80" s="165">
        <v>44976.222222222219</v>
      </c>
      <c r="BK80" s="165">
        <v>44977.256944444445</v>
      </c>
      <c r="BL80" s="165">
        <v>44977.510416666664</v>
      </c>
      <c r="BM80" s="165">
        <v>44977.520833333336</v>
      </c>
      <c r="BN80" s="165">
        <v>44977.520833333336</v>
      </c>
      <c r="BO80" s="165">
        <v>44977.520833333336</v>
      </c>
      <c r="BR80" s="136">
        <f t="shared" si="25"/>
        <v>0</v>
      </c>
      <c r="BS80" s="136">
        <f t="shared" si="26"/>
        <v>45</v>
      </c>
      <c r="BT80" s="136">
        <f t="shared" si="27"/>
        <v>0</v>
      </c>
      <c r="BU80" s="136">
        <f t="shared" si="35"/>
        <v>125.58333333319752</v>
      </c>
      <c r="BV80" s="135">
        <f t="shared" si="28"/>
        <v>6.0833333332557231</v>
      </c>
      <c r="BW80" s="135">
        <f t="shared" si="29"/>
        <v>0</v>
      </c>
      <c r="BX80" s="134">
        <f t="shared" si="30"/>
        <v>7.3611111111022183</v>
      </c>
      <c r="BY80" s="134">
        <f t="shared" si="31"/>
        <v>8.4583333333357587</v>
      </c>
      <c r="BZ80" s="133">
        <f t="shared" si="32"/>
        <v>0.87027914613991419</v>
      </c>
    </row>
    <row r="81" spans="1:78" s="126" customFormat="1">
      <c r="A81" s="192">
        <f t="shared" si="34"/>
        <v>44971.486111111109</v>
      </c>
      <c r="B81" s="126" t="s">
        <v>188</v>
      </c>
      <c r="C81" s="126" t="s">
        <v>183</v>
      </c>
      <c r="D81" s="126" t="s">
        <v>189</v>
      </c>
      <c r="E81" s="126" t="s">
        <v>764</v>
      </c>
      <c r="G81" s="165">
        <v>44984.73333333333</v>
      </c>
      <c r="H81" s="165">
        <v>44984.73333333333</v>
      </c>
      <c r="I81" s="126" t="s">
        <v>791</v>
      </c>
      <c r="J81" s="126" t="s">
        <v>192</v>
      </c>
      <c r="K81" s="126" t="s">
        <v>192</v>
      </c>
      <c r="L81" s="126" t="s">
        <v>798</v>
      </c>
      <c r="M81" s="167"/>
      <c r="N81" s="126" t="s">
        <v>799</v>
      </c>
      <c r="O81" s="126" t="s">
        <v>800</v>
      </c>
      <c r="P81" s="126" t="s">
        <v>183</v>
      </c>
      <c r="Q81" s="181">
        <v>5500</v>
      </c>
      <c r="R81" s="181">
        <v>5464.3950000000004</v>
      </c>
      <c r="S81" s="181"/>
      <c r="AS81" s="181">
        <f t="shared" si="36"/>
        <v>5464.3950000000004</v>
      </c>
      <c r="AV81" s="165">
        <f t="shared" si="22"/>
        <v>44971.0625</v>
      </c>
      <c r="AW81" s="165">
        <f t="shared" si="23"/>
        <v>44976.763888888891</v>
      </c>
      <c r="AX81" s="137">
        <f t="shared" si="24"/>
        <v>5.7013888888905058</v>
      </c>
      <c r="AY81" s="165">
        <v>44971.0625</v>
      </c>
      <c r="AZ81" s="165">
        <v>44971.0625</v>
      </c>
      <c r="BA81" s="165">
        <v>44971.472222222219</v>
      </c>
      <c r="BB81" s="165">
        <v>44971.486111111109</v>
      </c>
      <c r="BC81" s="165">
        <v>44971.5625</v>
      </c>
      <c r="BD81" s="165">
        <v>44971.788194444445</v>
      </c>
      <c r="BE81" s="165">
        <v>44971.788194444445</v>
      </c>
      <c r="BF81" s="165">
        <f>BE81</f>
        <v>44971.788194444445</v>
      </c>
      <c r="BG81" s="166" t="s">
        <v>196</v>
      </c>
      <c r="BH81" s="166" t="s">
        <v>196</v>
      </c>
      <c r="BI81" s="166" t="s">
        <v>196</v>
      </c>
      <c r="BJ81" s="165">
        <v>44975.8125</v>
      </c>
      <c r="BK81" s="165">
        <v>44976.315972222219</v>
      </c>
      <c r="BL81" s="165">
        <v>44976.75</v>
      </c>
      <c r="BM81" s="165">
        <v>44976.763888888891</v>
      </c>
      <c r="BN81" s="165">
        <v>44976.763888888891</v>
      </c>
      <c r="BO81" s="165">
        <v>44976.763888888891</v>
      </c>
      <c r="BR81" s="136">
        <f t="shared" si="25"/>
        <v>9.8333333332557231</v>
      </c>
      <c r="BS81" s="136">
        <f t="shared" si="26"/>
        <v>1.8333333333721384</v>
      </c>
      <c r="BT81" s="136">
        <f t="shared" si="27"/>
        <v>0</v>
      </c>
      <c r="BU81" s="136">
        <f t="shared" si="35"/>
        <v>96.583333333313931</v>
      </c>
      <c r="BV81" s="135">
        <f t="shared" si="28"/>
        <v>10.416666666744277</v>
      </c>
      <c r="BW81" s="135">
        <f t="shared" si="29"/>
        <v>0</v>
      </c>
      <c r="BX81" s="134">
        <f t="shared" si="30"/>
        <v>4.9444444444452529</v>
      </c>
      <c r="BY81" s="134">
        <f t="shared" si="31"/>
        <v>5.7013888888905058</v>
      </c>
      <c r="BZ81" s="133">
        <f t="shared" si="32"/>
        <v>0.86723507917163767</v>
      </c>
    </row>
    <row r="82" spans="1:78" s="126" customFormat="1">
      <c r="A82" s="192">
        <f t="shared" si="34"/>
        <v>44971.819444444445</v>
      </c>
      <c r="B82" s="126" t="s">
        <v>188</v>
      </c>
      <c r="C82" s="126" t="s">
        <v>183</v>
      </c>
      <c r="D82" s="126" t="s">
        <v>189</v>
      </c>
      <c r="E82" s="126" t="s">
        <v>764</v>
      </c>
      <c r="G82" s="165">
        <v>44984.73333333333</v>
      </c>
      <c r="H82" s="165">
        <v>44984.73333333333</v>
      </c>
      <c r="I82" s="126" t="s">
        <v>791</v>
      </c>
      <c r="J82" s="126" t="s">
        <v>192</v>
      </c>
      <c r="K82" s="126" t="s">
        <v>192</v>
      </c>
      <c r="L82" s="126" t="s">
        <v>801</v>
      </c>
      <c r="M82" s="167"/>
      <c r="N82" s="126" t="s">
        <v>802</v>
      </c>
      <c r="O82" s="126" t="s">
        <v>803</v>
      </c>
      <c r="P82" s="126" t="s">
        <v>183</v>
      </c>
      <c r="Q82" s="181">
        <v>5500</v>
      </c>
      <c r="R82" s="181">
        <v>5275.2790000000005</v>
      </c>
      <c r="S82" s="181"/>
      <c r="AS82" s="181">
        <f t="shared" si="36"/>
        <v>5275.2790000000005</v>
      </c>
      <c r="AV82" s="165">
        <f t="shared" si="22"/>
        <v>44971.791666666664</v>
      </c>
      <c r="AW82" s="165">
        <f t="shared" si="23"/>
        <v>44978.236111111109</v>
      </c>
      <c r="AX82" s="137">
        <f t="shared" si="24"/>
        <v>6.4444444444452529</v>
      </c>
      <c r="AY82" s="165">
        <v>44971.791666666664</v>
      </c>
      <c r="AZ82" s="165">
        <v>44971.791666666664</v>
      </c>
      <c r="BA82" s="165">
        <v>44971.791666666664</v>
      </c>
      <c r="BB82" s="165">
        <v>44971.819444444445</v>
      </c>
      <c r="BC82" s="165">
        <v>44972.1875</v>
      </c>
      <c r="BD82" s="165">
        <v>44972.225694444445</v>
      </c>
      <c r="BE82" s="165">
        <v>44972.225694444445</v>
      </c>
      <c r="BF82" s="165">
        <v>44972.225694444445</v>
      </c>
      <c r="BG82" s="166" t="s">
        <v>196</v>
      </c>
      <c r="BH82" s="166" t="s">
        <v>196</v>
      </c>
      <c r="BI82" s="166" t="s">
        <v>196</v>
      </c>
      <c r="BJ82" s="165">
        <v>44976.493055555555</v>
      </c>
      <c r="BK82" s="165">
        <v>44977.916666666664</v>
      </c>
      <c r="BL82" s="165">
        <v>44978.211805555555</v>
      </c>
      <c r="BM82" s="165">
        <v>44978.236111111109</v>
      </c>
      <c r="BN82" s="165">
        <v>44978.236111111109</v>
      </c>
      <c r="BO82" s="165">
        <v>44978.236111111109</v>
      </c>
      <c r="BR82" s="136">
        <f t="shared" si="25"/>
        <v>0</v>
      </c>
      <c r="BS82" s="136">
        <f t="shared" si="26"/>
        <v>8.8333333333139308</v>
      </c>
      <c r="BT82" s="136">
        <f t="shared" si="27"/>
        <v>0</v>
      </c>
      <c r="BU82" s="136">
        <f t="shared" si="35"/>
        <v>102.41666666662786</v>
      </c>
      <c r="BV82" s="135">
        <f t="shared" si="28"/>
        <v>7.0833333333721384</v>
      </c>
      <c r="BW82" s="135">
        <f t="shared" si="29"/>
        <v>0</v>
      </c>
      <c r="BX82" s="134">
        <f t="shared" si="30"/>
        <v>4.9305555555547471</v>
      </c>
      <c r="BY82" s="134">
        <f t="shared" si="31"/>
        <v>6.4444444444452529</v>
      </c>
      <c r="BZ82" s="133">
        <f t="shared" si="32"/>
        <v>0.76508620689633033</v>
      </c>
    </row>
    <row r="83" spans="1:78" s="126" customFormat="1">
      <c r="A83" s="192">
        <f t="shared" si="34"/>
        <v>44973.541666666664</v>
      </c>
      <c r="B83" s="126" t="s">
        <v>188</v>
      </c>
      <c r="C83" s="126" t="s">
        <v>183</v>
      </c>
      <c r="D83" s="126" t="s">
        <v>189</v>
      </c>
      <c r="E83" s="126" t="s">
        <v>764</v>
      </c>
      <c r="G83" s="165">
        <v>44984.73333333333</v>
      </c>
      <c r="H83" s="165">
        <v>44984.73333333333</v>
      </c>
      <c r="I83" s="126" t="s">
        <v>791</v>
      </c>
      <c r="J83" s="126" t="s">
        <v>192</v>
      </c>
      <c r="K83" s="126" t="s">
        <v>192</v>
      </c>
      <c r="L83" s="126" t="s">
        <v>804</v>
      </c>
      <c r="M83" s="167"/>
      <c r="N83" s="126" t="s">
        <v>805</v>
      </c>
      <c r="O83" s="126" t="s">
        <v>806</v>
      </c>
      <c r="P83" s="126" t="s">
        <v>183</v>
      </c>
      <c r="Q83" s="181">
        <v>5500</v>
      </c>
      <c r="R83" s="181">
        <v>5300.9960000000001</v>
      </c>
      <c r="S83" s="181"/>
      <c r="AS83" s="181">
        <f t="shared" si="36"/>
        <v>5300.9960000000001</v>
      </c>
      <c r="AV83" s="165">
        <f t="shared" si="22"/>
        <v>44973.5</v>
      </c>
      <c r="AW83" s="165">
        <f t="shared" si="23"/>
        <v>44983.09375</v>
      </c>
      <c r="AX83" s="137">
        <f t="shared" si="24"/>
        <v>9.59375</v>
      </c>
      <c r="AY83" s="165">
        <v>44973.5</v>
      </c>
      <c r="AZ83" s="165">
        <v>44973.5</v>
      </c>
      <c r="BA83" s="165">
        <v>44973.5</v>
      </c>
      <c r="BB83" s="165">
        <v>44973.541666666664</v>
      </c>
      <c r="BC83" s="165">
        <v>44974.055555555555</v>
      </c>
      <c r="BD83" s="165">
        <v>44974.097222222219</v>
      </c>
      <c r="BE83" s="165">
        <v>44974.097222222219</v>
      </c>
      <c r="BF83" s="165">
        <v>44974.097222222219</v>
      </c>
      <c r="BG83" s="166" t="s">
        <v>196</v>
      </c>
      <c r="BH83" s="166" t="s">
        <v>196</v>
      </c>
      <c r="BI83" s="166" t="s">
        <v>196</v>
      </c>
      <c r="BJ83" s="165">
        <v>44979.006944444445</v>
      </c>
      <c r="BK83" s="165">
        <v>44982.569444444445</v>
      </c>
      <c r="BL83" s="165">
        <v>44983.072916666664</v>
      </c>
      <c r="BM83" s="165">
        <v>44983.09375</v>
      </c>
      <c r="BN83" s="165">
        <v>44983.09375</v>
      </c>
      <c r="BO83" s="165">
        <v>44983.09375</v>
      </c>
      <c r="BR83" s="136">
        <f t="shared" si="25"/>
        <v>0</v>
      </c>
      <c r="BS83" s="136">
        <f t="shared" si="26"/>
        <v>12.333333333372138</v>
      </c>
      <c r="BT83" s="136">
        <f t="shared" si="27"/>
        <v>0</v>
      </c>
      <c r="BU83" s="136">
        <f t="shared" si="35"/>
        <v>117.83333333343035</v>
      </c>
      <c r="BV83" s="135">
        <f t="shared" si="28"/>
        <v>12.083333333255723</v>
      </c>
      <c r="BW83" s="135">
        <f t="shared" si="29"/>
        <v>0</v>
      </c>
      <c r="BX83" s="134">
        <f t="shared" si="30"/>
        <v>5.9270833333357587</v>
      </c>
      <c r="BY83" s="134">
        <f t="shared" si="31"/>
        <v>9.59375</v>
      </c>
      <c r="BZ83" s="133">
        <f t="shared" si="32"/>
        <v>0.61780673181349932</v>
      </c>
    </row>
    <row r="84" spans="1:78" s="126" customFormat="1">
      <c r="A84" s="192">
        <f t="shared" si="34"/>
        <v>44978.611111111109</v>
      </c>
      <c r="B84" s="126" t="s">
        <v>188</v>
      </c>
      <c r="C84" s="126" t="s">
        <v>183</v>
      </c>
      <c r="D84" s="126" t="s">
        <v>189</v>
      </c>
      <c r="E84" s="126" t="s">
        <v>699</v>
      </c>
      <c r="G84" s="73">
        <v>44982.416666666664</v>
      </c>
      <c r="H84" s="73">
        <v>44982.378472222219</v>
      </c>
      <c r="I84" s="126" t="s">
        <v>807</v>
      </c>
      <c r="J84" s="126" t="s">
        <v>192</v>
      </c>
      <c r="K84" s="126" t="s">
        <v>192</v>
      </c>
      <c r="L84" s="126" t="s">
        <v>808</v>
      </c>
      <c r="M84" s="167"/>
      <c r="N84" s="126" t="s">
        <v>809</v>
      </c>
      <c r="O84" s="126" t="s">
        <v>810</v>
      </c>
      <c r="P84" s="126" t="s">
        <v>183</v>
      </c>
      <c r="Q84" s="181">
        <v>5500</v>
      </c>
      <c r="R84" s="181">
        <v>5251.0150000000003</v>
      </c>
      <c r="S84" s="181"/>
      <c r="AS84" s="181">
        <f t="shared" si="36"/>
        <v>5251.0150000000003</v>
      </c>
      <c r="AV84" s="165">
        <f t="shared" si="22"/>
        <v>44978.5</v>
      </c>
      <c r="AW84" s="165">
        <f t="shared" si="23"/>
        <v>44991.256944444445</v>
      </c>
      <c r="AX84" s="137">
        <f t="shared" si="24"/>
        <v>12.756944444445253</v>
      </c>
      <c r="AY84" s="165">
        <v>44978.5</v>
      </c>
      <c r="AZ84" s="165">
        <v>44978.5</v>
      </c>
      <c r="BA84" s="165">
        <v>44978.5</v>
      </c>
      <c r="BB84" s="165">
        <v>44978.611111111109</v>
      </c>
      <c r="BC84" s="165">
        <v>44978.90625</v>
      </c>
      <c r="BD84" s="165">
        <v>44978.934027777781</v>
      </c>
      <c r="BE84" s="165">
        <v>44978.934027777781</v>
      </c>
      <c r="BF84" s="165">
        <v>44978.934027777781</v>
      </c>
      <c r="BG84" s="166" t="s">
        <v>196</v>
      </c>
      <c r="BH84" s="166" t="s">
        <v>196</v>
      </c>
      <c r="BI84" s="166" t="s">
        <v>196</v>
      </c>
      <c r="BJ84" s="165">
        <v>44987.541666666664</v>
      </c>
      <c r="BK84" s="165">
        <v>44990.770833333336</v>
      </c>
      <c r="BL84" s="165">
        <v>44991.236111111109</v>
      </c>
      <c r="BM84" s="165">
        <v>44991.256944444445</v>
      </c>
      <c r="BN84" s="165">
        <v>44991.256944444445</v>
      </c>
      <c r="BO84" s="165">
        <v>44991.256944444445</v>
      </c>
      <c r="BR84" s="136">
        <f t="shared" si="25"/>
        <v>0</v>
      </c>
      <c r="BS84" s="136">
        <f t="shared" si="26"/>
        <v>7.0833333333721384</v>
      </c>
      <c r="BT84" s="136">
        <f t="shared" si="27"/>
        <v>0</v>
      </c>
      <c r="BU84" s="136">
        <f t="shared" si="35"/>
        <v>206.58333333319752</v>
      </c>
      <c r="BV84" s="135">
        <f t="shared" si="28"/>
        <v>11.166666666569654</v>
      </c>
      <c r="BW84" s="135">
        <f t="shared" si="29"/>
        <v>0</v>
      </c>
      <c r="BX84" s="134">
        <f t="shared" si="30"/>
        <v>9.3680555555474712</v>
      </c>
      <c r="BY84" s="134">
        <f t="shared" si="31"/>
        <v>12.756944444445253</v>
      </c>
      <c r="BZ84" s="133">
        <f t="shared" si="32"/>
        <v>0.73434948285179658</v>
      </c>
    </row>
    <row r="85" spans="1:78" s="126" customFormat="1">
      <c r="A85" s="192">
        <f t="shared" si="34"/>
        <v>44979.965277777781</v>
      </c>
      <c r="B85" s="126" t="s">
        <v>188</v>
      </c>
      <c r="C85" s="126" t="s">
        <v>183</v>
      </c>
      <c r="D85" s="126" t="s">
        <v>189</v>
      </c>
      <c r="E85" s="126" t="s">
        <v>673</v>
      </c>
      <c r="G85" s="165">
        <v>45003.279166666667</v>
      </c>
      <c r="H85" s="165">
        <v>45003.279166666667</v>
      </c>
      <c r="I85" s="126" t="s">
        <v>791</v>
      </c>
      <c r="J85" s="126" t="s">
        <v>192</v>
      </c>
      <c r="K85" s="126" t="s">
        <v>192</v>
      </c>
      <c r="L85" s="126" t="s">
        <v>811</v>
      </c>
      <c r="M85" s="167"/>
      <c r="N85" s="126" t="s">
        <v>812</v>
      </c>
      <c r="O85" s="126" t="s">
        <v>813</v>
      </c>
      <c r="P85" s="126" t="s">
        <v>183</v>
      </c>
      <c r="Q85" s="181">
        <v>5500</v>
      </c>
      <c r="R85" s="181">
        <v>5252.348</v>
      </c>
      <c r="S85" s="181"/>
      <c r="AS85" s="181">
        <f t="shared" si="36"/>
        <v>5252.348</v>
      </c>
      <c r="AV85" s="165">
        <f t="shared" si="22"/>
        <v>44979.951388888891</v>
      </c>
      <c r="AW85" s="165">
        <f t="shared" si="23"/>
        <v>44988.638888888891</v>
      </c>
      <c r="AX85" s="137">
        <f t="shared" si="24"/>
        <v>8.6875</v>
      </c>
      <c r="AY85" s="165">
        <v>44979.951388888891</v>
      </c>
      <c r="AZ85" s="165">
        <v>44979.951388888891</v>
      </c>
      <c r="BA85" s="165">
        <v>44979.951388888891</v>
      </c>
      <c r="BB85" s="165">
        <v>44979.965277777781</v>
      </c>
      <c r="BC85" s="165">
        <v>44980.3125</v>
      </c>
      <c r="BD85" s="165">
        <v>44980.347222222219</v>
      </c>
      <c r="BE85" s="165">
        <v>44980.347222222219</v>
      </c>
      <c r="BF85" s="165">
        <v>44980.347222222219</v>
      </c>
      <c r="BG85" s="166" t="s">
        <v>196</v>
      </c>
      <c r="BH85" s="166" t="s">
        <v>196</v>
      </c>
      <c r="BI85" s="166" t="s">
        <v>196</v>
      </c>
      <c r="BJ85" s="165">
        <v>44987.8125</v>
      </c>
      <c r="BK85" s="165">
        <v>44988.225694444445</v>
      </c>
      <c r="BL85" s="165">
        <v>44988.600694444445</v>
      </c>
      <c r="BM85" s="165">
        <v>44988.638888888891</v>
      </c>
      <c r="BN85" s="165">
        <v>44988.638888888891</v>
      </c>
      <c r="BO85" s="165">
        <v>44988.638888888891</v>
      </c>
      <c r="BR85" s="136">
        <f t="shared" si="25"/>
        <v>0</v>
      </c>
      <c r="BS85" s="136">
        <f t="shared" si="26"/>
        <v>8.3333333332557231</v>
      </c>
      <c r="BT85" s="136">
        <f t="shared" si="27"/>
        <v>0</v>
      </c>
      <c r="BU85" s="136">
        <f t="shared" si="35"/>
        <v>179.16666666674428</v>
      </c>
      <c r="BV85" s="135">
        <f t="shared" si="28"/>
        <v>9</v>
      </c>
      <c r="BW85" s="135">
        <f t="shared" si="29"/>
        <v>0</v>
      </c>
      <c r="BX85" s="134">
        <f t="shared" si="30"/>
        <v>8.1875</v>
      </c>
      <c r="BY85" s="134">
        <f t="shared" si="31"/>
        <v>8.6875</v>
      </c>
      <c r="BZ85" s="133">
        <f t="shared" si="32"/>
        <v>0.94244604316546765</v>
      </c>
    </row>
    <row r="86" spans="1:78" s="126" customFormat="1">
      <c r="A86" s="192">
        <f t="shared" si="34"/>
        <v>44980.590277777781</v>
      </c>
      <c r="B86" s="126" t="s">
        <v>188</v>
      </c>
      <c r="C86" s="126" t="s">
        <v>183</v>
      </c>
      <c r="D86" s="126" t="s">
        <v>189</v>
      </c>
      <c r="E86" s="126" t="s">
        <v>814</v>
      </c>
      <c r="G86" s="73">
        <v>44989.875</v>
      </c>
      <c r="H86" s="73">
        <v>44989.79583333333</v>
      </c>
      <c r="I86" s="126" t="s">
        <v>807</v>
      </c>
      <c r="J86" s="126" t="s">
        <v>192</v>
      </c>
      <c r="K86" s="126" t="s">
        <v>192</v>
      </c>
      <c r="L86" s="126" t="s">
        <v>815</v>
      </c>
      <c r="M86" s="167"/>
      <c r="N86" s="126" t="s">
        <v>816</v>
      </c>
      <c r="O86" s="126" t="s">
        <v>817</v>
      </c>
      <c r="P86" s="126" t="s">
        <v>183</v>
      </c>
      <c r="Q86" s="181">
        <v>5500</v>
      </c>
      <c r="R86" s="181">
        <v>5205.9780000000001</v>
      </c>
      <c r="S86" s="181"/>
      <c r="AS86" s="181">
        <f>R86</f>
        <v>5205.9780000000001</v>
      </c>
      <c r="AV86" s="165">
        <f>AY86</f>
        <v>44980.559027777781</v>
      </c>
      <c r="AW86" s="165">
        <f t="shared" si="23"/>
        <v>44995.159722222219</v>
      </c>
      <c r="AX86" s="137">
        <f>AW86-AV86</f>
        <v>14.600694444437977</v>
      </c>
      <c r="AY86" s="165">
        <v>44980.559027777781</v>
      </c>
      <c r="AZ86" s="165">
        <v>44980.559027777781</v>
      </c>
      <c r="BA86" s="165">
        <v>44980.559027777781</v>
      </c>
      <c r="BB86" s="165">
        <v>44980.590277777781</v>
      </c>
      <c r="BC86" s="165">
        <v>44981.475694444445</v>
      </c>
      <c r="BD86" s="165">
        <v>44981.513888888891</v>
      </c>
      <c r="BE86" s="165">
        <v>44981.513888888891</v>
      </c>
      <c r="BF86" s="165">
        <v>44981.513888888891</v>
      </c>
      <c r="BG86" s="166" t="s">
        <v>196</v>
      </c>
      <c r="BH86" s="166" t="s">
        <v>196</v>
      </c>
      <c r="BI86" s="166" t="s">
        <v>196</v>
      </c>
      <c r="BJ86" s="165">
        <v>44989.645833333336</v>
      </c>
      <c r="BK86" s="165">
        <v>44994.930555555555</v>
      </c>
      <c r="BL86" s="165">
        <v>44995.138888888891</v>
      </c>
      <c r="BM86" s="165">
        <v>44995.159722222219</v>
      </c>
      <c r="BN86" s="165">
        <v>44995.159722222219</v>
      </c>
      <c r="BO86" s="165">
        <v>44995.159722222219</v>
      </c>
      <c r="BR86" s="136">
        <f t="shared" si="25"/>
        <v>0</v>
      </c>
      <c r="BS86" s="136">
        <f>(BC86-BB86)*24</f>
        <v>21.249999999941792</v>
      </c>
      <c r="BT86" s="136">
        <f>(BF86-BE86)*24</f>
        <v>0</v>
      </c>
      <c r="BU86" s="136">
        <f>(BJ86-BF86)*24</f>
        <v>195.16666666668607</v>
      </c>
      <c r="BV86" s="135">
        <f>(BL86-BK86)*24</f>
        <v>5.0000000000582077</v>
      </c>
      <c r="BW86" s="135">
        <f>(BO86-BN86)*24</f>
        <v>0</v>
      </c>
      <c r="BX86" s="134">
        <f>SUM(BR86:BW86)/24</f>
        <v>9.2256944444452529</v>
      </c>
      <c r="BY86" s="134">
        <f>AX86</f>
        <v>14.600694444437977</v>
      </c>
      <c r="BZ86" s="133">
        <f>BX86/BY86</f>
        <v>0.63186682520842086</v>
      </c>
    </row>
    <row r="87" spans="1:78" s="126" customFormat="1">
      <c r="A87" s="192">
        <f t="shared" si="34"/>
        <v>44976.118055555555</v>
      </c>
      <c r="B87" s="126" t="s">
        <v>188</v>
      </c>
      <c r="C87" s="126" t="s">
        <v>184</v>
      </c>
      <c r="D87" s="126" t="s">
        <v>189</v>
      </c>
      <c r="E87" s="126" t="s">
        <v>673</v>
      </c>
      <c r="G87" s="165">
        <v>45003.279166666667</v>
      </c>
      <c r="H87" s="165">
        <v>45003.279166666667</v>
      </c>
      <c r="I87" s="126" t="s">
        <v>818</v>
      </c>
      <c r="J87" s="126" t="s">
        <v>192</v>
      </c>
      <c r="K87" s="126" t="s">
        <v>192</v>
      </c>
      <c r="L87" s="126" t="s">
        <v>819</v>
      </c>
      <c r="M87" s="167"/>
      <c r="N87" s="126" t="s">
        <v>820</v>
      </c>
      <c r="O87" s="126" t="s">
        <v>821</v>
      </c>
      <c r="P87" s="126" t="s">
        <v>184</v>
      </c>
      <c r="Q87" s="181">
        <v>7500</v>
      </c>
      <c r="R87" s="262">
        <v>7070.0609999999997</v>
      </c>
      <c r="S87" s="181"/>
      <c r="AT87" s="181">
        <f>R87</f>
        <v>7070.0609999999997</v>
      </c>
      <c r="AV87" s="165">
        <f t="shared" si="22"/>
        <v>44975.930555555555</v>
      </c>
      <c r="AW87" s="165">
        <f t="shared" si="23"/>
        <v>44988.145833333336</v>
      </c>
      <c r="AX87" s="137">
        <f t="shared" si="24"/>
        <v>12.215277777781012</v>
      </c>
      <c r="AY87" s="165">
        <v>44975.930555555555</v>
      </c>
      <c r="AZ87" s="165">
        <v>44975.930555555555</v>
      </c>
      <c r="BA87" s="165">
        <v>44975.930555555555</v>
      </c>
      <c r="BB87" s="165">
        <v>44976.118055555555</v>
      </c>
      <c r="BC87" s="165">
        <v>44981.934027777781</v>
      </c>
      <c r="BD87" s="165">
        <v>44981.995138888888</v>
      </c>
      <c r="BE87" s="165">
        <v>44981.995138888888</v>
      </c>
      <c r="BF87" s="165">
        <v>44981.995138888888</v>
      </c>
      <c r="BG87" s="166" t="s">
        <v>196</v>
      </c>
      <c r="BH87" s="166" t="s">
        <v>196</v>
      </c>
      <c r="BI87" s="166" t="s">
        <v>196</v>
      </c>
      <c r="BJ87" s="165">
        <v>44986.625</v>
      </c>
      <c r="BK87" s="165">
        <v>44986.836805555555</v>
      </c>
      <c r="BL87" s="165">
        <v>44988.125</v>
      </c>
      <c r="BM87" s="165">
        <v>44988.145833333336</v>
      </c>
      <c r="BN87" s="165">
        <v>44988.145833333336</v>
      </c>
      <c r="BO87" s="165">
        <v>44988.145833333336</v>
      </c>
      <c r="BR87" s="136">
        <f t="shared" si="25"/>
        <v>0</v>
      </c>
      <c r="BS87" s="136">
        <f t="shared" si="26"/>
        <v>139.58333333343035</v>
      </c>
      <c r="BT87" s="136">
        <f t="shared" si="27"/>
        <v>0</v>
      </c>
      <c r="BU87" s="136">
        <f t="shared" si="35"/>
        <v>111.11666666669771</v>
      </c>
      <c r="BV87" s="135">
        <f t="shared" si="28"/>
        <v>30.916666666686069</v>
      </c>
      <c r="BW87" s="135">
        <f t="shared" si="29"/>
        <v>0</v>
      </c>
      <c r="BX87" s="134">
        <f t="shared" si="30"/>
        <v>11.734027777783922</v>
      </c>
      <c r="BY87" s="134">
        <f t="shared" si="31"/>
        <v>12.215277777781012</v>
      </c>
      <c r="BZ87" s="133">
        <f t="shared" si="32"/>
        <v>0.96060261512247724</v>
      </c>
    </row>
    <row r="88" spans="1:78" s="126" customFormat="1">
      <c r="A88" s="192">
        <f t="shared" si="34"/>
        <v>44982.5625</v>
      </c>
      <c r="B88" s="126" t="s">
        <v>188</v>
      </c>
      <c r="C88" s="126" t="s">
        <v>184</v>
      </c>
      <c r="D88" s="126" t="s">
        <v>189</v>
      </c>
      <c r="E88" s="126" t="s">
        <v>673</v>
      </c>
      <c r="G88" s="165">
        <v>45003.279166666667</v>
      </c>
      <c r="H88" s="165">
        <v>45003.279166666667</v>
      </c>
      <c r="I88" s="126" t="s">
        <v>818</v>
      </c>
      <c r="J88" s="126" t="s">
        <v>192</v>
      </c>
      <c r="K88" s="126" t="s">
        <v>192</v>
      </c>
      <c r="L88" s="126" t="s">
        <v>822</v>
      </c>
      <c r="M88" s="167"/>
      <c r="N88" s="126" t="s">
        <v>823</v>
      </c>
      <c r="O88" s="126" t="s">
        <v>824</v>
      </c>
      <c r="P88" s="126" t="s">
        <v>184</v>
      </c>
      <c r="Q88" s="181">
        <v>7500</v>
      </c>
      <c r="R88" s="181">
        <v>7502.8459999999995</v>
      </c>
      <c r="S88" s="181"/>
      <c r="AT88" s="181">
        <f>R88</f>
        <v>7502.8459999999995</v>
      </c>
      <c r="AV88" s="165">
        <f t="shared" si="22"/>
        <v>44980.916666666664</v>
      </c>
      <c r="AW88" s="165">
        <f t="shared" si="23"/>
        <v>44990.743055555555</v>
      </c>
      <c r="AX88" s="137">
        <f t="shared" si="24"/>
        <v>9.8263888888905058</v>
      </c>
      <c r="AY88" s="165">
        <v>44980.916666666664</v>
      </c>
      <c r="AZ88" s="165">
        <v>44980.916666666664</v>
      </c>
      <c r="BA88" s="165">
        <v>44980.916666666664</v>
      </c>
      <c r="BB88" s="165">
        <v>44982.5625</v>
      </c>
      <c r="BC88" s="165">
        <v>44984.645833333336</v>
      </c>
      <c r="BD88" s="165">
        <v>44984.708333333336</v>
      </c>
      <c r="BE88" s="165">
        <v>44984.708333333336</v>
      </c>
      <c r="BF88" s="165">
        <v>44984.708333333336</v>
      </c>
      <c r="BG88" s="166" t="s">
        <v>196</v>
      </c>
      <c r="BH88" s="166" t="s">
        <v>196</v>
      </c>
      <c r="BI88" s="166" t="s">
        <v>196</v>
      </c>
      <c r="BJ88" s="165">
        <v>44989.666666666664</v>
      </c>
      <c r="BK88" s="165">
        <v>44989.760416666664</v>
      </c>
      <c r="BL88" s="165">
        <v>44990.725694444445</v>
      </c>
      <c r="BM88" s="165">
        <v>44990.743055555555</v>
      </c>
      <c r="BN88" s="165">
        <v>44990.743055555555</v>
      </c>
      <c r="BO88" s="165">
        <v>44990.743055555555</v>
      </c>
      <c r="BR88" s="136">
        <f t="shared" si="25"/>
        <v>0</v>
      </c>
      <c r="BS88" s="136">
        <f t="shared" si="26"/>
        <v>50.000000000058208</v>
      </c>
      <c r="BT88" s="136">
        <f t="shared" si="27"/>
        <v>0</v>
      </c>
      <c r="BU88" s="136">
        <f t="shared" si="35"/>
        <v>118.99999999988358</v>
      </c>
      <c r="BV88" s="135">
        <f t="shared" si="28"/>
        <v>23.166666666744277</v>
      </c>
      <c r="BW88" s="135">
        <f t="shared" si="29"/>
        <v>0</v>
      </c>
      <c r="BX88" s="134">
        <f t="shared" si="30"/>
        <v>8.0069444444452529</v>
      </c>
      <c r="BY88" s="134">
        <f t="shared" si="31"/>
        <v>9.8263888888905058</v>
      </c>
      <c r="BZ88" s="133">
        <f t="shared" si="32"/>
        <v>0.81484098939924143</v>
      </c>
    </row>
    <row r="89" spans="1:78" s="126" customFormat="1">
      <c r="A89" s="192"/>
      <c r="D89" s="126" t="s">
        <v>215</v>
      </c>
      <c r="G89" s="165"/>
      <c r="H89" s="165"/>
      <c r="J89" s="126" t="s">
        <v>312</v>
      </c>
      <c r="L89" s="126" t="s">
        <v>825</v>
      </c>
      <c r="M89" s="167"/>
      <c r="N89" s="126" t="s">
        <v>482</v>
      </c>
      <c r="O89" s="126" t="s">
        <v>483</v>
      </c>
      <c r="Q89" s="181">
        <f>3107*2.4</f>
        <v>7456.7999999999993</v>
      </c>
      <c r="R89" s="181"/>
      <c r="S89" s="181"/>
      <c r="T89" s="181"/>
      <c r="U89" s="181"/>
      <c r="AV89" s="165">
        <f t="shared" si="22"/>
        <v>44958</v>
      </c>
      <c r="AW89" s="165">
        <f t="shared" si="23"/>
        <v>44986</v>
      </c>
      <c r="AX89" s="137">
        <f t="shared" si="24"/>
        <v>28</v>
      </c>
      <c r="AY89" s="165">
        <v>44958</v>
      </c>
      <c r="AZ89" s="165"/>
      <c r="BA89" s="165"/>
      <c r="BB89" s="165"/>
      <c r="BC89" s="165"/>
      <c r="BD89" s="165"/>
      <c r="BE89" s="165"/>
      <c r="BF89" s="165"/>
      <c r="BG89" s="165"/>
      <c r="BH89" s="165"/>
      <c r="BI89" s="166"/>
      <c r="BJ89" s="165"/>
      <c r="BK89" s="165"/>
      <c r="BL89" s="165"/>
      <c r="BM89" s="165"/>
      <c r="BN89" s="165"/>
      <c r="BO89" s="165">
        <v>44986</v>
      </c>
      <c r="BR89" s="136">
        <f t="shared" si="25"/>
        <v>0</v>
      </c>
      <c r="BS89" s="136">
        <f t="shared" si="26"/>
        <v>0</v>
      </c>
      <c r="BT89" s="136">
        <f t="shared" si="27"/>
        <v>0</v>
      </c>
      <c r="BU89" s="136">
        <f t="shared" ref="BU89:BU94" si="37">(BJ89-BH89)*24</f>
        <v>0</v>
      </c>
      <c r="BV89" s="135">
        <f t="shared" si="28"/>
        <v>0</v>
      </c>
      <c r="BW89" s="135">
        <f t="shared" si="29"/>
        <v>1079664</v>
      </c>
      <c r="BX89" s="134">
        <f t="shared" si="30"/>
        <v>44986</v>
      </c>
      <c r="BY89" s="134">
        <f t="shared" si="31"/>
        <v>28</v>
      </c>
      <c r="BZ89" s="133">
        <f t="shared" si="32"/>
        <v>1606.6428571428571</v>
      </c>
    </row>
    <row r="90" spans="1:78" s="126" customFormat="1">
      <c r="A90" s="192"/>
      <c r="D90" s="126" t="s">
        <v>215</v>
      </c>
      <c r="J90" s="126" t="s">
        <v>312</v>
      </c>
      <c r="L90" s="126" t="s">
        <v>826</v>
      </c>
      <c r="M90" s="167"/>
      <c r="N90" s="126" t="s">
        <v>485</v>
      </c>
      <c r="O90" s="126" t="s">
        <v>486</v>
      </c>
      <c r="Q90" s="181">
        <f>3102*2.4</f>
        <v>7444.7999999999993</v>
      </c>
      <c r="R90" s="181"/>
      <c r="S90" s="181"/>
      <c r="T90" s="181"/>
      <c r="AV90" s="165">
        <f t="shared" si="22"/>
        <v>44958</v>
      </c>
      <c r="AW90" s="165">
        <f t="shared" si="23"/>
        <v>44986</v>
      </c>
      <c r="AX90" s="137">
        <f t="shared" si="24"/>
        <v>28</v>
      </c>
      <c r="AY90" s="165">
        <v>44958</v>
      </c>
      <c r="AZ90" s="165"/>
      <c r="BA90" s="165"/>
      <c r="BB90" s="165"/>
      <c r="BC90" s="165"/>
      <c r="BD90" s="165"/>
      <c r="BE90" s="165"/>
      <c r="BF90" s="165"/>
      <c r="BG90" s="165"/>
      <c r="BH90" s="165"/>
      <c r="BI90" s="166"/>
      <c r="BJ90" s="165"/>
      <c r="BK90" s="165"/>
      <c r="BL90" s="165"/>
      <c r="BM90" s="165"/>
      <c r="BN90" s="165"/>
      <c r="BO90" s="165">
        <v>44986</v>
      </c>
      <c r="BP90" s="126" t="s">
        <v>487</v>
      </c>
      <c r="BR90" s="136">
        <f t="shared" si="25"/>
        <v>0</v>
      </c>
      <c r="BS90" s="136">
        <f t="shared" si="26"/>
        <v>0</v>
      </c>
      <c r="BT90" s="136">
        <f t="shared" si="27"/>
        <v>0</v>
      </c>
      <c r="BU90" s="136">
        <f t="shared" si="37"/>
        <v>0</v>
      </c>
      <c r="BV90" s="135">
        <f t="shared" si="28"/>
        <v>0</v>
      </c>
      <c r="BW90" s="135">
        <f t="shared" si="29"/>
        <v>1079664</v>
      </c>
      <c r="BX90" s="134">
        <f t="shared" si="30"/>
        <v>44986</v>
      </c>
      <c r="BY90" s="134">
        <f t="shared" si="31"/>
        <v>28</v>
      </c>
      <c r="BZ90" s="133">
        <f t="shared" si="32"/>
        <v>1606.6428571428571</v>
      </c>
    </row>
    <row r="91" spans="1:78" s="126" customFormat="1">
      <c r="A91" s="192"/>
      <c r="D91" s="126" t="s">
        <v>197</v>
      </c>
      <c r="J91" s="126" t="s">
        <v>312</v>
      </c>
      <c r="L91" s="126" t="s">
        <v>827</v>
      </c>
      <c r="M91" s="167"/>
      <c r="N91" s="126" t="s">
        <v>489</v>
      </c>
      <c r="O91" s="126" t="s">
        <v>483</v>
      </c>
      <c r="Q91" s="181">
        <f>3107*2.4</f>
        <v>7456.7999999999993</v>
      </c>
      <c r="R91" s="181"/>
      <c r="S91" s="181"/>
      <c r="AV91" s="165">
        <f t="shared" si="22"/>
        <v>44958</v>
      </c>
      <c r="AW91" s="165">
        <f t="shared" si="23"/>
        <v>44966.863888888889</v>
      </c>
      <c r="AX91" s="137">
        <f t="shared" si="24"/>
        <v>8.8638888888890506</v>
      </c>
      <c r="AY91" s="165">
        <v>44958</v>
      </c>
      <c r="AZ91" s="166" t="s">
        <v>196</v>
      </c>
      <c r="BA91" s="166" t="s">
        <v>196</v>
      </c>
      <c r="BB91" s="166" t="s">
        <v>196</v>
      </c>
      <c r="BC91" s="166" t="s">
        <v>196</v>
      </c>
      <c r="BD91" s="166" t="s">
        <v>196</v>
      </c>
      <c r="BE91" s="166" t="s">
        <v>196</v>
      </c>
      <c r="BF91" s="166" t="s">
        <v>196</v>
      </c>
      <c r="BG91" s="166" t="s">
        <v>196</v>
      </c>
      <c r="BH91" s="166" t="s">
        <v>196</v>
      </c>
      <c r="BI91" s="166" t="s">
        <v>196</v>
      </c>
      <c r="BJ91" s="166" t="s">
        <v>196</v>
      </c>
      <c r="BK91" s="166" t="s">
        <v>196</v>
      </c>
      <c r="BL91" s="166" t="s">
        <v>196</v>
      </c>
      <c r="BM91" s="166" t="s">
        <v>196</v>
      </c>
      <c r="BN91" s="166" t="s">
        <v>196</v>
      </c>
      <c r="BO91" s="165">
        <v>44966.863888888889</v>
      </c>
      <c r="BP91" s="126" t="s">
        <v>828</v>
      </c>
      <c r="BR91" s="136" t="e">
        <f t="shared" si="25"/>
        <v>#VALUE!</v>
      </c>
      <c r="BS91" s="136" t="e">
        <f t="shared" si="26"/>
        <v>#VALUE!</v>
      </c>
      <c r="BT91" s="136" t="e">
        <f t="shared" si="27"/>
        <v>#VALUE!</v>
      </c>
      <c r="BU91" s="136" t="e">
        <f t="shared" si="37"/>
        <v>#VALUE!</v>
      </c>
      <c r="BV91" s="135" t="e">
        <f t="shared" si="28"/>
        <v>#VALUE!</v>
      </c>
      <c r="BW91" s="135" t="e">
        <f t="shared" si="29"/>
        <v>#VALUE!</v>
      </c>
      <c r="BX91" s="134" t="e">
        <f t="shared" si="30"/>
        <v>#VALUE!</v>
      </c>
      <c r="BY91" s="134">
        <f t="shared" si="31"/>
        <v>8.8638888888890506</v>
      </c>
      <c r="BZ91" s="133" t="e">
        <f t="shared" si="32"/>
        <v>#VALUE!</v>
      </c>
    </row>
    <row r="92" spans="1:78" s="126" customFormat="1">
      <c r="A92" s="192">
        <f t="shared" ref="A92:A121" si="38">BB92</f>
        <v>44959.621527777781</v>
      </c>
      <c r="B92" s="126" t="s">
        <v>228</v>
      </c>
      <c r="C92" s="126" t="s">
        <v>229</v>
      </c>
      <c r="D92" s="126" t="s">
        <v>197</v>
      </c>
      <c r="E92" s="126" t="s">
        <v>416</v>
      </c>
      <c r="G92" s="73">
        <v>44955.895833333336</v>
      </c>
      <c r="H92" s="73">
        <v>44955.895833333336</v>
      </c>
      <c r="I92" s="126" t="s">
        <v>490</v>
      </c>
      <c r="J92" s="126" t="s">
        <v>192</v>
      </c>
      <c r="K92" s="126" t="s">
        <v>192</v>
      </c>
      <c r="L92" s="126" t="s">
        <v>829</v>
      </c>
      <c r="M92" s="167"/>
      <c r="N92" s="126" t="s">
        <v>364</v>
      </c>
      <c r="O92" s="126" t="s">
        <v>365</v>
      </c>
      <c r="P92" s="126" t="s">
        <v>494</v>
      </c>
      <c r="Q92" s="181">
        <f>3142*2.4</f>
        <v>7540.7999999999993</v>
      </c>
      <c r="R92" s="181">
        <v>7441.35</v>
      </c>
      <c r="S92" s="181"/>
      <c r="T92" s="181">
        <f>R92</f>
        <v>7441.35</v>
      </c>
      <c r="AV92" s="165">
        <f t="shared" si="22"/>
        <v>44955.166666666664</v>
      </c>
      <c r="AW92" s="165">
        <f t="shared" si="23"/>
        <v>44964.479166666664</v>
      </c>
      <c r="AX92" s="137">
        <f t="shared" si="24"/>
        <v>9.3125</v>
      </c>
      <c r="AY92" s="165">
        <v>44955.166666666664</v>
      </c>
      <c r="AZ92" s="165">
        <v>44957.631944444445</v>
      </c>
      <c r="BA92" s="165">
        <v>44959.1875</v>
      </c>
      <c r="BB92" s="165">
        <v>44959.621527777781</v>
      </c>
      <c r="BC92" s="165">
        <v>44959.767361111109</v>
      </c>
      <c r="BD92" s="165">
        <v>44959.774305555555</v>
      </c>
      <c r="BE92" s="165">
        <v>44960.270833333336</v>
      </c>
      <c r="BF92" s="165">
        <f t="shared" ref="BF92:BF121" si="39">BE92+(41/24)</f>
        <v>44961.979166666672</v>
      </c>
      <c r="BG92" s="165">
        <v>44962.25</v>
      </c>
      <c r="BH92" s="165">
        <v>44962.416666666664</v>
      </c>
      <c r="BI92" s="165">
        <v>44962.329861111109</v>
      </c>
      <c r="BJ92" s="165">
        <v>44963.548611111109</v>
      </c>
      <c r="BK92" s="165">
        <v>44963.618055555555</v>
      </c>
      <c r="BL92" s="165">
        <v>44963.861111111109</v>
      </c>
      <c r="BM92" s="165">
        <v>44963.875</v>
      </c>
      <c r="BN92" s="165">
        <v>44964.236111111109</v>
      </c>
      <c r="BO92" s="165">
        <v>44964.479166666664</v>
      </c>
      <c r="BR92" s="136">
        <f t="shared" si="25"/>
        <v>37.333333333313931</v>
      </c>
      <c r="BS92" s="136">
        <f t="shared" si="26"/>
        <v>3.4999999998835847</v>
      </c>
      <c r="BT92" s="136">
        <f t="shared" si="27"/>
        <v>41.000000000058208</v>
      </c>
      <c r="BU92" s="136">
        <f t="shared" si="37"/>
        <v>27.166666666686069</v>
      </c>
      <c r="BV92" s="135">
        <f t="shared" si="28"/>
        <v>5.8333333333139308</v>
      </c>
      <c r="BW92" s="135">
        <f t="shared" si="29"/>
        <v>5.8333333333139308</v>
      </c>
      <c r="BX92" s="134">
        <f t="shared" si="30"/>
        <v>5.0277777777737356</v>
      </c>
      <c r="BY92" s="134">
        <f t="shared" si="31"/>
        <v>9.3125</v>
      </c>
      <c r="BZ92" s="133">
        <f t="shared" si="32"/>
        <v>0.53989560029785078</v>
      </c>
    </row>
    <row r="93" spans="1:78" s="126" customFormat="1">
      <c r="A93" s="192">
        <f t="shared" si="38"/>
        <v>44969.614583333336</v>
      </c>
      <c r="B93" s="126" t="s">
        <v>228</v>
      </c>
      <c r="C93" s="126" t="s">
        <v>229</v>
      </c>
      <c r="D93" s="126" t="s">
        <v>197</v>
      </c>
      <c r="E93" s="126" t="s">
        <v>684</v>
      </c>
      <c r="G93" s="73">
        <v>44972.000694444447</v>
      </c>
      <c r="H93" s="73">
        <v>44972.000694444447</v>
      </c>
      <c r="I93" s="126" t="s">
        <v>490</v>
      </c>
      <c r="J93" s="126" t="s">
        <v>192</v>
      </c>
      <c r="K93" s="126" t="s">
        <v>192</v>
      </c>
      <c r="L93" s="126" t="s">
        <v>830</v>
      </c>
      <c r="M93" s="167"/>
      <c r="N93" s="126" t="s">
        <v>292</v>
      </c>
      <c r="O93" s="126" t="s">
        <v>293</v>
      </c>
      <c r="P93" s="126" t="s">
        <v>494</v>
      </c>
      <c r="Q93" s="181">
        <f>3142*2.4</f>
        <v>7540.7999999999993</v>
      </c>
      <c r="R93" s="181">
        <v>7476.6710000000003</v>
      </c>
      <c r="S93" s="181"/>
      <c r="T93" s="181">
        <f>R93</f>
        <v>7476.6710000000003</v>
      </c>
      <c r="AV93" s="165">
        <f t="shared" si="22"/>
        <v>44958.791666666664</v>
      </c>
      <c r="AW93" s="165">
        <f t="shared" si="23"/>
        <v>44977.416666666664</v>
      </c>
      <c r="AX93" s="137">
        <f t="shared" si="24"/>
        <v>18.625</v>
      </c>
      <c r="AY93" s="165">
        <v>44958.791666666664</v>
      </c>
      <c r="AZ93" s="165">
        <v>44959.864583333336</v>
      </c>
      <c r="BA93" s="165">
        <v>44961.520833333336</v>
      </c>
      <c r="BB93" s="165">
        <v>44969.614583333336</v>
      </c>
      <c r="BC93" s="165">
        <v>44969.913194444445</v>
      </c>
      <c r="BD93" s="165">
        <v>44969.916666666664</v>
      </c>
      <c r="BE93" s="165">
        <v>44969.916666666664</v>
      </c>
      <c r="BF93" s="165">
        <f t="shared" si="39"/>
        <v>44971.625</v>
      </c>
      <c r="BG93" s="165">
        <v>44971.291666608799</v>
      </c>
      <c r="BH93" s="165">
        <v>44971.458333275463</v>
      </c>
      <c r="BI93" s="165">
        <v>44971.458333333336</v>
      </c>
      <c r="BJ93" s="165">
        <v>44976.423611111109</v>
      </c>
      <c r="BK93" s="165">
        <v>44977.006944444445</v>
      </c>
      <c r="BL93" s="165">
        <v>44977.138888888891</v>
      </c>
      <c r="BM93" s="165">
        <v>44977.159722222219</v>
      </c>
      <c r="BN93" s="165">
        <v>44977.159722222219</v>
      </c>
      <c r="BO93" s="165">
        <v>44977.416666666664</v>
      </c>
      <c r="BR93" s="136">
        <f t="shared" si="25"/>
        <v>39.75</v>
      </c>
      <c r="BS93" s="136">
        <f t="shared" si="26"/>
        <v>7.1666666666278616</v>
      </c>
      <c r="BT93" s="136">
        <f t="shared" si="27"/>
        <v>41.000000000058208</v>
      </c>
      <c r="BU93" s="136">
        <f t="shared" si="37"/>
        <v>119.16666805552086</v>
      </c>
      <c r="BV93" s="135">
        <f t="shared" si="28"/>
        <v>3.1666666666860692</v>
      </c>
      <c r="BW93" s="135">
        <f t="shared" si="29"/>
        <v>6.1666666666860692</v>
      </c>
      <c r="BX93" s="134">
        <f t="shared" si="30"/>
        <v>9.0173611689824611</v>
      </c>
      <c r="BY93" s="134">
        <f t="shared" si="31"/>
        <v>18.625</v>
      </c>
      <c r="BZ93" s="133">
        <f t="shared" si="32"/>
        <v>0.48415361981113886</v>
      </c>
    </row>
    <row r="94" spans="1:78" s="126" customFormat="1">
      <c r="A94" s="192">
        <f t="shared" si="38"/>
        <v>44969.934027777781</v>
      </c>
      <c r="B94" s="126" t="s">
        <v>228</v>
      </c>
      <c r="C94" s="126" t="s">
        <v>229</v>
      </c>
      <c r="D94" s="126" t="s">
        <v>215</v>
      </c>
      <c r="E94" s="126" t="s">
        <v>684</v>
      </c>
      <c r="G94" s="73">
        <v>44972.000694444447</v>
      </c>
      <c r="H94" s="73">
        <v>44972.000694444447</v>
      </c>
      <c r="I94" s="126" t="s">
        <v>490</v>
      </c>
      <c r="J94" s="126" t="s">
        <v>192</v>
      </c>
      <c r="K94" s="126" t="s">
        <v>192</v>
      </c>
      <c r="L94" s="126" t="s">
        <v>831</v>
      </c>
      <c r="M94" s="167"/>
      <c r="N94" s="126" t="s">
        <v>252</v>
      </c>
      <c r="O94" s="126" t="s">
        <v>253</v>
      </c>
      <c r="P94" s="126" t="s">
        <v>494</v>
      </c>
      <c r="Q94" s="181">
        <f>3107*2.4</f>
        <v>7456.7999999999993</v>
      </c>
      <c r="R94" s="181">
        <v>7546.6440000000002</v>
      </c>
      <c r="S94" s="181"/>
      <c r="T94" s="181">
        <f>R94</f>
        <v>7546.6440000000002</v>
      </c>
      <c r="AV94" s="165">
        <f t="shared" si="22"/>
        <v>44959.277777777781</v>
      </c>
      <c r="AW94" s="165">
        <f t="shared" si="23"/>
        <v>44978.274305555555</v>
      </c>
      <c r="AX94" s="137">
        <f t="shared" si="24"/>
        <v>18.996527777773736</v>
      </c>
      <c r="AY94" s="165">
        <v>44959.277777777781</v>
      </c>
      <c r="AZ94" s="165">
        <v>44959.840277777781</v>
      </c>
      <c r="BA94" s="165">
        <v>44961.6875</v>
      </c>
      <c r="BB94" s="165">
        <v>44969.934027777781</v>
      </c>
      <c r="BC94" s="165">
        <v>44970.125</v>
      </c>
      <c r="BD94" s="165">
        <v>44970.128472222219</v>
      </c>
      <c r="BE94" s="165">
        <v>44970.128472222219</v>
      </c>
      <c r="BF94" s="165">
        <f t="shared" si="39"/>
        <v>44971.836805555555</v>
      </c>
      <c r="BG94" s="165">
        <v>44973.541666608799</v>
      </c>
      <c r="BH94" s="165">
        <v>44973.708333275463</v>
      </c>
      <c r="BI94" s="165">
        <v>44973.736111111109</v>
      </c>
      <c r="BJ94" s="165">
        <v>44976.395833333336</v>
      </c>
      <c r="BK94" s="165">
        <v>44977.618055555555</v>
      </c>
      <c r="BL94" s="165">
        <v>44977.8125</v>
      </c>
      <c r="BM94" s="165">
        <v>44977.833333333336</v>
      </c>
      <c r="BN94" s="165">
        <v>44977.833333333336</v>
      </c>
      <c r="BO94" s="165">
        <v>44978.274305555555</v>
      </c>
      <c r="BR94" s="136">
        <f t="shared" si="25"/>
        <v>44.333333333255723</v>
      </c>
      <c r="BS94" s="136">
        <f t="shared" si="26"/>
        <v>4.5833333332557231</v>
      </c>
      <c r="BT94" s="136">
        <f t="shared" si="27"/>
        <v>41.000000000058208</v>
      </c>
      <c r="BU94" s="136">
        <f t="shared" si="37"/>
        <v>64.500001388951205</v>
      </c>
      <c r="BV94" s="135">
        <f t="shared" si="28"/>
        <v>4.6666666666860692</v>
      </c>
      <c r="BW94" s="135">
        <f t="shared" si="29"/>
        <v>10.583333333255723</v>
      </c>
      <c r="BX94" s="134">
        <f t="shared" si="30"/>
        <v>7.0694445023109438</v>
      </c>
      <c r="BY94" s="134">
        <f t="shared" si="31"/>
        <v>18.996527777773736</v>
      </c>
      <c r="BZ94" s="133">
        <f t="shared" si="32"/>
        <v>0.37214403521586276</v>
      </c>
    </row>
    <row r="95" spans="1:78" s="126" customFormat="1">
      <c r="A95" s="192">
        <f t="shared" si="38"/>
        <v>44974.170138888891</v>
      </c>
      <c r="B95" s="126" t="s">
        <v>228</v>
      </c>
      <c r="C95" s="126" t="s">
        <v>229</v>
      </c>
      <c r="D95" s="126" t="s">
        <v>215</v>
      </c>
      <c r="E95" s="126" t="s">
        <v>776</v>
      </c>
      <c r="G95" s="73">
        <v>44971.8125</v>
      </c>
      <c r="H95" s="73">
        <v>44971.791666666664</v>
      </c>
      <c r="I95" s="126" t="s">
        <v>490</v>
      </c>
      <c r="J95" s="126" t="s">
        <v>192</v>
      </c>
      <c r="K95" s="126" t="s">
        <v>192</v>
      </c>
      <c r="L95" s="126" t="s">
        <v>832</v>
      </c>
      <c r="M95" s="167"/>
      <c r="N95" s="126" t="s">
        <v>301</v>
      </c>
      <c r="O95" s="126" t="s">
        <v>302</v>
      </c>
      <c r="P95" s="126" t="s">
        <v>494</v>
      </c>
      <c r="Q95" s="181">
        <f>3852*2.4</f>
        <v>9244.7999999999993</v>
      </c>
      <c r="R95" s="181">
        <v>9140.4230000000007</v>
      </c>
      <c r="S95" s="181"/>
      <c r="T95" s="181">
        <f>R95</f>
        <v>9140.4230000000007</v>
      </c>
      <c r="AV95" s="165">
        <f t="shared" si="22"/>
        <v>44963.088194444441</v>
      </c>
      <c r="AW95" s="165">
        <f t="shared" si="23"/>
        <v>44979.635416666664</v>
      </c>
      <c r="AX95" s="137">
        <f t="shared" si="24"/>
        <v>16.547222222223354</v>
      </c>
      <c r="AY95" s="165">
        <v>44963.088194444441</v>
      </c>
      <c r="AZ95" s="165">
        <v>44968.5625</v>
      </c>
      <c r="BA95" s="165">
        <v>44970.375</v>
      </c>
      <c r="BB95" s="165">
        <v>44974.170138888891</v>
      </c>
      <c r="BC95" s="165">
        <v>44974.416666666664</v>
      </c>
      <c r="BD95" s="165">
        <v>44974.420138888891</v>
      </c>
      <c r="BE95" s="165">
        <v>44974.420138888891</v>
      </c>
      <c r="BF95" s="165">
        <f t="shared" si="39"/>
        <v>44976.128472222226</v>
      </c>
      <c r="BG95" s="165">
        <v>44976.25</v>
      </c>
      <c r="BH95" s="165">
        <v>44976.416666666664</v>
      </c>
      <c r="BI95" s="165">
        <v>44976.295138888891</v>
      </c>
      <c r="BJ95" s="165">
        <v>44977.385416666664</v>
      </c>
      <c r="BK95" s="165">
        <v>44978.854166666664</v>
      </c>
      <c r="BL95" s="165">
        <v>44979.277777777781</v>
      </c>
      <c r="BM95" s="165">
        <v>44979.298611111109</v>
      </c>
      <c r="BN95" s="165">
        <v>44979.298611111109</v>
      </c>
      <c r="BO95" s="165">
        <v>44979.635416666664</v>
      </c>
      <c r="BP95" s="126" t="s">
        <v>729</v>
      </c>
      <c r="BR95" s="136">
        <f t="shared" si="25"/>
        <v>43.5</v>
      </c>
      <c r="BS95" s="136">
        <f t="shared" si="26"/>
        <v>5.9166666665696539</v>
      </c>
      <c r="BT95" s="136">
        <f t="shared" si="27"/>
        <v>41.000000000058208</v>
      </c>
      <c r="BU95" s="136">
        <f>(BJ95-BF95)*24</f>
        <v>30.166666666511446</v>
      </c>
      <c r="BV95" s="135">
        <f t="shared" si="28"/>
        <v>10.166666666802485</v>
      </c>
      <c r="BW95" s="135">
        <f t="shared" si="29"/>
        <v>8.0833333333139308</v>
      </c>
      <c r="BX95" s="134">
        <f t="shared" si="30"/>
        <v>5.7847222222189885</v>
      </c>
      <c r="BY95" s="134">
        <f t="shared" si="31"/>
        <v>16.547222222223354</v>
      </c>
      <c r="BZ95" s="133">
        <f t="shared" si="32"/>
        <v>0.3495887191537172</v>
      </c>
    </row>
    <row r="96" spans="1:78" s="126" customFormat="1">
      <c r="A96" s="192">
        <f t="shared" si="38"/>
        <v>44974.444444444445</v>
      </c>
      <c r="B96" s="126" t="s">
        <v>228</v>
      </c>
      <c r="C96" s="126" t="s">
        <v>229</v>
      </c>
      <c r="D96" s="126" t="s">
        <v>197</v>
      </c>
      <c r="E96" s="126" t="s">
        <v>776</v>
      </c>
      <c r="G96" s="73">
        <v>44971.8125</v>
      </c>
      <c r="H96" s="73">
        <v>44971.791666666664</v>
      </c>
      <c r="I96" s="126" t="s">
        <v>490</v>
      </c>
      <c r="J96" s="126" t="s">
        <v>192</v>
      </c>
      <c r="K96" s="126" t="s">
        <v>192</v>
      </c>
      <c r="L96" s="126" t="s">
        <v>833</v>
      </c>
      <c r="M96" s="167"/>
      <c r="N96" s="126" t="s">
        <v>473</v>
      </c>
      <c r="O96" s="126" t="s">
        <v>474</v>
      </c>
      <c r="P96" s="126" t="s">
        <v>494</v>
      </c>
      <c r="Q96" s="181">
        <f>3136*2.4</f>
        <v>7526.4</v>
      </c>
      <c r="R96" s="181">
        <f>7503.187-509.372</f>
        <v>6993.8149999999996</v>
      </c>
      <c r="S96" s="181"/>
      <c r="T96" s="181">
        <f>R96</f>
        <v>6993.8149999999996</v>
      </c>
      <c r="AV96" s="165">
        <f t="shared" si="22"/>
        <v>44961.854166666664</v>
      </c>
      <c r="AW96" s="165">
        <f t="shared" si="23"/>
        <v>44980.083333333336</v>
      </c>
      <c r="AX96" s="137">
        <f t="shared" si="24"/>
        <v>18.229166666671517</v>
      </c>
      <c r="AY96" s="165">
        <v>44961.854166666664</v>
      </c>
      <c r="AZ96" s="165">
        <v>44968.583333333336</v>
      </c>
      <c r="BA96" s="165">
        <v>44970.416666666664</v>
      </c>
      <c r="BB96" s="165">
        <v>44974.444444444445</v>
      </c>
      <c r="BC96" s="165">
        <v>44974.600694444445</v>
      </c>
      <c r="BD96" s="165">
        <v>44974.611111111109</v>
      </c>
      <c r="BE96" s="165">
        <v>44974.611111111109</v>
      </c>
      <c r="BF96" s="165">
        <f t="shared" si="39"/>
        <v>44976.319444444445</v>
      </c>
      <c r="BG96" s="165">
        <v>44976.25</v>
      </c>
      <c r="BH96" s="165">
        <v>44976.416666666664</v>
      </c>
      <c r="BI96" s="165">
        <v>44976.375</v>
      </c>
      <c r="BJ96" s="165">
        <v>44977.395833333336</v>
      </c>
      <c r="BK96" s="165">
        <v>44979.309027777781</v>
      </c>
      <c r="BL96" s="165">
        <v>44979.631944444445</v>
      </c>
      <c r="BM96" s="165">
        <v>44979.680555555555</v>
      </c>
      <c r="BN96" s="165">
        <v>44979.680555555555</v>
      </c>
      <c r="BO96" s="165">
        <v>44980.083333333336</v>
      </c>
      <c r="BP96" s="126" t="s">
        <v>729</v>
      </c>
      <c r="BR96" s="136">
        <f t="shared" si="25"/>
        <v>43.999999999883585</v>
      </c>
      <c r="BS96" s="136">
        <f t="shared" si="26"/>
        <v>3.75</v>
      </c>
      <c r="BT96" s="136">
        <f t="shared" si="27"/>
        <v>41.000000000058208</v>
      </c>
      <c r="BU96" s="136">
        <f>(BJ96-BF96)*24</f>
        <v>25.833333333372138</v>
      </c>
      <c r="BV96" s="135">
        <f t="shared" si="28"/>
        <v>7.7499999999417923</v>
      </c>
      <c r="BW96" s="135">
        <f t="shared" si="29"/>
        <v>9.6666666667442769</v>
      </c>
      <c r="BX96" s="134">
        <f t="shared" si="30"/>
        <v>5.5</v>
      </c>
      <c r="BY96" s="134">
        <f t="shared" si="31"/>
        <v>18.229166666671517</v>
      </c>
      <c r="BZ96" s="133">
        <f t="shared" si="32"/>
        <v>0.30171428571420544</v>
      </c>
    </row>
    <row r="97" spans="1:78" s="126" customFormat="1">
      <c r="A97" s="192">
        <f t="shared" si="38"/>
        <v>44976.809027777781</v>
      </c>
      <c r="B97" s="126" t="s">
        <v>228</v>
      </c>
      <c r="C97" s="126" t="s">
        <v>229</v>
      </c>
      <c r="D97" s="126" t="s">
        <v>197</v>
      </c>
      <c r="E97" s="126" t="s">
        <v>753</v>
      </c>
      <c r="G97" s="165">
        <v>44976.541666666664</v>
      </c>
      <c r="H97" s="165">
        <v>44976.583333333336</v>
      </c>
      <c r="I97" s="126" t="s">
        <v>490</v>
      </c>
      <c r="J97" s="126" t="s">
        <v>192</v>
      </c>
      <c r="K97" s="126" t="s">
        <v>192</v>
      </c>
      <c r="L97" s="126" t="s">
        <v>834</v>
      </c>
      <c r="M97" s="167"/>
      <c r="N97" s="126" t="s">
        <v>371</v>
      </c>
      <c r="O97" s="126" t="s">
        <v>372</v>
      </c>
      <c r="P97" s="126" t="s">
        <v>835</v>
      </c>
      <c r="Q97" s="181">
        <f>3117*2.4</f>
        <v>7480.7999999999993</v>
      </c>
      <c r="R97" s="181">
        <v>7416.8959999999997</v>
      </c>
      <c r="S97" s="181"/>
      <c r="U97" s="181">
        <f>R97</f>
        <v>7416.8959999999997</v>
      </c>
      <c r="AV97" s="165">
        <f t="shared" si="22"/>
        <v>44968.470138888886</v>
      </c>
      <c r="AW97" s="165">
        <f t="shared" si="23"/>
        <v>44981.604166666664</v>
      </c>
      <c r="AX97" s="137">
        <f t="shared" si="24"/>
        <v>13.134027777778101</v>
      </c>
      <c r="AY97" s="165">
        <v>44968.470138888886</v>
      </c>
      <c r="AZ97" s="165">
        <v>44972.802083333336</v>
      </c>
      <c r="BA97" s="165">
        <v>44974.520833333336</v>
      </c>
      <c r="BB97" s="165">
        <v>44976.809027777781</v>
      </c>
      <c r="BC97" s="165">
        <v>44976.951388888891</v>
      </c>
      <c r="BD97" s="165">
        <v>44976.958333333336</v>
      </c>
      <c r="BE97" s="165">
        <v>44976.958333333336</v>
      </c>
      <c r="BF97" s="165">
        <f t="shared" si="39"/>
        <v>44978.666666666672</v>
      </c>
      <c r="BG97" s="165">
        <v>44979.25</v>
      </c>
      <c r="BH97" s="165">
        <v>44979.416666666664</v>
      </c>
      <c r="BI97" s="165">
        <v>44979.330555555556</v>
      </c>
      <c r="BJ97" s="165">
        <v>44980.604166666664</v>
      </c>
      <c r="BK97" s="165">
        <v>44980.96875</v>
      </c>
      <c r="BL97" s="165">
        <v>44981.135416666664</v>
      </c>
      <c r="BM97" s="165">
        <v>44981.15625</v>
      </c>
      <c r="BN97" s="165">
        <v>44981.284722222219</v>
      </c>
      <c r="BO97" s="165">
        <v>44981.604166666664</v>
      </c>
      <c r="BP97" s="126" t="s">
        <v>836</v>
      </c>
      <c r="BR97" s="136">
        <f t="shared" si="25"/>
        <v>41.25</v>
      </c>
      <c r="BS97" s="136">
        <f t="shared" si="26"/>
        <v>3.4166666666278616</v>
      </c>
      <c r="BT97" s="136">
        <f t="shared" si="27"/>
        <v>41.000000000058208</v>
      </c>
      <c r="BU97" s="136">
        <f>(BJ97-BF97)*24</f>
        <v>46.499999999825377</v>
      </c>
      <c r="BV97" s="135">
        <f t="shared" si="28"/>
        <v>3.9999999999417923</v>
      </c>
      <c r="BW97" s="135">
        <f t="shared" si="29"/>
        <v>7.6666666666860692</v>
      </c>
      <c r="BX97" s="134">
        <f t="shared" si="30"/>
        <v>5.9930555555474712</v>
      </c>
      <c r="BY97" s="134">
        <f t="shared" si="31"/>
        <v>13.134027777778101</v>
      </c>
      <c r="BZ97" s="133">
        <f t="shared" si="32"/>
        <v>0.45629989953937217</v>
      </c>
    </row>
    <row r="98" spans="1:78" s="126" customFormat="1">
      <c r="A98" s="192">
        <f t="shared" si="38"/>
        <v>44973.847222222219</v>
      </c>
      <c r="B98" s="126" t="s">
        <v>228</v>
      </c>
      <c r="C98" s="126" t="s">
        <v>229</v>
      </c>
      <c r="D98" s="126" t="s">
        <v>197</v>
      </c>
      <c r="E98" s="126" t="s">
        <v>776</v>
      </c>
      <c r="G98" s="73">
        <v>44971.8125</v>
      </c>
      <c r="H98" s="73">
        <v>44971.791666666664</v>
      </c>
      <c r="I98" s="126" t="s">
        <v>490</v>
      </c>
      <c r="J98" s="126" t="s">
        <v>192</v>
      </c>
      <c r="K98" s="126" t="s">
        <v>192</v>
      </c>
      <c r="L98" s="126" t="s">
        <v>837</v>
      </c>
      <c r="M98" s="167"/>
      <c r="N98" s="126" t="s">
        <v>267</v>
      </c>
      <c r="O98" s="126" t="s">
        <v>268</v>
      </c>
      <c r="P98" s="126" t="s">
        <v>494</v>
      </c>
      <c r="Q98" s="181">
        <f>3142*2.4</f>
        <v>7540.7999999999993</v>
      </c>
      <c r="R98" s="181">
        <v>7604.7579999999998</v>
      </c>
      <c r="S98" s="181"/>
      <c r="T98" s="181">
        <f>R98</f>
        <v>7604.7579999999998</v>
      </c>
      <c r="AV98" s="165">
        <f t="shared" si="22"/>
        <v>44961.548611111109</v>
      </c>
      <c r="AW98" s="165">
        <f t="shared" si="23"/>
        <v>44978.947916666664</v>
      </c>
      <c r="AX98" s="137">
        <f t="shared" si="24"/>
        <v>17.399305555554747</v>
      </c>
      <c r="AY98" s="165">
        <v>44961.548611111109</v>
      </c>
      <c r="AZ98" s="165">
        <v>44967.708333333336</v>
      </c>
      <c r="BA98" s="165">
        <v>44969.541666666664</v>
      </c>
      <c r="BB98" s="165">
        <v>44973.847222222219</v>
      </c>
      <c r="BC98" s="165">
        <v>44973.989583333336</v>
      </c>
      <c r="BD98" s="165">
        <v>44973.993055555555</v>
      </c>
      <c r="BE98" s="165">
        <v>44973.993055555555</v>
      </c>
      <c r="BF98" s="165">
        <f t="shared" si="39"/>
        <v>44975.701388888891</v>
      </c>
      <c r="BG98" s="165">
        <v>44975.541666608799</v>
      </c>
      <c r="BH98" s="165">
        <v>44975.708333275463</v>
      </c>
      <c r="BI98" s="165">
        <v>44975.666666666664</v>
      </c>
      <c r="BJ98" s="165">
        <v>44977.388888888891</v>
      </c>
      <c r="BK98" s="165">
        <v>44978.083333333336</v>
      </c>
      <c r="BL98" s="165">
        <v>44978.416666666664</v>
      </c>
      <c r="BM98" s="165">
        <v>44978.444444444445</v>
      </c>
      <c r="BN98" s="165">
        <v>44978.638888888891</v>
      </c>
      <c r="BO98" s="165">
        <v>44978.947916666664</v>
      </c>
      <c r="BP98" s="126" t="s">
        <v>698</v>
      </c>
      <c r="BR98" s="136">
        <f t="shared" si="25"/>
        <v>43.999999999883585</v>
      </c>
      <c r="BS98" s="136">
        <f t="shared" si="26"/>
        <v>3.4166666668024845</v>
      </c>
      <c r="BT98" s="136">
        <f t="shared" si="27"/>
        <v>41.000000000058208</v>
      </c>
      <c r="BU98" s="136">
        <f>(BJ98-BF98)*24</f>
        <v>40.5</v>
      </c>
      <c r="BV98" s="135">
        <f t="shared" si="28"/>
        <v>7.9999999998835847</v>
      </c>
      <c r="BW98" s="135">
        <f t="shared" si="29"/>
        <v>7.4166666665696539</v>
      </c>
      <c r="BX98" s="134">
        <f t="shared" si="30"/>
        <v>6.0138888888832298</v>
      </c>
      <c r="BY98" s="134">
        <f t="shared" si="31"/>
        <v>17.399305555554747</v>
      </c>
      <c r="BZ98" s="133">
        <f t="shared" si="32"/>
        <v>0.34563959289532042</v>
      </c>
    </row>
    <row r="99" spans="1:78" s="126" customFormat="1">
      <c r="A99" s="192">
        <f t="shared" si="38"/>
        <v>44974.010416666664</v>
      </c>
      <c r="B99" s="126" t="s">
        <v>228</v>
      </c>
      <c r="C99" s="126" t="s">
        <v>229</v>
      </c>
      <c r="D99" s="126" t="s">
        <v>197</v>
      </c>
      <c r="E99" s="126" t="s">
        <v>776</v>
      </c>
      <c r="G99" s="73">
        <v>44971.8125</v>
      </c>
      <c r="H99" s="73">
        <v>44971.791666666664</v>
      </c>
      <c r="I99" s="126" t="s">
        <v>490</v>
      </c>
      <c r="J99" s="126" t="s">
        <v>192</v>
      </c>
      <c r="K99" s="126" t="s">
        <v>192</v>
      </c>
      <c r="L99" s="126" t="s">
        <v>838</v>
      </c>
      <c r="M99" s="167"/>
      <c r="N99" s="126" t="s">
        <v>249</v>
      </c>
      <c r="O99" s="126" t="s">
        <v>250</v>
      </c>
      <c r="P99" s="126" t="s">
        <v>494</v>
      </c>
      <c r="Q99" s="181">
        <f>3139*2.4</f>
        <v>7533.5999999999995</v>
      </c>
      <c r="R99" s="181">
        <v>7513.1549999999997</v>
      </c>
      <c r="S99" s="181"/>
      <c r="T99" s="181">
        <f>R99</f>
        <v>7513.1549999999997</v>
      </c>
      <c r="AV99" s="165">
        <f t="shared" si="22"/>
        <v>44961.645833333336</v>
      </c>
      <c r="AW99" s="165">
        <f t="shared" si="23"/>
        <v>44979.229166666664</v>
      </c>
      <c r="AX99" s="137">
        <f t="shared" si="24"/>
        <v>17.583333333328483</v>
      </c>
      <c r="AY99" s="165">
        <v>44961.645833333336</v>
      </c>
      <c r="AZ99" s="165">
        <v>44967.8125</v>
      </c>
      <c r="BA99" s="165">
        <v>44969.875</v>
      </c>
      <c r="BB99" s="165">
        <v>44974.010416666664</v>
      </c>
      <c r="BC99" s="165">
        <v>44974.142361111109</v>
      </c>
      <c r="BD99" s="165">
        <v>44974.152777777781</v>
      </c>
      <c r="BE99" s="165">
        <v>44974.354166666664</v>
      </c>
      <c r="BF99" s="165">
        <f t="shared" si="39"/>
        <v>44976.0625</v>
      </c>
      <c r="BG99" s="165">
        <v>44976.25</v>
      </c>
      <c r="BH99" s="165">
        <v>44976.416666666664</v>
      </c>
      <c r="BI99" s="165">
        <v>44976.322916666664</v>
      </c>
      <c r="BJ99" s="165">
        <v>44977.541666666664</v>
      </c>
      <c r="BK99" s="165">
        <v>44978.5</v>
      </c>
      <c r="BL99" s="165">
        <v>44978.78125</v>
      </c>
      <c r="BM99" s="165">
        <v>44978.809027777781</v>
      </c>
      <c r="BN99" s="165">
        <v>44978.809027777781</v>
      </c>
      <c r="BO99" s="165">
        <v>44979.229166666664</v>
      </c>
      <c r="BP99" s="126" t="s">
        <v>729</v>
      </c>
      <c r="BR99" s="136">
        <f t="shared" si="25"/>
        <v>49.5</v>
      </c>
      <c r="BS99" s="136">
        <f t="shared" si="26"/>
        <v>3.1666666666860692</v>
      </c>
      <c r="BT99" s="136">
        <f t="shared" si="27"/>
        <v>41.000000000058208</v>
      </c>
      <c r="BU99" s="136">
        <f>(BJ99-BF99)*24</f>
        <v>35.499999999941792</v>
      </c>
      <c r="BV99" s="135">
        <f t="shared" si="28"/>
        <v>6.75</v>
      </c>
      <c r="BW99" s="135">
        <f t="shared" si="29"/>
        <v>10.083333333197515</v>
      </c>
      <c r="BX99" s="134">
        <f t="shared" si="30"/>
        <v>6.0833333333284827</v>
      </c>
      <c r="BY99" s="134">
        <f t="shared" si="31"/>
        <v>17.583333333328483</v>
      </c>
      <c r="BZ99" s="133">
        <f t="shared" si="32"/>
        <v>0.34597156398086221</v>
      </c>
    </row>
    <row r="100" spans="1:78" s="126" customFormat="1">
      <c r="A100" s="192">
        <f t="shared" si="38"/>
        <v>44978.908333333333</v>
      </c>
      <c r="B100" s="126" t="s">
        <v>228</v>
      </c>
      <c r="C100" s="126" t="s">
        <v>229</v>
      </c>
      <c r="D100" s="126" t="s">
        <v>197</v>
      </c>
      <c r="E100" s="126" t="s">
        <v>756</v>
      </c>
      <c r="F100" s="126" t="s">
        <v>753</v>
      </c>
      <c r="G100" s="73">
        <v>44981.375</v>
      </c>
      <c r="H100" s="73">
        <v>44981.375</v>
      </c>
      <c r="I100" s="126" t="s">
        <v>490</v>
      </c>
      <c r="J100" s="126" t="s">
        <v>192</v>
      </c>
      <c r="K100" s="126" t="s">
        <v>192</v>
      </c>
      <c r="L100" s="126" t="s">
        <v>839</v>
      </c>
      <c r="M100" s="167"/>
      <c r="N100" s="126" t="s">
        <v>330</v>
      </c>
      <c r="O100" s="126" t="s">
        <v>331</v>
      </c>
      <c r="P100" s="126" t="s">
        <v>840</v>
      </c>
      <c r="Q100" s="181">
        <f>3136*2.4</f>
        <v>7526.4</v>
      </c>
      <c r="R100" s="181">
        <v>7712.2460000000001</v>
      </c>
      <c r="S100" s="181"/>
      <c r="T100" s="181">
        <f>R100*0.45</f>
        <v>3470.5107000000003</v>
      </c>
      <c r="U100" s="181">
        <f>R100*0.55</f>
        <v>4241.7353000000003</v>
      </c>
      <c r="AV100" s="165">
        <f t="shared" si="22"/>
        <v>44959.694444444445</v>
      </c>
      <c r="AW100" s="165">
        <f t="shared" si="23"/>
        <v>44983.503472222219</v>
      </c>
      <c r="AX100" s="137">
        <f t="shared" si="24"/>
        <v>23.809027777773736</v>
      </c>
      <c r="AY100" s="165">
        <v>44959.694444444445</v>
      </c>
      <c r="AZ100" s="165">
        <v>44970.826388888891</v>
      </c>
      <c r="BA100" s="165">
        <v>44976.027777777781</v>
      </c>
      <c r="BB100" s="165">
        <v>44978.908333333333</v>
      </c>
      <c r="BC100" s="165">
        <v>44979.083333333336</v>
      </c>
      <c r="BD100" s="165">
        <v>44979.09375</v>
      </c>
      <c r="BE100" s="165">
        <v>44979.09375</v>
      </c>
      <c r="BF100" s="165">
        <f t="shared" si="39"/>
        <v>44980.802083333336</v>
      </c>
      <c r="BG100" s="165">
        <v>44981.25</v>
      </c>
      <c r="BH100" s="165">
        <v>44981.416666666664</v>
      </c>
      <c r="BI100" s="165">
        <v>44981.357638888891</v>
      </c>
      <c r="BJ100" s="165">
        <v>44982.625</v>
      </c>
      <c r="BK100" s="165">
        <v>44982.930555555555</v>
      </c>
      <c r="BL100" s="165">
        <v>44983.1875</v>
      </c>
      <c r="BM100" s="165">
        <v>44983.201388888891</v>
      </c>
      <c r="BN100" s="165">
        <v>44983.201388888891</v>
      </c>
      <c r="BO100" s="165">
        <v>44983.503472222219</v>
      </c>
      <c r="BP100" s="126" t="s">
        <v>698</v>
      </c>
      <c r="BR100" s="136">
        <f t="shared" si="25"/>
        <v>124.83333333337214</v>
      </c>
      <c r="BS100" s="136">
        <f t="shared" si="26"/>
        <v>4.2000000000698492</v>
      </c>
      <c r="BT100" s="136">
        <f t="shared" si="27"/>
        <v>41.000000000058208</v>
      </c>
      <c r="BU100" s="136">
        <f>(BJ100-BH100)*24</f>
        <v>29.000000000058208</v>
      </c>
      <c r="BV100" s="135">
        <f t="shared" si="28"/>
        <v>6.1666666666860692</v>
      </c>
      <c r="BW100" s="135">
        <f t="shared" si="29"/>
        <v>7.2499999998835847</v>
      </c>
      <c r="BX100" s="134">
        <f t="shared" si="30"/>
        <v>8.852083333338669</v>
      </c>
      <c r="BY100" s="134">
        <f t="shared" si="31"/>
        <v>23.809027777773736</v>
      </c>
      <c r="BZ100" s="133">
        <f t="shared" si="32"/>
        <v>0.37179524573457334</v>
      </c>
    </row>
    <row r="101" spans="1:78" s="126" customFormat="1">
      <c r="A101" s="192">
        <f t="shared" si="38"/>
        <v>44976.975694444445</v>
      </c>
      <c r="B101" s="126" t="s">
        <v>228</v>
      </c>
      <c r="C101" s="126" t="s">
        <v>229</v>
      </c>
      <c r="D101" s="126" t="s">
        <v>197</v>
      </c>
      <c r="E101" s="126" t="s">
        <v>753</v>
      </c>
      <c r="G101" s="165">
        <v>44976.541666666664</v>
      </c>
      <c r="H101" s="165">
        <v>44976.583333333336</v>
      </c>
      <c r="I101" s="126" t="s">
        <v>490</v>
      </c>
      <c r="J101" s="126" t="s">
        <v>192</v>
      </c>
      <c r="K101" s="126" t="s">
        <v>192</v>
      </c>
      <c r="L101" s="126" t="s">
        <v>841</v>
      </c>
      <c r="M101" s="167"/>
      <c r="N101" s="126" t="s">
        <v>492</v>
      </c>
      <c r="O101" s="126" t="s">
        <v>493</v>
      </c>
      <c r="P101" s="126" t="s">
        <v>835</v>
      </c>
      <c r="Q101" s="181">
        <f>3152*2.4</f>
        <v>7564.7999999999993</v>
      </c>
      <c r="R101" s="181">
        <v>7568.81</v>
      </c>
      <c r="S101" s="181"/>
      <c r="U101" s="181">
        <f>R101</f>
        <v>7568.81</v>
      </c>
      <c r="AV101" s="165">
        <f t="shared" si="22"/>
        <v>44964.458333333336</v>
      </c>
      <c r="AW101" s="165">
        <f t="shared" si="23"/>
        <v>44982.25</v>
      </c>
      <c r="AX101" s="137">
        <f t="shared" si="24"/>
        <v>17.791666666664241</v>
      </c>
      <c r="AY101" s="165">
        <v>44964.458333333336</v>
      </c>
      <c r="AZ101" s="165">
        <v>44972.625</v>
      </c>
      <c r="BA101" s="165">
        <v>44974.673611111109</v>
      </c>
      <c r="BB101" s="165">
        <v>44976.975694444445</v>
      </c>
      <c r="BC101" s="165">
        <v>44977.256944444445</v>
      </c>
      <c r="BD101" s="165">
        <v>44977.267361111109</v>
      </c>
      <c r="BE101" s="165">
        <v>44977.267361111109</v>
      </c>
      <c r="BF101" s="165">
        <f t="shared" si="39"/>
        <v>44978.975694444445</v>
      </c>
      <c r="BG101" s="165">
        <v>44979.25</v>
      </c>
      <c r="BH101" s="165">
        <v>44979.416666666664</v>
      </c>
      <c r="BI101" s="165">
        <v>44979.309027777781</v>
      </c>
      <c r="BJ101" s="165">
        <v>44980.5625</v>
      </c>
      <c r="BK101" s="165">
        <v>44981.197916666664</v>
      </c>
      <c r="BL101" s="165">
        <v>44981.885416666664</v>
      </c>
      <c r="BM101" s="165">
        <v>44981.90625</v>
      </c>
      <c r="BN101" s="165">
        <v>44981.90625</v>
      </c>
      <c r="BO101" s="165">
        <v>44982.25</v>
      </c>
      <c r="BP101" s="126" t="s">
        <v>836</v>
      </c>
      <c r="BR101" s="136">
        <f t="shared" si="25"/>
        <v>49.166666666627862</v>
      </c>
      <c r="BS101" s="136">
        <f t="shared" si="26"/>
        <v>6.75</v>
      </c>
      <c r="BT101" s="136">
        <f t="shared" si="27"/>
        <v>41.000000000058208</v>
      </c>
      <c r="BU101" s="136">
        <f t="shared" ref="BU101:BU108" si="40">(BJ101-BF101)*24</f>
        <v>38.083333333313931</v>
      </c>
      <c r="BV101" s="135">
        <f t="shared" si="28"/>
        <v>16.5</v>
      </c>
      <c r="BW101" s="135">
        <f t="shared" si="29"/>
        <v>8.25</v>
      </c>
      <c r="BX101" s="134">
        <f t="shared" si="30"/>
        <v>6.65625</v>
      </c>
      <c r="BY101" s="134">
        <f t="shared" si="31"/>
        <v>17.791666666664241</v>
      </c>
      <c r="BZ101" s="133">
        <f t="shared" si="32"/>
        <v>0.37412177985953576</v>
      </c>
    </row>
    <row r="102" spans="1:78" s="126" customFormat="1">
      <c r="A102" s="192">
        <f t="shared" si="38"/>
        <v>44977.315972222219</v>
      </c>
      <c r="B102" s="126" t="s">
        <v>228</v>
      </c>
      <c r="C102" s="126" t="s">
        <v>229</v>
      </c>
      <c r="D102" s="126" t="s">
        <v>197</v>
      </c>
      <c r="E102" s="126" t="s">
        <v>753</v>
      </c>
      <c r="G102" s="165">
        <v>44976.541666666664</v>
      </c>
      <c r="H102" s="165">
        <v>44976.583333333336</v>
      </c>
      <c r="I102" s="126" t="s">
        <v>490</v>
      </c>
      <c r="J102" s="126" t="s">
        <v>192</v>
      </c>
      <c r="K102" s="126" t="s">
        <v>192</v>
      </c>
      <c r="L102" s="126" t="s">
        <v>842</v>
      </c>
      <c r="M102" s="167"/>
      <c r="N102" s="126" t="s">
        <v>364</v>
      </c>
      <c r="O102" s="126" t="s">
        <v>365</v>
      </c>
      <c r="P102" s="126" t="s">
        <v>835</v>
      </c>
      <c r="Q102" s="181">
        <f>3142*2.4</f>
        <v>7540.7999999999993</v>
      </c>
      <c r="R102" s="181">
        <v>7505.18</v>
      </c>
      <c r="S102" s="181"/>
      <c r="U102" s="181">
        <f>R102</f>
        <v>7505.18</v>
      </c>
      <c r="AV102" s="165">
        <f t="shared" si="22"/>
        <v>44964.479166666664</v>
      </c>
      <c r="AW102" s="165">
        <f t="shared" si="23"/>
        <v>44982.604166666664</v>
      </c>
      <c r="AX102" s="137">
        <f t="shared" si="24"/>
        <v>18.125</v>
      </c>
      <c r="AY102" s="165">
        <v>44964.479166666664</v>
      </c>
      <c r="AZ102" s="165">
        <v>44973.371527777781</v>
      </c>
      <c r="BA102" s="165">
        <v>44974.923611111109</v>
      </c>
      <c r="BB102" s="165">
        <v>44977.315972222219</v>
      </c>
      <c r="BC102" s="165">
        <v>44977.486111111109</v>
      </c>
      <c r="BD102" s="165">
        <v>44977.489583333336</v>
      </c>
      <c r="BE102" s="165">
        <v>44977.489583333336</v>
      </c>
      <c r="BF102" s="165">
        <f t="shared" si="39"/>
        <v>44979.197916666672</v>
      </c>
      <c r="BG102" s="165">
        <v>44979.25</v>
      </c>
      <c r="BH102" s="165">
        <v>44979.416666666664</v>
      </c>
      <c r="BI102" s="165">
        <v>44979.347222222219</v>
      </c>
      <c r="BJ102" s="165">
        <v>44980.791666666664</v>
      </c>
      <c r="BK102" s="165">
        <v>44981.947916666664</v>
      </c>
      <c r="BL102" s="165">
        <v>44982.260416666664</v>
      </c>
      <c r="BM102" s="165">
        <v>44982.28125</v>
      </c>
      <c r="BN102" s="165">
        <v>44982.28125</v>
      </c>
      <c r="BO102" s="165">
        <v>44982.604166666664</v>
      </c>
      <c r="BP102" s="126" t="s">
        <v>836</v>
      </c>
      <c r="BR102" s="136">
        <f t="shared" si="25"/>
        <v>37.249999999883585</v>
      </c>
      <c r="BS102" s="136">
        <f t="shared" si="26"/>
        <v>4.0833333333721384</v>
      </c>
      <c r="BT102" s="136">
        <f t="shared" si="27"/>
        <v>41.000000000058208</v>
      </c>
      <c r="BU102" s="136">
        <f t="shared" si="40"/>
        <v>38.249999999825377</v>
      </c>
      <c r="BV102" s="135">
        <f t="shared" si="28"/>
        <v>7.5</v>
      </c>
      <c r="BW102" s="135">
        <f t="shared" si="29"/>
        <v>7.7499999999417923</v>
      </c>
      <c r="BX102" s="134">
        <f t="shared" si="30"/>
        <v>5.6597222222117125</v>
      </c>
      <c r="BY102" s="134">
        <f t="shared" si="31"/>
        <v>18.125</v>
      </c>
      <c r="BZ102" s="133">
        <f t="shared" si="32"/>
        <v>0.31226053639788759</v>
      </c>
    </row>
    <row r="103" spans="1:78" s="126" customFormat="1">
      <c r="A103" s="192">
        <f t="shared" si="38"/>
        <v>44979.628472222219</v>
      </c>
      <c r="B103" s="126" t="s">
        <v>228</v>
      </c>
      <c r="C103" s="126" t="s">
        <v>229</v>
      </c>
      <c r="D103" s="126" t="s">
        <v>197</v>
      </c>
      <c r="E103" s="126" t="s">
        <v>756</v>
      </c>
      <c r="G103" s="73">
        <v>44981.375</v>
      </c>
      <c r="H103" s="73">
        <v>44981.375</v>
      </c>
      <c r="I103" s="126" t="s">
        <v>490</v>
      </c>
      <c r="J103" s="126" t="s">
        <v>192</v>
      </c>
      <c r="K103" s="126" t="s">
        <v>192</v>
      </c>
      <c r="L103" s="126" t="s">
        <v>843</v>
      </c>
      <c r="M103" s="167"/>
      <c r="N103" s="126" t="s">
        <v>284</v>
      </c>
      <c r="O103" s="126" t="s">
        <v>264</v>
      </c>
      <c r="P103" s="126" t="s">
        <v>840</v>
      </c>
      <c r="Q103" s="181">
        <f>3136*2.4</f>
        <v>7526.4</v>
      </c>
      <c r="R103" s="181">
        <f>7504.516-6517.905</f>
        <v>986.61099999999988</v>
      </c>
      <c r="S103" s="181"/>
      <c r="T103" s="181">
        <f>R103*0.55</f>
        <v>542.63604999999995</v>
      </c>
      <c r="U103" s="181">
        <f>R103*0.45</f>
        <v>443.97494999999998</v>
      </c>
      <c r="AV103" s="165">
        <f t="shared" si="22"/>
        <v>44964.513888888891</v>
      </c>
      <c r="AW103" s="165">
        <f t="shared" si="23"/>
        <v>44984.145833333336</v>
      </c>
      <c r="AX103" s="137">
        <f t="shared" si="24"/>
        <v>19.631944444445253</v>
      </c>
      <c r="AY103" s="165">
        <v>44964.513888888891</v>
      </c>
      <c r="AZ103" s="165">
        <v>44974.798611111109</v>
      </c>
      <c r="BA103" s="165">
        <v>44976.75</v>
      </c>
      <c r="BB103" s="165">
        <v>44979.628472222219</v>
      </c>
      <c r="BC103" s="165">
        <v>44979.760416666664</v>
      </c>
      <c r="BD103" s="165">
        <v>44979.767361111109</v>
      </c>
      <c r="BE103" s="165">
        <v>44979.767361111109</v>
      </c>
      <c r="BF103" s="165">
        <f t="shared" si="39"/>
        <v>44981.475694444445</v>
      </c>
      <c r="BG103" s="165">
        <v>44981.25</v>
      </c>
      <c r="BH103" s="165">
        <v>44981.416666666664</v>
      </c>
      <c r="BI103" s="165">
        <v>44981.409722222219</v>
      </c>
      <c r="BJ103" s="165">
        <v>44982.604166666664</v>
      </c>
      <c r="BK103" s="165">
        <v>44984.069444444445</v>
      </c>
      <c r="BL103" s="165">
        <v>44984.100694444445</v>
      </c>
      <c r="BM103" s="165">
        <v>44984.145833333336</v>
      </c>
      <c r="BN103" s="165">
        <v>44984.145833333336</v>
      </c>
      <c r="BO103" s="165">
        <v>44984.145833333336</v>
      </c>
      <c r="BP103" s="126" t="s">
        <v>836</v>
      </c>
      <c r="BR103" s="136">
        <f t="shared" si="25"/>
        <v>46.833333333372138</v>
      </c>
      <c r="BS103" s="136">
        <f t="shared" si="26"/>
        <v>3.1666666666860692</v>
      </c>
      <c r="BT103" s="136">
        <f t="shared" si="27"/>
        <v>41.000000000058208</v>
      </c>
      <c r="BU103" s="136">
        <f t="shared" si="40"/>
        <v>27.083333333255723</v>
      </c>
      <c r="BV103" s="135">
        <f t="shared" si="28"/>
        <v>0.75</v>
      </c>
      <c r="BW103" s="135">
        <f t="shared" si="29"/>
        <v>0</v>
      </c>
      <c r="BX103" s="134">
        <f t="shared" si="30"/>
        <v>4.9513888888905058</v>
      </c>
      <c r="BY103" s="134">
        <f t="shared" si="31"/>
        <v>19.631944444445253</v>
      </c>
      <c r="BZ103" s="133">
        <f t="shared" si="32"/>
        <v>0.25221082419533197</v>
      </c>
    </row>
    <row r="104" spans="1:78" s="126" customFormat="1">
      <c r="A104" s="192">
        <f t="shared" si="38"/>
        <v>44979.628472222219</v>
      </c>
      <c r="B104" s="126" t="s">
        <v>228</v>
      </c>
      <c r="C104" s="126" t="s">
        <v>229</v>
      </c>
      <c r="D104" s="126" t="s">
        <v>197</v>
      </c>
      <c r="E104" s="126" t="s">
        <v>759</v>
      </c>
      <c r="G104" s="73">
        <v>44981.333333333336</v>
      </c>
      <c r="H104" s="73">
        <v>44981.356944444444</v>
      </c>
      <c r="I104" s="126" t="s">
        <v>490</v>
      </c>
      <c r="J104" s="126" t="s">
        <v>192</v>
      </c>
      <c r="K104" s="126" t="s">
        <v>192</v>
      </c>
      <c r="L104" s="126" t="s">
        <v>843</v>
      </c>
      <c r="M104" s="167"/>
      <c r="N104" s="126" t="s">
        <v>284</v>
      </c>
      <c r="O104" s="126" t="s">
        <v>264</v>
      </c>
      <c r="P104" s="126" t="s">
        <v>840</v>
      </c>
      <c r="Q104" s="181">
        <f>3136*2.4</f>
        <v>7526.4</v>
      </c>
      <c r="R104" s="181">
        <v>6142.99</v>
      </c>
      <c r="S104" s="181"/>
      <c r="T104" s="181">
        <f>R104*0.55</f>
        <v>3378.6445000000003</v>
      </c>
      <c r="U104" s="181">
        <f>R104*0.45</f>
        <v>2764.3454999999999</v>
      </c>
      <c r="AV104" s="165">
        <f t="shared" si="22"/>
        <v>44964.513888888891</v>
      </c>
      <c r="AW104" s="165">
        <f t="shared" si="23"/>
        <v>44987.472222222219</v>
      </c>
      <c r="AX104" s="137">
        <f t="shared" si="24"/>
        <v>22.958333333328483</v>
      </c>
      <c r="AY104" s="165">
        <v>44964.513888888891</v>
      </c>
      <c r="AZ104" s="165">
        <v>44974.798611111109</v>
      </c>
      <c r="BA104" s="165">
        <v>44976.75</v>
      </c>
      <c r="BB104" s="165">
        <v>44979.628472222219</v>
      </c>
      <c r="BC104" s="165">
        <v>44979.760416666664</v>
      </c>
      <c r="BD104" s="165">
        <v>44979.767361111109</v>
      </c>
      <c r="BE104" s="165">
        <v>44979.767361111109</v>
      </c>
      <c r="BF104" s="165">
        <f t="shared" si="39"/>
        <v>44981.475694444445</v>
      </c>
      <c r="BG104" s="165">
        <f>BG89</f>
        <v>0</v>
      </c>
      <c r="BH104" s="165">
        <f>BH89</f>
        <v>0</v>
      </c>
      <c r="BI104" s="165">
        <v>44981.409722222219</v>
      </c>
      <c r="BJ104" s="165">
        <v>44984.145833333336</v>
      </c>
      <c r="BK104" s="165">
        <v>44986.510416666664</v>
      </c>
      <c r="BL104" s="165">
        <v>44986.777777777781</v>
      </c>
      <c r="BM104" s="165">
        <v>44986.8125</v>
      </c>
      <c r="BN104" s="165">
        <v>44986.8125</v>
      </c>
      <c r="BO104" s="165">
        <v>44987.472222222219</v>
      </c>
      <c r="BP104" s="126" t="s">
        <v>836</v>
      </c>
      <c r="BR104" s="136">
        <f t="shared" si="25"/>
        <v>46.833333333372138</v>
      </c>
      <c r="BS104" s="136">
        <f t="shared" si="26"/>
        <v>3.1666666666860692</v>
      </c>
      <c r="BT104" s="136">
        <f t="shared" si="27"/>
        <v>41.000000000058208</v>
      </c>
      <c r="BU104" s="136">
        <f t="shared" si="40"/>
        <v>64.083333333372138</v>
      </c>
      <c r="BV104" s="135">
        <f t="shared" si="28"/>
        <v>6.4166666668024845</v>
      </c>
      <c r="BW104" s="135">
        <f t="shared" si="29"/>
        <v>15.833333333255723</v>
      </c>
      <c r="BX104" s="134">
        <f t="shared" si="30"/>
        <v>7.3888888888977817</v>
      </c>
      <c r="BY104" s="134">
        <f t="shared" si="31"/>
        <v>22.958333333328483</v>
      </c>
      <c r="BZ104" s="133">
        <f t="shared" si="32"/>
        <v>0.32183908046022547</v>
      </c>
    </row>
    <row r="105" spans="1:78" s="126" customFormat="1">
      <c r="A105" s="192">
        <f t="shared" si="38"/>
        <v>44977.756944444445</v>
      </c>
      <c r="B105" s="126" t="s">
        <v>228</v>
      </c>
      <c r="C105" s="126" t="s">
        <v>229</v>
      </c>
      <c r="D105" s="126" t="s">
        <v>197</v>
      </c>
      <c r="E105" s="126" t="s">
        <v>753</v>
      </c>
      <c r="G105" s="165">
        <v>44976.541666666664</v>
      </c>
      <c r="H105" s="165">
        <v>44976.583333333336</v>
      </c>
      <c r="I105" s="126" t="s">
        <v>490</v>
      </c>
      <c r="J105" s="126" t="s">
        <v>192</v>
      </c>
      <c r="K105" s="126" t="s">
        <v>192</v>
      </c>
      <c r="L105" s="126" t="s">
        <v>844</v>
      </c>
      <c r="M105" s="167"/>
      <c r="N105" s="126" t="s">
        <v>298</v>
      </c>
      <c r="O105" s="126" t="s">
        <v>299</v>
      </c>
      <c r="P105" s="126" t="s">
        <v>835</v>
      </c>
      <c r="Q105" s="181">
        <f>4337*2.4</f>
        <v>10408.799999999999</v>
      </c>
      <c r="R105" s="181">
        <v>10328.034</v>
      </c>
      <c r="S105" s="181"/>
      <c r="U105" s="181">
        <f>R105</f>
        <v>10328.034</v>
      </c>
      <c r="AV105" s="165">
        <f t="shared" si="22"/>
        <v>44964.885416666664</v>
      </c>
      <c r="AW105" s="165">
        <f t="shared" si="23"/>
        <v>44983.1875</v>
      </c>
      <c r="AX105" s="137">
        <f t="shared" si="24"/>
        <v>18.302083333335759</v>
      </c>
      <c r="AY105" s="165">
        <v>44964.885416666664</v>
      </c>
      <c r="AZ105" s="165">
        <v>44973.361111111109</v>
      </c>
      <c r="BA105" s="165">
        <v>44974.916666666664</v>
      </c>
      <c r="BB105" s="165">
        <v>44977.756944444445</v>
      </c>
      <c r="BC105" s="165">
        <v>44978.006944444445</v>
      </c>
      <c r="BD105" s="165">
        <v>44978.017361111109</v>
      </c>
      <c r="BE105" s="165">
        <v>44978.284722222219</v>
      </c>
      <c r="BF105" s="165">
        <f t="shared" si="39"/>
        <v>44979.993055555555</v>
      </c>
      <c r="BG105" s="165">
        <v>44980.25</v>
      </c>
      <c r="BH105" s="165">
        <v>44980.416666666664</v>
      </c>
      <c r="BI105" s="165">
        <v>44980.326388888891</v>
      </c>
      <c r="BJ105" s="165">
        <v>44981.597222222219</v>
      </c>
      <c r="BK105" s="165">
        <v>44982.631944444445</v>
      </c>
      <c r="BL105" s="165">
        <v>44982.864583333336</v>
      </c>
      <c r="BM105" s="165">
        <v>44982.885416666664</v>
      </c>
      <c r="BN105" s="165">
        <v>44982.885416666664</v>
      </c>
      <c r="BO105" s="165">
        <v>44983.1875</v>
      </c>
      <c r="BP105" s="126" t="s">
        <v>836</v>
      </c>
      <c r="BR105" s="136">
        <f t="shared" si="25"/>
        <v>37.333333333313931</v>
      </c>
      <c r="BS105" s="136">
        <f t="shared" si="26"/>
        <v>6</v>
      </c>
      <c r="BT105" s="136">
        <f t="shared" si="27"/>
        <v>41.000000000058208</v>
      </c>
      <c r="BU105" s="136">
        <f t="shared" si="40"/>
        <v>38.499999999941792</v>
      </c>
      <c r="BV105" s="135">
        <f t="shared" si="28"/>
        <v>5.5833333333721384</v>
      </c>
      <c r="BW105" s="135">
        <f t="shared" si="29"/>
        <v>7.2500000000582077</v>
      </c>
      <c r="BX105" s="134">
        <f t="shared" si="30"/>
        <v>5.6527777777810115</v>
      </c>
      <c r="BY105" s="134">
        <f t="shared" si="31"/>
        <v>18.302083333335759</v>
      </c>
      <c r="BZ105" s="133">
        <f t="shared" si="32"/>
        <v>0.30885979889977527</v>
      </c>
    </row>
    <row r="106" spans="1:78" s="126" customFormat="1">
      <c r="A106" s="192">
        <f t="shared" si="38"/>
        <v>44977.506944444445</v>
      </c>
      <c r="B106" s="126" t="s">
        <v>228</v>
      </c>
      <c r="C106" s="126" t="s">
        <v>229</v>
      </c>
      <c r="D106" s="126" t="s">
        <v>197</v>
      </c>
      <c r="E106" s="126" t="s">
        <v>753</v>
      </c>
      <c r="G106" s="165">
        <v>44976.541666666664</v>
      </c>
      <c r="H106" s="165">
        <v>44976.583333333336</v>
      </c>
      <c r="I106" s="126" t="s">
        <v>490</v>
      </c>
      <c r="J106" s="126" t="s">
        <v>192</v>
      </c>
      <c r="K106" s="126" t="s">
        <v>192</v>
      </c>
      <c r="L106" s="126" t="s">
        <v>845</v>
      </c>
      <c r="M106" s="167"/>
      <c r="N106" s="126" t="s">
        <v>295</v>
      </c>
      <c r="O106" s="126" t="s">
        <v>296</v>
      </c>
      <c r="P106" s="126" t="s">
        <v>846</v>
      </c>
      <c r="Q106" s="181">
        <f>4118*2.4</f>
        <v>9883.1999999999989</v>
      </c>
      <c r="R106" s="181">
        <v>9915.7939999999999</v>
      </c>
      <c r="S106" s="181"/>
      <c r="T106" s="181">
        <f>R106*0.3</f>
        <v>2974.7381999999998</v>
      </c>
      <c r="U106" s="181">
        <f>R106*0.7</f>
        <v>6941.0557999999992</v>
      </c>
      <c r="AV106" s="165">
        <f t="shared" si="22"/>
        <v>44963.8125</v>
      </c>
      <c r="AW106" s="165">
        <f t="shared" si="23"/>
        <v>44982.902777777781</v>
      </c>
      <c r="AX106" s="137">
        <f t="shared" si="24"/>
        <v>19.090277777781012</v>
      </c>
      <c r="AY106" s="165">
        <v>44963.8125</v>
      </c>
      <c r="AZ106" s="165">
        <v>44972.656944444447</v>
      </c>
      <c r="BA106" s="165">
        <v>44974.53125</v>
      </c>
      <c r="BB106" s="165">
        <v>44977.506944444445</v>
      </c>
      <c r="BC106" s="165">
        <v>44977.694444444445</v>
      </c>
      <c r="BD106" s="165">
        <v>44977.697916666664</v>
      </c>
      <c r="BE106" s="165">
        <v>44977.697916666664</v>
      </c>
      <c r="BF106" s="165">
        <f t="shared" si="39"/>
        <v>44979.40625</v>
      </c>
      <c r="BG106" s="165">
        <v>44979.25</v>
      </c>
      <c r="BH106" s="165">
        <v>44979.416666666664</v>
      </c>
      <c r="BI106" s="165">
        <v>44979.386805555558</v>
      </c>
      <c r="BJ106" s="165">
        <v>44980.798611111109</v>
      </c>
      <c r="BK106" s="165">
        <v>44982.322916666664</v>
      </c>
      <c r="BL106" s="165">
        <v>44982.569444444445</v>
      </c>
      <c r="BM106" s="165">
        <v>44982.590277777781</v>
      </c>
      <c r="BN106" s="165">
        <v>44982.590277777781</v>
      </c>
      <c r="BO106" s="165">
        <v>44982.902777777781</v>
      </c>
      <c r="BP106" s="126" t="s">
        <v>738</v>
      </c>
      <c r="BR106" s="136">
        <f t="shared" si="25"/>
        <v>44.983333333279006</v>
      </c>
      <c r="BS106" s="136">
        <f t="shared" si="26"/>
        <v>4.5</v>
      </c>
      <c r="BT106" s="136">
        <f t="shared" si="27"/>
        <v>41.000000000058208</v>
      </c>
      <c r="BU106" s="136">
        <f t="shared" si="40"/>
        <v>33.416666666627862</v>
      </c>
      <c r="BV106" s="135">
        <f t="shared" si="28"/>
        <v>5.9166666667442769</v>
      </c>
      <c r="BW106" s="135">
        <f t="shared" si="29"/>
        <v>7.5</v>
      </c>
      <c r="BX106" s="134">
        <f t="shared" si="30"/>
        <v>5.7215277777795563</v>
      </c>
      <c r="BY106" s="134">
        <f t="shared" si="31"/>
        <v>19.090277777781012</v>
      </c>
      <c r="BZ106" s="133">
        <f t="shared" si="32"/>
        <v>0.29970898508552801</v>
      </c>
    </row>
    <row r="107" spans="1:78" s="126" customFormat="1">
      <c r="A107" s="192">
        <f t="shared" si="38"/>
        <v>44978.038194444445</v>
      </c>
      <c r="B107" s="126" t="s">
        <v>228</v>
      </c>
      <c r="C107" s="126" t="s">
        <v>229</v>
      </c>
      <c r="D107" s="126" t="s">
        <v>197</v>
      </c>
      <c r="E107" s="126" t="s">
        <v>753</v>
      </c>
      <c r="G107" s="165">
        <v>44976.541666666664</v>
      </c>
      <c r="H107" s="165">
        <v>44976.583333333336</v>
      </c>
      <c r="I107" s="126" t="s">
        <v>490</v>
      </c>
      <c r="J107" s="126" t="s">
        <v>192</v>
      </c>
      <c r="K107" s="126" t="s">
        <v>192</v>
      </c>
      <c r="L107" s="126" t="s">
        <v>847</v>
      </c>
      <c r="M107" s="167"/>
      <c r="N107" s="126" t="s">
        <v>346</v>
      </c>
      <c r="O107" s="126" t="s">
        <v>347</v>
      </c>
      <c r="P107" s="126" t="s">
        <v>848</v>
      </c>
      <c r="Q107" s="181">
        <f>3136*2.4</f>
        <v>7526.4</v>
      </c>
      <c r="R107" s="181">
        <f>7560.231-4421.055</f>
        <v>3139.1759999999995</v>
      </c>
      <c r="S107" s="181"/>
      <c r="T107" s="181">
        <f>R107*0.3</f>
        <v>941.75279999999975</v>
      </c>
      <c r="U107" s="181">
        <f>R107*0.7</f>
        <v>2197.4231999999993</v>
      </c>
      <c r="AV107" s="165">
        <f t="shared" si="22"/>
        <v>44968.395833333336</v>
      </c>
      <c r="AW107" s="165">
        <f t="shared" si="23"/>
        <v>44983.083333333336</v>
      </c>
      <c r="AX107" s="137">
        <f t="shared" si="24"/>
        <v>14.6875</v>
      </c>
      <c r="AY107" s="165">
        <v>44968.395833333336</v>
      </c>
      <c r="AZ107" s="165">
        <v>44973.350694444445</v>
      </c>
      <c r="BA107" s="165">
        <v>44975.395833333336</v>
      </c>
      <c r="BB107" s="165">
        <v>44978.038194444445</v>
      </c>
      <c r="BC107" s="165">
        <v>44978.177083333336</v>
      </c>
      <c r="BD107" s="165">
        <v>44978.184027777781</v>
      </c>
      <c r="BE107" s="165">
        <v>44978.184027777781</v>
      </c>
      <c r="BF107" s="165">
        <f t="shared" si="39"/>
        <v>44979.892361111117</v>
      </c>
      <c r="BG107" s="165">
        <v>44980.25</v>
      </c>
      <c r="BH107" s="165">
        <v>44980.416666666664</v>
      </c>
      <c r="BI107" s="165">
        <v>44980.284722222219</v>
      </c>
      <c r="BJ107" s="165">
        <v>44981.583333333336</v>
      </c>
      <c r="BK107" s="165">
        <v>44982.927083333336</v>
      </c>
      <c r="BL107" s="165">
        <v>44983.038194444445</v>
      </c>
      <c r="BM107" s="165">
        <v>44983.083333333336</v>
      </c>
      <c r="BN107" s="165">
        <v>44983.083333333336</v>
      </c>
      <c r="BO107" s="165">
        <v>44983.083333333336</v>
      </c>
      <c r="BP107" s="126" t="s">
        <v>836</v>
      </c>
      <c r="BR107" s="136">
        <f t="shared" si="25"/>
        <v>49.083333333372138</v>
      </c>
      <c r="BS107" s="136">
        <f t="shared" si="26"/>
        <v>3.3333333333721384</v>
      </c>
      <c r="BT107" s="136">
        <f t="shared" si="27"/>
        <v>41.000000000058208</v>
      </c>
      <c r="BU107" s="136">
        <f t="shared" si="40"/>
        <v>40.583333333255723</v>
      </c>
      <c r="BV107" s="135">
        <f t="shared" si="28"/>
        <v>2.6666666666278616</v>
      </c>
      <c r="BW107" s="135">
        <f t="shared" si="29"/>
        <v>0</v>
      </c>
      <c r="BX107" s="134">
        <f t="shared" si="30"/>
        <v>5.6944444444452529</v>
      </c>
      <c r="BY107" s="134">
        <f t="shared" si="31"/>
        <v>14.6875</v>
      </c>
      <c r="BZ107" s="133">
        <f t="shared" si="32"/>
        <v>0.38770685579201719</v>
      </c>
    </row>
    <row r="108" spans="1:78" s="126" customFormat="1">
      <c r="A108" s="192">
        <f t="shared" si="38"/>
        <v>44978.038194444445</v>
      </c>
      <c r="B108" s="126" t="s">
        <v>228</v>
      </c>
      <c r="C108" s="126" t="s">
        <v>229</v>
      </c>
      <c r="D108" s="126" t="s">
        <v>197</v>
      </c>
      <c r="E108" s="126" t="s">
        <v>759</v>
      </c>
      <c r="G108" s="73">
        <v>44981.333333333336</v>
      </c>
      <c r="H108" s="73">
        <v>44981.356944444444</v>
      </c>
      <c r="I108" s="126" t="s">
        <v>490</v>
      </c>
      <c r="J108" s="126" t="s">
        <v>192</v>
      </c>
      <c r="K108" s="126" t="s">
        <v>192</v>
      </c>
      <c r="L108" s="126" t="s">
        <v>847</v>
      </c>
      <c r="M108" s="167"/>
      <c r="N108" s="126" t="s">
        <v>346</v>
      </c>
      <c r="O108" s="126" t="s">
        <v>347</v>
      </c>
      <c r="P108" s="126" t="s">
        <v>848</v>
      </c>
      <c r="Q108" s="181">
        <f>3136*2.4</f>
        <v>7526.4</v>
      </c>
      <c r="R108" s="181">
        <v>4418.1850000000004</v>
      </c>
      <c r="S108" s="181"/>
      <c r="T108" s="181">
        <f>R108*0.3</f>
        <v>1325.4555</v>
      </c>
      <c r="U108" s="181">
        <f>R108*0.7</f>
        <v>3092.7294999999999</v>
      </c>
      <c r="AV108" s="165">
        <f t="shared" si="22"/>
        <v>44968.395833333336</v>
      </c>
      <c r="AW108" s="165">
        <f t="shared" si="23"/>
        <v>44987.291666666664</v>
      </c>
      <c r="AX108" s="137">
        <f t="shared" si="24"/>
        <v>18.895833333328483</v>
      </c>
      <c r="AY108" s="165">
        <v>44968.395833333336</v>
      </c>
      <c r="AZ108" s="165">
        <v>44973.350694444445</v>
      </c>
      <c r="BA108" s="165">
        <v>44975.395833333336</v>
      </c>
      <c r="BB108" s="165">
        <v>44978.038194444445</v>
      </c>
      <c r="BC108" s="165">
        <v>44978.177083333336</v>
      </c>
      <c r="BD108" s="165">
        <v>44978.184027777781</v>
      </c>
      <c r="BE108" s="165">
        <v>44978.184027777781</v>
      </c>
      <c r="BF108" s="165">
        <f t="shared" si="39"/>
        <v>44979.892361111117</v>
      </c>
      <c r="BG108" s="165">
        <v>44980.25</v>
      </c>
      <c r="BH108" s="165">
        <v>44980.416666666664</v>
      </c>
      <c r="BI108" s="165">
        <v>44980.284722222219</v>
      </c>
      <c r="BJ108" s="165">
        <v>44983.083333333336</v>
      </c>
      <c r="BK108" s="165">
        <v>44986.510416666664</v>
      </c>
      <c r="BL108" s="165">
        <v>44986.777777777781</v>
      </c>
      <c r="BM108" s="165">
        <v>44986.798611111109</v>
      </c>
      <c r="BN108" s="165">
        <v>44986.798611111109</v>
      </c>
      <c r="BO108" s="165">
        <v>44987.291666666664</v>
      </c>
      <c r="BP108" s="126" t="s">
        <v>836</v>
      </c>
      <c r="BR108" s="136">
        <f t="shared" si="25"/>
        <v>49.083333333372138</v>
      </c>
      <c r="BS108" s="136">
        <f t="shared" si="26"/>
        <v>3.3333333333721384</v>
      </c>
      <c r="BT108" s="136">
        <f t="shared" si="27"/>
        <v>41.000000000058208</v>
      </c>
      <c r="BU108" s="136">
        <f t="shared" si="40"/>
        <v>76.583333333255723</v>
      </c>
      <c r="BV108" s="135">
        <f t="shared" si="28"/>
        <v>6.4166666668024845</v>
      </c>
      <c r="BW108" s="135">
        <f t="shared" si="29"/>
        <v>11.833333333313931</v>
      </c>
      <c r="BX108" s="134">
        <f t="shared" si="30"/>
        <v>7.843750000007276</v>
      </c>
      <c r="BY108" s="134">
        <f t="shared" si="31"/>
        <v>18.895833333328483</v>
      </c>
      <c r="BZ108" s="133">
        <f t="shared" si="32"/>
        <v>0.415104740904571</v>
      </c>
    </row>
    <row r="109" spans="1:78" s="126" customFormat="1">
      <c r="A109" s="192">
        <f t="shared" si="38"/>
        <v>44979.458333333336</v>
      </c>
      <c r="B109" s="126" t="s">
        <v>228</v>
      </c>
      <c r="C109" s="126" t="s">
        <v>229</v>
      </c>
      <c r="D109" s="126" t="s">
        <v>197</v>
      </c>
      <c r="E109" s="126" t="s">
        <v>756</v>
      </c>
      <c r="G109" s="73">
        <v>44981.375</v>
      </c>
      <c r="H109" s="73">
        <v>44981.375</v>
      </c>
      <c r="I109" s="126" t="s">
        <v>490</v>
      </c>
      <c r="J109" s="126" t="s">
        <v>192</v>
      </c>
      <c r="K109" s="126" t="s">
        <v>192</v>
      </c>
      <c r="L109" s="126" t="s">
        <v>849</v>
      </c>
      <c r="M109" s="167"/>
      <c r="N109" s="126" t="s">
        <v>437</v>
      </c>
      <c r="O109" s="126" t="s">
        <v>320</v>
      </c>
      <c r="P109" s="126" t="s">
        <v>840</v>
      </c>
      <c r="Q109" s="181">
        <f>3136*2.4</f>
        <v>7526.4</v>
      </c>
      <c r="R109" s="181">
        <v>7425.49</v>
      </c>
      <c r="S109" s="181"/>
      <c r="T109" s="181">
        <f>R109*0.55</f>
        <v>4084.0195000000003</v>
      </c>
      <c r="U109" s="181">
        <f>R109*0.45</f>
        <v>3341.4704999999999</v>
      </c>
      <c r="AV109" s="165">
        <f t="shared" si="22"/>
        <v>44969.524305555555</v>
      </c>
      <c r="AW109" s="165">
        <f t="shared" si="23"/>
        <v>44984.479166666664</v>
      </c>
      <c r="AX109" s="137">
        <f t="shared" si="24"/>
        <v>14.954861111109494</v>
      </c>
      <c r="AY109" s="165">
        <v>44969.524305555555</v>
      </c>
      <c r="AZ109" s="165">
        <v>44974.805555555555</v>
      </c>
      <c r="BA109" s="165">
        <v>44976.4375</v>
      </c>
      <c r="BB109" s="165">
        <v>44979.458333333336</v>
      </c>
      <c r="BC109" s="165">
        <v>44979.604166666664</v>
      </c>
      <c r="BD109" s="165">
        <v>44979.607638888891</v>
      </c>
      <c r="BE109" s="165">
        <v>44979.607638888891</v>
      </c>
      <c r="BF109" s="165">
        <f t="shared" si="39"/>
        <v>44981.315972222226</v>
      </c>
      <c r="BG109" s="165">
        <v>44981.25</v>
      </c>
      <c r="BH109" s="165">
        <v>44981.416666666664</v>
      </c>
      <c r="BI109" s="165">
        <v>44981.333333333336</v>
      </c>
      <c r="BJ109" s="165">
        <v>44982.354166666664</v>
      </c>
      <c r="BK109" s="165">
        <v>44983.854166666664</v>
      </c>
      <c r="BL109" s="165">
        <v>44984.041666666664</v>
      </c>
      <c r="BM109" s="165">
        <v>44984.055555555555</v>
      </c>
      <c r="BN109" s="165">
        <v>44984.291666666664</v>
      </c>
      <c r="BO109" s="165">
        <v>44984.479166666664</v>
      </c>
      <c r="BP109" s="126" t="s">
        <v>850</v>
      </c>
      <c r="BR109" s="136">
        <f t="shared" si="25"/>
        <v>39.166666666686069</v>
      </c>
      <c r="BS109" s="136">
        <f t="shared" si="26"/>
        <v>3.4999999998835847</v>
      </c>
      <c r="BT109" s="136">
        <f t="shared" si="27"/>
        <v>41.000000000058208</v>
      </c>
      <c r="BU109" s="136">
        <f t="shared" ref="BU109:BU120" si="41">(BJ109-BH109)*24</f>
        <v>22.5</v>
      </c>
      <c r="BV109" s="135">
        <f t="shared" si="28"/>
        <v>4.5</v>
      </c>
      <c r="BW109" s="135">
        <f t="shared" si="29"/>
        <v>4.5</v>
      </c>
      <c r="BX109" s="134">
        <f t="shared" si="30"/>
        <v>4.7986111111094942</v>
      </c>
      <c r="BY109" s="134">
        <f t="shared" si="31"/>
        <v>14.954861111109494</v>
      </c>
      <c r="BZ109" s="133">
        <f t="shared" si="32"/>
        <v>0.32087299744594466</v>
      </c>
    </row>
    <row r="110" spans="1:78" s="126" customFormat="1">
      <c r="A110" s="192">
        <f t="shared" si="38"/>
        <v>44978.472222222219</v>
      </c>
      <c r="B110" s="126" t="s">
        <v>228</v>
      </c>
      <c r="C110" s="126" t="s">
        <v>229</v>
      </c>
      <c r="D110" s="126" t="s">
        <v>215</v>
      </c>
      <c r="E110" s="126" t="s">
        <v>756</v>
      </c>
      <c r="G110" s="73">
        <v>44981.375</v>
      </c>
      <c r="H110" s="73">
        <v>44981.375</v>
      </c>
      <c r="I110" s="126" t="s">
        <v>490</v>
      </c>
      <c r="J110" s="126" t="s">
        <v>192</v>
      </c>
      <c r="K110" s="126" t="s">
        <v>192</v>
      </c>
      <c r="L110" s="126" t="s">
        <v>851</v>
      </c>
      <c r="M110" s="167"/>
      <c r="N110" s="126" t="s">
        <v>358</v>
      </c>
      <c r="O110" s="126" t="s">
        <v>359</v>
      </c>
      <c r="P110" s="126" t="s">
        <v>840</v>
      </c>
      <c r="Q110" s="181">
        <f>3852*2.4</f>
        <v>9244.7999999999993</v>
      </c>
      <c r="R110" s="181">
        <v>8910.6949999999997</v>
      </c>
      <c r="S110" s="181"/>
      <c r="T110" s="181">
        <f>R110*0.45</f>
        <v>4009.8127500000001</v>
      </c>
      <c r="U110" s="181">
        <f>R110*0.55</f>
        <v>4900.8822500000006</v>
      </c>
      <c r="AV110" s="165">
        <f t="shared" si="22"/>
        <v>44970.430555555555</v>
      </c>
      <c r="AW110" s="165">
        <f t="shared" si="23"/>
        <v>44983.90625</v>
      </c>
      <c r="AX110" s="137">
        <f t="shared" si="24"/>
        <v>13.475694444445253</v>
      </c>
      <c r="AY110" s="165">
        <v>44970.430555555555</v>
      </c>
      <c r="AZ110" s="165">
        <v>44974.333333333336</v>
      </c>
      <c r="BA110" s="165">
        <v>44976.010416666664</v>
      </c>
      <c r="BB110" s="165">
        <v>44978.472222222219</v>
      </c>
      <c r="BC110" s="165">
        <v>44978.642361111109</v>
      </c>
      <c r="BD110" s="165">
        <v>44978.652777777781</v>
      </c>
      <c r="BE110" s="165">
        <v>44978.652777777781</v>
      </c>
      <c r="BF110" s="165">
        <f t="shared" si="39"/>
        <v>44980.361111111117</v>
      </c>
      <c r="BG110" s="165">
        <v>44980.25</v>
      </c>
      <c r="BH110" s="165">
        <v>44980.416666666664</v>
      </c>
      <c r="BI110" s="165">
        <v>44980.284722222219</v>
      </c>
      <c r="BJ110" s="165">
        <v>44981.6875</v>
      </c>
      <c r="BK110" s="165">
        <v>44982.319444444445</v>
      </c>
      <c r="BL110" s="165">
        <v>44982.604166666664</v>
      </c>
      <c r="BM110" s="165">
        <v>44982.618055555555</v>
      </c>
      <c r="BN110" s="165">
        <v>44982.618055555555</v>
      </c>
      <c r="BO110" s="165">
        <v>44983.90625</v>
      </c>
      <c r="BP110" s="126" t="s">
        <v>852</v>
      </c>
      <c r="BR110" s="136">
        <f t="shared" si="25"/>
        <v>40.249999999883585</v>
      </c>
      <c r="BS110" s="136">
        <f t="shared" si="26"/>
        <v>4.0833333333721384</v>
      </c>
      <c r="BT110" s="136">
        <f t="shared" si="27"/>
        <v>41.000000000058208</v>
      </c>
      <c r="BU110" s="136">
        <f t="shared" si="41"/>
        <v>30.500000000058208</v>
      </c>
      <c r="BV110" s="135">
        <f t="shared" si="28"/>
        <v>6.8333333332557231</v>
      </c>
      <c r="BW110" s="135">
        <f t="shared" si="29"/>
        <v>30.916666666686069</v>
      </c>
      <c r="BX110" s="134">
        <f t="shared" si="30"/>
        <v>6.3993055555547471</v>
      </c>
      <c r="BY110" s="134">
        <f t="shared" si="31"/>
        <v>13.475694444445253</v>
      </c>
      <c r="BZ110" s="133">
        <f t="shared" si="32"/>
        <v>0.47487760886360642</v>
      </c>
    </row>
    <row r="111" spans="1:78" s="126" customFormat="1">
      <c r="A111" s="192">
        <f t="shared" si="38"/>
        <v>44978.211805555555</v>
      </c>
      <c r="B111" s="126" t="s">
        <v>228</v>
      </c>
      <c r="C111" s="126" t="s">
        <v>229</v>
      </c>
      <c r="D111" s="126" t="s">
        <v>215</v>
      </c>
      <c r="E111" s="126" t="s">
        <v>756</v>
      </c>
      <c r="G111" s="73">
        <v>44981.375</v>
      </c>
      <c r="H111" s="73">
        <v>44981.375</v>
      </c>
      <c r="I111" s="126" t="s">
        <v>490</v>
      </c>
      <c r="J111" s="126" t="s">
        <v>192</v>
      </c>
      <c r="K111" s="126" t="s">
        <v>192</v>
      </c>
      <c r="L111" s="126" t="s">
        <v>853</v>
      </c>
      <c r="M111" s="167"/>
      <c r="N111" s="126" t="s">
        <v>274</v>
      </c>
      <c r="O111" s="126" t="s">
        <v>275</v>
      </c>
      <c r="P111" s="126" t="s">
        <v>840</v>
      </c>
      <c r="Q111" s="181">
        <f>3097*2.4</f>
        <v>7432.7999999999993</v>
      </c>
      <c r="R111" s="181">
        <v>7537.9989999999998</v>
      </c>
      <c r="S111" s="181"/>
      <c r="T111" s="181">
        <f>R111*0.45</f>
        <v>3392.0995499999999</v>
      </c>
      <c r="U111" s="181">
        <f>R111*0.55</f>
        <v>4145.8994499999999</v>
      </c>
      <c r="AV111" s="165">
        <f t="shared" si="22"/>
        <v>44970.826388888891</v>
      </c>
      <c r="AW111" s="165">
        <f t="shared" si="23"/>
        <v>44982.614583333336</v>
      </c>
      <c r="AX111" s="137">
        <f t="shared" si="24"/>
        <v>11.788194444445253</v>
      </c>
      <c r="AY111" s="165">
        <v>44970.826388888891</v>
      </c>
      <c r="AZ111" s="165">
        <v>44974.326388888891</v>
      </c>
      <c r="BA111" s="165">
        <v>44975.993055555555</v>
      </c>
      <c r="BB111" s="165">
        <v>44978.211805555555</v>
      </c>
      <c r="BC111" s="165">
        <v>44978.409722222219</v>
      </c>
      <c r="BD111" s="165">
        <v>44978.420138888891</v>
      </c>
      <c r="BE111" s="165">
        <v>44978.420138888891</v>
      </c>
      <c r="BF111" s="165">
        <f t="shared" si="39"/>
        <v>44980.128472222226</v>
      </c>
      <c r="BG111" s="165">
        <v>44980.25</v>
      </c>
      <c r="BH111" s="165">
        <v>44980.416666666664</v>
      </c>
      <c r="BI111" s="165">
        <v>44980.3125</v>
      </c>
      <c r="BJ111" s="165">
        <v>44981.496527777781</v>
      </c>
      <c r="BK111" s="165">
        <v>44981.885416666664</v>
      </c>
      <c r="BL111" s="165">
        <v>44982.260416666664</v>
      </c>
      <c r="BM111" s="165">
        <v>44982.275000000001</v>
      </c>
      <c r="BN111" s="165">
        <v>44982.275000000001</v>
      </c>
      <c r="BO111" s="165">
        <v>44982.614583333336</v>
      </c>
      <c r="BP111" s="126" t="s">
        <v>852</v>
      </c>
      <c r="BR111" s="136">
        <f t="shared" si="25"/>
        <v>39.999999999941792</v>
      </c>
      <c r="BS111" s="136">
        <f t="shared" si="26"/>
        <v>4.7499999999417923</v>
      </c>
      <c r="BT111" s="136">
        <f t="shared" si="27"/>
        <v>41.000000000058208</v>
      </c>
      <c r="BU111" s="136">
        <f t="shared" si="41"/>
        <v>25.916666666802485</v>
      </c>
      <c r="BV111" s="135">
        <f t="shared" si="28"/>
        <v>9</v>
      </c>
      <c r="BW111" s="135">
        <f t="shared" si="29"/>
        <v>8.1500000000232831</v>
      </c>
      <c r="BX111" s="134">
        <f t="shared" si="30"/>
        <v>5.367361111115315</v>
      </c>
      <c r="BY111" s="134">
        <f t="shared" si="31"/>
        <v>11.788194444445253</v>
      </c>
      <c r="BZ111" s="133">
        <f t="shared" si="32"/>
        <v>0.45531664212109124</v>
      </c>
    </row>
    <row r="112" spans="1:78" s="126" customFormat="1">
      <c r="A112" s="192">
        <f t="shared" si="38"/>
        <v>44979.126388888886</v>
      </c>
      <c r="B112" s="126" t="s">
        <v>228</v>
      </c>
      <c r="C112" s="126" t="s">
        <v>229</v>
      </c>
      <c r="D112" s="126" t="s">
        <v>197</v>
      </c>
      <c r="E112" s="126" t="s">
        <v>756</v>
      </c>
      <c r="G112" s="73">
        <v>44981.375</v>
      </c>
      <c r="H112" s="73">
        <v>44981.375</v>
      </c>
      <c r="I112" s="126" t="s">
        <v>490</v>
      </c>
      <c r="J112" s="126" t="s">
        <v>192</v>
      </c>
      <c r="K112" s="126" t="s">
        <v>192</v>
      </c>
      <c r="L112" s="126" t="s">
        <v>854</v>
      </c>
      <c r="M112" s="167"/>
      <c r="N112" s="126" t="s">
        <v>349</v>
      </c>
      <c r="O112" s="126" t="s">
        <v>350</v>
      </c>
      <c r="P112" s="126" t="s">
        <v>835</v>
      </c>
      <c r="Q112" s="181">
        <f>3077*2.4</f>
        <v>7384.7999999999993</v>
      </c>
      <c r="R112" s="181">
        <v>7600.0879999999997</v>
      </c>
      <c r="S112" s="181"/>
      <c r="U112" s="181">
        <f>R112</f>
        <v>7600.0879999999997</v>
      </c>
      <c r="AV112" s="165">
        <f t="shared" si="22"/>
        <v>44971.666666666664</v>
      </c>
      <c r="AW112" s="165">
        <f t="shared" si="23"/>
        <v>44984.090277777781</v>
      </c>
      <c r="AX112" s="137">
        <f t="shared" si="24"/>
        <v>12.42361111111677</v>
      </c>
      <c r="AY112" s="165">
        <v>44971.666666666664</v>
      </c>
      <c r="AZ112" s="165">
        <v>44972.833333333336</v>
      </c>
      <c r="BA112" s="165">
        <v>44976.03125</v>
      </c>
      <c r="BB112" s="165">
        <v>44979.126388888886</v>
      </c>
      <c r="BC112" s="165">
        <v>44979.430555555555</v>
      </c>
      <c r="BD112" s="165">
        <v>44979.4375</v>
      </c>
      <c r="BE112" s="165">
        <v>44979.4375</v>
      </c>
      <c r="BF112" s="165">
        <f t="shared" si="39"/>
        <v>44981.145833333336</v>
      </c>
      <c r="BG112" s="165">
        <v>44981.25</v>
      </c>
      <c r="BH112" s="165">
        <v>44981.416666666664</v>
      </c>
      <c r="BI112" s="165">
        <v>44981.333333333336</v>
      </c>
      <c r="BJ112" s="165">
        <v>44982.395833333336</v>
      </c>
      <c r="BK112" s="165">
        <v>44983.243055555555</v>
      </c>
      <c r="BL112" s="165">
        <v>44983.8125</v>
      </c>
      <c r="BM112" s="165">
        <v>44983.829861111109</v>
      </c>
      <c r="BN112" s="165">
        <v>44983.829861111109</v>
      </c>
      <c r="BO112" s="165">
        <v>44984.090277777781</v>
      </c>
      <c r="BP112" s="126" t="s">
        <v>852</v>
      </c>
      <c r="BR112" s="136">
        <f t="shared" si="25"/>
        <v>76.749999999941792</v>
      </c>
      <c r="BS112" s="136">
        <f t="shared" si="26"/>
        <v>7.3000000000465661</v>
      </c>
      <c r="BT112" s="136">
        <f t="shared" si="27"/>
        <v>41.000000000058208</v>
      </c>
      <c r="BU112" s="136">
        <f t="shared" si="41"/>
        <v>23.500000000116415</v>
      </c>
      <c r="BV112" s="135">
        <f t="shared" si="28"/>
        <v>13.666666666686069</v>
      </c>
      <c r="BW112" s="135">
        <f t="shared" si="29"/>
        <v>6.2500000001164153</v>
      </c>
      <c r="BX112" s="134">
        <f t="shared" si="30"/>
        <v>7.0194444444568944</v>
      </c>
      <c r="BY112" s="134">
        <f t="shared" si="31"/>
        <v>12.42361111111677</v>
      </c>
      <c r="BZ112" s="133">
        <f t="shared" si="32"/>
        <v>0.56500838457313152</v>
      </c>
    </row>
    <row r="113" spans="1:78" s="126" customFormat="1">
      <c r="A113" s="192">
        <f t="shared" si="38"/>
        <v>44978.694444444445</v>
      </c>
      <c r="B113" s="126" t="s">
        <v>228</v>
      </c>
      <c r="C113" s="126" t="s">
        <v>229</v>
      </c>
      <c r="D113" s="126" t="s">
        <v>197</v>
      </c>
      <c r="E113" s="126" t="s">
        <v>756</v>
      </c>
      <c r="G113" s="73">
        <v>44981.375</v>
      </c>
      <c r="H113" s="73">
        <v>44981.375</v>
      </c>
      <c r="I113" s="126" t="s">
        <v>490</v>
      </c>
      <c r="J113" s="126" t="s">
        <v>192</v>
      </c>
      <c r="K113" s="126" t="s">
        <v>192</v>
      </c>
      <c r="L113" s="126" t="s">
        <v>855</v>
      </c>
      <c r="M113" s="167"/>
      <c r="N113" s="126" t="s">
        <v>377</v>
      </c>
      <c r="O113" s="126" t="s">
        <v>378</v>
      </c>
      <c r="P113" s="126" t="s">
        <v>840</v>
      </c>
      <c r="Q113" s="181">
        <f>3271*2.4</f>
        <v>7850.4</v>
      </c>
      <c r="R113" s="181">
        <v>7530.54</v>
      </c>
      <c r="S113" s="181"/>
      <c r="T113" s="181">
        <f>R113*0.45</f>
        <v>3388.7429999999999</v>
      </c>
      <c r="U113" s="181">
        <f>R113*0.55</f>
        <v>4141.7970000000005</v>
      </c>
      <c r="AV113" s="165">
        <f t="shared" si="22"/>
        <v>44972.256944444445</v>
      </c>
      <c r="AW113" s="165">
        <f t="shared" si="23"/>
        <v>44983.479166666664</v>
      </c>
      <c r="AX113" s="137">
        <f t="shared" si="24"/>
        <v>11.222222222218988</v>
      </c>
      <c r="AY113" s="165">
        <v>44972.256944444445</v>
      </c>
      <c r="AZ113" s="165">
        <v>44974.340277777781</v>
      </c>
      <c r="BA113" s="165">
        <v>44976.020833333336</v>
      </c>
      <c r="BB113" s="165">
        <v>44978.694444444445</v>
      </c>
      <c r="BC113" s="165">
        <v>44978.881944444445</v>
      </c>
      <c r="BD113" s="165">
        <v>44978.892361111109</v>
      </c>
      <c r="BE113" s="165">
        <v>44979.25</v>
      </c>
      <c r="BF113" s="165">
        <f t="shared" si="39"/>
        <v>44980.958333333336</v>
      </c>
      <c r="BG113" s="165">
        <v>44981.25</v>
      </c>
      <c r="BH113" s="165">
        <v>44981.416666666664</v>
      </c>
      <c r="BI113" s="165">
        <v>44981.34375</v>
      </c>
      <c r="BJ113" s="165">
        <v>44982.607638888891</v>
      </c>
      <c r="BK113" s="165">
        <v>44982.659722222219</v>
      </c>
      <c r="BL113" s="165">
        <v>44982.875</v>
      </c>
      <c r="BM113" s="165">
        <v>44982.902777777781</v>
      </c>
      <c r="BN113" s="165">
        <v>44982.902777777781</v>
      </c>
      <c r="BO113" s="165">
        <v>44983.479166666664</v>
      </c>
      <c r="BP113" s="126" t="s">
        <v>852</v>
      </c>
      <c r="BR113" s="136">
        <f t="shared" si="25"/>
        <v>40.333333333313931</v>
      </c>
      <c r="BS113" s="136">
        <f t="shared" si="26"/>
        <v>4.5</v>
      </c>
      <c r="BT113" s="136">
        <f t="shared" si="27"/>
        <v>41.000000000058208</v>
      </c>
      <c r="BU113" s="136">
        <f t="shared" si="41"/>
        <v>28.583333333430346</v>
      </c>
      <c r="BV113" s="135">
        <f t="shared" si="28"/>
        <v>5.1666666667442769</v>
      </c>
      <c r="BW113" s="135">
        <f t="shared" si="29"/>
        <v>13.833333333197515</v>
      </c>
      <c r="BX113" s="134">
        <f t="shared" si="30"/>
        <v>5.5590277777810115</v>
      </c>
      <c r="BY113" s="134">
        <f t="shared" si="31"/>
        <v>11.222222222218988</v>
      </c>
      <c r="BZ113" s="133">
        <f t="shared" si="32"/>
        <v>0.49535891089152001</v>
      </c>
    </row>
    <row r="114" spans="1:78" s="126" customFormat="1">
      <c r="A114" s="192">
        <f t="shared" si="38"/>
        <v>44982.8125</v>
      </c>
      <c r="B114" s="126" t="s">
        <v>228</v>
      </c>
      <c r="C114" s="126" t="s">
        <v>229</v>
      </c>
      <c r="D114" s="126" t="s">
        <v>197</v>
      </c>
      <c r="E114" s="126" t="s">
        <v>759</v>
      </c>
      <c r="G114" s="73">
        <v>44981.333333333336</v>
      </c>
      <c r="H114" s="73">
        <v>44981.356944444444</v>
      </c>
      <c r="I114" s="126" t="s">
        <v>490</v>
      </c>
      <c r="J114" s="126" t="s">
        <v>192</v>
      </c>
      <c r="K114" s="126" t="s">
        <v>192</v>
      </c>
      <c r="L114" s="126" t="s">
        <v>856</v>
      </c>
      <c r="M114" s="167"/>
      <c r="N114" s="126" t="s">
        <v>323</v>
      </c>
      <c r="O114" s="126" t="s">
        <v>324</v>
      </c>
      <c r="P114" s="126" t="s">
        <v>835</v>
      </c>
      <c r="Q114" s="181">
        <f>3095*2.4</f>
        <v>7428</v>
      </c>
      <c r="R114" s="181">
        <v>7465.3490000000002</v>
      </c>
      <c r="S114" s="181"/>
      <c r="U114" s="181">
        <f>R114</f>
        <v>7465.3490000000002</v>
      </c>
      <c r="AV114" s="165">
        <f t="shared" si="22"/>
        <v>44972.551388888889</v>
      </c>
      <c r="AW114" s="165">
        <f t="shared" si="23"/>
        <v>44987.673611111109</v>
      </c>
      <c r="AX114" s="137">
        <f t="shared" si="24"/>
        <v>15.122222222220444</v>
      </c>
      <c r="AY114" s="165">
        <v>44972.551388888889</v>
      </c>
      <c r="AZ114" s="165">
        <v>44976.793055555558</v>
      </c>
      <c r="BA114" s="165">
        <v>44978.5</v>
      </c>
      <c r="BB114" s="165">
        <v>44982.8125</v>
      </c>
      <c r="BC114" s="165">
        <v>44982.979166666664</v>
      </c>
      <c r="BD114" s="165">
        <v>44982.986111111109</v>
      </c>
      <c r="BE114" s="165">
        <v>44983.291666666664</v>
      </c>
      <c r="BF114" s="165">
        <f t="shared" si="39"/>
        <v>44985</v>
      </c>
      <c r="BG114" s="165">
        <v>44985.291666608799</v>
      </c>
      <c r="BH114" s="165">
        <v>44985.458333275463</v>
      </c>
      <c r="BI114" s="165">
        <v>44985.314583333333</v>
      </c>
      <c r="BJ114" s="165">
        <v>44986.625</v>
      </c>
      <c r="BK114" s="165">
        <v>44986.850694444445</v>
      </c>
      <c r="BL114" s="165">
        <v>44987.236111111109</v>
      </c>
      <c r="BM114" s="165">
        <v>44987.260416666664</v>
      </c>
      <c r="BN114" s="165">
        <v>44987.260416666664</v>
      </c>
      <c r="BO114" s="165">
        <v>44987.673611111109</v>
      </c>
      <c r="BP114" s="126" t="s">
        <v>857</v>
      </c>
      <c r="BR114" s="136">
        <f t="shared" si="25"/>
        <v>40.96666666661622</v>
      </c>
      <c r="BS114" s="136">
        <f t="shared" si="26"/>
        <v>3.9999999999417923</v>
      </c>
      <c r="BT114" s="136">
        <f t="shared" si="27"/>
        <v>41.000000000058208</v>
      </c>
      <c r="BU114" s="136">
        <f t="shared" si="41"/>
        <v>28.000001388892997</v>
      </c>
      <c r="BV114" s="135">
        <f t="shared" si="28"/>
        <v>9.2499999999417923</v>
      </c>
      <c r="BW114" s="135">
        <f t="shared" si="29"/>
        <v>9.9166666666860692</v>
      </c>
      <c r="BX114" s="134">
        <f t="shared" si="30"/>
        <v>5.5472222800890449</v>
      </c>
      <c r="BY114" s="134">
        <f t="shared" si="31"/>
        <v>15.122222222220444</v>
      </c>
      <c r="BZ114" s="133">
        <f t="shared" si="32"/>
        <v>0.36682586716243404</v>
      </c>
    </row>
    <row r="115" spans="1:78" s="126" customFormat="1">
      <c r="A115" s="192">
        <f t="shared" si="38"/>
        <v>44979.8125</v>
      </c>
      <c r="B115" s="126" t="s">
        <v>228</v>
      </c>
      <c r="C115" s="126" t="s">
        <v>229</v>
      </c>
      <c r="D115" s="126" t="s">
        <v>215</v>
      </c>
      <c r="E115" s="126" t="s">
        <v>759</v>
      </c>
      <c r="G115" s="73">
        <v>44981.333333333336</v>
      </c>
      <c r="H115" s="73">
        <v>44981.356944444444</v>
      </c>
      <c r="I115" s="126" t="s">
        <v>490</v>
      </c>
      <c r="J115" s="126" t="s">
        <v>192</v>
      </c>
      <c r="K115" s="126" t="s">
        <v>192</v>
      </c>
      <c r="L115" s="126" t="s">
        <v>858</v>
      </c>
      <c r="M115" s="167"/>
      <c r="N115" s="126" t="s">
        <v>222</v>
      </c>
      <c r="O115" s="126" t="s">
        <v>223</v>
      </c>
      <c r="P115" s="126" t="s">
        <v>859</v>
      </c>
      <c r="Q115" s="181">
        <f>3137*2.4</f>
        <v>7528.7999999999993</v>
      </c>
      <c r="R115" s="181">
        <v>7402.8980000000001</v>
      </c>
      <c r="S115" s="181"/>
      <c r="T115" s="181">
        <f>R115*0.55</f>
        <v>4071.5939000000003</v>
      </c>
      <c r="U115" s="181">
        <f>R115*0.45</f>
        <v>3331.3041000000003</v>
      </c>
      <c r="AV115" s="165">
        <f t="shared" si="22"/>
        <v>44973.052083333336</v>
      </c>
      <c r="AW115" s="165">
        <f t="shared" si="23"/>
        <v>44985.479166666664</v>
      </c>
      <c r="AX115" s="137">
        <f t="shared" si="24"/>
        <v>12.427083333328483</v>
      </c>
      <c r="AY115" s="165">
        <v>44973.052083333336</v>
      </c>
      <c r="AZ115" s="165">
        <v>44975.402777777781</v>
      </c>
      <c r="BA115" s="165">
        <v>44977.333333333336</v>
      </c>
      <c r="BB115" s="165">
        <v>44979.8125</v>
      </c>
      <c r="BC115" s="165">
        <v>44980.534722222219</v>
      </c>
      <c r="BD115" s="165">
        <v>44980.538194444445</v>
      </c>
      <c r="BE115" s="165">
        <v>44980.538194444445</v>
      </c>
      <c r="BF115" s="165">
        <f t="shared" si="39"/>
        <v>44982.246527777781</v>
      </c>
      <c r="BG115" s="165">
        <v>44982.25</v>
      </c>
      <c r="BH115" s="165">
        <v>44982.416666666664</v>
      </c>
      <c r="BI115" s="165">
        <v>44982.274305555555</v>
      </c>
      <c r="BJ115" s="165">
        <v>44983.3125</v>
      </c>
      <c r="BK115" s="165" t="e">
        <f>#REF!</f>
        <v>#REF!</v>
      </c>
      <c r="BL115" s="165">
        <v>44985.027777777781</v>
      </c>
      <c r="BM115" s="165">
        <v>44985.048611111109</v>
      </c>
      <c r="BN115" s="165">
        <v>44985.048611111109</v>
      </c>
      <c r="BO115" s="165">
        <v>44985.479166666664</v>
      </c>
      <c r="BP115" s="126" t="s">
        <v>857</v>
      </c>
      <c r="BR115" s="136">
        <f t="shared" si="25"/>
        <v>46.333333333313931</v>
      </c>
      <c r="BS115" s="136">
        <f t="shared" si="26"/>
        <v>17.333333333255723</v>
      </c>
      <c r="BT115" s="136">
        <f t="shared" si="27"/>
        <v>41.000000000058208</v>
      </c>
      <c r="BU115" s="136">
        <f t="shared" si="41"/>
        <v>21.500000000058208</v>
      </c>
      <c r="BV115" s="135" t="e">
        <f t="shared" si="28"/>
        <v>#REF!</v>
      </c>
      <c r="BW115" s="135">
        <f t="shared" si="29"/>
        <v>10.333333333313931</v>
      </c>
      <c r="BX115" s="134" t="e">
        <f t="shared" si="30"/>
        <v>#REF!</v>
      </c>
      <c r="BY115" s="134">
        <f t="shared" si="31"/>
        <v>12.427083333328483</v>
      </c>
      <c r="BZ115" s="133" t="e">
        <f t="shared" si="32"/>
        <v>#REF!</v>
      </c>
    </row>
    <row r="116" spans="1:78" s="126" customFormat="1">
      <c r="A116" s="192">
        <f t="shared" si="38"/>
        <v>44980.868055555555</v>
      </c>
      <c r="B116" s="126" t="s">
        <v>228</v>
      </c>
      <c r="C116" s="126" t="s">
        <v>229</v>
      </c>
      <c r="D116" s="126" t="s">
        <v>197</v>
      </c>
      <c r="E116" s="126" t="s">
        <v>759</v>
      </c>
      <c r="G116" s="73">
        <v>44981.333333333336</v>
      </c>
      <c r="H116" s="73">
        <v>44981.356944444444</v>
      </c>
      <c r="I116" s="126" t="s">
        <v>490</v>
      </c>
      <c r="J116" s="126" t="s">
        <v>192</v>
      </c>
      <c r="K116" s="126" t="s">
        <v>192</v>
      </c>
      <c r="L116" s="126" t="s">
        <v>860</v>
      </c>
      <c r="M116" s="167"/>
      <c r="N116" s="126" t="s">
        <v>367</v>
      </c>
      <c r="O116" s="126" t="s">
        <v>368</v>
      </c>
      <c r="P116" s="126" t="s">
        <v>859</v>
      </c>
      <c r="Q116" s="181">
        <f>4111*2.4</f>
        <v>9866.4</v>
      </c>
      <c r="R116" s="181">
        <v>10135.674999999999</v>
      </c>
      <c r="S116" s="181"/>
      <c r="T116" s="181">
        <f>R116*0.55</f>
        <v>5574.6212500000001</v>
      </c>
      <c r="U116" s="181">
        <f>R116*0.45</f>
        <v>4561.05375</v>
      </c>
      <c r="AV116" s="165">
        <f t="shared" si="22"/>
        <v>44973.347222222219</v>
      </c>
      <c r="AW116" s="165">
        <f t="shared" si="23"/>
        <v>44986.070833333331</v>
      </c>
      <c r="AX116" s="137">
        <f t="shared" si="24"/>
        <v>12.723611111112405</v>
      </c>
      <c r="AY116" s="165">
        <v>44973.347222222219</v>
      </c>
      <c r="AZ116" s="165">
        <v>44976.604166666664</v>
      </c>
      <c r="BA116" s="165">
        <v>44978.291666666664</v>
      </c>
      <c r="BB116" s="165">
        <v>44980.868055555555</v>
      </c>
      <c r="BC116" s="165">
        <v>44981.052083333336</v>
      </c>
      <c r="BD116" s="165">
        <v>44981.0625</v>
      </c>
      <c r="BE116" s="165">
        <v>44981.3125</v>
      </c>
      <c r="BF116" s="165">
        <f t="shared" si="39"/>
        <v>44983.020833333336</v>
      </c>
      <c r="BG116" s="165">
        <v>44983.25</v>
      </c>
      <c r="BH116" s="165">
        <v>44983.416666666664</v>
      </c>
      <c r="BI116" s="165">
        <v>44983.340277777781</v>
      </c>
      <c r="BJ116" s="165">
        <v>44984.763888888891</v>
      </c>
      <c r="BK116" s="165">
        <v>44985.333333333336</v>
      </c>
      <c r="BL116" s="165">
        <v>44985.677083333336</v>
      </c>
      <c r="BM116" s="165">
        <v>44985.6875</v>
      </c>
      <c r="BN116" s="165">
        <v>44985.6875</v>
      </c>
      <c r="BO116" s="165">
        <v>44986.070833333331</v>
      </c>
      <c r="BR116" s="136">
        <f t="shared" si="25"/>
        <v>40.5</v>
      </c>
      <c r="BS116" s="136">
        <f t="shared" si="26"/>
        <v>4.4166666667442769</v>
      </c>
      <c r="BT116" s="136">
        <f t="shared" si="27"/>
        <v>41.000000000058208</v>
      </c>
      <c r="BU116" s="136">
        <f t="shared" si="41"/>
        <v>32.333333333430346</v>
      </c>
      <c r="BV116" s="135">
        <f t="shared" si="28"/>
        <v>8.25</v>
      </c>
      <c r="BW116" s="135">
        <f t="shared" si="29"/>
        <v>9.1999999999534339</v>
      </c>
      <c r="BX116" s="134">
        <f t="shared" si="30"/>
        <v>5.6541666666744277</v>
      </c>
      <c r="BY116" s="134">
        <f t="shared" si="31"/>
        <v>12.723611111112405</v>
      </c>
      <c r="BZ116" s="133">
        <f t="shared" si="32"/>
        <v>0.44438380089566359</v>
      </c>
    </row>
    <row r="117" spans="1:78" s="126" customFormat="1">
      <c r="A117" s="192">
        <f t="shared" si="38"/>
        <v>44981.753472222219</v>
      </c>
      <c r="B117" s="126" t="s">
        <v>228</v>
      </c>
      <c r="C117" s="126" t="s">
        <v>229</v>
      </c>
      <c r="D117" s="126" t="s">
        <v>215</v>
      </c>
      <c r="E117" s="126" t="s">
        <v>759</v>
      </c>
      <c r="G117" s="73">
        <v>44981.333333333336</v>
      </c>
      <c r="H117" s="73">
        <v>44981.356944444444</v>
      </c>
      <c r="I117" s="126" t="s">
        <v>490</v>
      </c>
      <c r="J117" s="126" t="s">
        <v>192</v>
      </c>
      <c r="K117" s="126" t="s">
        <v>192</v>
      </c>
      <c r="L117" s="126" t="s">
        <v>861</v>
      </c>
      <c r="M117" s="167"/>
      <c r="N117" s="126" t="s">
        <v>218</v>
      </c>
      <c r="O117" s="126" t="s">
        <v>219</v>
      </c>
      <c r="P117" s="126" t="s">
        <v>859</v>
      </c>
      <c r="Q117" s="181">
        <f>3087*2.4</f>
        <v>7408.7999999999993</v>
      </c>
      <c r="R117" s="181">
        <v>7634.34</v>
      </c>
      <c r="S117" s="181"/>
      <c r="T117" s="181">
        <f>R117*0.55</f>
        <v>4198.8870000000006</v>
      </c>
      <c r="U117" s="181">
        <f>R117*0.45</f>
        <v>3435.453</v>
      </c>
      <c r="AV117" s="165">
        <f t="shared" si="22"/>
        <v>44975.770833333336</v>
      </c>
      <c r="AW117" s="165">
        <f t="shared" si="23"/>
        <v>44986.791666666664</v>
      </c>
      <c r="AX117" s="137">
        <f t="shared" si="24"/>
        <v>11.020833333328483</v>
      </c>
      <c r="AY117" s="165">
        <v>44975.770833333336</v>
      </c>
      <c r="AZ117" s="165">
        <v>44976.527777777781</v>
      </c>
      <c r="BA117" s="165">
        <v>44978.354166666664</v>
      </c>
      <c r="BB117" s="165">
        <v>44981.753472222219</v>
      </c>
      <c r="BC117" s="165">
        <v>44982.114583333336</v>
      </c>
      <c r="BD117" s="165">
        <v>44982.121527777781</v>
      </c>
      <c r="BE117" s="165">
        <v>44982.267361111109</v>
      </c>
      <c r="BF117" s="165">
        <f t="shared" si="39"/>
        <v>44983.975694444445</v>
      </c>
      <c r="BG117" s="165">
        <v>44984.291666666664</v>
      </c>
      <c r="BH117" s="165">
        <v>44984.458333333328</v>
      </c>
      <c r="BI117" s="165">
        <v>44984.336805555555</v>
      </c>
      <c r="BJ117" s="165">
        <v>44985.8125</v>
      </c>
      <c r="BK117" s="165">
        <v>44985.923611111109</v>
      </c>
      <c r="BL117" s="165">
        <v>44986.444444444445</v>
      </c>
      <c r="BM117" s="165">
        <v>44986.475694444445</v>
      </c>
      <c r="BN117" s="165">
        <v>44986.475694444445</v>
      </c>
      <c r="BO117" s="165">
        <v>44986.791666666664</v>
      </c>
      <c r="BR117" s="136">
        <f t="shared" si="25"/>
        <v>43.833333333197515</v>
      </c>
      <c r="BS117" s="136">
        <f t="shared" si="26"/>
        <v>8.6666666668024845</v>
      </c>
      <c r="BT117" s="136">
        <f t="shared" si="27"/>
        <v>41.000000000058208</v>
      </c>
      <c r="BU117" s="136">
        <f t="shared" si="41"/>
        <v>32.500000000116415</v>
      </c>
      <c r="BV117" s="135">
        <f t="shared" si="28"/>
        <v>12.500000000058208</v>
      </c>
      <c r="BW117" s="135">
        <f t="shared" si="29"/>
        <v>7.5833333332557231</v>
      </c>
      <c r="BX117" s="134">
        <f t="shared" si="30"/>
        <v>6.0868055555620231</v>
      </c>
      <c r="BY117" s="134">
        <f t="shared" si="31"/>
        <v>11.020833333328483</v>
      </c>
      <c r="BZ117" s="133">
        <f t="shared" si="32"/>
        <v>0.55229993698885771</v>
      </c>
    </row>
    <row r="118" spans="1:78" s="126" customFormat="1">
      <c r="A118" s="192">
        <f t="shared" si="38"/>
        <v>44981.552083333336</v>
      </c>
      <c r="B118" s="126" t="s">
        <v>228</v>
      </c>
      <c r="C118" s="126" t="s">
        <v>229</v>
      </c>
      <c r="D118" s="126" t="s">
        <v>197</v>
      </c>
      <c r="E118" s="126" t="s">
        <v>759</v>
      </c>
      <c r="G118" s="73">
        <v>44981.333333333336</v>
      </c>
      <c r="H118" s="73">
        <v>44981.356944444444</v>
      </c>
      <c r="I118" s="126" t="s">
        <v>490</v>
      </c>
      <c r="J118" s="126" t="s">
        <v>192</v>
      </c>
      <c r="K118" s="126" t="s">
        <v>192</v>
      </c>
      <c r="L118" s="126" t="s">
        <v>862</v>
      </c>
      <c r="M118" s="167"/>
      <c r="N118" s="126" t="s">
        <v>233</v>
      </c>
      <c r="O118" s="126" t="s">
        <v>234</v>
      </c>
      <c r="P118" s="126" t="s">
        <v>494</v>
      </c>
      <c r="Q118" s="181">
        <f>3215*2.4</f>
        <v>7716</v>
      </c>
      <c r="R118" s="181">
        <f>7606.282-3293.36900000001</f>
        <v>4312.9129999999896</v>
      </c>
      <c r="S118" s="181"/>
      <c r="T118" s="181">
        <f>R118</f>
        <v>4312.9129999999896</v>
      </c>
      <c r="AV118" s="165">
        <f t="shared" si="22"/>
        <v>44975.4375</v>
      </c>
      <c r="AW118" s="165">
        <f t="shared" si="23"/>
        <v>44987.430555555555</v>
      </c>
      <c r="AX118" s="137">
        <f t="shared" si="24"/>
        <v>11.993055555554747</v>
      </c>
      <c r="AY118" s="165">
        <v>44975.4375</v>
      </c>
      <c r="AZ118" s="165">
        <v>44976.829861111109</v>
      </c>
      <c r="BA118" s="165">
        <v>44978.729166666664</v>
      </c>
      <c r="BB118" s="165">
        <v>44981.552083333336</v>
      </c>
      <c r="BC118" s="165">
        <v>44981.715277777781</v>
      </c>
      <c r="BD118" s="165">
        <v>44981.725694444445</v>
      </c>
      <c r="BE118" s="165">
        <v>44981.725694444445</v>
      </c>
      <c r="BF118" s="165">
        <f t="shared" si="39"/>
        <v>44983.434027777781</v>
      </c>
      <c r="BG118" s="165">
        <v>44983.25</v>
      </c>
      <c r="BH118" s="165">
        <v>44983.416666666664</v>
      </c>
      <c r="BI118" s="165">
        <v>44983.423611111109</v>
      </c>
      <c r="BJ118" s="165">
        <v>44985.708333333336</v>
      </c>
      <c r="BK118" s="165">
        <v>44987.28125</v>
      </c>
      <c r="BL118" s="165">
        <v>44987.40625</v>
      </c>
      <c r="BM118" s="165">
        <v>44987.430555555555</v>
      </c>
      <c r="BN118" s="165">
        <v>44987.430555555555</v>
      </c>
      <c r="BO118" s="165">
        <v>44987.430555555555</v>
      </c>
      <c r="BR118" s="136">
        <f t="shared" si="25"/>
        <v>45.583333333313931</v>
      </c>
      <c r="BS118" s="136">
        <f t="shared" si="26"/>
        <v>3.9166666666860692</v>
      </c>
      <c r="BT118" s="136">
        <f t="shared" si="27"/>
        <v>41.000000000058208</v>
      </c>
      <c r="BU118" s="136">
        <f t="shared" si="41"/>
        <v>55.000000000116415</v>
      </c>
      <c r="BV118" s="135">
        <f t="shared" si="28"/>
        <v>3</v>
      </c>
      <c r="BW118" s="135">
        <f t="shared" si="29"/>
        <v>0</v>
      </c>
      <c r="BX118" s="134">
        <f t="shared" si="30"/>
        <v>6.187500000007276</v>
      </c>
      <c r="BY118" s="134">
        <f t="shared" si="31"/>
        <v>11.993055555554747</v>
      </c>
      <c r="BZ118" s="133">
        <f t="shared" si="32"/>
        <v>0.51592356687962238</v>
      </c>
    </row>
    <row r="119" spans="1:78" s="126" customFormat="1">
      <c r="A119" s="192">
        <f t="shared" si="38"/>
        <v>44981.552083333336</v>
      </c>
      <c r="B119" s="126" t="s">
        <v>228</v>
      </c>
      <c r="C119" s="126" t="s">
        <v>229</v>
      </c>
      <c r="D119" s="126" t="s">
        <v>197</v>
      </c>
      <c r="E119" s="126" t="s">
        <v>699</v>
      </c>
      <c r="G119" s="73">
        <v>44982.416666666664</v>
      </c>
      <c r="H119" s="73">
        <v>44982.378472222219</v>
      </c>
      <c r="I119" s="126" t="s">
        <v>490</v>
      </c>
      <c r="J119" s="126" t="s">
        <v>192</v>
      </c>
      <c r="K119" s="126" t="s">
        <v>192</v>
      </c>
      <c r="L119" s="126" t="s">
        <v>862</v>
      </c>
      <c r="M119" s="167"/>
      <c r="N119" s="126" t="s">
        <v>233</v>
      </c>
      <c r="O119" s="126" t="s">
        <v>234</v>
      </c>
      <c r="P119" s="126" t="s">
        <v>494</v>
      </c>
      <c r="Q119" s="181">
        <f>3215*2.4</f>
        <v>7716</v>
      </c>
      <c r="R119" s="181">
        <v>3290.1379999999999</v>
      </c>
      <c r="S119" s="181"/>
      <c r="T119" s="181">
        <f>R119</f>
        <v>3290.1379999999999</v>
      </c>
      <c r="AV119" s="165">
        <f t="shared" si="22"/>
        <v>44975.4375</v>
      </c>
      <c r="AW119" s="165">
        <f t="shared" si="23"/>
        <v>44991.854166666664</v>
      </c>
      <c r="AX119" s="137">
        <f t="shared" si="24"/>
        <v>16.416666666664241</v>
      </c>
      <c r="AY119" s="165">
        <v>44975.4375</v>
      </c>
      <c r="AZ119" s="165">
        <v>44976.829861111109</v>
      </c>
      <c r="BA119" s="165">
        <v>44978.729166666664</v>
      </c>
      <c r="BB119" s="165">
        <v>44981.552083333336</v>
      </c>
      <c r="BC119" s="165">
        <v>44981.715277777781</v>
      </c>
      <c r="BD119" s="165">
        <v>44981.725694444445</v>
      </c>
      <c r="BE119" s="165">
        <v>44981.725694444445</v>
      </c>
      <c r="BF119" s="165">
        <f t="shared" si="39"/>
        <v>44983.434027777781</v>
      </c>
      <c r="BG119" s="165">
        <v>44983.25</v>
      </c>
      <c r="BH119" s="165">
        <v>44983.416666666664</v>
      </c>
      <c r="BI119" s="165">
        <v>44983.423611111109</v>
      </c>
      <c r="BJ119" s="165">
        <v>44987.430555555555</v>
      </c>
      <c r="BK119" s="165">
        <v>44991.041666666664</v>
      </c>
      <c r="BL119" s="165">
        <v>44991.236111111109</v>
      </c>
      <c r="BM119" s="165">
        <v>44991.267361111109</v>
      </c>
      <c r="BN119" s="165">
        <v>44991.611111111109</v>
      </c>
      <c r="BO119" s="165">
        <v>44991.854166666664</v>
      </c>
      <c r="BR119" s="136">
        <f t="shared" si="25"/>
        <v>45.583333333313931</v>
      </c>
      <c r="BS119" s="136">
        <f t="shared" si="26"/>
        <v>3.9166666666860692</v>
      </c>
      <c r="BT119" s="136">
        <f t="shared" si="27"/>
        <v>41.000000000058208</v>
      </c>
      <c r="BU119" s="136">
        <f t="shared" si="41"/>
        <v>96.333333333372138</v>
      </c>
      <c r="BV119" s="135">
        <f t="shared" si="28"/>
        <v>4.6666666666860692</v>
      </c>
      <c r="BW119" s="135">
        <f t="shared" si="29"/>
        <v>5.8333333333139308</v>
      </c>
      <c r="BX119" s="134">
        <f t="shared" si="30"/>
        <v>8.2222222222262644</v>
      </c>
      <c r="BY119" s="134">
        <f t="shared" si="31"/>
        <v>16.416666666664241</v>
      </c>
      <c r="BZ119" s="133">
        <f t="shared" si="32"/>
        <v>0.50084602368898345</v>
      </c>
    </row>
    <row r="120" spans="1:78" s="126" customFormat="1">
      <c r="A120" s="192">
        <f t="shared" si="38"/>
        <v>44981.343055555553</v>
      </c>
      <c r="B120" s="126" t="s">
        <v>228</v>
      </c>
      <c r="C120" s="126" t="s">
        <v>229</v>
      </c>
      <c r="D120" s="126" t="s">
        <v>215</v>
      </c>
      <c r="E120" s="126" t="s">
        <v>759</v>
      </c>
      <c r="G120" s="73">
        <v>44981.333333333336</v>
      </c>
      <c r="H120" s="73">
        <v>44981.356944444444</v>
      </c>
      <c r="I120" s="126" t="s">
        <v>490</v>
      </c>
      <c r="J120" s="126" t="s">
        <v>192</v>
      </c>
      <c r="K120" s="126" t="s">
        <v>192</v>
      </c>
      <c r="L120" s="126" t="s">
        <v>863</v>
      </c>
      <c r="M120" s="167"/>
      <c r="N120" s="126" t="s">
        <v>390</v>
      </c>
      <c r="O120" s="126" t="s">
        <v>391</v>
      </c>
      <c r="P120" s="126" t="s">
        <v>859</v>
      </c>
      <c r="Q120" s="181">
        <f>3097*2.4</f>
        <v>7432.7999999999993</v>
      </c>
      <c r="R120" s="181">
        <v>7401.2550000000001</v>
      </c>
      <c r="S120" s="181"/>
      <c r="T120" s="181">
        <f>R120*0.55</f>
        <v>4070.6902500000006</v>
      </c>
      <c r="U120" s="181">
        <f>R120*0.45</f>
        <v>3330.56475</v>
      </c>
      <c r="AV120" s="165">
        <f t="shared" si="22"/>
        <v>44975.440972222219</v>
      </c>
      <c r="AW120" s="165">
        <f t="shared" si="23"/>
        <v>44985.694444444445</v>
      </c>
      <c r="AX120" s="137">
        <f t="shared" si="24"/>
        <v>10.253472222226264</v>
      </c>
      <c r="AY120" s="165">
        <v>44975.440972222219</v>
      </c>
      <c r="AZ120" s="165">
        <v>44976.559027777781</v>
      </c>
      <c r="BA120" s="165">
        <v>44978.298611111109</v>
      </c>
      <c r="BB120" s="165">
        <v>44981.343055555553</v>
      </c>
      <c r="BC120" s="165">
        <v>44981.527777777781</v>
      </c>
      <c r="BD120" s="165">
        <v>44981.534722222219</v>
      </c>
      <c r="BE120" s="165">
        <v>44981.534722222219</v>
      </c>
      <c r="BF120" s="165">
        <f t="shared" si="39"/>
        <v>44983.243055555555</v>
      </c>
      <c r="BG120" s="165">
        <v>44983.25</v>
      </c>
      <c r="BH120" s="165">
        <v>44983.416666666664</v>
      </c>
      <c r="BI120" s="165">
        <v>44983.284722222219</v>
      </c>
      <c r="BJ120" s="165">
        <v>44984.517361111109</v>
      </c>
      <c r="BK120" s="165">
        <v>44985.090277777781</v>
      </c>
      <c r="BL120" s="165">
        <v>44985.277777777781</v>
      </c>
      <c r="BM120" s="165">
        <v>44985.302083333336</v>
      </c>
      <c r="BN120" s="165">
        <v>44985.302083333336</v>
      </c>
      <c r="BO120" s="165">
        <v>44985.694444444445</v>
      </c>
      <c r="BR120" s="136">
        <f t="shared" si="25"/>
        <v>41.749999999883585</v>
      </c>
      <c r="BS120" s="136">
        <f t="shared" si="26"/>
        <v>4.4333333334652707</v>
      </c>
      <c r="BT120" s="136">
        <f t="shared" si="27"/>
        <v>41.000000000058208</v>
      </c>
      <c r="BU120" s="136">
        <f t="shared" si="41"/>
        <v>26.416666666686069</v>
      </c>
      <c r="BV120" s="135">
        <f t="shared" si="28"/>
        <v>4.5</v>
      </c>
      <c r="BW120" s="135">
        <f t="shared" si="29"/>
        <v>9.4166666666278616</v>
      </c>
      <c r="BX120" s="134">
        <f t="shared" si="30"/>
        <v>5.3131944444467081</v>
      </c>
      <c r="BY120" s="134">
        <f t="shared" si="31"/>
        <v>10.253472222226264</v>
      </c>
      <c r="BZ120" s="133">
        <f t="shared" si="32"/>
        <v>0.51818489671522139</v>
      </c>
    </row>
    <row r="121" spans="1:78" s="126" customFormat="1">
      <c r="A121" s="192">
        <f t="shared" si="38"/>
        <v>44976.395833333336</v>
      </c>
      <c r="B121" s="126" t="s">
        <v>228</v>
      </c>
      <c r="C121" s="126" t="s">
        <v>229</v>
      </c>
      <c r="D121" s="126" t="s">
        <v>197</v>
      </c>
      <c r="E121" s="126" t="s">
        <v>753</v>
      </c>
      <c r="G121" s="165">
        <v>44976.541666666664</v>
      </c>
      <c r="H121" s="165">
        <v>44976.583333333336</v>
      </c>
      <c r="I121" s="126" t="s">
        <v>490</v>
      </c>
      <c r="J121" s="126" t="s">
        <v>192</v>
      </c>
      <c r="K121" s="126" t="s">
        <v>192</v>
      </c>
      <c r="L121" s="126" t="s">
        <v>864</v>
      </c>
      <c r="M121" s="167"/>
      <c r="N121" s="126" t="s">
        <v>208</v>
      </c>
      <c r="O121" s="126" t="s">
        <v>328</v>
      </c>
      <c r="P121" s="126" t="s">
        <v>835</v>
      </c>
      <c r="Q121" s="181">
        <f>3128*2.4</f>
        <v>7507.2</v>
      </c>
      <c r="R121" s="181">
        <v>7504.6239999999998</v>
      </c>
      <c r="S121" s="181"/>
      <c r="U121" s="181">
        <f>R121</f>
        <v>7504.6239999999998</v>
      </c>
      <c r="AV121" s="165">
        <f t="shared" si="22"/>
        <v>44963.418055555558</v>
      </c>
      <c r="AW121" s="165">
        <f t="shared" si="23"/>
        <v>44981.444444444445</v>
      </c>
      <c r="AX121" s="137">
        <f t="shared" si="24"/>
        <v>18.026388888887595</v>
      </c>
      <c r="AY121" s="165">
        <v>44963.418055555558</v>
      </c>
      <c r="AZ121" s="165">
        <v>44972.618055555555</v>
      </c>
      <c r="BA121" s="165">
        <v>44974.444444444445</v>
      </c>
      <c r="BB121" s="165">
        <v>44976.395833333336</v>
      </c>
      <c r="BC121" s="165">
        <v>44976.59375</v>
      </c>
      <c r="BD121" s="165">
        <v>44976.600694444445</v>
      </c>
      <c r="BE121" s="165">
        <v>44976.600694444445</v>
      </c>
      <c r="BF121" s="165">
        <f t="shared" si="39"/>
        <v>44978.309027777781</v>
      </c>
      <c r="BG121" s="165">
        <v>44979.25</v>
      </c>
      <c r="BH121" s="165">
        <v>44979.416666666664</v>
      </c>
      <c r="BI121" s="165">
        <v>44979.388888888891</v>
      </c>
      <c r="BJ121" s="165">
        <v>44980.576388888891</v>
      </c>
      <c r="BK121" s="165">
        <v>44980.743055555555</v>
      </c>
      <c r="BL121" s="165">
        <v>44980.90625</v>
      </c>
      <c r="BM121" s="165">
        <v>44980.927083333336</v>
      </c>
      <c r="BN121" s="165">
        <v>44981.277777777781</v>
      </c>
      <c r="BO121" s="165">
        <v>44981.444444444445</v>
      </c>
      <c r="BP121" s="126" t="s">
        <v>865</v>
      </c>
      <c r="BR121" s="136">
        <f t="shared" si="25"/>
        <v>43.833333333372138</v>
      </c>
      <c r="BS121" s="136">
        <f t="shared" si="26"/>
        <v>4.7499999999417923</v>
      </c>
      <c r="BT121" s="136">
        <f t="shared" si="27"/>
        <v>41.000000000058208</v>
      </c>
      <c r="BU121" s="136">
        <f>(BJ121-BF121)*24</f>
        <v>54.416666666627862</v>
      </c>
      <c r="BV121" s="135">
        <f t="shared" si="28"/>
        <v>3.9166666666860692</v>
      </c>
      <c r="BW121" s="135">
        <f t="shared" si="29"/>
        <v>3.9999999999417923</v>
      </c>
      <c r="BX121" s="134">
        <f t="shared" si="30"/>
        <v>6.3298611111094942</v>
      </c>
      <c r="BY121" s="134">
        <f t="shared" si="31"/>
        <v>18.026388888887595</v>
      </c>
      <c r="BZ121" s="133">
        <f t="shared" si="32"/>
        <v>0.3511441559441531</v>
      </c>
    </row>
    <row r="122" spans="1:78" s="126" customFormat="1">
      <c r="A122" s="192"/>
      <c r="G122" s="166"/>
      <c r="H122" s="166"/>
      <c r="I122" s="181"/>
      <c r="M122" s="167"/>
      <c r="Q122" s="181"/>
      <c r="R122" s="191">
        <f t="shared" ref="R122:AU122" si="42">SUM(R3:R121)</f>
        <v>793900.01800000004</v>
      </c>
      <c r="S122" s="191">
        <f t="shared" si="42"/>
        <v>0</v>
      </c>
      <c r="T122" s="191">
        <f t="shared" si="42"/>
        <v>106744.07195</v>
      </c>
      <c r="U122" s="191">
        <f t="shared" si="42"/>
        <v>106258.67005</v>
      </c>
      <c r="V122" s="191">
        <f t="shared" si="42"/>
        <v>0</v>
      </c>
      <c r="W122" s="191">
        <f t="shared" si="42"/>
        <v>201052.53459999998</v>
      </c>
      <c r="X122" s="191">
        <f t="shared" si="42"/>
        <v>114644.50540000001</v>
      </c>
      <c r="Y122" s="191">
        <f t="shared" si="42"/>
        <v>30266.53</v>
      </c>
      <c r="Z122" s="191">
        <f t="shared" si="42"/>
        <v>0</v>
      </c>
      <c r="AA122" s="191">
        <f t="shared" si="42"/>
        <v>0</v>
      </c>
      <c r="AB122" s="191">
        <f t="shared" si="42"/>
        <v>0</v>
      </c>
      <c r="AC122" s="191">
        <f t="shared" si="42"/>
        <v>45114.061000000002</v>
      </c>
      <c r="AD122" s="191">
        <f t="shared" si="42"/>
        <v>0</v>
      </c>
      <c r="AE122" s="191">
        <f t="shared" si="42"/>
        <v>0</v>
      </c>
      <c r="AF122" s="191">
        <f t="shared" si="42"/>
        <v>0</v>
      </c>
      <c r="AG122" s="191">
        <f t="shared" si="42"/>
        <v>0</v>
      </c>
      <c r="AH122" s="191">
        <f t="shared" si="42"/>
        <v>0</v>
      </c>
      <c r="AI122" s="191">
        <f t="shared" si="42"/>
        <v>0</v>
      </c>
      <c r="AJ122" s="191">
        <f t="shared" si="42"/>
        <v>22945.603999999999</v>
      </c>
      <c r="AK122" s="191">
        <f t="shared" si="42"/>
        <v>45000</v>
      </c>
      <c r="AL122" s="191">
        <f t="shared" si="42"/>
        <v>15018</v>
      </c>
      <c r="AM122" s="191">
        <f t="shared" si="42"/>
        <v>5008.63</v>
      </c>
      <c r="AN122" s="191">
        <f t="shared" si="42"/>
        <v>30000</v>
      </c>
      <c r="AO122" s="191">
        <f t="shared" si="42"/>
        <v>0</v>
      </c>
      <c r="AP122" s="191">
        <f t="shared" si="42"/>
        <v>0</v>
      </c>
      <c r="AQ122" s="191">
        <f t="shared" si="42"/>
        <v>0</v>
      </c>
      <c r="AR122" s="191">
        <f t="shared" si="42"/>
        <v>15056.688</v>
      </c>
      <c r="AS122" s="191">
        <f t="shared" si="42"/>
        <v>42217.815999999999</v>
      </c>
      <c r="AT122" s="191">
        <f t="shared" si="42"/>
        <v>14572.906999999999</v>
      </c>
      <c r="AU122" s="191">
        <f t="shared" si="42"/>
        <v>0</v>
      </c>
      <c r="AV122" s="165"/>
      <c r="AW122" s="165"/>
      <c r="AX122" s="165"/>
      <c r="AY122" s="165"/>
      <c r="AZ122" s="165"/>
      <c r="BA122" s="165"/>
      <c r="BB122" s="165"/>
      <c r="BC122" s="165"/>
      <c r="BD122" s="165"/>
      <c r="BE122" s="165"/>
      <c r="BF122" s="165"/>
      <c r="BG122" s="165"/>
      <c r="BH122" s="165"/>
      <c r="BI122" s="165"/>
      <c r="BJ122" s="165"/>
      <c r="BK122" s="165"/>
      <c r="BL122" s="165"/>
      <c r="BM122" s="165"/>
      <c r="BN122" s="165"/>
      <c r="BO122" s="165"/>
      <c r="BR122" s="136"/>
      <c r="BS122" s="136"/>
      <c r="BT122" s="136"/>
      <c r="BU122" s="136"/>
      <c r="BV122" s="135"/>
      <c r="BW122" s="135"/>
      <c r="BX122" s="165"/>
      <c r="BY122" s="165"/>
    </row>
    <row r="142" spans="1:80" s="117" customFormat="1">
      <c r="A142" s="119"/>
      <c r="B142" s="119"/>
      <c r="C142" s="115"/>
      <c r="D142" s="115"/>
      <c r="E142" s="115"/>
      <c r="F142" s="115"/>
      <c r="G142" s="252"/>
      <c r="H142" s="252"/>
      <c r="J142" s="115"/>
      <c r="K142" s="115"/>
      <c r="L142" s="115"/>
      <c r="M142" s="118"/>
      <c r="N142" s="115"/>
      <c r="O142" s="115"/>
      <c r="P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115"/>
      <c r="AV142" s="251"/>
      <c r="AW142" s="251"/>
      <c r="AX142" s="251"/>
      <c r="AY142" s="251"/>
      <c r="AZ142" s="251"/>
      <c r="BA142" s="251"/>
      <c r="BB142" s="251"/>
      <c r="BC142" s="251"/>
      <c r="BD142" s="251"/>
      <c r="BE142" s="251"/>
      <c r="BF142" s="251"/>
      <c r="BG142" s="251"/>
      <c r="BH142" s="252"/>
      <c r="BI142" s="251"/>
      <c r="BJ142" s="251"/>
      <c r="BK142" s="251"/>
      <c r="BL142" s="251"/>
      <c r="BM142" s="115"/>
      <c r="BN142" s="115"/>
      <c r="BO142" s="115"/>
      <c r="BP142" s="116"/>
      <c r="BQ142" s="116"/>
      <c r="BR142" s="251"/>
      <c r="BS142" s="251"/>
      <c r="BT142" s="251"/>
      <c r="BU142" s="251"/>
      <c r="BV142" s="251"/>
      <c r="BW142" s="251"/>
      <c r="BX142" s="251"/>
      <c r="BY142" s="251"/>
      <c r="BZ142" s="115"/>
      <c r="CA142" s="115"/>
      <c r="CB142" s="115"/>
    </row>
    <row r="143" spans="1:80" s="117" customFormat="1">
      <c r="A143" s="119"/>
      <c r="B143" s="119"/>
      <c r="C143" s="115"/>
      <c r="D143" s="115"/>
      <c r="E143" s="115"/>
      <c r="F143" s="115"/>
      <c r="G143" s="252"/>
      <c r="H143" s="252"/>
      <c r="J143" s="115"/>
      <c r="K143" s="115"/>
      <c r="L143" s="115"/>
      <c r="M143" s="118"/>
      <c r="N143" s="115"/>
      <c r="O143" s="115"/>
      <c r="P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115"/>
      <c r="AV143" s="251"/>
      <c r="AW143" s="251"/>
      <c r="AX143" s="251"/>
      <c r="AY143" s="251"/>
      <c r="AZ143" s="251"/>
      <c r="BA143" s="251"/>
      <c r="BB143" s="251"/>
      <c r="BC143" s="251"/>
      <c r="BD143" s="251"/>
      <c r="BE143" s="251"/>
      <c r="BF143" s="251"/>
      <c r="BG143" s="251"/>
      <c r="BH143" s="252"/>
      <c r="BI143" s="251"/>
      <c r="BJ143" s="251"/>
      <c r="BK143" s="251"/>
      <c r="BL143" s="251"/>
      <c r="BM143" s="115"/>
      <c r="BN143" s="115"/>
      <c r="BO143" s="115"/>
      <c r="BP143" s="116"/>
      <c r="BQ143" s="116"/>
      <c r="BR143" s="251"/>
      <c r="BS143" s="251"/>
      <c r="BT143" s="251"/>
      <c r="BU143" s="251"/>
      <c r="BV143" s="251"/>
      <c r="BW143" s="251"/>
      <c r="BX143" s="251"/>
      <c r="BY143" s="251"/>
      <c r="BZ143" s="115"/>
      <c r="CA143" s="115"/>
      <c r="CB143" s="115"/>
    </row>
    <row r="144" spans="1:80" s="117" customFormat="1">
      <c r="A144" s="119"/>
      <c r="B144" s="119"/>
      <c r="C144" s="115"/>
      <c r="D144" s="115"/>
      <c r="E144" s="115"/>
      <c r="F144" s="115"/>
      <c r="G144" s="252"/>
      <c r="H144" s="252"/>
      <c r="J144" s="115"/>
      <c r="K144" s="115"/>
      <c r="L144" s="115"/>
      <c r="M144" s="118"/>
      <c r="N144" s="115"/>
      <c r="O144" s="115"/>
      <c r="P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115"/>
      <c r="AT144" s="115"/>
      <c r="AU144" s="115"/>
      <c r="AV144" s="251"/>
      <c r="AW144" s="251"/>
      <c r="AX144" s="251"/>
      <c r="AY144" s="251"/>
      <c r="AZ144" s="251"/>
      <c r="BA144" s="251"/>
      <c r="BB144" s="251"/>
      <c r="BC144" s="251"/>
      <c r="BD144" s="251"/>
      <c r="BE144" s="251"/>
      <c r="BF144" s="251"/>
      <c r="BG144" s="251"/>
      <c r="BH144" s="252"/>
      <c r="BI144" s="251"/>
      <c r="BJ144" s="251"/>
      <c r="BK144" s="251"/>
      <c r="BL144" s="251"/>
      <c r="BM144" s="115"/>
      <c r="BN144" s="115"/>
      <c r="BO144" s="115"/>
      <c r="BP144" s="116"/>
      <c r="BQ144" s="116"/>
      <c r="BR144" s="251"/>
      <c r="BS144" s="251"/>
      <c r="BT144" s="251"/>
      <c r="BU144" s="251"/>
      <c r="BV144" s="251"/>
      <c r="BW144" s="251"/>
      <c r="BX144" s="251"/>
      <c r="BY144" s="251"/>
      <c r="BZ144" s="115"/>
      <c r="CA144" s="115"/>
      <c r="CB144" s="115"/>
    </row>
    <row r="145" spans="1:80" s="117" customFormat="1">
      <c r="A145" s="119"/>
      <c r="B145" s="119"/>
      <c r="C145" s="115"/>
      <c r="D145" s="115"/>
      <c r="E145" s="115"/>
      <c r="F145" s="115"/>
      <c r="G145" s="252"/>
      <c r="H145" s="252"/>
      <c r="J145" s="115"/>
      <c r="K145" s="115"/>
      <c r="L145" s="115"/>
      <c r="M145" s="118"/>
      <c r="N145" s="115"/>
      <c r="O145" s="115"/>
      <c r="P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15"/>
      <c r="AT145" s="115"/>
      <c r="AU145" s="115"/>
      <c r="AV145" s="251"/>
      <c r="AW145" s="251"/>
      <c r="AX145" s="251"/>
      <c r="AY145" s="251"/>
      <c r="AZ145" s="251"/>
      <c r="BA145" s="251"/>
      <c r="BB145" s="251"/>
      <c r="BC145" s="251"/>
      <c r="BD145" s="251"/>
      <c r="BE145" s="251"/>
      <c r="BF145" s="251"/>
      <c r="BG145" s="251"/>
      <c r="BH145" s="252"/>
      <c r="BI145" s="251"/>
      <c r="BJ145" s="251"/>
      <c r="BK145" s="251"/>
      <c r="BL145" s="251"/>
      <c r="BM145" s="115"/>
      <c r="BN145" s="115"/>
      <c r="BO145" s="115"/>
      <c r="BP145" s="116"/>
      <c r="BQ145" s="116"/>
      <c r="BR145" s="251"/>
      <c r="BS145" s="251"/>
      <c r="BT145" s="251"/>
      <c r="BU145" s="251"/>
      <c r="BV145" s="251"/>
      <c r="BW145" s="251"/>
      <c r="BX145" s="251"/>
      <c r="BY145" s="251"/>
      <c r="BZ145" s="115"/>
      <c r="CA145" s="115"/>
      <c r="CB145" s="115"/>
    </row>
    <row r="146" spans="1:80" s="117" customFormat="1">
      <c r="A146" s="119"/>
      <c r="B146" s="119"/>
      <c r="C146" s="115"/>
      <c r="D146" s="115"/>
      <c r="E146" s="115"/>
      <c r="F146" s="115"/>
      <c r="G146" s="252"/>
      <c r="H146" s="252"/>
      <c r="J146" s="115"/>
      <c r="K146" s="115"/>
      <c r="L146" s="115"/>
      <c r="M146" s="118"/>
      <c r="N146" s="115"/>
      <c r="O146" s="115"/>
      <c r="P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15"/>
      <c r="AT146" s="115"/>
      <c r="AU146" s="115"/>
      <c r="AV146" s="251"/>
      <c r="AW146" s="251"/>
      <c r="AX146" s="251"/>
      <c r="AY146" s="251"/>
      <c r="AZ146" s="251"/>
      <c r="BA146" s="251"/>
      <c r="BB146" s="251"/>
      <c r="BC146" s="251"/>
      <c r="BD146" s="251"/>
      <c r="BE146" s="251"/>
      <c r="BF146" s="251"/>
      <c r="BG146" s="251"/>
      <c r="BH146" s="252"/>
      <c r="BI146" s="251"/>
      <c r="BJ146" s="251"/>
      <c r="BK146" s="251"/>
      <c r="BL146" s="251"/>
      <c r="BM146" s="115"/>
      <c r="BN146" s="115"/>
      <c r="BO146" s="115"/>
      <c r="BP146" s="116"/>
      <c r="BQ146" s="116"/>
      <c r="BR146" s="251"/>
      <c r="BS146" s="251"/>
      <c r="BT146" s="251"/>
      <c r="BU146" s="251"/>
      <c r="BV146" s="251"/>
      <c r="BW146" s="251"/>
      <c r="BX146" s="251"/>
      <c r="BY146" s="251"/>
      <c r="BZ146" s="115"/>
      <c r="CA146" s="115"/>
      <c r="CB146" s="115"/>
    </row>
    <row r="147" spans="1:80" s="117" customFormat="1">
      <c r="A147" s="119"/>
      <c r="B147" s="119"/>
      <c r="C147" s="115"/>
      <c r="D147" s="115"/>
      <c r="E147" s="115"/>
      <c r="F147" s="115"/>
      <c r="G147" s="252"/>
      <c r="H147" s="252"/>
      <c r="J147" s="115"/>
      <c r="K147" s="115"/>
      <c r="L147" s="115"/>
      <c r="M147" s="118"/>
      <c r="N147" s="115"/>
      <c r="O147" s="115"/>
      <c r="P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115"/>
      <c r="AT147" s="115"/>
      <c r="AU147" s="115"/>
      <c r="AV147" s="251"/>
      <c r="AW147" s="251"/>
      <c r="AX147" s="251"/>
      <c r="AY147" s="251"/>
      <c r="AZ147" s="251"/>
      <c r="BA147" s="251"/>
      <c r="BB147" s="251"/>
      <c r="BC147" s="251"/>
      <c r="BD147" s="251"/>
      <c r="BE147" s="251"/>
      <c r="BF147" s="251"/>
      <c r="BG147" s="251"/>
      <c r="BH147" s="252"/>
      <c r="BI147" s="251"/>
      <c r="BJ147" s="251"/>
      <c r="BK147" s="251"/>
      <c r="BL147" s="251"/>
      <c r="BM147" s="115"/>
      <c r="BN147" s="115"/>
      <c r="BO147" s="115"/>
      <c r="BP147" s="116"/>
      <c r="BQ147" s="116"/>
      <c r="BR147" s="251"/>
      <c r="BS147" s="251"/>
      <c r="BT147" s="251"/>
      <c r="BU147" s="251"/>
      <c r="BV147" s="251"/>
      <c r="BW147" s="251"/>
      <c r="BX147" s="251"/>
      <c r="BY147" s="251"/>
      <c r="BZ147" s="115"/>
      <c r="CA147" s="115"/>
      <c r="CB147" s="115"/>
    </row>
    <row r="148" spans="1:80" s="117" customFormat="1">
      <c r="A148" s="119"/>
      <c r="B148" s="119"/>
      <c r="C148" s="115"/>
      <c r="D148" s="115"/>
      <c r="E148" s="115"/>
      <c r="F148" s="115"/>
      <c r="G148" s="252"/>
      <c r="H148" s="252"/>
      <c r="J148" s="115"/>
      <c r="K148" s="115"/>
      <c r="L148" s="115"/>
      <c r="M148" s="118"/>
      <c r="N148" s="115"/>
      <c r="O148" s="115"/>
      <c r="P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115"/>
      <c r="AV148" s="251"/>
      <c r="AW148" s="251"/>
      <c r="AX148" s="251"/>
      <c r="AY148" s="251"/>
      <c r="AZ148" s="251"/>
      <c r="BA148" s="251"/>
      <c r="BB148" s="251"/>
      <c r="BC148" s="251"/>
      <c r="BD148" s="251"/>
      <c r="BE148" s="251"/>
      <c r="BF148" s="251"/>
      <c r="BG148" s="251"/>
      <c r="BH148" s="252"/>
      <c r="BI148" s="251"/>
      <c r="BJ148" s="251"/>
      <c r="BK148" s="251"/>
      <c r="BL148" s="251"/>
      <c r="BM148" s="115"/>
      <c r="BN148" s="115"/>
      <c r="BO148" s="115"/>
      <c r="BP148" s="116"/>
      <c r="BQ148" s="116"/>
      <c r="BR148" s="251"/>
      <c r="BS148" s="251"/>
      <c r="BT148" s="251"/>
      <c r="BU148" s="251"/>
      <c r="BV148" s="251"/>
      <c r="BW148" s="251"/>
      <c r="BX148" s="251"/>
      <c r="BY148" s="251"/>
      <c r="BZ148" s="115"/>
      <c r="CA148" s="115"/>
      <c r="CB148" s="115"/>
    </row>
    <row r="149" spans="1:80" s="117" customFormat="1">
      <c r="A149" s="119"/>
      <c r="B149" s="119"/>
      <c r="C149" s="115"/>
      <c r="D149" s="115"/>
      <c r="E149" s="115"/>
      <c r="F149" s="115"/>
      <c r="G149" s="252"/>
      <c r="H149" s="252"/>
      <c r="J149" s="115"/>
      <c r="K149" s="115"/>
      <c r="L149" s="115"/>
      <c r="M149" s="118"/>
      <c r="N149" s="115"/>
      <c r="O149" s="115"/>
      <c r="P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5"/>
      <c r="AV149" s="251"/>
      <c r="AW149" s="251"/>
      <c r="AX149" s="251"/>
      <c r="AY149" s="251"/>
      <c r="AZ149" s="251"/>
      <c r="BA149" s="251"/>
      <c r="BB149" s="251"/>
      <c r="BC149" s="251"/>
      <c r="BD149" s="251"/>
      <c r="BE149" s="251"/>
      <c r="BF149" s="251"/>
      <c r="BG149" s="251"/>
      <c r="BH149" s="252"/>
      <c r="BI149" s="251"/>
      <c r="BJ149" s="251"/>
      <c r="BK149" s="251"/>
      <c r="BL149" s="251"/>
      <c r="BM149" s="115"/>
      <c r="BN149" s="115"/>
      <c r="BO149" s="115"/>
      <c r="BP149" s="116"/>
      <c r="BQ149" s="116"/>
      <c r="BR149" s="251"/>
      <c r="BS149" s="251"/>
      <c r="BT149" s="251"/>
      <c r="BU149" s="251"/>
      <c r="BV149" s="251"/>
      <c r="BW149" s="251"/>
      <c r="BX149" s="251"/>
      <c r="BY149" s="251"/>
      <c r="BZ149" s="115"/>
      <c r="CA149" s="115"/>
      <c r="CB149" s="115"/>
    </row>
    <row r="150" spans="1:80" s="117" customFormat="1">
      <c r="A150" s="119"/>
      <c r="B150" s="119"/>
      <c r="C150" s="115"/>
      <c r="D150" s="115"/>
      <c r="E150" s="115"/>
      <c r="F150" s="115"/>
      <c r="G150" s="252"/>
      <c r="H150" s="252"/>
      <c r="J150" s="115"/>
      <c r="K150" s="115"/>
      <c r="L150" s="115"/>
      <c r="M150" s="118"/>
      <c r="N150" s="115"/>
      <c r="O150" s="115"/>
      <c r="P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115"/>
      <c r="AN150" s="115"/>
      <c r="AO150" s="115"/>
      <c r="AP150" s="115"/>
      <c r="AQ150" s="115"/>
      <c r="AR150" s="115"/>
      <c r="AS150" s="115"/>
      <c r="AT150" s="115"/>
      <c r="AU150" s="115"/>
      <c r="AV150" s="251"/>
      <c r="AW150" s="251"/>
      <c r="AX150" s="251"/>
      <c r="AY150" s="251"/>
      <c r="AZ150" s="251"/>
      <c r="BA150" s="251"/>
      <c r="BB150" s="251"/>
      <c r="BC150" s="251"/>
      <c r="BD150" s="251"/>
      <c r="BE150" s="251"/>
      <c r="BF150" s="251"/>
      <c r="BG150" s="251"/>
      <c r="BH150" s="252"/>
      <c r="BI150" s="251"/>
      <c r="BJ150" s="251"/>
      <c r="BK150" s="251"/>
      <c r="BL150" s="251"/>
      <c r="BM150" s="115"/>
      <c r="BN150" s="115"/>
      <c r="BO150" s="115"/>
      <c r="BP150" s="116"/>
      <c r="BQ150" s="116"/>
      <c r="BR150" s="251"/>
      <c r="BS150" s="251"/>
      <c r="BT150" s="251"/>
      <c r="BU150" s="251"/>
      <c r="BV150" s="251"/>
      <c r="BW150" s="251"/>
      <c r="BX150" s="251"/>
      <c r="BY150" s="251"/>
      <c r="BZ150" s="115"/>
      <c r="CA150" s="115"/>
      <c r="CB150" s="115"/>
    </row>
    <row r="151" spans="1:80" s="117" customFormat="1">
      <c r="A151" s="119"/>
      <c r="B151" s="119"/>
      <c r="C151" s="115"/>
      <c r="D151" s="115"/>
      <c r="E151" s="115"/>
      <c r="F151" s="115"/>
      <c r="G151" s="252"/>
      <c r="H151" s="252"/>
      <c r="J151" s="115"/>
      <c r="K151" s="115"/>
      <c r="L151" s="115"/>
      <c r="M151" s="118"/>
      <c r="N151" s="115"/>
      <c r="O151" s="115"/>
      <c r="P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115"/>
      <c r="AN151" s="115"/>
      <c r="AO151" s="115"/>
      <c r="AP151" s="115"/>
      <c r="AQ151" s="115"/>
      <c r="AR151" s="115"/>
      <c r="AS151" s="115"/>
      <c r="AT151" s="115"/>
      <c r="AU151" s="115"/>
      <c r="AV151" s="251"/>
      <c r="AW151" s="251"/>
      <c r="AX151" s="251"/>
      <c r="AY151" s="251"/>
      <c r="AZ151" s="251"/>
      <c r="BA151" s="251"/>
      <c r="BB151" s="251"/>
      <c r="BC151" s="251"/>
      <c r="BD151" s="251"/>
      <c r="BE151" s="251"/>
      <c r="BF151" s="251"/>
      <c r="BG151" s="251"/>
      <c r="BH151" s="252"/>
      <c r="BI151" s="251"/>
      <c r="BJ151" s="251"/>
      <c r="BK151" s="251"/>
      <c r="BL151" s="251"/>
      <c r="BM151" s="115"/>
      <c r="BN151" s="115"/>
      <c r="BO151" s="115"/>
      <c r="BP151" s="116"/>
      <c r="BQ151" s="116"/>
      <c r="BR151" s="251"/>
      <c r="BS151" s="251"/>
      <c r="BT151" s="251"/>
      <c r="BU151" s="251"/>
      <c r="BV151" s="251"/>
      <c r="BW151" s="251"/>
      <c r="BX151" s="251"/>
      <c r="BY151" s="251"/>
      <c r="BZ151" s="115"/>
      <c r="CA151" s="115"/>
      <c r="CB151" s="115"/>
    </row>
    <row r="152" spans="1:80" s="117" customFormat="1">
      <c r="A152" s="119"/>
      <c r="B152" s="119"/>
      <c r="C152" s="115"/>
      <c r="D152" s="115"/>
      <c r="E152" s="115"/>
      <c r="F152" s="115"/>
      <c r="G152" s="252"/>
      <c r="H152" s="252"/>
      <c r="J152" s="115"/>
      <c r="K152" s="115"/>
      <c r="L152" s="115"/>
      <c r="M152" s="118"/>
      <c r="N152" s="115"/>
      <c r="O152" s="115"/>
      <c r="P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251"/>
      <c r="AW152" s="251"/>
      <c r="AX152" s="251"/>
      <c r="AY152" s="251"/>
      <c r="AZ152" s="251"/>
      <c r="BA152" s="251"/>
      <c r="BB152" s="251"/>
      <c r="BC152" s="251"/>
      <c r="BD152" s="251"/>
      <c r="BE152" s="251"/>
      <c r="BF152" s="251"/>
      <c r="BG152" s="251"/>
      <c r="BH152" s="252"/>
      <c r="BI152" s="251"/>
      <c r="BJ152" s="251"/>
      <c r="BK152" s="251"/>
      <c r="BL152" s="251"/>
      <c r="BM152" s="115"/>
      <c r="BN152" s="115"/>
      <c r="BO152" s="115"/>
      <c r="BP152" s="116"/>
      <c r="BQ152" s="116"/>
      <c r="BR152" s="251"/>
      <c r="BS152" s="251"/>
      <c r="BT152" s="251"/>
      <c r="BU152" s="251"/>
      <c r="BV152" s="251"/>
      <c r="BW152" s="251"/>
      <c r="BX152" s="251"/>
      <c r="BY152" s="251"/>
      <c r="BZ152" s="115"/>
      <c r="CA152" s="115"/>
      <c r="CB152" s="115"/>
    </row>
    <row r="153" spans="1:80" s="117" customFormat="1">
      <c r="A153" s="119"/>
      <c r="B153" s="119"/>
      <c r="C153" s="115"/>
      <c r="D153" s="115"/>
      <c r="E153" s="115"/>
      <c r="F153" s="115"/>
      <c r="G153" s="252"/>
      <c r="H153" s="252"/>
      <c r="J153" s="115"/>
      <c r="K153" s="115"/>
      <c r="L153" s="115"/>
      <c r="M153" s="118"/>
      <c r="N153" s="115"/>
      <c r="O153" s="115"/>
      <c r="P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251"/>
      <c r="AW153" s="251"/>
      <c r="AX153" s="251"/>
      <c r="AY153" s="251"/>
      <c r="AZ153" s="251"/>
      <c r="BA153" s="251"/>
      <c r="BB153" s="251"/>
      <c r="BC153" s="251"/>
      <c r="BD153" s="251"/>
      <c r="BE153" s="251"/>
      <c r="BF153" s="251"/>
      <c r="BG153" s="251"/>
      <c r="BH153" s="252"/>
      <c r="BI153" s="251"/>
      <c r="BJ153" s="251"/>
      <c r="BK153" s="251"/>
      <c r="BL153" s="251"/>
      <c r="BM153" s="115"/>
      <c r="BN153" s="115"/>
      <c r="BO153" s="115"/>
      <c r="BP153" s="116"/>
      <c r="BQ153" s="116"/>
      <c r="BR153" s="251"/>
      <c r="BS153" s="251"/>
      <c r="BT153" s="251"/>
      <c r="BU153" s="251"/>
      <c r="BV153" s="251"/>
      <c r="BW153" s="251"/>
      <c r="BX153" s="251"/>
      <c r="BY153" s="251"/>
      <c r="BZ153" s="115"/>
      <c r="CA153" s="115"/>
      <c r="CB153" s="115"/>
    </row>
    <row r="154" spans="1:80" s="117" customFormat="1">
      <c r="A154" s="119"/>
      <c r="B154" s="119"/>
      <c r="C154" s="115"/>
      <c r="D154" s="115"/>
      <c r="E154" s="115"/>
      <c r="F154" s="115"/>
      <c r="G154" s="252"/>
      <c r="H154" s="252"/>
      <c r="J154" s="115"/>
      <c r="K154" s="115"/>
      <c r="L154" s="115"/>
      <c r="M154" s="118"/>
      <c r="N154" s="115"/>
      <c r="O154" s="115"/>
      <c r="P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251"/>
      <c r="AW154" s="251"/>
      <c r="AX154" s="251"/>
      <c r="AY154" s="251"/>
      <c r="AZ154" s="251"/>
      <c r="BA154" s="251"/>
      <c r="BB154" s="251"/>
      <c r="BC154" s="251"/>
      <c r="BD154" s="251"/>
      <c r="BE154" s="251"/>
      <c r="BF154" s="251"/>
      <c r="BG154" s="251"/>
      <c r="BH154" s="252"/>
      <c r="BI154" s="251"/>
      <c r="BJ154" s="251"/>
      <c r="BK154" s="251"/>
      <c r="BL154" s="251"/>
      <c r="BM154" s="115"/>
      <c r="BN154" s="115"/>
      <c r="BO154" s="115"/>
      <c r="BP154" s="116"/>
      <c r="BQ154" s="116"/>
      <c r="BR154" s="251"/>
      <c r="BS154" s="251"/>
      <c r="BT154" s="251"/>
      <c r="BU154" s="251"/>
      <c r="BV154" s="251"/>
      <c r="BW154" s="251"/>
      <c r="BX154" s="251"/>
      <c r="BY154" s="251"/>
      <c r="BZ154" s="115"/>
      <c r="CA154" s="115"/>
      <c r="CB154" s="115"/>
    </row>
    <row r="155" spans="1:80" s="117" customFormat="1">
      <c r="A155" s="119"/>
      <c r="B155" s="119"/>
      <c r="C155" s="115"/>
      <c r="D155" s="115"/>
      <c r="E155" s="115"/>
      <c r="F155" s="115"/>
      <c r="G155" s="252"/>
      <c r="H155" s="252"/>
      <c r="J155" s="115"/>
      <c r="K155" s="115"/>
      <c r="L155" s="115"/>
      <c r="M155" s="118"/>
      <c r="N155" s="115"/>
      <c r="O155" s="115"/>
      <c r="P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251"/>
      <c r="AW155" s="251"/>
      <c r="AX155" s="251"/>
      <c r="AY155" s="251"/>
      <c r="AZ155" s="251"/>
      <c r="BA155" s="251"/>
      <c r="BB155" s="251"/>
      <c r="BC155" s="251"/>
      <c r="BD155" s="251"/>
      <c r="BE155" s="251"/>
      <c r="BF155" s="251"/>
      <c r="BG155" s="251"/>
      <c r="BH155" s="252"/>
      <c r="BI155" s="251"/>
      <c r="BJ155" s="251"/>
      <c r="BK155" s="251"/>
      <c r="BL155" s="251"/>
      <c r="BM155" s="115"/>
      <c r="BN155" s="115"/>
      <c r="BO155" s="115"/>
      <c r="BP155" s="116"/>
      <c r="BQ155" s="116"/>
      <c r="BR155" s="251"/>
      <c r="BS155" s="251"/>
      <c r="BT155" s="251"/>
      <c r="BU155" s="251"/>
      <c r="BV155" s="251"/>
      <c r="BW155" s="251"/>
      <c r="BX155" s="251"/>
      <c r="BY155" s="251"/>
      <c r="BZ155" s="115"/>
      <c r="CA155" s="115"/>
      <c r="CB155" s="115"/>
    </row>
    <row r="156" spans="1:80" s="117" customFormat="1">
      <c r="A156" s="119"/>
      <c r="B156" s="119"/>
      <c r="C156" s="115"/>
      <c r="D156" s="115"/>
      <c r="E156" s="115"/>
      <c r="F156" s="115"/>
      <c r="G156" s="252"/>
      <c r="H156" s="252"/>
      <c r="J156" s="115"/>
      <c r="K156" s="115"/>
      <c r="L156" s="115"/>
      <c r="M156" s="118"/>
      <c r="N156" s="115"/>
      <c r="O156" s="115"/>
      <c r="P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251"/>
      <c r="AW156" s="251"/>
      <c r="AX156" s="251"/>
      <c r="AY156" s="251"/>
      <c r="AZ156" s="251"/>
      <c r="BA156" s="251"/>
      <c r="BB156" s="251"/>
      <c r="BC156" s="251"/>
      <c r="BD156" s="251"/>
      <c r="BE156" s="251"/>
      <c r="BF156" s="251"/>
      <c r="BG156" s="251"/>
      <c r="BH156" s="252"/>
      <c r="BI156" s="251"/>
      <c r="BJ156" s="251"/>
      <c r="BK156" s="251"/>
      <c r="BL156" s="251"/>
      <c r="BM156" s="115"/>
      <c r="BN156" s="115"/>
      <c r="BO156" s="115"/>
      <c r="BP156" s="116"/>
      <c r="BQ156" s="116"/>
      <c r="BR156" s="251"/>
      <c r="BS156" s="251"/>
      <c r="BT156" s="251"/>
      <c r="BU156" s="251"/>
      <c r="BV156" s="251"/>
      <c r="BW156" s="251"/>
      <c r="BX156" s="251"/>
      <c r="BY156" s="251"/>
      <c r="BZ156" s="115"/>
      <c r="CA156" s="115"/>
      <c r="CB156" s="115"/>
    </row>
    <row r="157" spans="1:80" s="117" customFormat="1">
      <c r="A157" s="119"/>
      <c r="B157" s="119"/>
      <c r="C157" s="115"/>
      <c r="D157" s="115"/>
      <c r="E157" s="115"/>
      <c r="F157" s="115"/>
      <c r="G157" s="252"/>
      <c r="H157" s="252"/>
      <c r="J157" s="115"/>
      <c r="K157" s="115"/>
      <c r="L157" s="115"/>
      <c r="M157" s="118"/>
      <c r="N157" s="115"/>
      <c r="O157" s="115"/>
      <c r="P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251"/>
      <c r="AW157" s="251"/>
      <c r="AX157" s="251"/>
      <c r="AY157" s="251"/>
      <c r="AZ157" s="251"/>
      <c r="BA157" s="251"/>
      <c r="BB157" s="251"/>
      <c r="BC157" s="251"/>
      <c r="BD157" s="251"/>
      <c r="BE157" s="251"/>
      <c r="BF157" s="251"/>
      <c r="BG157" s="251"/>
      <c r="BH157" s="252"/>
      <c r="BI157" s="251"/>
      <c r="BJ157" s="251"/>
      <c r="BK157" s="251"/>
      <c r="BL157" s="251"/>
      <c r="BM157" s="115"/>
      <c r="BN157" s="115"/>
      <c r="BO157" s="115"/>
      <c r="BP157" s="116"/>
      <c r="BQ157" s="116"/>
      <c r="BR157" s="251"/>
      <c r="BS157" s="251"/>
      <c r="BT157" s="251"/>
      <c r="BU157" s="251"/>
      <c r="BV157" s="251"/>
      <c r="BW157" s="251"/>
      <c r="BX157" s="251"/>
      <c r="BY157" s="251"/>
      <c r="BZ157" s="115"/>
      <c r="CA157" s="115"/>
      <c r="CB157" s="115"/>
    </row>
    <row r="158" spans="1:80" s="117" customFormat="1">
      <c r="A158" s="119"/>
      <c r="B158" s="119"/>
      <c r="C158" s="115"/>
      <c r="D158" s="115"/>
      <c r="E158" s="115"/>
      <c r="F158" s="115"/>
      <c r="G158" s="252"/>
      <c r="H158" s="252"/>
      <c r="J158" s="115"/>
      <c r="K158" s="115"/>
      <c r="L158" s="115"/>
      <c r="M158" s="118"/>
      <c r="N158" s="115"/>
      <c r="O158" s="115"/>
      <c r="P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251"/>
      <c r="AW158" s="251"/>
      <c r="AX158" s="251"/>
      <c r="AY158" s="251"/>
      <c r="AZ158" s="251"/>
      <c r="BA158" s="251"/>
      <c r="BB158" s="251"/>
      <c r="BC158" s="251"/>
      <c r="BD158" s="251"/>
      <c r="BE158" s="251"/>
      <c r="BF158" s="251"/>
      <c r="BG158" s="251"/>
      <c r="BH158" s="252"/>
      <c r="BI158" s="251"/>
      <c r="BJ158" s="251"/>
      <c r="BK158" s="251"/>
      <c r="BL158" s="251"/>
      <c r="BM158" s="115"/>
      <c r="BN158" s="115"/>
      <c r="BO158" s="115"/>
      <c r="BP158" s="116"/>
      <c r="BQ158" s="116"/>
      <c r="BR158" s="251"/>
      <c r="BS158" s="251"/>
      <c r="BT158" s="251"/>
      <c r="BU158" s="251"/>
      <c r="BV158" s="251"/>
      <c r="BW158" s="251"/>
      <c r="BX158" s="251"/>
      <c r="BY158" s="251"/>
      <c r="BZ158" s="115"/>
      <c r="CA158" s="115"/>
      <c r="CB158" s="115"/>
    </row>
    <row r="159" spans="1:80" s="117" customFormat="1">
      <c r="A159" s="119"/>
      <c r="B159" s="119"/>
      <c r="C159" s="115"/>
      <c r="D159" s="115"/>
      <c r="E159" s="115"/>
      <c r="F159" s="115"/>
      <c r="G159" s="252"/>
      <c r="H159" s="252"/>
      <c r="J159" s="115"/>
      <c r="K159" s="115"/>
      <c r="L159" s="115"/>
      <c r="M159" s="118"/>
      <c r="N159" s="115"/>
      <c r="O159" s="115"/>
      <c r="P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251"/>
      <c r="AW159" s="251"/>
      <c r="AX159" s="251"/>
      <c r="AY159" s="251"/>
      <c r="AZ159" s="251"/>
      <c r="BA159" s="251"/>
      <c r="BB159" s="251"/>
      <c r="BC159" s="251"/>
      <c r="BD159" s="251"/>
      <c r="BE159" s="251"/>
      <c r="BF159" s="251"/>
      <c r="BG159" s="251"/>
      <c r="BH159" s="252"/>
      <c r="BI159" s="251"/>
      <c r="BJ159" s="251"/>
      <c r="BK159" s="251"/>
      <c r="BL159" s="251"/>
      <c r="BM159" s="115"/>
      <c r="BN159" s="115"/>
      <c r="BO159" s="115"/>
      <c r="BP159" s="116"/>
      <c r="BQ159" s="116"/>
      <c r="BR159" s="251"/>
      <c r="BS159" s="251"/>
      <c r="BT159" s="251"/>
      <c r="BU159" s="251"/>
      <c r="BV159" s="251"/>
      <c r="BW159" s="251"/>
      <c r="BX159" s="251"/>
      <c r="BY159" s="251"/>
      <c r="BZ159" s="115"/>
      <c r="CA159" s="115"/>
      <c r="CB159" s="115"/>
    </row>
    <row r="160" spans="1:80" s="117" customFormat="1">
      <c r="A160" s="119"/>
      <c r="B160" s="119"/>
      <c r="C160" s="115"/>
      <c r="D160" s="115"/>
      <c r="E160" s="115"/>
      <c r="F160" s="115"/>
      <c r="G160" s="252"/>
      <c r="H160" s="252"/>
      <c r="J160" s="115"/>
      <c r="K160" s="115"/>
      <c r="L160" s="115"/>
      <c r="M160" s="118"/>
      <c r="N160" s="115"/>
      <c r="O160" s="115"/>
      <c r="P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251"/>
      <c r="AW160" s="251"/>
      <c r="AX160" s="251"/>
      <c r="AY160" s="251"/>
      <c r="AZ160" s="251"/>
      <c r="BA160" s="251"/>
      <c r="BB160" s="251"/>
      <c r="BC160" s="251"/>
      <c r="BD160" s="251"/>
      <c r="BE160" s="251"/>
      <c r="BF160" s="251"/>
      <c r="BG160" s="251"/>
      <c r="BH160" s="252"/>
      <c r="BI160" s="251"/>
      <c r="BJ160" s="251"/>
      <c r="BK160" s="251"/>
      <c r="BL160" s="251"/>
      <c r="BM160" s="115"/>
      <c r="BN160" s="115"/>
      <c r="BO160" s="115"/>
      <c r="BP160" s="116"/>
      <c r="BQ160" s="116"/>
      <c r="BR160" s="251"/>
      <c r="BS160" s="251"/>
      <c r="BT160" s="251"/>
      <c r="BU160" s="251"/>
      <c r="BV160" s="251"/>
      <c r="BW160" s="251"/>
      <c r="BX160" s="251"/>
      <c r="BY160" s="251"/>
      <c r="BZ160" s="115"/>
      <c r="CA160" s="115"/>
      <c r="CB160" s="115"/>
    </row>
    <row r="161" spans="1:80" s="117" customFormat="1">
      <c r="A161" s="119"/>
      <c r="B161" s="119"/>
      <c r="C161" s="115"/>
      <c r="D161" s="115"/>
      <c r="E161" s="115"/>
      <c r="F161" s="115"/>
      <c r="G161" s="252"/>
      <c r="H161" s="252"/>
      <c r="J161" s="115"/>
      <c r="K161" s="115"/>
      <c r="L161" s="115"/>
      <c r="M161" s="118"/>
      <c r="N161" s="115"/>
      <c r="O161" s="115"/>
      <c r="P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251"/>
      <c r="AW161" s="251"/>
      <c r="AX161" s="251"/>
      <c r="AY161" s="251"/>
      <c r="AZ161" s="251"/>
      <c r="BA161" s="251"/>
      <c r="BB161" s="251"/>
      <c r="BC161" s="251"/>
      <c r="BD161" s="251"/>
      <c r="BE161" s="251"/>
      <c r="BF161" s="251"/>
      <c r="BG161" s="251"/>
      <c r="BH161" s="252"/>
      <c r="BI161" s="251"/>
      <c r="BJ161" s="251"/>
      <c r="BK161" s="251"/>
      <c r="BL161" s="251"/>
      <c r="BM161" s="115"/>
      <c r="BN161" s="115"/>
      <c r="BO161" s="115"/>
      <c r="BP161" s="116"/>
      <c r="BQ161" s="116"/>
      <c r="BR161" s="251"/>
      <c r="BS161" s="251"/>
      <c r="BT161" s="251"/>
      <c r="BU161" s="251"/>
      <c r="BV161" s="251"/>
      <c r="BW161" s="251"/>
      <c r="BX161" s="251"/>
      <c r="BY161" s="251"/>
      <c r="BZ161" s="115"/>
      <c r="CA161" s="115"/>
      <c r="CB161" s="115"/>
    </row>
    <row r="162" spans="1:80" s="117" customFormat="1">
      <c r="A162" s="119"/>
      <c r="B162" s="119"/>
      <c r="C162" s="115"/>
      <c r="D162" s="115"/>
      <c r="E162" s="115"/>
      <c r="F162" s="115"/>
      <c r="G162" s="252"/>
      <c r="H162" s="252"/>
      <c r="J162" s="115"/>
      <c r="K162" s="115"/>
      <c r="L162" s="115"/>
      <c r="M162" s="118"/>
      <c r="N162" s="115"/>
      <c r="O162" s="115"/>
      <c r="P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251"/>
      <c r="AW162" s="251"/>
      <c r="AX162" s="251"/>
      <c r="AY162" s="251"/>
      <c r="AZ162" s="251"/>
      <c r="BA162" s="251"/>
      <c r="BB162" s="251"/>
      <c r="BC162" s="251"/>
      <c r="BD162" s="251"/>
      <c r="BE162" s="251"/>
      <c r="BF162" s="251"/>
      <c r="BG162" s="251"/>
      <c r="BH162" s="252"/>
      <c r="BI162" s="251"/>
      <c r="BJ162" s="251"/>
      <c r="BK162" s="251"/>
      <c r="BL162" s="251"/>
      <c r="BM162" s="115"/>
      <c r="BN162" s="115"/>
      <c r="BO162" s="115"/>
      <c r="BP162" s="116"/>
      <c r="BQ162" s="116"/>
      <c r="BR162" s="251"/>
      <c r="BS162" s="251"/>
      <c r="BT162" s="251"/>
      <c r="BU162" s="251"/>
      <c r="BV162" s="251"/>
      <c r="BW162" s="251"/>
      <c r="BX162" s="251"/>
      <c r="BY162" s="251"/>
      <c r="BZ162" s="115"/>
      <c r="CA162" s="115"/>
      <c r="CB162" s="115"/>
    </row>
    <row r="163" spans="1:80" s="117" customFormat="1">
      <c r="A163" s="119"/>
      <c r="B163" s="119"/>
      <c r="C163" s="115"/>
      <c r="D163" s="115"/>
      <c r="E163" s="115"/>
      <c r="F163" s="115"/>
      <c r="G163" s="252"/>
      <c r="H163" s="252"/>
      <c r="J163" s="115"/>
      <c r="K163" s="115"/>
      <c r="L163" s="115"/>
      <c r="M163" s="118"/>
      <c r="N163" s="115"/>
      <c r="O163" s="115"/>
      <c r="P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251"/>
      <c r="AW163" s="251"/>
      <c r="AX163" s="251"/>
      <c r="AY163" s="251"/>
      <c r="AZ163" s="251"/>
      <c r="BA163" s="251"/>
      <c r="BB163" s="251"/>
      <c r="BC163" s="251"/>
      <c r="BD163" s="251"/>
      <c r="BE163" s="251"/>
      <c r="BF163" s="251"/>
      <c r="BG163" s="251"/>
      <c r="BH163" s="252"/>
      <c r="BI163" s="251"/>
      <c r="BJ163" s="251"/>
      <c r="BK163" s="251"/>
      <c r="BL163" s="251"/>
      <c r="BM163" s="115"/>
      <c r="BN163" s="115"/>
      <c r="BO163" s="115"/>
      <c r="BP163" s="116"/>
      <c r="BQ163" s="116"/>
      <c r="BR163" s="251"/>
      <c r="BS163" s="251"/>
      <c r="BT163" s="251"/>
      <c r="BU163" s="251"/>
      <c r="BV163" s="251"/>
      <c r="BW163" s="251"/>
      <c r="BX163" s="251"/>
      <c r="BY163" s="251"/>
      <c r="BZ163" s="115"/>
      <c r="CA163" s="115"/>
      <c r="CB163" s="115"/>
    </row>
    <row r="164" spans="1:80" s="117" customFormat="1">
      <c r="A164" s="119"/>
      <c r="B164" s="119"/>
      <c r="C164" s="115"/>
      <c r="D164" s="115"/>
      <c r="E164" s="115"/>
      <c r="F164" s="115"/>
      <c r="G164" s="252"/>
      <c r="H164" s="252"/>
      <c r="J164" s="115"/>
      <c r="K164" s="115"/>
      <c r="L164" s="115"/>
      <c r="M164" s="118"/>
      <c r="N164" s="115"/>
      <c r="O164" s="115"/>
      <c r="P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251"/>
      <c r="AW164" s="251"/>
      <c r="AX164" s="251"/>
      <c r="AY164" s="251"/>
      <c r="AZ164" s="251"/>
      <c r="BA164" s="251"/>
      <c r="BB164" s="251"/>
      <c r="BC164" s="251"/>
      <c r="BD164" s="251"/>
      <c r="BE164" s="251"/>
      <c r="BF164" s="251"/>
      <c r="BG164" s="251"/>
      <c r="BH164" s="252"/>
      <c r="BI164" s="251"/>
      <c r="BJ164" s="251"/>
      <c r="BK164" s="251"/>
      <c r="BL164" s="251"/>
      <c r="BM164" s="115"/>
      <c r="BN164" s="115"/>
      <c r="BO164" s="115"/>
      <c r="BP164" s="116"/>
      <c r="BQ164" s="116"/>
      <c r="BR164" s="251"/>
      <c r="BS164" s="251"/>
      <c r="BT164" s="251"/>
      <c r="BU164" s="251"/>
      <c r="BV164" s="251"/>
      <c r="BW164" s="251"/>
      <c r="BX164" s="251"/>
      <c r="BY164" s="251"/>
      <c r="BZ164" s="115"/>
      <c r="CA164" s="115"/>
      <c r="CB164" s="115"/>
    </row>
    <row r="165" spans="1:80" s="117" customFormat="1">
      <c r="A165" s="119"/>
      <c r="B165" s="119"/>
      <c r="C165" s="115"/>
      <c r="D165" s="115"/>
      <c r="E165" s="115"/>
      <c r="F165" s="115"/>
      <c r="G165" s="252"/>
      <c r="H165" s="252"/>
      <c r="J165" s="115"/>
      <c r="K165" s="115"/>
      <c r="L165" s="115"/>
      <c r="M165" s="118"/>
      <c r="N165" s="115"/>
      <c r="O165" s="115"/>
      <c r="P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251"/>
      <c r="AW165" s="251"/>
      <c r="AX165" s="251"/>
      <c r="AY165" s="251"/>
      <c r="AZ165" s="251"/>
      <c r="BA165" s="251"/>
      <c r="BB165" s="251"/>
      <c r="BC165" s="251"/>
      <c r="BD165" s="251"/>
      <c r="BE165" s="251"/>
      <c r="BF165" s="251"/>
      <c r="BG165" s="251"/>
      <c r="BH165" s="252"/>
      <c r="BI165" s="251"/>
      <c r="BJ165" s="251"/>
      <c r="BK165" s="251"/>
      <c r="BL165" s="251"/>
      <c r="BM165" s="115"/>
      <c r="BN165" s="115"/>
      <c r="BO165" s="115"/>
      <c r="BP165" s="116"/>
      <c r="BQ165" s="116"/>
      <c r="BR165" s="251"/>
      <c r="BS165" s="251"/>
      <c r="BT165" s="251"/>
      <c r="BU165" s="251"/>
      <c r="BV165" s="251"/>
      <c r="BW165" s="251"/>
      <c r="BX165" s="251"/>
      <c r="BY165" s="251"/>
      <c r="BZ165" s="115"/>
      <c r="CA165" s="115"/>
      <c r="CB165" s="115"/>
    </row>
    <row r="166" spans="1:80" s="117" customFormat="1">
      <c r="A166" s="119"/>
      <c r="B166" s="119"/>
      <c r="C166" s="115"/>
      <c r="D166" s="115"/>
      <c r="E166" s="115"/>
      <c r="F166" s="115"/>
      <c r="G166" s="252"/>
      <c r="H166" s="252"/>
      <c r="J166" s="115"/>
      <c r="K166" s="115"/>
      <c r="L166" s="115"/>
      <c r="M166" s="118"/>
      <c r="N166" s="115"/>
      <c r="O166" s="115"/>
      <c r="P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251"/>
      <c r="AW166" s="251"/>
      <c r="AX166" s="251"/>
      <c r="AY166" s="251"/>
      <c r="AZ166" s="251"/>
      <c r="BA166" s="251"/>
      <c r="BB166" s="251"/>
      <c r="BC166" s="251"/>
      <c r="BD166" s="251"/>
      <c r="BE166" s="251"/>
      <c r="BF166" s="251"/>
      <c r="BG166" s="251"/>
      <c r="BH166" s="252"/>
      <c r="BI166" s="251"/>
      <c r="BJ166" s="251"/>
      <c r="BK166" s="251"/>
      <c r="BL166" s="251"/>
      <c r="BM166" s="115"/>
      <c r="BN166" s="115"/>
      <c r="BO166" s="115"/>
      <c r="BP166" s="116"/>
      <c r="BQ166" s="116"/>
      <c r="BR166" s="251"/>
      <c r="BS166" s="251"/>
      <c r="BT166" s="251"/>
      <c r="BU166" s="251"/>
      <c r="BV166" s="251"/>
      <c r="BW166" s="251"/>
      <c r="BX166" s="251"/>
      <c r="BY166" s="251"/>
      <c r="BZ166" s="115"/>
      <c r="CA166" s="115"/>
      <c r="CB166" s="115"/>
    </row>
    <row r="167" spans="1:80" s="117" customFormat="1">
      <c r="A167" s="119"/>
      <c r="B167" s="119"/>
      <c r="C167" s="115"/>
      <c r="D167" s="115"/>
      <c r="E167" s="115"/>
      <c r="F167" s="115"/>
      <c r="G167" s="252"/>
      <c r="H167" s="252"/>
      <c r="J167" s="115"/>
      <c r="K167" s="115"/>
      <c r="L167" s="115"/>
      <c r="M167" s="118"/>
      <c r="N167" s="115"/>
      <c r="O167" s="115"/>
      <c r="P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251"/>
      <c r="AW167" s="251"/>
      <c r="AX167" s="251"/>
      <c r="AY167" s="251"/>
      <c r="AZ167" s="251"/>
      <c r="BA167" s="251"/>
      <c r="BB167" s="251"/>
      <c r="BC167" s="251"/>
      <c r="BD167" s="251"/>
      <c r="BE167" s="251"/>
      <c r="BF167" s="251"/>
      <c r="BG167" s="251"/>
      <c r="BH167" s="252"/>
      <c r="BI167" s="251"/>
      <c r="BJ167" s="251"/>
      <c r="BK167" s="251"/>
      <c r="BL167" s="251"/>
      <c r="BM167" s="115"/>
      <c r="BN167" s="115"/>
      <c r="BO167" s="115"/>
      <c r="BP167" s="116"/>
      <c r="BQ167" s="116"/>
      <c r="BR167" s="251"/>
      <c r="BS167" s="251"/>
      <c r="BT167" s="251"/>
      <c r="BU167" s="251"/>
      <c r="BV167" s="251"/>
      <c r="BW167" s="251"/>
      <c r="BX167" s="251"/>
      <c r="BY167" s="251"/>
      <c r="BZ167" s="115"/>
      <c r="CA167" s="115"/>
      <c r="CB167" s="115"/>
    </row>
    <row r="168" spans="1:80" s="117" customFormat="1">
      <c r="A168" s="119"/>
      <c r="B168" s="119"/>
      <c r="C168" s="115"/>
      <c r="D168" s="115"/>
      <c r="E168" s="115"/>
      <c r="F168" s="115"/>
      <c r="G168" s="252"/>
      <c r="H168" s="252"/>
      <c r="J168" s="115"/>
      <c r="K168" s="115"/>
      <c r="L168" s="115"/>
      <c r="M168" s="118"/>
      <c r="N168" s="115"/>
      <c r="O168" s="115"/>
      <c r="P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251"/>
      <c r="AW168" s="251"/>
      <c r="AX168" s="251"/>
      <c r="AY168" s="251"/>
      <c r="AZ168" s="251"/>
      <c r="BA168" s="251"/>
      <c r="BB168" s="251"/>
      <c r="BC168" s="251"/>
      <c r="BD168" s="251"/>
      <c r="BE168" s="251"/>
      <c r="BF168" s="251"/>
      <c r="BG168" s="251"/>
      <c r="BH168" s="252"/>
      <c r="BI168" s="251"/>
      <c r="BJ168" s="251"/>
      <c r="BK168" s="251"/>
      <c r="BL168" s="251"/>
      <c r="BM168" s="115"/>
      <c r="BN168" s="115"/>
      <c r="BO168" s="115"/>
      <c r="BP168" s="116"/>
      <c r="BQ168" s="116"/>
      <c r="BR168" s="251"/>
      <c r="BS168" s="251"/>
      <c r="BT168" s="251"/>
      <c r="BU168" s="251"/>
      <c r="BV168" s="251"/>
      <c r="BW168" s="251"/>
      <c r="BX168" s="251"/>
      <c r="BY168" s="251"/>
      <c r="BZ168" s="115"/>
      <c r="CA168" s="115"/>
      <c r="CB168" s="115"/>
    </row>
    <row r="169" spans="1:80" s="117" customFormat="1">
      <c r="A169" s="119"/>
      <c r="B169" s="119"/>
      <c r="C169" s="115"/>
      <c r="D169" s="115"/>
      <c r="E169" s="115"/>
      <c r="F169" s="115"/>
      <c r="G169" s="252"/>
      <c r="H169" s="252"/>
      <c r="J169" s="115"/>
      <c r="K169" s="115"/>
      <c r="L169" s="115"/>
      <c r="M169" s="118"/>
      <c r="N169" s="115"/>
      <c r="O169" s="115"/>
      <c r="P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115"/>
      <c r="AN169" s="115"/>
      <c r="AO169" s="115"/>
      <c r="AP169" s="115"/>
      <c r="AQ169" s="115"/>
      <c r="AR169" s="115"/>
      <c r="AS169" s="115"/>
      <c r="AT169" s="115"/>
      <c r="AU169" s="115"/>
      <c r="AV169" s="251"/>
      <c r="AW169" s="251"/>
      <c r="AX169" s="251"/>
      <c r="AY169" s="251"/>
      <c r="AZ169" s="251"/>
      <c r="BA169" s="251"/>
      <c r="BB169" s="251"/>
      <c r="BC169" s="251"/>
      <c r="BD169" s="251"/>
      <c r="BE169" s="251"/>
      <c r="BF169" s="251"/>
      <c r="BG169" s="251"/>
      <c r="BH169" s="252"/>
      <c r="BI169" s="251"/>
      <c r="BJ169" s="251"/>
      <c r="BK169" s="251"/>
      <c r="BL169" s="251"/>
      <c r="BM169" s="115"/>
      <c r="BN169" s="115"/>
      <c r="BO169" s="115"/>
      <c r="BP169" s="116"/>
      <c r="BQ169" s="116"/>
      <c r="BR169" s="251"/>
      <c r="BS169" s="251"/>
      <c r="BT169" s="251"/>
      <c r="BU169" s="251"/>
      <c r="BV169" s="251"/>
      <c r="BW169" s="251"/>
      <c r="BX169" s="251"/>
      <c r="BY169" s="251"/>
      <c r="BZ169" s="115"/>
      <c r="CA169" s="115"/>
      <c r="CB169" s="115"/>
    </row>
    <row r="170" spans="1:80" s="117" customFormat="1">
      <c r="A170" s="119"/>
      <c r="B170" s="119"/>
      <c r="C170" s="115"/>
      <c r="D170" s="115"/>
      <c r="E170" s="115"/>
      <c r="F170" s="115"/>
      <c r="G170" s="252"/>
      <c r="H170" s="252"/>
      <c r="J170" s="115"/>
      <c r="K170" s="115"/>
      <c r="L170" s="115"/>
      <c r="M170" s="118"/>
      <c r="N170" s="115"/>
      <c r="O170" s="115"/>
      <c r="P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15"/>
      <c r="AQ170" s="115"/>
      <c r="AR170" s="115"/>
      <c r="AS170" s="115"/>
      <c r="AT170" s="115"/>
      <c r="AU170" s="115"/>
      <c r="AV170" s="251"/>
      <c r="AW170" s="251"/>
      <c r="AX170" s="251"/>
      <c r="AY170" s="251"/>
      <c r="AZ170" s="251"/>
      <c r="BA170" s="251"/>
      <c r="BB170" s="251"/>
      <c r="BC170" s="251"/>
      <c r="BD170" s="251"/>
      <c r="BE170" s="251"/>
      <c r="BF170" s="251"/>
      <c r="BG170" s="251"/>
      <c r="BH170" s="252"/>
      <c r="BI170" s="251"/>
      <c r="BJ170" s="251"/>
      <c r="BK170" s="251"/>
      <c r="BL170" s="251"/>
      <c r="BM170" s="115"/>
      <c r="BN170" s="115"/>
      <c r="BO170" s="115"/>
      <c r="BP170" s="116"/>
      <c r="BQ170" s="116"/>
      <c r="BR170" s="251"/>
      <c r="BS170" s="251"/>
      <c r="BT170" s="251"/>
      <c r="BU170" s="251"/>
      <c r="BV170" s="251"/>
      <c r="BW170" s="251"/>
      <c r="BX170" s="251"/>
      <c r="BY170" s="251"/>
      <c r="BZ170" s="115"/>
      <c r="CA170" s="115"/>
      <c r="CB170" s="115"/>
    </row>
    <row r="171" spans="1:80" s="117" customFormat="1">
      <c r="A171" s="119"/>
      <c r="B171" s="119"/>
      <c r="C171" s="115"/>
      <c r="D171" s="115"/>
      <c r="E171" s="115"/>
      <c r="F171" s="115"/>
      <c r="G171" s="252"/>
      <c r="H171" s="252"/>
      <c r="J171" s="115"/>
      <c r="K171" s="115"/>
      <c r="L171" s="115"/>
      <c r="M171" s="118"/>
      <c r="N171" s="115"/>
      <c r="O171" s="115"/>
      <c r="P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115"/>
      <c r="AK171" s="115"/>
      <c r="AL171" s="115"/>
      <c r="AM171" s="115"/>
      <c r="AN171" s="115"/>
      <c r="AO171" s="115"/>
      <c r="AP171" s="115"/>
      <c r="AQ171" s="115"/>
      <c r="AR171" s="115"/>
      <c r="AS171" s="115"/>
      <c r="AT171" s="115"/>
      <c r="AU171" s="115"/>
      <c r="AV171" s="251"/>
      <c r="AW171" s="251"/>
      <c r="AX171" s="251"/>
      <c r="AY171" s="251"/>
      <c r="AZ171" s="251"/>
      <c r="BA171" s="251"/>
      <c r="BB171" s="251"/>
      <c r="BC171" s="251"/>
      <c r="BD171" s="251"/>
      <c r="BE171" s="251"/>
      <c r="BF171" s="251"/>
      <c r="BG171" s="251"/>
      <c r="BH171" s="252"/>
      <c r="BI171" s="251"/>
      <c r="BJ171" s="251"/>
      <c r="BK171" s="251"/>
      <c r="BL171" s="251"/>
      <c r="BM171" s="115"/>
      <c r="BN171" s="115"/>
      <c r="BO171" s="115"/>
      <c r="BP171" s="116"/>
      <c r="BQ171" s="116"/>
      <c r="BR171" s="251"/>
      <c r="BS171" s="251"/>
      <c r="BT171" s="251"/>
      <c r="BU171" s="251"/>
      <c r="BV171" s="251"/>
      <c r="BW171" s="251"/>
      <c r="BX171" s="251"/>
      <c r="BY171" s="251"/>
      <c r="BZ171" s="115"/>
      <c r="CA171" s="115"/>
      <c r="CB171" s="115"/>
    </row>
    <row r="172" spans="1:80" s="117" customFormat="1">
      <c r="A172" s="119"/>
      <c r="B172" s="119"/>
      <c r="C172" s="115"/>
      <c r="D172" s="115"/>
      <c r="E172" s="115"/>
      <c r="F172" s="115"/>
      <c r="G172" s="252"/>
      <c r="H172" s="252"/>
      <c r="J172" s="115"/>
      <c r="K172" s="115"/>
      <c r="L172" s="115"/>
      <c r="M172" s="118"/>
      <c r="N172" s="115"/>
      <c r="O172" s="115"/>
      <c r="P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5"/>
      <c r="AP172" s="115"/>
      <c r="AQ172" s="115"/>
      <c r="AR172" s="115"/>
      <c r="AS172" s="115"/>
      <c r="AT172" s="115"/>
      <c r="AU172" s="115"/>
      <c r="AV172" s="251"/>
      <c r="AW172" s="251"/>
      <c r="AX172" s="251"/>
      <c r="AY172" s="251"/>
      <c r="AZ172" s="251"/>
      <c r="BA172" s="251"/>
      <c r="BB172" s="251"/>
      <c r="BC172" s="251"/>
      <c r="BD172" s="251"/>
      <c r="BE172" s="251"/>
      <c r="BF172" s="251"/>
      <c r="BG172" s="251"/>
      <c r="BH172" s="252"/>
      <c r="BI172" s="251"/>
      <c r="BJ172" s="251"/>
      <c r="BK172" s="251"/>
      <c r="BL172" s="251"/>
      <c r="BM172" s="115"/>
      <c r="BN172" s="115"/>
      <c r="BO172" s="115"/>
      <c r="BP172" s="116"/>
      <c r="BQ172" s="116"/>
      <c r="BR172" s="251"/>
      <c r="BS172" s="251"/>
      <c r="BT172" s="251"/>
      <c r="BU172" s="251"/>
      <c r="BV172" s="251"/>
      <c r="BW172" s="251"/>
      <c r="BX172" s="251"/>
      <c r="BY172" s="251"/>
      <c r="BZ172" s="115"/>
      <c r="CA172" s="115"/>
      <c r="CB172" s="115"/>
    </row>
    <row r="173" spans="1:80" s="117" customFormat="1">
      <c r="A173" s="119"/>
      <c r="B173" s="119"/>
      <c r="C173" s="115"/>
      <c r="D173" s="115"/>
      <c r="E173" s="115"/>
      <c r="F173" s="115"/>
      <c r="G173" s="252"/>
      <c r="H173" s="252"/>
      <c r="J173" s="115"/>
      <c r="K173" s="115"/>
      <c r="L173" s="115"/>
      <c r="M173" s="118"/>
      <c r="N173" s="115"/>
      <c r="O173" s="115"/>
      <c r="P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115"/>
      <c r="AL173" s="115"/>
      <c r="AM173" s="115"/>
      <c r="AN173" s="115"/>
      <c r="AO173" s="115"/>
      <c r="AP173" s="115"/>
      <c r="AQ173" s="115"/>
      <c r="AR173" s="115"/>
      <c r="AS173" s="115"/>
      <c r="AT173" s="115"/>
      <c r="AU173" s="115"/>
      <c r="AV173" s="251"/>
      <c r="AW173" s="251"/>
      <c r="AX173" s="251"/>
      <c r="AY173" s="251"/>
      <c r="AZ173" s="251"/>
      <c r="BA173" s="251"/>
      <c r="BB173" s="251"/>
      <c r="BC173" s="251"/>
      <c r="BD173" s="251"/>
      <c r="BE173" s="251"/>
      <c r="BF173" s="251"/>
      <c r="BG173" s="251"/>
      <c r="BH173" s="252"/>
      <c r="BI173" s="251"/>
      <c r="BJ173" s="251"/>
      <c r="BK173" s="251"/>
      <c r="BL173" s="251"/>
      <c r="BM173" s="115"/>
      <c r="BN173" s="115"/>
      <c r="BO173" s="115"/>
      <c r="BP173" s="116"/>
      <c r="BQ173" s="116"/>
      <c r="BR173" s="251"/>
      <c r="BS173" s="251"/>
      <c r="BT173" s="251"/>
      <c r="BU173" s="251"/>
      <c r="BV173" s="251"/>
      <c r="BW173" s="251"/>
      <c r="BX173" s="251"/>
      <c r="BY173" s="251"/>
      <c r="BZ173" s="115"/>
      <c r="CA173" s="115"/>
      <c r="CB173" s="115"/>
    </row>
    <row r="174" spans="1:80" s="117" customFormat="1">
      <c r="A174" s="119"/>
      <c r="B174" s="119"/>
      <c r="C174" s="115"/>
      <c r="D174" s="115"/>
      <c r="E174" s="115"/>
      <c r="F174" s="115"/>
      <c r="G174" s="252"/>
      <c r="H174" s="252"/>
      <c r="J174" s="115"/>
      <c r="K174" s="115"/>
      <c r="L174" s="115"/>
      <c r="M174" s="118"/>
      <c r="N174" s="115"/>
      <c r="O174" s="115"/>
      <c r="P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115"/>
      <c r="AT174" s="115"/>
      <c r="AU174" s="115"/>
      <c r="AV174" s="251"/>
      <c r="AW174" s="251"/>
      <c r="AX174" s="251"/>
      <c r="AY174" s="251"/>
      <c r="AZ174" s="251"/>
      <c r="BA174" s="251"/>
      <c r="BB174" s="251"/>
      <c r="BC174" s="251"/>
      <c r="BD174" s="251"/>
      <c r="BE174" s="251"/>
      <c r="BF174" s="251"/>
      <c r="BG174" s="251"/>
      <c r="BH174" s="252"/>
      <c r="BI174" s="251"/>
      <c r="BJ174" s="251"/>
      <c r="BK174" s="251"/>
      <c r="BL174" s="251"/>
      <c r="BM174" s="115"/>
      <c r="BN174" s="115"/>
      <c r="BO174" s="115"/>
      <c r="BP174" s="116"/>
      <c r="BQ174" s="116"/>
      <c r="BR174" s="251"/>
      <c r="BS174" s="251"/>
      <c r="BT174" s="251"/>
      <c r="BU174" s="251"/>
      <c r="BV174" s="251"/>
      <c r="BW174" s="251"/>
      <c r="BX174" s="251"/>
      <c r="BY174" s="251"/>
      <c r="BZ174" s="115"/>
      <c r="CA174" s="115"/>
      <c r="CB174" s="115"/>
    </row>
    <row r="175" spans="1:80" s="251" customFormat="1">
      <c r="A175" s="119"/>
      <c r="B175" s="119"/>
      <c r="C175" s="115"/>
      <c r="D175" s="115"/>
      <c r="E175" s="115"/>
      <c r="F175" s="115"/>
      <c r="G175" s="252"/>
      <c r="H175" s="252"/>
      <c r="I175" s="117"/>
      <c r="J175" s="115"/>
      <c r="K175" s="115"/>
      <c r="L175" s="115"/>
      <c r="M175" s="118"/>
      <c r="N175" s="115"/>
      <c r="O175" s="115"/>
      <c r="P175" s="115"/>
      <c r="Q175" s="117"/>
      <c r="R175" s="117"/>
      <c r="S175" s="117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5"/>
      <c r="AP175" s="115"/>
      <c r="AQ175" s="115"/>
      <c r="AR175" s="115"/>
      <c r="AS175" s="115"/>
      <c r="AT175" s="115"/>
      <c r="AU175" s="115"/>
      <c r="BH175" s="252"/>
      <c r="BM175" s="115"/>
      <c r="BN175" s="115"/>
      <c r="BO175" s="115"/>
      <c r="BP175" s="116"/>
      <c r="BQ175" s="116"/>
      <c r="BZ175" s="115"/>
      <c r="CA175" s="115"/>
      <c r="CB175" s="115"/>
    </row>
    <row r="176" spans="1:80" s="251" customFormat="1">
      <c r="A176" s="119"/>
      <c r="B176" s="119"/>
      <c r="C176" s="115"/>
      <c r="D176" s="115"/>
      <c r="E176" s="115"/>
      <c r="F176" s="115"/>
      <c r="G176" s="252"/>
      <c r="H176" s="252"/>
      <c r="I176" s="117"/>
      <c r="J176" s="115"/>
      <c r="K176" s="115"/>
      <c r="L176" s="115"/>
      <c r="M176" s="118"/>
      <c r="N176" s="115"/>
      <c r="O176" s="115"/>
      <c r="P176" s="115"/>
      <c r="Q176" s="117"/>
      <c r="R176" s="117"/>
      <c r="S176" s="117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5"/>
      <c r="AP176" s="115"/>
      <c r="AQ176" s="115"/>
      <c r="AR176" s="115"/>
      <c r="AS176" s="115"/>
      <c r="AT176" s="115"/>
      <c r="AU176" s="115"/>
      <c r="BH176" s="252"/>
      <c r="BM176" s="115"/>
      <c r="BN176" s="115"/>
      <c r="BO176" s="115"/>
      <c r="BP176" s="116"/>
      <c r="BQ176" s="116"/>
      <c r="BZ176" s="115"/>
      <c r="CA176" s="115"/>
      <c r="CB176" s="115"/>
    </row>
    <row r="177" spans="1:80" s="251" customFormat="1">
      <c r="A177" s="119"/>
      <c r="B177" s="119"/>
      <c r="C177" s="115"/>
      <c r="D177" s="115"/>
      <c r="E177" s="115"/>
      <c r="F177" s="115"/>
      <c r="G177" s="252"/>
      <c r="H177" s="252"/>
      <c r="I177" s="117"/>
      <c r="J177" s="115"/>
      <c r="K177" s="115"/>
      <c r="L177" s="115"/>
      <c r="M177" s="118"/>
      <c r="N177" s="115"/>
      <c r="O177" s="115"/>
      <c r="P177" s="115"/>
      <c r="Q177" s="117"/>
      <c r="R177" s="117"/>
      <c r="S177" s="117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115"/>
      <c r="AN177" s="115"/>
      <c r="AO177" s="115"/>
      <c r="AP177" s="115"/>
      <c r="AQ177" s="115"/>
      <c r="AR177" s="115"/>
      <c r="AS177" s="115"/>
      <c r="AT177" s="115"/>
      <c r="AU177" s="115"/>
      <c r="BH177" s="252"/>
      <c r="BM177" s="115"/>
      <c r="BN177" s="115"/>
      <c r="BO177" s="115"/>
      <c r="BP177" s="116"/>
      <c r="BQ177" s="116"/>
      <c r="BZ177" s="115"/>
      <c r="CA177" s="115"/>
      <c r="CB177" s="115"/>
    </row>
    <row r="178" spans="1:80" s="251" customFormat="1">
      <c r="A178" s="119"/>
      <c r="B178" s="119"/>
      <c r="C178" s="115"/>
      <c r="D178" s="115"/>
      <c r="E178" s="115"/>
      <c r="F178" s="115"/>
      <c r="G178" s="252"/>
      <c r="H178" s="252"/>
      <c r="I178" s="117"/>
      <c r="J178" s="115"/>
      <c r="K178" s="115"/>
      <c r="L178" s="115"/>
      <c r="M178" s="118"/>
      <c r="N178" s="115"/>
      <c r="O178" s="115"/>
      <c r="P178" s="115"/>
      <c r="Q178" s="117"/>
      <c r="R178" s="117"/>
      <c r="S178" s="117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115"/>
      <c r="AT178" s="115"/>
      <c r="AU178" s="115"/>
      <c r="BH178" s="252"/>
      <c r="BM178" s="115"/>
      <c r="BN178" s="115"/>
      <c r="BO178" s="115"/>
      <c r="BP178" s="116"/>
      <c r="BQ178" s="116"/>
      <c r="BZ178" s="115"/>
      <c r="CA178" s="115"/>
      <c r="CB178" s="115"/>
    </row>
    <row r="179" spans="1:80" s="251" customFormat="1">
      <c r="A179" s="119"/>
      <c r="B179" s="119"/>
      <c r="C179" s="115"/>
      <c r="D179" s="115"/>
      <c r="E179" s="115"/>
      <c r="F179" s="115"/>
      <c r="G179" s="252"/>
      <c r="H179" s="252"/>
      <c r="I179" s="117"/>
      <c r="J179" s="115"/>
      <c r="K179" s="115"/>
      <c r="L179" s="115"/>
      <c r="M179" s="118"/>
      <c r="N179" s="115"/>
      <c r="O179" s="115"/>
      <c r="P179" s="115"/>
      <c r="Q179" s="117"/>
      <c r="R179" s="117"/>
      <c r="S179" s="117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s="115"/>
      <c r="BH179" s="252"/>
      <c r="BM179" s="115"/>
      <c r="BN179" s="115"/>
      <c r="BO179" s="115"/>
      <c r="BP179" s="116"/>
      <c r="BQ179" s="116"/>
      <c r="BZ179" s="115"/>
      <c r="CA179" s="115"/>
      <c r="CB179" s="115"/>
    </row>
    <row r="180" spans="1:80" s="251" customFormat="1">
      <c r="A180" s="119"/>
      <c r="B180" s="119"/>
      <c r="C180" s="115"/>
      <c r="D180" s="115"/>
      <c r="E180" s="115"/>
      <c r="F180" s="115"/>
      <c r="G180" s="252"/>
      <c r="H180" s="252"/>
      <c r="I180" s="117"/>
      <c r="J180" s="115"/>
      <c r="K180" s="115"/>
      <c r="L180" s="115"/>
      <c r="M180" s="118"/>
      <c r="N180" s="115"/>
      <c r="O180" s="115"/>
      <c r="P180" s="115"/>
      <c r="Q180" s="117"/>
      <c r="R180" s="117"/>
      <c r="S180" s="117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115"/>
      <c r="AN180" s="115"/>
      <c r="AO180" s="115"/>
      <c r="AP180" s="115"/>
      <c r="AQ180" s="115"/>
      <c r="AR180" s="115"/>
      <c r="AS180" s="115"/>
      <c r="AT180" s="115"/>
      <c r="AU180" s="115"/>
      <c r="BH180" s="252"/>
      <c r="BM180" s="115"/>
      <c r="BN180" s="115"/>
      <c r="BO180" s="115"/>
      <c r="BP180" s="116"/>
      <c r="BQ180" s="116"/>
      <c r="BZ180" s="115"/>
      <c r="CA180" s="115"/>
      <c r="CB180" s="115"/>
    </row>
    <row r="181" spans="1:80" s="251" customFormat="1">
      <c r="A181" s="119"/>
      <c r="B181" s="119"/>
      <c r="C181" s="115"/>
      <c r="D181" s="115"/>
      <c r="E181" s="115"/>
      <c r="F181" s="115"/>
      <c r="G181" s="252"/>
      <c r="H181" s="252"/>
      <c r="I181" s="117"/>
      <c r="J181" s="115"/>
      <c r="K181" s="115"/>
      <c r="L181" s="115"/>
      <c r="M181" s="118"/>
      <c r="N181" s="115"/>
      <c r="O181" s="115"/>
      <c r="P181" s="115"/>
      <c r="Q181" s="117"/>
      <c r="R181" s="117"/>
      <c r="S181" s="117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  <c r="AO181" s="115"/>
      <c r="AP181" s="115"/>
      <c r="AQ181" s="115"/>
      <c r="AR181" s="115"/>
      <c r="AS181" s="115"/>
      <c r="AT181" s="115"/>
      <c r="AU181" s="115"/>
      <c r="BH181" s="252"/>
      <c r="BM181" s="115"/>
      <c r="BN181" s="115"/>
      <c r="BO181" s="115"/>
      <c r="BP181" s="116"/>
      <c r="BQ181" s="116"/>
      <c r="BZ181" s="115"/>
      <c r="CA181" s="115"/>
      <c r="CB181" s="115"/>
    </row>
    <row r="182" spans="1:80" s="251" customFormat="1">
      <c r="A182" s="119"/>
      <c r="B182" s="119"/>
      <c r="C182" s="115"/>
      <c r="D182" s="115"/>
      <c r="E182" s="115"/>
      <c r="F182" s="115"/>
      <c r="G182" s="252"/>
      <c r="H182" s="252"/>
      <c r="I182" s="117"/>
      <c r="J182" s="115"/>
      <c r="K182" s="115"/>
      <c r="L182" s="115"/>
      <c r="M182" s="118"/>
      <c r="N182" s="115"/>
      <c r="O182" s="115"/>
      <c r="P182" s="115"/>
      <c r="Q182" s="117"/>
      <c r="R182" s="117"/>
      <c r="S182" s="117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5"/>
      <c r="AP182" s="115"/>
      <c r="AQ182" s="115"/>
      <c r="AR182" s="115"/>
      <c r="AS182" s="115"/>
      <c r="AT182" s="115"/>
      <c r="AU182" s="115"/>
      <c r="BH182" s="252"/>
      <c r="BM182" s="115"/>
      <c r="BN182" s="115"/>
      <c r="BO182" s="115"/>
      <c r="BP182" s="116"/>
      <c r="BQ182" s="116"/>
      <c r="BZ182" s="115"/>
      <c r="CA182" s="115"/>
      <c r="CB182" s="115"/>
    </row>
    <row r="183" spans="1:80" s="251" customFormat="1">
      <c r="A183" s="119"/>
      <c r="B183" s="119"/>
      <c r="C183" s="115"/>
      <c r="D183" s="115"/>
      <c r="E183" s="115"/>
      <c r="F183" s="115"/>
      <c r="G183" s="252"/>
      <c r="H183" s="252"/>
      <c r="I183" s="117"/>
      <c r="J183" s="115"/>
      <c r="K183" s="115"/>
      <c r="L183" s="115"/>
      <c r="M183" s="118"/>
      <c r="N183" s="115"/>
      <c r="O183" s="115"/>
      <c r="P183" s="115"/>
      <c r="Q183" s="117"/>
      <c r="R183" s="117"/>
      <c r="S183" s="117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115"/>
      <c r="AO183" s="115"/>
      <c r="AP183" s="115"/>
      <c r="AQ183" s="115"/>
      <c r="AR183" s="115"/>
      <c r="AS183" s="115"/>
      <c r="AT183" s="115"/>
      <c r="AU183" s="115"/>
      <c r="BH183" s="252"/>
      <c r="BM183" s="115"/>
      <c r="BN183" s="115"/>
      <c r="BO183" s="115"/>
      <c r="BP183" s="116"/>
      <c r="BQ183" s="116"/>
      <c r="BZ183" s="115"/>
      <c r="CA183" s="115"/>
      <c r="CB183" s="115"/>
    </row>
    <row r="184" spans="1:80" s="251" customFormat="1">
      <c r="A184" s="119"/>
      <c r="B184" s="119"/>
      <c r="C184" s="115"/>
      <c r="D184" s="115"/>
      <c r="E184" s="115"/>
      <c r="F184" s="115"/>
      <c r="G184" s="252"/>
      <c r="H184" s="252"/>
      <c r="I184" s="117"/>
      <c r="J184" s="115"/>
      <c r="K184" s="115"/>
      <c r="L184" s="115"/>
      <c r="M184" s="118"/>
      <c r="N184" s="115"/>
      <c r="O184" s="115"/>
      <c r="P184" s="115"/>
      <c r="Q184" s="117"/>
      <c r="R184" s="117"/>
      <c r="S184" s="117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15"/>
      <c r="AO184" s="115"/>
      <c r="AP184" s="115"/>
      <c r="AQ184" s="115"/>
      <c r="AR184" s="115"/>
      <c r="AS184" s="115"/>
      <c r="AT184" s="115"/>
      <c r="AU184" s="115"/>
      <c r="BH184" s="252"/>
      <c r="BM184" s="115"/>
      <c r="BN184" s="115"/>
      <c r="BO184" s="115"/>
      <c r="BP184" s="116"/>
      <c r="BQ184" s="116"/>
      <c r="BZ184" s="115"/>
      <c r="CA184" s="115"/>
      <c r="CB184" s="115"/>
    </row>
    <row r="185" spans="1:80" s="251" customFormat="1">
      <c r="A185" s="119"/>
      <c r="B185" s="119"/>
      <c r="C185" s="115"/>
      <c r="D185" s="115"/>
      <c r="E185" s="115"/>
      <c r="F185" s="115"/>
      <c r="G185" s="252"/>
      <c r="H185" s="252"/>
      <c r="I185" s="117"/>
      <c r="J185" s="115"/>
      <c r="K185" s="115"/>
      <c r="L185" s="115"/>
      <c r="M185" s="118"/>
      <c r="N185" s="115"/>
      <c r="O185" s="115"/>
      <c r="P185" s="115"/>
      <c r="Q185" s="117"/>
      <c r="R185" s="117"/>
      <c r="S185" s="117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BH185" s="252"/>
      <c r="BM185" s="115"/>
      <c r="BN185" s="115"/>
      <c r="BO185" s="115"/>
      <c r="BP185" s="116"/>
      <c r="BQ185" s="116"/>
      <c r="BZ185" s="115"/>
      <c r="CA185" s="115"/>
      <c r="CB185" s="115"/>
    </row>
    <row r="186" spans="1:80" s="251" customFormat="1">
      <c r="A186" s="119"/>
      <c r="B186" s="119"/>
      <c r="C186" s="115"/>
      <c r="D186" s="115"/>
      <c r="E186" s="115"/>
      <c r="F186" s="115"/>
      <c r="G186" s="252"/>
      <c r="H186" s="252"/>
      <c r="I186" s="117"/>
      <c r="J186" s="115"/>
      <c r="K186" s="115"/>
      <c r="L186" s="115"/>
      <c r="M186" s="118"/>
      <c r="N186" s="115"/>
      <c r="O186" s="115"/>
      <c r="P186" s="115"/>
      <c r="Q186" s="117"/>
      <c r="R186" s="117"/>
      <c r="S186" s="117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115"/>
      <c r="AO186" s="115"/>
      <c r="AP186" s="115"/>
      <c r="AQ186" s="115"/>
      <c r="AR186" s="115"/>
      <c r="AS186" s="115"/>
      <c r="AT186" s="115"/>
      <c r="AU186" s="115"/>
      <c r="BH186" s="252"/>
      <c r="BM186" s="115"/>
      <c r="BN186" s="115"/>
      <c r="BO186" s="115"/>
      <c r="BP186" s="116"/>
      <c r="BQ186" s="116"/>
      <c r="BZ186" s="115"/>
      <c r="CA186" s="115"/>
      <c r="CB186" s="115"/>
    </row>
    <row r="187" spans="1:80" s="251" customFormat="1">
      <c r="A187" s="119"/>
      <c r="B187" s="119"/>
      <c r="C187" s="115"/>
      <c r="D187" s="115"/>
      <c r="E187" s="115"/>
      <c r="F187" s="115"/>
      <c r="G187" s="252"/>
      <c r="H187" s="252"/>
      <c r="I187" s="117"/>
      <c r="J187" s="115"/>
      <c r="K187" s="115"/>
      <c r="L187" s="115"/>
      <c r="M187" s="118"/>
      <c r="N187" s="115"/>
      <c r="O187" s="115"/>
      <c r="P187" s="115"/>
      <c r="Q187" s="117"/>
      <c r="R187" s="117"/>
      <c r="S187" s="117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15"/>
      <c r="AO187" s="115"/>
      <c r="AP187" s="115"/>
      <c r="AQ187" s="115"/>
      <c r="AR187" s="115"/>
      <c r="AS187" s="115"/>
      <c r="AT187" s="115"/>
      <c r="AU187" s="115"/>
      <c r="BH187" s="252"/>
      <c r="BM187" s="115"/>
      <c r="BN187" s="115"/>
      <c r="BO187" s="115"/>
      <c r="BP187" s="116"/>
      <c r="BQ187" s="116"/>
      <c r="BZ187" s="115"/>
      <c r="CA187" s="115"/>
      <c r="CB187" s="115"/>
    </row>
    <row r="188" spans="1:80" s="251" customFormat="1">
      <c r="A188" s="119"/>
      <c r="B188" s="119"/>
      <c r="C188" s="115"/>
      <c r="D188" s="115"/>
      <c r="E188" s="115"/>
      <c r="F188" s="115"/>
      <c r="G188" s="252"/>
      <c r="H188" s="252"/>
      <c r="I188" s="117"/>
      <c r="J188" s="115"/>
      <c r="K188" s="115"/>
      <c r="L188" s="115"/>
      <c r="M188" s="118"/>
      <c r="N188" s="115"/>
      <c r="O188" s="115"/>
      <c r="P188" s="115"/>
      <c r="Q188" s="117"/>
      <c r="R188" s="117"/>
      <c r="S188" s="117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5"/>
      <c r="AP188" s="115"/>
      <c r="AQ188" s="115"/>
      <c r="AR188" s="115"/>
      <c r="AS188" s="115"/>
      <c r="AT188" s="115"/>
      <c r="AU188" s="115"/>
      <c r="BH188" s="252"/>
      <c r="BM188" s="115"/>
      <c r="BN188" s="115"/>
      <c r="BO188" s="115"/>
      <c r="BP188" s="116"/>
      <c r="BQ188" s="116"/>
      <c r="BZ188" s="115"/>
      <c r="CA188" s="115"/>
      <c r="CB188" s="115"/>
    </row>
    <row r="189" spans="1:80" s="251" customFormat="1">
      <c r="A189" s="119"/>
      <c r="B189" s="119"/>
      <c r="C189" s="115"/>
      <c r="D189" s="115"/>
      <c r="E189" s="115"/>
      <c r="F189" s="115"/>
      <c r="G189" s="252"/>
      <c r="H189" s="252"/>
      <c r="I189" s="117"/>
      <c r="J189" s="115"/>
      <c r="K189" s="115"/>
      <c r="L189" s="115"/>
      <c r="M189" s="118"/>
      <c r="N189" s="115"/>
      <c r="O189" s="115"/>
      <c r="P189" s="115"/>
      <c r="Q189" s="117"/>
      <c r="R189" s="117"/>
      <c r="S189" s="117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5"/>
      <c r="AP189" s="115"/>
      <c r="AQ189" s="115"/>
      <c r="AR189" s="115"/>
      <c r="AS189" s="115"/>
      <c r="AT189" s="115"/>
      <c r="AU189" s="115"/>
      <c r="BH189" s="252"/>
      <c r="BM189" s="115"/>
      <c r="BN189" s="115"/>
      <c r="BO189" s="115"/>
      <c r="BP189" s="116"/>
      <c r="BQ189" s="116"/>
      <c r="BZ189" s="115"/>
      <c r="CA189" s="115"/>
      <c r="CB189" s="115"/>
    </row>
    <row r="190" spans="1:80" s="251" customFormat="1">
      <c r="A190" s="119"/>
      <c r="B190" s="119"/>
      <c r="C190" s="115"/>
      <c r="D190" s="115"/>
      <c r="E190" s="115"/>
      <c r="F190" s="115"/>
      <c r="G190" s="252"/>
      <c r="H190" s="252"/>
      <c r="I190" s="117"/>
      <c r="J190" s="115"/>
      <c r="K190" s="115"/>
      <c r="L190" s="115"/>
      <c r="M190" s="118"/>
      <c r="N190" s="115"/>
      <c r="O190" s="115"/>
      <c r="P190" s="115"/>
      <c r="Q190" s="117"/>
      <c r="R190" s="117"/>
      <c r="S190" s="117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115"/>
      <c r="AO190" s="115"/>
      <c r="AP190" s="115"/>
      <c r="AQ190" s="115"/>
      <c r="AR190" s="115"/>
      <c r="AS190" s="115"/>
      <c r="AT190" s="115"/>
      <c r="AU190" s="115"/>
      <c r="BH190" s="252"/>
      <c r="BM190" s="115"/>
      <c r="BN190" s="115"/>
      <c r="BO190" s="115"/>
      <c r="BP190" s="116"/>
      <c r="BQ190" s="116"/>
      <c r="BZ190" s="115"/>
      <c r="CA190" s="115"/>
      <c r="CB190" s="115"/>
    </row>
    <row r="191" spans="1:80" s="117" customFormat="1">
      <c r="A191" s="119"/>
      <c r="B191" s="119"/>
      <c r="C191" s="115"/>
      <c r="D191" s="115"/>
      <c r="E191" s="115"/>
      <c r="F191" s="115"/>
      <c r="G191" s="252"/>
      <c r="H191" s="252"/>
      <c r="J191" s="115"/>
      <c r="K191" s="115"/>
      <c r="L191" s="115"/>
      <c r="M191" s="118"/>
      <c r="N191" s="115"/>
      <c r="O191" s="115"/>
      <c r="P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115"/>
      <c r="AO191" s="115"/>
      <c r="AP191" s="115"/>
      <c r="AQ191" s="115"/>
      <c r="AR191" s="115"/>
      <c r="AS191" s="115"/>
      <c r="AT191" s="115"/>
      <c r="AU191" s="115"/>
      <c r="AV191" s="251"/>
      <c r="AW191" s="251"/>
      <c r="AX191" s="251"/>
      <c r="AY191" s="251"/>
      <c r="AZ191" s="251"/>
      <c r="BA191" s="251"/>
      <c r="BB191" s="251"/>
      <c r="BC191" s="251"/>
      <c r="BD191" s="251"/>
      <c r="BE191" s="251"/>
      <c r="BF191" s="251"/>
      <c r="BG191" s="251"/>
      <c r="BH191" s="252"/>
      <c r="BI191" s="251"/>
      <c r="BJ191" s="251"/>
      <c r="BK191" s="251"/>
      <c r="BL191" s="251"/>
      <c r="BM191" s="115"/>
      <c r="BN191" s="115"/>
      <c r="BO191" s="115"/>
      <c r="BP191" s="116"/>
      <c r="BQ191" s="116"/>
      <c r="BR191" s="251"/>
      <c r="BS191" s="251"/>
      <c r="BT191" s="251"/>
      <c r="BU191" s="251"/>
      <c r="BV191" s="251"/>
      <c r="BW191" s="251"/>
      <c r="BX191" s="251"/>
      <c r="BY191" s="251"/>
      <c r="BZ191" s="115"/>
      <c r="CA191" s="115"/>
      <c r="CB191" s="115"/>
    </row>
    <row r="192" spans="1:80" s="117" customFormat="1">
      <c r="A192" s="119"/>
      <c r="B192" s="119"/>
      <c r="C192" s="115"/>
      <c r="D192" s="115"/>
      <c r="E192" s="115"/>
      <c r="F192" s="115"/>
      <c r="G192" s="252"/>
      <c r="H192" s="252"/>
      <c r="J192" s="115"/>
      <c r="K192" s="115"/>
      <c r="L192" s="115"/>
      <c r="M192" s="118"/>
      <c r="N192" s="115"/>
      <c r="O192" s="115"/>
      <c r="P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115"/>
      <c r="AO192" s="115"/>
      <c r="AP192" s="115"/>
      <c r="AQ192" s="115"/>
      <c r="AR192" s="115"/>
      <c r="AS192" s="115"/>
      <c r="AT192" s="115"/>
      <c r="AU192" s="115"/>
      <c r="AV192" s="251"/>
      <c r="AW192" s="251"/>
      <c r="AX192" s="251"/>
      <c r="AY192" s="251"/>
      <c r="AZ192" s="251"/>
      <c r="BA192" s="251"/>
      <c r="BB192" s="251"/>
      <c r="BC192" s="251"/>
      <c r="BD192" s="251"/>
      <c r="BE192" s="251"/>
      <c r="BF192" s="251"/>
      <c r="BG192" s="251"/>
      <c r="BH192" s="252"/>
      <c r="BI192" s="251"/>
      <c r="BJ192" s="251"/>
      <c r="BK192" s="251"/>
      <c r="BL192" s="251"/>
      <c r="BM192" s="115"/>
      <c r="BN192" s="115"/>
      <c r="BO192" s="115"/>
      <c r="BP192" s="116"/>
      <c r="BQ192" s="116"/>
      <c r="BR192" s="251"/>
      <c r="BS192" s="251"/>
      <c r="BT192" s="251"/>
      <c r="BU192" s="251"/>
      <c r="BV192" s="251"/>
      <c r="BW192" s="251"/>
      <c r="BX192" s="251"/>
      <c r="BY192" s="251"/>
      <c r="BZ192" s="115"/>
      <c r="CA192" s="115"/>
      <c r="CB192" s="115"/>
    </row>
    <row r="193" spans="1:80" s="117" customFormat="1">
      <c r="A193" s="119"/>
      <c r="B193" s="119"/>
      <c r="C193" s="115"/>
      <c r="D193" s="115"/>
      <c r="E193" s="115"/>
      <c r="F193" s="115"/>
      <c r="G193" s="252"/>
      <c r="H193" s="252"/>
      <c r="J193" s="115"/>
      <c r="K193" s="115"/>
      <c r="L193" s="115"/>
      <c r="M193" s="118"/>
      <c r="N193" s="115"/>
      <c r="O193" s="115"/>
      <c r="P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15"/>
      <c r="AP193" s="115"/>
      <c r="AQ193" s="115"/>
      <c r="AR193" s="115"/>
      <c r="AS193" s="115"/>
      <c r="AT193" s="115"/>
      <c r="AU193" s="115"/>
      <c r="AV193" s="251"/>
      <c r="AW193" s="251"/>
      <c r="AX193" s="251"/>
      <c r="AY193" s="251"/>
      <c r="AZ193" s="251"/>
      <c r="BA193" s="251"/>
      <c r="BB193" s="251"/>
      <c r="BC193" s="251"/>
      <c r="BD193" s="251"/>
      <c r="BE193" s="251"/>
      <c r="BF193" s="251"/>
      <c r="BG193" s="251"/>
      <c r="BH193" s="252"/>
      <c r="BI193" s="251"/>
      <c r="BJ193" s="251"/>
      <c r="BK193" s="251"/>
      <c r="BL193" s="251"/>
      <c r="BM193" s="115"/>
      <c r="BN193" s="115"/>
      <c r="BO193" s="115"/>
      <c r="BP193" s="116"/>
      <c r="BQ193" s="116"/>
      <c r="BR193" s="251"/>
      <c r="BS193" s="251"/>
      <c r="BT193" s="251"/>
      <c r="BU193" s="251"/>
      <c r="BV193" s="251"/>
      <c r="BW193" s="251"/>
      <c r="BX193" s="251"/>
      <c r="BY193" s="251"/>
      <c r="BZ193" s="115"/>
      <c r="CA193" s="115"/>
      <c r="CB193" s="115"/>
    </row>
    <row r="194" spans="1:80" s="117" customFormat="1">
      <c r="A194" s="119"/>
      <c r="B194" s="119"/>
      <c r="C194" s="115"/>
      <c r="D194" s="115"/>
      <c r="E194" s="115"/>
      <c r="F194" s="115"/>
      <c r="G194" s="252"/>
      <c r="H194" s="252"/>
      <c r="J194" s="115"/>
      <c r="K194" s="115"/>
      <c r="L194" s="115"/>
      <c r="M194" s="118"/>
      <c r="N194" s="115"/>
      <c r="O194" s="115"/>
      <c r="P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115"/>
      <c r="AO194" s="115"/>
      <c r="AP194" s="115"/>
      <c r="AQ194" s="115"/>
      <c r="AR194" s="115"/>
      <c r="AS194" s="115"/>
      <c r="AT194" s="115"/>
      <c r="AU194" s="115"/>
      <c r="AV194" s="251"/>
      <c r="AW194" s="251"/>
      <c r="AX194" s="251"/>
      <c r="AY194" s="251"/>
      <c r="AZ194" s="251"/>
      <c r="BA194" s="251"/>
      <c r="BB194" s="251"/>
      <c r="BC194" s="251"/>
      <c r="BD194" s="251"/>
      <c r="BE194" s="251"/>
      <c r="BF194" s="251"/>
      <c r="BG194" s="251"/>
      <c r="BH194" s="252"/>
      <c r="BI194" s="251"/>
      <c r="BJ194" s="251"/>
      <c r="BK194" s="251"/>
      <c r="BL194" s="251"/>
      <c r="BM194" s="115"/>
      <c r="BN194" s="115"/>
      <c r="BO194" s="115"/>
      <c r="BP194" s="116"/>
      <c r="BQ194" s="116"/>
      <c r="BR194" s="251"/>
      <c r="BS194" s="251"/>
      <c r="BT194" s="251"/>
      <c r="BU194" s="251"/>
      <c r="BV194" s="251"/>
      <c r="BW194" s="251"/>
      <c r="BX194" s="251"/>
      <c r="BY194" s="251"/>
      <c r="BZ194" s="115"/>
      <c r="CA194" s="115"/>
      <c r="CB194" s="115"/>
    </row>
    <row r="195" spans="1:80" s="117" customFormat="1">
      <c r="A195" s="119"/>
      <c r="B195" s="119"/>
      <c r="C195" s="115"/>
      <c r="D195" s="115"/>
      <c r="E195" s="115"/>
      <c r="F195" s="115"/>
      <c r="G195" s="252"/>
      <c r="H195" s="252"/>
      <c r="J195" s="115"/>
      <c r="K195" s="115"/>
      <c r="L195" s="115"/>
      <c r="M195" s="118"/>
      <c r="N195" s="115"/>
      <c r="O195" s="115"/>
      <c r="P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115"/>
      <c r="AQ195" s="115"/>
      <c r="AR195" s="115"/>
      <c r="AS195" s="115"/>
      <c r="AT195" s="115"/>
      <c r="AU195" s="115"/>
      <c r="AV195" s="251"/>
      <c r="AW195" s="251"/>
      <c r="AX195" s="251"/>
      <c r="AY195" s="251"/>
      <c r="AZ195" s="251"/>
      <c r="BA195" s="251"/>
      <c r="BB195" s="251"/>
      <c r="BC195" s="251"/>
      <c r="BD195" s="251"/>
      <c r="BE195" s="251"/>
      <c r="BF195" s="251"/>
      <c r="BG195" s="251"/>
      <c r="BH195" s="252"/>
      <c r="BI195" s="251"/>
      <c r="BJ195" s="251"/>
      <c r="BK195" s="251"/>
      <c r="BL195" s="251"/>
      <c r="BM195" s="115"/>
      <c r="BN195" s="115"/>
      <c r="BO195" s="115"/>
      <c r="BP195" s="116"/>
      <c r="BQ195" s="116"/>
      <c r="BR195" s="251"/>
      <c r="BS195" s="251"/>
      <c r="BT195" s="251"/>
      <c r="BU195" s="251"/>
      <c r="BV195" s="251"/>
      <c r="BW195" s="251"/>
      <c r="BX195" s="251"/>
      <c r="BY195" s="251"/>
      <c r="BZ195" s="115"/>
      <c r="CA195" s="115"/>
      <c r="CB195" s="115"/>
    </row>
    <row r="232" spans="1:80" s="117" customFormat="1">
      <c r="A232" s="119"/>
      <c r="B232" s="119"/>
      <c r="C232" s="115"/>
      <c r="D232" s="115"/>
      <c r="E232" s="115"/>
      <c r="F232" s="115"/>
      <c r="G232" s="252"/>
      <c r="H232" s="252"/>
      <c r="J232" s="115"/>
      <c r="K232" s="115"/>
      <c r="L232" s="115"/>
      <c r="M232" s="118"/>
      <c r="N232" s="115"/>
      <c r="O232" s="115"/>
      <c r="P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115"/>
      <c r="AO232" s="115"/>
      <c r="AP232" s="115"/>
      <c r="AQ232" s="115"/>
      <c r="AR232" s="115"/>
      <c r="AS232" s="115"/>
      <c r="AT232" s="115"/>
      <c r="AU232" s="115"/>
      <c r="AV232" s="251"/>
      <c r="AW232" s="251"/>
      <c r="AX232" s="251"/>
      <c r="AY232" s="251"/>
      <c r="AZ232" s="251"/>
      <c r="BA232" s="251"/>
      <c r="BB232" s="251"/>
      <c r="BC232" s="251"/>
      <c r="BD232" s="251"/>
      <c r="BE232" s="251"/>
      <c r="BF232" s="251"/>
      <c r="BG232" s="251"/>
      <c r="BH232" s="252"/>
      <c r="BI232" s="251"/>
      <c r="BJ232" s="251"/>
      <c r="BK232" s="251"/>
      <c r="BL232" s="251"/>
      <c r="BM232" s="115"/>
      <c r="BN232" s="115"/>
      <c r="BO232" s="115"/>
      <c r="BP232" s="116"/>
      <c r="BQ232" s="116"/>
      <c r="BR232" s="251"/>
      <c r="BS232" s="251"/>
      <c r="BT232" s="251"/>
      <c r="BU232" s="251"/>
      <c r="BV232" s="251"/>
      <c r="BW232" s="251"/>
      <c r="BX232" s="251"/>
      <c r="BY232" s="251"/>
      <c r="BZ232" s="115"/>
      <c r="CA232" s="115"/>
      <c r="CB232" s="115"/>
    </row>
    <row r="233" spans="1:80" s="117" customFormat="1">
      <c r="A233" s="119"/>
      <c r="B233" s="119"/>
      <c r="C233" s="115"/>
      <c r="D233" s="115"/>
      <c r="E233" s="115"/>
      <c r="F233" s="115"/>
      <c r="G233" s="252"/>
      <c r="H233" s="252"/>
      <c r="J233" s="115"/>
      <c r="K233" s="115"/>
      <c r="L233" s="115"/>
      <c r="M233" s="118"/>
      <c r="N233" s="115"/>
      <c r="O233" s="115"/>
      <c r="P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115"/>
      <c r="AQ233" s="115"/>
      <c r="AR233" s="115"/>
      <c r="AS233" s="115"/>
      <c r="AT233" s="115"/>
      <c r="AU233" s="115"/>
      <c r="AV233" s="251"/>
      <c r="AW233" s="251"/>
      <c r="AX233" s="251"/>
      <c r="AY233" s="251"/>
      <c r="AZ233" s="251"/>
      <c r="BA233" s="251"/>
      <c r="BB233" s="251"/>
      <c r="BC233" s="251"/>
      <c r="BD233" s="251"/>
      <c r="BE233" s="251"/>
      <c r="BF233" s="251"/>
      <c r="BG233" s="251"/>
      <c r="BH233" s="252"/>
      <c r="BI233" s="251"/>
      <c r="BJ233" s="251"/>
      <c r="BK233" s="251"/>
      <c r="BL233" s="251"/>
      <c r="BM233" s="115"/>
      <c r="BN233" s="115"/>
      <c r="BO233" s="115"/>
      <c r="BP233" s="116"/>
      <c r="BQ233" s="116"/>
      <c r="BR233" s="251"/>
      <c r="BS233" s="251"/>
      <c r="BT233" s="251"/>
      <c r="BU233" s="251"/>
      <c r="BV233" s="251"/>
      <c r="BW233" s="251"/>
      <c r="BX233" s="251"/>
      <c r="BY233" s="251"/>
      <c r="BZ233" s="115"/>
      <c r="CA233" s="115"/>
      <c r="CB233" s="115"/>
    </row>
    <row r="234" spans="1:80" s="117" customFormat="1">
      <c r="A234" s="119"/>
      <c r="B234" s="119"/>
      <c r="C234" s="115"/>
      <c r="D234" s="115"/>
      <c r="E234" s="115"/>
      <c r="F234" s="115"/>
      <c r="G234" s="252"/>
      <c r="H234" s="252"/>
      <c r="J234" s="115"/>
      <c r="K234" s="115"/>
      <c r="L234" s="115"/>
      <c r="M234" s="118"/>
      <c r="N234" s="115"/>
      <c r="O234" s="115"/>
      <c r="P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15"/>
      <c r="AO234" s="115"/>
      <c r="AP234" s="115"/>
      <c r="AQ234" s="115"/>
      <c r="AR234" s="115"/>
      <c r="AS234" s="115"/>
      <c r="AT234" s="115"/>
      <c r="AU234" s="115"/>
      <c r="AV234" s="251"/>
      <c r="AW234" s="251"/>
      <c r="AX234" s="251"/>
      <c r="AY234" s="251"/>
      <c r="AZ234" s="251"/>
      <c r="BA234" s="251"/>
      <c r="BB234" s="251"/>
      <c r="BC234" s="251"/>
      <c r="BD234" s="251"/>
      <c r="BE234" s="251"/>
      <c r="BF234" s="251"/>
      <c r="BG234" s="251"/>
      <c r="BH234" s="252"/>
      <c r="BI234" s="251"/>
      <c r="BJ234" s="251"/>
      <c r="BK234" s="251"/>
      <c r="BL234" s="251"/>
      <c r="BM234" s="115"/>
      <c r="BN234" s="115"/>
      <c r="BO234" s="115"/>
      <c r="BP234" s="116"/>
      <c r="BQ234" s="116"/>
      <c r="BR234" s="251"/>
      <c r="BS234" s="251"/>
      <c r="BT234" s="251"/>
      <c r="BU234" s="251"/>
      <c r="BV234" s="251"/>
      <c r="BW234" s="251"/>
      <c r="BX234" s="251"/>
      <c r="BY234" s="251"/>
      <c r="BZ234" s="115"/>
      <c r="CA234" s="115"/>
      <c r="CB234" s="115"/>
    </row>
    <row r="235" spans="1:80" s="117" customFormat="1">
      <c r="A235" s="119"/>
      <c r="B235" s="119"/>
      <c r="C235" s="115"/>
      <c r="D235" s="115"/>
      <c r="E235" s="115"/>
      <c r="F235" s="115"/>
      <c r="G235" s="252"/>
      <c r="H235" s="252"/>
      <c r="J235" s="115"/>
      <c r="K235" s="115"/>
      <c r="L235" s="115"/>
      <c r="M235" s="118"/>
      <c r="N235" s="115"/>
      <c r="O235" s="115"/>
      <c r="P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15"/>
      <c r="AQ235" s="115"/>
      <c r="AR235" s="115"/>
      <c r="AS235" s="115"/>
      <c r="AT235" s="115"/>
      <c r="AU235" s="115"/>
      <c r="AV235" s="251"/>
      <c r="AW235" s="251"/>
      <c r="AX235" s="251"/>
      <c r="AY235" s="251"/>
      <c r="AZ235" s="251"/>
      <c r="BA235" s="251"/>
      <c r="BB235" s="251"/>
      <c r="BC235" s="251"/>
      <c r="BD235" s="251"/>
      <c r="BE235" s="251"/>
      <c r="BF235" s="251"/>
      <c r="BG235" s="251"/>
      <c r="BH235" s="252"/>
      <c r="BI235" s="251"/>
      <c r="BJ235" s="251"/>
      <c r="BK235" s="251"/>
      <c r="BL235" s="251"/>
      <c r="BM235" s="115"/>
      <c r="BN235" s="115"/>
      <c r="BO235" s="115"/>
      <c r="BP235" s="116"/>
      <c r="BQ235" s="116"/>
      <c r="BR235" s="251"/>
      <c r="BS235" s="251"/>
      <c r="BT235" s="251"/>
      <c r="BU235" s="251"/>
      <c r="BV235" s="251"/>
      <c r="BW235" s="251"/>
      <c r="BX235" s="251"/>
      <c r="BY235" s="251"/>
      <c r="BZ235" s="115"/>
      <c r="CA235" s="115"/>
      <c r="CB235" s="115"/>
    </row>
    <row r="236" spans="1:80" s="117" customFormat="1">
      <c r="A236" s="119"/>
      <c r="B236" s="119"/>
      <c r="C236" s="115"/>
      <c r="D236" s="115"/>
      <c r="E236" s="115"/>
      <c r="F236" s="115"/>
      <c r="G236" s="252"/>
      <c r="H236" s="252"/>
      <c r="J236" s="115"/>
      <c r="K236" s="115"/>
      <c r="L236" s="115"/>
      <c r="M236" s="118"/>
      <c r="N236" s="115"/>
      <c r="O236" s="115"/>
      <c r="P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115"/>
      <c r="AR236" s="115"/>
      <c r="AS236" s="115"/>
      <c r="AT236" s="115"/>
      <c r="AU236" s="115"/>
      <c r="AV236" s="251"/>
      <c r="AW236" s="251"/>
      <c r="AX236" s="251"/>
      <c r="AY236" s="251"/>
      <c r="AZ236" s="251"/>
      <c r="BA236" s="251"/>
      <c r="BB236" s="251"/>
      <c r="BC236" s="251"/>
      <c r="BD236" s="251"/>
      <c r="BE236" s="251"/>
      <c r="BF236" s="251"/>
      <c r="BG236" s="251"/>
      <c r="BH236" s="252"/>
      <c r="BI236" s="251"/>
      <c r="BJ236" s="251"/>
      <c r="BK236" s="251"/>
      <c r="BL236" s="251"/>
      <c r="BM236" s="115"/>
      <c r="BN236" s="115"/>
      <c r="BO236" s="115"/>
      <c r="BP236" s="116"/>
      <c r="BQ236" s="116"/>
      <c r="BR236" s="251"/>
      <c r="BS236" s="251"/>
      <c r="BT236" s="251"/>
      <c r="BU236" s="251"/>
      <c r="BV236" s="251"/>
      <c r="BW236" s="251"/>
      <c r="BX236" s="251"/>
      <c r="BY236" s="251"/>
      <c r="BZ236" s="115"/>
      <c r="CA236" s="115"/>
      <c r="CB236" s="115"/>
    </row>
    <row r="237" spans="1:80" s="117" customFormat="1">
      <c r="A237" s="119"/>
      <c r="B237" s="119"/>
      <c r="C237" s="115"/>
      <c r="D237" s="115"/>
      <c r="E237" s="115"/>
      <c r="F237" s="115"/>
      <c r="G237" s="252"/>
      <c r="H237" s="252"/>
      <c r="J237" s="115"/>
      <c r="K237" s="115"/>
      <c r="L237" s="115"/>
      <c r="M237" s="118"/>
      <c r="N237" s="115"/>
      <c r="O237" s="115"/>
      <c r="P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5"/>
      <c r="AR237" s="115"/>
      <c r="AS237" s="115"/>
      <c r="AT237" s="115"/>
      <c r="AU237" s="115"/>
      <c r="AV237" s="251"/>
      <c r="AW237" s="251"/>
      <c r="AX237" s="251"/>
      <c r="AY237" s="251"/>
      <c r="AZ237" s="251"/>
      <c r="BA237" s="251"/>
      <c r="BB237" s="251"/>
      <c r="BC237" s="251"/>
      <c r="BD237" s="251"/>
      <c r="BE237" s="251"/>
      <c r="BF237" s="251"/>
      <c r="BG237" s="251"/>
      <c r="BH237" s="252"/>
      <c r="BI237" s="251"/>
      <c r="BJ237" s="251"/>
      <c r="BK237" s="251"/>
      <c r="BL237" s="251"/>
      <c r="BM237" s="115"/>
      <c r="BN237" s="115"/>
      <c r="BO237" s="115"/>
      <c r="BP237" s="116"/>
      <c r="BQ237" s="116"/>
      <c r="BR237" s="251"/>
      <c r="BS237" s="251"/>
      <c r="BT237" s="251"/>
      <c r="BU237" s="251"/>
      <c r="BV237" s="251"/>
      <c r="BW237" s="251"/>
      <c r="BX237" s="251"/>
      <c r="BY237" s="251"/>
      <c r="BZ237" s="115"/>
      <c r="CA237" s="115"/>
      <c r="CB237" s="115"/>
    </row>
    <row r="238" spans="1:80" s="117" customFormat="1">
      <c r="A238" s="119"/>
      <c r="B238" s="119"/>
      <c r="C238" s="115"/>
      <c r="D238" s="115"/>
      <c r="E238" s="115"/>
      <c r="F238" s="115"/>
      <c r="G238" s="252"/>
      <c r="H238" s="252"/>
      <c r="J238" s="115"/>
      <c r="K238" s="115"/>
      <c r="L238" s="115"/>
      <c r="M238" s="118"/>
      <c r="N238" s="115"/>
      <c r="O238" s="115"/>
      <c r="P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/>
      <c r="AQ238" s="115"/>
      <c r="AR238" s="115"/>
      <c r="AS238" s="115"/>
      <c r="AT238" s="115"/>
      <c r="AU238" s="115"/>
      <c r="AV238" s="251"/>
      <c r="AW238" s="251"/>
      <c r="AX238" s="251"/>
      <c r="AY238" s="251"/>
      <c r="AZ238" s="251"/>
      <c r="BA238" s="251"/>
      <c r="BB238" s="251"/>
      <c r="BC238" s="251"/>
      <c r="BD238" s="251"/>
      <c r="BE238" s="251"/>
      <c r="BF238" s="251"/>
      <c r="BG238" s="251"/>
      <c r="BH238" s="252"/>
      <c r="BI238" s="251"/>
      <c r="BJ238" s="251"/>
      <c r="BK238" s="251"/>
      <c r="BL238" s="251"/>
      <c r="BM238" s="115"/>
      <c r="BN238" s="115"/>
      <c r="BO238" s="115"/>
      <c r="BP238" s="116"/>
      <c r="BQ238" s="116"/>
      <c r="BR238" s="251"/>
      <c r="BS238" s="251"/>
      <c r="BT238" s="251"/>
      <c r="BU238" s="251"/>
      <c r="BV238" s="251"/>
      <c r="BW238" s="251"/>
      <c r="BX238" s="251"/>
      <c r="BY238" s="251"/>
      <c r="BZ238" s="115"/>
      <c r="CA238" s="115"/>
      <c r="CB238" s="115"/>
    </row>
    <row r="239" spans="1:80" s="117" customFormat="1">
      <c r="A239" s="119"/>
      <c r="B239" s="119"/>
      <c r="C239" s="115"/>
      <c r="D239" s="115"/>
      <c r="E239" s="115"/>
      <c r="F239" s="115"/>
      <c r="G239" s="252"/>
      <c r="H239" s="252"/>
      <c r="J239" s="115"/>
      <c r="K239" s="115"/>
      <c r="L239" s="115"/>
      <c r="M239" s="118"/>
      <c r="N239" s="115"/>
      <c r="O239" s="115"/>
      <c r="P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15"/>
      <c r="AM239" s="115"/>
      <c r="AN239" s="115"/>
      <c r="AO239" s="115"/>
      <c r="AP239" s="115"/>
      <c r="AQ239" s="115"/>
      <c r="AR239" s="115"/>
      <c r="AS239" s="115"/>
      <c r="AT239" s="115"/>
      <c r="AU239" s="115"/>
      <c r="AV239" s="251"/>
      <c r="AW239" s="251"/>
      <c r="AX239" s="251"/>
      <c r="AY239" s="251"/>
      <c r="AZ239" s="251"/>
      <c r="BA239" s="251"/>
      <c r="BB239" s="251"/>
      <c r="BC239" s="251"/>
      <c r="BD239" s="251"/>
      <c r="BE239" s="251"/>
      <c r="BF239" s="251"/>
      <c r="BG239" s="251"/>
      <c r="BH239" s="252"/>
      <c r="BI239" s="251"/>
      <c r="BJ239" s="251"/>
      <c r="BK239" s="251"/>
      <c r="BL239" s="251"/>
      <c r="BM239" s="115"/>
      <c r="BN239" s="115"/>
      <c r="BO239" s="115"/>
      <c r="BP239" s="116"/>
      <c r="BQ239" s="116"/>
      <c r="BR239" s="251"/>
      <c r="BS239" s="251"/>
      <c r="BT239" s="251"/>
      <c r="BU239" s="251"/>
      <c r="BV239" s="251"/>
      <c r="BW239" s="251"/>
      <c r="BX239" s="251"/>
      <c r="BY239" s="251"/>
      <c r="BZ239" s="115"/>
      <c r="CA239" s="115"/>
      <c r="CB239" s="115"/>
    </row>
    <row r="240" spans="1:80" s="117" customFormat="1">
      <c r="A240" s="119"/>
      <c r="B240" s="119"/>
      <c r="C240" s="115"/>
      <c r="D240" s="115"/>
      <c r="E240" s="115"/>
      <c r="F240" s="115"/>
      <c r="G240" s="252"/>
      <c r="H240" s="252"/>
      <c r="J240" s="115"/>
      <c r="K240" s="115"/>
      <c r="L240" s="115"/>
      <c r="M240" s="118"/>
      <c r="N240" s="115"/>
      <c r="O240" s="115"/>
      <c r="P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115"/>
      <c r="AO240" s="115"/>
      <c r="AP240" s="115"/>
      <c r="AQ240" s="115"/>
      <c r="AR240" s="115"/>
      <c r="AS240" s="115"/>
      <c r="AT240" s="115"/>
      <c r="AU240" s="115"/>
      <c r="AV240" s="251"/>
      <c r="AW240" s="251"/>
      <c r="AX240" s="251"/>
      <c r="AY240" s="251"/>
      <c r="AZ240" s="251"/>
      <c r="BA240" s="251"/>
      <c r="BB240" s="251"/>
      <c r="BC240" s="251"/>
      <c r="BD240" s="251"/>
      <c r="BE240" s="251"/>
      <c r="BF240" s="251"/>
      <c r="BG240" s="251"/>
      <c r="BH240" s="252"/>
      <c r="BI240" s="251"/>
      <c r="BJ240" s="251"/>
      <c r="BK240" s="251"/>
      <c r="BL240" s="251"/>
      <c r="BM240" s="115"/>
      <c r="BN240" s="115"/>
      <c r="BO240" s="115"/>
      <c r="BP240" s="116"/>
      <c r="BQ240" s="116"/>
      <c r="BR240" s="251"/>
      <c r="BS240" s="251"/>
      <c r="BT240" s="251"/>
      <c r="BU240" s="251"/>
      <c r="BV240" s="251"/>
      <c r="BW240" s="251"/>
      <c r="BX240" s="251"/>
      <c r="BY240" s="251"/>
      <c r="BZ240" s="115"/>
      <c r="CA240" s="115"/>
      <c r="CB240" s="115"/>
    </row>
    <row r="241" spans="1:80" s="117" customFormat="1">
      <c r="A241" s="119"/>
      <c r="B241" s="119"/>
      <c r="C241" s="115"/>
      <c r="D241" s="115"/>
      <c r="E241" s="115"/>
      <c r="F241" s="115"/>
      <c r="G241" s="252"/>
      <c r="H241" s="252"/>
      <c r="J241" s="115"/>
      <c r="K241" s="115"/>
      <c r="L241" s="115"/>
      <c r="M241" s="118"/>
      <c r="N241" s="115"/>
      <c r="O241" s="115"/>
      <c r="P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115"/>
      <c r="AO241" s="115"/>
      <c r="AP241" s="115"/>
      <c r="AQ241" s="115"/>
      <c r="AR241" s="115"/>
      <c r="AS241" s="115"/>
      <c r="AT241" s="115"/>
      <c r="AU241" s="115"/>
      <c r="AV241" s="251"/>
      <c r="AW241" s="251"/>
      <c r="AX241" s="251"/>
      <c r="AY241" s="251"/>
      <c r="AZ241" s="251"/>
      <c r="BA241" s="251"/>
      <c r="BB241" s="251"/>
      <c r="BC241" s="251"/>
      <c r="BD241" s="251"/>
      <c r="BE241" s="251"/>
      <c r="BF241" s="251"/>
      <c r="BG241" s="251"/>
      <c r="BH241" s="252"/>
      <c r="BI241" s="251"/>
      <c r="BJ241" s="251"/>
      <c r="BK241" s="251"/>
      <c r="BL241" s="251"/>
      <c r="BM241" s="115"/>
      <c r="BN241" s="115"/>
      <c r="BO241" s="115"/>
      <c r="BP241" s="116"/>
      <c r="BQ241" s="116"/>
      <c r="BR241" s="251"/>
      <c r="BS241" s="251"/>
      <c r="BT241" s="251"/>
      <c r="BU241" s="251"/>
      <c r="BV241" s="251"/>
      <c r="BW241" s="251"/>
      <c r="BX241" s="251"/>
      <c r="BY241" s="251"/>
      <c r="BZ241" s="115"/>
      <c r="CA241" s="115"/>
      <c r="CB241" s="115"/>
    </row>
    <row r="242" spans="1:80" s="117" customFormat="1">
      <c r="A242" s="119"/>
      <c r="B242" s="119"/>
      <c r="C242" s="115"/>
      <c r="D242" s="115"/>
      <c r="E242" s="115"/>
      <c r="F242" s="115"/>
      <c r="G242" s="252"/>
      <c r="H242" s="252"/>
      <c r="J242" s="115"/>
      <c r="K242" s="115"/>
      <c r="L242" s="115"/>
      <c r="M242" s="118"/>
      <c r="N242" s="115"/>
      <c r="O242" s="115"/>
      <c r="P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15"/>
      <c r="AP242" s="115"/>
      <c r="AQ242" s="115"/>
      <c r="AR242" s="115"/>
      <c r="AS242" s="115"/>
      <c r="AT242" s="115"/>
      <c r="AU242" s="115"/>
      <c r="AV242" s="251"/>
      <c r="AW242" s="251"/>
      <c r="AX242" s="251"/>
      <c r="AY242" s="251"/>
      <c r="AZ242" s="251"/>
      <c r="BA242" s="251"/>
      <c r="BB242" s="251"/>
      <c r="BC242" s="251"/>
      <c r="BD242" s="251"/>
      <c r="BE242" s="251"/>
      <c r="BF242" s="251"/>
      <c r="BG242" s="251"/>
      <c r="BH242" s="252"/>
      <c r="BI242" s="251"/>
      <c r="BJ242" s="251"/>
      <c r="BK242" s="251"/>
      <c r="BL242" s="251"/>
      <c r="BM242" s="115"/>
      <c r="BN242" s="115"/>
      <c r="BO242" s="115"/>
      <c r="BP242" s="116"/>
      <c r="BQ242" s="116"/>
      <c r="BR242" s="251"/>
      <c r="BS242" s="251"/>
      <c r="BT242" s="251"/>
      <c r="BU242" s="251"/>
      <c r="BV242" s="251"/>
      <c r="BW242" s="251"/>
      <c r="BX242" s="251"/>
      <c r="BY242" s="251"/>
      <c r="BZ242" s="115"/>
      <c r="CA242" s="115"/>
      <c r="CB242" s="115"/>
    </row>
    <row r="243" spans="1:80" s="117" customFormat="1">
      <c r="A243" s="119"/>
      <c r="B243" s="119"/>
      <c r="C243" s="115"/>
      <c r="D243" s="115"/>
      <c r="E243" s="115"/>
      <c r="F243" s="115"/>
      <c r="G243" s="252"/>
      <c r="H243" s="252"/>
      <c r="J243" s="115"/>
      <c r="K243" s="115"/>
      <c r="L243" s="115"/>
      <c r="M243" s="118"/>
      <c r="N243" s="115"/>
      <c r="O243" s="115"/>
      <c r="P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115"/>
      <c r="AR243" s="115"/>
      <c r="AS243" s="115"/>
      <c r="AT243" s="115"/>
      <c r="AU243" s="115"/>
      <c r="AV243" s="251"/>
      <c r="AW243" s="251"/>
      <c r="AX243" s="251"/>
      <c r="AY243" s="251"/>
      <c r="AZ243" s="251"/>
      <c r="BA243" s="251"/>
      <c r="BB243" s="251"/>
      <c r="BC243" s="251"/>
      <c r="BD243" s="251"/>
      <c r="BE243" s="251"/>
      <c r="BF243" s="251"/>
      <c r="BG243" s="251"/>
      <c r="BH243" s="252"/>
      <c r="BI243" s="251"/>
      <c r="BJ243" s="251"/>
      <c r="BK243" s="251"/>
      <c r="BL243" s="251"/>
      <c r="BM243" s="115"/>
      <c r="BN243" s="115"/>
      <c r="BO243" s="115"/>
      <c r="BP243" s="116"/>
      <c r="BQ243" s="116"/>
      <c r="BR243" s="251"/>
      <c r="BS243" s="251"/>
      <c r="BT243" s="251"/>
      <c r="BU243" s="251"/>
      <c r="BV243" s="251"/>
      <c r="BW243" s="251"/>
      <c r="BX243" s="251"/>
      <c r="BY243" s="251"/>
      <c r="BZ243" s="115"/>
      <c r="CA243" s="115"/>
      <c r="CB243" s="115"/>
    </row>
    <row r="244" spans="1:80" s="117" customFormat="1">
      <c r="A244" s="119"/>
      <c r="B244" s="119"/>
      <c r="C244" s="115"/>
      <c r="D244" s="115"/>
      <c r="E244" s="115"/>
      <c r="F244" s="115"/>
      <c r="G244" s="252"/>
      <c r="H244" s="252"/>
      <c r="J244" s="115"/>
      <c r="K244" s="115"/>
      <c r="L244" s="115"/>
      <c r="M244" s="118"/>
      <c r="N244" s="115"/>
      <c r="O244" s="115"/>
      <c r="P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115"/>
      <c r="AQ244" s="115"/>
      <c r="AR244" s="115"/>
      <c r="AS244" s="115"/>
      <c r="AT244" s="115"/>
      <c r="AU244" s="115"/>
      <c r="AV244" s="251"/>
      <c r="AW244" s="251"/>
      <c r="AX244" s="251"/>
      <c r="AY244" s="251"/>
      <c r="AZ244" s="251"/>
      <c r="BA244" s="251"/>
      <c r="BB244" s="251"/>
      <c r="BC244" s="251"/>
      <c r="BD244" s="251"/>
      <c r="BE244" s="251"/>
      <c r="BF244" s="251"/>
      <c r="BG244" s="251"/>
      <c r="BH244" s="252"/>
      <c r="BI244" s="251"/>
      <c r="BJ244" s="251"/>
      <c r="BK244" s="251"/>
      <c r="BL244" s="251"/>
      <c r="BM244" s="115"/>
      <c r="BN244" s="115"/>
      <c r="BO244" s="115"/>
      <c r="BP244" s="116"/>
      <c r="BQ244" s="116"/>
      <c r="BR244" s="251"/>
      <c r="BS244" s="251"/>
      <c r="BT244" s="251"/>
      <c r="BU244" s="251"/>
      <c r="BV244" s="251"/>
      <c r="BW244" s="251"/>
      <c r="BX244" s="251"/>
      <c r="BY244" s="251"/>
      <c r="BZ244" s="115"/>
      <c r="CA244" s="115"/>
      <c r="CB244" s="115"/>
    </row>
    <row r="245" spans="1:80" s="117" customFormat="1">
      <c r="A245" s="119"/>
      <c r="B245" s="119"/>
      <c r="C245" s="115"/>
      <c r="D245" s="115"/>
      <c r="E245" s="115"/>
      <c r="F245" s="115"/>
      <c r="G245" s="252"/>
      <c r="H245" s="252"/>
      <c r="J245" s="115"/>
      <c r="K245" s="115"/>
      <c r="L245" s="115"/>
      <c r="M245" s="118"/>
      <c r="N245" s="115"/>
      <c r="O245" s="115"/>
      <c r="P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115"/>
      <c r="AS245" s="115"/>
      <c r="AT245" s="115"/>
      <c r="AU245" s="115"/>
      <c r="AV245" s="251"/>
      <c r="AW245" s="251"/>
      <c r="AX245" s="251"/>
      <c r="AY245" s="251"/>
      <c r="AZ245" s="251"/>
      <c r="BA245" s="251"/>
      <c r="BB245" s="251"/>
      <c r="BC245" s="251"/>
      <c r="BD245" s="251"/>
      <c r="BE245" s="251"/>
      <c r="BF245" s="251"/>
      <c r="BG245" s="251"/>
      <c r="BH245" s="252"/>
      <c r="BI245" s="251"/>
      <c r="BJ245" s="251"/>
      <c r="BK245" s="251"/>
      <c r="BL245" s="251"/>
      <c r="BM245" s="115"/>
      <c r="BN245" s="115"/>
      <c r="BO245" s="115"/>
      <c r="BP245" s="116"/>
      <c r="BQ245" s="116"/>
      <c r="BR245" s="251"/>
      <c r="BS245" s="251"/>
      <c r="BT245" s="251"/>
      <c r="BU245" s="251"/>
      <c r="BV245" s="251"/>
      <c r="BW245" s="251"/>
      <c r="BX245" s="251"/>
      <c r="BY245" s="251"/>
      <c r="BZ245" s="115"/>
      <c r="CA245" s="115"/>
      <c r="CB245" s="115"/>
    </row>
    <row r="246" spans="1:80" s="117" customFormat="1">
      <c r="A246" s="119"/>
      <c r="B246" s="119"/>
      <c r="C246" s="115"/>
      <c r="D246" s="115"/>
      <c r="E246" s="115"/>
      <c r="F246" s="115"/>
      <c r="G246" s="252"/>
      <c r="H246" s="252"/>
      <c r="J246" s="115"/>
      <c r="K246" s="115"/>
      <c r="L246" s="115"/>
      <c r="M246" s="118"/>
      <c r="N246" s="115"/>
      <c r="O246" s="115"/>
      <c r="P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115"/>
      <c r="AQ246" s="115"/>
      <c r="AR246" s="115"/>
      <c r="AS246" s="115"/>
      <c r="AT246" s="115"/>
      <c r="AU246" s="115"/>
      <c r="AV246" s="251"/>
      <c r="AW246" s="251"/>
      <c r="AX246" s="251"/>
      <c r="AY246" s="251"/>
      <c r="AZ246" s="251"/>
      <c r="BA246" s="251"/>
      <c r="BB246" s="251"/>
      <c r="BC246" s="251"/>
      <c r="BD246" s="251"/>
      <c r="BE246" s="251"/>
      <c r="BF246" s="251"/>
      <c r="BG246" s="251"/>
      <c r="BH246" s="252"/>
      <c r="BI246" s="251"/>
      <c r="BJ246" s="251"/>
      <c r="BK246" s="251"/>
      <c r="BL246" s="251"/>
      <c r="BM246" s="115"/>
      <c r="BN246" s="115"/>
      <c r="BO246" s="115"/>
      <c r="BP246" s="116"/>
      <c r="BQ246" s="116"/>
      <c r="BR246" s="251"/>
      <c r="BS246" s="251"/>
      <c r="BT246" s="251"/>
      <c r="BU246" s="251"/>
      <c r="BV246" s="251"/>
      <c r="BW246" s="251"/>
      <c r="BX246" s="251"/>
      <c r="BY246" s="251"/>
      <c r="BZ246" s="115"/>
      <c r="CA246" s="115"/>
      <c r="CB246" s="115"/>
    </row>
    <row r="247" spans="1:80" s="117" customFormat="1">
      <c r="A247" s="119"/>
      <c r="B247" s="119"/>
      <c r="C247" s="115"/>
      <c r="D247" s="115"/>
      <c r="E247" s="115"/>
      <c r="F247" s="115"/>
      <c r="G247" s="252"/>
      <c r="H247" s="252"/>
      <c r="J247" s="115"/>
      <c r="K247" s="115"/>
      <c r="L247" s="115"/>
      <c r="M247" s="118"/>
      <c r="N247" s="115"/>
      <c r="O247" s="115"/>
      <c r="P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115"/>
      <c r="AQ247" s="115"/>
      <c r="AR247" s="115"/>
      <c r="AS247" s="115"/>
      <c r="AT247" s="115"/>
      <c r="AU247" s="115"/>
      <c r="AV247" s="251"/>
      <c r="AW247" s="251"/>
      <c r="AX247" s="251"/>
      <c r="AY247" s="251"/>
      <c r="AZ247" s="251"/>
      <c r="BA247" s="251"/>
      <c r="BB247" s="251"/>
      <c r="BC247" s="251"/>
      <c r="BD247" s="251"/>
      <c r="BE247" s="251"/>
      <c r="BF247" s="251"/>
      <c r="BG247" s="251"/>
      <c r="BH247" s="252"/>
      <c r="BI247" s="251"/>
      <c r="BJ247" s="251"/>
      <c r="BK247" s="251"/>
      <c r="BL247" s="251"/>
      <c r="BM247" s="115"/>
      <c r="BN247" s="115"/>
      <c r="BO247" s="115"/>
      <c r="BP247" s="116"/>
      <c r="BQ247" s="116"/>
      <c r="BR247" s="251"/>
      <c r="BS247" s="251"/>
      <c r="BT247" s="251"/>
      <c r="BU247" s="251"/>
      <c r="BV247" s="251"/>
      <c r="BW247" s="251"/>
      <c r="BX247" s="251"/>
      <c r="BY247" s="251"/>
      <c r="BZ247" s="115"/>
      <c r="CA247" s="115"/>
      <c r="CB247" s="115"/>
    </row>
    <row r="248" spans="1:80" s="117" customFormat="1">
      <c r="A248" s="119"/>
      <c r="B248" s="119"/>
      <c r="C248" s="115"/>
      <c r="D248" s="115"/>
      <c r="E248" s="115"/>
      <c r="F248" s="115"/>
      <c r="G248" s="252"/>
      <c r="H248" s="252"/>
      <c r="J248" s="115"/>
      <c r="K248" s="115"/>
      <c r="L248" s="115"/>
      <c r="M248" s="118"/>
      <c r="N248" s="115"/>
      <c r="O248" s="115"/>
      <c r="P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15"/>
      <c r="AO248" s="115"/>
      <c r="AP248" s="115"/>
      <c r="AQ248" s="115"/>
      <c r="AR248" s="115"/>
      <c r="AS248" s="115"/>
      <c r="AT248" s="115"/>
      <c r="AU248" s="115"/>
      <c r="AV248" s="251"/>
      <c r="AW248" s="251"/>
      <c r="AX248" s="251"/>
      <c r="AY248" s="251"/>
      <c r="AZ248" s="251"/>
      <c r="BA248" s="251"/>
      <c r="BB248" s="251"/>
      <c r="BC248" s="251"/>
      <c r="BD248" s="251"/>
      <c r="BE248" s="251"/>
      <c r="BF248" s="251"/>
      <c r="BG248" s="251"/>
      <c r="BH248" s="252"/>
      <c r="BI248" s="251"/>
      <c r="BJ248" s="251"/>
      <c r="BK248" s="251"/>
      <c r="BL248" s="251"/>
      <c r="BM248" s="115"/>
      <c r="BN248" s="115"/>
      <c r="BO248" s="115"/>
      <c r="BP248" s="116"/>
      <c r="BQ248" s="116"/>
      <c r="BR248" s="251"/>
      <c r="BS248" s="251"/>
      <c r="BT248" s="251"/>
      <c r="BU248" s="251"/>
      <c r="BV248" s="251"/>
      <c r="BW248" s="251"/>
      <c r="BX248" s="251"/>
      <c r="BY248" s="251"/>
      <c r="BZ248" s="115"/>
      <c r="CA248" s="115"/>
      <c r="CB248" s="115"/>
    </row>
    <row r="249" spans="1:80" s="117" customFormat="1">
      <c r="A249" s="119"/>
      <c r="B249" s="119"/>
      <c r="C249" s="115"/>
      <c r="D249" s="115"/>
      <c r="E249" s="115"/>
      <c r="F249" s="115"/>
      <c r="G249" s="252"/>
      <c r="H249" s="252"/>
      <c r="J249" s="115"/>
      <c r="K249" s="115"/>
      <c r="L249" s="115"/>
      <c r="M249" s="118"/>
      <c r="N249" s="115"/>
      <c r="O249" s="115"/>
      <c r="P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115"/>
      <c r="AR249" s="115"/>
      <c r="AS249" s="115"/>
      <c r="AT249" s="115"/>
      <c r="AU249" s="115"/>
      <c r="AV249" s="251"/>
      <c r="AW249" s="251"/>
      <c r="AX249" s="251"/>
      <c r="AY249" s="251"/>
      <c r="AZ249" s="251"/>
      <c r="BA249" s="251"/>
      <c r="BB249" s="251"/>
      <c r="BC249" s="251"/>
      <c r="BD249" s="251"/>
      <c r="BE249" s="251"/>
      <c r="BF249" s="251"/>
      <c r="BG249" s="251"/>
      <c r="BH249" s="252"/>
      <c r="BI249" s="251"/>
      <c r="BJ249" s="251"/>
      <c r="BK249" s="251"/>
      <c r="BL249" s="251"/>
      <c r="BM249" s="115"/>
      <c r="BN249" s="115"/>
      <c r="BO249" s="115"/>
      <c r="BP249" s="116"/>
      <c r="BQ249" s="116"/>
      <c r="BR249" s="251"/>
      <c r="BS249" s="251"/>
      <c r="BT249" s="251"/>
      <c r="BU249" s="251"/>
      <c r="BV249" s="251"/>
      <c r="BW249" s="251"/>
      <c r="BX249" s="251"/>
      <c r="BY249" s="251"/>
      <c r="BZ249" s="115"/>
      <c r="CA249" s="115"/>
      <c r="CB249" s="115"/>
    </row>
    <row r="250" spans="1:80" s="117" customFormat="1">
      <c r="A250" s="119"/>
      <c r="B250" s="119"/>
      <c r="C250" s="115"/>
      <c r="D250" s="115"/>
      <c r="E250" s="115"/>
      <c r="F250" s="115"/>
      <c r="G250" s="252"/>
      <c r="H250" s="252"/>
      <c r="J250" s="115"/>
      <c r="K250" s="115"/>
      <c r="L250" s="115"/>
      <c r="M250" s="118"/>
      <c r="N250" s="115"/>
      <c r="O250" s="115"/>
      <c r="P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15"/>
      <c r="AM250" s="115"/>
      <c r="AN250" s="115"/>
      <c r="AO250" s="115"/>
      <c r="AP250" s="115"/>
      <c r="AQ250" s="115"/>
      <c r="AR250" s="115"/>
      <c r="AS250" s="115"/>
      <c r="AT250" s="115"/>
      <c r="AU250" s="115"/>
      <c r="AV250" s="251"/>
      <c r="AW250" s="251"/>
      <c r="AX250" s="251"/>
      <c r="AY250" s="251"/>
      <c r="AZ250" s="251"/>
      <c r="BA250" s="251"/>
      <c r="BB250" s="251"/>
      <c r="BC250" s="251"/>
      <c r="BD250" s="251"/>
      <c r="BE250" s="251"/>
      <c r="BF250" s="251"/>
      <c r="BG250" s="251"/>
      <c r="BH250" s="252"/>
      <c r="BI250" s="251"/>
      <c r="BJ250" s="251"/>
      <c r="BK250" s="251"/>
      <c r="BL250" s="251"/>
      <c r="BM250" s="115"/>
      <c r="BN250" s="115"/>
      <c r="BO250" s="115"/>
      <c r="BP250" s="116"/>
      <c r="BQ250" s="116"/>
      <c r="BR250" s="251"/>
      <c r="BS250" s="251"/>
      <c r="BT250" s="251"/>
      <c r="BU250" s="251"/>
      <c r="BV250" s="251"/>
      <c r="BW250" s="251"/>
      <c r="BX250" s="251"/>
      <c r="BY250" s="251"/>
      <c r="BZ250" s="115"/>
      <c r="CA250" s="115"/>
      <c r="CB250" s="115"/>
    </row>
    <row r="251" spans="1:80" s="117" customFormat="1">
      <c r="A251" s="119"/>
      <c r="B251" s="119"/>
      <c r="C251" s="115"/>
      <c r="D251" s="115"/>
      <c r="E251" s="115"/>
      <c r="F251" s="115"/>
      <c r="G251" s="252"/>
      <c r="H251" s="252"/>
      <c r="J251" s="115"/>
      <c r="K251" s="115"/>
      <c r="L251" s="115"/>
      <c r="M251" s="118"/>
      <c r="N251" s="115"/>
      <c r="O251" s="115"/>
      <c r="P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15"/>
      <c r="AM251" s="115"/>
      <c r="AN251" s="115"/>
      <c r="AO251" s="115"/>
      <c r="AP251" s="115"/>
      <c r="AQ251" s="115"/>
      <c r="AR251" s="115"/>
      <c r="AS251" s="115"/>
      <c r="AT251" s="115"/>
      <c r="AU251" s="115"/>
      <c r="AV251" s="251"/>
      <c r="AW251" s="251"/>
      <c r="AX251" s="251"/>
      <c r="AY251" s="251"/>
      <c r="AZ251" s="251"/>
      <c r="BA251" s="251"/>
      <c r="BB251" s="251"/>
      <c r="BC251" s="251"/>
      <c r="BD251" s="251"/>
      <c r="BE251" s="251"/>
      <c r="BF251" s="251"/>
      <c r="BG251" s="251"/>
      <c r="BH251" s="252"/>
      <c r="BI251" s="251"/>
      <c r="BJ251" s="251"/>
      <c r="BK251" s="251"/>
      <c r="BL251" s="251"/>
      <c r="BM251" s="115"/>
      <c r="BN251" s="115"/>
      <c r="BO251" s="115"/>
      <c r="BP251" s="116"/>
      <c r="BQ251" s="116"/>
      <c r="BR251" s="251"/>
      <c r="BS251" s="251"/>
      <c r="BT251" s="251"/>
      <c r="BU251" s="251"/>
      <c r="BV251" s="251"/>
      <c r="BW251" s="251"/>
      <c r="BX251" s="251"/>
      <c r="BY251" s="251"/>
      <c r="BZ251" s="115"/>
      <c r="CA251" s="115"/>
      <c r="CB251" s="115"/>
    </row>
    <row r="252" spans="1:80" s="117" customFormat="1">
      <c r="A252" s="119"/>
      <c r="B252" s="119"/>
      <c r="C252" s="115"/>
      <c r="D252" s="115"/>
      <c r="E252" s="115"/>
      <c r="F252" s="115"/>
      <c r="G252" s="252"/>
      <c r="H252" s="252"/>
      <c r="J252" s="115"/>
      <c r="K252" s="115"/>
      <c r="L252" s="115"/>
      <c r="M252" s="118"/>
      <c r="N252" s="115"/>
      <c r="O252" s="115"/>
      <c r="P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115"/>
      <c r="AN252" s="115"/>
      <c r="AO252" s="115"/>
      <c r="AP252" s="115"/>
      <c r="AQ252" s="115"/>
      <c r="AR252" s="115"/>
      <c r="AS252" s="115"/>
      <c r="AT252" s="115"/>
      <c r="AU252" s="115"/>
      <c r="AV252" s="251"/>
      <c r="AW252" s="251"/>
      <c r="AX252" s="251"/>
      <c r="AY252" s="251"/>
      <c r="AZ252" s="251"/>
      <c r="BA252" s="251"/>
      <c r="BB252" s="251"/>
      <c r="BC252" s="251"/>
      <c r="BD252" s="251"/>
      <c r="BE252" s="251"/>
      <c r="BF252" s="251"/>
      <c r="BG252" s="251"/>
      <c r="BH252" s="252"/>
      <c r="BI252" s="251"/>
      <c r="BJ252" s="251"/>
      <c r="BK252" s="251"/>
      <c r="BL252" s="251"/>
      <c r="BM252" s="115"/>
      <c r="BN252" s="115"/>
      <c r="BO252" s="115"/>
      <c r="BP252" s="116"/>
      <c r="BQ252" s="116"/>
      <c r="BR252" s="251"/>
      <c r="BS252" s="251"/>
      <c r="BT252" s="251"/>
      <c r="BU252" s="251"/>
      <c r="BV252" s="251"/>
      <c r="BW252" s="251"/>
      <c r="BX252" s="251"/>
      <c r="BY252" s="251"/>
      <c r="BZ252" s="115"/>
      <c r="CA252" s="115"/>
      <c r="CB252" s="115"/>
    </row>
    <row r="253" spans="1:80" s="117" customFormat="1">
      <c r="A253" s="119"/>
      <c r="B253" s="119"/>
      <c r="C253" s="115"/>
      <c r="D253" s="115"/>
      <c r="E253" s="115"/>
      <c r="F253" s="115"/>
      <c r="G253" s="252"/>
      <c r="H253" s="252"/>
      <c r="J253" s="115"/>
      <c r="K253" s="115"/>
      <c r="L253" s="115"/>
      <c r="M253" s="118"/>
      <c r="N253" s="115"/>
      <c r="O253" s="115"/>
      <c r="P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115"/>
      <c r="AM253" s="115"/>
      <c r="AN253" s="115"/>
      <c r="AO253" s="115"/>
      <c r="AP253" s="115"/>
      <c r="AQ253" s="115"/>
      <c r="AR253" s="115"/>
      <c r="AS253" s="115"/>
      <c r="AT253" s="115"/>
      <c r="AU253" s="115"/>
      <c r="AV253" s="251"/>
      <c r="AW253" s="251"/>
      <c r="AX253" s="251"/>
      <c r="AY253" s="251"/>
      <c r="AZ253" s="251"/>
      <c r="BA253" s="251"/>
      <c r="BB253" s="251"/>
      <c r="BC253" s="251"/>
      <c r="BD253" s="251"/>
      <c r="BE253" s="251"/>
      <c r="BF253" s="251"/>
      <c r="BG253" s="251"/>
      <c r="BH253" s="252"/>
      <c r="BI253" s="251"/>
      <c r="BJ253" s="251"/>
      <c r="BK253" s="251"/>
      <c r="BL253" s="251"/>
      <c r="BM253" s="115"/>
      <c r="BN253" s="115"/>
      <c r="BO253" s="115"/>
      <c r="BP253" s="116"/>
      <c r="BQ253" s="116"/>
      <c r="BR253" s="251"/>
      <c r="BS253" s="251"/>
      <c r="BT253" s="251"/>
      <c r="BU253" s="251"/>
      <c r="BV253" s="251"/>
      <c r="BW253" s="251"/>
      <c r="BX253" s="251"/>
      <c r="BY253" s="251"/>
      <c r="BZ253" s="115"/>
      <c r="CA253" s="115"/>
      <c r="CB253" s="115"/>
    </row>
    <row r="254" spans="1:80" s="117" customFormat="1">
      <c r="A254" s="119"/>
      <c r="B254" s="119"/>
      <c r="C254" s="115"/>
      <c r="D254" s="115"/>
      <c r="E254" s="115"/>
      <c r="F254" s="115"/>
      <c r="G254" s="252"/>
      <c r="H254" s="252"/>
      <c r="J254" s="115"/>
      <c r="K254" s="115"/>
      <c r="L254" s="115"/>
      <c r="M254" s="118"/>
      <c r="N254" s="115"/>
      <c r="O254" s="115"/>
      <c r="P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15"/>
      <c r="AM254" s="115"/>
      <c r="AN254" s="115"/>
      <c r="AO254" s="115"/>
      <c r="AP254" s="115"/>
      <c r="AQ254" s="115"/>
      <c r="AR254" s="115"/>
      <c r="AS254" s="115"/>
      <c r="AT254" s="115"/>
      <c r="AU254" s="115"/>
      <c r="AV254" s="251"/>
      <c r="AW254" s="251"/>
      <c r="AX254" s="251"/>
      <c r="AY254" s="251"/>
      <c r="AZ254" s="251"/>
      <c r="BA254" s="251"/>
      <c r="BB254" s="251"/>
      <c r="BC254" s="251"/>
      <c r="BD254" s="251"/>
      <c r="BE254" s="251"/>
      <c r="BF254" s="251"/>
      <c r="BG254" s="251"/>
      <c r="BH254" s="252"/>
      <c r="BI254" s="251"/>
      <c r="BJ254" s="251"/>
      <c r="BK254" s="251"/>
      <c r="BL254" s="251"/>
      <c r="BM254" s="115"/>
      <c r="BN254" s="115"/>
      <c r="BO254" s="115"/>
      <c r="BP254" s="116"/>
      <c r="BQ254" s="116"/>
      <c r="BR254" s="251"/>
      <c r="BS254" s="251"/>
      <c r="BT254" s="251"/>
      <c r="BU254" s="251"/>
      <c r="BV254" s="251"/>
      <c r="BW254" s="251"/>
      <c r="BX254" s="251"/>
      <c r="BY254" s="251"/>
      <c r="BZ254" s="115"/>
      <c r="CA254" s="115"/>
      <c r="CB254" s="115"/>
    </row>
    <row r="255" spans="1:80" s="117" customFormat="1">
      <c r="A255" s="119"/>
      <c r="B255" s="119"/>
      <c r="C255" s="115"/>
      <c r="D255" s="115"/>
      <c r="E255" s="115"/>
      <c r="F255" s="115"/>
      <c r="G255" s="252"/>
      <c r="H255" s="252"/>
      <c r="J255" s="115"/>
      <c r="K255" s="115"/>
      <c r="L255" s="115"/>
      <c r="M255" s="118"/>
      <c r="N255" s="115"/>
      <c r="O255" s="115"/>
      <c r="P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115"/>
      <c r="AO255" s="115"/>
      <c r="AP255" s="115"/>
      <c r="AQ255" s="115"/>
      <c r="AR255" s="115"/>
      <c r="AS255" s="115"/>
      <c r="AT255" s="115"/>
      <c r="AU255" s="115"/>
      <c r="AV255" s="251"/>
      <c r="AW255" s="251"/>
      <c r="AX255" s="251"/>
      <c r="AY255" s="251"/>
      <c r="AZ255" s="251"/>
      <c r="BA255" s="251"/>
      <c r="BB255" s="251"/>
      <c r="BC255" s="251"/>
      <c r="BD255" s="251"/>
      <c r="BE255" s="251"/>
      <c r="BF255" s="251"/>
      <c r="BG255" s="251"/>
      <c r="BH255" s="252"/>
      <c r="BI255" s="251"/>
      <c r="BJ255" s="251"/>
      <c r="BK255" s="251"/>
      <c r="BL255" s="251"/>
      <c r="BM255" s="115"/>
      <c r="BN255" s="115"/>
      <c r="BO255" s="115"/>
      <c r="BP255" s="116"/>
      <c r="BQ255" s="116"/>
      <c r="BR255" s="251"/>
      <c r="BS255" s="251"/>
      <c r="BT255" s="251"/>
      <c r="BU255" s="251"/>
      <c r="BV255" s="251"/>
      <c r="BW255" s="251"/>
      <c r="BX255" s="251"/>
      <c r="BY255" s="251"/>
      <c r="BZ255" s="115"/>
      <c r="CA255" s="115"/>
      <c r="CB255" s="115"/>
    </row>
    <row r="256" spans="1:80" s="117" customFormat="1">
      <c r="A256" s="119"/>
      <c r="B256" s="119"/>
      <c r="C256" s="115"/>
      <c r="D256" s="115"/>
      <c r="E256" s="115"/>
      <c r="F256" s="115"/>
      <c r="G256" s="252"/>
      <c r="H256" s="252"/>
      <c r="J256" s="115"/>
      <c r="K256" s="115"/>
      <c r="L256" s="115"/>
      <c r="M256" s="118"/>
      <c r="N256" s="115"/>
      <c r="O256" s="115"/>
      <c r="P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115"/>
      <c r="AM256" s="115"/>
      <c r="AN256" s="115"/>
      <c r="AO256" s="115"/>
      <c r="AP256" s="115"/>
      <c r="AQ256" s="115"/>
      <c r="AR256" s="115"/>
      <c r="AS256" s="115"/>
      <c r="AT256" s="115"/>
      <c r="AU256" s="115"/>
      <c r="AV256" s="251"/>
      <c r="AW256" s="251"/>
      <c r="AX256" s="251"/>
      <c r="AY256" s="251"/>
      <c r="AZ256" s="251"/>
      <c r="BA256" s="251"/>
      <c r="BB256" s="251"/>
      <c r="BC256" s="251"/>
      <c r="BD256" s="251"/>
      <c r="BE256" s="251"/>
      <c r="BF256" s="251"/>
      <c r="BG256" s="251"/>
      <c r="BH256" s="252"/>
      <c r="BI256" s="251"/>
      <c r="BJ256" s="251"/>
      <c r="BK256" s="251"/>
      <c r="BL256" s="251"/>
      <c r="BM256" s="115"/>
      <c r="BN256" s="115"/>
      <c r="BO256" s="115"/>
      <c r="BP256" s="116"/>
      <c r="BQ256" s="116"/>
      <c r="BR256" s="251"/>
      <c r="BS256" s="251"/>
      <c r="BT256" s="251"/>
      <c r="BU256" s="251"/>
      <c r="BV256" s="251"/>
      <c r="BW256" s="251"/>
      <c r="BX256" s="251"/>
      <c r="BY256" s="251"/>
      <c r="BZ256" s="115"/>
      <c r="CA256" s="115"/>
      <c r="CB256" s="115"/>
    </row>
    <row r="257" spans="1:80" s="117" customFormat="1">
      <c r="A257" s="119"/>
      <c r="B257" s="119"/>
      <c r="C257" s="115"/>
      <c r="D257" s="115"/>
      <c r="E257" s="115"/>
      <c r="F257" s="115"/>
      <c r="G257" s="252"/>
      <c r="H257" s="252"/>
      <c r="J257" s="115"/>
      <c r="K257" s="115"/>
      <c r="L257" s="115"/>
      <c r="M257" s="118"/>
      <c r="N257" s="115"/>
      <c r="O257" s="115"/>
      <c r="P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115"/>
      <c r="AO257" s="115"/>
      <c r="AP257" s="115"/>
      <c r="AQ257" s="115"/>
      <c r="AR257" s="115"/>
      <c r="AS257" s="115"/>
      <c r="AT257" s="115"/>
      <c r="AU257" s="115"/>
      <c r="AV257" s="251"/>
      <c r="AW257" s="251"/>
      <c r="AX257" s="251"/>
      <c r="AY257" s="251"/>
      <c r="AZ257" s="251"/>
      <c r="BA257" s="251"/>
      <c r="BB257" s="251"/>
      <c r="BC257" s="251"/>
      <c r="BD257" s="251"/>
      <c r="BE257" s="251"/>
      <c r="BF257" s="251"/>
      <c r="BG257" s="251"/>
      <c r="BH257" s="252"/>
      <c r="BI257" s="251"/>
      <c r="BJ257" s="251"/>
      <c r="BK257" s="251"/>
      <c r="BL257" s="251"/>
      <c r="BM257" s="115"/>
      <c r="BN257" s="115"/>
      <c r="BO257" s="115"/>
      <c r="BP257" s="116"/>
      <c r="BQ257" s="116"/>
      <c r="BR257" s="251"/>
      <c r="BS257" s="251"/>
      <c r="BT257" s="251"/>
      <c r="BU257" s="251"/>
      <c r="BV257" s="251"/>
      <c r="BW257" s="251"/>
      <c r="BX257" s="251"/>
      <c r="BY257" s="251"/>
      <c r="BZ257" s="115"/>
      <c r="CA257" s="115"/>
      <c r="CB257" s="115"/>
    </row>
    <row r="656" spans="1:80" s="251" customFormat="1">
      <c r="A656" s="119"/>
      <c r="B656" s="119"/>
      <c r="C656" s="115"/>
      <c r="D656" s="115"/>
      <c r="E656" s="115"/>
      <c r="F656" s="115"/>
      <c r="G656" s="252"/>
      <c r="H656" s="252"/>
      <c r="I656" s="117"/>
      <c r="J656" s="115"/>
      <c r="K656" s="115"/>
      <c r="L656" s="115"/>
      <c r="M656" s="118"/>
      <c r="N656" s="115"/>
      <c r="O656" s="115"/>
      <c r="P656" s="115"/>
      <c r="Q656" s="117"/>
      <c r="R656" s="117"/>
      <c r="S656" s="117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115"/>
      <c r="BH656" s="252"/>
      <c r="BM656" s="115"/>
      <c r="BN656" s="115"/>
      <c r="BO656" s="115"/>
      <c r="BP656" s="116"/>
      <c r="BQ656" s="116"/>
      <c r="BZ656" s="115"/>
      <c r="CA656" s="115"/>
      <c r="CB656" s="115"/>
    </row>
    <row r="657" spans="1:80" s="251" customFormat="1">
      <c r="A657" s="119"/>
      <c r="B657" s="119"/>
      <c r="C657" s="115"/>
      <c r="D657" s="115"/>
      <c r="E657" s="115"/>
      <c r="F657" s="115"/>
      <c r="G657" s="252"/>
      <c r="H657" s="252"/>
      <c r="I657" s="117"/>
      <c r="J657" s="115"/>
      <c r="K657" s="115"/>
      <c r="L657" s="115"/>
      <c r="M657" s="118"/>
      <c r="N657" s="115"/>
      <c r="O657" s="115"/>
      <c r="P657" s="115"/>
      <c r="Q657" s="117"/>
      <c r="R657" s="117"/>
      <c r="S657" s="117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15"/>
      <c r="BH657" s="252"/>
      <c r="BM657" s="115"/>
      <c r="BN657" s="115"/>
      <c r="BO657" s="115"/>
      <c r="BP657" s="116"/>
      <c r="BQ657" s="116"/>
      <c r="BZ657" s="115"/>
      <c r="CA657" s="115"/>
      <c r="CB657" s="115"/>
    </row>
  </sheetData>
  <mergeCells count="52">
    <mergeCell ref="BW1:BW2"/>
    <mergeCell ref="BX1:BX2"/>
    <mergeCell ref="BY1:BY2"/>
    <mergeCell ref="BZ1:BZ2"/>
    <mergeCell ref="BP1:BP2"/>
    <mergeCell ref="BR1:BR2"/>
    <mergeCell ref="BS1:BS2"/>
    <mergeCell ref="BT1:BT2"/>
    <mergeCell ref="BU1:BU2"/>
    <mergeCell ref="BV1:BV2"/>
    <mergeCell ref="BO1:BO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C1:BC2"/>
    <mergeCell ref="W1:X1"/>
    <mergeCell ref="Y1:Z1"/>
    <mergeCell ref="AC1:AG1"/>
    <mergeCell ref="AH1:AU1"/>
    <mergeCell ref="AV1:AV2"/>
    <mergeCell ref="AW1:AW2"/>
    <mergeCell ref="AX1:AX2"/>
    <mergeCell ref="AY1:AY2"/>
    <mergeCell ref="AZ1:AZ2"/>
    <mergeCell ref="BA1:BA2"/>
    <mergeCell ref="BB1:BB2"/>
    <mergeCell ref="T1:V1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G1:G2"/>
    <mergeCell ref="A1:A2"/>
    <mergeCell ref="B1:B2"/>
    <mergeCell ref="C1:C2"/>
    <mergeCell ref="D1:D2"/>
    <mergeCell ref="E1:F2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Z392"/>
  <sheetViews>
    <sheetView topLeftCell="A376" zoomScaleNormal="100" workbookViewId="0">
      <selection activeCell="A3" sqref="A3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1.44140625" style="56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16384" width="9.33203125" style="39"/>
  </cols>
  <sheetData>
    <row r="2" spans="2:52">
      <c r="B2" s="28" t="s">
        <v>2</v>
      </c>
      <c r="C2" s="28"/>
      <c r="D2" s="29"/>
      <c r="E2" s="30" t="s">
        <v>511</v>
      </c>
      <c r="F2" s="31" t="s">
        <v>337</v>
      </c>
      <c r="G2" s="32"/>
      <c r="H2" s="33"/>
      <c r="I2" s="34"/>
      <c r="J2" s="35" t="s">
        <v>513</v>
      </c>
      <c r="K2" s="36" t="s">
        <v>511</v>
      </c>
      <c r="L2" s="37">
        <v>44957.5625</v>
      </c>
      <c r="M2" s="32"/>
      <c r="N2" s="32"/>
      <c r="O2" s="206"/>
      <c r="P2" s="205"/>
      <c r="Q2" s="202"/>
      <c r="R2" s="204"/>
      <c r="S2" s="38"/>
      <c r="T2" s="201"/>
      <c r="U2" s="201"/>
      <c r="V2" s="201"/>
      <c r="W2" s="201"/>
      <c r="X2" s="201"/>
      <c r="Y2" s="201"/>
      <c r="Z2" s="201"/>
      <c r="AA2" s="201"/>
      <c r="AB2" s="202"/>
      <c r="AC2" s="202"/>
      <c r="AD2" s="202"/>
      <c r="AE2" s="202"/>
      <c r="AF2" s="202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</row>
    <row r="3" spans="2:52">
      <c r="B3" s="35" t="s">
        <v>514</v>
      </c>
      <c r="C3" s="35"/>
      <c r="D3" s="32"/>
      <c r="E3" s="36" t="s">
        <v>511</v>
      </c>
      <c r="F3" s="37" t="s">
        <v>663</v>
      </c>
      <c r="G3" s="32"/>
      <c r="H3" s="33"/>
      <c r="I3" s="34"/>
      <c r="J3" s="35" t="s">
        <v>516</v>
      </c>
      <c r="K3" s="36" t="s">
        <v>511</v>
      </c>
      <c r="L3" s="37">
        <v>44960.614583333336</v>
      </c>
      <c r="M3" s="32"/>
      <c r="N3" s="32"/>
      <c r="O3" s="206"/>
      <c r="P3" s="205"/>
      <c r="Q3" s="202"/>
      <c r="R3" s="204"/>
      <c r="S3" s="38"/>
      <c r="T3" s="201"/>
      <c r="U3" s="201"/>
      <c r="V3" s="201"/>
      <c r="W3" s="201"/>
      <c r="X3" s="201"/>
      <c r="Y3" s="201"/>
      <c r="Z3" s="201"/>
      <c r="AA3" s="201"/>
      <c r="AB3" s="202"/>
      <c r="AC3" s="202"/>
      <c r="AD3" s="202"/>
      <c r="AE3" s="202"/>
      <c r="AF3" s="202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</row>
    <row r="4" spans="2:52">
      <c r="B4" s="35" t="s">
        <v>517</v>
      </c>
      <c r="C4" s="35"/>
      <c r="D4" s="32"/>
      <c r="E4" s="36" t="s">
        <v>511</v>
      </c>
      <c r="F4" s="37">
        <v>44949.722222222219</v>
      </c>
      <c r="G4" s="32"/>
      <c r="H4" s="33"/>
      <c r="I4" s="34"/>
      <c r="J4" s="35" t="s">
        <v>518</v>
      </c>
      <c r="K4" s="36" t="s">
        <v>511</v>
      </c>
      <c r="L4" s="50">
        <v>79500</v>
      </c>
      <c r="M4" s="40" t="s">
        <v>519</v>
      </c>
      <c r="N4" s="40"/>
      <c r="O4" s="206"/>
      <c r="P4" s="205"/>
      <c r="Q4" s="202"/>
      <c r="R4" s="204"/>
      <c r="S4" s="38"/>
      <c r="T4" s="201"/>
      <c r="U4" s="201"/>
      <c r="V4" s="201"/>
      <c r="W4" s="201"/>
      <c r="X4" s="201"/>
      <c r="Y4" s="201"/>
      <c r="Z4" s="201"/>
      <c r="AA4" s="201"/>
      <c r="AB4" s="202"/>
      <c r="AC4" s="202"/>
      <c r="AD4" s="202"/>
      <c r="AE4" s="202"/>
      <c r="AF4" s="202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</row>
    <row r="5" spans="2:52">
      <c r="B5" s="35" t="s">
        <v>520</v>
      </c>
      <c r="C5" s="35"/>
      <c r="D5" s="32"/>
      <c r="E5" s="36" t="s">
        <v>511</v>
      </c>
      <c r="F5" s="37" t="s">
        <v>4</v>
      </c>
      <c r="G5" s="32"/>
      <c r="H5" s="33"/>
      <c r="I5" s="34"/>
      <c r="J5" s="35" t="s">
        <v>521</v>
      </c>
      <c r="K5" s="36" t="s">
        <v>511</v>
      </c>
      <c r="L5" s="41" t="s">
        <v>866</v>
      </c>
      <c r="M5" s="32"/>
      <c r="N5" s="32"/>
      <c r="O5" s="206"/>
      <c r="P5" s="202"/>
      <c r="Q5" s="202"/>
      <c r="R5" s="204"/>
      <c r="S5" s="38"/>
      <c r="T5" s="201"/>
      <c r="U5" s="201"/>
      <c r="V5" s="201"/>
      <c r="W5" s="201"/>
      <c r="X5" s="201"/>
      <c r="Y5" s="201"/>
      <c r="Z5" s="201"/>
      <c r="AA5" s="201"/>
      <c r="AB5" s="202"/>
      <c r="AC5" s="202"/>
      <c r="AD5" s="202"/>
      <c r="AE5" s="202"/>
      <c r="AF5" s="202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</row>
    <row r="6" spans="2:52">
      <c r="B6" s="35" t="s">
        <v>523</v>
      </c>
      <c r="C6" s="35"/>
      <c r="D6" s="32"/>
      <c r="E6" s="36" t="s">
        <v>511</v>
      </c>
      <c r="F6" s="37" t="s">
        <v>5</v>
      </c>
      <c r="G6" s="32"/>
      <c r="H6" s="33"/>
      <c r="I6" s="34"/>
      <c r="J6" s="42" t="s">
        <v>524</v>
      </c>
      <c r="K6" s="36" t="s">
        <v>511</v>
      </c>
      <c r="L6" s="43" t="s">
        <v>15</v>
      </c>
      <c r="M6" s="44"/>
      <c r="N6" s="44"/>
      <c r="O6" s="206"/>
      <c r="P6" s="205"/>
      <c r="Q6" s="202"/>
      <c r="R6" s="204"/>
      <c r="S6" s="38"/>
      <c r="T6" s="201"/>
      <c r="U6" s="201"/>
      <c r="V6" s="201"/>
      <c r="W6" s="201"/>
      <c r="X6" s="201"/>
      <c r="Y6" s="201"/>
      <c r="Z6" s="201"/>
      <c r="AA6" s="201"/>
      <c r="AB6" s="202"/>
      <c r="AC6" s="202"/>
      <c r="AD6" s="202"/>
      <c r="AE6" s="202"/>
      <c r="AF6" s="202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</row>
    <row r="7" spans="2:52">
      <c r="B7" s="35" t="s">
        <v>2</v>
      </c>
      <c r="C7" s="35"/>
      <c r="D7" s="32"/>
      <c r="E7" s="36" t="s">
        <v>511</v>
      </c>
      <c r="F7" s="37" t="s">
        <v>6</v>
      </c>
      <c r="G7" s="32"/>
      <c r="H7" s="33"/>
      <c r="I7" s="45"/>
      <c r="J7" s="42"/>
      <c r="K7" s="36"/>
      <c r="L7" s="211"/>
      <c r="M7" s="201"/>
      <c r="N7" s="201"/>
      <c r="O7" s="42"/>
      <c r="P7" s="44"/>
      <c r="Q7" s="44"/>
      <c r="R7" s="44"/>
      <c r="S7" s="34"/>
      <c r="T7" s="201"/>
      <c r="U7" s="201"/>
      <c r="V7" s="201"/>
      <c r="W7" s="201"/>
      <c r="X7" s="201"/>
      <c r="Y7" s="201"/>
      <c r="Z7" s="201"/>
      <c r="AA7" s="201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</row>
    <row r="8" spans="2:52">
      <c r="B8" s="201"/>
      <c r="C8" s="201"/>
      <c r="D8" s="201"/>
      <c r="E8" s="201"/>
      <c r="F8" s="201"/>
      <c r="G8" s="201"/>
      <c r="H8" s="201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65" t="s">
        <v>87</v>
      </c>
      <c r="U8" s="1265"/>
      <c r="V8" s="1265"/>
      <c r="W8" s="1265"/>
      <c r="X8" s="1265"/>
      <c r="Y8" s="1265" t="s">
        <v>73</v>
      </c>
      <c r="Z8" s="1265"/>
      <c r="AA8" s="1265"/>
      <c r="AB8" s="1265" t="s">
        <v>74</v>
      </c>
      <c r="AC8" s="1265"/>
      <c r="AD8" s="423" t="s">
        <v>85</v>
      </c>
      <c r="AE8" s="423" t="s">
        <v>77</v>
      </c>
      <c r="AF8" s="1265" t="s">
        <v>525</v>
      </c>
      <c r="AG8" s="1265"/>
      <c r="AH8" s="1265"/>
      <c r="AI8" s="1265"/>
      <c r="AJ8" s="1265"/>
      <c r="AK8" s="1265"/>
      <c r="AL8" s="1265"/>
      <c r="AM8" s="1265"/>
      <c r="AN8" s="1265"/>
      <c r="AO8" s="1265"/>
      <c r="AP8" s="1265"/>
      <c r="AQ8" s="1265"/>
      <c r="AR8" s="1265"/>
      <c r="AS8" s="1265"/>
      <c r="AT8" s="1265"/>
      <c r="AU8" s="1265"/>
      <c r="AV8" s="1265"/>
      <c r="AW8" s="1265"/>
      <c r="AX8" s="1265"/>
      <c r="AY8" s="1265"/>
      <c r="AZ8" s="201"/>
    </row>
    <row r="9" spans="2:52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408" t="str">
        <f>"On time - "&amp;COUNTIF(N10:N32,"On time")&amp;" from "&amp;ROWS(N10:N32)-COUNTIF(N10:N32," ")</f>
        <v>On time - 0 from 12</v>
      </c>
      <c r="O9" s="46"/>
      <c r="P9" s="409" t="s">
        <v>534</v>
      </c>
      <c r="Q9" s="409" t="s">
        <v>535</v>
      </c>
      <c r="R9" s="409" t="s">
        <v>536</v>
      </c>
      <c r="S9" s="32"/>
      <c r="T9" s="424" t="s">
        <v>537</v>
      </c>
      <c r="U9" s="424" t="s">
        <v>538</v>
      </c>
      <c r="V9" s="424" t="s">
        <v>539</v>
      </c>
      <c r="W9" s="424" t="s">
        <v>540</v>
      </c>
      <c r="X9" s="424" t="s">
        <v>541</v>
      </c>
      <c r="Y9" s="424" t="s">
        <v>167</v>
      </c>
      <c r="Z9" s="424" t="s">
        <v>168</v>
      </c>
      <c r="AA9" s="424" t="s">
        <v>169</v>
      </c>
      <c r="AB9" s="424" t="s">
        <v>235</v>
      </c>
      <c r="AC9" s="424" t="s">
        <v>542</v>
      </c>
      <c r="AD9" s="423" t="s">
        <v>85</v>
      </c>
      <c r="AE9" s="424" t="s">
        <v>139</v>
      </c>
      <c r="AF9" s="424" t="s">
        <v>72</v>
      </c>
      <c r="AG9" s="424" t="s">
        <v>88</v>
      </c>
      <c r="AH9" s="424" t="s">
        <v>75</v>
      </c>
      <c r="AI9" s="424" t="s">
        <v>543</v>
      </c>
      <c r="AJ9" s="424" t="s">
        <v>78</v>
      </c>
      <c r="AK9" s="424" t="s">
        <v>76</v>
      </c>
      <c r="AL9" s="424" t="s">
        <v>544</v>
      </c>
      <c r="AM9" s="424" t="s">
        <v>545</v>
      </c>
      <c r="AN9" s="424" t="s">
        <v>86</v>
      </c>
      <c r="AO9" s="424" t="s">
        <v>83</v>
      </c>
      <c r="AP9" s="424" t="s">
        <v>84</v>
      </c>
      <c r="AQ9" s="424" t="s">
        <v>546</v>
      </c>
      <c r="AR9" s="424" t="s">
        <v>81</v>
      </c>
      <c r="AS9" s="424" t="s">
        <v>80</v>
      </c>
      <c r="AT9" s="424" t="s">
        <v>82</v>
      </c>
      <c r="AU9" s="424" t="s">
        <v>181</v>
      </c>
      <c r="AV9" s="424" t="s">
        <v>183</v>
      </c>
      <c r="AW9" s="424" t="s">
        <v>547</v>
      </c>
      <c r="AX9" s="424" t="s">
        <v>182</v>
      </c>
      <c r="AY9" s="424" t="s">
        <v>172</v>
      </c>
      <c r="AZ9" s="201"/>
    </row>
    <row r="10" spans="2:52">
      <c r="B10" s="1256" t="s">
        <v>616</v>
      </c>
      <c r="C10" s="1257"/>
      <c r="D10" s="411" t="s">
        <v>459</v>
      </c>
      <c r="E10" s="411"/>
      <c r="F10" s="411" t="s">
        <v>205</v>
      </c>
      <c r="G10" s="411" t="s">
        <v>206</v>
      </c>
      <c r="H10" s="412">
        <v>7503</v>
      </c>
      <c r="I10" s="413" t="s">
        <v>84</v>
      </c>
      <c r="J10" s="414">
        <v>44953.125</v>
      </c>
      <c r="K10" s="414"/>
      <c r="L10" s="414" t="s">
        <v>192</v>
      </c>
      <c r="M10" s="414" t="s">
        <v>192</v>
      </c>
      <c r="N10" s="413" t="str">
        <f t="shared" ref="N10:N15" si="0">IF(ISBLANK(J10)," ",IF(J10&lt;$F$4,"On time",(IF(DAY(J10-$F$4)&lt;1,"On time",(IF(J10&gt;$F$4,"DELAY ( "&amp;DAY(J10-$F$4)&amp;" day "&amp;HOUR(J10-$F$4)&amp;" hour "&amp;MINUTE(J10-$F$4)&amp;" minute )","xxx"))))))</f>
        <v>DELAY ( 3 day 9 hour 40 minute )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/>
      <c r="AC10" s="416"/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>
        <f>H10</f>
        <v>7503</v>
      </c>
      <c r="AQ10" s="416"/>
      <c r="AR10" s="416"/>
      <c r="AS10" s="416"/>
      <c r="AT10" s="416"/>
      <c r="AU10" s="416"/>
      <c r="AV10" s="416"/>
      <c r="AW10" s="416"/>
      <c r="AX10" s="416"/>
      <c r="AY10" s="416"/>
      <c r="AZ10" s="32"/>
    </row>
    <row r="11" spans="2:52">
      <c r="B11" s="1258" t="s">
        <v>618</v>
      </c>
      <c r="C11" s="1259"/>
      <c r="D11" s="1259"/>
      <c r="E11" s="1259"/>
      <c r="F11" s="1259"/>
      <c r="G11" s="1260"/>
      <c r="H11" s="417">
        <f>SUM(H10)</f>
        <v>7503</v>
      </c>
      <c r="I11" s="390"/>
      <c r="J11" s="366"/>
      <c r="K11" s="366"/>
      <c r="L11" s="366"/>
      <c r="M11" s="391"/>
      <c r="N11" s="413" t="str">
        <f t="shared" si="0"/>
        <v xml:space="preserve"> </v>
      </c>
      <c r="O11" s="212"/>
      <c r="P11" s="427"/>
      <c r="Q11" s="427"/>
      <c r="R11" s="427"/>
      <c r="S11" s="207"/>
      <c r="T11" s="428"/>
      <c r="U11" s="428"/>
      <c r="V11" s="428"/>
      <c r="W11" s="428"/>
      <c r="X11" s="428"/>
      <c r="Y11" s="428"/>
      <c r="Z11" s="428"/>
      <c r="AA11" s="428"/>
      <c r="AB11" s="428"/>
      <c r="AC11" s="429"/>
      <c r="AD11" s="429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428"/>
      <c r="AU11" s="428"/>
      <c r="AV11" s="428"/>
      <c r="AW11" s="428"/>
      <c r="AX11" s="428"/>
      <c r="AY11" s="428"/>
    </row>
    <row r="12" spans="2:52">
      <c r="B12" s="1256" t="s">
        <v>619</v>
      </c>
      <c r="C12" s="1257"/>
      <c r="D12" s="411" t="s">
        <v>379</v>
      </c>
      <c r="E12" s="411"/>
      <c r="F12" s="411" t="s">
        <v>380</v>
      </c>
      <c r="G12" s="411" t="s">
        <v>381</v>
      </c>
      <c r="H12" s="412">
        <v>6354.1080000000002</v>
      </c>
      <c r="I12" s="413" t="s">
        <v>240</v>
      </c>
      <c r="J12" s="414">
        <v>44954.041666666664</v>
      </c>
      <c r="K12" s="414"/>
      <c r="L12" s="414" t="s">
        <v>192</v>
      </c>
      <c r="M12" s="414" t="s">
        <v>192</v>
      </c>
      <c r="N12" s="413" t="str">
        <f t="shared" si="0"/>
        <v>DELAY ( 4 day 7 hour 40 minute )</v>
      </c>
      <c r="O12" s="51"/>
      <c r="P12" s="415" t="s">
        <v>551</v>
      </c>
      <c r="Q12" s="415" t="s">
        <v>551</v>
      </c>
      <c r="R12" s="415" t="s">
        <v>551</v>
      </c>
      <c r="S12" s="32"/>
      <c r="T12" s="416"/>
      <c r="U12" s="416"/>
      <c r="V12" s="416"/>
      <c r="W12" s="416"/>
      <c r="X12" s="416"/>
      <c r="Y12" s="416"/>
      <c r="Z12" s="416"/>
      <c r="AA12" s="416"/>
      <c r="AB12" s="416"/>
      <c r="AC12" s="416">
        <f>H12</f>
        <v>6354.1080000000002</v>
      </c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/>
      <c r="AQ12" s="416"/>
      <c r="AR12" s="416"/>
      <c r="AS12" s="416"/>
      <c r="AT12" s="416"/>
      <c r="AU12" s="416"/>
      <c r="AV12" s="416"/>
      <c r="AW12" s="416"/>
      <c r="AX12" s="416"/>
      <c r="AY12" s="416"/>
      <c r="AZ12" s="32"/>
    </row>
    <row r="13" spans="2:52">
      <c r="B13" s="1250" t="s">
        <v>621</v>
      </c>
      <c r="C13" s="1251"/>
      <c r="D13" s="411" t="s">
        <v>389</v>
      </c>
      <c r="E13" s="411"/>
      <c r="F13" s="411" t="s">
        <v>390</v>
      </c>
      <c r="G13" s="411" t="s">
        <v>391</v>
      </c>
      <c r="H13" s="412">
        <v>7427.05</v>
      </c>
      <c r="I13" s="413" t="s">
        <v>240</v>
      </c>
      <c r="J13" s="414">
        <v>44954.1875</v>
      </c>
      <c r="K13" s="414"/>
      <c r="L13" s="414" t="s">
        <v>192</v>
      </c>
      <c r="M13" s="414" t="s">
        <v>192</v>
      </c>
      <c r="N13" s="413" t="str">
        <f t="shared" si="0"/>
        <v>DELAY ( 4 day 11 hour 10 minute )</v>
      </c>
      <c r="O13" s="51"/>
      <c r="P13" s="415" t="s">
        <v>551</v>
      </c>
      <c r="Q13" s="415" t="s">
        <v>551</v>
      </c>
      <c r="R13" s="415" t="s">
        <v>551</v>
      </c>
      <c r="S13" s="32"/>
      <c r="T13" s="416"/>
      <c r="U13" s="416"/>
      <c r="V13" s="416"/>
      <c r="W13" s="416"/>
      <c r="X13" s="416"/>
      <c r="Y13" s="416"/>
      <c r="Z13" s="416"/>
      <c r="AA13" s="416"/>
      <c r="AB13" s="416"/>
      <c r="AC13" s="416">
        <f>H13</f>
        <v>7427.05</v>
      </c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32"/>
    </row>
    <row r="14" spans="2:52">
      <c r="B14" s="1254"/>
      <c r="C14" s="1255"/>
      <c r="D14" s="411"/>
      <c r="E14" s="411"/>
      <c r="F14" s="1256" t="s">
        <v>616</v>
      </c>
      <c r="G14" s="1257"/>
      <c r="H14" s="412">
        <v>1000</v>
      </c>
      <c r="I14" s="413"/>
      <c r="J14" s="414"/>
      <c r="K14" s="414"/>
      <c r="L14" s="414"/>
      <c r="M14" s="414"/>
      <c r="N14" s="413" t="str">
        <f t="shared" si="0"/>
        <v xml:space="preserve"> </v>
      </c>
      <c r="O14" s="51"/>
      <c r="P14" s="415"/>
      <c r="Q14" s="415"/>
      <c r="R14" s="415"/>
      <c r="S14" s="32"/>
      <c r="T14" s="416"/>
      <c r="U14" s="416"/>
      <c r="V14" s="416"/>
      <c r="W14" s="416"/>
      <c r="X14" s="416"/>
      <c r="Y14" s="416"/>
      <c r="Z14" s="416"/>
      <c r="AA14" s="416"/>
      <c r="AB14" s="416"/>
      <c r="AC14" s="416"/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/>
      <c r="AQ14" s="416"/>
      <c r="AR14" s="416"/>
      <c r="AS14" s="416"/>
      <c r="AT14" s="416"/>
      <c r="AU14" s="416"/>
      <c r="AV14" s="416"/>
      <c r="AW14" s="416"/>
      <c r="AX14" s="416"/>
      <c r="AY14" s="416"/>
      <c r="AZ14" s="32"/>
    </row>
    <row r="15" spans="2:52">
      <c r="B15" s="1250" t="s">
        <v>622</v>
      </c>
      <c r="C15" s="1251"/>
      <c r="D15" s="411" t="s">
        <v>387</v>
      </c>
      <c r="E15" s="411"/>
      <c r="F15" s="411" t="s">
        <v>208</v>
      </c>
      <c r="G15" s="411" t="s">
        <v>328</v>
      </c>
      <c r="H15" s="412">
        <v>6697.7669999999998</v>
      </c>
      <c r="I15" s="413" t="s">
        <v>240</v>
      </c>
      <c r="J15" s="414">
        <v>44954.197916666664</v>
      </c>
      <c r="K15" s="414"/>
      <c r="L15" s="414" t="s">
        <v>192</v>
      </c>
      <c r="M15" s="414" t="s">
        <v>192</v>
      </c>
      <c r="N15" s="413" t="str">
        <f t="shared" si="0"/>
        <v>DELAY ( 4 day 11 hour 25 minute )</v>
      </c>
      <c r="O15" s="51"/>
      <c r="P15" s="415" t="s">
        <v>551</v>
      </c>
      <c r="Q15" s="415" t="s">
        <v>551</v>
      </c>
      <c r="R15" s="415" t="s">
        <v>551</v>
      </c>
      <c r="S15" s="32"/>
      <c r="T15" s="416"/>
      <c r="U15" s="416"/>
      <c r="V15" s="416"/>
      <c r="W15" s="416"/>
      <c r="X15" s="416"/>
      <c r="Y15" s="416"/>
      <c r="Z15" s="416"/>
      <c r="AA15" s="416"/>
      <c r="AB15" s="416"/>
      <c r="AC15" s="416">
        <f>H15</f>
        <v>6697.7669999999998</v>
      </c>
      <c r="AD15" s="416"/>
      <c r="AE15" s="416"/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6"/>
      <c r="AS15" s="416"/>
      <c r="AT15" s="416"/>
      <c r="AU15" s="416"/>
      <c r="AV15" s="416"/>
      <c r="AW15" s="416"/>
      <c r="AX15" s="416"/>
      <c r="AY15" s="416"/>
      <c r="AZ15" s="32"/>
    </row>
    <row r="16" spans="2:52">
      <c r="B16" s="1254"/>
      <c r="C16" s="1255"/>
      <c r="D16" s="411"/>
      <c r="E16" s="411"/>
      <c r="F16" s="1256" t="s">
        <v>616</v>
      </c>
      <c r="G16" s="1257"/>
      <c r="H16" s="412">
        <v>1200</v>
      </c>
      <c r="I16" s="413"/>
      <c r="J16" s="414"/>
      <c r="K16" s="414"/>
      <c r="L16" s="414"/>
      <c r="M16" s="414"/>
      <c r="N16" s="413" t="str">
        <f>IF(ISBLANK(J16)," ",IF(J16&lt;$F$4,"On time",(IF(DAY(J16-$F$4)&lt;1,"On time",(IF(J16&gt;$F$4,"DELAY ( "&amp;DAY(J16-$F$4)&amp;" day "&amp;HOUR(J16-$F$4)&amp;" hour "&amp;MINUTE(J16-$F$4)&amp;" minute )","xxx"))))))</f>
        <v xml:space="preserve"> </v>
      </c>
      <c r="O16" s="51"/>
      <c r="P16" s="415"/>
      <c r="Q16" s="415"/>
      <c r="R16" s="415"/>
      <c r="S16" s="32"/>
      <c r="T16" s="416"/>
      <c r="U16" s="416"/>
      <c r="V16" s="416"/>
      <c r="W16" s="416"/>
      <c r="X16" s="416"/>
      <c r="Y16" s="416"/>
      <c r="Z16" s="416"/>
      <c r="AA16" s="416"/>
      <c r="AB16" s="416"/>
      <c r="AC16" s="416"/>
      <c r="AD16" s="416"/>
      <c r="AE16" s="416"/>
      <c r="AF16" s="416"/>
      <c r="AG16" s="416"/>
      <c r="AH16" s="416"/>
      <c r="AI16" s="416"/>
      <c r="AJ16" s="416"/>
      <c r="AK16" s="416"/>
      <c r="AL16" s="416"/>
      <c r="AM16" s="416"/>
      <c r="AN16" s="416"/>
      <c r="AO16" s="416"/>
      <c r="AP16" s="416"/>
      <c r="AQ16" s="416"/>
      <c r="AR16" s="416"/>
      <c r="AS16" s="416"/>
      <c r="AT16" s="416"/>
      <c r="AU16" s="416"/>
      <c r="AV16" s="416"/>
      <c r="AW16" s="416"/>
      <c r="AX16" s="416"/>
      <c r="AY16" s="416"/>
      <c r="AZ16" s="32"/>
    </row>
    <row r="17" spans="2:52">
      <c r="B17" s="1256" t="s">
        <v>623</v>
      </c>
      <c r="C17" s="1257"/>
      <c r="D17" s="411" t="s">
        <v>392</v>
      </c>
      <c r="E17" s="411"/>
      <c r="F17" s="411" t="s">
        <v>277</v>
      </c>
      <c r="G17" s="411" t="s">
        <v>278</v>
      </c>
      <c r="H17" s="412">
        <v>7130.7650000000003</v>
      </c>
      <c r="I17" s="413" t="s">
        <v>240</v>
      </c>
      <c r="J17" s="414">
        <v>44954.211805555555</v>
      </c>
      <c r="K17" s="414"/>
      <c r="L17" s="414" t="s">
        <v>192</v>
      </c>
      <c r="M17" s="414" t="s">
        <v>192</v>
      </c>
      <c r="N17" s="413" t="str">
        <f>IF(ISBLANK(J17)," ",IF(J17&lt;$F$4,"On time",(IF(DAY(J17-$F$4)&lt;1,"On time",(IF(J17&gt;$F$4,"DELAY ( "&amp;DAY(J17-$F$4)&amp;" day "&amp;HOUR(J17-$F$4)&amp;" hour "&amp;MINUTE(J17-$F$4)&amp;" minute )","xxx"))))))</f>
        <v>DELAY ( 4 day 11 hour 45 minute )</v>
      </c>
      <c r="O17" s="51"/>
      <c r="P17" s="415" t="s">
        <v>551</v>
      </c>
      <c r="Q17" s="415" t="s">
        <v>551</v>
      </c>
      <c r="R17" s="415" t="s">
        <v>551</v>
      </c>
      <c r="S17" s="32"/>
      <c r="T17" s="416"/>
      <c r="U17" s="416"/>
      <c r="V17" s="416"/>
      <c r="W17" s="416"/>
      <c r="X17" s="416"/>
      <c r="Y17" s="416"/>
      <c r="Z17" s="416"/>
      <c r="AA17" s="416"/>
      <c r="AB17" s="416"/>
      <c r="AC17" s="416">
        <f>H17</f>
        <v>7130.7650000000003</v>
      </c>
      <c r="AD17" s="416"/>
      <c r="AE17" s="416"/>
      <c r="AF17" s="416"/>
      <c r="AG17" s="416"/>
      <c r="AH17" s="416"/>
      <c r="AI17" s="416"/>
      <c r="AJ17" s="416"/>
      <c r="AK17" s="416"/>
      <c r="AL17" s="416"/>
      <c r="AM17" s="416"/>
      <c r="AN17" s="416"/>
      <c r="AO17" s="416"/>
      <c r="AP17" s="416"/>
      <c r="AQ17" s="416"/>
      <c r="AR17" s="416"/>
      <c r="AS17" s="416"/>
      <c r="AT17" s="416"/>
      <c r="AU17" s="416"/>
      <c r="AV17" s="416"/>
      <c r="AW17" s="416"/>
      <c r="AX17" s="416"/>
      <c r="AY17" s="416"/>
      <c r="AZ17" s="32"/>
    </row>
    <row r="18" spans="2:52">
      <c r="B18" s="1256" t="s">
        <v>624</v>
      </c>
      <c r="C18" s="1257"/>
      <c r="D18" s="411" t="s">
        <v>396</v>
      </c>
      <c r="E18" s="411"/>
      <c r="F18" s="411" t="s">
        <v>257</v>
      </c>
      <c r="G18" s="411" t="s">
        <v>258</v>
      </c>
      <c r="H18" s="412">
        <v>7437.8010000000004</v>
      </c>
      <c r="I18" s="413" t="s">
        <v>240</v>
      </c>
      <c r="J18" s="414">
        <v>44954.104166666664</v>
      </c>
      <c r="K18" s="414"/>
      <c r="L18" s="414" t="s">
        <v>192</v>
      </c>
      <c r="M18" s="414" t="s">
        <v>192</v>
      </c>
      <c r="N18" s="413" t="str">
        <f>IF(ISBLANK(J18)," ",IF(J18&lt;$F$4,"On time",(IF(DAY(J18-$F$4)&lt;1,"On time",(IF(J18&gt;$F$4,"DELAY ( "&amp;DAY(J18-$F$4)&amp;" day "&amp;HOUR(J18-$F$4)&amp;" hour "&amp;MINUTE(J18-$F$4)&amp;" minute )","xxx"))))))</f>
        <v>DELAY ( 4 day 9 hour 10 minute )</v>
      </c>
      <c r="O18" s="51"/>
      <c r="P18" s="415" t="s">
        <v>551</v>
      </c>
      <c r="Q18" s="415" t="s">
        <v>551</v>
      </c>
      <c r="R18" s="415" t="s">
        <v>551</v>
      </c>
      <c r="S18" s="32"/>
      <c r="T18" s="416"/>
      <c r="U18" s="416"/>
      <c r="V18" s="416"/>
      <c r="W18" s="416"/>
      <c r="X18" s="416"/>
      <c r="Y18" s="416"/>
      <c r="Z18" s="416"/>
      <c r="AA18" s="416"/>
      <c r="AB18" s="416"/>
      <c r="AC18" s="416">
        <f>H18</f>
        <v>7437.8010000000004</v>
      </c>
      <c r="AD18" s="416"/>
      <c r="AE18" s="416"/>
      <c r="AF18" s="416"/>
      <c r="AG18" s="416"/>
      <c r="AH18" s="416"/>
      <c r="AI18" s="416"/>
      <c r="AJ18" s="416"/>
      <c r="AK18" s="416"/>
      <c r="AL18" s="416"/>
      <c r="AM18" s="416"/>
      <c r="AN18" s="416"/>
      <c r="AO18" s="416"/>
      <c r="AP18" s="416"/>
      <c r="AQ18" s="416"/>
      <c r="AR18" s="416"/>
      <c r="AS18" s="416"/>
      <c r="AT18" s="416"/>
      <c r="AU18" s="416"/>
      <c r="AV18" s="416"/>
      <c r="AW18" s="416"/>
      <c r="AX18" s="416"/>
      <c r="AY18" s="416"/>
      <c r="AZ18" s="32"/>
    </row>
    <row r="19" spans="2:52">
      <c r="B19" s="1250" t="s">
        <v>625</v>
      </c>
      <c r="C19" s="1251"/>
      <c r="D19" s="411" t="s">
        <v>402</v>
      </c>
      <c r="E19" s="411"/>
      <c r="F19" s="411" t="s">
        <v>403</v>
      </c>
      <c r="G19" s="411" t="s">
        <v>404</v>
      </c>
      <c r="H19" s="412">
        <v>7453.8459999999995</v>
      </c>
      <c r="I19" s="413" t="s">
        <v>240</v>
      </c>
      <c r="J19" s="414">
        <v>44954.357638888891</v>
      </c>
      <c r="K19" s="414"/>
      <c r="L19" s="414" t="s">
        <v>192</v>
      </c>
      <c r="M19" s="414" t="s">
        <v>192</v>
      </c>
      <c r="N19" s="413" t="str">
        <f t="shared" ref="N19:N28" si="1">IF(ISBLANK(J19)," ",IF(J19&lt;$F$4,"On time",(IF(DAY(J19-$F$4)&lt;1,"On time",(IF(J19&gt;$F$4,"DELAY ( "&amp;DAY(J19-$F$4)&amp;" day "&amp;HOUR(J19-$F$4)&amp;" hour "&amp;MINUTE(J19-$F$4)&amp;" minute )","xxx"))))))</f>
        <v>DELAY ( 4 day 15 hour 15 minute )</v>
      </c>
      <c r="O19" s="51"/>
      <c r="P19" s="415" t="s">
        <v>551</v>
      </c>
      <c r="Q19" s="415" t="s">
        <v>551</v>
      </c>
      <c r="R19" s="415" t="s">
        <v>551</v>
      </c>
      <c r="S19" s="32"/>
      <c r="T19" s="416"/>
      <c r="U19" s="416"/>
      <c r="V19" s="416"/>
      <c r="W19" s="416"/>
      <c r="X19" s="416"/>
      <c r="Y19" s="416"/>
      <c r="Z19" s="416"/>
      <c r="AA19" s="416"/>
      <c r="AB19" s="416"/>
      <c r="AC19" s="416">
        <f>H19</f>
        <v>7453.8459999999995</v>
      </c>
      <c r="AD19" s="416"/>
      <c r="AE19" s="416"/>
      <c r="AF19" s="416"/>
      <c r="AG19" s="416"/>
      <c r="AH19" s="416"/>
      <c r="AI19" s="416"/>
      <c r="AJ19" s="416"/>
      <c r="AK19" s="416"/>
      <c r="AL19" s="416"/>
      <c r="AM19" s="416"/>
      <c r="AN19" s="416"/>
      <c r="AO19" s="416"/>
      <c r="AP19" s="416"/>
      <c r="AQ19" s="416"/>
      <c r="AR19" s="416"/>
      <c r="AS19" s="416"/>
      <c r="AT19" s="416"/>
      <c r="AU19" s="416"/>
      <c r="AV19" s="416"/>
      <c r="AW19" s="416"/>
      <c r="AX19" s="416"/>
      <c r="AY19" s="416"/>
      <c r="AZ19" s="32"/>
    </row>
    <row r="20" spans="2:52">
      <c r="B20" s="1254"/>
      <c r="C20" s="1255"/>
      <c r="D20" s="411"/>
      <c r="E20" s="411"/>
      <c r="F20" s="1256" t="s">
        <v>616</v>
      </c>
      <c r="G20" s="1257"/>
      <c r="H20" s="412">
        <v>1200</v>
      </c>
      <c r="I20" s="413"/>
      <c r="J20" s="414"/>
      <c r="K20" s="414"/>
      <c r="L20" s="414"/>
      <c r="M20" s="414"/>
      <c r="N20" s="413" t="str">
        <f t="shared" si="1"/>
        <v xml:space="preserve"> </v>
      </c>
      <c r="O20" s="51"/>
      <c r="P20" s="415"/>
      <c r="Q20" s="415"/>
      <c r="R20" s="415"/>
      <c r="S20" s="32"/>
      <c r="T20" s="416"/>
      <c r="U20" s="416"/>
      <c r="V20" s="416"/>
      <c r="W20" s="416"/>
      <c r="X20" s="416"/>
      <c r="Y20" s="416"/>
      <c r="Z20" s="416"/>
      <c r="AA20" s="416"/>
      <c r="AB20" s="416"/>
      <c r="AC20" s="416"/>
      <c r="AD20" s="416"/>
      <c r="AE20" s="416"/>
      <c r="AF20" s="416"/>
      <c r="AG20" s="416"/>
      <c r="AH20" s="416"/>
      <c r="AI20" s="416"/>
      <c r="AJ20" s="416"/>
      <c r="AK20" s="416"/>
      <c r="AL20" s="416"/>
      <c r="AM20" s="416"/>
      <c r="AN20" s="416"/>
      <c r="AO20" s="416"/>
      <c r="AP20" s="416"/>
      <c r="AQ20" s="416"/>
      <c r="AR20" s="416"/>
      <c r="AS20" s="416"/>
      <c r="AT20" s="416"/>
      <c r="AU20" s="416"/>
      <c r="AV20" s="416"/>
      <c r="AW20" s="416"/>
      <c r="AX20" s="416"/>
      <c r="AY20" s="416"/>
      <c r="AZ20" s="32"/>
    </row>
    <row r="21" spans="2:52">
      <c r="B21" s="1250" t="s">
        <v>669</v>
      </c>
      <c r="C21" s="1251"/>
      <c r="D21" s="411" t="s">
        <v>398</v>
      </c>
      <c r="E21" s="411"/>
      <c r="F21" s="411" t="s">
        <v>399</v>
      </c>
      <c r="G21" s="411" t="s">
        <v>400</v>
      </c>
      <c r="H21" s="412">
        <v>7590.7950000000001</v>
      </c>
      <c r="I21" s="413" t="s">
        <v>240</v>
      </c>
      <c r="J21" s="414">
        <v>44954.416666666664</v>
      </c>
      <c r="K21" s="414"/>
      <c r="L21" s="414" t="s">
        <v>192</v>
      </c>
      <c r="M21" s="414" t="s">
        <v>192</v>
      </c>
      <c r="N21" s="413" t="str">
        <f t="shared" si="1"/>
        <v>DELAY ( 4 day 16 hour 40 minute )</v>
      </c>
      <c r="O21" s="51"/>
      <c r="P21" s="415" t="s">
        <v>551</v>
      </c>
      <c r="Q21" s="415" t="s">
        <v>551</v>
      </c>
      <c r="R21" s="415" t="s">
        <v>551</v>
      </c>
      <c r="S21" s="32"/>
      <c r="T21" s="416"/>
      <c r="U21" s="416"/>
      <c r="V21" s="416"/>
      <c r="W21" s="416"/>
      <c r="X21" s="416"/>
      <c r="Y21" s="416"/>
      <c r="Z21" s="416"/>
      <c r="AA21" s="416"/>
      <c r="AB21" s="416"/>
      <c r="AC21" s="416">
        <f>H21</f>
        <v>7590.7950000000001</v>
      </c>
      <c r="AD21" s="416"/>
      <c r="AE21" s="416"/>
      <c r="AF21" s="416"/>
      <c r="AG21" s="416"/>
      <c r="AH21" s="416"/>
      <c r="AI21" s="416"/>
      <c r="AJ21" s="416"/>
      <c r="AK21" s="416"/>
      <c r="AL21" s="416"/>
      <c r="AM21" s="416"/>
      <c r="AN21" s="416"/>
      <c r="AO21" s="416"/>
      <c r="AP21" s="416"/>
      <c r="AQ21" s="416"/>
      <c r="AR21" s="416"/>
      <c r="AS21" s="416"/>
      <c r="AT21" s="416"/>
      <c r="AU21" s="416"/>
      <c r="AV21" s="416"/>
      <c r="AW21" s="416"/>
      <c r="AX21" s="416"/>
      <c r="AY21" s="416"/>
      <c r="AZ21" s="32"/>
    </row>
    <row r="22" spans="2:52">
      <c r="B22" s="1254"/>
      <c r="C22" s="1255"/>
      <c r="D22" s="411"/>
      <c r="E22" s="411"/>
      <c r="F22" s="1256" t="s">
        <v>616</v>
      </c>
      <c r="G22" s="1257"/>
      <c r="H22" s="412">
        <v>1000</v>
      </c>
      <c r="I22" s="413"/>
      <c r="J22" s="414"/>
      <c r="K22" s="414"/>
      <c r="L22" s="414"/>
      <c r="M22" s="414"/>
      <c r="N22" s="413" t="str">
        <f t="shared" si="1"/>
        <v xml:space="preserve"> </v>
      </c>
      <c r="O22" s="51"/>
      <c r="P22" s="415"/>
      <c r="Q22" s="415"/>
      <c r="R22" s="415"/>
      <c r="S22" s="32"/>
      <c r="T22" s="416"/>
      <c r="U22" s="416"/>
      <c r="V22" s="416"/>
      <c r="W22" s="416"/>
      <c r="X22" s="416"/>
      <c r="Y22" s="416"/>
      <c r="Z22" s="416"/>
      <c r="AA22" s="416"/>
      <c r="AB22" s="416"/>
      <c r="AC22" s="416"/>
      <c r="AD22" s="416"/>
      <c r="AE22" s="416"/>
      <c r="AF22" s="416"/>
      <c r="AG22" s="416"/>
      <c r="AH22" s="416"/>
      <c r="AI22" s="416"/>
      <c r="AJ22" s="416"/>
      <c r="AK22" s="416"/>
      <c r="AL22" s="416"/>
      <c r="AM22" s="416"/>
      <c r="AN22" s="416"/>
      <c r="AO22" s="416"/>
      <c r="AP22" s="416"/>
      <c r="AQ22" s="416"/>
      <c r="AR22" s="416"/>
      <c r="AS22" s="416"/>
      <c r="AT22" s="416"/>
      <c r="AU22" s="416"/>
      <c r="AV22" s="416"/>
      <c r="AW22" s="416"/>
      <c r="AX22" s="416"/>
      <c r="AY22" s="416"/>
      <c r="AZ22" s="32"/>
    </row>
    <row r="23" spans="2:52">
      <c r="B23" s="1256" t="s">
        <v>670</v>
      </c>
      <c r="C23" s="1257"/>
      <c r="D23" s="411" t="s">
        <v>401</v>
      </c>
      <c r="E23" s="411"/>
      <c r="F23" s="411" t="s">
        <v>238</v>
      </c>
      <c r="G23" s="411" t="s">
        <v>239</v>
      </c>
      <c r="H23" s="412">
        <v>7469.2190000000001</v>
      </c>
      <c r="I23" s="413" t="s">
        <v>240</v>
      </c>
      <c r="J23" s="414">
        <v>44955.413194444445</v>
      </c>
      <c r="K23" s="414"/>
      <c r="L23" s="414" t="s">
        <v>192</v>
      </c>
      <c r="M23" s="414" t="s">
        <v>192</v>
      </c>
      <c r="N23" s="413" t="str">
        <f t="shared" si="1"/>
        <v>DELAY ( 5 day 16 hour 35 minute )</v>
      </c>
      <c r="O23" s="51"/>
      <c r="P23" s="415" t="s">
        <v>551</v>
      </c>
      <c r="Q23" s="415" t="s">
        <v>551</v>
      </c>
      <c r="R23" s="415" t="s">
        <v>551</v>
      </c>
      <c r="S23" s="32"/>
      <c r="T23" s="416"/>
      <c r="U23" s="416"/>
      <c r="V23" s="416"/>
      <c r="W23" s="416"/>
      <c r="X23" s="416"/>
      <c r="Y23" s="416"/>
      <c r="Z23" s="416"/>
      <c r="AA23" s="416"/>
      <c r="AB23" s="416"/>
      <c r="AC23" s="416">
        <f>H23</f>
        <v>7469.2190000000001</v>
      </c>
      <c r="AD23" s="416"/>
      <c r="AE23" s="416"/>
      <c r="AF23" s="416"/>
      <c r="AG23" s="416"/>
      <c r="AH23" s="416"/>
      <c r="AI23" s="416"/>
      <c r="AJ23" s="416"/>
      <c r="AK23" s="416"/>
      <c r="AL23" s="416"/>
      <c r="AM23" s="416"/>
      <c r="AN23" s="416"/>
      <c r="AO23" s="416"/>
      <c r="AP23" s="416"/>
      <c r="AQ23" s="416"/>
      <c r="AR23" s="416"/>
      <c r="AS23" s="416"/>
      <c r="AT23" s="416"/>
      <c r="AU23" s="416"/>
      <c r="AV23" s="416"/>
      <c r="AW23" s="416"/>
      <c r="AX23" s="416"/>
      <c r="AY23" s="416"/>
      <c r="AZ23" s="32"/>
    </row>
    <row r="24" spans="2:52">
      <c r="B24" s="1250" t="s">
        <v>867</v>
      </c>
      <c r="C24" s="1251"/>
      <c r="D24" s="411" t="s">
        <v>338</v>
      </c>
      <c r="E24" s="411"/>
      <c r="F24" s="411" t="s">
        <v>339</v>
      </c>
      <c r="G24" s="411" t="s">
        <v>340</v>
      </c>
      <c r="H24" s="412">
        <v>6320.8280000000004</v>
      </c>
      <c r="I24" s="413" t="s">
        <v>240</v>
      </c>
      <c r="J24" s="414">
        <v>44955.40625</v>
      </c>
      <c r="K24" s="414"/>
      <c r="L24" s="414" t="s">
        <v>192</v>
      </c>
      <c r="M24" s="414" t="s">
        <v>192</v>
      </c>
      <c r="N24" s="413" t="str">
        <f t="shared" si="1"/>
        <v>DELAY ( 5 day 16 hour 25 minute )</v>
      </c>
      <c r="O24" s="51"/>
      <c r="P24" s="415" t="s">
        <v>551</v>
      </c>
      <c r="Q24" s="415" t="s">
        <v>551</v>
      </c>
      <c r="R24" s="415" t="s">
        <v>551</v>
      </c>
      <c r="S24" s="32"/>
      <c r="T24" s="416"/>
      <c r="U24" s="416"/>
      <c r="V24" s="416"/>
      <c r="W24" s="416"/>
      <c r="X24" s="416"/>
      <c r="Y24" s="416"/>
      <c r="Z24" s="416"/>
      <c r="AA24" s="416"/>
      <c r="AB24" s="416"/>
      <c r="AC24" s="416">
        <f>H24</f>
        <v>6320.8280000000004</v>
      </c>
      <c r="AD24" s="416"/>
      <c r="AE24" s="416"/>
      <c r="AF24" s="416"/>
      <c r="AG24" s="416"/>
      <c r="AH24" s="416"/>
      <c r="AI24" s="416"/>
      <c r="AJ24" s="416"/>
      <c r="AK24" s="416"/>
      <c r="AL24" s="416"/>
      <c r="AM24" s="416"/>
      <c r="AN24" s="416"/>
      <c r="AO24" s="416"/>
      <c r="AP24" s="416"/>
      <c r="AQ24" s="416"/>
      <c r="AR24" s="416"/>
      <c r="AS24" s="416"/>
      <c r="AT24" s="416"/>
      <c r="AU24" s="416"/>
      <c r="AV24" s="416"/>
      <c r="AW24" s="416"/>
      <c r="AX24" s="416"/>
      <c r="AY24" s="416"/>
      <c r="AZ24" s="32"/>
    </row>
    <row r="25" spans="2:52">
      <c r="B25" s="1254"/>
      <c r="C25" s="1255"/>
      <c r="D25" s="411"/>
      <c r="E25" s="411"/>
      <c r="F25" s="1256" t="s">
        <v>616</v>
      </c>
      <c r="G25" s="1257"/>
      <c r="H25" s="412">
        <v>1000</v>
      </c>
      <c r="I25" s="413"/>
      <c r="J25" s="414"/>
      <c r="K25" s="414"/>
      <c r="L25" s="414"/>
      <c r="M25" s="414"/>
      <c r="N25" s="413" t="str">
        <f t="shared" si="1"/>
        <v xml:space="preserve"> </v>
      </c>
      <c r="O25" s="51"/>
      <c r="P25" s="415"/>
      <c r="Q25" s="415"/>
      <c r="R25" s="415"/>
      <c r="S25" s="32"/>
      <c r="T25" s="416"/>
      <c r="U25" s="416"/>
      <c r="V25" s="416"/>
      <c r="W25" s="416"/>
      <c r="X25" s="416"/>
      <c r="Y25" s="416"/>
      <c r="Z25" s="416"/>
      <c r="AA25" s="416"/>
      <c r="AB25" s="416"/>
      <c r="AC25" s="416"/>
      <c r="AD25" s="416"/>
      <c r="AE25" s="416"/>
      <c r="AF25" s="416"/>
      <c r="AG25" s="416"/>
      <c r="AH25" s="416"/>
      <c r="AI25" s="416"/>
      <c r="AJ25" s="416"/>
      <c r="AK25" s="416"/>
      <c r="AL25" s="416"/>
      <c r="AM25" s="416"/>
      <c r="AN25" s="416"/>
      <c r="AO25" s="416"/>
      <c r="AP25" s="416"/>
      <c r="AQ25" s="416"/>
      <c r="AR25" s="416"/>
      <c r="AS25" s="416"/>
      <c r="AT25" s="416"/>
      <c r="AU25" s="416"/>
      <c r="AV25" s="416"/>
      <c r="AW25" s="416"/>
      <c r="AX25" s="416"/>
      <c r="AY25" s="416"/>
      <c r="AZ25" s="32"/>
    </row>
    <row r="26" spans="2:52">
      <c r="B26" s="1250" t="s">
        <v>868</v>
      </c>
      <c r="C26" s="1251"/>
      <c r="D26" s="411" t="s">
        <v>386</v>
      </c>
      <c r="E26" s="411"/>
      <c r="F26" s="411" t="s">
        <v>201</v>
      </c>
      <c r="G26" s="411" t="s">
        <v>202</v>
      </c>
      <c r="H26" s="412">
        <v>7563.0720000000001</v>
      </c>
      <c r="I26" s="413" t="s">
        <v>240</v>
      </c>
      <c r="J26" s="414">
        <v>44956.611111111109</v>
      </c>
      <c r="K26" s="414"/>
      <c r="L26" s="414" t="s">
        <v>192</v>
      </c>
      <c r="M26" s="414" t="s">
        <v>192</v>
      </c>
      <c r="N26" s="413" t="str">
        <f t="shared" si="1"/>
        <v>DELAY ( 6 day 21 hour 20 minute )</v>
      </c>
      <c r="O26" s="51"/>
      <c r="P26" s="415" t="s">
        <v>551</v>
      </c>
      <c r="Q26" s="415" t="s">
        <v>551</v>
      </c>
      <c r="R26" s="415" t="s">
        <v>551</v>
      </c>
      <c r="S26" s="32"/>
      <c r="T26" s="416"/>
      <c r="U26" s="416"/>
      <c r="V26" s="416"/>
      <c r="W26" s="416"/>
      <c r="X26" s="416"/>
      <c r="Y26" s="416"/>
      <c r="Z26" s="416"/>
      <c r="AA26" s="416"/>
      <c r="AB26" s="416"/>
      <c r="AC26" s="416">
        <f>H26</f>
        <v>7563.0720000000001</v>
      </c>
      <c r="AD26" s="416"/>
      <c r="AE26" s="416"/>
      <c r="AF26" s="416"/>
      <c r="AG26" s="416"/>
      <c r="AH26" s="416"/>
      <c r="AI26" s="416"/>
      <c r="AJ26" s="416"/>
      <c r="AK26" s="416"/>
      <c r="AL26" s="416"/>
      <c r="AM26" s="416"/>
      <c r="AN26" s="416"/>
      <c r="AO26" s="416"/>
      <c r="AP26" s="416"/>
      <c r="AQ26" s="416"/>
      <c r="AR26" s="416"/>
      <c r="AS26" s="416"/>
      <c r="AT26" s="416"/>
      <c r="AU26" s="416"/>
      <c r="AV26" s="416"/>
      <c r="AW26" s="416"/>
      <c r="AX26" s="416"/>
      <c r="AY26" s="416"/>
      <c r="AZ26" s="32"/>
    </row>
    <row r="27" spans="2:52">
      <c r="B27" s="1254"/>
      <c r="C27" s="1255"/>
      <c r="D27" s="411"/>
      <c r="E27" s="411"/>
      <c r="F27" s="1256" t="s">
        <v>616</v>
      </c>
      <c r="G27" s="1257"/>
      <c r="H27" s="412">
        <v>1000</v>
      </c>
      <c r="I27" s="413"/>
      <c r="J27" s="414"/>
      <c r="K27" s="414"/>
      <c r="L27" s="414"/>
      <c r="M27" s="414"/>
      <c r="N27" s="413" t="str">
        <f t="shared" si="1"/>
        <v xml:space="preserve"> </v>
      </c>
      <c r="O27" s="51"/>
      <c r="P27" s="415"/>
      <c r="Q27" s="415"/>
      <c r="R27" s="415"/>
      <c r="S27" s="32"/>
      <c r="T27" s="416"/>
      <c r="U27" s="416"/>
      <c r="V27" s="416"/>
      <c r="W27" s="416"/>
      <c r="X27" s="416"/>
      <c r="Y27" s="416"/>
      <c r="Z27" s="416"/>
      <c r="AA27" s="416"/>
      <c r="AB27" s="416"/>
      <c r="AC27" s="416"/>
      <c r="AD27" s="416"/>
      <c r="AE27" s="416"/>
      <c r="AF27" s="416"/>
      <c r="AG27" s="416"/>
      <c r="AH27" s="416"/>
      <c r="AI27" s="416"/>
      <c r="AJ27" s="416"/>
      <c r="AK27" s="416"/>
      <c r="AL27" s="416"/>
      <c r="AM27" s="416"/>
      <c r="AN27" s="416"/>
      <c r="AO27" s="416"/>
      <c r="AP27" s="416"/>
      <c r="AQ27" s="416"/>
      <c r="AR27" s="416"/>
      <c r="AS27" s="416"/>
      <c r="AT27" s="416"/>
      <c r="AU27" s="416"/>
      <c r="AV27" s="416"/>
      <c r="AW27" s="416"/>
      <c r="AX27" s="416"/>
      <c r="AY27" s="416"/>
      <c r="AZ27" s="32"/>
    </row>
    <row r="28" spans="2:52">
      <c r="B28" s="1250" t="s">
        <v>869</v>
      </c>
      <c r="C28" s="1251"/>
      <c r="D28" s="411" t="s">
        <v>397</v>
      </c>
      <c r="E28" s="411"/>
      <c r="F28" s="411" t="s">
        <v>249</v>
      </c>
      <c r="G28" s="411" t="s">
        <v>250</v>
      </c>
      <c r="H28" s="412">
        <f>7500.438-6948.689</f>
        <v>551.7489999999998</v>
      </c>
      <c r="I28" s="413" t="s">
        <v>240</v>
      </c>
      <c r="J28" s="414">
        <v>44954.277777777781</v>
      </c>
      <c r="K28" s="414"/>
      <c r="L28" s="414" t="s">
        <v>192</v>
      </c>
      <c r="M28" s="414" t="s">
        <v>192</v>
      </c>
      <c r="N28" s="413" t="str">
        <f t="shared" si="1"/>
        <v>DELAY ( 4 day 13 hour 20 minute )</v>
      </c>
      <c r="O28" s="51"/>
      <c r="P28" s="415" t="s">
        <v>551</v>
      </c>
      <c r="Q28" s="415" t="s">
        <v>551</v>
      </c>
      <c r="R28" s="415" t="s">
        <v>551</v>
      </c>
      <c r="S28" s="32"/>
      <c r="T28" s="416"/>
      <c r="U28" s="416"/>
      <c r="V28" s="416"/>
      <c r="W28" s="416"/>
      <c r="X28" s="416"/>
      <c r="Y28" s="416"/>
      <c r="Z28" s="416"/>
      <c r="AA28" s="416"/>
      <c r="AB28" s="416"/>
      <c r="AC28" s="416">
        <f>H28</f>
        <v>551.7489999999998</v>
      </c>
      <c r="AD28" s="416"/>
      <c r="AE28" s="416"/>
      <c r="AF28" s="416"/>
      <c r="AG28" s="416"/>
      <c r="AH28" s="416"/>
      <c r="AI28" s="416"/>
      <c r="AJ28" s="416"/>
      <c r="AK28" s="416"/>
      <c r="AL28" s="416"/>
      <c r="AM28" s="416"/>
      <c r="AN28" s="416"/>
      <c r="AO28" s="416"/>
      <c r="AP28" s="416"/>
      <c r="AQ28" s="416"/>
      <c r="AR28" s="416"/>
      <c r="AS28" s="416"/>
      <c r="AT28" s="416"/>
      <c r="AU28" s="416"/>
      <c r="AV28" s="416"/>
      <c r="AW28" s="416"/>
      <c r="AX28" s="416"/>
      <c r="AY28" s="416"/>
      <c r="AZ28" s="32"/>
    </row>
    <row r="29" spans="2:52">
      <c r="B29" s="1254"/>
      <c r="C29" s="1255"/>
      <c r="D29" s="411"/>
      <c r="E29" s="411"/>
      <c r="F29" s="1256" t="s">
        <v>616</v>
      </c>
      <c r="G29" s="1257"/>
      <c r="H29" s="412">
        <v>1103</v>
      </c>
      <c r="I29" s="413"/>
      <c r="J29" s="414"/>
      <c r="K29" s="414"/>
      <c r="L29" s="414"/>
      <c r="M29" s="414"/>
      <c r="N29" s="413" t="str">
        <f>IF(ISBLANK(J29)," ",IF(J29&lt;$F$4,"On time",(IF(DAY(J29-$F$4)&lt;1,"On time",(IF(J29&gt;$F$4,"DELAY ( "&amp;DAY(J29-$F$4)&amp;" day "&amp;HOUR(J29-$F$4)&amp;" hour "&amp;MINUTE(J29-$F$4)&amp;" minute )","xxx"))))))</f>
        <v xml:space="preserve"> </v>
      </c>
      <c r="O29" s="51"/>
      <c r="P29" s="415"/>
      <c r="Q29" s="415"/>
      <c r="R29" s="415"/>
      <c r="S29" s="32"/>
      <c r="T29" s="416"/>
      <c r="U29" s="416"/>
      <c r="V29" s="416"/>
      <c r="W29" s="416"/>
      <c r="X29" s="416"/>
      <c r="Y29" s="416"/>
      <c r="Z29" s="416"/>
      <c r="AA29" s="416"/>
      <c r="AB29" s="416"/>
      <c r="AC29" s="416"/>
      <c r="AD29" s="416"/>
      <c r="AE29" s="416"/>
      <c r="AF29" s="416"/>
      <c r="AG29" s="416"/>
      <c r="AH29" s="416"/>
      <c r="AI29" s="416"/>
      <c r="AJ29" s="416"/>
      <c r="AK29" s="416"/>
      <c r="AL29" s="416"/>
      <c r="AM29" s="416"/>
      <c r="AN29" s="416"/>
      <c r="AO29" s="416"/>
      <c r="AP29" s="416"/>
      <c r="AQ29" s="416"/>
      <c r="AR29" s="416"/>
      <c r="AS29" s="416"/>
      <c r="AT29" s="416"/>
      <c r="AU29" s="416"/>
      <c r="AV29" s="416"/>
      <c r="AW29" s="416"/>
      <c r="AX29" s="416"/>
      <c r="AY29" s="416"/>
      <c r="AZ29" s="32"/>
    </row>
    <row r="30" spans="2:52">
      <c r="B30" s="1258" t="s">
        <v>626</v>
      </c>
      <c r="C30" s="1259"/>
      <c r="D30" s="1259"/>
      <c r="E30" s="1259"/>
      <c r="F30" s="1259"/>
      <c r="G30" s="1260"/>
      <c r="H30" s="417">
        <f>H15+H12+H24+H17+H26+H13+H21+H18+H19+H28+H23</f>
        <v>71997</v>
      </c>
      <c r="I30" s="388"/>
      <c r="J30" s="293"/>
      <c r="K30" s="293"/>
      <c r="L30" s="293"/>
      <c r="M30" s="389"/>
      <c r="N30" s="413" t="str">
        <f>IF(ISBLANK(J30)," ",IF(J30&lt;$F$4,"On time",(IF(DAY(J30-$F$4)&lt;1,"On time",(IF(J30&gt;$F$4,"DELAY ( "&amp;DAY(J30-$F$4)&amp;" day "&amp;HOUR(J30-$F$4)&amp;" hour "&amp;MINUTE(J30-$F$4)&amp;" minute )","xxx"))))))</f>
        <v xml:space="preserve"> </v>
      </c>
      <c r="O30" s="47"/>
      <c r="P30" s="418"/>
      <c r="Q30" s="418"/>
      <c r="R30" s="418"/>
      <c r="S30" s="32"/>
      <c r="T30" s="1261"/>
      <c r="U30" s="1261"/>
      <c r="V30" s="1261"/>
      <c r="W30" s="1261"/>
      <c r="X30" s="1261"/>
      <c r="Y30" s="1261"/>
      <c r="Z30" s="1261"/>
      <c r="AA30" s="1261"/>
      <c r="AB30" s="1261"/>
      <c r="AC30" s="1261"/>
      <c r="AD30" s="1261"/>
      <c r="AE30" s="1261"/>
      <c r="AF30" s="1261"/>
      <c r="AG30" s="1261"/>
      <c r="AH30" s="1261"/>
      <c r="AI30" s="1261"/>
      <c r="AJ30" s="1261"/>
      <c r="AK30" s="1261"/>
      <c r="AL30" s="1261"/>
      <c r="AM30" s="1261"/>
      <c r="AN30" s="1261"/>
      <c r="AO30" s="1261"/>
      <c r="AP30" s="1261"/>
      <c r="AQ30" s="1261"/>
      <c r="AR30" s="1261"/>
      <c r="AS30" s="1261"/>
      <c r="AT30" s="1261"/>
      <c r="AU30" s="1261"/>
      <c r="AV30" s="1261"/>
      <c r="AW30" s="1261"/>
      <c r="AX30" s="1261"/>
      <c r="AY30" s="1261"/>
    </row>
    <row r="31" spans="2:52">
      <c r="B31" s="1258" t="s">
        <v>556</v>
      </c>
      <c r="C31" s="1259"/>
      <c r="D31" s="1259"/>
      <c r="E31" s="1259"/>
      <c r="F31" s="1259"/>
      <c r="G31" s="1260"/>
      <c r="H31" s="417">
        <f>H11+H30</f>
        <v>79500</v>
      </c>
      <c r="I31" s="388"/>
      <c r="J31" s="293"/>
      <c r="K31" s="293"/>
      <c r="L31" s="293"/>
      <c r="M31" s="389"/>
      <c r="N31" s="413" t="str">
        <f>IF(ISBLANK(J31)," ",IF(J31&lt;$F$4,"On time",(IF(DAY(J31-$F$4)&lt;1,"On time",(IF(J31&gt;$F$4,"DELAY ( "&amp;DAY(J31-$F$4)&amp;" day "&amp;HOUR(J31-$F$4)&amp;" hour "&amp;MINUTE(J31-$F$4)&amp;" minute )","xxx"))))))</f>
        <v xml:space="preserve"> </v>
      </c>
      <c r="O31" s="212"/>
      <c r="P31" s="418"/>
      <c r="Q31" s="418"/>
      <c r="R31" s="418"/>
      <c r="S31" s="207"/>
      <c r="T31" s="1262"/>
      <c r="U31" s="1263"/>
      <c r="V31" s="1263"/>
      <c r="W31" s="1263"/>
      <c r="X31" s="1263"/>
      <c r="Y31" s="1263"/>
      <c r="Z31" s="1263"/>
      <c r="AA31" s="1263"/>
      <c r="AB31" s="1263"/>
      <c r="AC31" s="1263"/>
      <c r="AD31" s="1263"/>
      <c r="AE31" s="1263"/>
      <c r="AF31" s="1263"/>
      <c r="AG31" s="1263"/>
      <c r="AH31" s="1263"/>
      <c r="AI31" s="1263"/>
      <c r="AJ31" s="1263"/>
      <c r="AK31" s="1263"/>
      <c r="AL31" s="1263"/>
      <c r="AM31" s="1263"/>
      <c r="AN31" s="1263"/>
      <c r="AO31" s="1263"/>
      <c r="AP31" s="1263"/>
      <c r="AQ31" s="1263"/>
      <c r="AR31" s="1263"/>
      <c r="AS31" s="1263"/>
      <c r="AT31" s="1263"/>
      <c r="AU31" s="1263"/>
      <c r="AV31" s="1263"/>
      <c r="AW31" s="1263"/>
      <c r="AX31" s="1263"/>
      <c r="AY31" s="1264"/>
    </row>
    <row r="32" spans="2:52">
      <c r="B32" s="1243" t="s">
        <v>557</v>
      </c>
      <c r="C32" s="1244"/>
      <c r="D32" s="1244"/>
      <c r="E32" s="1244"/>
      <c r="F32" s="1244"/>
      <c r="G32" s="1245"/>
      <c r="H32" s="419">
        <v>79500</v>
      </c>
      <c r="I32" s="1246"/>
      <c r="J32" s="1247"/>
      <c r="K32" s="1247"/>
      <c r="L32" s="1247"/>
      <c r="M32" s="1248"/>
      <c r="N32" s="413" t="str">
        <f>IF(ISBLANK(J32)," ",IF(J32&lt;$F$4,"On time",(IF(DAY(J32-$F$4)&lt;1,"On time",(IF(J32&gt;$F$4,"DELAY ( "&amp;DAY(J32-$F$4)&amp;" day "&amp;HOUR(J32-$F$4)&amp;" hour "&amp;MINUTE(J32-$F$4)&amp;" minute )","xxx"))))))</f>
        <v xml:space="preserve"> </v>
      </c>
      <c r="O32" s="32"/>
      <c r="P32" s="415"/>
      <c r="Q32" s="415"/>
      <c r="R32" s="415"/>
      <c r="S32" s="63"/>
      <c r="T32" s="416">
        <f>SUM(T10:T29)</f>
        <v>0</v>
      </c>
      <c r="U32" s="416">
        <f t="shared" ref="U32:AY32" si="2">SUM(U10:U29)</f>
        <v>0</v>
      </c>
      <c r="V32" s="416">
        <f t="shared" si="2"/>
        <v>0</v>
      </c>
      <c r="W32" s="416">
        <f t="shared" si="2"/>
        <v>0</v>
      </c>
      <c r="X32" s="416">
        <f t="shared" si="2"/>
        <v>0</v>
      </c>
      <c r="Y32" s="416">
        <f t="shared" si="2"/>
        <v>0</v>
      </c>
      <c r="Z32" s="416">
        <f t="shared" si="2"/>
        <v>0</v>
      </c>
      <c r="AA32" s="416">
        <f t="shared" si="2"/>
        <v>0</v>
      </c>
      <c r="AB32" s="416">
        <f t="shared" si="2"/>
        <v>0</v>
      </c>
      <c r="AC32" s="416">
        <f t="shared" si="2"/>
        <v>71996.999999999985</v>
      </c>
      <c r="AD32" s="416">
        <f t="shared" si="2"/>
        <v>0</v>
      </c>
      <c r="AE32" s="416">
        <f t="shared" si="2"/>
        <v>0</v>
      </c>
      <c r="AF32" s="416">
        <f t="shared" si="2"/>
        <v>0</v>
      </c>
      <c r="AG32" s="416">
        <f t="shared" si="2"/>
        <v>0</v>
      </c>
      <c r="AH32" s="416">
        <f t="shared" si="2"/>
        <v>0</v>
      </c>
      <c r="AI32" s="416">
        <f t="shared" si="2"/>
        <v>0</v>
      </c>
      <c r="AJ32" s="416">
        <f t="shared" si="2"/>
        <v>0</v>
      </c>
      <c r="AK32" s="416">
        <f t="shared" si="2"/>
        <v>0</v>
      </c>
      <c r="AL32" s="416">
        <f t="shared" si="2"/>
        <v>0</v>
      </c>
      <c r="AM32" s="416">
        <f t="shared" si="2"/>
        <v>0</v>
      </c>
      <c r="AN32" s="416">
        <f t="shared" si="2"/>
        <v>0</v>
      </c>
      <c r="AO32" s="416">
        <f t="shared" si="2"/>
        <v>0</v>
      </c>
      <c r="AP32" s="416">
        <f t="shared" si="2"/>
        <v>7503</v>
      </c>
      <c r="AQ32" s="416">
        <f t="shared" si="2"/>
        <v>0</v>
      </c>
      <c r="AR32" s="416">
        <f t="shared" si="2"/>
        <v>0</v>
      </c>
      <c r="AS32" s="416">
        <f t="shared" si="2"/>
        <v>0</v>
      </c>
      <c r="AT32" s="416">
        <f t="shared" si="2"/>
        <v>0</v>
      </c>
      <c r="AU32" s="416">
        <f t="shared" si="2"/>
        <v>0</v>
      </c>
      <c r="AV32" s="416">
        <f t="shared" si="2"/>
        <v>0</v>
      </c>
      <c r="AW32" s="416">
        <f t="shared" si="2"/>
        <v>0</v>
      </c>
      <c r="AX32" s="416">
        <f t="shared" si="2"/>
        <v>0</v>
      </c>
      <c r="AY32" s="416">
        <f t="shared" si="2"/>
        <v>0</v>
      </c>
      <c r="AZ32" s="416">
        <f>SUM(T32:AY32)</f>
        <v>79499.999999999985</v>
      </c>
    </row>
    <row r="33" spans="2:52">
      <c r="B33" s="1243" t="s">
        <v>558</v>
      </c>
      <c r="C33" s="1244"/>
      <c r="D33" s="1244"/>
      <c r="E33" s="1244"/>
      <c r="F33" s="1244"/>
      <c r="G33" s="1245"/>
      <c r="H33" s="420">
        <f>H32-L4</f>
        <v>0</v>
      </c>
      <c r="I33" s="294"/>
      <c r="J33" s="295"/>
      <c r="K33" s="295"/>
      <c r="L33" s="296"/>
      <c r="M33" s="32"/>
      <c r="N33" s="32"/>
      <c r="O33" s="32"/>
      <c r="P33" s="32"/>
      <c r="Q33" s="297"/>
      <c r="R33" s="297"/>
      <c r="S33" s="32"/>
      <c r="T33" s="48"/>
      <c r="U33" s="48"/>
      <c r="V33" s="48"/>
      <c r="W33" s="48"/>
      <c r="X33" s="48"/>
      <c r="Y33" s="48"/>
      <c r="Z33" s="48"/>
      <c r="AA33" s="48"/>
      <c r="AB33" s="48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</row>
    <row r="34" spans="2:52">
      <c r="B34" s="1243" t="s">
        <v>559</v>
      </c>
      <c r="C34" s="1244"/>
      <c r="D34" s="1244"/>
      <c r="E34" s="1244"/>
      <c r="F34" s="1244"/>
      <c r="G34" s="1245"/>
      <c r="H34" s="420">
        <v>7321</v>
      </c>
      <c r="I34" s="52"/>
      <c r="J34" s="53"/>
      <c r="K34" s="53"/>
      <c r="L34" s="54"/>
      <c r="M34" s="32"/>
      <c r="N34" s="201"/>
      <c r="O34" s="32"/>
      <c r="P34" s="32"/>
      <c r="Q34" s="32"/>
      <c r="R34" s="32"/>
      <c r="S34" s="32"/>
      <c r="T34" s="48"/>
      <c r="U34" s="48"/>
      <c r="V34" s="48"/>
      <c r="W34" s="48"/>
      <c r="X34" s="48"/>
      <c r="Y34" s="48"/>
      <c r="Z34" s="48"/>
      <c r="AA34" s="48"/>
      <c r="AB34" s="48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</row>
    <row r="35" spans="2:52">
      <c r="B35" s="1243" t="s">
        <v>560</v>
      </c>
      <c r="C35" s="1244"/>
      <c r="D35" s="1244"/>
      <c r="E35" s="1244"/>
      <c r="F35" s="1244"/>
      <c r="G35" s="1245"/>
      <c r="H35" s="420">
        <f>H34-6948.689</f>
        <v>372.31099999999969</v>
      </c>
      <c r="I35" s="255"/>
      <c r="J35" s="53"/>
      <c r="K35" s="53"/>
      <c r="L35" s="54"/>
      <c r="M35" s="32"/>
      <c r="N35" s="32"/>
      <c r="O35" s="32"/>
      <c r="P35" s="32"/>
      <c r="Q35" s="32"/>
      <c r="R35" s="32"/>
      <c r="S35" s="48"/>
      <c r="T35" s="48"/>
      <c r="U35" s="48"/>
      <c r="V35" s="48"/>
      <c r="W35" s="48"/>
      <c r="X35" s="48"/>
      <c r="Y35" s="48"/>
      <c r="Z35" s="48"/>
      <c r="AA35" s="48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</row>
    <row r="36" spans="2:52">
      <c r="B36" s="201"/>
      <c r="C36" s="201"/>
      <c r="D36" s="201"/>
      <c r="E36" s="201"/>
      <c r="F36" s="201"/>
      <c r="G36" s="201"/>
      <c r="H36" s="201"/>
      <c r="I36" s="213"/>
      <c r="J36" s="209"/>
      <c r="K36" s="209"/>
      <c r="L36" s="203"/>
      <c r="M36" s="201"/>
      <c r="N36" s="201"/>
      <c r="O36" s="209"/>
      <c r="P36" s="32"/>
      <c r="Q36" s="32"/>
      <c r="R36" s="32"/>
      <c r="S36" s="32"/>
      <c r="T36" s="48"/>
      <c r="U36" s="48"/>
      <c r="V36" s="48"/>
      <c r="W36" s="48"/>
      <c r="X36" s="48"/>
      <c r="Y36" s="48"/>
      <c r="Z36" s="48"/>
      <c r="AA36" s="48"/>
      <c r="AB36" s="48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</row>
    <row r="37" spans="2:52">
      <c r="B37" s="40" t="s">
        <v>561</v>
      </c>
      <c r="C37" s="40"/>
      <c r="D37" s="32"/>
      <c r="E37" s="32"/>
      <c r="F37" s="32"/>
      <c r="G37" s="32"/>
      <c r="H37" s="32"/>
      <c r="I37" s="32"/>
      <c r="J37" s="52"/>
      <c r="K37" s="52"/>
      <c r="L37" s="55"/>
      <c r="M37" s="32"/>
      <c r="N37" s="201"/>
      <c r="O37" s="5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  <c r="AQ37" s="201"/>
      <c r="AR37" s="201"/>
      <c r="AS37" s="201"/>
      <c r="AT37" s="201"/>
      <c r="AU37" s="201"/>
      <c r="AZ37" s="201"/>
    </row>
    <row r="38" spans="2:52">
      <c r="B38" s="422">
        <v>1</v>
      </c>
      <c r="C38" s="1249" t="s">
        <v>671</v>
      </c>
      <c r="D38" s="1249"/>
      <c r="E38" s="1249"/>
      <c r="F38" s="1249"/>
      <c r="G38" s="1249"/>
      <c r="H38" s="1249"/>
      <c r="I38" s="1249"/>
      <c r="J38" s="1249"/>
      <c r="K38" s="1249"/>
      <c r="L38" s="203"/>
      <c r="M38" s="201"/>
      <c r="N38" s="201"/>
      <c r="O38" s="209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201"/>
      <c r="AV38" s="201"/>
      <c r="AW38" s="201"/>
      <c r="AX38" s="201"/>
      <c r="AY38" s="201"/>
      <c r="AZ38" s="201"/>
    </row>
    <row r="40" spans="2:52">
      <c r="B40" s="28" t="s">
        <v>2</v>
      </c>
      <c r="C40" s="28"/>
      <c r="D40" s="29"/>
      <c r="E40" s="30" t="s">
        <v>511</v>
      </c>
      <c r="F40" s="31" t="s">
        <v>224</v>
      </c>
      <c r="G40" s="32"/>
      <c r="H40" s="33"/>
      <c r="I40" s="34"/>
      <c r="J40" s="35" t="s">
        <v>513</v>
      </c>
      <c r="K40" s="36" t="s">
        <v>511</v>
      </c>
      <c r="L40" s="37">
        <v>44957.965277777781</v>
      </c>
      <c r="M40" s="32"/>
      <c r="N40" s="32"/>
      <c r="O40" s="206"/>
      <c r="P40" s="205"/>
      <c r="Q40" s="202"/>
      <c r="R40" s="204"/>
      <c r="S40" s="38"/>
      <c r="T40" s="201"/>
      <c r="U40" s="201"/>
      <c r="V40" s="201"/>
      <c r="W40" s="201"/>
      <c r="X40" s="201"/>
      <c r="Y40" s="201"/>
      <c r="Z40" s="201"/>
      <c r="AA40" s="201"/>
      <c r="AB40" s="202"/>
      <c r="AC40" s="202"/>
      <c r="AD40" s="202"/>
      <c r="AE40" s="202"/>
      <c r="AF40" s="202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  <c r="AZ40" s="201"/>
    </row>
    <row r="41" spans="2:52">
      <c r="B41" s="35" t="s">
        <v>514</v>
      </c>
      <c r="C41" s="35"/>
      <c r="D41" s="32"/>
      <c r="E41" s="36" t="s">
        <v>511</v>
      </c>
      <c r="F41" s="37" t="s">
        <v>870</v>
      </c>
      <c r="G41" s="32"/>
      <c r="H41" s="33"/>
      <c r="I41" s="34"/>
      <c r="J41" s="35" t="s">
        <v>516</v>
      </c>
      <c r="K41" s="36" t="s">
        <v>511</v>
      </c>
      <c r="L41" s="37">
        <v>44961.538194444445</v>
      </c>
      <c r="M41" s="32"/>
      <c r="N41" s="32"/>
      <c r="O41" s="206"/>
      <c r="P41" s="205"/>
      <c r="Q41" s="202"/>
      <c r="R41" s="204"/>
      <c r="S41" s="38"/>
      <c r="T41" s="201"/>
      <c r="U41" s="201"/>
      <c r="V41" s="201"/>
      <c r="W41" s="201"/>
      <c r="X41" s="201"/>
      <c r="Y41" s="201"/>
      <c r="Z41" s="201"/>
      <c r="AA41" s="201"/>
      <c r="AB41" s="202"/>
      <c r="AC41" s="202"/>
      <c r="AD41" s="202"/>
      <c r="AE41" s="202"/>
      <c r="AF41" s="202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  <c r="AQ41" s="201"/>
      <c r="AR41" s="201"/>
      <c r="AS41" s="201"/>
      <c r="AT41" s="201"/>
      <c r="AU41" s="201"/>
      <c r="AV41" s="201"/>
      <c r="AW41" s="201"/>
      <c r="AX41" s="201"/>
      <c r="AY41" s="201"/>
      <c r="AZ41" s="201"/>
    </row>
    <row r="42" spans="2:52">
      <c r="B42" s="35" t="s">
        <v>517</v>
      </c>
      <c r="C42" s="35"/>
      <c r="D42" s="32"/>
      <c r="E42" s="36" t="s">
        <v>511</v>
      </c>
      <c r="F42" s="37">
        <v>44952.694444444445</v>
      </c>
      <c r="G42" s="32"/>
      <c r="H42" s="33"/>
      <c r="I42" s="34"/>
      <c r="J42" s="35" t="s">
        <v>518</v>
      </c>
      <c r="K42" s="36" t="s">
        <v>511</v>
      </c>
      <c r="L42" s="50">
        <v>65700</v>
      </c>
      <c r="M42" s="40" t="s">
        <v>519</v>
      </c>
      <c r="N42" s="40"/>
      <c r="O42" s="206"/>
      <c r="P42" s="205"/>
      <c r="Q42" s="202"/>
      <c r="R42" s="204"/>
      <c r="S42" s="38"/>
      <c r="T42" s="201"/>
      <c r="U42" s="201"/>
      <c r="V42" s="201"/>
      <c r="W42" s="201"/>
      <c r="X42" s="201"/>
      <c r="Y42" s="201"/>
      <c r="Z42" s="201"/>
      <c r="AA42" s="201"/>
      <c r="AB42" s="202"/>
      <c r="AC42" s="202"/>
      <c r="AD42" s="202"/>
      <c r="AE42" s="202"/>
      <c r="AF42" s="202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  <c r="AT42" s="201"/>
      <c r="AU42" s="201"/>
      <c r="AV42" s="201"/>
      <c r="AW42" s="201"/>
      <c r="AX42" s="201"/>
      <c r="AY42" s="201"/>
      <c r="AZ42" s="201"/>
    </row>
    <row r="43" spans="2:52">
      <c r="B43" s="35" t="s">
        <v>520</v>
      </c>
      <c r="C43" s="35"/>
      <c r="D43" s="32"/>
      <c r="E43" s="36" t="s">
        <v>511</v>
      </c>
      <c r="F43" s="37" t="s">
        <v>12</v>
      </c>
      <c r="G43" s="32"/>
      <c r="H43" s="33"/>
      <c r="I43" s="34"/>
      <c r="J43" s="35" t="s">
        <v>521</v>
      </c>
      <c r="K43" s="36" t="s">
        <v>511</v>
      </c>
      <c r="L43" s="41" t="s">
        <v>871</v>
      </c>
      <c r="M43" s="32"/>
      <c r="N43" s="32"/>
      <c r="O43" s="206"/>
      <c r="P43" s="202"/>
      <c r="Q43" s="202"/>
      <c r="R43" s="204"/>
      <c r="S43" s="38"/>
      <c r="T43" s="201"/>
      <c r="U43" s="201"/>
      <c r="V43" s="201"/>
      <c r="W43" s="201"/>
      <c r="X43" s="201"/>
      <c r="Y43" s="201"/>
      <c r="Z43" s="201"/>
      <c r="AA43" s="201"/>
      <c r="AB43" s="202"/>
      <c r="AC43" s="202"/>
      <c r="AD43" s="202"/>
      <c r="AE43" s="202"/>
      <c r="AF43" s="202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  <c r="AQ43" s="201"/>
      <c r="AR43" s="201"/>
      <c r="AS43" s="201"/>
      <c r="AT43" s="201"/>
      <c r="AU43" s="201"/>
      <c r="AV43" s="201"/>
      <c r="AW43" s="201"/>
      <c r="AX43" s="201"/>
      <c r="AY43" s="201"/>
      <c r="AZ43" s="201"/>
    </row>
    <row r="44" spans="2:52">
      <c r="B44" s="35" t="s">
        <v>523</v>
      </c>
      <c r="C44" s="35"/>
      <c r="D44" s="32"/>
      <c r="E44" s="36" t="s">
        <v>511</v>
      </c>
      <c r="F44" s="37" t="s">
        <v>41</v>
      </c>
      <c r="G44" s="32"/>
      <c r="H44" s="33"/>
      <c r="I44" s="34"/>
      <c r="J44" s="42" t="s">
        <v>524</v>
      </c>
      <c r="K44" s="36" t="s">
        <v>511</v>
      </c>
      <c r="L44" s="43" t="s">
        <v>15</v>
      </c>
      <c r="M44" s="44"/>
      <c r="N44" s="44"/>
      <c r="O44" s="206"/>
      <c r="P44" s="205"/>
      <c r="Q44" s="202"/>
      <c r="R44" s="204"/>
      <c r="S44" s="38"/>
      <c r="T44" s="201"/>
      <c r="U44" s="201"/>
      <c r="V44" s="201"/>
      <c r="W44" s="201"/>
      <c r="X44" s="201"/>
      <c r="Y44" s="201"/>
      <c r="Z44" s="201"/>
      <c r="AA44" s="201"/>
      <c r="AB44" s="202"/>
      <c r="AC44" s="202"/>
      <c r="AD44" s="202"/>
      <c r="AE44" s="202"/>
      <c r="AF44" s="202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1"/>
      <c r="AU44" s="201"/>
      <c r="AV44" s="201"/>
      <c r="AW44" s="201"/>
      <c r="AX44" s="201"/>
      <c r="AY44" s="201"/>
      <c r="AZ44" s="201"/>
    </row>
    <row r="45" spans="2:52">
      <c r="B45" s="35" t="s">
        <v>2</v>
      </c>
      <c r="C45" s="35"/>
      <c r="D45" s="32"/>
      <c r="E45" s="36" t="s">
        <v>511</v>
      </c>
      <c r="F45" s="37" t="s">
        <v>6</v>
      </c>
      <c r="G45" s="32"/>
      <c r="H45" s="33"/>
      <c r="I45" s="45"/>
      <c r="J45" s="42"/>
      <c r="K45" s="36"/>
      <c r="L45" s="211"/>
      <c r="M45" s="201"/>
      <c r="N45" s="201"/>
      <c r="O45" s="42"/>
      <c r="P45" s="44"/>
      <c r="Q45" s="44"/>
      <c r="R45" s="44"/>
      <c r="S45" s="34"/>
      <c r="T45" s="201"/>
      <c r="U45" s="201"/>
      <c r="V45" s="201"/>
      <c r="W45" s="201"/>
      <c r="X45" s="201"/>
      <c r="Y45" s="201"/>
      <c r="Z45" s="201"/>
      <c r="AA45" s="201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201"/>
      <c r="AP45" s="201"/>
      <c r="AQ45" s="201"/>
      <c r="AR45" s="201"/>
      <c r="AS45" s="201"/>
      <c r="AT45" s="201"/>
      <c r="AU45" s="201"/>
      <c r="AV45" s="201"/>
      <c r="AW45" s="201"/>
      <c r="AX45" s="201"/>
      <c r="AY45" s="201"/>
      <c r="AZ45" s="201"/>
    </row>
    <row r="46" spans="2:52">
      <c r="B46" s="201"/>
      <c r="C46" s="201"/>
      <c r="D46" s="201"/>
      <c r="E46" s="201"/>
      <c r="F46" s="201"/>
      <c r="G46" s="201"/>
      <c r="H46" s="201"/>
      <c r="I46" s="45"/>
      <c r="J46" s="42"/>
      <c r="K46" s="42"/>
      <c r="L46" s="43"/>
      <c r="M46" s="44"/>
      <c r="N46" s="44"/>
      <c r="O46" s="42"/>
      <c r="P46" s="44"/>
      <c r="Q46" s="44"/>
      <c r="R46" s="44"/>
      <c r="S46" s="34"/>
      <c r="T46" s="1265" t="s">
        <v>87</v>
      </c>
      <c r="U46" s="1265"/>
      <c r="V46" s="1265"/>
      <c r="W46" s="1265"/>
      <c r="X46" s="1265"/>
      <c r="Y46" s="1265" t="s">
        <v>73</v>
      </c>
      <c r="Z46" s="1265"/>
      <c r="AA46" s="1265"/>
      <c r="AB46" s="1265" t="s">
        <v>74</v>
      </c>
      <c r="AC46" s="1265"/>
      <c r="AD46" s="423" t="s">
        <v>85</v>
      </c>
      <c r="AE46" s="423" t="s">
        <v>77</v>
      </c>
      <c r="AF46" s="1265" t="s">
        <v>525</v>
      </c>
      <c r="AG46" s="1265"/>
      <c r="AH46" s="1265"/>
      <c r="AI46" s="1265"/>
      <c r="AJ46" s="1265"/>
      <c r="AK46" s="1265"/>
      <c r="AL46" s="1265"/>
      <c r="AM46" s="1265"/>
      <c r="AN46" s="1265"/>
      <c r="AO46" s="1265"/>
      <c r="AP46" s="1265"/>
      <c r="AQ46" s="1265"/>
      <c r="AR46" s="1265"/>
      <c r="AS46" s="1265"/>
      <c r="AT46" s="1265"/>
      <c r="AU46" s="1265"/>
      <c r="AV46" s="1265"/>
      <c r="AW46" s="1265"/>
      <c r="AX46" s="1265"/>
      <c r="AY46" s="1265"/>
      <c r="AZ46" s="201"/>
    </row>
    <row r="47" spans="2:52">
      <c r="B47" s="1266" t="s">
        <v>526</v>
      </c>
      <c r="C47" s="1267"/>
      <c r="D47" s="570" t="s">
        <v>527</v>
      </c>
      <c r="E47" s="570"/>
      <c r="F47" s="570" t="s">
        <v>528</v>
      </c>
      <c r="G47" s="570" t="s">
        <v>529</v>
      </c>
      <c r="H47" s="570" t="s">
        <v>530</v>
      </c>
      <c r="I47" s="570" t="s">
        <v>531</v>
      </c>
      <c r="J47" s="570" t="s">
        <v>532</v>
      </c>
      <c r="K47" s="570"/>
      <c r="L47" s="570" t="s">
        <v>130</v>
      </c>
      <c r="M47" s="570" t="s">
        <v>533</v>
      </c>
      <c r="N47" s="408" t="str">
        <f>"On time - "&amp;COUNTIF(N48:N57,"On time")&amp;" from "&amp;ROWS(N48:N57)-COUNTIF(N48:N57," ")</f>
        <v>On time - 0 from 10</v>
      </c>
      <c r="O47" s="46"/>
      <c r="P47" s="409" t="s">
        <v>534</v>
      </c>
      <c r="Q47" s="409" t="s">
        <v>535</v>
      </c>
      <c r="R47" s="409" t="s">
        <v>536</v>
      </c>
      <c r="S47" s="32"/>
      <c r="T47" s="424" t="s">
        <v>537</v>
      </c>
      <c r="U47" s="424" t="s">
        <v>538</v>
      </c>
      <c r="V47" s="424" t="s">
        <v>539</v>
      </c>
      <c r="W47" s="424" t="s">
        <v>540</v>
      </c>
      <c r="X47" s="424" t="s">
        <v>541</v>
      </c>
      <c r="Y47" s="424" t="s">
        <v>167</v>
      </c>
      <c r="Z47" s="424" t="s">
        <v>168</v>
      </c>
      <c r="AA47" s="424" t="s">
        <v>169</v>
      </c>
      <c r="AB47" s="424" t="s">
        <v>235</v>
      </c>
      <c r="AC47" s="424" t="s">
        <v>542</v>
      </c>
      <c r="AD47" s="423" t="s">
        <v>85</v>
      </c>
      <c r="AE47" s="424" t="s">
        <v>139</v>
      </c>
      <c r="AF47" s="424" t="s">
        <v>72</v>
      </c>
      <c r="AG47" s="424" t="s">
        <v>88</v>
      </c>
      <c r="AH47" s="424" t="s">
        <v>75</v>
      </c>
      <c r="AI47" s="424" t="s">
        <v>543</v>
      </c>
      <c r="AJ47" s="424" t="s">
        <v>78</v>
      </c>
      <c r="AK47" s="424" t="s">
        <v>76</v>
      </c>
      <c r="AL47" s="424" t="s">
        <v>544</v>
      </c>
      <c r="AM47" s="424" t="s">
        <v>545</v>
      </c>
      <c r="AN47" s="424" t="s">
        <v>86</v>
      </c>
      <c r="AO47" s="424" t="s">
        <v>83</v>
      </c>
      <c r="AP47" s="424" t="s">
        <v>84</v>
      </c>
      <c r="AQ47" s="424" t="s">
        <v>546</v>
      </c>
      <c r="AR47" s="424" t="s">
        <v>81</v>
      </c>
      <c r="AS47" s="424" t="s">
        <v>80</v>
      </c>
      <c r="AT47" s="424" t="s">
        <v>82</v>
      </c>
      <c r="AU47" s="424" t="s">
        <v>181</v>
      </c>
      <c r="AV47" s="424" t="s">
        <v>183</v>
      </c>
      <c r="AW47" s="424" t="s">
        <v>547</v>
      </c>
      <c r="AX47" s="424" t="s">
        <v>182</v>
      </c>
      <c r="AY47" s="424" t="s">
        <v>172</v>
      </c>
      <c r="AZ47" s="201"/>
    </row>
    <row r="48" spans="2:52">
      <c r="B48" s="1250" t="s">
        <v>872</v>
      </c>
      <c r="C48" s="1251"/>
      <c r="D48" s="411" t="s">
        <v>413</v>
      </c>
      <c r="E48" s="411"/>
      <c r="F48" s="411" t="s">
        <v>271</v>
      </c>
      <c r="G48" s="411" t="s">
        <v>272</v>
      </c>
      <c r="H48" s="412">
        <v>8133.3280000000004</v>
      </c>
      <c r="I48" s="413" t="s">
        <v>235</v>
      </c>
      <c r="J48" s="414">
        <v>44955.118055555555</v>
      </c>
      <c r="K48" s="414"/>
      <c r="L48" s="414" t="s">
        <v>192</v>
      </c>
      <c r="M48" s="414" t="s">
        <v>192</v>
      </c>
      <c r="N48" s="413" t="str">
        <f t="shared" ref="N48:N57" si="3">IF(ISBLANK(J48)," ",IF(J48&lt;$F$42,"On time",(IF(DAY(J48-$F$42)&lt;1,"On time",(IF(J48&gt;$F$42,"DELAY ( "&amp;DAY(J48-$F$42)&amp;" day "&amp;HOUR(J48-$F$42)&amp;" hour "&amp;MINUTE(J48-$F$42)&amp;" minute )","xxx"))))))</f>
        <v>DELAY ( 2 day 10 hour 10 minute )</v>
      </c>
      <c r="O48" s="51"/>
      <c r="P48" s="415" t="s">
        <v>551</v>
      </c>
      <c r="Q48" s="415" t="s">
        <v>551</v>
      </c>
      <c r="R48" s="415" t="s">
        <v>551</v>
      </c>
      <c r="S48" s="32"/>
      <c r="T48" s="416"/>
      <c r="U48" s="416"/>
      <c r="V48" s="416"/>
      <c r="W48" s="416"/>
      <c r="X48" s="416"/>
      <c r="Y48" s="416"/>
      <c r="Z48" s="416"/>
      <c r="AA48" s="416"/>
      <c r="AB48" s="416">
        <f>H48</f>
        <v>8133.3280000000004</v>
      </c>
      <c r="AC48" s="416"/>
      <c r="AD48" s="416"/>
      <c r="AE48" s="416"/>
      <c r="AF48" s="416"/>
      <c r="AG48" s="416"/>
      <c r="AH48" s="416"/>
      <c r="AI48" s="416"/>
      <c r="AJ48" s="416"/>
      <c r="AK48" s="416"/>
      <c r="AL48" s="416"/>
      <c r="AM48" s="416"/>
      <c r="AN48" s="416"/>
      <c r="AO48" s="416"/>
      <c r="AP48" s="416"/>
      <c r="AQ48" s="416"/>
      <c r="AR48" s="416"/>
      <c r="AS48" s="416"/>
      <c r="AT48" s="416"/>
      <c r="AU48" s="416"/>
      <c r="AV48" s="416"/>
      <c r="AW48" s="416"/>
      <c r="AX48" s="416"/>
      <c r="AY48" s="416"/>
      <c r="AZ48" s="32"/>
    </row>
    <row r="49" spans="2:52">
      <c r="B49" s="1254"/>
      <c r="C49" s="1255"/>
      <c r="D49" s="411" t="s">
        <v>467</v>
      </c>
      <c r="E49" s="425"/>
      <c r="F49" s="411" t="s">
        <v>292</v>
      </c>
      <c r="G49" s="411" t="s">
        <v>293</v>
      </c>
      <c r="H49" s="412">
        <v>3750</v>
      </c>
      <c r="I49" s="413" t="s">
        <v>76</v>
      </c>
      <c r="J49" s="571">
        <v>44955.166666666664</v>
      </c>
      <c r="K49" s="414"/>
      <c r="L49" s="414" t="s">
        <v>192</v>
      </c>
      <c r="M49" s="414" t="s">
        <v>192</v>
      </c>
      <c r="N49" s="413" t="str">
        <f t="shared" si="3"/>
        <v>DELAY ( 2 day 11 hour 20 minute )</v>
      </c>
      <c r="O49" s="51"/>
      <c r="P49" s="415" t="s">
        <v>551</v>
      </c>
      <c r="Q49" s="415" t="s">
        <v>551</v>
      </c>
      <c r="R49" s="415" t="s">
        <v>551</v>
      </c>
      <c r="S49" s="32"/>
      <c r="T49" s="416"/>
      <c r="U49" s="416"/>
      <c r="V49" s="416"/>
      <c r="W49" s="416"/>
      <c r="X49" s="416"/>
      <c r="Y49" s="32"/>
      <c r="Z49" s="416"/>
      <c r="AA49" s="416"/>
      <c r="AB49" s="416"/>
      <c r="AC49" s="416"/>
      <c r="AD49" s="416"/>
      <c r="AE49" s="416"/>
      <c r="AF49" s="416"/>
      <c r="AG49" s="416"/>
      <c r="AH49" s="416"/>
      <c r="AI49" s="416"/>
      <c r="AJ49" s="416"/>
      <c r="AK49" s="416">
        <f>H49</f>
        <v>3750</v>
      </c>
      <c r="AL49" s="416"/>
      <c r="AM49" s="416"/>
      <c r="AN49" s="416"/>
      <c r="AO49" s="416"/>
      <c r="AP49" s="416"/>
      <c r="AQ49" s="416"/>
      <c r="AR49" s="416"/>
      <c r="AS49" s="416"/>
      <c r="AT49" s="416"/>
      <c r="AU49" s="416"/>
      <c r="AV49" s="416"/>
      <c r="AW49" s="416"/>
      <c r="AX49" s="416"/>
      <c r="AY49" s="416"/>
      <c r="AZ49" s="32"/>
    </row>
    <row r="50" spans="2:52">
      <c r="B50" s="1250" t="s">
        <v>656</v>
      </c>
      <c r="C50" s="1251"/>
      <c r="D50" s="411" t="s">
        <v>467</v>
      </c>
      <c r="E50" s="425"/>
      <c r="F50" s="411" t="s">
        <v>292</v>
      </c>
      <c r="G50" s="411" t="s">
        <v>293</v>
      </c>
      <c r="H50" s="412">
        <f>H49</f>
        <v>3750</v>
      </c>
      <c r="I50" s="413" t="s">
        <v>76</v>
      </c>
      <c r="J50" s="571">
        <v>44955.166666666664</v>
      </c>
      <c r="K50" s="414"/>
      <c r="L50" s="414" t="s">
        <v>192</v>
      </c>
      <c r="M50" s="414" t="s">
        <v>192</v>
      </c>
      <c r="N50" s="413" t="str">
        <f t="shared" si="3"/>
        <v>DELAY ( 2 day 11 hour 20 minute )</v>
      </c>
      <c r="O50" s="51"/>
      <c r="P50" s="415" t="s">
        <v>551</v>
      </c>
      <c r="Q50" s="415" t="s">
        <v>551</v>
      </c>
      <c r="R50" s="415" t="s">
        <v>551</v>
      </c>
      <c r="S50" s="32"/>
      <c r="T50" s="416"/>
      <c r="U50" s="416"/>
      <c r="V50" s="416"/>
      <c r="W50" s="416"/>
      <c r="X50" s="416"/>
      <c r="Y50" s="32"/>
      <c r="Z50" s="416"/>
      <c r="AA50" s="416"/>
      <c r="AB50" s="416"/>
      <c r="AC50" s="416"/>
      <c r="AD50" s="416"/>
      <c r="AE50" s="416"/>
      <c r="AF50" s="416"/>
      <c r="AG50" s="416"/>
      <c r="AH50" s="416"/>
      <c r="AI50" s="416"/>
      <c r="AJ50" s="416"/>
      <c r="AK50" s="416">
        <f>H50</f>
        <v>3750</v>
      </c>
      <c r="AL50" s="416"/>
      <c r="AM50" s="416"/>
      <c r="AN50" s="416"/>
      <c r="AO50" s="416"/>
      <c r="AP50" s="416"/>
      <c r="AQ50" s="416"/>
      <c r="AR50" s="416"/>
      <c r="AS50" s="416"/>
      <c r="AT50" s="416"/>
      <c r="AU50" s="416"/>
      <c r="AV50" s="416"/>
      <c r="AW50" s="416"/>
      <c r="AX50" s="416"/>
      <c r="AY50" s="416"/>
      <c r="AZ50" s="32"/>
    </row>
    <row r="51" spans="2:52">
      <c r="B51" s="1254"/>
      <c r="C51" s="1255"/>
      <c r="D51" s="411" t="s">
        <v>419</v>
      </c>
      <c r="E51" s="411"/>
      <c r="F51" s="411" t="s">
        <v>70</v>
      </c>
      <c r="G51" s="411" t="s">
        <v>255</v>
      </c>
      <c r="H51" s="412">
        <v>7416.9210000000003</v>
      </c>
      <c r="I51" s="413" t="s">
        <v>235</v>
      </c>
      <c r="J51" s="414">
        <v>44955.513888888891</v>
      </c>
      <c r="K51" s="414"/>
      <c r="L51" s="414" t="s">
        <v>192</v>
      </c>
      <c r="M51" s="414" t="s">
        <v>192</v>
      </c>
      <c r="N51" s="413" t="str">
        <f t="shared" si="3"/>
        <v>DELAY ( 2 day 19 hour 40 minute )</v>
      </c>
      <c r="O51" s="51"/>
      <c r="P51" s="415" t="s">
        <v>551</v>
      </c>
      <c r="Q51" s="415" t="s">
        <v>551</v>
      </c>
      <c r="R51" s="415" t="s">
        <v>551</v>
      </c>
      <c r="S51" s="32"/>
      <c r="T51" s="416"/>
      <c r="U51" s="416"/>
      <c r="V51" s="416"/>
      <c r="W51" s="416"/>
      <c r="X51" s="416"/>
      <c r="Y51" s="416"/>
      <c r="Z51" s="416"/>
      <c r="AA51" s="416"/>
      <c r="AB51" s="416">
        <f>H51</f>
        <v>7416.9210000000003</v>
      </c>
      <c r="AC51" s="416"/>
      <c r="AD51" s="416"/>
      <c r="AE51" s="416"/>
      <c r="AF51" s="416"/>
      <c r="AG51" s="416"/>
      <c r="AH51" s="416"/>
      <c r="AI51" s="416"/>
      <c r="AJ51" s="416"/>
      <c r="AK51" s="416"/>
      <c r="AL51" s="416"/>
      <c r="AM51" s="416"/>
      <c r="AN51" s="416"/>
      <c r="AO51" s="416"/>
      <c r="AP51" s="416"/>
      <c r="AQ51" s="416"/>
      <c r="AR51" s="416"/>
      <c r="AS51" s="416"/>
      <c r="AT51" s="416"/>
      <c r="AU51" s="416"/>
      <c r="AV51" s="416"/>
      <c r="AW51" s="416"/>
      <c r="AX51" s="416"/>
      <c r="AY51" s="416"/>
      <c r="AZ51" s="32"/>
    </row>
    <row r="52" spans="2:52">
      <c r="B52" s="1250" t="s">
        <v>653</v>
      </c>
      <c r="C52" s="1251"/>
      <c r="D52" s="411" t="s">
        <v>225</v>
      </c>
      <c r="E52" s="411"/>
      <c r="F52" s="411" t="s">
        <v>226</v>
      </c>
      <c r="G52" s="411" t="s">
        <v>227</v>
      </c>
      <c r="H52" s="412">
        <v>7500</v>
      </c>
      <c r="I52" s="413" t="s">
        <v>78</v>
      </c>
      <c r="J52" s="414">
        <v>44955.520833333336</v>
      </c>
      <c r="K52" s="414"/>
      <c r="L52" s="414" t="s">
        <v>192</v>
      </c>
      <c r="M52" s="414" t="s">
        <v>192</v>
      </c>
      <c r="N52" s="413" t="str">
        <f t="shared" si="3"/>
        <v>DELAY ( 2 day 19 hour 50 minute )</v>
      </c>
      <c r="O52" s="51"/>
      <c r="P52" s="415" t="s">
        <v>551</v>
      </c>
      <c r="Q52" s="415" t="s">
        <v>551</v>
      </c>
      <c r="R52" s="415" t="s">
        <v>551</v>
      </c>
      <c r="S52" s="32"/>
      <c r="T52" s="416"/>
      <c r="U52" s="416"/>
      <c r="V52" s="416"/>
      <c r="W52" s="416"/>
      <c r="X52" s="416"/>
      <c r="Y52" s="416"/>
      <c r="Z52" s="416"/>
      <c r="AA52" s="416"/>
      <c r="AB52" s="416"/>
      <c r="AC52" s="416"/>
      <c r="AD52" s="416"/>
      <c r="AE52" s="416"/>
      <c r="AF52" s="416"/>
      <c r="AG52" s="416"/>
      <c r="AH52" s="416"/>
      <c r="AI52" s="416"/>
      <c r="AJ52" s="416">
        <f>H52</f>
        <v>7500</v>
      </c>
      <c r="AK52" s="416"/>
      <c r="AL52" s="416"/>
      <c r="AM52" s="416"/>
      <c r="AN52" s="416"/>
      <c r="AO52" s="416"/>
      <c r="AP52" s="416"/>
      <c r="AQ52" s="416"/>
      <c r="AR52" s="416"/>
      <c r="AS52" s="416"/>
      <c r="AT52" s="416"/>
      <c r="AU52" s="416"/>
      <c r="AV52" s="416"/>
      <c r="AW52" s="416"/>
      <c r="AX52" s="416"/>
      <c r="AY52" s="416"/>
      <c r="AZ52" s="32"/>
    </row>
    <row r="53" spans="2:52">
      <c r="B53" s="1254"/>
      <c r="C53" s="1255"/>
      <c r="D53" s="411" t="s">
        <v>409</v>
      </c>
      <c r="E53" s="411"/>
      <c r="F53" s="411" t="s">
        <v>252</v>
      </c>
      <c r="G53" s="411" t="s">
        <v>253</v>
      </c>
      <c r="H53" s="412">
        <v>7466.6589999999997</v>
      </c>
      <c r="I53" s="413" t="s">
        <v>235</v>
      </c>
      <c r="J53" s="414">
        <v>44955.291666666664</v>
      </c>
      <c r="K53" s="414"/>
      <c r="L53" s="414" t="s">
        <v>192</v>
      </c>
      <c r="M53" s="414" t="s">
        <v>192</v>
      </c>
      <c r="N53" s="413" t="str">
        <f t="shared" si="3"/>
        <v>DELAY ( 2 day 14 hour 20 minute )</v>
      </c>
      <c r="O53" s="51"/>
      <c r="P53" s="415" t="s">
        <v>551</v>
      </c>
      <c r="Q53" s="415" t="s">
        <v>551</v>
      </c>
      <c r="R53" s="415" t="s">
        <v>551</v>
      </c>
      <c r="S53" s="32"/>
      <c r="T53" s="416"/>
      <c r="U53" s="416"/>
      <c r="V53" s="416"/>
      <c r="W53" s="416"/>
      <c r="X53" s="416"/>
      <c r="Y53" s="416"/>
      <c r="Z53" s="416"/>
      <c r="AA53" s="416"/>
      <c r="AB53" s="416">
        <f>H53</f>
        <v>7466.6589999999997</v>
      </c>
      <c r="AC53" s="416"/>
      <c r="AD53" s="416"/>
      <c r="AE53" s="416"/>
      <c r="AF53" s="416"/>
      <c r="AG53" s="416"/>
      <c r="AH53" s="416"/>
      <c r="AI53" s="416"/>
      <c r="AJ53" s="416"/>
      <c r="AK53" s="416"/>
      <c r="AL53" s="416"/>
      <c r="AM53" s="416"/>
      <c r="AN53" s="416"/>
      <c r="AO53" s="416"/>
      <c r="AP53" s="416"/>
      <c r="AQ53" s="416"/>
      <c r="AR53" s="416"/>
      <c r="AS53" s="416"/>
      <c r="AT53" s="416"/>
      <c r="AU53" s="416"/>
      <c r="AV53" s="416"/>
      <c r="AW53" s="416"/>
      <c r="AX53" s="416"/>
      <c r="AY53" s="416"/>
      <c r="AZ53" s="32"/>
    </row>
    <row r="54" spans="2:52">
      <c r="B54" s="1256" t="s">
        <v>548</v>
      </c>
      <c r="C54" s="1257"/>
      <c r="D54" s="411" t="s">
        <v>329</v>
      </c>
      <c r="E54" s="411"/>
      <c r="F54" s="411" t="s">
        <v>330</v>
      </c>
      <c r="G54" s="411" t="s">
        <v>331</v>
      </c>
      <c r="H54" s="412">
        <v>5690.0290000000005</v>
      </c>
      <c r="I54" s="413" t="s">
        <v>235</v>
      </c>
      <c r="J54" s="414">
        <v>44956.96875</v>
      </c>
      <c r="K54" s="414"/>
      <c r="L54" s="414" t="s">
        <v>192</v>
      </c>
      <c r="M54" s="414" t="s">
        <v>192</v>
      </c>
      <c r="N54" s="413" t="str">
        <f t="shared" si="3"/>
        <v>DELAY ( 4 day 6 hour 35 minute )</v>
      </c>
      <c r="O54" s="51"/>
      <c r="P54" s="415" t="s">
        <v>551</v>
      </c>
      <c r="Q54" s="415" t="s">
        <v>551</v>
      </c>
      <c r="R54" s="415" t="s">
        <v>551</v>
      </c>
      <c r="S54" s="32"/>
      <c r="T54" s="416"/>
      <c r="U54" s="416"/>
      <c r="V54" s="416"/>
      <c r="W54" s="416"/>
      <c r="X54" s="416"/>
      <c r="Y54" s="416"/>
      <c r="Z54" s="416"/>
      <c r="AA54" s="416"/>
      <c r="AB54" s="416">
        <f>H54</f>
        <v>5690.0290000000005</v>
      </c>
      <c r="AC54" s="416"/>
      <c r="AD54" s="416"/>
      <c r="AE54" s="416"/>
      <c r="AF54" s="416"/>
      <c r="AG54" s="416"/>
      <c r="AH54" s="416"/>
      <c r="AI54" s="416"/>
      <c r="AJ54" s="416"/>
      <c r="AK54" s="416"/>
      <c r="AL54" s="416"/>
      <c r="AM54" s="416"/>
      <c r="AN54" s="416"/>
      <c r="AO54" s="416"/>
      <c r="AP54" s="416"/>
      <c r="AQ54" s="416"/>
      <c r="AR54" s="416"/>
      <c r="AS54" s="416"/>
      <c r="AT54" s="416"/>
      <c r="AU54" s="416"/>
      <c r="AV54" s="416"/>
      <c r="AW54" s="416"/>
      <c r="AX54" s="416"/>
      <c r="AY54" s="416"/>
      <c r="AZ54" s="32"/>
    </row>
    <row r="55" spans="2:52">
      <c r="B55" s="1250" t="s">
        <v>653</v>
      </c>
      <c r="C55" s="1251"/>
      <c r="D55" s="411" t="s">
        <v>412</v>
      </c>
      <c r="E55" s="411"/>
      <c r="F55" s="411" t="s">
        <v>267</v>
      </c>
      <c r="G55" s="411" t="s">
        <v>268</v>
      </c>
      <c r="H55" s="412">
        <v>7535.2129999999997</v>
      </c>
      <c r="I55" s="413" t="s">
        <v>235</v>
      </c>
      <c r="J55" s="414">
        <v>44956.319444444445</v>
      </c>
      <c r="K55" s="414"/>
      <c r="L55" s="414" t="s">
        <v>192</v>
      </c>
      <c r="M55" s="414" t="s">
        <v>192</v>
      </c>
      <c r="N55" s="413" t="str">
        <f t="shared" si="3"/>
        <v>DELAY ( 3 day 15 hour 0 minute )</v>
      </c>
      <c r="O55" s="51"/>
      <c r="P55" s="415" t="s">
        <v>551</v>
      </c>
      <c r="Q55" s="415" t="s">
        <v>551</v>
      </c>
      <c r="R55" s="415" t="s">
        <v>551</v>
      </c>
      <c r="S55" s="32"/>
      <c r="T55" s="416"/>
      <c r="U55" s="416"/>
      <c r="V55" s="416"/>
      <c r="W55" s="416"/>
      <c r="X55" s="416"/>
      <c r="Y55" s="416"/>
      <c r="Z55" s="416"/>
      <c r="AA55" s="416"/>
      <c r="AB55" s="416">
        <f>H55</f>
        <v>7535.2129999999997</v>
      </c>
      <c r="AC55" s="416"/>
      <c r="AD55" s="416"/>
      <c r="AE55" s="416"/>
      <c r="AF55" s="416"/>
      <c r="AG55" s="416"/>
      <c r="AH55" s="416"/>
      <c r="AI55" s="416"/>
      <c r="AJ55" s="416"/>
      <c r="AK55" s="416"/>
      <c r="AL55" s="416"/>
      <c r="AM55" s="416"/>
      <c r="AN55" s="416"/>
      <c r="AO55" s="416"/>
      <c r="AP55" s="416"/>
      <c r="AQ55" s="416"/>
      <c r="AR55" s="416"/>
      <c r="AS55" s="416"/>
      <c r="AT55" s="416"/>
      <c r="AU55" s="416"/>
      <c r="AV55" s="416"/>
      <c r="AW55" s="416"/>
      <c r="AX55" s="416"/>
      <c r="AY55" s="416"/>
      <c r="AZ55" s="32"/>
    </row>
    <row r="56" spans="2:52">
      <c r="B56" s="1254"/>
      <c r="C56" s="1255"/>
      <c r="D56" s="411" t="s">
        <v>397</v>
      </c>
      <c r="E56" s="411"/>
      <c r="F56" s="411" t="s">
        <v>249</v>
      </c>
      <c r="G56" s="411" t="s">
        <v>250</v>
      </c>
      <c r="H56" s="412">
        <v>7321</v>
      </c>
      <c r="I56" s="413" t="s">
        <v>240</v>
      </c>
      <c r="J56" s="414">
        <v>44960.631944444445</v>
      </c>
      <c r="K56" s="414"/>
      <c r="L56" s="414" t="s">
        <v>192</v>
      </c>
      <c r="M56" s="414" t="s">
        <v>192</v>
      </c>
      <c r="N56" s="413" t="str">
        <f t="shared" si="3"/>
        <v>DELAY ( 7 day 22 hour 30 minute )</v>
      </c>
      <c r="O56" s="51"/>
      <c r="P56" s="415" t="s">
        <v>551</v>
      </c>
      <c r="Q56" s="415" t="s">
        <v>873</v>
      </c>
      <c r="R56" s="415" t="s">
        <v>873</v>
      </c>
      <c r="S56" s="32"/>
      <c r="T56" s="416"/>
      <c r="U56" s="416"/>
      <c r="V56" s="416"/>
      <c r="W56" s="416"/>
      <c r="X56" s="416"/>
      <c r="Y56" s="416"/>
      <c r="Z56" s="416"/>
      <c r="AA56" s="416"/>
      <c r="AB56" s="416"/>
      <c r="AC56" s="416">
        <f>H56</f>
        <v>7321</v>
      </c>
      <c r="AD56" s="416"/>
      <c r="AE56" s="416"/>
      <c r="AF56" s="416"/>
      <c r="AG56" s="416"/>
      <c r="AH56" s="416"/>
      <c r="AI56" s="416"/>
      <c r="AJ56" s="416"/>
      <c r="AK56" s="416"/>
      <c r="AL56" s="416"/>
      <c r="AM56" s="416"/>
      <c r="AN56" s="416"/>
      <c r="AO56" s="416"/>
      <c r="AP56" s="416"/>
      <c r="AQ56" s="416"/>
      <c r="AR56" s="416"/>
      <c r="AS56" s="416"/>
      <c r="AT56" s="416"/>
      <c r="AU56" s="416"/>
      <c r="AV56" s="416"/>
      <c r="AW56" s="416"/>
      <c r="AX56" s="416"/>
      <c r="AY56" s="416"/>
      <c r="AZ56" s="32"/>
    </row>
    <row r="57" spans="2:52">
      <c r="B57" s="1256" t="s">
        <v>548</v>
      </c>
      <c r="C57" s="1257"/>
      <c r="D57" s="411" t="s">
        <v>415</v>
      </c>
      <c r="E57" s="411"/>
      <c r="F57" s="411" t="s">
        <v>295</v>
      </c>
      <c r="G57" s="411" t="s">
        <v>296</v>
      </c>
      <c r="H57" s="412">
        <f>8745.888-1609.03800000002</f>
        <v>7136.8499999999804</v>
      </c>
      <c r="I57" s="413" t="s">
        <v>235</v>
      </c>
      <c r="J57" s="414">
        <v>44955.517361111109</v>
      </c>
      <c r="K57" s="414"/>
      <c r="L57" s="414" t="s">
        <v>192</v>
      </c>
      <c r="M57" s="414" t="s">
        <v>192</v>
      </c>
      <c r="N57" s="413" t="str">
        <f t="shared" si="3"/>
        <v>DELAY ( 2 day 19 hour 45 minute )</v>
      </c>
      <c r="O57" s="51"/>
      <c r="P57" s="415" t="s">
        <v>551</v>
      </c>
      <c r="Q57" s="415" t="s">
        <v>551</v>
      </c>
      <c r="R57" s="415" t="s">
        <v>551</v>
      </c>
      <c r="S57" s="32"/>
      <c r="T57" s="416"/>
      <c r="U57" s="416"/>
      <c r="V57" s="416"/>
      <c r="W57" s="416"/>
      <c r="X57" s="416"/>
      <c r="Y57" s="416"/>
      <c r="Z57" s="416"/>
      <c r="AA57" s="416"/>
      <c r="AB57" s="416">
        <f>H57</f>
        <v>7136.8499999999804</v>
      </c>
      <c r="AC57" s="416"/>
      <c r="AD57" s="416"/>
      <c r="AE57" s="416"/>
      <c r="AF57" s="416"/>
      <c r="AG57" s="416"/>
      <c r="AH57" s="416"/>
      <c r="AI57" s="416"/>
      <c r="AJ57" s="416"/>
      <c r="AK57" s="416"/>
      <c r="AL57" s="416"/>
      <c r="AM57" s="416"/>
      <c r="AN57" s="416"/>
      <c r="AO57" s="416"/>
      <c r="AP57" s="416"/>
      <c r="AQ57" s="416"/>
      <c r="AR57" s="416"/>
      <c r="AS57" s="416"/>
      <c r="AT57" s="416"/>
      <c r="AU57" s="416"/>
      <c r="AV57" s="416"/>
      <c r="AW57" s="416"/>
      <c r="AX57" s="416"/>
      <c r="AY57" s="416"/>
      <c r="AZ57" s="32"/>
    </row>
    <row r="58" spans="2:52">
      <c r="B58" s="1258" t="s">
        <v>556</v>
      </c>
      <c r="C58" s="1259"/>
      <c r="D58" s="1259"/>
      <c r="E58" s="1259"/>
      <c r="F58" s="1259"/>
      <c r="G58" s="1260"/>
      <c r="H58" s="417">
        <f>SUM(H48:H57)</f>
        <v>65699.999999999985</v>
      </c>
      <c r="I58" s="388"/>
      <c r="J58" s="293"/>
      <c r="K58" s="293"/>
      <c r="L58" s="293"/>
      <c r="M58" s="389"/>
      <c r="N58" s="413" t="str">
        <f>IF(ISBLANK(J58)," ",IF(J58&lt;$F$4,"On time",(IF(DAY(J58-$F$4)&lt;1,"On time",(IF(J58&gt;$F$4,"DELAY ( "&amp;DAY(J58-$F$4)&amp;" day "&amp;HOUR(J58-$F$4)&amp;" hour "&amp;MINUTE(J58-$F$4)&amp;" minute )","xxx"))))))</f>
        <v xml:space="preserve"> </v>
      </c>
      <c r="O58" s="212"/>
      <c r="P58" s="418"/>
      <c r="Q58" s="418"/>
      <c r="R58" s="418"/>
      <c r="S58" s="207"/>
      <c r="T58" s="1262"/>
      <c r="U58" s="1263"/>
      <c r="V58" s="1263"/>
      <c r="W58" s="1263"/>
      <c r="X58" s="1263"/>
      <c r="Y58" s="1263"/>
      <c r="Z58" s="1263"/>
      <c r="AA58" s="1263"/>
      <c r="AB58" s="1263"/>
      <c r="AC58" s="1263"/>
      <c r="AD58" s="1263"/>
      <c r="AE58" s="1263"/>
      <c r="AF58" s="1263"/>
      <c r="AG58" s="1263"/>
      <c r="AH58" s="1263"/>
      <c r="AI58" s="1263"/>
      <c r="AJ58" s="1263"/>
      <c r="AK58" s="1263"/>
      <c r="AL58" s="1263"/>
      <c r="AM58" s="1263"/>
      <c r="AN58" s="1263"/>
      <c r="AO58" s="1263"/>
      <c r="AP58" s="1263"/>
      <c r="AQ58" s="1263"/>
      <c r="AR58" s="1263"/>
      <c r="AS58" s="1263"/>
      <c r="AT58" s="1263"/>
      <c r="AU58" s="1263"/>
      <c r="AV58" s="1263"/>
      <c r="AW58" s="1263"/>
      <c r="AX58" s="1263"/>
      <c r="AY58" s="1264"/>
    </row>
    <row r="59" spans="2:52">
      <c r="B59" s="1243" t="s">
        <v>557</v>
      </c>
      <c r="C59" s="1244"/>
      <c r="D59" s="1244"/>
      <c r="E59" s="1244"/>
      <c r="F59" s="1244"/>
      <c r="G59" s="1245"/>
      <c r="H59" s="419">
        <v>65700</v>
      </c>
      <c r="I59" s="1273"/>
      <c r="J59" s="1274"/>
      <c r="K59" s="1274"/>
      <c r="L59" s="1274"/>
      <c r="M59" s="1275"/>
      <c r="N59" s="413" t="str">
        <f>IF(ISBLANK(J59)," ",IF(J59&lt;$F$4,"On time",(IF(DAY(J59-$F$4)&lt;1,"On time",(IF(J59&gt;$F$4,"DELAY ( "&amp;DAY(J59-$F$4)&amp;" day "&amp;HOUR(J59-$F$4)&amp;" hour "&amp;MINUTE(J59-$F$4)&amp;" minute )","xxx"))))))</f>
        <v xml:space="preserve"> </v>
      </c>
      <c r="O59" s="32"/>
      <c r="P59" s="415"/>
      <c r="Q59" s="415"/>
      <c r="R59" s="415"/>
      <c r="S59" s="63"/>
      <c r="T59" s="416">
        <f>SUM(T48:T57)</f>
        <v>0</v>
      </c>
      <c r="U59" s="416">
        <f t="shared" ref="U59:AY59" si="4">SUM(U48:U57)</f>
        <v>0</v>
      </c>
      <c r="V59" s="416">
        <f t="shared" si="4"/>
        <v>0</v>
      </c>
      <c r="W59" s="416">
        <f t="shared" si="4"/>
        <v>0</v>
      </c>
      <c r="X59" s="416">
        <f t="shared" si="4"/>
        <v>0</v>
      </c>
      <c r="Y59" s="416">
        <f t="shared" si="4"/>
        <v>0</v>
      </c>
      <c r="Z59" s="416">
        <f t="shared" si="4"/>
        <v>0</v>
      </c>
      <c r="AA59" s="416">
        <f t="shared" si="4"/>
        <v>0</v>
      </c>
      <c r="AB59" s="416">
        <f t="shared" si="4"/>
        <v>43378.999999999971</v>
      </c>
      <c r="AC59" s="416">
        <f t="shared" si="4"/>
        <v>7321</v>
      </c>
      <c r="AD59" s="416">
        <f t="shared" si="4"/>
        <v>0</v>
      </c>
      <c r="AE59" s="416">
        <f t="shared" si="4"/>
        <v>0</v>
      </c>
      <c r="AF59" s="416">
        <f t="shared" si="4"/>
        <v>0</v>
      </c>
      <c r="AG59" s="416">
        <f t="shared" si="4"/>
        <v>0</v>
      </c>
      <c r="AH59" s="416">
        <f t="shared" si="4"/>
        <v>0</v>
      </c>
      <c r="AI59" s="416">
        <f t="shared" si="4"/>
        <v>0</v>
      </c>
      <c r="AJ59" s="416">
        <f t="shared" si="4"/>
        <v>7500</v>
      </c>
      <c r="AK59" s="416">
        <f t="shared" si="4"/>
        <v>7500</v>
      </c>
      <c r="AL59" s="416">
        <f t="shared" si="4"/>
        <v>0</v>
      </c>
      <c r="AM59" s="416">
        <f t="shared" si="4"/>
        <v>0</v>
      </c>
      <c r="AN59" s="416">
        <f t="shared" si="4"/>
        <v>0</v>
      </c>
      <c r="AO59" s="416">
        <f t="shared" si="4"/>
        <v>0</v>
      </c>
      <c r="AP59" s="416">
        <f t="shared" si="4"/>
        <v>0</v>
      </c>
      <c r="AQ59" s="416">
        <f t="shared" si="4"/>
        <v>0</v>
      </c>
      <c r="AR59" s="416">
        <f t="shared" si="4"/>
        <v>0</v>
      </c>
      <c r="AS59" s="416">
        <f t="shared" si="4"/>
        <v>0</v>
      </c>
      <c r="AT59" s="416">
        <f t="shared" si="4"/>
        <v>0</v>
      </c>
      <c r="AU59" s="416">
        <f t="shared" si="4"/>
        <v>0</v>
      </c>
      <c r="AV59" s="416">
        <f t="shared" si="4"/>
        <v>0</v>
      </c>
      <c r="AW59" s="416">
        <f t="shared" si="4"/>
        <v>0</v>
      </c>
      <c r="AX59" s="416">
        <f t="shared" si="4"/>
        <v>0</v>
      </c>
      <c r="AY59" s="416">
        <f t="shared" si="4"/>
        <v>0</v>
      </c>
      <c r="AZ59" s="416">
        <f>SUM(T59:AY59)</f>
        <v>65699.999999999971</v>
      </c>
    </row>
    <row r="60" spans="2:52">
      <c r="B60" s="1243" t="s">
        <v>558</v>
      </c>
      <c r="C60" s="1244"/>
      <c r="D60" s="1244"/>
      <c r="E60" s="1244"/>
      <c r="F60" s="1244"/>
      <c r="G60" s="1245"/>
      <c r="H60" s="420">
        <f>H59-L42</f>
        <v>0</v>
      </c>
      <c r="I60" s="294"/>
      <c r="J60" s="295"/>
      <c r="K60" s="295"/>
      <c r="L60" s="296"/>
      <c r="M60" s="32"/>
      <c r="N60" s="32"/>
      <c r="O60" s="32"/>
      <c r="P60" s="32"/>
      <c r="Q60" s="297"/>
      <c r="R60" s="297"/>
      <c r="S60" s="32"/>
      <c r="T60" s="48"/>
      <c r="U60" s="48"/>
      <c r="V60" s="48"/>
      <c r="W60" s="48"/>
      <c r="X60" s="48"/>
      <c r="Y60" s="48"/>
      <c r="Z60" s="48"/>
      <c r="AA60" s="48"/>
      <c r="AB60" s="48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</row>
    <row r="61" spans="2:52">
      <c r="B61" s="1243" t="s">
        <v>559</v>
      </c>
      <c r="C61" s="1244"/>
      <c r="D61" s="1244"/>
      <c r="E61" s="1244"/>
      <c r="F61" s="1244"/>
      <c r="G61" s="1245"/>
      <c r="H61" s="420">
        <v>1310.0260000000001</v>
      </c>
      <c r="I61" s="52"/>
      <c r="J61" s="53"/>
      <c r="K61" s="53"/>
      <c r="L61" s="54"/>
      <c r="M61" s="32"/>
      <c r="N61" s="201"/>
      <c r="O61" s="32"/>
      <c r="P61" s="32"/>
      <c r="Q61" s="32"/>
      <c r="R61" s="32"/>
      <c r="S61" s="32"/>
      <c r="T61" s="48"/>
      <c r="U61" s="48"/>
      <c r="V61" s="48"/>
      <c r="W61" s="48"/>
      <c r="X61" s="48"/>
      <c r="Y61" s="48"/>
      <c r="Z61" s="48"/>
      <c r="AA61" s="48"/>
      <c r="AB61" s="48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</row>
    <row r="62" spans="2:52">
      <c r="B62" s="1243" t="s">
        <v>560</v>
      </c>
      <c r="C62" s="1244"/>
      <c r="D62" s="1244"/>
      <c r="E62" s="1244"/>
      <c r="F62" s="1244"/>
      <c r="G62" s="1245"/>
      <c r="H62" s="421">
        <f>H61-1609.03800000002</f>
        <v>-299.01200000001995</v>
      </c>
      <c r="I62" s="255"/>
      <c r="J62" s="53"/>
      <c r="K62" s="53"/>
      <c r="L62" s="54"/>
      <c r="M62" s="32"/>
      <c r="N62" s="32"/>
      <c r="O62" s="32"/>
      <c r="P62" s="32"/>
      <c r="Q62" s="32"/>
      <c r="R62" s="32"/>
      <c r="S62" s="48"/>
      <c r="T62" s="48"/>
      <c r="U62" s="48"/>
      <c r="V62" s="48"/>
      <c r="W62" s="48"/>
      <c r="X62" s="48"/>
      <c r="Y62" s="48"/>
      <c r="Z62" s="48"/>
      <c r="AA62" s="48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</row>
    <row r="63" spans="2:52">
      <c r="B63" s="201"/>
      <c r="C63" s="201"/>
      <c r="D63" s="201"/>
      <c r="E63" s="201"/>
      <c r="F63" s="201"/>
      <c r="G63" s="201"/>
      <c r="H63" s="201"/>
      <c r="I63" s="213"/>
      <c r="J63" s="209"/>
      <c r="K63" s="209"/>
      <c r="L63" s="203"/>
      <c r="M63" s="201"/>
      <c r="N63" s="201"/>
      <c r="O63" s="209"/>
      <c r="P63" s="32"/>
      <c r="Q63" s="32"/>
      <c r="R63" s="32"/>
      <c r="S63" s="32"/>
      <c r="T63" s="48"/>
      <c r="U63" s="48"/>
      <c r="V63" s="48"/>
      <c r="W63" s="48"/>
      <c r="X63" s="48"/>
      <c r="Y63" s="48"/>
      <c r="Z63" s="48"/>
      <c r="AA63" s="48"/>
      <c r="AB63" s="48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</row>
    <row r="64" spans="2:52">
      <c r="B64" s="40" t="s">
        <v>561</v>
      </c>
      <c r="C64" s="40"/>
      <c r="D64" s="32"/>
      <c r="E64" s="32"/>
      <c r="F64" s="32"/>
      <c r="G64" s="32"/>
      <c r="H64" s="32"/>
      <c r="I64" s="32"/>
      <c r="J64" s="52"/>
      <c r="K64" s="52"/>
      <c r="L64" s="55"/>
      <c r="M64" s="32"/>
      <c r="N64" s="201"/>
      <c r="O64" s="5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/>
      <c r="AT64" s="201"/>
      <c r="AU64" s="201"/>
      <c r="AZ64" s="201"/>
    </row>
    <row r="65" spans="2:52">
      <c r="B65" s="422">
        <v>1</v>
      </c>
      <c r="C65" s="1249" t="s">
        <v>874</v>
      </c>
      <c r="D65" s="1249"/>
      <c r="E65" s="1249"/>
      <c r="F65" s="1249"/>
      <c r="G65" s="1249"/>
      <c r="H65" s="1249"/>
      <c r="I65" s="1249"/>
      <c r="J65" s="1249"/>
      <c r="K65" s="1249"/>
      <c r="L65" s="203"/>
      <c r="M65" s="201"/>
      <c r="N65" s="201"/>
      <c r="O65" s="209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  <c r="AP65" s="201"/>
      <c r="AQ65" s="201"/>
      <c r="AR65" s="201"/>
      <c r="AS65" s="201"/>
      <c r="AT65" s="201"/>
      <c r="AU65" s="201"/>
      <c r="AZ65" s="201"/>
    </row>
    <row r="67" spans="2:52">
      <c r="B67" s="28" t="s">
        <v>2</v>
      </c>
      <c r="C67" s="28"/>
      <c r="D67" s="29"/>
      <c r="E67" s="30" t="s">
        <v>511</v>
      </c>
      <c r="F67" s="31" t="s">
        <v>394</v>
      </c>
      <c r="G67" s="32"/>
      <c r="H67" s="33"/>
      <c r="I67" s="34"/>
      <c r="J67" s="35" t="s">
        <v>513</v>
      </c>
      <c r="K67" s="36" t="s">
        <v>511</v>
      </c>
      <c r="L67" s="37">
        <v>44961.611111111109</v>
      </c>
      <c r="M67" s="32"/>
      <c r="N67" s="32"/>
      <c r="O67" s="206"/>
      <c r="P67" s="205"/>
      <c r="Q67" s="202"/>
      <c r="R67" s="204"/>
      <c r="S67" s="38"/>
      <c r="T67" s="201"/>
      <c r="U67" s="201"/>
      <c r="V67" s="201"/>
      <c r="W67" s="201"/>
      <c r="X67" s="201"/>
      <c r="Y67" s="201"/>
      <c r="Z67" s="201"/>
      <c r="AA67" s="201"/>
      <c r="AB67" s="202"/>
      <c r="AC67" s="202"/>
      <c r="AD67" s="202"/>
      <c r="AE67" s="202"/>
      <c r="AF67" s="202"/>
      <c r="AG67" s="201"/>
      <c r="AH67" s="201"/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1"/>
      <c r="AU67" s="201"/>
      <c r="AV67" s="201"/>
      <c r="AW67" s="201"/>
      <c r="AX67" s="201"/>
      <c r="AY67" s="201"/>
      <c r="AZ67" s="201"/>
    </row>
    <row r="68" spans="2:52">
      <c r="B68" s="35" t="s">
        <v>514</v>
      </c>
      <c r="C68" s="35"/>
      <c r="D68" s="32"/>
      <c r="E68" s="36" t="s">
        <v>511</v>
      </c>
      <c r="F68" s="37" t="s">
        <v>875</v>
      </c>
      <c r="G68" s="32"/>
      <c r="H68" s="33"/>
      <c r="I68" s="34"/>
      <c r="J68" s="35" t="s">
        <v>516</v>
      </c>
      <c r="K68" s="36" t="s">
        <v>511</v>
      </c>
      <c r="L68" s="37">
        <v>44963.229166666664</v>
      </c>
      <c r="M68" s="32"/>
      <c r="N68" s="32"/>
      <c r="O68" s="206"/>
      <c r="P68" s="205"/>
      <c r="Q68" s="202"/>
      <c r="R68" s="204"/>
      <c r="S68" s="38"/>
      <c r="T68" s="201"/>
      <c r="U68" s="201"/>
      <c r="V68" s="201"/>
      <c r="W68" s="201"/>
      <c r="X68" s="201"/>
      <c r="Y68" s="201"/>
      <c r="Z68" s="201"/>
      <c r="AA68" s="201"/>
      <c r="AB68" s="202"/>
      <c r="AC68" s="202"/>
      <c r="AD68" s="202"/>
      <c r="AE68" s="202"/>
      <c r="AF68" s="202"/>
      <c r="AG68" s="201"/>
      <c r="AH68" s="201"/>
      <c r="AI68" s="201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  <c r="AT68" s="201"/>
      <c r="AU68" s="201"/>
      <c r="AV68" s="201"/>
      <c r="AW68" s="201"/>
      <c r="AX68" s="201"/>
      <c r="AY68" s="201"/>
      <c r="AZ68" s="201"/>
    </row>
    <row r="69" spans="2:52">
      <c r="B69" s="35" t="s">
        <v>517</v>
      </c>
      <c r="C69" s="35"/>
      <c r="D69" s="32"/>
      <c r="E69" s="36" t="s">
        <v>511</v>
      </c>
      <c r="F69" s="37">
        <v>44956.833333333336</v>
      </c>
      <c r="G69" s="32"/>
      <c r="H69" s="33"/>
      <c r="I69" s="34"/>
      <c r="J69" s="35" t="s">
        <v>518</v>
      </c>
      <c r="K69" s="36" t="s">
        <v>511</v>
      </c>
      <c r="L69" s="50">
        <v>53800</v>
      </c>
      <c r="M69" s="40" t="s">
        <v>519</v>
      </c>
      <c r="N69" s="40"/>
      <c r="O69" s="206"/>
      <c r="P69" s="205"/>
      <c r="Q69" s="202"/>
      <c r="R69" s="204"/>
      <c r="S69" s="38"/>
      <c r="T69" s="201"/>
      <c r="U69" s="201"/>
      <c r="V69" s="201"/>
      <c r="W69" s="201"/>
      <c r="X69" s="201"/>
      <c r="Y69" s="201"/>
      <c r="Z69" s="201"/>
      <c r="AA69" s="201"/>
      <c r="AB69" s="202"/>
      <c r="AC69" s="202"/>
      <c r="AD69" s="202"/>
      <c r="AE69" s="202"/>
      <c r="AF69" s="202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</row>
    <row r="70" spans="2:52">
      <c r="B70" s="35" t="s">
        <v>520</v>
      </c>
      <c r="C70" s="35"/>
      <c r="D70" s="32"/>
      <c r="E70" s="36" t="s">
        <v>511</v>
      </c>
      <c r="F70" s="37" t="s">
        <v>4</v>
      </c>
      <c r="G70" s="32"/>
      <c r="H70" s="33"/>
      <c r="I70" s="34"/>
      <c r="J70" s="35" t="s">
        <v>521</v>
      </c>
      <c r="K70" s="36" t="s">
        <v>511</v>
      </c>
      <c r="L70" s="41" t="s">
        <v>876</v>
      </c>
      <c r="M70" s="32"/>
      <c r="N70" s="32"/>
      <c r="O70" s="206"/>
      <c r="P70" s="202"/>
      <c r="Q70" s="202"/>
      <c r="R70" s="204"/>
      <c r="S70" s="38"/>
      <c r="T70" s="201"/>
      <c r="U70" s="201"/>
      <c r="V70" s="201"/>
      <c r="W70" s="201"/>
      <c r="X70" s="201"/>
      <c r="Y70" s="201"/>
      <c r="Z70" s="201"/>
      <c r="AA70" s="201"/>
      <c r="AB70" s="202"/>
      <c r="AC70" s="202"/>
      <c r="AD70" s="202"/>
      <c r="AE70" s="202"/>
      <c r="AF70" s="202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  <c r="AT70" s="201"/>
      <c r="AU70" s="201"/>
      <c r="AV70" s="201"/>
      <c r="AW70" s="201"/>
      <c r="AX70" s="201"/>
      <c r="AY70" s="201"/>
      <c r="AZ70" s="201"/>
    </row>
    <row r="71" spans="2:52">
      <c r="B71" s="35" t="s">
        <v>523</v>
      </c>
      <c r="C71" s="35"/>
      <c r="D71" s="32"/>
      <c r="E71" s="36" t="s">
        <v>511</v>
      </c>
      <c r="F71" s="37" t="s">
        <v>5</v>
      </c>
      <c r="G71" s="32"/>
      <c r="H71" s="33"/>
      <c r="I71" s="34"/>
      <c r="J71" s="42" t="s">
        <v>524</v>
      </c>
      <c r="K71" s="36" t="s">
        <v>511</v>
      </c>
      <c r="L71" s="43" t="s">
        <v>15</v>
      </c>
      <c r="M71" s="44"/>
      <c r="N71" s="44"/>
      <c r="O71" s="206"/>
      <c r="P71" s="205"/>
      <c r="Q71" s="202"/>
      <c r="R71" s="204"/>
      <c r="S71" s="38"/>
      <c r="T71" s="201"/>
      <c r="U71" s="201"/>
      <c r="V71" s="201"/>
      <c r="W71" s="201"/>
      <c r="X71" s="201"/>
      <c r="Y71" s="201"/>
      <c r="Z71" s="201"/>
      <c r="AA71" s="201"/>
      <c r="AB71" s="202"/>
      <c r="AC71" s="202"/>
      <c r="AD71" s="202"/>
      <c r="AE71" s="202"/>
      <c r="AF71" s="202"/>
      <c r="AG71" s="201"/>
      <c r="AH71" s="201"/>
      <c r="AI71" s="201"/>
      <c r="AJ71" s="201"/>
      <c r="AK71" s="201"/>
      <c r="AL71" s="201"/>
      <c r="AM71" s="201"/>
      <c r="AN71" s="201"/>
      <c r="AO71" s="201"/>
      <c r="AP71" s="201"/>
      <c r="AQ71" s="201"/>
      <c r="AR71" s="201"/>
      <c r="AS71" s="201"/>
      <c r="AT71" s="201"/>
      <c r="AU71" s="201"/>
      <c r="AV71" s="201"/>
      <c r="AW71" s="201"/>
      <c r="AX71" s="201"/>
      <c r="AY71" s="201"/>
      <c r="AZ71" s="201"/>
    </row>
    <row r="72" spans="2:52">
      <c r="B72" s="35" t="s">
        <v>2</v>
      </c>
      <c r="C72" s="35"/>
      <c r="D72" s="32"/>
      <c r="E72" s="36" t="s">
        <v>511</v>
      </c>
      <c r="F72" s="37" t="s">
        <v>42</v>
      </c>
      <c r="G72" s="32"/>
      <c r="H72" s="33"/>
      <c r="I72" s="45"/>
      <c r="J72" s="42"/>
      <c r="K72" s="36"/>
      <c r="L72" s="211"/>
      <c r="M72" s="201"/>
      <c r="N72" s="201"/>
      <c r="O72" s="42"/>
      <c r="P72" s="44"/>
      <c r="Q72" s="44"/>
      <c r="R72" s="44"/>
      <c r="S72" s="34"/>
      <c r="T72" s="201"/>
      <c r="U72" s="201"/>
      <c r="V72" s="201"/>
      <c r="W72" s="201"/>
      <c r="X72" s="201"/>
      <c r="Y72" s="201"/>
      <c r="Z72" s="201"/>
      <c r="AA72" s="201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201"/>
      <c r="AP72" s="201"/>
      <c r="AQ72" s="201"/>
      <c r="AR72" s="201"/>
      <c r="AS72" s="201"/>
      <c r="AT72" s="201"/>
      <c r="AU72" s="201"/>
      <c r="AV72" s="201"/>
      <c r="AW72" s="201"/>
      <c r="AX72" s="201"/>
      <c r="AY72" s="201"/>
      <c r="AZ72" s="201"/>
    </row>
    <row r="73" spans="2:52">
      <c r="B73" s="201"/>
      <c r="C73" s="201"/>
      <c r="D73" s="201"/>
      <c r="E73" s="201"/>
      <c r="F73" s="201"/>
      <c r="G73" s="201"/>
      <c r="H73" s="201"/>
      <c r="I73" s="45"/>
      <c r="J73" s="42"/>
      <c r="K73" s="42"/>
      <c r="L73" s="43"/>
      <c r="M73" s="44"/>
      <c r="N73" s="44"/>
      <c r="O73" s="42"/>
      <c r="P73" s="44"/>
      <c r="Q73" s="44"/>
      <c r="R73" s="44"/>
      <c r="S73" s="34"/>
      <c r="T73" s="1265" t="s">
        <v>87</v>
      </c>
      <c r="U73" s="1265"/>
      <c r="V73" s="1265"/>
      <c r="W73" s="1265"/>
      <c r="X73" s="1265"/>
      <c r="Y73" s="1265" t="s">
        <v>73</v>
      </c>
      <c r="Z73" s="1265"/>
      <c r="AA73" s="1265"/>
      <c r="AB73" s="1265" t="s">
        <v>74</v>
      </c>
      <c r="AC73" s="1265"/>
      <c r="AD73" s="423" t="s">
        <v>85</v>
      </c>
      <c r="AE73" s="423" t="s">
        <v>77</v>
      </c>
      <c r="AF73" s="1265" t="s">
        <v>525</v>
      </c>
      <c r="AG73" s="1265"/>
      <c r="AH73" s="1265"/>
      <c r="AI73" s="1265"/>
      <c r="AJ73" s="1265"/>
      <c r="AK73" s="1265"/>
      <c r="AL73" s="1265"/>
      <c r="AM73" s="1265"/>
      <c r="AN73" s="1265"/>
      <c r="AO73" s="1265"/>
      <c r="AP73" s="1265"/>
      <c r="AQ73" s="1265"/>
      <c r="AR73" s="1265"/>
      <c r="AS73" s="1265"/>
      <c r="AT73" s="1265"/>
      <c r="AU73" s="1265"/>
      <c r="AV73" s="1265"/>
      <c r="AW73" s="1265"/>
      <c r="AX73" s="1265"/>
      <c r="AY73" s="1265"/>
      <c r="AZ73" s="201"/>
    </row>
    <row r="74" spans="2:52">
      <c r="B74" s="1266" t="s">
        <v>526</v>
      </c>
      <c r="C74" s="1267"/>
      <c r="D74" s="570" t="s">
        <v>527</v>
      </c>
      <c r="E74" s="570"/>
      <c r="F74" s="570" t="s">
        <v>528</v>
      </c>
      <c r="G74" s="570" t="s">
        <v>529</v>
      </c>
      <c r="H74" s="570" t="s">
        <v>530</v>
      </c>
      <c r="I74" s="570" t="s">
        <v>531</v>
      </c>
      <c r="J74" s="570" t="s">
        <v>532</v>
      </c>
      <c r="K74" s="570"/>
      <c r="L74" s="570" t="s">
        <v>130</v>
      </c>
      <c r="M74" s="570" t="s">
        <v>533</v>
      </c>
      <c r="N74" s="408" t="str">
        <f>"On time - "&amp;COUNTIF(N75:N90,"On time")&amp;" from "&amp;ROWS(N75:N90)-COUNTIF(N75:N90," ")</f>
        <v>On time - 1 from 7</v>
      </c>
      <c r="O74" s="46"/>
      <c r="P74" s="409" t="s">
        <v>534</v>
      </c>
      <c r="Q74" s="409" t="s">
        <v>535</v>
      </c>
      <c r="R74" s="409" t="s">
        <v>536</v>
      </c>
      <c r="S74" s="32"/>
      <c r="T74" s="424" t="s">
        <v>537</v>
      </c>
      <c r="U74" s="424" t="s">
        <v>538</v>
      </c>
      <c r="V74" s="424" t="s">
        <v>539</v>
      </c>
      <c r="W74" s="424" t="s">
        <v>540</v>
      </c>
      <c r="X74" s="424" t="s">
        <v>541</v>
      </c>
      <c r="Y74" s="424" t="s">
        <v>167</v>
      </c>
      <c r="Z74" s="424" t="s">
        <v>168</v>
      </c>
      <c r="AA74" s="424" t="s">
        <v>169</v>
      </c>
      <c r="AB74" s="424" t="s">
        <v>235</v>
      </c>
      <c r="AC74" s="424" t="s">
        <v>542</v>
      </c>
      <c r="AD74" s="423" t="s">
        <v>85</v>
      </c>
      <c r="AE74" s="424" t="s">
        <v>139</v>
      </c>
      <c r="AF74" s="424" t="s">
        <v>72</v>
      </c>
      <c r="AG74" s="424" t="s">
        <v>88</v>
      </c>
      <c r="AH74" s="424" t="s">
        <v>75</v>
      </c>
      <c r="AI74" s="424" t="s">
        <v>543</v>
      </c>
      <c r="AJ74" s="424" t="s">
        <v>78</v>
      </c>
      <c r="AK74" s="424" t="s">
        <v>76</v>
      </c>
      <c r="AL74" s="424" t="s">
        <v>544</v>
      </c>
      <c r="AM74" s="424" t="s">
        <v>545</v>
      </c>
      <c r="AN74" s="424" t="s">
        <v>86</v>
      </c>
      <c r="AO74" s="424" t="s">
        <v>83</v>
      </c>
      <c r="AP74" s="424" t="s">
        <v>84</v>
      </c>
      <c r="AQ74" s="424" t="s">
        <v>546</v>
      </c>
      <c r="AR74" s="424" t="s">
        <v>81</v>
      </c>
      <c r="AS74" s="424" t="s">
        <v>80</v>
      </c>
      <c r="AT74" s="424" t="s">
        <v>82</v>
      </c>
      <c r="AU74" s="424" t="s">
        <v>181</v>
      </c>
      <c r="AV74" s="424" t="s">
        <v>183</v>
      </c>
      <c r="AW74" s="424" t="s">
        <v>547</v>
      </c>
      <c r="AX74" s="424" t="s">
        <v>182</v>
      </c>
      <c r="AY74" s="424" t="s">
        <v>172</v>
      </c>
      <c r="AZ74" s="201"/>
    </row>
    <row r="75" spans="2:52">
      <c r="B75" s="1256" t="s">
        <v>616</v>
      </c>
      <c r="C75" s="1257"/>
      <c r="D75" s="411" t="s">
        <v>445</v>
      </c>
      <c r="E75" s="411"/>
      <c r="F75" s="411" t="s">
        <v>383</v>
      </c>
      <c r="G75" s="411" t="s">
        <v>384</v>
      </c>
      <c r="H75" s="412">
        <v>5180</v>
      </c>
      <c r="I75" s="413" t="s">
        <v>81</v>
      </c>
      <c r="J75" s="414">
        <v>44957.333333333336</v>
      </c>
      <c r="K75" s="414"/>
      <c r="L75" s="414" t="s">
        <v>192</v>
      </c>
      <c r="M75" s="414" t="s">
        <v>192</v>
      </c>
      <c r="N75" s="413" t="str">
        <f>IF(ISBLANK(J75)," ",IF(J75&lt;$F$69,"On time",(IF(DAY(J75-$F$69)&lt;1,"On time",(IF(J75&gt;$F$69,"DELAY ( "&amp;DAY(J75-$F$69)&amp;" day "&amp;HOUR(J75-$F$69)&amp;" hour "&amp;MINUTE(J75-$F$69)&amp;" minute )","xxx"))))))</f>
        <v>On time</v>
      </c>
      <c r="O75" s="51"/>
      <c r="P75" s="415" t="s">
        <v>551</v>
      </c>
      <c r="Q75" s="415" t="s">
        <v>551</v>
      </c>
      <c r="R75" s="415" t="s">
        <v>551</v>
      </c>
      <c r="S75" s="32"/>
      <c r="T75" s="416"/>
      <c r="U75" s="416"/>
      <c r="V75" s="416"/>
      <c r="W75" s="416"/>
      <c r="X75" s="416"/>
      <c r="Y75" s="416"/>
      <c r="Z75" s="416"/>
      <c r="AA75" s="416"/>
      <c r="AB75" s="416"/>
      <c r="AC75" s="416"/>
      <c r="AD75" s="416"/>
      <c r="AE75" s="416"/>
      <c r="AF75" s="416"/>
      <c r="AG75" s="416"/>
      <c r="AH75" s="416"/>
      <c r="AI75" s="416"/>
      <c r="AJ75" s="416"/>
      <c r="AK75" s="416"/>
      <c r="AL75" s="416"/>
      <c r="AM75" s="416"/>
      <c r="AN75" s="416"/>
      <c r="AO75" s="416"/>
      <c r="AP75" s="416"/>
      <c r="AQ75" s="416"/>
      <c r="AR75" s="416">
        <f>H75</f>
        <v>5180</v>
      </c>
      <c r="AS75" s="416"/>
      <c r="AT75" s="416"/>
      <c r="AU75" s="416"/>
      <c r="AV75" s="416"/>
      <c r="AW75" s="416"/>
      <c r="AX75" s="416"/>
      <c r="AY75" s="416"/>
      <c r="AZ75" s="32"/>
    </row>
    <row r="76" spans="2:52">
      <c r="B76" s="1256" t="s">
        <v>668</v>
      </c>
      <c r="C76" s="1257"/>
      <c r="D76" s="411" t="s">
        <v>877</v>
      </c>
      <c r="E76" s="411"/>
      <c r="F76" s="411" t="s">
        <v>878</v>
      </c>
      <c r="G76" s="411" t="s">
        <v>879</v>
      </c>
      <c r="H76" s="412">
        <v>7350.3149999999996</v>
      </c>
      <c r="I76" s="413" t="s">
        <v>567</v>
      </c>
      <c r="J76" s="414">
        <v>44957.993055555555</v>
      </c>
      <c r="K76" s="414"/>
      <c r="L76" s="414" t="s">
        <v>192</v>
      </c>
      <c r="M76" s="414" t="s">
        <v>192</v>
      </c>
      <c r="N76" s="413" t="str">
        <f t="shared" ref="N76:N93" si="5">IF(ISBLANK(J76)," ",IF(J76&lt;$F$69,"On time",(IF(DAY(J76-$F$69)&lt;1,"On time",(IF(J76&gt;$F$69,"DELAY ( "&amp;DAY(J76-$F$69)&amp;" day "&amp;HOUR(J76-$F$69)&amp;" hour "&amp;MINUTE(J76-$F$69)&amp;" minute )","xxx"))))))</f>
        <v>DELAY ( 1 day 3 hour 50 minute )</v>
      </c>
      <c r="O76" s="51"/>
      <c r="P76" s="415" t="s">
        <v>551</v>
      </c>
      <c r="Q76" s="415" t="s">
        <v>551</v>
      </c>
      <c r="R76" s="415" t="s">
        <v>551</v>
      </c>
      <c r="S76" s="32"/>
      <c r="T76" s="416"/>
      <c r="U76" s="416"/>
      <c r="V76" s="416"/>
      <c r="W76" s="416"/>
      <c r="X76" s="416"/>
      <c r="Y76" s="416"/>
      <c r="Z76" s="416"/>
      <c r="AA76" s="416">
        <f>H76</f>
        <v>7350.3149999999996</v>
      </c>
      <c r="AB76" s="416"/>
      <c r="AC76" s="416"/>
      <c r="AD76" s="416"/>
      <c r="AE76" s="416"/>
      <c r="AF76" s="416"/>
      <c r="AG76" s="416"/>
      <c r="AH76" s="416"/>
      <c r="AI76" s="416"/>
      <c r="AJ76" s="416"/>
      <c r="AK76" s="416"/>
      <c r="AL76" s="416"/>
      <c r="AM76" s="416"/>
      <c r="AN76" s="416"/>
      <c r="AO76" s="416"/>
      <c r="AP76" s="416"/>
      <c r="AQ76" s="416"/>
      <c r="AR76" s="416"/>
      <c r="AS76" s="416"/>
      <c r="AT76" s="416"/>
      <c r="AU76" s="416"/>
      <c r="AV76" s="416"/>
      <c r="AW76" s="416"/>
      <c r="AX76" s="416"/>
      <c r="AY76" s="416"/>
      <c r="AZ76" s="32"/>
    </row>
    <row r="77" spans="2:52">
      <c r="B77" s="1256" t="s">
        <v>616</v>
      </c>
      <c r="C77" s="1257"/>
      <c r="D77" s="411" t="s">
        <v>475</v>
      </c>
      <c r="E77" s="411"/>
      <c r="F77" s="411" t="s">
        <v>473</v>
      </c>
      <c r="G77" s="411" t="s">
        <v>474</v>
      </c>
      <c r="H77" s="412">
        <v>7501.8609999999999</v>
      </c>
      <c r="I77" s="413" t="s">
        <v>172</v>
      </c>
      <c r="J77" s="414">
        <v>44959.666666666664</v>
      </c>
      <c r="K77" s="414"/>
      <c r="L77" s="414" t="s">
        <v>192</v>
      </c>
      <c r="M77" s="414" t="s">
        <v>192</v>
      </c>
      <c r="N77" s="413" t="str">
        <f t="shared" si="5"/>
        <v>DELAY ( 2 day 20 hour 0 minute )</v>
      </c>
      <c r="O77" s="51"/>
      <c r="P77" s="415" t="s">
        <v>551</v>
      </c>
      <c r="Q77" s="415" t="s">
        <v>551</v>
      </c>
      <c r="R77" s="415" t="s">
        <v>551</v>
      </c>
      <c r="S77" s="32"/>
      <c r="T77" s="416"/>
      <c r="U77" s="416"/>
      <c r="V77" s="416"/>
      <c r="W77" s="416"/>
      <c r="X77" s="416"/>
      <c r="Y77" s="416"/>
      <c r="Z77" s="416"/>
      <c r="AA77" s="416"/>
      <c r="AB77" s="416"/>
      <c r="AC77" s="416"/>
      <c r="AD77" s="416"/>
      <c r="AE77" s="416"/>
      <c r="AF77" s="416"/>
      <c r="AG77" s="416"/>
      <c r="AH77" s="416"/>
      <c r="AI77" s="416"/>
      <c r="AJ77" s="416"/>
      <c r="AK77" s="416"/>
      <c r="AL77" s="416"/>
      <c r="AM77" s="416"/>
      <c r="AN77" s="416"/>
      <c r="AO77" s="416"/>
      <c r="AP77" s="416"/>
      <c r="AQ77" s="416"/>
      <c r="AR77" s="416"/>
      <c r="AS77" s="416"/>
      <c r="AT77" s="416"/>
      <c r="AU77" s="416"/>
      <c r="AV77" s="416"/>
      <c r="AW77" s="416"/>
      <c r="AX77" s="416"/>
      <c r="AY77" s="416">
        <f>H77</f>
        <v>7501.8609999999999</v>
      </c>
      <c r="AZ77" s="32"/>
    </row>
    <row r="78" spans="2:52">
      <c r="B78" s="1258" t="s">
        <v>618</v>
      </c>
      <c r="C78" s="1259"/>
      <c r="D78" s="1259"/>
      <c r="E78" s="1259"/>
      <c r="F78" s="1259"/>
      <c r="G78" s="1260"/>
      <c r="H78" s="417">
        <f>SUM(H75:H77)</f>
        <v>20032.175999999999</v>
      </c>
      <c r="I78" s="390"/>
      <c r="J78" s="367"/>
      <c r="K78" s="366"/>
      <c r="L78" s="366"/>
      <c r="M78" s="391"/>
      <c r="N78" s="413" t="str">
        <f t="shared" si="5"/>
        <v xml:space="preserve"> </v>
      </c>
      <c r="O78" s="212"/>
      <c r="P78" s="427"/>
      <c r="Q78" s="427"/>
      <c r="R78" s="427"/>
      <c r="S78" s="207"/>
      <c r="T78" s="428"/>
      <c r="U78" s="428"/>
      <c r="V78" s="428"/>
      <c r="W78" s="428"/>
      <c r="X78" s="428"/>
      <c r="Y78" s="428"/>
      <c r="Z78" s="428"/>
      <c r="AA78" s="428"/>
      <c r="AB78" s="428"/>
      <c r="AC78" s="429"/>
      <c r="AD78" s="429"/>
      <c r="AE78" s="428"/>
      <c r="AF78" s="428"/>
      <c r="AG78" s="428"/>
      <c r="AH78" s="428"/>
      <c r="AI78" s="428"/>
      <c r="AJ78" s="428"/>
      <c r="AK78" s="428"/>
      <c r="AL78" s="428"/>
      <c r="AM78" s="428"/>
      <c r="AN78" s="428"/>
      <c r="AO78" s="428"/>
      <c r="AP78" s="428"/>
      <c r="AQ78" s="428"/>
      <c r="AR78" s="428"/>
      <c r="AS78" s="428"/>
      <c r="AT78" s="428"/>
      <c r="AU78" s="428"/>
      <c r="AV78" s="428"/>
      <c r="AW78" s="428"/>
      <c r="AX78" s="428"/>
      <c r="AY78" s="428"/>
    </row>
    <row r="79" spans="2:52">
      <c r="B79" s="1250" t="s">
        <v>619</v>
      </c>
      <c r="C79" s="1251"/>
      <c r="D79" s="411" t="s">
        <v>428</v>
      </c>
      <c r="E79" s="411"/>
      <c r="F79" s="411" t="s">
        <v>429</v>
      </c>
      <c r="G79" s="411" t="s">
        <v>430</v>
      </c>
      <c r="H79" s="412">
        <v>7594.53</v>
      </c>
      <c r="I79" s="413" t="s">
        <v>235</v>
      </c>
      <c r="J79" s="414">
        <v>44959.600694444445</v>
      </c>
      <c r="K79" s="414"/>
      <c r="L79" s="414" t="s">
        <v>192</v>
      </c>
      <c r="M79" s="414" t="s">
        <v>192</v>
      </c>
      <c r="N79" s="413" t="str">
        <f t="shared" si="5"/>
        <v>DELAY ( 2 day 18 hour 25 minute )</v>
      </c>
      <c r="O79" s="51"/>
      <c r="P79" s="415" t="s">
        <v>551</v>
      </c>
      <c r="Q79" s="415" t="s">
        <v>551</v>
      </c>
      <c r="R79" s="415" t="s">
        <v>551</v>
      </c>
      <c r="S79" s="32"/>
      <c r="T79" s="416"/>
      <c r="U79" s="416"/>
      <c r="V79" s="416"/>
      <c r="W79" s="416"/>
      <c r="X79" s="416"/>
      <c r="Y79" s="416"/>
      <c r="Z79" s="416"/>
      <c r="AA79" s="416"/>
      <c r="AB79" s="416">
        <f>H79</f>
        <v>7594.53</v>
      </c>
      <c r="AC79" s="416"/>
      <c r="AD79" s="416"/>
      <c r="AE79" s="416"/>
      <c r="AF79" s="416"/>
      <c r="AG79" s="416"/>
      <c r="AH79" s="416"/>
      <c r="AI79" s="416"/>
      <c r="AJ79" s="416"/>
      <c r="AK79" s="416"/>
      <c r="AL79" s="416"/>
      <c r="AM79" s="416"/>
      <c r="AN79" s="416"/>
      <c r="AO79" s="416"/>
      <c r="AP79" s="416"/>
      <c r="AQ79" s="416"/>
      <c r="AR79" s="416"/>
      <c r="AS79" s="416"/>
      <c r="AT79" s="416"/>
      <c r="AU79" s="416"/>
      <c r="AV79" s="416"/>
      <c r="AW79" s="416"/>
      <c r="AX79" s="416"/>
      <c r="AY79" s="416"/>
      <c r="AZ79" s="32"/>
    </row>
    <row r="80" spans="2:52">
      <c r="B80" s="1252"/>
      <c r="C80" s="1253"/>
      <c r="D80" s="411"/>
      <c r="E80" s="411"/>
      <c r="F80" s="1256" t="s">
        <v>668</v>
      </c>
      <c r="G80" s="1257"/>
      <c r="H80" s="412">
        <v>1838</v>
      </c>
      <c r="I80" s="413"/>
      <c r="J80" s="414"/>
      <c r="K80" s="414"/>
      <c r="L80" s="414"/>
      <c r="M80" s="414"/>
      <c r="N80" s="413" t="str">
        <f t="shared" si="5"/>
        <v xml:space="preserve"> </v>
      </c>
      <c r="O80" s="51"/>
      <c r="P80" s="415"/>
      <c r="Q80" s="415"/>
      <c r="R80" s="415"/>
      <c r="S80" s="32"/>
      <c r="T80" s="416"/>
      <c r="U80" s="416"/>
      <c r="V80" s="416"/>
      <c r="W80" s="416"/>
      <c r="X80" s="416"/>
      <c r="Y80" s="416"/>
      <c r="Z80" s="416"/>
      <c r="AA80" s="416"/>
      <c r="AB80" s="416"/>
      <c r="AC80" s="416"/>
      <c r="AD80" s="416"/>
      <c r="AE80" s="416"/>
      <c r="AF80" s="416"/>
      <c r="AG80" s="416"/>
      <c r="AH80" s="416"/>
      <c r="AI80" s="416"/>
      <c r="AJ80" s="416"/>
      <c r="AK80" s="416"/>
      <c r="AL80" s="416"/>
      <c r="AM80" s="416"/>
      <c r="AN80" s="416"/>
      <c r="AO80" s="416"/>
      <c r="AP80" s="416"/>
      <c r="AQ80" s="416"/>
      <c r="AR80" s="416"/>
      <c r="AS80" s="416"/>
      <c r="AT80" s="416"/>
      <c r="AU80" s="416"/>
      <c r="AV80" s="416"/>
      <c r="AW80" s="416"/>
      <c r="AX80" s="416"/>
      <c r="AY80" s="416"/>
      <c r="AZ80" s="32"/>
    </row>
    <row r="81" spans="2:52">
      <c r="B81" s="1254"/>
      <c r="C81" s="1255"/>
      <c r="D81" s="411"/>
      <c r="E81" s="411"/>
      <c r="F81" s="1256" t="s">
        <v>616</v>
      </c>
      <c r="G81" s="1257"/>
      <c r="H81" s="412">
        <v>1000</v>
      </c>
      <c r="I81" s="413"/>
      <c r="J81" s="414"/>
      <c r="K81" s="414"/>
      <c r="L81" s="414"/>
      <c r="M81" s="414"/>
      <c r="N81" s="413" t="str">
        <f t="shared" si="5"/>
        <v xml:space="preserve"> </v>
      </c>
      <c r="O81" s="51"/>
      <c r="P81" s="415"/>
      <c r="Q81" s="415"/>
      <c r="R81" s="415"/>
      <c r="S81" s="32"/>
      <c r="T81" s="416"/>
      <c r="U81" s="416"/>
      <c r="V81" s="416"/>
      <c r="W81" s="416"/>
      <c r="X81" s="416"/>
      <c r="Y81" s="416"/>
      <c r="Z81" s="416"/>
      <c r="AA81" s="416"/>
      <c r="AB81" s="416"/>
      <c r="AC81" s="416"/>
      <c r="AD81" s="416"/>
      <c r="AE81" s="416"/>
      <c r="AF81" s="416"/>
      <c r="AG81" s="416"/>
      <c r="AH81" s="416"/>
      <c r="AI81" s="416"/>
      <c r="AJ81" s="416"/>
      <c r="AK81" s="416"/>
      <c r="AL81" s="416"/>
      <c r="AM81" s="416"/>
      <c r="AN81" s="416"/>
      <c r="AO81" s="416"/>
      <c r="AP81" s="416"/>
      <c r="AQ81" s="416"/>
      <c r="AR81" s="416"/>
      <c r="AS81" s="416"/>
      <c r="AT81" s="416"/>
      <c r="AU81" s="416"/>
      <c r="AV81" s="416"/>
      <c r="AW81" s="416"/>
      <c r="AX81" s="416"/>
      <c r="AY81" s="416"/>
      <c r="AZ81" s="32"/>
    </row>
    <row r="82" spans="2:52">
      <c r="B82" s="1250" t="s">
        <v>621</v>
      </c>
      <c r="C82" s="1251"/>
      <c r="D82" s="411" t="s">
        <v>431</v>
      </c>
      <c r="E82" s="411"/>
      <c r="F82" s="411" t="s">
        <v>288</v>
      </c>
      <c r="G82" s="411" t="s">
        <v>289</v>
      </c>
      <c r="H82" s="412">
        <v>7500.2449999999999</v>
      </c>
      <c r="I82" s="413" t="s">
        <v>418</v>
      </c>
      <c r="J82" s="414">
        <v>44959.625</v>
      </c>
      <c r="K82" s="414"/>
      <c r="L82" s="414" t="s">
        <v>192</v>
      </c>
      <c r="M82" s="414" t="s">
        <v>192</v>
      </c>
      <c r="N82" s="413" t="str">
        <f t="shared" si="5"/>
        <v>DELAY ( 2 day 19 hour 0 minute )</v>
      </c>
      <c r="O82" s="51"/>
      <c r="P82" s="415" t="s">
        <v>551</v>
      </c>
      <c r="Q82" s="415" t="s">
        <v>551</v>
      </c>
      <c r="R82" s="415" t="s">
        <v>551</v>
      </c>
      <c r="S82" s="32"/>
      <c r="T82" s="416"/>
      <c r="U82" s="416"/>
      <c r="V82" s="416"/>
      <c r="W82" s="416"/>
      <c r="X82" s="416"/>
      <c r="Y82" s="416"/>
      <c r="Z82" s="416"/>
      <c r="AA82" s="416"/>
      <c r="AB82" s="416">
        <f>H82*0.6</f>
        <v>4500.1469999999999</v>
      </c>
      <c r="AC82" s="416">
        <f>H82*0.4</f>
        <v>3000.098</v>
      </c>
      <c r="AD82" s="416"/>
      <c r="AE82" s="416"/>
      <c r="AF82" s="416"/>
      <c r="AG82" s="416"/>
      <c r="AH82" s="416"/>
      <c r="AI82" s="416"/>
      <c r="AJ82" s="416"/>
      <c r="AK82" s="416"/>
      <c r="AL82" s="416"/>
      <c r="AM82" s="416"/>
      <c r="AN82" s="416"/>
      <c r="AO82" s="416"/>
      <c r="AP82" s="416"/>
      <c r="AQ82" s="416"/>
      <c r="AR82" s="416"/>
      <c r="AS82" s="416"/>
      <c r="AT82" s="416"/>
      <c r="AU82" s="416"/>
      <c r="AV82" s="416"/>
      <c r="AW82" s="416"/>
      <c r="AX82" s="416"/>
      <c r="AY82" s="416"/>
      <c r="AZ82" s="32"/>
    </row>
    <row r="83" spans="2:52">
      <c r="B83" s="1252"/>
      <c r="C83" s="1253"/>
      <c r="D83" s="411"/>
      <c r="E83" s="411"/>
      <c r="F83" s="1256" t="s">
        <v>668</v>
      </c>
      <c r="G83" s="1257"/>
      <c r="H83" s="412">
        <v>1838</v>
      </c>
      <c r="I83" s="413"/>
      <c r="J83" s="414"/>
      <c r="K83" s="414"/>
      <c r="L83" s="414"/>
      <c r="M83" s="414"/>
      <c r="N83" s="413" t="str">
        <f t="shared" si="5"/>
        <v xml:space="preserve"> </v>
      </c>
      <c r="O83" s="51"/>
      <c r="P83" s="415"/>
      <c r="Q83" s="415"/>
      <c r="R83" s="415"/>
      <c r="S83" s="32"/>
      <c r="T83" s="416"/>
      <c r="U83" s="416"/>
      <c r="V83" s="416"/>
      <c r="W83" s="416"/>
      <c r="X83" s="416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416"/>
      <c r="AJ83" s="416"/>
      <c r="AK83" s="416"/>
      <c r="AL83" s="416"/>
      <c r="AM83" s="416"/>
      <c r="AN83" s="416"/>
      <c r="AO83" s="416"/>
      <c r="AP83" s="416"/>
      <c r="AQ83" s="416"/>
      <c r="AR83" s="416"/>
      <c r="AS83" s="416"/>
      <c r="AT83" s="416"/>
      <c r="AU83" s="416"/>
      <c r="AV83" s="416"/>
      <c r="AW83" s="416"/>
      <c r="AX83" s="416"/>
      <c r="AY83" s="416"/>
      <c r="AZ83" s="32"/>
    </row>
    <row r="84" spans="2:52">
      <c r="B84" s="1254"/>
      <c r="C84" s="1255"/>
      <c r="D84" s="411"/>
      <c r="E84" s="411"/>
      <c r="F84" s="1256" t="s">
        <v>616</v>
      </c>
      <c r="G84" s="1257"/>
      <c r="H84" s="412">
        <v>3800</v>
      </c>
      <c r="I84" s="413"/>
      <c r="J84" s="414"/>
      <c r="K84" s="414"/>
      <c r="L84" s="414"/>
      <c r="M84" s="414"/>
      <c r="N84" s="413" t="str">
        <f t="shared" si="5"/>
        <v xml:space="preserve"> </v>
      </c>
      <c r="O84" s="51"/>
      <c r="P84" s="415"/>
      <c r="Q84" s="415"/>
      <c r="R84" s="415"/>
      <c r="S84" s="32"/>
      <c r="T84" s="416"/>
      <c r="U84" s="416"/>
      <c r="V84" s="416"/>
      <c r="W84" s="416"/>
      <c r="X84" s="416"/>
      <c r="Y84" s="416"/>
      <c r="Z84" s="416"/>
      <c r="AA84" s="416"/>
      <c r="AB84" s="416"/>
      <c r="AC84" s="416"/>
      <c r="AD84" s="416"/>
      <c r="AE84" s="416"/>
      <c r="AF84" s="416"/>
      <c r="AG84" s="416"/>
      <c r="AH84" s="416"/>
      <c r="AI84" s="416"/>
      <c r="AJ84" s="416"/>
      <c r="AK84" s="416"/>
      <c r="AL84" s="416"/>
      <c r="AM84" s="416"/>
      <c r="AN84" s="416"/>
      <c r="AO84" s="416"/>
      <c r="AP84" s="416"/>
      <c r="AQ84" s="416"/>
      <c r="AR84" s="416"/>
      <c r="AS84" s="416"/>
      <c r="AT84" s="416"/>
      <c r="AU84" s="416"/>
      <c r="AV84" s="416"/>
      <c r="AW84" s="416"/>
      <c r="AX84" s="416"/>
      <c r="AY84" s="416"/>
      <c r="AZ84" s="32"/>
    </row>
    <row r="85" spans="2:52">
      <c r="B85" s="1250" t="s">
        <v>622</v>
      </c>
      <c r="C85" s="1251"/>
      <c r="D85" s="411" t="s">
        <v>417</v>
      </c>
      <c r="E85" s="411"/>
      <c r="F85" s="411" t="s">
        <v>301</v>
      </c>
      <c r="G85" s="411" t="s">
        <v>302</v>
      </c>
      <c r="H85" s="412">
        <v>8901.4</v>
      </c>
      <c r="I85" s="413" t="s">
        <v>418</v>
      </c>
      <c r="J85" s="414">
        <v>44959.625</v>
      </c>
      <c r="K85" s="414"/>
      <c r="L85" s="414" t="s">
        <v>192</v>
      </c>
      <c r="M85" s="414" t="s">
        <v>192</v>
      </c>
      <c r="N85" s="413" t="str">
        <f t="shared" si="5"/>
        <v>DELAY ( 2 day 19 hour 0 minute )</v>
      </c>
      <c r="O85" s="51"/>
      <c r="P85" s="415" t="s">
        <v>551</v>
      </c>
      <c r="Q85" s="415" t="s">
        <v>551</v>
      </c>
      <c r="R85" s="415" t="s">
        <v>551</v>
      </c>
      <c r="S85" s="32"/>
      <c r="T85" s="416"/>
      <c r="U85" s="416"/>
      <c r="V85" s="416"/>
      <c r="W85" s="416"/>
      <c r="X85" s="416"/>
      <c r="Y85" s="416"/>
      <c r="Z85" s="416"/>
      <c r="AA85" s="416"/>
      <c r="AB85" s="416">
        <f>H85*0.6</f>
        <v>5340.8399999999992</v>
      </c>
      <c r="AC85" s="416">
        <f>H85*0.4</f>
        <v>3560.56</v>
      </c>
      <c r="AD85" s="416"/>
      <c r="AE85" s="416"/>
      <c r="AF85" s="416"/>
      <c r="AG85" s="416"/>
      <c r="AH85" s="416"/>
      <c r="AI85" s="416"/>
      <c r="AJ85" s="416"/>
      <c r="AK85" s="416"/>
      <c r="AL85" s="416"/>
      <c r="AM85" s="416"/>
      <c r="AN85" s="416"/>
      <c r="AO85" s="416"/>
      <c r="AP85" s="416"/>
      <c r="AQ85" s="416"/>
      <c r="AR85" s="416"/>
      <c r="AS85" s="416"/>
      <c r="AT85" s="416"/>
      <c r="AU85" s="416"/>
      <c r="AV85" s="416"/>
      <c r="AW85" s="416"/>
      <c r="AX85" s="416"/>
      <c r="AY85" s="416"/>
      <c r="AZ85" s="32"/>
    </row>
    <row r="86" spans="2:52">
      <c r="B86" s="1252"/>
      <c r="C86" s="1253"/>
      <c r="D86" s="411"/>
      <c r="E86" s="411"/>
      <c r="F86" s="1256" t="s">
        <v>668</v>
      </c>
      <c r="G86" s="1257"/>
      <c r="H86" s="412">
        <v>1838</v>
      </c>
      <c r="I86" s="413"/>
      <c r="J86" s="414"/>
      <c r="K86" s="414"/>
      <c r="L86" s="414"/>
      <c r="M86" s="414"/>
      <c r="N86" s="413" t="str">
        <f t="shared" si="5"/>
        <v xml:space="preserve"> </v>
      </c>
      <c r="O86" s="51"/>
      <c r="P86" s="415"/>
      <c r="Q86" s="415"/>
      <c r="R86" s="415"/>
      <c r="S86" s="32"/>
      <c r="T86" s="416"/>
      <c r="U86" s="416"/>
      <c r="V86" s="416"/>
      <c r="W86" s="416"/>
      <c r="X86" s="416"/>
      <c r="Y86" s="416"/>
      <c r="Z86" s="416"/>
      <c r="AA86" s="416"/>
      <c r="AB86" s="416"/>
      <c r="AC86" s="416"/>
      <c r="AD86" s="416"/>
      <c r="AE86" s="416"/>
      <c r="AF86" s="416"/>
      <c r="AG86" s="416"/>
      <c r="AH86" s="416"/>
      <c r="AI86" s="416"/>
      <c r="AJ86" s="416"/>
      <c r="AK86" s="416"/>
      <c r="AL86" s="416"/>
      <c r="AM86" s="416"/>
      <c r="AN86" s="416"/>
      <c r="AO86" s="416"/>
      <c r="AP86" s="416"/>
      <c r="AQ86" s="416"/>
      <c r="AR86" s="416"/>
      <c r="AS86" s="416"/>
      <c r="AT86" s="416"/>
      <c r="AU86" s="416"/>
      <c r="AV86" s="416"/>
      <c r="AW86" s="416"/>
      <c r="AX86" s="416"/>
      <c r="AY86" s="416"/>
      <c r="AZ86" s="32"/>
    </row>
    <row r="87" spans="2:52">
      <c r="B87" s="1254"/>
      <c r="C87" s="1255"/>
      <c r="D87" s="411"/>
      <c r="E87" s="411"/>
      <c r="F87" s="1256" t="s">
        <v>616</v>
      </c>
      <c r="G87" s="1257"/>
      <c r="H87" s="412">
        <v>3882</v>
      </c>
      <c r="I87" s="413"/>
      <c r="J87" s="414"/>
      <c r="K87" s="414"/>
      <c r="L87" s="414"/>
      <c r="M87" s="414"/>
      <c r="N87" s="413" t="str">
        <f t="shared" si="5"/>
        <v xml:space="preserve"> </v>
      </c>
      <c r="O87" s="51"/>
      <c r="P87" s="415"/>
      <c r="Q87" s="415"/>
      <c r="R87" s="415"/>
      <c r="S87" s="32"/>
      <c r="T87" s="416"/>
      <c r="U87" s="416"/>
      <c r="V87" s="416"/>
      <c r="W87" s="416"/>
      <c r="X87" s="416"/>
      <c r="Y87" s="416"/>
      <c r="Z87" s="416"/>
      <c r="AA87" s="416"/>
      <c r="AB87" s="416"/>
      <c r="AC87" s="416"/>
      <c r="AD87" s="416"/>
      <c r="AE87" s="416"/>
      <c r="AF87" s="416"/>
      <c r="AG87" s="416"/>
      <c r="AH87" s="416"/>
      <c r="AI87" s="416"/>
      <c r="AJ87" s="416"/>
      <c r="AK87" s="416"/>
      <c r="AL87" s="416"/>
      <c r="AM87" s="416"/>
      <c r="AN87" s="416"/>
      <c r="AO87" s="416"/>
      <c r="AP87" s="416"/>
      <c r="AQ87" s="416"/>
      <c r="AR87" s="416"/>
      <c r="AS87" s="416"/>
      <c r="AT87" s="416"/>
      <c r="AU87" s="416"/>
      <c r="AV87" s="416"/>
      <c r="AW87" s="416"/>
      <c r="AX87" s="416"/>
      <c r="AY87" s="416"/>
      <c r="AZ87" s="32"/>
    </row>
    <row r="88" spans="2:52">
      <c r="B88" s="1250" t="s">
        <v>623</v>
      </c>
      <c r="C88" s="1251"/>
      <c r="D88" s="411" t="s">
        <v>432</v>
      </c>
      <c r="E88" s="411"/>
      <c r="F88" s="411" t="s">
        <v>298</v>
      </c>
      <c r="G88" s="411" t="s">
        <v>299</v>
      </c>
      <c r="H88" s="412">
        <f>10427.088-655.438999999998</f>
        <v>9771.6490000000013</v>
      </c>
      <c r="I88" s="413" t="s">
        <v>235</v>
      </c>
      <c r="J88" s="414">
        <v>44959.708333333336</v>
      </c>
      <c r="K88" s="414"/>
      <c r="L88" s="414" t="s">
        <v>192</v>
      </c>
      <c r="M88" s="414" t="s">
        <v>192</v>
      </c>
      <c r="N88" s="413" t="str">
        <f t="shared" si="5"/>
        <v>DELAY ( 2 day 21 hour 0 minute )</v>
      </c>
      <c r="O88" s="51"/>
      <c r="P88" s="415" t="s">
        <v>551</v>
      </c>
      <c r="Q88" s="415" t="s">
        <v>551</v>
      </c>
      <c r="R88" s="415" t="s">
        <v>551</v>
      </c>
      <c r="S88" s="32"/>
      <c r="T88" s="416"/>
      <c r="U88" s="416"/>
      <c r="V88" s="416"/>
      <c r="W88" s="416"/>
      <c r="X88" s="416"/>
      <c r="Y88" s="416"/>
      <c r="Z88" s="416"/>
      <c r="AA88" s="416"/>
      <c r="AB88" s="416">
        <f>H88</f>
        <v>9771.6490000000013</v>
      </c>
      <c r="AC88" s="416"/>
      <c r="AD88" s="416"/>
      <c r="AE88" s="416"/>
      <c r="AF88" s="416"/>
      <c r="AG88" s="416"/>
      <c r="AH88" s="416"/>
      <c r="AI88" s="416"/>
      <c r="AJ88" s="416"/>
      <c r="AK88" s="416"/>
      <c r="AL88" s="416"/>
      <c r="AM88" s="416"/>
      <c r="AN88" s="416"/>
      <c r="AO88" s="416"/>
      <c r="AP88" s="416"/>
      <c r="AQ88" s="416"/>
      <c r="AR88" s="416"/>
      <c r="AS88" s="416"/>
      <c r="AT88" s="416"/>
      <c r="AU88" s="416"/>
      <c r="AV88" s="416"/>
      <c r="AW88" s="416"/>
      <c r="AX88" s="416"/>
      <c r="AY88" s="416"/>
      <c r="AZ88" s="32"/>
    </row>
    <row r="89" spans="2:52">
      <c r="B89" s="1252"/>
      <c r="C89" s="1253"/>
      <c r="D89" s="411"/>
      <c r="E89" s="411"/>
      <c r="F89" s="1256" t="s">
        <v>668</v>
      </c>
      <c r="G89" s="1257"/>
      <c r="H89" s="412">
        <f>1838-1.685</f>
        <v>1836.3150000000001</v>
      </c>
      <c r="I89" s="413"/>
      <c r="J89" s="414"/>
      <c r="K89" s="414"/>
      <c r="L89" s="414"/>
      <c r="M89" s="414"/>
      <c r="N89" s="413" t="str">
        <f t="shared" si="5"/>
        <v xml:space="preserve"> </v>
      </c>
      <c r="O89" s="51"/>
      <c r="P89" s="415"/>
      <c r="Q89" s="415"/>
      <c r="R89" s="415"/>
      <c r="S89" s="32"/>
      <c r="T89" s="416"/>
      <c r="U89" s="416"/>
      <c r="V89" s="416"/>
      <c r="W89" s="416"/>
      <c r="X89" s="416"/>
      <c r="Y89" s="416"/>
      <c r="Z89" s="416"/>
      <c r="AA89" s="416"/>
      <c r="AB89" s="416"/>
      <c r="AC89" s="416"/>
      <c r="AD89" s="416"/>
      <c r="AE89" s="416"/>
      <c r="AF89" s="416"/>
      <c r="AG89" s="416"/>
      <c r="AH89" s="416"/>
      <c r="AI89" s="416"/>
      <c r="AJ89" s="416"/>
      <c r="AK89" s="416"/>
      <c r="AL89" s="416"/>
      <c r="AM89" s="416"/>
      <c r="AN89" s="416"/>
      <c r="AO89" s="416"/>
      <c r="AP89" s="416"/>
      <c r="AQ89" s="416"/>
      <c r="AR89" s="416"/>
      <c r="AS89" s="416"/>
      <c r="AT89" s="416"/>
      <c r="AU89" s="416"/>
      <c r="AV89" s="416"/>
      <c r="AW89" s="416"/>
      <c r="AX89" s="416"/>
      <c r="AY89" s="416"/>
      <c r="AZ89" s="32"/>
    </row>
    <row r="90" spans="2:52">
      <c r="B90" s="1254"/>
      <c r="C90" s="1255"/>
      <c r="D90" s="411"/>
      <c r="E90" s="411"/>
      <c r="F90" s="1256" t="s">
        <v>616</v>
      </c>
      <c r="G90" s="1257"/>
      <c r="H90" s="412">
        <f>4000-0.139</f>
        <v>3999.8609999999999</v>
      </c>
      <c r="I90" s="413"/>
      <c r="J90" s="414"/>
      <c r="K90" s="414"/>
      <c r="L90" s="414"/>
      <c r="M90" s="414"/>
      <c r="N90" s="413" t="str">
        <f t="shared" si="5"/>
        <v xml:space="preserve"> </v>
      </c>
      <c r="O90" s="51"/>
      <c r="P90" s="415"/>
      <c r="Q90" s="415"/>
      <c r="R90" s="415"/>
      <c r="S90" s="32"/>
      <c r="T90" s="416"/>
      <c r="U90" s="416"/>
      <c r="V90" s="416"/>
      <c r="W90" s="416"/>
      <c r="X90" s="416"/>
      <c r="Y90" s="416"/>
      <c r="Z90" s="416"/>
      <c r="AA90" s="416"/>
      <c r="AB90" s="416"/>
      <c r="AC90" s="416"/>
      <c r="AD90" s="416"/>
      <c r="AE90" s="416"/>
      <c r="AF90" s="416"/>
      <c r="AG90" s="416"/>
      <c r="AH90" s="416"/>
      <c r="AI90" s="416"/>
      <c r="AJ90" s="416"/>
      <c r="AK90" s="416"/>
      <c r="AL90" s="416"/>
      <c r="AM90" s="416"/>
      <c r="AN90" s="416"/>
      <c r="AO90" s="416"/>
      <c r="AP90" s="416"/>
      <c r="AQ90" s="416"/>
      <c r="AR90" s="416"/>
      <c r="AS90" s="416"/>
      <c r="AT90" s="416"/>
      <c r="AU90" s="416"/>
      <c r="AV90" s="416"/>
      <c r="AW90" s="416"/>
      <c r="AX90" s="416"/>
      <c r="AY90" s="416"/>
      <c r="AZ90" s="32"/>
    </row>
    <row r="91" spans="2:52">
      <c r="B91" s="1258" t="s">
        <v>626</v>
      </c>
      <c r="C91" s="1259"/>
      <c r="D91" s="1259"/>
      <c r="E91" s="1259"/>
      <c r="F91" s="1259"/>
      <c r="G91" s="1260"/>
      <c r="H91" s="417">
        <f>H85+H82+H79+H88</f>
        <v>33767.824000000001</v>
      </c>
      <c r="I91" s="388"/>
      <c r="J91" s="293"/>
      <c r="K91" s="293"/>
      <c r="L91" s="293"/>
      <c r="M91" s="389"/>
      <c r="N91" s="413" t="str">
        <f t="shared" si="5"/>
        <v xml:space="preserve"> </v>
      </c>
      <c r="O91" s="47"/>
      <c r="P91" s="418"/>
      <c r="Q91" s="418"/>
      <c r="R91" s="418"/>
      <c r="S91" s="32"/>
      <c r="T91" s="1261"/>
      <c r="U91" s="1261"/>
      <c r="V91" s="1261"/>
      <c r="W91" s="1261"/>
      <c r="X91" s="1261"/>
      <c r="Y91" s="1261"/>
      <c r="Z91" s="1261"/>
      <c r="AA91" s="1261"/>
      <c r="AB91" s="1261"/>
      <c r="AC91" s="1261"/>
      <c r="AD91" s="1261"/>
      <c r="AE91" s="1261"/>
      <c r="AF91" s="1261"/>
      <c r="AG91" s="1261"/>
      <c r="AH91" s="1261"/>
      <c r="AI91" s="1261"/>
      <c r="AJ91" s="1261"/>
      <c r="AK91" s="1261"/>
      <c r="AL91" s="1261"/>
      <c r="AM91" s="1261"/>
      <c r="AN91" s="1261"/>
      <c r="AO91" s="1261"/>
      <c r="AP91" s="1261"/>
      <c r="AQ91" s="1261"/>
      <c r="AR91" s="1261"/>
      <c r="AS91" s="1261"/>
      <c r="AT91" s="1261"/>
      <c r="AU91" s="1261"/>
      <c r="AV91" s="1261"/>
      <c r="AW91" s="1261"/>
      <c r="AX91" s="1261"/>
      <c r="AY91" s="1261"/>
    </row>
    <row r="92" spans="2:52">
      <c r="B92" s="1258" t="s">
        <v>556</v>
      </c>
      <c r="C92" s="1259"/>
      <c r="D92" s="1259"/>
      <c r="E92" s="1259"/>
      <c r="F92" s="1259"/>
      <c r="G92" s="1260"/>
      <c r="H92" s="417">
        <f>H78+H91</f>
        <v>53800</v>
      </c>
      <c r="I92" s="388"/>
      <c r="J92" s="293"/>
      <c r="K92" s="293"/>
      <c r="L92" s="293"/>
      <c r="M92" s="389"/>
      <c r="N92" s="413" t="str">
        <f t="shared" si="5"/>
        <v xml:space="preserve"> </v>
      </c>
      <c r="O92" s="212"/>
      <c r="P92" s="418"/>
      <c r="Q92" s="418"/>
      <c r="R92" s="418"/>
      <c r="S92" s="207"/>
      <c r="T92" s="1262"/>
      <c r="U92" s="1263"/>
      <c r="V92" s="1263"/>
      <c r="W92" s="1263"/>
      <c r="X92" s="1263"/>
      <c r="Y92" s="1263"/>
      <c r="Z92" s="1263"/>
      <c r="AA92" s="1263"/>
      <c r="AB92" s="1263"/>
      <c r="AC92" s="1263"/>
      <c r="AD92" s="1263"/>
      <c r="AE92" s="1263"/>
      <c r="AF92" s="1263"/>
      <c r="AG92" s="1263"/>
      <c r="AH92" s="1263"/>
      <c r="AI92" s="1263"/>
      <c r="AJ92" s="1263"/>
      <c r="AK92" s="1263"/>
      <c r="AL92" s="1263"/>
      <c r="AM92" s="1263"/>
      <c r="AN92" s="1263"/>
      <c r="AO92" s="1263"/>
      <c r="AP92" s="1263"/>
      <c r="AQ92" s="1263"/>
      <c r="AR92" s="1263"/>
      <c r="AS92" s="1263"/>
      <c r="AT92" s="1263"/>
      <c r="AU92" s="1263"/>
      <c r="AV92" s="1263"/>
      <c r="AW92" s="1263"/>
      <c r="AX92" s="1263"/>
      <c r="AY92" s="1264"/>
    </row>
    <row r="93" spans="2:52">
      <c r="B93" s="1243" t="s">
        <v>557</v>
      </c>
      <c r="C93" s="1244"/>
      <c r="D93" s="1244"/>
      <c r="E93" s="1244"/>
      <c r="F93" s="1244"/>
      <c r="G93" s="1245"/>
      <c r="H93" s="419">
        <v>53800</v>
      </c>
      <c r="I93" s="1246"/>
      <c r="J93" s="1247"/>
      <c r="K93" s="1247"/>
      <c r="L93" s="1247"/>
      <c r="M93" s="1248"/>
      <c r="N93" s="413" t="str">
        <f t="shared" si="5"/>
        <v xml:space="preserve"> </v>
      </c>
      <c r="O93" s="32"/>
      <c r="P93" s="415"/>
      <c r="Q93" s="415"/>
      <c r="R93" s="415"/>
      <c r="S93" s="63"/>
      <c r="T93" s="416">
        <f>SUM(T75:T90)</f>
        <v>0</v>
      </c>
      <c r="U93" s="416">
        <f t="shared" ref="U93:AY93" si="6">SUM(U75:U90)</f>
        <v>0</v>
      </c>
      <c r="V93" s="416">
        <f t="shared" si="6"/>
        <v>0</v>
      </c>
      <c r="W93" s="416">
        <f t="shared" si="6"/>
        <v>0</v>
      </c>
      <c r="X93" s="416">
        <f t="shared" si="6"/>
        <v>0</v>
      </c>
      <c r="Y93" s="416">
        <f t="shared" si="6"/>
        <v>0</v>
      </c>
      <c r="Z93" s="416">
        <f t="shared" si="6"/>
        <v>0</v>
      </c>
      <c r="AA93" s="416">
        <f t="shared" si="6"/>
        <v>7350.3149999999996</v>
      </c>
      <c r="AB93" s="416">
        <f t="shared" si="6"/>
        <v>27207.166000000001</v>
      </c>
      <c r="AC93" s="416">
        <f t="shared" si="6"/>
        <v>6560.6579999999994</v>
      </c>
      <c r="AD93" s="416">
        <f t="shared" si="6"/>
        <v>0</v>
      </c>
      <c r="AE93" s="416">
        <f t="shared" si="6"/>
        <v>0</v>
      </c>
      <c r="AF93" s="416">
        <f t="shared" si="6"/>
        <v>0</v>
      </c>
      <c r="AG93" s="416">
        <f t="shared" si="6"/>
        <v>0</v>
      </c>
      <c r="AH93" s="416">
        <f t="shared" si="6"/>
        <v>0</v>
      </c>
      <c r="AI93" s="416">
        <f t="shared" si="6"/>
        <v>0</v>
      </c>
      <c r="AJ93" s="416">
        <f t="shared" si="6"/>
        <v>0</v>
      </c>
      <c r="AK93" s="416">
        <f t="shared" si="6"/>
        <v>0</v>
      </c>
      <c r="AL93" s="416">
        <f t="shared" si="6"/>
        <v>0</v>
      </c>
      <c r="AM93" s="416">
        <f t="shared" si="6"/>
        <v>0</v>
      </c>
      <c r="AN93" s="416">
        <f t="shared" si="6"/>
        <v>0</v>
      </c>
      <c r="AO93" s="416">
        <f t="shared" si="6"/>
        <v>0</v>
      </c>
      <c r="AP93" s="416">
        <f t="shared" si="6"/>
        <v>0</v>
      </c>
      <c r="AQ93" s="416">
        <f t="shared" si="6"/>
        <v>0</v>
      </c>
      <c r="AR93" s="416">
        <f t="shared" si="6"/>
        <v>5180</v>
      </c>
      <c r="AS93" s="416">
        <f t="shared" si="6"/>
        <v>0</v>
      </c>
      <c r="AT93" s="416">
        <f t="shared" si="6"/>
        <v>0</v>
      </c>
      <c r="AU93" s="416">
        <f t="shared" si="6"/>
        <v>0</v>
      </c>
      <c r="AV93" s="416">
        <f t="shared" si="6"/>
        <v>0</v>
      </c>
      <c r="AW93" s="416">
        <f t="shared" si="6"/>
        <v>0</v>
      </c>
      <c r="AX93" s="416">
        <f t="shared" si="6"/>
        <v>0</v>
      </c>
      <c r="AY93" s="416">
        <f t="shared" si="6"/>
        <v>7501.8609999999999</v>
      </c>
      <c r="AZ93" s="416">
        <f>SUM(T93:AY93)</f>
        <v>53799.999999999993</v>
      </c>
    </row>
    <row r="94" spans="2:52">
      <c r="B94" s="1243" t="s">
        <v>558</v>
      </c>
      <c r="C94" s="1244"/>
      <c r="D94" s="1244"/>
      <c r="E94" s="1244"/>
      <c r="F94" s="1244"/>
      <c r="G94" s="1245"/>
      <c r="H94" s="420">
        <f>H93-L69</f>
        <v>0</v>
      </c>
      <c r="I94" s="294"/>
      <c r="J94" s="295"/>
      <c r="K94" s="295"/>
      <c r="L94" s="296"/>
      <c r="M94" s="32"/>
      <c r="N94" s="32"/>
      <c r="O94" s="32"/>
      <c r="P94" s="32"/>
      <c r="Q94" s="297"/>
      <c r="R94" s="297"/>
      <c r="S94" s="32"/>
      <c r="T94" s="48"/>
      <c r="U94" s="48"/>
      <c r="V94" s="48"/>
      <c r="W94" s="48"/>
      <c r="X94" s="48"/>
      <c r="Y94" s="48"/>
      <c r="Z94" s="48"/>
      <c r="AA94" s="48"/>
      <c r="AB94" s="48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</row>
    <row r="95" spans="2:52">
      <c r="B95" s="1243" t="s">
        <v>559</v>
      </c>
      <c r="C95" s="1244"/>
      <c r="D95" s="1244"/>
      <c r="E95" s="1244"/>
      <c r="F95" s="1244"/>
      <c r="G95" s="1245"/>
      <c r="H95" s="420">
        <v>877</v>
      </c>
      <c r="I95" s="52"/>
      <c r="J95" s="53"/>
      <c r="K95" s="53"/>
      <c r="L95" s="54"/>
      <c r="M95" s="32"/>
      <c r="N95" s="201"/>
      <c r="O95" s="32"/>
      <c r="P95" s="32"/>
      <c r="Q95" s="32"/>
      <c r="R95" s="32"/>
      <c r="S95" s="32"/>
      <c r="T95" s="48"/>
      <c r="U95" s="48"/>
      <c r="V95" s="48"/>
      <c r="W95" s="48"/>
      <c r="X95" s="48"/>
      <c r="Y95" s="48"/>
      <c r="Z95" s="48"/>
      <c r="AA95" s="48"/>
      <c r="AB95" s="48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</row>
    <row r="96" spans="2:52">
      <c r="B96" s="1243" t="s">
        <v>560</v>
      </c>
      <c r="C96" s="1244"/>
      <c r="D96" s="1244"/>
      <c r="E96" s="1244"/>
      <c r="F96" s="1244"/>
      <c r="G96" s="1245"/>
      <c r="H96" s="420">
        <f>H95-655.438999999998</f>
        <v>221.56100000000197</v>
      </c>
      <c r="I96" s="255"/>
      <c r="J96" s="53"/>
      <c r="K96" s="53"/>
      <c r="L96" s="54"/>
      <c r="M96" s="32"/>
      <c r="N96" s="32"/>
      <c r="O96" s="32"/>
      <c r="P96" s="32"/>
      <c r="Q96" s="32"/>
      <c r="R96" s="32"/>
      <c r="S96" s="48"/>
      <c r="T96" s="48"/>
      <c r="U96" s="48"/>
      <c r="V96" s="48"/>
      <c r="W96" s="48"/>
      <c r="X96" s="48"/>
      <c r="Y96" s="48"/>
      <c r="Z96" s="48"/>
      <c r="AA96" s="48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2:52">
      <c r="B97" s="201"/>
      <c r="C97" s="201"/>
      <c r="D97" s="201"/>
      <c r="E97" s="201"/>
      <c r="F97" s="201"/>
      <c r="G97" s="201"/>
      <c r="H97" s="201"/>
      <c r="I97" s="213"/>
      <c r="J97" s="209"/>
      <c r="K97" s="209"/>
      <c r="L97" s="203"/>
      <c r="M97" s="201"/>
      <c r="N97" s="201"/>
      <c r="O97" s="209"/>
      <c r="P97" s="32"/>
      <c r="Q97" s="32"/>
      <c r="R97" s="32"/>
      <c r="S97" s="32"/>
      <c r="T97" s="48"/>
      <c r="U97" s="48"/>
      <c r="V97" s="48"/>
      <c r="W97" s="48"/>
      <c r="X97" s="48"/>
      <c r="Y97" s="48"/>
      <c r="Z97" s="48"/>
      <c r="AA97" s="48"/>
      <c r="AB97" s="48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</row>
    <row r="98" spans="2:52">
      <c r="B98" s="40" t="s">
        <v>561</v>
      </c>
      <c r="C98" s="40"/>
      <c r="D98" s="32"/>
      <c r="E98" s="32"/>
      <c r="F98" s="32"/>
      <c r="G98" s="32"/>
      <c r="H98" s="32"/>
      <c r="I98" s="32"/>
      <c r="J98" s="52"/>
      <c r="K98" s="52"/>
      <c r="L98" s="55"/>
      <c r="M98" s="32"/>
      <c r="N98" s="201"/>
      <c r="O98" s="5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1"/>
      <c r="AC98" s="201"/>
      <c r="AD98" s="201"/>
      <c r="AE98" s="201"/>
      <c r="AF98" s="201"/>
      <c r="AG98" s="201"/>
      <c r="AH98" s="201"/>
      <c r="AI98" s="201"/>
      <c r="AJ98" s="201"/>
      <c r="AK98" s="201"/>
      <c r="AL98" s="201"/>
      <c r="AM98" s="201"/>
      <c r="AN98" s="201"/>
      <c r="AO98" s="201"/>
      <c r="AP98" s="201"/>
      <c r="AQ98" s="201"/>
      <c r="AR98" s="201"/>
      <c r="AS98" s="201"/>
      <c r="AT98" s="201"/>
      <c r="AU98" s="201"/>
      <c r="AZ98" s="201"/>
    </row>
    <row r="99" spans="2:52">
      <c r="B99" s="422">
        <v>1</v>
      </c>
      <c r="C99" s="1249" t="s">
        <v>874</v>
      </c>
      <c r="D99" s="1249"/>
      <c r="E99" s="1249"/>
      <c r="F99" s="1249"/>
      <c r="G99" s="1249"/>
      <c r="H99" s="1249"/>
      <c r="I99" s="1249"/>
      <c r="J99" s="1249"/>
      <c r="K99" s="1249"/>
      <c r="L99" s="203"/>
      <c r="M99" s="201"/>
      <c r="N99" s="201"/>
      <c r="O99" s="209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  <c r="AT99" s="201"/>
      <c r="AU99" s="201"/>
      <c r="AZ99" s="201"/>
    </row>
    <row r="101" spans="2:52">
      <c r="B101" s="28" t="s">
        <v>2</v>
      </c>
      <c r="C101" s="28"/>
      <c r="D101" s="29"/>
      <c r="E101" s="30" t="s">
        <v>511</v>
      </c>
      <c r="F101" s="31" t="s">
        <v>393</v>
      </c>
      <c r="G101" s="32"/>
      <c r="H101" s="33"/>
      <c r="I101" s="34"/>
      <c r="J101" s="35" t="s">
        <v>513</v>
      </c>
      <c r="K101" s="36" t="s">
        <v>511</v>
      </c>
      <c r="L101" s="37">
        <v>44962.043749999997</v>
      </c>
      <c r="M101" s="32"/>
      <c r="N101" s="32"/>
      <c r="O101" s="206"/>
      <c r="P101" s="205"/>
      <c r="Q101" s="202"/>
      <c r="R101" s="204"/>
      <c r="S101" s="38"/>
      <c r="T101" s="201"/>
      <c r="U101" s="201"/>
      <c r="V101" s="201"/>
      <c r="W101" s="201"/>
      <c r="X101" s="201"/>
      <c r="Y101" s="201"/>
      <c r="Z101" s="201"/>
      <c r="AA101" s="201"/>
      <c r="AB101" s="202"/>
      <c r="AC101" s="202"/>
      <c r="AD101" s="202"/>
      <c r="AE101" s="202"/>
      <c r="AF101" s="202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  <c r="AV101" s="201"/>
      <c r="AW101" s="201"/>
      <c r="AX101" s="201"/>
      <c r="AY101" s="201"/>
      <c r="AZ101" s="201"/>
    </row>
    <row r="102" spans="2:52">
      <c r="B102" s="35" t="s">
        <v>514</v>
      </c>
      <c r="C102" s="35"/>
      <c r="D102" s="32"/>
      <c r="E102" s="36" t="s">
        <v>511</v>
      </c>
      <c r="F102" s="37" t="s">
        <v>880</v>
      </c>
      <c r="G102" s="32"/>
      <c r="H102" s="33"/>
      <c r="I102" s="34"/>
      <c r="J102" s="35" t="s">
        <v>516</v>
      </c>
      <c r="K102" s="36" t="s">
        <v>511</v>
      </c>
      <c r="L102" s="37">
        <v>44963.538888888892</v>
      </c>
      <c r="M102" s="32"/>
      <c r="N102" s="32"/>
      <c r="O102" s="206"/>
      <c r="P102" s="205"/>
      <c r="Q102" s="202"/>
      <c r="R102" s="204"/>
      <c r="S102" s="38"/>
      <c r="T102" s="201"/>
      <c r="U102" s="201"/>
      <c r="V102" s="201"/>
      <c r="W102" s="201"/>
      <c r="X102" s="201"/>
      <c r="Y102" s="201"/>
      <c r="Z102" s="201"/>
      <c r="AA102" s="201"/>
      <c r="AB102" s="202"/>
      <c r="AC102" s="202"/>
      <c r="AD102" s="202"/>
      <c r="AE102" s="202"/>
      <c r="AF102" s="202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  <c r="AV102" s="201"/>
      <c r="AW102" s="201"/>
      <c r="AX102" s="201"/>
      <c r="AY102" s="201"/>
      <c r="AZ102" s="201"/>
    </row>
    <row r="103" spans="2:52">
      <c r="B103" s="35" t="s">
        <v>517</v>
      </c>
      <c r="C103" s="35"/>
      <c r="D103" s="32"/>
      <c r="E103" s="36" t="s">
        <v>511</v>
      </c>
      <c r="F103" s="37">
        <v>44961.895833333336</v>
      </c>
      <c r="G103" s="32"/>
      <c r="H103" s="33"/>
      <c r="I103" s="34"/>
      <c r="J103" s="35" t="s">
        <v>518</v>
      </c>
      <c r="K103" s="36" t="s">
        <v>511</v>
      </c>
      <c r="L103" s="50">
        <v>69000</v>
      </c>
      <c r="M103" s="40" t="s">
        <v>519</v>
      </c>
      <c r="N103" s="40"/>
      <c r="O103" s="206"/>
      <c r="P103" s="205"/>
      <c r="Q103" s="202"/>
      <c r="R103" s="204"/>
      <c r="S103" s="38"/>
      <c r="T103" s="201"/>
      <c r="U103" s="201"/>
      <c r="V103" s="201"/>
      <c r="W103" s="201"/>
      <c r="X103" s="201"/>
      <c r="Y103" s="201"/>
      <c r="Z103" s="201"/>
      <c r="AA103" s="201"/>
      <c r="AB103" s="202"/>
      <c r="AC103" s="202"/>
      <c r="AD103" s="202"/>
      <c r="AE103" s="202"/>
      <c r="AF103" s="202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  <c r="AT103" s="201"/>
      <c r="AU103" s="201"/>
      <c r="AV103" s="201"/>
      <c r="AW103" s="201"/>
      <c r="AX103" s="201"/>
      <c r="AY103" s="201"/>
      <c r="AZ103" s="201"/>
    </row>
    <row r="104" spans="2:52">
      <c r="B104" s="35" t="s">
        <v>520</v>
      </c>
      <c r="C104" s="35"/>
      <c r="D104" s="32"/>
      <c r="E104" s="36" t="s">
        <v>511</v>
      </c>
      <c r="F104" s="37" t="s">
        <v>20</v>
      </c>
      <c r="G104" s="32"/>
      <c r="H104" s="33"/>
      <c r="I104" s="34"/>
      <c r="J104" s="35" t="s">
        <v>521</v>
      </c>
      <c r="K104" s="36" t="s">
        <v>511</v>
      </c>
      <c r="L104" s="41" t="s">
        <v>881</v>
      </c>
      <c r="M104" s="32"/>
      <c r="N104" s="32"/>
      <c r="O104" s="206"/>
      <c r="P104" s="202"/>
      <c r="Q104" s="202"/>
      <c r="R104" s="204"/>
      <c r="S104" s="38"/>
      <c r="T104" s="201"/>
      <c r="U104" s="201"/>
      <c r="V104" s="201"/>
      <c r="W104" s="201"/>
      <c r="X104" s="201"/>
      <c r="Y104" s="201"/>
      <c r="Z104" s="201"/>
      <c r="AA104" s="201"/>
      <c r="AB104" s="202"/>
      <c r="AC104" s="202"/>
      <c r="AD104" s="202"/>
      <c r="AE104" s="202"/>
      <c r="AF104" s="202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  <c r="AQ104" s="201"/>
      <c r="AR104" s="201"/>
      <c r="AS104" s="201"/>
      <c r="AT104" s="201"/>
      <c r="AU104" s="201"/>
      <c r="AV104" s="201"/>
      <c r="AW104" s="201"/>
      <c r="AX104" s="201"/>
      <c r="AY104" s="201"/>
      <c r="AZ104" s="201"/>
    </row>
    <row r="105" spans="2:52">
      <c r="B105" s="35" t="s">
        <v>523</v>
      </c>
      <c r="C105" s="35"/>
      <c r="D105" s="32"/>
      <c r="E105" s="36" t="s">
        <v>511</v>
      </c>
      <c r="F105" s="37" t="s">
        <v>47</v>
      </c>
      <c r="G105" s="32"/>
      <c r="H105" s="33"/>
      <c r="I105" s="34"/>
      <c r="J105" s="42" t="s">
        <v>524</v>
      </c>
      <c r="K105" s="36" t="s">
        <v>511</v>
      </c>
      <c r="L105" s="43" t="s">
        <v>15</v>
      </c>
      <c r="M105" s="44"/>
      <c r="N105" s="44"/>
      <c r="O105" s="206"/>
      <c r="P105" s="205"/>
      <c r="Q105" s="202"/>
      <c r="R105" s="204"/>
      <c r="S105" s="38"/>
      <c r="T105" s="201"/>
      <c r="U105" s="201"/>
      <c r="V105" s="201"/>
      <c r="W105" s="201"/>
      <c r="X105" s="201"/>
      <c r="Y105" s="201"/>
      <c r="Z105" s="201"/>
      <c r="AA105" s="201"/>
      <c r="AB105" s="202"/>
      <c r="AC105" s="202"/>
      <c r="AD105" s="202"/>
      <c r="AE105" s="202"/>
      <c r="AF105" s="202"/>
      <c r="AG105" s="201"/>
      <c r="AH105" s="201"/>
      <c r="AI105" s="201"/>
      <c r="AJ105" s="201"/>
      <c r="AK105" s="201"/>
      <c r="AL105" s="201"/>
      <c r="AM105" s="201"/>
      <c r="AN105" s="201"/>
      <c r="AO105" s="201"/>
      <c r="AP105" s="201"/>
      <c r="AQ105" s="201"/>
      <c r="AR105" s="201"/>
      <c r="AS105" s="201"/>
      <c r="AT105" s="201"/>
      <c r="AU105" s="201"/>
      <c r="AV105" s="201"/>
      <c r="AW105" s="201"/>
      <c r="AX105" s="201"/>
      <c r="AY105" s="201"/>
      <c r="AZ105" s="201"/>
    </row>
    <row r="106" spans="2:52">
      <c r="B106" s="35" t="s">
        <v>2</v>
      </c>
      <c r="C106" s="35"/>
      <c r="D106" s="32"/>
      <c r="E106" s="36" t="s">
        <v>511</v>
      </c>
      <c r="F106" s="37" t="s">
        <v>14</v>
      </c>
      <c r="G106" s="32"/>
      <c r="H106" s="33"/>
      <c r="I106" s="45"/>
      <c r="J106" s="42"/>
      <c r="K106" s="36"/>
      <c r="L106" s="211"/>
      <c r="M106" s="201"/>
      <c r="N106" s="201"/>
      <c r="O106" s="42"/>
      <c r="P106" s="44"/>
      <c r="Q106" s="44"/>
      <c r="R106" s="44"/>
      <c r="S106" s="34"/>
      <c r="T106" s="201"/>
      <c r="U106" s="201"/>
      <c r="V106" s="201"/>
      <c r="W106" s="201"/>
      <c r="X106" s="201"/>
      <c r="Y106" s="201"/>
      <c r="Z106" s="201"/>
      <c r="AA106" s="201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201"/>
      <c r="AP106" s="201"/>
      <c r="AQ106" s="201"/>
      <c r="AR106" s="201"/>
      <c r="AS106" s="201"/>
      <c r="AT106" s="201"/>
      <c r="AU106" s="201"/>
      <c r="AV106" s="201"/>
      <c r="AW106" s="201"/>
      <c r="AX106" s="201"/>
      <c r="AY106" s="201"/>
      <c r="AZ106" s="201"/>
    </row>
    <row r="107" spans="2:52">
      <c r="B107" s="201"/>
      <c r="C107" s="201"/>
      <c r="D107" s="201"/>
      <c r="E107" s="201"/>
      <c r="F107" s="201"/>
      <c r="G107" s="201"/>
      <c r="H107" s="201"/>
      <c r="I107" s="45"/>
      <c r="J107" s="42"/>
      <c r="K107" s="42"/>
      <c r="L107" s="43"/>
      <c r="M107" s="44"/>
      <c r="N107" s="44"/>
      <c r="O107" s="42"/>
      <c r="P107" s="44"/>
      <c r="Q107" s="44"/>
      <c r="R107" s="44"/>
      <c r="S107" s="34"/>
      <c r="T107" s="1265" t="s">
        <v>87</v>
      </c>
      <c r="U107" s="1265"/>
      <c r="V107" s="1265"/>
      <c r="W107" s="1265"/>
      <c r="X107" s="1265"/>
      <c r="Y107" s="1265" t="s">
        <v>73</v>
      </c>
      <c r="Z107" s="1265"/>
      <c r="AA107" s="1265"/>
      <c r="AB107" s="1265" t="s">
        <v>74</v>
      </c>
      <c r="AC107" s="1265"/>
      <c r="AD107" s="423" t="s">
        <v>85</v>
      </c>
      <c r="AE107" s="423" t="s">
        <v>77</v>
      </c>
      <c r="AF107" s="1265" t="s">
        <v>525</v>
      </c>
      <c r="AG107" s="1265"/>
      <c r="AH107" s="1265"/>
      <c r="AI107" s="1265"/>
      <c r="AJ107" s="1265"/>
      <c r="AK107" s="1265"/>
      <c r="AL107" s="1265"/>
      <c r="AM107" s="1265"/>
      <c r="AN107" s="1265"/>
      <c r="AO107" s="1265"/>
      <c r="AP107" s="1265"/>
      <c r="AQ107" s="1265"/>
      <c r="AR107" s="1265"/>
      <c r="AS107" s="1265"/>
      <c r="AT107" s="1265"/>
      <c r="AU107" s="1265"/>
      <c r="AV107" s="1265"/>
      <c r="AW107" s="1265"/>
      <c r="AX107" s="1265"/>
      <c r="AY107" s="1265"/>
      <c r="AZ107" s="201"/>
    </row>
    <row r="108" spans="2:52">
      <c r="B108" s="1266" t="s">
        <v>526</v>
      </c>
      <c r="C108" s="1267"/>
      <c r="D108" s="570" t="s">
        <v>527</v>
      </c>
      <c r="E108" s="570"/>
      <c r="F108" s="570" t="s">
        <v>528</v>
      </c>
      <c r="G108" s="570" t="s">
        <v>529</v>
      </c>
      <c r="H108" s="570" t="s">
        <v>530</v>
      </c>
      <c r="I108" s="570" t="s">
        <v>531</v>
      </c>
      <c r="J108" s="570" t="s">
        <v>532</v>
      </c>
      <c r="K108" s="570"/>
      <c r="L108" s="570" t="s">
        <v>130</v>
      </c>
      <c r="M108" s="570" t="s">
        <v>533</v>
      </c>
      <c r="N108" s="408" t="str">
        <f>"On time - "&amp;COUNTIF(N109:N118,"On time")&amp;" from "&amp;ROWS(N109:N118)-COUNTIF(N109:N118," ")</f>
        <v>On time - 9 from 9</v>
      </c>
      <c r="O108" s="46"/>
      <c r="P108" s="409" t="s">
        <v>534</v>
      </c>
      <c r="Q108" s="409" t="s">
        <v>535</v>
      </c>
      <c r="R108" s="409" t="s">
        <v>536</v>
      </c>
      <c r="S108" s="32"/>
      <c r="T108" s="424" t="s">
        <v>537</v>
      </c>
      <c r="U108" s="424" t="s">
        <v>538</v>
      </c>
      <c r="V108" s="424" t="s">
        <v>539</v>
      </c>
      <c r="W108" s="424" t="s">
        <v>540</v>
      </c>
      <c r="X108" s="424" t="s">
        <v>541</v>
      </c>
      <c r="Y108" s="424" t="s">
        <v>167</v>
      </c>
      <c r="Z108" s="424" t="s">
        <v>168</v>
      </c>
      <c r="AA108" s="424" t="s">
        <v>169</v>
      </c>
      <c r="AB108" s="424" t="s">
        <v>235</v>
      </c>
      <c r="AC108" s="424" t="s">
        <v>542</v>
      </c>
      <c r="AD108" s="423" t="s">
        <v>85</v>
      </c>
      <c r="AE108" s="424" t="s">
        <v>139</v>
      </c>
      <c r="AF108" s="424" t="s">
        <v>72</v>
      </c>
      <c r="AG108" s="424" t="s">
        <v>88</v>
      </c>
      <c r="AH108" s="424" t="s">
        <v>75</v>
      </c>
      <c r="AI108" s="424" t="s">
        <v>543</v>
      </c>
      <c r="AJ108" s="424" t="s">
        <v>78</v>
      </c>
      <c r="AK108" s="424" t="s">
        <v>76</v>
      </c>
      <c r="AL108" s="424" t="s">
        <v>544</v>
      </c>
      <c r="AM108" s="424" t="s">
        <v>545</v>
      </c>
      <c r="AN108" s="424" t="s">
        <v>86</v>
      </c>
      <c r="AO108" s="424" t="s">
        <v>83</v>
      </c>
      <c r="AP108" s="424" t="s">
        <v>84</v>
      </c>
      <c r="AQ108" s="424" t="s">
        <v>546</v>
      </c>
      <c r="AR108" s="424" t="s">
        <v>81</v>
      </c>
      <c r="AS108" s="424" t="s">
        <v>80</v>
      </c>
      <c r="AT108" s="424" t="s">
        <v>82</v>
      </c>
      <c r="AU108" s="424" t="s">
        <v>181</v>
      </c>
      <c r="AV108" s="424" t="s">
        <v>183</v>
      </c>
      <c r="AW108" s="424" t="s">
        <v>547</v>
      </c>
      <c r="AX108" s="424" t="s">
        <v>182</v>
      </c>
      <c r="AY108" s="424" t="s">
        <v>172</v>
      </c>
      <c r="AZ108" s="201"/>
    </row>
    <row r="109" spans="2:52">
      <c r="B109" s="1256">
        <v>1</v>
      </c>
      <c r="C109" s="1257"/>
      <c r="D109" s="411" t="s">
        <v>420</v>
      </c>
      <c r="E109" s="411"/>
      <c r="F109" s="411" t="s">
        <v>213</v>
      </c>
      <c r="G109" s="411" t="s">
        <v>214</v>
      </c>
      <c r="H109" s="412">
        <v>7411.2889999999998</v>
      </c>
      <c r="I109" s="413" t="s">
        <v>235</v>
      </c>
      <c r="J109" s="414">
        <v>44957.100694444445</v>
      </c>
      <c r="K109" s="414"/>
      <c r="L109" s="414" t="s">
        <v>192</v>
      </c>
      <c r="M109" s="414" t="s">
        <v>192</v>
      </c>
      <c r="N109" s="413" t="str">
        <f>IF(ISBLANK(J109)," ",IF(J109&lt;$F$103,"On time",(IF(DAY(J109-$F$103)&lt;1,"On time",(IF(J109&gt;$F$103,"DELAY ( "&amp;DAY(J109-$F$103)&amp;" day "&amp;HOUR(J109-$F$103)&amp;" hour "&amp;MINUTE(J109-$F$103)&amp;" minute )","xxx"))))))</f>
        <v>On time</v>
      </c>
      <c r="O109" s="51"/>
      <c r="P109" s="415" t="s">
        <v>551</v>
      </c>
      <c r="Q109" s="415" t="s">
        <v>551</v>
      </c>
      <c r="R109" s="415" t="s">
        <v>551</v>
      </c>
      <c r="S109" s="32"/>
      <c r="T109" s="416"/>
      <c r="U109" s="416"/>
      <c r="V109" s="416"/>
      <c r="W109" s="416"/>
      <c r="X109" s="416"/>
      <c r="Y109" s="416"/>
      <c r="Z109" s="416"/>
      <c r="AA109" s="416"/>
      <c r="AB109" s="416">
        <f t="shared" ref="AB109:AB115" si="7">H109</f>
        <v>7411.2889999999998</v>
      </c>
      <c r="AC109" s="416"/>
      <c r="AD109" s="416"/>
      <c r="AE109" s="416"/>
      <c r="AF109" s="416"/>
      <c r="AG109" s="416"/>
      <c r="AH109" s="416"/>
      <c r="AI109" s="416"/>
      <c r="AJ109" s="416"/>
      <c r="AK109" s="416"/>
      <c r="AL109" s="416"/>
      <c r="AM109" s="416"/>
      <c r="AN109" s="416"/>
      <c r="AO109" s="416"/>
      <c r="AP109" s="416"/>
      <c r="AQ109" s="416"/>
      <c r="AR109" s="416"/>
      <c r="AS109" s="416"/>
      <c r="AT109" s="416"/>
      <c r="AU109" s="416"/>
      <c r="AV109" s="416"/>
      <c r="AW109" s="416"/>
      <c r="AX109" s="416"/>
      <c r="AY109" s="416"/>
      <c r="AZ109" s="32"/>
    </row>
    <row r="110" spans="2:52">
      <c r="B110" s="1256">
        <v>2</v>
      </c>
      <c r="C110" s="1257"/>
      <c r="D110" s="411" t="s">
        <v>405</v>
      </c>
      <c r="E110" s="411"/>
      <c r="F110" s="411" t="s">
        <v>406</v>
      </c>
      <c r="G110" s="411" t="s">
        <v>407</v>
      </c>
      <c r="H110" s="412">
        <v>7542.7569999999996</v>
      </c>
      <c r="I110" s="413" t="s">
        <v>235</v>
      </c>
      <c r="J110" s="414">
        <v>44958.003472222219</v>
      </c>
      <c r="K110" s="414"/>
      <c r="L110" s="414" t="s">
        <v>192</v>
      </c>
      <c r="M110" s="414" t="s">
        <v>192</v>
      </c>
      <c r="N110" s="413" t="str">
        <f t="shared" ref="N110:N120" si="8">IF(ISBLANK(J110)," ",IF(J110&lt;$F$103,"On time",(IF(DAY(J110-$F$103)&lt;1,"On time",(IF(J110&gt;$F$103,"DELAY ( "&amp;DAY(J110-$F$103)&amp;" day "&amp;HOUR(J110-$F$103)&amp;" hour "&amp;MINUTE(J110-$F$103)&amp;" minute )","xxx"))))))</f>
        <v>On time</v>
      </c>
      <c r="O110" s="51"/>
      <c r="P110" s="415" t="s">
        <v>551</v>
      </c>
      <c r="Q110" s="415" t="s">
        <v>551</v>
      </c>
      <c r="R110" s="415" t="s">
        <v>551</v>
      </c>
      <c r="S110" s="32"/>
      <c r="T110" s="416"/>
      <c r="U110" s="416"/>
      <c r="V110" s="416"/>
      <c r="W110" s="416"/>
      <c r="X110" s="416"/>
      <c r="Y110" s="416"/>
      <c r="Z110" s="416"/>
      <c r="AA110" s="416"/>
      <c r="AB110" s="416">
        <f t="shared" si="7"/>
        <v>7542.7569999999996</v>
      </c>
      <c r="AC110" s="416"/>
      <c r="AD110" s="416"/>
      <c r="AE110" s="416"/>
      <c r="AF110" s="416"/>
      <c r="AG110" s="416"/>
      <c r="AH110" s="416"/>
      <c r="AI110" s="416"/>
      <c r="AJ110" s="416"/>
      <c r="AK110" s="416"/>
      <c r="AL110" s="416"/>
      <c r="AM110" s="416"/>
      <c r="AN110" s="416"/>
      <c r="AO110" s="416"/>
      <c r="AP110" s="416"/>
      <c r="AQ110" s="416"/>
      <c r="AR110" s="416"/>
      <c r="AS110" s="416"/>
      <c r="AT110" s="416"/>
      <c r="AU110" s="416"/>
      <c r="AV110" s="416"/>
      <c r="AW110" s="416"/>
      <c r="AX110" s="416"/>
      <c r="AY110" s="416"/>
      <c r="AZ110" s="32"/>
    </row>
    <row r="111" spans="2:52">
      <c r="B111" s="1256">
        <v>3</v>
      </c>
      <c r="C111" s="1257"/>
      <c r="D111" s="411" t="s">
        <v>476</v>
      </c>
      <c r="E111" s="411"/>
      <c r="F111" s="411" t="s">
        <v>304</v>
      </c>
      <c r="G111" s="411" t="s">
        <v>305</v>
      </c>
      <c r="H111" s="412">
        <v>7535.1040000000003</v>
      </c>
      <c r="I111" s="413" t="s">
        <v>172</v>
      </c>
      <c r="J111" s="414">
        <v>44958.104166666664</v>
      </c>
      <c r="K111" s="414"/>
      <c r="L111" s="414" t="s">
        <v>192</v>
      </c>
      <c r="M111" s="414" t="s">
        <v>192</v>
      </c>
      <c r="N111" s="413" t="str">
        <f t="shared" si="8"/>
        <v>On time</v>
      </c>
      <c r="O111" s="51"/>
      <c r="P111" s="415" t="s">
        <v>551</v>
      </c>
      <c r="Q111" s="415" t="s">
        <v>551</v>
      </c>
      <c r="R111" s="415" t="s">
        <v>551</v>
      </c>
      <c r="S111" s="32"/>
      <c r="T111" s="416"/>
      <c r="U111" s="416"/>
      <c r="V111" s="416"/>
      <c r="W111" s="416"/>
      <c r="X111" s="416"/>
      <c r="Y111" s="416"/>
      <c r="Z111" s="416"/>
      <c r="AA111" s="416"/>
      <c r="AB111" s="416"/>
      <c r="AC111" s="416"/>
      <c r="AD111" s="416"/>
      <c r="AE111" s="416"/>
      <c r="AF111" s="416"/>
      <c r="AG111" s="416"/>
      <c r="AH111" s="416"/>
      <c r="AI111" s="416"/>
      <c r="AJ111" s="416"/>
      <c r="AK111" s="416"/>
      <c r="AL111" s="416"/>
      <c r="AM111" s="416"/>
      <c r="AN111" s="416"/>
      <c r="AO111" s="416"/>
      <c r="AP111" s="416"/>
      <c r="AQ111" s="416"/>
      <c r="AR111" s="416"/>
      <c r="AS111" s="416"/>
      <c r="AT111" s="416"/>
      <c r="AU111" s="416"/>
      <c r="AV111" s="416"/>
      <c r="AW111" s="416"/>
      <c r="AX111" s="416"/>
      <c r="AY111" s="416">
        <f>H111</f>
        <v>7535.1040000000003</v>
      </c>
      <c r="AZ111" s="32"/>
    </row>
    <row r="112" spans="2:52">
      <c r="B112" s="1256">
        <v>4</v>
      </c>
      <c r="C112" s="1257"/>
      <c r="D112" s="411" t="s">
        <v>414</v>
      </c>
      <c r="E112" s="411"/>
      <c r="F112" s="411" t="s">
        <v>310</v>
      </c>
      <c r="G112" s="411" t="s">
        <v>311</v>
      </c>
      <c r="H112" s="412">
        <v>7427.4</v>
      </c>
      <c r="I112" s="413" t="s">
        <v>235</v>
      </c>
      <c r="J112" s="414">
        <v>44958.138888888891</v>
      </c>
      <c r="K112" s="414"/>
      <c r="L112" s="414" t="s">
        <v>192</v>
      </c>
      <c r="M112" s="414" t="s">
        <v>192</v>
      </c>
      <c r="N112" s="413" t="str">
        <f t="shared" si="8"/>
        <v>On time</v>
      </c>
      <c r="O112" s="51"/>
      <c r="P112" s="415" t="s">
        <v>551</v>
      </c>
      <c r="Q112" s="415" t="s">
        <v>551</v>
      </c>
      <c r="R112" s="415" t="s">
        <v>551</v>
      </c>
      <c r="S112" s="32"/>
      <c r="T112" s="416"/>
      <c r="U112" s="416"/>
      <c r="V112" s="416"/>
      <c r="W112" s="416"/>
      <c r="X112" s="416"/>
      <c r="Y112" s="416"/>
      <c r="Z112" s="416"/>
      <c r="AA112" s="416"/>
      <c r="AB112" s="416">
        <f t="shared" si="7"/>
        <v>7427.4</v>
      </c>
      <c r="AC112" s="416"/>
      <c r="AD112" s="416"/>
      <c r="AE112" s="416"/>
      <c r="AF112" s="416"/>
      <c r="AG112" s="416"/>
      <c r="AH112" s="416"/>
      <c r="AI112" s="416"/>
      <c r="AJ112" s="416"/>
      <c r="AK112" s="416"/>
      <c r="AL112" s="416"/>
      <c r="AM112" s="416"/>
      <c r="AN112" s="416"/>
      <c r="AO112" s="416"/>
      <c r="AP112" s="416"/>
      <c r="AQ112" s="416"/>
      <c r="AR112" s="416"/>
      <c r="AS112" s="416"/>
      <c r="AT112" s="416"/>
      <c r="AU112" s="416"/>
      <c r="AV112" s="416"/>
      <c r="AW112" s="416"/>
      <c r="AX112" s="416"/>
      <c r="AY112" s="416"/>
      <c r="AZ112" s="32"/>
    </row>
    <row r="113" spans="2:52">
      <c r="B113" s="1256">
        <v>5</v>
      </c>
      <c r="C113" s="1257"/>
      <c r="D113" s="411" t="s">
        <v>421</v>
      </c>
      <c r="E113" s="411"/>
      <c r="F113" s="411" t="s">
        <v>422</v>
      </c>
      <c r="G113" s="411" t="s">
        <v>423</v>
      </c>
      <c r="H113" s="412">
        <v>7500.7089999999998</v>
      </c>
      <c r="I113" s="413" t="s">
        <v>235</v>
      </c>
      <c r="J113" s="414">
        <v>44958.875</v>
      </c>
      <c r="K113" s="414"/>
      <c r="L113" s="414" t="s">
        <v>192</v>
      </c>
      <c r="M113" s="414" t="s">
        <v>192</v>
      </c>
      <c r="N113" s="413" t="str">
        <f t="shared" si="8"/>
        <v>On time</v>
      </c>
      <c r="O113" s="51"/>
      <c r="P113" s="415" t="s">
        <v>551</v>
      </c>
      <c r="Q113" s="415" t="s">
        <v>551</v>
      </c>
      <c r="R113" s="415" t="s">
        <v>551</v>
      </c>
      <c r="S113" s="32"/>
      <c r="T113" s="416"/>
      <c r="U113" s="416"/>
      <c r="V113" s="416"/>
      <c r="W113" s="416"/>
      <c r="X113" s="416"/>
      <c r="Y113" s="416"/>
      <c r="Z113" s="416"/>
      <c r="AA113" s="416"/>
      <c r="AB113" s="416">
        <f>H113</f>
        <v>7500.7089999999998</v>
      </c>
      <c r="AC113" s="416"/>
      <c r="AD113" s="416"/>
      <c r="AE113" s="416"/>
      <c r="AF113" s="416"/>
      <c r="AG113" s="416"/>
      <c r="AH113" s="416"/>
      <c r="AI113" s="416"/>
      <c r="AJ113" s="416"/>
      <c r="AK113" s="416"/>
      <c r="AL113" s="416"/>
      <c r="AM113" s="416"/>
      <c r="AN113" s="416"/>
      <c r="AO113" s="416"/>
      <c r="AP113" s="416"/>
      <c r="AQ113" s="416"/>
      <c r="AR113" s="416"/>
      <c r="AS113" s="416"/>
      <c r="AT113" s="416"/>
      <c r="AU113" s="416"/>
      <c r="AV113" s="416"/>
      <c r="AW113" s="416"/>
      <c r="AX113" s="416"/>
      <c r="AY113" s="416"/>
      <c r="AZ113" s="32"/>
    </row>
    <row r="114" spans="2:52">
      <c r="B114" s="1256">
        <v>6</v>
      </c>
      <c r="C114" s="1257"/>
      <c r="D114" s="411" t="s">
        <v>395</v>
      </c>
      <c r="E114" s="411"/>
      <c r="F114" s="411" t="s">
        <v>246</v>
      </c>
      <c r="G114" s="411" t="s">
        <v>247</v>
      </c>
      <c r="H114" s="412">
        <v>7402.6679999999997</v>
      </c>
      <c r="I114" s="413" t="s">
        <v>235</v>
      </c>
      <c r="J114" s="414">
        <v>44959.1875</v>
      </c>
      <c r="K114" s="414"/>
      <c r="L114" s="414" t="s">
        <v>192</v>
      </c>
      <c r="M114" s="414" t="s">
        <v>192</v>
      </c>
      <c r="N114" s="413" t="str">
        <f t="shared" si="8"/>
        <v>On time</v>
      </c>
      <c r="O114" s="51"/>
      <c r="P114" s="415" t="s">
        <v>551</v>
      </c>
      <c r="Q114" s="415" t="s">
        <v>551</v>
      </c>
      <c r="R114" s="415" t="s">
        <v>551</v>
      </c>
      <c r="S114" s="32"/>
      <c r="T114" s="416"/>
      <c r="U114" s="416"/>
      <c r="V114" s="416"/>
      <c r="W114" s="416"/>
      <c r="X114" s="416"/>
      <c r="Y114" s="416"/>
      <c r="Z114" s="416"/>
      <c r="AA114" s="416"/>
      <c r="AB114" s="416">
        <f>H114</f>
        <v>7402.6679999999997</v>
      </c>
      <c r="AC114" s="416"/>
      <c r="AD114" s="416"/>
      <c r="AE114" s="416"/>
      <c r="AF114" s="416"/>
      <c r="AG114" s="416"/>
      <c r="AH114" s="416"/>
      <c r="AI114" s="416"/>
      <c r="AJ114" s="416"/>
      <c r="AK114" s="416"/>
      <c r="AL114" s="416"/>
      <c r="AM114" s="416"/>
      <c r="AN114" s="416"/>
      <c r="AO114" s="416"/>
      <c r="AP114" s="416"/>
      <c r="AQ114" s="416"/>
      <c r="AR114" s="416"/>
      <c r="AS114" s="416"/>
      <c r="AT114" s="416"/>
      <c r="AU114" s="416"/>
      <c r="AV114" s="416"/>
      <c r="AW114" s="416"/>
      <c r="AX114" s="416"/>
      <c r="AY114" s="416"/>
      <c r="AZ114" s="32"/>
    </row>
    <row r="115" spans="2:52">
      <c r="B115" s="1256">
        <v>7</v>
      </c>
      <c r="C115" s="1257"/>
      <c r="D115" s="411" t="s">
        <v>408</v>
      </c>
      <c r="E115" s="411"/>
      <c r="F115" s="411" t="s">
        <v>260</v>
      </c>
      <c r="G115" s="411" t="s">
        <v>261</v>
      </c>
      <c r="H115" s="412">
        <v>7522.3810000000003</v>
      </c>
      <c r="I115" s="413" t="s">
        <v>235</v>
      </c>
      <c r="J115" s="414">
        <v>44959.253472222219</v>
      </c>
      <c r="K115" s="414"/>
      <c r="L115" s="414" t="s">
        <v>192</v>
      </c>
      <c r="M115" s="414" t="s">
        <v>192</v>
      </c>
      <c r="N115" s="413" t="str">
        <f t="shared" si="8"/>
        <v>On time</v>
      </c>
      <c r="O115" s="51"/>
      <c r="P115" s="415" t="s">
        <v>551</v>
      </c>
      <c r="Q115" s="415" t="s">
        <v>551</v>
      </c>
      <c r="R115" s="415" t="s">
        <v>551</v>
      </c>
      <c r="S115" s="32"/>
      <c r="T115" s="416"/>
      <c r="U115" s="416"/>
      <c r="V115" s="416"/>
      <c r="W115" s="416"/>
      <c r="X115" s="416"/>
      <c r="Y115" s="416"/>
      <c r="Z115" s="416"/>
      <c r="AA115" s="416"/>
      <c r="AB115" s="416">
        <f t="shared" si="7"/>
        <v>7522.3810000000003</v>
      </c>
      <c r="AC115" s="416"/>
      <c r="AD115" s="416"/>
      <c r="AE115" s="416"/>
      <c r="AF115" s="416"/>
      <c r="AG115" s="416"/>
      <c r="AH115" s="416"/>
      <c r="AI115" s="416"/>
      <c r="AJ115" s="416"/>
      <c r="AK115" s="416"/>
      <c r="AL115" s="416"/>
      <c r="AM115" s="416"/>
      <c r="AN115" s="416"/>
      <c r="AO115" s="416"/>
      <c r="AP115" s="416"/>
      <c r="AQ115" s="416"/>
      <c r="AR115" s="416"/>
      <c r="AS115" s="416"/>
      <c r="AT115" s="416"/>
      <c r="AU115" s="416"/>
      <c r="AV115" s="416"/>
      <c r="AW115" s="416"/>
      <c r="AX115" s="416"/>
      <c r="AY115" s="416"/>
      <c r="AZ115" s="32"/>
    </row>
    <row r="116" spans="2:52">
      <c r="B116" s="1256">
        <v>8</v>
      </c>
      <c r="C116" s="1257"/>
      <c r="D116" s="411" t="s">
        <v>468</v>
      </c>
      <c r="E116" s="411"/>
      <c r="F116" s="411" t="s">
        <v>355</v>
      </c>
      <c r="G116" s="411" t="s">
        <v>356</v>
      </c>
      <c r="H116" s="412">
        <v>7500</v>
      </c>
      <c r="I116" s="413" t="s">
        <v>76</v>
      </c>
      <c r="J116" s="414">
        <v>44959.291666666664</v>
      </c>
      <c r="K116" s="414"/>
      <c r="L116" s="414" t="s">
        <v>192</v>
      </c>
      <c r="M116" s="414" t="s">
        <v>192</v>
      </c>
      <c r="N116" s="413" t="str">
        <f t="shared" si="8"/>
        <v>On time</v>
      </c>
      <c r="O116" s="51"/>
      <c r="P116" s="415" t="s">
        <v>551</v>
      </c>
      <c r="Q116" s="415" t="s">
        <v>551</v>
      </c>
      <c r="R116" s="415" t="s">
        <v>551</v>
      </c>
      <c r="S116" s="32"/>
      <c r="T116" s="416"/>
      <c r="U116" s="416"/>
      <c r="V116" s="416"/>
      <c r="W116" s="416"/>
      <c r="X116" s="416"/>
      <c r="Y116" s="416"/>
      <c r="Z116" s="416"/>
      <c r="AA116" s="416"/>
      <c r="AB116" s="416"/>
      <c r="AC116" s="416"/>
      <c r="AD116" s="416"/>
      <c r="AE116" s="416"/>
      <c r="AF116" s="416"/>
      <c r="AG116" s="416"/>
      <c r="AH116" s="416"/>
      <c r="AI116" s="416"/>
      <c r="AJ116" s="416"/>
      <c r="AK116" s="416">
        <f>H116</f>
        <v>7500</v>
      </c>
      <c r="AL116" s="416"/>
      <c r="AM116" s="416"/>
      <c r="AN116" s="416"/>
      <c r="AO116" s="416"/>
      <c r="AP116" s="416"/>
      <c r="AQ116" s="416"/>
      <c r="AR116" s="416"/>
      <c r="AS116" s="416"/>
      <c r="AT116" s="416"/>
      <c r="AU116" s="416"/>
      <c r="AV116" s="416"/>
      <c r="AW116" s="416"/>
      <c r="AX116" s="416"/>
      <c r="AY116" s="416"/>
      <c r="AZ116" s="32"/>
    </row>
    <row r="117" spans="2:52">
      <c r="B117" s="1256">
        <v>9</v>
      </c>
      <c r="C117" s="1257"/>
      <c r="D117" s="411" t="s">
        <v>427</v>
      </c>
      <c r="E117" s="411"/>
      <c r="F117" s="411" t="s">
        <v>307</v>
      </c>
      <c r="G117" s="411" t="s">
        <v>308</v>
      </c>
      <c r="H117" s="412">
        <v>7474.826</v>
      </c>
      <c r="I117" s="413" t="s">
        <v>235</v>
      </c>
      <c r="J117" s="414">
        <v>44959.395833333336</v>
      </c>
      <c r="K117" s="414"/>
      <c r="L117" s="414" t="s">
        <v>192</v>
      </c>
      <c r="M117" s="414" t="s">
        <v>192</v>
      </c>
      <c r="N117" s="413" t="str">
        <f t="shared" si="8"/>
        <v>On time</v>
      </c>
      <c r="O117" s="51"/>
      <c r="P117" s="415" t="s">
        <v>551</v>
      </c>
      <c r="Q117" s="415" t="s">
        <v>551</v>
      </c>
      <c r="R117" s="415" t="s">
        <v>551</v>
      </c>
      <c r="S117" s="32"/>
      <c r="T117" s="416"/>
      <c r="U117" s="416"/>
      <c r="V117" s="416"/>
      <c r="W117" s="416"/>
      <c r="X117" s="416"/>
      <c r="Y117" s="416"/>
      <c r="Z117" s="416"/>
      <c r="AA117" s="416"/>
      <c r="AB117" s="416">
        <f>H117</f>
        <v>7474.826</v>
      </c>
      <c r="AC117" s="416"/>
      <c r="AD117" s="416"/>
      <c r="AE117" s="416"/>
      <c r="AF117" s="416"/>
      <c r="AG117" s="416"/>
      <c r="AH117" s="416"/>
      <c r="AI117" s="416"/>
      <c r="AJ117" s="416"/>
      <c r="AK117" s="416"/>
      <c r="AL117" s="416"/>
      <c r="AM117" s="416"/>
      <c r="AN117" s="416"/>
      <c r="AO117" s="416"/>
      <c r="AP117" s="416"/>
      <c r="AQ117" s="416"/>
      <c r="AR117" s="416"/>
      <c r="AS117" s="416"/>
      <c r="AT117" s="416"/>
      <c r="AU117" s="416"/>
      <c r="AV117" s="416"/>
      <c r="AW117" s="416"/>
      <c r="AX117" s="416"/>
      <c r="AY117" s="416"/>
      <c r="AZ117" s="32"/>
    </row>
    <row r="118" spans="2:52">
      <c r="B118" s="1256" t="s">
        <v>610</v>
      </c>
      <c r="C118" s="1276"/>
      <c r="D118" s="1276"/>
      <c r="E118" s="1276"/>
      <c r="F118" s="1276"/>
      <c r="G118" s="1257"/>
      <c r="H118" s="412">
        <f>H120-SUM(H109:H117)</f>
        <v>1682.8660000000091</v>
      </c>
      <c r="I118" s="413" t="s">
        <v>665</v>
      </c>
      <c r="J118" s="414"/>
      <c r="K118" s="414"/>
      <c r="L118" s="414"/>
      <c r="M118" s="414"/>
      <c r="N118" s="413" t="str">
        <f t="shared" si="8"/>
        <v xml:space="preserve"> </v>
      </c>
      <c r="O118" s="51"/>
      <c r="P118" s="415" t="s">
        <v>551</v>
      </c>
      <c r="Q118" s="415"/>
      <c r="R118" s="415"/>
      <c r="S118" s="32"/>
      <c r="T118" s="416"/>
      <c r="U118" s="416">
        <f>H118</f>
        <v>1682.8660000000091</v>
      </c>
      <c r="V118" s="416"/>
      <c r="W118" s="416"/>
      <c r="X118" s="416"/>
      <c r="Y118" s="416"/>
      <c r="Z118" s="416"/>
      <c r="AA118" s="416"/>
      <c r="AB118" s="416"/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32"/>
    </row>
    <row r="119" spans="2:52">
      <c r="B119" s="1258" t="s">
        <v>556</v>
      </c>
      <c r="C119" s="1259"/>
      <c r="D119" s="1259"/>
      <c r="E119" s="1259"/>
      <c r="F119" s="1259"/>
      <c r="G119" s="1260"/>
      <c r="H119" s="417">
        <f>SUM(H109:H118)</f>
        <v>69000</v>
      </c>
      <c r="I119" s="388"/>
      <c r="J119" s="293"/>
      <c r="K119" s="293"/>
      <c r="L119" s="293"/>
      <c r="M119" s="389"/>
      <c r="N119" s="413" t="str">
        <f t="shared" si="8"/>
        <v xml:space="preserve"> </v>
      </c>
      <c r="O119" s="47"/>
      <c r="P119" s="418"/>
      <c r="Q119" s="418"/>
      <c r="R119" s="418"/>
      <c r="S119" s="32"/>
      <c r="T119" s="1262"/>
      <c r="U119" s="1263"/>
      <c r="V119" s="1263"/>
      <c r="W119" s="1263"/>
      <c r="X119" s="1263"/>
      <c r="Y119" s="1263"/>
      <c r="Z119" s="1263"/>
      <c r="AA119" s="1263"/>
      <c r="AB119" s="1263"/>
      <c r="AC119" s="1263"/>
      <c r="AD119" s="1263"/>
      <c r="AE119" s="1263"/>
      <c r="AF119" s="1263"/>
      <c r="AG119" s="1263"/>
      <c r="AH119" s="1263"/>
      <c r="AI119" s="1263"/>
      <c r="AJ119" s="1263"/>
      <c r="AK119" s="1263"/>
      <c r="AL119" s="1263"/>
      <c r="AM119" s="1263"/>
      <c r="AN119" s="1263"/>
      <c r="AO119" s="1263"/>
      <c r="AP119" s="1263"/>
      <c r="AQ119" s="1263"/>
      <c r="AR119" s="1263"/>
      <c r="AS119" s="1263"/>
      <c r="AT119" s="1263"/>
      <c r="AU119" s="1263"/>
      <c r="AV119" s="1263"/>
      <c r="AW119" s="1263"/>
      <c r="AX119" s="1263"/>
      <c r="AY119" s="1264"/>
    </row>
    <row r="120" spans="2:52">
      <c r="B120" s="1243" t="s">
        <v>557</v>
      </c>
      <c r="C120" s="1244"/>
      <c r="D120" s="1244"/>
      <c r="E120" s="1244"/>
      <c r="F120" s="1244"/>
      <c r="G120" s="1245"/>
      <c r="H120" s="419">
        <v>69000</v>
      </c>
      <c r="I120" s="1246"/>
      <c r="J120" s="1247"/>
      <c r="K120" s="1247"/>
      <c r="L120" s="1247"/>
      <c r="M120" s="1248"/>
      <c r="N120" s="413" t="str">
        <f t="shared" si="8"/>
        <v xml:space="preserve"> </v>
      </c>
      <c r="O120" s="32"/>
      <c r="P120" s="415"/>
      <c r="Q120" s="415"/>
      <c r="R120" s="415"/>
      <c r="S120" s="63"/>
      <c r="T120" s="416">
        <f t="shared" ref="T120:AY120" si="9">SUM(T109:T118)</f>
        <v>0</v>
      </c>
      <c r="U120" s="416">
        <f t="shared" si="9"/>
        <v>1682.8660000000091</v>
      </c>
      <c r="V120" s="416">
        <f t="shared" si="9"/>
        <v>0</v>
      </c>
      <c r="W120" s="416">
        <f t="shared" si="9"/>
        <v>0</v>
      </c>
      <c r="X120" s="416">
        <f t="shared" si="9"/>
        <v>0</v>
      </c>
      <c r="Y120" s="416">
        <f t="shared" si="9"/>
        <v>0</v>
      </c>
      <c r="Z120" s="416">
        <f t="shared" si="9"/>
        <v>0</v>
      </c>
      <c r="AA120" s="416">
        <f t="shared" si="9"/>
        <v>0</v>
      </c>
      <c r="AB120" s="416">
        <f t="shared" si="9"/>
        <v>52282.03</v>
      </c>
      <c r="AC120" s="416">
        <f t="shared" si="9"/>
        <v>0</v>
      </c>
      <c r="AD120" s="416">
        <f t="shared" si="9"/>
        <v>0</v>
      </c>
      <c r="AE120" s="416">
        <f t="shared" si="9"/>
        <v>0</v>
      </c>
      <c r="AF120" s="416">
        <f t="shared" si="9"/>
        <v>0</v>
      </c>
      <c r="AG120" s="416">
        <f t="shared" si="9"/>
        <v>0</v>
      </c>
      <c r="AH120" s="416">
        <f t="shared" si="9"/>
        <v>0</v>
      </c>
      <c r="AI120" s="416">
        <f t="shared" si="9"/>
        <v>0</v>
      </c>
      <c r="AJ120" s="416">
        <f t="shared" si="9"/>
        <v>0</v>
      </c>
      <c r="AK120" s="416">
        <f t="shared" si="9"/>
        <v>7500</v>
      </c>
      <c r="AL120" s="416">
        <f t="shared" si="9"/>
        <v>0</v>
      </c>
      <c r="AM120" s="416">
        <f t="shared" si="9"/>
        <v>0</v>
      </c>
      <c r="AN120" s="416">
        <f t="shared" si="9"/>
        <v>0</v>
      </c>
      <c r="AO120" s="416">
        <f t="shared" si="9"/>
        <v>0</v>
      </c>
      <c r="AP120" s="416">
        <f t="shared" si="9"/>
        <v>0</v>
      </c>
      <c r="AQ120" s="416">
        <f t="shared" si="9"/>
        <v>0</v>
      </c>
      <c r="AR120" s="416">
        <f t="shared" si="9"/>
        <v>0</v>
      </c>
      <c r="AS120" s="416">
        <f t="shared" si="9"/>
        <v>0</v>
      </c>
      <c r="AT120" s="416">
        <f t="shared" si="9"/>
        <v>0</v>
      </c>
      <c r="AU120" s="416">
        <f t="shared" si="9"/>
        <v>0</v>
      </c>
      <c r="AV120" s="416">
        <f t="shared" si="9"/>
        <v>0</v>
      </c>
      <c r="AW120" s="416">
        <f t="shared" si="9"/>
        <v>0</v>
      </c>
      <c r="AX120" s="416">
        <f t="shared" si="9"/>
        <v>0</v>
      </c>
      <c r="AY120" s="416">
        <f t="shared" si="9"/>
        <v>7535.1040000000003</v>
      </c>
      <c r="AZ120" s="416">
        <f>SUM(T120:AY120)</f>
        <v>69000.000000000015</v>
      </c>
    </row>
    <row r="121" spans="2:52">
      <c r="B121" s="1243" t="s">
        <v>558</v>
      </c>
      <c r="C121" s="1244"/>
      <c r="D121" s="1244"/>
      <c r="E121" s="1244"/>
      <c r="F121" s="1244"/>
      <c r="G121" s="1245"/>
      <c r="H121" s="420">
        <f>H120-L103</f>
        <v>0</v>
      </c>
      <c r="I121" s="294"/>
      <c r="J121" s="295"/>
      <c r="K121" s="295"/>
      <c r="L121" s="296"/>
      <c r="M121" s="32"/>
      <c r="N121" s="32"/>
      <c r="O121" s="32"/>
      <c r="P121" s="32"/>
      <c r="Q121" s="297"/>
      <c r="R121" s="297"/>
      <c r="S121" s="32"/>
      <c r="T121" s="48"/>
      <c r="U121" s="48"/>
      <c r="V121" s="48"/>
      <c r="W121" s="48"/>
      <c r="X121" s="48"/>
      <c r="Y121" s="48"/>
      <c r="Z121" s="48"/>
      <c r="AA121" s="48"/>
      <c r="AB121" s="48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</row>
    <row r="122" spans="2:52">
      <c r="B122" s="1243" t="s">
        <v>559</v>
      </c>
      <c r="C122" s="1244"/>
      <c r="D122" s="1244"/>
      <c r="E122" s="1244"/>
      <c r="F122" s="1244"/>
      <c r="G122" s="1245"/>
      <c r="H122" s="420">
        <f>H119-H120</f>
        <v>0</v>
      </c>
      <c r="I122" s="52"/>
      <c r="J122" s="53"/>
      <c r="K122" s="53"/>
      <c r="L122" s="54"/>
      <c r="M122" s="32"/>
      <c r="N122" s="32"/>
      <c r="O122" s="32"/>
      <c r="P122" s="32"/>
      <c r="Q122" s="32"/>
      <c r="R122" s="32"/>
      <c r="S122" s="32"/>
      <c r="T122" s="48"/>
      <c r="U122" s="48"/>
      <c r="V122" s="48"/>
      <c r="W122" s="48"/>
      <c r="X122" s="48"/>
      <c r="Y122" s="48"/>
      <c r="Z122" s="48"/>
      <c r="AA122" s="48"/>
      <c r="AB122" s="48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</row>
    <row r="123" spans="2:52">
      <c r="B123" s="201"/>
      <c r="C123" s="201"/>
      <c r="D123" s="201"/>
      <c r="E123" s="201"/>
      <c r="F123" s="201"/>
      <c r="G123" s="201"/>
      <c r="H123" s="201"/>
      <c r="I123" s="213"/>
      <c r="J123" s="209"/>
      <c r="K123" s="209"/>
      <c r="L123" s="203"/>
      <c r="M123" s="201"/>
      <c r="N123" s="201"/>
      <c r="O123" s="209"/>
      <c r="P123" s="32"/>
      <c r="Q123" s="32"/>
      <c r="R123" s="32"/>
      <c r="S123" s="32"/>
      <c r="T123" s="48"/>
      <c r="U123" s="48"/>
      <c r="V123" s="48"/>
      <c r="W123" s="48"/>
      <c r="X123" s="48"/>
      <c r="Y123" s="48"/>
      <c r="Z123" s="48"/>
      <c r="AA123" s="48"/>
      <c r="AB123" s="48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</row>
    <row r="124" spans="2:52">
      <c r="B124" s="40" t="s">
        <v>561</v>
      </c>
      <c r="C124" s="40"/>
      <c r="D124" s="32"/>
      <c r="E124" s="32"/>
      <c r="F124" s="32"/>
      <c r="G124" s="32"/>
      <c r="H124" s="32"/>
      <c r="I124" s="32"/>
      <c r="J124" s="52"/>
      <c r="K124" s="52"/>
      <c r="L124" s="55"/>
      <c r="M124" s="32"/>
      <c r="N124" s="201"/>
      <c r="O124" s="5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  <c r="AQ124" s="201"/>
      <c r="AR124" s="201"/>
      <c r="AS124" s="201"/>
      <c r="AT124" s="201"/>
      <c r="AU124" s="201"/>
      <c r="AZ124" s="201"/>
    </row>
    <row r="125" spans="2:52">
      <c r="B125" s="422"/>
      <c r="C125" s="1249"/>
      <c r="D125" s="1249"/>
      <c r="E125" s="1249"/>
      <c r="F125" s="1249"/>
      <c r="G125" s="1249"/>
      <c r="H125" s="1249"/>
      <c r="I125" s="1249"/>
      <c r="J125" s="1249"/>
      <c r="K125" s="1249"/>
      <c r="L125" s="203"/>
      <c r="M125" s="201"/>
      <c r="N125" s="201"/>
      <c r="O125" s="209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/>
      <c r="AP125" s="201"/>
      <c r="AQ125" s="201"/>
      <c r="AR125" s="201"/>
      <c r="AS125" s="201"/>
      <c r="AT125" s="201"/>
      <c r="AU125" s="201"/>
      <c r="AZ125" s="201"/>
    </row>
    <row r="127" spans="2:52">
      <c r="B127" s="28" t="s">
        <v>2</v>
      </c>
      <c r="C127" s="28"/>
      <c r="D127" s="29"/>
      <c r="E127" s="30" t="s">
        <v>511</v>
      </c>
      <c r="F127" s="31" t="s">
        <v>416</v>
      </c>
      <c r="G127" s="32"/>
      <c r="H127" s="33"/>
      <c r="I127" s="34"/>
      <c r="J127" s="35" t="s">
        <v>513</v>
      </c>
      <c r="K127" s="36" t="s">
        <v>511</v>
      </c>
      <c r="L127" s="37">
        <v>44962.770833333336</v>
      </c>
      <c r="M127" s="32"/>
      <c r="N127" s="32"/>
      <c r="O127" s="206"/>
      <c r="P127" s="205"/>
      <c r="Q127" s="202"/>
      <c r="R127" s="204"/>
      <c r="S127" s="38"/>
      <c r="T127" s="201"/>
      <c r="U127" s="201"/>
      <c r="V127" s="201"/>
      <c r="W127" s="201"/>
      <c r="X127" s="201"/>
      <c r="Y127" s="201"/>
      <c r="Z127" s="201"/>
      <c r="AA127" s="201"/>
      <c r="AB127" s="202"/>
      <c r="AC127" s="202"/>
      <c r="AD127" s="202"/>
      <c r="AE127" s="202"/>
      <c r="AF127" s="202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  <c r="AQ127" s="201"/>
      <c r="AR127" s="201"/>
      <c r="AS127" s="201"/>
      <c r="AT127" s="201"/>
      <c r="AU127" s="201"/>
      <c r="AV127" s="201"/>
      <c r="AW127" s="201"/>
      <c r="AX127" s="201"/>
      <c r="AY127" s="201"/>
      <c r="AZ127" s="201"/>
    </row>
    <row r="128" spans="2:52">
      <c r="B128" s="35" t="s">
        <v>514</v>
      </c>
      <c r="C128" s="35"/>
      <c r="D128" s="32"/>
      <c r="E128" s="36" t="s">
        <v>511</v>
      </c>
      <c r="F128" s="37" t="s">
        <v>882</v>
      </c>
      <c r="G128" s="60" t="s">
        <v>647</v>
      </c>
      <c r="H128" s="33"/>
      <c r="I128" s="34"/>
      <c r="J128" s="35" t="s">
        <v>516</v>
      </c>
      <c r="K128" s="36" t="s">
        <v>511</v>
      </c>
      <c r="L128" s="37">
        <v>44964.548611111109</v>
      </c>
      <c r="M128" s="32"/>
      <c r="N128" s="32"/>
      <c r="O128" s="206"/>
      <c r="P128" s="205"/>
      <c r="Q128" s="202"/>
      <c r="R128" s="204"/>
      <c r="S128" s="38"/>
      <c r="T128" s="201"/>
      <c r="U128" s="201"/>
      <c r="V128" s="201"/>
      <c r="W128" s="201"/>
      <c r="X128" s="201"/>
      <c r="Y128" s="201"/>
      <c r="Z128" s="201"/>
      <c r="AA128" s="201"/>
      <c r="AB128" s="202"/>
      <c r="AC128" s="202"/>
      <c r="AD128" s="202"/>
      <c r="AE128" s="202"/>
      <c r="AF128" s="202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  <c r="AT128" s="201"/>
      <c r="AU128" s="201"/>
      <c r="AV128" s="201"/>
      <c r="AW128" s="201"/>
      <c r="AX128" s="201"/>
      <c r="AY128" s="201"/>
      <c r="AZ128" s="201"/>
    </row>
    <row r="129" spans="2:52">
      <c r="B129" s="35" t="s">
        <v>517</v>
      </c>
      <c r="C129" s="35"/>
      <c r="D129" s="32"/>
      <c r="E129" s="36" t="s">
        <v>511</v>
      </c>
      <c r="F129" s="37">
        <v>44955.895833333336</v>
      </c>
      <c r="G129" s="60">
        <v>44958</v>
      </c>
      <c r="H129" s="33"/>
      <c r="I129" s="34"/>
      <c r="J129" s="35" t="s">
        <v>518</v>
      </c>
      <c r="K129" s="36" t="s">
        <v>511</v>
      </c>
      <c r="L129" s="50">
        <v>50000</v>
      </c>
      <c r="M129" s="40" t="s">
        <v>519</v>
      </c>
      <c r="N129" s="40"/>
      <c r="O129" s="206"/>
      <c r="P129" s="205"/>
      <c r="Q129" s="202"/>
      <c r="R129" s="204"/>
      <c r="S129" s="38"/>
      <c r="T129" s="201"/>
      <c r="U129" s="201"/>
      <c r="V129" s="201"/>
      <c r="W129" s="201"/>
      <c r="X129" s="201"/>
      <c r="Y129" s="201"/>
      <c r="Z129" s="201"/>
      <c r="AA129" s="201"/>
      <c r="AB129" s="202"/>
      <c r="AC129" s="202"/>
      <c r="AD129" s="202"/>
      <c r="AE129" s="202"/>
      <c r="AF129" s="202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  <c r="AT129" s="201"/>
      <c r="AU129" s="201"/>
      <c r="AV129" s="201"/>
      <c r="AW129" s="201"/>
      <c r="AX129" s="201"/>
      <c r="AY129" s="201"/>
      <c r="AZ129" s="201"/>
    </row>
    <row r="130" spans="2:52">
      <c r="B130" s="35" t="s">
        <v>520</v>
      </c>
      <c r="C130" s="35"/>
      <c r="D130" s="32"/>
      <c r="E130" s="36" t="s">
        <v>511</v>
      </c>
      <c r="F130" s="37" t="s">
        <v>12</v>
      </c>
      <c r="G130" s="32"/>
      <c r="H130" s="33"/>
      <c r="I130" s="34"/>
      <c r="J130" s="35" t="s">
        <v>521</v>
      </c>
      <c r="K130" s="36" t="s">
        <v>511</v>
      </c>
      <c r="L130" s="41" t="s">
        <v>883</v>
      </c>
      <c r="M130" s="32"/>
      <c r="N130" s="32"/>
      <c r="O130" s="206"/>
      <c r="P130" s="202"/>
      <c r="Q130" s="202"/>
      <c r="R130" s="204"/>
      <c r="S130" s="38"/>
      <c r="T130" s="201"/>
      <c r="U130" s="201"/>
      <c r="V130" s="201"/>
      <c r="W130" s="201"/>
      <c r="X130" s="201"/>
      <c r="Y130" s="201"/>
      <c r="Z130" s="201"/>
      <c r="AA130" s="201"/>
      <c r="AB130" s="202"/>
      <c r="AC130" s="202"/>
      <c r="AD130" s="202"/>
      <c r="AE130" s="202"/>
      <c r="AF130" s="202"/>
      <c r="AG130" s="201"/>
      <c r="AH130" s="201"/>
      <c r="AI130" s="201"/>
      <c r="AJ130" s="201"/>
      <c r="AK130" s="201"/>
      <c r="AL130" s="201"/>
      <c r="AM130" s="201"/>
      <c r="AN130" s="201"/>
      <c r="AO130" s="201"/>
      <c r="AP130" s="201"/>
      <c r="AQ130" s="201"/>
      <c r="AR130" s="201"/>
      <c r="AS130" s="201"/>
      <c r="AT130" s="201"/>
      <c r="AU130" s="201"/>
      <c r="AV130" s="201"/>
      <c r="AW130" s="201"/>
      <c r="AX130" s="201"/>
      <c r="AY130" s="201"/>
      <c r="AZ130" s="201"/>
    </row>
    <row r="131" spans="2:52">
      <c r="B131" s="35" t="s">
        <v>523</v>
      </c>
      <c r="C131" s="35"/>
      <c r="D131" s="32"/>
      <c r="E131" s="36" t="s">
        <v>511</v>
      </c>
      <c r="F131" s="37" t="s">
        <v>41</v>
      </c>
      <c r="G131" s="32"/>
      <c r="H131" s="33"/>
      <c r="I131" s="34"/>
      <c r="J131" s="42" t="s">
        <v>524</v>
      </c>
      <c r="K131" s="36" t="s">
        <v>511</v>
      </c>
      <c r="L131" s="43" t="s">
        <v>15</v>
      </c>
      <c r="M131" s="44"/>
      <c r="N131" s="44"/>
      <c r="O131" s="206"/>
      <c r="P131" s="205"/>
      <c r="Q131" s="202"/>
      <c r="R131" s="204"/>
      <c r="S131" s="38"/>
      <c r="T131" s="201"/>
      <c r="U131" s="201"/>
      <c r="V131" s="201"/>
      <c r="W131" s="201"/>
      <c r="X131" s="201"/>
      <c r="Y131" s="201"/>
      <c r="Z131" s="201"/>
      <c r="AA131" s="201"/>
      <c r="AB131" s="202"/>
      <c r="AC131" s="202"/>
      <c r="AD131" s="202"/>
      <c r="AE131" s="202"/>
      <c r="AF131" s="202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  <c r="AQ131" s="201"/>
      <c r="AR131" s="201"/>
      <c r="AS131" s="201"/>
      <c r="AT131" s="201"/>
      <c r="AU131" s="201"/>
      <c r="AV131" s="201"/>
      <c r="AW131" s="201"/>
      <c r="AX131" s="201"/>
      <c r="AY131" s="201"/>
      <c r="AZ131" s="201"/>
    </row>
    <row r="132" spans="2:52">
      <c r="B132" s="35" t="s">
        <v>2</v>
      </c>
      <c r="C132" s="35"/>
      <c r="D132" s="32"/>
      <c r="E132" s="36" t="s">
        <v>511</v>
      </c>
      <c r="F132" s="37" t="s">
        <v>6</v>
      </c>
      <c r="G132" s="32"/>
      <c r="H132" s="33"/>
      <c r="I132" s="45"/>
      <c r="J132" s="42"/>
      <c r="K132" s="36"/>
      <c r="L132" s="211"/>
      <c r="M132" s="201"/>
      <c r="N132" s="201"/>
      <c r="O132" s="42"/>
      <c r="P132" s="44"/>
      <c r="Q132" s="44"/>
      <c r="R132" s="44"/>
      <c r="S132" s="34"/>
      <c r="T132" s="201"/>
      <c r="U132" s="201"/>
      <c r="V132" s="201"/>
      <c r="W132" s="201"/>
      <c r="X132" s="201"/>
      <c r="Y132" s="201"/>
      <c r="Z132" s="201"/>
      <c r="AA132" s="201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201"/>
      <c r="AP132" s="201"/>
      <c r="AQ132" s="201"/>
      <c r="AR132" s="201"/>
      <c r="AS132" s="201"/>
      <c r="AT132" s="201"/>
      <c r="AU132" s="201"/>
      <c r="AV132" s="201"/>
      <c r="AW132" s="201"/>
      <c r="AX132" s="201"/>
      <c r="AY132" s="201"/>
      <c r="AZ132" s="201"/>
    </row>
    <row r="133" spans="2:52">
      <c r="B133" s="201"/>
      <c r="C133" s="201"/>
      <c r="D133" s="201"/>
      <c r="E133" s="201"/>
      <c r="F133" s="201"/>
      <c r="G133" s="201"/>
      <c r="H133" s="201"/>
      <c r="I133" s="45"/>
      <c r="J133" s="42"/>
      <c r="K133" s="42"/>
      <c r="L133" s="43"/>
      <c r="M133" s="44"/>
      <c r="N133" s="44"/>
      <c r="O133" s="42"/>
      <c r="P133" s="44"/>
      <c r="Q133" s="44"/>
      <c r="R133" s="44"/>
      <c r="S133" s="34"/>
      <c r="T133" s="1265" t="s">
        <v>87</v>
      </c>
      <c r="U133" s="1265"/>
      <c r="V133" s="1265"/>
      <c r="W133" s="1265"/>
      <c r="X133" s="1265"/>
      <c r="Y133" s="1265" t="s">
        <v>73</v>
      </c>
      <c r="Z133" s="1265"/>
      <c r="AA133" s="1265"/>
      <c r="AB133" s="1265" t="s">
        <v>74</v>
      </c>
      <c r="AC133" s="1265"/>
      <c r="AD133" s="423" t="s">
        <v>85</v>
      </c>
      <c r="AE133" s="423" t="s">
        <v>77</v>
      </c>
      <c r="AF133" s="1265" t="s">
        <v>525</v>
      </c>
      <c r="AG133" s="1265"/>
      <c r="AH133" s="1265"/>
      <c r="AI133" s="1265"/>
      <c r="AJ133" s="1265"/>
      <c r="AK133" s="1265"/>
      <c r="AL133" s="1265"/>
      <c r="AM133" s="1265"/>
      <c r="AN133" s="1265"/>
      <c r="AO133" s="1265"/>
      <c r="AP133" s="1265"/>
      <c r="AQ133" s="1265"/>
      <c r="AR133" s="1265"/>
      <c r="AS133" s="1265"/>
      <c r="AT133" s="1265"/>
      <c r="AU133" s="1265"/>
      <c r="AV133" s="1265"/>
      <c r="AW133" s="1265"/>
      <c r="AX133" s="1265"/>
      <c r="AY133" s="1265"/>
      <c r="AZ133" s="201"/>
    </row>
    <row r="134" spans="2:52">
      <c r="B134" s="1266" t="s">
        <v>526</v>
      </c>
      <c r="C134" s="1267"/>
      <c r="D134" s="570" t="s">
        <v>527</v>
      </c>
      <c r="E134" s="570"/>
      <c r="F134" s="570" t="s">
        <v>528</v>
      </c>
      <c r="G134" s="570" t="s">
        <v>529</v>
      </c>
      <c r="H134" s="570" t="s">
        <v>530</v>
      </c>
      <c r="I134" s="570" t="s">
        <v>531</v>
      </c>
      <c r="J134" s="570" t="s">
        <v>532</v>
      </c>
      <c r="K134" s="570"/>
      <c r="L134" s="570" t="s">
        <v>130</v>
      </c>
      <c r="M134" s="570" t="s">
        <v>533</v>
      </c>
      <c r="N134" s="408" t="str">
        <f>"On time - "&amp;COUNTIF(N135:N147,"On time")&amp;" from "&amp;ROWS(N135:N147)-COUNTIF(N135:N147," ")</f>
        <v>On time - 0 from 9</v>
      </c>
      <c r="O134" s="46"/>
      <c r="P134" s="409" t="s">
        <v>534</v>
      </c>
      <c r="Q134" s="409" t="s">
        <v>535</v>
      </c>
      <c r="R134" s="409" t="s">
        <v>536</v>
      </c>
      <c r="S134" s="32"/>
      <c r="T134" s="424" t="s">
        <v>537</v>
      </c>
      <c r="U134" s="424" t="s">
        <v>538</v>
      </c>
      <c r="V134" s="424" t="s">
        <v>539</v>
      </c>
      <c r="W134" s="424" t="s">
        <v>540</v>
      </c>
      <c r="X134" s="424" t="s">
        <v>541</v>
      </c>
      <c r="Y134" s="424" t="s">
        <v>167</v>
      </c>
      <c r="Z134" s="424" t="s">
        <v>168</v>
      </c>
      <c r="AA134" s="424" t="s">
        <v>169</v>
      </c>
      <c r="AB134" s="424" t="s">
        <v>235</v>
      </c>
      <c r="AC134" s="424" t="s">
        <v>542</v>
      </c>
      <c r="AD134" s="423" t="s">
        <v>85</v>
      </c>
      <c r="AE134" s="424" t="s">
        <v>139</v>
      </c>
      <c r="AF134" s="424" t="s">
        <v>72</v>
      </c>
      <c r="AG134" s="424" t="s">
        <v>88</v>
      </c>
      <c r="AH134" s="424" t="s">
        <v>75</v>
      </c>
      <c r="AI134" s="424" t="s">
        <v>543</v>
      </c>
      <c r="AJ134" s="424" t="s">
        <v>78</v>
      </c>
      <c r="AK134" s="424" t="s">
        <v>76</v>
      </c>
      <c r="AL134" s="424" t="s">
        <v>544</v>
      </c>
      <c r="AM134" s="424" t="s">
        <v>545</v>
      </c>
      <c r="AN134" s="424" t="s">
        <v>86</v>
      </c>
      <c r="AO134" s="424" t="s">
        <v>83</v>
      </c>
      <c r="AP134" s="424" t="s">
        <v>84</v>
      </c>
      <c r="AQ134" s="424" t="s">
        <v>546</v>
      </c>
      <c r="AR134" s="424" t="s">
        <v>81</v>
      </c>
      <c r="AS134" s="424" t="s">
        <v>80</v>
      </c>
      <c r="AT134" s="424" t="s">
        <v>82</v>
      </c>
      <c r="AU134" s="424" t="s">
        <v>181</v>
      </c>
      <c r="AV134" s="424" t="s">
        <v>183</v>
      </c>
      <c r="AW134" s="424" t="s">
        <v>547</v>
      </c>
      <c r="AX134" s="424" t="s">
        <v>182</v>
      </c>
      <c r="AY134" s="424" t="s">
        <v>172</v>
      </c>
      <c r="AZ134" s="201"/>
    </row>
    <row r="135" spans="2:52">
      <c r="B135" s="1250" t="s">
        <v>884</v>
      </c>
      <c r="C135" s="1251"/>
      <c r="D135" s="411" t="s">
        <v>426</v>
      </c>
      <c r="E135" s="411"/>
      <c r="F135" s="411" t="s">
        <v>361</v>
      </c>
      <c r="G135" s="411" t="s">
        <v>362</v>
      </c>
      <c r="H135" s="412">
        <v>7438.4189999999999</v>
      </c>
      <c r="I135" s="413" t="s">
        <v>235</v>
      </c>
      <c r="J135" s="414">
        <v>44960.694444444445</v>
      </c>
      <c r="K135" s="414"/>
      <c r="L135" s="414" t="s">
        <v>192</v>
      </c>
      <c r="M135" s="414" t="s">
        <v>192</v>
      </c>
      <c r="N135" s="413" t="str">
        <f>IF(ISBLANK(J135)," ",IF(J135&lt;$G$129,"On time",(IF(DAY(J135-$G$129)&lt;1,"On time",(IF(J135&gt;$G$129,"DELAY ( "&amp;DAY(J135-$G$129)&amp;" day "&amp;HOUR(J135-$G$129)&amp;" hour "&amp;MINUTE(J135-$G$129)&amp;" minute )","xxx"))))))</f>
        <v>DELAY ( 2 day 16 hour 40 minute )</v>
      </c>
      <c r="O135" s="51"/>
      <c r="P135" s="415" t="s">
        <v>551</v>
      </c>
      <c r="Q135" s="415" t="s">
        <v>551</v>
      </c>
      <c r="R135" s="415" t="s">
        <v>551</v>
      </c>
      <c r="S135" s="32"/>
      <c r="T135" s="416"/>
      <c r="U135" s="416"/>
      <c r="V135" s="416"/>
      <c r="W135" s="416"/>
      <c r="X135" s="416"/>
      <c r="Y135" s="416"/>
      <c r="Z135" s="416"/>
      <c r="AA135" s="416"/>
      <c r="AB135" s="416">
        <f>H135</f>
        <v>7438.4189999999999</v>
      </c>
      <c r="AC135" s="416"/>
      <c r="AD135" s="416"/>
      <c r="AE135" s="416"/>
      <c r="AF135" s="416"/>
      <c r="AG135" s="416"/>
      <c r="AH135" s="416"/>
      <c r="AI135" s="416"/>
      <c r="AJ135" s="416"/>
      <c r="AK135" s="416"/>
      <c r="AL135" s="416"/>
      <c r="AM135" s="416"/>
      <c r="AN135" s="416"/>
      <c r="AO135" s="416"/>
      <c r="AP135" s="416"/>
      <c r="AQ135" s="416"/>
      <c r="AR135" s="416"/>
      <c r="AS135" s="416"/>
      <c r="AT135" s="416"/>
      <c r="AU135" s="416"/>
      <c r="AV135" s="416"/>
      <c r="AW135" s="416"/>
      <c r="AX135" s="416"/>
      <c r="AY135" s="416"/>
      <c r="AZ135" s="32"/>
    </row>
    <row r="136" spans="2:52">
      <c r="B136" s="1254"/>
      <c r="C136" s="1255"/>
      <c r="D136" s="411" t="s">
        <v>785</v>
      </c>
      <c r="E136" s="425"/>
      <c r="F136" s="411" t="s">
        <v>374</v>
      </c>
      <c r="G136" s="411" t="s">
        <v>375</v>
      </c>
      <c r="H136" s="412">
        <f>7501.987/2</f>
        <v>3750.9935</v>
      </c>
      <c r="I136" s="413" t="s">
        <v>172</v>
      </c>
      <c r="J136" s="1268">
        <v>44961.920138888891</v>
      </c>
      <c r="K136" s="414"/>
      <c r="L136" s="414" t="s">
        <v>192</v>
      </c>
      <c r="M136" s="414" t="s">
        <v>192</v>
      </c>
      <c r="N136" s="413" t="str">
        <f t="shared" ref="N136:N147" si="10">IF(ISBLANK(J136)," ",IF(J136&lt;$G$129,"On time",(IF(DAY(J136-$G$129)&lt;1,"On time",(IF(J136&gt;$G$129,"DELAY ( "&amp;DAY(J136-$G$129)&amp;" day "&amp;HOUR(J136-$G$129)&amp;" hour "&amp;MINUTE(J136-$G$129)&amp;" minute )","xxx"))))))</f>
        <v>DELAY ( 3 day 22 hour 5 minute )</v>
      </c>
      <c r="O136" s="51"/>
      <c r="P136" s="415" t="s">
        <v>551</v>
      </c>
      <c r="Q136" s="415" t="s">
        <v>551</v>
      </c>
      <c r="R136" s="415" t="s">
        <v>551</v>
      </c>
      <c r="S136" s="32"/>
      <c r="T136" s="416"/>
      <c r="U136" s="416"/>
      <c r="V136" s="416"/>
      <c r="W136" s="416"/>
      <c r="X136" s="416"/>
      <c r="Y136" s="416"/>
      <c r="Z136" s="416"/>
      <c r="AA136" s="416"/>
      <c r="AB136" s="416"/>
      <c r="AC136" s="416"/>
      <c r="AD136" s="416"/>
      <c r="AE136" s="416"/>
      <c r="AF136" s="416"/>
      <c r="AG136" s="416"/>
      <c r="AH136" s="416"/>
      <c r="AI136" s="416"/>
      <c r="AJ136" s="416"/>
      <c r="AK136" s="416"/>
      <c r="AL136" s="416"/>
      <c r="AM136" s="416"/>
      <c r="AN136" s="416"/>
      <c r="AO136" s="416"/>
      <c r="AP136" s="416"/>
      <c r="AQ136" s="416"/>
      <c r="AR136" s="416"/>
      <c r="AS136" s="416"/>
      <c r="AT136" s="416"/>
      <c r="AU136" s="416"/>
      <c r="AV136" s="416"/>
      <c r="AW136" s="416"/>
      <c r="AX136" s="416"/>
      <c r="AY136" s="416">
        <f>H136</f>
        <v>3750.9935</v>
      </c>
      <c r="AZ136" s="32"/>
    </row>
    <row r="137" spans="2:52">
      <c r="B137" s="1250" t="s">
        <v>885</v>
      </c>
      <c r="C137" s="1251"/>
      <c r="D137" s="411" t="s">
        <v>785</v>
      </c>
      <c r="E137" s="425"/>
      <c r="F137" s="411" t="s">
        <v>374</v>
      </c>
      <c r="G137" s="411" t="s">
        <v>375</v>
      </c>
      <c r="H137" s="412">
        <f>H136</f>
        <v>3750.9935</v>
      </c>
      <c r="I137" s="413" t="s">
        <v>172</v>
      </c>
      <c r="J137" s="1269"/>
      <c r="K137" s="414"/>
      <c r="L137" s="414" t="s">
        <v>192</v>
      </c>
      <c r="M137" s="414" t="s">
        <v>192</v>
      </c>
      <c r="N137" s="413" t="str">
        <f t="shared" si="10"/>
        <v xml:space="preserve"> </v>
      </c>
      <c r="O137" s="51"/>
      <c r="P137" s="415" t="s">
        <v>551</v>
      </c>
      <c r="Q137" s="415" t="s">
        <v>551</v>
      </c>
      <c r="R137" s="415" t="s">
        <v>551</v>
      </c>
      <c r="S137" s="32"/>
      <c r="T137" s="416"/>
      <c r="U137" s="416"/>
      <c r="V137" s="416"/>
      <c r="W137" s="416"/>
      <c r="X137" s="416"/>
      <c r="Y137" s="416"/>
      <c r="Z137" s="416"/>
      <c r="AA137" s="416"/>
      <c r="AB137" s="416"/>
      <c r="AC137" s="416"/>
      <c r="AD137" s="416"/>
      <c r="AE137" s="416"/>
      <c r="AF137" s="416"/>
      <c r="AG137" s="416"/>
      <c r="AH137" s="416"/>
      <c r="AI137" s="416"/>
      <c r="AJ137" s="416"/>
      <c r="AK137" s="416"/>
      <c r="AL137" s="416"/>
      <c r="AM137" s="416"/>
      <c r="AN137" s="416"/>
      <c r="AO137" s="416"/>
      <c r="AP137" s="416"/>
      <c r="AQ137" s="416"/>
      <c r="AR137" s="416"/>
      <c r="AS137" s="416"/>
      <c r="AT137" s="416"/>
      <c r="AU137" s="416"/>
      <c r="AV137" s="416"/>
      <c r="AW137" s="416"/>
      <c r="AX137" s="416"/>
      <c r="AY137" s="416">
        <f>H137</f>
        <v>3750.9935</v>
      </c>
      <c r="AZ137" s="32"/>
    </row>
    <row r="138" spans="2:52">
      <c r="B138" s="1254"/>
      <c r="C138" s="1255"/>
      <c r="D138" s="411" t="s">
        <v>702</v>
      </c>
      <c r="E138" s="411"/>
      <c r="F138" s="411" t="s">
        <v>352</v>
      </c>
      <c r="G138" s="411" t="s">
        <v>353</v>
      </c>
      <c r="H138" s="412">
        <v>9070.9120000000003</v>
      </c>
      <c r="I138" s="413" t="s">
        <v>235</v>
      </c>
      <c r="J138" s="414">
        <v>44961.4375</v>
      </c>
      <c r="K138" s="414"/>
      <c r="L138" s="414" t="s">
        <v>192</v>
      </c>
      <c r="M138" s="414" t="s">
        <v>192</v>
      </c>
      <c r="N138" s="413" t="str">
        <f t="shared" si="10"/>
        <v>DELAY ( 3 day 10 hour 30 minute )</v>
      </c>
      <c r="O138" s="51"/>
      <c r="P138" s="415" t="s">
        <v>551</v>
      </c>
      <c r="Q138" s="415" t="s">
        <v>551</v>
      </c>
      <c r="R138" s="415" t="s">
        <v>551</v>
      </c>
      <c r="S138" s="32"/>
      <c r="T138" s="416"/>
      <c r="U138" s="416"/>
      <c r="V138" s="416"/>
      <c r="W138" s="416"/>
      <c r="X138" s="416"/>
      <c r="Y138" s="416"/>
      <c r="Z138" s="416"/>
      <c r="AA138" s="416"/>
      <c r="AB138" s="416">
        <f>H138</f>
        <v>9070.9120000000003</v>
      </c>
      <c r="AC138" s="416"/>
      <c r="AD138" s="416"/>
      <c r="AE138" s="416"/>
      <c r="AF138" s="416"/>
      <c r="AG138" s="416"/>
      <c r="AH138" s="416"/>
      <c r="AI138" s="416"/>
      <c r="AJ138" s="416"/>
      <c r="AK138" s="416"/>
      <c r="AL138" s="416"/>
      <c r="AM138" s="416"/>
      <c r="AN138" s="416"/>
      <c r="AO138" s="416"/>
      <c r="AP138" s="416"/>
      <c r="AQ138" s="416"/>
      <c r="AR138" s="416"/>
      <c r="AS138" s="416"/>
      <c r="AT138" s="416"/>
      <c r="AU138" s="416"/>
      <c r="AV138" s="416"/>
      <c r="AW138" s="416"/>
      <c r="AX138" s="416"/>
      <c r="AY138" s="416"/>
      <c r="AZ138" s="32"/>
    </row>
    <row r="139" spans="2:52">
      <c r="B139" s="1256" t="s">
        <v>548</v>
      </c>
      <c r="C139" s="1257"/>
      <c r="D139" s="411" t="s">
        <v>415</v>
      </c>
      <c r="E139" s="411"/>
      <c r="F139" s="411" t="s">
        <v>295</v>
      </c>
      <c r="G139" s="411" t="s">
        <v>296</v>
      </c>
      <c r="H139" s="412">
        <v>1310.0260000000001</v>
      </c>
      <c r="I139" s="413" t="s">
        <v>235</v>
      </c>
      <c r="J139" s="414">
        <v>44961.590277777781</v>
      </c>
      <c r="K139" s="414"/>
      <c r="L139" s="414" t="s">
        <v>192</v>
      </c>
      <c r="M139" s="414" t="s">
        <v>192</v>
      </c>
      <c r="N139" s="413" t="str">
        <f t="shared" si="10"/>
        <v>DELAY ( 3 day 14 hour 10 minute )</v>
      </c>
      <c r="O139" s="51"/>
      <c r="P139" s="415" t="s">
        <v>551</v>
      </c>
      <c r="Q139" s="415" t="s">
        <v>551</v>
      </c>
      <c r="R139" s="415" t="s">
        <v>551</v>
      </c>
      <c r="S139" s="32"/>
      <c r="T139" s="416"/>
      <c r="U139" s="416"/>
      <c r="V139" s="416"/>
      <c r="W139" s="416"/>
      <c r="X139" s="416"/>
      <c r="Y139" s="416"/>
      <c r="Z139" s="416"/>
      <c r="AA139" s="416"/>
      <c r="AB139" s="416">
        <f>H139</f>
        <v>1310.0260000000001</v>
      </c>
      <c r="AC139" s="416"/>
      <c r="AD139" s="416"/>
      <c r="AE139" s="416"/>
      <c r="AF139" s="416"/>
      <c r="AG139" s="416"/>
      <c r="AH139" s="416"/>
      <c r="AI139" s="416"/>
      <c r="AJ139" s="416"/>
      <c r="AK139" s="416"/>
      <c r="AL139" s="416"/>
      <c r="AM139" s="416"/>
      <c r="AN139" s="416"/>
      <c r="AO139" s="416"/>
      <c r="AP139" s="416"/>
      <c r="AQ139" s="416"/>
      <c r="AR139" s="416"/>
      <c r="AS139" s="416"/>
      <c r="AT139" s="416"/>
      <c r="AU139" s="416"/>
      <c r="AV139" s="416"/>
      <c r="AW139" s="416"/>
      <c r="AX139" s="416"/>
      <c r="AY139" s="416"/>
      <c r="AZ139" s="32"/>
    </row>
    <row r="140" spans="2:52">
      <c r="B140" s="1250" t="s">
        <v>884</v>
      </c>
      <c r="C140" s="1251"/>
      <c r="D140" s="411" t="s">
        <v>829</v>
      </c>
      <c r="E140" s="411"/>
      <c r="F140" s="411" t="s">
        <v>364</v>
      </c>
      <c r="G140" s="411" t="s">
        <v>365</v>
      </c>
      <c r="H140" s="412">
        <v>7441.35</v>
      </c>
      <c r="I140" s="413" t="s">
        <v>494</v>
      </c>
      <c r="J140" s="414">
        <v>44963.548611111109</v>
      </c>
      <c r="K140" s="414"/>
      <c r="L140" s="414" t="s">
        <v>192</v>
      </c>
      <c r="M140" s="414" t="s">
        <v>192</v>
      </c>
      <c r="N140" s="413" t="str">
        <f t="shared" si="10"/>
        <v>DELAY ( 5 day 13 hour 10 minute )</v>
      </c>
      <c r="O140" s="51"/>
      <c r="P140" s="415" t="s">
        <v>551</v>
      </c>
      <c r="Q140" s="415" t="s">
        <v>551</v>
      </c>
      <c r="R140" s="415" t="s">
        <v>551</v>
      </c>
      <c r="S140" s="32"/>
      <c r="T140" s="416"/>
      <c r="U140" s="416"/>
      <c r="V140" s="416"/>
      <c r="W140" s="416"/>
      <c r="X140" s="416"/>
      <c r="Y140" s="416">
        <f>H140</f>
        <v>7441.35</v>
      </c>
      <c r="Z140" s="416"/>
      <c r="AA140" s="416"/>
      <c r="AB140" s="416"/>
      <c r="AC140" s="416"/>
      <c r="AD140" s="416"/>
      <c r="AE140" s="416"/>
      <c r="AF140" s="416"/>
      <c r="AG140" s="416"/>
      <c r="AH140" s="416"/>
      <c r="AI140" s="416"/>
      <c r="AJ140" s="416"/>
      <c r="AK140" s="416"/>
      <c r="AL140" s="416"/>
      <c r="AM140" s="416"/>
      <c r="AN140" s="416"/>
      <c r="AO140" s="416"/>
      <c r="AP140" s="416"/>
      <c r="AQ140" s="416"/>
      <c r="AR140" s="416"/>
      <c r="AS140" s="416"/>
      <c r="AT140" s="416"/>
      <c r="AU140" s="416"/>
      <c r="AV140" s="416"/>
      <c r="AW140" s="416"/>
      <c r="AX140" s="416"/>
      <c r="AY140" s="416"/>
      <c r="AZ140" s="32"/>
    </row>
    <row r="141" spans="2:52">
      <c r="B141" s="1254"/>
      <c r="C141" s="1255"/>
      <c r="D141" s="411" t="s">
        <v>786</v>
      </c>
      <c r="E141" s="425"/>
      <c r="F141" s="411" t="s">
        <v>492</v>
      </c>
      <c r="G141" s="411" t="s">
        <v>493</v>
      </c>
      <c r="H141" s="412">
        <f>7586.604/2</f>
        <v>3793.3020000000001</v>
      </c>
      <c r="I141" s="413" t="s">
        <v>172</v>
      </c>
      <c r="J141" s="1268">
        <v>44962.75</v>
      </c>
      <c r="K141" s="414"/>
      <c r="L141" s="414" t="s">
        <v>192</v>
      </c>
      <c r="M141" s="414" t="s">
        <v>192</v>
      </c>
      <c r="N141" s="413" t="str">
        <f t="shared" si="10"/>
        <v>DELAY ( 4 day 18 hour 0 minute )</v>
      </c>
      <c r="O141" s="51"/>
      <c r="P141" s="1280" t="s">
        <v>551</v>
      </c>
      <c r="Q141" s="1280" t="s">
        <v>551</v>
      </c>
      <c r="R141" s="1280" t="s">
        <v>551</v>
      </c>
      <c r="S141" s="32"/>
      <c r="T141" s="416"/>
      <c r="U141" s="416"/>
      <c r="V141" s="416"/>
      <c r="W141" s="416"/>
      <c r="X141" s="416"/>
      <c r="Y141" s="416"/>
      <c r="Z141" s="416"/>
      <c r="AA141" s="416"/>
      <c r="AB141" s="416"/>
      <c r="AC141" s="416"/>
      <c r="AD141" s="416"/>
      <c r="AE141" s="416"/>
      <c r="AF141" s="416"/>
      <c r="AG141" s="416"/>
      <c r="AH141" s="416"/>
      <c r="AI141" s="416"/>
      <c r="AJ141" s="416"/>
      <c r="AK141" s="416"/>
      <c r="AL141" s="416"/>
      <c r="AM141" s="416"/>
      <c r="AN141" s="416"/>
      <c r="AO141" s="416"/>
      <c r="AP141" s="416"/>
      <c r="AQ141" s="416"/>
      <c r="AR141" s="416"/>
      <c r="AS141" s="416"/>
      <c r="AT141" s="416"/>
      <c r="AU141" s="416"/>
      <c r="AV141" s="416"/>
      <c r="AW141" s="416"/>
      <c r="AX141" s="416"/>
      <c r="AY141" s="416">
        <f>H141</f>
        <v>3793.3020000000001</v>
      </c>
      <c r="AZ141" s="32"/>
    </row>
    <row r="142" spans="2:52">
      <c r="B142" s="1250" t="s">
        <v>656</v>
      </c>
      <c r="C142" s="1251"/>
      <c r="D142" s="411" t="s">
        <v>786</v>
      </c>
      <c r="E142" s="425"/>
      <c r="F142" s="411" t="s">
        <v>492</v>
      </c>
      <c r="G142" s="411" t="s">
        <v>493</v>
      </c>
      <c r="H142" s="412">
        <f>H141</f>
        <v>3793.3020000000001</v>
      </c>
      <c r="I142" s="413" t="s">
        <v>172</v>
      </c>
      <c r="J142" s="1269"/>
      <c r="K142" s="414"/>
      <c r="L142" s="414" t="s">
        <v>192</v>
      </c>
      <c r="M142" s="414" t="s">
        <v>192</v>
      </c>
      <c r="N142" s="413" t="str">
        <f t="shared" si="10"/>
        <v xml:space="preserve"> </v>
      </c>
      <c r="O142" s="51"/>
      <c r="P142" s="1281"/>
      <c r="Q142" s="1281"/>
      <c r="R142" s="1281"/>
      <c r="S142" s="32"/>
      <c r="T142" s="416"/>
      <c r="U142" s="416"/>
      <c r="V142" s="416"/>
      <c r="W142" s="416"/>
      <c r="X142" s="416"/>
      <c r="Y142" s="416"/>
      <c r="Z142" s="416"/>
      <c r="AA142" s="416"/>
      <c r="AB142" s="416"/>
      <c r="AC142" s="416"/>
      <c r="AD142" s="416"/>
      <c r="AE142" s="416"/>
      <c r="AF142" s="416"/>
      <c r="AG142" s="416"/>
      <c r="AH142" s="416"/>
      <c r="AI142" s="416"/>
      <c r="AJ142" s="416"/>
      <c r="AK142" s="416"/>
      <c r="AL142" s="416"/>
      <c r="AM142" s="416"/>
      <c r="AN142" s="416"/>
      <c r="AO142" s="416"/>
      <c r="AP142" s="416"/>
      <c r="AQ142" s="416"/>
      <c r="AR142" s="416"/>
      <c r="AS142" s="416"/>
      <c r="AT142" s="416"/>
      <c r="AU142" s="416"/>
      <c r="AV142" s="416"/>
      <c r="AW142" s="416"/>
      <c r="AX142" s="416"/>
      <c r="AY142" s="416">
        <f>H142</f>
        <v>3793.3020000000001</v>
      </c>
      <c r="AZ142" s="32"/>
    </row>
    <row r="143" spans="2:52">
      <c r="B143" s="1254"/>
      <c r="C143" s="1255"/>
      <c r="D143" s="411" t="s">
        <v>424</v>
      </c>
      <c r="E143" s="411"/>
      <c r="F143" s="411" t="s">
        <v>284</v>
      </c>
      <c r="G143" s="411" t="s">
        <v>264</v>
      </c>
      <c r="H143" s="412">
        <v>7463.7240000000002</v>
      </c>
      <c r="I143" s="413" t="s">
        <v>235</v>
      </c>
      <c r="J143" s="414">
        <v>44959.875</v>
      </c>
      <c r="K143" s="414"/>
      <c r="L143" s="414" t="s">
        <v>192</v>
      </c>
      <c r="M143" s="414" t="s">
        <v>192</v>
      </c>
      <c r="N143" s="413" t="str">
        <f t="shared" si="10"/>
        <v>DELAY ( 1 day 21 hour 0 minute )</v>
      </c>
      <c r="O143" s="51"/>
      <c r="P143" s="415" t="s">
        <v>551</v>
      </c>
      <c r="Q143" s="415" t="s">
        <v>551</v>
      </c>
      <c r="R143" s="415" t="s">
        <v>551</v>
      </c>
      <c r="S143" s="32"/>
      <c r="T143" s="416"/>
      <c r="U143" s="416"/>
      <c r="V143" s="416"/>
      <c r="W143" s="416"/>
      <c r="X143" s="416"/>
      <c r="Y143" s="416"/>
      <c r="Z143" s="416"/>
      <c r="AA143" s="416"/>
      <c r="AB143" s="416">
        <f>H143</f>
        <v>7463.7240000000002</v>
      </c>
      <c r="AC143" s="416"/>
      <c r="AD143" s="416"/>
      <c r="AE143" s="416"/>
      <c r="AF143" s="416"/>
      <c r="AG143" s="416"/>
      <c r="AH143" s="416"/>
      <c r="AI143" s="416"/>
      <c r="AJ143" s="416"/>
      <c r="AK143" s="416"/>
      <c r="AL143" s="416"/>
      <c r="AM143" s="416"/>
      <c r="AN143" s="416"/>
      <c r="AO143" s="416"/>
      <c r="AP143" s="416"/>
      <c r="AQ143" s="416"/>
      <c r="AR143" s="416"/>
      <c r="AS143" s="416"/>
      <c r="AT143" s="416"/>
      <c r="AU143" s="416"/>
      <c r="AV143" s="416"/>
      <c r="AW143" s="416"/>
      <c r="AX143" s="416"/>
      <c r="AY143" s="416"/>
      <c r="AZ143" s="32"/>
    </row>
    <row r="144" spans="2:52">
      <c r="B144" s="1256" t="s">
        <v>548</v>
      </c>
      <c r="C144" s="1257"/>
      <c r="D144" s="411" t="s">
        <v>432</v>
      </c>
      <c r="E144" s="411"/>
      <c r="F144" s="411" t="s">
        <v>298</v>
      </c>
      <c r="G144" s="411" t="s">
        <v>299</v>
      </c>
      <c r="H144" s="412">
        <v>877</v>
      </c>
      <c r="I144" s="413" t="s">
        <v>235</v>
      </c>
      <c r="J144" s="414">
        <v>44963.291666666664</v>
      </c>
      <c r="K144" s="414"/>
      <c r="L144" s="414" t="s">
        <v>192</v>
      </c>
      <c r="M144" s="414" t="s">
        <v>192</v>
      </c>
      <c r="N144" s="413" t="str">
        <f t="shared" si="10"/>
        <v>DELAY ( 5 day 7 hour 0 minute )</v>
      </c>
      <c r="O144" s="51"/>
      <c r="P144" s="415" t="s">
        <v>551</v>
      </c>
      <c r="Q144" s="415" t="s">
        <v>551</v>
      </c>
      <c r="R144" s="415" t="s">
        <v>551</v>
      </c>
      <c r="S144" s="32"/>
      <c r="T144" s="416"/>
      <c r="U144" s="416"/>
      <c r="V144" s="416"/>
      <c r="W144" s="416"/>
      <c r="X144" s="416"/>
      <c r="Y144" s="416"/>
      <c r="Z144" s="416"/>
      <c r="AA144" s="416"/>
      <c r="AB144" s="416">
        <f>H144</f>
        <v>877</v>
      </c>
      <c r="AC144" s="416"/>
      <c r="AD144" s="416"/>
      <c r="AE144" s="416"/>
      <c r="AF144" s="416"/>
      <c r="AG144" s="416"/>
      <c r="AH144" s="416"/>
      <c r="AI144" s="416"/>
      <c r="AJ144" s="416"/>
      <c r="AK144" s="416"/>
      <c r="AL144" s="416"/>
      <c r="AM144" s="416"/>
      <c r="AN144" s="416"/>
      <c r="AO144" s="416"/>
      <c r="AP144" s="416"/>
      <c r="AQ144" s="416"/>
      <c r="AR144" s="416"/>
      <c r="AS144" s="416"/>
      <c r="AT144" s="416"/>
      <c r="AU144" s="416"/>
      <c r="AV144" s="416"/>
      <c r="AW144" s="416"/>
      <c r="AX144" s="416"/>
      <c r="AY144" s="416"/>
      <c r="AZ144" s="32"/>
    </row>
    <row r="145" spans="2:52">
      <c r="B145" s="1256" t="s">
        <v>548</v>
      </c>
      <c r="C145" s="1257"/>
      <c r="D145" s="411" t="s">
        <v>692</v>
      </c>
      <c r="E145" s="411"/>
      <c r="F145" s="411" t="s">
        <v>346</v>
      </c>
      <c r="G145" s="411" t="s">
        <v>347</v>
      </c>
      <c r="H145" s="412">
        <f>7598.229-6288.251</f>
        <v>1309.9780000000001</v>
      </c>
      <c r="I145" s="413" t="s">
        <v>235</v>
      </c>
      <c r="J145" s="414">
        <v>44963.541666666664</v>
      </c>
      <c r="K145" s="414"/>
      <c r="L145" s="414" t="s">
        <v>192</v>
      </c>
      <c r="M145" s="414" t="s">
        <v>192</v>
      </c>
      <c r="N145" s="413" t="str">
        <f t="shared" si="10"/>
        <v>DELAY ( 5 day 13 hour 0 minute )</v>
      </c>
      <c r="O145" s="51"/>
      <c r="P145" s="415" t="s">
        <v>551</v>
      </c>
      <c r="Q145" s="415" t="s">
        <v>551</v>
      </c>
      <c r="R145" s="415" t="s">
        <v>551</v>
      </c>
      <c r="S145" s="32"/>
      <c r="T145" s="416"/>
      <c r="U145" s="416"/>
      <c r="V145" s="416"/>
      <c r="W145" s="416"/>
      <c r="X145" s="416"/>
      <c r="Y145" s="416"/>
      <c r="Z145" s="416"/>
      <c r="AA145" s="416"/>
      <c r="AB145" s="416">
        <f>H145</f>
        <v>1309.9780000000001</v>
      </c>
      <c r="AC145" s="416"/>
      <c r="AD145" s="416"/>
      <c r="AE145" s="416"/>
      <c r="AF145" s="416"/>
      <c r="AG145" s="416"/>
      <c r="AH145" s="416"/>
      <c r="AI145" s="416"/>
      <c r="AJ145" s="416"/>
      <c r="AK145" s="416"/>
      <c r="AL145" s="416"/>
      <c r="AM145" s="416"/>
      <c r="AN145" s="416"/>
      <c r="AO145" s="416"/>
      <c r="AP145" s="416"/>
      <c r="AQ145" s="416"/>
      <c r="AR145" s="416"/>
      <c r="AS145" s="416"/>
      <c r="AT145" s="416"/>
      <c r="AU145" s="416"/>
      <c r="AV145" s="416"/>
      <c r="AW145" s="416"/>
      <c r="AX145" s="416"/>
      <c r="AY145" s="416"/>
      <c r="AZ145" s="32"/>
    </row>
    <row r="146" spans="2:52">
      <c r="B146" s="1258" t="s">
        <v>556</v>
      </c>
      <c r="C146" s="1259"/>
      <c r="D146" s="1259"/>
      <c r="E146" s="1259"/>
      <c r="F146" s="1259"/>
      <c r="G146" s="1260"/>
      <c r="H146" s="417">
        <f>SUM(H135:H145)</f>
        <v>50000.000000000015</v>
      </c>
      <c r="I146" s="388"/>
      <c r="J146" s="293"/>
      <c r="K146" s="293"/>
      <c r="L146" s="293"/>
      <c r="M146" s="389"/>
      <c r="N146" s="413" t="str">
        <f t="shared" si="10"/>
        <v xml:space="preserve"> </v>
      </c>
      <c r="O146" s="212"/>
      <c r="P146" s="418"/>
      <c r="Q146" s="418"/>
      <c r="R146" s="418"/>
      <c r="S146" s="207"/>
      <c r="T146" s="1262"/>
      <c r="U146" s="1263"/>
      <c r="V146" s="1263"/>
      <c r="W146" s="1263"/>
      <c r="X146" s="1263"/>
      <c r="Y146" s="1263"/>
      <c r="Z146" s="1263"/>
      <c r="AA146" s="1263"/>
      <c r="AB146" s="1263"/>
      <c r="AC146" s="1263"/>
      <c r="AD146" s="1263"/>
      <c r="AE146" s="1263"/>
      <c r="AF146" s="1263"/>
      <c r="AG146" s="1263"/>
      <c r="AH146" s="1263"/>
      <c r="AI146" s="1263"/>
      <c r="AJ146" s="1263"/>
      <c r="AK146" s="1263"/>
      <c r="AL146" s="1263"/>
      <c r="AM146" s="1263"/>
      <c r="AN146" s="1263"/>
      <c r="AO146" s="1263"/>
      <c r="AP146" s="1263"/>
      <c r="AQ146" s="1263"/>
      <c r="AR146" s="1263"/>
      <c r="AS146" s="1263"/>
      <c r="AT146" s="1263"/>
      <c r="AU146" s="1263"/>
      <c r="AV146" s="1263"/>
      <c r="AW146" s="1263"/>
      <c r="AX146" s="1263"/>
      <c r="AY146" s="1264"/>
    </row>
    <row r="147" spans="2:52">
      <c r="B147" s="1243" t="s">
        <v>557</v>
      </c>
      <c r="C147" s="1244"/>
      <c r="D147" s="1244"/>
      <c r="E147" s="1244"/>
      <c r="F147" s="1244"/>
      <c r="G147" s="1245"/>
      <c r="H147" s="419">
        <v>50000</v>
      </c>
      <c r="I147" s="1273"/>
      <c r="J147" s="1274"/>
      <c r="K147" s="1274"/>
      <c r="L147" s="1274"/>
      <c r="M147" s="1275"/>
      <c r="N147" s="413" t="str">
        <f t="shared" si="10"/>
        <v xml:space="preserve"> </v>
      </c>
      <c r="O147" s="32"/>
      <c r="P147" s="415"/>
      <c r="Q147" s="415"/>
      <c r="R147" s="415"/>
      <c r="S147" s="63"/>
      <c r="T147" s="416">
        <f t="shared" ref="T147:AY147" si="11">SUM(T135:T145)</f>
        <v>0</v>
      </c>
      <c r="U147" s="416">
        <f t="shared" si="11"/>
        <v>0</v>
      </c>
      <c r="V147" s="416">
        <f t="shared" si="11"/>
        <v>0</v>
      </c>
      <c r="W147" s="416">
        <f t="shared" si="11"/>
        <v>0</v>
      </c>
      <c r="X147" s="416">
        <f t="shared" si="11"/>
        <v>0</v>
      </c>
      <c r="Y147" s="416">
        <f t="shared" si="11"/>
        <v>7441.35</v>
      </c>
      <c r="Z147" s="416">
        <f t="shared" si="11"/>
        <v>0</v>
      </c>
      <c r="AA147" s="416">
        <f t="shared" si="11"/>
        <v>0</v>
      </c>
      <c r="AB147" s="416">
        <f t="shared" si="11"/>
        <v>27470.058999999997</v>
      </c>
      <c r="AC147" s="416">
        <f t="shared" si="11"/>
        <v>0</v>
      </c>
      <c r="AD147" s="416">
        <f t="shared" si="11"/>
        <v>0</v>
      </c>
      <c r="AE147" s="416">
        <f t="shared" si="11"/>
        <v>0</v>
      </c>
      <c r="AF147" s="416">
        <f t="shared" si="11"/>
        <v>0</v>
      </c>
      <c r="AG147" s="416">
        <f t="shared" si="11"/>
        <v>0</v>
      </c>
      <c r="AH147" s="416">
        <f t="shared" si="11"/>
        <v>0</v>
      </c>
      <c r="AI147" s="416">
        <f t="shared" si="11"/>
        <v>0</v>
      </c>
      <c r="AJ147" s="416">
        <f t="shared" si="11"/>
        <v>0</v>
      </c>
      <c r="AK147" s="416">
        <f t="shared" si="11"/>
        <v>0</v>
      </c>
      <c r="AL147" s="416">
        <f t="shared" si="11"/>
        <v>0</v>
      </c>
      <c r="AM147" s="416">
        <f t="shared" si="11"/>
        <v>0</v>
      </c>
      <c r="AN147" s="416">
        <f t="shared" si="11"/>
        <v>0</v>
      </c>
      <c r="AO147" s="416">
        <f t="shared" si="11"/>
        <v>0</v>
      </c>
      <c r="AP147" s="416">
        <f t="shared" si="11"/>
        <v>0</v>
      </c>
      <c r="AQ147" s="416">
        <f t="shared" si="11"/>
        <v>0</v>
      </c>
      <c r="AR147" s="416">
        <f t="shared" si="11"/>
        <v>0</v>
      </c>
      <c r="AS147" s="416">
        <f t="shared" si="11"/>
        <v>0</v>
      </c>
      <c r="AT147" s="416">
        <f t="shared" si="11"/>
        <v>0</v>
      </c>
      <c r="AU147" s="416">
        <f t="shared" si="11"/>
        <v>0</v>
      </c>
      <c r="AV147" s="416">
        <f t="shared" si="11"/>
        <v>0</v>
      </c>
      <c r="AW147" s="416">
        <f t="shared" si="11"/>
        <v>0</v>
      </c>
      <c r="AX147" s="416">
        <f t="shared" si="11"/>
        <v>0</v>
      </c>
      <c r="AY147" s="416">
        <f t="shared" si="11"/>
        <v>15088.591</v>
      </c>
      <c r="AZ147" s="416">
        <f>SUM(T147:AY147)</f>
        <v>50000</v>
      </c>
    </row>
    <row r="148" spans="2:52">
      <c r="B148" s="1243" t="s">
        <v>558</v>
      </c>
      <c r="C148" s="1244"/>
      <c r="D148" s="1244"/>
      <c r="E148" s="1244"/>
      <c r="F148" s="1244"/>
      <c r="G148" s="1245"/>
      <c r="H148" s="420">
        <f>H147-L129</f>
        <v>0</v>
      </c>
      <c r="I148" s="294"/>
      <c r="J148" s="295"/>
      <c r="K148" s="295"/>
      <c r="L148" s="296"/>
      <c r="M148" s="32"/>
      <c r="N148" s="32"/>
      <c r="O148" s="32"/>
      <c r="P148" s="32"/>
      <c r="Q148" s="297"/>
      <c r="R148" s="297"/>
      <c r="S148" s="32"/>
      <c r="T148" s="48"/>
      <c r="U148" s="48"/>
      <c r="V148" s="48"/>
      <c r="W148" s="48"/>
      <c r="X148" s="48"/>
      <c r="Y148" s="48"/>
      <c r="Z148" s="48"/>
      <c r="AA148" s="48"/>
      <c r="AB148" s="48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</row>
    <row r="149" spans="2:52">
      <c r="B149" s="1243" t="s">
        <v>559</v>
      </c>
      <c r="C149" s="1244"/>
      <c r="D149" s="1244"/>
      <c r="E149" s="1244"/>
      <c r="F149" s="1244"/>
      <c r="G149" s="1245"/>
      <c r="H149" s="420">
        <v>6022</v>
      </c>
      <c r="I149" s="52"/>
      <c r="J149" s="53"/>
      <c r="K149" s="53"/>
      <c r="L149" s="54"/>
      <c r="M149" s="32"/>
      <c r="N149" s="201"/>
      <c r="O149" s="32"/>
      <c r="P149" s="32"/>
      <c r="Q149" s="32"/>
      <c r="R149" s="32"/>
      <c r="S149" s="32"/>
      <c r="T149" s="48"/>
      <c r="U149" s="48"/>
      <c r="V149" s="48"/>
      <c r="W149" s="48"/>
      <c r="X149" s="48"/>
      <c r="Y149" s="48"/>
      <c r="Z149" s="48"/>
      <c r="AA149" s="48"/>
      <c r="AB149" s="48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</row>
    <row r="150" spans="2:52">
      <c r="B150" s="1243" t="s">
        <v>560</v>
      </c>
      <c r="C150" s="1244"/>
      <c r="D150" s="1244"/>
      <c r="E150" s="1244"/>
      <c r="F150" s="1244"/>
      <c r="G150" s="1245"/>
      <c r="H150" s="421">
        <f>H149-6288.251</f>
        <v>-266.2510000000002</v>
      </c>
      <c r="I150" s="255"/>
      <c r="J150" s="53"/>
      <c r="K150" s="53"/>
      <c r="L150" s="54"/>
      <c r="M150" s="32"/>
      <c r="N150" s="32"/>
      <c r="O150" s="32"/>
      <c r="P150" s="32"/>
      <c r="Q150" s="32"/>
      <c r="R150" s="32"/>
      <c r="S150" s="48"/>
      <c r="T150" s="48"/>
      <c r="U150" s="48"/>
      <c r="V150" s="48"/>
      <c r="W150" s="48"/>
      <c r="X150" s="48"/>
      <c r="Y150" s="48"/>
      <c r="Z150" s="48"/>
      <c r="AA150" s="48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2:52">
      <c r="B151" s="32"/>
      <c r="C151" s="32"/>
      <c r="D151" s="32"/>
      <c r="E151" s="32"/>
      <c r="F151" s="32"/>
      <c r="G151" s="32"/>
      <c r="H151" s="32"/>
      <c r="I151" s="213"/>
      <c r="J151" s="209"/>
      <c r="K151" s="209"/>
      <c r="L151" s="203"/>
      <c r="M151" s="201"/>
      <c r="N151" s="201"/>
      <c r="O151" s="209"/>
      <c r="P151" s="32"/>
      <c r="Q151" s="32"/>
      <c r="R151" s="32"/>
      <c r="S151" s="32"/>
      <c r="T151" s="48"/>
      <c r="U151" s="48"/>
      <c r="V151" s="48"/>
      <c r="W151" s="48"/>
      <c r="X151" s="48"/>
      <c r="Y151" s="48"/>
      <c r="Z151" s="48"/>
      <c r="AA151" s="48"/>
      <c r="AB151" s="48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</row>
    <row r="152" spans="2:52">
      <c r="B152" s="40" t="s">
        <v>561</v>
      </c>
      <c r="C152" s="40"/>
      <c r="D152" s="32"/>
      <c r="E152" s="32"/>
      <c r="F152" s="32"/>
      <c r="G152" s="32"/>
      <c r="H152" s="32"/>
      <c r="I152" s="32"/>
      <c r="J152" s="52"/>
      <c r="K152" s="52"/>
      <c r="L152" s="55"/>
      <c r="M152" s="32"/>
      <c r="N152" s="201"/>
      <c r="O152" s="5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1"/>
      <c r="AC152" s="201"/>
      <c r="AD152" s="201"/>
      <c r="AE152" s="201"/>
      <c r="AF152" s="201"/>
      <c r="AG152" s="201"/>
      <c r="AH152" s="201"/>
      <c r="AI152" s="201"/>
      <c r="AJ152" s="201"/>
      <c r="AK152" s="201"/>
      <c r="AL152" s="201"/>
      <c r="AM152" s="201"/>
      <c r="AN152" s="201"/>
      <c r="AO152" s="201"/>
      <c r="AP152" s="201"/>
      <c r="AQ152" s="201"/>
      <c r="AR152" s="201"/>
      <c r="AS152" s="201"/>
      <c r="AT152" s="201"/>
      <c r="AU152" s="201"/>
      <c r="AZ152" s="201"/>
    </row>
    <row r="153" spans="2:52">
      <c r="B153" s="422">
        <v>1</v>
      </c>
      <c r="C153" s="1249" t="s">
        <v>886</v>
      </c>
      <c r="D153" s="1249"/>
      <c r="E153" s="1249"/>
      <c r="F153" s="1249"/>
      <c r="G153" s="1249"/>
      <c r="H153" s="1249"/>
      <c r="I153" s="1249"/>
      <c r="J153" s="1249"/>
      <c r="K153" s="1249"/>
      <c r="L153" s="203"/>
      <c r="M153" s="201"/>
      <c r="N153" s="201"/>
      <c r="O153" s="209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1"/>
      <c r="AC153" s="201"/>
      <c r="AD153" s="201"/>
      <c r="AE153" s="201"/>
      <c r="AF153" s="201"/>
      <c r="AG153" s="201"/>
      <c r="AH153" s="201"/>
      <c r="AI153" s="201"/>
      <c r="AJ153" s="201"/>
      <c r="AK153" s="201"/>
      <c r="AL153" s="201"/>
      <c r="AM153" s="201"/>
      <c r="AN153" s="201"/>
      <c r="AO153" s="201"/>
      <c r="AP153" s="201"/>
      <c r="AQ153" s="201"/>
      <c r="AR153" s="201"/>
      <c r="AS153" s="201"/>
      <c r="AT153" s="201"/>
      <c r="AU153" s="201"/>
      <c r="AZ153" s="201"/>
    </row>
    <row r="155" spans="2:52">
      <c r="B155" s="28" t="s">
        <v>2</v>
      </c>
      <c r="C155" s="28"/>
      <c r="D155" s="29"/>
      <c r="E155" s="30" t="s">
        <v>511</v>
      </c>
      <c r="F155" s="31" t="s">
        <v>433</v>
      </c>
      <c r="G155" s="32"/>
      <c r="H155" s="33"/>
      <c r="I155" s="34"/>
      <c r="J155" s="35" t="s">
        <v>513</v>
      </c>
      <c r="K155" s="36" t="s">
        <v>511</v>
      </c>
      <c r="L155" s="37">
        <v>44964.833333333336</v>
      </c>
      <c r="M155" s="32"/>
      <c r="N155" s="32"/>
      <c r="O155" s="206"/>
      <c r="P155" s="205"/>
      <c r="Q155" s="202"/>
      <c r="R155" s="204"/>
      <c r="S155" s="38"/>
      <c r="T155" s="201"/>
      <c r="U155" s="201"/>
      <c r="V155" s="201"/>
      <c r="W155" s="201"/>
      <c r="X155" s="201"/>
      <c r="Y155" s="201"/>
      <c r="Z155" s="201"/>
      <c r="AA155" s="201"/>
      <c r="AB155" s="202"/>
      <c r="AC155" s="202"/>
      <c r="AD155" s="202"/>
      <c r="AE155" s="202"/>
      <c r="AF155" s="202"/>
      <c r="AG155" s="201"/>
      <c r="AH155" s="201"/>
      <c r="AI155" s="201"/>
      <c r="AJ155" s="201"/>
      <c r="AK155" s="201"/>
      <c r="AL155" s="201"/>
      <c r="AM155" s="201"/>
      <c r="AN155" s="201"/>
      <c r="AO155" s="201"/>
      <c r="AP155" s="201"/>
      <c r="AQ155" s="201"/>
      <c r="AR155" s="201"/>
      <c r="AS155" s="201"/>
      <c r="AT155" s="201"/>
      <c r="AU155" s="201"/>
      <c r="AV155" s="201"/>
      <c r="AW155" s="201"/>
      <c r="AX155" s="201"/>
      <c r="AY155" s="201"/>
      <c r="AZ155" s="201"/>
    </row>
    <row r="156" spans="2:52">
      <c r="B156" s="35" t="s">
        <v>514</v>
      </c>
      <c r="C156" s="35"/>
      <c r="D156" s="32"/>
      <c r="E156" s="36" t="s">
        <v>511</v>
      </c>
      <c r="F156" s="37" t="s">
        <v>887</v>
      </c>
      <c r="G156" s="32"/>
      <c r="H156" s="33"/>
      <c r="I156" s="34"/>
      <c r="J156" s="35" t="s">
        <v>516</v>
      </c>
      <c r="K156" s="36" t="s">
        <v>511</v>
      </c>
      <c r="L156" s="37">
        <v>44971.923611111109</v>
      </c>
      <c r="M156" s="32"/>
      <c r="N156" s="32"/>
      <c r="O156" s="206"/>
      <c r="P156" s="205"/>
      <c r="Q156" s="202"/>
      <c r="R156" s="204"/>
      <c r="S156" s="38"/>
      <c r="T156" s="201"/>
      <c r="U156" s="201"/>
      <c r="V156" s="201"/>
      <c r="W156" s="201"/>
      <c r="X156" s="201"/>
      <c r="Y156" s="201"/>
      <c r="Z156" s="201"/>
      <c r="AA156" s="201"/>
      <c r="AB156" s="202"/>
      <c r="AC156" s="202"/>
      <c r="AD156" s="202"/>
      <c r="AE156" s="202"/>
      <c r="AF156" s="202"/>
      <c r="AG156" s="201"/>
      <c r="AH156" s="201"/>
      <c r="AI156" s="201"/>
      <c r="AJ156" s="201"/>
      <c r="AK156" s="201"/>
      <c r="AL156" s="201"/>
      <c r="AM156" s="201"/>
      <c r="AN156" s="201"/>
      <c r="AO156" s="201"/>
      <c r="AP156" s="201"/>
      <c r="AQ156" s="201"/>
      <c r="AR156" s="201"/>
      <c r="AS156" s="201"/>
      <c r="AT156" s="201"/>
      <c r="AU156" s="201"/>
      <c r="AV156" s="201"/>
      <c r="AW156" s="201"/>
      <c r="AX156" s="201"/>
      <c r="AY156" s="201"/>
      <c r="AZ156" s="201"/>
    </row>
    <row r="157" spans="2:52">
      <c r="B157" s="35" t="s">
        <v>517</v>
      </c>
      <c r="C157" s="35"/>
      <c r="D157" s="32"/>
      <c r="E157" s="36" t="s">
        <v>511</v>
      </c>
      <c r="F157" s="37">
        <v>44964.195833333331</v>
      </c>
      <c r="G157" s="32"/>
      <c r="H157" s="33"/>
      <c r="I157" s="34"/>
      <c r="J157" s="35" t="s">
        <v>521</v>
      </c>
      <c r="K157" s="36" t="s">
        <v>511</v>
      </c>
      <c r="L157" s="41" t="s">
        <v>888</v>
      </c>
      <c r="M157" s="40"/>
      <c r="N157" s="40"/>
      <c r="O157" s="206"/>
      <c r="P157" s="205"/>
      <c r="Q157" s="202"/>
      <c r="R157" s="204"/>
      <c r="S157" s="38"/>
      <c r="T157" s="201"/>
      <c r="U157" s="201"/>
      <c r="V157" s="201"/>
      <c r="W157" s="201"/>
      <c r="X157" s="201"/>
      <c r="Y157" s="201"/>
      <c r="Z157" s="201"/>
      <c r="AA157" s="201"/>
      <c r="AB157" s="202"/>
      <c r="AC157" s="202"/>
      <c r="AD157" s="202"/>
      <c r="AE157" s="202"/>
      <c r="AF157" s="202"/>
      <c r="AG157" s="201"/>
      <c r="AH157" s="201"/>
      <c r="AI157" s="201"/>
      <c r="AJ157" s="201"/>
      <c r="AK157" s="201"/>
      <c r="AL157" s="201"/>
      <c r="AM157" s="201"/>
      <c r="AN157" s="201"/>
      <c r="AO157" s="201"/>
      <c r="AP157" s="201"/>
      <c r="AQ157" s="201"/>
      <c r="AR157" s="201"/>
      <c r="AS157" s="201"/>
      <c r="AT157" s="201"/>
      <c r="AU157" s="201"/>
      <c r="AV157" s="201"/>
      <c r="AW157" s="201"/>
      <c r="AX157" s="201"/>
      <c r="AY157" s="201"/>
      <c r="AZ157" s="201"/>
    </row>
    <row r="158" spans="2:52">
      <c r="B158" s="35" t="s">
        <v>520</v>
      </c>
      <c r="C158" s="35"/>
      <c r="D158" s="32"/>
      <c r="E158" s="36" t="s">
        <v>511</v>
      </c>
      <c r="F158" s="37" t="s">
        <v>16</v>
      </c>
      <c r="G158" s="32"/>
      <c r="H158" s="33"/>
      <c r="I158" s="34"/>
      <c r="J158" s="42" t="s">
        <v>524</v>
      </c>
      <c r="K158" s="36" t="s">
        <v>511</v>
      </c>
      <c r="L158" s="43" t="s">
        <v>23</v>
      </c>
      <c r="M158" s="32"/>
      <c r="N158" s="32"/>
      <c r="O158" s="206"/>
      <c r="P158" s="202"/>
      <c r="Q158" s="202"/>
      <c r="R158" s="204"/>
      <c r="S158" s="38"/>
      <c r="T158" s="201"/>
      <c r="U158" s="201"/>
      <c r="V158" s="201"/>
      <c r="W158" s="201"/>
      <c r="X158" s="201"/>
      <c r="Y158" s="201"/>
      <c r="Z158" s="201"/>
      <c r="AA158" s="201"/>
      <c r="AB158" s="202"/>
      <c r="AC158" s="202"/>
      <c r="AD158" s="202"/>
      <c r="AE158" s="202"/>
      <c r="AF158" s="202"/>
      <c r="AG158" s="201"/>
      <c r="AH158" s="201"/>
      <c r="AI158" s="201"/>
      <c r="AJ158" s="201"/>
      <c r="AK158" s="201"/>
      <c r="AL158" s="201"/>
      <c r="AM158" s="201"/>
      <c r="AN158" s="201"/>
      <c r="AO158" s="201"/>
      <c r="AP158" s="201"/>
      <c r="AQ158" s="201"/>
      <c r="AR158" s="201"/>
      <c r="AS158" s="201"/>
      <c r="AT158" s="201"/>
      <c r="AU158" s="201"/>
      <c r="AV158" s="201"/>
      <c r="AW158" s="201"/>
      <c r="AX158" s="201"/>
      <c r="AY158" s="201"/>
      <c r="AZ158" s="201"/>
    </row>
    <row r="159" spans="2:52">
      <c r="B159" s="35" t="s">
        <v>523</v>
      </c>
      <c r="C159" s="35"/>
      <c r="D159" s="32"/>
      <c r="E159" s="36" t="s">
        <v>511</v>
      </c>
      <c r="F159" s="37" t="s">
        <v>45</v>
      </c>
      <c r="G159" s="32"/>
      <c r="H159" s="33"/>
      <c r="I159" s="34"/>
      <c r="J159" s="209"/>
      <c r="K159" s="209"/>
      <c r="L159" s="203"/>
      <c r="M159" s="44"/>
      <c r="N159" s="44"/>
      <c r="O159" s="206"/>
      <c r="P159" s="205"/>
      <c r="Q159" s="202"/>
      <c r="R159" s="204"/>
      <c r="S159" s="38"/>
      <c r="T159" s="201"/>
      <c r="U159" s="201"/>
      <c r="V159" s="201"/>
      <c r="W159" s="201"/>
      <c r="X159" s="201"/>
      <c r="Y159" s="201"/>
      <c r="Z159" s="201"/>
      <c r="AA159" s="201"/>
      <c r="AB159" s="202"/>
      <c r="AC159" s="202"/>
      <c r="AD159" s="202"/>
      <c r="AE159" s="202"/>
      <c r="AF159" s="202"/>
      <c r="AG159" s="201"/>
      <c r="AH159" s="201"/>
      <c r="AI159" s="201"/>
      <c r="AJ159" s="201"/>
      <c r="AK159" s="201"/>
      <c r="AL159" s="201"/>
      <c r="AM159" s="201"/>
      <c r="AN159" s="201"/>
      <c r="AO159" s="201"/>
      <c r="AP159" s="201"/>
      <c r="AQ159" s="201"/>
      <c r="AR159" s="201"/>
      <c r="AS159" s="201"/>
      <c r="AT159" s="201"/>
      <c r="AU159" s="201"/>
      <c r="AV159" s="201"/>
      <c r="AW159" s="201"/>
      <c r="AX159" s="201"/>
      <c r="AY159" s="201"/>
      <c r="AZ159" s="201"/>
    </row>
    <row r="160" spans="2:52">
      <c r="B160" s="35" t="s">
        <v>2</v>
      </c>
      <c r="C160" s="35"/>
      <c r="D160" s="32"/>
      <c r="E160" s="36" t="s">
        <v>511</v>
      </c>
      <c r="F160" s="37" t="s">
        <v>29</v>
      </c>
      <c r="G160" s="32"/>
      <c r="H160" s="33"/>
      <c r="I160" s="45"/>
      <c r="J160" s="42"/>
      <c r="K160" s="36"/>
      <c r="L160" s="211"/>
      <c r="M160" s="201"/>
      <c r="N160" s="201"/>
      <c r="O160" s="42"/>
      <c r="P160" s="44"/>
      <c r="Q160" s="44"/>
      <c r="R160" s="44"/>
      <c r="S160" s="34"/>
      <c r="T160" s="201"/>
      <c r="U160" s="201"/>
      <c r="V160" s="201"/>
      <c r="W160" s="201"/>
      <c r="X160" s="201"/>
      <c r="Y160" s="201"/>
      <c r="Z160" s="201"/>
      <c r="AA160" s="201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201"/>
      <c r="AP160" s="201"/>
      <c r="AQ160" s="201"/>
      <c r="AR160" s="201"/>
      <c r="AS160" s="201"/>
      <c r="AT160" s="201"/>
      <c r="AU160" s="201"/>
      <c r="AV160" s="201"/>
      <c r="AW160" s="201"/>
      <c r="AX160" s="201"/>
      <c r="AY160" s="201"/>
      <c r="AZ160" s="201"/>
    </row>
    <row r="161" spans="2:52">
      <c r="B161" s="201"/>
      <c r="C161" s="201"/>
      <c r="D161" s="201"/>
      <c r="E161" s="201"/>
      <c r="F161" s="201"/>
      <c r="G161" s="201"/>
      <c r="H161" s="201"/>
      <c r="I161" s="45"/>
      <c r="J161" s="42"/>
      <c r="K161" s="42"/>
      <c r="L161" s="43"/>
      <c r="M161" s="44"/>
      <c r="N161" s="44"/>
      <c r="O161" s="42"/>
      <c r="P161" s="44"/>
      <c r="Q161" s="44"/>
      <c r="R161" s="44"/>
      <c r="S161" s="34"/>
      <c r="T161" s="1265" t="s">
        <v>87</v>
      </c>
      <c r="U161" s="1265"/>
      <c r="V161" s="1265"/>
      <c r="W161" s="1265"/>
      <c r="X161" s="1265"/>
      <c r="Y161" s="1265" t="s">
        <v>73</v>
      </c>
      <c r="Z161" s="1265"/>
      <c r="AA161" s="1265"/>
      <c r="AB161" s="1265" t="s">
        <v>74</v>
      </c>
      <c r="AC161" s="1265"/>
      <c r="AD161" s="423" t="s">
        <v>85</v>
      </c>
      <c r="AE161" s="423" t="s">
        <v>77</v>
      </c>
      <c r="AF161" s="1265" t="s">
        <v>525</v>
      </c>
      <c r="AG161" s="1265"/>
      <c r="AH161" s="1265"/>
      <c r="AI161" s="1265"/>
      <c r="AJ161" s="1265"/>
      <c r="AK161" s="1265"/>
      <c r="AL161" s="1265"/>
      <c r="AM161" s="1265"/>
      <c r="AN161" s="1265"/>
      <c r="AO161" s="1265"/>
      <c r="AP161" s="1265"/>
      <c r="AQ161" s="1265"/>
      <c r="AR161" s="1265"/>
      <c r="AS161" s="1265"/>
      <c r="AT161" s="1265"/>
      <c r="AU161" s="1265"/>
      <c r="AV161" s="1265"/>
      <c r="AW161" s="1265"/>
      <c r="AX161" s="1265"/>
      <c r="AY161" s="1265"/>
      <c r="AZ161" s="201"/>
    </row>
    <row r="162" spans="2:52">
      <c r="B162" s="1266" t="s">
        <v>526</v>
      </c>
      <c r="C162" s="1267"/>
      <c r="D162" s="570" t="s">
        <v>527</v>
      </c>
      <c r="E162" s="570"/>
      <c r="F162" s="570" t="s">
        <v>528</v>
      </c>
      <c r="G162" s="570" t="s">
        <v>529</v>
      </c>
      <c r="H162" s="570" t="s">
        <v>530</v>
      </c>
      <c r="I162" s="570" t="s">
        <v>531</v>
      </c>
      <c r="J162" s="570" t="s">
        <v>532</v>
      </c>
      <c r="K162" s="570"/>
      <c r="L162" s="570" t="s">
        <v>130</v>
      </c>
      <c r="M162" s="570" t="s">
        <v>533</v>
      </c>
      <c r="N162" s="408" t="str">
        <f>"On time - "&amp;COUNTIF(N163:N165,"On time")&amp;" from "&amp;ROWS(N163:N165)-COUNTIF(N163:N165," ")</f>
        <v>On time - 3 from 3</v>
      </c>
      <c r="O162" s="46"/>
      <c r="P162" s="409" t="s">
        <v>534</v>
      </c>
      <c r="Q162" s="409" t="s">
        <v>535</v>
      </c>
      <c r="R162" s="409" t="s">
        <v>536</v>
      </c>
      <c r="S162" s="32"/>
      <c r="T162" s="424" t="s">
        <v>537</v>
      </c>
      <c r="U162" s="424" t="s">
        <v>538</v>
      </c>
      <c r="V162" s="424" t="s">
        <v>539</v>
      </c>
      <c r="W162" s="424" t="s">
        <v>540</v>
      </c>
      <c r="X162" s="424" t="s">
        <v>541</v>
      </c>
      <c r="Y162" s="424" t="s">
        <v>167</v>
      </c>
      <c r="Z162" s="424" t="s">
        <v>168</v>
      </c>
      <c r="AA162" s="424" t="s">
        <v>169</v>
      </c>
      <c r="AB162" s="424" t="s">
        <v>235</v>
      </c>
      <c r="AC162" s="424" t="s">
        <v>542</v>
      </c>
      <c r="AD162" s="423" t="s">
        <v>85</v>
      </c>
      <c r="AE162" s="424" t="s">
        <v>139</v>
      </c>
      <c r="AF162" s="424" t="s">
        <v>72</v>
      </c>
      <c r="AG162" s="424" t="s">
        <v>88</v>
      </c>
      <c r="AH162" s="424" t="s">
        <v>75</v>
      </c>
      <c r="AI162" s="424" t="s">
        <v>543</v>
      </c>
      <c r="AJ162" s="424" t="s">
        <v>78</v>
      </c>
      <c r="AK162" s="424" t="s">
        <v>76</v>
      </c>
      <c r="AL162" s="424" t="s">
        <v>544</v>
      </c>
      <c r="AM162" s="424" t="s">
        <v>545</v>
      </c>
      <c r="AN162" s="424" t="s">
        <v>86</v>
      </c>
      <c r="AO162" s="424" t="s">
        <v>83</v>
      </c>
      <c r="AP162" s="424" t="s">
        <v>84</v>
      </c>
      <c r="AQ162" s="424" t="s">
        <v>546</v>
      </c>
      <c r="AR162" s="424" t="s">
        <v>81</v>
      </c>
      <c r="AS162" s="424" t="s">
        <v>80</v>
      </c>
      <c r="AT162" s="424" t="s">
        <v>82</v>
      </c>
      <c r="AU162" s="424" t="s">
        <v>181</v>
      </c>
      <c r="AV162" s="424" t="s">
        <v>183</v>
      </c>
      <c r="AW162" s="424" t="s">
        <v>547</v>
      </c>
      <c r="AX162" s="424" t="s">
        <v>182</v>
      </c>
      <c r="AY162" s="424" t="s">
        <v>172</v>
      </c>
      <c r="AZ162" s="201"/>
    </row>
    <row r="163" spans="2:52">
      <c r="B163" s="1256" t="s">
        <v>548</v>
      </c>
      <c r="C163" s="1257"/>
      <c r="D163" s="411" t="s">
        <v>889</v>
      </c>
      <c r="E163" s="411"/>
      <c r="F163" s="411" t="s">
        <v>437</v>
      </c>
      <c r="G163" s="411" t="s">
        <v>438</v>
      </c>
      <c r="H163" s="412">
        <v>7714.8869999999997</v>
      </c>
      <c r="I163" s="413" t="s">
        <v>240</v>
      </c>
      <c r="J163" s="414">
        <v>44962.854166666664</v>
      </c>
      <c r="K163" s="414"/>
      <c r="L163" s="414" t="s">
        <v>192</v>
      </c>
      <c r="M163" s="414" t="s">
        <v>192</v>
      </c>
      <c r="N163" s="413" t="str">
        <f>IF(ISBLANK(J163)," ",IF(J163&lt;$F$157,"On time",(IF(DAY(J163-$F$157)&lt;1,"On time",(IF(J163&gt;$F$157,"DELAY ( "&amp;DAY(J163-$F$157)&amp;" day "&amp;HOUR(J163-$F$157)&amp;" hour "&amp;MINUTE(J163-$F$157)&amp;" minute )","xxx"))))))</f>
        <v>On time</v>
      </c>
      <c r="O163" s="51"/>
      <c r="P163" s="415" t="s">
        <v>551</v>
      </c>
      <c r="Q163" s="415" t="s">
        <v>551</v>
      </c>
      <c r="R163" s="415" t="s">
        <v>551</v>
      </c>
      <c r="S163" s="32"/>
      <c r="T163" s="416"/>
      <c r="U163" s="416"/>
      <c r="V163" s="416"/>
      <c r="W163" s="416"/>
      <c r="X163" s="416"/>
      <c r="Y163" s="416"/>
      <c r="Z163" s="416"/>
      <c r="AA163" s="416"/>
      <c r="AB163" s="416"/>
      <c r="AC163" s="416">
        <f>H163-H169</f>
        <v>7714.8869999999997</v>
      </c>
      <c r="AD163" s="416"/>
      <c r="AE163" s="416"/>
      <c r="AF163" s="416"/>
      <c r="AG163" s="416"/>
      <c r="AH163" s="416"/>
      <c r="AI163" s="416"/>
      <c r="AJ163" s="416"/>
      <c r="AK163" s="416"/>
      <c r="AL163" s="416"/>
      <c r="AM163" s="416"/>
      <c r="AN163" s="416"/>
      <c r="AO163" s="416"/>
      <c r="AP163" s="416"/>
      <c r="AQ163" s="416"/>
      <c r="AR163" s="416"/>
      <c r="AS163" s="416"/>
      <c r="AT163" s="416"/>
      <c r="AU163" s="416"/>
      <c r="AV163" s="416"/>
      <c r="AW163" s="416"/>
      <c r="AX163" s="416"/>
      <c r="AY163" s="416"/>
      <c r="AZ163" s="32"/>
    </row>
    <row r="164" spans="2:52">
      <c r="B164" s="1256" t="s">
        <v>548</v>
      </c>
      <c r="C164" s="1257"/>
      <c r="D164" s="411" t="s">
        <v>508</v>
      </c>
      <c r="E164" s="411"/>
      <c r="F164" s="411" t="s">
        <v>274</v>
      </c>
      <c r="G164" s="411" t="s">
        <v>275</v>
      </c>
      <c r="H164" s="412">
        <v>7475.0919999999996</v>
      </c>
      <c r="I164" s="413" t="s">
        <v>509</v>
      </c>
      <c r="J164" s="414">
        <v>44962.899305555555</v>
      </c>
      <c r="K164" s="414"/>
      <c r="L164" s="414" t="s">
        <v>192</v>
      </c>
      <c r="M164" s="414" t="s">
        <v>192</v>
      </c>
      <c r="N164" s="413" t="str">
        <f>IF(ISBLANK(J164)," ",IF(J164&lt;$F$157,"On time",(IF(DAY(J164-$F$157)&lt;1,"On time",(IF(J164&gt;$F$157,"DELAY ( "&amp;DAY(J164-$F$157)&amp;" day "&amp;HOUR(J164-$F$157)&amp;" hour "&amp;MINUTE(J164-$F$157)&amp;" minute )","xxx"))))))</f>
        <v>On time</v>
      </c>
      <c r="O164" s="51"/>
      <c r="P164" s="415" t="s">
        <v>551</v>
      </c>
      <c r="Q164" s="415" t="s">
        <v>551</v>
      </c>
      <c r="R164" s="415" t="s">
        <v>551</v>
      </c>
      <c r="S164" s="32"/>
      <c r="T164" s="416"/>
      <c r="U164" s="416"/>
      <c r="V164" s="416"/>
      <c r="W164" s="416"/>
      <c r="X164" s="416"/>
      <c r="Y164" s="416">
        <f>H164*0.75</f>
        <v>5606.3189999999995</v>
      </c>
      <c r="Z164" s="416">
        <f>H164*0.25</f>
        <v>1868.7729999999999</v>
      </c>
      <c r="AA164" s="416"/>
      <c r="AB164" s="416"/>
      <c r="AC164" s="416"/>
      <c r="AD164" s="416"/>
      <c r="AE164" s="416"/>
      <c r="AF164" s="416"/>
      <c r="AG164" s="416"/>
      <c r="AH164" s="416"/>
      <c r="AI164" s="416"/>
      <c r="AJ164" s="416"/>
      <c r="AK164" s="416"/>
      <c r="AL164" s="416"/>
      <c r="AM164" s="416"/>
      <c r="AN164" s="416"/>
      <c r="AO164" s="416"/>
      <c r="AP164" s="416"/>
      <c r="AQ164" s="416"/>
      <c r="AR164" s="416"/>
      <c r="AS164" s="416"/>
      <c r="AT164" s="416"/>
      <c r="AU164" s="416"/>
      <c r="AV164" s="416"/>
      <c r="AW164" s="416"/>
      <c r="AX164" s="416"/>
      <c r="AY164" s="416"/>
      <c r="AZ164" s="32"/>
    </row>
    <row r="165" spans="2:52">
      <c r="B165" s="1256" t="s">
        <v>548</v>
      </c>
      <c r="C165" s="1257"/>
      <c r="D165" s="411" t="s">
        <v>435</v>
      </c>
      <c r="E165" s="411"/>
      <c r="F165" s="411" t="s">
        <v>349</v>
      </c>
      <c r="G165" s="411" t="s">
        <v>350</v>
      </c>
      <c r="H165" s="412">
        <v>7505.9449999999997</v>
      </c>
      <c r="I165" s="413" t="s">
        <v>240</v>
      </c>
      <c r="J165" s="414">
        <v>44963.625</v>
      </c>
      <c r="K165" s="414"/>
      <c r="L165" s="414" t="s">
        <v>192</v>
      </c>
      <c r="M165" s="414" t="s">
        <v>192</v>
      </c>
      <c r="N165" s="413" t="str">
        <f>IF(ISBLANK(J165)," ",IF(J165&lt;$F$157,"On time",(IF(DAY(J165-$F$157)&lt;1,"On time",(IF(J165&gt;$F$157,"DELAY ( "&amp;DAY(J165-$F$157)&amp;" day "&amp;HOUR(J165-$F$157)&amp;" hour "&amp;MINUTE(J165-$F$157)&amp;" minute )","xxx"))))))</f>
        <v>On time</v>
      </c>
      <c r="O165" s="51"/>
      <c r="P165" s="415" t="s">
        <v>551</v>
      </c>
      <c r="Q165" s="415" t="s">
        <v>551</v>
      </c>
      <c r="R165" s="415" t="s">
        <v>551</v>
      </c>
      <c r="S165" s="32"/>
      <c r="T165" s="416"/>
      <c r="U165" s="416"/>
      <c r="V165" s="416"/>
      <c r="W165" s="416"/>
      <c r="X165" s="416"/>
      <c r="Y165" s="416"/>
      <c r="Z165" s="416"/>
      <c r="AA165" s="416"/>
      <c r="AB165" s="416"/>
      <c r="AC165" s="416">
        <f>H165</f>
        <v>7505.9449999999997</v>
      </c>
      <c r="AD165" s="416"/>
      <c r="AE165" s="416"/>
      <c r="AF165" s="416"/>
      <c r="AG165" s="416"/>
      <c r="AH165" s="416"/>
      <c r="AI165" s="416"/>
      <c r="AJ165" s="416"/>
      <c r="AK165" s="416"/>
      <c r="AL165" s="416"/>
      <c r="AM165" s="416"/>
      <c r="AN165" s="416"/>
      <c r="AO165" s="416"/>
      <c r="AP165" s="416"/>
      <c r="AQ165" s="416"/>
      <c r="AR165" s="416"/>
      <c r="AS165" s="416"/>
      <c r="AT165" s="416"/>
      <c r="AU165" s="416"/>
      <c r="AV165" s="416"/>
      <c r="AW165" s="416"/>
      <c r="AX165" s="416"/>
      <c r="AY165" s="416"/>
      <c r="AZ165" s="32"/>
    </row>
    <row r="166" spans="2:52">
      <c r="B166" s="1258" t="s">
        <v>556</v>
      </c>
      <c r="C166" s="1259"/>
      <c r="D166" s="1259"/>
      <c r="E166" s="1259"/>
      <c r="F166" s="1259"/>
      <c r="G166" s="1260"/>
      <c r="H166" s="417">
        <f>SUM(H163:H165)</f>
        <v>22695.923999999999</v>
      </c>
      <c r="I166" s="388"/>
      <c r="J166" s="293"/>
      <c r="K166" s="293"/>
      <c r="L166" s="293"/>
      <c r="M166" s="389"/>
      <c r="N166" s="413" t="str">
        <f>IF(ISBLANK(J166)," ",IF(J166&lt;$F$157,"On time",(IF(DAY(J166-$F$157)&lt;1,"On time",(IF(J166&gt;$F$157,"DELAY ( "&amp;DAY(J166-$F$157)&amp;" day "&amp;HOUR(J166-$F$157)&amp;" hour "&amp;MINUTE(J166-$F$157)&amp;" minute )","xxx"))))))</f>
        <v xml:space="preserve"> </v>
      </c>
      <c r="O166" s="212"/>
      <c r="P166" s="418"/>
      <c r="Q166" s="418"/>
      <c r="R166" s="418"/>
      <c r="S166" s="207"/>
      <c r="T166" s="1262"/>
      <c r="U166" s="1263"/>
      <c r="V166" s="1263"/>
      <c r="W166" s="1263"/>
      <c r="X166" s="1263"/>
      <c r="Y166" s="1263"/>
      <c r="Z166" s="1263"/>
      <c r="AA166" s="1263"/>
      <c r="AB166" s="1263"/>
      <c r="AC166" s="1263"/>
      <c r="AD166" s="1263"/>
      <c r="AE166" s="1263"/>
      <c r="AF166" s="1263"/>
      <c r="AG166" s="1263"/>
      <c r="AH166" s="1263"/>
      <c r="AI166" s="1263"/>
      <c r="AJ166" s="1263"/>
      <c r="AK166" s="1263"/>
      <c r="AL166" s="1263"/>
      <c r="AM166" s="1263"/>
      <c r="AN166" s="1263"/>
      <c r="AO166" s="1263"/>
      <c r="AP166" s="1263"/>
      <c r="AQ166" s="1263"/>
      <c r="AR166" s="1263"/>
      <c r="AS166" s="1263"/>
      <c r="AT166" s="1263"/>
      <c r="AU166" s="1263"/>
      <c r="AV166" s="1263"/>
      <c r="AW166" s="1263"/>
      <c r="AX166" s="1263"/>
      <c r="AY166" s="1264"/>
    </row>
    <row r="167" spans="2:52">
      <c r="B167" s="1277"/>
      <c r="C167" s="1278"/>
      <c r="D167" s="1278"/>
      <c r="E167" s="1278"/>
      <c r="F167" s="1278"/>
      <c r="G167" s="1279"/>
      <c r="H167" s="430"/>
      <c r="I167" s="1273"/>
      <c r="J167" s="1274"/>
      <c r="K167" s="1274"/>
      <c r="L167" s="1274"/>
      <c r="M167" s="1275"/>
      <c r="N167" s="413" t="str">
        <f>IF(ISBLANK(J167)," ",IF(J167&lt;$F$4,"On time",(IF(DAY(J167-$F$4)&lt;1,"On time",(IF(J167&gt;$F$4,"DELAY ( "&amp;DAY(J167-$F$4)&amp;" day "&amp;HOUR(J167-$F$4)&amp;" hour "&amp;MINUTE(J167-$F$4)&amp;" minute )","xxx"))))))</f>
        <v xml:space="preserve"> </v>
      </c>
      <c r="O167" s="32"/>
      <c r="P167" s="415"/>
      <c r="Q167" s="415"/>
      <c r="R167" s="415"/>
      <c r="S167" s="63"/>
      <c r="T167" s="416">
        <f>SUM(T163:T165)</f>
        <v>0</v>
      </c>
      <c r="U167" s="416">
        <f t="shared" ref="U167:AY167" si="12">SUM(U163:U165)</f>
        <v>0</v>
      </c>
      <c r="V167" s="416">
        <f t="shared" si="12"/>
        <v>0</v>
      </c>
      <c r="W167" s="416">
        <f t="shared" si="12"/>
        <v>0</v>
      </c>
      <c r="X167" s="416">
        <f t="shared" si="12"/>
        <v>0</v>
      </c>
      <c r="Y167" s="416">
        <f t="shared" si="12"/>
        <v>5606.3189999999995</v>
      </c>
      <c r="Z167" s="416">
        <f t="shared" si="12"/>
        <v>1868.7729999999999</v>
      </c>
      <c r="AA167" s="416">
        <f t="shared" si="12"/>
        <v>0</v>
      </c>
      <c r="AB167" s="416">
        <f t="shared" si="12"/>
        <v>0</v>
      </c>
      <c r="AC167" s="416">
        <f t="shared" si="12"/>
        <v>15220.831999999999</v>
      </c>
      <c r="AD167" s="416">
        <f t="shared" si="12"/>
        <v>0</v>
      </c>
      <c r="AE167" s="416">
        <f t="shared" si="12"/>
        <v>0</v>
      </c>
      <c r="AF167" s="416">
        <f t="shared" si="12"/>
        <v>0</v>
      </c>
      <c r="AG167" s="416">
        <f t="shared" si="12"/>
        <v>0</v>
      </c>
      <c r="AH167" s="416">
        <f t="shared" si="12"/>
        <v>0</v>
      </c>
      <c r="AI167" s="416">
        <f t="shared" si="12"/>
        <v>0</v>
      </c>
      <c r="AJ167" s="416">
        <f t="shared" si="12"/>
        <v>0</v>
      </c>
      <c r="AK167" s="416">
        <f t="shared" si="12"/>
        <v>0</v>
      </c>
      <c r="AL167" s="416">
        <f t="shared" si="12"/>
        <v>0</v>
      </c>
      <c r="AM167" s="416">
        <f t="shared" si="12"/>
        <v>0</v>
      </c>
      <c r="AN167" s="416">
        <f t="shared" si="12"/>
        <v>0</v>
      </c>
      <c r="AO167" s="416">
        <f t="shared" si="12"/>
        <v>0</v>
      </c>
      <c r="AP167" s="416">
        <f t="shared" si="12"/>
        <v>0</v>
      </c>
      <c r="AQ167" s="416">
        <f t="shared" si="12"/>
        <v>0</v>
      </c>
      <c r="AR167" s="416">
        <f t="shared" si="12"/>
        <v>0</v>
      </c>
      <c r="AS167" s="416">
        <f t="shared" si="12"/>
        <v>0</v>
      </c>
      <c r="AT167" s="416">
        <f t="shared" si="12"/>
        <v>0</v>
      </c>
      <c r="AU167" s="416">
        <f t="shared" si="12"/>
        <v>0</v>
      </c>
      <c r="AV167" s="416">
        <f t="shared" si="12"/>
        <v>0</v>
      </c>
      <c r="AW167" s="416">
        <f t="shared" si="12"/>
        <v>0</v>
      </c>
      <c r="AX167" s="416">
        <f t="shared" si="12"/>
        <v>0</v>
      </c>
      <c r="AY167" s="416">
        <f t="shared" si="12"/>
        <v>0</v>
      </c>
      <c r="AZ167" s="416">
        <f>SUM(T167:AY167)</f>
        <v>22695.923999999999</v>
      </c>
    </row>
    <row r="168" spans="2:52">
      <c r="B168" s="201"/>
      <c r="C168" s="201"/>
      <c r="D168" s="201"/>
      <c r="E168" s="201"/>
      <c r="F168" s="201"/>
      <c r="G168" s="201"/>
      <c r="H168" s="201"/>
      <c r="I168" s="201"/>
      <c r="J168" s="295"/>
      <c r="K168" s="295"/>
      <c r="L168" s="296"/>
      <c r="M168" s="32"/>
      <c r="N168" s="32"/>
      <c r="O168" s="32"/>
      <c r="P168" s="32"/>
      <c r="Q168" s="297"/>
      <c r="R168" s="297"/>
      <c r="S168" s="32"/>
      <c r="T168" s="48"/>
      <c r="U168" s="48"/>
      <c r="V168" s="48"/>
      <c r="W168" s="48"/>
      <c r="X168" s="48"/>
      <c r="Y168" s="48"/>
      <c r="Z168" s="48"/>
      <c r="AA168" s="48"/>
      <c r="AB168" s="48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</row>
    <row r="169" spans="2:52">
      <c r="B169" s="201"/>
      <c r="C169" s="201"/>
      <c r="D169" s="201"/>
      <c r="E169" s="201"/>
      <c r="F169" s="201"/>
      <c r="G169" s="201"/>
      <c r="H169" s="201"/>
      <c r="I169" s="201"/>
      <c r="J169" s="53"/>
      <c r="K169" s="53"/>
      <c r="L169" s="54"/>
      <c r="M169" s="32"/>
      <c r="N169" s="201"/>
      <c r="O169" s="32"/>
      <c r="P169" s="32"/>
      <c r="Q169" s="32"/>
      <c r="R169" s="32"/>
      <c r="S169" s="32"/>
      <c r="T169" s="48"/>
      <c r="U169" s="48"/>
      <c r="V169" s="48"/>
      <c r="W169" s="48"/>
      <c r="X169" s="48"/>
      <c r="Y169" s="48"/>
      <c r="Z169" s="48"/>
      <c r="AA169" s="48"/>
      <c r="AB169" s="48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</row>
    <row r="170" spans="2:52">
      <c r="B170" s="201"/>
      <c r="C170" s="201"/>
      <c r="D170" s="201"/>
      <c r="E170" s="201"/>
      <c r="F170" s="201"/>
      <c r="G170" s="201"/>
      <c r="H170" s="201"/>
      <c r="I170" s="213"/>
      <c r="J170" s="209"/>
      <c r="K170" s="209"/>
      <c r="L170" s="203"/>
      <c r="M170" s="201"/>
      <c r="N170" s="201"/>
      <c r="O170" s="209"/>
      <c r="P170" s="32"/>
      <c r="Q170" s="32"/>
      <c r="R170" s="32"/>
      <c r="S170" s="32"/>
      <c r="T170" s="48"/>
      <c r="U170" s="48"/>
      <c r="V170" s="48"/>
      <c r="W170" s="48"/>
      <c r="X170" s="48"/>
      <c r="Y170" s="48"/>
      <c r="Z170" s="48"/>
      <c r="AA170" s="48"/>
      <c r="AB170" s="48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</row>
    <row r="171" spans="2:52">
      <c r="B171" s="40" t="s">
        <v>561</v>
      </c>
      <c r="C171" s="40"/>
      <c r="D171" s="32"/>
      <c r="E171" s="32"/>
      <c r="F171" s="32"/>
      <c r="G171" s="32"/>
      <c r="H171" s="32"/>
      <c r="I171" s="32"/>
      <c r="J171" s="52"/>
      <c r="K171" s="52"/>
      <c r="L171" s="55"/>
      <c r="M171" s="32"/>
      <c r="N171" s="201"/>
      <c r="O171" s="5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1"/>
      <c r="AC171" s="201"/>
      <c r="AD171" s="201"/>
      <c r="AE171" s="201"/>
      <c r="AF171" s="201"/>
      <c r="AG171" s="201"/>
      <c r="AH171" s="201"/>
      <c r="AI171" s="201"/>
      <c r="AJ171" s="201"/>
      <c r="AK171" s="201"/>
      <c r="AL171" s="201"/>
      <c r="AM171" s="201"/>
      <c r="AN171" s="201"/>
      <c r="AO171" s="201"/>
      <c r="AP171" s="201"/>
      <c r="AQ171" s="201"/>
      <c r="AR171" s="201"/>
      <c r="AS171" s="201"/>
      <c r="AT171" s="201"/>
      <c r="AU171" s="201"/>
      <c r="AZ171" s="201"/>
    </row>
    <row r="172" spans="2:52">
      <c r="B172" s="422"/>
      <c r="C172" s="1249"/>
      <c r="D172" s="1249"/>
      <c r="E172" s="1249"/>
      <c r="F172" s="1249"/>
      <c r="G172" s="1249"/>
      <c r="H172" s="1249"/>
      <c r="I172" s="1249"/>
      <c r="J172" s="1249"/>
      <c r="K172" s="1249"/>
      <c r="L172" s="203"/>
      <c r="M172" s="201"/>
      <c r="N172" s="201"/>
      <c r="O172" s="209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1"/>
      <c r="AC172" s="201"/>
      <c r="AD172" s="201"/>
      <c r="AE172" s="201"/>
      <c r="AF172" s="201"/>
      <c r="AG172" s="201"/>
      <c r="AH172" s="201"/>
      <c r="AI172" s="201"/>
      <c r="AJ172" s="201"/>
      <c r="AK172" s="201"/>
      <c r="AL172" s="201"/>
      <c r="AM172" s="201"/>
      <c r="AN172" s="201"/>
      <c r="AO172" s="201"/>
      <c r="AP172" s="201"/>
      <c r="AQ172" s="201"/>
      <c r="AR172" s="201"/>
      <c r="AS172" s="201"/>
      <c r="AT172" s="201"/>
      <c r="AU172" s="201"/>
      <c r="AZ172" s="201"/>
    </row>
    <row r="174" spans="2:52">
      <c r="B174" s="28" t="s">
        <v>2</v>
      </c>
      <c r="C174" s="28"/>
      <c r="D174" s="29"/>
      <c r="E174" s="30" t="s">
        <v>511</v>
      </c>
      <c r="F174" s="31" t="s">
        <v>693</v>
      </c>
      <c r="G174" s="32"/>
      <c r="H174" s="33"/>
      <c r="I174" s="34"/>
      <c r="J174" s="35" t="s">
        <v>513</v>
      </c>
      <c r="K174" s="36" t="s">
        <v>511</v>
      </c>
      <c r="L174" s="37">
        <v>44974.666666666664</v>
      </c>
      <c r="M174" s="32"/>
      <c r="N174" s="32"/>
      <c r="O174" s="206"/>
      <c r="P174" s="205"/>
      <c r="Q174" s="202"/>
      <c r="R174" s="204"/>
      <c r="S174" s="38"/>
      <c r="T174" s="201"/>
      <c r="U174" s="201"/>
      <c r="V174" s="201"/>
      <c r="W174" s="201"/>
      <c r="X174" s="201"/>
      <c r="Y174" s="201"/>
      <c r="Z174" s="201"/>
      <c r="AA174" s="201"/>
      <c r="AB174" s="202"/>
      <c r="AC174" s="202"/>
      <c r="AD174" s="202"/>
      <c r="AE174" s="202"/>
      <c r="AF174" s="202"/>
      <c r="AG174" s="201"/>
      <c r="AH174" s="201"/>
      <c r="AI174" s="201"/>
      <c r="AJ174" s="201"/>
      <c r="AK174" s="201"/>
      <c r="AL174" s="201"/>
      <c r="AM174" s="201"/>
      <c r="AN174" s="201"/>
      <c r="AO174" s="201"/>
      <c r="AP174" s="201"/>
      <c r="AQ174" s="201"/>
      <c r="AR174" s="201"/>
      <c r="AS174" s="201"/>
      <c r="AT174" s="201"/>
      <c r="AU174" s="201"/>
      <c r="AV174" s="201"/>
      <c r="AW174" s="201"/>
      <c r="AX174" s="201"/>
      <c r="AY174" s="201"/>
      <c r="AZ174" s="201"/>
    </row>
    <row r="175" spans="2:52">
      <c r="B175" s="35" t="s">
        <v>514</v>
      </c>
      <c r="C175" s="35"/>
      <c r="D175" s="32"/>
      <c r="E175" s="36" t="s">
        <v>511</v>
      </c>
      <c r="F175" s="37" t="s">
        <v>890</v>
      </c>
      <c r="G175" s="32"/>
      <c r="H175" s="33"/>
      <c r="I175" s="34"/>
      <c r="J175" s="35" t="s">
        <v>516</v>
      </c>
      <c r="K175" s="36" t="s">
        <v>511</v>
      </c>
      <c r="L175" s="37">
        <v>44976.864583333336</v>
      </c>
      <c r="M175" s="32"/>
      <c r="N175" s="32"/>
      <c r="O175" s="206"/>
      <c r="P175" s="205"/>
      <c r="Q175" s="202"/>
      <c r="R175" s="204"/>
      <c r="S175" s="38"/>
      <c r="T175" s="201"/>
      <c r="U175" s="201"/>
      <c r="V175" s="201"/>
      <c r="W175" s="201"/>
      <c r="X175" s="201"/>
      <c r="Y175" s="201"/>
      <c r="Z175" s="201"/>
      <c r="AA175" s="201"/>
      <c r="AB175" s="202"/>
      <c r="AC175" s="202"/>
      <c r="AD175" s="202"/>
      <c r="AE175" s="202"/>
      <c r="AF175" s="202"/>
      <c r="AG175" s="201"/>
      <c r="AH175" s="201"/>
      <c r="AI175" s="201"/>
      <c r="AJ175" s="201"/>
      <c r="AK175" s="201"/>
      <c r="AL175" s="201"/>
      <c r="AM175" s="201"/>
      <c r="AN175" s="201"/>
      <c r="AO175" s="201"/>
      <c r="AP175" s="201"/>
      <c r="AQ175" s="201"/>
      <c r="AR175" s="201"/>
      <c r="AS175" s="201"/>
      <c r="AT175" s="201"/>
      <c r="AU175" s="201"/>
      <c r="AV175" s="201"/>
      <c r="AW175" s="201"/>
      <c r="AX175" s="201"/>
      <c r="AY175" s="201"/>
      <c r="AZ175" s="201"/>
    </row>
    <row r="176" spans="2:52">
      <c r="B176" s="35" t="s">
        <v>517</v>
      </c>
      <c r="C176" s="35"/>
      <c r="D176" s="32"/>
      <c r="E176" s="36" t="s">
        <v>511</v>
      </c>
      <c r="F176" s="37">
        <v>44973.999305555553</v>
      </c>
      <c r="G176" s="32"/>
      <c r="H176" s="33"/>
      <c r="I176" s="34"/>
      <c r="J176" s="35" t="s">
        <v>518</v>
      </c>
      <c r="K176" s="36" t="s">
        <v>511</v>
      </c>
      <c r="L176" s="50">
        <v>70100</v>
      </c>
      <c r="M176" s="40" t="s">
        <v>519</v>
      </c>
      <c r="N176" s="40"/>
      <c r="O176" s="206"/>
      <c r="P176" s="205"/>
      <c r="Q176" s="202"/>
      <c r="R176" s="204"/>
      <c r="S176" s="38"/>
      <c r="T176" s="201"/>
      <c r="U176" s="201"/>
      <c r="V176" s="201"/>
      <c r="W176" s="201"/>
      <c r="X176" s="201"/>
      <c r="Y176" s="201"/>
      <c r="Z176" s="201"/>
      <c r="AA176" s="201"/>
      <c r="AB176" s="202"/>
      <c r="AC176" s="202"/>
      <c r="AD176" s="202"/>
      <c r="AE176" s="202"/>
      <c r="AF176" s="202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  <c r="AQ176" s="201"/>
      <c r="AR176" s="201"/>
      <c r="AS176" s="201"/>
      <c r="AT176" s="201"/>
      <c r="AU176" s="201"/>
      <c r="AV176" s="201"/>
      <c r="AW176" s="201"/>
      <c r="AX176" s="201"/>
      <c r="AY176" s="201"/>
      <c r="AZ176" s="201"/>
    </row>
    <row r="177" spans="2:52">
      <c r="B177" s="35" t="s">
        <v>520</v>
      </c>
      <c r="C177" s="35"/>
      <c r="D177" s="32"/>
      <c r="E177" s="36" t="s">
        <v>511</v>
      </c>
      <c r="F177" s="37" t="s">
        <v>4</v>
      </c>
      <c r="G177" s="32"/>
      <c r="H177" s="33"/>
      <c r="I177" s="34"/>
      <c r="J177" s="35" t="s">
        <v>521</v>
      </c>
      <c r="K177" s="36" t="s">
        <v>511</v>
      </c>
      <c r="L177" s="41" t="s">
        <v>891</v>
      </c>
      <c r="M177" s="32"/>
      <c r="N177" s="32"/>
      <c r="O177" s="206"/>
      <c r="P177" s="202"/>
      <c r="Q177" s="202"/>
      <c r="R177" s="204"/>
      <c r="S177" s="38"/>
      <c r="T177" s="201"/>
      <c r="U177" s="201"/>
      <c r="V177" s="201"/>
      <c r="W177" s="201"/>
      <c r="X177" s="201"/>
      <c r="Y177" s="201"/>
      <c r="Z177" s="201"/>
      <c r="AA177" s="201"/>
      <c r="AB177" s="202"/>
      <c r="AC177" s="202"/>
      <c r="AD177" s="202"/>
      <c r="AE177" s="202"/>
      <c r="AF177" s="202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  <c r="AQ177" s="201"/>
      <c r="AR177" s="201"/>
      <c r="AS177" s="201"/>
      <c r="AT177" s="201"/>
      <c r="AU177" s="201"/>
      <c r="AV177" s="201"/>
      <c r="AW177" s="201"/>
      <c r="AX177" s="201"/>
      <c r="AY177" s="201"/>
      <c r="AZ177" s="201"/>
    </row>
    <row r="178" spans="2:52">
      <c r="B178" s="35" t="s">
        <v>523</v>
      </c>
      <c r="C178" s="35"/>
      <c r="D178" s="32"/>
      <c r="E178" s="36" t="s">
        <v>511</v>
      </c>
      <c r="F178" s="37" t="s">
        <v>5</v>
      </c>
      <c r="G178" s="32"/>
      <c r="H178" s="33"/>
      <c r="I178" s="34"/>
      <c r="J178" s="42" t="s">
        <v>524</v>
      </c>
      <c r="K178" s="36" t="s">
        <v>511</v>
      </c>
      <c r="L178" s="43" t="s">
        <v>15</v>
      </c>
      <c r="M178" s="44"/>
      <c r="N178" s="44"/>
      <c r="O178" s="206"/>
      <c r="P178" s="205"/>
      <c r="Q178" s="202"/>
      <c r="R178" s="204"/>
      <c r="S178" s="38"/>
      <c r="T178" s="201"/>
      <c r="U178" s="201"/>
      <c r="V178" s="201"/>
      <c r="W178" s="201"/>
      <c r="X178" s="201"/>
      <c r="Y178" s="201"/>
      <c r="Z178" s="201"/>
      <c r="AA178" s="201"/>
      <c r="AB178" s="202"/>
      <c r="AC178" s="202"/>
      <c r="AD178" s="202"/>
      <c r="AE178" s="202"/>
      <c r="AF178" s="202"/>
      <c r="AG178" s="201"/>
      <c r="AH178" s="201"/>
      <c r="AI178" s="201"/>
      <c r="AJ178" s="201"/>
      <c r="AK178" s="201"/>
      <c r="AL178" s="201"/>
      <c r="AM178" s="201"/>
      <c r="AN178" s="201"/>
      <c r="AO178" s="201"/>
      <c r="AP178" s="201"/>
      <c r="AQ178" s="201"/>
      <c r="AR178" s="201"/>
      <c r="AS178" s="201"/>
      <c r="AT178" s="201"/>
      <c r="AU178" s="201"/>
      <c r="AV178" s="201"/>
      <c r="AW178" s="201"/>
      <c r="AX178" s="201"/>
      <c r="AY178" s="201"/>
      <c r="AZ178" s="201"/>
    </row>
    <row r="179" spans="2:52">
      <c r="B179" s="35" t="s">
        <v>2</v>
      </c>
      <c r="C179" s="35"/>
      <c r="D179" s="32"/>
      <c r="E179" s="36" t="s">
        <v>511</v>
      </c>
      <c r="F179" s="37" t="s">
        <v>6</v>
      </c>
      <c r="G179" s="32"/>
      <c r="H179" s="33"/>
      <c r="I179" s="45"/>
      <c r="J179" s="42"/>
      <c r="K179" s="36"/>
      <c r="L179" s="211"/>
      <c r="M179" s="201"/>
      <c r="N179" s="201"/>
      <c r="O179" s="42"/>
      <c r="P179" s="44"/>
      <c r="Q179" s="44"/>
      <c r="R179" s="44"/>
      <c r="S179" s="34"/>
      <c r="T179" s="201"/>
      <c r="U179" s="201"/>
      <c r="V179" s="201"/>
      <c r="W179" s="201"/>
      <c r="X179" s="201"/>
      <c r="Y179" s="201"/>
      <c r="Z179" s="201"/>
      <c r="AA179" s="201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201"/>
      <c r="AP179" s="201"/>
      <c r="AQ179" s="201"/>
      <c r="AR179" s="201"/>
      <c r="AS179" s="201"/>
      <c r="AT179" s="201"/>
      <c r="AU179" s="201"/>
      <c r="AV179" s="201"/>
      <c r="AW179" s="201"/>
      <c r="AX179" s="201"/>
      <c r="AY179" s="201"/>
      <c r="AZ179" s="201"/>
    </row>
    <row r="180" spans="2:52">
      <c r="B180" s="201"/>
      <c r="C180" s="201"/>
      <c r="D180" s="201"/>
      <c r="E180" s="201"/>
      <c r="F180" s="201"/>
      <c r="G180" s="201"/>
      <c r="H180" s="201"/>
      <c r="I180" s="45"/>
      <c r="J180" s="42"/>
      <c r="K180" s="42"/>
      <c r="L180" s="43"/>
      <c r="M180" s="44"/>
      <c r="N180" s="44"/>
      <c r="O180" s="42"/>
      <c r="P180" s="44"/>
      <c r="Q180" s="44"/>
      <c r="R180" s="44"/>
      <c r="S180" s="34"/>
      <c r="T180" s="1265" t="s">
        <v>87</v>
      </c>
      <c r="U180" s="1265"/>
      <c r="V180" s="1265"/>
      <c r="W180" s="1265"/>
      <c r="X180" s="1265"/>
      <c r="Y180" s="1265" t="s">
        <v>73</v>
      </c>
      <c r="Z180" s="1265"/>
      <c r="AA180" s="1265"/>
      <c r="AB180" s="1265" t="s">
        <v>74</v>
      </c>
      <c r="AC180" s="1265"/>
      <c r="AD180" s="423" t="s">
        <v>85</v>
      </c>
      <c r="AE180" s="423" t="s">
        <v>77</v>
      </c>
      <c r="AF180" s="1265" t="s">
        <v>525</v>
      </c>
      <c r="AG180" s="1265"/>
      <c r="AH180" s="1265"/>
      <c r="AI180" s="1265"/>
      <c r="AJ180" s="1265"/>
      <c r="AK180" s="1265"/>
      <c r="AL180" s="1265"/>
      <c r="AM180" s="1265"/>
      <c r="AN180" s="1265"/>
      <c r="AO180" s="1265"/>
      <c r="AP180" s="1265"/>
      <c r="AQ180" s="1265"/>
      <c r="AR180" s="1265"/>
      <c r="AS180" s="1265"/>
      <c r="AT180" s="1265"/>
      <c r="AU180" s="1265"/>
      <c r="AV180" s="1265"/>
      <c r="AW180" s="1265"/>
      <c r="AX180" s="1265"/>
      <c r="AY180" s="1265"/>
      <c r="AZ180" s="201"/>
    </row>
    <row r="181" spans="2:52">
      <c r="B181" s="1266" t="s">
        <v>526</v>
      </c>
      <c r="C181" s="1267"/>
      <c r="D181" s="570" t="s">
        <v>527</v>
      </c>
      <c r="E181" s="570"/>
      <c r="F181" s="570" t="s">
        <v>528</v>
      </c>
      <c r="G181" s="570" t="s">
        <v>529</v>
      </c>
      <c r="H181" s="570" t="s">
        <v>530</v>
      </c>
      <c r="I181" s="570" t="s">
        <v>531</v>
      </c>
      <c r="J181" s="570" t="s">
        <v>532</v>
      </c>
      <c r="K181" s="570"/>
      <c r="L181" s="570" t="s">
        <v>130</v>
      </c>
      <c r="M181" s="570" t="s">
        <v>533</v>
      </c>
      <c r="N181" s="408" t="str">
        <f>"On time - "&amp;COUNTIF(N182:N197,"On time")&amp;" from "&amp;ROWS(N182:N197)-COUNTIF(N182:N197," ")</f>
        <v>On time - 9 from 9</v>
      </c>
      <c r="O181" s="46"/>
      <c r="P181" s="409" t="s">
        <v>534</v>
      </c>
      <c r="Q181" s="409" t="s">
        <v>535</v>
      </c>
      <c r="R181" s="409" t="s">
        <v>536</v>
      </c>
      <c r="S181" s="32"/>
      <c r="T181" s="424" t="s">
        <v>537</v>
      </c>
      <c r="U181" s="424" t="s">
        <v>538</v>
      </c>
      <c r="V181" s="424" t="s">
        <v>539</v>
      </c>
      <c r="W181" s="424" t="s">
        <v>540</v>
      </c>
      <c r="X181" s="424" t="s">
        <v>541</v>
      </c>
      <c r="Y181" s="424" t="s">
        <v>167</v>
      </c>
      <c r="Z181" s="424" t="s">
        <v>168</v>
      </c>
      <c r="AA181" s="424" t="s">
        <v>169</v>
      </c>
      <c r="AB181" s="424" t="s">
        <v>235</v>
      </c>
      <c r="AC181" s="424" t="s">
        <v>542</v>
      </c>
      <c r="AD181" s="423" t="s">
        <v>85</v>
      </c>
      <c r="AE181" s="424" t="s">
        <v>139</v>
      </c>
      <c r="AF181" s="424" t="s">
        <v>72</v>
      </c>
      <c r="AG181" s="424" t="s">
        <v>88</v>
      </c>
      <c r="AH181" s="424" t="s">
        <v>75</v>
      </c>
      <c r="AI181" s="424" t="s">
        <v>543</v>
      </c>
      <c r="AJ181" s="424" t="s">
        <v>78</v>
      </c>
      <c r="AK181" s="424" t="s">
        <v>76</v>
      </c>
      <c r="AL181" s="424" t="s">
        <v>544</v>
      </c>
      <c r="AM181" s="424" t="s">
        <v>545</v>
      </c>
      <c r="AN181" s="424" t="s">
        <v>86</v>
      </c>
      <c r="AO181" s="424" t="s">
        <v>83</v>
      </c>
      <c r="AP181" s="424" t="s">
        <v>84</v>
      </c>
      <c r="AQ181" s="424" t="s">
        <v>546</v>
      </c>
      <c r="AR181" s="424" t="s">
        <v>81</v>
      </c>
      <c r="AS181" s="424" t="s">
        <v>80</v>
      </c>
      <c r="AT181" s="424" t="s">
        <v>82</v>
      </c>
      <c r="AU181" s="424" t="s">
        <v>181</v>
      </c>
      <c r="AV181" s="424" t="s">
        <v>183</v>
      </c>
      <c r="AW181" s="424" t="s">
        <v>547</v>
      </c>
      <c r="AX181" s="424" t="s">
        <v>182</v>
      </c>
      <c r="AY181" s="424" t="s">
        <v>172</v>
      </c>
      <c r="AZ181" s="201"/>
    </row>
    <row r="182" spans="2:52">
      <c r="B182" s="1256" t="s">
        <v>616</v>
      </c>
      <c r="C182" s="1257"/>
      <c r="D182" s="411" t="s">
        <v>772</v>
      </c>
      <c r="E182" s="411"/>
      <c r="F182" s="411" t="s">
        <v>339</v>
      </c>
      <c r="G182" s="411" t="s">
        <v>340</v>
      </c>
      <c r="H182" s="412">
        <v>7500</v>
      </c>
      <c r="I182" s="413" t="s">
        <v>76</v>
      </c>
      <c r="J182" s="414">
        <v>44973.729166666664</v>
      </c>
      <c r="K182" s="414"/>
      <c r="L182" s="414" t="s">
        <v>192</v>
      </c>
      <c r="M182" s="414" t="s">
        <v>192</v>
      </c>
      <c r="N182" s="413" t="str">
        <f>IF(ISBLANK(J182)," ",IF(J182&lt;$F$176,"On time",(IF(DAY(J182-$F$176)&lt;1,"On time",(IF(J182&gt;$F$176,"DELAY ( "&amp;DAY(J182-$F$176)&amp;" day "&amp;HOUR(J182-$F$176)&amp;" hour "&amp;MINUTE(J182-$F$176)&amp;" minute )","xxx"))))))</f>
        <v>On time</v>
      </c>
      <c r="O182" s="51"/>
      <c r="P182" s="415" t="s">
        <v>551</v>
      </c>
      <c r="Q182" s="415" t="s">
        <v>551</v>
      </c>
      <c r="R182" s="415" t="s">
        <v>551</v>
      </c>
      <c r="S182" s="32"/>
      <c r="T182" s="416"/>
      <c r="U182" s="416"/>
      <c r="V182" s="416"/>
      <c r="W182" s="416"/>
      <c r="X182" s="416"/>
      <c r="Y182" s="416"/>
      <c r="Z182" s="416"/>
      <c r="AA182" s="416"/>
      <c r="AB182" s="416"/>
      <c r="AC182" s="416"/>
      <c r="AD182" s="416"/>
      <c r="AE182" s="416"/>
      <c r="AF182" s="416"/>
      <c r="AG182" s="416"/>
      <c r="AH182" s="416"/>
      <c r="AI182" s="416"/>
      <c r="AJ182" s="416"/>
      <c r="AK182" s="416">
        <f>H182</f>
        <v>7500</v>
      </c>
      <c r="AL182" s="416"/>
      <c r="AM182" s="416"/>
      <c r="AN182" s="416"/>
      <c r="AO182" s="416"/>
      <c r="AP182" s="416"/>
      <c r="AQ182" s="416"/>
      <c r="AR182" s="416"/>
      <c r="AS182" s="416"/>
      <c r="AT182" s="416"/>
      <c r="AU182" s="416"/>
      <c r="AV182" s="416"/>
      <c r="AW182" s="416"/>
      <c r="AX182" s="416"/>
      <c r="AY182" s="416"/>
      <c r="AZ182" s="32"/>
    </row>
    <row r="183" spans="2:52">
      <c r="B183" s="1258" t="s">
        <v>618</v>
      </c>
      <c r="C183" s="1259"/>
      <c r="D183" s="1259"/>
      <c r="E183" s="1259"/>
      <c r="F183" s="1259"/>
      <c r="G183" s="1260"/>
      <c r="H183" s="417">
        <f>SUM(H182)</f>
        <v>7500</v>
      </c>
      <c r="I183" s="390"/>
      <c r="J183" s="367"/>
      <c r="K183" s="366"/>
      <c r="L183" s="366"/>
      <c r="M183" s="391"/>
      <c r="N183" s="413" t="str">
        <f t="shared" ref="N183:N200" si="13">IF(ISBLANK(J183)," ",IF(J183&lt;$F$176,"On time",(IF(DAY(J183-$F$176)&lt;1,"On time",(IF(J183&gt;$F$176,"DELAY ( "&amp;DAY(J183-$F$176)&amp;" day "&amp;HOUR(J183-$F$176)&amp;" hour "&amp;MINUTE(J183-$F$176)&amp;" minute )","xxx"))))))</f>
        <v xml:space="preserve"> </v>
      </c>
      <c r="O183" s="212"/>
      <c r="P183" s="427"/>
      <c r="Q183" s="427"/>
      <c r="R183" s="427"/>
      <c r="S183" s="207"/>
      <c r="T183" s="428"/>
      <c r="U183" s="428"/>
      <c r="V183" s="428"/>
      <c r="W183" s="428"/>
      <c r="X183" s="428"/>
      <c r="Y183" s="428"/>
      <c r="Z183" s="428"/>
      <c r="AA183" s="428"/>
      <c r="AB183" s="428"/>
      <c r="AC183" s="429"/>
      <c r="AD183" s="429"/>
      <c r="AE183" s="428"/>
      <c r="AF183" s="428"/>
      <c r="AG183" s="428"/>
      <c r="AH183" s="428"/>
      <c r="AI183" s="428"/>
      <c r="AJ183" s="428"/>
      <c r="AK183" s="428"/>
      <c r="AL183" s="428"/>
      <c r="AM183" s="428"/>
      <c r="AN183" s="428"/>
      <c r="AO183" s="428"/>
      <c r="AP183" s="428"/>
      <c r="AQ183" s="428"/>
      <c r="AR183" s="428"/>
      <c r="AS183" s="428"/>
      <c r="AT183" s="428"/>
      <c r="AU183" s="428"/>
      <c r="AV183" s="428"/>
      <c r="AW183" s="428"/>
      <c r="AX183" s="428"/>
      <c r="AY183" s="428"/>
    </row>
    <row r="184" spans="2:52">
      <c r="B184" s="1256" t="s">
        <v>619</v>
      </c>
      <c r="C184" s="1257"/>
      <c r="D184" s="411" t="s">
        <v>708</v>
      </c>
      <c r="E184" s="411"/>
      <c r="F184" s="411" t="s">
        <v>233</v>
      </c>
      <c r="G184" s="411" t="s">
        <v>234</v>
      </c>
      <c r="H184" s="412">
        <v>7614.3180000000002</v>
      </c>
      <c r="I184" s="413" t="s">
        <v>240</v>
      </c>
      <c r="J184" s="414">
        <v>44974.5</v>
      </c>
      <c r="K184" s="414"/>
      <c r="L184" s="414" t="s">
        <v>192</v>
      </c>
      <c r="M184" s="414" t="s">
        <v>192</v>
      </c>
      <c r="N184" s="413" t="str">
        <f t="shared" si="13"/>
        <v>On time</v>
      </c>
      <c r="O184" s="51"/>
      <c r="P184" s="415" t="s">
        <v>551</v>
      </c>
      <c r="Q184" s="415" t="s">
        <v>551</v>
      </c>
      <c r="R184" s="415" t="s">
        <v>551</v>
      </c>
      <c r="S184" s="32"/>
      <c r="T184" s="416"/>
      <c r="U184" s="416"/>
      <c r="V184" s="416"/>
      <c r="W184" s="416"/>
      <c r="X184" s="416"/>
      <c r="Y184" s="416"/>
      <c r="Z184" s="416"/>
      <c r="AA184" s="416"/>
      <c r="AB184" s="416"/>
      <c r="AC184" s="416">
        <f>H184</f>
        <v>7614.3180000000002</v>
      </c>
      <c r="AD184" s="416"/>
      <c r="AE184" s="416"/>
      <c r="AF184" s="416"/>
      <c r="AG184" s="416"/>
      <c r="AH184" s="416"/>
      <c r="AI184" s="416"/>
      <c r="AJ184" s="416"/>
      <c r="AK184" s="416"/>
      <c r="AL184" s="416"/>
      <c r="AM184" s="416"/>
      <c r="AN184" s="416"/>
      <c r="AO184" s="416"/>
      <c r="AP184" s="416"/>
      <c r="AQ184" s="416"/>
      <c r="AR184" s="416"/>
      <c r="AS184" s="416"/>
      <c r="AT184" s="416"/>
      <c r="AU184" s="416"/>
      <c r="AV184" s="416"/>
      <c r="AW184" s="416"/>
      <c r="AX184" s="416"/>
      <c r="AY184" s="416"/>
      <c r="AZ184" s="32"/>
    </row>
    <row r="185" spans="2:52">
      <c r="B185" s="1256" t="s">
        <v>621</v>
      </c>
      <c r="C185" s="1257"/>
      <c r="D185" s="411" t="s">
        <v>712</v>
      </c>
      <c r="E185" s="411"/>
      <c r="F185" s="411" t="s">
        <v>390</v>
      </c>
      <c r="G185" s="411" t="s">
        <v>391</v>
      </c>
      <c r="H185" s="412">
        <v>7570.4</v>
      </c>
      <c r="I185" s="413" t="s">
        <v>240</v>
      </c>
      <c r="J185" s="414">
        <v>44973.416666666664</v>
      </c>
      <c r="K185" s="414"/>
      <c r="L185" s="414" t="s">
        <v>192</v>
      </c>
      <c r="M185" s="414" t="s">
        <v>192</v>
      </c>
      <c r="N185" s="413" t="str">
        <f t="shared" si="13"/>
        <v>On time</v>
      </c>
      <c r="O185" s="51"/>
      <c r="P185" s="415" t="s">
        <v>551</v>
      </c>
      <c r="Q185" s="415" t="s">
        <v>551</v>
      </c>
      <c r="R185" s="415" t="s">
        <v>551</v>
      </c>
      <c r="S185" s="32"/>
      <c r="T185" s="416"/>
      <c r="U185" s="416"/>
      <c r="V185" s="416"/>
      <c r="W185" s="416"/>
      <c r="X185" s="416"/>
      <c r="Y185" s="416"/>
      <c r="Z185" s="416"/>
      <c r="AA185" s="416"/>
      <c r="AB185" s="416"/>
      <c r="AC185" s="416">
        <f>H185</f>
        <v>7570.4</v>
      </c>
      <c r="AD185" s="416"/>
      <c r="AE185" s="416"/>
      <c r="AF185" s="416"/>
      <c r="AG185" s="416"/>
      <c r="AH185" s="416"/>
      <c r="AI185" s="416"/>
      <c r="AJ185" s="416"/>
      <c r="AK185" s="416"/>
      <c r="AL185" s="416"/>
      <c r="AM185" s="416"/>
      <c r="AN185" s="416"/>
      <c r="AO185" s="416"/>
      <c r="AP185" s="416"/>
      <c r="AQ185" s="416"/>
      <c r="AR185" s="416"/>
      <c r="AS185" s="416"/>
      <c r="AT185" s="416"/>
      <c r="AU185" s="416"/>
      <c r="AV185" s="416"/>
      <c r="AW185" s="416"/>
      <c r="AX185" s="416"/>
      <c r="AY185" s="416"/>
      <c r="AZ185" s="32"/>
    </row>
    <row r="186" spans="2:52">
      <c r="B186" s="1250" t="s">
        <v>622</v>
      </c>
      <c r="C186" s="1251"/>
      <c r="D186" s="411" t="s">
        <v>710</v>
      </c>
      <c r="E186" s="411"/>
      <c r="F186" s="411" t="s">
        <v>218</v>
      </c>
      <c r="G186" s="411" t="s">
        <v>219</v>
      </c>
      <c r="H186" s="412">
        <v>7454.884</v>
      </c>
      <c r="I186" s="413" t="s">
        <v>240</v>
      </c>
      <c r="J186" s="414">
        <v>44973.489583333336</v>
      </c>
      <c r="K186" s="414"/>
      <c r="L186" s="414" t="s">
        <v>192</v>
      </c>
      <c r="M186" s="414" t="s">
        <v>192</v>
      </c>
      <c r="N186" s="413" t="str">
        <f t="shared" si="13"/>
        <v>On time</v>
      </c>
      <c r="O186" s="51"/>
      <c r="P186" s="415" t="s">
        <v>551</v>
      </c>
      <c r="Q186" s="415" t="s">
        <v>551</v>
      </c>
      <c r="R186" s="415" t="s">
        <v>551</v>
      </c>
      <c r="S186" s="32"/>
      <c r="T186" s="416"/>
      <c r="U186" s="416"/>
      <c r="V186" s="416"/>
      <c r="W186" s="416"/>
      <c r="X186" s="416"/>
      <c r="Y186" s="416"/>
      <c r="Z186" s="416"/>
      <c r="AA186" s="416"/>
      <c r="AB186" s="416"/>
      <c r="AC186" s="416">
        <f>H186</f>
        <v>7454.884</v>
      </c>
      <c r="AD186" s="416"/>
      <c r="AE186" s="416"/>
      <c r="AF186" s="416"/>
      <c r="AG186" s="416"/>
      <c r="AH186" s="416"/>
      <c r="AI186" s="416"/>
      <c r="AJ186" s="416"/>
      <c r="AK186" s="416"/>
      <c r="AL186" s="416"/>
      <c r="AM186" s="416"/>
      <c r="AN186" s="416"/>
      <c r="AO186" s="416"/>
      <c r="AP186" s="416"/>
      <c r="AQ186" s="416"/>
      <c r="AR186" s="416"/>
      <c r="AS186" s="416"/>
      <c r="AT186" s="416"/>
      <c r="AU186" s="416"/>
      <c r="AV186" s="416"/>
      <c r="AW186" s="416"/>
      <c r="AX186" s="416"/>
      <c r="AY186" s="416"/>
      <c r="AZ186" s="32"/>
    </row>
    <row r="187" spans="2:52">
      <c r="B187" s="1254"/>
      <c r="C187" s="1255"/>
      <c r="D187" s="411"/>
      <c r="E187" s="411"/>
      <c r="F187" s="1256" t="s">
        <v>616</v>
      </c>
      <c r="G187" s="1257"/>
      <c r="H187" s="412">
        <v>1000</v>
      </c>
      <c r="I187" s="413"/>
      <c r="J187" s="414"/>
      <c r="K187" s="414"/>
      <c r="L187" s="414"/>
      <c r="M187" s="414"/>
      <c r="N187" s="413" t="str">
        <f t="shared" si="13"/>
        <v xml:space="preserve"> </v>
      </c>
      <c r="O187" s="51"/>
      <c r="P187" s="415"/>
      <c r="Q187" s="415"/>
      <c r="R187" s="415"/>
      <c r="S187" s="32"/>
      <c r="T187" s="416"/>
      <c r="U187" s="416"/>
      <c r="V187" s="416"/>
      <c r="W187" s="416"/>
      <c r="X187" s="416"/>
      <c r="Y187" s="416"/>
      <c r="Z187" s="416"/>
      <c r="AA187" s="416"/>
      <c r="AB187" s="416"/>
      <c r="AC187" s="416"/>
      <c r="AD187" s="416"/>
      <c r="AE187" s="416"/>
      <c r="AF187" s="416"/>
      <c r="AG187" s="416"/>
      <c r="AH187" s="416"/>
      <c r="AI187" s="416"/>
      <c r="AJ187" s="416"/>
      <c r="AK187" s="416"/>
      <c r="AL187" s="416"/>
      <c r="AM187" s="416"/>
      <c r="AN187" s="416"/>
      <c r="AO187" s="416"/>
      <c r="AP187" s="416"/>
      <c r="AQ187" s="416"/>
      <c r="AR187" s="416"/>
      <c r="AS187" s="416"/>
      <c r="AT187" s="416"/>
      <c r="AU187" s="416"/>
      <c r="AV187" s="416"/>
      <c r="AW187" s="416"/>
      <c r="AX187" s="416"/>
      <c r="AY187" s="416"/>
      <c r="AZ187" s="32"/>
    </row>
    <row r="188" spans="2:52">
      <c r="B188" s="1250" t="s">
        <v>623</v>
      </c>
      <c r="C188" s="1251"/>
      <c r="D188" s="411" t="s">
        <v>694</v>
      </c>
      <c r="E188" s="411"/>
      <c r="F188" s="411" t="s">
        <v>695</v>
      </c>
      <c r="G188" s="411" t="s">
        <v>281</v>
      </c>
      <c r="H188" s="412">
        <v>7634.335</v>
      </c>
      <c r="I188" s="413" t="s">
        <v>240</v>
      </c>
      <c r="J188" s="414">
        <v>44973.729166666664</v>
      </c>
      <c r="K188" s="414"/>
      <c r="L188" s="414" t="s">
        <v>192</v>
      </c>
      <c r="M188" s="414" t="s">
        <v>192</v>
      </c>
      <c r="N188" s="413" t="str">
        <f t="shared" si="13"/>
        <v>On time</v>
      </c>
      <c r="O188" s="51"/>
      <c r="P188" s="415" t="s">
        <v>551</v>
      </c>
      <c r="Q188" s="415" t="s">
        <v>551</v>
      </c>
      <c r="R188" s="415" t="s">
        <v>551</v>
      </c>
      <c r="S188" s="32"/>
      <c r="T188" s="416"/>
      <c r="U188" s="416"/>
      <c r="V188" s="416"/>
      <c r="W188" s="416"/>
      <c r="X188" s="416"/>
      <c r="Y188" s="416"/>
      <c r="Z188" s="416"/>
      <c r="AA188" s="416"/>
      <c r="AB188" s="416"/>
      <c r="AC188" s="416">
        <f>H188</f>
        <v>7634.335</v>
      </c>
      <c r="AD188" s="416"/>
      <c r="AE188" s="416"/>
      <c r="AF188" s="416"/>
      <c r="AG188" s="416"/>
      <c r="AH188" s="416"/>
      <c r="AI188" s="416"/>
      <c r="AJ188" s="416"/>
      <c r="AK188" s="416"/>
      <c r="AL188" s="416"/>
      <c r="AM188" s="416"/>
      <c r="AN188" s="416"/>
      <c r="AO188" s="416"/>
      <c r="AP188" s="416"/>
      <c r="AQ188" s="416"/>
      <c r="AR188" s="416"/>
      <c r="AS188" s="416"/>
      <c r="AT188" s="416"/>
      <c r="AU188" s="416"/>
      <c r="AV188" s="416"/>
      <c r="AW188" s="416"/>
      <c r="AX188" s="416"/>
      <c r="AY188" s="416"/>
      <c r="AZ188" s="32"/>
    </row>
    <row r="189" spans="2:52">
      <c r="B189" s="1254"/>
      <c r="C189" s="1255"/>
      <c r="D189" s="411"/>
      <c r="E189" s="411"/>
      <c r="F189" s="1256" t="s">
        <v>616</v>
      </c>
      <c r="G189" s="1257"/>
      <c r="H189" s="412">
        <v>1000</v>
      </c>
      <c r="I189" s="413"/>
      <c r="J189" s="414"/>
      <c r="K189" s="414"/>
      <c r="L189" s="414"/>
      <c r="M189" s="414"/>
      <c r="N189" s="413" t="str">
        <f t="shared" si="13"/>
        <v xml:space="preserve"> </v>
      </c>
      <c r="O189" s="51"/>
      <c r="P189" s="415"/>
      <c r="Q189" s="415"/>
      <c r="R189" s="415"/>
      <c r="S189" s="32"/>
      <c r="T189" s="416"/>
      <c r="U189" s="416"/>
      <c r="V189" s="416"/>
      <c r="W189" s="416"/>
      <c r="X189" s="416"/>
      <c r="Y189" s="416"/>
      <c r="Z189" s="416"/>
      <c r="AA189" s="416"/>
      <c r="AB189" s="416"/>
      <c r="AC189" s="416"/>
      <c r="AD189" s="416"/>
      <c r="AE189" s="416"/>
      <c r="AF189" s="416"/>
      <c r="AG189" s="416"/>
      <c r="AH189" s="416"/>
      <c r="AI189" s="416"/>
      <c r="AJ189" s="416"/>
      <c r="AK189" s="416"/>
      <c r="AL189" s="416"/>
      <c r="AM189" s="416"/>
      <c r="AN189" s="416"/>
      <c r="AO189" s="416"/>
      <c r="AP189" s="416"/>
      <c r="AQ189" s="416"/>
      <c r="AR189" s="416"/>
      <c r="AS189" s="416"/>
      <c r="AT189" s="416"/>
      <c r="AU189" s="416"/>
      <c r="AV189" s="416"/>
      <c r="AW189" s="416"/>
      <c r="AX189" s="416"/>
      <c r="AY189" s="416"/>
      <c r="AZ189" s="32"/>
    </row>
    <row r="190" spans="2:52">
      <c r="B190" s="1250" t="s">
        <v>624</v>
      </c>
      <c r="C190" s="1251"/>
      <c r="D190" s="411" t="s">
        <v>705</v>
      </c>
      <c r="E190" s="411"/>
      <c r="F190" s="411" t="s">
        <v>343</v>
      </c>
      <c r="G190" s="411" t="s">
        <v>344</v>
      </c>
      <c r="H190" s="412">
        <v>7462.1210000000001</v>
      </c>
      <c r="I190" s="413" t="s">
        <v>240</v>
      </c>
      <c r="J190" s="414">
        <v>44974.354166666664</v>
      </c>
      <c r="K190" s="414"/>
      <c r="L190" s="414" t="s">
        <v>192</v>
      </c>
      <c r="M190" s="414" t="s">
        <v>192</v>
      </c>
      <c r="N190" s="413" t="str">
        <f t="shared" si="13"/>
        <v>On time</v>
      </c>
      <c r="O190" s="51"/>
      <c r="P190" s="415" t="s">
        <v>551</v>
      </c>
      <c r="Q190" s="415" t="s">
        <v>551</v>
      </c>
      <c r="R190" s="415" t="s">
        <v>551</v>
      </c>
      <c r="S190" s="32"/>
      <c r="T190" s="416"/>
      <c r="U190" s="416"/>
      <c r="V190" s="416"/>
      <c r="W190" s="416"/>
      <c r="X190" s="416"/>
      <c r="Y190" s="416"/>
      <c r="Z190" s="416"/>
      <c r="AA190" s="416"/>
      <c r="AB190" s="416"/>
      <c r="AC190" s="416">
        <f>H190</f>
        <v>7462.1210000000001</v>
      </c>
      <c r="AD190" s="416"/>
      <c r="AE190" s="416"/>
      <c r="AF190" s="416"/>
      <c r="AG190" s="416"/>
      <c r="AH190" s="416"/>
      <c r="AI190" s="416"/>
      <c r="AJ190" s="416"/>
      <c r="AK190" s="416"/>
      <c r="AL190" s="416"/>
      <c r="AM190" s="416"/>
      <c r="AN190" s="416"/>
      <c r="AO190" s="416"/>
      <c r="AP190" s="416"/>
      <c r="AQ190" s="416"/>
      <c r="AR190" s="416"/>
      <c r="AS190" s="416"/>
      <c r="AT190" s="416"/>
      <c r="AU190" s="416"/>
      <c r="AV190" s="416"/>
      <c r="AW190" s="416"/>
      <c r="AX190" s="416"/>
      <c r="AY190" s="416"/>
      <c r="AZ190" s="32"/>
    </row>
    <row r="191" spans="2:52">
      <c r="B191" s="1254"/>
      <c r="C191" s="1255"/>
      <c r="D191" s="411"/>
      <c r="E191" s="411"/>
      <c r="F191" s="1256" t="s">
        <v>616</v>
      </c>
      <c r="G191" s="1257"/>
      <c r="H191" s="412">
        <v>1000</v>
      </c>
      <c r="I191" s="413"/>
      <c r="J191" s="414"/>
      <c r="K191" s="414"/>
      <c r="L191" s="414"/>
      <c r="M191" s="414"/>
      <c r="N191" s="413" t="str">
        <f t="shared" si="13"/>
        <v xml:space="preserve"> </v>
      </c>
      <c r="O191" s="51"/>
      <c r="P191" s="415"/>
      <c r="Q191" s="415"/>
      <c r="R191" s="415"/>
      <c r="S191" s="32"/>
      <c r="T191" s="416"/>
      <c r="U191" s="416"/>
      <c r="V191" s="416"/>
      <c r="W191" s="416"/>
      <c r="X191" s="416"/>
      <c r="Y191" s="416"/>
      <c r="Z191" s="416"/>
      <c r="AA191" s="416"/>
      <c r="AB191" s="416"/>
      <c r="AC191" s="416"/>
      <c r="AD191" s="416"/>
      <c r="AE191" s="416"/>
      <c r="AF191" s="416"/>
      <c r="AG191" s="416"/>
      <c r="AH191" s="416"/>
      <c r="AI191" s="416"/>
      <c r="AJ191" s="416"/>
      <c r="AK191" s="416"/>
      <c r="AL191" s="416"/>
      <c r="AM191" s="416"/>
      <c r="AN191" s="416"/>
      <c r="AO191" s="416"/>
      <c r="AP191" s="416"/>
      <c r="AQ191" s="416"/>
      <c r="AR191" s="416"/>
      <c r="AS191" s="416"/>
      <c r="AT191" s="416"/>
      <c r="AU191" s="416"/>
      <c r="AV191" s="416"/>
      <c r="AW191" s="416"/>
      <c r="AX191" s="416"/>
      <c r="AY191" s="416"/>
      <c r="AZ191" s="32"/>
    </row>
    <row r="192" spans="2:52">
      <c r="B192" s="1250" t="s">
        <v>625</v>
      </c>
      <c r="C192" s="1251"/>
      <c r="D192" s="411" t="s">
        <v>709</v>
      </c>
      <c r="E192" s="411"/>
      <c r="F192" s="411" t="s">
        <v>334</v>
      </c>
      <c r="G192" s="411" t="s">
        <v>335</v>
      </c>
      <c r="H192" s="412">
        <v>7527.2089999999998</v>
      </c>
      <c r="I192" s="413" t="s">
        <v>240</v>
      </c>
      <c r="J192" s="414">
        <v>44974.423611111109</v>
      </c>
      <c r="K192" s="414"/>
      <c r="L192" s="414" t="s">
        <v>192</v>
      </c>
      <c r="M192" s="414" t="s">
        <v>192</v>
      </c>
      <c r="N192" s="413" t="str">
        <f t="shared" si="13"/>
        <v>On time</v>
      </c>
      <c r="O192" s="51"/>
      <c r="P192" s="415" t="s">
        <v>551</v>
      </c>
      <c r="Q192" s="415" t="s">
        <v>551</v>
      </c>
      <c r="R192" s="415" t="s">
        <v>551</v>
      </c>
      <c r="S192" s="32"/>
      <c r="T192" s="416"/>
      <c r="U192" s="416"/>
      <c r="V192" s="416"/>
      <c r="W192" s="416"/>
      <c r="X192" s="416"/>
      <c r="Y192" s="416"/>
      <c r="Z192" s="416"/>
      <c r="AA192" s="416"/>
      <c r="AB192" s="416"/>
      <c r="AC192" s="416">
        <f>H192</f>
        <v>7527.2089999999998</v>
      </c>
      <c r="AD192" s="416"/>
      <c r="AE192" s="416"/>
      <c r="AF192" s="416"/>
      <c r="AG192" s="416"/>
      <c r="AH192" s="416"/>
      <c r="AI192" s="416"/>
      <c r="AJ192" s="416"/>
      <c r="AK192" s="416"/>
      <c r="AL192" s="416"/>
      <c r="AM192" s="416"/>
      <c r="AN192" s="416"/>
      <c r="AO192" s="416"/>
      <c r="AP192" s="416"/>
      <c r="AQ192" s="416"/>
      <c r="AR192" s="416"/>
      <c r="AS192" s="416"/>
      <c r="AT192" s="416"/>
      <c r="AU192" s="416"/>
      <c r="AV192" s="416"/>
      <c r="AW192" s="416"/>
      <c r="AX192" s="416"/>
      <c r="AY192" s="416"/>
      <c r="AZ192" s="32"/>
    </row>
    <row r="193" spans="2:52">
      <c r="B193" s="1254"/>
      <c r="C193" s="1255"/>
      <c r="D193" s="411"/>
      <c r="E193" s="411"/>
      <c r="F193" s="1256" t="s">
        <v>616</v>
      </c>
      <c r="G193" s="1257"/>
      <c r="H193" s="412">
        <v>1000</v>
      </c>
      <c r="I193" s="413"/>
      <c r="J193" s="414"/>
      <c r="K193" s="414"/>
      <c r="L193" s="414"/>
      <c r="M193" s="414"/>
      <c r="N193" s="413" t="str">
        <f t="shared" si="13"/>
        <v xml:space="preserve"> </v>
      </c>
      <c r="O193" s="51"/>
      <c r="P193" s="415"/>
      <c r="Q193" s="415"/>
      <c r="R193" s="415"/>
      <c r="S193" s="32"/>
      <c r="T193" s="416"/>
      <c r="U193" s="416"/>
      <c r="V193" s="416"/>
      <c r="W193" s="416"/>
      <c r="X193" s="416"/>
      <c r="Y193" s="416"/>
      <c r="Z193" s="416"/>
      <c r="AA193" s="416"/>
      <c r="AB193" s="416"/>
      <c r="AC193" s="416"/>
      <c r="AD193" s="416"/>
      <c r="AE193" s="416"/>
      <c r="AF193" s="416"/>
      <c r="AG193" s="416"/>
      <c r="AH193" s="416"/>
      <c r="AI193" s="416"/>
      <c r="AJ193" s="416"/>
      <c r="AK193" s="416"/>
      <c r="AL193" s="416"/>
      <c r="AM193" s="416"/>
      <c r="AN193" s="416"/>
      <c r="AO193" s="416"/>
      <c r="AP193" s="416"/>
      <c r="AQ193" s="416"/>
      <c r="AR193" s="416"/>
      <c r="AS193" s="416"/>
      <c r="AT193" s="416"/>
      <c r="AU193" s="416"/>
      <c r="AV193" s="416"/>
      <c r="AW193" s="416"/>
      <c r="AX193" s="416"/>
      <c r="AY193" s="416"/>
      <c r="AZ193" s="32"/>
    </row>
    <row r="194" spans="2:52">
      <c r="B194" s="1250" t="s">
        <v>669</v>
      </c>
      <c r="C194" s="1251"/>
      <c r="D194" s="411" t="s">
        <v>713</v>
      </c>
      <c r="E194" s="411"/>
      <c r="F194" s="411" t="s">
        <v>271</v>
      </c>
      <c r="G194" s="411" t="s">
        <v>272</v>
      </c>
      <c r="H194" s="412">
        <v>9235.3490000000002</v>
      </c>
      <c r="I194" s="413" t="s">
        <v>240</v>
      </c>
      <c r="J194" s="414">
        <v>44974.465277777781</v>
      </c>
      <c r="K194" s="414"/>
      <c r="L194" s="414" t="s">
        <v>192</v>
      </c>
      <c r="M194" s="414" t="s">
        <v>192</v>
      </c>
      <c r="N194" s="413" t="str">
        <f t="shared" si="13"/>
        <v>On time</v>
      </c>
      <c r="O194" s="51"/>
      <c r="P194" s="415" t="s">
        <v>551</v>
      </c>
      <c r="Q194" s="415" t="s">
        <v>551</v>
      </c>
      <c r="R194" s="415" t="s">
        <v>551</v>
      </c>
      <c r="S194" s="32"/>
      <c r="T194" s="416"/>
      <c r="U194" s="416"/>
      <c r="V194" s="416"/>
      <c r="W194" s="416"/>
      <c r="X194" s="416"/>
      <c r="Y194" s="416"/>
      <c r="Z194" s="416"/>
      <c r="AA194" s="416"/>
      <c r="AB194" s="416"/>
      <c r="AC194" s="416">
        <f>H194</f>
        <v>9235.3490000000002</v>
      </c>
      <c r="AD194" s="416"/>
      <c r="AE194" s="416"/>
      <c r="AF194" s="416"/>
      <c r="AG194" s="416"/>
      <c r="AH194" s="416"/>
      <c r="AI194" s="416"/>
      <c r="AJ194" s="416"/>
      <c r="AK194" s="416"/>
      <c r="AL194" s="416"/>
      <c r="AM194" s="416"/>
      <c r="AN194" s="416"/>
      <c r="AO194" s="416"/>
      <c r="AP194" s="416"/>
      <c r="AQ194" s="416"/>
      <c r="AR194" s="416"/>
      <c r="AS194" s="416"/>
      <c r="AT194" s="416"/>
      <c r="AU194" s="416"/>
      <c r="AV194" s="416"/>
      <c r="AW194" s="416"/>
      <c r="AX194" s="416"/>
      <c r="AY194" s="416"/>
      <c r="AZ194" s="32"/>
    </row>
    <row r="195" spans="2:52">
      <c r="B195" s="1254"/>
      <c r="C195" s="1255"/>
      <c r="D195" s="411"/>
      <c r="E195" s="411"/>
      <c r="F195" s="1256" t="s">
        <v>616</v>
      </c>
      <c r="G195" s="1257"/>
      <c r="H195" s="412">
        <v>1700</v>
      </c>
      <c r="I195" s="413"/>
      <c r="J195" s="414"/>
      <c r="K195" s="414"/>
      <c r="L195" s="414"/>
      <c r="M195" s="414"/>
      <c r="N195" s="413" t="str">
        <f t="shared" si="13"/>
        <v xml:space="preserve"> </v>
      </c>
      <c r="O195" s="51"/>
      <c r="P195" s="415"/>
      <c r="Q195" s="415"/>
      <c r="R195" s="415"/>
      <c r="S195" s="32"/>
      <c r="T195" s="416"/>
      <c r="U195" s="416"/>
      <c r="V195" s="416"/>
      <c r="W195" s="416"/>
      <c r="X195" s="416"/>
      <c r="Y195" s="416"/>
      <c r="Z195" s="416"/>
      <c r="AA195" s="416"/>
      <c r="AB195" s="416"/>
      <c r="AC195" s="416"/>
      <c r="AD195" s="416"/>
      <c r="AE195" s="416"/>
      <c r="AF195" s="416"/>
      <c r="AG195" s="416"/>
      <c r="AH195" s="416"/>
      <c r="AI195" s="416"/>
      <c r="AJ195" s="416"/>
      <c r="AK195" s="416"/>
      <c r="AL195" s="416"/>
      <c r="AM195" s="416"/>
      <c r="AN195" s="416"/>
      <c r="AO195" s="416"/>
      <c r="AP195" s="416"/>
      <c r="AQ195" s="416"/>
      <c r="AR195" s="416"/>
      <c r="AS195" s="416"/>
      <c r="AT195" s="416"/>
      <c r="AU195" s="416"/>
      <c r="AV195" s="416"/>
      <c r="AW195" s="416"/>
      <c r="AX195" s="416"/>
      <c r="AY195" s="416"/>
      <c r="AZ195" s="32"/>
    </row>
    <row r="196" spans="2:52">
      <c r="B196" s="1250" t="s">
        <v>670</v>
      </c>
      <c r="C196" s="1251"/>
      <c r="D196" s="411" t="s">
        <v>715</v>
      </c>
      <c r="E196" s="411"/>
      <c r="F196" s="411" t="s">
        <v>277</v>
      </c>
      <c r="G196" s="411" t="s">
        <v>278</v>
      </c>
      <c r="H196" s="412">
        <f>7554.89+546.494</f>
        <v>8101.384</v>
      </c>
      <c r="I196" s="413" t="s">
        <v>240</v>
      </c>
      <c r="J196" s="414">
        <v>44974.423611111109</v>
      </c>
      <c r="K196" s="414"/>
      <c r="L196" s="414" t="s">
        <v>192</v>
      </c>
      <c r="M196" s="414" t="s">
        <v>192</v>
      </c>
      <c r="N196" s="413" t="str">
        <f t="shared" si="13"/>
        <v>On time</v>
      </c>
      <c r="O196" s="51"/>
      <c r="P196" s="415" t="s">
        <v>551</v>
      </c>
      <c r="Q196" s="415" t="s">
        <v>551</v>
      </c>
      <c r="R196" s="415" t="s">
        <v>551</v>
      </c>
      <c r="S196" s="32"/>
      <c r="T196" s="416"/>
      <c r="U196" s="416"/>
      <c r="V196" s="416"/>
      <c r="W196" s="416"/>
      <c r="X196" s="416"/>
      <c r="Y196" s="416"/>
      <c r="Z196" s="416"/>
      <c r="AA196" s="416"/>
      <c r="AB196" s="416"/>
      <c r="AC196" s="416">
        <f>H196</f>
        <v>8101.384</v>
      </c>
      <c r="AD196" s="416"/>
      <c r="AE196" s="416"/>
      <c r="AF196" s="416"/>
      <c r="AG196" s="416"/>
      <c r="AH196" s="416"/>
      <c r="AI196" s="416"/>
      <c r="AJ196" s="416"/>
      <c r="AK196" s="416"/>
      <c r="AL196" s="416"/>
      <c r="AM196" s="416"/>
      <c r="AN196" s="416"/>
      <c r="AO196" s="416"/>
      <c r="AP196" s="416"/>
      <c r="AQ196" s="416"/>
      <c r="AR196" s="416"/>
      <c r="AS196" s="416"/>
      <c r="AT196" s="416"/>
      <c r="AU196" s="416"/>
      <c r="AV196" s="416"/>
      <c r="AW196" s="416"/>
      <c r="AX196" s="416"/>
      <c r="AY196" s="416"/>
      <c r="AZ196" s="32"/>
    </row>
    <row r="197" spans="2:52">
      <c r="B197" s="1254"/>
      <c r="C197" s="1255"/>
      <c r="D197" s="411"/>
      <c r="E197" s="411"/>
      <c r="F197" s="1256" t="s">
        <v>616</v>
      </c>
      <c r="G197" s="1257"/>
      <c r="H197" s="412">
        <v>1800</v>
      </c>
      <c r="I197" s="413"/>
      <c r="J197" s="414"/>
      <c r="K197" s="414"/>
      <c r="L197" s="414"/>
      <c r="M197" s="414"/>
      <c r="N197" s="413" t="str">
        <f t="shared" si="13"/>
        <v xml:space="preserve"> </v>
      </c>
      <c r="O197" s="51"/>
      <c r="P197" s="415"/>
      <c r="Q197" s="415"/>
      <c r="R197" s="415"/>
      <c r="S197" s="32"/>
      <c r="T197" s="416"/>
      <c r="U197" s="416"/>
      <c r="V197" s="416"/>
      <c r="W197" s="416"/>
      <c r="X197" s="416"/>
      <c r="Y197" s="416"/>
      <c r="Z197" s="416"/>
      <c r="AA197" s="416"/>
      <c r="AB197" s="416"/>
      <c r="AC197" s="416"/>
      <c r="AD197" s="416"/>
      <c r="AE197" s="416"/>
      <c r="AF197" s="416"/>
      <c r="AG197" s="416"/>
      <c r="AH197" s="416"/>
      <c r="AI197" s="416"/>
      <c r="AJ197" s="416"/>
      <c r="AK197" s="416"/>
      <c r="AL197" s="416"/>
      <c r="AM197" s="416"/>
      <c r="AN197" s="416"/>
      <c r="AO197" s="416"/>
      <c r="AP197" s="416"/>
      <c r="AQ197" s="416"/>
      <c r="AR197" s="416"/>
      <c r="AS197" s="416"/>
      <c r="AT197" s="416"/>
      <c r="AU197" s="416"/>
      <c r="AV197" s="416"/>
      <c r="AW197" s="416"/>
      <c r="AX197" s="416"/>
      <c r="AY197" s="416"/>
      <c r="AZ197" s="32"/>
    </row>
    <row r="198" spans="2:52">
      <c r="B198" s="1258" t="s">
        <v>626</v>
      </c>
      <c r="C198" s="1259"/>
      <c r="D198" s="1259"/>
      <c r="E198" s="1259"/>
      <c r="F198" s="1259"/>
      <c r="G198" s="1260"/>
      <c r="H198" s="417">
        <f>H184+H190+H188+H186+H196+H192+H194+H185</f>
        <v>62600.000000000007</v>
      </c>
      <c r="I198" s="388"/>
      <c r="J198" s="293"/>
      <c r="K198" s="293"/>
      <c r="L198" s="293"/>
      <c r="M198" s="389"/>
      <c r="N198" s="413" t="str">
        <f t="shared" si="13"/>
        <v xml:space="preserve"> </v>
      </c>
      <c r="O198" s="47"/>
      <c r="P198" s="418"/>
      <c r="Q198" s="418"/>
      <c r="R198" s="418"/>
      <c r="S198" s="32"/>
      <c r="T198" s="1261"/>
      <c r="U198" s="1261"/>
      <c r="V198" s="1261"/>
      <c r="W198" s="1261"/>
      <c r="X198" s="1261"/>
      <c r="Y198" s="1261"/>
      <c r="Z198" s="1261"/>
      <c r="AA198" s="1261"/>
      <c r="AB198" s="1261"/>
      <c r="AC198" s="1261"/>
      <c r="AD198" s="1261"/>
      <c r="AE198" s="1261"/>
      <c r="AF198" s="1261"/>
      <c r="AG198" s="1261"/>
      <c r="AH198" s="1261"/>
      <c r="AI198" s="1261"/>
      <c r="AJ198" s="1261"/>
      <c r="AK198" s="1261"/>
      <c r="AL198" s="1261"/>
      <c r="AM198" s="1261"/>
      <c r="AN198" s="1261"/>
      <c r="AO198" s="1261"/>
      <c r="AP198" s="1261"/>
      <c r="AQ198" s="1261"/>
      <c r="AR198" s="1261"/>
      <c r="AS198" s="1261"/>
      <c r="AT198" s="1261"/>
      <c r="AU198" s="1261"/>
      <c r="AV198" s="1261"/>
      <c r="AW198" s="1261"/>
      <c r="AX198" s="1261"/>
      <c r="AY198" s="1261"/>
    </row>
    <row r="199" spans="2:52">
      <c r="B199" s="1258" t="s">
        <v>556</v>
      </c>
      <c r="C199" s="1259"/>
      <c r="D199" s="1259"/>
      <c r="E199" s="1259"/>
      <c r="F199" s="1259"/>
      <c r="G199" s="1260"/>
      <c r="H199" s="417">
        <f>H183+H198</f>
        <v>70100</v>
      </c>
      <c r="I199" s="388"/>
      <c r="J199" s="293"/>
      <c r="K199" s="293"/>
      <c r="L199" s="293"/>
      <c r="M199" s="389"/>
      <c r="N199" s="413" t="str">
        <f t="shared" si="13"/>
        <v xml:space="preserve"> </v>
      </c>
      <c r="O199" s="212"/>
      <c r="P199" s="418"/>
      <c r="Q199" s="418"/>
      <c r="R199" s="418"/>
      <c r="S199" s="207"/>
      <c r="T199" s="1262"/>
      <c r="U199" s="1263"/>
      <c r="V199" s="1263"/>
      <c r="W199" s="1263"/>
      <c r="X199" s="1263"/>
      <c r="Y199" s="1263"/>
      <c r="Z199" s="1263"/>
      <c r="AA199" s="1263"/>
      <c r="AB199" s="1263"/>
      <c r="AC199" s="1263"/>
      <c r="AD199" s="1263"/>
      <c r="AE199" s="1263"/>
      <c r="AF199" s="1263"/>
      <c r="AG199" s="1263"/>
      <c r="AH199" s="1263"/>
      <c r="AI199" s="1263"/>
      <c r="AJ199" s="1263"/>
      <c r="AK199" s="1263"/>
      <c r="AL199" s="1263"/>
      <c r="AM199" s="1263"/>
      <c r="AN199" s="1263"/>
      <c r="AO199" s="1263"/>
      <c r="AP199" s="1263"/>
      <c r="AQ199" s="1263"/>
      <c r="AR199" s="1263"/>
      <c r="AS199" s="1263"/>
      <c r="AT199" s="1263"/>
      <c r="AU199" s="1263"/>
      <c r="AV199" s="1263"/>
      <c r="AW199" s="1263"/>
      <c r="AX199" s="1263"/>
      <c r="AY199" s="1264"/>
    </row>
    <row r="200" spans="2:52">
      <c r="B200" s="1243" t="s">
        <v>557</v>
      </c>
      <c r="C200" s="1244"/>
      <c r="D200" s="1244"/>
      <c r="E200" s="1244"/>
      <c r="F200" s="1244"/>
      <c r="G200" s="1245"/>
      <c r="H200" s="419">
        <v>70100</v>
      </c>
      <c r="I200" s="1246"/>
      <c r="J200" s="1247"/>
      <c r="K200" s="1247"/>
      <c r="L200" s="1247"/>
      <c r="M200" s="1248"/>
      <c r="N200" s="413" t="str">
        <f t="shared" si="13"/>
        <v xml:space="preserve"> </v>
      </c>
      <c r="O200" s="32"/>
      <c r="P200" s="415"/>
      <c r="Q200" s="415"/>
      <c r="R200" s="415"/>
      <c r="S200" s="63"/>
      <c r="T200" s="416">
        <f>SUM(T182:T197)</f>
        <v>0</v>
      </c>
      <c r="U200" s="416">
        <f t="shared" ref="U200:AY200" si="14">SUM(U182:U197)</f>
        <v>0</v>
      </c>
      <c r="V200" s="416">
        <f t="shared" si="14"/>
        <v>0</v>
      </c>
      <c r="W200" s="416">
        <f t="shared" si="14"/>
        <v>0</v>
      </c>
      <c r="X200" s="416">
        <f t="shared" si="14"/>
        <v>0</v>
      </c>
      <c r="Y200" s="416">
        <f t="shared" si="14"/>
        <v>0</v>
      </c>
      <c r="Z200" s="416">
        <f t="shared" si="14"/>
        <v>0</v>
      </c>
      <c r="AA200" s="416">
        <f t="shared" si="14"/>
        <v>0</v>
      </c>
      <c r="AB200" s="416">
        <f t="shared" si="14"/>
        <v>0</v>
      </c>
      <c r="AC200" s="416">
        <f t="shared" si="14"/>
        <v>62600</v>
      </c>
      <c r="AD200" s="416">
        <f t="shared" si="14"/>
        <v>0</v>
      </c>
      <c r="AE200" s="416">
        <f t="shared" si="14"/>
        <v>0</v>
      </c>
      <c r="AF200" s="416">
        <f t="shared" si="14"/>
        <v>0</v>
      </c>
      <c r="AG200" s="416">
        <f t="shared" si="14"/>
        <v>0</v>
      </c>
      <c r="AH200" s="416">
        <f t="shared" si="14"/>
        <v>0</v>
      </c>
      <c r="AI200" s="416">
        <f t="shared" si="14"/>
        <v>0</v>
      </c>
      <c r="AJ200" s="416">
        <f t="shared" si="14"/>
        <v>0</v>
      </c>
      <c r="AK200" s="416">
        <f t="shared" si="14"/>
        <v>7500</v>
      </c>
      <c r="AL200" s="416">
        <f t="shared" si="14"/>
        <v>0</v>
      </c>
      <c r="AM200" s="416">
        <f t="shared" si="14"/>
        <v>0</v>
      </c>
      <c r="AN200" s="416">
        <f t="shared" si="14"/>
        <v>0</v>
      </c>
      <c r="AO200" s="416">
        <f t="shared" si="14"/>
        <v>0</v>
      </c>
      <c r="AP200" s="416">
        <f t="shared" si="14"/>
        <v>0</v>
      </c>
      <c r="AQ200" s="416">
        <f t="shared" si="14"/>
        <v>0</v>
      </c>
      <c r="AR200" s="416">
        <f t="shared" si="14"/>
        <v>0</v>
      </c>
      <c r="AS200" s="416">
        <f t="shared" si="14"/>
        <v>0</v>
      </c>
      <c r="AT200" s="416">
        <f t="shared" si="14"/>
        <v>0</v>
      </c>
      <c r="AU200" s="416">
        <f t="shared" si="14"/>
        <v>0</v>
      </c>
      <c r="AV200" s="416">
        <f t="shared" si="14"/>
        <v>0</v>
      </c>
      <c r="AW200" s="416">
        <f t="shared" si="14"/>
        <v>0</v>
      </c>
      <c r="AX200" s="416">
        <f t="shared" si="14"/>
        <v>0</v>
      </c>
      <c r="AY200" s="416">
        <f t="shared" si="14"/>
        <v>0</v>
      </c>
      <c r="AZ200" s="416">
        <f>SUM(T200:AY200)</f>
        <v>70100</v>
      </c>
    </row>
    <row r="201" spans="2:52">
      <c r="B201" s="1243" t="s">
        <v>558</v>
      </c>
      <c r="C201" s="1244"/>
      <c r="D201" s="1244"/>
      <c r="E201" s="1244"/>
      <c r="F201" s="1244"/>
      <c r="G201" s="1245"/>
      <c r="H201" s="420">
        <f>H200-L176</f>
        <v>0</v>
      </c>
      <c r="I201" s="294"/>
      <c r="J201" s="295"/>
      <c r="K201" s="295"/>
      <c r="L201" s="296"/>
      <c r="M201" s="32"/>
      <c r="N201" s="32"/>
      <c r="O201" s="32"/>
      <c r="P201" s="32"/>
      <c r="Q201" s="297"/>
      <c r="R201" s="297"/>
      <c r="S201" s="32"/>
      <c r="T201" s="48"/>
      <c r="U201" s="48"/>
      <c r="V201" s="48"/>
      <c r="W201" s="48"/>
      <c r="X201" s="48"/>
      <c r="Y201" s="48"/>
      <c r="Z201" s="48"/>
      <c r="AA201" s="48"/>
      <c r="AB201" s="48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</row>
    <row r="202" spans="2:52">
      <c r="B202" s="1243" t="s">
        <v>559</v>
      </c>
      <c r="C202" s="1244"/>
      <c r="D202" s="1244"/>
      <c r="E202" s="1244"/>
      <c r="F202" s="1244"/>
      <c r="G202" s="1245"/>
      <c r="H202" s="420">
        <f>H199-H200</f>
        <v>0</v>
      </c>
      <c r="I202" s="52"/>
      <c r="J202" s="53"/>
      <c r="K202" s="53"/>
      <c r="L202" s="54"/>
      <c r="M202" s="32"/>
      <c r="N202" s="201"/>
      <c r="O202" s="32"/>
      <c r="P202" s="32"/>
      <c r="Q202" s="32"/>
      <c r="R202" s="32"/>
      <c r="S202" s="32"/>
      <c r="T202" s="48"/>
      <c r="U202" s="48"/>
      <c r="V202" s="48"/>
      <c r="W202" s="48"/>
      <c r="X202" s="48"/>
      <c r="Y202" s="48"/>
      <c r="Z202" s="48"/>
      <c r="AA202" s="48"/>
      <c r="AB202" s="48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</row>
    <row r="203" spans="2:52">
      <c r="B203" s="1243" t="s">
        <v>560</v>
      </c>
      <c r="C203" s="1244"/>
      <c r="D203" s="1244"/>
      <c r="E203" s="1244"/>
      <c r="F203" s="1244"/>
      <c r="G203" s="1245"/>
      <c r="H203" s="420">
        <f>H202+546.494</f>
        <v>546.49400000000003</v>
      </c>
      <c r="I203" s="255"/>
      <c r="J203" s="53"/>
      <c r="K203" s="53"/>
      <c r="L203" s="54"/>
      <c r="M203" s="32"/>
      <c r="N203" s="32"/>
      <c r="O203" s="32"/>
      <c r="P203" s="32"/>
      <c r="Q203" s="32"/>
      <c r="R203" s="32"/>
      <c r="S203" s="48"/>
      <c r="T203" s="48"/>
      <c r="U203" s="48"/>
      <c r="V203" s="48"/>
      <c r="W203" s="48"/>
      <c r="X203" s="48"/>
      <c r="Y203" s="48"/>
      <c r="Z203" s="48"/>
      <c r="AA203" s="48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2:52">
      <c r="B204" s="201"/>
      <c r="C204" s="201"/>
      <c r="D204" s="201"/>
      <c r="E204" s="201"/>
      <c r="F204" s="201"/>
      <c r="G204" s="201"/>
      <c r="H204" s="201"/>
      <c r="I204" s="213"/>
      <c r="J204" s="209"/>
      <c r="K204" s="209"/>
      <c r="L204" s="203"/>
      <c r="M204" s="201"/>
      <c r="N204" s="201"/>
      <c r="O204" s="209"/>
      <c r="P204" s="32"/>
      <c r="Q204" s="32"/>
      <c r="R204" s="32"/>
      <c r="S204" s="32"/>
      <c r="T204" s="48"/>
      <c r="U204" s="48"/>
      <c r="V204" s="48"/>
      <c r="W204" s="48"/>
      <c r="X204" s="48"/>
      <c r="Y204" s="48"/>
      <c r="Z204" s="48"/>
      <c r="AA204" s="48"/>
      <c r="AB204" s="48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</row>
    <row r="205" spans="2:52">
      <c r="B205" s="40" t="s">
        <v>561</v>
      </c>
      <c r="C205" s="40"/>
      <c r="D205" s="32"/>
      <c r="E205" s="32"/>
      <c r="F205" s="32"/>
      <c r="G205" s="32"/>
      <c r="H205" s="32"/>
      <c r="I205" s="32"/>
      <c r="J205" s="52"/>
      <c r="K205" s="52"/>
      <c r="L205" s="55"/>
      <c r="M205" s="32"/>
      <c r="N205" s="201"/>
      <c r="O205" s="5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1"/>
      <c r="AC205" s="201"/>
      <c r="AD205" s="201"/>
      <c r="AE205" s="201"/>
      <c r="AF205" s="201"/>
      <c r="AG205" s="201"/>
      <c r="AH205" s="201"/>
      <c r="AI205" s="201"/>
      <c r="AJ205" s="201"/>
      <c r="AK205" s="201"/>
      <c r="AL205" s="201"/>
      <c r="AM205" s="201"/>
      <c r="AN205" s="201"/>
      <c r="AO205" s="201"/>
      <c r="AP205" s="201"/>
      <c r="AQ205" s="201"/>
      <c r="AR205" s="201"/>
      <c r="AS205" s="201"/>
      <c r="AT205" s="201"/>
      <c r="AU205" s="201"/>
      <c r="AZ205" s="201"/>
    </row>
    <row r="206" spans="2:52">
      <c r="B206" s="422">
        <v>1</v>
      </c>
      <c r="C206" s="1249" t="s">
        <v>892</v>
      </c>
      <c r="D206" s="1249"/>
      <c r="E206" s="1249"/>
      <c r="F206" s="1249"/>
      <c r="G206" s="1249"/>
      <c r="H206" s="1249"/>
      <c r="I206" s="1249"/>
      <c r="J206" s="1249"/>
      <c r="K206" s="1249"/>
      <c r="L206" s="203"/>
      <c r="M206" s="201"/>
      <c r="N206" s="201"/>
      <c r="O206" s="209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1"/>
      <c r="AC206" s="201"/>
      <c r="AD206" s="201"/>
      <c r="AE206" s="201"/>
      <c r="AF206" s="201"/>
      <c r="AG206" s="201"/>
      <c r="AH206" s="201"/>
      <c r="AI206" s="201"/>
      <c r="AJ206" s="201"/>
      <c r="AK206" s="201"/>
      <c r="AL206" s="201"/>
      <c r="AM206" s="201"/>
      <c r="AN206" s="201"/>
      <c r="AO206" s="201"/>
      <c r="AP206" s="201"/>
      <c r="AQ206" s="201"/>
      <c r="AR206" s="201"/>
      <c r="AS206" s="201"/>
      <c r="AT206" s="201"/>
      <c r="AU206" s="201"/>
      <c r="AV206" s="201"/>
      <c r="AW206" s="201"/>
      <c r="AX206" s="201"/>
      <c r="AY206" s="201"/>
      <c r="AZ206" s="201"/>
    </row>
    <row r="207" spans="2:52">
      <c r="B207" s="422">
        <v>2</v>
      </c>
      <c r="C207" s="1249" t="s">
        <v>893</v>
      </c>
      <c r="D207" s="1249"/>
      <c r="E207" s="1249"/>
      <c r="F207" s="1249"/>
      <c r="G207" s="1249"/>
      <c r="H207" s="1249"/>
      <c r="I207" s="1249"/>
      <c r="J207" s="1249"/>
      <c r="K207" s="1249"/>
      <c r="L207" s="203"/>
      <c r="M207" s="201"/>
      <c r="N207" s="201"/>
      <c r="O207" s="209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1"/>
      <c r="AC207" s="201"/>
      <c r="AD207" s="201"/>
      <c r="AE207" s="201"/>
      <c r="AF207" s="201"/>
      <c r="AG207" s="201"/>
      <c r="AH207" s="201"/>
      <c r="AI207" s="201"/>
      <c r="AJ207" s="201"/>
      <c r="AK207" s="201"/>
      <c r="AL207" s="201"/>
      <c r="AM207" s="201"/>
      <c r="AN207" s="201"/>
      <c r="AO207" s="201"/>
      <c r="AP207" s="201"/>
      <c r="AQ207" s="201"/>
      <c r="AR207" s="201"/>
      <c r="AS207" s="201"/>
      <c r="AT207" s="201"/>
      <c r="AU207" s="201"/>
      <c r="AV207" s="201"/>
      <c r="AW207" s="201"/>
      <c r="AX207" s="201"/>
      <c r="AY207" s="201"/>
      <c r="AZ207" s="201"/>
    </row>
    <row r="209" spans="2:52">
      <c r="B209" s="28" t="s">
        <v>2</v>
      </c>
      <c r="C209" s="28"/>
      <c r="D209" s="29"/>
      <c r="E209" s="30" t="s">
        <v>511</v>
      </c>
      <c r="F209" s="31" t="s">
        <v>776</v>
      </c>
      <c r="G209" s="32"/>
      <c r="H209" s="33"/>
      <c r="I209" s="34"/>
      <c r="J209" s="35" t="s">
        <v>513</v>
      </c>
      <c r="K209" s="36" t="s">
        <v>511</v>
      </c>
      <c r="L209" s="37">
        <v>44978.083333333336</v>
      </c>
      <c r="M209" s="32"/>
      <c r="N209" s="32"/>
      <c r="O209" s="206"/>
      <c r="P209" s="205"/>
      <c r="Q209" s="202"/>
      <c r="R209" s="204"/>
      <c r="S209" s="38"/>
      <c r="T209" s="201"/>
      <c r="U209" s="201"/>
      <c r="V209" s="201"/>
      <c r="W209" s="201"/>
      <c r="X209" s="201"/>
      <c r="Y209" s="201"/>
      <c r="Z209" s="201"/>
      <c r="AA209" s="201"/>
      <c r="AB209" s="202"/>
      <c r="AC209" s="202"/>
      <c r="AD209" s="202"/>
      <c r="AE209" s="202"/>
      <c r="AF209" s="202"/>
      <c r="AG209" s="201"/>
      <c r="AH209" s="201"/>
      <c r="AI209" s="201"/>
      <c r="AJ209" s="201"/>
      <c r="AK209" s="201"/>
      <c r="AL209" s="201"/>
      <c r="AM209" s="201"/>
      <c r="AN209" s="201"/>
      <c r="AO209" s="201"/>
      <c r="AP209" s="201"/>
      <c r="AQ209" s="201"/>
      <c r="AR209" s="201"/>
      <c r="AS209" s="201"/>
      <c r="AT209" s="201"/>
      <c r="AU209" s="201"/>
      <c r="AV209" s="201"/>
      <c r="AW209" s="201"/>
      <c r="AX209" s="201"/>
      <c r="AY209" s="201"/>
      <c r="AZ209" s="201"/>
    </row>
    <row r="210" spans="2:52">
      <c r="B210" s="35" t="s">
        <v>514</v>
      </c>
      <c r="C210" s="35"/>
      <c r="D210" s="32"/>
      <c r="E210" s="36" t="s">
        <v>511</v>
      </c>
      <c r="F210" s="37" t="s">
        <v>894</v>
      </c>
      <c r="G210" s="60" t="s">
        <v>647</v>
      </c>
      <c r="H210" s="33"/>
      <c r="I210" s="34"/>
      <c r="J210" s="35" t="s">
        <v>516</v>
      </c>
      <c r="K210" s="36" t="s">
        <v>511</v>
      </c>
      <c r="L210" s="37">
        <v>44979.631944444445</v>
      </c>
      <c r="M210" s="32"/>
      <c r="N210" s="32"/>
      <c r="O210" s="206"/>
      <c r="P210" s="205"/>
      <c r="Q210" s="202"/>
      <c r="R210" s="204"/>
      <c r="S210" s="38"/>
      <c r="T210" s="201"/>
      <c r="U210" s="201"/>
      <c r="V210" s="201"/>
      <c r="W210" s="201"/>
      <c r="X210" s="201"/>
      <c r="Y210" s="201"/>
      <c r="Z210" s="201"/>
      <c r="AA210" s="201"/>
      <c r="AB210" s="202"/>
      <c r="AC210" s="202"/>
      <c r="AD210" s="202"/>
      <c r="AE210" s="202"/>
      <c r="AF210" s="202"/>
      <c r="AG210" s="201"/>
      <c r="AH210" s="201"/>
      <c r="AI210" s="201"/>
      <c r="AJ210" s="201"/>
      <c r="AK210" s="201"/>
      <c r="AL210" s="201"/>
      <c r="AM210" s="201"/>
      <c r="AN210" s="201"/>
      <c r="AO210" s="201"/>
      <c r="AP210" s="201"/>
      <c r="AQ210" s="201"/>
      <c r="AR210" s="201"/>
      <c r="AS210" s="201"/>
      <c r="AT210" s="201"/>
      <c r="AU210" s="201"/>
      <c r="AV210" s="201"/>
      <c r="AW210" s="201"/>
      <c r="AX210" s="201"/>
      <c r="AY210" s="201"/>
      <c r="AZ210" s="201"/>
    </row>
    <row r="211" spans="2:52">
      <c r="B211" s="35" t="s">
        <v>517</v>
      </c>
      <c r="C211" s="35"/>
      <c r="D211" s="32"/>
      <c r="E211" s="36" t="s">
        <v>511</v>
      </c>
      <c r="F211" s="37">
        <v>44971.791666666664</v>
      </c>
      <c r="G211" s="60">
        <v>44973</v>
      </c>
      <c r="H211" s="33"/>
      <c r="I211" s="34"/>
      <c r="J211" s="35" t="s">
        <v>518</v>
      </c>
      <c r="K211" s="36" t="s">
        <v>511</v>
      </c>
      <c r="L211" s="50">
        <v>46280.000000000007</v>
      </c>
      <c r="M211" s="40" t="s">
        <v>519</v>
      </c>
      <c r="N211" s="40"/>
      <c r="O211" s="206"/>
      <c r="P211" s="205"/>
      <c r="Q211" s="202"/>
      <c r="R211" s="204"/>
      <c r="S211" s="38"/>
      <c r="T211" s="201"/>
      <c r="U211" s="201"/>
      <c r="V211" s="201"/>
      <c r="W211" s="201"/>
      <c r="X211" s="201"/>
      <c r="Y211" s="201"/>
      <c r="Z211" s="201"/>
      <c r="AA211" s="201"/>
      <c r="AB211" s="202"/>
      <c r="AC211" s="202"/>
      <c r="AD211" s="202"/>
      <c r="AE211" s="202"/>
      <c r="AF211" s="202"/>
      <c r="AG211" s="201"/>
      <c r="AH211" s="201"/>
      <c r="AI211" s="201"/>
      <c r="AJ211" s="201"/>
      <c r="AK211" s="201"/>
      <c r="AL211" s="201"/>
      <c r="AM211" s="201"/>
      <c r="AN211" s="201"/>
      <c r="AO211" s="201"/>
      <c r="AP211" s="201"/>
      <c r="AQ211" s="201"/>
      <c r="AR211" s="201"/>
      <c r="AS211" s="201"/>
      <c r="AT211" s="201"/>
      <c r="AU211" s="201"/>
      <c r="AV211" s="201"/>
      <c r="AW211" s="201"/>
      <c r="AX211" s="201"/>
      <c r="AY211" s="201"/>
      <c r="AZ211" s="201"/>
    </row>
    <row r="212" spans="2:52">
      <c r="B212" s="35" t="s">
        <v>520</v>
      </c>
      <c r="C212" s="35"/>
      <c r="D212" s="32"/>
      <c r="E212" s="36" t="s">
        <v>511</v>
      </c>
      <c r="F212" s="37" t="s">
        <v>12</v>
      </c>
      <c r="G212" s="32"/>
      <c r="H212" s="33"/>
      <c r="I212" s="34"/>
      <c r="J212" s="35" t="s">
        <v>521</v>
      </c>
      <c r="K212" s="36" t="s">
        <v>511</v>
      </c>
      <c r="L212" s="41" t="s">
        <v>895</v>
      </c>
      <c r="M212" s="32"/>
      <c r="N212" s="32"/>
      <c r="O212" s="206"/>
      <c r="P212" s="202"/>
      <c r="Q212" s="202"/>
      <c r="R212" s="204"/>
      <c r="S212" s="38"/>
      <c r="T212" s="201"/>
      <c r="U212" s="201"/>
      <c r="V212" s="201"/>
      <c r="W212" s="201"/>
      <c r="X212" s="201"/>
      <c r="Y212" s="201"/>
      <c r="Z212" s="201"/>
      <c r="AA212" s="201"/>
      <c r="AB212" s="202"/>
      <c r="AC212" s="202"/>
      <c r="AD212" s="202"/>
      <c r="AE212" s="202"/>
      <c r="AF212" s="202"/>
      <c r="AG212" s="201"/>
      <c r="AH212" s="201"/>
      <c r="AI212" s="201"/>
      <c r="AJ212" s="201"/>
      <c r="AK212" s="201"/>
      <c r="AL212" s="201"/>
      <c r="AM212" s="201"/>
      <c r="AN212" s="201"/>
      <c r="AO212" s="201"/>
      <c r="AP212" s="201"/>
      <c r="AQ212" s="201"/>
      <c r="AR212" s="201"/>
      <c r="AS212" s="201"/>
      <c r="AT212" s="201"/>
      <c r="AU212" s="201"/>
      <c r="AV212" s="201"/>
      <c r="AW212" s="201"/>
      <c r="AX212" s="201"/>
      <c r="AY212" s="201"/>
      <c r="AZ212" s="201"/>
    </row>
    <row r="213" spans="2:52">
      <c r="B213" s="35" t="s">
        <v>523</v>
      </c>
      <c r="C213" s="35"/>
      <c r="D213" s="32"/>
      <c r="E213" s="36" t="s">
        <v>511</v>
      </c>
      <c r="F213" s="37" t="s">
        <v>37</v>
      </c>
      <c r="G213" s="32"/>
      <c r="H213" s="33"/>
      <c r="I213" s="34"/>
      <c r="J213" s="42" t="s">
        <v>524</v>
      </c>
      <c r="K213" s="36" t="s">
        <v>511</v>
      </c>
      <c r="L213" s="43" t="s">
        <v>11</v>
      </c>
      <c r="M213" s="44"/>
      <c r="N213" s="44"/>
      <c r="O213" s="206"/>
      <c r="P213" s="205"/>
      <c r="Q213" s="202"/>
      <c r="R213" s="204"/>
      <c r="S213" s="38"/>
      <c r="T213" s="201"/>
      <c r="U213" s="201"/>
      <c r="V213" s="201"/>
      <c r="W213" s="201"/>
      <c r="X213" s="201"/>
      <c r="Y213" s="201"/>
      <c r="Z213" s="201"/>
      <c r="AA213" s="201"/>
      <c r="AB213" s="202"/>
      <c r="AC213" s="202"/>
      <c r="AD213" s="202"/>
      <c r="AE213" s="202"/>
      <c r="AF213" s="202"/>
      <c r="AG213" s="201"/>
      <c r="AH213" s="201"/>
      <c r="AI213" s="201"/>
      <c r="AJ213" s="201"/>
      <c r="AK213" s="201"/>
      <c r="AL213" s="201"/>
      <c r="AM213" s="201"/>
      <c r="AN213" s="201"/>
      <c r="AO213" s="201"/>
      <c r="AP213" s="201"/>
      <c r="AQ213" s="201"/>
      <c r="AR213" s="201"/>
      <c r="AS213" s="201"/>
      <c r="AT213" s="201"/>
      <c r="AU213" s="201"/>
      <c r="AV213" s="201"/>
      <c r="AW213" s="201"/>
      <c r="AX213" s="201"/>
      <c r="AY213" s="201"/>
      <c r="AZ213" s="201"/>
    </row>
    <row r="214" spans="2:52">
      <c r="B214" s="35" t="s">
        <v>2</v>
      </c>
      <c r="C214" s="35"/>
      <c r="D214" s="32"/>
      <c r="E214" s="36" t="s">
        <v>511</v>
      </c>
      <c r="F214" s="37" t="s">
        <v>18</v>
      </c>
      <c r="G214" s="32"/>
      <c r="H214" s="33"/>
      <c r="I214" s="45"/>
      <c r="J214" s="42"/>
      <c r="K214" s="36"/>
      <c r="L214" s="211"/>
      <c r="M214" s="201"/>
      <c r="N214" s="201"/>
      <c r="O214" s="42"/>
      <c r="P214" s="44"/>
      <c r="Q214" s="44"/>
      <c r="R214" s="44"/>
      <c r="S214" s="34"/>
      <c r="T214" s="201"/>
      <c r="U214" s="201"/>
      <c r="V214" s="201"/>
      <c r="W214" s="201"/>
      <c r="X214" s="201"/>
      <c r="Y214" s="201"/>
      <c r="Z214" s="201"/>
      <c r="AA214" s="201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201"/>
      <c r="AP214" s="201"/>
      <c r="AQ214" s="201"/>
      <c r="AR214" s="201"/>
      <c r="AS214" s="201"/>
      <c r="AT214" s="201"/>
      <c r="AU214" s="201"/>
      <c r="AV214" s="201"/>
      <c r="AW214" s="201"/>
      <c r="AX214" s="201"/>
      <c r="AY214" s="201"/>
      <c r="AZ214" s="201"/>
    </row>
    <row r="215" spans="2:52">
      <c r="B215" s="201"/>
      <c r="C215" s="201"/>
      <c r="D215" s="201"/>
      <c r="E215" s="201"/>
      <c r="F215" s="201"/>
      <c r="G215" s="201"/>
      <c r="H215" s="201"/>
      <c r="I215" s="45"/>
      <c r="J215" s="42"/>
      <c r="K215" s="42"/>
      <c r="L215" s="43"/>
      <c r="M215" s="44"/>
      <c r="N215" s="44"/>
      <c r="O215" s="42"/>
      <c r="P215" s="44"/>
      <c r="Q215" s="44"/>
      <c r="R215" s="44"/>
      <c r="S215" s="34"/>
      <c r="T215" s="1265" t="s">
        <v>87</v>
      </c>
      <c r="U215" s="1265"/>
      <c r="V215" s="1265"/>
      <c r="W215" s="1265"/>
      <c r="X215" s="1265"/>
      <c r="Y215" s="1265" t="s">
        <v>73</v>
      </c>
      <c r="Z215" s="1265"/>
      <c r="AA215" s="1265"/>
      <c r="AB215" s="1265" t="s">
        <v>74</v>
      </c>
      <c r="AC215" s="1265"/>
      <c r="AD215" s="423" t="s">
        <v>85</v>
      </c>
      <c r="AE215" s="423" t="s">
        <v>77</v>
      </c>
      <c r="AF215" s="1265" t="s">
        <v>525</v>
      </c>
      <c r="AG215" s="1265"/>
      <c r="AH215" s="1265"/>
      <c r="AI215" s="1265"/>
      <c r="AJ215" s="1265"/>
      <c r="AK215" s="1265"/>
      <c r="AL215" s="1265"/>
      <c r="AM215" s="1265"/>
      <c r="AN215" s="1265"/>
      <c r="AO215" s="1265"/>
      <c r="AP215" s="1265"/>
      <c r="AQ215" s="1265"/>
      <c r="AR215" s="1265"/>
      <c r="AS215" s="1265"/>
      <c r="AT215" s="1265"/>
      <c r="AU215" s="1265"/>
      <c r="AV215" s="1265"/>
      <c r="AW215" s="1265"/>
      <c r="AX215" s="1265"/>
      <c r="AY215" s="1265"/>
      <c r="AZ215" s="201"/>
    </row>
    <row r="216" spans="2:52">
      <c r="B216" s="1266" t="s">
        <v>526</v>
      </c>
      <c r="C216" s="1267"/>
      <c r="D216" s="570" t="s">
        <v>527</v>
      </c>
      <c r="E216" s="570"/>
      <c r="F216" s="570" t="s">
        <v>528</v>
      </c>
      <c r="G216" s="570" t="s">
        <v>529</v>
      </c>
      <c r="H216" s="570" t="s">
        <v>530</v>
      </c>
      <c r="I216" s="570" t="s">
        <v>531</v>
      </c>
      <c r="J216" s="570" t="s">
        <v>532</v>
      </c>
      <c r="K216" s="570"/>
      <c r="L216" s="570" t="s">
        <v>130</v>
      </c>
      <c r="M216" s="570" t="s">
        <v>533</v>
      </c>
      <c r="N216" s="408" t="str">
        <f>"On time - "&amp;COUNTIF(N217:N223,"On time")&amp;" from "&amp;ROWS(N217:N223)-COUNTIF(N217:N223," ")</f>
        <v>On time - 0 from 7</v>
      </c>
      <c r="O216" s="46"/>
      <c r="P216" s="409" t="s">
        <v>534</v>
      </c>
      <c r="Q216" s="409" t="s">
        <v>535</v>
      </c>
      <c r="R216" s="409" t="s">
        <v>536</v>
      </c>
      <c r="S216" s="32"/>
      <c r="T216" s="424" t="s">
        <v>537</v>
      </c>
      <c r="U216" s="424" t="s">
        <v>538</v>
      </c>
      <c r="V216" s="424" t="s">
        <v>539</v>
      </c>
      <c r="W216" s="424" t="s">
        <v>540</v>
      </c>
      <c r="X216" s="424" t="s">
        <v>541</v>
      </c>
      <c r="Y216" s="424" t="s">
        <v>167</v>
      </c>
      <c r="Z216" s="424" t="s">
        <v>168</v>
      </c>
      <c r="AA216" s="424" t="s">
        <v>169</v>
      </c>
      <c r="AB216" s="424" t="s">
        <v>235</v>
      </c>
      <c r="AC216" s="424" t="s">
        <v>542</v>
      </c>
      <c r="AD216" s="423" t="s">
        <v>85</v>
      </c>
      <c r="AE216" s="424" t="s">
        <v>139</v>
      </c>
      <c r="AF216" s="424" t="s">
        <v>72</v>
      </c>
      <c r="AG216" s="424" t="s">
        <v>88</v>
      </c>
      <c r="AH216" s="424" t="s">
        <v>75</v>
      </c>
      <c r="AI216" s="424" t="s">
        <v>543</v>
      </c>
      <c r="AJ216" s="424" t="s">
        <v>78</v>
      </c>
      <c r="AK216" s="424" t="s">
        <v>76</v>
      </c>
      <c r="AL216" s="424" t="s">
        <v>544</v>
      </c>
      <c r="AM216" s="424" t="s">
        <v>545</v>
      </c>
      <c r="AN216" s="424" t="s">
        <v>86</v>
      </c>
      <c r="AO216" s="424" t="s">
        <v>83</v>
      </c>
      <c r="AP216" s="424" t="s">
        <v>84</v>
      </c>
      <c r="AQ216" s="424" t="s">
        <v>546</v>
      </c>
      <c r="AR216" s="424" t="s">
        <v>81</v>
      </c>
      <c r="AS216" s="424" t="s">
        <v>80</v>
      </c>
      <c r="AT216" s="424" t="s">
        <v>82</v>
      </c>
      <c r="AU216" s="424" t="s">
        <v>181</v>
      </c>
      <c r="AV216" s="424" t="s">
        <v>183</v>
      </c>
      <c r="AW216" s="424" t="s">
        <v>547</v>
      </c>
      <c r="AX216" s="424" t="s">
        <v>182</v>
      </c>
      <c r="AY216" s="424" t="s">
        <v>172</v>
      </c>
      <c r="AZ216" s="201"/>
    </row>
    <row r="217" spans="2:52">
      <c r="B217" s="1250" t="s">
        <v>643</v>
      </c>
      <c r="C217" s="1251"/>
      <c r="D217" s="411" t="s">
        <v>837</v>
      </c>
      <c r="E217" s="411"/>
      <c r="F217" s="411" t="s">
        <v>267</v>
      </c>
      <c r="G217" s="411" t="s">
        <v>268</v>
      </c>
      <c r="H217" s="412">
        <v>7604.7579999999998</v>
      </c>
      <c r="I217" s="413" t="s">
        <v>494</v>
      </c>
      <c r="J217" s="414">
        <v>44977.388888888891</v>
      </c>
      <c r="K217" s="414"/>
      <c r="L217" s="414" t="s">
        <v>192</v>
      </c>
      <c r="M217" s="414" t="s">
        <v>192</v>
      </c>
      <c r="N217" s="413" t="str">
        <f t="shared" ref="N217:N223" si="15">IF(ISBLANK(J217)," ",IF(J217&lt;$G$211,"On time",(IF(DAY(J217-$G$211)&lt;1,"On time",(IF(J217&gt;$G$211,"DELAY ( "&amp;DAY(J217-$G$211)&amp;" day "&amp;HOUR(J217-$G$211)&amp;" hour "&amp;MINUTE(J217-$G$211)&amp;" minute )","xxx"))))))</f>
        <v>DELAY ( 4 day 9 hour 20 minute )</v>
      </c>
      <c r="O217" s="51"/>
      <c r="P217" s="415" t="s">
        <v>551</v>
      </c>
      <c r="Q217" s="415" t="s">
        <v>551</v>
      </c>
      <c r="R217" s="415" t="s">
        <v>551</v>
      </c>
      <c r="S217" s="32"/>
      <c r="T217" s="416"/>
      <c r="U217" s="416"/>
      <c r="V217" s="416"/>
      <c r="W217" s="416"/>
      <c r="X217" s="416"/>
      <c r="Y217" s="416">
        <f>H217</f>
        <v>7604.7579999999998</v>
      </c>
      <c r="Z217" s="416"/>
      <c r="AA217" s="416"/>
      <c r="AB217" s="416"/>
      <c r="AC217" s="416"/>
      <c r="AD217" s="416"/>
      <c r="AE217" s="416"/>
      <c r="AF217" s="416"/>
      <c r="AG217" s="416"/>
      <c r="AH217" s="416"/>
      <c r="AI217" s="416"/>
      <c r="AJ217" s="416"/>
      <c r="AK217" s="416"/>
      <c r="AL217" s="416"/>
      <c r="AM217" s="416"/>
      <c r="AN217" s="416"/>
      <c r="AO217" s="416"/>
      <c r="AP217" s="416"/>
      <c r="AQ217" s="416"/>
      <c r="AR217" s="416"/>
      <c r="AS217" s="416"/>
      <c r="AT217" s="416"/>
      <c r="AU217" s="416"/>
      <c r="AV217" s="416"/>
      <c r="AW217" s="416"/>
      <c r="AX217" s="416"/>
      <c r="AY217" s="416"/>
      <c r="AZ217" s="32"/>
    </row>
    <row r="218" spans="2:52">
      <c r="B218" s="1254"/>
      <c r="C218" s="1255"/>
      <c r="D218" s="411" t="s">
        <v>777</v>
      </c>
      <c r="E218" s="425"/>
      <c r="F218" s="411" t="s">
        <v>355</v>
      </c>
      <c r="G218" s="411" t="s">
        <v>356</v>
      </c>
      <c r="H218" s="412">
        <f>7500/2</f>
        <v>3750</v>
      </c>
      <c r="I218" s="413" t="s">
        <v>76</v>
      </c>
      <c r="J218" s="414">
        <v>44976.152777777781</v>
      </c>
      <c r="K218" s="414"/>
      <c r="L218" s="414" t="s">
        <v>192</v>
      </c>
      <c r="M218" s="414" t="s">
        <v>192</v>
      </c>
      <c r="N218" s="413" t="str">
        <f t="shared" si="15"/>
        <v>DELAY ( 3 day 3 hour 40 minute )</v>
      </c>
      <c r="O218" s="51"/>
      <c r="P218" s="415" t="s">
        <v>551</v>
      </c>
      <c r="Q218" s="415" t="s">
        <v>551</v>
      </c>
      <c r="R218" s="415" t="s">
        <v>551</v>
      </c>
      <c r="S218" s="32"/>
      <c r="T218" s="416"/>
      <c r="U218" s="416"/>
      <c r="V218" s="416"/>
      <c r="W218" s="416"/>
      <c r="X218" s="416"/>
      <c r="Y218" s="416"/>
      <c r="Z218" s="416"/>
      <c r="AA218" s="416"/>
      <c r="AB218" s="416"/>
      <c r="AC218" s="416"/>
      <c r="AD218" s="416"/>
      <c r="AE218" s="416"/>
      <c r="AF218" s="416"/>
      <c r="AG218" s="416"/>
      <c r="AH218" s="416"/>
      <c r="AI218" s="416"/>
      <c r="AJ218" s="416"/>
      <c r="AK218" s="416">
        <f>H218</f>
        <v>3750</v>
      </c>
      <c r="AL218" s="416"/>
      <c r="AM218" s="416"/>
      <c r="AN218" s="416"/>
      <c r="AO218" s="416"/>
      <c r="AP218" s="416"/>
      <c r="AQ218" s="416"/>
      <c r="AR218" s="416"/>
      <c r="AS218" s="416"/>
      <c r="AT218" s="416"/>
      <c r="AU218" s="416"/>
      <c r="AV218" s="416"/>
      <c r="AW218" s="416"/>
      <c r="AX218" s="416"/>
      <c r="AY218" s="416"/>
      <c r="AZ218" s="32"/>
    </row>
    <row r="219" spans="2:52">
      <c r="B219" s="1250" t="s">
        <v>644</v>
      </c>
      <c r="C219" s="1251"/>
      <c r="D219" s="411" t="s">
        <v>777</v>
      </c>
      <c r="E219" s="425"/>
      <c r="F219" s="411" t="s">
        <v>355</v>
      </c>
      <c r="G219" s="411" t="s">
        <v>356</v>
      </c>
      <c r="H219" s="412">
        <f>H218</f>
        <v>3750</v>
      </c>
      <c r="I219" s="413" t="s">
        <v>76</v>
      </c>
      <c r="J219" s="414">
        <v>44976.152777777781</v>
      </c>
      <c r="K219" s="414"/>
      <c r="L219" s="414" t="s">
        <v>192</v>
      </c>
      <c r="M219" s="414" t="s">
        <v>192</v>
      </c>
      <c r="N219" s="413" t="str">
        <f t="shared" si="15"/>
        <v>DELAY ( 3 day 3 hour 40 minute )</v>
      </c>
      <c r="O219" s="51"/>
      <c r="P219" s="415" t="s">
        <v>551</v>
      </c>
      <c r="Q219" s="415" t="s">
        <v>551</v>
      </c>
      <c r="R219" s="415" t="s">
        <v>551</v>
      </c>
      <c r="S219" s="32"/>
      <c r="T219" s="416"/>
      <c r="U219" s="416"/>
      <c r="V219" s="416"/>
      <c r="W219" s="416"/>
      <c r="X219" s="416"/>
      <c r="Y219" s="416"/>
      <c r="Z219" s="416"/>
      <c r="AA219" s="416"/>
      <c r="AB219" s="416"/>
      <c r="AC219" s="416"/>
      <c r="AD219" s="416"/>
      <c r="AE219" s="416"/>
      <c r="AF219" s="416"/>
      <c r="AG219" s="416"/>
      <c r="AH219" s="416"/>
      <c r="AI219" s="416"/>
      <c r="AJ219" s="416"/>
      <c r="AK219" s="416">
        <f>H219</f>
        <v>3750</v>
      </c>
      <c r="AL219" s="416"/>
      <c r="AM219" s="416"/>
      <c r="AN219" s="416"/>
      <c r="AO219" s="416"/>
      <c r="AP219" s="416"/>
      <c r="AQ219" s="416"/>
      <c r="AR219" s="416"/>
      <c r="AS219" s="416"/>
      <c r="AT219" s="416"/>
      <c r="AU219" s="416"/>
      <c r="AV219" s="416"/>
      <c r="AW219" s="416"/>
      <c r="AX219" s="416"/>
      <c r="AY219" s="416"/>
      <c r="AZ219" s="32"/>
    </row>
    <row r="220" spans="2:52">
      <c r="B220" s="1254"/>
      <c r="C220" s="1255"/>
      <c r="D220" s="411" t="s">
        <v>838</v>
      </c>
      <c r="E220" s="411"/>
      <c r="F220" s="411" t="s">
        <v>249</v>
      </c>
      <c r="G220" s="411" t="s">
        <v>250</v>
      </c>
      <c r="H220" s="412">
        <v>7513.1549999999997</v>
      </c>
      <c r="I220" s="413" t="s">
        <v>494</v>
      </c>
      <c r="J220" s="414">
        <v>44977.541666666664</v>
      </c>
      <c r="K220" s="414"/>
      <c r="L220" s="414" t="s">
        <v>192</v>
      </c>
      <c r="M220" s="414" t="s">
        <v>192</v>
      </c>
      <c r="N220" s="413" t="str">
        <f t="shared" si="15"/>
        <v>DELAY ( 4 day 13 hour 0 minute )</v>
      </c>
      <c r="O220" s="51"/>
      <c r="P220" s="415" t="s">
        <v>551</v>
      </c>
      <c r="Q220" s="415" t="s">
        <v>551</v>
      </c>
      <c r="R220" s="415" t="s">
        <v>551</v>
      </c>
      <c r="S220" s="32"/>
      <c r="T220" s="416"/>
      <c r="U220" s="416"/>
      <c r="V220" s="416"/>
      <c r="W220" s="416"/>
      <c r="X220" s="416"/>
      <c r="Y220" s="416">
        <f>H220</f>
        <v>7513.1549999999997</v>
      </c>
      <c r="Z220" s="416"/>
      <c r="AA220" s="416"/>
      <c r="AB220" s="416"/>
      <c r="AC220" s="416"/>
      <c r="AD220" s="416"/>
      <c r="AE220" s="416"/>
      <c r="AF220" s="416"/>
      <c r="AG220" s="416"/>
      <c r="AH220" s="416"/>
      <c r="AI220" s="416"/>
      <c r="AJ220" s="416"/>
      <c r="AK220" s="416"/>
      <c r="AL220" s="416"/>
      <c r="AM220" s="416"/>
      <c r="AN220" s="416"/>
      <c r="AO220" s="416"/>
      <c r="AP220" s="416"/>
      <c r="AQ220" s="416"/>
      <c r="AR220" s="416"/>
      <c r="AS220" s="416"/>
      <c r="AT220" s="416"/>
      <c r="AU220" s="416"/>
      <c r="AV220" s="416"/>
      <c r="AW220" s="416"/>
      <c r="AX220" s="416"/>
      <c r="AY220" s="416"/>
      <c r="AZ220" s="32"/>
    </row>
    <row r="221" spans="2:52">
      <c r="B221" s="1250" t="s">
        <v>896</v>
      </c>
      <c r="C221" s="1251"/>
      <c r="D221" s="411" t="s">
        <v>752</v>
      </c>
      <c r="E221" s="411"/>
      <c r="F221" s="411" t="s">
        <v>70</v>
      </c>
      <c r="G221" s="411" t="s">
        <v>255</v>
      </c>
      <c r="H221" s="412">
        <v>7527.8490000000002</v>
      </c>
      <c r="I221" s="413" t="s">
        <v>611</v>
      </c>
      <c r="J221" s="414">
        <v>44976.96875</v>
      </c>
      <c r="K221" s="414"/>
      <c r="L221" s="414" t="s">
        <v>192</v>
      </c>
      <c r="M221" s="414" t="s">
        <v>192</v>
      </c>
      <c r="N221" s="413" t="str">
        <f t="shared" si="15"/>
        <v>DELAY ( 3 day 23 hour 15 minute )</v>
      </c>
      <c r="O221" s="51"/>
      <c r="P221" s="415" t="s">
        <v>551</v>
      </c>
      <c r="Q221" s="415" t="s">
        <v>551</v>
      </c>
      <c r="R221" s="415" t="s">
        <v>551</v>
      </c>
      <c r="S221" s="32"/>
      <c r="T221" s="416">
        <f>H221</f>
        <v>7527.8490000000002</v>
      </c>
      <c r="U221" s="416"/>
      <c r="V221" s="416"/>
      <c r="W221" s="416"/>
      <c r="X221" s="416"/>
      <c r="Y221" s="416"/>
      <c r="Z221" s="416"/>
      <c r="AA221" s="416"/>
      <c r="AB221" s="416"/>
      <c r="AC221" s="416"/>
      <c r="AD221" s="416"/>
      <c r="AE221" s="416"/>
      <c r="AF221" s="416"/>
      <c r="AG221" s="416"/>
      <c r="AH221" s="416"/>
      <c r="AI221" s="416"/>
      <c r="AJ221" s="416"/>
      <c r="AK221" s="416"/>
      <c r="AL221" s="416"/>
      <c r="AM221" s="416"/>
      <c r="AN221" s="416"/>
      <c r="AO221" s="416"/>
      <c r="AP221" s="416"/>
      <c r="AQ221" s="416"/>
      <c r="AR221" s="416"/>
      <c r="AS221" s="416"/>
      <c r="AT221" s="416"/>
      <c r="AU221" s="416"/>
      <c r="AV221" s="416"/>
      <c r="AW221" s="416"/>
      <c r="AX221" s="416"/>
      <c r="AY221" s="416"/>
      <c r="AZ221" s="32"/>
    </row>
    <row r="222" spans="2:52">
      <c r="B222" s="1254"/>
      <c r="C222" s="1255"/>
      <c r="D222" s="411" t="s">
        <v>832</v>
      </c>
      <c r="E222" s="411"/>
      <c r="F222" s="411" t="s">
        <v>301</v>
      </c>
      <c r="G222" s="411" t="s">
        <v>302</v>
      </c>
      <c r="H222" s="412">
        <v>9140.4230000000007</v>
      </c>
      <c r="I222" s="413" t="s">
        <v>494</v>
      </c>
      <c r="J222" s="414">
        <v>44977.385416666664</v>
      </c>
      <c r="K222" s="414"/>
      <c r="L222" s="414" t="s">
        <v>192</v>
      </c>
      <c r="M222" s="414" t="s">
        <v>192</v>
      </c>
      <c r="N222" s="413" t="str">
        <f t="shared" si="15"/>
        <v>DELAY ( 4 day 9 hour 15 minute )</v>
      </c>
      <c r="O222" s="51"/>
      <c r="P222" s="415" t="s">
        <v>551</v>
      </c>
      <c r="Q222" s="415" t="s">
        <v>551</v>
      </c>
      <c r="R222" s="415" t="s">
        <v>551</v>
      </c>
      <c r="S222" s="32"/>
      <c r="T222" s="416"/>
      <c r="U222" s="416"/>
      <c r="V222" s="416"/>
      <c r="W222" s="416"/>
      <c r="X222" s="416"/>
      <c r="Y222" s="416">
        <f>H222</f>
        <v>9140.4230000000007</v>
      </c>
      <c r="Z222" s="416"/>
      <c r="AA222" s="416"/>
      <c r="AB222" s="416"/>
      <c r="AC222" s="416"/>
      <c r="AD222" s="416"/>
      <c r="AE222" s="416"/>
      <c r="AF222" s="416"/>
      <c r="AG222" s="416"/>
      <c r="AH222" s="416"/>
      <c r="AI222" s="416"/>
      <c r="AJ222" s="416"/>
      <c r="AK222" s="416"/>
      <c r="AL222" s="416"/>
      <c r="AM222" s="416"/>
      <c r="AN222" s="416"/>
      <c r="AO222" s="416"/>
      <c r="AP222" s="416"/>
      <c r="AQ222" s="416"/>
      <c r="AR222" s="416"/>
      <c r="AS222" s="416"/>
      <c r="AT222" s="416"/>
      <c r="AU222" s="416"/>
      <c r="AV222" s="416"/>
      <c r="AW222" s="416"/>
      <c r="AX222" s="416"/>
      <c r="AY222" s="416"/>
      <c r="AZ222" s="32"/>
    </row>
    <row r="223" spans="2:52">
      <c r="B223" s="1256" t="s">
        <v>548</v>
      </c>
      <c r="C223" s="1257"/>
      <c r="D223" s="411" t="s">
        <v>833</v>
      </c>
      <c r="E223" s="411"/>
      <c r="F223" s="411" t="s">
        <v>473</v>
      </c>
      <c r="G223" s="411" t="s">
        <v>474</v>
      </c>
      <c r="H223" s="412">
        <f>7503.187-509.372</f>
        <v>6993.8149999999996</v>
      </c>
      <c r="I223" s="413" t="s">
        <v>494</v>
      </c>
      <c r="J223" s="414">
        <v>44977.395833333336</v>
      </c>
      <c r="K223" s="414"/>
      <c r="L223" s="414" t="s">
        <v>192</v>
      </c>
      <c r="M223" s="414" t="s">
        <v>192</v>
      </c>
      <c r="N223" s="413" t="str">
        <f t="shared" si="15"/>
        <v>DELAY ( 4 day 9 hour 30 minute )</v>
      </c>
      <c r="O223" s="51"/>
      <c r="P223" s="415" t="s">
        <v>551</v>
      </c>
      <c r="Q223" s="415" t="s">
        <v>551</v>
      </c>
      <c r="R223" s="415" t="s">
        <v>551</v>
      </c>
      <c r="S223" s="32"/>
      <c r="T223" s="416"/>
      <c r="U223" s="416"/>
      <c r="V223" s="416"/>
      <c r="W223" s="416"/>
      <c r="X223" s="416"/>
      <c r="Y223" s="416">
        <f>H223</f>
        <v>6993.8149999999996</v>
      </c>
      <c r="Z223" s="416"/>
      <c r="AA223" s="416"/>
      <c r="AB223" s="416"/>
      <c r="AC223" s="416"/>
      <c r="AD223" s="416"/>
      <c r="AE223" s="416"/>
      <c r="AF223" s="416"/>
      <c r="AG223" s="416"/>
      <c r="AH223" s="416"/>
      <c r="AI223" s="416"/>
      <c r="AJ223" s="416"/>
      <c r="AK223" s="416"/>
      <c r="AL223" s="416"/>
      <c r="AM223" s="416"/>
      <c r="AN223" s="416"/>
      <c r="AO223" s="416"/>
      <c r="AP223" s="416"/>
      <c r="AQ223" s="416"/>
      <c r="AR223" s="416"/>
      <c r="AS223" s="416"/>
      <c r="AT223" s="416"/>
      <c r="AU223" s="416"/>
      <c r="AV223" s="416"/>
      <c r="AW223" s="416"/>
      <c r="AX223" s="416"/>
      <c r="AY223" s="416"/>
      <c r="AZ223" s="32"/>
    </row>
    <row r="224" spans="2:52">
      <c r="B224" s="1258" t="s">
        <v>556</v>
      </c>
      <c r="C224" s="1259"/>
      <c r="D224" s="1259"/>
      <c r="E224" s="1259"/>
      <c r="F224" s="1259"/>
      <c r="G224" s="1260"/>
      <c r="H224" s="417">
        <f>SUM(H217:H223)</f>
        <v>46280.000000000007</v>
      </c>
      <c r="I224" s="388"/>
      <c r="J224" s="293"/>
      <c r="K224" s="293"/>
      <c r="L224" s="293"/>
      <c r="M224" s="389"/>
      <c r="N224" s="413" t="str">
        <f>IF(ISBLANK(J224)," ",IF(J224&lt;$F$4,"On time",(IF(DAY(J224-$F$4)&lt;1,"On time",(IF(J224&gt;$F$4,"DELAY ( "&amp;DAY(J224-$F$4)&amp;" day "&amp;HOUR(J224-$F$4)&amp;" hour "&amp;MINUTE(J224-$F$4)&amp;" minute )","xxx"))))))</f>
        <v xml:space="preserve"> </v>
      </c>
      <c r="O224" s="212"/>
      <c r="P224" s="418"/>
      <c r="Q224" s="418"/>
      <c r="R224" s="418"/>
      <c r="S224" s="207"/>
      <c r="T224" s="1262"/>
      <c r="U224" s="1263"/>
      <c r="V224" s="1263"/>
      <c r="W224" s="1263"/>
      <c r="X224" s="1263"/>
      <c r="Y224" s="1263"/>
      <c r="Z224" s="1263"/>
      <c r="AA224" s="1263"/>
      <c r="AB224" s="1263"/>
      <c r="AC224" s="1263"/>
      <c r="AD224" s="1263"/>
      <c r="AE224" s="1263"/>
      <c r="AF224" s="1263"/>
      <c r="AG224" s="1263"/>
      <c r="AH224" s="1263"/>
      <c r="AI224" s="1263"/>
      <c r="AJ224" s="1263"/>
      <c r="AK224" s="1263"/>
      <c r="AL224" s="1263"/>
      <c r="AM224" s="1263"/>
      <c r="AN224" s="1263"/>
      <c r="AO224" s="1263"/>
      <c r="AP224" s="1263"/>
      <c r="AQ224" s="1263"/>
      <c r="AR224" s="1263"/>
      <c r="AS224" s="1263"/>
      <c r="AT224" s="1263"/>
      <c r="AU224" s="1263"/>
      <c r="AV224" s="1263"/>
      <c r="AW224" s="1263"/>
      <c r="AX224" s="1263"/>
      <c r="AY224" s="1264"/>
    </row>
    <row r="225" spans="2:52">
      <c r="B225" s="1243" t="s">
        <v>557</v>
      </c>
      <c r="C225" s="1244"/>
      <c r="D225" s="1244"/>
      <c r="E225" s="1244"/>
      <c r="F225" s="1244"/>
      <c r="G225" s="1245"/>
      <c r="H225" s="419">
        <v>46280</v>
      </c>
      <c r="I225" s="1273"/>
      <c r="J225" s="1274"/>
      <c r="K225" s="1274"/>
      <c r="L225" s="1274"/>
      <c r="M225" s="1275"/>
      <c r="N225" s="413" t="str">
        <f>IF(ISBLANK(J225)," ",IF(J225&lt;$F$4,"On time",(IF(DAY(J225-$F$4)&lt;1,"On time",(IF(J225&gt;$F$4,"DELAY ( "&amp;DAY(J225-$F$4)&amp;" day "&amp;HOUR(J225-$F$4)&amp;" hour "&amp;MINUTE(J225-$F$4)&amp;" minute )","xxx"))))))</f>
        <v xml:space="preserve"> </v>
      </c>
      <c r="O225" s="32"/>
      <c r="P225" s="415"/>
      <c r="Q225" s="415"/>
      <c r="R225" s="415"/>
      <c r="S225" s="63"/>
      <c r="T225" s="416">
        <f>SUM(T217:T223)</f>
        <v>7527.8490000000002</v>
      </c>
      <c r="U225" s="416">
        <f t="shared" ref="U225:AY225" si="16">SUM(U217:U223)</f>
        <v>0</v>
      </c>
      <c r="V225" s="416">
        <f t="shared" si="16"/>
        <v>0</v>
      </c>
      <c r="W225" s="416">
        <f t="shared" si="16"/>
        <v>0</v>
      </c>
      <c r="X225" s="416">
        <f t="shared" si="16"/>
        <v>0</v>
      </c>
      <c r="Y225" s="416">
        <f t="shared" si="16"/>
        <v>31252.151000000002</v>
      </c>
      <c r="Z225" s="416">
        <f t="shared" si="16"/>
        <v>0</v>
      </c>
      <c r="AA225" s="416">
        <f t="shared" si="16"/>
        <v>0</v>
      </c>
      <c r="AB225" s="416">
        <f t="shared" si="16"/>
        <v>0</v>
      </c>
      <c r="AC225" s="416">
        <f t="shared" si="16"/>
        <v>0</v>
      </c>
      <c r="AD225" s="416">
        <f t="shared" si="16"/>
        <v>0</v>
      </c>
      <c r="AE225" s="416">
        <f t="shared" si="16"/>
        <v>0</v>
      </c>
      <c r="AF225" s="416">
        <f t="shared" si="16"/>
        <v>0</v>
      </c>
      <c r="AG225" s="416">
        <f t="shared" si="16"/>
        <v>0</v>
      </c>
      <c r="AH225" s="416">
        <f t="shared" si="16"/>
        <v>0</v>
      </c>
      <c r="AI225" s="416">
        <f t="shared" si="16"/>
        <v>0</v>
      </c>
      <c r="AJ225" s="416">
        <f t="shared" si="16"/>
        <v>0</v>
      </c>
      <c r="AK225" s="416">
        <f t="shared" si="16"/>
        <v>7500</v>
      </c>
      <c r="AL225" s="416">
        <f t="shared" si="16"/>
        <v>0</v>
      </c>
      <c r="AM225" s="416">
        <f t="shared" si="16"/>
        <v>0</v>
      </c>
      <c r="AN225" s="416">
        <f t="shared" si="16"/>
        <v>0</v>
      </c>
      <c r="AO225" s="416">
        <f t="shared" si="16"/>
        <v>0</v>
      </c>
      <c r="AP225" s="416">
        <f t="shared" si="16"/>
        <v>0</v>
      </c>
      <c r="AQ225" s="416">
        <f t="shared" si="16"/>
        <v>0</v>
      </c>
      <c r="AR225" s="416">
        <f t="shared" si="16"/>
        <v>0</v>
      </c>
      <c r="AS225" s="416">
        <f t="shared" si="16"/>
        <v>0</v>
      </c>
      <c r="AT225" s="416">
        <f t="shared" si="16"/>
        <v>0</v>
      </c>
      <c r="AU225" s="416">
        <f t="shared" si="16"/>
        <v>0</v>
      </c>
      <c r="AV225" s="416">
        <f t="shared" si="16"/>
        <v>0</v>
      </c>
      <c r="AW225" s="416">
        <f t="shared" si="16"/>
        <v>0</v>
      </c>
      <c r="AX225" s="416">
        <f t="shared" si="16"/>
        <v>0</v>
      </c>
      <c r="AY225" s="416">
        <f t="shared" si="16"/>
        <v>0</v>
      </c>
      <c r="AZ225" s="416">
        <f>SUM(T225:AY225)</f>
        <v>46280</v>
      </c>
    </row>
    <row r="226" spans="2:52">
      <c r="B226" s="1243" t="s">
        <v>558</v>
      </c>
      <c r="C226" s="1244"/>
      <c r="D226" s="1244"/>
      <c r="E226" s="1244"/>
      <c r="F226" s="1244"/>
      <c r="G226" s="1245"/>
      <c r="H226" s="420">
        <f>H225-L211</f>
        <v>0</v>
      </c>
      <c r="I226" s="294"/>
      <c r="J226" s="295"/>
      <c r="K226" s="295"/>
      <c r="L226" s="296"/>
      <c r="M226" s="32"/>
      <c r="N226" s="32"/>
      <c r="O226" s="32"/>
      <c r="P226" s="32"/>
      <c r="Q226" s="297"/>
      <c r="R226" s="297"/>
      <c r="S226" s="32"/>
      <c r="T226" s="48"/>
      <c r="U226" s="48"/>
      <c r="V226" s="48"/>
      <c r="W226" s="48"/>
      <c r="X226" s="48"/>
      <c r="Y226" s="48"/>
      <c r="Z226" s="48"/>
      <c r="AA226" s="48"/>
      <c r="AB226" s="48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</row>
    <row r="227" spans="2:52">
      <c r="B227" s="1243" t="s">
        <v>559</v>
      </c>
      <c r="C227" s="1244"/>
      <c r="D227" s="1244"/>
      <c r="E227" s="1244"/>
      <c r="F227" s="1244"/>
      <c r="G227" s="1245"/>
      <c r="H227" s="420">
        <v>136.94800000000001</v>
      </c>
      <c r="I227" s="52"/>
      <c r="J227" s="53"/>
      <c r="K227" s="53"/>
      <c r="L227" s="54"/>
      <c r="M227" s="32"/>
      <c r="N227" s="201"/>
      <c r="O227" s="32"/>
      <c r="P227" s="32"/>
      <c r="Q227" s="32"/>
      <c r="R227" s="32"/>
      <c r="S227" s="32"/>
      <c r="T227" s="48"/>
      <c r="U227" s="48"/>
      <c r="V227" s="48"/>
      <c r="W227" s="48"/>
      <c r="X227" s="48"/>
      <c r="Y227" s="48"/>
      <c r="Z227" s="48"/>
      <c r="AA227" s="48"/>
      <c r="AB227" s="48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</row>
    <row r="228" spans="2:52">
      <c r="B228" s="1243" t="s">
        <v>560</v>
      </c>
      <c r="C228" s="1244"/>
      <c r="D228" s="1244"/>
      <c r="E228" s="1244"/>
      <c r="F228" s="1244"/>
      <c r="G228" s="1245"/>
      <c r="H228" s="421">
        <f>H227-509.372</f>
        <v>-372.42399999999998</v>
      </c>
      <c r="I228" s="255"/>
      <c r="J228" s="53"/>
      <c r="K228" s="53"/>
      <c r="L228" s="54"/>
      <c r="M228" s="32"/>
      <c r="N228" s="32"/>
      <c r="O228" s="32"/>
      <c r="P228" s="32"/>
      <c r="Q228" s="32"/>
      <c r="R228" s="32"/>
      <c r="S228" s="48"/>
      <c r="T228" s="48"/>
      <c r="U228" s="48"/>
      <c r="V228" s="48"/>
      <c r="W228" s="48"/>
      <c r="X228" s="48"/>
      <c r="Y228" s="48"/>
      <c r="Z228" s="48"/>
      <c r="AA228" s="48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</row>
    <row r="229" spans="2:52">
      <c r="B229" s="201"/>
      <c r="C229" s="201"/>
      <c r="D229" s="201"/>
      <c r="E229" s="201"/>
      <c r="F229" s="201"/>
      <c r="G229" s="201"/>
      <c r="H229" s="201"/>
      <c r="I229" s="213"/>
      <c r="J229" s="209"/>
      <c r="K229" s="209"/>
      <c r="L229" s="203"/>
      <c r="M229" s="201"/>
      <c r="N229" s="201"/>
      <c r="O229" s="209"/>
      <c r="P229" s="32"/>
      <c r="Q229" s="32"/>
      <c r="R229" s="32"/>
      <c r="S229" s="32"/>
      <c r="T229" s="48"/>
      <c r="U229" s="48"/>
      <c r="V229" s="48"/>
      <c r="W229" s="48"/>
      <c r="X229" s="48"/>
      <c r="Y229" s="48"/>
      <c r="Z229" s="48"/>
      <c r="AA229" s="48"/>
      <c r="AB229" s="48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</row>
    <row r="230" spans="2:52">
      <c r="B230" s="40" t="s">
        <v>561</v>
      </c>
      <c r="C230" s="40"/>
      <c r="D230" s="32"/>
      <c r="E230" s="32"/>
      <c r="F230" s="32"/>
      <c r="G230" s="32"/>
      <c r="H230" s="32"/>
      <c r="I230" s="32"/>
      <c r="J230" s="52"/>
      <c r="K230" s="52"/>
      <c r="L230" s="55"/>
      <c r="M230" s="32"/>
      <c r="N230" s="201"/>
      <c r="O230" s="5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1"/>
      <c r="AC230" s="201"/>
      <c r="AD230" s="201"/>
      <c r="AE230" s="201"/>
      <c r="AF230" s="201"/>
      <c r="AG230" s="201"/>
      <c r="AH230" s="201"/>
      <c r="AI230" s="201"/>
      <c r="AJ230" s="201"/>
      <c r="AK230" s="201"/>
      <c r="AL230" s="201"/>
      <c r="AM230" s="201"/>
      <c r="AN230" s="201"/>
      <c r="AO230" s="201"/>
      <c r="AP230" s="201"/>
      <c r="AQ230" s="201"/>
      <c r="AR230" s="201"/>
      <c r="AS230" s="201"/>
      <c r="AT230" s="201"/>
      <c r="AU230" s="201"/>
      <c r="AZ230" s="201"/>
    </row>
    <row r="231" spans="2:52">
      <c r="B231" s="422">
        <v>1</v>
      </c>
      <c r="C231" s="1249" t="s">
        <v>897</v>
      </c>
      <c r="D231" s="1249"/>
      <c r="E231" s="1249"/>
      <c r="F231" s="1249"/>
      <c r="G231" s="1249"/>
      <c r="H231" s="1249"/>
      <c r="I231" s="1249"/>
      <c r="J231" s="1249"/>
      <c r="K231" s="1249"/>
      <c r="L231" s="203"/>
      <c r="M231" s="201"/>
      <c r="N231" s="201"/>
      <c r="O231" s="209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  <c r="AB231" s="201"/>
      <c r="AC231" s="201"/>
      <c r="AD231" s="201"/>
      <c r="AE231" s="201"/>
      <c r="AF231" s="201"/>
      <c r="AG231" s="201"/>
      <c r="AH231" s="201"/>
      <c r="AI231" s="201"/>
      <c r="AJ231" s="201"/>
      <c r="AK231" s="201"/>
      <c r="AL231" s="201"/>
      <c r="AM231" s="201"/>
      <c r="AN231" s="201"/>
      <c r="AO231" s="201"/>
      <c r="AP231" s="201"/>
      <c r="AQ231" s="201"/>
      <c r="AR231" s="201"/>
      <c r="AS231" s="201"/>
      <c r="AT231" s="201"/>
      <c r="AU231" s="201"/>
      <c r="AZ231" s="201"/>
    </row>
    <row r="233" spans="2:52">
      <c r="B233" s="28" t="s">
        <v>2</v>
      </c>
      <c r="C233" s="28"/>
      <c r="D233" s="29"/>
      <c r="E233" s="30" t="s">
        <v>511</v>
      </c>
      <c r="F233" s="31" t="s">
        <v>684</v>
      </c>
      <c r="G233" s="32"/>
      <c r="H233" s="33"/>
      <c r="I233" s="34"/>
      <c r="J233" s="35" t="s">
        <v>513</v>
      </c>
      <c r="K233" s="36" t="s">
        <v>511</v>
      </c>
      <c r="L233" s="37">
        <v>44977.875</v>
      </c>
      <c r="M233" s="32"/>
      <c r="N233" s="32"/>
      <c r="O233" s="206"/>
      <c r="P233" s="205"/>
      <c r="Q233" s="202"/>
      <c r="R233" s="204"/>
      <c r="S233" s="38"/>
      <c r="T233" s="201"/>
      <c r="U233" s="201"/>
      <c r="V233" s="201"/>
      <c r="W233" s="201"/>
      <c r="X233" s="201"/>
      <c r="Y233" s="201"/>
      <c r="Z233" s="201"/>
      <c r="AA233" s="201"/>
      <c r="AB233" s="202"/>
      <c r="AC233" s="202"/>
      <c r="AD233" s="202"/>
      <c r="AE233" s="202"/>
      <c r="AF233" s="202"/>
      <c r="AG233" s="201"/>
      <c r="AH233" s="201"/>
      <c r="AI233" s="201"/>
      <c r="AJ233" s="201"/>
      <c r="AK233" s="201"/>
      <c r="AL233" s="201"/>
      <c r="AM233" s="201"/>
      <c r="AN233" s="201"/>
      <c r="AO233" s="201"/>
      <c r="AP233" s="201"/>
      <c r="AQ233" s="201"/>
      <c r="AR233" s="201"/>
      <c r="AS233" s="201"/>
      <c r="AT233" s="201"/>
      <c r="AU233" s="201"/>
      <c r="AV233" s="201"/>
      <c r="AW233" s="201"/>
      <c r="AX233" s="201"/>
      <c r="AY233" s="201"/>
      <c r="AZ233" s="201"/>
    </row>
    <row r="234" spans="2:52">
      <c r="B234" s="35" t="s">
        <v>514</v>
      </c>
      <c r="C234" s="35"/>
      <c r="D234" s="32"/>
      <c r="E234" s="36" t="s">
        <v>511</v>
      </c>
      <c r="F234" s="37" t="s">
        <v>898</v>
      </c>
      <c r="G234" s="32"/>
      <c r="H234" s="33"/>
      <c r="I234" s="34"/>
      <c r="J234" s="35" t="s">
        <v>516</v>
      </c>
      <c r="K234" s="36" t="s">
        <v>511</v>
      </c>
      <c r="L234" s="37">
        <v>44979.90625</v>
      </c>
      <c r="M234" s="32"/>
      <c r="N234" s="32"/>
      <c r="O234" s="206"/>
      <c r="P234" s="205"/>
      <c r="Q234" s="202"/>
      <c r="R234" s="204"/>
      <c r="S234" s="38"/>
      <c r="T234" s="201"/>
      <c r="U234" s="201"/>
      <c r="V234" s="201"/>
      <c r="W234" s="201"/>
      <c r="X234" s="201"/>
      <c r="Y234" s="201"/>
      <c r="Z234" s="201"/>
      <c r="AA234" s="201"/>
      <c r="AB234" s="202"/>
      <c r="AC234" s="202"/>
      <c r="AD234" s="202"/>
      <c r="AE234" s="202"/>
      <c r="AF234" s="202"/>
      <c r="AG234" s="201"/>
      <c r="AH234" s="201"/>
      <c r="AI234" s="201"/>
      <c r="AJ234" s="201"/>
      <c r="AK234" s="201"/>
      <c r="AL234" s="201"/>
      <c r="AM234" s="201"/>
      <c r="AN234" s="201"/>
      <c r="AO234" s="201"/>
      <c r="AP234" s="201"/>
      <c r="AQ234" s="201"/>
      <c r="AR234" s="201"/>
      <c r="AS234" s="201"/>
      <c r="AT234" s="201"/>
      <c r="AU234" s="201"/>
      <c r="AV234" s="201"/>
      <c r="AW234" s="201"/>
      <c r="AX234" s="201"/>
      <c r="AY234" s="201"/>
      <c r="AZ234" s="201"/>
    </row>
    <row r="235" spans="2:52">
      <c r="B235" s="35" t="s">
        <v>517</v>
      </c>
      <c r="C235" s="35"/>
      <c r="D235" s="32"/>
      <c r="E235" s="36" t="s">
        <v>511</v>
      </c>
      <c r="F235" s="37">
        <v>44972.000694444447</v>
      </c>
      <c r="G235" s="32"/>
      <c r="H235" s="33"/>
      <c r="I235" s="34"/>
      <c r="J235" s="35" t="s">
        <v>518</v>
      </c>
      <c r="K235" s="36" t="s">
        <v>511</v>
      </c>
      <c r="L235" s="50">
        <v>77000</v>
      </c>
      <c r="M235" s="40" t="s">
        <v>519</v>
      </c>
      <c r="N235" s="40"/>
      <c r="O235" s="206"/>
      <c r="P235" s="205"/>
      <c r="Q235" s="202"/>
      <c r="R235" s="204"/>
      <c r="S235" s="38"/>
      <c r="T235" s="201"/>
      <c r="U235" s="201"/>
      <c r="V235" s="201"/>
      <c r="W235" s="201"/>
      <c r="X235" s="201"/>
      <c r="Y235" s="201"/>
      <c r="Z235" s="201"/>
      <c r="AA235" s="201"/>
      <c r="AB235" s="202"/>
      <c r="AC235" s="202"/>
      <c r="AD235" s="202"/>
      <c r="AE235" s="202"/>
      <c r="AF235" s="202"/>
      <c r="AG235" s="201"/>
      <c r="AH235" s="201"/>
      <c r="AI235" s="201"/>
      <c r="AJ235" s="201"/>
      <c r="AK235" s="201"/>
      <c r="AL235" s="201"/>
      <c r="AM235" s="201"/>
      <c r="AN235" s="201"/>
      <c r="AO235" s="201"/>
      <c r="AP235" s="201"/>
      <c r="AQ235" s="201"/>
      <c r="AR235" s="201"/>
      <c r="AS235" s="201"/>
      <c r="AT235" s="201"/>
      <c r="AU235" s="201"/>
      <c r="AV235" s="201"/>
      <c r="AW235" s="201"/>
      <c r="AX235" s="201"/>
      <c r="AY235" s="201"/>
      <c r="AZ235" s="201"/>
    </row>
    <row r="236" spans="2:52">
      <c r="B236" s="35" t="s">
        <v>520</v>
      </c>
      <c r="C236" s="35"/>
      <c r="D236" s="32"/>
      <c r="E236" s="36" t="s">
        <v>511</v>
      </c>
      <c r="F236" s="37" t="s">
        <v>4</v>
      </c>
      <c r="G236" s="32"/>
      <c r="H236" s="33"/>
      <c r="I236" s="34"/>
      <c r="J236" s="35" t="s">
        <v>521</v>
      </c>
      <c r="K236" s="36" t="s">
        <v>511</v>
      </c>
      <c r="L236" s="41" t="s">
        <v>899</v>
      </c>
      <c r="M236" s="32"/>
      <c r="N236" s="32"/>
      <c r="O236" s="206"/>
      <c r="P236" s="202"/>
      <c r="Q236" s="202"/>
      <c r="R236" s="204"/>
      <c r="S236" s="38"/>
      <c r="T236" s="201"/>
      <c r="U236" s="201"/>
      <c r="V236" s="201"/>
      <c r="W236" s="201"/>
      <c r="X236" s="201"/>
      <c r="Y236" s="201"/>
      <c r="Z236" s="201"/>
      <c r="AA236" s="201"/>
      <c r="AB236" s="202"/>
      <c r="AC236" s="202"/>
      <c r="AD236" s="202"/>
      <c r="AE236" s="202"/>
      <c r="AF236" s="202"/>
      <c r="AG236" s="201"/>
      <c r="AH236" s="201"/>
      <c r="AI236" s="201"/>
      <c r="AJ236" s="201"/>
      <c r="AK236" s="201"/>
      <c r="AL236" s="201"/>
      <c r="AM236" s="201"/>
      <c r="AN236" s="201"/>
      <c r="AO236" s="201"/>
      <c r="AP236" s="201"/>
      <c r="AQ236" s="201"/>
      <c r="AR236" s="201"/>
      <c r="AS236" s="201"/>
      <c r="AT236" s="201"/>
      <c r="AU236" s="201"/>
      <c r="AV236" s="201"/>
      <c r="AW236" s="201"/>
      <c r="AX236" s="201"/>
      <c r="AY236" s="201"/>
      <c r="AZ236" s="201"/>
    </row>
    <row r="237" spans="2:52">
      <c r="B237" s="35" t="s">
        <v>523</v>
      </c>
      <c r="C237" s="35"/>
      <c r="D237" s="32"/>
      <c r="E237" s="36" t="s">
        <v>511</v>
      </c>
      <c r="F237" s="37" t="s">
        <v>5</v>
      </c>
      <c r="G237" s="32"/>
      <c r="H237" s="33"/>
      <c r="I237" s="34"/>
      <c r="J237" s="42" t="s">
        <v>524</v>
      </c>
      <c r="K237" s="36" t="s">
        <v>511</v>
      </c>
      <c r="L237" s="43" t="s">
        <v>15</v>
      </c>
      <c r="M237" s="44"/>
      <c r="N237" s="44"/>
      <c r="O237" s="206"/>
      <c r="P237" s="205"/>
      <c r="Q237" s="202"/>
      <c r="R237" s="204"/>
      <c r="S237" s="38"/>
      <c r="T237" s="201"/>
      <c r="U237" s="201"/>
      <c r="V237" s="201"/>
      <c r="W237" s="201"/>
      <c r="X237" s="201"/>
      <c r="Y237" s="201"/>
      <c r="Z237" s="201"/>
      <c r="AA237" s="201"/>
      <c r="AB237" s="202"/>
      <c r="AC237" s="202"/>
      <c r="AD237" s="202"/>
      <c r="AE237" s="202"/>
      <c r="AF237" s="202"/>
      <c r="AG237" s="201"/>
      <c r="AH237" s="201"/>
      <c r="AI237" s="201"/>
      <c r="AJ237" s="201"/>
      <c r="AK237" s="201"/>
      <c r="AL237" s="201"/>
      <c r="AM237" s="201"/>
      <c r="AN237" s="201"/>
      <c r="AO237" s="201"/>
      <c r="AP237" s="201"/>
      <c r="AQ237" s="201"/>
      <c r="AR237" s="201"/>
      <c r="AS237" s="201"/>
      <c r="AT237" s="201"/>
      <c r="AU237" s="201"/>
      <c r="AV237" s="201"/>
      <c r="AW237" s="201"/>
      <c r="AX237" s="201"/>
      <c r="AY237" s="201"/>
      <c r="AZ237" s="201"/>
    </row>
    <row r="238" spans="2:52">
      <c r="B238" s="35" t="s">
        <v>2</v>
      </c>
      <c r="C238" s="35"/>
      <c r="D238" s="32"/>
      <c r="E238" s="36" t="s">
        <v>511</v>
      </c>
      <c r="F238" s="37" t="s">
        <v>6</v>
      </c>
      <c r="G238" s="32"/>
      <c r="H238" s="33"/>
      <c r="I238" s="45"/>
      <c r="J238" s="42"/>
      <c r="K238" s="36"/>
      <c r="L238" s="211"/>
      <c r="M238" s="201"/>
      <c r="N238" s="201"/>
      <c r="O238" s="42"/>
      <c r="P238" s="44"/>
      <c r="Q238" s="44"/>
      <c r="R238" s="44"/>
      <c r="S238" s="34"/>
      <c r="T238" s="201"/>
      <c r="U238" s="201"/>
      <c r="V238" s="201"/>
      <c r="W238" s="201"/>
      <c r="X238" s="201"/>
      <c r="Y238" s="201"/>
      <c r="Z238" s="201"/>
      <c r="AA238" s="201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201"/>
      <c r="AP238" s="201"/>
      <c r="AQ238" s="201"/>
      <c r="AR238" s="201"/>
      <c r="AS238" s="201"/>
      <c r="AT238" s="201"/>
      <c r="AU238" s="201"/>
      <c r="AV238" s="201"/>
      <c r="AW238" s="201"/>
      <c r="AX238" s="201"/>
      <c r="AY238" s="201"/>
      <c r="AZ238" s="201"/>
    </row>
    <row r="239" spans="2:52">
      <c r="B239" s="201"/>
      <c r="C239" s="201"/>
      <c r="D239" s="201"/>
      <c r="E239" s="201"/>
      <c r="F239" s="201"/>
      <c r="G239" s="201"/>
      <c r="H239" s="201"/>
      <c r="I239" s="45"/>
      <c r="J239" s="42"/>
      <c r="K239" s="42"/>
      <c r="L239" s="43"/>
      <c r="M239" s="44"/>
      <c r="N239" s="44"/>
      <c r="O239" s="42"/>
      <c r="P239" s="44"/>
      <c r="Q239" s="44"/>
      <c r="R239" s="44"/>
      <c r="S239" s="34"/>
      <c r="T239" s="1265" t="s">
        <v>87</v>
      </c>
      <c r="U239" s="1265"/>
      <c r="V239" s="1265"/>
      <c r="W239" s="1265"/>
      <c r="X239" s="1265"/>
      <c r="Y239" s="1265" t="s">
        <v>73</v>
      </c>
      <c r="Z239" s="1265"/>
      <c r="AA239" s="1265"/>
      <c r="AB239" s="1265" t="s">
        <v>74</v>
      </c>
      <c r="AC239" s="1265"/>
      <c r="AD239" s="423" t="s">
        <v>85</v>
      </c>
      <c r="AE239" s="423" t="s">
        <v>77</v>
      </c>
      <c r="AF239" s="1265" t="s">
        <v>525</v>
      </c>
      <c r="AG239" s="1265"/>
      <c r="AH239" s="1265"/>
      <c r="AI239" s="1265"/>
      <c r="AJ239" s="1265"/>
      <c r="AK239" s="1265"/>
      <c r="AL239" s="1265"/>
      <c r="AM239" s="1265"/>
      <c r="AN239" s="1265"/>
      <c r="AO239" s="1265"/>
      <c r="AP239" s="1265"/>
      <c r="AQ239" s="1265"/>
      <c r="AR239" s="1265"/>
      <c r="AS239" s="1265"/>
      <c r="AT239" s="1265"/>
      <c r="AU239" s="1265"/>
      <c r="AV239" s="1265"/>
      <c r="AW239" s="1265"/>
      <c r="AX239" s="1265"/>
      <c r="AY239" s="1265"/>
      <c r="AZ239" s="201"/>
    </row>
    <row r="240" spans="2:52">
      <c r="B240" s="1266" t="s">
        <v>526</v>
      </c>
      <c r="C240" s="1267"/>
      <c r="D240" s="570" t="s">
        <v>527</v>
      </c>
      <c r="E240" s="570"/>
      <c r="F240" s="570" t="s">
        <v>528</v>
      </c>
      <c r="G240" s="570" t="s">
        <v>529</v>
      </c>
      <c r="H240" s="570" t="s">
        <v>530</v>
      </c>
      <c r="I240" s="570" t="s">
        <v>531</v>
      </c>
      <c r="J240" s="570" t="s">
        <v>532</v>
      </c>
      <c r="K240" s="570"/>
      <c r="L240" s="570" t="s">
        <v>130</v>
      </c>
      <c r="M240" s="570" t="s">
        <v>533</v>
      </c>
      <c r="N240" s="408" t="str">
        <f>"On time - "&amp;COUNTIF(N241:N266,"On time")&amp;" from "&amp;ROWS(N241:N266)-COUNTIF(N241:N266," ")</f>
        <v>On time - 0 from 11</v>
      </c>
      <c r="O240" s="46"/>
      <c r="P240" s="409" t="s">
        <v>534</v>
      </c>
      <c r="Q240" s="409" t="s">
        <v>535</v>
      </c>
      <c r="R240" s="409" t="s">
        <v>536</v>
      </c>
      <c r="S240" s="32"/>
      <c r="T240" s="424" t="s">
        <v>537</v>
      </c>
      <c r="U240" s="424" t="s">
        <v>538</v>
      </c>
      <c r="V240" s="424" t="s">
        <v>539</v>
      </c>
      <c r="W240" s="424" t="s">
        <v>540</v>
      </c>
      <c r="X240" s="424" t="s">
        <v>541</v>
      </c>
      <c r="Y240" s="424" t="s">
        <v>167</v>
      </c>
      <c r="Z240" s="424" t="s">
        <v>168</v>
      </c>
      <c r="AA240" s="424" t="s">
        <v>169</v>
      </c>
      <c r="AB240" s="424" t="s">
        <v>235</v>
      </c>
      <c r="AC240" s="424" t="s">
        <v>542</v>
      </c>
      <c r="AD240" s="423" t="s">
        <v>85</v>
      </c>
      <c r="AE240" s="424" t="s">
        <v>139</v>
      </c>
      <c r="AF240" s="424" t="s">
        <v>72</v>
      </c>
      <c r="AG240" s="424" t="s">
        <v>88</v>
      </c>
      <c r="AH240" s="424" t="s">
        <v>75</v>
      </c>
      <c r="AI240" s="424" t="s">
        <v>543</v>
      </c>
      <c r="AJ240" s="424" t="s">
        <v>78</v>
      </c>
      <c r="AK240" s="424" t="s">
        <v>76</v>
      </c>
      <c r="AL240" s="424" t="s">
        <v>544</v>
      </c>
      <c r="AM240" s="424" t="s">
        <v>545</v>
      </c>
      <c r="AN240" s="424" t="s">
        <v>86</v>
      </c>
      <c r="AO240" s="424" t="s">
        <v>83</v>
      </c>
      <c r="AP240" s="424" t="s">
        <v>84</v>
      </c>
      <c r="AQ240" s="424" t="s">
        <v>546</v>
      </c>
      <c r="AR240" s="424" t="s">
        <v>81</v>
      </c>
      <c r="AS240" s="424" t="s">
        <v>80</v>
      </c>
      <c r="AT240" s="424" t="s">
        <v>82</v>
      </c>
      <c r="AU240" s="424" t="s">
        <v>181</v>
      </c>
      <c r="AV240" s="424" t="s">
        <v>183</v>
      </c>
      <c r="AW240" s="424" t="s">
        <v>547</v>
      </c>
      <c r="AX240" s="424" t="s">
        <v>182</v>
      </c>
      <c r="AY240" s="424" t="s">
        <v>172</v>
      </c>
      <c r="AZ240" s="201"/>
    </row>
    <row r="241" spans="2:52">
      <c r="B241" s="1256" t="s">
        <v>616</v>
      </c>
      <c r="C241" s="1257"/>
      <c r="D241" s="411" t="s">
        <v>830</v>
      </c>
      <c r="E241" s="411"/>
      <c r="F241" s="411" t="s">
        <v>292</v>
      </c>
      <c r="G241" s="411" t="s">
        <v>293</v>
      </c>
      <c r="H241" s="412">
        <v>7476.6710000000003</v>
      </c>
      <c r="I241" s="413" t="s">
        <v>494</v>
      </c>
      <c r="J241" s="414">
        <v>44976.423611111109</v>
      </c>
      <c r="K241" s="414"/>
      <c r="L241" s="414" t="s">
        <v>192</v>
      </c>
      <c r="M241" s="414" t="s">
        <v>192</v>
      </c>
      <c r="N241" s="413" t="str">
        <f>IF(ISBLANK(J241)," ",IF(J241&lt;$F$235,"On time",(IF(DAY(J241-$F$235)&lt;1,"On time",(IF(J241&gt;$F$235,"DELAY ( "&amp;DAY(J241-$F$235)&amp;" day "&amp;HOUR(J241-$F$235)&amp;" hour "&amp;MINUTE(J241-$F$235)&amp;" minute )","xxx"))))))</f>
        <v>DELAY ( 4 day 10 hour 9 minute )</v>
      </c>
      <c r="O241" s="51"/>
      <c r="P241" s="415" t="s">
        <v>551</v>
      </c>
      <c r="Q241" s="415" t="s">
        <v>551</v>
      </c>
      <c r="R241" s="415" t="s">
        <v>551</v>
      </c>
      <c r="S241" s="32"/>
      <c r="T241" s="416"/>
      <c r="U241" s="416"/>
      <c r="V241" s="416"/>
      <c r="W241" s="416"/>
      <c r="X241" s="416"/>
      <c r="Y241" s="416">
        <f>H241</f>
        <v>7476.6710000000003</v>
      </c>
      <c r="Z241" s="416"/>
      <c r="AA241" s="416"/>
      <c r="AB241" s="416"/>
      <c r="AC241" s="416"/>
      <c r="AD241" s="416"/>
      <c r="AE241" s="416"/>
      <c r="AF241" s="416"/>
      <c r="AG241" s="416"/>
      <c r="AH241" s="416"/>
      <c r="AI241" s="416"/>
      <c r="AJ241" s="416"/>
      <c r="AK241" s="416"/>
      <c r="AL241" s="416"/>
      <c r="AM241" s="416"/>
      <c r="AN241" s="416"/>
      <c r="AO241" s="416"/>
      <c r="AP241" s="416"/>
      <c r="AQ241" s="416"/>
      <c r="AR241" s="416"/>
      <c r="AS241" s="416"/>
      <c r="AT241" s="416"/>
      <c r="AU241" s="416"/>
      <c r="AV241" s="416"/>
      <c r="AW241" s="416"/>
      <c r="AX241" s="416"/>
      <c r="AY241" s="416"/>
      <c r="AZ241" s="32"/>
    </row>
    <row r="242" spans="2:52">
      <c r="B242" s="1256" t="s">
        <v>668</v>
      </c>
      <c r="C242" s="1257"/>
      <c r="D242" s="411" t="s">
        <v>773</v>
      </c>
      <c r="E242" s="411"/>
      <c r="F242" s="411" t="s">
        <v>774</v>
      </c>
      <c r="G242" s="411" t="s">
        <v>423</v>
      </c>
      <c r="H242" s="412">
        <v>7500</v>
      </c>
      <c r="I242" s="413" t="s">
        <v>76</v>
      </c>
      <c r="J242" s="414">
        <v>44976.385416666664</v>
      </c>
      <c r="K242" s="414"/>
      <c r="L242" s="414" t="s">
        <v>192</v>
      </c>
      <c r="M242" s="414" t="s">
        <v>192</v>
      </c>
      <c r="N242" s="413" t="str">
        <f t="shared" ref="N242:N269" si="17">IF(ISBLANK(J242)," ",IF(J242&lt;$F$235,"On time",(IF(DAY(J242-$F$235)&lt;1,"On time",(IF(J242&gt;$F$235,"DELAY ( "&amp;DAY(J242-$F$235)&amp;" day "&amp;HOUR(J242-$F$235)&amp;" hour "&amp;MINUTE(J242-$F$235)&amp;" minute )","xxx"))))))</f>
        <v>DELAY ( 4 day 9 hour 14 minute )</v>
      </c>
      <c r="O242" s="51"/>
      <c r="P242" s="415" t="s">
        <v>551</v>
      </c>
      <c r="Q242" s="415" t="s">
        <v>551</v>
      </c>
      <c r="R242" s="415" t="s">
        <v>551</v>
      </c>
      <c r="S242" s="32"/>
      <c r="T242" s="416"/>
      <c r="U242" s="416"/>
      <c r="V242" s="416"/>
      <c r="W242" s="416"/>
      <c r="X242" s="416"/>
      <c r="Y242" s="416"/>
      <c r="Z242" s="416"/>
      <c r="AA242" s="416"/>
      <c r="AB242" s="416"/>
      <c r="AC242" s="416"/>
      <c r="AD242" s="416"/>
      <c r="AE242" s="416"/>
      <c r="AF242" s="416"/>
      <c r="AG242" s="416"/>
      <c r="AH242" s="416"/>
      <c r="AI242" s="416"/>
      <c r="AJ242" s="416"/>
      <c r="AK242" s="416">
        <f>H242</f>
        <v>7500</v>
      </c>
      <c r="AL242" s="416"/>
      <c r="AM242" s="416"/>
      <c r="AN242" s="416"/>
      <c r="AO242" s="416"/>
      <c r="AP242" s="416"/>
      <c r="AQ242" s="416"/>
      <c r="AR242" s="416"/>
      <c r="AS242" s="416"/>
      <c r="AT242" s="416"/>
      <c r="AU242" s="416"/>
      <c r="AV242" s="416"/>
      <c r="AW242" s="416"/>
      <c r="AX242" s="416"/>
      <c r="AY242" s="416"/>
      <c r="AZ242" s="32"/>
    </row>
    <row r="243" spans="2:52">
      <c r="B243" s="1256" t="s">
        <v>616</v>
      </c>
      <c r="C243" s="1257"/>
      <c r="D243" s="411" t="s">
        <v>831</v>
      </c>
      <c r="E243" s="411"/>
      <c r="F243" s="411" t="s">
        <v>252</v>
      </c>
      <c r="G243" s="411" t="s">
        <v>253</v>
      </c>
      <c r="H243" s="412">
        <v>7546.6440000000002</v>
      </c>
      <c r="I243" s="413" t="s">
        <v>494</v>
      </c>
      <c r="J243" s="414">
        <v>44976.395833333336</v>
      </c>
      <c r="K243" s="414"/>
      <c r="L243" s="414" t="s">
        <v>192</v>
      </c>
      <c r="M243" s="414" t="s">
        <v>192</v>
      </c>
      <c r="N243" s="413" t="str">
        <f t="shared" si="17"/>
        <v>DELAY ( 4 day 9 hour 29 minute )</v>
      </c>
      <c r="O243" s="51"/>
      <c r="P243" s="415" t="s">
        <v>551</v>
      </c>
      <c r="Q243" s="415" t="s">
        <v>551</v>
      </c>
      <c r="R243" s="415" t="s">
        <v>551</v>
      </c>
      <c r="S243" s="32"/>
      <c r="T243" s="416"/>
      <c r="U243" s="416"/>
      <c r="V243" s="416"/>
      <c r="W243" s="416"/>
      <c r="X243" s="416"/>
      <c r="Y243" s="416">
        <f>H243</f>
        <v>7546.6440000000002</v>
      </c>
      <c r="Z243" s="416"/>
      <c r="AA243" s="416"/>
      <c r="AB243" s="416"/>
      <c r="AC243" s="416"/>
      <c r="AD243" s="416"/>
      <c r="AE243" s="416"/>
      <c r="AF243" s="416"/>
      <c r="AG243" s="416"/>
      <c r="AH243" s="416"/>
      <c r="AI243" s="416"/>
      <c r="AJ243" s="416"/>
      <c r="AK243" s="416"/>
      <c r="AL243" s="416"/>
      <c r="AM243" s="416"/>
      <c r="AN243" s="416"/>
      <c r="AO243" s="416"/>
      <c r="AP243" s="416"/>
      <c r="AQ243" s="416"/>
      <c r="AR243" s="416"/>
      <c r="AS243" s="416"/>
      <c r="AT243" s="416"/>
      <c r="AU243" s="416"/>
      <c r="AV243" s="416"/>
      <c r="AW243" s="416"/>
      <c r="AX243" s="416"/>
      <c r="AY243" s="416"/>
      <c r="AZ243" s="32"/>
    </row>
    <row r="244" spans="2:52">
      <c r="B244" s="1258" t="s">
        <v>618</v>
      </c>
      <c r="C244" s="1259"/>
      <c r="D244" s="1259"/>
      <c r="E244" s="1259"/>
      <c r="F244" s="1259"/>
      <c r="G244" s="1260"/>
      <c r="H244" s="417">
        <f>SUM(H241:H243)</f>
        <v>22523.315000000002</v>
      </c>
      <c r="I244" s="390"/>
      <c r="J244" s="367"/>
      <c r="K244" s="366"/>
      <c r="L244" s="366"/>
      <c r="M244" s="391"/>
      <c r="N244" s="413" t="str">
        <f t="shared" si="17"/>
        <v xml:space="preserve"> </v>
      </c>
      <c r="O244" s="212"/>
      <c r="P244" s="427"/>
      <c r="Q244" s="427"/>
      <c r="R244" s="427"/>
      <c r="S244" s="207"/>
      <c r="T244" s="428"/>
      <c r="U244" s="428"/>
      <c r="V244" s="428"/>
      <c r="W244" s="428"/>
      <c r="X244" s="429"/>
      <c r="Y244" s="429"/>
      <c r="Z244" s="429"/>
      <c r="AA244" s="429"/>
      <c r="AB244" s="429"/>
      <c r="AC244" s="429"/>
      <c r="AD244" s="429"/>
      <c r="AE244" s="429"/>
      <c r="AF244" s="429"/>
      <c r="AG244" s="429"/>
      <c r="AH244" s="429"/>
      <c r="AI244" s="429"/>
      <c r="AJ244" s="429"/>
      <c r="AK244" s="429"/>
      <c r="AL244" s="428"/>
      <c r="AM244" s="428"/>
      <c r="AN244" s="428"/>
      <c r="AO244" s="428"/>
      <c r="AP244" s="428"/>
      <c r="AQ244" s="428"/>
      <c r="AR244" s="428"/>
      <c r="AS244" s="428"/>
      <c r="AT244" s="428"/>
      <c r="AU244" s="428"/>
      <c r="AV244" s="428"/>
      <c r="AW244" s="428"/>
      <c r="AX244" s="428"/>
      <c r="AY244" s="428"/>
    </row>
    <row r="245" spans="2:52">
      <c r="B245" s="1250" t="s">
        <v>619</v>
      </c>
      <c r="C245" s="1251"/>
      <c r="D245" s="411" t="s">
        <v>714</v>
      </c>
      <c r="E245" s="411"/>
      <c r="F245" s="411" t="s">
        <v>257</v>
      </c>
      <c r="G245" s="411" t="s">
        <v>258</v>
      </c>
      <c r="H245" s="412">
        <v>7471.0559999999996</v>
      </c>
      <c r="I245" s="413" t="s">
        <v>235</v>
      </c>
      <c r="J245" s="414">
        <v>44976.399305555555</v>
      </c>
      <c r="K245" s="414"/>
      <c r="L245" s="414" t="s">
        <v>192</v>
      </c>
      <c r="M245" s="414" t="s">
        <v>192</v>
      </c>
      <c r="N245" s="413" t="str">
        <f t="shared" si="17"/>
        <v>DELAY ( 4 day 9 hour 34 minute )</v>
      </c>
      <c r="O245" s="51"/>
      <c r="P245" s="415" t="s">
        <v>551</v>
      </c>
      <c r="Q245" s="415" t="s">
        <v>551</v>
      </c>
      <c r="R245" s="415" t="s">
        <v>551</v>
      </c>
      <c r="S245" s="32"/>
      <c r="T245" s="416"/>
      <c r="U245" s="416"/>
      <c r="V245" s="416"/>
      <c r="W245" s="416"/>
      <c r="X245" s="416"/>
      <c r="Y245" s="416"/>
      <c r="Z245" s="416"/>
      <c r="AA245" s="416"/>
      <c r="AB245" s="416">
        <f>H245</f>
        <v>7471.0559999999996</v>
      </c>
      <c r="AC245" s="416"/>
      <c r="AD245" s="416"/>
      <c r="AE245" s="416"/>
      <c r="AF245" s="416"/>
      <c r="AG245" s="416"/>
      <c r="AH245" s="416"/>
      <c r="AI245" s="416"/>
      <c r="AJ245" s="416"/>
      <c r="AK245" s="416"/>
      <c r="AL245" s="416"/>
      <c r="AM245" s="416"/>
      <c r="AN245" s="416"/>
      <c r="AO245" s="416"/>
      <c r="AP245" s="416"/>
      <c r="AQ245" s="416"/>
      <c r="AR245" s="416"/>
      <c r="AS245" s="416"/>
      <c r="AT245" s="416"/>
      <c r="AU245" s="416"/>
      <c r="AV245" s="416"/>
      <c r="AW245" s="416"/>
      <c r="AX245" s="416"/>
      <c r="AY245" s="416"/>
      <c r="AZ245" s="32"/>
    </row>
    <row r="246" spans="2:52">
      <c r="B246" s="1252"/>
      <c r="C246" s="1253"/>
      <c r="D246" s="411"/>
      <c r="E246" s="411"/>
      <c r="F246" s="1256" t="s">
        <v>668</v>
      </c>
      <c r="G246" s="1257"/>
      <c r="H246" s="412">
        <v>1000</v>
      </c>
      <c r="I246" s="413"/>
      <c r="J246" s="414"/>
      <c r="K246" s="414"/>
      <c r="L246" s="414"/>
      <c r="M246" s="414"/>
      <c r="N246" s="413" t="str">
        <f t="shared" si="17"/>
        <v xml:space="preserve"> </v>
      </c>
      <c r="O246" s="51"/>
      <c r="P246" s="415"/>
      <c r="Q246" s="415"/>
      <c r="R246" s="415"/>
      <c r="S246" s="32"/>
      <c r="T246" s="416"/>
      <c r="U246" s="416"/>
      <c r="V246" s="416"/>
      <c r="W246" s="416"/>
      <c r="X246" s="416"/>
      <c r="Y246" s="416"/>
      <c r="Z246" s="416"/>
      <c r="AA246" s="416"/>
      <c r="AB246" s="416"/>
      <c r="AC246" s="416"/>
      <c r="AD246" s="416"/>
      <c r="AE246" s="416"/>
      <c r="AF246" s="416"/>
      <c r="AG246" s="416"/>
      <c r="AH246" s="416"/>
      <c r="AI246" s="416"/>
      <c r="AJ246" s="416"/>
      <c r="AK246" s="416"/>
      <c r="AL246" s="416"/>
      <c r="AM246" s="416"/>
      <c r="AN246" s="416"/>
      <c r="AO246" s="416"/>
      <c r="AP246" s="416"/>
      <c r="AQ246" s="416"/>
      <c r="AR246" s="416"/>
      <c r="AS246" s="416"/>
      <c r="AT246" s="416"/>
      <c r="AU246" s="416"/>
      <c r="AV246" s="416"/>
      <c r="AW246" s="416"/>
      <c r="AX246" s="416"/>
      <c r="AY246" s="416"/>
      <c r="AZ246" s="32"/>
    </row>
    <row r="247" spans="2:52">
      <c r="B247" s="1254"/>
      <c r="C247" s="1255"/>
      <c r="D247" s="411"/>
      <c r="E247" s="411"/>
      <c r="F247" s="1256" t="s">
        <v>616</v>
      </c>
      <c r="G247" s="1257"/>
      <c r="H247" s="412">
        <v>2623</v>
      </c>
      <c r="I247" s="413"/>
      <c r="J247" s="414"/>
      <c r="K247" s="414"/>
      <c r="L247" s="414"/>
      <c r="M247" s="414"/>
      <c r="N247" s="413" t="str">
        <f t="shared" si="17"/>
        <v xml:space="preserve"> </v>
      </c>
      <c r="O247" s="51"/>
      <c r="P247" s="415"/>
      <c r="Q247" s="415"/>
      <c r="R247" s="415"/>
      <c r="S247" s="32"/>
      <c r="T247" s="416"/>
      <c r="U247" s="416"/>
      <c r="V247" s="416"/>
      <c r="W247" s="416"/>
      <c r="X247" s="416"/>
      <c r="Y247" s="416"/>
      <c r="Z247" s="416"/>
      <c r="AA247" s="416"/>
      <c r="AB247" s="416"/>
      <c r="AC247" s="416"/>
      <c r="AD247" s="416"/>
      <c r="AE247" s="416"/>
      <c r="AF247" s="416"/>
      <c r="AG247" s="416"/>
      <c r="AH247" s="416"/>
      <c r="AI247" s="416"/>
      <c r="AJ247" s="416"/>
      <c r="AK247" s="416"/>
      <c r="AL247" s="416"/>
      <c r="AM247" s="416"/>
      <c r="AN247" s="416"/>
      <c r="AO247" s="416"/>
      <c r="AP247" s="416"/>
      <c r="AQ247" s="416"/>
      <c r="AR247" s="416"/>
      <c r="AS247" s="416"/>
      <c r="AT247" s="416"/>
      <c r="AU247" s="416"/>
      <c r="AV247" s="416"/>
      <c r="AW247" s="416"/>
      <c r="AX247" s="416"/>
      <c r="AY247" s="416"/>
      <c r="AZ247" s="32"/>
    </row>
    <row r="248" spans="2:52">
      <c r="B248" s="1250" t="s">
        <v>621</v>
      </c>
      <c r="C248" s="1251"/>
      <c r="D248" s="411" t="s">
        <v>720</v>
      </c>
      <c r="E248" s="411"/>
      <c r="F248" s="411" t="s">
        <v>721</v>
      </c>
      <c r="G248" s="411" t="s">
        <v>722</v>
      </c>
      <c r="H248" s="412">
        <v>7650.6760000000004</v>
      </c>
      <c r="I248" s="413" t="s">
        <v>235</v>
      </c>
      <c r="J248" s="414">
        <v>44976.402777777781</v>
      </c>
      <c r="K248" s="414"/>
      <c r="L248" s="414" t="s">
        <v>192</v>
      </c>
      <c r="M248" s="414" t="s">
        <v>192</v>
      </c>
      <c r="N248" s="413" t="str">
        <f t="shared" si="17"/>
        <v>DELAY ( 4 day 9 hour 39 minute )</v>
      </c>
      <c r="O248" s="51"/>
      <c r="P248" s="415" t="s">
        <v>551</v>
      </c>
      <c r="Q248" s="415" t="s">
        <v>551</v>
      </c>
      <c r="R248" s="415" t="s">
        <v>551</v>
      </c>
      <c r="S248" s="32"/>
      <c r="T248" s="416"/>
      <c r="U248" s="416"/>
      <c r="V248" s="416"/>
      <c r="W248" s="416"/>
      <c r="X248" s="416"/>
      <c r="Y248" s="416"/>
      <c r="Z248" s="416"/>
      <c r="AA248" s="416"/>
      <c r="AB248" s="416">
        <f>H248</f>
        <v>7650.6760000000004</v>
      </c>
      <c r="AC248" s="416"/>
      <c r="AD248" s="416"/>
      <c r="AE248" s="416"/>
      <c r="AF248" s="416"/>
      <c r="AG248" s="416"/>
      <c r="AH248" s="416"/>
      <c r="AI248" s="416"/>
      <c r="AJ248" s="416"/>
      <c r="AK248" s="416"/>
      <c r="AL248" s="416"/>
      <c r="AM248" s="416"/>
      <c r="AN248" s="416"/>
      <c r="AO248" s="416"/>
      <c r="AP248" s="416"/>
      <c r="AQ248" s="416"/>
      <c r="AR248" s="416"/>
      <c r="AS248" s="416"/>
      <c r="AT248" s="416"/>
      <c r="AU248" s="416"/>
      <c r="AV248" s="416"/>
      <c r="AW248" s="416"/>
      <c r="AX248" s="416"/>
      <c r="AY248" s="416"/>
      <c r="AZ248" s="32"/>
    </row>
    <row r="249" spans="2:52">
      <c r="B249" s="1252"/>
      <c r="C249" s="1253"/>
      <c r="D249" s="411"/>
      <c r="E249" s="411"/>
      <c r="F249" s="1256" t="s">
        <v>668</v>
      </c>
      <c r="G249" s="1257"/>
      <c r="H249" s="412">
        <v>1500</v>
      </c>
      <c r="I249" s="413"/>
      <c r="J249" s="414"/>
      <c r="K249" s="414"/>
      <c r="L249" s="414"/>
      <c r="M249" s="414"/>
      <c r="N249" s="413" t="str">
        <f t="shared" si="17"/>
        <v xml:space="preserve"> </v>
      </c>
      <c r="O249" s="51"/>
      <c r="P249" s="415"/>
      <c r="Q249" s="415"/>
      <c r="R249" s="415"/>
      <c r="S249" s="32"/>
      <c r="T249" s="416"/>
      <c r="U249" s="416"/>
      <c r="V249" s="416"/>
      <c r="W249" s="416"/>
      <c r="X249" s="416"/>
      <c r="Y249" s="416"/>
      <c r="Z249" s="416"/>
      <c r="AA249" s="416"/>
      <c r="AB249" s="416"/>
      <c r="AC249" s="416"/>
      <c r="AD249" s="416"/>
      <c r="AE249" s="416"/>
      <c r="AF249" s="416"/>
      <c r="AG249" s="416"/>
      <c r="AH249" s="416"/>
      <c r="AI249" s="416"/>
      <c r="AJ249" s="416"/>
      <c r="AK249" s="416"/>
      <c r="AL249" s="416"/>
      <c r="AM249" s="416"/>
      <c r="AN249" s="416"/>
      <c r="AO249" s="416"/>
      <c r="AP249" s="416"/>
      <c r="AQ249" s="416"/>
      <c r="AR249" s="416"/>
      <c r="AS249" s="416"/>
      <c r="AT249" s="416"/>
      <c r="AU249" s="416"/>
      <c r="AV249" s="416"/>
      <c r="AW249" s="416"/>
      <c r="AX249" s="416"/>
      <c r="AY249" s="416"/>
      <c r="AZ249" s="32"/>
    </row>
    <row r="250" spans="2:52">
      <c r="B250" s="1254"/>
      <c r="C250" s="1255"/>
      <c r="D250" s="411"/>
      <c r="E250" s="411"/>
      <c r="F250" s="1256" t="s">
        <v>616</v>
      </c>
      <c r="G250" s="1257"/>
      <c r="H250" s="412">
        <f>1300+0.315</f>
        <v>1300.3150000000001</v>
      </c>
      <c r="I250" s="413"/>
      <c r="J250" s="414"/>
      <c r="K250" s="414"/>
      <c r="L250" s="414"/>
      <c r="M250" s="414"/>
      <c r="N250" s="413" t="str">
        <f t="shared" si="17"/>
        <v xml:space="preserve"> </v>
      </c>
      <c r="O250" s="51"/>
      <c r="P250" s="415"/>
      <c r="Q250" s="415"/>
      <c r="R250" s="415"/>
      <c r="S250" s="32"/>
      <c r="T250" s="416"/>
      <c r="U250" s="416"/>
      <c r="V250" s="416"/>
      <c r="W250" s="416"/>
      <c r="X250" s="416"/>
      <c r="Y250" s="416"/>
      <c r="Z250" s="416"/>
      <c r="AA250" s="416"/>
      <c r="AB250" s="416"/>
      <c r="AC250" s="416"/>
      <c r="AD250" s="416"/>
      <c r="AE250" s="416"/>
      <c r="AF250" s="416"/>
      <c r="AG250" s="416"/>
      <c r="AH250" s="416"/>
      <c r="AI250" s="416"/>
      <c r="AJ250" s="416"/>
      <c r="AK250" s="416"/>
      <c r="AL250" s="416"/>
      <c r="AM250" s="416"/>
      <c r="AN250" s="416"/>
      <c r="AO250" s="416"/>
      <c r="AP250" s="416"/>
      <c r="AQ250" s="416"/>
      <c r="AR250" s="416"/>
      <c r="AS250" s="416"/>
      <c r="AT250" s="416"/>
      <c r="AU250" s="416"/>
      <c r="AV250" s="416"/>
      <c r="AW250" s="416"/>
      <c r="AX250" s="416"/>
      <c r="AY250" s="416"/>
      <c r="AZ250" s="32"/>
    </row>
    <row r="251" spans="2:52">
      <c r="B251" s="1250" t="s">
        <v>622</v>
      </c>
      <c r="C251" s="1251"/>
      <c r="D251" s="411" t="s">
        <v>718</v>
      </c>
      <c r="E251" s="411"/>
      <c r="F251" s="411" t="s">
        <v>403</v>
      </c>
      <c r="G251" s="411" t="s">
        <v>404</v>
      </c>
      <c r="H251" s="412">
        <v>7540.0839999999998</v>
      </c>
      <c r="I251" s="413" t="s">
        <v>235</v>
      </c>
      <c r="J251" s="414">
        <v>44976.625</v>
      </c>
      <c r="K251" s="414"/>
      <c r="L251" s="414" t="s">
        <v>192</v>
      </c>
      <c r="M251" s="414" t="s">
        <v>192</v>
      </c>
      <c r="N251" s="413" t="str">
        <f t="shared" si="17"/>
        <v>DELAY ( 4 day 14 hour 59 minute )</v>
      </c>
      <c r="O251" s="51"/>
      <c r="P251" s="415" t="s">
        <v>551</v>
      </c>
      <c r="Q251" s="415" t="s">
        <v>551</v>
      </c>
      <c r="R251" s="415" t="s">
        <v>551</v>
      </c>
      <c r="S251" s="32"/>
      <c r="T251" s="416"/>
      <c r="U251" s="416"/>
      <c r="V251" s="416"/>
      <c r="W251" s="416"/>
      <c r="X251" s="416"/>
      <c r="Y251" s="416"/>
      <c r="Z251" s="416"/>
      <c r="AA251" s="416"/>
      <c r="AB251" s="416">
        <f>H251</f>
        <v>7540.0839999999998</v>
      </c>
      <c r="AC251" s="416"/>
      <c r="AD251" s="416"/>
      <c r="AE251" s="416"/>
      <c r="AF251" s="416"/>
      <c r="AG251" s="416"/>
      <c r="AH251" s="416"/>
      <c r="AI251" s="416"/>
      <c r="AJ251" s="416"/>
      <c r="AK251" s="416"/>
      <c r="AL251" s="416"/>
      <c r="AM251" s="416"/>
      <c r="AN251" s="416"/>
      <c r="AO251" s="416"/>
      <c r="AP251" s="416"/>
      <c r="AQ251" s="416"/>
      <c r="AR251" s="416"/>
      <c r="AS251" s="416"/>
      <c r="AT251" s="416"/>
      <c r="AU251" s="416"/>
      <c r="AV251" s="416"/>
      <c r="AW251" s="416"/>
      <c r="AX251" s="416"/>
      <c r="AY251" s="416"/>
      <c r="AZ251" s="32"/>
    </row>
    <row r="252" spans="2:52">
      <c r="B252" s="1252"/>
      <c r="C252" s="1253"/>
      <c r="D252" s="411"/>
      <c r="E252" s="411"/>
      <c r="F252" s="1256" t="s">
        <v>668</v>
      </c>
      <c r="G252" s="1257"/>
      <c r="H252" s="412">
        <v>1000</v>
      </c>
      <c r="I252" s="413"/>
      <c r="J252" s="414"/>
      <c r="K252" s="414"/>
      <c r="L252" s="414"/>
      <c r="M252" s="414"/>
      <c r="N252" s="413" t="str">
        <f t="shared" si="17"/>
        <v xml:space="preserve"> </v>
      </c>
      <c r="O252" s="51"/>
      <c r="P252" s="415"/>
      <c r="Q252" s="415"/>
      <c r="R252" s="415"/>
      <c r="S252" s="32"/>
      <c r="T252" s="416"/>
      <c r="U252" s="416"/>
      <c r="V252" s="416"/>
      <c r="W252" s="416"/>
      <c r="X252" s="416"/>
      <c r="Y252" s="416"/>
      <c r="Z252" s="416"/>
      <c r="AA252" s="416"/>
      <c r="AB252" s="416"/>
      <c r="AC252" s="416"/>
      <c r="AD252" s="416"/>
      <c r="AE252" s="416"/>
      <c r="AF252" s="416"/>
      <c r="AG252" s="416"/>
      <c r="AH252" s="416"/>
      <c r="AI252" s="416"/>
      <c r="AJ252" s="416"/>
      <c r="AK252" s="416"/>
      <c r="AL252" s="416"/>
      <c r="AM252" s="416"/>
      <c r="AN252" s="416"/>
      <c r="AO252" s="416"/>
      <c r="AP252" s="416"/>
      <c r="AQ252" s="416"/>
      <c r="AR252" s="416"/>
      <c r="AS252" s="416"/>
      <c r="AT252" s="416"/>
      <c r="AU252" s="416"/>
      <c r="AV252" s="416"/>
      <c r="AW252" s="416"/>
      <c r="AX252" s="416"/>
      <c r="AY252" s="416"/>
      <c r="AZ252" s="32"/>
    </row>
    <row r="253" spans="2:52">
      <c r="B253" s="1254"/>
      <c r="C253" s="1255"/>
      <c r="D253" s="411"/>
      <c r="E253" s="411"/>
      <c r="F253" s="1256" t="s">
        <v>616</v>
      </c>
      <c r="G253" s="1257"/>
      <c r="H253" s="412">
        <v>2000</v>
      </c>
      <c r="I253" s="413"/>
      <c r="J253" s="414"/>
      <c r="K253" s="414"/>
      <c r="L253" s="414"/>
      <c r="M253" s="414"/>
      <c r="N253" s="413" t="str">
        <f t="shared" si="17"/>
        <v xml:space="preserve"> </v>
      </c>
      <c r="O253" s="51"/>
      <c r="P253" s="415"/>
      <c r="Q253" s="415"/>
      <c r="R253" s="415"/>
      <c r="S253" s="32"/>
      <c r="T253" s="416"/>
      <c r="U253" s="416"/>
      <c r="V253" s="416"/>
      <c r="W253" s="416"/>
      <c r="X253" s="416"/>
      <c r="Y253" s="416"/>
      <c r="Z253" s="416"/>
      <c r="AA253" s="416"/>
      <c r="AB253" s="416"/>
      <c r="AC253" s="416"/>
      <c r="AD253" s="416"/>
      <c r="AE253" s="416"/>
      <c r="AF253" s="416"/>
      <c r="AG253" s="416"/>
      <c r="AH253" s="416"/>
      <c r="AI253" s="416"/>
      <c r="AJ253" s="416"/>
      <c r="AK253" s="416"/>
      <c r="AL253" s="416"/>
      <c r="AM253" s="416"/>
      <c r="AN253" s="416"/>
      <c r="AO253" s="416"/>
      <c r="AP253" s="416"/>
      <c r="AQ253" s="416"/>
      <c r="AR253" s="416"/>
      <c r="AS253" s="416"/>
      <c r="AT253" s="416"/>
      <c r="AU253" s="416"/>
      <c r="AV253" s="416"/>
      <c r="AW253" s="416"/>
      <c r="AX253" s="416"/>
      <c r="AY253" s="416"/>
      <c r="AZ253" s="32"/>
    </row>
    <row r="254" spans="2:52">
      <c r="B254" s="1250" t="s">
        <v>623</v>
      </c>
      <c r="C254" s="1251"/>
      <c r="D254" s="411" t="s">
        <v>717</v>
      </c>
      <c r="E254" s="411"/>
      <c r="F254" s="411" t="s">
        <v>213</v>
      </c>
      <c r="G254" s="411" t="s">
        <v>214</v>
      </c>
      <c r="H254" s="412">
        <v>7551.0290000000005</v>
      </c>
      <c r="I254" s="413" t="s">
        <v>235</v>
      </c>
      <c r="J254" s="414">
        <v>44976.625</v>
      </c>
      <c r="K254" s="414"/>
      <c r="L254" s="414" t="s">
        <v>192</v>
      </c>
      <c r="M254" s="414" t="s">
        <v>192</v>
      </c>
      <c r="N254" s="413" t="str">
        <f t="shared" si="17"/>
        <v>DELAY ( 4 day 14 hour 59 minute )</v>
      </c>
      <c r="O254" s="51"/>
      <c r="P254" s="415" t="s">
        <v>551</v>
      </c>
      <c r="Q254" s="415" t="s">
        <v>551</v>
      </c>
      <c r="R254" s="415" t="s">
        <v>551</v>
      </c>
      <c r="S254" s="32"/>
      <c r="T254" s="416"/>
      <c r="U254" s="416"/>
      <c r="V254" s="416"/>
      <c r="W254" s="416"/>
      <c r="X254" s="416"/>
      <c r="Y254" s="416"/>
      <c r="Z254" s="416"/>
      <c r="AA254" s="416"/>
      <c r="AB254" s="416">
        <f>H254</f>
        <v>7551.0290000000005</v>
      </c>
      <c r="AC254" s="416"/>
      <c r="AD254" s="416"/>
      <c r="AE254" s="416"/>
      <c r="AF254" s="416"/>
      <c r="AG254" s="416"/>
      <c r="AH254" s="416"/>
      <c r="AI254" s="416"/>
      <c r="AJ254" s="416"/>
      <c r="AK254" s="416"/>
      <c r="AL254" s="416"/>
      <c r="AM254" s="416"/>
      <c r="AN254" s="416"/>
      <c r="AO254" s="416"/>
      <c r="AP254" s="416"/>
      <c r="AQ254" s="416"/>
      <c r="AR254" s="416"/>
      <c r="AS254" s="416"/>
      <c r="AT254" s="416"/>
      <c r="AU254" s="416"/>
      <c r="AV254" s="416"/>
      <c r="AW254" s="416"/>
      <c r="AX254" s="416"/>
      <c r="AY254" s="416"/>
      <c r="AZ254" s="32"/>
    </row>
    <row r="255" spans="2:52">
      <c r="B255" s="1252"/>
      <c r="C255" s="1253"/>
      <c r="D255" s="411"/>
      <c r="E255" s="411"/>
      <c r="F255" s="1256" t="s">
        <v>668</v>
      </c>
      <c r="G255" s="1257"/>
      <c r="H255" s="412">
        <v>1000</v>
      </c>
      <c r="I255" s="413"/>
      <c r="J255" s="414"/>
      <c r="K255" s="414"/>
      <c r="L255" s="414"/>
      <c r="M255" s="414"/>
      <c r="N255" s="413" t="str">
        <f t="shared" si="17"/>
        <v xml:space="preserve"> </v>
      </c>
      <c r="O255" s="51"/>
      <c r="P255" s="415"/>
      <c r="Q255" s="415"/>
      <c r="R255" s="415"/>
      <c r="S255" s="32"/>
      <c r="T255" s="416"/>
      <c r="U255" s="416"/>
      <c r="V255" s="416"/>
      <c r="W255" s="416"/>
      <c r="X255" s="416"/>
      <c r="Y255" s="416"/>
      <c r="Z255" s="416"/>
      <c r="AA255" s="416"/>
      <c r="AB255" s="416"/>
      <c r="AC255" s="416"/>
      <c r="AD255" s="416"/>
      <c r="AE255" s="416"/>
      <c r="AF255" s="416"/>
      <c r="AG255" s="416"/>
      <c r="AH255" s="416"/>
      <c r="AI255" s="416"/>
      <c r="AJ255" s="416"/>
      <c r="AK255" s="416"/>
      <c r="AL255" s="416"/>
      <c r="AM255" s="416"/>
      <c r="AN255" s="416"/>
      <c r="AO255" s="416"/>
      <c r="AP255" s="416"/>
      <c r="AQ255" s="416"/>
      <c r="AR255" s="416"/>
      <c r="AS255" s="416"/>
      <c r="AT255" s="416"/>
      <c r="AU255" s="416"/>
      <c r="AV255" s="416"/>
      <c r="AW255" s="416"/>
      <c r="AX255" s="416"/>
      <c r="AY255" s="416"/>
      <c r="AZ255" s="32"/>
    </row>
    <row r="256" spans="2:52">
      <c r="B256" s="1254"/>
      <c r="C256" s="1255"/>
      <c r="D256" s="411"/>
      <c r="E256" s="411"/>
      <c r="F256" s="1256" t="s">
        <v>616</v>
      </c>
      <c r="G256" s="1257"/>
      <c r="H256" s="412">
        <v>2500</v>
      </c>
      <c r="I256" s="413"/>
      <c r="J256" s="414"/>
      <c r="K256" s="414"/>
      <c r="L256" s="414"/>
      <c r="M256" s="414"/>
      <c r="N256" s="413" t="str">
        <f t="shared" si="17"/>
        <v xml:space="preserve"> </v>
      </c>
      <c r="O256" s="51"/>
      <c r="P256" s="415"/>
      <c r="Q256" s="415"/>
      <c r="R256" s="415"/>
      <c r="S256" s="32"/>
      <c r="T256" s="416"/>
      <c r="U256" s="416"/>
      <c r="V256" s="416"/>
      <c r="W256" s="416"/>
      <c r="X256" s="416"/>
      <c r="Y256" s="416"/>
      <c r="Z256" s="416"/>
      <c r="AA256" s="416"/>
      <c r="AB256" s="416"/>
      <c r="AC256" s="416"/>
      <c r="AD256" s="416"/>
      <c r="AE256" s="416"/>
      <c r="AF256" s="416"/>
      <c r="AG256" s="416"/>
      <c r="AH256" s="416"/>
      <c r="AI256" s="416"/>
      <c r="AJ256" s="416"/>
      <c r="AK256" s="416"/>
      <c r="AL256" s="416"/>
      <c r="AM256" s="416"/>
      <c r="AN256" s="416"/>
      <c r="AO256" s="416"/>
      <c r="AP256" s="416"/>
      <c r="AQ256" s="416"/>
      <c r="AR256" s="416"/>
      <c r="AS256" s="416"/>
      <c r="AT256" s="416"/>
      <c r="AU256" s="416"/>
      <c r="AV256" s="416"/>
      <c r="AW256" s="416"/>
      <c r="AX256" s="416"/>
      <c r="AY256" s="416"/>
      <c r="AZ256" s="32"/>
    </row>
    <row r="257" spans="2:52">
      <c r="B257" s="1250" t="s">
        <v>624</v>
      </c>
      <c r="C257" s="1251"/>
      <c r="D257" s="411" t="s">
        <v>716</v>
      </c>
      <c r="E257" s="411"/>
      <c r="F257" s="411" t="s">
        <v>406</v>
      </c>
      <c r="G257" s="411" t="s">
        <v>407</v>
      </c>
      <c r="H257" s="412">
        <v>7458.5209999999997</v>
      </c>
      <c r="I257" s="413" t="s">
        <v>235</v>
      </c>
      <c r="J257" s="414">
        <v>44976.666666666664</v>
      </c>
      <c r="K257" s="414"/>
      <c r="L257" s="414" t="s">
        <v>192</v>
      </c>
      <c r="M257" s="414" t="s">
        <v>192</v>
      </c>
      <c r="N257" s="413" t="str">
        <f t="shared" si="17"/>
        <v>DELAY ( 4 day 15 hour 59 minute )</v>
      </c>
      <c r="O257" s="51"/>
      <c r="P257" s="415" t="s">
        <v>551</v>
      </c>
      <c r="Q257" s="415" t="s">
        <v>551</v>
      </c>
      <c r="R257" s="415" t="s">
        <v>551</v>
      </c>
      <c r="S257" s="32"/>
      <c r="T257" s="416"/>
      <c r="U257" s="416"/>
      <c r="V257" s="416"/>
      <c r="W257" s="416"/>
      <c r="X257" s="416"/>
      <c r="Y257" s="416"/>
      <c r="Z257" s="416"/>
      <c r="AA257" s="416"/>
      <c r="AB257" s="416">
        <f>H257</f>
        <v>7458.5209999999997</v>
      </c>
      <c r="AC257" s="416"/>
      <c r="AD257" s="416"/>
      <c r="AE257" s="416"/>
      <c r="AF257" s="416"/>
      <c r="AG257" s="416"/>
      <c r="AH257" s="416"/>
      <c r="AI257" s="416"/>
      <c r="AJ257" s="416"/>
      <c r="AK257" s="416"/>
      <c r="AL257" s="416"/>
      <c r="AM257" s="416"/>
      <c r="AN257" s="416"/>
      <c r="AO257" s="416"/>
      <c r="AP257" s="416"/>
      <c r="AQ257" s="416"/>
      <c r="AR257" s="416"/>
      <c r="AS257" s="416"/>
      <c r="AT257" s="416"/>
      <c r="AU257" s="416"/>
      <c r="AV257" s="416"/>
      <c r="AW257" s="416"/>
      <c r="AX257" s="416"/>
      <c r="AY257" s="416"/>
      <c r="AZ257" s="32"/>
    </row>
    <row r="258" spans="2:52">
      <c r="B258" s="1252"/>
      <c r="C258" s="1253"/>
      <c r="D258" s="411"/>
      <c r="E258" s="411"/>
      <c r="F258" s="1256" t="s">
        <v>668</v>
      </c>
      <c r="G258" s="1257"/>
      <c r="H258" s="412">
        <v>1000</v>
      </c>
      <c r="I258" s="413"/>
      <c r="J258" s="414"/>
      <c r="K258" s="414"/>
      <c r="L258" s="414"/>
      <c r="M258" s="414"/>
      <c r="N258" s="413" t="str">
        <f t="shared" si="17"/>
        <v xml:space="preserve"> </v>
      </c>
      <c r="O258" s="51"/>
      <c r="P258" s="415"/>
      <c r="Q258" s="415"/>
      <c r="R258" s="415"/>
      <c r="S258" s="32"/>
      <c r="T258" s="416"/>
      <c r="U258" s="416"/>
      <c r="V258" s="416"/>
      <c r="W258" s="416"/>
      <c r="X258" s="416"/>
      <c r="Y258" s="416"/>
      <c r="Z258" s="416"/>
      <c r="AA258" s="416"/>
      <c r="AB258" s="416"/>
      <c r="AC258" s="416"/>
      <c r="AD258" s="416"/>
      <c r="AE258" s="416"/>
      <c r="AF258" s="416"/>
      <c r="AG258" s="416"/>
      <c r="AH258" s="416"/>
      <c r="AI258" s="416"/>
      <c r="AJ258" s="416"/>
      <c r="AK258" s="416"/>
      <c r="AL258" s="416"/>
      <c r="AM258" s="416"/>
      <c r="AN258" s="416"/>
      <c r="AO258" s="416"/>
      <c r="AP258" s="416"/>
      <c r="AQ258" s="416"/>
      <c r="AR258" s="416"/>
      <c r="AS258" s="416"/>
      <c r="AT258" s="416"/>
      <c r="AU258" s="416"/>
      <c r="AV258" s="416"/>
      <c r="AW258" s="416"/>
      <c r="AX258" s="416"/>
      <c r="AY258" s="416"/>
      <c r="AZ258" s="32"/>
    </row>
    <row r="259" spans="2:52">
      <c r="B259" s="1254"/>
      <c r="C259" s="1255"/>
      <c r="D259" s="411"/>
      <c r="E259" s="411"/>
      <c r="F259" s="1256" t="s">
        <v>616</v>
      </c>
      <c r="G259" s="1257"/>
      <c r="H259" s="412">
        <v>1500</v>
      </c>
      <c r="I259" s="413"/>
      <c r="J259" s="414"/>
      <c r="K259" s="414"/>
      <c r="L259" s="414"/>
      <c r="M259" s="414"/>
      <c r="N259" s="413" t="str">
        <f t="shared" si="17"/>
        <v xml:space="preserve"> </v>
      </c>
      <c r="O259" s="51"/>
      <c r="P259" s="415"/>
      <c r="Q259" s="415"/>
      <c r="R259" s="415"/>
      <c r="S259" s="32"/>
      <c r="T259" s="416"/>
      <c r="U259" s="416"/>
      <c r="V259" s="416"/>
      <c r="W259" s="416"/>
      <c r="X259" s="416"/>
      <c r="Y259" s="416"/>
      <c r="Z259" s="416"/>
      <c r="AA259" s="416"/>
      <c r="AB259" s="416"/>
      <c r="AC259" s="416"/>
      <c r="AD259" s="416"/>
      <c r="AE259" s="416"/>
      <c r="AF259" s="416"/>
      <c r="AG259" s="416"/>
      <c r="AH259" s="416"/>
      <c r="AI259" s="416"/>
      <c r="AJ259" s="416"/>
      <c r="AK259" s="416"/>
      <c r="AL259" s="416"/>
      <c r="AM259" s="416"/>
      <c r="AN259" s="416"/>
      <c r="AO259" s="416"/>
      <c r="AP259" s="416"/>
      <c r="AQ259" s="416"/>
      <c r="AR259" s="416"/>
      <c r="AS259" s="416"/>
      <c r="AT259" s="416"/>
      <c r="AU259" s="416"/>
      <c r="AV259" s="416"/>
      <c r="AW259" s="416"/>
      <c r="AX259" s="416"/>
      <c r="AY259" s="416"/>
      <c r="AZ259" s="32"/>
    </row>
    <row r="260" spans="2:52">
      <c r="B260" s="1250" t="s">
        <v>625</v>
      </c>
      <c r="C260" s="1251"/>
      <c r="D260" s="411" t="s">
        <v>719</v>
      </c>
      <c r="E260" s="411"/>
      <c r="F260" s="411" t="s">
        <v>399</v>
      </c>
      <c r="G260" s="411" t="s">
        <v>400</v>
      </c>
      <c r="H260" s="412">
        <v>7425.915</v>
      </c>
      <c r="I260" s="413" t="s">
        <v>235</v>
      </c>
      <c r="J260" s="414">
        <v>44976.729166666664</v>
      </c>
      <c r="K260" s="414"/>
      <c r="L260" s="414" t="s">
        <v>192</v>
      </c>
      <c r="M260" s="414" t="s">
        <v>192</v>
      </c>
      <c r="N260" s="413" t="str">
        <f t="shared" si="17"/>
        <v>DELAY ( 4 day 17 hour 29 minute )</v>
      </c>
      <c r="O260" s="51"/>
      <c r="P260" s="415" t="s">
        <v>551</v>
      </c>
      <c r="Q260" s="415" t="s">
        <v>551</v>
      </c>
      <c r="R260" s="415" t="s">
        <v>551</v>
      </c>
      <c r="S260" s="32"/>
      <c r="T260" s="416"/>
      <c r="U260" s="416"/>
      <c r="V260" s="416"/>
      <c r="W260" s="416"/>
      <c r="X260" s="416"/>
      <c r="Y260" s="416"/>
      <c r="Z260" s="416"/>
      <c r="AA260" s="416"/>
      <c r="AB260" s="416">
        <f>H260</f>
        <v>7425.915</v>
      </c>
      <c r="AC260" s="416"/>
      <c r="AD260" s="416"/>
      <c r="AE260" s="416"/>
      <c r="AF260" s="416"/>
      <c r="AG260" s="416"/>
      <c r="AH260" s="416"/>
      <c r="AI260" s="416"/>
      <c r="AJ260" s="416"/>
      <c r="AK260" s="416"/>
      <c r="AL260" s="416"/>
      <c r="AM260" s="416"/>
      <c r="AN260" s="416"/>
      <c r="AO260" s="416"/>
      <c r="AP260" s="416"/>
      <c r="AQ260" s="416"/>
      <c r="AR260" s="416"/>
      <c r="AS260" s="416"/>
      <c r="AT260" s="416"/>
      <c r="AU260" s="416"/>
      <c r="AV260" s="416"/>
      <c r="AW260" s="416"/>
      <c r="AX260" s="416"/>
      <c r="AY260" s="416"/>
      <c r="AZ260" s="32"/>
    </row>
    <row r="261" spans="2:52">
      <c r="B261" s="1252"/>
      <c r="C261" s="1253"/>
      <c r="D261" s="411"/>
      <c r="E261" s="411"/>
      <c r="F261" s="1256" t="s">
        <v>668</v>
      </c>
      <c r="G261" s="1257"/>
      <c r="H261" s="412">
        <v>1000</v>
      </c>
      <c r="I261" s="413"/>
      <c r="J261" s="414"/>
      <c r="K261" s="414"/>
      <c r="L261" s="414"/>
      <c r="M261" s="414"/>
      <c r="N261" s="413" t="str">
        <f t="shared" si="17"/>
        <v xml:space="preserve"> </v>
      </c>
      <c r="O261" s="51"/>
      <c r="P261" s="415"/>
      <c r="Q261" s="415"/>
      <c r="R261" s="415"/>
      <c r="S261" s="32"/>
      <c r="T261" s="416"/>
      <c r="U261" s="416"/>
      <c r="V261" s="416"/>
      <c r="W261" s="416"/>
      <c r="X261" s="416"/>
      <c r="Y261" s="416"/>
      <c r="Z261" s="416"/>
      <c r="AA261" s="416"/>
      <c r="AB261" s="416"/>
      <c r="AC261" s="416"/>
      <c r="AD261" s="416"/>
      <c r="AE261" s="416"/>
      <c r="AF261" s="416"/>
      <c r="AG261" s="416"/>
      <c r="AH261" s="416"/>
      <c r="AI261" s="416"/>
      <c r="AJ261" s="416"/>
      <c r="AK261" s="416"/>
      <c r="AL261" s="416"/>
      <c r="AM261" s="416"/>
      <c r="AN261" s="416"/>
      <c r="AO261" s="416"/>
      <c r="AP261" s="416"/>
      <c r="AQ261" s="416"/>
      <c r="AR261" s="416"/>
      <c r="AS261" s="416"/>
      <c r="AT261" s="416"/>
      <c r="AU261" s="416"/>
      <c r="AV261" s="416"/>
      <c r="AW261" s="416"/>
      <c r="AX261" s="416"/>
      <c r="AY261" s="416"/>
      <c r="AZ261" s="32"/>
    </row>
    <row r="262" spans="2:52">
      <c r="B262" s="1254"/>
      <c r="C262" s="1255"/>
      <c r="D262" s="411"/>
      <c r="E262" s="411"/>
      <c r="F262" s="1256" t="s">
        <v>616</v>
      </c>
      <c r="G262" s="1257"/>
      <c r="H262" s="412">
        <v>2900</v>
      </c>
      <c r="I262" s="413"/>
      <c r="J262" s="414"/>
      <c r="K262" s="414"/>
      <c r="L262" s="414"/>
      <c r="M262" s="414"/>
      <c r="N262" s="413" t="str">
        <f t="shared" si="17"/>
        <v xml:space="preserve"> </v>
      </c>
      <c r="O262" s="51"/>
      <c r="P262" s="415"/>
      <c r="Q262" s="415"/>
      <c r="R262" s="415"/>
      <c r="S262" s="32"/>
      <c r="T262" s="416"/>
      <c r="U262" s="416"/>
      <c r="V262" s="416"/>
      <c r="W262" s="416"/>
      <c r="X262" s="416"/>
      <c r="Y262" s="416"/>
      <c r="Z262" s="416"/>
      <c r="AA262" s="416"/>
      <c r="AB262" s="416"/>
      <c r="AC262" s="416"/>
      <c r="AD262" s="416"/>
      <c r="AE262" s="416"/>
      <c r="AF262" s="416"/>
      <c r="AG262" s="416"/>
      <c r="AH262" s="416"/>
      <c r="AI262" s="416"/>
      <c r="AJ262" s="416"/>
      <c r="AK262" s="416"/>
      <c r="AL262" s="416"/>
      <c r="AM262" s="416"/>
      <c r="AN262" s="416"/>
      <c r="AO262" s="416"/>
      <c r="AP262" s="416"/>
      <c r="AQ262" s="416"/>
      <c r="AR262" s="416"/>
      <c r="AS262" s="416"/>
      <c r="AT262" s="416"/>
      <c r="AU262" s="416"/>
      <c r="AV262" s="416"/>
      <c r="AW262" s="416"/>
      <c r="AX262" s="416"/>
      <c r="AY262" s="416"/>
      <c r="AZ262" s="32"/>
    </row>
    <row r="263" spans="2:52">
      <c r="B263" s="1250" t="s">
        <v>669</v>
      </c>
      <c r="C263" s="1251"/>
      <c r="D263" s="411" t="s">
        <v>685</v>
      </c>
      <c r="E263" s="411"/>
      <c r="F263" s="411" t="s">
        <v>686</v>
      </c>
      <c r="G263" s="411" t="s">
        <v>900</v>
      </c>
      <c r="H263" s="412">
        <v>7417.7449999999999</v>
      </c>
      <c r="I263" s="413" t="s">
        <v>235</v>
      </c>
      <c r="J263" s="414">
        <v>44977.291666666664</v>
      </c>
      <c r="K263" s="414"/>
      <c r="L263" s="414" t="s">
        <v>192</v>
      </c>
      <c r="M263" s="414" t="s">
        <v>192</v>
      </c>
      <c r="N263" s="413" t="str">
        <f t="shared" si="17"/>
        <v>DELAY ( 5 day 6 hour 59 minute )</v>
      </c>
      <c r="O263" s="51"/>
      <c r="P263" s="415" t="s">
        <v>551</v>
      </c>
      <c r="Q263" s="415" t="s">
        <v>551</v>
      </c>
      <c r="R263" s="415" t="s">
        <v>551</v>
      </c>
      <c r="S263" s="32"/>
      <c r="T263" s="416"/>
      <c r="U263" s="416"/>
      <c r="V263" s="416"/>
      <c r="W263" s="416"/>
      <c r="X263" s="416"/>
      <c r="Y263" s="416"/>
      <c r="Z263" s="416"/>
      <c r="AA263" s="416"/>
      <c r="AB263" s="416">
        <f>H263</f>
        <v>7417.7449999999999</v>
      </c>
      <c r="AC263" s="416"/>
      <c r="AD263" s="416"/>
      <c r="AE263" s="416"/>
      <c r="AF263" s="416"/>
      <c r="AG263" s="416"/>
      <c r="AH263" s="416"/>
      <c r="AI263" s="416"/>
      <c r="AJ263" s="416"/>
      <c r="AK263" s="416"/>
      <c r="AL263" s="416"/>
      <c r="AM263" s="416"/>
      <c r="AN263" s="416"/>
      <c r="AO263" s="416"/>
      <c r="AP263" s="416"/>
      <c r="AQ263" s="416"/>
      <c r="AR263" s="416"/>
      <c r="AS263" s="416"/>
      <c r="AT263" s="416"/>
      <c r="AU263" s="416"/>
      <c r="AV263" s="416"/>
      <c r="AW263" s="416"/>
      <c r="AX263" s="416"/>
      <c r="AY263" s="416"/>
      <c r="AZ263" s="32"/>
    </row>
    <row r="264" spans="2:52">
      <c r="B264" s="1252"/>
      <c r="C264" s="1253"/>
      <c r="D264" s="411"/>
      <c r="E264" s="411"/>
      <c r="F264" s="1256" t="s">
        <v>668</v>
      </c>
      <c r="G264" s="1257"/>
      <c r="H264" s="412">
        <v>1000</v>
      </c>
      <c r="I264" s="413"/>
      <c r="J264" s="414"/>
      <c r="K264" s="414"/>
      <c r="L264" s="414"/>
      <c r="M264" s="414"/>
      <c r="N264" s="413" t="str">
        <f t="shared" si="17"/>
        <v xml:space="preserve"> </v>
      </c>
      <c r="O264" s="51"/>
      <c r="P264" s="415"/>
      <c r="Q264" s="415"/>
      <c r="R264" s="415"/>
      <c r="S264" s="32"/>
      <c r="T264" s="416"/>
      <c r="U264" s="416"/>
      <c r="V264" s="416"/>
      <c r="W264" s="416"/>
      <c r="X264" s="416"/>
      <c r="Y264" s="416"/>
      <c r="Z264" s="416"/>
      <c r="AA264" s="416"/>
      <c r="AB264" s="416"/>
      <c r="AC264" s="416"/>
      <c r="AD264" s="416"/>
      <c r="AE264" s="416"/>
      <c r="AF264" s="416"/>
      <c r="AG264" s="416"/>
      <c r="AH264" s="416"/>
      <c r="AI264" s="416"/>
      <c r="AJ264" s="416"/>
      <c r="AK264" s="416"/>
      <c r="AL264" s="416"/>
      <c r="AM264" s="416"/>
      <c r="AN264" s="416"/>
      <c r="AO264" s="416"/>
      <c r="AP264" s="416"/>
      <c r="AQ264" s="416"/>
      <c r="AR264" s="416"/>
      <c r="AS264" s="416"/>
      <c r="AT264" s="416"/>
      <c r="AU264" s="416"/>
      <c r="AV264" s="416"/>
      <c r="AW264" s="416"/>
      <c r="AX264" s="416"/>
      <c r="AY264" s="416"/>
      <c r="AZ264" s="32"/>
    </row>
    <row r="265" spans="2:52">
      <c r="B265" s="1254"/>
      <c r="C265" s="1255"/>
      <c r="D265" s="411"/>
      <c r="E265" s="411"/>
      <c r="F265" s="1256" t="s">
        <v>616</v>
      </c>
      <c r="G265" s="1257"/>
      <c r="H265" s="412">
        <v>2200</v>
      </c>
      <c r="I265" s="413"/>
      <c r="J265" s="414"/>
      <c r="K265" s="414"/>
      <c r="L265" s="414"/>
      <c r="M265" s="414"/>
      <c r="N265" s="413" t="str">
        <f t="shared" si="17"/>
        <v xml:space="preserve"> </v>
      </c>
      <c r="O265" s="51"/>
      <c r="P265" s="415"/>
      <c r="Q265" s="415"/>
      <c r="R265" s="415"/>
      <c r="S265" s="32"/>
      <c r="T265" s="416"/>
      <c r="U265" s="416"/>
      <c r="V265" s="416"/>
      <c r="W265" s="416"/>
      <c r="X265" s="416"/>
      <c r="Y265" s="416"/>
      <c r="Z265" s="416"/>
      <c r="AA265" s="416"/>
      <c r="AB265" s="416"/>
      <c r="AC265" s="416"/>
      <c r="AD265" s="416"/>
      <c r="AE265" s="416"/>
      <c r="AF265" s="416"/>
      <c r="AG265" s="416"/>
      <c r="AH265" s="416"/>
      <c r="AI265" s="416"/>
      <c r="AJ265" s="416"/>
      <c r="AK265" s="416"/>
      <c r="AL265" s="416"/>
      <c r="AM265" s="416"/>
      <c r="AN265" s="416"/>
      <c r="AO265" s="416"/>
      <c r="AP265" s="416"/>
      <c r="AQ265" s="416"/>
      <c r="AR265" s="416"/>
      <c r="AS265" s="416"/>
      <c r="AT265" s="416"/>
      <c r="AU265" s="416"/>
      <c r="AV265" s="416"/>
      <c r="AW265" s="416"/>
      <c r="AX265" s="416"/>
      <c r="AY265" s="416"/>
      <c r="AZ265" s="32"/>
    </row>
    <row r="266" spans="2:52">
      <c r="B266" s="1256" t="s">
        <v>670</v>
      </c>
      <c r="C266" s="1257"/>
      <c r="D266" s="411" t="s">
        <v>697</v>
      </c>
      <c r="E266" s="411"/>
      <c r="F266" s="411" t="s">
        <v>310</v>
      </c>
      <c r="G266" s="411" t="s">
        <v>311</v>
      </c>
      <c r="H266" s="412">
        <f>7535.942-5574.283</f>
        <v>1961.6589999999997</v>
      </c>
      <c r="I266" s="413" t="s">
        <v>235</v>
      </c>
      <c r="J266" s="414">
        <v>44976.413194444445</v>
      </c>
      <c r="K266" s="414"/>
      <c r="L266" s="414" t="s">
        <v>192</v>
      </c>
      <c r="M266" s="414" t="s">
        <v>192</v>
      </c>
      <c r="N266" s="413" t="str">
        <f t="shared" si="17"/>
        <v>DELAY ( 4 day 9 hour 54 minute )</v>
      </c>
      <c r="O266" s="51"/>
      <c r="P266" s="415" t="s">
        <v>551</v>
      </c>
      <c r="Q266" s="415" t="s">
        <v>551</v>
      </c>
      <c r="R266" s="415" t="s">
        <v>551</v>
      </c>
      <c r="S266" s="32"/>
      <c r="T266" s="416"/>
      <c r="U266" s="416"/>
      <c r="V266" s="416"/>
      <c r="W266" s="416"/>
      <c r="X266" s="416"/>
      <c r="Y266" s="416"/>
      <c r="Z266" s="416"/>
      <c r="AA266" s="416"/>
      <c r="AB266" s="416">
        <f>H266</f>
        <v>1961.6589999999997</v>
      </c>
      <c r="AC266" s="416"/>
      <c r="AD266" s="416"/>
      <c r="AE266" s="416"/>
      <c r="AF266" s="416"/>
      <c r="AG266" s="416"/>
      <c r="AH266" s="416"/>
      <c r="AI266" s="416"/>
      <c r="AJ266" s="416"/>
      <c r="AK266" s="416"/>
      <c r="AL266" s="416"/>
      <c r="AM266" s="416"/>
      <c r="AN266" s="416"/>
      <c r="AO266" s="416"/>
      <c r="AP266" s="416"/>
      <c r="AQ266" s="416"/>
      <c r="AR266" s="416"/>
      <c r="AS266" s="416"/>
      <c r="AT266" s="416"/>
      <c r="AU266" s="416"/>
      <c r="AV266" s="416"/>
      <c r="AW266" s="416"/>
      <c r="AX266" s="416"/>
      <c r="AY266" s="416"/>
      <c r="AZ266" s="32"/>
    </row>
    <row r="267" spans="2:52">
      <c r="B267" s="1258" t="s">
        <v>626</v>
      </c>
      <c r="C267" s="1259"/>
      <c r="D267" s="1259"/>
      <c r="E267" s="1259"/>
      <c r="F267" s="1259"/>
      <c r="G267" s="1260"/>
      <c r="H267" s="417">
        <f>H251+H260+H245+H254+H263+H257+H248+H266</f>
        <v>54476.685000000005</v>
      </c>
      <c r="I267" s="388"/>
      <c r="J267" s="293"/>
      <c r="K267" s="293"/>
      <c r="L267" s="293"/>
      <c r="M267" s="389"/>
      <c r="N267" s="413" t="str">
        <f t="shared" si="17"/>
        <v xml:space="preserve"> </v>
      </c>
      <c r="O267" s="47"/>
      <c r="P267" s="418"/>
      <c r="Q267" s="418"/>
      <c r="R267" s="418"/>
      <c r="S267" s="32"/>
      <c r="T267" s="1261"/>
      <c r="U267" s="1261"/>
      <c r="V267" s="1261"/>
      <c r="W267" s="1261"/>
      <c r="X267" s="1261"/>
      <c r="Y267" s="1261"/>
      <c r="Z267" s="1261"/>
      <c r="AA267" s="1261"/>
      <c r="AB267" s="1261"/>
      <c r="AC267" s="1261"/>
      <c r="AD267" s="1261"/>
      <c r="AE267" s="1261"/>
      <c r="AF267" s="1261"/>
      <c r="AG267" s="1261"/>
      <c r="AH267" s="1261"/>
      <c r="AI267" s="1261"/>
      <c r="AJ267" s="1261"/>
      <c r="AK267" s="1261"/>
      <c r="AL267" s="1261"/>
      <c r="AM267" s="1261"/>
      <c r="AN267" s="1261"/>
      <c r="AO267" s="1261"/>
      <c r="AP267" s="1261"/>
      <c r="AQ267" s="1261"/>
      <c r="AR267" s="1261"/>
      <c r="AS267" s="1261"/>
      <c r="AT267" s="1261"/>
      <c r="AU267" s="1261"/>
      <c r="AV267" s="1261"/>
      <c r="AW267" s="1261"/>
      <c r="AX267" s="1261"/>
      <c r="AY267" s="1261"/>
    </row>
    <row r="268" spans="2:52">
      <c r="B268" s="1258" t="s">
        <v>556</v>
      </c>
      <c r="C268" s="1259"/>
      <c r="D268" s="1259"/>
      <c r="E268" s="1259"/>
      <c r="F268" s="1259"/>
      <c r="G268" s="1260"/>
      <c r="H268" s="417">
        <f>H244+H267</f>
        <v>77000</v>
      </c>
      <c r="I268" s="388"/>
      <c r="J268" s="293"/>
      <c r="K268" s="293"/>
      <c r="L268" s="293"/>
      <c r="M268" s="389"/>
      <c r="N268" s="413" t="str">
        <f t="shared" si="17"/>
        <v xml:space="preserve"> </v>
      </c>
      <c r="O268" s="212"/>
      <c r="P268" s="418"/>
      <c r="Q268" s="418"/>
      <c r="R268" s="418"/>
      <c r="S268" s="207"/>
      <c r="T268" s="1262"/>
      <c r="U268" s="1263"/>
      <c r="V268" s="1263"/>
      <c r="W268" s="1263"/>
      <c r="X268" s="1263"/>
      <c r="Y268" s="1263"/>
      <c r="Z268" s="1263"/>
      <c r="AA268" s="1263"/>
      <c r="AB268" s="1263"/>
      <c r="AC268" s="1263"/>
      <c r="AD268" s="1263"/>
      <c r="AE268" s="1263"/>
      <c r="AF268" s="1263"/>
      <c r="AG268" s="1263"/>
      <c r="AH268" s="1263"/>
      <c r="AI268" s="1263"/>
      <c r="AJ268" s="1263"/>
      <c r="AK268" s="1263"/>
      <c r="AL268" s="1263"/>
      <c r="AM268" s="1263"/>
      <c r="AN268" s="1263"/>
      <c r="AO268" s="1263"/>
      <c r="AP268" s="1263"/>
      <c r="AQ268" s="1263"/>
      <c r="AR268" s="1263"/>
      <c r="AS268" s="1263"/>
      <c r="AT268" s="1263"/>
      <c r="AU268" s="1263"/>
      <c r="AV268" s="1263"/>
      <c r="AW268" s="1263"/>
      <c r="AX268" s="1263"/>
      <c r="AY268" s="1264"/>
    </row>
    <row r="269" spans="2:52">
      <c r="B269" s="1243" t="s">
        <v>557</v>
      </c>
      <c r="C269" s="1244"/>
      <c r="D269" s="1244"/>
      <c r="E269" s="1244"/>
      <c r="F269" s="1244"/>
      <c r="G269" s="1245"/>
      <c r="H269" s="419">
        <v>77000</v>
      </c>
      <c r="I269" s="1273"/>
      <c r="J269" s="1274"/>
      <c r="K269" s="1274"/>
      <c r="L269" s="1274"/>
      <c r="M269" s="1275"/>
      <c r="N269" s="413" t="str">
        <f t="shared" si="17"/>
        <v xml:space="preserve"> </v>
      </c>
      <c r="O269" s="32"/>
      <c r="P269" s="415"/>
      <c r="Q269" s="415"/>
      <c r="R269" s="415"/>
      <c r="S269" s="63"/>
      <c r="T269" s="416">
        <f t="shared" ref="T269:AY269" si="18">SUM(T241:T266)</f>
        <v>0</v>
      </c>
      <c r="U269" s="416">
        <f t="shared" si="18"/>
        <v>0</v>
      </c>
      <c r="V269" s="416">
        <f t="shared" si="18"/>
        <v>0</v>
      </c>
      <c r="W269" s="416">
        <f t="shared" si="18"/>
        <v>0</v>
      </c>
      <c r="X269" s="416">
        <f t="shared" si="18"/>
        <v>0</v>
      </c>
      <c r="Y269" s="416">
        <f t="shared" si="18"/>
        <v>15023.315000000001</v>
      </c>
      <c r="Z269" s="416">
        <f t="shared" si="18"/>
        <v>0</v>
      </c>
      <c r="AA269" s="416">
        <f t="shared" si="18"/>
        <v>0</v>
      </c>
      <c r="AB269" s="416">
        <f t="shared" si="18"/>
        <v>54476.685000000005</v>
      </c>
      <c r="AC269" s="416">
        <f t="shared" si="18"/>
        <v>0</v>
      </c>
      <c r="AD269" s="416">
        <f t="shared" si="18"/>
        <v>0</v>
      </c>
      <c r="AE269" s="416">
        <f t="shared" si="18"/>
        <v>0</v>
      </c>
      <c r="AF269" s="416">
        <f t="shared" si="18"/>
        <v>0</v>
      </c>
      <c r="AG269" s="416">
        <f t="shared" si="18"/>
        <v>0</v>
      </c>
      <c r="AH269" s="416">
        <f t="shared" si="18"/>
        <v>0</v>
      </c>
      <c r="AI269" s="416">
        <f t="shared" si="18"/>
        <v>0</v>
      </c>
      <c r="AJ269" s="416">
        <f t="shared" si="18"/>
        <v>0</v>
      </c>
      <c r="AK269" s="416">
        <f t="shared" si="18"/>
        <v>7500</v>
      </c>
      <c r="AL269" s="416">
        <f t="shared" si="18"/>
        <v>0</v>
      </c>
      <c r="AM269" s="416">
        <f t="shared" si="18"/>
        <v>0</v>
      </c>
      <c r="AN269" s="416">
        <f t="shared" si="18"/>
        <v>0</v>
      </c>
      <c r="AO269" s="416">
        <f t="shared" si="18"/>
        <v>0</v>
      </c>
      <c r="AP269" s="416">
        <f t="shared" si="18"/>
        <v>0</v>
      </c>
      <c r="AQ269" s="416">
        <f t="shared" si="18"/>
        <v>0</v>
      </c>
      <c r="AR269" s="416">
        <f t="shared" si="18"/>
        <v>0</v>
      </c>
      <c r="AS269" s="416">
        <f t="shared" si="18"/>
        <v>0</v>
      </c>
      <c r="AT269" s="416">
        <f t="shared" si="18"/>
        <v>0</v>
      </c>
      <c r="AU269" s="416">
        <f t="shared" si="18"/>
        <v>0</v>
      </c>
      <c r="AV269" s="416">
        <f t="shared" si="18"/>
        <v>0</v>
      </c>
      <c r="AW269" s="416">
        <f t="shared" si="18"/>
        <v>0</v>
      </c>
      <c r="AX269" s="416">
        <f t="shared" si="18"/>
        <v>0</v>
      </c>
      <c r="AY269" s="416">
        <f t="shared" si="18"/>
        <v>0</v>
      </c>
      <c r="AZ269" s="416">
        <f>SUM(T269:AY269)</f>
        <v>77000</v>
      </c>
    </row>
    <row r="270" spans="2:52">
      <c r="B270" s="1243" t="s">
        <v>558</v>
      </c>
      <c r="C270" s="1244"/>
      <c r="D270" s="1244"/>
      <c r="E270" s="1244"/>
      <c r="F270" s="1244"/>
      <c r="G270" s="1245"/>
      <c r="H270" s="420">
        <f>H269-L235</f>
        <v>0</v>
      </c>
      <c r="I270" s="294"/>
      <c r="J270" s="295"/>
      <c r="K270" s="295"/>
      <c r="L270" s="296"/>
      <c r="M270" s="32"/>
      <c r="N270" s="32"/>
      <c r="O270" s="32"/>
      <c r="P270" s="32"/>
      <c r="Q270" s="297"/>
      <c r="R270" s="297"/>
      <c r="S270" s="32"/>
      <c r="T270" s="48"/>
      <c r="U270" s="48"/>
      <c r="V270" s="48"/>
      <c r="W270" s="48"/>
      <c r="X270" s="48"/>
      <c r="Y270" s="48"/>
      <c r="Z270" s="48"/>
      <c r="AA270" s="48"/>
      <c r="AB270" s="48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</row>
    <row r="271" spans="2:52">
      <c r="B271" s="1243" t="s">
        <v>559</v>
      </c>
      <c r="C271" s="1244"/>
      <c r="D271" s="1244"/>
      <c r="E271" s="1244"/>
      <c r="F271" s="1244"/>
      <c r="G271" s="1245"/>
      <c r="H271" s="420">
        <v>4696</v>
      </c>
      <c r="I271" s="52"/>
      <c r="J271" s="53"/>
      <c r="K271" s="53"/>
      <c r="L271" s="54"/>
      <c r="M271" s="32"/>
      <c r="N271" s="201"/>
      <c r="O271" s="32"/>
      <c r="P271" s="32"/>
      <c r="Q271" s="32"/>
      <c r="R271" s="32"/>
      <c r="S271" s="32"/>
      <c r="T271" s="48"/>
      <c r="U271" s="48"/>
      <c r="V271" s="48"/>
      <c r="W271" s="48"/>
      <c r="X271" s="48"/>
      <c r="Y271" s="48"/>
      <c r="Z271" s="48"/>
      <c r="AA271" s="48"/>
      <c r="AB271" s="48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</row>
    <row r="272" spans="2:52">
      <c r="B272" s="1243" t="s">
        <v>560</v>
      </c>
      <c r="C272" s="1244"/>
      <c r="D272" s="1244"/>
      <c r="E272" s="1244"/>
      <c r="F272" s="1244"/>
      <c r="G272" s="1245"/>
      <c r="H272" s="421">
        <f>H271-5574.283</f>
        <v>-878.28300000000036</v>
      </c>
      <c r="I272" s="255"/>
      <c r="J272" s="53"/>
      <c r="K272" s="53"/>
      <c r="L272" s="54"/>
      <c r="M272" s="32"/>
      <c r="N272" s="32"/>
      <c r="O272" s="32"/>
      <c r="P272" s="32"/>
      <c r="Q272" s="32"/>
      <c r="R272" s="32"/>
      <c r="S272" s="48"/>
      <c r="T272" s="48"/>
      <c r="U272" s="48"/>
      <c r="V272" s="48"/>
      <c r="W272" s="48"/>
      <c r="X272" s="48"/>
      <c r="Y272" s="48"/>
      <c r="Z272" s="48"/>
      <c r="AA272" s="48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</row>
    <row r="273" spans="2:52">
      <c r="B273" s="201"/>
      <c r="C273" s="201"/>
      <c r="D273" s="201"/>
      <c r="E273" s="201"/>
      <c r="F273" s="201"/>
      <c r="G273" s="201"/>
      <c r="H273" s="201"/>
      <c r="I273" s="213"/>
      <c r="J273" s="209"/>
      <c r="K273" s="209"/>
      <c r="L273" s="203"/>
      <c r="M273" s="201"/>
      <c r="N273" s="201"/>
      <c r="O273" s="209"/>
      <c r="P273" s="32"/>
      <c r="Q273" s="32"/>
      <c r="R273" s="32"/>
      <c r="S273" s="32"/>
      <c r="T273" s="48"/>
      <c r="U273" s="48"/>
      <c r="V273" s="48"/>
      <c r="W273" s="48"/>
      <c r="X273" s="48"/>
      <c r="Y273" s="48"/>
      <c r="Z273" s="48"/>
      <c r="AA273" s="48"/>
      <c r="AB273" s="48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</row>
    <row r="274" spans="2:52">
      <c r="B274" s="40" t="s">
        <v>561</v>
      </c>
      <c r="C274" s="40"/>
      <c r="D274" s="32"/>
      <c r="E274" s="32"/>
      <c r="F274" s="32"/>
      <c r="G274" s="32"/>
      <c r="H274" s="32"/>
      <c r="I274" s="32"/>
      <c r="J274" s="52"/>
      <c r="K274" s="52"/>
      <c r="L274" s="55"/>
      <c r="M274" s="32"/>
      <c r="N274" s="201"/>
      <c r="O274" s="5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  <c r="AA274" s="202"/>
      <c r="AB274" s="201"/>
      <c r="AC274" s="201"/>
      <c r="AD274" s="201"/>
      <c r="AE274" s="201"/>
      <c r="AF274" s="201"/>
      <c r="AG274" s="201"/>
      <c r="AH274" s="201"/>
      <c r="AI274" s="201"/>
      <c r="AJ274" s="201"/>
      <c r="AK274" s="201"/>
      <c r="AL274" s="201"/>
      <c r="AM274" s="201"/>
      <c r="AN274" s="201"/>
      <c r="AO274" s="201"/>
      <c r="AP274" s="201"/>
      <c r="AQ274" s="201"/>
      <c r="AR274" s="201"/>
      <c r="AS274" s="201"/>
      <c r="AT274" s="201"/>
      <c r="AU274" s="201"/>
      <c r="AZ274" s="201"/>
    </row>
    <row r="275" spans="2:52">
      <c r="B275" s="422">
        <v>1</v>
      </c>
      <c r="C275" s="1249" t="s">
        <v>901</v>
      </c>
      <c r="D275" s="1249"/>
      <c r="E275" s="1249"/>
      <c r="F275" s="1249"/>
      <c r="G275" s="1249"/>
      <c r="H275" s="1249"/>
      <c r="I275" s="1249"/>
      <c r="J275" s="1249"/>
      <c r="K275" s="1249"/>
      <c r="L275" s="203"/>
      <c r="M275" s="201"/>
      <c r="N275" s="201"/>
      <c r="O275" s="209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  <c r="AA275" s="202"/>
      <c r="AB275" s="201"/>
      <c r="AC275" s="201"/>
      <c r="AD275" s="201"/>
      <c r="AE275" s="201"/>
      <c r="AF275" s="201"/>
      <c r="AG275" s="201"/>
      <c r="AH275" s="201"/>
      <c r="AI275" s="201"/>
      <c r="AJ275" s="201"/>
      <c r="AK275" s="201"/>
      <c r="AL275" s="201"/>
      <c r="AM275" s="201"/>
      <c r="AN275" s="201"/>
      <c r="AO275" s="201"/>
      <c r="AP275" s="201"/>
      <c r="AQ275" s="201"/>
      <c r="AR275" s="201"/>
      <c r="AS275" s="201"/>
      <c r="AT275" s="201"/>
      <c r="AU275" s="201"/>
      <c r="AV275" s="201"/>
      <c r="AW275" s="201"/>
      <c r="AX275" s="201"/>
      <c r="AY275" s="201"/>
      <c r="AZ275" s="201"/>
    </row>
    <row r="277" spans="2:52">
      <c r="B277" s="28" t="s">
        <v>2</v>
      </c>
      <c r="C277" s="28"/>
      <c r="D277" s="29"/>
      <c r="E277" s="30" t="s">
        <v>511</v>
      </c>
      <c r="F277" s="31" t="s">
        <v>680</v>
      </c>
      <c r="G277" s="32"/>
      <c r="H277" s="33"/>
      <c r="I277" s="34"/>
      <c r="J277" s="35" t="s">
        <v>513</v>
      </c>
      <c r="K277" s="36" t="s">
        <v>511</v>
      </c>
      <c r="L277" s="37">
        <v>44980.762499999997</v>
      </c>
      <c r="M277" s="32"/>
      <c r="N277" s="32"/>
      <c r="O277" s="36"/>
      <c r="P277" s="33"/>
      <c r="Q277" s="48"/>
      <c r="R277" s="49"/>
      <c r="S277" s="38"/>
      <c r="T277" s="32"/>
      <c r="U277" s="32"/>
      <c r="V277" s="32"/>
      <c r="W277" s="32"/>
      <c r="X277" s="32"/>
      <c r="Y277" s="32"/>
      <c r="Z277" s="32"/>
      <c r="AA277" s="32"/>
      <c r="AB277" s="48"/>
      <c r="AC277" s="48"/>
      <c r="AD277" s="48"/>
      <c r="AE277" s="48"/>
      <c r="AF277" s="48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</row>
    <row r="278" spans="2:52">
      <c r="B278" s="35" t="s">
        <v>514</v>
      </c>
      <c r="C278" s="35"/>
      <c r="D278" s="32"/>
      <c r="E278" s="36" t="s">
        <v>511</v>
      </c>
      <c r="F278" s="37" t="s">
        <v>894</v>
      </c>
      <c r="G278" s="32"/>
      <c r="H278" s="33"/>
      <c r="I278" s="34"/>
      <c r="J278" s="35" t="s">
        <v>516</v>
      </c>
      <c r="K278" s="36" t="s">
        <v>511</v>
      </c>
      <c r="L278" s="37">
        <v>44982.34375</v>
      </c>
      <c r="M278" s="32"/>
      <c r="N278" s="32"/>
      <c r="O278" s="36"/>
      <c r="P278" s="33"/>
      <c r="Q278" s="48"/>
      <c r="R278" s="49"/>
      <c r="S278" s="38"/>
      <c r="T278" s="32"/>
      <c r="U278" s="32"/>
      <c r="V278" s="32"/>
      <c r="W278" s="32"/>
      <c r="X278" s="32"/>
      <c r="Y278" s="32"/>
      <c r="Z278" s="32"/>
      <c r="AA278" s="32"/>
      <c r="AB278" s="48"/>
      <c r="AC278" s="48"/>
      <c r="AD278" s="48"/>
      <c r="AE278" s="48"/>
      <c r="AF278" s="48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</row>
    <row r="279" spans="2:52">
      <c r="B279" s="35" t="s">
        <v>517</v>
      </c>
      <c r="C279" s="35"/>
      <c r="D279" s="32"/>
      <c r="E279" s="36" t="s">
        <v>511</v>
      </c>
      <c r="F279" s="37">
        <v>44978.833333333336</v>
      </c>
      <c r="G279" s="32"/>
      <c r="H279" s="33"/>
      <c r="I279" s="34"/>
      <c r="J279" s="35" t="s">
        <v>518</v>
      </c>
      <c r="K279" s="36" t="s">
        <v>511</v>
      </c>
      <c r="L279" s="50">
        <v>69605</v>
      </c>
      <c r="M279" s="40" t="s">
        <v>519</v>
      </c>
      <c r="N279" s="40"/>
      <c r="O279" s="36"/>
      <c r="P279" s="33"/>
      <c r="Q279" s="48"/>
      <c r="R279" s="49"/>
      <c r="S279" s="38"/>
      <c r="T279" s="32"/>
      <c r="U279" s="32"/>
      <c r="V279" s="32"/>
      <c r="W279" s="32"/>
      <c r="X279" s="32"/>
      <c r="Y279" s="32"/>
      <c r="Z279" s="32"/>
      <c r="AA279" s="32"/>
      <c r="AB279" s="48"/>
      <c r="AC279" s="48"/>
      <c r="AD279" s="48"/>
      <c r="AE279" s="48"/>
      <c r="AF279" s="48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</row>
    <row r="280" spans="2:52">
      <c r="B280" s="35" t="s">
        <v>520</v>
      </c>
      <c r="C280" s="35"/>
      <c r="D280" s="32"/>
      <c r="E280" s="36" t="s">
        <v>511</v>
      </c>
      <c r="F280" s="37" t="s">
        <v>20</v>
      </c>
      <c r="G280" s="32"/>
      <c r="H280" s="33"/>
      <c r="I280" s="34"/>
      <c r="J280" s="35" t="s">
        <v>521</v>
      </c>
      <c r="K280" s="36" t="s">
        <v>511</v>
      </c>
      <c r="L280" s="41" t="s">
        <v>902</v>
      </c>
      <c r="M280" s="32"/>
      <c r="N280" s="32"/>
      <c r="O280" s="36"/>
      <c r="P280" s="48"/>
      <c r="Q280" s="48"/>
      <c r="R280" s="49"/>
      <c r="S280" s="38"/>
      <c r="T280" s="32"/>
      <c r="U280" s="32"/>
      <c r="V280" s="32"/>
      <c r="W280" s="32"/>
      <c r="X280" s="32"/>
      <c r="Y280" s="32"/>
      <c r="Z280" s="32"/>
      <c r="AA280" s="32"/>
      <c r="AB280" s="48"/>
      <c r="AC280" s="48"/>
      <c r="AD280" s="48"/>
      <c r="AE280" s="48"/>
      <c r="AF280" s="48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</row>
    <row r="281" spans="2:52">
      <c r="B281" s="35" t="s">
        <v>523</v>
      </c>
      <c r="C281" s="35"/>
      <c r="D281" s="32"/>
      <c r="E281" s="36" t="s">
        <v>511</v>
      </c>
      <c r="F281" s="37" t="s">
        <v>47</v>
      </c>
      <c r="G281" s="32"/>
      <c r="H281" s="33"/>
      <c r="I281" s="34"/>
      <c r="J281" s="42" t="s">
        <v>524</v>
      </c>
      <c r="K281" s="36" t="s">
        <v>511</v>
      </c>
      <c r="L281" s="43" t="s">
        <v>15</v>
      </c>
      <c r="M281" s="44"/>
      <c r="N281" s="44"/>
      <c r="O281" s="36"/>
      <c r="P281" s="33"/>
      <c r="Q281" s="48"/>
      <c r="R281" s="49"/>
      <c r="S281" s="38"/>
      <c r="T281" s="32"/>
      <c r="U281" s="32"/>
      <c r="V281" s="32"/>
      <c r="W281" s="32"/>
      <c r="X281" s="32"/>
      <c r="Y281" s="32"/>
      <c r="Z281" s="32"/>
      <c r="AA281" s="32"/>
      <c r="AB281" s="48"/>
      <c r="AC281" s="48"/>
      <c r="AD281" s="48"/>
      <c r="AE281" s="48"/>
      <c r="AF281" s="48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</row>
    <row r="282" spans="2:52">
      <c r="B282" s="35" t="s">
        <v>2</v>
      </c>
      <c r="C282" s="35"/>
      <c r="D282" s="32"/>
      <c r="E282" s="36" t="s">
        <v>511</v>
      </c>
      <c r="F282" s="37" t="s">
        <v>18</v>
      </c>
      <c r="G282" s="32"/>
      <c r="H282" s="33"/>
      <c r="I282" s="45"/>
      <c r="J282" s="42"/>
      <c r="K282" s="36"/>
      <c r="L282" s="37"/>
      <c r="M282" s="32"/>
      <c r="N282" s="32"/>
      <c r="O282" s="42"/>
      <c r="P282" s="44"/>
      <c r="Q282" s="44"/>
      <c r="R282" s="44"/>
      <c r="S282" s="34"/>
      <c r="T282" s="32"/>
      <c r="U282" s="32"/>
      <c r="V282" s="32"/>
      <c r="W282" s="32"/>
      <c r="X282" s="32"/>
      <c r="Y282" s="32"/>
      <c r="Z282" s="32"/>
      <c r="AA282" s="32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</row>
    <row r="283" spans="2:52">
      <c r="B283" s="32"/>
      <c r="C283" s="32"/>
      <c r="D283" s="32"/>
      <c r="E283" s="32"/>
      <c r="F283" s="32"/>
      <c r="G283" s="32"/>
      <c r="H283" s="32"/>
      <c r="I283" s="45"/>
      <c r="J283" s="42"/>
      <c r="K283" s="42"/>
      <c r="L283" s="43"/>
      <c r="M283" s="44"/>
      <c r="N283" s="44"/>
      <c r="O283" s="42"/>
      <c r="P283" s="44"/>
      <c r="Q283" s="44"/>
      <c r="R283" s="44"/>
      <c r="S283" s="34"/>
      <c r="T283" s="1270" t="s">
        <v>87</v>
      </c>
      <c r="U283" s="1270"/>
      <c r="V283" s="1270"/>
      <c r="W283" s="1270"/>
      <c r="X283" s="1270"/>
      <c r="Y283" s="1270" t="s">
        <v>73</v>
      </c>
      <c r="Z283" s="1270"/>
      <c r="AA283" s="1270"/>
      <c r="AB283" s="1270" t="s">
        <v>74</v>
      </c>
      <c r="AC283" s="1270"/>
      <c r="AD283" s="407" t="s">
        <v>85</v>
      </c>
      <c r="AE283" s="407" t="s">
        <v>77</v>
      </c>
      <c r="AF283" s="1270" t="s">
        <v>525</v>
      </c>
      <c r="AG283" s="1270"/>
      <c r="AH283" s="1270"/>
      <c r="AI283" s="1270"/>
      <c r="AJ283" s="1270"/>
      <c r="AK283" s="1270"/>
      <c r="AL283" s="1270"/>
      <c r="AM283" s="1270"/>
      <c r="AN283" s="1270"/>
      <c r="AO283" s="1270"/>
      <c r="AP283" s="1270"/>
      <c r="AQ283" s="1270"/>
      <c r="AR283" s="1270"/>
      <c r="AS283" s="1270"/>
      <c r="AT283" s="1270"/>
      <c r="AU283" s="1270"/>
      <c r="AV283" s="1270"/>
      <c r="AW283" s="1270"/>
      <c r="AX283" s="1270"/>
      <c r="AY283" s="1270"/>
      <c r="AZ283" s="32"/>
    </row>
    <row r="284" spans="2:52">
      <c r="B284" s="1266" t="s">
        <v>526</v>
      </c>
      <c r="C284" s="1267"/>
      <c r="D284" s="570" t="s">
        <v>527</v>
      </c>
      <c r="E284" s="570"/>
      <c r="F284" s="570" t="s">
        <v>528</v>
      </c>
      <c r="G284" s="570" t="s">
        <v>529</v>
      </c>
      <c r="H284" s="570" t="s">
        <v>530</v>
      </c>
      <c r="I284" s="570" t="s">
        <v>531</v>
      </c>
      <c r="J284" s="570" t="s">
        <v>532</v>
      </c>
      <c r="K284" s="570"/>
      <c r="L284" s="570" t="s">
        <v>130</v>
      </c>
      <c r="M284" s="570" t="s">
        <v>533</v>
      </c>
      <c r="N284" s="408" t="str">
        <f>"On time - "&amp;COUNTIF(N285:N292,"On time")&amp;" from "&amp;ROWS(N285:N292)-COUNTIF(N285:N292," ")</f>
        <v>On time - 8 from 8</v>
      </c>
      <c r="O284" s="46"/>
      <c r="P284" s="409" t="s">
        <v>534</v>
      </c>
      <c r="Q284" s="409" t="s">
        <v>535</v>
      </c>
      <c r="R284" s="409" t="s">
        <v>903</v>
      </c>
      <c r="S284" s="32"/>
      <c r="T284" s="410" t="s">
        <v>537</v>
      </c>
      <c r="U284" s="410" t="s">
        <v>538</v>
      </c>
      <c r="V284" s="410" t="s">
        <v>539</v>
      </c>
      <c r="W284" s="410" t="s">
        <v>540</v>
      </c>
      <c r="X284" s="410" t="s">
        <v>541</v>
      </c>
      <c r="Y284" s="410" t="s">
        <v>167</v>
      </c>
      <c r="Z284" s="410" t="s">
        <v>168</v>
      </c>
      <c r="AA284" s="410" t="s">
        <v>169</v>
      </c>
      <c r="AB284" s="410" t="s">
        <v>235</v>
      </c>
      <c r="AC284" s="410" t="s">
        <v>542</v>
      </c>
      <c r="AD284" s="407" t="s">
        <v>85</v>
      </c>
      <c r="AE284" s="410" t="s">
        <v>139</v>
      </c>
      <c r="AF284" s="410" t="s">
        <v>72</v>
      </c>
      <c r="AG284" s="410" t="s">
        <v>88</v>
      </c>
      <c r="AH284" s="410" t="s">
        <v>75</v>
      </c>
      <c r="AI284" s="410" t="s">
        <v>543</v>
      </c>
      <c r="AJ284" s="410" t="s">
        <v>78</v>
      </c>
      <c r="AK284" s="410" t="s">
        <v>76</v>
      </c>
      <c r="AL284" s="410" t="s">
        <v>544</v>
      </c>
      <c r="AM284" s="410" t="s">
        <v>545</v>
      </c>
      <c r="AN284" s="410" t="s">
        <v>86</v>
      </c>
      <c r="AO284" s="410" t="s">
        <v>83</v>
      </c>
      <c r="AP284" s="410" t="s">
        <v>84</v>
      </c>
      <c r="AQ284" s="410" t="s">
        <v>546</v>
      </c>
      <c r="AR284" s="410" t="s">
        <v>81</v>
      </c>
      <c r="AS284" s="410" t="s">
        <v>80</v>
      </c>
      <c r="AT284" s="410" t="s">
        <v>82</v>
      </c>
      <c r="AU284" s="410" t="s">
        <v>181</v>
      </c>
      <c r="AV284" s="410" t="s">
        <v>183</v>
      </c>
      <c r="AW284" s="410" t="s">
        <v>547</v>
      </c>
      <c r="AX284" s="410" t="s">
        <v>182</v>
      </c>
      <c r="AY284" s="410" t="s">
        <v>172</v>
      </c>
      <c r="AZ284" s="32"/>
    </row>
    <row r="285" spans="2:52">
      <c r="B285" s="1256">
        <v>1</v>
      </c>
      <c r="C285" s="1257"/>
      <c r="D285" s="411" t="s">
        <v>692</v>
      </c>
      <c r="E285" s="411"/>
      <c r="F285" s="411" t="s">
        <v>346</v>
      </c>
      <c r="G285" s="411" t="s">
        <v>347</v>
      </c>
      <c r="H285" s="412">
        <v>6022</v>
      </c>
      <c r="I285" s="413" t="s">
        <v>235</v>
      </c>
      <c r="J285" s="414">
        <v>44966.333333333336</v>
      </c>
      <c r="K285" s="414"/>
      <c r="L285" s="414" t="s">
        <v>192</v>
      </c>
      <c r="M285" s="414" t="s">
        <v>192</v>
      </c>
      <c r="N285" s="413" t="str">
        <f t="shared" ref="N285:N292" si="19">IF(ISBLANK(J285)," ",IF(J285&lt;$F$279,"On time",(IF(DAY(J285-$F$279)&lt;1,"On time",(IF(J285&gt;$F$279,"DELAY ( "&amp;DAY(J285-$F$279)&amp;" day "&amp;HOUR(J285-$F$279)&amp;" hour "&amp;MINUTE(J285-$F$279)&amp;" minute )","xxx"))))))</f>
        <v>On time</v>
      </c>
      <c r="O285" s="51"/>
      <c r="P285" s="415" t="s">
        <v>551</v>
      </c>
      <c r="Q285" s="415" t="s">
        <v>551</v>
      </c>
      <c r="R285" s="415" t="s">
        <v>551</v>
      </c>
      <c r="S285" s="32"/>
      <c r="T285" s="416"/>
      <c r="U285" s="416"/>
      <c r="V285" s="416"/>
      <c r="W285" s="416"/>
      <c r="X285" s="416"/>
      <c r="Y285" s="416"/>
      <c r="Z285" s="416"/>
      <c r="AA285" s="416"/>
      <c r="AB285" s="416">
        <f>H285</f>
        <v>6022</v>
      </c>
      <c r="AC285" s="416"/>
      <c r="AD285" s="416"/>
      <c r="AE285" s="416"/>
      <c r="AF285" s="416"/>
      <c r="AG285" s="416"/>
      <c r="AH285" s="416"/>
      <c r="AI285" s="416"/>
      <c r="AJ285" s="416"/>
      <c r="AK285" s="416"/>
      <c r="AL285" s="416"/>
      <c r="AM285" s="416"/>
      <c r="AN285" s="416"/>
      <c r="AO285" s="416"/>
      <c r="AP285" s="416"/>
      <c r="AQ285" s="416"/>
      <c r="AR285" s="416"/>
      <c r="AS285" s="416"/>
      <c r="AT285" s="416"/>
      <c r="AU285" s="416"/>
      <c r="AV285" s="416"/>
      <c r="AW285" s="416"/>
      <c r="AX285" s="416"/>
      <c r="AY285" s="416"/>
      <c r="AZ285" s="32"/>
    </row>
    <row r="286" spans="2:52">
      <c r="B286" s="1256">
        <v>2</v>
      </c>
      <c r="C286" s="1257"/>
      <c r="D286" s="411" t="s">
        <v>682</v>
      </c>
      <c r="E286" s="411"/>
      <c r="F286" s="411" t="s">
        <v>304</v>
      </c>
      <c r="G286" s="411" t="s">
        <v>305</v>
      </c>
      <c r="H286" s="412">
        <v>7500</v>
      </c>
      <c r="I286" s="413" t="s">
        <v>78</v>
      </c>
      <c r="J286" s="414">
        <v>44968.5</v>
      </c>
      <c r="K286" s="414"/>
      <c r="L286" s="414" t="s">
        <v>192</v>
      </c>
      <c r="M286" s="414" t="s">
        <v>192</v>
      </c>
      <c r="N286" s="413" t="str">
        <f t="shared" si="19"/>
        <v>On time</v>
      </c>
      <c r="O286" s="51"/>
      <c r="P286" s="415" t="s">
        <v>551</v>
      </c>
      <c r="Q286" s="415" t="s">
        <v>551</v>
      </c>
      <c r="R286" s="415" t="s">
        <v>551</v>
      </c>
      <c r="S286" s="32"/>
      <c r="T286" s="416"/>
      <c r="U286" s="416"/>
      <c r="V286" s="416"/>
      <c r="W286" s="416"/>
      <c r="X286" s="416"/>
      <c r="Y286" s="416"/>
      <c r="Z286" s="416"/>
      <c r="AA286" s="416"/>
      <c r="AB286" s="416"/>
      <c r="AC286" s="416"/>
      <c r="AD286" s="416"/>
      <c r="AE286" s="416"/>
      <c r="AF286" s="416"/>
      <c r="AG286" s="416"/>
      <c r="AH286" s="416"/>
      <c r="AI286" s="416"/>
      <c r="AJ286" s="416">
        <f>H286</f>
        <v>7500</v>
      </c>
      <c r="AK286" s="416"/>
      <c r="AL286" s="416"/>
      <c r="AM286" s="416"/>
      <c r="AN286" s="416"/>
      <c r="AO286" s="416"/>
      <c r="AP286" s="416"/>
      <c r="AQ286" s="416"/>
      <c r="AR286" s="416"/>
      <c r="AS286" s="416"/>
      <c r="AT286" s="416"/>
      <c r="AU286" s="416"/>
      <c r="AV286" s="416"/>
      <c r="AW286" s="416"/>
      <c r="AX286" s="416"/>
      <c r="AY286" s="416"/>
      <c r="AZ286" s="32"/>
    </row>
    <row r="287" spans="2:52">
      <c r="B287" s="1256">
        <v>3</v>
      </c>
      <c r="C287" s="1257"/>
      <c r="D287" s="411" t="s">
        <v>701</v>
      </c>
      <c r="E287" s="411"/>
      <c r="F287" s="411" t="s">
        <v>358</v>
      </c>
      <c r="G287" s="411" t="s">
        <v>359</v>
      </c>
      <c r="H287" s="412">
        <v>9158.92</v>
      </c>
      <c r="I287" s="413" t="s">
        <v>581</v>
      </c>
      <c r="J287" s="414">
        <v>44968.947916666664</v>
      </c>
      <c r="K287" s="414"/>
      <c r="L287" s="414" t="s">
        <v>192</v>
      </c>
      <c r="M287" s="414" t="s">
        <v>192</v>
      </c>
      <c r="N287" s="413" t="str">
        <f t="shared" si="19"/>
        <v>On time</v>
      </c>
      <c r="O287" s="51"/>
      <c r="P287" s="415" t="s">
        <v>551</v>
      </c>
      <c r="Q287" s="415" t="s">
        <v>551</v>
      </c>
      <c r="R287" s="415" t="s">
        <v>551</v>
      </c>
      <c r="S287" s="32"/>
      <c r="T287" s="416"/>
      <c r="U287" s="416"/>
      <c r="V287" s="416"/>
      <c r="W287" s="416"/>
      <c r="X287" s="416"/>
      <c r="Y287" s="416"/>
      <c r="Z287" s="416"/>
      <c r="AA287" s="416"/>
      <c r="AB287" s="416">
        <f>H287*0.8</f>
        <v>7327.1360000000004</v>
      </c>
      <c r="AC287" s="416">
        <f>H287*0.2</f>
        <v>1831.7840000000001</v>
      </c>
      <c r="AD287" s="416"/>
      <c r="AE287" s="416"/>
      <c r="AF287" s="416"/>
      <c r="AG287" s="416"/>
      <c r="AH287" s="416"/>
      <c r="AI287" s="416"/>
      <c r="AJ287" s="416"/>
      <c r="AK287" s="416"/>
      <c r="AL287" s="416"/>
      <c r="AM287" s="416"/>
      <c r="AN287" s="416"/>
      <c r="AO287" s="416"/>
      <c r="AP287" s="416"/>
      <c r="AQ287" s="416"/>
      <c r="AR287" s="416"/>
      <c r="AS287" s="416"/>
      <c r="AT287" s="416"/>
      <c r="AU287" s="416"/>
      <c r="AV287" s="416"/>
      <c r="AW287" s="416"/>
      <c r="AX287" s="416"/>
      <c r="AY287" s="416"/>
      <c r="AZ287" s="32"/>
    </row>
    <row r="288" spans="2:52">
      <c r="B288" s="1256">
        <v>4</v>
      </c>
      <c r="C288" s="1257"/>
      <c r="D288" s="411" t="s">
        <v>700</v>
      </c>
      <c r="E288" s="411"/>
      <c r="F288" s="411" t="s">
        <v>377</v>
      </c>
      <c r="G288" s="411" t="s">
        <v>378</v>
      </c>
      <c r="H288" s="412">
        <v>7607.1629999999996</v>
      </c>
      <c r="I288" s="413" t="s">
        <v>581</v>
      </c>
      <c r="J288" s="414">
        <v>44969</v>
      </c>
      <c r="K288" s="414"/>
      <c r="L288" s="414" t="s">
        <v>192</v>
      </c>
      <c r="M288" s="414" t="s">
        <v>192</v>
      </c>
      <c r="N288" s="413" t="str">
        <f t="shared" si="19"/>
        <v>On time</v>
      </c>
      <c r="O288" s="51"/>
      <c r="P288" s="415" t="s">
        <v>551</v>
      </c>
      <c r="Q288" s="415" t="s">
        <v>551</v>
      </c>
      <c r="R288" s="415" t="s">
        <v>551</v>
      </c>
      <c r="S288" s="32"/>
      <c r="T288" s="416"/>
      <c r="U288" s="416"/>
      <c r="V288" s="416"/>
      <c r="W288" s="416"/>
      <c r="X288" s="416"/>
      <c r="Y288" s="416"/>
      <c r="Z288" s="416"/>
      <c r="AA288" s="416"/>
      <c r="AB288" s="416">
        <f>H288*0.8</f>
        <v>6085.7304000000004</v>
      </c>
      <c r="AC288" s="416">
        <f>H288*0.2</f>
        <v>1521.4326000000001</v>
      </c>
      <c r="AD288" s="416"/>
      <c r="AE288" s="416"/>
      <c r="AF288" s="416"/>
      <c r="AG288" s="416"/>
      <c r="AH288" s="416"/>
      <c r="AI288" s="416"/>
      <c r="AJ288" s="416"/>
      <c r="AK288" s="416"/>
      <c r="AL288" s="416"/>
      <c r="AM288" s="416"/>
      <c r="AN288" s="416"/>
      <c r="AO288" s="416"/>
      <c r="AP288" s="416"/>
      <c r="AQ288" s="416"/>
      <c r="AR288" s="416"/>
      <c r="AS288" s="416"/>
      <c r="AT288" s="416"/>
      <c r="AU288" s="416"/>
      <c r="AV288" s="416"/>
      <c r="AW288" s="416"/>
      <c r="AX288" s="416"/>
      <c r="AY288" s="416"/>
      <c r="AZ288" s="32"/>
    </row>
    <row r="289" spans="2:52">
      <c r="B289" s="1256">
        <v>5</v>
      </c>
      <c r="C289" s="1257"/>
      <c r="D289" s="411" t="s">
        <v>706</v>
      </c>
      <c r="E289" s="411"/>
      <c r="F289" s="411" t="s">
        <v>323</v>
      </c>
      <c r="G289" s="411" t="s">
        <v>324</v>
      </c>
      <c r="H289" s="412">
        <v>7503.4639999999999</v>
      </c>
      <c r="I289" s="413" t="s">
        <v>581</v>
      </c>
      <c r="J289" s="414">
        <v>44969.138888888891</v>
      </c>
      <c r="K289" s="414"/>
      <c r="L289" s="414" t="s">
        <v>192</v>
      </c>
      <c r="M289" s="414" t="s">
        <v>192</v>
      </c>
      <c r="N289" s="413" t="str">
        <f t="shared" si="19"/>
        <v>On time</v>
      </c>
      <c r="O289" s="51"/>
      <c r="P289" s="415" t="s">
        <v>551</v>
      </c>
      <c r="Q289" s="415" t="s">
        <v>551</v>
      </c>
      <c r="R289" s="415" t="s">
        <v>551</v>
      </c>
      <c r="S289" s="32"/>
      <c r="T289" s="416"/>
      <c r="U289" s="416"/>
      <c r="V289" s="416"/>
      <c r="W289" s="416"/>
      <c r="X289" s="416"/>
      <c r="Y289" s="416"/>
      <c r="Z289" s="416"/>
      <c r="AA289" s="416"/>
      <c r="AB289" s="416">
        <f>H289*0.8</f>
        <v>6002.7712000000001</v>
      </c>
      <c r="AC289" s="416">
        <f>H289*0.2</f>
        <v>1500.6928</v>
      </c>
      <c r="AD289" s="416"/>
      <c r="AE289" s="416"/>
      <c r="AF289" s="416"/>
      <c r="AG289" s="416"/>
      <c r="AH289" s="416"/>
      <c r="AI289" s="416"/>
      <c r="AJ289" s="416"/>
      <c r="AK289" s="416"/>
      <c r="AL289" s="416"/>
      <c r="AM289" s="416"/>
      <c r="AN289" s="416"/>
      <c r="AO289" s="416"/>
      <c r="AP289" s="416"/>
      <c r="AQ289" s="416"/>
      <c r="AR289" s="416"/>
      <c r="AS289" s="416"/>
      <c r="AT289" s="416"/>
      <c r="AU289" s="416"/>
      <c r="AV289" s="416"/>
      <c r="AW289" s="416"/>
      <c r="AX289" s="416"/>
      <c r="AY289" s="416"/>
      <c r="AZ289" s="32"/>
    </row>
    <row r="290" spans="2:52">
      <c r="B290" s="1256">
        <v>6</v>
      </c>
      <c r="C290" s="1257"/>
      <c r="D290" s="411" t="s">
        <v>703</v>
      </c>
      <c r="E290" s="411"/>
      <c r="F290" s="411" t="s">
        <v>222</v>
      </c>
      <c r="G290" s="411" t="s">
        <v>223</v>
      </c>
      <c r="H290" s="412">
        <v>7427.6949999999997</v>
      </c>
      <c r="I290" s="413" t="s">
        <v>581</v>
      </c>
      <c r="J290" s="414">
        <v>44969.03125</v>
      </c>
      <c r="K290" s="414"/>
      <c r="L290" s="414" t="s">
        <v>192</v>
      </c>
      <c r="M290" s="414" t="s">
        <v>192</v>
      </c>
      <c r="N290" s="413" t="str">
        <f t="shared" si="19"/>
        <v>On time</v>
      </c>
      <c r="O290" s="51"/>
      <c r="P290" s="415" t="s">
        <v>551</v>
      </c>
      <c r="Q290" s="415" t="s">
        <v>551</v>
      </c>
      <c r="R290" s="415" t="s">
        <v>551</v>
      </c>
      <c r="S290" s="32"/>
      <c r="T290" s="416"/>
      <c r="U290" s="416"/>
      <c r="V290" s="416"/>
      <c r="W290" s="416"/>
      <c r="X290" s="416"/>
      <c r="Y290" s="416"/>
      <c r="Z290" s="416"/>
      <c r="AA290" s="416"/>
      <c r="AB290" s="416">
        <f>H290*0.8</f>
        <v>5942.1559999999999</v>
      </c>
      <c r="AC290" s="416">
        <f>H290*0.2</f>
        <v>1485.539</v>
      </c>
      <c r="AD290" s="416"/>
      <c r="AE290" s="416"/>
      <c r="AF290" s="416"/>
      <c r="AG290" s="416"/>
      <c r="AH290" s="416"/>
      <c r="AI290" s="416"/>
      <c r="AJ290" s="416"/>
      <c r="AK290" s="416"/>
      <c r="AL290" s="416"/>
      <c r="AM290" s="416"/>
      <c r="AN290" s="416"/>
      <c r="AO290" s="416"/>
      <c r="AP290" s="416"/>
      <c r="AQ290" s="416"/>
      <c r="AR290" s="416"/>
      <c r="AS290" s="416"/>
      <c r="AT290" s="416"/>
      <c r="AU290" s="416"/>
      <c r="AV290" s="416"/>
      <c r="AW290" s="416"/>
      <c r="AX290" s="416"/>
      <c r="AY290" s="416"/>
      <c r="AZ290" s="32"/>
    </row>
    <row r="291" spans="2:52">
      <c r="B291" s="1256">
        <v>7</v>
      </c>
      <c r="C291" s="1257"/>
      <c r="D291" s="411" t="s">
        <v>704</v>
      </c>
      <c r="E291" s="411"/>
      <c r="F291" s="411" t="s">
        <v>367</v>
      </c>
      <c r="G291" s="411" t="s">
        <v>368</v>
      </c>
      <c r="H291" s="412">
        <v>9978.69</v>
      </c>
      <c r="I291" s="413" t="s">
        <v>581</v>
      </c>
      <c r="J291" s="414">
        <v>44970.322916666664</v>
      </c>
      <c r="K291" s="414"/>
      <c r="L291" s="414" t="s">
        <v>192</v>
      </c>
      <c r="M291" s="414" t="s">
        <v>192</v>
      </c>
      <c r="N291" s="413" t="str">
        <f t="shared" si="19"/>
        <v>On time</v>
      </c>
      <c r="O291" s="51"/>
      <c r="P291" s="415" t="s">
        <v>551</v>
      </c>
      <c r="Q291" s="415" t="s">
        <v>551</v>
      </c>
      <c r="R291" s="415" t="s">
        <v>551</v>
      </c>
      <c r="S291" s="32"/>
      <c r="T291" s="416"/>
      <c r="U291" s="416"/>
      <c r="V291" s="416"/>
      <c r="W291" s="416"/>
      <c r="X291" s="416"/>
      <c r="Y291" s="416"/>
      <c r="Z291" s="416"/>
      <c r="AA291" s="416"/>
      <c r="AB291" s="416">
        <f>H291*0.8</f>
        <v>7982.9520000000011</v>
      </c>
      <c r="AC291" s="416">
        <f>H291*0.2</f>
        <v>1995.7380000000003</v>
      </c>
      <c r="AD291" s="416"/>
      <c r="AE291" s="416"/>
      <c r="AF291" s="416"/>
      <c r="AG291" s="416"/>
      <c r="AH291" s="416"/>
      <c r="AI291" s="416"/>
      <c r="AJ291" s="416"/>
      <c r="AK291" s="416"/>
      <c r="AL291" s="416"/>
      <c r="AM291" s="416"/>
      <c r="AN291" s="416"/>
      <c r="AO291" s="416"/>
      <c r="AP291" s="416"/>
      <c r="AQ291" s="416"/>
      <c r="AR291" s="416"/>
      <c r="AS291" s="416"/>
      <c r="AT291" s="416"/>
      <c r="AU291" s="416"/>
      <c r="AV291" s="416"/>
      <c r="AW291" s="416"/>
      <c r="AX291" s="416"/>
      <c r="AY291" s="416"/>
      <c r="AZ291" s="32"/>
    </row>
    <row r="292" spans="2:52">
      <c r="B292" s="1256">
        <v>8</v>
      </c>
      <c r="C292" s="1257"/>
      <c r="D292" s="411" t="s">
        <v>681</v>
      </c>
      <c r="E292" s="411"/>
      <c r="F292" s="411" t="s">
        <v>238</v>
      </c>
      <c r="G292" s="411" t="s">
        <v>239</v>
      </c>
      <c r="H292" s="412">
        <v>7500</v>
      </c>
      <c r="I292" s="413" t="s">
        <v>78</v>
      </c>
      <c r="J292" s="414">
        <v>44973.541666666664</v>
      </c>
      <c r="K292" s="414"/>
      <c r="L292" s="414" t="s">
        <v>192</v>
      </c>
      <c r="M292" s="414" t="s">
        <v>192</v>
      </c>
      <c r="N292" s="413" t="str">
        <f t="shared" si="19"/>
        <v>On time</v>
      </c>
      <c r="O292" s="51"/>
      <c r="P292" s="415" t="s">
        <v>551</v>
      </c>
      <c r="Q292" s="415" t="s">
        <v>551</v>
      </c>
      <c r="R292" s="415" t="s">
        <v>551</v>
      </c>
      <c r="S292" s="32"/>
      <c r="T292" s="416"/>
      <c r="U292" s="416"/>
      <c r="V292" s="416"/>
      <c r="W292" s="416"/>
      <c r="X292" s="416"/>
      <c r="Y292" s="416"/>
      <c r="Z292" s="416"/>
      <c r="AA292" s="416"/>
      <c r="AB292" s="416"/>
      <c r="AC292" s="416"/>
      <c r="AD292" s="416"/>
      <c r="AE292" s="416"/>
      <c r="AF292" s="416"/>
      <c r="AG292" s="416"/>
      <c r="AH292" s="416"/>
      <c r="AI292" s="416"/>
      <c r="AJ292" s="416">
        <f>H292</f>
        <v>7500</v>
      </c>
      <c r="AK292" s="416"/>
      <c r="AL292" s="416"/>
      <c r="AM292" s="416"/>
      <c r="AN292" s="416"/>
      <c r="AO292" s="416"/>
      <c r="AP292" s="416"/>
      <c r="AQ292" s="416"/>
      <c r="AR292" s="416"/>
      <c r="AS292" s="416"/>
      <c r="AT292" s="416"/>
      <c r="AU292" s="416"/>
      <c r="AV292" s="416"/>
      <c r="AW292" s="416"/>
      <c r="AX292" s="416"/>
      <c r="AY292" s="416"/>
      <c r="AZ292" s="32"/>
    </row>
    <row r="293" spans="2:52">
      <c r="B293" s="1256" t="s">
        <v>610</v>
      </c>
      <c r="C293" s="1276"/>
      <c r="D293" s="1276"/>
      <c r="E293" s="1276"/>
      <c r="F293" s="1276"/>
      <c r="G293" s="1257"/>
      <c r="H293" s="412">
        <f>H295-SUM(H285:H292)</f>
        <v>6907.0679999999993</v>
      </c>
      <c r="I293" s="413" t="s">
        <v>611</v>
      </c>
      <c r="J293" s="414"/>
      <c r="K293" s="414"/>
      <c r="L293" s="414"/>
      <c r="M293" s="414"/>
      <c r="N293" s="413" t="str">
        <f>IF(ISBLANK(J293)," ",IF(J293&lt;$F$4,"On time",(IF(DAY(J293-$F$4)&lt;1,"On time",(IF(J293&gt;$F$4,"DELAY ( "&amp;DAY(J293-$F$4)&amp;" day "&amp;HOUR(J293-$F$4)&amp;" hour "&amp;MINUTE(J293-$F$4)&amp;" minute )","xxx"))))))</f>
        <v xml:space="preserve"> </v>
      </c>
      <c r="O293" s="51"/>
      <c r="P293" s="415" t="s">
        <v>551</v>
      </c>
      <c r="Q293" s="415"/>
      <c r="R293" s="415"/>
      <c r="S293" s="32"/>
      <c r="T293" s="416">
        <f>H293</f>
        <v>6907.0679999999993</v>
      </c>
      <c r="U293" s="416"/>
      <c r="V293" s="416"/>
      <c r="W293" s="416"/>
      <c r="X293" s="416"/>
      <c r="Y293" s="416"/>
      <c r="Z293" s="416"/>
      <c r="AA293" s="416"/>
      <c r="AB293" s="416"/>
      <c r="AC293" s="416"/>
      <c r="AD293" s="416"/>
      <c r="AE293" s="416"/>
      <c r="AF293" s="416"/>
      <c r="AG293" s="416"/>
      <c r="AH293" s="416"/>
      <c r="AI293" s="416"/>
      <c r="AJ293" s="416"/>
      <c r="AK293" s="416"/>
      <c r="AL293" s="416"/>
      <c r="AM293" s="416"/>
      <c r="AN293" s="416"/>
      <c r="AO293" s="416"/>
      <c r="AP293" s="416"/>
      <c r="AQ293" s="416"/>
      <c r="AR293" s="416"/>
      <c r="AS293" s="416"/>
      <c r="AT293" s="416"/>
      <c r="AU293" s="416"/>
      <c r="AV293" s="416"/>
      <c r="AW293" s="416"/>
      <c r="AX293" s="416"/>
      <c r="AY293" s="416"/>
      <c r="AZ293" s="32"/>
    </row>
    <row r="294" spans="2:52">
      <c r="B294" s="1258" t="s">
        <v>556</v>
      </c>
      <c r="C294" s="1259"/>
      <c r="D294" s="1259"/>
      <c r="E294" s="1259"/>
      <c r="F294" s="1259"/>
      <c r="G294" s="1260"/>
      <c r="H294" s="417">
        <f>SUM(H285:H293)</f>
        <v>69605</v>
      </c>
      <c r="I294" s="388"/>
      <c r="J294" s="293"/>
      <c r="K294" s="293"/>
      <c r="L294" s="293"/>
      <c r="M294" s="389"/>
      <c r="N294" s="413" t="str">
        <f>IF(ISBLANK(J294)," ",IF(J294&lt;$F$4,"On time",(IF(DAY(J294-$F$4)&lt;1,"On time",(IF(J294&gt;$F$4,"DELAY ( "&amp;DAY(J294-$F$4)&amp;" day "&amp;HOUR(J294-$F$4)&amp;" hour "&amp;MINUTE(J294-$F$4)&amp;" minute )","xxx"))))))</f>
        <v xml:space="preserve"> </v>
      </c>
      <c r="O294" s="47"/>
      <c r="P294" s="418"/>
      <c r="Q294" s="418"/>
      <c r="R294" s="418"/>
      <c r="S294" s="32"/>
      <c r="T294" s="1262"/>
      <c r="U294" s="1263"/>
      <c r="V294" s="1263"/>
      <c r="W294" s="1263"/>
      <c r="X294" s="1263"/>
      <c r="Y294" s="1263"/>
      <c r="Z294" s="1263"/>
      <c r="AA294" s="1263"/>
      <c r="AB294" s="1263"/>
      <c r="AC294" s="1263"/>
      <c r="AD294" s="1263"/>
      <c r="AE294" s="1263"/>
      <c r="AF294" s="1263"/>
      <c r="AG294" s="1263"/>
      <c r="AH294" s="1263"/>
      <c r="AI294" s="1263"/>
      <c r="AJ294" s="1263"/>
      <c r="AK294" s="1263"/>
      <c r="AL294" s="1263"/>
      <c r="AM294" s="1263"/>
      <c r="AN294" s="1263"/>
      <c r="AO294" s="1263"/>
      <c r="AP294" s="1263"/>
      <c r="AQ294" s="1263"/>
      <c r="AR294" s="1263"/>
      <c r="AS294" s="1263"/>
      <c r="AT294" s="1263"/>
      <c r="AU294" s="1263"/>
      <c r="AV294" s="1263"/>
      <c r="AW294" s="1263"/>
      <c r="AX294" s="1263"/>
      <c r="AY294" s="1264"/>
    </row>
    <row r="295" spans="2:52">
      <c r="B295" s="1243" t="s">
        <v>557</v>
      </c>
      <c r="C295" s="1244"/>
      <c r="D295" s="1244"/>
      <c r="E295" s="1244"/>
      <c r="F295" s="1244"/>
      <c r="G295" s="1245"/>
      <c r="H295" s="419">
        <v>69605</v>
      </c>
      <c r="I295" s="1246"/>
      <c r="J295" s="1247"/>
      <c r="K295" s="1247"/>
      <c r="L295" s="1247"/>
      <c r="M295" s="1248"/>
      <c r="N295" s="413" t="str">
        <f>IF(ISBLANK(J295)," ",IF(J295&lt;$F$4,"On time",(IF(DAY(J295-$F$4)&lt;1,"On time",(IF(J295&gt;$F$4,"DELAY ( "&amp;DAY(J295-$F$4)&amp;" day "&amp;HOUR(J295-$F$4)&amp;" hour "&amp;MINUTE(J295-$F$4)&amp;" minute )","xxx"))))))</f>
        <v xml:space="preserve"> </v>
      </c>
      <c r="O295" s="32"/>
      <c r="P295" s="415"/>
      <c r="Q295" s="415"/>
      <c r="R295" s="415"/>
      <c r="S295" s="63"/>
      <c r="T295" s="416">
        <f>SUM(T285:T293)</f>
        <v>6907.0679999999993</v>
      </c>
      <c r="U295" s="416">
        <f t="shared" ref="U295:AY295" si="20">SUM(U285:U293)</f>
        <v>0</v>
      </c>
      <c r="V295" s="416">
        <f t="shared" si="20"/>
        <v>0</v>
      </c>
      <c r="W295" s="416">
        <f t="shared" si="20"/>
        <v>0</v>
      </c>
      <c r="X295" s="416">
        <f t="shared" si="20"/>
        <v>0</v>
      </c>
      <c r="Y295" s="416">
        <f t="shared" si="20"/>
        <v>0</v>
      </c>
      <c r="Z295" s="416">
        <f t="shared" si="20"/>
        <v>0</v>
      </c>
      <c r="AA295" s="416">
        <f t="shared" si="20"/>
        <v>0</v>
      </c>
      <c r="AB295" s="416">
        <f t="shared" si="20"/>
        <v>39362.745599999995</v>
      </c>
      <c r="AC295" s="416">
        <f t="shared" si="20"/>
        <v>8335.1864000000005</v>
      </c>
      <c r="AD295" s="416">
        <f t="shared" si="20"/>
        <v>0</v>
      </c>
      <c r="AE295" s="416">
        <f t="shared" si="20"/>
        <v>0</v>
      </c>
      <c r="AF295" s="416">
        <f t="shared" si="20"/>
        <v>0</v>
      </c>
      <c r="AG295" s="416">
        <f t="shared" si="20"/>
        <v>0</v>
      </c>
      <c r="AH295" s="416">
        <f t="shared" si="20"/>
        <v>0</v>
      </c>
      <c r="AI295" s="416">
        <f t="shared" si="20"/>
        <v>0</v>
      </c>
      <c r="AJ295" s="416">
        <f t="shared" si="20"/>
        <v>15000</v>
      </c>
      <c r="AK295" s="416">
        <f t="shared" si="20"/>
        <v>0</v>
      </c>
      <c r="AL295" s="416">
        <f t="shared" si="20"/>
        <v>0</v>
      </c>
      <c r="AM295" s="416">
        <f t="shared" si="20"/>
        <v>0</v>
      </c>
      <c r="AN295" s="416">
        <f t="shared" si="20"/>
        <v>0</v>
      </c>
      <c r="AO295" s="416">
        <f t="shared" si="20"/>
        <v>0</v>
      </c>
      <c r="AP295" s="416">
        <f t="shared" si="20"/>
        <v>0</v>
      </c>
      <c r="AQ295" s="416">
        <f t="shared" si="20"/>
        <v>0</v>
      </c>
      <c r="AR295" s="416">
        <f t="shared" si="20"/>
        <v>0</v>
      </c>
      <c r="AS295" s="416">
        <f t="shared" si="20"/>
        <v>0</v>
      </c>
      <c r="AT295" s="416">
        <f t="shared" si="20"/>
        <v>0</v>
      </c>
      <c r="AU295" s="416">
        <f t="shared" si="20"/>
        <v>0</v>
      </c>
      <c r="AV295" s="416">
        <f t="shared" si="20"/>
        <v>0</v>
      </c>
      <c r="AW295" s="416">
        <f t="shared" si="20"/>
        <v>0</v>
      </c>
      <c r="AX295" s="416">
        <f t="shared" si="20"/>
        <v>0</v>
      </c>
      <c r="AY295" s="416">
        <f t="shared" si="20"/>
        <v>0</v>
      </c>
      <c r="AZ295" s="416">
        <f>SUM(T295:AY295)</f>
        <v>69605</v>
      </c>
    </row>
    <row r="296" spans="2:52">
      <c r="B296" s="1243" t="s">
        <v>558</v>
      </c>
      <c r="C296" s="1244"/>
      <c r="D296" s="1244"/>
      <c r="E296" s="1244"/>
      <c r="F296" s="1244"/>
      <c r="G296" s="1245"/>
      <c r="H296" s="420">
        <f>H295-L279</f>
        <v>0</v>
      </c>
      <c r="I296" s="294"/>
      <c r="J296" s="295"/>
      <c r="K296" s="295"/>
      <c r="L296" s="296"/>
      <c r="M296" s="32"/>
      <c r="N296" s="32"/>
      <c r="O296" s="32"/>
      <c r="P296" s="32"/>
      <c r="Q296" s="297"/>
      <c r="R296" s="297"/>
      <c r="S296" s="32"/>
      <c r="T296" s="48"/>
      <c r="U296" s="48"/>
      <c r="V296" s="48"/>
      <c r="W296" s="48"/>
      <c r="X296" s="48"/>
      <c r="Y296" s="48"/>
      <c r="Z296" s="48"/>
      <c r="AA296" s="48"/>
      <c r="AB296" s="48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</row>
    <row r="297" spans="2:52">
      <c r="B297" s="1243" t="s">
        <v>559</v>
      </c>
      <c r="C297" s="1244"/>
      <c r="D297" s="1244"/>
      <c r="E297" s="1244"/>
      <c r="F297" s="1244"/>
      <c r="G297" s="1245"/>
      <c r="H297" s="420">
        <f>H294-H295</f>
        <v>0</v>
      </c>
      <c r="I297" s="52"/>
      <c r="J297" s="53"/>
      <c r="K297" s="53"/>
      <c r="L297" s="54"/>
      <c r="M297" s="32"/>
      <c r="N297" s="32"/>
      <c r="O297" s="32"/>
      <c r="P297" s="32"/>
      <c r="Q297" s="32"/>
      <c r="R297" s="32"/>
      <c r="S297" s="32"/>
      <c r="T297" s="48"/>
      <c r="U297" s="48"/>
      <c r="V297" s="48"/>
      <c r="W297" s="48"/>
      <c r="X297" s="48"/>
      <c r="Y297" s="48"/>
      <c r="Z297" s="48"/>
      <c r="AA297" s="48"/>
      <c r="AB297" s="48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</row>
    <row r="298" spans="2:52">
      <c r="B298" s="32"/>
      <c r="C298" s="32"/>
      <c r="D298" s="32"/>
      <c r="E298" s="32"/>
      <c r="F298" s="32"/>
      <c r="G298" s="32"/>
      <c r="H298" s="32"/>
      <c r="I298" s="57"/>
      <c r="J298" s="52"/>
      <c r="K298" s="52"/>
      <c r="L298" s="55"/>
      <c r="M298" s="32"/>
      <c r="N298" s="32"/>
      <c r="O298" s="52"/>
      <c r="P298" s="32"/>
      <c r="Q298" s="32"/>
      <c r="R298" s="32"/>
      <c r="S298" s="32"/>
      <c r="T298" s="48"/>
      <c r="U298" s="48"/>
      <c r="V298" s="48"/>
      <c r="W298" s="48"/>
      <c r="X298" s="48"/>
      <c r="Y298" s="48"/>
      <c r="Z298" s="48"/>
      <c r="AA298" s="48"/>
      <c r="AB298" s="48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</row>
    <row r="299" spans="2:52">
      <c r="B299" s="40" t="s">
        <v>561</v>
      </c>
      <c r="C299" s="40"/>
      <c r="D299" s="32"/>
      <c r="E299" s="32"/>
      <c r="F299" s="32"/>
      <c r="G299" s="32"/>
      <c r="H299" s="32"/>
      <c r="I299" s="32"/>
      <c r="J299" s="52"/>
      <c r="K299" s="52"/>
      <c r="L299" s="55"/>
      <c r="M299" s="32"/>
      <c r="N299" s="32"/>
      <c r="O299" s="52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Z299" s="32"/>
    </row>
    <row r="300" spans="2:52">
      <c r="B300" s="422"/>
      <c r="C300" s="1249"/>
      <c r="D300" s="1249"/>
      <c r="E300" s="1249"/>
      <c r="F300" s="1249"/>
      <c r="G300" s="1249"/>
      <c r="H300" s="1249"/>
      <c r="I300" s="1249"/>
      <c r="J300" s="1249"/>
      <c r="K300" s="1249"/>
      <c r="L300" s="55"/>
      <c r="M300" s="32"/>
      <c r="N300" s="32"/>
      <c r="O300" s="52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Z300" s="32"/>
    </row>
    <row r="302" spans="2:52">
      <c r="B302" s="28" t="s">
        <v>2</v>
      </c>
      <c r="C302" s="28"/>
      <c r="D302" s="29"/>
      <c r="E302" s="30" t="s">
        <v>511</v>
      </c>
      <c r="F302" s="31" t="s">
        <v>753</v>
      </c>
      <c r="G302" s="32"/>
      <c r="H302" s="33"/>
      <c r="I302" s="34"/>
      <c r="J302" s="35" t="s">
        <v>513</v>
      </c>
      <c r="K302" s="36" t="s">
        <v>511</v>
      </c>
      <c r="L302" s="37">
        <v>44980.743055555555</v>
      </c>
      <c r="M302" s="32"/>
      <c r="N302" s="32"/>
      <c r="O302" s="206"/>
      <c r="P302" s="205"/>
      <c r="Q302" s="202"/>
      <c r="R302" s="204"/>
      <c r="S302" s="38"/>
      <c r="T302" s="201"/>
      <c r="U302" s="201"/>
      <c r="V302" s="201"/>
      <c r="W302" s="201"/>
      <c r="X302" s="201"/>
      <c r="Y302" s="201"/>
      <c r="Z302" s="201"/>
      <c r="AA302" s="201"/>
      <c r="AB302" s="202"/>
      <c r="AC302" s="202"/>
      <c r="AD302" s="202"/>
      <c r="AE302" s="202"/>
      <c r="AF302" s="202"/>
      <c r="AG302" s="201"/>
      <c r="AH302" s="201"/>
      <c r="AI302" s="201"/>
      <c r="AJ302" s="201"/>
      <c r="AK302" s="201"/>
      <c r="AL302" s="201"/>
      <c r="AM302" s="201"/>
      <c r="AN302" s="201"/>
      <c r="AO302" s="201"/>
      <c r="AP302" s="201"/>
      <c r="AQ302" s="201"/>
      <c r="AR302" s="201"/>
      <c r="AS302" s="201"/>
      <c r="AT302" s="201"/>
      <c r="AU302" s="201"/>
      <c r="AV302" s="201"/>
      <c r="AW302" s="201"/>
      <c r="AX302" s="201"/>
      <c r="AY302" s="201"/>
      <c r="AZ302" s="201"/>
    </row>
    <row r="303" spans="2:52">
      <c r="B303" s="35" t="s">
        <v>514</v>
      </c>
      <c r="C303" s="35"/>
      <c r="D303" s="32"/>
      <c r="E303" s="36" t="s">
        <v>511</v>
      </c>
      <c r="F303" s="37" t="s">
        <v>904</v>
      </c>
      <c r="G303" s="32"/>
      <c r="H303" s="33"/>
      <c r="I303" s="34"/>
      <c r="J303" s="35" t="s">
        <v>516</v>
      </c>
      <c r="K303" s="36" t="s">
        <v>511</v>
      </c>
      <c r="L303" s="37">
        <v>44983.038194444445</v>
      </c>
      <c r="M303" s="32"/>
      <c r="N303" s="32"/>
      <c r="O303" s="206"/>
      <c r="P303" s="205"/>
      <c r="Q303" s="202"/>
      <c r="R303" s="204"/>
      <c r="S303" s="38"/>
      <c r="T303" s="201"/>
      <c r="U303" s="201"/>
      <c r="V303" s="201"/>
      <c r="W303" s="201"/>
      <c r="X303" s="201"/>
      <c r="Y303" s="201"/>
      <c r="Z303" s="201"/>
      <c r="AA303" s="201"/>
      <c r="AB303" s="202"/>
      <c r="AC303" s="202"/>
      <c r="AD303" s="202"/>
      <c r="AE303" s="202"/>
      <c r="AF303" s="202"/>
      <c r="AG303" s="201"/>
      <c r="AH303" s="201"/>
      <c r="AI303" s="201"/>
      <c r="AJ303" s="201"/>
      <c r="AK303" s="201"/>
      <c r="AL303" s="201"/>
      <c r="AM303" s="201"/>
      <c r="AN303" s="201"/>
      <c r="AO303" s="201"/>
      <c r="AP303" s="201"/>
      <c r="AQ303" s="201"/>
      <c r="AR303" s="201"/>
      <c r="AS303" s="201"/>
      <c r="AT303" s="201"/>
      <c r="AU303" s="201"/>
      <c r="AV303" s="201"/>
      <c r="AW303" s="201"/>
      <c r="AX303" s="201"/>
      <c r="AY303" s="201"/>
      <c r="AZ303" s="201"/>
    </row>
    <row r="304" spans="2:52">
      <c r="B304" s="35" t="s">
        <v>517</v>
      </c>
      <c r="C304" s="35"/>
      <c r="D304" s="32"/>
      <c r="E304" s="36" t="s">
        <v>511</v>
      </c>
      <c r="F304" s="37">
        <v>44976.583333333336</v>
      </c>
      <c r="G304" s="32"/>
      <c r="H304" s="33"/>
      <c r="I304" s="34"/>
      <c r="J304" s="35" t="s">
        <v>518</v>
      </c>
      <c r="K304" s="36" t="s">
        <v>511</v>
      </c>
      <c r="L304" s="50">
        <v>68400</v>
      </c>
      <c r="M304" s="40" t="s">
        <v>519</v>
      </c>
      <c r="N304" s="40"/>
      <c r="O304" s="206"/>
      <c r="P304" s="205"/>
      <c r="Q304" s="202"/>
      <c r="R304" s="204"/>
      <c r="S304" s="38"/>
      <c r="T304" s="201"/>
      <c r="U304" s="201"/>
      <c r="V304" s="201"/>
      <c r="W304" s="201"/>
      <c r="X304" s="201"/>
      <c r="Y304" s="201"/>
      <c r="Z304" s="201"/>
      <c r="AA304" s="201"/>
      <c r="AB304" s="202"/>
      <c r="AC304" s="202"/>
      <c r="AD304" s="202"/>
      <c r="AE304" s="202"/>
      <c r="AF304" s="202"/>
      <c r="AG304" s="201"/>
      <c r="AH304" s="201"/>
      <c r="AI304" s="201"/>
      <c r="AJ304" s="201"/>
      <c r="AK304" s="201"/>
      <c r="AL304" s="201"/>
      <c r="AM304" s="201"/>
      <c r="AN304" s="201"/>
      <c r="AO304" s="201"/>
      <c r="AP304" s="201"/>
      <c r="AQ304" s="201"/>
      <c r="AR304" s="201"/>
      <c r="AS304" s="201"/>
      <c r="AT304" s="201"/>
      <c r="AU304" s="201"/>
      <c r="AV304" s="201"/>
      <c r="AW304" s="201"/>
      <c r="AX304" s="201"/>
      <c r="AY304" s="201"/>
      <c r="AZ304" s="201"/>
    </row>
    <row r="305" spans="2:52">
      <c r="B305" s="35" t="s">
        <v>520</v>
      </c>
      <c r="C305" s="35"/>
      <c r="D305" s="32"/>
      <c r="E305" s="36" t="s">
        <v>511</v>
      </c>
      <c r="F305" s="37" t="s">
        <v>4</v>
      </c>
      <c r="G305" s="32"/>
      <c r="H305" s="33"/>
      <c r="I305" s="34"/>
      <c r="J305" s="35" t="s">
        <v>521</v>
      </c>
      <c r="K305" s="36" t="s">
        <v>511</v>
      </c>
      <c r="L305" s="41" t="s">
        <v>905</v>
      </c>
      <c r="M305" s="32"/>
      <c r="N305" s="32"/>
      <c r="O305" s="206"/>
      <c r="P305" s="202"/>
      <c r="Q305" s="202"/>
      <c r="R305" s="204"/>
      <c r="S305" s="38"/>
      <c r="T305" s="201"/>
      <c r="U305" s="201"/>
      <c r="V305" s="201"/>
      <c r="W305" s="201"/>
      <c r="X305" s="201"/>
      <c r="Y305" s="201"/>
      <c r="Z305" s="201"/>
      <c r="AA305" s="201"/>
      <c r="AB305" s="202"/>
      <c r="AC305" s="202"/>
      <c r="AD305" s="202"/>
      <c r="AE305" s="202"/>
      <c r="AF305" s="202"/>
      <c r="AG305" s="201"/>
      <c r="AH305" s="201"/>
      <c r="AI305" s="201"/>
      <c r="AJ305" s="201"/>
      <c r="AK305" s="201"/>
      <c r="AL305" s="201"/>
      <c r="AM305" s="201"/>
      <c r="AN305" s="201"/>
      <c r="AO305" s="201"/>
      <c r="AP305" s="201"/>
      <c r="AQ305" s="201"/>
      <c r="AR305" s="201"/>
      <c r="AS305" s="201"/>
      <c r="AT305" s="201"/>
      <c r="AU305" s="201"/>
      <c r="AV305" s="201"/>
      <c r="AW305" s="201"/>
      <c r="AX305" s="201"/>
      <c r="AY305" s="201"/>
      <c r="AZ305" s="201"/>
    </row>
    <row r="306" spans="2:52">
      <c r="B306" s="35" t="s">
        <v>523</v>
      </c>
      <c r="C306" s="35"/>
      <c r="D306" s="32"/>
      <c r="E306" s="36" t="s">
        <v>511</v>
      </c>
      <c r="F306" s="37" t="s">
        <v>5</v>
      </c>
      <c r="G306" s="32"/>
      <c r="H306" s="33"/>
      <c r="I306" s="34"/>
      <c r="J306" s="42" t="s">
        <v>524</v>
      </c>
      <c r="K306" s="36" t="s">
        <v>511</v>
      </c>
      <c r="L306" s="43" t="s">
        <v>11</v>
      </c>
      <c r="M306" s="44"/>
      <c r="N306" s="44"/>
      <c r="O306" s="206"/>
      <c r="P306" s="205"/>
      <c r="Q306" s="202"/>
      <c r="R306" s="204"/>
      <c r="S306" s="38"/>
      <c r="T306" s="201"/>
      <c r="U306" s="201"/>
      <c r="V306" s="201"/>
      <c r="W306" s="201"/>
      <c r="X306" s="201"/>
      <c r="Y306" s="201"/>
      <c r="Z306" s="201"/>
      <c r="AA306" s="201"/>
      <c r="AB306" s="202"/>
      <c r="AC306" s="202"/>
      <c r="AD306" s="202"/>
      <c r="AE306" s="202"/>
      <c r="AF306" s="202"/>
      <c r="AG306" s="201"/>
      <c r="AH306" s="201"/>
      <c r="AI306" s="201"/>
      <c r="AJ306" s="201"/>
      <c r="AK306" s="201"/>
      <c r="AL306" s="201"/>
      <c r="AM306" s="201"/>
      <c r="AN306" s="201"/>
      <c r="AO306" s="201"/>
      <c r="AP306" s="201"/>
      <c r="AQ306" s="201"/>
      <c r="AR306" s="201"/>
      <c r="AS306" s="201"/>
      <c r="AT306" s="201"/>
      <c r="AU306" s="201"/>
      <c r="AV306" s="201"/>
      <c r="AW306" s="201"/>
      <c r="AX306" s="201"/>
      <c r="AY306" s="201"/>
      <c r="AZ306" s="201"/>
    </row>
    <row r="307" spans="2:52">
      <c r="B307" s="35" t="s">
        <v>2</v>
      </c>
      <c r="C307" s="35"/>
      <c r="D307" s="32"/>
      <c r="E307" s="36" t="s">
        <v>511</v>
      </c>
      <c r="F307" s="37" t="s">
        <v>6</v>
      </c>
      <c r="G307" s="32"/>
      <c r="H307" s="33"/>
      <c r="I307" s="45"/>
      <c r="J307" s="42"/>
      <c r="K307" s="36"/>
      <c r="L307" s="211"/>
      <c r="M307" s="201"/>
      <c r="N307" s="201"/>
      <c r="O307" s="42"/>
      <c r="P307" s="44"/>
      <c r="Q307" s="44"/>
      <c r="R307" s="44"/>
      <c r="S307" s="34"/>
      <c r="T307" s="201"/>
      <c r="U307" s="201"/>
      <c r="V307" s="201"/>
      <c r="W307" s="201"/>
      <c r="X307" s="201"/>
      <c r="Y307" s="201"/>
      <c r="Z307" s="201"/>
      <c r="AA307" s="201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201"/>
      <c r="AP307" s="201"/>
      <c r="AQ307" s="201"/>
      <c r="AR307" s="201"/>
      <c r="AS307" s="201"/>
      <c r="AT307" s="201"/>
      <c r="AU307" s="201"/>
      <c r="AV307" s="201"/>
      <c r="AW307" s="201"/>
      <c r="AX307" s="201"/>
      <c r="AY307" s="201"/>
      <c r="AZ307" s="201"/>
    </row>
    <row r="308" spans="2:52">
      <c r="B308" s="201"/>
      <c r="C308" s="201"/>
      <c r="D308" s="201"/>
      <c r="E308" s="201"/>
      <c r="F308" s="201"/>
      <c r="G308" s="201"/>
      <c r="H308" s="201"/>
      <c r="I308" s="45"/>
      <c r="J308" s="42"/>
      <c r="K308" s="42"/>
      <c r="L308" s="43"/>
      <c r="M308" s="44"/>
      <c r="N308" s="44"/>
      <c r="O308" s="42"/>
      <c r="P308" s="44"/>
      <c r="Q308" s="44"/>
      <c r="R308" s="44"/>
      <c r="S308" s="34"/>
      <c r="T308" s="1265" t="s">
        <v>87</v>
      </c>
      <c r="U308" s="1265"/>
      <c r="V308" s="1265"/>
      <c r="W308" s="1265"/>
      <c r="X308" s="1265"/>
      <c r="Y308" s="1265" t="s">
        <v>73</v>
      </c>
      <c r="Z308" s="1265"/>
      <c r="AA308" s="1265"/>
      <c r="AB308" s="1265" t="s">
        <v>74</v>
      </c>
      <c r="AC308" s="1265"/>
      <c r="AD308" s="423" t="s">
        <v>85</v>
      </c>
      <c r="AE308" s="423" t="s">
        <v>77</v>
      </c>
      <c r="AF308" s="1265" t="s">
        <v>525</v>
      </c>
      <c r="AG308" s="1265"/>
      <c r="AH308" s="1265"/>
      <c r="AI308" s="1265"/>
      <c r="AJ308" s="1265"/>
      <c r="AK308" s="1265"/>
      <c r="AL308" s="1265"/>
      <c r="AM308" s="1265"/>
      <c r="AN308" s="1265"/>
      <c r="AO308" s="1265"/>
      <c r="AP308" s="1265"/>
      <c r="AQ308" s="1265"/>
      <c r="AR308" s="1265"/>
      <c r="AS308" s="1265"/>
      <c r="AT308" s="1265"/>
      <c r="AU308" s="1265"/>
      <c r="AV308" s="1265"/>
      <c r="AW308" s="1265"/>
      <c r="AX308" s="1265"/>
      <c r="AY308" s="1265"/>
      <c r="AZ308" s="201"/>
    </row>
    <row r="309" spans="2:52">
      <c r="B309" s="1266" t="s">
        <v>526</v>
      </c>
      <c r="C309" s="1267"/>
      <c r="D309" s="570" t="s">
        <v>527</v>
      </c>
      <c r="E309" s="570"/>
      <c r="F309" s="570" t="s">
        <v>528</v>
      </c>
      <c r="G309" s="570" t="s">
        <v>529</v>
      </c>
      <c r="H309" s="570" t="s">
        <v>530</v>
      </c>
      <c r="I309" s="570" t="s">
        <v>531</v>
      </c>
      <c r="J309" s="570" t="s">
        <v>532</v>
      </c>
      <c r="K309" s="570"/>
      <c r="L309" s="570" t="s">
        <v>130</v>
      </c>
      <c r="M309" s="570" t="s">
        <v>533</v>
      </c>
      <c r="N309" s="408" t="str">
        <f>"On time - "&amp;COUNTIF(N310:N329,"On time")&amp;" from "&amp;ROWS(N310:N329)-COUNTIF(N310:N329," ")</f>
        <v>On time - 0 from 9</v>
      </c>
      <c r="O309" s="46"/>
      <c r="P309" s="409" t="s">
        <v>534</v>
      </c>
      <c r="Q309" s="409" t="s">
        <v>535</v>
      </c>
      <c r="R309" s="409" t="s">
        <v>536</v>
      </c>
      <c r="S309" s="32"/>
      <c r="T309" s="424" t="s">
        <v>537</v>
      </c>
      <c r="U309" s="424" t="s">
        <v>538</v>
      </c>
      <c r="V309" s="424" t="s">
        <v>539</v>
      </c>
      <c r="W309" s="424" t="s">
        <v>540</v>
      </c>
      <c r="X309" s="424" t="s">
        <v>541</v>
      </c>
      <c r="Y309" s="424" t="s">
        <v>167</v>
      </c>
      <c r="Z309" s="424" t="s">
        <v>168</v>
      </c>
      <c r="AA309" s="424" t="s">
        <v>169</v>
      </c>
      <c r="AB309" s="424" t="s">
        <v>235</v>
      </c>
      <c r="AC309" s="424" t="s">
        <v>542</v>
      </c>
      <c r="AD309" s="423" t="s">
        <v>85</v>
      </c>
      <c r="AE309" s="424" t="s">
        <v>139</v>
      </c>
      <c r="AF309" s="424" t="s">
        <v>72</v>
      </c>
      <c r="AG309" s="424" t="s">
        <v>88</v>
      </c>
      <c r="AH309" s="424" t="s">
        <v>75</v>
      </c>
      <c r="AI309" s="424" t="s">
        <v>543</v>
      </c>
      <c r="AJ309" s="424" t="s">
        <v>78</v>
      </c>
      <c r="AK309" s="424" t="s">
        <v>76</v>
      </c>
      <c r="AL309" s="424" t="s">
        <v>544</v>
      </c>
      <c r="AM309" s="424" t="s">
        <v>545</v>
      </c>
      <c r="AN309" s="424" t="s">
        <v>86</v>
      </c>
      <c r="AO309" s="424" t="s">
        <v>83</v>
      </c>
      <c r="AP309" s="424" t="s">
        <v>84</v>
      </c>
      <c r="AQ309" s="424" t="s">
        <v>546</v>
      </c>
      <c r="AR309" s="424" t="s">
        <v>81</v>
      </c>
      <c r="AS309" s="424" t="s">
        <v>80</v>
      </c>
      <c r="AT309" s="424" t="s">
        <v>82</v>
      </c>
      <c r="AU309" s="424" t="s">
        <v>181</v>
      </c>
      <c r="AV309" s="424" t="s">
        <v>183</v>
      </c>
      <c r="AW309" s="424" t="s">
        <v>547</v>
      </c>
      <c r="AX309" s="424" t="s">
        <v>182</v>
      </c>
      <c r="AY309" s="424" t="s">
        <v>172</v>
      </c>
      <c r="AZ309" s="201"/>
    </row>
    <row r="310" spans="2:52">
      <c r="B310" s="1256" t="s">
        <v>616</v>
      </c>
      <c r="C310" s="1257"/>
      <c r="D310" s="411" t="s">
        <v>754</v>
      </c>
      <c r="E310" s="411"/>
      <c r="F310" s="411" t="s">
        <v>288</v>
      </c>
      <c r="G310" s="411" t="s">
        <v>289</v>
      </c>
      <c r="H310" s="412">
        <v>7509.0029999999997</v>
      </c>
      <c r="I310" s="413" t="s">
        <v>611</v>
      </c>
      <c r="J310" s="414">
        <v>44978.083333333336</v>
      </c>
      <c r="K310" s="414"/>
      <c r="L310" s="414" t="s">
        <v>192</v>
      </c>
      <c r="M310" s="414" t="s">
        <v>192</v>
      </c>
      <c r="N310" s="413" t="str">
        <f>IF(ISBLANK(J310)," ",IF(J310&lt;$F$304,"On time",(IF(DAY(J310-$F$304)&lt;1,"On time",(IF(J310&gt;$F$304,"DELAY ( "&amp;DAY(J310-$F$304)&amp;" day "&amp;HOUR(J310-$F$304)&amp;" hour "&amp;MINUTE(J310-$F$304)&amp;" minute )","xxx"))))))</f>
        <v>DELAY ( 1 day 12 hour 0 minute )</v>
      </c>
      <c r="O310" s="51"/>
      <c r="P310" s="415" t="s">
        <v>551</v>
      </c>
      <c r="Q310" s="415" t="s">
        <v>551</v>
      </c>
      <c r="R310" s="415" t="s">
        <v>551</v>
      </c>
      <c r="S310" s="32"/>
      <c r="T310" s="416">
        <f>H310</f>
        <v>7509.0029999999997</v>
      </c>
      <c r="U310" s="416"/>
      <c r="V310" s="416"/>
      <c r="W310" s="416"/>
      <c r="X310" s="416"/>
      <c r="Y310" s="416"/>
      <c r="Z310" s="416"/>
      <c r="AA310" s="416"/>
      <c r="AB310" s="416"/>
      <c r="AC310" s="416"/>
      <c r="AD310" s="416"/>
      <c r="AE310" s="416"/>
      <c r="AF310" s="416"/>
      <c r="AG310" s="416"/>
      <c r="AH310" s="416"/>
      <c r="AI310" s="416"/>
      <c r="AJ310" s="416"/>
      <c r="AK310" s="416"/>
      <c r="AL310" s="416"/>
      <c r="AM310" s="416"/>
      <c r="AN310" s="416"/>
      <c r="AO310" s="416"/>
      <c r="AP310" s="416"/>
      <c r="AQ310" s="416"/>
      <c r="AR310" s="416"/>
      <c r="AS310" s="416"/>
      <c r="AT310" s="416"/>
      <c r="AU310" s="416"/>
      <c r="AV310" s="416"/>
      <c r="AW310" s="416"/>
      <c r="AX310" s="416"/>
      <c r="AY310" s="416"/>
      <c r="AZ310" s="32"/>
    </row>
    <row r="311" spans="2:52">
      <c r="B311" s="1256" t="s">
        <v>616</v>
      </c>
      <c r="C311" s="1257"/>
      <c r="D311" s="411" t="s">
        <v>755</v>
      </c>
      <c r="E311" s="411"/>
      <c r="F311" s="411" t="s">
        <v>201</v>
      </c>
      <c r="G311" s="411" t="s">
        <v>202</v>
      </c>
      <c r="H311" s="412">
        <v>7512.4830000000002</v>
      </c>
      <c r="I311" s="413" t="s">
        <v>611</v>
      </c>
      <c r="J311" s="414">
        <v>44979.145833333336</v>
      </c>
      <c r="K311" s="414"/>
      <c r="L311" s="414" t="s">
        <v>192</v>
      </c>
      <c r="M311" s="414" t="s">
        <v>192</v>
      </c>
      <c r="N311" s="413" t="str">
        <f t="shared" ref="N311:N329" si="21">IF(ISBLANK(J311)," ",IF(J311&lt;$F$304,"On time",(IF(DAY(J311-$F$304)&lt;1,"On time",(IF(J311&gt;$F$304,"DELAY ( "&amp;DAY(J311-$F$304)&amp;" day "&amp;HOUR(J311-$F$304)&amp;" hour "&amp;MINUTE(J311-$F$304)&amp;" minute )","xxx"))))))</f>
        <v>DELAY ( 2 day 13 hour 30 minute )</v>
      </c>
      <c r="O311" s="51"/>
      <c r="P311" s="415" t="s">
        <v>551</v>
      </c>
      <c r="Q311" s="415" t="s">
        <v>551</v>
      </c>
      <c r="R311" s="415" t="s">
        <v>551</v>
      </c>
      <c r="S311" s="32"/>
      <c r="T311" s="416">
        <f>H311</f>
        <v>7512.4830000000002</v>
      </c>
      <c r="U311" s="416"/>
      <c r="V311" s="416"/>
      <c r="W311" s="416"/>
      <c r="X311" s="416"/>
      <c r="Y311" s="416"/>
      <c r="Z311" s="416"/>
      <c r="AA311" s="416"/>
      <c r="AB311" s="416"/>
      <c r="AC311" s="416"/>
      <c r="AD311" s="416"/>
      <c r="AE311" s="416"/>
      <c r="AF311" s="416"/>
      <c r="AG311" s="416"/>
      <c r="AH311" s="416"/>
      <c r="AI311" s="416"/>
      <c r="AJ311" s="416"/>
      <c r="AK311" s="416"/>
      <c r="AL311" s="416"/>
      <c r="AM311" s="416"/>
      <c r="AN311" s="416"/>
      <c r="AO311" s="416"/>
      <c r="AP311" s="416"/>
      <c r="AQ311" s="416"/>
      <c r="AR311" s="416"/>
      <c r="AS311" s="416"/>
      <c r="AT311" s="416"/>
      <c r="AU311" s="416"/>
      <c r="AV311" s="416"/>
      <c r="AW311" s="416"/>
      <c r="AX311" s="416"/>
      <c r="AY311" s="416"/>
      <c r="AZ311" s="32"/>
    </row>
    <row r="312" spans="2:52">
      <c r="B312" s="1258" t="s">
        <v>618</v>
      </c>
      <c r="C312" s="1259"/>
      <c r="D312" s="1259"/>
      <c r="E312" s="1259"/>
      <c r="F312" s="1259"/>
      <c r="G312" s="1260"/>
      <c r="H312" s="417">
        <f>SUM(H309:H311)</f>
        <v>15021.486000000001</v>
      </c>
      <c r="I312" s="390"/>
      <c r="J312" s="367"/>
      <c r="K312" s="366"/>
      <c r="L312" s="366"/>
      <c r="M312" s="391"/>
      <c r="N312" s="413" t="str">
        <f t="shared" si="21"/>
        <v xml:space="preserve"> </v>
      </c>
      <c r="O312" s="212"/>
      <c r="P312" s="427"/>
      <c r="Q312" s="427"/>
      <c r="R312" s="427"/>
      <c r="S312" s="207"/>
      <c r="T312" s="428"/>
      <c r="U312" s="428"/>
      <c r="V312" s="428"/>
      <c r="W312" s="428"/>
      <c r="X312" s="429"/>
      <c r="Y312" s="416"/>
      <c r="Z312" s="416"/>
      <c r="AA312" s="416"/>
      <c r="AB312" s="429"/>
      <c r="AC312" s="429"/>
      <c r="AD312" s="429"/>
      <c r="AE312" s="429"/>
      <c r="AF312" s="429"/>
      <c r="AG312" s="429"/>
      <c r="AH312" s="429"/>
      <c r="AI312" s="429"/>
      <c r="AJ312" s="429"/>
      <c r="AK312" s="429"/>
      <c r="AL312" s="428"/>
      <c r="AM312" s="428"/>
      <c r="AN312" s="428"/>
      <c r="AO312" s="428"/>
      <c r="AP312" s="428"/>
      <c r="AQ312" s="428"/>
      <c r="AR312" s="428"/>
      <c r="AS312" s="428"/>
      <c r="AT312" s="428"/>
      <c r="AU312" s="428"/>
      <c r="AV312" s="428"/>
      <c r="AW312" s="428"/>
      <c r="AX312" s="428"/>
      <c r="AY312" s="428"/>
    </row>
    <row r="313" spans="2:52">
      <c r="B313" s="1250" t="s">
        <v>619</v>
      </c>
      <c r="C313" s="1251"/>
      <c r="D313" s="411" t="s">
        <v>864</v>
      </c>
      <c r="E313" s="411"/>
      <c r="F313" s="411" t="s">
        <v>208</v>
      </c>
      <c r="G313" s="411" t="s">
        <v>328</v>
      </c>
      <c r="H313" s="412">
        <v>7504.6239999999998</v>
      </c>
      <c r="I313" s="413" t="s">
        <v>835</v>
      </c>
      <c r="J313" s="414">
        <v>44980.576388888891</v>
      </c>
      <c r="K313" s="431"/>
      <c r="L313" s="414" t="s">
        <v>192</v>
      </c>
      <c r="M313" s="414" t="s">
        <v>192</v>
      </c>
      <c r="N313" s="413" t="str">
        <f t="shared" si="21"/>
        <v>DELAY ( 3 day 23 hour 50 minute )</v>
      </c>
      <c r="O313" s="265"/>
      <c r="P313" s="415" t="s">
        <v>551</v>
      </c>
      <c r="Q313" s="415" t="s">
        <v>551</v>
      </c>
      <c r="R313" s="415" t="s">
        <v>551</v>
      </c>
      <c r="S313" s="32"/>
      <c r="T313" s="428"/>
      <c r="U313" s="428"/>
      <c r="V313" s="428"/>
      <c r="W313" s="428"/>
      <c r="X313" s="428"/>
      <c r="Y313" s="416"/>
      <c r="Z313" s="416">
        <f>H313</f>
        <v>7504.6239999999998</v>
      </c>
      <c r="AA313" s="416"/>
      <c r="AB313" s="428"/>
      <c r="AC313" s="428"/>
      <c r="AD313" s="428"/>
      <c r="AE313" s="428"/>
      <c r="AF313" s="428"/>
      <c r="AG313" s="428"/>
      <c r="AH313" s="428"/>
      <c r="AI313" s="428"/>
      <c r="AJ313" s="428"/>
      <c r="AK313" s="428"/>
      <c r="AL313" s="428"/>
      <c r="AM313" s="428"/>
      <c r="AN313" s="428"/>
      <c r="AO313" s="428"/>
      <c r="AP313" s="428"/>
      <c r="AQ313" s="428"/>
      <c r="AR313" s="428"/>
      <c r="AS313" s="428"/>
      <c r="AT313" s="428"/>
      <c r="AU313" s="428"/>
      <c r="AV313" s="428"/>
      <c r="AW313" s="428"/>
      <c r="AX313" s="428"/>
      <c r="AY313" s="429"/>
      <c r="AZ313" s="207"/>
    </row>
    <row r="314" spans="2:52">
      <c r="B314" s="1254"/>
      <c r="C314" s="1255"/>
      <c r="D314" s="411"/>
      <c r="E314" s="411"/>
      <c r="F314" s="1256" t="s">
        <v>616</v>
      </c>
      <c r="G314" s="1257"/>
      <c r="H314" s="412">
        <v>2000</v>
      </c>
      <c r="I314" s="413"/>
      <c r="J314" s="414"/>
      <c r="K314" s="431"/>
      <c r="L314" s="414"/>
      <c r="M314" s="414"/>
      <c r="N314" s="413" t="str">
        <f t="shared" si="21"/>
        <v xml:space="preserve"> </v>
      </c>
      <c r="O314" s="265"/>
      <c r="P314" s="415"/>
      <c r="Q314" s="415"/>
      <c r="R314" s="415"/>
      <c r="S314" s="32"/>
      <c r="T314" s="428"/>
      <c r="U314" s="428"/>
      <c r="V314" s="428"/>
      <c r="W314" s="428"/>
      <c r="X314" s="428"/>
      <c r="Y314" s="416"/>
      <c r="Z314" s="416"/>
      <c r="AA314" s="416"/>
      <c r="AB314" s="428"/>
      <c r="AC314" s="428"/>
      <c r="AD314" s="428"/>
      <c r="AE314" s="428"/>
      <c r="AF314" s="428"/>
      <c r="AG314" s="428"/>
      <c r="AH314" s="428"/>
      <c r="AI314" s="428"/>
      <c r="AJ314" s="428"/>
      <c r="AK314" s="428"/>
      <c r="AL314" s="428"/>
      <c r="AM314" s="428"/>
      <c r="AN314" s="428"/>
      <c r="AO314" s="428"/>
      <c r="AP314" s="428"/>
      <c r="AQ314" s="428"/>
      <c r="AR314" s="428"/>
      <c r="AS314" s="428"/>
      <c r="AT314" s="428"/>
      <c r="AU314" s="428"/>
      <c r="AV314" s="428"/>
      <c r="AW314" s="428"/>
      <c r="AX314" s="428"/>
      <c r="AY314" s="429"/>
      <c r="AZ314" s="207"/>
    </row>
    <row r="315" spans="2:52">
      <c r="B315" s="1250" t="s">
        <v>621</v>
      </c>
      <c r="C315" s="1251"/>
      <c r="D315" s="411" t="s">
        <v>834</v>
      </c>
      <c r="E315" s="411"/>
      <c r="F315" s="411" t="s">
        <v>371</v>
      </c>
      <c r="G315" s="411" t="s">
        <v>372</v>
      </c>
      <c r="H315" s="412">
        <v>7416.8959999999997</v>
      </c>
      <c r="I315" s="413" t="s">
        <v>835</v>
      </c>
      <c r="J315" s="414">
        <v>44980.604166666664</v>
      </c>
      <c r="K315" s="431"/>
      <c r="L315" s="414" t="s">
        <v>192</v>
      </c>
      <c r="M315" s="414" t="s">
        <v>192</v>
      </c>
      <c r="N315" s="413" t="str">
        <f t="shared" si="21"/>
        <v>DELAY ( 4 day 0 hour 30 minute )</v>
      </c>
      <c r="O315" s="265"/>
      <c r="P315" s="415" t="s">
        <v>551</v>
      </c>
      <c r="Q315" s="415" t="s">
        <v>551</v>
      </c>
      <c r="R315" s="415" t="s">
        <v>551</v>
      </c>
      <c r="S315" s="32"/>
      <c r="T315" s="428"/>
      <c r="U315" s="428"/>
      <c r="V315" s="428"/>
      <c r="W315" s="428"/>
      <c r="X315" s="428"/>
      <c r="Y315" s="416"/>
      <c r="Z315" s="416">
        <f>H315</f>
        <v>7416.8959999999997</v>
      </c>
      <c r="AA315" s="416"/>
      <c r="AB315" s="428"/>
      <c r="AC315" s="428"/>
      <c r="AD315" s="428"/>
      <c r="AE315" s="428"/>
      <c r="AF315" s="428"/>
      <c r="AG315" s="428"/>
      <c r="AH315" s="428"/>
      <c r="AI315" s="428"/>
      <c r="AJ315" s="428"/>
      <c r="AK315" s="428"/>
      <c r="AL315" s="428"/>
      <c r="AM315" s="428"/>
      <c r="AN315" s="428"/>
      <c r="AO315" s="428"/>
      <c r="AP315" s="428"/>
      <c r="AQ315" s="428"/>
      <c r="AR315" s="429"/>
      <c r="AS315" s="428"/>
      <c r="AT315" s="428"/>
      <c r="AU315" s="428"/>
      <c r="AV315" s="428"/>
      <c r="AW315" s="428"/>
      <c r="AX315" s="428"/>
      <c r="AY315" s="429"/>
      <c r="AZ315" s="207"/>
    </row>
    <row r="316" spans="2:52">
      <c r="B316" s="1254"/>
      <c r="C316" s="1255"/>
      <c r="D316" s="411"/>
      <c r="E316" s="411"/>
      <c r="F316" s="1256" t="s">
        <v>616</v>
      </c>
      <c r="G316" s="1257"/>
      <c r="H316" s="412">
        <v>2000</v>
      </c>
      <c r="I316" s="413"/>
      <c r="J316" s="414"/>
      <c r="K316" s="431"/>
      <c r="L316" s="414"/>
      <c r="M316" s="414"/>
      <c r="N316" s="413" t="str">
        <f t="shared" si="21"/>
        <v xml:space="preserve"> </v>
      </c>
      <c r="O316" s="265"/>
      <c r="P316" s="415"/>
      <c r="Q316" s="415"/>
      <c r="R316" s="415"/>
      <c r="S316" s="32"/>
      <c r="T316" s="428"/>
      <c r="U316" s="428"/>
      <c r="V316" s="428"/>
      <c r="W316" s="428"/>
      <c r="X316" s="428"/>
      <c r="Y316" s="416"/>
      <c r="Z316" s="416"/>
      <c r="AA316" s="416"/>
      <c r="AB316" s="428"/>
      <c r="AC316" s="428"/>
      <c r="AD316" s="428"/>
      <c r="AE316" s="428"/>
      <c r="AF316" s="428"/>
      <c r="AG316" s="428"/>
      <c r="AH316" s="428"/>
      <c r="AI316" s="428"/>
      <c r="AJ316" s="428"/>
      <c r="AK316" s="428"/>
      <c r="AL316" s="428"/>
      <c r="AM316" s="428"/>
      <c r="AN316" s="428"/>
      <c r="AO316" s="428"/>
      <c r="AP316" s="428"/>
      <c r="AQ316" s="428"/>
      <c r="AR316" s="428"/>
      <c r="AS316" s="428"/>
      <c r="AT316" s="428"/>
      <c r="AU316" s="428"/>
      <c r="AV316" s="428"/>
      <c r="AW316" s="428"/>
      <c r="AX316" s="428"/>
      <c r="AY316" s="429"/>
      <c r="AZ316" s="207"/>
    </row>
    <row r="317" spans="2:52">
      <c r="B317" s="1250" t="s">
        <v>622</v>
      </c>
      <c r="C317" s="1251"/>
      <c r="D317" s="411" t="s">
        <v>841</v>
      </c>
      <c r="E317" s="411"/>
      <c r="F317" s="411" t="s">
        <v>492</v>
      </c>
      <c r="G317" s="411" t="s">
        <v>493</v>
      </c>
      <c r="H317" s="412">
        <v>7568.81</v>
      </c>
      <c r="I317" s="413" t="s">
        <v>835</v>
      </c>
      <c r="J317" s="414">
        <v>44980.5625</v>
      </c>
      <c r="K317" s="414"/>
      <c r="L317" s="414" t="s">
        <v>192</v>
      </c>
      <c r="M317" s="414" t="s">
        <v>192</v>
      </c>
      <c r="N317" s="413" t="str">
        <f t="shared" si="21"/>
        <v>DELAY ( 3 day 23 hour 30 minute )</v>
      </c>
      <c r="O317" s="51"/>
      <c r="P317" s="415" t="s">
        <v>551</v>
      </c>
      <c r="Q317" s="415" t="s">
        <v>551</v>
      </c>
      <c r="R317" s="415" t="s">
        <v>551</v>
      </c>
      <c r="S317" s="32"/>
      <c r="T317" s="416"/>
      <c r="U317" s="416"/>
      <c r="V317" s="416"/>
      <c r="W317" s="416"/>
      <c r="X317" s="416"/>
      <c r="Y317" s="416"/>
      <c r="Z317" s="416">
        <f>H317</f>
        <v>7568.81</v>
      </c>
      <c r="AA317" s="416"/>
      <c r="AB317" s="416"/>
      <c r="AC317" s="416"/>
      <c r="AD317" s="416"/>
      <c r="AE317" s="416"/>
      <c r="AF317" s="416"/>
      <c r="AG317" s="416"/>
      <c r="AH317" s="416"/>
      <c r="AI317" s="416"/>
      <c r="AJ317" s="416"/>
      <c r="AK317" s="416"/>
      <c r="AL317" s="416"/>
      <c r="AM317" s="416"/>
      <c r="AN317" s="416"/>
      <c r="AO317" s="416"/>
      <c r="AP317" s="416"/>
      <c r="AQ317" s="416"/>
      <c r="AR317" s="416"/>
      <c r="AS317" s="416"/>
      <c r="AT317" s="416"/>
      <c r="AU317" s="416"/>
      <c r="AV317" s="416"/>
      <c r="AW317" s="416"/>
      <c r="AX317" s="416"/>
      <c r="AY317" s="416"/>
      <c r="AZ317" s="32"/>
    </row>
    <row r="318" spans="2:52">
      <c r="B318" s="1254"/>
      <c r="C318" s="1255"/>
      <c r="D318" s="411"/>
      <c r="E318" s="411"/>
      <c r="F318" s="1256" t="s">
        <v>616</v>
      </c>
      <c r="G318" s="1257"/>
      <c r="H318" s="412">
        <v>1000</v>
      </c>
      <c r="I318" s="413"/>
      <c r="J318" s="414"/>
      <c r="K318" s="414"/>
      <c r="L318" s="414"/>
      <c r="M318" s="414"/>
      <c r="N318" s="413" t="str">
        <f t="shared" si="21"/>
        <v xml:space="preserve"> </v>
      </c>
      <c r="O318" s="51"/>
      <c r="P318" s="415"/>
      <c r="Q318" s="415"/>
      <c r="R318" s="415"/>
      <c r="S318" s="32"/>
      <c r="T318" s="416"/>
      <c r="U318" s="416"/>
      <c r="V318" s="416"/>
      <c r="W318" s="416"/>
      <c r="X318" s="416"/>
      <c r="Y318" s="416"/>
      <c r="Z318" s="416"/>
      <c r="AA318" s="416"/>
      <c r="AB318" s="416"/>
      <c r="AC318" s="416"/>
      <c r="AD318" s="416"/>
      <c r="AE318" s="416"/>
      <c r="AF318" s="416"/>
      <c r="AG318" s="416"/>
      <c r="AH318" s="416"/>
      <c r="AI318" s="416"/>
      <c r="AJ318" s="416"/>
      <c r="AK318" s="416"/>
      <c r="AL318" s="416"/>
      <c r="AM318" s="416"/>
      <c r="AN318" s="416"/>
      <c r="AO318" s="416"/>
      <c r="AP318" s="416"/>
      <c r="AQ318" s="416"/>
      <c r="AR318" s="416"/>
      <c r="AS318" s="416"/>
      <c r="AT318" s="416"/>
      <c r="AU318" s="416"/>
      <c r="AV318" s="416"/>
      <c r="AW318" s="416"/>
      <c r="AX318" s="416"/>
      <c r="AY318" s="416"/>
      <c r="AZ318" s="32"/>
    </row>
    <row r="319" spans="2:52">
      <c r="B319" s="1250" t="s">
        <v>623</v>
      </c>
      <c r="C319" s="1251"/>
      <c r="D319" s="411" t="s">
        <v>842</v>
      </c>
      <c r="E319" s="411"/>
      <c r="F319" s="411" t="s">
        <v>364</v>
      </c>
      <c r="G319" s="411" t="s">
        <v>365</v>
      </c>
      <c r="H319" s="412">
        <v>7505.18</v>
      </c>
      <c r="I319" s="413" t="s">
        <v>835</v>
      </c>
      <c r="J319" s="414">
        <v>44980.791666666664</v>
      </c>
      <c r="K319" s="414"/>
      <c r="L319" s="414" t="s">
        <v>192</v>
      </c>
      <c r="M319" s="414" t="s">
        <v>192</v>
      </c>
      <c r="N319" s="413" t="str">
        <f t="shared" si="21"/>
        <v>DELAY ( 4 day 5 hour 0 minute )</v>
      </c>
      <c r="O319" s="51"/>
      <c r="P319" s="415" t="s">
        <v>551</v>
      </c>
      <c r="Q319" s="415" t="s">
        <v>551</v>
      </c>
      <c r="R319" s="415" t="s">
        <v>551</v>
      </c>
      <c r="S319" s="32"/>
      <c r="T319" s="416"/>
      <c r="U319" s="416"/>
      <c r="V319" s="416"/>
      <c r="W319" s="416"/>
      <c r="X319" s="416"/>
      <c r="Y319" s="416"/>
      <c r="Z319" s="416">
        <f>H319</f>
        <v>7505.18</v>
      </c>
      <c r="AA319" s="416"/>
      <c r="AB319" s="416"/>
      <c r="AC319" s="416"/>
      <c r="AD319" s="416"/>
      <c r="AE319" s="416"/>
      <c r="AF319" s="416"/>
      <c r="AG319" s="416"/>
      <c r="AH319" s="416"/>
      <c r="AI319" s="416"/>
      <c r="AJ319" s="416"/>
      <c r="AK319" s="416"/>
      <c r="AL319" s="416"/>
      <c r="AM319" s="416"/>
      <c r="AN319" s="416"/>
      <c r="AO319" s="416"/>
      <c r="AP319" s="416"/>
      <c r="AQ319" s="416"/>
      <c r="AR319" s="416"/>
      <c r="AS319" s="416"/>
      <c r="AT319" s="416"/>
      <c r="AU319" s="416"/>
      <c r="AV319" s="416"/>
      <c r="AW319" s="416"/>
      <c r="AX319" s="416"/>
      <c r="AY319" s="416"/>
      <c r="AZ319" s="32"/>
    </row>
    <row r="320" spans="2:52">
      <c r="B320" s="1254"/>
      <c r="C320" s="1255"/>
      <c r="D320" s="411"/>
      <c r="E320" s="411"/>
      <c r="F320" s="1256" t="s">
        <v>616</v>
      </c>
      <c r="G320" s="1257"/>
      <c r="H320" s="412">
        <v>3500</v>
      </c>
      <c r="I320" s="413"/>
      <c r="J320" s="414"/>
      <c r="K320" s="414"/>
      <c r="L320" s="414"/>
      <c r="M320" s="414"/>
      <c r="N320" s="413" t="str">
        <f t="shared" si="21"/>
        <v xml:space="preserve"> </v>
      </c>
      <c r="O320" s="51"/>
      <c r="P320" s="415"/>
      <c r="Q320" s="415"/>
      <c r="R320" s="415"/>
      <c r="S320" s="32"/>
      <c r="T320" s="416"/>
      <c r="U320" s="416"/>
      <c r="V320" s="416"/>
      <c r="W320" s="416"/>
      <c r="X320" s="416"/>
      <c r="Y320" s="416"/>
      <c r="Z320" s="416"/>
      <c r="AA320" s="416"/>
      <c r="AB320" s="416"/>
      <c r="AC320" s="416"/>
      <c r="AD320" s="416"/>
      <c r="AE320" s="416"/>
      <c r="AF320" s="416"/>
      <c r="AG320" s="416"/>
      <c r="AH320" s="416"/>
      <c r="AI320" s="416"/>
      <c r="AJ320" s="416"/>
      <c r="AK320" s="416"/>
      <c r="AL320" s="416"/>
      <c r="AM320" s="416"/>
      <c r="AN320" s="416"/>
      <c r="AO320" s="416"/>
      <c r="AP320" s="416"/>
      <c r="AQ320" s="416"/>
      <c r="AR320" s="416"/>
      <c r="AS320" s="416"/>
      <c r="AT320" s="416"/>
      <c r="AU320" s="416"/>
      <c r="AV320" s="416"/>
      <c r="AW320" s="416"/>
      <c r="AX320" s="416"/>
      <c r="AY320" s="416"/>
      <c r="AZ320" s="32"/>
    </row>
    <row r="321" spans="2:52">
      <c r="B321" s="1250" t="s">
        <v>624</v>
      </c>
      <c r="C321" s="1251"/>
      <c r="D321" s="411" t="s">
        <v>845</v>
      </c>
      <c r="E321" s="411"/>
      <c r="F321" s="411" t="s">
        <v>295</v>
      </c>
      <c r="G321" s="411" t="s">
        <v>296</v>
      </c>
      <c r="H321" s="412">
        <v>9915.7939999999999</v>
      </c>
      <c r="I321" s="413" t="s">
        <v>846</v>
      </c>
      <c r="J321" s="414">
        <v>44980.798611111109</v>
      </c>
      <c r="K321" s="414"/>
      <c r="L321" s="414" t="s">
        <v>192</v>
      </c>
      <c r="M321" s="414" t="s">
        <v>192</v>
      </c>
      <c r="N321" s="413" t="str">
        <f t="shared" si="21"/>
        <v>DELAY ( 4 day 5 hour 10 minute )</v>
      </c>
      <c r="O321" s="51"/>
      <c r="P321" s="415" t="s">
        <v>551</v>
      </c>
      <c r="Q321" s="415" t="s">
        <v>551</v>
      </c>
      <c r="R321" s="415" t="s">
        <v>551</v>
      </c>
      <c r="S321" s="32"/>
      <c r="T321" s="416"/>
      <c r="U321" s="416"/>
      <c r="V321" s="416"/>
      <c r="W321" s="416"/>
      <c r="X321" s="416"/>
      <c r="Y321" s="416">
        <f>H321*0.3</f>
        <v>2974.7381999999998</v>
      </c>
      <c r="Z321" s="416">
        <f>H321*0.7</f>
        <v>6941.0557999999992</v>
      </c>
      <c r="AA321" s="416"/>
      <c r="AB321" s="416"/>
      <c r="AC321" s="416"/>
      <c r="AD321" s="416"/>
      <c r="AE321" s="416"/>
      <c r="AF321" s="416"/>
      <c r="AG321" s="416"/>
      <c r="AH321" s="416"/>
      <c r="AI321" s="416"/>
      <c r="AJ321" s="416"/>
      <c r="AK321" s="416"/>
      <c r="AL321" s="416"/>
      <c r="AM321" s="416"/>
      <c r="AN321" s="416"/>
      <c r="AO321" s="416"/>
      <c r="AP321" s="416"/>
      <c r="AQ321" s="416"/>
      <c r="AR321" s="416"/>
      <c r="AS321" s="416"/>
      <c r="AT321" s="416"/>
      <c r="AU321" s="416"/>
      <c r="AV321" s="416"/>
      <c r="AW321" s="416"/>
      <c r="AX321" s="416"/>
      <c r="AY321" s="416"/>
      <c r="AZ321" s="32"/>
    </row>
    <row r="322" spans="2:52">
      <c r="B322" s="1254"/>
      <c r="C322" s="1255"/>
      <c r="D322" s="411"/>
      <c r="E322" s="411"/>
      <c r="F322" s="1256" t="s">
        <v>616</v>
      </c>
      <c r="G322" s="1257"/>
      <c r="H322" s="412">
        <v>1121</v>
      </c>
      <c r="I322" s="413"/>
      <c r="J322" s="414"/>
      <c r="K322" s="414"/>
      <c r="L322" s="414"/>
      <c r="M322" s="414"/>
      <c r="N322" s="413" t="str">
        <f t="shared" si="21"/>
        <v xml:space="preserve"> </v>
      </c>
      <c r="O322" s="51"/>
      <c r="P322" s="415"/>
      <c r="Q322" s="415"/>
      <c r="R322" s="415"/>
      <c r="S322" s="32"/>
      <c r="T322" s="416"/>
      <c r="U322" s="416"/>
      <c r="V322" s="416"/>
      <c r="W322" s="416"/>
      <c r="X322" s="416"/>
      <c r="Y322" s="416"/>
      <c r="Z322" s="416"/>
      <c r="AA322" s="416"/>
      <c r="AB322" s="416"/>
      <c r="AC322" s="416"/>
      <c r="AD322" s="416"/>
      <c r="AE322" s="416"/>
      <c r="AF322" s="416"/>
      <c r="AG322" s="416"/>
      <c r="AH322" s="416"/>
      <c r="AI322" s="416"/>
      <c r="AJ322" s="416"/>
      <c r="AK322" s="416"/>
      <c r="AL322" s="416"/>
      <c r="AM322" s="416"/>
      <c r="AN322" s="416"/>
      <c r="AO322" s="416"/>
      <c r="AP322" s="416"/>
      <c r="AQ322" s="416"/>
      <c r="AR322" s="416"/>
      <c r="AS322" s="416"/>
      <c r="AT322" s="416"/>
      <c r="AU322" s="416"/>
      <c r="AV322" s="416"/>
      <c r="AW322" s="416"/>
      <c r="AX322" s="416"/>
      <c r="AY322" s="416"/>
      <c r="AZ322" s="32"/>
    </row>
    <row r="323" spans="2:52">
      <c r="B323" s="1250" t="s">
        <v>625</v>
      </c>
      <c r="C323" s="1251"/>
      <c r="D323" s="411" t="s">
        <v>844</v>
      </c>
      <c r="E323" s="411"/>
      <c r="F323" s="411" t="s">
        <v>298</v>
      </c>
      <c r="G323" s="411" t="s">
        <v>299</v>
      </c>
      <c r="H323" s="412">
        <v>10328.034</v>
      </c>
      <c r="I323" s="413" t="s">
        <v>835</v>
      </c>
      <c r="J323" s="414">
        <v>44981.597222222219</v>
      </c>
      <c r="K323" s="414"/>
      <c r="L323" s="414" t="s">
        <v>192</v>
      </c>
      <c r="M323" s="414" t="s">
        <v>192</v>
      </c>
      <c r="N323" s="413" t="str">
        <f t="shared" si="21"/>
        <v>DELAY ( 5 day 0 hour 20 minute )</v>
      </c>
      <c r="O323" s="51"/>
      <c r="P323" s="415" t="s">
        <v>551</v>
      </c>
      <c r="Q323" s="415" t="s">
        <v>551</v>
      </c>
      <c r="R323" s="415" t="s">
        <v>551</v>
      </c>
      <c r="S323" s="32"/>
      <c r="T323" s="416"/>
      <c r="U323" s="416"/>
      <c r="V323" s="416"/>
      <c r="W323" s="416"/>
      <c r="X323" s="416"/>
      <c r="Y323" s="416"/>
      <c r="Z323" s="416">
        <f>H323</f>
        <v>10328.034</v>
      </c>
      <c r="AA323" s="416"/>
      <c r="AB323" s="416"/>
      <c r="AC323" s="416"/>
      <c r="AD323" s="416"/>
      <c r="AE323" s="416"/>
      <c r="AF323" s="416"/>
      <c r="AG323" s="416"/>
      <c r="AH323" s="416"/>
      <c r="AI323" s="416"/>
      <c r="AJ323" s="416"/>
      <c r="AK323" s="416"/>
      <c r="AL323" s="416"/>
      <c r="AM323" s="416"/>
      <c r="AN323" s="416"/>
      <c r="AO323" s="416"/>
      <c r="AP323" s="416"/>
      <c r="AQ323" s="416"/>
      <c r="AR323" s="416"/>
      <c r="AS323" s="416"/>
      <c r="AT323" s="416"/>
      <c r="AU323" s="416"/>
      <c r="AV323" s="416"/>
      <c r="AW323" s="416"/>
      <c r="AX323" s="416"/>
      <c r="AY323" s="416"/>
      <c r="AZ323" s="32"/>
    </row>
    <row r="324" spans="2:52">
      <c r="B324" s="1254"/>
      <c r="C324" s="1255"/>
      <c r="D324" s="411"/>
      <c r="E324" s="411"/>
      <c r="F324" s="1256" t="s">
        <v>616</v>
      </c>
      <c r="G324" s="1257"/>
      <c r="H324" s="412">
        <v>4200</v>
      </c>
      <c r="I324" s="413"/>
      <c r="J324" s="414"/>
      <c r="K324" s="414"/>
      <c r="L324" s="414"/>
      <c r="M324" s="414"/>
      <c r="N324" s="413" t="str">
        <f t="shared" si="21"/>
        <v xml:space="preserve"> </v>
      </c>
      <c r="O324" s="51"/>
      <c r="P324" s="415"/>
      <c r="Q324" s="415"/>
      <c r="R324" s="415"/>
      <c r="S324" s="32"/>
      <c r="T324" s="416"/>
      <c r="U324" s="416"/>
      <c r="V324" s="416"/>
      <c r="W324" s="416"/>
      <c r="X324" s="416"/>
      <c r="Y324" s="416"/>
      <c r="Z324" s="416"/>
      <c r="AA324" s="416"/>
      <c r="AB324" s="416"/>
      <c r="AC324" s="416"/>
      <c r="AD324" s="416"/>
      <c r="AE324" s="416"/>
      <c r="AF324" s="416"/>
      <c r="AG324" s="416"/>
      <c r="AH324" s="416"/>
      <c r="AI324" s="416"/>
      <c r="AJ324" s="416"/>
      <c r="AK324" s="416"/>
      <c r="AL324" s="416"/>
      <c r="AM324" s="416"/>
      <c r="AN324" s="416"/>
      <c r="AO324" s="416"/>
      <c r="AP324" s="416"/>
      <c r="AQ324" s="416"/>
      <c r="AR324" s="416"/>
      <c r="AS324" s="416"/>
      <c r="AT324" s="416"/>
      <c r="AU324" s="416"/>
      <c r="AV324" s="416"/>
      <c r="AW324" s="416"/>
      <c r="AX324" s="416"/>
      <c r="AY324" s="416"/>
      <c r="AZ324" s="32"/>
    </row>
    <row r="325" spans="2:52">
      <c r="B325" s="1250" t="s">
        <v>669</v>
      </c>
      <c r="C325" s="1251"/>
      <c r="D325" s="411" t="s">
        <v>847</v>
      </c>
      <c r="E325" s="411"/>
      <c r="F325" s="411" t="s">
        <v>346</v>
      </c>
      <c r="G325" s="411" t="s">
        <v>347</v>
      </c>
      <c r="H325" s="412">
        <f>7560.231-4421.055</f>
        <v>3139.1759999999995</v>
      </c>
      <c r="I325" s="413" t="s">
        <v>848</v>
      </c>
      <c r="J325" s="414">
        <v>44981.583333333336</v>
      </c>
      <c r="K325" s="414"/>
      <c r="L325" s="414" t="s">
        <v>192</v>
      </c>
      <c r="M325" s="414" t="s">
        <v>192</v>
      </c>
      <c r="N325" s="413" t="str">
        <f t="shared" si="21"/>
        <v>DELAY ( 5 day 0 hour 0 minute )</v>
      </c>
      <c r="O325" s="51"/>
      <c r="P325" s="415" t="s">
        <v>551</v>
      </c>
      <c r="Q325" s="415" t="s">
        <v>551</v>
      </c>
      <c r="R325" s="415" t="s">
        <v>551</v>
      </c>
      <c r="S325" s="32"/>
      <c r="T325" s="416"/>
      <c r="U325" s="416"/>
      <c r="V325" s="416"/>
      <c r="W325" s="416"/>
      <c r="X325" s="416"/>
      <c r="Y325" s="416">
        <f>(H325*0.3)</f>
        <v>941.75279999999975</v>
      </c>
      <c r="Z325" s="416">
        <f>(H325*0.7)</f>
        <v>2197.4231999999993</v>
      </c>
      <c r="AA325" s="416"/>
      <c r="AB325" s="416"/>
      <c r="AC325" s="416"/>
      <c r="AD325" s="416"/>
      <c r="AE325" s="416"/>
      <c r="AF325" s="416"/>
      <c r="AG325" s="416"/>
      <c r="AH325" s="416"/>
      <c r="AI325" s="416"/>
      <c r="AJ325" s="416"/>
      <c r="AK325" s="416"/>
      <c r="AL325" s="416"/>
      <c r="AM325" s="416"/>
      <c r="AN325" s="416"/>
      <c r="AO325" s="416"/>
      <c r="AP325" s="416"/>
      <c r="AQ325" s="416"/>
      <c r="AR325" s="416"/>
      <c r="AS325" s="416"/>
      <c r="AT325" s="416"/>
      <c r="AU325" s="416"/>
      <c r="AV325" s="416"/>
      <c r="AW325" s="416"/>
      <c r="AX325" s="416"/>
      <c r="AY325" s="416"/>
      <c r="AZ325" s="32"/>
    </row>
    <row r="326" spans="2:52">
      <c r="B326" s="1254"/>
      <c r="C326" s="1255"/>
      <c r="D326" s="411"/>
      <c r="E326" s="411"/>
      <c r="F326" s="1256" t="s">
        <v>616</v>
      </c>
      <c r="G326" s="1257"/>
      <c r="H326" s="412">
        <f>1200+0.486</f>
        <v>1200.4860000000001</v>
      </c>
      <c r="I326" s="413"/>
      <c r="J326" s="414"/>
      <c r="K326" s="414"/>
      <c r="L326" s="414"/>
      <c r="M326" s="414"/>
      <c r="N326" s="413" t="str">
        <f t="shared" si="21"/>
        <v xml:space="preserve"> </v>
      </c>
      <c r="O326" s="51"/>
      <c r="P326" s="415"/>
      <c r="Q326" s="415"/>
      <c r="R326" s="415"/>
      <c r="S326" s="32"/>
      <c r="T326" s="416"/>
      <c r="U326" s="416"/>
      <c r="V326" s="416"/>
      <c r="W326" s="416"/>
      <c r="X326" s="416"/>
      <c r="Y326" s="416"/>
      <c r="Z326" s="416"/>
      <c r="AA326" s="416"/>
      <c r="AB326" s="416"/>
      <c r="AC326" s="416"/>
      <c r="AD326" s="416"/>
      <c r="AE326" s="416"/>
      <c r="AF326" s="416"/>
      <c r="AG326" s="416"/>
      <c r="AH326" s="416"/>
      <c r="AI326" s="416"/>
      <c r="AJ326" s="416"/>
      <c r="AK326" s="416"/>
      <c r="AL326" s="416"/>
      <c r="AM326" s="416"/>
      <c r="AN326" s="416"/>
      <c r="AO326" s="416"/>
      <c r="AP326" s="416"/>
      <c r="AQ326" s="416"/>
      <c r="AR326" s="416"/>
      <c r="AS326" s="416"/>
      <c r="AT326" s="416"/>
      <c r="AU326" s="416"/>
      <c r="AV326" s="416"/>
      <c r="AW326" s="416"/>
      <c r="AX326" s="416"/>
      <c r="AY326" s="416"/>
      <c r="AZ326" s="32"/>
    </row>
    <row r="327" spans="2:52">
      <c r="B327" s="1258" t="s">
        <v>626</v>
      </c>
      <c r="C327" s="1259"/>
      <c r="D327" s="1259"/>
      <c r="E327" s="1259"/>
      <c r="F327" s="1259"/>
      <c r="G327" s="1260"/>
      <c r="H327" s="417">
        <f>H313+H315+H317+H319+H321+H323+H325</f>
        <v>53378.514000000003</v>
      </c>
      <c r="I327" s="388"/>
      <c r="J327" s="293"/>
      <c r="K327" s="293"/>
      <c r="L327" s="293"/>
      <c r="M327" s="389"/>
      <c r="N327" s="413" t="str">
        <f t="shared" si="21"/>
        <v xml:space="preserve"> </v>
      </c>
      <c r="O327" s="47"/>
      <c r="P327" s="418"/>
      <c r="Q327" s="418"/>
      <c r="R327" s="418"/>
      <c r="S327" s="32"/>
      <c r="T327" s="1261"/>
      <c r="U327" s="1261"/>
      <c r="V327" s="1261"/>
      <c r="W327" s="1261"/>
      <c r="X327" s="1261"/>
      <c r="Y327" s="1261"/>
      <c r="Z327" s="1261"/>
      <c r="AA327" s="1261"/>
      <c r="AB327" s="1261"/>
      <c r="AC327" s="1261"/>
      <c r="AD327" s="1261"/>
      <c r="AE327" s="1261"/>
      <c r="AF327" s="1261"/>
      <c r="AG327" s="1261"/>
      <c r="AH327" s="1261"/>
      <c r="AI327" s="1261"/>
      <c r="AJ327" s="1261"/>
      <c r="AK327" s="1261"/>
      <c r="AL327" s="1261"/>
      <c r="AM327" s="1261"/>
      <c r="AN327" s="1261"/>
      <c r="AO327" s="1261"/>
      <c r="AP327" s="1261"/>
      <c r="AQ327" s="1261"/>
      <c r="AR327" s="1261"/>
      <c r="AS327" s="1261"/>
      <c r="AT327" s="1261"/>
      <c r="AU327" s="1261"/>
      <c r="AV327" s="1261"/>
      <c r="AW327" s="1261"/>
      <c r="AX327" s="1261"/>
      <c r="AY327" s="1261"/>
    </row>
    <row r="328" spans="2:52">
      <c r="B328" s="1258" t="s">
        <v>556</v>
      </c>
      <c r="C328" s="1259"/>
      <c r="D328" s="1259"/>
      <c r="E328" s="1259"/>
      <c r="F328" s="1259"/>
      <c r="G328" s="1260"/>
      <c r="H328" s="417">
        <f>H312+H327</f>
        <v>68400</v>
      </c>
      <c r="I328" s="388"/>
      <c r="J328" s="293"/>
      <c r="K328" s="293"/>
      <c r="L328" s="293"/>
      <c r="M328" s="389"/>
      <c r="N328" s="413" t="str">
        <f t="shared" si="21"/>
        <v xml:space="preserve"> </v>
      </c>
      <c r="O328" s="212"/>
      <c r="P328" s="418"/>
      <c r="Q328" s="418"/>
      <c r="R328" s="418"/>
      <c r="S328" s="207"/>
      <c r="T328" s="1262"/>
      <c r="U328" s="1263"/>
      <c r="V328" s="1263"/>
      <c r="W328" s="1263"/>
      <c r="X328" s="1263"/>
      <c r="Y328" s="1263"/>
      <c r="Z328" s="1263"/>
      <c r="AA328" s="1263"/>
      <c r="AB328" s="1263"/>
      <c r="AC328" s="1263"/>
      <c r="AD328" s="1263"/>
      <c r="AE328" s="1263"/>
      <c r="AF328" s="1263"/>
      <c r="AG328" s="1263"/>
      <c r="AH328" s="1263"/>
      <c r="AI328" s="1263"/>
      <c r="AJ328" s="1263"/>
      <c r="AK328" s="1263"/>
      <c r="AL328" s="1263"/>
      <c r="AM328" s="1263"/>
      <c r="AN328" s="1263"/>
      <c r="AO328" s="1263"/>
      <c r="AP328" s="1263"/>
      <c r="AQ328" s="1263"/>
      <c r="AR328" s="1263"/>
      <c r="AS328" s="1263"/>
      <c r="AT328" s="1263"/>
      <c r="AU328" s="1263"/>
      <c r="AV328" s="1263"/>
      <c r="AW328" s="1263"/>
      <c r="AX328" s="1263"/>
      <c r="AY328" s="1264"/>
    </row>
    <row r="329" spans="2:52">
      <c r="B329" s="1243" t="s">
        <v>557</v>
      </c>
      <c r="C329" s="1244"/>
      <c r="D329" s="1244"/>
      <c r="E329" s="1244"/>
      <c r="F329" s="1244"/>
      <c r="G329" s="1245"/>
      <c r="H329" s="419">
        <v>68400</v>
      </c>
      <c r="I329" s="1246"/>
      <c r="J329" s="1247"/>
      <c r="K329" s="1247"/>
      <c r="L329" s="1247"/>
      <c r="M329" s="1248"/>
      <c r="N329" s="413" t="str">
        <f t="shared" si="21"/>
        <v xml:space="preserve"> </v>
      </c>
      <c r="O329" s="32"/>
      <c r="P329" s="415"/>
      <c r="Q329" s="415"/>
      <c r="R329" s="415"/>
      <c r="S329" s="63"/>
      <c r="T329" s="416">
        <f>SUM(T310:T325)</f>
        <v>15021.486000000001</v>
      </c>
      <c r="U329" s="416">
        <f t="shared" ref="U329:AY329" si="22">SUM(U310:U325)</f>
        <v>0</v>
      </c>
      <c r="V329" s="416">
        <f t="shared" si="22"/>
        <v>0</v>
      </c>
      <c r="W329" s="416">
        <f t="shared" si="22"/>
        <v>0</v>
      </c>
      <c r="X329" s="416">
        <f t="shared" si="22"/>
        <v>0</v>
      </c>
      <c r="Y329" s="416">
        <f>SUM(Y310:Y325)</f>
        <v>3916.4909999999995</v>
      </c>
      <c r="Z329" s="416">
        <f t="shared" si="22"/>
        <v>49462.023000000001</v>
      </c>
      <c r="AA329" s="416">
        <f t="shared" si="22"/>
        <v>0</v>
      </c>
      <c r="AB329" s="416">
        <f t="shared" si="22"/>
        <v>0</v>
      </c>
      <c r="AC329" s="416">
        <f t="shared" si="22"/>
        <v>0</v>
      </c>
      <c r="AD329" s="416">
        <f t="shared" si="22"/>
        <v>0</v>
      </c>
      <c r="AE329" s="416">
        <f t="shared" si="22"/>
        <v>0</v>
      </c>
      <c r="AF329" s="416">
        <f t="shared" si="22"/>
        <v>0</v>
      </c>
      <c r="AG329" s="416">
        <f t="shared" si="22"/>
        <v>0</v>
      </c>
      <c r="AH329" s="416">
        <f t="shared" si="22"/>
        <v>0</v>
      </c>
      <c r="AI329" s="416">
        <f t="shared" si="22"/>
        <v>0</v>
      </c>
      <c r="AJ329" s="416">
        <f t="shared" si="22"/>
        <v>0</v>
      </c>
      <c r="AK329" s="416">
        <f t="shared" si="22"/>
        <v>0</v>
      </c>
      <c r="AL329" s="416">
        <f t="shared" si="22"/>
        <v>0</v>
      </c>
      <c r="AM329" s="416">
        <f t="shared" si="22"/>
        <v>0</v>
      </c>
      <c r="AN329" s="416">
        <f t="shared" si="22"/>
        <v>0</v>
      </c>
      <c r="AO329" s="416">
        <f t="shared" si="22"/>
        <v>0</v>
      </c>
      <c r="AP329" s="416">
        <f t="shared" si="22"/>
        <v>0</v>
      </c>
      <c r="AQ329" s="416">
        <f t="shared" si="22"/>
        <v>0</v>
      </c>
      <c r="AR329" s="416">
        <f t="shared" si="22"/>
        <v>0</v>
      </c>
      <c r="AS329" s="416">
        <f t="shared" si="22"/>
        <v>0</v>
      </c>
      <c r="AT329" s="416">
        <f t="shared" si="22"/>
        <v>0</v>
      </c>
      <c r="AU329" s="416">
        <f t="shared" si="22"/>
        <v>0</v>
      </c>
      <c r="AV329" s="416">
        <f t="shared" si="22"/>
        <v>0</v>
      </c>
      <c r="AW329" s="416">
        <f t="shared" si="22"/>
        <v>0</v>
      </c>
      <c r="AX329" s="416">
        <f t="shared" si="22"/>
        <v>0</v>
      </c>
      <c r="AY329" s="416">
        <f t="shared" si="22"/>
        <v>0</v>
      </c>
      <c r="AZ329" s="416">
        <f>SUM(T329:AY329)</f>
        <v>68400</v>
      </c>
    </row>
    <row r="330" spans="2:52">
      <c r="B330" s="1243" t="s">
        <v>558</v>
      </c>
      <c r="C330" s="1244"/>
      <c r="D330" s="1244"/>
      <c r="E330" s="1244"/>
      <c r="F330" s="1244"/>
      <c r="G330" s="1245"/>
      <c r="H330" s="420">
        <f>H329-L304</f>
        <v>0</v>
      </c>
      <c r="I330" s="294"/>
      <c r="J330" s="295"/>
      <c r="K330" s="295"/>
      <c r="L330" s="296"/>
      <c r="M330" s="32"/>
      <c r="N330" s="32"/>
      <c r="O330" s="32"/>
      <c r="P330" s="32"/>
      <c r="Q330" s="297"/>
      <c r="R330" s="297"/>
      <c r="S330" s="32"/>
      <c r="T330" s="48"/>
      <c r="U330" s="48"/>
      <c r="V330" s="48"/>
      <c r="W330" s="48"/>
      <c r="X330" s="48"/>
      <c r="Y330" s="48"/>
      <c r="Z330" s="48"/>
      <c r="AA330" s="48"/>
      <c r="AB330" s="48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</row>
    <row r="331" spans="2:52">
      <c r="B331" s="1243" t="s">
        <v>559</v>
      </c>
      <c r="C331" s="1244"/>
      <c r="D331" s="1244"/>
      <c r="E331" s="1244"/>
      <c r="F331" s="1244"/>
      <c r="G331" s="1245"/>
      <c r="H331" s="420">
        <v>4418.1850000000004</v>
      </c>
      <c r="I331" s="52"/>
      <c r="J331" s="53"/>
      <c r="K331" s="53"/>
      <c r="L331" s="54"/>
      <c r="M331" s="32"/>
      <c r="N331" s="201"/>
      <c r="O331" s="32"/>
      <c r="P331" s="32"/>
      <c r="Q331" s="32"/>
      <c r="R331" s="32"/>
      <c r="S331" s="32"/>
      <c r="T331" s="48"/>
      <c r="U331" s="48"/>
      <c r="V331" s="48"/>
      <c r="W331" s="48"/>
      <c r="X331" s="48"/>
      <c r="Y331" s="48"/>
      <c r="Z331" s="48"/>
      <c r="AA331" s="48"/>
      <c r="AB331" s="48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</row>
    <row r="332" spans="2:52">
      <c r="B332" s="1243" t="s">
        <v>560</v>
      </c>
      <c r="C332" s="1244"/>
      <c r="D332" s="1244"/>
      <c r="E332" s="1244"/>
      <c r="F332" s="1244"/>
      <c r="G332" s="1245"/>
      <c r="H332" s="421">
        <f>H331-4421.055</f>
        <v>-2.8699999999998909</v>
      </c>
      <c r="I332" s="255"/>
      <c r="J332" s="53"/>
      <c r="K332" s="53"/>
      <c r="L332" s="54"/>
      <c r="M332" s="32"/>
      <c r="N332" s="32"/>
      <c r="O332" s="32"/>
      <c r="P332" s="32"/>
      <c r="Q332" s="32"/>
      <c r="R332" s="32"/>
      <c r="S332" s="48"/>
      <c r="T332" s="48"/>
      <c r="U332" s="48"/>
      <c r="V332" s="48"/>
      <c r="W332" s="48"/>
      <c r="X332" s="48"/>
      <c r="Y332" s="48"/>
      <c r="Z332" s="48"/>
      <c r="AA332" s="48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</row>
    <row r="333" spans="2:52">
      <c r="B333" s="201"/>
      <c r="C333" s="201"/>
      <c r="D333" s="201"/>
      <c r="E333" s="201"/>
      <c r="F333" s="201"/>
      <c r="G333" s="201"/>
      <c r="H333" s="201"/>
      <c r="I333" s="213"/>
      <c r="J333" s="209"/>
      <c r="K333" s="209"/>
      <c r="L333" s="203"/>
      <c r="M333" s="201"/>
      <c r="N333" s="201"/>
      <c r="O333" s="209"/>
      <c r="P333" s="32"/>
      <c r="Q333" s="32"/>
      <c r="R333" s="32"/>
      <c r="S333" s="32"/>
      <c r="T333" s="48"/>
      <c r="U333" s="48"/>
      <c r="V333" s="48"/>
      <c r="W333" s="48"/>
      <c r="X333" s="48"/>
      <c r="Y333" s="48"/>
      <c r="Z333" s="48"/>
      <c r="AA333" s="48"/>
      <c r="AB333" s="48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</row>
    <row r="334" spans="2:52">
      <c r="B334" s="40" t="s">
        <v>561</v>
      </c>
      <c r="C334" s="40"/>
      <c r="D334" s="32"/>
      <c r="E334" s="32"/>
      <c r="F334" s="32"/>
      <c r="G334" s="32"/>
      <c r="H334" s="32"/>
      <c r="I334" s="32"/>
      <c r="J334" s="52"/>
      <c r="K334" s="52"/>
      <c r="L334" s="55"/>
      <c r="M334" s="32"/>
      <c r="N334" s="201"/>
      <c r="O334" s="5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  <c r="AA334" s="202"/>
      <c r="AB334" s="201"/>
      <c r="AC334" s="201"/>
      <c r="AD334" s="201"/>
      <c r="AE334" s="201"/>
      <c r="AF334" s="201"/>
      <c r="AG334" s="201"/>
      <c r="AH334" s="201"/>
      <c r="AI334" s="201"/>
      <c r="AJ334" s="201"/>
      <c r="AK334" s="201"/>
      <c r="AL334" s="201"/>
      <c r="AM334" s="201"/>
      <c r="AN334" s="201"/>
      <c r="AO334" s="201"/>
      <c r="AP334" s="201"/>
      <c r="AQ334" s="201"/>
      <c r="AR334" s="201"/>
      <c r="AS334" s="201"/>
      <c r="AT334" s="201"/>
      <c r="AU334" s="201"/>
      <c r="AZ334" s="201"/>
    </row>
    <row r="335" spans="2:52">
      <c r="B335" s="422">
        <v>1</v>
      </c>
      <c r="C335" s="1249" t="s">
        <v>906</v>
      </c>
      <c r="D335" s="1249"/>
      <c r="E335" s="1249"/>
      <c r="F335" s="1249"/>
      <c r="G335" s="1249"/>
      <c r="H335" s="1249"/>
      <c r="I335" s="1249"/>
      <c r="J335" s="1249"/>
      <c r="K335" s="1249"/>
      <c r="L335" s="203"/>
      <c r="M335" s="201"/>
      <c r="N335" s="201"/>
      <c r="O335" s="209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  <c r="AA335" s="202"/>
      <c r="AB335" s="201"/>
      <c r="AC335" s="201"/>
      <c r="AD335" s="201"/>
      <c r="AE335" s="201"/>
      <c r="AF335" s="201"/>
      <c r="AG335" s="201"/>
      <c r="AH335" s="201"/>
      <c r="AI335" s="201"/>
      <c r="AJ335" s="201"/>
      <c r="AK335" s="201"/>
      <c r="AL335" s="20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</row>
    <row r="337" spans="2:52">
      <c r="B337" s="28" t="s">
        <v>2</v>
      </c>
      <c r="C337" s="28"/>
      <c r="D337" s="29"/>
      <c r="E337" s="30" t="s">
        <v>511</v>
      </c>
      <c r="F337" s="31" t="s">
        <v>724</v>
      </c>
      <c r="G337" s="32"/>
      <c r="H337" s="33"/>
      <c r="I337" s="34"/>
      <c r="J337" s="35" t="s">
        <v>513</v>
      </c>
      <c r="K337" s="36" t="s">
        <v>511</v>
      </c>
      <c r="L337" s="37">
        <v>44982.522916666669</v>
      </c>
      <c r="M337" s="32"/>
      <c r="N337" s="32"/>
      <c r="O337" s="36"/>
      <c r="P337" s="33"/>
      <c r="Q337" s="48"/>
      <c r="R337" s="49"/>
      <c r="S337" s="38"/>
      <c r="T337" s="32"/>
      <c r="U337" s="32"/>
      <c r="V337" s="32"/>
      <c r="W337" s="32"/>
      <c r="X337" s="32"/>
      <c r="Y337" s="32"/>
      <c r="Z337" s="32"/>
      <c r="AA337" s="32"/>
      <c r="AB337" s="48"/>
      <c r="AC337" s="48"/>
      <c r="AD337" s="48"/>
      <c r="AE337" s="48"/>
      <c r="AF337" s="48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</row>
    <row r="338" spans="2:52">
      <c r="B338" s="35" t="s">
        <v>514</v>
      </c>
      <c r="C338" s="35"/>
      <c r="D338" s="32"/>
      <c r="E338" s="36" t="s">
        <v>511</v>
      </c>
      <c r="F338" s="37" t="s">
        <v>907</v>
      </c>
      <c r="G338" s="32"/>
      <c r="H338" s="33"/>
      <c r="I338" s="34"/>
      <c r="J338" s="35" t="s">
        <v>516</v>
      </c>
      <c r="K338" s="36" t="s">
        <v>511</v>
      </c>
      <c r="L338" s="37">
        <v>44983.955555555556</v>
      </c>
      <c r="M338" s="32"/>
      <c r="N338" s="32"/>
      <c r="O338" s="36"/>
      <c r="P338" s="33"/>
      <c r="Q338" s="48"/>
      <c r="R338" s="49"/>
      <c r="S338" s="38"/>
      <c r="T338" s="32"/>
      <c r="U338" s="32"/>
      <c r="V338" s="32"/>
      <c r="W338" s="32"/>
      <c r="X338" s="32"/>
      <c r="Y338" s="32"/>
      <c r="Z338" s="32"/>
      <c r="AA338" s="32"/>
      <c r="AB338" s="48"/>
      <c r="AC338" s="48"/>
      <c r="AD338" s="48"/>
      <c r="AE338" s="48"/>
      <c r="AF338" s="48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</row>
    <row r="339" spans="2:52">
      <c r="B339" s="35" t="s">
        <v>517</v>
      </c>
      <c r="C339" s="35"/>
      <c r="D339" s="32"/>
      <c r="E339" s="36" t="s">
        <v>511</v>
      </c>
      <c r="F339" s="37">
        <v>44977.520833333336</v>
      </c>
      <c r="G339" s="32"/>
      <c r="H339" s="33"/>
      <c r="I339" s="34"/>
      <c r="J339" s="35" t="s">
        <v>518</v>
      </c>
      <c r="K339" s="36" t="s">
        <v>511</v>
      </c>
      <c r="L339" s="50">
        <v>71467</v>
      </c>
      <c r="M339" s="40" t="s">
        <v>519</v>
      </c>
      <c r="N339" s="40"/>
      <c r="O339" s="36"/>
      <c r="P339" s="33"/>
      <c r="Q339" s="48"/>
      <c r="R339" s="49"/>
      <c r="S339" s="38"/>
      <c r="T339" s="32"/>
      <c r="U339" s="32"/>
      <c r="V339" s="32"/>
      <c r="W339" s="32"/>
      <c r="X339" s="32"/>
      <c r="Y339" s="32"/>
      <c r="Z339" s="32"/>
      <c r="AA339" s="32"/>
      <c r="AB339" s="48"/>
      <c r="AC339" s="48"/>
      <c r="AD339" s="48"/>
      <c r="AE339" s="48"/>
      <c r="AF339" s="48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</row>
    <row r="340" spans="2:52">
      <c r="B340" s="35" t="s">
        <v>520</v>
      </c>
      <c r="C340" s="35"/>
      <c r="D340" s="32"/>
      <c r="E340" s="36" t="s">
        <v>511</v>
      </c>
      <c r="F340" s="37" t="s">
        <v>20</v>
      </c>
      <c r="G340" s="32"/>
      <c r="H340" s="33"/>
      <c r="I340" s="34"/>
      <c r="J340" s="35" t="s">
        <v>521</v>
      </c>
      <c r="K340" s="36" t="s">
        <v>511</v>
      </c>
      <c r="L340" s="41" t="s">
        <v>908</v>
      </c>
      <c r="M340" s="32"/>
      <c r="N340" s="32"/>
      <c r="O340" s="36"/>
      <c r="P340" s="48"/>
      <c r="Q340" s="48"/>
      <c r="R340" s="49"/>
      <c r="S340" s="38"/>
      <c r="T340" s="32"/>
      <c r="U340" s="32"/>
      <c r="V340" s="32"/>
      <c r="W340" s="32"/>
      <c r="X340" s="32"/>
      <c r="Y340" s="32"/>
      <c r="Z340" s="32"/>
      <c r="AA340" s="32"/>
      <c r="AB340" s="48"/>
      <c r="AC340" s="48"/>
      <c r="AD340" s="48"/>
      <c r="AE340" s="48"/>
      <c r="AF340" s="48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</row>
    <row r="341" spans="2:52">
      <c r="B341" s="35" t="s">
        <v>523</v>
      </c>
      <c r="C341" s="35"/>
      <c r="D341" s="32"/>
      <c r="E341" s="36" t="s">
        <v>511</v>
      </c>
      <c r="F341" s="37" t="s">
        <v>47</v>
      </c>
      <c r="G341" s="32"/>
      <c r="H341" s="33"/>
      <c r="I341" s="34"/>
      <c r="J341" s="42" t="s">
        <v>524</v>
      </c>
      <c r="K341" s="36" t="s">
        <v>511</v>
      </c>
      <c r="L341" s="43" t="s">
        <v>15</v>
      </c>
      <c r="M341" s="44"/>
      <c r="N341" s="44"/>
      <c r="O341" s="36"/>
      <c r="P341" s="33"/>
      <c r="Q341" s="48"/>
      <c r="R341" s="49"/>
      <c r="S341" s="38"/>
      <c r="T341" s="32"/>
      <c r="U341" s="32"/>
      <c r="V341" s="32"/>
      <c r="W341" s="32"/>
      <c r="X341" s="32"/>
      <c r="Y341" s="32"/>
      <c r="Z341" s="32"/>
      <c r="AA341" s="32"/>
      <c r="AB341" s="48"/>
      <c r="AC341" s="48"/>
      <c r="AD341" s="48"/>
      <c r="AE341" s="48"/>
      <c r="AF341" s="48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</row>
    <row r="342" spans="2:52">
      <c r="B342" s="35" t="s">
        <v>2</v>
      </c>
      <c r="C342" s="35"/>
      <c r="D342" s="32"/>
      <c r="E342" s="36" t="s">
        <v>511</v>
      </c>
      <c r="F342" s="37" t="s">
        <v>18</v>
      </c>
      <c r="G342" s="32"/>
      <c r="H342" s="33"/>
      <c r="I342" s="45"/>
      <c r="J342" s="42"/>
      <c r="K342" s="36"/>
      <c r="L342" s="37"/>
      <c r="M342" s="32"/>
      <c r="N342" s="32"/>
      <c r="O342" s="42"/>
      <c r="P342" s="44"/>
      <c r="Q342" s="44"/>
      <c r="R342" s="44"/>
      <c r="S342" s="34"/>
      <c r="T342" s="32"/>
      <c r="U342" s="32"/>
      <c r="V342" s="32"/>
      <c r="W342" s="32"/>
      <c r="X342" s="32"/>
      <c r="Y342" s="32"/>
      <c r="Z342" s="32"/>
      <c r="AA342" s="32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</row>
    <row r="343" spans="2:52">
      <c r="B343" s="32"/>
      <c r="C343" s="32"/>
      <c r="D343" s="32"/>
      <c r="E343" s="32"/>
      <c r="F343" s="32"/>
      <c r="G343" s="32"/>
      <c r="H343" s="32"/>
      <c r="I343" s="45"/>
      <c r="J343" s="42"/>
      <c r="K343" s="42"/>
      <c r="L343" s="43"/>
      <c r="M343" s="44"/>
      <c r="N343" s="44"/>
      <c r="O343" s="42"/>
      <c r="P343" s="44"/>
      <c r="Q343" s="44"/>
      <c r="R343" s="44"/>
      <c r="S343" s="34"/>
      <c r="T343" s="1270" t="s">
        <v>87</v>
      </c>
      <c r="U343" s="1270"/>
      <c r="V343" s="1270"/>
      <c r="W343" s="1270"/>
      <c r="X343" s="1270"/>
      <c r="Y343" s="1270" t="s">
        <v>73</v>
      </c>
      <c r="Z343" s="1270"/>
      <c r="AA343" s="1270"/>
      <c r="AB343" s="1270" t="s">
        <v>74</v>
      </c>
      <c r="AC343" s="1270"/>
      <c r="AD343" s="407" t="s">
        <v>85</v>
      </c>
      <c r="AE343" s="407" t="s">
        <v>77</v>
      </c>
      <c r="AF343" s="1270" t="s">
        <v>525</v>
      </c>
      <c r="AG343" s="1270"/>
      <c r="AH343" s="1270"/>
      <c r="AI343" s="1270"/>
      <c r="AJ343" s="1270"/>
      <c r="AK343" s="1270"/>
      <c r="AL343" s="1270"/>
      <c r="AM343" s="1270"/>
      <c r="AN343" s="1270"/>
      <c r="AO343" s="1270"/>
      <c r="AP343" s="1270"/>
      <c r="AQ343" s="1270"/>
      <c r="AR343" s="1270"/>
      <c r="AS343" s="1270"/>
      <c r="AT343" s="1270"/>
      <c r="AU343" s="1270"/>
      <c r="AV343" s="1270"/>
      <c r="AW343" s="1270"/>
      <c r="AX343" s="1270"/>
      <c r="AY343" s="1270"/>
      <c r="AZ343" s="32"/>
    </row>
    <row r="344" spans="2:52">
      <c r="B344" s="1266" t="s">
        <v>526</v>
      </c>
      <c r="C344" s="1267"/>
      <c r="D344" s="570" t="s">
        <v>527</v>
      </c>
      <c r="E344" s="570"/>
      <c r="F344" s="570" t="s">
        <v>528</v>
      </c>
      <c r="G344" s="570" t="s">
        <v>529</v>
      </c>
      <c r="H344" s="570" t="s">
        <v>530</v>
      </c>
      <c r="I344" s="570" t="s">
        <v>531</v>
      </c>
      <c r="J344" s="570" t="s">
        <v>532</v>
      </c>
      <c r="K344" s="570"/>
      <c r="L344" s="570" t="s">
        <v>130</v>
      </c>
      <c r="M344" s="570" t="s">
        <v>533</v>
      </c>
      <c r="N344" s="408" t="str">
        <f>"On time - "&amp;COUNTIF(N345:N354,"On time")&amp;" from "&amp;ROWS(N345:N354)-COUNTIF(N345:N354," ")</f>
        <v>On time - 1 from 9</v>
      </c>
      <c r="O344" s="46"/>
      <c r="P344" s="409" t="s">
        <v>534</v>
      </c>
      <c r="Q344" s="409" t="s">
        <v>535</v>
      </c>
      <c r="R344" s="409" t="s">
        <v>903</v>
      </c>
      <c r="S344" s="32"/>
      <c r="T344" s="410" t="s">
        <v>537</v>
      </c>
      <c r="U344" s="410" t="s">
        <v>538</v>
      </c>
      <c r="V344" s="410" t="s">
        <v>539</v>
      </c>
      <c r="W344" s="410" t="s">
        <v>540</v>
      </c>
      <c r="X344" s="410" t="s">
        <v>541</v>
      </c>
      <c r="Y344" s="410" t="s">
        <v>167</v>
      </c>
      <c r="Z344" s="410" t="s">
        <v>168</v>
      </c>
      <c r="AA344" s="410" t="s">
        <v>169</v>
      </c>
      <c r="AB344" s="410" t="s">
        <v>235</v>
      </c>
      <c r="AC344" s="410" t="s">
        <v>542</v>
      </c>
      <c r="AD344" s="407" t="s">
        <v>85</v>
      </c>
      <c r="AE344" s="410" t="s">
        <v>139</v>
      </c>
      <c r="AF344" s="410" t="s">
        <v>72</v>
      </c>
      <c r="AG344" s="410" t="s">
        <v>88</v>
      </c>
      <c r="AH344" s="410" t="s">
        <v>75</v>
      </c>
      <c r="AI344" s="410" t="s">
        <v>543</v>
      </c>
      <c r="AJ344" s="410" t="s">
        <v>78</v>
      </c>
      <c r="AK344" s="410" t="s">
        <v>76</v>
      </c>
      <c r="AL344" s="410" t="s">
        <v>544</v>
      </c>
      <c r="AM344" s="410" t="s">
        <v>545</v>
      </c>
      <c r="AN344" s="410" t="s">
        <v>86</v>
      </c>
      <c r="AO344" s="410" t="s">
        <v>83</v>
      </c>
      <c r="AP344" s="410" t="s">
        <v>84</v>
      </c>
      <c r="AQ344" s="410" t="s">
        <v>546</v>
      </c>
      <c r="AR344" s="410" t="s">
        <v>81</v>
      </c>
      <c r="AS344" s="410" t="s">
        <v>80</v>
      </c>
      <c r="AT344" s="410" t="s">
        <v>82</v>
      </c>
      <c r="AU344" s="410" t="s">
        <v>181</v>
      </c>
      <c r="AV344" s="410" t="s">
        <v>183</v>
      </c>
      <c r="AW344" s="410" t="s">
        <v>547</v>
      </c>
      <c r="AX344" s="410" t="s">
        <v>182</v>
      </c>
      <c r="AY344" s="410" t="s">
        <v>172</v>
      </c>
      <c r="AZ344" s="32"/>
    </row>
    <row r="345" spans="2:52">
      <c r="B345" s="1256">
        <v>1</v>
      </c>
      <c r="C345" s="1257"/>
      <c r="D345" s="411" t="s">
        <v>778</v>
      </c>
      <c r="E345" s="411"/>
      <c r="F345" s="411" t="s">
        <v>304</v>
      </c>
      <c r="G345" s="411" t="s">
        <v>305</v>
      </c>
      <c r="H345" s="412">
        <v>7500</v>
      </c>
      <c r="I345" s="413" t="s">
        <v>76</v>
      </c>
      <c r="J345" s="414">
        <v>44977.083333333336</v>
      </c>
      <c r="K345" s="414"/>
      <c r="L345" s="414" t="s">
        <v>192</v>
      </c>
      <c r="M345" s="414" t="s">
        <v>192</v>
      </c>
      <c r="N345" s="413" t="str">
        <f t="shared" ref="N345:N353" si="23">IF(ISBLANK(J345)," ",IF(J345&lt;$F$339,"On time",(IF(DAY(J345-$F$339)&lt;1,"On time",(IF(J345&gt;$F$339,"DELAY ( "&amp;DAY(J345-$F$339)&amp;" day "&amp;HOUR(J345-$F$339)&amp;" hour "&amp;MINUTE(J345-$F$339)&amp;" minute )","xxx"))))))</f>
        <v>On time</v>
      </c>
      <c r="O345" s="51"/>
      <c r="P345" s="415" t="s">
        <v>551</v>
      </c>
      <c r="Q345" s="415" t="s">
        <v>551</v>
      </c>
      <c r="R345" s="415" t="s">
        <v>551</v>
      </c>
      <c r="S345" s="32"/>
      <c r="T345" s="416"/>
      <c r="U345" s="416"/>
      <c r="V345" s="416"/>
      <c r="W345" s="416"/>
      <c r="X345" s="416"/>
      <c r="Y345" s="416"/>
      <c r="Z345" s="416"/>
      <c r="AA345" s="416"/>
      <c r="AB345" s="416"/>
      <c r="AC345" s="416"/>
      <c r="AD345" s="416"/>
      <c r="AE345" s="416"/>
      <c r="AF345" s="416"/>
      <c r="AG345" s="416"/>
      <c r="AH345" s="416"/>
      <c r="AI345" s="416"/>
      <c r="AJ345" s="416"/>
      <c r="AK345" s="416">
        <f>H345</f>
        <v>7500</v>
      </c>
      <c r="AL345" s="416"/>
      <c r="AM345" s="416"/>
      <c r="AN345" s="416"/>
      <c r="AO345" s="416"/>
      <c r="AP345" s="416"/>
      <c r="AQ345" s="416"/>
      <c r="AR345" s="416"/>
      <c r="AS345" s="416"/>
      <c r="AT345" s="416"/>
      <c r="AU345" s="416"/>
      <c r="AV345" s="416"/>
      <c r="AW345" s="416"/>
      <c r="AX345" s="416"/>
      <c r="AY345" s="416"/>
      <c r="AZ345" s="32"/>
    </row>
    <row r="346" spans="2:52">
      <c r="B346" s="1256">
        <v>2</v>
      </c>
      <c r="C346" s="1257"/>
      <c r="D346" s="411" t="s">
        <v>732</v>
      </c>
      <c r="E346" s="411"/>
      <c r="F346" s="411" t="s">
        <v>260</v>
      </c>
      <c r="G346" s="411" t="s">
        <v>261</v>
      </c>
      <c r="H346" s="412">
        <v>7688.3919999999998</v>
      </c>
      <c r="I346" s="413" t="s">
        <v>581</v>
      </c>
      <c r="J346" s="414">
        <v>44979.333333333336</v>
      </c>
      <c r="K346" s="414"/>
      <c r="L346" s="414" t="s">
        <v>192</v>
      </c>
      <c r="M346" s="414" t="s">
        <v>192</v>
      </c>
      <c r="N346" s="413" t="str">
        <f t="shared" si="23"/>
        <v>DELAY ( 1 day 19 hour 30 minute )</v>
      </c>
      <c r="O346" s="51"/>
      <c r="P346" s="415" t="s">
        <v>551</v>
      </c>
      <c r="Q346" s="415" t="s">
        <v>551</v>
      </c>
      <c r="R346" s="415" t="s">
        <v>551</v>
      </c>
      <c r="S346" s="32"/>
      <c r="T346" s="416"/>
      <c r="U346" s="416"/>
      <c r="V346" s="416"/>
      <c r="W346" s="416"/>
      <c r="X346" s="416"/>
      <c r="Y346" s="416"/>
      <c r="Z346" s="416"/>
      <c r="AA346" s="416"/>
      <c r="AB346" s="416">
        <f t="shared" ref="AB346:AB353" si="24">H346*0.7</f>
        <v>5381.8743999999997</v>
      </c>
      <c r="AC346" s="416">
        <f t="shared" ref="AC346:AC353" si="25">H346*0.3</f>
        <v>2306.5175999999997</v>
      </c>
      <c r="AD346" s="416"/>
      <c r="AE346" s="416"/>
      <c r="AF346" s="416"/>
      <c r="AG346" s="416"/>
      <c r="AH346" s="416"/>
      <c r="AI346" s="416"/>
      <c r="AJ346" s="416"/>
      <c r="AK346" s="416"/>
      <c r="AL346" s="416"/>
      <c r="AM346" s="416"/>
      <c r="AN346" s="416"/>
      <c r="AO346" s="416"/>
      <c r="AP346" s="416"/>
      <c r="AQ346" s="416"/>
      <c r="AR346" s="416"/>
      <c r="AS346" s="416"/>
      <c r="AT346" s="416"/>
      <c r="AU346" s="416"/>
      <c r="AV346" s="416"/>
      <c r="AW346" s="416"/>
      <c r="AX346" s="416"/>
      <c r="AY346" s="416"/>
      <c r="AZ346" s="32"/>
    </row>
    <row r="347" spans="2:52">
      <c r="B347" s="1256">
        <v>3</v>
      </c>
      <c r="C347" s="1257"/>
      <c r="D347" s="411" t="s">
        <v>736</v>
      </c>
      <c r="E347" s="411"/>
      <c r="F347" s="411" t="s">
        <v>226</v>
      </c>
      <c r="G347" s="411" t="s">
        <v>227</v>
      </c>
      <c r="H347" s="412">
        <v>7367.8410000000003</v>
      </c>
      <c r="I347" s="413" t="s">
        <v>581</v>
      </c>
      <c r="J347" s="414">
        <v>44979.395833333336</v>
      </c>
      <c r="K347" s="414"/>
      <c r="L347" s="414" t="s">
        <v>192</v>
      </c>
      <c r="M347" s="414" t="s">
        <v>192</v>
      </c>
      <c r="N347" s="413" t="str">
        <f t="shared" si="23"/>
        <v>DELAY ( 1 day 21 hour 0 minute )</v>
      </c>
      <c r="O347" s="51"/>
      <c r="P347" s="415" t="s">
        <v>551</v>
      </c>
      <c r="Q347" s="415" t="s">
        <v>551</v>
      </c>
      <c r="R347" s="415" t="s">
        <v>551</v>
      </c>
      <c r="S347" s="32"/>
      <c r="T347" s="416"/>
      <c r="U347" s="416"/>
      <c r="V347" s="416"/>
      <c r="W347" s="416"/>
      <c r="X347" s="416"/>
      <c r="Y347" s="416"/>
      <c r="Z347" s="416"/>
      <c r="AA347" s="416"/>
      <c r="AB347" s="416">
        <f t="shared" si="24"/>
        <v>5157.4886999999999</v>
      </c>
      <c r="AC347" s="416">
        <f t="shared" si="25"/>
        <v>2210.3523</v>
      </c>
      <c r="AD347" s="416"/>
      <c r="AE347" s="416"/>
      <c r="AF347" s="416"/>
      <c r="AG347" s="416"/>
      <c r="AH347" s="416"/>
      <c r="AI347" s="416"/>
      <c r="AJ347" s="416"/>
      <c r="AK347" s="416"/>
      <c r="AL347" s="416"/>
      <c r="AM347" s="416"/>
      <c r="AN347" s="416"/>
      <c r="AO347" s="416"/>
      <c r="AP347" s="416"/>
      <c r="AQ347" s="416"/>
      <c r="AR347" s="416"/>
      <c r="AS347" s="416"/>
      <c r="AT347" s="416"/>
      <c r="AU347" s="416"/>
      <c r="AV347" s="416"/>
      <c r="AW347" s="416"/>
      <c r="AX347" s="416"/>
      <c r="AY347" s="416"/>
      <c r="AZ347" s="32"/>
    </row>
    <row r="348" spans="2:52">
      <c r="B348" s="1256">
        <v>4</v>
      </c>
      <c r="C348" s="1257"/>
      <c r="D348" s="411" t="s">
        <v>725</v>
      </c>
      <c r="E348" s="411"/>
      <c r="F348" s="411" t="s">
        <v>374</v>
      </c>
      <c r="G348" s="411" t="s">
        <v>375</v>
      </c>
      <c r="H348" s="412">
        <v>7501.4859999999999</v>
      </c>
      <c r="I348" s="413" t="s">
        <v>581</v>
      </c>
      <c r="J348" s="414">
        <v>44980.767361111109</v>
      </c>
      <c r="K348" s="414"/>
      <c r="L348" s="414" t="s">
        <v>192</v>
      </c>
      <c r="M348" s="414" t="s">
        <v>192</v>
      </c>
      <c r="N348" s="413" t="str">
        <f t="shared" si="23"/>
        <v>DELAY ( 3 day 5 hour 55 minute )</v>
      </c>
      <c r="O348" s="51"/>
      <c r="P348" s="415" t="s">
        <v>551</v>
      </c>
      <c r="Q348" s="415" t="s">
        <v>551</v>
      </c>
      <c r="R348" s="415" t="s">
        <v>551</v>
      </c>
      <c r="S348" s="32"/>
      <c r="T348" s="416"/>
      <c r="U348" s="416"/>
      <c r="V348" s="416"/>
      <c r="W348" s="416"/>
      <c r="X348" s="416"/>
      <c r="Y348" s="416"/>
      <c r="Z348" s="416"/>
      <c r="AA348" s="416"/>
      <c r="AB348" s="416">
        <f t="shared" si="24"/>
        <v>5251.0401999999995</v>
      </c>
      <c r="AC348" s="416">
        <f t="shared" si="25"/>
        <v>2250.4458</v>
      </c>
      <c r="AD348" s="416"/>
      <c r="AE348" s="416"/>
      <c r="AF348" s="416"/>
      <c r="AG348" s="416"/>
      <c r="AH348" s="416"/>
      <c r="AI348" s="416"/>
      <c r="AJ348" s="416"/>
      <c r="AK348" s="416"/>
      <c r="AL348" s="416"/>
      <c r="AM348" s="416"/>
      <c r="AN348" s="416"/>
      <c r="AO348" s="416"/>
      <c r="AP348" s="416"/>
      <c r="AQ348" s="416"/>
      <c r="AR348" s="416"/>
      <c r="AS348" s="416"/>
      <c r="AT348" s="416"/>
      <c r="AU348" s="416"/>
      <c r="AV348" s="416"/>
      <c r="AW348" s="416"/>
      <c r="AX348" s="416"/>
      <c r="AY348" s="416"/>
      <c r="AZ348" s="32"/>
    </row>
    <row r="349" spans="2:52">
      <c r="B349" s="1256">
        <v>5</v>
      </c>
      <c r="C349" s="1257"/>
      <c r="D349" s="411" t="s">
        <v>735</v>
      </c>
      <c r="E349" s="411"/>
      <c r="F349" s="411" t="s">
        <v>307</v>
      </c>
      <c r="G349" s="411" t="s">
        <v>308</v>
      </c>
      <c r="H349" s="412">
        <v>7535.1040000000003</v>
      </c>
      <c r="I349" s="413" t="s">
        <v>581</v>
      </c>
      <c r="J349" s="414">
        <v>44979.375</v>
      </c>
      <c r="K349" s="414"/>
      <c r="L349" s="414" t="s">
        <v>192</v>
      </c>
      <c r="M349" s="414" t="s">
        <v>192</v>
      </c>
      <c r="N349" s="413" t="str">
        <f t="shared" si="23"/>
        <v>DELAY ( 1 day 20 hour 30 minute )</v>
      </c>
      <c r="O349" s="51"/>
      <c r="P349" s="415" t="s">
        <v>551</v>
      </c>
      <c r="Q349" s="415" t="s">
        <v>551</v>
      </c>
      <c r="R349" s="415" t="s">
        <v>551</v>
      </c>
      <c r="S349" s="32"/>
      <c r="T349" s="416"/>
      <c r="U349" s="416"/>
      <c r="V349" s="416"/>
      <c r="W349" s="416"/>
      <c r="X349" s="416"/>
      <c r="Y349" s="416"/>
      <c r="Z349" s="416"/>
      <c r="AA349" s="416"/>
      <c r="AB349" s="416">
        <f t="shared" si="24"/>
        <v>5274.5727999999999</v>
      </c>
      <c r="AC349" s="416">
        <f t="shared" si="25"/>
        <v>2260.5311999999999</v>
      </c>
      <c r="AD349" s="416"/>
      <c r="AE349" s="416"/>
      <c r="AF349" s="416"/>
      <c r="AG349" s="416"/>
      <c r="AH349" s="416"/>
      <c r="AI349" s="416"/>
      <c r="AJ349" s="416"/>
      <c r="AK349" s="416"/>
      <c r="AL349" s="416"/>
      <c r="AM349" s="416"/>
      <c r="AN349" s="416"/>
      <c r="AO349" s="416"/>
      <c r="AP349" s="416"/>
      <c r="AQ349" s="416"/>
      <c r="AR349" s="416"/>
      <c r="AS349" s="416"/>
      <c r="AT349" s="416"/>
      <c r="AU349" s="416"/>
      <c r="AV349" s="416"/>
      <c r="AW349" s="416"/>
      <c r="AX349" s="416"/>
      <c r="AY349" s="416"/>
      <c r="AZ349" s="32"/>
    </row>
    <row r="350" spans="2:52">
      <c r="B350" s="1256">
        <v>6</v>
      </c>
      <c r="C350" s="1257"/>
      <c r="D350" s="411" t="s">
        <v>737</v>
      </c>
      <c r="E350" s="411"/>
      <c r="F350" s="411" t="s">
        <v>361</v>
      </c>
      <c r="G350" s="411" t="s">
        <v>362</v>
      </c>
      <c r="H350" s="412">
        <v>7529.2740000000003</v>
      </c>
      <c r="I350" s="413" t="s">
        <v>581</v>
      </c>
      <c r="J350" s="414">
        <v>44980.989583333336</v>
      </c>
      <c r="K350" s="414"/>
      <c r="L350" s="414" t="s">
        <v>192</v>
      </c>
      <c r="M350" s="414" t="s">
        <v>192</v>
      </c>
      <c r="N350" s="413" t="str">
        <f t="shared" si="23"/>
        <v>DELAY ( 3 day 11 hour 15 minute )</v>
      </c>
      <c r="O350" s="51"/>
      <c r="P350" s="415" t="s">
        <v>551</v>
      </c>
      <c r="Q350" s="415" t="s">
        <v>551</v>
      </c>
      <c r="R350" s="415" t="s">
        <v>551</v>
      </c>
      <c r="S350" s="32"/>
      <c r="T350" s="416"/>
      <c r="U350" s="416"/>
      <c r="V350" s="416"/>
      <c r="W350" s="416"/>
      <c r="X350" s="416"/>
      <c r="Y350" s="416"/>
      <c r="Z350" s="416"/>
      <c r="AA350" s="416"/>
      <c r="AB350" s="416">
        <f t="shared" si="24"/>
        <v>5270.4917999999998</v>
      </c>
      <c r="AC350" s="416">
        <f t="shared" si="25"/>
        <v>2258.7822000000001</v>
      </c>
      <c r="AD350" s="416"/>
      <c r="AE350" s="416"/>
      <c r="AF350" s="416"/>
      <c r="AG350" s="416"/>
      <c r="AH350" s="416"/>
      <c r="AI350" s="416"/>
      <c r="AJ350" s="416"/>
      <c r="AK350" s="416"/>
      <c r="AL350" s="416"/>
      <c r="AM350" s="416"/>
      <c r="AN350" s="416"/>
      <c r="AO350" s="416"/>
      <c r="AP350" s="416"/>
      <c r="AQ350" s="416"/>
      <c r="AR350" s="416"/>
      <c r="AS350" s="416"/>
      <c r="AT350" s="416"/>
      <c r="AU350" s="416"/>
      <c r="AV350" s="416"/>
      <c r="AW350" s="416"/>
      <c r="AX350" s="416"/>
      <c r="AY350" s="416"/>
      <c r="AZ350" s="32"/>
    </row>
    <row r="351" spans="2:52">
      <c r="B351" s="1256">
        <v>7</v>
      </c>
      <c r="C351" s="1257"/>
      <c r="D351" s="411" t="s">
        <v>740</v>
      </c>
      <c r="E351" s="411"/>
      <c r="F351" s="411" t="s">
        <v>489</v>
      </c>
      <c r="G351" s="411" t="s">
        <v>483</v>
      </c>
      <c r="H351" s="412">
        <v>7406.11</v>
      </c>
      <c r="I351" s="413" t="s">
        <v>581</v>
      </c>
      <c r="J351" s="414">
        <v>44980.996527777781</v>
      </c>
      <c r="K351" s="414"/>
      <c r="L351" s="414" t="s">
        <v>192</v>
      </c>
      <c r="M351" s="414" t="s">
        <v>192</v>
      </c>
      <c r="N351" s="413" t="str">
        <f t="shared" si="23"/>
        <v>DELAY ( 3 day 11 hour 25 minute )</v>
      </c>
      <c r="O351" s="51"/>
      <c r="P351" s="415" t="s">
        <v>551</v>
      </c>
      <c r="Q351" s="415" t="s">
        <v>551</v>
      </c>
      <c r="R351" s="415" t="s">
        <v>551</v>
      </c>
      <c r="S351" s="32"/>
      <c r="T351" s="416"/>
      <c r="U351" s="416"/>
      <c r="V351" s="416"/>
      <c r="W351" s="416"/>
      <c r="X351" s="416"/>
      <c r="Y351" s="416"/>
      <c r="Z351" s="416"/>
      <c r="AA351" s="416"/>
      <c r="AB351" s="416">
        <f t="shared" si="24"/>
        <v>5184.2769999999991</v>
      </c>
      <c r="AC351" s="416">
        <f t="shared" si="25"/>
        <v>2221.8329999999996</v>
      </c>
      <c r="AD351" s="416"/>
      <c r="AE351" s="416"/>
      <c r="AF351" s="416"/>
      <c r="AG351" s="416"/>
      <c r="AH351" s="416"/>
      <c r="AI351" s="416"/>
      <c r="AJ351" s="416"/>
      <c r="AK351" s="416"/>
      <c r="AL351" s="416"/>
      <c r="AM351" s="416"/>
      <c r="AN351" s="416"/>
      <c r="AO351" s="416"/>
      <c r="AP351" s="416"/>
      <c r="AQ351" s="416"/>
      <c r="AR351" s="416"/>
      <c r="AS351" s="416"/>
      <c r="AT351" s="416"/>
      <c r="AU351" s="416"/>
      <c r="AV351" s="416"/>
      <c r="AW351" s="416"/>
      <c r="AX351" s="416"/>
      <c r="AY351" s="416"/>
      <c r="AZ351" s="32"/>
    </row>
    <row r="352" spans="2:52">
      <c r="B352" s="1256">
        <v>8</v>
      </c>
      <c r="C352" s="1257"/>
      <c r="D352" s="411" t="s">
        <v>728</v>
      </c>
      <c r="E352" s="411"/>
      <c r="F352" s="411" t="s">
        <v>429</v>
      </c>
      <c r="G352" s="411" t="s">
        <v>430</v>
      </c>
      <c r="H352" s="412">
        <v>7742.6239999999998</v>
      </c>
      <c r="I352" s="413" t="s">
        <v>581</v>
      </c>
      <c r="J352" s="414">
        <v>44981.322916666664</v>
      </c>
      <c r="K352" s="414"/>
      <c r="L352" s="414" t="s">
        <v>192</v>
      </c>
      <c r="M352" s="414" t="s">
        <v>192</v>
      </c>
      <c r="N352" s="413" t="str">
        <f t="shared" si="23"/>
        <v>DELAY ( 3 day 19 hour 15 minute )</v>
      </c>
      <c r="O352" s="51"/>
      <c r="P352" s="415" t="s">
        <v>551</v>
      </c>
      <c r="Q352" s="415" t="s">
        <v>551</v>
      </c>
      <c r="R352" s="415" t="s">
        <v>551</v>
      </c>
      <c r="S352" s="32"/>
      <c r="T352" s="416"/>
      <c r="U352" s="416"/>
      <c r="V352" s="416"/>
      <c r="W352" s="416"/>
      <c r="X352" s="416"/>
      <c r="Y352" s="416"/>
      <c r="Z352" s="416"/>
      <c r="AA352" s="416"/>
      <c r="AB352" s="416">
        <f t="shared" si="24"/>
        <v>5419.8367999999991</v>
      </c>
      <c r="AC352" s="416">
        <f t="shared" si="25"/>
        <v>2322.7871999999998</v>
      </c>
      <c r="AD352" s="416"/>
      <c r="AE352" s="416"/>
      <c r="AF352" s="416"/>
      <c r="AG352" s="416"/>
      <c r="AH352" s="416"/>
      <c r="AI352" s="416"/>
      <c r="AJ352" s="416"/>
      <c r="AK352" s="416"/>
      <c r="AL352" s="416"/>
      <c r="AM352" s="416"/>
      <c r="AN352" s="416"/>
      <c r="AO352" s="416"/>
      <c r="AP352" s="416"/>
      <c r="AQ352" s="416"/>
      <c r="AR352" s="416"/>
      <c r="AS352" s="416"/>
      <c r="AT352" s="416"/>
      <c r="AU352" s="416"/>
      <c r="AV352" s="416"/>
      <c r="AW352" s="416"/>
      <c r="AX352" s="416"/>
      <c r="AY352" s="416"/>
      <c r="AZ352" s="32"/>
    </row>
    <row r="353" spans="2:52">
      <c r="B353" s="1256">
        <v>9</v>
      </c>
      <c r="C353" s="1257"/>
      <c r="D353" s="411" t="s">
        <v>739</v>
      </c>
      <c r="E353" s="411"/>
      <c r="F353" s="411" t="s">
        <v>352</v>
      </c>
      <c r="G353" s="411" t="s">
        <v>353</v>
      </c>
      <c r="H353" s="412">
        <v>9018.7090000000007</v>
      </c>
      <c r="I353" s="413" t="s">
        <v>581</v>
      </c>
      <c r="J353" s="414">
        <v>44982.770833333336</v>
      </c>
      <c r="K353" s="414"/>
      <c r="L353" s="414" t="s">
        <v>192</v>
      </c>
      <c r="M353" s="414" t="s">
        <v>192</v>
      </c>
      <c r="N353" s="413" t="str">
        <f t="shared" si="23"/>
        <v>DELAY ( 5 day 6 hour 0 minute )</v>
      </c>
      <c r="O353" s="51"/>
      <c r="P353" s="415" t="s">
        <v>551</v>
      </c>
      <c r="Q353" s="415" t="s">
        <v>551</v>
      </c>
      <c r="R353" s="415" t="s">
        <v>551</v>
      </c>
      <c r="S353" s="32"/>
      <c r="T353" s="416"/>
      <c r="U353" s="416"/>
      <c r="V353" s="416"/>
      <c r="W353" s="416"/>
      <c r="X353" s="416"/>
      <c r="Y353" s="416"/>
      <c r="Z353" s="416"/>
      <c r="AA353" s="416"/>
      <c r="AB353" s="416">
        <f t="shared" si="24"/>
        <v>6313.0963000000002</v>
      </c>
      <c r="AC353" s="416">
        <f t="shared" si="25"/>
        <v>2705.6127000000001</v>
      </c>
      <c r="AD353" s="416"/>
      <c r="AE353" s="416"/>
      <c r="AF353" s="416"/>
      <c r="AG353" s="416"/>
      <c r="AH353" s="416"/>
      <c r="AI353" s="416"/>
      <c r="AJ353" s="416"/>
      <c r="AK353" s="416"/>
      <c r="AL353" s="416"/>
      <c r="AM353" s="416"/>
      <c r="AN353" s="416"/>
      <c r="AO353" s="416"/>
      <c r="AP353" s="416"/>
      <c r="AQ353" s="416"/>
      <c r="AR353" s="416"/>
      <c r="AS353" s="416"/>
      <c r="AT353" s="416"/>
      <c r="AU353" s="416"/>
      <c r="AV353" s="416"/>
      <c r="AW353" s="416"/>
      <c r="AX353" s="416"/>
      <c r="AY353" s="416"/>
      <c r="AZ353" s="32"/>
    </row>
    <row r="354" spans="2:52">
      <c r="B354" s="1256" t="s">
        <v>610</v>
      </c>
      <c r="C354" s="1276"/>
      <c r="D354" s="1276"/>
      <c r="E354" s="1276"/>
      <c r="F354" s="1276"/>
      <c r="G354" s="1257"/>
      <c r="H354" s="412">
        <f>H356-SUM(H345:H353)</f>
        <v>2177.4599999999919</v>
      </c>
      <c r="I354" s="413" t="s">
        <v>611</v>
      </c>
      <c r="J354" s="414"/>
      <c r="K354" s="414"/>
      <c r="L354" s="414"/>
      <c r="M354" s="414"/>
      <c r="N354" s="413" t="str">
        <f>IF(ISBLANK(J354)," ",IF(J354&lt;$F$4,"On time",(IF(DAY(J354-$F$4)&lt;1,"On time",(IF(J354&gt;$F$4,"DELAY ( "&amp;DAY(J354-$F$4)&amp;" day "&amp;HOUR(J354-$F$4)&amp;" hour "&amp;MINUTE(J354-$F$4)&amp;" minute )","xxx"))))))</f>
        <v xml:space="preserve"> </v>
      </c>
      <c r="O354" s="51"/>
      <c r="P354" s="415" t="s">
        <v>551</v>
      </c>
      <c r="Q354" s="415"/>
      <c r="R354" s="415"/>
      <c r="S354" s="32"/>
      <c r="T354" s="416">
        <f>H354</f>
        <v>2177.4599999999919</v>
      </c>
      <c r="U354" s="416"/>
      <c r="V354" s="416"/>
      <c r="W354" s="416"/>
      <c r="X354" s="416"/>
      <c r="Y354" s="416"/>
      <c r="Z354" s="416"/>
      <c r="AA354" s="416"/>
      <c r="AB354" s="416"/>
      <c r="AC354" s="416"/>
      <c r="AD354" s="416"/>
      <c r="AE354" s="416"/>
      <c r="AF354" s="416"/>
      <c r="AG354" s="416"/>
      <c r="AH354" s="416"/>
      <c r="AI354" s="416"/>
      <c r="AJ354" s="416"/>
      <c r="AK354" s="416"/>
      <c r="AL354" s="416"/>
      <c r="AM354" s="416"/>
      <c r="AN354" s="416"/>
      <c r="AO354" s="416"/>
      <c r="AP354" s="416"/>
      <c r="AQ354" s="416"/>
      <c r="AR354" s="416"/>
      <c r="AS354" s="416"/>
      <c r="AT354" s="416"/>
      <c r="AU354" s="416"/>
      <c r="AV354" s="416"/>
      <c r="AW354" s="416"/>
      <c r="AX354" s="416"/>
      <c r="AY354" s="416"/>
      <c r="AZ354" s="32"/>
    </row>
    <row r="355" spans="2:52">
      <c r="B355" s="1258" t="s">
        <v>556</v>
      </c>
      <c r="C355" s="1259"/>
      <c r="D355" s="1259"/>
      <c r="E355" s="1259"/>
      <c r="F355" s="1259"/>
      <c r="G355" s="1260"/>
      <c r="H355" s="417">
        <f>SUM(H345:H354)</f>
        <v>71467</v>
      </c>
      <c r="I355" s="388"/>
      <c r="J355" s="293"/>
      <c r="K355" s="293"/>
      <c r="L355" s="293"/>
      <c r="M355" s="389"/>
      <c r="N355" s="413" t="str">
        <f>IF(ISBLANK(J355)," ",IF(J355&lt;$F$4,"On time",(IF(DAY(J355-$F$4)&lt;1,"On time",(IF(J355&gt;$F$4,"DELAY ( "&amp;DAY(J355-$F$4)&amp;" day "&amp;HOUR(J355-$F$4)&amp;" hour "&amp;MINUTE(J355-$F$4)&amp;" minute )","xxx"))))))</f>
        <v xml:space="preserve"> </v>
      </c>
      <c r="O355" s="47"/>
      <c r="P355" s="418"/>
      <c r="Q355" s="418"/>
      <c r="R355" s="418"/>
      <c r="S355" s="32"/>
      <c r="T355" s="1262"/>
      <c r="U355" s="1263"/>
      <c r="V355" s="1263"/>
      <c r="W355" s="1263"/>
      <c r="X355" s="1263"/>
      <c r="Y355" s="1263"/>
      <c r="Z355" s="1263"/>
      <c r="AA355" s="1263"/>
      <c r="AB355" s="1263"/>
      <c r="AC355" s="1263"/>
      <c r="AD355" s="1263"/>
      <c r="AE355" s="1263"/>
      <c r="AF355" s="1263"/>
      <c r="AG355" s="1263"/>
      <c r="AH355" s="1263"/>
      <c r="AI355" s="1263"/>
      <c r="AJ355" s="1263"/>
      <c r="AK355" s="1263"/>
      <c r="AL355" s="1263"/>
      <c r="AM355" s="1263"/>
      <c r="AN355" s="1263"/>
      <c r="AO355" s="1263"/>
      <c r="AP355" s="1263"/>
      <c r="AQ355" s="1263"/>
      <c r="AR355" s="1263"/>
      <c r="AS355" s="1263"/>
      <c r="AT355" s="1263"/>
      <c r="AU355" s="1263"/>
      <c r="AV355" s="1263"/>
      <c r="AW355" s="1263"/>
      <c r="AX355" s="1263"/>
      <c r="AY355" s="1264"/>
    </row>
    <row r="356" spans="2:52">
      <c r="B356" s="1243" t="s">
        <v>557</v>
      </c>
      <c r="C356" s="1244"/>
      <c r="D356" s="1244"/>
      <c r="E356" s="1244"/>
      <c r="F356" s="1244"/>
      <c r="G356" s="1245"/>
      <c r="H356" s="419">
        <v>71467</v>
      </c>
      <c r="I356" s="1246"/>
      <c r="J356" s="1247"/>
      <c r="K356" s="1247"/>
      <c r="L356" s="1247"/>
      <c r="M356" s="1248"/>
      <c r="N356" s="413" t="str">
        <f>IF(ISBLANK(J356)," ",IF(J356&lt;$F$4,"On time",(IF(DAY(J356-$F$4)&lt;1,"On time",(IF(J356&gt;$F$4,"DELAY ( "&amp;DAY(J356-$F$4)&amp;" day "&amp;HOUR(J356-$F$4)&amp;" hour "&amp;MINUTE(J356-$F$4)&amp;" minute )","xxx"))))))</f>
        <v xml:space="preserve"> </v>
      </c>
      <c r="O356" s="32"/>
      <c r="P356" s="415"/>
      <c r="Q356" s="415"/>
      <c r="R356" s="415"/>
      <c r="S356" s="63"/>
      <c r="T356" s="416">
        <f t="shared" ref="T356:AY356" si="26">SUM(T345:T354)</f>
        <v>2177.4599999999919</v>
      </c>
      <c r="U356" s="416">
        <f t="shared" si="26"/>
        <v>0</v>
      </c>
      <c r="V356" s="416">
        <f t="shared" si="26"/>
        <v>0</v>
      </c>
      <c r="W356" s="416">
        <f t="shared" si="26"/>
        <v>0</v>
      </c>
      <c r="X356" s="416">
        <f t="shared" si="26"/>
        <v>0</v>
      </c>
      <c r="Y356" s="416">
        <f t="shared" si="26"/>
        <v>0</v>
      </c>
      <c r="Z356" s="416">
        <f t="shared" si="26"/>
        <v>0</v>
      </c>
      <c r="AA356" s="416">
        <f t="shared" si="26"/>
        <v>0</v>
      </c>
      <c r="AB356" s="416">
        <f t="shared" si="26"/>
        <v>43252.677999999993</v>
      </c>
      <c r="AC356" s="416">
        <f t="shared" si="26"/>
        <v>18536.861999999997</v>
      </c>
      <c r="AD356" s="416">
        <f t="shared" si="26"/>
        <v>0</v>
      </c>
      <c r="AE356" s="416">
        <f t="shared" si="26"/>
        <v>0</v>
      </c>
      <c r="AF356" s="416">
        <f t="shared" si="26"/>
        <v>0</v>
      </c>
      <c r="AG356" s="416">
        <f t="shared" si="26"/>
        <v>0</v>
      </c>
      <c r="AH356" s="416">
        <f t="shared" si="26"/>
        <v>0</v>
      </c>
      <c r="AI356" s="416">
        <f t="shared" si="26"/>
        <v>0</v>
      </c>
      <c r="AJ356" s="416">
        <f t="shared" si="26"/>
        <v>0</v>
      </c>
      <c r="AK356" s="416">
        <f t="shared" si="26"/>
        <v>7500</v>
      </c>
      <c r="AL356" s="416">
        <f t="shared" si="26"/>
        <v>0</v>
      </c>
      <c r="AM356" s="416">
        <f t="shared" si="26"/>
        <v>0</v>
      </c>
      <c r="AN356" s="416">
        <f t="shared" si="26"/>
        <v>0</v>
      </c>
      <c r="AO356" s="416">
        <f t="shared" si="26"/>
        <v>0</v>
      </c>
      <c r="AP356" s="416">
        <f t="shared" si="26"/>
        <v>0</v>
      </c>
      <c r="AQ356" s="416">
        <f t="shared" si="26"/>
        <v>0</v>
      </c>
      <c r="AR356" s="416">
        <f t="shared" si="26"/>
        <v>0</v>
      </c>
      <c r="AS356" s="416">
        <f t="shared" si="26"/>
        <v>0</v>
      </c>
      <c r="AT356" s="416">
        <f t="shared" si="26"/>
        <v>0</v>
      </c>
      <c r="AU356" s="416">
        <f t="shared" si="26"/>
        <v>0</v>
      </c>
      <c r="AV356" s="416">
        <f t="shared" si="26"/>
        <v>0</v>
      </c>
      <c r="AW356" s="416">
        <f t="shared" si="26"/>
        <v>0</v>
      </c>
      <c r="AX356" s="416">
        <f t="shared" si="26"/>
        <v>0</v>
      </c>
      <c r="AY356" s="416">
        <f t="shared" si="26"/>
        <v>0</v>
      </c>
      <c r="AZ356" s="416">
        <f>SUM(T356:AY356)</f>
        <v>71466.999999999985</v>
      </c>
    </row>
    <row r="357" spans="2:52">
      <c r="B357" s="1243" t="s">
        <v>558</v>
      </c>
      <c r="C357" s="1244"/>
      <c r="D357" s="1244"/>
      <c r="E357" s="1244"/>
      <c r="F357" s="1244"/>
      <c r="G357" s="1245"/>
      <c r="H357" s="420">
        <f>H356-L339</f>
        <v>0</v>
      </c>
      <c r="I357" s="294"/>
      <c r="J357" s="295"/>
      <c r="K357" s="295"/>
      <c r="L357" s="296"/>
      <c r="M357" s="32"/>
      <c r="N357" s="32"/>
      <c r="O357" s="32"/>
      <c r="P357" s="32"/>
      <c r="Q357" s="297"/>
      <c r="R357" s="297"/>
      <c r="S357" s="32"/>
      <c r="T357" s="48"/>
      <c r="U357" s="48"/>
      <c r="V357" s="48"/>
      <c r="W357" s="48"/>
      <c r="X357" s="48"/>
      <c r="Y357" s="48"/>
      <c r="Z357" s="48"/>
      <c r="AA357" s="48"/>
      <c r="AB357" s="48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</row>
    <row r="358" spans="2:52">
      <c r="B358" s="1243" t="s">
        <v>559</v>
      </c>
      <c r="C358" s="1244"/>
      <c r="D358" s="1244"/>
      <c r="E358" s="1244"/>
      <c r="F358" s="1244"/>
      <c r="G358" s="1245"/>
      <c r="H358" s="420">
        <f>H355-H356</f>
        <v>0</v>
      </c>
      <c r="I358" s="52"/>
      <c r="J358" s="53"/>
      <c r="K358" s="53"/>
      <c r="L358" s="54"/>
      <c r="M358" s="32"/>
      <c r="N358" s="32"/>
      <c r="O358" s="32"/>
      <c r="P358" s="32"/>
      <c r="Q358" s="32"/>
      <c r="R358" s="32"/>
      <c r="S358" s="32"/>
      <c r="T358" s="48"/>
      <c r="U358" s="48"/>
      <c r="V358" s="48"/>
      <c r="W358" s="48"/>
      <c r="X358" s="48"/>
      <c r="Y358" s="48"/>
      <c r="Z358" s="48"/>
      <c r="AA358" s="48"/>
      <c r="AB358" s="48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</row>
    <row r="359" spans="2:52">
      <c r="B359" s="32"/>
      <c r="C359" s="32"/>
      <c r="D359" s="32"/>
      <c r="E359" s="32"/>
      <c r="F359" s="32"/>
      <c r="G359" s="32"/>
      <c r="H359" s="32"/>
      <c r="I359" s="57"/>
      <c r="J359" s="52"/>
      <c r="K359" s="52"/>
      <c r="L359" s="55"/>
      <c r="M359" s="32"/>
      <c r="N359" s="32"/>
      <c r="O359" s="52"/>
      <c r="P359" s="32"/>
      <c r="Q359" s="32"/>
      <c r="R359" s="32"/>
      <c r="S359" s="32"/>
      <c r="T359" s="48"/>
      <c r="U359" s="48"/>
      <c r="V359" s="48"/>
      <c r="W359" s="48"/>
      <c r="X359" s="48"/>
      <c r="Y359" s="48"/>
      <c r="Z359" s="48"/>
      <c r="AA359" s="48"/>
      <c r="AB359" s="48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</row>
    <row r="360" spans="2:52">
      <c r="B360" s="40" t="s">
        <v>561</v>
      </c>
      <c r="C360" s="40"/>
      <c r="D360" s="32"/>
      <c r="E360" s="32"/>
      <c r="F360" s="32"/>
      <c r="G360" s="32"/>
      <c r="H360" s="32"/>
      <c r="I360" s="32"/>
      <c r="J360" s="52"/>
      <c r="K360" s="52"/>
      <c r="L360" s="55"/>
      <c r="M360" s="32"/>
      <c r="N360" s="32"/>
      <c r="O360" s="52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Z360" s="32"/>
    </row>
    <row r="361" spans="2:52">
      <c r="B361" s="422"/>
      <c r="C361" s="1249"/>
      <c r="D361" s="1249"/>
      <c r="E361" s="1249"/>
      <c r="F361" s="1249"/>
      <c r="G361" s="1249"/>
      <c r="H361" s="1249"/>
      <c r="I361" s="1249"/>
      <c r="J361" s="1249"/>
      <c r="K361" s="1249"/>
      <c r="L361" s="55"/>
      <c r="M361" s="32"/>
      <c r="N361" s="32"/>
      <c r="O361" s="52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Z361" s="32"/>
    </row>
    <row r="363" spans="2:52">
      <c r="B363" s="28" t="s">
        <v>2</v>
      </c>
      <c r="C363" s="28"/>
      <c r="D363" s="29"/>
      <c r="E363" s="30" t="s">
        <v>511</v>
      </c>
      <c r="F363" s="31" t="s">
        <v>756</v>
      </c>
      <c r="G363" s="32"/>
      <c r="H363" s="33"/>
      <c r="I363" s="34"/>
      <c r="J363" s="35" t="s">
        <v>513</v>
      </c>
      <c r="K363" s="36" t="s">
        <v>511</v>
      </c>
      <c r="L363" s="37">
        <v>44981.885416666664</v>
      </c>
      <c r="M363" s="32"/>
      <c r="N363" s="32"/>
      <c r="O363" s="206"/>
      <c r="P363" s="205"/>
      <c r="Q363" s="202"/>
      <c r="R363" s="204"/>
      <c r="S363" s="38"/>
      <c r="T363" s="201"/>
      <c r="U363" s="201"/>
      <c r="V363" s="201"/>
      <c r="W363" s="201"/>
      <c r="X363" s="201"/>
      <c r="Y363" s="201"/>
      <c r="Z363" s="201"/>
      <c r="AA363" s="201"/>
      <c r="AB363" s="202"/>
      <c r="AC363" s="202"/>
      <c r="AD363" s="202"/>
      <c r="AE363" s="202"/>
      <c r="AF363" s="202"/>
      <c r="AG363" s="201"/>
      <c r="AH363" s="201"/>
      <c r="AI363" s="201"/>
      <c r="AJ363" s="201"/>
      <c r="AK363" s="201"/>
      <c r="AL363" s="201"/>
      <c r="AM363" s="201"/>
      <c r="AN363" s="201"/>
      <c r="AO363" s="201"/>
      <c r="AP363" s="201"/>
      <c r="AQ363" s="201"/>
      <c r="AR363" s="201"/>
      <c r="AS363" s="201"/>
      <c r="AT363" s="201"/>
      <c r="AU363" s="201"/>
      <c r="AV363" s="201"/>
      <c r="AW363" s="201"/>
      <c r="AX363" s="201"/>
      <c r="AY363" s="201"/>
      <c r="AZ363" s="201"/>
    </row>
    <row r="364" spans="2:52">
      <c r="B364" s="35" t="s">
        <v>514</v>
      </c>
      <c r="C364" s="35"/>
      <c r="D364" s="32"/>
      <c r="E364" s="36" t="s">
        <v>511</v>
      </c>
      <c r="F364" s="37" t="s">
        <v>909</v>
      </c>
      <c r="G364" s="32"/>
      <c r="H364" s="33"/>
      <c r="I364" s="34"/>
      <c r="J364" s="35" t="s">
        <v>516</v>
      </c>
      <c r="K364" s="36" t="s">
        <v>511</v>
      </c>
      <c r="L364" s="37">
        <v>44984.100694444445</v>
      </c>
      <c r="M364" s="32"/>
      <c r="N364" s="32"/>
      <c r="O364" s="206"/>
      <c r="P364" s="205"/>
      <c r="Q364" s="202"/>
      <c r="R364" s="204"/>
      <c r="S364" s="38"/>
      <c r="T364" s="201"/>
      <c r="U364" s="201"/>
      <c r="V364" s="201"/>
      <c r="W364" s="201"/>
      <c r="X364" s="201"/>
      <c r="Y364" s="201"/>
      <c r="Z364" s="201"/>
      <c r="AA364" s="201"/>
      <c r="AB364" s="202"/>
      <c r="AC364" s="202"/>
      <c r="AD364" s="202"/>
      <c r="AE364" s="202"/>
      <c r="AF364" s="202"/>
      <c r="AG364" s="201"/>
      <c r="AH364" s="201"/>
      <c r="AI364" s="201"/>
      <c r="AJ364" s="201"/>
      <c r="AK364" s="201"/>
      <c r="AL364" s="201"/>
      <c r="AM364" s="201"/>
      <c r="AN364" s="201"/>
      <c r="AO364" s="201"/>
      <c r="AP364" s="201"/>
      <c r="AQ364" s="201"/>
      <c r="AR364" s="201"/>
      <c r="AS364" s="201"/>
      <c r="AT364" s="201"/>
      <c r="AU364" s="201"/>
      <c r="AV364" s="201"/>
      <c r="AW364" s="201"/>
      <c r="AX364" s="201"/>
      <c r="AY364" s="201"/>
      <c r="AZ364" s="201"/>
    </row>
    <row r="365" spans="2:52">
      <c r="B365" s="35" t="s">
        <v>517</v>
      </c>
      <c r="C365" s="35"/>
      <c r="D365" s="32"/>
      <c r="E365" s="36" t="s">
        <v>511</v>
      </c>
      <c r="F365" s="37">
        <v>44981.375</v>
      </c>
      <c r="G365" s="32"/>
      <c r="H365" s="33"/>
      <c r="I365" s="34"/>
      <c r="J365" s="35" t="s">
        <v>518</v>
      </c>
      <c r="K365" s="36" t="s">
        <v>511</v>
      </c>
      <c r="L365" s="50">
        <v>70250</v>
      </c>
      <c r="M365" s="40" t="s">
        <v>519</v>
      </c>
      <c r="N365" s="40"/>
      <c r="O365" s="206"/>
      <c r="P365" s="205"/>
      <c r="Q365" s="202"/>
      <c r="R365" s="204"/>
      <c r="S365" s="38"/>
      <c r="T365" s="201"/>
      <c r="U365" s="201"/>
      <c r="V365" s="201"/>
      <c r="W365" s="201"/>
      <c r="X365" s="201"/>
      <c r="Y365" s="201"/>
      <c r="Z365" s="201"/>
      <c r="AA365" s="201"/>
      <c r="AB365" s="202"/>
      <c r="AC365" s="202"/>
      <c r="AD365" s="202"/>
      <c r="AE365" s="202"/>
      <c r="AF365" s="202"/>
      <c r="AG365" s="201"/>
      <c r="AH365" s="201"/>
      <c r="AI365" s="201"/>
      <c r="AJ365" s="201"/>
      <c r="AK365" s="201"/>
      <c r="AL365" s="201"/>
      <c r="AM365" s="201"/>
      <c r="AN365" s="201"/>
      <c r="AO365" s="201"/>
      <c r="AP365" s="201"/>
      <c r="AQ365" s="201"/>
      <c r="AR365" s="201"/>
      <c r="AS365" s="201"/>
      <c r="AT365" s="201"/>
      <c r="AU365" s="201"/>
      <c r="AV365" s="201"/>
      <c r="AW365" s="201"/>
      <c r="AX365" s="201"/>
      <c r="AY365" s="201"/>
      <c r="AZ365" s="201"/>
    </row>
    <row r="366" spans="2:52">
      <c r="B366" s="35" t="s">
        <v>520</v>
      </c>
      <c r="C366" s="35"/>
      <c r="D366" s="32"/>
      <c r="E366" s="36" t="s">
        <v>511</v>
      </c>
      <c r="F366" s="37" t="s">
        <v>12</v>
      </c>
      <c r="G366" s="32"/>
      <c r="H366" s="33"/>
      <c r="I366" s="34"/>
      <c r="J366" s="35" t="s">
        <v>521</v>
      </c>
      <c r="K366" s="36" t="s">
        <v>511</v>
      </c>
      <c r="L366" s="41" t="s">
        <v>910</v>
      </c>
      <c r="M366" s="32"/>
      <c r="N366" s="32"/>
      <c r="O366" s="206"/>
      <c r="P366" s="202"/>
      <c r="Q366" s="202"/>
      <c r="R366" s="204"/>
      <c r="S366" s="38"/>
      <c r="T366" s="201"/>
      <c r="U366" s="201"/>
      <c r="V366" s="201"/>
      <c r="W366" s="201"/>
      <c r="X366" s="201"/>
      <c r="Y366" s="201"/>
      <c r="Z366" s="201"/>
      <c r="AA366" s="201"/>
      <c r="AB366" s="202"/>
      <c r="AC366" s="202"/>
      <c r="AD366" s="202"/>
      <c r="AE366" s="202"/>
      <c r="AF366" s="202"/>
      <c r="AG366" s="201"/>
      <c r="AH366" s="201"/>
      <c r="AI366" s="201"/>
      <c r="AJ366" s="201"/>
      <c r="AK366" s="201"/>
      <c r="AL366" s="201"/>
      <c r="AM366" s="201"/>
      <c r="AN366" s="201"/>
      <c r="AO366" s="201"/>
      <c r="AP366" s="201"/>
      <c r="AQ366" s="201"/>
      <c r="AR366" s="201"/>
      <c r="AS366" s="201"/>
      <c r="AT366" s="201"/>
      <c r="AU366" s="201"/>
      <c r="AV366" s="201"/>
      <c r="AW366" s="201"/>
      <c r="AX366" s="201"/>
      <c r="AY366" s="201"/>
      <c r="AZ366" s="201"/>
    </row>
    <row r="367" spans="2:52">
      <c r="B367" s="35" t="s">
        <v>523</v>
      </c>
      <c r="C367" s="35"/>
      <c r="D367" s="32"/>
      <c r="E367" s="36" t="s">
        <v>511</v>
      </c>
      <c r="F367" s="37" t="s">
        <v>32</v>
      </c>
      <c r="G367" s="32"/>
      <c r="H367" s="33"/>
      <c r="I367" s="34"/>
      <c r="J367" s="42" t="s">
        <v>524</v>
      </c>
      <c r="K367" s="36" t="s">
        <v>511</v>
      </c>
      <c r="L367" s="43" t="s">
        <v>11</v>
      </c>
      <c r="M367" s="44"/>
      <c r="N367" s="44"/>
      <c r="O367" s="206"/>
      <c r="P367" s="205"/>
      <c r="Q367" s="202"/>
      <c r="R367" s="204"/>
      <c r="S367" s="38"/>
      <c r="T367" s="201"/>
      <c r="U367" s="201"/>
      <c r="V367" s="201"/>
      <c r="W367" s="201"/>
      <c r="X367" s="201"/>
      <c r="Y367" s="201"/>
      <c r="Z367" s="201"/>
      <c r="AA367" s="201"/>
      <c r="AB367" s="202"/>
      <c r="AC367" s="202"/>
      <c r="AD367" s="202"/>
      <c r="AE367" s="202"/>
      <c r="AF367" s="202"/>
      <c r="AG367" s="201"/>
      <c r="AH367" s="201"/>
      <c r="AI367" s="201"/>
      <c r="AJ367" s="201"/>
      <c r="AK367" s="201"/>
      <c r="AL367" s="201"/>
      <c r="AM367" s="201"/>
      <c r="AN367" s="201"/>
      <c r="AO367" s="201"/>
      <c r="AP367" s="201"/>
      <c r="AQ367" s="201"/>
      <c r="AR367" s="201"/>
      <c r="AS367" s="201"/>
      <c r="AT367" s="201"/>
      <c r="AU367" s="201"/>
      <c r="AV367" s="201"/>
      <c r="AW367" s="201"/>
      <c r="AX367" s="201"/>
      <c r="AY367" s="201"/>
      <c r="AZ367" s="201"/>
    </row>
    <row r="368" spans="2:52">
      <c r="B368" s="35" t="s">
        <v>2</v>
      </c>
      <c r="C368" s="35"/>
      <c r="D368" s="32"/>
      <c r="E368" s="36" t="s">
        <v>511</v>
      </c>
      <c r="F368" s="37" t="s">
        <v>14</v>
      </c>
      <c r="G368" s="32"/>
      <c r="H368" s="33"/>
      <c r="I368" s="45"/>
      <c r="J368" s="42"/>
      <c r="K368" s="36"/>
      <c r="L368" s="211"/>
      <c r="M368" s="201"/>
      <c r="N368" s="201"/>
      <c r="O368" s="42"/>
      <c r="P368" s="44"/>
      <c r="Q368" s="44"/>
      <c r="R368" s="44"/>
      <c r="S368" s="34"/>
      <c r="T368" s="201"/>
      <c r="U368" s="201"/>
      <c r="V368" s="201"/>
      <c r="W368" s="201"/>
      <c r="X368" s="201"/>
      <c r="Y368" s="201"/>
      <c r="Z368" s="201"/>
      <c r="AA368" s="201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201"/>
      <c r="AP368" s="201"/>
      <c r="AQ368" s="201"/>
      <c r="AR368" s="201"/>
      <c r="AS368" s="201"/>
      <c r="AT368" s="201"/>
      <c r="AU368" s="201"/>
      <c r="AV368" s="201"/>
      <c r="AW368" s="201"/>
      <c r="AX368" s="201"/>
      <c r="AY368" s="201"/>
      <c r="AZ368" s="201"/>
    </row>
    <row r="369" spans="2:52">
      <c r="B369" s="201"/>
      <c r="C369" s="201"/>
      <c r="D369" s="201"/>
      <c r="E369" s="201"/>
      <c r="F369" s="201"/>
      <c r="G369" s="201"/>
      <c r="H369" s="201"/>
      <c r="I369" s="45"/>
      <c r="J369" s="42"/>
      <c r="K369" s="42"/>
      <c r="L369" s="43"/>
      <c r="M369" s="44"/>
      <c r="N369" s="44"/>
      <c r="O369" s="42"/>
      <c r="P369" s="44"/>
      <c r="Q369" s="44"/>
      <c r="R369" s="44"/>
      <c r="S369" s="34"/>
      <c r="T369" s="1265" t="s">
        <v>87</v>
      </c>
      <c r="U369" s="1265"/>
      <c r="V369" s="1265"/>
      <c r="W369" s="1265"/>
      <c r="X369" s="1265"/>
      <c r="Y369" s="1265" t="s">
        <v>73</v>
      </c>
      <c r="Z369" s="1265"/>
      <c r="AA369" s="1265"/>
      <c r="AB369" s="1265" t="s">
        <v>74</v>
      </c>
      <c r="AC369" s="1265"/>
      <c r="AD369" s="423" t="s">
        <v>85</v>
      </c>
      <c r="AE369" s="423" t="s">
        <v>77</v>
      </c>
      <c r="AF369" s="1265" t="s">
        <v>525</v>
      </c>
      <c r="AG369" s="1265"/>
      <c r="AH369" s="1265"/>
      <c r="AI369" s="1265"/>
      <c r="AJ369" s="1265"/>
      <c r="AK369" s="1265"/>
      <c r="AL369" s="1265"/>
      <c r="AM369" s="1265"/>
      <c r="AN369" s="1265"/>
      <c r="AO369" s="1265"/>
      <c r="AP369" s="1265"/>
      <c r="AQ369" s="1265"/>
      <c r="AR369" s="1265"/>
      <c r="AS369" s="1265"/>
      <c r="AT369" s="1265"/>
      <c r="AU369" s="1265"/>
      <c r="AV369" s="1265"/>
      <c r="AW369" s="1265"/>
      <c r="AX369" s="1265"/>
      <c r="AY369" s="1265"/>
      <c r="AZ369" s="201"/>
    </row>
    <row r="370" spans="2:52">
      <c r="B370" s="1266" t="s">
        <v>526</v>
      </c>
      <c r="C370" s="1267"/>
      <c r="D370" s="570" t="s">
        <v>527</v>
      </c>
      <c r="E370" s="570"/>
      <c r="F370" s="570" t="s">
        <v>528</v>
      </c>
      <c r="G370" s="570" t="s">
        <v>529</v>
      </c>
      <c r="H370" s="570" t="s">
        <v>530</v>
      </c>
      <c r="I370" s="570" t="s">
        <v>531</v>
      </c>
      <c r="J370" s="570" t="s">
        <v>532</v>
      </c>
      <c r="K370" s="570"/>
      <c r="L370" s="570" t="s">
        <v>130</v>
      </c>
      <c r="M370" s="570" t="s">
        <v>533</v>
      </c>
      <c r="N370" s="408" t="str">
        <f>"On time - "&amp;COUNTIF(N371:N384,"On time")&amp;" from "&amp;ROWS(N371:N384)-COUNTIF(N371:N384," ")</f>
        <v>On time - 6 from 10</v>
      </c>
      <c r="O370" s="46"/>
      <c r="P370" s="409" t="s">
        <v>534</v>
      </c>
      <c r="Q370" s="409" t="s">
        <v>535</v>
      </c>
      <c r="R370" s="409" t="s">
        <v>536</v>
      </c>
      <c r="S370" s="32"/>
      <c r="T370" s="424" t="s">
        <v>537</v>
      </c>
      <c r="U370" s="424" t="s">
        <v>538</v>
      </c>
      <c r="V370" s="424" t="s">
        <v>539</v>
      </c>
      <c r="W370" s="424" t="s">
        <v>540</v>
      </c>
      <c r="X370" s="424" t="s">
        <v>541</v>
      </c>
      <c r="Y370" s="424" t="s">
        <v>167</v>
      </c>
      <c r="Z370" s="424" t="s">
        <v>168</v>
      </c>
      <c r="AA370" s="424" t="s">
        <v>169</v>
      </c>
      <c r="AB370" s="424" t="s">
        <v>235</v>
      </c>
      <c r="AC370" s="424" t="s">
        <v>542</v>
      </c>
      <c r="AD370" s="423" t="s">
        <v>85</v>
      </c>
      <c r="AE370" s="424" t="s">
        <v>139</v>
      </c>
      <c r="AF370" s="424" t="s">
        <v>72</v>
      </c>
      <c r="AG370" s="424" t="s">
        <v>88</v>
      </c>
      <c r="AH370" s="424" t="s">
        <v>75</v>
      </c>
      <c r="AI370" s="424" t="s">
        <v>543</v>
      </c>
      <c r="AJ370" s="424" t="s">
        <v>78</v>
      </c>
      <c r="AK370" s="424" t="s">
        <v>76</v>
      </c>
      <c r="AL370" s="424" t="s">
        <v>544</v>
      </c>
      <c r="AM370" s="424" t="s">
        <v>545</v>
      </c>
      <c r="AN370" s="424" t="s">
        <v>86</v>
      </c>
      <c r="AO370" s="424" t="s">
        <v>83</v>
      </c>
      <c r="AP370" s="424" t="s">
        <v>84</v>
      </c>
      <c r="AQ370" s="424" t="s">
        <v>546</v>
      </c>
      <c r="AR370" s="424" t="s">
        <v>81</v>
      </c>
      <c r="AS370" s="424" t="s">
        <v>80</v>
      </c>
      <c r="AT370" s="424" t="s">
        <v>82</v>
      </c>
      <c r="AU370" s="424" t="s">
        <v>181</v>
      </c>
      <c r="AV370" s="424" t="s">
        <v>183</v>
      </c>
      <c r="AW370" s="424" t="s">
        <v>547</v>
      </c>
      <c r="AX370" s="424" t="s">
        <v>182</v>
      </c>
      <c r="AY370" s="424" t="s">
        <v>172</v>
      </c>
      <c r="AZ370" s="201"/>
    </row>
    <row r="371" spans="2:52">
      <c r="B371" s="1250" t="s">
        <v>911</v>
      </c>
      <c r="C371" s="1251"/>
      <c r="D371" s="411" t="s">
        <v>770</v>
      </c>
      <c r="E371" s="425"/>
      <c r="F371" s="411" t="s">
        <v>205</v>
      </c>
      <c r="G371" s="411" t="s">
        <v>206</v>
      </c>
      <c r="H371" s="412">
        <f>7509/4</f>
        <v>1877.25</v>
      </c>
      <c r="I371" s="413" t="s">
        <v>84</v>
      </c>
      <c r="J371" s="414">
        <v>44980.666666666664</v>
      </c>
      <c r="K371" s="414"/>
      <c r="L371" s="414" t="s">
        <v>192</v>
      </c>
      <c r="M371" s="414" t="s">
        <v>192</v>
      </c>
      <c r="N371" s="413" t="str">
        <f>IF(ISBLANK(J371)," ",IF(J371&lt;$F$365,"On time",(IF(DAY(J371-$F$365)&lt;1,"On time",(IF(J371&gt;$F$365,"DELAY ( "&amp;DAY(J371-$F$365)&amp;" day "&amp;HOUR(J371-$F$365)&amp;" hour "&amp;MINUTE(J371-$F$365)&amp;" minute )","xxx"))))))</f>
        <v>On time</v>
      </c>
      <c r="O371" s="51"/>
      <c r="P371" s="415" t="s">
        <v>551</v>
      </c>
      <c r="Q371" s="415" t="s">
        <v>551</v>
      </c>
      <c r="R371" s="415" t="s">
        <v>551</v>
      </c>
      <c r="S371" s="32"/>
      <c r="T371" s="416"/>
      <c r="U371" s="416"/>
      <c r="V371" s="416"/>
      <c r="W371" s="416"/>
      <c r="X371" s="416"/>
      <c r="Y371" s="416"/>
      <c r="Z371" s="416"/>
      <c r="AA371" s="416"/>
      <c r="AB371" s="416"/>
      <c r="AC371" s="416"/>
      <c r="AD371" s="416"/>
      <c r="AE371" s="416"/>
      <c r="AF371" s="416"/>
      <c r="AG371" s="416"/>
      <c r="AH371" s="416"/>
      <c r="AI371" s="416"/>
      <c r="AJ371" s="416"/>
      <c r="AK371" s="416"/>
      <c r="AL371" s="416"/>
      <c r="AM371" s="416"/>
      <c r="AN371" s="416"/>
      <c r="AO371" s="416"/>
      <c r="AP371" s="416">
        <f>H371</f>
        <v>1877.25</v>
      </c>
      <c r="AQ371" s="416"/>
      <c r="AR371" s="416"/>
      <c r="AS371" s="416"/>
      <c r="AT371" s="416"/>
      <c r="AU371" s="416"/>
      <c r="AV371" s="416"/>
      <c r="AW371" s="416"/>
      <c r="AX371" s="416"/>
      <c r="AY371" s="416"/>
      <c r="AZ371" s="32"/>
    </row>
    <row r="372" spans="2:52">
      <c r="B372" s="1254"/>
      <c r="C372" s="1255"/>
      <c r="D372" s="411" t="s">
        <v>853</v>
      </c>
      <c r="E372" s="411"/>
      <c r="F372" s="411" t="s">
        <v>274</v>
      </c>
      <c r="G372" s="411" t="s">
        <v>275</v>
      </c>
      <c r="H372" s="412">
        <v>7537.9989999999998</v>
      </c>
      <c r="I372" s="413" t="s">
        <v>840</v>
      </c>
      <c r="J372" s="414">
        <v>44981.496527777781</v>
      </c>
      <c r="K372" s="414"/>
      <c r="L372" s="414" t="s">
        <v>192</v>
      </c>
      <c r="M372" s="414" t="s">
        <v>192</v>
      </c>
      <c r="N372" s="413" t="str">
        <f t="shared" ref="N372:N386" si="27">IF(ISBLANK(J372)," ",IF(J372&lt;$F$365,"On time",(IF(DAY(J372-$F$365)&lt;1,"On time",(IF(J372&gt;$F$365,"DELAY ( "&amp;DAY(J372-$F$365)&amp;" day "&amp;HOUR(J372-$F$365)&amp;" hour "&amp;MINUTE(J372-$F$365)&amp;" minute )","xxx"))))))</f>
        <v>On time</v>
      </c>
      <c r="O372" s="51"/>
      <c r="P372" s="415" t="s">
        <v>551</v>
      </c>
      <c r="Q372" s="415" t="s">
        <v>551</v>
      </c>
      <c r="R372" s="415" t="s">
        <v>551</v>
      </c>
      <c r="S372" s="32"/>
      <c r="T372" s="416"/>
      <c r="U372" s="416"/>
      <c r="V372" s="416"/>
      <c r="W372" s="416"/>
      <c r="X372" s="416"/>
      <c r="Y372" s="416">
        <f>H372*0.45</f>
        <v>3392.0995499999999</v>
      </c>
      <c r="Z372" s="416">
        <f>H372*0.55</f>
        <v>4145.8994499999999</v>
      </c>
      <c r="AA372" s="416"/>
      <c r="AB372" s="416"/>
      <c r="AC372" s="416"/>
      <c r="AD372" s="416"/>
      <c r="AE372" s="416"/>
      <c r="AF372" s="416"/>
      <c r="AG372" s="416"/>
      <c r="AH372" s="416"/>
      <c r="AI372" s="416"/>
      <c r="AJ372" s="416"/>
      <c r="AK372" s="416"/>
      <c r="AL372" s="416"/>
      <c r="AM372" s="416"/>
      <c r="AN372" s="416"/>
      <c r="AO372" s="416"/>
      <c r="AP372" s="416"/>
      <c r="AQ372" s="416"/>
      <c r="AR372" s="416"/>
      <c r="AS372" s="416"/>
      <c r="AT372" s="416"/>
      <c r="AU372" s="416"/>
      <c r="AV372" s="416"/>
      <c r="AW372" s="416"/>
      <c r="AX372" s="416"/>
      <c r="AY372" s="416"/>
      <c r="AZ372" s="32"/>
    </row>
    <row r="373" spans="2:52">
      <c r="B373" s="1250" t="s">
        <v>912</v>
      </c>
      <c r="C373" s="1251"/>
      <c r="D373" s="411" t="s">
        <v>770</v>
      </c>
      <c r="E373" s="425"/>
      <c r="F373" s="411" t="s">
        <v>205</v>
      </c>
      <c r="G373" s="411" t="s">
        <v>206</v>
      </c>
      <c r="H373" s="412">
        <f>H371</f>
        <v>1877.25</v>
      </c>
      <c r="I373" s="413" t="s">
        <v>84</v>
      </c>
      <c r="J373" s="414"/>
      <c r="K373" s="414"/>
      <c r="L373" s="414" t="s">
        <v>192</v>
      </c>
      <c r="M373" s="414" t="s">
        <v>192</v>
      </c>
      <c r="N373" s="413" t="str">
        <f t="shared" si="27"/>
        <v xml:space="preserve"> </v>
      </c>
      <c r="O373" s="51"/>
      <c r="P373" s="415" t="s">
        <v>551</v>
      </c>
      <c r="Q373" s="415" t="s">
        <v>551</v>
      </c>
      <c r="R373" s="415" t="s">
        <v>551</v>
      </c>
      <c r="S373" s="32"/>
      <c r="T373" s="416"/>
      <c r="U373" s="416"/>
      <c r="V373" s="416"/>
      <c r="W373" s="416"/>
      <c r="X373" s="416"/>
      <c r="Y373" s="416"/>
      <c r="Z373" s="416"/>
      <c r="AA373" s="416"/>
      <c r="AB373" s="416"/>
      <c r="AC373" s="416"/>
      <c r="AD373" s="416"/>
      <c r="AE373" s="416"/>
      <c r="AF373" s="416"/>
      <c r="AG373" s="416"/>
      <c r="AH373" s="416"/>
      <c r="AI373" s="416"/>
      <c r="AJ373" s="416"/>
      <c r="AK373" s="416"/>
      <c r="AL373" s="416"/>
      <c r="AM373" s="416"/>
      <c r="AN373" s="416"/>
      <c r="AO373" s="416"/>
      <c r="AP373" s="416">
        <f>H373</f>
        <v>1877.25</v>
      </c>
      <c r="AQ373" s="416"/>
      <c r="AR373" s="416"/>
      <c r="AS373" s="416"/>
      <c r="AT373" s="416"/>
      <c r="AU373" s="416"/>
      <c r="AV373" s="416"/>
      <c r="AW373" s="416"/>
      <c r="AX373" s="416"/>
      <c r="AY373" s="416"/>
      <c r="AZ373" s="32"/>
    </row>
    <row r="374" spans="2:52">
      <c r="B374" s="1254"/>
      <c r="C374" s="1255"/>
      <c r="D374" s="411" t="s">
        <v>851</v>
      </c>
      <c r="E374" s="411"/>
      <c r="F374" s="411" t="s">
        <v>358</v>
      </c>
      <c r="G374" s="411" t="s">
        <v>359</v>
      </c>
      <c r="H374" s="412">
        <v>8910.6949999999997</v>
      </c>
      <c r="I374" s="413" t="s">
        <v>840</v>
      </c>
      <c r="J374" s="414">
        <v>44981.6875</v>
      </c>
      <c r="K374" s="414"/>
      <c r="L374" s="414" t="s">
        <v>192</v>
      </c>
      <c r="M374" s="414" t="s">
        <v>192</v>
      </c>
      <c r="N374" s="413" t="str">
        <f t="shared" si="27"/>
        <v>On time</v>
      </c>
      <c r="O374" s="51"/>
      <c r="P374" s="415" t="s">
        <v>551</v>
      </c>
      <c r="Q374" s="415" t="s">
        <v>551</v>
      </c>
      <c r="R374" s="415" t="s">
        <v>551</v>
      </c>
      <c r="S374" s="32"/>
      <c r="T374" s="416"/>
      <c r="U374" s="416"/>
      <c r="V374" s="416"/>
      <c r="W374" s="416"/>
      <c r="X374" s="416"/>
      <c r="Y374" s="416">
        <f>H374*0.45</f>
        <v>4009.8127500000001</v>
      </c>
      <c r="Z374" s="416">
        <f>H374*0.55</f>
        <v>4900.8822500000006</v>
      </c>
      <c r="AA374" s="416"/>
      <c r="AB374" s="416"/>
      <c r="AC374" s="416"/>
      <c r="AD374" s="416"/>
      <c r="AE374" s="416"/>
      <c r="AF374" s="416"/>
      <c r="AG374" s="416"/>
      <c r="AH374" s="416"/>
      <c r="AI374" s="416"/>
      <c r="AJ374" s="416"/>
      <c r="AK374" s="416"/>
      <c r="AL374" s="416"/>
      <c r="AM374" s="416"/>
      <c r="AN374" s="416"/>
      <c r="AO374" s="416"/>
      <c r="AP374" s="416"/>
      <c r="AQ374" s="416"/>
      <c r="AR374" s="416"/>
      <c r="AS374" s="416"/>
      <c r="AT374" s="416"/>
      <c r="AU374" s="416"/>
      <c r="AV374" s="416"/>
      <c r="AW374" s="416"/>
      <c r="AX374" s="416"/>
      <c r="AY374" s="416"/>
      <c r="AZ374" s="32"/>
    </row>
    <row r="375" spans="2:52">
      <c r="B375" s="1250" t="s">
        <v>911</v>
      </c>
      <c r="C375" s="1251"/>
      <c r="D375" s="411" t="s">
        <v>770</v>
      </c>
      <c r="E375" s="425"/>
      <c r="F375" s="411" t="s">
        <v>205</v>
      </c>
      <c r="G375" s="411" t="s">
        <v>206</v>
      </c>
      <c r="H375" s="412">
        <f>H373</f>
        <v>1877.25</v>
      </c>
      <c r="I375" s="413" t="s">
        <v>84</v>
      </c>
      <c r="J375" s="414"/>
      <c r="K375" s="414"/>
      <c r="L375" s="414" t="s">
        <v>192</v>
      </c>
      <c r="M375" s="414" t="s">
        <v>192</v>
      </c>
      <c r="N375" s="413" t="str">
        <f t="shared" si="27"/>
        <v xml:space="preserve"> </v>
      </c>
      <c r="O375" s="51"/>
      <c r="P375" s="415" t="s">
        <v>551</v>
      </c>
      <c r="Q375" s="415" t="s">
        <v>551</v>
      </c>
      <c r="R375" s="415" t="s">
        <v>551</v>
      </c>
      <c r="S375" s="32"/>
      <c r="T375" s="416"/>
      <c r="U375" s="416"/>
      <c r="V375" s="416"/>
      <c r="W375" s="416"/>
      <c r="X375" s="416"/>
      <c r="Y375" s="416"/>
      <c r="Z375" s="416"/>
      <c r="AA375" s="416"/>
      <c r="AB375" s="416"/>
      <c r="AC375" s="416"/>
      <c r="AD375" s="416"/>
      <c r="AE375" s="416"/>
      <c r="AF375" s="416"/>
      <c r="AG375" s="416"/>
      <c r="AH375" s="416"/>
      <c r="AI375" s="416"/>
      <c r="AJ375" s="416"/>
      <c r="AK375" s="416"/>
      <c r="AL375" s="416"/>
      <c r="AM375" s="416"/>
      <c r="AN375" s="416"/>
      <c r="AO375" s="416"/>
      <c r="AP375" s="416">
        <f>H375</f>
        <v>1877.25</v>
      </c>
      <c r="AQ375" s="416"/>
      <c r="AR375" s="416"/>
      <c r="AS375" s="416"/>
      <c r="AT375" s="416"/>
      <c r="AU375" s="416"/>
      <c r="AV375" s="416"/>
      <c r="AW375" s="416"/>
      <c r="AX375" s="416"/>
      <c r="AY375" s="416"/>
      <c r="AZ375" s="32"/>
    </row>
    <row r="376" spans="2:52">
      <c r="B376" s="1254"/>
      <c r="C376" s="1255"/>
      <c r="D376" s="411" t="s">
        <v>855</v>
      </c>
      <c r="E376" s="411"/>
      <c r="F376" s="411" t="s">
        <v>377</v>
      </c>
      <c r="G376" s="411" t="s">
        <v>378</v>
      </c>
      <c r="H376" s="412">
        <v>7530.54</v>
      </c>
      <c r="I376" s="413" t="s">
        <v>840</v>
      </c>
      <c r="J376" s="414">
        <v>44982.607638888891</v>
      </c>
      <c r="K376" s="414"/>
      <c r="L376" s="414" t="s">
        <v>192</v>
      </c>
      <c r="M376" s="414" t="s">
        <v>192</v>
      </c>
      <c r="N376" s="413" t="str">
        <f t="shared" si="27"/>
        <v>DELAY ( 1 day 5 hour 35 minute )</v>
      </c>
      <c r="O376" s="51"/>
      <c r="P376" s="415" t="s">
        <v>551</v>
      </c>
      <c r="Q376" s="415" t="s">
        <v>551</v>
      </c>
      <c r="R376" s="415" t="s">
        <v>551</v>
      </c>
      <c r="S376" s="32"/>
      <c r="T376" s="416"/>
      <c r="U376" s="416"/>
      <c r="V376" s="416"/>
      <c r="W376" s="416"/>
      <c r="X376" s="416"/>
      <c r="Y376" s="416">
        <f>H376*0.45</f>
        <v>3388.7429999999999</v>
      </c>
      <c r="Z376" s="416">
        <f>H376*0.55</f>
        <v>4141.7970000000005</v>
      </c>
      <c r="AA376" s="416"/>
      <c r="AB376" s="416"/>
      <c r="AC376" s="416"/>
      <c r="AD376" s="416"/>
      <c r="AE376" s="416"/>
      <c r="AF376" s="416"/>
      <c r="AG376" s="416"/>
      <c r="AH376" s="416"/>
      <c r="AI376" s="416"/>
      <c r="AJ376" s="416"/>
      <c r="AK376" s="416"/>
      <c r="AL376" s="416"/>
      <c r="AM376" s="416"/>
      <c r="AN376" s="416"/>
      <c r="AO376" s="416"/>
      <c r="AP376" s="416"/>
      <c r="AQ376" s="416"/>
      <c r="AR376" s="416"/>
      <c r="AS376" s="416"/>
      <c r="AT376" s="416"/>
      <c r="AU376" s="416"/>
      <c r="AV376" s="416"/>
      <c r="AW376" s="416"/>
      <c r="AX376" s="416"/>
      <c r="AY376" s="416"/>
      <c r="AZ376" s="32"/>
    </row>
    <row r="377" spans="2:52">
      <c r="B377" s="1250" t="s">
        <v>911</v>
      </c>
      <c r="C377" s="1251"/>
      <c r="D377" s="411" t="s">
        <v>770</v>
      </c>
      <c r="E377" s="425"/>
      <c r="F377" s="411" t="s">
        <v>205</v>
      </c>
      <c r="G377" s="411" t="s">
        <v>206</v>
      </c>
      <c r="H377" s="412">
        <f>H375</f>
        <v>1877.25</v>
      </c>
      <c r="I377" s="413" t="s">
        <v>84</v>
      </c>
      <c r="J377" s="414"/>
      <c r="K377" s="414"/>
      <c r="L377" s="414" t="s">
        <v>192</v>
      </c>
      <c r="M377" s="414" t="s">
        <v>192</v>
      </c>
      <c r="N377" s="413" t="str">
        <f t="shared" si="27"/>
        <v xml:space="preserve"> </v>
      </c>
      <c r="O377" s="51"/>
      <c r="P377" s="415" t="s">
        <v>551</v>
      </c>
      <c r="Q377" s="415" t="s">
        <v>551</v>
      </c>
      <c r="R377" s="415" t="s">
        <v>551</v>
      </c>
      <c r="S377" s="32"/>
      <c r="T377" s="416"/>
      <c r="U377" s="416"/>
      <c r="V377" s="416"/>
      <c r="W377" s="416"/>
      <c r="X377" s="416"/>
      <c r="Y377" s="416"/>
      <c r="Z377" s="416"/>
      <c r="AA377" s="416"/>
      <c r="AB377" s="416"/>
      <c r="AC377" s="416"/>
      <c r="AD377" s="416"/>
      <c r="AE377" s="416"/>
      <c r="AF377" s="416"/>
      <c r="AG377" s="416"/>
      <c r="AH377" s="416"/>
      <c r="AI377" s="416"/>
      <c r="AJ377" s="416"/>
      <c r="AK377" s="416"/>
      <c r="AL377" s="416"/>
      <c r="AM377" s="416"/>
      <c r="AN377" s="416"/>
      <c r="AO377" s="416"/>
      <c r="AP377" s="416">
        <f>H377</f>
        <v>1877.25</v>
      </c>
      <c r="AQ377" s="416"/>
      <c r="AR377" s="416"/>
      <c r="AS377" s="416"/>
      <c r="AT377" s="416"/>
      <c r="AU377" s="416"/>
      <c r="AV377" s="416"/>
      <c r="AW377" s="416"/>
      <c r="AX377" s="416"/>
      <c r="AY377" s="416"/>
      <c r="AZ377" s="32"/>
    </row>
    <row r="378" spans="2:52">
      <c r="B378" s="1254"/>
      <c r="C378" s="1255"/>
      <c r="D378" s="411" t="s">
        <v>839</v>
      </c>
      <c r="E378" s="411"/>
      <c r="F378" s="411" t="s">
        <v>330</v>
      </c>
      <c r="G378" s="411" t="s">
        <v>331</v>
      </c>
      <c r="H378" s="412">
        <v>7712.2460000000001</v>
      </c>
      <c r="I378" s="413" t="s">
        <v>840</v>
      </c>
      <c r="J378" s="414">
        <v>44982.625</v>
      </c>
      <c r="K378" s="414"/>
      <c r="L378" s="414" t="s">
        <v>192</v>
      </c>
      <c r="M378" s="414" t="s">
        <v>192</v>
      </c>
      <c r="N378" s="413" t="str">
        <f t="shared" si="27"/>
        <v>DELAY ( 1 day 6 hour 0 minute )</v>
      </c>
      <c r="O378" s="51"/>
      <c r="P378" s="415" t="s">
        <v>551</v>
      </c>
      <c r="Q378" s="415" t="s">
        <v>551</v>
      </c>
      <c r="R378" s="415" t="s">
        <v>551</v>
      </c>
      <c r="S378" s="32"/>
      <c r="T378" s="416"/>
      <c r="U378" s="416"/>
      <c r="V378" s="416"/>
      <c r="W378" s="416"/>
      <c r="X378" s="416"/>
      <c r="Y378" s="416">
        <f>H378*0.45</f>
        <v>3470.5107000000003</v>
      </c>
      <c r="Z378" s="416">
        <f>H378*0.55</f>
        <v>4241.7353000000003</v>
      </c>
      <c r="AA378" s="416"/>
      <c r="AB378" s="416"/>
      <c r="AC378" s="416"/>
      <c r="AD378" s="416"/>
      <c r="AE378" s="416"/>
      <c r="AF378" s="416"/>
      <c r="AG378" s="416"/>
      <c r="AH378" s="416"/>
      <c r="AI378" s="416"/>
      <c r="AJ378" s="416"/>
      <c r="AK378" s="416"/>
      <c r="AL378" s="416"/>
      <c r="AM378" s="416"/>
      <c r="AN378" s="416"/>
      <c r="AO378" s="416"/>
      <c r="AP378" s="416"/>
      <c r="AQ378" s="416"/>
      <c r="AR378" s="416"/>
      <c r="AS378" s="416"/>
      <c r="AT378" s="416"/>
      <c r="AU378" s="416"/>
      <c r="AV378" s="416"/>
      <c r="AW378" s="416"/>
      <c r="AX378" s="416"/>
      <c r="AY378" s="416"/>
      <c r="AZ378" s="32"/>
    </row>
    <row r="379" spans="2:52">
      <c r="B379" s="1250" t="s">
        <v>884</v>
      </c>
      <c r="C379" s="1251"/>
      <c r="D379" s="411" t="s">
        <v>757</v>
      </c>
      <c r="E379" s="411"/>
      <c r="F379" s="411" t="s">
        <v>304</v>
      </c>
      <c r="G379" s="411" t="s">
        <v>305</v>
      </c>
      <c r="H379" s="412">
        <v>7523.6809999999996</v>
      </c>
      <c r="I379" s="413" t="s">
        <v>611</v>
      </c>
      <c r="J379" s="414">
        <v>44981.25</v>
      </c>
      <c r="K379" s="414"/>
      <c r="L379" s="414" t="s">
        <v>192</v>
      </c>
      <c r="M379" s="414" t="s">
        <v>192</v>
      </c>
      <c r="N379" s="413" t="str">
        <f t="shared" si="27"/>
        <v>On time</v>
      </c>
      <c r="O379" s="51"/>
      <c r="P379" s="415" t="s">
        <v>551</v>
      </c>
      <c r="Q379" s="415" t="s">
        <v>551</v>
      </c>
      <c r="R379" s="415" t="s">
        <v>551</v>
      </c>
      <c r="S379" s="32"/>
      <c r="T379" s="416">
        <f>H379</f>
        <v>7523.6809999999996</v>
      </c>
      <c r="U379" s="416"/>
      <c r="V379" s="416"/>
      <c r="W379" s="416"/>
      <c r="X379" s="416"/>
      <c r="Y379" s="416"/>
      <c r="Z379" s="416"/>
      <c r="AA379" s="416"/>
      <c r="AB379" s="416"/>
      <c r="AC379" s="416"/>
      <c r="AD379" s="416"/>
      <c r="AE379" s="416"/>
      <c r="AF379" s="416"/>
      <c r="AG379" s="416"/>
      <c r="AH379" s="416"/>
      <c r="AI379" s="416"/>
      <c r="AJ379" s="416"/>
      <c r="AK379" s="416"/>
      <c r="AL379" s="416"/>
      <c r="AM379" s="416"/>
      <c r="AN379" s="416"/>
      <c r="AO379" s="416"/>
      <c r="AP379" s="416"/>
      <c r="AQ379" s="416"/>
      <c r="AR379" s="416"/>
      <c r="AS379" s="416"/>
      <c r="AT379" s="416"/>
      <c r="AU379" s="416"/>
      <c r="AV379" s="416"/>
      <c r="AW379" s="416"/>
      <c r="AX379" s="416"/>
      <c r="AY379" s="416"/>
      <c r="AZ379" s="32"/>
    </row>
    <row r="380" spans="2:52">
      <c r="B380" s="1254"/>
      <c r="C380" s="1255"/>
      <c r="D380" s="411" t="s">
        <v>854</v>
      </c>
      <c r="E380" s="425"/>
      <c r="F380" s="411" t="s">
        <v>349</v>
      </c>
      <c r="G380" s="411" t="s">
        <v>350</v>
      </c>
      <c r="H380" s="412">
        <f>7600.088/2</f>
        <v>3800.0439999999999</v>
      </c>
      <c r="I380" s="1282" t="s">
        <v>835</v>
      </c>
      <c r="J380" s="1268">
        <v>44982.395833333336</v>
      </c>
      <c r="K380" s="414"/>
      <c r="L380" s="414" t="s">
        <v>192</v>
      </c>
      <c r="M380" s="414" t="s">
        <v>192</v>
      </c>
      <c r="N380" s="413" t="str">
        <f t="shared" si="27"/>
        <v>DELAY ( 1 day 0 hour 30 minute )</v>
      </c>
      <c r="O380" s="51"/>
      <c r="P380" s="415" t="s">
        <v>551</v>
      </c>
      <c r="Q380" s="415" t="s">
        <v>551</v>
      </c>
      <c r="R380" s="415" t="s">
        <v>551</v>
      </c>
      <c r="S380" s="32"/>
      <c r="T380" s="416"/>
      <c r="U380" s="416"/>
      <c r="V380" s="416"/>
      <c r="W380" s="416"/>
      <c r="X380" s="416"/>
      <c r="Y380" s="416"/>
      <c r="Z380" s="416">
        <f>H380</f>
        <v>3800.0439999999999</v>
      </c>
      <c r="AA380" s="416"/>
      <c r="AB380" s="416"/>
      <c r="AC380" s="416"/>
      <c r="AD380" s="416"/>
      <c r="AE380" s="416"/>
      <c r="AF380" s="416"/>
      <c r="AG380" s="416"/>
      <c r="AH380" s="416"/>
      <c r="AI380" s="416"/>
      <c r="AJ380" s="416"/>
      <c r="AK380" s="416"/>
      <c r="AL380" s="416"/>
      <c r="AM380" s="416"/>
      <c r="AN380" s="416"/>
      <c r="AO380" s="416"/>
      <c r="AP380" s="416"/>
      <c r="AQ380" s="416"/>
      <c r="AR380" s="416"/>
      <c r="AS380" s="416"/>
      <c r="AT380" s="416"/>
      <c r="AU380" s="416"/>
      <c r="AV380" s="416"/>
      <c r="AW380" s="416"/>
      <c r="AX380" s="416"/>
      <c r="AY380" s="416"/>
      <c r="AZ380" s="32"/>
    </row>
    <row r="381" spans="2:52">
      <c r="B381" s="1250" t="s">
        <v>656</v>
      </c>
      <c r="C381" s="1251"/>
      <c r="D381" s="411" t="s">
        <v>854</v>
      </c>
      <c r="E381" s="425"/>
      <c r="F381" s="411" t="s">
        <v>349</v>
      </c>
      <c r="G381" s="411" t="s">
        <v>350</v>
      </c>
      <c r="H381" s="412">
        <f>H380</f>
        <v>3800.0439999999999</v>
      </c>
      <c r="I381" s="1283"/>
      <c r="J381" s="1269"/>
      <c r="K381" s="414"/>
      <c r="L381" s="414" t="s">
        <v>192</v>
      </c>
      <c r="M381" s="414" t="s">
        <v>192</v>
      </c>
      <c r="N381" s="413" t="str">
        <f t="shared" si="27"/>
        <v xml:space="preserve"> </v>
      </c>
      <c r="O381" s="51"/>
      <c r="P381" s="415" t="s">
        <v>551</v>
      </c>
      <c r="Q381" s="415" t="s">
        <v>551</v>
      </c>
      <c r="R381" s="415" t="s">
        <v>551</v>
      </c>
      <c r="S381" s="32"/>
      <c r="T381" s="416"/>
      <c r="U381" s="416"/>
      <c r="V381" s="416"/>
      <c r="W381" s="416"/>
      <c r="X381" s="416"/>
      <c r="Y381" s="416"/>
      <c r="Z381" s="416">
        <f>H381</f>
        <v>3800.0439999999999</v>
      </c>
      <c r="AA381" s="416"/>
      <c r="AB381" s="416"/>
      <c r="AC381" s="416"/>
      <c r="AD381" s="416"/>
      <c r="AE381" s="416"/>
      <c r="AF381" s="416"/>
      <c r="AG381" s="416"/>
      <c r="AH381" s="416"/>
      <c r="AI381" s="416"/>
      <c r="AJ381" s="416"/>
      <c r="AK381" s="416"/>
      <c r="AL381" s="416"/>
      <c r="AM381" s="416"/>
      <c r="AN381" s="416"/>
      <c r="AO381" s="416"/>
      <c r="AP381" s="416"/>
      <c r="AQ381" s="416"/>
      <c r="AR381" s="416"/>
      <c r="AS381" s="416"/>
      <c r="AT381" s="416"/>
      <c r="AU381" s="416"/>
      <c r="AV381" s="416"/>
      <c r="AW381" s="416"/>
      <c r="AX381" s="416"/>
      <c r="AY381" s="416"/>
      <c r="AZ381" s="32"/>
    </row>
    <row r="382" spans="2:52">
      <c r="B382" s="1254"/>
      <c r="C382" s="1255"/>
      <c r="D382" s="411" t="s">
        <v>758</v>
      </c>
      <c r="E382" s="411"/>
      <c r="F382" s="411" t="s">
        <v>246</v>
      </c>
      <c r="G382" s="411" t="s">
        <v>247</v>
      </c>
      <c r="H382" s="412">
        <v>7513.65</v>
      </c>
      <c r="I382" s="413" t="s">
        <v>611</v>
      </c>
      <c r="J382" s="414">
        <v>44981.25</v>
      </c>
      <c r="K382" s="414"/>
      <c r="L382" s="414" t="s">
        <v>192</v>
      </c>
      <c r="M382" s="414" t="s">
        <v>192</v>
      </c>
      <c r="N382" s="413" t="str">
        <f t="shared" si="27"/>
        <v>On time</v>
      </c>
      <c r="O382" s="51"/>
      <c r="P382" s="415" t="s">
        <v>551</v>
      </c>
      <c r="Q382" s="415" t="s">
        <v>551</v>
      </c>
      <c r="R382" s="415" t="s">
        <v>551</v>
      </c>
      <c r="S382" s="32"/>
      <c r="T382" s="416">
        <f>H382</f>
        <v>7513.65</v>
      </c>
      <c r="U382" s="416"/>
      <c r="V382" s="416"/>
      <c r="W382" s="416"/>
      <c r="X382" s="416"/>
      <c r="Y382" s="416"/>
      <c r="Z382" s="416"/>
      <c r="AA382" s="416"/>
      <c r="AB382" s="416"/>
      <c r="AC382" s="416"/>
      <c r="AD382" s="416"/>
      <c r="AE382" s="416"/>
      <c r="AF382" s="416"/>
      <c r="AG382" s="416"/>
      <c r="AH382" s="416"/>
      <c r="AI382" s="416"/>
      <c r="AJ382" s="416"/>
      <c r="AK382" s="416"/>
      <c r="AL382" s="416"/>
      <c r="AM382" s="416"/>
      <c r="AN382" s="416"/>
      <c r="AO382" s="416"/>
      <c r="AP382" s="416"/>
      <c r="AQ382" s="416"/>
      <c r="AR382" s="416"/>
      <c r="AS382" s="416"/>
      <c r="AT382" s="416"/>
      <c r="AU382" s="416"/>
      <c r="AV382" s="416"/>
      <c r="AW382" s="416"/>
      <c r="AX382" s="416"/>
      <c r="AY382" s="416"/>
      <c r="AZ382" s="32"/>
    </row>
    <row r="383" spans="2:52">
      <c r="B383" s="1256" t="s">
        <v>548</v>
      </c>
      <c r="C383" s="1257"/>
      <c r="D383" s="411" t="s">
        <v>849</v>
      </c>
      <c r="E383" s="411"/>
      <c r="F383" s="411" t="s">
        <v>437</v>
      </c>
      <c r="G383" s="411" t="s">
        <v>320</v>
      </c>
      <c r="H383" s="412">
        <v>7425.49</v>
      </c>
      <c r="I383" s="413" t="s">
        <v>840</v>
      </c>
      <c r="J383" s="414">
        <v>44982.354166666664</v>
      </c>
      <c r="K383" s="414"/>
      <c r="L383" s="414" t="s">
        <v>192</v>
      </c>
      <c r="M383" s="414" t="s">
        <v>192</v>
      </c>
      <c r="N383" s="413" t="str">
        <f t="shared" si="27"/>
        <v>On time</v>
      </c>
      <c r="O383" s="51"/>
      <c r="P383" s="415" t="s">
        <v>551</v>
      </c>
      <c r="Q383" s="415" t="s">
        <v>551</v>
      </c>
      <c r="R383" s="415" t="s">
        <v>551</v>
      </c>
      <c r="S383" s="32"/>
      <c r="T383" s="416"/>
      <c r="U383" s="416"/>
      <c r="V383" s="416"/>
      <c r="W383" s="416"/>
      <c r="X383" s="416"/>
      <c r="Y383" s="416">
        <f>H383*0.55</f>
        <v>4084.0195000000003</v>
      </c>
      <c r="Z383" s="416">
        <f>H383*0.45</f>
        <v>3341.4704999999999</v>
      </c>
      <c r="AA383" s="416"/>
      <c r="AB383" s="416"/>
      <c r="AC383" s="416"/>
      <c r="AD383" s="416"/>
      <c r="AE383" s="416"/>
      <c r="AF383" s="416"/>
      <c r="AG383" s="416"/>
      <c r="AH383" s="416"/>
      <c r="AI383" s="416"/>
      <c r="AJ383" s="416"/>
      <c r="AK383" s="416"/>
      <c r="AL383" s="416"/>
      <c r="AM383" s="416"/>
      <c r="AN383" s="416"/>
      <c r="AO383" s="416"/>
      <c r="AP383" s="416"/>
      <c r="AQ383" s="416"/>
      <c r="AR383" s="416"/>
      <c r="AS383" s="416"/>
      <c r="AT383" s="416"/>
      <c r="AU383" s="416"/>
      <c r="AV383" s="416"/>
      <c r="AW383" s="416"/>
      <c r="AX383" s="416"/>
      <c r="AY383" s="416"/>
      <c r="AZ383" s="32"/>
    </row>
    <row r="384" spans="2:52">
      <c r="B384" s="1256" t="s">
        <v>548</v>
      </c>
      <c r="C384" s="1257"/>
      <c r="D384" s="411" t="s">
        <v>843</v>
      </c>
      <c r="E384" s="411"/>
      <c r="F384" s="411" t="s">
        <v>284</v>
      </c>
      <c r="G384" s="411" t="s">
        <v>264</v>
      </c>
      <c r="H384" s="412">
        <f>7504.516-6517.905</f>
        <v>986.61099999999988</v>
      </c>
      <c r="I384" s="413" t="s">
        <v>840</v>
      </c>
      <c r="J384" s="414">
        <v>44982.604166666664</v>
      </c>
      <c r="K384" s="414"/>
      <c r="L384" s="414" t="s">
        <v>192</v>
      </c>
      <c r="M384" s="414" t="s">
        <v>192</v>
      </c>
      <c r="N384" s="413" t="str">
        <f t="shared" si="27"/>
        <v>DELAY ( 1 day 5 hour 30 minute )</v>
      </c>
      <c r="O384" s="51"/>
      <c r="P384" s="415" t="s">
        <v>551</v>
      </c>
      <c r="Q384" s="415" t="s">
        <v>551</v>
      </c>
      <c r="R384" s="415" t="s">
        <v>551</v>
      </c>
      <c r="S384" s="32"/>
      <c r="T384" s="416"/>
      <c r="U384" s="416"/>
      <c r="V384" s="416"/>
      <c r="W384" s="416"/>
      <c r="X384" s="416"/>
      <c r="Y384" s="416">
        <f>(H384*0.55)</f>
        <v>542.63604999999995</v>
      </c>
      <c r="Z384" s="416">
        <f>(H384*0.45)</f>
        <v>443.97494999999998</v>
      </c>
      <c r="AA384" s="416"/>
      <c r="AB384" s="416"/>
      <c r="AC384" s="416"/>
      <c r="AD384" s="416"/>
      <c r="AE384" s="416"/>
      <c r="AF384" s="416"/>
      <c r="AG384" s="416"/>
      <c r="AH384" s="416"/>
      <c r="AI384" s="416"/>
      <c r="AJ384" s="416"/>
      <c r="AK384" s="416"/>
      <c r="AL384" s="416"/>
      <c r="AM384" s="416"/>
      <c r="AN384" s="416"/>
      <c r="AO384" s="416"/>
      <c r="AP384" s="416"/>
      <c r="AQ384" s="416"/>
      <c r="AR384" s="416"/>
      <c r="AS384" s="416"/>
      <c r="AT384" s="416"/>
      <c r="AU384" s="416"/>
      <c r="AV384" s="416"/>
      <c r="AW384" s="416"/>
      <c r="AX384" s="416"/>
      <c r="AY384" s="416"/>
      <c r="AZ384" s="32"/>
    </row>
    <row r="385" spans="2:52">
      <c r="B385" s="1258" t="s">
        <v>556</v>
      </c>
      <c r="C385" s="1259"/>
      <c r="D385" s="1259"/>
      <c r="E385" s="1259"/>
      <c r="F385" s="1259"/>
      <c r="G385" s="1260"/>
      <c r="H385" s="417">
        <f>SUM(H371:H384)</f>
        <v>70250.000000000015</v>
      </c>
      <c r="I385" s="388"/>
      <c r="J385" s="293"/>
      <c r="K385" s="293"/>
      <c r="L385" s="293"/>
      <c r="M385" s="389"/>
      <c r="N385" s="413" t="str">
        <f t="shared" si="27"/>
        <v xml:space="preserve"> </v>
      </c>
      <c r="O385" s="212"/>
      <c r="P385" s="418"/>
      <c r="Q385" s="418"/>
      <c r="R385" s="418"/>
      <c r="S385" s="207"/>
      <c r="T385" s="1262"/>
      <c r="U385" s="1263"/>
      <c r="V385" s="1263"/>
      <c r="W385" s="1263"/>
      <c r="X385" s="1263"/>
      <c r="Y385" s="1263"/>
      <c r="Z385" s="1263"/>
      <c r="AA385" s="1263"/>
      <c r="AB385" s="1263"/>
      <c r="AC385" s="1263"/>
      <c r="AD385" s="1263"/>
      <c r="AE385" s="1263"/>
      <c r="AF385" s="1263"/>
      <c r="AG385" s="1263"/>
      <c r="AH385" s="1263"/>
      <c r="AI385" s="1263"/>
      <c r="AJ385" s="1263"/>
      <c r="AK385" s="1263"/>
      <c r="AL385" s="1263"/>
      <c r="AM385" s="1263"/>
      <c r="AN385" s="1263"/>
      <c r="AO385" s="1263"/>
      <c r="AP385" s="1263"/>
      <c r="AQ385" s="1263"/>
      <c r="AR385" s="1263"/>
      <c r="AS385" s="1263"/>
      <c r="AT385" s="1263"/>
      <c r="AU385" s="1263"/>
      <c r="AV385" s="1263"/>
      <c r="AW385" s="1263"/>
      <c r="AX385" s="1263"/>
      <c r="AY385" s="1264"/>
    </row>
    <row r="386" spans="2:52">
      <c r="B386" s="1243" t="s">
        <v>557</v>
      </c>
      <c r="C386" s="1244"/>
      <c r="D386" s="1244"/>
      <c r="E386" s="1244"/>
      <c r="F386" s="1244"/>
      <c r="G386" s="1245"/>
      <c r="H386" s="419">
        <v>70250</v>
      </c>
      <c r="I386" s="1273"/>
      <c r="J386" s="1274"/>
      <c r="K386" s="1274"/>
      <c r="L386" s="1274"/>
      <c r="M386" s="1275"/>
      <c r="N386" s="413" t="str">
        <f t="shared" si="27"/>
        <v xml:space="preserve"> </v>
      </c>
      <c r="O386" s="32"/>
      <c r="P386" s="415"/>
      <c r="Q386" s="415"/>
      <c r="R386" s="415"/>
      <c r="S386" s="63"/>
      <c r="T386" s="416">
        <f t="shared" ref="T386:AY386" si="28">SUM(T371:T384)</f>
        <v>15037.330999999998</v>
      </c>
      <c r="U386" s="416">
        <f t="shared" si="28"/>
        <v>0</v>
      </c>
      <c r="V386" s="416">
        <f t="shared" si="28"/>
        <v>0</v>
      </c>
      <c r="W386" s="416">
        <f t="shared" si="28"/>
        <v>0</v>
      </c>
      <c r="X386" s="416">
        <f t="shared" si="28"/>
        <v>0</v>
      </c>
      <c r="Y386" s="416">
        <f t="shared" si="28"/>
        <v>18887.821550000001</v>
      </c>
      <c r="Z386" s="416">
        <f t="shared" si="28"/>
        <v>28815.847450000001</v>
      </c>
      <c r="AA386" s="416">
        <f t="shared" si="28"/>
        <v>0</v>
      </c>
      <c r="AB386" s="416">
        <f t="shared" si="28"/>
        <v>0</v>
      </c>
      <c r="AC386" s="416">
        <f t="shared" si="28"/>
        <v>0</v>
      </c>
      <c r="AD386" s="416">
        <f t="shared" si="28"/>
        <v>0</v>
      </c>
      <c r="AE386" s="416">
        <f t="shared" si="28"/>
        <v>0</v>
      </c>
      <c r="AF386" s="416">
        <f t="shared" si="28"/>
        <v>0</v>
      </c>
      <c r="AG386" s="416">
        <f t="shared" si="28"/>
        <v>0</v>
      </c>
      <c r="AH386" s="416">
        <f t="shared" si="28"/>
        <v>0</v>
      </c>
      <c r="AI386" s="416">
        <f t="shared" si="28"/>
        <v>0</v>
      </c>
      <c r="AJ386" s="416">
        <f t="shared" si="28"/>
        <v>0</v>
      </c>
      <c r="AK386" s="416">
        <f t="shared" si="28"/>
        <v>0</v>
      </c>
      <c r="AL386" s="416">
        <f t="shared" si="28"/>
        <v>0</v>
      </c>
      <c r="AM386" s="416">
        <f t="shared" si="28"/>
        <v>0</v>
      </c>
      <c r="AN386" s="416">
        <f t="shared" si="28"/>
        <v>0</v>
      </c>
      <c r="AO386" s="416">
        <f t="shared" si="28"/>
        <v>0</v>
      </c>
      <c r="AP386" s="416">
        <f t="shared" si="28"/>
        <v>7509</v>
      </c>
      <c r="AQ386" s="416">
        <f t="shared" si="28"/>
        <v>0</v>
      </c>
      <c r="AR386" s="416">
        <f t="shared" si="28"/>
        <v>0</v>
      </c>
      <c r="AS386" s="416">
        <f t="shared" si="28"/>
        <v>0</v>
      </c>
      <c r="AT386" s="416">
        <f t="shared" si="28"/>
        <v>0</v>
      </c>
      <c r="AU386" s="416">
        <f t="shared" si="28"/>
        <v>0</v>
      </c>
      <c r="AV386" s="416">
        <f t="shared" si="28"/>
        <v>0</v>
      </c>
      <c r="AW386" s="416">
        <f t="shared" si="28"/>
        <v>0</v>
      </c>
      <c r="AX386" s="416">
        <f t="shared" si="28"/>
        <v>0</v>
      </c>
      <c r="AY386" s="416">
        <f t="shared" si="28"/>
        <v>0</v>
      </c>
      <c r="AZ386" s="416">
        <f>SUM(T386:AY386)</f>
        <v>70250</v>
      </c>
    </row>
    <row r="387" spans="2:52">
      <c r="B387" s="1243" t="s">
        <v>558</v>
      </c>
      <c r="C387" s="1244"/>
      <c r="D387" s="1244"/>
      <c r="E387" s="1244"/>
      <c r="F387" s="1244"/>
      <c r="G387" s="1245"/>
      <c r="H387" s="420">
        <f>H386-L365</f>
        <v>0</v>
      </c>
      <c r="I387" s="294"/>
      <c r="J387" s="295"/>
      <c r="K387" s="295"/>
      <c r="L387" s="296"/>
      <c r="M387" s="32"/>
      <c r="N387" s="32"/>
      <c r="O387" s="32"/>
      <c r="P387" s="32"/>
      <c r="Q387" s="297"/>
      <c r="R387" s="297"/>
      <c r="S387" s="32"/>
      <c r="T387" s="48"/>
      <c r="U387" s="48"/>
      <c r="V387" s="48"/>
      <c r="W387" s="48"/>
      <c r="X387" s="48"/>
      <c r="Y387" s="48"/>
      <c r="Z387" s="48"/>
      <c r="AA387" s="48"/>
      <c r="AB387" s="48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</row>
    <row r="388" spans="2:52">
      <c r="B388" s="1243" t="s">
        <v>559</v>
      </c>
      <c r="C388" s="1244"/>
      <c r="D388" s="1244"/>
      <c r="E388" s="1244"/>
      <c r="F388" s="1244"/>
      <c r="G388" s="1245"/>
      <c r="H388" s="420">
        <v>6142.99</v>
      </c>
      <c r="I388" s="52"/>
      <c r="J388" s="53"/>
      <c r="K388" s="53"/>
      <c r="L388" s="54"/>
      <c r="M388" s="32"/>
      <c r="N388" s="201"/>
      <c r="O388" s="32"/>
      <c r="P388" s="32"/>
      <c r="Q388" s="32"/>
      <c r="R388" s="32"/>
      <c r="S388" s="32"/>
      <c r="T388" s="48"/>
      <c r="U388" s="48"/>
      <c r="V388" s="48"/>
      <c r="W388" s="48"/>
      <c r="X388" s="48"/>
      <c r="Y388" s="48"/>
      <c r="Z388" s="48"/>
      <c r="AA388" s="48"/>
      <c r="AB388" s="48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</row>
    <row r="389" spans="2:52">
      <c r="B389" s="1243" t="s">
        <v>560</v>
      </c>
      <c r="C389" s="1244"/>
      <c r="D389" s="1244"/>
      <c r="E389" s="1244"/>
      <c r="F389" s="1244"/>
      <c r="G389" s="1245"/>
      <c r="H389" s="421">
        <f>H388-6517.905</f>
        <v>-374.91499999999996</v>
      </c>
      <c r="I389" s="255"/>
      <c r="J389" s="53"/>
      <c r="K389" s="53"/>
      <c r="L389" s="54"/>
      <c r="M389" s="32"/>
      <c r="N389" s="32"/>
      <c r="O389" s="32"/>
      <c r="P389" s="32"/>
      <c r="Q389" s="32"/>
      <c r="R389" s="32"/>
      <c r="S389" s="48"/>
      <c r="T389" s="48"/>
      <c r="U389" s="48"/>
      <c r="V389" s="48"/>
      <c r="W389" s="48"/>
      <c r="X389" s="48"/>
      <c r="Y389" s="48"/>
      <c r="Z389" s="48"/>
      <c r="AA389" s="48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</row>
    <row r="390" spans="2:52">
      <c r="B390" s="201"/>
      <c r="C390" s="201"/>
      <c r="D390" s="201"/>
      <c r="E390" s="201"/>
      <c r="F390" s="201"/>
      <c r="G390" s="201"/>
      <c r="H390" s="201"/>
      <c r="I390" s="213"/>
      <c r="J390" s="209"/>
      <c r="K390" s="209"/>
      <c r="L390" s="203"/>
      <c r="M390" s="201"/>
      <c r="N390" s="201"/>
      <c r="O390" s="209"/>
      <c r="P390" s="32"/>
      <c r="Q390" s="32"/>
      <c r="R390" s="32"/>
      <c r="S390" s="32"/>
      <c r="T390" s="48"/>
      <c r="U390" s="48"/>
      <c r="V390" s="48"/>
      <c r="W390" s="48"/>
      <c r="X390" s="48"/>
      <c r="Y390" s="48"/>
      <c r="Z390" s="48"/>
      <c r="AA390" s="48"/>
      <c r="AB390" s="48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</row>
    <row r="391" spans="2:52">
      <c r="B391" s="40" t="s">
        <v>561</v>
      </c>
      <c r="C391" s="40"/>
      <c r="D391" s="32"/>
      <c r="E391" s="32"/>
      <c r="F391" s="32"/>
      <c r="G391" s="32"/>
      <c r="H391" s="32"/>
      <c r="I391" s="32"/>
      <c r="J391" s="52"/>
      <c r="K391" s="52"/>
      <c r="L391" s="55"/>
      <c r="M391" s="32"/>
      <c r="N391" s="201"/>
      <c r="O391" s="5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  <c r="AA391" s="202"/>
      <c r="AB391" s="201"/>
      <c r="AC391" s="201"/>
      <c r="AD391" s="201"/>
      <c r="AE391" s="201"/>
      <c r="AF391" s="201"/>
      <c r="AG391" s="201"/>
      <c r="AH391" s="201"/>
      <c r="AI391" s="201"/>
      <c r="AJ391" s="201"/>
      <c r="AK391" s="201"/>
      <c r="AL391" s="201"/>
      <c r="AM391" s="201"/>
      <c r="AN391" s="201"/>
      <c r="AO391" s="201"/>
      <c r="AP391" s="201"/>
      <c r="AQ391" s="201"/>
      <c r="AR391" s="201"/>
      <c r="AS391" s="201"/>
      <c r="AT391" s="201"/>
      <c r="AU391" s="201"/>
      <c r="AZ391" s="201"/>
    </row>
    <row r="392" spans="2:52">
      <c r="B392" s="422">
        <v>1</v>
      </c>
      <c r="C392" s="1249" t="s">
        <v>906</v>
      </c>
      <c r="D392" s="1249"/>
      <c r="E392" s="1249"/>
      <c r="F392" s="1249"/>
      <c r="G392" s="1249"/>
      <c r="H392" s="1249"/>
      <c r="I392" s="1249"/>
      <c r="J392" s="1249"/>
      <c r="K392" s="1249"/>
      <c r="L392" s="203"/>
      <c r="M392" s="201"/>
      <c r="N392" s="201"/>
      <c r="O392" s="209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  <c r="AA392" s="202"/>
      <c r="AB392" s="201"/>
      <c r="AC392" s="201"/>
      <c r="AD392" s="201"/>
      <c r="AE392" s="201"/>
      <c r="AF392" s="201"/>
      <c r="AG392" s="201"/>
      <c r="AH392" s="201"/>
      <c r="AI392" s="201"/>
      <c r="AJ392" s="201"/>
      <c r="AK392" s="201"/>
      <c r="AL392" s="201"/>
      <c r="AM392" s="201"/>
      <c r="AN392" s="201"/>
      <c r="AO392" s="201"/>
      <c r="AP392" s="201"/>
      <c r="AQ392" s="201"/>
      <c r="AR392" s="201"/>
      <c r="AS392" s="201"/>
      <c r="AT392" s="201"/>
      <c r="AU392" s="201"/>
      <c r="AV392" s="201"/>
      <c r="AW392" s="201"/>
      <c r="AX392" s="201"/>
      <c r="AY392" s="201"/>
      <c r="AZ392" s="201"/>
    </row>
  </sheetData>
  <mergeCells count="333">
    <mergeCell ref="T385:AY385"/>
    <mergeCell ref="B386:G386"/>
    <mergeCell ref="I386:M386"/>
    <mergeCell ref="B387:G387"/>
    <mergeCell ref="B388:G388"/>
    <mergeCell ref="C392:K392"/>
    <mergeCell ref="J380:J381"/>
    <mergeCell ref="B389:G389"/>
    <mergeCell ref="B373:C374"/>
    <mergeCell ref="B375:C376"/>
    <mergeCell ref="B377:C378"/>
    <mergeCell ref="B379:C380"/>
    <mergeCell ref="I380:I381"/>
    <mergeCell ref="B381:C382"/>
    <mergeCell ref="B383:C383"/>
    <mergeCell ref="B384:C384"/>
    <mergeCell ref="B385:G385"/>
    <mergeCell ref="B357:G357"/>
    <mergeCell ref="B358:G358"/>
    <mergeCell ref="C361:K361"/>
    <mergeCell ref="T369:X369"/>
    <mergeCell ref="Y369:AA369"/>
    <mergeCell ref="AB369:AC369"/>
    <mergeCell ref="AF369:AY369"/>
    <mergeCell ref="B370:C370"/>
    <mergeCell ref="B371:C372"/>
    <mergeCell ref="B349:C349"/>
    <mergeCell ref="B350:C350"/>
    <mergeCell ref="B351:C351"/>
    <mergeCell ref="B352:C352"/>
    <mergeCell ref="B353:C353"/>
    <mergeCell ref="B354:G354"/>
    <mergeCell ref="B355:G355"/>
    <mergeCell ref="T355:AY355"/>
    <mergeCell ref="B356:G356"/>
    <mergeCell ref="I356:M356"/>
    <mergeCell ref="T343:X343"/>
    <mergeCell ref="Y343:AA343"/>
    <mergeCell ref="AB343:AC343"/>
    <mergeCell ref="AF343:AY343"/>
    <mergeCell ref="B344:C344"/>
    <mergeCell ref="B345:C345"/>
    <mergeCell ref="B346:C346"/>
    <mergeCell ref="B347:C347"/>
    <mergeCell ref="B348:C348"/>
    <mergeCell ref="B202:G202"/>
    <mergeCell ref="C206:K206"/>
    <mergeCell ref="C207:K207"/>
    <mergeCell ref="B196:C197"/>
    <mergeCell ref="F197:G197"/>
    <mergeCell ref="B198:G198"/>
    <mergeCell ref="T198:AY198"/>
    <mergeCell ref="B199:G199"/>
    <mergeCell ref="T199:AY199"/>
    <mergeCell ref="B200:G200"/>
    <mergeCell ref="I200:M200"/>
    <mergeCell ref="B201:G201"/>
    <mergeCell ref="B203:G203"/>
    <mergeCell ref="B186:C187"/>
    <mergeCell ref="F187:G187"/>
    <mergeCell ref="B188:C189"/>
    <mergeCell ref="F189:G189"/>
    <mergeCell ref="B190:C191"/>
    <mergeCell ref="F191:G191"/>
    <mergeCell ref="B192:C193"/>
    <mergeCell ref="F193:G193"/>
    <mergeCell ref="B194:C195"/>
    <mergeCell ref="F195:G195"/>
    <mergeCell ref="T180:X180"/>
    <mergeCell ref="Y180:AA180"/>
    <mergeCell ref="AB180:AC180"/>
    <mergeCell ref="AF180:AY180"/>
    <mergeCell ref="B181:C181"/>
    <mergeCell ref="B182:C182"/>
    <mergeCell ref="B183:G183"/>
    <mergeCell ref="B184:C184"/>
    <mergeCell ref="B185:C185"/>
    <mergeCell ref="T146:AY146"/>
    <mergeCell ref="B147:G147"/>
    <mergeCell ref="I147:M147"/>
    <mergeCell ref="B148:G148"/>
    <mergeCell ref="B149:G149"/>
    <mergeCell ref="C153:K153"/>
    <mergeCell ref="B150:G150"/>
    <mergeCell ref="B140:C141"/>
    <mergeCell ref="J141:J142"/>
    <mergeCell ref="P141:P142"/>
    <mergeCell ref="Q141:Q142"/>
    <mergeCell ref="R141:R142"/>
    <mergeCell ref="B142:C143"/>
    <mergeCell ref="B144:C144"/>
    <mergeCell ref="B145:C145"/>
    <mergeCell ref="B146:G146"/>
    <mergeCell ref="T133:X133"/>
    <mergeCell ref="Y133:AA133"/>
    <mergeCell ref="AB133:AC133"/>
    <mergeCell ref="AF133:AY133"/>
    <mergeCell ref="B134:C134"/>
    <mergeCell ref="B135:C136"/>
    <mergeCell ref="J136:J137"/>
    <mergeCell ref="B137:C138"/>
    <mergeCell ref="B139:C139"/>
    <mergeCell ref="B122:G122"/>
    <mergeCell ref="C125:K125"/>
    <mergeCell ref="B119:G119"/>
    <mergeCell ref="T119:AY119"/>
    <mergeCell ref="B120:G120"/>
    <mergeCell ref="I120:M120"/>
    <mergeCell ref="B121:G121"/>
    <mergeCell ref="B114:C114"/>
    <mergeCell ref="B115:C115"/>
    <mergeCell ref="B116:C116"/>
    <mergeCell ref="B117:C117"/>
    <mergeCell ref="B118:G118"/>
    <mergeCell ref="B109:C109"/>
    <mergeCell ref="B110:C110"/>
    <mergeCell ref="B111:C111"/>
    <mergeCell ref="B112:C112"/>
    <mergeCell ref="B113:C113"/>
    <mergeCell ref="T107:X107"/>
    <mergeCell ref="Y107:AA107"/>
    <mergeCell ref="AB107:AC107"/>
    <mergeCell ref="AF107:AY107"/>
    <mergeCell ref="B108:C108"/>
    <mergeCell ref="B95:G95"/>
    <mergeCell ref="C99:K99"/>
    <mergeCell ref="B96:G96"/>
    <mergeCell ref="B92:G92"/>
    <mergeCell ref="T92:AY92"/>
    <mergeCell ref="B93:G93"/>
    <mergeCell ref="I93:M93"/>
    <mergeCell ref="B94:G94"/>
    <mergeCell ref="B88:C90"/>
    <mergeCell ref="F89:G89"/>
    <mergeCell ref="F90:G90"/>
    <mergeCell ref="B91:G91"/>
    <mergeCell ref="T91:AY91"/>
    <mergeCell ref="B82:C84"/>
    <mergeCell ref="F83:G83"/>
    <mergeCell ref="F84:G84"/>
    <mergeCell ref="B85:C87"/>
    <mergeCell ref="F86:G86"/>
    <mergeCell ref="F87:G87"/>
    <mergeCell ref="B75:C75"/>
    <mergeCell ref="B76:C76"/>
    <mergeCell ref="B77:C77"/>
    <mergeCell ref="B78:G78"/>
    <mergeCell ref="B79:C81"/>
    <mergeCell ref="F80:G80"/>
    <mergeCell ref="F81:G81"/>
    <mergeCell ref="T73:X73"/>
    <mergeCell ref="Y73:AA73"/>
    <mergeCell ref="AB73:AC73"/>
    <mergeCell ref="AF73:AY73"/>
    <mergeCell ref="B74:C74"/>
    <mergeCell ref="B60:G60"/>
    <mergeCell ref="B61:G61"/>
    <mergeCell ref="C65:K65"/>
    <mergeCell ref="B35:G35"/>
    <mergeCell ref="B62:G62"/>
    <mergeCell ref="B55:C56"/>
    <mergeCell ref="B57:C57"/>
    <mergeCell ref="B58:G58"/>
    <mergeCell ref="T58:AY58"/>
    <mergeCell ref="B59:G59"/>
    <mergeCell ref="I59:M59"/>
    <mergeCell ref="B47:C47"/>
    <mergeCell ref="B48:C49"/>
    <mergeCell ref="B50:C51"/>
    <mergeCell ref="B52:C53"/>
    <mergeCell ref="B54:C54"/>
    <mergeCell ref="T46:X46"/>
    <mergeCell ref="Y46:AA46"/>
    <mergeCell ref="AB46:AC46"/>
    <mergeCell ref="AF46:AY46"/>
    <mergeCell ref="B30:G30"/>
    <mergeCell ref="T30:AY30"/>
    <mergeCell ref="B31:G31"/>
    <mergeCell ref="T31:AY31"/>
    <mergeCell ref="B19:C20"/>
    <mergeCell ref="F20:G20"/>
    <mergeCell ref="B21:C22"/>
    <mergeCell ref="F22:G22"/>
    <mergeCell ref="B28:C29"/>
    <mergeCell ref="F29:G29"/>
    <mergeCell ref="B34:G34"/>
    <mergeCell ref="C38:K38"/>
    <mergeCell ref="B26:C27"/>
    <mergeCell ref="F27:G27"/>
    <mergeCell ref="B32:G32"/>
    <mergeCell ref="I32:M32"/>
    <mergeCell ref="B33:G33"/>
    <mergeCell ref="T8:X8"/>
    <mergeCell ref="Y8:AA8"/>
    <mergeCell ref="AB8:AC8"/>
    <mergeCell ref="AF8:AY8"/>
    <mergeCell ref="B9:C9"/>
    <mergeCell ref="B18:C18"/>
    <mergeCell ref="B12:C12"/>
    <mergeCell ref="B23:C23"/>
    <mergeCell ref="B24:C25"/>
    <mergeCell ref="F25:G25"/>
    <mergeCell ref="B13:C14"/>
    <mergeCell ref="F14:G14"/>
    <mergeCell ref="B15:C16"/>
    <mergeCell ref="F16:G16"/>
    <mergeCell ref="B17:C17"/>
    <mergeCell ref="B10:C10"/>
    <mergeCell ref="B11:G11"/>
    <mergeCell ref="B167:G167"/>
    <mergeCell ref="I167:M167"/>
    <mergeCell ref="C172:K172"/>
    <mergeCell ref="T161:X161"/>
    <mergeCell ref="Y161:AA161"/>
    <mergeCell ref="AB161:AC161"/>
    <mergeCell ref="AF161:AY161"/>
    <mergeCell ref="B162:C162"/>
    <mergeCell ref="B163:C163"/>
    <mergeCell ref="B164:C164"/>
    <mergeCell ref="B165:C165"/>
    <mergeCell ref="B166:G166"/>
    <mergeCell ref="T166:AY166"/>
    <mergeCell ref="T215:X215"/>
    <mergeCell ref="Y215:AA215"/>
    <mergeCell ref="AB215:AC215"/>
    <mergeCell ref="AF215:AY215"/>
    <mergeCell ref="B216:C216"/>
    <mergeCell ref="B217:C218"/>
    <mergeCell ref="B219:C220"/>
    <mergeCell ref="B221:C222"/>
    <mergeCell ref="B223:C223"/>
    <mergeCell ref="B224:G224"/>
    <mergeCell ref="T224:AY224"/>
    <mergeCell ref="B225:G225"/>
    <mergeCell ref="I225:M225"/>
    <mergeCell ref="B226:G226"/>
    <mergeCell ref="B227:G227"/>
    <mergeCell ref="C231:K231"/>
    <mergeCell ref="B228:G228"/>
    <mergeCell ref="T239:X239"/>
    <mergeCell ref="Y239:AA239"/>
    <mergeCell ref="AB239:AC239"/>
    <mergeCell ref="AF239:AY239"/>
    <mergeCell ref="B240:C240"/>
    <mergeCell ref="B241:C241"/>
    <mergeCell ref="B242:C242"/>
    <mergeCell ref="B243:C243"/>
    <mergeCell ref="B244:G244"/>
    <mergeCell ref="B245:C247"/>
    <mergeCell ref="F246:G246"/>
    <mergeCell ref="F247:G247"/>
    <mergeCell ref="B248:C250"/>
    <mergeCell ref="F249:G249"/>
    <mergeCell ref="F250:G250"/>
    <mergeCell ref="B251:C253"/>
    <mergeCell ref="F252:G252"/>
    <mergeCell ref="F253:G253"/>
    <mergeCell ref="B254:C256"/>
    <mergeCell ref="F255:G255"/>
    <mergeCell ref="F256:G256"/>
    <mergeCell ref="B257:C259"/>
    <mergeCell ref="F258:G258"/>
    <mergeCell ref="F259:G259"/>
    <mergeCell ref="B268:G268"/>
    <mergeCell ref="T268:AY268"/>
    <mergeCell ref="B269:G269"/>
    <mergeCell ref="I269:M269"/>
    <mergeCell ref="B270:G270"/>
    <mergeCell ref="B271:G271"/>
    <mergeCell ref="C275:K275"/>
    <mergeCell ref="B272:G272"/>
    <mergeCell ref="B260:C262"/>
    <mergeCell ref="F261:G261"/>
    <mergeCell ref="F262:G262"/>
    <mergeCell ref="B263:C265"/>
    <mergeCell ref="F264:G264"/>
    <mergeCell ref="F265:G265"/>
    <mergeCell ref="B266:C266"/>
    <mergeCell ref="B267:G267"/>
    <mergeCell ref="T267:AY267"/>
    <mergeCell ref="T283:X283"/>
    <mergeCell ref="Y283:AA283"/>
    <mergeCell ref="AB283:AC283"/>
    <mergeCell ref="AF283:AY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G293"/>
    <mergeCell ref="B294:G294"/>
    <mergeCell ref="T294:AY294"/>
    <mergeCell ref="B295:G295"/>
    <mergeCell ref="I295:M295"/>
    <mergeCell ref="B296:G296"/>
    <mergeCell ref="B297:G297"/>
    <mergeCell ref="C300:K300"/>
    <mergeCell ref="T308:X308"/>
    <mergeCell ref="Y308:AA308"/>
    <mergeCell ref="AB308:AC308"/>
    <mergeCell ref="AF308:AY308"/>
    <mergeCell ref="B309:C309"/>
    <mergeCell ref="B310:C310"/>
    <mergeCell ref="T327:AY327"/>
    <mergeCell ref="B328:G328"/>
    <mergeCell ref="T328:AY328"/>
    <mergeCell ref="B311:C311"/>
    <mergeCell ref="B312:G312"/>
    <mergeCell ref="B313:C314"/>
    <mergeCell ref="F314:G314"/>
    <mergeCell ref="B315:C316"/>
    <mergeCell ref="F316:G316"/>
    <mergeCell ref="B317:C318"/>
    <mergeCell ref="F318:G318"/>
    <mergeCell ref="B319:C320"/>
    <mergeCell ref="F320:G320"/>
    <mergeCell ref="B329:G329"/>
    <mergeCell ref="I329:M329"/>
    <mergeCell ref="B330:G330"/>
    <mergeCell ref="B331:G331"/>
    <mergeCell ref="C335:K335"/>
    <mergeCell ref="B332:G332"/>
    <mergeCell ref="B321:C322"/>
    <mergeCell ref="F322:G322"/>
    <mergeCell ref="B323:C324"/>
    <mergeCell ref="F324:G324"/>
    <mergeCell ref="B325:C326"/>
    <mergeCell ref="F326:G326"/>
    <mergeCell ref="B327:G327"/>
  </mergeCells>
  <dataValidations count="8">
    <dataValidation type="list" allowBlank="1" showInputMessage="1" showErrorMessage="1" sqref="F40 F101 F67 F174" xr:uid="{00000000-0002-0000-0500-000000000000}">
      <formula1>$H$30:$H$48</formula1>
    </dataValidation>
    <dataValidation type="list" allowBlank="1" showInputMessage="1" showErrorMessage="1" sqref="L43 L104 L70 L177" xr:uid="{00000000-0002-0000-0500-000001000000}">
      <formula1>$I$30:$I$48</formula1>
    </dataValidation>
    <dataValidation type="list" allowBlank="1" showInputMessage="1" showErrorMessage="1" sqref="F127" xr:uid="{00000000-0002-0000-0500-000002000000}">
      <formula1>$H$30:$H$49</formula1>
    </dataValidation>
    <dataValidation type="list" allowBlank="1" showInputMessage="1" showErrorMessage="1" sqref="L130" xr:uid="{00000000-0002-0000-0500-000003000000}">
      <formula1>$I$30:$I$49</formula1>
    </dataValidation>
    <dataValidation type="list" allowBlank="1" showInputMessage="1" showErrorMessage="1" sqref="F155" xr:uid="{00000000-0002-0000-0500-000004000000}">
      <formula1>$H$30:$H$47</formula1>
    </dataValidation>
    <dataValidation type="list" allowBlank="1" showInputMessage="1" showErrorMessage="1" sqref="L157" xr:uid="{00000000-0002-0000-0500-000005000000}">
      <formula1>$I$30:$I$47</formula1>
    </dataValidation>
    <dataValidation type="list" allowBlank="1" showInputMessage="1" showErrorMessage="1" sqref="F277 F209 F233 F302 F363 F337" xr:uid="{00000000-0002-0000-0500-000006000000}">
      <formula1>$H$30:$H$63</formula1>
    </dataValidation>
    <dataValidation type="list" allowBlank="1" showInputMessage="1" showErrorMessage="1" sqref="L280 L212 L236 L305 L366 L340" xr:uid="{00000000-0002-0000-0500-000007000000}">
      <formula1>$I$30:$I$63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8000000}">
          <x14:formula1>
            <xm:f>'FLF &amp; AGENT INFO'!$H$3:$H$7</xm:f>
          </x14:formula1>
          <xm:sqref>L6 L44 L71 L105 L131 L158 L178 L213 L237 L281 L306 L341 L367</xm:sqref>
        </x14:dataValidation>
        <x14:dataValidation type="list" allowBlank="1" showInputMessage="1" showErrorMessage="1" xr:uid="{00000000-0002-0000-0500-000009000000}">
          <x14:formula1>
            <xm:f>'FLF &amp; AGENT INFO'!$F$3:$F$24</xm:f>
          </x14:formula1>
          <xm:sqref>F7 F45 F72 F106 F132 F160 F179 F214 F238 F282 F307 F342 F368</xm:sqref>
        </x14:dataValidation>
        <x14:dataValidation type="list" allowBlank="1" showInputMessage="1" showErrorMessage="1" xr:uid="{00000000-0002-0000-0500-00000A000000}">
          <x14:formula1>
            <xm:f>'FLF &amp; AGENT INFO'!$B$3:$B$20</xm:f>
          </x14:formula1>
          <xm:sqref>F5 F43 F70 F104 F130 F158 F177 F212 F236 F280 F305 F340 F366</xm:sqref>
        </x14:dataValidation>
        <x14:dataValidation type="list" allowBlank="1" showInputMessage="1" showErrorMessage="1" xr:uid="{00000000-0002-0000-0500-00000B000000}">
          <x14:formula1>
            <xm:f>'FLF &amp; AGENT INFO'!$D$3:$D$31</xm:f>
          </x14:formula1>
          <xm:sqref>F6 F367 F341 F306 F281 F237 F213 F178 F159 F131 F105 F71 F44</xm:sqref>
        </x14:dataValidation>
        <x14:dataValidation type="list" allowBlank="1" showInputMessage="1" showErrorMessage="1" xr:uid="{00000000-0002-0000-0500-00000C000000}">
          <x14:formula1>
            <xm:f>'VLU 2023 &amp; 2024'!$H$21:$H$61</xm:f>
          </x14:formula1>
          <xm:sqref>F2</xm:sqref>
        </x14:dataValidation>
        <x14:dataValidation type="list" allowBlank="1" showInputMessage="1" showErrorMessage="1" xr:uid="{00000000-0002-0000-0500-00000D000000}">
          <x14:formula1>
            <xm:f>'VLU 2023 &amp; 2024'!$I$21:$I$61</xm:f>
          </x14:formula1>
          <xm:sqref>L5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CC308"/>
  <sheetViews>
    <sheetView zoomScale="80" zoomScaleNormal="80" zoomScaleSheetLayoutView="73" workbookViewId="0">
      <pane xSplit="16" ySplit="2" topLeftCell="Q3" activePane="bottomRight" state="frozen"/>
      <selection pane="topRight" activeCell="A3" sqref="A3"/>
      <selection pane="bottomLeft" activeCell="A3" sqref="A3"/>
      <selection pane="bottomRight" activeCell="A3" sqref="A3"/>
    </sheetView>
  </sheetViews>
  <sheetFormatPr defaultColWidth="9.33203125" defaultRowHeight="14.4"/>
  <cols>
    <col min="1" max="1" width="12.6640625" style="119" customWidth="1"/>
    <col min="2" max="2" width="7.5546875" style="119" customWidth="1"/>
    <col min="3" max="3" width="7.6640625" style="115" customWidth="1"/>
    <col min="4" max="4" width="6" style="115" customWidth="1"/>
    <col min="5" max="5" width="21.44140625" style="115" customWidth="1"/>
    <col min="6" max="6" width="10.5546875" style="115" hidden="1" customWidth="1"/>
    <col min="7" max="7" width="13.5546875" style="252" hidden="1" customWidth="1"/>
    <col min="8" max="8" width="12.5546875" style="252" hidden="1" customWidth="1"/>
    <col min="9" max="9" width="11.109375" style="117" customWidth="1"/>
    <col min="10" max="10" width="20.33203125" style="115" customWidth="1"/>
    <col min="11" max="11" width="15.5546875" style="115" customWidth="1"/>
    <col min="12" max="12" width="13.5546875" style="115" customWidth="1"/>
    <col min="13" max="13" width="0.33203125" style="118" customWidth="1"/>
    <col min="14" max="14" width="21.44140625" style="115" customWidth="1"/>
    <col min="15" max="15" width="22" style="115" customWidth="1"/>
    <col min="16" max="16" width="20.6640625" style="115" customWidth="1"/>
    <col min="17" max="17" width="8.5546875" style="117" customWidth="1"/>
    <col min="18" max="18" width="10.33203125" style="117" customWidth="1"/>
    <col min="19" max="19" width="1.33203125" style="117" customWidth="1"/>
    <col min="20" max="20" width="9.6640625" style="115" customWidth="1"/>
    <col min="21" max="21" width="10.33203125" style="115" customWidth="1"/>
    <col min="22" max="22" width="8.5546875" style="115" customWidth="1"/>
    <col min="23" max="23" width="10.33203125" style="115" customWidth="1"/>
    <col min="24" max="24" width="10.109375" style="115" customWidth="1"/>
    <col min="25" max="48" width="8.5546875" style="115" customWidth="1"/>
    <col min="49" max="49" width="15.5546875" style="251" customWidth="1"/>
    <col min="50" max="50" width="16" style="251" customWidth="1"/>
    <col min="51" max="51" width="9.6640625" style="251" customWidth="1"/>
    <col min="52" max="52" width="15.5546875" style="251" customWidth="1"/>
    <col min="53" max="53" width="16.5546875" style="251" customWidth="1"/>
    <col min="54" max="54" width="16.44140625" style="251" customWidth="1"/>
    <col min="55" max="55" width="16" style="251" customWidth="1"/>
    <col min="56" max="56" width="15.5546875" style="251" customWidth="1"/>
    <col min="57" max="57" width="16.44140625" style="251" customWidth="1"/>
    <col min="58" max="58" width="15.5546875" style="251" customWidth="1"/>
    <col min="59" max="59" width="15.44140625" style="251" customWidth="1"/>
    <col min="60" max="60" width="17" style="251" customWidth="1"/>
    <col min="61" max="61" width="15.33203125" style="252" customWidth="1"/>
    <col min="62" max="62" width="15.5546875" style="251" customWidth="1"/>
    <col min="63" max="63" width="16.33203125" style="251" customWidth="1"/>
    <col min="64" max="64" width="15.5546875" style="251" customWidth="1"/>
    <col min="65" max="65" width="16.44140625" style="251" customWidth="1"/>
    <col min="66" max="67" width="15.5546875" style="115" customWidth="1"/>
    <col min="68" max="68" width="16.44140625" style="115" customWidth="1"/>
    <col min="69" max="69" width="49.5546875" style="116" customWidth="1"/>
    <col min="70" max="70" width="1.33203125" style="116" customWidth="1"/>
    <col min="71" max="71" width="10.5546875" style="251" customWidth="1"/>
    <col min="72" max="78" width="9.6640625" style="251" customWidth="1"/>
    <col min="79" max="79" width="11.33203125" style="115" bestFit="1" customWidth="1"/>
    <col min="80" max="16384" width="9.33203125" style="115"/>
  </cols>
  <sheetData>
    <row r="1" spans="1:79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136</v>
      </c>
      <c r="R1" s="1236" t="s">
        <v>137</v>
      </c>
      <c r="S1" s="403"/>
      <c r="T1" s="1224" t="s">
        <v>73</v>
      </c>
      <c r="U1" s="1224"/>
      <c r="V1" s="1224"/>
      <c r="W1" s="1220" t="s">
        <v>74</v>
      </c>
      <c r="X1" s="1221"/>
      <c r="Y1" s="1222" t="s">
        <v>138</v>
      </c>
      <c r="Z1" s="1223"/>
      <c r="AA1" s="404" t="s">
        <v>85</v>
      </c>
      <c r="AB1" s="404" t="s">
        <v>139</v>
      </c>
      <c r="AC1" s="1224" t="s">
        <v>87</v>
      </c>
      <c r="AD1" s="1224"/>
      <c r="AE1" s="1224"/>
      <c r="AF1" s="1224"/>
      <c r="AG1" s="1224"/>
      <c r="AH1" s="1225" t="s">
        <v>138</v>
      </c>
      <c r="AI1" s="1220"/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1"/>
      <c r="AW1" s="1218" t="s">
        <v>140</v>
      </c>
      <c r="AX1" s="1218" t="s">
        <v>141</v>
      </c>
      <c r="AY1" s="1226" t="s">
        <v>142</v>
      </c>
      <c r="AZ1" s="1228" t="s">
        <v>143</v>
      </c>
      <c r="BA1" s="1228" t="s">
        <v>144</v>
      </c>
      <c r="BB1" s="1219" t="s">
        <v>145</v>
      </c>
      <c r="BC1" s="1218" t="s">
        <v>146</v>
      </c>
      <c r="BD1" s="1218" t="s">
        <v>147</v>
      </c>
      <c r="BE1" s="1218" t="s">
        <v>148</v>
      </c>
      <c r="BF1" s="1218" t="s">
        <v>149</v>
      </c>
      <c r="BG1" s="1219" t="s">
        <v>150</v>
      </c>
      <c r="BH1" s="1219" t="s">
        <v>151</v>
      </c>
      <c r="BI1" s="1219" t="s">
        <v>152</v>
      </c>
      <c r="BJ1" s="1219" t="s">
        <v>153</v>
      </c>
      <c r="BK1" s="1219" t="s">
        <v>154</v>
      </c>
      <c r="BL1" s="1218" t="s">
        <v>155</v>
      </c>
      <c r="BM1" s="1218" t="s">
        <v>156</v>
      </c>
      <c r="BN1" s="1218" t="s">
        <v>157</v>
      </c>
      <c r="BO1" s="1218" t="s">
        <v>149</v>
      </c>
      <c r="BP1" s="1218" t="s">
        <v>158</v>
      </c>
      <c r="BQ1" s="1217" t="s">
        <v>159</v>
      </c>
      <c r="BR1" s="569"/>
      <c r="BS1" s="1213" t="s">
        <v>160</v>
      </c>
      <c r="BT1" s="1213" t="s">
        <v>111</v>
      </c>
      <c r="BU1" s="1213" t="s">
        <v>161</v>
      </c>
      <c r="BV1" s="1213" t="s">
        <v>162</v>
      </c>
      <c r="BW1" s="1213" t="s">
        <v>120</v>
      </c>
      <c r="BX1" s="1213" t="s">
        <v>163</v>
      </c>
      <c r="BY1" s="1215" t="s">
        <v>164</v>
      </c>
      <c r="BZ1" s="1215" t="s">
        <v>165</v>
      </c>
      <c r="CA1" s="1215" t="s">
        <v>166</v>
      </c>
    </row>
    <row r="2" spans="1:79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36"/>
      <c r="S2" s="403"/>
      <c r="T2" s="404" t="s">
        <v>167</v>
      </c>
      <c r="U2" s="404" t="s">
        <v>168</v>
      </c>
      <c r="V2" s="405" t="s">
        <v>169</v>
      </c>
      <c r="W2" s="404" t="s">
        <v>170</v>
      </c>
      <c r="X2" s="404" t="s">
        <v>171</v>
      </c>
      <c r="Y2" s="406" t="s">
        <v>172</v>
      </c>
      <c r="Z2" s="406" t="s">
        <v>173</v>
      </c>
      <c r="AA2" s="404" t="s">
        <v>174</v>
      </c>
      <c r="AB2" s="404" t="s">
        <v>139</v>
      </c>
      <c r="AC2" s="405" t="s">
        <v>175</v>
      </c>
      <c r="AD2" s="405" t="s">
        <v>176</v>
      </c>
      <c r="AE2" s="405" t="s">
        <v>177</v>
      </c>
      <c r="AF2" s="405" t="s">
        <v>178</v>
      </c>
      <c r="AG2" s="405" t="s">
        <v>179</v>
      </c>
      <c r="AH2" s="404" t="s">
        <v>81</v>
      </c>
      <c r="AI2" s="404" t="s">
        <v>180</v>
      </c>
      <c r="AJ2" s="404" t="s">
        <v>181</v>
      </c>
      <c r="AK2" s="404" t="s">
        <v>76</v>
      </c>
      <c r="AL2" s="404" t="s">
        <v>84</v>
      </c>
      <c r="AM2" s="404" t="s">
        <v>88</v>
      </c>
      <c r="AN2" s="404" t="s">
        <v>78</v>
      </c>
      <c r="AO2" s="404" t="s">
        <v>80</v>
      </c>
      <c r="AP2" s="404" t="s">
        <v>86</v>
      </c>
      <c r="AQ2" s="404" t="s">
        <v>82</v>
      </c>
      <c r="AR2" s="404" t="s">
        <v>182</v>
      </c>
      <c r="AS2" s="404" t="s">
        <v>183</v>
      </c>
      <c r="AT2" s="404" t="s">
        <v>184</v>
      </c>
      <c r="AU2" s="404" t="s">
        <v>100</v>
      </c>
      <c r="AV2" s="404" t="s">
        <v>913</v>
      </c>
      <c r="AW2" s="1218"/>
      <c r="AX2" s="1218"/>
      <c r="AY2" s="1227"/>
      <c r="AZ2" s="1229"/>
      <c r="BA2" s="1229"/>
      <c r="BB2" s="1219"/>
      <c r="BC2" s="1218"/>
      <c r="BD2" s="1218"/>
      <c r="BE2" s="1218"/>
      <c r="BF2" s="1218"/>
      <c r="BG2" s="1219"/>
      <c r="BH2" s="1219"/>
      <c r="BI2" s="1219"/>
      <c r="BJ2" s="1219"/>
      <c r="BK2" s="1219"/>
      <c r="BL2" s="1218"/>
      <c r="BM2" s="1218"/>
      <c r="BN2" s="1218"/>
      <c r="BO2" s="1218"/>
      <c r="BP2" s="1218"/>
      <c r="BQ2" s="1217"/>
      <c r="BR2" s="250"/>
      <c r="BS2" s="1214"/>
      <c r="BT2" s="1214"/>
      <c r="BU2" s="1214"/>
      <c r="BV2" s="1214"/>
      <c r="BW2" s="1214"/>
      <c r="BX2" s="1214"/>
      <c r="BY2" s="1216"/>
      <c r="BZ2" s="1216"/>
      <c r="CA2" s="1216"/>
    </row>
    <row r="3" spans="1:79" s="126" customFormat="1">
      <c r="A3" s="208" t="s">
        <v>914</v>
      </c>
      <c r="E3" s="167" t="s">
        <v>186</v>
      </c>
      <c r="F3" s="167" t="s">
        <v>187</v>
      </c>
      <c r="G3" s="166"/>
      <c r="H3" s="166"/>
      <c r="I3" s="181"/>
      <c r="M3" s="167"/>
      <c r="Q3" s="181"/>
      <c r="R3" s="181"/>
      <c r="S3" s="181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6"/>
      <c r="BK3" s="165"/>
      <c r="BL3" s="165"/>
      <c r="BM3" s="165"/>
      <c r="BN3" s="165"/>
      <c r="BO3" s="165"/>
      <c r="BP3" s="165"/>
      <c r="BS3" s="165"/>
      <c r="BT3" s="165"/>
      <c r="BU3" s="165"/>
      <c r="BV3" s="165"/>
      <c r="BW3" s="165"/>
      <c r="BX3" s="165"/>
      <c r="BY3" s="165"/>
      <c r="BZ3" s="165"/>
    </row>
    <row r="4" spans="1:79" s="126" customFormat="1">
      <c r="A4" s="192">
        <f>BC4</f>
        <v>44995.715277777781</v>
      </c>
      <c r="B4" s="126" t="s">
        <v>188</v>
      </c>
      <c r="C4" s="126" t="s">
        <v>88</v>
      </c>
      <c r="D4" s="126" t="s">
        <v>189</v>
      </c>
      <c r="E4" s="126" t="s">
        <v>673</v>
      </c>
      <c r="G4" s="165">
        <v>45003.279166666667</v>
      </c>
      <c r="H4" s="165">
        <v>45001.2</v>
      </c>
      <c r="I4" s="126" t="s">
        <v>191</v>
      </c>
      <c r="J4" s="126" t="s">
        <v>192</v>
      </c>
      <c r="K4" s="126" t="s">
        <v>192</v>
      </c>
      <c r="L4" s="126" t="s">
        <v>915</v>
      </c>
      <c r="M4" s="167"/>
      <c r="N4" s="126" t="s">
        <v>194</v>
      </c>
      <c r="O4" s="126" t="s">
        <v>195</v>
      </c>
      <c r="P4" s="126" t="s">
        <v>88</v>
      </c>
      <c r="Q4" s="181">
        <v>5000</v>
      </c>
      <c r="R4" s="181">
        <v>5008.6779999999999</v>
      </c>
      <c r="S4" s="181"/>
      <c r="AM4" s="181">
        <f>R4</f>
        <v>5008.6779999999999</v>
      </c>
      <c r="AW4" s="165">
        <f t="shared" ref="AW4:AW67" si="0">AZ4</f>
        <v>44995.708333333336</v>
      </c>
      <c r="AX4" s="165">
        <f t="shared" ref="AX4:AX67" si="1">BP4</f>
        <v>45002.930555555555</v>
      </c>
      <c r="AY4" s="137">
        <f t="shared" ref="AY4:AY67" si="2">AX4-AW4</f>
        <v>7.2222222222189885</v>
      </c>
      <c r="AZ4" s="165">
        <v>44995.708333333336</v>
      </c>
      <c r="BA4" s="165">
        <v>44995.708333333336</v>
      </c>
      <c r="BB4" s="165">
        <v>44995.708333333336</v>
      </c>
      <c r="BC4" s="165">
        <v>44995.715277777781</v>
      </c>
      <c r="BD4" s="165">
        <v>44996.375</v>
      </c>
      <c r="BE4" s="165">
        <v>44996.375</v>
      </c>
      <c r="BF4" s="165">
        <v>44996.375</v>
      </c>
      <c r="BG4" s="165">
        <v>44996.375</v>
      </c>
      <c r="BH4" s="166" t="s">
        <v>196</v>
      </c>
      <c r="BI4" s="166" t="s">
        <v>196</v>
      </c>
      <c r="BJ4" s="166" t="s">
        <v>196</v>
      </c>
      <c r="BK4" s="165">
        <v>45001.083333333336</v>
      </c>
      <c r="BL4" s="165">
        <v>45002.614583333336</v>
      </c>
      <c r="BM4" s="165">
        <v>45002.913194444445</v>
      </c>
      <c r="BN4" s="165">
        <v>45002.930555555555</v>
      </c>
      <c r="BO4" s="165">
        <v>45002.930555555555</v>
      </c>
      <c r="BP4" s="165">
        <v>45002.930555555555</v>
      </c>
      <c r="BS4" s="136">
        <f>(BB4-BA4)*24</f>
        <v>0</v>
      </c>
      <c r="BT4" s="136">
        <f>(BD4-BC4)*24</f>
        <v>15.833333333255723</v>
      </c>
      <c r="BU4" s="136">
        <f>(BG4-BF4)*24</f>
        <v>0</v>
      </c>
      <c r="BV4" s="136">
        <f>(BK4-BG4)*24</f>
        <v>113.00000000005821</v>
      </c>
      <c r="BW4" s="135">
        <f>(BM4-BL4)*24</f>
        <v>7.1666666666278616</v>
      </c>
      <c r="BX4" s="135">
        <f>(BP4-BO4)*24</f>
        <v>0</v>
      </c>
      <c r="BY4" s="134">
        <f>SUM(BS4:BX4)/24</f>
        <v>5.6666666666642413</v>
      </c>
      <c r="BZ4" s="134">
        <f>AY4</f>
        <v>7.2222222222189885</v>
      </c>
      <c r="CA4" s="133">
        <f>BY4/BZ4</f>
        <v>0.78461538461540015</v>
      </c>
    </row>
    <row r="5" spans="1:79" s="126" customFormat="1">
      <c r="A5" s="192">
        <f>BC5</f>
        <v>45007.829861111109</v>
      </c>
      <c r="B5" s="126" t="s">
        <v>188</v>
      </c>
      <c r="C5" s="126" t="s">
        <v>78</v>
      </c>
      <c r="D5" s="126" t="s">
        <v>197</v>
      </c>
      <c r="E5" s="65" t="s">
        <v>916</v>
      </c>
      <c r="G5" s="165">
        <v>45012.239583333336</v>
      </c>
      <c r="H5" s="165">
        <v>45012.239583333336</v>
      </c>
      <c r="I5" s="126" t="s">
        <v>199</v>
      </c>
      <c r="J5" s="126" t="s">
        <v>192</v>
      </c>
      <c r="K5" s="126" t="s">
        <v>192</v>
      </c>
      <c r="L5" s="126" t="s">
        <v>917</v>
      </c>
      <c r="M5" s="167"/>
      <c r="N5" s="126" t="s">
        <v>304</v>
      </c>
      <c r="O5" s="126" t="s">
        <v>305</v>
      </c>
      <c r="P5" s="126" t="s">
        <v>78</v>
      </c>
      <c r="Q5" s="181">
        <f>3107*2.4</f>
        <v>7456.7999999999993</v>
      </c>
      <c r="R5" s="181">
        <v>7500</v>
      </c>
      <c r="S5" s="181"/>
      <c r="AN5" s="181">
        <f>R5</f>
        <v>7500</v>
      </c>
      <c r="AW5" s="165">
        <f t="shared" si="0"/>
        <v>45005.774305555555</v>
      </c>
      <c r="AX5" s="165">
        <f t="shared" si="1"/>
        <v>45017.083333333336</v>
      </c>
      <c r="AY5" s="137">
        <f t="shared" si="2"/>
        <v>11.309027777781012</v>
      </c>
      <c r="AZ5" s="165">
        <v>45005.774305555555</v>
      </c>
      <c r="BA5" s="165">
        <v>45006.611111111109</v>
      </c>
      <c r="BB5" s="165">
        <v>45006.715277777781</v>
      </c>
      <c r="BC5" s="165">
        <v>45007.829861111109</v>
      </c>
      <c r="BD5" s="165">
        <v>45008.211805555555</v>
      </c>
      <c r="BE5" s="165">
        <v>45008.243055555555</v>
      </c>
      <c r="BF5" s="165">
        <v>45008.25</v>
      </c>
      <c r="BG5" s="165">
        <f>BF5+(5/24)</f>
        <v>45008.458333333336</v>
      </c>
      <c r="BH5" s="165">
        <v>45008.25</v>
      </c>
      <c r="BI5" s="165">
        <v>45008.416666666664</v>
      </c>
      <c r="BJ5" s="165">
        <v>45008.364583333336</v>
      </c>
      <c r="BK5" s="165">
        <v>45012.576388888891</v>
      </c>
      <c r="BL5" s="165">
        <v>45016.378472222219</v>
      </c>
      <c r="BM5" s="165">
        <v>45016.621527777781</v>
      </c>
      <c r="BN5" s="165">
        <v>45016.635416666664</v>
      </c>
      <c r="BO5" s="165">
        <v>45016.638888888891</v>
      </c>
      <c r="BP5" s="165">
        <v>45017.083333333336</v>
      </c>
      <c r="BS5" s="136">
        <f>(BB5-BA5)*24</f>
        <v>2.5000000001164153</v>
      </c>
      <c r="BT5" s="136">
        <f>(BD5-BC5)*24</f>
        <v>9.1666666666860692</v>
      </c>
      <c r="BU5" s="136">
        <f>(BG5-BF5)*24</f>
        <v>5.0000000000582077</v>
      </c>
      <c r="BV5" s="136">
        <f>(BK5-BI5)*24</f>
        <v>99.833333333430346</v>
      </c>
      <c r="BW5" s="135">
        <f>(BM5-BL5)*24</f>
        <v>5.8333333334885538</v>
      </c>
      <c r="BX5" s="135">
        <f>(BP5-BO5)*24</f>
        <v>10.666666666686069</v>
      </c>
      <c r="BY5" s="134">
        <f>SUM(BS5:BX5)/24</f>
        <v>5.5416666666860692</v>
      </c>
      <c r="BZ5" s="134">
        <f>AY5</f>
        <v>11.309027777781012</v>
      </c>
      <c r="CA5" s="133">
        <f>BY5/BZ5</f>
        <v>0.4900214921722848</v>
      </c>
    </row>
    <row r="6" spans="1:79" s="126" customFormat="1">
      <c r="A6" s="192">
        <f>BC6</f>
        <v>45011.715277777781</v>
      </c>
      <c r="B6" s="126" t="s">
        <v>188</v>
      </c>
      <c r="C6" s="126" t="s">
        <v>78</v>
      </c>
      <c r="D6" s="126" t="s">
        <v>197</v>
      </c>
      <c r="E6" s="65" t="s">
        <v>916</v>
      </c>
      <c r="G6" s="165">
        <v>45012.239583333336</v>
      </c>
      <c r="H6" s="165">
        <v>45012.239583333336</v>
      </c>
      <c r="I6" s="126" t="s">
        <v>199</v>
      </c>
      <c r="J6" s="126" t="s">
        <v>192</v>
      </c>
      <c r="K6" s="126" t="s">
        <v>192</v>
      </c>
      <c r="L6" s="126" t="s">
        <v>918</v>
      </c>
      <c r="M6" s="167"/>
      <c r="N6" s="126" t="s">
        <v>339</v>
      </c>
      <c r="O6" s="126" t="s">
        <v>340</v>
      </c>
      <c r="P6" s="126" t="s">
        <v>78</v>
      </c>
      <c r="Q6" s="181">
        <f>3141*2.4</f>
        <v>7538.4</v>
      </c>
      <c r="R6" s="181">
        <v>7500</v>
      </c>
      <c r="S6" s="181"/>
      <c r="AN6" s="181">
        <f>R6</f>
        <v>7500</v>
      </c>
      <c r="AW6" s="165">
        <f t="shared" si="0"/>
        <v>45005.791666666664</v>
      </c>
      <c r="AX6" s="165">
        <f t="shared" si="1"/>
        <v>45017.625</v>
      </c>
      <c r="AY6" s="137">
        <f t="shared" si="2"/>
        <v>11.833333333335759</v>
      </c>
      <c r="AZ6" s="165">
        <v>45005.791666666664</v>
      </c>
      <c r="BA6" s="165">
        <v>45009.607638888891</v>
      </c>
      <c r="BB6" s="165">
        <v>45009.680555555555</v>
      </c>
      <c r="BC6" s="165">
        <v>45011.715277777781</v>
      </c>
      <c r="BD6" s="165">
        <v>45012.159722222219</v>
      </c>
      <c r="BE6" s="165">
        <v>45012.194444444445</v>
      </c>
      <c r="BF6" s="165">
        <v>45012.194444444445</v>
      </c>
      <c r="BG6" s="165">
        <f>BF6+(5/24)</f>
        <v>45012.402777777781</v>
      </c>
      <c r="BH6" s="165">
        <v>45013.291666608799</v>
      </c>
      <c r="BI6" s="165">
        <v>45013.458333275463</v>
      </c>
      <c r="BJ6" s="165">
        <v>45013.447916666664</v>
      </c>
      <c r="BK6" s="165">
        <v>45015.454861111109</v>
      </c>
      <c r="BL6" s="165">
        <v>45016.697916666664</v>
      </c>
      <c r="BM6" s="165">
        <v>45016.90625</v>
      </c>
      <c r="BN6" s="165">
        <v>45017.138888888891</v>
      </c>
      <c r="BO6" s="165">
        <v>45017.142361111109</v>
      </c>
      <c r="BP6" s="165">
        <v>45017.625</v>
      </c>
      <c r="BS6" s="136">
        <f>(BB6-BA6)*24</f>
        <v>1.7499999999417923</v>
      </c>
      <c r="BT6" s="136">
        <f>(BD6-BC6)*24</f>
        <v>10.666666666511446</v>
      </c>
      <c r="BU6" s="136">
        <f>(BG6-BF6)*24</f>
        <v>5.0000000000582077</v>
      </c>
      <c r="BV6" s="136">
        <f>(BK6-BI6)*24</f>
        <v>47.916668055520859</v>
      </c>
      <c r="BW6" s="135">
        <f>(BM6-BL6)*24</f>
        <v>5.0000000000582077</v>
      </c>
      <c r="BX6" s="135">
        <f>(BP6-BO6)*24</f>
        <v>11.583333333372138</v>
      </c>
      <c r="BY6" s="134">
        <f>SUM(BS6:BX6)/24</f>
        <v>3.4131945023109438</v>
      </c>
      <c r="BZ6" s="134">
        <f>AY6</f>
        <v>11.833333333335759</v>
      </c>
      <c r="CA6" s="133">
        <f>BY6/BZ6</f>
        <v>0.28843897202621782</v>
      </c>
    </row>
    <row r="7" spans="1:79" s="126" customFormat="1">
      <c r="A7" s="192">
        <f>BC7</f>
        <v>45012.9375</v>
      </c>
      <c r="B7" s="126" t="s">
        <v>188</v>
      </c>
      <c r="C7" s="126" t="s">
        <v>78</v>
      </c>
      <c r="D7" s="126" t="s">
        <v>197</v>
      </c>
      <c r="E7" s="126" t="s">
        <v>919</v>
      </c>
      <c r="G7" s="73">
        <v>45010.666666666664</v>
      </c>
      <c r="H7" s="73">
        <v>45010.654166666667</v>
      </c>
      <c r="I7" s="126" t="s">
        <v>211</v>
      </c>
      <c r="J7" s="126" t="s">
        <v>192</v>
      </c>
      <c r="K7" s="126" t="s">
        <v>192</v>
      </c>
      <c r="L7" s="126" t="s">
        <v>920</v>
      </c>
      <c r="M7" s="167"/>
      <c r="N7" s="126" t="s">
        <v>213</v>
      </c>
      <c r="O7" s="126" t="s">
        <v>214</v>
      </c>
      <c r="P7" s="126" t="s">
        <v>78</v>
      </c>
      <c r="Q7" s="181">
        <f>3113*2.4</f>
        <v>7471.2</v>
      </c>
      <c r="R7" s="181">
        <v>7500</v>
      </c>
      <c r="S7" s="181"/>
      <c r="AN7" s="181">
        <f>R7</f>
        <v>7500</v>
      </c>
      <c r="AW7" s="165">
        <f t="shared" si="0"/>
        <v>45011.350694444445</v>
      </c>
      <c r="AX7" s="165">
        <f t="shared" si="1"/>
        <v>45019.791666666664</v>
      </c>
      <c r="AY7" s="137">
        <f t="shared" si="2"/>
        <v>8.4409722222189885</v>
      </c>
      <c r="AZ7" s="165">
        <v>45011.350694444445</v>
      </c>
      <c r="BA7" s="165">
        <v>45011.618055555555</v>
      </c>
      <c r="BB7" s="165">
        <v>45011.659722222219</v>
      </c>
      <c r="BC7" s="165">
        <v>45012.9375</v>
      </c>
      <c r="BD7" s="165">
        <v>45013.381944444445</v>
      </c>
      <c r="BE7" s="165">
        <v>45013.40625</v>
      </c>
      <c r="BF7" s="165">
        <v>45013.40625</v>
      </c>
      <c r="BG7" s="165">
        <f>BF7+(5/24)</f>
        <v>45013.614583333336</v>
      </c>
      <c r="BH7" s="165">
        <v>45014.291666608799</v>
      </c>
      <c r="BI7" s="165">
        <v>45014.458333275463</v>
      </c>
      <c r="BJ7" s="165">
        <v>45014.409722222219</v>
      </c>
      <c r="BK7" s="165">
        <v>45015.670138888891</v>
      </c>
      <c r="BL7" s="165">
        <v>45019.125</v>
      </c>
      <c r="BM7" s="165">
        <v>45019.375</v>
      </c>
      <c r="BN7" s="165">
        <v>45019.395833333336</v>
      </c>
      <c r="BO7" s="165">
        <v>45019.569444444445</v>
      </c>
      <c r="BP7" s="165">
        <v>45019.791666666664</v>
      </c>
      <c r="BS7" s="136">
        <f>(BB7-BA7)*24</f>
        <v>0.99999999994179234</v>
      </c>
      <c r="BT7" s="136">
        <f>(BD7-BC7)*24</f>
        <v>10.666666666686069</v>
      </c>
      <c r="BU7" s="136">
        <f>(BG7-BF7)*24</f>
        <v>5.0000000000582077</v>
      </c>
      <c r="BV7" s="136">
        <f>(BK7-BI7)*24</f>
        <v>29.083334722265135</v>
      </c>
      <c r="BW7" s="135">
        <f>(BM7-BL7)*24</f>
        <v>6</v>
      </c>
      <c r="BX7" s="135">
        <f>(BP7-BO7)*24</f>
        <v>5.3333333332557231</v>
      </c>
      <c r="BY7" s="134">
        <f>SUM(BS7:BX7)/24</f>
        <v>2.3784722800919553</v>
      </c>
      <c r="BZ7" s="134">
        <f>AY7</f>
        <v>8.4409722222189885</v>
      </c>
      <c r="CA7" s="133">
        <f>BY7/BZ7</f>
        <v>0.2817770533388505</v>
      </c>
    </row>
    <row r="8" spans="1:79" s="126" customFormat="1">
      <c r="A8" s="192"/>
      <c r="D8" s="126" t="s">
        <v>197</v>
      </c>
      <c r="G8" s="165"/>
      <c r="H8" s="165"/>
      <c r="J8" s="126" t="s">
        <v>312</v>
      </c>
      <c r="L8" s="126" t="s">
        <v>921</v>
      </c>
      <c r="M8" s="167"/>
      <c r="N8" s="126" t="s">
        <v>319</v>
      </c>
      <c r="O8" s="126" t="s">
        <v>320</v>
      </c>
      <c r="Q8" s="181">
        <f>3136*2.4</f>
        <v>7526.4</v>
      </c>
      <c r="R8" s="181"/>
      <c r="S8" s="181"/>
      <c r="AW8" s="165">
        <f t="shared" si="0"/>
        <v>44986</v>
      </c>
      <c r="AX8" s="165">
        <f t="shared" si="1"/>
        <v>45013.416666666664</v>
      </c>
      <c r="AY8" s="137">
        <f t="shared" si="2"/>
        <v>27.416666666664241</v>
      </c>
      <c r="AZ8" s="165">
        <v>44986</v>
      </c>
      <c r="BA8" s="166" t="s">
        <v>196</v>
      </c>
      <c r="BB8" s="166" t="s">
        <v>196</v>
      </c>
      <c r="BC8" s="166" t="s">
        <v>196</v>
      </c>
      <c r="BD8" s="166" t="s">
        <v>196</v>
      </c>
      <c r="BE8" s="166" t="s">
        <v>196</v>
      </c>
      <c r="BF8" s="166" t="s">
        <v>196</v>
      </c>
      <c r="BG8" s="166" t="s">
        <v>196</v>
      </c>
      <c r="BH8" s="166" t="s">
        <v>196</v>
      </c>
      <c r="BI8" s="166" t="s">
        <v>196</v>
      </c>
      <c r="BJ8" s="166" t="s">
        <v>196</v>
      </c>
      <c r="BK8" s="166" t="s">
        <v>196</v>
      </c>
      <c r="BL8" s="166" t="s">
        <v>196</v>
      </c>
      <c r="BM8" s="166" t="s">
        <v>196</v>
      </c>
      <c r="BN8" s="166" t="s">
        <v>196</v>
      </c>
      <c r="BO8" s="166" t="s">
        <v>196</v>
      </c>
      <c r="BP8" s="165">
        <v>45013.416666666664</v>
      </c>
      <c r="BQ8" s="126" t="s">
        <v>321</v>
      </c>
      <c r="BS8" s="136"/>
      <c r="BT8" s="136"/>
      <c r="BU8" s="136"/>
      <c r="BV8" s="136"/>
      <c r="BW8" s="135"/>
      <c r="BX8" s="135"/>
      <c r="BY8" s="134"/>
      <c r="BZ8" s="134"/>
      <c r="CA8" s="133"/>
    </row>
    <row r="9" spans="1:79" s="126" customFormat="1">
      <c r="A9" s="192"/>
      <c r="D9" s="126" t="s">
        <v>197</v>
      </c>
      <c r="G9" s="165"/>
      <c r="H9" s="165"/>
      <c r="J9" s="126" t="s">
        <v>312</v>
      </c>
      <c r="L9" s="126" t="s">
        <v>922</v>
      </c>
      <c r="M9" s="167"/>
      <c r="N9" s="126" t="s">
        <v>314</v>
      </c>
      <c r="O9" s="126" t="s">
        <v>315</v>
      </c>
      <c r="Q9" s="181">
        <f>3146*2.4</f>
        <v>7550.4</v>
      </c>
      <c r="R9" s="181"/>
      <c r="S9" s="181"/>
      <c r="AW9" s="165">
        <f t="shared" si="0"/>
        <v>44986</v>
      </c>
      <c r="AX9" s="165">
        <f t="shared" si="1"/>
        <v>45017</v>
      </c>
      <c r="AY9" s="137">
        <f t="shared" si="2"/>
        <v>31</v>
      </c>
      <c r="AZ9" s="165">
        <v>44986</v>
      </c>
      <c r="BA9" s="166" t="s">
        <v>196</v>
      </c>
      <c r="BB9" s="166" t="s">
        <v>196</v>
      </c>
      <c r="BC9" s="166" t="s">
        <v>196</v>
      </c>
      <c r="BD9" s="166" t="s">
        <v>196</v>
      </c>
      <c r="BE9" s="166" t="s">
        <v>196</v>
      </c>
      <c r="BF9" s="166" t="s">
        <v>196</v>
      </c>
      <c r="BG9" s="166" t="s">
        <v>196</v>
      </c>
      <c r="BH9" s="166" t="s">
        <v>196</v>
      </c>
      <c r="BI9" s="166" t="s">
        <v>196</v>
      </c>
      <c r="BJ9" s="166" t="s">
        <v>196</v>
      </c>
      <c r="BK9" s="166" t="s">
        <v>196</v>
      </c>
      <c r="BL9" s="166" t="s">
        <v>196</v>
      </c>
      <c r="BM9" s="166" t="s">
        <v>196</v>
      </c>
      <c r="BN9" s="166" t="s">
        <v>196</v>
      </c>
      <c r="BO9" s="166" t="s">
        <v>196</v>
      </c>
      <c r="BP9" s="165">
        <v>45017</v>
      </c>
      <c r="BQ9" s="126" t="s">
        <v>316</v>
      </c>
      <c r="BS9" s="136" t="e">
        <f t="shared" ref="BS9:BS72" si="3">(BB9-BA9)*24</f>
        <v>#VALUE!</v>
      </c>
      <c r="BT9" s="136" t="e">
        <f t="shared" ref="BT9:BT72" si="4">(BD9-BC9)*24</f>
        <v>#VALUE!</v>
      </c>
      <c r="BU9" s="136" t="e">
        <f t="shared" ref="BU9:BU72" si="5">(BG9-BF9)*24</f>
        <v>#VALUE!</v>
      </c>
      <c r="BV9" s="136" t="e">
        <f t="shared" ref="BV9:BV72" si="6">(BK9-BI9)*24</f>
        <v>#VALUE!</v>
      </c>
      <c r="BW9" s="135" t="e">
        <f t="shared" ref="BW9:BW72" si="7">(BM9-BL9)*24</f>
        <v>#VALUE!</v>
      </c>
      <c r="BX9" s="135" t="e">
        <f t="shared" ref="BX9:BX72" si="8">(BP9-BO9)*24</f>
        <v>#VALUE!</v>
      </c>
      <c r="BY9" s="134" t="e">
        <f t="shared" ref="BY9:BY72" si="9">SUM(BS9:BX9)/24</f>
        <v>#VALUE!</v>
      </c>
      <c r="BZ9" s="134">
        <f t="shared" ref="BZ9:BZ72" si="10">AY9</f>
        <v>31</v>
      </c>
      <c r="CA9" s="133" t="e">
        <f t="shared" ref="CA9:CA72" si="11">BY9/BZ9</f>
        <v>#VALUE!</v>
      </c>
    </row>
    <row r="10" spans="1:79" s="126" customFormat="1">
      <c r="A10" s="192">
        <f t="shared" ref="A10:A73" si="12">BC10</f>
        <v>44987.493055555555</v>
      </c>
      <c r="B10" s="126" t="s">
        <v>228</v>
      </c>
      <c r="C10" s="126" t="s">
        <v>229</v>
      </c>
      <c r="D10" s="126" t="s">
        <v>197</v>
      </c>
      <c r="E10" s="65" t="s">
        <v>745</v>
      </c>
      <c r="G10" s="73">
        <v>44985.75</v>
      </c>
      <c r="H10" s="73">
        <v>44985.75</v>
      </c>
      <c r="I10" s="126" t="s">
        <v>231</v>
      </c>
      <c r="J10" s="126" t="s">
        <v>192</v>
      </c>
      <c r="K10" s="126" t="s">
        <v>192</v>
      </c>
      <c r="L10" s="126" t="s">
        <v>923</v>
      </c>
      <c r="M10" s="167"/>
      <c r="N10" s="126" t="s">
        <v>334</v>
      </c>
      <c r="O10" s="126" t="s">
        <v>335</v>
      </c>
      <c r="P10" s="126" t="s">
        <v>581</v>
      </c>
      <c r="Q10" s="181">
        <f>3242 *2.4</f>
        <v>7780.7999999999993</v>
      </c>
      <c r="R10" s="181">
        <v>7434.527</v>
      </c>
      <c r="S10" s="181"/>
      <c r="W10" s="181">
        <f t="shared" ref="W10:W15" si="13">R10*0.75</f>
        <v>5575.8952499999996</v>
      </c>
      <c r="X10" s="181">
        <f t="shared" ref="X10:X15" si="14">R10*0.25</f>
        <v>1858.63175</v>
      </c>
      <c r="AW10" s="165">
        <f t="shared" si="0"/>
        <v>44976.541666666664</v>
      </c>
      <c r="AX10" s="165">
        <f t="shared" si="1"/>
        <v>44993.493055555555</v>
      </c>
      <c r="AY10" s="137">
        <f t="shared" si="2"/>
        <v>16.951388888890506</v>
      </c>
      <c r="AZ10" s="165">
        <v>44976.541666666664</v>
      </c>
      <c r="BA10" s="165">
        <v>44978.798611111109</v>
      </c>
      <c r="BB10" s="165">
        <v>44980.618055555555</v>
      </c>
      <c r="BC10" s="165">
        <v>44987.493055555555</v>
      </c>
      <c r="BD10" s="165">
        <v>44987.625</v>
      </c>
      <c r="BE10" s="165">
        <v>44987.635416666664</v>
      </c>
      <c r="BF10" s="165">
        <v>44987.635416666664</v>
      </c>
      <c r="BG10" s="165">
        <f t="shared" ref="BG10:BG73" si="15">BF10+(41/24)</f>
        <v>44989.34375</v>
      </c>
      <c r="BH10" s="165">
        <v>44989.25</v>
      </c>
      <c r="BI10" s="165">
        <v>44989.416666666664</v>
      </c>
      <c r="BJ10" s="165">
        <v>44989.684027777781</v>
      </c>
      <c r="BK10" s="165">
        <v>44990.9375</v>
      </c>
      <c r="BL10" s="165">
        <v>44992.479166666664</v>
      </c>
      <c r="BM10" s="165">
        <v>44992.819444444445</v>
      </c>
      <c r="BN10" s="165">
        <v>44992.840277777781</v>
      </c>
      <c r="BO10" s="165">
        <v>44993.208333333336</v>
      </c>
      <c r="BP10" s="165">
        <v>44993.493055555555</v>
      </c>
      <c r="BS10" s="136">
        <f t="shared" si="3"/>
        <v>43.666666666686069</v>
      </c>
      <c r="BT10" s="136">
        <f t="shared" si="4"/>
        <v>3.1666666666860692</v>
      </c>
      <c r="BU10" s="136">
        <f t="shared" si="5"/>
        <v>41.000000000058208</v>
      </c>
      <c r="BV10" s="136">
        <f t="shared" si="6"/>
        <v>36.500000000058208</v>
      </c>
      <c r="BW10" s="135">
        <f t="shared" si="7"/>
        <v>8.1666666667442769</v>
      </c>
      <c r="BX10" s="135">
        <f t="shared" si="8"/>
        <v>6.8333333332557231</v>
      </c>
      <c r="BY10" s="134">
        <f t="shared" si="9"/>
        <v>5.8055555555620231</v>
      </c>
      <c r="BZ10" s="134">
        <f t="shared" si="10"/>
        <v>16.951388888890506</v>
      </c>
      <c r="CA10" s="133">
        <f t="shared" si="11"/>
        <v>0.34248258910317558</v>
      </c>
    </row>
    <row r="11" spans="1:79" s="126" customFormat="1">
      <c r="A11" s="192">
        <f t="shared" si="12"/>
        <v>44987.25</v>
      </c>
      <c r="B11" s="126" t="s">
        <v>228</v>
      </c>
      <c r="C11" s="126" t="s">
        <v>229</v>
      </c>
      <c r="D11" s="126" t="s">
        <v>215</v>
      </c>
      <c r="E11" s="65" t="s">
        <v>745</v>
      </c>
      <c r="G11" s="73">
        <v>44985.75</v>
      </c>
      <c r="H11" s="73">
        <v>44985.75</v>
      </c>
      <c r="I11" s="126" t="s">
        <v>231</v>
      </c>
      <c r="J11" s="126" t="s">
        <v>192</v>
      </c>
      <c r="K11" s="126" t="s">
        <v>192</v>
      </c>
      <c r="L11" s="126" t="s">
        <v>924</v>
      </c>
      <c r="M11" s="167"/>
      <c r="N11" s="126" t="s">
        <v>774</v>
      </c>
      <c r="O11" s="126" t="s">
        <v>423</v>
      </c>
      <c r="P11" s="126" t="s">
        <v>581</v>
      </c>
      <c r="Q11" s="181">
        <f>3156*2.4</f>
        <v>7574.4</v>
      </c>
      <c r="R11" s="181">
        <v>7436.1409999999996</v>
      </c>
      <c r="S11" s="181"/>
      <c r="W11" s="181">
        <f t="shared" si="13"/>
        <v>5577.1057499999997</v>
      </c>
      <c r="X11" s="181">
        <f t="shared" si="14"/>
        <v>1859.0352499999999</v>
      </c>
      <c r="AW11" s="165">
        <f t="shared" si="0"/>
        <v>44977.84375</v>
      </c>
      <c r="AX11" s="165">
        <f t="shared" si="1"/>
        <v>44992.65625</v>
      </c>
      <c r="AY11" s="137">
        <f t="shared" si="2"/>
        <v>14.8125</v>
      </c>
      <c r="AZ11" s="165">
        <v>44977.84375</v>
      </c>
      <c r="BA11" s="165">
        <v>44978.802083333336</v>
      </c>
      <c r="BB11" s="165">
        <v>44980.458333333336</v>
      </c>
      <c r="BC11" s="165">
        <v>44987.25</v>
      </c>
      <c r="BD11" s="165">
        <v>44987.461805555555</v>
      </c>
      <c r="BE11" s="165">
        <v>44987.472222222219</v>
      </c>
      <c r="BF11" s="165">
        <v>44987.472222222219</v>
      </c>
      <c r="BG11" s="165">
        <f t="shared" si="15"/>
        <v>44989.180555555555</v>
      </c>
      <c r="BH11" s="165">
        <v>44989.25</v>
      </c>
      <c r="BI11" s="165">
        <v>44989.416666666664</v>
      </c>
      <c r="BJ11" s="165">
        <v>44989.663194444445</v>
      </c>
      <c r="BK11" s="165">
        <v>44990.763888888891</v>
      </c>
      <c r="BL11" s="165">
        <v>44991.986111111109</v>
      </c>
      <c r="BM11" s="165">
        <v>44992.25</v>
      </c>
      <c r="BN11" s="165">
        <v>44992.270833333336</v>
      </c>
      <c r="BO11" s="165">
        <v>44992.270833333336</v>
      </c>
      <c r="BP11" s="165">
        <v>44992.65625</v>
      </c>
      <c r="BS11" s="136">
        <f t="shared" si="3"/>
        <v>39.75</v>
      </c>
      <c r="BT11" s="136">
        <f t="shared" si="4"/>
        <v>5.0833333333139308</v>
      </c>
      <c r="BU11" s="136">
        <f t="shared" si="5"/>
        <v>41.000000000058208</v>
      </c>
      <c r="BV11" s="136">
        <f t="shared" si="6"/>
        <v>32.333333333430346</v>
      </c>
      <c r="BW11" s="135">
        <f t="shared" si="7"/>
        <v>6.3333333333721384</v>
      </c>
      <c r="BX11" s="135">
        <f t="shared" si="8"/>
        <v>9.2499999999417923</v>
      </c>
      <c r="BY11" s="134">
        <f t="shared" si="9"/>
        <v>5.5729166666715173</v>
      </c>
      <c r="BZ11" s="134">
        <f t="shared" si="10"/>
        <v>14.8125</v>
      </c>
      <c r="CA11" s="133">
        <f t="shared" si="11"/>
        <v>0.37623066104111508</v>
      </c>
    </row>
    <row r="12" spans="1:79" s="126" customFormat="1">
      <c r="A12" s="192">
        <f t="shared" si="12"/>
        <v>44987.048611111109</v>
      </c>
      <c r="B12" s="126" t="s">
        <v>228</v>
      </c>
      <c r="C12" s="126" t="s">
        <v>229</v>
      </c>
      <c r="D12" s="126" t="s">
        <v>215</v>
      </c>
      <c r="E12" s="65" t="s">
        <v>745</v>
      </c>
      <c r="G12" s="73">
        <v>44985.75</v>
      </c>
      <c r="H12" s="73">
        <v>44985.75</v>
      </c>
      <c r="I12" s="126" t="s">
        <v>231</v>
      </c>
      <c r="J12" s="126" t="s">
        <v>192</v>
      </c>
      <c r="K12" s="126" t="s">
        <v>192</v>
      </c>
      <c r="L12" s="126" t="s">
        <v>925</v>
      </c>
      <c r="M12" s="167"/>
      <c r="N12" s="126" t="s">
        <v>252</v>
      </c>
      <c r="O12" s="126" t="s">
        <v>253</v>
      </c>
      <c r="P12" s="126" t="s">
        <v>581</v>
      </c>
      <c r="Q12" s="181">
        <f>3107*2.4</f>
        <v>7456.7999999999993</v>
      </c>
      <c r="R12" s="181">
        <v>7513.18</v>
      </c>
      <c r="S12" s="181"/>
      <c r="W12" s="181">
        <f t="shared" si="13"/>
        <v>5634.8850000000002</v>
      </c>
      <c r="X12" s="181">
        <f t="shared" si="14"/>
        <v>1878.2950000000001</v>
      </c>
      <c r="AW12" s="165">
        <f t="shared" si="0"/>
        <v>44978.274305555555</v>
      </c>
      <c r="AX12" s="165">
        <f t="shared" si="1"/>
        <v>44993.680555555555</v>
      </c>
      <c r="AY12" s="137">
        <f t="shared" si="2"/>
        <v>15.40625</v>
      </c>
      <c r="AZ12" s="165">
        <v>44978.274305555555</v>
      </c>
      <c r="BA12" s="165">
        <v>44978.791666666664</v>
      </c>
      <c r="BB12" s="165">
        <v>44980.347222222219</v>
      </c>
      <c r="BC12" s="165">
        <v>44987.048611111109</v>
      </c>
      <c r="BD12" s="165">
        <v>44987.21875</v>
      </c>
      <c r="BE12" s="165">
        <v>44987.229166666664</v>
      </c>
      <c r="BF12" s="165">
        <v>44987.229166666664</v>
      </c>
      <c r="BG12" s="165">
        <f t="shared" si="15"/>
        <v>44988.9375</v>
      </c>
      <c r="BH12" s="165">
        <v>44990.25</v>
      </c>
      <c r="BI12" s="165">
        <v>44990.416666666664</v>
      </c>
      <c r="BJ12" s="165">
        <v>44990.284722222219</v>
      </c>
      <c r="BK12" s="165">
        <v>44991.458333333336</v>
      </c>
      <c r="BL12" s="165">
        <v>44992.881944444445</v>
      </c>
      <c r="BM12" s="165">
        <v>44993.239583333336</v>
      </c>
      <c r="BN12" s="165">
        <v>44993.260416666664</v>
      </c>
      <c r="BO12" s="165">
        <v>44993.260416666664</v>
      </c>
      <c r="BP12" s="165">
        <v>44993.680555555555</v>
      </c>
      <c r="BS12" s="136">
        <f t="shared" si="3"/>
        <v>37.333333333313931</v>
      </c>
      <c r="BT12" s="136">
        <f t="shared" si="4"/>
        <v>4.0833333333721384</v>
      </c>
      <c r="BU12" s="136">
        <f t="shared" si="5"/>
        <v>41.000000000058208</v>
      </c>
      <c r="BV12" s="136">
        <f t="shared" si="6"/>
        <v>25.000000000116415</v>
      </c>
      <c r="BW12" s="135">
        <f t="shared" si="7"/>
        <v>8.5833333333721384</v>
      </c>
      <c r="BX12" s="135">
        <f t="shared" si="8"/>
        <v>10.083333333372138</v>
      </c>
      <c r="BY12" s="134">
        <f t="shared" si="9"/>
        <v>5.2534722222335404</v>
      </c>
      <c r="BZ12" s="134">
        <f t="shared" si="10"/>
        <v>15.40625</v>
      </c>
      <c r="CA12" s="133">
        <f t="shared" si="11"/>
        <v>0.3409961685831101</v>
      </c>
    </row>
    <row r="13" spans="1:79" s="126" customFormat="1">
      <c r="A13" s="192">
        <f t="shared" si="12"/>
        <v>44987.659722222219</v>
      </c>
      <c r="B13" s="126" t="s">
        <v>228</v>
      </c>
      <c r="C13" s="126" t="s">
        <v>229</v>
      </c>
      <c r="D13" s="126" t="s">
        <v>197</v>
      </c>
      <c r="E13" s="65" t="s">
        <v>745</v>
      </c>
      <c r="G13" s="73">
        <v>44985.75</v>
      </c>
      <c r="H13" s="73">
        <v>44985.75</v>
      </c>
      <c r="I13" s="126" t="s">
        <v>231</v>
      </c>
      <c r="J13" s="126" t="s">
        <v>192</v>
      </c>
      <c r="K13" s="126" t="s">
        <v>192</v>
      </c>
      <c r="L13" s="126" t="s">
        <v>926</v>
      </c>
      <c r="M13" s="167"/>
      <c r="N13" s="126" t="s">
        <v>257</v>
      </c>
      <c r="O13" s="126" t="s">
        <v>258</v>
      </c>
      <c r="P13" s="126" t="s">
        <v>581</v>
      </c>
      <c r="Q13" s="181">
        <f>3139*2.4</f>
        <v>7533.5999999999995</v>
      </c>
      <c r="R13" s="181">
        <v>7437.1210000000001</v>
      </c>
      <c r="S13" s="181"/>
      <c r="W13" s="181">
        <f t="shared" si="13"/>
        <v>5577.8407500000003</v>
      </c>
      <c r="X13" s="181">
        <f t="shared" si="14"/>
        <v>1859.28025</v>
      </c>
      <c r="AW13" s="165">
        <f t="shared" si="0"/>
        <v>44978.472222222219</v>
      </c>
      <c r="AX13" s="165">
        <f t="shared" si="1"/>
        <v>44992.375</v>
      </c>
      <c r="AY13" s="137">
        <f t="shared" si="2"/>
        <v>13.902777777781012</v>
      </c>
      <c r="AZ13" s="165">
        <v>44978.472222222219</v>
      </c>
      <c r="BA13" s="165">
        <v>44979.541666666664</v>
      </c>
      <c r="BB13" s="165">
        <v>44981.166666666664</v>
      </c>
      <c r="BC13" s="165">
        <v>44987.659722222219</v>
      </c>
      <c r="BD13" s="165">
        <v>44987.829861111109</v>
      </c>
      <c r="BE13" s="165">
        <v>44987.84375</v>
      </c>
      <c r="BF13" s="165">
        <v>44987.84375</v>
      </c>
      <c r="BG13" s="165">
        <f t="shared" si="15"/>
        <v>44989.552083333336</v>
      </c>
      <c r="BH13" s="165">
        <v>44989.25</v>
      </c>
      <c r="BI13" s="165">
        <v>44989.416666666664</v>
      </c>
      <c r="BJ13" s="165">
        <v>44989.597222222219</v>
      </c>
      <c r="BK13" s="165">
        <v>44990.604166666664</v>
      </c>
      <c r="BL13" s="165">
        <v>44991.684027777781</v>
      </c>
      <c r="BM13" s="165">
        <v>44991.923611111109</v>
      </c>
      <c r="BN13" s="165">
        <v>44991.944444444445</v>
      </c>
      <c r="BO13" s="165">
        <v>44992.194444444445</v>
      </c>
      <c r="BP13" s="165">
        <v>44992.375</v>
      </c>
      <c r="BS13" s="136">
        <f t="shared" si="3"/>
        <v>39</v>
      </c>
      <c r="BT13" s="136">
        <f t="shared" si="4"/>
        <v>4.0833333333721384</v>
      </c>
      <c r="BU13" s="136">
        <f t="shared" si="5"/>
        <v>41.000000000058208</v>
      </c>
      <c r="BV13" s="136">
        <f t="shared" si="6"/>
        <v>28.5</v>
      </c>
      <c r="BW13" s="135">
        <f t="shared" si="7"/>
        <v>5.7499999998835847</v>
      </c>
      <c r="BX13" s="135">
        <f t="shared" si="8"/>
        <v>4.3333333333139308</v>
      </c>
      <c r="BY13" s="134">
        <f t="shared" si="9"/>
        <v>5.1111111111094942</v>
      </c>
      <c r="BZ13" s="134">
        <f t="shared" si="10"/>
        <v>13.902777777781012</v>
      </c>
      <c r="CA13" s="133">
        <f t="shared" si="11"/>
        <v>0.36763236763216584</v>
      </c>
    </row>
    <row r="14" spans="1:79" s="126" customFormat="1">
      <c r="A14" s="192">
        <f t="shared" si="12"/>
        <v>44988.034722222219</v>
      </c>
      <c r="B14" s="126" t="s">
        <v>228</v>
      </c>
      <c r="C14" s="126" t="s">
        <v>229</v>
      </c>
      <c r="D14" s="126" t="s">
        <v>215</v>
      </c>
      <c r="E14" s="65" t="s">
        <v>745</v>
      </c>
      <c r="G14" s="73">
        <v>44985.75</v>
      </c>
      <c r="H14" s="73">
        <v>44985.75</v>
      </c>
      <c r="I14" s="126" t="s">
        <v>231</v>
      </c>
      <c r="J14" s="126" t="s">
        <v>192</v>
      </c>
      <c r="K14" s="126" t="s">
        <v>192</v>
      </c>
      <c r="L14" s="126" t="s">
        <v>927</v>
      </c>
      <c r="M14" s="167"/>
      <c r="N14" s="126" t="s">
        <v>403</v>
      </c>
      <c r="O14" s="126" t="s">
        <v>404</v>
      </c>
      <c r="P14" s="126" t="s">
        <v>581</v>
      </c>
      <c r="Q14" s="181">
        <f>3107*2.4</f>
        <v>7456.7999999999993</v>
      </c>
      <c r="R14" s="181">
        <v>7609.3789999999999</v>
      </c>
      <c r="S14" s="181"/>
      <c r="W14" s="181">
        <f t="shared" si="13"/>
        <v>5707.0342499999997</v>
      </c>
      <c r="X14" s="181">
        <f t="shared" si="14"/>
        <v>1902.34475</v>
      </c>
      <c r="AW14" s="165">
        <f t="shared" si="0"/>
        <v>44979.003472222219</v>
      </c>
      <c r="AX14" s="165">
        <f t="shared" si="1"/>
        <v>44994.400694444441</v>
      </c>
      <c r="AY14" s="137">
        <f t="shared" si="2"/>
        <v>15.397222222221899</v>
      </c>
      <c r="AZ14" s="165">
        <v>44979.003472222219</v>
      </c>
      <c r="BA14" s="165">
        <v>44979.833333333336</v>
      </c>
      <c r="BB14" s="165">
        <v>44981.427083333336</v>
      </c>
      <c r="BC14" s="165">
        <v>44988.034722222219</v>
      </c>
      <c r="BD14" s="165">
        <v>44988.180555555555</v>
      </c>
      <c r="BE14" s="165">
        <v>44988.190972222219</v>
      </c>
      <c r="BF14" s="165">
        <v>44988.190972222219</v>
      </c>
      <c r="BG14" s="165">
        <f t="shared" si="15"/>
        <v>44989.899305555555</v>
      </c>
      <c r="BH14" s="165">
        <v>44991.25</v>
      </c>
      <c r="BI14" s="165">
        <v>44991.416666666664</v>
      </c>
      <c r="BJ14" s="165">
        <v>44991.284722222219</v>
      </c>
      <c r="BK14" s="165">
        <v>44992.465277777781</v>
      </c>
      <c r="BL14" s="165">
        <v>44993.684027777781</v>
      </c>
      <c r="BM14" s="165">
        <v>44993.923611111109</v>
      </c>
      <c r="BN14" s="165">
        <v>44993.944444444445</v>
      </c>
      <c r="BO14" s="165">
        <v>44994.208333333336</v>
      </c>
      <c r="BP14" s="165">
        <v>44994.400694444441</v>
      </c>
      <c r="BQ14" s="165">
        <v>44994.798611111109</v>
      </c>
      <c r="BS14" s="136">
        <f t="shared" si="3"/>
        <v>38.25</v>
      </c>
      <c r="BT14" s="136">
        <f t="shared" si="4"/>
        <v>3.5000000000582077</v>
      </c>
      <c r="BU14" s="136">
        <f t="shared" si="5"/>
        <v>41.000000000058208</v>
      </c>
      <c r="BV14" s="136">
        <f t="shared" si="6"/>
        <v>25.166666666802485</v>
      </c>
      <c r="BW14" s="135">
        <f t="shared" si="7"/>
        <v>5.7499999998835847</v>
      </c>
      <c r="BX14" s="135">
        <f t="shared" si="8"/>
        <v>4.6166666665230878</v>
      </c>
      <c r="BY14" s="134">
        <f t="shared" si="9"/>
        <v>4.9284722222218988</v>
      </c>
      <c r="BZ14" s="134">
        <f t="shared" si="10"/>
        <v>15.397222222221899</v>
      </c>
      <c r="CA14" s="133">
        <f t="shared" si="11"/>
        <v>0.32008839978349646</v>
      </c>
    </row>
    <row r="15" spans="1:79" s="126" customFormat="1">
      <c r="A15" s="192">
        <f t="shared" si="12"/>
        <v>44988.211805555555</v>
      </c>
      <c r="B15" s="126" t="s">
        <v>228</v>
      </c>
      <c r="C15" s="126" t="s">
        <v>229</v>
      </c>
      <c r="D15" s="126" t="s">
        <v>197</v>
      </c>
      <c r="E15" s="65" t="s">
        <v>745</v>
      </c>
      <c r="G15" s="73">
        <v>44985.75</v>
      </c>
      <c r="H15" s="73">
        <v>44985.75</v>
      </c>
      <c r="I15" s="126" t="s">
        <v>231</v>
      </c>
      <c r="J15" s="126" t="s">
        <v>192</v>
      </c>
      <c r="K15" s="126" t="s">
        <v>192</v>
      </c>
      <c r="L15" s="126" t="s">
        <v>928</v>
      </c>
      <c r="M15" s="167"/>
      <c r="N15" s="126" t="s">
        <v>249</v>
      </c>
      <c r="O15" s="126" t="s">
        <v>250</v>
      </c>
      <c r="P15" s="126" t="s">
        <v>581</v>
      </c>
      <c r="Q15" s="181">
        <f>3139*2.4</f>
        <v>7533.5999999999995</v>
      </c>
      <c r="R15" s="181">
        <v>7555.2430000000004</v>
      </c>
      <c r="S15" s="181"/>
      <c r="W15" s="181">
        <f t="shared" si="13"/>
        <v>5666.4322499999998</v>
      </c>
      <c r="X15" s="181">
        <f t="shared" si="14"/>
        <v>1888.8107500000001</v>
      </c>
      <c r="AW15" s="165">
        <f t="shared" si="0"/>
        <v>44979.229166666664</v>
      </c>
      <c r="AX15" s="165">
        <f t="shared" si="1"/>
        <v>44994.041666666664</v>
      </c>
      <c r="AY15" s="137">
        <f t="shared" si="2"/>
        <v>14.8125</v>
      </c>
      <c r="AZ15" s="165">
        <v>44979.229166666664</v>
      </c>
      <c r="BA15" s="165">
        <v>44979.798611111109</v>
      </c>
      <c r="BB15" s="165">
        <v>44981.583333333336</v>
      </c>
      <c r="BC15" s="165">
        <v>44988.211805555555</v>
      </c>
      <c r="BD15" s="165">
        <v>44988.408333333333</v>
      </c>
      <c r="BE15" s="165">
        <v>44988.413194444445</v>
      </c>
      <c r="BF15" s="165">
        <v>44988.413194444445</v>
      </c>
      <c r="BG15" s="165">
        <f t="shared" si="15"/>
        <v>44990.121527777781</v>
      </c>
      <c r="BH15" s="165">
        <v>44990.25</v>
      </c>
      <c r="BI15" s="165">
        <v>44990.416666666664</v>
      </c>
      <c r="BJ15" s="165">
        <v>44990.300694444442</v>
      </c>
      <c r="BK15" s="165">
        <v>44991.631944444445</v>
      </c>
      <c r="BL15" s="165">
        <v>44993.302083333336</v>
      </c>
      <c r="BM15" s="165">
        <v>44993.621527777781</v>
      </c>
      <c r="BN15" s="165">
        <v>44993.642361111109</v>
      </c>
      <c r="BO15" s="165">
        <v>44993.642361111109</v>
      </c>
      <c r="BP15" s="165">
        <v>44994.041666666664</v>
      </c>
      <c r="BS15" s="136">
        <f t="shared" si="3"/>
        <v>42.833333333430346</v>
      </c>
      <c r="BT15" s="136">
        <f t="shared" si="4"/>
        <v>4.7166666666744277</v>
      </c>
      <c r="BU15" s="136">
        <f t="shared" si="5"/>
        <v>41.000000000058208</v>
      </c>
      <c r="BV15" s="136">
        <f t="shared" si="6"/>
        <v>29.166666666744277</v>
      </c>
      <c r="BW15" s="135">
        <f t="shared" si="7"/>
        <v>7.6666666666860692</v>
      </c>
      <c r="BX15" s="135">
        <f t="shared" si="8"/>
        <v>9.5833333333139308</v>
      </c>
      <c r="BY15" s="134">
        <f t="shared" si="9"/>
        <v>5.6236111111211358</v>
      </c>
      <c r="BZ15" s="134">
        <f t="shared" si="10"/>
        <v>14.8125</v>
      </c>
      <c r="CA15" s="133">
        <f t="shared" si="11"/>
        <v>0.37965307079298805</v>
      </c>
    </row>
    <row r="16" spans="1:79" s="126" customFormat="1">
      <c r="A16" s="192">
        <f t="shared" si="12"/>
        <v>44988.963194444441</v>
      </c>
      <c r="B16" s="126" t="s">
        <v>228</v>
      </c>
      <c r="C16" s="126" t="s">
        <v>229</v>
      </c>
      <c r="D16" s="126" t="s">
        <v>197</v>
      </c>
      <c r="E16" s="126" t="s">
        <v>929</v>
      </c>
      <c r="G16" s="73">
        <v>44993.125</v>
      </c>
      <c r="H16" s="73">
        <v>44993.083333333336</v>
      </c>
      <c r="I16" s="126" t="s">
        <v>434</v>
      </c>
      <c r="J16" s="126" t="s">
        <v>192</v>
      </c>
      <c r="K16" s="126" t="s">
        <v>192</v>
      </c>
      <c r="L16" s="126" t="s">
        <v>930</v>
      </c>
      <c r="M16" s="167"/>
      <c r="N16" s="126" t="s">
        <v>213</v>
      </c>
      <c r="O16" s="126" t="s">
        <v>214</v>
      </c>
      <c r="P16" s="126" t="s">
        <v>240</v>
      </c>
      <c r="Q16" s="181">
        <f>3113*2.4</f>
        <v>7471.2</v>
      </c>
      <c r="R16" s="181">
        <v>7505.2269999999999</v>
      </c>
      <c r="S16" s="181"/>
      <c r="X16" s="181">
        <f>R16</f>
        <v>7505.2269999999999</v>
      </c>
      <c r="AW16" s="165">
        <f t="shared" si="0"/>
        <v>44979.427083333336</v>
      </c>
      <c r="AX16" s="165">
        <f t="shared" si="1"/>
        <v>44999.631944444445</v>
      </c>
      <c r="AY16" s="137">
        <f t="shared" si="2"/>
        <v>20.204861111109494</v>
      </c>
      <c r="AZ16" s="165">
        <v>44979.427083333336</v>
      </c>
      <c r="BA16" s="165">
        <v>44980.670138888891</v>
      </c>
      <c r="BB16" s="165">
        <v>44982.333333333336</v>
      </c>
      <c r="BC16" s="165">
        <v>44988.963194444441</v>
      </c>
      <c r="BD16" s="165">
        <v>44989.09375</v>
      </c>
      <c r="BE16" s="165">
        <v>44989.097222222219</v>
      </c>
      <c r="BF16" s="165">
        <v>44989.097222222219</v>
      </c>
      <c r="BG16" s="165">
        <f t="shared" si="15"/>
        <v>44990.805555555555</v>
      </c>
      <c r="BH16" s="165">
        <v>44991.25</v>
      </c>
      <c r="BI16" s="165">
        <v>44991.416666666664</v>
      </c>
      <c r="BJ16" s="165">
        <v>44991.34375</v>
      </c>
      <c r="BK16" s="165">
        <v>44995.041666666664</v>
      </c>
      <c r="BL16" s="165">
        <v>44996.840277777781</v>
      </c>
      <c r="BM16" s="165">
        <v>44997.291666666664</v>
      </c>
      <c r="BN16" s="165">
        <v>44997.302083333336</v>
      </c>
      <c r="BO16" s="165">
        <v>44997.833333333336</v>
      </c>
      <c r="BP16" s="165">
        <v>44999.631944444445</v>
      </c>
      <c r="BS16" s="136">
        <f t="shared" si="3"/>
        <v>39.916666666686069</v>
      </c>
      <c r="BT16" s="136">
        <f t="shared" si="4"/>
        <v>3.1333333334187046</v>
      </c>
      <c r="BU16" s="136">
        <f t="shared" si="5"/>
        <v>41.000000000058208</v>
      </c>
      <c r="BV16" s="136">
        <f t="shared" si="6"/>
        <v>87</v>
      </c>
      <c r="BW16" s="135">
        <f t="shared" si="7"/>
        <v>10.833333333197515</v>
      </c>
      <c r="BX16" s="135">
        <f t="shared" si="8"/>
        <v>43.166666666627862</v>
      </c>
      <c r="BY16" s="134">
        <f t="shared" si="9"/>
        <v>9.3770833333328483</v>
      </c>
      <c r="BZ16" s="134">
        <f t="shared" si="10"/>
        <v>20.204861111109494</v>
      </c>
      <c r="CA16" s="133">
        <f t="shared" si="11"/>
        <v>0.46410036088676343</v>
      </c>
    </row>
    <row r="17" spans="1:79" s="126" customFormat="1">
      <c r="A17" s="192">
        <f t="shared" si="12"/>
        <v>44987.868055555555</v>
      </c>
      <c r="B17" s="126" t="s">
        <v>228</v>
      </c>
      <c r="C17" s="126" t="s">
        <v>229</v>
      </c>
      <c r="D17" s="126" t="s">
        <v>197</v>
      </c>
      <c r="E17" s="65" t="s">
        <v>745</v>
      </c>
      <c r="G17" s="73">
        <v>44985.75</v>
      </c>
      <c r="H17" s="73">
        <v>44985.75</v>
      </c>
      <c r="I17" s="126" t="s">
        <v>231</v>
      </c>
      <c r="J17" s="126" t="s">
        <v>192</v>
      </c>
      <c r="K17" s="126" t="s">
        <v>192</v>
      </c>
      <c r="L17" s="126" t="s">
        <v>931</v>
      </c>
      <c r="M17" s="167"/>
      <c r="N17" s="126" t="s">
        <v>406</v>
      </c>
      <c r="O17" s="126" t="s">
        <v>407</v>
      </c>
      <c r="P17" s="126" t="s">
        <v>581</v>
      </c>
      <c r="Q17" s="181">
        <f>3107*2.4</f>
        <v>7456.7999999999993</v>
      </c>
      <c r="R17" s="181">
        <v>7526.7529999999997</v>
      </c>
      <c r="S17" s="181"/>
      <c r="W17" s="181">
        <f>R17*0.75</f>
        <v>5645.0647499999995</v>
      </c>
      <c r="X17" s="181">
        <f>R17*0.25</f>
        <v>1881.6882499999999</v>
      </c>
      <c r="AW17" s="165">
        <f t="shared" si="0"/>
        <v>44979.503472222219</v>
      </c>
      <c r="AX17" s="165">
        <f t="shared" si="1"/>
        <v>44994.75</v>
      </c>
      <c r="AY17" s="137">
        <f t="shared" si="2"/>
        <v>15.246527777781012</v>
      </c>
      <c r="AZ17" s="165">
        <v>44979.503472222219</v>
      </c>
      <c r="BA17" s="165">
        <v>44979.864583333336</v>
      </c>
      <c r="BB17" s="165">
        <v>44981.170138888891</v>
      </c>
      <c r="BC17" s="165">
        <v>44987.868055555555</v>
      </c>
      <c r="BD17" s="165">
        <v>44988</v>
      </c>
      <c r="BE17" s="165">
        <v>44988.010416666664</v>
      </c>
      <c r="BF17" s="165">
        <v>44988.010416666664</v>
      </c>
      <c r="BG17" s="165">
        <f t="shared" si="15"/>
        <v>44989.71875</v>
      </c>
      <c r="BH17" s="165">
        <v>44991.25</v>
      </c>
      <c r="BI17" s="165">
        <v>44991.416666666664</v>
      </c>
      <c r="BJ17" s="165">
        <v>44991.354166666664</v>
      </c>
      <c r="BK17" s="165">
        <v>44992.75</v>
      </c>
      <c r="BL17" s="165">
        <v>44993.986111111109</v>
      </c>
      <c r="BM17" s="165">
        <v>44994.326388888891</v>
      </c>
      <c r="BN17" s="165">
        <v>44994.347222222219</v>
      </c>
      <c r="BO17" s="165">
        <v>44994.347222222219</v>
      </c>
      <c r="BP17" s="165">
        <v>44994.75</v>
      </c>
      <c r="BS17" s="136">
        <f t="shared" si="3"/>
        <v>31.333333333313931</v>
      </c>
      <c r="BT17" s="136">
        <f t="shared" si="4"/>
        <v>3.1666666666860692</v>
      </c>
      <c r="BU17" s="136">
        <f t="shared" si="5"/>
        <v>41.000000000058208</v>
      </c>
      <c r="BV17" s="136">
        <f t="shared" si="6"/>
        <v>32.000000000058208</v>
      </c>
      <c r="BW17" s="135">
        <f t="shared" si="7"/>
        <v>8.1666666667442769</v>
      </c>
      <c r="BX17" s="135">
        <f t="shared" si="8"/>
        <v>9.6666666667442769</v>
      </c>
      <c r="BY17" s="134">
        <f t="shared" si="9"/>
        <v>5.2222222222335404</v>
      </c>
      <c r="BZ17" s="134">
        <f t="shared" si="10"/>
        <v>15.246527777781012</v>
      </c>
      <c r="CA17" s="133">
        <f t="shared" si="11"/>
        <v>0.34251878843155104</v>
      </c>
    </row>
    <row r="18" spans="1:79" s="126" customFormat="1">
      <c r="A18" s="192">
        <f t="shared" si="12"/>
        <v>44988.434027777781</v>
      </c>
      <c r="B18" s="126" t="s">
        <v>228</v>
      </c>
      <c r="C18" s="126" t="s">
        <v>229</v>
      </c>
      <c r="D18" s="126" t="s">
        <v>215</v>
      </c>
      <c r="E18" s="65" t="s">
        <v>745</v>
      </c>
      <c r="G18" s="73">
        <v>44985.75</v>
      </c>
      <c r="H18" s="73">
        <v>44985.75</v>
      </c>
      <c r="I18" s="126" t="s">
        <v>231</v>
      </c>
      <c r="J18" s="126" t="s">
        <v>192</v>
      </c>
      <c r="K18" s="126" t="s">
        <v>192</v>
      </c>
      <c r="L18" s="126" t="s">
        <v>932</v>
      </c>
      <c r="M18" s="167"/>
      <c r="N18" s="126" t="s">
        <v>301</v>
      </c>
      <c r="O18" s="126" t="s">
        <v>302</v>
      </c>
      <c r="P18" s="126" t="s">
        <v>581</v>
      </c>
      <c r="Q18" s="181">
        <f>3852*2.4</f>
        <v>9244.7999999999993</v>
      </c>
      <c r="R18" s="181">
        <f>9458.879-3609.395</f>
        <v>5849.4840000000004</v>
      </c>
      <c r="S18" s="181"/>
      <c r="T18" s="219"/>
      <c r="W18" s="181">
        <f>R18*0.75</f>
        <v>4387.1130000000003</v>
      </c>
      <c r="X18" s="181">
        <f>R18*0.25</f>
        <v>1462.3710000000001</v>
      </c>
      <c r="AW18" s="165">
        <f t="shared" si="0"/>
        <v>44979.635416666664</v>
      </c>
      <c r="AX18" s="165">
        <f t="shared" si="1"/>
        <v>44994.888888888891</v>
      </c>
      <c r="AY18" s="137">
        <f t="shared" si="2"/>
        <v>15.253472222226264</v>
      </c>
      <c r="AZ18" s="165">
        <v>44979.635416666664</v>
      </c>
      <c r="BA18" s="165">
        <v>44980.555555555555</v>
      </c>
      <c r="BB18" s="165">
        <v>44982.145833333336</v>
      </c>
      <c r="BC18" s="165">
        <v>44988.434027777781</v>
      </c>
      <c r="BD18" s="165">
        <v>44988.618055555555</v>
      </c>
      <c r="BE18" s="165">
        <v>44988.621527777781</v>
      </c>
      <c r="BF18" s="165">
        <v>44988.621527777781</v>
      </c>
      <c r="BG18" s="165">
        <f t="shared" si="15"/>
        <v>44990.329861111117</v>
      </c>
      <c r="BH18" s="165">
        <v>44992.25</v>
      </c>
      <c r="BI18" s="165">
        <v>44992.416666666664</v>
      </c>
      <c r="BJ18" s="165">
        <v>44992.305555555555</v>
      </c>
      <c r="BK18" s="165">
        <v>44993.753472222219</v>
      </c>
      <c r="BL18" s="165">
        <v>44994.71875</v>
      </c>
      <c r="BM18" s="165">
        <v>44994.822916666664</v>
      </c>
      <c r="BN18" s="165">
        <v>44994.888888888891</v>
      </c>
      <c r="BO18" s="165">
        <v>44994.888888888891</v>
      </c>
      <c r="BP18" s="165">
        <v>44994.888888888891</v>
      </c>
      <c r="BS18" s="136">
        <f t="shared" si="3"/>
        <v>38.166666666744277</v>
      </c>
      <c r="BT18" s="136">
        <f t="shared" si="4"/>
        <v>4.4166666665696539</v>
      </c>
      <c r="BU18" s="136">
        <f t="shared" si="5"/>
        <v>41.000000000058208</v>
      </c>
      <c r="BV18" s="136">
        <f t="shared" si="6"/>
        <v>32.083333333313931</v>
      </c>
      <c r="BW18" s="135">
        <f t="shared" si="7"/>
        <v>2.4999999999417923</v>
      </c>
      <c r="BX18" s="135">
        <f t="shared" si="8"/>
        <v>0</v>
      </c>
      <c r="BY18" s="134">
        <f t="shared" si="9"/>
        <v>4.9236111111094942</v>
      </c>
      <c r="BZ18" s="134">
        <f t="shared" si="10"/>
        <v>15.253472222226264</v>
      </c>
      <c r="CA18" s="133">
        <f t="shared" si="11"/>
        <v>0.32278625085343926</v>
      </c>
    </row>
    <row r="19" spans="1:79" s="126" customFormat="1">
      <c r="A19" s="192">
        <f t="shared" si="12"/>
        <v>44988.434027777781</v>
      </c>
      <c r="B19" s="126" t="s">
        <v>228</v>
      </c>
      <c r="C19" s="126" t="s">
        <v>229</v>
      </c>
      <c r="D19" s="126" t="s">
        <v>215</v>
      </c>
      <c r="E19" s="65" t="s">
        <v>814</v>
      </c>
      <c r="G19" s="73">
        <v>44989.875</v>
      </c>
      <c r="H19" s="73">
        <v>44989.79583333333</v>
      </c>
      <c r="I19" s="126" t="s">
        <v>231</v>
      </c>
      <c r="J19" s="126" t="s">
        <v>192</v>
      </c>
      <c r="K19" s="126" t="s">
        <v>192</v>
      </c>
      <c r="L19" s="126" t="s">
        <v>932</v>
      </c>
      <c r="M19" s="167"/>
      <c r="N19" s="126" t="s">
        <v>301</v>
      </c>
      <c r="O19" s="126" t="s">
        <v>302</v>
      </c>
      <c r="P19" s="126" t="s">
        <v>581</v>
      </c>
      <c r="Q19" s="181">
        <f>3852*2.4</f>
        <v>9244.7999999999993</v>
      </c>
      <c r="R19" s="181">
        <f>3607</f>
        <v>3607</v>
      </c>
      <c r="S19" s="181"/>
      <c r="W19" s="181">
        <f>R19*0.75</f>
        <v>2705.25</v>
      </c>
      <c r="X19" s="181">
        <f>R19*0.25</f>
        <v>901.75</v>
      </c>
      <c r="AW19" s="165">
        <f t="shared" si="0"/>
        <v>44979.635416666664</v>
      </c>
      <c r="AX19" s="165">
        <f t="shared" si="1"/>
        <v>44997.381944444445</v>
      </c>
      <c r="AY19" s="137">
        <f t="shared" si="2"/>
        <v>17.746527777781012</v>
      </c>
      <c r="AZ19" s="165">
        <v>44979.635416666664</v>
      </c>
      <c r="BA19" s="165">
        <v>44980.555555555555</v>
      </c>
      <c r="BB19" s="165">
        <v>44982.145833333336</v>
      </c>
      <c r="BC19" s="165">
        <v>44988.434027777781</v>
      </c>
      <c r="BD19" s="165">
        <v>44988.618055555555</v>
      </c>
      <c r="BE19" s="165">
        <v>44988.621527777781</v>
      </c>
      <c r="BF19" s="165">
        <v>44988.621527777781</v>
      </c>
      <c r="BG19" s="165">
        <f t="shared" si="15"/>
        <v>44990.329861111117</v>
      </c>
      <c r="BH19" s="165">
        <v>44992.25</v>
      </c>
      <c r="BI19" s="165">
        <v>44992.416666666664</v>
      </c>
      <c r="BJ19" s="165">
        <v>44992.305555555555</v>
      </c>
      <c r="BK19" s="165">
        <v>44994.888888888891</v>
      </c>
      <c r="BL19" s="165">
        <v>44996.90625</v>
      </c>
      <c r="BM19" s="165">
        <v>44997.034722222219</v>
      </c>
      <c r="BN19" s="165">
        <v>44997.055555555555</v>
      </c>
      <c r="BO19" s="165">
        <v>44997.208333333336</v>
      </c>
      <c r="BP19" s="165">
        <v>44997.381944444445</v>
      </c>
      <c r="BS19" s="136">
        <f t="shared" si="3"/>
        <v>38.166666666744277</v>
      </c>
      <c r="BT19" s="136">
        <f t="shared" si="4"/>
        <v>4.4166666665696539</v>
      </c>
      <c r="BU19" s="136">
        <f t="shared" si="5"/>
        <v>41.000000000058208</v>
      </c>
      <c r="BV19" s="136">
        <f t="shared" si="6"/>
        <v>59.333333333430346</v>
      </c>
      <c r="BW19" s="135">
        <f t="shared" si="7"/>
        <v>3.0833333332557231</v>
      </c>
      <c r="BX19" s="135">
        <f t="shared" si="8"/>
        <v>4.1666666666278616</v>
      </c>
      <c r="BY19" s="134">
        <f t="shared" si="9"/>
        <v>6.2569444444452529</v>
      </c>
      <c r="BZ19" s="134">
        <f t="shared" si="10"/>
        <v>17.746527777781012</v>
      </c>
      <c r="CA19" s="133">
        <f t="shared" si="11"/>
        <v>0.35257288201915565</v>
      </c>
    </row>
    <row r="20" spans="1:79" s="126" customFormat="1">
      <c r="A20" s="192">
        <f t="shared" si="12"/>
        <v>44989.753472222219</v>
      </c>
      <c r="B20" s="126" t="s">
        <v>228</v>
      </c>
      <c r="C20" s="126" t="s">
        <v>229</v>
      </c>
      <c r="D20" s="126" t="s">
        <v>197</v>
      </c>
      <c r="E20" s="126" t="s">
        <v>814</v>
      </c>
      <c r="G20" s="73">
        <v>44989.875</v>
      </c>
      <c r="H20" s="73">
        <v>44989.79583333333</v>
      </c>
      <c r="I20" s="126" t="s">
        <v>231</v>
      </c>
      <c r="J20" s="126" t="s">
        <v>192</v>
      </c>
      <c r="K20" s="126" t="s">
        <v>192</v>
      </c>
      <c r="L20" s="126" t="s">
        <v>933</v>
      </c>
      <c r="M20" s="167"/>
      <c r="N20" s="126" t="s">
        <v>686</v>
      </c>
      <c r="O20" s="126" t="s">
        <v>687</v>
      </c>
      <c r="P20" s="126" t="s">
        <v>934</v>
      </c>
      <c r="Q20" s="181">
        <v>7500</v>
      </c>
      <c r="R20" s="181">
        <v>7489.39</v>
      </c>
      <c r="S20" s="181"/>
      <c r="W20" s="181">
        <f t="shared" ref="W20:W27" si="16">R20*0.6</f>
        <v>4493.634</v>
      </c>
      <c r="X20" s="181">
        <f t="shared" ref="X20:X27" si="17">R20*0.4</f>
        <v>2995.7560000000003</v>
      </c>
      <c r="AW20" s="165">
        <f t="shared" si="0"/>
        <v>44980.041666666664</v>
      </c>
      <c r="AX20" s="165">
        <f t="shared" si="1"/>
        <v>44996.916666666664</v>
      </c>
      <c r="AY20" s="137">
        <f t="shared" si="2"/>
        <v>16.875</v>
      </c>
      <c r="AZ20" s="165">
        <v>44980.041666666664</v>
      </c>
      <c r="BA20" s="165">
        <v>44981.590277777781</v>
      </c>
      <c r="BB20" s="165">
        <v>44983.354166666664</v>
      </c>
      <c r="BC20" s="165">
        <v>44989.753472222219</v>
      </c>
      <c r="BD20" s="165">
        <v>44989.930555555555</v>
      </c>
      <c r="BE20" s="165">
        <v>44989.934027777781</v>
      </c>
      <c r="BF20" s="165">
        <v>44990.083333333336</v>
      </c>
      <c r="BG20" s="165">
        <f t="shared" si="15"/>
        <v>44991.791666666672</v>
      </c>
      <c r="BH20" s="165">
        <v>44992.25</v>
      </c>
      <c r="BI20" s="165">
        <v>44992.416666666664</v>
      </c>
      <c r="BJ20" s="165">
        <v>44992.34375</v>
      </c>
      <c r="BK20" s="165">
        <v>44993.645833333336</v>
      </c>
      <c r="BL20" s="165">
        <v>44996.395833333336</v>
      </c>
      <c r="BM20" s="165">
        <v>44996.600694444445</v>
      </c>
      <c r="BN20" s="165">
        <v>44996.621527777781</v>
      </c>
      <c r="BO20" s="165">
        <v>44996.621527777781</v>
      </c>
      <c r="BP20" s="165">
        <v>44996.916666666664</v>
      </c>
      <c r="BS20" s="136">
        <f t="shared" si="3"/>
        <v>42.333333333197515</v>
      </c>
      <c r="BT20" s="136">
        <f t="shared" si="4"/>
        <v>4.2500000000582077</v>
      </c>
      <c r="BU20" s="136">
        <f t="shared" si="5"/>
        <v>41.000000000058208</v>
      </c>
      <c r="BV20" s="136">
        <f t="shared" si="6"/>
        <v>29.500000000116415</v>
      </c>
      <c r="BW20" s="135">
        <f t="shared" si="7"/>
        <v>4.9166666666278616</v>
      </c>
      <c r="BX20" s="135">
        <f t="shared" si="8"/>
        <v>7.0833333331975155</v>
      </c>
      <c r="BY20" s="134">
        <f t="shared" si="9"/>
        <v>5.3784722222189885</v>
      </c>
      <c r="BZ20" s="134">
        <f t="shared" si="10"/>
        <v>16.875</v>
      </c>
      <c r="CA20" s="133">
        <f t="shared" si="11"/>
        <v>0.3187242798351993</v>
      </c>
    </row>
    <row r="21" spans="1:79" s="126" customFormat="1">
      <c r="A21" s="192">
        <f t="shared" si="12"/>
        <v>44989.954861111109</v>
      </c>
      <c r="B21" s="126" t="s">
        <v>228</v>
      </c>
      <c r="C21" s="126" t="s">
        <v>229</v>
      </c>
      <c r="D21" s="126" t="s">
        <v>197</v>
      </c>
      <c r="E21" s="126" t="s">
        <v>814</v>
      </c>
      <c r="G21" s="73">
        <v>44989.875</v>
      </c>
      <c r="H21" s="73">
        <v>44989.79583333333</v>
      </c>
      <c r="I21" s="126" t="s">
        <v>231</v>
      </c>
      <c r="J21" s="126" t="s">
        <v>192</v>
      </c>
      <c r="K21" s="126" t="s">
        <v>192</v>
      </c>
      <c r="L21" s="126" t="s">
        <v>935</v>
      </c>
      <c r="M21" s="167"/>
      <c r="N21" s="126" t="s">
        <v>260</v>
      </c>
      <c r="O21" s="126" t="s">
        <v>261</v>
      </c>
      <c r="P21" s="126" t="s">
        <v>934</v>
      </c>
      <c r="Q21" s="181">
        <f>3107*2.4</f>
        <v>7456.7999999999993</v>
      </c>
      <c r="R21" s="181">
        <v>7758.9160000000002</v>
      </c>
      <c r="S21" s="181"/>
      <c r="W21" s="181">
        <f t="shared" si="16"/>
        <v>4655.3495999999996</v>
      </c>
      <c r="X21" s="181">
        <f t="shared" si="17"/>
        <v>3103.5664000000002</v>
      </c>
      <c r="AW21" s="165">
        <f t="shared" si="0"/>
        <v>44980.434027777781</v>
      </c>
      <c r="AX21" s="165">
        <f t="shared" si="1"/>
        <v>44997.440972222219</v>
      </c>
      <c r="AY21" s="137">
        <f t="shared" si="2"/>
        <v>17.006944444437977</v>
      </c>
      <c r="AZ21" s="165">
        <v>44980.434027777781</v>
      </c>
      <c r="BA21" s="165">
        <v>44982.802083333336</v>
      </c>
      <c r="BB21" s="165">
        <v>44984.722222222219</v>
      </c>
      <c r="BC21" s="165">
        <v>44989.954861111109</v>
      </c>
      <c r="BD21" s="165">
        <v>44990.128472222219</v>
      </c>
      <c r="BE21" s="165">
        <v>44990.138888888891</v>
      </c>
      <c r="BF21" s="165">
        <v>44990.138888888891</v>
      </c>
      <c r="BG21" s="165">
        <f t="shared" si="15"/>
        <v>44991.847222222226</v>
      </c>
      <c r="BH21" s="165">
        <v>44992.25</v>
      </c>
      <c r="BI21" s="165">
        <v>44992.416666666664</v>
      </c>
      <c r="BJ21" s="165">
        <v>44992.34375</v>
      </c>
      <c r="BK21" s="165">
        <v>44993.708333333336</v>
      </c>
      <c r="BL21" s="165">
        <v>44996.663194444445</v>
      </c>
      <c r="BM21" s="165">
        <v>44996.84375</v>
      </c>
      <c r="BN21" s="165">
        <v>44996.864583333336</v>
      </c>
      <c r="BO21" s="165">
        <v>44997.25</v>
      </c>
      <c r="BP21" s="165">
        <v>44997.440972222219</v>
      </c>
      <c r="BS21" s="136">
        <f t="shared" si="3"/>
        <v>46.083333333197515</v>
      </c>
      <c r="BT21" s="136">
        <f t="shared" si="4"/>
        <v>4.1666666666278616</v>
      </c>
      <c r="BU21" s="136">
        <f t="shared" si="5"/>
        <v>41.000000000058208</v>
      </c>
      <c r="BV21" s="136">
        <f t="shared" si="6"/>
        <v>31.000000000116415</v>
      </c>
      <c r="BW21" s="135">
        <f t="shared" si="7"/>
        <v>4.3333333333139308</v>
      </c>
      <c r="BX21" s="135">
        <f t="shared" si="8"/>
        <v>4.5833333332557231</v>
      </c>
      <c r="BY21" s="134">
        <f t="shared" si="9"/>
        <v>5.4652777777737356</v>
      </c>
      <c r="BZ21" s="134">
        <f t="shared" si="10"/>
        <v>17.006944444437977</v>
      </c>
      <c r="CA21" s="133">
        <f t="shared" si="11"/>
        <v>0.32135565536942312</v>
      </c>
    </row>
    <row r="22" spans="1:79" s="126" customFormat="1">
      <c r="A22" s="192">
        <f t="shared" si="12"/>
        <v>44990.170138888891</v>
      </c>
      <c r="B22" s="126" t="s">
        <v>228</v>
      </c>
      <c r="C22" s="126" t="s">
        <v>229</v>
      </c>
      <c r="D22" s="126" t="s">
        <v>197</v>
      </c>
      <c r="E22" s="126" t="s">
        <v>814</v>
      </c>
      <c r="G22" s="73">
        <v>44989.875</v>
      </c>
      <c r="H22" s="73">
        <v>44989.79583333333</v>
      </c>
      <c r="I22" s="126" t="s">
        <v>231</v>
      </c>
      <c r="J22" s="126" t="s">
        <v>192</v>
      </c>
      <c r="K22" s="126" t="s">
        <v>192</v>
      </c>
      <c r="L22" s="126" t="s">
        <v>936</v>
      </c>
      <c r="M22" s="167"/>
      <c r="N22" s="126" t="s">
        <v>226</v>
      </c>
      <c r="O22" s="126" t="s">
        <v>227</v>
      </c>
      <c r="P22" s="126" t="s">
        <v>934</v>
      </c>
      <c r="Q22" s="181">
        <f>3100*2.4</f>
        <v>7440</v>
      </c>
      <c r="R22" s="181">
        <v>7433.1090000000004</v>
      </c>
      <c r="S22" s="181"/>
      <c r="W22" s="181">
        <f t="shared" si="16"/>
        <v>4459.8653999999997</v>
      </c>
      <c r="X22" s="181">
        <f t="shared" si="17"/>
        <v>2973.2436000000002</v>
      </c>
      <c r="AW22" s="165">
        <f t="shared" si="0"/>
        <v>44980.899305555555</v>
      </c>
      <c r="AX22" s="165">
        <f t="shared" si="1"/>
        <v>44997.899305555555</v>
      </c>
      <c r="AY22" s="137">
        <f t="shared" si="2"/>
        <v>17</v>
      </c>
      <c r="AZ22" s="165">
        <v>44980.899305555555</v>
      </c>
      <c r="BA22" s="165">
        <v>44982.822916666664</v>
      </c>
      <c r="BB22" s="165">
        <v>44984.743055555555</v>
      </c>
      <c r="BC22" s="165">
        <v>44990.170138888891</v>
      </c>
      <c r="BD22" s="165">
        <v>44990.399305555555</v>
      </c>
      <c r="BE22" s="165">
        <v>44990.40625</v>
      </c>
      <c r="BF22" s="165">
        <v>44990.40625</v>
      </c>
      <c r="BG22" s="165">
        <f t="shared" si="15"/>
        <v>44992.114583333336</v>
      </c>
      <c r="BH22" s="165">
        <v>44992.25</v>
      </c>
      <c r="BI22" s="165">
        <v>44992.416666666664</v>
      </c>
      <c r="BJ22" s="165">
        <v>44992.364583333336</v>
      </c>
      <c r="BK22" s="165">
        <v>44994.0625</v>
      </c>
      <c r="BL22" s="165">
        <v>44997.097222222219</v>
      </c>
      <c r="BM22" s="165">
        <v>44997.260416666664</v>
      </c>
      <c r="BN22" s="165">
        <v>44997.28125</v>
      </c>
      <c r="BO22" s="165">
        <v>44997.722222222219</v>
      </c>
      <c r="BP22" s="165">
        <v>44997.899305555555</v>
      </c>
      <c r="BS22" s="136">
        <f t="shared" si="3"/>
        <v>46.083333333372138</v>
      </c>
      <c r="BT22" s="136">
        <f t="shared" si="4"/>
        <v>5.4999999999417923</v>
      </c>
      <c r="BU22" s="136">
        <f t="shared" si="5"/>
        <v>41.000000000058208</v>
      </c>
      <c r="BV22" s="136">
        <f t="shared" si="6"/>
        <v>39.500000000058208</v>
      </c>
      <c r="BW22" s="135">
        <f t="shared" si="7"/>
        <v>3.9166666666860692</v>
      </c>
      <c r="BX22" s="135">
        <f t="shared" si="8"/>
        <v>4.2500000000582077</v>
      </c>
      <c r="BY22" s="134">
        <f t="shared" si="9"/>
        <v>5.843750000007276</v>
      </c>
      <c r="BZ22" s="134">
        <f t="shared" si="10"/>
        <v>17</v>
      </c>
      <c r="CA22" s="133">
        <f t="shared" si="11"/>
        <v>0.34375000000042799</v>
      </c>
    </row>
    <row r="23" spans="1:79" s="126" customFormat="1">
      <c r="A23" s="192">
        <f t="shared" si="12"/>
        <v>44989.319444444445</v>
      </c>
      <c r="B23" s="126" t="s">
        <v>228</v>
      </c>
      <c r="C23" s="126" t="s">
        <v>229</v>
      </c>
      <c r="D23" s="126" t="s">
        <v>197</v>
      </c>
      <c r="E23" s="126" t="s">
        <v>814</v>
      </c>
      <c r="G23" s="73">
        <v>44989.875</v>
      </c>
      <c r="H23" s="73">
        <v>44989.79583333333</v>
      </c>
      <c r="I23" s="126" t="s">
        <v>231</v>
      </c>
      <c r="J23" s="126" t="s">
        <v>192</v>
      </c>
      <c r="K23" s="126" t="s">
        <v>192</v>
      </c>
      <c r="L23" s="126" t="s">
        <v>937</v>
      </c>
      <c r="M23" s="167"/>
      <c r="N23" s="126" t="s">
        <v>288</v>
      </c>
      <c r="O23" s="126" t="s">
        <v>289</v>
      </c>
      <c r="P23" s="126" t="s">
        <v>934</v>
      </c>
      <c r="Q23" s="181">
        <f>3107*2.4</f>
        <v>7456.7999999999993</v>
      </c>
      <c r="R23" s="181">
        <v>7501.1549999999997</v>
      </c>
      <c r="S23" s="181"/>
      <c r="W23" s="181">
        <f t="shared" si="16"/>
        <v>4500.6929999999993</v>
      </c>
      <c r="X23" s="181">
        <f t="shared" si="17"/>
        <v>3000.462</v>
      </c>
      <c r="AW23" s="165">
        <f t="shared" si="0"/>
        <v>44980.916666666664</v>
      </c>
      <c r="AX23" s="165">
        <f t="shared" si="1"/>
        <v>44996.645833333336</v>
      </c>
      <c r="AY23" s="137">
        <f t="shared" si="2"/>
        <v>15.729166666671517</v>
      </c>
      <c r="AZ23" s="165">
        <v>44980.916666666664</v>
      </c>
      <c r="BA23" s="165">
        <v>44981.885416666664</v>
      </c>
      <c r="BB23" s="165">
        <v>44983.333333333336</v>
      </c>
      <c r="BC23" s="165">
        <v>44989.319444444445</v>
      </c>
      <c r="BD23" s="165">
        <v>44989.465277777781</v>
      </c>
      <c r="BE23" s="165">
        <v>44989.475694444445</v>
      </c>
      <c r="BF23" s="165">
        <v>44989.475694444445</v>
      </c>
      <c r="BG23" s="165">
        <f t="shared" si="15"/>
        <v>44991.184027777781</v>
      </c>
      <c r="BH23" s="165">
        <v>44992.25</v>
      </c>
      <c r="BI23" s="165">
        <v>44992.416666666664</v>
      </c>
      <c r="BJ23" s="165">
        <v>44992.416666666664</v>
      </c>
      <c r="BK23" s="165">
        <v>44993.625</v>
      </c>
      <c r="BL23" s="165">
        <v>44996.166666666664</v>
      </c>
      <c r="BM23" s="165">
        <v>44996.333333333336</v>
      </c>
      <c r="BN23" s="165">
        <v>44996.354166666664</v>
      </c>
      <c r="BO23" s="165">
        <v>44996.354166666664</v>
      </c>
      <c r="BP23" s="165">
        <v>44996.645833333336</v>
      </c>
      <c r="BS23" s="136">
        <f t="shared" si="3"/>
        <v>34.750000000116415</v>
      </c>
      <c r="BT23" s="136">
        <f t="shared" si="4"/>
        <v>3.5000000000582077</v>
      </c>
      <c r="BU23" s="136">
        <f t="shared" si="5"/>
        <v>41.000000000058208</v>
      </c>
      <c r="BV23" s="136">
        <f t="shared" si="6"/>
        <v>29.000000000058208</v>
      </c>
      <c r="BW23" s="135">
        <f t="shared" si="7"/>
        <v>4.0000000001164153</v>
      </c>
      <c r="BX23" s="135">
        <f t="shared" si="8"/>
        <v>7.0000000001164153</v>
      </c>
      <c r="BY23" s="134">
        <f t="shared" si="9"/>
        <v>4.9687500000218279</v>
      </c>
      <c r="BZ23" s="134">
        <f t="shared" si="10"/>
        <v>15.729166666671517</v>
      </c>
      <c r="CA23" s="133">
        <f t="shared" si="11"/>
        <v>0.31589403973638963</v>
      </c>
    </row>
    <row r="24" spans="1:79" s="126" customFormat="1">
      <c r="A24" s="192">
        <f t="shared" si="12"/>
        <v>44990.427083333336</v>
      </c>
      <c r="B24" s="126" t="s">
        <v>228</v>
      </c>
      <c r="C24" s="126" t="s">
        <v>229</v>
      </c>
      <c r="D24" s="126" t="s">
        <v>197</v>
      </c>
      <c r="E24" s="126" t="s">
        <v>814</v>
      </c>
      <c r="G24" s="73">
        <v>44989.875</v>
      </c>
      <c r="H24" s="73">
        <v>44989.79583333333</v>
      </c>
      <c r="I24" s="126" t="s">
        <v>231</v>
      </c>
      <c r="J24" s="126" t="s">
        <v>192</v>
      </c>
      <c r="K24" s="126" t="s">
        <v>192</v>
      </c>
      <c r="L24" s="126" t="s">
        <v>938</v>
      </c>
      <c r="M24" s="167"/>
      <c r="N24" s="126" t="s">
        <v>371</v>
      </c>
      <c r="O24" s="126" t="s">
        <v>372</v>
      </c>
      <c r="P24" s="126" t="s">
        <v>934</v>
      </c>
      <c r="Q24" s="181">
        <f>3128*2.4</f>
        <v>7507.2</v>
      </c>
      <c r="R24" s="181">
        <v>7401.1909999999998</v>
      </c>
      <c r="S24" s="181"/>
      <c r="W24" s="181">
        <f t="shared" si="16"/>
        <v>4440.7145999999993</v>
      </c>
      <c r="X24" s="181">
        <f t="shared" si="17"/>
        <v>2960.4764</v>
      </c>
      <c r="AW24" s="165">
        <f t="shared" si="0"/>
        <v>44981.604166666664</v>
      </c>
      <c r="AX24" s="165">
        <f t="shared" si="1"/>
        <v>44996.463194444441</v>
      </c>
      <c r="AY24" s="137">
        <f t="shared" si="2"/>
        <v>14.859027777776646</v>
      </c>
      <c r="AZ24" s="165">
        <v>44981.604166666664</v>
      </c>
      <c r="BA24" s="165">
        <v>44987.333333333336</v>
      </c>
      <c r="BB24" s="165">
        <v>44988.927083333336</v>
      </c>
      <c r="BC24" s="165">
        <v>44990.427083333336</v>
      </c>
      <c r="BD24" s="165">
        <v>44990.559027777781</v>
      </c>
      <c r="BE24" s="165">
        <v>44990.559027777781</v>
      </c>
      <c r="BF24" s="165">
        <v>44990.559027777781</v>
      </c>
      <c r="BG24" s="165">
        <f t="shared" si="15"/>
        <v>44992.267361111117</v>
      </c>
      <c r="BH24" s="165">
        <v>44993.25</v>
      </c>
      <c r="BI24" s="165">
        <v>44993.416666666664</v>
      </c>
      <c r="BJ24" s="165">
        <v>44993.336805555555</v>
      </c>
      <c r="BK24" s="165">
        <v>44994.6875</v>
      </c>
      <c r="BL24" s="165">
        <v>44995.71875</v>
      </c>
      <c r="BM24" s="165">
        <v>44995.895833333336</v>
      </c>
      <c r="BN24" s="165">
        <v>44995.916666666664</v>
      </c>
      <c r="BO24" s="165">
        <v>44996.25</v>
      </c>
      <c r="BP24" s="165">
        <v>44996.463194444441</v>
      </c>
      <c r="BQ24" s="126" t="s">
        <v>939</v>
      </c>
      <c r="BS24" s="136">
        <f t="shared" si="3"/>
        <v>38.25</v>
      </c>
      <c r="BT24" s="136">
        <f t="shared" si="4"/>
        <v>3.1666666666860692</v>
      </c>
      <c r="BU24" s="136">
        <f t="shared" si="5"/>
        <v>41.000000000058208</v>
      </c>
      <c r="BV24" s="136">
        <f t="shared" si="6"/>
        <v>30.500000000058208</v>
      </c>
      <c r="BW24" s="135">
        <f t="shared" si="7"/>
        <v>4.2500000000582077</v>
      </c>
      <c r="BX24" s="135">
        <f t="shared" si="8"/>
        <v>5.1166666665812954</v>
      </c>
      <c r="BY24" s="134">
        <f t="shared" si="9"/>
        <v>5.0951388888934162</v>
      </c>
      <c r="BZ24" s="134">
        <f t="shared" si="10"/>
        <v>14.859027777776646</v>
      </c>
      <c r="CA24" s="133">
        <f t="shared" si="11"/>
        <v>0.34289853717843988</v>
      </c>
    </row>
    <row r="25" spans="1:79" s="126" customFormat="1">
      <c r="A25" s="192">
        <f t="shared" si="12"/>
        <v>44990.579861111109</v>
      </c>
      <c r="B25" s="126" t="s">
        <v>228</v>
      </c>
      <c r="C25" s="126" t="s">
        <v>229</v>
      </c>
      <c r="D25" s="126" t="s">
        <v>215</v>
      </c>
      <c r="E25" s="126" t="s">
        <v>814</v>
      </c>
      <c r="G25" s="73">
        <v>44989.875</v>
      </c>
      <c r="H25" s="73">
        <v>44989.79583333333</v>
      </c>
      <c r="I25" s="126" t="s">
        <v>231</v>
      </c>
      <c r="J25" s="126" t="s">
        <v>192</v>
      </c>
      <c r="K25" s="126" t="s">
        <v>192</v>
      </c>
      <c r="L25" s="126" t="s">
        <v>940</v>
      </c>
      <c r="M25" s="167"/>
      <c r="N25" s="126" t="s">
        <v>274</v>
      </c>
      <c r="O25" s="126" t="s">
        <v>275</v>
      </c>
      <c r="P25" s="126" t="s">
        <v>934</v>
      </c>
      <c r="Q25" s="181">
        <f>3097*2.4</f>
        <v>7432.7999999999993</v>
      </c>
      <c r="R25" s="181">
        <v>7500.7169999999996</v>
      </c>
      <c r="S25" s="181"/>
      <c r="W25" s="181">
        <f t="shared" si="16"/>
        <v>4500.4301999999998</v>
      </c>
      <c r="X25" s="181">
        <f t="shared" si="17"/>
        <v>3000.2867999999999</v>
      </c>
      <c r="AW25" s="165">
        <f t="shared" si="0"/>
        <v>44982.614583333336</v>
      </c>
      <c r="AX25" s="165">
        <f t="shared" si="1"/>
        <v>44996.407638888886</v>
      </c>
      <c r="AY25" s="137">
        <f t="shared" si="2"/>
        <v>13.793055555550382</v>
      </c>
      <c r="AZ25" s="165">
        <v>44982.614583333336</v>
      </c>
      <c r="BA25" s="165">
        <v>44987.315972222219</v>
      </c>
      <c r="BB25" s="165">
        <v>44988.972222222219</v>
      </c>
      <c r="BC25" s="165">
        <v>44990.579861111109</v>
      </c>
      <c r="BD25" s="165">
        <v>44990.722222222219</v>
      </c>
      <c r="BE25" s="165">
        <v>44990.725694444445</v>
      </c>
      <c r="BF25" s="165">
        <v>44990.725694444445</v>
      </c>
      <c r="BG25" s="165">
        <f t="shared" si="15"/>
        <v>44992.434027777781</v>
      </c>
      <c r="BH25" s="165">
        <v>44992.25</v>
      </c>
      <c r="BI25" s="165">
        <v>44992.416666666664</v>
      </c>
      <c r="BJ25" s="165">
        <v>44992.302083333336</v>
      </c>
      <c r="BK25" s="165">
        <v>44993.472222222219</v>
      </c>
      <c r="BL25" s="165">
        <v>44995.958333333336</v>
      </c>
      <c r="BM25" s="165">
        <v>44996.104166666664</v>
      </c>
      <c r="BN25" s="165">
        <v>44996.125</v>
      </c>
      <c r="BO25" s="165">
        <v>44996.125</v>
      </c>
      <c r="BP25" s="165">
        <v>44996.407638888886</v>
      </c>
      <c r="BQ25" s="126" t="s">
        <v>939</v>
      </c>
      <c r="BS25" s="136">
        <f t="shared" si="3"/>
        <v>39.75</v>
      </c>
      <c r="BT25" s="136">
        <f t="shared" si="4"/>
        <v>3.4166666666278616</v>
      </c>
      <c r="BU25" s="136">
        <f t="shared" si="5"/>
        <v>41.000000000058208</v>
      </c>
      <c r="BV25" s="136">
        <f t="shared" si="6"/>
        <v>25.333333333313931</v>
      </c>
      <c r="BW25" s="135">
        <f t="shared" si="7"/>
        <v>3.4999999998835847</v>
      </c>
      <c r="BX25" s="135">
        <f t="shared" si="8"/>
        <v>6.7833333332673647</v>
      </c>
      <c r="BY25" s="134">
        <f t="shared" si="9"/>
        <v>4.9909722222146229</v>
      </c>
      <c r="BZ25" s="134">
        <f t="shared" si="10"/>
        <v>13.793055555550382</v>
      </c>
      <c r="CA25" s="133">
        <f t="shared" si="11"/>
        <v>0.36184674252299631</v>
      </c>
    </row>
    <row r="26" spans="1:79" s="126" customFormat="1">
      <c r="A26" s="192">
        <f t="shared" si="12"/>
        <v>44990.951388888891</v>
      </c>
      <c r="B26" s="126" t="s">
        <v>228</v>
      </c>
      <c r="C26" s="126" t="s">
        <v>229</v>
      </c>
      <c r="D26" s="126" t="s">
        <v>197</v>
      </c>
      <c r="E26" s="126" t="s">
        <v>814</v>
      </c>
      <c r="G26" s="73">
        <v>44989.875</v>
      </c>
      <c r="H26" s="73">
        <v>44989.79583333333</v>
      </c>
      <c r="I26" s="126" t="s">
        <v>231</v>
      </c>
      <c r="J26" s="126" t="s">
        <v>192</v>
      </c>
      <c r="K26" s="126" t="s">
        <v>192</v>
      </c>
      <c r="L26" s="126" t="s">
        <v>941</v>
      </c>
      <c r="M26" s="167"/>
      <c r="N26" s="126" t="s">
        <v>295</v>
      </c>
      <c r="O26" s="126" t="s">
        <v>296</v>
      </c>
      <c r="P26" s="126" t="s">
        <v>934</v>
      </c>
      <c r="Q26" s="181">
        <f>4118*2.4</f>
        <v>9883.1999999999989</v>
      </c>
      <c r="R26" s="181">
        <f>9965.194-2696.093</f>
        <v>7269.1009999999997</v>
      </c>
      <c r="S26" s="181"/>
      <c r="W26" s="181">
        <f t="shared" si="16"/>
        <v>4361.4605999999994</v>
      </c>
      <c r="X26" s="181">
        <f t="shared" si="17"/>
        <v>2907.6404000000002</v>
      </c>
      <c r="AW26" s="165">
        <f t="shared" si="0"/>
        <v>44982.902777777781</v>
      </c>
      <c r="AX26" s="165">
        <f t="shared" si="1"/>
        <v>44997.541666666664</v>
      </c>
      <c r="AY26" s="137">
        <f t="shared" si="2"/>
        <v>14.63888888888323</v>
      </c>
      <c r="AZ26" s="165">
        <v>44982.902777777781</v>
      </c>
      <c r="BA26" s="165">
        <v>44988.340277777781</v>
      </c>
      <c r="BB26" s="165">
        <v>44990.180555555555</v>
      </c>
      <c r="BC26" s="165">
        <v>44990.951388888891</v>
      </c>
      <c r="BD26" s="165">
        <v>44991.131944444445</v>
      </c>
      <c r="BE26" s="165">
        <v>44991.142361111109</v>
      </c>
      <c r="BF26" s="165">
        <v>44991.142361111109</v>
      </c>
      <c r="BG26" s="165">
        <f t="shared" si="15"/>
        <v>44992.850694444445</v>
      </c>
      <c r="BH26" s="165">
        <v>44993.25</v>
      </c>
      <c r="BI26" s="165">
        <v>44993.416666666664</v>
      </c>
      <c r="BJ26" s="165">
        <v>44993.329861111109</v>
      </c>
      <c r="BK26" s="165">
        <v>44994.75</v>
      </c>
      <c r="BL26" s="165">
        <v>44997.322916666664</v>
      </c>
      <c r="BM26" s="165">
        <v>44997.489583333336</v>
      </c>
      <c r="BN26" s="165">
        <v>44997.541666666664</v>
      </c>
      <c r="BO26" s="165">
        <v>44997.541666666664</v>
      </c>
      <c r="BP26" s="165">
        <v>44997.541666666664</v>
      </c>
      <c r="BQ26" s="126" t="s">
        <v>942</v>
      </c>
      <c r="BS26" s="136">
        <f t="shared" si="3"/>
        <v>44.166666666569654</v>
      </c>
      <c r="BT26" s="136">
        <f t="shared" si="4"/>
        <v>4.3333333333139308</v>
      </c>
      <c r="BU26" s="136">
        <f t="shared" si="5"/>
        <v>41.000000000058208</v>
      </c>
      <c r="BV26" s="136">
        <f t="shared" si="6"/>
        <v>32.000000000058208</v>
      </c>
      <c r="BW26" s="135">
        <f t="shared" si="7"/>
        <v>4.0000000001164153</v>
      </c>
      <c r="BX26" s="135">
        <f t="shared" si="8"/>
        <v>0</v>
      </c>
      <c r="BY26" s="134">
        <f t="shared" si="9"/>
        <v>5.2291666666715173</v>
      </c>
      <c r="BZ26" s="134">
        <f t="shared" si="10"/>
        <v>14.63888888888323</v>
      </c>
      <c r="CA26" s="133">
        <f t="shared" si="11"/>
        <v>0.35721062618642768</v>
      </c>
    </row>
    <row r="27" spans="1:79" s="126" customFormat="1">
      <c r="A27" s="192">
        <f t="shared" si="12"/>
        <v>44990.951388888891</v>
      </c>
      <c r="B27" s="126" t="s">
        <v>228</v>
      </c>
      <c r="C27" s="126" t="s">
        <v>229</v>
      </c>
      <c r="D27" s="126" t="s">
        <v>197</v>
      </c>
      <c r="E27" s="126" t="s">
        <v>943</v>
      </c>
      <c r="G27" s="73">
        <v>44992.25</v>
      </c>
      <c r="H27" s="73">
        <v>44992.25</v>
      </c>
      <c r="I27" s="126" t="s">
        <v>231</v>
      </c>
      <c r="J27" s="126" t="s">
        <v>192</v>
      </c>
      <c r="K27" s="126" t="s">
        <v>192</v>
      </c>
      <c r="L27" s="126" t="s">
        <v>941</v>
      </c>
      <c r="M27" s="167"/>
      <c r="N27" s="126" t="s">
        <v>295</v>
      </c>
      <c r="O27" s="126" t="s">
        <v>296</v>
      </c>
      <c r="P27" s="126" t="s">
        <v>934</v>
      </c>
      <c r="Q27" s="181">
        <f>4118*2.4</f>
        <v>9883.1999999999989</v>
      </c>
      <c r="R27" s="181">
        <v>2694.105</v>
      </c>
      <c r="S27" s="181"/>
      <c r="W27" s="181">
        <f t="shared" si="16"/>
        <v>1616.463</v>
      </c>
      <c r="X27" s="181">
        <f t="shared" si="17"/>
        <v>1077.6420000000001</v>
      </c>
      <c r="AW27" s="165">
        <f t="shared" si="0"/>
        <v>44982.902777777781</v>
      </c>
      <c r="AX27" s="165">
        <f t="shared" si="1"/>
        <v>45001.498611111114</v>
      </c>
      <c r="AY27" s="137">
        <f t="shared" si="2"/>
        <v>18.595833333332848</v>
      </c>
      <c r="AZ27" s="165">
        <v>44982.902777777781</v>
      </c>
      <c r="BA27" s="165">
        <v>44988.340277777781</v>
      </c>
      <c r="BB27" s="165">
        <v>44990.180555555555</v>
      </c>
      <c r="BC27" s="165">
        <v>44990.951388888891</v>
      </c>
      <c r="BD27" s="165">
        <v>44991.131944444445</v>
      </c>
      <c r="BE27" s="165">
        <v>44991.142361111109</v>
      </c>
      <c r="BF27" s="165">
        <v>44991.142361111109</v>
      </c>
      <c r="BG27" s="165">
        <f t="shared" si="15"/>
        <v>44992.850694444445</v>
      </c>
      <c r="BH27" s="165">
        <v>44993.25</v>
      </c>
      <c r="BI27" s="165">
        <v>44993.416666666664</v>
      </c>
      <c r="BJ27" s="165">
        <v>44993.329861111109</v>
      </c>
      <c r="BK27" s="165">
        <v>44997.541666666664</v>
      </c>
      <c r="BL27" s="165">
        <v>45000.888888888891</v>
      </c>
      <c r="BM27" s="165">
        <v>45001.131944444445</v>
      </c>
      <c r="BN27" s="165">
        <v>45001.145833333336</v>
      </c>
      <c r="BO27" s="165">
        <v>45001.145833333336</v>
      </c>
      <c r="BP27" s="165">
        <v>45001.498611111114</v>
      </c>
      <c r="BQ27" s="126" t="s">
        <v>942</v>
      </c>
      <c r="BS27" s="136">
        <f t="shared" si="3"/>
        <v>44.166666666569654</v>
      </c>
      <c r="BT27" s="136">
        <f t="shared" si="4"/>
        <v>4.3333333333139308</v>
      </c>
      <c r="BU27" s="136">
        <f t="shared" si="5"/>
        <v>41.000000000058208</v>
      </c>
      <c r="BV27" s="136">
        <f t="shared" si="6"/>
        <v>99</v>
      </c>
      <c r="BW27" s="135">
        <f t="shared" si="7"/>
        <v>5.8333333333139308</v>
      </c>
      <c r="BX27" s="135">
        <f t="shared" si="8"/>
        <v>8.4666666666744277</v>
      </c>
      <c r="BY27" s="134">
        <f t="shared" si="9"/>
        <v>8.4499999999970896</v>
      </c>
      <c r="BZ27" s="134">
        <f t="shared" si="10"/>
        <v>18.595833333332848</v>
      </c>
      <c r="CA27" s="133">
        <f t="shared" si="11"/>
        <v>0.45440286802584684</v>
      </c>
    </row>
    <row r="28" spans="1:79" s="126" customFormat="1">
      <c r="A28" s="192">
        <f t="shared" si="12"/>
        <v>44991.40625</v>
      </c>
      <c r="B28" s="126" t="s">
        <v>228</v>
      </c>
      <c r="C28" s="126" t="s">
        <v>229</v>
      </c>
      <c r="D28" s="126" t="s">
        <v>197</v>
      </c>
      <c r="E28" s="126" t="s">
        <v>944</v>
      </c>
      <c r="G28" s="73">
        <v>44992.416666666664</v>
      </c>
      <c r="H28" s="73">
        <v>44992.416666666664</v>
      </c>
      <c r="I28" s="126" t="s">
        <v>231</v>
      </c>
      <c r="J28" s="126" t="s">
        <v>192</v>
      </c>
      <c r="K28" s="126" t="s">
        <v>192</v>
      </c>
      <c r="L28" s="126" t="s">
        <v>945</v>
      </c>
      <c r="M28" s="167"/>
      <c r="N28" s="126" t="s">
        <v>361</v>
      </c>
      <c r="O28" s="126" t="s">
        <v>362</v>
      </c>
      <c r="P28" s="126" t="s">
        <v>418</v>
      </c>
      <c r="Q28" s="181">
        <f>3039*2.4</f>
        <v>7293.5999999999995</v>
      </c>
      <c r="R28" s="181">
        <v>7520.4080000000004</v>
      </c>
      <c r="S28" s="181"/>
      <c r="W28" s="181">
        <f t="shared" ref="W28:W33" si="18">R28*0.55</f>
        <v>4136.224400000001</v>
      </c>
      <c r="X28" s="181">
        <f t="shared" ref="X28:X33" si="19">R28*0.45</f>
        <v>3384.1836000000003</v>
      </c>
      <c r="AW28" s="165">
        <f t="shared" si="0"/>
        <v>44982.5</v>
      </c>
      <c r="AX28" s="165">
        <f t="shared" si="1"/>
        <v>44997.472222222219</v>
      </c>
      <c r="AY28" s="137">
        <f t="shared" si="2"/>
        <v>14.972222222218988</v>
      </c>
      <c r="AZ28" s="165">
        <v>44982.5</v>
      </c>
      <c r="BA28" s="165">
        <v>44987.364583333336</v>
      </c>
      <c r="BB28" s="165">
        <v>44988.90625</v>
      </c>
      <c r="BC28" s="165">
        <v>44991.40625</v>
      </c>
      <c r="BD28" s="165">
        <v>44991.548611111109</v>
      </c>
      <c r="BE28" s="165">
        <v>44991.552083333336</v>
      </c>
      <c r="BF28" s="165">
        <v>44991.552083333336</v>
      </c>
      <c r="BG28" s="165">
        <f t="shared" si="15"/>
        <v>44993.260416666672</v>
      </c>
      <c r="BH28" s="165">
        <v>44993.25</v>
      </c>
      <c r="BI28" s="165">
        <v>44993.416666666664</v>
      </c>
      <c r="BJ28" s="165">
        <v>44993.285416666666</v>
      </c>
      <c r="BK28" s="165">
        <v>44994.458333333336</v>
      </c>
      <c r="BL28" s="165">
        <v>44996.666666666664</v>
      </c>
      <c r="BM28" s="165">
        <v>44996.875</v>
      </c>
      <c r="BN28" s="165">
        <v>44996.902777777781</v>
      </c>
      <c r="BO28" s="165">
        <v>44997.236111111109</v>
      </c>
      <c r="BP28" s="165">
        <v>44997.472222222219</v>
      </c>
      <c r="BQ28" s="126" t="s">
        <v>939</v>
      </c>
      <c r="BS28" s="136">
        <f t="shared" si="3"/>
        <v>36.999999999941792</v>
      </c>
      <c r="BT28" s="136">
        <f t="shared" si="4"/>
        <v>3.4166666666278616</v>
      </c>
      <c r="BU28" s="136">
        <f t="shared" si="5"/>
        <v>41.000000000058208</v>
      </c>
      <c r="BV28" s="136">
        <f t="shared" si="6"/>
        <v>25.000000000116415</v>
      </c>
      <c r="BW28" s="135">
        <f t="shared" si="7"/>
        <v>5.0000000000582077</v>
      </c>
      <c r="BX28" s="135">
        <f t="shared" si="8"/>
        <v>5.6666666666278616</v>
      </c>
      <c r="BY28" s="134">
        <f t="shared" si="9"/>
        <v>4.8784722222262644</v>
      </c>
      <c r="BZ28" s="134">
        <f t="shared" si="10"/>
        <v>14.972222222218988</v>
      </c>
      <c r="CA28" s="133">
        <f t="shared" si="11"/>
        <v>0.32583487940664835</v>
      </c>
    </row>
    <row r="29" spans="1:79" s="126" customFormat="1">
      <c r="A29" s="192">
        <f t="shared" si="12"/>
        <v>44991.739583333336</v>
      </c>
      <c r="B29" s="126" t="s">
        <v>228</v>
      </c>
      <c r="C29" s="126" t="s">
        <v>229</v>
      </c>
      <c r="D29" s="126" t="s">
        <v>197</v>
      </c>
      <c r="E29" s="126" t="s">
        <v>944</v>
      </c>
      <c r="G29" s="73">
        <v>44992.416666666664</v>
      </c>
      <c r="H29" s="73">
        <v>44992.416666666664</v>
      </c>
      <c r="I29" s="126" t="s">
        <v>231</v>
      </c>
      <c r="J29" s="126" t="s">
        <v>192</v>
      </c>
      <c r="K29" s="126" t="s">
        <v>192</v>
      </c>
      <c r="L29" s="126" t="s">
        <v>946</v>
      </c>
      <c r="M29" s="167"/>
      <c r="N29" s="126" t="s">
        <v>489</v>
      </c>
      <c r="O29" s="126" t="s">
        <v>483</v>
      </c>
      <c r="P29" s="126" t="s">
        <v>418</v>
      </c>
      <c r="Q29" s="181">
        <f>3107*2.4</f>
        <v>7456.7999999999993</v>
      </c>
      <c r="R29" s="181">
        <v>7468.0860000000002</v>
      </c>
      <c r="S29" s="181"/>
      <c r="W29" s="181">
        <f t="shared" si="18"/>
        <v>4107.4473000000007</v>
      </c>
      <c r="X29" s="181">
        <f t="shared" si="19"/>
        <v>3360.6387</v>
      </c>
      <c r="AW29" s="165">
        <f t="shared" si="0"/>
        <v>44982.525000000001</v>
      </c>
      <c r="AX29" s="165">
        <f t="shared" si="1"/>
        <v>44997.945138888892</v>
      </c>
      <c r="AY29" s="137">
        <f t="shared" si="2"/>
        <v>15.420138888890506</v>
      </c>
      <c r="AZ29" s="165">
        <v>44982.525000000001</v>
      </c>
      <c r="BA29" s="165">
        <v>44987.390972222223</v>
      </c>
      <c r="BB29" s="165">
        <v>44989.095138888886</v>
      </c>
      <c r="BC29" s="165">
        <v>44991.739583333336</v>
      </c>
      <c r="BD29" s="165">
        <v>44991.913194444445</v>
      </c>
      <c r="BE29" s="165">
        <v>44991.920138888891</v>
      </c>
      <c r="BF29" s="165">
        <v>44991.920138888891</v>
      </c>
      <c r="BG29" s="165">
        <f t="shared" si="15"/>
        <v>44993.628472222226</v>
      </c>
      <c r="BH29" s="165">
        <v>44993.25</v>
      </c>
      <c r="BI29" s="165">
        <v>44993.416666666664</v>
      </c>
      <c r="BJ29" s="165">
        <v>44993.4375</v>
      </c>
      <c r="BK29" s="165">
        <v>44994.715277777781</v>
      </c>
      <c r="BL29" s="165">
        <v>44997.159722222219</v>
      </c>
      <c r="BM29" s="165">
        <v>44997.416666666664</v>
      </c>
      <c r="BN29" s="165">
        <v>44997.444444444445</v>
      </c>
      <c r="BO29" s="165">
        <v>44997.729166666664</v>
      </c>
      <c r="BP29" s="165">
        <v>44997.945138888892</v>
      </c>
      <c r="BQ29" s="126" t="s">
        <v>939</v>
      </c>
      <c r="BS29" s="136">
        <f t="shared" si="3"/>
        <v>40.899999999906868</v>
      </c>
      <c r="BT29" s="136">
        <f t="shared" si="4"/>
        <v>4.1666666666278616</v>
      </c>
      <c r="BU29" s="136">
        <f t="shared" si="5"/>
        <v>41.000000000058208</v>
      </c>
      <c r="BV29" s="136">
        <f t="shared" si="6"/>
        <v>31.166666666802485</v>
      </c>
      <c r="BW29" s="135">
        <f t="shared" si="7"/>
        <v>6.1666666666860692</v>
      </c>
      <c r="BX29" s="135">
        <f t="shared" si="8"/>
        <v>5.1833333334652707</v>
      </c>
      <c r="BY29" s="134">
        <f t="shared" si="9"/>
        <v>5.3576388888977817</v>
      </c>
      <c r="BZ29" s="134">
        <f t="shared" si="10"/>
        <v>15.420138888890506</v>
      </c>
      <c r="CA29" s="133">
        <f t="shared" si="11"/>
        <v>0.34744426930925454</v>
      </c>
    </row>
    <row r="30" spans="1:79" s="126" customFormat="1">
      <c r="A30" s="192">
        <f t="shared" si="12"/>
        <v>44991.569444444445</v>
      </c>
      <c r="B30" s="126" t="s">
        <v>228</v>
      </c>
      <c r="C30" s="126" t="s">
        <v>229</v>
      </c>
      <c r="D30" s="126" t="s">
        <v>197</v>
      </c>
      <c r="E30" s="126" t="s">
        <v>944</v>
      </c>
      <c r="G30" s="73">
        <v>44992.416666666664</v>
      </c>
      <c r="H30" s="73">
        <v>44992.416666666664</v>
      </c>
      <c r="I30" s="126" t="s">
        <v>231</v>
      </c>
      <c r="J30" s="126" t="s">
        <v>192</v>
      </c>
      <c r="K30" s="126" t="s">
        <v>192</v>
      </c>
      <c r="L30" s="126" t="s">
        <v>947</v>
      </c>
      <c r="M30" s="167"/>
      <c r="N30" s="126" t="s">
        <v>364</v>
      </c>
      <c r="O30" s="126" t="s">
        <v>365</v>
      </c>
      <c r="P30" s="126" t="s">
        <v>418</v>
      </c>
      <c r="Q30" s="181">
        <f>3142*2.4</f>
        <v>7540.7999999999993</v>
      </c>
      <c r="R30" s="181">
        <v>7502.21</v>
      </c>
      <c r="S30" s="181"/>
      <c r="W30" s="181">
        <f t="shared" si="18"/>
        <v>4126.2155000000002</v>
      </c>
      <c r="X30" s="181">
        <f t="shared" si="19"/>
        <v>3375.9945000000002</v>
      </c>
      <c r="AW30" s="165">
        <f t="shared" si="0"/>
        <v>44982.604166666664</v>
      </c>
      <c r="AX30" s="165">
        <f t="shared" si="1"/>
        <v>44997.423611111109</v>
      </c>
      <c r="AY30" s="137">
        <f t="shared" si="2"/>
        <v>14.819444444445253</v>
      </c>
      <c r="AZ30" s="165">
        <v>44982.604166666664</v>
      </c>
      <c r="BA30" s="165">
        <v>44987.340277777781</v>
      </c>
      <c r="BB30" s="165">
        <v>44988.986111111109</v>
      </c>
      <c r="BC30" s="165">
        <v>44991.569444444445</v>
      </c>
      <c r="BD30" s="165">
        <v>44991.704861111109</v>
      </c>
      <c r="BE30" s="165">
        <v>44991.711805555555</v>
      </c>
      <c r="BF30" s="165">
        <v>44991.711805555555</v>
      </c>
      <c r="BG30" s="165">
        <f t="shared" si="15"/>
        <v>44993.420138888891</v>
      </c>
      <c r="BH30" s="165">
        <v>44993.25</v>
      </c>
      <c r="BI30" s="165">
        <v>44993.416666666664</v>
      </c>
      <c r="BJ30" s="165">
        <v>44993.319444444445</v>
      </c>
      <c r="BK30" s="165">
        <v>44994.708333333336</v>
      </c>
      <c r="BL30" s="165">
        <v>44996.920138888891</v>
      </c>
      <c r="BM30" s="165">
        <v>44997.118055555555</v>
      </c>
      <c r="BN30" s="165">
        <v>44997.138888888891</v>
      </c>
      <c r="BO30" s="165">
        <v>44997.138888888891</v>
      </c>
      <c r="BP30" s="165">
        <v>44997.423611111109</v>
      </c>
      <c r="BQ30" s="126" t="s">
        <v>939</v>
      </c>
      <c r="BS30" s="136">
        <f t="shared" si="3"/>
        <v>39.499999999883585</v>
      </c>
      <c r="BT30" s="136">
        <f t="shared" si="4"/>
        <v>3.2499999999417923</v>
      </c>
      <c r="BU30" s="136">
        <f t="shared" si="5"/>
        <v>41.000000000058208</v>
      </c>
      <c r="BV30" s="136">
        <f t="shared" si="6"/>
        <v>31.000000000116415</v>
      </c>
      <c r="BW30" s="135">
        <f t="shared" si="7"/>
        <v>4.7499999999417923</v>
      </c>
      <c r="BX30" s="135">
        <f t="shared" si="8"/>
        <v>6.8333333332557231</v>
      </c>
      <c r="BY30" s="134">
        <f t="shared" si="9"/>
        <v>5.2638888888832298</v>
      </c>
      <c r="BZ30" s="134">
        <f t="shared" si="10"/>
        <v>14.819444444445253</v>
      </c>
      <c r="CA30" s="133">
        <f t="shared" si="11"/>
        <v>0.35520149953099517</v>
      </c>
    </row>
    <row r="31" spans="1:79" s="126" customFormat="1">
      <c r="A31" s="192">
        <f t="shared" si="12"/>
        <v>44991.946527777778</v>
      </c>
      <c r="B31" s="126" t="s">
        <v>228</v>
      </c>
      <c r="C31" s="126" t="s">
        <v>229</v>
      </c>
      <c r="D31" s="126" t="s">
        <v>197</v>
      </c>
      <c r="E31" s="126" t="s">
        <v>944</v>
      </c>
      <c r="G31" s="73">
        <v>44992.416666666664</v>
      </c>
      <c r="H31" s="73">
        <v>44992.416666666664</v>
      </c>
      <c r="I31" s="126" t="s">
        <v>231</v>
      </c>
      <c r="J31" s="126" t="s">
        <v>192</v>
      </c>
      <c r="K31" s="126" t="s">
        <v>192</v>
      </c>
      <c r="L31" s="126" t="s">
        <v>948</v>
      </c>
      <c r="M31" s="167"/>
      <c r="N31" s="126" t="s">
        <v>492</v>
      </c>
      <c r="O31" s="126" t="s">
        <v>493</v>
      </c>
      <c r="P31" s="126" t="s">
        <v>418</v>
      </c>
      <c r="Q31" s="181">
        <f>3152*2.4</f>
        <v>7564.7999999999993</v>
      </c>
      <c r="R31" s="181">
        <f>7561.735-3051.399</f>
        <v>4510.3359999999993</v>
      </c>
      <c r="S31" s="181"/>
      <c r="W31" s="181">
        <f t="shared" si="18"/>
        <v>2480.6848</v>
      </c>
      <c r="X31" s="181">
        <f t="shared" si="19"/>
        <v>2029.6511999999998</v>
      </c>
      <c r="AW31" s="165">
        <f t="shared" si="0"/>
        <v>44982.25</v>
      </c>
      <c r="AX31" s="165">
        <f t="shared" si="1"/>
        <v>44998.013888888891</v>
      </c>
      <c r="AY31" s="137">
        <f t="shared" si="2"/>
        <v>15.763888888890506</v>
      </c>
      <c r="AZ31" s="165">
        <v>44982.25</v>
      </c>
      <c r="BA31" s="165">
        <v>44987.340277777781</v>
      </c>
      <c r="BB31" s="165">
        <v>44989.166666666664</v>
      </c>
      <c r="BC31" s="165">
        <v>44991.946527777778</v>
      </c>
      <c r="BD31" s="165">
        <v>44992.072916666664</v>
      </c>
      <c r="BE31" s="165">
        <v>44992.076388888891</v>
      </c>
      <c r="BF31" s="165">
        <v>44992.291666666664</v>
      </c>
      <c r="BG31" s="165">
        <f t="shared" si="15"/>
        <v>44994</v>
      </c>
      <c r="BH31" s="165">
        <v>44994.25</v>
      </c>
      <c r="BI31" s="165">
        <v>44994.416666666664</v>
      </c>
      <c r="BJ31" s="165">
        <v>44994.305555555555</v>
      </c>
      <c r="BK31" s="165">
        <v>44995.75</v>
      </c>
      <c r="BL31" s="165">
        <v>44997.819444444445</v>
      </c>
      <c r="BM31" s="165">
        <v>44997.9375</v>
      </c>
      <c r="BN31" s="165">
        <v>44998.013888888891</v>
      </c>
      <c r="BO31" s="165">
        <v>44998.013888888891</v>
      </c>
      <c r="BP31" s="165">
        <v>44998.013888888891</v>
      </c>
      <c r="BQ31" s="126" t="s">
        <v>939</v>
      </c>
      <c r="BS31" s="136">
        <f t="shared" si="3"/>
        <v>43.833333333197515</v>
      </c>
      <c r="BT31" s="136">
        <f t="shared" si="4"/>
        <v>3.0333333332673647</v>
      </c>
      <c r="BU31" s="136">
        <f t="shared" si="5"/>
        <v>41.000000000058208</v>
      </c>
      <c r="BV31" s="136">
        <f t="shared" si="6"/>
        <v>32.000000000058208</v>
      </c>
      <c r="BW31" s="135">
        <f t="shared" si="7"/>
        <v>2.8333333333139308</v>
      </c>
      <c r="BX31" s="135">
        <f t="shared" si="8"/>
        <v>0</v>
      </c>
      <c r="BY31" s="134">
        <f t="shared" si="9"/>
        <v>5.1124999999956344</v>
      </c>
      <c r="BZ31" s="134">
        <f t="shared" si="10"/>
        <v>15.763888888890506</v>
      </c>
      <c r="CA31" s="133">
        <f t="shared" si="11"/>
        <v>0.32431718061642989</v>
      </c>
    </row>
    <row r="32" spans="1:79" s="126" customFormat="1">
      <c r="A32" s="192">
        <f t="shared" si="12"/>
        <v>44991.946527777778</v>
      </c>
      <c r="B32" s="126" t="s">
        <v>228</v>
      </c>
      <c r="C32" s="126" t="s">
        <v>229</v>
      </c>
      <c r="D32" s="126" t="s">
        <v>197</v>
      </c>
      <c r="E32" s="126" t="s">
        <v>943</v>
      </c>
      <c r="G32" s="73">
        <v>44992.25</v>
      </c>
      <c r="H32" s="73">
        <v>44992.25</v>
      </c>
      <c r="I32" s="126" t="s">
        <v>231</v>
      </c>
      <c r="J32" s="126" t="s">
        <v>192</v>
      </c>
      <c r="K32" s="126" t="s">
        <v>192</v>
      </c>
      <c r="L32" s="126" t="s">
        <v>948</v>
      </c>
      <c r="M32" s="167"/>
      <c r="N32" s="126" t="s">
        <v>492</v>
      </c>
      <c r="O32" s="126" t="s">
        <v>493</v>
      </c>
      <c r="P32" s="126" t="s">
        <v>418</v>
      </c>
      <c r="Q32" s="181">
        <f>3152*2.4</f>
        <v>7564.7999999999993</v>
      </c>
      <c r="R32" s="181">
        <v>3047</v>
      </c>
      <c r="S32" s="181"/>
      <c r="W32" s="181">
        <f t="shared" si="18"/>
        <v>1675.8500000000001</v>
      </c>
      <c r="X32" s="181">
        <f t="shared" si="19"/>
        <v>1371.15</v>
      </c>
      <c r="AW32" s="165">
        <f t="shared" si="0"/>
        <v>44982.25</v>
      </c>
      <c r="AX32" s="165">
        <f t="shared" si="1"/>
        <v>45001.458333333336</v>
      </c>
      <c r="AY32" s="137">
        <f t="shared" si="2"/>
        <v>19.208333333335759</v>
      </c>
      <c r="AZ32" s="165">
        <v>44982.25</v>
      </c>
      <c r="BA32" s="165">
        <v>44987.340277777781</v>
      </c>
      <c r="BB32" s="165">
        <v>44989.166666666664</v>
      </c>
      <c r="BC32" s="165">
        <v>44991.946527777778</v>
      </c>
      <c r="BD32" s="165">
        <v>44992.072916666664</v>
      </c>
      <c r="BE32" s="165">
        <v>44992.076388888891</v>
      </c>
      <c r="BF32" s="165">
        <v>44992.291666666664</v>
      </c>
      <c r="BG32" s="165">
        <f t="shared" si="15"/>
        <v>44994</v>
      </c>
      <c r="BH32" s="165">
        <v>44994.25</v>
      </c>
      <c r="BI32" s="165">
        <v>44994.416666666664</v>
      </c>
      <c r="BJ32" s="165">
        <v>44994.305555555555</v>
      </c>
      <c r="BK32" s="165">
        <v>44998.013888888891</v>
      </c>
      <c r="BL32" s="165">
        <v>45000.923611111109</v>
      </c>
      <c r="BM32" s="165">
        <v>45001.090277777781</v>
      </c>
      <c r="BN32" s="165">
        <v>45001.104166666664</v>
      </c>
      <c r="BO32" s="165">
        <v>45001.104166666664</v>
      </c>
      <c r="BP32" s="165">
        <v>45001.458333333336</v>
      </c>
      <c r="BQ32" s="126" t="s">
        <v>939</v>
      </c>
      <c r="BS32" s="136">
        <f t="shared" si="3"/>
        <v>43.833333333197515</v>
      </c>
      <c r="BT32" s="136">
        <f t="shared" si="4"/>
        <v>3.0333333332673647</v>
      </c>
      <c r="BU32" s="136">
        <f t="shared" si="5"/>
        <v>41.000000000058208</v>
      </c>
      <c r="BV32" s="136">
        <f t="shared" si="6"/>
        <v>86.333333333430346</v>
      </c>
      <c r="BW32" s="135">
        <f t="shared" si="7"/>
        <v>4.0000000001164153</v>
      </c>
      <c r="BX32" s="135">
        <f t="shared" si="8"/>
        <v>8.5000000001164153</v>
      </c>
      <c r="BY32" s="134">
        <f t="shared" si="9"/>
        <v>7.7791666666744277</v>
      </c>
      <c r="BZ32" s="134">
        <f t="shared" si="10"/>
        <v>19.208333333335759</v>
      </c>
      <c r="CA32" s="133">
        <f t="shared" si="11"/>
        <v>0.4049891540133681</v>
      </c>
    </row>
    <row r="33" spans="1:79" s="126" customFormat="1">
      <c r="A33" s="192">
        <f t="shared" si="12"/>
        <v>44992.09375</v>
      </c>
      <c r="B33" s="126" t="s">
        <v>228</v>
      </c>
      <c r="C33" s="126" t="s">
        <v>229</v>
      </c>
      <c r="D33" s="126" t="s">
        <v>197</v>
      </c>
      <c r="E33" s="126" t="s">
        <v>944</v>
      </c>
      <c r="G33" s="73">
        <v>44992.416666666664</v>
      </c>
      <c r="H33" s="73">
        <v>44992.416666666664</v>
      </c>
      <c r="I33" s="126" t="s">
        <v>231</v>
      </c>
      <c r="J33" s="126" t="s">
        <v>192</v>
      </c>
      <c r="K33" s="126" t="s">
        <v>192</v>
      </c>
      <c r="L33" s="126" t="s">
        <v>949</v>
      </c>
      <c r="M33" s="167"/>
      <c r="N33" s="126" t="s">
        <v>298</v>
      </c>
      <c r="O33" s="126" t="s">
        <v>299</v>
      </c>
      <c r="P33" s="126" t="s">
        <v>418</v>
      </c>
      <c r="Q33" s="181">
        <f>4337*2.4</f>
        <v>10408.799999999999</v>
      </c>
      <c r="R33" s="181">
        <v>10301.045</v>
      </c>
      <c r="S33" s="181"/>
      <c r="W33" s="181">
        <f t="shared" si="18"/>
        <v>5665.5747500000007</v>
      </c>
      <c r="X33" s="181">
        <f t="shared" si="19"/>
        <v>4635.4702500000003</v>
      </c>
      <c r="AW33" s="165">
        <f t="shared" si="0"/>
        <v>44983.1875</v>
      </c>
      <c r="AX33" s="165">
        <f t="shared" si="1"/>
        <v>44998.104166666664</v>
      </c>
      <c r="AY33" s="137">
        <f t="shared" si="2"/>
        <v>14.916666666664241</v>
      </c>
      <c r="AZ33" s="165">
        <v>44983.1875</v>
      </c>
      <c r="BA33" s="165">
        <v>44988.354166666664</v>
      </c>
      <c r="BB33" s="165">
        <v>44989.861111111109</v>
      </c>
      <c r="BC33" s="165">
        <v>44992.09375</v>
      </c>
      <c r="BD33" s="165">
        <v>44992.260416666664</v>
      </c>
      <c r="BE33" s="165">
        <v>44992.267361111109</v>
      </c>
      <c r="BF33" s="165">
        <v>44992.267361111109</v>
      </c>
      <c r="BG33" s="165">
        <f t="shared" si="15"/>
        <v>44993.975694444445</v>
      </c>
      <c r="BH33" s="165">
        <v>44994.25</v>
      </c>
      <c r="BI33" s="165">
        <v>44994.416666666664</v>
      </c>
      <c r="BJ33" s="165">
        <v>44994.3125</v>
      </c>
      <c r="BK33" s="165">
        <v>44995.541666666664</v>
      </c>
      <c r="BL33" s="165">
        <v>44997.458333333336</v>
      </c>
      <c r="BM33" s="165">
        <v>44997.777777777781</v>
      </c>
      <c r="BN33" s="165">
        <v>44997.802083333336</v>
      </c>
      <c r="BO33" s="165">
        <v>44997.802083333336</v>
      </c>
      <c r="BP33" s="165">
        <v>44998.104166666664</v>
      </c>
      <c r="BQ33" s="126" t="s">
        <v>942</v>
      </c>
      <c r="BS33" s="136">
        <f t="shared" si="3"/>
        <v>36.166666666686069</v>
      </c>
      <c r="BT33" s="136">
        <f t="shared" si="4"/>
        <v>3.9999999999417923</v>
      </c>
      <c r="BU33" s="136">
        <f t="shared" si="5"/>
        <v>41.000000000058208</v>
      </c>
      <c r="BV33" s="136">
        <f t="shared" si="6"/>
        <v>27</v>
      </c>
      <c r="BW33" s="135">
        <f t="shared" si="7"/>
        <v>7.6666666666860692</v>
      </c>
      <c r="BX33" s="135">
        <f t="shared" si="8"/>
        <v>7.2499999998835847</v>
      </c>
      <c r="BY33" s="134">
        <f t="shared" si="9"/>
        <v>5.1284722222189885</v>
      </c>
      <c r="BZ33" s="134">
        <f t="shared" si="10"/>
        <v>14.916666666664241</v>
      </c>
      <c r="CA33" s="133">
        <f t="shared" si="11"/>
        <v>0.34380819366836796</v>
      </c>
    </row>
    <row r="34" spans="1:79" s="126" customFormat="1">
      <c r="A34" s="192">
        <f t="shared" si="12"/>
        <v>44992.805555555555</v>
      </c>
      <c r="B34" s="126" t="s">
        <v>228</v>
      </c>
      <c r="C34" s="126" t="s">
        <v>229</v>
      </c>
      <c r="D34" s="126" t="s">
        <v>197</v>
      </c>
      <c r="E34" s="126" t="s">
        <v>950</v>
      </c>
      <c r="G34" s="165">
        <v>45003.5625</v>
      </c>
      <c r="H34" s="165">
        <v>45003.54583333333</v>
      </c>
      <c r="I34" s="126" t="s">
        <v>243</v>
      </c>
      <c r="J34" s="126" t="s">
        <v>192</v>
      </c>
      <c r="K34" s="126" t="s">
        <v>192</v>
      </c>
      <c r="L34" s="126" t="s">
        <v>951</v>
      </c>
      <c r="M34" s="167"/>
      <c r="N34" s="126" t="s">
        <v>505</v>
      </c>
      <c r="O34" s="126" t="s">
        <v>506</v>
      </c>
      <c r="P34" s="126" t="s">
        <v>235</v>
      </c>
      <c r="Q34" s="181">
        <f>3071*2.4</f>
        <v>7370.4</v>
      </c>
      <c r="R34" s="181">
        <v>7597.5119999999997</v>
      </c>
      <c r="S34" s="181"/>
      <c r="W34" s="181">
        <f>R34</f>
        <v>7597.5119999999997</v>
      </c>
      <c r="AW34" s="165">
        <f t="shared" si="0"/>
        <v>44981.375</v>
      </c>
      <c r="AX34" s="165">
        <f t="shared" si="1"/>
        <v>44999.923611111109</v>
      </c>
      <c r="AY34" s="137">
        <f t="shared" si="2"/>
        <v>18.548611111109494</v>
      </c>
      <c r="AZ34" s="165">
        <v>44981.375</v>
      </c>
      <c r="BA34" s="165">
        <v>44988.375</v>
      </c>
      <c r="BB34" s="165">
        <v>44989.979166666664</v>
      </c>
      <c r="BC34" s="165">
        <v>44992.805555555555</v>
      </c>
      <c r="BD34" s="165">
        <v>44992.995138888888</v>
      </c>
      <c r="BE34" s="165">
        <v>44993</v>
      </c>
      <c r="BF34" s="165">
        <v>44993</v>
      </c>
      <c r="BG34" s="165">
        <f t="shared" si="15"/>
        <v>44994.708333333336</v>
      </c>
      <c r="BH34" s="165">
        <v>44995.25</v>
      </c>
      <c r="BI34" s="165">
        <v>44995.416666666664</v>
      </c>
      <c r="BJ34" s="165">
        <v>44995.399305555555</v>
      </c>
      <c r="BK34" s="165">
        <v>44997.708333333336</v>
      </c>
      <c r="BL34" s="165">
        <v>44997.784722222219</v>
      </c>
      <c r="BM34" s="165">
        <v>44998.034722222219</v>
      </c>
      <c r="BN34" s="165">
        <v>44998.045138888891</v>
      </c>
      <c r="BO34" s="165">
        <v>44999.5</v>
      </c>
      <c r="BP34" s="165">
        <v>44999.923611111109</v>
      </c>
      <c r="BQ34" s="126" t="s">
        <v>939</v>
      </c>
      <c r="BS34" s="136">
        <f t="shared" si="3"/>
        <v>38.499999999941792</v>
      </c>
      <c r="BT34" s="136">
        <f t="shared" si="4"/>
        <v>4.5499999999883585</v>
      </c>
      <c r="BU34" s="136">
        <f t="shared" si="5"/>
        <v>41.000000000058208</v>
      </c>
      <c r="BV34" s="136">
        <f t="shared" si="6"/>
        <v>55.000000000116415</v>
      </c>
      <c r="BW34" s="135">
        <f t="shared" si="7"/>
        <v>6</v>
      </c>
      <c r="BX34" s="135">
        <f t="shared" si="8"/>
        <v>10.166666666627862</v>
      </c>
      <c r="BY34" s="134">
        <f t="shared" si="9"/>
        <v>6.4673611111138598</v>
      </c>
      <c r="BZ34" s="134">
        <f t="shared" si="10"/>
        <v>18.548611111109494</v>
      </c>
      <c r="CA34" s="133">
        <f t="shared" si="11"/>
        <v>0.34867090977179971</v>
      </c>
    </row>
    <row r="35" spans="1:79" s="126" customFormat="1">
      <c r="A35" s="192">
        <f t="shared" si="12"/>
        <v>44993.020833333336</v>
      </c>
      <c r="B35" s="126" t="s">
        <v>228</v>
      </c>
      <c r="C35" s="126" t="s">
        <v>229</v>
      </c>
      <c r="D35" s="126" t="s">
        <v>197</v>
      </c>
      <c r="E35" s="126" t="s">
        <v>950</v>
      </c>
      <c r="G35" s="165">
        <v>45003.5625</v>
      </c>
      <c r="H35" s="165">
        <v>45003.54583333333</v>
      </c>
      <c r="I35" s="126" t="s">
        <v>243</v>
      </c>
      <c r="J35" s="126" t="s">
        <v>192</v>
      </c>
      <c r="K35" s="126" t="s">
        <v>192</v>
      </c>
      <c r="L35" s="126" t="s">
        <v>952</v>
      </c>
      <c r="M35" s="167"/>
      <c r="N35" s="126" t="s">
        <v>205</v>
      </c>
      <c r="O35" s="126" t="s">
        <v>206</v>
      </c>
      <c r="P35" s="126" t="s">
        <v>235</v>
      </c>
      <c r="Q35" s="181">
        <f>3015*2.4</f>
        <v>7236</v>
      </c>
      <c r="R35" s="181">
        <v>7628.1940000000004</v>
      </c>
      <c r="S35" s="181"/>
      <c r="T35" s="219"/>
      <c r="W35" s="181">
        <f>R35</f>
        <v>7628.1940000000004</v>
      </c>
      <c r="AW35" s="165">
        <f t="shared" si="0"/>
        <v>44983.454861111109</v>
      </c>
      <c r="AX35" s="165">
        <f t="shared" si="1"/>
        <v>45002.5</v>
      </c>
      <c r="AY35" s="137">
        <f t="shared" si="2"/>
        <v>19.045138888890506</v>
      </c>
      <c r="AZ35" s="165">
        <v>44983.454861111109</v>
      </c>
      <c r="BA35" s="165">
        <v>44988.361111111109</v>
      </c>
      <c r="BB35" s="165">
        <v>44990.013888888891</v>
      </c>
      <c r="BC35" s="165">
        <v>44993.020833333336</v>
      </c>
      <c r="BD35" s="165">
        <v>44993.170138888891</v>
      </c>
      <c r="BE35" s="165">
        <v>44993.173611111109</v>
      </c>
      <c r="BF35" s="165">
        <v>44993.173611111109</v>
      </c>
      <c r="BG35" s="165">
        <f t="shared" si="15"/>
        <v>44994.881944444445</v>
      </c>
      <c r="BH35" s="165">
        <v>44996.25</v>
      </c>
      <c r="BI35" s="165">
        <v>44996.416666666664</v>
      </c>
      <c r="BJ35" s="165">
        <v>44996.388888888891</v>
      </c>
      <c r="BK35" s="165">
        <v>44998.013888888891</v>
      </c>
      <c r="BL35" s="165">
        <v>45001.479166666664</v>
      </c>
      <c r="BM35" s="165">
        <v>45001.715277777781</v>
      </c>
      <c r="BN35" s="165">
        <v>45001.774305555555</v>
      </c>
      <c r="BO35" s="165">
        <v>45001.871527777781</v>
      </c>
      <c r="BP35" s="165">
        <v>45002.5</v>
      </c>
      <c r="BQ35" s="126" t="s">
        <v>942</v>
      </c>
      <c r="BS35" s="136">
        <f t="shared" si="3"/>
        <v>39.666666666744277</v>
      </c>
      <c r="BT35" s="136">
        <f t="shared" si="4"/>
        <v>3.5833333333139308</v>
      </c>
      <c r="BU35" s="136">
        <f t="shared" si="5"/>
        <v>41.000000000058208</v>
      </c>
      <c r="BV35" s="136">
        <f t="shared" si="6"/>
        <v>38.333333333430346</v>
      </c>
      <c r="BW35" s="135">
        <f t="shared" si="7"/>
        <v>5.6666666668024845</v>
      </c>
      <c r="BX35" s="135">
        <f t="shared" si="8"/>
        <v>15.083333333255723</v>
      </c>
      <c r="BY35" s="134">
        <f t="shared" si="9"/>
        <v>5.9722222222335404</v>
      </c>
      <c r="BZ35" s="134">
        <f t="shared" si="10"/>
        <v>19.045138888890506</v>
      </c>
      <c r="CA35" s="133">
        <f t="shared" si="11"/>
        <v>0.31358249772162511</v>
      </c>
    </row>
    <row r="36" spans="1:79" s="126" customFormat="1">
      <c r="A36" s="192">
        <f t="shared" si="12"/>
        <v>44993.192361111112</v>
      </c>
      <c r="B36" s="126" t="s">
        <v>228</v>
      </c>
      <c r="C36" s="126" t="s">
        <v>229</v>
      </c>
      <c r="D36" s="126" t="s">
        <v>197</v>
      </c>
      <c r="E36" s="126" t="s">
        <v>950</v>
      </c>
      <c r="G36" s="165">
        <v>45003.5625</v>
      </c>
      <c r="H36" s="165">
        <v>45003.54583333333</v>
      </c>
      <c r="I36" s="126" t="s">
        <v>243</v>
      </c>
      <c r="J36" s="126" t="s">
        <v>192</v>
      </c>
      <c r="K36" s="126" t="s">
        <v>192</v>
      </c>
      <c r="L36" s="126" t="s">
        <v>953</v>
      </c>
      <c r="M36" s="167"/>
      <c r="N36" s="126" t="s">
        <v>429</v>
      </c>
      <c r="O36" s="126" t="s">
        <v>430</v>
      </c>
      <c r="P36" s="126" t="s">
        <v>235</v>
      </c>
      <c r="Q36" s="181">
        <f>3145 *2.4</f>
        <v>7548</v>
      </c>
      <c r="R36" s="181">
        <v>7685.6490000000003</v>
      </c>
      <c r="S36" s="181"/>
      <c r="W36" s="181">
        <f>R36</f>
        <v>7685.6490000000003</v>
      </c>
      <c r="AW36" s="165">
        <f t="shared" si="0"/>
        <v>44983.458333333336</v>
      </c>
      <c r="AX36" s="165">
        <f t="shared" si="1"/>
        <v>44998.458333333336</v>
      </c>
      <c r="AY36" s="137">
        <f t="shared" si="2"/>
        <v>15</v>
      </c>
      <c r="AZ36" s="165">
        <v>44983.458333333336</v>
      </c>
      <c r="BA36" s="165">
        <v>44988.368055555555</v>
      </c>
      <c r="BB36" s="165">
        <v>44990.4375</v>
      </c>
      <c r="BC36" s="165">
        <v>44993.192361111112</v>
      </c>
      <c r="BD36" s="165">
        <v>44993.385416666664</v>
      </c>
      <c r="BE36" s="165">
        <v>44993.392361111109</v>
      </c>
      <c r="BF36" s="165">
        <v>44993.392361111109</v>
      </c>
      <c r="BG36" s="165">
        <f t="shared" si="15"/>
        <v>44995.100694444445</v>
      </c>
      <c r="BH36" s="165">
        <v>44995.25</v>
      </c>
      <c r="BI36" s="165">
        <v>44995.416666666664</v>
      </c>
      <c r="BJ36" s="165">
        <v>44995.302083333336</v>
      </c>
      <c r="BK36" s="165">
        <v>44996.975694444445</v>
      </c>
      <c r="BL36" s="165">
        <v>44997.065972222219</v>
      </c>
      <c r="BM36" s="165">
        <v>44997.402777777781</v>
      </c>
      <c r="BN36" s="165">
        <v>44997.416666666664</v>
      </c>
      <c r="BO36" s="165">
        <v>44997.753472222219</v>
      </c>
      <c r="BP36" s="165">
        <v>44998.458333333336</v>
      </c>
      <c r="BQ36" s="126" t="s">
        <v>942</v>
      </c>
      <c r="BS36" s="136">
        <f t="shared" si="3"/>
        <v>49.666666666686069</v>
      </c>
      <c r="BT36" s="136">
        <f t="shared" si="4"/>
        <v>4.6333333332440816</v>
      </c>
      <c r="BU36" s="136">
        <f t="shared" si="5"/>
        <v>41.000000000058208</v>
      </c>
      <c r="BV36" s="136">
        <f t="shared" si="6"/>
        <v>37.416666666744277</v>
      </c>
      <c r="BW36" s="135">
        <f t="shared" si="7"/>
        <v>8.0833333334885538</v>
      </c>
      <c r="BX36" s="135">
        <f t="shared" si="8"/>
        <v>16.916666666802485</v>
      </c>
      <c r="BY36" s="134">
        <f t="shared" si="9"/>
        <v>6.5715277777926531</v>
      </c>
      <c r="BZ36" s="134">
        <f t="shared" si="10"/>
        <v>15</v>
      </c>
      <c r="CA36" s="133">
        <f t="shared" si="11"/>
        <v>0.43810185185284356</v>
      </c>
    </row>
    <row r="37" spans="1:79" s="126" customFormat="1">
      <c r="A37" s="192">
        <f t="shared" si="12"/>
        <v>44993.420138888891</v>
      </c>
      <c r="B37" s="126" t="s">
        <v>228</v>
      </c>
      <c r="C37" s="126" t="s">
        <v>229</v>
      </c>
      <c r="D37" s="126" t="s">
        <v>197</v>
      </c>
      <c r="E37" s="126" t="s">
        <v>950</v>
      </c>
      <c r="G37" s="165">
        <v>45003.5625</v>
      </c>
      <c r="H37" s="165">
        <v>45003.54583333333</v>
      </c>
      <c r="I37" s="126" t="s">
        <v>243</v>
      </c>
      <c r="J37" s="126" t="s">
        <v>192</v>
      </c>
      <c r="K37" s="126" t="s">
        <v>192</v>
      </c>
      <c r="L37" s="126" t="s">
        <v>954</v>
      </c>
      <c r="M37" s="167"/>
      <c r="N37" s="126" t="s">
        <v>330</v>
      </c>
      <c r="O37" s="126" t="s">
        <v>331</v>
      </c>
      <c r="P37" s="126" t="s">
        <v>581</v>
      </c>
      <c r="Q37" s="181">
        <f>3136*2.4</f>
        <v>7526.4</v>
      </c>
      <c r="R37" s="181">
        <v>7403.7079999999996</v>
      </c>
      <c r="S37" s="181"/>
      <c r="W37" s="181">
        <f>R37*0.75</f>
        <v>5552.7809999999999</v>
      </c>
      <c r="X37" s="181">
        <f>R37*0.25</f>
        <v>1850.9269999999999</v>
      </c>
      <c r="AW37" s="165">
        <f t="shared" si="0"/>
        <v>44983.503472222219</v>
      </c>
      <c r="AX37" s="165">
        <f t="shared" si="1"/>
        <v>45002.541666666664</v>
      </c>
      <c r="AY37" s="137">
        <f t="shared" si="2"/>
        <v>19.038194444445253</v>
      </c>
      <c r="AZ37" s="165">
        <v>44983.503472222219</v>
      </c>
      <c r="BA37" s="165">
        <v>44988.392361111109</v>
      </c>
      <c r="BB37" s="165">
        <v>44990.5</v>
      </c>
      <c r="BC37" s="165">
        <v>44993.420138888891</v>
      </c>
      <c r="BD37" s="165">
        <v>44993.5625</v>
      </c>
      <c r="BE37" s="165">
        <v>44993.569444444445</v>
      </c>
      <c r="BF37" s="165">
        <v>44993.569444444445</v>
      </c>
      <c r="BG37" s="165">
        <f t="shared" si="15"/>
        <v>44995.277777777781</v>
      </c>
      <c r="BH37" s="165">
        <v>44996.25</v>
      </c>
      <c r="BI37" s="165">
        <v>44996.416666666664</v>
      </c>
      <c r="BJ37" s="165">
        <v>44996.375</v>
      </c>
      <c r="BK37" s="165">
        <v>44998.104166666664</v>
      </c>
      <c r="BL37" s="165">
        <v>45001.826388888891</v>
      </c>
      <c r="BM37" s="165">
        <v>45002.097222222219</v>
      </c>
      <c r="BN37" s="165">
        <v>45002.121527777781</v>
      </c>
      <c r="BO37" s="165">
        <v>45002.125</v>
      </c>
      <c r="BP37" s="165">
        <v>45002.541666666664</v>
      </c>
      <c r="BQ37" s="126" t="s">
        <v>942</v>
      </c>
      <c r="BS37" s="136">
        <f t="shared" si="3"/>
        <v>50.583333333372138</v>
      </c>
      <c r="BT37" s="136">
        <f t="shared" si="4"/>
        <v>3.4166666666278616</v>
      </c>
      <c r="BU37" s="136">
        <f t="shared" si="5"/>
        <v>41.000000000058208</v>
      </c>
      <c r="BV37" s="136">
        <f t="shared" si="6"/>
        <v>40.5</v>
      </c>
      <c r="BW37" s="135">
        <f t="shared" si="7"/>
        <v>6.4999999998835847</v>
      </c>
      <c r="BX37" s="135">
        <f t="shared" si="8"/>
        <v>9.9999999999417923</v>
      </c>
      <c r="BY37" s="134">
        <f t="shared" si="9"/>
        <v>6.3333333333284827</v>
      </c>
      <c r="BZ37" s="134">
        <f t="shared" si="10"/>
        <v>19.038194444445253</v>
      </c>
      <c r="CA37" s="133">
        <f t="shared" si="11"/>
        <v>0.33266459967144363</v>
      </c>
    </row>
    <row r="38" spans="1:79" s="126" customFormat="1">
      <c r="A38" s="192">
        <f t="shared" si="12"/>
        <v>44993.625</v>
      </c>
      <c r="B38" s="126" t="s">
        <v>228</v>
      </c>
      <c r="C38" s="126" t="s">
        <v>229</v>
      </c>
      <c r="D38" s="126" t="s">
        <v>197</v>
      </c>
      <c r="E38" s="126" t="s">
        <v>950</v>
      </c>
      <c r="G38" s="165">
        <v>45003.5625</v>
      </c>
      <c r="H38" s="165">
        <v>45003.54583333333</v>
      </c>
      <c r="I38" s="126" t="s">
        <v>243</v>
      </c>
      <c r="J38" s="126" t="s">
        <v>192</v>
      </c>
      <c r="K38" s="126" t="s">
        <v>192</v>
      </c>
      <c r="L38" s="126" t="s">
        <v>955</v>
      </c>
      <c r="M38" s="167"/>
      <c r="N38" s="126" t="s">
        <v>349</v>
      </c>
      <c r="O38" s="126" t="s">
        <v>350</v>
      </c>
      <c r="P38" s="126" t="s">
        <v>581</v>
      </c>
      <c r="Q38" s="181">
        <f>3077*2.4</f>
        <v>7384.7999999999993</v>
      </c>
      <c r="R38" s="181">
        <v>7525.8159999999998</v>
      </c>
      <c r="S38" s="181"/>
      <c r="W38" s="181">
        <f>R38*0.75</f>
        <v>5644.3620000000001</v>
      </c>
      <c r="X38" s="181">
        <f>R38*0.25</f>
        <v>1881.454</v>
      </c>
      <c r="AW38" s="165">
        <f t="shared" si="0"/>
        <v>44984.090277777781</v>
      </c>
      <c r="AX38" s="165">
        <f t="shared" si="1"/>
        <v>44998.416666666664</v>
      </c>
      <c r="AY38" s="137">
        <f t="shared" si="2"/>
        <v>14.32638888888323</v>
      </c>
      <c r="AZ38" s="165">
        <v>44984.090277777781</v>
      </c>
      <c r="BA38" s="165">
        <v>44984.826388888891</v>
      </c>
      <c r="BB38" s="165">
        <v>44991.916666666664</v>
      </c>
      <c r="BC38" s="165">
        <v>44993.625</v>
      </c>
      <c r="BD38" s="165">
        <v>44993.756944444445</v>
      </c>
      <c r="BE38" s="165">
        <v>44993.760416666664</v>
      </c>
      <c r="BF38" s="165">
        <v>44993.760416666664</v>
      </c>
      <c r="BG38" s="165">
        <f t="shared" si="15"/>
        <v>44995.46875</v>
      </c>
      <c r="BH38" s="165">
        <v>44995.25</v>
      </c>
      <c r="BI38" s="165">
        <v>44995.416666666664</v>
      </c>
      <c r="BJ38" s="165">
        <v>44995.336805555555</v>
      </c>
      <c r="BK38" s="165">
        <v>44997.291666666664</v>
      </c>
      <c r="BL38" s="165">
        <v>44997.475694444445</v>
      </c>
      <c r="BM38" s="165">
        <v>44997.690972222219</v>
      </c>
      <c r="BN38" s="165">
        <v>44997.736111111109</v>
      </c>
      <c r="BO38" s="165">
        <v>44998.027777777781</v>
      </c>
      <c r="BP38" s="165">
        <v>44998.416666666664</v>
      </c>
      <c r="BQ38" s="126" t="s">
        <v>956</v>
      </c>
      <c r="BS38" s="136">
        <f t="shared" si="3"/>
        <v>170.16666666656965</v>
      </c>
      <c r="BT38" s="136">
        <f t="shared" si="4"/>
        <v>3.1666666666860692</v>
      </c>
      <c r="BU38" s="136">
        <f t="shared" si="5"/>
        <v>41.000000000058208</v>
      </c>
      <c r="BV38" s="136">
        <f t="shared" si="6"/>
        <v>45</v>
      </c>
      <c r="BW38" s="135">
        <f t="shared" si="7"/>
        <v>5.1666666665696539</v>
      </c>
      <c r="BX38" s="135">
        <f t="shared" si="8"/>
        <v>9.3333333331975155</v>
      </c>
      <c r="BY38" s="134">
        <f t="shared" si="9"/>
        <v>11.409722222211713</v>
      </c>
      <c r="BZ38" s="134">
        <f t="shared" si="10"/>
        <v>14.32638888888323</v>
      </c>
      <c r="CA38" s="133">
        <f t="shared" si="11"/>
        <v>0.79641299078969252</v>
      </c>
    </row>
    <row r="39" spans="1:79" s="126" customFormat="1">
      <c r="A39" s="192">
        <f t="shared" si="12"/>
        <v>44994.621527777781</v>
      </c>
      <c r="B39" s="126" t="s">
        <v>228</v>
      </c>
      <c r="C39" s="126" t="s">
        <v>229</v>
      </c>
      <c r="D39" s="126" t="s">
        <v>197</v>
      </c>
      <c r="E39" s="126" t="s">
        <v>950</v>
      </c>
      <c r="G39" s="165">
        <v>45003.5625</v>
      </c>
      <c r="H39" s="165">
        <v>45003.54583333333</v>
      </c>
      <c r="I39" s="126" t="s">
        <v>243</v>
      </c>
      <c r="J39" s="126" t="s">
        <v>192</v>
      </c>
      <c r="K39" s="126" t="s">
        <v>192</v>
      </c>
      <c r="L39" s="126" t="s">
        <v>957</v>
      </c>
      <c r="M39" s="167"/>
      <c r="N39" s="126" t="s">
        <v>437</v>
      </c>
      <c r="O39" s="126" t="s">
        <v>320</v>
      </c>
      <c r="P39" s="126" t="s">
        <v>581</v>
      </c>
      <c r="Q39" s="181">
        <f>3136*2.4</f>
        <v>7526.4</v>
      </c>
      <c r="R39" s="181">
        <v>7020.3720000000003</v>
      </c>
      <c r="S39" s="181"/>
      <c r="W39" s="181">
        <f>R39*0.75</f>
        <v>5265.2790000000005</v>
      </c>
      <c r="X39" s="181">
        <f>R39*0.25</f>
        <v>1755.0930000000001</v>
      </c>
      <c r="AW39" s="165">
        <f t="shared" si="0"/>
        <v>44984.479166666664</v>
      </c>
      <c r="AX39" s="165">
        <f t="shared" si="1"/>
        <v>45001.790277777778</v>
      </c>
      <c r="AY39" s="137">
        <f t="shared" si="2"/>
        <v>17.31111111111386</v>
      </c>
      <c r="AZ39" s="165">
        <v>44984.479166666664</v>
      </c>
      <c r="BA39" s="165">
        <v>44990.503472222219</v>
      </c>
      <c r="BB39" s="165">
        <v>44992.013888888891</v>
      </c>
      <c r="BC39" s="165">
        <v>44994.621527777781</v>
      </c>
      <c r="BD39" s="165">
        <v>44994.756944444445</v>
      </c>
      <c r="BE39" s="165">
        <v>44994.767361111109</v>
      </c>
      <c r="BF39" s="165">
        <v>44994.767361111109</v>
      </c>
      <c r="BG39" s="165">
        <f t="shared" si="15"/>
        <v>44996.475694444445</v>
      </c>
      <c r="BH39" s="165">
        <v>44996.25</v>
      </c>
      <c r="BI39" s="165">
        <v>44996.416666666664</v>
      </c>
      <c r="BJ39" s="165">
        <v>44996.277777777781</v>
      </c>
      <c r="BK39" s="165">
        <v>44997.833333333336</v>
      </c>
      <c r="BL39" s="165">
        <v>45000.975694444445</v>
      </c>
      <c r="BM39" s="165">
        <v>45001.336805555555</v>
      </c>
      <c r="BN39" s="165">
        <v>45001.399305555555</v>
      </c>
      <c r="BO39" s="165">
        <v>45001.402777777781</v>
      </c>
      <c r="BP39" s="165">
        <v>45001.790277777778</v>
      </c>
      <c r="BQ39" s="126" t="s">
        <v>956</v>
      </c>
      <c r="BS39" s="136">
        <f t="shared" si="3"/>
        <v>36.250000000116415</v>
      </c>
      <c r="BT39" s="136">
        <f t="shared" si="4"/>
        <v>3.2499999999417923</v>
      </c>
      <c r="BU39" s="136">
        <f t="shared" si="5"/>
        <v>41.000000000058208</v>
      </c>
      <c r="BV39" s="136">
        <f t="shared" si="6"/>
        <v>34.000000000116415</v>
      </c>
      <c r="BW39" s="135">
        <f t="shared" si="7"/>
        <v>8.6666666666278616</v>
      </c>
      <c r="BX39" s="135">
        <f t="shared" si="8"/>
        <v>9.2999999999301508</v>
      </c>
      <c r="BY39" s="134">
        <f t="shared" si="9"/>
        <v>5.5194444444496185</v>
      </c>
      <c r="BZ39" s="134">
        <f t="shared" si="10"/>
        <v>17.31111111111386</v>
      </c>
      <c r="CA39" s="133">
        <f t="shared" si="11"/>
        <v>0.31883825417226364</v>
      </c>
    </row>
    <row r="40" spans="1:79" s="126" customFormat="1">
      <c r="A40" s="192">
        <f t="shared" si="12"/>
        <v>44993.811111111114</v>
      </c>
      <c r="B40" s="126" t="s">
        <v>228</v>
      </c>
      <c r="C40" s="126" t="s">
        <v>229</v>
      </c>
      <c r="D40" s="126" t="s">
        <v>215</v>
      </c>
      <c r="E40" s="126" t="s">
        <v>943</v>
      </c>
      <c r="F40" s="126" t="s">
        <v>958</v>
      </c>
      <c r="G40" s="73">
        <v>44992.25</v>
      </c>
      <c r="H40" s="73">
        <v>44992.25</v>
      </c>
      <c r="I40" s="126" t="s">
        <v>231</v>
      </c>
      <c r="J40" s="126" t="s">
        <v>192</v>
      </c>
      <c r="K40" s="126" t="s">
        <v>192</v>
      </c>
      <c r="L40" s="126" t="s">
        <v>959</v>
      </c>
      <c r="M40" s="167"/>
      <c r="N40" s="126" t="s">
        <v>352</v>
      </c>
      <c r="O40" s="126" t="s">
        <v>353</v>
      </c>
      <c r="P40" s="126" t="s">
        <v>581</v>
      </c>
      <c r="Q40" s="181">
        <f>3852*2.4</f>
        <v>9244.7999999999993</v>
      </c>
      <c r="R40" s="181">
        <v>9787.4500000000007</v>
      </c>
      <c r="S40" s="181"/>
      <c r="T40" s="219"/>
      <c r="W40" s="181">
        <f>R40*0.75</f>
        <v>7340.5875000000005</v>
      </c>
      <c r="X40" s="181">
        <f>R40*0.25</f>
        <v>2446.8625000000002</v>
      </c>
      <c r="AW40" s="165">
        <f t="shared" si="0"/>
        <v>44984.354166666664</v>
      </c>
      <c r="AX40" s="165">
        <f t="shared" si="1"/>
        <v>45002.541666666664</v>
      </c>
      <c r="AY40" s="137">
        <f t="shared" si="2"/>
        <v>18.1875</v>
      </c>
      <c r="AZ40" s="165">
        <v>44984.354166666664</v>
      </c>
      <c r="BA40" s="165">
        <v>44990.522916666669</v>
      </c>
      <c r="BB40" s="165">
        <v>44992.232638888891</v>
      </c>
      <c r="BC40" s="165">
        <v>44993.811111111114</v>
      </c>
      <c r="BD40" s="165">
        <v>44994.011111111111</v>
      </c>
      <c r="BE40" s="165">
        <v>44994.017361111109</v>
      </c>
      <c r="BF40" s="165">
        <v>44994.017361111109</v>
      </c>
      <c r="BG40" s="165">
        <f t="shared" si="15"/>
        <v>44995.725694444445</v>
      </c>
      <c r="BH40" s="165">
        <v>44996.25</v>
      </c>
      <c r="BI40" s="165">
        <v>44996.416666666664</v>
      </c>
      <c r="BJ40" s="165">
        <v>44996.340277777781</v>
      </c>
      <c r="BK40" s="165">
        <v>45001.25</v>
      </c>
      <c r="BL40" s="165">
        <v>45001.743055555555</v>
      </c>
      <c r="BM40" s="165">
        <v>45002.131944444445</v>
      </c>
      <c r="BN40" s="165">
        <v>45002.145833333336</v>
      </c>
      <c r="BO40" s="165">
        <v>45002.145833333336</v>
      </c>
      <c r="BP40" s="165">
        <v>45002.541666666664</v>
      </c>
      <c r="BQ40" s="126" t="s">
        <v>956</v>
      </c>
      <c r="BS40" s="136">
        <f t="shared" si="3"/>
        <v>41.033333333325572</v>
      </c>
      <c r="BT40" s="136">
        <f t="shared" si="4"/>
        <v>4.7999999999301508</v>
      </c>
      <c r="BU40" s="136">
        <f t="shared" si="5"/>
        <v>41.000000000058208</v>
      </c>
      <c r="BV40" s="136">
        <f t="shared" si="6"/>
        <v>116.00000000005821</v>
      </c>
      <c r="BW40" s="135">
        <f t="shared" si="7"/>
        <v>9.3333333333721384</v>
      </c>
      <c r="BX40" s="135">
        <f t="shared" si="8"/>
        <v>9.4999999998835847</v>
      </c>
      <c r="BY40" s="134">
        <f t="shared" si="9"/>
        <v>9.2361111111094942</v>
      </c>
      <c r="BZ40" s="134">
        <f t="shared" si="10"/>
        <v>18.1875</v>
      </c>
      <c r="CA40" s="133">
        <f t="shared" si="11"/>
        <v>0.50782741504382101</v>
      </c>
    </row>
    <row r="41" spans="1:79" s="126" customFormat="1">
      <c r="A41" s="192">
        <f t="shared" si="12"/>
        <v>44997.197916666664</v>
      </c>
      <c r="B41" s="126" t="s">
        <v>228</v>
      </c>
      <c r="C41" s="126" t="s">
        <v>229</v>
      </c>
      <c r="D41" s="126" t="s">
        <v>215</v>
      </c>
      <c r="E41" s="126" t="s">
        <v>950</v>
      </c>
      <c r="G41" s="165">
        <v>45003.5625</v>
      </c>
      <c r="H41" s="165">
        <v>45003.54583333333</v>
      </c>
      <c r="I41" s="126" t="s">
        <v>243</v>
      </c>
      <c r="J41" s="126" t="s">
        <v>192</v>
      </c>
      <c r="K41" s="126" t="s">
        <v>192</v>
      </c>
      <c r="L41" s="126" t="s">
        <v>960</v>
      </c>
      <c r="M41" s="167"/>
      <c r="N41" s="126" t="s">
        <v>721</v>
      </c>
      <c r="O41" s="126" t="s">
        <v>722</v>
      </c>
      <c r="P41" s="126" t="s">
        <v>581</v>
      </c>
      <c r="Q41" s="181">
        <v>7500</v>
      </c>
      <c r="R41" s="181">
        <v>7723.3119999999999</v>
      </c>
      <c r="S41" s="181"/>
      <c r="T41" s="219"/>
      <c r="U41" s="219"/>
      <c r="W41" s="181">
        <f>R41*0.75</f>
        <v>5792.4840000000004</v>
      </c>
      <c r="X41" s="181">
        <f>R41*0.25</f>
        <v>1930.828</v>
      </c>
      <c r="AW41" s="165">
        <f t="shared" si="0"/>
        <v>44991.791666666664</v>
      </c>
      <c r="AX41" s="165">
        <f t="shared" si="1"/>
        <v>45003</v>
      </c>
      <c r="AY41" s="137">
        <f t="shared" si="2"/>
        <v>11.208333333335759</v>
      </c>
      <c r="AZ41" s="165">
        <v>44991.791666666664</v>
      </c>
      <c r="BA41" s="165">
        <v>44993.559027777781</v>
      </c>
      <c r="BB41" s="165">
        <v>44995.083333333336</v>
      </c>
      <c r="BC41" s="165">
        <v>44997.197916666664</v>
      </c>
      <c r="BD41" s="165">
        <v>44997.399305555555</v>
      </c>
      <c r="BE41" s="165">
        <v>44997.402777777781</v>
      </c>
      <c r="BF41" s="165">
        <v>44997.402777777781</v>
      </c>
      <c r="BG41" s="165">
        <f t="shared" si="15"/>
        <v>44999.111111111117</v>
      </c>
      <c r="BH41" s="165">
        <v>44999.291666608799</v>
      </c>
      <c r="BI41" s="165">
        <v>44999.458333275463</v>
      </c>
      <c r="BJ41" s="165">
        <v>44999.302083333336</v>
      </c>
      <c r="BK41" s="165">
        <v>45000.583333333336</v>
      </c>
      <c r="BL41" s="165">
        <v>45002.180555555555</v>
      </c>
      <c r="BM41" s="165">
        <v>45002.552083333336</v>
      </c>
      <c r="BN41" s="165">
        <v>45002.565972222219</v>
      </c>
      <c r="BO41" s="165">
        <v>45002.569444444445</v>
      </c>
      <c r="BP41" s="165">
        <v>45003</v>
      </c>
      <c r="BQ41" s="126" t="s">
        <v>961</v>
      </c>
      <c r="BS41" s="136">
        <f t="shared" si="3"/>
        <v>36.583333333313931</v>
      </c>
      <c r="BT41" s="136">
        <f t="shared" si="4"/>
        <v>4.8333333333721384</v>
      </c>
      <c r="BU41" s="136">
        <f t="shared" si="5"/>
        <v>41.000000000058208</v>
      </c>
      <c r="BV41" s="136">
        <f t="shared" si="6"/>
        <v>27.000001388951205</v>
      </c>
      <c r="BW41" s="135">
        <f t="shared" si="7"/>
        <v>8.9166666667442769</v>
      </c>
      <c r="BX41" s="135">
        <f t="shared" si="8"/>
        <v>10.333333333313931</v>
      </c>
      <c r="BY41" s="134">
        <f t="shared" si="9"/>
        <v>5.3611111689897371</v>
      </c>
      <c r="BZ41" s="134">
        <f t="shared" si="10"/>
        <v>11.208333333335759</v>
      </c>
      <c r="CA41" s="133">
        <f t="shared" si="11"/>
        <v>0.47831475113652733</v>
      </c>
    </row>
    <row r="42" spans="1:79" s="126" customFormat="1">
      <c r="A42" s="192">
        <f t="shared" si="12"/>
        <v>44996.072916666664</v>
      </c>
      <c r="B42" s="126" t="s">
        <v>228</v>
      </c>
      <c r="C42" s="126" t="s">
        <v>229</v>
      </c>
      <c r="D42" s="126" t="s">
        <v>197</v>
      </c>
      <c r="E42" s="126" t="s">
        <v>943</v>
      </c>
      <c r="G42" s="73">
        <v>44992.25</v>
      </c>
      <c r="H42" s="73">
        <v>44992.25</v>
      </c>
      <c r="I42" s="126" t="s">
        <v>231</v>
      </c>
      <c r="J42" s="126" t="s">
        <v>192</v>
      </c>
      <c r="K42" s="126" t="s">
        <v>192</v>
      </c>
      <c r="L42" s="126" t="s">
        <v>962</v>
      </c>
      <c r="M42" s="167"/>
      <c r="N42" s="126" t="s">
        <v>277</v>
      </c>
      <c r="O42" s="126" t="s">
        <v>278</v>
      </c>
      <c r="P42" s="126" t="s">
        <v>240</v>
      </c>
      <c r="Q42" s="181">
        <f>3117*2.4</f>
        <v>7480.7999999999993</v>
      </c>
      <c r="R42" s="181">
        <v>7401.3119999999999</v>
      </c>
      <c r="S42" s="181"/>
      <c r="X42" s="181">
        <f t="shared" ref="X42:X48" si="20">R42</f>
        <v>7401.3119999999999</v>
      </c>
      <c r="AW42" s="165">
        <f t="shared" si="0"/>
        <v>44990.048611111109</v>
      </c>
      <c r="AX42" s="165">
        <f t="shared" si="1"/>
        <v>45001.680555555555</v>
      </c>
      <c r="AY42" s="137">
        <f t="shared" si="2"/>
        <v>11.631944444445253</v>
      </c>
      <c r="AZ42" s="165">
        <v>44990.048611111109</v>
      </c>
      <c r="BA42" s="165">
        <v>44992.548611111109</v>
      </c>
      <c r="BB42" s="165">
        <v>44994.208333333336</v>
      </c>
      <c r="BC42" s="165">
        <v>44996.072916666664</v>
      </c>
      <c r="BD42" s="165">
        <v>44996.194444444445</v>
      </c>
      <c r="BE42" s="165">
        <v>44996.204861111109</v>
      </c>
      <c r="BF42" s="165">
        <v>44996.204861111109</v>
      </c>
      <c r="BG42" s="165">
        <f t="shared" si="15"/>
        <v>44997.913194444445</v>
      </c>
      <c r="BH42" s="165">
        <v>44998.291666608799</v>
      </c>
      <c r="BI42" s="165">
        <v>44998.458333275463</v>
      </c>
      <c r="BJ42" s="165">
        <v>44998.340277777781</v>
      </c>
      <c r="BK42" s="165">
        <v>45000.253472222219</v>
      </c>
      <c r="BL42" s="165">
        <v>45001.125</v>
      </c>
      <c r="BM42" s="165">
        <v>45001.385416666664</v>
      </c>
      <c r="BN42" s="165">
        <v>45001.399305555555</v>
      </c>
      <c r="BO42" s="165">
        <v>45001.399305555555</v>
      </c>
      <c r="BP42" s="165">
        <v>45001.680555555555</v>
      </c>
      <c r="BQ42" s="126" t="s">
        <v>963</v>
      </c>
      <c r="BS42" s="136">
        <f t="shared" si="3"/>
        <v>39.833333333430346</v>
      </c>
      <c r="BT42" s="136">
        <f t="shared" si="4"/>
        <v>2.9166666667442769</v>
      </c>
      <c r="BU42" s="136">
        <f t="shared" si="5"/>
        <v>41.000000000058208</v>
      </c>
      <c r="BV42" s="136">
        <f t="shared" si="6"/>
        <v>43.08333472214872</v>
      </c>
      <c r="BW42" s="135">
        <f t="shared" si="7"/>
        <v>6.2499999999417923</v>
      </c>
      <c r="BX42" s="135">
        <f t="shared" si="8"/>
        <v>6.75</v>
      </c>
      <c r="BY42" s="134">
        <f t="shared" si="9"/>
        <v>5.8263889467634726</v>
      </c>
      <c r="BZ42" s="134">
        <f t="shared" si="10"/>
        <v>11.631944444445253</v>
      </c>
      <c r="CA42" s="133">
        <f t="shared" si="11"/>
        <v>0.50089552736351151</v>
      </c>
    </row>
    <row r="43" spans="1:79" s="126" customFormat="1">
      <c r="A43" s="192">
        <f t="shared" si="12"/>
        <v>44996.961805555555</v>
      </c>
      <c r="B43" s="126" t="s">
        <v>228</v>
      </c>
      <c r="C43" s="126" t="s">
        <v>229</v>
      </c>
      <c r="D43" s="126" t="s">
        <v>197</v>
      </c>
      <c r="E43" s="126" t="s">
        <v>943</v>
      </c>
      <c r="G43" s="73">
        <v>44992.25</v>
      </c>
      <c r="H43" s="73">
        <v>44992.25</v>
      </c>
      <c r="I43" s="126" t="s">
        <v>231</v>
      </c>
      <c r="J43" s="126" t="s">
        <v>192</v>
      </c>
      <c r="K43" s="126" t="s">
        <v>192</v>
      </c>
      <c r="L43" s="126" t="s">
        <v>964</v>
      </c>
      <c r="M43" s="167"/>
      <c r="N43" s="126" t="s">
        <v>310</v>
      </c>
      <c r="O43" s="126" t="s">
        <v>311</v>
      </c>
      <c r="P43" s="126" t="s">
        <v>240</v>
      </c>
      <c r="Q43" s="181">
        <f>3128*2.4</f>
        <v>7507.2</v>
      </c>
      <c r="R43" s="181">
        <f>7642.916-2938.837</f>
        <v>4704.0789999999997</v>
      </c>
      <c r="S43" s="181"/>
      <c r="X43" s="181">
        <f t="shared" si="20"/>
        <v>4704.0789999999997</v>
      </c>
      <c r="AW43" s="165">
        <f t="shared" si="0"/>
        <v>44989.548611111109</v>
      </c>
      <c r="AX43" s="165">
        <f t="shared" si="1"/>
        <v>45004.409722222219</v>
      </c>
      <c r="AY43" s="137">
        <f t="shared" si="2"/>
        <v>14.861111111109494</v>
      </c>
      <c r="AZ43" s="165">
        <v>44989.548611111109</v>
      </c>
      <c r="BA43" s="165">
        <v>44991.802083333336</v>
      </c>
      <c r="BB43" s="165">
        <v>44994.6875</v>
      </c>
      <c r="BC43" s="165">
        <v>44996.961805555555</v>
      </c>
      <c r="BD43" s="165">
        <v>44997.133333333331</v>
      </c>
      <c r="BE43" s="165">
        <v>44997.142361111109</v>
      </c>
      <c r="BF43" s="165">
        <v>44997.291666666664</v>
      </c>
      <c r="BG43" s="165">
        <f t="shared" si="15"/>
        <v>44999</v>
      </c>
      <c r="BH43" s="165">
        <v>44999.291666608799</v>
      </c>
      <c r="BI43" s="165">
        <v>44999.458333275463</v>
      </c>
      <c r="BJ43" s="165">
        <v>44999.375</v>
      </c>
      <c r="BK43" s="165">
        <v>45000.583333333336</v>
      </c>
      <c r="BL43" s="165">
        <v>45004.256944444445</v>
      </c>
      <c r="BM43" s="196">
        <v>45004.347222222219</v>
      </c>
      <c r="BN43" s="196">
        <v>45004.409722222219</v>
      </c>
      <c r="BO43" s="196">
        <v>45004.409722222219</v>
      </c>
      <c r="BP43" s="196">
        <v>45004.409722222219</v>
      </c>
      <c r="BQ43" s="126" t="s">
        <v>963</v>
      </c>
      <c r="BS43" s="136">
        <f t="shared" si="3"/>
        <v>69.249999999941792</v>
      </c>
      <c r="BT43" s="136">
        <f t="shared" si="4"/>
        <v>4.1166666666395031</v>
      </c>
      <c r="BU43" s="136">
        <f t="shared" si="5"/>
        <v>41.000000000058208</v>
      </c>
      <c r="BV43" s="136">
        <f t="shared" si="6"/>
        <v>27.000001388951205</v>
      </c>
      <c r="BW43" s="135">
        <f t="shared" si="7"/>
        <v>2.1666666665696539</v>
      </c>
      <c r="BX43" s="135">
        <f t="shared" si="8"/>
        <v>0</v>
      </c>
      <c r="BY43" s="134">
        <f t="shared" si="9"/>
        <v>5.9805556134233484</v>
      </c>
      <c r="BZ43" s="134">
        <f t="shared" si="10"/>
        <v>14.861111111109494</v>
      </c>
      <c r="CA43" s="133">
        <f t="shared" si="11"/>
        <v>0.4024299104360074</v>
      </c>
    </row>
    <row r="44" spans="1:79" s="126" customFormat="1">
      <c r="A44" s="192">
        <f t="shared" si="12"/>
        <v>44996.961805555555</v>
      </c>
      <c r="B44" s="126" t="s">
        <v>228</v>
      </c>
      <c r="C44" s="126" t="s">
        <v>229</v>
      </c>
      <c r="D44" s="126" t="s">
        <v>197</v>
      </c>
      <c r="E44" s="126" t="s">
        <v>965</v>
      </c>
      <c r="G44" s="73">
        <v>44998.583333333336</v>
      </c>
      <c r="H44" s="73">
        <v>44998.604166666664</v>
      </c>
      <c r="I44" s="126" t="s">
        <v>231</v>
      </c>
      <c r="J44" s="126" t="s">
        <v>192</v>
      </c>
      <c r="K44" s="126" t="s">
        <v>192</v>
      </c>
      <c r="L44" s="126" t="s">
        <v>964</v>
      </c>
      <c r="M44" s="167"/>
      <c r="N44" s="126" t="s">
        <v>310</v>
      </c>
      <c r="O44" s="126" t="s">
        <v>311</v>
      </c>
      <c r="P44" s="126" t="s">
        <v>240</v>
      </c>
      <c r="Q44" s="181">
        <f>3128*2.4</f>
        <v>7507.2</v>
      </c>
      <c r="R44" s="181">
        <f>2935</f>
        <v>2935</v>
      </c>
      <c r="S44" s="181"/>
      <c r="X44" s="181">
        <f t="shared" si="20"/>
        <v>2935</v>
      </c>
      <c r="AW44" s="165">
        <f t="shared" si="0"/>
        <v>44989.548611111109</v>
      </c>
      <c r="AX44" s="165">
        <f t="shared" si="1"/>
        <v>45005.916666666664</v>
      </c>
      <c r="AY44" s="137">
        <f t="shared" si="2"/>
        <v>16.368055555554747</v>
      </c>
      <c r="AZ44" s="165">
        <v>44989.548611111109</v>
      </c>
      <c r="BA44" s="165">
        <v>44991.802083333336</v>
      </c>
      <c r="BB44" s="165">
        <v>44994.6875</v>
      </c>
      <c r="BC44" s="165">
        <v>44996.961805555555</v>
      </c>
      <c r="BD44" s="165">
        <v>44997.133333333331</v>
      </c>
      <c r="BE44" s="165">
        <v>44997.142361111109</v>
      </c>
      <c r="BF44" s="165">
        <v>44997.291666666664</v>
      </c>
      <c r="BG44" s="165">
        <f t="shared" si="15"/>
        <v>44999</v>
      </c>
      <c r="BH44" s="165">
        <v>44999.291666608799</v>
      </c>
      <c r="BI44" s="165">
        <v>44999.458333275463</v>
      </c>
      <c r="BJ44" s="165">
        <v>44999.375</v>
      </c>
      <c r="BK44" s="196">
        <v>45004.409722222219</v>
      </c>
      <c r="BL44" s="165">
        <v>45005.1875</v>
      </c>
      <c r="BM44" s="165">
        <v>45005.350694444445</v>
      </c>
      <c r="BN44" s="165">
        <v>45005.381944444445</v>
      </c>
      <c r="BO44" s="165">
        <v>45005.625</v>
      </c>
      <c r="BP44" s="165">
        <v>45005.916666666664</v>
      </c>
      <c r="BQ44" s="126" t="s">
        <v>963</v>
      </c>
      <c r="BS44" s="136">
        <f t="shared" si="3"/>
        <v>69.249999999941792</v>
      </c>
      <c r="BT44" s="136">
        <f t="shared" si="4"/>
        <v>4.1166666666395031</v>
      </c>
      <c r="BU44" s="136">
        <f t="shared" si="5"/>
        <v>41.000000000058208</v>
      </c>
      <c r="BV44" s="136">
        <f t="shared" si="6"/>
        <v>118.83333472214872</v>
      </c>
      <c r="BW44" s="135">
        <f t="shared" si="7"/>
        <v>3.9166666666860692</v>
      </c>
      <c r="BX44" s="135">
        <f t="shared" si="8"/>
        <v>6.9999999999417923</v>
      </c>
      <c r="BY44" s="134">
        <f t="shared" si="9"/>
        <v>10.171527835642337</v>
      </c>
      <c r="BZ44" s="134">
        <f t="shared" si="10"/>
        <v>16.368055555554747</v>
      </c>
      <c r="CA44" s="133">
        <f t="shared" si="11"/>
        <v>0.62142554447711873</v>
      </c>
    </row>
    <row r="45" spans="1:79" s="126" customFormat="1">
      <c r="A45" s="192">
        <f t="shared" si="12"/>
        <v>44996.486111111109</v>
      </c>
      <c r="B45" s="126" t="s">
        <v>228</v>
      </c>
      <c r="C45" s="126" t="s">
        <v>229</v>
      </c>
      <c r="D45" s="126" t="s">
        <v>197</v>
      </c>
      <c r="E45" s="126" t="s">
        <v>943</v>
      </c>
      <c r="G45" s="73">
        <v>44992.25</v>
      </c>
      <c r="H45" s="73">
        <v>44992.25</v>
      </c>
      <c r="I45" s="126" t="s">
        <v>231</v>
      </c>
      <c r="J45" s="126" t="s">
        <v>192</v>
      </c>
      <c r="K45" s="126" t="s">
        <v>192</v>
      </c>
      <c r="L45" s="126" t="s">
        <v>966</v>
      </c>
      <c r="M45" s="167"/>
      <c r="N45" s="126" t="s">
        <v>380</v>
      </c>
      <c r="O45" s="126" t="s">
        <v>381</v>
      </c>
      <c r="P45" s="126" t="s">
        <v>240</v>
      </c>
      <c r="Q45" s="181">
        <f>3271*2.4</f>
        <v>7850.4</v>
      </c>
      <c r="R45" s="181">
        <v>7751.625</v>
      </c>
      <c r="S45" s="181"/>
      <c r="X45" s="181">
        <f t="shared" si="20"/>
        <v>7751.625</v>
      </c>
      <c r="AW45" s="165">
        <f t="shared" si="0"/>
        <v>44989.715277777781</v>
      </c>
      <c r="AX45" s="165">
        <f t="shared" si="1"/>
        <v>45002.166666666664</v>
      </c>
      <c r="AY45" s="137">
        <f t="shared" si="2"/>
        <v>12.45138888888323</v>
      </c>
      <c r="AZ45" s="165">
        <v>44989.715277777781</v>
      </c>
      <c r="BA45" s="165">
        <v>44992.559027777781</v>
      </c>
      <c r="BB45" s="165">
        <v>44994.322916666664</v>
      </c>
      <c r="BC45" s="165">
        <v>44996.486111111109</v>
      </c>
      <c r="BD45" s="165">
        <v>44996.722222222219</v>
      </c>
      <c r="BE45" s="165">
        <v>44996.729166666664</v>
      </c>
      <c r="BF45" s="165">
        <v>44996.729166666664</v>
      </c>
      <c r="BG45" s="165">
        <f t="shared" si="15"/>
        <v>44998.4375</v>
      </c>
      <c r="BH45" s="165">
        <v>44998.291666608799</v>
      </c>
      <c r="BI45" s="165">
        <v>44998.458333275463</v>
      </c>
      <c r="BJ45" s="165">
        <v>44998.291666666664</v>
      </c>
      <c r="BK45" s="165">
        <v>45000.291666666664</v>
      </c>
      <c r="BL45" s="165">
        <v>45001.423611111109</v>
      </c>
      <c r="BM45" s="165">
        <v>45001.708333333336</v>
      </c>
      <c r="BN45" s="165">
        <v>45001.722222222219</v>
      </c>
      <c r="BO45" s="165">
        <v>45001.722222222219</v>
      </c>
      <c r="BP45" s="165">
        <v>45002.166666666664</v>
      </c>
      <c r="BQ45" s="126" t="s">
        <v>963</v>
      </c>
      <c r="BS45" s="136">
        <f t="shared" si="3"/>
        <v>42.333333333197515</v>
      </c>
      <c r="BT45" s="136">
        <f t="shared" si="4"/>
        <v>5.6666666666278616</v>
      </c>
      <c r="BU45" s="136">
        <f t="shared" si="5"/>
        <v>41.000000000058208</v>
      </c>
      <c r="BV45" s="136">
        <f t="shared" si="6"/>
        <v>44.000001388834789</v>
      </c>
      <c r="BW45" s="135">
        <f t="shared" si="7"/>
        <v>6.8333333334303461</v>
      </c>
      <c r="BX45" s="135">
        <f t="shared" si="8"/>
        <v>10.666666666686069</v>
      </c>
      <c r="BY45" s="134">
        <f t="shared" si="9"/>
        <v>6.2708333912014496</v>
      </c>
      <c r="BZ45" s="134">
        <f t="shared" si="10"/>
        <v>12.45138888888323</v>
      </c>
      <c r="CA45" s="133">
        <f t="shared" si="11"/>
        <v>0.50362521379443348</v>
      </c>
    </row>
    <row r="46" spans="1:79" s="126" customFormat="1">
      <c r="A46" s="192">
        <f t="shared" si="12"/>
        <v>44996.753472222219</v>
      </c>
      <c r="B46" s="126" t="s">
        <v>228</v>
      </c>
      <c r="C46" s="126" t="s">
        <v>229</v>
      </c>
      <c r="D46" s="126" t="s">
        <v>215</v>
      </c>
      <c r="E46" s="126" t="s">
        <v>943</v>
      </c>
      <c r="G46" s="73">
        <v>44992.25</v>
      </c>
      <c r="H46" s="73">
        <v>44992.25</v>
      </c>
      <c r="I46" s="126" t="s">
        <v>231</v>
      </c>
      <c r="J46" s="126" t="s">
        <v>192</v>
      </c>
      <c r="K46" s="126" t="s">
        <v>192</v>
      </c>
      <c r="L46" s="126" t="s">
        <v>967</v>
      </c>
      <c r="M46" s="167"/>
      <c r="N46" s="126" t="s">
        <v>374</v>
      </c>
      <c r="O46" s="126" t="s">
        <v>375</v>
      </c>
      <c r="P46" s="126" t="s">
        <v>240</v>
      </c>
      <c r="Q46" s="181">
        <v>7508.4480000000003</v>
      </c>
      <c r="R46" s="181">
        <v>7502.3459999999995</v>
      </c>
      <c r="S46" s="181"/>
      <c r="X46" s="181">
        <f t="shared" si="20"/>
        <v>7502.3459999999995</v>
      </c>
      <c r="AW46" s="165">
        <f t="shared" si="0"/>
        <v>44987.59375</v>
      </c>
      <c r="AX46" s="165">
        <f t="shared" si="1"/>
        <v>45002.638888888891</v>
      </c>
      <c r="AY46" s="137">
        <f t="shared" si="2"/>
        <v>15.045138888890506</v>
      </c>
      <c r="AZ46" s="165">
        <v>44987.59375</v>
      </c>
      <c r="BA46" s="165">
        <v>44992.590277777781</v>
      </c>
      <c r="BB46" s="165">
        <v>44994.354166666664</v>
      </c>
      <c r="BC46" s="165">
        <v>44996.753472222219</v>
      </c>
      <c r="BD46" s="165">
        <v>44996.93472222222</v>
      </c>
      <c r="BE46" s="165">
        <v>44996.940972222219</v>
      </c>
      <c r="BF46" s="165">
        <v>44997.270833333336</v>
      </c>
      <c r="BG46" s="165">
        <f t="shared" si="15"/>
        <v>44998.979166666672</v>
      </c>
      <c r="BH46" s="165">
        <v>44999.291666608799</v>
      </c>
      <c r="BI46" s="165">
        <v>44999.458333275463</v>
      </c>
      <c r="BJ46" s="165">
        <v>44999.340277777781</v>
      </c>
      <c r="BK46" s="165">
        <v>45000.402777777781</v>
      </c>
      <c r="BL46" s="165">
        <v>45001.972222222219</v>
      </c>
      <c r="BM46" s="165">
        <v>45002.270833333336</v>
      </c>
      <c r="BN46" s="165">
        <v>45002.284722222219</v>
      </c>
      <c r="BO46" s="165">
        <v>45002.284722222219</v>
      </c>
      <c r="BP46" s="165">
        <v>45002.638888888891</v>
      </c>
      <c r="BQ46" s="126" t="s">
        <v>963</v>
      </c>
      <c r="BS46" s="136">
        <f t="shared" si="3"/>
        <v>42.333333333197515</v>
      </c>
      <c r="BT46" s="136">
        <f t="shared" si="4"/>
        <v>4.3500000000349246</v>
      </c>
      <c r="BU46" s="136">
        <f t="shared" si="5"/>
        <v>41.000000000058208</v>
      </c>
      <c r="BV46" s="136">
        <f t="shared" si="6"/>
        <v>22.666668055637274</v>
      </c>
      <c r="BW46" s="135">
        <f t="shared" si="7"/>
        <v>7.1666666668024845</v>
      </c>
      <c r="BX46" s="135">
        <f t="shared" si="8"/>
        <v>8.5000000001164153</v>
      </c>
      <c r="BY46" s="134">
        <f t="shared" si="9"/>
        <v>5.2506945023269509</v>
      </c>
      <c r="BZ46" s="134">
        <f t="shared" si="10"/>
        <v>15.045138888890506</v>
      </c>
      <c r="CA46" s="133">
        <f t="shared" si="11"/>
        <v>0.34899608046849745</v>
      </c>
    </row>
    <row r="47" spans="1:79" s="126" customFormat="1">
      <c r="A47" s="192">
        <f t="shared" si="12"/>
        <v>44996.225694444445</v>
      </c>
      <c r="B47" s="126" t="s">
        <v>228</v>
      </c>
      <c r="C47" s="126" t="s">
        <v>229</v>
      </c>
      <c r="D47" s="126" t="s">
        <v>215</v>
      </c>
      <c r="E47" s="126" t="s">
        <v>943</v>
      </c>
      <c r="G47" s="73">
        <v>44992.25</v>
      </c>
      <c r="H47" s="73">
        <v>44992.25</v>
      </c>
      <c r="I47" s="126" t="s">
        <v>231</v>
      </c>
      <c r="J47" s="126" t="s">
        <v>192</v>
      </c>
      <c r="K47" s="126" t="s">
        <v>192</v>
      </c>
      <c r="L47" s="126" t="s">
        <v>968</v>
      </c>
      <c r="M47" s="167"/>
      <c r="N47" s="126" t="s">
        <v>271</v>
      </c>
      <c r="O47" s="126" t="s">
        <v>272</v>
      </c>
      <c r="P47" s="126" t="s">
        <v>240</v>
      </c>
      <c r="Q47" s="181">
        <f>3852*2.4</f>
        <v>9244.7999999999993</v>
      </c>
      <c r="R47" s="181">
        <v>9105.8960000000006</v>
      </c>
      <c r="S47" s="181"/>
      <c r="X47" s="181">
        <f t="shared" si="20"/>
        <v>9105.8960000000006</v>
      </c>
      <c r="AW47" s="165">
        <f t="shared" si="0"/>
        <v>44990.777777777781</v>
      </c>
      <c r="AX47" s="165">
        <f t="shared" si="1"/>
        <v>45001.934027777781</v>
      </c>
      <c r="AY47" s="137">
        <f t="shared" si="2"/>
        <v>11.15625</v>
      </c>
      <c r="AZ47" s="165">
        <v>44990.777777777781</v>
      </c>
      <c r="BA47" s="165">
        <v>44992.555555555555</v>
      </c>
      <c r="BB47" s="165">
        <v>44994.3125</v>
      </c>
      <c r="BC47" s="165">
        <v>44996.225694444445</v>
      </c>
      <c r="BD47" s="165">
        <v>44996.454861111109</v>
      </c>
      <c r="BE47" s="165">
        <v>44996.458333333336</v>
      </c>
      <c r="BF47" s="165">
        <v>44996.458333333336</v>
      </c>
      <c r="BG47" s="165">
        <f t="shared" si="15"/>
        <v>44998.166666666672</v>
      </c>
      <c r="BH47" s="165">
        <v>44998.291666608799</v>
      </c>
      <c r="BI47" s="165">
        <v>44998.458333275463</v>
      </c>
      <c r="BJ47" s="165">
        <v>44998.284722222219</v>
      </c>
      <c r="BK47" s="165">
        <v>45000.267361111109</v>
      </c>
      <c r="BL47" s="165">
        <v>45001.166666666664</v>
      </c>
      <c r="BM47" s="165">
        <v>45001.597222222219</v>
      </c>
      <c r="BN47" s="165">
        <v>45001.611111111109</v>
      </c>
      <c r="BO47" s="165">
        <v>45001.611111111109</v>
      </c>
      <c r="BP47" s="165">
        <v>45001.934027777781</v>
      </c>
      <c r="BQ47" s="126" t="s">
        <v>963</v>
      </c>
      <c r="BS47" s="136">
        <f t="shared" si="3"/>
        <v>42.166666666686069</v>
      </c>
      <c r="BT47" s="136">
        <f t="shared" si="4"/>
        <v>5.4999999999417923</v>
      </c>
      <c r="BU47" s="136">
        <f t="shared" si="5"/>
        <v>41.000000000058208</v>
      </c>
      <c r="BV47" s="136">
        <f t="shared" si="6"/>
        <v>43.416668055520859</v>
      </c>
      <c r="BW47" s="135">
        <f t="shared" si="7"/>
        <v>10.333333333313931</v>
      </c>
      <c r="BX47" s="135">
        <f t="shared" si="8"/>
        <v>7.7500000001164153</v>
      </c>
      <c r="BY47" s="134">
        <f t="shared" si="9"/>
        <v>6.2569445023182197</v>
      </c>
      <c r="BZ47" s="134">
        <f t="shared" si="10"/>
        <v>11.15625</v>
      </c>
      <c r="CA47" s="133">
        <f t="shared" si="11"/>
        <v>0.56084656603412619</v>
      </c>
    </row>
    <row r="48" spans="1:79" s="126" customFormat="1">
      <c r="A48" s="192">
        <f t="shared" si="12"/>
        <v>44997.432638888888</v>
      </c>
      <c r="B48" s="126" t="s">
        <v>228</v>
      </c>
      <c r="C48" s="126" t="s">
        <v>229</v>
      </c>
      <c r="D48" s="126" t="s">
        <v>197</v>
      </c>
      <c r="E48" s="126" t="s">
        <v>969</v>
      </c>
      <c r="G48" s="73">
        <v>44998.854166666664</v>
      </c>
      <c r="H48" s="73">
        <v>44998.784722222219</v>
      </c>
      <c r="I48" s="126" t="s">
        <v>231</v>
      </c>
      <c r="J48" s="126" t="s">
        <v>192</v>
      </c>
      <c r="K48" s="126" t="s">
        <v>192</v>
      </c>
      <c r="L48" s="126" t="s">
        <v>970</v>
      </c>
      <c r="M48" s="167"/>
      <c r="N48" s="126" t="s">
        <v>238</v>
      </c>
      <c r="O48" s="126" t="s">
        <v>239</v>
      </c>
      <c r="P48" s="126" t="s">
        <v>240</v>
      </c>
      <c r="Q48" s="181">
        <f>3100*2.4</f>
        <v>7440</v>
      </c>
      <c r="R48" s="181">
        <v>7500.7209999999995</v>
      </c>
      <c r="S48" s="181"/>
      <c r="X48" s="181">
        <f t="shared" si="20"/>
        <v>7500.7209999999995</v>
      </c>
      <c r="AW48" s="165">
        <f t="shared" si="0"/>
        <v>44991.041666666664</v>
      </c>
      <c r="AX48" s="165">
        <f t="shared" si="1"/>
        <v>45005.833333333336</v>
      </c>
      <c r="AY48" s="137">
        <f t="shared" si="2"/>
        <v>14.791666666671517</v>
      </c>
      <c r="AZ48" s="165">
        <v>44991.041666666664</v>
      </c>
      <c r="BA48" s="165">
        <v>44992.798611111109</v>
      </c>
      <c r="BB48" s="165">
        <v>44994.680555555555</v>
      </c>
      <c r="BC48" s="165">
        <v>44997.432638888888</v>
      </c>
      <c r="BD48" s="165">
        <v>44997.638888888891</v>
      </c>
      <c r="BE48" s="165">
        <v>44997.642361111109</v>
      </c>
      <c r="BF48" s="165">
        <v>44997.642361111109</v>
      </c>
      <c r="BG48" s="165">
        <f t="shared" si="15"/>
        <v>44999.350694444445</v>
      </c>
      <c r="BH48" s="165">
        <v>44999.291666608799</v>
      </c>
      <c r="BI48" s="165">
        <v>44999.458333275463</v>
      </c>
      <c r="BJ48" s="165">
        <v>44999.440972222219</v>
      </c>
      <c r="BK48" s="165">
        <v>45000.645833333336</v>
      </c>
      <c r="BL48" s="196">
        <v>45004.833333333336</v>
      </c>
      <c r="BM48" s="196">
        <v>45005.472222222219</v>
      </c>
      <c r="BN48" s="196">
        <v>45005.486111111109</v>
      </c>
      <c r="BO48" s="165">
        <v>45005.625</v>
      </c>
      <c r="BP48" s="165">
        <v>45005.833333333336</v>
      </c>
      <c r="BQ48" s="126" t="s">
        <v>963</v>
      </c>
      <c r="BS48" s="136">
        <f t="shared" si="3"/>
        <v>45.166666666686069</v>
      </c>
      <c r="BT48" s="136">
        <f t="shared" si="4"/>
        <v>4.9500000000698492</v>
      </c>
      <c r="BU48" s="136">
        <f t="shared" si="5"/>
        <v>41.000000000058208</v>
      </c>
      <c r="BV48" s="136">
        <f t="shared" si="6"/>
        <v>28.500001388951205</v>
      </c>
      <c r="BW48" s="135">
        <f t="shared" si="7"/>
        <v>15.333333333197515</v>
      </c>
      <c r="BX48" s="135">
        <f t="shared" si="8"/>
        <v>5.0000000000582077</v>
      </c>
      <c r="BY48" s="134">
        <f t="shared" si="9"/>
        <v>5.8312500578758772</v>
      </c>
      <c r="BZ48" s="134">
        <f t="shared" si="10"/>
        <v>14.791666666671517</v>
      </c>
      <c r="CA48" s="133">
        <f t="shared" si="11"/>
        <v>0.39422535602528214</v>
      </c>
    </row>
    <row r="49" spans="1:79" s="126" customFormat="1">
      <c r="A49" s="192">
        <f t="shared" si="12"/>
        <v>45000.190972222219</v>
      </c>
      <c r="B49" s="126" t="s">
        <v>228</v>
      </c>
      <c r="C49" s="126" t="s">
        <v>229</v>
      </c>
      <c r="D49" s="126" t="s">
        <v>197</v>
      </c>
      <c r="E49" s="65" t="s">
        <v>971</v>
      </c>
      <c r="G49" s="165">
        <v>45001.2</v>
      </c>
      <c r="H49" s="165">
        <v>45001.2</v>
      </c>
      <c r="I49" s="126" t="s">
        <v>243</v>
      </c>
      <c r="J49" s="126" t="s">
        <v>192</v>
      </c>
      <c r="K49" s="126" t="s">
        <v>192</v>
      </c>
      <c r="L49" s="126" t="s">
        <v>972</v>
      </c>
      <c r="M49" s="167"/>
      <c r="N49" s="126" t="s">
        <v>288</v>
      </c>
      <c r="O49" s="126" t="s">
        <v>289</v>
      </c>
      <c r="P49" s="126" t="s">
        <v>235</v>
      </c>
      <c r="Q49" s="181">
        <f>3107*2.4</f>
        <v>7456.7999999999993</v>
      </c>
      <c r="R49" s="181">
        <v>7581.442</v>
      </c>
      <c r="S49" s="181"/>
      <c r="W49" s="181">
        <f>R49</f>
        <v>7581.442</v>
      </c>
      <c r="AW49" s="165">
        <f t="shared" si="0"/>
        <v>44996.645833333336</v>
      </c>
      <c r="AX49" s="165">
        <f t="shared" si="1"/>
        <v>45005.427083333336</v>
      </c>
      <c r="AY49" s="137">
        <f t="shared" si="2"/>
        <v>8.78125</v>
      </c>
      <c r="AZ49" s="165">
        <v>44996.645833333336</v>
      </c>
      <c r="BA49" s="165">
        <v>44997.854166666664</v>
      </c>
      <c r="BB49" s="165">
        <v>44999.375</v>
      </c>
      <c r="BC49" s="165">
        <v>45000.190972222219</v>
      </c>
      <c r="BD49" s="165">
        <v>45000.496527777781</v>
      </c>
      <c r="BE49" s="165">
        <v>45000.5</v>
      </c>
      <c r="BF49" s="165">
        <v>45000.5</v>
      </c>
      <c r="BG49" s="165">
        <f t="shared" si="15"/>
        <v>45002.208333333336</v>
      </c>
      <c r="BH49" s="165">
        <v>45002.583333333336</v>
      </c>
      <c r="BI49" s="165">
        <v>45002.75</v>
      </c>
      <c r="BJ49" s="165">
        <v>45002.65625</v>
      </c>
      <c r="BK49" s="165">
        <v>45004.125</v>
      </c>
      <c r="BL49" s="165">
        <v>45004.673611111109</v>
      </c>
      <c r="BM49" s="165">
        <v>45004.954861111109</v>
      </c>
      <c r="BN49" s="165">
        <v>45004.965277777781</v>
      </c>
      <c r="BO49" s="165">
        <v>45004.96875</v>
      </c>
      <c r="BP49" s="165">
        <v>45005.427083333336</v>
      </c>
      <c r="BS49" s="136">
        <f t="shared" si="3"/>
        <v>36.500000000058208</v>
      </c>
      <c r="BT49" s="136">
        <f t="shared" si="4"/>
        <v>7.3333333334885538</v>
      </c>
      <c r="BU49" s="136">
        <f t="shared" si="5"/>
        <v>41.000000000058208</v>
      </c>
      <c r="BV49" s="136">
        <f t="shared" si="6"/>
        <v>33</v>
      </c>
      <c r="BW49" s="135">
        <f t="shared" si="7"/>
        <v>6.75</v>
      </c>
      <c r="BX49" s="135">
        <f t="shared" si="8"/>
        <v>11.000000000058208</v>
      </c>
      <c r="BY49" s="134">
        <f t="shared" si="9"/>
        <v>5.649305555569299</v>
      </c>
      <c r="BZ49" s="134">
        <f t="shared" si="10"/>
        <v>8.78125</v>
      </c>
      <c r="CA49" s="133">
        <f t="shared" si="11"/>
        <v>0.64333728746696639</v>
      </c>
    </row>
    <row r="50" spans="1:79" s="126" customFormat="1">
      <c r="A50" s="192">
        <f t="shared" si="12"/>
        <v>45002.029861111114</v>
      </c>
      <c r="B50" s="126" t="s">
        <v>228</v>
      </c>
      <c r="C50" s="126" t="s">
        <v>229</v>
      </c>
      <c r="D50" s="126" t="s">
        <v>197</v>
      </c>
      <c r="E50" s="126" t="s">
        <v>965</v>
      </c>
      <c r="G50" s="73">
        <v>44998.583333333336</v>
      </c>
      <c r="H50" s="73">
        <v>44998.604166666664</v>
      </c>
      <c r="I50" s="126" t="s">
        <v>231</v>
      </c>
      <c r="J50" s="126" t="s">
        <v>192</v>
      </c>
      <c r="K50" s="126" t="s">
        <v>192</v>
      </c>
      <c r="L50" s="126" t="s">
        <v>973</v>
      </c>
      <c r="M50" s="167"/>
      <c r="N50" s="126" t="s">
        <v>361</v>
      </c>
      <c r="O50" s="126" t="s">
        <v>362</v>
      </c>
      <c r="P50" s="126" t="s">
        <v>581</v>
      </c>
      <c r="Q50" s="181">
        <f>3039*2.4</f>
        <v>7293.5999999999995</v>
      </c>
      <c r="R50" s="181">
        <v>7466.5990000000002</v>
      </c>
      <c r="S50" s="181"/>
      <c r="W50" s="181">
        <f>R50*0.75</f>
        <v>5599.9492499999997</v>
      </c>
      <c r="X50" s="181">
        <f>R50*0.25</f>
        <v>1866.64975</v>
      </c>
      <c r="AW50" s="165">
        <f t="shared" si="0"/>
        <v>44997.472222222219</v>
      </c>
      <c r="AX50" s="165">
        <f t="shared" si="1"/>
        <v>45006.114583333336</v>
      </c>
      <c r="AY50" s="137">
        <f t="shared" si="2"/>
        <v>8.6423611111167702</v>
      </c>
      <c r="AZ50" s="165">
        <v>44997.472222222219</v>
      </c>
      <c r="BA50" s="165">
        <v>44997.909722222219</v>
      </c>
      <c r="BB50" s="165">
        <v>44999.59375</v>
      </c>
      <c r="BC50" s="165">
        <v>45002.029861111114</v>
      </c>
      <c r="BD50" s="165">
        <v>45002.15625</v>
      </c>
      <c r="BE50" s="165">
        <v>45002.166666666664</v>
      </c>
      <c r="BF50" s="165">
        <v>45002.166666666664</v>
      </c>
      <c r="BG50" s="165">
        <f t="shared" si="15"/>
        <v>45003.875</v>
      </c>
      <c r="BH50" s="165">
        <v>45003.583333333336</v>
      </c>
      <c r="BI50" s="165">
        <v>45003.75</v>
      </c>
      <c r="BJ50" s="165">
        <v>45003.722222222219</v>
      </c>
      <c r="BK50" s="165">
        <v>45004.958333333336</v>
      </c>
      <c r="BL50" s="165">
        <v>45005.4375</v>
      </c>
      <c r="BM50" s="165">
        <v>45005.777777777781</v>
      </c>
      <c r="BN50" s="165">
        <v>45005.809027777781</v>
      </c>
      <c r="BO50" s="165">
        <v>45005.809027777781</v>
      </c>
      <c r="BP50" s="165">
        <v>45006.114583333336</v>
      </c>
      <c r="BS50" s="136">
        <f t="shared" si="3"/>
        <v>40.416666666744277</v>
      </c>
      <c r="BT50" s="136">
        <f t="shared" si="4"/>
        <v>3.0333333332673647</v>
      </c>
      <c r="BU50" s="136">
        <f t="shared" si="5"/>
        <v>41.000000000058208</v>
      </c>
      <c r="BV50" s="136">
        <f t="shared" si="6"/>
        <v>29.000000000058208</v>
      </c>
      <c r="BW50" s="135">
        <f t="shared" si="7"/>
        <v>8.1666666667442769</v>
      </c>
      <c r="BX50" s="135">
        <f t="shared" si="8"/>
        <v>7.3333333333139308</v>
      </c>
      <c r="BY50" s="134">
        <f t="shared" si="9"/>
        <v>5.3729166666744277</v>
      </c>
      <c r="BZ50" s="134">
        <f t="shared" si="10"/>
        <v>8.6423611111167702</v>
      </c>
      <c r="CA50" s="133">
        <f t="shared" si="11"/>
        <v>0.62169546002459697</v>
      </c>
    </row>
    <row r="51" spans="1:79" s="126" customFormat="1">
      <c r="A51" s="192">
        <f t="shared" si="12"/>
        <v>45000.520833333336</v>
      </c>
      <c r="B51" s="126" t="s">
        <v>228</v>
      </c>
      <c r="C51" s="126" t="s">
        <v>229</v>
      </c>
      <c r="D51" s="126" t="s">
        <v>197</v>
      </c>
      <c r="E51" s="65" t="s">
        <v>971</v>
      </c>
      <c r="G51" s="165">
        <v>45001.2</v>
      </c>
      <c r="H51" s="165">
        <v>45001.2</v>
      </c>
      <c r="I51" s="126" t="s">
        <v>243</v>
      </c>
      <c r="J51" s="126" t="s">
        <v>192</v>
      </c>
      <c r="K51" s="126" t="s">
        <v>192</v>
      </c>
      <c r="L51" s="126" t="s">
        <v>974</v>
      </c>
      <c r="M51" s="167"/>
      <c r="N51" s="126" t="s">
        <v>304</v>
      </c>
      <c r="O51" s="126" t="s">
        <v>305</v>
      </c>
      <c r="P51" s="126" t="s">
        <v>235</v>
      </c>
      <c r="Q51" s="181">
        <f>3107*2.4</f>
        <v>7456.7999999999993</v>
      </c>
      <c r="R51" s="181">
        <v>7508.0780000000004</v>
      </c>
      <c r="S51" s="181"/>
      <c r="W51" s="181">
        <f>R51</f>
        <v>7508.0780000000004</v>
      </c>
      <c r="AW51" s="165">
        <f t="shared" si="0"/>
        <v>44996.9375</v>
      </c>
      <c r="AX51" s="165">
        <f t="shared" si="1"/>
        <v>45005.774305555555</v>
      </c>
      <c r="AY51" s="137">
        <f t="shared" si="2"/>
        <v>8.8368055555547471</v>
      </c>
      <c r="AZ51" s="165">
        <v>44996.9375</v>
      </c>
      <c r="BA51" s="165">
        <v>44997.895833333336</v>
      </c>
      <c r="BB51" s="165">
        <v>44999.583333333336</v>
      </c>
      <c r="BC51" s="165">
        <v>45000.520833333336</v>
      </c>
      <c r="BD51" s="165">
        <v>45000.666666666664</v>
      </c>
      <c r="BE51" s="165">
        <v>45000.670138888891</v>
      </c>
      <c r="BF51" s="165">
        <v>45000.670138888891</v>
      </c>
      <c r="BG51" s="165">
        <f t="shared" si="15"/>
        <v>45002.378472222226</v>
      </c>
      <c r="BH51" s="165">
        <v>45002.583333333336</v>
      </c>
      <c r="BI51" s="165">
        <v>45002.75</v>
      </c>
      <c r="BJ51" s="165">
        <v>45002.670138888891</v>
      </c>
      <c r="BK51" s="165">
        <v>45004.270833333336</v>
      </c>
      <c r="BL51" s="165">
        <v>45005.020833333336</v>
      </c>
      <c r="BM51" s="165">
        <v>45005.267361111109</v>
      </c>
      <c r="BN51" s="165">
        <v>45005.28125</v>
      </c>
      <c r="BO51" s="165">
        <v>45005.284722222219</v>
      </c>
      <c r="BP51" s="165">
        <v>45005.774305555555</v>
      </c>
      <c r="BS51" s="136">
        <f t="shared" si="3"/>
        <v>40.5</v>
      </c>
      <c r="BT51" s="136">
        <f t="shared" si="4"/>
        <v>3.4999999998835847</v>
      </c>
      <c r="BU51" s="136">
        <f t="shared" si="5"/>
        <v>41.000000000058208</v>
      </c>
      <c r="BV51" s="136">
        <f t="shared" si="6"/>
        <v>36.500000000058208</v>
      </c>
      <c r="BW51" s="135">
        <f t="shared" si="7"/>
        <v>5.9166666665696539</v>
      </c>
      <c r="BX51" s="135">
        <f t="shared" si="8"/>
        <v>11.750000000058208</v>
      </c>
      <c r="BY51" s="134">
        <f t="shared" si="9"/>
        <v>5.7986111111094942</v>
      </c>
      <c r="BZ51" s="134">
        <f t="shared" si="10"/>
        <v>8.8368055555547471</v>
      </c>
      <c r="CA51" s="133">
        <f t="shared" si="11"/>
        <v>0.65618860510793209</v>
      </c>
    </row>
    <row r="52" spans="1:79" s="126" customFormat="1">
      <c r="A52" s="192">
        <f t="shared" si="12"/>
        <v>45002.1875</v>
      </c>
      <c r="B52" s="126" t="s">
        <v>228</v>
      </c>
      <c r="C52" s="126" t="s">
        <v>229</v>
      </c>
      <c r="D52" s="126" t="s">
        <v>197</v>
      </c>
      <c r="E52" s="126" t="s">
        <v>965</v>
      </c>
      <c r="G52" s="73">
        <v>44998.583333333336</v>
      </c>
      <c r="H52" s="73">
        <v>44998.604166666664</v>
      </c>
      <c r="I52" s="126" t="s">
        <v>231</v>
      </c>
      <c r="J52" s="126" t="s">
        <v>192</v>
      </c>
      <c r="K52" s="126" t="s">
        <v>192</v>
      </c>
      <c r="L52" s="126" t="s">
        <v>975</v>
      </c>
      <c r="M52" s="167"/>
      <c r="N52" s="126" t="s">
        <v>298</v>
      </c>
      <c r="O52" s="126" t="s">
        <v>299</v>
      </c>
      <c r="P52" s="126" t="s">
        <v>240</v>
      </c>
      <c r="Q52" s="181">
        <f>4337*2.4</f>
        <v>10408.799999999999</v>
      </c>
      <c r="R52" s="181">
        <v>10016.298000000001</v>
      </c>
      <c r="S52" s="181"/>
      <c r="X52" s="181">
        <f>R52</f>
        <v>10016.298000000001</v>
      </c>
      <c r="AW52" s="165">
        <f t="shared" si="0"/>
        <v>44998.104166666664</v>
      </c>
      <c r="AX52" s="165">
        <f t="shared" si="1"/>
        <v>45007.371527777781</v>
      </c>
      <c r="AY52" s="137">
        <f t="shared" si="2"/>
        <v>9.2673611111167702</v>
      </c>
      <c r="AZ52" s="165">
        <v>44998.104166666664</v>
      </c>
      <c r="BA52" s="165">
        <v>44998.527777777781</v>
      </c>
      <c r="BB52" s="165">
        <v>45000.125</v>
      </c>
      <c r="BC52" s="165">
        <v>45002.1875</v>
      </c>
      <c r="BD52" s="165">
        <v>45002.423611111109</v>
      </c>
      <c r="BE52" s="165">
        <v>45002.427083333336</v>
      </c>
      <c r="BF52" s="165">
        <v>45002.427083333336</v>
      </c>
      <c r="BG52" s="165">
        <f t="shared" si="15"/>
        <v>45004.135416666672</v>
      </c>
      <c r="BH52" s="165">
        <v>45004.583333333336</v>
      </c>
      <c r="BI52" s="165">
        <v>45004.75</v>
      </c>
      <c r="BJ52" s="165">
        <v>45004.631944444445</v>
      </c>
      <c r="BK52" s="165">
        <v>45006.020833333336</v>
      </c>
      <c r="BL52" s="165">
        <v>45006.375</v>
      </c>
      <c r="BM52" s="165">
        <v>45006.84375</v>
      </c>
      <c r="BN52" s="165">
        <v>45006.875</v>
      </c>
      <c r="BO52" s="165">
        <v>45007.1875</v>
      </c>
      <c r="BP52" s="165">
        <v>45007.371527777781</v>
      </c>
      <c r="BS52" s="136">
        <f t="shared" si="3"/>
        <v>38.333333333255723</v>
      </c>
      <c r="BT52" s="136">
        <f t="shared" si="4"/>
        <v>5.6666666666278616</v>
      </c>
      <c r="BU52" s="136">
        <f t="shared" si="5"/>
        <v>41.000000000058208</v>
      </c>
      <c r="BV52" s="136">
        <f t="shared" si="6"/>
        <v>30.500000000058208</v>
      </c>
      <c r="BW52" s="135">
        <f t="shared" si="7"/>
        <v>11.25</v>
      </c>
      <c r="BX52" s="135">
        <f t="shared" si="8"/>
        <v>4.4166666667442769</v>
      </c>
      <c r="BY52" s="134">
        <f t="shared" si="9"/>
        <v>5.4652777777810115</v>
      </c>
      <c r="BZ52" s="134">
        <f t="shared" si="10"/>
        <v>9.2673611111167702</v>
      </c>
      <c r="CA52" s="133">
        <f t="shared" si="11"/>
        <v>0.58973398276506939</v>
      </c>
    </row>
    <row r="53" spans="1:79" s="126" customFormat="1">
      <c r="A53" s="192">
        <f t="shared" si="12"/>
        <v>45002.453472222223</v>
      </c>
      <c r="B53" s="126" t="s">
        <v>228</v>
      </c>
      <c r="C53" s="126" t="s">
        <v>229</v>
      </c>
      <c r="D53" s="126" t="s">
        <v>197</v>
      </c>
      <c r="E53" s="126" t="s">
        <v>965</v>
      </c>
      <c r="G53" s="73">
        <v>44998.583333333336</v>
      </c>
      <c r="H53" s="73">
        <v>44998.604166666664</v>
      </c>
      <c r="I53" s="126" t="s">
        <v>231</v>
      </c>
      <c r="J53" s="126" t="s">
        <v>192</v>
      </c>
      <c r="K53" s="126" t="s">
        <v>192</v>
      </c>
      <c r="L53" s="126" t="s">
        <v>976</v>
      </c>
      <c r="M53" s="167"/>
      <c r="N53" s="126" t="s">
        <v>489</v>
      </c>
      <c r="O53" s="126" t="s">
        <v>483</v>
      </c>
      <c r="P53" s="126" t="s">
        <v>581</v>
      </c>
      <c r="Q53" s="181">
        <f>3107*2.4</f>
        <v>7456.7999999999993</v>
      </c>
      <c r="R53" s="181">
        <v>7448.5619999999999</v>
      </c>
      <c r="S53" s="181"/>
      <c r="W53" s="181">
        <f>R53*0.75</f>
        <v>5586.4215000000004</v>
      </c>
      <c r="X53" s="181">
        <f>R53*0.25</f>
        <v>1862.1405</v>
      </c>
      <c r="AW53" s="165">
        <f t="shared" si="0"/>
        <v>44997.945138888892</v>
      </c>
      <c r="AX53" s="165">
        <f t="shared" si="1"/>
        <v>45006.798611111109</v>
      </c>
      <c r="AY53" s="137">
        <f t="shared" si="2"/>
        <v>8.8534722222175333</v>
      </c>
      <c r="AZ53" s="165">
        <v>44997.945138888892</v>
      </c>
      <c r="BA53" s="165">
        <v>44998.887499999997</v>
      </c>
      <c r="BB53" s="165">
        <v>45000.666666666664</v>
      </c>
      <c r="BC53" s="165">
        <v>45002.453472222223</v>
      </c>
      <c r="BD53" s="165">
        <v>45002.586805555555</v>
      </c>
      <c r="BE53" s="165">
        <v>45002.59375</v>
      </c>
      <c r="BF53" s="165">
        <v>45002.59375</v>
      </c>
      <c r="BG53" s="165">
        <f t="shared" si="15"/>
        <v>45004.302083333336</v>
      </c>
      <c r="BH53" s="165">
        <v>45004.583333333336</v>
      </c>
      <c r="BI53" s="165">
        <v>45004.75</v>
      </c>
      <c r="BJ53" s="165">
        <v>45004.625</v>
      </c>
      <c r="BK53" s="165">
        <v>45005.698611111111</v>
      </c>
      <c r="BL53" s="165">
        <v>45005.881944444445</v>
      </c>
      <c r="BM53" s="165">
        <v>45006.302083333336</v>
      </c>
      <c r="BN53" s="165">
        <v>45006.322916666664</v>
      </c>
      <c r="BO53" s="165">
        <v>45006.583333333336</v>
      </c>
      <c r="BP53" s="165">
        <v>45006.798611111109</v>
      </c>
      <c r="BS53" s="136">
        <f t="shared" si="3"/>
        <v>42.700000000011642</v>
      </c>
      <c r="BT53" s="136">
        <f t="shared" si="4"/>
        <v>3.1999999999534339</v>
      </c>
      <c r="BU53" s="136">
        <f t="shared" si="5"/>
        <v>41.000000000058208</v>
      </c>
      <c r="BV53" s="136">
        <f t="shared" si="6"/>
        <v>22.766666666662786</v>
      </c>
      <c r="BW53" s="135">
        <f t="shared" si="7"/>
        <v>10.083333333372138</v>
      </c>
      <c r="BX53" s="135">
        <f t="shared" si="8"/>
        <v>5.1666666665696539</v>
      </c>
      <c r="BY53" s="134">
        <f t="shared" si="9"/>
        <v>5.2048611111094942</v>
      </c>
      <c r="BZ53" s="134">
        <f t="shared" si="10"/>
        <v>8.8534722222175333</v>
      </c>
      <c r="CA53" s="133">
        <f t="shared" si="11"/>
        <v>0.58788924621551819</v>
      </c>
    </row>
    <row r="54" spans="1:79" s="126" customFormat="1">
      <c r="A54" s="192">
        <f t="shared" si="12"/>
        <v>45003.435416666667</v>
      </c>
      <c r="B54" s="126" t="s">
        <v>228</v>
      </c>
      <c r="C54" s="126" t="s">
        <v>229</v>
      </c>
      <c r="D54" s="126" t="s">
        <v>197</v>
      </c>
      <c r="E54" s="65" t="s">
        <v>977</v>
      </c>
      <c r="G54" s="73">
        <v>45003.479166666664</v>
      </c>
      <c r="H54" s="73">
        <v>45003.479166666664</v>
      </c>
      <c r="I54" s="126" t="s">
        <v>231</v>
      </c>
      <c r="J54" s="126" t="s">
        <v>192</v>
      </c>
      <c r="K54" s="126" t="s">
        <v>192</v>
      </c>
      <c r="L54" s="126" t="s">
        <v>978</v>
      </c>
      <c r="M54" s="167"/>
      <c r="N54" s="126" t="s">
        <v>429</v>
      </c>
      <c r="O54" s="126" t="s">
        <v>430</v>
      </c>
      <c r="P54" s="126" t="s">
        <v>240</v>
      </c>
      <c r="Q54" s="181">
        <f>3145 *2.4</f>
        <v>7548</v>
      </c>
      <c r="R54" s="181">
        <v>7730.5789999999997</v>
      </c>
      <c r="S54" s="181"/>
      <c r="T54" s="219"/>
      <c r="X54" s="181">
        <f>R54</f>
        <v>7730.5789999999997</v>
      </c>
      <c r="AW54" s="165">
        <f t="shared" si="0"/>
        <v>44998.458333333336</v>
      </c>
      <c r="AX54" s="165">
        <f t="shared" si="1"/>
        <v>45008.635416666664</v>
      </c>
      <c r="AY54" s="137">
        <f t="shared" si="2"/>
        <v>10.177083333328483</v>
      </c>
      <c r="AZ54" s="165">
        <v>44998.458333333336</v>
      </c>
      <c r="BA54" s="165">
        <v>44999.604166666664</v>
      </c>
      <c r="BB54" s="165">
        <v>45001.875</v>
      </c>
      <c r="BC54" s="165">
        <v>45003.435416666667</v>
      </c>
      <c r="BD54" s="165">
        <v>45003.572222222225</v>
      </c>
      <c r="BE54" s="165">
        <v>45003.579861111109</v>
      </c>
      <c r="BF54" s="165">
        <v>45003.579861111109</v>
      </c>
      <c r="BG54" s="165">
        <f t="shared" si="15"/>
        <v>45005.288194444445</v>
      </c>
      <c r="BH54" s="165">
        <v>45005.25</v>
      </c>
      <c r="BI54" s="165">
        <v>45005.416666666664</v>
      </c>
      <c r="BJ54" s="165">
        <v>45005.302083333336</v>
      </c>
      <c r="BK54" s="165">
        <v>45006.444444444445</v>
      </c>
      <c r="BL54" s="165">
        <v>45008.010416666664</v>
      </c>
      <c r="BM54" s="165">
        <v>45008.243055555555</v>
      </c>
      <c r="BN54" s="165">
        <v>45008.263888888891</v>
      </c>
      <c r="BO54" s="165">
        <f>BN54+(0.5/24)</f>
        <v>45008.284722222226</v>
      </c>
      <c r="BP54" s="165">
        <v>45008.635416666664</v>
      </c>
      <c r="BS54" s="136">
        <f t="shared" si="3"/>
        <v>54.500000000058208</v>
      </c>
      <c r="BT54" s="136">
        <f t="shared" si="4"/>
        <v>3.28333333338378</v>
      </c>
      <c r="BU54" s="136">
        <f t="shared" si="5"/>
        <v>41.000000000058208</v>
      </c>
      <c r="BV54" s="136">
        <f t="shared" si="6"/>
        <v>24.666666666744277</v>
      </c>
      <c r="BW54" s="135">
        <f t="shared" si="7"/>
        <v>5.5833333333721384</v>
      </c>
      <c r="BX54" s="135">
        <f t="shared" si="8"/>
        <v>8.4166666665114462</v>
      </c>
      <c r="BY54" s="134">
        <f t="shared" si="9"/>
        <v>5.727083333338669</v>
      </c>
      <c r="BZ54" s="134">
        <f t="shared" si="10"/>
        <v>10.177083333328483</v>
      </c>
      <c r="CA54" s="133">
        <f t="shared" si="11"/>
        <v>0.56274309109598186</v>
      </c>
    </row>
    <row r="55" spans="1:79" s="126" customFormat="1">
      <c r="A55" s="192">
        <f t="shared" si="12"/>
        <v>45002.84375</v>
      </c>
      <c r="B55" s="126" t="s">
        <v>228</v>
      </c>
      <c r="C55" s="126" t="s">
        <v>229</v>
      </c>
      <c r="D55" s="126" t="s">
        <v>197</v>
      </c>
      <c r="E55" s="126" t="s">
        <v>979</v>
      </c>
      <c r="G55" s="73">
        <v>45009.208333333336</v>
      </c>
      <c r="H55" s="73">
        <v>45009.116666666669</v>
      </c>
      <c r="I55" s="126" t="s">
        <v>243</v>
      </c>
      <c r="J55" s="126" t="s">
        <v>192</v>
      </c>
      <c r="K55" s="126" t="s">
        <v>192</v>
      </c>
      <c r="L55" s="126" t="s">
        <v>980</v>
      </c>
      <c r="M55" s="167"/>
      <c r="N55" s="126" t="s">
        <v>349</v>
      </c>
      <c r="O55" s="126" t="s">
        <v>350</v>
      </c>
      <c r="P55" s="126" t="s">
        <v>240</v>
      </c>
      <c r="Q55" s="181">
        <f>3077*2.4</f>
        <v>7384.7999999999993</v>
      </c>
      <c r="R55" s="181">
        <v>7517.2520000000004</v>
      </c>
      <c r="S55" s="181"/>
      <c r="X55" s="181">
        <f>R55</f>
        <v>7517.2520000000004</v>
      </c>
      <c r="AW55" s="165">
        <f t="shared" si="0"/>
        <v>44998.416666666664</v>
      </c>
      <c r="AX55" s="165">
        <f t="shared" si="1"/>
        <v>45010.375</v>
      </c>
      <c r="AY55" s="137">
        <f t="shared" si="2"/>
        <v>11.958333333335759</v>
      </c>
      <c r="AZ55" s="165">
        <v>44998.416666666664</v>
      </c>
      <c r="BA55" s="165">
        <v>44999.625</v>
      </c>
      <c r="BB55" s="165">
        <v>45001.5</v>
      </c>
      <c r="BC55" s="165">
        <v>45002.84375</v>
      </c>
      <c r="BD55" s="165">
        <v>45003</v>
      </c>
      <c r="BE55" s="165">
        <v>45003.006944444445</v>
      </c>
      <c r="BF55" s="165">
        <v>45003.291666666664</v>
      </c>
      <c r="BG55" s="165">
        <f t="shared" si="15"/>
        <v>45005</v>
      </c>
      <c r="BH55" s="165">
        <v>45004.583333333336</v>
      </c>
      <c r="BI55" s="165">
        <v>45004.75</v>
      </c>
      <c r="BJ55" s="165">
        <v>45004.736111111109</v>
      </c>
      <c r="BK55" s="165">
        <v>45009.152777777781</v>
      </c>
      <c r="BL55" s="165">
        <v>45009.711805555555</v>
      </c>
      <c r="BM55" s="165">
        <v>45009.986111111109</v>
      </c>
      <c r="BN55" s="165">
        <v>45010</v>
      </c>
      <c r="BO55" s="165">
        <v>45010.003472222219</v>
      </c>
      <c r="BP55" s="165">
        <v>45010.375</v>
      </c>
      <c r="BQ55" s="126" t="s">
        <v>981</v>
      </c>
      <c r="BS55" s="136">
        <f t="shared" si="3"/>
        <v>45</v>
      </c>
      <c r="BT55" s="136">
        <f t="shared" si="4"/>
        <v>3.75</v>
      </c>
      <c r="BU55" s="136">
        <f t="shared" si="5"/>
        <v>41.000000000058208</v>
      </c>
      <c r="BV55" s="136">
        <f t="shared" si="6"/>
        <v>105.66666666674428</v>
      </c>
      <c r="BW55" s="135">
        <f t="shared" si="7"/>
        <v>6.5833333333139308</v>
      </c>
      <c r="BX55" s="135">
        <f t="shared" si="8"/>
        <v>8.9166666667442769</v>
      </c>
      <c r="BY55" s="134">
        <f t="shared" si="9"/>
        <v>8.7881944444525288</v>
      </c>
      <c r="BZ55" s="134">
        <f t="shared" si="10"/>
        <v>11.958333333335759</v>
      </c>
      <c r="CA55" s="133">
        <f t="shared" si="11"/>
        <v>0.73490127758473145</v>
      </c>
    </row>
    <row r="56" spans="1:79" s="126" customFormat="1">
      <c r="A56" s="192">
        <f t="shared" si="12"/>
        <v>45003.177083333336</v>
      </c>
      <c r="B56" s="126" t="s">
        <v>228</v>
      </c>
      <c r="C56" s="126" t="s">
        <v>229</v>
      </c>
      <c r="D56" s="126" t="s">
        <v>215</v>
      </c>
      <c r="E56" s="65" t="s">
        <v>977</v>
      </c>
      <c r="G56" s="73">
        <v>45003.479166666664</v>
      </c>
      <c r="H56" s="73">
        <v>45003.479166666664</v>
      </c>
      <c r="I56" s="126" t="s">
        <v>231</v>
      </c>
      <c r="J56" s="126" t="s">
        <v>192</v>
      </c>
      <c r="K56" s="126" t="s">
        <v>192</v>
      </c>
      <c r="L56" s="126" t="s">
        <v>982</v>
      </c>
      <c r="M56" s="167"/>
      <c r="N56" s="126" t="s">
        <v>301</v>
      </c>
      <c r="O56" s="126" t="s">
        <v>302</v>
      </c>
      <c r="P56" s="126" t="s">
        <v>240</v>
      </c>
      <c r="Q56" s="181">
        <f>3852*2.4</f>
        <v>9244.7999999999993</v>
      </c>
      <c r="R56" s="181">
        <v>9068.7049999999999</v>
      </c>
      <c r="S56" s="181"/>
      <c r="T56" s="219"/>
      <c r="X56" s="181">
        <f>R56</f>
        <v>9068.7049999999999</v>
      </c>
      <c r="AW56" s="165">
        <f t="shared" si="0"/>
        <v>44997.381944444445</v>
      </c>
      <c r="AX56" s="165">
        <f t="shared" si="1"/>
        <v>45008.381944444445</v>
      </c>
      <c r="AY56" s="137">
        <f t="shared" si="2"/>
        <v>11</v>
      </c>
      <c r="AZ56" s="165">
        <v>44997.381944444445</v>
      </c>
      <c r="BA56" s="165">
        <v>44999.836805555555</v>
      </c>
      <c r="BB56" s="165">
        <v>45001.677083333336</v>
      </c>
      <c r="BC56" s="165">
        <v>45003.177083333336</v>
      </c>
      <c r="BD56" s="165">
        <v>45003.409722222219</v>
      </c>
      <c r="BE56" s="165">
        <v>45003.416666666664</v>
      </c>
      <c r="BF56" s="165">
        <v>45003.416666666664</v>
      </c>
      <c r="BG56" s="165">
        <f t="shared" si="15"/>
        <v>45005.125</v>
      </c>
      <c r="BH56" s="165">
        <v>45005.25</v>
      </c>
      <c r="BI56" s="165">
        <v>45005.416666666664</v>
      </c>
      <c r="BJ56" s="165">
        <v>45005.326388888891</v>
      </c>
      <c r="BK56" s="165">
        <v>45006.434027777781</v>
      </c>
      <c r="BL56" s="165">
        <v>45007.693055555559</v>
      </c>
      <c r="BM56" s="165">
        <v>45007.934027777781</v>
      </c>
      <c r="BN56" s="165">
        <v>45007.96875</v>
      </c>
      <c r="BO56" s="165">
        <v>45008.184027777781</v>
      </c>
      <c r="BP56" s="165">
        <v>45008.381944444445</v>
      </c>
      <c r="BS56" s="136">
        <f t="shared" si="3"/>
        <v>44.166666666744277</v>
      </c>
      <c r="BT56" s="136">
        <f t="shared" si="4"/>
        <v>5.5833333331975155</v>
      </c>
      <c r="BU56" s="136">
        <f t="shared" si="5"/>
        <v>41.000000000058208</v>
      </c>
      <c r="BV56" s="136">
        <f t="shared" si="6"/>
        <v>24.416666666802485</v>
      </c>
      <c r="BW56" s="135">
        <f t="shared" si="7"/>
        <v>5.7833333333255723</v>
      </c>
      <c r="BX56" s="135">
        <f t="shared" si="8"/>
        <v>4.7499999999417923</v>
      </c>
      <c r="BY56" s="134">
        <f t="shared" si="9"/>
        <v>5.2375000000029104</v>
      </c>
      <c r="BZ56" s="134">
        <f t="shared" si="10"/>
        <v>11</v>
      </c>
      <c r="CA56" s="133">
        <f t="shared" si="11"/>
        <v>0.4761363636366282</v>
      </c>
    </row>
    <row r="57" spans="1:79" s="126" customFormat="1">
      <c r="A57" s="192">
        <f t="shared" si="12"/>
        <v>45002.611111111109</v>
      </c>
      <c r="B57" s="126" t="s">
        <v>228</v>
      </c>
      <c r="C57" s="126" t="s">
        <v>229</v>
      </c>
      <c r="D57" s="126" t="s">
        <v>197</v>
      </c>
      <c r="E57" s="126" t="s">
        <v>965</v>
      </c>
      <c r="G57" s="73">
        <v>44998.583333333336</v>
      </c>
      <c r="H57" s="73">
        <v>44998.604166666664</v>
      </c>
      <c r="I57" s="126" t="s">
        <v>231</v>
      </c>
      <c r="J57" s="126" t="s">
        <v>192</v>
      </c>
      <c r="K57" s="126" t="s">
        <v>192</v>
      </c>
      <c r="L57" s="126" t="s">
        <v>983</v>
      </c>
      <c r="M57" s="167"/>
      <c r="N57" s="126" t="s">
        <v>70</v>
      </c>
      <c r="O57" s="126" t="s">
        <v>255</v>
      </c>
      <c r="P57" s="126" t="s">
        <v>581</v>
      </c>
      <c r="Q57" s="181">
        <f>3047*2.4</f>
        <v>7312.8</v>
      </c>
      <c r="R57" s="181">
        <f>7502.188+2932.605</f>
        <v>10434.793</v>
      </c>
      <c r="S57" s="181"/>
      <c r="W57" s="181">
        <f>R57*0.75</f>
        <v>7826.0947500000002</v>
      </c>
      <c r="X57" s="181">
        <f>R57*0.25</f>
        <v>2608.6982499999999</v>
      </c>
      <c r="AW57" s="165">
        <f t="shared" si="0"/>
        <v>44997.958333333336</v>
      </c>
      <c r="AX57" s="165">
        <f t="shared" si="1"/>
        <v>45008.831250000003</v>
      </c>
      <c r="AY57" s="137">
        <f t="shared" si="2"/>
        <v>10.872916666667152</v>
      </c>
      <c r="AZ57" s="165">
        <v>44997.958333333336</v>
      </c>
      <c r="BA57" s="165">
        <v>44999.854166666664</v>
      </c>
      <c r="BB57" s="165">
        <v>45001.46875</v>
      </c>
      <c r="BC57" s="165">
        <v>45002.611111111109</v>
      </c>
      <c r="BD57" s="165">
        <v>45002.8125</v>
      </c>
      <c r="BE57" s="165">
        <v>45002.822916666664</v>
      </c>
      <c r="BF57" s="165">
        <v>45002.822916666664</v>
      </c>
      <c r="BG57" s="165">
        <f t="shared" si="15"/>
        <v>45004.53125</v>
      </c>
      <c r="BH57" s="165">
        <v>45004.583333333336</v>
      </c>
      <c r="BI57" s="165">
        <v>45004.75</v>
      </c>
      <c r="BJ57" s="165">
        <v>45004.670138888891</v>
      </c>
      <c r="BK57" s="165">
        <v>45007.09375</v>
      </c>
      <c r="BL57" s="165">
        <v>45007.270833333336</v>
      </c>
      <c r="BM57" s="165">
        <v>45007.447916666664</v>
      </c>
      <c r="BN57" s="165">
        <v>45007.493055555555</v>
      </c>
      <c r="BO57" s="165">
        <v>45008.666666666664</v>
      </c>
      <c r="BP57" s="165">
        <v>45008.831250000003</v>
      </c>
      <c r="BS57" s="136">
        <f t="shared" si="3"/>
        <v>38.750000000058208</v>
      </c>
      <c r="BT57" s="136">
        <f t="shared" si="4"/>
        <v>4.8333333333721384</v>
      </c>
      <c r="BU57" s="136">
        <f t="shared" si="5"/>
        <v>41.000000000058208</v>
      </c>
      <c r="BV57" s="136">
        <f t="shared" si="6"/>
        <v>56.25</v>
      </c>
      <c r="BW57" s="135">
        <f t="shared" si="7"/>
        <v>4.2499999998835847</v>
      </c>
      <c r="BX57" s="135">
        <f t="shared" si="8"/>
        <v>3.9500000001280569</v>
      </c>
      <c r="BY57" s="134">
        <f t="shared" si="9"/>
        <v>6.2097222222291748</v>
      </c>
      <c r="BZ57" s="134">
        <f t="shared" si="10"/>
        <v>10.872916666667152</v>
      </c>
      <c r="CA57" s="133">
        <f t="shared" si="11"/>
        <v>0.57111834962059227</v>
      </c>
    </row>
    <row r="58" spans="1:79" s="126" customFormat="1">
      <c r="A58" s="192">
        <f t="shared" si="12"/>
        <v>45003.600694444445</v>
      </c>
      <c r="B58" s="126" t="s">
        <v>228</v>
      </c>
      <c r="C58" s="126" t="s">
        <v>229</v>
      </c>
      <c r="D58" s="126" t="s">
        <v>197</v>
      </c>
      <c r="E58" s="65" t="s">
        <v>977</v>
      </c>
      <c r="G58" s="73">
        <v>45003.479166666664</v>
      </c>
      <c r="H58" s="73">
        <v>45003.479166666664</v>
      </c>
      <c r="I58" s="126" t="s">
        <v>231</v>
      </c>
      <c r="J58" s="126" t="s">
        <v>192</v>
      </c>
      <c r="K58" s="126" t="s">
        <v>192</v>
      </c>
      <c r="L58" s="126" t="s">
        <v>984</v>
      </c>
      <c r="M58" s="167"/>
      <c r="N58" s="126" t="s">
        <v>201</v>
      </c>
      <c r="O58" s="126" t="s">
        <v>202</v>
      </c>
      <c r="P58" s="126" t="s">
        <v>240</v>
      </c>
      <c r="Q58" s="181">
        <f>3141*2.4</f>
        <v>7538.4</v>
      </c>
      <c r="R58" s="181">
        <v>7528.5450000000001</v>
      </c>
      <c r="S58" s="181"/>
      <c r="T58" s="219"/>
      <c r="X58" s="181">
        <f t="shared" ref="X58:X73" si="21">R58</f>
        <v>7528.5450000000001</v>
      </c>
      <c r="AW58" s="165">
        <f t="shared" si="0"/>
        <v>44998.958333333336</v>
      </c>
      <c r="AX58" s="165">
        <f t="shared" si="1"/>
        <v>45009.354166666664</v>
      </c>
      <c r="AY58" s="137">
        <f t="shared" si="2"/>
        <v>10.395833333328483</v>
      </c>
      <c r="AZ58" s="165">
        <v>44998.958333333336</v>
      </c>
      <c r="BA58" s="165">
        <v>45000.583333333336</v>
      </c>
      <c r="BB58" s="165">
        <v>45002.395833333336</v>
      </c>
      <c r="BC58" s="165">
        <v>45003.600694444445</v>
      </c>
      <c r="BD58" s="165">
        <v>45003.736111111109</v>
      </c>
      <c r="BE58" s="165">
        <v>45003.739583333336</v>
      </c>
      <c r="BF58" s="165">
        <v>45003.739583333336</v>
      </c>
      <c r="BG58" s="165">
        <f t="shared" si="15"/>
        <v>45005.447916666672</v>
      </c>
      <c r="BH58" s="165">
        <v>45006.25</v>
      </c>
      <c r="BI58" s="165">
        <v>45006.416666666664</v>
      </c>
      <c r="BJ58" s="165">
        <v>45006.340277777781</v>
      </c>
      <c r="BK58" s="165">
        <v>45007.572916666664</v>
      </c>
      <c r="BL58" s="165">
        <v>45008.611111111109</v>
      </c>
      <c r="BM58" s="165">
        <v>45009.024305555555</v>
      </c>
      <c r="BN58" s="165">
        <v>45009.0625</v>
      </c>
      <c r="BO58" s="165">
        <v>45009.197916666664</v>
      </c>
      <c r="BP58" s="165">
        <v>45009.354166666664</v>
      </c>
      <c r="BS58" s="136">
        <f t="shared" si="3"/>
        <v>43.5</v>
      </c>
      <c r="BT58" s="136">
        <f t="shared" si="4"/>
        <v>3.2499999999417923</v>
      </c>
      <c r="BU58" s="136">
        <f t="shared" si="5"/>
        <v>41.000000000058208</v>
      </c>
      <c r="BV58" s="136">
        <f t="shared" si="6"/>
        <v>27.75</v>
      </c>
      <c r="BW58" s="135">
        <f t="shared" si="7"/>
        <v>9.9166666666860692</v>
      </c>
      <c r="BX58" s="135">
        <f t="shared" si="8"/>
        <v>3.75</v>
      </c>
      <c r="BY58" s="134">
        <f t="shared" si="9"/>
        <v>5.3819444444452529</v>
      </c>
      <c r="BZ58" s="134">
        <f t="shared" si="10"/>
        <v>10.395833333328483</v>
      </c>
      <c r="CA58" s="133">
        <f t="shared" si="11"/>
        <v>0.51770207080860253</v>
      </c>
    </row>
    <row r="59" spans="1:79" s="126" customFormat="1">
      <c r="A59" s="192">
        <f t="shared" si="12"/>
        <v>45003.986111111109</v>
      </c>
      <c r="B59" s="126" t="s">
        <v>228</v>
      </c>
      <c r="C59" s="126" t="s">
        <v>229</v>
      </c>
      <c r="D59" s="126" t="s">
        <v>215</v>
      </c>
      <c r="E59" s="65" t="s">
        <v>977</v>
      </c>
      <c r="G59" s="73">
        <v>45003.479166666664</v>
      </c>
      <c r="H59" s="73">
        <v>45003.479166666664</v>
      </c>
      <c r="I59" s="126" t="s">
        <v>231</v>
      </c>
      <c r="J59" s="126" t="s">
        <v>192</v>
      </c>
      <c r="K59" s="126" t="s">
        <v>192</v>
      </c>
      <c r="L59" s="126" t="s">
        <v>985</v>
      </c>
      <c r="M59" s="167"/>
      <c r="N59" s="126" t="s">
        <v>390</v>
      </c>
      <c r="O59" s="126" t="s">
        <v>391</v>
      </c>
      <c r="P59" s="126" t="s">
        <v>240</v>
      </c>
      <c r="Q59" s="181">
        <f>3097*2.4</f>
        <v>7432.7999999999993</v>
      </c>
      <c r="R59" s="181">
        <f>7427.119-3308.327</f>
        <v>4118.7919999999995</v>
      </c>
      <c r="S59" s="181"/>
      <c r="T59" s="219"/>
      <c r="X59" s="181">
        <f t="shared" si="21"/>
        <v>4118.7919999999995</v>
      </c>
      <c r="AW59" s="165">
        <f t="shared" si="0"/>
        <v>44999.965277777781</v>
      </c>
      <c r="AX59" s="165">
        <f t="shared" si="1"/>
        <v>45009.284722222219</v>
      </c>
      <c r="AY59" s="137">
        <f t="shared" si="2"/>
        <v>9.3194444444379769</v>
      </c>
      <c r="AZ59" s="165">
        <v>44999.965277777781</v>
      </c>
      <c r="BA59" s="165">
        <v>45000.59375</v>
      </c>
      <c r="BB59" s="165">
        <v>45002.625</v>
      </c>
      <c r="BC59" s="165">
        <v>45003.986111111109</v>
      </c>
      <c r="BD59" s="165">
        <v>45004.121527777781</v>
      </c>
      <c r="BE59" s="165">
        <v>45004.128472222219</v>
      </c>
      <c r="BF59" s="165">
        <v>45004.260416666664</v>
      </c>
      <c r="BG59" s="165">
        <f t="shared" si="15"/>
        <v>45005.96875</v>
      </c>
      <c r="BH59" s="165">
        <v>45006.25</v>
      </c>
      <c r="BI59" s="165">
        <v>45006.416666666664</v>
      </c>
      <c r="BJ59" s="165">
        <v>45006.340277777781</v>
      </c>
      <c r="BK59" s="165">
        <v>45007.645833333336</v>
      </c>
      <c r="BL59" s="165">
        <v>45009.114583333336</v>
      </c>
      <c r="BM59" s="165">
        <v>45009.284722222219</v>
      </c>
      <c r="BN59" s="264">
        <v>45009.284722222219</v>
      </c>
      <c r="BO59" s="264">
        <v>45009.284722222219</v>
      </c>
      <c r="BP59" s="264">
        <v>45009.284722222219</v>
      </c>
      <c r="BS59" s="136">
        <f t="shared" si="3"/>
        <v>48.75</v>
      </c>
      <c r="BT59" s="136">
        <f t="shared" si="4"/>
        <v>3.2500000001164153</v>
      </c>
      <c r="BU59" s="136">
        <f t="shared" si="5"/>
        <v>41.000000000058208</v>
      </c>
      <c r="BV59" s="136">
        <f t="shared" si="6"/>
        <v>29.500000000116415</v>
      </c>
      <c r="BW59" s="135">
        <f t="shared" si="7"/>
        <v>4.0833333331975155</v>
      </c>
      <c r="BX59" s="135">
        <f t="shared" si="8"/>
        <v>0</v>
      </c>
      <c r="BY59" s="134">
        <f t="shared" si="9"/>
        <v>5.2743055555620231</v>
      </c>
      <c r="BZ59" s="134">
        <f t="shared" si="10"/>
        <v>9.3194444444379769</v>
      </c>
      <c r="CA59" s="133">
        <f t="shared" si="11"/>
        <v>0.5659463487343207</v>
      </c>
    </row>
    <row r="60" spans="1:79" s="126" customFormat="1">
      <c r="A60" s="192">
        <f t="shared" si="12"/>
        <v>45003.986111111109</v>
      </c>
      <c r="B60" s="126" t="s">
        <v>228</v>
      </c>
      <c r="C60" s="126" t="s">
        <v>229</v>
      </c>
      <c r="D60" s="126" t="s">
        <v>215</v>
      </c>
      <c r="E60" s="65" t="s">
        <v>986</v>
      </c>
      <c r="G60" s="73">
        <v>45011.125</v>
      </c>
      <c r="H60" s="73">
        <v>45011.091666666667</v>
      </c>
      <c r="I60" s="126" t="s">
        <v>243</v>
      </c>
      <c r="J60" s="126" t="s">
        <v>192</v>
      </c>
      <c r="K60" s="126" t="s">
        <v>192</v>
      </c>
      <c r="L60" s="126" t="s">
        <v>985</v>
      </c>
      <c r="M60" s="167"/>
      <c r="N60" s="126" t="s">
        <v>390</v>
      </c>
      <c r="O60" s="126" t="s">
        <v>391</v>
      </c>
      <c r="P60" s="126" t="s">
        <v>240</v>
      </c>
      <c r="Q60" s="181">
        <f>3097*2.4</f>
        <v>7432.7999999999993</v>
      </c>
      <c r="R60" s="181">
        <v>3302</v>
      </c>
      <c r="S60" s="181"/>
      <c r="T60" s="219"/>
      <c r="X60" s="181">
        <f t="shared" si="21"/>
        <v>3302</v>
      </c>
      <c r="AW60" s="165">
        <f t="shared" si="0"/>
        <v>44999.965277777781</v>
      </c>
      <c r="AX60" s="165">
        <f t="shared" si="1"/>
        <v>45011.625</v>
      </c>
      <c r="AY60" s="137">
        <f t="shared" si="2"/>
        <v>11.659722222218988</v>
      </c>
      <c r="AZ60" s="165">
        <v>44999.965277777781</v>
      </c>
      <c r="BA60" s="165">
        <v>45000.59375</v>
      </c>
      <c r="BB60" s="165">
        <v>45002.625</v>
      </c>
      <c r="BC60" s="165">
        <v>45003.986111111109</v>
      </c>
      <c r="BD60" s="165">
        <v>45004.121527777781</v>
      </c>
      <c r="BE60" s="165">
        <v>45004.128472222219</v>
      </c>
      <c r="BF60" s="165">
        <v>45004.260416666664</v>
      </c>
      <c r="BG60" s="165">
        <f t="shared" si="15"/>
        <v>45005.96875</v>
      </c>
      <c r="BH60" s="165">
        <v>45006.25</v>
      </c>
      <c r="BI60" s="165">
        <v>45006.416666666664</v>
      </c>
      <c r="BJ60" s="165">
        <v>45006.340277777781</v>
      </c>
      <c r="BK60" s="165">
        <v>45010.486111111109</v>
      </c>
      <c r="BL60" s="165">
        <v>45010.645833333336</v>
      </c>
      <c r="BM60" s="165">
        <v>45010.736111111109</v>
      </c>
      <c r="BN60" s="165">
        <v>45010.798611111109</v>
      </c>
      <c r="BO60" s="165">
        <v>45011.072916666664</v>
      </c>
      <c r="BP60" s="165">
        <v>45011.625</v>
      </c>
      <c r="BS60" s="136">
        <f t="shared" si="3"/>
        <v>48.75</v>
      </c>
      <c r="BT60" s="136">
        <f t="shared" si="4"/>
        <v>3.2500000001164153</v>
      </c>
      <c r="BU60" s="136">
        <f t="shared" si="5"/>
        <v>41.000000000058208</v>
      </c>
      <c r="BV60" s="136">
        <f t="shared" si="6"/>
        <v>97.666666666686069</v>
      </c>
      <c r="BW60" s="135">
        <f t="shared" si="7"/>
        <v>2.1666666665696539</v>
      </c>
      <c r="BX60" s="135">
        <f t="shared" si="8"/>
        <v>13.250000000058208</v>
      </c>
      <c r="BY60" s="134">
        <f t="shared" si="9"/>
        <v>8.5868055555620231</v>
      </c>
      <c r="BZ60" s="134">
        <f t="shared" si="10"/>
        <v>11.659722222218988</v>
      </c>
      <c r="CA60" s="133">
        <f t="shared" si="11"/>
        <v>0.73645026801743552</v>
      </c>
    </row>
    <row r="61" spans="1:79" s="126" customFormat="1">
      <c r="A61" s="192">
        <f t="shared" si="12"/>
        <v>45003.805555555555</v>
      </c>
      <c r="B61" s="126" t="s">
        <v>228</v>
      </c>
      <c r="C61" s="126" t="s">
        <v>229</v>
      </c>
      <c r="D61" s="126" t="s">
        <v>197</v>
      </c>
      <c r="E61" s="65" t="s">
        <v>977</v>
      </c>
      <c r="G61" s="73">
        <v>45003.479166666664</v>
      </c>
      <c r="H61" s="73">
        <v>45003.479166666664</v>
      </c>
      <c r="I61" s="126" t="s">
        <v>231</v>
      </c>
      <c r="J61" s="126" t="s">
        <v>192</v>
      </c>
      <c r="K61" s="126" t="s">
        <v>192</v>
      </c>
      <c r="L61" s="126" t="s">
        <v>987</v>
      </c>
      <c r="M61" s="167"/>
      <c r="N61" s="126" t="s">
        <v>355</v>
      </c>
      <c r="O61" s="126" t="s">
        <v>356</v>
      </c>
      <c r="P61" s="126" t="s">
        <v>240</v>
      </c>
      <c r="Q61" s="181">
        <f>3107*2.4</f>
        <v>7456.7999999999993</v>
      </c>
      <c r="R61" s="181">
        <v>7536.3789999999999</v>
      </c>
      <c r="S61" s="181"/>
      <c r="T61" s="219"/>
      <c r="X61" s="181">
        <f t="shared" si="21"/>
        <v>7536.3789999999999</v>
      </c>
      <c r="AW61" s="165">
        <f t="shared" si="0"/>
        <v>44998.916666666664</v>
      </c>
      <c r="AX61" s="165">
        <f t="shared" si="1"/>
        <v>45008.840277777781</v>
      </c>
      <c r="AY61" s="137">
        <f t="shared" si="2"/>
        <v>9.9236111111167702</v>
      </c>
      <c r="AZ61" s="165">
        <v>44998.916666666664</v>
      </c>
      <c r="BA61" s="165">
        <v>45000.809027777781</v>
      </c>
      <c r="BB61" s="165">
        <v>45002.583333333336</v>
      </c>
      <c r="BC61" s="165">
        <v>45003.805555555555</v>
      </c>
      <c r="BD61" s="165">
        <v>45003.954861111109</v>
      </c>
      <c r="BE61" s="165">
        <v>45003.961805555555</v>
      </c>
      <c r="BF61" s="165">
        <v>45003.961805555555</v>
      </c>
      <c r="BG61" s="165">
        <f t="shared" si="15"/>
        <v>45005.670138888891</v>
      </c>
      <c r="BH61" s="165">
        <v>45005.25</v>
      </c>
      <c r="BI61" s="165">
        <v>45005.416666666664</v>
      </c>
      <c r="BJ61" s="165">
        <v>45005.364583333336</v>
      </c>
      <c r="BK61" s="165">
        <v>45006.479166666664</v>
      </c>
      <c r="BL61" s="165">
        <v>45008.3125</v>
      </c>
      <c r="BM61" s="165">
        <v>45008.552083333336</v>
      </c>
      <c r="BN61" s="165">
        <v>45008.572916666664</v>
      </c>
      <c r="BO61" s="165">
        <v>45008.677083333336</v>
      </c>
      <c r="BP61" s="165">
        <v>45008.840277777781</v>
      </c>
      <c r="BS61" s="136">
        <f t="shared" si="3"/>
        <v>42.583333333313931</v>
      </c>
      <c r="BT61" s="136">
        <f t="shared" si="4"/>
        <v>3.5833333333139308</v>
      </c>
      <c r="BU61" s="136">
        <f t="shared" si="5"/>
        <v>41.000000000058208</v>
      </c>
      <c r="BV61" s="136">
        <f t="shared" si="6"/>
        <v>25.5</v>
      </c>
      <c r="BW61" s="135">
        <f t="shared" si="7"/>
        <v>5.7500000000582077</v>
      </c>
      <c r="BX61" s="135">
        <f t="shared" si="8"/>
        <v>3.9166666666860692</v>
      </c>
      <c r="BY61" s="134">
        <f t="shared" si="9"/>
        <v>5.0972222222262644</v>
      </c>
      <c r="BZ61" s="134">
        <f t="shared" si="10"/>
        <v>9.9236111111167702</v>
      </c>
      <c r="CA61" s="133">
        <f t="shared" si="11"/>
        <v>0.51364590622824602</v>
      </c>
    </row>
    <row r="62" spans="1:79" s="126" customFormat="1">
      <c r="A62" s="192">
        <f t="shared" si="12"/>
        <v>45005.131944444445</v>
      </c>
      <c r="B62" s="126" t="s">
        <v>228</v>
      </c>
      <c r="C62" s="126" t="s">
        <v>229</v>
      </c>
      <c r="D62" s="126" t="s">
        <v>197</v>
      </c>
      <c r="E62" s="65" t="s">
        <v>988</v>
      </c>
      <c r="G62" s="73">
        <v>45008.541666666664</v>
      </c>
      <c r="H62" s="73">
        <v>45008.541666666664</v>
      </c>
      <c r="I62" s="126" t="s">
        <v>231</v>
      </c>
      <c r="J62" s="126" t="s">
        <v>192</v>
      </c>
      <c r="K62" s="126" t="s">
        <v>192</v>
      </c>
      <c r="L62" s="126" t="s">
        <v>989</v>
      </c>
      <c r="M62" s="167"/>
      <c r="N62" s="126" t="s">
        <v>260</v>
      </c>
      <c r="O62" s="126" t="s">
        <v>261</v>
      </c>
      <c r="P62" s="126" t="s">
        <v>240</v>
      </c>
      <c r="Q62" s="181">
        <f>3107*2.4</f>
        <v>7456.7999999999993</v>
      </c>
      <c r="R62" s="181">
        <v>7674.2889999999998</v>
      </c>
      <c r="S62" s="181"/>
      <c r="X62" s="181">
        <f t="shared" si="21"/>
        <v>7674.2889999999998</v>
      </c>
      <c r="AW62" s="165">
        <f t="shared" si="0"/>
        <v>44997.440972222219</v>
      </c>
      <c r="AX62" s="165">
        <f t="shared" si="1"/>
        <v>45013.920138888891</v>
      </c>
      <c r="AY62" s="137">
        <f t="shared" si="2"/>
        <v>16.479166666671517</v>
      </c>
      <c r="AZ62" s="165">
        <v>44997.440972222219</v>
      </c>
      <c r="BA62" s="165">
        <v>45000.815972222219</v>
      </c>
      <c r="BB62" s="165">
        <v>45002.829861111109</v>
      </c>
      <c r="BC62" s="165">
        <v>45005.131944444445</v>
      </c>
      <c r="BD62" s="165">
        <v>45005.263888888891</v>
      </c>
      <c r="BE62" s="165">
        <v>45005.267361111109</v>
      </c>
      <c r="BF62" s="165">
        <v>45005.267361111109</v>
      </c>
      <c r="BG62" s="165">
        <f t="shared" si="15"/>
        <v>45006.975694444445</v>
      </c>
      <c r="BH62" s="165">
        <v>45009.25</v>
      </c>
      <c r="BI62" s="165">
        <v>45009.416666666664</v>
      </c>
      <c r="BJ62" s="165">
        <v>45009.333333333336</v>
      </c>
      <c r="BK62" s="165">
        <v>45010.791666666664</v>
      </c>
      <c r="BL62" s="165">
        <v>45013.458333333328</v>
      </c>
      <c r="BM62" s="165">
        <v>45013.635416666664</v>
      </c>
      <c r="BN62" s="165">
        <v>45013.65625</v>
      </c>
      <c r="BO62" s="165">
        <v>45013.65625</v>
      </c>
      <c r="BP62" s="165">
        <v>45013.920138888891</v>
      </c>
      <c r="BS62" s="136">
        <f t="shared" si="3"/>
        <v>48.333333333372138</v>
      </c>
      <c r="BT62" s="136">
        <f t="shared" si="4"/>
        <v>3.1666666666860692</v>
      </c>
      <c r="BU62" s="136">
        <f t="shared" si="5"/>
        <v>41.000000000058208</v>
      </c>
      <c r="BV62" s="136">
        <f t="shared" si="6"/>
        <v>33</v>
      </c>
      <c r="BW62" s="135">
        <f t="shared" si="7"/>
        <v>4.2500000000582077</v>
      </c>
      <c r="BX62" s="135">
        <f t="shared" si="8"/>
        <v>6.3333333333721384</v>
      </c>
      <c r="BY62" s="134">
        <f t="shared" si="9"/>
        <v>5.6701388888977817</v>
      </c>
      <c r="BZ62" s="134">
        <f t="shared" si="10"/>
        <v>16.479166666671517</v>
      </c>
      <c r="CA62" s="133">
        <f t="shared" si="11"/>
        <v>0.34407922461063645</v>
      </c>
    </row>
    <row r="63" spans="1:79" s="126" customFormat="1">
      <c r="A63" s="192">
        <f t="shared" si="12"/>
        <v>45004.154861111114</v>
      </c>
      <c r="B63" s="126" t="s">
        <v>228</v>
      </c>
      <c r="C63" s="126" t="s">
        <v>229</v>
      </c>
      <c r="D63" s="126" t="s">
        <v>197</v>
      </c>
      <c r="E63" s="65" t="s">
        <v>988</v>
      </c>
      <c r="G63" s="73">
        <v>45008.541666666664</v>
      </c>
      <c r="H63" s="73">
        <v>45008.541666666664</v>
      </c>
      <c r="I63" s="126" t="s">
        <v>231</v>
      </c>
      <c r="J63" s="126" t="s">
        <v>192</v>
      </c>
      <c r="K63" s="126" t="s">
        <v>192</v>
      </c>
      <c r="L63" s="126" t="s">
        <v>990</v>
      </c>
      <c r="M63" s="167"/>
      <c r="N63" s="126" t="s">
        <v>208</v>
      </c>
      <c r="O63" s="126" t="s">
        <v>328</v>
      </c>
      <c r="P63" s="126" t="s">
        <v>240</v>
      </c>
      <c r="Q63" s="181">
        <f>3128*2.4</f>
        <v>7507.2</v>
      </c>
      <c r="R63" s="181">
        <v>7454.9470000000001</v>
      </c>
      <c r="S63" s="181"/>
      <c r="X63" s="181">
        <f t="shared" si="21"/>
        <v>7454.9470000000001</v>
      </c>
      <c r="AW63" s="165">
        <f t="shared" si="0"/>
        <v>44999.4375</v>
      </c>
      <c r="AX63" s="165">
        <f t="shared" si="1"/>
        <v>45011.795138888891</v>
      </c>
      <c r="AY63" s="137">
        <f t="shared" si="2"/>
        <v>12.357638888890506</v>
      </c>
      <c r="AZ63" s="165">
        <v>44999.4375</v>
      </c>
      <c r="BA63" s="165">
        <v>45000.822916666664</v>
      </c>
      <c r="BB63" s="165">
        <v>45002.673611111109</v>
      </c>
      <c r="BC63" s="165">
        <v>45004.154861111114</v>
      </c>
      <c r="BD63" s="165">
        <v>45004.368055555555</v>
      </c>
      <c r="BE63" s="165">
        <v>45004.374305555553</v>
      </c>
      <c r="BF63" s="165">
        <v>45004.374305555553</v>
      </c>
      <c r="BG63" s="165">
        <f t="shared" si="15"/>
        <v>45006.082638888889</v>
      </c>
      <c r="BH63" s="165">
        <v>45007.25</v>
      </c>
      <c r="BI63" s="165">
        <v>45007.416666666664</v>
      </c>
      <c r="BJ63" s="165">
        <v>45007.381944444445</v>
      </c>
      <c r="BK63" s="165">
        <v>45008.607638888891</v>
      </c>
      <c r="BL63" s="165">
        <v>45011.145833333336</v>
      </c>
      <c r="BM63" s="165">
        <v>45011.354166666664</v>
      </c>
      <c r="BN63" s="165">
        <v>45011.375</v>
      </c>
      <c r="BO63" s="165">
        <v>45011.645833333336</v>
      </c>
      <c r="BP63" s="165">
        <v>45011.795138888891</v>
      </c>
      <c r="BS63" s="136">
        <f t="shared" si="3"/>
        <v>44.416666666686069</v>
      </c>
      <c r="BT63" s="136">
        <f t="shared" si="4"/>
        <v>5.1166666665812954</v>
      </c>
      <c r="BU63" s="136">
        <f t="shared" si="5"/>
        <v>41.000000000058208</v>
      </c>
      <c r="BV63" s="136">
        <f t="shared" si="6"/>
        <v>28.583333333430346</v>
      </c>
      <c r="BW63" s="135">
        <f t="shared" si="7"/>
        <v>4.9999999998835847</v>
      </c>
      <c r="BX63" s="135">
        <f t="shared" si="8"/>
        <v>3.5833333333139308</v>
      </c>
      <c r="BY63" s="134">
        <f t="shared" si="9"/>
        <v>5.3208333333313931</v>
      </c>
      <c r="BZ63" s="134">
        <f t="shared" si="10"/>
        <v>12.357638888890506</v>
      </c>
      <c r="CA63" s="133">
        <f t="shared" si="11"/>
        <v>0.43057038493937644</v>
      </c>
    </row>
    <row r="64" spans="1:79" s="126" customFormat="1">
      <c r="A64" s="192">
        <f t="shared" si="12"/>
        <v>45004.670138888891</v>
      </c>
      <c r="B64" s="126" t="s">
        <v>228</v>
      </c>
      <c r="C64" s="126" t="s">
        <v>229</v>
      </c>
      <c r="D64" s="126" t="s">
        <v>197</v>
      </c>
      <c r="E64" s="65" t="s">
        <v>988</v>
      </c>
      <c r="G64" s="73">
        <v>45008.541666666664</v>
      </c>
      <c r="H64" s="73">
        <v>45008.541666666664</v>
      </c>
      <c r="I64" s="126" t="s">
        <v>231</v>
      </c>
      <c r="J64" s="126" t="s">
        <v>192</v>
      </c>
      <c r="K64" s="126" t="s">
        <v>192</v>
      </c>
      <c r="L64" s="126" t="s">
        <v>991</v>
      </c>
      <c r="M64" s="167"/>
      <c r="N64" s="126" t="s">
        <v>367</v>
      </c>
      <c r="O64" s="126" t="s">
        <v>368</v>
      </c>
      <c r="P64" s="126" t="s">
        <v>240</v>
      </c>
      <c r="Q64" s="181">
        <f>4111*2.4</f>
        <v>9866.4</v>
      </c>
      <c r="R64" s="181">
        <v>9847.7870000000003</v>
      </c>
      <c r="S64" s="181"/>
      <c r="X64" s="181">
        <f t="shared" si="21"/>
        <v>9847.7870000000003</v>
      </c>
      <c r="AW64" s="165">
        <f t="shared" si="0"/>
        <v>44999.791666666664</v>
      </c>
      <c r="AX64" s="165">
        <f t="shared" si="1"/>
        <v>45011.833333333336</v>
      </c>
      <c r="AY64" s="137">
        <f t="shared" si="2"/>
        <v>12.041666666671517</v>
      </c>
      <c r="AZ64" s="165">
        <v>44999.791666666664</v>
      </c>
      <c r="BA64" s="165">
        <v>45000.850694444445</v>
      </c>
      <c r="BB64" s="165">
        <v>45002.6875</v>
      </c>
      <c r="BC64" s="165">
        <v>45004.670138888891</v>
      </c>
      <c r="BD64" s="165">
        <v>45004.913194444445</v>
      </c>
      <c r="BE64" s="165">
        <v>45004.916666666664</v>
      </c>
      <c r="BF64" s="165">
        <v>45004.916666666664</v>
      </c>
      <c r="BG64" s="165">
        <f t="shared" si="15"/>
        <v>45006.625</v>
      </c>
      <c r="BH64" s="165">
        <v>45007.25</v>
      </c>
      <c r="BI64" s="165">
        <v>45007.416666666664</v>
      </c>
      <c r="BJ64" s="165">
        <v>45007.385416666664</v>
      </c>
      <c r="BK64" s="165">
        <v>45008.645833333336</v>
      </c>
      <c r="BL64" s="165">
        <v>45011.416666666664</v>
      </c>
      <c r="BM64" s="165">
        <v>45011.673611111109</v>
      </c>
      <c r="BN64" s="165">
        <v>45011.694444444445</v>
      </c>
      <c r="BO64" s="165">
        <v>45011.694444444445</v>
      </c>
      <c r="BP64" s="165">
        <v>45011.833333333336</v>
      </c>
      <c r="BS64" s="136">
        <f t="shared" si="3"/>
        <v>44.083333333313931</v>
      </c>
      <c r="BT64" s="136">
        <f t="shared" si="4"/>
        <v>5.8333333333139308</v>
      </c>
      <c r="BU64" s="136">
        <f t="shared" si="5"/>
        <v>41.000000000058208</v>
      </c>
      <c r="BV64" s="136">
        <f t="shared" si="6"/>
        <v>29.500000000116415</v>
      </c>
      <c r="BW64" s="135">
        <f t="shared" si="7"/>
        <v>6.1666666666860692</v>
      </c>
      <c r="BX64" s="135">
        <f t="shared" si="8"/>
        <v>3.3333333333721384</v>
      </c>
      <c r="BY64" s="134">
        <f t="shared" si="9"/>
        <v>5.4131944444525288</v>
      </c>
      <c r="BZ64" s="134">
        <f t="shared" si="10"/>
        <v>12.041666666671517</v>
      </c>
      <c r="CA64" s="133">
        <f t="shared" si="11"/>
        <v>0.44953863898549606</v>
      </c>
    </row>
    <row r="65" spans="1:79" s="126" customFormat="1">
      <c r="A65" s="192">
        <f t="shared" si="12"/>
        <v>45004.402777777781</v>
      </c>
      <c r="B65" s="126" t="s">
        <v>228</v>
      </c>
      <c r="C65" s="126" t="s">
        <v>229</v>
      </c>
      <c r="D65" s="126" t="s">
        <v>197</v>
      </c>
      <c r="E65" s="65" t="s">
        <v>988</v>
      </c>
      <c r="G65" s="73">
        <v>45008.541666666664</v>
      </c>
      <c r="H65" s="73">
        <v>45008.541666666664</v>
      </c>
      <c r="I65" s="126" t="s">
        <v>231</v>
      </c>
      <c r="J65" s="126" t="s">
        <v>192</v>
      </c>
      <c r="K65" s="126" t="s">
        <v>192</v>
      </c>
      <c r="L65" s="126" t="s">
        <v>992</v>
      </c>
      <c r="M65" s="167"/>
      <c r="N65" s="126" t="s">
        <v>213</v>
      </c>
      <c r="O65" s="126" t="s">
        <v>214</v>
      </c>
      <c r="P65" s="126" t="s">
        <v>240</v>
      </c>
      <c r="Q65" s="181">
        <f>3113*2.4</f>
        <v>7471.2</v>
      </c>
      <c r="R65" s="181">
        <v>7512.0870000000004</v>
      </c>
      <c r="S65" s="181"/>
      <c r="X65" s="181">
        <f t="shared" si="21"/>
        <v>7512.0870000000004</v>
      </c>
      <c r="AW65" s="165">
        <f t="shared" si="0"/>
        <v>44999.631944444445</v>
      </c>
      <c r="AX65" s="165">
        <f t="shared" si="1"/>
        <v>45011.350694444445</v>
      </c>
      <c r="AY65" s="137">
        <f t="shared" si="2"/>
        <v>11.71875</v>
      </c>
      <c r="AZ65" s="165">
        <v>44999.631944444445</v>
      </c>
      <c r="BA65" s="165">
        <v>45000.857638888891</v>
      </c>
      <c r="BB65" s="165">
        <v>45002.680555555555</v>
      </c>
      <c r="BC65" s="165">
        <v>45004.402777777781</v>
      </c>
      <c r="BD65" s="165">
        <v>45004.604166666664</v>
      </c>
      <c r="BE65" s="165">
        <v>45004.611111111109</v>
      </c>
      <c r="BF65" s="165">
        <v>45004.611111111109</v>
      </c>
      <c r="BG65" s="165">
        <f t="shared" si="15"/>
        <v>45006.319444444445</v>
      </c>
      <c r="BH65" s="165">
        <v>45006.25</v>
      </c>
      <c r="BI65" s="165">
        <v>45006.416666666664</v>
      </c>
      <c r="BJ65" s="165">
        <v>45006.375</v>
      </c>
      <c r="BK65" s="165">
        <v>45008.034722222219</v>
      </c>
      <c r="BL65" s="165">
        <v>45010.604166666664</v>
      </c>
      <c r="BM65" s="165">
        <v>45010.868055555555</v>
      </c>
      <c r="BN65" s="165">
        <v>45010.888888888891</v>
      </c>
      <c r="BO65" s="165">
        <v>45011.166666666664</v>
      </c>
      <c r="BP65" s="165">
        <v>45011.350694444445</v>
      </c>
      <c r="BS65" s="136">
        <f t="shared" si="3"/>
        <v>43.749999999941792</v>
      </c>
      <c r="BT65" s="136">
        <f t="shared" si="4"/>
        <v>4.8333333331975155</v>
      </c>
      <c r="BU65" s="136">
        <f t="shared" si="5"/>
        <v>41.000000000058208</v>
      </c>
      <c r="BV65" s="136">
        <f t="shared" si="6"/>
        <v>38.833333333313931</v>
      </c>
      <c r="BW65" s="135">
        <f t="shared" si="7"/>
        <v>6.3333333333721384</v>
      </c>
      <c r="BX65" s="135">
        <f t="shared" si="8"/>
        <v>4.4166666667442769</v>
      </c>
      <c r="BY65" s="134">
        <f t="shared" si="9"/>
        <v>5.7986111111094942</v>
      </c>
      <c r="BZ65" s="134">
        <f t="shared" si="10"/>
        <v>11.71875</v>
      </c>
      <c r="CA65" s="133">
        <f t="shared" si="11"/>
        <v>0.49481481481467682</v>
      </c>
    </row>
    <row r="66" spans="1:79" s="126" customFormat="1">
      <c r="A66" s="192">
        <f t="shared" si="12"/>
        <v>45004.946527777778</v>
      </c>
      <c r="B66" s="126" t="s">
        <v>228</v>
      </c>
      <c r="C66" s="126" t="s">
        <v>229</v>
      </c>
      <c r="D66" s="126" t="s">
        <v>197</v>
      </c>
      <c r="E66" s="65" t="s">
        <v>988</v>
      </c>
      <c r="G66" s="73">
        <v>45008.541666666664</v>
      </c>
      <c r="H66" s="73">
        <v>45008.541666666664</v>
      </c>
      <c r="I66" s="126" t="s">
        <v>231</v>
      </c>
      <c r="J66" s="126" t="s">
        <v>192</v>
      </c>
      <c r="K66" s="126" t="s">
        <v>192</v>
      </c>
      <c r="L66" s="126" t="s">
        <v>993</v>
      </c>
      <c r="M66" s="167"/>
      <c r="N66" s="126" t="s">
        <v>226</v>
      </c>
      <c r="O66" s="126" t="s">
        <v>227</v>
      </c>
      <c r="P66" s="126" t="s">
        <v>240</v>
      </c>
      <c r="Q66" s="181">
        <f>3100*2.4</f>
        <v>7440</v>
      </c>
      <c r="R66" s="181">
        <f>7456.637-4557.489</f>
        <v>2899.1480000000001</v>
      </c>
      <c r="S66" s="181"/>
      <c r="X66" s="181">
        <f t="shared" si="21"/>
        <v>2899.1480000000001</v>
      </c>
      <c r="AW66" s="165">
        <f t="shared" si="0"/>
        <v>44997.899305555555</v>
      </c>
      <c r="AX66" s="165">
        <f t="shared" si="1"/>
        <v>45013.972222222219</v>
      </c>
      <c r="AY66" s="137">
        <f t="shared" si="2"/>
        <v>16.072916666664241</v>
      </c>
      <c r="AZ66" s="165">
        <v>44997.899305555555</v>
      </c>
      <c r="BA66" s="165">
        <v>45000.836805555555</v>
      </c>
      <c r="BB66" s="165">
        <v>45002.8125</v>
      </c>
      <c r="BC66" s="165">
        <v>45004.946527777778</v>
      </c>
      <c r="BD66" s="165">
        <v>45005.104166666664</v>
      </c>
      <c r="BE66" s="165">
        <v>45005.107638888891</v>
      </c>
      <c r="BF66" s="165">
        <v>45005.107638888891</v>
      </c>
      <c r="BG66" s="165">
        <f t="shared" si="15"/>
        <v>45006.815972222226</v>
      </c>
      <c r="BH66" s="165">
        <v>45009.25</v>
      </c>
      <c r="BI66" s="165">
        <v>45009.416666666664</v>
      </c>
      <c r="BJ66" s="165">
        <v>45009.336805555555</v>
      </c>
      <c r="BK66" s="165">
        <v>45010.8125</v>
      </c>
      <c r="BL66" s="165">
        <v>45013.697916666664</v>
      </c>
      <c r="BM66" s="165">
        <v>45013.916666666664</v>
      </c>
      <c r="BN66" s="165">
        <v>45013.972222222219</v>
      </c>
      <c r="BO66" s="165">
        <v>45013.972222222219</v>
      </c>
      <c r="BP66" s="165">
        <v>45013.972222222219</v>
      </c>
      <c r="BS66" s="136">
        <f t="shared" si="3"/>
        <v>47.416666666686069</v>
      </c>
      <c r="BT66" s="136">
        <f t="shared" si="4"/>
        <v>3.7833333332673647</v>
      </c>
      <c r="BU66" s="136">
        <f t="shared" si="5"/>
        <v>41.000000000058208</v>
      </c>
      <c r="BV66" s="136">
        <f t="shared" si="6"/>
        <v>33.500000000058208</v>
      </c>
      <c r="BW66" s="135">
        <f t="shared" si="7"/>
        <v>5.25</v>
      </c>
      <c r="BX66" s="135">
        <f t="shared" si="8"/>
        <v>0</v>
      </c>
      <c r="BY66" s="134">
        <f t="shared" si="9"/>
        <v>5.4562500000029104</v>
      </c>
      <c r="BZ66" s="134">
        <f t="shared" si="10"/>
        <v>16.072916666664241</v>
      </c>
      <c r="CA66" s="133">
        <f t="shared" si="11"/>
        <v>0.33946856772544293</v>
      </c>
    </row>
    <row r="67" spans="1:79" s="126" customFormat="1">
      <c r="A67" s="192">
        <f t="shared" si="12"/>
        <v>45004.946527777778</v>
      </c>
      <c r="B67" s="126" t="s">
        <v>228</v>
      </c>
      <c r="C67" s="126" t="s">
        <v>229</v>
      </c>
      <c r="D67" s="126" t="s">
        <v>197</v>
      </c>
      <c r="E67" s="65" t="s">
        <v>994</v>
      </c>
      <c r="G67" s="73">
        <v>45009.75</v>
      </c>
      <c r="H67" s="73">
        <v>45009.583333333336</v>
      </c>
      <c r="I67" s="126" t="s">
        <v>231</v>
      </c>
      <c r="J67" s="126" t="s">
        <v>192</v>
      </c>
      <c r="K67" s="126" t="s">
        <v>192</v>
      </c>
      <c r="L67" s="126" t="s">
        <v>993</v>
      </c>
      <c r="M67" s="167"/>
      <c r="N67" s="126" t="s">
        <v>226</v>
      </c>
      <c r="O67" s="126" t="s">
        <v>227</v>
      </c>
      <c r="P67" s="126" t="s">
        <v>240</v>
      </c>
      <c r="Q67" s="181">
        <f>3100*2.4</f>
        <v>7440</v>
      </c>
      <c r="R67" s="181">
        <v>4557.0730000000003</v>
      </c>
      <c r="S67" s="181"/>
      <c r="X67" s="181">
        <f t="shared" si="21"/>
        <v>4557.0730000000003</v>
      </c>
      <c r="AW67" s="165">
        <f t="shared" si="0"/>
        <v>44997.899305555555</v>
      </c>
      <c r="AX67" s="165">
        <f t="shared" si="1"/>
        <v>45018.041666666664</v>
      </c>
      <c r="AY67" s="137">
        <f t="shared" si="2"/>
        <v>20.142361111109494</v>
      </c>
      <c r="AZ67" s="165">
        <v>44997.899305555555</v>
      </c>
      <c r="BA67" s="165">
        <v>45000.836805555555</v>
      </c>
      <c r="BB67" s="165">
        <v>45002.8125</v>
      </c>
      <c r="BC67" s="165">
        <v>45004.946527777778</v>
      </c>
      <c r="BD67" s="165">
        <v>45005.104166666664</v>
      </c>
      <c r="BE67" s="165">
        <v>45005.107638888891</v>
      </c>
      <c r="BF67" s="165">
        <v>45005.107638888891</v>
      </c>
      <c r="BG67" s="165">
        <f t="shared" si="15"/>
        <v>45006.815972222226</v>
      </c>
      <c r="BH67" s="165">
        <v>45009.25</v>
      </c>
      <c r="BI67" s="165">
        <v>45009.416666666664</v>
      </c>
      <c r="BJ67" s="165">
        <v>45009.336805555555</v>
      </c>
      <c r="BK67" s="165">
        <v>45013.972222222219</v>
      </c>
      <c r="BL67" s="165">
        <v>45017.375</v>
      </c>
      <c r="BM67" s="165">
        <v>45017.53125</v>
      </c>
      <c r="BN67" s="165">
        <v>45017.5625</v>
      </c>
      <c r="BO67" s="165">
        <v>45017.857638888891</v>
      </c>
      <c r="BP67" s="165">
        <v>45018.041666666664</v>
      </c>
      <c r="BS67" s="136">
        <f t="shared" si="3"/>
        <v>47.416666666686069</v>
      </c>
      <c r="BT67" s="136">
        <f t="shared" si="4"/>
        <v>3.7833333332673647</v>
      </c>
      <c r="BU67" s="136">
        <f t="shared" si="5"/>
        <v>41.000000000058208</v>
      </c>
      <c r="BV67" s="136">
        <f t="shared" si="6"/>
        <v>109.33333333331393</v>
      </c>
      <c r="BW67" s="135">
        <f t="shared" si="7"/>
        <v>3.75</v>
      </c>
      <c r="BX67" s="135">
        <f t="shared" si="8"/>
        <v>4.4166666665696539</v>
      </c>
      <c r="BY67" s="134">
        <f t="shared" si="9"/>
        <v>8.7374999999956344</v>
      </c>
      <c r="BZ67" s="134">
        <f t="shared" si="10"/>
        <v>20.142361111109494</v>
      </c>
      <c r="CA67" s="133">
        <f t="shared" si="11"/>
        <v>0.43378727805532574</v>
      </c>
    </row>
    <row r="68" spans="1:79" s="126" customFormat="1">
      <c r="A68" s="192">
        <f t="shared" si="12"/>
        <v>45005.524305555555</v>
      </c>
      <c r="B68" s="126" t="s">
        <v>228</v>
      </c>
      <c r="C68" s="126" t="s">
        <v>229</v>
      </c>
      <c r="D68" s="126" t="s">
        <v>197</v>
      </c>
      <c r="E68" s="65" t="s">
        <v>988</v>
      </c>
      <c r="G68" s="73">
        <v>45008.541666666664</v>
      </c>
      <c r="H68" s="73">
        <v>45008.541666666664</v>
      </c>
      <c r="I68" s="126" t="s">
        <v>231</v>
      </c>
      <c r="J68" s="126" t="s">
        <v>192</v>
      </c>
      <c r="K68" s="126" t="s">
        <v>192</v>
      </c>
      <c r="L68" s="126" t="s">
        <v>995</v>
      </c>
      <c r="M68" s="167"/>
      <c r="N68" s="126" t="s">
        <v>267</v>
      </c>
      <c r="O68" s="126" t="s">
        <v>268</v>
      </c>
      <c r="P68" s="126" t="s">
        <v>240</v>
      </c>
      <c r="Q68" s="181">
        <f>3142*2.4</f>
        <v>7540.7999999999993</v>
      </c>
      <c r="R68" s="181">
        <v>7591.8190000000004</v>
      </c>
      <c r="S68" s="181"/>
      <c r="X68" s="181">
        <f t="shared" si="21"/>
        <v>7591.8190000000004</v>
      </c>
      <c r="AW68" s="165">
        <f t="shared" ref="AW68:AW131" si="22">AZ68</f>
        <v>44999.923611111109</v>
      </c>
      <c r="AX68" s="165">
        <f t="shared" ref="AX68:AX131" si="23">BP68</f>
        <v>45013.666666666664</v>
      </c>
      <c r="AY68" s="137">
        <f t="shared" ref="AY68:AY131" si="24">AX68-AW68</f>
        <v>13.743055555554747</v>
      </c>
      <c r="AZ68" s="165">
        <v>44999.923611111109</v>
      </c>
      <c r="BA68" s="165">
        <v>45001.607638888891</v>
      </c>
      <c r="BB68" s="165">
        <v>45003.420138888891</v>
      </c>
      <c r="BC68" s="165">
        <v>45005.524305555555</v>
      </c>
      <c r="BD68" s="165">
        <v>45005.684027777781</v>
      </c>
      <c r="BE68" s="165">
        <v>45005.694444444445</v>
      </c>
      <c r="BF68" s="165">
        <v>45005.694444444445</v>
      </c>
      <c r="BG68" s="165">
        <f t="shared" si="15"/>
        <v>45007.402777777781</v>
      </c>
      <c r="BH68" s="165">
        <v>45009.25</v>
      </c>
      <c r="BI68" s="165">
        <v>45009.416666666664</v>
      </c>
      <c r="BJ68" s="165">
        <v>45009.3125</v>
      </c>
      <c r="BK68" s="165">
        <v>45010.486111111109</v>
      </c>
      <c r="BL68" s="165">
        <v>45013.079861111109</v>
      </c>
      <c r="BM68" s="165">
        <v>45013.395833333336</v>
      </c>
      <c r="BN68" s="165">
        <v>45013.416666666664</v>
      </c>
      <c r="BO68" s="165">
        <f>BN68+(0.5/24)</f>
        <v>45013.4375</v>
      </c>
      <c r="BP68" s="165">
        <v>45013.666666666664</v>
      </c>
      <c r="BS68" s="136">
        <f t="shared" si="3"/>
        <v>43.5</v>
      </c>
      <c r="BT68" s="136">
        <f t="shared" si="4"/>
        <v>3.8333333334303461</v>
      </c>
      <c r="BU68" s="136">
        <f t="shared" si="5"/>
        <v>41.000000000058208</v>
      </c>
      <c r="BV68" s="136">
        <f t="shared" si="6"/>
        <v>25.666666666686069</v>
      </c>
      <c r="BW68" s="135">
        <f t="shared" si="7"/>
        <v>7.5833333334303461</v>
      </c>
      <c r="BX68" s="135">
        <f t="shared" si="8"/>
        <v>5.4999999999417923</v>
      </c>
      <c r="BY68" s="134">
        <f t="shared" si="9"/>
        <v>5.2951388888977817</v>
      </c>
      <c r="BZ68" s="134">
        <f t="shared" si="10"/>
        <v>13.743055555554747</v>
      </c>
      <c r="CA68" s="133">
        <f t="shared" si="11"/>
        <v>0.38529560384099315</v>
      </c>
    </row>
    <row r="69" spans="1:79" s="126" customFormat="1">
      <c r="A69" s="192">
        <f t="shared" si="12"/>
        <v>45005.725694444445</v>
      </c>
      <c r="B69" s="126" t="s">
        <v>228</v>
      </c>
      <c r="C69" s="126" t="s">
        <v>229</v>
      </c>
      <c r="D69" s="126" t="s">
        <v>215</v>
      </c>
      <c r="E69" s="65" t="s">
        <v>988</v>
      </c>
      <c r="G69" s="73">
        <v>45008.541666666664</v>
      </c>
      <c r="H69" s="73">
        <v>45008.541666666664</v>
      </c>
      <c r="I69" s="126" t="s">
        <v>231</v>
      </c>
      <c r="J69" s="126" t="s">
        <v>192</v>
      </c>
      <c r="K69" s="126" t="s">
        <v>192</v>
      </c>
      <c r="L69" s="126" t="s">
        <v>996</v>
      </c>
      <c r="M69" s="167"/>
      <c r="N69" s="126" t="s">
        <v>358</v>
      </c>
      <c r="O69" s="126" t="s">
        <v>359</v>
      </c>
      <c r="P69" s="126" t="s">
        <v>240</v>
      </c>
      <c r="Q69" s="181">
        <f>3852*2.4</f>
        <v>9244.7999999999993</v>
      </c>
      <c r="R69" s="181">
        <v>9044.5110000000004</v>
      </c>
      <c r="S69" s="181"/>
      <c r="X69" s="181">
        <f t="shared" si="21"/>
        <v>9044.5110000000004</v>
      </c>
      <c r="AW69" s="165">
        <f t="shared" si="22"/>
        <v>44999.916666666664</v>
      </c>
      <c r="AX69" s="165">
        <f t="shared" si="23"/>
        <v>45012.71875</v>
      </c>
      <c r="AY69" s="137">
        <f t="shared" si="24"/>
        <v>12.802083333335759</v>
      </c>
      <c r="AZ69" s="165">
        <v>44999.916666666664</v>
      </c>
      <c r="BA69" s="165">
        <v>45001.795138888891</v>
      </c>
      <c r="BB69" s="165">
        <v>45003.666666666664</v>
      </c>
      <c r="BC69" s="165">
        <v>45005.725694444445</v>
      </c>
      <c r="BD69" s="165">
        <v>45005.965277777781</v>
      </c>
      <c r="BE69" s="165">
        <v>45005.972222222219</v>
      </c>
      <c r="BF69" s="165">
        <v>45006.270833333336</v>
      </c>
      <c r="BG69" s="165">
        <f t="shared" si="15"/>
        <v>45007.979166666672</v>
      </c>
      <c r="BH69" s="165">
        <v>45008.25</v>
      </c>
      <c r="BI69" s="165">
        <v>45008.416666666664</v>
      </c>
      <c r="BJ69" s="165">
        <v>45008.309027777781</v>
      </c>
      <c r="BK69" s="165">
        <v>45009.645833333336</v>
      </c>
      <c r="BL69" s="165">
        <v>45011.979166666664</v>
      </c>
      <c r="BM69" s="165">
        <v>45012.347222222219</v>
      </c>
      <c r="BN69" s="165">
        <v>45012.368055555555</v>
      </c>
      <c r="BO69" s="165">
        <v>45012.368055555555</v>
      </c>
      <c r="BP69" s="165">
        <v>45012.71875</v>
      </c>
      <c r="BS69" s="136">
        <f t="shared" si="3"/>
        <v>44.916666666569654</v>
      </c>
      <c r="BT69" s="136">
        <f t="shared" si="4"/>
        <v>5.7500000000582077</v>
      </c>
      <c r="BU69" s="136">
        <f t="shared" si="5"/>
        <v>41.000000000058208</v>
      </c>
      <c r="BV69" s="136">
        <f t="shared" si="6"/>
        <v>29.500000000116415</v>
      </c>
      <c r="BW69" s="135">
        <f t="shared" si="7"/>
        <v>8.8333333333139308</v>
      </c>
      <c r="BX69" s="135">
        <f t="shared" si="8"/>
        <v>8.4166666666860692</v>
      </c>
      <c r="BY69" s="134">
        <f t="shared" si="9"/>
        <v>5.7673611111167702</v>
      </c>
      <c r="BZ69" s="134">
        <f t="shared" si="10"/>
        <v>12.802083333335759</v>
      </c>
      <c r="CA69" s="133">
        <f t="shared" si="11"/>
        <v>0.45050176295126532</v>
      </c>
    </row>
    <row r="70" spans="1:79" s="126" customFormat="1">
      <c r="A70" s="192">
        <f t="shared" si="12"/>
        <v>45005.993750000001</v>
      </c>
      <c r="B70" s="126" t="s">
        <v>228</v>
      </c>
      <c r="C70" s="126" t="s">
        <v>229</v>
      </c>
      <c r="D70" s="126" t="s">
        <v>197</v>
      </c>
      <c r="E70" s="65" t="s">
        <v>988</v>
      </c>
      <c r="G70" s="73">
        <v>45008.541666666664</v>
      </c>
      <c r="H70" s="73">
        <v>45008.541666666664</v>
      </c>
      <c r="I70" s="126" t="s">
        <v>231</v>
      </c>
      <c r="J70" s="126" t="s">
        <v>192</v>
      </c>
      <c r="K70" s="126" t="s">
        <v>192</v>
      </c>
      <c r="L70" s="126" t="s">
        <v>997</v>
      </c>
      <c r="M70" s="167"/>
      <c r="N70" s="126" t="s">
        <v>295</v>
      </c>
      <c r="O70" s="126" t="s">
        <v>296</v>
      </c>
      <c r="P70" s="126" t="s">
        <v>240</v>
      </c>
      <c r="Q70" s="181">
        <f>4118*2.4</f>
        <v>9883.1999999999989</v>
      </c>
      <c r="R70" s="181">
        <v>9842.6720000000005</v>
      </c>
      <c r="S70" s="181"/>
      <c r="X70" s="181">
        <f t="shared" si="21"/>
        <v>9842.6720000000005</v>
      </c>
      <c r="AW70" s="165">
        <f t="shared" si="22"/>
        <v>45001.498611111114</v>
      </c>
      <c r="AX70" s="165">
        <f t="shared" si="23"/>
        <v>45013.451388888891</v>
      </c>
      <c r="AY70" s="137">
        <f t="shared" si="24"/>
        <v>11.952777777776646</v>
      </c>
      <c r="AZ70" s="165">
        <v>45001.498611111114</v>
      </c>
      <c r="BA70" s="165">
        <v>45001.826388888891</v>
      </c>
      <c r="BB70" s="165">
        <v>45003.784722222219</v>
      </c>
      <c r="BC70" s="165">
        <v>45005.993750000001</v>
      </c>
      <c r="BD70" s="165">
        <v>45006.224999999999</v>
      </c>
      <c r="BE70" s="165">
        <v>45006.232638888891</v>
      </c>
      <c r="BF70" s="165">
        <v>45006.232638888891</v>
      </c>
      <c r="BG70" s="165">
        <f t="shared" si="15"/>
        <v>45007.940972222226</v>
      </c>
      <c r="BH70" s="165">
        <v>45008.25</v>
      </c>
      <c r="BI70" s="165">
        <v>45008.416666666664</v>
      </c>
      <c r="BJ70" s="165">
        <v>45008.379166666666</v>
      </c>
      <c r="BK70" s="165">
        <v>45009.791666666664</v>
      </c>
      <c r="BL70" s="165">
        <v>45012.409722222219</v>
      </c>
      <c r="BM70" s="165">
        <v>45013.017361111109</v>
      </c>
      <c r="BN70" s="165">
        <v>45013.038194444445</v>
      </c>
      <c r="BO70" s="165">
        <v>45013.208333333336</v>
      </c>
      <c r="BP70" s="165">
        <v>45013.451388888891</v>
      </c>
      <c r="BQ70" s="165">
        <v>45013.808333333334</v>
      </c>
      <c r="BS70" s="136">
        <f t="shared" si="3"/>
        <v>46.999999999883585</v>
      </c>
      <c r="BT70" s="136">
        <f t="shared" si="4"/>
        <v>5.5499999999301508</v>
      </c>
      <c r="BU70" s="136">
        <f t="shared" si="5"/>
        <v>41.000000000058208</v>
      </c>
      <c r="BV70" s="136">
        <f t="shared" si="6"/>
        <v>33</v>
      </c>
      <c r="BW70" s="135">
        <f t="shared" si="7"/>
        <v>14.583333333372138</v>
      </c>
      <c r="BX70" s="135">
        <f t="shared" si="8"/>
        <v>5.8333333333139308</v>
      </c>
      <c r="BY70" s="134">
        <f t="shared" si="9"/>
        <v>6.1236111111065838</v>
      </c>
      <c r="BZ70" s="134">
        <f t="shared" si="10"/>
        <v>11.952777777776646</v>
      </c>
      <c r="CA70" s="133">
        <f t="shared" si="11"/>
        <v>0.51231698814747362</v>
      </c>
    </row>
    <row r="71" spans="1:79" s="126" customFormat="1">
      <c r="A71" s="192">
        <f t="shared" si="12"/>
        <v>45005.356249999997</v>
      </c>
      <c r="B71" s="126" t="s">
        <v>228</v>
      </c>
      <c r="C71" s="126" t="s">
        <v>229</v>
      </c>
      <c r="D71" s="126" t="s">
        <v>197</v>
      </c>
      <c r="E71" s="65" t="s">
        <v>988</v>
      </c>
      <c r="G71" s="73">
        <v>45008.541666666664</v>
      </c>
      <c r="H71" s="73">
        <v>45008.541666666664</v>
      </c>
      <c r="I71" s="126" t="s">
        <v>231</v>
      </c>
      <c r="J71" s="126" t="s">
        <v>192</v>
      </c>
      <c r="K71" s="126" t="s">
        <v>192</v>
      </c>
      <c r="L71" s="126" t="s">
        <v>998</v>
      </c>
      <c r="M71" s="167"/>
      <c r="N71" s="126" t="s">
        <v>346</v>
      </c>
      <c r="O71" s="126" t="s">
        <v>347</v>
      </c>
      <c r="P71" s="126" t="s">
        <v>240</v>
      </c>
      <c r="Q71" s="181">
        <f>3136*2.4</f>
        <v>7526.4</v>
      </c>
      <c r="R71" s="181">
        <v>7475.74</v>
      </c>
      <c r="S71" s="181"/>
      <c r="X71" s="181">
        <f t="shared" si="21"/>
        <v>7475.74</v>
      </c>
      <c r="AW71" s="165">
        <f t="shared" si="22"/>
        <v>45000.590277777781</v>
      </c>
      <c r="AX71" s="165">
        <f t="shared" si="23"/>
        <v>45013.05972222222</v>
      </c>
      <c r="AY71" s="137">
        <f t="shared" si="24"/>
        <v>12.469444444439432</v>
      </c>
      <c r="AZ71" s="165">
        <v>45000.590277777781</v>
      </c>
      <c r="BA71" s="165">
        <v>45001.815972222219</v>
      </c>
      <c r="BB71" s="165">
        <v>45003.895833333336</v>
      </c>
      <c r="BC71" s="165">
        <v>45005.356249999997</v>
      </c>
      <c r="BD71" s="165">
        <v>45005.489583333336</v>
      </c>
      <c r="BE71" s="165">
        <v>45005.496527777781</v>
      </c>
      <c r="BF71" s="165">
        <v>45005.496527777781</v>
      </c>
      <c r="BG71" s="165">
        <f t="shared" si="15"/>
        <v>45007.204861111117</v>
      </c>
      <c r="BH71" s="165">
        <v>45007.25</v>
      </c>
      <c r="BI71" s="165">
        <v>45007.416666666664</v>
      </c>
      <c r="BJ71" s="165">
        <v>45007.336805555555</v>
      </c>
      <c r="BK71" s="165">
        <v>45008.729166666664</v>
      </c>
      <c r="BL71" s="165">
        <v>45011.736111111109</v>
      </c>
      <c r="BM71" s="165">
        <v>45011.916666666664</v>
      </c>
      <c r="BN71" s="165">
        <v>45011.9375</v>
      </c>
      <c r="BO71" s="165">
        <v>45012.708333333336</v>
      </c>
      <c r="BP71" s="165">
        <v>45013.05972222222</v>
      </c>
      <c r="BS71" s="136">
        <f t="shared" si="3"/>
        <v>49.916666666802485</v>
      </c>
      <c r="BT71" s="136">
        <f t="shared" si="4"/>
        <v>3.2000000001280569</v>
      </c>
      <c r="BU71" s="136">
        <f t="shared" si="5"/>
        <v>41.000000000058208</v>
      </c>
      <c r="BV71" s="136">
        <f t="shared" si="6"/>
        <v>31.5</v>
      </c>
      <c r="BW71" s="135">
        <f t="shared" si="7"/>
        <v>4.3333333333139308</v>
      </c>
      <c r="BX71" s="135">
        <f t="shared" si="8"/>
        <v>8.4333333332324401</v>
      </c>
      <c r="BY71" s="134">
        <f t="shared" si="9"/>
        <v>5.76597222223063</v>
      </c>
      <c r="BZ71" s="134">
        <f t="shared" si="10"/>
        <v>12.469444444439432</v>
      </c>
      <c r="CA71" s="133">
        <f t="shared" si="11"/>
        <v>0.4624081087110406</v>
      </c>
    </row>
    <row r="72" spans="1:79" s="126" customFormat="1">
      <c r="A72" s="192">
        <f t="shared" si="12"/>
        <v>45006.352083333331</v>
      </c>
      <c r="B72" s="126" t="s">
        <v>228</v>
      </c>
      <c r="C72" s="126" t="s">
        <v>229</v>
      </c>
      <c r="D72" s="126" t="s">
        <v>197</v>
      </c>
      <c r="E72" s="126" t="s">
        <v>979</v>
      </c>
      <c r="G72" s="73">
        <v>45009.208333333336</v>
      </c>
      <c r="H72" s="73">
        <v>45009.116666666669</v>
      </c>
      <c r="I72" s="126" t="s">
        <v>243</v>
      </c>
      <c r="J72" s="126" t="s">
        <v>192</v>
      </c>
      <c r="K72" s="126" t="s">
        <v>192</v>
      </c>
      <c r="L72" s="126" t="s">
        <v>999</v>
      </c>
      <c r="M72" s="167"/>
      <c r="N72" s="126" t="s">
        <v>277</v>
      </c>
      <c r="O72" s="126" t="s">
        <v>278</v>
      </c>
      <c r="P72" s="126" t="s">
        <v>240</v>
      </c>
      <c r="Q72" s="181">
        <f>3117*2.4</f>
        <v>7480.7999999999993</v>
      </c>
      <c r="R72" s="181">
        <v>7360.7560000000003</v>
      </c>
      <c r="S72" s="181"/>
      <c r="X72" s="181">
        <f t="shared" si="21"/>
        <v>7360.7560000000003</v>
      </c>
      <c r="AW72" s="165">
        <f t="shared" si="22"/>
        <v>45001.680555555555</v>
      </c>
      <c r="AX72" s="165">
        <f t="shared" si="23"/>
        <v>45010.989583333336</v>
      </c>
      <c r="AY72" s="137">
        <f t="shared" si="24"/>
        <v>9.3090277777810115</v>
      </c>
      <c r="AZ72" s="165">
        <v>45001.680555555555</v>
      </c>
      <c r="BA72" s="165">
        <v>45002.340277777781</v>
      </c>
      <c r="BB72" s="165">
        <v>45003.979166666664</v>
      </c>
      <c r="BC72" s="165">
        <v>45006.352083333331</v>
      </c>
      <c r="BD72" s="165">
        <v>45006.541666666664</v>
      </c>
      <c r="BE72" s="165">
        <v>45006.552083333336</v>
      </c>
      <c r="BF72" s="165">
        <v>45006.552083333336</v>
      </c>
      <c r="BG72" s="165">
        <f t="shared" si="15"/>
        <v>45008.260416666672</v>
      </c>
      <c r="BH72" s="165">
        <v>45008.25</v>
      </c>
      <c r="BI72" s="165">
        <v>45008.416666666664</v>
      </c>
      <c r="BJ72" s="165">
        <v>45008.354166666664</v>
      </c>
      <c r="BK72" s="165">
        <v>45010.107638888891</v>
      </c>
      <c r="BL72" s="165">
        <v>45010.211805555555</v>
      </c>
      <c r="BM72" s="165">
        <v>45010.586805555555</v>
      </c>
      <c r="BN72" s="165">
        <v>45010.597222222219</v>
      </c>
      <c r="BO72" s="165">
        <v>45010.666666666664</v>
      </c>
      <c r="BP72" s="165">
        <v>45010.989583333336</v>
      </c>
      <c r="BS72" s="136">
        <f t="shared" si="3"/>
        <v>39.333333333197515</v>
      </c>
      <c r="BT72" s="136">
        <f t="shared" si="4"/>
        <v>4.5499999999883585</v>
      </c>
      <c r="BU72" s="136">
        <f t="shared" si="5"/>
        <v>41.000000000058208</v>
      </c>
      <c r="BV72" s="136">
        <f t="shared" si="6"/>
        <v>40.583333333430346</v>
      </c>
      <c r="BW72" s="135">
        <f t="shared" si="7"/>
        <v>9</v>
      </c>
      <c r="BX72" s="135">
        <f t="shared" si="8"/>
        <v>7.7500000001164153</v>
      </c>
      <c r="BY72" s="134">
        <f t="shared" si="9"/>
        <v>5.9256944444496185</v>
      </c>
      <c r="BZ72" s="134">
        <f t="shared" si="10"/>
        <v>9.3090277777810115</v>
      </c>
      <c r="CA72" s="133">
        <f t="shared" si="11"/>
        <v>0.63655352480451222</v>
      </c>
    </row>
    <row r="73" spans="1:79" s="126" customFormat="1">
      <c r="A73" s="192">
        <f t="shared" si="12"/>
        <v>45006.902777777781</v>
      </c>
      <c r="B73" s="126" t="s">
        <v>228</v>
      </c>
      <c r="C73" s="126" t="s">
        <v>229</v>
      </c>
      <c r="D73" s="126" t="s">
        <v>197</v>
      </c>
      <c r="E73" s="126" t="s">
        <v>979</v>
      </c>
      <c r="G73" s="73">
        <v>45009.208333333336</v>
      </c>
      <c r="H73" s="73">
        <v>45009.116666666669</v>
      </c>
      <c r="I73" s="126" t="s">
        <v>243</v>
      </c>
      <c r="J73" s="126" t="s">
        <v>192</v>
      </c>
      <c r="K73" s="126" t="s">
        <v>192</v>
      </c>
      <c r="L73" s="126" t="s">
        <v>1000</v>
      </c>
      <c r="M73" s="167"/>
      <c r="N73" s="126" t="s">
        <v>505</v>
      </c>
      <c r="O73" s="126" t="s">
        <v>506</v>
      </c>
      <c r="P73" s="126" t="s">
        <v>240</v>
      </c>
      <c r="Q73" s="181">
        <f>3071*2.4</f>
        <v>7370.4</v>
      </c>
      <c r="R73" s="181">
        <v>7547.6670000000004</v>
      </c>
      <c r="S73" s="181"/>
      <c r="X73" s="181">
        <f t="shared" si="21"/>
        <v>7547.6670000000004</v>
      </c>
      <c r="AW73" s="165">
        <f t="shared" si="22"/>
        <v>44999.923611111109</v>
      </c>
      <c r="AX73" s="165">
        <f t="shared" si="23"/>
        <v>45015.333333333336</v>
      </c>
      <c r="AY73" s="137">
        <f t="shared" si="24"/>
        <v>15.409722222226264</v>
      </c>
      <c r="AZ73" s="165">
        <v>44999.923611111109</v>
      </c>
      <c r="BA73" s="165">
        <v>45002.388888888891</v>
      </c>
      <c r="BB73" s="165">
        <v>45004.020833333336</v>
      </c>
      <c r="BC73" s="165">
        <v>45006.902777777781</v>
      </c>
      <c r="BD73" s="165">
        <v>45007.052083333336</v>
      </c>
      <c r="BE73" s="165">
        <v>45007.056944444441</v>
      </c>
      <c r="BF73" s="165">
        <v>45007.056944444441</v>
      </c>
      <c r="BG73" s="165">
        <f t="shared" si="15"/>
        <v>45008.765277777777</v>
      </c>
      <c r="BH73" s="165">
        <v>45012.25</v>
      </c>
      <c r="BI73" s="165">
        <v>45012.416666666664</v>
      </c>
      <c r="BJ73" s="165">
        <v>45012.354166666664</v>
      </c>
      <c r="BK73" s="165">
        <v>45014.451388888891</v>
      </c>
      <c r="BL73" s="165">
        <v>45014.572916666664</v>
      </c>
      <c r="BM73" s="165">
        <v>45014.861111111109</v>
      </c>
      <c r="BN73" s="165">
        <v>45014.878472222219</v>
      </c>
      <c r="BO73" s="165">
        <v>45015.173611111109</v>
      </c>
      <c r="BP73" s="165">
        <v>45015.333333333336</v>
      </c>
      <c r="BS73" s="136">
        <f t="shared" ref="BS73:BS136" si="25">(BB73-BA73)*24</f>
        <v>39.166666666686069</v>
      </c>
      <c r="BT73" s="136">
        <f t="shared" ref="BT73:BT136" si="26">(BD73-BC73)*24</f>
        <v>3.5833333333139308</v>
      </c>
      <c r="BU73" s="136">
        <f t="shared" ref="BU73:BU136" si="27">(BG73-BF73)*24</f>
        <v>41.000000000058208</v>
      </c>
      <c r="BV73" s="136">
        <f t="shared" ref="BV73:BV103" si="28">(BK73-BI73)*24</f>
        <v>48.833333333430346</v>
      </c>
      <c r="BW73" s="135">
        <f t="shared" ref="BW73:BW136" si="29">(BM73-BL73)*24</f>
        <v>6.9166666666860692</v>
      </c>
      <c r="BX73" s="135">
        <f t="shared" ref="BX73:BX136" si="30">(BP73-BO73)*24</f>
        <v>3.8333333334303461</v>
      </c>
      <c r="BY73" s="134">
        <f t="shared" ref="BY73:BY136" si="31">SUM(BS73:BX73)/24</f>
        <v>5.9722222222335404</v>
      </c>
      <c r="BZ73" s="134">
        <f t="shared" ref="BZ73:BZ136" si="32">AY73</f>
        <v>15.409722222226264</v>
      </c>
      <c r="CA73" s="133">
        <f t="shared" ref="CA73:CA136" si="33">BY73/BZ73</f>
        <v>0.38756196484966393</v>
      </c>
    </row>
    <row r="74" spans="1:79" s="126" customFormat="1">
      <c r="A74" s="192">
        <f t="shared" ref="A74:A132" si="34">BC74</f>
        <v>45007.086805555555</v>
      </c>
      <c r="B74" s="126" t="s">
        <v>228</v>
      </c>
      <c r="C74" s="126" t="s">
        <v>229</v>
      </c>
      <c r="D74" s="126" t="s">
        <v>197</v>
      </c>
      <c r="E74" s="126" t="s">
        <v>979</v>
      </c>
      <c r="G74" s="73">
        <v>45009.208333333336</v>
      </c>
      <c r="H74" s="73">
        <v>45009.116666666669</v>
      </c>
      <c r="I74" s="126" t="s">
        <v>243</v>
      </c>
      <c r="J74" s="126" t="s">
        <v>192</v>
      </c>
      <c r="K74" s="126" t="s">
        <v>192</v>
      </c>
      <c r="L74" s="126" t="s">
        <v>1001</v>
      </c>
      <c r="M74" s="167"/>
      <c r="N74" s="126" t="s">
        <v>307</v>
      </c>
      <c r="O74" s="126" t="s">
        <v>308</v>
      </c>
      <c r="P74" s="126" t="s">
        <v>235</v>
      </c>
      <c r="Q74" s="181">
        <f>3170*2.4</f>
        <v>7608</v>
      </c>
      <c r="R74" s="181">
        <v>7555.7120000000004</v>
      </c>
      <c r="S74" s="181"/>
      <c r="W74" s="181">
        <f t="shared" ref="W74:W83" si="35">R74</f>
        <v>7555.7120000000004</v>
      </c>
      <c r="AW74" s="165">
        <f t="shared" si="22"/>
        <v>44999.568055555559</v>
      </c>
      <c r="AX74" s="165">
        <f t="shared" si="23"/>
        <v>45012.486111111109</v>
      </c>
      <c r="AY74" s="137">
        <f t="shared" si="24"/>
        <v>12.918055555550382</v>
      </c>
      <c r="AZ74" s="165">
        <v>44999.568055555559</v>
      </c>
      <c r="BA74" s="165">
        <v>45001.833333333336</v>
      </c>
      <c r="BB74" s="165">
        <v>45004.270833333336</v>
      </c>
      <c r="BC74" s="165">
        <v>45007.086805555555</v>
      </c>
      <c r="BD74" s="165">
        <v>45007.222222222219</v>
      </c>
      <c r="BE74" s="165">
        <v>45007.225694444445</v>
      </c>
      <c r="BF74" s="165">
        <v>45007.225694444445</v>
      </c>
      <c r="BG74" s="165">
        <f t="shared" ref="BG74:BG103" si="36">BF74+(41/24)</f>
        <v>45008.934027777781</v>
      </c>
      <c r="BH74" s="165">
        <v>45009.25</v>
      </c>
      <c r="BI74" s="165">
        <v>45009.416666666664</v>
      </c>
      <c r="BJ74" s="165">
        <v>45009.354166666664</v>
      </c>
      <c r="BK74" s="165">
        <v>45011.604166666664</v>
      </c>
      <c r="BL74" s="165">
        <v>45011.690972222219</v>
      </c>
      <c r="BM74" s="165">
        <v>45011.996527777781</v>
      </c>
      <c r="BN74" s="165">
        <v>45012.010416666664</v>
      </c>
      <c r="BO74" s="165">
        <v>45012.013888888891</v>
      </c>
      <c r="BP74" s="165">
        <v>45012.486111111109</v>
      </c>
      <c r="BS74" s="136">
        <f t="shared" si="25"/>
        <v>58.5</v>
      </c>
      <c r="BT74" s="136">
        <f t="shared" si="26"/>
        <v>3.2499999999417923</v>
      </c>
      <c r="BU74" s="136">
        <f t="shared" si="27"/>
        <v>41.000000000058208</v>
      </c>
      <c r="BV74" s="136">
        <f t="shared" si="28"/>
        <v>52.5</v>
      </c>
      <c r="BW74" s="135">
        <f t="shared" si="29"/>
        <v>7.3333333334885538</v>
      </c>
      <c r="BX74" s="135">
        <f t="shared" si="30"/>
        <v>11.333333333255723</v>
      </c>
      <c r="BY74" s="134">
        <f t="shared" si="31"/>
        <v>7.2465277777810115</v>
      </c>
      <c r="BZ74" s="134">
        <f t="shared" si="32"/>
        <v>12.918055555550382</v>
      </c>
      <c r="CA74" s="133">
        <f t="shared" si="33"/>
        <v>0.56096118696961816</v>
      </c>
    </row>
    <row r="75" spans="1:79" s="126" customFormat="1">
      <c r="A75" s="192">
        <f t="shared" si="34"/>
        <v>45007.333333333336</v>
      </c>
      <c r="B75" s="126" t="s">
        <v>228</v>
      </c>
      <c r="C75" s="126" t="s">
        <v>229</v>
      </c>
      <c r="D75" s="126" t="s">
        <v>197</v>
      </c>
      <c r="E75" s="126" t="s">
        <v>979</v>
      </c>
      <c r="G75" s="73">
        <v>45009.208333333336</v>
      </c>
      <c r="H75" s="73">
        <v>45009.116666666669</v>
      </c>
      <c r="I75" s="126" t="s">
        <v>243</v>
      </c>
      <c r="J75" s="126" t="s">
        <v>192</v>
      </c>
      <c r="K75" s="126" t="s">
        <v>192</v>
      </c>
      <c r="L75" s="126" t="s">
        <v>1002</v>
      </c>
      <c r="M75" s="167"/>
      <c r="N75" s="126" t="s">
        <v>437</v>
      </c>
      <c r="O75" s="126" t="s">
        <v>320</v>
      </c>
      <c r="P75" s="126" t="s">
        <v>235</v>
      </c>
      <c r="Q75" s="181">
        <f>3136*2.4</f>
        <v>7526.4</v>
      </c>
      <c r="R75" s="181">
        <v>7508.5280000000002</v>
      </c>
      <c r="S75" s="181"/>
      <c r="W75" s="181">
        <f t="shared" si="35"/>
        <v>7508.5280000000002</v>
      </c>
      <c r="AW75" s="165">
        <f t="shared" si="22"/>
        <v>45001.790277777778</v>
      </c>
      <c r="AX75" s="165">
        <f t="shared" si="23"/>
        <v>45012.447916666664</v>
      </c>
      <c r="AY75" s="137">
        <f t="shared" si="24"/>
        <v>10.65763888888614</v>
      </c>
      <c r="AZ75" s="165">
        <v>45001.790277777778</v>
      </c>
      <c r="BA75" s="165">
        <v>45002.829861111109</v>
      </c>
      <c r="BB75" s="165">
        <v>45004.513888888891</v>
      </c>
      <c r="BC75" s="165">
        <v>45007.333333333336</v>
      </c>
      <c r="BD75" s="165">
        <v>45007.477083333331</v>
      </c>
      <c r="BE75" s="165">
        <v>45007.479166666664</v>
      </c>
      <c r="BF75" s="165">
        <v>45007.479166666664</v>
      </c>
      <c r="BG75" s="165">
        <f t="shared" si="36"/>
        <v>45009.1875</v>
      </c>
      <c r="BH75" s="165">
        <v>45009.25</v>
      </c>
      <c r="BI75" s="165">
        <v>45009.416666666664</v>
      </c>
      <c r="BJ75" s="165">
        <v>45009.315972222219</v>
      </c>
      <c r="BK75" s="165">
        <v>45011.0625</v>
      </c>
      <c r="BL75" s="165">
        <v>45011.236111111109</v>
      </c>
      <c r="BM75" s="165">
        <v>45011.472222222219</v>
      </c>
      <c r="BN75" s="165">
        <v>45011.496527777781</v>
      </c>
      <c r="BO75" s="165">
        <v>45011.75</v>
      </c>
      <c r="BP75" s="165">
        <v>45012.447916666664</v>
      </c>
      <c r="BS75" s="136">
        <f t="shared" si="25"/>
        <v>40.416666666744277</v>
      </c>
      <c r="BT75" s="136">
        <f t="shared" si="26"/>
        <v>3.4499999998952262</v>
      </c>
      <c r="BU75" s="136">
        <f t="shared" si="27"/>
        <v>41.000000000058208</v>
      </c>
      <c r="BV75" s="136">
        <f t="shared" si="28"/>
        <v>39.500000000058208</v>
      </c>
      <c r="BW75" s="135">
        <f t="shared" si="29"/>
        <v>5.6666666666278616</v>
      </c>
      <c r="BX75" s="135">
        <f t="shared" si="30"/>
        <v>16.749999999941792</v>
      </c>
      <c r="BY75" s="134">
        <f t="shared" si="31"/>
        <v>6.1159722222218988</v>
      </c>
      <c r="BZ75" s="134">
        <f t="shared" si="32"/>
        <v>10.65763888888614</v>
      </c>
      <c r="CA75" s="133">
        <f t="shared" si="33"/>
        <v>0.57385808301308439</v>
      </c>
    </row>
    <row r="76" spans="1:79" s="126" customFormat="1">
      <c r="A76" s="192">
        <f t="shared" si="34"/>
        <v>45007.501388888886</v>
      </c>
      <c r="B76" s="126" t="s">
        <v>228</v>
      </c>
      <c r="C76" s="126" t="s">
        <v>229</v>
      </c>
      <c r="D76" s="126" t="s">
        <v>215</v>
      </c>
      <c r="E76" s="126" t="s">
        <v>979</v>
      </c>
      <c r="G76" s="73">
        <v>45009.208333333336</v>
      </c>
      <c r="H76" s="73">
        <v>45009.116666666669</v>
      </c>
      <c r="I76" s="126" t="s">
        <v>243</v>
      </c>
      <c r="J76" s="126" t="s">
        <v>192</v>
      </c>
      <c r="K76" s="126" t="s">
        <v>192</v>
      </c>
      <c r="L76" s="126" t="s">
        <v>1003</v>
      </c>
      <c r="M76" s="167"/>
      <c r="N76" s="126" t="s">
        <v>222</v>
      </c>
      <c r="O76" s="126" t="s">
        <v>223</v>
      </c>
      <c r="P76" s="126" t="s">
        <v>235</v>
      </c>
      <c r="Q76" s="181">
        <f>3137*2.4</f>
        <v>7528.7999999999993</v>
      </c>
      <c r="R76" s="181">
        <v>7525.3720000000003</v>
      </c>
      <c r="S76" s="181"/>
      <c r="W76" s="181">
        <f t="shared" si="35"/>
        <v>7525.3720000000003</v>
      </c>
      <c r="AW76" s="165">
        <f t="shared" si="22"/>
        <v>45001.482638888891</v>
      </c>
      <c r="AX76" s="165">
        <f t="shared" si="23"/>
        <v>45013.472222222219</v>
      </c>
      <c r="AY76" s="137">
        <f t="shared" si="24"/>
        <v>11.989583333328483</v>
      </c>
      <c r="AZ76" s="165">
        <v>45001.482638888891</v>
      </c>
      <c r="BA76" s="165">
        <v>45002.395833333336</v>
      </c>
      <c r="BB76" s="165">
        <v>45004.770833333336</v>
      </c>
      <c r="BC76" s="165">
        <v>45007.501388888886</v>
      </c>
      <c r="BD76" s="165">
        <v>45007.650694444441</v>
      </c>
      <c r="BE76" s="165">
        <v>45007.65625</v>
      </c>
      <c r="BF76" s="165">
        <v>45007.65625</v>
      </c>
      <c r="BG76" s="165">
        <f t="shared" si="36"/>
        <v>45009.364583333336</v>
      </c>
      <c r="BH76" s="165">
        <v>45009.25</v>
      </c>
      <c r="BI76" s="165">
        <v>45009.416666666664</v>
      </c>
      <c r="BJ76" s="165">
        <v>45009.28125</v>
      </c>
      <c r="BK76" s="165">
        <v>45012.055555555555</v>
      </c>
      <c r="BL76" s="165">
        <v>45012.138888888891</v>
      </c>
      <c r="BM76" s="165">
        <v>45012.5</v>
      </c>
      <c r="BN76" s="165">
        <v>45012.517361111109</v>
      </c>
      <c r="BO76" s="165">
        <v>45012.90625</v>
      </c>
      <c r="BP76" s="165">
        <v>45013.472222222219</v>
      </c>
      <c r="BS76" s="136">
        <f t="shared" si="25"/>
        <v>57</v>
      </c>
      <c r="BT76" s="136">
        <f t="shared" si="26"/>
        <v>3.5833333333139308</v>
      </c>
      <c r="BU76" s="136">
        <f t="shared" si="27"/>
        <v>41.000000000058208</v>
      </c>
      <c r="BV76" s="136">
        <f t="shared" si="28"/>
        <v>63.333333333372138</v>
      </c>
      <c r="BW76" s="135">
        <f t="shared" si="29"/>
        <v>8.6666666666278616</v>
      </c>
      <c r="BX76" s="135">
        <f t="shared" si="30"/>
        <v>13.583333333255723</v>
      </c>
      <c r="BY76" s="134">
        <f t="shared" si="31"/>
        <v>7.7986111111094942</v>
      </c>
      <c r="BZ76" s="134">
        <f t="shared" si="32"/>
        <v>11.989583333328483</v>
      </c>
      <c r="CA76" s="133">
        <f t="shared" si="33"/>
        <v>0.65044888502764064</v>
      </c>
    </row>
    <row r="77" spans="1:79" s="126" customFormat="1">
      <c r="A77" s="192">
        <f t="shared" si="34"/>
        <v>45007.684027777781</v>
      </c>
      <c r="B77" s="126" t="s">
        <v>228</v>
      </c>
      <c r="C77" s="126" t="s">
        <v>229</v>
      </c>
      <c r="D77" s="126" t="s">
        <v>197</v>
      </c>
      <c r="E77" s="126" t="s">
        <v>979</v>
      </c>
      <c r="G77" s="73">
        <v>45009.208333333336</v>
      </c>
      <c r="H77" s="73">
        <v>45009.116666666669</v>
      </c>
      <c r="I77" s="126" t="s">
        <v>243</v>
      </c>
      <c r="J77" s="126" t="s">
        <v>192</v>
      </c>
      <c r="K77" s="126" t="s">
        <v>192</v>
      </c>
      <c r="L77" s="126" t="s">
        <v>1004</v>
      </c>
      <c r="M77" s="167"/>
      <c r="N77" s="126" t="s">
        <v>492</v>
      </c>
      <c r="O77" s="126" t="s">
        <v>493</v>
      </c>
      <c r="P77" s="126" t="s">
        <v>235</v>
      </c>
      <c r="Q77" s="181">
        <f>3152*2.4</f>
        <v>7564.7999999999993</v>
      </c>
      <c r="R77" s="181">
        <v>7506.0749999999998</v>
      </c>
      <c r="S77" s="181"/>
      <c r="W77" s="181">
        <f t="shared" si="35"/>
        <v>7506.0749999999998</v>
      </c>
      <c r="AW77" s="165">
        <f t="shared" si="22"/>
        <v>45001.458333333336</v>
      </c>
      <c r="AX77" s="165">
        <f t="shared" si="23"/>
        <v>45013.256944444445</v>
      </c>
      <c r="AY77" s="137">
        <f t="shared" si="24"/>
        <v>11.798611111109494</v>
      </c>
      <c r="AZ77" s="165">
        <v>45001.458333333336</v>
      </c>
      <c r="BA77" s="165">
        <v>45002.829861111109</v>
      </c>
      <c r="BB77" s="165">
        <v>45004.791666666664</v>
      </c>
      <c r="BC77" s="165">
        <v>45007.684027777781</v>
      </c>
      <c r="BD77" s="165">
        <v>45007.899305555555</v>
      </c>
      <c r="BE77" s="165">
        <v>45007.90625</v>
      </c>
      <c r="BF77" s="165">
        <v>45008.291666666664</v>
      </c>
      <c r="BG77" s="165">
        <f t="shared" si="36"/>
        <v>45010</v>
      </c>
      <c r="BH77" s="165">
        <v>45010.25</v>
      </c>
      <c r="BI77" s="165">
        <v>45010.416666666664</v>
      </c>
      <c r="BJ77" s="165">
        <v>45010.295138888891</v>
      </c>
      <c r="BK77" s="165">
        <v>45011.916666666664</v>
      </c>
      <c r="BL77" s="165">
        <v>45011.986111111109</v>
      </c>
      <c r="BM77" s="165">
        <v>45013.239583333336</v>
      </c>
      <c r="BN77" s="165">
        <v>45013.256944444445</v>
      </c>
      <c r="BO77" s="165">
        <v>45013.256944444445</v>
      </c>
      <c r="BP77" s="165">
        <v>45013.256944444445</v>
      </c>
      <c r="BS77" s="136">
        <f t="shared" si="25"/>
        <v>47.083333333313931</v>
      </c>
      <c r="BT77" s="136">
        <f t="shared" si="26"/>
        <v>5.1666666665696539</v>
      </c>
      <c r="BU77" s="136">
        <f t="shared" si="27"/>
        <v>41.000000000058208</v>
      </c>
      <c r="BV77" s="136">
        <f t="shared" si="28"/>
        <v>36</v>
      </c>
      <c r="BW77" s="135">
        <f t="shared" si="29"/>
        <v>30.083333333430346</v>
      </c>
      <c r="BX77" s="135">
        <f t="shared" si="30"/>
        <v>0</v>
      </c>
      <c r="BY77" s="134">
        <f t="shared" si="31"/>
        <v>6.6388888888905058</v>
      </c>
      <c r="BZ77" s="134">
        <f t="shared" si="32"/>
        <v>11.798611111109494</v>
      </c>
      <c r="CA77" s="133">
        <f t="shared" si="33"/>
        <v>0.56268393172475795</v>
      </c>
    </row>
    <row r="78" spans="1:79" s="126" customFormat="1">
      <c r="A78" s="192">
        <f t="shared" si="34"/>
        <v>45007.930555555555</v>
      </c>
      <c r="B78" s="126" t="s">
        <v>228</v>
      </c>
      <c r="C78" s="126" t="s">
        <v>229</v>
      </c>
      <c r="D78" s="126" t="s">
        <v>215</v>
      </c>
      <c r="E78" s="126" t="s">
        <v>979</v>
      </c>
      <c r="G78" s="73">
        <v>45009.208333333336</v>
      </c>
      <c r="H78" s="73">
        <v>45009.116666666669</v>
      </c>
      <c r="I78" s="126" t="s">
        <v>243</v>
      </c>
      <c r="J78" s="126" t="s">
        <v>192</v>
      </c>
      <c r="K78" s="126" t="s">
        <v>192</v>
      </c>
      <c r="L78" s="126" t="s">
        <v>1005</v>
      </c>
      <c r="M78" s="167"/>
      <c r="N78" s="126" t="s">
        <v>271</v>
      </c>
      <c r="O78" s="126" t="s">
        <v>272</v>
      </c>
      <c r="P78" s="126" t="s">
        <v>235</v>
      </c>
      <c r="Q78" s="181">
        <f>3852*2.4</f>
        <v>9244.7999999999993</v>
      </c>
      <c r="R78" s="181">
        <v>9290.598</v>
      </c>
      <c r="S78" s="181"/>
      <c r="W78" s="181">
        <f t="shared" si="35"/>
        <v>9290.598</v>
      </c>
      <c r="AW78" s="165">
        <f t="shared" si="22"/>
        <v>45001.934027777781</v>
      </c>
      <c r="AX78" s="165">
        <f t="shared" si="23"/>
        <v>45013.409722222219</v>
      </c>
      <c r="AY78" s="137">
        <f t="shared" si="24"/>
        <v>11.475694444437977</v>
      </c>
      <c r="AZ78" s="165">
        <v>45001.934027777781</v>
      </c>
      <c r="BA78" s="165">
        <v>45003.350694444445</v>
      </c>
      <c r="BB78" s="165">
        <v>45005.395833333336</v>
      </c>
      <c r="BC78" s="165">
        <v>45007.930555555555</v>
      </c>
      <c r="BD78" s="165">
        <v>45008.09375</v>
      </c>
      <c r="BE78" s="165">
        <v>45008.100694444445</v>
      </c>
      <c r="BF78" s="165">
        <v>45008.100694444445</v>
      </c>
      <c r="BG78" s="165">
        <f t="shared" si="36"/>
        <v>45009.809027777781</v>
      </c>
      <c r="BH78" s="165">
        <v>45010.25</v>
      </c>
      <c r="BI78" s="165">
        <v>45010.416666666664</v>
      </c>
      <c r="BJ78" s="165">
        <v>45010.291666666664</v>
      </c>
      <c r="BK78" s="165">
        <v>45012.347222222219</v>
      </c>
      <c r="BL78" s="165">
        <v>45012.565972222219</v>
      </c>
      <c r="BM78" s="165">
        <v>45013.055555555555</v>
      </c>
      <c r="BN78" s="165">
        <v>45013.0625</v>
      </c>
      <c r="BO78" s="165">
        <v>45013.065972222219</v>
      </c>
      <c r="BP78" s="165">
        <v>45013.409722222219</v>
      </c>
      <c r="BS78" s="136">
        <f t="shared" si="25"/>
        <v>49.083333333372138</v>
      </c>
      <c r="BT78" s="136">
        <f t="shared" si="26"/>
        <v>3.9166666666860692</v>
      </c>
      <c r="BU78" s="136">
        <f t="shared" si="27"/>
        <v>41.000000000058208</v>
      </c>
      <c r="BV78" s="136">
        <f t="shared" si="28"/>
        <v>46.333333333313931</v>
      </c>
      <c r="BW78" s="135">
        <f t="shared" si="29"/>
        <v>11.750000000058208</v>
      </c>
      <c r="BX78" s="135">
        <f t="shared" si="30"/>
        <v>8.25</v>
      </c>
      <c r="BY78" s="134">
        <f t="shared" si="31"/>
        <v>6.6805555555620231</v>
      </c>
      <c r="BZ78" s="134">
        <f t="shared" si="32"/>
        <v>11.475694444437977</v>
      </c>
      <c r="CA78" s="133">
        <f t="shared" si="33"/>
        <v>0.58214826021269195</v>
      </c>
    </row>
    <row r="79" spans="1:79" s="126" customFormat="1">
      <c r="A79" s="192">
        <f t="shared" si="34"/>
        <v>45008.425694444442</v>
      </c>
      <c r="B79" s="126" t="s">
        <v>228</v>
      </c>
      <c r="C79" s="126" t="s">
        <v>229</v>
      </c>
      <c r="D79" s="126" t="s">
        <v>197</v>
      </c>
      <c r="E79" s="126" t="s">
        <v>986</v>
      </c>
      <c r="G79" s="73">
        <v>45011.125</v>
      </c>
      <c r="H79" s="73">
        <v>45011.091666666667</v>
      </c>
      <c r="I79" s="126" t="s">
        <v>243</v>
      </c>
      <c r="J79" s="126" t="s">
        <v>192</v>
      </c>
      <c r="K79" s="126" t="s">
        <v>192</v>
      </c>
      <c r="L79" s="126" t="s">
        <v>1006</v>
      </c>
      <c r="M79" s="167"/>
      <c r="N79" s="126" t="s">
        <v>380</v>
      </c>
      <c r="O79" s="126" t="s">
        <v>381</v>
      </c>
      <c r="P79" s="126" t="s">
        <v>235</v>
      </c>
      <c r="Q79" s="181">
        <f>3271*2.4</f>
        <v>7850.4</v>
      </c>
      <c r="R79" s="181">
        <v>7765.91</v>
      </c>
      <c r="S79" s="181"/>
      <c r="W79" s="181">
        <f t="shared" si="35"/>
        <v>7765.91</v>
      </c>
      <c r="Y79" s="219"/>
      <c r="AW79" s="165">
        <f t="shared" si="22"/>
        <v>45002.166666666664</v>
      </c>
      <c r="AX79" s="165">
        <f t="shared" si="23"/>
        <v>45014.854166666664</v>
      </c>
      <c r="AY79" s="137">
        <f t="shared" si="24"/>
        <v>12.6875</v>
      </c>
      <c r="AZ79" s="165">
        <v>45002.166666666664</v>
      </c>
      <c r="BA79" s="165">
        <v>45002.809027777781</v>
      </c>
      <c r="BB79" s="165">
        <v>45004.930555555555</v>
      </c>
      <c r="BC79" s="165">
        <v>45008.425694444442</v>
      </c>
      <c r="BD79" s="165">
        <v>45008.546527777777</v>
      </c>
      <c r="BE79" s="165">
        <v>45008.552083333336</v>
      </c>
      <c r="BF79" s="165">
        <v>45008.552083333336</v>
      </c>
      <c r="BG79" s="165">
        <f t="shared" si="36"/>
        <v>45010.260416666672</v>
      </c>
      <c r="BH79" s="165">
        <v>45010.25</v>
      </c>
      <c r="BI79" s="165">
        <v>45010.416666666664</v>
      </c>
      <c r="BJ79" s="165">
        <v>45010.3125</v>
      </c>
      <c r="BK79" s="165">
        <v>45012.375</v>
      </c>
      <c r="BL79" s="165">
        <v>45014.104166666664</v>
      </c>
      <c r="BM79" s="165">
        <v>45014.361111111109</v>
      </c>
      <c r="BN79" s="165">
        <v>45014.375</v>
      </c>
      <c r="BO79" s="165">
        <v>45014.378472222219</v>
      </c>
      <c r="BP79" s="165">
        <v>45014.854166666664</v>
      </c>
      <c r="BS79" s="136">
        <f t="shared" si="25"/>
        <v>50.916666666569654</v>
      </c>
      <c r="BT79" s="136">
        <f t="shared" si="26"/>
        <v>2.9000000000232831</v>
      </c>
      <c r="BU79" s="136">
        <f t="shared" si="27"/>
        <v>41.000000000058208</v>
      </c>
      <c r="BV79" s="136">
        <f t="shared" si="28"/>
        <v>47.000000000058208</v>
      </c>
      <c r="BW79" s="135">
        <f t="shared" si="29"/>
        <v>6.1666666666860692</v>
      </c>
      <c r="BX79" s="135">
        <f t="shared" si="30"/>
        <v>11.416666666686069</v>
      </c>
      <c r="BY79" s="134">
        <f t="shared" si="31"/>
        <v>6.6416666666700621</v>
      </c>
      <c r="BZ79" s="134">
        <f t="shared" si="32"/>
        <v>12.6875</v>
      </c>
      <c r="CA79" s="133">
        <f t="shared" si="33"/>
        <v>0.52348111658483243</v>
      </c>
    </row>
    <row r="80" spans="1:79" s="126" customFormat="1">
      <c r="A80" s="192">
        <f t="shared" si="34"/>
        <v>45008.571527777778</v>
      </c>
      <c r="B80" s="126" t="s">
        <v>228</v>
      </c>
      <c r="C80" s="126" t="s">
        <v>229</v>
      </c>
      <c r="D80" s="126" t="s">
        <v>215</v>
      </c>
      <c r="E80" s="126" t="s">
        <v>986</v>
      </c>
      <c r="G80" s="73">
        <v>45011.125</v>
      </c>
      <c r="H80" s="73">
        <v>45011.091666666667</v>
      </c>
      <c r="I80" s="126" t="s">
        <v>243</v>
      </c>
      <c r="J80" s="126" t="s">
        <v>192</v>
      </c>
      <c r="K80" s="126" t="s">
        <v>192</v>
      </c>
      <c r="L80" s="126" t="s">
        <v>1007</v>
      </c>
      <c r="M80" s="167"/>
      <c r="N80" s="126" t="s">
        <v>721</v>
      </c>
      <c r="O80" s="126" t="s">
        <v>722</v>
      </c>
      <c r="P80" s="126" t="s">
        <v>235</v>
      </c>
      <c r="Q80" s="181">
        <v>7500</v>
      </c>
      <c r="R80" s="181">
        <v>7665.7380000000003</v>
      </c>
      <c r="S80" s="181"/>
      <c r="W80" s="181">
        <f t="shared" si="35"/>
        <v>7665.7380000000003</v>
      </c>
      <c r="AW80" s="165">
        <f t="shared" si="22"/>
        <v>45003</v>
      </c>
      <c r="AX80" s="165">
        <f t="shared" si="23"/>
        <v>45014.868055555555</v>
      </c>
      <c r="AY80" s="137">
        <f t="shared" si="24"/>
        <v>11.868055555554747</v>
      </c>
      <c r="AZ80" s="165">
        <v>45003</v>
      </c>
      <c r="BA80" s="165">
        <v>45003.822916666664</v>
      </c>
      <c r="BB80" s="165">
        <v>45005.625</v>
      </c>
      <c r="BC80" s="165">
        <v>45008.571527777778</v>
      </c>
      <c r="BD80" s="165">
        <v>45008.697916666664</v>
      </c>
      <c r="BE80" s="165">
        <v>45008.704861111109</v>
      </c>
      <c r="BF80" s="165">
        <v>45008.704861111109</v>
      </c>
      <c r="BG80" s="165">
        <f t="shared" si="36"/>
        <v>45010.413194444445</v>
      </c>
      <c r="BH80" s="165">
        <v>45010.25</v>
      </c>
      <c r="BI80" s="165">
        <v>45010.416666666664</v>
      </c>
      <c r="BJ80" s="165">
        <v>45010.288194444445</v>
      </c>
      <c r="BK80" s="165">
        <v>45012.229166666664</v>
      </c>
      <c r="BL80" s="165">
        <v>45013.374305555553</v>
      </c>
      <c r="BM80" s="165">
        <v>45014.479166666664</v>
      </c>
      <c r="BN80" s="165">
        <v>45014.493055555555</v>
      </c>
      <c r="BO80" s="165">
        <v>45014.496527777781</v>
      </c>
      <c r="BP80" s="165">
        <v>45014.868055555555</v>
      </c>
      <c r="BS80" s="136">
        <f t="shared" si="25"/>
        <v>43.250000000058208</v>
      </c>
      <c r="BT80" s="136">
        <f t="shared" si="26"/>
        <v>3.0333333332673647</v>
      </c>
      <c r="BU80" s="136">
        <f t="shared" si="27"/>
        <v>41.000000000058208</v>
      </c>
      <c r="BV80" s="136">
        <f t="shared" si="28"/>
        <v>43.5</v>
      </c>
      <c r="BW80" s="135">
        <f t="shared" si="29"/>
        <v>26.516666666662786</v>
      </c>
      <c r="BX80" s="135">
        <f t="shared" si="30"/>
        <v>8.9166666665696539</v>
      </c>
      <c r="BY80" s="134">
        <f t="shared" si="31"/>
        <v>6.9256944444423425</v>
      </c>
      <c r="BZ80" s="134">
        <f t="shared" si="32"/>
        <v>11.868055555554747</v>
      </c>
      <c r="CA80" s="133">
        <f t="shared" si="33"/>
        <v>0.58355763604433308</v>
      </c>
    </row>
    <row r="81" spans="1:79" s="126" customFormat="1">
      <c r="A81" s="192">
        <f t="shared" si="34"/>
        <v>45008.725694444445</v>
      </c>
      <c r="B81" s="126" t="s">
        <v>228</v>
      </c>
      <c r="C81" s="126" t="s">
        <v>229</v>
      </c>
      <c r="D81" s="126" t="s">
        <v>215</v>
      </c>
      <c r="E81" s="126" t="s">
        <v>986</v>
      </c>
      <c r="G81" s="73">
        <v>45011.125</v>
      </c>
      <c r="H81" s="73">
        <v>45011.091666666667</v>
      </c>
      <c r="I81" s="126" t="s">
        <v>243</v>
      </c>
      <c r="J81" s="126" t="s">
        <v>192</v>
      </c>
      <c r="K81" s="126" t="s">
        <v>192</v>
      </c>
      <c r="L81" s="126" t="s">
        <v>1008</v>
      </c>
      <c r="M81" s="167"/>
      <c r="N81" s="126" t="s">
        <v>352</v>
      </c>
      <c r="O81" s="126" t="s">
        <v>353</v>
      </c>
      <c r="P81" s="126" t="s">
        <v>235</v>
      </c>
      <c r="Q81" s="181">
        <f>3852*2.4</f>
        <v>9244.7999999999993</v>
      </c>
      <c r="R81" s="181">
        <v>9219.4709999999995</v>
      </c>
      <c r="S81" s="181"/>
      <c r="W81" s="181">
        <f t="shared" si="35"/>
        <v>9219.4709999999995</v>
      </c>
      <c r="AW81" s="165">
        <f t="shared" si="22"/>
        <v>45002.541666666664</v>
      </c>
      <c r="AX81" s="165">
        <f t="shared" si="23"/>
        <v>45014.5</v>
      </c>
      <c r="AY81" s="137">
        <f t="shared" si="24"/>
        <v>11.958333333335759</v>
      </c>
      <c r="AZ81" s="165">
        <v>45002.541666666664</v>
      </c>
      <c r="BA81" s="165">
        <v>45003.819444444445</v>
      </c>
      <c r="BB81" s="165">
        <v>45005.75</v>
      </c>
      <c r="BC81" s="165">
        <v>45008.725694444445</v>
      </c>
      <c r="BD81" s="165">
        <v>45008.982638888891</v>
      </c>
      <c r="BE81" s="165">
        <v>45008.996527777781</v>
      </c>
      <c r="BF81" s="165">
        <v>45008.996527777781</v>
      </c>
      <c r="BG81" s="165">
        <f t="shared" si="36"/>
        <v>45010.704861111117</v>
      </c>
      <c r="BH81" s="165">
        <v>45011.25</v>
      </c>
      <c r="BI81" s="165">
        <v>45011.416666666664</v>
      </c>
      <c r="BJ81" s="165">
        <v>45011.326388888891</v>
      </c>
      <c r="BK81" s="165">
        <v>45012.875</v>
      </c>
      <c r="BL81" s="165">
        <v>45013.645833333336</v>
      </c>
      <c r="BM81" s="165">
        <v>45014.020833333336</v>
      </c>
      <c r="BN81" s="165">
        <v>45014.034722222219</v>
      </c>
      <c r="BO81" s="165">
        <v>45014.038194444445</v>
      </c>
      <c r="BP81" s="165">
        <v>45014.5</v>
      </c>
      <c r="BS81" s="136">
        <f t="shared" si="25"/>
        <v>46.333333333313931</v>
      </c>
      <c r="BT81" s="136">
        <f t="shared" si="26"/>
        <v>6.1666666666860692</v>
      </c>
      <c r="BU81" s="136">
        <f t="shared" si="27"/>
        <v>41.000000000058208</v>
      </c>
      <c r="BV81" s="136">
        <f t="shared" si="28"/>
        <v>35.000000000058208</v>
      </c>
      <c r="BW81" s="135">
        <f t="shared" si="29"/>
        <v>9</v>
      </c>
      <c r="BX81" s="135">
        <f t="shared" si="30"/>
        <v>11.083333333313931</v>
      </c>
      <c r="BY81" s="134">
        <f t="shared" si="31"/>
        <v>6.1909722222262644</v>
      </c>
      <c r="BZ81" s="134">
        <f t="shared" si="32"/>
        <v>11.958333333335759</v>
      </c>
      <c r="CA81" s="133">
        <f t="shared" si="33"/>
        <v>0.51771196283414711</v>
      </c>
    </row>
    <row r="82" spans="1:79" s="126" customFormat="1">
      <c r="A82" s="192">
        <f t="shared" si="34"/>
        <v>45009.024305555555</v>
      </c>
      <c r="B82" s="126" t="s">
        <v>228</v>
      </c>
      <c r="C82" s="126" t="s">
        <v>229</v>
      </c>
      <c r="D82" s="126" t="s">
        <v>197</v>
      </c>
      <c r="E82" s="126" t="s">
        <v>986</v>
      </c>
      <c r="G82" s="73">
        <v>45011.125</v>
      </c>
      <c r="H82" s="73">
        <v>45011.091666666667</v>
      </c>
      <c r="I82" s="126" t="s">
        <v>243</v>
      </c>
      <c r="J82" s="126" t="s">
        <v>192</v>
      </c>
      <c r="K82" s="126" t="s">
        <v>192</v>
      </c>
      <c r="L82" s="126" t="s">
        <v>1009</v>
      </c>
      <c r="M82" s="167"/>
      <c r="N82" s="126" t="s">
        <v>246</v>
      </c>
      <c r="O82" s="126" t="s">
        <v>247</v>
      </c>
      <c r="P82" s="126" t="s">
        <v>235</v>
      </c>
      <c r="Q82" s="181">
        <f>3136*2.4</f>
        <v>7526.4</v>
      </c>
      <c r="R82" s="181">
        <v>7503.5720000000001</v>
      </c>
      <c r="S82" s="181"/>
      <c r="W82" s="181">
        <f t="shared" si="35"/>
        <v>7503.5720000000001</v>
      </c>
      <c r="AW82" s="165">
        <f t="shared" si="22"/>
        <v>45001.135416666664</v>
      </c>
      <c r="AX82" s="165">
        <f t="shared" si="23"/>
        <v>45017.0625</v>
      </c>
      <c r="AY82" s="137">
        <f t="shared" si="24"/>
        <v>15.927083333335759</v>
      </c>
      <c r="AZ82" s="165">
        <v>45001.135416666664</v>
      </c>
      <c r="BA82" s="165">
        <v>45003.881944444445</v>
      </c>
      <c r="BB82" s="165">
        <v>45006.052083333336</v>
      </c>
      <c r="BC82" s="165">
        <v>45009.024305555555</v>
      </c>
      <c r="BD82" s="165">
        <v>45009.170138888891</v>
      </c>
      <c r="BE82" s="165">
        <v>45009.184027777781</v>
      </c>
      <c r="BF82" s="165">
        <v>45009.253472222219</v>
      </c>
      <c r="BG82" s="165">
        <f t="shared" si="36"/>
        <v>45010.961805555555</v>
      </c>
      <c r="BH82" s="165">
        <v>45011.25</v>
      </c>
      <c r="BI82" s="165">
        <v>45011.416666666664</v>
      </c>
      <c r="BJ82" s="165">
        <v>45011.375</v>
      </c>
      <c r="BK82" s="165">
        <v>45013.277777777781</v>
      </c>
      <c r="BL82" s="165">
        <v>45014.458333333336</v>
      </c>
      <c r="BM82" s="165">
        <v>45016.260416666664</v>
      </c>
      <c r="BN82" s="165">
        <v>45016.305555555555</v>
      </c>
      <c r="BO82" s="165">
        <v>45016.475694444445</v>
      </c>
      <c r="BP82" s="165">
        <v>45017.0625</v>
      </c>
      <c r="BS82" s="136">
        <f t="shared" si="25"/>
        <v>52.083333333372138</v>
      </c>
      <c r="BT82" s="136">
        <f t="shared" si="26"/>
        <v>3.5000000000582077</v>
      </c>
      <c r="BU82" s="136">
        <f t="shared" si="27"/>
        <v>41.000000000058208</v>
      </c>
      <c r="BV82" s="136">
        <f t="shared" si="28"/>
        <v>44.666666666802485</v>
      </c>
      <c r="BW82" s="135">
        <f t="shared" si="29"/>
        <v>43.249999999883585</v>
      </c>
      <c r="BX82" s="135">
        <f t="shared" si="30"/>
        <v>14.083333333313931</v>
      </c>
      <c r="BY82" s="134">
        <f t="shared" si="31"/>
        <v>8.2743055555620231</v>
      </c>
      <c r="BZ82" s="134">
        <f t="shared" si="32"/>
        <v>15.927083333335759</v>
      </c>
      <c r="CA82" s="133">
        <f t="shared" si="33"/>
        <v>0.51951166339688248</v>
      </c>
    </row>
    <row r="83" spans="1:79" s="126" customFormat="1">
      <c r="A83" s="192">
        <f t="shared" si="34"/>
        <v>45009.211805555555</v>
      </c>
      <c r="B83" s="126" t="s">
        <v>228</v>
      </c>
      <c r="C83" s="126" t="s">
        <v>229</v>
      </c>
      <c r="D83" s="126" t="s">
        <v>197</v>
      </c>
      <c r="E83" s="126" t="s">
        <v>986</v>
      </c>
      <c r="G83" s="73">
        <v>45011.125</v>
      </c>
      <c r="H83" s="73">
        <v>45011.091666666667</v>
      </c>
      <c r="I83" s="126" t="s">
        <v>243</v>
      </c>
      <c r="J83" s="126" t="s">
        <v>192</v>
      </c>
      <c r="K83" s="126" t="s">
        <v>192</v>
      </c>
      <c r="L83" s="126" t="s">
        <v>1010</v>
      </c>
      <c r="M83" s="167"/>
      <c r="N83" s="126" t="s">
        <v>330</v>
      </c>
      <c r="O83" s="126" t="s">
        <v>331</v>
      </c>
      <c r="P83" s="126" t="s">
        <v>235</v>
      </c>
      <c r="Q83" s="181">
        <f>3136*2.4</f>
        <v>7526.4</v>
      </c>
      <c r="R83" s="181">
        <v>7483.5919999999996</v>
      </c>
      <c r="S83" s="181"/>
      <c r="W83" s="181">
        <f t="shared" si="35"/>
        <v>7483.5919999999996</v>
      </c>
      <c r="AW83" s="165">
        <f t="shared" si="22"/>
        <v>45002.541666666664</v>
      </c>
      <c r="AX83" s="165">
        <f t="shared" si="23"/>
        <v>45016.5625</v>
      </c>
      <c r="AY83" s="137">
        <f t="shared" si="24"/>
        <v>14.020833333335759</v>
      </c>
      <c r="AZ83" s="165">
        <v>45002.541666666664</v>
      </c>
      <c r="BA83" s="165">
        <v>45004.885416666664</v>
      </c>
      <c r="BB83" s="165">
        <v>45007.3125</v>
      </c>
      <c r="BC83" s="165">
        <v>45009.211805555555</v>
      </c>
      <c r="BD83" s="165">
        <v>45009.409722222219</v>
      </c>
      <c r="BE83" s="165">
        <v>45009.413194444445</v>
      </c>
      <c r="BF83" s="165">
        <v>45009.413194444445</v>
      </c>
      <c r="BG83" s="165">
        <f t="shared" si="36"/>
        <v>45011.121527777781</v>
      </c>
      <c r="BH83" s="165">
        <v>45013.291666608799</v>
      </c>
      <c r="BI83" s="165">
        <v>45013.458333275463</v>
      </c>
      <c r="BJ83" s="165">
        <v>45013.454861111109</v>
      </c>
      <c r="BK83" s="165">
        <v>45015.194444444445</v>
      </c>
      <c r="BL83" s="165">
        <v>45015.416666666664</v>
      </c>
      <c r="BM83" s="165">
        <v>45016.079861111109</v>
      </c>
      <c r="BN83" s="165">
        <v>45016.111111111109</v>
      </c>
      <c r="BO83" s="165">
        <v>45016.114583333336</v>
      </c>
      <c r="BP83" s="165">
        <v>45016.5625</v>
      </c>
      <c r="BS83" s="136">
        <f t="shared" si="25"/>
        <v>58.250000000058208</v>
      </c>
      <c r="BT83" s="136">
        <f t="shared" si="26"/>
        <v>4.7499999999417923</v>
      </c>
      <c r="BU83" s="136">
        <f t="shared" si="27"/>
        <v>41.000000000058208</v>
      </c>
      <c r="BV83" s="136">
        <f t="shared" si="28"/>
        <v>41.666668055579066</v>
      </c>
      <c r="BW83" s="135">
        <f t="shared" si="29"/>
        <v>15.916666666686069</v>
      </c>
      <c r="BX83" s="135">
        <f t="shared" si="30"/>
        <v>10.749999999941792</v>
      </c>
      <c r="BY83" s="134">
        <f t="shared" si="31"/>
        <v>7.180555613427714</v>
      </c>
      <c r="BZ83" s="134">
        <f t="shared" si="32"/>
        <v>14.020833333335759</v>
      </c>
      <c r="CA83" s="133">
        <f t="shared" si="33"/>
        <v>0.51213472428598905</v>
      </c>
    </row>
    <row r="84" spans="1:79" s="126" customFormat="1">
      <c r="A84" s="192">
        <f t="shared" si="34"/>
        <v>45009.434027777781</v>
      </c>
      <c r="B84" s="126" t="s">
        <v>228</v>
      </c>
      <c r="C84" s="126" t="s">
        <v>229</v>
      </c>
      <c r="D84" s="126" t="s">
        <v>197</v>
      </c>
      <c r="E84" s="126" t="s">
        <v>986</v>
      </c>
      <c r="G84" s="73">
        <v>45011.125</v>
      </c>
      <c r="H84" s="73">
        <v>45011.091666666667</v>
      </c>
      <c r="I84" s="126" t="s">
        <v>243</v>
      </c>
      <c r="J84" s="126" t="s">
        <v>192</v>
      </c>
      <c r="K84" s="126" t="s">
        <v>192</v>
      </c>
      <c r="L84" s="126" t="s">
        <v>1011</v>
      </c>
      <c r="M84" s="167"/>
      <c r="N84" s="126" t="s">
        <v>205</v>
      </c>
      <c r="O84" s="126" t="s">
        <v>206</v>
      </c>
      <c r="P84" s="126" t="s">
        <v>240</v>
      </c>
      <c r="Q84" s="181">
        <f>3015*2.4</f>
        <v>7236</v>
      </c>
      <c r="R84" s="181">
        <v>7553.1779999999999</v>
      </c>
      <c r="S84" s="181"/>
      <c r="X84" s="181">
        <f>R84</f>
        <v>7553.1779999999999</v>
      </c>
      <c r="AW84" s="165">
        <f t="shared" si="22"/>
        <v>45002.5</v>
      </c>
      <c r="AX84" s="165">
        <f t="shared" si="23"/>
        <v>45016.53125</v>
      </c>
      <c r="AY84" s="137">
        <f t="shared" si="24"/>
        <v>14.03125</v>
      </c>
      <c r="AZ84" s="165">
        <v>45002.5</v>
      </c>
      <c r="BA84" s="165">
        <v>45004.881944444445</v>
      </c>
      <c r="BB84" s="165">
        <v>45006.75</v>
      </c>
      <c r="BC84" s="165">
        <v>45009.434027777781</v>
      </c>
      <c r="BD84" s="165">
        <v>45009.5625</v>
      </c>
      <c r="BE84" s="165">
        <v>45009.565972222219</v>
      </c>
      <c r="BF84" s="165">
        <v>45009.565972222219</v>
      </c>
      <c r="BG84" s="165">
        <f t="shared" si="36"/>
        <v>45011.274305555555</v>
      </c>
      <c r="BH84" s="165">
        <v>45012.25</v>
      </c>
      <c r="BI84" s="165">
        <v>45012.416666666664</v>
      </c>
      <c r="BJ84" s="165">
        <v>45012.395833333336</v>
      </c>
      <c r="BK84" s="165">
        <v>45014.493055555555</v>
      </c>
      <c r="BL84" s="165">
        <v>45014.944444444445</v>
      </c>
      <c r="BM84" s="165">
        <v>45015.336805555555</v>
      </c>
      <c r="BN84" s="165">
        <v>45015.357638888891</v>
      </c>
      <c r="BO84" s="165">
        <v>45016.034722222219</v>
      </c>
      <c r="BP84" s="165">
        <v>45016.53125</v>
      </c>
      <c r="BS84" s="136">
        <f t="shared" si="25"/>
        <v>44.833333333313931</v>
      </c>
      <c r="BT84" s="136">
        <f t="shared" si="26"/>
        <v>3.0833333332557231</v>
      </c>
      <c r="BU84" s="136">
        <f t="shared" si="27"/>
        <v>41.000000000058208</v>
      </c>
      <c r="BV84" s="136">
        <f t="shared" si="28"/>
        <v>49.833333333372138</v>
      </c>
      <c r="BW84" s="135">
        <f t="shared" si="29"/>
        <v>9.4166666666278616</v>
      </c>
      <c r="BX84" s="135">
        <f t="shared" si="30"/>
        <v>11.916666666744277</v>
      </c>
      <c r="BY84" s="134">
        <f t="shared" si="31"/>
        <v>6.6701388888905058</v>
      </c>
      <c r="BZ84" s="134">
        <f t="shared" si="32"/>
        <v>14.03125</v>
      </c>
      <c r="CA84" s="133">
        <f t="shared" si="33"/>
        <v>0.47537738183629441</v>
      </c>
    </row>
    <row r="85" spans="1:79" s="126" customFormat="1">
      <c r="A85" s="192">
        <f t="shared" si="34"/>
        <v>45011.496527777781</v>
      </c>
      <c r="B85" s="126" t="s">
        <v>228</v>
      </c>
      <c r="C85" s="126" t="s">
        <v>229</v>
      </c>
      <c r="D85" s="126" t="s">
        <v>197</v>
      </c>
      <c r="E85" s="65" t="s">
        <v>994</v>
      </c>
      <c r="G85" s="73">
        <v>45009.75</v>
      </c>
      <c r="H85" s="73">
        <v>45009.583333333336</v>
      </c>
      <c r="I85" s="126" t="s">
        <v>231</v>
      </c>
      <c r="J85" s="126" t="s">
        <v>192</v>
      </c>
      <c r="K85" s="126" t="s">
        <v>192</v>
      </c>
      <c r="L85" s="126" t="s">
        <v>1012</v>
      </c>
      <c r="M85" s="167"/>
      <c r="N85" s="126" t="s">
        <v>361</v>
      </c>
      <c r="O85" s="126" t="s">
        <v>362</v>
      </c>
      <c r="P85" s="126" t="s">
        <v>240</v>
      </c>
      <c r="Q85" s="181">
        <f>3039*2.4</f>
        <v>7293.5999999999995</v>
      </c>
      <c r="R85" s="181">
        <v>7204.4809999999998</v>
      </c>
      <c r="S85" s="181"/>
      <c r="X85" s="181">
        <f>R85</f>
        <v>7204.4809999999998</v>
      </c>
      <c r="AW85" s="165">
        <f t="shared" si="22"/>
        <v>45006.114583333336</v>
      </c>
      <c r="AX85" s="165">
        <f t="shared" si="23"/>
        <v>45017.340277777781</v>
      </c>
      <c r="AY85" s="137">
        <f t="shared" si="24"/>
        <v>11.225694444445253</v>
      </c>
      <c r="AZ85" s="165">
        <v>45006.114583333336</v>
      </c>
      <c r="BA85" s="165">
        <v>45006.94027777778</v>
      </c>
      <c r="BB85" s="165">
        <v>45008.666666666664</v>
      </c>
      <c r="BC85" s="165">
        <v>45011.496527777781</v>
      </c>
      <c r="BD85" s="165">
        <v>45011.635416666664</v>
      </c>
      <c r="BE85" s="165">
        <v>45011.642361111109</v>
      </c>
      <c r="BF85" s="165">
        <v>45011.642361111109</v>
      </c>
      <c r="BG85" s="165">
        <f t="shared" si="36"/>
        <v>45013.350694444445</v>
      </c>
      <c r="BH85" s="165">
        <v>45013.291666608799</v>
      </c>
      <c r="BI85" s="165">
        <v>45013.458333275463</v>
      </c>
      <c r="BJ85" s="165">
        <v>45013.3125</v>
      </c>
      <c r="BK85" s="165">
        <v>45014.46875</v>
      </c>
      <c r="BL85" s="165">
        <v>45016.760416666664</v>
      </c>
      <c r="BM85" s="165">
        <v>45017</v>
      </c>
      <c r="BN85" s="165">
        <v>45017.03125</v>
      </c>
      <c r="BO85" s="165">
        <v>45017.03125</v>
      </c>
      <c r="BP85" s="165">
        <v>45017.340277777781</v>
      </c>
      <c r="BS85" s="136">
        <f t="shared" si="25"/>
        <v>41.43333333323244</v>
      </c>
      <c r="BT85" s="136">
        <f t="shared" si="26"/>
        <v>3.3333333331975155</v>
      </c>
      <c r="BU85" s="136">
        <f t="shared" si="27"/>
        <v>41.000000000058208</v>
      </c>
      <c r="BV85" s="136">
        <f t="shared" si="28"/>
        <v>24.250001388892997</v>
      </c>
      <c r="BW85" s="135">
        <f t="shared" si="29"/>
        <v>5.7500000000582077</v>
      </c>
      <c r="BX85" s="135">
        <f t="shared" si="30"/>
        <v>7.4166666667442769</v>
      </c>
      <c r="BY85" s="134">
        <f t="shared" si="31"/>
        <v>5.1326389467576519</v>
      </c>
      <c r="BZ85" s="134">
        <f t="shared" si="32"/>
        <v>11.225694444445253</v>
      </c>
      <c r="CA85" s="133">
        <f t="shared" si="33"/>
        <v>0.45722239921623797</v>
      </c>
    </row>
    <row r="86" spans="1:79" s="126" customFormat="1">
      <c r="A86" s="192">
        <f t="shared" si="34"/>
        <v>45012.011111111111</v>
      </c>
      <c r="B86" s="126" t="s">
        <v>228</v>
      </c>
      <c r="C86" s="126" t="s">
        <v>229</v>
      </c>
      <c r="D86" s="126" t="s">
        <v>197</v>
      </c>
      <c r="E86" s="65" t="s">
        <v>994</v>
      </c>
      <c r="G86" s="73">
        <v>45009.75</v>
      </c>
      <c r="H86" s="73">
        <v>45009.583333333336</v>
      </c>
      <c r="I86" s="126" t="s">
        <v>231</v>
      </c>
      <c r="J86" s="126" t="s">
        <v>192</v>
      </c>
      <c r="K86" s="126" t="s">
        <v>192</v>
      </c>
      <c r="L86" s="126" t="s">
        <v>1013</v>
      </c>
      <c r="M86" s="167"/>
      <c r="N86" s="126" t="s">
        <v>284</v>
      </c>
      <c r="O86" s="126" t="s">
        <v>285</v>
      </c>
      <c r="P86" s="126" t="s">
        <v>235</v>
      </c>
      <c r="Q86" s="181">
        <f>3852*2.4</f>
        <v>9244.7999999999993</v>
      </c>
      <c r="R86" s="181">
        <f>9103.253-2060.771</f>
        <v>7042.482</v>
      </c>
      <c r="S86" s="181"/>
      <c r="W86" s="181">
        <f>R86</f>
        <v>7042.482</v>
      </c>
      <c r="AW86" s="165">
        <f t="shared" si="22"/>
        <v>45005.430555555555</v>
      </c>
      <c r="AX86" s="165">
        <f t="shared" si="23"/>
        <v>45018.597222222219</v>
      </c>
      <c r="AY86" s="137">
        <f t="shared" si="24"/>
        <v>13.166666666664241</v>
      </c>
      <c r="AZ86" s="165">
        <v>45005.430555555555</v>
      </c>
      <c r="BA86" s="165">
        <v>45006.809027777781</v>
      </c>
      <c r="BB86" s="165">
        <v>45008.708333333336</v>
      </c>
      <c r="BC86" s="165">
        <v>45012.011111111111</v>
      </c>
      <c r="BD86" s="165">
        <v>45012.173611111109</v>
      </c>
      <c r="BE86" s="165">
        <v>45012.180555555555</v>
      </c>
      <c r="BF86" s="165">
        <v>45012.180555555555</v>
      </c>
      <c r="BG86" s="165">
        <f t="shared" si="36"/>
        <v>45013.888888888891</v>
      </c>
      <c r="BH86" s="165">
        <v>45014.291666608799</v>
      </c>
      <c r="BI86" s="165">
        <v>45014.458333275463</v>
      </c>
      <c r="BJ86" s="165">
        <v>45014.40625</v>
      </c>
      <c r="BK86" s="165">
        <v>45015.645833333336</v>
      </c>
      <c r="BL86" s="165">
        <v>45018.354166666664</v>
      </c>
      <c r="BM86" s="165">
        <v>45018.559027777781</v>
      </c>
      <c r="BN86" s="165">
        <v>45018.597222222219</v>
      </c>
      <c r="BO86" s="165">
        <v>45018.597222222219</v>
      </c>
      <c r="BP86" s="165">
        <v>45018.597222222219</v>
      </c>
      <c r="BS86" s="136">
        <f t="shared" si="25"/>
        <v>45.583333333313931</v>
      </c>
      <c r="BT86" s="136">
        <f t="shared" si="26"/>
        <v>3.8999999999650754</v>
      </c>
      <c r="BU86" s="136">
        <f t="shared" si="27"/>
        <v>41.000000000058208</v>
      </c>
      <c r="BV86" s="136">
        <f t="shared" si="28"/>
        <v>28.500001388951205</v>
      </c>
      <c r="BW86" s="135">
        <f t="shared" si="29"/>
        <v>4.9166666668024845</v>
      </c>
      <c r="BX86" s="135">
        <f t="shared" si="30"/>
        <v>0</v>
      </c>
      <c r="BY86" s="134">
        <f t="shared" si="31"/>
        <v>5.1625000578787876</v>
      </c>
      <c r="BZ86" s="134">
        <f t="shared" si="32"/>
        <v>13.166666666664241</v>
      </c>
      <c r="CA86" s="133">
        <f t="shared" si="33"/>
        <v>0.3920886119908662</v>
      </c>
    </row>
    <row r="87" spans="1:79" s="126" customFormat="1">
      <c r="A87" s="192">
        <f t="shared" si="34"/>
        <v>45012.011111111111</v>
      </c>
      <c r="B87" s="126" t="s">
        <v>228</v>
      </c>
      <c r="C87" s="126" t="s">
        <v>229</v>
      </c>
      <c r="D87" s="126" t="s">
        <v>197</v>
      </c>
      <c r="E87" s="65" t="s">
        <v>919</v>
      </c>
      <c r="G87" s="73">
        <v>45010.666666666664</v>
      </c>
      <c r="H87" s="73">
        <v>45010.654166666667</v>
      </c>
      <c r="I87" s="126" t="s">
        <v>231</v>
      </c>
      <c r="J87" s="126" t="s">
        <v>192</v>
      </c>
      <c r="K87" s="126" t="s">
        <v>192</v>
      </c>
      <c r="L87" s="126" t="s">
        <v>1013</v>
      </c>
      <c r="M87" s="167"/>
      <c r="N87" s="126" t="s">
        <v>284</v>
      </c>
      <c r="O87" s="126" t="s">
        <v>285</v>
      </c>
      <c r="P87" s="126" t="s">
        <v>235</v>
      </c>
      <c r="Q87" s="181">
        <f>3852*2.4</f>
        <v>9244.7999999999993</v>
      </c>
      <c r="R87" s="181">
        <v>2056</v>
      </c>
      <c r="S87" s="181"/>
      <c r="W87" s="181">
        <f>R87</f>
        <v>2056</v>
      </c>
      <c r="AW87" s="165">
        <f t="shared" si="22"/>
        <v>45005.430555555555</v>
      </c>
      <c r="AX87" s="165">
        <f t="shared" si="23"/>
        <v>45021.791666666664</v>
      </c>
      <c r="AY87" s="137">
        <f t="shared" si="24"/>
        <v>16.361111111109494</v>
      </c>
      <c r="AZ87" s="165">
        <v>45005.430555555555</v>
      </c>
      <c r="BA87" s="165">
        <v>45006.809027777781</v>
      </c>
      <c r="BB87" s="165">
        <v>45008.708333333336</v>
      </c>
      <c r="BC87" s="165">
        <v>45012.011111111111</v>
      </c>
      <c r="BD87" s="165">
        <v>45012.173611111109</v>
      </c>
      <c r="BE87" s="165">
        <v>45012.180555555555</v>
      </c>
      <c r="BF87" s="165">
        <v>45012.180555555555</v>
      </c>
      <c r="BG87" s="165">
        <f t="shared" si="36"/>
        <v>45013.888888888891</v>
      </c>
      <c r="BH87" s="165">
        <v>45014.291666608799</v>
      </c>
      <c r="BI87" s="165">
        <v>45014.458333275463</v>
      </c>
      <c r="BJ87" s="165">
        <v>45014.40625</v>
      </c>
      <c r="BK87" s="165">
        <v>45018.597222222219</v>
      </c>
      <c r="BL87" s="165">
        <v>45021.458333333336</v>
      </c>
      <c r="BM87" s="165">
        <v>45021.513888888891</v>
      </c>
      <c r="BN87" s="165">
        <v>45021.534722222219</v>
      </c>
      <c r="BO87" s="165">
        <v>45021.534722222219</v>
      </c>
      <c r="BP87" s="165">
        <v>45021.791666666664</v>
      </c>
      <c r="BS87" s="136">
        <f t="shared" si="25"/>
        <v>45.583333333313931</v>
      </c>
      <c r="BT87" s="136">
        <f t="shared" si="26"/>
        <v>3.8999999999650754</v>
      </c>
      <c r="BU87" s="136">
        <f t="shared" si="27"/>
        <v>41.000000000058208</v>
      </c>
      <c r="BV87" s="136">
        <f t="shared" si="28"/>
        <v>99.33333472214872</v>
      </c>
      <c r="BW87" s="135">
        <f t="shared" si="29"/>
        <v>1.3333333333139308</v>
      </c>
      <c r="BX87" s="135">
        <f t="shared" si="30"/>
        <v>6.1666666666860692</v>
      </c>
      <c r="BY87" s="134">
        <f t="shared" si="31"/>
        <v>8.2215278356452473</v>
      </c>
      <c r="BZ87" s="134">
        <f t="shared" si="32"/>
        <v>16.361111111109494</v>
      </c>
      <c r="CA87" s="133">
        <f t="shared" si="33"/>
        <v>0.50250424801911397</v>
      </c>
    </row>
    <row r="88" spans="1:79" s="126" customFormat="1">
      <c r="A88" s="192">
        <f t="shared" si="34"/>
        <v>45012.238194444442</v>
      </c>
      <c r="B88" s="126" t="s">
        <v>228</v>
      </c>
      <c r="C88" s="126" t="s">
        <v>229</v>
      </c>
      <c r="D88" s="126" t="s">
        <v>197</v>
      </c>
      <c r="E88" s="65" t="s">
        <v>994</v>
      </c>
      <c r="G88" s="73">
        <v>45009.75</v>
      </c>
      <c r="H88" s="73">
        <v>45009.583333333336</v>
      </c>
      <c r="I88" s="126" t="s">
        <v>231</v>
      </c>
      <c r="J88" s="126" t="s">
        <v>192</v>
      </c>
      <c r="K88" s="126" t="s">
        <v>192</v>
      </c>
      <c r="L88" s="126" t="s">
        <v>1014</v>
      </c>
      <c r="M88" s="167"/>
      <c r="N88" s="126" t="s">
        <v>249</v>
      </c>
      <c r="O88" s="126" t="s">
        <v>250</v>
      </c>
      <c r="P88" s="126" t="s">
        <v>235</v>
      </c>
      <c r="Q88" s="181">
        <f>3139*2.4</f>
        <v>7533.5999999999995</v>
      </c>
      <c r="R88" s="181">
        <v>7674.951</v>
      </c>
      <c r="S88" s="181"/>
      <c r="W88" s="181">
        <f>R88</f>
        <v>7674.951</v>
      </c>
      <c r="AW88" s="165">
        <f t="shared" si="22"/>
        <v>45006</v>
      </c>
      <c r="AX88" s="165">
        <f t="shared" si="23"/>
        <v>45018.666666666664</v>
      </c>
      <c r="AY88" s="137">
        <f t="shared" si="24"/>
        <v>12.666666666664241</v>
      </c>
      <c r="AZ88" s="165">
        <v>45006</v>
      </c>
      <c r="BA88" s="165">
        <v>45006.798611111109</v>
      </c>
      <c r="BB88" s="165">
        <v>45008.916666666664</v>
      </c>
      <c r="BC88" s="165">
        <v>45012.238194444442</v>
      </c>
      <c r="BD88" s="165">
        <v>45012.416666666664</v>
      </c>
      <c r="BE88" s="165">
        <v>45012.423611111109</v>
      </c>
      <c r="BF88" s="165">
        <v>45012.423611111109</v>
      </c>
      <c r="BG88" s="165">
        <f t="shared" si="36"/>
        <v>45014.131944444445</v>
      </c>
      <c r="BH88" s="165">
        <v>45014.291666608799</v>
      </c>
      <c r="BI88" s="165">
        <v>45014.458333275463</v>
      </c>
      <c r="BJ88" s="165">
        <v>45014.348611111112</v>
      </c>
      <c r="BK88" s="165">
        <v>45015.645833333336</v>
      </c>
      <c r="BL88" s="165">
        <v>45018.118055555555</v>
      </c>
      <c r="BM88" s="165">
        <v>45018.3125</v>
      </c>
      <c r="BN88" s="165">
        <v>45018.333333333336</v>
      </c>
      <c r="BO88" s="165">
        <v>45018.333333333336</v>
      </c>
      <c r="BP88" s="165">
        <v>45018.666666666664</v>
      </c>
      <c r="BS88" s="136">
        <f t="shared" si="25"/>
        <v>50.833333333313931</v>
      </c>
      <c r="BT88" s="136">
        <f t="shared" si="26"/>
        <v>4.2833333333255723</v>
      </c>
      <c r="BU88" s="136">
        <f t="shared" si="27"/>
        <v>41.000000000058208</v>
      </c>
      <c r="BV88" s="136">
        <f t="shared" si="28"/>
        <v>28.500001388951205</v>
      </c>
      <c r="BW88" s="135">
        <f t="shared" si="29"/>
        <v>4.6666666666860692</v>
      </c>
      <c r="BX88" s="135">
        <f t="shared" si="30"/>
        <v>7.9999999998835847</v>
      </c>
      <c r="BY88" s="134">
        <f t="shared" si="31"/>
        <v>5.7201389467591071</v>
      </c>
      <c r="BZ88" s="134">
        <f t="shared" si="32"/>
        <v>12.666666666664241</v>
      </c>
      <c r="CA88" s="133">
        <f t="shared" si="33"/>
        <v>0.45158991684948968</v>
      </c>
    </row>
    <row r="89" spans="1:79" s="126" customFormat="1">
      <c r="A89" s="192">
        <f t="shared" si="34"/>
        <v>45012.444444444445</v>
      </c>
      <c r="B89" s="126" t="s">
        <v>228</v>
      </c>
      <c r="C89" s="126" t="s">
        <v>229</v>
      </c>
      <c r="D89" s="126" t="s">
        <v>215</v>
      </c>
      <c r="E89" s="65" t="s">
        <v>994</v>
      </c>
      <c r="G89" s="73">
        <v>45009.75</v>
      </c>
      <c r="H89" s="73">
        <v>45009.583333333336</v>
      </c>
      <c r="I89" s="126" t="s">
        <v>231</v>
      </c>
      <c r="J89" s="126" t="s">
        <v>192</v>
      </c>
      <c r="K89" s="126" t="s">
        <v>192</v>
      </c>
      <c r="L89" s="126" t="s">
        <v>1015</v>
      </c>
      <c r="M89" s="167"/>
      <c r="N89" s="126" t="s">
        <v>274</v>
      </c>
      <c r="O89" s="126" t="s">
        <v>275</v>
      </c>
      <c r="P89" s="126" t="s">
        <v>240</v>
      </c>
      <c r="Q89" s="181">
        <f>3097*2.4</f>
        <v>7432.7999999999993</v>
      </c>
      <c r="R89" s="181">
        <v>7502.7280000000001</v>
      </c>
      <c r="S89" s="181"/>
      <c r="X89" s="181">
        <f>R89</f>
        <v>7502.7280000000001</v>
      </c>
      <c r="AW89" s="165">
        <f t="shared" si="22"/>
        <v>45006.717361111114</v>
      </c>
      <c r="AX89" s="165">
        <f t="shared" si="23"/>
        <v>45018.625</v>
      </c>
      <c r="AY89" s="137">
        <f t="shared" si="24"/>
        <v>11.90763888888614</v>
      </c>
      <c r="AZ89" s="165">
        <v>45006.717361111114</v>
      </c>
      <c r="BA89" s="165">
        <v>45007.555555555555</v>
      </c>
      <c r="BB89" s="165">
        <v>45009.270833333336</v>
      </c>
      <c r="BC89" s="165">
        <v>45012.444444444445</v>
      </c>
      <c r="BD89" s="165">
        <v>45012.574305555558</v>
      </c>
      <c r="BE89" s="165">
        <v>45012.583333333336</v>
      </c>
      <c r="BF89" s="165">
        <v>45012.583333333336</v>
      </c>
      <c r="BG89" s="165">
        <f t="shared" si="36"/>
        <v>45014.291666666672</v>
      </c>
      <c r="BH89" s="165">
        <v>45016.291666608799</v>
      </c>
      <c r="BI89" s="165">
        <v>45016.458333275463</v>
      </c>
      <c r="BJ89" s="165">
        <v>45016.319444444445</v>
      </c>
      <c r="BK89" s="165">
        <v>45017.291666666664</v>
      </c>
      <c r="BL89" s="165">
        <v>45017.611111111109</v>
      </c>
      <c r="BM89" s="165">
        <v>45017.861111111109</v>
      </c>
      <c r="BN89" s="165">
        <v>45017.885416666664</v>
      </c>
      <c r="BO89" s="165">
        <v>45018.09375</v>
      </c>
      <c r="BP89" s="165">
        <v>45018.625</v>
      </c>
      <c r="BS89" s="136">
        <f t="shared" si="25"/>
        <v>41.166666666744277</v>
      </c>
      <c r="BT89" s="136">
        <f t="shared" si="26"/>
        <v>3.1166666666977108</v>
      </c>
      <c r="BU89" s="136">
        <f t="shared" si="27"/>
        <v>41.000000000058208</v>
      </c>
      <c r="BV89" s="136">
        <f t="shared" si="28"/>
        <v>20.000001388834789</v>
      </c>
      <c r="BW89" s="135">
        <f t="shared" si="29"/>
        <v>6</v>
      </c>
      <c r="BX89" s="135">
        <f t="shared" si="30"/>
        <v>12.75</v>
      </c>
      <c r="BY89" s="134">
        <f t="shared" si="31"/>
        <v>5.1680556134306244</v>
      </c>
      <c r="BZ89" s="134">
        <f t="shared" si="32"/>
        <v>11.90763888888614</v>
      </c>
      <c r="CA89" s="133">
        <f t="shared" si="33"/>
        <v>0.43401178534681384</v>
      </c>
    </row>
    <row r="90" spans="1:79" s="126" customFormat="1">
      <c r="A90" s="192">
        <f t="shared" si="34"/>
        <v>45012.604166666664</v>
      </c>
      <c r="B90" s="126" t="s">
        <v>228</v>
      </c>
      <c r="C90" s="126" t="s">
        <v>229</v>
      </c>
      <c r="D90" s="126" t="s">
        <v>197</v>
      </c>
      <c r="E90" s="65" t="s">
        <v>994</v>
      </c>
      <c r="G90" s="73">
        <v>45009.75</v>
      </c>
      <c r="H90" s="73">
        <v>45009.583333333336</v>
      </c>
      <c r="I90" s="126" t="s">
        <v>231</v>
      </c>
      <c r="J90" s="126" t="s">
        <v>192</v>
      </c>
      <c r="K90" s="126" t="s">
        <v>192</v>
      </c>
      <c r="L90" s="126" t="s">
        <v>1016</v>
      </c>
      <c r="M90" s="167"/>
      <c r="N90" s="126" t="s">
        <v>310</v>
      </c>
      <c r="O90" s="126" t="s">
        <v>311</v>
      </c>
      <c r="P90" s="126" t="s">
        <v>235</v>
      </c>
      <c r="Q90" s="181">
        <f>3128*2.4</f>
        <v>7507.2</v>
      </c>
      <c r="R90" s="181">
        <v>7520.3829999999998</v>
      </c>
      <c r="S90" s="181"/>
      <c r="W90" s="181">
        <f>R90</f>
        <v>7520.3829999999998</v>
      </c>
      <c r="AW90" s="165">
        <f t="shared" si="22"/>
        <v>45005.916666666664</v>
      </c>
      <c r="AX90" s="165">
        <f t="shared" si="23"/>
        <v>45018.506944444445</v>
      </c>
      <c r="AY90" s="137">
        <f t="shared" si="24"/>
        <v>12.590277777781012</v>
      </c>
      <c r="AZ90" s="165">
        <v>45005.916666666664</v>
      </c>
      <c r="BA90" s="165">
        <v>45006.819444444445</v>
      </c>
      <c r="BB90" s="165">
        <v>45009.274305555555</v>
      </c>
      <c r="BC90" s="165">
        <v>45012.604166666664</v>
      </c>
      <c r="BD90" s="165">
        <v>45012.729166666664</v>
      </c>
      <c r="BE90" s="165">
        <v>45012.732638888891</v>
      </c>
      <c r="BF90" s="165">
        <v>45012.732638888891</v>
      </c>
      <c r="BG90" s="165">
        <f t="shared" si="36"/>
        <v>45014.440972222226</v>
      </c>
      <c r="BH90" s="165">
        <v>45014.291666608799</v>
      </c>
      <c r="BI90" s="165">
        <v>45014.458333275463</v>
      </c>
      <c r="BJ90" s="165">
        <v>45014.333333333336</v>
      </c>
      <c r="BK90" s="165">
        <v>45015.590277777781</v>
      </c>
      <c r="BL90" s="165">
        <v>45017.90625</v>
      </c>
      <c r="BM90" s="165">
        <v>45018.069444444445</v>
      </c>
      <c r="BN90" s="165">
        <v>45018.090277777781</v>
      </c>
      <c r="BO90" s="165">
        <v>45018.090277777781</v>
      </c>
      <c r="BP90" s="165">
        <v>45018.506944444445</v>
      </c>
      <c r="BS90" s="136">
        <f t="shared" si="25"/>
        <v>58.916666666627862</v>
      </c>
      <c r="BT90" s="136">
        <f t="shared" si="26"/>
        <v>3</v>
      </c>
      <c r="BU90" s="136">
        <f t="shared" si="27"/>
        <v>41.000000000058208</v>
      </c>
      <c r="BV90" s="136">
        <f t="shared" si="28"/>
        <v>27.166668055637274</v>
      </c>
      <c r="BW90" s="135">
        <f t="shared" si="29"/>
        <v>3.9166666666860692</v>
      </c>
      <c r="BX90" s="135">
        <f t="shared" si="30"/>
        <v>9.9999999999417923</v>
      </c>
      <c r="BY90" s="134">
        <f t="shared" si="31"/>
        <v>6.0000000578729669</v>
      </c>
      <c r="BZ90" s="134">
        <f t="shared" si="32"/>
        <v>12.590277777781012</v>
      </c>
      <c r="CA90" s="133">
        <f t="shared" si="33"/>
        <v>0.47655819544042211</v>
      </c>
    </row>
    <row r="91" spans="1:79" s="126" customFormat="1">
      <c r="A91" s="192">
        <f t="shared" si="34"/>
        <v>45013.052083333336</v>
      </c>
      <c r="B91" s="126" t="s">
        <v>228</v>
      </c>
      <c r="C91" s="126" t="s">
        <v>229</v>
      </c>
      <c r="D91" s="126" t="s">
        <v>197</v>
      </c>
      <c r="E91" s="65" t="s">
        <v>919</v>
      </c>
      <c r="G91" s="73">
        <v>45010.666666666664</v>
      </c>
      <c r="H91" s="73">
        <v>45010.654166666667</v>
      </c>
      <c r="I91" s="126" t="s">
        <v>231</v>
      </c>
      <c r="J91" s="126" t="s">
        <v>192</v>
      </c>
      <c r="K91" s="126" t="s">
        <v>192</v>
      </c>
      <c r="L91" s="126" t="s">
        <v>1017</v>
      </c>
      <c r="M91" s="167"/>
      <c r="N91" s="126" t="s">
        <v>489</v>
      </c>
      <c r="O91" s="126" t="s">
        <v>483</v>
      </c>
      <c r="P91" s="126" t="s">
        <v>240</v>
      </c>
      <c r="Q91" s="181">
        <f>3107*2.4</f>
        <v>7456.7999999999993</v>
      </c>
      <c r="R91" s="181">
        <v>7495.6289999999999</v>
      </c>
      <c r="S91" s="181"/>
      <c r="X91" s="181">
        <f t="shared" ref="X91:X96" si="37">R91</f>
        <v>7495.6289999999999</v>
      </c>
      <c r="AW91" s="165">
        <f t="shared" si="22"/>
        <v>45006.798611111109</v>
      </c>
      <c r="AX91" s="165">
        <f t="shared" si="23"/>
        <v>45019.34375</v>
      </c>
      <c r="AY91" s="137">
        <f t="shared" si="24"/>
        <v>12.545138888890506</v>
      </c>
      <c r="AZ91" s="165">
        <v>45006.798611111109</v>
      </c>
      <c r="BA91" s="165">
        <v>45007.649305555555</v>
      </c>
      <c r="BB91" s="165">
        <v>45009.416666666664</v>
      </c>
      <c r="BC91" s="165">
        <v>45013.052083333336</v>
      </c>
      <c r="BD91" s="165">
        <v>45013.197222222225</v>
      </c>
      <c r="BE91" s="165">
        <v>45013.204861111109</v>
      </c>
      <c r="BF91" s="165">
        <v>45013.204861111109</v>
      </c>
      <c r="BG91" s="165">
        <f t="shared" si="36"/>
        <v>45014.913194444445</v>
      </c>
      <c r="BH91" s="165">
        <v>45015.291666608799</v>
      </c>
      <c r="BI91" s="165">
        <v>45015.458333275463</v>
      </c>
      <c r="BJ91" s="165">
        <v>45015.388888888891</v>
      </c>
      <c r="BK91" s="165">
        <v>45016.386111111111</v>
      </c>
      <c r="BL91" s="165">
        <v>45018.909722222219</v>
      </c>
      <c r="BM91" s="165">
        <v>45019.0625</v>
      </c>
      <c r="BN91" s="165">
        <v>45019.083333333336</v>
      </c>
      <c r="BO91" s="165">
        <v>45019.083333333336</v>
      </c>
      <c r="BP91" s="165">
        <v>45019.34375</v>
      </c>
      <c r="BS91" s="136">
        <f t="shared" si="25"/>
        <v>42.416666666627862</v>
      </c>
      <c r="BT91" s="136">
        <f t="shared" si="26"/>
        <v>3.4833333333372138</v>
      </c>
      <c r="BU91" s="136">
        <f t="shared" si="27"/>
        <v>41.000000000058208</v>
      </c>
      <c r="BV91" s="136">
        <f t="shared" si="28"/>
        <v>22.266668055555783</v>
      </c>
      <c r="BW91" s="135">
        <f t="shared" si="29"/>
        <v>3.6666666667442769</v>
      </c>
      <c r="BX91" s="135">
        <f t="shared" si="30"/>
        <v>6.2499999999417923</v>
      </c>
      <c r="BY91" s="134">
        <f t="shared" si="31"/>
        <v>4.961805613427714</v>
      </c>
      <c r="BZ91" s="134">
        <f t="shared" si="32"/>
        <v>12.545138888890506</v>
      </c>
      <c r="CA91" s="133">
        <f t="shared" si="33"/>
        <v>0.39551619614364725</v>
      </c>
    </row>
    <row r="92" spans="1:79" s="126" customFormat="1">
      <c r="A92" s="192">
        <f t="shared" si="34"/>
        <v>45013.239583333336</v>
      </c>
      <c r="B92" s="126" t="s">
        <v>228</v>
      </c>
      <c r="C92" s="126" t="s">
        <v>229</v>
      </c>
      <c r="D92" s="126" t="s">
        <v>197</v>
      </c>
      <c r="E92" s="65" t="s">
        <v>919</v>
      </c>
      <c r="G92" s="73">
        <v>45010.666666666664</v>
      </c>
      <c r="H92" s="73">
        <v>45010.654166666667</v>
      </c>
      <c r="I92" s="126" t="s">
        <v>231</v>
      </c>
      <c r="J92" s="126" t="s">
        <v>192</v>
      </c>
      <c r="K92" s="126" t="s">
        <v>192</v>
      </c>
      <c r="L92" s="126" t="s">
        <v>1018</v>
      </c>
      <c r="M92" s="167"/>
      <c r="N92" s="126" t="s">
        <v>298</v>
      </c>
      <c r="O92" s="126" t="s">
        <v>299</v>
      </c>
      <c r="P92" s="126" t="s">
        <v>240</v>
      </c>
      <c r="Q92" s="181">
        <f>4337*2.4</f>
        <v>10408.799999999999</v>
      </c>
      <c r="R92" s="181">
        <v>10339.392</v>
      </c>
      <c r="S92" s="181"/>
      <c r="X92" s="181">
        <f t="shared" si="37"/>
        <v>10339.392</v>
      </c>
      <c r="AW92" s="165">
        <f t="shared" si="22"/>
        <v>45007.371527777781</v>
      </c>
      <c r="AX92" s="165">
        <f t="shared" si="23"/>
        <v>45021.375</v>
      </c>
      <c r="AY92" s="137">
        <f t="shared" si="24"/>
        <v>14.003472222218988</v>
      </c>
      <c r="AZ92" s="165">
        <v>45007.371527777781</v>
      </c>
      <c r="BA92" s="165">
        <v>45008.538194444445</v>
      </c>
      <c r="BB92" s="165">
        <v>45010.125</v>
      </c>
      <c r="BC92" s="165">
        <v>45013.239583333336</v>
      </c>
      <c r="BD92" s="165">
        <v>45013.527777777781</v>
      </c>
      <c r="BE92" s="165">
        <v>45013.534722222219</v>
      </c>
      <c r="BF92" s="165">
        <v>45013.534722222219</v>
      </c>
      <c r="BG92" s="165">
        <f t="shared" si="36"/>
        <v>45015.243055555555</v>
      </c>
      <c r="BH92" s="165">
        <v>45016.291666608799</v>
      </c>
      <c r="BI92" s="165">
        <v>45016.458333275463</v>
      </c>
      <c r="BJ92" s="165">
        <v>45016.333333333336</v>
      </c>
      <c r="BK92" s="165">
        <v>45018.333333333336</v>
      </c>
      <c r="BL92" s="165">
        <v>45020.701388888891</v>
      </c>
      <c r="BM92" s="165">
        <v>45021.083333333336</v>
      </c>
      <c r="BN92" s="165">
        <v>45021.104166666664</v>
      </c>
      <c r="BO92" s="165">
        <v>45021.104166666664</v>
      </c>
      <c r="BP92" s="165">
        <v>45021.375</v>
      </c>
      <c r="BS92" s="136">
        <f t="shared" si="25"/>
        <v>38.083333333313931</v>
      </c>
      <c r="BT92" s="136">
        <f t="shared" si="26"/>
        <v>6.9166666666860692</v>
      </c>
      <c r="BU92" s="136">
        <f t="shared" si="27"/>
        <v>41.000000000058208</v>
      </c>
      <c r="BV92" s="136">
        <f t="shared" si="28"/>
        <v>45.000001388951205</v>
      </c>
      <c r="BW92" s="135">
        <f t="shared" si="29"/>
        <v>9.1666666666860692</v>
      </c>
      <c r="BX92" s="135">
        <f t="shared" si="30"/>
        <v>6.5000000000582077</v>
      </c>
      <c r="BY92" s="134">
        <f t="shared" si="31"/>
        <v>6.1111111689897371</v>
      </c>
      <c r="BZ92" s="134">
        <f t="shared" si="32"/>
        <v>14.003472222218988</v>
      </c>
      <c r="CA92" s="133">
        <f t="shared" si="33"/>
        <v>0.43639970658801158</v>
      </c>
    </row>
    <row r="93" spans="1:79" s="126" customFormat="1">
      <c r="A93" s="192">
        <f t="shared" si="34"/>
        <v>45013.552083333336</v>
      </c>
      <c r="B93" s="126" t="s">
        <v>228</v>
      </c>
      <c r="C93" s="126" t="s">
        <v>229</v>
      </c>
      <c r="D93" s="126" t="s">
        <v>197</v>
      </c>
      <c r="E93" s="65" t="s">
        <v>919</v>
      </c>
      <c r="G93" s="73">
        <v>45010.666666666664</v>
      </c>
      <c r="H93" s="73">
        <v>45010.654166666667</v>
      </c>
      <c r="I93" s="126" t="s">
        <v>231</v>
      </c>
      <c r="J93" s="126" t="s">
        <v>192</v>
      </c>
      <c r="K93" s="126" t="s">
        <v>192</v>
      </c>
      <c r="L93" s="126" t="s">
        <v>1019</v>
      </c>
      <c r="M93" s="167"/>
      <c r="N93" s="126" t="s">
        <v>473</v>
      </c>
      <c r="O93" s="126" t="s">
        <v>474</v>
      </c>
      <c r="P93" s="126" t="s">
        <v>240</v>
      </c>
      <c r="Q93" s="181">
        <f>3136*2.4</f>
        <v>7526.4</v>
      </c>
      <c r="R93" s="181">
        <v>7507.5469999999996</v>
      </c>
      <c r="S93" s="181"/>
      <c r="X93" s="181">
        <f t="shared" si="37"/>
        <v>7507.5469999999996</v>
      </c>
      <c r="AW93" s="165">
        <f t="shared" si="22"/>
        <v>45005.791666666664</v>
      </c>
      <c r="AX93" s="165">
        <f t="shared" si="23"/>
        <v>45020.395833333336</v>
      </c>
      <c r="AY93" s="137">
        <f t="shared" si="24"/>
        <v>14.604166666671517</v>
      </c>
      <c r="AZ93" s="165">
        <v>45005.791666666664</v>
      </c>
      <c r="BA93" s="165">
        <v>45008.597222222219</v>
      </c>
      <c r="BB93" s="165">
        <v>45010.25</v>
      </c>
      <c r="BC93" s="165">
        <v>45013.552083333336</v>
      </c>
      <c r="BD93" s="165">
        <v>45013.701388888891</v>
      </c>
      <c r="BE93" s="165">
        <v>45013.704861111109</v>
      </c>
      <c r="BF93" s="165">
        <v>45013.704861111109</v>
      </c>
      <c r="BG93" s="165">
        <f t="shared" si="36"/>
        <v>45015.413194444445</v>
      </c>
      <c r="BH93" s="165">
        <v>45015.291666608799</v>
      </c>
      <c r="BI93" s="165">
        <v>45015.458333275463</v>
      </c>
      <c r="BJ93" s="165">
        <v>45015.392361111109</v>
      </c>
      <c r="BK93" s="165">
        <v>45016.520833333336</v>
      </c>
      <c r="BL93" s="165">
        <v>45019.555555555555</v>
      </c>
      <c r="BM93" s="165">
        <v>45019.743055555555</v>
      </c>
      <c r="BN93" s="165">
        <v>45019.763888888891</v>
      </c>
      <c r="BO93" s="165">
        <v>45020.138888888891</v>
      </c>
      <c r="BP93" s="165">
        <v>45020.395833333336</v>
      </c>
      <c r="BS93" s="136">
        <f t="shared" si="25"/>
        <v>39.666666666744277</v>
      </c>
      <c r="BT93" s="136">
        <f t="shared" si="26"/>
        <v>3.5833333333139308</v>
      </c>
      <c r="BU93" s="136">
        <f t="shared" si="27"/>
        <v>41.000000000058208</v>
      </c>
      <c r="BV93" s="136">
        <f t="shared" si="28"/>
        <v>25.500001388951205</v>
      </c>
      <c r="BW93" s="135">
        <f t="shared" si="29"/>
        <v>4.5</v>
      </c>
      <c r="BX93" s="135">
        <f t="shared" si="30"/>
        <v>6.1666666666860692</v>
      </c>
      <c r="BY93" s="134">
        <f t="shared" si="31"/>
        <v>5.0173611689897371</v>
      </c>
      <c r="BZ93" s="134">
        <f t="shared" si="32"/>
        <v>14.604166666671517</v>
      </c>
      <c r="CA93" s="133">
        <f t="shared" si="33"/>
        <v>0.34355682754839856</v>
      </c>
    </row>
    <row r="94" spans="1:79" s="126" customFormat="1">
      <c r="A94" s="192">
        <f t="shared" si="34"/>
        <v>45013.739583333336</v>
      </c>
      <c r="B94" s="126" t="s">
        <v>228</v>
      </c>
      <c r="C94" s="126" t="s">
        <v>229</v>
      </c>
      <c r="D94" s="126" t="s">
        <v>197</v>
      </c>
      <c r="E94" s="65" t="s">
        <v>919</v>
      </c>
      <c r="G94" s="73">
        <v>45010.666666666664</v>
      </c>
      <c r="H94" s="73">
        <v>45010.654166666667</v>
      </c>
      <c r="I94" s="126" t="s">
        <v>231</v>
      </c>
      <c r="J94" s="126" t="s">
        <v>192</v>
      </c>
      <c r="K94" s="126" t="s">
        <v>192</v>
      </c>
      <c r="L94" s="126" t="s">
        <v>1020</v>
      </c>
      <c r="M94" s="167"/>
      <c r="N94" s="126" t="s">
        <v>292</v>
      </c>
      <c r="O94" s="126" t="s">
        <v>293</v>
      </c>
      <c r="P94" s="126" t="s">
        <v>240</v>
      </c>
      <c r="Q94" s="181">
        <f>3142*2.4</f>
        <v>7540.7999999999993</v>
      </c>
      <c r="R94" s="181">
        <v>7591.1970000000001</v>
      </c>
      <c r="S94" s="181"/>
      <c r="X94" s="181">
        <f t="shared" si="37"/>
        <v>7591.1970000000001</v>
      </c>
      <c r="AW94" s="165">
        <f t="shared" si="22"/>
        <v>45007.333333333336</v>
      </c>
      <c r="AX94" s="165">
        <f t="shared" si="23"/>
        <v>45020.3125</v>
      </c>
      <c r="AY94" s="137">
        <f t="shared" si="24"/>
        <v>12.979166666664241</v>
      </c>
      <c r="AZ94" s="165">
        <v>45007.333333333336</v>
      </c>
      <c r="BA94" s="165">
        <v>45008.611111111109</v>
      </c>
      <c r="BB94" s="165">
        <v>45010.322916666664</v>
      </c>
      <c r="BC94" s="165">
        <v>45013.739583333336</v>
      </c>
      <c r="BD94" s="165">
        <v>45013.930555555555</v>
      </c>
      <c r="BE94" s="165">
        <v>45013.934027777781</v>
      </c>
      <c r="BF94" s="165">
        <v>45013.934027777781</v>
      </c>
      <c r="BG94" s="165">
        <f t="shared" si="36"/>
        <v>45015.642361111117</v>
      </c>
      <c r="BH94" s="165">
        <v>45015.291666608799</v>
      </c>
      <c r="BI94" s="165">
        <v>45015.458333275463</v>
      </c>
      <c r="BJ94" s="165">
        <v>45015.385416666664</v>
      </c>
      <c r="BK94" s="165">
        <v>45016.541666666664</v>
      </c>
      <c r="BL94" s="165">
        <v>45019.805555555555</v>
      </c>
      <c r="BM94" s="165">
        <v>45020.041666666664</v>
      </c>
      <c r="BN94" s="165">
        <v>45020.0625</v>
      </c>
      <c r="BO94" s="165">
        <v>45020.0625</v>
      </c>
      <c r="BP94" s="165">
        <v>45020.3125</v>
      </c>
      <c r="BS94" s="136">
        <f t="shared" si="25"/>
        <v>41.083333333313931</v>
      </c>
      <c r="BT94" s="136">
        <f t="shared" si="26"/>
        <v>4.5833333332557231</v>
      </c>
      <c r="BU94" s="136">
        <f t="shared" si="27"/>
        <v>41.000000000058208</v>
      </c>
      <c r="BV94" s="136">
        <f t="shared" si="28"/>
        <v>26.000001388834789</v>
      </c>
      <c r="BW94" s="135">
        <f t="shared" si="29"/>
        <v>5.6666666666278616</v>
      </c>
      <c r="BX94" s="135">
        <f t="shared" si="30"/>
        <v>6</v>
      </c>
      <c r="BY94" s="134">
        <f t="shared" si="31"/>
        <v>5.180555613420438</v>
      </c>
      <c r="BZ94" s="134">
        <f t="shared" si="32"/>
        <v>12.979166666664241</v>
      </c>
      <c r="CA94" s="133">
        <f t="shared" si="33"/>
        <v>0.39914393169217893</v>
      </c>
    </row>
    <row r="95" spans="1:79" s="126" customFormat="1">
      <c r="A95" s="192">
        <f t="shared" si="34"/>
        <v>45013.958333333336</v>
      </c>
      <c r="B95" s="126" t="s">
        <v>228</v>
      </c>
      <c r="C95" s="126" t="s">
        <v>229</v>
      </c>
      <c r="D95" s="126" t="s">
        <v>197</v>
      </c>
      <c r="E95" s="65" t="s">
        <v>919</v>
      </c>
      <c r="G95" s="73">
        <v>45010.666666666664</v>
      </c>
      <c r="H95" s="73">
        <v>45010.654166666667</v>
      </c>
      <c r="I95" s="126" t="s">
        <v>231</v>
      </c>
      <c r="J95" s="126" t="s">
        <v>192</v>
      </c>
      <c r="K95" s="126" t="s">
        <v>192</v>
      </c>
      <c r="L95" s="126" t="s">
        <v>1021</v>
      </c>
      <c r="M95" s="167"/>
      <c r="N95" s="126" t="s">
        <v>334</v>
      </c>
      <c r="O95" s="126" t="s">
        <v>335</v>
      </c>
      <c r="P95" s="126" t="s">
        <v>240</v>
      </c>
      <c r="Q95" s="181">
        <f>3242 *2.4</f>
        <v>7780.7999999999993</v>
      </c>
      <c r="R95" s="181">
        <v>7591.3909999999996</v>
      </c>
      <c r="S95" s="181"/>
      <c r="X95" s="181">
        <f t="shared" si="37"/>
        <v>7591.3909999999996</v>
      </c>
      <c r="AW95" s="165">
        <f t="shared" si="22"/>
        <v>45006.541666666664</v>
      </c>
      <c r="AX95" s="165">
        <f t="shared" si="23"/>
        <v>45020.833333333336</v>
      </c>
      <c r="AY95" s="137">
        <f t="shared" si="24"/>
        <v>14.291666666671517</v>
      </c>
      <c r="AZ95" s="165">
        <v>45006.541666666664</v>
      </c>
      <c r="BA95" s="165">
        <v>45008.59375</v>
      </c>
      <c r="BB95" s="165">
        <v>45010.916666666664</v>
      </c>
      <c r="BC95" s="165">
        <v>45013.958333333336</v>
      </c>
      <c r="BD95" s="165">
        <v>45014.118055555555</v>
      </c>
      <c r="BE95" s="165">
        <v>45014.128472222219</v>
      </c>
      <c r="BF95" s="165">
        <v>45014.128472222219</v>
      </c>
      <c r="BG95" s="165">
        <f t="shared" si="36"/>
        <v>45015.836805555555</v>
      </c>
      <c r="BH95" s="165">
        <v>45016.291666608799</v>
      </c>
      <c r="BI95" s="165">
        <v>45016.458333275463</v>
      </c>
      <c r="BJ95" s="165">
        <v>45016.357638888891</v>
      </c>
      <c r="BK95" s="165">
        <v>45017.520833333336</v>
      </c>
      <c r="BL95" s="165">
        <v>45020.104166666664</v>
      </c>
      <c r="BM95" s="165">
        <v>45020.354166666664</v>
      </c>
      <c r="BN95" s="165">
        <v>45020.375</v>
      </c>
      <c r="BO95" s="165">
        <v>45020.597222222219</v>
      </c>
      <c r="BP95" s="165">
        <v>45020.833333333336</v>
      </c>
      <c r="BS95" s="136">
        <f t="shared" si="25"/>
        <v>55.749999999941792</v>
      </c>
      <c r="BT95" s="136">
        <f t="shared" si="26"/>
        <v>3.8333333332557231</v>
      </c>
      <c r="BU95" s="136">
        <f t="shared" si="27"/>
        <v>41.000000000058208</v>
      </c>
      <c r="BV95" s="136">
        <f t="shared" si="28"/>
        <v>25.500001388951205</v>
      </c>
      <c r="BW95" s="135">
        <f t="shared" si="29"/>
        <v>6</v>
      </c>
      <c r="BX95" s="135">
        <f t="shared" si="30"/>
        <v>5.6666666668024845</v>
      </c>
      <c r="BY95" s="134">
        <f t="shared" si="31"/>
        <v>5.7395833912087255</v>
      </c>
      <c r="BZ95" s="134">
        <f t="shared" si="32"/>
        <v>14.291666666671517</v>
      </c>
      <c r="CA95" s="133">
        <f t="shared" si="33"/>
        <v>0.40160350259172789</v>
      </c>
    </row>
    <row r="96" spans="1:79" s="126" customFormat="1">
      <c r="A96" s="192">
        <f t="shared" si="34"/>
        <v>45016.118055555555</v>
      </c>
      <c r="B96" s="126" t="s">
        <v>228</v>
      </c>
      <c r="C96" s="126" t="s">
        <v>229</v>
      </c>
      <c r="D96" s="126" t="s">
        <v>197</v>
      </c>
      <c r="E96" s="65" t="s">
        <v>919</v>
      </c>
      <c r="G96" s="73">
        <v>45010.666666666664</v>
      </c>
      <c r="H96" s="73">
        <v>45010.654166666667</v>
      </c>
      <c r="I96" s="126" t="s">
        <v>231</v>
      </c>
      <c r="J96" s="126" t="s">
        <v>192</v>
      </c>
      <c r="K96" s="126" t="s">
        <v>192</v>
      </c>
      <c r="L96" s="126" t="s">
        <v>1022</v>
      </c>
      <c r="M96" s="167"/>
      <c r="N96" s="126" t="s">
        <v>695</v>
      </c>
      <c r="O96" s="126" t="s">
        <v>281</v>
      </c>
      <c r="P96" s="126" t="s">
        <v>240</v>
      </c>
      <c r="Q96" s="181">
        <f>3102*2.4</f>
        <v>7444.7999999999993</v>
      </c>
      <c r="R96" s="181">
        <v>7847.5820000000003</v>
      </c>
      <c r="S96" s="181"/>
      <c r="T96" s="181"/>
      <c r="X96" s="181">
        <f t="shared" si="37"/>
        <v>7847.5820000000003</v>
      </c>
      <c r="AW96" s="165">
        <f t="shared" si="22"/>
        <v>45004.791666666664</v>
      </c>
      <c r="AX96" s="165">
        <f t="shared" si="23"/>
        <v>45022.364583333336</v>
      </c>
      <c r="AY96" s="137">
        <f t="shared" si="24"/>
        <v>17.572916666671517</v>
      </c>
      <c r="AZ96" s="165">
        <v>45004.791666666664</v>
      </c>
      <c r="BA96" s="165">
        <v>45005.826388888891</v>
      </c>
      <c r="BB96" s="165">
        <v>45011.763888888891</v>
      </c>
      <c r="BC96" s="165">
        <v>45016.118055555555</v>
      </c>
      <c r="BD96" s="165">
        <v>45016.365277777775</v>
      </c>
      <c r="BE96" s="165">
        <v>45016.375</v>
      </c>
      <c r="BF96" s="165">
        <v>45016.375</v>
      </c>
      <c r="BG96" s="165">
        <f t="shared" si="36"/>
        <v>45018.083333333336</v>
      </c>
      <c r="BH96" s="165">
        <v>45018.541666608799</v>
      </c>
      <c r="BI96" s="165">
        <v>45018.708333275463</v>
      </c>
      <c r="BJ96" s="165">
        <v>45018.600694444445</v>
      </c>
      <c r="BK96" s="165">
        <v>45020.097222222219</v>
      </c>
      <c r="BL96" s="165">
        <v>45021.576388888891</v>
      </c>
      <c r="BM96" s="165">
        <v>45021.934027777781</v>
      </c>
      <c r="BN96" s="165">
        <v>45021.954861111109</v>
      </c>
      <c r="BO96" s="165">
        <v>45022.166666666664</v>
      </c>
      <c r="BP96" s="165">
        <v>45022.364583333336</v>
      </c>
      <c r="BS96" s="136">
        <f t="shared" si="25"/>
        <v>142.5</v>
      </c>
      <c r="BT96" s="136">
        <f t="shared" si="26"/>
        <v>5.9333333332906477</v>
      </c>
      <c r="BU96" s="136">
        <f t="shared" si="27"/>
        <v>41.000000000058208</v>
      </c>
      <c r="BV96" s="136">
        <f t="shared" si="28"/>
        <v>33.33333472214872</v>
      </c>
      <c r="BW96" s="135">
        <f t="shared" si="29"/>
        <v>8.5833333333721384</v>
      </c>
      <c r="BX96" s="135">
        <f t="shared" si="30"/>
        <v>4.7500000001164153</v>
      </c>
      <c r="BY96" s="134">
        <f t="shared" si="31"/>
        <v>9.8375000578744221</v>
      </c>
      <c r="BZ96" s="134">
        <f t="shared" si="32"/>
        <v>17.572916666671517</v>
      </c>
      <c r="CA96" s="133">
        <f t="shared" si="33"/>
        <v>0.55981031746039345</v>
      </c>
    </row>
    <row r="97" spans="1:79" s="126" customFormat="1">
      <c r="A97" s="192">
        <f t="shared" si="34"/>
        <v>45016.947916666664</v>
      </c>
      <c r="B97" s="126" t="s">
        <v>228</v>
      </c>
      <c r="C97" s="126" t="s">
        <v>229</v>
      </c>
      <c r="D97" s="126" t="s">
        <v>197</v>
      </c>
      <c r="E97" s="126" t="s">
        <v>1023</v>
      </c>
      <c r="G97" s="73">
        <v>45019.583333333336</v>
      </c>
      <c r="H97" s="73">
        <v>45019.604166666664</v>
      </c>
      <c r="I97" s="126" t="s">
        <v>243</v>
      </c>
      <c r="J97" s="126" t="s">
        <v>192</v>
      </c>
      <c r="K97" s="126" t="s">
        <v>192</v>
      </c>
      <c r="L97" s="126" t="s">
        <v>1024</v>
      </c>
      <c r="M97" s="167"/>
      <c r="N97" s="126" t="s">
        <v>323</v>
      </c>
      <c r="O97" s="126" t="s">
        <v>324</v>
      </c>
      <c r="P97" s="126" t="s">
        <v>235</v>
      </c>
      <c r="Q97" s="181">
        <f>3095*2.4</f>
        <v>7428</v>
      </c>
      <c r="R97" s="181">
        <v>7468.47</v>
      </c>
      <c r="S97" s="181"/>
      <c r="W97" s="181">
        <f>R97</f>
        <v>7468.47</v>
      </c>
      <c r="AW97" s="165">
        <f t="shared" si="22"/>
        <v>45002.375</v>
      </c>
      <c r="AX97" s="165">
        <f t="shared" si="23"/>
        <v>45030.68472222222</v>
      </c>
      <c r="AY97" s="137">
        <f t="shared" si="24"/>
        <v>28.309722222220444</v>
      </c>
      <c r="AZ97" s="165">
        <v>45002.375</v>
      </c>
      <c r="BA97" s="165">
        <v>45010.793749999997</v>
      </c>
      <c r="BB97" s="165">
        <v>45012.708333333336</v>
      </c>
      <c r="BC97" s="165">
        <v>45016.947916666664</v>
      </c>
      <c r="BD97" s="165">
        <v>45017.125</v>
      </c>
      <c r="BE97" s="165">
        <v>45017.135416666664</v>
      </c>
      <c r="BF97" s="165">
        <v>45017.291666666664</v>
      </c>
      <c r="BG97" s="165">
        <f t="shared" si="36"/>
        <v>45019</v>
      </c>
      <c r="BH97" s="165">
        <v>45019.583333333336</v>
      </c>
      <c r="BI97" s="165">
        <v>45019.75</v>
      </c>
      <c r="BJ97" s="165">
        <v>45019.633333333331</v>
      </c>
      <c r="BK97" s="165">
        <v>45021.541666666664</v>
      </c>
      <c r="BL97" s="165">
        <v>45029.913194444445</v>
      </c>
      <c r="BM97" s="165">
        <v>45030.121527777781</v>
      </c>
      <c r="BN97" s="165">
        <v>45030.142361111109</v>
      </c>
      <c r="BO97" s="165">
        <v>45030.145833333336</v>
      </c>
      <c r="BP97" s="165">
        <v>45030.68472222222</v>
      </c>
      <c r="BS97" s="136">
        <f t="shared" si="25"/>
        <v>45.950000000128057</v>
      </c>
      <c r="BT97" s="136">
        <f t="shared" si="26"/>
        <v>4.2500000000582077</v>
      </c>
      <c r="BU97" s="136">
        <f t="shared" si="27"/>
        <v>41.000000000058208</v>
      </c>
      <c r="BV97" s="136">
        <f t="shared" si="28"/>
        <v>42.999999999941792</v>
      </c>
      <c r="BW97" s="135">
        <f t="shared" si="29"/>
        <v>5.0000000000582077</v>
      </c>
      <c r="BX97" s="135">
        <f t="shared" si="30"/>
        <v>12.93333333323244</v>
      </c>
      <c r="BY97" s="134">
        <f t="shared" si="31"/>
        <v>6.3388888888948713</v>
      </c>
      <c r="BZ97" s="134">
        <f t="shared" si="32"/>
        <v>28.309722222220444</v>
      </c>
      <c r="CA97" s="133">
        <f t="shared" si="33"/>
        <v>0.22391208359930306</v>
      </c>
    </row>
    <row r="98" spans="1:79" s="126" customFormat="1">
      <c r="A98" s="192">
        <f t="shared" si="34"/>
        <v>45014.150694444441</v>
      </c>
      <c r="B98" s="126" t="s">
        <v>228</v>
      </c>
      <c r="C98" s="126" t="s">
        <v>229</v>
      </c>
      <c r="D98" s="126" t="s">
        <v>197</v>
      </c>
      <c r="E98" s="65" t="s">
        <v>919</v>
      </c>
      <c r="G98" s="73">
        <v>45010.666666666664</v>
      </c>
      <c r="H98" s="73">
        <v>45010.654166666667</v>
      </c>
      <c r="I98" s="126" t="s">
        <v>231</v>
      </c>
      <c r="J98" s="126" t="s">
        <v>192</v>
      </c>
      <c r="K98" s="126" t="s">
        <v>192</v>
      </c>
      <c r="L98" s="126" t="s">
        <v>1025</v>
      </c>
      <c r="M98" s="167"/>
      <c r="N98" s="126" t="s">
        <v>238</v>
      </c>
      <c r="O98" s="126" t="s">
        <v>239</v>
      </c>
      <c r="P98" s="126" t="s">
        <v>240</v>
      </c>
      <c r="Q98" s="181">
        <f>3100*2.4</f>
        <v>7440</v>
      </c>
      <c r="R98" s="181">
        <v>7619.2629999999999</v>
      </c>
      <c r="S98" s="181"/>
      <c r="T98" s="219"/>
      <c r="X98" s="181">
        <f>R98</f>
        <v>7619.2629999999999</v>
      </c>
      <c r="AW98" s="165">
        <f t="shared" si="22"/>
        <v>45005.833333333336</v>
      </c>
      <c r="AX98" s="165">
        <f t="shared" si="23"/>
        <v>45020.916666666664</v>
      </c>
      <c r="AY98" s="137">
        <f t="shared" si="24"/>
        <v>15.083333333328483</v>
      </c>
      <c r="AZ98" s="165">
        <v>45005.833333333336</v>
      </c>
      <c r="BA98" s="165">
        <v>45009.590277777781</v>
      </c>
      <c r="BB98" s="165">
        <v>45011.513888888891</v>
      </c>
      <c r="BC98" s="165">
        <v>45014.150694444441</v>
      </c>
      <c r="BD98" s="165">
        <v>45014.666666666664</v>
      </c>
      <c r="BE98" s="165">
        <v>45014.673611111109</v>
      </c>
      <c r="BF98" s="165">
        <v>45014.673611111109</v>
      </c>
      <c r="BG98" s="165">
        <f t="shared" si="36"/>
        <v>45016.381944444445</v>
      </c>
      <c r="BH98" s="165">
        <v>45016.291666608799</v>
      </c>
      <c r="BI98" s="165">
        <v>45016.458333275463</v>
      </c>
      <c r="BJ98" s="165">
        <v>45016.40625</v>
      </c>
      <c r="BK98" s="165">
        <v>45017.583333333336</v>
      </c>
      <c r="BL98" s="165">
        <v>45020.416666666664</v>
      </c>
      <c r="BM98" s="165">
        <v>45020.638888888891</v>
      </c>
      <c r="BN98" s="165">
        <v>45020.659722222219</v>
      </c>
      <c r="BO98" s="165">
        <v>45020.659722222219</v>
      </c>
      <c r="BP98" s="165">
        <v>45020.916666666664</v>
      </c>
      <c r="BS98" s="136">
        <f t="shared" si="25"/>
        <v>46.166666666627862</v>
      </c>
      <c r="BT98" s="136">
        <f t="shared" si="26"/>
        <v>12.383333333360497</v>
      </c>
      <c r="BU98" s="136">
        <f t="shared" si="27"/>
        <v>41.000000000058208</v>
      </c>
      <c r="BV98" s="136">
        <f t="shared" si="28"/>
        <v>27.000001388951205</v>
      </c>
      <c r="BW98" s="135">
        <f t="shared" si="29"/>
        <v>5.3333333334303461</v>
      </c>
      <c r="BX98" s="135">
        <f t="shared" si="30"/>
        <v>6.1666666666860692</v>
      </c>
      <c r="BY98" s="134">
        <f t="shared" si="31"/>
        <v>5.7520833912130911</v>
      </c>
      <c r="BZ98" s="134">
        <f t="shared" si="32"/>
        <v>15.083333333328483</v>
      </c>
      <c r="CA98" s="133">
        <f t="shared" si="33"/>
        <v>0.38135359499767563</v>
      </c>
    </row>
    <row r="99" spans="1:79" s="126" customFormat="1">
      <c r="A99" s="192">
        <f t="shared" si="34"/>
        <v>45015.350694444445</v>
      </c>
      <c r="B99" s="126" t="s">
        <v>228</v>
      </c>
      <c r="C99" s="126" t="s">
        <v>229</v>
      </c>
      <c r="D99" s="126" t="s">
        <v>215</v>
      </c>
      <c r="E99" s="65" t="s">
        <v>919</v>
      </c>
      <c r="G99" s="73">
        <v>45010.666666666664</v>
      </c>
      <c r="H99" s="73">
        <v>45010.654166666667</v>
      </c>
      <c r="I99" s="126" t="s">
        <v>231</v>
      </c>
      <c r="J99" s="126" t="s">
        <v>192</v>
      </c>
      <c r="K99" s="126" t="s">
        <v>192</v>
      </c>
      <c r="L99" s="126" t="s">
        <v>1026</v>
      </c>
      <c r="M99" s="167"/>
      <c r="N99" s="126" t="s">
        <v>301</v>
      </c>
      <c r="O99" s="126" t="s">
        <v>302</v>
      </c>
      <c r="P99" s="126" t="s">
        <v>240</v>
      </c>
      <c r="Q99" s="181">
        <f>3852*2.4</f>
        <v>9244.7999999999993</v>
      </c>
      <c r="R99" s="181">
        <f>9134.297-7231.613</f>
        <v>1902.6840000000002</v>
      </c>
      <c r="S99" s="181"/>
      <c r="X99" s="181">
        <f>R99</f>
        <v>1902.6840000000002</v>
      </c>
      <c r="AW99" s="165">
        <f t="shared" si="22"/>
        <v>45008.381944444445</v>
      </c>
      <c r="AX99" s="165">
        <f t="shared" si="23"/>
        <v>45022.125</v>
      </c>
      <c r="AY99" s="137">
        <f t="shared" si="24"/>
        <v>13.743055555554747</v>
      </c>
      <c r="AZ99" s="165">
        <v>45008.381944444445</v>
      </c>
      <c r="BA99" s="165">
        <v>45009.822916666664</v>
      </c>
      <c r="BB99" s="165">
        <v>45011.625</v>
      </c>
      <c r="BC99" s="165">
        <v>45015.350694444445</v>
      </c>
      <c r="BD99" s="165">
        <v>45015.881944444445</v>
      </c>
      <c r="BE99" s="165">
        <v>45015.888888888891</v>
      </c>
      <c r="BF99" s="165">
        <v>45016.25</v>
      </c>
      <c r="BG99" s="165">
        <f t="shared" si="36"/>
        <v>45017.958333333336</v>
      </c>
      <c r="BH99" s="165">
        <v>45018.541666608799</v>
      </c>
      <c r="BI99" s="165">
        <v>45018.708333275463</v>
      </c>
      <c r="BJ99" s="165">
        <v>45018.586805555555</v>
      </c>
      <c r="BK99" s="165">
        <v>45019.927083333336</v>
      </c>
      <c r="BL99" s="165">
        <v>45021.996527777781</v>
      </c>
      <c r="BM99" s="165">
        <v>45022.072916666664</v>
      </c>
      <c r="BN99" s="165">
        <v>45022.125</v>
      </c>
      <c r="BO99" s="165">
        <v>45022.125</v>
      </c>
      <c r="BP99" s="165">
        <v>45022.125</v>
      </c>
      <c r="BS99" s="136">
        <f t="shared" si="25"/>
        <v>43.250000000058208</v>
      </c>
      <c r="BT99" s="136">
        <f t="shared" si="26"/>
        <v>12.75</v>
      </c>
      <c r="BU99" s="136">
        <f t="shared" si="27"/>
        <v>41.000000000058208</v>
      </c>
      <c r="BV99" s="136">
        <f t="shared" si="28"/>
        <v>29.250001388951205</v>
      </c>
      <c r="BW99" s="135">
        <f t="shared" si="29"/>
        <v>1.8333333331975155</v>
      </c>
      <c r="BX99" s="135">
        <f t="shared" si="30"/>
        <v>0</v>
      </c>
      <c r="BY99" s="134">
        <f t="shared" si="31"/>
        <v>5.336805613427714</v>
      </c>
      <c r="BZ99" s="134">
        <f t="shared" si="32"/>
        <v>13.743055555554747</v>
      </c>
      <c r="CA99" s="133">
        <f t="shared" si="33"/>
        <v>0.3883274423110844</v>
      </c>
    </row>
    <row r="100" spans="1:79" s="126" customFormat="1">
      <c r="A100" s="192">
        <f t="shared" si="34"/>
        <v>45015.350694444445</v>
      </c>
      <c r="B100" s="126" t="s">
        <v>228</v>
      </c>
      <c r="C100" s="126" t="s">
        <v>229</v>
      </c>
      <c r="D100" s="126" t="s">
        <v>215</v>
      </c>
      <c r="E100" s="65" t="s">
        <v>1027</v>
      </c>
      <c r="G100" s="73">
        <v>45010.666666666664</v>
      </c>
      <c r="H100" s="73">
        <v>45010.654166666667</v>
      </c>
      <c r="I100" s="126" t="s">
        <v>231</v>
      </c>
      <c r="J100" s="126" t="s">
        <v>192</v>
      </c>
      <c r="K100" s="126" t="s">
        <v>192</v>
      </c>
      <c r="L100" s="126" t="s">
        <v>1026</v>
      </c>
      <c r="M100" s="167"/>
      <c r="N100" s="126" t="s">
        <v>301</v>
      </c>
      <c r="O100" s="126" t="s">
        <v>302</v>
      </c>
      <c r="P100" s="126" t="s">
        <v>240</v>
      </c>
      <c r="Q100" s="181">
        <f>3852*2.4</f>
        <v>9244.7999999999993</v>
      </c>
      <c r="R100" s="181">
        <v>7225.0119999999997</v>
      </c>
      <c r="S100" s="181"/>
      <c r="X100" s="181">
        <f>R100</f>
        <v>7225.0119999999997</v>
      </c>
      <c r="AW100" s="165">
        <f t="shared" si="22"/>
        <v>45008.381944444445</v>
      </c>
      <c r="AX100" s="165">
        <f t="shared" si="23"/>
        <v>45024.291666666664</v>
      </c>
      <c r="AY100" s="137">
        <f t="shared" si="24"/>
        <v>15.909722222218988</v>
      </c>
      <c r="AZ100" s="165">
        <v>45008.381944444445</v>
      </c>
      <c r="BA100" s="165">
        <v>45009.822916666664</v>
      </c>
      <c r="BB100" s="165">
        <v>45011.625</v>
      </c>
      <c r="BC100" s="165">
        <v>45015.350694444445</v>
      </c>
      <c r="BD100" s="165">
        <v>45015.881944444445</v>
      </c>
      <c r="BE100" s="165">
        <v>45015.888888888891</v>
      </c>
      <c r="BF100" s="165">
        <v>45016.25</v>
      </c>
      <c r="BG100" s="165">
        <f t="shared" si="36"/>
        <v>45017.958333333336</v>
      </c>
      <c r="BH100" s="165">
        <v>45018.541666608799</v>
      </c>
      <c r="BI100" s="165">
        <v>45018.708333275463</v>
      </c>
      <c r="BJ100" s="165">
        <v>45018.586805555555</v>
      </c>
      <c r="BK100" s="165">
        <v>45022.125</v>
      </c>
      <c r="BL100" s="165">
        <v>45023.791666666664</v>
      </c>
      <c r="BM100" s="165">
        <v>45023.916666666664</v>
      </c>
      <c r="BN100" s="165">
        <v>45023.9375</v>
      </c>
      <c r="BO100" s="165">
        <v>45024.201388888891</v>
      </c>
      <c r="BP100" s="165">
        <v>45024.291666666664</v>
      </c>
      <c r="BS100" s="136">
        <f t="shared" si="25"/>
        <v>43.250000000058208</v>
      </c>
      <c r="BT100" s="136">
        <f t="shared" si="26"/>
        <v>12.75</v>
      </c>
      <c r="BU100" s="136">
        <f t="shared" si="27"/>
        <v>41.000000000058208</v>
      </c>
      <c r="BV100" s="136">
        <f t="shared" si="28"/>
        <v>82.000001388892997</v>
      </c>
      <c r="BW100" s="135">
        <f t="shared" si="29"/>
        <v>3</v>
      </c>
      <c r="BX100" s="135">
        <f t="shared" si="30"/>
        <v>2.1666666665696539</v>
      </c>
      <c r="BY100" s="134">
        <f t="shared" si="31"/>
        <v>7.6736111689824611</v>
      </c>
      <c r="BZ100" s="134">
        <f t="shared" si="32"/>
        <v>15.909722222218988</v>
      </c>
      <c r="CA100" s="133">
        <f t="shared" si="33"/>
        <v>0.48232213371178478</v>
      </c>
    </row>
    <row r="101" spans="1:79" s="126" customFormat="1">
      <c r="A101" s="192">
        <f t="shared" si="34"/>
        <v>45015.920138888891</v>
      </c>
      <c r="B101" s="126" t="s">
        <v>228</v>
      </c>
      <c r="C101" s="126" t="s">
        <v>229</v>
      </c>
      <c r="D101" s="126" t="s">
        <v>197</v>
      </c>
      <c r="E101" s="126" t="s">
        <v>1023</v>
      </c>
      <c r="G101" s="73">
        <v>45019.583333333336</v>
      </c>
      <c r="H101" s="73">
        <v>45019.604166666664</v>
      </c>
      <c r="I101" s="126" t="s">
        <v>243</v>
      </c>
      <c r="J101" s="126" t="s">
        <v>192</v>
      </c>
      <c r="K101" s="126" t="s">
        <v>192</v>
      </c>
      <c r="L101" s="126" t="s">
        <v>1028</v>
      </c>
      <c r="M101" s="167"/>
      <c r="N101" s="126" t="s">
        <v>70</v>
      </c>
      <c r="O101" s="126" t="s">
        <v>255</v>
      </c>
      <c r="P101" s="126" t="s">
        <v>235</v>
      </c>
      <c r="Q101" s="181">
        <f>3047*2.4</f>
        <v>7312.8</v>
      </c>
      <c r="R101" s="181">
        <v>7284.1610000000001</v>
      </c>
      <c r="S101" s="181"/>
      <c r="T101" s="181"/>
      <c r="U101" s="181"/>
      <c r="W101" s="181">
        <f>R101</f>
        <v>7284.1610000000001</v>
      </c>
      <c r="AW101" s="165">
        <f t="shared" si="22"/>
        <v>45008.831250000003</v>
      </c>
      <c r="AX101" s="165">
        <f t="shared" si="23"/>
        <v>45029.420138888891</v>
      </c>
      <c r="AY101" s="137">
        <f t="shared" si="24"/>
        <v>20.588888888887595</v>
      </c>
      <c r="AZ101" s="165">
        <v>45008.831250000003</v>
      </c>
      <c r="BA101" s="165">
        <v>45009.868055555555</v>
      </c>
      <c r="BB101" s="165">
        <v>45011.638888888891</v>
      </c>
      <c r="BC101" s="165">
        <v>45015.920138888891</v>
      </c>
      <c r="BD101" s="165">
        <v>45016.081250000003</v>
      </c>
      <c r="BE101" s="165">
        <v>45016.090277777781</v>
      </c>
      <c r="BF101" s="165">
        <v>45016.25</v>
      </c>
      <c r="BG101" s="165">
        <f t="shared" si="36"/>
        <v>45017.958333333336</v>
      </c>
      <c r="BH101" s="165">
        <v>45017.541666666664</v>
      </c>
      <c r="BI101" s="165">
        <v>45017.708333333328</v>
      </c>
      <c r="BJ101" s="165">
        <v>45017.5625</v>
      </c>
      <c r="BK101" s="165">
        <v>45019.125</v>
      </c>
      <c r="BL101" s="165">
        <v>45027.847222222219</v>
      </c>
      <c r="BM101" s="165">
        <v>45028.086805555555</v>
      </c>
      <c r="BN101" s="165">
        <v>45028.107638888891</v>
      </c>
      <c r="BO101" s="165">
        <v>45029</v>
      </c>
      <c r="BP101" s="165">
        <v>45029.420138888891</v>
      </c>
      <c r="BS101" s="136">
        <f t="shared" si="25"/>
        <v>42.500000000058208</v>
      </c>
      <c r="BT101" s="136">
        <f t="shared" si="26"/>
        <v>3.8666666666977108</v>
      </c>
      <c r="BU101" s="136">
        <f t="shared" si="27"/>
        <v>41.000000000058208</v>
      </c>
      <c r="BV101" s="136">
        <f t="shared" si="28"/>
        <v>34.000000000116415</v>
      </c>
      <c r="BW101" s="135">
        <f t="shared" si="29"/>
        <v>5.7500000000582077</v>
      </c>
      <c r="BX101" s="135">
        <f t="shared" si="30"/>
        <v>10.083333333372138</v>
      </c>
      <c r="BY101" s="134">
        <f t="shared" si="31"/>
        <v>5.7166666666817036</v>
      </c>
      <c r="BZ101" s="134">
        <f t="shared" si="32"/>
        <v>20.588888888887595</v>
      </c>
      <c r="CA101" s="133">
        <f t="shared" si="33"/>
        <v>0.27765785213242616</v>
      </c>
    </row>
    <row r="102" spans="1:79" s="126" customFormat="1">
      <c r="A102" s="192">
        <f t="shared" si="34"/>
        <v>45016.4</v>
      </c>
      <c r="B102" s="126" t="s">
        <v>228</v>
      </c>
      <c r="C102" s="126" t="s">
        <v>229</v>
      </c>
      <c r="D102" s="126" t="s">
        <v>215</v>
      </c>
      <c r="E102" s="65" t="s">
        <v>919</v>
      </c>
      <c r="G102" s="73">
        <v>45010.666666666664</v>
      </c>
      <c r="H102" s="73">
        <v>45010.654166666667</v>
      </c>
      <c r="I102" s="126" t="s">
        <v>231</v>
      </c>
      <c r="J102" s="126" t="s">
        <v>192</v>
      </c>
      <c r="K102" s="126" t="s">
        <v>192</v>
      </c>
      <c r="L102" s="126" t="s">
        <v>1029</v>
      </c>
      <c r="M102" s="167"/>
      <c r="N102" s="126" t="s">
        <v>218</v>
      </c>
      <c r="O102" s="126" t="s">
        <v>219</v>
      </c>
      <c r="P102" s="126" t="s">
        <v>240</v>
      </c>
      <c r="Q102" s="181">
        <f>3087*2.4</f>
        <v>7408.7999999999993</v>
      </c>
      <c r="R102" s="181">
        <v>7549.3149999999996</v>
      </c>
      <c r="S102" s="181"/>
      <c r="X102" s="181">
        <f>R102</f>
        <v>7549.3149999999996</v>
      </c>
      <c r="AW102" s="165">
        <f t="shared" si="22"/>
        <v>45009.40625</v>
      </c>
      <c r="AX102" s="165">
        <f t="shared" si="23"/>
        <v>45021.854166666664</v>
      </c>
      <c r="AY102" s="137">
        <f t="shared" si="24"/>
        <v>12.447916666664241</v>
      </c>
      <c r="AZ102" s="165">
        <v>45009.40625</v>
      </c>
      <c r="BA102" s="165">
        <v>45009.819444444445</v>
      </c>
      <c r="BB102" s="165">
        <v>45011.833333333336</v>
      </c>
      <c r="BC102" s="165">
        <v>45016.4</v>
      </c>
      <c r="BD102" s="165">
        <v>45016.548611111109</v>
      </c>
      <c r="BE102" s="165">
        <v>45016.559027777781</v>
      </c>
      <c r="BF102" s="165">
        <v>45016.559027777781</v>
      </c>
      <c r="BG102" s="165">
        <f t="shared" si="36"/>
        <v>45018.267361111117</v>
      </c>
      <c r="BH102" s="165">
        <v>45018.541666608799</v>
      </c>
      <c r="BI102" s="165">
        <v>45018.708333275463</v>
      </c>
      <c r="BJ102" s="165">
        <v>45018.597222222219</v>
      </c>
      <c r="BK102" s="165">
        <v>45019.826388888891</v>
      </c>
      <c r="BL102" s="165">
        <v>45021.145833333336</v>
      </c>
      <c r="BM102" s="165">
        <v>45021.375</v>
      </c>
      <c r="BN102" s="165">
        <v>45021.395833333336</v>
      </c>
      <c r="BO102" s="165">
        <v>45021.649305555555</v>
      </c>
      <c r="BP102" s="165">
        <v>45021.854166666664</v>
      </c>
      <c r="BS102" s="136">
        <f t="shared" si="25"/>
        <v>48.333333333372138</v>
      </c>
      <c r="BT102" s="136">
        <f t="shared" si="26"/>
        <v>3.566666666592937</v>
      </c>
      <c r="BU102" s="136">
        <f t="shared" si="27"/>
        <v>41.000000000058208</v>
      </c>
      <c r="BV102" s="136">
        <f t="shared" si="28"/>
        <v>26.833334722265135</v>
      </c>
      <c r="BW102" s="135">
        <f t="shared" si="29"/>
        <v>5.4999999999417923</v>
      </c>
      <c r="BX102" s="135">
        <f t="shared" si="30"/>
        <v>4.9166666666278616</v>
      </c>
      <c r="BY102" s="134">
        <f t="shared" si="31"/>
        <v>5.422916724535753</v>
      </c>
      <c r="BZ102" s="134">
        <f t="shared" si="32"/>
        <v>12.447916666664241</v>
      </c>
      <c r="CA102" s="133">
        <f t="shared" si="33"/>
        <v>0.43564854021383576</v>
      </c>
    </row>
    <row r="103" spans="1:79" s="126" customFormat="1">
      <c r="A103" s="192">
        <f t="shared" si="34"/>
        <v>44999.076388888891</v>
      </c>
      <c r="B103" s="126" t="s">
        <v>228</v>
      </c>
      <c r="C103" s="126" t="s">
        <v>229</v>
      </c>
      <c r="D103" s="126" t="s">
        <v>197</v>
      </c>
      <c r="E103" s="126" t="s">
        <v>1030</v>
      </c>
      <c r="G103" s="73">
        <v>45002.25</v>
      </c>
      <c r="H103" s="73">
        <v>45002.208333333336</v>
      </c>
      <c r="I103" s="126" t="s">
        <v>1031</v>
      </c>
      <c r="J103" s="126" t="s">
        <v>192</v>
      </c>
      <c r="K103" s="126" t="s">
        <v>192</v>
      </c>
      <c r="L103" s="126" t="s">
        <v>1032</v>
      </c>
      <c r="M103" s="167"/>
      <c r="N103" s="126" t="s">
        <v>257</v>
      </c>
      <c r="O103" s="126" t="s">
        <v>258</v>
      </c>
      <c r="P103" s="126" t="s">
        <v>173</v>
      </c>
      <c r="Q103" s="181">
        <f>3139*2.4</f>
        <v>7533.5999999999995</v>
      </c>
      <c r="R103" s="181">
        <v>7458.0730000000003</v>
      </c>
      <c r="S103" s="181"/>
      <c r="T103" s="172"/>
      <c r="Z103" s="181">
        <f>R103</f>
        <v>7458.0730000000003</v>
      </c>
      <c r="AW103" s="165">
        <f t="shared" si="22"/>
        <v>44992.375</v>
      </c>
      <c r="AX103" s="165">
        <f t="shared" si="23"/>
        <v>45004.75</v>
      </c>
      <c r="AY103" s="137">
        <f t="shared" si="24"/>
        <v>12.375</v>
      </c>
      <c r="AZ103" s="165">
        <v>44992.375</v>
      </c>
      <c r="BA103" s="165">
        <v>44993.788194444445</v>
      </c>
      <c r="BB103" s="165">
        <v>44995.385416666664</v>
      </c>
      <c r="BC103" s="165">
        <v>44999.076388888891</v>
      </c>
      <c r="BD103" s="165">
        <v>44999.413194444445</v>
      </c>
      <c r="BE103" s="165">
        <v>44999.416666666664</v>
      </c>
      <c r="BF103" s="165">
        <v>44999.416666666664</v>
      </c>
      <c r="BG103" s="165">
        <f t="shared" si="36"/>
        <v>45001.125</v>
      </c>
      <c r="BH103" s="165">
        <v>45001.291666608799</v>
      </c>
      <c r="BI103" s="165">
        <v>45001.458333275463</v>
      </c>
      <c r="BJ103" s="165">
        <v>45001.368055555555</v>
      </c>
      <c r="BK103" s="165">
        <v>45002.541666666664</v>
      </c>
      <c r="BL103" s="165">
        <v>45004.184027777781</v>
      </c>
      <c r="BM103" s="165">
        <v>45004.486111111109</v>
      </c>
      <c r="BN103" s="165">
        <v>45004.506944444445</v>
      </c>
      <c r="BO103" s="165">
        <v>45004.583333333336</v>
      </c>
      <c r="BP103" s="165">
        <v>45004.75</v>
      </c>
      <c r="BQ103" s="126" t="s">
        <v>961</v>
      </c>
      <c r="BS103" s="136">
        <f t="shared" si="25"/>
        <v>38.333333333255723</v>
      </c>
      <c r="BT103" s="136">
        <f t="shared" si="26"/>
        <v>8.0833333333139308</v>
      </c>
      <c r="BU103" s="136">
        <f t="shared" si="27"/>
        <v>41.000000000058208</v>
      </c>
      <c r="BV103" s="136">
        <f t="shared" si="28"/>
        <v>26.000001388834789</v>
      </c>
      <c r="BW103" s="135">
        <f t="shared" si="29"/>
        <v>7.2499999998835847</v>
      </c>
      <c r="BX103" s="135">
        <f t="shared" si="30"/>
        <v>3.9999999999417923</v>
      </c>
      <c r="BY103" s="134">
        <f t="shared" si="31"/>
        <v>5.1944445023036678</v>
      </c>
      <c r="BZ103" s="134">
        <f t="shared" si="32"/>
        <v>12.375</v>
      </c>
      <c r="CA103" s="133">
        <f t="shared" si="33"/>
        <v>0.41975309109524589</v>
      </c>
    </row>
    <row r="104" spans="1:79" s="126" customFormat="1">
      <c r="A104" s="192">
        <f t="shared" si="34"/>
        <v>44993.548611111109</v>
      </c>
      <c r="B104" s="126" t="s">
        <v>188</v>
      </c>
      <c r="C104" s="126" t="s">
        <v>81</v>
      </c>
      <c r="D104" s="126" t="s">
        <v>197</v>
      </c>
      <c r="E104" s="126" t="s">
        <v>971</v>
      </c>
      <c r="G104" s="165">
        <v>45001.2</v>
      </c>
      <c r="H104" s="165">
        <v>45001.2</v>
      </c>
      <c r="I104" s="126" t="s">
        <v>443</v>
      </c>
      <c r="J104" s="126" t="s">
        <v>192</v>
      </c>
      <c r="K104" s="126" t="s">
        <v>192</v>
      </c>
      <c r="L104" s="126" t="s">
        <v>1033</v>
      </c>
      <c r="M104" s="167"/>
      <c r="N104" s="126" t="s">
        <v>383</v>
      </c>
      <c r="O104" s="126" t="s">
        <v>384</v>
      </c>
      <c r="P104" s="126" t="s">
        <v>81</v>
      </c>
      <c r="Q104" s="181">
        <v>5500</v>
      </c>
      <c r="R104" s="181">
        <v>5132</v>
      </c>
      <c r="S104" s="181"/>
      <c r="AH104" s="181">
        <f>R104</f>
        <v>5132</v>
      </c>
      <c r="AW104" s="165">
        <f t="shared" si="22"/>
        <v>44989.666666666664</v>
      </c>
      <c r="AX104" s="165">
        <f t="shared" si="23"/>
        <v>44997.388888888891</v>
      </c>
      <c r="AY104" s="137">
        <f t="shared" si="24"/>
        <v>7.7222222222262644</v>
      </c>
      <c r="AZ104" s="165">
        <v>44989.666666666664</v>
      </c>
      <c r="BA104" s="165">
        <v>44993.229166666664</v>
      </c>
      <c r="BB104" s="165">
        <v>44993.524305555555</v>
      </c>
      <c r="BC104" s="165">
        <v>44993.548611111109</v>
      </c>
      <c r="BD104" s="165">
        <v>44994.451388888891</v>
      </c>
      <c r="BE104" s="165">
        <v>44994.493055555555</v>
      </c>
      <c r="BF104" s="165">
        <v>44994.805555555555</v>
      </c>
      <c r="BG104" s="165">
        <v>44994.805555555555</v>
      </c>
      <c r="BH104" s="166" t="s">
        <v>196</v>
      </c>
      <c r="BI104" s="166" t="s">
        <v>196</v>
      </c>
      <c r="BJ104" s="166" t="s">
        <v>196</v>
      </c>
      <c r="BK104" s="165">
        <v>44996.1875</v>
      </c>
      <c r="BL104" s="165">
        <v>44996.329861111109</v>
      </c>
      <c r="BM104" s="165">
        <v>44996.527777777781</v>
      </c>
      <c r="BN104" s="165">
        <v>44996.541666666664</v>
      </c>
      <c r="BO104" s="165">
        <v>44996.760416666664</v>
      </c>
      <c r="BP104" s="165">
        <v>44997.388888888891</v>
      </c>
      <c r="BS104" s="136">
        <f t="shared" si="25"/>
        <v>7.0833333333721384</v>
      </c>
      <c r="BT104" s="136">
        <f t="shared" si="26"/>
        <v>21.666666666744277</v>
      </c>
      <c r="BU104" s="136">
        <f t="shared" si="27"/>
        <v>0</v>
      </c>
      <c r="BV104" s="136">
        <f t="shared" ref="BV104:BV116" si="38">(BK104-BG104)*24</f>
        <v>33.166666666686069</v>
      </c>
      <c r="BW104" s="135">
        <f t="shared" si="29"/>
        <v>4.7500000001164153</v>
      </c>
      <c r="BX104" s="135">
        <f t="shared" si="30"/>
        <v>15.083333333430346</v>
      </c>
      <c r="BY104" s="134">
        <f t="shared" si="31"/>
        <v>3.4062500000145519</v>
      </c>
      <c r="BZ104" s="134">
        <f t="shared" si="32"/>
        <v>7.7222222222262644</v>
      </c>
      <c r="CA104" s="133">
        <f t="shared" si="33"/>
        <v>0.44109712230381182</v>
      </c>
    </row>
    <row r="105" spans="1:79" s="126" customFormat="1">
      <c r="A105" s="192">
        <f t="shared" si="34"/>
        <v>44997.659722222219</v>
      </c>
      <c r="B105" s="126" t="s">
        <v>188</v>
      </c>
      <c r="C105" s="126" t="s">
        <v>81</v>
      </c>
      <c r="D105" s="126" t="s">
        <v>197</v>
      </c>
      <c r="E105" s="126" t="s">
        <v>986</v>
      </c>
      <c r="G105" s="73">
        <v>45011.125</v>
      </c>
      <c r="H105" s="73">
        <v>45011.091666666667</v>
      </c>
      <c r="I105" s="126" t="s">
        <v>443</v>
      </c>
      <c r="J105" s="126" t="s">
        <v>192</v>
      </c>
      <c r="K105" s="126" t="s">
        <v>192</v>
      </c>
      <c r="L105" s="126" t="s">
        <v>1034</v>
      </c>
      <c r="M105" s="167"/>
      <c r="N105" s="126" t="s">
        <v>441</v>
      </c>
      <c r="O105" s="126" t="s">
        <v>442</v>
      </c>
      <c r="P105" s="126" t="s">
        <v>81</v>
      </c>
      <c r="Q105" s="181">
        <v>5500</v>
      </c>
      <c r="R105" s="181">
        <v>5010</v>
      </c>
      <c r="S105" s="181"/>
      <c r="AH105" s="181">
        <f>R105</f>
        <v>5010</v>
      </c>
      <c r="AW105" s="165">
        <f t="shared" si="22"/>
        <v>44995.9375</v>
      </c>
      <c r="AX105" s="165">
        <f t="shared" si="23"/>
        <v>45003.5625</v>
      </c>
      <c r="AY105" s="137">
        <f t="shared" si="24"/>
        <v>7.625</v>
      </c>
      <c r="AZ105" s="165">
        <v>44995.9375</v>
      </c>
      <c r="BA105" s="165">
        <v>44997.208333333336</v>
      </c>
      <c r="BB105" s="165">
        <v>44997.520833333336</v>
      </c>
      <c r="BC105" s="165">
        <v>44997.659722222219</v>
      </c>
      <c r="BD105" s="165">
        <v>44998.482638888891</v>
      </c>
      <c r="BE105" s="165">
        <v>44998.534722222219</v>
      </c>
      <c r="BF105" s="165">
        <v>44999.201388888891</v>
      </c>
      <c r="BG105" s="165">
        <v>44999.201388888891</v>
      </c>
      <c r="BH105" s="166" t="s">
        <v>196</v>
      </c>
      <c r="BI105" s="166" t="s">
        <v>196</v>
      </c>
      <c r="BJ105" s="166" t="s">
        <v>196</v>
      </c>
      <c r="BK105" s="165">
        <v>45000.895833333336</v>
      </c>
      <c r="BL105" s="165">
        <v>45003.413194444445</v>
      </c>
      <c r="BM105" s="165">
        <v>45003.5625</v>
      </c>
      <c r="BN105" s="165">
        <v>45003.583333333336</v>
      </c>
      <c r="BO105" s="165">
        <v>45003.586805555555</v>
      </c>
      <c r="BP105" s="165">
        <v>45003.5625</v>
      </c>
      <c r="BS105" s="136">
        <f t="shared" si="25"/>
        <v>7.5</v>
      </c>
      <c r="BT105" s="136">
        <f t="shared" si="26"/>
        <v>19.750000000116415</v>
      </c>
      <c r="BU105" s="136">
        <f t="shared" si="27"/>
        <v>0</v>
      </c>
      <c r="BV105" s="136">
        <f t="shared" si="38"/>
        <v>40.666666666686069</v>
      </c>
      <c r="BW105" s="135">
        <f t="shared" si="29"/>
        <v>3.5833333333139308</v>
      </c>
      <c r="BX105" s="135">
        <f t="shared" si="30"/>
        <v>-0.58333333331393078</v>
      </c>
      <c r="BY105" s="134">
        <f t="shared" si="31"/>
        <v>2.9548611111167702</v>
      </c>
      <c r="BZ105" s="134">
        <f t="shared" si="32"/>
        <v>7.625</v>
      </c>
      <c r="CA105" s="133">
        <f t="shared" si="33"/>
        <v>0.38752276867105184</v>
      </c>
    </row>
    <row r="106" spans="1:79" s="126" customFormat="1">
      <c r="A106" s="192">
        <f t="shared" si="34"/>
        <v>45002.996527777781</v>
      </c>
      <c r="B106" s="126" t="s">
        <v>188</v>
      </c>
      <c r="C106" s="126" t="s">
        <v>81</v>
      </c>
      <c r="D106" s="126" t="s">
        <v>197</v>
      </c>
      <c r="E106" s="65" t="s">
        <v>977</v>
      </c>
      <c r="G106" s="73">
        <v>45003.479166666664</v>
      </c>
      <c r="H106" s="73">
        <v>45003.479166666664</v>
      </c>
      <c r="I106" s="126" t="s">
        <v>439</v>
      </c>
      <c r="J106" s="126" t="s">
        <v>192</v>
      </c>
      <c r="K106" s="126" t="s">
        <v>192</v>
      </c>
      <c r="L106" s="126" t="s">
        <v>1035</v>
      </c>
      <c r="M106" s="167"/>
      <c r="N106" s="126" t="s">
        <v>383</v>
      </c>
      <c r="O106" s="126" t="s">
        <v>384</v>
      </c>
      <c r="P106" s="126" t="s">
        <v>81</v>
      </c>
      <c r="Q106" s="181">
        <v>5500</v>
      </c>
      <c r="R106" s="181">
        <v>5117</v>
      </c>
      <c r="S106" s="181"/>
      <c r="AH106" s="181">
        <f>R106</f>
        <v>5117</v>
      </c>
      <c r="AW106" s="165">
        <f t="shared" si="22"/>
        <v>44997.388888888891</v>
      </c>
      <c r="AX106" s="165">
        <f t="shared" si="23"/>
        <v>45008.854166666664</v>
      </c>
      <c r="AY106" s="137">
        <f t="shared" si="24"/>
        <v>11.465277777773736</v>
      </c>
      <c r="AZ106" s="165">
        <v>44997.388888888891</v>
      </c>
      <c r="BA106" s="165">
        <v>45002.597222222219</v>
      </c>
      <c r="BB106" s="165">
        <v>45002.90625</v>
      </c>
      <c r="BC106" s="165">
        <v>45002.996527777781</v>
      </c>
      <c r="BD106" s="165">
        <v>45004.222222222219</v>
      </c>
      <c r="BE106" s="165">
        <v>45004.288194444445</v>
      </c>
      <c r="BF106" s="165">
        <v>45004.75</v>
      </c>
      <c r="BG106" s="165">
        <v>45004.75</v>
      </c>
      <c r="BH106" s="166" t="s">
        <v>196</v>
      </c>
      <c r="BI106" s="166" t="s">
        <v>196</v>
      </c>
      <c r="BJ106" s="166" t="s">
        <v>196</v>
      </c>
      <c r="BK106" s="165">
        <v>45005.913194444445</v>
      </c>
      <c r="BL106" s="165">
        <v>45007.693055555559</v>
      </c>
      <c r="BM106" s="165">
        <v>45008.552083333336</v>
      </c>
      <c r="BN106" s="165">
        <v>45008.565972222219</v>
      </c>
      <c r="BO106" s="165">
        <v>45008.625</v>
      </c>
      <c r="BP106" s="165">
        <v>45008.854166666664</v>
      </c>
      <c r="BS106" s="136">
        <f t="shared" si="25"/>
        <v>7.4166666667442769</v>
      </c>
      <c r="BT106" s="136">
        <f t="shared" si="26"/>
        <v>29.416666666511446</v>
      </c>
      <c r="BU106" s="136">
        <f t="shared" si="27"/>
        <v>0</v>
      </c>
      <c r="BV106" s="136">
        <f t="shared" si="38"/>
        <v>27.916666666686069</v>
      </c>
      <c r="BW106" s="135">
        <f t="shared" si="29"/>
        <v>20.616666666639503</v>
      </c>
      <c r="BX106" s="135">
        <f t="shared" si="30"/>
        <v>5.4999999999417923</v>
      </c>
      <c r="BY106" s="134">
        <f t="shared" si="31"/>
        <v>3.7861111111051287</v>
      </c>
      <c r="BZ106" s="134">
        <f t="shared" si="32"/>
        <v>11.465277777773736</v>
      </c>
      <c r="CA106" s="133">
        <f t="shared" si="33"/>
        <v>0.33022410660165397</v>
      </c>
    </row>
    <row r="107" spans="1:79" s="126" customFormat="1">
      <c r="A107" s="192">
        <f t="shared" si="34"/>
        <v>45004.670138888891</v>
      </c>
      <c r="B107" s="126" t="s">
        <v>188</v>
      </c>
      <c r="C107" s="126" t="s">
        <v>81</v>
      </c>
      <c r="D107" s="126" t="s">
        <v>197</v>
      </c>
      <c r="E107" s="65" t="s">
        <v>988</v>
      </c>
      <c r="G107" s="73">
        <v>45008.541666666664</v>
      </c>
      <c r="H107" s="73">
        <v>45008.541666666664</v>
      </c>
      <c r="I107" s="126" t="s">
        <v>439</v>
      </c>
      <c r="J107" s="126" t="s">
        <v>192</v>
      </c>
      <c r="K107" s="126" t="s">
        <v>192</v>
      </c>
      <c r="L107" s="126" t="s">
        <v>1036</v>
      </c>
      <c r="M107" s="167"/>
      <c r="N107" s="126" t="s">
        <v>441</v>
      </c>
      <c r="O107" s="126" t="s">
        <v>442</v>
      </c>
      <c r="P107" s="126" t="s">
        <v>81</v>
      </c>
      <c r="Q107" s="181">
        <v>5500</v>
      </c>
      <c r="R107" s="181">
        <v>5007</v>
      </c>
      <c r="S107" s="181"/>
      <c r="AH107" s="181">
        <f>R107</f>
        <v>5007</v>
      </c>
      <c r="AW107" s="165">
        <f t="shared" si="22"/>
        <v>45004.229166666664</v>
      </c>
      <c r="AX107" s="165">
        <f t="shared" si="23"/>
        <v>45011.541666666664</v>
      </c>
      <c r="AY107" s="137">
        <f t="shared" si="24"/>
        <v>7.3125</v>
      </c>
      <c r="AZ107" s="165">
        <v>45004.229166666664</v>
      </c>
      <c r="BA107" s="165">
        <v>45004.229166666664</v>
      </c>
      <c r="BB107" s="165">
        <v>45004.354166666664</v>
      </c>
      <c r="BC107" s="165">
        <v>45004.670138888891</v>
      </c>
      <c r="BD107" s="165">
        <v>45006.104166666664</v>
      </c>
      <c r="BE107" s="165">
        <v>45006.197916666664</v>
      </c>
      <c r="BF107" s="165">
        <v>45007.121527777781</v>
      </c>
      <c r="BG107" s="165">
        <v>45007.121527777781</v>
      </c>
      <c r="BH107" s="166" t="s">
        <v>196</v>
      </c>
      <c r="BI107" s="166" t="s">
        <v>196</v>
      </c>
      <c r="BJ107" s="166" t="s">
        <v>196</v>
      </c>
      <c r="BK107" s="165">
        <v>45008.739583333336</v>
      </c>
      <c r="BL107" s="165">
        <v>45010.930555555555</v>
      </c>
      <c r="BM107" s="165">
        <v>45011.104166666664</v>
      </c>
      <c r="BN107" s="165">
        <v>45011.125</v>
      </c>
      <c r="BO107" s="165">
        <v>45011.125</v>
      </c>
      <c r="BP107" s="165">
        <v>45011.541666666664</v>
      </c>
      <c r="BS107" s="136">
        <f t="shared" si="25"/>
        <v>3</v>
      </c>
      <c r="BT107" s="136">
        <f t="shared" si="26"/>
        <v>34.416666666569654</v>
      </c>
      <c r="BU107" s="136">
        <f t="shared" si="27"/>
        <v>0</v>
      </c>
      <c r="BV107" s="136">
        <f t="shared" si="38"/>
        <v>38.833333333313931</v>
      </c>
      <c r="BW107" s="135">
        <f t="shared" si="29"/>
        <v>4.1666666666278616</v>
      </c>
      <c r="BX107" s="135">
        <f t="shared" si="30"/>
        <v>9.9999999999417923</v>
      </c>
      <c r="BY107" s="134">
        <f t="shared" si="31"/>
        <v>3.7673611111022183</v>
      </c>
      <c r="BZ107" s="134">
        <f t="shared" si="32"/>
        <v>7.3125</v>
      </c>
      <c r="CA107" s="133">
        <f t="shared" si="33"/>
        <v>0.5151946818601324</v>
      </c>
    </row>
    <row r="108" spans="1:79" s="126" customFormat="1">
      <c r="A108" s="192">
        <f t="shared" si="34"/>
        <v>45011.114583333336</v>
      </c>
      <c r="B108" s="126" t="s">
        <v>188</v>
      </c>
      <c r="C108" s="126" t="s">
        <v>81</v>
      </c>
      <c r="D108" s="126" t="s">
        <v>197</v>
      </c>
      <c r="E108" s="126" t="s">
        <v>1023</v>
      </c>
      <c r="G108" s="73">
        <v>45019.583333333336</v>
      </c>
      <c r="H108" s="73">
        <v>45019.604166666664</v>
      </c>
      <c r="I108" s="126" t="s">
        <v>443</v>
      </c>
      <c r="J108" s="126" t="s">
        <v>192</v>
      </c>
      <c r="K108" s="126" t="s">
        <v>192</v>
      </c>
      <c r="L108" s="126" t="s">
        <v>1037</v>
      </c>
      <c r="M108" s="167"/>
      <c r="N108" s="126" t="s">
        <v>383</v>
      </c>
      <c r="O108" s="126" t="s">
        <v>384</v>
      </c>
      <c r="P108" s="126" t="s">
        <v>81</v>
      </c>
      <c r="Q108" s="181">
        <v>5500</v>
      </c>
      <c r="R108" s="181">
        <v>5120</v>
      </c>
      <c r="S108" s="181"/>
      <c r="AH108" s="181">
        <f>R108</f>
        <v>5120</v>
      </c>
      <c r="AW108" s="165">
        <f t="shared" si="22"/>
        <v>45008.854166666664</v>
      </c>
      <c r="AX108" s="165">
        <f t="shared" si="23"/>
        <v>45017.746527777781</v>
      </c>
      <c r="AY108" s="137">
        <f t="shared" si="24"/>
        <v>8.8923611111167702</v>
      </c>
      <c r="AZ108" s="165">
        <v>45008.854166666664</v>
      </c>
      <c r="BA108" s="165">
        <v>45010.805555555555</v>
      </c>
      <c r="BB108" s="165">
        <v>45011.069444444445</v>
      </c>
      <c r="BC108" s="165">
        <v>45011.114583333336</v>
      </c>
      <c r="BD108" s="165">
        <v>45011.791666666664</v>
      </c>
      <c r="BE108" s="165">
        <v>45011.809027777781</v>
      </c>
      <c r="BF108" s="165">
        <v>45012.729166666664</v>
      </c>
      <c r="BG108" s="165">
        <v>45012.729166666664</v>
      </c>
      <c r="BH108" s="166" t="s">
        <v>196</v>
      </c>
      <c r="BI108" s="166" t="s">
        <v>196</v>
      </c>
      <c r="BJ108" s="166" t="s">
        <v>196</v>
      </c>
      <c r="BK108" s="165">
        <v>45014.197916666664</v>
      </c>
      <c r="BL108" s="165">
        <v>45017.534722222219</v>
      </c>
      <c r="BM108" s="165">
        <v>45017.732638888891</v>
      </c>
      <c r="BN108" s="165">
        <v>45017.746527777781</v>
      </c>
      <c r="BO108" s="165">
        <v>45017.746527777781</v>
      </c>
      <c r="BP108" s="165">
        <v>45017.746527777781</v>
      </c>
      <c r="BS108" s="136">
        <f t="shared" si="25"/>
        <v>6.3333333333721384</v>
      </c>
      <c r="BT108" s="136">
        <f t="shared" si="26"/>
        <v>16.249999999883585</v>
      </c>
      <c r="BU108" s="136">
        <f t="shared" si="27"/>
        <v>0</v>
      </c>
      <c r="BV108" s="136">
        <f t="shared" si="38"/>
        <v>35.25</v>
      </c>
      <c r="BW108" s="135">
        <f t="shared" si="29"/>
        <v>4.7500000001164153</v>
      </c>
      <c r="BX108" s="135">
        <f t="shared" si="30"/>
        <v>0</v>
      </c>
      <c r="BY108" s="134">
        <f t="shared" si="31"/>
        <v>2.6076388888905058</v>
      </c>
      <c r="BZ108" s="134">
        <f t="shared" si="32"/>
        <v>8.8923611111167702</v>
      </c>
      <c r="CA108" s="133">
        <f t="shared" si="33"/>
        <v>0.29324482623974529</v>
      </c>
    </row>
    <row r="109" spans="1:79" s="126" customFormat="1">
      <c r="A109" s="192">
        <f t="shared" si="34"/>
        <v>45015.041666666664</v>
      </c>
      <c r="B109" s="126" t="s">
        <v>188</v>
      </c>
      <c r="C109" s="126" t="s">
        <v>87</v>
      </c>
      <c r="D109" s="126" t="s">
        <v>197</v>
      </c>
      <c r="E109" s="126" t="s">
        <v>994</v>
      </c>
      <c r="G109" s="73">
        <v>45009.75</v>
      </c>
      <c r="H109" s="73">
        <v>45009.583333333336</v>
      </c>
      <c r="I109" s="126" t="s">
        <v>751</v>
      </c>
      <c r="J109" s="126" t="s">
        <v>192</v>
      </c>
      <c r="K109" s="126" t="s">
        <v>192</v>
      </c>
      <c r="L109" s="126" t="s">
        <v>1038</v>
      </c>
      <c r="M109" s="167"/>
      <c r="N109" s="126" t="s">
        <v>492</v>
      </c>
      <c r="O109" s="126" t="s">
        <v>493</v>
      </c>
      <c r="P109" s="126" t="s">
        <v>611</v>
      </c>
      <c r="Q109" s="181">
        <f>3152*2.4</f>
        <v>7564.7999999999993</v>
      </c>
      <c r="R109" s="181">
        <v>7510.1959999999999</v>
      </c>
      <c r="S109" s="181"/>
      <c r="AC109" s="181">
        <f>R109</f>
        <v>7510.1959999999999</v>
      </c>
      <c r="AW109" s="165">
        <f t="shared" si="22"/>
        <v>45013.256944444445</v>
      </c>
      <c r="AX109" s="165">
        <f t="shared" si="23"/>
        <v>45017.625</v>
      </c>
      <c r="AY109" s="137">
        <f t="shared" si="24"/>
        <v>4.3680555555547471</v>
      </c>
      <c r="AZ109" s="165">
        <v>45013.256944444445</v>
      </c>
      <c r="BA109" s="165">
        <v>45013.256944444445</v>
      </c>
      <c r="BB109" s="165">
        <v>45013.291666666664</v>
      </c>
      <c r="BC109" s="165">
        <v>45015.041666666664</v>
      </c>
      <c r="BD109" s="165">
        <v>45015.217361111114</v>
      </c>
      <c r="BE109" s="165">
        <v>45015.225694444445</v>
      </c>
      <c r="BF109" s="165">
        <v>45016.041666666664</v>
      </c>
      <c r="BG109" s="165">
        <v>45016.041666666664</v>
      </c>
      <c r="BH109" s="166" t="s">
        <v>196</v>
      </c>
      <c r="BI109" s="166" t="s">
        <v>196</v>
      </c>
      <c r="BJ109" s="166" t="s">
        <v>196</v>
      </c>
      <c r="BK109" s="165">
        <v>45016.375</v>
      </c>
      <c r="BL109" s="165">
        <v>45017.083333333336</v>
      </c>
      <c r="BM109" s="165">
        <v>45017.298611111109</v>
      </c>
      <c r="BN109" s="165">
        <v>45017.333333333336</v>
      </c>
      <c r="BO109" s="165">
        <v>45017.333333333336</v>
      </c>
      <c r="BP109" s="165">
        <v>45017.625</v>
      </c>
      <c r="BS109" s="136">
        <f t="shared" si="25"/>
        <v>0.83333333325572312</v>
      </c>
      <c r="BT109" s="136">
        <f t="shared" si="26"/>
        <v>4.216666666790843</v>
      </c>
      <c r="BU109" s="136">
        <f t="shared" si="27"/>
        <v>0</v>
      </c>
      <c r="BV109" s="136">
        <f t="shared" si="38"/>
        <v>8.0000000000582077</v>
      </c>
      <c r="BW109" s="135">
        <f t="shared" si="29"/>
        <v>5.1666666665696539</v>
      </c>
      <c r="BX109" s="135">
        <f t="shared" si="30"/>
        <v>6.9999999999417923</v>
      </c>
      <c r="BY109" s="134">
        <f t="shared" si="31"/>
        <v>1.0506944444423425</v>
      </c>
      <c r="BZ109" s="134">
        <f t="shared" si="32"/>
        <v>4.3680555555547471</v>
      </c>
      <c r="CA109" s="133">
        <f t="shared" si="33"/>
        <v>0.24054054054010385</v>
      </c>
    </row>
    <row r="110" spans="1:79" s="126" customFormat="1">
      <c r="A110" s="192">
        <f t="shared" si="34"/>
        <v>44988.572916666664</v>
      </c>
      <c r="B110" s="126" t="s">
        <v>188</v>
      </c>
      <c r="C110" s="126" t="s">
        <v>181</v>
      </c>
      <c r="D110" s="126" t="s">
        <v>189</v>
      </c>
      <c r="E110" s="126" t="s">
        <v>944</v>
      </c>
      <c r="G110" s="73">
        <v>44992.416666666664</v>
      </c>
      <c r="H110" s="73">
        <v>44992.416666666664</v>
      </c>
      <c r="I110" s="126" t="s">
        <v>1039</v>
      </c>
      <c r="J110" s="126" t="s">
        <v>192</v>
      </c>
      <c r="K110" s="126" t="s">
        <v>192</v>
      </c>
      <c r="L110" s="126" t="s">
        <v>1040</v>
      </c>
      <c r="M110" s="167"/>
      <c r="N110" s="126" t="s">
        <v>763</v>
      </c>
      <c r="O110" s="126" t="s">
        <v>454</v>
      </c>
      <c r="P110" s="126" t="s">
        <v>181</v>
      </c>
      <c r="Q110" s="181">
        <v>7500</v>
      </c>
      <c r="R110" s="181">
        <v>7701.915</v>
      </c>
      <c r="S110" s="181"/>
      <c r="AJ110" s="181">
        <f>R110</f>
        <v>7701.915</v>
      </c>
      <c r="AW110" s="165">
        <f t="shared" si="22"/>
        <v>44988.375</v>
      </c>
      <c r="AX110" s="165">
        <f t="shared" si="23"/>
        <v>44997.791666666664</v>
      </c>
      <c r="AY110" s="137">
        <f t="shared" si="24"/>
        <v>9.4166666666642413</v>
      </c>
      <c r="AZ110" s="165">
        <v>44988.375</v>
      </c>
      <c r="BA110" s="165">
        <v>44988.375</v>
      </c>
      <c r="BB110" s="165">
        <v>44988.375</v>
      </c>
      <c r="BC110" s="165">
        <v>44988.572916666664</v>
      </c>
      <c r="BD110" s="165">
        <v>44991.569444444445</v>
      </c>
      <c r="BE110" s="165">
        <v>44991.809027777781</v>
      </c>
      <c r="BF110" s="165">
        <v>44991.809027777781</v>
      </c>
      <c r="BG110" s="165">
        <v>44991.809027777781</v>
      </c>
      <c r="BH110" s="166" t="s">
        <v>196</v>
      </c>
      <c r="BI110" s="166" t="s">
        <v>196</v>
      </c>
      <c r="BJ110" s="166" t="s">
        <v>196</v>
      </c>
      <c r="BK110" s="165">
        <v>44993.8125</v>
      </c>
      <c r="BL110" s="165">
        <v>44996.666666666664</v>
      </c>
      <c r="BM110" s="165">
        <v>44997.777777777781</v>
      </c>
      <c r="BN110" s="165">
        <v>44997.791666666664</v>
      </c>
      <c r="BO110" s="165">
        <v>44997.791666666664</v>
      </c>
      <c r="BP110" s="165">
        <v>44997.791666666664</v>
      </c>
      <c r="BS110" s="136">
        <f t="shared" si="25"/>
        <v>0</v>
      </c>
      <c r="BT110" s="136">
        <f t="shared" si="26"/>
        <v>71.916666666744277</v>
      </c>
      <c r="BU110" s="136">
        <f t="shared" si="27"/>
        <v>0</v>
      </c>
      <c r="BV110" s="136">
        <f t="shared" si="38"/>
        <v>48.083333333255723</v>
      </c>
      <c r="BW110" s="135">
        <f t="shared" si="29"/>
        <v>26.666666666802485</v>
      </c>
      <c r="BX110" s="135">
        <f t="shared" si="30"/>
        <v>0</v>
      </c>
      <c r="BY110" s="134">
        <f t="shared" si="31"/>
        <v>6.1111111111167702</v>
      </c>
      <c r="BZ110" s="134">
        <f t="shared" si="32"/>
        <v>9.4166666666642413</v>
      </c>
      <c r="CA110" s="133">
        <f t="shared" si="33"/>
        <v>0.64896755162318698</v>
      </c>
    </row>
    <row r="111" spans="1:79" s="126" customFormat="1">
      <c r="A111" s="192">
        <f t="shared" si="34"/>
        <v>44999.652777777781</v>
      </c>
      <c r="B111" s="126" t="s">
        <v>188</v>
      </c>
      <c r="C111" s="126" t="s">
        <v>181</v>
      </c>
      <c r="D111" s="126" t="s">
        <v>189</v>
      </c>
      <c r="E111" s="126" t="s">
        <v>916</v>
      </c>
      <c r="G111" s="165">
        <v>45012.239583333336</v>
      </c>
      <c r="H111" s="165">
        <v>45012.239583333336</v>
      </c>
      <c r="I111" s="126" t="s">
        <v>448</v>
      </c>
      <c r="J111" s="126" t="s">
        <v>192</v>
      </c>
      <c r="K111" s="126" t="s">
        <v>192</v>
      </c>
      <c r="L111" s="126" t="s">
        <v>1041</v>
      </c>
      <c r="M111" s="167"/>
      <c r="N111" s="126" t="s">
        <v>453</v>
      </c>
      <c r="O111" s="126" t="s">
        <v>454</v>
      </c>
      <c r="P111" s="126" t="s">
        <v>181</v>
      </c>
      <c r="Q111" s="181">
        <v>7500</v>
      </c>
      <c r="R111" s="181">
        <v>7541.1790000000001</v>
      </c>
      <c r="S111" s="181"/>
      <c r="AJ111" s="181">
        <f>R111</f>
        <v>7541.1790000000001</v>
      </c>
      <c r="AW111" s="165">
        <f t="shared" si="22"/>
        <v>44999.03125</v>
      </c>
      <c r="AX111" s="165">
        <f t="shared" si="23"/>
        <v>45004.600694444445</v>
      </c>
      <c r="AY111" s="137">
        <f t="shared" si="24"/>
        <v>5.5694444444452529</v>
      </c>
      <c r="AZ111" s="165">
        <v>44999.03125</v>
      </c>
      <c r="BA111" s="165">
        <v>44999.03125</v>
      </c>
      <c r="BB111" s="165">
        <v>44999.03125</v>
      </c>
      <c r="BC111" s="165">
        <v>44999.652777777781</v>
      </c>
      <c r="BD111" s="165">
        <v>45001.510416666664</v>
      </c>
      <c r="BE111" s="165">
        <v>45001.5625</v>
      </c>
      <c r="BF111" s="165">
        <v>45001.5625</v>
      </c>
      <c r="BG111" s="165">
        <v>45001.5625</v>
      </c>
      <c r="BH111" s="166" t="s">
        <v>196</v>
      </c>
      <c r="BI111" s="166" t="s">
        <v>196</v>
      </c>
      <c r="BJ111" s="166" t="s">
        <v>196</v>
      </c>
      <c r="BK111" s="165">
        <v>45003.729166666664</v>
      </c>
      <c r="BL111" s="165">
        <v>45003.836805555555</v>
      </c>
      <c r="BM111" s="165">
        <v>45004.586805555555</v>
      </c>
      <c r="BN111" s="165">
        <v>45004.600694444445</v>
      </c>
      <c r="BO111" s="165">
        <v>45004.600694444445</v>
      </c>
      <c r="BP111" s="165">
        <v>45004.600694444445</v>
      </c>
      <c r="BS111" s="136">
        <f t="shared" si="25"/>
        <v>0</v>
      </c>
      <c r="BT111" s="136">
        <f t="shared" si="26"/>
        <v>44.583333333197515</v>
      </c>
      <c r="BU111" s="136">
        <f t="shared" si="27"/>
        <v>0</v>
      </c>
      <c r="BV111" s="136">
        <f t="shared" si="38"/>
        <v>51.999999999941792</v>
      </c>
      <c r="BW111" s="135">
        <f t="shared" si="29"/>
        <v>18</v>
      </c>
      <c r="BX111" s="135">
        <f t="shared" si="30"/>
        <v>0</v>
      </c>
      <c r="BY111" s="134">
        <f t="shared" si="31"/>
        <v>4.7743055555474712</v>
      </c>
      <c r="BZ111" s="134">
        <f t="shared" si="32"/>
        <v>5.5694444444452529</v>
      </c>
      <c r="CA111" s="133">
        <f t="shared" si="33"/>
        <v>0.85723192019792527</v>
      </c>
    </row>
    <row r="112" spans="1:79" s="126" customFormat="1">
      <c r="A112" s="192">
        <f t="shared" si="34"/>
        <v>45008.618055555555</v>
      </c>
      <c r="B112" s="126" t="s">
        <v>188</v>
      </c>
      <c r="C112" s="126" t="s">
        <v>181</v>
      </c>
      <c r="D112" s="126" t="s">
        <v>189</v>
      </c>
      <c r="E112" s="65" t="s">
        <v>994</v>
      </c>
      <c r="G112" s="73">
        <v>45009.75</v>
      </c>
      <c r="H112" s="73">
        <v>45009.583333333336</v>
      </c>
      <c r="I112" s="126" t="s">
        <v>1039</v>
      </c>
      <c r="J112" s="126" t="s">
        <v>192</v>
      </c>
      <c r="K112" s="126" t="s">
        <v>192</v>
      </c>
      <c r="L112" s="126" t="s">
        <v>1042</v>
      </c>
      <c r="M112" s="167"/>
      <c r="N112" s="126" t="s">
        <v>453</v>
      </c>
      <c r="O112" s="126" t="s">
        <v>454</v>
      </c>
      <c r="P112" s="126" t="s">
        <v>181</v>
      </c>
      <c r="Q112" s="181">
        <v>7500</v>
      </c>
      <c r="R112" s="181">
        <v>7537.7060000000001</v>
      </c>
      <c r="S112" s="181"/>
      <c r="AJ112" s="181">
        <f>R112</f>
        <v>7537.7060000000001</v>
      </c>
      <c r="AW112" s="165">
        <f t="shared" si="22"/>
        <v>45007.083333333336</v>
      </c>
      <c r="AX112" s="165">
        <f t="shared" si="23"/>
        <v>45017.875</v>
      </c>
      <c r="AY112" s="137">
        <f t="shared" si="24"/>
        <v>10.791666666664241</v>
      </c>
      <c r="AZ112" s="165">
        <v>45007.083333333336</v>
      </c>
      <c r="BA112" s="165">
        <v>45007.083333333336</v>
      </c>
      <c r="BB112" s="165">
        <v>45007.083333333336</v>
      </c>
      <c r="BC112" s="165">
        <v>45008.618055555555</v>
      </c>
      <c r="BD112" s="165">
        <v>45009.913194444445</v>
      </c>
      <c r="BE112" s="165">
        <v>45010.28125</v>
      </c>
      <c r="BF112" s="165">
        <v>45010.28125</v>
      </c>
      <c r="BG112" s="165">
        <v>45010.28125</v>
      </c>
      <c r="BH112" s="166" t="s">
        <v>196</v>
      </c>
      <c r="BI112" s="166" t="s">
        <v>196</v>
      </c>
      <c r="BJ112" s="166" t="s">
        <v>196</v>
      </c>
      <c r="BK112" s="165">
        <v>45012.375</v>
      </c>
      <c r="BL112" s="165">
        <v>45016.760416666664</v>
      </c>
      <c r="BM112" s="165">
        <v>45017.861111111109</v>
      </c>
      <c r="BN112" s="165">
        <v>45017.875</v>
      </c>
      <c r="BO112" s="165">
        <v>45017.875</v>
      </c>
      <c r="BP112" s="165">
        <v>45017.875</v>
      </c>
      <c r="BS112" s="136">
        <f t="shared" si="25"/>
        <v>0</v>
      </c>
      <c r="BT112" s="136">
        <f t="shared" si="26"/>
        <v>31.083333333372138</v>
      </c>
      <c r="BU112" s="136">
        <f t="shared" si="27"/>
        <v>0</v>
      </c>
      <c r="BV112" s="136">
        <f t="shared" si="38"/>
        <v>50.25</v>
      </c>
      <c r="BW112" s="135">
        <f t="shared" si="29"/>
        <v>26.416666666686069</v>
      </c>
      <c r="BX112" s="135">
        <f t="shared" si="30"/>
        <v>0</v>
      </c>
      <c r="BY112" s="134">
        <f t="shared" si="31"/>
        <v>4.4895833333357587</v>
      </c>
      <c r="BZ112" s="134">
        <f t="shared" si="32"/>
        <v>10.791666666664241</v>
      </c>
      <c r="CA112" s="133">
        <f t="shared" si="33"/>
        <v>0.41602316602348427</v>
      </c>
    </row>
    <row r="113" spans="1:79" s="126" customFormat="1">
      <c r="A113" s="192">
        <f t="shared" si="34"/>
        <v>44988.451388888891</v>
      </c>
      <c r="B113" s="126" t="s">
        <v>188</v>
      </c>
      <c r="C113" s="126" t="s">
        <v>82</v>
      </c>
      <c r="D113" s="126" t="s">
        <v>197</v>
      </c>
      <c r="E113" s="126" t="s">
        <v>814</v>
      </c>
      <c r="G113" s="73">
        <v>44989.875</v>
      </c>
      <c r="H113" s="73">
        <v>44989.79583333333</v>
      </c>
      <c r="I113" s="126" t="s">
        <v>1043</v>
      </c>
      <c r="J113" s="126" t="s">
        <v>192</v>
      </c>
      <c r="K113" s="126" t="s">
        <v>192</v>
      </c>
      <c r="L113" s="126" t="s">
        <v>1044</v>
      </c>
      <c r="M113" s="167"/>
      <c r="N113" s="126" t="s">
        <v>441</v>
      </c>
      <c r="O113" s="126" t="s">
        <v>442</v>
      </c>
      <c r="P113" s="126" t="s">
        <v>82</v>
      </c>
      <c r="Q113" s="181">
        <v>5500</v>
      </c>
      <c r="R113" s="181">
        <v>5010.5360000000001</v>
      </c>
      <c r="S113" s="181"/>
      <c r="AQ113" s="181">
        <f>R113</f>
        <v>5010.5360000000001</v>
      </c>
      <c r="AW113" s="165">
        <f t="shared" si="22"/>
        <v>44962.659722222219</v>
      </c>
      <c r="AX113" s="165">
        <f t="shared" si="23"/>
        <v>44995.9375</v>
      </c>
      <c r="AY113" s="137">
        <f t="shared" si="24"/>
        <v>33.277777777781012</v>
      </c>
      <c r="AZ113" s="165">
        <v>44962.659722222219</v>
      </c>
      <c r="BA113" s="165">
        <v>44988.0625</v>
      </c>
      <c r="BB113" s="165">
        <v>44988.305555555555</v>
      </c>
      <c r="BC113" s="165">
        <v>44988.451388888891</v>
      </c>
      <c r="BD113" s="165">
        <v>44989.479166666664</v>
      </c>
      <c r="BE113" s="165">
        <v>44989.517361111109</v>
      </c>
      <c r="BF113" s="165">
        <v>44991.104166666664</v>
      </c>
      <c r="BG113" s="165">
        <v>44991.104166666664</v>
      </c>
      <c r="BH113" s="166" t="s">
        <v>196</v>
      </c>
      <c r="BI113" s="166" t="s">
        <v>196</v>
      </c>
      <c r="BJ113" s="166" t="s">
        <v>196</v>
      </c>
      <c r="BK113" s="165">
        <v>44992.625</v>
      </c>
      <c r="BL113" s="165">
        <v>44995.201388888891</v>
      </c>
      <c r="BM113" s="165">
        <v>44995.333333333336</v>
      </c>
      <c r="BN113" s="165">
        <v>44995.354166666664</v>
      </c>
      <c r="BO113" s="165">
        <v>44995.666666666664</v>
      </c>
      <c r="BP113" s="165">
        <v>44995.9375</v>
      </c>
      <c r="BS113" s="136">
        <f t="shared" si="25"/>
        <v>5.8333333333139308</v>
      </c>
      <c r="BT113" s="136">
        <f t="shared" si="26"/>
        <v>24.666666666569654</v>
      </c>
      <c r="BU113" s="136">
        <f t="shared" si="27"/>
        <v>0</v>
      </c>
      <c r="BV113" s="136">
        <f t="shared" si="38"/>
        <v>36.500000000058208</v>
      </c>
      <c r="BW113" s="135">
        <f t="shared" si="29"/>
        <v>3.1666666666860692</v>
      </c>
      <c r="BX113" s="135">
        <f t="shared" si="30"/>
        <v>6.5000000000582077</v>
      </c>
      <c r="BY113" s="134">
        <f t="shared" si="31"/>
        <v>3.1944444444452529</v>
      </c>
      <c r="BZ113" s="134">
        <f t="shared" si="32"/>
        <v>33.277777777781012</v>
      </c>
      <c r="CA113" s="133">
        <f t="shared" si="33"/>
        <v>9.5993322203687753E-2</v>
      </c>
    </row>
    <row r="114" spans="1:79" s="126" customFormat="1">
      <c r="A114" s="192">
        <f t="shared" si="34"/>
        <v>45015.402777777781</v>
      </c>
      <c r="B114" s="126" t="s">
        <v>188</v>
      </c>
      <c r="C114" s="126" t="s">
        <v>82</v>
      </c>
      <c r="D114" s="126" t="s">
        <v>197</v>
      </c>
      <c r="E114" s="126" t="s">
        <v>1045</v>
      </c>
      <c r="G114" s="73">
        <v>45019.958333333336</v>
      </c>
      <c r="H114" s="73">
        <v>45019.958333333336</v>
      </c>
      <c r="I114" s="65" t="s">
        <v>1046</v>
      </c>
      <c r="J114" s="126" t="s">
        <v>192</v>
      </c>
      <c r="K114" s="126" t="s">
        <v>192</v>
      </c>
      <c r="L114" s="126" t="s">
        <v>1047</v>
      </c>
      <c r="M114" s="167"/>
      <c r="N114" s="126" t="s">
        <v>441</v>
      </c>
      <c r="O114" s="126" t="s">
        <v>442</v>
      </c>
      <c r="P114" s="126" t="s">
        <v>82</v>
      </c>
      <c r="Q114" s="181">
        <v>5500</v>
      </c>
      <c r="R114" s="181">
        <v>4960</v>
      </c>
      <c r="S114" s="181"/>
      <c r="AQ114" s="181">
        <f>R114</f>
        <v>4960</v>
      </c>
      <c r="AW114" s="165">
        <f t="shared" si="22"/>
        <v>45011.541666666664</v>
      </c>
      <c r="AX114" s="165">
        <f t="shared" si="23"/>
        <v>45022.052083333336</v>
      </c>
      <c r="AY114" s="137">
        <f t="shared" si="24"/>
        <v>10.510416666671517</v>
      </c>
      <c r="AZ114" s="165">
        <v>45011.541666666664</v>
      </c>
      <c r="BA114" s="165">
        <v>45014.833333333336</v>
      </c>
      <c r="BB114" s="165">
        <v>45015.041666666664</v>
      </c>
      <c r="BC114" s="165">
        <v>45015.402777777781</v>
      </c>
      <c r="BD114" s="165">
        <v>45016.649305555555</v>
      </c>
      <c r="BE114" s="165">
        <v>45016.704861111109</v>
      </c>
      <c r="BF114" s="165">
        <v>45018.131944444445</v>
      </c>
      <c r="BG114" s="165">
        <f>BF114</f>
        <v>45018.131944444445</v>
      </c>
      <c r="BH114" s="166" t="s">
        <v>196</v>
      </c>
      <c r="BI114" s="166" t="s">
        <v>196</v>
      </c>
      <c r="BJ114" s="166" t="s">
        <v>196</v>
      </c>
      <c r="BK114" s="165">
        <v>45019.84375</v>
      </c>
      <c r="BL114" s="165">
        <v>45020.951388888891</v>
      </c>
      <c r="BM114" s="165">
        <v>45022.034722222219</v>
      </c>
      <c r="BN114" s="165">
        <v>45022.052083333336</v>
      </c>
      <c r="BO114" s="165">
        <v>45022.052083333336</v>
      </c>
      <c r="BP114" s="165">
        <v>45022.052083333336</v>
      </c>
      <c r="BS114" s="136">
        <f t="shared" si="25"/>
        <v>4.9999999998835847</v>
      </c>
      <c r="BT114" s="136">
        <f t="shared" si="26"/>
        <v>29.916666666569654</v>
      </c>
      <c r="BU114" s="136">
        <f t="shared" si="27"/>
        <v>0</v>
      </c>
      <c r="BV114" s="136">
        <f t="shared" si="38"/>
        <v>41.083333333313931</v>
      </c>
      <c r="BW114" s="135">
        <f t="shared" si="29"/>
        <v>25.999999999883585</v>
      </c>
      <c r="BX114" s="135">
        <f t="shared" si="30"/>
        <v>0</v>
      </c>
      <c r="BY114" s="134">
        <f t="shared" si="31"/>
        <v>4.2499999999854481</v>
      </c>
      <c r="BZ114" s="134">
        <f t="shared" si="32"/>
        <v>10.510416666671517</v>
      </c>
      <c r="CA114" s="133">
        <f t="shared" si="33"/>
        <v>0.40436075321943976</v>
      </c>
    </row>
    <row r="115" spans="1:79" s="126" customFormat="1">
      <c r="A115" s="192">
        <f t="shared" si="34"/>
        <v>44999.916666666664</v>
      </c>
      <c r="B115" s="126" t="s">
        <v>188</v>
      </c>
      <c r="C115" s="126" t="s">
        <v>84</v>
      </c>
      <c r="D115" s="126" t="s">
        <v>197</v>
      </c>
      <c r="E115" s="65" t="s">
        <v>943</v>
      </c>
      <c r="G115" s="73">
        <v>44992.25</v>
      </c>
      <c r="H115" s="73">
        <v>44992.25</v>
      </c>
      <c r="I115" s="126" t="s">
        <v>458</v>
      </c>
      <c r="J115" s="126" t="s">
        <v>192</v>
      </c>
      <c r="K115" s="126" t="s">
        <v>192</v>
      </c>
      <c r="L115" s="126" t="s">
        <v>1048</v>
      </c>
      <c r="M115" s="167"/>
      <c r="N115" s="126" t="s">
        <v>695</v>
      </c>
      <c r="O115" s="126" t="s">
        <v>281</v>
      </c>
      <c r="P115" s="126" t="s">
        <v>84</v>
      </c>
      <c r="Q115" s="181">
        <f>3102*2.4</f>
        <v>7444.7999999999993</v>
      </c>
      <c r="R115" s="181">
        <v>7434</v>
      </c>
      <c r="S115" s="181"/>
      <c r="AL115" s="181">
        <f>R115</f>
        <v>7434</v>
      </c>
      <c r="AW115" s="165">
        <f t="shared" si="22"/>
        <v>44994.931944444441</v>
      </c>
      <c r="AX115" s="165">
        <f t="shared" si="23"/>
        <v>45004.791666666664</v>
      </c>
      <c r="AY115" s="137">
        <f t="shared" si="24"/>
        <v>9.859722222223354</v>
      </c>
      <c r="AZ115" s="165">
        <v>44994.931944444441</v>
      </c>
      <c r="BA115" s="165">
        <v>44996.25</v>
      </c>
      <c r="BB115" s="165">
        <v>44997.243055555555</v>
      </c>
      <c r="BC115" s="165">
        <v>44999.916666666664</v>
      </c>
      <c r="BD115" s="165">
        <v>45000.15625</v>
      </c>
      <c r="BE115" s="165">
        <v>45000.173611111109</v>
      </c>
      <c r="BF115" s="165">
        <v>45000.951388888891</v>
      </c>
      <c r="BG115" s="165">
        <v>45000.951388888891</v>
      </c>
      <c r="BH115" s="166" t="s">
        <v>196</v>
      </c>
      <c r="BI115" s="166" t="s">
        <v>196</v>
      </c>
      <c r="BJ115" s="166" t="s">
        <v>196</v>
      </c>
      <c r="BK115" s="165">
        <v>45003.125</v>
      </c>
      <c r="BL115" s="165">
        <v>45004.0625</v>
      </c>
      <c r="BM115" s="165">
        <v>45004.222222222219</v>
      </c>
      <c r="BN115" s="165">
        <v>45004.236111111109</v>
      </c>
      <c r="BO115" s="165">
        <v>45004.489583333336</v>
      </c>
      <c r="BP115" s="165">
        <v>45004.791666666664</v>
      </c>
      <c r="BS115" s="136">
        <f t="shared" si="25"/>
        <v>23.833333333313931</v>
      </c>
      <c r="BT115" s="136">
        <f t="shared" si="26"/>
        <v>5.7500000000582077</v>
      </c>
      <c r="BU115" s="136">
        <f t="shared" si="27"/>
        <v>0</v>
      </c>
      <c r="BV115" s="136">
        <f t="shared" si="38"/>
        <v>52.166666666627862</v>
      </c>
      <c r="BW115" s="135">
        <f t="shared" si="29"/>
        <v>3.8333333332557231</v>
      </c>
      <c r="BX115" s="135">
        <f t="shared" si="30"/>
        <v>7.2499999998835847</v>
      </c>
      <c r="BY115" s="134">
        <f t="shared" si="31"/>
        <v>3.8680555555474712</v>
      </c>
      <c r="BZ115" s="134">
        <f t="shared" si="32"/>
        <v>9.859722222223354</v>
      </c>
      <c r="CA115" s="133">
        <f t="shared" si="33"/>
        <v>0.39230877588306234</v>
      </c>
    </row>
    <row r="116" spans="1:79" s="126" customFormat="1">
      <c r="A116" s="192">
        <f t="shared" si="34"/>
        <v>45016.503472222219</v>
      </c>
      <c r="B116" s="126" t="s">
        <v>188</v>
      </c>
      <c r="C116" s="126" t="s">
        <v>84</v>
      </c>
      <c r="D116" s="126" t="s">
        <v>197</v>
      </c>
      <c r="E116" s="65" t="s">
        <v>1049</v>
      </c>
      <c r="F116" s="116"/>
      <c r="G116" s="256">
        <v>45026.604166666664</v>
      </c>
      <c r="H116" s="256">
        <v>45026.604166666664</v>
      </c>
      <c r="I116" s="126" t="s">
        <v>455</v>
      </c>
      <c r="J116" s="126" t="s">
        <v>192</v>
      </c>
      <c r="K116" s="126" t="s">
        <v>192</v>
      </c>
      <c r="L116" s="126" t="s">
        <v>1050</v>
      </c>
      <c r="M116" s="167"/>
      <c r="N116" s="126" t="s">
        <v>371</v>
      </c>
      <c r="O116" s="126" t="s">
        <v>372</v>
      </c>
      <c r="P116" s="126" t="s">
        <v>84</v>
      </c>
      <c r="Q116" s="181">
        <f>3117*2.4</f>
        <v>7480.7999999999993</v>
      </c>
      <c r="R116" s="181">
        <v>7486</v>
      </c>
      <c r="S116" s="181"/>
      <c r="AL116" s="181">
        <f>R116</f>
        <v>7486</v>
      </c>
      <c r="AW116" s="165">
        <f t="shared" si="22"/>
        <v>45013.96875</v>
      </c>
      <c r="AX116" s="165">
        <f t="shared" si="23"/>
        <v>45021.498611111114</v>
      </c>
      <c r="AY116" s="137">
        <f t="shared" si="24"/>
        <v>7.5298611111138598</v>
      </c>
      <c r="AZ116" s="165">
        <v>45013.96875</v>
      </c>
      <c r="BA116" s="165">
        <v>45014.673611111109</v>
      </c>
      <c r="BB116" s="165">
        <v>45015.680555555555</v>
      </c>
      <c r="BC116" s="165">
        <v>45016.503472222219</v>
      </c>
      <c r="BD116" s="165">
        <v>45016.708333333336</v>
      </c>
      <c r="BE116" s="165">
        <v>45016.722222222219</v>
      </c>
      <c r="BF116" s="165">
        <v>45016.965277777781</v>
      </c>
      <c r="BG116" s="165">
        <v>45016.965277777781</v>
      </c>
      <c r="BH116" s="166" t="s">
        <v>196</v>
      </c>
      <c r="BI116" s="166" t="s">
        <v>196</v>
      </c>
      <c r="BJ116" s="166" t="s">
        <v>196</v>
      </c>
      <c r="BK116" s="165">
        <v>45018.770833333336</v>
      </c>
      <c r="BL116" s="165">
        <v>45019.440972222219</v>
      </c>
      <c r="BM116" s="165">
        <v>45020.850694444445</v>
      </c>
      <c r="BN116" s="165">
        <v>45020.878472222219</v>
      </c>
      <c r="BO116" s="165">
        <v>45021.052083333336</v>
      </c>
      <c r="BP116" s="165">
        <v>45021.498611111114</v>
      </c>
      <c r="BS116" s="136">
        <f t="shared" si="25"/>
        <v>24.166666666686069</v>
      </c>
      <c r="BT116" s="136">
        <f t="shared" si="26"/>
        <v>4.9166666668024845</v>
      </c>
      <c r="BU116" s="136">
        <f t="shared" si="27"/>
        <v>0</v>
      </c>
      <c r="BV116" s="136">
        <f t="shared" si="38"/>
        <v>43.333333333313931</v>
      </c>
      <c r="BW116" s="135">
        <f t="shared" si="29"/>
        <v>33.833333333430346</v>
      </c>
      <c r="BX116" s="135">
        <f t="shared" si="30"/>
        <v>10.716666666674428</v>
      </c>
      <c r="BY116" s="134">
        <f t="shared" si="31"/>
        <v>4.8736111111211358</v>
      </c>
      <c r="BZ116" s="134">
        <f t="shared" si="32"/>
        <v>7.5298611111138598</v>
      </c>
      <c r="CA116" s="133">
        <f t="shared" si="33"/>
        <v>0.64723784930479333</v>
      </c>
    </row>
    <row r="117" spans="1:79" s="126" customFormat="1">
      <c r="A117" s="192">
        <f t="shared" si="34"/>
        <v>44989.871527777781</v>
      </c>
      <c r="B117" s="126" t="s">
        <v>188</v>
      </c>
      <c r="C117" s="126" t="s">
        <v>76</v>
      </c>
      <c r="D117" s="126" t="s">
        <v>197</v>
      </c>
      <c r="E117" s="126" t="s">
        <v>944</v>
      </c>
      <c r="G117" s="73">
        <v>44992.416666666664</v>
      </c>
      <c r="H117" s="73">
        <v>44992.416666666664</v>
      </c>
      <c r="I117" s="126" t="s">
        <v>460</v>
      </c>
      <c r="J117" s="126" t="s">
        <v>192</v>
      </c>
      <c r="K117" s="126" t="s">
        <v>192</v>
      </c>
      <c r="L117" s="126" t="s">
        <v>1051</v>
      </c>
      <c r="M117" s="167"/>
      <c r="N117" s="126" t="s">
        <v>304</v>
      </c>
      <c r="O117" s="126" t="s">
        <v>305</v>
      </c>
      <c r="P117" s="126" t="s">
        <v>76</v>
      </c>
      <c r="Q117" s="181">
        <f>3107*2.4</f>
        <v>7456.7999999999993</v>
      </c>
      <c r="R117" s="181">
        <v>7500</v>
      </c>
      <c r="S117" s="181"/>
      <c r="AK117" s="181">
        <f>R117</f>
        <v>7500</v>
      </c>
      <c r="AW117" s="165">
        <f t="shared" si="22"/>
        <v>44983.986111111109</v>
      </c>
      <c r="AX117" s="165">
        <f t="shared" si="23"/>
        <v>44996.9375</v>
      </c>
      <c r="AY117" s="137">
        <f t="shared" si="24"/>
        <v>12.951388888890506</v>
      </c>
      <c r="AZ117" s="165">
        <v>44983.986111111109</v>
      </c>
      <c r="BA117" s="165">
        <v>44988.881944444445</v>
      </c>
      <c r="BB117" s="165">
        <v>44989.333333333336</v>
      </c>
      <c r="BC117" s="165">
        <v>44989.871527777781</v>
      </c>
      <c r="BD117" s="165">
        <v>44990.381944444445</v>
      </c>
      <c r="BE117" s="165">
        <v>44990.399305555555</v>
      </c>
      <c r="BF117" s="165">
        <v>44990.399305555555</v>
      </c>
      <c r="BG117" s="165">
        <f>BF117+(10/24)</f>
        <v>44990.815972222219</v>
      </c>
      <c r="BH117" s="165">
        <v>44991.25</v>
      </c>
      <c r="BI117" s="165">
        <v>44991.416666666664</v>
      </c>
      <c r="BJ117" s="165">
        <v>44991.3125</v>
      </c>
      <c r="BK117" s="165">
        <v>44994.416666666664</v>
      </c>
      <c r="BL117" s="165">
        <v>44996.430555555555</v>
      </c>
      <c r="BM117" s="165">
        <v>44996.611111111109</v>
      </c>
      <c r="BN117" s="165">
        <v>44996.625</v>
      </c>
      <c r="BO117" s="165">
        <v>44996.736111111109</v>
      </c>
      <c r="BP117" s="165">
        <v>44996.9375</v>
      </c>
      <c r="BS117" s="136">
        <f t="shared" si="25"/>
        <v>10.833333333372138</v>
      </c>
      <c r="BT117" s="136">
        <f t="shared" si="26"/>
        <v>12.249999999941792</v>
      </c>
      <c r="BU117" s="136">
        <f t="shared" si="27"/>
        <v>9.9999999999417923</v>
      </c>
      <c r="BV117" s="136">
        <f>(BK117-BI117)*24</f>
        <v>72</v>
      </c>
      <c r="BW117" s="135">
        <f t="shared" si="29"/>
        <v>4.3333333333139308</v>
      </c>
      <c r="BX117" s="135">
        <f t="shared" si="30"/>
        <v>4.8333333333721384</v>
      </c>
      <c r="BY117" s="134">
        <f t="shared" si="31"/>
        <v>4.7604166666642413</v>
      </c>
      <c r="BZ117" s="134">
        <f t="shared" si="32"/>
        <v>12.951388888890506</v>
      </c>
      <c r="CA117" s="133">
        <f t="shared" si="33"/>
        <v>0.36756032171558456</v>
      </c>
    </row>
    <row r="118" spans="1:79" s="126" customFormat="1">
      <c r="A118" s="192">
        <f t="shared" si="34"/>
        <v>44993.552083333336</v>
      </c>
      <c r="B118" s="126" t="s">
        <v>188</v>
      </c>
      <c r="C118" s="126" t="s">
        <v>76</v>
      </c>
      <c r="D118" s="126" t="s">
        <v>197</v>
      </c>
      <c r="E118" s="65" t="s">
        <v>1052</v>
      </c>
      <c r="G118" s="73">
        <v>44993.833333333336</v>
      </c>
      <c r="H118" s="73">
        <v>44993.809027777781</v>
      </c>
      <c r="I118" s="126" t="s">
        <v>460</v>
      </c>
      <c r="J118" s="126" t="s">
        <v>192</v>
      </c>
      <c r="K118" s="126" t="s">
        <v>192</v>
      </c>
      <c r="L118" s="126" t="s">
        <v>1053</v>
      </c>
      <c r="M118" s="167"/>
      <c r="N118" s="126" t="s">
        <v>267</v>
      </c>
      <c r="O118" s="126" t="s">
        <v>268</v>
      </c>
      <c r="P118" s="126" t="s">
        <v>76</v>
      </c>
      <c r="Q118" s="181">
        <f>3142*2.4</f>
        <v>7540.7999999999993</v>
      </c>
      <c r="R118" s="181">
        <v>7500</v>
      </c>
      <c r="S118" s="181"/>
      <c r="AK118" s="181">
        <f>R118</f>
        <v>7500</v>
      </c>
      <c r="AW118" s="165">
        <f t="shared" si="22"/>
        <v>44990.78125</v>
      </c>
      <c r="AX118" s="165">
        <f t="shared" si="23"/>
        <v>44999.923611111109</v>
      </c>
      <c r="AY118" s="137">
        <f t="shared" si="24"/>
        <v>9.1423611111094942</v>
      </c>
      <c r="AZ118" s="165">
        <v>44990.78125</v>
      </c>
      <c r="BA118" s="165">
        <v>44992.875</v>
      </c>
      <c r="BB118" s="165">
        <v>44993.333333333336</v>
      </c>
      <c r="BC118" s="165">
        <v>44993.552083333336</v>
      </c>
      <c r="BD118" s="165">
        <v>44993.996527777781</v>
      </c>
      <c r="BE118" s="165">
        <v>44994.020833333336</v>
      </c>
      <c r="BF118" s="165">
        <v>44994.027777777781</v>
      </c>
      <c r="BG118" s="165">
        <f>BF118+(10/24)</f>
        <v>44994.444444444445</v>
      </c>
      <c r="BH118" s="165">
        <v>44995.25</v>
      </c>
      <c r="BI118" s="165">
        <v>44995.416666666664</v>
      </c>
      <c r="BJ118" s="165">
        <v>44995.368055555555</v>
      </c>
      <c r="BK118" s="165">
        <v>44996.625</v>
      </c>
      <c r="BL118" s="165">
        <v>44998.989583333336</v>
      </c>
      <c r="BM118" s="165">
        <v>44999.666666666664</v>
      </c>
      <c r="BN118" s="165">
        <v>44999.680555555555</v>
      </c>
      <c r="BO118" s="165">
        <v>44999.680555555555</v>
      </c>
      <c r="BP118" s="165">
        <v>44999.923611111109</v>
      </c>
      <c r="BS118" s="136">
        <f t="shared" si="25"/>
        <v>11.000000000058208</v>
      </c>
      <c r="BT118" s="136">
        <f t="shared" si="26"/>
        <v>10.666666666686069</v>
      </c>
      <c r="BU118" s="136">
        <f t="shared" si="27"/>
        <v>9.9999999999417923</v>
      </c>
      <c r="BV118" s="136">
        <f>(BK118-BI118)*24</f>
        <v>29.000000000058208</v>
      </c>
      <c r="BW118" s="135">
        <f t="shared" si="29"/>
        <v>16.249999999883585</v>
      </c>
      <c r="BX118" s="135">
        <f t="shared" si="30"/>
        <v>5.8333333333139308</v>
      </c>
      <c r="BY118" s="134">
        <f t="shared" si="31"/>
        <v>3.4479166666642413</v>
      </c>
      <c r="BZ118" s="134">
        <f t="shared" si="32"/>
        <v>9.1423611111094942</v>
      </c>
      <c r="CA118" s="133">
        <f t="shared" si="33"/>
        <v>0.37713634637276</v>
      </c>
    </row>
    <row r="119" spans="1:79" s="126" customFormat="1">
      <c r="A119" s="192">
        <f t="shared" si="34"/>
        <v>44996.354166666664</v>
      </c>
      <c r="B119" s="126" t="s">
        <v>188</v>
      </c>
      <c r="C119" s="126" t="s">
        <v>76</v>
      </c>
      <c r="D119" s="126" t="s">
        <v>197</v>
      </c>
      <c r="E119" s="65" t="s">
        <v>971</v>
      </c>
      <c r="G119" s="165">
        <v>45001.2</v>
      </c>
      <c r="H119" s="165">
        <v>45001.2</v>
      </c>
      <c r="I119" s="126" t="s">
        <v>464</v>
      </c>
      <c r="J119" s="126" t="s">
        <v>192</v>
      </c>
      <c r="K119" s="126" t="s">
        <v>192</v>
      </c>
      <c r="L119" s="126" t="s">
        <v>1054</v>
      </c>
      <c r="M119" s="167"/>
      <c r="N119" s="126" t="s">
        <v>406</v>
      </c>
      <c r="O119" s="126" t="s">
        <v>407</v>
      </c>
      <c r="P119" s="126" t="s">
        <v>76</v>
      </c>
      <c r="Q119" s="181">
        <f>3107*2.4</f>
        <v>7456.7999999999993</v>
      </c>
      <c r="R119" s="181">
        <v>7500</v>
      </c>
      <c r="S119" s="181"/>
      <c r="AK119" s="181">
        <f>R119</f>
        <v>7500</v>
      </c>
      <c r="AW119" s="165">
        <f t="shared" si="22"/>
        <v>44994.75</v>
      </c>
      <c r="AX119" s="165">
        <f t="shared" si="23"/>
        <v>45003.75</v>
      </c>
      <c r="AY119" s="137">
        <f t="shared" si="24"/>
        <v>9</v>
      </c>
      <c r="AZ119" s="165">
        <v>44994.75</v>
      </c>
      <c r="BA119" s="165">
        <v>44995.84375</v>
      </c>
      <c r="BB119" s="165">
        <v>44996.159722222219</v>
      </c>
      <c r="BC119" s="165">
        <v>44996.354166666664</v>
      </c>
      <c r="BD119" s="165">
        <v>44996.704861111109</v>
      </c>
      <c r="BE119" s="165">
        <v>44996.729166666664</v>
      </c>
      <c r="BF119" s="165">
        <v>44996.729166666664</v>
      </c>
      <c r="BG119" s="165">
        <f>BF119+(10/24)</f>
        <v>44997.145833333328</v>
      </c>
      <c r="BH119" s="165">
        <v>44997.25</v>
      </c>
      <c r="BI119" s="165">
        <v>44997.416666666664</v>
      </c>
      <c r="BJ119" s="165">
        <v>44997.333333333336</v>
      </c>
      <c r="BK119" s="165">
        <v>44999.447916666664</v>
      </c>
      <c r="BL119" s="165">
        <v>45003.055555555555</v>
      </c>
      <c r="BM119" s="165">
        <v>45003.340277777781</v>
      </c>
      <c r="BN119" s="165">
        <v>45003.354166666664</v>
      </c>
      <c r="BO119" s="165">
        <v>45003.357638888891</v>
      </c>
      <c r="BP119" s="165">
        <v>45003.75</v>
      </c>
      <c r="BS119" s="136">
        <f t="shared" si="25"/>
        <v>7.5833333332557231</v>
      </c>
      <c r="BT119" s="136">
        <f t="shared" si="26"/>
        <v>8.4166666666860692</v>
      </c>
      <c r="BU119" s="136">
        <f t="shared" si="27"/>
        <v>9.9999999999417923</v>
      </c>
      <c r="BV119" s="136">
        <f>(BK119-BG119)*24</f>
        <v>55.250000000058208</v>
      </c>
      <c r="BW119" s="135">
        <f t="shared" si="29"/>
        <v>6.8333333334303461</v>
      </c>
      <c r="BX119" s="135">
        <f t="shared" si="30"/>
        <v>9.4166666666278616</v>
      </c>
      <c r="BY119" s="134">
        <f t="shared" si="31"/>
        <v>4.0625</v>
      </c>
      <c r="BZ119" s="134">
        <f t="shared" si="32"/>
        <v>9</v>
      </c>
      <c r="CA119" s="133">
        <f t="shared" si="33"/>
        <v>0.4513888888888889</v>
      </c>
    </row>
    <row r="120" spans="1:79" s="126" customFormat="1">
      <c r="A120" s="192">
        <f t="shared" si="34"/>
        <v>45001.607638888891</v>
      </c>
      <c r="B120" s="126" t="s">
        <v>188</v>
      </c>
      <c r="C120" s="126" t="s">
        <v>76</v>
      </c>
      <c r="D120" s="126" t="s">
        <v>197</v>
      </c>
      <c r="E120" s="65" t="s">
        <v>965</v>
      </c>
      <c r="G120" s="73">
        <v>44998.583333333336</v>
      </c>
      <c r="H120" s="73">
        <v>44998.604166666664</v>
      </c>
      <c r="I120" s="126" t="s">
        <v>460</v>
      </c>
      <c r="J120" s="126" t="s">
        <v>192</v>
      </c>
      <c r="K120" s="126" t="s">
        <v>192</v>
      </c>
      <c r="L120" s="126" t="s">
        <v>1055</v>
      </c>
      <c r="M120" s="167"/>
      <c r="N120" s="126" t="s">
        <v>292</v>
      </c>
      <c r="O120" s="126" t="s">
        <v>293</v>
      </c>
      <c r="P120" s="126" t="s">
        <v>76</v>
      </c>
      <c r="Q120" s="181">
        <f>3142*2.4</f>
        <v>7540.7999999999993</v>
      </c>
      <c r="R120" s="181">
        <v>7500</v>
      </c>
      <c r="S120" s="181"/>
      <c r="AK120" s="181">
        <f>R120</f>
        <v>7500</v>
      </c>
      <c r="AW120" s="165">
        <f t="shared" si="22"/>
        <v>44999.875</v>
      </c>
      <c r="AX120" s="165">
        <f t="shared" si="23"/>
        <v>45007.333333333336</v>
      </c>
      <c r="AY120" s="137">
        <f t="shared" si="24"/>
        <v>7.4583333333357587</v>
      </c>
      <c r="AZ120" s="165">
        <v>44999.875</v>
      </c>
      <c r="BA120" s="165">
        <v>45000.864583333336</v>
      </c>
      <c r="BB120" s="165">
        <v>45001.333333333336</v>
      </c>
      <c r="BC120" s="165">
        <v>45001.607638888891</v>
      </c>
      <c r="BD120" s="165">
        <v>45002.079861111109</v>
      </c>
      <c r="BE120" s="165">
        <v>45002.107638888891</v>
      </c>
      <c r="BF120" s="165">
        <v>45002.107638888891</v>
      </c>
      <c r="BG120" s="165">
        <f>BF120+(10/24)</f>
        <v>45002.524305555555</v>
      </c>
      <c r="BH120" s="165">
        <v>45002.583333333336</v>
      </c>
      <c r="BI120" s="165">
        <v>45002.75</v>
      </c>
      <c r="BJ120" s="165">
        <v>45002.597222222219</v>
      </c>
      <c r="BK120" s="165">
        <v>45004.548611111109</v>
      </c>
      <c r="BL120" s="165">
        <v>45006.375</v>
      </c>
      <c r="BM120" s="165">
        <v>45006.84375</v>
      </c>
      <c r="BN120" s="165">
        <v>45006.864583333336</v>
      </c>
      <c r="BO120" s="165">
        <v>45007.166666666664</v>
      </c>
      <c r="BP120" s="165">
        <v>45007.333333333336</v>
      </c>
      <c r="BS120" s="136">
        <f t="shared" si="25"/>
        <v>11.25</v>
      </c>
      <c r="BT120" s="136">
        <f t="shared" si="26"/>
        <v>11.333333333255723</v>
      </c>
      <c r="BU120" s="136">
        <f t="shared" si="27"/>
        <v>9.9999999999417923</v>
      </c>
      <c r="BV120" s="136">
        <f t="shared" ref="BV120:BV130" si="39">(BK120-BI120)*24</f>
        <v>43.166666666627862</v>
      </c>
      <c r="BW120" s="135">
        <f t="shared" si="29"/>
        <v>11.25</v>
      </c>
      <c r="BX120" s="135">
        <f t="shared" si="30"/>
        <v>4.0000000001164153</v>
      </c>
      <c r="BY120" s="134">
        <f t="shared" si="31"/>
        <v>3.7916666666642413</v>
      </c>
      <c r="BZ120" s="134">
        <f t="shared" si="32"/>
        <v>7.4583333333357587</v>
      </c>
      <c r="CA120" s="133">
        <f t="shared" si="33"/>
        <v>0.50837988826766589</v>
      </c>
    </row>
    <row r="121" spans="1:79" s="126" customFormat="1">
      <c r="A121" s="192">
        <f t="shared" si="34"/>
        <v>45002.881944444445</v>
      </c>
      <c r="B121" s="126" t="s">
        <v>188</v>
      </c>
      <c r="C121" s="126" t="s">
        <v>76</v>
      </c>
      <c r="D121" s="126" t="s">
        <v>215</v>
      </c>
      <c r="E121" s="65" t="s">
        <v>977</v>
      </c>
      <c r="G121" s="73">
        <v>45003.479166666664</v>
      </c>
      <c r="H121" s="73">
        <v>45003.479166666664</v>
      </c>
      <c r="I121" s="126" t="s">
        <v>460</v>
      </c>
      <c r="J121" s="126" t="s">
        <v>192</v>
      </c>
      <c r="K121" s="126" t="s">
        <v>192</v>
      </c>
      <c r="L121" s="126" t="s">
        <v>1056</v>
      </c>
      <c r="M121" s="167"/>
      <c r="N121" s="126" t="s">
        <v>218</v>
      </c>
      <c r="O121" s="126" t="s">
        <v>219</v>
      </c>
      <c r="P121" s="126" t="s">
        <v>76</v>
      </c>
      <c r="Q121" s="181">
        <f>3087*2.4</f>
        <v>7408.7999999999993</v>
      </c>
      <c r="R121" s="181">
        <v>7500</v>
      </c>
      <c r="S121" s="181"/>
      <c r="AK121" s="181">
        <f>R121</f>
        <v>7500</v>
      </c>
      <c r="AW121" s="165">
        <f t="shared" si="22"/>
        <v>45000.555555555555</v>
      </c>
      <c r="AX121" s="165">
        <f t="shared" si="23"/>
        <v>45009.40625</v>
      </c>
      <c r="AY121" s="137">
        <f t="shared" si="24"/>
        <v>8.8506944444452529</v>
      </c>
      <c r="AZ121" s="165">
        <v>45000.555555555555</v>
      </c>
      <c r="BA121" s="165">
        <v>45001.569444444445</v>
      </c>
      <c r="BB121" s="165">
        <v>45002.045138888891</v>
      </c>
      <c r="BC121" s="165">
        <v>45002.881944444445</v>
      </c>
      <c r="BD121" s="165">
        <v>45003.378472222219</v>
      </c>
      <c r="BE121" s="165">
        <v>45003.40625</v>
      </c>
      <c r="BF121" s="165">
        <v>45003.40625</v>
      </c>
      <c r="BG121" s="165">
        <f>BF121+(10/24)</f>
        <v>45003.822916666664</v>
      </c>
      <c r="BH121" s="165">
        <v>45005.25</v>
      </c>
      <c r="BI121" s="165">
        <v>45005.416666666664</v>
      </c>
      <c r="BJ121" s="165">
        <v>45005.322916666664</v>
      </c>
      <c r="BK121" s="165">
        <v>45006.552083333336</v>
      </c>
      <c r="BL121" s="165">
        <v>45008.611111111109</v>
      </c>
      <c r="BM121" s="165">
        <v>45009.024305555555</v>
      </c>
      <c r="BN121" s="165">
        <v>45009.048611111109</v>
      </c>
      <c r="BO121" s="165">
        <v>45009.215277777781</v>
      </c>
      <c r="BP121" s="165">
        <v>45009.40625</v>
      </c>
      <c r="BS121" s="136">
        <f t="shared" si="25"/>
        <v>11.416666666686069</v>
      </c>
      <c r="BT121" s="136">
        <f t="shared" si="26"/>
        <v>11.916666666569654</v>
      </c>
      <c r="BU121" s="136">
        <f t="shared" si="27"/>
        <v>9.9999999999417923</v>
      </c>
      <c r="BV121" s="136">
        <f t="shared" si="39"/>
        <v>27.250000000116415</v>
      </c>
      <c r="BW121" s="135">
        <f t="shared" si="29"/>
        <v>9.9166666666860692</v>
      </c>
      <c r="BX121" s="135">
        <f t="shared" si="30"/>
        <v>4.5833333332557231</v>
      </c>
      <c r="BY121" s="134">
        <f t="shared" si="31"/>
        <v>3.1284722222189885</v>
      </c>
      <c r="BZ121" s="134">
        <f t="shared" si="32"/>
        <v>8.8506944444452529</v>
      </c>
      <c r="CA121" s="133">
        <f t="shared" si="33"/>
        <v>0.35347194978383145</v>
      </c>
    </row>
    <row r="122" spans="1:79" s="126" customFormat="1">
      <c r="A122" s="192">
        <f t="shared" si="34"/>
        <v>44985.350694444445</v>
      </c>
      <c r="B122" s="126" t="s">
        <v>188</v>
      </c>
      <c r="C122" s="126" t="s">
        <v>182</v>
      </c>
      <c r="D122" s="126" t="s">
        <v>215</v>
      </c>
      <c r="E122" s="126" t="s">
        <v>950</v>
      </c>
      <c r="G122" s="165">
        <v>45003.5625</v>
      </c>
      <c r="H122" s="165">
        <v>45003.54583333333</v>
      </c>
      <c r="I122" s="126" t="s">
        <v>782</v>
      </c>
      <c r="J122" s="126" t="s">
        <v>192</v>
      </c>
      <c r="K122" s="126" t="s">
        <v>192</v>
      </c>
      <c r="L122" s="126" t="s">
        <v>1057</v>
      </c>
      <c r="M122" s="167"/>
      <c r="N122" s="126" t="s">
        <v>721</v>
      </c>
      <c r="O122" s="126" t="s">
        <v>722</v>
      </c>
      <c r="P122" s="126" t="s">
        <v>182</v>
      </c>
      <c r="Q122" s="181">
        <v>7500</v>
      </c>
      <c r="R122" s="181">
        <v>7563.9430000000002</v>
      </c>
      <c r="S122" s="181"/>
      <c r="AR122" s="181">
        <f>R122</f>
        <v>7563.9430000000002</v>
      </c>
      <c r="AW122" s="165">
        <f t="shared" si="22"/>
        <v>44978.819444444445</v>
      </c>
      <c r="AX122" s="165">
        <f t="shared" si="23"/>
        <v>44991.791666666664</v>
      </c>
      <c r="AY122" s="137">
        <f t="shared" si="24"/>
        <v>12.972222222218988</v>
      </c>
      <c r="AZ122" s="165">
        <v>44978.819444444445</v>
      </c>
      <c r="BA122" s="165">
        <v>44979.840277777781</v>
      </c>
      <c r="BB122" s="165">
        <v>44984.923611111109</v>
      </c>
      <c r="BC122" s="165">
        <v>44985.350694444445</v>
      </c>
      <c r="BD122" s="165">
        <v>44986.465277777781</v>
      </c>
      <c r="BE122" s="165">
        <v>44986.517361111109</v>
      </c>
      <c r="BF122" s="165">
        <v>44986.517361111109</v>
      </c>
      <c r="BG122" s="165">
        <f>BF122+(51/24)</f>
        <v>44988.642361111109</v>
      </c>
      <c r="BH122" s="165">
        <v>44988.541666608799</v>
      </c>
      <c r="BI122" s="165">
        <v>44988.708333333336</v>
      </c>
      <c r="BJ122" s="165">
        <v>44988.690972222219</v>
      </c>
      <c r="BK122" s="165">
        <v>44990.180555555555</v>
      </c>
      <c r="BL122" s="165">
        <v>44990.802083333336</v>
      </c>
      <c r="BM122" s="165">
        <v>44991.152777777781</v>
      </c>
      <c r="BN122" s="165">
        <v>44991.225694444445</v>
      </c>
      <c r="BO122" s="165">
        <v>44991.229166666664</v>
      </c>
      <c r="BP122" s="165">
        <v>44991.791666666664</v>
      </c>
      <c r="BQ122" s="126" t="s">
        <v>1058</v>
      </c>
      <c r="BS122" s="136">
        <f t="shared" si="25"/>
        <v>121.99999999988358</v>
      </c>
      <c r="BT122" s="136">
        <f t="shared" si="26"/>
        <v>26.750000000058208</v>
      </c>
      <c r="BU122" s="136">
        <f t="shared" si="27"/>
        <v>51</v>
      </c>
      <c r="BV122" s="136">
        <f t="shared" si="39"/>
        <v>35.333333333255723</v>
      </c>
      <c r="BW122" s="135">
        <f t="shared" si="29"/>
        <v>8.4166666666860692</v>
      </c>
      <c r="BX122" s="135">
        <f t="shared" si="30"/>
        <v>13.5</v>
      </c>
      <c r="BY122" s="134">
        <f t="shared" si="31"/>
        <v>10.708333333328483</v>
      </c>
      <c r="BZ122" s="134">
        <f t="shared" si="32"/>
        <v>12.972222222218988</v>
      </c>
      <c r="CA122" s="133">
        <f t="shared" si="33"/>
        <v>0.82548179871503524</v>
      </c>
    </row>
    <row r="123" spans="1:79" s="126" customFormat="1">
      <c r="A123" s="192">
        <f t="shared" si="34"/>
        <v>44986.669444444444</v>
      </c>
      <c r="B123" s="126" t="s">
        <v>228</v>
      </c>
      <c r="C123" s="126" t="s">
        <v>229</v>
      </c>
      <c r="D123" s="126" t="s">
        <v>215</v>
      </c>
      <c r="E123" s="65" t="s">
        <v>745</v>
      </c>
      <c r="G123" s="73">
        <v>44985.75</v>
      </c>
      <c r="H123" s="73">
        <v>44985.75</v>
      </c>
      <c r="I123" s="126" t="s">
        <v>471</v>
      </c>
      <c r="J123" s="126" t="s">
        <v>192</v>
      </c>
      <c r="K123" s="126" t="s">
        <v>192</v>
      </c>
      <c r="L123" s="126" t="s">
        <v>1059</v>
      </c>
      <c r="M123" s="167"/>
      <c r="N123" s="126" t="s">
        <v>399</v>
      </c>
      <c r="O123" s="126" t="s">
        <v>400</v>
      </c>
      <c r="P123" s="126" t="s">
        <v>172</v>
      </c>
      <c r="Q123" s="181">
        <f>3146*2.4</f>
        <v>7550.4</v>
      </c>
      <c r="R123" s="181">
        <v>7622.201</v>
      </c>
      <c r="S123" s="181"/>
      <c r="Y123" s="181">
        <f t="shared" ref="Y123:Y130" si="40">R123</f>
        <v>7622.201</v>
      </c>
      <c r="AW123" s="165">
        <f t="shared" si="22"/>
        <v>44980.111111111109</v>
      </c>
      <c r="AX123" s="165">
        <f t="shared" si="23"/>
        <v>44991.944444444445</v>
      </c>
      <c r="AY123" s="137">
        <f t="shared" si="24"/>
        <v>11.833333333335759</v>
      </c>
      <c r="AZ123" s="165">
        <v>44980.111111111109</v>
      </c>
      <c r="BA123" s="165">
        <v>44980.576388888891</v>
      </c>
      <c r="BB123" s="165">
        <v>44982.166666666664</v>
      </c>
      <c r="BC123" s="165">
        <v>44986.669444444444</v>
      </c>
      <c r="BD123" s="165">
        <v>44987.020833333336</v>
      </c>
      <c r="BE123" s="165">
        <v>44987.024305555555</v>
      </c>
      <c r="BF123" s="165">
        <v>44987.270833333336</v>
      </c>
      <c r="BG123" s="165">
        <f t="shared" ref="BG123:BG130" si="41">BF123+(41/24)</f>
        <v>44988.979166666672</v>
      </c>
      <c r="BH123" s="165">
        <v>44988.541666608799</v>
      </c>
      <c r="BI123" s="165">
        <v>44988.708333333336</v>
      </c>
      <c r="BJ123" s="165">
        <v>44988.715277777781</v>
      </c>
      <c r="BK123" s="165">
        <v>44990.0625</v>
      </c>
      <c r="BL123" s="165">
        <v>44991.166666666664</v>
      </c>
      <c r="BM123" s="165">
        <v>44991.621527777781</v>
      </c>
      <c r="BN123" s="165">
        <v>44991.642361111109</v>
      </c>
      <c r="BO123" s="165">
        <v>44991.642361111109</v>
      </c>
      <c r="BP123" s="165">
        <v>44991.944444444445</v>
      </c>
      <c r="BS123" s="136">
        <f t="shared" si="25"/>
        <v>38.166666666569654</v>
      </c>
      <c r="BT123" s="136">
        <f t="shared" si="26"/>
        <v>8.433333333407063</v>
      </c>
      <c r="BU123" s="136">
        <f t="shared" si="27"/>
        <v>41.000000000058208</v>
      </c>
      <c r="BV123" s="136">
        <f t="shared" si="39"/>
        <v>32.499999999941792</v>
      </c>
      <c r="BW123" s="135">
        <f t="shared" si="29"/>
        <v>10.916666666802485</v>
      </c>
      <c r="BX123" s="135">
        <f t="shared" si="30"/>
        <v>7.2500000000582077</v>
      </c>
      <c r="BY123" s="134">
        <f t="shared" si="31"/>
        <v>5.7611111111182254</v>
      </c>
      <c r="BZ123" s="134">
        <f t="shared" si="32"/>
        <v>11.833333333335759</v>
      </c>
      <c r="CA123" s="133">
        <f t="shared" si="33"/>
        <v>0.48685446009439814</v>
      </c>
    </row>
    <row r="124" spans="1:79" s="126" customFormat="1">
      <c r="A124" s="192">
        <f t="shared" si="34"/>
        <v>44995.876388888886</v>
      </c>
      <c r="B124" s="126" t="s">
        <v>228</v>
      </c>
      <c r="C124" s="126" t="s">
        <v>229</v>
      </c>
      <c r="D124" s="126" t="s">
        <v>197</v>
      </c>
      <c r="E124" s="126" t="s">
        <v>943</v>
      </c>
      <c r="G124" s="73">
        <v>44992.25</v>
      </c>
      <c r="H124" s="73">
        <v>44992.25</v>
      </c>
      <c r="I124" s="126" t="s">
        <v>471</v>
      </c>
      <c r="J124" s="126" t="s">
        <v>192</v>
      </c>
      <c r="K124" s="126" t="s">
        <v>192</v>
      </c>
      <c r="L124" s="126" t="s">
        <v>1060</v>
      </c>
      <c r="M124" s="167"/>
      <c r="N124" s="126" t="s">
        <v>323</v>
      </c>
      <c r="O124" s="126" t="s">
        <v>324</v>
      </c>
      <c r="P124" s="126" t="s">
        <v>172</v>
      </c>
      <c r="Q124" s="181">
        <f>3095*2.4</f>
        <v>7428</v>
      </c>
      <c r="R124" s="181">
        <v>7572.1869999999999</v>
      </c>
      <c r="S124" s="181"/>
      <c r="Y124" s="181">
        <f t="shared" si="40"/>
        <v>7572.1869999999999</v>
      </c>
      <c r="AW124" s="165">
        <f t="shared" si="22"/>
        <v>44987.673611111109</v>
      </c>
      <c r="AX124" s="165">
        <f t="shared" si="23"/>
        <v>45002.375</v>
      </c>
      <c r="AY124" s="137">
        <f t="shared" si="24"/>
        <v>14.701388888890506</v>
      </c>
      <c r="AZ124" s="165">
        <v>44987.673611111109</v>
      </c>
      <c r="BA124" s="165">
        <v>44992.566666666666</v>
      </c>
      <c r="BB124" s="165">
        <v>44994.201388888891</v>
      </c>
      <c r="BC124" s="165">
        <v>44995.876388888886</v>
      </c>
      <c r="BD124" s="165">
        <v>44996.045138888891</v>
      </c>
      <c r="BE124" s="165">
        <v>44996.059027777781</v>
      </c>
      <c r="BF124" s="165">
        <v>44996.291666666664</v>
      </c>
      <c r="BG124" s="165">
        <f t="shared" si="41"/>
        <v>44998</v>
      </c>
      <c r="BH124" s="165">
        <v>44999.291666608799</v>
      </c>
      <c r="BI124" s="165">
        <v>44999.458333275463</v>
      </c>
      <c r="BJ124" s="165">
        <v>44999.291666608799</v>
      </c>
      <c r="BK124" s="165">
        <v>45000.333333333336</v>
      </c>
      <c r="BL124" s="165">
        <v>45001.631944444445</v>
      </c>
      <c r="BM124" s="165">
        <v>45001.9375</v>
      </c>
      <c r="BN124" s="165">
        <v>45001.951388888891</v>
      </c>
      <c r="BO124" s="165">
        <v>45001.951388888891</v>
      </c>
      <c r="BP124" s="165">
        <v>45002.375</v>
      </c>
      <c r="BQ124" s="126" t="s">
        <v>963</v>
      </c>
      <c r="BS124" s="136">
        <f t="shared" si="25"/>
        <v>39.233333333395422</v>
      </c>
      <c r="BT124" s="136">
        <f t="shared" si="26"/>
        <v>4.0500000001047738</v>
      </c>
      <c r="BU124" s="136">
        <f t="shared" si="27"/>
        <v>41.000000000058208</v>
      </c>
      <c r="BV124" s="136">
        <f t="shared" si="39"/>
        <v>21.000001388951205</v>
      </c>
      <c r="BW124" s="135">
        <f t="shared" si="29"/>
        <v>7.3333333333139308</v>
      </c>
      <c r="BX124" s="135">
        <f t="shared" si="30"/>
        <v>10.166666666627862</v>
      </c>
      <c r="BY124" s="134">
        <f t="shared" si="31"/>
        <v>5.1159722801021417</v>
      </c>
      <c r="BZ124" s="134">
        <f t="shared" si="32"/>
        <v>14.701388888890506</v>
      </c>
      <c r="CA124" s="133">
        <f t="shared" si="33"/>
        <v>0.34799244607209606</v>
      </c>
    </row>
    <row r="125" spans="1:79" s="126" customFormat="1">
      <c r="A125" s="192">
        <f t="shared" si="34"/>
        <v>45001.633333333331</v>
      </c>
      <c r="B125" s="126" t="s">
        <v>228</v>
      </c>
      <c r="C125" s="126" t="s">
        <v>229</v>
      </c>
      <c r="D125" s="126" t="s">
        <v>197</v>
      </c>
      <c r="E125" s="126" t="s">
        <v>965</v>
      </c>
      <c r="G125" s="73">
        <v>44998.583333333336</v>
      </c>
      <c r="H125" s="73">
        <v>44998.604166666664</v>
      </c>
      <c r="I125" s="126" t="s">
        <v>471</v>
      </c>
      <c r="J125" s="126" t="s">
        <v>192</v>
      </c>
      <c r="K125" s="126" t="s">
        <v>192</v>
      </c>
      <c r="L125" s="126" t="s">
        <v>1061</v>
      </c>
      <c r="M125" s="167"/>
      <c r="N125" s="126" t="s">
        <v>364</v>
      </c>
      <c r="O125" s="126" t="s">
        <v>365</v>
      </c>
      <c r="P125" s="126" t="s">
        <v>172</v>
      </c>
      <c r="Q125" s="181">
        <f>3142*2.4</f>
        <v>7540.7999999999993</v>
      </c>
      <c r="R125" s="181">
        <v>7548.7479999999996</v>
      </c>
      <c r="S125" s="181"/>
      <c r="Y125" s="181">
        <f t="shared" si="40"/>
        <v>7548.7479999999996</v>
      </c>
      <c r="AW125" s="165">
        <f t="shared" si="22"/>
        <v>44997.423611111109</v>
      </c>
      <c r="AX125" s="165">
        <f t="shared" si="23"/>
        <v>45006.052083333336</v>
      </c>
      <c r="AY125" s="137">
        <f t="shared" si="24"/>
        <v>8.6284722222262644</v>
      </c>
      <c r="AZ125" s="165">
        <v>44997.423611111109</v>
      </c>
      <c r="BA125" s="165">
        <v>44998.541666666664</v>
      </c>
      <c r="BB125" s="165">
        <v>45000.145833333336</v>
      </c>
      <c r="BC125" s="165">
        <v>45001.633333333331</v>
      </c>
      <c r="BD125" s="165">
        <v>45001.888888888891</v>
      </c>
      <c r="BE125" s="165">
        <v>45001.892361111109</v>
      </c>
      <c r="BF125" s="165">
        <v>45001.892361111109</v>
      </c>
      <c r="BG125" s="165">
        <f t="shared" si="41"/>
        <v>45003.600694444445</v>
      </c>
      <c r="BH125" s="165">
        <v>45003.583333333336</v>
      </c>
      <c r="BI125" s="165">
        <v>45003.75</v>
      </c>
      <c r="BJ125" s="165">
        <v>45003.635416666664</v>
      </c>
      <c r="BK125" s="165">
        <v>45005.041666666664</v>
      </c>
      <c r="BL125" s="165">
        <v>45005.1875</v>
      </c>
      <c r="BM125" s="165">
        <v>45005.777777777781</v>
      </c>
      <c r="BN125" s="165">
        <v>45005.798611111109</v>
      </c>
      <c r="BO125" s="165">
        <v>45005.798611111109</v>
      </c>
      <c r="BP125" s="165">
        <v>45006.052083333336</v>
      </c>
      <c r="BS125" s="136">
        <f t="shared" si="25"/>
        <v>38.500000000116415</v>
      </c>
      <c r="BT125" s="136">
        <f t="shared" si="26"/>
        <v>6.1333333334187046</v>
      </c>
      <c r="BU125" s="136">
        <f t="shared" si="27"/>
        <v>41.000000000058208</v>
      </c>
      <c r="BV125" s="136">
        <f t="shared" si="39"/>
        <v>30.999999999941792</v>
      </c>
      <c r="BW125" s="135">
        <f t="shared" si="29"/>
        <v>14.166666666744277</v>
      </c>
      <c r="BX125" s="135">
        <f t="shared" si="30"/>
        <v>6.0833333334303461</v>
      </c>
      <c r="BY125" s="134">
        <f t="shared" si="31"/>
        <v>5.703472222237906</v>
      </c>
      <c r="BZ125" s="134">
        <f t="shared" si="32"/>
        <v>8.6284722222262644</v>
      </c>
      <c r="CA125" s="133">
        <f t="shared" si="33"/>
        <v>0.66100603621881182</v>
      </c>
    </row>
    <row r="126" spans="1:79" s="126" customFormat="1">
      <c r="A126" s="192">
        <f t="shared" si="34"/>
        <v>45006.576388888891</v>
      </c>
      <c r="B126" s="126" t="s">
        <v>228</v>
      </c>
      <c r="C126" s="126" t="s">
        <v>229</v>
      </c>
      <c r="D126" s="126" t="s">
        <v>197</v>
      </c>
      <c r="E126" s="126" t="s">
        <v>979</v>
      </c>
      <c r="G126" s="73">
        <v>45009.208333333336</v>
      </c>
      <c r="H126" s="73">
        <v>45009.116666666669</v>
      </c>
      <c r="I126" s="126" t="s">
        <v>469</v>
      </c>
      <c r="J126" s="126" t="s">
        <v>192</v>
      </c>
      <c r="K126" s="126" t="s">
        <v>192</v>
      </c>
      <c r="L126" s="126" t="s">
        <v>1062</v>
      </c>
      <c r="M126" s="167"/>
      <c r="N126" s="126" t="s">
        <v>686</v>
      </c>
      <c r="O126" s="126" t="s">
        <v>687</v>
      </c>
      <c r="P126" s="126" t="s">
        <v>172</v>
      </c>
      <c r="Q126" s="181">
        <v>7500</v>
      </c>
      <c r="R126" s="181">
        <v>7420.2470000000003</v>
      </c>
      <c r="S126" s="181"/>
      <c r="Y126" s="181">
        <f t="shared" si="40"/>
        <v>7420.2470000000003</v>
      </c>
      <c r="AW126" s="165">
        <f t="shared" si="22"/>
        <v>44996.916666666664</v>
      </c>
      <c r="AX126" s="165">
        <f t="shared" si="23"/>
        <v>45012.375</v>
      </c>
      <c r="AY126" s="137">
        <f t="shared" si="24"/>
        <v>15.458333333335759</v>
      </c>
      <c r="AZ126" s="165">
        <v>44996.916666666664</v>
      </c>
      <c r="BA126" s="165">
        <v>45002.881944444445</v>
      </c>
      <c r="BB126" s="165">
        <v>45004.916666666664</v>
      </c>
      <c r="BC126" s="165">
        <v>45006.576388888891</v>
      </c>
      <c r="BD126" s="165">
        <v>45006.861111111109</v>
      </c>
      <c r="BE126" s="165">
        <v>45006.864583333336</v>
      </c>
      <c r="BF126" s="165">
        <v>45006.864583333336</v>
      </c>
      <c r="BG126" s="165">
        <f t="shared" si="41"/>
        <v>45008.572916666672</v>
      </c>
      <c r="BH126" s="165">
        <v>45008.25</v>
      </c>
      <c r="BI126" s="165">
        <v>45008.416666666664</v>
      </c>
      <c r="BJ126" s="165">
        <v>45008.350694444445</v>
      </c>
      <c r="BK126" s="165">
        <v>45010.729166666664</v>
      </c>
      <c r="BL126" s="165">
        <v>45010.854166666664</v>
      </c>
      <c r="BM126" s="165">
        <v>45011.135416666664</v>
      </c>
      <c r="BN126" s="165">
        <v>45011.166666666664</v>
      </c>
      <c r="BO126" s="165">
        <v>45011.770833333336</v>
      </c>
      <c r="BP126" s="165">
        <v>45012.375</v>
      </c>
      <c r="BS126" s="136">
        <f t="shared" si="25"/>
        <v>48.833333333255723</v>
      </c>
      <c r="BT126" s="136">
        <f t="shared" si="26"/>
        <v>6.8333333332557231</v>
      </c>
      <c r="BU126" s="136">
        <f t="shared" si="27"/>
        <v>41.000000000058208</v>
      </c>
      <c r="BV126" s="136">
        <f t="shared" si="39"/>
        <v>55.5</v>
      </c>
      <c r="BW126" s="135">
        <f t="shared" si="29"/>
        <v>6.75</v>
      </c>
      <c r="BX126" s="135">
        <f t="shared" si="30"/>
        <v>14.499999999941792</v>
      </c>
      <c r="BY126" s="134">
        <f t="shared" si="31"/>
        <v>7.2256944444379769</v>
      </c>
      <c r="BZ126" s="134">
        <f t="shared" si="32"/>
        <v>15.458333333335759</v>
      </c>
      <c r="CA126" s="133">
        <f t="shared" si="33"/>
        <v>0.4674303683732729</v>
      </c>
    </row>
    <row r="127" spans="1:79" s="126" customFormat="1">
      <c r="A127" s="192">
        <f t="shared" si="34"/>
        <v>45008.128472222219</v>
      </c>
      <c r="B127" s="126" t="s">
        <v>228</v>
      </c>
      <c r="C127" s="126" t="s">
        <v>229</v>
      </c>
      <c r="D127" s="126" t="s">
        <v>215</v>
      </c>
      <c r="E127" s="126" t="s">
        <v>986</v>
      </c>
      <c r="G127" s="73">
        <v>45011.125</v>
      </c>
      <c r="H127" s="73">
        <v>45011.091666666667</v>
      </c>
      <c r="I127" s="126" t="s">
        <v>469</v>
      </c>
      <c r="J127" s="126" t="s">
        <v>192</v>
      </c>
      <c r="K127" s="126" t="s">
        <v>192</v>
      </c>
      <c r="L127" s="126" t="s">
        <v>1063</v>
      </c>
      <c r="M127" s="167"/>
      <c r="N127" s="126" t="s">
        <v>374</v>
      </c>
      <c r="O127" s="126" t="s">
        <v>375</v>
      </c>
      <c r="P127" s="126" t="s">
        <v>172</v>
      </c>
      <c r="Q127" s="181">
        <v>7508.4480000000003</v>
      </c>
      <c r="R127" s="181">
        <v>7526.0510000000004</v>
      </c>
      <c r="S127" s="181"/>
      <c r="Y127" s="181">
        <f t="shared" si="40"/>
        <v>7526.0510000000004</v>
      </c>
      <c r="AW127" s="165">
        <f t="shared" si="22"/>
        <v>45002.638888888891</v>
      </c>
      <c r="AX127" s="165">
        <f t="shared" si="23"/>
        <v>45014.059027777781</v>
      </c>
      <c r="AY127" s="137">
        <f t="shared" si="24"/>
        <v>11.420138888890506</v>
      </c>
      <c r="AZ127" s="165">
        <v>45002.638888888891</v>
      </c>
      <c r="BA127" s="165">
        <v>45003.340277777781</v>
      </c>
      <c r="BB127" s="165">
        <v>45005.354166666664</v>
      </c>
      <c r="BC127" s="165">
        <v>45008.128472222219</v>
      </c>
      <c r="BD127" s="165">
        <v>45008.399305555555</v>
      </c>
      <c r="BE127" s="165">
        <v>45008.40625</v>
      </c>
      <c r="BF127" s="165">
        <v>45008.40625</v>
      </c>
      <c r="BG127" s="165">
        <f t="shared" si="41"/>
        <v>45010.114583333336</v>
      </c>
      <c r="BH127" s="165">
        <v>45010.25</v>
      </c>
      <c r="BI127" s="165">
        <v>45010.416666666664</v>
      </c>
      <c r="BJ127" s="165">
        <v>45010.315972222219</v>
      </c>
      <c r="BK127" s="165">
        <v>45011.875</v>
      </c>
      <c r="BL127" s="165">
        <v>45013.326388888891</v>
      </c>
      <c r="BM127" s="165">
        <v>45013.559027777781</v>
      </c>
      <c r="BN127" s="165">
        <v>45013.569444444445</v>
      </c>
      <c r="BO127" s="165">
        <v>45013.572916666664</v>
      </c>
      <c r="BP127" s="165">
        <v>45014.059027777781</v>
      </c>
      <c r="BS127" s="136">
        <f t="shared" si="25"/>
        <v>48.333333333197515</v>
      </c>
      <c r="BT127" s="136">
        <f t="shared" si="26"/>
        <v>6.5000000000582077</v>
      </c>
      <c r="BU127" s="136">
        <f t="shared" si="27"/>
        <v>41.000000000058208</v>
      </c>
      <c r="BV127" s="136">
        <f t="shared" si="39"/>
        <v>35.000000000058208</v>
      </c>
      <c r="BW127" s="135">
        <f t="shared" si="29"/>
        <v>5.5833333333721384</v>
      </c>
      <c r="BX127" s="135">
        <f t="shared" si="30"/>
        <v>11.666666666802485</v>
      </c>
      <c r="BY127" s="134">
        <f t="shared" si="31"/>
        <v>6.1701388888977817</v>
      </c>
      <c r="BZ127" s="134">
        <f t="shared" si="32"/>
        <v>11.420138888890506</v>
      </c>
      <c r="CA127" s="133">
        <f t="shared" si="33"/>
        <v>0.54028580115606861</v>
      </c>
    </row>
    <row r="128" spans="1:79" s="126" customFormat="1">
      <c r="A128" s="192">
        <f t="shared" si="34"/>
        <v>45009.8125</v>
      </c>
      <c r="B128" s="126" t="s">
        <v>228</v>
      </c>
      <c r="C128" s="126" t="s">
        <v>229</v>
      </c>
      <c r="D128" s="126" t="s">
        <v>197</v>
      </c>
      <c r="E128" s="126" t="s">
        <v>1064</v>
      </c>
      <c r="G128" s="73">
        <v>45007.354166666664</v>
      </c>
      <c r="H128" s="73">
        <v>45007.277777777781</v>
      </c>
      <c r="I128" s="126" t="s">
        <v>471</v>
      </c>
      <c r="J128" s="126" t="s">
        <v>192</v>
      </c>
      <c r="K128" s="126" t="s">
        <v>192</v>
      </c>
      <c r="L128" s="126" t="s">
        <v>1065</v>
      </c>
      <c r="M128" s="167"/>
      <c r="N128" s="126" t="s">
        <v>406</v>
      </c>
      <c r="O128" s="126" t="s">
        <v>407</v>
      </c>
      <c r="P128" s="126" t="s">
        <v>172</v>
      </c>
      <c r="Q128" s="181">
        <f>3107*2.4</f>
        <v>7456.7999999999993</v>
      </c>
      <c r="R128" s="181">
        <v>7565.75</v>
      </c>
      <c r="S128" s="181"/>
      <c r="Y128" s="181">
        <f t="shared" si="40"/>
        <v>7565.75</v>
      </c>
      <c r="AW128" s="165">
        <f t="shared" si="22"/>
        <v>45003.75</v>
      </c>
      <c r="AX128" s="165">
        <f t="shared" si="23"/>
        <v>45014.923611111109</v>
      </c>
      <c r="AY128" s="137">
        <f t="shared" si="24"/>
        <v>11.173611111109494</v>
      </c>
      <c r="AZ128" s="165">
        <v>45003.75</v>
      </c>
      <c r="BA128" s="165">
        <v>45005.857638888891</v>
      </c>
      <c r="BB128" s="165">
        <v>45007.440972222219</v>
      </c>
      <c r="BC128" s="165">
        <v>45009.8125</v>
      </c>
      <c r="BD128" s="165">
        <v>45010.038194444445</v>
      </c>
      <c r="BE128" s="165">
        <v>45010.045138888891</v>
      </c>
      <c r="BF128" s="165">
        <v>45010.045138888891</v>
      </c>
      <c r="BG128" s="165">
        <f t="shared" si="41"/>
        <v>45011.753472222226</v>
      </c>
      <c r="BH128" s="165">
        <v>45012.25</v>
      </c>
      <c r="BI128" s="165">
        <v>45012.416666666664</v>
      </c>
      <c r="BJ128" s="165">
        <v>45012.333333333336</v>
      </c>
      <c r="BK128" s="165">
        <v>45013.46875</v>
      </c>
      <c r="BL128" s="165">
        <v>45013.951388888891</v>
      </c>
      <c r="BM128" s="165">
        <v>45014.53125</v>
      </c>
      <c r="BN128" s="165">
        <v>45014.548611111109</v>
      </c>
      <c r="BO128" s="165">
        <v>45014.548611111109</v>
      </c>
      <c r="BP128" s="165">
        <v>45014.923611111109</v>
      </c>
      <c r="BS128" s="136">
        <f t="shared" si="25"/>
        <v>37.999999999883585</v>
      </c>
      <c r="BT128" s="136">
        <f t="shared" si="26"/>
        <v>5.4166666666860692</v>
      </c>
      <c r="BU128" s="136">
        <f t="shared" si="27"/>
        <v>41.000000000058208</v>
      </c>
      <c r="BV128" s="136">
        <f t="shared" si="39"/>
        <v>25.250000000058208</v>
      </c>
      <c r="BW128" s="135">
        <f t="shared" si="29"/>
        <v>13.916666666627862</v>
      </c>
      <c r="BX128" s="135">
        <f t="shared" si="30"/>
        <v>9</v>
      </c>
      <c r="BY128" s="134">
        <f t="shared" si="31"/>
        <v>5.5243055555547471</v>
      </c>
      <c r="BZ128" s="134">
        <f t="shared" si="32"/>
        <v>11.173611111109494</v>
      </c>
      <c r="CA128" s="133">
        <f t="shared" si="33"/>
        <v>0.49440646364201285</v>
      </c>
    </row>
    <row r="129" spans="1:81" s="126" customFormat="1">
      <c r="A129" s="192">
        <f t="shared" si="34"/>
        <v>45011.666666666664</v>
      </c>
      <c r="B129" s="126" t="s">
        <v>228</v>
      </c>
      <c r="C129" s="126" t="s">
        <v>229</v>
      </c>
      <c r="D129" s="126" t="s">
        <v>215</v>
      </c>
      <c r="E129" s="65" t="s">
        <v>916</v>
      </c>
      <c r="G129" s="165">
        <v>45012.239583333336</v>
      </c>
      <c r="H129" s="165">
        <v>45012.239583333336</v>
      </c>
      <c r="I129" s="126" t="s">
        <v>469</v>
      </c>
      <c r="J129" s="126" t="s">
        <v>192</v>
      </c>
      <c r="K129" s="126" t="s">
        <v>192</v>
      </c>
      <c r="L129" s="126" t="s">
        <v>1066</v>
      </c>
      <c r="M129" s="167"/>
      <c r="N129" s="126" t="s">
        <v>252</v>
      </c>
      <c r="O129" s="126" t="s">
        <v>253</v>
      </c>
      <c r="P129" s="126" t="s">
        <v>172</v>
      </c>
      <c r="Q129" s="181">
        <f>3107*2.4</f>
        <v>7456.7999999999993</v>
      </c>
      <c r="R129" s="181">
        <v>7611.384</v>
      </c>
      <c r="S129" s="181"/>
      <c r="Y129" s="181">
        <f t="shared" si="40"/>
        <v>7611.384</v>
      </c>
      <c r="AW129" s="165">
        <f t="shared" si="22"/>
        <v>45006.715277777781</v>
      </c>
      <c r="AX129" s="165">
        <f t="shared" si="23"/>
        <v>45018</v>
      </c>
      <c r="AY129" s="137">
        <f t="shared" si="24"/>
        <v>11.284722222218988</v>
      </c>
      <c r="AZ129" s="165">
        <v>45006.715277777781</v>
      </c>
      <c r="BA129" s="165">
        <v>45007.586805555555</v>
      </c>
      <c r="BB129" s="165">
        <v>45009.444444444445</v>
      </c>
      <c r="BC129" s="165">
        <v>45011.666666666664</v>
      </c>
      <c r="BD129" s="165">
        <v>45011.96875</v>
      </c>
      <c r="BE129" s="165">
        <v>45011.975694444445</v>
      </c>
      <c r="BF129" s="165">
        <v>45012.263888888891</v>
      </c>
      <c r="BG129" s="165">
        <f t="shared" si="41"/>
        <v>45013.972222222226</v>
      </c>
      <c r="BH129" s="165">
        <v>45014.291666608799</v>
      </c>
      <c r="BI129" s="165">
        <v>45014.458333275463</v>
      </c>
      <c r="BJ129" s="165">
        <v>45014.34375</v>
      </c>
      <c r="BK129" s="165">
        <v>45015.965277777781</v>
      </c>
      <c r="BL129" s="165">
        <v>45017.236111111109</v>
      </c>
      <c r="BM129" s="165">
        <v>45017.451388888891</v>
      </c>
      <c r="BN129" s="165">
        <v>45017.465277777781</v>
      </c>
      <c r="BO129" s="165">
        <v>45017.46875</v>
      </c>
      <c r="BP129" s="165">
        <v>45018</v>
      </c>
      <c r="BS129" s="136">
        <f t="shared" si="25"/>
        <v>44.583333333372138</v>
      </c>
      <c r="BT129" s="136">
        <f t="shared" si="26"/>
        <v>7.2500000000582077</v>
      </c>
      <c r="BU129" s="136">
        <f t="shared" si="27"/>
        <v>41.000000000058208</v>
      </c>
      <c r="BV129" s="136">
        <f t="shared" si="39"/>
        <v>36.166668055637274</v>
      </c>
      <c r="BW129" s="135">
        <f t="shared" si="29"/>
        <v>5.1666666667442769</v>
      </c>
      <c r="BX129" s="135">
        <f t="shared" si="30"/>
        <v>12.75</v>
      </c>
      <c r="BY129" s="134">
        <f t="shared" si="31"/>
        <v>6.1215278356612544</v>
      </c>
      <c r="BZ129" s="134">
        <f t="shared" si="32"/>
        <v>11.284722222218988</v>
      </c>
      <c r="CA129" s="133">
        <f t="shared" si="33"/>
        <v>0.54246154359106047</v>
      </c>
    </row>
    <row r="130" spans="1:81" s="121" customFormat="1">
      <c r="A130" s="192">
        <f t="shared" si="34"/>
        <v>45016.586805555555</v>
      </c>
      <c r="B130" s="126" t="s">
        <v>228</v>
      </c>
      <c r="C130" s="126" t="s">
        <v>229</v>
      </c>
      <c r="D130" s="126" t="s">
        <v>197</v>
      </c>
      <c r="E130" s="126" t="s">
        <v>1045</v>
      </c>
      <c r="F130" s="126"/>
      <c r="G130" s="73">
        <v>45019.958333333336</v>
      </c>
      <c r="H130" s="73">
        <v>45019.958333333336</v>
      </c>
      <c r="I130" s="126" t="s">
        <v>469</v>
      </c>
      <c r="J130" s="126" t="s">
        <v>192</v>
      </c>
      <c r="K130" s="126" t="s">
        <v>192</v>
      </c>
      <c r="L130" s="126" t="s">
        <v>1067</v>
      </c>
      <c r="M130" s="167"/>
      <c r="N130" s="126" t="s">
        <v>355</v>
      </c>
      <c r="O130" s="126" t="s">
        <v>356</v>
      </c>
      <c r="P130" s="126" t="s">
        <v>172</v>
      </c>
      <c r="Q130" s="181">
        <f>3107*2.4</f>
        <v>7456.7999999999993</v>
      </c>
      <c r="R130" s="181">
        <v>7553.3689999999997</v>
      </c>
      <c r="S130" s="181"/>
      <c r="T130" s="126"/>
      <c r="U130" s="126"/>
      <c r="V130" s="126"/>
      <c r="W130" s="126"/>
      <c r="X130" s="126"/>
      <c r="Y130" s="181">
        <f t="shared" si="40"/>
        <v>7553.3689999999997</v>
      </c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65">
        <f t="shared" si="22"/>
        <v>45008.840277777781</v>
      </c>
      <c r="AX130" s="165">
        <f t="shared" si="23"/>
        <v>45026.395833333336</v>
      </c>
      <c r="AY130" s="137">
        <f t="shared" si="24"/>
        <v>17.555555555554747</v>
      </c>
      <c r="AZ130" s="165">
        <v>45008.840277777781</v>
      </c>
      <c r="BA130" s="165">
        <v>45010.569444444445</v>
      </c>
      <c r="BB130" s="165">
        <v>45012.284722222219</v>
      </c>
      <c r="BC130" s="165">
        <v>45016.586805555555</v>
      </c>
      <c r="BD130" s="165">
        <v>45016.895833333336</v>
      </c>
      <c r="BE130" s="165">
        <v>45016.913194444445</v>
      </c>
      <c r="BF130" s="165">
        <v>45016.913194444445</v>
      </c>
      <c r="BG130" s="165">
        <f t="shared" si="41"/>
        <v>45018.621527777781</v>
      </c>
      <c r="BH130" s="165">
        <v>45018.541666608799</v>
      </c>
      <c r="BI130" s="165">
        <v>45018.708333275463</v>
      </c>
      <c r="BJ130" s="165">
        <v>45018.591666666667</v>
      </c>
      <c r="BK130" s="165">
        <v>45021.375</v>
      </c>
      <c r="BL130" s="165">
        <v>45025.194444444445</v>
      </c>
      <c r="BM130" s="165">
        <v>45025.71875</v>
      </c>
      <c r="BN130" s="165">
        <v>45025.986111111109</v>
      </c>
      <c r="BO130" s="165">
        <v>45026.006944444445</v>
      </c>
      <c r="BP130" s="165">
        <v>45026.395833333336</v>
      </c>
      <c r="BQ130" s="126"/>
      <c r="BR130" s="126"/>
      <c r="BS130" s="136">
        <f t="shared" si="25"/>
        <v>41.166666666569654</v>
      </c>
      <c r="BT130" s="136">
        <f t="shared" si="26"/>
        <v>7.4166666667442769</v>
      </c>
      <c r="BU130" s="136">
        <f t="shared" si="27"/>
        <v>41.000000000058208</v>
      </c>
      <c r="BV130" s="136">
        <f t="shared" si="39"/>
        <v>64.000001388892997</v>
      </c>
      <c r="BW130" s="135">
        <f t="shared" si="29"/>
        <v>12.583333333313931</v>
      </c>
      <c r="BX130" s="135">
        <f t="shared" si="30"/>
        <v>9.3333333333721384</v>
      </c>
      <c r="BY130" s="134">
        <f t="shared" si="31"/>
        <v>7.3125000578729669</v>
      </c>
      <c r="BZ130" s="134">
        <f t="shared" si="32"/>
        <v>17.555555555554747</v>
      </c>
      <c r="CA130" s="133">
        <f t="shared" si="33"/>
        <v>0.41653481342316284</v>
      </c>
      <c r="CB130" s="126"/>
      <c r="CC130" s="126"/>
    </row>
    <row r="131" spans="1:81" s="126" customFormat="1">
      <c r="A131" s="192">
        <f t="shared" si="34"/>
        <v>44986.086805555555</v>
      </c>
      <c r="B131" s="126" t="s">
        <v>188</v>
      </c>
      <c r="C131" s="126" t="s">
        <v>183</v>
      </c>
      <c r="D131" s="126" t="s">
        <v>189</v>
      </c>
      <c r="E131" s="126" t="s">
        <v>950</v>
      </c>
      <c r="G131" s="165">
        <v>45003.5625</v>
      </c>
      <c r="H131" s="165">
        <v>45003.54583333333</v>
      </c>
      <c r="I131" s="126" t="s">
        <v>791</v>
      </c>
      <c r="J131" s="126" t="s">
        <v>192</v>
      </c>
      <c r="K131" s="126" t="s">
        <v>192</v>
      </c>
      <c r="L131" s="126" t="s">
        <v>1068</v>
      </c>
      <c r="M131" s="167"/>
      <c r="N131" s="126" t="s">
        <v>793</v>
      </c>
      <c r="O131" s="126" t="s">
        <v>794</v>
      </c>
      <c r="P131" s="126" t="s">
        <v>183</v>
      </c>
      <c r="Q131" s="181">
        <v>5500</v>
      </c>
      <c r="R131" s="181">
        <v>5213.2250000000004</v>
      </c>
      <c r="S131" s="181"/>
      <c r="AS131" s="181">
        <f>R131</f>
        <v>5213.2250000000004</v>
      </c>
      <c r="AW131" s="165">
        <f t="shared" si="22"/>
        <v>44986.072916666664</v>
      </c>
      <c r="AX131" s="165">
        <f t="shared" si="23"/>
        <v>44992.173611111109</v>
      </c>
      <c r="AY131" s="137">
        <f t="shared" si="24"/>
        <v>6.1006944444452529</v>
      </c>
      <c r="AZ131" s="165">
        <v>44986.072916666664</v>
      </c>
      <c r="BA131" s="165">
        <v>44986.072916666664</v>
      </c>
      <c r="BB131" s="165">
        <v>44986.072916666664</v>
      </c>
      <c r="BC131" s="165">
        <v>44986.086805555555</v>
      </c>
      <c r="BD131" s="165">
        <v>44986.802083333336</v>
      </c>
      <c r="BE131" s="165">
        <v>44986.847222222219</v>
      </c>
      <c r="BF131" s="165">
        <v>44986.847222222219</v>
      </c>
      <c r="BG131" s="165">
        <v>44986.847222222219</v>
      </c>
      <c r="BH131" s="166" t="s">
        <v>196</v>
      </c>
      <c r="BI131" s="166" t="s">
        <v>196</v>
      </c>
      <c r="BJ131" s="166" t="s">
        <v>196</v>
      </c>
      <c r="BK131" s="165">
        <v>44991.763888888891</v>
      </c>
      <c r="BL131" s="165">
        <v>44991.840277777781</v>
      </c>
      <c r="BM131" s="165">
        <v>44992.145833333336</v>
      </c>
      <c r="BN131" s="165">
        <v>44992.173611111109</v>
      </c>
      <c r="BO131" s="165">
        <v>44992.173611111109</v>
      </c>
      <c r="BP131" s="165">
        <v>44992.173611111109</v>
      </c>
      <c r="BS131" s="136">
        <f t="shared" si="25"/>
        <v>0</v>
      </c>
      <c r="BT131" s="136">
        <f t="shared" si="26"/>
        <v>17.166666666744277</v>
      </c>
      <c r="BU131" s="136">
        <f t="shared" si="27"/>
        <v>0</v>
      </c>
      <c r="BV131" s="136">
        <f>(BK131-BG131)*24</f>
        <v>118.00000000011642</v>
      </c>
      <c r="BW131" s="135">
        <f t="shared" si="29"/>
        <v>7.3333333333139308</v>
      </c>
      <c r="BX131" s="135">
        <f t="shared" si="30"/>
        <v>0</v>
      </c>
      <c r="BY131" s="134">
        <f t="shared" si="31"/>
        <v>5.937500000007276</v>
      </c>
      <c r="BZ131" s="134">
        <f t="shared" si="32"/>
        <v>6.1006944444452529</v>
      </c>
      <c r="CA131" s="133">
        <f t="shared" si="33"/>
        <v>0.97324985771307282</v>
      </c>
    </row>
    <row r="132" spans="1:81" s="126" customFormat="1">
      <c r="A132" s="192">
        <f t="shared" si="34"/>
        <v>45010.583333333336</v>
      </c>
      <c r="B132" s="126" t="s">
        <v>188</v>
      </c>
      <c r="C132" s="126" t="s">
        <v>183</v>
      </c>
      <c r="D132" s="126" t="s">
        <v>189</v>
      </c>
      <c r="E132" s="126" t="s">
        <v>1045</v>
      </c>
      <c r="G132" s="73">
        <v>45019.958333333336</v>
      </c>
      <c r="H132" s="73">
        <v>45019.958333333336</v>
      </c>
      <c r="I132" s="126" t="s">
        <v>791</v>
      </c>
      <c r="J132" s="126" t="s">
        <v>192</v>
      </c>
      <c r="K132" s="126" t="s">
        <v>192</v>
      </c>
      <c r="L132" s="126" t="s">
        <v>1069</v>
      </c>
      <c r="M132" s="167"/>
      <c r="N132" s="126" t="s">
        <v>1070</v>
      </c>
      <c r="O132" s="126" t="s">
        <v>1071</v>
      </c>
      <c r="P132" s="126" t="s">
        <v>183</v>
      </c>
      <c r="Q132" s="181">
        <v>5500</v>
      </c>
      <c r="R132" s="181">
        <v>5334.6</v>
      </c>
      <c r="S132" s="181"/>
      <c r="AS132" s="181">
        <f>R132</f>
        <v>5334.6</v>
      </c>
      <c r="AW132" s="165">
        <f t="shared" ref="AW132:AW174" si="42">AZ132</f>
        <v>45010.479166666664</v>
      </c>
      <c r="AX132" s="165">
        <f t="shared" ref="AX132:AX174" si="43">BP132</f>
        <v>45018.131944444445</v>
      </c>
      <c r="AY132" s="137">
        <f t="shared" ref="AY132:AY174" si="44">AX132-AW132</f>
        <v>7.6527777777810115</v>
      </c>
      <c r="AZ132" s="165">
        <v>45010.479166666664</v>
      </c>
      <c r="BA132" s="165">
        <v>45010.479166666664</v>
      </c>
      <c r="BB132" s="165">
        <v>45010.479166666664</v>
      </c>
      <c r="BC132" s="165">
        <v>45010.583333333336</v>
      </c>
      <c r="BD132" s="165">
        <v>45011.166666666664</v>
      </c>
      <c r="BE132" s="165">
        <v>45011.347222222219</v>
      </c>
      <c r="BF132" s="165">
        <v>45011.347222222219</v>
      </c>
      <c r="BG132" s="165">
        <v>45011.347222222219</v>
      </c>
      <c r="BH132" s="166" t="s">
        <v>196</v>
      </c>
      <c r="BI132" s="166" t="s">
        <v>196</v>
      </c>
      <c r="BJ132" s="166" t="s">
        <v>196</v>
      </c>
      <c r="BK132" s="165">
        <v>45016.166666666664</v>
      </c>
      <c r="BL132" s="165">
        <v>45017.809027777781</v>
      </c>
      <c r="BM132" s="165">
        <v>45018.111111111109</v>
      </c>
      <c r="BN132" s="165">
        <v>45018.131944444445</v>
      </c>
      <c r="BO132" s="165">
        <v>45018.131944444445</v>
      </c>
      <c r="BP132" s="165">
        <v>45018.131944444445</v>
      </c>
      <c r="BS132" s="136">
        <f t="shared" si="25"/>
        <v>0</v>
      </c>
      <c r="BT132" s="136">
        <f t="shared" si="26"/>
        <v>13.999999999883585</v>
      </c>
      <c r="BU132" s="136">
        <f t="shared" si="27"/>
        <v>0</v>
      </c>
      <c r="BV132" s="136">
        <f>(BK132-BG132)*24</f>
        <v>115.66666666668607</v>
      </c>
      <c r="BW132" s="135">
        <f t="shared" si="29"/>
        <v>7.2499999998835847</v>
      </c>
      <c r="BX132" s="135">
        <f t="shared" si="30"/>
        <v>0</v>
      </c>
      <c r="BY132" s="134">
        <f t="shared" si="31"/>
        <v>5.7048611111022183</v>
      </c>
      <c r="BZ132" s="134">
        <f t="shared" si="32"/>
        <v>7.6527777777810115</v>
      </c>
      <c r="CA132" s="133">
        <f t="shared" si="33"/>
        <v>0.7454627949168533</v>
      </c>
    </row>
    <row r="133" spans="1:81" s="126" customFormat="1">
      <c r="A133" s="192">
        <f>BC133</f>
        <v>45013.944444444445</v>
      </c>
      <c r="B133" s="126" t="s">
        <v>188</v>
      </c>
      <c r="C133" s="126" t="s">
        <v>184</v>
      </c>
      <c r="D133" s="126" t="s">
        <v>189</v>
      </c>
      <c r="E133" s="65" t="s">
        <v>1072</v>
      </c>
      <c r="G133" s="73">
        <v>45035.25</v>
      </c>
      <c r="H133" s="73">
        <v>45035.229166666664</v>
      </c>
      <c r="I133" s="65" t="s">
        <v>818</v>
      </c>
      <c r="J133" s="126" t="s">
        <v>192</v>
      </c>
      <c r="K133" s="126" t="s">
        <v>192</v>
      </c>
      <c r="L133" s="126" t="s">
        <v>1073</v>
      </c>
      <c r="M133" s="167"/>
      <c r="N133" s="126" t="s">
        <v>823</v>
      </c>
      <c r="O133" s="126" t="s">
        <v>824</v>
      </c>
      <c r="P133" s="126" t="s">
        <v>184</v>
      </c>
      <c r="Q133" s="181">
        <v>7500</v>
      </c>
      <c r="R133" s="181">
        <v>7547.6210000000001</v>
      </c>
      <c r="S133" s="181"/>
      <c r="AT133" s="181">
        <f>R133</f>
        <v>7547.6210000000001</v>
      </c>
      <c r="AW133" s="165">
        <f>AZ133</f>
        <v>45013.697916666664</v>
      </c>
      <c r="AX133" s="165">
        <f>BP133</f>
        <v>45036.628472222219</v>
      </c>
      <c r="AY133" s="137">
        <f t="shared" si="44"/>
        <v>22.930555555554747</v>
      </c>
      <c r="AZ133" s="165">
        <v>45013.697916666664</v>
      </c>
      <c r="BA133" s="165">
        <v>45013.697916666664</v>
      </c>
      <c r="BB133" s="165">
        <v>45013.697916666664</v>
      </c>
      <c r="BC133" s="165">
        <v>45013.944444444445</v>
      </c>
      <c r="BD133" s="165">
        <v>45016.611111111109</v>
      </c>
      <c r="BE133" s="165">
        <v>45016.659722222219</v>
      </c>
      <c r="BF133" s="165">
        <v>45016.659722222219</v>
      </c>
      <c r="BG133" s="165">
        <v>45016.659722222219</v>
      </c>
      <c r="BH133" s="166" t="s">
        <v>196</v>
      </c>
      <c r="BI133" s="166" t="s">
        <v>196</v>
      </c>
      <c r="BJ133" s="166" t="s">
        <v>196</v>
      </c>
      <c r="BK133" s="165">
        <v>45020.166666666664</v>
      </c>
      <c r="BL133" s="165">
        <v>45035.381944444445</v>
      </c>
      <c r="BM133" s="165">
        <v>45036.613194444442</v>
      </c>
      <c r="BN133" s="165">
        <v>45036.628472222219</v>
      </c>
      <c r="BO133" s="165">
        <v>45036.628472222219</v>
      </c>
      <c r="BP133" s="165">
        <v>45036.628472222219</v>
      </c>
      <c r="BS133" s="136">
        <f>(BB133-BA133)*24</f>
        <v>0</v>
      </c>
      <c r="BT133" s="136">
        <f>(BD133-BC133)*24</f>
        <v>63.999999999941792</v>
      </c>
      <c r="BU133" s="136">
        <f>(BG133-BF133)*24</f>
        <v>0</v>
      </c>
      <c r="BV133" s="136">
        <f>(BK133-BG133)*24</f>
        <v>84.166666666686069</v>
      </c>
      <c r="BW133" s="135">
        <f>(BM133-BL133)*24</f>
        <v>29.549999999930151</v>
      </c>
      <c r="BX133" s="135">
        <f>(BP133-BO133)*24</f>
        <v>0</v>
      </c>
      <c r="BY133" s="134">
        <f>SUM(BS133:BX133)/24</f>
        <v>7.4048611111065838</v>
      </c>
      <c r="BZ133" s="134">
        <f>AY133</f>
        <v>22.930555555554747</v>
      </c>
      <c r="CA133" s="133">
        <f>BY133/BZ133</f>
        <v>0.32292549969696721</v>
      </c>
    </row>
    <row r="134" spans="1:81" s="126" customFormat="1">
      <c r="A134" s="192"/>
      <c r="D134" s="126" t="s">
        <v>215</v>
      </c>
      <c r="G134" s="165"/>
      <c r="H134" s="165"/>
      <c r="J134" s="126" t="s">
        <v>312</v>
      </c>
      <c r="L134" s="126" t="s">
        <v>1074</v>
      </c>
      <c r="M134" s="167"/>
      <c r="N134" s="126" t="s">
        <v>482</v>
      </c>
      <c r="O134" s="126" t="s">
        <v>483</v>
      </c>
      <c r="Q134" s="181">
        <f>3107*2.4</f>
        <v>7456.7999999999993</v>
      </c>
      <c r="R134" s="181"/>
      <c r="S134" s="181"/>
      <c r="T134" s="181"/>
      <c r="U134" s="181"/>
      <c r="AW134" s="165">
        <f t="shared" si="42"/>
        <v>44986</v>
      </c>
      <c r="AX134" s="165">
        <f t="shared" si="43"/>
        <v>45017</v>
      </c>
      <c r="AY134" s="137">
        <f t="shared" si="44"/>
        <v>31</v>
      </c>
      <c r="AZ134" s="165">
        <v>44986</v>
      </c>
      <c r="BA134" s="166" t="s">
        <v>196</v>
      </c>
      <c r="BB134" s="166" t="s">
        <v>196</v>
      </c>
      <c r="BC134" s="166" t="s">
        <v>196</v>
      </c>
      <c r="BD134" s="166" t="s">
        <v>196</v>
      </c>
      <c r="BE134" s="166" t="s">
        <v>196</v>
      </c>
      <c r="BF134" s="166" t="s">
        <v>196</v>
      </c>
      <c r="BG134" s="166" t="s">
        <v>196</v>
      </c>
      <c r="BH134" s="166" t="s">
        <v>196</v>
      </c>
      <c r="BI134" s="166" t="s">
        <v>196</v>
      </c>
      <c r="BJ134" s="166" t="s">
        <v>196</v>
      </c>
      <c r="BK134" s="166" t="s">
        <v>196</v>
      </c>
      <c r="BL134" s="166" t="s">
        <v>196</v>
      </c>
      <c r="BM134" s="166" t="s">
        <v>196</v>
      </c>
      <c r="BN134" s="166" t="s">
        <v>196</v>
      </c>
      <c r="BO134" s="166" t="s">
        <v>196</v>
      </c>
      <c r="BP134" s="165">
        <v>45017</v>
      </c>
      <c r="BS134" s="136" t="e">
        <f t="shared" si="25"/>
        <v>#VALUE!</v>
      </c>
      <c r="BT134" s="136" t="e">
        <f t="shared" si="26"/>
        <v>#VALUE!</v>
      </c>
      <c r="BU134" s="136" t="e">
        <f t="shared" si="27"/>
        <v>#VALUE!</v>
      </c>
      <c r="BV134" s="136" t="e">
        <f t="shared" ref="BV134:BV174" si="45">(BK134-BI134)*24</f>
        <v>#VALUE!</v>
      </c>
      <c r="BW134" s="135" t="e">
        <f t="shared" si="29"/>
        <v>#VALUE!</v>
      </c>
      <c r="BX134" s="135" t="e">
        <f t="shared" si="30"/>
        <v>#VALUE!</v>
      </c>
      <c r="BY134" s="134" t="e">
        <f t="shared" si="31"/>
        <v>#VALUE!</v>
      </c>
      <c r="BZ134" s="134">
        <f t="shared" si="32"/>
        <v>31</v>
      </c>
      <c r="CA134" s="133" t="e">
        <f t="shared" si="33"/>
        <v>#VALUE!</v>
      </c>
    </row>
    <row r="135" spans="1:81" s="126" customFormat="1">
      <c r="A135" s="192"/>
      <c r="D135" s="126" t="s">
        <v>215</v>
      </c>
      <c r="J135" s="126" t="s">
        <v>312</v>
      </c>
      <c r="L135" s="126" t="s">
        <v>1075</v>
      </c>
      <c r="M135" s="167"/>
      <c r="N135" s="126" t="s">
        <v>485</v>
      </c>
      <c r="O135" s="126" t="s">
        <v>486</v>
      </c>
      <c r="Q135" s="181">
        <f>3102*2.4</f>
        <v>7444.7999999999993</v>
      </c>
      <c r="R135" s="181"/>
      <c r="S135" s="181"/>
      <c r="T135" s="181"/>
      <c r="AW135" s="165">
        <f t="shared" si="42"/>
        <v>44986</v>
      </c>
      <c r="AX135" s="165">
        <f t="shared" si="43"/>
        <v>45015.902777777781</v>
      </c>
      <c r="AY135" s="137">
        <f t="shared" si="44"/>
        <v>29.902777777781012</v>
      </c>
      <c r="AZ135" s="165">
        <v>44986</v>
      </c>
      <c r="BA135" s="166" t="s">
        <v>196</v>
      </c>
      <c r="BB135" s="166" t="s">
        <v>196</v>
      </c>
      <c r="BC135" s="166" t="s">
        <v>196</v>
      </c>
      <c r="BD135" s="166" t="s">
        <v>196</v>
      </c>
      <c r="BE135" s="166" t="s">
        <v>196</v>
      </c>
      <c r="BF135" s="166" t="s">
        <v>196</v>
      </c>
      <c r="BG135" s="166" t="s">
        <v>196</v>
      </c>
      <c r="BH135" s="166" t="s">
        <v>196</v>
      </c>
      <c r="BI135" s="166" t="s">
        <v>196</v>
      </c>
      <c r="BJ135" s="166" t="s">
        <v>196</v>
      </c>
      <c r="BK135" s="166" t="s">
        <v>196</v>
      </c>
      <c r="BL135" s="166" t="s">
        <v>196</v>
      </c>
      <c r="BM135" s="166" t="s">
        <v>196</v>
      </c>
      <c r="BN135" s="166" t="s">
        <v>196</v>
      </c>
      <c r="BO135" s="166" t="s">
        <v>196</v>
      </c>
      <c r="BP135" s="165">
        <v>45015.902777777781</v>
      </c>
      <c r="BQ135" s="126" t="s">
        <v>487</v>
      </c>
      <c r="BS135" s="136" t="e">
        <f t="shared" si="25"/>
        <v>#VALUE!</v>
      </c>
      <c r="BT135" s="136" t="e">
        <f t="shared" si="26"/>
        <v>#VALUE!</v>
      </c>
      <c r="BU135" s="136" t="e">
        <f t="shared" si="27"/>
        <v>#VALUE!</v>
      </c>
      <c r="BV135" s="136" t="e">
        <f t="shared" si="45"/>
        <v>#VALUE!</v>
      </c>
      <c r="BW135" s="135" t="e">
        <f t="shared" si="29"/>
        <v>#VALUE!</v>
      </c>
      <c r="BX135" s="135" t="e">
        <f t="shared" si="30"/>
        <v>#VALUE!</v>
      </c>
      <c r="BY135" s="134" t="e">
        <f t="shared" si="31"/>
        <v>#VALUE!</v>
      </c>
      <c r="BZ135" s="134">
        <f t="shared" si="32"/>
        <v>29.902777777781012</v>
      </c>
      <c r="CA135" s="133" t="e">
        <f t="shared" si="33"/>
        <v>#VALUE!</v>
      </c>
    </row>
    <row r="136" spans="1:81" s="126" customFormat="1">
      <c r="A136" s="192">
        <f t="shared" ref="A136:A174" si="46">BC136</f>
        <v>44988.809027777781</v>
      </c>
      <c r="B136" s="126" t="s">
        <v>228</v>
      </c>
      <c r="C136" s="126" t="s">
        <v>229</v>
      </c>
      <c r="D136" s="126" t="s">
        <v>197</v>
      </c>
      <c r="E136" s="126" t="s">
        <v>929</v>
      </c>
      <c r="G136" s="73">
        <v>44993.125</v>
      </c>
      <c r="H136" s="73">
        <v>44993.083333333336</v>
      </c>
      <c r="I136" s="126" t="s">
        <v>507</v>
      </c>
      <c r="J136" s="126" t="s">
        <v>192</v>
      </c>
      <c r="K136" s="126" t="s">
        <v>192</v>
      </c>
      <c r="L136" s="126" t="s">
        <v>1076</v>
      </c>
      <c r="M136" s="167"/>
      <c r="N136" s="126" t="s">
        <v>355</v>
      </c>
      <c r="O136" s="126" t="s">
        <v>356</v>
      </c>
      <c r="P136" s="126" t="s">
        <v>494</v>
      </c>
      <c r="Q136" s="181">
        <f>3107*2.4</f>
        <v>7456.7999999999993</v>
      </c>
      <c r="R136" s="181">
        <v>7502.0810000000001</v>
      </c>
      <c r="S136" s="181"/>
      <c r="T136" s="181">
        <f t="shared" ref="T136:T166" si="47">R136</f>
        <v>7502.0810000000001</v>
      </c>
      <c r="AW136" s="165">
        <f t="shared" si="42"/>
        <v>44979.065972222219</v>
      </c>
      <c r="AX136" s="165">
        <f t="shared" si="43"/>
        <v>44998.916666666664</v>
      </c>
      <c r="AY136" s="137">
        <f t="shared" si="44"/>
        <v>19.850694444445253</v>
      </c>
      <c r="AZ136" s="165">
        <v>44979.065972222219</v>
      </c>
      <c r="BA136" s="165">
        <v>44980.645833333336</v>
      </c>
      <c r="BB136" s="165">
        <v>44982.173611111109</v>
      </c>
      <c r="BC136" s="165">
        <v>44988.809027777781</v>
      </c>
      <c r="BD136" s="165">
        <v>44988.979166666664</v>
      </c>
      <c r="BE136" s="165">
        <v>44988.986111111109</v>
      </c>
      <c r="BF136" s="165">
        <v>44988.986111111109</v>
      </c>
      <c r="BG136" s="165">
        <f t="shared" ref="BG136:BG174" si="48">BF136+(41/24)</f>
        <v>44990.694444444445</v>
      </c>
      <c r="BH136" s="165">
        <v>44990.25</v>
      </c>
      <c r="BI136" s="165">
        <v>44990.416666666664</v>
      </c>
      <c r="BJ136" s="165">
        <v>44990.368055555555</v>
      </c>
      <c r="BK136" s="165">
        <v>44994.086805555555</v>
      </c>
      <c r="BL136" s="165">
        <v>44995.732638888891</v>
      </c>
      <c r="BM136" s="165">
        <v>44996.118055555555</v>
      </c>
      <c r="BN136" s="165">
        <v>44996.128472222219</v>
      </c>
      <c r="BO136" s="165">
        <v>44996.746527777781</v>
      </c>
      <c r="BP136" s="165">
        <v>44998.916666666664</v>
      </c>
      <c r="BS136" s="136">
        <f t="shared" si="25"/>
        <v>36.666666666569654</v>
      </c>
      <c r="BT136" s="136">
        <f t="shared" si="26"/>
        <v>4.0833333331975155</v>
      </c>
      <c r="BU136" s="136">
        <f t="shared" si="27"/>
        <v>41.000000000058208</v>
      </c>
      <c r="BV136" s="136">
        <f t="shared" si="45"/>
        <v>88.083333333372138</v>
      </c>
      <c r="BW136" s="135">
        <f t="shared" si="29"/>
        <v>9.2499999999417923</v>
      </c>
      <c r="BX136" s="135">
        <f t="shared" si="30"/>
        <v>52.083333333197515</v>
      </c>
      <c r="BY136" s="134">
        <f t="shared" si="31"/>
        <v>9.631944444430701</v>
      </c>
      <c r="BZ136" s="134">
        <f t="shared" si="32"/>
        <v>19.850694444445253</v>
      </c>
      <c r="CA136" s="133">
        <f t="shared" si="33"/>
        <v>0.48521952072694224</v>
      </c>
    </row>
    <row r="137" spans="1:81" s="126" customFormat="1">
      <c r="A137" s="192">
        <f t="shared" si="46"/>
        <v>44988.628472222219</v>
      </c>
      <c r="B137" s="126" t="s">
        <v>228</v>
      </c>
      <c r="C137" s="126" t="s">
        <v>229</v>
      </c>
      <c r="D137" s="126" t="s">
        <v>197</v>
      </c>
      <c r="E137" s="126" t="s">
        <v>929</v>
      </c>
      <c r="G137" s="73">
        <v>44993.125</v>
      </c>
      <c r="H137" s="73">
        <v>44993.083333333336</v>
      </c>
      <c r="I137" s="126" t="s">
        <v>507</v>
      </c>
      <c r="J137" s="126" t="s">
        <v>192</v>
      </c>
      <c r="K137" s="126" t="s">
        <v>192</v>
      </c>
      <c r="L137" s="126" t="s">
        <v>1077</v>
      </c>
      <c r="M137" s="167"/>
      <c r="N137" s="126" t="s">
        <v>70</v>
      </c>
      <c r="O137" s="126" t="s">
        <v>255</v>
      </c>
      <c r="P137" s="126" t="s">
        <v>494</v>
      </c>
      <c r="Q137" s="181">
        <f>3047*2.4</f>
        <v>7312.8</v>
      </c>
      <c r="R137" s="181">
        <v>7504.2529999999997</v>
      </c>
      <c r="S137" s="181"/>
      <c r="T137" s="181">
        <f t="shared" si="47"/>
        <v>7504.2529999999997</v>
      </c>
      <c r="AW137" s="165">
        <f t="shared" si="42"/>
        <v>44979.847222222219</v>
      </c>
      <c r="AX137" s="165">
        <f t="shared" si="43"/>
        <v>44997.958333333336</v>
      </c>
      <c r="AY137" s="137">
        <f t="shared" si="44"/>
        <v>18.11111111111677</v>
      </c>
      <c r="AZ137" s="165">
        <v>44979.847222222219</v>
      </c>
      <c r="BA137" s="165">
        <v>44980.638888888891</v>
      </c>
      <c r="BB137" s="165">
        <v>44982.138888888891</v>
      </c>
      <c r="BC137" s="165">
        <v>44988.628472222219</v>
      </c>
      <c r="BD137" s="165">
        <v>44988.756944444445</v>
      </c>
      <c r="BE137" s="165">
        <v>44988.760416666664</v>
      </c>
      <c r="BF137" s="165">
        <v>44988.760416666664</v>
      </c>
      <c r="BG137" s="165">
        <f t="shared" si="48"/>
        <v>44990.46875</v>
      </c>
      <c r="BH137" s="165">
        <v>44990.25</v>
      </c>
      <c r="BI137" s="165">
        <v>44990.416666666664</v>
      </c>
      <c r="BJ137" s="165">
        <v>44990.357638888891</v>
      </c>
      <c r="BK137" s="165">
        <v>44994.041666666664</v>
      </c>
      <c r="BL137" s="165">
        <v>44994.5625</v>
      </c>
      <c r="BM137" s="165">
        <v>44994.979166666664</v>
      </c>
      <c r="BN137" s="165">
        <v>44994.989583333336</v>
      </c>
      <c r="BO137" s="165">
        <v>44995.805555555555</v>
      </c>
      <c r="BP137" s="165">
        <v>44997.958333333336</v>
      </c>
      <c r="BS137" s="136">
        <f t="shared" ref="BS137:BS174" si="49">(BB137-BA137)*24</f>
        <v>36</v>
      </c>
      <c r="BT137" s="136">
        <f t="shared" ref="BT137:BT174" si="50">(BD137-BC137)*24</f>
        <v>3.0833333334303461</v>
      </c>
      <c r="BU137" s="136">
        <f t="shared" ref="BU137:BU174" si="51">(BG137-BF137)*24</f>
        <v>41.000000000058208</v>
      </c>
      <c r="BV137" s="136">
        <f t="shared" si="45"/>
        <v>87</v>
      </c>
      <c r="BW137" s="135">
        <f t="shared" ref="BW137:BW174" si="52">(BM137-BL137)*24</f>
        <v>9.9999999999417923</v>
      </c>
      <c r="BX137" s="135">
        <f t="shared" ref="BX137:BX174" si="53">(BP137-BO137)*24</f>
        <v>51.666666666744277</v>
      </c>
      <c r="BY137" s="134">
        <f t="shared" ref="BY137:BY174" si="54">SUM(BS137:BX137)/24</f>
        <v>9.531250000007276</v>
      </c>
      <c r="BZ137" s="134">
        <f t="shared" ref="BZ137:BZ174" si="55">AY137</f>
        <v>18.11111111111677</v>
      </c>
      <c r="CA137" s="133">
        <f t="shared" ref="CA137:CA174" si="56">BY137/BZ137</f>
        <v>0.52626533742355019</v>
      </c>
    </row>
    <row r="138" spans="1:81" s="126" customFormat="1">
      <c r="A138" s="192">
        <f t="shared" si="46"/>
        <v>44989.118055555555</v>
      </c>
      <c r="B138" s="126" t="s">
        <v>228</v>
      </c>
      <c r="C138" s="126" t="s">
        <v>229</v>
      </c>
      <c r="D138" s="126" t="s">
        <v>197</v>
      </c>
      <c r="E138" s="126" t="s">
        <v>814</v>
      </c>
      <c r="G138" s="73">
        <v>44989.875</v>
      </c>
      <c r="H138" s="73">
        <v>44989.79583333333</v>
      </c>
      <c r="I138" s="126" t="s">
        <v>490</v>
      </c>
      <c r="J138" s="126" t="s">
        <v>192</v>
      </c>
      <c r="K138" s="126" t="s">
        <v>192</v>
      </c>
      <c r="L138" s="126" t="s">
        <v>1078</v>
      </c>
      <c r="M138" s="167"/>
      <c r="N138" s="126" t="s">
        <v>473</v>
      </c>
      <c r="O138" s="126" t="s">
        <v>474</v>
      </c>
      <c r="P138" s="126" t="s">
        <v>494</v>
      </c>
      <c r="Q138" s="181">
        <f>3136*2.4</f>
        <v>7526.4</v>
      </c>
      <c r="R138" s="181">
        <v>7322.9070000000002</v>
      </c>
      <c r="S138" s="181"/>
      <c r="T138" s="181">
        <f t="shared" si="47"/>
        <v>7322.9070000000002</v>
      </c>
      <c r="AW138" s="165">
        <f t="shared" si="42"/>
        <v>44980.083333333336</v>
      </c>
      <c r="AX138" s="165">
        <f t="shared" si="43"/>
        <v>44996.083333333336</v>
      </c>
      <c r="AY138" s="137">
        <f t="shared" si="44"/>
        <v>16</v>
      </c>
      <c r="AZ138" s="165">
        <v>44980.083333333336</v>
      </c>
      <c r="BA138" s="165">
        <v>44980.826388888891</v>
      </c>
      <c r="BB138" s="165">
        <v>44982.458333333336</v>
      </c>
      <c r="BC138" s="165">
        <v>44989.118055555555</v>
      </c>
      <c r="BD138" s="165">
        <v>44989.239583333336</v>
      </c>
      <c r="BE138" s="165">
        <v>44989.246527777781</v>
      </c>
      <c r="BF138" s="165">
        <v>44989.246527777781</v>
      </c>
      <c r="BG138" s="165">
        <f t="shared" si="48"/>
        <v>44990.954861111117</v>
      </c>
      <c r="BH138" s="165">
        <v>44991.25</v>
      </c>
      <c r="BI138" s="165">
        <v>44991.416666666664</v>
      </c>
      <c r="BJ138" s="165">
        <v>44991.340277777781</v>
      </c>
      <c r="BK138" s="165">
        <v>44992.534722222219</v>
      </c>
      <c r="BL138" s="165">
        <v>44995.423611111109</v>
      </c>
      <c r="BM138" s="165">
        <v>44995.65625</v>
      </c>
      <c r="BN138" s="165">
        <v>44995.677083333336</v>
      </c>
      <c r="BO138" s="165">
        <v>44995.677083333336</v>
      </c>
      <c r="BP138" s="165">
        <v>44996.083333333336</v>
      </c>
      <c r="BS138" s="136">
        <f t="shared" si="49"/>
        <v>39.166666666686069</v>
      </c>
      <c r="BT138" s="136">
        <f t="shared" si="50"/>
        <v>2.9166666667442769</v>
      </c>
      <c r="BU138" s="136">
        <f t="shared" si="51"/>
        <v>41.000000000058208</v>
      </c>
      <c r="BV138" s="136">
        <f t="shared" si="45"/>
        <v>26.833333333313931</v>
      </c>
      <c r="BW138" s="135">
        <f t="shared" si="52"/>
        <v>5.5833333333721384</v>
      </c>
      <c r="BX138" s="135">
        <f t="shared" si="53"/>
        <v>9.75</v>
      </c>
      <c r="BY138" s="134">
        <f t="shared" si="54"/>
        <v>5.218750000007276</v>
      </c>
      <c r="BZ138" s="134">
        <f t="shared" si="55"/>
        <v>16</v>
      </c>
      <c r="CA138" s="133">
        <f t="shared" si="56"/>
        <v>0.32617187500045475</v>
      </c>
    </row>
    <row r="139" spans="1:81" s="126" customFormat="1">
      <c r="A139" s="192">
        <f t="shared" si="46"/>
        <v>44989.489583333336</v>
      </c>
      <c r="B139" s="126" t="s">
        <v>228</v>
      </c>
      <c r="C139" s="126" t="s">
        <v>229</v>
      </c>
      <c r="D139" s="126" t="s">
        <v>197</v>
      </c>
      <c r="E139" s="126" t="s">
        <v>1052</v>
      </c>
      <c r="G139" s="73">
        <v>44993.833333333336</v>
      </c>
      <c r="H139" s="73">
        <v>44993.809027777781</v>
      </c>
      <c r="I139" s="126" t="s">
        <v>490</v>
      </c>
      <c r="J139" s="126" t="s">
        <v>192</v>
      </c>
      <c r="K139" s="126" t="s">
        <v>192</v>
      </c>
      <c r="L139" s="126" t="s">
        <v>1079</v>
      </c>
      <c r="M139" s="167"/>
      <c r="N139" s="126" t="s">
        <v>208</v>
      </c>
      <c r="O139" s="126" t="s">
        <v>328</v>
      </c>
      <c r="P139" s="126" t="s">
        <v>494</v>
      </c>
      <c r="Q139" s="181">
        <f>3128*2.4</f>
        <v>7507.2</v>
      </c>
      <c r="R139" s="181">
        <v>7440.9189999999999</v>
      </c>
      <c r="S139" s="181"/>
      <c r="T139" s="181">
        <f t="shared" si="47"/>
        <v>7440.9189999999999</v>
      </c>
      <c r="AW139" s="165">
        <f t="shared" si="42"/>
        <v>44981.444444444445</v>
      </c>
      <c r="AX139" s="165">
        <f t="shared" si="43"/>
        <v>44999.4375</v>
      </c>
      <c r="AY139" s="137">
        <f t="shared" si="44"/>
        <v>17.993055555554747</v>
      </c>
      <c r="AZ139" s="165">
        <v>44981.444444444445</v>
      </c>
      <c r="BA139" s="165">
        <v>44987.385416666664</v>
      </c>
      <c r="BB139" s="165">
        <v>44989.076388888891</v>
      </c>
      <c r="BC139" s="165">
        <v>44989.489583333336</v>
      </c>
      <c r="BD139" s="165">
        <v>44989.71875</v>
      </c>
      <c r="BE139" s="165">
        <v>44989.722222222219</v>
      </c>
      <c r="BF139" s="165">
        <v>44989.722222222219</v>
      </c>
      <c r="BG139" s="165">
        <f t="shared" si="48"/>
        <v>44991.430555555555</v>
      </c>
      <c r="BH139" s="165">
        <v>44992.25</v>
      </c>
      <c r="BI139" s="165">
        <v>44992.416666666664</v>
      </c>
      <c r="BJ139" s="165">
        <v>44992.430555555555</v>
      </c>
      <c r="BK139" s="165">
        <v>44993.649305555555</v>
      </c>
      <c r="BL139" s="165">
        <v>44998.729166666664</v>
      </c>
      <c r="BM139" s="165">
        <v>44998.90625</v>
      </c>
      <c r="BN139" s="165">
        <v>44998.927083333336</v>
      </c>
      <c r="BO139" s="165">
        <v>44999.25</v>
      </c>
      <c r="BP139" s="165">
        <v>44999.4375</v>
      </c>
      <c r="BQ139" s="126" t="s">
        <v>939</v>
      </c>
      <c r="BS139" s="136">
        <f t="shared" si="49"/>
        <v>40.583333333430346</v>
      </c>
      <c r="BT139" s="136">
        <f t="shared" si="50"/>
        <v>5.4999999999417923</v>
      </c>
      <c r="BU139" s="136">
        <f t="shared" si="51"/>
        <v>41.000000000058208</v>
      </c>
      <c r="BV139" s="136">
        <f t="shared" si="45"/>
        <v>29.583333333372138</v>
      </c>
      <c r="BW139" s="135">
        <f t="shared" si="52"/>
        <v>4.2500000000582077</v>
      </c>
      <c r="BX139" s="135">
        <f t="shared" si="53"/>
        <v>4.5</v>
      </c>
      <c r="BY139" s="134">
        <f t="shared" si="54"/>
        <v>5.2256944444525288</v>
      </c>
      <c r="BZ139" s="134">
        <f t="shared" si="55"/>
        <v>17.993055555554747</v>
      </c>
      <c r="CA139" s="133">
        <f t="shared" si="56"/>
        <v>0.29042840602130371</v>
      </c>
    </row>
    <row r="140" spans="1:81" s="126" customFormat="1">
      <c r="A140" s="192">
        <f t="shared" si="46"/>
        <v>44990.739583333336</v>
      </c>
      <c r="B140" s="126" t="s">
        <v>228</v>
      </c>
      <c r="C140" s="126" t="s">
        <v>229</v>
      </c>
      <c r="D140" s="126" t="s">
        <v>197</v>
      </c>
      <c r="E140" s="126" t="s">
        <v>1052</v>
      </c>
      <c r="G140" s="73">
        <v>44993.833333333336</v>
      </c>
      <c r="H140" s="73">
        <v>44993.809027777781</v>
      </c>
      <c r="I140" s="126" t="s">
        <v>490</v>
      </c>
      <c r="J140" s="126" t="s">
        <v>192</v>
      </c>
      <c r="K140" s="126" t="s">
        <v>192</v>
      </c>
      <c r="L140" s="126" t="s">
        <v>1080</v>
      </c>
      <c r="M140" s="167"/>
      <c r="N140" s="126" t="s">
        <v>201</v>
      </c>
      <c r="O140" s="126" t="s">
        <v>202</v>
      </c>
      <c r="P140" s="126" t="s">
        <v>494</v>
      </c>
      <c r="Q140" s="181">
        <f>3141*2.4</f>
        <v>7538.4</v>
      </c>
      <c r="R140" s="181">
        <v>7679.5879999999997</v>
      </c>
      <c r="S140" s="181"/>
      <c r="T140" s="181">
        <f t="shared" si="47"/>
        <v>7679.5879999999997</v>
      </c>
      <c r="AW140" s="165">
        <f t="shared" si="42"/>
        <v>44980.947916666664</v>
      </c>
      <c r="AX140" s="165">
        <f t="shared" si="43"/>
        <v>44998.958333333336</v>
      </c>
      <c r="AY140" s="137">
        <f t="shared" si="44"/>
        <v>18.010416666671517</v>
      </c>
      <c r="AZ140" s="165">
        <v>44980.947916666664</v>
      </c>
      <c r="BA140" s="165">
        <v>44987.8125</v>
      </c>
      <c r="BB140" s="165">
        <v>44989.618055555555</v>
      </c>
      <c r="BC140" s="165">
        <v>44990.739583333336</v>
      </c>
      <c r="BD140" s="165">
        <v>44990.927083333336</v>
      </c>
      <c r="BE140" s="165">
        <v>44990.934027777781</v>
      </c>
      <c r="BF140" s="165">
        <v>44990.934027777781</v>
      </c>
      <c r="BG140" s="165">
        <f t="shared" si="48"/>
        <v>44992.642361111117</v>
      </c>
      <c r="BH140" s="165">
        <v>44992.25</v>
      </c>
      <c r="BI140" s="165">
        <v>44992.416666666664</v>
      </c>
      <c r="BJ140" s="165">
        <v>44992.40625</v>
      </c>
      <c r="BK140" s="165">
        <v>44993.625</v>
      </c>
      <c r="BL140" s="165">
        <v>44998.527777777781</v>
      </c>
      <c r="BM140" s="165">
        <v>44998.694444444445</v>
      </c>
      <c r="BN140" s="165">
        <v>44998.708333333336</v>
      </c>
      <c r="BO140" s="165">
        <v>44998.708333333336</v>
      </c>
      <c r="BP140" s="165">
        <v>44998.958333333336</v>
      </c>
      <c r="BQ140" s="126" t="s">
        <v>939</v>
      </c>
      <c r="BS140" s="136">
        <f t="shared" si="49"/>
        <v>43.333333333313931</v>
      </c>
      <c r="BT140" s="136">
        <f t="shared" si="50"/>
        <v>4.5</v>
      </c>
      <c r="BU140" s="136">
        <f t="shared" si="51"/>
        <v>41.000000000058208</v>
      </c>
      <c r="BV140" s="136">
        <f t="shared" si="45"/>
        <v>29.000000000058208</v>
      </c>
      <c r="BW140" s="135">
        <f t="shared" si="52"/>
        <v>3.9999999999417923</v>
      </c>
      <c r="BX140" s="135">
        <f t="shared" si="53"/>
        <v>6</v>
      </c>
      <c r="BY140" s="134">
        <f t="shared" si="54"/>
        <v>5.3263888888905058</v>
      </c>
      <c r="BZ140" s="134">
        <f t="shared" si="55"/>
        <v>18.010416666671517</v>
      </c>
      <c r="CA140" s="133">
        <f t="shared" si="56"/>
        <v>0.29573934837093746</v>
      </c>
    </row>
    <row r="141" spans="1:81" s="126" customFormat="1">
      <c r="A141" s="192">
        <f t="shared" si="46"/>
        <v>44991.159722222219</v>
      </c>
      <c r="B141" s="126" t="s">
        <v>228</v>
      </c>
      <c r="C141" s="126" t="s">
        <v>229</v>
      </c>
      <c r="D141" s="126" t="s">
        <v>197</v>
      </c>
      <c r="E141" s="126" t="s">
        <v>1052</v>
      </c>
      <c r="G141" s="73">
        <v>44993.833333333336</v>
      </c>
      <c r="H141" s="73">
        <v>44993.809027777781</v>
      </c>
      <c r="I141" s="126" t="s">
        <v>490</v>
      </c>
      <c r="J141" s="126" t="s">
        <v>192</v>
      </c>
      <c r="K141" s="126" t="s">
        <v>192</v>
      </c>
      <c r="L141" s="126" t="s">
        <v>1081</v>
      </c>
      <c r="M141" s="167"/>
      <c r="N141" s="126" t="s">
        <v>307</v>
      </c>
      <c r="O141" s="126" t="s">
        <v>308</v>
      </c>
      <c r="P141" s="126" t="s">
        <v>494</v>
      </c>
      <c r="Q141" s="181">
        <f>3170*2.4</f>
        <v>7608</v>
      </c>
      <c r="R141" s="181">
        <v>7681.1890000000003</v>
      </c>
      <c r="S141" s="181"/>
      <c r="T141" s="181">
        <f t="shared" si="47"/>
        <v>7681.1890000000003</v>
      </c>
      <c r="AW141" s="165">
        <f t="shared" si="42"/>
        <v>44982.719444444447</v>
      </c>
      <c r="AX141" s="165">
        <f t="shared" si="43"/>
        <v>44999.568055555559</v>
      </c>
      <c r="AY141" s="137">
        <f t="shared" si="44"/>
        <v>16.848611111112405</v>
      </c>
      <c r="AZ141" s="165">
        <v>44982.719444444447</v>
      </c>
      <c r="BA141" s="165">
        <v>44986.836111111108</v>
      </c>
      <c r="BB141" s="165">
        <v>44989.854166666664</v>
      </c>
      <c r="BC141" s="165">
        <v>44991.159722222219</v>
      </c>
      <c r="BD141" s="165">
        <v>44991.378472222219</v>
      </c>
      <c r="BE141" s="165">
        <v>44991.385416666664</v>
      </c>
      <c r="BF141" s="165">
        <v>44991.385416666664</v>
      </c>
      <c r="BG141" s="165">
        <f t="shared" si="48"/>
        <v>44993.09375</v>
      </c>
      <c r="BH141" s="165">
        <v>44993.25</v>
      </c>
      <c r="BI141" s="165">
        <v>44993.416666666664</v>
      </c>
      <c r="BJ141" s="165">
        <v>44993.357638888891</v>
      </c>
      <c r="BK141" s="165">
        <v>44994.71875</v>
      </c>
      <c r="BL141" s="165">
        <v>44998.989583333336</v>
      </c>
      <c r="BM141" s="165">
        <v>44999.229166666664</v>
      </c>
      <c r="BN141" s="165">
        <v>44999.25</v>
      </c>
      <c r="BO141" s="165">
        <v>44999.25</v>
      </c>
      <c r="BP141" s="165">
        <v>44999.568055555559</v>
      </c>
      <c r="BQ141" s="126" t="s">
        <v>942</v>
      </c>
      <c r="BS141" s="136">
        <f t="shared" si="49"/>
        <v>72.433333333348855</v>
      </c>
      <c r="BT141" s="136">
        <f t="shared" si="50"/>
        <v>5.25</v>
      </c>
      <c r="BU141" s="136">
        <f t="shared" si="51"/>
        <v>41.000000000058208</v>
      </c>
      <c r="BV141" s="136">
        <f t="shared" si="45"/>
        <v>31.250000000058208</v>
      </c>
      <c r="BW141" s="135">
        <f t="shared" si="52"/>
        <v>5.7499999998835847</v>
      </c>
      <c r="BX141" s="135">
        <f t="shared" si="53"/>
        <v>7.6333333334187046</v>
      </c>
      <c r="BY141" s="134">
        <f t="shared" si="54"/>
        <v>6.804861111115315</v>
      </c>
      <c r="BZ141" s="134">
        <f t="shared" si="55"/>
        <v>16.848611111112405</v>
      </c>
      <c r="CA141" s="133">
        <f t="shared" si="56"/>
        <v>0.40388261478877674</v>
      </c>
    </row>
    <row r="142" spans="1:81" s="126" customFormat="1">
      <c r="A142" s="192">
        <f t="shared" si="46"/>
        <v>44992.635416666664</v>
      </c>
      <c r="B142" s="126" t="s">
        <v>228</v>
      </c>
      <c r="C142" s="126" t="s">
        <v>229</v>
      </c>
      <c r="D142" s="126" t="s">
        <v>197</v>
      </c>
      <c r="E142" s="126" t="s">
        <v>1052</v>
      </c>
      <c r="G142" s="73">
        <v>44993.833333333336</v>
      </c>
      <c r="H142" s="73">
        <v>44993.809027777781</v>
      </c>
      <c r="I142" s="126" t="s">
        <v>490</v>
      </c>
      <c r="J142" s="126" t="s">
        <v>192</v>
      </c>
      <c r="K142" s="126" t="s">
        <v>192</v>
      </c>
      <c r="L142" s="126" t="s">
        <v>1082</v>
      </c>
      <c r="M142" s="167"/>
      <c r="N142" s="126" t="s">
        <v>377</v>
      </c>
      <c r="O142" s="126" t="s">
        <v>378</v>
      </c>
      <c r="P142" s="126" t="s">
        <v>494</v>
      </c>
      <c r="Q142" s="181">
        <f>3271*2.4</f>
        <v>7850.4</v>
      </c>
      <c r="R142" s="181">
        <f>7706.587-1932.641</f>
        <v>5773.9459999999999</v>
      </c>
      <c r="S142" s="181"/>
      <c r="T142" s="181">
        <f t="shared" si="47"/>
        <v>5773.9459999999999</v>
      </c>
      <c r="AW142" s="165">
        <f t="shared" si="42"/>
        <v>44983.479166666664</v>
      </c>
      <c r="AX142" s="165">
        <f t="shared" si="43"/>
        <v>44999.951388888891</v>
      </c>
      <c r="AY142" s="137">
        <f t="shared" si="44"/>
        <v>16.472222222226264</v>
      </c>
      <c r="AZ142" s="165">
        <v>44983.479166666664</v>
      </c>
      <c r="BA142" s="165">
        <v>44988.333333333336</v>
      </c>
      <c r="BB142" s="165">
        <v>44990.006944444445</v>
      </c>
      <c r="BC142" s="165">
        <v>44992.635416666664</v>
      </c>
      <c r="BD142" s="165">
        <v>44992.774305555555</v>
      </c>
      <c r="BE142" s="165">
        <v>44992.777777777781</v>
      </c>
      <c r="BF142" s="165">
        <v>44992.777777777781</v>
      </c>
      <c r="BG142" s="165">
        <f t="shared" si="48"/>
        <v>44994.486111111117</v>
      </c>
      <c r="BH142" s="165">
        <v>44994.25</v>
      </c>
      <c r="BI142" s="165">
        <v>44994.416666666664</v>
      </c>
      <c r="BJ142" s="165">
        <v>44994.309027777781</v>
      </c>
      <c r="BK142" s="165">
        <v>44995.5</v>
      </c>
      <c r="BL142" s="165">
        <v>44999.708333333336</v>
      </c>
      <c r="BM142" s="165">
        <v>44999.909722222219</v>
      </c>
      <c r="BN142" s="165">
        <v>44999.951388888891</v>
      </c>
      <c r="BO142" s="165">
        <v>44999.951388888891</v>
      </c>
      <c r="BP142" s="165">
        <v>44999.951388888891</v>
      </c>
      <c r="BQ142" s="126" t="s">
        <v>942</v>
      </c>
      <c r="BS142" s="136">
        <f t="shared" si="49"/>
        <v>40.166666666627862</v>
      </c>
      <c r="BT142" s="136">
        <f t="shared" si="50"/>
        <v>3.3333333333721384</v>
      </c>
      <c r="BU142" s="136">
        <f t="shared" si="51"/>
        <v>41.000000000058208</v>
      </c>
      <c r="BV142" s="136">
        <f t="shared" si="45"/>
        <v>26.000000000058208</v>
      </c>
      <c r="BW142" s="135">
        <f t="shared" si="52"/>
        <v>4.8333333331975155</v>
      </c>
      <c r="BX142" s="135">
        <f t="shared" si="53"/>
        <v>0</v>
      </c>
      <c r="BY142" s="134">
        <f t="shared" si="54"/>
        <v>4.8055555555547471</v>
      </c>
      <c r="BZ142" s="134">
        <f t="shared" si="55"/>
        <v>16.472222222226264</v>
      </c>
      <c r="CA142" s="133">
        <f t="shared" si="56"/>
        <v>0.29173693085991304</v>
      </c>
    </row>
    <row r="143" spans="1:81" s="126" customFormat="1">
      <c r="A143" s="192">
        <f t="shared" si="46"/>
        <v>44992.635416666664</v>
      </c>
      <c r="B143" s="126" t="s">
        <v>228</v>
      </c>
      <c r="C143" s="126" t="s">
        <v>229</v>
      </c>
      <c r="D143" s="126" t="s">
        <v>197</v>
      </c>
      <c r="E143" s="126" t="s">
        <v>969</v>
      </c>
      <c r="G143" s="73">
        <v>44998.854166666664</v>
      </c>
      <c r="H143" s="73">
        <v>44998.784722222219</v>
      </c>
      <c r="I143" s="126" t="s">
        <v>490</v>
      </c>
      <c r="J143" s="126" t="s">
        <v>192</v>
      </c>
      <c r="K143" s="126" t="s">
        <v>192</v>
      </c>
      <c r="L143" s="126" t="s">
        <v>1082</v>
      </c>
      <c r="M143" s="167"/>
      <c r="N143" s="126" t="s">
        <v>377</v>
      </c>
      <c r="O143" s="126" t="s">
        <v>378</v>
      </c>
      <c r="P143" s="126" t="s">
        <v>494</v>
      </c>
      <c r="Q143" s="181">
        <f>3271*2.4</f>
        <v>7850.4</v>
      </c>
      <c r="R143" s="181">
        <v>1926.876</v>
      </c>
      <c r="S143" s="181"/>
      <c r="T143" s="181">
        <f t="shared" si="47"/>
        <v>1926.876</v>
      </c>
      <c r="AW143" s="165">
        <f t="shared" si="42"/>
        <v>44983.479166666664</v>
      </c>
      <c r="AX143" s="165">
        <f t="shared" si="43"/>
        <v>45005.138888888891</v>
      </c>
      <c r="AY143" s="137">
        <f t="shared" si="44"/>
        <v>21.659722222226264</v>
      </c>
      <c r="AZ143" s="165">
        <v>44983.479166666664</v>
      </c>
      <c r="BA143" s="165">
        <v>44988.333333333336</v>
      </c>
      <c r="BB143" s="165">
        <v>44990.006944444445</v>
      </c>
      <c r="BC143" s="165">
        <v>44992.635416666664</v>
      </c>
      <c r="BD143" s="165">
        <v>44992.774305555555</v>
      </c>
      <c r="BE143" s="165">
        <v>44992.777777777781</v>
      </c>
      <c r="BF143" s="165">
        <v>44992.777777777781</v>
      </c>
      <c r="BG143" s="165">
        <f t="shared" si="48"/>
        <v>44994.486111111117</v>
      </c>
      <c r="BH143" s="165">
        <v>44994.25</v>
      </c>
      <c r="BI143" s="165">
        <v>44994.416666666664</v>
      </c>
      <c r="BJ143" s="165">
        <v>44994.309027777781</v>
      </c>
      <c r="BK143" s="165">
        <v>44999.951388888891</v>
      </c>
      <c r="BL143" s="196">
        <v>45004.71875</v>
      </c>
      <c r="BM143" s="196">
        <v>45004.777777777781</v>
      </c>
      <c r="BN143" s="196">
        <v>45004.791666666664</v>
      </c>
      <c r="BO143" s="165">
        <v>45004.791666666664</v>
      </c>
      <c r="BP143" s="165">
        <v>45005.138888888891</v>
      </c>
      <c r="BQ143" s="126" t="s">
        <v>942</v>
      </c>
      <c r="BS143" s="136">
        <f t="shared" si="49"/>
        <v>40.166666666627862</v>
      </c>
      <c r="BT143" s="136">
        <f t="shared" si="50"/>
        <v>3.3333333333721384</v>
      </c>
      <c r="BU143" s="136">
        <f t="shared" si="51"/>
        <v>41.000000000058208</v>
      </c>
      <c r="BV143" s="136">
        <f t="shared" si="45"/>
        <v>132.83333333343035</v>
      </c>
      <c r="BW143" s="135">
        <f t="shared" si="52"/>
        <v>1.4166666667442769</v>
      </c>
      <c r="BX143" s="135">
        <f t="shared" si="53"/>
        <v>8.3333333334303461</v>
      </c>
      <c r="BY143" s="134">
        <f t="shared" si="54"/>
        <v>9.461805555569299</v>
      </c>
      <c r="BZ143" s="134">
        <f t="shared" si="55"/>
        <v>21.659722222226264</v>
      </c>
      <c r="CA143" s="133">
        <f t="shared" si="56"/>
        <v>0.43683873036284859</v>
      </c>
    </row>
    <row r="144" spans="1:81" s="126" customFormat="1">
      <c r="A144" s="192">
        <f t="shared" si="46"/>
        <v>44992.326388888891</v>
      </c>
      <c r="B144" s="126" t="s">
        <v>228</v>
      </c>
      <c r="C144" s="126" t="s">
        <v>229</v>
      </c>
      <c r="D144" s="126" t="s">
        <v>215</v>
      </c>
      <c r="E144" s="126" t="s">
        <v>1052</v>
      </c>
      <c r="G144" s="73">
        <v>44993.833333333336</v>
      </c>
      <c r="H144" s="73">
        <v>44993.809027777781</v>
      </c>
      <c r="I144" s="126" t="s">
        <v>490</v>
      </c>
      <c r="J144" s="126" t="s">
        <v>192</v>
      </c>
      <c r="K144" s="126" t="s">
        <v>192</v>
      </c>
      <c r="L144" s="126" t="s">
        <v>1083</v>
      </c>
      <c r="M144" s="167"/>
      <c r="N144" s="126" t="s">
        <v>358</v>
      </c>
      <c r="O144" s="126" t="s">
        <v>359</v>
      </c>
      <c r="P144" s="126" t="s">
        <v>494</v>
      </c>
      <c r="Q144" s="181">
        <f>3852*2.4</f>
        <v>9244.7999999999993</v>
      </c>
      <c r="R144" s="181">
        <v>9104.3580000000002</v>
      </c>
      <c r="S144" s="181"/>
      <c r="T144" s="181">
        <f t="shared" si="47"/>
        <v>9104.3580000000002</v>
      </c>
      <c r="AW144" s="165">
        <f t="shared" si="42"/>
        <v>44983.90625</v>
      </c>
      <c r="AX144" s="165">
        <f t="shared" si="43"/>
        <v>44999.916666666664</v>
      </c>
      <c r="AY144" s="137">
        <f t="shared" si="44"/>
        <v>16.010416666664241</v>
      </c>
      <c r="AZ144" s="165">
        <v>44983.90625</v>
      </c>
      <c r="BA144" s="165">
        <v>44988.326388888891</v>
      </c>
      <c r="BB144" s="165">
        <v>44989.989583333336</v>
      </c>
      <c r="BC144" s="165">
        <v>44992.326388888891</v>
      </c>
      <c r="BD144" s="165">
        <v>44992.611111111109</v>
      </c>
      <c r="BE144" s="165">
        <v>44992.614583333336</v>
      </c>
      <c r="BF144" s="165">
        <v>44992.614583333336</v>
      </c>
      <c r="BG144" s="165">
        <f t="shared" si="48"/>
        <v>44994.322916666672</v>
      </c>
      <c r="BH144" s="165">
        <v>44994.25</v>
      </c>
      <c r="BI144" s="165">
        <v>44994.416666666664</v>
      </c>
      <c r="BJ144" s="165">
        <v>44994.295138888891</v>
      </c>
      <c r="BK144" s="165">
        <v>44995.520833333336</v>
      </c>
      <c r="BL144" s="165">
        <v>44999.315972222219</v>
      </c>
      <c r="BM144" s="165">
        <v>44999.666666666664</v>
      </c>
      <c r="BN144" s="165">
        <v>44999.6875</v>
      </c>
      <c r="BO144" s="165">
        <v>44999.6875</v>
      </c>
      <c r="BP144" s="165">
        <v>44999.916666666664</v>
      </c>
      <c r="BQ144" s="126" t="s">
        <v>942</v>
      </c>
      <c r="BS144" s="136">
        <f t="shared" si="49"/>
        <v>39.916666666686069</v>
      </c>
      <c r="BT144" s="136">
        <f t="shared" si="50"/>
        <v>6.8333333332557231</v>
      </c>
      <c r="BU144" s="136">
        <f t="shared" si="51"/>
        <v>41.000000000058208</v>
      </c>
      <c r="BV144" s="136">
        <f t="shared" si="45"/>
        <v>26.500000000116415</v>
      </c>
      <c r="BW144" s="135">
        <f t="shared" si="52"/>
        <v>8.4166666666860692</v>
      </c>
      <c r="BX144" s="135">
        <f t="shared" si="53"/>
        <v>5.4999999999417923</v>
      </c>
      <c r="BY144" s="134">
        <f t="shared" si="54"/>
        <v>5.3402777777810115</v>
      </c>
      <c r="BZ144" s="134">
        <f t="shared" si="55"/>
        <v>16.010416666664241</v>
      </c>
      <c r="CA144" s="133">
        <f t="shared" si="56"/>
        <v>0.33355020602931346</v>
      </c>
    </row>
    <row r="145" spans="1:79" s="126" customFormat="1">
      <c r="A145" s="192">
        <f t="shared" si="46"/>
        <v>44994.040277777778</v>
      </c>
      <c r="B145" s="126" t="s">
        <v>228</v>
      </c>
      <c r="C145" s="126" t="s">
        <v>229</v>
      </c>
      <c r="D145" s="126" t="s">
        <v>197</v>
      </c>
      <c r="E145" s="126" t="s">
        <v>1084</v>
      </c>
      <c r="G145" s="165">
        <v>45000</v>
      </c>
      <c r="H145" s="165">
        <v>45000.007638888892</v>
      </c>
      <c r="I145" s="126" t="s">
        <v>497</v>
      </c>
      <c r="J145" s="126" t="s">
        <v>192</v>
      </c>
      <c r="K145" s="126" t="s">
        <v>192</v>
      </c>
      <c r="L145" s="126" t="s">
        <v>1085</v>
      </c>
      <c r="M145" s="167"/>
      <c r="N145" s="126" t="s">
        <v>292</v>
      </c>
      <c r="O145" s="126" t="s">
        <v>293</v>
      </c>
      <c r="P145" s="126" t="s">
        <v>494</v>
      </c>
      <c r="Q145" s="181">
        <f>3142*2.4</f>
        <v>7540.7999999999993</v>
      </c>
      <c r="R145" s="181">
        <v>7502.3370000000004</v>
      </c>
      <c r="S145" s="181"/>
      <c r="T145" s="181">
        <f t="shared" si="47"/>
        <v>7502.3370000000004</v>
      </c>
      <c r="AW145" s="165">
        <f t="shared" si="42"/>
        <v>44986.791666666664</v>
      </c>
      <c r="AX145" s="165">
        <f t="shared" si="43"/>
        <v>44999.875</v>
      </c>
      <c r="AY145" s="137">
        <f t="shared" si="44"/>
        <v>13.083333333335759</v>
      </c>
      <c r="AZ145" s="165">
        <v>44986.791666666664</v>
      </c>
      <c r="BA145" s="165">
        <v>44990.576388888891</v>
      </c>
      <c r="BB145" s="165">
        <v>44992.229166666664</v>
      </c>
      <c r="BC145" s="165">
        <v>44994.040277777778</v>
      </c>
      <c r="BD145" s="165">
        <v>44994.171527777777</v>
      </c>
      <c r="BE145" s="165">
        <v>44994.177083333336</v>
      </c>
      <c r="BF145" s="165">
        <v>44994.177083333336</v>
      </c>
      <c r="BG145" s="165">
        <f t="shared" si="48"/>
        <v>44995.885416666672</v>
      </c>
      <c r="BH145" s="165">
        <v>44996.25</v>
      </c>
      <c r="BI145" s="165">
        <v>44996.416666666664</v>
      </c>
      <c r="BJ145" s="165">
        <v>44996.315972222219</v>
      </c>
      <c r="BK145" s="165">
        <v>44998.006944444445</v>
      </c>
      <c r="BL145" s="165">
        <v>44998.440972222219</v>
      </c>
      <c r="BM145" s="165">
        <v>44998.670138888891</v>
      </c>
      <c r="BN145" s="165">
        <v>44998.6875</v>
      </c>
      <c r="BO145" s="165">
        <v>44999.458333333336</v>
      </c>
      <c r="BP145" s="165">
        <v>44999.875</v>
      </c>
      <c r="BQ145" s="126" t="s">
        <v>956</v>
      </c>
      <c r="BS145" s="136">
        <f t="shared" si="49"/>
        <v>39.666666666569654</v>
      </c>
      <c r="BT145" s="136">
        <f t="shared" si="50"/>
        <v>3.1499999999650754</v>
      </c>
      <c r="BU145" s="136">
        <f t="shared" si="51"/>
        <v>41.000000000058208</v>
      </c>
      <c r="BV145" s="136">
        <f t="shared" si="45"/>
        <v>38.166666666744277</v>
      </c>
      <c r="BW145" s="135">
        <f t="shared" si="52"/>
        <v>5.5000000001164153</v>
      </c>
      <c r="BX145" s="135">
        <f t="shared" si="53"/>
        <v>9.9999999999417923</v>
      </c>
      <c r="BY145" s="134">
        <f t="shared" si="54"/>
        <v>5.7284722222248092</v>
      </c>
      <c r="BZ145" s="134">
        <f t="shared" si="55"/>
        <v>13.083333333335759</v>
      </c>
      <c r="CA145" s="133">
        <f t="shared" si="56"/>
        <v>0.43784501061582781</v>
      </c>
    </row>
    <row r="146" spans="1:79" s="126" customFormat="1">
      <c r="A146" s="192">
        <f t="shared" si="46"/>
        <v>44994.204861111109</v>
      </c>
      <c r="B146" s="126" t="s">
        <v>228</v>
      </c>
      <c r="C146" s="126" t="s">
        <v>229</v>
      </c>
      <c r="D146" s="126" t="s">
        <v>215</v>
      </c>
      <c r="E146" s="126" t="s">
        <v>1084</v>
      </c>
      <c r="G146" s="165">
        <v>45000</v>
      </c>
      <c r="H146" s="165">
        <v>45000.007638888892</v>
      </c>
      <c r="I146" s="126" t="s">
        <v>497</v>
      </c>
      <c r="J146" s="126" t="s">
        <v>192</v>
      </c>
      <c r="K146" s="126" t="s">
        <v>192</v>
      </c>
      <c r="L146" s="126" t="s">
        <v>1086</v>
      </c>
      <c r="M146" s="167"/>
      <c r="N146" s="126" t="s">
        <v>390</v>
      </c>
      <c r="O146" s="126" t="s">
        <v>391</v>
      </c>
      <c r="P146" s="126" t="s">
        <v>494</v>
      </c>
      <c r="Q146" s="181">
        <f>3097*2.4</f>
        <v>7432.7999999999993</v>
      </c>
      <c r="R146" s="181">
        <v>7404.9409999999998</v>
      </c>
      <c r="S146" s="181"/>
      <c r="T146" s="181">
        <f t="shared" si="47"/>
        <v>7404.9409999999998</v>
      </c>
      <c r="AW146" s="165">
        <f t="shared" si="42"/>
        <v>44985.694444444445</v>
      </c>
      <c r="AX146" s="165">
        <f t="shared" si="43"/>
        <v>44999.965277777781</v>
      </c>
      <c r="AY146" s="137">
        <f t="shared" si="44"/>
        <v>14.270833333335759</v>
      </c>
      <c r="AZ146" s="165">
        <v>44985.694444444445</v>
      </c>
      <c r="BA146" s="165">
        <v>44990.576388888891</v>
      </c>
      <c r="BB146" s="165">
        <v>44992.239583333336</v>
      </c>
      <c r="BC146" s="165">
        <v>44994.204861111109</v>
      </c>
      <c r="BD146" s="165">
        <v>44994.395833333336</v>
      </c>
      <c r="BE146" s="165">
        <v>44994.402777777781</v>
      </c>
      <c r="BF146" s="165">
        <v>44994.402777777781</v>
      </c>
      <c r="BG146" s="165">
        <f t="shared" si="48"/>
        <v>44996.111111111117</v>
      </c>
      <c r="BH146" s="165">
        <v>44996.25</v>
      </c>
      <c r="BI146" s="165">
        <v>44996.416666666664</v>
      </c>
      <c r="BJ146" s="165">
        <v>44996.284722222219</v>
      </c>
      <c r="BK146" s="165">
        <v>44997.881944444445</v>
      </c>
      <c r="BL146" s="165">
        <v>44998.107638888891</v>
      </c>
      <c r="BM146" s="165">
        <v>44998.364583333336</v>
      </c>
      <c r="BN146" s="165">
        <v>44998.375</v>
      </c>
      <c r="BO146" s="165">
        <v>44999.440972222219</v>
      </c>
      <c r="BP146" s="165">
        <v>44999.965277777781</v>
      </c>
      <c r="BQ146" s="126" t="s">
        <v>956</v>
      </c>
      <c r="BS146" s="136">
        <f t="shared" si="49"/>
        <v>39.916666666686069</v>
      </c>
      <c r="BT146" s="136">
        <f t="shared" si="50"/>
        <v>4.5833333334303461</v>
      </c>
      <c r="BU146" s="136">
        <f t="shared" si="51"/>
        <v>41.000000000058208</v>
      </c>
      <c r="BV146" s="136">
        <f t="shared" si="45"/>
        <v>35.166666666744277</v>
      </c>
      <c r="BW146" s="135">
        <f t="shared" si="52"/>
        <v>6.1666666666860692</v>
      </c>
      <c r="BX146" s="135">
        <f t="shared" si="53"/>
        <v>12.583333333488554</v>
      </c>
      <c r="BY146" s="134">
        <f t="shared" si="54"/>
        <v>5.8090277777955635</v>
      </c>
      <c r="BZ146" s="134">
        <f t="shared" si="55"/>
        <v>14.270833333335759</v>
      </c>
      <c r="CA146" s="133">
        <f t="shared" si="56"/>
        <v>0.40705596107173675</v>
      </c>
    </row>
    <row r="147" spans="1:79" s="126" customFormat="1">
      <c r="A147" s="192">
        <f t="shared" si="46"/>
        <v>44994.416666666664</v>
      </c>
      <c r="B147" s="126" t="s">
        <v>228</v>
      </c>
      <c r="C147" s="126" t="s">
        <v>229</v>
      </c>
      <c r="D147" s="126" t="s">
        <v>197</v>
      </c>
      <c r="E147" s="126" t="s">
        <v>1084</v>
      </c>
      <c r="G147" s="165">
        <v>45000</v>
      </c>
      <c r="H147" s="165">
        <v>45000.007638888892</v>
      </c>
      <c r="I147" s="126" t="s">
        <v>497</v>
      </c>
      <c r="J147" s="126" t="s">
        <v>192</v>
      </c>
      <c r="K147" s="126" t="s">
        <v>192</v>
      </c>
      <c r="L147" s="126" t="s">
        <v>1087</v>
      </c>
      <c r="M147" s="167"/>
      <c r="N147" s="126" t="s">
        <v>367</v>
      </c>
      <c r="O147" s="126" t="s">
        <v>368</v>
      </c>
      <c r="P147" s="126" t="s">
        <v>494</v>
      </c>
      <c r="Q147" s="181">
        <f>4111*2.4</f>
        <v>9866.4</v>
      </c>
      <c r="R147" s="181">
        <v>9810.9650000000001</v>
      </c>
      <c r="S147" s="181"/>
      <c r="T147" s="181">
        <f t="shared" si="47"/>
        <v>9810.9650000000001</v>
      </c>
      <c r="AW147" s="165">
        <f t="shared" si="42"/>
        <v>44986.070833333331</v>
      </c>
      <c r="AX147" s="165">
        <f t="shared" si="43"/>
        <v>44999.791666666664</v>
      </c>
      <c r="AY147" s="137">
        <f t="shared" si="44"/>
        <v>13.720833333332848</v>
      </c>
      <c r="AZ147" s="165">
        <v>44986.070833333331</v>
      </c>
      <c r="BA147" s="165">
        <v>44990.579861111109</v>
      </c>
      <c r="BB147" s="165">
        <v>44992.246527777781</v>
      </c>
      <c r="BC147" s="165">
        <v>44994.416666666664</v>
      </c>
      <c r="BD147" s="165">
        <v>44994.590277777781</v>
      </c>
      <c r="BE147" s="165">
        <v>44994.597222222219</v>
      </c>
      <c r="BF147" s="165">
        <v>44994.597222222219</v>
      </c>
      <c r="BG147" s="165">
        <f t="shared" si="48"/>
        <v>44996.305555555555</v>
      </c>
      <c r="BH147" s="165">
        <v>44996.25</v>
      </c>
      <c r="BI147" s="165">
        <v>44996.416666666664</v>
      </c>
      <c r="BJ147" s="165">
        <v>44996.368055555555</v>
      </c>
      <c r="BK147" s="165">
        <v>44998.395833333336</v>
      </c>
      <c r="BL147" s="165">
        <v>44998.763888888891</v>
      </c>
      <c r="BM147" s="165">
        <v>44999.090277777781</v>
      </c>
      <c r="BN147" s="165">
        <v>44999.107638888891</v>
      </c>
      <c r="BO147" s="165">
        <v>44999.444444444445</v>
      </c>
      <c r="BP147" s="165">
        <v>44999.791666666664</v>
      </c>
      <c r="BQ147" s="126" t="s">
        <v>956</v>
      </c>
      <c r="BS147" s="136">
        <f t="shared" si="49"/>
        <v>40.000000000116415</v>
      </c>
      <c r="BT147" s="136">
        <f t="shared" si="50"/>
        <v>4.1666666668024845</v>
      </c>
      <c r="BU147" s="136">
        <f t="shared" si="51"/>
        <v>41.000000000058208</v>
      </c>
      <c r="BV147" s="136">
        <f t="shared" si="45"/>
        <v>47.500000000116415</v>
      </c>
      <c r="BW147" s="135">
        <f t="shared" si="52"/>
        <v>7.8333333333721384</v>
      </c>
      <c r="BX147" s="135">
        <f t="shared" si="53"/>
        <v>8.3333333332557231</v>
      </c>
      <c r="BY147" s="134">
        <f t="shared" si="54"/>
        <v>6.2013888889050577</v>
      </c>
      <c r="BZ147" s="134">
        <f t="shared" si="55"/>
        <v>13.720833333332848</v>
      </c>
      <c r="CA147" s="133">
        <f t="shared" si="56"/>
        <v>0.45196882275653399</v>
      </c>
    </row>
    <row r="148" spans="1:79" s="126" customFormat="1">
      <c r="A148" s="192">
        <f t="shared" si="46"/>
        <v>44995.032638888886</v>
      </c>
      <c r="B148" s="126" t="s">
        <v>228</v>
      </c>
      <c r="C148" s="126" t="s">
        <v>229</v>
      </c>
      <c r="D148" s="126" t="s">
        <v>215</v>
      </c>
      <c r="E148" s="126" t="s">
        <v>1084</v>
      </c>
      <c r="G148" s="165">
        <v>45000</v>
      </c>
      <c r="H148" s="165">
        <v>45000.007638888892</v>
      </c>
      <c r="I148" s="126" t="s">
        <v>497</v>
      </c>
      <c r="J148" s="126" t="s">
        <v>192</v>
      </c>
      <c r="K148" s="126" t="s">
        <v>192</v>
      </c>
      <c r="L148" s="126" t="s">
        <v>1088</v>
      </c>
      <c r="M148" s="167"/>
      <c r="N148" s="126" t="s">
        <v>218</v>
      </c>
      <c r="O148" s="126" t="s">
        <v>219</v>
      </c>
      <c r="P148" s="126" t="s">
        <v>494</v>
      </c>
      <c r="Q148" s="181">
        <f>3087*2.4</f>
        <v>7408.7999999999993</v>
      </c>
      <c r="R148" s="181">
        <v>7639.4040000000005</v>
      </c>
      <c r="S148" s="181"/>
      <c r="T148" s="181">
        <f t="shared" si="47"/>
        <v>7639.4040000000005</v>
      </c>
      <c r="AW148" s="165">
        <f t="shared" si="42"/>
        <v>44986.791666666664</v>
      </c>
      <c r="AX148" s="165">
        <f t="shared" si="43"/>
        <v>45000.555555555555</v>
      </c>
      <c r="AY148" s="137">
        <f t="shared" si="44"/>
        <v>13.763888888890506</v>
      </c>
      <c r="AZ148" s="165">
        <v>44986.791666666664</v>
      </c>
      <c r="BA148" s="165">
        <v>44990.572916666664</v>
      </c>
      <c r="BB148" s="165">
        <v>44992.5625</v>
      </c>
      <c r="BC148" s="165">
        <v>44995.032638888886</v>
      </c>
      <c r="BD148" s="165">
        <v>44995.158333333333</v>
      </c>
      <c r="BE148" s="165">
        <v>44995.166666666664</v>
      </c>
      <c r="BF148" s="165">
        <v>44995.298611111109</v>
      </c>
      <c r="BG148" s="165">
        <f t="shared" si="48"/>
        <v>44997.006944444445</v>
      </c>
      <c r="BH148" s="165">
        <v>44997.25</v>
      </c>
      <c r="BI148" s="165">
        <v>44997.416666666664</v>
      </c>
      <c r="BJ148" s="165">
        <v>44997.315972222219</v>
      </c>
      <c r="BK148" s="165">
        <v>44998.909722222219</v>
      </c>
      <c r="BL148" s="165">
        <v>44999.861111111109</v>
      </c>
      <c r="BM148" s="165">
        <v>45000.072916666664</v>
      </c>
      <c r="BN148" s="165">
        <v>45000.097222222219</v>
      </c>
      <c r="BO148" s="165">
        <v>45000.100694444445</v>
      </c>
      <c r="BP148" s="165">
        <v>45000.555555555555</v>
      </c>
      <c r="BQ148" s="126" t="s">
        <v>956</v>
      </c>
      <c r="BS148" s="136">
        <f t="shared" si="49"/>
        <v>47.750000000058208</v>
      </c>
      <c r="BT148" s="136">
        <f t="shared" si="50"/>
        <v>3.0166666667209938</v>
      </c>
      <c r="BU148" s="136">
        <f t="shared" si="51"/>
        <v>41.000000000058208</v>
      </c>
      <c r="BV148" s="136">
        <f t="shared" si="45"/>
        <v>35.833333333313931</v>
      </c>
      <c r="BW148" s="135">
        <f t="shared" si="52"/>
        <v>5.0833333333139308</v>
      </c>
      <c r="BX148" s="135">
        <f t="shared" si="53"/>
        <v>10.916666666627862</v>
      </c>
      <c r="BY148" s="134">
        <f t="shared" si="54"/>
        <v>5.9833333333372138</v>
      </c>
      <c r="BZ148" s="134">
        <f t="shared" si="55"/>
        <v>13.763888888890506</v>
      </c>
      <c r="CA148" s="133">
        <f t="shared" si="56"/>
        <v>0.434712411705579</v>
      </c>
    </row>
    <row r="149" spans="1:79" s="126" customFormat="1">
      <c r="A149" s="192">
        <f t="shared" si="46"/>
        <v>44994.875</v>
      </c>
      <c r="B149" s="126" t="s">
        <v>228</v>
      </c>
      <c r="C149" s="126" t="s">
        <v>229</v>
      </c>
      <c r="D149" s="126" t="s">
        <v>197</v>
      </c>
      <c r="E149" s="126" t="s">
        <v>1084</v>
      </c>
      <c r="G149" s="165">
        <v>45000</v>
      </c>
      <c r="H149" s="165">
        <v>45000.007638888892</v>
      </c>
      <c r="I149" s="126" t="s">
        <v>497</v>
      </c>
      <c r="J149" s="126" t="s">
        <v>192</v>
      </c>
      <c r="K149" s="126" t="s">
        <v>192</v>
      </c>
      <c r="L149" s="126" t="s">
        <v>1089</v>
      </c>
      <c r="M149" s="167"/>
      <c r="N149" s="126" t="s">
        <v>346</v>
      </c>
      <c r="O149" s="126" t="s">
        <v>347</v>
      </c>
      <c r="P149" s="126" t="s">
        <v>494</v>
      </c>
      <c r="Q149" s="181">
        <f>3136*2.4</f>
        <v>7526.4</v>
      </c>
      <c r="R149" s="181">
        <v>7343.4780000000001</v>
      </c>
      <c r="S149" s="181"/>
      <c r="T149" s="181">
        <f t="shared" si="47"/>
        <v>7343.4780000000001</v>
      </c>
      <c r="AW149" s="165">
        <f t="shared" si="42"/>
        <v>44987.291666666664</v>
      </c>
      <c r="AX149" s="165">
        <f t="shared" si="43"/>
        <v>45000.590277777781</v>
      </c>
      <c r="AY149" s="137">
        <f t="shared" si="44"/>
        <v>13.29861111111677</v>
      </c>
      <c r="AZ149" s="165">
        <v>44987.291666666664</v>
      </c>
      <c r="BA149" s="165">
        <v>44990.538194444445</v>
      </c>
      <c r="BB149" s="165">
        <v>44992.5</v>
      </c>
      <c r="BC149" s="165">
        <v>44994.875</v>
      </c>
      <c r="BD149" s="165">
        <v>44995.010416666664</v>
      </c>
      <c r="BE149" s="165">
        <v>44995.017361111109</v>
      </c>
      <c r="BF149" s="165">
        <v>44995.25</v>
      </c>
      <c r="BG149" s="165">
        <f t="shared" si="48"/>
        <v>44996.958333333336</v>
      </c>
      <c r="BH149" s="165">
        <v>44997.25</v>
      </c>
      <c r="BI149" s="165">
        <v>44997.416666666664</v>
      </c>
      <c r="BJ149" s="165">
        <v>44997.291666666664</v>
      </c>
      <c r="BK149" s="165">
        <v>44998.770833333336</v>
      </c>
      <c r="BL149" s="165">
        <v>44999.180555555555</v>
      </c>
      <c r="BM149" s="165">
        <v>44999.798611111109</v>
      </c>
      <c r="BN149" s="165">
        <v>44999.8125</v>
      </c>
      <c r="BO149" s="165">
        <v>44999.909722222219</v>
      </c>
      <c r="BP149" s="165">
        <v>45000.590277777781</v>
      </c>
      <c r="BQ149" s="126" t="s">
        <v>956</v>
      </c>
      <c r="BS149" s="136">
        <f t="shared" si="49"/>
        <v>47.083333333313931</v>
      </c>
      <c r="BT149" s="136">
        <f t="shared" si="50"/>
        <v>3.2499999999417923</v>
      </c>
      <c r="BU149" s="136">
        <f t="shared" si="51"/>
        <v>41.000000000058208</v>
      </c>
      <c r="BV149" s="136">
        <f t="shared" si="45"/>
        <v>32.500000000116415</v>
      </c>
      <c r="BW149" s="135">
        <f t="shared" si="52"/>
        <v>14.833333333313931</v>
      </c>
      <c r="BX149" s="135">
        <f t="shared" si="53"/>
        <v>16.333333333488554</v>
      </c>
      <c r="BY149" s="134">
        <f t="shared" si="54"/>
        <v>6.4583333333430346</v>
      </c>
      <c r="BZ149" s="134">
        <f t="shared" si="55"/>
        <v>13.29861111111677</v>
      </c>
      <c r="CA149" s="133">
        <f t="shared" si="56"/>
        <v>0.48563968668459595</v>
      </c>
    </row>
    <row r="150" spans="1:79" s="126" customFormat="1">
      <c r="A150" s="192">
        <f t="shared" si="46"/>
        <v>44995.190972222219</v>
      </c>
      <c r="B150" s="126" t="s">
        <v>228</v>
      </c>
      <c r="C150" s="126" t="s">
        <v>229</v>
      </c>
      <c r="D150" s="126" t="s">
        <v>197</v>
      </c>
      <c r="E150" s="126" t="s">
        <v>1084</v>
      </c>
      <c r="G150" s="165">
        <v>45000</v>
      </c>
      <c r="H150" s="165">
        <v>45000.007638888892</v>
      </c>
      <c r="I150" s="126" t="s">
        <v>497</v>
      </c>
      <c r="J150" s="126" t="s">
        <v>192</v>
      </c>
      <c r="K150" s="126" t="s">
        <v>192</v>
      </c>
      <c r="L150" s="126" t="s">
        <v>1090</v>
      </c>
      <c r="M150" s="167"/>
      <c r="N150" s="126" t="s">
        <v>246</v>
      </c>
      <c r="O150" s="126" t="s">
        <v>247</v>
      </c>
      <c r="P150" s="126" t="s">
        <v>494</v>
      </c>
      <c r="Q150" s="181">
        <f>3136*2.4</f>
        <v>7526.4</v>
      </c>
      <c r="R150" s="181">
        <v>7521.7870000000003</v>
      </c>
      <c r="S150" s="181"/>
      <c r="T150" s="181">
        <f t="shared" si="47"/>
        <v>7521.7870000000003</v>
      </c>
      <c r="AW150" s="165">
        <f t="shared" si="42"/>
        <v>44984.34375</v>
      </c>
      <c r="AX150" s="165">
        <f t="shared" si="43"/>
        <v>45001.135416666664</v>
      </c>
      <c r="AY150" s="137">
        <f t="shared" si="44"/>
        <v>16.791666666664241</v>
      </c>
      <c r="AZ150" s="165">
        <v>44984.34375</v>
      </c>
      <c r="BA150" s="165">
        <v>44990.559027777781</v>
      </c>
      <c r="BB150" s="165">
        <v>44992.583333333336</v>
      </c>
      <c r="BC150" s="165">
        <v>44995.190972222219</v>
      </c>
      <c r="BD150" s="165">
        <v>44995.347222222219</v>
      </c>
      <c r="BE150" s="165">
        <v>44995.350694444445</v>
      </c>
      <c r="BF150" s="165">
        <v>44995.350694444445</v>
      </c>
      <c r="BG150" s="165">
        <f t="shared" si="48"/>
        <v>44997.059027777781</v>
      </c>
      <c r="BH150" s="165">
        <v>44997.25</v>
      </c>
      <c r="BI150" s="165">
        <v>44997.416666666664</v>
      </c>
      <c r="BJ150" s="165">
        <v>44997.361111111109</v>
      </c>
      <c r="BK150" s="165">
        <v>44999.0625</v>
      </c>
      <c r="BL150" s="165">
        <v>45000.170138888891</v>
      </c>
      <c r="BM150" s="165">
        <v>45000.576388888891</v>
      </c>
      <c r="BN150" s="165">
        <v>45000.586805555555</v>
      </c>
      <c r="BO150" s="165">
        <v>45000.590277777781</v>
      </c>
      <c r="BP150" s="165">
        <v>45001.135416666664</v>
      </c>
      <c r="BQ150" s="126" t="s">
        <v>956</v>
      </c>
      <c r="BS150" s="136">
        <f t="shared" si="49"/>
        <v>48.583333333313931</v>
      </c>
      <c r="BT150" s="136">
        <f t="shared" si="50"/>
        <v>3.75</v>
      </c>
      <c r="BU150" s="136">
        <f t="shared" si="51"/>
        <v>41.000000000058208</v>
      </c>
      <c r="BV150" s="136">
        <f t="shared" si="45"/>
        <v>39.500000000058208</v>
      </c>
      <c r="BW150" s="135">
        <f t="shared" si="52"/>
        <v>9.75</v>
      </c>
      <c r="BX150" s="135">
        <f t="shared" si="53"/>
        <v>13.083333333197515</v>
      </c>
      <c r="BY150" s="134">
        <f t="shared" si="54"/>
        <v>6.4861111111094942</v>
      </c>
      <c r="BZ150" s="134">
        <f t="shared" si="55"/>
        <v>16.791666666664241</v>
      </c>
      <c r="CA150" s="133">
        <f t="shared" si="56"/>
        <v>0.38626964433411998</v>
      </c>
    </row>
    <row r="151" spans="1:79" s="126" customFormat="1">
      <c r="A151" s="192">
        <f t="shared" si="46"/>
        <v>44995.635416666664</v>
      </c>
      <c r="B151" s="126" t="s">
        <v>228</v>
      </c>
      <c r="C151" s="126" t="s">
        <v>229</v>
      </c>
      <c r="D151" s="126" t="s">
        <v>215</v>
      </c>
      <c r="E151" s="126" t="s">
        <v>1084</v>
      </c>
      <c r="G151" s="165">
        <v>45000</v>
      </c>
      <c r="H151" s="165">
        <v>45000.007638888892</v>
      </c>
      <c r="I151" s="126" t="s">
        <v>497</v>
      </c>
      <c r="J151" s="126" t="s">
        <v>192</v>
      </c>
      <c r="K151" s="126" t="s">
        <v>192</v>
      </c>
      <c r="L151" s="126" t="s">
        <v>1091</v>
      </c>
      <c r="M151" s="167"/>
      <c r="N151" s="126" t="s">
        <v>222</v>
      </c>
      <c r="O151" s="126" t="s">
        <v>223</v>
      </c>
      <c r="P151" s="126" t="s">
        <v>494</v>
      </c>
      <c r="Q151" s="181">
        <f>3137*2.4</f>
        <v>7528.7999999999993</v>
      </c>
      <c r="R151" s="181">
        <v>7401.0709999999999</v>
      </c>
      <c r="S151" s="181"/>
      <c r="T151" s="181">
        <f t="shared" si="47"/>
        <v>7401.0709999999999</v>
      </c>
      <c r="AW151" s="165">
        <f t="shared" si="42"/>
        <v>44985.479166666664</v>
      </c>
      <c r="AX151" s="165">
        <f t="shared" si="43"/>
        <v>45001.482638888891</v>
      </c>
      <c r="AY151" s="137">
        <f t="shared" si="44"/>
        <v>16.003472222226264</v>
      </c>
      <c r="AZ151" s="165">
        <v>44985.479166666664</v>
      </c>
      <c r="BA151" s="165">
        <v>44990.541666666664</v>
      </c>
      <c r="BB151" s="165">
        <v>44993.270833333336</v>
      </c>
      <c r="BC151" s="165">
        <v>44995.635416666664</v>
      </c>
      <c r="BD151" s="165">
        <v>44995.850694444445</v>
      </c>
      <c r="BE151" s="165">
        <v>44995.854166666664</v>
      </c>
      <c r="BF151" s="165">
        <v>44996.25</v>
      </c>
      <c r="BG151" s="165">
        <f t="shared" si="48"/>
        <v>44997.958333333336</v>
      </c>
      <c r="BH151" s="165">
        <v>44998.291666608799</v>
      </c>
      <c r="BI151" s="165">
        <v>44998.458333275463</v>
      </c>
      <c r="BJ151" s="165">
        <v>44998.298611111109</v>
      </c>
      <c r="BK151" s="165">
        <v>44999.708333333336</v>
      </c>
      <c r="BL151" s="165">
        <v>45000.666666666664</v>
      </c>
      <c r="BM151" s="165">
        <v>45000.892361111109</v>
      </c>
      <c r="BN151" s="165">
        <v>45000.90625</v>
      </c>
      <c r="BO151" s="165">
        <v>45000.909722222219</v>
      </c>
      <c r="BP151" s="165">
        <v>45001.482638888891</v>
      </c>
      <c r="BQ151" s="126" t="s">
        <v>956</v>
      </c>
      <c r="BS151" s="136">
        <f t="shared" si="49"/>
        <v>65.500000000116415</v>
      </c>
      <c r="BT151" s="136">
        <f t="shared" si="50"/>
        <v>5.1666666667442769</v>
      </c>
      <c r="BU151" s="136">
        <f t="shared" si="51"/>
        <v>41.000000000058208</v>
      </c>
      <c r="BV151" s="136">
        <f t="shared" si="45"/>
        <v>30.000001388951205</v>
      </c>
      <c r="BW151" s="135">
        <f t="shared" si="52"/>
        <v>5.4166666666860692</v>
      </c>
      <c r="BX151" s="135">
        <f t="shared" si="53"/>
        <v>13.750000000116415</v>
      </c>
      <c r="BY151" s="134">
        <f t="shared" si="54"/>
        <v>6.7013889467780245</v>
      </c>
      <c r="BZ151" s="134">
        <f t="shared" si="55"/>
        <v>16.003472222226264</v>
      </c>
      <c r="CA151" s="133">
        <f t="shared" si="56"/>
        <v>0.4187459354896037</v>
      </c>
    </row>
    <row r="152" spans="1:79" s="126" customFormat="1">
      <c r="A152" s="192">
        <f t="shared" si="46"/>
        <v>44997.9375</v>
      </c>
      <c r="B152" s="126" t="s">
        <v>228</v>
      </c>
      <c r="C152" s="126" t="s">
        <v>229</v>
      </c>
      <c r="D152" s="126" t="s">
        <v>215</v>
      </c>
      <c r="E152" s="126" t="s">
        <v>969</v>
      </c>
      <c r="G152" s="73">
        <v>44998.854166666664</v>
      </c>
      <c r="H152" s="73">
        <v>44998.784722222219</v>
      </c>
      <c r="I152" s="126" t="s">
        <v>490</v>
      </c>
      <c r="J152" s="126" t="s">
        <v>192</v>
      </c>
      <c r="K152" s="126" t="s">
        <v>192</v>
      </c>
      <c r="L152" s="126" t="s">
        <v>1092</v>
      </c>
      <c r="M152" s="167"/>
      <c r="N152" s="126" t="s">
        <v>399</v>
      </c>
      <c r="O152" s="126" t="s">
        <v>1093</v>
      </c>
      <c r="P152" s="126" t="s">
        <v>494</v>
      </c>
      <c r="Q152" s="181">
        <f>3136*2.4</f>
        <v>7526.4</v>
      </c>
      <c r="R152" s="181">
        <v>7560.2830000000004</v>
      </c>
      <c r="S152" s="181"/>
      <c r="T152" s="181">
        <f t="shared" si="47"/>
        <v>7560.2830000000004</v>
      </c>
      <c r="W152" s="172"/>
      <c r="X152" s="172"/>
      <c r="AW152" s="165">
        <f t="shared" si="42"/>
        <v>44991.944444444445</v>
      </c>
      <c r="AX152" s="165">
        <f t="shared" si="43"/>
        <v>45006.395833333336</v>
      </c>
      <c r="AY152" s="137">
        <f t="shared" si="44"/>
        <v>14.451388888890506</v>
      </c>
      <c r="AZ152" s="165">
        <v>44991.944444444445</v>
      </c>
      <c r="BA152" s="165">
        <v>44993.559027777781</v>
      </c>
      <c r="BB152" s="165">
        <v>44995.3125</v>
      </c>
      <c r="BC152" s="165">
        <v>44997.9375</v>
      </c>
      <c r="BD152" s="165">
        <v>44998.090277777781</v>
      </c>
      <c r="BE152" s="165">
        <v>44998.111111111109</v>
      </c>
      <c r="BF152" s="165">
        <v>44998.25</v>
      </c>
      <c r="BG152" s="165">
        <f t="shared" si="48"/>
        <v>44999.958333333336</v>
      </c>
      <c r="BH152" s="165">
        <v>45000.291666608799</v>
      </c>
      <c r="BI152" s="165">
        <v>45000.458333275463</v>
      </c>
      <c r="BJ152" s="165">
        <v>45000.4375</v>
      </c>
      <c r="BK152" s="165">
        <v>45001.666666666664</v>
      </c>
      <c r="BL152" s="196">
        <v>45005.715277777781</v>
      </c>
      <c r="BM152" s="196">
        <v>45005.888888888891</v>
      </c>
      <c r="BN152" s="196">
        <v>45005.888888888891</v>
      </c>
      <c r="BO152" s="165">
        <v>45006.125</v>
      </c>
      <c r="BP152" s="165">
        <v>45006.395833333336</v>
      </c>
      <c r="BQ152" s="126" t="s">
        <v>1094</v>
      </c>
      <c r="BS152" s="136">
        <f t="shared" si="49"/>
        <v>42.083333333255723</v>
      </c>
      <c r="BT152" s="136">
        <f t="shared" si="50"/>
        <v>3.6666666667442769</v>
      </c>
      <c r="BU152" s="136">
        <f t="shared" si="51"/>
        <v>41.000000000058208</v>
      </c>
      <c r="BV152" s="136">
        <f t="shared" si="45"/>
        <v>29.000001388834789</v>
      </c>
      <c r="BW152" s="135">
        <f t="shared" si="52"/>
        <v>4.1666666666278616</v>
      </c>
      <c r="BX152" s="135">
        <f t="shared" si="53"/>
        <v>6.5000000000582077</v>
      </c>
      <c r="BY152" s="134">
        <f t="shared" si="54"/>
        <v>5.2673611689824611</v>
      </c>
      <c r="BZ152" s="134">
        <f t="shared" si="55"/>
        <v>14.451388888890506</v>
      </c>
      <c r="CA152" s="133">
        <f t="shared" si="56"/>
        <v>0.36448823081854376</v>
      </c>
    </row>
    <row r="153" spans="1:79" s="126" customFormat="1">
      <c r="A153" s="192">
        <f t="shared" si="46"/>
        <v>44998.138888888891</v>
      </c>
      <c r="B153" s="126" t="s">
        <v>228</v>
      </c>
      <c r="C153" s="126" t="s">
        <v>229</v>
      </c>
      <c r="D153" s="126" t="s">
        <v>215</v>
      </c>
      <c r="E153" s="126" t="s">
        <v>969</v>
      </c>
      <c r="G153" s="73">
        <v>44998.854166666664</v>
      </c>
      <c r="H153" s="73">
        <v>44998.784722222219</v>
      </c>
      <c r="I153" s="126" t="s">
        <v>490</v>
      </c>
      <c r="J153" s="126" t="s">
        <v>192</v>
      </c>
      <c r="K153" s="126" t="s">
        <v>192</v>
      </c>
      <c r="L153" s="126" t="s">
        <v>1095</v>
      </c>
      <c r="M153" s="167"/>
      <c r="N153" s="126" t="s">
        <v>774</v>
      </c>
      <c r="O153" s="126" t="s">
        <v>423</v>
      </c>
      <c r="P153" s="126" t="s">
        <v>494</v>
      </c>
      <c r="Q153" s="181">
        <f>3156*2.4</f>
        <v>7574.4</v>
      </c>
      <c r="R153" s="181">
        <v>7584.7349999999997</v>
      </c>
      <c r="S153" s="181"/>
      <c r="T153" s="181">
        <f t="shared" si="47"/>
        <v>7584.7349999999997</v>
      </c>
      <c r="AW153" s="165">
        <f t="shared" si="42"/>
        <v>44992.65625</v>
      </c>
      <c r="AX153" s="165">
        <f t="shared" si="43"/>
        <v>45006.048611111109</v>
      </c>
      <c r="AY153" s="137">
        <f t="shared" si="44"/>
        <v>13.392361111109494</v>
      </c>
      <c r="AZ153" s="165">
        <v>44992.65625</v>
      </c>
      <c r="BA153" s="165">
        <v>44993.604166666664</v>
      </c>
      <c r="BB153" s="165">
        <v>44995.364583333336</v>
      </c>
      <c r="BC153" s="165">
        <v>44998.138888888891</v>
      </c>
      <c r="BD153" s="165">
        <v>44998.347222222219</v>
      </c>
      <c r="BE153" s="165">
        <v>44998.357638888891</v>
      </c>
      <c r="BF153" s="165">
        <v>44998.357638888891</v>
      </c>
      <c r="BG153" s="165">
        <f t="shared" si="48"/>
        <v>45000.065972222226</v>
      </c>
      <c r="BH153" s="165">
        <v>45000.291666608799</v>
      </c>
      <c r="BI153" s="165">
        <v>45000.458333275463</v>
      </c>
      <c r="BJ153" s="165">
        <v>45000.388888888891</v>
      </c>
      <c r="BK153" s="165">
        <v>45001.597222222219</v>
      </c>
      <c r="BL153" s="196">
        <v>45005.520833333336</v>
      </c>
      <c r="BM153" s="196">
        <v>45005.684027777781</v>
      </c>
      <c r="BN153" s="196">
        <v>45005.697916666664</v>
      </c>
      <c r="BO153" s="196">
        <v>45005.697916666664</v>
      </c>
      <c r="BP153" s="165">
        <v>45006.048611111109</v>
      </c>
      <c r="BQ153" s="126" t="s">
        <v>961</v>
      </c>
      <c r="BS153" s="136">
        <f t="shared" si="49"/>
        <v>42.250000000116415</v>
      </c>
      <c r="BT153" s="136">
        <f t="shared" si="50"/>
        <v>4.9999999998835847</v>
      </c>
      <c r="BU153" s="136">
        <f t="shared" si="51"/>
        <v>41.000000000058208</v>
      </c>
      <c r="BV153" s="136">
        <f t="shared" si="45"/>
        <v>27.33333472214872</v>
      </c>
      <c r="BW153" s="135">
        <f t="shared" si="52"/>
        <v>3.9166666666860692</v>
      </c>
      <c r="BX153" s="135">
        <f t="shared" si="53"/>
        <v>8.4166666666860692</v>
      </c>
      <c r="BY153" s="134">
        <f t="shared" si="54"/>
        <v>5.3298611689824611</v>
      </c>
      <c r="BZ153" s="134">
        <f t="shared" si="55"/>
        <v>13.392361111109494</v>
      </c>
      <c r="CA153" s="133">
        <f t="shared" si="56"/>
        <v>0.39797770719915326</v>
      </c>
    </row>
    <row r="154" spans="1:79" s="126" customFormat="1">
      <c r="A154" s="192">
        <f t="shared" si="46"/>
        <v>44998.399305555555</v>
      </c>
      <c r="B154" s="126" t="s">
        <v>228</v>
      </c>
      <c r="C154" s="126" t="s">
        <v>229</v>
      </c>
      <c r="D154" s="126" t="s">
        <v>197</v>
      </c>
      <c r="E154" s="126" t="s">
        <v>969</v>
      </c>
      <c r="G154" s="73">
        <v>44998.854166666664</v>
      </c>
      <c r="H154" s="73">
        <v>44998.784722222219</v>
      </c>
      <c r="I154" s="126" t="s">
        <v>490</v>
      </c>
      <c r="J154" s="126" t="s">
        <v>192</v>
      </c>
      <c r="K154" s="126" t="s">
        <v>192</v>
      </c>
      <c r="L154" s="126" t="s">
        <v>1096</v>
      </c>
      <c r="M154" s="167"/>
      <c r="N154" s="126" t="s">
        <v>339</v>
      </c>
      <c r="O154" s="126" t="s">
        <v>340</v>
      </c>
      <c r="P154" s="126" t="s">
        <v>494</v>
      </c>
      <c r="Q154" s="181">
        <f>3141*2.4</f>
        <v>7538.4</v>
      </c>
      <c r="R154" s="181">
        <v>7603.4170000000004</v>
      </c>
      <c r="S154" s="181"/>
      <c r="T154" s="181">
        <f t="shared" si="47"/>
        <v>7603.4170000000004</v>
      </c>
      <c r="AW154" s="165">
        <f t="shared" si="42"/>
        <v>44991.354166666664</v>
      </c>
      <c r="AX154" s="165">
        <f t="shared" si="43"/>
        <v>45005.791666666664</v>
      </c>
      <c r="AY154" s="137">
        <f t="shared" si="44"/>
        <v>14.4375</v>
      </c>
      <c r="AZ154" s="165">
        <v>44991.354166666664</v>
      </c>
      <c r="BA154" s="165">
        <v>44993.614583333336</v>
      </c>
      <c r="BB154" s="165">
        <v>44995.375</v>
      </c>
      <c r="BC154" s="165">
        <v>44998.399305555555</v>
      </c>
      <c r="BD154" s="165">
        <v>44998.609027777777</v>
      </c>
      <c r="BE154" s="165">
        <v>44998.618055555555</v>
      </c>
      <c r="BF154" s="165">
        <v>44998.618055555555</v>
      </c>
      <c r="BG154" s="165">
        <f t="shared" si="48"/>
        <v>45000.326388888891</v>
      </c>
      <c r="BH154" s="165">
        <v>45000.291666608799</v>
      </c>
      <c r="BI154" s="165">
        <v>45000.458333275463</v>
      </c>
      <c r="BJ154" s="165">
        <v>45000.347222222219</v>
      </c>
      <c r="BK154" s="165">
        <v>45001.416666666664</v>
      </c>
      <c r="BL154" s="196">
        <v>45005.1875</v>
      </c>
      <c r="BM154" s="196">
        <v>45005.472222222219</v>
      </c>
      <c r="BN154" s="196">
        <v>45005.5</v>
      </c>
      <c r="BO154" s="196">
        <v>45005.5</v>
      </c>
      <c r="BP154" s="165">
        <v>45005.791666666664</v>
      </c>
      <c r="BQ154" s="126" t="s">
        <v>961</v>
      </c>
      <c r="BS154" s="136">
        <f t="shared" si="49"/>
        <v>42.249999999941792</v>
      </c>
      <c r="BT154" s="136">
        <f t="shared" si="50"/>
        <v>5.0333333333255723</v>
      </c>
      <c r="BU154" s="136">
        <f t="shared" si="51"/>
        <v>41.000000000058208</v>
      </c>
      <c r="BV154" s="136">
        <f t="shared" si="45"/>
        <v>23.000001388834789</v>
      </c>
      <c r="BW154" s="135">
        <f t="shared" si="52"/>
        <v>6.8333333332557231</v>
      </c>
      <c r="BX154" s="135">
        <f t="shared" si="53"/>
        <v>6.9999999999417923</v>
      </c>
      <c r="BY154" s="134">
        <f t="shared" si="54"/>
        <v>5.2131945023065782</v>
      </c>
      <c r="BZ154" s="134">
        <f t="shared" si="55"/>
        <v>14.4375</v>
      </c>
      <c r="CA154" s="133">
        <f t="shared" si="56"/>
        <v>0.36108706509482791</v>
      </c>
    </row>
    <row r="155" spans="1:79" s="126" customFormat="1">
      <c r="A155" s="192">
        <f t="shared" si="46"/>
        <v>44998.649305555555</v>
      </c>
      <c r="B155" s="126" t="s">
        <v>228</v>
      </c>
      <c r="C155" s="126" t="s">
        <v>229</v>
      </c>
      <c r="D155" s="126" t="s">
        <v>197</v>
      </c>
      <c r="E155" s="126" t="s">
        <v>969</v>
      </c>
      <c r="G155" s="73">
        <v>44998.854166666664</v>
      </c>
      <c r="H155" s="73">
        <v>44998.784722222219</v>
      </c>
      <c r="I155" s="126" t="s">
        <v>490</v>
      </c>
      <c r="J155" s="126" t="s">
        <v>192</v>
      </c>
      <c r="K155" s="126" t="s">
        <v>192</v>
      </c>
      <c r="L155" s="126" t="s">
        <v>1097</v>
      </c>
      <c r="M155" s="167"/>
      <c r="N155" s="126" t="s">
        <v>233</v>
      </c>
      <c r="O155" s="126" t="s">
        <v>234</v>
      </c>
      <c r="P155" s="126" t="s">
        <v>494</v>
      </c>
      <c r="Q155" s="181">
        <f>3215*2.4</f>
        <v>7716</v>
      </c>
      <c r="R155" s="181">
        <f>7507.855-3338.329</f>
        <v>4169.5259999999998</v>
      </c>
      <c r="S155" s="181"/>
      <c r="T155" s="181">
        <f t="shared" si="47"/>
        <v>4169.5259999999998</v>
      </c>
      <c r="AW155" s="165">
        <f t="shared" si="42"/>
        <v>44991.854166666664</v>
      </c>
      <c r="AX155" s="165">
        <f t="shared" si="43"/>
        <v>45006.527777777781</v>
      </c>
      <c r="AY155" s="137">
        <f t="shared" si="44"/>
        <v>14.67361111111677</v>
      </c>
      <c r="AZ155" s="165">
        <v>44991.854166666664</v>
      </c>
      <c r="BA155" s="165">
        <v>44993.795138888891</v>
      </c>
      <c r="BB155" s="165">
        <v>44995.708333333336</v>
      </c>
      <c r="BC155" s="165">
        <v>44998.649305555555</v>
      </c>
      <c r="BD155" s="165">
        <v>44998.871527777781</v>
      </c>
      <c r="BE155" s="165">
        <v>44998.890277777777</v>
      </c>
      <c r="BF155" s="165">
        <v>44998.890277777777</v>
      </c>
      <c r="BG155" s="165">
        <f t="shared" si="48"/>
        <v>45000.598611111112</v>
      </c>
      <c r="BH155" s="165">
        <v>45000.291666608799</v>
      </c>
      <c r="BI155" s="165">
        <v>45000.458333275463</v>
      </c>
      <c r="BJ155" s="165">
        <v>45000.472222222219</v>
      </c>
      <c r="BK155" s="165">
        <v>45001.916666666664</v>
      </c>
      <c r="BL155" s="165">
        <v>45006.375</v>
      </c>
      <c r="BM155" s="165">
        <v>45006.5</v>
      </c>
      <c r="BN155" s="165">
        <v>45006.527777777781</v>
      </c>
      <c r="BO155" s="165">
        <v>45006.527777777781</v>
      </c>
      <c r="BP155" s="165">
        <v>45006.527777777781</v>
      </c>
      <c r="BQ155" s="126" t="s">
        <v>961</v>
      </c>
      <c r="BS155" s="136">
        <f t="shared" si="49"/>
        <v>45.916666666686069</v>
      </c>
      <c r="BT155" s="136">
        <f t="shared" si="50"/>
        <v>5.3333333334303461</v>
      </c>
      <c r="BU155" s="136">
        <f t="shared" si="51"/>
        <v>41.000000000058208</v>
      </c>
      <c r="BV155" s="136">
        <f t="shared" si="45"/>
        <v>35.000001388834789</v>
      </c>
      <c r="BW155" s="135">
        <f t="shared" si="52"/>
        <v>3</v>
      </c>
      <c r="BX155" s="135">
        <f t="shared" si="53"/>
        <v>0</v>
      </c>
      <c r="BY155" s="134">
        <f t="shared" si="54"/>
        <v>5.4270833912087255</v>
      </c>
      <c r="BZ155" s="134">
        <f t="shared" si="55"/>
        <v>14.67361111111677</v>
      </c>
      <c r="CA155" s="133">
        <f t="shared" si="56"/>
        <v>0.36985329310636778</v>
      </c>
    </row>
    <row r="156" spans="1:79" s="126" customFormat="1" ht="15" customHeight="1">
      <c r="A156" s="192">
        <f t="shared" si="46"/>
        <v>44998.649305555555</v>
      </c>
      <c r="B156" s="126" t="s">
        <v>228</v>
      </c>
      <c r="C156" s="126" t="s">
        <v>229</v>
      </c>
      <c r="D156" s="126" t="s">
        <v>197</v>
      </c>
      <c r="E156" s="126" t="s">
        <v>1064</v>
      </c>
      <c r="G156" s="73">
        <v>45007.354166666664</v>
      </c>
      <c r="H156" s="73">
        <v>45007.277777777781</v>
      </c>
      <c r="I156" s="126" t="s">
        <v>490</v>
      </c>
      <c r="J156" s="126" t="s">
        <v>192</v>
      </c>
      <c r="K156" s="126" t="s">
        <v>192</v>
      </c>
      <c r="L156" s="126" t="s">
        <v>1097</v>
      </c>
      <c r="M156" s="167"/>
      <c r="N156" s="126" t="s">
        <v>233</v>
      </c>
      <c r="O156" s="126" t="s">
        <v>234</v>
      </c>
      <c r="P156" s="126" t="s">
        <v>494</v>
      </c>
      <c r="Q156" s="181">
        <f>3215*2.4</f>
        <v>7716</v>
      </c>
      <c r="R156" s="181">
        <v>3328</v>
      </c>
      <c r="S156" s="181"/>
      <c r="T156" s="181">
        <f t="shared" si="47"/>
        <v>3328</v>
      </c>
      <c r="AW156" s="165">
        <f t="shared" si="42"/>
        <v>44991.854166666664</v>
      </c>
      <c r="AX156" s="165">
        <f t="shared" si="43"/>
        <v>45014.548611111109</v>
      </c>
      <c r="AY156" s="137">
        <f t="shared" si="44"/>
        <v>22.694444444445253</v>
      </c>
      <c r="AZ156" s="165">
        <v>44991.854166666664</v>
      </c>
      <c r="BA156" s="165">
        <v>44993.795138888891</v>
      </c>
      <c r="BB156" s="165">
        <v>44995.708333333336</v>
      </c>
      <c r="BC156" s="165">
        <v>44998.649305555555</v>
      </c>
      <c r="BD156" s="165">
        <v>44998.871527777781</v>
      </c>
      <c r="BE156" s="165">
        <v>44998.890277777777</v>
      </c>
      <c r="BF156" s="165">
        <v>44998.890277777777</v>
      </c>
      <c r="BG156" s="165">
        <f t="shared" si="48"/>
        <v>45000.598611111112</v>
      </c>
      <c r="BH156" s="165">
        <v>45000.291666608799</v>
      </c>
      <c r="BI156" s="165">
        <v>45000.458333275463</v>
      </c>
      <c r="BJ156" s="165">
        <v>45000.472222222219</v>
      </c>
      <c r="BK156" s="165">
        <v>45006.527777777781</v>
      </c>
      <c r="BL156" s="165">
        <v>45013.673611111109</v>
      </c>
      <c r="BM156" s="165">
        <v>45013.881944444445</v>
      </c>
      <c r="BN156" s="165">
        <v>45013.909722222219</v>
      </c>
      <c r="BO156" s="165">
        <v>45014.291666666664</v>
      </c>
      <c r="BP156" s="165">
        <v>45014.548611111109</v>
      </c>
      <c r="BQ156" s="126" t="s">
        <v>961</v>
      </c>
      <c r="BS156" s="136">
        <f t="shared" si="49"/>
        <v>45.916666666686069</v>
      </c>
      <c r="BT156" s="136">
        <f t="shared" si="50"/>
        <v>5.3333333334303461</v>
      </c>
      <c r="BU156" s="136">
        <f t="shared" si="51"/>
        <v>41.000000000058208</v>
      </c>
      <c r="BV156" s="136">
        <f t="shared" si="45"/>
        <v>145.66666805563727</v>
      </c>
      <c r="BW156" s="135">
        <f t="shared" si="52"/>
        <v>5.0000000000582077</v>
      </c>
      <c r="BX156" s="135">
        <f t="shared" si="53"/>
        <v>6.1666666666860692</v>
      </c>
      <c r="BY156" s="134">
        <f t="shared" si="54"/>
        <v>10.378472280106507</v>
      </c>
      <c r="BZ156" s="134">
        <f t="shared" si="55"/>
        <v>22.694444444445253</v>
      </c>
      <c r="CA156" s="133">
        <f t="shared" si="56"/>
        <v>0.45731334404384449</v>
      </c>
    </row>
    <row r="157" spans="1:79" s="126" customFormat="1">
      <c r="A157" s="192">
        <f t="shared" si="46"/>
        <v>44997.670138888891</v>
      </c>
      <c r="B157" s="126" t="s">
        <v>228</v>
      </c>
      <c r="C157" s="126" t="s">
        <v>229</v>
      </c>
      <c r="D157" s="126" t="s">
        <v>197</v>
      </c>
      <c r="E157" s="126" t="s">
        <v>969</v>
      </c>
      <c r="G157" s="73">
        <v>44998.854166666664</v>
      </c>
      <c r="H157" s="73">
        <v>44998.784722222219</v>
      </c>
      <c r="I157" s="126" t="s">
        <v>490</v>
      </c>
      <c r="J157" s="126" t="s">
        <v>192</v>
      </c>
      <c r="K157" s="126" t="s">
        <v>192</v>
      </c>
      <c r="L157" s="126" t="s">
        <v>1098</v>
      </c>
      <c r="M157" s="167"/>
      <c r="N157" s="126" t="s">
        <v>284</v>
      </c>
      <c r="O157" s="126" t="s">
        <v>285</v>
      </c>
      <c r="P157" s="126" t="s">
        <v>494</v>
      </c>
      <c r="Q157" s="181">
        <f>3852*2.4</f>
        <v>9244.7999999999993</v>
      </c>
      <c r="R157" s="181">
        <v>9140.6550000000007</v>
      </c>
      <c r="S157" s="181"/>
      <c r="T157" s="181">
        <f t="shared" si="47"/>
        <v>9140.6550000000007</v>
      </c>
      <c r="AW157" s="165">
        <f t="shared" si="42"/>
        <v>44987.472222222219</v>
      </c>
      <c r="AX157" s="165">
        <f t="shared" si="43"/>
        <v>45005.430555555555</v>
      </c>
      <c r="AY157" s="137">
        <f t="shared" si="44"/>
        <v>17.958333333335759</v>
      </c>
      <c r="AZ157" s="165">
        <v>44987.472222222219</v>
      </c>
      <c r="BA157" s="165">
        <v>44993.579861111109</v>
      </c>
      <c r="BB157" s="165">
        <v>44995.270833333336</v>
      </c>
      <c r="BC157" s="165">
        <v>44997.670138888891</v>
      </c>
      <c r="BD157" s="165">
        <v>44997.911805555559</v>
      </c>
      <c r="BE157" s="165">
        <v>44997.916666666664</v>
      </c>
      <c r="BF157" s="165">
        <v>44997.916666666664</v>
      </c>
      <c r="BG157" s="165">
        <f t="shared" si="48"/>
        <v>44999.625</v>
      </c>
      <c r="BH157" s="165">
        <v>44999.291666608799</v>
      </c>
      <c r="BI157" s="165">
        <v>44999.458333275463</v>
      </c>
      <c r="BJ157" s="165">
        <v>44999.440972222219</v>
      </c>
      <c r="BK157" s="165">
        <v>45001.208333333336</v>
      </c>
      <c r="BL157" s="196">
        <v>45004.833333333336</v>
      </c>
      <c r="BM157" s="196">
        <v>45005.125</v>
      </c>
      <c r="BN157" s="196">
        <v>45005.152777777781</v>
      </c>
      <c r="BO157" s="196">
        <v>45005.152777777781</v>
      </c>
      <c r="BP157" s="165">
        <v>45005.430555555555</v>
      </c>
      <c r="BQ157" s="126" t="s">
        <v>1099</v>
      </c>
      <c r="BS157" s="136">
        <f t="shared" si="49"/>
        <v>40.583333333430346</v>
      </c>
      <c r="BT157" s="136">
        <f t="shared" si="50"/>
        <v>5.8000000000465661</v>
      </c>
      <c r="BU157" s="136">
        <f t="shared" si="51"/>
        <v>41.000000000058208</v>
      </c>
      <c r="BV157" s="136">
        <f t="shared" si="45"/>
        <v>42.000001388951205</v>
      </c>
      <c r="BW157" s="135">
        <f t="shared" si="52"/>
        <v>6.9999999999417923</v>
      </c>
      <c r="BX157" s="135">
        <f t="shared" si="53"/>
        <v>6.6666666665696539</v>
      </c>
      <c r="BY157" s="134">
        <f t="shared" si="54"/>
        <v>5.9604167245415738</v>
      </c>
      <c r="BZ157" s="134">
        <f t="shared" si="55"/>
        <v>17.958333333335759</v>
      </c>
      <c r="CA157" s="133">
        <f t="shared" si="56"/>
        <v>0.33190255542686414</v>
      </c>
    </row>
    <row r="158" spans="1:79" s="126" customFormat="1">
      <c r="A158" s="192">
        <f t="shared" si="46"/>
        <v>44998.907638888886</v>
      </c>
      <c r="B158" s="126" t="s">
        <v>228</v>
      </c>
      <c r="C158" s="126" t="s">
        <v>229</v>
      </c>
      <c r="D158" s="126" t="s">
        <v>215</v>
      </c>
      <c r="E158" s="126" t="s">
        <v>969</v>
      </c>
      <c r="G158" s="73">
        <v>44998.854166666664</v>
      </c>
      <c r="H158" s="73">
        <v>44998.784722222219</v>
      </c>
      <c r="I158" s="126" t="s">
        <v>490</v>
      </c>
      <c r="J158" s="126" t="s">
        <v>192</v>
      </c>
      <c r="K158" s="126" t="s">
        <v>192</v>
      </c>
      <c r="L158" s="126" t="s">
        <v>1100</v>
      </c>
      <c r="M158" s="167"/>
      <c r="N158" s="126" t="s">
        <v>252</v>
      </c>
      <c r="O158" s="126" t="s">
        <v>253</v>
      </c>
      <c r="P158" s="126" t="s">
        <v>494</v>
      </c>
      <c r="Q158" s="181">
        <f>3107*2.4</f>
        <v>7456.7999999999993</v>
      </c>
      <c r="R158" s="181">
        <v>7513.7870000000003</v>
      </c>
      <c r="S158" s="181"/>
      <c r="T158" s="181">
        <f t="shared" si="47"/>
        <v>7513.7870000000003</v>
      </c>
      <c r="AW158" s="165">
        <f t="shared" si="42"/>
        <v>44993.680555555555</v>
      </c>
      <c r="AX158" s="165">
        <f t="shared" si="43"/>
        <v>45006.715277777781</v>
      </c>
      <c r="AY158" s="137">
        <f t="shared" si="44"/>
        <v>13.034722222226264</v>
      </c>
      <c r="AZ158" s="165">
        <v>44993.680555555555</v>
      </c>
      <c r="BA158" s="165">
        <v>44994.555555555555</v>
      </c>
      <c r="BB158" s="165">
        <v>44996.159722222219</v>
      </c>
      <c r="BC158" s="165">
        <v>44998.907638888886</v>
      </c>
      <c r="BD158" s="165">
        <v>44999.045138888891</v>
      </c>
      <c r="BE158" s="165">
        <v>44999.055555555555</v>
      </c>
      <c r="BF158" s="165">
        <v>44999.055555555555</v>
      </c>
      <c r="BG158" s="165">
        <f t="shared" si="48"/>
        <v>45000.763888888891</v>
      </c>
      <c r="BH158" s="165">
        <v>45000.291666608799</v>
      </c>
      <c r="BI158" s="165">
        <v>45000.458333275463</v>
      </c>
      <c r="BJ158" s="165">
        <v>45000.46875</v>
      </c>
      <c r="BK158" s="165">
        <v>45001.729166666664</v>
      </c>
      <c r="BL158" s="196">
        <v>45005.916666666664</v>
      </c>
      <c r="BM158" s="165">
        <v>45006.340277777781</v>
      </c>
      <c r="BN158" s="165">
        <v>45006.354166666664</v>
      </c>
      <c r="BO158" s="165">
        <v>45006.354166666664</v>
      </c>
      <c r="BP158" s="165">
        <v>45006.715277777781</v>
      </c>
      <c r="BS158" s="136">
        <f t="shared" si="49"/>
        <v>38.499999999941792</v>
      </c>
      <c r="BT158" s="136">
        <f t="shared" si="50"/>
        <v>3.3000000001047738</v>
      </c>
      <c r="BU158" s="136">
        <f t="shared" si="51"/>
        <v>41.000000000058208</v>
      </c>
      <c r="BV158" s="136">
        <f t="shared" si="45"/>
        <v>30.500001388834789</v>
      </c>
      <c r="BW158" s="135">
        <f t="shared" si="52"/>
        <v>10.166666666802485</v>
      </c>
      <c r="BX158" s="135">
        <f t="shared" si="53"/>
        <v>8.6666666668024845</v>
      </c>
      <c r="BY158" s="134">
        <f t="shared" si="54"/>
        <v>5.5055556134393555</v>
      </c>
      <c r="BZ158" s="134">
        <f t="shared" si="55"/>
        <v>13.034722222226264</v>
      </c>
      <c r="CA158" s="133">
        <f t="shared" si="56"/>
        <v>0.4223761365663406</v>
      </c>
    </row>
    <row r="159" spans="1:79" s="126" customFormat="1">
      <c r="A159" s="192">
        <f t="shared" si="46"/>
        <v>44999.440972222219</v>
      </c>
      <c r="B159" s="126" t="s">
        <v>228</v>
      </c>
      <c r="C159" s="126" t="s">
        <v>229</v>
      </c>
      <c r="D159" s="126" t="s">
        <v>215</v>
      </c>
      <c r="E159" s="65" t="s">
        <v>1030</v>
      </c>
      <c r="G159" s="73">
        <v>45002.25</v>
      </c>
      <c r="H159" s="73">
        <v>45002.208333333336</v>
      </c>
      <c r="I159" s="126" t="s">
        <v>490</v>
      </c>
      <c r="J159" s="126" t="s">
        <v>192</v>
      </c>
      <c r="K159" s="126" t="s">
        <v>192</v>
      </c>
      <c r="L159" s="126" t="s">
        <v>1101</v>
      </c>
      <c r="M159" s="167"/>
      <c r="N159" s="126" t="s">
        <v>403</v>
      </c>
      <c r="O159" s="126" t="s">
        <v>404</v>
      </c>
      <c r="P159" s="126" t="s">
        <v>494</v>
      </c>
      <c r="Q159" s="181">
        <f>3107*2.4</f>
        <v>7456.7999999999993</v>
      </c>
      <c r="R159" s="181">
        <v>7480.9920000000002</v>
      </c>
      <c r="S159" s="181"/>
      <c r="T159" s="181">
        <f t="shared" si="47"/>
        <v>7480.9920000000002</v>
      </c>
      <c r="U159" s="172"/>
      <c r="AW159" s="165">
        <f t="shared" si="42"/>
        <v>44994.400694444441</v>
      </c>
      <c r="AX159" s="165">
        <f t="shared" si="43"/>
        <v>45005.340277777781</v>
      </c>
      <c r="AY159" s="137">
        <f t="shared" si="44"/>
        <v>10.939583333340124</v>
      </c>
      <c r="AZ159" s="165">
        <v>44994.400694444441</v>
      </c>
      <c r="BA159" s="165">
        <v>44994.798611111109</v>
      </c>
      <c r="BB159" s="165">
        <v>44996.458333333336</v>
      </c>
      <c r="BC159" s="165">
        <v>44999.440972222219</v>
      </c>
      <c r="BD159" s="165">
        <v>44999.606944444444</v>
      </c>
      <c r="BE159" s="165">
        <v>44999.618055555555</v>
      </c>
      <c r="BF159" s="165">
        <v>44999.618055555555</v>
      </c>
      <c r="BG159" s="165">
        <f t="shared" si="48"/>
        <v>45001.326388888891</v>
      </c>
      <c r="BH159" s="165">
        <v>45001.291666608799</v>
      </c>
      <c r="BI159" s="165">
        <v>45001.458333275463</v>
      </c>
      <c r="BJ159" s="165">
        <v>45001.357638888891</v>
      </c>
      <c r="BK159" s="165">
        <v>45002.524305555555</v>
      </c>
      <c r="BL159" s="165">
        <v>45004.548611111109</v>
      </c>
      <c r="BM159" s="165">
        <v>45004.722222222219</v>
      </c>
      <c r="BN159" s="165">
        <v>45004.743055555555</v>
      </c>
      <c r="BO159" s="165">
        <v>45005.125</v>
      </c>
      <c r="BP159" s="165">
        <v>45005.340277777781</v>
      </c>
      <c r="BS159" s="136">
        <f t="shared" si="49"/>
        <v>39.833333333430346</v>
      </c>
      <c r="BT159" s="136">
        <f t="shared" si="50"/>
        <v>3.9833333333954215</v>
      </c>
      <c r="BU159" s="136">
        <f t="shared" si="51"/>
        <v>41.000000000058208</v>
      </c>
      <c r="BV159" s="136">
        <f t="shared" si="45"/>
        <v>25.583334722206928</v>
      </c>
      <c r="BW159" s="135">
        <f t="shared" si="52"/>
        <v>4.1666666666278616</v>
      </c>
      <c r="BX159" s="135">
        <f t="shared" si="53"/>
        <v>5.1666666667442769</v>
      </c>
      <c r="BY159" s="134">
        <f t="shared" si="54"/>
        <v>4.9888889467692934</v>
      </c>
      <c r="BZ159" s="134">
        <f t="shared" si="55"/>
        <v>10.939583333340124</v>
      </c>
      <c r="CA159" s="133">
        <f t="shared" si="56"/>
        <v>0.45604012463297933</v>
      </c>
    </row>
    <row r="160" spans="1:79" s="126" customFormat="1">
      <c r="A160" s="192">
        <f t="shared" si="46"/>
        <v>44999.994444444441</v>
      </c>
      <c r="B160" s="126" t="s">
        <v>228</v>
      </c>
      <c r="C160" s="126" t="s">
        <v>229</v>
      </c>
      <c r="D160" s="126" t="s">
        <v>197</v>
      </c>
      <c r="E160" s="65" t="s">
        <v>1030</v>
      </c>
      <c r="G160" s="73">
        <v>45002.25</v>
      </c>
      <c r="H160" s="73">
        <v>45002.208333333336</v>
      </c>
      <c r="I160" s="126" t="s">
        <v>490</v>
      </c>
      <c r="J160" s="126" t="s">
        <v>192</v>
      </c>
      <c r="K160" s="126" t="s">
        <v>192</v>
      </c>
      <c r="L160" s="126" t="s">
        <v>1102</v>
      </c>
      <c r="M160" s="167"/>
      <c r="N160" s="126" t="s">
        <v>249</v>
      </c>
      <c r="O160" s="126" t="s">
        <v>250</v>
      </c>
      <c r="P160" s="126" t="s">
        <v>494</v>
      </c>
      <c r="Q160" s="181">
        <f>3139*2.4</f>
        <v>7533.5999999999995</v>
      </c>
      <c r="R160" s="181">
        <v>7655.1049999999996</v>
      </c>
      <c r="S160" s="181"/>
      <c r="T160" s="181">
        <f t="shared" si="47"/>
        <v>7655.1049999999996</v>
      </c>
      <c r="U160" s="172"/>
      <c r="AW160" s="165">
        <f t="shared" si="42"/>
        <v>44994.041666666664</v>
      </c>
      <c r="AX160" s="165">
        <f t="shared" si="43"/>
        <v>45006</v>
      </c>
      <c r="AY160" s="137">
        <f t="shared" si="44"/>
        <v>11.958333333335759</v>
      </c>
      <c r="AZ160" s="165">
        <v>44994.041666666664</v>
      </c>
      <c r="BA160" s="165">
        <v>44994.795138888891</v>
      </c>
      <c r="BB160" s="165">
        <v>44996.708333333336</v>
      </c>
      <c r="BC160" s="165">
        <v>44999.994444444441</v>
      </c>
      <c r="BD160" s="165">
        <v>45000.159722222219</v>
      </c>
      <c r="BE160" s="165">
        <v>45000.166666666664</v>
      </c>
      <c r="BF160" s="165">
        <v>45000.291666666664</v>
      </c>
      <c r="BG160" s="165">
        <f t="shared" si="48"/>
        <v>45002</v>
      </c>
      <c r="BH160" s="165">
        <v>45002.583333333336</v>
      </c>
      <c r="BI160" s="165">
        <v>45002.75</v>
      </c>
      <c r="BJ160" s="165">
        <v>45002.611111111109</v>
      </c>
      <c r="BK160" s="165">
        <v>45003.958333333336</v>
      </c>
      <c r="BL160" s="165">
        <v>45005.336805555555</v>
      </c>
      <c r="BM160" s="165">
        <v>45005.586805555555</v>
      </c>
      <c r="BN160" s="165">
        <v>45005.607638888891</v>
      </c>
      <c r="BO160" s="165">
        <v>45005.607638888891</v>
      </c>
      <c r="BP160" s="165">
        <v>45006</v>
      </c>
      <c r="BS160" s="136">
        <f t="shared" si="49"/>
        <v>45.916666666686069</v>
      </c>
      <c r="BT160" s="136">
        <f t="shared" si="50"/>
        <v>3.9666666666744277</v>
      </c>
      <c r="BU160" s="136">
        <f t="shared" si="51"/>
        <v>41.000000000058208</v>
      </c>
      <c r="BV160" s="136">
        <f t="shared" si="45"/>
        <v>29.000000000058208</v>
      </c>
      <c r="BW160" s="135">
        <f t="shared" si="52"/>
        <v>6</v>
      </c>
      <c r="BX160" s="135">
        <f t="shared" si="53"/>
        <v>9.4166666666278616</v>
      </c>
      <c r="BY160" s="134">
        <f t="shared" si="54"/>
        <v>5.6375000000043656</v>
      </c>
      <c r="BZ160" s="134">
        <f t="shared" si="55"/>
        <v>11.958333333335759</v>
      </c>
      <c r="CA160" s="133">
        <f t="shared" si="56"/>
        <v>0.47142857142884087</v>
      </c>
    </row>
    <row r="161" spans="1:81" s="126" customFormat="1">
      <c r="A161" s="192">
        <f t="shared" si="46"/>
        <v>44999.646527777775</v>
      </c>
      <c r="B161" s="126" t="s">
        <v>228</v>
      </c>
      <c r="C161" s="126" t="s">
        <v>229</v>
      </c>
      <c r="D161" s="126" t="s">
        <v>197</v>
      </c>
      <c r="E161" s="65" t="s">
        <v>1030</v>
      </c>
      <c r="G161" s="73">
        <v>45002.25</v>
      </c>
      <c r="H161" s="73">
        <v>45002.208333333336</v>
      </c>
      <c r="I161" s="126" t="s">
        <v>490</v>
      </c>
      <c r="J161" s="126" t="s">
        <v>192</v>
      </c>
      <c r="K161" s="126" t="s">
        <v>192</v>
      </c>
      <c r="L161" s="126" t="s">
        <v>1103</v>
      </c>
      <c r="M161" s="167"/>
      <c r="N161" s="126" t="s">
        <v>334</v>
      </c>
      <c r="O161" s="126" t="s">
        <v>335</v>
      </c>
      <c r="P161" s="126" t="s">
        <v>494</v>
      </c>
      <c r="Q161" s="181">
        <f>3242 *2.4</f>
        <v>7780.7999999999993</v>
      </c>
      <c r="R161" s="181">
        <v>7539.933</v>
      </c>
      <c r="S161" s="181"/>
      <c r="T161" s="181">
        <f t="shared" si="47"/>
        <v>7539.933</v>
      </c>
      <c r="U161" s="172"/>
      <c r="AW161" s="165">
        <f t="shared" si="42"/>
        <v>44993.493055555555</v>
      </c>
      <c r="AX161" s="165">
        <f t="shared" si="43"/>
        <v>45006.541666666664</v>
      </c>
      <c r="AY161" s="137">
        <f t="shared" si="44"/>
        <v>13.048611111109494</v>
      </c>
      <c r="AZ161" s="165">
        <v>44993.493055555555</v>
      </c>
      <c r="BA161" s="165">
        <v>44994.836805555555</v>
      </c>
      <c r="BB161" s="165">
        <v>44996.701388888891</v>
      </c>
      <c r="BC161" s="165">
        <v>44999.646527777775</v>
      </c>
      <c r="BD161" s="165">
        <v>44999.954861111109</v>
      </c>
      <c r="BE161" s="165">
        <v>44999.961805555555</v>
      </c>
      <c r="BF161" s="165">
        <v>45000.291666666664</v>
      </c>
      <c r="BG161" s="165">
        <f t="shared" si="48"/>
        <v>45002</v>
      </c>
      <c r="BH161" s="165">
        <v>45002.583333333336</v>
      </c>
      <c r="BI161" s="165">
        <v>45002.75</v>
      </c>
      <c r="BJ161" s="165">
        <v>45002.746527777781</v>
      </c>
      <c r="BK161" s="165">
        <v>45004.25</v>
      </c>
      <c r="BL161" s="165">
        <v>45005.649305555555</v>
      </c>
      <c r="BM161" s="165">
        <v>45005.8125</v>
      </c>
      <c r="BN161" s="165">
        <v>45005.833333333336</v>
      </c>
      <c r="BO161" s="165">
        <v>45006.15625</v>
      </c>
      <c r="BP161" s="165">
        <v>45006.541666666664</v>
      </c>
      <c r="BS161" s="136">
        <f t="shared" si="49"/>
        <v>44.750000000058208</v>
      </c>
      <c r="BT161" s="136">
        <f t="shared" si="50"/>
        <v>7.4000000000232831</v>
      </c>
      <c r="BU161" s="136">
        <f t="shared" si="51"/>
        <v>41.000000000058208</v>
      </c>
      <c r="BV161" s="136">
        <f t="shared" si="45"/>
        <v>36</v>
      </c>
      <c r="BW161" s="135">
        <f t="shared" si="52"/>
        <v>3.9166666666860692</v>
      </c>
      <c r="BX161" s="135">
        <f t="shared" si="53"/>
        <v>9.2499999999417923</v>
      </c>
      <c r="BY161" s="134">
        <f t="shared" si="54"/>
        <v>5.929861111115315</v>
      </c>
      <c r="BZ161" s="134">
        <f t="shared" si="55"/>
        <v>13.048611111109494</v>
      </c>
      <c r="CA161" s="133">
        <f t="shared" si="56"/>
        <v>0.45444385311373664</v>
      </c>
    </row>
    <row r="162" spans="1:81" s="126" customFormat="1">
      <c r="A162" s="192">
        <f t="shared" si="46"/>
        <v>45000.696527777778</v>
      </c>
      <c r="B162" s="126" t="s">
        <v>228</v>
      </c>
      <c r="C162" s="126" t="s">
        <v>229</v>
      </c>
      <c r="D162" s="126" t="s">
        <v>197</v>
      </c>
      <c r="E162" s="65" t="s">
        <v>1030</v>
      </c>
      <c r="G162" s="73">
        <v>45002.25</v>
      </c>
      <c r="H162" s="73">
        <v>45002.208333333336</v>
      </c>
      <c r="I162" s="126" t="s">
        <v>490</v>
      </c>
      <c r="J162" s="126" t="s">
        <v>192</v>
      </c>
      <c r="K162" s="126" t="s">
        <v>192</v>
      </c>
      <c r="L162" s="126" t="s">
        <v>1104</v>
      </c>
      <c r="M162" s="167"/>
      <c r="N162" s="126" t="s">
        <v>263</v>
      </c>
      <c r="O162" s="126" t="s">
        <v>344</v>
      </c>
      <c r="P162" s="126" t="s">
        <v>494</v>
      </c>
      <c r="Q162" s="181">
        <f>3136*2.4</f>
        <v>7526.4</v>
      </c>
      <c r="R162" s="181">
        <v>7502.5349999999999</v>
      </c>
      <c r="S162" s="181"/>
      <c r="T162" s="181">
        <f t="shared" si="47"/>
        <v>7502.5349999999999</v>
      </c>
      <c r="AW162" s="165">
        <f t="shared" si="42"/>
        <v>44990.416666666664</v>
      </c>
      <c r="AX162" s="165">
        <f t="shared" si="43"/>
        <v>45005.291666666664</v>
      </c>
      <c r="AY162" s="137">
        <f t="shared" si="44"/>
        <v>14.875</v>
      </c>
      <c r="AZ162" s="165">
        <v>44990.416666666664</v>
      </c>
      <c r="BA162" s="165">
        <v>44996.583333333336</v>
      </c>
      <c r="BB162" s="165">
        <v>44998.270833333336</v>
      </c>
      <c r="BC162" s="165">
        <v>45000.696527777778</v>
      </c>
      <c r="BD162" s="165">
        <v>45000.902777777781</v>
      </c>
      <c r="BE162" s="165">
        <v>45000.90625</v>
      </c>
      <c r="BF162" s="165">
        <v>45000.90625</v>
      </c>
      <c r="BG162" s="165">
        <f t="shared" si="48"/>
        <v>45002.614583333336</v>
      </c>
      <c r="BH162" s="165">
        <v>45002.583333333336</v>
      </c>
      <c r="BI162" s="165">
        <v>45002.75</v>
      </c>
      <c r="BJ162" s="165">
        <v>45002.638888888891</v>
      </c>
      <c r="BK162" s="165">
        <v>45003.833333333336</v>
      </c>
      <c r="BL162" s="165">
        <v>45004.784722222219</v>
      </c>
      <c r="BM162" s="165">
        <v>45004.965277777781</v>
      </c>
      <c r="BN162" s="165">
        <v>45004.986111111109</v>
      </c>
      <c r="BO162" s="165">
        <v>45005.090277777781</v>
      </c>
      <c r="BP162" s="165">
        <v>45005.291666666664</v>
      </c>
      <c r="BQ162" s="126" t="s">
        <v>1105</v>
      </c>
      <c r="BS162" s="136">
        <f t="shared" si="49"/>
        <v>40.5</v>
      </c>
      <c r="BT162" s="136">
        <f t="shared" si="50"/>
        <v>4.9500000000698492</v>
      </c>
      <c r="BU162" s="136">
        <f t="shared" si="51"/>
        <v>41.000000000058208</v>
      </c>
      <c r="BV162" s="136">
        <f t="shared" si="45"/>
        <v>26.000000000058208</v>
      </c>
      <c r="BW162" s="135">
        <f t="shared" si="52"/>
        <v>4.3333333334885538</v>
      </c>
      <c r="BX162" s="135">
        <f t="shared" si="53"/>
        <v>4.8333333331975155</v>
      </c>
      <c r="BY162" s="134">
        <f t="shared" si="54"/>
        <v>5.0673611111196806</v>
      </c>
      <c r="BZ162" s="134">
        <f t="shared" si="55"/>
        <v>14.875</v>
      </c>
      <c r="CA162" s="133">
        <f t="shared" si="56"/>
        <v>0.34066293183997853</v>
      </c>
    </row>
    <row r="163" spans="1:81" s="126" customFormat="1">
      <c r="A163" s="192">
        <f t="shared" si="46"/>
        <v>45000.927083333336</v>
      </c>
      <c r="B163" s="126" t="s">
        <v>228</v>
      </c>
      <c r="C163" s="126" t="s">
        <v>229</v>
      </c>
      <c r="D163" s="126" t="s">
        <v>197</v>
      </c>
      <c r="E163" s="65" t="s">
        <v>1030</v>
      </c>
      <c r="G163" s="73">
        <v>45002.25</v>
      </c>
      <c r="H163" s="73">
        <v>45002.208333333336</v>
      </c>
      <c r="I163" s="126" t="s">
        <v>490</v>
      </c>
      <c r="J163" s="126" t="s">
        <v>192</v>
      </c>
      <c r="K163" s="126" t="s">
        <v>192</v>
      </c>
      <c r="L163" s="126" t="s">
        <v>1106</v>
      </c>
      <c r="M163" s="167"/>
      <c r="N163" s="126" t="s">
        <v>473</v>
      </c>
      <c r="O163" s="126" t="s">
        <v>474</v>
      </c>
      <c r="P163" s="126" t="s">
        <v>494</v>
      </c>
      <c r="Q163" s="181">
        <f>3136*2.4</f>
        <v>7526.4</v>
      </c>
      <c r="R163" s="181">
        <v>7444.875</v>
      </c>
      <c r="S163" s="181"/>
      <c r="T163" s="181">
        <f t="shared" si="47"/>
        <v>7444.875</v>
      </c>
      <c r="AW163" s="165">
        <f t="shared" si="42"/>
        <v>44996.083333333336</v>
      </c>
      <c r="AX163" s="165">
        <f t="shared" si="43"/>
        <v>45005.791666666664</v>
      </c>
      <c r="AY163" s="137">
        <f t="shared" si="44"/>
        <v>9.7083333333284827</v>
      </c>
      <c r="AZ163" s="165">
        <v>44996.083333333336</v>
      </c>
      <c r="BA163" s="165">
        <v>44996.826388888891</v>
      </c>
      <c r="BB163" s="165">
        <v>44998.520833333336</v>
      </c>
      <c r="BC163" s="165">
        <v>45000.927083333336</v>
      </c>
      <c r="BD163" s="165">
        <v>45001.097222222219</v>
      </c>
      <c r="BE163" s="165">
        <v>45001.104166666664</v>
      </c>
      <c r="BF163" s="165">
        <v>45001.104166666664</v>
      </c>
      <c r="BG163" s="165">
        <f t="shared" si="48"/>
        <v>45002.8125</v>
      </c>
      <c r="BH163" s="165">
        <v>45002.583333333336</v>
      </c>
      <c r="BI163" s="165">
        <v>45002.75</v>
      </c>
      <c r="BJ163" s="165">
        <v>45002.649305555555</v>
      </c>
      <c r="BK163" s="165">
        <v>45003.892361111109</v>
      </c>
      <c r="BL163" s="165">
        <v>45005.048611111109</v>
      </c>
      <c r="BM163" s="165">
        <v>45005.274305555555</v>
      </c>
      <c r="BN163" s="165">
        <v>45005.295138888891</v>
      </c>
      <c r="BO163" s="165">
        <v>45005.295138888891</v>
      </c>
      <c r="BP163" s="165">
        <v>45005.791666666664</v>
      </c>
      <c r="BS163" s="136">
        <f t="shared" si="49"/>
        <v>40.666666666686069</v>
      </c>
      <c r="BT163" s="136">
        <f t="shared" si="50"/>
        <v>4.0833333331975155</v>
      </c>
      <c r="BU163" s="136">
        <f t="shared" si="51"/>
        <v>41.000000000058208</v>
      </c>
      <c r="BV163" s="136">
        <f t="shared" si="45"/>
        <v>27.416666666627862</v>
      </c>
      <c r="BW163" s="135">
        <f t="shared" si="52"/>
        <v>5.4166666666860692</v>
      </c>
      <c r="BX163" s="135">
        <f t="shared" si="53"/>
        <v>11.916666666569654</v>
      </c>
      <c r="BY163" s="134">
        <f t="shared" si="54"/>
        <v>5.437499999992724</v>
      </c>
      <c r="BZ163" s="134">
        <f t="shared" si="55"/>
        <v>9.7083333333284827</v>
      </c>
      <c r="CA163" s="133">
        <f t="shared" si="56"/>
        <v>0.56008583690940161</v>
      </c>
    </row>
    <row r="164" spans="1:81" s="126" customFormat="1">
      <c r="A164" s="192">
        <f t="shared" si="46"/>
        <v>45001.128472222219</v>
      </c>
      <c r="B164" s="126" t="s">
        <v>228</v>
      </c>
      <c r="C164" s="126" t="s">
        <v>229</v>
      </c>
      <c r="D164" s="126" t="s">
        <v>197</v>
      </c>
      <c r="E164" s="65" t="s">
        <v>1030</v>
      </c>
      <c r="G164" s="73">
        <v>45002.25</v>
      </c>
      <c r="H164" s="73">
        <v>45002.208333333336</v>
      </c>
      <c r="I164" s="126" t="s">
        <v>490</v>
      </c>
      <c r="J164" s="126" t="s">
        <v>192</v>
      </c>
      <c r="K164" s="126" t="s">
        <v>192</v>
      </c>
      <c r="L164" s="126" t="s">
        <v>1107</v>
      </c>
      <c r="M164" s="167"/>
      <c r="N164" s="126" t="s">
        <v>371</v>
      </c>
      <c r="O164" s="126" t="s">
        <v>372</v>
      </c>
      <c r="P164" s="126" t="s">
        <v>494</v>
      </c>
      <c r="Q164" s="181">
        <f>3117*2.4</f>
        <v>7480.7999999999993</v>
      </c>
      <c r="R164" s="181">
        <f>7384.539-5916.828</f>
        <v>1467.7109999999993</v>
      </c>
      <c r="S164" s="181"/>
      <c r="T164" s="181">
        <f t="shared" si="47"/>
        <v>1467.7109999999993</v>
      </c>
      <c r="AW164" s="165">
        <f t="shared" si="42"/>
        <v>44996.463194444441</v>
      </c>
      <c r="AX164" s="165">
        <f t="shared" si="43"/>
        <v>45006.541666666664</v>
      </c>
      <c r="AY164" s="137">
        <f t="shared" si="44"/>
        <v>10.078472222223354</v>
      </c>
      <c r="AZ164" s="165">
        <v>44996.463194444441</v>
      </c>
      <c r="BA164" s="165">
        <v>44996.822222222225</v>
      </c>
      <c r="BB164" s="165">
        <v>44998.5</v>
      </c>
      <c r="BC164" s="165">
        <v>45001.128472222219</v>
      </c>
      <c r="BD164" s="165">
        <v>45001.399305555555</v>
      </c>
      <c r="BE164" s="165">
        <v>45001.402777777781</v>
      </c>
      <c r="BF164" s="165">
        <v>45001.402777777781</v>
      </c>
      <c r="BG164" s="165">
        <f t="shared" si="48"/>
        <v>45003.111111111117</v>
      </c>
      <c r="BH164" s="165">
        <v>45003.583333333336</v>
      </c>
      <c r="BI164" s="165">
        <v>45003.75</v>
      </c>
      <c r="BJ164" s="165">
        <v>45003.611805555556</v>
      </c>
      <c r="BK164" s="165">
        <v>45004.666666666664</v>
      </c>
      <c r="BL164" s="165">
        <v>45006.354166666664</v>
      </c>
      <c r="BM164" s="165">
        <v>45006.444444444445</v>
      </c>
      <c r="BN164" s="165">
        <v>45006.541666666664</v>
      </c>
      <c r="BO164" s="165">
        <v>45006.541666666664</v>
      </c>
      <c r="BP164" s="165">
        <v>45006.541666666664</v>
      </c>
      <c r="BS164" s="136">
        <f t="shared" si="49"/>
        <v>40.266666666604578</v>
      </c>
      <c r="BT164" s="136">
        <f t="shared" si="50"/>
        <v>6.5000000000582077</v>
      </c>
      <c r="BU164" s="136">
        <f t="shared" si="51"/>
        <v>41.000000000058208</v>
      </c>
      <c r="BV164" s="136">
        <f t="shared" si="45"/>
        <v>21.999999999941792</v>
      </c>
      <c r="BW164" s="135">
        <f t="shared" si="52"/>
        <v>2.1666666667442769</v>
      </c>
      <c r="BX164" s="135">
        <f t="shared" si="53"/>
        <v>0</v>
      </c>
      <c r="BY164" s="134">
        <f t="shared" si="54"/>
        <v>4.663888888891961</v>
      </c>
      <c r="BZ164" s="134">
        <f t="shared" si="55"/>
        <v>10.078472222223354</v>
      </c>
      <c r="CA164" s="133">
        <f t="shared" si="56"/>
        <v>0.4627575277340088</v>
      </c>
    </row>
    <row r="165" spans="1:81" s="126" customFormat="1">
      <c r="A165" s="192">
        <f t="shared" si="46"/>
        <v>45001.128472222219</v>
      </c>
      <c r="B165" s="126" t="s">
        <v>228</v>
      </c>
      <c r="C165" s="126" t="s">
        <v>229</v>
      </c>
      <c r="D165" s="126" t="s">
        <v>197</v>
      </c>
      <c r="E165" s="65" t="s">
        <v>1064</v>
      </c>
      <c r="G165" s="73">
        <v>45007.354166666664</v>
      </c>
      <c r="H165" s="73">
        <v>45007.277777777781</v>
      </c>
      <c r="I165" s="126" t="s">
        <v>490</v>
      </c>
      <c r="J165" s="126" t="s">
        <v>192</v>
      </c>
      <c r="K165" s="126" t="s">
        <v>192</v>
      </c>
      <c r="L165" s="126" t="s">
        <v>1107</v>
      </c>
      <c r="M165" s="167"/>
      <c r="N165" s="126" t="s">
        <v>371</v>
      </c>
      <c r="O165" s="126" t="s">
        <v>372</v>
      </c>
      <c r="P165" s="126" t="s">
        <v>494</v>
      </c>
      <c r="Q165" s="181">
        <f>3117*2.4</f>
        <v>7480.7999999999993</v>
      </c>
      <c r="R165" s="181">
        <v>5910.2749999999996</v>
      </c>
      <c r="S165" s="181"/>
      <c r="T165" s="181">
        <f t="shared" si="47"/>
        <v>5910.2749999999996</v>
      </c>
      <c r="AW165" s="165">
        <f t="shared" si="42"/>
        <v>44996.463194444441</v>
      </c>
      <c r="AX165" s="165">
        <f t="shared" si="43"/>
        <v>45013.96875</v>
      </c>
      <c r="AY165" s="137">
        <f t="shared" si="44"/>
        <v>17.505555555559113</v>
      </c>
      <c r="AZ165" s="165">
        <v>44996.463194444441</v>
      </c>
      <c r="BA165" s="165">
        <v>44996.822222222225</v>
      </c>
      <c r="BB165" s="165">
        <v>44998.5</v>
      </c>
      <c r="BC165" s="165">
        <v>45001.128472222219</v>
      </c>
      <c r="BD165" s="165">
        <v>45001.399305555555</v>
      </c>
      <c r="BE165" s="165">
        <v>45001.402777777781</v>
      </c>
      <c r="BF165" s="165">
        <v>45001.402777777781</v>
      </c>
      <c r="BG165" s="165">
        <f t="shared" si="48"/>
        <v>45003.111111111117</v>
      </c>
      <c r="BH165" s="165">
        <v>45003.583333333336</v>
      </c>
      <c r="BI165" s="165">
        <v>45003.75</v>
      </c>
      <c r="BJ165" s="165">
        <v>45003.611805555556</v>
      </c>
      <c r="BK165" s="165">
        <v>45006.541666666664</v>
      </c>
      <c r="BL165" s="165">
        <v>45013.388888888891</v>
      </c>
      <c r="BM165" s="165">
        <v>45013.604166666664</v>
      </c>
      <c r="BN165" s="165">
        <v>45013.635416666664</v>
      </c>
      <c r="BO165" s="165">
        <v>45013.635416666664</v>
      </c>
      <c r="BP165" s="165">
        <v>45013.96875</v>
      </c>
      <c r="BS165" s="136">
        <f t="shared" si="49"/>
        <v>40.266666666604578</v>
      </c>
      <c r="BT165" s="136">
        <f t="shared" si="50"/>
        <v>6.5000000000582077</v>
      </c>
      <c r="BU165" s="136">
        <f t="shared" si="51"/>
        <v>41.000000000058208</v>
      </c>
      <c r="BV165" s="136">
        <f t="shared" si="45"/>
        <v>66.999999999941792</v>
      </c>
      <c r="BW165" s="135">
        <f t="shared" si="52"/>
        <v>5.1666666665696539</v>
      </c>
      <c r="BX165" s="135">
        <f t="shared" si="53"/>
        <v>8.0000000000582077</v>
      </c>
      <c r="BY165" s="134">
        <f t="shared" si="54"/>
        <v>6.9972222222204437</v>
      </c>
      <c r="BZ165" s="134">
        <f t="shared" si="55"/>
        <v>17.505555555559113</v>
      </c>
      <c r="CA165" s="133">
        <f t="shared" si="56"/>
        <v>0.39971437638826529</v>
      </c>
    </row>
    <row r="166" spans="1:81" s="126" customFormat="1">
      <c r="A166" s="192">
        <f t="shared" si="46"/>
        <v>45001.423611111109</v>
      </c>
      <c r="B166" s="126" t="s">
        <v>228</v>
      </c>
      <c r="C166" s="126" t="s">
        <v>229</v>
      </c>
      <c r="D166" s="126" t="s">
        <v>215</v>
      </c>
      <c r="E166" s="65" t="s">
        <v>1030</v>
      </c>
      <c r="G166" s="73">
        <v>45002.25</v>
      </c>
      <c r="H166" s="73">
        <v>45002.208333333336</v>
      </c>
      <c r="I166" s="126" t="s">
        <v>490</v>
      </c>
      <c r="J166" s="126" t="s">
        <v>192</v>
      </c>
      <c r="K166" s="126" t="s">
        <v>192</v>
      </c>
      <c r="L166" s="126" t="s">
        <v>1108</v>
      </c>
      <c r="M166" s="167"/>
      <c r="N166" s="126" t="s">
        <v>274</v>
      </c>
      <c r="O166" s="126" t="s">
        <v>275</v>
      </c>
      <c r="P166" s="126" t="s">
        <v>494</v>
      </c>
      <c r="Q166" s="181">
        <f>3097*2.4</f>
        <v>7432.7999999999993</v>
      </c>
      <c r="R166" s="181">
        <v>7450.7759999999998</v>
      </c>
      <c r="S166" s="181"/>
      <c r="T166" s="181">
        <f t="shared" si="47"/>
        <v>7450.7759999999998</v>
      </c>
      <c r="AW166" s="165">
        <f t="shared" si="42"/>
        <v>44996.407638888886</v>
      </c>
      <c r="AX166" s="165">
        <f t="shared" si="43"/>
        <v>45006.717361111114</v>
      </c>
      <c r="AY166" s="137">
        <f t="shared" si="44"/>
        <v>10.30972222222772</v>
      </c>
      <c r="AZ166" s="165">
        <v>44996.407638888886</v>
      </c>
      <c r="BA166" s="165">
        <v>44997.541666666664</v>
      </c>
      <c r="BB166" s="165">
        <v>44999.284722222219</v>
      </c>
      <c r="BC166" s="165">
        <v>45001.423611111109</v>
      </c>
      <c r="BD166" s="165">
        <v>45001.600694444445</v>
      </c>
      <c r="BE166" s="165">
        <v>45001.604166666664</v>
      </c>
      <c r="BF166" s="165">
        <v>45001.604166666664</v>
      </c>
      <c r="BG166" s="165">
        <f t="shared" si="48"/>
        <v>45003.3125</v>
      </c>
      <c r="BH166" s="165">
        <v>45003.583333333336</v>
      </c>
      <c r="BI166" s="165">
        <v>45003.75</v>
      </c>
      <c r="BJ166" s="165">
        <v>45003.586805555555</v>
      </c>
      <c r="BK166" s="165">
        <v>45004.708333333336</v>
      </c>
      <c r="BL166" s="165">
        <v>45005.875</v>
      </c>
      <c r="BM166" s="165">
        <v>45006.291666666664</v>
      </c>
      <c r="BN166" s="165">
        <v>45006.3125</v>
      </c>
      <c r="BO166" s="165">
        <v>45006.3125</v>
      </c>
      <c r="BP166" s="165">
        <v>45006.717361111114</v>
      </c>
      <c r="BS166" s="136">
        <f t="shared" si="49"/>
        <v>41.833333333313931</v>
      </c>
      <c r="BT166" s="136">
        <f t="shared" si="50"/>
        <v>4.2500000000582077</v>
      </c>
      <c r="BU166" s="136">
        <f t="shared" si="51"/>
        <v>41.000000000058208</v>
      </c>
      <c r="BV166" s="136">
        <f t="shared" si="45"/>
        <v>23.000000000058208</v>
      </c>
      <c r="BW166" s="135">
        <f t="shared" si="52"/>
        <v>9.9999999999417923</v>
      </c>
      <c r="BX166" s="135">
        <f t="shared" si="53"/>
        <v>9.7166666667326353</v>
      </c>
      <c r="BY166" s="134">
        <f t="shared" si="54"/>
        <v>5.4083333333401242</v>
      </c>
      <c r="BZ166" s="134">
        <f t="shared" si="55"/>
        <v>10.30972222222772</v>
      </c>
      <c r="CA166" s="133">
        <f t="shared" si="56"/>
        <v>0.52458574700293858</v>
      </c>
    </row>
    <row r="167" spans="1:81" s="126" customFormat="1">
      <c r="A167" s="192">
        <f t="shared" si="46"/>
        <v>45011.053472222222</v>
      </c>
      <c r="B167" s="126" t="s">
        <v>228</v>
      </c>
      <c r="C167" s="126" t="s">
        <v>229</v>
      </c>
      <c r="D167" s="126" t="s">
        <v>215</v>
      </c>
      <c r="E167" s="65" t="s">
        <v>1064</v>
      </c>
      <c r="G167" s="73">
        <v>45007.354166666664</v>
      </c>
      <c r="H167" s="73">
        <v>45007.277777777781</v>
      </c>
      <c r="I167" s="126" t="s">
        <v>490</v>
      </c>
      <c r="J167" s="126" t="s">
        <v>192</v>
      </c>
      <c r="K167" s="126" t="s">
        <v>192</v>
      </c>
      <c r="L167" s="126" t="s">
        <v>1109</v>
      </c>
      <c r="M167" s="167"/>
      <c r="N167" s="126" t="s">
        <v>399</v>
      </c>
      <c r="O167" s="126" t="s">
        <v>1093</v>
      </c>
      <c r="P167" s="126" t="s">
        <v>1110</v>
      </c>
      <c r="Q167" s="181">
        <f>3136*2.4</f>
        <v>7526.4</v>
      </c>
      <c r="R167" s="181">
        <v>7608.9989999999998</v>
      </c>
      <c r="S167" s="181"/>
      <c r="T167" s="181">
        <f>Q167*0.3</f>
        <v>2257.9199999999996</v>
      </c>
      <c r="U167" s="181">
        <f>R167*0.7</f>
        <v>5326.2992999999997</v>
      </c>
      <c r="AW167" s="165">
        <f t="shared" si="42"/>
        <v>45006.395833333336</v>
      </c>
      <c r="AX167" s="165">
        <f t="shared" si="43"/>
        <v>45015.75</v>
      </c>
      <c r="AY167" s="137">
        <f t="shared" si="44"/>
        <v>9.3541666666642413</v>
      </c>
      <c r="AZ167" s="165">
        <v>45006.395833333336</v>
      </c>
      <c r="BA167" s="165">
        <v>45006.791666666664</v>
      </c>
      <c r="BB167" s="165">
        <v>45008.604166666664</v>
      </c>
      <c r="BC167" s="165">
        <v>45011.053472222222</v>
      </c>
      <c r="BD167" s="165">
        <v>45011.208333333336</v>
      </c>
      <c r="BE167" s="165">
        <v>45011.21875</v>
      </c>
      <c r="BF167" s="165">
        <v>45011.21875</v>
      </c>
      <c r="BG167" s="165">
        <f t="shared" si="48"/>
        <v>45012.927083333336</v>
      </c>
      <c r="BH167" s="165">
        <v>45013.291666608799</v>
      </c>
      <c r="BI167" s="165">
        <v>45013.458333275463</v>
      </c>
      <c r="BJ167" s="165">
        <v>45013.440972222219</v>
      </c>
      <c r="BK167" s="165">
        <v>45014.697916666664</v>
      </c>
      <c r="BL167" s="165">
        <v>45015.111111111109</v>
      </c>
      <c r="BM167" s="165">
        <v>45015.319444444445</v>
      </c>
      <c r="BN167" s="165">
        <v>45015.333333333336</v>
      </c>
      <c r="BO167" s="165">
        <v>45015.333333333336</v>
      </c>
      <c r="BP167" s="165">
        <v>45015.75</v>
      </c>
      <c r="BS167" s="136">
        <f t="shared" si="49"/>
        <v>43.5</v>
      </c>
      <c r="BT167" s="136">
        <f t="shared" si="50"/>
        <v>3.7166666667326353</v>
      </c>
      <c r="BU167" s="136">
        <f t="shared" si="51"/>
        <v>41.000000000058208</v>
      </c>
      <c r="BV167" s="136">
        <f t="shared" si="45"/>
        <v>29.750001388834789</v>
      </c>
      <c r="BW167" s="135">
        <f t="shared" si="52"/>
        <v>5.0000000000582077</v>
      </c>
      <c r="BX167" s="135">
        <f t="shared" si="53"/>
        <v>9.9999999999417923</v>
      </c>
      <c r="BY167" s="134">
        <f t="shared" si="54"/>
        <v>5.540277835651068</v>
      </c>
      <c r="BZ167" s="134">
        <f t="shared" si="55"/>
        <v>9.3541666666642413</v>
      </c>
      <c r="CA167" s="133">
        <f t="shared" si="56"/>
        <v>0.59227914501407619</v>
      </c>
    </row>
    <row r="168" spans="1:81" s="126" customFormat="1">
      <c r="A168" s="192">
        <f t="shared" si="46"/>
        <v>45001.590277777781</v>
      </c>
      <c r="B168" s="126" t="s">
        <v>228</v>
      </c>
      <c r="C168" s="126" t="s">
        <v>229</v>
      </c>
      <c r="D168" s="126" t="s">
        <v>197</v>
      </c>
      <c r="E168" s="65" t="s">
        <v>1064</v>
      </c>
      <c r="G168" s="73">
        <v>45007.354166666664</v>
      </c>
      <c r="H168" s="73">
        <v>45007.277777777781</v>
      </c>
      <c r="I168" s="126" t="s">
        <v>490</v>
      </c>
      <c r="J168" s="126" t="s">
        <v>192</v>
      </c>
      <c r="K168" s="126" t="s">
        <v>192</v>
      </c>
      <c r="L168" s="126" t="s">
        <v>1111</v>
      </c>
      <c r="M168" s="167"/>
      <c r="N168" s="126" t="s">
        <v>257</v>
      </c>
      <c r="O168" s="126" t="s">
        <v>258</v>
      </c>
      <c r="P168" s="126" t="s">
        <v>835</v>
      </c>
      <c r="Q168" s="181">
        <f>3139*2.4</f>
        <v>7533.5999999999995</v>
      </c>
      <c r="R168" s="181">
        <v>7633.32</v>
      </c>
      <c r="S168" s="181"/>
      <c r="U168" s="181">
        <f>R168</f>
        <v>7633.32</v>
      </c>
      <c r="AW168" s="165">
        <f t="shared" si="42"/>
        <v>45004.75</v>
      </c>
      <c r="AX168" s="165">
        <f t="shared" si="43"/>
        <v>45014.489583333336</v>
      </c>
      <c r="AY168" s="137">
        <f t="shared" si="44"/>
        <v>9.7395833333357587</v>
      </c>
      <c r="AZ168" s="165">
        <v>45004.75</v>
      </c>
      <c r="BA168" s="165">
        <v>45005.565972222219</v>
      </c>
      <c r="BB168" s="165">
        <v>45007.4375</v>
      </c>
      <c r="BC168" s="165">
        <v>45001.590277777781</v>
      </c>
      <c r="BD168" s="165">
        <v>45001.743055555555</v>
      </c>
      <c r="BE168" s="165">
        <v>45001.746527777781</v>
      </c>
      <c r="BF168" s="165">
        <v>45001.746527777781</v>
      </c>
      <c r="BG168" s="165">
        <f t="shared" si="48"/>
        <v>45003.454861111117</v>
      </c>
      <c r="BH168" s="165">
        <v>45011.25</v>
      </c>
      <c r="BI168" s="165">
        <v>45011.416666666664</v>
      </c>
      <c r="BJ168" s="165">
        <v>45011.288194444445</v>
      </c>
      <c r="BK168" s="165">
        <v>45012.291666666664</v>
      </c>
      <c r="BL168" s="165">
        <v>45013.388888888891</v>
      </c>
      <c r="BM168" s="165">
        <v>45013.881944444445</v>
      </c>
      <c r="BN168" s="165">
        <v>45013.895833333336</v>
      </c>
      <c r="BO168" s="165">
        <v>45014.263888888891</v>
      </c>
      <c r="BP168" s="165">
        <v>45014.489583333336</v>
      </c>
      <c r="BS168" s="136">
        <f t="shared" si="49"/>
        <v>44.916666666744277</v>
      </c>
      <c r="BT168" s="136">
        <f t="shared" si="50"/>
        <v>3.6666666665696539</v>
      </c>
      <c r="BU168" s="136">
        <f t="shared" si="51"/>
        <v>41.000000000058208</v>
      </c>
      <c r="BV168" s="136">
        <f t="shared" si="45"/>
        <v>21</v>
      </c>
      <c r="BW168" s="135">
        <f t="shared" si="52"/>
        <v>11.833333333313931</v>
      </c>
      <c r="BX168" s="135">
        <f t="shared" si="53"/>
        <v>5.4166666666860692</v>
      </c>
      <c r="BY168" s="134">
        <f t="shared" si="54"/>
        <v>5.3263888888905058</v>
      </c>
      <c r="BZ168" s="134">
        <f t="shared" si="55"/>
        <v>9.7395833333357587</v>
      </c>
      <c r="CA168" s="133">
        <f t="shared" si="56"/>
        <v>0.54688057041001203</v>
      </c>
    </row>
    <row r="169" spans="1:81" s="126" customFormat="1">
      <c r="A169" s="192">
        <f t="shared" si="46"/>
        <v>45011.236111111109</v>
      </c>
      <c r="B169" s="126" t="s">
        <v>228</v>
      </c>
      <c r="C169" s="126" t="s">
        <v>229</v>
      </c>
      <c r="D169" s="126" t="s">
        <v>215</v>
      </c>
      <c r="E169" s="65" t="s">
        <v>1064</v>
      </c>
      <c r="G169" s="73">
        <v>45007.354166666664</v>
      </c>
      <c r="H169" s="73">
        <v>45007.277777777781</v>
      </c>
      <c r="I169" s="126" t="s">
        <v>490</v>
      </c>
      <c r="J169" s="126" t="s">
        <v>192</v>
      </c>
      <c r="K169" s="126" t="s">
        <v>192</v>
      </c>
      <c r="L169" s="126" t="s">
        <v>1112</v>
      </c>
      <c r="M169" s="167"/>
      <c r="N169" s="126" t="s">
        <v>774</v>
      </c>
      <c r="O169" s="126" t="s">
        <v>423</v>
      </c>
      <c r="P169" s="126" t="s">
        <v>1110</v>
      </c>
      <c r="Q169" s="181">
        <f>3156*2.4</f>
        <v>7574.4</v>
      </c>
      <c r="R169" s="181">
        <f>7541.812-3023.26100000001</f>
        <v>4518.5509999999904</v>
      </c>
      <c r="S169" s="181"/>
      <c r="T169" s="181">
        <f>Q169*0.3</f>
        <v>2272.3199999999997</v>
      </c>
      <c r="U169" s="181">
        <f>R169*0.7</f>
        <v>3162.9856999999929</v>
      </c>
      <c r="AW169" s="165">
        <f t="shared" si="42"/>
        <v>45006.048611111109</v>
      </c>
      <c r="AX169" s="165">
        <f t="shared" si="43"/>
        <v>45016.940972222219</v>
      </c>
      <c r="AY169" s="137">
        <f t="shared" si="44"/>
        <v>10.892361111109494</v>
      </c>
      <c r="AZ169" s="165">
        <v>45006.048611111109</v>
      </c>
      <c r="BA169" s="165">
        <v>45006.8125</v>
      </c>
      <c r="BB169" s="165">
        <v>45008.65625</v>
      </c>
      <c r="BC169" s="165">
        <v>45011.236111111109</v>
      </c>
      <c r="BD169" s="165">
        <v>45011.472222222219</v>
      </c>
      <c r="BE169" s="165">
        <v>45011.475694444445</v>
      </c>
      <c r="BF169" s="165">
        <v>45011.475694444445</v>
      </c>
      <c r="BG169" s="165">
        <f t="shared" si="48"/>
        <v>45013.184027777781</v>
      </c>
      <c r="BH169" s="165">
        <v>45013.291666608799</v>
      </c>
      <c r="BI169" s="165">
        <v>45013.458333275463</v>
      </c>
      <c r="BJ169" s="165">
        <v>45013.420138888891</v>
      </c>
      <c r="BK169" s="165">
        <v>45014.666666666664</v>
      </c>
      <c r="BL169" s="165">
        <v>45015.354166666664</v>
      </c>
      <c r="BM169" s="165">
        <v>45015.65625</v>
      </c>
      <c r="BN169" s="165">
        <v>45015.694444444445</v>
      </c>
      <c r="BO169" s="165">
        <v>45016.940972222219</v>
      </c>
      <c r="BP169" s="165">
        <v>45016.940972222219</v>
      </c>
      <c r="BQ169" s="121"/>
      <c r="BR169" s="121"/>
      <c r="BS169" s="136">
        <f t="shared" si="49"/>
        <v>44.25</v>
      </c>
      <c r="BT169" s="136">
        <f t="shared" si="50"/>
        <v>5.6666666666278616</v>
      </c>
      <c r="BU169" s="136">
        <f t="shared" si="51"/>
        <v>41.000000000058208</v>
      </c>
      <c r="BV169" s="136">
        <f t="shared" si="45"/>
        <v>29.000001388834789</v>
      </c>
      <c r="BW169" s="135">
        <f t="shared" si="52"/>
        <v>7.2500000000582077</v>
      </c>
      <c r="BX169" s="135">
        <f t="shared" si="53"/>
        <v>0</v>
      </c>
      <c r="BY169" s="134">
        <f t="shared" si="54"/>
        <v>5.2986111689824611</v>
      </c>
      <c r="BZ169" s="134">
        <f t="shared" si="55"/>
        <v>10.892361111109494</v>
      </c>
      <c r="CA169" s="133">
        <f t="shared" si="56"/>
        <v>0.48645202954006228</v>
      </c>
      <c r="CB169" s="128"/>
      <c r="CC169" s="115"/>
    </row>
    <row r="170" spans="1:81" s="126" customFormat="1">
      <c r="A170" s="192">
        <f t="shared" si="46"/>
        <v>45011.236111111109</v>
      </c>
      <c r="B170" s="126" t="s">
        <v>228</v>
      </c>
      <c r="C170" s="126" t="s">
        <v>229</v>
      </c>
      <c r="D170" s="126" t="s">
        <v>215</v>
      </c>
      <c r="E170" s="65" t="s">
        <v>1023</v>
      </c>
      <c r="G170" s="73">
        <v>45019.583333333336</v>
      </c>
      <c r="H170" s="73">
        <v>45019.604166666664</v>
      </c>
      <c r="I170" s="126" t="s">
        <v>497</v>
      </c>
      <c r="J170" s="126" t="s">
        <v>192</v>
      </c>
      <c r="K170" s="126" t="s">
        <v>192</v>
      </c>
      <c r="L170" s="126" t="s">
        <v>1112</v>
      </c>
      <c r="M170" s="167"/>
      <c r="N170" s="126" t="s">
        <v>774</v>
      </c>
      <c r="O170" s="126" t="s">
        <v>423</v>
      </c>
      <c r="P170" s="126" t="s">
        <v>1110</v>
      </c>
      <c r="Q170" s="181">
        <f>3156*2.4</f>
        <v>7574.4</v>
      </c>
      <c r="R170" s="181">
        <v>3083.761</v>
      </c>
      <c r="S170" s="181"/>
      <c r="T170" s="181">
        <f>Q170*0.3</f>
        <v>2272.3199999999997</v>
      </c>
      <c r="U170" s="181">
        <f>R170*0.7</f>
        <v>2158.6326999999997</v>
      </c>
      <c r="AW170" s="165">
        <f t="shared" si="42"/>
        <v>45006.048611111109</v>
      </c>
      <c r="AX170" s="165">
        <f t="shared" si="43"/>
        <v>45019.555555555555</v>
      </c>
      <c r="AY170" s="137">
        <f t="shared" si="44"/>
        <v>13.506944444445253</v>
      </c>
      <c r="AZ170" s="165">
        <v>45006.048611111109</v>
      </c>
      <c r="BA170" s="165">
        <v>45006.8125</v>
      </c>
      <c r="BB170" s="165">
        <v>45008.65625</v>
      </c>
      <c r="BC170" s="165">
        <v>45011.236111111109</v>
      </c>
      <c r="BD170" s="165">
        <v>45011.472222222219</v>
      </c>
      <c r="BE170" s="165">
        <v>45011.475694444445</v>
      </c>
      <c r="BF170" s="165">
        <v>45011.475694444445</v>
      </c>
      <c r="BG170" s="165">
        <f t="shared" si="48"/>
        <v>45013.184027777781</v>
      </c>
      <c r="BH170" s="165">
        <v>45013.291666608799</v>
      </c>
      <c r="BI170" s="165">
        <v>45013.458333275463</v>
      </c>
      <c r="BJ170" s="165">
        <v>45013.420138888891</v>
      </c>
      <c r="BK170" s="165">
        <v>45017.1875</v>
      </c>
      <c r="BL170" s="165">
        <v>45018.215277777781</v>
      </c>
      <c r="BM170" s="165">
        <v>45018.364583333336</v>
      </c>
      <c r="BN170" s="165">
        <v>45018.451388888891</v>
      </c>
      <c r="BO170" s="165">
        <v>45018.847222222219</v>
      </c>
      <c r="BP170" s="165">
        <v>45019.555555555555</v>
      </c>
      <c r="BS170" s="136">
        <f t="shared" si="49"/>
        <v>44.25</v>
      </c>
      <c r="BT170" s="136">
        <f t="shared" si="50"/>
        <v>5.6666666666278616</v>
      </c>
      <c r="BU170" s="136">
        <f t="shared" si="51"/>
        <v>41.000000000058208</v>
      </c>
      <c r="BV170" s="136">
        <f t="shared" si="45"/>
        <v>89.500001388892997</v>
      </c>
      <c r="BW170" s="135">
        <f t="shared" si="52"/>
        <v>3.5833333333139308</v>
      </c>
      <c r="BX170" s="135">
        <f t="shared" si="53"/>
        <v>17.000000000058208</v>
      </c>
      <c r="BY170" s="134">
        <f t="shared" si="54"/>
        <v>8.3750000578729669</v>
      </c>
      <c r="BZ170" s="134">
        <f t="shared" si="55"/>
        <v>13.506944444445253</v>
      </c>
      <c r="CA170" s="133">
        <f t="shared" si="56"/>
        <v>0.62005141816639331</v>
      </c>
    </row>
    <row r="171" spans="1:81" s="126" customFormat="1">
      <c r="A171" s="192">
        <f t="shared" si="46"/>
        <v>45010.871527777781</v>
      </c>
      <c r="B171" s="126" t="s">
        <v>228</v>
      </c>
      <c r="C171" s="126" t="s">
        <v>229</v>
      </c>
      <c r="D171" s="126" t="s">
        <v>197</v>
      </c>
      <c r="E171" s="65" t="s">
        <v>1064</v>
      </c>
      <c r="G171" s="73">
        <v>45007.354166666664</v>
      </c>
      <c r="H171" s="73">
        <v>45007.277777777781</v>
      </c>
      <c r="I171" s="126" t="s">
        <v>490</v>
      </c>
      <c r="J171" s="126" t="s">
        <v>192</v>
      </c>
      <c r="K171" s="126" t="s">
        <v>192</v>
      </c>
      <c r="L171" s="126" t="s">
        <v>1113</v>
      </c>
      <c r="M171" s="167"/>
      <c r="N171" s="126" t="s">
        <v>377</v>
      </c>
      <c r="O171" s="126" t="s">
        <v>378</v>
      </c>
      <c r="P171" s="126" t="s">
        <v>1110</v>
      </c>
      <c r="Q171" s="181">
        <f>3271*2.4</f>
        <v>7850.4</v>
      </c>
      <c r="R171" s="181">
        <v>7854.7659999999996</v>
      </c>
      <c r="S171" s="181"/>
      <c r="T171" s="181">
        <f>Q171*0.3</f>
        <v>2355.12</v>
      </c>
      <c r="U171" s="181">
        <f>R171*0.7</f>
        <v>5498.3361999999997</v>
      </c>
      <c r="AW171" s="165">
        <f t="shared" si="42"/>
        <v>45005.138888888891</v>
      </c>
      <c r="AX171" s="165">
        <f t="shared" si="43"/>
        <v>45015.423611111109</v>
      </c>
      <c r="AY171" s="137">
        <f t="shared" si="44"/>
        <v>10.284722222218988</v>
      </c>
      <c r="AZ171" s="165">
        <v>45005.138888888891</v>
      </c>
      <c r="BA171" s="165">
        <v>45006.565972222219</v>
      </c>
      <c r="BB171" s="165">
        <v>45008.354166666664</v>
      </c>
      <c r="BC171" s="165">
        <v>45010.871527777781</v>
      </c>
      <c r="BD171" s="165">
        <v>45011.020833333336</v>
      </c>
      <c r="BE171" s="165">
        <v>45011.032638888886</v>
      </c>
      <c r="BF171" s="165">
        <v>45011.032638888886</v>
      </c>
      <c r="BG171" s="165">
        <f t="shared" si="48"/>
        <v>45012.740972222222</v>
      </c>
      <c r="BH171" s="165">
        <v>45012.25</v>
      </c>
      <c r="BI171" s="165">
        <v>45012.416666666664</v>
      </c>
      <c r="BJ171" s="165">
        <v>45012.40625</v>
      </c>
      <c r="BK171" s="165">
        <v>45013.604166666664</v>
      </c>
      <c r="BL171" s="165">
        <v>45014.645833333336</v>
      </c>
      <c r="BM171" s="165">
        <v>45015.069444444445</v>
      </c>
      <c r="BN171" s="165">
        <v>45015.09375</v>
      </c>
      <c r="BO171" s="165">
        <v>45015.09375</v>
      </c>
      <c r="BP171" s="165">
        <v>45015.423611111109</v>
      </c>
      <c r="BS171" s="136">
        <f t="shared" si="49"/>
        <v>42.916666666686069</v>
      </c>
      <c r="BT171" s="136">
        <f t="shared" si="50"/>
        <v>3.5833333333139308</v>
      </c>
      <c r="BU171" s="136">
        <f t="shared" si="51"/>
        <v>41.000000000058208</v>
      </c>
      <c r="BV171" s="136">
        <f t="shared" si="45"/>
        <v>28.5</v>
      </c>
      <c r="BW171" s="135">
        <f t="shared" si="52"/>
        <v>10.166666666627862</v>
      </c>
      <c r="BX171" s="135">
        <f t="shared" si="53"/>
        <v>7.9166666666278616</v>
      </c>
      <c r="BY171" s="134">
        <f t="shared" si="54"/>
        <v>5.5868055555547471</v>
      </c>
      <c r="BZ171" s="134">
        <f t="shared" si="55"/>
        <v>10.284722222218988</v>
      </c>
      <c r="CA171" s="133">
        <f t="shared" si="56"/>
        <v>0.54321404456457567</v>
      </c>
    </row>
    <row r="172" spans="1:81" s="126" customFormat="1">
      <c r="A172" s="192">
        <f t="shared" si="46"/>
        <v>45010.072916666664</v>
      </c>
      <c r="B172" s="126" t="s">
        <v>228</v>
      </c>
      <c r="C172" s="126" t="s">
        <v>229</v>
      </c>
      <c r="D172" s="126" t="s">
        <v>197</v>
      </c>
      <c r="E172" s="65" t="s">
        <v>1064</v>
      </c>
      <c r="G172" s="73">
        <v>45007.354166666664</v>
      </c>
      <c r="H172" s="73">
        <v>45007.277777777781</v>
      </c>
      <c r="I172" s="126" t="s">
        <v>490</v>
      </c>
      <c r="J172" s="126" t="s">
        <v>192</v>
      </c>
      <c r="K172" s="126" t="s">
        <v>192</v>
      </c>
      <c r="L172" s="126" t="s">
        <v>1114</v>
      </c>
      <c r="M172" s="167"/>
      <c r="N172" s="126" t="s">
        <v>263</v>
      </c>
      <c r="O172" s="126" t="s">
        <v>344</v>
      </c>
      <c r="P172" s="126" t="s">
        <v>835</v>
      </c>
      <c r="Q172" s="181">
        <f>3136*2.4</f>
        <v>7526.4</v>
      </c>
      <c r="R172" s="181">
        <v>7452.8450000000003</v>
      </c>
      <c r="S172" s="181"/>
      <c r="U172" s="181">
        <f>R172</f>
        <v>7452.8450000000003</v>
      </c>
      <c r="AW172" s="165">
        <f t="shared" si="42"/>
        <v>45005.291666666664</v>
      </c>
      <c r="AX172" s="165">
        <f t="shared" si="43"/>
        <v>45014.458333333336</v>
      </c>
      <c r="AY172" s="137">
        <f t="shared" si="44"/>
        <v>9.1666666666715173</v>
      </c>
      <c r="AZ172" s="165">
        <v>45005.291666666664</v>
      </c>
      <c r="BA172" s="165">
        <v>45005.826388888891</v>
      </c>
      <c r="BB172" s="165">
        <v>45007.569444444445</v>
      </c>
      <c r="BC172" s="165">
        <v>45010.072916666664</v>
      </c>
      <c r="BD172" s="165">
        <v>45010.425694444442</v>
      </c>
      <c r="BE172" s="165">
        <v>45010.430555555555</v>
      </c>
      <c r="BF172" s="165">
        <v>45010.430555555555</v>
      </c>
      <c r="BG172" s="165">
        <f t="shared" si="48"/>
        <v>45012.138888888891</v>
      </c>
      <c r="BH172" s="165">
        <v>45012.25</v>
      </c>
      <c r="BI172" s="165">
        <v>45012.416666666664</v>
      </c>
      <c r="BJ172" s="165">
        <v>45012.302083333336</v>
      </c>
      <c r="BK172" s="165">
        <v>45013.458333333336</v>
      </c>
      <c r="BL172" s="165">
        <v>45013.951388888891</v>
      </c>
      <c r="BM172" s="165">
        <v>45014.159722222219</v>
      </c>
      <c r="BN172" s="165">
        <v>45014.1875</v>
      </c>
      <c r="BO172" s="165">
        <v>45014.1875</v>
      </c>
      <c r="BP172" s="165">
        <v>45014.458333333336</v>
      </c>
      <c r="BS172" s="136">
        <f t="shared" si="49"/>
        <v>41.833333333313931</v>
      </c>
      <c r="BT172" s="136">
        <f t="shared" si="50"/>
        <v>8.4666666666744277</v>
      </c>
      <c r="BU172" s="136">
        <f t="shared" si="51"/>
        <v>41.000000000058208</v>
      </c>
      <c r="BV172" s="136">
        <f t="shared" si="45"/>
        <v>25.000000000116415</v>
      </c>
      <c r="BW172" s="135">
        <f t="shared" si="52"/>
        <v>4.9999999998835847</v>
      </c>
      <c r="BX172" s="135">
        <f t="shared" si="53"/>
        <v>6.5000000000582077</v>
      </c>
      <c r="BY172" s="134">
        <f t="shared" si="54"/>
        <v>5.3250000000043656</v>
      </c>
      <c r="BZ172" s="134">
        <f t="shared" si="55"/>
        <v>9.1666666666715173</v>
      </c>
      <c r="CA172" s="133">
        <f t="shared" si="56"/>
        <v>0.5809090909092598</v>
      </c>
    </row>
    <row r="173" spans="1:81" s="126" customFormat="1">
      <c r="A173" s="192">
        <f t="shared" si="46"/>
        <v>45010.449305555558</v>
      </c>
      <c r="B173" s="126" t="s">
        <v>228</v>
      </c>
      <c r="C173" s="126" t="s">
        <v>229</v>
      </c>
      <c r="D173" s="126" t="s">
        <v>215</v>
      </c>
      <c r="E173" s="65" t="s">
        <v>1064</v>
      </c>
      <c r="G173" s="73">
        <v>45007.354166666664</v>
      </c>
      <c r="H173" s="73">
        <v>45007.277777777781</v>
      </c>
      <c r="I173" s="126" t="s">
        <v>490</v>
      </c>
      <c r="J173" s="126" t="s">
        <v>192</v>
      </c>
      <c r="K173" s="126" t="s">
        <v>192</v>
      </c>
      <c r="L173" s="126" t="s">
        <v>1115</v>
      </c>
      <c r="M173" s="167"/>
      <c r="N173" s="126" t="s">
        <v>403</v>
      </c>
      <c r="O173" s="126" t="s">
        <v>404</v>
      </c>
      <c r="P173" s="126" t="s">
        <v>835</v>
      </c>
      <c r="Q173" s="181">
        <f>3107*2.4</f>
        <v>7456.7999999999993</v>
      </c>
      <c r="R173" s="181">
        <v>7508.5039999999999</v>
      </c>
      <c r="S173" s="181"/>
      <c r="U173" s="181">
        <f>R173</f>
        <v>7508.5039999999999</v>
      </c>
      <c r="AW173" s="165">
        <f t="shared" si="42"/>
        <v>45005.340277777781</v>
      </c>
      <c r="AX173" s="165">
        <f t="shared" si="43"/>
        <v>45014.930555555555</v>
      </c>
      <c r="AY173" s="137">
        <f t="shared" si="44"/>
        <v>9.5902777777737356</v>
      </c>
      <c r="AZ173" s="165">
        <v>45005.340277777781</v>
      </c>
      <c r="BA173" s="165">
        <v>45005.848611111112</v>
      </c>
      <c r="BB173" s="165">
        <v>45007.604166666664</v>
      </c>
      <c r="BC173" s="165">
        <v>45010.449305555558</v>
      </c>
      <c r="BD173" s="165">
        <v>45010.597222222219</v>
      </c>
      <c r="BE173" s="165">
        <v>45010.604166666664</v>
      </c>
      <c r="BF173" s="165">
        <v>45010.604166666664</v>
      </c>
      <c r="BG173" s="165">
        <f t="shared" si="48"/>
        <v>45012.3125</v>
      </c>
      <c r="BH173" s="165">
        <v>45012.25</v>
      </c>
      <c r="BI173" s="165">
        <v>45012.416666666664</v>
      </c>
      <c r="BJ173" s="165">
        <v>45012.277777777781</v>
      </c>
      <c r="BK173" s="165">
        <v>45013.4375</v>
      </c>
      <c r="BL173" s="165">
        <v>45014.215277777781</v>
      </c>
      <c r="BM173" s="165">
        <v>45014.53125</v>
      </c>
      <c r="BN173" s="165">
        <v>45014.559027777781</v>
      </c>
      <c r="BO173" s="165">
        <v>45014.559027777781</v>
      </c>
      <c r="BP173" s="165">
        <v>45014.930555555555</v>
      </c>
      <c r="BS173" s="136">
        <f t="shared" si="49"/>
        <v>42.133333333244082</v>
      </c>
      <c r="BT173" s="136">
        <f t="shared" si="50"/>
        <v>3.5499999998719431</v>
      </c>
      <c r="BU173" s="136">
        <f t="shared" si="51"/>
        <v>41.000000000058208</v>
      </c>
      <c r="BV173" s="136">
        <f t="shared" si="45"/>
        <v>24.500000000058208</v>
      </c>
      <c r="BW173" s="135">
        <f t="shared" si="52"/>
        <v>7.5833333332557231</v>
      </c>
      <c r="BX173" s="135">
        <f t="shared" si="53"/>
        <v>8.9166666665696539</v>
      </c>
      <c r="BY173" s="134">
        <f t="shared" si="54"/>
        <v>5.320138888877409</v>
      </c>
      <c r="BZ173" s="134">
        <f t="shared" si="55"/>
        <v>9.5902777777737356</v>
      </c>
      <c r="CA173" s="133">
        <f t="shared" si="56"/>
        <v>0.55474293989766099</v>
      </c>
    </row>
    <row r="174" spans="1:81" s="126" customFormat="1">
      <c r="A174" s="192">
        <f t="shared" si="46"/>
        <v>45010.621527777781</v>
      </c>
      <c r="B174" s="126" t="s">
        <v>228</v>
      </c>
      <c r="C174" s="126" t="s">
        <v>229</v>
      </c>
      <c r="D174" s="126" t="s">
        <v>197</v>
      </c>
      <c r="E174" s="65" t="s">
        <v>1064</v>
      </c>
      <c r="G174" s="73">
        <v>45007.354166666664</v>
      </c>
      <c r="H174" s="73">
        <v>45007.277777777781</v>
      </c>
      <c r="I174" s="126" t="s">
        <v>490</v>
      </c>
      <c r="J174" s="126" t="s">
        <v>192</v>
      </c>
      <c r="K174" s="126" t="s">
        <v>192</v>
      </c>
      <c r="L174" s="126" t="s">
        <v>1116</v>
      </c>
      <c r="M174" s="167"/>
      <c r="N174" s="126" t="s">
        <v>288</v>
      </c>
      <c r="O174" s="126" t="s">
        <v>289</v>
      </c>
      <c r="P174" s="126" t="s">
        <v>835</v>
      </c>
      <c r="Q174" s="181">
        <f>3107*2.4</f>
        <v>7456.7999999999993</v>
      </c>
      <c r="R174" s="181">
        <v>7508.99</v>
      </c>
      <c r="S174" s="181"/>
      <c r="U174" s="181">
        <f>R174</f>
        <v>7508.99</v>
      </c>
      <c r="AW174" s="165">
        <f t="shared" si="42"/>
        <v>45005.427083333336</v>
      </c>
      <c r="AX174" s="165">
        <f t="shared" si="43"/>
        <v>45015.479166666664</v>
      </c>
      <c r="AY174" s="137">
        <f t="shared" si="44"/>
        <v>10.052083333328483</v>
      </c>
      <c r="AZ174" s="165">
        <v>45005.427083333336</v>
      </c>
      <c r="BA174" s="165">
        <v>45006.701388888891</v>
      </c>
      <c r="BB174" s="165">
        <v>45008.25</v>
      </c>
      <c r="BC174" s="165">
        <v>45010.621527777781</v>
      </c>
      <c r="BD174" s="165">
        <v>45010.847222222219</v>
      </c>
      <c r="BE174" s="165">
        <v>45010.850694444445</v>
      </c>
      <c r="BF174" s="165">
        <v>45011.583333333336</v>
      </c>
      <c r="BG174" s="165">
        <f t="shared" si="48"/>
        <v>45013.291666666672</v>
      </c>
      <c r="BH174" s="165">
        <v>45013.291666608799</v>
      </c>
      <c r="BI174" s="165">
        <v>45013.458333275463</v>
      </c>
      <c r="BJ174" s="165">
        <v>45013.395833333336</v>
      </c>
      <c r="BK174" s="165">
        <v>45014.583333333336</v>
      </c>
      <c r="BL174" s="165">
        <v>45014.645833333336</v>
      </c>
      <c r="BM174" s="165">
        <v>45015.069444444445</v>
      </c>
      <c r="BN174" s="165">
        <v>45015.083333333336</v>
      </c>
      <c r="BO174" s="165">
        <v>45015.229166666664</v>
      </c>
      <c r="BP174" s="165">
        <v>45015.479166666664</v>
      </c>
      <c r="BS174" s="136">
        <f t="shared" si="49"/>
        <v>37.166666666627862</v>
      </c>
      <c r="BT174" s="136">
        <f t="shared" si="50"/>
        <v>5.4166666665114462</v>
      </c>
      <c r="BU174" s="136">
        <f t="shared" si="51"/>
        <v>41.000000000058208</v>
      </c>
      <c r="BV174" s="136">
        <f t="shared" si="45"/>
        <v>27.000001388951205</v>
      </c>
      <c r="BW174" s="135">
        <f t="shared" si="52"/>
        <v>10.166666666627862</v>
      </c>
      <c r="BX174" s="135">
        <f t="shared" si="53"/>
        <v>6</v>
      </c>
      <c r="BY174" s="134">
        <f t="shared" si="54"/>
        <v>5.2812500578656909</v>
      </c>
      <c r="BZ174" s="134">
        <f t="shared" si="55"/>
        <v>10.052083333328483</v>
      </c>
      <c r="CA174" s="133">
        <f t="shared" si="56"/>
        <v>0.52538860679310984</v>
      </c>
    </row>
    <row r="175" spans="1:81" ht="13.95" customHeight="1"/>
    <row r="176" spans="1:81">
      <c r="AZ176" s="1284"/>
      <c r="BA176" s="1284"/>
      <c r="BH176" s="1284"/>
      <c r="BI176" s="1284"/>
    </row>
    <row r="178" spans="1:78" s="235" customFormat="1" ht="28.2" customHeight="1">
      <c r="A178" s="236"/>
      <c r="B178" s="236"/>
      <c r="G178" s="233"/>
      <c r="H178" s="233"/>
      <c r="I178" s="234"/>
      <c r="Q178" s="234"/>
      <c r="R178" s="234"/>
      <c r="S178" s="234"/>
      <c r="AW178" s="233"/>
      <c r="AX178" s="233"/>
      <c r="AY178" s="233"/>
      <c r="AZ178" s="1285" t="s">
        <v>1117</v>
      </c>
      <c r="BA178" s="1285"/>
      <c r="BB178" s="233"/>
      <c r="BC178" s="233"/>
      <c r="BD178" s="233"/>
      <c r="BE178" s="233"/>
      <c r="BF178" s="233"/>
      <c r="BG178" s="233"/>
      <c r="BH178" s="1285" t="s">
        <v>1118</v>
      </c>
      <c r="BI178" s="1285"/>
      <c r="BJ178" s="233"/>
      <c r="BK178" s="233"/>
      <c r="BL178" s="233"/>
      <c r="BM178" s="233"/>
      <c r="BQ178" s="237"/>
      <c r="BR178" s="237"/>
      <c r="BS178" s="233"/>
      <c r="BT178" s="233"/>
      <c r="BU178" s="233"/>
      <c r="BV178" s="233"/>
      <c r="BW178" s="233"/>
      <c r="BX178" s="233"/>
      <c r="BY178" s="233"/>
      <c r="BZ178" s="233"/>
    </row>
    <row r="179" spans="1:78">
      <c r="AZ179" s="120">
        <v>45016.5</v>
      </c>
      <c r="BA179" s="120">
        <v>45016.666666666664</v>
      </c>
      <c r="BH179" s="120">
        <v>45016.291666608799</v>
      </c>
      <c r="BI179" s="120">
        <v>45016.458333275463</v>
      </c>
    </row>
    <row r="180" spans="1:78">
      <c r="AZ180" s="120">
        <v>45017.25</v>
      </c>
      <c r="BA180" s="120">
        <v>45017.416666666664</v>
      </c>
      <c r="BH180" s="120">
        <v>45017.541666666664</v>
      </c>
      <c r="BI180" s="120">
        <v>45017.708333333328</v>
      </c>
    </row>
    <row r="181" spans="1:78">
      <c r="AZ181" s="120">
        <v>45018.25</v>
      </c>
      <c r="BA181" s="120">
        <v>45018.416666666664</v>
      </c>
      <c r="BH181" s="120">
        <v>45018.541666608799</v>
      </c>
      <c r="BI181" s="120">
        <v>45018.708333275463</v>
      </c>
    </row>
    <row r="182" spans="1:78">
      <c r="AZ182" s="120">
        <v>45019.25</v>
      </c>
      <c r="BA182" s="120">
        <v>45019.416666666664</v>
      </c>
      <c r="BH182" s="120">
        <v>45019.583333333336</v>
      </c>
      <c r="BI182" s="120">
        <v>45019.75</v>
      </c>
    </row>
    <row r="183" spans="1:78">
      <c r="AZ183" s="120">
        <v>45020.458333333336</v>
      </c>
      <c r="BA183" s="120">
        <v>45020.625</v>
      </c>
      <c r="BH183" s="120">
        <v>45020.229166666664</v>
      </c>
      <c r="BI183" s="120">
        <v>45020.395833333328</v>
      </c>
    </row>
    <row r="184" spans="1:78">
      <c r="AZ184" s="120">
        <v>45021.458333333336</v>
      </c>
      <c r="BA184" s="120">
        <v>45021.625</v>
      </c>
      <c r="BH184" s="120">
        <v>45021.229166608799</v>
      </c>
      <c r="BI184" s="120">
        <v>45021.395833275463</v>
      </c>
    </row>
    <row r="185" spans="1:78">
      <c r="AZ185" s="120">
        <v>45022.458333333336</v>
      </c>
      <c r="BA185" s="120">
        <v>45022.625</v>
      </c>
      <c r="BH185" s="120">
        <v>45022.25</v>
      </c>
      <c r="BI185" s="120">
        <v>45022.416666666664</v>
      </c>
    </row>
    <row r="186" spans="1:78">
      <c r="AZ186" s="120">
        <v>45023.458333333336</v>
      </c>
      <c r="BA186" s="120">
        <v>45023.625</v>
      </c>
      <c r="BH186" s="120">
        <v>45023.25</v>
      </c>
      <c r="BI186" s="120">
        <v>45023.416666666664</v>
      </c>
    </row>
    <row r="187" spans="1:78">
      <c r="AZ187" s="120">
        <v>45024.458333333336</v>
      </c>
      <c r="BA187" s="120">
        <v>45024.625</v>
      </c>
      <c r="BH187" s="120">
        <v>45024.25</v>
      </c>
      <c r="BI187" s="120">
        <v>45024.416666666664</v>
      </c>
    </row>
    <row r="188" spans="1:78">
      <c r="AZ188" s="120">
        <v>45025.458333333336</v>
      </c>
      <c r="BA188" s="120">
        <v>45025.625</v>
      </c>
      <c r="BH188" s="120">
        <v>45025.25</v>
      </c>
      <c r="BI188" s="120">
        <v>45025.416666666664</v>
      </c>
    </row>
    <row r="189" spans="1:78">
      <c r="AZ189" s="120">
        <v>45026.458333333336</v>
      </c>
      <c r="BA189" s="120">
        <v>45026.625</v>
      </c>
      <c r="BH189" s="120">
        <v>45026.25</v>
      </c>
      <c r="BI189" s="120">
        <v>45026.416666666664</v>
      </c>
    </row>
    <row r="190" spans="1:78">
      <c r="AZ190" s="120">
        <v>45027.458333333336</v>
      </c>
      <c r="BA190" s="120">
        <v>45027.625</v>
      </c>
      <c r="BH190" s="120">
        <v>45027.25</v>
      </c>
      <c r="BI190" s="120">
        <v>45027.416666666664</v>
      </c>
    </row>
    <row r="191" spans="1:78">
      <c r="AZ191" s="120">
        <v>45028.458333333336</v>
      </c>
      <c r="BA191" s="120">
        <v>45028.625</v>
      </c>
      <c r="BH191" s="120">
        <v>45028.25</v>
      </c>
      <c r="BI191" s="120">
        <v>45028.416666666664</v>
      </c>
    </row>
    <row r="192" spans="1:78">
      <c r="AZ192" s="120">
        <v>45029.458333333336</v>
      </c>
      <c r="BA192" s="120">
        <v>45029.625</v>
      </c>
      <c r="BH192" s="120">
        <v>45029.25</v>
      </c>
      <c r="BI192" s="120">
        <v>45029.416666666664</v>
      </c>
    </row>
    <row r="193" spans="1:81">
      <c r="AZ193" s="120">
        <v>45030.458333333336</v>
      </c>
      <c r="BA193" s="120">
        <v>45030.625</v>
      </c>
      <c r="BH193" s="120">
        <v>45030.25</v>
      </c>
      <c r="BI193" s="120">
        <v>45030.416666666664</v>
      </c>
    </row>
    <row r="194" spans="1:81" s="251" customFormat="1">
      <c r="A194" s="119"/>
      <c r="B194" s="119"/>
      <c r="C194" s="115"/>
      <c r="D194" s="115"/>
      <c r="E194" s="115"/>
      <c r="F194" s="115"/>
      <c r="G194" s="252"/>
      <c r="H194" s="252"/>
      <c r="I194" s="117"/>
      <c r="J194" s="115"/>
      <c r="K194" s="115"/>
      <c r="L194" s="115"/>
      <c r="M194" s="118"/>
      <c r="N194" s="115"/>
      <c r="O194" s="115"/>
      <c r="P194" s="115"/>
      <c r="Q194" s="117"/>
      <c r="R194" s="117"/>
      <c r="S194" s="117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115"/>
      <c r="AO194" s="115"/>
      <c r="AP194" s="115"/>
      <c r="AQ194" s="115"/>
      <c r="AR194" s="115"/>
      <c r="AS194" s="115"/>
      <c r="AT194" s="115"/>
      <c r="AU194" s="115"/>
      <c r="AV194" s="115"/>
      <c r="AZ194" s="120">
        <v>45031.458333333336</v>
      </c>
      <c r="BA194" s="120">
        <v>45031.625</v>
      </c>
      <c r="BH194" s="120">
        <v>45031.25</v>
      </c>
      <c r="BI194" s="120">
        <v>45031.416666666664</v>
      </c>
      <c r="BN194" s="115"/>
      <c r="BO194" s="115"/>
      <c r="BP194" s="115"/>
      <c r="BQ194" s="116"/>
      <c r="BR194" s="116"/>
      <c r="CA194" s="115"/>
      <c r="CB194" s="115"/>
      <c r="CC194" s="115"/>
    </row>
    <row r="195" spans="1:81" s="251" customFormat="1">
      <c r="A195" s="119"/>
      <c r="B195" s="119"/>
      <c r="C195" s="115"/>
      <c r="D195" s="115"/>
      <c r="E195" s="115"/>
      <c r="F195" s="115"/>
      <c r="G195" s="252"/>
      <c r="H195" s="252"/>
      <c r="I195" s="117"/>
      <c r="J195" s="115"/>
      <c r="K195" s="115"/>
      <c r="L195" s="115"/>
      <c r="M195" s="118"/>
      <c r="N195" s="115"/>
      <c r="O195" s="115"/>
      <c r="P195" s="115"/>
      <c r="Q195" s="117"/>
      <c r="R195" s="117"/>
      <c r="S195" s="117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115"/>
      <c r="AQ195" s="115"/>
      <c r="AR195" s="115"/>
      <c r="AS195" s="115"/>
      <c r="AT195" s="115"/>
      <c r="AU195" s="115"/>
      <c r="AV195" s="115"/>
      <c r="AZ195" s="120">
        <v>45032.25</v>
      </c>
      <c r="BA195" s="120">
        <v>45032.416666666664</v>
      </c>
      <c r="BH195" s="120">
        <v>45032.541666608799</v>
      </c>
      <c r="BI195" s="120">
        <v>45032.708333275463</v>
      </c>
      <c r="BN195" s="115"/>
      <c r="BO195" s="115"/>
      <c r="BP195" s="115"/>
      <c r="BQ195" s="116"/>
      <c r="BR195" s="116"/>
      <c r="CA195" s="115"/>
      <c r="CB195" s="115"/>
      <c r="CC195" s="115"/>
    </row>
    <row r="196" spans="1:81" s="251" customFormat="1">
      <c r="A196" s="119"/>
      <c r="B196" s="119"/>
      <c r="C196" s="115"/>
      <c r="D196" s="115"/>
      <c r="E196" s="115"/>
      <c r="F196" s="115"/>
      <c r="G196" s="252"/>
      <c r="H196" s="252"/>
      <c r="I196" s="117"/>
      <c r="J196" s="115"/>
      <c r="K196" s="115"/>
      <c r="L196" s="115"/>
      <c r="M196" s="118"/>
      <c r="N196" s="115"/>
      <c r="O196" s="115"/>
      <c r="P196" s="115"/>
      <c r="Q196" s="117"/>
      <c r="R196" s="117"/>
      <c r="S196" s="117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115"/>
      <c r="AM196" s="115"/>
      <c r="AN196" s="115"/>
      <c r="AO196" s="115"/>
      <c r="AP196" s="115"/>
      <c r="AQ196" s="115"/>
      <c r="AR196" s="115"/>
      <c r="AS196" s="115"/>
      <c r="AT196" s="115"/>
      <c r="AU196" s="115"/>
      <c r="AV196" s="115"/>
      <c r="AZ196" s="120">
        <v>45033.25</v>
      </c>
      <c r="BA196" s="120">
        <v>45033.416666666664</v>
      </c>
      <c r="BH196" s="120">
        <v>45033.541666608799</v>
      </c>
      <c r="BI196" s="120">
        <v>45033.708333275463</v>
      </c>
      <c r="BN196" s="115"/>
      <c r="BO196" s="115"/>
      <c r="BP196" s="115"/>
      <c r="BQ196" s="116"/>
      <c r="BR196" s="116"/>
      <c r="CA196" s="115"/>
      <c r="CB196" s="115"/>
      <c r="CC196" s="115"/>
    </row>
    <row r="197" spans="1:81" s="251" customFormat="1">
      <c r="A197" s="119"/>
      <c r="B197" s="119"/>
      <c r="C197" s="115"/>
      <c r="D197" s="115"/>
      <c r="E197" s="115"/>
      <c r="F197" s="115"/>
      <c r="G197" s="252"/>
      <c r="H197" s="252"/>
      <c r="I197" s="117"/>
      <c r="J197" s="115"/>
      <c r="K197" s="115"/>
      <c r="L197" s="115"/>
      <c r="M197" s="118"/>
      <c r="N197" s="115"/>
      <c r="O197" s="115"/>
      <c r="P197" s="115"/>
      <c r="Q197" s="117"/>
      <c r="R197" s="117"/>
      <c r="S197" s="117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5"/>
      <c r="AP197" s="115"/>
      <c r="AQ197" s="115"/>
      <c r="AR197" s="115"/>
      <c r="AS197" s="115"/>
      <c r="AT197" s="115"/>
      <c r="AU197" s="115"/>
      <c r="AV197" s="115"/>
      <c r="AZ197" s="120">
        <v>45034.25</v>
      </c>
      <c r="BA197" s="120">
        <v>45034.416666666664</v>
      </c>
      <c r="BH197" s="120">
        <v>45034.583333333336</v>
      </c>
      <c r="BI197" s="120">
        <v>45034.75</v>
      </c>
      <c r="BN197" s="115"/>
      <c r="BO197" s="115"/>
      <c r="BP197" s="115"/>
      <c r="BQ197" s="116"/>
      <c r="BR197" s="116"/>
      <c r="CA197" s="115"/>
      <c r="CB197" s="115"/>
      <c r="CC197" s="115"/>
    </row>
    <row r="198" spans="1:81" s="251" customFormat="1">
      <c r="A198" s="119"/>
      <c r="B198" s="119"/>
      <c r="C198" s="115"/>
      <c r="D198" s="115"/>
      <c r="E198" s="115"/>
      <c r="F198" s="115"/>
      <c r="G198" s="252"/>
      <c r="H198" s="252"/>
      <c r="I198" s="117"/>
      <c r="J198" s="115"/>
      <c r="K198" s="115"/>
      <c r="L198" s="115"/>
      <c r="M198" s="118"/>
      <c r="N198" s="115"/>
      <c r="O198" s="115"/>
      <c r="P198" s="115"/>
      <c r="Q198" s="117"/>
      <c r="R198" s="117"/>
      <c r="S198" s="117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115"/>
      <c r="AO198" s="115"/>
      <c r="AP198" s="115"/>
      <c r="AQ198" s="115"/>
      <c r="AR198" s="115"/>
      <c r="AS198" s="115"/>
      <c r="AT198" s="115"/>
      <c r="AU198" s="115"/>
      <c r="AV198" s="115"/>
      <c r="AZ198" s="120">
        <v>45035.458333333336</v>
      </c>
      <c r="BA198" s="120">
        <v>45035.625</v>
      </c>
      <c r="BH198" s="120">
        <v>45035.229166666664</v>
      </c>
      <c r="BI198" s="120">
        <v>45035.395833333328</v>
      </c>
      <c r="BN198" s="115"/>
      <c r="BO198" s="115"/>
      <c r="BP198" s="115"/>
      <c r="BQ198" s="116"/>
      <c r="BR198" s="116"/>
      <c r="CA198" s="115"/>
      <c r="CB198" s="115"/>
      <c r="CC198" s="115"/>
    </row>
    <row r="199" spans="1:81" s="251" customFormat="1">
      <c r="A199" s="119"/>
      <c r="B199" s="119"/>
      <c r="C199" s="115"/>
      <c r="D199" s="115"/>
      <c r="E199" s="115"/>
      <c r="F199" s="115"/>
      <c r="G199" s="252"/>
      <c r="H199" s="252"/>
      <c r="I199" s="117"/>
      <c r="J199" s="115"/>
      <c r="K199" s="115"/>
      <c r="L199" s="115"/>
      <c r="M199" s="118"/>
      <c r="N199" s="115"/>
      <c r="O199" s="115"/>
      <c r="P199" s="115"/>
      <c r="Q199" s="117"/>
      <c r="R199" s="117"/>
      <c r="S199" s="117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15"/>
      <c r="AS199" s="115"/>
      <c r="AT199" s="115"/>
      <c r="AU199" s="115"/>
      <c r="AV199" s="115"/>
      <c r="AZ199" s="120">
        <v>45036.458333333336</v>
      </c>
      <c r="BA199" s="120">
        <v>45036.625</v>
      </c>
      <c r="BH199" s="120">
        <v>45036.229166608799</v>
      </c>
      <c r="BI199" s="120">
        <v>45036.395833275463</v>
      </c>
      <c r="BN199" s="115"/>
      <c r="BO199" s="115"/>
      <c r="BP199" s="115"/>
      <c r="BQ199" s="116"/>
      <c r="BR199" s="116"/>
      <c r="CA199" s="115"/>
      <c r="CB199" s="115"/>
      <c r="CC199" s="115"/>
    </row>
    <row r="200" spans="1:81" s="251" customFormat="1">
      <c r="A200" s="119"/>
      <c r="B200" s="119"/>
      <c r="C200" s="115"/>
      <c r="D200" s="115"/>
      <c r="E200" s="115"/>
      <c r="F200" s="115"/>
      <c r="G200" s="252"/>
      <c r="H200" s="252"/>
      <c r="I200" s="117"/>
      <c r="J200" s="115"/>
      <c r="K200" s="115"/>
      <c r="L200" s="115"/>
      <c r="M200" s="118"/>
      <c r="N200" s="115"/>
      <c r="O200" s="115"/>
      <c r="P200" s="115"/>
      <c r="Q200" s="117"/>
      <c r="R200" s="117"/>
      <c r="S200" s="117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115"/>
      <c r="AN200" s="115"/>
      <c r="AO200" s="115"/>
      <c r="AP200" s="115"/>
      <c r="AQ200" s="115"/>
      <c r="AR200" s="115"/>
      <c r="AS200" s="115"/>
      <c r="AT200" s="115"/>
      <c r="AU200" s="115"/>
      <c r="AV200" s="115"/>
      <c r="AZ200" s="120">
        <v>45037.458333333336</v>
      </c>
      <c r="BA200" s="120">
        <v>45037.625</v>
      </c>
      <c r="BH200" s="120">
        <v>45037.25</v>
      </c>
      <c r="BI200" s="120">
        <v>45037.416666666664</v>
      </c>
      <c r="BN200" s="115"/>
      <c r="BO200" s="115"/>
      <c r="BP200" s="115"/>
      <c r="BQ200" s="116"/>
      <c r="BR200" s="116"/>
      <c r="CA200" s="115"/>
      <c r="CB200" s="115"/>
      <c r="CC200" s="115"/>
    </row>
    <row r="201" spans="1:81" s="251" customFormat="1">
      <c r="A201" s="119"/>
      <c r="B201" s="119"/>
      <c r="C201" s="115"/>
      <c r="D201" s="115"/>
      <c r="E201" s="115"/>
      <c r="F201" s="115"/>
      <c r="G201" s="252"/>
      <c r="H201" s="252"/>
      <c r="I201" s="117"/>
      <c r="J201" s="115"/>
      <c r="K201" s="115"/>
      <c r="L201" s="115"/>
      <c r="M201" s="118"/>
      <c r="N201" s="115"/>
      <c r="O201" s="115"/>
      <c r="P201" s="115"/>
      <c r="Q201" s="117"/>
      <c r="R201" s="117"/>
      <c r="S201" s="117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15"/>
      <c r="AO201" s="115"/>
      <c r="AP201" s="115"/>
      <c r="AQ201" s="115"/>
      <c r="AR201" s="115"/>
      <c r="AS201" s="115"/>
      <c r="AT201" s="115"/>
      <c r="AU201" s="115"/>
      <c r="AV201" s="115"/>
      <c r="AZ201" s="120">
        <v>45038.458333333336</v>
      </c>
      <c r="BA201" s="120">
        <v>45038.625</v>
      </c>
      <c r="BH201" s="120">
        <v>45038.25</v>
      </c>
      <c r="BI201" s="120">
        <v>45038.416666666664</v>
      </c>
      <c r="BN201" s="115"/>
      <c r="BO201" s="115"/>
      <c r="BP201" s="115"/>
      <c r="BQ201" s="116"/>
      <c r="BR201" s="116"/>
      <c r="CA201" s="115"/>
      <c r="CB201" s="115"/>
      <c r="CC201" s="115"/>
    </row>
    <row r="202" spans="1:81" s="251" customFormat="1">
      <c r="A202" s="119"/>
      <c r="B202" s="119"/>
      <c r="C202" s="115"/>
      <c r="D202" s="115"/>
      <c r="E202" s="115"/>
      <c r="F202" s="115"/>
      <c r="G202" s="252"/>
      <c r="H202" s="252"/>
      <c r="I202" s="117"/>
      <c r="J202" s="115"/>
      <c r="K202" s="115"/>
      <c r="L202" s="115"/>
      <c r="M202" s="118"/>
      <c r="N202" s="115"/>
      <c r="O202" s="115"/>
      <c r="P202" s="115"/>
      <c r="Q202" s="117"/>
      <c r="R202" s="117"/>
      <c r="S202" s="117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15"/>
      <c r="AO202" s="115"/>
      <c r="AP202" s="115"/>
      <c r="AQ202" s="115"/>
      <c r="AR202" s="115"/>
      <c r="AS202" s="115"/>
      <c r="AT202" s="115"/>
      <c r="AU202" s="115"/>
      <c r="AV202" s="115"/>
      <c r="AZ202" s="120">
        <v>45039.458333333336</v>
      </c>
      <c r="BA202" s="120">
        <v>45039.625</v>
      </c>
      <c r="BH202" s="120">
        <v>45039.25</v>
      </c>
      <c r="BI202" s="120">
        <v>45039.416666666664</v>
      </c>
      <c r="BN202" s="115"/>
      <c r="BO202" s="115"/>
      <c r="BP202" s="115"/>
      <c r="BQ202" s="116"/>
      <c r="BR202" s="116"/>
      <c r="CA202" s="115"/>
      <c r="CB202" s="115"/>
      <c r="CC202" s="115"/>
    </row>
    <row r="203" spans="1:81" s="251" customFormat="1">
      <c r="A203" s="119"/>
      <c r="B203" s="119"/>
      <c r="C203" s="115"/>
      <c r="D203" s="115"/>
      <c r="E203" s="115"/>
      <c r="F203" s="115"/>
      <c r="G203" s="252"/>
      <c r="H203" s="252"/>
      <c r="I203" s="117"/>
      <c r="J203" s="115"/>
      <c r="K203" s="115"/>
      <c r="L203" s="115"/>
      <c r="M203" s="118"/>
      <c r="N203" s="115"/>
      <c r="O203" s="115"/>
      <c r="P203" s="115"/>
      <c r="Q203" s="117"/>
      <c r="R203" s="117"/>
      <c r="S203" s="117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115"/>
      <c r="AQ203" s="115"/>
      <c r="AR203" s="115"/>
      <c r="AS203" s="115"/>
      <c r="AT203" s="115"/>
      <c r="AU203" s="115"/>
      <c r="AV203" s="115"/>
      <c r="AZ203" s="120">
        <v>45040.458333333336</v>
      </c>
      <c r="BA203" s="120">
        <v>45040.625</v>
      </c>
      <c r="BH203" s="120">
        <v>45040.25</v>
      </c>
      <c r="BI203" s="120">
        <v>45040.416666666664</v>
      </c>
      <c r="BN203" s="115"/>
      <c r="BO203" s="115"/>
      <c r="BP203" s="115"/>
      <c r="BQ203" s="116"/>
      <c r="BR203" s="116"/>
      <c r="CA203" s="115"/>
      <c r="CB203" s="115"/>
      <c r="CC203" s="115"/>
    </row>
    <row r="204" spans="1:81" s="251" customFormat="1">
      <c r="A204" s="119"/>
      <c r="B204" s="119"/>
      <c r="C204" s="115"/>
      <c r="D204" s="115"/>
      <c r="E204" s="115"/>
      <c r="F204" s="115"/>
      <c r="G204" s="252"/>
      <c r="H204" s="252"/>
      <c r="I204" s="117"/>
      <c r="J204" s="115"/>
      <c r="K204" s="115"/>
      <c r="L204" s="115"/>
      <c r="M204" s="118"/>
      <c r="N204" s="115"/>
      <c r="O204" s="115"/>
      <c r="P204" s="115"/>
      <c r="Q204" s="117"/>
      <c r="R204" s="117"/>
      <c r="S204" s="117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115"/>
      <c r="AO204" s="115"/>
      <c r="AP204" s="115"/>
      <c r="AQ204" s="115"/>
      <c r="AR204" s="115"/>
      <c r="AS204" s="115"/>
      <c r="AT204" s="115"/>
      <c r="AU204" s="115"/>
      <c r="AV204" s="115"/>
      <c r="AZ204" s="120">
        <v>45041.458333333336</v>
      </c>
      <c r="BA204" s="120">
        <v>45041.625</v>
      </c>
      <c r="BH204" s="120">
        <v>45041.25</v>
      </c>
      <c r="BI204" s="120">
        <v>45041.416666666664</v>
      </c>
      <c r="BN204" s="115"/>
      <c r="BO204" s="115"/>
      <c r="BP204" s="115"/>
      <c r="BQ204" s="116"/>
      <c r="BR204" s="116"/>
      <c r="CA204" s="115"/>
      <c r="CB204" s="115"/>
      <c r="CC204" s="115"/>
    </row>
    <row r="205" spans="1:81" s="251" customFormat="1">
      <c r="A205" s="119"/>
      <c r="B205" s="119"/>
      <c r="C205" s="115"/>
      <c r="D205" s="115"/>
      <c r="E205" s="115"/>
      <c r="F205" s="115"/>
      <c r="G205" s="252"/>
      <c r="H205" s="252"/>
      <c r="I205" s="117"/>
      <c r="J205" s="115"/>
      <c r="K205" s="115"/>
      <c r="L205" s="115"/>
      <c r="M205" s="118"/>
      <c r="N205" s="115"/>
      <c r="O205" s="115"/>
      <c r="P205" s="115"/>
      <c r="Q205" s="117"/>
      <c r="R205" s="117"/>
      <c r="S205" s="117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115"/>
      <c r="AO205" s="115"/>
      <c r="AP205" s="115"/>
      <c r="AQ205" s="115"/>
      <c r="AR205" s="115"/>
      <c r="AS205" s="115"/>
      <c r="AT205" s="115"/>
      <c r="AU205" s="115"/>
      <c r="AV205" s="115"/>
      <c r="AZ205" s="120">
        <v>45042.458333333336</v>
      </c>
      <c r="BA205" s="120">
        <v>45042.625</v>
      </c>
      <c r="BH205" s="120">
        <v>45042.25</v>
      </c>
      <c r="BI205" s="120">
        <v>45042.416666666664</v>
      </c>
      <c r="BN205" s="115"/>
      <c r="BO205" s="115"/>
      <c r="BP205" s="115"/>
      <c r="BQ205" s="116"/>
      <c r="BR205" s="116"/>
      <c r="CA205" s="115"/>
      <c r="CB205" s="115"/>
      <c r="CC205" s="115"/>
    </row>
    <row r="206" spans="1:81" s="251" customFormat="1">
      <c r="A206" s="119"/>
      <c r="B206" s="119"/>
      <c r="C206" s="115"/>
      <c r="D206" s="115"/>
      <c r="E206" s="115"/>
      <c r="F206" s="115"/>
      <c r="G206" s="252"/>
      <c r="H206" s="252"/>
      <c r="I206" s="117"/>
      <c r="J206" s="115"/>
      <c r="K206" s="115"/>
      <c r="L206" s="115"/>
      <c r="M206" s="118"/>
      <c r="N206" s="115"/>
      <c r="O206" s="115"/>
      <c r="P206" s="115"/>
      <c r="Q206" s="117"/>
      <c r="R206" s="117"/>
      <c r="S206" s="117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15"/>
      <c r="AO206" s="115"/>
      <c r="AP206" s="115"/>
      <c r="AQ206" s="115"/>
      <c r="AR206" s="115"/>
      <c r="AS206" s="115"/>
      <c r="AT206" s="115"/>
      <c r="AU206" s="115"/>
      <c r="AV206" s="115"/>
      <c r="AZ206" s="120">
        <v>45043.458333333336</v>
      </c>
      <c r="BA206" s="120">
        <v>45043.625</v>
      </c>
      <c r="BH206" s="120">
        <v>45043.25</v>
      </c>
      <c r="BI206" s="120">
        <v>45043.416666666664</v>
      </c>
      <c r="BN206" s="115"/>
      <c r="BO206" s="115"/>
      <c r="BP206" s="115"/>
      <c r="BQ206" s="116"/>
      <c r="BR206" s="116"/>
      <c r="CA206" s="115"/>
      <c r="CB206" s="115"/>
      <c r="CC206" s="115"/>
    </row>
    <row r="207" spans="1:81" s="251" customFormat="1">
      <c r="A207" s="119"/>
      <c r="B207" s="119"/>
      <c r="C207" s="115"/>
      <c r="D207" s="115"/>
      <c r="E207" s="115"/>
      <c r="F207" s="115"/>
      <c r="G207" s="252"/>
      <c r="H207" s="252"/>
      <c r="I207" s="117"/>
      <c r="J207" s="115"/>
      <c r="K207" s="115"/>
      <c r="L207" s="115"/>
      <c r="M207" s="118"/>
      <c r="N207" s="115"/>
      <c r="O207" s="115"/>
      <c r="P207" s="115"/>
      <c r="Q207" s="117"/>
      <c r="R207" s="117"/>
      <c r="S207" s="117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115"/>
      <c r="AQ207" s="115"/>
      <c r="AR207" s="115"/>
      <c r="AS207" s="115"/>
      <c r="AT207" s="115"/>
      <c r="AU207" s="115"/>
      <c r="AV207" s="115"/>
      <c r="AZ207" s="120">
        <v>45044.458333333336</v>
      </c>
      <c r="BA207" s="120">
        <v>45044.625</v>
      </c>
      <c r="BH207" s="120">
        <v>45044.25</v>
      </c>
      <c r="BI207" s="120">
        <v>45044.416666666664</v>
      </c>
      <c r="BN207" s="115"/>
      <c r="BO207" s="115"/>
      <c r="BP207" s="115"/>
      <c r="BQ207" s="116"/>
      <c r="BR207" s="116"/>
      <c r="CA207" s="115"/>
      <c r="CB207" s="115"/>
      <c r="CC207" s="115"/>
    </row>
    <row r="208" spans="1:81" s="251" customFormat="1">
      <c r="A208" s="119"/>
      <c r="B208" s="119"/>
      <c r="C208" s="115"/>
      <c r="D208" s="115"/>
      <c r="E208" s="115"/>
      <c r="F208" s="115"/>
      <c r="G208" s="252"/>
      <c r="H208" s="252"/>
      <c r="I208" s="117"/>
      <c r="J208" s="115"/>
      <c r="K208" s="115"/>
      <c r="L208" s="115"/>
      <c r="M208" s="118"/>
      <c r="N208" s="115"/>
      <c r="O208" s="115"/>
      <c r="P208" s="115"/>
      <c r="Q208" s="117"/>
      <c r="R208" s="117"/>
      <c r="S208" s="117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115"/>
      <c r="AQ208" s="115"/>
      <c r="AR208" s="115"/>
      <c r="AS208" s="115"/>
      <c r="AT208" s="115"/>
      <c r="AU208" s="115"/>
      <c r="AV208" s="115"/>
      <c r="AZ208" s="120">
        <v>45045.458333333336</v>
      </c>
      <c r="BA208" s="120">
        <v>45045.625</v>
      </c>
      <c r="BH208" s="120">
        <v>45045.25</v>
      </c>
      <c r="BI208" s="120">
        <v>45045.416666666664</v>
      </c>
      <c r="BN208" s="115"/>
      <c r="BO208" s="115"/>
      <c r="BP208" s="115"/>
      <c r="BQ208" s="116"/>
      <c r="BR208" s="116"/>
      <c r="CA208" s="115"/>
      <c r="CB208" s="115"/>
      <c r="CC208" s="115"/>
    </row>
    <row r="209" spans="1:81" s="251" customFormat="1">
      <c r="A209" s="119"/>
      <c r="B209" s="119"/>
      <c r="C209" s="115"/>
      <c r="D209" s="115"/>
      <c r="E209" s="115"/>
      <c r="F209" s="115"/>
      <c r="G209" s="252"/>
      <c r="H209" s="252"/>
      <c r="I209" s="117"/>
      <c r="J209" s="115"/>
      <c r="K209" s="115"/>
      <c r="L209" s="115"/>
      <c r="M209" s="118"/>
      <c r="N209" s="115"/>
      <c r="O209" s="115"/>
      <c r="P209" s="115"/>
      <c r="Q209" s="117"/>
      <c r="R209" s="117"/>
      <c r="S209" s="117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115"/>
      <c r="AQ209" s="115"/>
      <c r="AR209" s="115"/>
      <c r="AS209" s="115"/>
      <c r="AT209" s="115"/>
      <c r="AU209" s="115"/>
      <c r="AV209" s="115"/>
      <c r="AZ209" s="120">
        <v>45046.25</v>
      </c>
      <c r="BA209" s="120">
        <v>45046.416666666664</v>
      </c>
      <c r="BH209" s="120">
        <v>45046.541666666664</v>
      </c>
      <c r="BI209" s="120">
        <v>45046.708333333328</v>
      </c>
      <c r="BN209" s="115"/>
      <c r="BO209" s="115"/>
      <c r="BP209" s="115"/>
      <c r="BQ209" s="116"/>
      <c r="BR209" s="116"/>
      <c r="CA209" s="115"/>
      <c r="CB209" s="115"/>
      <c r="CC209" s="115"/>
    </row>
    <row r="307" spans="1:81" s="251" customFormat="1">
      <c r="A307" s="119"/>
      <c r="B307" s="119"/>
      <c r="C307" s="115"/>
      <c r="D307" s="115"/>
      <c r="E307" s="115"/>
      <c r="F307" s="115"/>
      <c r="G307" s="252"/>
      <c r="H307" s="252"/>
      <c r="I307" s="117"/>
      <c r="J307" s="115"/>
      <c r="K307" s="115"/>
      <c r="L307" s="115"/>
      <c r="M307" s="118"/>
      <c r="N307" s="115"/>
      <c r="O307" s="115"/>
      <c r="P307" s="115"/>
      <c r="Q307" s="117"/>
      <c r="R307" s="117"/>
      <c r="S307" s="117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5"/>
      <c r="AR307" s="115"/>
      <c r="AS307" s="115"/>
      <c r="AT307" s="115"/>
      <c r="AU307" s="115"/>
      <c r="AV307" s="115"/>
      <c r="BI307" s="252"/>
      <c r="BN307" s="115"/>
      <c r="BO307" s="115"/>
      <c r="BP307" s="115"/>
      <c r="BQ307" s="116"/>
      <c r="BR307" s="116"/>
      <c r="CA307" s="115"/>
      <c r="CB307" s="115"/>
      <c r="CC307" s="115"/>
    </row>
    <row r="308" spans="1:81" s="251" customFormat="1">
      <c r="A308" s="119"/>
      <c r="B308" s="119"/>
      <c r="C308" s="115"/>
      <c r="D308" s="115"/>
      <c r="E308" s="115"/>
      <c r="F308" s="115"/>
      <c r="G308" s="252"/>
      <c r="H308" s="252"/>
      <c r="I308" s="117"/>
      <c r="J308" s="115"/>
      <c r="K308" s="115"/>
      <c r="L308" s="115"/>
      <c r="M308" s="118"/>
      <c r="N308" s="115"/>
      <c r="O308" s="115"/>
      <c r="P308" s="115"/>
      <c r="Q308" s="117"/>
      <c r="R308" s="117"/>
      <c r="S308" s="117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5"/>
      <c r="AR308" s="115"/>
      <c r="AS308" s="115"/>
      <c r="AT308" s="115"/>
      <c r="AU308" s="115"/>
      <c r="AV308" s="115"/>
      <c r="BI308" s="252"/>
      <c r="BN308" s="115"/>
      <c r="BO308" s="115"/>
      <c r="BP308" s="115"/>
      <c r="BQ308" s="116"/>
      <c r="BR308" s="116"/>
      <c r="CA308" s="115"/>
      <c r="CB308" s="115"/>
      <c r="CC308" s="115"/>
    </row>
  </sheetData>
  <autoFilter ref="A1:L174" xr:uid="{00000000-0009-0000-0000-000006000000}">
    <filterColumn colId="4" showButton="0"/>
  </autoFilter>
  <mergeCells count="56">
    <mergeCell ref="M1:M2"/>
    <mergeCell ref="A1:A2"/>
    <mergeCell ref="B1:B2"/>
    <mergeCell ref="C1:C2"/>
    <mergeCell ref="D1:D2"/>
    <mergeCell ref="E1:F2"/>
    <mergeCell ref="G1:G2"/>
    <mergeCell ref="H1:H2"/>
    <mergeCell ref="I1:I2"/>
    <mergeCell ref="J1:J2"/>
    <mergeCell ref="K1:K2"/>
    <mergeCell ref="L1:L2"/>
    <mergeCell ref="AX1:AX2"/>
    <mergeCell ref="N1:N2"/>
    <mergeCell ref="O1:O2"/>
    <mergeCell ref="P1:P2"/>
    <mergeCell ref="Q1:Q2"/>
    <mergeCell ref="R1:R2"/>
    <mergeCell ref="T1:V1"/>
    <mergeCell ref="W1:X1"/>
    <mergeCell ref="Y1:Z1"/>
    <mergeCell ref="AC1:AG1"/>
    <mergeCell ref="AH1:AV1"/>
    <mergeCell ref="AW1:AW2"/>
    <mergeCell ref="BJ1:BJ2"/>
    <mergeCell ref="AY1:AY2"/>
    <mergeCell ref="AZ1:AZ2"/>
    <mergeCell ref="BA1:BA2"/>
    <mergeCell ref="BB1:BB2"/>
    <mergeCell ref="BC1:BC2"/>
    <mergeCell ref="BD1:BD2"/>
    <mergeCell ref="BY1:BY2"/>
    <mergeCell ref="BZ1:BZ2"/>
    <mergeCell ref="CA1:CA2"/>
    <mergeCell ref="BQ1:BQ2"/>
    <mergeCell ref="BS1:BS2"/>
    <mergeCell ref="BT1:BT2"/>
    <mergeCell ref="BU1:BU2"/>
    <mergeCell ref="BV1:BV2"/>
    <mergeCell ref="BW1:BW2"/>
    <mergeCell ref="AZ176:BA176"/>
    <mergeCell ref="BH176:BI176"/>
    <mergeCell ref="AZ178:BA178"/>
    <mergeCell ref="BH178:BI178"/>
    <mergeCell ref="BX1:BX2"/>
    <mergeCell ref="BK1:BK2"/>
    <mergeCell ref="BL1:BL2"/>
    <mergeCell ref="BM1:BM2"/>
    <mergeCell ref="BN1:BN2"/>
    <mergeCell ref="BO1:BO2"/>
    <mergeCell ref="BP1:BP2"/>
    <mergeCell ref="BE1:BE2"/>
    <mergeCell ref="BF1:BF2"/>
    <mergeCell ref="BG1:BG2"/>
    <mergeCell ref="BH1:BH2"/>
    <mergeCell ref="BI1:BI2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2:BA513"/>
  <sheetViews>
    <sheetView topLeftCell="A492" zoomScaleNormal="100" workbookViewId="0">
      <selection activeCell="A3" sqref="A3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1.44140625" style="56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16384" width="9.33203125" style="39"/>
  </cols>
  <sheetData>
    <row r="2" spans="2:52">
      <c r="B2" s="28" t="s">
        <v>126</v>
      </c>
      <c r="C2" s="28"/>
      <c r="D2" s="29"/>
      <c r="E2" s="30" t="s">
        <v>511</v>
      </c>
      <c r="F2" s="31" t="s">
        <v>759</v>
      </c>
      <c r="G2" s="32"/>
      <c r="H2" s="33"/>
      <c r="I2" s="34"/>
      <c r="J2" s="35" t="s">
        <v>513</v>
      </c>
      <c r="K2" s="36" t="s">
        <v>511</v>
      </c>
      <c r="L2" s="37">
        <v>44984.791666666664</v>
      </c>
      <c r="M2" s="32"/>
      <c r="N2" s="32"/>
      <c r="O2" s="206"/>
      <c r="P2" s="205"/>
      <c r="Q2" s="202"/>
      <c r="R2" s="204"/>
      <c r="S2" s="38"/>
      <c r="T2" s="201"/>
      <c r="U2" s="201"/>
      <c r="V2" s="201"/>
      <c r="W2" s="201"/>
      <c r="X2" s="201"/>
      <c r="Y2" s="201"/>
      <c r="Z2" s="201"/>
      <c r="AA2" s="201"/>
      <c r="AB2" s="202"/>
      <c r="AC2" s="202"/>
      <c r="AD2" s="202"/>
      <c r="AE2" s="202"/>
      <c r="AF2" s="202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</row>
    <row r="3" spans="2:52">
      <c r="B3" s="35" t="s">
        <v>514</v>
      </c>
      <c r="C3" s="35"/>
      <c r="D3" s="32"/>
      <c r="E3" s="36" t="s">
        <v>511</v>
      </c>
      <c r="F3" s="37" t="s">
        <v>1119</v>
      </c>
      <c r="G3" s="32"/>
      <c r="H3" s="33"/>
      <c r="I3" s="34"/>
      <c r="J3" s="35" t="s">
        <v>516</v>
      </c>
      <c r="K3" s="36" t="s">
        <v>511</v>
      </c>
      <c r="L3" s="37">
        <v>44987.40625</v>
      </c>
      <c r="M3" s="32"/>
      <c r="N3" s="32"/>
      <c r="O3" s="206"/>
      <c r="P3" s="205"/>
      <c r="Q3" s="202"/>
      <c r="R3" s="204"/>
      <c r="S3" s="38"/>
      <c r="T3" s="201"/>
      <c r="U3" s="201"/>
      <c r="V3" s="201"/>
      <c r="W3" s="201"/>
      <c r="X3" s="201"/>
      <c r="Y3" s="201"/>
      <c r="Z3" s="201"/>
      <c r="AA3" s="201"/>
      <c r="AB3" s="202"/>
      <c r="AC3" s="202"/>
      <c r="AD3" s="202"/>
      <c r="AE3" s="202"/>
      <c r="AF3" s="202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</row>
    <row r="4" spans="2:52">
      <c r="B4" s="35" t="s">
        <v>517</v>
      </c>
      <c r="C4" s="35"/>
      <c r="D4" s="32"/>
      <c r="E4" s="36" t="s">
        <v>511</v>
      </c>
      <c r="F4" s="37">
        <v>44981.333333333336</v>
      </c>
      <c r="G4" s="32"/>
      <c r="H4" s="33"/>
      <c r="I4" s="34"/>
      <c r="J4" s="35" t="s">
        <v>518</v>
      </c>
      <c r="K4" s="36" t="s">
        <v>511</v>
      </c>
      <c r="L4" s="50">
        <v>69950</v>
      </c>
      <c r="M4" s="40" t="s">
        <v>519</v>
      </c>
      <c r="N4" s="40"/>
      <c r="O4" s="206"/>
      <c r="P4" s="205"/>
      <c r="Q4" s="202"/>
      <c r="R4" s="204"/>
      <c r="S4" s="38"/>
      <c r="T4" s="201"/>
      <c r="U4" s="201"/>
      <c r="V4" s="201"/>
      <c r="W4" s="201"/>
      <c r="X4" s="201"/>
      <c r="Y4" s="201"/>
      <c r="Z4" s="201"/>
      <c r="AA4" s="201"/>
      <c r="AB4" s="202"/>
      <c r="AC4" s="202"/>
      <c r="AD4" s="202"/>
      <c r="AE4" s="202"/>
      <c r="AF4" s="202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</row>
    <row r="5" spans="2:52">
      <c r="B5" s="35" t="s">
        <v>520</v>
      </c>
      <c r="C5" s="35"/>
      <c r="D5" s="32"/>
      <c r="E5" s="36" t="s">
        <v>511</v>
      </c>
      <c r="F5" s="37" t="s">
        <v>12</v>
      </c>
      <c r="G5" s="32"/>
      <c r="H5" s="33"/>
      <c r="I5" s="34"/>
      <c r="J5" s="35" t="s">
        <v>521</v>
      </c>
      <c r="K5" s="36" t="s">
        <v>511</v>
      </c>
      <c r="L5" s="41" t="s">
        <v>1120</v>
      </c>
      <c r="M5" s="32"/>
      <c r="N5" s="32"/>
      <c r="O5" s="206"/>
      <c r="P5" s="202"/>
      <c r="Q5" s="202"/>
      <c r="R5" s="204"/>
      <c r="S5" s="38"/>
      <c r="T5" s="201"/>
      <c r="U5" s="201"/>
      <c r="V5" s="201"/>
      <c r="W5" s="201"/>
      <c r="X5" s="201"/>
      <c r="Y5" s="201"/>
      <c r="Z5" s="201"/>
      <c r="AA5" s="201"/>
      <c r="AB5" s="202"/>
      <c r="AC5" s="202"/>
      <c r="AD5" s="202"/>
      <c r="AE5" s="202"/>
      <c r="AF5" s="202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</row>
    <row r="6" spans="2:52">
      <c r="B6" s="35" t="s">
        <v>523</v>
      </c>
      <c r="C6" s="35"/>
      <c r="D6" s="32"/>
      <c r="E6" s="36" t="s">
        <v>511</v>
      </c>
      <c r="F6" s="37" t="s">
        <v>32</v>
      </c>
      <c r="G6" s="32"/>
      <c r="H6" s="33"/>
      <c r="I6" s="34"/>
      <c r="J6" s="42" t="s">
        <v>524</v>
      </c>
      <c r="K6" s="36" t="s">
        <v>511</v>
      </c>
      <c r="L6" s="43" t="s">
        <v>11</v>
      </c>
      <c r="M6" s="44"/>
      <c r="N6" s="44"/>
      <c r="O6" s="206"/>
      <c r="P6" s="205"/>
      <c r="Q6" s="202"/>
      <c r="R6" s="204"/>
      <c r="S6" s="38"/>
      <c r="T6" s="201"/>
      <c r="U6" s="201"/>
      <c r="V6" s="201"/>
      <c r="W6" s="201"/>
      <c r="X6" s="201"/>
      <c r="Y6" s="201"/>
      <c r="Z6" s="201"/>
      <c r="AA6" s="201"/>
      <c r="AB6" s="202"/>
      <c r="AC6" s="202"/>
      <c r="AD6" s="202"/>
      <c r="AE6" s="202"/>
      <c r="AF6" s="202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</row>
    <row r="7" spans="2:52">
      <c r="B7" s="35" t="s">
        <v>2</v>
      </c>
      <c r="C7" s="35"/>
      <c r="D7" s="32"/>
      <c r="E7" s="36" t="s">
        <v>511</v>
      </c>
      <c r="F7" s="37" t="s">
        <v>56</v>
      </c>
      <c r="G7" s="32"/>
      <c r="H7" s="33"/>
      <c r="I7" s="45"/>
      <c r="J7" s="42"/>
      <c r="K7" s="36"/>
      <c r="L7" s="211"/>
      <c r="M7" s="201"/>
      <c r="N7" s="201"/>
      <c r="O7" s="42"/>
      <c r="P7" s="44"/>
      <c r="Q7" s="44"/>
      <c r="R7" s="44"/>
      <c r="S7" s="34"/>
      <c r="T7" s="201"/>
      <c r="U7" s="201"/>
      <c r="V7" s="201"/>
      <c r="W7" s="201"/>
      <c r="X7" s="201"/>
      <c r="Y7" s="201"/>
      <c r="Z7" s="201"/>
      <c r="AA7" s="201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</row>
    <row r="8" spans="2:52">
      <c r="B8" s="201"/>
      <c r="C8" s="201"/>
      <c r="D8" s="201"/>
      <c r="E8" s="201"/>
      <c r="F8" s="201"/>
      <c r="G8" s="201"/>
      <c r="H8" s="201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65" t="s">
        <v>87</v>
      </c>
      <c r="U8" s="1265"/>
      <c r="V8" s="1265"/>
      <c r="W8" s="1265"/>
      <c r="X8" s="1265"/>
      <c r="Y8" s="1265" t="s">
        <v>73</v>
      </c>
      <c r="Z8" s="1265"/>
      <c r="AA8" s="1265"/>
      <c r="AB8" s="1265" t="s">
        <v>74</v>
      </c>
      <c r="AC8" s="1265"/>
      <c r="AD8" s="423" t="s">
        <v>85</v>
      </c>
      <c r="AE8" s="423" t="s">
        <v>77</v>
      </c>
      <c r="AF8" s="1265" t="s">
        <v>525</v>
      </c>
      <c r="AG8" s="1265"/>
      <c r="AH8" s="1265"/>
      <c r="AI8" s="1265"/>
      <c r="AJ8" s="1265"/>
      <c r="AK8" s="1265"/>
      <c r="AL8" s="1265"/>
      <c r="AM8" s="1265"/>
      <c r="AN8" s="1265"/>
      <c r="AO8" s="1265"/>
      <c r="AP8" s="1265"/>
      <c r="AQ8" s="1265"/>
      <c r="AR8" s="1265"/>
      <c r="AS8" s="1265"/>
      <c r="AT8" s="1265"/>
      <c r="AU8" s="1265"/>
      <c r="AV8" s="1265"/>
      <c r="AW8" s="1265"/>
      <c r="AX8" s="1265"/>
      <c r="AY8" s="1265"/>
      <c r="AZ8" s="201"/>
    </row>
    <row r="9" spans="2:52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408" t="str">
        <f>"On time - "&amp;COUNTIF(N10:N23,"On time")&amp;" from "&amp;ROWS(N10:N23)-COUNTIF(N10:N23," ")</f>
        <v>On time - 10 from 10</v>
      </c>
      <c r="O9" s="46"/>
      <c r="P9" s="409" t="s">
        <v>534</v>
      </c>
      <c r="Q9" s="409" t="s">
        <v>535</v>
      </c>
      <c r="R9" s="409" t="s">
        <v>536</v>
      </c>
      <c r="S9" s="32"/>
      <c r="T9" s="424" t="s">
        <v>537</v>
      </c>
      <c r="U9" s="424" t="s">
        <v>538</v>
      </c>
      <c r="V9" s="424" t="s">
        <v>539</v>
      </c>
      <c r="W9" s="424" t="s">
        <v>540</v>
      </c>
      <c r="X9" s="424" t="s">
        <v>541</v>
      </c>
      <c r="Y9" s="424" t="s">
        <v>167</v>
      </c>
      <c r="Z9" s="424" t="s">
        <v>168</v>
      </c>
      <c r="AA9" s="424" t="s">
        <v>169</v>
      </c>
      <c r="AB9" s="424" t="s">
        <v>235</v>
      </c>
      <c r="AC9" s="424" t="s">
        <v>240</v>
      </c>
      <c r="AD9" s="423" t="s">
        <v>85</v>
      </c>
      <c r="AE9" s="424" t="s">
        <v>139</v>
      </c>
      <c r="AF9" s="424" t="s">
        <v>72</v>
      </c>
      <c r="AG9" s="424" t="s">
        <v>88</v>
      </c>
      <c r="AH9" s="424" t="s">
        <v>75</v>
      </c>
      <c r="AI9" s="424" t="s">
        <v>543</v>
      </c>
      <c r="AJ9" s="424" t="s">
        <v>78</v>
      </c>
      <c r="AK9" s="424" t="s">
        <v>76</v>
      </c>
      <c r="AL9" s="424" t="s">
        <v>544</v>
      </c>
      <c r="AM9" s="424" t="s">
        <v>545</v>
      </c>
      <c r="AN9" s="424" t="s">
        <v>86</v>
      </c>
      <c r="AO9" s="424" t="s">
        <v>83</v>
      </c>
      <c r="AP9" s="424" t="s">
        <v>84</v>
      </c>
      <c r="AQ9" s="424" t="s">
        <v>546</v>
      </c>
      <c r="AR9" s="424" t="s">
        <v>81</v>
      </c>
      <c r="AS9" s="424" t="s">
        <v>80</v>
      </c>
      <c r="AT9" s="424" t="s">
        <v>82</v>
      </c>
      <c r="AU9" s="424" t="s">
        <v>181</v>
      </c>
      <c r="AV9" s="424" t="s">
        <v>183</v>
      </c>
      <c r="AW9" s="424" t="s">
        <v>547</v>
      </c>
      <c r="AX9" s="424" t="s">
        <v>182</v>
      </c>
      <c r="AY9" s="424" t="s">
        <v>172</v>
      </c>
      <c r="AZ9" s="201"/>
    </row>
    <row r="10" spans="2:52">
      <c r="B10" s="1250" t="s">
        <v>911</v>
      </c>
      <c r="C10" s="1251"/>
      <c r="D10" s="411" t="s">
        <v>771</v>
      </c>
      <c r="E10" s="425"/>
      <c r="F10" s="411" t="s">
        <v>292</v>
      </c>
      <c r="G10" s="411" t="s">
        <v>293</v>
      </c>
      <c r="H10" s="412">
        <f>7509/4</f>
        <v>1877.25</v>
      </c>
      <c r="I10" s="413" t="s">
        <v>84</v>
      </c>
      <c r="J10" s="414">
        <v>44983.1875</v>
      </c>
      <c r="K10" s="414"/>
      <c r="L10" s="414" t="s">
        <v>192</v>
      </c>
      <c r="M10" s="414" t="s">
        <v>192</v>
      </c>
      <c r="N10" s="413" t="str">
        <f t="shared" ref="N10:N22" si="0">IF(ISBLANK(J10)," ",IF(J10&lt;$F$212,"On time",(IF(DAY(J10-$F$212)&lt;1,"On time",(IF(J10&gt;$F$212,"DELAY ( "&amp;DAY(J10-$F$212)&amp;" day "&amp;HOUR(J10-$F$212)&amp;" hour "&amp;MINUTE(J10-$F$212)&amp;" minute )","xxx"))))))</f>
        <v>On time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/>
      <c r="AC10" s="416"/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>
        <f>H10</f>
        <v>1877.25</v>
      </c>
      <c r="AQ10" s="416"/>
      <c r="AR10" s="416"/>
      <c r="AS10" s="416"/>
      <c r="AT10" s="416"/>
      <c r="AU10" s="416"/>
      <c r="AV10" s="416"/>
      <c r="AW10" s="416"/>
      <c r="AX10" s="416"/>
      <c r="AY10" s="416"/>
      <c r="AZ10" s="32"/>
    </row>
    <row r="11" spans="2:52">
      <c r="B11" s="1254"/>
      <c r="C11" s="1255"/>
      <c r="D11" s="411" t="s">
        <v>858</v>
      </c>
      <c r="E11" s="411"/>
      <c r="F11" s="411" t="s">
        <v>222</v>
      </c>
      <c r="G11" s="411" t="s">
        <v>223</v>
      </c>
      <c r="H11" s="412">
        <v>7402.8980000000001</v>
      </c>
      <c r="I11" s="413" t="s">
        <v>859</v>
      </c>
      <c r="J11" s="414">
        <v>44983.3125</v>
      </c>
      <c r="K11" s="414"/>
      <c r="L11" s="414" t="s">
        <v>192</v>
      </c>
      <c r="M11" s="414" t="s">
        <v>192</v>
      </c>
      <c r="N11" s="413" t="str">
        <f t="shared" si="0"/>
        <v>On time</v>
      </c>
      <c r="O11" s="51"/>
      <c r="P11" s="415" t="s">
        <v>551</v>
      </c>
      <c r="Q11" s="415" t="s">
        <v>551</v>
      </c>
      <c r="R11" s="415" t="s">
        <v>551</v>
      </c>
      <c r="S11" s="32"/>
      <c r="T11" s="416"/>
      <c r="U11" s="416"/>
      <c r="V11" s="416"/>
      <c r="W11" s="416"/>
      <c r="X11" s="416"/>
      <c r="Y11" s="416">
        <f>H11*0.55</f>
        <v>4071.5939000000003</v>
      </c>
      <c r="Z11" s="416">
        <f>H11*0.45</f>
        <v>3331.3041000000003</v>
      </c>
      <c r="AA11" s="416"/>
      <c r="AB11" s="416"/>
      <c r="AC11" s="416"/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6"/>
      <c r="AQ11" s="416"/>
      <c r="AR11" s="416"/>
      <c r="AS11" s="416"/>
      <c r="AT11" s="416"/>
      <c r="AU11" s="416"/>
      <c r="AV11" s="416"/>
      <c r="AW11" s="416"/>
      <c r="AX11" s="416"/>
      <c r="AY11" s="416"/>
      <c r="AZ11" s="32"/>
    </row>
    <row r="12" spans="2:52">
      <c r="B12" s="1250" t="s">
        <v>1121</v>
      </c>
      <c r="C12" s="1251"/>
      <c r="D12" s="411" t="s">
        <v>771</v>
      </c>
      <c r="E12" s="425"/>
      <c r="F12" s="411" t="s">
        <v>292</v>
      </c>
      <c r="G12" s="411" t="s">
        <v>293</v>
      </c>
      <c r="H12" s="412">
        <f>H14</f>
        <v>1877.25</v>
      </c>
      <c r="I12" s="413" t="s">
        <v>84</v>
      </c>
      <c r="J12" s="414"/>
      <c r="K12" s="414"/>
      <c r="L12" s="414" t="s">
        <v>192</v>
      </c>
      <c r="M12" s="414" t="s">
        <v>192</v>
      </c>
      <c r="N12" s="413" t="str">
        <f t="shared" si="0"/>
        <v xml:space="preserve"> </v>
      </c>
      <c r="O12" s="51"/>
      <c r="P12" s="415" t="s">
        <v>551</v>
      </c>
      <c r="Q12" s="415" t="s">
        <v>551</v>
      </c>
      <c r="R12" s="415" t="s">
        <v>551</v>
      </c>
      <c r="S12" s="32"/>
      <c r="T12" s="416"/>
      <c r="U12" s="416"/>
      <c r="V12" s="416"/>
      <c r="W12" s="416"/>
      <c r="X12" s="416"/>
      <c r="Y12" s="416"/>
      <c r="Z12" s="416"/>
      <c r="AA12" s="416"/>
      <c r="AB12" s="416"/>
      <c r="AC12" s="416"/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>
        <f>H12</f>
        <v>1877.25</v>
      </c>
      <c r="AQ12" s="416"/>
      <c r="AR12" s="416"/>
      <c r="AS12" s="416"/>
      <c r="AT12" s="416"/>
      <c r="AU12" s="416"/>
      <c r="AV12" s="416"/>
      <c r="AW12" s="416"/>
      <c r="AX12" s="416"/>
      <c r="AY12" s="416"/>
      <c r="AZ12" s="32"/>
    </row>
    <row r="13" spans="2:52">
      <c r="B13" s="1254"/>
      <c r="C13" s="1255"/>
      <c r="D13" s="411" t="s">
        <v>863</v>
      </c>
      <c r="E13" s="411"/>
      <c r="F13" s="411" t="s">
        <v>390</v>
      </c>
      <c r="G13" s="411" t="s">
        <v>391</v>
      </c>
      <c r="H13" s="412">
        <v>7401.2550000000001</v>
      </c>
      <c r="I13" s="413" t="s">
        <v>859</v>
      </c>
      <c r="J13" s="414">
        <v>44984.517361111109</v>
      </c>
      <c r="K13" s="414"/>
      <c r="L13" s="414" t="s">
        <v>192</v>
      </c>
      <c r="M13" s="414" t="s">
        <v>192</v>
      </c>
      <c r="N13" s="413" t="str">
        <f t="shared" si="0"/>
        <v>On time</v>
      </c>
      <c r="O13" s="51"/>
      <c r="P13" s="415" t="s">
        <v>551</v>
      </c>
      <c r="Q13" s="415" t="s">
        <v>551</v>
      </c>
      <c r="R13" s="415" t="s">
        <v>551</v>
      </c>
      <c r="S13" s="32"/>
      <c r="T13" s="416"/>
      <c r="U13" s="416"/>
      <c r="V13" s="416"/>
      <c r="W13" s="416"/>
      <c r="X13" s="416"/>
      <c r="Y13" s="416">
        <f>H13*0.55</f>
        <v>4070.6902500000006</v>
      </c>
      <c r="Z13" s="416">
        <f>H13*0.45</f>
        <v>3330.56475</v>
      </c>
      <c r="AA13" s="416"/>
      <c r="AB13" s="416"/>
      <c r="AC13" s="416"/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32"/>
    </row>
    <row r="14" spans="2:52">
      <c r="B14" s="1250" t="s">
        <v>911</v>
      </c>
      <c r="C14" s="1251"/>
      <c r="D14" s="411" t="s">
        <v>771</v>
      </c>
      <c r="E14" s="425"/>
      <c r="F14" s="411" t="s">
        <v>292</v>
      </c>
      <c r="G14" s="411" t="s">
        <v>293</v>
      </c>
      <c r="H14" s="412">
        <f>H10</f>
        <v>1877.25</v>
      </c>
      <c r="I14" s="413" t="s">
        <v>84</v>
      </c>
      <c r="J14" s="414"/>
      <c r="K14" s="414"/>
      <c r="L14" s="414" t="s">
        <v>192</v>
      </c>
      <c r="M14" s="414" t="s">
        <v>192</v>
      </c>
      <c r="N14" s="413" t="str">
        <f t="shared" si="0"/>
        <v xml:space="preserve"> </v>
      </c>
      <c r="O14" s="51"/>
      <c r="P14" s="415" t="s">
        <v>551</v>
      </c>
      <c r="Q14" s="415" t="s">
        <v>551</v>
      </c>
      <c r="R14" s="415" t="s">
        <v>551</v>
      </c>
      <c r="S14" s="32"/>
      <c r="T14" s="416"/>
      <c r="U14" s="416"/>
      <c r="V14" s="416"/>
      <c r="W14" s="416"/>
      <c r="X14" s="416"/>
      <c r="Y14" s="416"/>
      <c r="Z14" s="416"/>
      <c r="AA14" s="416"/>
      <c r="AB14" s="416"/>
      <c r="AC14" s="416"/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>
        <f>H14</f>
        <v>1877.25</v>
      </c>
      <c r="AQ14" s="416"/>
      <c r="AR14" s="416"/>
      <c r="AS14" s="416"/>
      <c r="AT14" s="416"/>
      <c r="AU14" s="416"/>
      <c r="AV14" s="416"/>
      <c r="AW14" s="416"/>
      <c r="AX14" s="416"/>
      <c r="AY14" s="416"/>
      <c r="AZ14" s="32"/>
    </row>
    <row r="15" spans="2:52">
      <c r="B15" s="1254"/>
      <c r="C15" s="1255"/>
      <c r="D15" s="411" t="s">
        <v>860</v>
      </c>
      <c r="E15" s="411"/>
      <c r="F15" s="411" t="s">
        <v>367</v>
      </c>
      <c r="G15" s="411" t="s">
        <v>368</v>
      </c>
      <c r="H15" s="412">
        <v>10135.674999999999</v>
      </c>
      <c r="I15" s="413" t="s">
        <v>859</v>
      </c>
      <c r="J15" s="414">
        <v>44984.763888888891</v>
      </c>
      <c r="K15" s="414"/>
      <c r="L15" s="414" t="s">
        <v>192</v>
      </c>
      <c r="M15" s="414" t="s">
        <v>192</v>
      </c>
      <c r="N15" s="413" t="str">
        <f t="shared" si="0"/>
        <v>On time</v>
      </c>
      <c r="O15" s="51"/>
      <c r="P15" s="415" t="s">
        <v>551</v>
      </c>
      <c r="Q15" s="415" t="s">
        <v>551</v>
      </c>
      <c r="R15" s="415" t="s">
        <v>551</v>
      </c>
      <c r="S15" s="32"/>
      <c r="T15" s="416"/>
      <c r="U15" s="416"/>
      <c r="V15" s="416"/>
      <c r="W15" s="416"/>
      <c r="X15" s="416"/>
      <c r="Y15" s="416">
        <f>H15*0.55</f>
        <v>5574.6212500000001</v>
      </c>
      <c r="Z15" s="416">
        <f>H15*0.45</f>
        <v>4561.05375</v>
      </c>
      <c r="AA15" s="416"/>
      <c r="AB15" s="416"/>
      <c r="AC15" s="416"/>
      <c r="AD15" s="416"/>
      <c r="AE15" s="416"/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6"/>
      <c r="AS15" s="416"/>
      <c r="AT15" s="416"/>
      <c r="AU15" s="416"/>
      <c r="AV15" s="416"/>
      <c r="AW15" s="416"/>
      <c r="AX15" s="416"/>
      <c r="AY15" s="416"/>
      <c r="AZ15" s="32"/>
    </row>
    <row r="16" spans="2:52">
      <c r="B16" s="1250" t="s">
        <v>911</v>
      </c>
      <c r="C16" s="1251"/>
      <c r="D16" s="411" t="s">
        <v>771</v>
      </c>
      <c r="E16" s="425"/>
      <c r="F16" s="411" t="s">
        <v>292</v>
      </c>
      <c r="G16" s="411" t="s">
        <v>293</v>
      </c>
      <c r="H16" s="412">
        <f>H12</f>
        <v>1877.25</v>
      </c>
      <c r="I16" s="413" t="s">
        <v>84</v>
      </c>
      <c r="J16" s="414"/>
      <c r="K16" s="414"/>
      <c r="L16" s="414" t="s">
        <v>192</v>
      </c>
      <c r="M16" s="414" t="s">
        <v>192</v>
      </c>
      <c r="N16" s="413" t="str">
        <f t="shared" si="0"/>
        <v xml:space="preserve"> </v>
      </c>
      <c r="O16" s="51"/>
      <c r="P16" s="415" t="s">
        <v>551</v>
      </c>
      <c r="Q16" s="415" t="s">
        <v>551</v>
      </c>
      <c r="R16" s="415" t="s">
        <v>551</v>
      </c>
      <c r="S16" s="32"/>
      <c r="T16" s="416"/>
      <c r="U16" s="416"/>
      <c r="V16" s="416"/>
      <c r="W16" s="416"/>
      <c r="X16" s="416"/>
      <c r="Y16" s="416"/>
      <c r="Z16" s="416"/>
      <c r="AA16" s="416"/>
      <c r="AB16" s="416"/>
      <c r="AC16" s="416"/>
      <c r="AD16" s="416"/>
      <c r="AE16" s="416"/>
      <c r="AF16" s="416"/>
      <c r="AG16" s="416"/>
      <c r="AH16" s="416"/>
      <c r="AI16" s="416"/>
      <c r="AJ16" s="416"/>
      <c r="AK16" s="416"/>
      <c r="AL16" s="416"/>
      <c r="AM16" s="416"/>
      <c r="AN16" s="416"/>
      <c r="AO16" s="416"/>
      <c r="AP16" s="416">
        <f>H16</f>
        <v>1877.25</v>
      </c>
      <c r="AQ16" s="416"/>
      <c r="AR16" s="416"/>
      <c r="AS16" s="416"/>
      <c r="AT16" s="416"/>
      <c r="AU16" s="416"/>
      <c r="AV16" s="416"/>
      <c r="AW16" s="416"/>
      <c r="AX16" s="416"/>
      <c r="AY16" s="416"/>
      <c r="AZ16" s="32"/>
    </row>
    <row r="17" spans="2:52">
      <c r="B17" s="1254"/>
      <c r="C17" s="1255"/>
      <c r="D17" s="411" t="s">
        <v>861</v>
      </c>
      <c r="E17" s="411"/>
      <c r="F17" s="411" t="s">
        <v>218</v>
      </c>
      <c r="G17" s="411" t="s">
        <v>219</v>
      </c>
      <c r="H17" s="412">
        <v>7634.34</v>
      </c>
      <c r="I17" s="413" t="s">
        <v>859</v>
      </c>
      <c r="J17" s="414">
        <v>44985.8125</v>
      </c>
      <c r="K17" s="414"/>
      <c r="L17" s="414" t="s">
        <v>192</v>
      </c>
      <c r="M17" s="414" t="s">
        <v>192</v>
      </c>
      <c r="N17" s="413" t="str">
        <f t="shared" si="0"/>
        <v>On time</v>
      </c>
      <c r="O17" s="51"/>
      <c r="P17" s="415" t="s">
        <v>551</v>
      </c>
      <c r="Q17" s="415" t="s">
        <v>551</v>
      </c>
      <c r="R17" s="415" t="s">
        <v>551</v>
      </c>
      <c r="S17" s="32"/>
      <c r="T17" s="416"/>
      <c r="U17" s="416"/>
      <c r="V17" s="416"/>
      <c r="W17" s="416"/>
      <c r="X17" s="416"/>
      <c r="Y17" s="416">
        <f>H17*0.55</f>
        <v>4198.8870000000006</v>
      </c>
      <c r="Z17" s="416">
        <f>H17*0.45</f>
        <v>3435.453</v>
      </c>
      <c r="AA17" s="416"/>
      <c r="AB17" s="416"/>
      <c r="AC17" s="416"/>
      <c r="AD17" s="416"/>
      <c r="AE17" s="416"/>
      <c r="AF17" s="416"/>
      <c r="AG17" s="416"/>
      <c r="AH17" s="416"/>
      <c r="AI17" s="416"/>
      <c r="AJ17" s="416"/>
      <c r="AK17" s="416"/>
      <c r="AL17" s="416"/>
      <c r="AM17" s="416"/>
      <c r="AN17" s="416"/>
      <c r="AO17" s="416"/>
      <c r="AP17" s="416"/>
      <c r="AQ17" s="416"/>
      <c r="AR17" s="416"/>
      <c r="AS17" s="416"/>
      <c r="AT17" s="416"/>
      <c r="AU17" s="416"/>
      <c r="AV17" s="416"/>
      <c r="AW17" s="416"/>
      <c r="AX17" s="416"/>
      <c r="AY17" s="416"/>
      <c r="AZ17" s="32"/>
    </row>
    <row r="18" spans="2:52">
      <c r="B18" s="1250" t="s">
        <v>1122</v>
      </c>
      <c r="C18" s="1251"/>
      <c r="D18" s="411" t="s">
        <v>847</v>
      </c>
      <c r="E18" s="411"/>
      <c r="F18" s="411" t="s">
        <v>346</v>
      </c>
      <c r="G18" s="411" t="s">
        <v>347</v>
      </c>
      <c r="H18" s="412">
        <v>4418.1850000000004</v>
      </c>
      <c r="I18" s="413" t="s">
        <v>846</v>
      </c>
      <c r="J18" s="414">
        <v>44983.083333333336</v>
      </c>
      <c r="K18" s="414"/>
      <c r="L18" s="414" t="s">
        <v>192</v>
      </c>
      <c r="M18" s="414" t="s">
        <v>192</v>
      </c>
      <c r="N18" s="413" t="str">
        <f t="shared" si="0"/>
        <v>On time</v>
      </c>
      <c r="O18" s="51"/>
      <c r="P18" s="415" t="s">
        <v>551</v>
      </c>
      <c r="Q18" s="415" t="s">
        <v>551</v>
      </c>
      <c r="R18" s="415" t="s">
        <v>551</v>
      </c>
      <c r="S18" s="32"/>
      <c r="T18" s="416"/>
      <c r="U18" s="416"/>
      <c r="V18" s="416"/>
      <c r="W18" s="416"/>
      <c r="X18" s="416"/>
      <c r="Y18" s="416">
        <f>H18*0.3</f>
        <v>1325.4555</v>
      </c>
      <c r="Z18" s="416">
        <f>(H18*0.7)</f>
        <v>3092.7294999999999</v>
      </c>
      <c r="AA18" s="416"/>
      <c r="AB18" s="416"/>
      <c r="AC18" s="416"/>
      <c r="AD18" s="416"/>
      <c r="AE18" s="416"/>
      <c r="AF18" s="416"/>
      <c r="AG18" s="416"/>
      <c r="AH18" s="416"/>
      <c r="AI18" s="416"/>
      <c r="AJ18" s="416"/>
      <c r="AK18" s="416"/>
      <c r="AL18" s="416"/>
      <c r="AM18" s="416"/>
      <c r="AN18" s="416"/>
      <c r="AO18" s="416"/>
      <c r="AP18" s="416"/>
      <c r="AQ18" s="416"/>
      <c r="AR18" s="416"/>
      <c r="AS18" s="416"/>
      <c r="AT18" s="416"/>
      <c r="AU18" s="416"/>
      <c r="AV18" s="416"/>
      <c r="AW18" s="416"/>
      <c r="AX18" s="416"/>
      <c r="AY18" s="416"/>
      <c r="AZ18" s="32"/>
    </row>
    <row r="19" spans="2:52">
      <c r="B19" s="1254"/>
      <c r="C19" s="1255"/>
      <c r="D19" s="411" t="s">
        <v>843</v>
      </c>
      <c r="E19" s="411"/>
      <c r="F19" s="411" t="s">
        <v>284</v>
      </c>
      <c r="G19" s="411" t="s">
        <v>264</v>
      </c>
      <c r="H19" s="412">
        <v>6142.99</v>
      </c>
      <c r="I19" s="413" t="s">
        <v>840</v>
      </c>
      <c r="J19" s="414">
        <v>44984.145833333336</v>
      </c>
      <c r="K19" s="414"/>
      <c r="L19" s="414" t="s">
        <v>192</v>
      </c>
      <c r="M19" s="414" t="s">
        <v>192</v>
      </c>
      <c r="N19" s="413" t="str">
        <f t="shared" si="0"/>
        <v>On time</v>
      </c>
      <c r="O19" s="51"/>
      <c r="P19" s="415" t="s">
        <v>551</v>
      </c>
      <c r="Q19" s="415" t="s">
        <v>551</v>
      </c>
      <c r="R19" s="415" t="s">
        <v>551</v>
      </c>
      <c r="S19" s="32"/>
      <c r="T19" s="416"/>
      <c r="U19" s="416"/>
      <c r="V19" s="416"/>
      <c r="W19" s="416"/>
      <c r="X19" s="416"/>
      <c r="Y19" s="416">
        <f>H19*0.55</f>
        <v>3378.6445000000003</v>
      </c>
      <c r="Z19" s="416">
        <f>H19*0.45</f>
        <v>2764.3454999999999</v>
      </c>
      <c r="AA19" s="416"/>
      <c r="AB19" s="416"/>
      <c r="AC19" s="416"/>
      <c r="AD19" s="416"/>
      <c r="AE19" s="416"/>
      <c r="AF19" s="416"/>
      <c r="AG19" s="416"/>
      <c r="AH19" s="416"/>
      <c r="AI19" s="416"/>
      <c r="AJ19" s="416"/>
      <c r="AK19" s="416"/>
      <c r="AL19" s="416"/>
      <c r="AM19" s="416"/>
      <c r="AN19" s="416"/>
      <c r="AO19" s="416"/>
      <c r="AP19" s="416"/>
      <c r="AQ19" s="416"/>
      <c r="AR19" s="416"/>
      <c r="AS19" s="416"/>
      <c r="AT19" s="416"/>
      <c r="AU19" s="416"/>
      <c r="AV19" s="416"/>
      <c r="AW19" s="416"/>
      <c r="AX19" s="416"/>
      <c r="AY19" s="416"/>
      <c r="AZ19" s="32"/>
    </row>
    <row r="20" spans="2:52">
      <c r="B20" s="1250" t="s">
        <v>653</v>
      </c>
      <c r="C20" s="1251"/>
      <c r="D20" s="411" t="s">
        <v>760</v>
      </c>
      <c r="E20" s="411"/>
      <c r="F20" s="411" t="s">
        <v>374</v>
      </c>
      <c r="G20" s="411" t="s">
        <v>375</v>
      </c>
      <c r="H20" s="412">
        <v>7527.3950000000004</v>
      </c>
      <c r="I20" s="413" t="s">
        <v>611</v>
      </c>
      <c r="J20" s="414">
        <v>44983.170138888891</v>
      </c>
      <c r="K20" s="414"/>
      <c r="L20" s="414" t="s">
        <v>192</v>
      </c>
      <c r="M20" s="414" t="s">
        <v>192</v>
      </c>
      <c r="N20" s="413" t="str">
        <f t="shared" si="0"/>
        <v>On time</v>
      </c>
      <c r="O20" s="51"/>
      <c r="P20" s="415" t="s">
        <v>551</v>
      </c>
      <c r="Q20" s="415" t="s">
        <v>551</v>
      </c>
      <c r="R20" s="415" t="s">
        <v>551</v>
      </c>
      <c r="S20" s="32"/>
      <c r="T20" s="416">
        <f>H20</f>
        <v>7527.3950000000004</v>
      </c>
      <c r="U20" s="416"/>
      <c r="V20" s="416"/>
      <c r="W20" s="416"/>
      <c r="X20" s="416"/>
      <c r="Y20" s="416"/>
      <c r="Z20" s="416"/>
      <c r="AA20" s="416"/>
      <c r="AB20" s="416"/>
      <c r="AC20" s="416"/>
      <c r="AD20" s="416"/>
      <c r="AE20" s="416"/>
      <c r="AF20" s="416"/>
      <c r="AG20" s="416"/>
      <c r="AH20" s="416"/>
      <c r="AI20" s="416"/>
      <c r="AJ20" s="416"/>
      <c r="AK20" s="416"/>
      <c r="AL20" s="416"/>
      <c r="AM20" s="416"/>
      <c r="AN20" s="416"/>
      <c r="AO20" s="416"/>
      <c r="AP20" s="416"/>
      <c r="AQ20" s="416"/>
      <c r="AR20" s="416"/>
      <c r="AS20" s="416"/>
      <c r="AT20" s="416"/>
      <c r="AU20" s="416"/>
      <c r="AV20" s="416"/>
      <c r="AW20" s="416"/>
      <c r="AX20" s="416"/>
      <c r="AY20" s="416"/>
      <c r="AZ20" s="32"/>
    </row>
    <row r="21" spans="2:52">
      <c r="B21" s="1254"/>
      <c r="C21" s="1255"/>
      <c r="D21" s="411" t="s">
        <v>856</v>
      </c>
      <c r="E21" s="411"/>
      <c r="F21" s="411" t="s">
        <v>323</v>
      </c>
      <c r="G21" s="411" t="s">
        <v>324</v>
      </c>
      <c r="H21" s="412">
        <v>7465.3490000000002</v>
      </c>
      <c r="I21" s="413" t="s">
        <v>835</v>
      </c>
      <c r="J21" s="414">
        <v>44986.625</v>
      </c>
      <c r="K21" s="414"/>
      <c r="L21" s="414" t="s">
        <v>192</v>
      </c>
      <c r="M21" s="414" t="s">
        <v>192</v>
      </c>
      <c r="N21" s="413" t="str">
        <f t="shared" si="0"/>
        <v>On time</v>
      </c>
      <c r="O21" s="51"/>
      <c r="P21" s="415" t="s">
        <v>551</v>
      </c>
      <c r="Q21" s="415" t="s">
        <v>551</v>
      </c>
      <c r="R21" s="415" t="s">
        <v>551</v>
      </c>
      <c r="S21" s="32"/>
      <c r="T21" s="416"/>
      <c r="U21" s="416"/>
      <c r="V21" s="416"/>
      <c r="W21" s="416"/>
      <c r="X21" s="416"/>
      <c r="Y21" s="416"/>
      <c r="Z21" s="416">
        <f>H21</f>
        <v>7465.3490000000002</v>
      </c>
      <c r="AA21" s="416"/>
      <c r="AB21" s="416"/>
      <c r="AC21" s="416"/>
      <c r="AD21" s="416"/>
      <c r="AE21" s="416"/>
      <c r="AF21" s="416"/>
      <c r="AG21" s="416"/>
      <c r="AH21" s="416"/>
      <c r="AI21" s="416"/>
      <c r="AJ21" s="416"/>
      <c r="AK21" s="416"/>
      <c r="AL21" s="416"/>
      <c r="AM21" s="416"/>
      <c r="AN21" s="416"/>
      <c r="AO21" s="416"/>
      <c r="AP21" s="416"/>
      <c r="AQ21" s="416"/>
      <c r="AR21" s="416"/>
      <c r="AS21" s="416"/>
      <c r="AT21" s="416"/>
      <c r="AU21" s="416"/>
      <c r="AV21" s="416"/>
      <c r="AW21" s="416"/>
      <c r="AX21" s="416"/>
      <c r="AY21" s="416"/>
      <c r="AZ21" s="32"/>
    </row>
    <row r="22" spans="2:52">
      <c r="B22" s="1256" t="s">
        <v>548</v>
      </c>
      <c r="C22" s="1257"/>
      <c r="D22" s="411" t="s">
        <v>862</v>
      </c>
      <c r="E22" s="411"/>
      <c r="F22" s="411" t="s">
        <v>233</v>
      </c>
      <c r="G22" s="411" t="s">
        <v>234</v>
      </c>
      <c r="H22" s="412">
        <f>7606.282-3293.36900000001</f>
        <v>4312.9129999999896</v>
      </c>
      <c r="I22" s="413" t="s">
        <v>494</v>
      </c>
      <c r="J22" s="414">
        <v>44985.708333333336</v>
      </c>
      <c r="K22" s="414"/>
      <c r="L22" s="414" t="s">
        <v>192</v>
      </c>
      <c r="M22" s="414" t="s">
        <v>192</v>
      </c>
      <c r="N22" s="413" t="str">
        <f t="shared" si="0"/>
        <v>On time</v>
      </c>
      <c r="O22" s="51"/>
      <c r="P22" s="415" t="s">
        <v>551</v>
      </c>
      <c r="Q22" s="415" t="s">
        <v>551</v>
      </c>
      <c r="R22" s="415" t="s">
        <v>551</v>
      </c>
      <c r="S22" s="32"/>
      <c r="T22" s="416"/>
      <c r="U22" s="416"/>
      <c r="V22" s="416"/>
      <c r="W22" s="416"/>
      <c r="X22" s="416"/>
      <c r="Y22" s="416">
        <f>H22</f>
        <v>4312.9129999999896</v>
      </c>
      <c r="Z22" s="416"/>
      <c r="AA22" s="416"/>
      <c r="AB22" s="416"/>
      <c r="AC22" s="416"/>
      <c r="AD22" s="416"/>
      <c r="AE22" s="416"/>
      <c r="AF22" s="416"/>
      <c r="AG22" s="416"/>
      <c r="AH22" s="416"/>
      <c r="AI22" s="416"/>
      <c r="AJ22" s="416"/>
      <c r="AK22" s="416"/>
      <c r="AL22" s="416"/>
      <c r="AM22" s="416"/>
      <c r="AN22" s="416"/>
      <c r="AO22" s="416"/>
      <c r="AP22" s="416"/>
      <c r="AQ22" s="416"/>
      <c r="AR22" s="416"/>
      <c r="AS22" s="416"/>
      <c r="AT22" s="416"/>
      <c r="AU22" s="416"/>
      <c r="AV22" s="416"/>
      <c r="AW22" s="416"/>
      <c r="AX22" s="416"/>
      <c r="AY22" s="416"/>
      <c r="AZ22" s="32"/>
    </row>
    <row r="23" spans="2:52">
      <c r="B23" s="1258" t="s">
        <v>556</v>
      </c>
      <c r="C23" s="1259"/>
      <c r="D23" s="1259"/>
      <c r="E23" s="1259"/>
      <c r="F23" s="1259"/>
      <c r="G23" s="1260"/>
      <c r="H23" s="417">
        <f>SUM(H10:H22)</f>
        <v>69949.999999999985</v>
      </c>
      <c r="I23" s="388"/>
      <c r="J23" s="293"/>
      <c r="K23" s="293"/>
      <c r="L23" s="293"/>
      <c r="M23" s="389"/>
      <c r="N23" s="413" t="str">
        <f>IF(ISBLANK(J23)," ",IF(J23&lt;#REF!,"On time",(IF(DAY(J23-#REF!)&lt;1,"On time",(IF(J23&gt;#REF!,"DELAY ( "&amp;DAY(J23-#REF!)&amp;" day "&amp;HOUR(J23-#REF!)&amp;" hour "&amp;MINUTE(J23-#REF!)&amp;" minute )","xxx"))))))</f>
        <v xml:space="preserve"> </v>
      </c>
      <c r="O23" s="212"/>
      <c r="P23" s="418"/>
      <c r="Q23" s="418"/>
      <c r="R23" s="418"/>
      <c r="S23" s="207"/>
      <c r="T23" s="1262"/>
      <c r="U23" s="1263"/>
      <c r="V23" s="1263"/>
      <c r="W23" s="1263"/>
      <c r="X23" s="1263"/>
      <c r="Y23" s="1263"/>
      <c r="Z23" s="1263"/>
      <c r="AA23" s="1263"/>
      <c r="AB23" s="1263"/>
      <c r="AC23" s="1263"/>
      <c r="AD23" s="1263"/>
      <c r="AE23" s="1263"/>
      <c r="AF23" s="1263"/>
      <c r="AG23" s="1263"/>
      <c r="AH23" s="1263"/>
      <c r="AI23" s="1263"/>
      <c r="AJ23" s="1263"/>
      <c r="AK23" s="1263"/>
      <c r="AL23" s="1263"/>
      <c r="AM23" s="1263"/>
      <c r="AN23" s="1263"/>
      <c r="AO23" s="1263"/>
      <c r="AP23" s="1263"/>
      <c r="AQ23" s="1263"/>
      <c r="AR23" s="1263"/>
      <c r="AS23" s="1263"/>
      <c r="AT23" s="1263"/>
      <c r="AU23" s="1263"/>
      <c r="AV23" s="1263"/>
      <c r="AW23" s="1263"/>
      <c r="AX23" s="1263"/>
      <c r="AY23" s="1264"/>
    </row>
    <row r="24" spans="2:52">
      <c r="B24" s="1243" t="s">
        <v>557</v>
      </c>
      <c r="C24" s="1244"/>
      <c r="D24" s="1244"/>
      <c r="E24" s="1244"/>
      <c r="F24" s="1244"/>
      <c r="G24" s="1245"/>
      <c r="H24" s="419">
        <v>69950</v>
      </c>
      <c r="I24" s="1273"/>
      <c r="J24" s="1274"/>
      <c r="K24" s="1274"/>
      <c r="L24" s="1274"/>
      <c r="M24" s="1275"/>
      <c r="N24" s="413" t="str">
        <f>IF(ISBLANK(J24)," ",IF(J24&lt;#REF!,"On time",(IF(DAY(J24-#REF!)&lt;1,"On time",(IF(J24&gt;#REF!,"DELAY ( "&amp;DAY(J24-#REF!)&amp;" day "&amp;HOUR(J24-#REF!)&amp;" hour "&amp;MINUTE(J24-#REF!)&amp;" minute )","xxx"))))))</f>
        <v xml:space="preserve"> </v>
      </c>
      <c r="O24" s="32"/>
      <c r="P24" s="415"/>
      <c r="Q24" s="415"/>
      <c r="R24" s="415"/>
      <c r="S24" s="63"/>
      <c r="T24" s="416">
        <f t="shared" ref="T24:AY24" si="1">SUM(T10:T22)</f>
        <v>7527.3950000000004</v>
      </c>
      <c r="U24" s="416">
        <f t="shared" si="1"/>
        <v>0</v>
      </c>
      <c r="V24" s="416">
        <f t="shared" si="1"/>
        <v>0</v>
      </c>
      <c r="W24" s="416">
        <f t="shared" si="1"/>
        <v>0</v>
      </c>
      <c r="X24" s="416">
        <f t="shared" si="1"/>
        <v>0</v>
      </c>
      <c r="Y24" s="416">
        <f t="shared" si="1"/>
        <v>26932.805399999994</v>
      </c>
      <c r="Z24" s="416">
        <f t="shared" si="1"/>
        <v>27980.799599999998</v>
      </c>
      <c r="AA24" s="416">
        <f t="shared" si="1"/>
        <v>0</v>
      </c>
      <c r="AB24" s="416">
        <f t="shared" si="1"/>
        <v>0</v>
      </c>
      <c r="AC24" s="416">
        <f t="shared" si="1"/>
        <v>0</v>
      </c>
      <c r="AD24" s="416">
        <f t="shared" si="1"/>
        <v>0</v>
      </c>
      <c r="AE24" s="416">
        <f t="shared" si="1"/>
        <v>0</v>
      </c>
      <c r="AF24" s="416">
        <f t="shared" si="1"/>
        <v>0</v>
      </c>
      <c r="AG24" s="416">
        <f t="shared" si="1"/>
        <v>0</v>
      </c>
      <c r="AH24" s="416">
        <f t="shared" si="1"/>
        <v>0</v>
      </c>
      <c r="AI24" s="416">
        <f t="shared" si="1"/>
        <v>0</v>
      </c>
      <c r="AJ24" s="416">
        <f t="shared" si="1"/>
        <v>0</v>
      </c>
      <c r="AK24" s="416">
        <f t="shared" si="1"/>
        <v>0</v>
      </c>
      <c r="AL24" s="416">
        <f t="shared" si="1"/>
        <v>0</v>
      </c>
      <c r="AM24" s="416">
        <f t="shared" si="1"/>
        <v>0</v>
      </c>
      <c r="AN24" s="416">
        <f t="shared" si="1"/>
        <v>0</v>
      </c>
      <c r="AO24" s="416">
        <f t="shared" si="1"/>
        <v>0</v>
      </c>
      <c r="AP24" s="416">
        <f t="shared" si="1"/>
        <v>7509</v>
      </c>
      <c r="AQ24" s="416">
        <f t="shared" si="1"/>
        <v>0</v>
      </c>
      <c r="AR24" s="416">
        <f t="shared" si="1"/>
        <v>0</v>
      </c>
      <c r="AS24" s="416">
        <f t="shared" si="1"/>
        <v>0</v>
      </c>
      <c r="AT24" s="416">
        <f t="shared" si="1"/>
        <v>0</v>
      </c>
      <c r="AU24" s="416">
        <f t="shared" si="1"/>
        <v>0</v>
      </c>
      <c r="AV24" s="416">
        <f t="shared" si="1"/>
        <v>0</v>
      </c>
      <c r="AW24" s="416">
        <f t="shared" si="1"/>
        <v>0</v>
      </c>
      <c r="AX24" s="416">
        <f t="shared" si="1"/>
        <v>0</v>
      </c>
      <c r="AY24" s="416">
        <f t="shared" si="1"/>
        <v>0</v>
      </c>
      <c r="AZ24" s="416">
        <f>SUM(T24:AY24)</f>
        <v>69950</v>
      </c>
    </row>
    <row r="25" spans="2:52">
      <c r="B25" s="1243" t="s">
        <v>558</v>
      </c>
      <c r="C25" s="1244"/>
      <c r="D25" s="1244"/>
      <c r="E25" s="1244"/>
      <c r="F25" s="1244"/>
      <c r="G25" s="1245"/>
      <c r="H25" s="420">
        <f>H24-L4</f>
        <v>0</v>
      </c>
      <c r="I25" s="294"/>
      <c r="J25" s="295"/>
      <c r="K25" s="295"/>
      <c r="L25" s="296"/>
      <c r="M25" s="32"/>
      <c r="N25" s="32"/>
      <c r="O25" s="32"/>
      <c r="P25" s="32"/>
      <c r="Q25" s="297"/>
      <c r="R25" s="297"/>
      <c r="S25" s="32"/>
      <c r="T25" s="48"/>
      <c r="U25" s="48"/>
      <c r="V25" s="48"/>
      <c r="W25" s="48"/>
      <c r="X25" s="48"/>
      <c r="Y25" s="48"/>
      <c r="Z25" s="48"/>
      <c r="AA25" s="48"/>
      <c r="AB25" s="48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</row>
    <row r="26" spans="2:52">
      <c r="B26" s="1243" t="s">
        <v>559</v>
      </c>
      <c r="C26" s="1244"/>
      <c r="D26" s="1244"/>
      <c r="E26" s="1244"/>
      <c r="F26" s="1244"/>
      <c r="G26" s="1245"/>
      <c r="H26" s="420">
        <v>3290.1379999999999</v>
      </c>
      <c r="I26" s="52"/>
      <c r="J26" s="53"/>
      <c r="K26" s="53"/>
      <c r="L26" s="54"/>
      <c r="M26" s="32"/>
      <c r="N26" s="201"/>
      <c r="O26" s="32"/>
      <c r="P26" s="32"/>
      <c r="Q26" s="32"/>
      <c r="R26" s="32"/>
      <c r="S26" s="32"/>
      <c r="T26" s="48"/>
      <c r="U26" s="48"/>
      <c r="V26" s="48"/>
      <c r="W26" s="48"/>
      <c r="X26" s="48"/>
      <c r="Y26" s="48"/>
      <c r="Z26" s="48"/>
      <c r="AA26" s="48"/>
      <c r="AB26" s="48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</row>
    <row r="27" spans="2:52">
      <c r="B27" s="1243" t="s">
        <v>560</v>
      </c>
      <c r="C27" s="1244"/>
      <c r="D27" s="1244"/>
      <c r="E27" s="1244"/>
      <c r="F27" s="1244"/>
      <c r="G27" s="1245"/>
      <c r="H27" s="421">
        <f>H26-3293.36900000001</f>
        <v>-3.2310000000102264</v>
      </c>
      <c r="I27" s="255"/>
      <c r="J27" s="53"/>
      <c r="K27" s="53"/>
      <c r="L27" s="54"/>
      <c r="M27" s="32"/>
      <c r="N27" s="32"/>
      <c r="O27" s="32"/>
      <c r="P27" s="32"/>
      <c r="Q27" s="32"/>
      <c r="R27" s="32"/>
      <c r="S27" s="48"/>
      <c r="T27" s="48"/>
      <c r="U27" s="48"/>
      <c r="V27" s="48"/>
      <c r="W27" s="48"/>
      <c r="X27" s="48"/>
      <c r="Y27" s="48"/>
      <c r="Z27" s="48"/>
      <c r="AA27" s="48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</row>
    <row r="28" spans="2:52">
      <c r="B28" s="201"/>
      <c r="C28" s="201"/>
      <c r="D28" s="201"/>
      <c r="E28" s="201"/>
      <c r="F28" s="201"/>
      <c r="G28" s="201"/>
      <c r="H28" s="201"/>
      <c r="I28" s="213"/>
      <c r="J28" s="209"/>
      <c r="K28" s="209"/>
      <c r="L28" s="203"/>
      <c r="M28" s="201"/>
      <c r="N28" s="201"/>
      <c r="O28" s="209"/>
      <c r="P28" s="32"/>
      <c r="Q28" s="32"/>
      <c r="R28" s="32"/>
      <c r="S28" s="32"/>
      <c r="T28" s="48"/>
      <c r="U28" s="48"/>
      <c r="V28" s="48"/>
      <c r="W28" s="48"/>
      <c r="X28" s="48"/>
      <c r="Y28" s="48"/>
      <c r="Z28" s="48"/>
      <c r="AA28" s="48"/>
      <c r="AB28" s="48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</row>
    <row r="29" spans="2:52">
      <c r="B29" s="40" t="s">
        <v>561</v>
      </c>
      <c r="C29" s="40"/>
      <c r="D29" s="32"/>
      <c r="E29" s="32"/>
      <c r="F29" s="32"/>
      <c r="G29" s="32"/>
      <c r="H29" s="32"/>
      <c r="I29" s="32"/>
      <c r="J29" s="52"/>
      <c r="K29" s="52"/>
      <c r="L29" s="55"/>
      <c r="M29" s="32"/>
      <c r="N29" s="201"/>
      <c r="O29" s="5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Z29" s="201"/>
    </row>
    <row r="30" spans="2:52">
      <c r="B30" s="422">
        <v>1</v>
      </c>
      <c r="C30" s="1249" t="s">
        <v>1123</v>
      </c>
      <c r="D30" s="1249"/>
      <c r="E30" s="1249"/>
      <c r="F30" s="1249"/>
      <c r="G30" s="1249"/>
      <c r="H30" s="1249"/>
      <c r="I30" s="1249"/>
      <c r="J30" s="1249"/>
      <c r="K30" s="1249"/>
      <c r="L30" s="203"/>
      <c r="M30" s="201"/>
      <c r="N30" s="201"/>
      <c r="O30" s="209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Z30" s="201"/>
    </row>
    <row r="31" spans="2:52">
      <c r="U31" s="267"/>
    </row>
    <row r="32" spans="2:52">
      <c r="B32" s="28" t="s">
        <v>126</v>
      </c>
      <c r="C32" s="28"/>
      <c r="D32" s="29"/>
      <c r="E32" s="30" t="s">
        <v>511</v>
      </c>
      <c r="F32" s="31" t="s">
        <v>699</v>
      </c>
      <c r="G32" s="32"/>
      <c r="H32" s="33"/>
      <c r="I32" s="34"/>
      <c r="J32" s="35" t="s">
        <v>513</v>
      </c>
      <c r="K32" s="36" t="s">
        <v>511</v>
      </c>
      <c r="L32" s="37">
        <v>44988.673611111109</v>
      </c>
      <c r="M32" s="32"/>
      <c r="N32" s="32"/>
      <c r="O32" s="206"/>
      <c r="P32" s="205"/>
      <c r="Q32" s="202"/>
      <c r="R32" s="204"/>
      <c r="S32" s="38"/>
      <c r="T32" s="201"/>
      <c r="U32" s="201"/>
      <c r="V32" s="201"/>
      <c r="W32" s="201"/>
      <c r="X32" s="201"/>
      <c r="Y32" s="201"/>
      <c r="Z32" s="201"/>
      <c r="AA32" s="201"/>
      <c r="AB32" s="202"/>
      <c r="AC32" s="202"/>
      <c r="AD32" s="202"/>
      <c r="AE32" s="202"/>
      <c r="AF32" s="202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</row>
    <row r="33" spans="2:52">
      <c r="B33" s="35" t="s">
        <v>514</v>
      </c>
      <c r="C33" s="35"/>
      <c r="D33" s="32"/>
      <c r="E33" s="36" t="s">
        <v>511</v>
      </c>
      <c r="F33" s="37" t="s">
        <v>1124</v>
      </c>
      <c r="G33" s="32"/>
      <c r="H33" s="33"/>
      <c r="I33" s="34"/>
      <c r="J33" s="35" t="s">
        <v>516</v>
      </c>
      <c r="K33" s="36" t="s">
        <v>511</v>
      </c>
      <c r="L33" s="37">
        <v>44991.4375</v>
      </c>
      <c r="M33" s="32"/>
      <c r="N33" s="32"/>
      <c r="O33" s="206"/>
      <c r="P33" s="205"/>
      <c r="Q33" s="202"/>
      <c r="R33" s="204"/>
      <c r="S33" s="38"/>
      <c r="T33" s="201"/>
      <c r="U33" s="201"/>
      <c r="V33" s="201"/>
      <c r="W33" s="201"/>
      <c r="X33" s="201"/>
      <c r="Y33" s="201"/>
      <c r="Z33" s="201"/>
      <c r="AA33" s="201"/>
      <c r="AB33" s="202"/>
      <c r="AC33" s="202"/>
      <c r="AD33" s="202"/>
      <c r="AE33" s="202"/>
      <c r="AF33" s="202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</row>
    <row r="34" spans="2:52">
      <c r="B34" s="35" t="s">
        <v>517</v>
      </c>
      <c r="C34" s="35"/>
      <c r="D34" s="32"/>
      <c r="E34" s="36" t="s">
        <v>511</v>
      </c>
      <c r="F34" s="37">
        <v>44982.378472222219</v>
      </c>
      <c r="G34" s="32"/>
      <c r="H34" s="33"/>
      <c r="I34" s="34"/>
      <c r="J34" s="35" t="s">
        <v>518</v>
      </c>
      <c r="K34" s="36" t="s">
        <v>511</v>
      </c>
      <c r="L34" s="50">
        <v>77000.000000000015</v>
      </c>
      <c r="M34" s="40" t="s">
        <v>519</v>
      </c>
      <c r="N34" s="40"/>
      <c r="O34" s="206"/>
      <c r="P34" s="205"/>
      <c r="Q34" s="202"/>
      <c r="R34" s="204"/>
      <c r="S34" s="38"/>
      <c r="T34" s="201"/>
      <c r="U34" s="201"/>
      <c r="V34" s="201"/>
      <c r="W34" s="201"/>
      <c r="X34" s="201"/>
      <c r="Y34" s="201"/>
      <c r="Z34" s="201"/>
      <c r="AA34" s="201"/>
      <c r="AB34" s="202"/>
      <c r="AC34" s="202"/>
      <c r="AD34" s="202"/>
      <c r="AE34" s="202"/>
      <c r="AF34" s="202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201"/>
      <c r="AV34" s="201"/>
      <c r="AW34" s="201"/>
      <c r="AX34" s="201"/>
      <c r="AY34" s="201"/>
      <c r="AZ34" s="201"/>
    </row>
    <row r="35" spans="2:52">
      <c r="B35" s="35" t="s">
        <v>520</v>
      </c>
      <c r="C35" s="35"/>
      <c r="D35" s="32"/>
      <c r="E35" s="36" t="s">
        <v>511</v>
      </c>
      <c r="F35" s="37" t="s">
        <v>12</v>
      </c>
      <c r="G35" s="32"/>
      <c r="H35" s="33"/>
      <c r="I35" s="34"/>
      <c r="J35" s="35" t="s">
        <v>521</v>
      </c>
      <c r="K35" s="36" t="s">
        <v>511</v>
      </c>
      <c r="L35" s="41" t="s">
        <v>1125</v>
      </c>
      <c r="M35" s="32"/>
      <c r="N35" s="32"/>
      <c r="O35" s="206"/>
      <c r="P35" s="202"/>
      <c r="Q35" s="202"/>
      <c r="R35" s="204"/>
      <c r="S35" s="38"/>
      <c r="T35" s="201"/>
      <c r="U35" s="201"/>
      <c r="V35" s="201"/>
      <c r="W35" s="201"/>
      <c r="X35" s="201"/>
      <c r="Y35" s="201"/>
      <c r="Z35" s="201"/>
      <c r="AA35" s="201"/>
      <c r="AB35" s="202"/>
      <c r="AC35" s="202"/>
      <c r="AD35" s="202"/>
      <c r="AE35" s="202"/>
      <c r="AF35" s="202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</row>
    <row r="36" spans="2:52">
      <c r="B36" s="35" t="s">
        <v>523</v>
      </c>
      <c r="C36" s="35"/>
      <c r="D36" s="32"/>
      <c r="E36" s="36" t="s">
        <v>511</v>
      </c>
      <c r="F36" s="37" t="s">
        <v>37</v>
      </c>
      <c r="G36" s="32"/>
      <c r="H36" s="33"/>
      <c r="I36" s="34"/>
      <c r="J36" s="42" t="s">
        <v>524</v>
      </c>
      <c r="K36" s="36" t="s">
        <v>511</v>
      </c>
      <c r="L36" s="43" t="s">
        <v>15</v>
      </c>
      <c r="M36" s="44"/>
      <c r="N36" s="44"/>
      <c r="O36" s="206"/>
      <c r="P36" s="205"/>
      <c r="Q36" s="202"/>
      <c r="R36" s="204"/>
      <c r="S36" s="38"/>
      <c r="T36" s="201"/>
      <c r="U36" s="201"/>
      <c r="V36" s="201"/>
      <c r="W36" s="201"/>
      <c r="X36" s="201"/>
      <c r="Y36" s="201"/>
      <c r="Z36" s="201"/>
      <c r="AA36" s="201"/>
      <c r="AB36" s="202"/>
      <c r="AC36" s="202"/>
      <c r="AD36" s="202"/>
      <c r="AE36" s="202"/>
      <c r="AF36" s="202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  <c r="AT36" s="201"/>
      <c r="AU36" s="201"/>
      <c r="AV36" s="201"/>
      <c r="AW36" s="201"/>
      <c r="AX36" s="201"/>
      <c r="AY36" s="201"/>
      <c r="AZ36" s="201"/>
    </row>
    <row r="37" spans="2:52">
      <c r="B37" s="35" t="s">
        <v>2</v>
      </c>
      <c r="C37" s="35"/>
      <c r="D37" s="32"/>
      <c r="E37" s="36" t="s">
        <v>511</v>
      </c>
      <c r="F37" s="37" t="s">
        <v>14</v>
      </c>
      <c r="G37" s="32"/>
      <c r="H37" s="33"/>
      <c r="I37" s="45"/>
      <c r="J37" s="42"/>
      <c r="K37" s="36"/>
      <c r="L37" s="211"/>
      <c r="M37" s="201"/>
      <c r="N37" s="201"/>
      <c r="O37" s="42"/>
      <c r="P37" s="44"/>
      <c r="Q37" s="44"/>
      <c r="R37" s="44"/>
      <c r="S37" s="34"/>
      <c r="T37" s="201"/>
      <c r="U37" s="201"/>
      <c r="V37" s="201"/>
      <c r="W37" s="201"/>
      <c r="X37" s="201"/>
      <c r="Y37" s="201"/>
      <c r="Z37" s="201"/>
      <c r="AA37" s="201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201"/>
      <c r="AP37" s="201"/>
      <c r="AQ37" s="201"/>
      <c r="AR37" s="201"/>
      <c r="AS37" s="201"/>
      <c r="AT37" s="201"/>
      <c r="AU37" s="201"/>
      <c r="AV37" s="201"/>
      <c r="AW37" s="201"/>
      <c r="AX37" s="201"/>
      <c r="AY37" s="201"/>
      <c r="AZ37" s="201"/>
    </row>
    <row r="38" spans="2:52">
      <c r="B38" s="201"/>
      <c r="C38" s="201"/>
      <c r="D38" s="201"/>
      <c r="E38" s="201"/>
      <c r="F38" s="201"/>
      <c r="G38" s="201"/>
      <c r="H38" s="201"/>
      <c r="I38" s="45"/>
      <c r="J38" s="42"/>
      <c r="K38" s="42"/>
      <c r="L38" s="43"/>
      <c r="M38" s="44"/>
      <c r="N38" s="44"/>
      <c r="O38" s="42"/>
      <c r="P38" s="44"/>
      <c r="Q38" s="44"/>
      <c r="R38" s="44"/>
      <c r="S38" s="34"/>
      <c r="T38" s="1265" t="s">
        <v>87</v>
      </c>
      <c r="U38" s="1265"/>
      <c r="V38" s="1265"/>
      <c r="W38" s="1265"/>
      <c r="X38" s="1265"/>
      <c r="Y38" s="1265" t="s">
        <v>73</v>
      </c>
      <c r="Z38" s="1265"/>
      <c r="AA38" s="1265"/>
      <c r="AB38" s="1265" t="s">
        <v>74</v>
      </c>
      <c r="AC38" s="1265"/>
      <c r="AD38" s="423" t="s">
        <v>85</v>
      </c>
      <c r="AE38" s="423" t="s">
        <v>77</v>
      </c>
      <c r="AF38" s="1265" t="s">
        <v>525</v>
      </c>
      <c r="AG38" s="1265"/>
      <c r="AH38" s="1265"/>
      <c r="AI38" s="1265"/>
      <c r="AJ38" s="1265"/>
      <c r="AK38" s="1265"/>
      <c r="AL38" s="1265"/>
      <c r="AM38" s="1265"/>
      <c r="AN38" s="1265"/>
      <c r="AO38" s="1265"/>
      <c r="AP38" s="1265"/>
      <c r="AQ38" s="1265"/>
      <c r="AR38" s="1265"/>
      <c r="AS38" s="1265"/>
      <c r="AT38" s="1265"/>
      <c r="AU38" s="1265"/>
      <c r="AV38" s="1265"/>
      <c r="AW38" s="1265"/>
      <c r="AX38" s="1265"/>
      <c r="AY38" s="1265"/>
      <c r="AZ38" s="201"/>
    </row>
    <row r="39" spans="2:52">
      <c r="B39" s="1266" t="s">
        <v>526</v>
      </c>
      <c r="C39" s="1267"/>
      <c r="D39" s="570" t="s">
        <v>527</v>
      </c>
      <c r="E39" s="570"/>
      <c r="F39" s="570" t="s">
        <v>528</v>
      </c>
      <c r="G39" s="570" t="s">
        <v>529</v>
      </c>
      <c r="H39" s="570" t="s">
        <v>530</v>
      </c>
      <c r="I39" s="570" t="s">
        <v>531</v>
      </c>
      <c r="J39" s="570" t="s">
        <v>532</v>
      </c>
      <c r="K39" s="570"/>
      <c r="L39" s="570" t="s">
        <v>130</v>
      </c>
      <c r="M39" s="570" t="s">
        <v>533</v>
      </c>
      <c r="N39" s="408" t="str">
        <f>"On time - "&amp;COUNTIF(N40:N54,"On time")&amp;" from "&amp;ROWS(N40:N54)-COUNTIF(N40:N54," ")</f>
        <v>On time - 2 from 12</v>
      </c>
      <c r="O39" s="46"/>
      <c r="P39" s="409" t="s">
        <v>534</v>
      </c>
      <c r="Q39" s="409" t="s">
        <v>535</v>
      </c>
      <c r="R39" s="409" t="s">
        <v>536</v>
      </c>
      <c r="S39" s="32"/>
      <c r="T39" s="424" t="s">
        <v>537</v>
      </c>
      <c r="U39" s="424" t="s">
        <v>538</v>
      </c>
      <c r="V39" s="424" t="s">
        <v>539</v>
      </c>
      <c r="W39" s="424" t="s">
        <v>540</v>
      </c>
      <c r="X39" s="424" t="s">
        <v>541</v>
      </c>
      <c r="Y39" s="424" t="s">
        <v>167</v>
      </c>
      <c r="Z39" s="424" t="s">
        <v>168</v>
      </c>
      <c r="AA39" s="424" t="s">
        <v>169</v>
      </c>
      <c r="AB39" s="424" t="s">
        <v>235</v>
      </c>
      <c r="AC39" s="424" t="s">
        <v>240</v>
      </c>
      <c r="AD39" s="423" t="s">
        <v>85</v>
      </c>
      <c r="AE39" s="424" t="s">
        <v>139</v>
      </c>
      <c r="AF39" s="424" t="s">
        <v>72</v>
      </c>
      <c r="AG39" s="424" t="s">
        <v>88</v>
      </c>
      <c r="AH39" s="424" t="s">
        <v>75</v>
      </c>
      <c r="AI39" s="424" t="s">
        <v>543</v>
      </c>
      <c r="AJ39" s="424" t="s">
        <v>78</v>
      </c>
      <c r="AK39" s="424" t="s">
        <v>76</v>
      </c>
      <c r="AL39" s="424" t="s">
        <v>544</v>
      </c>
      <c r="AM39" s="424" t="s">
        <v>545</v>
      </c>
      <c r="AN39" s="424" t="s">
        <v>86</v>
      </c>
      <c r="AO39" s="424" t="s">
        <v>83</v>
      </c>
      <c r="AP39" s="424" t="s">
        <v>84</v>
      </c>
      <c r="AQ39" s="424" t="s">
        <v>546</v>
      </c>
      <c r="AR39" s="424" t="s">
        <v>81</v>
      </c>
      <c r="AS39" s="424" t="s">
        <v>80</v>
      </c>
      <c r="AT39" s="424" t="s">
        <v>82</v>
      </c>
      <c r="AU39" s="424" t="s">
        <v>181</v>
      </c>
      <c r="AV39" s="424" t="s">
        <v>183</v>
      </c>
      <c r="AW39" s="424" t="s">
        <v>547</v>
      </c>
      <c r="AX39" s="424" t="s">
        <v>182</v>
      </c>
      <c r="AY39" s="424" t="s">
        <v>172</v>
      </c>
      <c r="AZ39" s="201"/>
    </row>
    <row r="40" spans="2:52">
      <c r="B40" s="1250" t="s">
        <v>1126</v>
      </c>
      <c r="C40" s="1251"/>
      <c r="D40" s="411" t="s">
        <v>697</v>
      </c>
      <c r="E40" s="411"/>
      <c r="F40" s="411" t="s">
        <v>310</v>
      </c>
      <c r="G40" s="411" t="s">
        <v>311</v>
      </c>
      <c r="H40" s="412">
        <v>4696</v>
      </c>
      <c r="I40" s="413" t="s">
        <v>235</v>
      </c>
      <c r="J40" s="414">
        <v>44979.90625</v>
      </c>
      <c r="K40" s="414"/>
      <c r="L40" s="414" t="s">
        <v>192</v>
      </c>
      <c r="M40" s="414" t="s">
        <v>192</v>
      </c>
      <c r="N40" s="413" t="str">
        <f t="shared" ref="N40:N54" si="2">IF(ISBLANK(J40)," ",IF(J40&lt;$F$34,"On time",(IF(DAY(J40-$F$34)&lt;1,"On time",(IF(J40&gt;$F$34,"DELAY ( "&amp;DAY(J40-$F$34)&amp;" day "&amp;HOUR(J40-$F$34)&amp;" hour "&amp;MINUTE(J40-$F$34)&amp;" minute )","xxx"))))))</f>
        <v>On time</v>
      </c>
      <c r="O40" s="51"/>
      <c r="P40" s="415" t="s">
        <v>551</v>
      </c>
      <c r="Q40" s="415" t="s">
        <v>551</v>
      </c>
      <c r="R40" s="415" t="s">
        <v>551</v>
      </c>
      <c r="S40" s="32"/>
      <c r="T40" s="416"/>
      <c r="U40" s="416"/>
      <c r="V40" s="416"/>
      <c r="W40" s="416"/>
      <c r="X40" s="416"/>
      <c r="Y40" s="416"/>
      <c r="Z40" s="416"/>
      <c r="AA40" s="416"/>
      <c r="AB40" s="416">
        <f>H40</f>
        <v>4696</v>
      </c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/>
      <c r="AR40" s="416"/>
      <c r="AS40" s="416"/>
      <c r="AT40" s="416"/>
      <c r="AU40" s="416"/>
      <c r="AV40" s="416"/>
      <c r="AW40" s="416"/>
      <c r="AX40" s="416"/>
      <c r="AY40" s="416"/>
      <c r="AZ40" s="32"/>
    </row>
    <row r="41" spans="2:52">
      <c r="B41" s="1254"/>
      <c r="C41" s="1255"/>
      <c r="D41" s="411" t="s">
        <v>711</v>
      </c>
      <c r="E41" s="425"/>
      <c r="F41" s="411" t="s">
        <v>380</v>
      </c>
      <c r="G41" s="411" t="s">
        <v>381</v>
      </c>
      <c r="H41" s="412">
        <f>7400.061/2</f>
        <v>3700.0304999999998</v>
      </c>
      <c r="I41" s="413" t="s">
        <v>240</v>
      </c>
      <c r="J41" s="1268">
        <v>44974.361111111109</v>
      </c>
      <c r="K41" s="414"/>
      <c r="L41" s="1268" t="s">
        <v>192</v>
      </c>
      <c r="M41" s="1268" t="s">
        <v>192</v>
      </c>
      <c r="N41" s="413" t="str">
        <f t="shared" si="2"/>
        <v>On time</v>
      </c>
      <c r="O41" s="51"/>
      <c r="P41" s="415" t="s">
        <v>551</v>
      </c>
      <c r="Q41" s="415" t="s">
        <v>551</v>
      </c>
      <c r="R41" s="415" t="s">
        <v>551</v>
      </c>
      <c r="S41" s="32"/>
      <c r="T41" s="416"/>
      <c r="U41" s="416"/>
      <c r="V41" s="416"/>
      <c r="W41" s="416"/>
      <c r="X41" s="416"/>
      <c r="Y41" s="416"/>
      <c r="Z41" s="416"/>
      <c r="AA41" s="416"/>
      <c r="AB41" s="416"/>
      <c r="AC41" s="416">
        <f>H41</f>
        <v>3700.0304999999998</v>
      </c>
      <c r="AD41" s="416"/>
      <c r="AE41" s="416"/>
      <c r="AF41" s="416"/>
      <c r="AG41" s="416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416"/>
      <c r="AU41" s="416"/>
      <c r="AV41" s="416"/>
      <c r="AW41" s="416"/>
      <c r="AX41" s="416"/>
      <c r="AY41" s="416"/>
      <c r="AZ41" s="32"/>
    </row>
    <row r="42" spans="2:52">
      <c r="B42" s="1250" t="s">
        <v>1127</v>
      </c>
      <c r="C42" s="1251"/>
      <c r="D42" s="411" t="s">
        <v>711</v>
      </c>
      <c r="E42" s="425"/>
      <c r="F42" s="411" t="s">
        <v>380</v>
      </c>
      <c r="G42" s="411" t="s">
        <v>381</v>
      </c>
      <c r="H42" s="412">
        <f>H41</f>
        <v>3700.0304999999998</v>
      </c>
      <c r="I42" s="413" t="s">
        <v>240</v>
      </c>
      <c r="J42" s="1269"/>
      <c r="K42" s="414"/>
      <c r="L42" s="1269"/>
      <c r="M42" s="1269"/>
      <c r="N42" s="413" t="str">
        <f t="shared" si="2"/>
        <v xml:space="preserve"> </v>
      </c>
      <c r="O42" s="51"/>
      <c r="P42" s="415" t="s">
        <v>551</v>
      </c>
      <c r="Q42" s="415" t="s">
        <v>551</v>
      </c>
      <c r="R42" s="415" t="s">
        <v>551</v>
      </c>
      <c r="S42" s="32"/>
      <c r="T42" s="416"/>
      <c r="U42" s="416"/>
      <c r="V42" s="416"/>
      <c r="W42" s="416"/>
      <c r="X42" s="416"/>
      <c r="Y42" s="416"/>
      <c r="Z42" s="416"/>
      <c r="AA42" s="416"/>
      <c r="AB42" s="416"/>
      <c r="AC42" s="416">
        <f>H42</f>
        <v>3700.0304999999998</v>
      </c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6"/>
      <c r="AZ42" s="32"/>
    </row>
    <row r="43" spans="2:52">
      <c r="B43" s="1254"/>
      <c r="C43" s="1255"/>
      <c r="D43" s="411" t="s">
        <v>746</v>
      </c>
      <c r="E43" s="411"/>
      <c r="F43" s="411" t="s">
        <v>383</v>
      </c>
      <c r="G43" s="411" t="s">
        <v>384</v>
      </c>
      <c r="H43" s="412">
        <v>5045.9840000000004</v>
      </c>
      <c r="I43" s="413" t="s">
        <v>742</v>
      </c>
      <c r="J43" s="414">
        <v>44986.291666666664</v>
      </c>
      <c r="K43" s="414"/>
      <c r="L43" s="414" t="s">
        <v>192</v>
      </c>
      <c r="M43" s="414" t="s">
        <v>192</v>
      </c>
      <c r="N43" s="413" t="str">
        <f t="shared" si="2"/>
        <v>DELAY ( 3 day 21 hour 55 minute )</v>
      </c>
      <c r="O43" s="51"/>
      <c r="P43" s="415" t="s">
        <v>551</v>
      </c>
      <c r="Q43" s="415" t="s">
        <v>551</v>
      </c>
      <c r="R43" s="415" t="s">
        <v>551</v>
      </c>
      <c r="S43" s="32"/>
      <c r="T43" s="416"/>
      <c r="U43" s="416"/>
      <c r="V43" s="416"/>
      <c r="W43" s="416"/>
      <c r="X43" s="416"/>
      <c r="Y43" s="416"/>
      <c r="Z43" s="416"/>
      <c r="AA43" s="416"/>
      <c r="AB43" s="416">
        <f>H43*0.7</f>
        <v>3532.1887999999999</v>
      </c>
      <c r="AC43" s="416">
        <f>H43*0.3</f>
        <v>1513.7952</v>
      </c>
      <c r="AD43" s="416"/>
      <c r="AE43" s="416"/>
      <c r="AF43" s="416"/>
      <c r="AG43" s="416"/>
      <c r="AH43" s="416"/>
      <c r="AI43" s="416"/>
      <c r="AJ43" s="416"/>
      <c r="AK43" s="416"/>
      <c r="AL43" s="416"/>
      <c r="AM43" s="416"/>
      <c r="AN43" s="416"/>
      <c r="AO43" s="416"/>
      <c r="AP43" s="416"/>
      <c r="AQ43" s="416"/>
      <c r="AR43" s="416"/>
      <c r="AS43" s="416"/>
      <c r="AT43" s="416"/>
      <c r="AU43" s="416"/>
      <c r="AV43" s="416"/>
      <c r="AW43" s="416"/>
      <c r="AX43" s="416"/>
      <c r="AY43" s="416"/>
      <c r="AZ43" s="32"/>
    </row>
    <row r="44" spans="2:52">
      <c r="B44" s="1256" t="s">
        <v>548</v>
      </c>
      <c r="C44" s="1257"/>
      <c r="D44" s="411" t="s">
        <v>1128</v>
      </c>
      <c r="E44" s="411"/>
      <c r="F44" s="411" t="s">
        <v>277</v>
      </c>
      <c r="G44" s="411" t="s">
        <v>278</v>
      </c>
      <c r="H44" s="412">
        <v>7414.6120000000001</v>
      </c>
      <c r="I44" s="413" t="s">
        <v>235</v>
      </c>
      <c r="J44" s="414">
        <v>44986.649305555555</v>
      </c>
      <c r="K44" s="414"/>
      <c r="L44" s="414" t="s">
        <v>192</v>
      </c>
      <c r="M44" s="414" t="s">
        <v>192</v>
      </c>
      <c r="N44" s="413" t="str">
        <f t="shared" si="2"/>
        <v>DELAY ( 4 day 6 hour 30 minute )</v>
      </c>
      <c r="O44" s="51"/>
      <c r="P44" s="415" t="s">
        <v>551</v>
      </c>
      <c r="Q44" s="415" t="s">
        <v>551</v>
      </c>
      <c r="R44" s="415" t="s">
        <v>551</v>
      </c>
      <c r="S44" s="32"/>
      <c r="T44" s="416"/>
      <c r="U44" s="416"/>
      <c r="V44" s="416"/>
      <c r="W44" s="416"/>
      <c r="X44" s="416"/>
      <c r="Y44" s="416"/>
      <c r="Z44" s="416"/>
      <c r="AA44" s="416"/>
      <c r="AB44" s="416">
        <f>H44</f>
        <v>7414.6120000000001</v>
      </c>
      <c r="AC44" s="416"/>
      <c r="AD44" s="416"/>
      <c r="AE44" s="416"/>
      <c r="AF44" s="416"/>
      <c r="AG44" s="416"/>
      <c r="AH44" s="416"/>
      <c r="AI44" s="416"/>
      <c r="AJ44" s="416"/>
      <c r="AK44" s="416"/>
      <c r="AL44" s="416"/>
      <c r="AM44" s="416"/>
      <c r="AN44" s="416"/>
      <c r="AO44" s="416"/>
      <c r="AP44" s="416"/>
      <c r="AQ44" s="416"/>
      <c r="AR44" s="416"/>
      <c r="AS44" s="416"/>
      <c r="AT44" s="416"/>
      <c r="AU44" s="416"/>
      <c r="AV44" s="416"/>
      <c r="AW44" s="416"/>
      <c r="AX44" s="416"/>
      <c r="AY44" s="416"/>
      <c r="AZ44" s="32"/>
    </row>
    <row r="45" spans="2:52">
      <c r="B45" s="1250" t="s">
        <v>884</v>
      </c>
      <c r="C45" s="1251"/>
      <c r="D45" s="411" t="s">
        <v>747</v>
      </c>
      <c r="E45" s="411"/>
      <c r="F45" s="411" t="s">
        <v>343</v>
      </c>
      <c r="G45" s="411" t="s">
        <v>344</v>
      </c>
      <c r="H45" s="412">
        <v>7441.6570000000002</v>
      </c>
      <c r="I45" s="413" t="s">
        <v>742</v>
      </c>
      <c r="J45" s="414">
        <v>44986.583333333336</v>
      </c>
      <c r="K45" s="414"/>
      <c r="L45" s="414" t="s">
        <v>192</v>
      </c>
      <c r="M45" s="414" t="s">
        <v>192</v>
      </c>
      <c r="N45" s="413" t="str">
        <f t="shared" si="2"/>
        <v>DELAY ( 4 day 4 hour 55 minute )</v>
      </c>
      <c r="O45" s="51"/>
      <c r="P45" s="415" t="s">
        <v>551</v>
      </c>
      <c r="Q45" s="415" t="s">
        <v>551</v>
      </c>
      <c r="R45" s="415" t="s">
        <v>551</v>
      </c>
      <c r="S45" s="32"/>
      <c r="T45" s="416"/>
      <c r="U45" s="416"/>
      <c r="V45" s="416"/>
      <c r="W45" s="416"/>
      <c r="X45" s="416"/>
      <c r="Y45" s="416"/>
      <c r="Z45" s="416"/>
      <c r="AA45" s="416"/>
      <c r="AB45" s="416">
        <f>H45*0.7</f>
        <v>5209.1598999999997</v>
      </c>
      <c r="AC45" s="416">
        <f>H45*0.3</f>
        <v>2232.4971</v>
      </c>
      <c r="AD45" s="416"/>
      <c r="AE45" s="416"/>
      <c r="AF45" s="416"/>
      <c r="AG45" s="416"/>
      <c r="AH45" s="416"/>
      <c r="AI45" s="416"/>
      <c r="AJ45" s="416"/>
      <c r="AK45" s="416"/>
      <c r="AL45" s="416"/>
      <c r="AM45" s="416"/>
      <c r="AN45" s="416"/>
      <c r="AO45" s="416"/>
      <c r="AP45" s="416"/>
      <c r="AQ45" s="416"/>
      <c r="AR45" s="416"/>
      <c r="AS45" s="416"/>
      <c r="AT45" s="416"/>
      <c r="AU45" s="416"/>
      <c r="AV45" s="416"/>
      <c r="AW45" s="416"/>
      <c r="AX45" s="416"/>
      <c r="AY45" s="416"/>
      <c r="AZ45" s="32"/>
    </row>
    <row r="46" spans="2:52">
      <c r="B46" s="1254"/>
      <c r="C46" s="1255"/>
      <c r="D46" s="411" t="s">
        <v>781</v>
      </c>
      <c r="E46" s="425"/>
      <c r="F46" s="411" t="s">
        <v>267</v>
      </c>
      <c r="G46" s="411" t="s">
        <v>268</v>
      </c>
      <c r="H46" s="412">
        <f>7500/2</f>
        <v>3750</v>
      </c>
      <c r="I46" s="413" t="s">
        <v>76</v>
      </c>
      <c r="J46" s="1268">
        <v>44986.767361111109</v>
      </c>
      <c r="K46" s="414"/>
      <c r="L46" s="414" t="s">
        <v>192</v>
      </c>
      <c r="M46" s="414" t="s">
        <v>192</v>
      </c>
      <c r="N46" s="413" t="str">
        <f t="shared" si="2"/>
        <v>DELAY ( 4 day 9 hour 20 minute )</v>
      </c>
      <c r="O46" s="51"/>
      <c r="P46" s="415" t="s">
        <v>551</v>
      </c>
      <c r="Q46" s="415" t="s">
        <v>551</v>
      </c>
      <c r="R46" s="415" t="s">
        <v>551</v>
      </c>
      <c r="S46" s="32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416"/>
      <c r="AG46" s="416"/>
      <c r="AH46" s="416"/>
      <c r="AI46" s="416"/>
      <c r="AJ46" s="416"/>
      <c r="AK46" s="416">
        <f>H46</f>
        <v>3750</v>
      </c>
      <c r="AL46" s="416"/>
      <c r="AM46" s="416"/>
      <c r="AN46" s="416"/>
      <c r="AO46" s="416"/>
      <c r="AP46" s="416"/>
      <c r="AQ46" s="416"/>
      <c r="AR46" s="416"/>
      <c r="AS46" s="416"/>
      <c r="AT46" s="416"/>
      <c r="AU46" s="416"/>
      <c r="AV46" s="416"/>
      <c r="AW46" s="416"/>
      <c r="AX46" s="416"/>
      <c r="AY46" s="416"/>
      <c r="AZ46" s="32"/>
    </row>
    <row r="47" spans="2:52">
      <c r="B47" s="1250" t="s">
        <v>885</v>
      </c>
      <c r="C47" s="1251"/>
      <c r="D47" s="411" t="s">
        <v>781</v>
      </c>
      <c r="E47" s="425"/>
      <c r="F47" s="411" t="s">
        <v>267</v>
      </c>
      <c r="G47" s="411" t="s">
        <v>268</v>
      </c>
      <c r="H47" s="412">
        <f>H46</f>
        <v>3750</v>
      </c>
      <c r="I47" s="413" t="s">
        <v>76</v>
      </c>
      <c r="J47" s="1269"/>
      <c r="K47" s="414"/>
      <c r="L47" s="414" t="s">
        <v>192</v>
      </c>
      <c r="M47" s="414" t="s">
        <v>192</v>
      </c>
      <c r="N47" s="413" t="str">
        <f t="shared" si="2"/>
        <v xml:space="preserve"> </v>
      </c>
      <c r="O47" s="51"/>
      <c r="P47" s="415" t="s">
        <v>551</v>
      </c>
      <c r="Q47" s="415" t="s">
        <v>551</v>
      </c>
      <c r="R47" s="415" t="s">
        <v>551</v>
      </c>
      <c r="S47" s="32"/>
      <c r="T47" s="416"/>
      <c r="U47" s="416"/>
      <c r="V47" s="416"/>
      <c r="W47" s="416"/>
      <c r="X47" s="416"/>
      <c r="Y47" s="416"/>
      <c r="Z47" s="416"/>
      <c r="AA47" s="416"/>
      <c r="AB47" s="416"/>
      <c r="AC47" s="416"/>
      <c r="AD47" s="416"/>
      <c r="AE47" s="416"/>
      <c r="AF47" s="416"/>
      <c r="AG47" s="416"/>
      <c r="AH47" s="416"/>
      <c r="AI47" s="416"/>
      <c r="AJ47" s="416"/>
      <c r="AK47" s="416">
        <f>H47</f>
        <v>3750</v>
      </c>
      <c r="AL47" s="416"/>
      <c r="AM47" s="416"/>
      <c r="AN47" s="416"/>
      <c r="AO47" s="416"/>
      <c r="AP47" s="416"/>
      <c r="AQ47" s="416"/>
      <c r="AR47" s="416"/>
      <c r="AS47" s="416"/>
      <c r="AT47" s="416"/>
      <c r="AU47" s="416"/>
      <c r="AV47" s="416"/>
      <c r="AW47" s="416"/>
      <c r="AX47" s="416"/>
      <c r="AY47" s="416"/>
      <c r="AZ47" s="32"/>
    </row>
    <row r="48" spans="2:52">
      <c r="B48" s="1254"/>
      <c r="C48" s="1255"/>
      <c r="D48" s="411" t="s">
        <v>749</v>
      </c>
      <c r="E48" s="411"/>
      <c r="F48" s="411" t="s">
        <v>271</v>
      </c>
      <c r="G48" s="411" t="s">
        <v>272</v>
      </c>
      <c r="H48" s="412">
        <v>9318.3979999999992</v>
      </c>
      <c r="I48" s="413" t="s">
        <v>742</v>
      </c>
      <c r="J48" s="414">
        <v>44986.746527777781</v>
      </c>
      <c r="K48" s="414"/>
      <c r="L48" s="414" t="s">
        <v>192</v>
      </c>
      <c r="M48" s="414" t="s">
        <v>192</v>
      </c>
      <c r="N48" s="413" t="str">
        <f t="shared" si="2"/>
        <v>DELAY ( 4 day 8 hour 50 minute )</v>
      </c>
      <c r="O48" s="51"/>
      <c r="P48" s="415" t="s">
        <v>551</v>
      </c>
      <c r="Q48" s="415" t="s">
        <v>551</v>
      </c>
      <c r="R48" s="415" t="s">
        <v>551</v>
      </c>
      <c r="S48" s="32"/>
      <c r="T48" s="416"/>
      <c r="U48" s="416"/>
      <c r="V48" s="416"/>
      <c r="W48" s="416"/>
      <c r="X48" s="416"/>
      <c r="Y48" s="416"/>
      <c r="Z48" s="416"/>
      <c r="AA48" s="416"/>
      <c r="AB48" s="416">
        <f>H48*0.7</f>
        <v>6522.8785999999991</v>
      </c>
      <c r="AC48" s="416">
        <f>H48*0.3</f>
        <v>2795.5193999999997</v>
      </c>
      <c r="AD48" s="416"/>
      <c r="AE48" s="416"/>
      <c r="AF48" s="416"/>
      <c r="AG48" s="416"/>
      <c r="AH48" s="416"/>
      <c r="AI48" s="416"/>
      <c r="AJ48" s="416"/>
      <c r="AK48" s="416"/>
      <c r="AL48" s="416"/>
      <c r="AM48" s="416"/>
      <c r="AN48" s="416"/>
      <c r="AO48" s="416"/>
      <c r="AP48" s="416"/>
      <c r="AQ48" s="416"/>
      <c r="AR48" s="416"/>
      <c r="AS48" s="416"/>
      <c r="AT48" s="416"/>
      <c r="AU48" s="416"/>
      <c r="AV48" s="416"/>
      <c r="AW48" s="416"/>
      <c r="AX48" s="416"/>
      <c r="AY48" s="416"/>
      <c r="AZ48" s="32"/>
    </row>
    <row r="49" spans="2:52">
      <c r="B49" s="1256" t="s">
        <v>548</v>
      </c>
      <c r="C49" s="1257"/>
      <c r="D49" s="411" t="s">
        <v>743</v>
      </c>
      <c r="E49" s="411"/>
      <c r="F49" s="411" t="s">
        <v>238</v>
      </c>
      <c r="G49" s="411" t="s">
        <v>239</v>
      </c>
      <c r="H49" s="412">
        <v>7479.94</v>
      </c>
      <c r="I49" s="413" t="s">
        <v>742</v>
      </c>
      <c r="J49" s="414">
        <v>44986.472222222219</v>
      </c>
      <c r="K49" s="414"/>
      <c r="L49" s="414" t="s">
        <v>192</v>
      </c>
      <c r="M49" s="414" t="s">
        <v>192</v>
      </c>
      <c r="N49" s="413" t="str">
        <f t="shared" si="2"/>
        <v>DELAY ( 4 day 2 hour 15 minute )</v>
      </c>
      <c r="O49" s="51"/>
      <c r="P49" s="415" t="s">
        <v>551</v>
      </c>
      <c r="Q49" s="415" t="s">
        <v>551</v>
      </c>
      <c r="R49" s="415" t="s">
        <v>551</v>
      </c>
      <c r="S49" s="32"/>
      <c r="T49" s="416"/>
      <c r="U49" s="416"/>
      <c r="V49" s="416"/>
      <c r="W49" s="416"/>
      <c r="X49" s="416"/>
      <c r="Y49" s="416"/>
      <c r="Z49" s="416"/>
      <c r="AA49" s="416"/>
      <c r="AB49" s="416">
        <f>H49*0.7</f>
        <v>5235.9579999999996</v>
      </c>
      <c r="AC49" s="416">
        <f>H49*0.3</f>
        <v>2243.982</v>
      </c>
      <c r="AD49" s="416"/>
      <c r="AE49" s="416"/>
      <c r="AF49" s="416"/>
      <c r="AG49" s="416"/>
      <c r="AH49" s="416"/>
      <c r="AI49" s="416"/>
      <c r="AJ49" s="416"/>
      <c r="AK49" s="416"/>
      <c r="AL49" s="416"/>
      <c r="AM49" s="416"/>
      <c r="AN49" s="416"/>
      <c r="AO49" s="416"/>
      <c r="AP49" s="416"/>
      <c r="AQ49" s="416"/>
      <c r="AR49" s="416"/>
      <c r="AS49" s="416"/>
      <c r="AT49" s="416"/>
      <c r="AU49" s="416"/>
      <c r="AV49" s="416"/>
      <c r="AW49" s="416"/>
      <c r="AX49" s="416"/>
      <c r="AY49" s="416"/>
      <c r="AZ49" s="32"/>
    </row>
    <row r="50" spans="2:52">
      <c r="B50" s="1250" t="s">
        <v>651</v>
      </c>
      <c r="C50" s="1251"/>
      <c r="D50" s="411" t="s">
        <v>741</v>
      </c>
      <c r="E50" s="411"/>
      <c r="F50" s="411" t="s">
        <v>339</v>
      </c>
      <c r="G50" s="411" t="s">
        <v>340</v>
      </c>
      <c r="H50" s="412">
        <v>7402.6469999999999</v>
      </c>
      <c r="I50" s="413" t="s">
        <v>742</v>
      </c>
      <c r="J50" s="414">
        <v>44987.375</v>
      </c>
      <c r="K50" s="414"/>
      <c r="L50" s="414" t="s">
        <v>192</v>
      </c>
      <c r="M50" s="414" t="s">
        <v>192</v>
      </c>
      <c r="N50" s="413" t="str">
        <f t="shared" si="2"/>
        <v>DELAY ( 4 day 23 hour 55 minute )</v>
      </c>
      <c r="O50" s="51"/>
      <c r="P50" s="415" t="s">
        <v>551</v>
      </c>
      <c r="Q50" s="415" t="s">
        <v>551</v>
      </c>
      <c r="R50" s="415" t="s">
        <v>551</v>
      </c>
      <c r="S50" s="32"/>
      <c r="T50" s="416"/>
      <c r="U50" s="416"/>
      <c r="V50" s="416"/>
      <c r="W50" s="416"/>
      <c r="X50" s="416"/>
      <c r="Y50" s="416"/>
      <c r="Z50" s="416"/>
      <c r="AA50" s="416"/>
      <c r="AB50" s="416">
        <f>H50*0.7</f>
        <v>5181.8528999999999</v>
      </c>
      <c r="AC50" s="416">
        <f>H50*0.3</f>
        <v>2220.7941000000001</v>
      </c>
      <c r="AD50" s="416"/>
      <c r="AE50" s="416"/>
      <c r="AF50" s="416"/>
      <c r="AG50" s="416"/>
      <c r="AH50" s="416"/>
      <c r="AI50" s="416"/>
      <c r="AJ50" s="416"/>
      <c r="AK50" s="416"/>
      <c r="AL50" s="416"/>
      <c r="AM50" s="416"/>
      <c r="AN50" s="416"/>
      <c r="AO50" s="416"/>
      <c r="AP50" s="416"/>
      <c r="AQ50" s="416"/>
      <c r="AR50" s="416"/>
      <c r="AS50" s="416"/>
      <c r="AT50" s="416"/>
      <c r="AU50" s="416"/>
      <c r="AV50" s="416"/>
      <c r="AW50" s="416"/>
      <c r="AX50" s="416"/>
      <c r="AY50" s="416"/>
      <c r="AZ50" s="32"/>
    </row>
    <row r="51" spans="2:52">
      <c r="B51" s="1254"/>
      <c r="C51" s="1255"/>
      <c r="D51" s="411" t="s">
        <v>808</v>
      </c>
      <c r="E51" s="425"/>
      <c r="F51" s="411" t="s">
        <v>809</v>
      </c>
      <c r="G51" s="411" t="s">
        <v>810</v>
      </c>
      <c r="H51" s="412">
        <f>5251.015/2</f>
        <v>2625.5075000000002</v>
      </c>
      <c r="I51" s="413" t="s">
        <v>183</v>
      </c>
      <c r="J51" s="1268">
        <v>44987.541666666664</v>
      </c>
      <c r="K51" s="414"/>
      <c r="L51" s="414" t="s">
        <v>192</v>
      </c>
      <c r="M51" s="414" t="s">
        <v>192</v>
      </c>
      <c r="N51" s="413" t="str">
        <f t="shared" si="2"/>
        <v>DELAY ( 5 day 3 hour 55 minute )</v>
      </c>
      <c r="O51" s="51"/>
      <c r="P51" s="415" t="s">
        <v>551</v>
      </c>
      <c r="Q51" s="415" t="s">
        <v>551</v>
      </c>
      <c r="R51" s="415" t="s">
        <v>551</v>
      </c>
      <c r="S51" s="32"/>
      <c r="T51" s="416"/>
      <c r="U51" s="416"/>
      <c r="V51" s="416"/>
      <c r="W51" s="416"/>
      <c r="X51" s="416"/>
      <c r="Y51" s="416"/>
      <c r="Z51" s="416"/>
      <c r="AA51" s="416"/>
      <c r="AB51" s="416"/>
      <c r="AC51" s="416"/>
      <c r="AD51" s="416"/>
      <c r="AE51" s="416"/>
      <c r="AF51" s="416"/>
      <c r="AG51" s="416"/>
      <c r="AH51" s="416"/>
      <c r="AI51" s="416"/>
      <c r="AJ51" s="416"/>
      <c r="AK51" s="416"/>
      <c r="AL51" s="416"/>
      <c r="AM51" s="416"/>
      <c r="AN51" s="416"/>
      <c r="AO51" s="416"/>
      <c r="AP51" s="416"/>
      <c r="AQ51" s="416"/>
      <c r="AR51" s="416"/>
      <c r="AS51" s="416"/>
      <c r="AT51" s="416"/>
      <c r="AU51" s="416"/>
      <c r="AV51" s="416">
        <f>H51</f>
        <v>2625.5075000000002</v>
      </c>
      <c r="AW51" s="416"/>
      <c r="AX51" s="416"/>
      <c r="AY51" s="416"/>
      <c r="AZ51" s="32"/>
    </row>
    <row r="52" spans="2:52">
      <c r="B52" s="1250" t="s">
        <v>1129</v>
      </c>
      <c r="C52" s="1251"/>
      <c r="D52" s="411" t="s">
        <v>808</v>
      </c>
      <c r="E52" s="425"/>
      <c r="F52" s="411" t="s">
        <v>809</v>
      </c>
      <c r="G52" s="411" t="s">
        <v>810</v>
      </c>
      <c r="H52" s="412">
        <f>H51</f>
        <v>2625.5075000000002</v>
      </c>
      <c r="I52" s="413" t="s">
        <v>183</v>
      </c>
      <c r="J52" s="1269"/>
      <c r="K52" s="414"/>
      <c r="L52" s="414" t="s">
        <v>192</v>
      </c>
      <c r="M52" s="414" t="s">
        <v>192</v>
      </c>
      <c r="N52" s="413" t="str">
        <f t="shared" si="2"/>
        <v xml:space="preserve"> </v>
      </c>
      <c r="O52" s="51"/>
      <c r="P52" s="415" t="s">
        <v>551</v>
      </c>
      <c r="Q52" s="415" t="s">
        <v>551</v>
      </c>
      <c r="R52" s="415" t="s">
        <v>551</v>
      </c>
      <c r="S52" s="32"/>
      <c r="T52" s="416"/>
      <c r="U52" s="416"/>
      <c r="V52" s="416"/>
      <c r="W52" s="416"/>
      <c r="X52" s="416"/>
      <c r="Y52" s="416"/>
      <c r="Z52" s="416"/>
      <c r="AA52" s="416"/>
      <c r="AB52" s="416"/>
      <c r="AC52" s="416"/>
      <c r="AD52" s="416"/>
      <c r="AE52" s="416"/>
      <c r="AF52" s="416"/>
      <c r="AG52" s="416"/>
      <c r="AH52" s="416"/>
      <c r="AI52" s="416"/>
      <c r="AJ52" s="416"/>
      <c r="AK52" s="416"/>
      <c r="AL52" s="416"/>
      <c r="AM52" s="416"/>
      <c r="AN52" s="416"/>
      <c r="AO52" s="416"/>
      <c r="AP52" s="416"/>
      <c r="AQ52" s="416"/>
      <c r="AR52" s="416"/>
      <c r="AS52" s="416"/>
      <c r="AT52" s="416"/>
      <c r="AU52" s="416"/>
      <c r="AV52" s="416">
        <f>H52</f>
        <v>2625.5075000000002</v>
      </c>
      <c r="AW52" s="416"/>
      <c r="AX52" s="416"/>
      <c r="AY52" s="416"/>
      <c r="AZ52" s="32"/>
    </row>
    <row r="53" spans="2:52">
      <c r="B53" s="1254"/>
      <c r="C53" s="1255"/>
      <c r="D53" s="411" t="s">
        <v>862</v>
      </c>
      <c r="E53" s="411"/>
      <c r="F53" s="411" t="s">
        <v>233</v>
      </c>
      <c r="G53" s="411" t="s">
        <v>234</v>
      </c>
      <c r="H53" s="412">
        <v>3290.1379999999999</v>
      </c>
      <c r="I53" s="413" t="s">
        <v>494</v>
      </c>
      <c r="J53" s="414">
        <v>44987.430555555555</v>
      </c>
      <c r="K53" s="414"/>
      <c r="L53" s="414" t="s">
        <v>192</v>
      </c>
      <c r="M53" s="414" t="s">
        <v>192</v>
      </c>
      <c r="N53" s="413" t="str">
        <f t="shared" si="2"/>
        <v>DELAY ( 5 day 1 hour 15 minute )</v>
      </c>
      <c r="O53" s="51"/>
      <c r="P53" s="415" t="s">
        <v>551</v>
      </c>
      <c r="Q53" s="415" t="s">
        <v>551</v>
      </c>
      <c r="R53" s="415" t="s">
        <v>551</v>
      </c>
      <c r="S53" s="32"/>
      <c r="T53" s="416"/>
      <c r="U53" s="416"/>
      <c r="V53" s="416"/>
      <c r="W53" s="416"/>
      <c r="X53" s="416"/>
      <c r="Y53" s="416">
        <f>H53</f>
        <v>3290.1379999999999</v>
      </c>
      <c r="Z53" s="416"/>
      <c r="AA53" s="416"/>
      <c r="AB53" s="416"/>
      <c r="AC53" s="416"/>
      <c r="AD53" s="416"/>
      <c r="AE53" s="416"/>
      <c r="AF53" s="416"/>
      <c r="AG53" s="416"/>
      <c r="AH53" s="416"/>
      <c r="AI53" s="416"/>
      <c r="AJ53" s="416"/>
      <c r="AK53" s="416"/>
      <c r="AL53" s="416"/>
      <c r="AM53" s="416"/>
      <c r="AN53" s="416"/>
      <c r="AO53" s="416"/>
      <c r="AP53" s="416"/>
      <c r="AQ53" s="416"/>
      <c r="AR53" s="416"/>
      <c r="AS53" s="416"/>
      <c r="AT53" s="416"/>
      <c r="AU53" s="416"/>
      <c r="AV53" s="416"/>
      <c r="AW53" s="416"/>
      <c r="AX53" s="416"/>
      <c r="AY53" s="416"/>
      <c r="AZ53" s="32"/>
    </row>
    <row r="54" spans="2:52">
      <c r="B54" s="1256" t="s">
        <v>548</v>
      </c>
      <c r="C54" s="1257"/>
      <c r="D54" s="411" t="s">
        <v>744</v>
      </c>
      <c r="E54" s="411"/>
      <c r="F54" s="411" t="s">
        <v>695</v>
      </c>
      <c r="G54" s="411" t="s">
        <v>281</v>
      </c>
      <c r="H54" s="412">
        <f>7476.364-2716.816</f>
        <v>4759.5479999999998</v>
      </c>
      <c r="I54" s="413" t="s">
        <v>742</v>
      </c>
      <c r="J54" s="414">
        <v>44987.25</v>
      </c>
      <c r="K54" s="414"/>
      <c r="L54" s="414" t="s">
        <v>192</v>
      </c>
      <c r="M54" s="414" t="s">
        <v>192</v>
      </c>
      <c r="N54" s="413" t="str">
        <f t="shared" si="2"/>
        <v>DELAY ( 4 day 20 hour 55 minute )</v>
      </c>
      <c r="O54" s="51"/>
      <c r="P54" s="415" t="s">
        <v>551</v>
      </c>
      <c r="Q54" s="415" t="s">
        <v>551</v>
      </c>
      <c r="R54" s="415" t="s">
        <v>551</v>
      </c>
      <c r="S54" s="32"/>
      <c r="T54" s="416"/>
      <c r="U54" s="416"/>
      <c r="V54" s="416"/>
      <c r="W54" s="416"/>
      <c r="X54" s="416"/>
      <c r="Y54" s="416"/>
      <c r="Z54" s="416"/>
      <c r="AA54" s="416"/>
      <c r="AB54" s="416">
        <f>(H54*0.7)</f>
        <v>3331.6835999999998</v>
      </c>
      <c r="AC54" s="416">
        <f>(H54*0.3)</f>
        <v>1427.8643999999999</v>
      </c>
      <c r="AD54" s="416"/>
      <c r="AE54" s="416"/>
      <c r="AF54" s="416"/>
      <c r="AG54" s="416"/>
      <c r="AH54" s="416"/>
      <c r="AI54" s="416"/>
      <c r="AJ54" s="416"/>
      <c r="AK54" s="416"/>
      <c r="AL54" s="416"/>
      <c r="AM54" s="416"/>
      <c r="AN54" s="416"/>
      <c r="AO54" s="416"/>
      <c r="AP54" s="416"/>
      <c r="AQ54" s="416"/>
      <c r="AR54" s="416"/>
      <c r="AS54" s="416"/>
      <c r="AT54" s="416"/>
      <c r="AU54" s="416"/>
      <c r="AV54" s="416"/>
      <c r="AW54" s="416"/>
      <c r="AX54" s="416"/>
      <c r="AY54" s="416"/>
      <c r="AZ54" s="32"/>
    </row>
    <row r="55" spans="2:52">
      <c r="B55" s="1258" t="s">
        <v>556</v>
      </c>
      <c r="C55" s="1259"/>
      <c r="D55" s="1259"/>
      <c r="E55" s="1259"/>
      <c r="F55" s="1259"/>
      <c r="G55" s="1260"/>
      <c r="H55" s="417">
        <f>SUM(H40:H54)</f>
        <v>77000.000000000015</v>
      </c>
      <c r="I55" s="388"/>
      <c r="J55" s="293"/>
      <c r="K55" s="293"/>
      <c r="L55" s="293"/>
      <c r="M55" s="389"/>
      <c r="N55" s="413" t="str">
        <f>IF(ISBLANK(J55)," ",IF(J55&lt;$F$212,"On time",(IF(DAY(J55-$F$212)&lt;1,"On time",(IF(J55&gt;$F$212,"DELAY ( "&amp;DAY(J55-$F$212)&amp;" day "&amp;HOUR(J55-$F$212)&amp;" hour "&amp;MINUTE(J55-$F$212)&amp;" minute )","xxx"))))))</f>
        <v xml:space="preserve"> </v>
      </c>
      <c r="O55" s="212"/>
      <c r="P55" s="418"/>
      <c r="Q55" s="418"/>
      <c r="R55" s="418"/>
      <c r="S55" s="207"/>
      <c r="T55" s="1262"/>
      <c r="U55" s="1263"/>
      <c r="V55" s="1263"/>
      <c r="W55" s="1263"/>
      <c r="X55" s="1263"/>
      <c r="Y55" s="1263"/>
      <c r="Z55" s="1263"/>
      <c r="AA55" s="1263"/>
      <c r="AB55" s="1263"/>
      <c r="AC55" s="1263"/>
      <c r="AD55" s="1263"/>
      <c r="AE55" s="1263"/>
      <c r="AF55" s="1263"/>
      <c r="AG55" s="1263"/>
      <c r="AH55" s="1263"/>
      <c r="AI55" s="1263"/>
      <c r="AJ55" s="1263"/>
      <c r="AK55" s="1263"/>
      <c r="AL55" s="1263"/>
      <c r="AM55" s="1263"/>
      <c r="AN55" s="1263"/>
      <c r="AO55" s="1263"/>
      <c r="AP55" s="1263"/>
      <c r="AQ55" s="1263"/>
      <c r="AR55" s="1263"/>
      <c r="AS55" s="1263"/>
      <c r="AT55" s="1263"/>
      <c r="AU55" s="1263"/>
      <c r="AV55" s="1263"/>
      <c r="AW55" s="1263"/>
      <c r="AX55" s="1263"/>
      <c r="AY55" s="1264"/>
    </row>
    <row r="56" spans="2:52">
      <c r="B56" s="1243" t="s">
        <v>557</v>
      </c>
      <c r="C56" s="1244"/>
      <c r="D56" s="1244"/>
      <c r="E56" s="1244"/>
      <c r="F56" s="1244"/>
      <c r="G56" s="1245"/>
      <c r="H56" s="419">
        <v>77000</v>
      </c>
      <c r="I56" s="1273"/>
      <c r="J56" s="1274"/>
      <c r="K56" s="1274"/>
      <c r="L56" s="1274"/>
      <c r="M56" s="1275"/>
      <c r="N56" s="413" t="str">
        <f>IF(ISBLANK(J56)," ",IF(J56&lt;$F$212,"On time",(IF(DAY(J56-$F$212)&lt;1,"On time",(IF(J56&gt;$F$212,"DELAY ( "&amp;DAY(J56-$F$212)&amp;" day "&amp;HOUR(J56-$F$212)&amp;" hour "&amp;MINUTE(J56-$F$212)&amp;" minute )","xxx"))))))</f>
        <v xml:space="preserve"> </v>
      </c>
      <c r="O56" s="32"/>
      <c r="P56" s="415"/>
      <c r="Q56" s="415"/>
      <c r="R56" s="415"/>
      <c r="S56" s="63"/>
      <c r="T56" s="416">
        <f>SUM(T40:T54)</f>
        <v>0</v>
      </c>
      <c r="U56" s="416">
        <f t="shared" ref="U56:AY56" si="3">SUM(U40:U54)</f>
        <v>0</v>
      </c>
      <c r="V56" s="416">
        <f t="shared" si="3"/>
        <v>0</v>
      </c>
      <c r="W56" s="416">
        <f t="shared" si="3"/>
        <v>0</v>
      </c>
      <c r="X56" s="416">
        <f t="shared" si="3"/>
        <v>0</v>
      </c>
      <c r="Y56" s="416">
        <f t="shared" si="3"/>
        <v>3290.1379999999999</v>
      </c>
      <c r="Z56" s="416">
        <f t="shared" si="3"/>
        <v>0</v>
      </c>
      <c r="AA56" s="416">
        <f t="shared" si="3"/>
        <v>0</v>
      </c>
      <c r="AB56" s="416">
        <f t="shared" si="3"/>
        <v>41124.333799999993</v>
      </c>
      <c r="AC56" s="416">
        <f t="shared" si="3"/>
        <v>19834.513199999998</v>
      </c>
      <c r="AD56" s="416">
        <f t="shared" si="3"/>
        <v>0</v>
      </c>
      <c r="AE56" s="416">
        <f t="shared" si="3"/>
        <v>0</v>
      </c>
      <c r="AF56" s="416">
        <f t="shared" si="3"/>
        <v>0</v>
      </c>
      <c r="AG56" s="416">
        <f t="shared" si="3"/>
        <v>0</v>
      </c>
      <c r="AH56" s="416">
        <f t="shared" si="3"/>
        <v>0</v>
      </c>
      <c r="AI56" s="416">
        <f t="shared" si="3"/>
        <v>0</v>
      </c>
      <c r="AJ56" s="416">
        <f t="shared" si="3"/>
        <v>0</v>
      </c>
      <c r="AK56" s="416">
        <f t="shared" si="3"/>
        <v>7500</v>
      </c>
      <c r="AL56" s="416">
        <f t="shared" si="3"/>
        <v>0</v>
      </c>
      <c r="AM56" s="416">
        <f t="shared" si="3"/>
        <v>0</v>
      </c>
      <c r="AN56" s="416">
        <f t="shared" si="3"/>
        <v>0</v>
      </c>
      <c r="AO56" s="416">
        <f t="shared" si="3"/>
        <v>0</v>
      </c>
      <c r="AP56" s="416">
        <f t="shared" si="3"/>
        <v>0</v>
      </c>
      <c r="AQ56" s="416">
        <f t="shared" si="3"/>
        <v>0</v>
      </c>
      <c r="AR56" s="416">
        <f t="shared" si="3"/>
        <v>0</v>
      </c>
      <c r="AS56" s="416">
        <f t="shared" si="3"/>
        <v>0</v>
      </c>
      <c r="AT56" s="416">
        <f t="shared" si="3"/>
        <v>0</v>
      </c>
      <c r="AU56" s="416">
        <f t="shared" si="3"/>
        <v>0</v>
      </c>
      <c r="AV56" s="416">
        <f t="shared" si="3"/>
        <v>5251.0150000000003</v>
      </c>
      <c r="AW56" s="416">
        <f t="shared" si="3"/>
        <v>0</v>
      </c>
      <c r="AX56" s="416">
        <f t="shared" si="3"/>
        <v>0</v>
      </c>
      <c r="AY56" s="416">
        <f t="shared" si="3"/>
        <v>0</v>
      </c>
      <c r="AZ56" s="416">
        <f>SUM(T56:AY56)</f>
        <v>76999.999999999985</v>
      </c>
    </row>
    <row r="57" spans="2:52">
      <c r="B57" s="1243" t="s">
        <v>558</v>
      </c>
      <c r="C57" s="1244"/>
      <c r="D57" s="1244"/>
      <c r="E57" s="1244"/>
      <c r="F57" s="1244"/>
      <c r="G57" s="1245"/>
      <c r="H57" s="420">
        <f>H56-L34</f>
        <v>0</v>
      </c>
      <c r="I57" s="294"/>
      <c r="J57" s="295"/>
      <c r="K57" s="295"/>
      <c r="L57" s="296"/>
      <c r="M57" s="32"/>
      <c r="N57" s="32"/>
      <c r="O57" s="32"/>
      <c r="P57" s="32"/>
      <c r="Q57" s="297"/>
      <c r="R57" s="297"/>
      <c r="S57" s="32"/>
      <c r="T57" s="48"/>
      <c r="U57" s="48"/>
      <c r="V57" s="48"/>
      <c r="W57" s="48"/>
      <c r="X57" s="48"/>
      <c r="Y57" s="48"/>
      <c r="Z57" s="48"/>
      <c r="AA57" s="48"/>
      <c r="AB57" s="48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</row>
    <row r="58" spans="2:52">
      <c r="B58" s="1243" t="s">
        <v>559</v>
      </c>
      <c r="C58" s="1244"/>
      <c r="D58" s="1244"/>
      <c r="E58" s="1244"/>
      <c r="F58" s="1244"/>
      <c r="G58" s="1245"/>
      <c r="H58" s="420">
        <v>2712.971</v>
      </c>
      <c r="I58" s="52"/>
      <c r="J58" s="53"/>
      <c r="K58" s="53"/>
      <c r="L58" s="54"/>
      <c r="M58" s="32"/>
      <c r="N58" s="201"/>
      <c r="O58" s="32"/>
      <c r="P58" s="32"/>
      <c r="Q58" s="32"/>
      <c r="R58" s="32"/>
      <c r="S58" s="32"/>
      <c r="T58" s="48"/>
      <c r="U58" s="48"/>
      <c r="V58" s="48"/>
      <c r="W58" s="48"/>
      <c r="X58" s="48"/>
      <c r="Y58" s="48"/>
      <c r="Z58" s="48"/>
      <c r="AA58" s="48"/>
      <c r="AB58" s="48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</row>
    <row r="59" spans="2:52">
      <c r="B59" s="1243" t="s">
        <v>560</v>
      </c>
      <c r="C59" s="1244"/>
      <c r="D59" s="1244"/>
      <c r="E59" s="1244"/>
      <c r="F59" s="1244"/>
      <c r="G59" s="1245"/>
      <c r="H59" s="421">
        <f>H58-2716.816</f>
        <v>-3.8449999999997999</v>
      </c>
      <c r="I59" s="255"/>
      <c r="J59" s="53"/>
      <c r="K59" s="53"/>
      <c r="L59" s="54"/>
      <c r="M59" s="32"/>
      <c r="N59" s="32"/>
      <c r="O59" s="32"/>
      <c r="P59" s="32"/>
      <c r="Q59" s="32"/>
      <c r="R59" s="32"/>
      <c r="S59" s="48"/>
      <c r="T59" s="48"/>
      <c r="U59" s="48"/>
      <c r="V59" s="48"/>
      <c r="W59" s="48"/>
      <c r="X59" s="48"/>
      <c r="Y59" s="48"/>
      <c r="Z59" s="48"/>
      <c r="AA59" s="48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</row>
    <row r="60" spans="2:52">
      <c r="B60" s="201"/>
      <c r="C60" s="201"/>
      <c r="D60" s="201"/>
      <c r="E60" s="201"/>
      <c r="F60" s="201"/>
      <c r="G60" s="201"/>
      <c r="H60" s="201"/>
      <c r="I60" s="213"/>
      <c r="J60" s="209"/>
      <c r="K60" s="209"/>
      <c r="L60" s="203"/>
      <c r="M60" s="201"/>
      <c r="N60" s="201"/>
      <c r="O60" s="209"/>
      <c r="P60" s="32"/>
      <c r="Q60" s="32"/>
      <c r="R60" s="32"/>
      <c r="S60" s="32"/>
      <c r="T60" s="48"/>
      <c r="U60" s="48"/>
      <c r="V60" s="48"/>
      <c r="W60" s="48"/>
      <c r="X60" s="48"/>
      <c r="Y60" s="48"/>
      <c r="Z60" s="48"/>
      <c r="AA60" s="48"/>
      <c r="AB60" s="48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</row>
    <row r="61" spans="2:52">
      <c r="B61" s="40" t="s">
        <v>561</v>
      </c>
      <c r="C61" s="40"/>
      <c r="D61" s="32"/>
      <c r="E61" s="32"/>
      <c r="F61" s="32"/>
      <c r="G61" s="32"/>
      <c r="H61" s="32"/>
      <c r="I61" s="32"/>
      <c r="J61" s="52"/>
      <c r="K61" s="52"/>
      <c r="L61" s="55"/>
      <c r="M61" s="32"/>
      <c r="N61" s="201"/>
      <c r="O61" s="5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  <c r="AU61" s="201"/>
      <c r="AZ61" s="201"/>
    </row>
    <row r="62" spans="2:52">
      <c r="B62" s="422">
        <v>1</v>
      </c>
      <c r="C62" s="1249" t="s">
        <v>1130</v>
      </c>
      <c r="D62" s="1249"/>
      <c r="E62" s="1249"/>
      <c r="F62" s="1249"/>
      <c r="G62" s="1249"/>
      <c r="H62" s="1249"/>
      <c r="I62" s="1249"/>
      <c r="J62" s="1249"/>
      <c r="K62" s="1249"/>
      <c r="L62" s="203"/>
      <c r="M62" s="201"/>
      <c r="N62" s="201"/>
      <c r="O62" s="209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1"/>
      <c r="AC62" s="201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  <c r="AU62" s="201"/>
      <c r="AV62" s="201"/>
      <c r="AW62" s="201"/>
      <c r="AX62" s="201"/>
      <c r="AY62" s="201"/>
      <c r="AZ62" s="201"/>
    </row>
    <row r="64" spans="2:52">
      <c r="B64" s="28" t="s">
        <v>126</v>
      </c>
      <c r="C64" s="28"/>
      <c r="D64" s="29"/>
      <c r="E64" s="30" t="s">
        <v>511</v>
      </c>
      <c r="F64" s="31" t="s">
        <v>745</v>
      </c>
      <c r="G64" s="32"/>
      <c r="H64" s="33"/>
      <c r="I64" s="34"/>
      <c r="J64" s="35" t="s">
        <v>513</v>
      </c>
      <c r="K64" s="36" t="s">
        <v>511</v>
      </c>
      <c r="L64" s="37">
        <v>44991.684027777781</v>
      </c>
      <c r="M64" s="32"/>
      <c r="N64" s="32"/>
      <c r="O64" s="36"/>
      <c r="P64" s="33"/>
      <c r="Q64" s="48"/>
      <c r="R64" s="49"/>
      <c r="S64" s="38"/>
      <c r="T64" s="32"/>
      <c r="U64" s="32"/>
      <c r="V64" s="32"/>
      <c r="W64" s="32"/>
      <c r="X64" s="32"/>
      <c r="Y64" s="32"/>
      <c r="Z64" s="32"/>
      <c r="AA64" s="32"/>
      <c r="AB64" s="48"/>
      <c r="AC64" s="48"/>
      <c r="AD64" s="48"/>
      <c r="AE64" s="48"/>
      <c r="AF64" s="48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</row>
    <row r="65" spans="2:52">
      <c r="B65" s="35" t="s">
        <v>514</v>
      </c>
      <c r="C65" s="35"/>
      <c r="D65" s="32"/>
      <c r="E65" s="36" t="s">
        <v>511</v>
      </c>
      <c r="F65" s="37" t="s">
        <v>1131</v>
      </c>
      <c r="G65" s="60" t="s">
        <v>647</v>
      </c>
      <c r="H65" s="33"/>
      <c r="I65" s="34"/>
      <c r="J65" s="35" t="s">
        <v>516</v>
      </c>
      <c r="K65" s="36" t="s">
        <v>511</v>
      </c>
      <c r="L65" s="37">
        <v>44994.822916666664</v>
      </c>
      <c r="M65" s="32"/>
      <c r="N65" s="32"/>
      <c r="O65" s="36"/>
      <c r="P65" s="33"/>
      <c r="Q65" s="48"/>
      <c r="R65" s="49"/>
      <c r="S65" s="38"/>
      <c r="T65" s="32"/>
      <c r="U65" s="32"/>
      <c r="V65" s="32"/>
      <c r="W65" s="32"/>
      <c r="X65" s="32"/>
      <c r="Y65" s="32"/>
      <c r="Z65" s="32"/>
      <c r="AA65" s="32"/>
      <c r="AB65" s="48"/>
      <c r="AC65" s="48"/>
      <c r="AD65" s="48"/>
      <c r="AE65" s="48"/>
      <c r="AF65" s="48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</row>
    <row r="66" spans="2:52">
      <c r="B66" s="35" t="s">
        <v>517</v>
      </c>
      <c r="C66" s="35"/>
      <c r="D66" s="32"/>
      <c r="E66" s="36" t="s">
        <v>511</v>
      </c>
      <c r="F66" s="37">
        <v>44985.75</v>
      </c>
      <c r="G66" s="60">
        <v>44986</v>
      </c>
      <c r="H66" s="33"/>
      <c r="I66" s="34"/>
      <c r="J66" s="35" t="s">
        <v>518</v>
      </c>
      <c r="K66" s="36" t="s">
        <v>511</v>
      </c>
      <c r="L66" s="50">
        <v>68697</v>
      </c>
      <c r="M66" s="40" t="s">
        <v>519</v>
      </c>
      <c r="N66" s="40"/>
      <c r="O66" s="36"/>
      <c r="P66" s="33"/>
      <c r="Q66" s="48"/>
      <c r="R66" s="49"/>
      <c r="S66" s="38"/>
      <c r="T66" s="32"/>
      <c r="U66" s="32"/>
      <c r="V66" s="32"/>
      <c r="W66" s="32"/>
      <c r="X66" s="32"/>
      <c r="Y66" s="32"/>
      <c r="Z66" s="32"/>
      <c r="AA66" s="32"/>
      <c r="AB66" s="48"/>
      <c r="AC66" s="48"/>
      <c r="AD66" s="48"/>
      <c r="AE66" s="48"/>
      <c r="AF66" s="48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</row>
    <row r="67" spans="2:52">
      <c r="B67" s="35" t="s">
        <v>520</v>
      </c>
      <c r="C67" s="35"/>
      <c r="D67" s="32"/>
      <c r="E67" s="36" t="s">
        <v>511</v>
      </c>
      <c r="F67" s="37" t="s">
        <v>4</v>
      </c>
      <c r="G67" s="32"/>
      <c r="H67" s="33"/>
      <c r="I67" s="34"/>
      <c r="J67" s="35" t="s">
        <v>521</v>
      </c>
      <c r="K67" s="36" t="s">
        <v>511</v>
      </c>
      <c r="L67" s="41" t="s">
        <v>1132</v>
      </c>
      <c r="M67" s="32"/>
      <c r="N67" s="32"/>
      <c r="O67" s="36"/>
      <c r="P67" s="48"/>
      <c r="Q67" s="48"/>
      <c r="R67" s="49"/>
      <c r="S67" s="38"/>
      <c r="T67" s="32"/>
      <c r="U67" s="32"/>
      <c r="V67" s="32"/>
      <c r="W67" s="32"/>
      <c r="X67" s="32"/>
      <c r="Y67" s="32"/>
      <c r="Z67" s="32"/>
      <c r="AA67" s="32"/>
      <c r="AB67" s="48"/>
      <c r="AC67" s="48"/>
      <c r="AD67" s="48"/>
      <c r="AE67" s="48"/>
      <c r="AF67" s="48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</row>
    <row r="68" spans="2:52">
      <c r="B68" s="35" t="s">
        <v>523</v>
      </c>
      <c r="C68" s="35"/>
      <c r="D68" s="32"/>
      <c r="E68" s="36" t="s">
        <v>511</v>
      </c>
      <c r="F68" s="37" t="s">
        <v>5</v>
      </c>
      <c r="G68" s="32"/>
      <c r="H68" s="33"/>
      <c r="I68" s="34"/>
      <c r="J68" s="42" t="s">
        <v>524</v>
      </c>
      <c r="K68" s="36" t="s">
        <v>511</v>
      </c>
      <c r="L68" s="43" t="s">
        <v>15</v>
      </c>
      <c r="M68" s="44"/>
      <c r="N68" s="44"/>
      <c r="O68" s="36"/>
      <c r="P68" s="33"/>
      <c r="Q68" s="48"/>
      <c r="R68" s="49"/>
      <c r="S68" s="38"/>
      <c r="T68" s="32"/>
      <c r="U68" s="32"/>
      <c r="V68" s="32"/>
      <c r="W68" s="32"/>
      <c r="X68" s="32"/>
      <c r="Y68" s="32"/>
      <c r="Z68" s="32"/>
      <c r="AA68" s="32"/>
      <c r="AB68" s="48"/>
      <c r="AC68" s="48"/>
      <c r="AD68" s="48"/>
      <c r="AE68" s="48"/>
      <c r="AF68" s="48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</row>
    <row r="69" spans="2:52">
      <c r="B69" s="35" t="s">
        <v>2</v>
      </c>
      <c r="C69" s="35"/>
      <c r="D69" s="32"/>
      <c r="E69" s="36" t="s">
        <v>511</v>
      </c>
      <c r="F69" s="37" t="s">
        <v>6</v>
      </c>
      <c r="G69" s="32"/>
      <c r="H69" s="33"/>
      <c r="I69" s="45"/>
      <c r="J69" s="42"/>
      <c r="K69" s="36"/>
      <c r="L69" s="37"/>
      <c r="M69" s="32"/>
      <c r="N69" s="32"/>
      <c r="O69" s="42"/>
      <c r="P69" s="44"/>
      <c r="Q69" s="44"/>
      <c r="R69" s="44"/>
      <c r="S69" s="34"/>
      <c r="T69" s="32"/>
      <c r="U69" s="32"/>
      <c r="V69" s="32"/>
      <c r="W69" s="32"/>
      <c r="X69" s="32"/>
      <c r="Y69" s="32"/>
      <c r="Z69" s="32"/>
      <c r="AA69" s="32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</row>
    <row r="70" spans="2:52">
      <c r="B70" s="32"/>
      <c r="C70" s="32"/>
      <c r="D70" s="32"/>
      <c r="E70" s="32"/>
      <c r="F70" s="32"/>
      <c r="G70" s="32"/>
      <c r="H70" s="32"/>
      <c r="I70" s="45"/>
      <c r="J70" s="42"/>
      <c r="K70" s="42"/>
      <c r="L70" s="43"/>
      <c r="M70" s="44"/>
      <c r="N70" s="44"/>
      <c r="O70" s="42"/>
      <c r="P70" s="44"/>
      <c r="Q70" s="44"/>
      <c r="R70" s="44"/>
      <c r="S70" s="34"/>
      <c r="T70" s="1270" t="s">
        <v>87</v>
      </c>
      <c r="U70" s="1270"/>
      <c r="V70" s="1270"/>
      <c r="W70" s="1270"/>
      <c r="X70" s="1270"/>
      <c r="Y70" s="1270" t="s">
        <v>73</v>
      </c>
      <c r="Z70" s="1270"/>
      <c r="AA70" s="1270"/>
      <c r="AB70" s="1270" t="s">
        <v>74</v>
      </c>
      <c r="AC70" s="1270"/>
      <c r="AD70" s="407" t="s">
        <v>85</v>
      </c>
      <c r="AE70" s="407" t="s">
        <v>77</v>
      </c>
      <c r="AF70" s="1270" t="s">
        <v>525</v>
      </c>
      <c r="AG70" s="1270"/>
      <c r="AH70" s="1270"/>
      <c r="AI70" s="1270"/>
      <c r="AJ70" s="1270"/>
      <c r="AK70" s="1270"/>
      <c r="AL70" s="1270"/>
      <c r="AM70" s="1270"/>
      <c r="AN70" s="1270"/>
      <c r="AO70" s="1270"/>
      <c r="AP70" s="1270"/>
      <c r="AQ70" s="1270"/>
      <c r="AR70" s="1270"/>
      <c r="AS70" s="1270"/>
      <c r="AT70" s="1270"/>
      <c r="AU70" s="1270"/>
      <c r="AV70" s="1270"/>
      <c r="AW70" s="1270"/>
      <c r="AX70" s="1270"/>
      <c r="AY70" s="1270"/>
      <c r="AZ70" s="32"/>
    </row>
    <row r="71" spans="2:52">
      <c r="B71" s="1266" t="s">
        <v>526</v>
      </c>
      <c r="C71" s="1267"/>
      <c r="D71" s="570" t="s">
        <v>527</v>
      </c>
      <c r="E71" s="570"/>
      <c r="F71" s="570" t="s">
        <v>528</v>
      </c>
      <c r="G71" s="570" t="s">
        <v>529</v>
      </c>
      <c r="H71" s="570" t="s">
        <v>530</v>
      </c>
      <c r="I71" s="570" t="s">
        <v>531</v>
      </c>
      <c r="J71" s="570" t="s">
        <v>532</v>
      </c>
      <c r="K71" s="570"/>
      <c r="L71" s="570" t="s">
        <v>130</v>
      </c>
      <c r="M71" s="570" t="s">
        <v>533</v>
      </c>
      <c r="N71" s="408" t="str">
        <f>"On time - "&amp;COUNTIF(N72:N89,"On time")&amp;" from "&amp;ROWS(N72:N89)-COUNTIF(N72:N89," ")</f>
        <v>On time - 0 from 10</v>
      </c>
      <c r="O71" s="46"/>
      <c r="P71" s="409" t="s">
        <v>534</v>
      </c>
      <c r="Q71" s="409" t="s">
        <v>535</v>
      </c>
      <c r="R71" s="409" t="s">
        <v>536</v>
      </c>
      <c r="S71" s="32"/>
      <c r="T71" s="410" t="s">
        <v>537</v>
      </c>
      <c r="U71" s="410" t="s">
        <v>538</v>
      </c>
      <c r="V71" s="410" t="s">
        <v>539</v>
      </c>
      <c r="W71" s="410" t="s">
        <v>540</v>
      </c>
      <c r="X71" s="410" t="s">
        <v>541</v>
      </c>
      <c r="Y71" s="410" t="s">
        <v>167</v>
      </c>
      <c r="Z71" s="410" t="s">
        <v>168</v>
      </c>
      <c r="AA71" s="410" t="s">
        <v>169</v>
      </c>
      <c r="AB71" s="410" t="s">
        <v>235</v>
      </c>
      <c r="AC71" s="424" t="s">
        <v>240</v>
      </c>
      <c r="AD71" s="407" t="s">
        <v>85</v>
      </c>
      <c r="AE71" s="410" t="s">
        <v>139</v>
      </c>
      <c r="AF71" s="410" t="s">
        <v>72</v>
      </c>
      <c r="AG71" s="410" t="s">
        <v>88</v>
      </c>
      <c r="AH71" s="410" t="s">
        <v>75</v>
      </c>
      <c r="AI71" s="410" t="s">
        <v>543</v>
      </c>
      <c r="AJ71" s="410" t="s">
        <v>78</v>
      </c>
      <c r="AK71" s="410" t="s">
        <v>76</v>
      </c>
      <c r="AL71" s="410" t="s">
        <v>544</v>
      </c>
      <c r="AM71" s="410" t="s">
        <v>545</v>
      </c>
      <c r="AN71" s="410" t="s">
        <v>86</v>
      </c>
      <c r="AO71" s="410" t="s">
        <v>83</v>
      </c>
      <c r="AP71" s="410" t="s">
        <v>84</v>
      </c>
      <c r="AQ71" s="410" t="s">
        <v>546</v>
      </c>
      <c r="AR71" s="410" t="s">
        <v>81</v>
      </c>
      <c r="AS71" s="410" t="s">
        <v>80</v>
      </c>
      <c r="AT71" s="410" t="s">
        <v>82</v>
      </c>
      <c r="AU71" s="410" t="s">
        <v>181</v>
      </c>
      <c r="AV71" s="410" t="s">
        <v>183</v>
      </c>
      <c r="AW71" s="410" t="s">
        <v>547</v>
      </c>
      <c r="AX71" s="410" t="s">
        <v>182</v>
      </c>
      <c r="AY71" s="410" t="s">
        <v>172</v>
      </c>
      <c r="AZ71" s="32"/>
    </row>
    <row r="72" spans="2:52">
      <c r="B72" s="1256" t="s">
        <v>616</v>
      </c>
      <c r="C72" s="1257"/>
      <c r="D72" s="411" t="s">
        <v>1059</v>
      </c>
      <c r="E72" s="411"/>
      <c r="F72" s="411" t="s">
        <v>399</v>
      </c>
      <c r="G72" s="411" t="s">
        <v>400</v>
      </c>
      <c r="H72" s="412">
        <v>7622.201</v>
      </c>
      <c r="I72" s="413" t="s">
        <v>172</v>
      </c>
      <c r="J72" s="414">
        <v>44990.0625</v>
      </c>
      <c r="K72" s="414"/>
      <c r="L72" s="414" t="s">
        <v>192</v>
      </c>
      <c r="M72" s="414" t="s">
        <v>192</v>
      </c>
      <c r="N72" s="413" t="str">
        <f>IF(ISBLANK(J72)," ",IF(J72&lt;$G$66,"On time",(IF(DAY(J72-$G$66)&lt;1,"On time",(IF(J72&gt;$G$66,"DELAY ( "&amp;DAY(J72-$G$66)&amp;" day "&amp;HOUR(J72-$G$66)&amp;" hour "&amp;MINUTE(J72-$G$66)&amp;" minute )","xxx"))))))</f>
        <v>DELAY ( 4 day 1 hour 30 minute )</v>
      </c>
      <c r="O72" s="51"/>
      <c r="P72" s="415" t="s">
        <v>551</v>
      </c>
      <c r="Q72" s="415" t="s">
        <v>551</v>
      </c>
      <c r="R72" s="415" t="s">
        <v>551</v>
      </c>
      <c r="S72" s="32"/>
      <c r="T72" s="416"/>
      <c r="U72" s="416"/>
      <c r="V72" s="416"/>
      <c r="W72" s="416"/>
      <c r="X72" s="416"/>
      <c r="Y72" s="416"/>
      <c r="Z72" s="416"/>
      <c r="AA72" s="416"/>
      <c r="AB72" s="416"/>
      <c r="AC72" s="416"/>
      <c r="AD72" s="416"/>
      <c r="AE72" s="416"/>
      <c r="AF72" s="416"/>
      <c r="AG72" s="416"/>
      <c r="AH72" s="416"/>
      <c r="AI72" s="416"/>
      <c r="AJ72" s="416"/>
      <c r="AK72" s="416"/>
      <c r="AL72" s="416"/>
      <c r="AM72" s="416"/>
      <c r="AN72" s="416"/>
      <c r="AO72" s="416"/>
      <c r="AP72" s="416"/>
      <c r="AQ72" s="416"/>
      <c r="AR72" s="416"/>
      <c r="AS72" s="416"/>
      <c r="AT72" s="416"/>
      <c r="AU72" s="416"/>
      <c r="AV72" s="416"/>
      <c r="AW72" s="416"/>
      <c r="AX72" s="416"/>
      <c r="AY72" s="416">
        <f>H72</f>
        <v>7622.201</v>
      </c>
      <c r="AZ72" s="32"/>
    </row>
    <row r="73" spans="2:52">
      <c r="B73" s="1258" t="s">
        <v>618</v>
      </c>
      <c r="C73" s="1259"/>
      <c r="D73" s="1259"/>
      <c r="E73" s="1259"/>
      <c r="F73" s="1259"/>
      <c r="G73" s="1260"/>
      <c r="H73" s="417">
        <f>SUM(H72)</f>
        <v>7622.201</v>
      </c>
      <c r="I73" s="388"/>
      <c r="J73" s="293"/>
      <c r="K73" s="293"/>
      <c r="L73" s="293"/>
      <c r="M73" s="389"/>
      <c r="N73" s="413" t="str">
        <f t="shared" ref="N73:N90" si="4">IF(ISBLANK(J73)," ",IF(J73&lt;$G$66,"On time",(IF(DAY(J73-$G$66)&lt;1,"On time",(IF(J73&gt;$G$66,"DELAY ( "&amp;DAY(J73-$G$66)&amp;" day "&amp;HOUR(J73-$G$66)&amp;" hour "&amp;MINUTE(J73-$G$66)&amp;" minute )","xxx"))))))</f>
        <v xml:space="preserve"> </v>
      </c>
      <c r="O73" s="47"/>
      <c r="P73" s="418"/>
      <c r="Q73" s="418"/>
      <c r="R73" s="418"/>
      <c r="S73" s="32"/>
      <c r="T73" s="416"/>
      <c r="U73" s="416"/>
      <c r="V73" s="416"/>
      <c r="W73" s="416"/>
      <c r="X73" s="416"/>
      <c r="Y73" s="416"/>
      <c r="Z73" s="416"/>
      <c r="AA73" s="416"/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  <c r="AL73" s="416"/>
      <c r="AM73" s="416"/>
      <c r="AN73" s="416"/>
      <c r="AO73" s="416"/>
      <c r="AP73" s="416"/>
      <c r="AQ73" s="416"/>
      <c r="AR73" s="416"/>
      <c r="AS73" s="416"/>
      <c r="AT73" s="416"/>
      <c r="AU73" s="416"/>
      <c r="AV73" s="416"/>
      <c r="AW73" s="416"/>
      <c r="AX73" s="416"/>
      <c r="AY73" s="416"/>
    </row>
    <row r="74" spans="2:52">
      <c r="B74" s="1250" t="s">
        <v>619</v>
      </c>
      <c r="C74" s="1251"/>
      <c r="D74" s="411" t="s">
        <v>926</v>
      </c>
      <c r="E74" s="411"/>
      <c r="F74" s="411" t="s">
        <v>257</v>
      </c>
      <c r="G74" s="411" t="s">
        <v>258</v>
      </c>
      <c r="H74" s="412">
        <v>7437.1210000000001</v>
      </c>
      <c r="I74" s="413" t="s">
        <v>581</v>
      </c>
      <c r="J74" s="414">
        <v>44990.604166666664</v>
      </c>
      <c r="K74" s="414"/>
      <c r="L74" s="414" t="s">
        <v>192</v>
      </c>
      <c r="M74" s="414" t="s">
        <v>192</v>
      </c>
      <c r="N74" s="413" t="str">
        <f t="shared" si="4"/>
        <v>DELAY ( 4 day 14 hour 30 minute )</v>
      </c>
      <c r="O74" s="51"/>
      <c r="P74" s="415" t="s">
        <v>551</v>
      </c>
      <c r="Q74" s="415" t="s">
        <v>551</v>
      </c>
      <c r="R74" s="415" t="s">
        <v>551</v>
      </c>
      <c r="S74" s="32"/>
      <c r="T74" s="416"/>
      <c r="U74" s="416"/>
      <c r="V74" s="416"/>
      <c r="W74" s="416"/>
      <c r="X74" s="416"/>
      <c r="Y74" s="416"/>
      <c r="Z74" s="416"/>
      <c r="AA74" s="416"/>
      <c r="AB74" s="416">
        <f>H74*0.75</f>
        <v>5577.8407500000003</v>
      </c>
      <c r="AC74" s="416">
        <f>H74*0.25</f>
        <v>1859.28025</v>
      </c>
      <c r="AD74" s="416"/>
      <c r="AE74" s="416"/>
      <c r="AF74" s="416"/>
      <c r="AG74" s="416"/>
      <c r="AH74" s="416"/>
      <c r="AI74" s="416"/>
      <c r="AJ74" s="416"/>
      <c r="AK74" s="416"/>
      <c r="AL74" s="416"/>
      <c r="AM74" s="416"/>
      <c r="AN74" s="416"/>
      <c r="AO74" s="416"/>
      <c r="AP74" s="416"/>
      <c r="AQ74" s="416"/>
      <c r="AR74" s="416"/>
      <c r="AS74" s="416"/>
      <c r="AT74" s="416"/>
      <c r="AU74" s="416"/>
      <c r="AV74" s="416"/>
      <c r="AW74" s="416"/>
      <c r="AX74" s="416"/>
      <c r="AY74" s="416"/>
      <c r="AZ74" s="32"/>
    </row>
    <row r="75" spans="2:52">
      <c r="B75" s="1254"/>
      <c r="C75" s="1255"/>
      <c r="D75" s="411"/>
      <c r="E75" s="411"/>
      <c r="F75" s="1256" t="s">
        <v>616</v>
      </c>
      <c r="G75" s="1257"/>
      <c r="H75" s="412">
        <v>2000</v>
      </c>
      <c r="I75" s="413"/>
      <c r="J75" s="414"/>
      <c r="K75" s="414"/>
      <c r="L75" s="414"/>
      <c r="M75" s="414"/>
      <c r="N75" s="413" t="str">
        <f t="shared" si="4"/>
        <v xml:space="preserve"> </v>
      </c>
      <c r="O75" s="51"/>
      <c r="P75" s="415"/>
      <c r="Q75" s="415"/>
      <c r="R75" s="415"/>
      <c r="S75" s="32"/>
      <c r="T75" s="416"/>
      <c r="U75" s="416"/>
      <c r="V75" s="416"/>
      <c r="W75" s="416"/>
      <c r="X75" s="416"/>
      <c r="Y75" s="416"/>
      <c r="Z75" s="416"/>
      <c r="AA75" s="416"/>
      <c r="AB75" s="416"/>
      <c r="AC75" s="416"/>
      <c r="AD75" s="416"/>
      <c r="AE75" s="416"/>
      <c r="AF75" s="416"/>
      <c r="AG75" s="416"/>
      <c r="AH75" s="416"/>
      <c r="AI75" s="416"/>
      <c r="AJ75" s="416"/>
      <c r="AK75" s="416"/>
      <c r="AL75" s="416"/>
      <c r="AM75" s="416"/>
      <c r="AN75" s="416"/>
      <c r="AO75" s="416"/>
      <c r="AP75" s="416"/>
      <c r="AQ75" s="416"/>
      <c r="AR75" s="416"/>
      <c r="AS75" s="416"/>
      <c r="AT75" s="416"/>
      <c r="AU75" s="416"/>
      <c r="AV75" s="416"/>
      <c r="AW75" s="416"/>
      <c r="AX75" s="416"/>
      <c r="AY75" s="416"/>
      <c r="AZ75" s="32"/>
    </row>
    <row r="76" spans="2:52">
      <c r="B76" s="1256" t="s">
        <v>621</v>
      </c>
      <c r="C76" s="1257"/>
      <c r="D76" s="411" t="s">
        <v>924</v>
      </c>
      <c r="E76" s="411"/>
      <c r="F76" s="411" t="s">
        <v>774</v>
      </c>
      <c r="G76" s="411" t="s">
        <v>423</v>
      </c>
      <c r="H76" s="412">
        <v>7436.1409999999996</v>
      </c>
      <c r="I76" s="413" t="s">
        <v>581</v>
      </c>
      <c r="J76" s="414">
        <v>44990.763888888891</v>
      </c>
      <c r="K76" s="414"/>
      <c r="L76" s="414" t="s">
        <v>192</v>
      </c>
      <c r="M76" s="414" t="s">
        <v>192</v>
      </c>
      <c r="N76" s="413" t="str">
        <f t="shared" si="4"/>
        <v>DELAY ( 4 day 18 hour 20 minute )</v>
      </c>
      <c r="O76" s="51"/>
      <c r="P76" s="415" t="s">
        <v>551</v>
      </c>
      <c r="Q76" s="415" t="s">
        <v>551</v>
      </c>
      <c r="R76" s="415" t="s">
        <v>551</v>
      </c>
      <c r="S76" s="32"/>
      <c r="T76" s="416"/>
      <c r="U76" s="416"/>
      <c r="V76" s="416"/>
      <c r="W76" s="416"/>
      <c r="X76" s="416"/>
      <c r="Y76" s="416"/>
      <c r="Z76" s="416"/>
      <c r="AA76" s="416"/>
      <c r="AB76" s="416">
        <f>H76*0.75</f>
        <v>5577.1057499999997</v>
      </c>
      <c r="AC76" s="416">
        <f>H76*0.25</f>
        <v>1859.0352499999999</v>
      </c>
      <c r="AD76" s="416"/>
      <c r="AE76" s="416"/>
      <c r="AF76" s="416"/>
      <c r="AG76" s="416"/>
      <c r="AH76" s="416"/>
      <c r="AI76" s="416"/>
      <c r="AJ76" s="416"/>
      <c r="AK76" s="416"/>
      <c r="AL76" s="416"/>
      <c r="AM76" s="416"/>
      <c r="AN76" s="416"/>
      <c r="AO76" s="416"/>
      <c r="AP76" s="416"/>
      <c r="AQ76" s="416"/>
      <c r="AR76" s="416"/>
      <c r="AS76" s="416"/>
      <c r="AT76" s="416"/>
      <c r="AU76" s="416"/>
      <c r="AV76" s="416"/>
      <c r="AW76" s="416"/>
      <c r="AX76" s="416"/>
      <c r="AY76" s="416"/>
      <c r="AZ76" s="32"/>
    </row>
    <row r="77" spans="2:52">
      <c r="B77" s="1250" t="s">
        <v>622</v>
      </c>
      <c r="C77" s="1251"/>
      <c r="D77" s="411" t="s">
        <v>923</v>
      </c>
      <c r="E77" s="411"/>
      <c r="F77" s="411" t="s">
        <v>334</v>
      </c>
      <c r="G77" s="411" t="s">
        <v>335</v>
      </c>
      <c r="H77" s="412">
        <v>7434.527</v>
      </c>
      <c r="I77" s="413" t="s">
        <v>581</v>
      </c>
      <c r="J77" s="414">
        <v>44990.9375</v>
      </c>
      <c r="K77" s="414"/>
      <c r="L77" s="414" t="s">
        <v>192</v>
      </c>
      <c r="M77" s="414" t="s">
        <v>192</v>
      </c>
      <c r="N77" s="413" t="str">
        <f t="shared" si="4"/>
        <v>DELAY ( 4 day 22 hour 30 minute )</v>
      </c>
      <c r="O77" s="51"/>
      <c r="P77" s="415" t="s">
        <v>551</v>
      </c>
      <c r="Q77" s="415" t="s">
        <v>551</v>
      </c>
      <c r="R77" s="415" t="s">
        <v>551</v>
      </c>
      <c r="S77" s="32"/>
      <c r="T77" s="416"/>
      <c r="U77" s="416"/>
      <c r="V77" s="416"/>
      <c r="W77" s="416"/>
      <c r="X77" s="416"/>
      <c r="Y77" s="416"/>
      <c r="Z77" s="416"/>
      <c r="AA77" s="416"/>
      <c r="AB77" s="416">
        <f>H77*0.75</f>
        <v>5575.8952499999996</v>
      </c>
      <c r="AC77" s="416">
        <f>H77*0.25</f>
        <v>1858.63175</v>
      </c>
      <c r="AD77" s="416"/>
      <c r="AE77" s="416"/>
      <c r="AF77" s="416"/>
      <c r="AG77" s="416"/>
      <c r="AH77" s="416"/>
      <c r="AI77" s="416"/>
      <c r="AJ77" s="416"/>
      <c r="AK77" s="416"/>
      <c r="AL77" s="416"/>
      <c r="AM77" s="416"/>
      <c r="AN77" s="416"/>
      <c r="AO77" s="416"/>
      <c r="AP77" s="416"/>
      <c r="AQ77" s="416"/>
      <c r="AR77" s="416"/>
      <c r="AS77" s="416"/>
      <c r="AT77" s="416"/>
      <c r="AU77" s="416"/>
      <c r="AV77" s="416"/>
      <c r="AW77" s="416"/>
      <c r="AX77" s="416"/>
      <c r="AY77" s="416"/>
      <c r="AZ77" s="32"/>
    </row>
    <row r="78" spans="2:52">
      <c r="B78" s="1254"/>
      <c r="C78" s="1255"/>
      <c r="D78" s="411"/>
      <c r="E78" s="411"/>
      <c r="F78" s="1256" t="s">
        <v>616</v>
      </c>
      <c r="G78" s="1257"/>
      <c r="H78" s="412">
        <v>1000</v>
      </c>
      <c r="I78" s="413"/>
      <c r="J78" s="414"/>
      <c r="K78" s="414"/>
      <c r="L78" s="414"/>
      <c r="M78" s="414"/>
      <c r="N78" s="413" t="str">
        <f t="shared" si="4"/>
        <v xml:space="preserve"> </v>
      </c>
      <c r="O78" s="51"/>
      <c r="P78" s="415"/>
      <c r="Q78" s="415"/>
      <c r="R78" s="415"/>
      <c r="S78" s="32"/>
      <c r="T78" s="416"/>
      <c r="U78" s="416"/>
      <c r="V78" s="416"/>
      <c r="W78" s="416"/>
      <c r="X78" s="416"/>
      <c r="Y78" s="416"/>
      <c r="Z78" s="416"/>
      <c r="AA78" s="416"/>
      <c r="AB78" s="416"/>
      <c r="AC78" s="416"/>
      <c r="AD78" s="416"/>
      <c r="AE78" s="416"/>
      <c r="AF78" s="416"/>
      <c r="AG78" s="416"/>
      <c r="AH78" s="416"/>
      <c r="AI78" s="416"/>
      <c r="AJ78" s="416"/>
      <c r="AK78" s="416"/>
      <c r="AL78" s="416"/>
      <c r="AM78" s="416"/>
      <c r="AN78" s="416"/>
      <c r="AO78" s="416"/>
      <c r="AP78" s="416"/>
      <c r="AQ78" s="416"/>
      <c r="AR78" s="416"/>
      <c r="AS78" s="416"/>
      <c r="AT78" s="416"/>
      <c r="AU78" s="416"/>
      <c r="AV78" s="416"/>
      <c r="AW78" s="416"/>
      <c r="AX78" s="416"/>
      <c r="AY78" s="416"/>
      <c r="AZ78" s="32"/>
    </row>
    <row r="79" spans="2:52">
      <c r="B79" s="1250" t="s">
        <v>623</v>
      </c>
      <c r="C79" s="1251"/>
      <c r="D79" s="411" t="s">
        <v>925</v>
      </c>
      <c r="E79" s="411"/>
      <c r="F79" s="411" t="s">
        <v>252</v>
      </c>
      <c r="G79" s="411" t="s">
        <v>253</v>
      </c>
      <c r="H79" s="412">
        <v>7513.18</v>
      </c>
      <c r="I79" s="413" t="s">
        <v>581</v>
      </c>
      <c r="J79" s="414">
        <v>44991.458333333336</v>
      </c>
      <c r="K79" s="414"/>
      <c r="L79" s="414" t="s">
        <v>192</v>
      </c>
      <c r="M79" s="414" t="s">
        <v>192</v>
      </c>
      <c r="N79" s="413" t="str">
        <f t="shared" si="4"/>
        <v>DELAY ( 5 day 11 hour 0 minute )</v>
      </c>
      <c r="O79" s="51"/>
      <c r="P79" s="415" t="s">
        <v>551</v>
      </c>
      <c r="Q79" s="415" t="s">
        <v>551</v>
      </c>
      <c r="R79" s="415" t="s">
        <v>551</v>
      </c>
      <c r="S79" s="32"/>
      <c r="T79" s="416"/>
      <c r="U79" s="416"/>
      <c r="V79" s="416"/>
      <c r="W79" s="416"/>
      <c r="X79" s="416"/>
      <c r="Y79" s="416"/>
      <c r="Z79" s="416"/>
      <c r="AA79" s="416"/>
      <c r="AB79" s="416">
        <f>H79*0.75</f>
        <v>5634.8850000000002</v>
      </c>
      <c r="AC79" s="416">
        <f>H79*0.25</f>
        <v>1878.2950000000001</v>
      </c>
      <c r="AD79" s="416"/>
      <c r="AE79" s="416"/>
      <c r="AF79" s="416"/>
      <c r="AG79" s="416"/>
      <c r="AH79" s="416"/>
      <c r="AI79" s="416"/>
      <c r="AJ79" s="416"/>
      <c r="AK79" s="416"/>
      <c r="AL79" s="416"/>
      <c r="AM79" s="416"/>
      <c r="AN79" s="416"/>
      <c r="AO79" s="416"/>
      <c r="AP79" s="416"/>
      <c r="AQ79" s="416"/>
      <c r="AR79" s="416"/>
      <c r="AS79" s="416"/>
      <c r="AT79" s="416"/>
      <c r="AU79" s="416"/>
      <c r="AV79" s="416"/>
      <c r="AW79" s="416"/>
      <c r="AX79" s="416"/>
      <c r="AY79" s="416"/>
      <c r="AZ79" s="32"/>
    </row>
    <row r="80" spans="2:52">
      <c r="B80" s="1254"/>
      <c r="C80" s="1255"/>
      <c r="D80" s="411"/>
      <c r="E80" s="411"/>
      <c r="F80" s="1256" t="s">
        <v>616</v>
      </c>
      <c r="G80" s="1257"/>
      <c r="H80" s="412">
        <v>1000</v>
      </c>
      <c r="I80" s="413"/>
      <c r="J80" s="414"/>
      <c r="K80" s="414"/>
      <c r="L80" s="414"/>
      <c r="M80" s="414"/>
      <c r="N80" s="413" t="str">
        <f t="shared" si="4"/>
        <v xml:space="preserve"> </v>
      </c>
      <c r="O80" s="51"/>
      <c r="P80" s="415"/>
      <c r="Q80" s="415"/>
      <c r="R80" s="415"/>
      <c r="S80" s="32"/>
      <c r="T80" s="416"/>
      <c r="U80" s="416"/>
      <c r="V80" s="416"/>
      <c r="W80" s="416"/>
      <c r="X80" s="416"/>
      <c r="Y80" s="416"/>
      <c r="Z80" s="416"/>
      <c r="AA80" s="416"/>
      <c r="AB80" s="416"/>
      <c r="AC80" s="416"/>
      <c r="AD80" s="416"/>
      <c r="AE80" s="416"/>
      <c r="AF80" s="416"/>
      <c r="AG80" s="416"/>
      <c r="AH80" s="416"/>
      <c r="AI80" s="416"/>
      <c r="AJ80" s="416"/>
      <c r="AK80" s="416"/>
      <c r="AL80" s="416"/>
      <c r="AM80" s="416"/>
      <c r="AN80" s="416"/>
      <c r="AO80" s="416"/>
      <c r="AP80" s="416"/>
      <c r="AQ80" s="416"/>
      <c r="AR80" s="416"/>
      <c r="AS80" s="416"/>
      <c r="AT80" s="416"/>
      <c r="AU80" s="416"/>
      <c r="AV80" s="416"/>
      <c r="AW80" s="416"/>
      <c r="AX80" s="416"/>
      <c r="AY80" s="416"/>
      <c r="AZ80" s="32"/>
    </row>
    <row r="81" spans="2:52">
      <c r="B81" s="1256" t="s">
        <v>624</v>
      </c>
      <c r="C81" s="1257"/>
      <c r="D81" s="411" t="s">
        <v>928</v>
      </c>
      <c r="E81" s="411"/>
      <c r="F81" s="411" t="s">
        <v>249</v>
      </c>
      <c r="G81" s="411" t="s">
        <v>250</v>
      </c>
      <c r="H81" s="412">
        <v>7555.2430000000004</v>
      </c>
      <c r="I81" s="413" t="s">
        <v>581</v>
      </c>
      <c r="J81" s="414">
        <v>44991.631944444445</v>
      </c>
      <c r="K81" s="414"/>
      <c r="L81" s="414" t="s">
        <v>192</v>
      </c>
      <c r="M81" s="414" t="s">
        <v>192</v>
      </c>
      <c r="N81" s="413" t="str">
        <f t="shared" si="4"/>
        <v>DELAY ( 5 day 15 hour 10 minute )</v>
      </c>
      <c r="O81" s="51"/>
      <c r="P81" s="415" t="s">
        <v>551</v>
      </c>
      <c r="Q81" s="415" t="s">
        <v>551</v>
      </c>
      <c r="R81" s="415" t="s">
        <v>551</v>
      </c>
      <c r="S81" s="32"/>
      <c r="T81" s="416"/>
      <c r="U81" s="416"/>
      <c r="V81" s="416"/>
      <c r="W81" s="416"/>
      <c r="X81" s="416"/>
      <c r="Y81" s="416"/>
      <c r="Z81" s="416"/>
      <c r="AA81" s="416"/>
      <c r="AB81" s="416">
        <f>H81*0.75</f>
        <v>5666.4322499999998</v>
      </c>
      <c r="AC81" s="416">
        <f>H81*0.25</f>
        <v>1888.8107500000001</v>
      </c>
      <c r="AD81" s="416"/>
      <c r="AE81" s="416"/>
      <c r="AF81" s="416"/>
      <c r="AG81" s="416"/>
      <c r="AH81" s="416"/>
      <c r="AI81" s="416"/>
      <c r="AJ81" s="416"/>
      <c r="AK81" s="416"/>
      <c r="AL81" s="416"/>
      <c r="AM81" s="416"/>
      <c r="AN81" s="416"/>
      <c r="AO81" s="416"/>
      <c r="AP81" s="416"/>
      <c r="AQ81" s="416"/>
      <c r="AR81" s="416"/>
      <c r="AS81" s="416"/>
      <c r="AT81" s="416"/>
      <c r="AU81" s="416"/>
      <c r="AV81" s="416"/>
      <c r="AW81" s="416"/>
      <c r="AX81" s="416"/>
      <c r="AY81" s="416"/>
      <c r="AZ81" s="32"/>
    </row>
    <row r="82" spans="2:52">
      <c r="B82" s="1250" t="s">
        <v>625</v>
      </c>
      <c r="C82" s="1251"/>
      <c r="D82" s="411" t="s">
        <v>927</v>
      </c>
      <c r="E82" s="411"/>
      <c r="F82" s="411" t="s">
        <v>403</v>
      </c>
      <c r="G82" s="411" t="s">
        <v>404</v>
      </c>
      <c r="H82" s="412">
        <v>7609.3789999999999</v>
      </c>
      <c r="I82" s="413" t="s">
        <v>581</v>
      </c>
      <c r="J82" s="414">
        <v>44992.465277777781</v>
      </c>
      <c r="K82" s="414"/>
      <c r="L82" s="414" t="s">
        <v>192</v>
      </c>
      <c r="M82" s="414" t="s">
        <v>192</v>
      </c>
      <c r="N82" s="413" t="str">
        <f t="shared" si="4"/>
        <v>DELAY ( 6 day 11 hour 10 minute )</v>
      </c>
      <c r="O82" s="51"/>
      <c r="P82" s="415" t="s">
        <v>551</v>
      </c>
      <c r="Q82" s="415" t="s">
        <v>551</v>
      </c>
      <c r="R82" s="415" t="s">
        <v>551</v>
      </c>
      <c r="S82" s="32"/>
      <c r="T82" s="416"/>
      <c r="U82" s="416"/>
      <c r="V82" s="416"/>
      <c r="W82" s="416"/>
      <c r="X82" s="416"/>
      <c r="Y82" s="416"/>
      <c r="Z82" s="416"/>
      <c r="AA82" s="416"/>
      <c r="AB82" s="416">
        <f>H82*0.75</f>
        <v>5707.0342499999997</v>
      </c>
      <c r="AC82" s="416">
        <f>H82*0.25</f>
        <v>1902.34475</v>
      </c>
      <c r="AD82" s="416"/>
      <c r="AE82" s="416"/>
      <c r="AF82" s="416"/>
      <c r="AG82" s="416"/>
      <c r="AH82" s="416"/>
      <c r="AI82" s="416"/>
      <c r="AJ82" s="416"/>
      <c r="AK82" s="416"/>
      <c r="AL82" s="416"/>
      <c r="AM82" s="416"/>
      <c r="AN82" s="416"/>
      <c r="AO82" s="416"/>
      <c r="AP82" s="416"/>
      <c r="AQ82" s="416"/>
      <c r="AR82" s="416"/>
      <c r="AS82" s="416"/>
      <c r="AT82" s="416"/>
      <c r="AU82" s="416"/>
      <c r="AV82" s="416"/>
      <c r="AW82" s="416"/>
      <c r="AX82" s="416"/>
      <c r="AY82" s="416"/>
      <c r="AZ82" s="32"/>
    </row>
    <row r="83" spans="2:52">
      <c r="B83" s="1254"/>
      <c r="C83" s="1255"/>
      <c r="D83" s="411"/>
      <c r="E83" s="411"/>
      <c r="F83" s="1256" t="s">
        <v>616</v>
      </c>
      <c r="G83" s="1257"/>
      <c r="H83" s="412">
        <v>1622</v>
      </c>
      <c r="I83" s="413"/>
      <c r="J83" s="414"/>
      <c r="K83" s="414"/>
      <c r="L83" s="414"/>
      <c r="M83" s="414"/>
      <c r="N83" s="413" t="str">
        <f t="shared" si="4"/>
        <v xml:space="preserve"> </v>
      </c>
      <c r="O83" s="51"/>
      <c r="P83" s="415"/>
      <c r="Q83" s="415"/>
      <c r="R83" s="415"/>
      <c r="S83" s="32"/>
      <c r="T83" s="416"/>
      <c r="U83" s="416"/>
      <c r="V83" s="416"/>
      <c r="W83" s="416"/>
      <c r="X83" s="416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416"/>
      <c r="AJ83" s="416"/>
      <c r="AK83" s="416"/>
      <c r="AL83" s="416"/>
      <c r="AM83" s="416"/>
      <c r="AN83" s="416"/>
      <c r="AO83" s="416"/>
      <c r="AP83" s="416"/>
      <c r="AQ83" s="416"/>
      <c r="AR83" s="416"/>
      <c r="AS83" s="416"/>
      <c r="AT83" s="416"/>
      <c r="AU83" s="416"/>
      <c r="AV83" s="416"/>
      <c r="AW83" s="416"/>
      <c r="AX83" s="416"/>
      <c r="AY83" s="416"/>
      <c r="AZ83" s="32"/>
    </row>
    <row r="84" spans="2:52">
      <c r="B84" s="1250" t="s">
        <v>669</v>
      </c>
      <c r="C84" s="1251"/>
      <c r="D84" s="411" t="s">
        <v>931</v>
      </c>
      <c r="E84" s="411"/>
      <c r="F84" s="411" t="s">
        <v>406</v>
      </c>
      <c r="G84" s="411" t="s">
        <v>407</v>
      </c>
      <c r="H84" s="412">
        <v>7526.7529999999997</v>
      </c>
      <c r="I84" s="413" t="s">
        <v>581</v>
      </c>
      <c r="J84" s="414">
        <v>44992.75</v>
      </c>
      <c r="K84" s="414"/>
      <c r="L84" s="414" t="s">
        <v>192</v>
      </c>
      <c r="M84" s="414" t="s">
        <v>192</v>
      </c>
      <c r="N84" s="413" t="str">
        <f t="shared" si="4"/>
        <v>DELAY ( 6 day 18 hour 0 minute )</v>
      </c>
      <c r="O84" s="51"/>
      <c r="P84" s="415" t="s">
        <v>551</v>
      </c>
      <c r="Q84" s="415" t="s">
        <v>551</v>
      </c>
      <c r="R84" s="415" t="s">
        <v>551</v>
      </c>
      <c r="S84" s="32"/>
      <c r="T84" s="416"/>
      <c r="U84" s="416"/>
      <c r="V84" s="416"/>
      <c r="W84" s="416"/>
      <c r="X84" s="416"/>
      <c r="Y84" s="416"/>
      <c r="Z84" s="416"/>
      <c r="AA84" s="416"/>
      <c r="AB84" s="416">
        <f>H84*0.75</f>
        <v>5645.0647499999995</v>
      </c>
      <c r="AC84" s="416">
        <f>H84*0.25</f>
        <v>1881.6882499999999</v>
      </c>
      <c r="AD84" s="416"/>
      <c r="AE84" s="416"/>
      <c r="AF84" s="416"/>
      <c r="AG84" s="416"/>
      <c r="AH84" s="416"/>
      <c r="AI84" s="416"/>
      <c r="AJ84" s="416"/>
      <c r="AK84" s="416"/>
      <c r="AL84" s="416"/>
      <c r="AM84" s="416"/>
      <c r="AN84" s="416"/>
      <c r="AO84" s="416"/>
      <c r="AP84" s="416"/>
      <c r="AQ84" s="416"/>
      <c r="AR84" s="416"/>
      <c r="AS84" s="416"/>
      <c r="AT84" s="416"/>
      <c r="AU84" s="416"/>
      <c r="AV84" s="416"/>
      <c r="AW84" s="416"/>
      <c r="AX84" s="416"/>
      <c r="AY84" s="416"/>
      <c r="AZ84" s="32"/>
    </row>
    <row r="85" spans="2:52">
      <c r="B85" s="1254"/>
      <c r="C85" s="1255"/>
      <c r="D85" s="411"/>
      <c r="E85" s="411"/>
      <c r="F85" s="1256" t="s">
        <v>616</v>
      </c>
      <c r="G85" s="1257"/>
      <c r="H85" s="412">
        <v>2000</v>
      </c>
      <c r="I85" s="413"/>
      <c r="J85" s="414"/>
      <c r="K85" s="414"/>
      <c r="L85" s="414"/>
      <c r="M85" s="414"/>
      <c r="N85" s="413" t="str">
        <f t="shared" si="4"/>
        <v xml:space="preserve"> </v>
      </c>
      <c r="O85" s="51"/>
      <c r="P85" s="415"/>
      <c r="Q85" s="415"/>
      <c r="R85" s="415"/>
      <c r="S85" s="32"/>
      <c r="T85" s="416"/>
      <c r="U85" s="416"/>
      <c r="V85" s="416"/>
      <c r="W85" s="416"/>
      <c r="X85" s="416"/>
      <c r="Y85" s="416"/>
      <c r="Z85" s="416"/>
      <c r="AA85" s="416"/>
      <c r="AB85" s="416"/>
      <c r="AC85" s="416"/>
      <c r="AD85" s="416"/>
      <c r="AE85" s="416"/>
      <c r="AF85" s="416"/>
      <c r="AG85" s="416"/>
      <c r="AH85" s="416"/>
      <c r="AI85" s="416"/>
      <c r="AJ85" s="416"/>
      <c r="AK85" s="416"/>
      <c r="AL85" s="416"/>
      <c r="AM85" s="416"/>
      <c r="AN85" s="416"/>
      <c r="AO85" s="416"/>
      <c r="AP85" s="416"/>
      <c r="AQ85" s="416"/>
      <c r="AR85" s="416"/>
      <c r="AS85" s="416"/>
      <c r="AT85" s="416"/>
      <c r="AU85" s="416"/>
      <c r="AV85" s="416"/>
      <c r="AW85" s="416"/>
      <c r="AX85" s="416"/>
      <c r="AY85" s="416"/>
      <c r="AZ85" s="32"/>
    </row>
    <row r="86" spans="2:52">
      <c r="B86" s="1256" t="s">
        <v>670</v>
      </c>
      <c r="C86" s="1257"/>
      <c r="D86" s="411" t="s">
        <v>744</v>
      </c>
      <c r="E86" s="411"/>
      <c r="F86" s="411" t="s">
        <v>695</v>
      </c>
      <c r="G86" s="411" t="s">
        <v>281</v>
      </c>
      <c r="H86" s="412">
        <v>2712.971</v>
      </c>
      <c r="I86" s="413" t="s">
        <v>742</v>
      </c>
      <c r="J86" s="414">
        <v>44991.479166666664</v>
      </c>
      <c r="K86" s="414"/>
      <c r="L86" s="414" t="s">
        <v>192</v>
      </c>
      <c r="M86" s="414" t="s">
        <v>192</v>
      </c>
      <c r="N86" s="413" t="str">
        <f t="shared" si="4"/>
        <v>DELAY ( 5 day 11 hour 30 minute )</v>
      </c>
      <c r="O86" s="51"/>
      <c r="P86" s="415" t="s">
        <v>551</v>
      </c>
      <c r="Q86" s="415" t="s">
        <v>551</v>
      </c>
      <c r="R86" s="415" t="s">
        <v>551</v>
      </c>
      <c r="S86" s="32"/>
      <c r="T86" s="416"/>
      <c r="U86" s="416"/>
      <c r="V86" s="416"/>
      <c r="W86" s="416"/>
      <c r="X86" s="416"/>
      <c r="Y86" s="416"/>
      <c r="Z86" s="416"/>
      <c r="AA86" s="416"/>
      <c r="AB86" s="416">
        <f>H86*0.7</f>
        <v>1899.0796999999998</v>
      </c>
      <c r="AC86" s="416">
        <f>H86*0.3</f>
        <v>813.8913</v>
      </c>
      <c r="AD86" s="416"/>
      <c r="AE86" s="416"/>
      <c r="AF86" s="416"/>
      <c r="AG86" s="416"/>
      <c r="AH86" s="416"/>
      <c r="AI86" s="416"/>
      <c r="AJ86" s="416"/>
      <c r="AK86" s="416"/>
      <c r="AL86" s="416"/>
      <c r="AM86" s="416"/>
      <c r="AN86" s="416"/>
      <c r="AO86" s="416"/>
      <c r="AP86" s="416"/>
      <c r="AQ86" s="416"/>
      <c r="AR86" s="416"/>
      <c r="AS86" s="416"/>
      <c r="AT86" s="416"/>
      <c r="AU86" s="416"/>
      <c r="AV86" s="416"/>
      <c r="AW86" s="416"/>
      <c r="AX86" s="416"/>
      <c r="AY86" s="416"/>
      <c r="AZ86" s="32"/>
    </row>
    <row r="87" spans="2:52">
      <c r="B87" s="1256" t="s">
        <v>867</v>
      </c>
      <c r="C87" s="1257"/>
      <c r="D87" s="411" t="s">
        <v>932</v>
      </c>
      <c r="E87" s="411"/>
      <c r="F87" s="411" t="s">
        <v>301</v>
      </c>
      <c r="G87" s="411" t="s">
        <v>302</v>
      </c>
      <c r="H87" s="412">
        <f>9458.879-3609.395</f>
        <v>5849.4840000000004</v>
      </c>
      <c r="I87" s="413" t="s">
        <v>581</v>
      </c>
      <c r="J87" s="414">
        <v>44993.753472222219</v>
      </c>
      <c r="K87" s="414"/>
      <c r="L87" s="414" t="s">
        <v>192</v>
      </c>
      <c r="M87" s="414" t="s">
        <v>192</v>
      </c>
      <c r="N87" s="413" t="str">
        <f t="shared" si="4"/>
        <v>DELAY ( 7 day 18 hour 5 minute )</v>
      </c>
      <c r="O87" s="51"/>
      <c r="P87" s="415" t="s">
        <v>551</v>
      </c>
      <c r="Q87" s="415" t="s">
        <v>551</v>
      </c>
      <c r="R87" s="415" t="s">
        <v>551</v>
      </c>
      <c r="S87" s="32"/>
      <c r="T87" s="416"/>
      <c r="U87" s="416"/>
      <c r="V87" s="416"/>
      <c r="W87" s="416"/>
      <c r="X87" s="416"/>
      <c r="Y87" s="416"/>
      <c r="Z87" s="416"/>
      <c r="AA87" s="416"/>
      <c r="AB87" s="416">
        <f>(H87*0.75)</f>
        <v>4387.1130000000003</v>
      </c>
      <c r="AC87" s="416">
        <f>(H87*0.25)</f>
        <v>1462.3710000000001</v>
      </c>
      <c r="AD87" s="416"/>
      <c r="AE87" s="416"/>
      <c r="AF87" s="416"/>
      <c r="AG87" s="416"/>
      <c r="AH87" s="416"/>
      <c r="AI87" s="416"/>
      <c r="AJ87" s="416"/>
      <c r="AK87" s="416"/>
      <c r="AL87" s="416"/>
      <c r="AM87" s="416"/>
      <c r="AN87" s="416"/>
      <c r="AO87" s="416"/>
      <c r="AP87" s="416"/>
      <c r="AQ87" s="416"/>
      <c r="AR87" s="416"/>
      <c r="AS87" s="416"/>
      <c r="AT87" s="416"/>
      <c r="AU87" s="416"/>
      <c r="AV87" s="416"/>
      <c r="AW87" s="416"/>
      <c r="AX87" s="416"/>
      <c r="AY87" s="416"/>
      <c r="AZ87" s="32"/>
    </row>
    <row r="88" spans="2:52">
      <c r="B88" s="1258" t="s">
        <v>626</v>
      </c>
      <c r="C88" s="1259"/>
      <c r="D88" s="1259"/>
      <c r="E88" s="1259"/>
      <c r="F88" s="1259"/>
      <c r="G88" s="1260"/>
      <c r="H88" s="417">
        <f>H79+H76+H77+H74+H84+H82+H81+H86+H87</f>
        <v>61074.798999999999</v>
      </c>
      <c r="I88" s="388"/>
      <c r="J88" s="293"/>
      <c r="K88" s="293"/>
      <c r="L88" s="293"/>
      <c r="M88" s="389"/>
      <c r="N88" s="413" t="str">
        <f t="shared" si="4"/>
        <v xml:space="preserve"> </v>
      </c>
      <c r="O88" s="47"/>
      <c r="P88" s="418"/>
      <c r="Q88" s="418"/>
      <c r="R88" s="418"/>
      <c r="S88" s="32"/>
      <c r="T88" s="1261"/>
      <c r="U88" s="1261"/>
      <c r="V88" s="1261"/>
      <c r="W88" s="1261"/>
      <c r="X88" s="1261"/>
      <c r="Y88" s="1261"/>
      <c r="Z88" s="1261"/>
      <c r="AA88" s="1261"/>
      <c r="AB88" s="1261"/>
      <c r="AC88" s="1261"/>
      <c r="AD88" s="1261"/>
      <c r="AE88" s="1261"/>
      <c r="AF88" s="1261"/>
      <c r="AG88" s="1261"/>
      <c r="AH88" s="1261"/>
      <c r="AI88" s="1261"/>
      <c r="AJ88" s="1261"/>
      <c r="AK88" s="1261"/>
      <c r="AL88" s="1261"/>
      <c r="AM88" s="1261"/>
      <c r="AN88" s="1261"/>
      <c r="AO88" s="1261"/>
      <c r="AP88" s="1261"/>
      <c r="AQ88" s="1261"/>
      <c r="AR88" s="1261"/>
      <c r="AS88" s="1261"/>
      <c r="AT88" s="1261"/>
      <c r="AU88" s="1261"/>
      <c r="AV88" s="1261"/>
      <c r="AW88" s="1261"/>
      <c r="AX88" s="1261"/>
      <c r="AY88" s="1261"/>
    </row>
    <row r="89" spans="2:52">
      <c r="B89" s="1258" t="s">
        <v>556</v>
      </c>
      <c r="C89" s="1259"/>
      <c r="D89" s="1259"/>
      <c r="E89" s="1259"/>
      <c r="F89" s="1259"/>
      <c r="G89" s="1260"/>
      <c r="H89" s="417">
        <f>H73+H88</f>
        <v>68697</v>
      </c>
      <c r="I89" s="388"/>
      <c r="J89" s="293"/>
      <c r="K89" s="293"/>
      <c r="L89" s="293"/>
      <c r="M89" s="389"/>
      <c r="N89" s="413" t="str">
        <f t="shared" si="4"/>
        <v xml:space="preserve"> </v>
      </c>
      <c r="O89" s="47"/>
      <c r="P89" s="418"/>
      <c r="Q89" s="418"/>
      <c r="R89" s="418"/>
      <c r="S89" s="32"/>
      <c r="T89" s="1262"/>
      <c r="U89" s="1263"/>
      <c r="V89" s="1263"/>
      <c r="W89" s="1263"/>
      <c r="X89" s="1263"/>
      <c r="Y89" s="1263"/>
      <c r="Z89" s="1263"/>
      <c r="AA89" s="1263"/>
      <c r="AB89" s="1263"/>
      <c r="AC89" s="1263"/>
      <c r="AD89" s="1263"/>
      <c r="AE89" s="1263"/>
      <c r="AF89" s="1263"/>
      <c r="AG89" s="1263"/>
      <c r="AH89" s="1263"/>
      <c r="AI89" s="1263"/>
      <c r="AJ89" s="1263"/>
      <c r="AK89" s="1263"/>
      <c r="AL89" s="1263"/>
      <c r="AM89" s="1263"/>
      <c r="AN89" s="1263"/>
      <c r="AO89" s="1263"/>
      <c r="AP89" s="1263"/>
      <c r="AQ89" s="1263"/>
      <c r="AR89" s="1263"/>
      <c r="AS89" s="1263"/>
      <c r="AT89" s="1263"/>
      <c r="AU89" s="1263"/>
      <c r="AV89" s="1263"/>
      <c r="AW89" s="1263"/>
      <c r="AX89" s="1263"/>
      <c r="AY89" s="1264"/>
    </row>
    <row r="90" spans="2:52">
      <c r="B90" s="1243" t="s">
        <v>557</v>
      </c>
      <c r="C90" s="1244"/>
      <c r="D90" s="1244"/>
      <c r="E90" s="1244"/>
      <c r="F90" s="1244"/>
      <c r="G90" s="1245"/>
      <c r="H90" s="419">
        <v>68697</v>
      </c>
      <c r="I90" s="1246"/>
      <c r="J90" s="1247"/>
      <c r="K90" s="1247"/>
      <c r="L90" s="1247"/>
      <c r="M90" s="1248"/>
      <c r="N90" s="413" t="str">
        <f t="shared" si="4"/>
        <v xml:space="preserve"> </v>
      </c>
      <c r="O90" s="32"/>
      <c r="P90" s="415"/>
      <c r="Q90" s="415"/>
      <c r="R90" s="415"/>
      <c r="S90" s="63"/>
      <c r="T90" s="416">
        <f t="shared" ref="T90:AY90" si="5">SUM(T72:T87)</f>
        <v>0</v>
      </c>
      <c r="U90" s="416">
        <f t="shared" si="5"/>
        <v>0</v>
      </c>
      <c r="V90" s="416">
        <f t="shared" si="5"/>
        <v>0</v>
      </c>
      <c r="W90" s="416">
        <f t="shared" si="5"/>
        <v>0</v>
      </c>
      <c r="X90" s="416">
        <f t="shared" si="5"/>
        <v>0</v>
      </c>
      <c r="Y90" s="416">
        <f t="shared" si="5"/>
        <v>0</v>
      </c>
      <c r="Z90" s="416">
        <f t="shared" si="5"/>
        <v>0</v>
      </c>
      <c r="AA90" s="416">
        <f t="shared" si="5"/>
        <v>0</v>
      </c>
      <c r="AB90" s="416">
        <f t="shared" si="5"/>
        <v>45670.450699999994</v>
      </c>
      <c r="AC90" s="416">
        <f t="shared" si="5"/>
        <v>15404.348299999998</v>
      </c>
      <c r="AD90" s="416">
        <f t="shared" si="5"/>
        <v>0</v>
      </c>
      <c r="AE90" s="416">
        <f t="shared" si="5"/>
        <v>0</v>
      </c>
      <c r="AF90" s="416">
        <f t="shared" si="5"/>
        <v>0</v>
      </c>
      <c r="AG90" s="416">
        <f t="shared" si="5"/>
        <v>0</v>
      </c>
      <c r="AH90" s="416">
        <f t="shared" si="5"/>
        <v>0</v>
      </c>
      <c r="AI90" s="416">
        <f t="shared" si="5"/>
        <v>0</v>
      </c>
      <c r="AJ90" s="416">
        <f t="shared" si="5"/>
        <v>0</v>
      </c>
      <c r="AK90" s="416">
        <f t="shared" si="5"/>
        <v>0</v>
      </c>
      <c r="AL90" s="416">
        <f t="shared" si="5"/>
        <v>0</v>
      </c>
      <c r="AM90" s="416">
        <f t="shared" si="5"/>
        <v>0</v>
      </c>
      <c r="AN90" s="416">
        <f t="shared" si="5"/>
        <v>0</v>
      </c>
      <c r="AO90" s="416">
        <f t="shared" si="5"/>
        <v>0</v>
      </c>
      <c r="AP90" s="416">
        <f t="shared" si="5"/>
        <v>0</v>
      </c>
      <c r="AQ90" s="416">
        <f t="shared" si="5"/>
        <v>0</v>
      </c>
      <c r="AR90" s="416">
        <f t="shared" si="5"/>
        <v>0</v>
      </c>
      <c r="AS90" s="416">
        <f t="shared" si="5"/>
        <v>0</v>
      </c>
      <c r="AT90" s="416">
        <f t="shared" si="5"/>
        <v>0</v>
      </c>
      <c r="AU90" s="416">
        <f t="shared" si="5"/>
        <v>0</v>
      </c>
      <c r="AV90" s="416">
        <f t="shared" si="5"/>
        <v>0</v>
      </c>
      <c r="AW90" s="416">
        <f t="shared" si="5"/>
        <v>0</v>
      </c>
      <c r="AX90" s="416">
        <f t="shared" si="5"/>
        <v>0</v>
      </c>
      <c r="AY90" s="416">
        <f t="shared" si="5"/>
        <v>7622.201</v>
      </c>
      <c r="AZ90" s="416">
        <f>SUM(T90:AY90)</f>
        <v>68696.999999999985</v>
      </c>
    </row>
    <row r="91" spans="2:52">
      <c r="B91" s="1243" t="s">
        <v>558</v>
      </c>
      <c r="C91" s="1244"/>
      <c r="D91" s="1244"/>
      <c r="E91" s="1244"/>
      <c r="F91" s="1244"/>
      <c r="G91" s="1245"/>
      <c r="H91" s="420">
        <f>H90-L66</f>
        <v>0</v>
      </c>
      <c r="I91" s="294"/>
      <c r="J91" s="295"/>
      <c r="K91" s="295"/>
      <c r="L91" s="296"/>
      <c r="M91" s="32"/>
      <c r="N91" s="32"/>
      <c r="O91" s="32"/>
      <c r="P91" s="32"/>
      <c r="Q91" s="297"/>
      <c r="R91" s="297"/>
      <c r="S91" s="32"/>
      <c r="T91" s="48"/>
      <c r="U91" s="48"/>
      <c r="V91" s="48"/>
      <c r="W91" s="48"/>
      <c r="X91" s="48"/>
      <c r="Y91" s="48"/>
      <c r="Z91" s="48"/>
      <c r="AA91" s="48"/>
      <c r="AB91" s="48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</row>
    <row r="92" spans="2:52">
      <c r="B92" s="1243" t="s">
        <v>559</v>
      </c>
      <c r="C92" s="1244"/>
      <c r="D92" s="1244"/>
      <c r="E92" s="1244"/>
      <c r="F92" s="1244"/>
      <c r="G92" s="1245"/>
      <c r="H92" s="420">
        <v>3607</v>
      </c>
      <c r="I92" s="269">
        <v>6067</v>
      </c>
      <c r="J92" s="53"/>
      <c r="K92" s="53"/>
      <c r="L92" s="54"/>
      <c r="M92" s="32"/>
      <c r="N92" s="32"/>
      <c r="O92" s="32"/>
      <c r="P92" s="32"/>
      <c r="Q92" s="32"/>
      <c r="R92" s="32"/>
      <c r="S92" s="32"/>
      <c r="T92" s="48"/>
      <c r="U92" s="48"/>
      <c r="V92" s="48"/>
      <c r="W92" s="48"/>
      <c r="X92" s="48"/>
      <c r="Y92" s="48"/>
      <c r="Z92" s="48"/>
      <c r="AA92" s="48"/>
      <c r="AB92" s="48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</row>
    <row r="93" spans="2:52">
      <c r="B93" s="1243" t="s">
        <v>560</v>
      </c>
      <c r="C93" s="1244"/>
      <c r="D93" s="1244"/>
      <c r="E93" s="1244"/>
      <c r="F93" s="1244"/>
      <c r="G93" s="1245"/>
      <c r="H93" s="421">
        <f>H92-3609.395</f>
        <v>-2.3949999999999818</v>
      </c>
      <c r="I93" s="270">
        <f>I92-H92</f>
        <v>2460</v>
      </c>
      <c r="J93" s="53"/>
      <c r="K93" s="53"/>
      <c r="L93" s="54"/>
      <c r="M93" s="32"/>
      <c r="N93" s="32"/>
      <c r="O93" s="32"/>
      <c r="P93" s="32"/>
      <c r="Q93" s="32"/>
      <c r="R93" s="32"/>
      <c r="S93" s="48"/>
      <c r="T93" s="48"/>
      <c r="U93" s="48"/>
      <c r="V93" s="48"/>
      <c r="W93" s="48"/>
      <c r="X93" s="48"/>
      <c r="Y93" s="48"/>
      <c r="Z93" s="48"/>
      <c r="AA93" s="48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2:52">
      <c r="B94" s="201"/>
      <c r="C94" s="201"/>
      <c r="D94" s="201"/>
      <c r="E94" s="201"/>
      <c r="F94" s="201"/>
      <c r="G94" s="201"/>
      <c r="H94" s="201"/>
      <c r="I94" s="213"/>
      <c r="J94" s="209"/>
      <c r="K94" s="209"/>
      <c r="L94" s="203"/>
      <c r="M94" s="201"/>
      <c r="N94" s="201"/>
      <c r="O94" s="209"/>
      <c r="P94" s="32"/>
      <c r="Q94" s="32"/>
      <c r="R94" s="32"/>
      <c r="S94" s="32"/>
      <c r="T94" s="48"/>
      <c r="U94" s="48"/>
      <c r="V94" s="48"/>
      <c r="W94" s="48"/>
      <c r="X94" s="48"/>
      <c r="Y94" s="48"/>
      <c r="Z94" s="48"/>
      <c r="AA94" s="48"/>
      <c r="AB94" s="48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</row>
    <row r="95" spans="2:52">
      <c r="B95" s="40" t="s">
        <v>561</v>
      </c>
      <c r="C95" s="40"/>
      <c r="D95" s="32"/>
      <c r="E95" s="32"/>
      <c r="F95" s="32"/>
      <c r="G95" s="32"/>
      <c r="H95" s="32"/>
      <c r="I95" s="32"/>
      <c r="J95" s="52"/>
      <c r="K95" s="52"/>
      <c r="L95" s="55"/>
      <c r="M95" s="32"/>
      <c r="N95" s="201"/>
      <c r="O95" s="5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1"/>
      <c r="AC95" s="201"/>
      <c r="AD95" s="201"/>
      <c r="AE95" s="201"/>
      <c r="AF95" s="201"/>
      <c r="AG95" s="201"/>
      <c r="AH95" s="201"/>
      <c r="AI95" s="201"/>
      <c r="AJ95" s="201"/>
      <c r="AK95" s="201"/>
      <c r="AL95" s="201"/>
      <c r="AM95" s="201"/>
      <c r="AN95" s="201"/>
      <c r="AO95" s="201"/>
      <c r="AP95" s="201"/>
      <c r="AQ95" s="201"/>
      <c r="AR95" s="201"/>
      <c r="AS95" s="201"/>
      <c r="AT95" s="201"/>
      <c r="AU95" s="201"/>
      <c r="AZ95" s="201"/>
    </row>
    <row r="96" spans="2:52">
      <c r="B96" s="422">
        <v>1</v>
      </c>
      <c r="C96" s="1249" t="s">
        <v>1133</v>
      </c>
      <c r="D96" s="1249"/>
      <c r="E96" s="1249"/>
      <c r="F96" s="1249"/>
      <c r="G96" s="1249"/>
      <c r="H96" s="1249"/>
      <c r="I96" s="1249"/>
      <c r="J96" s="1249"/>
      <c r="K96" s="1249"/>
      <c r="L96" s="203"/>
      <c r="M96" s="203"/>
      <c r="N96" s="201"/>
      <c r="O96" s="209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/>
      <c r="AO96" s="201"/>
      <c r="AP96" s="201"/>
      <c r="AQ96" s="201"/>
      <c r="AR96" s="201"/>
      <c r="AS96" s="201"/>
      <c r="AT96" s="201"/>
      <c r="AU96" s="201"/>
      <c r="AV96" s="201"/>
      <c r="AW96" s="201"/>
      <c r="AX96" s="201"/>
      <c r="AY96" s="201"/>
      <c r="AZ96" s="201"/>
    </row>
    <row r="98" spans="2:52">
      <c r="B98" s="28" t="s">
        <v>126</v>
      </c>
      <c r="C98" s="28"/>
      <c r="D98" s="29"/>
      <c r="E98" s="30" t="s">
        <v>511</v>
      </c>
      <c r="F98" s="31" t="s">
        <v>814</v>
      </c>
      <c r="G98" s="32"/>
      <c r="H98" s="33"/>
      <c r="I98" s="34"/>
      <c r="J98" s="35" t="s">
        <v>513</v>
      </c>
      <c r="K98" s="36" t="s">
        <v>511</v>
      </c>
      <c r="L98" s="37">
        <v>44995.71875</v>
      </c>
      <c r="M98" s="32"/>
      <c r="N98" s="32"/>
      <c r="O98" s="36"/>
      <c r="P98" s="33"/>
      <c r="Q98" s="48"/>
      <c r="R98" s="49"/>
      <c r="S98" s="38"/>
      <c r="T98" s="32"/>
      <c r="U98" s="32"/>
      <c r="V98" s="32"/>
      <c r="W98" s="32"/>
      <c r="X98" s="32"/>
      <c r="Y98" s="32"/>
      <c r="Z98" s="32"/>
      <c r="AA98" s="32"/>
      <c r="AB98" s="48"/>
      <c r="AC98" s="48"/>
      <c r="AD98" s="48"/>
      <c r="AE98" s="48"/>
      <c r="AF98" s="48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</row>
    <row r="99" spans="2:52">
      <c r="B99" s="35" t="s">
        <v>514</v>
      </c>
      <c r="C99" s="35"/>
      <c r="D99" s="32"/>
      <c r="E99" s="36" t="s">
        <v>511</v>
      </c>
      <c r="F99" s="37" t="s">
        <v>1134</v>
      </c>
      <c r="G99" s="32"/>
      <c r="H99" s="33"/>
      <c r="I99" s="34"/>
      <c r="J99" s="35" t="s">
        <v>516</v>
      </c>
      <c r="K99" s="36" t="s">
        <v>511</v>
      </c>
      <c r="L99" s="37">
        <v>44997.489583333336</v>
      </c>
      <c r="M99" s="32"/>
      <c r="N99" s="32"/>
      <c r="O99" s="36"/>
      <c r="P99" s="33"/>
      <c r="Q99" s="48"/>
      <c r="R99" s="49"/>
      <c r="S99" s="38"/>
      <c r="T99" s="32"/>
      <c r="U99" s="32"/>
      <c r="V99" s="32"/>
      <c r="W99" s="32"/>
      <c r="X99" s="32"/>
      <c r="Y99" s="32"/>
      <c r="Z99" s="32"/>
      <c r="AA99" s="32"/>
      <c r="AB99" s="48"/>
      <c r="AC99" s="48"/>
      <c r="AD99" s="48"/>
      <c r="AE99" s="48"/>
      <c r="AF99" s="48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</row>
    <row r="100" spans="2:52">
      <c r="B100" s="35" t="s">
        <v>517</v>
      </c>
      <c r="C100" s="35"/>
      <c r="D100" s="32"/>
      <c r="E100" s="36" t="s">
        <v>511</v>
      </c>
      <c r="F100" s="37">
        <v>44989.79583333333</v>
      </c>
      <c r="G100" s="32"/>
      <c r="H100" s="33"/>
      <c r="I100" s="34"/>
      <c r="J100" s="35" t="s">
        <v>518</v>
      </c>
      <c r="K100" s="36" t="s">
        <v>511</v>
      </c>
      <c r="L100" s="50">
        <v>73500</v>
      </c>
      <c r="M100" s="40" t="s">
        <v>519</v>
      </c>
      <c r="N100" s="40"/>
      <c r="O100" s="36"/>
      <c r="P100" s="33"/>
      <c r="Q100" s="48"/>
      <c r="R100" s="49"/>
      <c r="S100" s="38"/>
      <c r="T100" s="32"/>
      <c r="U100" s="32"/>
      <c r="V100" s="32"/>
      <c r="W100" s="32"/>
      <c r="X100" s="32"/>
      <c r="Y100" s="32"/>
      <c r="Z100" s="32"/>
      <c r="AA100" s="32"/>
      <c r="AB100" s="48"/>
      <c r="AC100" s="48"/>
      <c r="AD100" s="48"/>
      <c r="AE100" s="48"/>
      <c r="AF100" s="48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</row>
    <row r="101" spans="2:52">
      <c r="B101" s="35" t="s">
        <v>520</v>
      </c>
      <c r="C101" s="35"/>
      <c r="D101" s="32"/>
      <c r="E101" s="36" t="s">
        <v>511</v>
      </c>
      <c r="F101" s="37" t="s">
        <v>4</v>
      </c>
      <c r="G101" s="32"/>
      <c r="H101" s="33"/>
      <c r="I101" s="34"/>
      <c r="J101" s="35" t="s">
        <v>521</v>
      </c>
      <c r="K101" s="36" t="s">
        <v>511</v>
      </c>
      <c r="L101" s="41" t="s">
        <v>1135</v>
      </c>
      <c r="M101" s="32"/>
      <c r="N101" s="32"/>
      <c r="O101" s="36"/>
      <c r="P101" s="48"/>
      <c r="Q101" s="48"/>
      <c r="R101" s="49"/>
      <c r="S101" s="38"/>
      <c r="T101" s="32"/>
      <c r="U101" s="32"/>
      <c r="V101" s="32"/>
      <c r="W101" s="32"/>
      <c r="X101" s="32"/>
      <c r="Y101" s="32"/>
      <c r="Z101" s="32"/>
      <c r="AA101" s="32"/>
      <c r="AB101" s="48"/>
      <c r="AC101" s="48"/>
      <c r="AD101" s="48"/>
      <c r="AE101" s="48"/>
      <c r="AF101" s="48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</row>
    <row r="102" spans="2:52">
      <c r="B102" s="35" t="s">
        <v>523</v>
      </c>
      <c r="C102" s="35"/>
      <c r="D102" s="32"/>
      <c r="E102" s="36" t="s">
        <v>511</v>
      </c>
      <c r="F102" s="37" t="s">
        <v>5</v>
      </c>
      <c r="G102" s="32"/>
      <c r="H102" s="33"/>
      <c r="I102" s="34"/>
      <c r="J102" s="42" t="s">
        <v>524</v>
      </c>
      <c r="K102" s="36" t="s">
        <v>511</v>
      </c>
      <c r="L102" s="43" t="s">
        <v>15</v>
      </c>
      <c r="M102" s="44"/>
      <c r="N102" s="44"/>
      <c r="O102" s="36"/>
      <c r="P102" s="33"/>
      <c r="Q102" s="48"/>
      <c r="R102" s="49"/>
      <c r="S102" s="38"/>
      <c r="T102" s="32"/>
      <c r="U102" s="32"/>
      <c r="V102" s="32"/>
      <c r="W102" s="32"/>
      <c r="X102" s="32"/>
      <c r="Y102" s="32"/>
      <c r="Z102" s="32"/>
      <c r="AA102" s="32"/>
      <c r="AB102" s="48"/>
      <c r="AC102" s="48"/>
      <c r="AD102" s="48"/>
      <c r="AE102" s="48"/>
      <c r="AF102" s="48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</row>
    <row r="103" spans="2:52">
      <c r="B103" s="35" t="s">
        <v>2</v>
      </c>
      <c r="C103" s="35"/>
      <c r="D103" s="32"/>
      <c r="E103" s="36" t="s">
        <v>511</v>
      </c>
      <c r="F103" s="37" t="s">
        <v>18</v>
      </c>
      <c r="G103" s="32"/>
      <c r="H103" s="33"/>
      <c r="I103" s="45"/>
      <c r="J103" s="42"/>
      <c r="K103" s="36"/>
      <c r="L103" s="37"/>
      <c r="M103" s="32"/>
      <c r="N103" s="32"/>
      <c r="O103" s="42"/>
      <c r="P103" s="44"/>
      <c r="Q103" s="44"/>
      <c r="R103" s="44"/>
      <c r="S103" s="34"/>
      <c r="T103" s="32"/>
      <c r="U103" s="32"/>
      <c r="V103" s="32"/>
      <c r="W103" s="32"/>
      <c r="X103" s="32"/>
      <c r="Y103" s="32"/>
      <c r="Z103" s="32"/>
      <c r="AA103" s="32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</row>
    <row r="104" spans="2:52">
      <c r="B104" s="32"/>
      <c r="C104" s="32"/>
      <c r="D104" s="32"/>
      <c r="E104" s="32"/>
      <c r="F104" s="32"/>
      <c r="G104" s="32"/>
      <c r="H104" s="32"/>
      <c r="I104" s="45"/>
      <c r="J104" s="42"/>
      <c r="K104" s="42"/>
      <c r="L104" s="43"/>
      <c r="M104" s="44"/>
      <c r="N104" s="44"/>
      <c r="O104" s="42"/>
      <c r="P104" s="44"/>
      <c r="Q104" s="44"/>
      <c r="R104" s="44"/>
      <c r="S104" s="34"/>
      <c r="T104" s="1270" t="s">
        <v>87</v>
      </c>
      <c r="U104" s="1270"/>
      <c r="V104" s="1270"/>
      <c r="W104" s="1270"/>
      <c r="X104" s="1270"/>
      <c r="Y104" s="1270" t="s">
        <v>73</v>
      </c>
      <c r="Z104" s="1270"/>
      <c r="AA104" s="1270"/>
      <c r="AB104" s="1270" t="s">
        <v>74</v>
      </c>
      <c r="AC104" s="1270"/>
      <c r="AD104" s="407" t="s">
        <v>85</v>
      </c>
      <c r="AE104" s="407" t="s">
        <v>77</v>
      </c>
      <c r="AF104" s="1270" t="s">
        <v>525</v>
      </c>
      <c r="AG104" s="1270"/>
      <c r="AH104" s="1270"/>
      <c r="AI104" s="1270"/>
      <c r="AJ104" s="1270"/>
      <c r="AK104" s="1270"/>
      <c r="AL104" s="1270"/>
      <c r="AM104" s="1270"/>
      <c r="AN104" s="1270"/>
      <c r="AO104" s="1270"/>
      <c r="AP104" s="1270"/>
      <c r="AQ104" s="1270"/>
      <c r="AR104" s="1270"/>
      <c r="AS104" s="1270"/>
      <c r="AT104" s="1270"/>
      <c r="AU104" s="1270"/>
      <c r="AV104" s="1270"/>
      <c r="AW104" s="1270"/>
      <c r="AX104" s="1270"/>
      <c r="AY104" s="1270"/>
      <c r="AZ104" s="32"/>
    </row>
    <row r="105" spans="2:52">
      <c r="B105" s="1266" t="s">
        <v>526</v>
      </c>
      <c r="C105" s="1267"/>
      <c r="D105" s="570" t="s">
        <v>527</v>
      </c>
      <c r="E105" s="570"/>
      <c r="F105" s="570" t="s">
        <v>528</v>
      </c>
      <c r="G105" s="570" t="s">
        <v>529</v>
      </c>
      <c r="H105" s="570" t="s">
        <v>530</v>
      </c>
      <c r="I105" s="570" t="s">
        <v>531</v>
      </c>
      <c r="J105" s="570" t="s">
        <v>532</v>
      </c>
      <c r="K105" s="570"/>
      <c r="L105" s="570" t="s">
        <v>130</v>
      </c>
      <c r="M105" s="570" t="s">
        <v>533</v>
      </c>
      <c r="N105" s="408" t="str">
        <f>"On time - "&amp;COUNTIF(N106:N131,"On time")&amp;" from "&amp;ROWS(N106:N131)-COUNTIF(N106:N131," ")</f>
        <v>On time - 1 from 11</v>
      </c>
      <c r="O105" s="46"/>
      <c r="P105" s="409" t="s">
        <v>534</v>
      </c>
      <c r="Q105" s="409" t="s">
        <v>535</v>
      </c>
      <c r="R105" s="409" t="s">
        <v>536</v>
      </c>
      <c r="S105" s="32"/>
      <c r="T105" s="410" t="s">
        <v>537</v>
      </c>
      <c r="U105" s="410" t="s">
        <v>538</v>
      </c>
      <c r="V105" s="410" t="s">
        <v>539</v>
      </c>
      <c r="W105" s="410" t="s">
        <v>540</v>
      </c>
      <c r="X105" s="410" t="s">
        <v>541</v>
      </c>
      <c r="Y105" s="410" t="s">
        <v>167</v>
      </c>
      <c r="Z105" s="410" t="s">
        <v>168</v>
      </c>
      <c r="AA105" s="410" t="s">
        <v>169</v>
      </c>
      <c r="AB105" s="410" t="s">
        <v>235</v>
      </c>
      <c r="AC105" s="424" t="s">
        <v>240</v>
      </c>
      <c r="AD105" s="407" t="s">
        <v>85</v>
      </c>
      <c r="AE105" s="410" t="s">
        <v>139</v>
      </c>
      <c r="AF105" s="410" t="s">
        <v>72</v>
      </c>
      <c r="AG105" s="410" t="s">
        <v>88</v>
      </c>
      <c r="AH105" s="410" t="s">
        <v>75</v>
      </c>
      <c r="AI105" s="410" t="s">
        <v>543</v>
      </c>
      <c r="AJ105" s="410" t="s">
        <v>78</v>
      </c>
      <c r="AK105" s="410" t="s">
        <v>76</v>
      </c>
      <c r="AL105" s="410" t="s">
        <v>544</v>
      </c>
      <c r="AM105" s="410" t="s">
        <v>545</v>
      </c>
      <c r="AN105" s="410" t="s">
        <v>86</v>
      </c>
      <c r="AO105" s="410" t="s">
        <v>83</v>
      </c>
      <c r="AP105" s="410" t="s">
        <v>84</v>
      </c>
      <c r="AQ105" s="410" t="s">
        <v>546</v>
      </c>
      <c r="AR105" s="410" t="s">
        <v>81</v>
      </c>
      <c r="AS105" s="410" t="s">
        <v>80</v>
      </c>
      <c r="AT105" s="410" t="s">
        <v>82</v>
      </c>
      <c r="AU105" s="410" t="s">
        <v>181</v>
      </c>
      <c r="AV105" s="410" t="s">
        <v>183</v>
      </c>
      <c r="AW105" s="410" t="s">
        <v>547</v>
      </c>
      <c r="AX105" s="410" t="s">
        <v>182</v>
      </c>
      <c r="AY105" s="410" t="s">
        <v>172</v>
      </c>
      <c r="AZ105" s="32"/>
    </row>
    <row r="106" spans="2:52">
      <c r="B106" s="1256" t="s">
        <v>616</v>
      </c>
      <c r="C106" s="1257"/>
      <c r="D106" s="411" t="s">
        <v>815</v>
      </c>
      <c r="E106" s="411"/>
      <c r="F106" s="411" t="s">
        <v>816</v>
      </c>
      <c r="G106" s="411" t="s">
        <v>817</v>
      </c>
      <c r="H106" s="412">
        <v>5205.9780000000001</v>
      </c>
      <c r="I106" s="413" t="s">
        <v>183</v>
      </c>
      <c r="J106" s="414">
        <v>44989.645833333336</v>
      </c>
      <c r="K106" s="414"/>
      <c r="L106" s="414" t="s">
        <v>192</v>
      </c>
      <c r="M106" s="414" t="s">
        <v>192</v>
      </c>
      <c r="N106" s="413" t="str">
        <f t="shared" ref="N106:N134" si="6">IF(ISBLANK(J106)," ",IF(J106&lt;$F$100,"On time",(IF(DAY(J106-$F$100)&lt;1,"On time",(IF(J106&gt;$F$100,"DELAY ( "&amp;DAY(J106-$F$100)&amp;" day "&amp;HOUR(J106-$F$100)&amp;" hour "&amp;MINUTE(J106-$F$100)&amp;" minute )","xxx"))))))</f>
        <v>On time</v>
      </c>
      <c r="O106" s="51"/>
      <c r="P106" s="415" t="s">
        <v>551</v>
      </c>
      <c r="Q106" s="415" t="s">
        <v>551</v>
      </c>
      <c r="R106" s="415" t="s">
        <v>551</v>
      </c>
      <c r="S106" s="32"/>
      <c r="T106" s="416"/>
      <c r="U106" s="416"/>
      <c r="V106" s="416"/>
      <c r="W106" s="416"/>
      <c r="X106" s="416"/>
      <c r="Y106" s="416"/>
      <c r="Z106" s="416"/>
      <c r="AA106" s="416"/>
      <c r="AB106" s="416"/>
      <c r="AC106" s="416"/>
      <c r="AD106" s="416"/>
      <c r="AE106" s="416"/>
      <c r="AF106" s="416"/>
      <c r="AG106" s="416"/>
      <c r="AH106" s="416"/>
      <c r="AI106" s="416"/>
      <c r="AJ106" s="416"/>
      <c r="AK106" s="416"/>
      <c r="AL106" s="416"/>
      <c r="AM106" s="416"/>
      <c r="AN106" s="416"/>
      <c r="AO106" s="416"/>
      <c r="AP106" s="416"/>
      <c r="AQ106" s="416"/>
      <c r="AR106" s="416"/>
      <c r="AS106" s="416"/>
      <c r="AT106" s="416"/>
      <c r="AU106" s="416"/>
      <c r="AV106" s="416">
        <f>H106</f>
        <v>5205.9780000000001</v>
      </c>
      <c r="AW106" s="416"/>
      <c r="AX106" s="416"/>
      <c r="AY106" s="416"/>
      <c r="AZ106" s="32"/>
    </row>
    <row r="107" spans="2:52">
      <c r="B107" s="1256" t="s">
        <v>616</v>
      </c>
      <c r="C107" s="1257"/>
      <c r="D107" s="411" t="s">
        <v>1136</v>
      </c>
      <c r="E107" s="411"/>
      <c r="F107" s="411" t="s">
        <v>441</v>
      </c>
      <c r="G107" s="411" t="s">
        <v>442</v>
      </c>
      <c r="H107" s="412">
        <v>5010.5360000000001</v>
      </c>
      <c r="I107" s="413" t="s">
        <v>82</v>
      </c>
      <c r="J107" s="414">
        <v>44992.625</v>
      </c>
      <c r="K107" s="414"/>
      <c r="L107" s="414" t="s">
        <v>192</v>
      </c>
      <c r="M107" s="414" t="s">
        <v>192</v>
      </c>
      <c r="N107" s="413" t="str">
        <f t="shared" si="6"/>
        <v>DELAY ( 2 day 19 hour 54 minute )</v>
      </c>
      <c r="O107" s="51"/>
      <c r="P107" s="415" t="s">
        <v>551</v>
      </c>
      <c r="Q107" s="415" t="s">
        <v>551</v>
      </c>
      <c r="R107" s="415" t="s">
        <v>551</v>
      </c>
      <c r="S107" s="32"/>
      <c r="T107" s="416"/>
      <c r="U107" s="416"/>
      <c r="V107" s="416"/>
      <c r="W107" s="416"/>
      <c r="X107" s="416"/>
      <c r="Y107" s="416"/>
      <c r="Z107" s="416"/>
      <c r="AA107" s="416"/>
      <c r="AB107" s="416"/>
      <c r="AC107" s="416"/>
      <c r="AD107" s="416"/>
      <c r="AE107" s="416"/>
      <c r="AF107" s="416"/>
      <c r="AG107" s="416"/>
      <c r="AH107" s="416"/>
      <c r="AI107" s="416"/>
      <c r="AJ107" s="416"/>
      <c r="AK107" s="416"/>
      <c r="AL107" s="416"/>
      <c r="AM107" s="416"/>
      <c r="AN107" s="416"/>
      <c r="AO107" s="416"/>
      <c r="AP107" s="416"/>
      <c r="AQ107" s="416"/>
      <c r="AR107" s="416"/>
      <c r="AS107" s="416"/>
      <c r="AT107" s="416">
        <f>H107</f>
        <v>5010.5360000000001</v>
      </c>
      <c r="AU107" s="416"/>
      <c r="AV107" s="416"/>
      <c r="AW107" s="416"/>
      <c r="AX107" s="416"/>
      <c r="AY107" s="416"/>
      <c r="AZ107" s="32"/>
    </row>
    <row r="108" spans="2:52">
      <c r="B108" s="1256" t="s">
        <v>668</v>
      </c>
      <c r="C108" s="1257"/>
      <c r="D108" s="411" t="s">
        <v>1078</v>
      </c>
      <c r="E108" s="411"/>
      <c r="F108" s="411" t="s">
        <v>473</v>
      </c>
      <c r="G108" s="411" t="s">
        <v>474</v>
      </c>
      <c r="H108" s="412">
        <v>7322.9070000000002</v>
      </c>
      <c r="I108" s="413" t="s">
        <v>494</v>
      </c>
      <c r="J108" s="414">
        <v>44992.534722222219</v>
      </c>
      <c r="K108" s="414"/>
      <c r="L108" s="414" t="s">
        <v>192</v>
      </c>
      <c r="M108" s="414" t="s">
        <v>192</v>
      </c>
      <c r="N108" s="413" t="str">
        <f t="shared" si="6"/>
        <v>DELAY ( 2 day 17 hour 44 minute )</v>
      </c>
      <c r="O108" s="51"/>
      <c r="P108" s="415" t="s">
        <v>551</v>
      </c>
      <c r="Q108" s="415" t="s">
        <v>551</v>
      </c>
      <c r="R108" s="415" t="s">
        <v>551</v>
      </c>
      <c r="S108" s="32"/>
      <c r="T108" s="416"/>
      <c r="U108" s="416"/>
      <c r="V108" s="416"/>
      <c r="W108" s="416"/>
      <c r="X108" s="416"/>
      <c r="Y108" s="416">
        <f>H108</f>
        <v>7322.9070000000002</v>
      </c>
      <c r="Z108" s="416"/>
      <c r="AA108" s="416"/>
      <c r="AB108" s="416"/>
      <c r="AC108" s="416"/>
      <c r="AD108" s="416"/>
      <c r="AE108" s="416"/>
      <c r="AF108" s="416"/>
      <c r="AG108" s="416"/>
      <c r="AH108" s="416"/>
      <c r="AI108" s="416"/>
      <c r="AJ108" s="416"/>
      <c r="AK108" s="416"/>
      <c r="AL108" s="416"/>
      <c r="AM108" s="416"/>
      <c r="AN108" s="416"/>
      <c r="AO108" s="416"/>
      <c r="AP108" s="416"/>
      <c r="AQ108" s="416"/>
      <c r="AR108" s="416"/>
      <c r="AS108" s="416"/>
      <c r="AT108" s="416"/>
      <c r="AU108" s="416"/>
      <c r="AV108" s="416"/>
      <c r="AW108" s="416"/>
      <c r="AX108" s="416"/>
      <c r="AY108" s="416"/>
      <c r="AZ108" s="32"/>
    </row>
    <row r="109" spans="2:52">
      <c r="B109" s="1258" t="s">
        <v>618</v>
      </c>
      <c r="C109" s="1259"/>
      <c r="D109" s="1259"/>
      <c r="E109" s="1259"/>
      <c r="F109" s="1259"/>
      <c r="G109" s="1260"/>
      <c r="H109" s="417">
        <f>SUM(H106:H108)</f>
        <v>17539.420999999998</v>
      </c>
      <c r="I109" s="388"/>
      <c r="J109" s="293"/>
      <c r="K109" s="293"/>
      <c r="L109" s="293"/>
      <c r="M109" s="389"/>
      <c r="N109" s="413" t="str">
        <f t="shared" si="6"/>
        <v xml:space="preserve"> </v>
      </c>
      <c r="O109" s="47"/>
      <c r="P109" s="418"/>
      <c r="Q109" s="418"/>
      <c r="R109" s="418"/>
      <c r="S109" s="32"/>
      <c r="T109" s="416"/>
      <c r="U109" s="416"/>
      <c r="V109" s="416"/>
      <c r="W109" s="416"/>
      <c r="X109" s="416"/>
      <c r="Y109" s="416"/>
      <c r="Z109" s="416"/>
      <c r="AA109" s="416"/>
      <c r="AB109" s="416"/>
      <c r="AC109" s="416"/>
      <c r="AD109" s="416"/>
      <c r="AE109" s="416"/>
      <c r="AF109" s="416"/>
      <c r="AG109" s="416"/>
      <c r="AH109" s="416"/>
      <c r="AI109" s="416"/>
      <c r="AJ109" s="416"/>
      <c r="AK109" s="416"/>
      <c r="AL109" s="416"/>
      <c r="AM109" s="416"/>
      <c r="AN109" s="416"/>
      <c r="AO109" s="416"/>
      <c r="AP109" s="416"/>
      <c r="AQ109" s="416"/>
      <c r="AR109" s="416"/>
      <c r="AS109" s="416"/>
      <c r="AT109" s="416"/>
      <c r="AU109" s="416"/>
      <c r="AV109" s="416"/>
      <c r="AW109" s="416"/>
      <c r="AX109" s="416"/>
      <c r="AY109" s="416"/>
    </row>
    <row r="110" spans="2:52">
      <c r="B110" s="1250" t="s">
        <v>619</v>
      </c>
      <c r="C110" s="1251"/>
      <c r="D110" s="411" t="s">
        <v>938</v>
      </c>
      <c r="E110" s="411"/>
      <c r="F110" s="411" t="s">
        <v>371</v>
      </c>
      <c r="G110" s="411" t="s">
        <v>372</v>
      </c>
      <c r="H110" s="412">
        <v>7401.1909999999998</v>
      </c>
      <c r="I110" s="413" t="s">
        <v>934</v>
      </c>
      <c r="J110" s="414">
        <v>44994.6875</v>
      </c>
      <c r="K110" s="414"/>
      <c r="L110" s="414" t="s">
        <v>192</v>
      </c>
      <c r="M110" s="414" t="s">
        <v>192</v>
      </c>
      <c r="N110" s="413" t="str">
        <f t="shared" si="6"/>
        <v>DELAY ( 4 day 21 hour 24 minute )</v>
      </c>
      <c r="O110" s="51"/>
      <c r="P110" s="415" t="s">
        <v>551</v>
      </c>
      <c r="Q110" s="415" t="s">
        <v>551</v>
      </c>
      <c r="R110" s="415" t="s">
        <v>551</v>
      </c>
      <c r="S110" s="32"/>
      <c r="T110" s="416"/>
      <c r="U110" s="416"/>
      <c r="V110" s="416"/>
      <c r="W110" s="416"/>
      <c r="X110" s="416"/>
      <c r="Y110" s="416"/>
      <c r="Z110" s="416"/>
      <c r="AA110" s="416"/>
      <c r="AB110" s="416">
        <f>H110*0.6</f>
        <v>4440.7145999999993</v>
      </c>
      <c r="AC110" s="416">
        <f>H110*0.4</f>
        <v>2960.4764</v>
      </c>
      <c r="AD110" s="416"/>
      <c r="AE110" s="416"/>
      <c r="AF110" s="416"/>
      <c r="AG110" s="416"/>
      <c r="AH110" s="416"/>
      <c r="AI110" s="416"/>
      <c r="AJ110" s="416"/>
      <c r="AK110" s="416"/>
      <c r="AL110" s="416"/>
      <c r="AM110" s="416"/>
      <c r="AN110" s="416"/>
      <c r="AO110" s="416"/>
      <c r="AP110" s="416"/>
      <c r="AQ110" s="416"/>
      <c r="AR110" s="416"/>
      <c r="AS110" s="416"/>
      <c r="AT110" s="416"/>
      <c r="AU110" s="416"/>
      <c r="AV110" s="416"/>
      <c r="AW110" s="416"/>
      <c r="AX110" s="416"/>
      <c r="AY110" s="416"/>
      <c r="AZ110" s="32"/>
    </row>
    <row r="111" spans="2:52">
      <c r="B111" s="1252"/>
      <c r="C111" s="1253"/>
      <c r="D111" s="411"/>
      <c r="E111" s="411"/>
      <c r="F111" s="1256" t="s">
        <v>668</v>
      </c>
      <c r="G111" s="1257"/>
      <c r="H111" s="412">
        <v>1000</v>
      </c>
      <c r="I111" s="413"/>
      <c r="J111" s="414"/>
      <c r="K111" s="414"/>
      <c r="L111" s="414"/>
      <c r="M111" s="414"/>
      <c r="N111" s="413" t="str">
        <f t="shared" si="6"/>
        <v xml:space="preserve"> </v>
      </c>
      <c r="O111" s="51"/>
      <c r="P111" s="415"/>
      <c r="Q111" s="415"/>
      <c r="R111" s="415"/>
      <c r="S111" s="32"/>
      <c r="T111" s="416"/>
      <c r="U111" s="416"/>
      <c r="V111" s="416"/>
      <c r="W111" s="416"/>
      <c r="X111" s="416"/>
      <c r="Y111" s="416"/>
      <c r="Z111" s="416"/>
      <c r="AA111" s="416"/>
      <c r="AB111" s="416"/>
      <c r="AC111" s="416"/>
      <c r="AD111" s="416"/>
      <c r="AE111" s="416"/>
      <c r="AF111" s="416"/>
      <c r="AG111" s="416"/>
      <c r="AH111" s="416"/>
      <c r="AI111" s="416"/>
      <c r="AJ111" s="416"/>
      <c r="AK111" s="416"/>
      <c r="AL111" s="416"/>
      <c r="AM111" s="416"/>
      <c r="AN111" s="416"/>
      <c r="AO111" s="416"/>
      <c r="AP111" s="416"/>
      <c r="AQ111" s="416"/>
      <c r="AR111" s="416"/>
      <c r="AS111" s="416"/>
      <c r="AT111" s="416"/>
      <c r="AU111" s="416"/>
      <c r="AV111" s="416"/>
      <c r="AW111" s="416"/>
      <c r="AX111" s="416"/>
      <c r="AY111" s="416"/>
      <c r="AZ111" s="32"/>
    </row>
    <row r="112" spans="2:52">
      <c r="B112" s="1254"/>
      <c r="C112" s="1255"/>
      <c r="D112" s="411"/>
      <c r="E112" s="411"/>
      <c r="F112" s="1256" t="s">
        <v>616</v>
      </c>
      <c r="G112" s="1257"/>
      <c r="H112" s="412">
        <v>1277</v>
      </c>
      <c r="I112" s="413"/>
      <c r="J112" s="414"/>
      <c r="K112" s="414"/>
      <c r="L112" s="414"/>
      <c r="M112" s="414"/>
      <c r="N112" s="413" t="str">
        <f t="shared" si="6"/>
        <v xml:space="preserve"> </v>
      </c>
      <c r="O112" s="51"/>
      <c r="P112" s="415"/>
      <c r="Q112" s="415"/>
      <c r="R112" s="415"/>
      <c r="S112" s="32"/>
      <c r="T112" s="416"/>
      <c r="U112" s="416"/>
      <c r="V112" s="416"/>
      <c r="W112" s="416"/>
      <c r="X112" s="416"/>
      <c r="Y112" s="416"/>
      <c r="Z112" s="416"/>
      <c r="AA112" s="416"/>
      <c r="AB112" s="416"/>
      <c r="AC112" s="416"/>
      <c r="AD112" s="416"/>
      <c r="AE112" s="416"/>
      <c r="AF112" s="416"/>
      <c r="AG112" s="416"/>
      <c r="AH112" s="416"/>
      <c r="AI112" s="416"/>
      <c r="AJ112" s="416"/>
      <c r="AK112" s="416"/>
      <c r="AL112" s="416"/>
      <c r="AM112" s="416"/>
      <c r="AN112" s="416"/>
      <c r="AO112" s="416"/>
      <c r="AP112" s="416"/>
      <c r="AQ112" s="416"/>
      <c r="AR112" s="416"/>
      <c r="AS112" s="416"/>
      <c r="AT112" s="416"/>
      <c r="AU112" s="416"/>
      <c r="AV112" s="416"/>
      <c r="AW112" s="416"/>
      <c r="AX112" s="416"/>
      <c r="AY112" s="416"/>
      <c r="AZ112" s="32"/>
    </row>
    <row r="113" spans="2:52">
      <c r="B113" s="1250" t="s">
        <v>621</v>
      </c>
      <c r="C113" s="1251"/>
      <c r="D113" s="411" t="s">
        <v>940</v>
      </c>
      <c r="E113" s="411"/>
      <c r="F113" s="411" t="s">
        <v>274</v>
      </c>
      <c r="G113" s="411" t="s">
        <v>275</v>
      </c>
      <c r="H113" s="412">
        <v>7500.7169999999996</v>
      </c>
      <c r="I113" s="413" t="s">
        <v>934</v>
      </c>
      <c r="J113" s="414">
        <v>44993.472222222219</v>
      </c>
      <c r="K113" s="414"/>
      <c r="L113" s="414" t="s">
        <v>192</v>
      </c>
      <c r="M113" s="414" t="s">
        <v>192</v>
      </c>
      <c r="N113" s="413" t="str">
        <f t="shared" si="6"/>
        <v>DELAY ( 3 day 16 hour 14 minute )</v>
      </c>
      <c r="O113" s="51"/>
      <c r="P113" s="415" t="s">
        <v>551</v>
      </c>
      <c r="Q113" s="415" t="s">
        <v>551</v>
      </c>
      <c r="R113" s="415" t="s">
        <v>551</v>
      </c>
      <c r="S113" s="32"/>
      <c r="T113" s="416"/>
      <c r="U113" s="416"/>
      <c r="V113" s="416"/>
      <c r="W113" s="416"/>
      <c r="X113" s="416"/>
      <c r="Y113" s="416"/>
      <c r="Z113" s="416"/>
      <c r="AA113" s="416"/>
      <c r="AB113" s="416">
        <f>H113*0.6</f>
        <v>4500.4301999999998</v>
      </c>
      <c r="AC113" s="416">
        <f>H113*0.4</f>
        <v>3000.2867999999999</v>
      </c>
      <c r="AD113" s="416"/>
      <c r="AE113" s="416"/>
      <c r="AF113" s="416"/>
      <c r="AG113" s="416"/>
      <c r="AH113" s="416"/>
      <c r="AI113" s="416"/>
      <c r="AJ113" s="416"/>
      <c r="AK113" s="416"/>
      <c r="AL113" s="416"/>
      <c r="AM113" s="416"/>
      <c r="AN113" s="416"/>
      <c r="AO113" s="416"/>
      <c r="AP113" s="416"/>
      <c r="AQ113" s="416"/>
      <c r="AR113" s="416"/>
      <c r="AS113" s="416"/>
      <c r="AT113" s="416"/>
      <c r="AU113" s="416"/>
      <c r="AV113" s="416"/>
      <c r="AW113" s="416"/>
      <c r="AX113" s="416"/>
      <c r="AY113" s="416"/>
      <c r="AZ113" s="32"/>
    </row>
    <row r="114" spans="2:52">
      <c r="B114" s="1252"/>
      <c r="C114" s="1253"/>
      <c r="D114" s="411"/>
      <c r="E114" s="411"/>
      <c r="F114" s="1256" t="s">
        <v>668</v>
      </c>
      <c r="G114" s="1257"/>
      <c r="H114" s="412">
        <v>1000</v>
      </c>
      <c r="I114" s="413"/>
      <c r="J114" s="414"/>
      <c r="K114" s="414"/>
      <c r="L114" s="414"/>
      <c r="M114" s="414"/>
      <c r="N114" s="413" t="str">
        <f t="shared" si="6"/>
        <v xml:space="preserve"> </v>
      </c>
      <c r="O114" s="51"/>
      <c r="P114" s="415"/>
      <c r="Q114" s="415"/>
      <c r="R114" s="415"/>
      <c r="S114" s="32"/>
      <c r="T114" s="416"/>
      <c r="U114" s="416"/>
      <c r="V114" s="416"/>
      <c r="W114" s="416"/>
      <c r="X114" s="416"/>
      <c r="Y114" s="416"/>
      <c r="Z114" s="416"/>
      <c r="AA114" s="416"/>
      <c r="AB114" s="416"/>
      <c r="AC114" s="416"/>
      <c r="AD114" s="416"/>
      <c r="AE114" s="416"/>
      <c r="AF114" s="416"/>
      <c r="AG114" s="416"/>
      <c r="AH114" s="416"/>
      <c r="AI114" s="416"/>
      <c r="AJ114" s="416"/>
      <c r="AK114" s="416"/>
      <c r="AL114" s="416"/>
      <c r="AM114" s="416"/>
      <c r="AN114" s="416"/>
      <c r="AO114" s="416"/>
      <c r="AP114" s="416"/>
      <c r="AQ114" s="416"/>
      <c r="AR114" s="416"/>
      <c r="AS114" s="416"/>
      <c r="AT114" s="416"/>
      <c r="AU114" s="416"/>
      <c r="AV114" s="416"/>
      <c r="AW114" s="416"/>
      <c r="AX114" s="416"/>
      <c r="AY114" s="416"/>
      <c r="AZ114" s="32"/>
    </row>
    <row r="115" spans="2:52">
      <c r="B115" s="1254"/>
      <c r="C115" s="1255"/>
      <c r="D115" s="411"/>
      <c r="E115" s="411"/>
      <c r="F115" s="1256" t="s">
        <v>616</v>
      </c>
      <c r="G115" s="1257"/>
      <c r="H115" s="412">
        <v>1277</v>
      </c>
      <c r="I115" s="413"/>
      <c r="J115" s="414"/>
      <c r="K115" s="414"/>
      <c r="L115" s="414"/>
      <c r="M115" s="414"/>
      <c r="N115" s="413" t="str">
        <f t="shared" si="6"/>
        <v xml:space="preserve"> </v>
      </c>
      <c r="O115" s="51"/>
      <c r="P115" s="415"/>
      <c r="Q115" s="415"/>
      <c r="R115" s="415"/>
      <c r="S115" s="32"/>
      <c r="T115" s="416"/>
      <c r="U115" s="416"/>
      <c r="V115" s="416"/>
      <c r="W115" s="416"/>
      <c r="X115" s="416"/>
      <c r="Y115" s="416"/>
      <c r="Z115" s="416"/>
      <c r="AA115" s="416"/>
      <c r="AB115" s="416"/>
      <c r="AC115" s="416"/>
      <c r="AD115" s="416"/>
      <c r="AE115" s="416"/>
      <c r="AF115" s="416"/>
      <c r="AG115" s="416"/>
      <c r="AH115" s="416"/>
      <c r="AI115" s="416"/>
      <c r="AJ115" s="416"/>
      <c r="AK115" s="416"/>
      <c r="AL115" s="416"/>
      <c r="AM115" s="416"/>
      <c r="AN115" s="416"/>
      <c r="AO115" s="416"/>
      <c r="AP115" s="416"/>
      <c r="AQ115" s="416"/>
      <c r="AR115" s="416"/>
      <c r="AS115" s="416"/>
      <c r="AT115" s="416"/>
      <c r="AU115" s="416"/>
      <c r="AV115" s="416"/>
      <c r="AW115" s="416"/>
      <c r="AX115" s="416"/>
      <c r="AY115" s="416"/>
      <c r="AZ115" s="32"/>
    </row>
    <row r="116" spans="2:52">
      <c r="B116" s="1250" t="s">
        <v>622</v>
      </c>
      <c r="C116" s="1251"/>
      <c r="D116" s="411" t="s">
        <v>937</v>
      </c>
      <c r="E116" s="411"/>
      <c r="F116" s="411" t="s">
        <v>288</v>
      </c>
      <c r="G116" s="411" t="s">
        <v>289</v>
      </c>
      <c r="H116" s="412">
        <v>7501.1549999999997</v>
      </c>
      <c r="I116" s="413" t="s">
        <v>934</v>
      </c>
      <c r="J116" s="414">
        <v>44993.625</v>
      </c>
      <c r="K116" s="414"/>
      <c r="L116" s="414" t="s">
        <v>192</v>
      </c>
      <c r="M116" s="414" t="s">
        <v>192</v>
      </c>
      <c r="N116" s="413" t="str">
        <f t="shared" si="6"/>
        <v>DELAY ( 3 day 19 hour 54 minute )</v>
      </c>
      <c r="O116" s="51"/>
      <c r="P116" s="415" t="s">
        <v>551</v>
      </c>
      <c r="Q116" s="415" t="s">
        <v>551</v>
      </c>
      <c r="R116" s="415" t="s">
        <v>551</v>
      </c>
      <c r="S116" s="32"/>
      <c r="T116" s="416"/>
      <c r="U116" s="416"/>
      <c r="V116" s="416"/>
      <c r="W116" s="416"/>
      <c r="X116" s="416"/>
      <c r="Y116" s="416"/>
      <c r="Z116" s="416"/>
      <c r="AA116" s="416"/>
      <c r="AB116" s="416">
        <f>H116*0.6</f>
        <v>4500.6929999999993</v>
      </c>
      <c r="AC116" s="416">
        <f>H116*0.4</f>
        <v>3000.462</v>
      </c>
      <c r="AD116" s="416"/>
      <c r="AE116" s="416"/>
      <c r="AF116" s="416"/>
      <c r="AG116" s="416"/>
      <c r="AH116" s="416"/>
      <c r="AI116" s="416"/>
      <c r="AJ116" s="416"/>
      <c r="AK116" s="416"/>
      <c r="AL116" s="416"/>
      <c r="AM116" s="416"/>
      <c r="AN116" s="416"/>
      <c r="AO116" s="416"/>
      <c r="AP116" s="416"/>
      <c r="AQ116" s="416"/>
      <c r="AR116" s="416"/>
      <c r="AS116" s="416"/>
      <c r="AT116" s="416"/>
      <c r="AU116" s="416"/>
      <c r="AV116" s="416"/>
      <c r="AW116" s="416"/>
      <c r="AX116" s="416"/>
      <c r="AY116" s="416"/>
      <c r="AZ116" s="32"/>
    </row>
    <row r="117" spans="2:52">
      <c r="B117" s="1254"/>
      <c r="C117" s="1255"/>
      <c r="D117" s="411"/>
      <c r="E117" s="411"/>
      <c r="F117" s="1256" t="s">
        <v>616</v>
      </c>
      <c r="G117" s="1257"/>
      <c r="H117" s="412">
        <v>1277</v>
      </c>
      <c r="I117" s="413"/>
      <c r="J117" s="414"/>
      <c r="K117" s="414"/>
      <c r="L117" s="414"/>
      <c r="M117" s="414"/>
      <c r="N117" s="413" t="str">
        <f t="shared" si="6"/>
        <v xml:space="preserve"> </v>
      </c>
      <c r="O117" s="51"/>
      <c r="P117" s="415"/>
      <c r="Q117" s="415"/>
      <c r="R117" s="415"/>
      <c r="S117" s="32"/>
      <c r="T117" s="416"/>
      <c r="U117" s="416"/>
      <c r="V117" s="416"/>
      <c r="W117" s="416"/>
      <c r="X117" s="416"/>
      <c r="Y117" s="416"/>
      <c r="Z117" s="416"/>
      <c r="AA117" s="416"/>
      <c r="AB117" s="416"/>
      <c r="AC117" s="416"/>
      <c r="AD117" s="416"/>
      <c r="AE117" s="416"/>
      <c r="AF117" s="416"/>
      <c r="AG117" s="416"/>
      <c r="AH117" s="416"/>
      <c r="AI117" s="416"/>
      <c r="AJ117" s="416"/>
      <c r="AK117" s="416"/>
      <c r="AL117" s="416"/>
      <c r="AM117" s="416"/>
      <c r="AN117" s="416"/>
      <c r="AO117" s="416"/>
      <c r="AP117" s="416"/>
      <c r="AQ117" s="416"/>
      <c r="AR117" s="416"/>
      <c r="AS117" s="416"/>
      <c r="AT117" s="416"/>
      <c r="AU117" s="416"/>
      <c r="AV117" s="416"/>
      <c r="AW117" s="416"/>
      <c r="AX117" s="416"/>
      <c r="AY117" s="416"/>
      <c r="AZ117" s="32"/>
    </row>
    <row r="118" spans="2:52">
      <c r="B118" s="1250" t="s">
        <v>623</v>
      </c>
      <c r="C118" s="1251"/>
      <c r="D118" s="411" t="s">
        <v>933</v>
      </c>
      <c r="E118" s="411"/>
      <c r="F118" s="411" t="s">
        <v>686</v>
      </c>
      <c r="G118" s="411" t="s">
        <v>687</v>
      </c>
      <c r="H118" s="412">
        <v>7489.39</v>
      </c>
      <c r="I118" s="413" t="s">
        <v>934</v>
      </c>
      <c r="J118" s="414">
        <v>44993.645833333336</v>
      </c>
      <c r="K118" s="414"/>
      <c r="L118" s="414" t="s">
        <v>192</v>
      </c>
      <c r="M118" s="414" t="s">
        <v>192</v>
      </c>
      <c r="N118" s="413" t="str">
        <f t="shared" si="6"/>
        <v>DELAY ( 3 day 20 hour 24 minute )</v>
      </c>
      <c r="O118" s="51"/>
      <c r="P118" s="415" t="s">
        <v>551</v>
      </c>
      <c r="Q118" s="415" t="s">
        <v>551</v>
      </c>
      <c r="R118" s="415" t="s">
        <v>551</v>
      </c>
      <c r="S118" s="32"/>
      <c r="T118" s="416"/>
      <c r="U118" s="416"/>
      <c r="V118" s="416"/>
      <c r="W118" s="416"/>
      <c r="X118" s="416"/>
      <c r="Y118" s="416"/>
      <c r="Z118" s="416"/>
      <c r="AA118" s="416"/>
      <c r="AB118" s="416">
        <f>H118*0.6</f>
        <v>4493.634</v>
      </c>
      <c r="AC118" s="416">
        <f>H118*0.4</f>
        <v>2995.7560000000003</v>
      </c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32"/>
    </row>
    <row r="119" spans="2:52">
      <c r="B119" s="1252"/>
      <c r="C119" s="1253"/>
      <c r="D119" s="411"/>
      <c r="E119" s="411"/>
      <c r="F119" s="1256" t="s">
        <v>668</v>
      </c>
      <c r="G119" s="1257"/>
      <c r="H119" s="412">
        <v>1000</v>
      </c>
      <c r="I119" s="413"/>
      <c r="J119" s="414"/>
      <c r="K119" s="414"/>
      <c r="L119" s="414"/>
      <c r="M119" s="414"/>
      <c r="N119" s="413" t="str">
        <f t="shared" si="6"/>
        <v xml:space="preserve"> </v>
      </c>
      <c r="O119" s="51"/>
      <c r="P119" s="415"/>
      <c r="Q119" s="415"/>
      <c r="R119" s="415"/>
      <c r="S119" s="32"/>
      <c r="T119" s="416"/>
      <c r="U119" s="416"/>
      <c r="V119" s="416"/>
      <c r="W119" s="416"/>
      <c r="X119" s="416"/>
      <c r="Y119" s="416"/>
      <c r="Z119" s="416"/>
      <c r="AA119" s="416"/>
      <c r="AB119" s="416"/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32"/>
    </row>
    <row r="120" spans="2:52">
      <c r="B120" s="1254"/>
      <c r="C120" s="1255"/>
      <c r="D120" s="411"/>
      <c r="E120" s="411"/>
      <c r="F120" s="1256" t="s">
        <v>616</v>
      </c>
      <c r="G120" s="1257"/>
      <c r="H120" s="412">
        <v>1277</v>
      </c>
      <c r="I120" s="413"/>
      <c r="J120" s="414"/>
      <c r="K120" s="414"/>
      <c r="L120" s="414"/>
      <c r="M120" s="414"/>
      <c r="N120" s="413" t="str">
        <f t="shared" si="6"/>
        <v xml:space="preserve"> </v>
      </c>
      <c r="O120" s="51"/>
      <c r="P120" s="415"/>
      <c r="Q120" s="415"/>
      <c r="R120" s="415"/>
      <c r="S120" s="32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416"/>
      <c r="AU120" s="416"/>
      <c r="AV120" s="416"/>
      <c r="AW120" s="416"/>
      <c r="AX120" s="416"/>
      <c r="AY120" s="416"/>
      <c r="AZ120" s="32"/>
    </row>
    <row r="121" spans="2:52">
      <c r="B121" s="1250" t="s">
        <v>624</v>
      </c>
      <c r="C121" s="1251"/>
      <c r="D121" s="411" t="s">
        <v>935</v>
      </c>
      <c r="E121" s="411"/>
      <c r="F121" s="411" t="s">
        <v>260</v>
      </c>
      <c r="G121" s="411" t="s">
        <v>261</v>
      </c>
      <c r="H121" s="412">
        <v>7758.9160000000002</v>
      </c>
      <c r="I121" s="413" t="s">
        <v>934</v>
      </c>
      <c r="J121" s="414">
        <v>44993.708333333336</v>
      </c>
      <c r="K121" s="414"/>
      <c r="L121" s="414" t="s">
        <v>192</v>
      </c>
      <c r="M121" s="414" t="s">
        <v>192</v>
      </c>
      <c r="N121" s="413" t="str">
        <f t="shared" si="6"/>
        <v>DELAY ( 3 day 21 hour 54 minute )</v>
      </c>
      <c r="O121" s="51"/>
      <c r="P121" s="415" t="s">
        <v>551</v>
      </c>
      <c r="Q121" s="415" t="s">
        <v>551</v>
      </c>
      <c r="R121" s="415" t="s">
        <v>551</v>
      </c>
      <c r="S121" s="32"/>
      <c r="T121" s="416"/>
      <c r="U121" s="416"/>
      <c r="V121" s="416"/>
      <c r="W121" s="416"/>
      <c r="X121" s="416"/>
      <c r="Y121" s="416"/>
      <c r="Z121" s="416"/>
      <c r="AA121" s="416"/>
      <c r="AB121" s="416">
        <f>H121*0.6</f>
        <v>4655.3495999999996</v>
      </c>
      <c r="AC121" s="416">
        <f>H121*0.4</f>
        <v>3103.5664000000002</v>
      </c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32"/>
    </row>
    <row r="122" spans="2:52">
      <c r="B122" s="1254"/>
      <c r="C122" s="1255"/>
      <c r="D122" s="411"/>
      <c r="E122" s="411"/>
      <c r="F122" s="1256" t="s">
        <v>616</v>
      </c>
      <c r="G122" s="1257"/>
      <c r="H122" s="412">
        <v>1277</v>
      </c>
      <c r="I122" s="413"/>
      <c r="J122" s="414"/>
      <c r="K122" s="414"/>
      <c r="L122" s="414"/>
      <c r="M122" s="414"/>
      <c r="N122" s="413" t="str">
        <f t="shared" si="6"/>
        <v xml:space="preserve"> </v>
      </c>
      <c r="O122" s="51"/>
      <c r="P122" s="415"/>
      <c r="Q122" s="415"/>
      <c r="R122" s="415"/>
      <c r="S122" s="32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416"/>
      <c r="AQ122" s="416"/>
      <c r="AR122" s="416"/>
      <c r="AS122" s="416"/>
      <c r="AT122" s="416"/>
      <c r="AU122" s="416"/>
      <c r="AV122" s="416"/>
      <c r="AW122" s="416"/>
      <c r="AX122" s="416"/>
      <c r="AY122" s="416"/>
      <c r="AZ122" s="32"/>
    </row>
    <row r="123" spans="2:52">
      <c r="B123" s="1250" t="s">
        <v>625</v>
      </c>
      <c r="C123" s="1251"/>
      <c r="D123" s="411" t="s">
        <v>932</v>
      </c>
      <c r="E123" s="411"/>
      <c r="F123" s="411" t="s">
        <v>301</v>
      </c>
      <c r="G123" s="411" t="s">
        <v>302</v>
      </c>
      <c r="H123" s="412">
        <v>3607</v>
      </c>
      <c r="I123" s="413" t="s">
        <v>581</v>
      </c>
      <c r="J123" s="414">
        <v>44994.888888888891</v>
      </c>
      <c r="K123" s="414"/>
      <c r="L123" s="414" t="s">
        <v>192</v>
      </c>
      <c r="M123" s="414" t="s">
        <v>192</v>
      </c>
      <c r="N123" s="413" t="str">
        <f t="shared" si="6"/>
        <v>DELAY ( 5 day 2 hour 14 minute )</v>
      </c>
      <c r="O123" s="51"/>
      <c r="P123" s="415" t="s">
        <v>551</v>
      </c>
      <c r="Q123" s="415" t="s">
        <v>551</v>
      </c>
      <c r="R123" s="415" t="s">
        <v>551</v>
      </c>
      <c r="S123" s="32"/>
      <c r="T123" s="416"/>
      <c r="U123" s="416"/>
      <c r="V123" s="416"/>
      <c r="W123" s="416"/>
      <c r="X123" s="416"/>
      <c r="Y123" s="416"/>
      <c r="Z123" s="416"/>
      <c r="AA123" s="416"/>
      <c r="AB123" s="416">
        <f>H123*0.75</f>
        <v>2705.25</v>
      </c>
      <c r="AC123" s="416">
        <f>(H123*0.25)</f>
        <v>901.75</v>
      </c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32"/>
    </row>
    <row r="124" spans="2:52">
      <c r="B124" s="1252"/>
      <c r="C124" s="1253"/>
      <c r="D124" s="411"/>
      <c r="E124" s="411"/>
      <c r="F124" s="1256" t="s">
        <v>668</v>
      </c>
      <c r="G124" s="1257"/>
      <c r="H124" s="412">
        <v>2200</v>
      </c>
      <c r="I124" s="413"/>
      <c r="J124" s="414"/>
      <c r="K124" s="414"/>
      <c r="L124" s="414"/>
      <c r="M124" s="414"/>
      <c r="N124" s="413" t="str">
        <f t="shared" si="6"/>
        <v xml:space="preserve"> </v>
      </c>
      <c r="O124" s="51"/>
      <c r="P124" s="415"/>
      <c r="Q124" s="415"/>
      <c r="R124" s="415"/>
      <c r="S124" s="32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/>
      <c r="AH124" s="416"/>
      <c r="AI124" s="416"/>
      <c r="AJ124" s="416"/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416"/>
      <c r="AZ124" s="32"/>
    </row>
    <row r="125" spans="2:52">
      <c r="B125" s="1254"/>
      <c r="C125" s="1255"/>
      <c r="D125" s="411"/>
      <c r="E125" s="411"/>
      <c r="F125" s="1256" t="s">
        <v>616</v>
      </c>
      <c r="G125" s="1257"/>
      <c r="H125" s="412">
        <v>1277</v>
      </c>
      <c r="I125" s="413"/>
      <c r="J125" s="414"/>
      <c r="K125" s="414"/>
      <c r="L125" s="414"/>
      <c r="M125" s="414"/>
      <c r="N125" s="413" t="str">
        <f t="shared" si="6"/>
        <v xml:space="preserve"> </v>
      </c>
      <c r="O125" s="51"/>
      <c r="P125" s="415"/>
      <c r="Q125" s="415"/>
      <c r="R125" s="415"/>
      <c r="S125" s="32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32"/>
    </row>
    <row r="126" spans="2:52">
      <c r="B126" s="1250" t="s">
        <v>669</v>
      </c>
      <c r="C126" s="1251"/>
      <c r="D126" s="411" t="s">
        <v>936</v>
      </c>
      <c r="E126" s="411"/>
      <c r="F126" s="411" t="s">
        <v>226</v>
      </c>
      <c r="G126" s="411" t="s">
        <v>227</v>
      </c>
      <c r="H126" s="412">
        <v>7433.1090000000004</v>
      </c>
      <c r="I126" s="413" t="s">
        <v>934</v>
      </c>
      <c r="J126" s="414">
        <v>44994.0625</v>
      </c>
      <c r="K126" s="414"/>
      <c r="L126" s="414" t="s">
        <v>192</v>
      </c>
      <c r="M126" s="414" t="s">
        <v>192</v>
      </c>
      <c r="N126" s="413" t="str">
        <f t="shared" si="6"/>
        <v>DELAY ( 4 day 6 hour 24 minute )</v>
      </c>
      <c r="O126" s="51"/>
      <c r="P126" s="415" t="s">
        <v>551</v>
      </c>
      <c r="Q126" s="415" t="s">
        <v>551</v>
      </c>
      <c r="R126" s="415" t="s">
        <v>551</v>
      </c>
      <c r="S126" s="32"/>
      <c r="T126" s="416"/>
      <c r="U126" s="416"/>
      <c r="V126" s="416"/>
      <c r="W126" s="416"/>
      <c r="X126" s="416"/>
      <c r="Y126" s="416"/>
      <c r="Z126" s="416"/>
      <c r="AA126" s="416"/>
      <c r="AB126" s="416">
        <f>H126*0.6</f>
        <v>4459.8653999999997</v>
      </c>
      <c r="AC126" s="416">
        <f>H126*0.4</f>
        <v>2973.2436000000002</v>
      </c>
      <c r="AD126" s="416"/>
      <c r="AE126" s="416"/>
      <c r="AF126" s="416"/>
      <c r="AG126" s="416"/>
      <c r="AH126" s="416"/>
      <c r="AI126" s="416"/>
      <c r="AJ126" s="416"/>
      <c r="AK126" s="416"/>
      <c r="AL126" s="416"/>
      <c r="AM126" s="416"/>
      <c r="AN126" s="416"/>
      <c r="AO126" s="416"/>
      <c r="AP126" s="416"/>
      <c r="AQ126" s="416"/>
      <c r="AR126" s="416"/>
      <c r="AS126" s="416"/>
      <c r="AT126" s="416"/>
      <c r="AU126" s="416"/>
      <c r="AV126" s="416"/>
      <c r="AW126" s="416"/>
      <c r="AX126" s="416"/>
      <c r="AY126" s="416"/>
      <c r="AZ126" s="32"/>
    </row>
    <row r="127" spans="2:52">
      <c r="B127" s="1252"/>
      <c r="C127" s="1253"/>
      <c r="D127" s="411"/>
      <c r="E127" s="411"/>
      <c r="F127" s="1256" t="s">
        <v>668</v>
      </c>
      <c r="G127" s="1257"/>
      <c r="H127" s="412">
        <v>1000</v>
      </c>
      <c r="I127" s="413"/>
      <c r="J127" s="414"/>
      <c r="K127" s="414"/>
      <c r="L127" s="414"/>
      <c r="M127" s="414"/>
      <c r="N127" s="413" t="str">
        <f t="shared" si="6"/>
        <v xml:space="preserve"> </v>
      </c>
      <c r="O127" s="51"/>
      <c r="P127" s="415"/>
      <c r="Q127" s="415"/>
      <c r="R127" s="415"/>
      <c r="S127" s="32"/>
      <c r="T127" s="416"/>
      <c r="U127" s="416"/>
      <c r="V127" s="416"/>
      <c r="W127" s="416"/>
      <c r="X127" s="416"/>
      <c r="Y127" s="416"/>
      <c r="Z127" s="416"/>
      <c r="AA127" s="416"/>
      <c r="AB127" s="416"/>
      <c r="AC127" s="416"/>
      <c r="AD127" s="416"/>
      <c r="AE127" s="416"/>
      <c r="AF127" s="416"/>
      <c r="AG127" s="416"/>
      <c r="AH127" s="416"/>
      <c r="AI127" s="416"/>
      <c r="AJ127" s="416"/>
      <c r="AK127" s="416"/>
      <c r="AL127" s="416"/>
      <c r="AM127" s="416"/>
      <c r="AN127" s="416"/>
      <c r="AO127" s="416"/>
      <c r="AP127" s="416"/>
      <c r="AQ127" s="416"/>
      <c r="AR127" s="416"/>
      <c r="AS127" s="416"/>
      <c r="AT127" s="416"/>
      <c r="AU127" s="416"/>
      <c r="AV127" s="416"/>
      <c r="AW127" s="416"/>
      <c r="AX127" s="416"/>
      <c r="AY127" s="416"/>
      <c r="AZ127" s="32"/>
    </row>
    <row r="128" spans="2:52">
      <c r="B128" s="1254"/>
      <c r="C128" s="1255"/>
      <c r="D128" s="411"/>
      <c r="E128" s="411"/>
      <c r="F128" s="1256" t="s">
        <v>616</v>
      </c>
      <c r="G128" s="1257"/>
      <c r="H128" s="412">
        <v>1277</v>
      </c>
      <c r="I128" s="413"/>
      <c r="J128" s="414"/>
      <c r="K128" s="414"/>
      <c r="L128" s="414"/>
      <c r="M128" s="414"/>
      <c r="N128" s="413" t="str">
        <f t="shared" si="6"/>
        <v xml:space="preserve"> </v>
      </c>
      <c r="O128" s="51"/>
      <c r="P128" s="415"/>
      <c r="Q128" s="415"/>
      <c r="R128" s="415"/>
      <c r="S128" s="32"/>
      <c r="T128" s="416"/>
      <c r="U128" s="416"/>
      <c r="V128" s="416"/>
      <c r="W128" s="416"/>
      <c r="X128" s="416"/>
      <c r="Y128" s="416"/>
      <c r="Z128" s="416"/>
      <c r="AA128" s="416"/>
      <c r="AB128" s="416"/>
      <c r="AC128" s="416"/>
      <c r="AD128" s="416"/>
      <c r="AE128" s="416"/>
      <c r="AF128" s="416"/>
      <c r="AG128" s="416"/>
      <c r="AH128" s="416"/>
      <c r="AI128" s="416"/>
      <c r="AJ128" s="416"/>
      <c r="AK128" s="416"/>
      <c r="AL128" s="416"/>
      <c r="AM128" s="416"/>
      <c r="AN128" s="416"/>
      <c r="AO128" s="416"/>
      <c r="AP128" s="416"/>
      <c r="AQ128" s="416"/>
      <c r="AR128" s="416"/>
      <c r="AS128" s="416"/>
      <c r="AT128" s="416"/>
      <c r="AU128" s="416"/>
      <c r="AV128" s="416"/>
      <c r="AW128" s="416"/>
      <c r="AX128" s="416"/>
      <c r="AY128" s="416"/>
      <c r="AZ128" s="32"/>
    </row>
    <row r="129" spans="2:52">
      <c r="B129" s="1250" t="s">
        <v>670</v>
      </c>
      <c r="C129" s="1251"/>
      <c r="D129" s="411" t="s">
        <v>941</v>
      </c>
      <c r="E129" s="411"/>
      <c r="F129" s="411" t="s">
        <v>295</v>
      </c>
      <c r="G129" s="411" t="s">
        <v>296</v>
      </c>
      <c r="H129" s="412">
        <f>9965.194-2696.093</f>
        <v>7269.1009999999997</v>
      </c>
      <c r="I129" s="413" t="s">
        <v>934</v>
      </c>
      <c r="J129" s="414">
        <v>44994.75</v>
      </c>
      <c r="K129" s="414"/>
      <c r="L129" s="414" t="s">
        <v>192</v>
      </c>
      <c r="M129" s="414" t="s">
        <v>192</v>
      </c>
      <c r="N129" s="413" t="str">
        <f t="shared" si="6"/>
        <v>DELAY ( 4 day 22 hour 54 minute )</v>
      </c>
      <c r="O129" s="51"/>
      <c r="P129" s="415" t="s">
        <v>551</v>
      </c>
      <c r="Q129" s="415" t="s">
        <v>551</v>
      </c>
      <c r="R129" s="415" t="s">
        <v>551</v>
      </c>
      <c r="S129" s="32"/>
      <c r="T129" s="416"/>
      <c r="U129" s="416"/>
      <c r="V129" s="416"/>
      <c r="W129" s="416"/>
      <c r="X129" s="416"/>
      <c r="Y129" s="416"/>
      <c r="Z129" s="416"/>
      <c r="AA129" s="416"/>
      <c r="AB129" s="416">
        <f>(H129*0.6)</f>
        <v>4361.4605999999994</v>
      </c>
      <c r="AC129" s="416">
        <f>(H129*0.4)</f>
        <v>2907.6404000000002</v>
      </c>
      <c r="AD129" s="416"/>
      <c r="AE129" s="416"/>
      <c r="AF129" s="416"/>
      <c r="AG129" s="416"/>
      <c r="AH129" s="416"/>
      <c r="AI129" s="416"/>
      <c r="AJ129" s="416"/>
      <c r="AK129" s="416"/>
      <c r="AL129" s="416"/>
      <c r="AM129" s="416"/>
      <c r="AN129" s="416"/>
      <c r="AO129" s="416"/>
      <c r="AP129" s="416"/>
      <c r="AQ129" s="416"/>
      <c r="AR129" s="416"/>
      <c r="AS129" s="416"/>
      <c r="AT129" s="416"/>
      <c r="AU129" s="416"/>
      <c r="AV129" s="416"/>
      <c r="AW129" s="416"/>
      <c r="AX129" s="416"/>
      <c r="AY129" s="416"/>
      <c r="AZ129" s="32"/>
    </row>
    <row r="130" spans="2:52">
      <c r="B130" s="1252"/>
      <c r="C130" s="1253"/>
      <c r="D130" s="411"/>
      <c r="E130" s="411"/>
      <c r="F130" s="1256" t="s">
        <v>668</v>
      </c>
      <c r="G130" s="1257"/>
      <c r="H130" s="412">
        <f>1123-0.093</f>
        <v>1122.9069999999999</v>
      </c>
      <c r="I130" s="413"/>
      <c r="J130" s="414"/>
      <c r="K130" s="414"/>
      <c r="L130" s="414"/>
      <c r="M130" s="414"/>
      <c r="N130" s="413" t="str">
        <f t="shared" si="6"/>
        <v xml:space="preserve"> </v>
      </c>
      <c r="O130" s="51"/>
      <c r="P130" s="415"/>
      <c r="Q130" s="415"/>
      <c r="R130" s="415"/>
      <c r="S130" s="32"/>
      <c r="T130" s="416"/>
      <c r="U130" s="416"/>
      <c r="V130" s="416"/>
      <c r="W130" s="416"/>
      <c r="X130" s="416"/>
      <c r="Y130" s="416"/>
      <c r="Z130" s="416"/>
      <c r="AA130" s="416"/>
      <c r="AB130" s="416"/>
      <c r="AC130" s="416"/>
      <c r="AD130" s="416"/>
      <c r="AE130" s="416"/>
      <c r="AF130" s="416"/>
      <c r="AG130" s="416"/>
      <c r="AH130" s="416"/>
      <c r="AI130" s="416"/>
      <c r="AJ130" s="416"/>
      <c r="AK130" s="416"/>
      <c r="AL130" s="416"/>
      <c r="AM130" s="416"/>
      <c r="AN130" s="416"/>
      <c r="AO130" s="416"/>
      <c r="AP130" s="416"/>
      <c r="AQ130" s="416"/>
      <c r="AR130" s="416"/>
      <c r="AS130" s="416"/>
      <c r="AT130" s="416"/>
      <c r="AU130" s="416"/>
      <c r="AV130" s="416"/>
      <c r="AW130" s="416"/>
      <c r="AX130" s="416"/>
      <c r="AY130" s="416"/>
      <c r="AZ130" s="32"/>
    </row>
    <row r="131" spans="2:52">
      <c r="B131" s="1254"/>
      <c r="C131" s="1255"/>
      <c r="D131" s="411"/>
      <c r="E131" s="411"/>
      <c r="F131" s="1256" t="s">
        <v>616</v>
      </c>
      <c r="G131" s="1257"/>
      <c r="H131" s="412">
        <f>1277+0.514</f>
        <v>1277.5139999999999</v>
      </c>
      <c r="I131" s="413"/>
      <c r="J131" s="414"/>
      <c r="K131" s="414"/>
      <c r="L131" s="414"/>
      <c r="M131" s="414"/>
      <c r="N131" s="413" t="str">
        <f t="shared" si="6"/>
        <v xml:space="preserve"> </v>
      </c>
      <c r="O131" s="51"/>
      <c r="P131" s="415"/>
      <c r="Q131" s="415"/>
      <c r="R131" s="415"/>
      <c r="S131" s="32"/>
      <c r="T131" s="416"/>
      <c r="U131" s="416"/>
      <c r="V131" s="416"/>
      <c r="W131" s="416"/>
      <c r="X131" s="416"/>
      <c r="Y131" s="416"/>
      <c r="Z131" s="416"/>
      <c r="AA131" s="416"/>
      <c r="AB131" s="416"/>
      <c r="AC131" s="416"/>
      <c r="AD131" s="416"/>
      <c r="AE131" s="416"/>
      <c r="AF131" s="416"/>
      <c r="AG131" s="416"/>
      <c r="AH131" s="416"/>
      <c r="AI131" s="416"/>
      <c r="AJ131" s="416"/>
      <c r="AK131" s="416"/>
      <c r="AL131" s="416"/>
      <c r="AM131" s="416"/>
      <c r="AN131" s="416"/>
      <c r="AO131" s="416"/>
      <c r="AP131" s="416"/>
      <c r="AQ131" s="416"/>
      <c r="AR131" s="416"/>
      <c r="AS131" s="416"/>
      <c r="AT131" s="416"/>
      <c r="AU131" s="416"/>
      <c r="AV131" s="416"/>
      <c r="AW131" s="416"/>
      <c r="AX131" s="416"/>
      <c r="AY131" s="416"/>
      <c r="AZ131" s="32"/>
    </row>
    <row r="132" spans="2:52">
      <c r="B132" s="1258" t="s">
        <v>626</v>
      </c>
      <c r="C132" s="1259"/>
      <c r="D132" s="1259"/>
      <c r="E132" s="1259"/>
      <c r="F132" s="1259"/>
      <c r="G132" s="1260"/>
      <c r="H132" s="417">
        <f>H116+H118+H121+H126+H110+H113+H129+H123</f>
        <v>55960.578999999998</v>
      </c>
      <c r="I132" s="388"/>
      <c r="J132" s="293"/>
      <c r="K132" s="293"/>
      <c r="L132" s="293"/>
      <c r="M132" s="389"/>
      <c r="N132" s="413" t="str">
        <f t="shared" si="6"/>
        <v xml:space="preserve"> </v>
      </c>
      <c r="O132" s="47"/>
      <c r="P132" s="418"/>
      <c r="Q132" s="418"/>
      <c r="R132" s="418"/>
      <c r="S132" s="32"/>
      <c r="T132" s="1261"/>
      <c r="U132" s="1261"/>
      <c r="V132" s="1261"/>
      <c r="W132" s="1261"/>
      <c r="X132" s="1261"/>
      <c r="Y132" s="1261"/>
      <c r="Z132" s="1261"/>
      <c r="AA132" s="1261"/>
      <c r="AB132" s="1261"/>
      <c r="AC132" s="1261"/>
      <c r="AD132" s="1261"/>
      <c r="AE132" s="1261"/>
      <c r="AF132" s="1261"/>
      <c r="AG132" s="1261"/>
      <c r="AH132" s="1261"/>
      <c r="AI132" s="1261"/>
      <c r="AJ132" s="1261"/>
      <c r="AK132" s="1261"/>
      <c r="AL132" s="1261"/>
      <c r="AM132" s="1261"/>
      <c r="AN132" s="1261"/>
      <c r="AO132" s="1261"/>
      <c r="AP132" s="1261"/>
      <c r="AQ132" s="1261"/>
      <c r="AR132" s="1261"/>
      <c r="AS132" s="1261"/>
      <c r="AT132" s="1261"/>
      <c r="AU132" s="1261"/>
      <c r="AV132" s="1261"/>
      <c r="AW132" s="1261"/>
      <c r="AX132" s="1261"/>
      <c r="AY132" s="1261"/>
    </row>
    <row r="133" spans="2:52">
      <c r="B133" s="1258" t="s">
        <v>556</v>
      </c>
      <c r="C133" s="1259"/>
      <c r="D133" s="1259"/>
      <c r="E133" s="1259"/>
      <c r="F133" s="1259"/>
      <c r="G133" s="1260"/>
      <c r="H133" s="417">
        <f>H109+H132</f>
        <v>73500</v>
      </c>
      <c r="I133" s="388"/>
      <c r="J133" s="293"/>
      <c r="K133" s="293"/>
      <c r="L133" s="293"/>
      <c r="M133" s="389"/>
      <c r="N133" s="413" t="str">
        <f t="shared" si="6"/>
        <v xml:space="preserve"> </v>
      </c>
      <c r="O133" s="47"/>
      <c r="P133" s="418"/>
      <c r="Q133" s="418"/>
      <c r="R133" s="418"/>
      <c r="S133" s="32"/>
      <c r="T133" s="1262"/>
      <c r="U133" s="1263"/>
      <c r="V133" s="1263"/>
      <c r="W133" s="1263"/>
      <c r="X133" s="1263"/>
      <c r="Y133" s="1263"/>
      <c r="Z133" s="1263"/>
      <c r="AA133" s="1263"/>
      <c r="AB133" s="1263"/>
      <c r="AC133" s="1263"/>
      <c r="AD133" s="1263"/>
      <c r="AE133" s="1263"/>
      <c r="AF133" s="1263"/>
      <c r="AG133" s="1263"/>
      <c r="AH133" s="1263"/>
      <c r="AI133" s="1263"/>
      <c r="AJ133" s="1263"/>
      <c r="AK133" s="1263"/>
      <c r="AL133" s="1263"/>
      <c r="AM133" s="1263"/>
      <c r="AN133" s="1263"/>
      <c r="AO133" s="1263"/>
      <c r="AP133" s="1263"/>
      <c r="AQ133" s="1263"/>
      <c r="AR133" s="1263"/>
      <c r="AS133" s="1263"/>
      <c r="AT133" s="1263"/>
      <c r="AU133" s="1263"/>
      <c r="AV133" s="1263"/>
      <c r="AW133" s="1263"/>
      <c r="AX133" s="1263"/>
      <c r="AY133" s="1264"/>
    </row>
    <row r="134" spans="2:52">
      <c r="B134" s="1243" t="s">
        <v>557</v>
      </c>
      <c r="C134" s="1244"/>
      <c r="D134" s="1244"/>
      <c r="E134" s="1244"/>
      <c r="F134" s="1244"/>
      <c r="G134" s="1245"/>
      <c r="H134" s="419">
        <v>73500</v>
      </c>
      <c r="I134" s="1246"/>
      <c r="J134" s="1247"/>
      <c r="K134" s="1247"/>
      <c r="L134" s="1247"/>
      <c r="M134" s="1248"/>
      <c r="N134" s="413" t="str">
        <f t="shared" si="6"/>
        <v xml:space="preserve"> </v>
      </c>
      <c r="O134" s="32"/>
      <c r="P134" s="415"/>
      <c r="Q134" s="415"/>
      <c r="R134" s="415"/>
      <c r="S134" s="63"/>
      <c r="T134" s="416">
        <f t="shared" ref="T134:AY134" si="7">SUM(T106:T129)</f>
        <v>0</v>
      </c>
      <c r="U134" s="416">
        <f t="shared" si="7"/>
        <v>0</v>
      </c>
      <c r="V134" s="416">
        <f t="shared" si="7"/>
        <v>0</v>
      </c>
      <c r="W134" s="416">
        <f t="shared" si="7"/>
        <v>0</v>
      </c>
      <c r="X134" s="416">
        <f t="shared" si="7"/>
        <v>0</v>
      </c>
      <c r="Y134" s="416">
        <f t="shared" si="7"/>
        <v>7322.9070000000002</v>
      </c>
      <c r="Z134" s="416">
        <f t="shared" si="7"/>
        <v>0</v>
      </c>
      <c r="AA134" s="416">
        <f t="shared" si="7"/>
        <v>0</v>
      </c>
      <c r="AB134" s="416">
        <f t="shared" si="7"/>
        <v>34117.397400000002</v>
      </c>
      <c r="AC134" s="416">
        <f t="shared" si="7"/>
        <v>21843.1816</v>
      </c>
      <c r="AD134" s="416">
        <f t="shared" si="7"/>
        <v>0</v>
      </c>
      <c r="AE134" s="416">
        <f t="shared" si="7"/>
        <v>0</v>
      </c>
      <c r="AF134" s="416">
        <f t="shared" si="7"/>
        <v>0</v>
      </c>
      <c r="AG134" s="416">
        <f t="shared" si="7"/>
        <v>0</v>
      </c>
      <c r="AH134" s="416">
        <f t="shared" si="7"/>
        <v>0</v>
      </c>
      <c r="AI134" s="416">
        <f t="shared" si="7"/>
        <v>0</v>
      </c>
      <c r="AJ134" s="416">
        <f t="shared" si="7"/>
        <v>0</v>
      </c>
      <c r="AK134" s="416">
        <f t="shared" si="7"/>
        <v>0</v>
      </c>
      <c r="AL134" s="416">
        <f t="shared" si="7"/>
        <v>0</v>
      </c>
      <c r="AM134" s="416">
        <f t="shared" si="7"/>
        <v>0</v>
      </c>
      <c r="AN134" s="416">
        <f t="shared" si="7"/>
        <v>0</v>
      </c>
      <c r="AO134" s="416">
        <f t="shared" si="7"/>
        <v>0</v>
      </c>
      <c r="AP134" s="416">
        <f t="shared" si="7"/>
        <v>0</v>
      </c>
      <c r="AQ134" s="416">
        <f t="shared" si="7"/>
        <v>0</v>
      </c>
      <c r="AR134" s="416">
        <f t="shared" si="7"/>
        <v>0</v>
      </c>
      <c r="AS134" s="416">
        <f t="shared" si="7"/>
        <v>0</v>
      </c>
      <c r="AT134" s="416">
        <f t="shared" si="7"/>
        <v>5010.5360000000001</v>
      </c>
      <c r="AU134" s="416">
        <f t="shared" si="7"/>
        <v>0</v>
      </c>
      <c r="AV134" s="416">
        <f t="shared" si="7"/>
        <v>5205.9780000000001</v>
      </c>
      <c r="AW134" s="416">
        <f t="shared" si="7"/>
        <v>0</v>
      </c>
      <c r="AX134" s="416">
        <f t="shared" si="7"/>
        <v>0</v>
      </c>
      <c r="AY134" s="416">
        <f t="shared" si="7"/>
        <v>0</v>
      </c>
      <c r="AZ134" s="416">
        <f>SUM(T134:AY134)</f>
        <v>73500</v>
      </c>
    </row>
    <row r="135" spans="2:52">
      <c r="B135" s="1243" t="s">
        <v>558</v>
      </c>
      <c r="C135" s="1244"/>
      <c r="D135" s="1244"/>
      <c r="E135" s="1244"/>
      <c r="F135" s="1244"/>
      <c r="G135" s="1245"/>
      <c r="H135" s="420">
        <f>H134-L100</f>
        <v>0</v>
      </c>
      <c r="I135" s="294"/>
      <c r="J135" s="295"/>
      <c r="K135" s="295"/>
      <c r="L135" s="296"/>
      <c r="M135" s="32"/>
      <c r="N135" s="32"/>
      <c r="O135" s="32"/>
      <c r="P135" s="32"/>
      <c r="Q135" s="297"/>
      <c r="R135" s="297"/>
      <c r="S135" s="32"/>
      <c r="T135" s="48"/>
      <c r="U135" s="48"/>
      <c r="V135" s="48"/>
      <c r="W135" s="48"/>
      <c r="X135" s="48"/>
      <c r="Y135" s="48"/>
      <c r="Z135" s="48"/>
      <c r="AA135" s="48"/>
      <c r="AB135" s="48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</row>
    <row r="136" spans="2:52">
      <c r="B136" s="1243" t="s">
        <v>559</v>
      </c>
      <c r="C136" s="1244"/>
      <c r="D136" s="1244"/>
      <c r="E136" s="1244"/>
      <c r="F136" s="1244"/>
      <c r="G136" s="1245"/>
      <c r="H136" s="420">
        <v>2694.105</v>
      </c>
      <c r="I136" s="269">
        <v>3693</v>
      </c>
      <c r="J136" s="53"/>
      <c r="K136" s="53"/>
      <c r="L136" s="54"/>
      <c r="M136" s="32"/>
      <c r="N136" s="32"/>
      <c r="O136" s="32"/>
      <c r="P136" s="32"/>
      <c r="Q136" s="32"/>
      <c r="R136" s="32"/>
      <c r="S136" s="32"/>
      <c r="T136" s="48"/>
      <c r="U136" s="48"/>
      <c r="V136" s="48"/>
      <c r="W136" s="48"/>
      <c r="X136" s="48"/>
      <c r="Y136" s="48"/>
      <c r="Z136" s="48"/>
      <c r="AA136" s="48"/>
      <c r="AB136" s="48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</row>
    <row r="137" spans="2:52">
      <c r="B137" s="1243" t="s">
        <v>560</v>
      </c>
      <c r="C137" s="1244"/>
      <c r="D137" s="1244"/>
      <c r="E137" s="1244"/>
      <c r="F137" s="1244"/>
      <c r="G137" s="1245"/>
      <c r="H137" s="421">
        <f>H136-2696.093</f>
        <v>-1.987999999999829</v>
      </c>
      <c r="I137" s="270">
        <f>I136-H136</f>
        <v>998.89499999999998</v>
      </c>
      <c r="J137" s="53">
        <f>I93-I137</f>
        <v>1461.105</v>
      </c>
      <c r="K137" s="53"/>
      <c r="L137" s="54"/>
      <c r="M137" s="32"/>
      <c r="N137" s="32"/>
      <c r="O137" s="32"/>
      <c r="P137" s="32"/>
      <c r="Q137" s="32"/>
      <c r="R137" s="32"/>
      <c r="S137" s="48"/>
      <c r="T137" s="48"/>
      <c r="U137" s="48"/>
      <c r="V137" s="48"/>
      <c r="W137" s="48"/>
      <c r="X137" s="48"/>
      <c r="Y137" s="48"/>
      <c r="Z137" s="48"/>
      <c r="AA137" s="48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2:52">
      <c r="B138" s="32"/>
      <c r="C138" s="32"/>
      <c r="D138" s="32"/>
      <c r="E138" s="32"/>
      <c r="F138" s="32"/>
      <c r="G138" s="32"/>
      <c r="H138" s="32"/>
      <c r="I138" s="57"/>
      <c r="J138" s="52"/>
      <c r="K138" s="52"/>
      <c r="L138" s="55"/>
      <c r="M138" s="32"/>
      <c r="N138" s="32"/>
      <c r="O138" s="52"/>
      <c r="P138" s="32"/>
      <c r="Q138" s="32"/>
      <c r="R138" s="32"/>
      <c r="S138" s="32"/>
      <c r="T138" s="48"/>
      <c r="U138" s="48"/>
      <c r="V138" s="48"/>
      <c r="W138" s="48"/>
      <c r="X138" s="48"/>
      <c r="Y138" s="48"/>
      <c r="Z138" s="48"/>
      <c r="AA138" s="48"/>
      <c r="AB138" s="48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</row>
    <row r="139" spans="2:52">
      <c r="B139" s="40" t="s">
        <v>561</v>
      </c>
      <c r="C139" s="40"/>
      <c r="D139" s="32"/>
      <c r="E139" s="32"/>
      <c r="F139" s="32"/>
      <c r="G139" s="32"/>
      <c r="H139" s="32"/>
      <c r="I139" s="32"/>
      <c r="J139" s="52"/>
      <c r="K139" s="52"/>
      <c r="L139" s="55"/>
      <c r="M139" s="32"/>
      <c r="N139" s="32"/>
      <c r="O139" s="52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Z139" s="32"/>
    </row>
    <row r="140" spans="2:52">
      <c r="B140" s="422">
        <v>1</v>
      </c>
      <c r="C140" s="1249" t="s">
        <v>1137</v>
      </c>
      <c r="D140" s="1249"/>
      <c r="E140" s="1249"/>
      <c r="F140" s="1249"/>
      <c r="G140" s="1249"/>
      <c r="H140" s="1249"/>
      <c r="I140" s="1249"/>
      <c r="J140" s="1249"/>
      <c r="K140" s="1249"/>
      <c r="L140" s="55"/>
      <c r="M140" s="55"/>
      <c r="N140" s="32"/>
      <c r="O140" s="52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</row>
    <row r="142" spans="2:52">
      <c r="B142" s="28" t="s">
        <v>126</v>
      </c>
      <c r="C142" s="28"/>
      <c r="D142" s="29"/>
      <c r="E142" s="30" t="s">
        <v>511</v>
      </c>
      <c r="F142" s="31" t="s">
        <v>944</v>
      </c>
      <c r="G142" s="32"/>
      <c r="H142" s="33"/>
      <c r="I142" s="34"/>
      <c r="J142" s="35" t="s">
        <v>513</v>
      </c>
      <c r="K142" s="36" t="s">
        <v>511</v>
      </c>
      <c r="L142" s="37">
        <v>44996.430555555555</v>
      </c>
      <c r="M142" s="32"/>
      <c r="N142" s="32"/>
      <c r="O142" s="206"/>
      <c r="P142" s="205"/>
      <c r="Q142" s="202"/>
      <c r="R142" s="204"/>
      <c r="S142" s="38"/>
      <c r="T142" s="201"/>
      <c r="U142" s="201"/>
      <c r="V142" s="201"/>
      <c r="W142" s="201"/>
      <c r="X142" s="201"/>
      <c r="Y142" s="201"/>
      <c r="Z142" s="201"/>
      <c r="AA142" s="201"/>
      <c r="AB142" s="202"/>
      <c r="AC142" s="202"/>
      <c r="AD142" s="202"/>
      <c r="AE142" s="202"/>
      <c r="AF142" s="202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201"/>
      <c r="AU142" s="201"/>
      <c r="AV142" s="201"/>
      <c r="AW142" s="201"/>
      <c r="AX142" s="201"/>
      <c r="AY142" s="201"/>
      <c r="AZ142" s="201"/>
    </row>
    <row r="143" spans="2:52">
      <c r="B143" s="35" t="s">
        <v>514</v>
      </c>
      <c r="C143" s="35"/>
      <c r="D143" s="32"/>
      <c r="E143" s="36" t="s">
        <v>511</v>
      </c>
      <c r="F143" s="37" t="s">
        <v>1138</v>
      </c>
      <c r="G143" s="32"/>
      <c r="H143" s="33"/>
      <c r="I143" s="34"/>
      <c r="J143" s="35" t="s">
        <v>516</v>
      </c>
      <c r="K143" s="36" t="s">
        <v>511</v>
      </c>
      <c r="L143" s="37">
        <v>44997.9375</v>
      </c>
      <c r="M143" s="32"/>
      <c r="N143" s="32"/>
      <c r="O143" s="206"/>
      <c r="P143" s="205"/>
      <c r="Q143" s="202"/>
      <c r="R143" s="204"/>
      <c r="S143" s="38"/>
      <c r="T143" s="201"/>
      <c r="U143" s="201"/>
      <c r="V143" s="201"/>
      <c r="W143" s="201"/>
      <c r="X143" s="201"/>
      <c r="Y143" s="201"/>
      <c r="Z143" s="201"/>
      <c r="AA143" s="201"/>
      <c r="AB143" s="202"/>
      <c r="AC143" s="202"/>
      <c r="AD143" s="202"/>
      <c r="AE143" s="202"/>
      <c r="AF143" s="202"/>
      <c r="AG143" s="201"/>
      <c r="AH143" s="201"/>
      <c r="AI143" s="201"/>
      <c r="AJ143" s="201"/>
      <c r="AK143" s="201"/>
      <c r="AL143" s="201"/>
      <c r="AM143" s="201"/>
      <c r="AN143" s="201"/>
      <c r="AO143" s="201"/>
      <c r="AP143" s="201"/>
      <c r="AQ143" s="201"/>
      <c r="AR143" s="201"/>
      <c r="AS143" s="201"/>
      <c r="AT143" s="201"/>
      <c r="AU143" s="201"/>
      <c r="AV143" s="201"/>
      <c r="AW143" s="201"/>
      <c r="AX143" s="201"/>
      <c r="AY143" s="201"/>
      <c r="AZ143" s="201"/>
    </row>
    <row r="144" spans="2:52">
      <c r="B144" s="35" t="s">
        <v>517</v>
      </c>
      <c r="C144" s="35"/>
      <c r="D144" s="32"/>
      <c r="E144" s="36" t="s">
        <v>511</v>
      </c>
      <c r="F144" s="37">
        <v>44992.416666666664</v>
      </c>
      <c r="G144" s="32"/>
      <c r="H144" s="33"/>
      <c r="I144" s="34"/>
      <c r="J144" s="35" t="s">
        <v>518</v>
      </c>
      <c r="K144" s="36" t="s">
        <v>511</v>
      </c>
      <c r="L144" s="50">
        <v>52504.000000000007</v>
      </c>
      <c r="M144" s="40" t="s">
        <v>519</v>
      </c>
      <c r="N144" s="40"/>
      <c r="O144" s="206"/>
      <c r="P144" s="205"/>
      <c r="Q144" s="202"/>
      <c r="R144" s="204"/>
      <c r="S144" s="38"/>
      <c r="T144" s="201"/>
      <c r="U144" s="201"/>
      <c r="V144" s="201"/>
      <c r="W144" s="201"/>
      <c r="X144" s="201"/>
      <c r="Y144" s="201"/>
      <c r="Z144" s="201"/>
      <c r="AA144" s="201"/>
      <c r="AB144" s="202"/>
      <c r="AC144" s="202"/>
      <c r="AD144" s="202"/>
      <c r="AE144" s="202"/>
      <c r="AF144" s="202"/>
      <c r="AG144" s="201"/>
      <c r="AH144" s="201"/>
      <c r="AI144" s="201"/>
      <c r="AJ144" s="201"/>
      <c r="AK144" s="201"/>
      <c r="AL144" s="201"/>
      <c r="AM144" s="201"/>
      <c r="AN144" s="201"/>
      <c r="AO144" s="201"/>
      <c r="AP144" s="201"/>
      <c r="AQ144" s="201"/>
      <c r="AR144" s="201"/>
      <c r="AS144" s="201"/>
      <c r="AT144" s="201"/>
      <c r="AU144" s="201"/>
      <c r="AV144" s="201"/>
      <c r="AW144" s="201"/>
      <c r="AX144" s="201"/>
      <c r="AY144" s="201"/>
      <c r="AZ144" s="201"/>
    </row>
    <row r="145" spans="2:52">
      <c r="B145" s="35" t="s">
        <v>520</v>
      </c>
      <c r="C145" s="35"/>
      <c r="D145" s="32"/>
      <c r="E145" s="36" t="s">
        <v>511</v>
      </c>
      <c r="F145" s="37" t="s">
        <v>12</v>
      </c>
      <c r="G145" s="32"/>
      <c r="H145" s="33"/>
      <c r="I145" s="34"/>
      <c r="J145" s="35" t="s">
        <v>521</v>
      </c>
      <c r="K145" s="36" t="s">
        <v>511</v>
      </c>
      <c r="L145" s="41" t="s">
        <v>1139</v>
      </c>
      <c r="M145" s="32"/>
      <c r="N145" s="32"/>
      <c r="O145" s="206"/>
      <c r="P145" s="202"/>
      <c r="Q145" s="202"/>
      <c r="R145" s="204"/>
      <c r="S145" s="38"/>
      <c r="T145" s="201"/>
      <c r="U145" s="201"/>
      <c r="V145" s="201"/>
      <c r="W145" s="201"/>
      <c r="X145" s="201"/>
      <c r="Y145" s="201"/>
      <c r="Z145" s="201"/>
      <c r="AA145" s="201"/>
      <c r="AB145" s="202"/>
      <c r="AC145" s="202"/>
      <c r="AD145" s="202"/>
      <c r="AE145" s="202"/>
      <c r="AF145" s="202"/>
      <c r="AG145" s="201"/>
      <c r="AH145" s="201"/>
      <c r="AI145" s="201"/>
      <c r="AJ145" s="201"/>
      <c r="AK145" s="201"/>
      <c r="AL145" s="201"/>
      <c r="AM145" s="201"/>
      <c r="AN145" s="201"/>
      <c r="AO145" s="201"/>
      <c r="AP145" s="201"/>
      <c r="AQ145" s="201"/>
      <c r="AR145" s="201"/>
      <c r="AS145" s="201"/>
      <c r="AT145" s="201"/>
      <c r="AU145" s="201"/>
      <c r="AV145" s="201"/>
      <c r="AW145" s="201"/>
      <c r="AX145" s="201"/>
      <c r="AY145" s="201"/>
      <c r="AZ145" s="201"/>
    </row>
    <row r="146" spans="2:52">
      <c r="B146" s="35" t="s">
        <v>523</v>
      </c>
      <c r="C146" s="35"/>
      <c r="D146" s="32"/>
      <c r="E146" s="36" t="s">
        <v>511</v>
      </c>
      <c r="F146" s="37" t="s">
        <v>32</v>
      </c>
      <c r="G146" s="32"/>
      <c r="H146" s="33"/>
      <c r="I146" s="34"/>
      <c r="J146" s="42" t="s">
        <v>524</v>
      </c>
      <c r="K146" s="36" t="s">
        <v>511</v>
      </c>
      <c r="L146" s="43" t="s">
        <v>15</v>
      </c>
      <c r="M146" s="44"/>
      <c r="N146" s="44"/>
      <c r="O146" s="206"/>
      <c r="P146" s="205"/>
      <c r="Q146" s="202"/>
      <c r="R146" s="204"/>
      <c r="S146" s="38"/>
      <c r="T146" s="201"/>
      <c r="U146" s="201"/>
      <c r="V146" s="201"/>
      <c r="W146" s="201"/>
      <c r="X146" s="201"/>
      <c r="Y146" s="201"/>
      <c r="Z146" s="201"/>
      <c r="AA146" s="201"/>
      <c r="AB146" s="202"/>
      <c r="AC146" s="202"/>
      <c r="AD146" s="202"/>
      <c r="AE146" s="202"/>
      <c r="AF146" s="202"/>
      <c r="AG146" s="201"/>
      <c r="AH146" s="201"/>
      <c r="AI146" s="201"/>
      <c r="AJ146" s="201"/>
      <c r="AK146" s="201"/>
      <c r="AL146" s="201"/>
      <c r="AM146" s="201"/>
      <c r="AN146" s="201"/>
      <c r="AO146" s="201"/>
      <c r="AP146" s="201"/>
      <c r="AQ146" s="201"/>
      <c r="AR146" s="201"/>
      <c r="AS146" s="201"/>
      <c r="AT146" s="201"/>
      <c r="AU146" s="201"/>
      <c r="AV146" s="201"/>
      <c r="AW146" s="201"/>
      <c r="AX146" s="201"/>
      <c r="AY146" s="201"/>
      <c r="AZ146" s="201"/>
    </row>
    <row r="147" spans="2:52">
      <c r="B147" s="35" t="s">
        <v>2</v>
      </c>
      <c r="C147" s="35"/>
      <c r="D147" s="32"/>
      <c r="E147" s="36" t="s">
        <v>511</v>
      </c>
      <c r="F147" s="37" t="s">
        <v>44</v>
      </c>
      <c r="G147" s="32"/>
      <c r="H147" s="33"/>
      <c r="I147" s="45"/>
      <c r="J147" s="42"/>
      <c r="K147" s="36"/>
      <c r="L147" s="211"/>
      <c r="M147" s="201"/>
      <c r="N147" s="201"/>
      <c r="O147" s="42"/>
      <c r="P147" s="44"/>
      <c r="Q147" s="44"/>
      <c r="R147" s="44"/>
      <c r="S147" s="34"/>
      <c r="T147" s="201"/>
      <c r="U147" s="201"/>
      <c r="V147" s="201"/>
      <c r="W147" s="201"/>
      <c r="X147" s="201"/>
      <c r="Y147" s="201"/>
      <c r="Z147" s="201"/>
      <c r="AA147" s="201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201"/>
      <c r="AP147" s="201"/>
      <c r="AQ147" s="201"/>
      <c r="AR147" s="201"/>
      <c r="AS147" s="201"/>
      <c r="AT147" s="201"/>
      <c r="AU147" s="201"/>
      <c r="AV147" s="201"/>
      <c r="AW147" s="201"/>
      <c r="AX147" s="201"/>
      <c r="AY147" s="201"/>
      <c r="AZ147" s="201"/>
    </row>
    <row r="148" spans="2:52">
      <c r="B148" s="201"/>
      <c r="C148" s="201"/>
      <c r="D148" s="201"/>
      <c r="E148" s="201"/>
      <c r="F148" s="201"/>
      <c r="G148" s="201"/>
      <c r="H148" s="201"/>
      <c r="I148" s="45"/>
      <c r="J148" s="42"/>
      <c r="K148" s="42"/>
      <c r="L148" s="43"/>
      <c r="M148" s="44"/>
      <c r="N148" s="44"/>
      <c r="O148" s="42"/>
      <c r="P148" s="44"/>
      <c r="Q148" s="44"/>
      <c r="R148" s="44"/>
      <c r="S148" s="34"/>
      <c r="T148" s="1265" t="s">
        <v>87</v>
      </c>
      <c r="U148" s="1265"/>
      <c r="V148" s="1265"/>
      <c r="W148" s="1265"/>
      <c r="X148" s="1265"/>
      <c r="Y148" s="1265" t="s">
        <v>73</v>
      </c>
      <c r="Z148" s="1265"/>
      <c r="AA148" s="1265"/>
      <c r="AB148" s="1265" t="s">
        <v>74</v>
      </c>
      <c r="AC148" s="1265"/>
      <c r="AD148" s="423" t="s">
        <v>85</v>
      </c>
      <c r="AE148" s="423" t="s">
        <v>77</v>
      </c>
      <c r="AF148" s="1265" t="s">
        <v>525</v>
      </c>
      <c r="AG148" s="1265"/>
      <c r="AH148" s="1265"/>
      <c r="AI148" s="1265"/>
      <c r="AJ148" s="1265"/>
      <c r="AK148" s="1265"/>
      <c r="AL148" s="1265"/>
      <c r="AM148" s="1265"/>
      <c r="AN148" s="1265"/>
      <c r="AO148" s="1265"/>
      <c r="AP148" s="1265"/>
      <c r="AQ148" s="1265"/>
      <c r="AR148" s="1265"/>
      <c r="AS148" s="1265"/>
      <c r="AT148" s="1265"/>
      <c r="AU148" s="1265"/>
      <c r="AV148" s="1265"/>
      <c r="AW148" s="1265"/>
      <c r="AX148" s="1265"/>
      <c r="AY148" s="1265"/>
      <c r="AZ148" s="201"/>
    </row>
    <row r="149" spans="2:52">
      <c r="B149" s="1266" t="s">
        <v>526</v>
      </c>
      <c r="C149" s="1267"/>
      <c r="D149" s="570" t="s">
        <v>527</v>
      </c>
      <c r="E149" s="570"/>
      <c r="F149" s="570" t="s">
        <v>528</v>
      </c>
      <c r="G149" s="570" t="s">
        <v>529</v>
      </c>
      <c r="H149" s="570" t="s">
        <v>530</v>
      </c>
      <c r="I149" s="570" t="s">
        <v>531</v>
      </c>
      <c r="J149" s="570" t="s">
        <v>532</v>
      </c>
      <c r="K149" s="570"/>
      <c r="L149" s="570" t="s">
        <v>130</v>
      </c>
      <c r="M149" s="570" t="s">
        <v>533</v>
      </c>
      <c r="N149" s="408" t="str">
        <f>"On time - "&amp;COUNTIF(N150:N159,"On time")&amp;" from "&amp;ROWS(N150:N159)-COUNTIF(N150:N159," ")</f>
        <v>On time - 0 from 7</v>
      </c>
      <c r="O149" s="46"/>
      <c r="P149" s="409" t="s">
        <v>534</v>
      </c>
      <c r="Q149" s="409" t="s">
        <v>535</v>
      </c>
      <c r="R149" s="409" t="s">
        <v>536</v>
      </c>
      <c r="S149" s="32"/>
      <c r="T149" s="424" t="s">
        <v>537</v>
      </c>
      <c r="U149" s="424" t="s">
        <v>538</v>
      </c>
      <c r="V149" s="424" t="s">
        <v>539</v>
      </c>
      <c r="W149" s="424" t="s">
        <v>540</v>
      </c>
      <c r="X149" s="424" t="s">
        <v>541</v>
      </c>
      <c r="Y149" s="424" t="s">
        <v>167</v>
      </c>
      <c r="Z149" s="424" t="s">
        <v>168</v>
      </c>
      <c r="AA149" s="424" t="s">
        <v>169</v>
      </c>
      <c r="AB149" s="424" t="s">
        <v>235</v>
      </c>
      <c r="AC149" s="424" t="s">
        <v>240</v>
      </c>
      <c r="AD149" s="423" t="s">
        <v>85</v>
      </c>
      <c r="AE149" s="424" t="s">
        <v>139</v>
      </c>
      <c r="AF149" s="424" t="s">
        <v>72</v>
      </c>
      <c r="AG149" s="424" t="s">
        <v>88</v>
      </c>
      <c r="AH149" s="424" t="s">
        <v>75</v>
      </c>
      <c r="AI149" s="424" t="s">
        <v>543</v>
      </c>
      <c r="AJ149" s="424" t="s">
        <v>78</v>
      </c>
      <c r="AK149" s="424" t="s">
        <v>76</v>
      </c>
      <c r="AL149" s="424" t="s">
        <v>544</v>
      </c>
      <c r="AM149" s="424" t="s">
        <v>545</v>
      </c>
      <c r="AN149" s="424" t="s">
        <v>86</v>
      </c>
      <c r="AO149" s="424" t="s">
        <v>83</v>
      </c>
      <c r="AP149" s="424" t="s">
        <v>84</v>
      </c>
      <c r="AQ149" s="424" t="s">
        <v>546</v>
      </c>
      <c r="AR149" s="424" t="s">
        <v>81</v>
      </c>
      <c r="AS149" s="424" t="s">
        <v>80</v>
      </c>
      <c r="AT149" s="424" t="s">
        <v>82</v>
      </c>
      <c r="AU149" s="424" t="s">
        <v>181</v>
      </c>
      <c r="AV149" s="424" t="s">
        <v>183</v>
      </c>
      <c r="AW149" s="424" t="s">
        <v>547</v>
      </c>
      <c r="AX149" s="424" t="s">
        <v>182</v>
      </c>
      <c r="AY149" s="424" t="s">
        <v>172</v>
      </c>
      <c r="AZ149" s="201"/>
    </row>
    <row r="150" spans="2:52">
      <c r="B150" s="1256" t="s">
        <v>548</v>
      </c>
      <c r="C150" s="1257"/>
      <c r="D150" s="411" t="s">
        <v>1051</v>
      </c>
      <c r="E150" s="411"/>
      <c r="F150" s="411" t="s">
        <v>304</v>
      </c>
      <c r="G150" s="411" t="s">
        <v>305</v>
      </c>
      <c r="H150" s="412">
        <v>7500</v>
      </c>
      <c r="I150" s="413" t="s">
        <v>76</v>
      </c>
      <c r="J150" s="414">
        <v>44994.416666666664</v>
      </c>
      <c r="K150" s="414"/>
      <c r="L150" s="414" t="s">
        <v>192</v>
      </c>
      <c r="M150" s="414" t="s">
        <v>192</v>
      </c>
      <c r="N150" s="413" t="str">
        <f>IF(ISBLANK(J150)," ",IF(J150&lt;$F$144,"On time",(IF(DAY(J150-$F$144)&lt;1,"On time",(IF(J150&gt;$F$144,"DELAY ( "&amp;DAY(J150-$F$144)&amp;" day "&amp;HOUR(J150-$F$144)&amp;" hour "&amp;MINUTE(J150-$F$144)&amp;" minute )","xxx"))))))</f>
        <v>DELAY ( 2 day 0 hour 0 minute )</v>
      </c>
      <c r="O150" s="51"/>
      <c r="P150" s="415" t="s">
        <v>551</v>
      </c>
      <c r="Q150" s="415" t="s">
        <v>551</v>
      </c>
      <c r="R150" s="415" t="s">
        <v>551</v>
      </c>
      <c r="S150" s="32"/>
      <c r="T150" s="416"/>
      <c r="U150" s="416"/>
      <c r="V150" s="416"/>
      <c r="W150" s="416"/>
      <c r="X150" s="416"/>
      <c r="Y150" s="416"/>
      <c r="Z150" s="416"/>
      <c r="AA150" s="416"/>
      <c r="AB150" s="416"/>
      <c r="AC150" s="416"/>
      <c r="AD150" s="416"/>
      <c r="AE150" s="416"/>
      <c r="AF150" s="416"/>
      <c r="AG150" s="416"/>
      <c r="AH150" s="416"/>
      <c r="AI150" s="416"/>
      <c r="AJ150" s="416"/>
      <c r="AK150" s="416">
        <f>H150</f>
        <v>7500</v>
      </c>
      <c r="AL150" s="416"/>
      <c r="AM150" s="416"/>
      <c r="AN150" s="416"/>
      <c r="AO150" s="416"/>
      <c r="AP150" s="416"/>
      <c r="AQ150" s="416"/>
      <c r="AR150" s="416"/>
      <c r="AS150" s="416"/>
      <c r="AT150" s="416"/>
      <c r="AU150" s="416"/>
      <c r="AV150" s="416"/>
      <c r="AW150" s="416"/>
      <c r="AX150" s="416"/>
      <c r="AY150" s="416"/>
      <c r="AZ150" s="32"/>
    </row>
    <row r="151" spans="2:52">
      <c r="B151" s="1250" t="s">
        <v>911</v>
      </c>
      <c r="C151" s="1251"/>
      <c r="D151" s="411" t="s">
        <v>1041</v>
      </c>
      <c r="E151" s="425"/>
      <c r="F151" s="411" t="s">
        <v>763</v>
      </c>
      <c r="G151" s="411" t="s">
        <v>454</v>
      </c>
      <c r="H151" s="412">
        <f>7701.915/4</f>
        <v>1925.47875</v>
      </c>
      <c r="I151" s="413" t="s">
        <v>181</v>
      </c>
      <c r="J151" s="414">
        <v>44993.8125</v>
      </c>
      <c r="K151" s="414"/>
      <c r="L151" s="414" t="s">
        <v>192</v>
      </c>
      <c r="M151" s="414" t="s">
        <v>192</v>
      </c>
      <c r="N151" s="413" t="str">
        <f t="shared" ref="N151:N161" si="8">IF(ISBLANK(J151)," ",IF(J151&lt;$F$144,"On time",(IF(DAY(J151-$F$144)&lt;1,"On time",(IF(J151&gt;$F$144,"DELAY ( "&amp;DAY(J151-$F$144)&amp;" day "&amp;HOUR(J151-$F$144)&amp;" hour "&amp;MINUTE(J151-$F$144)&amp;" minute )","xxx"))))))</f>
        <v>DELAY ( 1 day 9 hour 30 minute )</v>
      </c>
      <c r="O151" s="51"/>
      <c r="P151" s="415" t="s">
        <v>551</v>
      </c>
      <c r="Q151" s="415" t="s">
        <v>551</v>
      </c>
      <c r="R151" s="415" t="s">
        <v>551</v>
      </c>
      <c r="S151" s="32"/>
      <c r="T151" s="416"/>
      <c r="U151" s="416"/>
      <c r="V151" s="416"/>
      <c r="W151" s="416"/>
      <c r="X151" s="416"/>
      <c r="Y151" s="416"/>
      <c r="Z151" s="416"/>
      <c r="AA151" s="416"/>
      <c r="AB151" s="416"/>
      <c r="AC151" s="416"/>
      <c r="AD151" s="416"/>
      <c r="AE151" s="416"/>
      <c r="AF151" s="416"/>
      <c r="AG151" s="416"/>
      <c r="AH151" s="416"/>
      <c r="AI151" s="416"/>
      <c r="AJ151" s="416"/>
      <c r="AK151" s="416"/>
      <c r="AL151" s="416"/>
      <c r="AM151" s="416"/>
      <c r="AN151" s="416"/>
      <c r="AO151" s="416"/>
      <c r="AP151" s="416"/>
      <c r="AQ151" s="416"/>
      <c r="AR151" s="416"/>
      <c r="AS151" s="416"/>
      <c r="AT151" s="416"/>
      <c r="AU151" s="416">
        <f>H151</f>
        <v>1925.47875</v>
      </c>
      <c r="AV151" s="416"/>
      <c r="AW151" s="416"/>
      <c r="AX151" s="416"/>
      <c r="AY151" s="416"/>
      <c r="AZ151" s="32"/>
    </row>
    <row r="152" spans="2:52">
      <c r="B152" s="1254"/>
      <c r="C152" s="1255"/>
      <c r="D152" s="411" t="s">
        <v>945</v>
      </c>
      <c r="E152" s="411"/>
      <c r="F152" s="411" t="s">
        <v>361</v>
      </c>
      <c r="G152" s="411" t="s">
        <v>362</v>
      </c>
      <c r="H152" s="412">
        <v>7520.4080000000004</v>
      </c>
      <c r="I152" s="413" t="s">
        <v>418</v>
      </c>
      <c r="J152" s="414">
        <v>44994.458333333336</v>
      </c>
      <c r="K152" s="414"/>
      <c r="L152" s="414" t="s">
        <v>192</v>
      </c>
      <c r="M152" s="414" t="s">
        <v>192</v>
      </c>
      <c r="N152" s="413" t="str">
        <f t="shared" si="8"/>
        <v>DELAY ( 2 day 1 hour 0 minute )</v>
      </c>
      <c r="O152" s="51"/>
      <c r="P152" s="415" t="s">
        <v>551</v>
      </c>
      <c r="Q152" s="415" t="s">
        <v>551</v>
      </c>
      <c r="R152" s="415" t="s">
        <v>551</v>
      </c>
      <c r="S152" s="32"/>
      <c r="T152" s="416"/>
      <c r="U152" s="416"/>
      <c r="V152" s="416"/>
      <c r="W152" s="416"/>
      <c r="X152" s="416"/>
      <c r="Y152" s="416"/>
      <c r="Z152" s="416"/>
      <c r="AA152" s="416"/>
      <c r="AB152" s="416">
        <f>H152*0.55</f>
        <v>4136.224400000001</v>
      </c>
      <c r="AC152" s="416">
        <f>H152*0.45</f>
        <v>3384.1836000000003</v>
      </c>
      <c r="AD152" s="416"/>
      <c r="AE152" s="416"/>
      <c r="AF152" s="416"/>
      <c r="AG152" s="416"/>
      <c r="AH152" s="416"/>
      <c r="AI152" s="416"/>
      <c r="AJ152" s="416"/>
      <c r="AK152" s="416"/>
      <c r="AL152" s="416"/>
      <c r="AM152" s="416"/>
      <c r="AN152" s="416"/>
      <c r="AO152" s="416"/>
      <c r="AP152" s="416"/>
      <c r="AQ152" s="416"/>
      <c r="AR152" s="416"/>
      <c r="AS152" s="416"/>
      <c r="AT152" s="416"/>
      <c r="AU152" s="416"/>
      <c r="AV152" s="416"/>
      <c r="AW152" s="416"/>
      <c r="AX152" s="416"/>
      <c r="AY152" s="416"/>
      <c r="AZ152" s="32"/>
    </row>
    <row r="153" spans="2:52">
      <c r="B153" s="1250" t="s">
        <v>911</v>
      </c>
      <c r="C153" s="1251"/>
      <c r="D153" s="411" t="s">
        <v>1041</v>
      </c>
      <c r="E153" s="425"/>
      <c r="F153" s="411" t="s">
        <v>763</v>
      </c>
      <c r="G153" s="411" t="s">
        <v>454</v>
      </c>
      <c r="H153" s="412">
        <f>H151</f>
        <v>1925.47875</v>
      </c>
      <c r="I153" s="413" t="s">
        <v>181</v>
      </c>
      <c r="J153" s="414"/>
      <c r="K153" s="414"/>
      <c r="L153" s="414" t="s">
        <v>192</v>
      </c>
      <c r="M153" s="414" t="s">
        <v>192</v>
      </c>
      <c r="N153" s="413" t="str">
        <f t="shared" si="8"/>
        <v xml:space="preserve"> </v>
      </c>
      <c r="O153" s="51"/>
      <c r="P153" s="415" t="s">
        <v>551</v>
      </c>
      <c r="Q153" s="415" t="s">
        <v>551</v>
      </c>
      <c r="R153" s="415" t="s">
        <v>551</v>
      </c>
      <c r="S153" s="32"/>
      <c r="T153" s="416"/>
      <c r="U153" s="416"/>
      <c r="V153" s="416"/>
      <c r="W153" s="416"/>
      <c r="X153" s="416"/>
      <c r="Y153" s="416"/>
      <c r="Z153" s="416"/>
      <c r="AA153" s="416"/>
      <c r="AB153" s="416"/>
      <c r="AC153" s="416"/>
      <c r="AD153" s="416"/>
      <c r="AE153" s="416"/>
      <c r="AF153" s="416"/>
      <c r="AG153" s="416"/>
      <c r="AH153" s="416"/>
      <c r="AI153" s="416"/>
      <c r="AJ153" s="416"/>
      <c r="AK153" s="416"/>
      <c r="AL153" s="416"/>
      <c r="AM153" s="416"/>
      <c r="AN153" s="416"/>
      <c r="AO153" s="416"/>
      <c r="AP153" s="416"/>
      <c r="AQ153" s="416"/>
      <c r="AR153" s="416"/>
      <c r="AS153" s="416"/>
      <c r="AT153" s="416"/>
      <c r="AU153" s="416">
        <f>H153</f>
        <v>1925.47875</v>
      </c>
      <c r="AV153" s="416"/>
      <c r="AW153" s="416"/>
      <c r="AX153" s="416"/>
      <c r="AY153" s="416"/>
      <c r="AZ153" s="32"/>
    </row>
    <row r="154" spans="2:52">
      <c r="B154" s="1254"/>
      <c r="C154" s="1255"/>
      <c r="D154" s="411" t="s">
        <v>947</v>
      </c>
      <c r="E154" s="411"/>
      <c r="F154" s="411" t="s">
        <v>364</v>
      </c>
      <c r="G154" s="411" t="s">
        <v>365</v>
      </c>
      <c r="H154" s="412">
        <v>7502.21</v>
      </c>
      <c r="I154" s="413" t="s">
        <v>418</v>
      </c>
      <c r="J154" s="414">
        <v>44994.708333333336</v>
      </c>
      <c r="K154" s="414"/>
      <c r="L154" s="414" t="s">
        <v>192</v>
      </c>
      <c r="M154" s="414" t="s">
        <v>192</v>
      </c>
      <c r="N154" s="413" t="str">
        <f t="shared" si="8"/>
        <v>DELAY ( 2 day 7 hour 0 minute )</v>
      </c>
      <c r="O154" s="51"/>
      <c r="P154" s="415" t="s">
        <v>551</v>
      </c>
      <c r="Q154" s="415" t="s">
        <v>551</v>
      </c>
      <c r="R154" s="415" t="s">
        <v>551</v>
      </c>
      <c r="S154" s="32"/>
      <c r="T154" s="416"/>
      <c r="U154" s="416"/>
      <c r="V154" s="416"/>
      <c r="W154" s="416"/>
      <c r="X154" s="416"/>
      <c r="Y154" s="416"/>
      <c r="Z154" s="416"/>
      <c r="AA154" s="416"/>
      <c r="AB154" s="416">
        <f>H154*0.55</f>
        <v>4126.2155000000002</v>
      </c>
      <c r="AC154" s="416">
        <f>H154*0.45</f>
        <v>3375.9945000000002</v>
      </c>
      <c r="AD154" s="416"/>
      <c r="AE154" s="416"/>
      <c r="AF154" s="416"/>
      <c r="AG154" s="416"/>
      <c r="AH154" s="416"/>
      <c r="AI154" s="416"/>
      <c r="AJ154" s="416"/>
      <c r="AK154" s="416"/>
      <c r="AL154" s="416"/>
      <c r="AM154" s="416"/>
      <c r="AN154" s="416"/>
      <c r="AO154" s="416"/>
      <c r="AP154" s="416"/>
      <c r="AQ154" s="416"/>
      <c r="AR154" s="416"/>
      <c r="AS154" s="416"/>
      <c r="AT154" s="416"/>
      <c r="AU154" s="416"/>
      <c r="AV154" s="416"/>
      <c r="AW154" s="416"/>
      <c r="AX154" s="416"/>
      <c r="AY154" s="416"/>
      <c r="AZ154" s="32"/>
    </row>
    <row r="155" spans="2:52">
      <c r="B155" s="1250" t="s">
        <v>911</v>
      </c>
      <c r="C155" s="1251"/>
      <c r="D155" s="411" t="s">
        <v>1041</v>
      </c>
      <c r="E155" s="425"/>
      <c r="F155" s="411" t="s">
        <v>763</v>
      </c>
      <c r="G155" s="411" t="s">
        <v>454</v>
      </c>
      <c r="H155" s="412">
        <f>H153</f>
        <v>1925.47875</v>
      </c>
      <c r="I155" s="413" t="s">
        <v>181</v>
      </c>
      <c r="J155" s="414"/>
      <c r="K155" s="414"/>
      <c r="L155" s="414" t="s">
        <v>192</v>
      </c>
      <c r="M155" s="414" t="s">
        <v>192</v>
      </c>
      <c r="N155" s="413" t="str">
        <f t="shared" si="8"/>
        <v xml:space="preserve"> </v>
      </c>
      <c r="O155" s="51"/>
      <c r="P155" s="415" t="s">
        <v>551</v>
      </c>
      <c r="Q155" s="415" t="s">
        <v>551</v>
      </c>
      <c r="R155" s="415" t="s">
        <v>551</v>
      </c>
      <c r="S155" s="32"/>
      <c r="T155" s="416"/>
      <c r="U155" s="416"/>
      <c r="V155" s="416"/>
      <c r="W155" s="416"/>
      <c r="X155" s="416"/>
      <c r="Y155" s="416"/>
      <c r="Z155" s="416"/>
      <c r="AA155" s="416"/>
      <c r="AB155" s="416"/>
      <c r="AC155" s="416"/>
      <c r="AD155" s="416"/>
      <c r="AE155" s="416"/>
      <c r="AF155" s="416"/>
      <c r="AG155" s="416"/>
      <c r="AH155" s="416"/>
      <c r="AI155" s="416"/>
      <c r="AJ155" s="416"/>
      <c r="AK155" s="416"/>
      <c r="AL155" s="416"/>
      <c r="AM155" s="416"/>
      <c r="AN155" s="416"/>
      <c r="AO155" s="416"/>
      <c r="AP155" s="416"/>
      <c r="AQ155" s="416"/>
      <c r="AR155" s="416"/>
      <c r="AS155" s="416"/>
      <c r="AT155" s="416"/>
      <c r="AU155" s="416">
        <f>H155</f>
        <v>1925.47875</v>
      </c>
      <c r="AV155" s="416"/>
      <c r="AW155" s="416"/>
      <c r="AX155" s="416"/>
      <c r="AY155" s="416"/>
      <c r="AZ155" s="32"/>
    </row>
    <row r="156" spans="2:52">
      <c r="B156" s="1254"/>
      <c r="C156" s="1255"/>
      <c r="D156" s="411" t="s">
        <v>946</v>
      </c>
      <c r="E156" s="411"/>
      <c r="F156" s="411" t="s">
        <v>489</v>
      </c>
      <c r="G156" s="411" t="s">
        <v>483</v>
      </c>
      <c r="H156" s="412">
        <v>7468.0860000000002</v>
      </c>
      <c r="I156" s="413" t="s">
        <v>418</v>
      </c>
      <c r="J156" s="414">
        <v>44994.715277777781</v>
      </c>
      <c r="K156" s="414"/>
      <c r="L156" s="414" t="s">
        <v>192</v>
      </c>
      <c r="M156" s="414" t="s">
        <v>192</v>
      </c>
      <c r="N156" s="413" t="str">
        <f t="shared" si="8"/>
        <v>DELAY ( 2 day 7 hour 10 minute )</v>
      </c>
      <c r="O156" s="51"/>
      <c r="P156" s="415" t="s">
        <v>551</v>
      </c>
      <c r="Q156" s="415" t="s">
        <v>551</v>
      </c>
      <c r="R156" s="415" t="s">
        <v>551</v>
      </c>
      <c r="S156" s="32"/>
      <c r="T156" s="416"/>
      <c r="U156" s="416"/>
      <c r="V156" s="416"/>
      <c r="W156" s="416"/>
      <c r="X156" s="416"/>
      <c r="Y156" s="416"/>
      <c r="Z156" s="416"/>
      <c r="AA156" s="416"/>
      <c r="AB156" s="416">
        <f>H156*0.55</f>
        <v>4107.4473000000007</v>
      </c>
      <c r="AC156" s="416">
        <f>H156*0.45</f>
        <v>3360.6387</v>
      </c>
      <c r="AD156" s="416"/>
      <c r="AE156" s="416"/>
      <c r="AF156" s="416"/>
      <c r="AG156" s="416"/>
      <c r="AH156" s="416"/>
      <c r="AI156" s="416"/>
      <c r="AJ156" s="416"/>
      <c r="AK156" s="416"/>
      <c r="AL156" s="416"/>
      <c r="AM156" s="416"/>
      <c r="AN156" s="416"/>
      <c r="AO156" s="416"/>
      <c r="AP156" s="416"/>
      <c r="AQ156" s="416"/>
      <c r="AR156" s="416"/>
      <c r="AS156" s="416"/>
      <c r="AT156" s="416"/>
      <c r="AU156" s="416"/>
      <c r="AV156" s="416"/>
      <c r="AW156" s="416"/>
      <c r="AX156" s="416"/>
      <c r="AY156" s="416"/>
      <c r="AZ156" s="32"/>
    </row>
    <row r="157" spans="2:52">
      <c r="B157" s="1250" t="s">
        <v>1121</v>
      </c>
      <c r="C157" s="1251"/>
      <c r="D157" s="411" t="s">
        <v>1041</v>
      </c>
      <c r="E157" s="425"/>
      <c r="F157" s="411" t="s">
        <v>763</v>
      </c>
      <c r="G157" s="411" t="s">
        <v>454</v>
      </c>
      <c r="H157" s="412">
        <f>H155</f>
        <v>1925.47875</v>
      </c>
      <c r="I157" s="413" t="s">
        <v>181</v>
      </c>
      <c r="J157" s="414"/>
      <c r="K157" s="414"/>
      <c r="L157" s="414" t="s">
        <v>192</v>
      </c>
      <c r="M157" s="414" t="s">
        <v>192</v>
      </c>
      <c r="N157" s="413" t="str">
        <f t="shared" si="8"/>
        <v xml:space="preserve"> </v>
      </c>
      <c r="O157" s="51"/>
      <c r="P157" s="415" t="s">
        <v>551</v>
      </c>
      <c r="Q157" s="415" t="s">
        <v>551</v>
      </c>
      <c r="R157" s="415" t="s">
        <v>551</v>
      </c>
      <c r="S157" s="32"/>
      <c r="T157" s="416"/>
      <c r="U157" s="416"/>
      <c r="V157" s="416"/>
      <c r="W157" s="416"/>
      <c r="X157" s="416"/>
      <c r="Y157" s="416"/>
      <c r="Z157" s="416"/>
      <c r="AA157" s="416"/>
      <c r="AB157" s="416"/>
      <c r="AC157" s="416"/>
      <c r="AD157" s="416"/>
      <c r="AE157" s="416"/>
      <c r="AF157" s="416"/>
      <c r="AG157" s="416"/>
      <c r="AH157" s="416"/>
      <c r="AI157" s="416"/>
      <c r="AJ157" s="416"/>
      <c r="AK157" s="416"/>
      <c r="AL157" s="416"/>
      <c r="AM157" s="416"/>
      <c r="AN157" s="416"/>
      <c r="AO157" s="416"/>
      <c r="AP157" s="416"/>
      <c r="AQ157" s="416"/>
      <c r="AR157" s="416"/>
      <c r="AS157" s="416"/>
      <c r="AT157" s="416"/>
      <c r="AU157" s="416">
        <f>H157</f>
        <v>1925.47875</v>
      </c>
      <c r="AV157" s="416"/>
      <c r="AW157" s="416"/>
      <c r="AX157" s="416"/>
      <c r="AY157" s="416"/>
      <c r="AZ157" s="32"/>
    </row>
    <row r="158" spans="2:52">
      <c r="B158" s="1254"/>
      <c r="C158" s="1255"/>
      <c r="D158" s="411" t="s">
        <v>949</v>
      </c>
      <c r="E158" s="411"/>
      <c r="F158" s="411" t="s">
        <v>298</v>
      </c>
      <c r="G158" s="411" t="s">
        <v>299</v>
      </c>
      <c r="H158" s="412">
        <v>10301.045</v>
      </c>
      <c r="I158" s="413" t="s">
        <v>418</v>
      </c>
      <c r="J158" s="414">
        <v>44995.541666666664</v>
      </c>
      <c r="K158" s="414"/>
      <c r="L158" s="414" t="s">
        <v>192</v>
      </c>
      <c r="M158" s="414" t="s">
        <v>192</v>
      </c>
      <c r="N158" s="413" t="str">
        <f t="shared" si="8"/>
        <v>DELAY ( 3 day 3 hour 0 minute )</v>
      </c>
      <c r="O158" s="51"/>
      <c r="P158" s="415" t="s">
        <v>551</v>
      </c>
      <c r="Q158" s="415" t="s">
        <v>551</v>
      </c>
      <c r="R158" s="415" t="s">
        <v>551</v>
      </c>
      <c r="S158" s="32"/>
      <c r="T158" s="416"/>
      <c r="U158" s="416"/>
      <c r="V158" s="416"/>
      <c r="W158" s="416"/>
      <c r="X158" s="416"/>
      <c r="Y158" s="416"/>
      <c r="Z158" s="416"/>
      <c r="AA158" s="416"/>
      <c r="AB158" s="416">
        <f>(H158*0.55)</f>
        <v>5665.5747500000007</v>
      </c>
      <c r="AC158" s="416">
        <f>(H158*0.45)</f>
        <v>4635.4702500000003</v>
      </c>
      <c r="AD158" s="416"/>
      <c r="AE158" s="416"/>
      <c r="AF158" s="416"/>
      <c r="AG158" s="416"/>
      <c r="AH158" s="416"/>
      <c r="AI158" s="416"/>
      <c r="AJ158" s="416"/>
      <c r="AK158" s="416"/>
      <c r="AL158" s="416"/>
      <c r="AM158" s="416"/>
      <c r="AN158" s="416"/>
      <c r="AO158" s="416"/>
      <c r="AP158" s="416"/>
      <c r="AQ158" s="416"/>
      <c r="AR158" s="416"/>
      <c r="AS158" s="416"/>
      <c r="AT158" s="416"/>
      <c r="AU158" s="416"/>
      <c r="AV158" s="416"/>
      <c r="AW158" s="416"/>
      <c r="AX158" s="416"/>
      <c r="AY158" s="416"/>
      <c r="AZ158" s="32"/>
    </row>
    <row r="159" spans="2:52">
      <c r="B159" s="1256" t="s">
        <v>548</v>
      </c>
      <c r="C159" s="1257"/>
      <c r="D159" s="411" t="s">
        <v>948</v>
      </c>
      <c r="E159" s="411"/>
      <c r="F159" s="411" t="s">
        <v>492</v>
      </c>
      <c r="G159" s="411" t="s">
        <v>493</v>
      </c>
      <c r="H159" s="412">
        <f>7561.735-3051.399</f>
        <v>4510.3359999999993</v>
      </c>
      <c r="I159" s="413" t="s">
        <v>418</v>
      </c>
      <c r="J159" s="414">
        <v>44995.75</v>
      </c>
      <c r="K159" s="414"/>
      <c r="L159" s="414" t="s">
        <v>192</v>
      </c>
      <c r="M159" s="414" t="s">
        <v>192</v>
      </c>
      <c r="N159" s="413" t="str">
        <f t="shared" si="8"/>
        <v>DELAY ( 3 day 8 hour 0 minute )</v>
      </c>
      <c r="O159" s="51"/>
      <c r="P159" s="415" t="s">
        <v>551</v>
      </c>
      <c r="Q159" s="415" t="s">
        <v>551</v>
      </c>
      <c r="R159" s="415" t="s">
        <v>551</v>
      </c>
      <c r="S159" s="32"/>
      <c r="T159" s="416"/>
      <c r="U159" s="416"/>
      <c r="V159" s="416"/>
      <c r="W159" s="416"/>
      <c r="X159" s="416"/>
      <c r="Y159" s="416"/>
      <c r="Z159" s="416"/>
      <c r="AA159" s="416"/>
      <c r="AB159" s="416">
        <f>H159*0.55</f>
        <v>2480.6848</v>
      </c>
      <c r="AC159" s="416">
        <f>H159*0.45</f>
        <v>2029.6511999999998</v>
      </c>
      <c r="AD159" s="416"/>
      <c r="AE159" s="416"/>
      <c r="AF159" s="416"/>
      <c r="AG159" s="416"/>
      <c r="AH159" s="416"/>
      <c r="AI159" s="416"/>
      <c r="AJ159" s="416"/>
      <c r="AK159" s="416"/>
      <c r="AL159" s="416"/>
      <c r="AM159" s="416"/>
      <c r="AN159" s="416"/>
      <c r="AO159" s="416"/>
      <c r="AP159" s="416"/>
      <c r="AQ159" s="416"/>
      <c r="AR159" s="416"/>
      <c r="AS159" s="416"/>
      <c r="AT159" s="416"/>
      <c r="AU159" s="416"/>
      <c r="AV159" s="416"/>
      <c r="AW159" s="416"/>
      <c r="AX159" s="416"/>
      <c r="AY159" s="416"/>
      <c r="AZ159" s="32"/>
    </row>
    <row r="160" spans="2:52">
      <c r="B160" s="1258" t="s">
        <v>556</v>
      </c>
      <c r="C160" s="1259"/>
      <c r="D160" s="1259"/>
      <c r="E160" s="1259"/>
      <c r="F160" s="1259"/>
      <c r="G160" s="1260"/>
      <c r="H160" s="417">
        <f>SUM(H150:H159)</f>
        <v>52504</v>
      </c>
      <c r="I160" s="388"/>
      <c r="J160" s="293"/>
      <c r="K160" s="293"/>
      <c r="L160" s="293"/>
      <c r="M160" s="389"/>
      <c r="N160" s="413" t="str">
        <f t="shared" si="8"/>
        <v xml:space="preserve"> </v>
      </c>
      <c r="O160" s="212"/>
      <c r="P160" s="418"/>
      <c r="Q160" s="418"/>
      <c r="R160" s="418"/>
      <c r="S160" s="207"/>
      <c r="T160" s="1262"/>
      <c r="U160" s="1263"/>
      <c r="V160" s="1263"/>
      <c r="W160" s="1263"/>
      <c r="X160" s="1263"/>
      <c r="Y160" s="1263"/>
      <c r="Z160" s="1263"/>
      <c r="AA160" s="1263"/>
      <c r="AB160" s="1263"/>
      <c r="AC160" s="1263"/>
      <c r="AD160" s="1263"/>
      <c r="AE160" s="1263"/>
      <c r="AF160" s="1263"/>
      <c r="AG160" s="1263"/>
      <c r="AH160" s="1263"/>
      <c r="AI160" s="1263"/>
      <c r="AJ160" s="1263"/>
      <c r="AK160" s="1263"/>
      <c r="AL160" s="1263"/>
      <c r="AM160" s="1263"/>
      <c r="AN160" s="1263"/>
      <c r="AO160" s="1263"/>
      <c r="AP160" s="1263"/>
      <c r="AQ160" s="1263"/>
      <c r="AR160" s="1263"/>
      <c r="AS160" s="1263"/>
      <c r="AT160" s="1263"/>
      <c r="AU160" s="1263"/>
      <c r="AV160" s="1263"/>
      <c r="AW160" s="1263"/>
      <c r="AX160" s="1263"/>
      <c r="AY160" s="1264"/>
    </row>
    <row r="161" spans="2:52">
      <c r="B161" s="1243" t="s">
        <v>557</v>
      </c>
      <c r="C161" s="1244"/>
      <c r="D161" s="1244"/>
      <c r="E161" s="1244"/>
      <c r="F161" s="1244"/>
      <c r="G161" s="1245"/>
      <c r="H161" s="419">
        <v>52504</v>
      </c>
      <c r="I161" s="1273"/>
      <c r="J161" s="1274"/>
      <c r="K161" s="1274"/>
      <c r="L161" s="1274"/>
      <c r="M161" s="1275"/>
      <c r="N161" s="413" t="str">
        <f t="shared" si="8"/>
        <v xml:space="preserve"> </v>
      </c>
      <c r="O161" s="32"/>
      <c r="P161" s="415"/>
      <c r="Q161" s="415"/>
      <c r="R161" s="415"/>
      <c r="S161" s="63"/>
      <c r="T161" s="416">
        <f t="shared" ref="T161:AY161" si="9">SUM(T150:T159)</f>
        <v>0</v>
      </c>
      <c r="U161" s="416">
        <f t="shared" si="9"/>
        <v>0</v>
      </c>
      <c r="V161" s="416">
        <f t="shared" si="9"/>
        <v>0</v>
      </c>
      <c r="W161" s="416">
        <f t="shared" si="9"/>
        <v>0</v>
      </c>
      <c r="X161" s="416">
        <f t="shared" si="9"/>
        <v>0</v>
      </c>
      <c r="Y161" s="416">
        <f t="shared" si="9"/>
        <v>0</v>
      </c>
      <c r="Z161" s="416">
        <f t="shared" si="9"/>
        <v>0</v>
      </c>
      <c r="AA161" s="416">
        <f t="shared" si="9"/>
        <v>0</v>
      </c>
      <c r="AB161" s="416">
        <f t="shared" si="9"/>
        <v>20516.14675</v>
      </c>
      <c r="AC161" s="416">
        <f t="shared" si="9"/>
        <v>16785.938249999999</v>
      </c>
      <c r="AD161" s="416">
        <f t="shared" si="9"/>
        <v>0</v>
      </c>
      <c r="AE161" s="416">
        <f t="shared" si="9"/>
        <v>0</v>
      </c>
      <c r="AF161" s="416">
        <f t="shared" si="9"/>
        <v>0</v>
      </c>
      <c r="AG161" s="416">
        <f t="shared" si="9"/>
        <v>0</v>
      </c>
      <c r="AH161" s="416">
        <f t="shared" si="9"/>
        <v>0</v>
      </c>
      <c r="AI161" s="416">
        <f t="shared" si="9"/>
        <v>0</v>
      </c>
      <c r="AJ161" s="416">
        <f t="shared" si="9"/>
        <v>0</v>
      </c>
      <c r="AK161" s="416">
        <f t="shared" si="9"/>
        <v>7500</v>
      </c>
      <c r="AL161" s="416">
        <f t="shared" si="9"/>
        <v>0</v>
      </c>
      <c r="AM161" s="416">
        <f t="shared" si="9"/>
        <v>0</v>
      </c>
      <c r="AN161" s="416">
        <f t="shared" si="9"/>
        <v>0</v>
      </c>
      <c r="AO161" s="416">
        <f t="shared" si="9"/>
        <v>0</v>
      </c>
      <c r="AP161" s="416">
        <f t="shared" si="9"/>
        <v>0</v>
      </c>
      <c r="AQ161" s="416">
        <f t="shared" si="9"/>
        <v>0</v>
      </c>
      <c r="AR161" s="416">
        <f t="shared" si="9"/>
        <v>0</v>
      </c>
      <c r="AS161" s="416">
        <f t="shared" si="9"/>
        <v>0</v>
      </c>
      <c r="AT161" s="416">
        <f t="shared" si="9"/>
        <v>0</v>
      </c>
      <c r="AU161" s="416">
        <f t="shared" si="9"/>
        <v>7701.915</v>
      </c>
      <c r="AV161" s="416">
        <f t="shared" si="9"/>
        <v>0</v>
      </c>
      <c r="AW161" s="416">
        <f t="shared" si="9"/>
        <v>0</v>
      </c>
      <c r="AX161" s="416">
        <f t="shared" si="9"/>
        <v>0</v>
      </c>
      <c r="AY161" s="416">
        <f t="shared" si="9"/>
        <v>0</v>
      </c>
      <c r="AZ161" s="416">
        <f>SUM(T161:AY161)</f>
        <v>52504</v>
      </c>
    </row>
    <row r="162" spans="2:52">
      <c r="B162" s="1243" t="s">
        <v>558</v>
      </c>
      <c r="C162" s="1244"/>
      <c r="D162" s="1244"/>
      <c r="E162" s="1244"/>
      <c r="F162" s="1244"/>
      <c r="G162" s="1245"/>
      <c r="H162" s="420">
        <f>H161-L144</f>
        <v>0</v>
      </c>
      <c r="I162" s="294"/>
      <c r="J162" s="295"/>
      <c r="K162" s="295"/>
      <c r="L162" s="296"/>
      <c r="M162" s="32"/>
      <c r="N162" s="32"/>
      <c r="O162" s="32"/>
      <c r="P162" s="32"/>
      <c r="Q162" s="297"/>
      <c r="R162" s="297"/>
      <c r="S162" s="32"/>
      <c r="T162" s="48"/>
      <c r="U162" s="48"/>
      <c r="V162" s="48"/>
      <c r="W162" s="48"/>
      <c r="X162" s="48"/>
      <c r="Y162" s="48"/>
      <c r="Z162" s="48"/>
      <c r="AA162" s="48"/>
      <c r="AB162" s="48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</row>
    <row r="163" spans="2:52">
      <c r="B163" s="1243" t="s">
        <v>559</v>
      </c>
      <c r="C163" s="1244"/>
      <c r="D163" s="1244"/>
      <c r="E163" s="1244"/>
      <c r="F163" s="1244"/>
      <c r="G163" s="1245"/>
      <c r="H163" s="420">
        <v>3047</v>
      </c>
      <c r="I163" s="52"/>
      <c r="J163" s="53"/>
      <c r="K163" s="53"/>
      <c r="L163" s="54"/>
      <c r="M163" s="32"/>
      <c r="N163" s="201"/>
      <c r="O163" s="32"/>
      <c r="P163" s="32"/>
      <c r="Q163" s="32"/>
      <c r="R163" s="32"/>
      <c r="S163" s="32"/>
      <c r="T163" s="48"/>
      <c r="U163" s="48"/>
      <c r="V163" s="48"/>
      <c r="W163" s="48"/>
      <c r="X163" s="48"/>
      <c r="Y163" s="48"/>
      <c r="Z163" s="48"/>
      <c r="AA163" s="48"/>
      <c r="AB163" s="48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</row>
    <row r="164" spans="2:52">
      <c r="B164" s="1243" t="s">
        <v>560</v>
      </c>
      <c r="C164" s="1244"/>
      <c r="D164" s="1244"/>
      <c r="E164" s="1244"/>
      <c r="F164" s="1244"/>
      <c r="G164" s="1245"/>
      <c r="H164" s="421">
        <f>H163-3051.399</f>
        <v>-4.3989999999998872</v>
      </c>
      <c r="I164" s="255"/>
      <c r="J164" s="53"/>
      <c r="K164" s="53"/>
      <c r="L164" s="54"/>
      <c r="M164" s="32"/>
      <c r="N164" s="32"/>
      <c r="O164" s="32"/>
      <c r="P164" s="32"/>
      <c r="Q164" s="32"/>
      <c r="R164" s="32"/>
      <c r="S164" s="48"/>
      <c r="T164" s="48"/>
      <c r="U164" s="48"/>
      <c r="V164" s="48"/>
      <c r="W164" s="48"/>
      <c r="X164" s="48"/>
      <c r="Y164" s="48"/>
      <c r="Z164" s="48"/>
      <c r="AA164" s="48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2:52">
      <c r="B165" s="201"/>
      <c r="C165" s="201"/>
      <c r="D165" s="201"/>
      <c r="E165" s="201"/>
      <c r="F165" s="201"/>
      <c r="G165" s="201"/>
      <c r="H165" s="201"/>
      <c r="I165" s="213"/>
      <c r="J165" s="209"/>
      <c r="K165" s="209"/>
      <c r="L165" s="203"/>
      <c r="M165" s="201"/>
      <c r="N165" s="201"/>
      <c r="O165" s="209"/>
      <c r="P165" s="32"/>
      <c r="Q165" s="32"/>
      <c r="R165" s="32"/>
      <c r="S165" s="32"/>
      <c r="T165" s="48"/>
      <c r="U165" s="48"/>
      <c r="V165" s="48"/>
      <c r="W165" s="48"/>
      <c r="X165" s="48"/>
      <c r="Y165" s="48"/>
      <c r="Z165" s="48"/>
      <c r="AA165" s="48"/>
      <c r="AB165" s="48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</row>
    <row r="166" spans="2:52">
      <c r="B166" s="40" t="s">
        <v>561</v>
      </c>
      <c r="C166" s="40"/>
      <c r="D166" s="32"/>
      <c r="E166" s="32"/>
      <c r="F166" s="32"/>
      <c r="G166" s="32"/>
      <c r="H166" s="32"/>
      <c r="I166" s="32"/>
      <c r="J166" s="52"/>
      <c r="K166" s="52"/>
      <c r="L166" s="55"/>
      <c r="M166" s="32"/>
      <c r="N166" s="201"/>
      <c r="O166" s="5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1"/>
      <c r="AC166" s="201"/>
      <c r="AD166" s="201"/>
      <c r="AE166" s="201"/>
      <c r="AF166" s="201"/>
      <c r="AG166" s="201"/>
      <c r="AH166" s="201"/>
      <c r="AI166" s="201"/>
      <c r="AJ166" s="201"/>
      <c r="AK166" s="201"/>
      <c r="AL166" s="201"/>
      <c r="AM166" s="201"/>
      <c r="AN166" s="201"/>
      <c r="AO166" s="201"/>
      <c r="AP166" s="201"/>
      <c r="AQ166" s="201"/>
      <c r="AR166" s="201"/>
      <c r="AS166" s="201"/>
      <c r="AT166" s="201"/>
      <c r="AU166" s="201"/>
      <c r="AZ166" s="201"/>
    </row>
    <row r="167" spans="2:52">
      <c r="B167" s="422">
        <v>1</v>
      </c>
      <c r="C167" s="1249" t="s">
        <v>1137</v>
      </c>
      <c r="D167" s="1249"/>
      <c r="E167" s="1249"/>
      <c r="F167" s="1249"/>
      <c r="G167" s="1249"/>
      <c r="H167" s="1249"/>
      <c r="I167" s="1249"/>
      <c r="J167" s="1249"/>
      <c r="K167" s="1249"/>
      <c r="L167" s="203"/>
      <c r="M167" s="201"/>
      <c r="N167" s="201"/>
      <c r="O167" s="209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1"/>
      <c r="AC167" s="201"/>
      <c r="AD167" s="201"/>
      <c r="AE167" s="201"/>
      <c r="AF167" s="201"/>
      <c r="AG167" s="201"/>
      <c r="AH167" s="201"/>
      <c r="AI167" s="201"/>
      <c r="AJ167" s="201"/>
      <c r="AK167" s="201"/>
      <c r="AL167" s="201"/>
      <c r="AM167" s="201"/>
      <c r="AN167" s="201"/>
      <c r="AO167" s="201"/>
      <c r="AP167" s="201"/>
      <c r="AQ167" s="201"/>
      <c r="AR167" s="201"/>
      <c r="AS167" s="201"/>
      <c r="AT167" s="201"/>
      <c r="AU167" s="201"/>
      <c r="AZ167" s="201"/>
    </row>
    <row r="169" spans="2:52">
      <c r="B169" s="28" t="s">
        <v>126</v>
      </c>
      <c r="C169" s="28"/>
      <c r="D169" s="29"/>
      <c r="E169" s="30" t="s">
        <v>511</v>
      </c>
      <c r="F169" s="31" t="s">
        <v>929</v>
      </c>
      <c r="G169" s="32"/>
      <c r="H169" s="33"/>
      <c r="I169" s="34"/>
      <c r="J169" s="35" t="s">
        <v>513</v>
      </c>
      <c r="K169" s="36" t="s">
        <v>511</v>
      </c>
      <c r="L169" s="37">
        <v>44993.864583333336</v>
      </c>
      <c r="M169" s="32"/>
      <c r="N169" s="32"/>
      <c r="O169" s="206"/>
      <c r="P169" s="205"/>
      <c r="Q169" s="202"/>
      <c r="R169" s="204"/>
      <c r="S169" s="38"/>
      <c r="T169" s="201"/>
      <c r="U169" s="201"/>
      <c r="V169" s="201"/>
      <c r="W169" s="201"/>
      <c r="X169" s="201"/>
      <c r="Y169" s="201"/>
      <c r="Z169" s="201"/>
      <c r="AA169" s="201"/>
      <c r="AB169" s="202"/>
      <c r="AC169" s="202"/>
      <c r="AD169" s="202"/>
      <c r="AE169" s="202"/>
      <c r="AF169" s="202"/>
      <c r="AG169" s="201"/>
      <c r="AH169" s="201"/>
      <c r="AI169" s="201"/>
      <c r="AJ169" s="201"/>
      <c r="AK169" s="201"/>
      <c r="AL169" s="201"/>
      <c r="AM169" s="201"/>
      <c r="AN169" s="201"/>
      <c r="AO169" s="201"/>
      <c r="AP169" s="201"/>
      <c r="AQ169" s="201"/>
      <c r="AR169" s="201"/>
      <c r="AS169" s="201"/>
      <c r="AT169" s="201"/>
      <c r="AU169" s="201"/>
      <c r="AV169" s="201"/>
      <c r="AW169" s="201"/>
      <c r="AX169" s="201"/>
      <c r="AY169" s="201"/>
      <c r="AZ169" s="201"/>
    </row>
    <row r="170" spans="2:52">
      <c r="B170" s="35" t="s">
        <v>514</v>
      </c>
      <c r="C170" s="35"/>
      <c r="D170" s="32"/>
      <c r="E170" s="36" t="s">
        <v>511</v>
      </c>
      <c r="F170" s="37" t="s">
        <v>1140</v>
      </c>
      <c r="G170" s="32"/>
      <c r="H170" s="33"/>
      <c r="I170" s="34"/>
      <c r="J170" s="35" t="s">
        <v>516</v>
      </c>
      <c r="K170" s="36" t="s">
        <v>511</v>
      </c>
      <c r="L170" s="37">
        <v>44998.208333333336</v>
      </c>
      <c r="M170" s="32"/>
      <c r="N170" s="32"/>
      <c r="O170" s="206"/>
      <c r="P170" s="205"/>
      <c r="Q170" s="202"/>
      <c r="R170" s="204"/>
      <c r="S170" s="38"/>
      <c r="T170" s="201"/>
      <c r="U170" s="201"/>
      <c r="V170" s="201"/>
      <c r="W170" s="201"/>
      <c r="X170" s="201"/>
      <c r="Y170" s="201"/>
      <c r="Z170" s="201"/>
      <c r="AA170" s="201"/>
      <c r="AB170" s="202"/>
      <c r="AC170" s="202"/>
      <c r="AD170" s="202"/>
      <c r="AE170" s="202"/>
      <c r="AF170" s="202"/>
      <c r="AG170" s="201"/>
      <c r="AH170" s="201"/>
      <c r="AI170" s="201"/>
      <c r="AJ170" s="201"/>
      <c r="AK170" s="201"/>
      <c r="AL170" s="201"/>
      <c r="AM170" s="201"/>
      <c r="AN170" s="201"/>
      <c r="AO170" s="201"/>
      <c r="AP170" s="201"/>
      <c r="AQ170" s="201"/>
      <c r="AR170" s="201"/>
      <c r="AS170" s="201"/>
      <c r="AT170" s="201"/>
      <c r="AU170" s="201"/>
      <c r="AV170" s="201"/>
      <c r="AW170" s="201"/>
      <c r="AX170" s="201"/>
      <c r="AY170" s="201"/>
      <c r="AZ170" s="201"/>
    </row>
    <row r="171" spans="2:52">
      <c r="B171" s="35" t="s">
        <v>517</v>
      </c>
      <c r="C171" s="35"/>
      <c r="D171" s="32"/>
      <c r="E171" s="36" t="s">
        <v>511</v>
      </c>
      <c r="F171" s="37">
        <v>44993.083333333336</v>
      </c>
      <c r="G171" s="32"/>
      <c r="H171" s="33"/>
      <c r="I171" s="34"/>
      <c r="J171" s="35" t="s">
        <v>521</v>
      </c>
      <c r="K171" s="36" t="s">
        <v>511</v>
      </c>
      <c r="L171" s="41" t="s">
        <v>1141</v>
      </c>
      <c r="M171" s="40"/>
      <c r="N171" s="40"/>
      <c r="O171" s="206"/>
      <c r="P171" s="205"/>
      <c r="Q171" s="202"/>
      <c r="R171" s="204"/>
      <c r="S171" s="38"/>
      <c r="T171" s="201"/>
      <c r="U171" s="201"/>
      <c r="V171" s="201"/>
      <c r="W171" s="201"/>
      <c r="X171" s="201"/>
      <c r="Y171" s="201"/>
      <c r="Z171" s="201"/>
      <c r="AA171" s="201"/>
      <c r="AB171" s="202"/>
      <c r="AC171" s="202"/>
      <c r="AD171" s="202"/>
      <c r="AE171" s="202"/>
      <c r="AF171" s="202"/>
      <c r="AG171" s="201"/>
      <c r="AH171" s="201"/>
      <c r="AI171" s="201"/>
      <c r="AJ171" s="201"/>
      <c r="AK171" s="201"/>
      <c r="AL171" s="201"/>
      <c r="AM171" s="201"/>
      <c r="AN171" s="201"/>
      <c r="AO171" s="201"/>
      <c r="AP171" s="201"/>
      <c r="AQ171" s="201"/>
      <c r="AR171" s="201"/>
      <c r="AS171" s="201"/>
      <c r="AT171" s="201"/>
      <c r="AU171" s="201"/>
      <c r="AV171" s="201"/>
      <c r="AW171" s="201"/>
      <c r="AX171" s="201"/>
      <c r="AY171" s="201"/>
      <c r="AZ171" s="201"/>
    </row>
    <row r="172" spans="2:52">
      <c r="B172" s="35" t="s">
        <v>520</v>
      </c>
      <c r="C172" s="35"/>
      <c r="D172" s="32"/>
      <c r="E172" s="36" t="s">
        <v>511</v>
      </c>
      <c r="F172" s="37" t="s">
        <v>16</v>
      </c>
      <c r="G172" s="32"/>
      <c r="H172" s="33"/>
      <c r="I172" s="34"/>
      <c r="J172" s="42" t="s">
        <v>524</v>
      </c>
      <c r="K172" s="36" t="s">
        <v>511</v>
      </c>
      <c r="L172" s="43" t="s">
        <v>23</v>
      </c>
      <c r="M172" s="32"/>
      <c r="N172" s="32"/>
      <c r="O172" s="206"/>
      <c r="P172" s="202"/>
      <c r="Q172" s="202"/>
      <c r="R172" s="204"/>
      <c r="S172" s="38"/>
      <c r="T172" s="201"/>
      <c r="U172" s="201"/>
      <c r="V172" s="201"/>
      <c r="W172" s="201"/>
      <c r="X172" s="201"/>
      <c r="Y172" s="201"/>
      <c r="Z172" s="201"/>
      <c r="AA172" s="201"/>
      <c r="AB172" s="202"/>
      <c r="AC172" s="202"/>
      <c r="AD172" s="202"/>
      <c r="AE172" s="202"/>
      <c r="AF172" s="202"/>
      <c r="AG172" s="201"/>
      <c r="AH172" s="201"/>
      <c r="AI172" s="201"/>
      <c r="AJ172" s="201"/>
      <c r="AK172" s="201"/>
      <c r="AL172" s="201"/>
      <c r="AM172" s="201"/>
      <c r="AN172" s="201"/>
      <c r="AO172" s="201"/>
      <c r="AP172" s="201"/>
      <c r="AQ172" s="201"/>
      <c r="AR172" s="201"/>
      <c r="AS172" s="201"/>
      <c r="AT172" s="201"/>
      <c r="AU172" s="201"/>
      <c r="AV172" s="201"/>
      <c r="AW172" s="201"/>
      <c r="AX172" s="201"/>
      <c r="AY172" s="201"/>
      <c r="AZ172" s="201"/>
    </row>
    <row r="173" spans="2:52">
      <c r="B173" s="35" t="s">
        <v>523</v>
      </c>
      <c r="C173" s="35"/>
      <c r="D173" s="32"/>
      <c r="E173" s="36" t="s">
        <v>511</v>
      </c>
      <c r="F173" s="37" t="s">
        <v>45</v>
      </c>
      <c r="G173" s="32"/>
      <c r="H173" s="33"/>
      <c r="I173" s="34"/>
      <c r="J173" s="209"/>
      <c r="K173" s="209"/>
      <c r="L173" s="203"/>
      <c r="M173" s="44"/>
      <c r="N173" s="44"/>
      <c r="O173" s="206"/>
      <c r="P173" s="205"/>
      <c r="Q173" s="202"/>
      <c r="R173" s="204"/>
      <c r="S173" s="38"/>
      <c r="T173" s="201"/>
      <c r="U173" s="201"/>
      <c r="V173" s="201"/>
      <c r="W173" s="201"/>
      <c r="X173" s="201"/>
      <c r="Y173" s="201"/>
      <c r="Z173" s="201"/>
      <c r="AA173" s="201"/>
      <c r="AB173" s="202"/>
      <c r="AC173" s="202"/>
      <c r="AD173" s="202"/>
      <c r="AE173" s="202"/>
      <c r="AF173" s="202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201"/>
      <c r="AQ173" s="201"/>
      <c r="AR173" s="201"/>
      <c r="AS173" s="201"/>
      <c r="AT173" s="201"/>
      <c r="AU173" s="201"/>
      <c r="AV173" s="201"/>
      <c r="AW173" s="201"/>
      <c r="AX173" s="201"/>
      <c r="AY173" s="201"/>
      <c r="AZ173" s="201"/>
    </row>
    <row r="174" spans="2:52">
      <c r="B174" s="35" t="s">
        <v>2</v>
      </c>
      <c r="C174" s="35"/>
      <c r="D174" s="32"/>
      <c r="E174" s="36" t="s">
        <v>511</v>
      </c>
      <c r="F174" s="37" t="s">
        <v>29</v>
      </c>
      <c r="G174" s="32"/>
      <c r="H174" s="33"/>
      <c r="I174" s="45"/>
      <c r="J174" s="42"/>
      <c r="K174" s="36"/>
      <c r="L174" s="211"/>
      <c r="M174" s="201"/>
      <c r="N174" s="201"/>
      <c r="O174" s="42"/>
      <c r="P174" s="44"/>
      <c r="Q174" s="44"/>
      <c r="R174" s="44"/>
      <c r="S174" s="34"/>
      <c r="T174" s="201"/>
      <c r="U174" s="201"/>
      <c r="V174" s="201"/>
      <c r="W174" s="201"/>
      <c r="X174" s="201"/>
      <c r="Y174" s="201"/>
      <c r="Z174" s="201"/>
      <c r="AA174" s="201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201"/>
      <c r="AP174" s="201"/>
      <c r="AQ174" s="201"/>
      <c r="AR174" s="201"/>
      <c r="AS174" s="201"/>
      <c r="AT174" s="201"/>
      <c r="AU174" s="201"/>
      <c r="AV174" s="201"/>
      <c r="AW174" s="201"/>
      <c r="AX174" s="201"/>
      <c r="AY174" s="201"/>
      <c r="AZ174" s="201"/>
    </row>
    <row r="175" spans="2:52">
      <c r="B175" s="201"/>
      <c r="C175" s="201"/>
      <c r="D175" s="201"/>
      <c r="E175" s="201"/>
      <c r="F175" s="201"/>
      <c r="G175" s="201"/>
      <c r="H175" s="201"/>
      <c r="I175" s="45"/>
      <c r="J175" s="42"/>
      <c r="K175" s="42"/>
      <c r="L175" s="43"/>
      <c r="M175" s="44"/>
      <c r="N175" s="44"/>
      <c r="O175" s="42"/>
      <c r="P175" s="44"/>
      <c r="Q175" s="44"/>
      <c r="R175" s="44"/>
      <c r="S175" s="34"/>
      <c r="T175" s="1265" t="s">
        <v>87</v>
      </c>
      <c r="U175" s="1265"/>
      <c r="V175" s="1265"/>
      <c r="W175" s="1265"/>
      <c r="X175" s="1265"/>
      <c r="Y175" s="1265" t="s">
        <v>73</v>
      </c>
      <c r="Z175" s="1265"/>
      <c r="AA175" s="1265"/>
      <c r="AB175" s="1265" t="s">
        <v>74</v>
      </c>
      <c r="AC175" s="1265"/>
      <c r="AD175" s="423" t="s">
        <v>85</v>
      </c>
      <c r="AE175" s="423" t="s">
        <v>77</v>
      </c>
      <c r="AF175" s="1265" t="s">
        <v>525</v>
      </c>
      <c r="AG175" s="1265"/>
      <c r="AH175" s="1265"/>
      <c r="AI175" s="1265"/>
      <c r="AJ175" s="1265"/>
      <c r="AK175" s="1265"/>
      <c r="AL175" s="1265"/>
      <c r="AM175" s="1265"/>
      <c r="AN175" s="1265"/>
      <c r="AO175" s="1265"/>
      <c r="AP175" s="1265"/>
      <c r="AQ175" s="1265"/>
      <c r="AR175" s="1265"/>
      <c r="AS175" s="1265"/>
      <c r="AT175" s="1265"/>
      <c r="AU175" s="1265"/>
      <c r="AV175" s="1265"/>
      <c r="AW175" s="1265"/>
      <c r="AX175" s="1265"/>
      <c r="AY175" s="1265"/>
      <c r="AZ175" s="201"/>
    </row>
    <row r="176" spans="2:52">
      <c r="B176" s="1266" t="s">
        <v>526</v>
      </c>
      <c r="C176" s="1267"/>
      <c r="D176" s="570" t="s">
        <v>527</v>
      </c>
      <c r="E176" s="570"/>
      <c r="F176" s="570" t="s">
        <v>528</v>
      </c>
      <c r="G176" s="570" t="s">
        <v>529</v>
      </c>
      <c r="H176" s="570" t="s">
        <v>530</v>
      </c>
      <c r="I176" s="570" t="s">
        <v>531</v>
      </c>
      <c r="J176" s="570" t="s">
        <v>532</v>
      </c>
      <c r="K176" s="570"/>
      <c r="L176" s="570" t="s">
        <v>130</v>
      </c>
      <c r="M176" s="570" t="s">
        <v>533</v>
      </c>
      <c r="N176" s="408" t="str">
        <f>"On time - "&amp;COUNTIF(N177:N179,"On time")&amp;" from "&amp;ROWS(N177:N179)-COUNTIF(N177:N179," ")</f>
        <v>On time - 1 from 3</v>
      </c>
      <c r="O176" s="46"/>
      <c r="P176" s="409" t="s">
        <v>534</v>
      </c>
      <c r="Q176" s="409" t="s">
        <v>535</v>
      </c>
      <c r="R176" s="409" t="s">
        <v>536</v>
      </c>
      <c r="S176" s="32"/>
      <c r="T176" s="424" t="s">
        <v>537</v>
      </c>
      <c r="U176" s="424" t="s">
        <v>538</v>
      </c>
      <c r="V176" s="424" t="s">
        <v>539</v>
      </c>
      <c r="W176" s="424" t="s">
        <v>540</v>
      </c>
      <c r="X176" s="424" t="s">
        <v>541</v>
      </c>
      <c r="Y176" s="424" t="s">
        <v>167</v>
      </c>
      <c r="Z176" s="424" t="s">
        <v>168</v>
      </c>
      <c r="AA176" s="424" t="s">
        <v>169</v>
      </c>
      <c r="AB176" s="424" t="s">
        <v>235</v>
      </c>
      <c r="AC176" s="424" t="s">
        <v>240</v>
      </c>
      <c r="AD176" s="423" t="s">
        <v>85</v>
      </c>
      <c r="AE176" s="424" t="s">
        <v>139</v>
      </c>
      <c r="AF176" s="424" t="s">
        <v>72</v>
      </c>
      <c r="AG176" s="424" t="s">
        <v>88</v>
      </c>
      <c r="AH176" s="424" t="s">
        <v>75</v>
      </c>
      <c r="AI176" s="424" t="s">
        <v>543</v>
      </c>
      <c r="AJ176" s="424" t="s">
        <v>78</v>
      </c>
      <c r="AK176" s="424" t="s">
        <v>76</v>
      </c>
      <c r="AL176" s="424" t="s">
        <v>544</v>
      </c>
      <c r="AM176" s="424" t="s">
        <v>545</v>
      </c>
      <c r="AN176" s="424" t="s">
        <v>86</v>
      </c>
      <c r="AO176" s="424" t="s">
        <v>83</v>
      </c>
      <c r="AP176" s="424" t="s">
        <v>84</v>
      </c>
      <c r="AQ176" s="424" t="s">
        <v>546</v>
      </c>
      <c r="AR176" s="424" t="s">
        <v>81</v>
      </c>
      <c r="AS176" s="424" t="s">
        <v>80</v>
      </c>
      <c r="AT176" s="424" t="s">
        <v>82</v>
      </c>
      <c r="AU176" s="424" t="s">
        <v>181</v>
      </c>
      <c r="AV176" s="424" t="s">
        <v>183</v>
      </c>
      <c r="AW176" s="424" t="s">
        <v>547</v>
      </c>
      <c r="AX176" s="424" t="s">
        <v>182</v>
      </c>
      <c r="AY176" s="424" t="s">
        <v>172</v>
      </c>
      <c r="AZ176" s="201"/>
    </row>
    <row r="177" spans="2:52">
      <c r="B177" s="1256" t="s">
        <v>548</v>
      </c>
      <c r="C177" s="1257"/>
      <c r="D177" s="411" t="s">
        <v>1077</v>
      </c>
      <c r="E177" s="411"/>
      <c r="F177" s="411" t="s">
        <v>70</v>
      </c>
      <c r="G177" s="411" t="s">
        <v>255</v>
      </c>
      <c r="H177" s="412">
        <v>7504.2529999999997</v>
      </c>
      <c r="I177" s="413" t="s">
        <v>494</v>
      </c>
      <c r="J177" s="414">
        <v>44994.041666666664</v>
      </c>
      <c r="K177" s="414"/>
      <c r="L177" s="414" t="s">
        <v>192</v>
      </c>
      <c r="M177" s="414" t="s">
        <v>192</v>
      </c>
      <c r="N177" s="413" t="str">
        <f>IF(ISBLANK(J177)," ",IF(J177&lt;$F$171,"On time",(IF(DAY(J177-$F$171)&lt;1,"On time",(IF(J177&gt;$F$171,"DELAY ( "&amp;DAY(J177-$F$171)&amp;" day "&amp;HOUR(J177-$F$171)&amp;" hour "&amp;MINUTE(J177-$F$171)&amp;" minute )","xxx"))))))</f>
        <v>On time</v>
      </c>
      <c r="O177" s="51"/>
      <c r="P177" s="415" t="s">
        <v>551</v>
      </c>
      <c r="Q177" s="415" t="s">
        <v>551</v>
      </c>
      <c r="R177" s="415" t="s">
        <v>551</v>
      </c>
      <c r="S177" s="32"/>
      <c r="T177" s="416"/>
      <c r="U177" s="416"/>
      <c r="V177" s="416"/>
      <c r="W177" s="416"/>
      <c r="X177" s="416"/>
      <c r="Y177" s="416">
        <f>H177</f>
        <v>7504.2529999999997</v>
      </c>
      <c r="Z177" s="416"/>
      <c r="AA177" s="416"/>
      <c r="AB177" s="416"/>
      <c r="AC177" s="416"/>
      <c r="AD177" s="416"/>
      <c r="AE177" s="416"/>
      <c r="AF177" s="416"/>
      <c r="AG177" s="416"/>
      <c r="AH177" s="416"/>
      <c r="AI177" s="416"/>
      <c r="AJ177" s="416"/>
      <c r="AK177" s="416"/>
      <c r="AL177" s="416"/>
      <c r="AM177" s="416"/>
      <c r="AN177" s="416"/>
      <c r="AO177" s="416"/>
      <c r="AP177" s="416"/>
      <c r="AQ177" s="416"/>
      <c r="AR177" s="416"/>
      <c r="AS177" s="416"/>
      <c r="AT177" s="416"/>
      <c r="AU177" s="416"/>
      <c r="AV177" s="416"/>
      <c r="AW177" s="416"/>
      <c r="AX177" s="416"/>
      <c r="AY177" s="416"/>
      <c r="AZ177" s="32"/>
    </row>
    <row r="178" spans="2:52">
      <c r="B178" s="1256" t="s">
        <v>548</v>
      </c>
      <c r="C178" s="1257"/>
      <c r="D178" s="411" t="s">
        <v>1076</v>
      </c>
      <c r="E178" s="411"/>
      <c r="F178" s="411" t="s">
        <v>355</v>
      </c>
      <c r="G178" s="411" t="s">
        <v>356</v>
      </c>
      <c r="H178" s="412">
        <v>7502.0810000000001</v>
      </c>
      <c r="I178" s="413" t="s">
        <v>494</v>
      </c>
      <c r="J178" s="414">
        <v>44994.086805555555</v>
      </c>
      <c r="K178" s="414"/>
      <c r="L178" s="414" t="s">
        <v>192</v>
      </c>
      <c r="M178" s="414" t="s">
        <v>192</v>
      </c>
      <c r="N178" s="413" t="str">
        <f>IF(ISBLANK(J178)," ",IF(J178&lt;$F$171,"On time",(IF(DAY(J178-$F$171)&lt;1,"On time",(IF(J178&gt;$F$171,"DELAY ( "&amp;DAY(J178-$F$171)&amp;" day "&amp;HOUR(J178-$F$171)&amp;" hour "&amp;MINUTE(J178-$F$171)&amp;" minute )","xxx"))))))</f>
        <v>DELAY ( 1 day 0 hour 5 minute )</v>
      </c>
      <c r="O178" s="51"/>
      <c r="P178" s="415" t="s">
        <v>551</v>
      </c>
      <c r="Q178" s="415" t="s">
        <v>551</v>
      </c>
      <c r="R178" s="415" t="s">
        <v>551</v>
      </c>
      <c r="S178" s="32"/>
      <c r="T178" s="416"/>
      <c r="U178" s="416"/>
      <c r="V178" s="416"/>
      <c r="W178" s="416"/>
      <c r="X178" s="416"/>
      <c r="Y178" s="416">
        <f>H178</f>
        <v>7502.0810000000001</v>
      </c>
      <c r="Z178" s="416"/>
      <c r="AA178" s="416"/>
      <c r="AB178" s="416"/>
      <c r="AC178" s="416"/>
      <c r="AD178" s="416"/>
      <c r="AE178" s="416"/>
      <c r="AF178" s="416"/>
      <c r="AG178" s="416"/>
      <c r="AH178" s="416"/>
      <c r="AI178" s="416"/>
      <c r="AJ178" s="416"/>
      <c r="AK178" s="416"/>
      <c r="AL178" s="416"/>
      <c r="AM178" s="416"/>
      <c r="AN178" s="416"/>
      <c r="AO178" s="416"/>
      <c r="AP178" s="416"/>
      <c r="AQ178" s="416"/>
      <c r="AR178" s="416"/>
      <c r="AS178" s="416"/>
      <c r="AT178" s="416"/>
      <c r="AU178" s="416"/>
      <c r="AV178" s="416"/>
      <c r="AW178" s="416"/>
      <c r="AX178" s="416"/>
      <c r="AY178" s="416"/>
      <c r="AZ178" s="32"/>
    </row>
    <row r="179" spans="2:52">
      <c r="B179" s="1256" t="s">
        <v>548</v>
      </c>
      <c r="C179" s="1257"/>
      <c r="D179" s="411" t="s">
        <v>930</v>
      </c>
      <c r="E179" s="411"/>
      <c r="F179" s="411" t="s">
        <v>213</v>
      </c>
      <c r="G179" s="411" t="s">
        <v>214</v>
      </c>
      <c r="H179" s="426">
        <v>7505.2269999999999</v>
      </c>
      <c r="I179" s="413" t="s">
        <v>240</v>
      </c>
      <c r="J179" s="414">
        <v>44995.041666666664</v>
      </c>
      <c r="K179" s="414"/>
      <c r="L179" s="414" t="s">
        <v>192</v>
      </c>
      <c r="M179" s="414" t="s">
        <v>192</v>
      </c>
      <c r="N179" s="413" t="str">
        <f>IF(ISBLANK(J179)," ",IF(J179&lt;$F$171,"On time",(IF(DAY(J179-$F$171)&lt;1,"On time",(IF(J179&gt;$F$171,"DELAY ( "&amp;DAY(J179-$F$171)&amp;" day "&amp;HOUR(J179-$F$171)&amp;" hour "&amp;MINUTE(J179-$F$171)&amp;" minute )","xxx"))))))</f>
        <v>DELAY ( 1 day 23 hour 0 minute )</v>
      </c>
      <c r="O179" s="51"/>
      <c r="P179" s="415" t="s">
        <v>551</v>
      </c>
      <c r="Q179" s="415" t="s">
        <v>551</v>
      </c>
      <c r="R179" s="415" t="s">
        <v>551</v>
      </c>
      <c r="S179" s="32"/>
      <c r="T179" s="416"/>
      <c r="U179" s="416"/>
      <c r="V179" s="416"/>
      <c r="W179" s="416"/>
      <c r="X179" s="416"/>
      <c r="Y179" s="416"/>
      <c r="Z179" s="416"/>
      <c r="AA179" s="416"/>
      <c r="AB179" s="416"/>
      <c r="AC179" s="416">
        <f>H179</f>
        <v>7505.2269999999999</v>
      </c>
      <c r="AD179" s="416"/>
      <c r="AE179" s="416"/>
      <c r="AF179" s="416"/>
      <c r="AG179" s="416"/>
      <c r="AH179" s="416"/>
      <c r="AI179" s="416"/>
      <c r="AJ179" s="416"/>
      <c r="AK179" s="416"/>
      <c r="AL179" s="416"/>
      <c r="AM179" s="416"/>
      <c r="AN179" s="416"/>
      <c r="AO179" s="416"/>
      <c r="AP179" s="416"/>
      <c r="AQ179" s="416"/>
      <c r="AR179" s="416"/>
      <c r="AS179" s="416"/>
      <c r="AT179" s="416"/>
      <c r="AU179" s="416"/>
      <c r="AV179" s="416"/>
      <c r="AW179" s="416"/>
      <c r="AX179" s="416"/>
      <c r="AY179" s="416"/>
      <c r="AZ179" s="32"/>
    </row>
    <row r="180" spans="2:52">
      <c r="B180" s="1258" t="s">
        <v>556</v>
      </c>
      <c r="C180" s="1259"/>
      <c r="D180" s="1259"/>
      <c r="E180" s="1259"/>
      <c r="F180" s="1259"/>
      <c r="G180" s="1260"/>
      <c r="H180" s="417">
        <f>SUM(H177:H179)</f>
        <v>22511.560999999998</v>
      </c>
      <c r="I180" s="388"/>
      <c r="J180" s="293"/>
      <c r="K180" s="293"/>
      <c r="L180" s="293"/>
      <c r="M180" s="389"/>
      <c r="N180" s="413" t="str">
        <f>IF(ISBLANK(J180)," ",IF(J180&lt;$F$171,"On time",(IF(DAY(J180-$F$171)&lt;1,"On time",(IF(J180&gt;$F$171,"DELAY ( "&amp;DAY(J180-$F$171)&amp;" day "&amp;HOUR(J180-$F$171)&amp;" hour "&amp;MINUTE(J180-$F$171)&amp;" minute )","xxx"))))))</f>
        <v xml:space="preserve"> </v>
      </c>
      <c r="O180" s="212"/>
      <c r="P180" s="418"/>
      <c r="Q180" s="418"/>
      <c r="R180" s="418"/>
      <c r="S180" s="207"/>
      <c r="T180" s="1262"/>
      <c r="U180" s="1263"/>
      <c r="V180" s="1263"/>
      <c r="W180" s="1263"/>
      <c r="X180" s="1263"/>
      <c r="Y180" s="1263"/>
      <c r="Z180" s="1263"/>
      <c r="AA180" s="1263"/>
      <c r="AB180" s="1263"/>
      <c r="AC180" s="1263"/>
      <c r="AD180" s="1263"/>
      <c r="AE180" s="1263"/>
      <c r="AF180" s="1263"/>
      <c r="AG180" s="1263"/>
      <c r="AH180" s="1263"/>
      <c r="AI180" s="1263"/>
      <c r="AJ180" s="1263"/>
      <c r="AK180" s="1263"/>
      <c r="AL180" s="1263"/>
      <c r="AM180" s="1263"/>
      <c r="AN180" s="1263"/>
      <c r="AO180" s="1263"/>
      <c r="AP180" s="1263"/>
      <c r="AQ180" s="1263"/>
      <c r="AR180" s="1263"/>
      <c r="AS180" s="1263"/>
      <c r="AT180" s="1263"/>
      <c r="AU180" s="1263"/>
      <c r="AV180" s="1263"/>
      <c r="AW180" s="1263"/>
      <c r="AX180" s="1263"/>
      <c r="AY180" s="1264"/>
    </row>
    <row r="181" spans="2:52">
      <c r="B181" s="1277"/>
      <c r="C181" s="1278"/>
      <c r="D181" s="1278"/>
      <c r="E181" s="1278"/>
      <c r="F181" s="1278"/>
      <c r="G181" s="1279"/>
      <c r="H181" s="430"/>
      <c r="I181" s="1273"/>
      <c r="J181" s="1274"/>
      <c r="K181" s="1274"/>
      <c r="L181" s="1274"/>
      <c r="M181" s="1275"/>
      <c r="N181" s="413" t="str">
        <f>IF(ISBLANK(J181)," ",IF(J181&lt;$F$171,"On time",(IF(DAY(J181-$F$171)&lt;1,"On time",(IF(J181&gt;$F$171,"DELAY ( "&amp;DAY(J181-$F$171)&amp;" day "&amp;HOUR(J181-$F$171)&amp;" hour "&amp;MINUTE(J181-$F$171)&amp;" minute )","xxx"))))))</f>
        <v xml:space="preserve"> </v>
      </c>
      <c r="O181" s="32"/>
      <c r="P181" s="415"/>
      <c r="Q181" s="415"/>
      <c r="R181" s="415"/>
      <c r="S181" s="63"/>
      <c r="T181" s="416">
        <f t="shared" ref="T181:AY181" si="10">SUM(T177:T179)</f>
        <v>0</v>
      </c>
      <c r="U181" s="416">
        <f t="shared" si="10"/>
        <v>0</v>
      </c>
      <c r="V181" s="416">
        <f t="shared" si="10"/>
        <v>0</v>
      </c>
      <c r="W181" s="416">
        <f t="shared" si="10"/>
        <v>0</v>
      </c>
      <c r="X181" s="416">
        <f t="shared" si="10"/>
        <v>0</v>
      </c>
      <c r="Y181" s="416">
        <f t="shared" si="10"/>
        <v>15006.333999999999</v>
      </c>
      <c r="Z181" s="416">
        <f t="shared" si="10"/>
        <v>0</v>
      </c>
      <c r="AA181" s="416">
        <f t="shared" si="10"/>
        <v>0</v>
      </c>
      <c r="AB181" s="416">
        <f t="shared" si="10"/>
        <v>0</v>
      </c>
      <c r="AC181" s="416">
        <f t="shared" si="10"/>
        <v>7505.2269999999999</v>
      </c>
      <c r="AD181" s="416">
        <f t="shared" si="10"/>
        <v>0</v>
      </c>
      <c r="AE181" s="416">
        <f t="shared" si="10"/>
        <v>0</v>
      </c>
      <c r="AF181" s="416">
        <f t="shared" si="10"/>
        <v>0</v>
      </c>
      <c r="AG181" s="416">
        <f t="shared" si="10"/>
        <v>0</v>
      </c>
      <c r="AH181" s="416">
        <f t="shared" si="10"/>
        <v>0</v>
      </c>
      <c r="AI181" s="416">
        <f t="shared" si="10"/>
        <v>0</v>
      </c>
      <c r="AJ181" s="416">
        <f t="shared" si="10"/>
        <v>0</v>
      </c>
      <c r="AK181" s="416">
        <f t="shared" si="10"/>
        <v>0</v>
      </c>
      <c r="AL181" s="416">
        <f t="shared" si="10"/>
        <v>0</v>
      </c>
      <c r="AM181" s="416">
        <f t="shared" si="10"/>
        <v>0</v>
      </c>
      <c r="AN181" s="416">
        <f t="shared" si="10"/>
        <v>0</v>
      </c>
      <c r="AO181" s="416">
        <f t="shared" si="10"/>
        <v>0</v>
      </c>
      <c r="AP181" s="416">
        <f t="shared" si="10"/>
        <v>0</v>
      </c>
      <c r="AQ181" s="416">
        <f t="shared" si="10"/>
        <v>0</v>
      </c>
      <c r="AR181" s="416">
        <f t="shared" si="10"/>
        <v>0</v>
      </c>
      <c r="AS181" s="416">
        <f t="shared" si="10"/>
        <v>0</v>
      </c>
      <c r="AT181" s="416">
        <f t="shared" si="10"/>
        <v>0</v>
      </c>
      <c r="AU181" s="416">
        <f t="shared" si="10"/>
        <v>0</v>
      </c>
      <c r="AV181" s="416">
        <f t="shared" si="10"/>
        <v>0</v>
      </c>
      <c r="AW181" s="416">
        <f t="shared" si="10"/>
        <v>0</v>
      </c>
      <c r="AX181" s="416">
        <f t="shared" si="10"/>
        <v>0</v>
      </c>
      <c r="AY181" s="416">
        <f t="shared" si="10"/>
        <v>0</v>
      </c>
      <c r="AZ181" s="416">
        <f>SUM(T181:AY181)</f>
        <v>22511.560999999998</v>
      </c>
    </row>
    <row r="182" spans="2:52">
      <c r="B182" s="201"/>
      <c r="C182" s="201"/>
      <c r="D182" s="201"/>
      <c r="E182" s="201"/>
      <c r="F182" s="201"/>
      <c r="G182" s="201"/>
      <c r="H182" s="201"/>
      <c r="I182" s="213"/>
      <c r="J182" s="209"/>
      <c r="K182" s="209"/>
      <c r="L182" s="203"/>
      <c r="M182" s="201"/>
      <c r="N182" s="201"/>
      <c r="O182" s="209"/>
      <c r="P182" s="32"/>
      <c r="Q182" s="32"/>
      <c r="R182" s="32"/>
      <c r="S182" s="32"/>
      <c r="T182" s="48"/>
      <c r="U182" s="48"/>
      <c r="V182" s="48"/>
      <c r="W182" s="48"/>
      <c r="X182" s="48"/>
      <c r="Y182" s="48"/>
      <c r="Z182" s="48"/>
      <c r="AA182" s="48"/>
      <c r="AB182" s="48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</row>
    <row r="183" spans="2:52">
      <c r="B183" s="40" t="s">
        <v>561</v>
      </c>
      <c r="C183" s="40"/>
      <c r="D183" s="32"/>
      <c r="E183" s="32"/>
      <c r="F183" s="32"/>
      <c r="G183" s="32"/>
      <c r="H183" s="32"/>
      <c r="I183" s="32"/>
      <c r="J183" s="52"/>
      <c r="K183" s="52"/>
      <c r="L183" s="55"/>
      <c r="M183" s="32"/>
      <c r="N183" s="201"/>
      <c r="O183" s="5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1"/>
      <c r="AC183" s="201"/>
      <c r="AD183" s="201"/>
      <c r="AE183" s="201"/>
      <c r="AF183" s="201"/>
      <c r="AG183" s="201"/>
      <c r="AH183" s="201"/>
      <c r="AI183" s="201"/>
      <c r="AJ183" s="201"/>
      <c r="AK183" s="201"/>
      <c r="AL183" s="201"/>
      <c r="AM183" s="201"/>
      <c r="AN183" s="201"/>
      <c r="AO183" s="201"/>
      <c r="AP183" s="201"/>
      <c r="AQ183" s="201"/>
      <c r="AR183" s="201"/>
      <c r="AS183" s="201"/>
      <c r="AT183" s="201"/>
      <c r="AU183" s="201"/>
      <c r="AZ183" s="201"/>
    </row>
    <row r="184" spans="2:52">
      <c r="B184" s="422"/>
      <c r="C184" s="1249"/>
      <c r="D184" s="1249"/>
      <c r="E184" s="1249"/>
      <c r="F184" s="1249"/>
      <c r="G184" s="1249"/>
      <c r="H184" s="1249"/>
      <c r="I184" s="1249"/>
      <c r="J184" s="1249"/>
      <c r="K184" s="1249"/>
      <c r="L184" s="203"/>
      <c r="M184" s="201"/>
      <c r="N184" s="201"/>
      <c r="O184" s="209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1"/>
      <c r="AC184" s="201"/>
      <c r="AD184" s="201"/>
      <c r="AE184" s="201"/>
      <c r="AF184" s="201"/>
      <c r="AG184" s="201"/>
      <c r="AH184" s="201"/>
      <c r="AI184" s="201"/>
      <c r="AJ184" s="201"/>
      <c r="AK184" s="201"/>
      <c r="AL184" s="201"/>
      <c r="AM184" s="201"/>
      <c r="AN184" s="201"/>
      <c r="AO184" s="201"/>
      <c r="AP184" s="201"/>
      <c r="AQ184" s="201"/>
      <c r="AR184" s="201"/>
      <c r="AS184" s="201"/>
      <c r="AT184" s="201"/>
      <c r="AU184" s="201"/>
      <c r="AZ184" s="201"/>
    </row>
    <row r="186" spans="2:52">
      <c r="B186" s="28" t="s">
        <v>126</v>
      </c>
      <c r="C186" s="28"/>
      <c r="D186" s="29"/>
      <c r="E186" s="30" t="s">
        <v>511</v>
      </c>
      <c r="F186" s="31" t="s">
        <v>1052</v>
      </c>
      <c r="G186" s="32"/>
      <c r="H186" s="33"/>
      <c r="I186" s="34"/>
      <c r="J186" s="35" t="s">
        <v>513</v>
      </c>
      <c r="K186" s="36" t="s">
        <v>511</v>
      </c>
      <c r="L186" s="37">
        <v>44998.527777777781</v>
      </c>
      <c r="M186" s="32"/>
      <c r="N186" s="32"/>
      <c r="O186" s="206"/>
      <c r="P186" s="205"/>
      <c r="Q186" s="202"/>
      <c r="R186" s="204"/>
      <c r="S186" s="38"/>
      <c r="T186" s="201"/>
      <c r="U186" s="201"/>
      <c r="V186" s="201"/>
      <c r="W186" s="201"/>
      <c r="X186" s="201"/>
      <c r="Y186" s="201"/>
      <c r="Z186" s="201"/>
      <c r="AA186" s="201"/>
      <c r="AB186" s="202"/>
      <c r="AC186" s="202"/>
      <c r="AD186" s="202"/>
      <c r="AE186" s="202"/>
      <c r="AF186" s="202"/>
      <c r="AG186" s="201"/>
      <c r="AH186" s="201"/>
      <c r="AI186" s="201"/>
      <c r="AJ186" s="201"/>
      <c r="AK186" s="201"/>
      <c r="AL186" s="201"/>
      <c r="AM186" s="201"/>
      <c r="AN186" s="201"/>
      <c r="AO186" s="201"/>
      <c r="AP186" s="201"/>
      <c r="AQ186" s="201"/>
      <c r="AR186" s="201"/>
      <c r="AS186" s="201"/>
      <c r="AT186" s="201"/>
      <c r="AU186" s="201"/>
      <c r="AV186" s="201"/>
      <c r="AW186" s="201"/>
      <c r="AX186" s="201"/>
      <c r="AY186" s="201"/>
      <c r="AZ186" s="201"/>
    </row>
    <row r="187" spans="2:52">
      <c r="B187" s="35" t="s">
        <v>514</v>
      </c>
      <c r="C187" s="35"/>
      <c r="D187" s="32"/>
      <c r="E187" s="36" t="s">
        <v>511</v>
      </c>
      <c r="F187" s="37" t="s">
        <v>1142</v>
      </c>
      <c r="G187" s="60" t="s">
        <v>647</v>
      </c>
      <c r="H187" s="33"/>
      <c r="I187" s="34"/>
      <c r="J187" s="35" t="s">
        <v>516</v>
      </c>
      <c r="K187" s="36" t="s">
        <v>511</v>
      </c>
      <c r="L187" s="37">
        <v>44999.909722222219</v>
      </c>
      <c r="M187" s="32"/>
      <c r="N187" s="32"/>
      <c r="O187" s="206"/>
      <c r="P187" s="205"/>
      <c r="Q187" s="202"/>
      <c r="R187" s="204"/>
      <c r="S187" s="38"/>
      <c r="T187" s="201"/>
      <c r="U187" s="201"/>
      <c r="V187" s="201"/>
      <c r="W187" s="201"/>
      <c r="X187" s="201"/>
      <c r="Y187" s="201"/>
      <c r="Z187" s="201"/>
      <c r="AA187" s="201"/>
      <c r="AB187" s="202"/>
      <c r="AC187" s="202"/>
      <c r="AD187" s="202"/>
      <c r="AE187" s="202"/>
      <c r="AF187" s="202"/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  <c r="AQ187" s="201"/>
      <c r="AR187" s="201"/>
      <c r="AS187" s="201"/>
      <c r="AT187" s="201"/>
      <c r="AU187" s="201"/>
      <c r="AV187" s="201"/>
      <c r="AW187" s="201"/>
      <c r="AX187" s="201"/>
      <c r="AY187" s="201"/>
      <c r="AZ187" s="201"/>
    </row>
    <row r="188" spans="2:52">
      <c r="B188" s="35" t="s">
        <v>517</v>
      </c>
      <c r="C188" s="35"/>
      <c r="D188" s="32"/>
      <c r="E188" s="36" t="s">
        <v>511</v>
      </c>
      <c r="F188" s="37">
        <v>44993.809027777781</v>
      </c>
      <c r="G188" s="60">
        <v>44994</v>
      </c>
      <c r="H188" s="33"/>
      <c r="I188" s="34"/>
      <c r="J188" s="35" t="s">
        <v>518</v>
      </c>
      <c r="K188" s="36" t="s">
        <v>511</v>
      </c>
      <c r="L188" s="50">
        <v>45180</v>
      </c>
      <c r="M188" s="40" t="s">
        <v>519</v>
      </c>
      <c r="N188" s="40"/>
      <c r="O188" s="206"/>
      <c r="P188" s="205"/>
      <c r="Q188" s="202"/>
      <c r="R188" s="204"/>
      <c r="S188" s="38"/>
      <c r="T188" s="201"/>
      <c r="U188" s="201"/>
      <c r="V188" s="201"/>
      <c r="W188" s="201"/>
      <c r="X188" s="201"/>
      <c r="Y188" s="201"/>
      <c r="Z188" s="201"/>
      <c r="AA188" s="201"/>
      <c r="AB188" s="202"/>
      <c r="AC188" s="202"/>
      <c r="AD188" s="202"/>
      <c r="AE188" s="202"/>
      <c r="AF188" s="202"/>
      <c r="AG188" s="201"/>
      <c r="AH188" s="201"/>
      <c r="AI188" s="201"/>
      <c r="AJ188" s="201"/>
      <c r="AK188" s="201"/>
      <c r="AL188" s="201"/>
      <c r="AM188" s="201"/>
      <c r="AN188" s="201"/>
      <c r="AO188" s="201"/>
      <c r="AP188" s="201"/>
      <c r="AQ188" s="201"/>
      <c r="AR188" s="201"/>
      <c r="AS188" s="201"/>
      <c r="AT188" s="201"/>
      <c r="AU188" s="201"/>
      <c r="AV188" s="201"/>
      <c r="AW188" s="201"/>
      <c r="AX188" s="201"/>
      <c r="AY188" s="201"/>
      <c r="AZ188" s="201"/>
    </row>
    <row r="189" spans="2:52">
      <c r="B189" s="35" t="s">
        <v>520</v>
      </c>
      <c r="C189" s="35"/>
      <c r="D189" s="32"/>
      <c r="E189" s="36" t="s">
        <v>511</v>
      </c>
      <c r="F189" s="37" t="s">
        <v>12</v>
      </c>
      <c r="G189" s="32"/>
      <c r="H189" s="33"/>
      <c r="I189" s="34"/>
      <c r="J189" s="35" t="s">
        <v>521</v>
      </c>
      <c r="K189" s="36" t="s">
        <v>511</v>
      </c>
      <c r="L189" s="41" t="s">
        <v>1143</v>
      </c>
      <c r="M189" s="32"/>
      <c r="N189" s="32"/>
      <c r="O189" s="206"/>
      <c r="P189" s="202"/>
      <c r="Q189" s="202"/>
      <c r="R189" s="204"/>
      <c r="S189" s="38"/>
      <c r="T189" s="201"/>
      <c r="U189" s="201"/>
      <c r="V189" s="201"/>
      <c r="W189" s="201"/>
      <c r="X189" s="201"/>
      <c r="Y189" s="201"/>
      <c r="Z189" s="201"/>
      <c r="AA189" s="201"/>
      <c r="AB189" s="202"/>
      <c r="AC189" s="202"/>
      <c r="AD189" s="202"/>
      <c r="AE189" s="202"/>
      <c r="AF189" s="202"/>
      <c r="AG189" s="201"/>
      <c r="AH189" s="201"/>
      <c r="AI189" s="201"/>
      <c r="AJ189" s="201"/>
      <c r="AK189" s="201"/>
      <c r="AL189" s="201"/>
      <c r="AM189" s="201"/>
      <c r="AN189" s="201"/>
      <c r="AO189" s="201"/>
      <c r="AP189" s="201"/>
      <c r="AQ189" s="201"/>
      <c r="AR189" s="201"/>
      <c r="AS189" s="201"/>
      <c r="AT189" s="201"/>
      <c r="AU189" s="201"/>
      <c r="AV189" s="201"/>
      <c r="AW189" s="201"/>
      <c r="AX189" s="201"/>
      <c r="AY189" s="201"/>
      <c r="AZ189" s="201"/>
    </row>
    <row r="190" spans="2:52">
      <c r="B190" s="35" t="s">
        <v>523</v>
      </c>
      <c r="C190" s="35"/>
      <c r="D190" s="32"/>
      <c r="E190" s="36" t="s">
        <v>511</v>
      </c>
      <c r="F190" s="37" t="s">
        <v>37</v>
      </c>
      <c r="G190" s="32"/>
      <c r="H190" s="33"/>
      <c r="I190" s="34"/>
      <c r="J190" s="42" t="s">
        <v>524</v>
      </c>
      <c r="K190" s="36" t="s">
        <v>511</v>
      </c>
      <c r="L190" s="43" t="s">
        <v>11</v>
      </c>
      <c r="M190" s="44"/>
      <c r="N190" s="44"/>
      <c r="O190" s="206"/>
      <c r="P190" s="205"/>
      <c r="Q190" s="202"/>
      <c r="R190" s="204"/>
      <c r="S190" s="38"/>
      <c r="T190" s="201"/>
      <c r="U190" s="201"/>
      <c r="V190" s="201"/>
      <c r="W190" s="201"/>
      <c r="X190" s="201"/>
      <c r="Y190" s="201"/>
      <c r="Z190" s="201"/>
      <c r="AA190" s="201"/>
      <c r="AB190" s="202"/>
      <c r="AC190" s="202"/>
      <c r="AD190" s="202"/>
      <c r="AE190" s="202"/>
      <c r="AF190" s="202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201"/>
      <c r="AR190" s="201"/>
      <c r="AS190" s="201"/>
      <c r="AT190" s="201"/>
      <c r="AU190" s="201"/>
      <c r="AV190" s="201"/>
      <c r="AW190" s="201"/>
      <c r="AX190" s="201"/>
      <c r="AY190" s="201"/>
      <c r="AZ190" s="201"/>
    </row>
    <row r="191" spans="2:52">
      <c r="B191" s="35" t="s">
        <v>2</v>
      </c>
      <c r="C191" s="35"/>
      <c r="D191" s="32"/>
      <c r="E191" s="36" t="s">
        <v>511</v>
      </c>
      <c r="F191" s="37" t="s">
        <v>14</v>
      </c>
      <c r="G191" s="32"/>
      <c r="H191" s="33"/>
      <c r="I191" s="45"/>
      <c r="J191" s="42"/>
      <c r="K191" s="36"/>
      <c r="L191" s="211"/>
      <c r="M191" s="201"/>
      <c r="N191" s="201"/>
      <c r="O191" s="42"/>
      <c r="P191" s="44"/>
      <c r="Q191" s="44"/>
      <c r="R191" s="44"/>
      <c r="S191" s="34"/>
      <c r="T191" s="201"/>
      <c r="U191" s="201"/>
      <c r="V191" s="201"/>
      <c r="W191" s="201"/>
      <c r="X191" s="201"/>
      <c r="Y191" s="201"/>
      <c r="Z191" s="201"/>
      <c r="AA191" s="201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201"/>
      <c r="AP191" s="201"/>
      <c r="AQ191" s="201"/>
      <c r="AR191" s="201"/>
      <c r="AS191" s="201"/>
      <c r="AT191" s="201"/>
      <c r="AU191" s="201"/>
      <c r="AV191" s="201"/>
      <c r="AW191" s="201"/>
      <c r="AX191" s="201"/>
      <c r="AY191" s="201"/>
      <c r="AZ191" s="201"/>
    </row>
    <row r="192" spans="2:52">
      <c r="B192" s="201"/>
      <c r="C192" s="201"/>
      <c r="D192" s="201"/>
      <c r="E192" s="201"/>
      <c r="F192" s="201"/>
      <c r="G192" s="201"/>
      <c r="H192" s="201"/>
      <c r="I192" s="45"/>
      <c r="J192" s="42"/>
      <c r="K192" s="42"/>
      <c r="L192" s="43"/>
      <c r="M192" s="44"/>
      <c r="N192" s="44"/>
      <c r="O192" s="42"/>
      <c r="P192" s="44"/>
      <c r="Q192" s="44"/>
      <c r="R192" s="44"/>
      <c r="S192" s="34"/>
      <c r="T192" s="1265" t="s">
        <v>87</v>
      </c>
      <c r="U192" s="1265"/>
      <c r="V192" s="1265"/>
      <c r="W192" s="1265"/>
      <c r="X192" s="1265"/>
      <c r="Y192" s="1265" t="s">
        <v>73</v>
      </c>
      <c r="Z192" s="1265"/>
      <c r="AA192" s="1265"/>
      <c r="AB192" s="1265" t="s">
        <v>74</v>
      </c>
      <c r="AC192" s="1265"/>
      <c r="AD192" s="423" t="s">
        <v>85</v>
      </c>
      <c r="AE192" s="423" t="s">
        <v>77</v>
      </c>
      <c r="AF192" s="1265" t="s">
        <v>525</v>
      </c>
      <c r="AG192" s="1265"/>
      <c r="AH192" s="1265"/>
      <c r="AI192" s="1265"/>
      <c r="AJ192" s="1265"/>
      <c r="AK192" s="1265"/>
      <c r="AL192" s="1265"/>
      <c r="AM192" s="1265"/>
      <c r="AN192" s="1265"/>
      <c r="AO192" s="1265"/>
      <c r="AP192" s="1265"/>
      <c r="AQ192" s="1265"/>
      <c r="AR192" s="1265"/>
      <c r="AS192" s="1265"/>
      <c r="AT192" s="1265"/>
      <c r="AU192" s="1265"/>
      <c r="AV192" s="1265"/>
      <c r="AW192" s="1265"/>
      <c r="AX192" s="1265"/>
      <c r="AY192" s="1265"/>
      <c r="AZ192" s="201"/>
    </row>
    <row r="193" spans="2:52">
      <c r="B193" s="1266" t="s">
        <v>526</v>
      </c>
      <c r="C193" s="1267"/>
      <c r="D193" s="570" t="s">
        <v>527</v>
      </c>
      <c r="E193" s="570"/>
      <c r="F193" s="570" t="s">
        <v>528</v>
      </c>
      <c r="G193" s="570" t="s">
        <v>529</v>
      </c>
      <c r="H193" s="570" t="s">
        <v>530</v>
      </c>
      <c r="I193" s="570" t="s">
        <v>531</v>
      </c>
      <c r="J193" s="570" t="s">
        <v>532</v>
      </c>
      <c r="K193" s="570"/>
      <c r="L193" s="570" t="s">
        <v>130</v>
      </c>
      <c r="M193" s="570" t="s">
        <v>533</v>
      </c>
      <c r="N193" s="408" t="str">
        <f>"On time - "&amp;COUNTIF(N194:N200,"On time")&amp;" from "&amp;ROWS(N194:N200)-COUNTIF(N194:N200," ")</f>
        <v>On time - 3 from 6</v>
      </c>
      <c r="O193" s="46"/>
      <c r="P193" s="409" t="s">
        <v>534</v>
      </c>
      <c r="Q193" s="409" t="s">
        <v>535</v>
      </c>
      <c r="R193" s="409" t="s">
        <v>536</v>
      </c>
      <c r="S193" s="32"/>
      <c r="T193" s="424" t="s">
        <v>537</v>
      </c>
      <c r="U193" s="424" t="s">
        <v>538</v>
      </c>
      <c r="V193" s="424" t="s">
        <v>539</v>
      </c>
      <c r="W193" s="424" t="s">
        <v>540</v>
      </c>
      <c r="X193" s="424" t="s">
        <v>541</v>
      </c>
      <c r="Y193" s="424" t="s">
        <v>167</v>
      </c>
      <c r="Z193" s="424" t="s">
        <v>168</v>
      </c>
      <c r="AA193" s="424" t="s">
        <v>169</v>
      </c>
      <c r="AB193" s="424" t="s">
        <v>235</v>
      </c>
      <c r="AC193" s="424" t="s">
        <v>240</v>
      </c>
      <c r="AD193" s="423" t="s">
        <v>85</v>
      </c>
      <c r="AE193" s="424" t="s">
        <v>139</v>
      </c>
      <c r="AF193" s="424" t="s">
        <v>72</v>
      </c>
      <c r="AG193" s="424" t="s">
        <v>88</v>
      </c>
      <c r="AH193" s="424" t="s">
        <v>75</v>
      </c>
      <c r="AI193" s="424" t="s">
        <v>543</v>
      </c>
      <c r="AJ193" s="424" t="s">
        <v>78</v>
      </c>
      <c r="AK193" s="424" t="s">
        <v>76</v>
      </c>
      <c r="AL193" s="424" t="s">
        <v>544</v>
      </c>
      <c r="AM193" s="424" t="s">
        <v>545</v>
      </c>
      <c r="AN193" s="424" t="s">
        <v>86</v>
      </c>
      <c r="AO193" s="424" t="s">
        <v>83</v>
      </c>
      <c r="AP193" s="424" t="s">
        <v>84</v>
      </c>
      <c r="AQ193" s="424" t="s">
        <v>546</v>
      </c>
      <c r="AR193" s="424" t="s">
        <v>81</v>
      </c>
      <c r="AS193" s="424" t="s">
        <v>80</v>
      </c>
      <c r="AT193" s="424" t="s">
        <v>82</v>
      </c>
      <c r="AU193" s="424" t="s">
        <v>181</v>
      </c>
      <c r="AV193" s="424" t="s">
        <v>183</v>
      </c>
      <c r="AW193" s="424" t="s">
        <v>547</v>
      </c>
      <c r="AX193" s="424" t="s">
        <v>182</v>
      </c>
      <c r="AY193" s="424" t="s">
        <v>172</v>
      </c>
      <c r="AZ193" s="201"/>
    </row>
    <row r="194" spans="2:52">
      <c r="B194" s="1256" t="s">
        <v>548</v>
      </c>
      <c r="C194" s="1257"/>
      <c r="D194" s="411" t="s">
        <v>1080</v>
      </c>
      <c r="E194" s="411"/>
      <c r="F194" s="411" t="s">
        <v>201</v>
      </c>
      <c r="G194" s="411" t="s">
        <v>202</v>
      </c>
      <c r="H194" s="412">
        <v>7679.5879999999997</v>
      </c>
      <c r="I194" s="413" t="s">
        <v>494</v>
      </c>
      <c r="J194" s="414">
        <v>44993.625</v>
      </c>
      <c r="K194" s="414"/>
      <c r="L194" s="414" t="s">
        <v>192</v>
      </c>
      <c r="M194" s="414" t="s">
        <v>192</v>
      </c>
      <c r="N194" s="413" t="str">
        <f>IF(ISBLANK(J194)," ",IF(J194&lt;$G$188,"On time",(IF(DAY(J194-$G$188)&lt;1,"On time",(IF(J194&gt;$G$188,"DELAY ( "&amp;DAY(J194-$G$188)&amp;" day "&amp;HOUR(J194-$G$188)&amp;" hour "&amp;MINUTE(J194-$G$188)&amp;" minute )","xxx"))))))</f>
        <v>On time</v>
      </c>
      <c r="O194" s="51"/>
      <c r="P194" s="415" t="s">
        <v>551</v>
      </c>
      <c r="Q194" s="415" t="s">
        <v>551</v>
      </c>
      <c r="R194" s="415" t="s">
        <v>551</v>
      </c>
      <c r="S194" s="32"/>
      <c r="T194" s="416"/>
      <c r="U194" s="416"/>
      <c r="V194" s="416"/>
      <c r="W194" s="416"/>
      <c r="X194" s="416"/>
      <c r="Y194" s="416">
        <f>H194</f>
        <v>7679.5879999999997</v>
      </c>
      <c r="Z194" s="416"/>
      <c r="AA194" s="416"/>
      <c r="AB194" s="416"/>
      <c r="AC194" s="416"/>
      <c r="AD194" s="416"/>
      <c r="AE194" s="416"/>
      <c r="AF194" s="416"/>
      <c r="AG194" s="416"/>
      <c r="AH194" s="416"/>
      <c r="AI194" s="416"/>
      <c r="AJ194" s="416"/>
      <c r="AK194" s="416"/>
      <c r="AL194" s="416"/>
      <c r="AM194" s="416"/>
      <c r="AN194" s="416"/>
      <c r="AO194" s="416"/>
      <c r="AP194" s="416"/>
      <c r="AQ194" s="416"/>
      <c r="AR194" s="416"/>
      <c r="AS194" s="416"/>
      <c r="AT194" s="416"/>
      <c r="AU194" s="416"/>
      <c r="AV194" s="416"/>
      <c r="AW194" s="416"/>
      <c r="AX194" s="416"/>
      <c r="AY194" s="416"/>
      <c r="AZ194" s="32"/>
    </row>
    <row r="195" spans="2:52">
      <c r="B195" s="1256" t="s">
        <v>548</v>
      </c>
      <c r="C195" s="1257"/>
      <c r="D195" s="411" t="s">
        <v>1079</v>
      </c>
      <c r="E195" s="411"/>
      <c r="F195" s="411" t="s">
        <v>208</v>
      </c>
      <c r="G195" s="411" t="s">
        <v>328</v>
      </c>
      <c r="H195" s="412">
        <v>7440.9189999999999</v>
      </c>
      <c r="I195" s="413" t="s">
        <v>494</v>
      </c>
      <c r="J195" s="414">
        <v>44993.649305555555</v>
      </c>
      <c r="K195" s="414"/>
      <c r="L195" s="414" t="s">
        <v>192</v>
      </c>
      <c r="M195" s="414" t="s">
        <v>192</v>
      </c>
      <c r="N195" s="413" t="str">
        <f t="shared" ref="N195:N202" si="11">IF(ISBLANK(J195)," ",IF(J195&lt;$G$188,"On time",(IF(DAY(J195-$G$188)&lt;1,"On time",(IF(J195&gt;$G$188,"DELAY ( "&amp;DAY(J195-$G$188)&amp;" day "&amp;HOUR(J195-$G$188)&amp;" hour "&amp;MINUTE(J195-$G$188)&amp;" minute )","xxx"))))))</f>
        <v>On time</v>
      </c>
      <c r="O195" s="51"/>
      <c r="P195" s="415" t="s">
        <v>551</v>
      </c>
      <c r="Q195" s="415" t="s">
        <v>551</v>
      </c>
      <c r="R195" s="415" t="s">
        <v>551</v>
      </c>
      <c r="S195" s="32"/>
      <c r="T195" s="416"/>
      <c r="U195" s="416"/>
      <c r="V195" s="416"/>
      <c r="W195" s="416"/>
      <c r="X195" s="416"/>
      <c r="Y195" s="416">
        <f>H195</f>
        <v>7440.9189999999999</v>
      </c>
      <c r="Z195" s="416"/>
      <c r="AA195" s="416"/>
      <c r="AB195" s="416"/>
      <c r="AC195" s="416"/>
      <c r="AD195" s="416"/>
      <c r="AE195" s="416"/>
      <c r="AF195" s="416"/>
      <c r="AG195" s="416"/>
      <c r="AH195" s="416"/>
      <c r="AI195" s="416"/>
      <c r="AJ195" s="416"/>
      <c r="AK195" s="416"/>
      <c r="AL195" s="416"/>
      <c r="AM195" s="416"/>
      <c r="AN195" s="416"/>
      <c r="AO195" s="416"/>
      <c r="AP195" s="416"/>
      <c r="AQ195" s="416"/>
      <c r="AR195" s="416"/>
      <c r="AS195" s="416"/>
      <c r="AT195" s="416"/>
      <c r="AU195" s="416"/>
      <c r="AV195" s="416"/>
      <c r="AW195" s="416"/>
      <c r="AX195" s="416"/>
      <c r="AY195" s="416"/>
      <c r="AZ195" s="32"/>
    </row>
    <row r="196" spans="2:52">
      <c r="B196" s="1250" t="s">
        <v>643</v>
      </c>
      <c r="C196" s="1251"/>
      <c r="D196" s="411" t="s">
        <v>1081</v>
      </c>
      <c r="E196" s="411"/>
      <c r="F196" s="411" t="s">
        <v>307</v>
      </c>
      <c r="G196" s="411" t="s">
        <v>308</v>
      </c>
      <c r="H196" s="412">
        <v>7681.1890000000003</v>
      </c>
      <c r="I196" s="413" t="s">
        <v>494</v>
      </c>
      <c r="J196" s="414">
        <v>44994.71875</v>
      </c>
      <c r="K196" s="414"/>
      <c r="L196" s="414" t="s">
        <v>192</v>
      </c>
      <c r="M196" s="414" t="s">
        <v>192</v>
      </c>
      <c r="N196" s="413" t="str">
        <f t="shared" si="11"/>
        <v>On time</v>
      </c>
      <c r="O196" s="51"/>
      <c r="P196" s="415" t="s">
        <v>551</v>
      </c>
      <c r="Q196" s="415" t="s">
        <v>551</v>
      </c>
      <c r="R196" s="415" t="s">
        <v>551</v>
      </c>
      <c r="S196" s="32"/>
      <c r="T196" s="416"/>
      <c r="U196" s="416"/>
      <c r="V196" s="416"/>
      <c r="W196" s="416"/>
      <c r="X196" s="416"/>
      <c r="Y196" s="416">
        <f>H196</f>
        <v>7681.1890000000003</v>
      </c>
      <c r="Z196" s="416"/>
      <c r="AA196" s="416"/>
      <c r="AB196" s="416"/>
      <c r="AC196" s="416"/>
      <c r="AD196" s="416"/>
      <c r="AE196" s="416"/>
      <c r="AF196" s="416"/>
      <c r="AG196" s="416"/>
      <c r="AH196" s="416"/>
      <c r="AI196" s="416"/>
      <c r="AJ196" s="416"/>
      <c r="AK196" s="416"/>
      <c r="AL196" s="416"/>
      <c r="AM196" s="416"/>
      <c r="AN196" s="416"/>
      <c r="AO196" s="416"/>
      <c r="AP196" s="416"/>
      <c r="AQ196" s="416"/>
      <c r="AR196" s="416"/>
      <c r="AS196" s="416"/>
      <c r="AT196" s="416"/>
      <c r="AU196" s="416"/>
      <c r="AV196" s="416"/>
      <c r="AW196" s="416"/>
      <c r="AX196" s="416"/>
      <c r="AY196" s="416"/>
      <c r="AZ196" s="32"/>
    </row>
    <row r="197" spans="2:52">
      <c r="B197" s="1252"/>
      <c r="C197" s="1253"/>
      <c r="D197" s="411" t="s">
        <v>1053</v>
      </c>
      <c r="E197" s="425"/>
      <c r="F197" s="411" t="s">
        <v>267</v>
      </c>
      <c r="G197" s="411" t="s">
        <v>268</v>
      </c>
      <c r="H197" s="412">
        <f>7500/2</f>
        <v>3750</v>
      </c>
      <c r="I197" s="413" t="s">
        <v>76</v>
      </c>
      <c r="J197" s="1268">
        <v>44996.625</v>
      </c>
      <c r="K197" s="414"/>
      <c r="L197" s="414" t="s">
        <v>192</v>
      </c>
      <c r="M197" s="414" t="s">
        <v>192</v>
      </c>
      <c r="N197" s="413" t="str">
        <f t="shared" si="11"/>
        <v>DELAY ( 2 day 15 hour 0 minute )</v>
      </c>
      <c r="O197" s="51"/>
      <c r="P197" s="415" t="s">
        <v>551</v>
      </c>
      <c r="Q197" s="415" t="s">
        <v>551</v>
      </c>
      <c r="R197" s="415" t="s">
        <v>551</v>
      </c>
      <c r="S197" s="32"/>
      <c r="T197" s="416"/>
      <c r="U197" s="416"/>
      <c r="V197" s="416"/>
      <c r="W197" s="416"/>
      <c r="X197" s="416"/>
      <c r="Y197" s="416"/>
      <c r="Z197" s="416"/>
      <c r="AA197" s="416"/>
      <c r="AB197" s="416"/>
      <c r="AC197" s="416"/>
      <c r="AD197" s="416"/>
      <c r="AE197" s="416"/>
      <c r="AF197" s="416"/>
      <c r="AG197" s="416"/>
      <c r="AH197" s="416"/>
      <c r="AI197" s="416"/>
      <c r="AJ197" s="416"/>
      <c r="AK197" s="416">
        <f>H197</f>
        <v>3750</v>
      </c>
      <c r="AL197" s="416"/>
      <c r="AM197" s="416"/>
      <c r="AN197" s="416"/>
      <c r="AO197" s="416"/>
      <c r="AP197" s="416"/>
      <c r="AQ197" s="416"/>
      <c r="AR197" s="416"/>
      <c r="AS197" s="416"/>
      <c r="AT197" s="416"/>
      <c r="AU197" s="416"/>
      <c r="AV197" s="416"/>
      <c r="AW197" s="416"/>
      <c r="AX197" s="416"/>
      <c r="AY197" s="416"/>
      <c r="AZ197" s="32"/>
    </row>
    <row r="198" spans="2:52">
      <c r="B198" s="1250" t="s">
        <v>885</v>
      </c>
      <c r="C198" s="1251"/>
      <c r="D198" s="411" t="s">
        <v>1053</v>
      </c>
      <c r="E198" s="425"/>
      <c r="F198" s="411" t="s">
        <v>267</v>
      </c>
      <c r="G198" s="411" t="s">
        <v>268</v>
      </c>
      <c r="H198" s="412">
        <f>H197</f>
        <v>3750</v>
      </c>
      <c r="I198" s="413" t="s">
        <v>76</v>
      </c>
      <c r="J198" s="1269"/>
      <c r="K198" s="414"/>
      <c r="L198" s="414" t="s">
        <v>192</v>
      </c>
      <c r="M198" s="414" t="s">
        <v>192</v>
      </c>
      <c r="N198" s="413" t="str">
        <f t="shared" si="11"/>
        <v xml:space="preserve"> </v>
      </c>
      <c r="O198" s="51"/>
      <c r="P198" s="415" t="s">
        <v>551</v>
      </c>
      <c r="Q198" s="415" t="s">
        <v>551</v>
      </c>
      <c r="R198" s="415" t="s">
        <v>551</v>
      </c>
      <c r="S198" s="32"/>
      <c r="T198" s="416"/>
      <c r="U198" s="416"/>
      <c r="V198" s="416"/>
      <c r="W198" s="416"/>
      <c r="X198" s="416"/>
      <c r="Y198" s="416"/>
      <c r="Z198" s="416"/>
      <c r="AA198" s="416"/>
      <c r="AB198" s="416"/>
      <c r="AC198" s="416"/>
      <c r="AD198" s="416"/>
      <c r="AE198" s="416"/>
      <c r="AF198" s="416"/>
      <c r="AG198" s="416"/>
      <c r="AH198" s="416"/>
      <c r="AI198" s="416"/>
      <c r="AJ198" s="416"/>
      <c r="AK198" s="416">
        <f>H198</f>
        <v>3750</v>
      </c>
      <c r="AL198" s="416"/>
      <c r="AM198" s="416"/>
      <c r="AN198" s="416"/>
      <c r="AO198" s="416"/>
      <c r="AP198" s="416"/>
      <c r="AQ198" s="416"/>
      <c r="AR198" s="416"/>
      <c r="AS198" s="416"/>
      <c r="AT198" s="416"/>
      <c r="AU198" s="416"/>
      <c r="AV198" s="416"/>
      <c r="AW198" s="416"/>
      <c r="AX198" s="416"/>
      <c r="AY198" s="416"/>
      <c r="AZ198" s="32"/>
    </row>
    <row r="199" spans="2:52">
      <c r="B199" s="1252"/>
      <c r="C199" s="1253"/>
      <c r="D199" s="411" t="s">
        <v>1083</v>
      </c>
      <c r="E199" s="411"/>
      <c r="F199" s="411" t="s">
        <v>358</v>
      </c>
      <c r="G199" s="411" t="s">
        <v>359</v>
      </c>
      <c r="H199" s="412">
        <v>9104.3580000000002</v>
      </c>
      <c r="I199" s="413" t="s">
        <v>494</v>
      </c>
      <c r="J199" s="414">
        <v>44995.520833333336</v>
      </c>
      <c r="K199" s="414"/>
      <c r="L199" s="414" t="s">
        <v>192</v>
      </c>
      <c r="M199" s="414" t="s">
        <v>192</v>
      </c>
      <c r="N199" s="413" t="str">
        <f t="shared" si="11"/>
        <v>DELAY ( 1 day 12 hour 30 minute )</v>
      </c>
      <c r="O199" s="51"/>
      <c r="P199" s="415" t="s">
        <v>551</v>
      </c>
      <c r="Q199" s="415" t="s">
        <v>551</v>
      </c>
      <c r="R199" s="415" t="s">
        <v>551</v>
      </c>
      <c r="S199" s="32"/>
      <c r="T199" s="416"/>
      <c r="U199" s="416"/>
      <c r="V199" s="416"/>
      <c r="W199" s="416"/>
      <c r="X199" s="416"/>
      <c r="Y199" s="416">
        <f>H199</f>
        <v>9104.3580000000002</v>
      </c>
      <c r="Z199" s="416"/>
      <c r="AA199" s="416"/>
      <c r="AB199" s="416"/>
      <c r="AC199" s="416"/>
      <c r="AD199" s="416"/>
      <c r="AE199" s="416"/>
      <c r="AF199" s="416"/>
      <c r="AG199" s="416"/>
      <c r="AH199" s="416"/>
      <c r="AI199" s="416"/>
      <c r="AJ199" s="416"/>
      <c r="AK199" s="416"/>
      <c r="AL199" s="416"/>
      <c r="AM199" s="416"/>
      <c r="AN199" s="416"/>
      <c r="AO199" s="416"/>
      <c r="AP199" s="416"/>
      <c r="AQ199" s="416"/>
      <c r="AR199" s="416"/>
      <c r="AS199" s="416"/>
      <c r="AT199" s="416"/>
      <c r="AU199" s="416"/>
      <c r="AV199" s="416"/>
      <c r="AW199" s="416"/>
      <c r="AX199" s="416"/>
      <c r="AY199" s="416"/>
      <c r="AZ199" s="32"/>
    </row>
    <row r="200" spans="2:52">
      <c r="B200" s="1256" t="s">
        <v>548</v>
      </c>
      <c r="C200" s="1257"/>
      <c r="D200" s="411" t="s">
        <v>1082</v>
      </c>
      <c r="E200" s="411"/>
      <c r="F200" s="411" t="s">
        <v>377</v>
      </c>
      <c r="G200" s="411" t="s">
        <v>378</v>
      </c>
      <c r="H200" s="412">
        <f>7706.587-1932.641</f>
        <v>5773.9459999999999</v>
      </c>
      <c r="I200" s="413" t="s">
        <v>494</v>
      </c>
      <c r="J200" s="414">
        <v>44995.5</v>
      </c>
      <c r="K200" s="414"/>
      <c r="L200" s="414" t="s">
        <v>192</v>
      </c>
      <c r="M200" s="414" t="s">
        <v>192</v>
      </c>
      <c r="N200" s="413" t="str">
        <f t="shared" si="11"/>
        <v>DELAY ( 1 day 12 hour 0 minute )</v>
      </c>
      <c r="O200" s="51"/>
      <c r="P200" s="415" t="s">
        <v>551</v>
      </c>
      <c r="Q200" s="415" t="s">
        <v>551</v>
      </c>
      <c r="R200" s="415" t="s">
        <v>551</v>
      </c>
      <c r="S200" s="32"/>
      <c r="T200" s="416"/>
      <c r="U200" s="416"/>
      <c r="V200" s="416"/>
      <c r="W200" s="416"/>
      <c r="X200" s="416"/>
      <c r="Y200" s="416">
        <f>H200</f>
        <v>5773.9459999999999</v>
      </c>
      <c r="Z200" s="416"/>
      <c r="AA200" s="416"/>
      <c r="AB200" s="416"/>
      <c r="AC200" s="416"/>
      <c r="AD200" s="416"/>
      <c r="AE200" s="416"/>
      <c r="AF200" s="416"/>
      <c r="AG200" s="416"/>
      <c r="AH200" s="416"/>
      <c r="AI200" s="416"/>
      <c r="AJ200" s="416"/>
      <c r="AK200" s="416"/>
      <c r="AL200" s="416"/>
      <c r="AM200" s="416"/>
      <c r="AN200" s="416"/>
      <c r="AO200" s="416"/>
      <c r="AP200" s="416"/>
      <c r="AQ200" s="416"/>
      <c r="AR200" s="416"/>
      <c r="AS200" s="416"/>
      <c r="AT200" s="416"/>
      <c r="AU200" s="416"/>
      <c r="AV200" s="416"/>
      <c r="AW200" s="416"/>
      <c r="AX200" s="416"/>
      <c r="AY200" s="416"/>
      <c r="AZ200" s="32"/>
    </row>
    <row r="201" spans="2:52">
      <c r="B201" s="1258" t="s">
        <v>556</v>
      </c>
      <c r="C201" s="1259"/>
      <c r="D201" s="1259"/>
      <c r="E201" s="1259"/>
      <c r="F201" s="1259"/>
      <c r="G201" s="1260"/>
      <c r="H201" s="417">
        <f>SUM(H194:H200)</f>
        <v>45180</v>
      </c>
      <c r="I201" s="388"/>
      <c r="J201" s="293"/>
      <c r="K201" s="293"/>
      <c r="L201" s="293"/>
      <c r="M201" s="389"/>
      <c r="N201" s="413" t="str">
        <f t="shared" si="11"/>
        <v xml:space="preserve"> </v>
      </c>
      <c r="O201" s="212"/>
      <c r="P201" s="418"/>
      <c r="Q201" s="418"/>
      <c r="R201" s="418"/>
      <c r="S201" s="207"/>
      <c r="T201" s="1262"/>
      <c r="U201" s="1263"/>
      <c r="V201" s="1263"/>
      <c r="W201" s="1263"/>
      <c r="X201" s="1263"/>
      <c r="Y201" s="1263"/>
      <c r="Z201" s="1263"/>
      <c r="AA201" s="1263"/>
      <c r="AB201" s="1263"/>
      <c r="AC201" s="1263"/>
      <c r="AD201" s="1263"/>
      <c r="AE201" s="1263"/>
      <c r="AF201" s="1263"/>
      <c r="AG201" s="1263"/>
      <c r="AH201" s="1263"/>
      <c r="AI201" s="1263"/>
      <c r="AJ201" s="1263"/>
      <c r="AK201" s="1263"/>
      <c r="AL201" s="1263"/>
      <c r="AM201" s="1263"/>
      <c r="AN201" s="1263"/>
      <c r="AO201" s="1263"/>
      <c r="AP201" s="1263"/>
      <c r="AQ201" s="1263"/>
      <c r="AR201" s="1263"/>
      <c r="AS201" s="1263"/>
      <c r="AT201" s="1263"/>
      <c r="AU201" s="1263"/>
      <c r="AV201" s="1263"/>
      <c r="AW201" s="1263"/>
      <c r="AX201" s="1263"/>
      <c r="AY201" s="1264"/>
    </row>
    <row r="202" spans="2:52">
      <c r="B202" s="1243" t="s">
        <v>557</v>
      </c>
      <c r="C202" s="1244"/>
      <c r="D202" s="1244"/>
      <c r="E202" s="1244"/>
      <c r="F202" s="1244"/>
      <c r="G202" s="1245"/>
      <c r="H202" s="419">
        <v>45180</v>
      </c>
      <c r="I202" s="1246"/>
      <c r="J202" s="1247"/>
      <c r="K202" s="1247"/>
      <c r="L202" s="1247"/>
      <c r="M202" s="1248"/>
      <c r="N202" s="413" t="str">
        <f t="shared" si="11"/>
        <v xml:space="preserve"> </v>
      </c>
      <c r="O202" s="32"/>
      <c r="P202" s="415"/>
      <c r="Q202" s="415"/>
      <c r="R202" s="415"/>
      <c r="S202" s="63"/>
      <c r="T202" s="416">
        <f>SUM(T194:T200)</f>
        <v>0</v>
      </c>
      <c r="U202" s="416">
        <f t="shared" ref="U202:AY202" si="12">SUM(U194:U200)</f>
        <v>0</v>
      </c>
      <c r="V202" s="416">
        <f t="shared" si="12"/>
        <v>0</v>
      </c>
      <c r="W202" s="416">
        <f t="shared" si="12"/>
        <v>0</v>
      </c>
      <c r="X202" s="416">
        <f t="shared" si="12"/>
        <v>0</v>
      </c>
      <c r="Y202" s="416">
        <f t="shared" si="12"/>
        <v>37680</v>
      </c>
      <c r="Z202" s="416">
        <f t="shared" si="12"/>
        <v>0</v>
      </c>
      <c r="AA202" s="416">
        <f t="shared" si="12"/>
        <v>0</v>
      </c>
      <c r="AB202" s="416">
        <f t="shared" si="12"/>
        <v>0</v>
      </c>
      <c r="AC202" s="416">
        <f t="shared" si="12"/>
        <v>0</v>
      </c>
      <c r="AD202" s="416">
        <f t="shared" si="12"/>
        <v>0</v>
      </c>
      <c r="AE202" s="416">
        <f t="shared" si="12"/>
        <v>0</v>
      </c>
      <c r="AF202" s="416">
        <f t="shared" si="12"/>
        <v>0</v>
      </c>
      <c r="AG202" s="416">
        <f t="shared" si="12"/>
        <v>0</v>
      </c>
      <c r="AH202" s="416">
        <f t="shared" si="12"/>
        <v>0</v>
      </c>
      <c r="AI202" s="416">
        <f t="shared" si="12"/>
        <v>0</v>
      </c>
      <c r="AJ202" s="416">
        <f t="shared" si="12"/>
        <v>0</v>
      </c>
      <c r="AK202" s="416">
        <f t="shared" si="12"/>
        <v>7500</v>
      </c>
      <c r="AL202" s="416">
        <f t="shared" si="12"/>
        <v>0</v>
      </c>
      <c r="AM202" s="416">
        <f t="shared" si="12"/>
        <v>0</v>
      </c>
      <c r="AN202" s="416">
        <f t="shared" si="12"/>
        <v>0</v>
      </c>
      <c r="AO202" s="416">
        <f t="shared" si="12"/>
        <v>0</v>
      </c>
      <c r="AP202" s="416">
        <f t="shared" si="12"/>
        <v>0</v>
      </c>
      <c r="AQ202" s="416">
        <f t="shared" si="12"/>
        <v>0</v>
      </c>
      <c r="AR202" s="416">
        <f t="shared" si="12"/>
        <v>0</v>
      </c>
      <c r="AS202" s="416">
        <f t="shared" si="12"/>
        <v>0</v>
      </c>
      <c r="AT202" s="416">
        <f t="shared" si="12"/>
        <v>0</v>
      </c>
      <c r="AU202" s="416">
        <f t="shared" si="12"/>
        <v>0</v>
      </c>
      <c r="AV202" s="416">
        <f t="shared" si="12"/>
        <v>0</v>
      </c>
      <c r="AW202" s="416">
        <f t="shared" si="12"/>
        <v>0</v>
      </c>
      <c r="AX202" s="416">
        <f t="shared" si="12"/>
        <v>0</v>
      </c>
      <c r="AY202" s="416">
        <f t="shared" si="12"/>
        <v>0</v>
      </c>
      <c r="AZ202" s="416">
        <f>SUM(T202:AY202)</f>
        <v>45180</v>
      </c>
    </row>
    <row r="203" spans="2:52">
      <c r="B203" s="1243" t="s">
        <v>558</v>
      </c>
      <c r="C203" s="1244"/>
      <c r="D203" s="1244"/>
      <c r="E203" s="1244"/>
      <c r="F203" s="1244"/>
      <c r="G203" s="1245"/>
      <c r="H203" s="420">
        <f>H202-L188</f>
        <v>0</v>
      </c>
      <c r="I203" s="294"/>
      <c r="J203" s="295"/>
      <c r="K203" s="295"/>
      <c r="L203" s="296"/>
      <c r="M203" s="32"/>
      <c r="N203" s="32"/>
      <c r="O203" s="32"/>
      <c r="P203" s="32"/>
      <c r="Q203" s="297"/>
      <c r="R203" s="297"/>
      <c r="S203" s="32"/>
      <c r="T203" s="48"/>
      <c r="U203" s="48"/>
      <c r="V203" s="48"/>
      <c r="W203" s="48"/>
      <c r="X203" s="48"/>
      <c r="Y203" s="48"/>
      <c r="Z203" s="48"/>
      <c r="AA203" s="48"/>
      <c r="AB203" s="48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</row>
    <row r="204" spans="2:52">
      <c r="B204" s="1243" t="s">
        <v>559</v>
      </c>
      <c r="C204" s="1244"/>
      <c r="D204" s="1244"/>
      <c r="E204" s="1244"/>
      <c r="F204" s="1244"/>
      <c r="G204" s="1245"/>
      <c r="H204" s="420">
        <f>1926.876</f>
        <v>1926.876</v>
      </c>
      <c r="I204" s="269">
        <v>2310.3620000000001</v>
      </c>
      <c r="J204" s="53"/>
      <c r="K204" s="53"/>
      <c r="L204" s="54"/>
      <c r="M204" s="32"/>
      <c r="N204" s="201"/>
      <c r="O204" s="32"/>
      <c r="P204" s="32"/>
      <c r="Q204" s="32"/>
      <c r="R204" s="32"/>
      <c r="S204" s="32"/>
      <c r="T204" s="48"/>
      <c r="U204" s="48"/>
      <c r="V204" s="48"/>
      <c r="W204" s="48"/>
      <c r="X204" s="48"/>
      <c r="Y204" s="48"/>
      <c r="Z204" s="48"/>
      <c r="AA204" s="48"/>
      <c r="AB204" s="48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</row>
    <row r="205" spans="2:52">
      <c r="B205" s="1243" t="s">
        <v>560</v>
      </c>
      <c r="C205" s="1244"/>
      <c r="D205" s="1244"/>
      <c r="E205" s="1244"/>
      <c r="F205" s="1244"/>
      <c r="G205" s="1245"/>
      <c r="H205" s="421">
        <f>H204-1932.641</f>
        <v>-5.7650000000001</v>
      </c>
      <c r="I205" s="270">
        <f>I204-H204</f>
        <v>383.4860000000001</v>
      </c>
      <c r="J205" s="53"/>
      <c r="K205" s="53"/>
      <c r="L205" s="54"/>
      <c r="M205" s="32"/>
      <c r="N205" s="32"/>
      <c r="O205" s="32"/>
      <c r="P205" s="32"/>
      <c r="Q205" s="32"/>
      <c r="R205" s="32"/>
      <c r="S205" s="48"/>
      <c r="T205" s="48"/>
      <c r="U205" s="48"/>
      <c r="V205" s="48"/>
      <c r="W205" s="48"/>
      <c r="X205" s="48"/>
      <c r="Y205" s="48"/>
      <c r="Z205" s="48"/>
      <c r="AA205" s="48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2:52">
      <c r="B206" s="201"/>
      <c r="C206" s="201"/>
      <c r="D206" s="201"/>
      <c r="E206" s="201"/>
      <c r="F206" s="201"/>
      <c r="G206" s="201"/>
      <c r="H206" s="201"/>
      <c r="I206" s="213"/>
      <c r="J206" s="209"/>
      <c r="K206" s="209"/>
      <c r="L206" s="203"/>
      <c r="M206" s="201"/>
      <c r="N206" s="201"/>
      <c r="O206" s="209"/>
      <c r="P206" s="32"/>
      <c r="Q206" s="32"/>
      <c r="R206" s="32"/>
      <c r="S206" s="32"/>
      <c r="T206" s="48"/>
      <c r="U206" s="48"/>
      <c r="V206" s="48"/>
      <c r="W206" s="48"/>
      <c r="X206" s="48"/>
      <c r="Y206" s="48"/>
      <c r="Z206" s="48"/>
      <c r="AA206" s="48"/>
      <c r="AB206" s="48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</row>
    <row r="207" spans="2:52">
      <c r="B207" s="40" t="s">
        <v>561</v>
      </c>
      <c r="C207" s="40"/>
      <c r="D207" s="32"/>
      <c r="E207" s="32"/>
      <c r="F207" s="32"/>
      <c r="G207" s="32"/>
      <c r="H207" s="32"/>
      <c r="I207" s="32"/>
      <c r="J207" s="52"/>
      <c r="K207" s="52"/>
      <c r="L207" s="55"/>
      <c r="M207" s="32"/>
      <c r="N207" s="201"/>
      <c r="O207" s="5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1"/>
      <c r="AC207" s="201"/>
      <c r="AD207" s="201"/>
      <c r="AE207" s="201"/>
      <c r="AF207" s="201"/>
      <c r="AG207" s="201"/>
      <c r="AH207" s="201"/>
      <c r="AI207" s="201"/>
      <c r="AJ207" s="201"/>
      <c r="AK207" s="201"/>
      <c r="AL207" s="201"/>
      <c r="AM207" s="201"/>
      <c r="AN207" s="201"/>
      <c r="AO207" s="201"/>
      <c r="AP207" s="201"/>
      <c r="AQ207" s="201"/>
      <c r="AR207" s="201"/>
      <c r="AS207" s="201"/>
      <c r="AT207" s="201"/>
      <c r="AU207" s="201"/>
      <c r="AZ207" s="201"/>
    </row>
    <row r="208" spans="2:52">
      <c r="B208" s="422">
        <v>1</v>
      </c>
      <c r="C208" s="1249" t="s">
        <v>1144</v>
      </c>
      <c r="D208" s="1249"/>
      <c r="E208" s="1249"/>
      <c r="F208" s="1249"/>
      <c r="G208" s="1249"/>
      <c r="H208" s="1249"/>
      <c r="I208" s="1249"/>
      <c r="J208" s="1249"/>
      <c r="K208" s="1249"/>
      <c r="L208" s="203"/>
      <c r="M208" s="201"/>
      <c r="N208" s="201"/>
      <c r="O208" s="209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1"/>
      <c r="AC208" s="201"/>
      <c r="AD208" s="201"/>
      <c r="AE208" s="201"/>
      <c r="AF208" s="201"/>
      <c r="AG208" s="201"/>
      <c r="AH208" s="201"/>
      <c r="AI208" s="201"/>
      <c r="AJ208" s="201"/>
      <c r="AK208" s="201"/>
      <c r="AL208" s="201"/>
      <c r="AM208" s="201"/>
      <c r="AN208" s="201"/>
      <c r="AO208" s="201"/>
      <c r="AP208" s="201"/>
      <c r="AQ208" s="201"/>
      <c r="AR208" s="201"/>
      <c r="AS208" s="201"/>
      <c r="AT208" s="201"/>
      <c r="AU208" s="201"/>
      <c r="AV208" s="201"/>
      <c r="AW208" s="201"/>
      <c r="AX208" s="201"/>
      <c r="AY208" s="201"/>
      <c r="AZ208" s="201"/>
    </row>
    <row r="210" spans="2:52">
      <c r="B210" s="28" t="s">
        <v>126</v>
      </c>
      <c r="C210" s="28"/>
      <c r="D210" s="29"/>
      <c r="E210" s="30" t="s">
        <v>511</v>
      </c>
      <c r="F210" s="31" t="s">
        <v>1084</v>
      </c>
      <c r="G210" s="32"/>
      <c r="H210" s="33"/>
      <c r="I210" s="34"/>
      <c r="J210" s="35" t="s">
        <v>513</v>
      </c>
      <c r="K210" s="36" t="s">
        <v>511</v>
      </c>
      <c r="L210" s="37">
        <v>45000.143750000003</v>
      </c>
      <c r="M210" s="32"/>
      <c r="N210" s="32"/>
      <c r="O210" s="206"/>
      <c r="P210" s="205"/>
      <c r="Q210" s="202"/>
      <c r="R210" s="204"/>
      <c r="S210" s="38"/>
      <c r="T210" s="201"/>
      <c r="U210" s="201"/>
      <c r="V210" s="201"/>
      <c r="W210" s="201"/>
      <c r="X210" s="201"/>
      <c r="Y210" s="201"/>
      <c r="Z210" s="201"/>
      <c r="AA210" s="201"/>
      <c r="AB210" s="202"/>
      <c r="AC210" s="202"/>
      <c r="AD210" s="202"/>
      <c r="AE210" s="202"/>
      <c r="AF210" s="202"/>
      <c r="AG210" s="201"/>
      <c r="AH210" s="201"/>
      <c r="AI210" s="201"/>
      <c r="AJ210" s="201"/>
      <c r="AK210" s="201"/>
      <c r="AL210" s="201"/>
      <c r="AM210" s="201"/>
      <c r="AN210" s="201"/>
      <c r="AO210" s="201"/>
      <c r="AP210" s="201"/>
      <c r="AQ210" s="201"/>
      <c r="AR210" s="201"/>
      <c r="AS210" s="201"/>
      <c r="AT210" s="201"/>
      <c r="AU210" s="201"/>
      <c r="AV210" s="201"/>
      <c r="AW210" s="201"/>
      <c r="AX210" s="201"/>
      <c r="AY210" s="201"/>
      <c r="AZ210" s="201"/>
    </row>
    <row r="211" spans="2:52">
      <c r="B211" s="35" t="s">
        <v>514</v>
      </c>
      <c r="C211" s="35"/>
      <c r="D211" s="32"/>
      <c r="E211" s="36" t="s">
        <v>511</v>
      </c>
      <c r="F211" s="37" t="s">
        <v>1145</v>
      </c>
      <c r="G211" s="32"/>
      <c r="H211" s="33"/>
      <c r="I211" s="34"/>
      <c r="J211" s="35" t="s">
        <v>516</v>
      </c>
      <c r="K211" s="36" t="s">
        <v>511</v>
      </c>
      <c r="L211" s="37">
        <v>45001.268055555556</v>
      </c>
      <c r="M211" s="32"/>
      <c r="N211" s="32"/>
      <c r="O211" s="206"/>
      <c r="P211" s="205"/>
      <c r="Q211" s="202"/>
      <c r="R211" s="204"/>
      <c r="S211" s="38"/>
      <c r="T211" s="201"/>
      <c r="U211" s="201"/>
      <c r="V211" s="201"/>
      <c r="W211" s="201"/>
      <c r="X211" s="201"/>
      <c r="Y211" s="201"/>
      <c r="Z211" s="201"/>
      <c r="AA211" s="201"/>
      <c r="AB211" s="202"/>
      <c r="AC211" s="202"/>
      <c r="AD211" s="202"/>
      <c r="AE211" s="202"/>
      <c r="AF211" s="202"/>
      <c r="AG211" s="201"/>
      <c r="AH211" s="201"/>
      <c r="AI211" s="201"/>
      <c r="AJ211" s="201"/>
      <c r="AK211" s="201"/>
      <c r="AL211" s="201"/>
      <c r="AM211" s="201"/>
      <c r="AN211" s="201"/>
      <c r="AO211" s="201"/>
      <c r="AP211" s="201"/>
      <c r="AQ211" s="201"/>
      <c r="AR211" s="201"/>
      <c r="AS211" s="201"/>
      <c r="AT211" s="201"/>
      <c r="AU211" s="201"/>
      <c r="AV211" s="201"/>
      <c r="AW211" s="201"/>
      <c r="AX211" s="201"/>
      <c r="AY211" s="201"/>
      <c r="AZ211" s="201"/>
    </row>
    <row r="212" spans="2:52">
      <c r="B212" s="35" t="s">
        <v>517</v>
      </c>
      <c r="C212" s="35"/>
      <c r="D212" s="32"/>
      <c r="E212" s="36" t="s">
        <v>511</v>
      </c>
      <c r="F212" s="37">
        <v>45000.007638888892</v>
      </c>
      <c r="G212" s="32"/>
      <c r="H212" s="33"/>
      <c r="I212" s="34"/>
      <c r="J212" s="35" t="s">
        <v>518</v>
      </c>
      <c r="K212" s="36" t="s">
        <v>511</v>
      </c>
      <c r="L212" s="50">
        <v>59900</v>
      </c>
      <c r="M212" s="40" t="s">
        <v>519</v>
      </c>
      <c r="N212" s="40"/>
      <c r="O212" s="206"/>
      <c r="P212" s="205"/>
      <c r="Q212" s="202"/>
      <c r="R212" s="204"/>
      <c r="S212" s="38"/>
      <c r="T212" s="201"/>
      <c r="U212" s="201"/>
      <c r="V212" s="201"/>
      <c r="W212" s="201"/>
      <c r="X212" s="201"/>
      <c r="Y212" s="201"/>
      <c r="Z212" s="201"/>
      <c r="AA212" s="201"/>
      <c r="AB212" s="202"/>
      <c r="AC212" s="202"/>
      <c r="AD212" s="202"/>
      <c r="AE212" s="202"/>
      <c r="AF212" s="202"/>
      <c r="AG212" s="201"/>
      <c r="AH212" s="201"/>
      <c r="AI212" s="201"/>
      <c r="AJ212" s="201"/>
      <c r="AK212" s="201"/>
      <c r="AL212" s="201"/>
      <c r="AM212" s="201"/>
      <c r="AN212" s="201"/>
      <c r="AO212" s="201"/>
      <c r="AP212" s="201"/>
      <c r="AQ212" s="201"/>
      <c r="AR212" s="201"/>
      <c r="AS212" s="201"/>
      <c r="AT212" s="201"/>
      <c r="AU212" s="201"/>
      <c r="AV212" s="201"/>
      <c r="AW212" s="201"/>
      <c r="AX212" s="201"/>
      <c r="AY212" s="201"/>
      <c r="AZ212" s="201"/>
    </row>
    <row r="213" spans="2:52">
      <c r="B213" s="35" t="s">
        <v>520</v>
      </c>
      <c r="C213" s="35"/>
      <c r="D213" s="32"/>
      <c r="E213" s="36" t="s">
        <v>511</v>
      </c>
      <c r="F213" s="37" t="s">
        <v>20</v>
      </c>
      <c r="G213" s="32"/>
      <c r="H213" s="33"/>
      <c r="I213" s="34"/>
      <c r="J213" s="35" t="s">
        <v>521</v>
      </c>
      <c r="K213" s="36" t="s">
        <v>511</v>
      </c>
      <c r="L213" s="41" t="s">
        <v>1146</v>
      </c>
      <c r="M213" s="32"/>
      <c r="N213" s="32"/>
      <c r="O213" s="206"/>
      <c r="P213" s="202"/>
      <c r="Q213" s="202"/>
      <c r="R213" s="204"/>
      <c r="S213" s="38"/>
      <c r="T213" s="201"/>
      <c r="U213" s="201"/>
      <c r="V213" s="201"/>
      <c r="W213" s="201"/>
      <c r="X213" s="201"/>
      <c r="Y213" s="201"/>
      <c r="Z213" s="201"/>
      <c r="AA213" s="201"/>
      <c r="AB213" s="202"/>
      <c r="AC213" s="202"/>
      <c r="AD213" s="202"/>
      <c r="AE213" s="202"/>
      <c r="AF213" s="202"/>
      <c r="AG213" s="201"/>
      <c r="AH213" s="201"/>
      <c r="AI213" s="201"/>
      <c r="AJ213" s="201"/>
      <c r="AK213" s="201"/>
      <c r="AL213" s="201"/>
      <c r="AM213" s="201"/>
      <c r="AN213" s="201"/>
      <c r="AO213" s="201"/>
      <c r="AP213" s="201"/>
      <c r="AQ213" s="201"/>
      <c r="AR213" s="201"/>
      <c r="AS213" s="201"/>
      <c r="AT213" s="201"/>
      <c r="AU213" s="201"/>
      <c r="AV213" s="201"/>
      <c r="AW213" s="201"/>
      <c r="AX213" s="201"/>
      <c r="AY213" s="201"/>
      <c r="AZ213" s="201"/>
    </row>
    <row r="214" spans="2:52">
      <c r="B214" s="35" t="s">
        <v>523</v>
      </c>
      <c r="C214" s="35"/>
      <c r="D214" s="32"/>
      <c r="E214" s="36" t="s">
        <v>511</v>
      </c>
      <c r="F214" s="37" t="s">
        <v>47</v>
      </c>
      <c r="G214" s="32"/>
      <c r="H214" s="33"/>
      <c r="I214" s="34"/>
      <c r="J214" s="42" t="s">
        <v>524</v>
      </c>
      <c r="K214" s="36" t="s">
        <v>511</v>
      </c>
      <c r="L214" s="43" t="s">
        <v>11</v>
      </c>
      <c r="M214" s="44"/>
      <c r="N214" s="44"/>
      <c r="O214" s="206"/>
      <c r="P214" s="205"/>
      <c r="Q214" s="202"/>
      <c r="R214" s="204"/>
      <c r="S214" s="38"/>
      <c r="T214" s="201"/>
      <c r="U214" s="201"/>
      <c r="V214" s="201"/>
      <c r="W214" s="201"/>
      <c r="X214" s="201"/>
      <c r="Y214" s="201"/>
      <c r="Z214" s="201"/>
      <c r="AA214" s="201"/>
      <c r="AB214" s="202"/>
      <c r="AC214" s="202"/>
      <c r="AD214" s="202"/>
      <c r="AE214" s="202"/>
      <c r="AF214" s="202"/>
      <c r="AG214" s="201"/>
      <c r="AH214" s="201"/>
      <c r="AI214" s="201"/>
      <c r="AJ214" s="201"/>
      <c r="AK214" s="201"/>
      <c r="AL214" s="201"/>
      <c r="AM214" s="201"/>
      <c r="AN214" s="201"/>
      <c r="AO214" s="201"/>
      <c r="AP214" s="201"/>
      <c r="AQ214" s="201"/>
      <c r="AR214" s="201"/>
      <c r="AS214" s="201"/>
      <c r="AT214" s="201"/>
      <c r="AU214" s="201"/>
      <c r="AV214" s="201"/>
      <c r="AW214" s="201"/>
      <c r="AX214" s="201"/>
      <c r="AY214" s="201"/>
      <c r="AZ214" s="201"/>
    </row>
    <row r="215" spans="2:52">
      <c r="B215" s="35" t="s">
        <v>2</v>
      </c>
      <c r="C215" s="35"/>
      <c r="D215" s="32"/>
      <c r="E215" s="36" t="s">
        <v>511</v>
      </c>
      <c r="F215" s="37" t="s">
        <v>18</v>
      </c>
      <c r="G215" s="32"/>
      <c r="H215" s="33"/>
      <c r="I215" s="45"/>
      <c r="J215" s="42"/>
      <c r="K215" s="36"/>
      <c r="L215" s="211"/>
      <c r="M215" s="201"/>
      <c r="N215" s="201"/>
      <c r="O215" s="42"/>
      <c r="P215" s="44"/>
      <c r="Q215" s="44"/>
      <c r="R215" s="44"/>
      <c r="S215" s="34"/>
      <c r="T215" s="201"/>
      <c r="U215" s="201"/>
      <c r="V215" s="201"/>
      <c r="W215" s="201"/>
      <c r="X215" s="201"/>
      <c r="Y215" s="201"/>
      <c r="Z215" s="201"/>
      <c r="AA215" s="201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201"/>
      <c r="AP215" s="201"/>
      <c r="AQ215" s="201"/>
      <c r="AR215" s="201"/>
      <c r="AS215" s="201"/>
      <c r="AT215" s="201"/>
      <c r="AU215" s="201"/>
      <c r="AV215" s="201"/>
      <c r="AW215" s="201"/>
      <c r="AX215" s="201"/>
      <c r="AY215" s="201"/>
      <c r="AZ215" s="201"/>
    </row>
    <row r="216" spans="2:52">
      <c r="B216" s="201"/>
      <c r="C216" s="201"/>
      <c r="D216" s="201"/>
      <c r="E216" s="201"/>
      <c r="F216" s="201"/>
      <c r="G216" s="201"/>
      <c r="H216" s="201"/>
      <c r="I216" s="45"/>
      <c r="J216" s="42"/>
      <c r="K216" s="42"/>
      <c r="L216" s="43"/>
      <c r="M216" s="44"/>
      <c r="N216" s="44"/>
      <c r="O216" s="42"/>
      <c r="P216" s="44"/>
      <c r="Q216" s="44"/>
      <c r="R216" s="44"/>
      <c r="S216" s="34"/>
      <c r="T216" s="1265" t="s">
        <v>87</v>
      </c>
      <c r="U216" s="1265"/>
      <c r="V216" s="1265"/>
      <c r="W216" s="1265"/>
      <c r="X216" s="1265"/>
      <c r="Y216" s="1265" t="s">
        <v>73</v>
      </c>
      <c r="Z216" s="1265"/>
      <c r="AA216" s="1265"/>
      <c r="AB216" s="1265" t="s">
        <v>74</v>
      </c>
      <c r="AC216" s="1265"/>
      <c r="AD216" s="423" t="s">
        <v>85</v>
      </c>
      <c r="AE216" s="423" t="s">
        <v>77</v>
      </c>
      <c r="AF216" s="1265" t="s">
        <v>525</v>
      </c>
      <c r="AG216" s="1265"/>
      <c r="AH216" s="1265"/>
      <c r="AI216" s="1265"/>
      <c r="AJ216" s="1265"/>
      <c r="AK216" s="1265"/>
      <c r="AL216" s="1265"/>
      <c r="AM216" s="1265"/>
      <c r="AN216" s="1265"/>
      <c r="AO216" s="1265"/>
      <c r="AP216" s="1265"/>
      <c r="AQ216" s="1265"/>
      <c r="AR216" s="1265"/>
      <c r="AS216" s="1265"/>
      <c r="AT216" s="1265"/>
      <c r="AU216" s="1265"/>
      <c r="AV216" s="1265"/>
      <c r="AW216" s="1265"/>
      <c r="AX216" s="1265"/>
      <c r="AY216" s="1265"/>
      <c r="AZ216" s="201"/>
    </row>
    <row r="217" spans="2:52">
      <c r="B217" s="1266" t="s">
        <v>526</v>
      </c>
      <c r="C217" s="1267"/>
      <c r="D217" s="570" t="s">
        <v>527</v>
      </c>
      <c r="E217" s="570"/>
      <c r="F217" s="570" t="s">
        <v>528</v>
      </c>
      <c r="G217" s="570" t="s">
        <v>529</v>
      </c>
      <c r="H217" s="570" t="s">
        <v>530</v>
      </c>
      <c r="I217" s="570" t="s">
        <v>531</v>
      </c>
      <c r="J217" s="570" t="s">
        <v>532</v>
      </c>
      <c r="K217" s="570"/>
      <c r="L217" s="570" t="s">
        <v>130</v>
      </c>
      <c r="M217" s="570" t="s">
        <v>533</v>
      </c>
      <c r="N217" s="408" t="str">
        <f>"On time - "&amp;COUNTIF(N218:N224,"On time")&amp;" from "&amp;ROWS(N218:N224)-COUNTIF(N218:N224," ")</f>
        <v>On time - 7 from 7</v>
      </c>
      <c r="O217" s="46"/>
      <c r="P217" s="409" t="s">
        <v>534</v>
      </c>
      <c r="Q217" s="409" t="s">
        <v>535</v>
      </c>
      <c r="R217" s="409" t="s">
        <v>536</v>
      </c>
      <c r="S217" s="32"/>
      <c r="T217" s="424" t="s">
        <v>537</v>
      </c>
      <c r="U217" s="424" t="s">
        <v>538</v>
      </c>
      <c r="V217" s="424" t="s">
        <v>539</v>
      </c>
      <c r="W217" s="424" t="s">
        <v>540</v>
      </c>
      <c r="X217" s="424" t="s">
        <v>541</v>
      </c>
      <c r="Y217" s="424" t="s">
        <v>167</v>
      </c>
      <c r="Z217" s="424" t="s">
        <v>168</v>
      </c>
      <c r="AA217" s="424" t="s">
        <v>169</v>
      </c>
      <c r="AB217" s="424" t="s">
        <v>235</v>
      </c>
      <c r="AC217" s="424" t="s">
        <v>240</v>
      </c>
      <c r="AD217" s="423" t="s">
        <v>85</v>
      </c>
      <c r="AE217" s="424" t="s">
        <v>139</v>
      </c>
      <c r="AF217" s="424" t="s">
        <v>72</v>
      </c>
      <c r="AG217" s="424" t="s">
        <v>88</v>
      </c>
      <c r="AH217" s="424" t="s">
        <v>75</v>
      </c>
      <c r="AI217" s="424" t="s">
        <v>543</v>
      </c>
      <c r="AJ217" s="424" t="s">
        <v>78</v>
      </c>
      <c r="AK217" s="424" t="s">
        <v>76</v>
      </c>
      <c r="AL217" s="424" t="s">
        <v>544</v>
      </c>
      <c r="AM217" s="424" t="s">
        <v>545</v>
      </c>
      <c r="AN217" s="424" t="s">
        <v>86</v>
      </c>
      <c r="AO217" s="424" t="s">
        <v>83</v>
      </c>
      <c r="AP217" s="424" t="s">
        <v>84</v>
      </c>
      <c r="AQ217" s="424" t="s">
        <v>546</v>
      </c>
      <c r="AR217" s="424" t="s">
        <v>81</v>
      </c>
      <c r="AS217" s="424" t="s">
        <v>80</v>
      </c>
      <c r="AT217" s="424" t="s">
        <v>82</v>
      </c>
      <c r="AU217" s="424" t="s">
        <v>181</v>
      </c>
      <c r="AV217" s="424" t="s">
        <v>183</v>
      </c>
      <c r="AW217" s="424" t="s">
        <v>547</v>
      </c>
      <c r="AX217" s="424" t="s">
        <v>182</v>
      </c>
      <c r="AY217" s="424" t="s">
        <v>172</v>
      </c>
      <c r="AZ217" s="201"/>
    </row>
    <row r="218" spans="2:52">
      <c r="B218" s="1256">
        <v>1</v>
      </c>
      <c r="C218" s="1257"/>
      <c r="D218" s="411" t="s">
        <v>1086</v>
      </c>
      <c r="E218" s="411"/>
      <c r="F218" s="411" t="s">
        <v>390</v>
      </c>
      <c r="G218" s="411" t="s">
        <v>391</v>
      </c>
      <c r="H218" s="412">
        <v>7404.9409999999998</v>
      </c>
      <c r="I218" s="413" t="s">
        <v>494</v>
      </c>
      <c r="J218" s="414">
        <v>44997.881944444445</v>
      </c>
      <c r="K218" s="414"/>
      <c r="L218" s="414" t="s">
        <v>192</v>
      </c>
      <c r="M218" s="414" t="s">
        <v>192</v>
      </c>
      <c r="N218" s="413" t="str">
        <f t="shared" ref="N218:N227" si="13">IF(ISBLANK(J218)," ",IF(J218&lt;$F$212,"On time",(IF(DAY(J218-$F$212)&lt;1,"On time",(IF(J218&gt;$F$212,"DELAY ( "&amp;DAY(J218-$F$212)&amp;" day "&amp;HOUR(J218-$F$212)&amp;" hour "&amp;MINUTE(J218-$F$212)&amp;" minute )","xxx"))))))</f>
        <v>On time</v>
      </c>
      <c r="O218" s="51"/>
      <c r="P218" s="415" t="s">
        <v>551</v>
      </c>
      <c r="Q218" s="415" t="s">
        <v>551</v>
      </c>
      <c r="R218" s="415" t="s">
        <v>551</v>
      </c>
      <c r="S218" s="32"/>
      <c r="T218" s="416"/>
      <c r="U218" s="416"/>
      <c r="V218" s="416"/>
      <c r="W218" s="416"/>
      <c r="X218" s="416"/>
      <c r="Y218" s="416">
        <f t="shared" ref="Y218:Y224" si="14">H218</f>
        <v>7404.9409999999998</v>
      </c>
      <c r="Z218" s="416"/>
      <c r="AA218" s="416"/>
      <c r="AB218" s="416"/>
      <c r="AC218" s="416"/>
      <c r="AD218" s="416"/>
      <c r="AE218" s="416"/>
      <c r="AF218" s="416"/>
      <c r="AG218" s="416"/>
      <c r="AH218" s="416"/>
      <c r="AI218" s="416"/>
      <c r="AJ218" s="416"/>
      <c r="AK218" s="416"/>
      <c r="AL218" s="416"/>
      <c r="AM218" s="416"/>
      <c r="AN218" s="416"/>
      <c r="AO218" s="416"/>
      <c r="AP218" s="416"/>
      <c r="AQ218" s="416"/>
      <c r="AR218" s="416"/>
      <c r="AS218" s="416"/>
      <c r="AT218" s="416"/>
      <c r="AU218" s="416"/>
      <c r="AV218" s="416"/>
      <c r="AW218" s="416"/>
      <c r="AX218" s="416"/>
      <c r="AY218" s="416"/>
      <c r="AZ218" s="32"/>
    </row>
    <row r="219" spans="2:52">
      <c r="B219" s="1256">
        <v>2</v>
      </c>
      <c r="C219" s="1257"/>
      <c r="D219" s="411" t="s">
        <v>1085</v>
      </c>
      <c r="E219" s="411"/>
      <c r="F219" s="411" t="s">
        <v>292</v>
      </c>
      <c r="G219" s="411" t="s">
        <v>293</v>
      </c>
      <c r="H219" s="412">
        <v>7502.3370000000004</v>
      </c>
      <c r="I219" s="413" t="s">
        <v>494</v>
      </c>
      <c r="J219" s="414">
        <v>44998.006944444445</v>
      </c>
      <c r="K219" s="414"/>
      <c r="L219" s="414" t="s">
        <v>192</v>
      </c>
      <c r="M219" s="414" t="s">
        <v>192</v>
      </c>
      <c r="N219" s="413" t="str">
        <f t="shared" si="13"/>
        <v>On time</v>
      </c>
      <c r="O219" s="51"/>
      <c r="P219" s="415" t="s">
        <v>551</v>
      </c>
      <c r="Q219" s="415" t="s">
        <v>551</v>
      </c>
      <c r="R219" s="415" t="s">
        <v>551</v>
      </c>
      <c r="S219" s="32"/>
      <c r="T219" s="416"/>
      <c r="U219" s="416"/>
      <c r="V219" s="416"/>
      <c r="W219" s="416"/>
      <c r="X219" s="416"/>
      <c r="Y219" s="416">
        <f t="shared" si="14"/>
        <v>7502.3370000000004</v>
      </c>
      <c r="Z219" s="416"/>
      <c r="AA219" s="416"/>
      <c r="AB219" s="416"/>
      <c r="AC219" s="416"/>
      <c r="AD219" s="416"/>
      <c r="AE219" s="416"/>
      <c r="AF219" s="416"/>
      <c r="AG219" s="416"/>
      <c r="AH219" s="416"/>
      <c r="AI219" s="416"/>
      <c r="AJ219" s="416"/>
      <c r="AK219" s="416"/>
      <c r="AL219" s="416"/>
      <c r="AM219" s="416"/>
      <c r="AN219" s="416"/>
      <c r="AO219" s="416"/>
      <c r="AP219" s="416"/>
      <c r="AQ219" s="416"/>
      <c r="AR219" s="416"/>
      <c r="AS219" s="416"/>
      <c r="AT219" s="416"/>
      <c r="AU219" s="416"/>
      <c r="AV219" s="416"/>
      <c r="AW219" s="416"/>
      <c r="AX219" s="416"/>
      <c r="AY219" s="416"/>
      <c r="AZ219" s="32"/>
    </row>
    <row r="220" spans="2:52">
      <c r="B220" s="1256">
        <v>3</v>
      </c>
      <c r="C220" s="1257"/>
      <c r="D220" s="411" t="s">
        <v>1087</v>
      </c>
      <c r="E220" s="411"/>
      <c r="F220" s="411" t="s">
        <v>367</v>
      </c>
      <c r="G220" s="411" t="s">
        <v>368</v>
      </c>
      <c r="H220" s="412">
        <v>9810.9650000000001</v>
      </c>
      <c r="I220" s="413" t="s">
        <v>494</v>
      </c>
      <c r="J220" s="414">
        <v>44998.395833333336</v>
      </c>
      <c r="K220" s="414"/>
      <c r="L220" s="414" t="s">
        <v>192</v>
      </c>
      <c r="M220" s="414" t="s">
        <v>192</v>
      </c>
      <c r="N220" s="413" t="str">
        <f t="shared" si="13"/>
        <v>On time</v>
      </c>
      <c r="O220" s="51"/>
      <c r="P220" s="415" t="s">
        <v>551</v>
      </c>
      <c r="Q220" s="415" t="s">
        <v>551</v>
      </c>
      <c r="R220" s="415" t="s">
        <v>551</v>
      </c>
      <c r="S220" s="32"/>
      <c r="T220" s="416"/>
      <c r="U220" s="416"/>
      <c r="V220" s="416"/>
      <c r="W220" s="416"/>
      <c r="X220" s="416"/>
      <c r="Y220" s="416">
        <f t="shared" si="14"/>
        <v>9810.9650000000001</v>
      </c>
      <c r="Z220" s="416"/>
      <c r="AA220" s="416"/>
      <c r="AB220" s="416"/>
      <c r="AC220" s="416"/>
      <c r="AD220" s="416"/>
      <c r="AE220" s="416"/>
      <c r="AF220" s="416"/>
      <c r="AG220" s="416"/>
      <c r="AH220" s="416"/>
      <c r="AI220" s="416"/>
      <c r="AJ220" s="416"/>
      <c r="AK220" s="416"/>
      <c r="AL220" s="416"/>
      <c r="AM220" s="416"/>
      <c r="AN220" s="416"/>
      <c r="AO220" s="416"/>
      <c r="AP220" s="416"/>
      <c r="AQ220" s="416"/>
      <c r="AR220" s="416"/>
      <c r="AS220" s="416"/>
      <c r="AT220" s="416"/>
      <c r="AU220" s="416"/>
      <c r="AV220" s="416"/>
      <c r="AW220" s="416"/>
      <c r="AX220" s="416"/>
      <c r="AY220" s="416"/>
      <c r="AZ220" s="32"/>
    </row>
    <row r="221" spans="2:52">
      <c r="B221" s="1256">
        <v>4</v>
      </c>
      <c r="C221" s="1257"/>
      <c r="D221" s="411" t="s">
        <v>1089</v>
      </c>
      <c r="E221" s="411"/>
      <c r="F221" s="411" t="s">
        <v>346</v>
      </c>
      <c r="G221" s="411" t="s">
        <v>347</v>
      </c>
      <c r="H221" s="412">
        <v>7343.4780000000001</v>
      </c>
      <c r="I221" s="413" t="s">
        <v>494</v>
      </c>
      <c r="J221" s="414">
        <v>44998.770833333336</v>
      </c>
      <c r="K221" s="414"/>
      <c r="L221" s="414" t="s">
        <v>192</v>
      </c>
      <c r="M221" s="414" t="s">
        <v>192</v>
      </c>
      <c r="N221" s="413" t="str">
        <f t="shared" si="13"/>
        <v>On time</v>
      </c>
      <c r="O221" s="51"/>
      <c r="P221" s="415" t="s">
        <v>551</v>
      </c>
      <c r="Q221" s="415" t="s">
        <v>551</v>
      </c>
      <c r="R221" s="415" t="s">
        <v>551</v>
      </c>
      <c r="S221" s="32"/>
      <c r="T221" s="416"/>
      <c r="U221" s="416"/>
      <c r="V221" s="416"/>
      <c r="W221" s="416"/>
      <c r="X221" s="416"/>
      <c r="Y221" s="416">
        <f t="shared" si="14"/>
        <v>7343.4780000000001</v>
      </c>
      <c r="Z221" s="416"/>
      <c r="AA221" s="416"/>
      <c r="AB221" s="416"/>
      <c r="AC221" s="416"/>
      <c r="AD221" s="416"/>
      <c r="AE221" s="416"/>
      <c r="AF221" s="416"/>
      <c r="AG221" s="416"/>
      <c r="AH221" s="416"/>
      <c r="AI221" s="416"/>
      <c r="AJ221" s="416"/>
      <c r="AK221" s="416"/>
      <c r="AL221" s="416"/>
      <c r="AM221" s="416"/>
      <c r="AN221" s="416"/>
      <c r="AO221" s="416"/>
      <c r="AP221" s="416"/>
      <c r="AQ221" s="416"/>
      <c r="AR221" s="416"/>
      <c r="AS221" s="416"/>
      <c r="AT221" s="416"/>
      <c r="AU221" s="416"/>
      <c r="AV221" s="416"/>
      <c r="AW221" s="416"/>
      <c r="AX221" s="416"/>
      <c r="AY221" s="416"/>
      <c r="AZ221" s="32"/>
    </row>
    <row r="222" spans="2:52">
      <c r="B222" s="1256">
        <v>5</v>
      </c>
      <c r="C222" s="1257"/>
      <c r="D222" s="411" t="s">
        <v>1088</v>
      </c>
      <c r="E222" s="411"/>
      <c r="F222" s="411" t="s">
        <v>218</v>
      </c>
      <c r="G222" s="411" t="s">
        <v>219</v>
      </c>
      <c r="H222" s="412">
        <v>7639.4040000000005</v>
      </c>
      <c r="I222" s="413" t="s">
        <v>494</v>
      </c>
      <c r="J222" s="414">
        <v>44998.909722222219</v>
      </c>
      <c r="K222" s="414"/>
      <c r="L222" s="414" t="s">
        <v>192</v>
      </c>
      <c r="M222" s="414" t="s">
        <v>192</v>
      </c>
      <c r="N222" s="413" t="str">
        <f t="shared" si="13"/>
        <v>On time</v>
      </c>
      <c r="O222" s="51"/>
      <c r="P222" s="415" t="s">
        <v>551</v>
      </c>
      <c r="Q222" s="415" t="s">
        <v>551</v>
      </c>
      <c r="R222" s="415" t="s">
        <v>551</v>
      </c>
      <c r="S222" s="32"/>
      <c r="T222" s="416"/>
      <c r="U222" s="416"/>
      <c r="V222" s="416"/>
      <c r="W222" s="416"/>
      <c r="X222" s="416"/>
      <c r="Y222" s="416">
        <f t="shared" si="14"/>
        <v>7639.4040000000005</v>
      </c>
      <c r="Z222" s="416"/>
      <c r="AA222" s="416"/>
      <c r="AB222" s="416"/>
      <c r="AC222" s="416"/>
      <c r="AD222" s="416"/>
      <c r="AE222" s="416"/>
      <c r="AF222" s="416"/>
      <c r="AG222" s="416"/>
      <c r="AH222" s="416"/>
      <c r="AI222" s="416"/>
      <c r="AJ222" s="416"/>
      <c r="AK222" s="416"/>
      <c r="AL222" s="416"/>
      <c r="AM222" s="416"/>
      <c r="AN222" s="416"/>
      <c r="AO222" s="416"/>
      <c r="AP222" s="416"/>
      <c r="AQ222" s="416"/>
      <c r="AR222" s="416"/>
      <c r="AS222" s="416"/>
      <c r="AT222" s="416"/>
      <c r="AU222" s="416"/>
      <c r="AV222" s="416"/>
      <c r="AW222" s="416"/>
      <c r="AX222" s="416"/>
      <c r="AY222" s="416"/>
      <c r="AZ222" s="32"/>
    </row>
    <row r="223" spans="2:52">
      <c r="B223" s="1256">
        <v>6</v>
      </c>
      <c r="C223" s="1257"/>
      <c r="D223" s="411" t="s">
        <v>1090</v>
      </c>
      <c r="E223" s="411"/>
      <c r="F223" s="411" t="s">
        <v>246</v>
      </c>
      <c r="G223" s="411" t="s">
        <v>247</v>
      </c>
      <c r="H223" s="412">
        <v>7521.7870000000003</v>
      </c>
      <c r="I223" s="413" t="s">
        <v>494</v>
      </c>
      <c r="J223" s="414">
        <v>44999.0625</v>
      </c>
      <c r="K223" s="414"/>
      <c r="L223" s="414" t="s">
        <v>192</v>
      </c>
      <c r="M223" s="414" t="s">
        <v>192</v>
      </c>
      <c r="N223" s="413" t="str">
        <f t="shared" si="13"/>
        <v>On time</v>
      </c>
      <c r="O223" s="51"/>
      <c r="P223" s="415" t="s">
        <v>551</v>
      </c>
      <c r="Q223" s="415" t="s">
        <v>551</v>
      </c>
      <c r="R223" s="415" t="s">
        <v>551</v>
      </c>
      <c r="S223" s="32"/>
      <c r="T223" s="416"/>
      <c r="U223" s="416"/>
      <c r="V223" s="416"/>
      <c r="W223" s="416"/>
      <c r="X223" s="416"/>
      <c r="Y223" s="416">
        <f t="shared" si="14"/>
        <v>7521.7870000000003</v>
      </c>
      <c r="Z223" s="416"/>
      <c r="AA223" s="416"/>
      <c r="AB223" s="416"/>
      <c r="AC223" s="416"/>
      <c r="AD223" s="416"/>
      <c r="AE223" s="416"/>
      <c r="AF223" s="416"/>
      <c r="AG223" s="416"/>
      <c r="AH223" s="416"/>
      <c r="AI223" s="416"/>
      <c r="AJ223" s="416"/>
      <c r="AK223" s="416"/>
      <c r="AL223" s="416"/>
      <c r="AM223" s="416"/>
      <c r="AN223" s="416"/>
      <c r="AO223" s="416"/>
      <c r="AP223" s="416"/>
      <c r="AQ223" s="416"/>
      <c r="AR223" s="416"/>
      <c r="AS223" s="416"/>
      <c r="AT223" s="416"/>
      <c r="AU223" s="416"/>
      <c r="AV223" s="416"/>
      <c r="AW223" s="416"/>
      <c r="AX223" s="416"/>
      <c r="AY223" s="416"/>
      <c r="AZ223" s="32"/>
    </row>
    <row r="224" spans="2:52">
      <c r="B224" s="1256">
        <v>7</v>
      </c>
      <c r="C224" s="1257"/>
      <c r="D224" s="411" t="s">
        <v>1091</v>
      </c>
      <c r="E224" s="411"/>
      <c r="F224" s="411" t="s">
        <v>222</v>
      </c>
      <c r="G224" s="411" t="s">
        <v>223</v>
      </c>
      <c r="H224" s="412">
        <v>7401.0709999999999</v>
      </c>
      <c r="I224" s="413" t="s">
        <v>494</v>
      </c>
      <c r="J224" s="414">
        <v>44999.708333333336</v>
      </c>
      <c r="K224" s="414"/>
      <c r="L224" s="414" t="s">
        <v>192</v>
      </c>
      <c r="M224" s="414" t="s">
        <v>192</v>
      </c>
      <c r="N224" s="413" t="str">
        <f t="shared" si="13"/>
        <v>On time</v>
      </c>
      <c r="O224" s="51"/>
      <c r="P224" s="415" t="s">
        <v>551</v>
      </c>
      <c r="Q224" s="415" t="s">
        <v>551</v>
      </c>
      <c r="R224" s="415" t="s">
        <v>551</v>
      </c>
      <c r="S224" s="32"/>
      <c r="T224" s="416"/>
      <c r="U224" s="416"/>
      <c r="V224" s="416"/>
      <c r="W224" s="416"/>
      <c r="X224" s="416"/>
      <c r="Y224" s="416">
        <f t="shared" si="14"/>
        <v>7401.0709999999999</v>
      </c>
      <c r="Z224" s="416"/>
      <c r="AA224" s="416"/>
      <c r="AB224" s="416"/>
      <c r="AC224" s="416"/>
      <c r="AD224" s="416"/>
      <c r="AE224" s="416"/>
      <c r="AF224" s="416"/>
      <c r="AG224" s="416"/>
      <c r="AH224" s="416"/>
      <c r="AI224" s="416"/>
      <c r="AJ224" s="416"/>
      <c r="AK224" s="416"/>
      <c r="AL224" s="416"/>
      <c r="AM224" s="416"/>
      <c r="AN224" s="416"/>
      <c r="AO224" s="416"/>
      <c r="AP224" s="416"/>
      <c r="AQ224" s="416"/>
      <c r="AR224" s="416"/>
      <c r="AS224" s="416"/>
      <c r="AT224" s="416"/>
      <c r="AU224" s="416"/>
      <c r="AV224" s="416"/>
      <c r="AW224" s="416"/>
      <c r="AX224" s="416"/>
      <c r="AY224" s="416"/>
      <c r="AZ224" s="32"/>
    </row>
    <row r="225" spans="2:52">
      <c r="B225" s="1256" t="s">
        <v>610</v>
      </c>
      <c r="C225" s="1276"/>
      <c r="D225" s="1276"/>
      <c r="E225" s="1276"/>
      <c r="F225" s="1276"/>
      <c r="G225" s="1257"/>
      <c r="H225" s="412">
        <f>H227-SUM(H218:H224)</f>
        <v>5276.0170000000071</v>
      </c>
      <c r="I225" s="413" t="s">
        <v>611</v>
      </c>
      <c r="J225" s="414"/>
      <c r="K225" s="414"/>
      <c r="L225" s="414"/>
      <c r="M225" s="414"/>
      <c r="N225" s="413" t="str">
        <f t="shared" si="13"/>
        <v xml:space="preserve"> </v>
      </c>
      <c r="O225" s="51"/>
      <c r="P225" s="415" t="s">
        <v>551</v>
      </c>
      <c r="Q225" s="415"/>
      <c r="R225" s="415"/>
      <c r="S225" s="32"/>
      <c r="T225" s="416">
        <f>H225</f>
        <v>5276.0170000000071</v>
      </c>
      <c r="U225" s="416"/>
      <c r="V225" s="416"/>
      <c r="W225" s="416"/>
      <c r="X225" s="416"/>
      <c r="Y225" s="416"/>
      <c r="Z225" s="416"/>
      <c r="AA225" s="416"/>
      <c r="AB225" s="416"/>
      <c r="AC225" s="416"/>
      <c r="AD225" s="416"/>
      <c r="AE225" s="416"/>
      <c r="AF225" s="416"/>
      <c r="AG225" s="416"/>
      <c r="AH225" s="416"/>
      <c r="AI225" s="416"/>
      <c r="AJ225" s="416"/>
      <c r="AK225" s="416"/>
      <c r="AL225" s="416"/>
      <c r="AM225" s="416"/>
      <c r="AN225" s="416"/>
      <c r="AO225" s="416"/>
      <c r="AP225" s="416"/>
      <c r="AQ225" s="416"/>
      <c r="AR225" s="416"/>
      <c r="AS225" s="416"/>
      <c r="AT225" s="416"/>
      <c r="AU225" s="416"/>
      <c r="AV225" s="416"/>
      <c r="AW225" s="416"/>
      <c r="AX225" s="416"/>
      <c r="AY225" s="416"/>
      <c r="AZ225" s="32"/>
    </row>
    <row r="226" spans="2:52">
      <c r="B226" s="1258" t="s">
        <v>556</v>
      </c>
      <c r="C226" s="1259"/>
      <c r="D226" s="1259"/>
      <c r="E226" s="1259"/>
      <c r="F226" s="1259"/>
      <c r="G226" s="1260"/>
      <c r="H226" s="417">
        <f>SUM(H218:H225)</f>
        <v>59900</v>
      </c>
      <c r="I226" s="388"/>
      <c r="J226" s="293"/>
      <c r="K226" s="293"/>
      <c r="L226" s="293"/>
      <c r="M226" s="389"/>
      <c r="N226" s="413" t="str">
        <f t="shared" si="13"/>
        <v xml:space="preserve"> </v>
      </c>
      <c r="O226" s="212"/>
      <c r="P226" s="418"/>
      <c r="Q226" s="418"/>
      <c r="R226" s="418"/>
      <c r="S226" s="207"/>
      <c r="T226" s="1262"/>
      <c r="U226" s="1263"/>
      <c r="V226" s="1263"/>
      <c r="W226" s="1263"/>
      <c r="X226" s="1263"/>
      <c r="Y226" s="1263"/>
      <c r="Z226" s="1263"/>
      <c r="AA226" s="1263"/>
      <c r="AB226" s="1263"/>
      <c r="AC226" s="1263"/>
      <c r="AD226" s="1263"/>
      <c r="AE226" s="1263"/>
      <c r="AF226" s="1263"/>
      <c r="AG226" s="1263"/>
      <c r="AH226" s="1263"/>
      <c r="AI226" s="1263"/>
      <c r="AJ226" s="1263"/>
      <c r="AK226" s="1263"/>
      <c r="AL226" s="1263"/>
      <c r="AM226" s="1263"/>
      <c r="AN226" s="1263"/>
      <c r="AO226" s="1263"/>
      <c r="AP226" s="1263"/>
      <c r="AQ226" s="1263"/>
      <c r="AR226" s="1263"/>
      <c r="AS226" s="1263"/>
      <c r="AT226" s="1263"/>
      <c r="AU226" s="1263"/>
      <c r="AV226" s="1263"/>
      <c r="AW226" s="1263"/>
      <c r="AX226" s="1263"/>
      <c r="AY226" s="1264"/>
    </row>
    <row r="227" spans="2:52">
      <c r="B227" s="1243" t="s">
        <v>557</v>
      </c>
      <c r="C227" s="1244"/>
      <c r="D227" s="1244"/>
      <c r="E227" s="1244"/>
      <c r="F227" s="1244"/>
      <c r="G227" s="1245"/>
      <c r="H227" s="419">
        <v>59900</v>
      </c>
      <c r="I227" s="1246"/>
      <c r="J227" s="1247"/>
      <c r="K227" s="1247"/>
      <c r="L227" s="1247"/>
      <c r="M227" s="1248"/>
      <c r="N227" s="413" t="str">
        <f t="shared" si="13"/>
        <v xml:space="preserve"> </v>
      </c>
      <c r="O227" s="32"/>
      <c r="P227" s="415"/>
      <c r="Q227" s="415"/>
      <c r="R227" s="415"/>
      <c r="S227" s="63"/>
      <c r="T227" s="416">
        <f>SUM(T218:T225)</f>
        <v>5276.0170000000071</v>
      </c>
      <c r="U227" s="416">
        <f t="shared" ref="U227:AY227" si="15">SUM(U218:U225)</f>
        <v>0</v>
      </c>
      <c r="V227" s="416">
        <f t="shared" si="15"/>
        <v>0</v>
      </c>
      <c r="W227" s="416">
        <f t="shared" si="15"/>
        <v>0</v>
      </c>
      <c r="X227" s="416">
        <f t="shared" si="15"/>
        <v>0</v>
      </c>
      <c r="Y227" s="416">
        <f t="shared" si="15"/>
        <v>54623.982999999993</v>
      </c>
      <c r="Z227" s="416">
        <f t="shared" si="15"/>
        <v>0</v>
      </c>
      <c r="AA227" s="416">
        <f t="shared" si="15"/>
        <v>0</v>
      </c>
      <c r="AB227" s="416">
        <f t="shared" si="15"/>
        <v>0</v>
      </c>
      <c r="AC227" s="416">
        <f t="shared" si="15"/>
        <v>0</v>
      </c>
      <c r="AD227" s="416">
        <f t="shared" si="15"/>
        <v>0</v>
      </c>
      <c r="AE227" s="416">
        <f t="shared" si="15"/>
        <v>0</v>
      </c>
      <c r="AF227" s="416">
        <f t="shared" si="15"/>
        <v>0</v>
      </c>
      <c r="AG227" s="416">
        <f t="shared" si="15"/>
        <v>0</v>
      </c>
      <c r="AH227" s="416">
        <f t="shared" si="15"/>
        <v>0</v>
      </c>
      <c r="AI227" s="416">
        <f t="shared" si="15"/>
        <v>0</v>
      </c>
      <c r="AJ227" s="416">
        <f t="shared" si="15"/>
        <v>0</v>
      </c>
      <c r="AK227" s="416">
        <f t="shared" si="15"/>
        <v>0</v>
      </c>
      <c r="AL227" s="416">
        <f t="shared" si="15"/>
        <v>0</v>
      </c>
      <c r="AM227" s="416">
        <f t="shared" si="15"/>
        <v>0</v>
      </c>
      <c r="AN227" s="416">
        <f t="shared" si="15"/>
        <v>0</v>
      </c>
      <c r="AO227" s="416">
        <f t="shared" si="15"/>
        <v>0</v>
      </c>
      <c r="AP227" s="416">
        <f t="shared" si="15"/>
        <v>0</v>
      </c>
      <c r="AQ227" s="416">
        <f t="shared" si="15"/>
        <v>0</v>
      </c>
      <c r="AR227" s="416">
        <f t="shared" si="15"/>
        <v>0</v>
      </c>
      <c r="AS227" s="416">
        <f t="shared" si="15"/>
        <v>0</v>
      </c>
      <c r="AT227" s="416">
        <f t="shared" si="15"/>
        <v>0</v>
      </c>
      <c r="AU227" s="416">
        <f t="shared" si="15"/>
        <v>0</v>
      </c>
      <c r="AV227" s="416">
        <f t="shared" si="15"/>
        <v>0</v>
      </c>
      <c r="AW227" s="416">
        <f t="shared" si="15"/>
        <v>0</v>
      </c>
      <c r="AX227" s="416">
        <f t="shared" si="15"/>
        <v>0</v>
      </c>
      <c r="AY227" s="416">
        <f t="shared" si="15"/>
        <v>0</v>
      </c>
      <c r="AZ227" s="416">
        <f>SUM(T227:AY227)</f>
        <v>59900</v>
      </c>
    </row>
    <row r="228" spans="2:52">
      <c r="B228" s="1243" t="s">
        <v>558</v>
      </c>
      <c r="C228" s="1244"/>
      <c r="D228" s="1244"/>
      <c r="E228" s="1244"/>
      <c r="F228" s="1244"/>
      <c r="G228" s="1245"/>
      <c r="H228" s="420">
        <f>H227-L212</f>
        <v>0</v>
      </c>
      <c r="I228" s="294"/>
      <c r="J228" s="295"/>
      <c r="K228" s="295"/>
      <c r="L228" s="296"/>
      <c r="M228" s="32"/>
      <c r="N228" s="32"/>
      <c r="O228" s="32"/>
      <c r="P228" s="32"/>
      <c r="Q228" s="297"/>
      <c r="R228" s="297"/>
      <c r="S228" s="32"/>
      <c r="T228" s="48"/>
      <c r="U228" s="48"/>
      <c r="V228" s="48"/>
      <c r="W228" s="48"/>
      <c r="X228" s="48"/>
      <c r="Y228" s="48"/>
      <c r="Z228" s="48"/>
      <c r="AA228" s="48"/>
      <c r="AB228" s="48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</row>
    <row r="229" spans="2:52">
      <c r="B229" s="1243" t="s">
        <v>559</v>
      </c>
      <c r="C229" s="1244"/>
      <c r="D229" s="1244"/>
      <c r="E229" s="1244"/>
      <c r="F229" s="1244"/>
      <c r="G229" s="1245"/>
      <c r="H229" s="420">
        <f>H226-H227</f>
        <v>0</v>
      </c>
      <c r="I229" s="52"/>
      <c r="J229" s="53"/>
      <c r="K229" s="53"/>
      <c r="L229" s="54"/>
      <c r="M229" s="32"/>
      <c r="N229" s="32"/>
      <c r="O229" s="32"/>
      <c r="P229" s="32"/>
      <c r="Q229" s="32"/>
      <c r="R229" s="32"/>
      <c r="S229" s="32"/>
      <c r="T229" s="48"/>
      <c r="U229" s="48"/>
      <c r="V229" s="48"/>
      <c r="W229" s="48"/>
      <c r="X229" s="48"/>
      <c r="Y229" s="48"/>
      <c r="Z229" s="48"/>
      <c r="AA229" s="48"/>
      <c r="AB229" s="48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</row>
    <row r="230" spans="2:52">
      <c r="B230" s="201"/>
      <c r="C230" s="201"/>
      <c r="D230" s="201"/>
      <c r="E230" s="201"/>
      <c r="F230" s="201"/>
      <c r="G230" s="201"/>
      <c r="H230" s="201"/>
      <c r="I230" s="213"/>
      <c r="J230" s="209"/>
      <c r="K230" s="209"/>
      <c r="L230" s="203"/>
      <c r="M230" s="201"/>
      <c r="N230" s="201"/>
      <c r="O230" s="209"/>
      <c r="P230" s="32"/>
      <c r="Q230" s="32"/>
      <c r="R230" s="32"/>
      <c r="S230" s="32"/>
      <c r="T230" s="48"/>
      <c r="U230" s="48"/>
      <c r="V230" s="48"/>
      <c r="W230" s="48"/>
      <c r="X230" s="48"/>
      <c r="Y230" s="48"/>
      <c r="Z230" s="48"/>
      <c r="AA230" s="48"/>
      <c r="AB230" s="48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</row>
    <row r="231" spans="2:52">
      <c r="B231" s="40" t="s">
        <v>561</v>
      </c>
      <c r="C231" s="40"/>
      <c r="D231" s="32"/>
      <c r="E231" s="32"/>
      <c r="F231" s="32"/>
      <c r="G231" s="32"/>
      <c r="H231" s="32"/>
      <c r="I231" s="32"/>
      <c r="J231" s="52"/>
      <c r="K231" s="52"/>
      <c r="L231" s="55"/>
      <c r="M231" s="32"/>
      <c r="N231" s="201"/>
      <c r="O231" s="5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  <c r="AB231" s="201"/>
      <c r="AC231" s="201"/>
      <c r="AD231" s="201"/>
      <c r="AE231" s="201"/>
      <c r="AF231" s="201"/>
      <c r="AG231" s="201"/>
      <c r="AH231" s="201"/>
      <c r="AI231" s="201"/>
      <c r="AJ231" s="201"/>
      <c r="AK231" s="201"/>
      <c r="AL231" s="201"/>
      <c r="AM231" s="201"/>
      <c r="AN231" s="201"/>
      <c r="AO231" s="201"/>
      <c r="AP231" s="201"/>
      <c r="AQ231" s="201"/>
      <c r="AR231" s="201"/>
      <c r="AS231" s="201"/>
      <c r="AT231" s="201"/>
      <c r="AU231" s="201"/>
      <c r="AZ231" s="201"/>
    </row>
    <row r="232" spans="2:52">
      <c r="B232" s="422"/>
      <c r="C232" s="1249"/>
      <c r="D232" s="1249"/>
      <c r="E232" s="1249"/>
      <c r="F232" s="1249"/>
      <c r="G232" s="1249"/>
      <c r="H232" s="1249"/>
      <c r="I232" s="1249"/>
      <c r="J232" s="1249"/>
      <c r="K232" s="1249"/>
      <c r="L232" s="203"/>
      <c r="M232" s="201"/>
      <c r="N232" s="201"/>
      <c r="O232" s="209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  <c r="AA232" s="202"/>
      <c r="AB232" s="201"/>
      <c r="AC232" s="201"/>
      <c r="AD232" s="201"/>
      <c r="AE232" s="201"/>
      <c r="AF232" s="201"/>
      <c r="AG232" s="201"/>
      <c r="AH232" s="201"/>
      <c r="AI232" s="201"/>
      <c r="AJ232" s="201"/>
      <c r="AK232" s="201"/>
      <c r="AL232" s="201"/>
      <c r="AM232" s="201"/>
      <c r="AN232" s="201"/>
      <c r="AO232" s="201"/>
      <c r="AP232" s="201"/>
      <c r="AQ232" s="201"/>
      <c r="AR232" s="201"/>
      <c r="AS232" s="201"/>
      <c r="AT232" s="201"/>
      <c r="AU232" s="201"/>
      <c r="AZ232" s="201"/>
    </row>
    <row r="234" spans="2:52">
      <c r="B234" s="28" t="s">
        <v>126</v>
      </c>
      <c r="C234" s="28"/>
      <c r="D234" s="29"/>
      <c r="E234" s="30" t="s">
        <v>511</v>
      </c>
      <c r="F234" s="31" t="s">
        <v>943</v>
      </c>
      <c r="G234" s="32"/>
      <c r="H234" s="33"/>
      <c r="I234" s="34"/>
      <c r="J234" s="35" t="s">
        <v>513</v>
      </c>
      <c r="K234" s="36" t="s">
        <v>511</v>
      </c>
      <c r="L234" s="37">
        <v>45000.888888888891</v>
      </c>
      <c r="M234" s="32"/>
      <c r="N234" s="32"/>
      <c r="O234" s="206"/>
      <c r="P234" s="205"/>
      <c r="Q234" s="202"/>
      <c r="R234" s="204"/>
      <c r="S234" s="38"/>
      <c r="T234" s="201"/>
      <c r="U234" s="201"/>
      <c r="V234" s="201"/>
      <c r="W234" s="201"/>
      <c r="X234" s="201"/>
      <c r="Y234" s="201"/>
      <c r="Z234" s="201"/>
      <c r="AA234" s="201"/>
      <c r="AB234" s="202"/>
      <c r="AC234" s="202"/>
      <c r="AD234" s="202"/>
      <c r="AE234" s="202"/>
      <c r="AF234" s="202"/>
      <c r="AG234" s="201"/>
      <c r="AH234" s="201"/>
      <c r="AI234" s="201"/>
      <c r="AJ234" s="201"/>
      <c r="AK234" s="201"/>
      <c r="AL234" s="201"/>
      <c r="AM234" s="201"/>
      <c r="AN234" s="201"/>
      <c r="AO234" s="201"/>
      <c r="AP234" s="201"/>
      <c r="AQ234" s="201"/>
      <c r="AR234" s="201"/>
      <c r="AS234" s="201"/>
      <c r="AT234" s="201"/>
      <c r="AU234" s="201"/>
      <c r="AV234" s="201"/>
      <c r="AW234" s="201"/>
      <c r="AX234" s="201"/>
      <c r="AY234" s="201"/>
      <c r="AZ234" s="201"/>
    </row>
    <row r="235" spans="2:52">
      <c r="B235" s="35" t="s">
        <v>514</v>
      </c>
      <c r="C235" s="35"/>
      <c r="D235" s="32"/>
      <c r="E235" s="36" t="s">
        <v>511</v>
      </c>
      <c r="F235" s="37" t="s">
        <v>1147</v>
      </c>
      <c r="G235" s="60" t="s">
        <v>647</v>
      </c>
      <c r="H235" s="33"/>
      <c r="I235" s="34"/>
      <c r="J235" s="35" t="s">
        <v>516</v>
      </c>
      <c r="K235" s="36" t="s">
        <v>511</v>
      </c>
      <c r="L235" s="37">
        <v>45004.347222222219</v>
      </c>
      <c r="M235" s="32"/>
      <c r="N235" s="32"/>
      <c r="O235" s="206"/>
      <c r="P235" s="205"/>
      <c r="Q235" s="202"/>
      <c r="R235" s="204"/>
      <c r="S235" s="38"/>
      <c r="T235" s="201"/>
      <c r="U235" s="201"/>
      <c r="V235" s="201"/>
      <c r="W235" s="201"/>
      <c r="X235" s="201"/>
      <c r="Y235" s="201"/>
      <c r="Z235" s="201"/>
      <c r="AA235" s="201"/>
      <c r="AB235" s="202"/>
      <c r="AC235" s="202"/>
      <c r="AD235" s="202"/>
      <c r="AE235" s="202"/>
      <c r="AF235" s="202"/>
      <c r="AG235" s="201"/>
      <c r="AH235" s="201"/>
      <c r="AI235" s="201"/>
      <c r="AJ235" s="201"/>
      <c r="AK235" s="201"/>
      <c r="AL235" s="201"/>
      <c r="AM235" s="201"/>
      <c r="AN235" s="201"/>
      <c r="AO235" s="201"/>
      <c r="AP235" s="201"/>
      <c r="AQ235" s="201"/>
      <c r="AR235" s="201"/>
      <c r="AS235" s="201"/>
      <c r="AT235" s="201"/>
      <c r="AU235" s="201"/>
      <c r="AV235" s="201"/>
      <c r="AW235" s="201"/>
      <c r="AX235" s="201"/>
      <c r="AY235" s="201"/>
      <c r="AZ235" s="201"/>
    </row>
    <row r="236" spans="2:52">
      <c r="B236" s="35" t="s">
        <v>517</v>
      </c>
      <c r="C236" s="35"/>
      <c r="D236" s="32"/>
      <c r="E236" s="36" t="s">
        <v>511</v>
      </c>
      <c r="F236" s="37">
        <v>44992.25</v>
      </c>
      <c r="G236" s="60">
        <v>45001</v>
      </c>
      <c r="H236" s="33"/>
      <c r="I236" s="34"/>
      <c r="J236" s="35" t="s">
        <v>518</v>
      </c>
      <c r="K236" s="36" t="s">
        <v>511</v>
      </c>
      <c r="L236" s="50">
        <v>67000</v>
      </c>
      <c r="M236" s="40" t="s">
        <v>519</v>
      </c>
      <c r="N236" s="40"/>
      <c r="O236" s="206"/>
      <c r="P236" s="205"/>
      <c r="Q236" s="202"/>
      <c r="R236" s="204"/>
      <c r="S236" s="38"/>
      <c r="T236" s="201"/>
      <c r="U236" s="201"/>
      <c r="V236" s="201"/>
      <c r="W236" s="201"/>
      <c r="X236" s="201"/>
      <c r="Y236" s="201"/>
      <c r="Z236" s="201"/>
      <c r="AA236" s="201"/>
      <c r="AB236" s="202"/>
      <c r="AC236" s="202"/>
      <c r="AD236" s="202"/>
      <c r="AE236" s="202"/>
      <c r="AF236" s="202"/>
      <c r="AG236" s="201"/>
      <c r="AH236" s="201"/>
      <c r="AI236" s="201"/>
      <c r="AJ236" s="201"/>
      <c r="AK236" s="201"/>
      <c r="AL236" s="201"/>
      <c r="AM236" s="201"/>
      <c r="AN236" s="201"/>
      <c r="AO236" s="201"/>
      <c r="AP236" s="201"/>
      <c r="AQ236" s="201"/>
      <c r="AR236" s="201"/>
      <c r="AS236" s="201"/>
      <c r="AT236" s="201"/>
      <c r="AU236" s="201"/>
      <c r="AV236" s="201"/>
      <c r="AW236" s="201"/>
      <c r="AX236" s="201"/>
      <c r="AY236" s="201"/>
      <c r="AZ236" s="201"/>
    </row>
    <row r="237" spans="2:52">
      <c r="B237" s="35" t="s">
        <v>520</v>
      </c>
      <c r="C237" s="35"/>
      <c r="D237" s="32"/>
      <c r="E237" s="36" t="s">
        <v>511</v>
      </c>
      <c r="F237" s="37" t="s">
        <v>12</v>
      </c>
      <c r="G237" s="32"/>
      <c r="H237" s="33"/>
      <c r="I237" s="34"/>
      <c r="J237" s="35" t="s">
        <v>521</v>
      </c>
      <c r="K237" s="36" t="s">
        <v>511</v>
      </c>
      <c r="L237" s="41" t="s">
        <v>1148</v>
      </c>
      <c r="M237" s="32"/>
      <c r="N237" s="32"/>
      <c r="O237" s="206"/>
      <c r="P237" s="202"/>
      <c r="Q237" s="202"/>
      <c r="R237" s="204"/>
      <c r="S237" s="38"/>
      <c r="T237" s="201"/>
      <c r="U237" s="201"/>
      <c r="V237" s="201"/>
      <c r="W237" s="201"/>
      <c r="X237" s="201"/>
      <c r="Y237" s="201"/>
      <c r="Z237" s="201"/>
      <c r="AA237" s="201"/>
      <c r="AB237" s="202"/>
      <c r="AC237" s="202"/>
      <c r="AD237" s="202"/>
      <c r="AE237" s="202"/>
      <c r="AF237" s="202"/>
      <c r="AG237" s="201"/>
      <c r="AH237" s="201"/>
      <c r="AI237" s="201"/>
      <c r="AJ237" s="201"/>
      <c r="AK237" s="201"/>
      <c r="AL237" s="201"/>
      <c r="AM237" s="201"/>
      <c r="AN237" s="201"/>
      <c r="AO237" s="201"/>
      <c r="AP237" s="201"/>
      <c r="AQ237" s="201"/>
      <c r="AR237" s="201"/>
      <c r="AS237" s="201"/>
      <c r="AT237" s="201"/>
      <c r="AU237" s="201"/>
      <c r="AV237" s="201"/>
      <c r="AW237" s="201"/>
      <c r="AX237" s="201"/>
      <c r="AY237" s="201"/>
      <c r="AZ237" s="201"/>
    </row>
    <row r="238" spans="2:52">
      <c r="B238" s="35" t="s">
        <v>523</v>
      </c>
      <c r="C238" s="35"/>
      <c r="D238" s="32"/>
      <c r="E238" s="36" t="s">
        <v>511</v>
      </c>
      <c r="F238" s="37" t="s">
        <v>59</v>
      </c>
      <c r="G238" s="32"/>
      <c r="H238" s="33"/>
      <c r="I238" s="34"/>
      <c r="J238" s="42" t="s">
        <v>524</v>
      </c>
      <c r="K238" s="36" t="s">
        <v>511</v>
      </c>
      <c r="L238" s="43" t="s">
        <v>15</v>
      </c>
      <c r="M238" s="44"/>
      <c r="N238" s="44"/>
      <c r="O238" s="206"/>
      <c r="P238" s="205"/>
      <c r="Q238" s="202"/>
      <c r="R238" s="204"/>
      <c r="S238" s="38"/>
      <c r="T238" s="201"/>
      <c r="U238" s="201"/>
      <c r="V238" s="201"/>
      <c r="W238" s="201"/>
      <c r="X238" s="201"/>
      <c r="Y238" s="201"/>
      <c r="Z238" s="201"/>
      <c r="AA238" s="201"/>
      <c r="AB238" s="202"/>
      <c r="AC238" s="202"/>
      <c r="AD238" s="202"/>
      <c r="AE238" s="202"/>
      <c r="AF238" s="202"/>
      <c r="AG238" s="201"/>
      <c r="AH238" s="201"/>
      <c r="AI238" s="201"/>
      <c r="AJ238" s="201"/>
      <c r="AK238" s="201"/>
      <c r="AL238" s="201"/>
      <c r="AM238" s="201"/>
      <c r="AN238" s="201"/>
      <c r="AO238" s="201"/>
      <c r="AP238" s="201"/>
      <c r="AQ238" s="201"/>
      <c r="AR238" s="201"/>
      <c r="AS238" s="201"/>
      <c r="AT238" s="201"/>
      <c r="AU238" s="201"/>
      <c r="AV238" s="201"/>
      <c r="AW238" s="201"/>
      <c r="AX238" s="201"/>
      <c r="AY238" s="201"/>
      <c r="AZ238" s="201"/>
    </row>
    <row r="239" spans="2:52">
      <c r="B239" s="35" t="s">
        <v>2</v>
      </c>
      <c r="C239" s="35"/>
      <c r="D239" s="32"/>
      <c r="E239" s="36" t="s">
        <v>511</v>
      </c>
      <c r="F239" s="37" t="s">
        <v>44</v>
      </c>
      <c r="G239" s="32"/>
      <c r="H239" s="33"/>
      <c r="I239" s="45"/>
      <c r="J239" s="42"/>
      <c r="K239" s="36"/>
      <c r="L239" s="211"/>
      <c r="M239" s="201"/>
      <c r="N239" s="201"/>
      <c r="O239" s="42"/>
      <c r="P239" s="44"/>
      <c r="Q239" s="44"/>
      <c r="R239" s="44"/>
      <c r="S239" s="34"/>
      <c r="T239" s="201"/>
      <c r="U239" s="201"/>
      <c r="V239" s="201"/>
      <c r="W239" s="201"/>
      <c r="X239" s="201"/>
      <c r="Y239" s="201"/>
      <c r="Z239" s="201"/>
      <c r="AA239" s="201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201"/>
      <c r="AP239" s="201"/>
      <c r="AQ239" s="201"/>
      <c r="AR239" s="201"/>
      <c r="AS239" s="201"/>
      <c r="AT239" s="201"/>
      <c r="AU239" s="201"/>
      <c r="AV239" s="201"/>
      <c r="AW239" s="201"/>
      <c r="AX239" s="201"/>
      <c r="AY239" s="201"/>
      <c r="AZ239" s="201"/>
    </row>
    <row r="240" spans="2:52">
      <c r="B240" s="201"/>
      <c r="C240" s="201"/>
      <c r="D240" s="201"/>
      <c r="E240" s="201"/>
      <c r="F240" s="201"/>
      <c r="G240" s="201"/>
      <c r="H240" s="201"/>
      <c r="I240" s="45"/>
      <c r="J240" s="42"/>
      <c r="K240" s="42"/>
      <c r="L240" s="43"/>
      <c r="M240" s="44"/>
      <c r="N240" s="44"/>
      <c r="O240" s="42"/>
      <c r="P240" s="44"/>
      <c r="Q240" s="44"/>
      <c r="R240" s="44"/>
      <c r="S240" s="34"/>
      <c r="T240" s="1265" t="s">
        <v>87</v>
      </c>
      <c r="U240" s="1265"/>
      <c r="V240" s="1265"/>
      <c r="W240" s="1265"/>
      <c r="X240" s="1265"/>
      <c r="Y240" s="1265" t="s">
        <v>73</v>
      </c>
      <c r="Z240" s="1265"/>
      <c r="AA240" s="1265"/>
      <c r="AB240" s="1265" t="s">
        <v>74</v>
      </c>
      <c r="AC240" s="1265"/>
      <c r="AD240" s="423" t="s">
        <v>85</v>
      </c>
      <c r="AE240" s="423" t="s">
        <v>77</v>
      </c>
      <c r="AF240" s="1265" t="s">
        <v>525</v>
      </c>
      <c r="AG240" s="1265"/>
      <c r="AH240" s="1265"/>
      <c r="AI240" s="1265"/>
      <c r="AJ240" s="1265"/>
      <c r="AK240" s="1265"/>
      <c r="AL240" s="1265"/>
      <c r="AM240" s="1265"/>
      <c r="AN240" s="1265"/>
      <c r="AO240" s="1265"/>
      <c r="AP240" s="1265"/>
      <c r="AQ240" s="1265"/>
      <c r="AR240" s="1265"/>
      <c r="AS240" s="1265"/>
      <c r="AT240" s="1265"/>
      <c r="AU240" s="1265"/>
      <c r="AV240" s="1265"/>
      <c r="AW240" s="1265"/>
      <c r="AX240" s="1265"/>
      <c r="AY240" s="1265"/>
      <c r="AZ240" s="201"/>
    </row>
    <row r="241" spans="2:52">
      <c r="B241" s="1266" t="s">
        <v>526</v>
      </c>
      <c r="C241" s="1267"/>
      <c r="D241" s="570" t="s">
        <v>527</v>
      </c>
      <c r="E241" s="570"/>
      <c r="F241" s="570" t="s">
        <v>528</v>
      </c>
      <c r="G241" s="570" t="s">
        <v>529</v>
      </c>
      <c r="H241" s="570" t="s">
        <v>530</v>
      </c>
      <c r="I241" s="570" t="s">
        <v>531</v>
      </c>
      <c r="J241" s="570" t="s">
        <v>532</v>
      </c>
      <c r="K241" s="570"/>
      <c r="L241" s="570" t="s">
        <v>130</v>
      </c>
      <c r="M241" s="570" t="s">
        <v>533</v>
      </c>
      <c r="N241" s="408" t="str">
        <f>"On time - "&amp;COUNTIF(N242:N251,"On time")&amp;" from "&amp;ROWS(N242:N251)-COUNTIF(N242:N251," ")</f>
        <v>On time - 9 from 10</v>
      </c>
      <c r="O241" s="46"/>
      <c r="P241" s="409" t="s">
        <v>534</v>
      </c>
      <c r="Q241" s="409" t="s">
        <v>535</v>
      </c>
      <c r="R241" s="409" t="s">
        <v>536</v>
      </c>
      <c r="S241" s="32"/>
      <c r="T241" s="424" t="s">
        <v>537</v>
      </c>
      <c r="U241" s="424" t="s">
        <v>538</v>
      </c>
      <c r="V241" s="424" t="s">
        <v>539</v>
      </c>
      <c r="W241" s="424" t="s">
        <v>540</v>
      </c>
      <c r="X241" s="424" t="s">
        <v>541</v>
      </c>
      <c r="Y241" s="424" t="s">
        <v>167</v>
      </c>
      <c r="Z241" s="424" t="s">
        <v>168</v>
      </c>
      <c r="AA241" s="424" t="s">
        <v>169</v>
      </c>
      <c r="AB241" s="424" t="s">
        <v>235</v>
      </c>
      <c r="AC241" s="424" t="s">
        <v>240</v>
      </c>
      <c r="AD241" s="423" t="s">
        <v>85</v>
      </c>
      <c r="AE241" s="424" t="s">
        <v>139</v>
      </c>
      <c r="AF241" s="424" t="s">
        <v>72</v>
      </c>
      <c r="AG241" s="424" t="s">
        <v>88</v>
      </c>
      <c r="AH241" s="424" t="s">
        <v>75</v>
      </c>
      <c r="AI241" s="424" t="s">
        <v>543</v>
      </c>
      <c r="AJ241" s="424" t="s">
        <v>78</v>
      </c>
      <c r="AK241" s="424" t="s">
        <v>76</v>
      </c>
      <c r="AL241" s="424" t="s">
        <v>544</v>
      </c>
      <c r="AM241" s="424" t="s">
        <v>545</v>
      </c>
      <c r="AN241" s="424" t="s">
        <v>86</v>
      </c>
      <c r="AO241" s="424" t="s">
        <v>83</v>
      </c>
      <c r="AP241" s="424" t="s">
        <v>84</v>
      </c>
      <c r="AQ241" s="424" t="s">
        <v>546</v>
      </c>
      <c r="AR241" s="424" t="s">
        <v>81</v>
      </c>
      <c r="AS241" s="424" t="s">
        <v>80</v>
      </c>
      <c r="AT241" s="424" t="s">
        <v>82</v>
      </c>
      <c r="AU241" s="424" t="s">
        <v>181</v>
      </c>
      <c r="AV241" s="424" t="s">
        <v>183</v>
      </c>
      <c r="AW241" s="424" t="s">
        <v>547</v>
      </c>
      <c r="AX241" s="424" t="s">
        <v>182</v>
      </c>
      <c r="AY241" s="424" t="s">
        <v>172</v>
      </c>
      <c r="AZ241" s="201"/>
    </row>
    <row r="242" spans="2:52">
      <c r="B242" s="1256" t="s">
        <v>548</v>
      </c>
      <c r="C242" s="1257"/>
      <c r="D242" s="411" t="s">
        <v>941</v>
      </c>
      <c r="E242" s="411"/>
      <c r="F242" s="411" t="s">
        <v>295</v>
      </c>
      <c r="G242" s="411" t="s">
        <v>296</v>
      </c>
      <c r="H242" s="412">
        <v>2694.105</v>
      </c>
      <c r="I242" s="413" t="s">
        <v>934</v>
      </c>
      <c r="J242" s="414">
        <v>44997.541666666664</v>
      </c>
      <c r="K242" s="414"/>
      <c r="L242" s="414" t="s">
        <v>192</v>
      </c>
      <c r="M242" s="414" t="s">
        <v>192</v>
      </c>
      <c r="N242" s="413" t="str">
        <f t="shared" ref="N242:N251" si="16">IF(ISBLANK(J242)," ",IF(J242&lt;$G$236,"On time",(IF(DAY(J242-$G$236)&lt;1,"On time",(IF(J242&gt;$G$236,"DELAY ( "&amp;DAY(J242-$G$236)&amp;" day "&amp;HOUR(J242-$G$236)&amp;" hour "&amp;MINUTE(J242-$G$236)&amp;" minute )","xxx"))))))</f>
        <v>On time</v>
      </c>
      <c r="O242" s="51"/>
      <c r="P242" s="415" t="s">
        <v>551</v>
      </c>
      <c r="Q242" s="415" t="s">
        <v>551</v>
      </c>
      <c r="R242" s="415" t="s">
        <v>551</v>
      </c>
      <c r="S242" s="32"/>
      <c r="T242" s="416"/>
      <c r="U242" s="416"/>
      <c r="V242" s="416"/>
      <c r="W242" s="416"/>
      <c r="X242" s="416"/>
      <c r="Y242" s="416"/>
      <c r="Z242" s="416"/>
      <c r="AA242" s="416"/>
      <c r="AB242" s="416">
        <f>H242*0.6</f>
        <v>1616.463</v>
      </c>
      <c r="AC242" s="416">
        <f>H242*0.4</f>
        <v>1077.6420000000001</v>
      </c>
      <c r="AD242" s="416"/>
      <c r="AE242" s="416"/>
      <c r="AF242" s="416"/>
      <c r="AG242" s="416"/>
      <c r="AH242" s="416"/>
      <c r="AI242" s="416"/>
      <c r="AJ242" s="416"/>
      <c r="AK242" s="416"/>
      <c r="AL242" s="416"/>
      <c r="AM242" s="416"/>
      <c r="AN242" s="416"/>
      <c r="AO242" s="416"/>
      <c r="AP242" s="416"/>
      <c r="AQ242" s="416"/>
      <c r="AR242" s="416"/>
      <c r="AS242" s="416"/>
      <c r="AT242" s="416"/>
      <c r="AU242" s="416"/>
      <c r="AV242" s="416"/>
      <c r="AW242" s="416"/>
      <c r="AX242" s="416"/>
      <c r="AY242" s="416"/>
      <c r="AZ242" s="32"/>
    </row>
    <row r="243" spans="2:52">
      <c r="B243" s="1256" t="s">
        <v>548</v>
      </c>
      <c r="C243" s="1257"/>
      <c r="D243" s="411" t="s">
        <v>948</v>
      </c>
      <c r="E243" s="411"/>
      <c r="F243" s="411" t="s">
        <v>492</v>
      </c>
      <c r="G243" s="411" t="s">
        <v>493</v>
      </c>
      <c r="H243" s="412">
        <v>3047</v>
      </c>
      <c r="I243" s="413" t="s">
        <v>418</v>
      </c>
      <c r="J243" s="414">
        <v>44998.013888888891</v>
      </c>
      <c r="K243" s="414"/>
      <c r="L243" s="414" t="s">
        <v>192</v>
      </c>
      <c r="M243" s="414" t="s">
        <v>192</v>
      </c>
      <c r="N243" s="413" t="str">
        <f t="shared" si="16"/>
        <v>On time</v>
      </c>
      <c r="O243" s="51"/>
      <c r="P243" s="415" t="s">
        <v>551</v>
      </c>
      <c r="Q243" s="415" t="s">
        <v>551</v>
      </c>
      <c r="R243" s="415" t="s">
        <v>551</v>
      </c>
      <c r="S243" s="32"/>
      <c r="T243" s="416"/>
      <c r="U243" s="416"/>
      <c r="V243" s="416"/>
      <c r="W243" s="416"/>
      <c r="X243" s="416"/>
      <c r="Y243" s="416"/>
      <c r="Z243" s="416"/>
      <c r="AA243" s="416"/>
      <c r="AB243" s="416">
        <f>H243*0.55</f>
        <v>1675.8500000000001</v>
      </c>
      <c r="AC243" s="416">
        <f>H243*0.45</f>
        <v>1371.15</v>
      </c>
      <c r="AD243" s="416"/>
      <c r="AE243" s="416"/>
      <c r="AF243" s="416"/>
      <c r="AG243" s="416"/>
      <c r="AH243" s="416"/>
      <c r="AI243" s="416"/>
      <c r="AJ243" s="416"/>
      <c r="AK243" s="416"/>
      <c r="AL243" s="416"/>
      <c r="AM243" s="416"/>
      <c r="AN243" s="416"/>
      <c r="AO243" s="416"/>
      <c r="AP243" s="416"/>
      <c r="AQ243" s="416"/>
      <c r="AR243" s="416"/>
      <c r="AS243" s="416"/>
      <c r="AT243" s="416"/>
      <c r="AU243" s="416"/>
      <c r="AV243" s="416"/>
      <c r="AW243" s="416"/>
      <c r="AX243" s="416"/>
      <c r="AY243" s="416"/>
      <c r="AZ243" s="32"/>
    </row>
    <row r="244" spans="2:52">
      <c r="B244" s="1256" t="s">
        <v>548</v>
      </c>
      <c r="C244" s="1257"/>
      <c r="D244" s="411" t="s">
        <v>962</v>
      </c>
      <c r="E244" s="411"/>
      <c r="F244" s="411" t="s">
        <v>277</v>
      </c>
      <c r="G244" s="411" t="s">
        <v>278</v>
      </c>
      <c r="H244" s="412">
        <v>7401.3119999999999</v>
      </c>
      <c r="I244" s="413" t="s">
        <v>240</v>
      </c>
      <c r="J244" s="414">
        <v>45000.253472222219</v>
      </c>
      <c r="K244" s="414"/>
      <c r="L244" s="414" t="s">
        <v>192</v>
      </c>
      <c r="M244" s="414" t="s">
        <v>192</v>
      </c>
      <c r="N244" s="413" t="str">
        <f t="shared" si="16"/>
        <v>On time</v>
      </c>
      <c r="O244" s="51"/>
      <c r="P244" s="415" t="s">
        <v>551</v>
      </c>
      <c r="Q244" s="415" t="s">
        <v>551</v>
      </c>
      <c r="R244" s="415" t="s">
        <v>551</v>
      </c>
      <c r="S244" s="32"/>
      <c r="T244" s="416"/>
      <c r="U244" s="416"/>
      <c r="V244" s="416"/>
      <c r="W244" s="416"/>
      <c r="X244" s="416"/>
      <c r="Y244" s="416"/>
      <c r="Z244" s="416"/>
      <c r="AA244" s="416"/>
      <c r="AB244" s="416"/>
      <c r="AC244" s="416">
        <f>H244</f>
        <v>7401.3119999999999</v>
      </c>
      <c r="AD244" s="416"/>
      <c r="AE244" s="416"/>
      <c r="AF244" s="416"/>
      <c r="AG244" s="416"/>
      <c r="AH244" s="416"/>
      <c r="AI244" s="416"/>
      <c r="AJ244" s="416"/>
      <c r="AK244" s="416"/>
      <c r="AL244" s="416"/>
      <c r="AM244" s="416"/>
      <c r="AN244" s="416"/>
      <c r="AO244" s="416"/>
      <c r="AP244" s="416"/>
      <c r="AQ244" s="416"/>
      <c r="AR244" s="416"/>
      <c r="AS244" s="416"/>
      <c r="AT244" s="416"/>
      <c r="AU244" s="416"/>
      <c r="AV244" s="416"/>
      <c r="AW244" s="416"/>
      <c r="AX244" s="416"/>
      <c r="AY244" s="416"/>
      <c r="AZ244" s="32"/>
    </row>
    <row r="245" spans="2:52">
      <c r="B245" s="1256" t="s">
        <v>548</v>
      </c>
      <c r="C245" s="1257"/>
      <c r="D245" s="411" t="s">
        <v>968</v>
      </c>
      <c r="E245" s="411"/>
      <c r="F245" s="411" t="s">
        <v>271</v>
      </c>
      <c r="G245" s="411" t="s">
        <v>272</v>
      </c>
      <c r="H245" s="412">
        <v>9105.8960000000006</v>
      </c>
      <c r="I245" s="413" t="s">
        <v>240</v>
      </c>
      <c r="J245" s="414">
        <v>45000.267361111109</v>
      </c>
      <c r="K245" s="414"/>
      <c r="L245" s="414" t="s">
        <v>192</v>
      </c>
      <c r="M245" s="414" t="s">
        <v>192</v>
      </c>
      <c r="N245" s="413" t="str">
        <f t="shared" si="16"/>
        <v>On time</v>
      </c>
      <c r="O245" s="51"/>
      <c r="P245" s="415" t="s">
        <v>551</v>
      </c>
      <c r="Q245" s="415" t="s">
        <v>551</v>
      </c>
      <c r="R245" s="415" t="s">
        <v>551</v>
      </c>
      <c r="S245" s="32"/>
      <c r="T245" s="416"/>
      <c r="U245" s="416"/>
      <c r="V245" s="416"/>
      <c r="W245" s="416"/>
      <c r="X245" s="416"/>
      <c r="Y245" s="416"/>
      <c r="Z245" s="416"/>
      <c r="AA245" s="416"/>
      <c r="AB245" s="416"/>
      <c r="AC245" s="416">
        <f>H245</f>
        <v>9105.8960000000006</v>
      </c>
      <c r="AD245" s="416"/>
      <c r="AE245" s="416"/>
      <c r="AF245" s="416"/>
      <c r="AG245" s="416"/>
      <c r="AH245" s="416"/>
      <c r="AI245" s="416"/>
      <c r="AJ245" s="416"/>
      <c r="AK245" s="416"/>
      <c r="AL245" s="416"/>
      <c r="AM245" s="416"/>
      <c r="AN245" s="416"/>
      <c r="AO245" s="416"/>
      <c r="AP245" s="416"/>
      <c r="AQ245" s="416"/>
      <c r="AR245" s="416"/>
      <c r="AS245" s="416"/>
      <c r="AT245" s="416"/>
      <c r="AU245" s="416"/>
      <c r="AV245" s="416"/>
      <c r="AW245" s="416"/>
      <c r="AX245" s="416"/>
      <c r="AY245" s="416"/>
      <c r="AZ245" s="32"/>
    </row>
    <row r="246" spans="2:52">
      <c r="B246" s="1256" t="s">
        <v>548</v>
      </c>
      <c r="C246" s="1257"/>
      <c r="D246" s="411" t="s">
        <v>966</v>
      </c>
      <c r="E246" s="411"/>
      <c r="F246" s="411" t="s">
        <v>380</v>
      </c>
      <c r="G246" s="411" t="s">
        <v>381</v>
      </c>
      <c r="H246" s="412">
        <v>7751.625</v>
      </c>
      <c r="I246" s="413" t="s">
        <v>240</v>
      </c>
      <c r="J246" s="414">
        <v>45000.291666666664</v>
      </c>
      <c r="K246" s="414"/>
      <c r="L246" s="414" t="s">
        <v>192</v>
      </c>
      <c r="M246" s="414" t="s">
        <v>192</v>
      </c>
      <c r="N246" s="413" t="str">
        <f t="shared" si="16"/>
        <v>On time</v>
      </c>
      <c r="O246" s="51"/>
      <c r="P246" s="415" t="s">
        <v>551</v>
      </c>
      <c r="Q246" s="415" t="s">
        <v>551</v>
      </c>
      <c r="R246" s="415" t="s">
        <v>551</v>
      </c>
      <c r="S246" s="32"/>
      <c r="T246" s="416"/>
      <c r="U246" s="416"/>
      <c r="V246" s="416"/>
      <c r="W246" s="416"/>
      <c r="X246" s="416"/>
      <c r="Y246" s="416"/>
      <c r="Z246" s="416"/>
      <c r="AA246" s="416"/>
      <c r="AB246" s="416"/>
      <c r="AC246" s="416">
        <f>H246</f>
        <v>7751.625</v>
      </c>
      <c r="AD246" s="416"/>
      <c r="AE246" s="416"/>
      <c r="AF246" s="416"/>
      <c r="AG246" s="416"/>
      <c r="AH246" s="416"/>
      <c r="AI246" s="416"/>
      <c r="AJ246" s="416"/>
      <c r="AK246" s="416"/>
      <c r="AL246" s="416"/>
      <c r="AM246" s="416"/>
      <c r="AN246" s="416"/>
      <c r="AO246" s="416"/>
      <c r="AP246" s="416"/>
      <c r="AQ246" s="416"/>
      <c r="AR246" s="416"/>
      <c r="AS246" s="416"/>
      <c r="AT246" s="416"/>
      <c r="AU246" s="416"/>
      <c r="AV246" s="416"/>
      <c r="AW246" s="416"/>
      <c r="AX246" s="416"/>
      <c r="AY246" s="416"/>
      <c r="AZ246" s="32"/>
    </row>
    <row r="247" spans="2:52">
      <c r="B247" s="1256" t="s">
        <v>548</v>
      </c>
      <c r="C247" s="1257"/>
      <c r="D247" s="411" t="s">
        <v>1060</v>
      </c>
      <c r="E247" s="411"/>
      <c r="F247" s="411" t="s">
        <v>323</v>
      </c>
      <c r="G247" s="411" t="s">
        <v>324</v>
      </c>
      <c r="H247" s="412">
        <v>7572.1869999999999</v>
      </c>
      <c r="I247" s="413" t="s">
        <v>172</v>
      </c>
      <c r="J247" s="414">
        <v>45000.333333333336</v>
      </c>
      <c r="K247" s="414"/>
      <c r="L247" s="414" t="s">
        <v>192</v>
      </c>
      <c r="M247" s="414" t="s">
        <v>192</v>
      </c>
      <c r="N247" s="413" t="str">
        <f t="shared" si="16"/>
        <v>On time</v>
      </c>
      <c r="O247" s="51"/>
      <c r="P247" s="415" t="s">
        <v>551</v>
      </c>
      <c r="Q247" s="415" t="s">
        <v>551</v>
      </c>
      <c r="R247" s="415" t="s">
        <v>551</v>
      </c>
      <c r="S247" s="32"/>
      <c r="T247" s="416"/>
      <c r="U247" s="416"/>
      <c r="V247" s="416"/>
      <c r="W247" s="416"/>
      <c r="X247" s="416"/>
      <c r="Y247" s="416"/>
      <c r="Z247" s="416"/>
      <c r="AA247" s="416"/>
      <c r="AB247" s="416"/>
      <c r="AC247" s="416"/>
      <c r="AD247" s="416"/>
      <c r="AE247" s="416"/>
      <c r="AF247" s="416"/>
      <c r="AG247" s="416"/>
      <c r="AH247" s="416"/>
      <c r="AI247" s="416"/>
      <c r="AJ247" s="416"/>
      <c r="AK247" s="416"/>
      <c r="AL247" s="416"/>
      <c r="AM247" s="416"/>
      <c r="AN247" s="416"/>
      <c r="AO247" s="416"/>
      <c r="AP247" s="416"/>
      <c r="AQ247" s="416"/>
      <c r="AR247" s="416"/>
      <c r="AS247" s="416"/>
      <c r="AT247" s="416"/>
      <c r="AU247" s="416"/>
      <c r="AV247" s="416"/>
      <c r="AW247" s="416"/>
      <c r="AX247" s="416"/>
      <c r="AY247" s="416">
        <f>H247</f>
        <v>7572.1869999999999</v>
      </c>
      <c r="AZ247" s="32"/>
    </row>
    <row r="248" spans="2:52">
      <c r="B248" s="1256" t="s">
        <v>548</v>
      </c>
      <c r="C248" s="1257"/>
      <c r="D248" s="411" t="s">
        <v>959</v>
      </c>
      <c r="E248" s="411"/>
      <c r="F248" s="411" t="s">
        <v>352</v>
      </c>
      <c r="G248" s="411" t="s">
        <v>353</v>
      </c>
      <c r="H248" s="412">
        <v>9787.4500000000007</v>
      </c>
      <c r="I248" s="413" t="s">
        <v>581</v>
      </c>
      <c r="J248" s="414">
        <v>45001.25</v>
      </c>
      <c r="K248" s="414"/>
      <c r="L248" s="414" t="s">
        <v>192</v>
      </c>
      <c r="M248" s="414" t="s">
        <v>192</v>
      </c>
      <c r="N248" s="413" t="str">
        <f t="shared" si="16"/>
        <v>On time</v>
      </c>
      <c r="O248" s="51"/>
      <c r="P248" s="415" t="s">
        <v>551</v>
      </c>
      <c r="Q248" s="415" t="s">
        <v>551</v>
      </c>
      <c r="R248" s="415" t="s">
        <v>551</v>
      </c>
      <c r="S248" s="32"/>
      <c r="T248" s="416"/>
      <c r="U248" s="416"/>
      <c r="V248" s="416"/>
      <c r="W248" s="416"/>
      <c r="X248" s="416"/>
      <c r="Y248" s="416"/>
      <c r="Z248" s="416"/>
      <c r="AA248" s="416"/>
      <c r="AB248" s="416">
        <f>H248*0.75</f>
        <v>7340.5875000000005</v>
      </c>
      <c r="AC248" s="416">
        <f>H248*0.25</f>
        <v>2446.8625000000002</v>
      </c>
      <c r="AD248" s="416"/>
      <c r="AE248" s="416"/>
      <c r="AF248" s="416"/>
      <c r="AG248" s="416"/>
      <c r="AH248" s="416"/>
      <c r="AI248" s="416"/>
      <c r="AJ248" s="416"/>
      <c r="AK248" s="416"/>
      <c r="AL248" s="416"/>
      <c r="AM248" s="416"/>
      <c r="AN248" s="416"/>
      <c r="AO248" s="416"/>
      <c r="AP248" s="416"/>
      <c r="AQ248" s="416"/>
      <c r="AR248" s="416"/>
      <c r="AS248" s="416"/>
      <c r="AT248" s="416"/>
      <c r="AU248" s="416"/>
      <c r="AV248" s="416"/>
      <c r="AW248" s="416"/>
      <c r="AX248" s="416"/>
      <c r="AY248" s="416"/>
      <c r="AZ248" s="32"/>
    </row>
    <row r="249" spans="2:52">
      <c r="B249" s="1256" t="s">
        <v>548</v>
      </c>
      <c r="C249" s="1257"/>
      <c r="D249" s="411" t="s">
        <v>967</v>
      </c>
      <c r="E249" s="411"/>
      <c r="F249" s="411" t="s">
        <v>374</v>
      </c>
      <c r="G249" s="411" t="s">
        <v>375</v>
      </c>
      <c r="H249" s="412">
        <v>7502.3459999999995</v>
      </c>
      <c r="I249" s="413" t="s">
        <v>240</v>
      </c>
      <c r="J249" s="414">
        <v>45000.402777777781</v>
      </c>
      <c r="K249" s="414"/>
      <c r="L249" s="414" t="s">
        <v>192</v>
      </c>
      <c r="M249" s="414" t="s">
        <v>192</v>
      </c>
      <c r="N249" s="413" t="str">
        <f t="shared" si="16"/>
        <v>On time</v>
      </c>
      <c r="O249" s="51"/>
      <c r="P249" s="415" t="s">
        <v>551</v>
      </c>
      <c r="Q249" s="415" t="s">
        <v>551</v>
      </c>
      <c r="R249" s="415" t="s">
        <v>551</v>
      </c>
      <c r="S249" s="32"/>
      <c r="T249" s="416"/>
      <c r="U249" s="416"/>
      <c r="V249" s="416"/>
      <c r="W249" s="416"/>
      <c r="X249" s="416"/>
      <c r="Y249" s="416"/>
      <c r="Z249" s="416"/>
      <c r="AA249" s="416"/>
      <c r="AB249" s="416"/>
      <c r="AC249" s="416">
        <f>H249</f>
        <v>7502.3459999999995</v>
      </c>
      <c r="AD249" s="416"/>
      <c r="AE249" s="416"/>
      <c r="AF249" s="416"/>
      <c r="AG249" s="416"/>
      <c r="AH249" s="416"/>
      <c r="AI249" s="416"/>
      <c r="AJ249" s="416"/>
      <c r="AK249" s="416"/>
      <c r="AL249" s="416"/>
      <c r="AM249" s="416"/>
      <c r="AN249" s="416"/>
      <c r="AO249" s="416"/>
      <c r="AP249" s="416"/>
      <c r="AQ249" s="416"/>
      <c r="AR249" s="416"/>
      <c r="AS249" s="416"/>
      <c r="AT249" s="416"/>
      <c r="AU249" s="416"/>
      <c r="AV249" s="416"/>
      <c r="AW249" s="416"/>
      <c r="AX249" s="416"/>
      <c r="AY249" s="416"/>
      <c r="AZ249" s="32"/>
    </row>
    <row r="250" spans="2:52">
      <c r="B250" s="1256" t="s">
        <v>548</v>
      </c>
      <c r="C250" s="1257"/>
      <c r="D250" s="411" t="s">
        <v>770</v>
      </c>
      <c r="E250" s="411"/>
      <c r="F250" s="411" t="s">
        <v>695</v>
      </c>
      <c r="G250" s="411" t="s">
        <v>281</v>
      </c>
      <c r="H250" s="412">
        <f>7434</f>
        <v>7434</v>
      </c>
      <c r="I250" s="413" t="s">
        <v>84</v>
      </c>
      <c r="J250" s="414">
        <v>45003.125</v>
      </c>
      <c r="K250" s="414"/>
      <c r="L250" s="414" t="s">
        <v>192</v>
      </c>
      <c r="M250" s="414" t="s">
        <v>192</v>
      </c>
      <c r="N250" s="413" t="str">
        <f t="shared" si="16"/>
        <v>DELAY ( 2 day 3 hour 0 minute )</v>
      </c>
      <c r="O250" s="51"/>
      <c r="P250" s="415" t="s">
        <v>551</v>
      </c>
      <c r="Q250" s="415" t="s">
        <v>551</v>
      </c>
      <c r="R250" s="415" t="s">
        <v>551</v>
      </c>
      <c r="S250" s="32"/>
      <c r="T250" s="416"/>
      <c r="U250" s="416"/>
      <c r="V250" s="416"/>
      <c r="W250" s="416"/>
      <c r="X250" s="416"/>
      <c r="Y250" s="416"/>
      <c r="Z250" s="416"/>
      <c r="AA250" s="416"/>
      <c r="AB250" s="416"/>
      <c r="AC250" s="416"/>
      <c r="AD250" s="416"/>
      <c r="AE250" s="416"/>
      <c r="AF250" s="416"/>
      <c r="AG250" s="416"/>
      <c r="AH250" s="416"/>
      <c r="AI250" s="416"/>
      <c r="AJ250" s="416"/>
      <c r="AK250" s="416"/>
      <c r="AL250" s="416"/>
      <c r="AM250" s="416"/>
      <c r="AN250" s="416"/>
      <c r="AO250" s="416"/>
      <c r="AP250" s="416">
        <f>H250</f>
        <v>7434</v>
      </c>
      <c r="AQ250" s="416"/>
      <c r="AR250" s="416"/>
      <c r="AS250" s="416"/>
      <c r="AT250" s="416"/>
      <c r="AU250" s="416"/>
      <c r="AV250" s="416"/>
      <c r="AW250" s="416"/>
      <c r="AX250" s="416"/>
      <c r="AY250" s="416"/>
      <c r="AZ250" s="32"/>
    </row>
    <row r="251" spans="2:52">
      <c r="B251" s="1256" t="s">
        <v>548</v>
      </c>
      <c r="C251" s="1257"/>
      <c r="D251" s="411" t="s">
        <v>964</v>
      </c>
      <c r="E251" s="411"/>
      <c r="F251" s="411" t="s">
        <v>310</v>
      </c>
      <c r="G251" s="411" t="s">
        <v>311</v>
      </c>
      <c r="H251" s="412">
        <f>7642.916-2938.837</f>
        <v>4704.0789999999997</v>
      </c>
      <c r="I251" s="413" t="s">
        <v>240</v>
      </c>
      <c r="J251" s="414">
        <v>45000.583333333336</v>
      </c>
      <c r="K251" s="414"/>
      <c r="L251" s="414" t="s">
        <v>192</v>
      </c>
      <c r="M251" s="414" t="s">
        <v>192</v>
      </c>
      <c r="N251" s="413" t="str">
        <f t="shared" si="16"/>
        <v>On time</v>
      </c>
      <c r="O251" s="51"/>
      <c r="P251" s="415" t="s">
        <v>551</v>
      </c>
      <c r="Q251" s="415" t="s">
        <v>551</v>
      </c>
      <c r="R251" s="415" t="s">
        <v>551</v>
      </c>
      <c r="S251" s="32"/>
      <c r="T251" s="416"/>
      <c r="U251" s="416"/>
      <c r="V251" s="416"/>
      <c r="W251" s="416"/>
      <c r="X251" s="416"/>
      <c r="Y251" s="416"/>
      <c r="Z251" s="416"/>
      <c r="AA251" s="416"/>
      <c r="AB251" s="416"/>
      <c r="AC251" s="416">
        <f>H251</f>
        <v>4704.0789999999997</v>
      </c>
      <c r="AD251" s="416"/>
      <c r="AE251" s="416"/>
      <c r="AF251" s="416"/>
      <c r="AG251" s="416"/>
      <c r="AH251" s="416"/>
      <c r="AI251" s="416"/>
      <c r="AJ251" s="416"/>
      <c r="AK251" s="416"/>
      <c r="AL251" s="416"/>
      <c r="AM251" s="416"/>
      <c r="AN251" s="416"/>
      <c r="AO251" s="416"/>
      <c r="AP251" s="416"/>
      <c r="AQ251" s="416"/>
      <c r="AR251" s="416"/>
      <c r="AS251" s="416"/>
      <c r="AT251" s="416"/>
      <c r="AU251" s="416"/>
      <c r="AV251" s="416"/>
      <c r="AW251" s="416"/>
      <c r="AX251" s="416"/>
      <c r="AY251" s="416"/>
      <c r="AZ251" s="32"/>
    </row>
    <row r="252" spans="2:52">
      <c r="B252" s="1258" t="s">
        <v>556</v>
      </c>
      <c r="C252" s="1259"/>
      <c r="D252" s="1259"/>
      <c r="E252" s="1259"/>
      <c r="F252" s="1259"/>
      <c r="G252" s="1260"/>
      <c r="H252" s="417">
        <f>SUM(H242:H251)</f>
        <v>67000</v>
      </c>
      <c r="I252" s="388"/>
      <c r="J252" s="293"/>
      <c r="K252" s="293"/>
      <c r="L252" s="293"/>
      <c r="M252" s="389"/>
      <c r="N252" s="413" t="str">
        <f>IF(ISBLANK(J252)," ",IF(J252&lt;$F$4,"On time",(IF(DAY(J252-$F$4)&lt;1,"On time",(IF(J252&gt;$F$4,"DELAY ( "&amp;DAY(J252-$F$4)&amp;" day "&amp;HOUR(J252-$F$4)&amp;" hour "&amp;MINUTE(J252-$F$4)&amp;" minute )","xxx"))))))</f>
        <v xml:space="preserve"> </v>
      </c>
      <c r="O252" s="212"/>
      <c r="P252" s="418"/>
      <c r="Q252" s="418"/>
      <c r="R252" s="418"/>
      <c r="S252" s="207"/>
      <c r="T252" s="1262"/>
      <c r="U252" s="1263"/>
      <c r="V252" s="1263"/>
      <c r="W252" s="1263"/>
      <c r="X252" s="1263"/>
      <c r="Y252" s="1263"/>
      <c r="Z252" s="1263"/>
      <c r="AA252" s="1263"/>
      <c r="AB252" s="1263"/>
      <c r="AC252" s="1263"/>
      <c r="AD252" s="1263"/>
      <c r="AE252" s="1263"/>
      <c r="AF252" s="1263"/>
      <c r="AG252" s="1263"/>
      <c r="AH252" s="1263"/>
      <c r="AI252" s="1263"/>
      <c r="AJ252" s="1263"/>
      <c r="AK252" s="1263"/>
      <c r="AL252" s="1263"/>
      <c r="AM252" s="1263"/>
      <c r="AN252" s="1263"/>
      <c r="AO252" s="1263"/>
      <c r="AP252" s="1263"/>
      <c r="AQ252" s="1263"/>
      <c r="AR252" s="1263"/>
      <c r="AS252" s="1263"/>
      <c r="AT252" s="1263"/>
      <c r="AU252" s="1263"/>
      <c r="AV252" s="1263"/>
      <c r="AW252" s="1263"/>
      <c r="AX252" s="1263"/>
      <c r="AY252" s="1264"/>
    </row>
    <row r="253" spans="2:52">
      <c r="B253" s="1243" t="s">
        <v>557</v>
      </c>
      <c r="C253" s="1244"/>
      <c r="D253" s="1244"/>
      <c r="E253" s="1244"/>
      <c r="F253" s="1244"/>
      <c r="G253" s="1245"/>
      <c r="H253" s="419">
        <v>67000</v>
      </c>
      <c r="I253" s="1273"/>
      <c r="J253" s="1274"/>
      <c r="K253" s="1274"/>
      <c r="L253" s="1274"/>
      <c r="M253" s="1275"/>
      <c r="N253" s="413" t="str">
        <f>IF(ISBLANK(J253)," ",IF(J253&lt;$F$4,"On time",(IF(DAY(J253-$F$4)&lt;1,"On time",(IF(J253&gt;$F$4,"DELAY ( "&amp;DAY(J253-$F$4)&amp;" day "&amp;HOUR(J253-$F$4)&amp;" hour "&amp;MINUTE(J253-$F$4)&amp;" minute )","xxx"))))))</f>
        <v xml:space="preserve"> </v>
      </c>
      <c r="O253" s="32"/>
      <c r="P253" s="415"/>
      <c r="Q253" s="415"/>
      <c r="R253" s="415"/>
      <c r="S253" s="63"/>
      <c r="T253" s="416">
        <f t="shared" ref="T253:AY253" si="17">SUM(T242:T251)</f>
        <v>0</v>
      </c>
      <c r="U253" s="416">
        <f t="shared" si="17"/>
        <v>0</v>
      </c>
      <c r="V253" s="416">
        <f t="shared" si="17"/>
        <v>0</v>
      </c>
      <c r="W253" s="416">
        <f t="shared" si="17"/>
        <v>0</v>
      </c>
      <c r="X253" s="416">
        <f t="shared" si="17"/>
        <v>0</v>
      </c>
      <c r="Y253" s="416">
        <f t="shared" si="17"/>
        <v>0</v>
      </c>
      <c r="Z253" s="416">
        <f t="shared" si="17"/>
        <v>0</v>
      </c>
      <c r="AA253" s="416">
        <f t="shared" si="17"/>
        <v>0</v>
      </c>
      <c r="AB253" s="416">
        <f>SUM(AB242:AB251)</f>
        <v>10632.9005</v>
      </c>
      <c r="AC253" s="416">
        <f>SUM(AC242:AC251)</f>
        <v>41360.912499999999</v>
      </c>
      <c r="AD253" s="416">
        <f t="shared" si="17"/>
        <v>0</v>
      </c>
      <c r="AE253" s="416">
        <f t="shared" si="17"/>
        <v>0</v>
      </c>
      <c r="AF253" s="416">
        <f t="shared" si="17"/>
        <v>0</v>
      </c>
      <c r="AG253" s="416">
        <f t="shared" si="17"/>
        <v>0</v>
      </c>
      <c r="AH253" s="416">
        <f t="shared" si="17"/>
        <v>0</v>
      </c>
      <c r="AI253" s="416">
        <f t="shared" si="17"/>
        <v>0</v>
      </c>
      <c r="AJ253" s="416">
        <f t="shared" si="17"/>
        <v>0</v>
      </c>
      <c r="AK253" s="416">
        <f t="shared" si="17"/>
        <v>0</v>
      </c>
      <c r="AL253" s="416">
        <f t="shared" si="17"/>
        <v>0</v>
      </c>
      <c r="AM253" s="416">
        <f t="shared" si="17"/>
        <v>0</v>
      </c>
      <c r="AN253" s="416">
        <f t="shared" si="17"/>
        <v>0</v>
      </c>
      <c r="AO253" s="416">
        <f t="shared" si="17"/>
        <v>0</v>
      </c>
      <c r="AP253" s="416">
        <f t="shared" si="17"/>
        <v>7434</v>
      </c>
      <c r="AQ253" s="416">
        <f t="shared" si="17"/>
        <v>0</v>
      </c>
      <c r="AR253" s="416">
        <f t="shared" si="17"/>
        <v>0</v>
      </c>
      <c r="AS253" s="416">
        <f t="shared" si="17"/>
        <v>0</v>
      </c>
      <c r="AT253" s="416">
        <f t="shared" si="17"/>
        <v>0</v>
      </c>
      <c r="AU253" s="416">
        <f t="shared" si="17"/>
        <v>0</v>
      </c>
      <c r="AV253" s="416">
        <f t="shared" si="17"/>
        <v>0</v>
      </c>
      <c r="AW253" s="416">
        <f t="shared" si="17"/>
        <v>0</v>
      </c>
      <c r="AX253" s="416">
        <f t="shared" si="17"/>
        <v>0</v>
      </c>
      <c r="AY253" s="416">
        <f t="shared" si="17"/>
        <v>7572.1869999999999</v>
      </c>
      <c r="AZ253" s="416">
        <f>SUM(T253:AY253)</f>
        <v>67000</v>
      </c>
    </row>
    <row r="254" spans="2:52">
      <c r="B254" s="1243" t="s">
        <v>558</v>
      </c>
      <c r="C254" s="1244"/>
      <c r="D254" s="1244"/>
      <c r="E254" s="1244"/>
      <c r="F254" s="1244"/>
      <c r="G254" s="1245"/>
      <c r="H254" s="420">
        <f>H253-L236</f>
        <v>0</v>
      </c>
      <c r="I254" s="294"/>
      <c r="J254" s="295"/>
      <c r="K254" s="295"/>
      <c r="L254" s="296"/>
      <c r="M254" s="32"/>
      <c r="N254" s="32"/>
      <c r="O254" s="32"/>
      <c r="P254" s="32"/>
      <c r="Q254" s="297"/>
      <c r="R254" s="297"/>
      <c r="S254" s="32"/>
      <c r="T254" s="48"/>
      <c r="U254" s="48"/>
      <c r="V254" s="48"/>
      <c r="W254" s="48"/>
      <c r="X254" s="48"/>
      <c r="Y254" s="48"/>
      <c r="Z254" s="48"/>
      <c r="AA254" s="48"/>
      <c r="AB254" s="48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</row>
    <row r="255" spans="2:52">
      <c r="B255" s="1243" t="s">
        <v>559</v>
      </c>
      <c r="C255" s="1244"/>
      <c r="D255" s="1244"/>
      <c r="E255" s="1244"/>
      <c r="F255" s="1244"/>
      <c r="G255" s="1245"/>
      <c r="H255" s="420">
        <v>2935</v>
      </c>
      <c r="I255" s="269">
        <v>4900</v>
      </c>
      <c r="J255" s="53"/>
      <c r="K255" s="53"/>
      <c r="L255" s="54"/>
      <c r="M255" s="32"/>
      <c r="N255" s="201"/>
      <c r="O255" s="32"/>
      <c r="P255" s="32"/>
      <c r="Q255" s="32"/>
      <c r="R255" s="32"/>
      <c r="S255" s="32"/>
      <c r="T255" s="48"/>
      <c r="U255" s="48"/>
      <c r="V255" s="48"/>
      <c r="W255" s="48"/>
      <c r="X255" s="48"/>
      <c r="Y255" s="48"/>
      <c r="Z255" s="48"/>
      <c r="AA255" s="48"/>
      <c r="AB255" s="48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</row>
    <row r="256" spans="2:52">
      <c r="B256" s="1243" t="s">
        <v>560</v>
      </c>
      <c r="C256" s="1244"/>
      <c r="D256" s="1244"/>
      <c r="E256" s="1244"/>
      <c r="F256" s="1244"/>
      <c r="G256" s="1245"/>
      <c r="H256" s="421">
        <f>H255-2938.837</f>
        <v>-3.8369999999999891</v>
      </c>
      <c r="I256" s="270">
        <f>I255-H255</f>
        <v>1965</v>
      </c>
      <c r="J256" s="53"/>
      <c r="K256" s="53"/>
      <c r="L256" s="54"/>
      <c r="M256" s="32"/>
      <c r="N256" s="32"/>
      <c r="O256" s="32"/>
      <c r="P256" s="32"/>
      <c r="Q256" s="32"/>
      <c r="R256" s="32"/>
      <c r="S256" s="48"/>
      <c r="T256" s="48"/>
      <c r="U256" s="48"/>
      <c r="V256" s="48"/>
      <c r="W256" s="48"/>
      <c r="X256" s="48"/>
      <c r="Y256" s="48"/>
      <c r="Z256" s="48"/>
      <c r="AA256" s="48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 spans="2:53">
      <c r="B257" s="201"/>
      <c r="C257" s="201"/>
      <c r="D257" s="201"/>
      <c r="E257" s="201"/>
      <c r="F257" s="201"/>
      <c r="G257" s="201"/>
      <c r="H257" s="201"/>
      <c r="I257" s="213"/>
      <c r="J257" s="209"/>
      <c r="K257" s="209"/>
      <c r="L257" s="203"/>
      <c r="M257" s="201"/>
      <c r="N257" s="201"/>
      <c r="O257" s="209"/>
      <c r="P257" s="32"/>
      <c r="Q257" s="32"/>
      <c r="R257" s="32"/>
      <c r="S257" s="32"/>
      <c r="T257" s="48"/>
      <c r="U257" s="48"/>
      <c r="V257" s="48"/>
      <c r="W257" s="48"/>
      <c r="X257" s="48"/>
      <c r="Y257" s="48"/>
      <c r="Z257" s="48"/>
      <c r="AA257" s="48"/>
      <c r="AB257" s="48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</row>
    <row r="258" spans="2:53">
      <c r="B258" s="40" t="s">
        <v>561</v>
      </c>
      <c r="C258" s="40"/>
      <c r="D258" s="32"/>
      <c r="E258" s="32"/>
      <c r="F258" s="32"/>
      <c r="G258" s="32"/>
      <c r="H258" s="32"/>
      <c r="I258" s="32"/>
      <c r="J258" s="52"/>
      <c r="K258" s="52"/>
      <c r="L258" s="55"/>
      <c r="M258" s="32"/>
      <c r="N258" s="201"/>
      <c r="O258" s="5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  <c r="AA258" s="202"/>
      <c r="AB258" s="201"/>
      <c r="AC258" s="201"/>
      <c r="AD258" s="201"/>
      <c r="AE258" s="201"/>
      <c r="AF258" s="201"/>
      <c r="AG258" s="201"/>
      <c r="AH258" s="201"/>
      <c r="AI258" s="201"/>
      <c r="AJ258" s="201"/>
      <c r="AK258" s="201"/>
      <c r="AL258" s="201"/>
      <c r="AM258" s="201"/>
      <c r="AN258" s="201"/>
      <c r="AO258" s="201"/>
      <c r="AP258" s="201"/>
      <c r="AQ258" s="201"/>
      <c r="AR258" s="201"/>
      <c r="AS258" s="201"/>
      <c r="AT258" s="201"/>
      <c r="AU258" s="201"/>
      <c r="AZ258" s="201"/>
    </row>
    <row r="259" spans="2:53">
      <c r="B259" s="422">
        <v>1</v>
      </c>
      <c r="C259" s="1249" t="s">
        <v>1149</v>
      </c>
      <c r="D259" s="1249"/>
      <c r="E259" s="1249"/>
      <c r="F259" s="1249"/>
      <c r="G259" s="1249"/>
      <c r="H259" s="1249"/>
      <c r="I259" s="1249"/>
      <c r="J259" s="1249"/>
      <c r="K259" s="1249"/>
      <c r="L259" s="203"/>
      <c r="M259" s="203"/>
      <c r="N259" s="201"/>
      <c r="O259" s="209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  <c r="AA259" s="202"/>
      <c r="AB259" s="201"/>
      <c r="AC259" s="201"/>
      <c r="AD259" s="201"/>
      <c r="AE259" s="201"/>
      <c r="AF259" s="201"/>
      <c r="AG259" s="201"/>
      <c r="AH259" s="201"/>
      <c r="AI259" s="201"/>
      <c r="AJ259" s="201"/>
      <c r="AK259" s="201"/>
      <c r="AL259" s="201"/>
      <c r="AM259" s="201"/>
      <c r="AN259" s="201"/>
      <c r="AO259" s="201"/>
      <c r="AP259" s="201"/>
      <c r="AQ259" s="201"/>
      <c r="AR259" s="201"/>
      <c r="AS259" s="201"/>
      <c r="AT259" s="201"/>
      <c r="AU259" s="201"/>
      <c r="AV259" s="201"/>
      <c r="AW259" s="201"/>
      <c r="AX259" s="201"/>
      <c r="AY259" s="201"/>
      <c r="AZ259" s="201"/>
    </row>
    <row r="261" spans="2:53">
      <c r="B261" s="28" t="s">
        <v>126</v>
      </c>
      <c r="C261" s="28"/>
      <c r="D261" s="29"/>
      <c r="E261" s="30" t="s">
        <v>511</v>
      </c>
      <c r="F261" s="31" t="s">
        <v>1030</v>
      </c>
      <c r="G261" s="32"/>
      <c r="H261" s="33"/>
      <c r="I261" s="34"/>
      <c r="J261" s="35" t="s">
        <v>513</v>
      </c>
      <c r="K261" s="36" t="s">
        <v>511</v>
      </c>
      <c r="L261" s="37">
        <v>45004.548611111109</v>
      </c>
      <c r="M261" s="32"/>
      <c r="N261" s="32"/>
      <c r="O261" s="206"/>
      <c r="P261" s="205"/>
      <c r="Q261" s="202"/>
      <c r="R261" s="204"/>
      <c r="S261" s="38"/>
      <c r="T261" s="201"/>
      <c r="U261" s="201"/>
      <c r="V261" s="201"/>
      <c r="W261" s="201"/>
      <c r="X261" s="201"/>
      <c r="Y261" s="201"/>
      <c r="Z261" s="201"/>
      <c r="AA261" s="201"/>
      <c r="AB261" s="202"/>
      <c r="AC261" s="202"/>
      <c r="AD261" s="202"/>
      <c r="AE261" s="202"/>
      <c r="AF261" s="202"/>
      <c r="AG261" s="201"/>
      <c r="AH261" s="201"/>
      <c r="AI261" s="201"/>
      <c r="AJ261" s="201"/>
      <c r="AK261" s="201"/>
      <c r="AL261" s="201"/>
      <c r="AM261" s="201"/>
      <c r="AN261" s="201"/>
      <c r="AO261" s="201"/>
      <c r="AP261" s="201"/>
      <c r="AQ261" s="201"/>
      <c r="AR261" s="201"/>
      <c r="AS261" s="201"/>
      <c r="AT261" s="201"/>
      <c r="AU261" s="201"/>
      <c r="AV261" s="201"/>
      <c r="AW261" s="201"/>
      <c r="AX261" s="201"/>
      <c r="AY261" s="201"/>
      <c r="AZ261" s="201"/>
      <c r="BA261" s="201"/>
    </row>
    <row r="262" spans="2:53">
      <c r="B262" s="35" t="s">
        <v>514</v>
      </c>
      <c r="C262" s="35"/>
      <c r="D262" s="32"/>
      <c r="E262" s="36" t="s">
        <v>511</v>
      </c>
      <c r="F262" s="37" t="s">
        <v>1145</v>
      </c>
      <c r="G262" s="32"/>
      <c r="H262" s="33"/>
      <c r="I262" s="34"/>
      <c r="J262" s="35" t="s">
        <v>516</v>
      </c>
      <c r="K262" s="36" t="s">
        <v>511</v>
      </c>
      <c r="L262" s="37">
        <v>45006.444444444445</v>
      </c>
      <c r="M262" s="32"/>
      <c r="N262" s="32"/>
      <c r="O262" s="206"/>
      <c r="P262" s="205"/>
      <c r="Q262" s="202"/>
      <c r="R262" s="204"/>
      <c r="S262" s="38"/>
      <c r="T262" s="201"/>
      <c r="U262" s="201"/>
      <c r="V262" s="201"/>
      <c r="W262" s="201"/>
      <c r="X262" s="201"/>
      <c r="Y262" s="201"/>
      <c r="Z262" s="201"/>
      <c r="AA262" s="201"/>
      <c r="AB262" s="202"/>
      <c r="AC262" s="202"/>
      <c r="AD262" s="202"/>
      <c r="AE262" s="202"/>
      <c r="AF262" s="202"/>
      <c r="AG262" s="201"/>
      <c r="AH262" s="201"/>
      <c r="AI262" s="201"/>
      <c r="AJ262" s="201"/>
      <c r="AK262" s="201"/>
      <c r="AL262" s="201"/>
      <c r="AM262" s="201"/>
      <c r="AN262" s="201"/>
      <c r="AO262" s="201"/>
      <c r="AP262" s="201"/>
      <c r="AQ262" s="201"/>
      <c r="AR262" s="201"/>
      <c r="AS262" s="201"/>
      <c r="AT262" s="201"/>
      <c r="AU262" s="201"/>
      <c r="AV262" s="201"/>
      <c r="AW262" s="201"/>
      <c r="AX262" s="201"/>
      <c r="AY262" s="201"/>
      <c r="AZ262" s="201"/>
      <c r="BA262" s="201"/>
    </row>
    <row r="263" spans="2:53">
      <c r="B263" s="35" t="s">
        <v>517</v>
      </c>
      <c r="C263" s="35"/>
      <c r="D263" s="32"/>
      <c r="E263" s="36" t="s">
        <v>511</v>
      </c>
      <c r="F263" s="37">
        <v>45002.208333333336</v>
      </c>
      <c r="G263" s="32"/>
      <c r="H263" s="33"/>
      <c r="I263" s="34"/>
      <c r="J263" s="35" t="s">
        <v>518</v>
      </c>
      <c r="K263" s="36" t="s">
        <v>511</v>
      </c>
      <c r="L263" s="50">
        <v>54000</v>
      </c>
      <c r="M263" s="40" t="s">
        <v>519</v>
      </c>
      <c r="N263" s="40"/>
      <c r="O263" s="206"/>
      <c r="P263" s="205"/>
      <c r="Q263" s="202"/>
      <c r="R263" s="204"/>
      <c r="S263" s="38"/>
      <c r="T263" s="201"/>
      <c r="U263" s="201"/>
      <c r="V263" s="201"/>
      <c r="W263" s="201"/>
      <c r="X263" s="201"/>
      <c r="Y263" s="201"/>
      <c r="Z263" s="201"/>
      <c r="AA263" s="201"/>
      <c r="AB263" s="202"/>
      <c r="AC263" s="202"/>
      <c r="AD263" s="202"/>
      <c r="AE263" s="202"/>
      <c r="AF263" s="202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  <c r="AQ263" s="201"/>
      <c r="AR263" s="201"/>
      <c r="AS263" s="201"/>
      <c r="AT263" s="201"/>
      <c r="AU263" s="201"/>
      <c r="AV263" s="201"/>
      <c r="AW263" s="201"/>
      <c r="AX263" s="201"/>
      <c r="AY263" s="201"/>
      <c r="AZ263" s="201"/>
      <c r="BA263" s="201"/>
    </row>
    <row r="264" spans="2:53">
      <c r="B264" s="35" t="s">
        <v>520</v>
      </c>
      <c r="C264" s="35"/>
      <c r="D264" s="32"/>
      <c r="E264" s="36" t="s">
        <v>511</v>
      </c>
      <c r="F264" s="37" t="s">
        <v>4</v>
      </c>
      <c r="G264" s="32"/>
      <c r="H264" s="33"/>
      <c r="I264" s="34"/>
      <c r="J264" s="35" t="s">
        <v>521</v>
      </c>
      <c r="K264" s="36" t="s">
        <v>511</v>
      </c>
      <c r="L264" s="41" t="s">
        <v>1150</v>
      </c>
      <c r="M264" s="32"/>
      <c r="N264" s="32"/>
      <c r="O264" s="206"/>
      <c r="P264" s="202"/>
      <c r="Q264" s="202"/>
      <c r="R264" s="204"/>
      <c r="S264" s="38"/>
      <c r="T264" s="201"/>
      <c r="U264" s="201"/>
      <c r="V264" s="201"/>
      <c r="W264" s="201"/>
      <c r="X264" s="201"/>
      <c r="Y264" s="201"/>
      <c r="Z264" s="201"/>
      <c r="AA264" s="201"/>
      <c r="AB264" s="202"/>
      <c r="AC264" s="202"/>
      <c r="AD264" s="202"/>
      <c r="AE264" s="202"/>
      <c r="AF264" s="202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201"/>
      <c r="AQ264" s="201"/>
      <c r="AR264" s="201"/>
      <c r="AS264" s="201"/>
      <c r="AT264" s="201"/>
      <c r="AU264" s="201"/>
      <c r="AV264" s="201"/>
      <c r="AW264" s="201"/>
      <c r="AX264" s="201"/>
      <c r="AY264" s="201"/>
      <c r="AZ264" s="201"/>
      <c r="BA264" s="201"/>
    </row>
    <row r="265" spans="2:53">
      <c r="B265" s="35" t="s">
        <v>523</v>
      </c>
      <c r="C265" s="35"/>
      <c r="D265" s="32"/>
      <c r="E265" s="36" t="s">
        <v>511</v>
      </c>
      <c r="F265" s="37" t="s">
        <v>5</v>
      </c>
      <c r="G265" s="32"/>
      <c r="H265" s="33"/>
      <c r="I265" s="34"/>
      <c r="J265" s="42" t="s">
        <v>524</v>
      </c>
      <c r="K265" s="36" t="s">
        <v>511</v>
      </c>
      <c r="L265" s="43" t="s">
        <v>11</v>
      </c>
      <c r="M265" s="44"/>
      <c r="N265" s="44"/>
      <c r="O265" s="206"/>
      <c r="P265" s="205"/>
      <c r="Q265" s="202"/>
      <c r="R265" s="204"/>
      <c r="S265" s="38"/>
      <c r="T265" s="201"/>
      <c r="U265" s="201"/>
      <c r="V265" s="201"/>
      <c r="W265" s="201"/>
      <c r="X265" s="201"/>
      <c r="Y265" s="201"/>
      <c r="Z265" s="201"/>
      <c r="AA265" s="201"/>
      <c r="AB265" s="202"/>
      <c r="AC265" s="202"/>
      <c r="AD265" s="202"/>
      <c r="AE265" s="202"/>
      <c r="AF265" s="202"/>
      <c r="AG265" s="201"/>
      <c r="AH265" s="201"/>
      <c r="AI265" s="201"/>
      <c r="AJ265" s="201"/>
      <c r="AK265" s="201"/>
      <c r="AL265" s="201"/>
      <c r="AM265" s="201"/>
      <c r="AN265" s="201"/>
      <c r="AO265" s="201"/>
      <c r="AP265" s="201"/>
      <c r="AQ265" s="201"/>
      <c r="AR265" s="201"/>
      <c r="AS265" s="201"/>
      <c r="AT265" s="201"/>
      <c r="AU265" s="201"/>
      <c r="AV265" s="201"/>
      <c r="AW265" s="201"/>
      <c r="AX265" s="201"/>
      <c r="AY265" s="201"/>
      <c r="AZ265" s="201"/>
      <c r="BA265" s="201"/>
    </row>
    <row r="266" spans="2:53">
      <c r="B266" s="35" t="s">
        <v>2</v>
      </c>
      <c r="C266" s="35"/>
      <c r="D266" s="32"/>
      <c r="E266" s="36" t="s">
        <v>511</v>
      </c>
      <c r="F266" s="37" t="s">
        <v>6</v>
      </c>
      <c r="G266" s="32"/>
      <c r="H266" s="33"/>
      <c r="I266" s="45"/>
      <c r="J266" s="42"/>
      <c r="K266" s="36"/>
      <c r="L266" s="211"/>
      <c r="M266" s="201"/>
      <c r="N266" s="201"/>
      <c r="O266" s="42"/>
      <c r="P266" s="44"/>
      <c r="Q266" s="44"/>
      <c r="R266" s="44"/>
      <c r="S266" s="34"/>
      <c r="T266" s="201"/>
      <c r="U266" s="201"/>
      <c r="V266" s="201"/>
      <c r="W266" s="201"/>
      <c r="X266" s="201"/>
      <c r="Y266" s="201"/>
      <c r="Z266" s="201"/>
      <c r="AA266" s="201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201"/>
      <c r="AP266" s="201"/>
      <c r="AQ266" s="201"/>
      <c r="AR266" s="201"/>
      <c r="AS266" s="201"/>
      <c r="AT266" s="201"/>
      <c r="AU266" s="201"/>
      <c r="AV266" s="201"/>
      <c r="AW266" s="201"/>
      <c r="AX266" s="201"/>
      <c r="AY266" s="201"/>
      <c r="AZ266" s="201"/>
      <c r="BA266" s="201"/>
    </row>
    <row r="267" spans="2:53">
      <c r="B267" s="201"/>
      <c r="C267" s="201"/>
      <c r="D267" s="201"/>
      <c r="E267" s="201"/>
      <c r="F267" s="201"/>
      <c r="G267" s="201"/>
      <c r="H267" s="201"/>
      <c r="I267" s="45"/>
      <c r="J267" s="42"/>
      <c r="K267" s="42"/>
      <c r="L267" s="43"/>
      <c r="M267" s="44"/>
      <c r="N267" s="44"/>
      <c r="O267" s="42"/>
      <c r="P267" s="44"/>
      <c r="Q267" s="44"/>
      <c r="R267" s="44"/>
      <c r="S267" s="34"/>
      <c r="T267" s="1265" t="s">
        <v>87</v>
      </c>
      <c r="U267" s="1265"/>
      <c r="V267" s="1265"/>
      <c r="W267" s="1265"/>
      <c r="X267" s="1265"/>
      <c r="Y267" s="1265" t="s">
        <v>73</v>
      </c>
      <c r="Z267" s="1265"/>
      <c r="AA267" s="1265"/>
      <c r="AB267" s="1265" t="s">
        <v>74</v>
      </c>
      <c r="AC267" s="1265"/>
      <c r="AD267" s="423" t="s">
        <v>85</v>
      </c>
      <c r="AE267" s="423" t="s">
        <v>77</v>
      </c>
      <c r="AF267" s="1265" t="s">
        <v>525</v>
      </c>
      <c r="AG267" s="1265"/>
      <c r="AH267" s="1265"/>
      <c r="AI267" s="1265"/>
      <c r="AJ267" s="1265"/>
      <c r="AK267" s="1265"/>
      <c r="AL267" s="1265"/>
      <c r="AM267" s="1265"/>
      <c r="AN267" s="1265"/>
      <c r="AO267" s="1265"/>
      <c r="AP267" s="1265"/>
      <c r="AQ267" s="1265"/>
      <c r="AR267" s="1265"/>
      <c r="AS267" s="1265"/>
      <c r="AT267" s="1265"/>
      <c r="AU267" s="1265"/>
      <c r="AV267" s="1265"/>
      <c r="AW267" s="1265"/>
      <c r="AX267" s="1265"/>
      <c r="AY267" s="1265"/>
      <c r="AZ267" s="1265"/>
      <c r="BA267" s="201"/>
    </row>
    <row r="268" spans="2:53">
      <c r="B268" s="1266" t="s">
        <v>526</v>
      </c>
      <c r="C268" s="1267"/>
      <c r="D268" s="570" t="s">
        <v>527</v>
      </c>
      <c r="E268" s="570"/>
      <c r="F268" s="570" t="s">
        <v>528</v>
      </c>
      <c r="G268" s="570" t="s">
        <v>529</v>
      </c>
      <c r="H268" s="570" t="s">
        <v>530</v>
      </c>
      <c r="I268" s="570" t="s">
        <v>531</v>
      </c>
      <c r="J268" s="570" t="s">
        <v>532</v>
      </c>
      <c r="K268" s="570"/>
      <c r="L268" s="570" t="s">
        <v>130</v>
      </c>
      <c r="M268" s="570" t="s">
        <v>533</v>
      </c>
      <c r="N268" s="408" t="str">
        <f>"On time - "&amp;COUNTIF(N269:N283,"On time")&amp;" from "&amp;ROWS(N269:N283)-COUNTIF(N269:N283," ")</f>
        <v>On time - 2 from 8</v>
      </c>
      <c r="O268" s="46"/>
      <c r="P268" s="409" t="s">
        <v>534</v>
      </c>
      <c r="Q268" s="409" t="s">
        <v>535</v>
      </c>
      <c r="R268" s="409" t="s">
        <v>536</v>
      </c>
      <c r="S268" s="32"/>
      <c r="T268" s="424" t="s">
        <v>537</v>
      </c>
      <c r="U268" s="424" t="s">
        <v>538</v>
      </c>
      <c r="V268" s="424" t="s">
        <v>539</v>
      </c>
      <c r="W268" s="424" t="s">
        <v>540</v>
      </c>
      <c r="X268" s="424" t="s">
        <v>541</v>
      </c>
      <c r="Y268" s="424" t="s">
        <v>167</v>
      </c>
      <c r="Z268" s="424" t="s">
        <v>168</v>
      </c>
      <c r="AA268" s="424" t="s">
        <v>169</v>
      </c>
      <c r="AB268" s="424" t="s">
        <v>235</v>
      </c>
      <c r="AC268" s="424" t="s">
        <v>240</v>
      </c>
      <c r="AD268" s="423" t="s">
        <v>85</v>
      </c>
      <c r="AE268" s="424" t="s">
        <v>139</v>
      </c>
      <c r="AF268" s="424" t="s">
        <v>72</v>
      </c>
      <c r="AG268" s="424" t="s">
        <v>88</v>
      </c>
      <c r="AH268" s="424" t="s">
        <v>75</v>
      </c>
      <c r="AI268" s="424" t="s">
        <v>543</v>
      </c>
      <c r="AJ268" s="424" t="s">
        <v>78</v>
      </c>
      <c r="AK268" s="424" t="s">
        <v>76</v>
      </c>
      <c r="AL268" s="424" t="s">
        <v>544</v>
      </c>
      <c r="AM268" s="424" t="s">
        <v>545</v>
      </c>
      <c r="AN268" s="424" t="s">
        <v>86</v>
      </c>
      <c r="AO268" s="424" t="s">
        <v>83</v>
      </c>
      <c r="AP268" s="424" t="s">
        <v>84</v>
      </c>
      <c r="AQ268" s="424" t="s">
        <v>546</v>
      </c>
      <c r="AR268" s="424" t="s">
        <v>81</v>
      </c>
      <c r="AS268" s="424" t="s">
        <v>80</v>
      </c>
      <c r="AT268" s="424" t="s">
        <v>82</v>
      </c>
      <c r="AU268" s="424" t="s">
        <v>181</v>
      </c>
      <c r="AV268" s="424" t="s">
        <v>183</v>
      </c>
      <c r="AW268" s="424" t="s">
        <v>547</v>
      </c>
      <c r="AX268" s="424" t="s">
        <v>182</v>
      </c>
      <c r="AY268" s="424" t="s">
        <v>172</v>
      </c>
      <c r="AZ268" s="424" t="s">
        <v>173</v>
      </c>
      <c r="BA268" s="201"/>
    </row>
    <row r="269" spans="2:53">
      <c r="B269" s="1256" t="s">
        <v>616</v>
      </c>
      <c r="C269" s="1257"/>
      <c r="D269" s="411" t="s">
        <v>1032</v>
      </c>
      <c r="E269" s="411"/>
      <c r="F269" s="411" t="s">
        <v>257</v>
      </c>
      <c r="G269" s="411" t="s">
        <v>258</v>
      </c>
      <c r="H269" s="412">
        <v>7458.0730000000003</v>
      </c>
      <c r="I269" s="413" t="s">
        <v>173</v>
      </c>
      <c r="J269" s="414">
        <v>45002.541666666664</v>
      </c>
      <c r="K269" s="414"/>
      <c r="L269" s="414" t="s">
        <v>192</v>
      </c>
      <c r="M269" s="414" t="s">
        <v>192</v>
      </c>
      <c r="N269" s="413" t="str">
        <f>IF(ISBLANK(J269)," ",IF(J269&lt;$F$263,"On time",(IF(DAY(J269-$F$263)&lt;1,"On time",(IF(J269&gt;$F$263,"DELAY ( "&amp;DAY(J269-$F$263)&amp;" day "&amp;HOUR(J269-$F$263)&amp;" hour "&amp;MINUTE(J269-$F$263)&amp;" minute )","xxx"))))))</f>
        <v>On time</v>
      </c>
      <c r="O269" s="51"/>
      <c r="P269" s="415" t="s">
        <v>551</v>
      </c>
      <c r="Q269" s="415" t="s">
        <v>551</v>
      </c>
      <c r="R269" s="415" t="s">
        <v>551</v>
      </c>
      <c r="S269" s="32"/>
      <c r="T269" s="416"/>
      <c r="U269" s="416"/>
      <c r="V269" s="416"/>
      <c r="W269" s="416"/>
      <c r="X269" s="416"/>
      <c r="Y269" s="416"/>
      <c r="Z269" s="416"/>
      <c r="AA269" s="416"/>
      <c r="AB269" s="416"/>
      <c r="AC269" s="416"/>
      <c r="AD269" s="416"/>
      <c r="AE269" s="416"/>
      <c r="AF269" s="416"/>
      <c r="AG269" s="416"/>
      <c r="AH269" s="416"/>
      <c r="AI269" s="416"/>
      <c r="AJ269" s="416"/>
      <c r="AK269" s="416"/>
      <c r="AL269" s="416"/>
      <c r="AM269" s="416"/>
      <c r="AN269" s="416"/>
      <c r="AO269" s="416"/>
      <c r="AP269" s="416"/>
      <c r="AQ269" s="416"/>
      <c r="AR269" s="416"/>
      <c r="AS269" s="416"/>
      <c r="AT269" s="416"/>
      <c r="AU269" s="416"/>
      <c r="AV269" s="416"/>
      <c r="AW269" s="416"/>
      <c r="AX269" s="416"/>
      <c r="AY269" s="416"/>
      <c r="AZ269" s="416">
        <f>H269</f>
        <v>7458.0730000000003</v>
      </c>
      <c r="BA269" s="32"/>
    </row>
    <row r="270" spans="2:53">
      <c r="B270" s="1258" t="s">
        <v>618</v>
      </c>
      <c r="C270" s="1259"/>
      <c r="D270" s="1259"/>
      <c r="E270" s="1259"/>
      <c r="F270" s="1259"/>
      <c r="G270" s="1260"/>
      <c r="H270" s="417">
        <f>SUM(H269)</f>
        <v>7458.0730000000003</v>
      </c>
      <c r="I270" s="388"/>
      <c r="J270" s="293"/>
      <c r="K270" s="293"/>
      <c r="L270" s="293"/>
      <c r="M270" s="389"/>
      <c r="N270" s="413" t="str">
        <f t="shared" ref="N270:N286" si="18">IF(ISBLANK(J270)," ",IF(J270&lt;$F$263,"On time",(IF(DAY(J270-$F$263)&lt;1,"On time",(IF(J270&gt;$F$263,"DELAY ( "&amp;DAY(J270-$F$263)&amp;" day "&amp;HOUR(J270-$F$263)&amp;" hour "&amp;MINUTE(J270-$F$263)&amp;" minute )","xxx"))))))</f>
        <v xml:space="preserve"> </v>
      </c>
      <c r="O270" s="47"/>
      <c r="P270" s="418"/>
      <c r="Q270" s="418"/>
      <c r="R270" s="418"/>
      <c r="S270" s="32"/>
      <c r="T270" s="416"/>
      <c r="U270" s="416"/>
      <c r="V270" s="416"/>
      <c r="W270" s="416"/>
      <c r="X270" s="416"/>
      <c r="Y270" s="429"/>
      <c r="Z270" s="416"/>
      <c r="AA270" s="416"/>
      <c r="AB270" s="416"/>
      <c r="AC270" s="416"/>
      <c r="AD270" s="416"/>
      <c r="AE270" s="416"/>
      <c r="AF270" s="416"/>
      <c r="AG270" s="416"/>
      <c r="AH270" s="416"/>
      <c r="AI270" s="416"/>
      <c r="AJ270" s="416"/>
      <c r="AK270" s="416"/>
      <c r="AL270" s="416"/>
      <c r="AM270" s="416"/>
      <c r="AN270" s="416"/>
      <c r="AO270" s="416"/>
      <c r="AP270" s="416"/>
      <c r="AQ270" s="416"/>
      <c r="AR270" s="416"/>
      <c r="AS270" s="416"/>
      <c r="AT270" s="416"/>
      <c r="AU270" s="416"/>
      <c r="AV270" s="416"/>
      <c r="AW270" s="416"/>
      <c r="AX270" s="416"/>
      <c r="AY270" s="416"/>
      <c r="AZ270" s="428"/>
    </row>
    <row r="271" spans="2:53">
      <c r="B271" s="1250" t="s">
        <v>619</v>
      </c>
      <c r="C271" s="1251"/>
      <c r="D271" s="411" t="s">
        <v>1101</v>
      </c>
      <c r="E271" s="411"/>
      <c r="F271" s="411" t="s">
        <v>403</v>
      </c>
      <c r="G271" s="411" t="s">
        <v>404</v>
      </c>
      <c r="H271" s="412">
        <v>7480.9920000000002</v>
      </c>
      <c r="I271" s="413" t="s">
        <v>494</v>
      </c>
      <c r="J271" s="414">
        <v>45002.524305555555</v>
      </c>
      <c r="K271" s="414"/>
      <c r="L271" s="414" t="s">
        <v>192</v>
      </c>
      <c r="M271" s="414" t="s">
        <v>192</v>
      </c>
      <c r="N271" s="413" t="str">
        <f t="shared" si="18"/>
        <v>On time</v>
      </c>
      <c r="O271" s="51"/>
      <c r="P271" s="415" t="s">
        <v>551</v>
      </c>
      <c r="Q271" s="415" t="s">
        <v>551</v>
      </c>
      <c r="R271" s="415" t="s">
        <v>551</v>
      </c>
      <c r="S271" s="32"/>
      <c r="T271" s="416"/>
      <c r="U271" s="416"/>
      <c r="V271" s="416"/>
      <c r="W271" s="416"/>
      <c r="X271" s="416"/>
      <c r="Y271" s="416">
        <f>H271</f>
        <v>7480.9920000000002</v>
      </c>
      <c r="Z271" s="416"/>
      <c r="AA271" s="416"/>
      <c r="AB271" s="416"/>
      <c r="AC271" s="416"/>
      <c r="AD271" s="416"/>
      <c r="AE271" s="416"/>
      <c r="AF271" s="416"/>
      <c r="AG271" s="416"/>
      <c r="AH271" s="416"/>
      <c r="AI271" s="416"/>
      <c r="AJ271" s="416"/>
      <c r="AK271" s="416"/>
      <c r="AL271" s="416"/>
      <c r="AM271" s="416"/>
      <c r="AN271" s="416"/>
      <c r="AO271" s="416"/>
      <c r="AP271" s="416"/>
      <c r="AQ271" s="416"/>
      <c r="AR271" s="416"/>
      <c r="AS271" s="416"/>
      <c r="AT271" s="416"/>
      <c r="AU271" s="416"/>
      <c r="AV271" s="416"/>
      <c r="AW271" s="416"/>
      <c r="AX271" s="416"/>
      <c r="AY271" s="416"/>
      <c r="AZ271" s="416"/>
      <c r="BA271" s="32"/>
    </row>
    <row r="272" spans="2:53">
      <c r="B272" s="1254"/>
      <c r="C272" s="1255"/>
      <c r="D272" s="411"/>
      <c r="E272" s="411"/>
      <c r="F272" s="1256" t="s">
        <v>616</v>
      </c>
      <c r="G272" s="1257"/>
      <c r="H272" s="412">
        <v>1243</v>
      </c>
      <c r="I272" s="413"/>
      <c r="J272" s="414"/>
      <c r="K272" s="414"/>
      <c r="L272" s="414"/>
      <c r="M272" s="414"/>
      <c r="N272" s="413" t="str">
        <f t="shared" si="18"/>
        <v xml:space="preserve"> </v>
      </c>
      <c r="O272" s="51"/>
      <c r="P272" s="415"/>
      <c r="Q272" s="415"/>
      <c r="R272" s="415"/>
      <c r="S272" s="32"/>
      <c r="T272" s="416"/>
      <c r="U272" s="416"/>
      <c r="V272" s="416"/>
      <c r="W272" s="416"/>
      <c r="X272" s="416"/>
      <c r="Y272" s="416"/>
      <c r="Z272" s="416"/>
      <c r="AA272" s="416"/>
      <c r="AB272" s="416"/>
      <c r="AC272" s="416"/>
      <c r="AD272" s="416"/>
      <c r="AE272" s="416"/>
      <c r="AF272" s="416"/>
      <c r="AG272" s="416"/>
      <c r="AH272" s="416"/>
      <c r="AI272" s="416"/>
      <c r="AJ272" s="416"/>
      <c r="AK272" s="416"/>
      <c r="AL272" s="416"/>
      <c r="AM272" s="416"/>
      <c r="AN272" s="416"/>
      <c r="AO272" s="416"/>
      <c r="AP272" s="416"/>
      <c r="AQ272" s="416"/>
      <c r="AR272" s="416"/>
      <c r="AS272" s="416"/>
      <c r="AT272" s="416"/>
      <c r="AU272" s="416"/>
      <c r="AV272" s="416"/>
      <c r="AW272" s="416"/>
      <c r="AX272" s="416"/>
      <c r="AY272" s="416"/>
      <c r="AZ272" s="416"/>
      <c r="BA272" s="32"/>
    </row>
    <row r="273" spans="2:53">
      <c r="B273" s="1250" t="s">
        <v>621</v>
      </c>
      <c r="C273" s="1251"/>
      <c r="D273" s="411" t="s">
        <v>1104</v>
      </c>
      <c r="E273" s="411"/>
      <c r="F273" s="411" t="s">
        <v>263</v>
      </c>
      <c r="G273" s="411" t="s">
        <v>344</v>
      </c>
      <c r="H273" s="412">
        <v>7502.5349999999999</v>
      </c>
      <c r="I273" s="413" t="s">
        <v>494</v>
      </c>
      <c r="J273" s="414">
        <v>45003.833333333336</v>
      </c>
      <c r="K273" s="414"/>
      <c r="L273" s="414" t="s">
        <v>192</v>
      </c>
      <c r="M273" s="414" t="s">
        <v>192</v>
      </c>
      <c r="N273" s="413" t="str">
        <f t="shared" si="18"/>
        <v>DELAY ( 1 day 15 hour 0 minute )</v>
      </c>
      <c r="O273" s="51"/>
      <c r="P273" s="415" t="s">
        <v>551</v>
      </c>
      <c r="Q273" s="415" t="s">
        <v>551</v>
      </c>
      <c r="R273" s="415" t="s">
        <v>551</v>
      </c>
      <c r="S273" s="32"/>
      <c r="T273" s="416"/>
      <c r="U273" s="416"/>
      <c r="V273" s="416"/>
      <c r="W273" s="416"/>
      <c r="X273" s="416"/>
      <c r="Y273" s="416">
        <f>H273</f>
        <v>7502.5349999999999</v>
      </c>
      <c r="Z273" s="416"/>
      <c r="AA273" s="416"/>
      <c r="AB273" s="416"/>
      <c r="AC273" s="416"/>
      <c r="AD273" s="416"/>
      <c r="AE273" s="416"/>
      <c r="AF273" s="416"/>
      <c r="AG273" s="416"/>
      <c r="AH273" s="416"/>
      <c r="AI273" s="416"/>
      <c r="AJ273" s="416"/>
      <c r="AK273" s="416"/>
      <c r="AL273" s="416"/>
      <c r="AM273" s="416"/>
      <c r="AN273" s="416"/>
      <c r="AO273" s="416"/>
      <c r="AP273" s="416"/>
      <c r="AQ273" s="416"/>
      <c r="AR273" s="416"/>
      <c r="AS273" s="416"/>
      <c r="AT273" s="416"/>
      <c r="AU273" s="416"/>
      <c r="AV273" s="416"/>
      <c r="AW273" s="416"/>
      <c r="AX273" s="416"/>
      <c r="AY273" s="416"/>
      <c r="AZ273" s="416"/>
      <c r="BA273" s="32"/>
    </row>
    <row r="274" spans="2:53">
      <c r="B274" s="1254"/>
      <c r="C274" s="1255"/>
      <c r="D274" s="411"/>
      <c r="E274" s="411"/>
      <c r="F274" s="1256" t="s">
        <v>616</v>
      </c>
      <c r="G274" s="1257"/>
      <c r="H274" s="412">
        <v>1243</v>
      </c>
      <c r="I274" s="413"/>
      <c r="J274" s="414"/>
      <c r="K274" s="414"/>
      <c r="L274" s="414"/>
      <c r="M274" s="414"/>
      <c r="N274" s="413" t="str">
        <f t="shared" si="18"/>
        <v xml:space="preserve"> </v>
      </c>
      <c r="O274" s="51"/>
      <c r="P274" s="415"/>
      <c r="Q274" s="415"/>
      <c r="R274" s="415"/>
      <c r="S274" s="32"/>
      <c r="T274" s="416"/>
      <c r="U274" s="416"/>
      <c r="V274" s="416"/>
      <c r="W274" s="416"/>
      <c r="X274" s="416"/>
      <c r="Y274" s="416"/>
      <c r="Z274" s="416"/>
      <c r="AA274" s="416"/>
      <c r="AB274" s="416"/>
      <c r="AC274" s="416"/>
      <c r="AD274" s="416"/>
      <c r="AE274" s="416"/>
      <c r="AF274" s="416"/>
      <c r="AG274" s="416"/>
      <c r="AH274" s="416"/>
      <c r="AI274" s="416"/>
      <c r="AJ274" s="416"/>
      <c r="AK274" s="416"/>
      <c r="AL274" s="416"/>
      <c r="AM274" s="416"/>
      <c r="AN274" s="416"/>
      <c r="AO274" s="416"/>
      <c r="AP274" s="416"/>
      <c r="AQ274" s="416"/>
      <c r="AR274" s="416"/>
      <c r="AS274" s="416"/>
      <c r="AT274" s="416"/>
      <c r="AU274" s="416"/>
      <c r="AV274" s="416"/>
      <c r="AW274" s="416"/>
      <c r="AX274" s="416"/>
      <c r="AY274" s="416"/>
      <c r="AZ274" s="416"/>
      <c r="BA274" s="32"/>
    </row>
    <row r="275" spans="2:53">
      <c r="B275" s="1250" t="s">
        <v>622</v>
      </c>
      <c r="C275" s="1251"/>
      <c r="D275" s="411" t="s">
        <v>1106</v>
      </c>
      <c r="E275" s="411"/>
      <c r="F275" s="411" t="s">
        <v>473</v>
      </c>
      <c r="G275" s="411" t="s">
        <v>474</v>
      </c>
      <c r="H275" s="412">
        <v>7444.875</v>
      </c>
      <c r="I275" s="413" t="s">
        <v>494</v>
      </c>
      <c r="J275" s="414">
        <v>45003.892361111109</v>
      </c>
      <c r="K275" s="414"/>
      <c r="L275" s="414" t="s">
        <v>192</v>
      </c>
      <c r="M275" s="414" t="s">
        <v>192</v>
      </c>
      <c r="N275" s="413" t="str">
        <f t="shared" si="18"/>
        <v>DELAY ( 1 day 16 hour 25 minute )</v>
      </c>
      <c r="O275" s="51"/>
      <c r="P275" s="415" t="s">
        <v>551</v>
      </c>
      <c r="Q275" s="415" t="s">
        <v>551</v>
      </c>
      <c r="R275" s="415" t="s">
        <v>551</v>
      </c>
      <c r="S275" s="32"/>
      <c r="T275" s="416"/>
      <c r="U275" s="416"/>
      <c r="V275" s="416"/>
      <c r="W275" s="416"/>
      <c r="X275" s="416"/>
      <c r="Y275" s="416">
        <f>H275</f>
        <v>7444.875</v>
      </c>
      <c r="Z275" s="416"/>
      <c r="AA275" s="416"/>
      <c r="AB275" s="416"/>
      <c r="AC275" s="416"/>
      <c r="AD275" s="416"/>
      <c r="AE275" s="416"/>
      <c r="AF275" s="416"/>
      <c r="AG275" s="416"/>
      <c r="AH275" s="416"/>
      <c r="AI275" s="416"/>
      <c r="AJ275" s="416"/>
      <c r="AK275" s="416"/>
      <c r="AL275" s="416"/>
      <c r="AM275" s="416"/>
      <c r="AN275" s="416"/>
      <c r="AO275" s="416"/>
      <c r="AP275" s="416"/>
      <c r="AQ275" s="416"/>
      <c r="AR275" s="416"/>
      <c r="AS275" s="416"/>
      <c r="AT275" s="416"/>
      <c r="AU275" s="416"/>
      <c r="AV275" s="416"/>
      <c r="AW275" s="416"/>
      <c r="AX275" s="416"/>
      <c r="AY275" s="416"/>
      <c r="AZ275" s="416"/>
      <c r="BA275" s="32"/>
    </row>
    <row r="276" spans="2:53">
      <c r="B276" s="1254"/>
      <c r="C276" s="1255"/>
      <c r="D276" s="411"/>
      <c r="E276" s="411"/>
      <c r="F276" s="1256" t="s">
        <v>616</v>
      </c>
      <c r="G276" s="1257"/>
      <c r="H276" s="412">
        <v>1243</v>
      </c>
      <c r="I276" s="413"/>
      <c r="J276" s="414"/>
      <c r="K276" s="414"/>
      <c r="L276" s="414"/>
      <c r="M276" s="414"/>
      <c r="N276" s="413" t="str">
        <f t="shared" si="18"/>
        <v xml:space="preserve"> </v>
      </c>
      <c r="O276" s="51"/>
      <c r="P276" s="415"/>
      <c r="Q276" s="415"/>
      <c r="R276" s="415"/>
      <c r="S276" s="32"/>
      <c r="T276" s="416"/>
      <c r="U276" s="416"/>
      <c r="V276" s="416"/>
      <c r="W276" s="416"/>
      <c r="X276" s="416"/>
      <c r="Y276" s="416"/>
      <c r="Z276" s="416"/>
      <c r="AA276" s="416"/>
      <c r="AB276" s="416"/>
      <c r="AC276" s="416"/>
      <c r="AD276" s="416"/>
      <c r="AE276" s="416"/>
      <c r="AF276" s="416"/>
      <c r="AG276" s="416"/>
      <c r="AH276" s="416"/>
      <c r="AI276" s="416"/>
      <c r="AJ276" s="416"/>
      <c r="AK276" s="416"/>
      <c r="AL276" s="416"/>
      <c r="AM276" s="416"/>
      <c r="AN276" s="416"/>
      <c r="AO276" s="416"/>
      <c r="AP276" s="416"/>
      <c r="AQ276" s="416"/>
      <c r="AR276" s="416"/>
      <c r="AS276" s="416"/>
      <c r="AT276" s="416"/>
      <c r="AU276" s="416"/>
      <c r="AV276" s="416"/>
      <c r="AW276" s="416"/>
      <c r="AX276" s="416"/>
      <c r="AY276" s="416"/>
      <c r="AZ276" s="416"/>
      <c r="BA276" s="32"/>
    </row>
    <row r="277" spans="2:53">
      <c r="B277" s="1250" t="s">
        <v>623</v>
      </c>
      <c r="C277" s="1251"/>
      <c r="D277" s="411" t="s">
        <v>1102</v>
      </c>
      <c r="E277" s="411"/>
      <c r="F277" s="411" t="s">
        <v>249</v>
      </c>
      <c r="G277" s="411" t="s">
        <v>250</v>
      </c>
      <c r="H277" s="412">
        <v>7655.1049999999996</v>
      </c>
      <c r="I277" s="413" t="s">
        <v>494</v>
      </c>
      <c r="J277" s="414">
        <v>45003.958333333336</v>
      </c>
      <c r="K277" s="414"/>
      <c r="L277" s="414" t="s">
        <v>192</v>
      </c>
      <c r="M277" s="414" t="s">
        <v>192</v>
      </c>
      <c r="N277" s="413" t="str">
        <f t="shared" si="18"/>
        <v>DELAY ( 1 day 18 hour 0 minute )</v>
      </c>
      <c r="O277" s="51"/>
      <c r="P277" s="415" t="s">
        <v>551</v>
      </c>
      <c r="Q277" s="415" t="s">
        <v>551</v>
      </c>
      <c r="R277" s="415" t="s">
        <v>551</v>
      </c>
      <c r="S277" s="32"/>
      <c r="T277" s="416"/>
      <c r="U277" s="416"/>
      <c r="V277" s="416"/>
      <c r="W277" s="416"/>
      <c r="X277" s="416"/>
      <c r="Y277" s="416">
        <f>H277</f>
        <v>7655.1049999999996</v>
      </c>
      <c r="Z277" s="416"/>
      <c r="AA277" s="416"/>
      <c r="AB277" s="416"/>
      <c r="AC277" s="416"/>
      <c r="AD277" s="416"/>
      <c r="AE277" s="416"/>
      <c r="AF277" s="416"/>
      <c r="AG277" s="416"/>
      <c r="AH277" s="416"/>
      <c r="AI277" s="416"/>
      <c r="AJ277" s="416"/>
      <c r="AK277" s="416"/>
      <c r="AL277" s="416"/>
      <c r="AM277" s="416"/>
      <c r="AN277" s="416"/>
      <c r="AO277" s="416"/>
      <c r="AP277" s="416"/>
      <c r="AQ277" s="416"/>
      <c r="AR277" s="416"/>
      <c r="AS277" s="416"/>
      <c r="AT277" s="416"/>
      <c r="AU277" s="416"/>
      <c r="AV277" s="416"/>
      <c r="AW277" s="416"/>
      <c r="AX277" s="416"/>
      <c r="AY277" s="416"/>
      <c r="AZ277" s="416"/>
      <c r="BA277" s="32"/>
    </row>
    <row r="278" spans="2:53">
      <c r="B278" s="1254"/>
      <c r="C278" s="1255"/>
      <c r="D278" s="411"/>
      <c r="E278" s="411"/>
      <c r="F278" s="1256" t="s">
        <v>616</v>
      </c>
      <c r="G278" s="1257"/>
      <c r="H278" s="412">
        <v>1243</v>
      </c>
      <c r="I278" s="413"/>
      <c r="J278" s="414"/>
      <c r="K278" s="414"/>
      <c r="L278" s="414"/>
      <c r="M278" s="414"/>
      <c r="N278" s="413" t="str">
        <f t="shared" si="18"/>
        <v xml:space="preserve"> </v>
      </c>
      <c r="O278" s="51"/>
      <c r="P278" s="415"/>
      <c r="Q278" s="415"/>
      <c r="R278" s="415"/>
      <c r="S278" s="32"/>
      <c r="T278" s="416"/>
      <c r="U278" s="416"/>
      <c r="V278" s="416"/>
      <c r="W278" s="416"/>
      <c r="X278" s="416"/>
      <c r="Y278" s="416"/>
      <c r="Z278" s="416"/>
      <c r="AA278" s="416"/>
      <c r="AB278" s="416"/>
      <c r="AC278" s="416"/>
      <c r="AD278" s="416"/>
      <c r="AE278" s="416"/>
      <c r="AF278" s="416"/>
      <c r="AG278" s="416"/>
      <c r="AH278" s="416"/>
      <c r="AI278" s="416"/>
      <c r="AJ278" s="416"/>
      <c r="AK278" s="416"/>
      <c r="AL278" s="416"/>
      <c r="AM278" s="416"/>
      <c r="AN278" s="416"/>
      <c r="AO278" s="416"/>
      <c r="AP278" s="416"/>
      <c r="AQ278" s="416"/>
      <c r="AR278" s="416"/>
      <c r="AS278" s="416"/>
      <c r="AT278" s="416"/>
      <c r="AU278" s="416"/>
      <c r="AV278" s="416"/>
      <c r="AW278" s="416"/>
      <c r="AX278" s="416"/>
      <c r="AY278" s="416"/>
      <c r="AZ278" s="416"/>
      <c r="BA278" s="32"/>
    </row>
    <row r="279" spans="2:53">
      <c r="B279" s="1250" t="s">
        <v>624</v>
      </c>
      <c r="C279" s="1251"/>
      <c r="D279" s="411" t="s">
        <v>1103</v>
      </c>
      <c r="E279" s="411"/>
      <c r="F279" s="411" t="s">
        <v>334</v>
      </c>
      <c r="G279" s="411" t="s">
        <v>335</v>
      </c>
      <c r="H279" s="412">
        <v>7539.933</v>
      </c>
      <c r="I279" s="413" t="s">
        <v>494</v>
      </c>
      <c r="J279" s="414">
        <v>45004.25</v>
      </c>
      <c r="K279" s="414"/>
      <c r="L279" s="414" t="s">
        <v>192</v>
      </c>
      <c r="M279" s="414" t="s">
        <v>192</v>
      </c>
      <c r="N279" s="413" t="str">
        <f t="shared" si="18"/>
        <v>DELAY ( 2 day 1 hour 0 minute )</v>
      </c>
      <c r="O279" s="51"/>
      <c r="P279" s="415" t="s">
        <v>551</v>
      </c>
      <c r="Q279" s="415" t="s">
        <v>551</v>
      </c>
      <c r="R279" s="415" t="s">
        <v>551</v>
      </c>
      <c r="S279" s="32"/>
      <c r="T279" s="416"/>
      <c r="U279" s="416"/>
      <c r="V279" s="416"/>
      <c r="W279" s="416"/>
      <c r="X279" s="416"/>
      <c r="Y279" s="416">
        <f>H279</f>
        <v>7539.933</v>
      </c>
      <c r="Z279" s="416"/>
      <c r="AA279" s="416"/>
      <c r="AB279" s="416"/>
      <c r="AC279" s="416"/>
      <c r="AD279" s="416"/>
      <c r="AE279" s="416"/>
      <c r="AF279" s="416"/>
      <c r="AG279" s="416"/>
      <c r="AH279" s="416"/>
      <c r="AI279" s="416"/>
      <c r="AJ279" s="416"/>
      <c r="AK279" s="416"/>
      <c r="AL279" s="416"/>
      <c r="AM279" s="416"/>
      <c r="AN279" s="416"/>
      <c r="AO279" s="416"/>
      <c r="AP279" s="416"/>
      <c r="AQ279" s="416"/>
      <c r="AR279" s="416"/>
      <c r="AS279" s="416"/>
      <c r="AT279" s="416"/>
      <c r="AU279" s="416"/>
      <c r="AV279" s="416"/>
      <c r="AW279" s="416"/>
      <c r="AX279" s="416"/>
      <c r="AY279" s="416"/>
      <c r="AZ279" s="416"/>
      <c r="BA279" s="32"/>
    </row>
    <row r="280" spans="2:53">
      <c r="B280" s="1254"/>
      <c r="C280" s="1255"/>
      <c r="D280" s="411"/>
      <c r="E280" s="411"/>
      <c r="F280" s="1256" t="s">
        <v>616</v>
      </c>
      <c r="G280" s="1257"/>
      <c r="H280" s="412">
        <v>1243</v>
      </c>
      <c r="I280" s="413"/>
      <c r="J280" s="414"/>
      <c r="K280" s="414"/>
      <c r="L280" s="414"/>
      <c r="M280" s="414"/>
      <c r="N280" s="413" t="str">
        <f t="shared" si="18"/>
        <v xml:space="preserve"> </v>
      </c>
      <c r="O280" s="51"/>
      <c r="P280" s="415"/>
      <c r="Q280" s="415"/>
      <c r="R280" s="415"/>
      <c r="S280" s="32"/>
      <c r="T280" s="416"/>
      <c r="U280" s="416"/>
      <c r="V280" s="416"/>
      <c r="W280" s="416"/>
      <c r="X280" s="416"/>
      <c r="Y280" s="416"/>
      <c r="Z280" s="416"/>
      <c r="AA280" s="416"/>
      <c r="AB280" s="416"/>
      <c r="AC280" s="416"/>
      <c r="AD280" s="416"/>
      <c r="AE280" s="416"/>
      <c r="AF280" s="416"/>
      <c r="AG280" s="416"/>
      <c r="AH280" s="416"/>
      <c r="AI280" s="416"/>
      <c r="AJ280" s="416"/>
      <c r="AK280" s="416"/>
      <c r="AL280" s="416"/>
      <c r="AM280" s="416"/>
      <c r="AN280" s="416"/>
      <c r="AO280" s="416"/>
      <c r="AP280" s="416"/>
      <c r="AQ280" s="416"/>
      <c r="AR280" s="416"/>
      <c r="AS280" s="416"/>
      <c r="AT280" s="416"/>
      <c r="AU280" s="416"/>
      <c r="AV280" s="416"/>
      <c r="AW280" s="416"/>
      <c r="AX280" s="416"/>
      <c r="AY280" s="416"/>
      <c r="AZ280" s="416"/>
      <c r="BA280" s="32"/>
    </row>
    <row r="281" spans="2:53">
      <c r="B281" s="1256" t="s">
        <v>625</v>
      </c>
      <c r="C281" s="1257"/>
      <c r="D281" s="411" t="s">
        <v>1108</v>
      </c>
      <c r="E281" s="411"/>
      <c r="F281" s="411" t="s">
        <v>274</v>
      </c>
      <c r="G281" s="411" t="s">
        <v>275</v>
      </c>
      <c r="H281" s="412">
        <v>7450.7759999999998</v>
      </c>
      <c r="I281" s="413" t="s">
        <v>494</v>
      </c>
      <c r="J281" s="414">
        <v>45004.708333333336</v>
      </c>
      <c r="K281" s="414"/>
      <c r="L281" s="414" t="s">
        <v>192</v>
      </c>
      <c r="M281" s="414" t="s">
        <v>192</v>
      </c>
      <c r="N281" s="413" t="str">
        <f t="shared" si="18"/>
        <v>DELAY ( 2 day 12 hour 0 minute )</v>
      </c>
      <c r="O281" s="51"/>
      <c r="P281" s="415" t="s">
        <v>551</v>
      </c>
      <c r="Q281" s="415" t="s">
        <v>551</v>
      </c>
      <c r="R281" s="415" t="s">
        <v>551</v>
      </c>
      <c r="S281" s="32"/>
      <c r="T281" s="416"/>
      <c r="U281" s="416"/>
      <c r="V281" s="416"/>
      <c r="W281" s="416"/>
      <c r="X281" s="416"/>
      <c r="Y281" s="416">
        <f>H281</f>
        <v>7450.7759999999998</v>
      </c>
      <c r="Z281" s="416"/>
      <c r="AA281" s="416"/>
      <c r="AB281" s="416"/>
      <c r="AC281" s="416"/>
      <c r="AD281" s="416"/>
      <c r="AE281" s="416"/>
      <c r="AF281" s="416"/>
      <c r="AG281" s="416"/>
      <c r="AH281" s="416"/>
      <c r="AI281" s="416"/>
      <c r="AJ281" s="416"/>
      <c r="AK281" s="416"/>
      <c r="AL281" s="416"/>
      <c r="AM281" s="416"/>
      <c r="AN281" s="416"/>
      <c r="AO281" s="416"/>
      <c r="AP281" s="416"/>
      <c r="AQ281" s="416"/>
      <c r="AR281" s="416"/>
      <c r="AS281" s="416"/>
      <c r="AT281" s="416"/>
      <c r="AU281" s="416"/>
      <c r="AV281" s="416"/>
      <c r="AW281" s="416"/>
      <c r="AX281" s="416"/>
      <c r="AY281" s="416"/>
      <c r="AZ281" s="416"/>
      <c r="BA281" s="32"/>
    </row>
    <row r="282" spans="2:53">
      <c r="B282" s="1250" t="s">
        <v>669</v>
      </c>
      <c r="C282" s="1251"/>
      <c r="D282" s="411" t="s">
        <v>1107</v>
      </c>
      <c r="E282" s="411"/>
      <c r="F282" s="411" t="s">
        <v>371</v>
      </c>
      <c r="G282" s="411" t="s">
        <v>372</v>
      </c>
      <c r="H282" s="412">
        <f>7384.539-5916.828</f>
        <v>1467.7109999999993</v>
      </c>
      <c r="I282" s="413" t="s">
        <v>494</v>
      </c>
      <c r="J282" s="414">
        <v>45004.666666666664</v>
      </c>
      <c r="K282" s="414"/>
      <c r="L282" s="414" t="s">
        <v>192</v>
      </c>
      <c r="M282" s="414" t="s">
        <v>192</v>
      </c>
      <c r="N282" s="413" t="str">
        <f t="shared" si="18"/>
        <v>DELAY ( 2 day 11 hour 0 minute )</v>
      </c>
      <c r="O282" s="51"/>
      <c r="P282" s="415" t="s">
        <v>551</v>
      </c>
      <c r="Q282" s="415" t="s">
        <v>551</v>
      </c>
      <c r="R282" s="415" t="s">
        <v>551</v>
      </c>
      <c r="S282" s="32"/>
      <c r="T282" s="416"/>
      <c r="U282" s="416"/>
      <c r="V282" s="416"/>
      <c r="W282" s="416"/>
      <c r="X282" s="416"/>
      <c r="Y282" s="416">
        <f>H282</f>
        <v>1467.7109999999993</v>
      </c>
      <c r="Z282" s="416"/>
      <c r="AA282" s="416"/>
      <c r="AB282" s="416"/>
      <c r="AC282" s="416"/>
      <c r="AD282" s="416"/>
      <c r="AE282" s="416"/>
      <c r="AF282" s="416"/>
      <c r="AG282" s="416"/>
      <c r="AH282" s="416"/>
      <c r="AI282" s="416"/>
      <c r="AJ282" s="416"/>
      <c r="AK282" s="416"/>
      <c r="AL282" s="416"/>
      <c r="AM282" s="416"/>
      <c r="AN282" s="416"/>
      <c r="AO282" s="416"/>
      <c r="AP282" s="416"/>
      <c r="AQ282" s="416"/>
      <c r="AR282" s="416"/>
      <c r="AS282" s="416"/>
      <c r="AT282" s="416"/>
      <c r="AU282" s="416"/>
      <c r="AV282" s="416"/>
      <c r="AW282" s="416"/>
      <c r="AX282" s="416"/>
      <c r="AY282" s="416"/>
      <c r="AZ282" s="416"/>
      <c r="BA282" s="32"/>
    </row>
    <row r="283" spans="2:53">
      <c r="B283" s="1254"/>
      <c r="C283" s="1255"/>
      <c r="D283" s="411"/>
      <c r="E283" s="411"/>
      <c r="F283" s="1256" t="s">
        <v>616</v>
      </c>
      <c r="G283" s="1257"/>
      <c r="H283" s="412">
        <v>1243.0730000000001</v>
      </c>
      <c r="I283" s="413"/>
      <c r="J283" s="414"/>
      <c r="K283" s="414"/>
      <c r="L283" s="414"/>
      <c r="M283" s="414"/>
      <c r="N283" s="413" t="str">
        <f t="shared" si="18"/>
        <v xml:space="preserve"> </v>
      </c>
      <c r="O283" s="51"/>
      <c r="P283" s="415"/>
      <c r="Q283" s="415"/>
      <c r="R283" s="415"/>
      <c r="S283" s="32"/>
      <c r="T283" s="416"/>
      <c r="U283" s="416"/>
      <c r="V283" s="416"/>
      <c r="W283" s="416"/>
      <c r="X283" s="416"/>
      <c r="Y283" s="416"/>
      <c r="Z283" s="416"/>
      <c r="AA283" s="416"/>
      <c r="AB283" s="416"/>
      <c r="AC283" s="416"/>
      <c r="AD283" s="416"/>
      <c r="AE283" s="416"/>
      <c r="AF283" s="416"/>
      <c r="AG283" s="416"/>
      <c r="AH283" s="416"/>
      <c r="AI283" s="416"/>
      <c r="AJ283" s="416"/>
      <c r="AK283" s="416"/>
      <c r="AL283" s="416"/>
      <c r="AM283" s="416"/>
      <c r="AN283" s="416"/>
      <c r="AO283" s="416"/>
      <c r="AP283" s="416"/>
      <c r="AQ283" s="416"/>
      <c r="AR283" s="416"/>
      <c r="AS283" s="416"/>
      <c r="AT283" s="416"/>
      <c r="AU283" s="416"/>
      <c r="AV283" s="416"/>
      <c r="AW283" s="416"/>
      <c r="AX283" s="416"/>
      <c r="AY283" s="416"/>
      <c r="AZ283" s="416"/>
      <c r="BA283" s="32"/>
    </row>
    <row r="284" spans="2:53">
      <c r="B284" s="1258" t="s">
        <v>626</v>
      </c>
      <c r="C284" s="1259"/>
      <c r="D284" s="1259"/>
      <c r="E284" s="1259"/>
      <c r="F284" s="1259"/>
      <c r="G284" s="1260"/>
      <c r="H284" s="417">
        <f>H271+H279+H277+H273+H275+H282+H281</f>
        <v>46541.926999999996</v>
      </c>
      <c r="I284" s="388"/>
      <c r="J284" s="293"/>
      <c r="K284" s="293"/>
      <c r="L284" s="293"/>
      <c r="M284" s="389"/>
      <c r="N284" s="413" t="str">
        <f t="shared" si="18"/>
        <v xml:space="preserve"> </v>
      </c>
      <c r="O284" s="47"/>
      <c r="P284" s="418"/>
      <c r="Q284" s="418"/>
      <c r="R284" s="418"/>
      <c r="S284" s="32"/>
      <c r="T284" s="1261"/>
      <c r="U284" s="1261"/>
      <c r="V284" s="1261"/>
      <c r="W284" s="1261"/>
      <c r="X284" s="1261"/>
      <c r="Y284" s="1261"/>
      <c r="Z284" s="1261"/>
      <c r="AA284" s="1261"/>
      <c r="AB284" s="1261"/>
      <c r="AC284" s="1261"/>
      <c r="AD284" s="1261"/>
      <c r="AE284" s="1261"/>
      <c r="AF284" s="1261"/>
      <c r="AG284" s="1261"/>
      <c r="AH284" s="1261"/>
      <c r="AI284" s="1261"/>
      <c r="AJ284" s="1261"/>
      <c r="AK284" s="1261"/>
      <c r="AL284" s="1261"/>
      <c r="AM284" s="1261"/>
      <c r="AN284" s="1261"/>
      <c r="AO284" s="1261"/>
      <c r="AP284" s="1261"/>
      <c r="AQ284" s="1261"/>
      <c r="AR284" s="1261"/>
      <c r="AS284" s="1261"/>
      <c r="AT284" s="1261"/>
      <c r="AU284" s="1261"/>
      <c r="AV284" s="1261"/>
      <c r="AW284" s="1261"/>
      <c r="AX284" s="1261"/>
      <c r="AY284" s="1261"/>
      <c r="AZ284" s="1261"/>
    </row>
    <row r="285" spans="2:53">
      <c r="B285" s="1258" t="s">
        <v>556</v>
      </c>
      <c r="C285" s="1259"/>
      <c r="D285" s="1259"/>
      <c r="E285" s="1259"/>
      <c r="F285" s="1259"/>
      <c r="G285" s="1260"/>
      <c r="H285" s="417">
        <f>H270+H284</f>
        <v>54000</v>
      </c>
      <c r="I285" s="388"/>
      <c r="J285" s="293"/>
      <c r="K285" s="293"/>
      <c r="L285" s="293"/>
      <c r="M285" s="389"/>
      <c r="N285" s="413" t="str">
        <f t="shared" si="18"/>
        <v xml:space="preserve"> </v>
      </c>
      <c r="O285" s="212"/>
      <c r="P285" s="418"/>
      <c r="Q285" s="418"/>
      <c r="R285" s="418"/>
      <c r="S285" s="207"/>
      <c r="T285" s="1261"/>
      <c r="U285" s="1261"/>
      <c r="V285" s="1261"/>
      <c r="W285" s="1261"/>
      <c r="X285" s="1261"/>
      <c r="Y285" s="1261"/>
      <c r="Z285" s="1261"/>
      <c r="AA285" s="1261"/>
      <c r="AB285" s="1261"/>
      <c r="AC285" s="1261"/>
      <c r="AD285" s="1261"/>
      <c r="AE285" s="1261"/>
      <c r="AF285" s="1261"/>
      <c r="AG285" s="1261"/>
      <c r="AH285" s="1261"/>
      <c r="AI285" s="1261"/>
      <c r="AJ285" s="1261"/>
      <c r="AK285" s="1261"/>
      <c r="AL285" s="1261"/>
      <c r="AM285" s="1261"/>
      <c r="AN285" s="1261"/>
      <c r="AO285" s="1261"/>
      <c r="AP285" s="1261"/>
      <c r="AQ285" s="1261"/>
      <c r="AR285" s="1261"/>
      <c r="AS285" s="1261"/>
      <c r="AT285" s="1261"/>
      <c r="AU285" s="1261"/>
      <c r="AV285" s="1261"/>
      <c r="AW285" s="1261"/>
      <c r="AX285" s="1261"/>
      <c r="AY285" s="1261"/>
      <c r="AZ285" s="1261"/>
    </row>
    <row r="286" spans="2:53">
      <c r="B286" s="1243" t="s">
        <v>557</v>
      </c>
      <c r="C286" s="1244"/>
      <c r="D286" s="1244"/>
      <c r="E286" s="1244"/>
      <c r="F286" s="1244"/>
      <c r="G286" s="1245"/>
      <c r="H286" s="419">
        <v>54000</v>
      </c>
      <c r="I286" s="1273"/>
      <c r="J286" s="1274"/>
      <c r="K286" s="1274"/>
      <c r="L286" s="1274"/>
      <c r="M286" s="1275"/>
      <c r="N286" s="413" t="str">
        <f t="shared" si="18"/>
        <v xml:space="preserve"> </v>
      </c>
      <c r="O286" s="32"/>
      <c r="P286" s="415"/>
      <c r="Q286" s="415"/>
      <c r="R286" s="415"/>
      <c r="S286" s="63"/>
      <c r="T286" s="416">
        <f t="shared" ref="T286:AZ286" si="19">SUM(T269:T283)</f>
        <v>0</v>
      </c>
      <c r="U286" s="416">
        <f t="shared" si="19"/>
        <v>0</v>
      </c>
      <c r="V286" s="416">
        <f t="shared" si="19"/>
        <v>0</v>
      </c>
      <c r="W286" s="416">
        <f t="shared" si="19"/>
        <v>0</v>
      </c>
      <c r="X286" s="416">
        <f t="shared" si="19"/>
        <v>0</v>
      </c>
      <c r="Y286" s="416">
        <f t="shared" si="19"/>
        <v>46541.926999999996</v>
      </c>
      <c r="Z286" s="416">
        <f t="shared" si="19"/>
        <v>0</v>
      </c>
      <c r="AA286" s="416">
        <f t="shared" si="19"/>
        <v>0</v>
      </c>
      <c r="AB286" s="416">
        <f t="shared" si="19"/>
        <v>0</v>
      </c>
      <c r="AC286" s="416">
        <f t="shared" si="19"/>
        <v>0</v>
      </c>
      <c r="AD286" s="416">
        <f t="shared" si="19"/>
        <v>0</v>
      </c>
      <c r="AE286" s="416">
        <f t="shared" si="19"/>
        <v>0</v>
      </c>
      <c r="AF286" s="416">
        <f t="shared" si="19"/>
        <v>0</v>
      </c>
      <c r="AG286" s="416">
        <f t="shared" si="19"/>
        <v>0</v>
      </c>
      <c r="AH286" s="416">
        <f t="shared" si="19"/>
        <v>0</v>
      </c>
      <c r="AI286" s="416">
        <f t="shared" si="19"/>
        <v>0</v>
      </c>
      <c r="AJ286" s="416">
        <f t="shared" si="19"/>
        <v>0</v>
      </c>
      <c r="AK286" s="416">
        <f t="shared" si="19"/>
        <v>0</v>
      </c>
      <c r="AL286" s="416">
        <f t="shared" si="19"/>
        <v>0</v>
      </c>
      <c r="AM286" s="416">
        <f t="shared" si="19"/>
        <v>0</v>
      </c>
      <c r="AN286" s="416">
        <f t="shared" si="19"/>
        <v>0</v>
      </c>
      <c r="AO286" s="416">
        <f t="shared" si="19"/>
        <v>0</v>
      </c>
      <c r="AP286" s="416">
        <f t="shared" si="19"/>
        <v>0</v>
      </c>
      <c r="AQ286" s="416">
        <f t="shared" si="19"/>
        <v>0</v>
      </c>
      <c r="AR286" s="416">
        <f t="shared" si="19"/>
        <v>0</v>
      </c>
      <c r="AS286" s="416">
        <f t="shared" si="19"/>
        <v>0</v>
      </c>
      <c r="AT286" s="416">
        <f t="shared" si="19"/>
        <v>0</v>
      </c>
      <c r="AU286" s="416">
        <f t="shared" si="19"/>
        <v>0</v>
      </c>
      <c r="AV286" s="416">
        <f t="shared" si="19"/>
        <v>0</v>
      </c>
      <c r="AW286" s="416">
        <f t="shared" si="19"/>
        <v>0</v>
      </c>
      <c r="AX286" s="416">
        <f t="shared" si="19"/>
        <v>0</v>
      </c>
      <c r="AY286" s="416">
        <f t="shared" si="19"/>
        <v>0</v>
      </c>
      <c r="AZ286" s="416">
        <f t="shared" si="19"/>
        <v>7458.0730000000003</v>
      </c>
      <c r="BA286" s="416">
        <f>SUM(T286:AZ286)</f>
        <v>54000</v>
      </c>
    </row>
    <row r="287" spans="2:53">
      <c r="B287" s="1243" t="s">
        <v>558</v>
      </c>
      <c r="C287" s="1244"/>
      <c r="D287" s="1244"/>
      <c r="E287" s="1244"/>
      <c r="F287" s="1244"/>
      <c r="G287" s="1245"/>
      <c r="H287" s="420">
        <f>H286-L263</f>
        <v>0</v>
      </c>
      <c r="I287" s="294"/>
      <c r="J287" s="295"/>
      <c r="K287" s="295"/>
      <c r="L287" s="296"/>
      <c r="M287" s="32"/>
      <c r="N287" s="32"/>
      <c r="O287" s="32"/>
      <c r="P287" s="32"/>
      <c r="Q287" s="297"/>
      <c r="R287" s="297"/>
      <c r="S287" s="32"/>
      <c r="T287" s="48"/>
      <c r="U287" s="48"/>
      <c r="V287" s="48"/>
      <c r="W287" s="48"/>
      <c r="X287" s="48"/>
      <c r="Y287" s="48"/>
      <c r="Z287" s="48"/>
      <c r="AA287" s="48"/>
      <c r="AB287" s="48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</row>
    <row r="288" spans="2:53">
      <c r="B288" s="1243" t="s">
        <v>559</v>
      </c>
      <c r="C288" s="1244"/>
      <c r="D288" s="1244"/>
      <c r="E288" s="1244"/>
      <c r="F288" s="1244"/>
      <c r="G288" s="1245"/>
      <c r="H288" s="420">
        <v>5910.2749999999996</v>
      </c>
      <c r="I288" s="274">
        <v>5509.4229999999998</v>
      </c>
      <c r="J288" s="53"/>
      <c r="K288" s="53"/>
      <c r="L288" s="54"/>
      <c r="M288" s="32"/>
      <c r="N288" s="201"/>
      <c r="O288" s="32"/>
      <c r="P288" s="32"/>
      <c r="Q288" s="32"/>
      <c r="R288" s="32"/>
      <c r="S288" s="32"/>
      <c r="T288" s="48"/>
      <c r="U288" s="48"/>
      <c r="V288" s="48"/>
      <c r="W288" s="48"/>
      <c r="X288" s="48"/>
      <c r="Y288" s="48"/>
      <c r="Z288" s="48"/>
      <c r="AA288" s="48"/>
      <c r="AB288" s="48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</row>
    <row r="289" spans="2:53">
      <c r="B289" s="1243" t="s">
        <v>560</v>
      </c>
      <c r="C289" s="1244"/>
      <c r="D289" s="1244"/>
      <c r="E289" s="1244"/>
      <c r="F289" s="1244"/>
      <c r="G289" s="1245"/>
      <c r="H289" s="421">
        <f>H288-5916.828</f>
        <v>-6.5530000000007931</v>
      </c>
      <c r="I289" s="275">
        <f>I288-H288</f>
        <v>-400.85199999999986</v>
      </c>
      <c r="J289" s="53"/>
      <c r="K289" s="53"/>
      <c r="L289" s="54"/>
      <c r="M289" s="32"/>
      <c r="N289" s="32"/>
      <c r="O289" s="32"/>
      <c r="P289" s="32"/>
      <c r="Q289" s="32"/>
      <c r="R289" s="32"/>
      <c r="S289" s="48"/>
      <c r="T289" s="48"/>
      <c r="U289" s="48"/>
      <c r="V289" s="48"/>
      <c r="W289" s="48"/>
      <c r="X289" s="48"/>
      <c r="Y289" s="48"/>
      <c r="Z289" s="48"/>
      <c r="AA289" s="48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</row>
    <row r="290" spans="2:53">
      <c r="B290" s="201"/>
      <c r="C290" s="201"/>
      <c r="D290" s="201"/>
      <c r="E290" s="201"/>
      <c r="F290" s="201"/>
      <c r="G290" s="201"/>
      <c r="H290" s="201"/>
      <c r="I290" s="213"/>
      <c r="J290" s="209"/>
      <c r="K290" s="209"/>
      <c r="L290" s="203"/>
      <c r="M290" s="201"/>
      <c r="N290" s="201"/>
      <c r="O290" s="209"/>
      <c r="P290" s="32"/>
      <c r="Q290" s="32"/>
      <c r="R290" s="32"/>
      <c r="S290" s="32"/>
      <c r="T290" s="48"/>
      <c r="U290" s="48"/>
      <c r="V290" s="48"/>
      <c r="W290" s="48"/>
      <c r="X290" s="48"/>
      <c r="Y290" s="48"/>
      <c r="Z290" s="48"/>
      <c r="AA290" s="48"/>
      <c r="AB290" s="48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</row>
    <row r="291" spans="2:53">
      <c r="B291" s="40" t="s">
        <v>561</v>
      </c>
      <c r="C291" s="40"/>
      <c r="D291" s="32"/>
      <c r="E291" s="32"/>
      <c r="F291" s="32"/>
      <c r="G291" s="32"/>
      <c r="H291" s="32"/>
      <c r="I291" s="32"/>
      <c r="J291" s="52"/>
      <c r="K291" s="52"/>
      <c r="L291" s="55"/>
      <c r="M291" s="32"/>
      <c r="N291" s="201"/>
      <c r="O291" s="5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  <c r="AA291" s="202"/>
      <c r="AB291" s="201"/>
      <c r="AC291" s="201"/>
      <c r="AD291" s="201"/>
      <c r="AE291" s="201"/>
      <c r="AF291" s="201"/>
      <c r="AG291" s="201"/>
      <c r="AH291" s="201"/>
      <c r="AI291" s="201"/>
      <c r="AJ291" s="201"/>
      <c r="AK291" s="201"/>
      <c r="AL291" s="201"/>
      <c r="AM291" s="201"/>
      <c r="AN291" s="201"/>
      <c r="AO291" s="201"/>
      <c r="AP291" s="201"/>
      <c r="AQ291" s="201"/>
      <c r="AR291" s="201"/>
      <c r="AS291" s="201"/>
      <c r="AT291" s="201"/>
      <c r="AU291" s="201"/>
      <c r="BA291" s="201"/>
    </row>
    <row r="292" spans="2:53">
      <c r="B292" s="422">
        <v>1</v>
      </c>
      <c r="C292" s="1249" t="s">
        <v>1151</v>
      </c>
      <c r="D292" s="1249"/>
      <c r="E292" s="1249"/>
      <c r="F292" s="1249"/>
      <c r="G292" s="1249"/>
      <c r="H292" s="1249"/>
      <c r="I292" s="1249"/>
      <c r="J292" s="1249"/>
      <c r="K292" s="1249"/>
      <c r="L292" s="203"/>
      <c r="M292" s="201"/>
      <c r="N292" s="201"/>
      <c r="O292" s="209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  <c r="AA292" s="202"/>
      <c r="AB292" s="201"/>
      <c r="AC292" s="201"/>
      <c r="AD292" s="201"/>
      <c r="AE292" s="201"/>
      <c r="AF292" s="201"/>
      <c r="AG292" s="201"/>
      <c r="AH292" s="201"/>
      <c r="AI292" s="201"/>
      <c r="AJ292" s="201"/>
      <c r="AK292" s="201"/>
      <c r="AL292" s="201"/>
      <c r="AM292" s="201"/>
      <c r="AN292" s="201"/>
      <c r="AO292" s="201"/>
      <c r="AP292" s="201"/>
      <c r="AQ292" s="201"/>
      <c r="AR292" s="201"/>
      <c r="AS292" s="201"/>
      <c r="AT292" s="201"/>
      <c r="AU292" s="201"/>
      <c r="BA292" s="201"/>
    </row>
    <row r="294" spans="2:53">
      <c r="B294" s="28" t="s">
        <v>126</v>
      </c>
      <c r="C294" s="28"/>
      <c r="D294" s="29"/>
      <c r="E294" s="30" t="s">
        <v>511</v>
      </c>
      <c r="F294" s="31" t="s">
        <v>969</v>
      </c>
      <c r="G294" s="32"/>
      <c r="H294" s="33"/>
      <c r="I294" s="34"/>
      <c r="J294" s="35" t="s">
        <v>513</v>
      </c>
      <c r="K294" s="36" t="s">
        <v>511</v>
      </c>
      <c r="L294" s="37">
        <v>45004.71875</v>
      </c>
      <c r="M294" s="32"/>
      <c r="N294" s="32"/>
      <c r="O294" s="206"/>
      <c r="P294" s="205"/>
      <c r="Q294" s="202"/>
      <c r="R294" s="204"/>
      <c r="S294" s="38"/>
      <c r="T294" s="201"/>
      <c r="U294" s="201"/>
      <c r="V294" s="201"/>
      <c r="W294" s="201"/>
      <c r="X294" s="201"/>
      <c r="Y294" s="201"/>
      <c r="Z294" s="201"/>
      <c r="AA294" s="201"/>
      <c r="AB294" s="202"/>
      <c r="AC294" s="202"/>
      <c r="AD294" s="202"/>
      <c r="AE294" s="202"/>
      <c r="AF294" s="202"/>
      <c r="AG294" s="201"/>
      <c r="AH294" s="201"/>
      <c r="AI294" s="201"/>
      <c r="AJ294" s="201"/>
      <c r="AK294" s="201"/>
      <c r="AL294" s="201"/>
      <c r="AM294" s="201"/>
      <c r="AN294" s="201"/>
      <c r="AO294" s="201"/>
      <c r="AP294" s="201"/>
      <c r="AQ294" s="201"/>
      <c r="AR294" s="201"/>
      <c r="AS294" s="201"/>
      <c r="AT294" s="201"/>
      <c r="AU294" s="201"/>
      <c r="AV294" s="201"/>
      <c r="AW294" s="201"/>
      <c r="AX294" s="201"/>
      <c r="AY294" s="201"/>
      <c r="AZ294" s="201"/>
    </row>
    <row r="295" spans="2:53">
      <c r="B295" s="35" t="s">
        <v>514</v>
      </c>
      <c r="C295" s="35"/>
      <c r="D295" s="32"/>
      <c r="E295" s="36" t="s">
        <v>511</v>
      </c>
      <c r="F295" s="37" t="s">
        <v>1152</v>
      </c>
      <c r="G295" s="32"/>
      <c r="H295" s="33"/>
      <c r="I295" s="34"/>
      <c r="J295" s="35" t="s">
        <v>516</v>
      </c>
      <c r="K295" s="36" t="s">
        <v>511</v>
      </c>
      <c r="L295" s="37">
        <v>45006.5</v>
      </c>
      <c r="M295" s="32"/>
      <c r="N295" s="32"/>
      <c r="O295" s="206"/>
      <c r="P295" s="205"/>
      <c r="Q295" s="202"/>
      <c r="R295" s="204"/>
      <c r="S295" s="38"/>
      <c r="T295" s="201"/>
      <c r="U295" s="201"/>
      <c r="V295" s="201"/>
      <c r="W295" s="201"/>
      <c r="X295" s="201"/>
      <c r="Y295" s="201"/>
      <c r="Z295" s="201"/>
      <c r="AA295" s="201"/>
      <c r="AB295" s="202"/>
      <c r="AC295" s="202"/>
      <c r="AD295" s="202"/>
      <c r="AE295" s="202"/>
      <c r="AF295" s="202"/>
      <c r="AG295" s="201"/>
      <c r="AH295" s="201"/>
      <c r="AI295" s="201"/>
      <c r="AJ295" s="201"/>
      <c r="AK295" s="201"/>
      <c r="AL295" s="201"/>
      <c r="AM295" s="201"/>
      <c r="AN295" s="201"/>
      <c r="AO295" s="201"/>
      <c r="AP295" s="201"/>
      <c r="AQ295" s="201"/>
      <c r="AR295" s="201"/>
      <c r="AS295" s="201"/>
      <c r="AT295" s="201"/>
      <c r="AU295" s="201"/>
      <c r="AV295" s="201"/>
      <c r="AW295" s="201"/>
      <c r="AX295" s="201"/>
      <c r="AY295" s="201"/>
      <c r="AZ295" s="201"/>
    </row>
    <row r="296" spans="2:53">
      <c r="B296" s="35" t="s">
        <v>517</v>
      </c>
      <c r="C296" s="35"/>
      <c r="D296" s="32"/>
      <c r="E296" s="36" t="s">
        <v>511</v>
      </c>
      <c r="F296" s="37">
        <v>44998.784722222219</v>
      </c>
      <c r="G296" s="32"/>
      <c r="H296" s="33"/>
      <c r="I296" s="34"/>
      <c r="J296" s="35" t="s">
        <v>518</v>
      </c>
      <c r="K296" s="36" t="s">
        <v>511</v>
      </c>
      <c r="L296" s="50">
        <v>53000</v>
      </c>
      <c r="M296" s="40" t="s">
        <v>519</v>
      </c>
      <c r="N296" s="40"/>
      <c r="O296" s="206"/>
      <c r="P296" s="205"/>
      <c r="Q296" s="202"/>
      <c r="R296" s="204"/>
      <c r="S296" s="38"/>
      <c r="T296" s="201"/>
      <c r="U296" s="201"/>
      <c r="V296" s="201"/>
      <c r="W296" s="201"/>
      <c r="X296" s="201"/>
      <c r="Y296" s="201"/>
      <c r="Z296" s="201"/>
      <c r="AA296" s="201"/>
      <c r="AB296" s="202"/>
      <c r="AC296" s="202"/>
      <c r="AD296" s="202"/>
      <c r="AE296" s="202"/>
      <c r="AF296" s="202"/>
      <c r="AG296" s="201"/>
      <c r="AH296" s="201"/>
      <c r="AI296" s="201"/>
      <c r="AJ296" s="201"/>
      <c r="AK296" s="201"/>
      <c r="AL296" s="201"/>
      <c r="AM296" s="201"/>
      <c r="AN296" s="201"/>
      <c r="AO296" s="201"/>
      <c r="AP296" s="201"/>
      <c r="AQ296" s="201"/>
      <c r="AR296" s="201"/>
      <c r="AS296" s="201"/>
      <c r="AT296" s="201"/>
      <c r="AU296" s="201"/>
      <c r="AV296" s="201"/>
      <c r="AW296" s="201"/>
      <c r="AX296" s="201"/>
      <c r="AY296" s="201"/>
      <c r="AZ296" s="201"/>
    </row>
    <row r="297" spans="2:53">
      <c r="B297" s="35" t="s">
        <v>520</v>
      </c>
      <c r="C297" s="35"/>
      <c r="D297" s="32"/>
      <c r="E297" s="36" t="s">
        <v>511</v>
      </c>
      <c r="F297" s="37" t="s">
        <v>12</v>
      </c>
      <c r="G297" s="32"/>
      <c r="H297" s="33"/>
      <c r="I297" s="34"/>
      <c r="J297" s="35" t="s">
        <v>521</v>
      </c>
      <c r="K297" s="36" t="s">
        <v>511</v>
      </c>
      <c r="L297" s="41" t="s">
        <v>1153</v>
      </c>
      <c r="M297" s="32"/>
      <c r="N297" s="32"/>
      <c r="O297" s="206"/>
      <c r="P297" s="202"/>
      <c r="Q297" s="202"/>
      <c r="R297" s="204"/>
      <c r="S297" s="38"/>
      <c r="T297" s="201"/>
      <c r="U297" s="201"/>
      <c r="V297" s="201"/>
      <c r="W297" s="201"/>
      <c r="X297" s="201"/>
      <c r="Y297" s="201"/>
      <c r="Z297" s="201"/>
      <c r="AA297" s="201"/>
      <c r="AB297" s="202"/>
      <c r="AC297" s="202"/>
      <c r="AD297" s="202"/>
      <c r="AE297" s="202"/>
      <c r="AF297" s="202"/>
      <c r="AG297" s="201"/>
      <c r="AH297" s="201"/>
      <c r="AI297" s="201"/>
      <c r="AJ297" s="201"/>
      <c r="AK297" s="201"/>
      <c r="AL297" s="201"/>
      <c r="AM297" s="201"/>
      <c r="AN297" s="201"/>
      <c r="AO297" s="201"/>
      <c r="AP297" s="201"/>
      <c r="AQ297" s="201"/>
      <c r="AR297" s="201"/>
      <c r="AS297" s="201"/>
      <c r="AT297" s="201"/>
      <c r="AU297" s="201"/>
      <c r="AV297" s="201"/>
      <c r="AW297" s="201"/>
      <c r="AX297" s="201"/>
      <c r="AY297" s="201"/>
      <c r="AZ297" s="201"/>
    </row>
    <row r="298" spans="2:53">
      <c r="B298" s="35" t="s">
        <v>523</v>
      </c>
      <c r="C298" s="35"/>
      <c r="D298" s="32"/>
      <c r="E298" s="36" t="s">
        <v>511</v>
      </c>
      <c r="F298" s="37" t="s">
        <v>32</v>
      </c>
      <c r="G298" s="32"/>
      <c r="H298" s="33"/>
      <c r="I298" s="34"/>
      <c r="J298" s="42" t="s">
        <v>524</v>
      </c>
      <c r="K298" s="36" t="s">
        <v>511</v>
      </c>
      <c r="L298" s="43" t="s">
        <v>11</v>
      </c>
      <c r="M298" s="44"/>
      <c r="N298" s="44"/>
      <c r="O298" s="206"/>
      <c r="P298" s="205"/>
      <c r="Q298" s="202"/>
      <c r="R298" s="204"/>
      <c r="S298" s="38"/>
      <c r="T298" s="201"/>
      <c r="U298" s="201"/>
      <c r="V298" s="201"/>
      <c r="W298" s="201"/>
      <c r="X298" s="201"/>
      <c r="Y298" s="201"/>
      <c r="Z298" s="201"/>
      <c r="AA298" s="201"/>
      <c r="AB298" s="202"/>
      <c r="AC298" s="202"/>
      <c r="AD298" s="202"/>
      <c r="AE298" s="202"/>
      <c r="AF298" s="202"/>
      <c r="AG298" s="201"/>
      <c r="AH298" s="201"/>
      <c r="AI298" s="201"/>
      <c r="AJ298" s="201"/>
      <c r="AK298" s="201"/>
      <c r="AL298" s="201"/>
      <c r="AM298" s="201"/>
      <c r="AN298" s="201"/>
      <c r="AO298" s="201"/>
      <c r="AP298" s="201"/>
      <c r="AQ298" s="201"/>
      <c r="AR298" s="201"/>
      <c r="AS298" s="201"/>
      <c r="AT298" s="201"/>
      <c r="AU298" s="201"/>
      <c r="AV298" s="201"/>
      <c r="AW298" s="201"/>
      <c r="AX298" s="201"/>
      <c r="AY298" s="201"/>
      <c r="AZ298" s="201"/>
    </row>
    <row r="299" spans="2:53">
      <c r="B299" s="35" t="s">
        <v>2</v>
      </c>
      <c r="C299" s="35"/>
      <c r="D299" s="32"/>
      <c r="E299" s="36" t="s">
        <v>511</v>
      </c>
      <c r="F299" s="37" t="s">
        <v>14</v>
      </c>
      <c r="G299" s="32"/>
      <c r="H299" s="33"/>
      <c r="I299" s="45"/>
      <c r="J299" s="42"/>
      <c r="K299" s="36"/>
      <c r="L299" s="211"/>
      <c r="M299" s="201"/>
      <c r="N299" s="201"/>
      <c r="O299" s="42"/>
      <c r="P299" s="44"/>
      <c r="Q299" s="44"/>
      <c r="R299" s="44"/>
      <c r="S299" s="34"/>
      <c r="T299" s="201"/>
      <c r="U299" s="201"/>
      <c r="V299" s="201"/>
      <c r="W299" s="201"/>
      <c r="X299" s="201"/>
      <c r="Y299" s="201"/>
      <c r="Z299" s="201"/>
      <c r="AA299" s="201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201"/>
      <c r="AP299" s="201"/>
      <c r="AQ299" s="201"/>
      <c r="AR299" s="201"/>
      <c r="AS299" s="201"/>
      <c r="AT299" s="201"/>
      <c r="AU299" s="201"/>
      <c r="AV299" s="201"/>
      <c r="AW299" s="201"/>
      <c r="AX299" s="201"/>
      <c r="AY299" s="201"/>
      <c r="AZ299" s="201"/>
    </row>
    <row r="300" spans="2:53">
      <c r="B300" s="201"/>
      <c r="C300" s="201"/>
      <c r="D300" s="201"/>
      <c r="E300" s="201"/>
      <c r="F300" s="201"/>
      <c r="G300" s="201"/>
      <c r="H300" s="201"/>
      <c r="I300" s="45"/>
      <c r="J300" s="42"/>
      <c r="K300" s="42"/>
      <c r="L300" s="43"/>
      <c r="M300" s="44"/>
      <c r="N300" s="44"/>
      <c r="O300" s="42"/>
      <c r="P300" s="44"/>
      <c r="Q300" s="44"/>
      <c r="R300" s="44"/>
      <c r="S300" s="34"/>
      <c r="T300" s="1265" t="s">
        <v>87</v>
      </c>
      <c r="U300" s="1265"/>
      <c r="V300" s="1265"/>
      <c r="W300" s="1265"/>
      <c r="X300" s="1265"/>
      <c r="Y300" s="1265" t="s">
        <v>73</v>
      </c>
      <c r="Z300" s="1265"/>
      <c r="AA300" s="1265"/>
      <c r="AB300" s="1265" t="s">
        <v>74</v>
      </c>
      <c r="AC300" s="1265"/>
      <c r="AD300" s="423" t="s">
        <v>85</v>
      </c>
      <c r="AE300" s="423" t="s">
        <v>77</v>
      </c>
      <c r="AF300" s="1265" t="s">
        <v>525</v>
      </c>
      <c r="AG300" s="1265"/>
      <c r="AH300" s="1265"/>
      <c r="AI300" s="1265"/>
      <c r="AJ300" s="1265"/>
      <c r="AK300" s="1265"/>
      <c r="AL300" s="1265"/>
      <c r="AM300" s="1265"/>
      <c r="AN300" s="1265"/>
      <c r="AO300" s="1265"/>
      <c r="AP300" s="1265"/>
      <c r="AQ300" s="1265"/>
      <c r="AR300" s="1265"/>
      <c r="AS300" s="1265"/>
      <c r="AT300" s="1265"/>
      <c r="AU300" s="1265"/>
      <c r="AV300" s="1265"/>
      <c r="AW300" s="1265"/>
      <c r="AX300" s="1265"/>
      <c r="AY300" s="1265"/>
      <c r="AZ300" s="201"/>
    </row>
    <row r="301" spans="2:53">
      <c r="B301" s="1266" t="s">
        <v>526</v>
      </c>
      <c r="C301" s="1267"/>
      <c r="D301" s="570" t="s">
        <v>527</v>
      </c>
      <c r="E301" s="570"/>
      <c r="F301" s="570" t="s">
        <v>528</v>
      </c>
      <c r="G301" s="570" t="s">
        <v>529</v>
      </c>
      <c r="H301" s="570" t="s">
        <v>530</v>
      </c>
      <c r="I301" s="570" t="s">
        <v>531</v>
      </c>
      <c r="J301" s="570" t="s">
        <v>532</v>
      </c>
      <c r="K301" s="570"/>
      <c r="L301" s="570" t="s">
        <v>130</v>
      </c>
      <c r="M301" s="570" t="s">
        <v>533</v>
      </c>
      <c r="N301" s="408" t="str">
        <f>"On time - "&amp;COUNTIF(N302:N310,"On time")&amp;" from "&amp;ROWS(N302:N310)-COUNTIF(N302:N310," ")</f>
        <v>On time - 0 from 8</v>
      </c>
      <c r="O301" s="46"/>
      <c r="P301" s="409" t="s">
        <v>534</v>
      </c>
      <c r="Q301" s="409" t="s">
        <v>535</v>
      </c>
      <c r="R301" s="409" t="s">
        <v>536</v>
      </c>
      <c r="S301" s="32"/>
      <c r="T301" s="424" t="s">
        <v>537</v>
      </c>
      <c r="U301" s="424" t="s">
        <v>538</v>
      </c>
      <c r="V301" s="424" t="s">
        <v>539</v>
      </c>
      <c r="W301" s="424" t="s">
        <v>540</v>
      </c>
      <c r="X301" s="424" t="s">
        <v>541</v>
      </c>
      <c r="Y301" s="424" t="s">
        <v>167</v>
      </c>
      <c r="Z301" s="424" t="s">
        <v>168</v>
      </c>
      <c r="AA301" s="424" t="s">
        <v>169</v>
      </c>
      <c r="AB301" s="424" t="s">
        <v>235</v>
      </c>
      <c r="AC301" s="424" t="s">
        <v>240</v>
      </c>
      <c r="AD301" s="423" t="s">
        <v>85</v>
      </c>
      <c r="AE301" s="424" t="s">
        <v>139</v>
      </c>
      <c r="AF301" s="424" t="s">
        <v>72</v>
      </c>
      <c r="AG301" s="424" t="s">
        <v>88</v>
      </c>
      <c r="AH301" s="424" t="s">
        <v>75</v>
      </c>
      <c r="AI301" s="424" t="s">
        <v>543</v>
      </c>
      <c r="AJ301" s="424" t="s">
        <v>78</v>
      </c>
      <c r="AK301" s="424" t="s">
        <v>76</v>
      </c>
      <c r="AL301" s="424" t="s">
        <v>544</v>
      </c>
      <c r="AM301" s="424" t="s">
        <v>545</v>
      </c>
      <c r="AN301" s="424" t="s">
        <v>86</v>
      </c>
      <c r="AO301" s="424" t="s">
        <v>83</v>
      </c>
      <c r="AP301" s="424" t="s">
        <v>84</v>
      </c>
      <c r="AQ301" s="424" t="s">
        <v>546</v>
      </c>
      <c r="AR301" s="424" t="s">
        <v>81</v>
      </c>
      <c r="AS301" s="424" t="s">
        <v>80</v>
      </c>
      <c r="AT301" s="424" t="s">
        <v>82</v>
      </c>
      <c r="AU301" s="424" t="s">
        <v>181</v>
      </c>
      <c r="AV301" s="424" t="s">
        <v>183</v>
      </c>
      <c r="AW301" s="424" t="s">
        <v>547</v>
      </c>
      <c r="AX301" s="424" t="s">
        <v>182</v>
      </c>
      <c r="AY301" s="424" t="s">
        <v>172</v>
      </c>
      <c r="AZ301" s="201"/>
    </row>
    <row r="302" spans="2:53">
      <c r="B302" s="1256" t="s">
        <v>548</v>
      </c>
      <c r="C302" s="1257"/>
      <c r="D302" s="411" t="s">
        <v>1082</v>
      </c>
      <c r="E302" s="411"/>
      <c r="F302" s="411" t="s">
        <v>377</v>
      </c>
      <c r="G302" s="411" t="s">
        <v>378</v>
      </c>
      <c r="H302" s="412">
        <v>1926.876</v>
      </c>
      <c r="I302" s="413" t="s">
        <v>494</v>
      </c>
      <c r="J302" s="414">
        <v>44999.951388888891</v>
      </c>
      <c r="K302" s="414"/>
      <c r="L302" s="414" t="s">
        <v>192</v>
      </c>
      <c r="M302" s="414" t="s">
        <v>192</v>
      </c>
      <c r="N302" s="413" t="str">
        <f>IF(ISBLANK(J302)," ",IF(J302&lt;$F$296,"On time",(IF(DAY(J302-$F$296)&lt;1,"On time",(IF(J302&gt;$F$296,"DELAY ( "&amp;DAY(J302-$F$296)&amp;" day "&amp;HOUR(J302-$F$296)&amp;" hour "&amp;MINUTE(J302-$F$296)&amp;" minute )","xxx"))))))</f>
        <v>DELAY ( 1 day 4 hour 0 minute )</v>
      </c>
      <c r="O302" s="51"/>
      <c r="P302" s="415" t="s">
        <v>551</v>
      </c>
      <c r="Q302" s="415" t="s">
        <v>551</v>
      </c>
      <c r="R302" s="415" t="s">
        <v>551</v>
      </c>
      <c r="S302" s="32"/>
      <c r="T302" s="416"/>
      <c r="U302" s="416"/>
      <c r="V302" s="416"/>
      <c r="W302" s="416"/>
      <c r="X302" s="416"/>
      <c r="Y302" s="416">
        <f>H302</f>
        <v>1926.876</v>
      </c>
      <c r="Z302" s="416"/>
      <c r="AA302" s="416"/>
      <c r="AB302" s="416"/>
      <c r="AC302" s="416"/>
      <c r="AD302" s="416"/>
      <c r="AE302" s="416"/>
      <c r="AF302" s="416"/>
      <c r="AG302" s="416"/>
      <c r="AH302" s="416"/>
      <c r="AI302" s="416"/>
      <c r="AJ302" s="416"/>
      <c r="AK302" s="416"/>
      <c r="AL302" s="416"/>
      <c r="AM302" s="416"/>
      <c r="AN302" s="416"/>
      <c r="AO302" s="416"/>
      <c r="AP302" s="416"/>
      <c r="AQ302" s="416"/>
      <c r="AR302" s="416"/>
      <c r="AS302" s="416"/>
      <c r="AT302" s="416"/>
      <c r="AU302" s="416"/>
      <c r="AV302" s="416"/>
      <c r="AW302" s="416"/>
      <c r="AX302" s="416"/>
      <c r="AY302" s="416"/>
      <c r="AZ302" s="32"/>
    </row>
    <row r="303" spans="2:53">
      <c r="B303" s="1250" t="s">
        <v>1154</v>
      </c>
      <c r="C303" s="1251"/>
      <c r="D303" s="411" t="s">
        <v>1098</v>
      </c>
      <c r="E303" s="411"/>
      <c r="F303" s="411" t="s">
        <v>284</v>
      </c>
      <c r="G303" s="411" t="s">
        <v>285</v>
      </c>
      <c r="H303" s="412">
        <v>9140.6550000000007</v>
      </c>
      <c r="I303" s="413" t="s">
        <v>494</v>
      </c>
      <c r="J303" s="414">
        <v>45001.208333333336</v>
      </c>
      <c r="K303" s="414"/>
      <c r="L303" s="414" t="s">
        <v>192</v>
      </c>
      <c r="M303" s="414" t="s">
        <v>192</v>
      </c>
      <c r="N303" s="413" t="str">
        <f t="shared" ref="N303:N312" si="20">IF(ISBLANK(J303)," ",IF(J303&lt;$F$296,"On time",(IF(DAY(J303-$F$296)&lt;1,"On time",(IF(J303&gt;$F$296,"DELAY ( "&amp;DAY(J303-$F$296)&amp;" day "&amp;HOUR(J303-$F$296)&amp;" hour "&amp;MINUTE(J303-$F$296)&amp;" minute )","xxx"))))))</f>
        <v>DELAY ( 2 day 10 hour 10 minute )</v>
      </c>
      <c r="O303" s="51"/>
      <c r="P303" s="415" t="s">
        <v>551</v>
      </c>
      <c r="Q303" s="415" t="s">
        <v>551</v>
      </c>
      <c r="R303" s="415" t="s">
        <v>551</v>
      </c>
      <c r="S303" s="32"/>
      <c r="T303" s="416"/>
      <c r="U303" s="416"/>
      <c r="V303" s="416"/>
      <c r="W303" s="416"/>
      <c r="X303" s="416"/>
      <c r="Y303" s="416">
        <f>H303</f>
        <v>9140.6550000000007</v>
      </c>
      <c r="Z303" s="416"/>
      <c r="AA303" s="416"/>
      <c r="AB303" s="416"/>
      <c r="AC303" s="416"/>
      <c r="AD303" s="416"/>
      <c r="AE303" s="416"/>
      <c r="AF303" s="416"/>
      <c r="AG303" s="416"/>
      <c r="AH303" s="416"/>
      <c r="AI303" s="416"/>
      <c r="AJ303" s="416"/>
      <c r="AK303" s="416"/>
      <c r="AL303" s="416"/>
      <c r="AM303" s="416"/>
      <c r="AN303" s="416"/>
      <c r="AO303" s="416"/>
      <c r="AP303" s="416"/>
      <c r="AQ303" s="416"/>
      <c r="AR303" s="416"/>
      <c r="AS303" s="416"/>
      <c r="AT303" s="416"/>
      <c r="AU303" s="416"/>
      <c r="AV303" s="416"/>
      <c r="AW303" s="416"/>
      <c r="AX303" s="416"/>
      <c r="AY303" s="416"/>
      <c r="AZ303" s="32"/>
    </row>
    <row r="304" spans="2:53">
      <c r="B304" s="1254"/>
      <c r="C304" s="1255"/>
      <c r="D304" s="411" t="s">
        <v>970</v>
      </c>
      <c r="E304" s="425"/>
      <c r="F304" s="411" t="s">
        <v>238</v>
      </c>
      <c r="G304" s="411" t="s">
        <v>239</v>
      </c>
      <c r="H304" s="412">
        <f>7500.721/2</f>
        <v>3750.3604999999998</v>
      </c>
      <c r="I304" s="413" t="s">
        <v>240</v>
      </c>
      <c r="J304" s="1268">
        <v>45000.645833333336</v>
      </c>
      <c r="K304" s="414"/>
      <c r="L304" s="414" t="s">
        <v>192</v>
      </c>
      <c r="M304" s="414" t="s">
        <v>192</v>
      </c>
      <c r="N304" s="413" t="str">
        <f t="shared" si="20"/>
        <v>DELAY ( 1 day 20 hour 40 minute )</v>
      </c>
      <c r="O304" s="51"/>
      <c r="P304" s="415" t="s">
        <v>551</v>
      </c>
      <c r="Q304" s="415" t="s">
        <v>551</v>
      </c>
      <c r="R304" s="415" t="s">
        <v>551</v>
      </c>
      <c r="S304" s="32"/>
      <c r="T304" s="416"/>
      <c r="U304" s="416"/>
      <c r="V304" s="416"/>
      <c r="W304" s="416"/>
      <c r="X304" s="416"/>
      <c r="Y304" s="416"/>
      <c r="Z304" s="416"/>
      <c r="AA304" s="416"/>
      <c r="AB304" s="416"/>
      <c r="AC304" s="416">
        <f>H304</f>
        <v>3750.3604999999998</v>
      </c>
      <c r="AD304" s="416"/>
      <c r="AE304" s="416"/>
      <c r="AF304" s="416"/>
      <c r="AG304" s="416"/>
      <c r="AH304" s="416"/>
      <c r="AI304" s="416"/>
      <c r="AJ304" s="416"/>
      <c r="AK304" s="416"/>
      <c r="AL304" s="416"/>
      <c r="AM304" s="416"/>
      <c r="AN304" s="416"/>
      <c r="AO304" s="416"/>
      <c r="AP304" s="416"/>
      <c r="AQ304" s="416"/>
      <c r="AR304" s="416"/>
      <c r="AS304" s="416"/>
      <c r="AT304" s="416"/>
      <c r="AU304" s="416"/>
      <c r="AV304" s="416"/>
      <c r="AW304" s="416"/>
      <c r="AX304" s="416"/>
      <c r="AY304" s="416"/>
      <c r="AZ304" s="32"/>
    </row>
    <row r="305" spans="2:52">
      <c r="B305" s="1250" t="s">
        <v>644</v>
      </c>
      <c r="C305" s="1251"/>
      <c r="D305" s="411" t="s">
        <v>970</v>
      </c>
      <c r="E305" s="425"/>
      <c r="F305" s="411" t="s">
        <v>238</v>
      </c>
      <c r="G305" s="411" t="s">
        <v>239</v>
      </c>
      <c r="H305" s="412">
        <f>H304</f>
        <v>3750.3604999999998</v>
      </c>
      <c r="I305" s="413" t="s">
        <v>240</v>
      </c>
      <c r="J305" s="1269"/>
      <c r="K305" s="273"/>
      <c r="L305" s="414" t="s">
        <v>192</v>
      </c>
      <c r="M305" s="414" t="s">
        <v>192</v>
      </c>
      <c r="N305" s="413" t="str">
        <f t="shared" si="20"/>
        <v xml:space="preserve"> </v>
      </c>
      <c r="O305" s="51"/>
      <c r="P305" s="415" t="s">
        <v>551</v>
      </c>
      <c r="Q305" s="415" t="s">
        <v>551</v>
      </c>
      <c r="R305" s="415" t="s">
        <v>551</v>
      </c>
      <c r="S305" s="32"/>
      <c r="T305" s="416"/>
      <c r="U305" s="416"/>
      <c r="V305" s="416"/>
      <c r="W305" s="416"/>
      <c r="X305" s="416"/>
      <c r="Y305" s="416"/>
      <c r="Z305" s="416"/>
      <c r="AA305" s="416"/>
      <c r="AB305" s="416"/>
      <c r="AC305" s="416">
        <f>H305</f>
        <v>3750.3604999999998</v>
      </c>
      <c r="AD305" s="416"/>
      <c r="AE305" s="416"/>
      <c r="AF305" s="416"/>
      <c r="AG305" s="416"/>
      <c r="AH305" s="416"/>
      <c r="AI305" s="416"/>
      <c r="AJ305" s="416"/>
      <c r="AK305" s="416"/>
      <c r="AL305" s="416"/>
      <c r="AM305" s="416"/>
      <c r="AN305" s="416"/>
      <c r="AO305" s="416"/>
      <c r="AP305" s="416"/>
      <c r="AQ305" s="416"/>
      <c r="AR305" s="416"/>
      <c r="AS305" s="416"/>
      <c r="AT305" s="416"/>
      <c r="AU305" s="416"/>
      <c r="AV305" s="416"/>
      <c r="AW305" s="416"/>
      <c r="AX305" s="416"/>
      <c r="AY305" s="416"/>
      <c r="AZ305" s="32"/>
    </row>
    <row r="306" spans="2:52">
      <c r="B306" s="1254"/>
      <c r="C306" s="1255"/>
      <c r="D306" s="411" t="s">
        <v>1096</v>
      </c>
      <c r="E306" s="411"/>
      <c r="F306" s="411" t="s">
        <v>339</v>
      </c>
      <c r="G306" s="411" t="s">
        <v>340</v>
      </c>
      <c r="H306" s="412">
        <v>7603.4170000000004</v>
      </c>
      <c r="I306" s="413" t="s">
        <v>494</v>
      </c>
      <c r="J306" s="414">
        <v>45001.416666666664</v>
      </c>
      <c r="K306" s="414"/>
      <c r="L306" s="414" t="s">
        <v>192</v>
      </c>
      <c r="M306" s="414" t="s">
        <v>192</v>
      </c>
      <c r="N306" s="413" t="str">
        <f t="shared" si="20"/>
        <v>DELAY ( 2 day 15 hour 10 minute )</v>
      </c>
      <c r="O306" s="51"/>
      <c r="P306" s="415" t="s">
        <v>551</v>
      </c>
      <c r="Q306" s="415" t="s">
        <v>551</v>
      </c>
      <c r="R306" s="415" t="s">
        <v>551</v>
      </c>
      <c r="S306" s="32"/>
      <c r="T306" s="416"/>
      <c r="U306" s="416"/>
      <c r="V306" s="416"/>
      <c r="W306" s="416"/>
      <c r="X306" s="416"/>
      <c r="Y306" s="416">
        <f>H306</f>
        <v>7603.4170000000004</v>
      </c>
      <c r="Z306" s="416"/>
      <c r="AA306" s="416"/>
      <c r="AB306" s="416"/>
      <c r="AC306" s="416"/>
      <c r="AD306" s="416"/>
      <c r="AE306" s="416"/>
      <c r="AF306" s="416"/>
      <c r="AG306" s="416"/>
      <c r="AH306" s="416"/>
      <c r="AI306" s="416"/>
      <c r="AJ306" s="416"/>
      <c r="AK306" s="416"/>
      <c r="AL306" s="416"/>
      <c r="AM306" s="416"/>
      <c r="AN306" s="416"/>
      <c r="AO306" s="416"/>
      <c r="AP306" s="416"/>
      <c r="AQ306" s="416"/>
      <c r="AR306" s="416"/>
      <c r="AS306" s="416"/>
      <c r="AT306" s="416"/>
      <c r="AU306" s="416"/>
      <c r="AV306" s="416"/>
      <c r="AW306" s="416"/>
      <c r="AX306" s="416"/>
      <c r="AY306" s="416"/>
      <c r="AZ306" s="32"/>
    </row>
    <row r="307" spans="2:52">
      <c r="B307" s="1256" t="s">
        <v>548</v>
      </c>
      <c r="C307" s="1257"/>
      <c r="D307" s="411" t="s">
        <v>1095</v>
      </c>
      <c r="E307" s="411"/>
      <c r="F307" s="411" t="s">
        <v>774</v>
      </c>
      <c r="G307" s="411" t="s">
        <v>423</v>
      </c>
      <c r="H307" s="412">
        <v>7584.7349999999997</v>
      </c>
      <c r="I307" s="413" t="s">
        <v>494</v>
      </c>
      <c r="J307" s="414">
        <v>45001.597222222219</v>
      </c>
      <c r="K307" s="414"/>
      <c r="L307" s="414" t="s">
        <v>192</v>
      </c>
      <c r="M307" s="414" t="s">
        <v>192</v>
      </c>
      <c r="N307" s="413" t="str">
        <f t="shared" si="20"/>
        <v>DELAY ( 2 day 19 hour 30 minute )</v>
      </c>
      <c r="O307" s="51"/>
      <c r="P307" s="415" t="s">
        <v>551</v>
      </c>
      <c r="Q307" s="415" t="s">
        <v>551</v>
      </c>
      <c r="R307" s="415" t="s">
        <v>551</v>
      </c>
      <c r="S307" s="32"/>
      <c r="T307" s="416"/>
      <c r="U307" s="416"/>
      <c r="V307" s="416"/>
      <c r="W307" s="416"/>
      <c r="X307" s="416"/>
      <c r="Y307" s="416">
        <f>H307</f>
        <v>7584.7349999999997</v>
      </c>
      <c r="Z307" s="416"/>
      <c r="AA307" s="416"/>
      <c r="AB307" s="416"/>
      <c r="AC307" s="416"/>
      <c r="AD307" s="416"/>
      <c r="AE307" s="416"/>
      <c r="AF307" s="416"/>
      <c r="AG307" s="416"/>
      <c r="AH307" s="416"/>
      <c r="AI307" s="416"/>
      <c r="AJ307" s="416"/>
      <c r="AK307" s="416"/>
      <c r="AL307" s="416"/>
      <c r="AM307" s="416"/>
      <c r="AN307" s="416"/>
      <c r="AO307" s="416"/>
      <c r="AP307" s="416"/>
      <c r="AQ307" s="416"/>
      <c r="AR307" s="416"/>
      <c r="AS307" s="416"/>
      <c r="AT307" s="416"/>
      <c r="AU307" s="416"/>
      <c r="AV307" s="416"/>
      <c r="AW307" s="416"/>
      <c r="AX307" s="416"/>
      <c r="AY307" s="416"/>
      <c r="AZ307" s="32"/>
    </row>
    <row r="308" spans="2:52">
      <c r="B308" s="1256" t="s">
        <v>548</v>
      </c>
      <c r="C308" s="1257"/>
      <c r="D308" s="411" t="s">
        <v>1092</v>
      </c>
      <c r="E308" s="411"/>
      <c r="F308" s="411" t="s">
        <v>399</v>
      </c>
      <c r="G308" s="411" t="s">
        <v>1093</v>
      </c>
      <c r="H308" s="412">
        <v>7560.2830000000004</v>
      </c>
      <c r="I308" s="413" t="s">
        <v>494</v>
      </c>
      <c r="J308" s="414">
        <v>45001.666666666664</v>
      </c>
      <c r="K308" s="414"/>
      <c r="L308" s="414" t="s">
        <v>192</v>
      </c>
      <c r="M308" s="414" t="s">
        <v>192</v>
      </c>
      <c r="N308" s="413" t="str">
        <f t="shared" si="20"/>
        <v>DELAY ( 2 day 21 hour 10 minute )</v>
      </c>
      <c r="O308" s="51"/>
      <c r="P308" s="415" t="s">
        <v>551</v>
      </c>
      <c r="Q308" s="415" t="s">
        <v>551</v>
      </c>
      <c r="R308" s="415" t="s">
        <v>551</v>
      </c>
      <c r="S308" s="32"/>
      <c r="T308" s="416"/>
      <c r="U308" s="416"/>
      <c r="V308" s="416"/>
      <c r="W308" s="416"/>
      <c r="X308" s="416"/>
      <c r="Y308" s="416">
        <f>H308</f>
        <v>7560.2830000000004</v>
      </c>
      <c r="Z308" s="416"/>
      <c r="AA308" s="416"/>
      <c r="AB308" s="416"/>
      <c r="AC308" s="416"/>
      <c r="AD308" s="416"/>
      <c r="AE308" s="416"/>
      <c r="AF308" s="416"/>
      <c r="AG308" s="416"/>
      <c r="AH308" s="416"/>
      <c r="AI308" s="416"/>
      <c r="AJ308" s="416"/>
      <c r="AK308" s="416"/>
      <c r="AL308" s="416"/>
      <c r="AM308" s="416"/>
      <c r="AN308" s="416"/>
      <c r="AO308" s="416"/>
      <c r="AP308" s="416"/>
      <c r="AQ308" s="416"/>
      <c r="AR308" s="416"/>
      <c r="AS308" s="416"/>
      <c r="AT308" s="416"/>
      <c r="AU308" s="416"/>
      <c r="AV308" s="416"/>
      <c r="AW308" s="416"/>
      <c r="AX308" s="416"/>
      <c r="AY308" s="416"/>
      <c r="AZ308" s="32"/>
    </row>
    <row r="309" spans="2:52">
      <c r="B309" s="1256" t="s">
        <v>548</v>
      </c>
      <c r="C309" s="1257"/>
      <c r="D309" s="411" t="s">
        <v>1100</v>
      </c>
      <c r="E309" s="411"/>
      <c r="F309" s="411" t="s">
        <v>252</v>
      </c>
      <c r="G309" s="411" t="s">
        <v>253</v>
      </c>
      <c r="H309" s="412">
        <v>7513.7870000000003</v>
      </c>
      <c r="I309" s="413" t="s">
        <v>494</v>
      </c>
      <c r="J309" s="414">
        <v>45001.729166666664</v>
      </c>
      <c r="K309" s="414"/>
      <c r="L309" s="414" t="s">
        <v>192</v>
      </c>
      <c r="M309" s="414" t="s">
        <v>192</v>
      </c>
      <c r="N309" s="413" t="str">
        <f t="shared" si="20"/>
        <v>DELAY ( 2 day 22 hour 40 minute )</v>
      </c>
      <c r="O309" s="51"/>
      <c r="P309" s="415" t="s">
        <v>551</v>
      </c>
      <c r="Q309" s="415" t="s">
        <v>551</v>
      </c>
      <c r="R309" s="415" t="s">
        <v>551</v>
      </c>
      <c r="S309" s="32"/>
      <c r="T309" s="416"/>
      <c r="U309" s="416"/>
      <c r="V309" s="416"/>
      <c r="W309" s="416"/>
      <c r="X309" s="416"/>
      <c r="Y309" s="416">
        <f>H309</f>
        <v>7513.7870000000003</v>
      </c>
      <c r="Z309" s="416"/>
      <c r="AA309" s="416"/>
      <c r="AB309" s="416"/>
      <c r="AC309" s="416"/>
      <c r="AD309" s="416"/>
      <c r="AE309" s="416"/>
      <c r="AF309" s="416"/>
      <c r="AG309" s="416"/>
      <c r="AH309" s="416"/>
      <c r="AI309" s="416"/>
      <c r="AJ309" s="416"/>
      <c r="AK309" s="416"/>
      <c r="AL309" s="416"/>
      <c r="AM309" s="416"/>
      <c r="AN309" s="416"/>
      <c r="AO309" s="416"/>
      <c r="AP309" s="416"/>
      <c r="AQ309" s="416"/>
      <c r="AR309" s="416"/>
      <c r="AS309" s="416"/>
      <c r="AT309" s="416"/>
      <c r="AU309" s="416"/>
      <c r="AV309" s="416"/>
      <c r="AW309" s="416"/>
      <c r="AX309" s="416"/>
      <c r="AY309" s="416"/>
      <c r="AZ309" s="32"/>
    </row>
    <row r="310" spans="2:52">
      <c r="B310" s="1256" t="s">
        <v>548</v>
      </c>
      <c r="C310" s="1257"/>
      <c r="D310" s="411" t="s">
        <v>1097</v>
      </c>
      <c r="E310" s="411"/>
      <c r="F310" s="411" t="s">
        <v>233</v>
      </c>
      <c r="G310" s="411" t="s">
        <v>234</v>
      </c>
      <c r="H310" s="412">
        <f>7507.855-3338.329</f>
        <v>4169.5259999999998</v>
      </c>
      <c r="I310" s="413" t="s">
        <v>494</v>
      </c>
      <c r="J310" s="414">
        <v>45001.916666666664</v>
      </c>
      <c r="K310" s="414"/>
      <c r="L310" s="414" t="s">
        <v>192</v>
      </c>
      <c r="M310" s="414" t="s">
        <v>192</v>
      </c>
      <c r="N310" s="413" t="str">
        <f t="shared" si="20"/>
        <v>DELAY ( 3 day 3 hour 10 minute )</v>
      </c>
      <c r="O310" s="51"/>
      <c r="P310" s="415" t="s">
        <v>551</v>
      </c>
      <c r="Q310" s="415" t="s">
        <v>551</v>
      </c>
      <c r="R310" s="415" t="s">
        <v>551</v>
      </c>
      <c r="S310" s="32"/>
      <c r="T310" s="416"/>
      <c r="U310" s="416"/>
      <c r="V310" s="416"/>
      <c r="W310" s="416"/>
      <c r="X310" s="416"/>
      <c r="Y310" s="416">
        <f>H310</f>
        <v>4169.5259999999998</v>
      </c>
      <c r="Z310" s="416"/>
      <c r="AA310" s="416"/>
      <c r="AB310" s="416"/>
      <c r="AC310" s="416"/>
      <c r="AD310" s="416"/>
      <c r="AE310" s="416"/>
      <c r="AF310" s="416"/>
      <c r="AG310" s="416"/>
      <c r="AH310" s="416"/>
      <c r="AI310" s="416"/>
      <c r="AJ310" s="416"/>
      <c r="AK310" s="416"/>
      <c r="AL310" s="416"/>
      <c r="AM310" s="416"/>
      <c r="AN310" s="416"/>
      <c r="AO310" s="416"/>
      <c r="AP310" s="416"/>
      <c r="AQ310" s="416"/>
      <c r="AR310" s="416"/>
      <c r="AS310" s="416"/>
      <c r="AT310" s="416"/>
      <c r="AU310" s="416"/>
      <c r="AV310" s="416"/>
      <c r="AW310" s="416"/>
      <c r="AX310" s="416"/>
      <c r="AY310" s="416"/>
      <c r="AZ310" s="32"/>
    </row>
    <row r="311" spans="2:52">
      <c r="B311" s="1258" t="s">
        <v>556</v>
      </c>
      <c r="C311" s="1259"/>
      <c r="D311" s="1259"/>
      <c r="E311" s="1259"/>
      <c r="F311" s="1259"/>
      <c r="G311" s="1260"/>
      <c r="H311" s="417">
        <f>SUM(H302:H310)</f>
        <v>53000</v>
      </c>
      <c r="I311" s="388"/>
      <c r="J311" s="293"/>
      <c r="K311" s="293"/>
      <c r="L311" s="293"/>
      <c r="M311" s="389"/>
      <c r="N311" s="413" t="str">
        <f t="shared" si="20"/>
        <v xml:space="preserve"> </v>
      </c>
      <c r="O311" s="212"/>
      <c r="P311" s="418"/>
      <c r="Q311" s="418"/>
      <c r="R311" s="418"/>
      <c r="S311" s="207"/>
      <c r="T311" s="1262"/>
      <c r="U311" s="1263"/>
      <c r="V311" s="1263"/>
      <c r="W311" s="1263"/>
      <c r="X311" s="1263"/>
      <c r="Y311" s="1263"/>
      <c r="Z311" s="1263"/>
      <c r="AA311" s="1263"/>
      <c r="AB311" s="1263"/>
      <c r="AC311" s="1263"/>
      <c r="AD311" s="1263"/>
      <c r="AE311" s="1263"/>
      <c r="AF311" s="1263"/>
      <c r="AG311" s="1263"/>
      <c r="AH311" s="1263"/>
      <c r="AI311" s="1263"/>
      <c r="AJ311" s="1263"/>
      <c r="AK311" s="1263"/>
      <c r="AL311" s="1263"/>
      <c r="AM311" s="1263"/>
      <c r="AN311" s="1263"/>
      <c r="AO311" s="1263"/>
      <c r="AP311" s="1263"/>
      <c r="AQ311" s="1263"/>
      <c r="AR311" s="1263"/>
      <c r="AS311" s="1263"/>
      <c r="AT311" s="1263"/>
      <c r="AU311" s="1263"/>
      <c r="AV311" s="1263"/>
      <c r="AW311" s="1263"/>
      <c r="AX311" s="1263"/>
      <c r="AY311" s="1264"/>
    </row>
    <row r="312" spans="2:52">
      <c r="B312" s="1243" t="s">
        <v>557</v>
      </c>
      <c r="C312" s="1244"/>
      <c r="D312" s="1244"/>
      <c r="E312" s="1244"/>
      <c r="F312" s="1244"/>
      <c r="G312" s="1245"/>
      <c r="H312" s="419">
        <v>53000</v>
      </c>
      <c r="I312" s="1273"/>
      <c r="J312" s="1274"/>
      <c r="K312" s="1274"/>
      <c r="L312" s="1274"/>
      <c r="M312" s="1275"/>
      <c r="N312" s="413" t="str">
        <f t="shared" si="20"/>
        <v xml:space="preserve"> </v>
      </c>
      <c r="O312" s="32"/>
      <c r="P312" s="415"/>
      <c r="Q312" s="415"/>
      <c r="R312" s="415"/>
      <c r="S312" s="63"/>
      <c r="T312" s="416">
        <f>SUM(T302:T310)</f>
        <v>0</v>
      </c>
      <c r="U312" s="416">
        <f t="shared" ref="U312:AY312" si="21">SUM(U302:U310)</f>
        <v>0</v>
      </c>
      <c r="V312" s="416">
        <f t="shared" si="21"/>
        <v>0</v>
      </c>
      <c r="W312" s="416">
        <f t="shared" si="21"/>
        <v>0</v>
      </c>
      <c r="X312" s="416">
        <f t="shared" si="21"/>
        <v>0</v>
      </c>
      <c r="Y312" s="416">
        <f t="shared" si="21"/>
        <v>45499.278999999995</v>
      </c>
      <c r="Z312" s="416">
        <f t="shared" si="21"/>
        <v>0</v>
      </c>
      <c r="AA312" s="416">
        <f t="shared" si="21"/>
        <v>0</v>
      </c>
      <c r="AB312" s="416">
        <f t="shared" si="21"/>
        <v>0</v>
      </c>
      <c r="AC312" s="416">
        <f t="shared" si="21"/>
        <v>7500.7209999999995</v>
      </c>
      <c r="AD312" s="416">
        <f t="shared" si="21"/>
        <v>0</v>
      </c>
      <c r="AE312" s="416">
        <f t="shared" si="21"/>
        <v>0</v>
      </c>
      <c r="AF312" s="416">
        <f t="shared" si="21"/>
        <v>0</v>
      </c>
      <c r="AG312" s="416">
        <f t="shared" si="21"/>
        <v>0</v>
      </c>
      <c r="AH312" s="416">
        <f t="shared" si="21"/>
        <v>0</v>
      </c>
      <c r="AI312" s="416">
        <f t="shared" si="21"/>
        <v>0</v>
      </c>
      <c r="AJ312" s="416">
        <f t="shared" si="21"/>
        <v>0</v>
      </c>
      <c r="AK312" s="416">
        <f t="shared" si="21"/>
        <v>0</v>
      </c>
      <c r="AL312" s="416">
        <f t="shared" si="21"/>
        <v>0</v>
      </c>
      <c r="AM312" s="416">
        <f t="shared" si="21"/>
        <v>0</v>
      </c>
      <c r="AN312" s="416">
        <f t="shared" si="21"/>
        <v>0</v>
      </c>
      <c r="AO312" s="416">
        <f t="shared" si="21"/>
        <v>0</v>
      </c>
      <c r="AP312" s="416">
        <f t="shared" si="21"/>
        <v>0</v>
      </c>
      <c r="AQ312" s="416">
        <f t="shared" si="21"/>
        <v>0</v>
      </c>
      <c r="AR312" s="416">
        <f t="shared" si="21"/>
        <v>0</v>
      </c>
      <c r="AS312" s="416">
        <f t="shared" si="21"/>
        <v>0</v>
      </c>
      <c r="AT312" s="416">
        <f t="shared" si="21"/>
        <v>0</v>
      </c>
      <c r="AU312" s="416">
        <f t="shared" si="21"/>
        <v>0</v>
      </c>
      <c r="AV312" s="416">
        <f t="shared" si="21"/>
        <v>0</v>
      </c>
      <c r="AW312" s="416">
        <f t="shared" si="21"/>
        <v>0</v>
      </c>
      <c r="AX312" s="416">
        <f t="shared" si="21"/>
        <v>0</v>
      </c>
      <c r="AY312" s="416">
        <f t="shared" si="21"/>
        <v>0</v>
      </c>
      <c r="AZ312" s="416">
        <f>SUM(T312:AY312)</f>
        <v>52999.999999999993</v>
      </c>
    </row>
    <row r="313" spans="2:52">
      <c r="B313" s="1243" t="s">
        <v>558</v>
      </c>
      <c r="C313" s="1244"/>
      <c r="D313" s="1244"/>
      <c r="E313" s="1244"/>
      <c r="F313" s="1244"/>
      <c r="G313" s="1245"/>
      <c r="H313" s="420">
        <f>H312-L296</f>
        <v>0</v>
      </c>
      <c r="I313" s="294"/>
      <c r="J313" s="295"/>
      <c r="K313" s="295"/>
      <c r="L313" s="296"/>
      <c r="M313" s="32"/>
      <c r="N313" s="32"/>
      <c r="O313" s="32"/>
      <c r="P313" s="32"/>
      <c r="Q313" s="297"/>
      <c r="R313" s="297"/>
      <c r="S313" s="32"/>
      <c r="T313" s="48"/>
      <c r="U313" s="48"/>
      <c r="V313" s="48"/>
      <c r="W313" s="48"/>
      <c r="X313" s="48"/>
      <c r="Y313" s="48"/>
      <c r="Z313" s="48"/>
      <c r="AA313" s="48"/>
      <c r="AB313" s="48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</row>
    <row r="314" spans="2:52">
      <c r="B314" s="1243" t="s">
        <v>559</v>
      </c>
      <c r="C314" s="1244"/>
      <c r="D314" s="1244"/>
      <c r="E314" s="1244"/>
      <c r="F314" s="1244"/>
      <c r="G314" s="1245"/>
      <c r="H314" s="420">
        <v>3328</v>
      </c>
      <c r="I314" s="276">
        <v>3795.4169999999999</v>
      </c>
      <c r="J314" s="53"/>
      <c r="K314" s="53"/>
      <c r="L314" s="54"/>
      <c r="M314" s="32"/>
      <c r="N314" s="201"/>
      <c r="O314" s="32"/>
      <c r="P314" s="32"/>
      <c r="Q314" s="32"/>
      <c r="R314" s="32"/>
      <c r="S314" s="32"/>
      <c r="T314" s="48"/>
      <c r="U314" s="48"/>
      <c r="V314" s="48"/>
      <c r="W314" s="48"/>
      <c r="X314" s="48"/>
      <c r="Y314" s="48"/>
      <c r="Z314" s="48"/>
      <c r="AA314" s="48"/>
      <c r="AB314" s="48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</row>
    <row r="315" spans="2:52">
      <c r="B315" s="1243" t="s">
        <v>560</v>
      </c>
      <c r="C315" s="1244"/>
      <c r="D315" s="1244"/>
      <c r="E315" s="1244"/>
      <c r="F315" s="1244"/>
      <c r="G315" s="1245"/>
      <c r="H315" s="421">
        <f>H314-3338.329</f>
        <v>-10.329000000000178</v>
      </c>
      <c r="I315" s="270">
        <f>I314-H314</f>
        <v>467.41699999999992</v>
      </c>
      <c r="J315" s="53"/>
      <c r="K315" s="53"/>
      <c r="L315" s="54"/>
      <c r="M315" s="32"/>
      <c r="N315" s="32"/>
      <c r="O315" s="32"/>
      <c r="P315" s="32"/>
      <c r="Q315" s="32"/>
      <c r="R315" s="32"/>
      <c r="S315" s="48"/>
      <c r="T315" s="48"/>
      <c r="U315" s="48"/>
      <c r="V315" s="48"/>
      <c r="W315" s="48"/>
      <c r="X315" s="48"/>
      <c r="Y315" s="48"/>
      <c r="Z315" s="48"/>
      <c r="AA315" s="48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</row>
    <row r="316" spans="2:52">
      <c r="B316" s="201"/>
      <c r="C316" s="201"/>
      <c r="D316" s="201"/>
      <c r="E316" s="201"/>
      <c r="F316" s="201"/>
      <c r="G316" s="201"/>
      <c r="H316" s="201"/>
      <c r="I316" s="213"/>
      <c r="J316" s="209"/>
      <c r="K316" s="209"/>
      <c r="L316" s="203"/>
      <c r="M316" s="201"/>
      <c r="N316" s="201"/>
      <c r="O316" s="209"/>
      <c r="P316" s="32"/>
      <c r="Q316" s="32"/>
      <c r="R316" s="32"/>
      <c r="S316" s="32"/>
      <c r="T316" s="48"/>
      <c r="U316" s="48"/>
      <c r="V316" s="48"/>
      <c r="W316" s="48"/>
      <c r="X316" s="48"/>
      <c r="Y316" s="48"/>
      <c r="Z316" s="48"/>
      <c r="AA316" s="48"/>
      <c r="AB316" s="48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</row>
    <row r="317" spans="2:52">
      <c r="B317" s="40" t="s">
        <v>561</v>
      </c>
      <c r="C317" s="40"/>
      <c r="D317" s="32"/>
      <c r="E317" s="32"/>
      <c r="F317" s="32"/>
      <c r="G317" s="32"/>
      <c r="H317" s="32"/>
      <c r="I317" s="32"/>
      <c r="J317" s="52"/>
      <c r="K317" s="52"/>
      <c r="L317" s="55"/>
      <c r="M317" s="32"/>
      <c r="N317" s="201"/>
      <c r="O317" s="5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  <c r="AA317" s="202"/>
      <c r="AB317" s="201"/>
      <c r="AC317" s="201"/>
      <c r="AD317" s="201"/>
      <c r="AE317" s="201"/>
      <c r="AF317" s="201"/>
      <c r="AG317" s="201"/>
      <c r="AH317" s="201"/>
      <c r="AI317" s="201"/>
      <c r="AJ317" s="201"/>
      <c r="AK317" s="201"/>
      <c r="AL317" s="201"/>
      <c r="AM317" s="201"/>
      <c r="AN317" s="201"/>
      <c r="AO317" s="201"/>
      <c r="AP317" s="201"/>
      <c r="AQ317" s="201"/>
      <c r="AR317" s="201"/>
      <c r="AS317" s="201"/>
      <c r="AT317" s="201"/>
      <c r="AU317" s="201"/>
      <c r="AZ317" s="201"/>
    </row>
    <row r="318" spans="2:52">
      <c r="B318" s="422">
        <v>1</v>
      </c>
      <c r="C318" s="1249" t="s">
        <v>1151</v>
      </c>
      <c r="D318" s="1249"/>
      <c r="E318" s="1249"/>
      <c r="F318" s="1249"/>
      <c r="G318" s="1249"/>
      <c r="H318" s="1249"/>
      <c r="I318" s="1249"/>
      <c r="J318" s="1249"/>
      <c r="K318" s="1249"/>
      <c r="L318" s="203"/>
      <c r="M318" s="201"/>
      <c r="N318" s="201"/>
      <c r="O318" s="209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  <c r="AA318" s="202"/>
      <c r="AB318" s="201"/>
      <c r="AC318" s="201"/>
      <c r="AD318" s="201"/>
      <c r="AE318" s="201"/>
      <c r="AF318" s="201"/>
      <c r="AG318" s="201"/>
      <c r="AH318" s="201"/>
      <c r="AI318" s="201"/>
      <c r="AJ318" s="201"/>
      <c r="AK318" s="201"/>
      <c r="AL318" s="201"/>
      <c r="AM318" s="201"/>
      <c r="AN318" s="201"/>
      <c r="AO318" s="201"/>
      <c r="AP318" s="201"/>
      <c r="AQ318" s="201"/>
      <c r="AR318" s="201"/>
      <c r="AS318" s="201"/>
      <c r="AT318" s="201"/>
      <c r="AU318" s="201"/>
      <c r="AV318" s="201"/>
      <c r="AW318" s="201"/>
      <c r="AX318" s="201"/>
      <c r="AY318" s="201"/>
      <c r="AZ318" s="201"/>
    </row>
    <row r="320" spans="2:52">
      <c r="B320" s="28" t="s">
        <v>126</v>
      </c>
      <c r="C320" s="28"/>
      <c r="D320" s="29"/>
      <c r="E320" s="30" t="s">
        <v>511</v>
      </c>
      <c r="F320" s="31" t="s">
        <v>965</v>
      </c>
      <c r="G320" s="32"/>
      <c r="H320" s="33"/>
      <c r="I320" s="34"/>
      <c r="J320" s="35" t="s">
        <v>513</v>
      </c>
      <c r="K320" s="36" t="s">
        <v>511</v>
      </c>
      <c r="L320" s="37">
        <v>45005.1875</v>
      </c>
      <c r="M320" s="32"/>
      <c r="N320" s="32"/>
      <c r="O320" s="206"/>
      <c r="P320" s="205"/>
      <c r="Q320" s="202"/>
      <c r="R320" s="204"/>
      <c r="S320" s="38"/>
      <c r="T320" s="201"/>
      <c r="U320" s="201"/>
      <c r="V320" s="201"/>
      <c r="W320" s="201"/>
      <c r="X320" s="201"/>
      <c r="Y320" s="201"/>
      <c r="Z320" s="201"/>
      <c r="AA320" s="201"/>
      <c r="AB320" s="202"/>
      <c r="AC320" s="202"/>
      <c r="AD320" s="202"/>
      <c r="AE320" s="202"/>
      <c r="AF320" s="202"/>
      <c r="AG320" s="201"/>
      <c r="AH320" s="201"/>
      <c r="AI320" s="201"/>
      <c r="AJ320" s="201"/>
      <c r="AK320" s="201"/>
      <c r="AL320" s="201"/>
      <c r="AM320" s="201"/>
      <c r="AN320" s="201"/>
      <c r="AO320" s="201"/>
      <c r="AP320" s="201"/>
      <c r="AQ320" s="201"/>
      <c r="AR320" s="201"/>
      <c r="AS320" s="201"/>
      <c r="AT320" s="201"/>
      <c r="AU320" s="201"/>
      <c r="AV320" s="201"/>
      <c r="AW320" s="201"/>
      <c r="AX320" s="201"/>
      <c r="AY320" s="201"/>
      <c r="AZ320" s="201"/>
    </row>
    <row r="321" spans="2:52">
      <c r="B321" s="35" t="s">
        <v>514</v>
      </c>
      <c r="C321" s="35"/>
      <c r="D321" s="32"/>
      <c r="E321" s="36" t="s">
        <v>511</v>
      </c>
      <c r="F321" s="37" t="s">
        <v>1155</v>
      </c>
      <c r="G321" s="32"/>
      <c r="H321" s="33"/>
      <c r="I321" s="34"/>
      <c r="J321" s="35" t="s">
        <v>516</v>
      </c>
      <c r="K321" s="36" t="s">
        <v>511</v>
      </c>
      <c r="L321" s="37">
        <v>45007.447916666664</v>
      </c>
      <c r="M321" s="32"/>
      <c r="N321" s="32"/>
      <c r="O321" s="206"/>
      <c r="P321" s="205"/>
      <c r="Q321" s="202"/>
      <c r="R321" s="204"/>
      <c r="S321" s="38"/>
      <c r="T321" s="201"/>
      <c r="U321" s="201"/>
      <c r="V321" s="201"/>
      <c r="W321" s="201"/>
      <c r="X321" s="201"/>
      <c r="Y321" s="201"/>
      <c r="Z321" s="201"/>
      <c r="AA321" s="201"/>
      <c r="AB321" s="202"/>
      <c r="AC321" s="202"/>
      <c r="AD321" s="202"/>
      <c r="AE321" s="202"/>
      <c r="AF321" s="202"/>
      <c r="AG321" s="201"/>
      <c r="AH321" s="201"/>
      <c r="AI321" s="201"/>
      <c r="AJ321" s="201"/>
      <c r="AK321" s="201"/>
      <c r="AL321" s="201"/>
      <c r="AM321" s="201"/>
      <c r="AN321" s="201"/>
      <c r="AO321" s="201"/>
      <c r="AP321" s="201"/>
      <c r="AQ321" s="201"/>
      <c r="AR321" s="201"/>
      <c r="AS321" s="201"/>
      <c r="AT321" s="201"/>
      <c r="AU321" s="201"/>
      <c r="AV321" s="201"/>
      <c r="AW321" s="201"/>
      <c r="AX321" s="201"/>
      <c r="AY321" s="201"/>
      <c r="AZ321" s="201"/>
    </row>
    <row r="322" spans="2:52">
      <c r="B322" s="35" t="s">
        <v>517</v>
      </c>
      <c r="C322" s="35"/>
      <c r="D322" s="32"/>
      <c r="E322" s="36" t="s">
        <v>511</v>
      </c>
      <c r="F322" s="37">
        <v>44998.604166666664</v>
      </c>
      <c r="G322" s="32"/>
      <c r="H322" s="33"/>
      <c r="I322" s="34"/>
      <c r="J322" s="35" t="s">
        <v>518</v>
      </c>
      <c r="K322" s="36" t="s">
        <v>511</v>
      </c>
      <c r="L322" s="50">
        <v>53350</v>
      </c>
      <c r="M322" s="40" t="s">
        <v>519</v>
      </c>
      <c r="N322" s="40"/>
      <c r="O322" s="206"/>
      <c r="P322" s="205"/>
      <c r="Q322" s="202"/>
      <c r="R322" s="204"/>
      <c r="S322" s="38"/>
      <c r="T322" s="201"/>
      <c r="U322" s="201"/>
      <c r="V322" s="201"/>
      <c r="W322" s="201"/>
      <c r="X322" s="201"/>
      <c r="Y322" s="201"/>
      <c r="Z322" s="201"/>
      <c r="AA322" s="201"/>
      <c r="AB322" s="202"/>
      <c r="AC322" s="202"/>
      <c r="AD322" s="202"/>
      <c r="AE322" s="202"/>
      <c r="AF322" s="202"/>
      <c r="AG322" s="201"/>
      <c r="AH322" s="201"/>
      <c r="AI322" s="201"/>
      <c r="AJ322" s="201"/>
      <c r="AK322" s="201"/>
      <c r="AL322" s="201"/>
      <c r="AM322" s="201"/>
      <c r="AN322" s="201"/>
      <c r="AO322" s="201"/>
      <c r="AP322" s="201"/>
      <c r="AQ322" s="201"/>
      <c r="AR322" s="201"/>
      <c r="AS322" s="201"/>
      <c r="AT322" s="201"/>
      <c r="AU322" s="201"/>
      <c r="AV322" s="201"/>
      <c r="AW322" s="201"/>
      <c r="AX322" s="201"/>
      <c r="AY322" s="201"/>
      <c r="AZ322" s="201"/>
    </row>
    <row r="323" spans="2:52">
      <c r="B323" s="35" t="s">
        <v>520</v>
      </c>
      <c r="C323" s="35"/>
      <c r="D323" s="32"/>
      <c r="E323" s="36" t="s">
        <v>511</v>
      </c>
      <c r="F323" s="37" t="s">
        <v>12</v>
      </c>
      <c r="G323" s="32"/>
      <c r="H323" s="33"/>
      <c r="I323" s="34"/>
      <c r="J323" s="35" t="s">
        <v>521</v>
      </c>
      <c r="K323" s="36" t="s">
        <v>511</v>
      </c>
      <c r="L323" s="41" t="s">
        <v>1156</v>
      </c>
      <c r="M323" s="32"/>
      <c r="N323" s="32"/>
      <c r="O323" s="206"/>
      <c r="P323" s="202"/>
      <c r="Q323" s="202"/>
      <c r="R323" s="204"/>
      <c r="S323" s="38"/>
      <c r="T323" s="201"/>
      <c r="U323" s="201"/>
      <c r="V323" s="201"/>
      <c r="W323" s="201"/>
      <c r="X323" s="201"/>
      <c r="Y323" s="201"/>
      <c r="Z323" s="201"/>
      <c r="AA323" s="201"/>
      <c r="AB323" s="202"/>
      <c r="AC323" s="202"/>
      <c r="AD323" s="202"/>
      <c r="AE323" s="202"/>
      <c r="AF323" s="202"/>
      <c r="AG323" s="201"/>
      <c r="AH323" s="201"/>
      <c r="AI323" s="201"/>
      <c r="AJ323" s="201"/>
      <c r="AK323" s="201"/>
      <c r="AL323" s="201"/>
      <c r="AM323" s="201"/>
      <c r="AN323" s="201"/>
      <c r="AO323" s="201"/>
      <c r="AP323" s="201"/>
      <c r="AQ323" s="201"/>
      <c r="AR323" s="201"/>
      <c r="AS323" s="201"/>
      <c r="AT323" s="201"/>
      <c r="AU323" s="201"/>
      <c r="AV323" s="201"/>
      <c r="AW323" s="201"/>
      <c r="AX323" s="201"/>
      <c r="AY323" s="201"/>
      <c r="AZ323" s="201"/>
    </row>
    <row r="324" spans="2:52">
      <c r="B324" s="35" t="s">
        <v>523</v>
      </c>
      <c r="C324" s="35"/>
      <c r="D324" s="32"/>
      <c r="E324" s="36" t="s">
        <v>511</v>
      </c>
      <c r="F324" s="37" t="s">
        <v>37</v>
      </c>
      <c r="G324" s="32"/>
      <c r="H324" s="33"/>
      <c r="I324" s="34"/>
      <c r="J324" s="42" t="s">
        <v>524</v>
      </c>
      <c r="K324" s="36" t="s">
        <v>511</v>
      </c>
      <c r="L324" s="43" t="s">
        <v>15</v>
      </c>
      <c r="M324" s="44"/>
      <c r="N324" s="44"/>
      <c r="O324" s="206"/>
      <c r="P324" s="205"/>
      <c r="Q324" s="202"/>
      <c r="R324" s="204"/>
      <c r="S324" s="38"/>
      <c r="T324" s="201"/>
      <c r="U324" s="201"/>
      <c r="V324" s="201"/>
      <c r="W324" s="201"/>
      <c r="X324" s="201"/>
      <c r="Y324" s="201"/>
      <c r="Z324" s="201"/>
      <c r="AA324" s="201"/>
      <c r="AB324" s="202"/>
      <c r="AC324" s="202"/>
      <c r="AD324" s="202"/>
      <c r="AE324" s="202"/>
      <c r="AF324" s="202"/>
      <c r="AG324" s="201"/>
      <c r="AH324" s="201"/>
      <c r="AI324" s="201"/>
      <c r="AJ324" s="201"/>
      <c r="AK324" s="201"/>
      <c r="AL324" s="201"/>
      <c r="AM324" s="201"/>
      <c r="AN324" s="201"/>
      <c r="AO324" s="201"/>
      <c r="AP324" s="201"/>
      <c r="AQ324" s="201"/>
      <c r="AR324" s="201"/>
      <c r="AS324" s="201"/>
      <c r="AT324" s="201"/>
      <c r="AU324" s="201"/>
      <c r="AV324" s="201"/>
      <c r="AW324" s="201"/>
      <c r="AX324" s="201"/>
      <c r="AY324" s="201"/>
      <c r="AZ324" s="201"/>
    </row>
    <row r="325" spans="2:52">
      <c r="B325" s="35" t="s">
        <v>2</v>
      </c>
      <c r="C325" s="35"/>
      <c r="D325" s="32"/>
      <c r="E325" s="36" t="s">
        <v>511</v>
      </c>
      <c r="F325" s="37" t="s">
        <v>31</v>
      </c>
      <c r="G325" s="32"/>
      <c r="H325" s="33"/>
      <c r="I325" s="45"/>
      <c r="J325" s="42"/>
      <c r="K325" s="36"/>
      <c r="L325" s="211"/>
      <c r="M325" s="201"/>
      <c r="N325" s="201"/>
      <c r="O325" s="42"/>
      <c r="P325" s="44"/>
      <c r="Q325" s="44"/>
      <c r="R325" s="44"/>
      <c r="S325" s="34"/>
      <c r="T325" s="201"/>
      <c r="U325" s="201"/>
      <c r="V325" s="201"/>
      <c r="W325" s="201"/>
      <c r="X325" s="201"/>
      <c r="Y325" s="201"/>
      <c r="Z325" s="201"/>
      <c r="AA325" s="201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201"/>
      <c r="AP325" s="201"/>
      <c r="AQ325" s="201"/>
      <c r="AR325" s="201"/>
      <c r="AS325" s="201"/>
      <c r="AT325" s="201"/>
      <c r="AU325" s="201"/>
      <c r="AV325" s="201"/>
      <c r="AW325" s="201"/>
      <c r="AX325" s="201"/>
      <c r="AY325" s="201"/>
      <c r="AZ325" s="201"/>
    </row>
    <row r="326" spans="2:52">
      <c r="B326" s="201"/>
      <c r="C326" s="201"/>
      <c r="D326" s="201"/>
      <c r="E326" s="201"/>
      <c r="F326" s="201"/>
      <c r="G326" s="201"/>
      <c r="H326" s="201"/>
      <c r="I326" s="45"/>
      <c r="J326" s="42"/>
      <c r="K326" s="42"/>
      <c r="L326" s="43"/>
      <c r="M326" s="44"/>
      <c r="N326" s="44"/>
      <c r="O326" s="42"/>
      <c r="P326" s="44"/>
      <c r="Q326" s="44"/>
      <c r="R326" s="44"/>
      <c r="S326" s="34"/>
      <c r="T326" s="1265" t="s">
        <v>87</v>
      </c>
      <c r="U326" s="1265"/>
      <c r="V326" s="1265"/>
      <c r="W326" s="1265"/>
      <c r="X326" s="1265"/>
      <c r="Y326" s="1265" t="s">
        <v>73</v>
      </c>
      <c r="Z326" s="1265"/>
      <c r="AA326" s="1265"/>
      <c r="AB326" s="1265" t="s">
        <v>74</v>
      </c>
      <c r="AC326" s="1265"/>
      <c r="AD326" s="423" t="s">
        <v>85</v>
      </c>
      <c r="AE326" s="423" t="s">
        <v>77</v>
      </c>
      <c r="AF326" s="1265" t="s">
        <v>525</v>
      </c>
      <c r="AG326" s="1265"/>
      <c r="AH326" s="1265"/>
      <c r="AI326" s="1265"/>
      <c r="AJ326" s="1265"/>
      <c r="AK326" s="1265"/>
      <c r="AL326" s="1265"/>
      <c r="AM326" s="1265"/>
      <c r="AN326" s="1265"/>
      <c r="AO326" s="1265"/>
      <c r="AP326" s="1265"/>
      <c r="AQ326" s="1265"/>
      <c r="AR326" s="1265"/>
      <c r="AS326" s="1265"/>
      <c r="AT326" s="1265"/>
      <c r="AU326" s="1265"/>
      <c r="AV326" s="1265"/>
      <c r="AW326" s="1265"/>
      <c r="AX326" s="1265"/>
      <c r="AY326" s="1265"/>
      <c r="AZ326" s="201"/>
    </row>
    <row r="327" spans="2:52">
      <c r="B327" s="1266" t="s">
        <v>526</v>
      </c>
      <c r="C327" s="1267"/>
      <c r="D327" s="570" t="s">
        <v>527</v>
      </c>
      <c r="E327" s="570"/>
      <c r="F327" s="570" t="s">
        <v>528</v>
      </c>
      <c r="G327" s="570" t="s">
        <v>529</v>
      </c>
      <c r="H327" s="570" t="s">
        <v>530</v>
      </c>
      <c r="I327" s="570" t="s">
        <v>531</v>
      </c>
      <c r="J327" s="570" t="s">
        <v>532</v>
      </c>
      <c r="K327" s="570"/>
      <c r="L327" s="570" t="s">
        <v>130</v>
      </c>
      <c r="M327" s="570" t="s">
        <v>533</v>
      </c>
      <c r="N327" s="408" t="str">
        <f>"On time - "&amp;COUNTIF(N328:N336,"On time")&amp;" from "&amp;ROWS(N328:N336)-COUNTIF(N328:N336," ")</f>
        <v>On time - 0 from 7</v>
      </c>
      <c r="O327" s="46"/>
      <c r="P327" s="409" t="s">
        <v>534</v>
      </c>
      <c r="Q327" s="409" t="s">
        <v>535</v>
      </c>
      <c r="R327" s="409" t="s">
        <v>536</v>
      </c>
      <c r="S327" s="32"/>
      <c r="T327" s="424" t="s">
        <v>537</v>
      </c>
      <c r="U327" s="424" t="s">
        <v>538</v>
      </c>
      <c r="V327" s="424" t="s">
        <v>539</v>
      </c>
      <c r="W327" s="424" t="s">
        <v>540</v>
      </c>
      <c r="X327" s="424" t="s">
        <v>541</v>
      </c>
      <c r="Y327" s="424" t="s">
        <v>167</v>
      </c>
      <c r="Z327" s="424" t="s">
        <v>168</v>
      </c>
      <c r="AA327" s="424" t="s">
        <v>169</v>
      </c>
      <c r="AB327" s="424" t="s">
        <v>235</v>
      </c>
      <c r="AC327" s="424" t="s">
        <v>240</v>
      </c>
      <c r="AD327" s="423" t="s">
        <v>85</v>
      </c>
      <c r="AE327" s="424" t="s">
        <v>139</v>
      </c>
      <c r="AF327" s="424" t="s">
        <v>72</v>
      </c>
      <c r="AG327" s="424" t="s">
        <v>88</v>
      </c>
      <c r="AH327" s="424" t="s">
        <v>75</v>
      </c>
      <c r="AI327" s="424" t="s">
        <v>543</v>
      </c>
      <c r="AJ327" s="424" t="s">
        <v>78</v>
      </c>
      <c r="AK327" s="424" t="s">
        <v>76</v>
      </c>
      <c r="AL327" s="424" t="s">
        <v>544</v>
      </c>
      <c r="AM327" s="424" t="s">
        <v>545</v>
      </c>
      <c r="AN327" s="424" t="s">
        <v>86</v>
      </c>
      <c r="AO327" s="424" t="s">
        <v>83</v>
      </c>
      <c r="AP327" s="424" t="s">
        <v>84</v>
      </c>
      <c r="AQ327" s="424" t="s">
        <v>546</v>
      </c>
      <c r="AR327" s="424" t="s">
        <v>81</v>
      </c>
      <c r="AS327" s="424" t="s">
        <v>80</v>
      </c>
      <c r="AT327" s="424" t="s">
        <v>82</v>
      </c>
      <c r="AU327" s="424" t="s">
        <v>181</v>
      </c>
      <c r="AV327" s="424" t="s">
        <v>183</v>
      </c>
      <c r="AW327" s="424" t="s">
        <v>547</v>
      </c>
      <c r="AX327" s="424" t="s">
        <v>182</v>
      </c>
      <c r="AY327" s="424" t="s">
        <v>172</v>
      </c>
      <c r="AZ327" s="201"/>
    </row>
    <row r="328" spans="2:52">
      <c r="B328" s="1250" t="s">
        <v>1157</v>
      </c>
      <c r="C328" s="1251"/>
      <c r="D328" s="411" t="s">
        <v>964</v>
      </c>
      <c r="E328" s="411"/>
      <c r="F328" s="411" t="s">
        <v>310</v>
      </c>
      <c r="G328" s="411" t="s">
        <v>311</v>
      </c>
      <c r="H328" s="412">
        <v>2935</v>
      </c>
      <c r="I328" s="413" t="s">
        <v>240</v>
      </c>
      <c r="J328" s="414">
        <v>45004.409722222219</v>
      </c>
      <c r="K328" s="414"/>
      <c r="L328" s="414" t="s">
        <v>192</v>
      </c>
      <c r="M328" s="414" t="s">
        <v>192</v>
      </c>
      <c r="N328" s="413" t="str">
        <f t="shared" ref="N328:N335" si="22">IF(ISBLANK(J328)," ",IF(J328&lt;$F$322,"On time",(IF(DAY(J328-$F$322)&lt;1,"On time",(IF(J328&gt;$F$322,"DELAY ( "&amp;DAY(J328-$F$322)&amp;" day "&amp;HOUR(J328-$F$322)&amp;" hour "&amp;MINUTE(J328-$F$322)&amp;" minute )","xxx"))))))</f>
        <v>DELAY ( 5 day 19 hour 20 minute )</v>
      </c>
      <c r="O328" s="51"/>
      <c r="P328" s="415" t="s">
        <v>551</v>
      </c>
      <c r="Q328" s="415" t="s">
        <v>551</v>
      </c>
      <c r="R328" s="415" t="s">
        <v>551</v>
      </c>
      <c r="S328" s="32"/>
      <c r="T328" s="416"/>
      <c r="U328" s="416"/>
      <c r="V328" s="416"/>
      <c r="W328" s="416"/>
      <c r="X328" s="416"/>
      <c r="Y328" s="416"/>
      <c r="Z328" s="416"/>
      <c r="AA328" s="416"/>
      <c r="AB328" s="416"/>
      <c r="AC328" s="416">
        <f>H328</f>
        <v>2935</v>
      </c>
      <c r="AD328" s="416"/>
      <c r="AE328" s="416"/>
      <c r="AF328" s="416"/>
      <c r="AG328" s="416"/>
      <c r="AH328" s="416"/>
      <c r="AI328" s="416"/>
      <c r="AJ328" s="416"/>
      <c r="AK328" s="416"/>
      <c r="AL328" s="416"/>
      <c r="AM328" s="416"/>
      <c r="AN328" s="416"/>
      <c r="AO328" s="416"/>
      <c r="AP328" s="416"/>
      <c r="AQ328" s="416"/>
      <c r="AR328" s="416"/>
      <c r="AS328" s="416"/>
      <c r="AT328" s="416"/>
      <c r="AU328" s="416"/>
      <c r="AV328" s="416"/>
      <c r="AW328" s="416"/>
      <c r="AX328" s="416"/>
      <c r="AY328" s="416"/>
      <c r="AZ328" s="32"/>
    </row>
    <row r="329" spans="2:52">
      <c r="B329" s="1254"/>
      <c r="C329" s="1255"/>
      <c r="D329" s="411" t="s">
        <v>1061</v>
      </c>
      <c r="E329" s="425"/>
      <c r="F329" s="411" t="s">
        <v>364</v>
      </c>
      <c r="G329" s="411" t="s">
        <v>365</v>
      </c>
      <c r="H329" s="412">
        <f>7548.748/2</f>
        <v>3774.3739999999998</v>
      </c>
      <c r="I329" s="413" t="s">
        <v>172</v>
      </c>
      <c r="J329" s="1268">
        <v>45005.041666666664</v>
      </c>
      <c r="K329" s="414"/>
      <c r="L329" s="414" t="s">
        <v>192</v>
      </c>
      <c r="M329" s="414" t="s">
        <v>192</v>
      </c>
      <c r="N329" s="413" t="str">
        <f t="shared" si="22"/>
        <v>DELAY ( 6 day 10 hour 30 minute )</v>
      </c>
      <c r="O329" s="51"/>
      <c r="P329" s="415" t="s">
        <v>551</v>
      </c>
      <c r="Q329" s="415" t="s">
        <v>551</v>
      </c>
      <c r="R329" s="415" t="s">
        <v>551</v>
      </c>
      <c r="S329" s="32"/>
      <c r="T329" s="416"/>
      <c r="U329" s="416"/>
      <c r="V329" s="416"/>
      <c r="W329" s="416"/>
      <c r="X329" s="416"/>
      <c r="Y329" s="416"/>
      <c r="Z329" s="416"/>
      <c r="AA329" s="416"/>
      <c r="AB329" s="416"/>
      <c r="AC329" s="416"/>
      <c r="AD329" s="416"/>
      <c r="AE329" s="416"/>
      <c r="AF329" s="416"/>
      <c r="AG329" s="416"/>
      <c r="AH329" s="416"/>
      <c r="AI329" s="416"/>
      <c r="AJ329" s="416"/>
      <c r="AK329" s="416"/>
      <c r="AL329" s="416"/>
      <c r="AM329" s="416"/>
      <c r="AN329" s="416"/>
      <c r="AO329" s="416"/>
      <c r="AP329" s="416"/>
      <c r="AQ329" s="416"/>
      <c r="AR329" s="416"/>
      <c r="AS329" s="416"/>
      <c r="AT329" s="416"/>
      <c r="AU329" s="416"/>
      <c r="AV329" s="416"/>
      <c r="AW329" s="416"/>
      <c r="AX329" s="416"/>
      <c r="AY329" s="416">
        <f>H329</f>
        <v>3774.3739999999998</v>
      </c>
      <c r="AZ329" s="32"/>
    </row>
    <row r="330" spans="2:52">
      <c r="B330" s="1250" t="s">
        <v>656</v>
      </c>
      <c r="C330" s="1251"/>
      <c r="D330" s="411" t="s">
        <v>1061</v>
      </c>
      <c r="E330" s="425"/>
      <c r="F330" s="411" t="s">
        <v>364</v>
      </c>
      <c r="G330" s="411" t="s">
        <v>365</v>
      </c>
      <c r="H330" s="412">
        <f>H329</f>
        <v>3774.3739999999998</v>
      </c>
      <c r="I330" s="413" t="s">
        <v>172</v>
      </c>
      <c r="J330" s="1269"/>
      <c r="K330" s="414"/>
      <c r="L330" s="414" t="s">
        <v>192</v>
      </c>
      <c r="M330" s="414" t="s">
        <v>192</v>
      </c>
      <c r="N330" s="413" t="str">
        <f t="shared" si="22"/>
        <v xml:space="preserve"> </v>
      </c>
      <c r="O330" s="51"/>
      <c r="P330" s="415" t="s">
        <v>551</v>
      </c>
      <c r="Q330" s="415" t="s">
        <v>551</v>
      </c>
      <c r="R330" s="415" t="s">
        <v>551</v>
      </c>
      <c r="S330" s="32"/>
      <c r="T330" s="416"/>
      <c r="U330" s="416"/>
      <c r="V330" s="416"/>
      <c r="W330" s="416"/>
      <c r="X330" s="416"/>
      <c r="Y330" s="416"/>
      <c r="Z330" s="416"/>
      <c r="AA330" s="416"/>
      <c r="AB330" s="416"/>
      <c r="AC330" s="416"/>
      <c r="AD330" s="416"/>
      <c r="AE330" s="416"/>
      <c r="AF330" s="416"/>
      <c r="AG330" s="416"/>
      <c r="AH330" s="416"/>
      <c r="AI330" s="416"/>
      <c r="AJ330" s="416"/>
      <c r="AK330" s="416"/>
      <c r="AL330" s="416"/>
      <c r="AM330" s="416"/>
      <c r="AN330" s="416"/>
      <c r="AO330" s="416"/>
      <c r="AP330" s="416"/>
      <c r="AQ330" s="416"/>
      <c r="AR330" s="416"/>
      <c r="AS330" s="416"/>
      <c r="AT330" s="416"/>
      <c r="AU330" s="416"/>
      <c r="AV330" s="416"/>
      <c r="AW330" s="416"/>
      <c r="AX330" s="416"/>
      <c r="AY330" s="416">
        <f>H330</f>
        <v>3774.3739999999998</v>
      </c>
      <c r="AZ330" s="32"/>
    </row>
    <row r="331" spans="2:52">
      <c r="B331" s="1254"/>
      <c r="C331" s="1255"/>
      <c r="D331" s="411" t="s">
        <v>973</v>
      </c>
      <c r="E331" s="411"/>
      <c r="F331" s="411" t="s">
        <v>361</v>
      </c>
      <c r="G331" s="411" t="s">
        <v>362</v>
      </c>
      <c r="H331" s="412">
        <v>7466.5990000000002</v>
      </c>
      <c r="I331" s="413" t="s">
        <v>581</v>
      </c>
      <c r="J331" s="414">
        <v>45004.958333333336</v>
      </c>
      <c r="K331" s="414"/>
      <c r="L331" s="414" t="s">
        <v>192</v>
      </c>
      <c r="M331" s="414" t="s">
        <v>192</v>
      </c>
      <c r="N331" s="413" t="str">
        <f t="shared" si="22"/>
        <v>DELAY ( 6 day 8 hour 30 minute )</v>
      </c>
      <c r="O331" s="51"/>
      <c r="P331" s="415" t="s">
        <v>551</v>
      </c>
      <c r="Q331" s="415" t="s">
        <v>551</v>
      </c>
      <c r="R331" s="415" t="s">
        <v>551</v>
      </c>
      <c r="S331" s="32"/>
      <c r="T331" s="416"/>
      <c r="U331" s="416"/>
      <c r="V331" s="416"/>
      <c r="W331" s="416"/>
      <c r="X331" s="416"/>
      <c r="Y331" s="416"/>
      <c r="Z331" s="416"/>
      <c r="AA331" s="416"/>
      <c r="AB331" s="416">
        <f>H331*0.75</f>
        <v>5599.9492499999997</v>
      </c>
      <c r="AC331" s="416">
        <f>H331*0.25</f>
        <v>1866.64975</v>
      </c>
      <c r="AD331" s="416"/>
      <c r="AE331" s="416"/>
      <c r="AF331" s="416"/>
      <c r="AG331" s="416"/>
      <c r="AH331" s="416"/>
      <c r="AI331" s="416"/>
      <c r="AJ331" s="416"/>
      <c r="AK331" s="416"/>
      <c r="AL331" s="416"/>
      <c r="AM331" s="416"/>
      <c r="AN331" s="416"/>
      <c r="AO331" s="416"/>
      <c r="AP331" s="416"/>
      <c r="AQ331" s="416"/>
      <c r="AR331" s="416"/>
      <c r="AS331" s="416"/>
      <c r="AT331" s="416"/>
      <c r="AU331" s="416"/>
      <c r="AV331" s="416"/>
      <c r="AW331" s="416"/>
      <c r="AX331" s="416"/>
      <c r="AY331" s="416"/>
      <c r="AZ331" s="32"/>
    </row>
    <row r="332" spans="2:52">
      <c r="B332" s="1256" t="s">
        <v>548</v>
      </c>
      <c r="C332" s="1257"/>
      <c r="D332" s="411" t="s">
        <v>976</v>
      </c>
      <c r="E332" s="411"/>
      <c r="F332" s="411" t="s">
        <v>489</v>
      </c>
      <c r="G332" s="411" t="s">
        <v>483</v>
      </c>
      <c r="H332" s="412">
        <v>7448.5619999999999</v>
      </c>
      <c r="I332" s="413" t="s">
        <v>581</v>
      </c>
      <c r="J332" s="414">
        <v>45005.698611111111</v>
      </c>
      <c r="K332" s="414"/>
      <c r="L332" s="414" t="s">
        <v>192</v>
      </c>
      <c r="M332" s="414" t="s">
        <v>192</v>
      </c>
      <c r="N332" s="413" t="str">
        <f t="shared" si="22"/>
        <v>DELAY ( 7 day 2 hour 16 minute )</v>
      </c>
      <c r="O332" s="51"/>
      <c r="P332" s="415" t="s">
        <v>551</v>
      </c>
      <c r="Q332" s="415" t="s">
        <v>551</v>
      </c>
      <c r="R332" s="415" t="s">
        <v>551</v>
      </c>
      <c r="S332" s="32"/>
      <c r="T332" s="416"/>
      <c r="U332" s="416"/>
      <c r="V332" s="416"/>
      <c r="W332" s="416"/>
      <c r="X332" s="416"/>
      <c r="Y332" s="416"/>
      <c r="Z332" s="416"/>
      <c r="AA332" s="416"/>
      <c r="AB332" s="416">
        <f>H332*0.75</f>
        <v>5586.4215000000004</v>
      </c>
      <c r="AC332" s="416">
        <f>H332*0.25</f>
        <v>1862.1405</v>
      </c>
      <c r="AD332" s="416"/>
      <c r="AE332" s="416"/>
      <c r="AF332" s="416"/>
      <c r="AG332" s="416"/>
      <c r="AH332" s="416"/>
      <c r="AI332" s="416"/>
      <c r="AJ332" s="416"/>
      <c r="AK332" s="416"/>
      <c r="AL332" s="416"/>
      <c r="AM332" s="416"/>
      <c r="AN332" s="416"/>
      <c r="AO332" s="416"/>
      <c r="AP332" s="416"/>
      <c r="AQ332" s="416"/>
      <c r="AR332" s="416"/>
      <c r="AS332" s="416"/>
      <c r="AT332" s="416"/>
      <c r="AU332" s="416"/>
      <c r="AV332" s="416"/>
      <c r="AW332" s="416"/>
      <c r="AX332" s="416"/>
      <c r="AY332" s="416"/>
      <c r="AZ332" s="32"/>
    </row>
    <row r="333" spans="2:52">
      <c r="B333" s="1250" t="s">
        <v>1158</v>
      </c>
      <c r="C333" s="1251"/>
      <c r="D333" s="411" t="s">
        <v>1055</v>
      </c>
      <c r="E333" s="411"/>
      <c r="F333" s="411" t="s">
        <v>292</v>
      </c>
      <c r="G333" s="411" t="s">
        <v>293</v>
      </c>
      <c r="H333" s="412">
        <v>7500</v>
      </c>
      <c r="I333" s="413" t="s">
        <v>76</v>
      </c>
      <c r="J333" s="414">
        <v>45004.548611111109</v>
      </c>
      <c r="K333" s="414"/>
      <c r="L333" s="414" t="s">
        <v>192</v>
      </c>
      <c r="M333" s="414" t="s">
        <v>192</v>
      </c>
      <c r="N333" s="413" t="str">
        <f t="shared" si="22"/>
        <v>DELAY ( 5 day 22 hour 40 minute )</v>
      </c>
      <c r="O333" s="51"/>
      <c r="P333" s="415" t="s">
        <v>551</v>
      </c>
      <c r="Q333" s="415" t="s">
        <v>551</v>
      </c>
      <c r="R333" s="415" t="s">
        <v>551</v>
      </c>
      <c r="S333" s="32"/>
      <c r="T333" s="416"/>
      <c r="U333" s="416"/>
      <c r="V333" s="416"/>
      <c r="W333" s="416"/>
      <c r="X333" s="416"/>
      <c r="Y333" s="416"/>
      <c r="Z333" s="416"/>
      <c r="AA333" s="416"/>
      <c r="AB333" s="416"/>
      <c r="AC333" s="416"/>
      <c r="AD333" s="416"/>
      <c r="AE333" s="416"/>
      <c r="AF333" s="416"/>
      <c r="AG333" s="416"/>
      <c r="AH333" s="416"/>
      <c r="AI333" s="416"/>
      <c r="AJ333" s="416"/>
      <c r="AK333" s="416">
        <f>H333</f>
        <v>7500</v>
      </c>
      <c r="AL333" s="416"/>
      <c r="AM333" s="416"/>
      <c r="AN333" s="416"/>
      <c r="AO333" s="416"/>
      <c r="AP333" s="416"/>
      <c r="AQ333" s="416"/>
      <c r="AR333" s="416"/>
      <c r="AS333" s="416"/>
      <c r="AT333" s="416"/>
      <c r="AU333" s="416"/>
      <c r="AV333" s="416"/>
      <c r="AW333" s="416"/>
      <c r="AX333" s="416"/>
      <c r="AY333" s="416"/>
      <c r="AZ333" s="32"/>
    </row>
    <row r="334" spans="2:52">
      <c r="B334" s="1254"/>
      <c r="C334" s="1255"/>
      <c r="D334" s="411" t="s">
        <v>975</v>
      </c>
      <c r="E334" s="411"/>
      <c r="F334" s="411" t="s">
        <v>298</v>
      </c>
      <c r="G334" s="411" t="s">
        <v>299</v>
      </c>
      <c r="H334" s="412">
        <v>10016.298000000001</v>
      </c>
      <c r="I334" s="413" t="s">
        <v>240</v>
      </c>
      <c r="J334" s="414">
        <v>45006.020833333336</v>
      </c>
      <c r="K334" s="414"/>
      <c r="L334" s="414" t="s">
        <v>192</v>
      </c>
      <c r="M334" s="414" t="s">
        <v>192</v>
      </c>
      <c r="N334" s="413" t="str">
        <f t="shared" si="22"/>
        <v>DELAY ( 7 day 10 hour 0 minute )</v>
      </c>
      <c r="O334" s="51"/>
      <c r="P334" s="415" t="s">
        <v>551</v>
      </c>
      <c r="Q334" s="415" t="s">
        <v>551</v>
      </c>
      <c r="R334" s="415" t="s">
        <v>551</v>
      </c>
      <c r="S334" s="32"/>
      <c r="T334" s="416"/>
      <c r="U334" s="416"/>
      <c r="V334" s="416"/>
      <c r="W334" s="416"/>
      <c r="X334" s="416"/>
      <c r="Y334" s="416"/>
      <c r="Z334" s="416"/>
      <c r="AA334" s="416"/>
      <c r="AB334" s="416"/>
      <c r="AC334" s="416">
        <f>H334</f>
        <v>10016.298000000001</v>
      </c>
      <c r="AD334" s="416"/>
      <c r="AE334" s="416"/>
      <c r="AF334" s="416"/>
      <c r="AG334" s="416"/>
      <c r="AH334" s="416"/>
      <c r="AI334" s="416"/>
      <c r="AJ334" s="416"/>
      <c r="AK334" s="416"/>
      <c r="AL334" s="416"/>
      <c r="AM334" s="416"/>
      <c r="AN334" s="416"/>
      <c r="AO334" s="416"/>
      <c r="AP334" s="416"/>
      <c r="AQ334" s="416"/>
      <c r="AR334" s="416"/>
      <c r="AS334" s="416"/>
      <c r="AT334" s="416"/>
      <c r="AU334" s="416"/>
      <c r="AV334" s="416"/>
      <c r="AW334" s="416"/>
      <c r="AX334" s="416"/>
      <c r="AY334" s="416"/>
      <c r="AZ334" s="32"/>
    </row>
    <row r="335" spans="2:52">
      <c r="B335" s="1256" t="s">
        <v>548</v>
      </c>
      <c r="C335" s="1257"/>
      <c r="D335" s="411" t="s">
        <v>983</v>
      </c>
      <c r="E335" s="411"/>
      <c r="F335" s="411" t="s">
        <v>70</v>
      </c>
      <c r="G335" s="411" t="s">
        <v>255</v>
      </c>
      <c r="H335" s="412">
        <f>7502.188+2932.605</f>
        <v>10434.793</v>
      </c>
      <c r="I335" s="413" t="s">
        <v>581</v>
      </c>
      <c r="J335" s="414">
        <v>45007.09375</v>
      </c>
      <c r="K335" s="414"/>
      <c r="L335" s="414" t="s">
        <v>192</v>
      </c>
      <c r="M335" s="414" t="s">
        <v>192</v>
      </c>
      <c r="N335" s="413" t="str">
        <f t="shared" si="22"/>
        <v>DELAY ( 8 day 11 hour 45 minute )</v>
      </c>
      <c r="O335" s="51"/>
      <c r="P335" s="415" t="s">
        <v>551</v>
      </c>
      <c r="Q335" s="415" t="s">
        <v>551</v>
      </c>
      <c r="R335" s="415" t="s">
        <v>551</v>
      </c>
      <c r="S335" s="32"/>
      <c r="T335" s="416"/>
      <c r="U335" s="416"/>
      <c r="V335" s="416"/>
      <c r="W335" s="416"/>
      <c r="X335" s="416"/>
      <c r="Y335" s="416"/>
      <c r="Z335" s="416"/>
      <c r="AA335" s="416"/>
      <c r="AB335" s="416">
        <f>H335*0.75</f>
        <v>7826.0947500000002</v>
      </c>
      <c r="AC335" s="416">
        <f>H335*0.25</f>
        <v>2608.6982499999999</v>
      </c>
      <c r="AD335" s="416"/>
      <c r="AE335" s="416"/>
      <c r="AF335" s="416"/>
      <c r="AG335" s="416"/>
      <c r="AH335" s="416"/>
      <c r="AI335" s="416"/>
      <c r="AJ335" s="416"/>
      <c r="AK335" s="416"/>
      <c r="AL335" s="416"/>
      <c r="AM335" s="416"/>
      <c r="AN335" s="416"/>
      <c r="AO335" s="416"/>
      <c r="AP335" s="416"/>
      <c r="AQ335" s="416"/>
      <c r="AR335" s="416"/>
      <c r="AS335" s="416"/>
      <c r="AT335" s="416"/>
      <c r="AU335" s="416"/>
      <c r="AV335" s="416"/>
      <c r="AW335" s="416"/>
      <c r="AX335" s="416"/>
      <c r="AY335" s="416"/>
      <c r="AZ335" s="32"/>
    </row>
    <row r="336" spans="2:52">
      <c r="B336" s="1258" t="s">
        <v>556</v>
      </c>
      <c r="C336" s="1259"/>
      <c r="D336" s="1259"/>
      <c r="E336" s="1259"/>
      <c r="F336" s="1259"/>
      <c r="G336" s="1260"/>
      <c r="H336" s="417">
        <f>SUM(H328:H335)</f>
        <v>53350</v>
      </c>
      <c r="I336" s="388"/>
      <c r="J336" s="293"/>
      <c r="K336" s="293"/>
      <c r="L336" s="293"/>
      <c r="M336" s="389"/>
      <c r="N336" s="413" t="str">
        <f>IF(ISBLANK(J336)," ",IF(J336&lt;$F$4,"On time",(IF(DAY(J336-$F$4)&lt;1,"On time",(IF(J336&gt;$F$4,"DELAY ( "&amp;DAY(J336-$F$4)&amp;" day "&amp;HOUR(J336-$F$4)&amp;" hour "&amp;MINUTE(J336-$F$4)&amp;" minute )","xxx"))))))</f>
        <v xml:space="preserve"> </v>
      </c>
      <c r="O336" s="212"/>
      <c r="P336" s="418"/>
      <c r="Q336" s="418"/>
      <c r="R336" s="418"/>
      <c r="S336" s="207"/>
      <c r="T336" s="1262"/>
      <c r="U336" s="1263"/>
      <c r="V336" s="1263"/>
      <c r="W336" s="1263"/>
      <c r="X336" s="1263"/>
      <c r="Y336" s="1263"/>
      <c r="Z336" s="1263"/>
      <c r="AA336" s="1263"/>
      <c r="AB336" s="1263"/>
      <c r="AC336" s="1263"/>
      <c r="AD336" s="1263"/>
      <c r="AE336" s="1263"/>
      <c r="AF336" s="1263"/>
      <c r="AG336" s="1263"/>
      <c r="AH336" s="1263"/>
      <c r="AI336" s="1263"/>
      <c r="AJ336" s="1263"/>
      <c r="AK336" s="1263"/>
      <c r="AL336" s="1263"/>
      <c r="AM336" s="1263"/>
      <c r="AN336" s="1263"/>
      <c r="AO336" s="1263"/>
      <c r="AP336" s="1263"/>
      <c r="AQ336" s="1263"/>
      <c r="AR336" s="1263"/>
      <c r="AS336" s="1263"/>
      <c r="AT336" s="1263"/>
      <c r="AU336" s="1263"/>
      <c r="AV336" s="1263"/>
      <c r="AW336" s="1263"/>
      <c r="AX336" s="1263"/>
      <c r="AY336" s="1264"/>
    </row>
    <row r="337" spans="2:52">
      <c r="B337" s="1243" t="s">
        <v>557</v>
      </c>
      <c r="C337" s="1244"/>
      <c r="D337" s="1244"/>
      <c r="E337" s="1244"/>
      <c r="F337" s="1244"/>
      <c r="G337" s="1245"/>
      <c r="H337" s="419">
        <v>53350</v>
      </c>
      <c r="I337" s="1246"/>
      <c r="J337" s="1247"/>
      <c r="K337" s="1247"/>
      <c r="L337" s="1247"/>
      <c r="M337" s="1248"/>
      <c r="N337" s="413" t="str">
        <f>IF(ISBLANK(J337)," ",IF(J337&lt;$F$4,"On time",(IF(DAY(J337-$F$4)&lt;1,"On time",(IF(J337&gt;$F$4,"DELAY ( "&amp;DAY(J337-$F$4)&amp;" day "&amp;HOUR(J337-$F$4)&amp;" hour "&amp;MINUTE(J337-$F$4)&amp;" minute )","xxx"))))))</f>
        <v xml:space="preserve"> </v>
      </c>
      <c r="O337" s="32"/>
      <c r="P337" s="415"/>
      <c r="Q337" s="415"/>
      <c r="R337" s="415"/>
      <c r="S337" s="63"/>
      <c r="T337" s="416">
        <f>SUM(T328:T335)</f>
        <v>0</v>
      </c>
      <c r="U337" s="416">
        <f t="shared" ref="U337:AY337" si="23">SUM(U328:U335)</f>
        <v>0</v>
      </c>
      <c r="V337" s="416">
        <f t="shared" si="23"/>
        <v>0</v>
      </c>
      <c r="W337" s="416">
        <f t="shared" si="23"/>
        <v>0</v>
      </c>
      <c r="X337" s="416">
        <f t="shared" si="23"/>
        <v>0</v>
      </c>
      <c r="Y337" s="416">
        <f t="shared" si="23"/>
        <v>0</v>
      </c>
      <c r="Z337" s="416">
        <f t="shared" si="23"/>
        <v>0</v>
      </c>
      <c r="AA337" s="416">
        <f t="shared" si="23"/>
        <v>0</v>
      </c>
      <c r="AB337" s="416">
        <f t="shared" si="23"/>
        <v>19012.465499999998</v>
      </c>
      <c r="AC337" s="416">
        <f t="shared" si="23"/>
        <v>19288.786500000002</v>
      </c>
      <c r="AD337" s="416">
        <f t="shared" si="23"/>
        <v>0</v>
      </c>
      <c r="AE337" s="416">
        <f t="shared" si="23"/>
        <v>0</v>
      </c>
      <c r="AF337" s="416">
        <f t="shared" si="23"/>
        <v>0</v>
      </c>
      <c r="AG337" s="416">
        <f t="shared" si="23"/>
        <v>0</v>
      </c>
      <c r="AH337" s="416">
        <f t="shared" si="23"/>
        <v>0</v>
      </c>
      <c r="AI337" s="416">
        <f t="shared" si="23"/>
        <v>0</v>
      </c>
      <c r="AJ337" s="416">
        <f t="shared" si="23"/>
        <v>0</v>
      </c>
      <c r="AK337" s="416">
        <f t="shared" si="23"/>
        <v>7500</v>
      </c>
      <c r="AL337" s="416">
        <f t="shared" si="23"/>
        <v>0</v>
      </c>
      <c r="AM337" s="416">
        <f t="shared" si="23"/>
        <v>0</v>
      </c>
      <c r="AN337" s="416">
        <f t="shared" si="23"/>
        <v>0</v>
      </c>
      <c r="AO337" s="416">
        <f t="shared" si="23"/>
        <v>0</v>
      </c>
      <c r="AP337" s="416">
        <f t="shared" si="23"/>
        <v>0</v>
      </c>
      <c r="AQ337" s="416">
        <f t="shared" si="23"/>
        <v>0</v>
      </c>
      <c r="AR337" s="416">
        <f t="shared" si="23"/>
        <v>0</v>
      </c>
      <c r="AS337" s="416">
        <f t="shared" si="23"/>
        <v>0</v>
      </c>
      <c r="AT337" s="416">
        <f t="shared" si="23"/>
        <v>0</v>
      </c>
      <c r="AU337" s="416">
        <f t="shared" si="23"/>
        <v>0</v>
      </c>
      <c r="AV337" s="416">
        <f t="shared" si="23"/>
        <v>0</v>
      </c>
      <c r="AW337" s="416">
        <f t="shared" si="23"/>
        <v>0</v>
      </c>
      <c r="AX337" s="416">
        <f t="shared" si="23"/>
        <v>0</v>
      </c>
      <c r="AY337" s="416">
        <f t="shared" si="23"/>
        <v>7548.7479999999996</v>
      </c>
      <c r="AZ337" s="416">
        <f>SUM(T337:AY337)</f>
        <v>53350</v>
      </c>
    </row>
    <row r="338" spans="2:52">
      <c r="B338" s="1243" t="s">
        <v>558</v>
      </c>
      <c r="C338" s="1244"/>
      <c r="D338" s="1244"/>
      <c r="E338" s="1244"/>
      <c r="F338" s="1244"/>
      <c r="G338" s="1245"/>
      <c r="H338" s="420">
        <f>H337-L322</f>
        <v>0</v>
      </c>
      <c r="I338" s="294"/>
      <c r="J338" s="295"/>
      <c r="K338" s="295"/>
      <c r="L338" s="296"/>
      <c r="M338" s="32"/>
      <c r="N338" s="32"/>
      <c r="O338" s="32"/>
      <c r="P338" s="32"/>
      <c r="Q338" s="297"/>
      <c r="R338" s="297"/>
      <c r="S338" s="32"/>
      <c r="T338" s="48"/>
      <c r="U338" s="48"/>
      <c r="V338" s="48"/>
      <c r="W338" s="48"/>
      <c r="X338" s="48"/>
      <c r="Y338" s="48"/>
      <c r="Z338" s="48"/>
      <c r="AA338" s="48"/>
      <c r="AB338" s="48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</row>
    <row r="339" spans="2:52">
      <c r="B339" s="1243" t="s">
        <v>559</v>
      </c>
      <c r="C339" s="1244"/>
      <c r="D339" s="1244"/>
      <c r="E339" s="1244"/>
      <c r="F339" s="1244"/>
      <c r="G339" s="1245"/>
      <c r="H339" s="420">
        <v>552</v>
      </c>
      <c r="I339" s="52"/>
      <c r="J339" s="53"/>
      <c r="K339" s="53"/>
      <c r="L339" s="54"/>
      <c r="M339" s="32"/>
      <c r="N339" s="201"/>
      <c r="O339" s="32"/>
      <c r="P339" s="32"/>
      <c r="Q339" s="32"/>
      <c r="R339" s="32"/>
      <c r="S339" s="32"/>
      <c r="T339" s="48"/>
      <c r="U339" s="48"/>
      <c r="V339" s="48"/>
      <c r="W339" s="48"/>
      <c r="X339" s="48"/>
      <c r="Y339" s="48"/>
      <c r="Z339" s="48"/>
      <c r="AA339" s="48"/>
      <c r="AB339" s="48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</row>
    <row r="340" spans="2:52">
      <c r="B340" s="1243" t="s">
        <v>560</v>
      </c>
      <c r="C340" s="1244"/>
      <c r="D340" s="1244"/>
      <c r="E340" s="1244"/>
      <c r="F340" s="1244"/>
      <c r="G340" s="1245"/>
      <c r="H340" s="421">
        <f>H339+2932.605</f>
        <v>3484.605</v>
      </c>
      <c r="I340" s="52"/>
      <c r="J340" s="53"/>
      <c r="K340" s="53"/>
      <c r="L340" s="54"/>
      <c r="M340" s="32"/>
      <c r="N340" s="32"/>
      <c r="O340" s="32"/>
      <c r="P340" s="32"/>
      <c r="Q340" s="32"/>
      <c r="R340" s="32"/>
      <c r="S340" s="48"/>
      <c r="T340" s="48"/>
      <c r="U340" s="48"/>
      <c r="V340" s="48"/>
      <c r="W340" s="48"/>
      <c r="X340" s="48"/>
      <c r="Y340" s="48"/>
      <c r="Z340" s="48"/>
      <c r="AA340" s="48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</row>
    <row r="341" spans="2:52">
      <c r="B341" s="201"/>
      <c r="C341" s="201"/>
      <c r="D341" s="201"/>
      <c r="E341" s="201"/>
      <c r="F341" s="201"/>
      <c r="G341" s="201"/>
      <c r="H341" s="201"/>
      <c r="I341" s="213"/>
      <c r="J341" s="209"/>
      <c r="K341" s="209"/>
      <c r="L341" s="203"/>
      <c r="M341" s="201"/>
      <c r="N341" s="201"/>
      <c r="O341" s="209"/>
      <c r="P341" s="32"/>
      <c r="Q341" s="32"/>
      <c r="R341" s="32"/>
      <c r="S341" s="32"/>
      <c r="T341" s="48"/>
      <c r="U341" s="48"/>
      <c r="V341" s="48"/>
      <c r="W341" s="48"/>
      <c r="X341" s="48"/>
      <c r="Y341" s="48"/>
      <c r="Z341" s="48"/>
      <c r="AA341" s="48"/>
      <c r="AB341" s="48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</row>
    <row r="342" spans="2:52">
      <c r="B342" s="40" t="s">
        <v>561</v>
      </c>
      <c r="C342" s="40"/>
      <c r="D342" s="32"/>
      <c r="E342" s="32"/>
      <c r="F342" s="32"/>
      <c r="G342" s="32"/>
      <c r="H342" s="32"/>
      <c r="I342" s="32"/>
      <c r="J342" s="52"/>
      <c r="K342" s="52"/>
      <c r="L342" s="55"/>
      <c r="M342" s="32"/>
      <c r="N342" s="201"/>
      <c r="O342" s="5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  <c r="AA342" s="202"/>
      <c r="AB342" s="201"/>
      <c r="AC342" s="201"/>
      <c r="AD342" s="201"/>
      <c r="AE342" s="201"/>
      <c r="AF342" s="201"/>
      <c r="AG342" s="201"/>
      <c r="AH342" s="201"/>
      <c r="AI342" s="201"/>
      <c r="AJ342" s="201"/>
      <c r="AK342" s="201"/>
      <c r="AL342" s="201"/>
      <c r="AM342" s="201"/>
      <c r="AN342" s="201"/>
      <c r="AO342" s="201"/>
      <c r="AP342" s="201"/>
      <c r="AQ342" s="201"/>
      <c r="AR342" s="201"/>
      <c r="AS342" s="201"/>
      <c r="AT342" s="201"/>
      <c r="AU342" s="201"/>
      <c r="AZ342" s="201"/>
    </row>
    <row r="343" spans="2:52">
      <c r="B343" s="422">
        <v>1</v>
      </c>
      <c r="C343" s="1249" t="s">
        <v>1159</v>
      </c>
      <c r="D343" s="1249"/>
      <c r="E343" s="1249"/>
      <c r="F343" s="1249"/>
      <c r="G343" s="1249"/>
      <c r="H343" s="1249"/>
      <c r="I343" s="1249"/>
      <c r="J343" s="1249"/>
      <c r="K343" s="1249"/>
      <c r="L343" s="203"/>
      <c r="M343" s="201"/>
      <c r="N343" s="201"/>
      <c r="O343" s="209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  <c r="AA343" s="202"/>
      <c r="AB343" s="201"/>
      <c r="AC343" s="201"/>
      <c r="AD343" s="201"/>
      <c r="AE343" s="201"/>
      <c r="AF343" s="201"/>
      <c r="AG343" s="201"/>
      <c r="AH343" s="201"/>
      <c r="AI343" s="201"/>
      <c r="AJ343" s="201"/>
      <c r="AK343" s="201"/>
      <c r="AL343" s="201"/>
      <c r="AM343" s="201"/>
      <c r="AN343" s="201"/>
      <c r="AO343" s="201"/>
      <c r="AP343" s="201"/>
      <c r="AQ343" s="201"/>
      <c r="AR343" s="201"/>
      <c r="AS343" s="201"/>
      <c r="AT343" s="201"/>
      <c r="AU343" s="201"/>
      <c r="AV343" s="201"/>
      <c r="AW343" s="201"/>
      <c r="AX343" s="201"/>
      <c r="AY343" s="201"/>
      <c r="AZ343" s="201"/>
    </row>
    <row r="345" spans="2:52">
      <c r="B345" s="28" t="s">
        <v>126</v>
      </c>
      <c r="C345" s="28"/>
      <c r="D345" s="29"/>
      <c r="E345" s="30" t="s">
        <v>511</v>
      </c>
      <c r="F345" s="31" t="s">
        <v>977</v>
      </c>
      <c r="G345" s="32"/>
      <c r="H345" s="33"/>
      <c r="I345" s="34"/>
      <c r="J345" s="35" t="s">
        <v>513</v>
      </c>
      <c r="K345" s="36" t="s">
        <v>511</v>
      </c>
      <c r="L345" s="37">
        <v>45007.693055555559</v>
      </c>
      <c r="M345" s="32"/>
      <c r="N345" s="32"/>
      <c r="O345" s="206"/>
      <c r="P345" s="205"/>
      <c r="Q345" s="202"/>
      <c r="R345" s="204"/>
      <c r="S345" s="38"/>
      <c r="T345" s="201"/>
      <c r="U345" s="201"/>
      <c r="V345" s="201"/>
      <c r="W345" s="201"/>
      <c r="X345" s="201"/>
      <c r="Y345" s="201"/>
      <c r="Z345" s="201"/>
      <c r="AA345" s="201"/>
      <c r="AB345" s="202"/>
      <c r="AC345" s="202"/>
      <c r="AD345" s="202"/>
      <c r="AE345" s="202"/>
      <c r="AF345" s="202"/>
      <c r="AG345" s="201"/>
      <c r="AH345" s="201"/>
      <c r="AI345" s="201"/>
      <c r="AJ345" s="201"/>
      <c r="AK345" s="201"/>
      <c r="AL345" s="201"/>
      <c r="AM345" s="201"/>
      <c r="AN345" s="201"/>
      <c r="AO345" s="201"/>
      <c r="AP345" s="201"/>
      <c r="AQ345" s="201"/>
      <c r="AR345" s="201"/>
      <c r="AS345" s="201"/>
      <c r="AT345" s="201"/>
      <c r="AU345" s="201"/>
      <c r="AV345" s="201"/>
      <c r="AW345" s="201"/>
      <c r="AX345" s="201"/>
      <c r="AY345" s="201"/>
      <c r="AZ345" s="201"/>
    </row>
    <row r="346" spans="2:52">
      <c r="B346" s="35" t="s">
        <v>514</v>
      </c>
      <c r="C346" s="35"/>
      <c r="D346" s="32"/>
      <c r="E346" s="36" t="s">
        <v>511</v>
      </c>
      <c r="F346" s="37" t="s">
        <v>907</v>
      </c>
      <c r="G346" s="32"/>
      <c r="H346" s="33"/>
      <c r="I346" s="34"/>
      <c r="J346" s="35" t="s">
        <v>516</v>
      </c>
      <c r="K346" s="36" t="s">
        <v>511</v>
      </c>
      <c r="L346" s="37">
        <v>45009.284722222219</v>
      </c>
      <c r="M346" s="32"/>
      <c r="N346" s="32"/>
      <c r="O346" s="206"/>
      <c r="P346" s="205"/>
      <c r="Q346" s="202"/>
      <c r="R346" s="204"/>
      <c r="S346" s="38"/>
      <c r="T346" s="201"/>
      <c r="U346" s="201"/>
      <c r="V346" s="201"/>
      <c r="W346" s="201"/>
      <c r="X346" s="201"/>
      <c r="Y346" s="201"/>
      <c r="Z346" s="201"/>
      <c r="AA346" s="201"/>
      <c r="AB346" s="202"/>
      <c r="AC346" s="202"/>
      <c r="AD346" s="202"/>
      <c r="AE346" s="202"/>
      <c r="AF346" s="202"/>
      <c r="AG346" s="201"/>
      <c r="AH346" s="201"/>
      <c r="AI346" s="201"/>
      <c r="AJ346" s="201"/>
      <c r="AK346" s="201"/>
      <c r="AL346" s="201"/>
      <c r="AM346" s="201"/>
      <c r="AN346" s="201"/>
      <c r="AO346" s="201"/>
      <c r="AP346" s="201"/>
      <c r="AQ346" s="201"/>
      <c r="AR346" s="201"/>
      <c r="AS346" s="201"/>
      <c r="AT346" s="201"/>
      <c r="AU346" s="201"/>
      <c r="AV346" s="201"/>
      <c r="AW346" s="201"/>
      <c r="AX346" s="201"/>
      <c r="AY346" s="201"/>
      <c r="AZ346" s="201"/>
    </row>
    <row r="347" spans="2:52">
      <c r="B347" s="35" t="s">
        <v>517</v>
      </c>
      <c r="C347" s="35"/>
      <c r="D347" s="32"/>
      <c r="E347" s="36" t="s">
        <v>511</v>
      </c>
      <c r="F347" s="37">
        <v>45003.479166666664</v>
      </c>
      <c r="G347" s="32"/>
      <c r="H347" s="33"/>
      <c r="I347" s="34"/>
      <c r="J347" s="35" t="s">
        <v>518</v>
      </c>
      <c r="K347" s="36" t="s">
        <v>511</v>
      </c>
      <c r="L347" s="50">
        <v>48600</v>
      </c>
      <c r="M347" s="40" t="s">
        <v>519</v>
      </c>
      <c r="N347" s="40"/>
      <c r="O347" s="206"/>
      <c r="P347" s="205"/>
      <c r="Q347" s="202"/>
      <c r="R347" s="204"/>
      <c r="S347" s="38"/>
      <c r="T347" s="201"/>
      <c r="U347" s="201"/>
      <c r="V347" s="201"/>
      <c r="W347" s="201"/>
      <c r="X347" s="201"/>
      <c r="Y347" s="201"/>
      <c r="Z347" s="201"/>
      <c r="AA347" s="201"/>
      <c r="AB347" s="202"/>
      <c r="AC347" s="202"/>
      <c r="AD347" s="202"/>
      <c r="AE347" s="202"/>
      <c r="AF347" s="202"/>
      <c r="AG347" s="201"/>
      <c r="AH347" s="201"/>
      <c r="AI347" s="201"/>
      <c r="AJ347" s="201"/>
      <c r="AK347" s="201"/>
      <c r="AL347" s="20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</row>
    <row r="348" spans="2:52">
      <c r="B348" s="35" t="s">
        <v>520</v>
      </c>
      <c r="C348" s="35"/>
      <c r="D348" s="32"/>
      <c r="E348" s="36" t="s">
        <v>511</v>
      </c>
      <c r="F348" s="37" t="s">
        <v>12</v>
      </c>
      <c r="G348" s="32"/>
      <c r="H348" s="33"/>
      <c r="I348" s="34"/>
      <c r="J348" s="35" t="s">
        <v>521</v>
      </c>
      <c r="K348" s="36" t="s">
        <v>511</v>
      </c>
      <c r="L348" s="41" t="s">
        <v>1160</v>
      </c>
      <c r="M348" s="32"/>
      <c r="N348" s="32"/>
      <c r="O348" s="206"/>
      <c r="P348" s="202"/>
      <c r="Q348" s="202"/>
      <c r="R348" s="204"/>
      <c r="S348" s="38"/>
      <c r="T348" s="201"/>
      <c r="U348" s="201"/>
      <c r="V348" s="201"/>
      <c r="W348" s="201"/>
      <c r="X348" s="201"/>
      <c r="Y348" s="201"/>
      <c r="Z348" s="201"/>
      <c r="AA348" s="201"/>
      <c r="AB348" s="202"/>
      <c r="AC348" s="202"/>
      <c r="AD348" s="202"/>
      <c r="AE348" s="202"/>
      <c r="AF348" s="202"/>
      <c r="AG348" s="201"/>
      <c r="AH348" s="201"/>
      <c r="AI348" s="201"/>
      <c r="AJ348" s="201"/>
      <c r="AK348" s="201"/>
      <c r="AL348" s="201"/>
      <c r="AM348" s="201"/>
      <c r="AN348" s="201"/>
      <c r="AO348" s="201"/>
      <c r="AP348" s="201"/>
      <c r="AQ348" s="201"/>
      <c r="AR348" s="201"/>
      <c r="AS348" s="201"/>
      <c r="AT348" s="201"/>
      <c r="AU348" s="201"/>
      <c r="AV348" s="201"/>
      <c r="AW348" s="201"/>
      <c r="AX348" s="201"/>
      <c r="AY348" s="201"/>
      <c r="AZ348" s="201"/>
    </row>
    <row r="349" spans="2:52">
      <c r="B349" s="35" t="s">
        <v>523</v>
      </c>
      <c r="C349" s="35"/>
      <c r="D349" s="32"/>
      <c r="E349" s="36" t="s">
        <v>511</v>
      </c>
      <c r="F349" s="37" t="s">
        <v>37</v>
      </c>
      <c r="G349" s="32"/>
      <c r="H349" s="33"/>
      <c r="I349" s="34"/>
      <c r="J349" s="42" t="s">
        <v>524</v>
      </c>
      <c r="K349" s="36" t="s">
        <v>511</v>
      </c>
      <c r="L349" s="43" t="s">
        <v>15</v>
      </c>
      <c r="M349" s="44"/>
      <c r="N349" s="44"/>
      <c r="O349" s="206"/>
      <c r="P349" s="205"/>
      <c r="Q349" s="202"/>
      <c r="R349" s="204"/>
      <c r="S349" s="38"/>
      <c r="T349" s="201"/>
      <c r="U349" s="201"/>
      <c r="V349" s="201"/>
      <c r="W349" s="201"/>
      <c r="X349" s="201"/>
      <c r="Y349" s="201"/>
      <c r="Z349" s="201"/>
      <c r="AA349" s="201"/>
      <c r="AB349" s="202"/>
      <c r="AC349" s="202"/>
      <c r="AD349" s="202"/>
      <c r="AE349" s="202"/>
      <c r="AF349" s="202"/>
      <c r="AG349" s="201"/>
      <c r="AH349" s="201"/>
      <c r="AI349" s="201"/>
      <c r="AJ349" s="201"/>
      <c r="AK349" s="201"/>
      <c r="AL349" s="201"/>
      <c r="AM349" s="201"/>
      <c r="AN349" s="201"/>
      <c r="AO349" s="201"/>
      <c r="AP349" s="201"/>
      <c r="AQ349" s="201"/>
      <c r="AR349" s="201"/>
      <c r="AS349" s="201"/>
      <c r="AT349" s="201"/>
      <c r="AU349" s="201"/>
      <c r="AV349" s="201"/>
      <c r="AW349" s="201"/>
      <c r="AX349" s="201"/>
      <c r="AY349" s="201"/>
      <c r="AZ349" s="201"/>
    </row>
    <row r="350" spans="2:52">
      <c r="B350" s="35" t="s">
        <v>2</v>
      </c>
      <c r="C350" s="35"/>
      <c r="D350" s="32"/>
      <c r="E350" s="36" t="s">
        <v>511</v>
      </c>
      <c r="F350" s="37" t="s">
        <v>42</v>
      </c>
      <c r="G350" s="32"/>
      <c r="H350" s="33"/>
      <c r="I350" s="45"/>
      <c r="J350" s="42"/>
      <c r="K350" s="36"/>
      <c r="L350" s="211"/>
      <c r="M350" s="201"/>
      <c r="N350" s="201"/>
      <c r="O350" s="42"/>
      <c r="P350" s="44"/>
      <c r="Q350" s="44"/>
      <c r="R350" s="44"/>
      <c r="S350" s="34"/>
      <c r="T350" s="201"/>
      <c r="U350" s="201"/>
      <c r="V350" s="201"/>
      <c r="W350" s="201"/>
      <c r="X350" s="201"/>
      <c r="Y350" s="201"/>
      <c r="Z350" s="201"/>
      <c r="AA350" s="201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201"/>
      <c r="AP350" s="201"/>
      <c r="AQ350" s="201"/>
      <c r="AR350" s="201"/>
      <c r="AS350" s="201"/>
      <c r="AT350" s="201"/>
      <c r="AU350" s="201"/>
      <c r="AV350" s="201"/>
      <c r="AW350" s="201"/>
      <c r="AX350" s="201"/>
      <c r="AY350" s="201"/>
      <c r="AZ350" s="201"/>
    </row>
    <row r="351" spans="2:52">
      <c r="B351" s="201"/>
      <c r="C351" s="201"/>
      <c r="D351" s="201"/>
      <c r="E351" s="201"/>
      <c r="F351" s="201"/>
      <c r="G351" s="201"/>
      <c r="H351" s="201"/>
      <c r="I351" s="45"/>
      <c r="J351" s="42"/>
      <c r="K351" s="42"/>
      <c r="L351" s="43"/>
      <c r="M351" s="44"/>
      <c r="N351" s="44"/>
      <c r="O351" s="42"/>
      <c r="P351" s="44"/>
      <c r="Q351" s="44"/>
      <c r="R351" s="44"/>
      <c r="S351" s="34"/>
      <c r="T351" s="1265" t="s">
        <v>87</v>
      </c>
      <c r="U351" s="1265"/>
      <c r="V351" s="1265"/>
      <c r="W351" s="1265"/>
      <c r="X351" s="1265"/>
      <c r="Y351" s="1265" t="s">
        <v>73</v>
      </c>
      <c r="Z351" s="1265"/>
      <c r="AA351" s="1265"/>
      <c r="AB351" s="1265" t="s">
        <v>74</v>
      </c>
      <c r="AC351" s="1265"/>
      <c r="AD351" s="423" t="s">
        <v>85</v>
      </c>
      <c r="AE351" s="423" t="s">
        <v>77</v>
      </c>
      <c r="AF351" s="1265" t="s">
        <v>525</v>
      </c>
      <c r="AG351" s="1265"/>
      <c r="AH351" s="1265"/>
      <c r="AI351" s="1265"/>
      <c r="AJ351" s="1265"/>
      <c r="AK351" s="1265"/>
      <c r="AL351" s="1265"/>
      <c r="AM351" s="1265"/>
      <c r="AN351" s="1265"/>
      <c r="AO351" s="1265"/>
      <c r="AP351" s="1265"/>
      <c r="AQ351" s="1265"/>
      <c r="AR351" s="1265"/>
      <c r="AS351" s="1265"/>
      <c r="AT351" s="1265"/>
      <c r="AU351" s="1265"/>
      <c r="AV351" s="1265"/>
      <c r="AW351" s="1265"/>
      <c r="AX351" s="1265"/>
      <c r="AY351" s="1265"/>
      <c r="AZ351" s="201"/>
    </row>
    <row r="352" spans="2:52">
      <c r="B352" s="1266" t="s">
        <v>526</v>
      </c>
      <c r="C352" s="1267"/>
      <c r="D352" s="570" t="s">
        <v>527</v>
      </c>
      <c r="E352" s="570"/>
      <c r="F352" s="570" t="s">
        <v>528</v>
      </c>
      <c r="G352" s="570" t="s">
        <v>529</v>
      </c>
      <c r="H352" s="570" t="s">
        <v>530</v>
      </c>
      <c r="I352" s="570" t="s">
        <v>531</v>
      </c>
      <c r="J352" s="570" t="s">
        <v>532</v>
      </c>
      <c r="K352" s="570"/>
      <c r="L352" s="570" t="s">
        <v>130</v>
      </c>
      <c r="M352" s="570" t="s">
        <v>533</v>
      </c>
      <c r="N352" s="408" t="str">
        <f>"On time - "&amp;COUNTIF(N353:N361,"On time")&amp;" from "&amp;ROWS(N353:N361)-COUNTIF(N353:N361," ")</f>
        <v>On time - 0 from 7</v>
      </c>
      <c r="O352" s="46"/>
      <c r="P352" s="409" t="s">
        <v>534</v>
      </c>
      <c r="Q352" s="409" t="s">
        <v>535</v>
      </c>
      <c r="R352" s="409" t="s">
        <v>536</v>
      </c>
      <c r="S352" s="32"/>
      <c r="T352" s="424" t="s">
        <v>537</v>
      </c>
      <c r="U352" s="424" t="s">
        <v>538</v>
      </c>
      <c r="V352" s="424" t="s">
        <v>539</v>
      </c>
      <c r="W352" s="424" t="s">
        <v>540</v>
      </c>
      <c r="X352" s="424" t="s">
        <v>541</v>
      </c>
      <c r="Y352" s="424" t="s">
        <v>167</v>
      </c>
      <c r="Z352" s="424" t="s">
        <v>168</v>
      </c>
      <c r="AA352" s="424" t="s">
        <v>169</v>
      </c>
      <c r="AB352" s="424" t="s">
        <v>235</v>
      </c>
      <c r="AC352" s="424" t="s">
        <v>240</v>
      </c>
      <c r="AD352" s="423" t="s">
        <v>85</v>
      </c>
      <c r="AE352" s="424" t="s">
        <v>139</v>
      </c>
      <c r="AF352" s="424" t="s">
        <v>72</v>
      </c>
      <c r="AG352" s="424" t="s">
        <v>88</v>
      </c>
      <c r="AH352" s="424" t="s">
        <v>75</v>
      </c>
      <c r="AI352" s="424" t="s">
        <v>543</v>
      </c>
      <c r="AJ352" s="424" t="s">
        <v>78</v>
      </c>
      <c r="AK352" s="424" t="s">
        <v>76</v>
      </c>
      <c r="AL352" s="424" t="s">
        <v>544</v>
      </c>
      <c r="AM352" s="424" t="s">
        <v>545</v>
      </c>
      <c r="AN352" s="424" t="s">
        <v>86</v>
      </c>
      <c r="AO352" s="424" t="s">
        <v>83</v>
      </c>
      <c r="AP352" s="424" t="s">
        <v>84</v>
      </c>
      <c r="AQ352" s="424" t="s">
        <v>546</v>
      </c>
      <c r="AR352" s="424" t="s">
        <v>81</v>
      </c>
      <c r="AS352" s="424" t="s">
        <v>80</v>
      </c>
      <c r="AT352" s="424" t="s">
        <v>82</v>
      </c>
      <c r="AU352" s="424" t="s">
        <v>181</v>
      </c>
      <c r="AV352" s="424" t="s">
        <v>183</v>
      </c>
      <c r="AW352" s="424" t="s">
        <v>547</v>
      </c>
      <c r="AX352" s="424" t="s">
        <v>182</v>
      </c>
      <c r="AY352" s="424" t="s">
        <v>172</v>
      </c>
      <c r="AZ352" s="201"/>
    </row>
    <row r="353" spans="2:52">
      <c r="B353" s="1250" t="s">
        <v>1121</v>
      </c>
      <c r="C353" s="1251"/>
      <c r="D353" s="411" t="s">
        <v>1035</v>
      </c>
      <c r="E353" s="425"/>
      <c r="F353" s="411" t="s">
        <v>383</v>
      </c>
      <c r="G353" s="411" t="s">
        <v>384</v>
      </c>
      <c r="H353" s="412">
        <f>5117/3</f>
        <v>1705.6666666666667</v>
      </c>
      <c r="I353" s="413" t="s">
        <v>81</v>
      </c>
      <c r="J353" s="414">
        <v>45005.913194444445</v>
      </c>
      <c r="K353" s="414"/>
      <c r="L353" s="414" t="s">
        <v>192</v>
      </c>
      <c r="M353" s="414" t="s">
        <v>192</v>
      </c>
      <c r="N353" s="413" t="str">
        <f t="shared" ref="N353:N361" si="24">IF(ISBLANK(J353)," ",IF(J353&lt;$F$347,"On time",(IF(DAY(J353-$F$347)&lt;1,"On time",(IF(J353&gt;$F$347,"DELAY ( "&amp;DAY(J353-$F$347)&amp;" day "&amp;HOUR(J353-$F$347)&amp;" hour "&amp;MINUTE(J353-$F$347)&amp;" minute )","xxx"))))))</f>
        <v>DELAY ( 2 day 10 hour 25 minute )</v>
      </c>
      <c r="O353" s="51"/>
      <c r="P353" s="415" t="s">
        <v>551</v>
      </c>
      <c r="Q353" s="415" t="s">
        <v>551</v>
      </c>
      <c r="R353" s="415" t="s">
        <v>551</v>
      </c>
      <c r="S353" s="32"/>
      <c r="T353" s="416"/>
      <c r="U353" s="416"/>
      <c r="V353" s="416"/>
      <c r="W353" s="416"/>
      <c r="X353" s="416"/>
      <c r="Y353" s="416"/>
      <c r="Z353" s="416"/>
      <c r="AA353" s="416"/>
      <c r="AB353" s="416"/>
      <c r="AC353" s="416"/>
      <c r="AD353" s="416"/>
      <c r="AE353" s="416"/>
      <c r="AF353" s="416"/>
      <c r="AG353" s="416"/>
      <c r="AH353" s="416"/>
      <c r="AI353" s="416"/>
      <c r="AJ353" s="416"/>
      <c r="AK353" s="416"/>
      <c r="AL353" s="416"/>
      <c r="AM353" s="416"/>
      <c r="AN353" s="416"/>
      <c r="AO353" s="416"/>
      <c r="AP353" s="416"/>
      <c r="AQ353" s="416"/>
      <c r="AR353" s="416">
        <f>H353</f>
        <v>1705.6666666666667</v>
      </c>
      <c r="AS353" s="416"/>
      <c r="AT353" s="416"/>
      <c r="AU353" s="416"/>
      <c r="AV353" s="416"/>
      <c r="AW353" s="416"/>
      <c r="AX353" s="416"/>
      <c r="AY353" s="416"/>
      <c r="AZ353" s="32"/>
    </row>
    <row r="354" spans="2:52">
      <c r="B354" s="1254"/>
      <c r="C354" s="1255"/>
      <c r="D354" s="411" t="s">
        <v>982</v>
      </c>
      <c r="E354" s="411"/>
      <c r="F354" s="411" t="s">
        <v>301</v>
      </c>
      <c r="G354" s="411" t="s">
        <v>302</v>
      </c>
      <c r="H354" s="412">
        <v>9068.7049999999999</v>
      </c>
      <c r="I354" s="413" t="s">
        <v>240</v>
      </c>
      <c r="J354" s="414">
        <v>45006.434027777781</v>
      </c>
      <c r="K354" s="414"/>
      <c r="L354" s="414" t="s">
        <v>192</v>
      </c>
      <c r="M354" s="414" t="s">
        <v>192</v>
      </c>
      <c r="N354" s="413" t="str">
        <f t="shared" si="24"/>
        <v>DELAY ( 2 day 22 hour 55 minute )</v>
      </c>
      <c r="O354" s="51"/>
      <c r="P354" s="415" t="s">
        <v>551</v>
      </c>
      <c r="Q354" s="415" t="s">
        <v>551</v>
      </c>
      <c r="R354" s="415" t="s">
        <v>551</v>
      </c>
      <c r="S354" s="32"/>
      <c r="T354" s="416"/>
      <c r="U354" s="416"/>
      <c r="V354" s="416"/>
      <c r="W354" s="416"/>
      <c r="X354" s="416"/>
      <c r="Y354" s="416"/>
      <c r="Z354" s="416"/>
      <c r="AA354" s="416"/>
      <c r="AB354" s="416"/>
      <c r="AC354" s="416">
        <f>H354</f>
        <v>9068.7049999999999</v>
      </c>
      <c r="AD354" s="416"/>
      <c r="AE354" s="416"/>
      <c r="AF354" s="416"/>
      <c r="AG354" s="416"/>
      <c r="AH354" s="416"/>
      <c r="AI354" s="416"/>
      <c r="AJ354" s="416"/>
      <c r="AK354" s="416"/>
      <c r="AL354" s="416"/>
      <c r="AM354" s="416"/>
      <c r="AN354" s="416"/>
      <c r="AO354" s="416"/>
      <c r="AP354" s="416"/>
      <c r="AQ354" s="416"/>
      <c r="AR354" s="416"/>
      <c r="AS354" s="416"/>
      <c r="AT354" s="416"/>
      <c r="AU354" s="416"/>
      <c r="AV354" s="416"/>
      <c r="AW354" s="416"/>
      <c r="AX354" s="416"/>
      <c r="AY354" s="416"/>
      <c r="AZ354" s="32"/>
    </row>
    <row r="355" spans="2:52">
      <c r="B355" s="1250" t="s">
        <v>1161</v>
      </c>
      <c r="C355" s="1251"/>
      <c r="D355" s="411" t="s">
        <v>1035</v>
      </c>
      <c r="E355" s="425"/>
      <c r="F355" s="411" t="s">
        <v>383</v>
      </c>
      <c r="G355" s="411" t="s">
        <v>384</v>
      </c>
      <c r="H355" s="412">
        <f>H353</f>
        <v>1705.6666666666667</v>
      </c>
      <c r="I355" s="413" t="s">
        <v>81</v>
      </c>
      <c r="J355" s="414"/>
      <c r="K355" s="414"/>
      <c r="L355" s="414" t="s">
        <v>192</v>
      </c>
      <c r="M355" s="414" t="s">
        <v>192</v>
      </c>
      <c r="N355" s="413" t="str">
        <f t="shared" si="24"/>
        <v xml:space="preserve"> </v>
      </c>
      <c r="O355" s="51"/>
      <c r="P355" s="415" t="s">
        <v>551</v>
      </c>
      <c r="Q355" s="415" t="s">
        <v>551</v>
      </c>
      <c r="R355" s="415" t="s">
        <v>551</v>
      </c>
      <c r="S355" s="32"/>
      <c r="T355" s="416"/>
      <c r="U355" s="416"/>
      <c r="V355" s="416"/>
      <c r="W355" s="416"/>
      <c r="X355" s="416"/>
      <c r="Y355" s="416"/>
      <c r="Z355" s="416"/>
      <c r="AA355" s="416"/>
      <c r="AB355" s="416"/>
      <c r="AC355" s="416"/>
      <c r="AD355" s="416"/>
      <c r="AE355" s="416"/>
      <c r="AF355" s="416"/>
      <c r="AG355" s="416"/>
      <c r="AH355" s="416"/>
      <c r="AI355" s="416"/>
      <c r="AJ355" s="416"/>
      <c r="AK355" s="416"/>
      <c r="AL355" s="416"/>
      <c r="AM355" s="416"/>
      <c r="AN355" s="416"/>
      <c r="AO355" s="416"/>
      <c r="AP355" s="416"/>
      <c r="AQ355" s="416"/>
      <c r="AR355" s="416">
        <f>H355</f>
        <v>1705.6666666666667</v>
      </c>
      <c r="AS355" s="416"/>
      <c r="AT355" s="416"/>
      <c r="AU355" s="416"/>
      <c r="AV355" s="416"/>
      <c r="AW355" s="416"/>
      <c r="AX355" s="416"/>
      <c r="AY355" s="416"/>
      <c r="AZ355" s="32"/>
    </row>
    <row r="356" spans="2:52">
      <c r="B356" s="1254"/>
      <c r="C356" s="1255"/>
      <c r="D356" s="411" t="s">
        <v>978</v>
      </c>
      <c r="E356" s="411"/>
      <c r="F356" s="411" t="s">
        <v>429</v>
      </c>
      <c r="G356" s="411" t="s">
        <v>430</v>
      </c>
      <c r="H356" s="412">
        <v>7730.5789999999997</v>
      </c>
      <c r="I356" s="413" t="s">
        <v>240</v>
      </c>
      <c r="J356" s="414">
        <v>45006.444444444445</v>
      </c>
      <c r="K356" s="414"/>
      <c r="L356" s="414" t="s">
        <v>192</v>
      </c>
      <c r="M356" s="414" t="s">
        <v>192</v>
      </c>
      <c r="N356" s="413" t="str">
        <f t="shared" si="24"/>
        <v>DELAY ( 2 day 23 hour 10 minute )</v>
      </c>
      <c r="O356" s="51"/>
      <c r="P356" s="415" t="s">
        <v>551</v>
      </c>
      <c r="Q356" s="415" t="s">
        <v>551</v>
      </c>
      <c r="R356" s="415" t="s">
        <v>551</v>
      </c>
      <c r="S356" s="32"/>
      <c r="T356" s="416"/>
      <c r="U356" s="416"/>
      <c r="V356" s="416"/>
      <c r="W356" s="416"/>
      <c r="X356" s="416"/>
      <c r="Y356" s="416"/>
      <c r="Z356" s="416"/>
      <c r="AA356" s="416"/>
      <c r="AB356" s="416"/>
      <c r="AC356" s="416">
        <f>H356</f>
        <v>7730.5789999999997</v>
      </c>
      <c r="AD356" s="416"/>
      <c r="AE356" s="416"/>
      <c r="AF356" s="416"/>
      <c r="AG356" s="416"/>
      <c r="AH356" s="416"/>
      <c r="AI356" s="416"/>
      <c r="AJ356" s="416"/>
      <c r="AK356" s="416"/>
      <c r="AL356" s="416"/>
      <c r="AM356" s="416"/>
      <c r="AN356" s="416"/>
      <c r="AO356" s="416"/>
      <c r="AP356" s="416"/>
      <c r="AQ356" s="416"/>
      <c r="AR356" s="416"/>
      <c r="AS356" s="416"/>
      <c r="AT356" s="416"/>
      <c r="AU356" s="416"/>
      <c r="AV356" s="416"/>
      <c r="AW356" s="416"/>
      <c r="AX356" s="416"/>
      <c r="AY356" s="416"/>
      <c r="AZ356" s="32"/>
    </row>
    <row r="357" spans="2:52">
      <c r="B357" s="1250" t="s">
        <v>1161</v>
      </c>
      <c r="C357" s="1251"/>
      <c r="D357" s="411" t="s">
        <v>1035</v>
      </c>
      <c r="E357" s="425"/>
      <c r="F357" s="411" t="s">
        <v>383</v>
      </c>
      <c r="G357" s="411" t="s">
        <v>384</v>
      </c>
      <c r="H357" s="412">
        <f>H355</f>
        <v>1705.6666666666667</v>
      </c>
      <c r="I357" s="413" t="s">
        <v>81</v>
      </c>
      <c r="J357" s="414"/>
      <c r="K357" s="414"/>
      <c r="L357" s="414" t="s">
        <v>192</v>
      </c>
      <c r="M357" s="414" t="s">
        <v>192</v>
      </c>
      <c r="N357" s="413" t="str">
        <f t="shared" si="24"/>
        <v xml:space="preserve"> </v>
      </c>
      <c r="O357" s="51"/>
      <c r="P357" s="415" t="s">
        <v>551</v>
      </c>
      <c r="Q357" s="415" t="s">
        <v>551</v>
      </c>
      <c r="R357" s="415" t="s">
        <v>551</v>
      </c>
      <c r="S357" s="32"/>
      <c r="T357" s="416"/>
      <c r="U357" s="416"/>
      <c r="V357" s="416"/>
      <c r="W357" s="416"/>
      <c r="X357" s="416"/>
      <c r="Y357" s="416"/>
      <c r="Z357" s="416"/>
      <c r="AA357" s="416"/>
      <c r="AB357" s="416"/>
      <c r="AC357" s="416"/>
      <c r="AD357" s="416"/>
      <c r="AE357" s="416"/>
      <c r="AF357" s="416"/>
      <c r="AG357" s="416"/>
      <c r="AH357" s="416"/>
      <c r="AI357" s="416"/>
      <c r="AJ357" s="416"/>
      <c r="AK357" s="416"/>
      <c r="AL357" s="416"/>
      <c r="AM357" s="416"/>
      <c r="AN357" s="416"/>
      <c r="AO357" s="416"/>
      <c r="AP357" s="416"/>
      <c r="AQ357" s="416"/>
      <c r="AR357" s="416">
        <f>H357</f>
        <v>1705.6666666666667</v>
      </c>
      <c r="AS357" s="416"/>
      <c r="AT357" s="416"/>
      <c r="AU357" s="416"/>
      <c r="AV357" s="416"/>
      <c r="AW357" s="416"/>
      <c r="AX357" s="416"/>
      <c r="AY357" s="416"/>
      <c r="AZ357" s="32"/>
    </row>
    <row r="358" spans="2:52">
      <c r="B358" s="1254"/>
      <c r="C358" s="1255"/>
      <c r="D358" s="411" t="s">
        <v>987</v>
      </c>
      <c r="E358" s="411"/>
      <c r="F358" s="411" t="s">
        <v>355</v>
      </c>
      <c r="G358" s="411" t="s">
        <v>356</v>
      </c>
      <c r="H358" s="412">
        <v>7536.3789999999999</v>
      </c>
      <c r="I358" s="413" t="s">
        <v>240</v>
      </c>
      <c r="J358" s="414">
        <v>45006.479166666664</v>
      </c>
      <c r="K358" s="414"/>
      <c r="L358" s="414" t="s">
        <v>192</v>
      </c>
      <c r="M358" s="414" t="s">
        <v>192</v>
      </c>
      <c r="N358" s="413" t="str">
        <f t="shared" si="24"/>
        <v>DELAY ( 3 day 0 hour 0 minute )</v>
      </c>
      <c r="O358" s="51"/>
      <c r="P358" s="415" t="s">
        <v>551</v>
      </c>
      <c r="Q358" s="415" t="s">
        <v>551</v>
      </c>
      <c r="R358" s="415" t="s">
        <v>551</v>
      </c>
      <c r="S358" s="32"/>
      <c r="T358" s="416"/>
      <c r="U358" s="416"/>
      <c r="V358" s="416"/>
      <c r="W358" s="416"/>
      <c r="X358" s="416"/>
      <c r="Y358" s="416"/>
      <c r="Z358" s="416"/>
      <c r="AA358" s="416"/>
      <c r="AB358" s="416"/>
      <c r="AC358" s="416">
        <f>H358</f>
        <v>7536.3789999999999</v>
      </c>
      <c r="AD358" s="416"/>
      <c r="AE358" s="416"/>
      <c r="AF358" s="416"/>
      <c r="AG358" s="416"/>
      <c r="AH358" s="416"/>
      <c r="AI358" s="416"/>
      <c r="AJ358" s="416"/>
      <c r="AK358" s="416"/>
      <c r="AL358" s="416"/>
      <c r="AM358" s="416"/>
      <c r="AN358" s="416"/>
      <c r="AO358" s="416"/>
      <c r="AP358" s="416"/>
      <c r="AQ358" s="416"/>
      <c r="AR358" s="416"/>
      <c r="AS358" s="416"/>
      <c r="AT358" s="416"/>
      <c r="AU358" s="416"/>
      <c r="AV358" s="416"/>
      <c r="AW358" s="416"/>
      <c r="AX358" s="416"/>
      <c r="AY358" s="416"/>
      <c r="AZ358" s="32"/>
    </row>
    <row r="359" spans="2:52">
      <c r="B359" s="1250" t="s">
        <v>653</v>
      </c>
      <c r="C359" s="1251"/>
      <c r="D359" s="411" t="s">
        <v>1056</v>
      </c>
      <c r="E359" s="411"/>
      <c r="F359" s="411" t="s">
        <v>218</v>
      </c>
      <c r="G359" s="411" t="s">
        <v>219</v>
      </c>
      <c r="H359" s="412">
        <v>7500</v>
      </c>
      <c r="I359" s="413" t="s">
        <v>76</v>
      </c>
      <c r="J359" s="414">
        <v>45006.552083333336</v>
      </c>
      <c r="K359" s="414"/>
      <c r="L359" s="414" t="s">
        <v>192</v>
      </c>
      <c r="M359" s="414" t="s">
        <v>192</v>
      </c>
      <c r="N359" s="413" t="str">
        <f t="shared" si="24"/>
        <v>DELAY ( 3 day 1 hour 45 minute )</v>
      </c>
      <c r="O359" s="51"/>
      <c r="P359" s="415" t="s">
        <v>551</v>
      </c>
      <c r="Q359" s="415" t="s">
        <v>551</v>
      </c>
      <c r="R359" s="415" t="s">
        <v>551</v>
      </c>
      <c r="S359" s="32"/>
      <c r="T359" s="416"/>
      <c r="U359" s="416"/>
      <c r="V359" s="416"/>
      <c r="W359" s="416"/>
      <c r="X359" s="416"/>
      <c r="Y359" s="416"/>
      <c r="Z359" s="416"/>
      <c r="AA359" s="416"/>
      <c r="AB359" s="416"/>
      <c r="AC359" s="416"/>
      <c r="AD359" s="416"/>
      <c r="AE359" s="416"/>
      <c r="AF359" s="416"/>
      <c r="AG359" s="416"/>
      <c r="AH359" s="416"/>
      <c r="AI359" s="416"/>
      <c r="AJ359" s="416"/>
      <c r="AK359" s="416">
        <f>H359</f>
        <v>7500</v>
      </c>
      <c r="AL359" s="416"/>
      <c r="AM359" s="416"/>
      <c r="AN359" s="416"/>
      <c r="AO359" s="416"/>
      <c r="AP359" s="416"/>
      <c r="AQ359" s="416"/>
      <c r="AR359" s="416"/>
      <c r="AS359" s="416"/>
      <c r="AT359" s="416"/>
      <c r="AU359" s="416"/>
      <c r="AV359" s="416"/>
      <c r="AW359" s="416"/>
      <c r="AX359" s="416"/>
      <c r="AY359" s="416"/>
      <c r="AZ359" s="32"/>
    </row>
    <row r="360" spans="2:52">
      <c r="B360" s="1254"/>
      <c r="C360" s="1255"/>
      <c r="D360" s="411" t="s">
        <v>984</v>
      </c>
      <c r="E360" s="411"/>
      <c r="F360" s="411" t="s">
        <v>201</v>
      </c>
      <c r="G360" s="411" t="s">
        <v>202</v>
      </c>
      <c r="H360" s="412">
        <v>7528.5450000000001</v>
      </c>
      <c r="I360" s="413" t="s">
        <v>240</v>
      </c>
      <c r="J360" s="414">
        <v>45007.572916666664</v>
      </c>
      <c r="K360" s="414"/>
      <c r="L360" s="414" t="s">
        <v>192</v>
      </c>
      <c r="M360" s="414" t="s">
        <v>192</v>
      </c>
      <c r="N360" s="413" t="str">
        <f t="shared" si="24"/>
        <v>DELAY ( 4 day 2 hour 15 minute )</v>
      </c>
      <c r="O360" s="51"/>
      <c r="P360" s="415" t="s">
        <v>551</v>
      </c>
      <c r="Q360" s="415" t="s">
        <v>551</v>
      </c>
      <c r="R360" s="415" t="s">
        <v>551</v>
      </c>
      <c r="S360" s="32"/>
      <c r="T360" s="416"/>
      <c r="U360" s="416"/>
      <c r="V360" s="416"/>
      <c r="W360" s="416"/>
      <c r="X360" s="416"/>
      <c r="Y360" s="416"/>
      <c r="Z360" s="416"/>
      <c r="AA360" s="416"/>
      <c r="AB360" s="416"/>
      <c r="AC360" s="416">
        <f>H360</f>
        <v>7528.5450000000001</v>
      </c>
      <c r="AD360" s="416"/>
      <c r="AE360" s="416"/>
      <c r="AF360" s="416"/>
      <c r="AG360" s="416"/>
      <c r="AH360" s="416"/>
      <c r="AI360" s="416"/>
      <c r="AJ360" s="416"/>
      <c r="AK360" s="416"/>
      <c r="AL360" s="416"/>
      <c r="AM360" s="416"/>
      <c r="AN360" s="416"/>
      <c r="AO360" s="416"/>
      <c r="AP360" s="416"/>
      <c r="AQ360" s="416"/>
      <c r="AR360" s="416"/>
      <c r="AS360" s="416"/>
      <c r="AT360" s="416"/>
      <c r="AU360" s="416"/>
      <c r="AV360" s="416"/>
      <c r="AW360" s="416"/>
      <c r="AX360" s="416"/>
      <c r="AY360" s="416"/>
      <c r="AZ360" s="32"/>
    </row>
    <row r="361" spans="2:52">
      <c r="B361" s="1256" t="s">
        <v>548</v>
      </c>
      <c r="C361" s="1257"/>
      <c r="D361" s="411" t="s">
        <v>985</v>
      </c>
      <c r="E361" s="411"/>
      <c r="F361" s="411" t="s">
        <v>390</v>
      </c>
      <c r="G361" s="411" t="s">
        <v>391</v>
      </c>
      <c r="H361" s="412">
        <f>7427.119-3308.327</f>
        <v>4118.7919999999995</v>
      </c>
      <c r="I361" s="413" t="s">
        <v>240</v>
      </c>
      <c r="J361" s="414">
        <v>45007.645833333336</v>
      </c>
      <c r="K361" s="414"/>
      <c r="L361" s="414" t="s">
        <v>192</v>
      </c>
      <c r="M361" s="414" t="s">
        <v>192</v>
      </c>
      <c r="N361" s="413" t="str">
        <f t="shared" si="24"/>
        <v>DELAY ( 4 day 4 hour 0 minute )</v>
      </c>
      <c r="O361" s="51"/>
      <c r="P361" s="415" t="s">
        <v>551</v>
      </c>
      <c r="Q361" s="415" t="s">
        <v>551</v>
      </c>
      <c r="R361" s="415" t="s">
        <v>551</v>
      </c>
      <c r="S361" s="32"/>
      <c r="T361" s="416"/>
      <c r="U361" s="416"/>
      <c r="V361" s="416"/>
      <c r="W361" s="416"/>
      <c r="X361" s="416"/>
      <c r="Y361" s="416"/>
      <c r="Z361" s="416"/>
      <c r="AA361" s="416"/>
      <c r="AB361" s="416"/>
      <c r="AC361" s="416">
        <f>H361</f>
        <v>4118.7919999999995</v>
      </c>
      <c r="AD361" s="416"/>
      <c r="AE361" s="416"/>
      <c r="AF361" s="416"/>
      <c r="AG361" s="416"/>
      <c r="AH361" s="416"/>
      <c r="AI361" s="416"/>
      <c r="AJ361" s="416"/>
      <c r="AK361" s="416"/>
      <c r="AL361" s="416"/>
      <c r="AM361" s="416"/>
      <c r="AN361" s="416"/>
      <c r="AO361" s="416"/>
      <c r="AP361" s="416"/>
      <c r="AQ361" s="416"/>
      <c r="AR361" s="416"/>
      <c r="AS361" s="416"/>
      <c r="AT361" s="416"/>
      <c r="AU361" s="416"/>
      <c r="AV361" s="416"/>
      <c r="AW361" s="416"/>
      <c r="AX361" s="416"/>
      <c r="AY361" s="416"/>
      <c r="AZ361" s="32"/>
    </row>
    <row r="362" spans="2:52">
      <c r="B362" s="1258" t="s">
        <v>556</v>
      </c>
      <c r="C362" s="1259"/>
      <c r="D362" s="1259"/>
      <c r="E362" s="1259"/>
      <c r="F362" s="1259"/>
      <c r="G362" s="1260"/>
      <c r="H362" s="417">
        <f>SUM(H353:H361)</f>
        <v>48600</v>
      </c>
      <c r="I362" s="388"/>
      <c r="J362" s="293"/>
      <c r="K362" s="293"/>
      <c r="L362" s="293"/>
      <c r="M362" s="389"/>
      <c r="N362" s="413" t="str">
        <f>IF(ISBLANK(J362)," ",IF(J362&lt;$F$4,"On time",(IF(DAY(J362-$F$4)&lt;1,"On time",(IF(J362&gt;$F$4,"DELAY ( "&amp;DAY(J362-$F$4)&amp;" day "&amp;HOUR(J362-$F$4)&amp;" hour "&amp;MINUTE(J362-$F$4)&amp;" minute )","xxx"))))))</f>
        <v xml:space="preserve"> </v>
      </c>
      <c r="O362" s="212"/>
      <c r="P362" s="418"/>
      <c r="Q362" s="418"/>
      <c r="R362" s="418"/>
      <c r="S362" s="207"/>
      <c r="T362" s="1262"/>
      <c r="U362" s="1263"/>
      <c r="V362" s="1263"/>
      <c r="W362" s="1263"/>
      <c r="X362" s="1263"/>
      <c r="Y362" s="1263"/>
      <c r="Z362" s="1263"/>
      <c r="AA362" s="1263"/>
      <c r="AB362" s="1263"/>
      <c r="AC362" s="1263"/>
      <c r="AD362" s="1263"/>
      <c r="AE362" s="1263"/>
      <c r="AF362" s="1263"/>
      <c r="AG362" s="1263"/>
      <c r="AH362" s="1263"/>
      <c r="AI362" s="1263"/>
      <c r="AJ362" s="1263"/>
      <c r="AK362" s="1263"/>
      <c r="AL362" s="1263"/>
      <c r="AM362" s="1263"/>
      <c r="AN362" s="1263"/>
      <c r="AO362" s="1263"/>
      <c r="AP362" s="1263"/>
      <c r="AQ362" s="1263"/>
      <c r="AR362" s="1263"/>
      <c r="AS362" s="1263"/>
      <c r="AT362" s="1263"/>
      <c r="AU362" s="1263"/>
      <c r="AV362" s="1263"/>
      <c r="AW362" s="1263"/>
      <c r="AX362" s="1263"/>
      <c r="AY362" s="1264"/>
    </row>
    <row r="363" spans="2:52">
      <c r="B363" s="1243" t="s">
        <v>557</v>
      </c>
      <c r="C363" s="1244"/>
      <c r="D363" s="1244"/>
      <c r="E363" s="1244"/>
      <c r="F363" s="1244"/>
      <c r="G363" s="1245"/>
      <c r="H363" s="419">
        <v>48600</v>
      </c>
      <c r="I363" s="1273"/>
      <c r="J363" s="1274"/>
      <c r="K363" s="1274"/>
      <c r="L363" s="1274"/>
      <c r="M363" s="1275"/>
      <c r="N363" s="413" t="str">
        <f>IF(ISBLANK(J363)," ",IF(J363&lt;$F$4,"On time",(IF(DAY(J363-$F$4)&lt;1,"On time",(IF(J363&gt;$F$4,"DELAY ( "&amp;DAY(J363-$F$4)&amp;" day "&amp;HOUR(J363-$F$4)&amp;" hour "&amp;MINUTE(J363-$F$4)&amp;" minute )","xxx"))))))</f>
        <v xml:space="preserve"> </v>
      </c>
      <c r="O363" s="32"/>
      <c r="P363" s="415"/>
      <c r="Q363" s="415"/>
      <c r="R363" s="415"/>
      <c r="S363" s="63"/>
      <c r="T363" s="416">
        <f t="shared" ref="T363:AY363" si="25">SUM(T353:T361)</f>
        <v>0</v>
      </c>
      <c r="U363" s="416">
        <f t="shared" si="25"/>
        <v>0</v>
      </c>
      <c r="V363" s="416">
        <f t="shared" si="25"/>
        <v>0</v>
      </c>
      <c r="W363" s="416">
        <f t="shared" si="25"/>
        <v>0</v>
      </c>
      <c r="X363" s="416">
        <f t="shared" si="25"/>
        <v>0</v>
      </c>
      <c r="Y363" s="416">
        <f t="shared" si="25"/>
        <v>0</v>
      </c>
      <c r="Z363" s="416">
        <f t="shared" si="25"/>
        <v>0</v>
      </c>
      <c r="AA363" s="416">
        <f t="shared" si="25"/>
        <v>0</v>
      </c>
      <c r="AB363" s="416">
        <f t="shared" si="25"/>
        <v>0</v>
      </c>
      <c r="AC363" s="416">
        <f t="shared" si="25"/>
        <v>35983</v>
      </c>
      <c r="AD363" s="416">
        <f t="shared" si="25"/>
        <v>0</v>
      </c>
      <c r="AE363" s="416">
        <f t="shared" si="25"/>
        <v>0</v>
      </c>
      <c r="AF363" s="416">
        <f t="shared" si="25"/>
        <v>0</v>
      </c>
      <c r="AG363" s="416">
        <f t="shared" si="25"/>
        <v>0</v>
      </c>
      <c r="AH363" s="416">
        <f t="shared" si="25"/>
        <v>0</v>
      </c>
      <c r="AI363" s="416">
        <f t="shared" si="25"/>
        <v>0</v>
      </c>
      <c r="AJ363" s="416">
        <f t="shared" si="25"/>
        <v>0</v>
      </c>
      <c r="AK363" s="416">
        <f t="shared" si="25"/>
        <v>7500</v>
      </c>
      <c r="AL363" s="416">
        <f t="shared" si="25"/>
        <v>0</v>
      </c>
      <c r="AM363" s="416">
        <f t="shared" si="25"/>
        <v>0</v>
      </c>
      <c r="AN363" s="416">
        <f t="shared" si="25"/>
        <v>0</v>
      </c>
      <c r="AO363" s="416">
        <f t="shared" si="25"/>
        <v>0</v>
      </c>
      <c r="AP363" s="416">
        <f t="shared" si="25"/>
        <v>0</v>
      </c>
      <c r="AQ363" s="416">
        <f t="shared" si="25"/>
        <v>0</v>
      </c>
      <c r="AR363" s="416">
        <f t="shared" si="25"/>
        <v>5117</v>
      </c>
      <c r="AS363" s="416">
        <f t="shared" si="25"/>
        <v>0</v>
      </c>
      <c r="AT363" s="416">
        <f t="shared" si="25"/>
        <v>0</v>
      </c>
      <c r="AU363" s="416">
        <f t="shared" si="25"/>
        <v>0</v>
      </c>
      <c r="AV363" s="416">
        <f t="shared" si="25"/>
        <v>0</v>
      </c>
      <c r="AW363" s="416">
        <f t="shared" si="25"/>
        <v>0</v>
      </c>
      <c r="AX363" s="416">
        <f t="shared" si="25"/>
        <v>0</v>
      </c>
      <c r="AY363" s="416">
        <f t="shared" si="25"/>
        <v>0</v>
      </c>
      <c r="AZ363" s="416">
        <f>SUM(T363:AY363)</f>
        <v>48600</v>
      </c>
    </row>
    <row r="364" spans="2:52">
      <c r="B364" s="1243" t="s">
        <v>558</v>
      </c>
      <c r="C364" s="1244"/>
      <c r="D364" s="1244"/>
      <c r="E364" s="1244"/>
      <c r="F364" s="1244"/>
      <c r="G364" s="1245"/>
      <c r="H364" s="420">
        <f>H363-L347</f>
        <v>0</v>
      </c>
      <c r="I364" s="294"/>
      <c r="J364" s="295"/>
      <c r="K364" s="295"/>
      <c r="L364" s="296"/>
      <c r="M364" s="32"/>
      <c r="N364" s="32"/>
      <c r="O364" s="32"/>
      <c r="P364" s="32"/>
      <c r="Q364" s="297"/>
      <c r="R364" s="297"/>
      <c r="S364" s="32"/>
      <c r="T364" s="48"/>
      <c r="U364" s="48"/>
      <c r="V364" s="48"/>
      <c r="W364" s="48"/>
      <c r="X364" s="48"/>
      <c r="Y364" s="48"/>
      <c r="Z364" s="48"/>
      <c r="AA364" s="48"/>
      <c r="AB364" s="48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</row>
    <row r="365" spans="2:52">
      <c r="B365" s="1243" t="s">
        <v>559</v>
      </c>
      <c r="C365" s="1244"/>
      <c r="D365" s="1244"/>
      <c r="E365" s="1244"/>
      <c r="F365" s="1244"/>
      <c r="G365" s="1245"/>
      <c r="H365" s="420">
        <v>3302</v>
      </c>
      <c r="I365" s="276">
        <v>2598.8359999999998</v>
      </c>
      <c r="J365" s="53"/>
      <c r="K365" s="53"/>
      <c r="L365" s="54"/>
      <c r="M365" s="32"/>
      <c r="N365" s="201"/>
      <c r="O365" s="32"/>
      <c r="P365" s="32"/>
      <c r="Q365" s="32"/>
      <c r="R365" s="32"/>
      <c r="S365" s="32"/>
      <c r="T365" s="48"/>
      <c r="U365" s="48"/>
      <c r="V365" s="48"/>
      <c r="W365" s="48"/>
      <c r="X365" s="48"/>
      <c r="Y365" s="48"/>
      <c r="Z365" s="48"/>
      <c r="AA365" s="48"/>
      <c r="AB365" s="48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</row>
    <row r="366" spans="2:52">
      <c r="B366" s="1243" t="s">
        <v>560</v>
      </c>
      <c r="C366" s="1244"/>
      <c r="D366" s="1244"/>
      <c r="E366" s="1244"/>
      <c r="F366" s="1244"/>
      <c r="G366" s="1245"/>
      <c r="H366" s="421">
        <f>H365-3308.327</f>
        <v>-6.3270000000002256</v>
      </c>
      <c r="I366" s="275">
        <f>I365-H365</f>
        <v>-703.16400000000021</v>
      </c>
      <c r="J366" s="53"/>
      <c r="K366" s="53"/>
      <c r="L366" s="54"/>
      <c r="M366" s="32"/>
      <c r="N366" s="32"/>
      <c r="O366" s="32"/>
      <c r="P366" s="32"/>
      <c r="Q366" s="32"/>
      <c r="R366" s="32"/>
      <c r="S366" s="48"/>
      <c r="T366" s="48"/>
      <c r="U366" s="48"/>
      <c r="V366" s="48"/>
      <c r="W366" s="48"/>
      <c r="X366" s="48"/>
      <c r="Y366" s="48"/>
      <c r="Z366" s="48"/>
      <c r="AA366" s="48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 spans="2:52">
      <c r="B367" s="40" t="s">
        <v>561</v>
      </c>
      <c r="C367" s="40"/>
      <c r="D367" s="32"/>
      <c r="E367" s="32"/>
      <c r="F367" s="32"/>
      <c r="G367" s="32"/>
      <c r="H367" s="32"/>
      <c r="I367" s="32"/>
      <c r="J367" s="52"/>
      <c r="K367" s="52"/>
      <c r="L367" s="55"/>
      <c r="M367" s="32"/>
      <c r="N367" s="201"/>
      <c r="O367" s="5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  <c r="AA367" s="202"/>
      <c r="AB367" s="201"/>
      <c r="AC367" s="201"/>
      <c r="AD367" s="201"/>
      <c r="AE367" s="201"/>
      <c r="AF367" s="201"/>
      <c r="AG367" s="201"/>
      <c r="AH367" s="201"/>
      <c r="AI367" s="201"/>
      <c r="AJ367" s="201"/>
      <c r="AK367" s="201"/>
      <c r="AL367" s="201"/>
      <c r="AM367" s="201"/>
      <c r="AN367" s="201"/>
      <c r="AO367" s="201"/>
      <c r="AP367" s="201"/>
      <c r="AQ367" s="201"/>
      <c r="AR367" s="201"/>
      <c r="AS367" s="201"/>
      <c r="AT367" s="201"/>
      <c r="AU367" s="201"/>
      <c r="AZ367" s="201"/>
    </row>
    <row r="368" spans="2:52">
      <c r="B368" s="422">
        <v>1</v>
      </c>
      <c r="C368" s="1249" t="s">
        <v>1162</v>
      </c>
      <c r="D368" s="1249"/>
      <c r="E368" s="1249"/>
      <c r="F368" s="1249"/>
      <c r="G368" s="1249"/>
      <c r="H368" s="1249"/>
      <c r="I368" s="1249"/>
      <c r="J368" s="1249"/>
      <c r="K368" s="1249"/>
      <c r="L368" s="203"/>
      <c r="M368" s="201"/>
      <c r="N368" s="201"/>
      <c r="O368" s="209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  <c r="AA368" s="202"/>
      <c r="AB368" s="201"/>
      <c r="AC368" s="201"/>
      <c r="AD368" s="201"/>
      <c r="AE368" s="201"/>
      <c r="AF368" s="201"/>
      <c r="AG368" s="201"/>
      <c r="AH368" s="201"/>
      <c r="AI368" s="201"/>
      <c r="AJ368" s="201"/>
      <c r="AK368" s="201"/>
      <c r="AL368" s="201"/>
      <c r="AM368" s="201"/>
      <c r="AN368" s="201"/>
      <c r="AO368" s="201"/>
      <c r="AP368" s="201"/>
      <c r="AQ368" s="201"/>
      <c r="AR368" s="201"/>
      <c r="AS368" s="201"/>
      <c r="AT368" s="201"/>
      <c r="AU368" s="201"/>
      <c r="AV368" s="201"/>
      <c r="AW368" s="201"/>
      <c r="AX368" s="201"/>
      <c r="AY368" s="201"/>
      <c r="AZ368" s="201"/>
    </row>
    <row r="370" spans="2:52">
      <c r="B370" s="28" t="s">
        <v>126</v>
      </c>
      <c r="C370" s="28"/>
      <c r="D370" s="29"/>
      <c r="E370" s="30" t="s">
        <v>511</v>
      </c>
      <c r="F370" s="31" t="s">
        <v>950</v>
      </c>
      <c r="G370" s="32"/>
      <c r="H370" s="33"/>
      <c r="I370" s="34"/>
      <c r="J370" s="35" t="s">
        <v>513</v>
      </c>
      <c r="K370" s="36" t="s">
        <v>511</v>
      </c>
      <c r="L370" s="37">
        <v>45008.244444444441</v>
      </c>
      <c r="M370" s="32"/>
      <c r="N370" s="32"/>
      <c r="O370" s="206"/>
      <c r="P370" s="205"/>
      <c r="Q370" s="202"/>
      <c r="R370" s="204"/>
      <c r="S370" s="38"/>
      <c r="T370" s="201"/>
      <c r="U370" s="201"/>
      <c r="V370" s="201"/>
      <c r="W370" s="201"/>
      <c r="X370" s="201"/>
      <c r="Y370" s="201"/>
      <c r="Z370" s="201"/>
      <c r="AA370" s="201"/>
      <c r="AB370" s="202"/>
      <c r="AC370" s="202"/>
      <c r="AD370" s="202"/>
      <c r="AE370" s="202"/>
      <c r="AF370" s="202"/>
      <c r="AG370" s="201"/>
      <c r="AH370" s="201"/>
      <c r="AI370" s="201"/>
      <c r="AJ370" s="201"/>
      <c r="AK370" s="201"/>
      <c r="AL370" s="201"/>
      <c r="AM370" s="201"/>
      <c r="AN370" s="201"/>
      <c r="AO370" s="201"/>
      <c r="AP370" s="201"/>
      <c r="AQ370" s="201"/>
      <c r="AR370" s="201"/>
      <c r="AS370" s="201"/>
      <c r="AT370" s="201"/>
      <c r="AU370" s="201"/>
      <c r="AV370" s="201"/>
      <c r="AW370" s="201"/>
      <c r="AX370" s="201"/>
      <c r="AY370" s="201"/>
      <c r="AZ370" s="201"/>
    </row>
    <row r="371" spans="2:52">
      <c r="B371" s="35" t="s">
        <v>514</v>
      </c>
      <c r="C371" s="35"/>
      <c r="D371" s="32"/>
      <c r="E371" s="36" t="s">
        <v>511</v>
      </c>
      <c r="F371" s="37" t="s">
        <v>1155</v>
      </c>
      <c r="G371" s="32"/>
      <c r="H371" s="33"/>
      <c r="I371" s="34"/>
      <c r="J371" s="35" t="s">
        <v>516</v>
      </c>
      <c r="K371" s="36" t="s">
        <v>511</v>
      </c>
      <c r="L371" s="37">
        <v>45009.675000000003</v>
      </c>
      <c r="M371" s="32"/>
      <c r="N371" s="32"/>
      <c r="O371" s="206"/>
      <c r="P371" s="205"/>
      <c r="Q371" s="202"/>
      <c r="R371" s="204"/>
      <c r="S371" s="38"/>
      <c r="T371" s="201"/>
      <c r="U371" s="201"/>
      <c r="V371" s="201"/>
      <c r="W371" s="201"/>
      <c r="X371" s="201"/>
      <c r="Y371" s="201"/>
      <c r="Z371" s="201"/>
      <c r="AA371" s="201"/>
      <c r="AB371" s="202"/>
      <c r="AC371" s="202"/>
      <c r="AD371" s="202"/>
      <c r="AE371" s="202"/>
      <c r="AF371" s="202"/>
      <c r="AG371" s="201"/>
      <c r="AH371" s="201"/>
      <c r="AI371" s="201"/>
      <c r="AJ371" s="201"/>
      <c r="AK371" s="201"/>
      <c r="AL371" s="201"/>
      <c r="AM371" s="201"/>
      <c r="AN371" s="201"/>
      <c r="AO371" s="201"/>
      <c r="AP371" s="201"/>
      <c r="AQ371" s="201"/>
      <c r="AR371" s="201"/>
      <c r="AS371" s="201"/>
      <c r="AT371" s="201"/>
      <c r="AU371" s="201"/>
      <c r="AV371" s="201"/>
      <c r="AW371" s="201"/>
      <c r="AX371" s="201"/>
      <c r="AY371" s="201"/>
      <c r="AZ371" s="201"/>
    </row>
    <row r="372" spans="2:52">
      <c r="B372" s="35" t="s">
        <v>517</v>
      </c>
      <c r="C372" s="35"/>
      <c r="D372" s="32"/>
      <c r="E372" s="36" t="s">
        <v>511</v>
      </c>
      <c r="F372" s="37">
        <v>45003.54583333333</v>
      </c>
      <c r="G372" s="32"/>
      <c r="H372" s="33"/>
      <c r="I372" s="34"/>
      <c r="J372" s="35" t="s">
        <v>518</v>
      </c>
      <c r="K372" s="36" t="s">
        <v>511</v>
      </c>
      <c r="L372" s="50">
        <v>68000</v>
      </c>
      <c r="M372" s="40" t="s">
        <v>519</v>
      </c>
      <c r="N372" s="40"/>
      <c r="O372" s="206"/>
      <c r="P372" s="205"/>
      <c r="Q372" s="202"/>
      <c r="R372" s="204"/>
      <c r="S372" s="38"/>
      <c r="T372" s="201"/>
      <c r="U372" s="201"/>
      <c r="V372" s="201"/>
      <c r="W372" s="201"/>
      <c r="X372" s="201"/>
      <c r="Y372" s="201"/>
      <c r="Z372" s="201"/>
      <c r="AA372" s="201"/>
      <c r="AB372" s="202"/>
      <c r="AC372" s="202"/>
      <c r="AD372" s="202"/>
      <c r="AE372" s="202"/>
      <c r="AF372" s="202"/>
      <c r="AG372" s="201"/>
      <c r="AH372" s="201"/>
      <c r="AI372" s="201"/>
      <c r="AJ372" s="201"/>
      <c r="AK372" s="201"/>
      <c r="AL372" s="201"/>
      <c r="AM372" s="201"/>
      <c r="AN372" s="201"/>
      <c r="AO372" s="201"/>
      <c r="AP372" s="201"/>
      <c r="AQ372" s="201"/>
      <c r="AR372" s="201"/>
      <c r="AS372" s="201"/>
      <c r="AT372" s="201"/>
      <c r="AU372" s="201"/>
      <c r="AV372" s="201"/>
      <c r="AW372" s="201"/>
      <c r="AX372" s="201"/>
      <c r="AY372" s="201"/>
      <c r="AZ372" s="201"/>
    </row>
    <row r="373" spans="2:52">
      <c r="B373" s="35" t="s">
        <v>520</v>
      </c>
      <c r="C373" s="35"/>
      <c r="D373" s="32"/>
      <c r="E373" s="36" t="s">
        <v>511</v>
      </c>
      <c r="F373" s="37" t="s">
        <v>20</v>
      </c>
      <c r="G373" s="32"/>
      <c r="H373" s="33"/>
      <c r="I373" s="34"/>
      <c r="J373" s="35" t="s">
        <v>521</v>
      </c>
      <c r="K373" s="36" t="s">
        <v>511</v>
      </c>
      <c r="L373" s="41" t="s">
        <v>1163</v>
      </c>
      <c r="M373" s="32"/>
      <c r="N373" s="32"/>
      <c r="O373" s="206"/>
      <c r="P373" s="202"/>
      <c r="Q373" s="202"/>
      <c r="R373" s="204"/>
      <c r="S373" s="38"/>
      <c r="T373" s="201"/>
      <c r="U373" s="201"/>
      <c r="V373" s="201"/>
      <c r="W373" s="201"/>
      <c r="X373" s="201"/>
      <c r="Y373" s="201"/>
      <c r="Z373" s="201"/>
      <c r="AA373" s="201"/>
      <c r="AB373" s="202"/>
      <c r="AC373" s="202"/>
      <c r="AD373" s="202"/>
      <c r="AE373" s="202"/>
      <c r="AF373" s="202"/>
      <c r="AG373" s="201"/>
      <c r="AH373" s="201"/>
      <c r="AI373" s="201"/>
      <c r="AJ373" s="201"/>
      <c r="AK373" s="201"/>
      <c r="AL373" s="201"/>
      <c r="AM373" s="201"/>
      <c r="AN373" s="201"/>
      <c r="AO373" s="201"/>
      <c r="AP373" s="201"/>
      <c r="AQ373" s="201"/>
      <c r="AR373" s="201"/>
      <c r="AS373" s="201"/>
      <c r="AT373" s="201"/>
      <c r="AU373" s="201"/>
      <c r="AV373" s="201"/>
      <c r="AW373" s="201"/>
      <c r="AX373" s="201"/>
      <c r="AY373" s="201"/>
      <c r="AZ373" s="201"/>
    </row>
    <row r="374" spans="2:52">
      <c r="B374" s="35" t="s">
        <v>523</v>
      </c>
      <c r="C374" s="35"/>
      <c r="D374" s="32"/>
      <c r="E374" s="36" t="s">
        <v>511</v>
      </c>
      <c r="F374" s="37" t="s">
        <v>47</v>
      </c>
      <c r="G374" s="32"/>
      <c r="H374" s="33"/>
      <c r="I374" s="34"/>
      <c r="J374" s="42" t="s">
        <v>524</v>
      </c>
      <c r="K374" s="36" t="s">
        <v>511</v>
      </c>
      <c r="L374" s="43" t="s">
        <v>15</v>
      </c>
      <c r="M374" s="44"/>
      <c r="N374" s="44"/>
      <c r="O374" s="206"/>
      <c r="P374" s="205"/>
      <c r="Q374" s="202"/>
      <c r="R374" s="204"/>
      <c r="S374" s="38"/>
      <c r="T374" s="201"/>
      <c r="U374" s="201"/>
      <c r="V374" s="201"/>
      <c r="W374" s="201"/>
      <c r="X374" s="201"/>
      <c r="Y374" s="201"/>
      <c r="Z374" s="201"/>
      <c r="AA374" s="201"/>
      <c r="AB374" s="202"/>
      <c r="AC374" s="202"/>
      <c r="AD374" s="202"/>
      <c r="AE374" s="202"/>
      <c r="AF374" s="202"/>
      <c r="AG374" s="201"/>
      <c r="AH374" s="201"/>
      <c r="AI374" s="201"/>
      <c r="AJ374" s="201"/>
      <c r="AK374" s="201"/>
      <c r="AL374" s="201"/>
      <c r="AM374" s="201"/>
      <c r="AN374" s="201"/>
      <c r="AO374" s="201"/>
      <c r="AP374" s="201"/>
      <c r="AQ374" s="201"/>
      <c r="AR374" s="201"/>
      <c r="AS374" s="201"/>
      <c r="AT374" s="201"/>
      <c r="AU374" s="201"/>
      <c r="AV374" s="201"/>
      <c r="AW374" s="201"/>
      <c r="AX374" s="201"/>
      <c r="AY374" s="201"/>
      <c r="AZ374" s="201"/>
    </row>
    <row r="375" spans="2:52">
      <c r="B375" s="35" t="s">
        <v>2</v>
      </c>
      <c r="C375" s="35"/>
      <c r="D375" s="32"/>
      <c r="E375" s="36" t="s">
        <v>511</v>
      </c>
      <c r="F375" s="37" t="s">
        <v>14</v>
      </c>
      <c r="G375" s="32"/>
      <c r="H375" s="33"/>
      <c r="I375" s="45"/>
      <c r="J375" s="42"/>
      <c r="K375" s="36"/>
      <c r="L375" s="211"/>
      <c r="M375" s="201"/>
      <c r="N375" s="201"/>
      <c r="O375" s="42"/>
      <c r="P375" s="44"/>
      <c r="Q375" s="44"/>
      <c r="R375" s="44"/>
      <c r="S375" s="34"/>
      <c r="T375" s="201"/>
      <c r="U375" s="201"/>
      <c r="V375" s="201"/>
      <c r="W375" s="201"/>
      <c r="X375" s="201"/>
      <c r="Y375" s="201"/>
      <c r="Z375" s="201"/>
      <c r="AA375" s="201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201"/>
      <c r="AP375" s="201"/>
      <c r="AQ375" s="201"/>
      <c r="AR375" s="201"/>
      <c r="AS375" s="201"/>
      <c r="AT375" s="201"/>
      <c r="AU375" s="201"/>
      <c r="AV375" s="201"/>
      <c r="AW375" s="201"/>
      <c r="AX375" s="201"/>
      <c r="AY375" s="201"/>
      <c r="AZ375" s="201"/>
    </row>
    <row r="376" spans="2:52">
      <c r="B376" s="201"/>
      <c r="C376" s="201"/>
      <c r="D376" s="201"/>
      <c r="E376" s="201"/>
      <c r="F376" s="201"/>
      <c r="G376" s="201"/>
      <c r="H376" s="201"/>
      <c r="I376" s="45"/>
      <c r="J376" s="42"/>
      <c r="K376" s="42"/>
      <c r="L376" s="43"/>
      <c r="M376" s="44"/>
      <c r="N376" s="44"/>
      <c r="O376" s="42"/>
      <c r="P376" s="44"/>
      <c r="Q376" s="44"/>
      <c r="R376" s="44"/>
      <c r="S376" s="34"/>
      <c r="T376" s="1265" t="s">
        <v>87</v>
      </c>
      <c r="U376" s="1265"/>
      <c r="V376" s="1265"/>
      <c r="W376" s="1265"/>
      <c r="X376" s="1265"/>
      <c r="Y376" s="1265" t="s">
        <v>73</v>
      </c>
      <c r="Z376" s="1265"/>
      <c r="AA376" s="1265"/>
      <c r="AB376" s="1265" t="s">
        <v>74</v>
      </c>
      <c r="AC376" s="1265"/>
      <c r="AD376" s="423" t="s">
        <v>85</v>
      </c>
      <c r="AE376" s="423" t="s">
        <v>77</v>
      </c>
      <c r="AF376" s="1265" t="s">
        <v>525</v>
      </c>
      <c r="AG376" s="1265"/>
      <c r="AH376" s="1265"/>
      <c r="AI376" s="1265"/>
      <c r="AJ376" s="1265"/>
      <c r="AK376" s="1265"/>
      <c r="AL376" s="1265"/>
      <c r="AM376" s="1265"/>
      <c r="AN376" s="1265"/>
      <c r="AO376" s="1265"/>
      <c r="AP376" s="1265"/>
      <c r="AQ376" s="1265"/>
      <c r="AR376" s="1265"/>
      <c r="AS376" s="1265"/>
      <c r="AT376" s="1265"/>
      <c r="AU376" s="1265"/>
      <c r="AV376" s="1265"/>
      <c r="AW376" s="1265"/>
      <c r="AX376" s="1265"/>
      <c r="AY376" s="1265"/>
      <c r="AZ376" s="201"/>
    </row>
    <row r="377" spans="2:52">
      <c r="B377" s="1266" t="s">
        <v>526</v>
      </c>
      <c r="C377" s="1267"/>
      <c r="D377" s="570" t="s">
        <v>527</v>
      </c>
      <c r="E377" s="570"/>
      <c r="F377" s="570" t="s">
        <v>528</v>
      </c>
      <c r="G377" s="570" t="s">
        <v>529</v>
      </c>
      <c r="H377" s="570" t="s">
        <v>530</v>
      </c>
      <c r="I377" s="570" t="s">
        <v>531</v>
      </c>
      <c r="J377" s="570" t="s">
        <v>532</v>
      </c>
      <c r="K377" s="570"/>
      <c r="L377" s="570" t="s">
        <v>130</v>
      </c>
      <c r="M377" s="570" t="s">
        <v>533</v>
      </c>
      <c r="N377" s="408" t="str">
        <f>"On time - "&amp;COUNTIF(N378:N386,"On time")&amp;" from "&amp;ROWS(N378:N386)-COUNTIF(N378:N386," ")</f>
        <v>On time - 9 from 9</v>
      </c>
      <c r="O377" s="46"/>
      <c r="P377" s="409" t="s">
        <v>534</v>
      </c>
      <c r="Q377" s="409" t="s">
        <v>535</v>
      </c>
      <c r="R377" s="409" t="s">
        <v>536</v>
      </c>
      <c r="S377" s="32"/>
      <c r="T377" s="424" t="s">
        <v>537</v>
      </c>
      <c r="U377" s="424" t="s">
        <v>538</v>
      </c>
      <c r="V377" s="424" t="s">
        <v>539</v>
      </c>
      <c r="W377" s="424" t="s">
        <v>540</v>
      </c>
      <c r="X377" s="424" t="s">
        <v>541</v>
      </c>
      <c r="Y377" s="424" t="s">
        <v>167</v>
      </c>
      <c r="Z377" s="424" t="s">
        <v>168</v>
      </c>
      <c r="AA377" s="424" t="s">
        <v>169</v>
      </c>
      <c r="AB377" s="424" t="s">
        <v>235</v>
      </c>
      <c r="AC377" s="424" t="s">
        <v>240</v>
      </c>
      <c r="AD377" s="423" t="s">
        <v>85</v>
      </c>
      <c r="AE377" s="424" t="s">
        <v>139</v>
      </c>
      <c r="AF377" s="424" t="s">
        <v>72</v>
      </c>
      <c r="AG377" s="424" t="s">
        <v>88</v>
      </c>
      <c r="AH377" s="424" t="s">
        <v>75</v>
      </c>
      <c r="AI377" s="424" t="s">
        <v>543</v>
      </c>
      <c r="AJ377" s="424" t="s">
        <v>78</v>
      </c>
      <c r="AK377" s="424" t="s">
        <v>76</v>
      </c>
      <c r="AL377" s="424" t="s">
        <v>544</v>
      </c>
      <c r="AM377" s="424" t="s">
        <v>545</v>
      </c>
      <c r="AN377" s="424" t="s">
        <v>86</v>
      </c>
      <c r="AO377" s="424" t="s">
        <v>83</v>
      </c>
      <c r="AP377" s="424" t="s">
        <v>84</v>
      </c>
      <c r="AQ377" s="424" t="s">
        <v>546</v>
      </c>
      <c r="AR377" s="424" t="s">
        <v>81</v>
      </c>
      <c r="AS377" s="424" t="s">
        <v>80</v>
      </c>
      <c r="AT377" s="424" t="s">
        <v>82</v>
      </c>
      <c r="AU377" s="424" t="s">
        <v>181</v>
      </c>
      <c r="AV377" s="424" t="s">
        <v>183</v>
      </c>
      <c r="AW377" s="424" t="s">
        <v>547</v>
      </c>
      <c r="AX377" s="424" t="s">
        <v>182</v>
      </c>
      <c r="AY377" s="424" t="s">
        <v>172</v>
      </c>
      <c r="AZ377" s="201"/>
    </row>
    <row r="378" spans="2:52">
      <c r="B378" s="1256">
        <v>1</v>
      </c>
      <c r="C378" s="1257"/>
      <c r="D378" s="411" t="s">
        <v>1057</v>
      </c>
      <c r="E378" s="411"/>
      <c r="F378" s="411" t="s">
        <v>721</v>
      </c>
      <c r="G378" s="411" t="s">
        <v>722</v>
      </c>
      <c r="H378" s="412">
        <v>7563.9430000000002</v>
      </c>
      <c r="I378" s="413" t="s">
        <v>182</v>
      </c>
      <c r="J378" s="414">
        <v>44990.180555555555</v>
      </c>
      <c r="K378" s="414"/>
      <c r="L378" s="414" t="s">
        <v>192</v>
      </c>
      <c r="M378" s="414" t="s">
        <v>192</v>
      </c>
      <c r="N378" s="413" t="str">
        <f>IF(ISBLANK(J378)," ",IF(J378&lt;$F$372,"On time",(IF(DAY(J378-$F$372)&lt;1,"On time",(IF(J378&gt;$F$372,"DELAY ( "&amp;DAY(J378-$F$372)&amp;" day "&amp;HOUR(J378-$F$372)&amp;" hour "&amp;MINUTE(J378-$F$372)&amp;" minute )","xxx"))))))</f>
        <v>On time</v>
      </c>
      <c r="O378" s="51"/>
      <c r="P378" s="415" t="s">
        <v>551</v>
      </c>
      <c r="Q378" s="415" t="s">
        <v>551</v>
      </c>
      <c r="R378" s="415" t="s">
        <v>551</v>
      </c>
      <c r="S378" s="32"/>
      <c r="T378" s="416"/>
      <c r="U378" s="416"/>
      <c r="V378" s="416"/>
      <c r="W378" s="416"/>
      <c r="X378" s="416"/>
      <c r="Y378" s="416"/>
      <c r="Z378" s="416"/>
      <c r="AA378" s="416"/>
      <c r="AB378" s="416"/>
      <c r="AC378" s="416"/>
      <c r="AD378" s="416"/>
      <c r="AE378" s="416"/>
      <c r="AF378" s="416"/>
      <c r="AG378" s="416"/>
      <c r="AH378" s="416"/>
      <c r="AI378" s="416"/>
      <c r="AJ378" s="416"/>
      <c r="AK378" s="416"/>
      <c r="AL378" s="416"/>
      <c r="AM378" s="416"/>
      <c r="AN378" s="416"/>
      <c r="AO378" s="416"/>
      <c r="AP378" s="416"/>
      <c r="AQ378" s="416"/>
      <c r="AR378" s="416"/>
      <c r="AS378" s="416"/>
      <c r="AT378" s="416"/>
      <c r="AU378" s="416"/>
      <c r="AV378" s="416"/>
      <c r="AW378" s="416"/>
      <c r="AX378" s="416">
        <f>H378</f>
        <v>7563.9430000000002</v>
      </c>
      <c r="AY378" s="416"/>
      <c r="AZ378" s="32"/>
    </row>
    <row r="379" spans="2:52">
      <c r="B379" s="1256">
        <v>2</v>
      </c>
      <c r="C379" s="1257"/>
      <c r="D379" s="411" t="s">
        <v>1068</v>
      </c>
      <c r="E379" s="411"/>
      <c r="F379" s="411" t="s">
        <v>793</v>
      </c>
      <c r="G379" s="411" t="s">
        <v>794</v>
      </c>
      <c r="H379" s="412">
        <v>5213.2250000000004</v>
      </c>
      <c r="I379" s="413" t="s">
        <v>183</v>
      </c>
      <c r="J379" s="414">
        <v>44991.763888888891</v>
      </c>
      <c r="K379" s="414"/>
      <c r="L379" s="414" t="s">
        <v>192</v>
      </c>
      <c r="M379" s="414" t="s">
        <v>192</v>
      </c>
      <c r="N379" s="413" t="str">
        <f t="shared" ref="N379:N389" si="26">IF(ISBLANK(J379)," ",IF(J379&lt;$F$372,"On time",(IF(DAY(J379-$F$372)&lt;1,"On time",(IF(J379&gt;$F$372,"DELAY ( "&amp;DAY(J379-$F$372)&amp;" day "&amp;HOUR(J379-$F$372)&amp;" hour "&amp;MINUTE(J379-$F$372)&amp;" minute )","xxx"))))))</f>
        <v>On time</v>
      </c>
      <c r="O379" s="51"/>
      <c r="P379" s="415" t="s">
        <v>551</v>
      </c>
      <c r="Q379" s="415" t="s">
        <v>551</v>
      </c>
      <c r="R379" s="415" t="s">
        <v>551</v>
      </c>
      <c r="S379" s="32"/>
      <c r="T379" s="416"/>
      <c r="U379" s="416"/>
      <c r="V379" s="416"/>
      <c r="W379" s="416"/>
      <c r="X379" s="416"/>
      <c r="Y379" s="416"/>
      <c r="Z379" s="416"/>
      <c r="AA379" s="416"/>
      <c r="AB379" s="416"/>
      <c r="AC379" s="416"/>
      <c r="AD379" s="416"/>
      <c r="AE379" s="416"/>
      <c r="AF379" s="416"/>
      <c r="AG379" s="416"/>
      <c r="AH379" s="416"/>
      <c r="AI379" s="416"/>
      <c r="AJ379" s="416"/>
      <c r="AK379" s="416"/>
      <c r="AL379" s="416"/>
      <c r="AM379" s="416"/>
      <c r="AN379" s="416"/>
      <c r="AO379" s="416"/>
      <c r="AP379" s="416"/>
      <c r="AQ379" s="416"/>
      <c r="AR379" s="416"/>
      <c r="AS379" s="416"/>
      <c r="AT379" s="416"/>
      <c r="AU379" s="416"/>
      <c r="AV379" s="416">
        <f>H379</f>
        <v>5213.2250000000004</v>
      </c>
      <c r="AW379" s="416"/>
      <c r="AX379" s="416"/>
      <c r="AY379" s="416"/>
      <c r="AZ379" s="32"/>
    </row>
    <row r="380" spans="2:52">
      <c r="B380" s="1256">
        <v>3</v>
      </c>
      <c r="C380" s="1257"/>
      <c r="D380" s="411" t="s">
        <v>953</v>
      </c>
      <c r="E380" s="411"/>
      <c r="F380" s="411" t="s">
        <v>429</v>
      </c>
      <c r="G380" s="411" t="s">
        <v>430</v>
      </c>
      <c r="H380" s="412">
        <v>7685.6490000000003</v>
      </c>
      <c r="I380" s="413" t="s">
        <v>235</v>
      </c>
      <c r="J380" s="414">
        <v>44996.975694444445</v>
      </c>
      <c r="K380" s="414"/>
      <c r="L380" s="414" t="s">
        <v>192</v>
      </c>
      <c r="M380" s="414" t="s">
        <v>192</v>
      </c>
      <c r="N380" s="413" t="str">
        <f t="shared" si="26"/>
        <v>On time</v>
      </c>
      <c r="O380" s="51"/>
      <c r="P380" s="415" t="s">
        <v>551</v>
      </c>
      <c r="Q380" s="415" t="s">
        <v>551</v>
      </c>
      <c r="R380" s="415" t="s">
        <v>551</v>
      </c>
      <c r="S380" s="32"/>
      <c r="T380" s="416"/>
      <c r="U380" s="416"/>
      <c r="V380" s="416"/>
      <c r="W380" s="416"/>
      <c r="X380" s="416"/>
      <c r="Y380" s="416"/>
      <c r="Z380" s="416"/>
      <c r="AA380" s="416"/>
      <c r="AB380" s="416">
        <f>H380</f>
        <v>7685.6490000000003</v>
      </c>
      <c r="AC380" s="416"/>
      <c r="AD380" s="416"/>
      <c r="AE380" s="416"/>
      <c r="AF380" s="416"/>
      <c r="AG380" s="416"/>
      <c r="AH380" s="416"/>
      <c r="AI380" s="416"/>
      <c r="AJ380" s="416"/>
      <c r="AK380" s="416"/>
      <c r="AL380" s="416"/>
      <c r="AM380" s="416"/>
      <c r="AN380" s="416"/>
      <c r="AO380" s="416"/>
      <c r="AP380" s="416"/>
      <c r="AQ380" s="416"/>
      <c r="AR380" s="416"/>
      <c r="AS380" s="416"/>
      <c r="AT380" s="416"/>
      <c r="AU380" s="416"/>
      <c r="AV380" s="416"/>
      <c r="AW380" s="416"/>
      <c r="AX380" s="416"/>
      <c r="AY380" s="416"/>
      <c r="AZ380" s="32"/>
    </row>
    <row r="381" spans="2:52">
      <c r="B381" s="1256">
        <v>4</v>
      </c>
      <c r="C381" s="1257"/>
      <c r="D381" s="411" t="s">
        <v>955</v>
      </c>
      <c r="E381" s="411"/>
      <c r="F381" s="411" t="s">
        <v>349</v>
      </c>
      <c r="G381" s="411" t="s">
        <v>350</v>
      </c>
      <c r="H381" s="412">
        <v>7525.8159999999998</v>
      </c>
      <c r="I381" s="413" t="s">
        <v>581</v>
      </c>
      <c r="J381" s="414">
        <v>44997.291666666664</v>
      </c>
      <c r="K381" s="414"/>
      <c r="L381" s="414" t="s">
        <v>192</v>
      </c>
      <c r="M381" s="414" t="s">
        <v>192</v>
      </c>
      <c r="N381" s="413" t="str">
        <f t="shared" si="26"/>
        <v>On time</v>
      </c>
      <c r="O381" s="51"/>
      <c r="P381" s="415" t="s">
        <v>551</v>
      </c>
      <c r="Q381" s="415" t="s">
        <v>551</v>
      </c>
      <c r="R381" s="415" t="s">
        <v>551</v>
      </c>
      <c r="S381" s="32"/>
      <c r="T381" s="416"/>
      <c r="U381" s="416"/>
      <c r="V381" s="416"/>
      <c r="W381" s="416"/>
      <c r="X381" s="416"/>
      <c r="Y381" s="416"/>
      <c r="Z381" s="416"/>
      <c r="AA381" s="416"/>
      <c r="AB381" s="416">
        <f>H381*0.75</f>
        <v>5644.3620000000001</v>
      </c>
      <c r="AC381" s="416">
        <f>H381*0.25</f>
        <v>1881.454</v>
      </c>
      <c r="AD381" s="416"/>
      <c r="AE381" s="416"/>
      <c r="AF381" s="416"/>
      <c r="AG381" s="416"/>
      <c r="AH381" s="416"/>
      <c r="AI381" s="416"/>
      <c r="AJ381" s="416"/>
      <c r="AK381" s="416"/>
      <c r="AL381" s="416"/>
      <c r="AM381" s="416"/>
      <c r="AN381" s="416"/>
      <c r="AO381" s="416"/>
      <c r="AP381" s="416"/>
      <c r="AQ381" s="416"/>
      <c r="AR381" s="416"/>
      <c r="AS381" s="416"/>
      <c r="AT381" s="416"/>
      <c r="AU381" s="416"/>
      <c r="AV381" s="416"/>
      <c r="AW381" s="416"/>
      <c r="AX381" s="416"/>
      <c r="AY381" s="416"/>
      <c r="AZ381" s="32"/>
    </row>
    <row r="382" spans="2:52">
      <c r="B382" s="1256">
        <v>5</v>
      </c>
      <c r="C382" s="1257"/>
      <c r="D382" s="411" t="s">
        <v>951</v>
      </c>
      <c r="E382" s="411"/>
      <c r="F382" s="411" t="s">
        <v>505</v>
      </c>
      <c r="G382" s="411" t="s">
        <v>506</v>
      </c>
      <c r="H382" s="412">
        <v>7597.5119999999997</v>
      </c>
      <c r="I382" s="413" t="s">
        <v>235</v>
      </c>
      <c r="J382" s="414">
        <v>44997.708333333336</v>
      </c>
      <c r="K382" s="414"/>
      <c r="L382" s="414" t="s">
        <v>192</v>
      </c>
      <c r="M382" s="414" t="s">
        <v>192</v>
      </c>
      <c r="N382" s="413" t="str">
        <f t="shared" si="26"/>
        <v>On time</v>
      </c>
      <c r="O382" s="51"/>
      <c r="P382" s="415" t="s">
        <v>551</v>
      </c>
      <c r="Q382" s="415" t="s">
        <v>551</v>
      </c>
      <c r="R382" s="415" t="s">
        <v>551</v>
      </c>
      <c r="S382" s="32"/>
      <c r="T382" s="416"/>
      <c r="U382" s="416"/>
      <c r="V382" s="416"/>
      <c r="W382" s="416"/>
      <c r="X382" s="416"/>
      <c r="Y382" s="416"/>
      <c r="Z382" s="416"/>
      <c r="AA382" s="416"/>
      <c r="AB382" s="416">
        <f>H382</f>
        <v>7597.5119999999997</v>
      </c>
      <c r="AC382" s="416"/>
      <c r="AD382" s="416"/>
      <c r="AE382" s="416"/>
      <c r="AF382" s="416"/>
      <c r="AG382" s="416"/>
      <c r="AH382" s="416"/>
      <c r="AI382" s="416"/>
      <c r="AJ382" s="416"/>
      <c r="AK382" s="416"/>
      <c r="AL382" s="416"/>
      <c r="AM382" s="416"/>
      <c r="AN382" s="416"/>
      <c r="AO382" s="416"/>
      <c r="AP382" s="416"/>
      <c r="AQ382" s="416"/>
      <c r="AR382" s="416"/>
      <c r="AS382" s="416"/>
      <c r="AT382" s="416"/>
      <c r="AU382" s="416"/>
      <c r="AV382" s="416"/>
      <c r="AW382" s="416"/>
      <c r="AX382" s="416"/>
      <c r="AY382" s="416"/>
      <c r="AZ382" s="32"/>
    </row>
    <row r="383" spans="2:52">
      <c r="B383" s="1256">
        <v>6</v>
      </c>
      <c r="C383" s="1257"/>
      <c r="D383" s="411" t="s">
        <v>957</v>
      </c>
      <c r="E383" s="411"/>
      <c r="F383" s="411" t="s">
        <v>437</v>
      </c>
      <c r="G383" s="411" t="s">
        <v>320</v>
      </c>
      <c r="H383" s="412">
        <v>7020.3720000000003</v>
      </c>
      <c r="I383" s="413" t="s">
        <v>581</v>
      </c>
      <c r="J383" s="414">
        <v>44997.833333333336</v>
      </c>
      <c r="K383" s="414"/>
      <c r="L383" s="414" t="s">
        <v>192</v>
      </c>
      <c r="M383" s="414" t="s">
        <v>192</v>
      </c>
      <c r="N383" s="413" t="str">
        <f t="shared" si="26"/>
        <v>On time</v>
      </c>
      <c r="O383" s="51"/>
      <c r="P383" s="415" t="s">
        <v>551</v>
      </c>
      <c r="Q383" s="415" t="s">
        <v>551</v>
      </c>
      <c r="R383" s="415" t="s">
        <v>551</v>
      </c>
      <c r="S383" s="32"/>
      <c r="T383" s="416"/>
      <c r="U383" s="416"/>
      <c r="V383" s="416"/>
      <c r="W383" s="416"/>
      <c r="X383" s="416"/>
      <c r="Y383" s="416"/>
      <c r="Z383" s="416"/>
      <c r="AA383" s="416"/>
      <c r="AB383" s="416">
        <f>H383*0.75</f>
        <v>5265.2790000000005</v>
      </c>
      <c r="AC383" s="416">
        <f>H383*0.25</f>
        <v>1755.0930000000001</v>
      </c>
      <c r="AD383" s="416"/>
      <c r="AE383" s="416"/>
      <c r="AF383" s="416"/>
      <c r="AG383" s="416"/>
      <c r="AH383" s="416"/>
      <c r="AI383" s="416"/>
      <c r="AJ383" s="416"/>
      <c r="AK383" s="416"/>
      <c r="AL383" s="416"/>
      <c r="AM383" s="416"/>
      <c r="AN383" s="416"/>
      <c r="AO383" s="416"/>
      <c r="AP383" s="416"/>
      <c r="AQ383" s="416"/>
      <c r="AR383" s="416"/>
      <c r="AS383" s="416"/>
      <c r="AT383" s="416"/>
      <c r="AU383" s="416"/>
      <c r="AV383" s="416"/>
      <c r="AW383" s="416"/>
      <c r="AX383" s="416"/>
      <c r="AY383" s="416"/>
      <c r="AZ383" s="32"/>
    </row>
    <row r="384" spans="2:52">
      <c r="B384" s="1256">
        <v>7</v>
      </c>
      <c r="C384" s="1257"/>
      <c r="D384" s="411" t="s">
        <v>952</v>
      </c>
      <c r="E384" s="411"/>
      <c r="F384" s="411" t="s">
        <v>205</v>
      </c>
      <c r="G384" s="411" t="s">
        <v>206</v>
      </c>
      <c r="H384" s="412">
        <v>7628.1940000000004</v>
      </c>
      <c r="I384" s="413" t="s">
        <v>235</v>
      </c>
      <c r="J384" s="414">
        <v>44998.013888888891</v>
      </c>
      <c r="K384" s="414"/>
      <c r="L384" s="414" t="s">
        <v>192</v>
      </c>
      <c r="M384" s="414" t="s">
        <v>192</v>
      </c>
      <c r="N384" s="413" t="str">
        <f t="shared" si="26"/>
        <v>On time</v>
      </c>
      <c r="O384" s="51"/>
      <c r="P384" s="415" t="s">
        <v>551</v>
      </c>
      <c r="Q384" s="415" t="s">
        <v>551</v>
      </c>
      <c r="R384" s="415" t="s">
        <v>551</v>
      </c>
      <c r="S384" s="32"/>
      <c r="T384" s="416"/>
      <c r="U384" s="416"/>
      <c r="V384" s="416"/>
      <c r="W384" s="416"/>
      <c r="X384" s="416"/>
      <c r="Y384" s="416"/>
      <c r="Z384" s="416"/>
      <c r="AA384" s="416"/>
      <c r="AB384" s="416">
        <f>H384</f>
        <v>7628.1940000000004</v>
      </c>
      <c r="AC384" s="416"/>
      <c r="AD384" s="416"/>
      <c r="AE384" s="416"/>
      <c r="AF384" s="416"/>
      <c r="AG384" s="416"/>
      <c r="AH384" s="416"/>
      <c r="AI384" s="416"/>
      <c r="AJ384" s="416"/>
      <c r="AK384" s="416"/>
      <c r="AL384" s="416"/>
      <c r="AM384" s="416"/>
      <c r="AN384" s="416"/>
      <c r="AO384" s="416"/>
      <c r="AP384" s="416"/>
      <c r="AQ384" s="416"/>
      <c r="AR384" s="416"/>
      <c r="AS384" s="416"/>
      <c r="AT384" s="416"/>
      <c r="AU384" s="416"/>
      <c r="AV384" s="416"/>
      <c r="AW384" s="416"/>
      <c r="AX384" s="416"/>
      <c r="AY384" s="416"/>
      <c r="AZ384" s="32"/>
    </row>
    <row r="385" spans="2:52">
      <c r="B385" s="1256">
        <v>8</v>
      </c>
      <c r="C385" s="1257"/>
      <c r="D385" s="411" t="s">
        <v>954</v>
      </c>
      <c r="E385" s="411"/>
      <c r="F385" s="411" t="s">
        <v>330</v>
      </c>
      <c r="G385" s="411" t="s">
        <v>331</v>
      </c>
      <c r="H385" s="412">
        <v>7403.7079999999996</v>
      </c>
      <c r="I385" s="413" t="s">
        <v>581</v>
      </c>
      <c r="J385" s="414">
        <v>44998.104166666664</v>
      </c>
      <c r="K385" s="414"/>
      <c r="L385" s="414" t="s">
        <v>192</v>
      </c>
      <c r="M385" s="414" t="s">
        <v>192</v>
      </c>
      <c r="N385" s="413" t="str">
        <f t="shared" si="26"/>
        <v>On time</v>
      </c>
      <c r="O385" s="51"/>
      <c r="P385" s="415" t="s">
        <v>551</v>
      </c>
      <c r="Q385" s="415" t="s">
        <v>551</v>
      </c>
      <c r="R385" s="415" t="s">
        <v>551</v>
      </c>
      <c r="S385" s="32"/>
      <c r="T385" s="416"/>
      <c r="U385" s="416"/>
      <c r="V385" s="416"/>
      <c r="W385" s="416"/>
      <c r="X385" s="416"/>
      <c r="Y385" s="416"/>
      <c r="Z385" s="416"/>
      <c r="AA385" s="416"/>
      <c r="AB385" s="416">
        <f>H385*0.75</f>
        <v>5552.7809999999999</v>
      </c>
      <c r="AC385" s="416">
        <f>H385*0.25</f>
        <v>1850.9269999999999</v>
      </c>
      <c r="AD385" s="416"/>
      <c r="AE385" s="416"/>
      <c r="AF385" s="416"/>
      <c r="AG385" s="416"/>
      <c r="AH385" s="416"/>
      <c r="AI385" s="416"/>
      <c r="AJ385" s="416"/>
      <c r="AK385" s="416"/>
      <c r="AL385" s="416"/>
      <c r="AM385" s="416"/>
      <c r="AN385" s="416"/>
      <c r="AO385" s="416"/>
      <c r="AP385" s="416"/>
      <c r="AQ385" s="416"/>
      <c r="AR385" s="416"/>
      <c r="AS385" s="416"/>
      <c r="AT385" s="416"/>
      <c r="AU385" s="416"/>
      <c r="AV385" s="416"/>
      <c r="AW385" s="416"/>
      <c r="AX385" s="416"/>
      <c r="AY385" s="416"/>
      <c r="AZ385" s="32"/>
    </row>
    <row r="386" spans="2:52">
      <c r="B386" s="1256">
        <v>9</v>
      </c>
      <c r="C386" s="1257"/>
      <c r="D386" s="411" t="s">
        <v>960</v>
      </c>
      <c r="E386" s="411"/>
      <c r="F386" s="411" t="s">
        <v>721</v>
      </c>
      <c r="G386" s="411" t="s">
        <v>722</v>
      </c>
      <c r="H386" s="412">
        <v>7723.3119999999999</v>
      </c>
      <c r="I386" s="413" t="s">
        <v>581</v>
      </c>
      <c r="J386" s="414">
        <v>45000.583333333336</v>
      </c>
      <c r="K386" s="414"/>
      <c r="L386" s="414" t="s">
        <v>192</v>
      </c>
      <c r="M386" s="414" t="s">
        <v>192</v>
      </c>
      <c r="N386" s="413" t="str">
        <f t="shared" si="26"/>
        <v>On time</v>
      </c>
      <c r="O386" s="51"/>
      <c r="P386" s="415" t="s">
        <v>551</v>
      </c>
      <c r="Q386" s="415" t="s">
        <v>551</v>
      </c>
      <c r="R386" s="415" t="s">
        <v>551</v>
      </c>
      <c r="S386" s="32"/>
      <c r="T386" s="416"/>
      <c r="U386" s="416"/>
      <c r="V386" s="416"/>
      <c r="W386" s="416"/>
      <c r="X386" s="416"/>
      <c r="Y386" s="416"/>
      <c r="Z386" s="416"/>
      <c r="AA386" s="416"/>
      <c r="AB386" s="416">
        <f>H386*0.75</f>
        <v>5792.4840000000004</v>
      </c>
      <c r="AC386" s="416">
        <f>H386*0.25</f>
        <v>1930.828</v>
      </c>
      <c r="AD386" s="416"/>
      <c r="AE386" s="416"/>
      <c r="AF386" s="416"/>
      <c r="AG386" s="416"/>
      <c r="AH386" s="416"/>
      <c r="AI386" s="416"/>
      <c r="AJ386" s="416"/>
      <c r="AK386" s="416"/>
      <c r="AL386" s="416"/>
      <c r="AM386" s="416"/>
      <c r="AN386" s="416"/>
      <c r="AO386" s="416"/>
      <c r="AP386" s="416"/>
      <c r="AQ386" s="416"/>
      <c r="AR386" s="416"/>
      <c r="AS386" s="416"/>
      <c r="AT386" s="416"/>
      <c r="AU386" s="416"/>
      <c r="AV386" s="416"/>
      <c r="AW386" s="416"/>
      <c r="AX386" s="416"/>
      <c r="AY386" s="416"/>
      <c r="AZ386" s="32"/>
    </row>
    <row r="387" spans="2:52">
      <c r="B387" s="1256" t="s">
        <v>610</v>
      </c>
      <c r="C387" s="1276"/>
      <c r="D387" s="1276"/>
      <c r="E387" s="1276"/>
      <c r="F387" s="1276"/>
      <c r="G387" s="1257"/>
      <c r="H387" s="412">
        <f>H389-SUM(H378:H386)</f>
        <v>2638.268999999993</v>
      </c>
      <c r="I387" s="413" t="s">
        <v>1164</v>
      </c>
      <c r="J387" s="414"/>
      <c r="K387" s="414"/>
      <c r="L387" s="414"/>
      <c r="M387" s="414"/>
      <c r="N387" s="413" t="str">
        <f t="shared" si="26"/>
        <v xml:space="preserve"> </v>
      </c>
      <c r="O387" s="265"/>
      <c r="P387" s="432" t="s">
        <v>551</v>
      </c>
      <c r="Q387" s="432"/>
      <c r="R387" s="432"/>
      <c r="S387" s="32"/>
      <c r="T387" s="428"/>
      <c r="U387" s="428"/>
      <c r="V387" s="428"/>
      <c r="W387" s="428"/>
      <c r="X387" s="428">
        <f>H387</f>
        <v>2638.268999999993</v>
      </c>
      <c r="Y387" s="428"/>
      <c r="Z387" s="428"/>
      <c r="AA387" s="428"/>
      <c r="AB387" s="428"/>
      <c r="AC387" s="428"/>
      <c r="AD387" s="428"/>
      <c r="AE387" s="428"/>
      <c r="AF387" s="428"/>
      <c r="AG387" s="428"/>
      <c r="AH387" s="428"/>
      <c r="AI387" s="428"/>
      <c r="AJ387" s="428"/>
      <c r="AK387" s="428"/>
      <c r="AL387" s="428"/>
      <c r="AM387" s="428"/>
      <c r="AN387" s="428"/>
      <c r="AO387" s="428"/>
      <c r="AP387" s="428"/>
      <c r="AQ387" s="428"/>
      <c r="AR387" s="428"/>
      <c r="AS387" s="428"/>
      <c r="AT387" s="428"/>
      <c r="AU387" s="428"/>
      <c r="AV387" s="428"/>
      <c r="AW387" s="428"/>
      <c r="AX387" s="428"/>
      <c r="AY387" s="428"/>
      <c r="AZ387" s="207"/>
    </row>
    <row r="388" spans="2:52">
      <c r="B388" s="1258" t="s">
        <v>556</v>
      </c>
      <c r="C388" s="1259"/>
      <c r="D388" s="1259"/>
      <c r="E388" s="1259"/>
      <c r="F388" s="1259"/>
      <c r="G388" s="1260"/>
      <c r="H388" s="417">
        <f>SUM(H378:H387)</f>
        <v>68000</v>
      </c>
      <c r="I388" s="388"/>
      <c r="J388" s="293"/>
      <c r="K388" s="293"/>
      <c r="L388" s="293"/>
      <c r="M388" s="389"/>
      <c r="N388" s="413" t="str">
        <f t="shared" si="26"/>
        <v xml:space="preserve"> </v>
      </c>
      <c r="O388" s="212"/>
      <c r="P388" s="418"/>
      <c r="Q388" s="418"/>
      <c r="R388" s="418"/>
      <c r="S388" s="207"/>
      <c r="T388" s="1262"/>
      <c r="U388" s="1263"/>
      <c r="V388" s="1263"/>
      <c r="W388" s="1263"/>
      <c r="X388" s="1263"/>
      <c r="Y388" s="1263"/>
      <c r="Z388" s="1263"/>
      <c r="AA388" s="1263"/>
      <c r="AB388" s="1263"/>
      <c r="AC388" s="1263"/>
      <c r="AD388" s="1263"/>
      <c r="AE388" s="1263"/>
      <c r="AF388" s="1263"/>
      <c r="AG388" s="1263"/>
      <c r="AH388" s="1263"/>
      <c r="AI388" s="1263"/>
      <c r="AJ388" s="1263"/>
      <c r="AK388" s="1263"/>
      <c r="AL388" s="1263"/>
      <c r="AM388" s="1263"/>
      <c r="AN388" s="1263"/>
      <c r="AO388" s="1263"/>
      <c r="AP388" s="1263"/>
      <c r="AQ388" s="1263"/>
      <c r="AR388" s="1263"/>
      <c r="AS388" s="1263"/>
      <c r="AT388" s="1263"/>
      <c r="AU388" s="1263"/>
      <c r="AV388" s="1263"/>
      <c r="AW388" s="1263"/>
      <c r="AX388" s="1263"/>
      <c r="AY388" s="1264"/>
    </row>
    <row r="389" spans="2:52">
      <c r="B389" s="1243" t="s">
        <v>557</v>
      </c>
      <c r="C389" s="1244"/>
      <c r="D389" s="1244"/>
      <c r="E389" s="1244"/>
      <c r="F389" s="1244"/>
      <c r="G389" s="1245"/>
      <c r="H389" s="419">
        <v>68000</v>
      </c>
      <c r="I389" s="1246"/>
      <c r="J389" s="1247"/>
      <c r="K389" s="1247"/>
      <c r="L389" s="1247"/>
      <c r="M389" s="1248"/>
      <c r="N389" s="413" t="str">
        <f t="shared" si="26"/>
        <v xml:space="preserve"> </v>
      </c>
      <c r="O389" s="32"/>
      <c r="P389" s="415"/>
      <c r="Q389" s="415"/>
      <c r="R389" s="415"/>
      <c r="S389" s="63"/>
      <c r="T389" s="416">
        <f t="shared" ref="T389:AY389" si="27">SUM(T378:T387)</f>
        <v>0</v>
      </c>
      <c r="U389" s="416">
        <f t="shared" si="27"/>
        <v>0</v>
      </c>
      <c r="V389" s="416">
        <f t="shared" si="27"/>
        <v>0</v>
      </c>
      <c r="W389" s="416">
        <f t="shared" si="27"/>
        <v>0</v>
      </c>
      <c r="X389" s="416">
        <f t="shared" si="27"/>
        <v>2638.268999999993</v>
      </c>
      <c r="Y389" s="416">
        <f t="shared" si="27"/>
        <v>0</v>
      </c>
      <c r="Z389" s="416">
        <f t="shared" si="27"/>
        <v>0</v>
      </c>
      <c r="AA389" s="416">
        <f t="shared" si="27"/>
        <v>0</v>
      </c>
      <c r="AB389" s="416">
        <f t="shared" si="27"/>
        <v>45166.261000000013</v>
      </c>
      <c r="AC389" s="416">
        <f t="shared" si="27"/>
        <v>7418.3019999999997</v>
      </c>
      <c r="AD389" s="416">
        <f t="shared" si="27"/>
        <v>0</v>
      </c>
      <c r="AE389" s="416">
        <f t="shared" si="27"/>
        <v>0</v>
      </c>
      <c r="AF389" s="416">
        <f t="shared" si="27"/>
        <v>0</v>
      </c>
      <c r="AG389" s="416">
        <f t="shared" si="27"/>
        <v>0</v>
      </c>
      <c r="AH389" s="416">
        <f t="shared" si="27"/>
        <v>0</v>
      </c>
      <c r="AI389" s="416">
        <f t="shared" si="27"/>
        <v>0</v>
      </c>
      <c r="AJ389" s="416">
        <f t="shared" si="27"/>
        <v>0</v>
      </c>
      <c r="AK389" s="416">
        <f t="shared" si="27"/>
        <v>0</v>
      </c>
      <c r="AL389" s="416">
        <f t="shared" si="27"/>
        <v>0</v>
      </c>
      <c r="AM389" s="416">
        <f t="shared" si="27"/>
        <v>0</v>
      </c>
      <c r="AN389" s="416">
        <f t="shared" si="27"/>
        <v>0</v>
      </c>
      <c r="AO389" s="416">
        <f t="shared" si="27"/>
        <v>0</v>
      </c>
      <c r="AP389" s="416">
        <f t="shared" si="27"/>
        <v>0</v>
      </c>
      <c r="AQ389" s="416">
        <f t="shared" si="27"/>
        <v>0</v>
      </c>
      <c r="AR389" s="416">
        <f t="shared" si="27"/>
        <v>0</v>
      </c>
      <c r="AS389" s="416">
        <f t="shared" si="27"/>
        <v>0</v>
      </c>
      <c r="AT389" s="416">
        <f t="shared" si="27"/>
        <v>0</v>
      </c>
      <c r="AU389" s="416">
        <f t="shared" si="27"/>
        <v>0</v>
      </c>
      <c r="AV389" s="416">
        <f t="shared" si="27"/>
        <v>5213.2250000000004</v>
      </c>
      <c r="AW389" s="416">
        <f t="shared" si="27"/>
        <v>0</v>
      </c>
      <c r="AX389" s="416">
        <f t="shared" si="27"/>
        <v>7563.9430000000002</v>
      </c>
      <c r="AY389" s="416">
        <f t="shared" si="27"/>
        <v>0</v>
      </c>
      <c r="AZ389" s="416">
        <f>SUM(T389:AY389)</f>
        <v>68000.000000000015</v>
      </c>
    </row>
    <row r="390" spans="2:52">
      <c r="B390" s="1243" t="s">
        <v>558</v>
      </c>
      <c r="C390" s="1244"/>
      <c r="D390" s="1244"/>
      <c r="E390" s="1244"/>
      <c r="F390" s="1244"/>
      <c r="G390" s="1245"/>
      <c r="H390" s="420">
        <f>H389-L372</f>
        <v>0</v>
      </c>
      <c r="I390" s="294"/>
      <c r="J390" s="295"/>
      <c r="K390" s="295"/>
      <c r="L390" s="296"/>
      <c r="M390" s="32"/>
      <c r="N390" s="32"/>
      <c r="O390" s="32"/>
      <c r="P390" s="32"/>
      <c r="Q390" s="297"/>
      <c r="R390" s="297"/>
      <c r="S390" s="32"/>
      <c r="T390" s="48"/>
      <c r="U390" s="48"/>
      <c r="V390" s="48"/>
      <c r="W390" s="48"/>
      <c r="X390" s="48"/>
      <c r="Y390" s="48"/>
      <c r="Z390" s="48"/>
      <c r="AA390" s="48"/>
      <c r="AB390" s="48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</row>
    <row r="391" spans="2:52">
      <c r="B391" s="1243" t="s">
        <v>559</v>
      </c>
      <c r="C391" s="1244"/>
      <c r="D391" s="1244"/>
      <c r="E391" s="1244"/>
      <c r="F391" s="1244"/>
      <c r="G391" s="1245"/>
      <c r="H391" s="420">
        <f>H388-H389</f>
        <v>0</v>
      </c>
      <c r="I391" s="52"/>
      <c r="J391" s="53"/>
      <c r="K391" s="53"/>
      <c r="L391" s="54"/>
      <c r="M391" s="32"/>
      <c r="N391" s="201"/>
      <c r="O391" s="32"/>
      <c r="P391" s="32"/>
      <c r="Q391" s="32"/>
      <c r="R391" s="32"/>
      <c r="S391" s="32"/>
      <c r="T391" s="48"/>
      <c r="U391" s="48"/>
      <c r="V391" s="48"/>
      <c r="W391" s="48"/>
      <c r="X391" s="48"/>
      <c r="Y391" s="48"/>
      <c r="Z391" s="48"/>
      <c r="AA391" s="48"/>
      <c r="AB391" s="48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</row>
    <row r="392" spans="2:52">
      <c r="B392" s="201"/>
      <c r="C392" s="201"/>
      <c r="D392" s="201"/>
      <c r="E392" s="201"/>
      <c r="F392" s="201"/>
      <c r="G392" s="201"/>
      <c r="H392" s="201"/>
      <c r="I392" s="213"/>
      <c r="J392" s="209"/>
      <c r="K392" s="209"/>
      <c r="L392" s="203"/>
      <c r="M392" s="201"/>
      <c r="N392" s="201"/>
      <c r="O392" s="209"/>
      <c r="P392" s="32"/>
      <c r="Q392" s="32"/>
      <c r="R392" s="32"/>
      <c r="S392" s="32"/>
      <c r="T392" s="48"/>
      <c r="U392" s="48"/>
      <c r="V392" s="48"/>
      <c r="W392" s="48"/>
      <c r="X392" s="48"/>
      <c r="Y392" s="48"/>
      <c r="Z392" s="48"/>
      <c r="AA392" s="48"/>
      <c r="AB392" s="48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</row>
    <row r="393" spans="2:52">
      <c r="B393" s="40" t="s">
        <v>561</v>
      </c>
      <c r="C393" s="40"/>
      <c r="D393" s="32"/>
      <c r="E393" s="32"/>
      <c r="F393" s="32"/>
      <c r="G393" s="32"/>
      <c r="H393" s="32"/>
      <c r="I393" s="32"/>
      <c r="J393" s="52"/>
      <c r="K393" s="52"/>
      <c r="L393" s="55"/>
      <c r="M393" s="32"/>
      <c r="N393" s="201"/>
      <c r="O393" s="5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  <c r="AA393" s="202"/>
      <c r="AB393" s="201"/>
      <c r="AC393" s="201"/>
      <c r="AD393" s="201"/>
      <c r="AE393" s="201"/>
      <c r="AF393" s="201"/>
      <c r="AG393" s="201"/>
      <c r="AH393" s="201"/>
      <c r="AI393" s="201"/>
      <c r="AJ393" s="201"/>
      <c r="AK393" s="201"/>
      <c r="AL393" s="201"/>
      <c r="AM393" s="201"/>
      <c r="AN393" s="201"/>
      <c r="AO393" s="201"/>
      <c r="AP393" s="201"/>
      <c r="AQ393" s="201"/>
      <c r="AR393" s="201"/>
      <c r="AS393" s="201"/>
      <c r="AT393" s="201"/>
      <c r="AU393" s="201"/>
      <c r="AZ393" s="201"/>
    </row>
    <row r="394" spans="2:52">
      <c r="B394" s="422"/>
      <c r="C394" s="1249"/>
      <c r="D394" s="1249"/>
      <c r="E394" s="1249"/>
      <c r="F394" s="1249"/>
      <c r="G394" s="1249"/>
      <c r="H394" s="1249"/>
      <c r="I394" s="1249"/>
      <c r="J394" s="1249"/>
      <c r="K394" s="1249"/>
      <c r="L394" s="203"/>
      <c r="M394" s="203"/>
      <c r="N394" s="201"/>
      <c r="O394" s="209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  <c r="AA394" s="202"/>
      <c r="AB394" s="201"/>
      <c r="AC394" s="201"/>
      <c r="AD394" s="201"/>
      <c r="AE394" s="201"/>
      <c r="AF394" s="201"/>
      <c r="AG394" s="201"/>
      <c r="AH394" s="201"/>
      <c r="AI394" s="201"/>
      <c r="AJ394" s="201"/>
      <c r="AK394" s="201"/>
      <c r="AL394" s="201"/>
      <c r="AM394" s="201"/>
      <c r="AN394" s="201"/>
      <c r="AO394" s="201"/>
      <c r="AP394" s="201"/>
      <c r="AQ394" s="201"/>
      <c r="AR394" s="201"/>
      <c r="AS394" s="201"/>
      <c r="AT394" s="201"/>
      <c r="AU394" s="201"/>
      <c r="AV394" s="201"/>
      <c r="AW394" s="201"/>
      <c r="AX394" s="201"/>
      <c r="AY394" s="201"/>
      <c r="AZ394" s="201"/>
    </row>
    <row r="396" spans="2:52">
      <c r="B396" s="28" t="s">
        <v>126</v>
      </c>
      <c r="C396" s="28"/>
      <c r="D396" s="29"/>
      <c r="E396" s="30" t="s">
        <v>511</v>
      </c>
      <c r="F396" s="31" t="s">
        <v>988</v>
      </c>
      <c r="G396" s="32"/>
      <c r="H396" s="33"/>
      <c r="I396" s="34"/>
      <c r="J396" s="35" t="s">
        <v>513</v>
      </c>
      <c r="K396" s="36" t="s">
        <v>511</v>
      </c>
      <c r="L396" s="37">
        <v>45011.416666666664</v>
      </c>
      <c r="M396" s="32"/>
      <c r="N396" s="32"/>
      <c r="O396" s="206"/>
      <c r="P396" s="205"/>
      <c r="Q396" s="202"/>
      <c r="R396" s="204"/>
      <c r="S396" s="38"/>
      <c r="T396" s="201"/>
      <c r="U396" s="201"/>
      <c r="V396" s="201"/>
      <c r="W396" s="201"/>
      <c r="X396" s="201"/>
      <c r="Y396" s="201"/>
      <c r="Z396" s="201"/>
      <c r="AA396" s="201"/>
      <c r="AB396" s="202"/>
      <c r="AC396" s="202"/>
      <c r="AD396" s="202"/>
      <c r="AE396" s="202"/>
      <c r="AF396" s="202"/>
      <c r="AG396" s="201"/>
      <c r="AH396" s="201"/>
      <c r="AI396" s="201"/>
      <c r="AJ396" s="201"/>
      <c r="AK396" s="201"/>
      <c r="AL396" s="201"/>
      <c r="AM396" s="201"/>
      <c r="AN396" s="201"/>
      <c r="AO396" s="201"/>
      <c r="AP396" s="201"/>
      <c r="AQ396" s="201"/>
      <c r="AR396" s="201"/>
      <c r="AS396" s="201"/>
      <c r="AT396" s="201"/>
      <c r="AU396" s="201"/>
      <c r="AV396" s="201"/>
      <c r="AW396" s="201"/>
      <c r="AX396" s="201"/>
      <c r="AY396" s="201"/>
      <c r="AZ396" s="201"/>
    </row>
    <row r="397" spans="2:52">
      <c r="B397" s="35" t="s">
        <v>514</v>
      </c>
      <c r="C397" s="35"/>
      <c r="D397" s="32"/>
      <c r="E397" s="36" t="s">
        <v>511</v>
      </c>
      <c r="F397" s="37" t="s">
        <v>1165</v>
      </c>
      <c r="G397" s="32"/>
      <c r="H397" s="33"/>
      <c r="I397" s="34"/>
      <c r="J397" s="35" t="s">
        <v>516</v>
      </c>
      <c r="K397" s="36" t="s">
        <v>511</v>
      </c>
      <c r="L397" s="37">
        <v>45013.916666666664</v>
      </c>
      <c r="M397" s="32"/>
      <c r="N397" s="32"/>
      <c r="O397" s="206"/>
      <c r="P397" s="205"/>
      <c r="Q397" s="202"/>
      <c r="R397" s="204"/>
      <c r="S397" s="38"/>
      <c r="T397" s="201"/>
      <c r="U397" s="201"/>
      <c r="V397" s="201"/>
      <c r="W397" s="201"/>
      <c r="X397" s="201"/>
      <c r="Y397" s="201"/>
      <c r="Z397" s="201"/>
      <c r="AA397" s="201"/>
      <c r="AB397" s="202"/>
      <c r="AC397" s="202"/>
      <c r="AD397" s="202"/>
      <c r="AE397" s="202"/>
      <c r="AF397" s="202"/>
      <c r="AG397" s="201"/>
      <c r="AH397" s="201"/>
      <c r="AI397" s="201"/>
      <c r="AJ397" s="201"/>
      <c r="AK397" s="201"/>
      <c r="AL397" s="201"/>
      <c r="AM397" s="201"/>
      <c r="AN397" s="201"/>
      <c r="AO397" s="201"/>
      <c r="AP397" s="201"/>
      <c r="AQ397" s="201"/>
      <c r="AR397" s="201"/>
      <c r="AS397" s="201"/>
      <c r="AT397" s="201"/>
      <c r="AU397" s="201"/>
      <c r="AV397" s="201"/>
      <c r="AW397" s="201"/>
      <c r="AX397" s="201"/>
      <c r="AY397" s="201"/>
      <c r="AZ397" s="201"/>
    </row>
    <row r="398" spans="2:52">
      <c r="B398" s="35" t="s">
        <v>517</v>
      </c>
      <c r="C398" s="35"/>
      <c r="D398" s="32"/>
      <c r="E398" s="36" t="s">
        <v>511</v>
      </c>
      <c r="F398" s="37">
        <v>45008.541666666664</v>
      </c>
      <c r="G398" s="32"/>
      <c r="H398" s="33"/>
      <c r="I398" s="34"/>
      <c r="J398" s="35" t="s">
        <v>518</v>
      </c>
      <c r="K398" s="36" t="s">
        <v>511</v>
      </c>
      <c r="L398" s="50">
        <v>74350</v>
      </c>
      <c r="M398" s="40" t="s">
        <v>519</v>
      </c>
      <c r="N398" s="40"/>
      <c r="O398" s="206"/>
      <c r="P398" s="205"/>
      <c r="Q398" s="202"/>
      <c r="R398" s="204"/>
      <c r="S398" s="38"/>
      <c r="T398" s="201"/>
      <c r="U398" s="201"/>
      <c r="V398" s="201"/>
      <c r="W398" s="201"/>
      <c r="X398" s="201"/>
      <c r="Y398" s="201"/>
      <c r="Z398" s="201"/>
      <c r="AA398" s="201"/>
      <c r="AB398" s="202"/>
      <c r="AC398" s="202"/>
      <c r="AD398" s="202"/>
      <c r="AE398" s="202"/>
      <c r="AF398" s="202"/>
      <c r="AG398" s="201"/>
      <c r="AH398" s="201"/>
      <c r="AI398" s="201"/>
      <c r="AJ398" s="201"/>
      <c r="AK398" s="201"/>
      <c r="AL398" s="201"/>
      <c r="AM398" s="201"/>
      <c r="AN398" s="201"/>
      <c r="AO398" s="201"/>
      <c r="AP398" s="201"/>
      <c r="AQ398" s="201"/>
      <c r="AR398" s="201"/>
      <c r="AS398" s="201"/>
      <c r="AT398" s="201"/>
      <c r="AU398" s="201"/>
      <c r="AV398" s="201"/>
      <c r="AW398" s="201"/>
      <c r="AX398" s="201"/>
      <c r="AY398" s="201"/>
      <c r="AZ398" s="201"/>
    </row>
    <row r="399" spans="2:52">
      <c r="B399" s="35" t="s">
        <v>520</v>
      </c>
      <c r="C399" s="35"/>
      <c r="D399" s="32"/>
      <c r="E399" s="36" t="s">
        <v>511</v>
      </c>
      <c r="F399" s="37" t="s">
        <v>4</v>
      </c>
      <c r="G399" s="32"/>
      <c r="H399" s="33"/>
      <c r="I399" s="34"/>
      <c r="J399" s="35" t="s">
        <v>521</v>
      </c>
      <c r="K399" s="36" t="s">
        <v>511</v>
      </c>
      <c r="L399" s="41" t="s">
        <v>1166</v>
      </c>
      <c r="M399" s="32"/>
      <c r="N399" s="32"/>
      <c r="O399" s="206"/>
      <c r="P399" s="202"/>
      <c r="Q399" s="202"/>
      <c r="R399" s="204"/>
      <c r="S399" s="38"/>
      <c r="T399" s="201"/>
      <c r="U399" s="201"/>
      <c r="V399" s="201"/>
      <c r="W399" s="201"/>
      <c r="X399" s="201"/>
      <c r="Y399" s="201"/>
      <c r="Z399" s="201"/>
      <c r="AA399" s="201"/>
      <c r="AB399" s="202"/>
      <c r="AC399" s="202"/>
      <c r="AD399" s="202"/>
      <c r="AE399" s="202"/>
      <c r="AF399" s="202"/>
      <c r="AG399" s="201"/>
      <c r="AH399" s="201"/>
      <c r="AI399" s="201"/>
      <c r="AJ399" s="201"/>
      <c r="AK399" s="201"/>
      <c r="AL399" s="201"/>
      <c r="AM399" s="201"/>
      <c r="AN399" s="201"/>
      <c r="AO399" s="201"/>
      <c r="AP399" s="201"/>
      <c r="AQ399" s="201"/>
      <c r="AR399" s="201"/>
      <c r="AS399" s="201"/>
      <c r="AT399" s="201"/>
      <c r="AU399" s="201"/>
      <c r="AV399" s="201"/>
      <c r="AW399" s="201"/>
      <c r="AX399" s="201"/>
      <c r="AY399" s="201"/>
      <c r="AZ399" s="201"/>
    </row>
    <row r="400" spans="2:52">
      <c r="B400" s="35" t="s">
        <v>523</v>
      </c>
      <c r="C400" s="35"/>
      <c r="D400" s="32"/>
      <c r="E400" s="36" t="s">
        <v>511</v>
      </c>
      <c r="F400" s="37" t="s">
        <v>5</v>
      </c>
      <c r="G400" s="32"/>
      <c r="H400" s="33"/>
      <c r="I400" s="34"/>
      <c r="J400" s="42" t="s">
        <v>524</v>
      </c>
      <c r="K400" s="36" t="s">
        <v>511</v>
      </c>
      <c r="L400" s="43" t="s">
        <v>15</v>
      </c>
      <c r="M400" s="44"/>
      <c r="N400" s="44"/>
      <c r="O400" s="206"/>
      <c r="P400" s="205"/>
      <c r="Q400" s="202"/>
      <c r="R400" s="204"/>
      <c r="S400" s="38"/>
      <c r="T400" s="201"/>
      <c r="U400" s="201"/>
      <c r="V400" s="201"/>
      <c r="W400" s="201"/>
      <c r="X400" s="201"/>
      <c r="Y400" s="201"/>
      <c r="Z400" s="201"/>
      <c r="AA400" s="201"/>
      <c r="AB400" s="202"/>
      <c r="AC400" s="202"/>
      <c r="AD400" s="202"/>
      <c r="AE400" s="202"/>
      <c r="AF400" s="202"/>
      <c r="AG400" s="201"/>
      <c r="AH400" s="201"/>
      <c r="AI400" s="201"/>
      <c r="AJ400" s="201"/>
      <c r="AK400" s="201"/>
      <c r="AL400" s="201"/>
      <c r="AM400" s="201"/>
      <c r="AN400" s="201"/>
      <c r="AO400" s="201"/>
      <c r="AP400" s="201"/>
      <c r="AQ400" s="201"/>
      <c r="AR400" s="201"/>
      <c r="AS400" s="201"/>
      <c r="AT400" s="201"/>
      <c r="AU400" s="201"/>
      <c r="AV400" s="201"/>
      <c r="AW400" s="201"/>
      <c r="AX400" s="201"/>
      <c r="AY400" s="201"/>
      <c r="AZ400" s="201"/>
    </row>
    <row r="401" spans="2:52">
      <c r="B401" s="35" t="s">
        <v>2</v>
      </c>
      <c r="C401" s="35"/>
      <c r="D401" s="32"/>
      <c r="E401" s="36" t="s">
        <v>511</v>
      </c>
      <c r="F401" s="37" t="s">
        <v>6</v>
      </c>
      <c r="G401" s="32"/>
      <c r="H401" s="33"/>
      <c r="I401" s="45"/>
      <c r="J401" s="42"/>
      <c r="K401" s="36"/>
      <c r="L401" s="211"/>
      <c r="M401" s="201"/>
      <c r="N401" s="201"/>
      <c r="O401" s="42"/>
      <c r="P401" s="44"/>
      <c r="Q401" s="44"/>
      <c r="R401" s="44"/>
      <c r="S401" s="34"/>
      <c r="T401" s="201"/>
      <c r="U401" s="201"/>
      <c r="V401" s="201"/>
      <c r="W401" s="201"/>
      <c r="X401" s="201"/>
      <c r="Y401" s="201"/>
      <c r="Z401" s="201"/>
      <c r="AA401" s="201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201"/>
      <c r="AP401" s="201"/>
      <c r="AQ401" s="201"/>
      <c r="AR401" s="201"/>
      <c r="AS401" s="201"/>
      <c r="AT401" s="201"/>
      <c r="AU401" s="201"/>
      <c r="AV401" s="201"/>
      <c r="AW401" s="201"/>
      <c r="AX401" s="201"/>
      <c r="AY401" s="201"/>
      <c r="AZ401" s="201"/>
    </row>
    <row r="402" spans="2:52">
      <c r="B402" s="201"/>
      <c r="C402" s="201"/>
      <c r="D402" s="201"/>
      <c r="E402" s="201"/>
      <c r="F402" s="201"/>
      <c r="G402" s="201"/>
      <c r="H402" s="201"/>
      <c r="I402" s="45"/>
      <c r="J402" s="42"/>
      <c r="K402" s="42"/>
      <c r="L402" s="43"/>
      <c r="M402" s="44"/>
      <c r="N402" s="44"/>
      <c r="O402" s="42"/>
      <c r="P402" s="44"/>
      <c r="Q402" s="44"/>
      <c r="R402" s="44"/>
      <c r="S402" s="34"/>
      <c r="T402" s="1265" t="s">
        <v>87</v>
      </c>
      <c r="U402" s="1265"/>
      <c r="V402" s="1265"/>
      <c r="W402" s="1265"/>
      <c r="X402" s="1265"/>
      <c r="Y402" s="1265" t="s">
        <v>73</v>
      </c>
      <c r="Z402" s="1265"/>
      <c r="AA402" s="1265"/>
      <c r="AB402" s="1265" t="s">
        <v>74</v>
      </c>
      <c r="AC402" s="1265"/>
      <c r="AD402" s="423" t="s">
        <v>85</v>
      </c>
      <c r="AE402" s="423" t="s">
        <v>77</v>
      </c>
      <c r="AF402" s="1265" t="s">
        <v>525</v>
      </c>
      <c r="AG402" s="1265"/>
      <c r="AH402" s="1265"/>
      <c r="AI402" s="1265"/>
      <c r="AJ402" s="1265"/>
      <c r="AK402" s="1265"/>
      <c r="AL402" s="1265"/>
      <c r="AM402" s="1265"/>
      <c r="AN402" s="1265"/>
      <c r="AO402" s="1265"/>
      <c r="AP402" s="1265"/>
      <c r="AQ402" s="1265"/>
      <c r="AR402" s="1265"/>
      <c r="AS402" s="1265"/>
      <c r="AT402" s="1265"/>
      <c r="AU402" s="1265"/>
      <c r="AV402" s="1265"/>
      <c r="AW402" s="1265"/>
      <c r="AX402" s="1265"/>
      <c r="AY402" s="1265"/>
      <c r="AZ402" s="201"/>
    </row>
    <row r="403" spans="2:52">
      <c r="B403" s="1266" t="s">
        <v>526</v>
      </c>
      <c r="C403" s="1267"/>
      <c r="D403" s="570" t="s">
        <v>527</v>
      </c>
      <c r="E403" s="570"/>
      <c r="F403" s="570" t="s">
        <v>528</v>
      </c>
      <c r="G403" s="570" t="s">
        <v>529</v>
      </c>
      <c r="H403" s="570" t="s">
        <v>530</v>
      </c>
      <c r="I403" s="570" t="s">
        <v>531</v>
      </c>
      <c r="J403" s="570" t="s">
        <v>532</v>
      </c>
      <c r="K403" s="570"/>
      <c r="L403" s="570" t="s">
        <v>130</v>
      </c>
      <c r="M403" s="570" t="s">
        <v>533</v>
      </c>
      <c r="N403" s="408" t="str">
        <f>"On time - "&amp;COUNTIF(N404:N424,"On time")&amp;" from "&amp;ROWS(N404:N424)-COUNTIF(N404:N424," ")</f>
        <v>On time - 5 from 10</v>
      </c>
      <c r="O403" s="46"/>
      <c r="P403" s="409" t="s">
        <v>534</v>
      </c>
      <c r="Q403" s="409" t="s">
        <v>535</v>
      </c>
      <c r="R403" s="409" t="s">
        <v>536</v>
      </c>
      <c r="S403" s="32"/>
      <c r="T403" s="424" t="s">
        <v>537</v>
      </c>
      <c r="U403" s="424" t="s">
        <v>538</v>
      </c>
      <c r="V403" s="424" t="s">
        <v>539</v>
      </c>
      <c r="W403" s="424" t="s">
        <v>540</v>
      </c>
      <c r="X403" s="424" t="s">
        <v>541</v>
      </c>
      <c r="Y403" s="424" t="s">
        <v>167</v>
      </c>
      <c r="Z403" s="424" t="s">
        <v>168</v>
      </c>
      <c r="AA403" s="424" t="s">
        <v>169</v>
      </c>
      <c r="AB403" s="424" t="s">
        <v>235</v>
      </c>
      <c r="AC403" s="424" t="s">
        <v>240</v>
      </c>
      <c r="AD403" s="423" t="s">
        <v>85</v>
      </c>
      <c r="AE403" s="424" t="s">
        <v>139</v>
      </c>
      <c r="AF403" s="424" t="s">
        <v>72</v>
      </c>
      <c r="AG403" s="424" t="s">
        <v>88</v>
      </c>
      <c r="AH403" s="424" t="s">
        <v>75</v>
      </c>
      <c r="AI403" s="424" t="s">
        <v>543</v>
      </c>
      <c r="AJ403" s="424" t="s">
        <v>78</v>
      </c>
      <c r="AK403" s="424" t="s">
        <v>76</v>
      </c>
      <c r="AL403" s="424" t="s">
        <v>544</v>
      </c>
      <c r="AM403" s="424" t="s">
        <v>545</v>
      </c>
      <c r="AN403" s="424" t="s">
        <v>86</v>
      </c>
      <c r="AO403" s="424" t="s">
        <v>83</v>
      </c>
      <c r="AP403" s="424" t="s">
        <v>84</v>
      </c>
      <c r="AQ403" s="424" t="s">
        <v>546</v>
      </c>
      <c r="AR403" s="424" t="s">
        <v>81</v>
      </c>
      <c r="AS403" s="424" t="s">
        <v>80</v>
      </c>
      <c r="AT403" s="424" t="s">
        <v>82</v>
      </c>
      <c r="AU403" s="424" t="s">
        <v>181</v>
      </c>
      <c r="AV403" s="424" t="s">
        <v>183</v>
      </c>
      <c r="AW403" s="424" t="s">
        <v>547</v>
      </c>
      <c r="AX403" s="424" t="s">
        <v>182</v>
      </c>
      <c r="AY403" s="424" t="s">
        <v>172</v>
      </c>
      <c r="AZ403" s="201"/>
    </row>
    <row r="404" spans="2:52">
      <c r="B404" s="1256" t="s">
        <v>616</v>
      </c>
      <c r="C404" s="1257"/>
      <c r="D404" s="411" t="s">
        <v>992</v>
      </c>
      <c r="E404" s="411"/>
      <c r="F404" s="411" t="s">
        <v>213</v>
      </c>
      <c r="G404" s="411" t="s">
        <v>214</v>
      </c>
      <c r="H404" s="412">
        <v>7512.0870000000004</v>
      </c>
      <c r="I404" s="413" t="s">
        <v>240</v>
      </c>
      <c r="J404" s="414">
        <v>45008.034722222219</v>
      </c>
      <c r="K404" s="414"/>
      <c r="L404" s="414" t="s">
        <v>192</v>
      </c>
      <c r="M404" s="414" t="s">
        <v>192</v>
      </c>
      <c r="N404" s="413" t="str">
        <f>IF(ISBLANK(J404)," ",IF(J404&lt;$F$398,"On time",(IF(DAY(J404-$F$398)&lt;1,"On time",(IF(J404&gt;$F$398,"DELAY ( "&amp;DAY(J404-$F$398)&amp;" day "&amp;HOUR(J404-$F$398)&amp;" hour "&amp;MINUTE(J404-$F$398)&amp;" minute )","xxx"))))))</f>
        <v>On time</v>
      </c>
      <c r="O404" s="51"/>
      <c r="P404" s="415" t="s">
        <v>551</v>
      </c>
      <c r="Q404" s="415" t="s">
        <v>551</v>
      </c>
      <c r="R404" s="415" t="s">
        <v>551</v>
      </c>
      <c r="S404" s="32"/>
      <c r="T404" s="416"/>
      <c r="U404" s="416"/>
      <c r="V404" s="416"/>
      <c r="W404" s="416"/>
      <c r="X404" s="416"/>
      <c r="Y404" s="416"/>
      <c r="Z404" s="416"/>
      <c r="AA404" s="416"/>
      <c r="AB404" s="416"/>
      <c r="AC404" s="416">
        <f>H404</f>
        <v>7512.0870000000004</v>
      </c>
      <c r="AD404" s="416"/>
      <c r="AE404" s="416"/>
      <c r="AF404" s="416"/>
      <c r="AG404" s="416"/>
      <c r="AH404" s="416"/>
      <c r="AI404" s="416"/>
      <c r="AJ404" s="416"/>
      <c r="AK404" s="416"/>
      <c r="AL404" s="416"/>
      <c r="AM404" s="416"/>
      <c r="AN404" s="416"/>
      <c r="AO404" s="416"/>
      <c r="AP404" s="416"/>
      <c r="AQ404" s="416"/>
      <c r="AR404" s="416"/>
      <c r="AS404" s="416"/>
      <c r="AT404" s="416"/>
      <c r="AU404" s="416"/>
      <c r="AV404" s="416"/>
      <c r="AW404" s="416"/>
      <c r="AX404" s="416"/>
      <c r="AY404" s="416"/>
      <c r="AZ404" s="32"/>
    </row>
    <row r="405" spans="2:52">
      <c r="B405" s="1256" t="s">
        <v>668</v>
      </c>
      <c r="C405" s="1257"/>
      <c r="D405" s="411" t="s">
        <v>1036</v>
      </c>
      <c r="E405" s="411"/>
      <c r="F405" s="411" t="s">
        <v>441</v>
      </c>
      <c r="G405" s="411" t="s">
        <v>442</v>
      </c>
      <c r="H405" s="412">
        <v>5007</v>
      </c>
      <c r="I405" s="413" t="s">
        <v>81</v>
      </c>
      <c r="J405" s="414">
        <v>45008.739583333336</v>
      </c>
      <c r="K405" s="414"/>
      <c r="L405" s="414" t="s">
        <v>192</v>
      </c>
      <c r="M405" s="414" t="s">
        <v>192</v>
      </c>
      <c r="N405" s="413" t="str">
        <f t="shared" ref="N405:N427" si="28">IF(ISBLANK(J405)," ",IF(J405&lt;$F$398,"On time",(IF(DAY(J405-$F$398)&lt;1,"On time",(IF(J405&gt;$F$398,"DELAY ( "&amp;DAY(J405-$F$398)&amp;" day "&amp;HOUR(J405-$F$398)&amp;" hour "&amp;MINUTE(J405-$F$398)&amp;" minute )","xxx"))))))</f>
        <v>On time</v>
      </c>
      <c r="O405" s="51"/>
      <c r="P405" s="415" t="s">
        <v>551</v>
      </c>
      <c r="Q405" s="415" t="s">
        <v>551</v>
      </c>
      <c r="R405" s="415" t="s">
        <v>551</v>
      </c>
      <c r="S405" s="32"/>
      <c r="T405" s="416"/>
      <c r="U405" s="416"/>
      <c r="V405" s="416"/>
      <c r="W405" s="416"/>
      <c r="X405" s="416"/>
      <c r="Y405" s="416"/>
      <c r="Z405" s="416"/>
      <c r="AA405" s="416"/>
      <c r="AB405" s="416"/>
      <c r="AC405" s="416"/>
      <c r="AD405" s="416"/>
      <c r="AE405" s="416"/>
      <c r="AF405" s="416"/>
      <c r="AG405" s="416"/>
      <c r="AH405" s="416"/>
      <c r="AI405" s="416"/>
      <c r="AJ405" s="416"/>
      <c r="AK405" s="416"/>
      <c r="AL405" s="416"/>
      <c r="AM405" s="416"/>
      <c r="AN405" s="416"/>
      <c r="AO405" s="416"/>
      <c r="AP405" s="416"/>
      <c r="AQ405" s="416"/>
      <c r="AR405" s="416">
        <f>H405</f>
        <v>5007</v>
      </c>
      <c r="AS405" s="416"/>
      <c r="AT405" s="416"/>
      <c r="AU405" s="416"/>
      <c r="AV405" s="416"/>
      <c r="AW405" s="416"/>
      <c r="AX405" s="416"/>
      <c r="AY405" s="416"/>
      <c r="AZ405" s="32"/>
    </row>
    <row r="406" spans="2:52">
      <c r="B406" s="1256" t="s">
        <v>616</v>
      </c>
      <c r="C406" s="1257"/>
      <c r="D406" s="411" t="s">
        <v>990</v>
      </c>
      <c r="E406" s="411"/>
      <c r="F406" s="411" t="s">
        <v>208</v>
      </c>
      <c r="G406" s="411" t="s">
        <v>328</v>
      </c>
      <c r="H406" s="412">
        <v>7454.9470000000001</v>
      </c>
      <c r="I406" s="413" t="s">
        <v>240</v>
      </c>
      <c r="J406" s="414">
        <v>45008.607638888891</v>
      </c>
      <c r="K406" s="414"/>
      <c r="L406" s="414" t="s">
        <v>192</v>
      </c>
      <c r="M406" s="414" t="s">
        <v>192</v>
      </c>
      <c r="N406" s="413" t="str">
        <f t="shared" si="28"/>
        <v>On time</v>
      </c>
      <c r="O406" s="51"/>
      <c r="P406" s="415" t="s">
        <v>551</v>
      </c>
      <c r="Q406" s="415" t="s">
        <v>551</v>
      </c>
      <c r="R406" s="415" t="s">
        <v>551</v>
      </c>
      <c r="S406" s="32"/>
      <c r="T406" s="416"/>
      <c r="U406" s="416"/>
      <c r="V406" s="416"/>
      <c r="W406" s="416"/>
      <c r="X406" s="416"/>
      <c r="Y406" s="416"/>
      <c r="Z406" s="416"/>
      <c r="AA406" s="416"/>
      <c r="AB406" s="416"/>
      <c r="AC406" s="416">
        <f>H406</f>
        <v>7454.9470000000001</v>
      </c>
      <c r="AD406" s="416"/>
      <c r="AE406" s="416"/>
      <c r="AF406" s="416"/>
      <c r="AG406" s="416"/>
      <c r="AH406" s="416"/>
      <c r="AI406" s="416"/>
      <c r="AJ406" s="416"/>
      <c r="AK406" s="416"/>
      <c r="AL406" s="416"/>
      <c r="AM406" s="416"/>
      <c r="AN406" s="416"/>
      <c r="AO406" s="416"/>
      <c r="AP406" s="416"/>
      <c r="AQ406" s="416"/>
      <c r="AR406" s="416"/>
      <c r="AS406" s="416"/>
      <c r="AT406" s="416"/>
      <c r="AU406" s="416"/>
      <c r="AV406" s="416"/>
      <c r="AW406" s="416"/>
      <c r="AX406" s="416"/>
      <c r="AY406" s="416"/>
      <c r="AZ406" s="32"/>
    </row>
    <row r="407" spans="2:52">
      <c r="B407" s="1258" t="s">
        <v>618</v>
      </c>
      <c r="C407" s="1259"/>
      <c r="D407" s="1259"/>
      <c r="E407" s="1259"/>
      <c r="F407" s="1259"/>
      <c r="G407" s="1260"/>
      <c r="H407" s="417">
        <f>SUM(H404:H406)</f>
        <v>19974.034</v>
      </c>
      <c r="I407" s="388"/>
      <c r="J407" s="293"/>
      <c r="K407" s="293"/>
      <c r="L407" s="293"/>
      <c r="M407" s="389"/>
      <c r="N407" s="413" t="str">
        <f t="shared" si="28"/>
        <v xml:space="preserve"> </v>
      </c>
      <c r="O407" s="47"/>
      <c r="P407" s="418"/>
      <c r="Q407" s="418"/>
      <c r="R407" s="418"/>
      <c r="S407" s="32"/>
      <c r="T407" s="416"/>
      <c r="U407" s="416"/>
      <c r="V407" s="416"/>
      <c r="W407" s="416"/>
      <c r="X407" s="416"/>
      <c r="Y407" s="416"/>
      <c r="Z407" s="416"/>
      <c r="AA407" s="416"/>
      <c r="AB407" s="416"/>
      <c r="AC407" s="416"/>
      <c r="AD407" s="416"/>
      <c r="AE407" s="416"/>
      <c r="AF407" s="416"/>
      <c r="AG407" s="416"/>
      <c r="AH407" s="416"/>
      <c r="AI407" s="416"/>
      <c r="AJ407" s="416"/>
      <c r="AK407" s="416"/>
      <c r="AL407" s="416"/>
      <c r="AM407" s="416"/>
      <c r="AN407" s="416"/>
      <c r="AO407" s="416"/>
      <c r="AP407" s="416"/>
      <c r="AQ407" s="416"/>
      <c r="AR407" s="416"/>
      <c r="AS407" s="416"/>
      <c r="AT407" s="416"/>
      <c r="AU407" s="416"/>
      <c r="AV407" s="416"/>
      <c r="AW407" s="416"/>
      <c r="AX407" s="416"/>
      <c r="AY407" s="416"/>
    </row>
    <row r="408" spans="2:52">
      <c r="B408" s="1250" t="s">
        <v>619</v>
      </c>
      <c r="C408" s="1251"/>
      <c r="D408" s="411" t="s">
        <v>991</v>
      </c>
      <c r="E408" s="411"/>
      <c r="F408" s="411" t="s">
        <v>367</v>
      </c>
      <c r="G408" s="411" t="s">
        <v>368</v>
      </c>
      <c r="H408" s="412">
        <v>9847.7870000000003</v>
      </c>
      <c r="I408" s="413" t="s">
        <v>240</v>
      </c>
      <c r="J408" s="414">
        <v>45008.645833333336</v>
      </c>
      <c r="K408" s="414"/>
      <c r="L408" s="414" t="s">
        <v>192</v>
      </c>
      <c r="M408" s="414" t="s">
        <v>192</v>
      </c>
      <c r="N408" s="413" t="str">
        <f t="shared" si="28"/>
        <v>On time</v>
      </c>
      <c r="O408" s="51"/>
      <c r="P408" s="415" t="s">
        <v>551</v>
      </c>
      <c r="Q408" s="415" t="s">
        <v>551</v>
      </c>
      <c r="R408" s="415" t="s">
        <v>551</v>
      </c>
      <c r="S408" s="32"/>
      <c r="T408" s="416"/>
      <c r="U408" s="416"/>
      <c r="V408" s="416"/>
      <c r="W408" s="416"/>
      <c r="X408" s="416"/>
      <c r="Y408" s="416"/>
      <c r="Z408" s="416"/>
      <c r="AA408" s="416"/>
      <c r="AB408" s="416"/>
      <c r="AC408" s="416">
        <f>H408</f>
        <v>9847.7870000000003</v>
      </c>
      <c r="AD408" s="416"/>
      <c r="AE408" s="416"/>
      <c r="AF408" s="416"/>
      <c r="AG408" s="416"/>
      <c r="AH408" s="416"/>
      <c r="AI408" s="416"/>
      <c r="AJ408" s="416"/>
      <c r="AK408" s="416"/>
      <c r="AL408" s="416"/>
      <c r="AM408" s="416"/>
      <c r="AN408" s="416"/>
      <c r="AO408" s="416"/>
      <c r="AP408" s="416"/>
      <c r="AQ408" s="416"/>
      <c r="AR408" s="416"/>
      <c r="AS408" s="416"/>
      <c r="AT408" s="416"/>
      <c r="AU408" s="416"/>
      <c r="AV408" s="416"/>
      <c r="AW408" s="416"/>
      <c r="AX408" s="416"/>
      <c r="AY408" s="416"/>
      <c r="AZ408" s="32"/>
    </row>
    <row r="409" spans="2:52">
      <c r="B409" s="1252"/>
      <c r="C409" s="1253"/>
      <c r="D409" s="411"/>
      <c r="E409" s="411"/>
      <c r="F409" s="1256" t="s">
        <v>616</v>
      </c>
      <c r="G409" s="1257"/>
      <c r="H409" s="412">
        <v>2495</v>
      </c>
      <c r="I409" s="413"/>
      <c r="J409" s="414"/>
      <c r="K409" s="414"/>
      <c r="L409" s="414"/>
      <c r="M409" s="414"/>
      <c r="N409" s="413" t="str">
        <f t="shared" si="28"/>
        <v xml:space="preserve"> </v>
      </c>
      <c r="O409" s="51"/>
      <c r="P409" s="415"/>
      <c r="Q409" s="415"/>
      <c r="R409" s="415"/>
      <c r="S409" s="32"/>
      <c r="T409" s="416"/>
      <c r="U409" s="416"/>
      <c r="V409" s="416"/>
      <c r="W409" s="416"/>
      <c r="X409" s="416"/>
      <c r="Y409" s="416"/>
      <c r="Z409" s="416"/>
      <c r="AA409" s="416"/>
      <c r="AB409" s="416"/>
      <c r="AC409" s="416"/>
      <c r="AD409" s="416"/>
      <c r="AE409" s="416"/>
      <c r="AF409" s="416"/>
      <c r="AG409" s="416"/>
      <c r="AH409" s="416"/>
      <c r="AI409" s="416"/>
      <c r="AJ409" s="416"/>
      <c r="AK409" s="416"/>
      <c r="AL409" s="416"/>
      <c r="AM409" s="416"/>
      <c r="AN409" s="416"/>
      <c r="AO409" s="416"/>
      <c r="AP409" s="416"/>
      <c r="AQ409" s="416"/>
      <c r="AR409" s="416"/>
      <c r="AS409" s="416"/>
      <c r="AT409" s="416"/>
      <c r="AU409" s="416"/>
      <c r="AV409" s="416"/>
      <c r="AW409" s="416"/>
      <c r="AX409" s="416"/>
      <c r="AY409" s="416"/>
      <c r="AZ409" s="32"/>
    </row>
    <row r="410" spans="2:52">
      <c r="B410" s="1254"/>
      <c r="C410" s="1255"/>
      <c r="D410" s="411"/>
      <c r="E410" s="411"/>
      <c r="F410" s="1256" t="s">
        <v>668</v>
      </c>
      <c r="G410" s="1257"/>
      <c r="H410" s="412">
        <v>1000</v>
      </c>
      <c r="I410" s="413"/>
      <c r="J410" s="414"/>
      <c r="K410" s="414"/>
      <c r="L410" s="414"/>
      <c r="M410" s="414"/>
      <c r="N410" s="413" t="str">
        <f t="shared" si="28"/>
        <v xml:space="preserve"> </v>
      </c>
      <c r="O410" s="51"/>
      <c r="P410" s="415"/>
      <c r="Q410" s="415"/>
      <c r="R410" s="415"/>
      <c r="S410" s="32"/>
      <c r="T410" s="416"/>
      <c r="U410" s="416"/>
      <c r="V410" s="416"/>
      <c r="W410" s="416"/>
      <c r="X410" s="416"/>
      <c r="Y410" s="416"/>
      <c r="Z410" s="416"/>
      <c r="AA410" s="416"/>
      <c r="AB410" s="416"/>
      <c r="AC410" s="416"/>
      <c r="AD410" s="416"/>
      <c r="AE410" s="416"/>
      <c r="AF410" s="416"/>
      <c r="AG410" s="416"/>
      <c r="AH410" s="416"/>
      <c r="AI410" s="416"/>
      <c r="AJ410" s="416"/>
      <c r="AK410" s="416"/>
      <c r="AL410" s="416"/>
      <c r="AM410" s="416"/>
      <c r="AN410" s="416"/>
      <c r="AO410" s="416"/>
      <c r="AP410" s="416"/>
      <c r="AQ410" s="416"/>
      <c r="AR410" s="416"/>
      <c r="AS410" s="416"/>
      <c r="AT410" s="416"/>
      <c r="AU410" s="416"/>
      <c r="AV410" s="416"/>
      <c r="AW410" s="416"/>
      <c r="AX410" s="416"/>
      <c r="AY410" s="416"/>
      <c r="AZ410" s="32"/>
    </row>
    <row r="411" spans="2:52">
      <c r="B411" s="1256" t="s">
        <v>621</v>
      </c>
      <c r="C411" s="1257"/>
      <c r="D411" s="411" t="s">
        <v>998</v>
      </c>
      <c r="E411" s="411"/>
      <c r="F411" s="411" t="s">
        <v>346</v>
      </c>
      <c r="G411" s="411" t="s">
        <v>347</v>
      </c>
      <c r="H411" s="412">
        <v>7475.74</v>
      </c>
      <c r="I411" s="413" t="s">
        <v>240</v>
      </c>
      <c r="J411" s="414">
        <v>45008.729166666664</v>
      </c>
      <c r="K411" s="414"/>
      <c r="L411" s="414" t="s">
        <v>192</v>
      </c>
      <c r="M411" s="414" t="s">
        <v>192</v>
      </c>
      <c r="N411" s="413" t="str">
        <f t="shared" si="28"/>
        <v>On time</v>
      </c>
      <c r="O411" s="51"/>
      <c r="P411" s="415" t="s">
        <v>551</v>
      </c>
      <c r="Q411" s="415" t="s">
        <v>551</v>
      </c>
      <c r="R411" s="415" t="s">
        <v>551</v>
      </c>
      <c r="S411" s="32"/>
      <c r="T411" s="416"/>
      <c r="U411" s="416"/>
      <c r="V411" s="416"/>
      <c r="W411" s="416"/>
      <c r="X411" s="416"/>
      <c r="Y411" s="416"/>
      <c r="Z411" s="416"/>
      <c r="AA411" s="416"/>
      <c r="AB411" s="416"/>
      <c r="AC411" s="416">
        <f>H411</f>
        <v>7475.74</v>
      </c>
      <c r="AD411" s="416"/>
      <c r="AE411" s="416"/>
      <c r="AF411" s="416"/>
      <c r="AG411" s="416"/>
      <c r="AH411" s="416"/>
      <c r="AI411" s="416"/>
      <c r="AJ411" s="416"/>
      <c r="AK411" s="416"/>
      <c r="AL411" s="416"/>
      <c r="AM411" s="416"/>
      <c r="AN411" s="416"/>
      <c r="AO411" s="416"/>
      <c r="AP411" s="416"/>
      <c r="AQ411" s="416"/>
      <c r="AR411" s="416"/>
      <c r="AS411" s="416"/>
      <c r="AT411" s="416"/>
      <c r="AU411" s="416"/>
      <c r="AV411" s="416"/>
      <c r="AW411" s="416"/>
      <c r="AX411" s="416"/>
      <c r="AY411" s="416"/>
      <c r="AZ411" s="32"/>
    </row>
    <row r="412" spans="2:52">
      <c r="B412" s="1250" t="s">
        <v>622</v>
      </c>
      <c r="C412" s="1251"/>
      <c r="D412" s="411" t="s">
        <v>996</v>
      </c>
      <c r="E412" s="411"/>
      <c r="F412" s="411" t="s">
        <v>358</v>
      </c>
      <c r="G412" s="411" t="s">
        <v>359</v>
      </c>
      <c r="H412" s="412">
        <v>9044.5110000000004</v>
      </c>
      <c r="I412" s="413" t="s">
        <v>240</v>
      </c>
      <c r="J412" s="414">
        <v>45009.645833333336</v>
      </c>
      <c r="K412" s="414"/>
      <c r="L412" s="414" t="s">
        <v>192</v>
      </c>
      <c r="M412" s="414" t="s">
        <v>192</v>
      </c>
      <c r="N412" s="413" t="str">
        <f t="shared" si="28"/>
        <v>DELAY ( 1 day 2 hour 30 minute )</v>
      </c>
      <c r="O412" s="51"/>
      <c r="P412" s="415" t="s">
        <v>551</v>
      </c>
      <c r="Q412" s="415" t="s">
        <v>551</v>
      </c>
      <c r="R412" s="415" t="s">
        <v>551</v>
      </c>
      <c r="S412" s="32"/>
      <c r="T412" s="416"/>
      <c r="U412" s="416"/>
      <c r="V412" s="416"/>
      <c r="W412" s="416"/>
      <c r="X412" s="416"/>
      <c r="Y412" s="416"/>
      <c r="Z412" s="416"/>
      <c r="AA412" s="416"/>
      <c r="AB412" s="416"/>
      <c r="AC412" s="416">
        <f>H412</f>
        <v>9044.5110000000004</v>
      </c>
      <c r="AD412" s="416"/>
      <c r="AE412" s="416"/>
      <c r="AF412" s="416"/>
      <c r="AG412" s="416"/>
      <c r="AH412" s="416"/>
      <c r="AI412" s="416"/>
      <c r="AJ412" s="416"/>
      <c r="AK412" s="416"/>
      <c r="AL412" s="416"/>
      <c r="AM412" s="416"/>
      <c r="AN412" s="416"/>
      <c r="AO412" s="416"/>
      <c r="AP412" s="416"/>
      <c r="AQ412" s="416"/>
      <c r="AR412" s="416"/>
      <c r="AS412" s="416"/>
      <c r="AT412" s="416"/>
      <c r="AU412" s="416"/>
      <c r="AV412" s="416"/>
      <c r="AW412" s="416"/>
      <c r="AX412" s="416"/>
      <c r="AY412" s="416"/>
      <c r="AZ412" s="32"/>
    </row>
    <row r="413" spans="2:52">
      <c r="B413" s="1252"/>
      <c r="C413" s="1253"/>
      <c r="D413" s="411"/>
      <c r="E413" s="411"/>
      <c r="F413" s="1256" t="s">
        <v>616</v>
      </c>
      <c r="G413" s="1257"/>
      <c r="H413" s="412">
        <v>3062</v>
      </c>
      <c r="I413" s="413"/>
      <c r="J413" s="414"/>
      <c r="K413" s="414"/>
      <c r="L413" s="414"/>
      <c r="M413" s="414"/>
      <c r="N413" s="413" t="str">
        <f t="shared" si="28"/>
        <v xml:space="preserve"> </v>
      </c>
      <c r="O413" s="51"/>
      <c r="P413" s="415"/>
      <c r="Q413" s="415"/>
      <c r="R413" s="415"/>
      <c r="S413" s="32"/>
      <c r="T413" s="416"/>
      <c r="U413" s="416"/>
      <c r="V413" s="416"/>
      <c r="W413" s="416"/>
      <c r="X413" s="416"/>
      <c r="Y413" s="416"/>
      <c r="Z413" s="416"/>
      <c r="AA413" s="416"/>
      <c r="AB413" s="416"/>
      <c r="AC413" s="416"/>
      <c r="AD413" s="416"/>
      <c r="AE413" s="416"/>
      <c r="AF413" s="416"/>
      <c r="AG413" s="416"/>
      <c r="AH413" s="416"/>
      <c r="AI413" s="416"/>
      <c r="AJ413" s="416"/>
      <c r="AK413" s="416"/>
      <c r="AL413" s="416"/>
      <c r="AM413" s="416"/>
      <c r="AN413" s="416"/>
      <c r="AO413" s="416"/>
      <c r="AP413" s="416"/>
      <c r="AQ413" s="416"/>
      <c r="AR413" s="416"/>
      <c r="AS413" s="416"/>
      <c r="AT413" s="416"/>
      <c r="AU413" s="416"/>
      <c r="AV413" s="416"/>
      <c r="AW413" s="416"/>
      <c r="AX413" s="416"/>
      <c r="AY413" s="416"/>
      <c r="AZ413" s="32"/>
    </row>
    <row r="414" spans="2:52">
      <c r="B414" s="1254"/>
      <c r="C414" s="1255"/>
      <c r="D414" s="411"/>
      <c r="E414" s="411"/>
      <c r="F414" s="1256" t="s">
        <v>668</v>
      </c>
      <c r="G414" s="1257"/>
      <c r="H414" s="412">
        <v>1000</v>
      </c>
      <c r="I414" s="413"/>
      <c r="J414" s="414"/>
      <c r="K414" s="414"/>
      <c r="L414" s="414"/>
      <c r="M414" s="414"/>
      <c r="N414" s="413" t="str">
        <f t="shared" si="28"/>
        <v xml:space="preserve"> </v>
      </c>
      <c r="O414" s="51"/>
      <c r="P414" s="415"/>
      <c r="Q414" s="415"/>
      <c r="R414" s="415"/>
      <c r="S414" s="32"/>
      <c r="T414" s="416"/>
      <c r="U414" s="416"/>
      <c r="V414" s="416"/>
      <c r="W414" s="416"/>
      <c r="X414" s="416"/>
      <c r="Y414" s="416"/>
      <c r="Z414" s="416"/>
      <c r="AA414" s="416"/>
      <c r="AB414" s="416"/>
      <c r="AC414" s="416"/>
      <c r="AD414" s="416"/>
      <c r="AE414" s="416"/>
      <c r="AF414" s="416"/>
      <c r="AG414" s="416"/>
      <c r="AH414" s="416"/>
      <c r="AI414" s="416"/>
      <c r="AJ414" s="416"/>
      <c r="AK414" s="416"/>
      <c r="AL414" s="416"/>
      <c r="AM414" s="416"/>
      <c r="AN414" s="416"/>
      <c r="AO414" s="416"/>
      <c r="AP414" s="416"/>
      <c r="AQ414" s="416"/>
      <c r="AR414" s="416"/>
      <c r="AS414" s="416"/>
      <c r="AT414" s="416"/>
      <c r="AU414" s="416"/>
      <c r="AV414" s="416"/>
      <c r="AW414" s="416"/>
      <c r="AX414" s="416"/>
      <c r="AY414" s="416"/>
      <c r="AZ414" s="32"/>
    </row>
    <row r="415" spans="2:52">
      <c r="B415" s="1250" t="s">
        <v>623</v>
      </c>
      <c r="C415" s="1251"/>
      <c r="D415" s="411" t="s">
        <v>997</v>
      </c>
      <c r="E415" s="411"/>
      <c r="F415" s="411" t="s">
        <v>295</v>
      </c>
      <c r="G415" s="411" t="s">
        <v>296</v>
      </c>
      <c r="H415" s="412">
        <v>9842.6720000000005</v>
      </c>
      <c r="I415" s="413" t="s">
        <v>240</v>
      </c>
      <c r="J415" s="414">
        <v>45009.791666666664</v>
      </c>
      <c r="K415" s="414"/>
      <c r="L415" s="414" t="s">
        <v>192</v>
      </c>
      <c r="M415" s="414" t="s">
        <v>192</v>
      </c>
      <c r="N415" s="413" t="str">
        <f t="shared" si="28"/>
        <v>DELAY ( 1 day 6 hour 0 minute )</v>
      </c>
      <c r="O415" s="51"/>
      <c r="P415" s="415" t="s">
        <v>551</v>
      </c>
      <c r="Q415" s="415" t="s">
        <v>551</v>
      </c>
      <c r="R415" s="415" t="s">
        <v>551</v>
      </c>
      <c r="S415" s="32"/>
      <c r="T415" s="416"/>
      <c r="U415" s="416"/>
      <c r="V415" s="416"/>
      <c r="W415" s="416"/>
      <c r="X415" s="416"/>
      <c r="Y415" s="416"/>
      <c r="Z415" s="416"/>
      <c r="AA415" s="416"/>
      <c r="AB415" s="416"/>
      <c r="AC415" s="416">
        <f>H415</f>
        <v>9842.6720000000005</v>
      </c>
      <c r="AD415" s="416"/>
      <c r="AE415" s="416"/>
      <c r="AF415" s="416"/>
      <c r="AG415" s="416"/>
      <c r="AH415" s="416"/>
      <c r="AI415" s="416"/>
      <c r="AJ415" s="416"/>
      <c r="AK415" s="416"/>
      <c r="AL415" s="416"/>
      <c r="AM415" s="416"/>
      <c r="AN415" s="416"/>
      <c r="AO415" s="416"/>
      <c r="AP415" s="416"/>
      <c r="AQ415" s="416"/>
      <c r="AR415" s="416"/>
      <c r="AS415" s="416"/>
      <c r="AT415" s="416"/>
      <c r="AU415" s="416"/>
      <c r="AV415" s="416"/>
      <c r="AW415" s="416"/>
      <c r="AX415" s="416"/>
      <c r="AY415" s="416"/>
      <c r="AZ415" s="32"/>
    </row>
    <row r="416" spans="2:52">
      <c r="B416" s="1252"/>
      <c r="C416" s="1253"/>
      <c r="D416" s="411"/>
      <c r="E416" s="411"/>
      <c r="F416" s="1256" t="s">
        <v>616</v>
      </c>
      <c r="G416" s="1257"/>
      <c r="H416" s="412">
        <f>3411-0.966</f>
        <v>3410.0340000000001</v>
      </c>
      <c r="I416" s="413"/>
      <c r="J416" s="414"/>
      <c r="K416" s="414"/>
      <c r="L416" s="414"/>
      <c r="M416" s="414"/>
      <c r="N416" s="413" t="str">
        <f t="shared" si="28"/>
        <v xml:space="preserve"> </v>
      </c>
      <c r="O416" s="51"/>
      <c r="P416" s="415"/>
      <c r="Q416" s="415"/>
      <c r="R416" s="415"/>
      <c r="S416" s="32"/>
      <c r="T416" s="416"/>
      <c r="U416" s="416"/>
      <c r="V416" s="416"/>
      <c r="W416" s="416"/>
      <c r="X416" s="416"/>
      <c r="Y416" s="416"/>
      <c r="Z416" s="416"/>
      <c r="AA416" s="416"/>
      <c r="AB416" s="416"/>
      <c r="AC416" s="416"/>
      <c r="AD416" s="416"/>
      <c r="AE416" s="416"/>
      <c r="AF416" s="416"/>
      <c r="AG416" s="416"/>
      <c r="AH416" s="416"/>
      <c r="AI416" s="416"/>
      <c r="AJ416" s="416"/>
      <c r="AK416" s="416"/>
      <c r="AL416" s="416"/>
      <c r="AM416" s="416"/>
      <c r="AN416" s="416"/>
      <c r="AO416" s="416"/>
      <c r="AP416" s="416"/>
      <c r="AQ416" s="416"/>
      <c r="AR416" s="416"/>
      <c r="AS416" s="416"/>
      <c r="AT416" s="416"/>
      <c r="AU416" s="416"/>
      <c r="AV416" s="416"/>
      <c r="AW416" s="416"/>
      <c r="AX416" s="416"/>
      <c r="AY416" s="416"/>
      <c r="AZ416" s="32"/>
    </row>
    <row r="417" spans="2:52">
      <c r="B417" s="1254"/>
      <c r="C417" s="1255"/>
      <c r="D417" s="411"/>
      <c r="E417" s="411"/>
      <c r="F417" s="1256" t="s">
        <v>668</v>
      </c>
      <c r="G417" s="1257"/>
      <c r="H417" s="412">
        <v>1007</v>
      </c>
      <c r="I417" s="413"/>
      <c r="J417" s="414"/>
      <c r="K417" s="414"/>
      <c r="L417" s="414"/>
      <c r="M417" s="414"/>
      <c r="N417" s="413" t="str">
        <f t="shared" si="28"/>
        <v xml:space="preserve"> </v>
      </c>
      <c r="O417" s="51"/>
      <c r="P417" s="415"/>
      <c r="Q417" s="415"/>
      <c r="R417" s="415"/>
      <c r="S417" s="32"/>
      <c r="T417" s="416"/>
      <c r="U417" s="416"/>
      <c r="V417" s="416"/>
      <c r="W417" s="416"/>
      <c r="X417" s="416"/>
      <c r="Y417" s="416"/>
      <c r="Z417" s="416"/>
      <c r="AA417" s="416"/>
      <c r="AB417" s="416"/>
      <c r="AC417" s="416"/>
      <c r="AD417" s="416"/>
      <c r="AE417" s="416"/>
      <c r="AF417" s="416"/>
      <c r="AG417" s="416"/>
      <c r="AH417" s="416"/>
      <c r="AI417" s="416"/>
      <c r="AJ417" s="416"/>
      <c r="AK417" s="416"/>
      <c r="AL417" s="416"/>
      <c r="AM417" s="416"/>
      <c r="AN417" s="416"/>
      <c r="AO417" s="416"/>
      <c r="AP417" s="416"/>
      <c r="AQ417" s="416"/>
      <c r="AR417" s="416"/>
      <c r="AS417" s="416"/>
      <c r="AT417" s="416"/>
      <c r="AU417" s="416"/>
      <c r="AV417" s="416"/>
      <c r="AW417" s="416"/>
      <c r="AX417" s="416"/>
      <c r="AY417" s="416"/>
      <c r="AZ417" s="32"/>
    </row>
    <row r="418" spans="2:52">
      <c r="B418" s="1250" t="s">
        <v>624</v>
      </c>
      <c r="C418" s="1251"/>
      <c r="D418" s="411" t="s">
        <v>995</v>
      </c>
      <c r="E418" s="411"/>
      <c r="F418" s="411" t="s">
        <v>267</v>
      </c>
      <c r="G418" s="411" t="s">
        <v>268</v>
      </c>
      <c r="H418" s="412">
        <v>7591.8190000000004</v>
      </c>
      <c r="I418" s="413" t="s">
        <v>240</v>
      </c>
      <c r="J418" s="414">
        <v>45010.486111111109</v>
      </c>
      <c r="K418" s="414"/>
      <c r="L418" s="414" t="s">
        <v>192</v>
      </c>
      <c r="M418" s="414" t="s">
        <v>192</v>
      </c>
      <c r="N418" s="413" t="str">
        <f t="shared" si="28"/>
        <v>DELAY ( 1 day 22 hour 40 minute )</v>
      </c>
      <c r="O418" s="51"/>
      <c r="P418" s="415" t="s">
        <v>551</v>
      </c>
      <c r="Q418" s="415" t="s">
        <v>551</v>
      </c>
      <c r="R418" s="415" t="s">
        <v>551</v>
      </c>
      <c r="S418" s="32"/>
      <c r="T418" s="416"/>
      <c r="U418" s="416"/>
      <c r="V418" s="416"/>
      <c r="W418" s="416"/>
      <c r="X418" s="416"/>
      <c r="Y418" s="416"/>
      <c r="Z418" s="416"/>
      <c r="AA418" s="416"/>
      <c r="AB418" s="416"/>
      <c r="AC418" s="416">
        <f>H418</f>
        <v>7591.8190000000004</v>
      </c>
      <c r="AD418" s="416"/>
      <c r="AE418" s="416"/>
      <c r="AF418" s="416"/>
      <c r="AG418" s="416"/>
      <c r="AH418" s="416"/>
      <c r="AI418" s="416"/>
      <c r="AJ418" s="416"/>
      <c r="AK418" s="416"/>
      <c r="AL418" s="416"/>
      <c r="AM418" s="416"/>
      <c r="AN418" s="416"/>
      <c r="AO418" s="416"/>
      <c r="AP418" s="416"/>
      <c r="AQ418" s="416"/>
      <c r="AR418" s="416"/>
      <c r="AS418" s="416"/>
      <c r="AT418" s="416"/>
      <c r="AU418" s="416"/>
      <c r="AV418" s="416"/>
      <c r="AW418" s="416"/>
      <c r="AX418" s="416"/>
      <c r="AY418" s="416"/>
      <c r="AZ418" s="32"/>
    </row>
    <row r="419" spans="2:52">
      <c r="B419" s="1252"/>
      <c r="C419" s="1253"/>
      <c r="D419" s="411"/>
      <c r="E419" s="411"/>
      <c r="F419" s="1256" t="s">
        <v>616</v>
      </c>
      <c r="G419" s="1257"/>
      <c r="H419" s="412">
        <v>3000</v>
      </c>
      <c r="I419" s="413"/>
      <c r="J419" s="414"/>
      <c r="K419" s="414"/>
      <c r="L419" s="414"/>
      <c r="M419" s="414"/>
      <c r="N419" s="413" t="str">
        <f t="shared" si="28"/>
        <v xml:space="preserve"> </v>
      </c>
      <c r="O419" s="51"/>
      <c r="P419" s="415"/>
      <c r="Q419" s="415"/>
      <c r="R419" s="415"/>
      <c r="S419" s="32"/>
      <c r="T419" s="416"/>
      <c r="U419" s="416"/>
      <c r="V419" s="416"/>
      <c r="W419" s="416"/>
      <c r="X419" s="416"/>
      <c r="Y419" s="416"/>
      <c r="Z419" s="416"/>
      <c r="AA419" s="416"/>
      <c r="AB419" s="416"/>
      <c r="AC419" s="416"/>
      <c r="AD419" s="416"/>
      <c r="AE419" s="416"/>
      <c r="AF419" s="416"/>
      <c r="AG419" s="416"/>
      <c r="AH419" s="416"/>
      <c r="AI419" s="416"/>
      <c r="AJ419" s="416"/>
      <c r="AK419" s="416"/>
      <c r="AL419" s="416"/>
      <c r="AM419" s="416"/>
      <c r="AN419" s="416"/>
      <c r="AO419" s="416"/>
      <c r="AP419" s="416"/>
      <c r="AQ419" s="416"/>
      <c r="AR419" s="416"/>
      <c r="AS419" s="416"/>
      <c r="AT419" s="416"/>
      <c r="AU419" s="416"/>
      <c r="AV419" s="416"/>
      <c r="AW419" s="416"/>
      <c r="AX419" s="416"/>
      <c r="AY419" s="416"/>
      <c r="AZ419" s="32"/>
    </row>
    <row r="420" spans="2:52">
      <c r="B420" s="1254"/>
      <c r="C420" s="1255"/>
      <c r="D420" s="411"/>
      <c r="E420" s="411"/>
      <c r="F420" s="1256" t="s">
        <v>668</v>
      </c>
      <c r="G420" s="1257"/>
      <c r="H420" s="412">
        <v>1000</v>
      </c>
      <c r="I420" s="413"/>
      <c r="J420" s="414"/>
      <c r="K420" s="414"/>
      <c r="L420" s="414"/>
      <c r="M420" s="414"/>
      <c r="N420" s="413" t="str">
        <f t="shared" si="28"/>
        <v xml:space="preserve"> </v>
      </c>
      <c r="O420" s="51"/>
      <c r="P420" s="415"/>
      <c r="Q420" s="415"/>
      <c r="R420" s="415"/>
      <c r="S420" s="32"/>
      <c r="T420" s="416"/>
      <c r="U420" s="416"/>
      <c r="V420" s="416"/>
      <c r="W420" s="416"/>
      <c r="X420" s="416"/>
      <c r="Y420" s="416"/>
      <c r="Z420" s="416"/>
      <c r="AA420" s="416"/>
      <c r="AB420" s="416"/>
      <c r="AC420" s="416"/>
      <c r="AD420" s="416"/>
      <c r="AE420" s="416"/>
      <c r="AF420" s="416"/>
      <c r="AG420" s="416"/>
      <c r="AH420" s="416"/>
      <c r="AI420" s="416"/>
      <c r="AJ420" s="416"/>
      <c r="AK420" s="416"/>
      <c r="AL420" s="416"/>
      <c r="AM420" s="416"/>
      <c r="AN420" s="416"/>
      <c r="AO420" s="416"/>
      <c r="AP420" s="416"/>
      <c r="AQ420" s="416"/>
      <c r="AR420" s="416"/>
      <c r="AS420" s="416"/>
      <c r="AT420" s="416"/>
      <c r="AU420" s="416"/>
      <c r="AV420" s="416"/>
      <c r="AW420" s="416"/>
      <c r="AX420" s="416"/>
      <c r="AY420" s="416"/>
      <c r="AZ420" s="32"/>
    </row>
    <row r="421" spans="2:52">
      <c r="B421" s="1256" t="s">
        <v>625</v>
      </c>
      <c r="C421" s="1257"/>
      <c r="D421" s="411" t="s">
        <v>989</v>
      </c>
      <c r="E421" s="411"/>
      <c r="F421" s="411" t="s">
        <v>260</v>
      </c>
      <c r="G421" s="411" t="s">
        <v>261</v>
      </c>
      <c r="H421" s="412">
        <v>7674.2889999999998</v>
      </c>
      <c r="I421" s="413" t="s">
        <v>240</v>
      </c>
      <c r="J421" s="414">
        <v>45010.791666666664</v>
      </c>
      <c r="K421" s="414"/>
      <c r="L421" s="414" t="s">
        <v>192</v>
      </c>
      <c r="M421" s="414" t="s">
        <v>192</v>
      </c>
      <c r="N421" s="413" t="str">
        <f t="shared" si="28"/>
        <v>DELAY ( 2 day 6 hour 0 minute )</v>
      </c>
      <c r="O421" s="51"/>
      <c r="P421" s="415" t="s">
        <v>551</v>
      </c>
      <c r="Q421" s="415" t="s">
        <v>551</v>
      </c>
      <c r="R421" s="415" t="s">
        <v>551</v>
      </c>
      <c r="S421" s="32"/>
      <c r="T421" s="416"/>
      <c r="U421" s="416"/>
      <c r="V421" s="416"/>
      <c r="W421" s="416"/>
      <c r="X421" s="416"/>
      <c r="Y421" s="416"/>
      <c r="Z421" s="416"/>
      <c r="AA421" s="416"/>
      <c r="AB421" s="416"/>
      <c r="AC421" s="416">
        <f>H421</f>
        <v>7674.2889999999998</v>
      </c>
      <c r="AD421" s="416"/>
      <c r="AE421" s="416"/>
      <c r="AF421" s="416"/>
      <c r="AG421" s="416"/>
      <c r="AH421" s="416"/>
      <c r="AI421" s="416"/>
      <c r="AJ421" s="416"/>
      <c r="AK421" s="416"/>
      <c r="AL421" s="416"/>
      <c r="AM421" s="416"/>
      <c r="AN421" s="416"/>
      <c r="AO421" s="416"/>
      <c r="AP421" s="416"/>
      <c r="AQ421" s="416"/>
      <c r="AR421" s="416"/>
      <c r="AS421" s="416"/>
      <c r="AT421" s="416"/>
      <c r="AU421" s="416"/>
      <c r="AV421" s="416"/>
      <c r="AW421" s="416"/>
      <c r="AX421" s="416"/>
      <c r="AY421" s="416"/>
      <c r="AZ421" s="32"/>
    </row>
    <row r="422" spans="2:52">
      <c r="B422" s="1250" t="s">
        <v>669</v>
      </c>
      <c r="C422" s="1251"/>
      <c r="D422" s="411" t="s">
        <v>993</v>
      </c>
      <c r="E422" s="411"/>
      <c r="F422" s="411" t="s">
        <v>226</v>
      </c>
      <c r="G422" s="411" t="s">
        <v>227</v>
      </c>
      <c r="H422" s="412">
        <f>7456.637-4557.489</f>
        <v>2899.1480000000001</v>
      </c>
      <c r="I422" s="413" t="s">
        <v>240</v>
      </c>
      <c r="J422" s="414">
        <v>45010.8125</v>
      </c>
      <c r="K422" s="414"/>
      <c r="L422" s="414" t="s">
        <v>192</v>
      </c>
      <c r="M422" s="414" t="s">
        <v>192</v>
      </c>
      <c r="N422" s="413" t="str">
        <f t="shared" si="28"/>
        <v>DELAY ( 2 day 6 hour 30 minute )</v>
      </c>
      <c r="O422" s="51"/>
      <c r="P422" s="415" t="s">
        <v>551</v>
      </c>
      <c r="Q422" s="415" t="s">
        <v>551</v>
      </c>
      <c r="R422" s="415" t="s">
        <v>551</v>
      </c>
      <c r="S422" s="32"/>
      <c r="T422" s="416"/>
      <c r="U422" s="416"/>
      <c r="V422" s="416"/>
      <c r="W422" s="416"/>
      <c r="X422" s="416"/>
      <c r="Y422" s="416"/>
      <c r="Z422" s="416"/>
      <c r="AA422" s="416"/>
      <c r="AB422" s="416"/>
      <c r="AC422" s="416">
        <f>H422</f>
        <v>2899.1480000000001</v>
      </c>
      <c r="AD422" s="416"/>
      <c r="AE422" s="416"/>
      <c r="AF422" s="416"/>
      <c r="AG422" s="416"/>
      <c r="AH422" s="416"/>
      <c r="AI422" s="416"/>
      <c r="AJ422" s="416"/>
      <c r="AK422" s="416"/>
      <c r="AL422" s="416"/>
      <c r="AM422" s="416"/>
      <c r="AN422" s="416"/>
      <c r="AO422" s="416"/>
      <c r="AP422" s="416"/>
      <c r="AQ422" s="416"/>
      <c r="AR422" s="416"/>
      <c r="AS422" s="416"/>
      <c r="AT422" s="416"/>
      <c r="AU422" s="416"/>
      <c r="AV422" s="416"/>
      <c r="AW422" s="416"/>
      <c r="AX422" s="416"/>
      <c r="AY422" s="416"/>
      <c r="AZ422" s="32"/>
    </row>
    <row r="423" spans="2:52">
      <c r="B423" s="1252"/>
      <c r="C423" s="1253"/>
      <c r="D423" s="411"/>
      <c r="E423" s="411"/>
      <c r="F423" s="1256" t="s">
        <v>616</v>
      </c>
      <c r="G423" s="1257"/>
      <c r="H423" s="412">
        <v>3000</v>
      </c>
      <c r="I423" s="413"/>
      <c r="J423" s="414"/>
      <c r="K423" s="414"/>
      <c r="L423" s="414"/>
      <c r="M423" s="414"/>
      <c r="N423" s="413" t="str">
        <f t="shared" si="28"/>
        <v xml:space="preserve"> </v>
      </c>
      <c r="O423" s="51"/>
      <c r="P423" s="415"/>
      <c r="Q423" s="415"/>
      <c r="R423" s="415"/>
      <c r="S423" s="32"/>
      <c r="T423" s="416"/>
      <c r="U423" s="416"/>
      <c r="V423" s="416"/>
      <c r="W423" s="416"/>
      <c r="X423" s="416"/>
      <c r="Y423" s="416"/>
      <c r="Z423" s="416"/>
      <c r="AA423" s="416"/>
      <c r="AB423" s="416"/>
      <c r="AC423" s="416"/>
      <c r="AD423" s="416"/>
      <c r="AE423" s="416"/>
      <c r="AF423" s="416"/>
      <c r="AG423" s="416"/>
      <c r="AH423" s="416"/>
      <c r="AI423" s="416"/>
      <c r="AJ423" s="416"/>
      <c r="AK423" s="416"/>
      <c r="AL423" s="416"/>
      <c r="AM423" s="416"/>
      <c r="AN423" s="416"/>
      <c r="AO423" s="416"/>
      <c r="AP423" s="416"/>
      <c r="AQ423" s="416"/>
      <c r="AR423" s="416"/>
      <c r="AS423" s="416"/>
      <c r="AT423" s="416"/>
      <c r="AU423" s="416"/>
      <c r="AV423" s="416"/>
      <c r="AW423" s="416"/>
      <c r="AX423" s="416"/>
      <c r="AY423" s="416"/>
      <c r="AZ423" s="32"/>
    </row>
    <row r="424" spans="2:52">
      <c r="B424" s="1254"/>
      <c r="C424" s="1255"/>
      <c r="D424" s="411"/>
      <c r="E424" s="411"/>
      <c r="F424" s="1256" t="s">
        <v>668</v>
      </c>
      <c r="G424" s="1257"/>
      <c r="H424" s="412">
        <v>1000</v>
      </c>
      <c r="I424" s="413"/>
      <c r="J424" s="414"/>
      <c r="K424" s="414"/>
      <c r="L424" s="414"/>
      <c r="M424" s="414"/>
      <c r="N424" s="413" t="str">
        <f t="shared" si="28"/>
        <v xml:space="preserve"> </v>
      </c>
      <c r="O424" s="51"/>
      <c r="P424" s="415"/>
      <c r="Q424" s="415"/>
      <c r="R424" s="415"/>
      <c r="S424" s="32"/>
      <c r="T424" s="416"/>
      <c r="U424" s="416"/>
      <c r="V424" s="416"/>
      <c r="W424" s="416"/>
      <c r="X424" s="416"/>
      <c r="Y424" s="416"/>
      <c r="Z424" s="416"/>
      <c r="AA424" s="416"/>
      <c r="AB424" s="416"/>
      <c r="AC424" s="416"/>
      <c r="AD424" s="416"/>
      <c r="AE424" s="416"/>
      <c r="AF424" s="416"/>
      <c r="AG424" s="416"/>
      <c r="AH424" s="416"/>
      <c r="AI424" s="416"/>
      <c r="AJ424" s="416"/>
      <c r="AK424" s="416"/>
      <c r="AL424" s="416"/>
      <c r="AM424" s="416"/>
      <c r="AN424" s="416"/>
      <c r="AO424" s="416"/>
      <c r="AP424" s="416"/>
      <c r="AQ424" s="416"/>
      <c r="AR424" s="416"/>
      <c r="AS424" s="416"/>
      <c r="AT424" s="416"/>
      <c r="AU424" s="416"/>
      <c r="AV424" s="416"/>
      <c r="AW424" s="416"/>
      <c r="AX424" s="416"/>
      <c r="AY424" s="416"/>
      <c r="AZ424" s="32"/>
    </row>
    <row r="425" spans="2:52">
      <c r="B425" s="1258" t="s">
        <v>626</v>
      </c>
      <c r="C425" s="1259"/>
      <c r="D425" s="1259"/>
      <c r="E425" s="1259"/>
      <c r="F425" s="1259"/>
      <c r="G425" s="1260"/>
      <c r="H425" s="417">
        <f>H408+H422+H421+H418+H412+H415+H411</f>
        <v>54375.966</v>
      </c>
      <c r="I425" s="388"/>
      <c r="J425" s="293"/>
      <c r="K425" s="293"/>
      <c r="L425" s="293"/>
      <c r="M425" s="389"/>
      <c r="N425" s="413" t="str">
        <f t="shared" si="28"/>
        <v xml:space="preserve"> </v>
      </c>
      <c r="O425" s="47"/>
      <c r="P425" s="418"/>
      <c r="Q425" s="418"/>
      <c r="R425" s="418"/>
      <c r="S425" s="32"/>
      <c r="T425" s="1261"/>
      <c r="U425" s="1261"/>
      <c r="V425" s="1261"/>
      <c r="W425" s="1261"/>
      <c r="X425" s="1261"/>
      <c r="Y425" s="1261"/>
      <c r="Z425" s="1261"/>
      <c r="AA425" s="1261"/>
      <c r="AB425" s="1261"/>
      <c r="AC425" s="1261"/>
      <c r="AD425" s="1261"/>
      <c r="AE425" s="1261"/>
      <c r="AF425" s="1261"/>
      <c r="AG425" s="1261"/>
      <c r="AH425" s="1261"/>
      <c r="AI425" s="1261"/>
      <c r="AJ425" s="1261"/>
      <c r="AK425" s="1261"/>
      <c r="AL425" s="1261"/>
      <c r="AM425" s="1261"/>
      <c r="AN425" s="1261"/>
      <c r="AO425" s="1261"/>
      <c r="AP425" s="1261"/>
      <c r="AQ425" s="1261"/>
      <c r="AR425" s="1261"/>
      <c r="AS425" s="1261"/>
      <c r="AT425" s="1261"/>
      <c r="AU425" s="1261"/>
      <c r="AV425" s="1261"/>
      <c r="AW425" s="1261"/>
      <c r="AX425" s="1261"/>
      <c r="AY425" s="1261"/>
    </row>
    <row r="426" spans="2:52">
      <c r="B426" s="1258" t="s">
        <v>556</v>
      </c>
      <c r="C426" s="1259"/>
      <c r="D426" s="1259"/>
      <c r="E426" s="1259"/>
      <c r="F426" s="1259"/>
      <c r="G426" s="1260"/>
      <c r="H426" s="417">
        <f>H407+H425</f>
        <v>74350</v>
      </c>
      <c r="I426" s="388"/>
      <c r="J426" s="293"/>
      <c r="K426" s="293"/>
      <c r="L426" s="293"/>
      <c r="M426" s="389"/>
      <c r="N426" s="413" t="str">
        <f t="shared" si="28"/>
        <v xml:space="preserve"> </v>
      </c>
      <c r="O426" s="212"/>
      <c r="P426" s="418"/>
      <c r="Q426" s="418"/>
      <c r="R426" s="418"/>
      <c r="S426" s="207"/>
      <c r="T426" s="1262"/>
      <c r="U426" s="1263"/>
      <c r="V426" s="1263"/>
      <c r="W426" s="1263"/>
      <c r="X426" s="1263"/>
      <c r="Y426" s="1263"/>
      <c r="Z426" s="1263"/>
      <c r="AA426" s="1263"/>
      <c r="AB426" s="1263"/>
      <c r="AC426" s="1263"/>
      <c r="AD426" s="1263"/>
      <c r="AE426" s="1263"/>
      <c r="AF426" s="1263"/>
      <c r="AG426" s="1263"/>
      <c r="AH426" s="1263"/>
      <c r="AI426" s="1263"/>
      <c r="AJ426" s="1263"/>
      <c r="AK426" s="1263"/>
      <c r="AL426" s="1263"/>
      <c r="AM426" s="1263"/>
      <c r="AN426" s="1263"/>
      <c r="AO426" s="1263"/>
      <c r="AP426" s="1263"/>
      <c r="AQ426" s="1263"/>
      <c r="AR426" s="1263"/>
      <c r="AS426" s="1263"/>
      <c r="AT426" s="1263"/>
      <c r="AU426" s="1263"/>
      <c r="AV426" s="1263"/>
      <c r="AW426" s="1263"/>
      <c r="AX426" s="1263"/>
      <c r="AY426" s="1264"/>
    </row>
    <row r="427" spans="2:52">
      <c r="B427" s="1243" t="s">
        <v>557</v>
      </c>
      <c r="C427" s="1244"/>
      <c r="D427" s="1244"/>
      <c r="E427" s="1244"/>
      <c r="F427" s="1244"/>
      <c r="G427" s="1245"/>
      <c r="H427" s="419">
        <v>74350</v>
      </c>
      <c r="I427" s="1273"/>
      <c r="J427" s="1274"/>
      <c r="K427" s="1274"/>
      <c r="L427" s="1274"/>
      <c r="M427" s="1275"/>
      <c r="N427" s="413" t="str">
        <f t="shared" si="28"/>
        <v xml:space="preserve"> </v>
      </c>
      <c r="O427" s="32"/>
      <c r="P427" s="415"/>
      <c r="Q427" s="415"/>
      <c r="R427" s="415"/>
      <c r="S427" s="63"/>
      <c r="T427" s="416">
        <f t="shared" ref="T427:AY427" si="29">SUM(T404:T424)</f>
        <v>0</v>
      </c>
      <c r="U427" s="416">
        <f t="shared" si="29"/>
        <v>0</v>
      </c>
      <c r="V427" s="416">
        <f t="shared" si="29"/>
        <v>0</v>
      </c>
      <c r="W427" s="416">
        <f t="shared" si="29"/>
        <v>0</v>
      </c>
      <c r="X427" s="416">
        <f t="shared" si="29"/>
        <v>0</v>
      </c>
      <c r="Y427" s="416">
        <f t="shared" si="29"/>
        <v>0</v>
      </c>
      <c r="Z427" s="416">
        <f t="shared" si="29"/>
        <v>0</v>
      </c>
      <c r="AA427" s="416">
        <f t="shared" si="29"/>
        <v>0</v>
      </c>
      <c r="AB427" s="416">
        <f t="shared" si="29"/>
        <v>0</v>
      </c>
      <c r="AC427" s="416">
        <f t="shared" si="29"/>
        <v>69343</v>
      </c>
      <c r="AD427" s="416">
        <f t="shared" si="29"/>
        <v>0</v>
      </c>
      <c r="AE427" s="416">
        <f t="shared" si="29"/>
        <v>0</v>
      </c>
      <c r="AF427" s="416">
        <f t="shared" si="29"/>
        <v>0</v>
      </c>
      <c r="AG427" s="416">
        <f t="shared" si="29"/>
        <v>0</v>
      </c>
      <c r="AH427" s="416">
        <f t="shared" si="29"/>
        <v>0</v>
      </c>
      <c r="AI427" s="416">
        <f t="shared" si="29"/>
        <v>0</v>
      </c>
      <c r="AJ427" s="416">
        <f t="shared" si="29"/>
        <v>0</v>
      </c>
      <c r="AK427" s="416">
        <f t="shared" si="29"/>
        <v>0</v>
      </c>
      <c r="AL427" s="416">
        <f t="shared" si="29"/>
        <v>0</v>
      </c>
      <c r="AM427" s="416">
        <f t="shared" si="29"/>
        <v>0</v>
      </c>
      <c r="AN427" s="416">
        <f t="shared" si="29"/>
        <v>0</v>
      </c>
      <c r="AO427" s="416">
        <f t="shared" si="29"/>
        <v>0</v>
      </c>
      <c r="AP427" s="416">
        <f t="shared" si="29"/>
        <v>0</v>
      </c>
      <c r="AQ427" s="416">
        <f t="shared" si="29"/>
        <v>0</v>
      </c>
      <c r="AR427" s="416">
        <f t="shared" si="29"/>
        <v>5007</v>
      </c>
      <c r="AS427" s="416">
        <f t="shared" si="29"/>
        <v>0</v>
      </c>
      <c r="AT427" s="416">
        <f t="shared" si="29"/>
        <v>0</v>
      </c>
      <c r="AU427" s="416">
        <f t="shared" si="29"/>
        <v>0</v>
      </c>
      <c r="AV427" s="416">
        <f t="shared" si="29"/>
        <v>0</v>
      </c>
      <c r="AW427" s="416">
        <f t="shared" si="29"/>
        <v>0</v>
      </c>
      <c r="AX427" s="416">
        <f t="shared" si="29"/>
        <v>0</v>
      </c>
      <c r="AY427" s="416">
        <f t="shared" si="29"/>
        <v>0</v>
      </c>
      <c r="AZ427" s="416">
        <f>SUM(T427:AY427)</f>
        <v>74350</v>
      </c>
    </row>
    <row r="428" spans="2:52">
      <c r="B428" s="1243" t="s">
        <v>558</v>
      </c>
      <c r="C428" s="1244"/>
      <c r="D428" s="1244"/>
      <c r="E428" s="1244"/>
      <c r="F428" s="1244"/>
      <c r="G428" s="1245"/>
      <c r="H428" s="420">
        <f>H427-L398</f>
        <v>0</v>
      </c>
      <c r="I428" s="294"/>
      <c r="J428" s="295"/>
      <c r="K428" s="295"/>
      <c r="L428" s="296"/>
      <c r="M428" s="32"/>
      <c r="N428" s="32"/>
      <c r="O428" s="32"/>
      <c r="P428" s="32"/>
      <c r="Q428" s="297"/>
      <c r="R428" s="297"/>
      <c r="S428" s="32"/>
      <c r="T428" s="48"/>
      <c r="U428" s="48"/>
      <c r="V428" s="48"/>
      <c r="W428" s="48"/>
      <c r="X428" s="48"/>
      <c r="Y428" s="48"/>
      <c r="Z428" s="48"/>
      <c r="AA428" s="48"/>
      <c r="AB428" s="48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</row>
    <row r="429" spans="2:52">
      <c r="B429" s="1243" t="s">
        <v>559</v>
      </c>
      <c r="C429" s="1244"/>
      <c r="D429" s="1244"/>
      <c r="E429" s="1244"/>
      <c r="F429" s="1244"/>
      <c r="G429" s="1245"/>
      <c r="H429" s="420">
        <v>4557.0730000000003</v>
      </c>
      <c r="I429" s="274">
        <v>4651.9009999999998</v>
      </c>
      <c r="J429" s="53"/>
      <c r="K429" s="53"/>
      <c r="L429" s="54"/>
      <c r="M429" s="32"/>
      <c r="N429" s="201"/>
      <c r="O429" s="32"/>
      <c r="P429" s="32"/>
      <c r="Q429" s="32"/>
      <c r="R429" s="32"/>
      <c r="S429" s="32"/>
      <c r="T429" s="48"/>
      <c r="U429" s="48"/>
      <c r="V429" s="48"/>
      <c r="W429" s="48"/>
      <c r="X429" s="48"/>
      <c r="Y429" s="48"/>
      <c r="Z429" s="48"/>
      <c r="AA429" s="48"/>
      <c r="AB429" s="48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</row>
    <row r="430" spans="2:52">
      <c r="B430" s="1243" t="s">
        <v>560</v>
      </c>
      <c r="C430" s="1244"/>
      <c r="D430" s="1244"/>
      <c r="E430" s="1244"/>
      <c r="F430" s="1244"/>
      <c r="G430" s="1245"/>
      <c r="H430" s="421">
        <f>H429-4557.489</f>
        <v>-0.41599999999925785</v>
      </c>
      <c r="I430" s="270">
        <f>I429-H429</f>
        <v>94.82799999999952</v>
      </c>
      <c r="J430" s="53"/>
      <c r="K430" s="53"/>
      <c r="L430" s="54"/>
      <c r="M430" s="32"/>
      <c r="N430" s="32"/>
      <c r="O430" s="32"/>
      <c r="P430" s="32"/>
      <c r="Q430" s="32"/>
      <c r="R430" s="32"/>
      <c r="S430" s="48"/>
      <c r="T430" s="48"/>
      <c r="U430" s="48"/>
      <c r="V430" s="48"/>
      <c r="W430" s="48"/>
      <c r="X430" s="48"/>
      <c r="Y430" s="48"/>
      <c r="Z430" s="48"/>
      <c r="AA430" s="48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</row>
    <row r="431" spans="2:52">
      <c r="B431" s="40" t="s">
        <v>561</v>
      </c>
      <c r="C431" s="40"/>
      <c r="D431" s="32"/>
      <c r="E431" s="32"/>
      <c r="F431" s="32"/>
      <c r="G431" s="32"/>
      <c r="H431" s="32"/>
      <c r="I431" s="32"/>
      <c r="J431" s="52"/>
      <c r="K431" s="52"/>
      <c r="L431" s="55"/>
      <c r="M431" s="32"/>
      <c r="N431" s="201"/>
      <c r="O431" s="5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  <c r="AA431" s="202"/>
      <c r="AB431" s="201"/>
      <c r="AC431" s="201"/>
      <c r="AD431" s="201"/>
      <c r="AE431" s="201"/>
      <c r="AF431" s="201"/>
      <c r="AG431" s="201"/>
      <c r="AH431" s="201"/>
      <c r="AI431" s="201"/>
      <c r="AJ431" s="201"/>
      <c r="AK431" s="201"/>
      <c r="AL431" s="201"/>
      <c r="AM431" s="201"/>
      <c r="AN431" s="201"/>
      <c r="AO431" s="201"/>
      <c r="AP431" s="201"/>
      <c r="AQ431" s="201"/>
      <c r="AR431" s="201"/>
      <c r="AS431" s="201"/>
      <c r="AT431" s="201"/>
      <c r="AU431" s="201"/>
      <c r="AZ431" s="201"/>
    </row>
    <row r="432" spans="2:52">
      <c r="B432" s="422">
        <v>1</v>
      </c>
      <c r="C432" s="1249" t="s">
        <v>1167</v>
      </c>
      <c r="D432" s="1249"/>
      <c r="E432" s="1249"/>
      <c r="F432" s="1249"/>
      <c r="G432" s="1249"/>
      <c r="H432" s="1249"/>
      <c r="I432" s="1249"/>
      <c r="J432" s="1249"/>
      <c r="K432" s="1249"/>
      <c r="L432" s="203"/>
      <c r="M432" s="201"/>
      <c r="N432" s="201"/>
      <c r="O432" s="209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  <c r="AA432" s="202"/>
      <c r="AB432" s="201"/>
      <c r="AC432" s="201"/>
      <c r="AD432" s="201"/>
      <c r="AE432" s="201"/>
      <c r="AF432" s="201"/>
      <c r="AG432" s="201"/>
      <c r="AH432" s="201"/>
      <c r="AI432" s="201"/>
      <c r="AJ432" s="201"/>
      <c r="AK432" s="201"/>
      <c r="AL432" s="201"/>
      <c r="AM432" s="201"/>
      <c r="AN432" s="201"/>
      <c r="AO432" s="201"/>
      <c r="AP432" s="201"/>
      <c r="AQ432" s="201"/>
      <c r="AR432" s="201"/>
      <c r="AS432" s="201"/>
      <c r="AT432" s="201"/>
      <c r="AU432" s="201"/>
      <c r="AV432" s="201"/>
      <c r="AW432" s="201"/>
      <c r="AX432" s="201"/>
      <c r="AY432" s="201"/>
      <c r="AZ432" s="201"/>
    </row>
    <row r="434" spans="2:52">
      <c r="B434" s="28" t="s">
        <v>126</v>
      </c>
      <c r="C434" s="28"/>
      <c r="D434" s="29"/>
      <c r="E434" s="30" t="s">
        <v>511</v>
      </c>
      <c r="F434" s="31" t="s">
        <v>979</v>
      </c>
      <c r="G434" s="32"/>
      <c r="H434" s="33"/>
      <c r="I434" s="34"/>
      <c r="J434" s="35" t="s">
        <v>513</v>
      </c>
      <c r="K434" s="36" t="s">
        <v>511</v>
      </c>
      <c r="L434" s="37">
        <v>45013.020833333336</v>
      </c>
      <c r="M434" s="32"/>
      <c r="N434" s="32"/>
      <c r="O434" s="36"/>
      <c r="P434" s="33"/>
      <c r="Q434" s="48"/>
      <c r="R434" s="49"/>
      <c r="S434" s="38"/>
      <c r="T434" s="32"/>
      <c r="U434" s="32"/>
      <c r="V434" s="32"/>
      <c r="W434" s="32"/>
      <c r="X434" s="32"/>
      <c r="Y434" s="32"/>
      <c r="Z434" s="32"/>
      <c r="AA434" s="32"/>
      <c r="AB434" s="48"/>
      <c r="AC434" s="48"/>
      <c r="AD434" s="48"/>
      <c r="AE434" s="48"/>
      <c r="AF434" s="48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</row>
    <row r="435" spans="2:52">
      <c r="B435" s="35" t="s">
        <v>514</v>
      </c>
      <c r="C435" s="35"/>
      <c r="D435" s="32"/>
      <c r="E435" s="36" t="s">
        <v>511</v>
      </c>
      <c r="F435" s="37" t="s">
        <v>1168</v>
      </c>
      <c r="G435" s="32"/>
      <c r="H435" s="33"/>
      <c r="I435" s="34"/>
      <c r="J435" s="35" t="s">
        <v>516</v>
      </c>
      <c r="K435" s="36" t="s">
        <v>511</v>
      </c>
      <c r="L435" s="37">
        <v>45014.035416666666</v>
      </c>
      <c r="M435" s="32"/>
      <c r="N435" s="32"/>
      <c r="O435" s="36"/>
      <c r="P435" s="33"/>
      <c r="Q435" s="48"/>
      <c r="R435" s="49"/>
      <c r="S435" s="38"/>
      <c r="T435" s="32"/>
      <c r="U435" s="32"/>
      <c r="V435" s="32"/>
      <c r="W435" s="32"/>
      <c r="X435" s="32"/>
      <c r="Y435" s="32"/>
      <c r="Z435" s="32"/>
      <c r="AA435" s="32"/>
      <c r="AB435" s="48"/>
      <c r="AC435" s="48"/>
      <c r="AD435" s="48"/>
      <c r="AE435" s="48"/>
      <c r="AF435" s="48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</row>
    <row r="436" spans="2:52">
      <c r="B436" s="35" t="s">
        <v>517</v>
      </c>
      <c r="C436" s="35"/>
      <c r="D436" s="32"/>
      <c r="E436" s="36" t="s">
        <v>511</v>
      </c>
      <c r="F436" s="37">
        <v>45009.116666666669</v>
      </c>
      <c r="G436" s="32"/>
      <c r="H436" s="33"/>
      <c r="I436" s="34"/>
      <c r="J436" s="35" t="s">
        <v>518</v>
      </c>
      <c r="K436" s="36" t="s">
        <v>511</v>
      </c>
      <c r="L436" s="50">
        <v>72500</v>
      </c>
      <c r="M436" s="40" t="s">
        <v>519</v>
      </c>
      <c r="N436" s="40"/>
      <c r="O436" s="36"/>
      <c r="P436" s="33"/>
      <c r="Q436" s="48"/>
      <c r="R436" s="49"/>
      <c r="S436" s="38"/>
      <c r="T436" s="32"/>
      <c r="U436" s="32"/>
      <c r="V436" s="32"/>
      <c r="W436" s="32"/>
      <c r="X436" s="32"/>
      <c r="Y436" s="32"/>
      <c r="Z436" s="32"/>
      <c r="AA436" s="32"/>
      <c r="AB436" s="48"/>
      <c r="AC436" s="48"/>
      <c r="AD436" s="48"/>
      <c r="AE436" s="48"/>
      <c r="AF436" s="48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</row>
    <row r="437" spans="2:52">
      <c r="B437" s="35" t="s">
        <v>520</v>
      </c>
      <c r="C437" s="35"/>
      <c r="D437" s="32"/>
      <c r="E437" s="36" t="s">
        <v>511</v>
      </c>
      <c r="F437" s="37" t="s">
        <v>20</v>
      </c>
      <c r="G437" s="32"/>
      <c r="H437" s="33"/>
      <c r="I437" s="34"/>
      <c r="J437" s="35" t="s">
        <v>521</v>
      </c>
      <c r="K437" s="36" t="s">
        <v>511</v>
      </c>
      <c r="L437" s="41" t="s">
        <v>1169</v>
      </c>
      <c r="M437" s="32"/>
      <c r="N437" s="32"/>
      <c r="O437" s="36"/>
      <c r="P437" s="48"/>
      <c r="Q437" s="48"/>
      <c r="R437" s="49"/>
      <c r="S437" s="38"/>
      <c r="T437" s="32"/>
      <c r="U437" s="32"/>
      <c r="V437" s="32"/>
      <c r="W437" s="32"/>
      <c r="X437" s="32"/>
      <c r="Y437" s="32"/>
      <c r="Z437" s="32"/>
      <c r="AA437" s="32"/>
      <c r="AB437" s="48"/>
      <c r="AC437" s="48"/>
      <c r="AD437" s="48"/>
      <c r="AE437" s="48"/>
      <c r="AF437" s="48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</row>
    <row r="438" spans="2:52">
      <c r="B438" s="35" t="s">
        <v>523</v>
      </c>
      <c r="C438" s="35"/>
      <c r="D438" s="32"/>
      <c r="E438" s="36" t="s">
        <v>511</v>
      </c>
      <c r="F438" s="37" t="s">
        <v>47</v>
      </c>
      <c r="G438" s="32"/>
      <c r="H438" s="33"/>
      <c r="I438" s="34"/>
      <c r="J438" s="42" t="s">
        <v>524</v>
      </c>
      <c r="K438" s="36" t="s">
        <v>511</v>
      </c>
      <c r="L438" s="43" t="s">
        <v>15</v>
      </c>
      <c r="M438" s="44"/>
      <c r="N438" s="44"/>
      <c r="O438" s="36"/>
      <c r="P438" s="33"/>
      <c r="Q438" s="48"/>
      <c r="R438" s="49"/>
      <c r="S438" s="38"/>
      <c r="T438" s="32"/>
      <c r="U438" s="32"/>
      <c r="V438" s="32"/>
      <c r="W438" s="32"/>
      <c r="X438" s="32"/>
      <c r="Y438" s="32"/>
      <c r="Z438" s="32"/>
      <c r="AA438" s="32"/>
      <c r="AB438" s="48"/>
      <c r="AC438" s="48"/>
      <c r="AD438" s="48"/>
      <c r="AE438" s="48"/>
      <c r="AF438" s="48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</row>
    <row r="439" spans="2:52">
      <c r="B439" s="35" t="s">
        <v>2</v>
      </c>
      <c r="C439" s="35"/>
      <c r="D439" s="32"/>
      <c r="E439" s="36" t="s">
        <v>511</v>
      </c>
      <c r="F439" s="37" t="s">
        <v>18</v>
      </c>
      <c r="G439" s="32"/>
      <c r="H439" s="33"/>
      <c r="I439" s="45"/>
      <c r="J439" s="42"/>
      <c r="K439" s="36"/>
      <c r="L439" s="37"/>
      <c r="M439" s="32"/>
      <c r="N439" s="32"/>
      <c r="O439" s="42"/>
      <c r="P439" s="44"/>
      <c r="Q439" s="44"/>
      <c r="R439" s="44"/>
      <c r="S439" s="34"/>
      <c r="T439" s="32"/>
      <c r="U439" s="32"/>
      <c r="V439" s="32"/>
      <c r="W439" s="32"/>
      <c r="X439" s="32"/>
      <c r="Y439" s="32"/>
      <c r="Z439" s="32"/>
      <c r="AA439" s="32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</row>
    <row r="440" spans="2:52">
      <c r="B440" s="32"/>
      <c r="C440" s="32"/>
      <c r="D440" s="32"/>
      <c r="E440" s="32"/>
      <c r="F440" s="32"/>
      <c r="G440" s="32"/>
      <c r="H440" s="32"/>
      <c r="I440" s="45"/>
      <c r="J440" s="42"/>
      <c r="K440" s="42"/>
      <c r="L440" s="43"/>
      <c r="M440" s="44"/>
      <c r="N440" s="44"/>
      <c r="O440" s="42"/>
      <c r="P440" s="44"/>
      <c r="Q440" s="44"/>
      <c r="R440" s="44"/>
      <c r="S440" s="34"/>
      <c r="T440" s="1270" t="s">
        <v>87</v>
      </c>
      <c r="U440" s="1270"/>
      <c r="V440" s="1270"/>
      <c r="W440" s="1270"/>
      <c r="X440" s="1270"/>
      <c r="Y440" s="1270" t="s">
        <v>73</v>
      </c>
      <c r="Z440" s="1270"/>
      <c r="AA440" s="1270"/>
      <c r="AB440" s="1270" t="s">
        <v>74</v>
      </c>
      <c r="AC440" s="1270"/>
      <c r="AD440" s="407" t="s">
        <v>85</v>
      </c>
      <c r="AE440" s="407" t="s">
        <v>77</v>
      </c>
      <c r="AF440" s="1270" t="s">
        <v>525</v>
      </c>
      <c r="AG440" s="1270"/>
      <c r="AH440" s="1270"/>
      <c r="AI440" s="1270"/>
      <c r="AJ440" s="1270"/>
      <c r="AK440" s="1270"/>
      <c r="AL440" s="1270"/>
      <c r="AM440" s="1270"/>
      <c r="AN440" s="1270"/>
      <c r="AO440" s="1270"/>
      <c r="AP440" s="1270"/>
      <c r="AQ440" s="1270"/>
      <c r="AR440" s="1270"/>
      <c r="AS440" s="1270"/>
      <c r="AT440" s="1270"/>
      <c r="AU440" s="1270"/>
      <c r="AV440" s="1270"/>
      <c r="AW440" s="1270"/>
      <c r="AX440" s="1270"/>
      <c r="AY440" s="1270"/>
      <c r="AZ440" s="32"/>
    </row>
    <row r="441" spans="2:52">
      <c r="B441" s="1266" t="s">
        <v>526</v>
      </c>
      <c r="C441" s="1267"/>
      <c r="D441" s="570" t="s">
        <v>527</v>
      </c>
      <c r="E441" s="570"/>
      <c r="F441" s="570" t="s">
        <v>528</v>
      </c>
      <c r="G441" s="570" t="s">
        <v>529</v>
      </c>
      <c r="H441" s="570" t="s">
        <v>530</v>
      </c>
      <c r="I441" s="570" t="s">
        <v>531</v>
      </c>
      <c r="J441" s="570" t="s">
        <v>532</v>
      </c>
      <c r="K441" s="570"/>
      <c r="L441" s="570" t="s">
        <v>130</v>
      </c>
      <c r="M441" s="570" t="s">
        <v>533</v>
      </c>
      <c r="N441" s="408" t="str">
        <f>"On time - "&amp;COUNTIF(N442:N450,"On time")&amp;" from "&amp;ROWS(N442:N450)-COUNTIF(N442:N450," ")</f>
        <v>On time - 2 from 9</v>
      </c>
      <c r="O441" s="46"/>
      <c r="P441" s="409" t="s">
        <v>534</v>
      </c>
      <c r="Q441" s="409" t="s">
        <v>535</v>
      </c>
      <c r="R441" s="409" t="s">
        <v>536</v>
      </c>
      <c r="S441" s="32"/>
      <c r="T441" s="410" t="s">
        <v>537</v>
      </c>
      <c r="U441" s="410" t="s">
        <v>538</v>
      </c>
      <c r="V441" s="410" t="s">
        <v>539</v>
      </c>
      <c r="W441" s="410" t="s">
        <v>540</v>
      </c>
      <c r="X441" s="410" t="s">
        <v>541</v>
      </c>
      <c r="Y441" s="410" t="s">
        <v>167</v>
      </c>
      <c r="Z441" s="410" t="s">
        <v>168</v>
      </c>
      <c r="AA441" s="410" t="s">
        <v>169</v>
      </c>
      <c r="AB441" s="410" t="s">
        <v>235</v>
      </c>
      <c r="AC441" s="410" t="s">
        <v>240</v>
      </c>
      <c r="AD441" s="407" t="s">
        <v>85</v>
      </c>
      <c r="AE441" s="410" t="s">
        <v>139</v>
      </c>
      <c r="AF441" s="410" t="s">
        <v>72</v>
      </c>
      <c r="AG441" s="410" t="s">
        <v>88</v>
      </c>
      <c r="AH441" s="410" t="s">
        <v>75</v>
      </c>
      <c r="AI441" s="410" t="s">
        <v>543</v>
      </c>
      <c r="AJ441" s="410" t="s">
        <v>78</v>
      </c>
      <c r="AK441" s="410" t="s">
        <v>76</v>
      </c>
      <c r="AL441" s="410" t="s">
        <v>544</v>
      </c>
      <c r="AM441" s="410" t="s">
        <v>545</v>
      </c>
      <c r="AN441" s="410" t="s">
        <v>86</v>
      </c>
      <c r="AO441" s="410" t="s">
        <v>83</v>
      </c>
      <c r="AP441" s="410" t="s">
        <v>84</v>
      </c>
      <c r="AQ441" s="410" t="s">
        <v>546</v>
      </c>
      <c r="AR441" s="410" t="s">
        <v>81</v>
      </c>
      <c r="AS441" s="410" t="s">
        <v>80</v>
      </c>
      <c r="AT441" s="410" t="s">
        <v>82</v>
      </c>
      <c r="AU441" s="410" t="s">
        <v>181</v>
      </c>
      <c r="AV441" s="410" t="s">
        <v>183</v>
      </c>
      <c r="AW441" s="410" t="s">
        <v>547</v>
      </c>
      <c r="AX441" s="410" t="s">
        <v>182</v>
      </c>
      <c r="AY441" s="410" t="s">
        <v>172</v>
      </c>
      <c r="AZ441" s="32"/>
    </row>
    <row r="442" spans="2:52">
      <c r="B442" s="1256">
        <v>1</v>
      </c>
      <c r="C442" s="1257"/>
      <c r="D442" s="411" t="s">
        <v>980</v>
      </c>
      <c r="E442" s="411"/>
      <c r="F442" s="411" t="s">
        <v>349</v>
      </c>
      <c r="G442" s="411" t="s">
        <v>350</v>
      </c>
      <c r="H442" s="412">
        <v>7517.2520000000004</v>
      </c>
      <c r="I442" s="413" t="s">
        <v>240</v>
      </c>
      <c r="J442" s="414">
        <v>45009.152777777781</v>
      </c>
      <c r="K442" s="414"/>
      <c r="L442" s="414" t="s">
        <v>192</v>
      </c>
      <c r="M442" s="414" t="s">
        <v>192</v>
      </c>
      <c r="N442" s="413" t="str">
        <f>IF(ISBLANK(J442)," ",IF(J442&lt;$F$436,"On time",(IF(DAY(J442-$F$436)&lt;1,"On time",(IF(J442&gt;$F$436,"DELAY ( "&amp;DAY(J442-$F$436)&amp;" day "&amp;HOUR(J442-$F$436)&amp;" hour "&amp;MINUTE(J442-$F$436)&amp;" minute )","xxx"))))))</f>
        <v>On time</v>
      </c>
      <c r="O442" s="51"/>
      <c r="P442" s="415" t="s">
        <v>551</v>
      </c>
      <c r="Q442" s="415" t="s">
        <v>551</v>
      </c>
      <c r="R442" s="415" t="s">
        <v>551</v>
      </c>
      <c r="S442" s="32"/>
      <c r="T442" s="416"/>
      <c r="U442" s="416"/>
      <c r="V442" s="416"/>
      <c r="W442" s="416"/>
      <c r="X442" s="416"/>
      <c r="Y442" s="416"/>
      <c r="Z442" s="416"/>
      <c r="AA442" s="416"/>
      <c r="AB442" s="416"/>
      <c r="AC442" s="416">
        <f>H442</f>
        <v>7517.2520000000004</v>
      </c>
      <c r="AD442" s="416"/>
      <c r="AE442" s="416"/>
      <c r="AF442" s="416"/>
      <c r="AG442" s="416"/>
      <c r="AH442" s="416"/>
      <c r="AI442" s="416"/>
      <c r="AJ442" s="416"/>
      <c r="AK442" s="416"/>
      <c r="AL442" s="416"/>
      <c r="AM442" s="416"/>
      <c r="AN442" s="416"/>
      <c r="AO442" s="416"/>
      <c r="AP442" s="416"/>
      <c r="AQ442" s="416"/>
      <c r="AR442" s="416"/>
      <c r="AS442" s="416"/>
      <c r="AT442" s="416"/>
      <c r="AU442" s="416"/>
      <c r="AV442" s="416"/>
      <c r="AW442" s="416"/>
      <c r="AX442" s="416"/>
      <c r="AY442" s="416"/>
      <c r="AZ442" s="32"/>
    </row>
    <row r="443" spans="2:52">
      <c r="B443" s="1256">
        <v>2</v>
      </c>
      <c r="C443" s="1257"/>
      <c r="D443" s="411" t="s">
        <v>999</v>
      </c>
      <c r="E443" s="411"/>
      <c r="F443" s="411" t="s">
        <v>277</v>
      </c>
      <c r="G443" s="411" t="s">
        <v>278</v>
      </c>
      <c r="H443" s="412">
        <v>7360.7560000000003</v>
      </c>
      <c r="I443" s="413" t="s">
        <v>240</v>
      </c>
      <c r="J443" s="414">
        <v>45010.107638888891</v>
      </c>
      <c r="K443" s="414"/>
      <c r="L443" s="414" t="s">
        <v>192</v>
      </c>
      <c r="M443" s="414" t="s">
        <v>192</v>
      </c>
      <c r="N443" s="413" t="str">
        <f t="shared" ref="N443:N453" si="30">IF(ISBLANK(J443)," ",IF(J443&lt;$F$436,"On time",(IF(DAY(J443-$F$436)&lt;1,"On time",(IF(J443&gt;$F$436,"DELAY ( "&amp;DAY(J443-$F$436)&amp;" day "&amp;HOUR(J443-$F$436)&amp;" hour "&amp;MINUTE(J443-$F$436)&amp;" minute )","xxx"))))))</f>
        <v>On time</v>
      </c>
      <c r="O443" s="51"/>
      <c r="P443" s="415" t="s">
        <v>551</v>
      </c>
      <c r="Q443" s="415" t="s">
        <v>551</v>
      </c>
      <c r="R443" s="415" t="s">
        <v>551</v>
      </c>
      <c r="S443" s="32"/>
      <c r="T443" s="416"/>
      <c r="U443" s="416"/>
      <c r="V443" s="416"/>
      <c r="W443" s="416"/>
      <c r="X443" s="416"/>
      <c r="Y443" s="416"/>
      <c r="Z443" s="416"/>
      <c r="AA443" s="416"/>
      <c r="AB443" s="416"/>
      <c r="AC443" s="416">
        <f>H443</f>
        <v>7360.7560000000003</v>
      </c>
      <c r="AD443" s="416"/>
      <c r="AE443" s="416"/>
      <c r="AF443" s="416"/>
      <c r="AG443" s="416"/>
      <c r="AH443" s="416"/>
      <c r="AI443" s="416"/>
      <c r="AJ443" s="416"/>
      <c r="AK443" s="416"/>
      <c r="AL443" s="416"/>
      <c r="AM443" s="416"/>
      <c r="AN443" s="416"/>
      <c r="AO443" s="416"/>
      <c r="AP443" s="416"/>
      <c r="AQ443" s="416"/>
      <c r="AR443" s="416"/>
      <c r="AS443" s="416"/>
      <c r="AT443" s="416"/>
      <c r="AU443" s="416"/>
      <c r="AV443" s="416"/>
      <c r="AW443" s="416"/>
      <c r="AX443" s="416"/>
      <c r="AY443" s="416"/>
      <c r="AZ443" s="32"/>
    </row>
    <row r="444" spans="2:52">
      <c r="B444" s="1256">
        <v>3</v>
      </c>
      <c r="C444" s="1257"/>
      <c r="D444" s="411" t="s">
        <v>1062</v>
      </c>
      <c r="E444" s="411"/>
      <c r="F444" s="411" t="s">
        <v>686</v>
      </c>
      <c r="G444" s="411" t="s">
        <v>687</v>
      </c>
      <c r="H444" s="412">
        <v>7420.2470000000003</v>
      </c>
      <c r="I444" s="413" t="s">
        <v>172</v>
      </c>
      <c r="J444" s="414">
        <v>45010.729166666664</v>
      </c>
      <c r="K444" s="414"/>
      <c r="L444" s="414" t="s">
        <v>192</v>
      </c>
      <c r="M444" s="414" t="s">
        <v>192</v>
      </c>
      <c r="N444" s="413" t="str">
        <f t="shared" si="30"/>
        <v>DELAY ( 1 day 14 hour 42 minute )</v>
      </c>
      <c r="O444" s="51"/>
      <c r="P444" s="415" t="s">
        <v>551</v>
      </c>
      <c r="Q444" s="415" t="s">
        <v>551</v>
      </c>
      <c r="R444" s="415" t="s">
        <v>551</v>
      </c>
      <c r="S444" s="32"/>
      <c r="T444" s="416"/>
      <c r="U444" s="416"/>
      <c r="V444" s="416"/>
      <c r="W444" s="416"/>
      <c r="X444" s="416"/>
      <c r="Y444" s="416"/>
      <c r="Z444" s="416"/>
      <c r="AA444" s="416"/>
      <c r="AB444" s="416"/>
      <c r="AC444" s="416"/>
      <c r="AD444" s="416"/>
      <c r="AE444" s="416"/>
      <c r="AF444" s="416"/>
      <c r="AG444" s="416"/>
      <c r="AH444" s="416"/>
      <c r="AI444" s="416"/>
      <c r="AJ444" s="416"/>
      <c r="AK444" s="416"/>
      <c r="AL444" s="416"/>
      <c r="AM444" s="416"/>
      <c r="AN444" s="416"/>
      <c r="AO444" s="416"/>
      <c r="AP444" s="416"/>
      <c r="AQ444" s="416"/>
      <c r="AR444" s="416"/>
      <c r="AS444" s="416"/>
      <c r="AT444" s="416"/>
      <c r="AU444" s="416"/>
      <c r="AV444" s="416"/>
      <c r="AW444" s="416"/>
      <c r="AX444" s="416"/>
      <c r="AY444" s="416">
        <f>H444</f>
        <v>7420.2470000000003</v>
      </c>
      <c r="AZ444" s="32"/>
    </row>
    <row r="445" spans="2:52">
      <c r="B445" s="1256">
        <v>4</v>
      </c>
      <c r="C445" s="1257"/>
      <c r="D445" s="411" t="s">
        <v>1002</v>
      </c>
      <c r="E445" s="411"/>
      <c r="F445" s="411" t="s">
        <v>437</v>
      </c>
      <c r="G445" s="411" t="s">
        <v>320</v>
      </c>
      <c r="H445" s="412">
        <v>7508.5280000000002</v>
      </c>
      <c r="I445" s="413" t="s">
        <v>235</v>
      </c>
      <c r="J445" s="414">
        <v>45011.0625</v>
      </c>
      <c r="K445" s="414"/>
      <c r="L445" s="414" t="s">
        <v>192</v>
      </c>
      <c r="M445" s="414" t="s">
        <v>192</v>
      </c>
      <c r="N445" s="413" t="str">
        <f t="shared" si="30"/>
        <v>DELAY ( 1 day 22 hour 42 minute )</v>
      </c>
      <c r="O445" s="51"/>
      <c r="P445" s="415" t="s">
        <v>551</v>
      </c>
      <c r="Q445" s="415" t="s">
        <v>551</v>
      </c>
      <c r="R445" s="415" t="s">
        <v>551</v>
      </c>
      <c r="S445" s="32"/>
      <c r="T445" s="416"/>
      <c r="U445" s="416"/>
      <c r="V445" s="416"/>
      <c r="W445" s="416"/>
      <c r="X445" s="416"/>
      <c r="Y445" s="416"/>
      <c r="Z445" s="416"/>
      <c r="AA445" s="416"/>
      <c r="AB445" s="416">
        <f>H445</f>
        <v>7508.5280000000002</v>
      </c>
      <c r="AC445" s="416"/>
      <c r="AD445" s="416"/>
      <c r="AE445" s="416"/>
      <c r="AF445" s="416"/>
      <c r="AG445" s="416"/>
      <c r="AH445" s="416"/>
      <c r="AI445" s="416"/>
      <c r="AJ445" s="416"/>
      <c r="AK445" s="416"/>
      <c r="AL445" s="416"/>
      <c r="AM445" s="416"/>
      <c r="AN445" s="416"/>
      <c r="AO445" s="416"/>
      <c r="AP445" s="416"/>
      <c r="AQ445" s="416"/>
      <c r="AR445" s="416"/>
      <c r="AS445" s="416"/>
      <c r="AT445" s="416"/>
      <c r="AU445" s="416"/>
      <c r="AV445" s="416"/>
      <c r="AW445" s="416"/>
      <c r="AX445" s="416"/>
      <c r="AY445" s="416"/>
      <c r="AZ445" s="32"/>
    </row>
    <row r="446" spans="2:52">
      <c r="B446" s="1256">
        <v>5</v>
      </c>
      <c r="C446" s="1257"/>
      <c r="D446" s="411" t="s">
        <v>1001</v>
      </c>
      <c r="E446" s="411"/>
      <c r="F446" s="411" t="s">
        <v>307</v>
      </c>
      <c r="G446" s="411" t="s">
        <v>308</v>
      </c>
      <c r="H446" s="412">
        <v>7555.7120000000004</v>
      </c>
      <c r="I446" s="413" t="s">
        <v>235</v>
      </c>
      <c r="J446" s="414">
        <v>45011.604166666664</v>
      </c>
      <c r="K446" s="414"/>
      <c r="L446" s="414" t="s">
        <v>192</v>
      </c>
      <c r="M446" s="414" t="s">
        <v>192</v>
      </c>
      <c r="N446" s="413" t="str">
        <f t="shared" si="30"/>
        <v>DELAY ( 2 day 11 hour 42 minute )</v>
      </c>
      <c r="O446" s="51"/>
      <c r="P446" s="415" t="s">
        <v>551</v>
      </c>
      <c r="Q446" s="415" t="s">
        <v>551</v>
      </c>
      <c r="R446" s="415" t="s">
        <v>551</v>
      </c>
      <c r="S446" s="32"/>
      <c r="T446" s="416"/>
      <c r="U446" s="416"/>
      <c r="V446" s="416"/>
      <c r="W446" s="416"/>
      <c r="X446" s="416"/>
      <c r="Y446" s="416"/>
      <c r="Z446" s="416"/>
      <c r="AA446" s="416"/>
      <c r="AB446" s="416">
        <f>H446</f>
        <v>7555.7120000000004</v>
      </c>
      <c r="AC446" s="416"/>
      <c r="AD446" s="416"/>
      <c r="AE446" s="416"/>
      <c r="AF446" s="416"/>
      <c r="AG446" s="416"/>
      <c r="AH446" s="416"/>
      <c r="AI446" s="416"/>
      <c r="AJ446" s="416"/>
      <c r="AK446" s="416"/>
      <c r="AL446" s="416"/>
      <c r="AM446" s="416"/>
      <c r="AN446" s="416"/>
      <c r="AO446" s="416"/>
      <c r="AP446" s="416"/>
      <c r="AQ446" s="416"/>
      <c r="AR446" s="416"/>
      <c r="AS446" s="416"/>
      <c r="AT446" s="416"/>
      <c r="AU446" s="416"/>
      <c r="AV446" s="416"/>
      <c r="AW446" s="416"/>
      <c r="AX446" s="416"/>
      <c r="AY446" s="416"/>
      <c r="AZ446" s="32"/>
    </row>
    <row r="447" spans="2:52">
      <c r="B447" s="1256">
        <v>6</v>
      </c>
      <c r="C447" s="1257"/>
      <c r="D447" s="411" t="s">
        <v>1004</v>
      </c>
      <c r="E447" s="411"/>
      <c r="F447" s="411" t="s">
        <v>492</v>
      </c>
      <c r="G447" s="411" t="s">
        <v>493</v>
      </c>
      <c r="H447" s="412">
        <v>7506.0749999999998</v>
      </c>
      <c r="I447" s="413" t="s">
        <v>235</v>
      </c>
      <c r="J447" s="414">
        <v>45011.916666666664</v>
      </c>
      <c r="K447" s="414"/>
      <c r="L447" s="414" t="s">
        <v>192</v>
      </c>
      <c r="M447" s="414" t="s">
        <v>192</v>
      </c>
      <c r="N447" s="413" t="str">
        <f t="shared" si="30"/>
        <v>DELAY ( 2 day 19 hour 12 minute )</v>
      </c>
      <c r="O447" s="51"/>
      <c r="P447" s="415" t="s">
        <v>551</v>
      </c>
      <c r="Q447" s="415" t="s">
        <v>551</v>
      </c>
      <c r="R447" s="415" t="s">
        <v>551</v>
      </c>
      <c r="S447" s="32"/>
      <c r="T447" s="416"/>
      <c r="U447" s="416"/>
      <c r="V447" s="416"/>
      <c r="W447" s="416"/>
      <c r="X447" s="416"/>
      <c r="Y447" s="416"/>
      <c r="Z447" s="416"/>
      <c r="AA447" s="416"/>
      <c r="AB447" s="416">
        <f>H447</f>
        <v>7506.0749999999998</v>
      </c>
      <c r="AC447" s="416"/>
      <c r="AD447" s="416"/>
      <c r="AE447" s="416"/>
      <c r="AF447" s="416"/>
      <c r="AG447" s="416"/>
      <c r="AH447" s="416"/>
      <c r="AI447" s="416"/>
      <c r="AJ447" s="416"/>
      <c r="AK447" s="416"/>
      <c r="AL447" s="416"/>
      <c r="AM447" s="416"/>
      <c r="AN447" s="416"/>
      <c r="AO447" s="416"/>
      <c r="AP447" s="416"/>
      <c r="AQ447" s="416"/>
      <c r="AR447" s="416"/>
      <c r="AS447" s="416"/>
      <c r="AT447" s="416"/>
      <c r="AU447" s="416"/>
      <c r="AV447" s="416"/>
      <c r="AW447" s="416"/>
      <c r="AX447" s="416"/>
      <c r="AY447" s="416"/>
      <c r="AZ447" s="32"/>
    </row>
    <row r="448" spans="2:52">
      <c r="B448" s="1256">
        <v>7</v>
      </c>
      <c r="C448" s="1257"/>
      <c r="D448" s="411" t="s">
        <v>1003</v>
      </c>
      <c r="E448" s="411"/>
      <c r="F448" s="411" t="s">
        <v>222</v>
      </c>
      <c r="G448" s="411" t="s">
        <v>223</v>
      </c>
      <c r="H448" s="412">
        <v>7525.3720000000003</v>
      </c>
      <c r="I448" s="413" t="s">
        <v>235</v>
      </c>
      <c r="J448" s="414">
        <v>45012.055555555555</v>
      </c>
      <c r="K448" s="414"/>
      <c r="L448" s="414" t="s">
        <v>192</v>
      </c>
      <c r="M448" s="414" t="s">
        <v>192</v>
      </c>
      <c r="N448" s="413" t="str">
        <f t="shared" si="30"/>
        <v>DELAY ( 2 day 22 hour 32 minute )</v>
      </c>
      <c r="O448" s="51"/>
      <c r="P448" s="415" t="s">
        <v>551</v>
      </c>
      <c r="Q448" s="415" t="s">
        <v>551</v>
      </c>
      <c r="R448" s="415" t="s">
        <v>551</v>
      </c>
      <c r="S448" s="32"/>
      <c r="T448" s="416"/>
      <c r="U448" s="416"/>
      <c r="V448" s="416"/>
      <c r="W448" s="416"/>
      <c r="X448" s="416"/>
      <c r="Y448" s="416"/>
      <c r="Z448" s="416"/>
      <c r="AA448" s="416"/>
      <c r="AB448" s="416">
        <f>H448</f>
        <v>7525.3720000000003</v>
      </c>
      <c r="AC448" s="416"/>
      <c r="AD448" s="416"/>
      <c r="AE448" s="416"/>
      <c r="AF448" s="416"/>
      <c r="AG448" s="416"/>
      <c r="AH448" s="416"/>
      <c r="AI448" s="416"/>
      <c r="AJ448" s="416"/>
      <c r="AK448" s="416"/>
      <c r="AL448" s="416"/>
      <c r="AM448" s="416"/>
      <c r="AN448" s="416"/>
      <c r="AO448" s="416"/>
      <c r="AP448" s="416"/>
      <c r="AQ448" s="416"/>
      <c r="AR448" s="416"/>
      <c r="AS448" s="416"/>
      <c r="AT448" s="416"/>
      <c r="AU448" s="416"/>
      <c r="AV448" s="416"/>
      <c r="AW448" s="416"/>
      <c r="AX448" s="416"/>
      <c r="AY448" s="416"/>
      <c r="AZ448" s="32"/>
    </row>
    <row r="449" spans="2:52">
      <c r="B449" s="1256">
        <v>8</v>
      </c>
      <c r="C449" s="1257"/>
      <c r="D449" s="411" t="s">
        <v>1005</v>
      </c>
      <c r="E449" s="411"/>
      <c r="F449" s="411" t="s">
        <v>271</v>
      </c>
      <c r="G449" s="411" t="s">
        <v>272</v>
      </c>
      <c r="H449" s="412">
        <v>9290.598</v>
      </c>
      <c r="I449" s="413" t="s">
        <v>235</v>
      </c>
      <c r="J449" s="414">
        <v>45012.347222222219</v>
      </c>
      <c r="K449" s="414"/>
      <c r="L449" s="414" t="s">
        <v>192</v>
      </c>
      <c r="M449" s="414" t="s">
        <v>192</v>
      </c>
      <c r="N449" s="413" t="str">
        <f t="shared" si="30"/>
        <v>DELAY ( 3 day 5 hour 32 minute )</v>
      </c>
      <c r="O449" s="51"/>
      <c r="P449" s="415" t="s">
        <v>551</v>
      </c>
      <c r="Q449" s="415" t="s">
        <v>551</v>
      </c>
      <c r="R449" s="415" t="s">
        <v>551</v>
      </c>
      <c r="S449" s="32"/>
      <c r="T449" s="416"/>
      <c r="U449" s="416"/>
      <c r="V449" s="416"/>
      <c r="W449" s="416"/>
      <c r="X449" s="416"/>
      <c r="Y449" s="416"/>
      <c r="Z449" s="416"/>
      <c r="AA449" s="416"/>
      <c r="AB449" s="416">
        <f>H449</f>
        <v>9290.598</v>
      </c>
      <c r="AC449" s="416"/>
      <c r="AD449" s="416"/>
      <c r="AE449" s="416"/>
      <c r="AF449" s="416"/>
      <c r="AG449" s="416"/>
      <c r="AH449" s="416"/>
      <c r="AI449" s="416"/>
      <c r="AJ449" s="416"/>
      <c r="AK449" s="416"/>
      <c r="AL449" s="416"/>
      <c r="AM449" s="416"/>
      <c r="AN449" s="416"/>
      <c r="AO449" s="416"/>
      <c r="AP449" s="416"/>
      <c r="AQ449" s="416"/>
      <c r="AR449" s="416"/>
      <c r="AS449" s="416"/>
      <c r="AT449" s="416"/>
      <c r="AU449" s="416"/>
      <c r="AV449" s="416"/>
      <c r="AW449" s="416"/>
      <c r="AX449" s="416"/>
      <c r="AY449" s="416"/>
      <c r="AZ449" s="32"/>
    </row>
    <row r="450" spans="2:52">
      <c r="B450" s="1256">
        <v>9</v>
      </c>
      <c r="C450" s="1257"/>
      <c r="D450" s="411" t="s">
        <v>1000</v>
      </c>
      <c r="E450" s="411"/>
      <c r="F450" s="411" t="s">
        <v>505</v>
      </c>
      <c r="G450" s="411" t="s">
        <v>506</v>
      </c>
      <c r="H450" s="412">
        <v>7547.6670000000004</v>
      </c>
      <c r="I450" s="413" t="s">
        <v>240</v>
      </c>
      <c r="J450" s="414">
        <v>45014.451388888891</v>
      </c>
      <c r="K450" s="414"/>
      <c r="L450" s="414" t="s">
        <v>192</v>
      </c>
      <c r="M450" s="414" t="s">
        <v>192</v>
      </c>
      <c r="N450" s="413" t="str">
        <f t="shared" si="30"/>
        <v>DELAY ( 5 day 8 hour 2 minute )</v>
      </c>
      <c r="O450" s="51"/>
      <c r="P450" s="415" t="s">
        <v>551</v>
      </c>
      <c r="Q450" s="415" t="s">
        <v>551</v>
      </c>
      <c r="R450" s="415" t="s">
        <v>551</v>
      </c>
      <c r="S450" s="32"/>
      <c r="T450" s="416"/>
      <c r="U450" s="416"/>
      <c r="V450" s="416"/>
      <c r="W450" s="416"/>
      <c r="X450" s="416"/>
      <c r="Y450" s="416"/>
      <c r="Z450" s="416"/>
      <c r="AA450" s="416"/>
      <c r="AB450" s="416"/>
      <c r="AC450" s="416">
        <f>H450</f>
        <v>7547.6670000000004</v>
      </c>
      <c r="AD450" s="416"/>
      <c r="AE450" s="416"/>
      <c r="AF450" s="416"/>
      <c r="AG450" s="416"/>
      <c r="AH450" s="416"/>
      <c r="AI450" s="416"/>
      <c r="AJ450" s="416"/>
      <c r="AK450" s="416"/>
      <c r="AL450" s="416"/>
      <c r="AM450" s="416"/>
      <c r="AN450" s="416"/>
      <c r="AO450" s="416"/>
      <c r="AP450" s="416"/>
      <c r="AQ450" s="416"/>
      <c r="AR450" s="416"/>
      <c r="AS450" s="416"/>
      <c r="AT450" s="416"/>
      <c r="AU450" s="416"/>
      <c r="AV450" s="416"/>
      <c r="AW450" s="416"/>
      <c r="AX450" s="416"/>
      <c r="AY450" s="416"/>
      <c r="AZ450" s="32"/>
    </row>
    <row r="451" spans="2:52">
      <c r="B451" s="1256" t="s">
        <v>610</v>
      </c>
      <c r="C451" s="1276"/>
      <c r="D451" s="1276"/>
      <c r="E451" s="1276"/>
      <c r="F451" s="1276"/>
      <c r="G451" s="1257"/>
      <c r="H451" s="412">
        <f>H453-SUM(H442:H450)</f>
        <v>3267.7930000000051</v>
      </c>
      <c r="I451" s="413" t="s">
        <v>1164</v>
      </c>
      <c r="J451" s="414"/>
      <c r="K451" s="414"/>
      <c r="L451" s="414"/>
      <c r="M451" s="414"/>
      <c r="N451" s="413" t="str">
        <f t="shared" si="30"/>
        <v xml:space="preserve"> </v>
      </c>
      <c r="O451" s="51"/>
      <c r="P451" s="415" t="s">
        <v>551</v>
      </c>
      <c r="Q451" s="415"/>
      <c r="R451" s="415"/>
      <c r="S451" s="32"/>
      <c r="T451" s="416"/>
      <c r="U451" s="416"/>
      <c r="V451" s="416"/>
      <c r="W451" s="416"/>
      <c r="X451" s="416">
        <f>H451</f>
        <v>3267.7930000000051</v>
      </c>
      <c r="Y451" s="416"/>
      <c r="Z451" s="416"/>
      <c r="AA451" s="416"/>
      <c r="AB451" s="416"/>
      <c r="AC451" s="416"/>
      <c r="AD451" s="416"/>
      <c r="AE451" s="416"/>
      <c r="AF451" s="416"/>
      <c r="AG451" s="416"/>
      <c r="AH451" s="416"/>
      <c r="AI451" s="416"/>
      <c r="AJ451" s="416"/>
      <c r="AK451" s="416"/>
      <c r="AL451" s="416"/>
      <c r="AM451" s="416"/>
      <c r="AN451" s="416"/>
      <c r="AO451" s="416"/>
      <c r="AP451" s="416"/>
      <c r="AQ451" s="416"/>
      <c r="AR451" s="416"/>
      <c r="AS451" s="416"/>
      <c r="AT451" s="416"/>
      <c r="AU451" s="416"/>
      <c r="AV451" s="416"/>
      <c r="AW451" s="416"/>
      <c r="AX451" s="416"/>
      <c r="AY451" s="416"/>
      <c r="AZ451" s="32"/>
    </row>
    <row r="452" spans="2:52">
      <c r="B452" s="1258" t="s">
        <v>556</v>
      </c>
      <c r="C452" s="1259"/>
      <c r="D452" s="1259"/>
      <c r="E452" s="1259"/>
      <c r="F452" s="1259"/>
      <c r="G452" s="1260"/>
      <c r="H452" s="417">
        <f>SUM(H442:H451)</f>
        <v>72500</v>
      </c>
      <c r="I452" s="388"/>
      <c r="J452" s="293"/>
      <c r="K452" s="293"/>
      <c r="L452" s="293"/>
      <c r="M452" s="389"/>
      <c r="N452" s="413" t="str">
        <f t="shared" si="30"/>
        <v xml:space="preserve"> </v>
      </c>
      <c r="O452" s="47"/>
      <c r="P452" s="418"/>
      <c r="Q452" s="418"/>
      <c r="R452" s="418"/>
      <c r="S452" s="32"/>
      <c r="T452" s="1262"/>
      <c r="U452" s="1263"/>
      <c r="V452" s="1263"/>
      <c r="W452" s="1263"/>
      <c r="X452" s="1263"/>
      <c r="Y452" s="1263"/>
      <c r="Z452" s="1263"/>
      <c r="AA452" s="1263"/>
      <c r="AB452" s="1263"/>
      <c r="AC452" s="1263"/>
      <c r="AD452" s="1263"/>
      <c r="AE452" s="1263"/>
      <c r="AF452" s="1263"/>
      <c r="AG452" s="1263"/>
      <c r="AH452" s="1263"/>
      <c r="AI452" s="1263"/>
      <c r="AJ452" s="1263"/>
      <c r="AK452" s="1263"/>
      <c r="AL452" s="1263"/>
      <c r="AM452" s="1263"/>
      <c r="AN452" s="1263"/>
      <c r="AO452" s="1263"/>
      <c r="AP452" s="1263"/>
      <c r="AQ452" s="1263"/>
      <c r="AR452" s="1263"/>
      <c r="AS452" s="1263"/>
      <c r="AT452" s="1263"/>
      <c r="AU452" s="1263"/>
      <c r="AV452" s="1263"/>
      <c r="AW452" s="1263"/>
      <c r="AX452" s="1263"/>
      <c r="AY452" s="1264"/>
    </row>
    <row r="453" spans="2:52">
      <c r="B453" s="1243" t="s">
        <v>557</v>
      </c>
      <c r="C453" s="1244"/>
      <c r="D453" s="1244"/>
      <c r="E453" s="1244"/>
      <c r="F453" s="1244"/>
      <c r="G453" s="1245"/>
      <c r="H453" s="419">
        <v>72500</v>
      </c>
      <c r="I453" s="1246"/>
      <c r="J453" s="1247"/>
      <c r="K453" s="1247"/>
      <c r="L453" s="1247"/>
      <c r="M453" s="1248"/>
      <c r="N453" s="413" t="str">
        <f t="shared" si="30"/>
        <v xml:space="preserve"> </v>
      </c>
      <c r="O453" s="32"/>
      <c r="P453" s="415"/>
      <c r="Q453" s="415"/>
      <c r="R453" s="415"/>
      <c r="S453" s="63"/>
      <c r="T453" s="416">
        <f t="shared" ref="T453:AY453" si="31">SUM(T442:T451)</f>
        <v>0</v>
      </c>
      <c r="U453" s="416">
        <f t="shared" si="31"/>
        <v>0</v>
      </c>
      <c r="V453" s="416">
        <f t="shared" si="31"/>
        <v>0</v>
      </c>
      <c r="W453" s="416">
        <f t="shared" si="31"/>
        <v>0</v>
      </c>
      <c r="X453" s="416">
        <f t="shared" si="31"/>
        <v>3267.7930000000051</v>
      </c>
      <c r="Y453" s="416">
        <f t="shared" si="31"/>
        <v>0</v>
      </c>
      <c r="Z453" s="416">
        <f t="shared" si="31"/>
        <v>0</v>
      </c>
      <c r="AA453" s="416">
        <f t="shared" si="31"/>
        <v>0</v>
      </c>
      <c r="AB453" s="416">
        <f t="shared" si="31"/>
        <v>39386.285000000003</v>
      </c>
      <c r="AC453" s="416">
        <f t="shared" si="31"/>
        <v>22425.675000000003</v>
      </c>
      <c r="AD453" s="416">
        <f t="shared" si="31"/>
        <v>0</v>
      </c>
      <c r="AE453" s="416">
        <f t="shared" si="31"/>
        <v>0</v>
      </c>
      <c r="AF453" s="416">
        <f t="shared" si="31"/>
        <v>0</v>
      </c>
      <c r="AG453" s="416">
        <f t="shared" si="31"/>
        <v>0</v>
      </c>
      <c r="AH453" s="416">
        <f t="shared" si="31"/>
        <v>0</v>
      </c>
      <c r="AI453" s="416">
        <f t="shared" si="31"/>
        <v>0</v>
      </c>
      <c r="AJ453" s="416">
        <f t="shared" si="31"/>
        <v>0</v>
      </c>
      <c r="AK453" s="416">
        <f t="shared" si="31"/>
        <v>0</v>
      </c>
      <c r="AL453" s="416">
        <f t="shared" si="31"/>
        <v>0</v>
      </c>
      <c r="AM453" s="416">
        <f t="shared" si="31"/>
        <v>0</v>
      </c>
      <c r="AN453" s="416">
        <f t="shared" si="31"/>
        <v>0</v>
      </c>
      <c r="AO453" s="416">
        <f t="shared" si="31"/>
        <v>0</v>
      </c>
      <c r="AP453" s="416">
        <f t="shared" si="31"/>
        <v>0</v>
      </c>
      <c r="AQ453" s="416">
        <f t="shared" si="31"/>
        <v>0</v>
      </c>
      <c r="AR453" s="416">
        <f t="shared" si="31"/>
        <v>0</v>
      </c>
      <c r="AS453" s="416">
        <f t="shared" si="31"/>
        <v>0</v>
      </c>
      <c r="AT453" s="416">
        <f t="shared" si="31"/>
        <v>0</v>
      </c>
      <c r="AU453" s="416">
        <f t="shared" si="31"/>
        <v>0</v>
      </c>
      <c r="AV453" s="416">
        <f t="shared" si="31"/>
        <v>0</v>
      </c>
      <c r="AW453" s="416">
        <f t="shared" si="31"/>
        <v>0</v>
      </c>
      <c r="AX453" s="416">
        <f t="shared" si="31"/>
        <v>0</v>
      </c>
      <c r="AY453" s="416">
        <f t="shared" si="31"/>
        <v>7420.2470000000003</v>
      </c>
      <c r="AZ453" s="416">
        <f>SUM(T453:AY453)</f>
        <v>72500.000000000015</v>
      </c>
    </row>
    <row r="454" spans="2:52">
      <c r="B454" s="1243" t="s">
        <v>558</v>
      </c>
      <c r="C454" s="1244"/>
      <c r="D454" s="1244"/>
      <c r="E454" s="1244"/>
      <c r="F454" s="1244"/>
      <c r="G454" s="1245"/>
      <c r="H454" s="420">
        <f>H453-L436</f>
        <v>0</v>
      </c>
      <c r="I454" s="294"/>
      <c r="J454" s="295"/>
      <c r="K454" s="295"/>
      <c r="L454" s="296"/>
      <c r="M454" s="32"/>
      <c r="N454" s="32"/>
      <c r="O454" s="32"/>
      <c r="P454" s="32"/>
      <c r="Q454" s="297"/>
      <c r="R454" s="297"/>
      <c r="S454" s="32"/>
      <c r="T454" s="48"/>
      <c r="U454" s="48"/>
      <c r="V454" s="48"/>
      <c r="W454" s="48"/>
      <c r="X454" s="48"/>
      <c r="Y454" s="48"/>
      <c r="Z454" s="48"/>
      <c r="AA454" s="48"/>
      <c r="AB454" s="48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</row>
    <row r="455" spans="2:52">
      <c r="B455" s="1243" t="s">
        <v>559</v>
      </c>
      <c r="C455" s="1244"/>
      <c r="D455" s="1244"/>
      <c r="E455" s="1244"/>
      <c r="F455" s="1244"/>
      <c r="G455" s="1245"/>
      <c r="H455" s="420">
        <f>H452-H453</f>
        <v>0</v>
      </c>
      <c r="I455" s="52"/>
      <c r="J455" s="53"/>
      <c r="K455" s="53"/>
      <c r="L455" s="54"/>
      <c r="M455" s="32"/>
      <c r="N455" s="32"/>
      <c r="O455" s="32"/>
      <c r="P455" s="32"/>
      <c r="Q455" s="32"/>
      <c r="R455" s="32"/>
      <c r="S455" s="32"/>
      <c r="T455" s="48"/>
      <c r="U455" s="48"/>
      <c r="V455" s="48"/>
      <c r="W455" s="48"/>
      <c r="X455" s="48"/>
      <c r="Y455" s="48"/>
      <c r="Z455" s="48"/>
      <c r="AA455" s="48"/>
      <c r="AB455" s="48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</row>
    <row r="456" spans="2:52">
      <c r="B456" s="32"/>
      <c r="C456" s="32"/>
      <c r="D456" s="32"/>
      <c r="E456" s="32"/>
      <c r="F456" s="32"/>
      <c r="G456" s="32"/>
      <c r="H456" s="32"/>
      <c r="I456" s="57"/>
      <c r="J456" s="52"/>
      <c r="K456" s="52"/>
      <c r="L456" s="55"/>
      <c r="M456" s="32"/>
      <c r="N456" s="32"/>
      <c r="O456" s="52"/>
      <c r="P456" s="32"/>
      <c r="Q456" s="32"/>
      <c r="R456" s="32"/>
      <c r="S456" s="32"/>
      <c r="T456" s="48"/>
      <c r="U456" s="48"/>
      <c r="V456" s="48"/>
      <c r="W456" s="48"/>
      <c r="X456" s="48"/>
      <c r="Y456" s="48"/>
      <c r="Z456" s="48"/>
      <c r="AA456" s="48"/>
      <c r="AB456" s="48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</row>
    <row r="457" spans="2:52">
      <c r="B457" s="40" t="s">
        <v>561</v>
      </c>
      <c r="C457" s="40"/>
      <c r="D457" s="32"/>
      <c r="E457" s="32"/>
      <c r="F457" s="32"/>
      <c r="G457" s="32"/>
      <c r="H457" s="32"/>
      <c r="I457" s="32"/>
      <c r="J457" s="52"/>
      <c r="K457" s="52"/>
      <c r="L457" s="55"/>
      <c r="M457" s="32"/>
      <c r="N457" s="32"/>
      <c r="O457" s="52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Z457" s="32"/>
    </row>
    <row r="458" spans="2:52">
      <c r="B458" s="422"/>
      <c r="C458" s="1249"/>
      <c r="D458" s="1249"/>
      <c r="E458" s="1249"/>
      <c r="F458" s="1249"/>
      <c r="G458" s="1249"/>
      <c r="H458" s="1249"/>
      <c r="I458" s="1249"/>
      <c r="J458" s="1249"/>
      <c r="K458" s="1249"/>
      <c r="L458" s="55"/>
      <c r="M458" s="32"/>
      <c r="N458" s="32"/>
      <c r="O458" s="52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Z458" s="32"/>
    </row>
    <row r="460" spans="2:52">
      <c r="B460" s="28" t="s">
        <v>126</v>
      </c>
      <c r="C460" s="28"/>
      <c r="D460" s="29"/>
      <c r="E460" s="30" t="s">
        <v>511</v>
      </c>
      <c r="F460" s="31" t="s">
        <v>1064</v>
      </c>
      <c r="G460" s="32"/>
      <c r="H460" s="33"/>
      <c r="I460" s="34"/>
      <c r="J460" s="35" t="s">
        <v>513</v>
      </c>
      <c r="K460" s="36" t="s">
        <v>511</v>
      </c>
      <c r="L460" s="37">
        <v>45013.388888888891</v>
      </c>
      <c r="M460" s="32"/>
      <c r="N460" s="32"/>
      <c r="O460" s="206"/>
      <c r="P460" s="205"/>
      <c r="Q460" s="202"/>
      <c r="R460" s="204"/>
      <c r="S460" s="38"/>
      <c r="T460" s="201"/>
      <c r="U460" s="201"/>
      <c r="V460" s="201"/>
      <c r="W460" s="201"/>
      <c r="X460" s="201"/>
      <c r="Y460" s="201"/>
      <c r="Z460" s="201"/>
      <c r="AA460" s="201"/>
      <c r="AB460" s="202"/>
      <c r="AC460" s="202"/>
      <c r="AD460" s="202"/>
      <c r="AE460" s="202"/>
      <c r="AF460" s="202"/>
      <c r="AG460" s="201"/>
      <c r="AH460" s="201"/>
      <c r="AI460" s="201"/>
      <c r="AJ460" s="201"/>
      <c r="AK460" s="201"/>
      <c r="AL460" s="201"/>
      <c r="AM460" s="201"/>
      <c r="AN460" s="201"/>
      <c r="AO460" s="201"/>
      <c r="AP460" s="201"/>
      <c r="AQ460" s="201"/>
      <c r="AR460" s="201"/>
      <c r="AS460" s="201"/>
      <c r="AT460" s="201"/>
      <c r="AU460" s="201"/>
      <c r="AV460" s="201"/>
      <c r="AW460" s="201"/>
      <c r="AX460" s="201"/>
      <c r="AY460" s="201"/>
      <c r="AZ460" s="201"/>
    </row>
    <row r="461" spans="2:52">
      <c r="B461" s="35" t="s">
        <v>514</v>
      </c>
      <c r="C461" s="35"/>
      <c r="D461" s="32"/>
      <c r="E461" s="36" t="s">
        <v>511</v>
      </c>
      <c r="F461" s="37" t="s">
        <v>1170</v>
      </c>
      <c r="G461" s="32"/>
      <c r="H461" s="33"/>
      <c r="I461" s="34"/>
      <c r="J461" s="35" t="s">
        <v>516</v>
      </c>
      <c r="K461" s="36" t="s">
        <v>511</v>
      </c>
      <c r="L461" s="37">
        <v>45015.65625</v>
      </c>
      <c r="M461" s="32"/>
      <c r="N461" s="32"/>
      <c r="O461" s="206"/>
      <c r="P461" s="205"/>
      <c r="Q461" s="202"/>
      <c r="R461" s="204"/>
      <c r="S461" s="38"/>
      <c r="T461" s="201"/>
      <c r="U461" s="201"/>
      <c r="V461" s="201"/>
      <c r="W461" s="201"/>
      <c r="X461" s="201"/>
      <c r="Y461" s="201"/>
      <c r="Z461" s="201"/>
      <c r="AA461" s="201"/>
      <c r="AB461" s="202"/>
      <c r="AC461" s="202"/>
      <c r="AD461" s="202"/>
      <c r="AE461" s="202"/>
      <c r="AF461" s="202"/>
      <c r="AG461" s="201"/>
      <c r="AH461" s="201"/>
      <c r="AI461" s="201"/>
      <c r="AJ461" s="201"/>
      <c r="AK461" s="201"/>
      <c r="AL461" s="201"/>
      <c r="AM461" s="201"/>
      <c r="AN461" s="201"/>
      <c r="AO461" s="201"/>
      <c r="AP461" s="201"/>
      <c r="AQ461" s="201"/>
      <c r="AR461" s="201"/>
      <c r="AS461" s="201"/>
      <c r="AT461" s="201"/>
      <c r="AU461" s="201"/>
      <c r="AV461" s="201"/>
      <c r="AW461" s="201"/>
      <c r="AX461" s="201"/>
      <c r="AY461" s="201"/>
      <c r="AZ461" s="201"/>
    </row>
    <row r="462" spans="2:52">
      <c r="B462" s="35" t="s">
        <v>517</v>
      </c>
      <c r="C462" s="35"/>
      <c r="D462" s="32"/>
      <c r="E462" s="36" t="s">
        <v>511</v>
      </c>
      <c r="F462" s="37">
        <v>45007.277777777781</v>
      </c>
      <c r="G462" s="32"/>
      <c r="H462" s="33"/>
      <c r="I462" s="34"/>
      <c r="J462" s="35" t="s">
        <v>518</v>
      </c>
      <c r="K462" s="36" t="s">
        <v>511</v>
      </c>
      <c r="L462" s="50">
        <v>66830</v>
      </c>
      <c r="M462" s="40" t="s">
        <v>519</v>
      </c>
      <c r="N462" s="40"/>
      <c r="O462" s="206"/>
      <c r="P462" s="205"/>
      <c r="Q462" s="202"/>
      <c r="R462" s="204"/>
      <c r="S462" s="38"/>
      <c r="T462" s="201"/>
      <c r="U462" s="201"/>
      <c r="V462" s="201"/>
      <c r="W462" s="201"/>
      <c r="X462" s="201"/>
      <c r="Y462" s="201"/>
      <c r="Z462" s="201"/>
      <c r="AA462" s="201"/>
      <c r="AB462" s="202"/>
      <c r="AC462" s="202"/>
      <c r="AD462" s="202"/>
      <c r="AE462" s="202"/>
      <c r="AF462" s="202"/>
      <c r="AG462" s="201"/>
      <c r="AH462" s="201"/>
      <c r="AI462" s="201"/>
      <c r="AJ462" s="201"/>
      <c r="AK462" s="201"/>
      <c r="AL462" s="201"/>
      <c r="AM462" s="201"/>
      <c r="AN462" s="201"/>
      <c r="AO462" s="201"/>
      <c r="AP462" s="201"/>
      <c r="AQ462" s="201"/>
      <c r="AR462" s="201"/>
      <c r="AS462" s="201"/>
      <c r="AT462" s="201"/>
      <c r="AU462" s="201"/>
      <c r="AV462" s="201"/>
      <c r="AW462" s="201"/>
      <c r="AX462" s="201"/>
      <c r="AY462" s="201"/>
      <c r="AZ462" s="201"/>
    </row>
    <row r="463" spans="2:52">
      <c r="B463" s="35" t="s">
        <v>520</v>
      </c>
      <c r="C463" s="35"/>
      <c r="D463" s="32"/>
      <c r="E463" s="36" t="s">
        <v>511</v>
      </c>
      <c r="F463" s="37" t="s">
        <v>12</v>
      </c>
      <c r="G463" s="32"/>
      <c r="H463" s="33"/>
      <c r="I463" s="34"/>
      <c r="J463" s="35" t="s">
        <v>521</v>
      </c>
      <c r="K463" s="36" t="s">
        <v>511</v>
      </c>
      <c r="L463" s="41" t="s">
        <v>1171</v>
      </c>
      <c r="M463" s="32"/>
      <c r="N463" s="32"/>
      <c r="O463" s="206"/>
      <c r="P463" s="202"/>
      <c r="Q463" s="202"/>
      <c r="R463" s="204"/>
      <c r="S463" s="38"/>
      <c r="T463" s="201"/>
      <c r="U463" s="201"/>
      <c r="V463" s="201"/>
      <c r="W463" s="201"/>
      <c r="X463" s="201"/>
      <c r="Y463" s="201"/>
      <c r="Z463" s="201"/>
      <c r="AA463" s="201"/>
      <c r="AB463" s="202"/>
      <c r="AC463" s="202"/>
      <c r="AD463" s="202"/>
      <c r="AE463" s="202"/>
      <c r="AF463" s="202"/>
      <c r="AG463" s="201"/>
      <c r="AH463" s="201"/>
      <c r="AI463" s="201"/>
      <c r="AJ463" s="201"/>
      <c r="AK463" s="201"/>
      <c r="AL463" s="201"/>
      <c r="AM463" s="201"/>
      <c r="AN463" s="201"/>
      <c r="AO463" s="201"/>
      <c r="AP463" s="201"/>
      <c r="AQ463" s="201"/>
      <c r="AR463" s="201"/>
      <c r="AS463" s="201"/>
      <c r="AT463" s="201"/>
      <c r="AU463" s="201"/>
      <c r="AV463" s="201"/>
      <c r="AW463" s="201"/>
      <c r="AX463" s="201"/>
      <c r="AY463" s="201"/>
      <c r="AZ463" s="201"/>
    </row>
    <row r="464" spans="2:52">
      <c r="B464" s="35" t="s">
        <v>523</v>
      </c>
      <c r="C464" s="35"/>
      <c r="D464" s="32"/>
      <c r="E464" s="36" t="s">
        <v>511</v>
      </c>
      <c r="F464" s="37" t="s">
        <v>32</v>
      </c>
      <c r="G464" s="32"/>
      <c r="H464" s="33"/>
      <c r="I464" s="34"/>
      <c r="J464" s="42" t="s">
        <v>524</v>
      </c>
      <c r="K464" s="36" t="s">
        <v>511</v>
      </c>
      <c r="L464" s="43" t="s">
        <v>11</v>
      </c>
      <c r="M464" s="44"/>
      <c r="N464" s="44"/>
      <c r="O464" s="206"/>
      <c r="P464" s="205"/>
      <c r="Q464" s="202"/>
      <c r="R464" s="204"/>
      <c r="S464" s="38"/>
      <c r="T464" s="201"/>
      <c r="U464" s="201"/>
      <c r="V464" s="201"/>
      <c r="W464" s="201"/>
      <c r="X464" s="201"/>
      <c r="Y464" s="201"/>
      <c r="Z464" s="201"/>
      <c r="AA464" s="201"/>
      <c r="AB464" s="202"/>
      <c r="AC464" s="202"/>
      <c r="AD464" s="202"/>
      <c r="AE464" s="202"/>
      <c r="AF464" s="202"/>
      <c r="AG464" s="201"/>
      <c r="AH464" s="201"/>
      <c r="AI464" s="201"/>
      <c r="AJ464" s="201"/>
      <c r="AK464" s="201"/>
      <c r="AL464" s="201"/>
      <c r="AM464" s="201"/>
      <c r="AN464" s="201"/>
      <c r="AO464" s="201"/>
      <c r="AP464" s="201"/>
      <c r="AQ464" s="201"/>
      <c r="AR464" s="201"/>
      <c r="AS464" s="201"/>
      <c r="AT464" s="201"/>
      <c r="AU464" s="201"/>
      <c r="AV464" s="201"/>
      <c r="AW464" s="201"/>
      <c r="AX464" s="201"/>
      <c r="AY464" s="201"/>
      <c r="AZ464" s="201"/>
    </row>
    <row r="465" spans="2:52">
      <c r="B465" s="35" t="s">
        <v>2</v>
      </c>
      <c r="C465" s="35"/>
      <c r="D465" s="32"/>
      <c r="E465" s="36" t="s">
        <v>511</v>
      </c>
      <c r="F465" s="37" t="s">
        <v>6</v>
      </c>
      <c r="G465" s="32"/>
      <c r="H465" s="33"/>
      <c r="I465" s="45"/>
      <c r="J465" s="42"/>
      <c r="K465" s="36"/>
      <c r="L465" s="211"/>
      <c r="M465" s="201"/>
      <c r="N465" s="201"/>
      <c r="O465" s="42"/>
      <c r="P465" s="44"/>
      <c r="Q465" s="44"/>
      <c r="R465" s="44"/>
      <c r="S465" s="34"/>
      <c r="T465" s="201"/>
      <c r="U465" s="201"/>
      <c r="V465" s="201"/>
      <c r="W465" s="201"/>
      <c r="X465" s="201"/>
      <c r="Y465" s="201"/>
      <c r="Z465" s="201"/>
      <c r="AA465" s="201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201"/>
      <c r="AP465" s="201"/>
      <c r="AQ465" s="201"/>
      <c r="AR465" s="201"/>
      <c r="AS465" s="201"/>
      <c r="AT465" s="201"/>
      <c r="AU465" s="201"/>
      <c r="AV465" s="201"/>
      <c r="AW465" s="201"/>
      <c r="AX465" s="201"/>
      <c r="AY465" s="201"/>
      <c r="AZ465" s="201"/>
    </row>
    <row r="466" spans="2:52">
      <c r="B466" s="201"/>
      <c r="C466" s="201"/>
      <c r="D466" s="201"/>
      <c r="E466" s="201"/>
      <c r="F466" s="201"/>
      <c r="G466" s="201"/>
      <c r="H466" s="201"/>
      <c r="I466" s="45"/>
      <c r="J466" s="42"/>
      <c r="K466" s="42"/>
      <c r="L466" s="43"/>
      <c r="M466" s="44"/>
      <c r="N466" s="44"/>
      <c r="O466" s="42"/>
      <c r="P466" s="44"/>
      <c r="Q466" s="44"/>
      <c r="R466" s="44"/>
      <c r="S466" s="34"/>
      <c r="T466" s="1265" t="s">
        <v>87</v>
      </c>
      <c r="U466" s="1265"/>
      <c r="V466" s="1265"/>
      <c r="W466" s="1265"/>
      <c r="X466" s="1265"/>
      <c r="Y466" s="1265" t="s">
        <v>73</v>
      </c>
      <c r="Z466" s="1265"/>
      <c r="AA466" s="1265"/>
      <c r="AB466" s="1265" t="s">
        <v>74</v>
      </c>
      <c r="AC466" s="1265"/>
      <c r="AD466" s="423" t="s">
        <v>85</v>
      </c>
      <c r="AE466" s="423" t="s">
        <v>77</v>
      </c>
      <c r="AF466" s="1265" t="s">
        <v>525</v>
      </c>
      <c r="AG466" s="1265"/>
      <c r="AH466" s="1265"/>
      <c r="AI466" s="1265"/>
      <c r="AJ466" s="1265"/>
      <c r="AK466" s="1265"/>
      <c r="AL466" s="1265"/>
      <c r="AM466" s="1265"/>
      <c r="AN466" s="1265"/>
      <c r="AO466" s="1265"/>
      <c r="AP466" s="1265"/>
      <c r="AQ466" s="1265"/>
      <c r="AR466" s="1265"/>
      <c r="AS466" s="1265"/>
      <c r="AT466" s="1265"/>
      <c r="AU466" s="1265"/>
      <c r="AV466" s="1265"/>
      <c r="AW466" s="1265"/>
      <c r="AX466" s="1265"/>
      <c r="AY466" s="1265"/>
      <c r="AZ466" s="201"/>
    </row>
    <row r="467" spans="2:52">
      <c r="B467" s="1266" t="s">
        <v>526</v>
      </c>
      <c r="C467" s="1267"/>
      <c r="D467" s="570" t="s">
        <v>527</v>
      </c>
      <c r="E467" s="570"/>
      <c r="F467" s="570" t="s">
        <v>528</v>
      </c>
      <c r="G467" s="570" t="s">
        <v>529</v>
      </c>
      <c r="H467" s="570" t="s">
        <v>530</v>
      </c>
      <c r="I467" s="570" t="s">
        <v>531</v>
      </c>
      <c r="J467" s="570" t="s">
        <v>532</v>
      </c>
      <c r="K467" s="570"/>
      <c r="L467" s="570" t="s">
        <v>130</v>
      </c>
      <c r="M467" s="570" t="s">
        <v>533</v>
      </c>
      <c r="N467" s="408" t="str">
        <f>"On time - "&amp;COUNTIF(N468:N479,"On time")&amp;" from "&amp;ROWS(N468:N479)-COUNTIF(N468:N479," ")</f>
        <v>On time - 2 from 10</v>
      </c>
      <c r="O467" s="46"/>
      <c r="P467" s="409" t="s">
        <v>534</v>
      </c>
      <c r="Q467" s="409" t="s">
        <v>535</v>
      </c>
      <c r="R467" s="409" t="s">
        <v>536</v>
      </c>
      <c r="S467" s="32"/>
      <c r="T467" s="424" t="s">
        <v>537</v>
      </c>
      <c r="U467" s="424" t="s">
        <v>538</v>
      </c>
      <c r="V467" s="424" t="s">
        <v>539</v>
      </c>
      <c r="W467" s="424" t="s">
        <v>540</v>
      </c>
      <c r="X467" s="424" t="s">
        <v>541</v>
      </c>
      <c r="Y467" s="424" t="s">
        <v>167</v>
      </c>
      <c r="Z467" s="424" t="s">
        <v>168</v>
      </c>
      <c r="AA467" s="424" t="s">
        <v>169</v>
      </c>
      <c r="AB467" s="424" t="s">
        <v>235</v>
      </c>
      <c r="AC467" s="424" t="s">
        <v>240</v>
      </c>
      <c r="AD467" s="423" t="s">
        <v>85</v>
      </c>
      <c r="AE467" s="424" t="s">
        <v>139</v>
      </c>
      <c r="AF467" s="424" t="s">
        <v>72</v>
      </c>
      <c r="AG467" s="424" t="s">
        <v>88</v>
      </c>
      <c r="AH467" s="424" t="s">
        <v>75</v>
      </c>
      <c r="AI467" s="424" t="s">
        <v>543</v>
      </c>
      <c r="AJ467" s="424" t="s">
        <v>78</v>
      </c>
      <c r="AK467" s="424" t="s">
        <v>76</v>
      </c>
      <c r="AL467" s="424" t="s">
        <v>544</v>
      </c>
      <c r="AM467" s="424" t="s">
        <v>545</v>
      </c>
      <c r="AN467" s="424" t="s">
        <v>86</v>
      </c>
      <c r="AO467" s="424" t="s">
        <v>83</v>
      </c>
      <c r="AP467" s="424" t="s">
        <v>84</v>
      </c>
      <c r="AQ467" s="424" t="s">
        <v>546</v>
      </c>
      <c r="AR467" s="424" t="s">
        <v>81</v>
      </c>
      <c r="AS467" s="424" t="s">
        <v>80</v>
      </c>
      <c r="AT467" s="424" t="s">
        <v>82</v>
      </c>
      <c r="AU467" s="424" t="s">
        <v>181</v>
      </c>
      <c r="AV467" s="424" t="s">
        <v>183</v>
      </c>
      <c r="AW467" s="424" t="s">
        <v>547</v>
      </c>
      <c r="AX467" s="424" t="s">
        <v>182</v>
      </c>
      <c r="AY467" s="424" t="s">
        <v>172</v>
      </c>
      <c r="AZ467" s="201"/>
    </row>
    <row r="468" spans="2:52">
      <c r="B468" s="1250" t="s">
        <v>1172</v>
      </c>
      <c r="C468" s="1251"/>
      <c r="D468" s="411" t="s">
        <v>1108</v>
      </c>
      <c r="E468" s="411"/>
      <c r="F468" s="411" t="s">
        <v>371</v>
      </c>
      <c r="G468" s="411" t="s">
        <v>372</v>
      </c>
      <c r="H468" s="412">
        <v>5910.2749999999996</v>
      </c>
      <c r="I468" s="413" t="s">
        <v>494</v>
      </c>
      <c r="J468" s="414">
        <v>45006.541666666664</v>
      </c>
      <c r="K468" s="414"/>
      <c r="L468" s="414" t="s">
        <v>192</v>
      </c>
      <c r="M468" s="414" t="s">
        <v>192</v>
      </c>
      <c r="N468" s="413" t="str">
        <f t="shared" ref="N468:N479" si="32">IF(ISBLANK(J468)," ",IF(J468&lt;$F$462,"On time",(IF(DAY(J468-$F$462)&lt;1,"On time",(IF(J468&gt;$F$462,"DELAY ( "&amp;DAY(J468-$F$462)&amp;" day "&amp;HOUR(J468-$F$462)&amp;" hour "&amp;MINUTE(J468-$F$462)&amp;" minute )","xxx"))))))</f>
        <v>On time</v>
      </c>
      <c r="O468" s="51"/>
      <c r="P468" s="415" t="s">
        <v>551</v>
      </c>
      <c r="Q468" s="415" t="s">
        <v>551</v>
      </c>
      <c r="R468" s="415" t="s">
        <v>551</v>
      </c>
      <c r="S468" s="32"/>
      <c r="T468" s="416"/>
      <c r="U468" s="416"/>
      <c r="V468" s="416"/>
      <c r="W468" s="416"/>
      <c r="X468" s="416"/>
      <c r="Y468" s="416">
        <f>H468</f>
        <v>5910.2749999999996</v>
      </c>
      <c r="Z468" s="416"/>
      <c r="AA468" s="416"/>
      <c r="AB468" s="416"/>
      <c r="AC468" s="416"/>
      <c r="AD468" s="416"/>
      <c r="AE468" s="416"/>
      <c r="AF468" s="416"/>
      <c r="AG468" s="416"/>
      <c r="AH468" s="416"/>
      <c r="AI468" s="416"/>
      <c r="AJ468" s="416"/>
      <c r="AK468" s="416"/>
      <c r="AL468" s="416"/>
      <c r="AM468" s="416"/>
      <c r="AN468" s="416"/>
      <c r="AO468" s="416"/>
      <c r="AP468" s="416"/>
      <c r="AQ468" s="416"/>
      <c r="AR468" s="416"/>
      <c r="AS468" s="416"/>
      <c r="AT468" s="416"/>
      <c r="AU468" s="416"/>
      <c r="AV468" s="416"/>
      <c r="AW468" s="416"/>
      <c r="AX468" s="416"/>
      <c r="AY468" s="416"/>
      <c r="AZ468" s="32"/>
    </row>
    <row r="469" spans="2:52">
      <c r="B469" s="1254"/>
      <c r="C469" s="1255"/>
      <c r="D469" s="411" t="s">
        <v>1111</v>
      </c>
      <c r="E469" s="425"/>
      <c r="F469" s="411" t="s">
        <v>257</v>
      </c>
      <c r="G469" s="411" t="s">
        <v>258</v>
      </c>
      <c r="H469" s="412">
        <f>7633.32/2</f>
        <v>3816.66</v>
      </c>
      <c r="I469" s="413" t="s">
        <v>835</v>
      </c>
      <c r="J469" s="1268">
        <v>45012.291666666664</v>
      </c>
      <c r="K469" s="414"/>
      <c r="L469" s="1268" t="s">
        <v>192</v>
      </c>
      <c r="M469" s="1268" t="s">
        <v>192</v>
      </c>
      <c r="N469" s="413" t="str">
        <f t="shared" si="32"/>
        <v>DELAY ( 5 day 0 hour 20 minute )</v>
      </c>
      <c r="O469" s="51"/>
      <c r="P469" s="415" t="s">
        <v>551</v>
      </c>
      <c r="Q469" s="415" t="s">
        <v>551</v>
      </c>
      <c r="R469" s="415" t="s">
        <v>551</v>
      </c>
      <c r="S469" s="32"/>
      <c r="T469" s="416"/>
      <c r="U469" s="416"/>
      <c r="V469" s="416"/>
      <c r="W469" s="416"/>
      <c r="X469" s="416"/>
      <c r="Y469" s="416"/>
      <c r="Z469" s="416">
        <f>H469</f>
        <v>3816.66</v>
      </c>
      <c r="AA469" s="416"/>
      <c r="AB469" s="416"/>
      <c r="AC469" s="416"/>
      <c r="AD469" s="416"/>
      <c r="AE469" s="416"/>
      <c r="AF469" s="416"/>
      <c r="AG469" s="416"/>
      <c r="AH469" s="416"/>
      <c r="AI469" s="416"/>
      <c r="AJ469" s="416"/>
      <c r="AK469" s="416"/>
      <c r="AL469" s="416"/>
      <c r="AM469" s="416"/>
      <c r="AN469" s="416"/>
      <c r="AO469" s="416"/>
      <c r="AP469" s="416"/>
      <c r="AQ469" s="416"/>
      <c r="AR469" s="416"/>
      <c r="AS469" s="416"/>
      <c r="AT469" s="416"/>
      <c r="AU469" s="416"/>
      <c r="AV469" s="416"/>
      <c r="AW469" s="416"/>
      <c r="AX469" s="416"/>
      <c r="AY469" s="416"/>
      <c r="AZ469" s="32"/>
    </row>
    <row r="470" spans="2:52">
      <c r="B470" s="1250" t="s">
        <v>1173</v>
      </c>
      <c r="C470" s="1251"/>
      <c r="D470" s="411" t="s">
        <v>1111</v>
      </c>
      <c r="E470" s="425"/>
      <c r="F470" s="411" t="s">
        <v>257</v>
      </c>
      <c r="G470" s="411" t="s">
        <v>258</v>
      </c>
      <c r="H470" s="412">
        <f>H469</f>
        <v>3816.66</v>
      </c>
      <c r="I470" s="413" t="s">
        <v>835</v>
      </c>
      <c r="J470" s="1269"/>
      <c r="K470" s="414"/>
      <c r="L470" s="1269"/>
      <c r="M470" s="1269"/>
      <c r="N470" s="413" t="str">
        <f t="shared" si="32"/>
        <v xml:space="preserve"> </v>
      </c>
      <c r="O470" s="51"/>
      <c r="P470" s="415" t="s">
        <v>551</v>
      </c>
      <c r="Q470" s="415" t="s">
        <v>551</v>
      </c>
      <c r="R470" s="415" t="s">
        <v>551</v>
      </c>
      <c r="S470" s="32"/>
      <c r="T470" s="416"/>
      <c r="U470" s="416"/>
      <c r="V470" s="416"/>
      <c r="W470" s="416"/>
      <c r="X470" s="416"/>
      <c r="Y470" s="416"/>
      <c r="Z470" s="416">
        <f>H470</f>
        <v>3816.66</v>
      </c>
      <c r="AA470" s="416"/>
      <c r="AB470" s="416"/>
      <c r="AC470" s="416"/>
      <c r="AD470" s="416"/>
      <c r="AE470" s="416"/>
      <c r="AF470" s="416"/>
      <c r="AG470" s="416"/>
      <c r="AH470" s="416"/>
      <c r="AI470" s="416"/>
      <c r="AJ470" s="416"/>
      <c r="AK470" s="416"/>
      <c r="AL470" s="416"/>
      <c r="AM470" s="416"/>
      <c r="AN470" s="416"/>
      <c r="AO470" s="416"/>
      <c r="AP470" s="416"/>
      <c r="AQ470" s="416"/>
      <c r="AR470" s="416"/>
      <c r="AS470" s="416"/>
      <c r="AT470" s="416"/>
      <c r="AU470" s="416"/>
      <c r="AV470" s="416"/>
      <c r="AW470" s="416"/>
      <c r="AX470" s="416"/>
      <c r="AY470" s="416"/>
      <c r="AZ470" s="32"/>
    </row>
    <row r="471" spans="2:52">
      <c r="B471" s="1254"/>
      <c r="C471" s="1255"/>
      <c r="D471" s="411" t="s">
        <v>1097</v>
      </c>
      <c r="E471" s="411"/>
      <c r="F471" s="411" t="s">
        <v>233</v>
      </c>
      <c r="G471" s="411" t="s">
        <v>234</v>
      </c>
      <c r="H471" s="412">
        <v>3328</v>
      </c>
      <c r="I471" s="413" t="s">
        <v>494</v>
      </c>
      <c r="J471" s="414">
        <v>45006.527777777781</v>
      </c>
      <c r="K471" s="414"/>
      <c r="L471" s="414" t="s">
        <v>192</v>
      </c>
      <c r="M471" s="414" t="s">
        <v>192</v>
      </c>
      <c r="N471" s="413" t="str">
        <f t="shared" si="32"/>
        <v>On time</v>
      </c>
      <c r="O471" s="51"/>
      <c r="P471" s="415" t="s">
        <v>551</v>
      </c>
      <c r="Q471" s="415" t="s">
        <v>551</v>
      </c>
      <c r="R471" s="415" t="s">
        <v>551</v>
      </c>
      <c r="S471" s="32"/>
      <c r="T471" s="416"/>
      <c r="U471" s="416"/>
      <c r="V471" s="416"/>
      <c r="W471" s="416"/>
      <c r="X471" s="416"/>
      <c r="Y471" s="416">
        <f>H471</f>
        <v>3328</v>
      </c>
      <c r="Z471" s="416"/>
      <c r="AA471" s="416"/>
      <c r="AB471" s="416"/>
      <c r="AC471" s="416"/>
      <c r="AD471" s="416"/>
      <c r="AE471" s="416"/>
      <c r="AF471" s="416"/>
      <c r="AG471" s="416"/>
      <c r="AH471" s="416"/>
      <c r="AI471" s="416"/>
      <c r="AJ471" s="416"/>
      <c r="AK471" s="416"/>
      <c r="AL471" s="416"/>
      <c r="AM471" s="416"/>
      <c r="AN471" s="416"/>
      <c r="AO471" s="416"/>
      <c r="AP471" s="416"/>
      <c r="AQ471" s="416"/>
      <c r="AR471" s="416"/>
      <c r="AS471" s="416"/>
      <c r="AT471" s="416"/>
      <c r="AU471" s="416"/>
      <c r="AV471" s="416"/>
      <c r="AW471" s="416"/>
      <c r="AX471" s="416"/>
      <c r="AY471" s="416"/>
      <c r="AZ471" s="32"/>
    </row>
    <row r="472" spans="2:52">
      <c r="B472" s="1250" t="s">
        <v>884</v>
      </c>
      <c r="C472" s="1251"/>
      <c r="D472" s="411" t="s">
        <v>1114</v>
      </c>
      <c r="E472" s="411"/>
      <c r="F472" s="411" t="s">
        <v>263</v>
      </c>
      <c r="G472" s="411" t="s">
        <v>344</v>
      </c>
      <c r="H472" s="412">
        <v>7452.8450000000003</v>
      </c>
      <c r="I472" s="413" t="s">
        <v>835</v>
      </c>
      <c r="J472" s="414">
        <v>45013.458333333336</v>
      </c>
      <c r="K472" s="414"/>
      <c r="L472" s="414" t="s">
        <v>192</v>
      </c>
      <c r="M472" s="414" t="s">
        <v>192</v>
      </c>
      <c r="N472" s="413" t="str">
        <f t="shared" si="32"/>
        <v>DELAY ( 6 day 4 hour 20 minute )</v>
      </c>
      <c r="O472" s="51"/>
      <c r="P472" s="415" t="s">
        <v>551</v>
      </c>
      <c r="Q472" s="415" t="s">
        <v>551</v>
      </c>
      <c r="R472" s="415" t="s">
        <v>551</v>
      </c>
      <c r="S472" s="32"/>
      <c r="T472" s="416"/>
      <c r="U472" s="416"/>
      <c r="V472" s="416"/>
      <c r="W472" s="416"/>
      <c r="X472" s="416"/>
      <c r="Y472" s="416"/>
      <c r="Z472" s="416">
        <f>H472</f>
        <v>7452.8450000000003</v>
      </c>
      <c r="AA472" s="416"/>
      <c r="AB472" s="416"/>
      <c r="AC472" s="416"/>
      <c r="AD472" s="416"/>
      <c r="AE472" s="416"/>
      <c r="AF472" s="416"/>
      <c r="AG472" s="416"/>
      <c r="AH472" s="416"/>
      <c r="AI472" s="416"/>
      <c r="AJ472" s="416"/>
      <c r="AK472" s="416"/>
      <c r="AL472" s="416"/>
      <c r="AM472" s="416"/>
      <c r="AN472" s="416"/>
      <c r="AO472" s="416"/>
      <c r="AP472" s="416"/>
      <c r="AQ472" s="416"/>
      <c r="AR472" s="416"/>
      <c r="AS472" s="416"/>
      <c r="AT472" s="416"/>
      <c r="AU472" s="416"/>
      <c r="AV472" s="416"/>
      <c r="AW472" s="416"/>
      <c r="AX472" s="416"/>
      <c r="AY472" s="416"/>
      <c r="AZ472" s="32"/>
    </row>
    <row r="473" spans="2:52">
      <c r="B473" s="1254"/>
      <c r="C473" s="1255"/>
      <c r="D473" s="411" t="s">
        <v>1065</v>
      </c>
      <c r="E473" s="425"/>
      <c r="F473" s="411" t="s">
        <v>406</v>
      </c>
      <c r="G473" s="411" t="s">
        <v>407</v>
      </c>
      <c r="H473" s="412">
        <f>7565.75/2</f>
        <v>3782.875</v>
      </c>
      <c r="I473" s="413" t="s">
        <v>172</v>
      </c>
      <c r="J473" s="1268">
        <v>45013.46875</v>
      </c>
      <c r="K473" s="414"/>
      <c r="L473" s="1268" t="s">
        <v>192</v>
      </c>
      <c r="M473" s="1268" t="s">
        <v>192</v>
      </c>
      <c r="N473" s="413" t="str">
        <f t="shared" si="32"/>
        <v>DELAY ( 6 day 4 hour 35 minute )</v>
      </c>
      <c r="O473" s="51"/>
      <c r="P473" s="415" t="s">
        <v>551</v>
      </c>
      <c r="Q473" s="415" t="s">
        <v>551</v>
      </c>
      <c r="R473" s="415" t="s">
        <v>551</v>
      </c>
      <c r="S473" s="32"/>
      <c r="T473" s="416"/>
      <c r="U473" s="416"/>
      <c r="V473" s="416"/>
      <c r="W473" s="416"/>
      <c r="X473" s="416"/>
      <c r="Y473" s="416"/>
      <c r="Z473" s="416"/>
      <c r="AA473" s="416"/>
      <c r="AB473" s="416"/>
      <c r="AC473" s="416"/>
      <c r="AD473" s="416"/>
      <c r="AE473" s="416"/>
      <c r="AF473" s="416"/>
      <c r="AG473" s="416"/>
      <c r="AH473" s="416"/>
      <c r="AI473" s="416"/>
      <c r="AJ473" s="416"/>
      <c r="AK473" s="416"/>
      <c r="AL473" s="416"/>
      <c r="AM473" s="416"/>
      <c r="AN473" s="416"/>
      <c r="AO473" s="416"/>
      <c r="AP473" s="416"/>
      <c r="AQ473" s="416"/>
      <c r="AR473" s="416"/>
      <c r="AS473" s="416"/>
      <c r="AT473" s="416"/>
      <c r="AU473" s="416"/>
      <c r="AV473" s="416"/>
      <c r="AW473" s="416"/>
      <c r="AX473" s="416"/>
      <c r="AY473" s="416">
        <f>H473</f>
        <v>3782.875</v>
      </c>
      <c r="AZ473" s="32"/>
    </row>
    <row r="474" spans="2:52">
      <c r="B474" s="1250" t="s">
        <v>656</v>
      </c>
      <c r="C474" s="1251"/>
      <c r="D474" s="411" t="s">
        <v>1065</v>
      </c>
      <c r="E474" s="425"/>
      <c r="F474" s="411" t="s">
        <v>406</v>
      </c>
      <c r="G474" s="411" t="s">
        <v>407</v>
      </c>
      <c r="H474" s="412">
        <f>H473</f>
        <v>3782.875</v>
      </c>
      <c r="I474" s="413" t="s">
        <v>172</v>
      </c>
      <c r="J474" s="1269"/>
      <c r="K474" s="273"/>
      <c r="L474" s="1269"/>
      <c r="M474" s="1269"/>
      <c r="N474" s="413" t="str">
        <f t="shared" si="32"/>
        <v xml:space="preserve"> </v>
      </c>
      <c r="O474" s="51"/>
      <c r="P474" s="415" t="s">
        <v>551</v>
      </c>
      <c r="Q474" s="415" t="s">
        <v>551</v>
      </c>
      <c r="R474" s="415" t="s">
        <v>551</v>
      </c>
      <c r="S474" s="32"/>
      <c r="T474" s="416"/>
      <c r="U474" s="416"/>
      <c r="V474" s="416"/>
      <c r="W474" s="416"/>
      <c r="X474" s="416"/>
      <c r="Y474" s="416"/>
      <c r="Z474" s="416"/>
      <c r="AA474" s="416"/>
      <c r="AB474" s="416"/>
      <c r="AC474" s="416"/>
      <c r="AD474" s="416"/>
      <c r="AE474" s="416"/>
      <c r="AF474" s="416"/>
      <c r="AG474" s="416"/>
      <c r="AH474" s="416"/>
      <c r="AI474" s="416"/>
      <c r="AJ474" s="416"/>
      <c r="AK474" s="416"/>
      <c r="AL474" s="416"/>
      <c r="AM474" s="416"/>
      <c r="AN474" s="416"/>
      <c r="AO474" s="416"/>
      <c r="AP474" s="416"/>
      <c r="AQ474" s="416"/>
      <c r="AR474" s="416"/>
      <c r="AS474" s="416"/>
      <c r="AT474" s="416"/>
      <c r="AU474" s="416"/>
      <c r="AV474" s="416"/>
      <c r="AW474" s="416"/>
      <c r="AX474" s="416"/>
      <c r="AY474" s="416">
        <f>H474</f>
        <v>3782.875</v>
      </c>
      <c r="AZ474" s="32"/>
    </row>
    <row r="475" spans="2:52">
      <c r="B475" s="1254"/>
      <c r="C475" s="1255"/>
      <c r="D475" s="411" t="s">
        <v>1115</v>
      </c>
      <c r="E475" s="411"/>
      <c r="F475" s="411" t="s">
        <v>403</v>
      </c>
      <c r="G475" s="411" t="s">
        <v>404</v>
      </c>
      <c r="H475" s="412">
        <v>7508.5039999999999</v>
      </c>
      <c r="I475" s="413" t="s">
        <v>835</v>
      </c>
      <c r="J475" s="414">
        <v>45013.4375</v>
      </c>
      <c r="K475" s="414"/>
      <c r="L475" s="414" t="s">
        <v>192</v>
      </c>
      <c r="M475" s="414" t="s">
        <v>192</v>
      </c>
      <c r="N475" s="413" t="str">
        <f t="shared" si="32"/>
        <v>DELAY ( 6 day 3 hour 50 minute )</v>
      </c>
      <c r="O475" s="51"/>
      <c r="P475" s="415" t="s">
        <v>551</v>
      </c>
      <c r="Q475" s="415" t="s">
        <v>551</v>
      </c>
      <c r="R475" s="415" t="s">
        <v>551</v>
      </c>
      <c r="S475" s="32"/>
      <c r="T475" s="416"/>
      <c r="U475" s="416"/>
      <c r="V475" s="416"/>
      <c r="W475" s="416"/>
      <c r="X475" s="416"/>
      <c r="Y475" s="416"/>
      <c r="Z475" s="416">
        <f>H475</f>
        <v>7508.5039999999999</v>
      </c>
      <c r="AA475" s="416"/>
      <c r="AB475" s="416"/>
      <c r="AC475" s="416"/>
      <c r="AD475" s="416"/>
      <c r="AE475" s="416"/>
      <c r="AF475" s="416"/>
      <c r="AG475" s="416"/>
      <c r="AH475" s="416"/>
      <c r="AI475" s="416"/>
      <c r="AJ475" s="416"/>
      <c r="AK475" s="416"/>
      <c r="AL475" s="416"/>
      <c r="AM475" s="416"/>
      <c r="AN475" s="416"/>
      <c r="AO475" s="416"/>
      <c r="AP475" s="416"/>
      <c r="AQ475" s="416"/>
      <c r="AR475" s="416"/>
      <c r="AS475" s="416"/>
      <c r="AT475" s="416"/>
      <c r="AU475" s="416"/>
      <c r="AV475" s="416"/>
      <c r="AW475" s="416"/>
      <c r="AX475" s="416"/>
      <c r="AY475" s="416"/>
      <c r="AZ475" s="32"/>
    </row>
    <row r="476" spans="2:52">
      <c r="B476" s="1250" t="s">
        <v>653</v>
      </c>
      <c r="C476" s="1251"/>
      <c r="D476" s="411" t="s">
        <v>1113</v>
      </c>
      <c r="E476" s="411"/>
      <c r="F476" s="411" t="s">
        <v>377</v>
      </c>
      <c r="G476" s="411" t="s">
        <v>378</v>
      </c>
      <c r="H476" s="412">
        <v>7854.7659999999996</v>
      </c>
      <c r="I476" s="413" t="s">
        <v>1110</v>
      </c>
      <c r="J476" s="414">
        <v>45013.604166666664</v>
      </c>
      <c r="K476" s="414"/>
      <c r="L476" s="414" t="s">
        <v>192</v>
      </c>
      <c r="M476" s="414" t="s">
        <v>192</v>
      </c>
      <c r="N476" s="413" t="str">
        <f t="shared" si="32"/>
        <v>DELAY ( 6 day 7 hour 50 minute )</v>
      </c>
      <c r="O476" s="51"/>
      <c r="P476" s="415" t="s">
        <v>551</v>
      </c>
      <c r="Q476" s="415" t="s">
        <v>551</v>
      </c>
      <c r="R476" s="415" t="s">
        <v>551</v>
      </c>
      <c r="S476" s="32"/>
      <c r="T476" s="416"/>
      <c r="U476" s="416"/>
      <c r="V476" s="416"/>
      <c r="W476" s="416"/>
      <c r="X476" s="416"/>
      <c r="Y476" s="416">
        <f>H476*0.3</f>
        <v>2356.4297999999999</v>
      </c>
      <c r="Z476" s="416">
        <f>H476*0.7</f>
        <v>5498.3361999999997</v>
      </c>
      <c r="AA476" s="416"/>
      <c r="AB476" s="416"/>
      <c r="AC476" s="416"/>
      <c r="AD476" s="416"/>
      <c r="AE476" s="416"/>
      <c r="AF476" s="416"/>
      <c r="AG476" s="416"/>
      <c r="AH476" s="416"/>
      <c r="AI476" s="416"/>
      <c r="AJ476" s="416"/>
      <c r="AK476" s="416"/>
      <c r="AL476" s="416"/>
      <c r="AM476" s="416"/>
      <c r="AN476" s="416"/>
      <c r="AO476" s="416"/>
      <c r="AP476" s="416"/>
      <c r="AQ476" s="416"/>
      <c r="AR476" s="416"/>
      <c r="AS476" s="416"/>
      <c r="AT476" s="416"/>
      <c r="AU476" s="416"/>
      <c r="AV476" s="416"/>
      <c r="AW476" s="416"/>
      <c r="AX476" s="416"/>
      <c r="AY476" s="416"/>
      <c r="AZ476" s="32"/>
    </row>
    <row r="477" spans="2:52">
      <c r="B477" s="1254"/>
      <c r="C477" s="1255"/>
      <c r="D477" s="411" t="s">
        <v>1116</v>
      </c>
      <c r="E477" s="411"/>
      <c r="F477" s="411" t="s">
        <v>288</v>
      </c>
      <c r="G477" s="411" t="s">
        <v>289</v>
      </c>
      <c r="H477" s="412">
        <v>7508.99</v>
      </c>
      <c r="I477" s="413" t="s">
        <v>835</v>
      </c>
      <c r="J477" s="414">
        <v>45014.583333333336</v>
      </c>
      <c r="K477" s="414"/>
      <c r="L477" s="414" t="s">
        <v>192</v>
      </c>
      <c r="M477" s="414" t="s">
        <v>192</v>
      </c>
      <c r="N477" s="413" t="str">
        <f t="shared" si="32"/>
        <v>DELAY ( 7 day 7 hour 20 minute )</v>
      </c>
      <c r="O477" s="51"/>
      <c r="P477" s="415" t="s">
        <v>551</v>
      </c>
      <c r="Q477" s="415" t="s">
        <v>551</v>
      </c>
      <c r="R477" s="415" t="s">
        <v>551</v>
      </c>
      <c r="S477" s="32"/>
      <c r="T477" s="416"/>
      <c r="U477" s="416"/>
      <c r="V477" s="416"/>
      <c r="W477" s="416"/>
      <c r="X477" s="416"/>
      <c r="Y477" s="416"/>
      <c r="Z477" s="416">
        <f>H477</f>
        <v>7508.99</v>
      </c>
      <c r="AA477" s="416"/>
      <c r="AB477" s="416"/>
      <c r="AC477" s="416"/>
      <c r="AD477" s="416"/>
      <c r="AE477" s="416"/>
      <c r="AF477" s="416"/>
      <c r="AG477" s="416"/>
      <c r="AH477" s="416"/>
      <c r="AI477" s="416"/>
      <c r="AJ477" s="416"/>
      <c r="AK477" s="416"/>
      <c r="AL477" s="416"/>
      <c r="AM477" s="416"/>
      <c r="AN477" s="416"/>
      <c r="AO477" s="416"/>
      <c r="AP477" s="416"/>
      <c r="AQ477" s="416"/>
      <c r="AR477" s="416"/>
      <c r="AS477" s="416"/>
      <c r="AT477" s="416"/>
      <c r="AU477" s="416"/>
      <c r="AV477" s="416"/>
      <c r="AW477" s="416"/>
      <c r="AX477" s="416"/>
      <c r="AY477" s="416"/>
      <c r="AZ477" s="32"/>
    </row>
    <row r="478" spans="2:52">
      <c r="B478" s="1256" t="s">
        <v>548</v>
      </c>
      <c r="C478" s="1257"/>
      <c r="D478" s="411" t="s">
        <v>1109</v>
      </c>
      <c r="E478" s="411"/>
      <c r="F478" s="411" t="s">
        <v>399</v>
      </c>
      <c r="G478" s="411" t="s">
        <v>1093</v>
      </c>
      <c r="H478" s="412">
        <v>7608.9989999999998</v>
      </c>
      <c r="I478" s="413" t="s">
        <v>1110</v>
      </c>
      <c r="J478" s="414">
        <v>45014.697916666664</v>
      </c>
      <c r="K478" s="414"/>
      <c r="L478" s="414" t="s">
        <v>192</v>
      </c>
      <c r="M478" s="414" t="s">
        <v>192</v>
      </c>
      <c r="N478" s="413" t="str">
        <f t="shared" si="32"/>
        <v>DELAY ( 7 day 10 hour 5 minute )</v>
      </c>
      <c r="O478" s="51"/>
      <c r="P478" s="415" t="s">
        <v>551</v>
      </c>
      <c r="Q478" s="415" t="s">
        <v>551</v>
      </c>
      <c r="R478" s="415" t="s">
        <v>551</v>
      </c>
      <c r="S478" s="32"/>
      <c r="T478" s="416"/>
      <c r="U478" s="416"/>
      <c r="V478" s="416"/>
      <c r="W478" s="416"/>
      <c r="X478" s="416"/>
      <c r="Y478" s="416">
        <f>H478*0.3</f>
        <v>2282.6996999999997</v>
      </c>
      <c r="Z478" s="416">
        <f>H478*0.7</f>
        <v>5326.2992999999997</v>
      </c>
      <c r="AA478" s="416"/>
      <c r="AB478" s="416"/>
      <c r="AC478" s="416"/>
      <c r="AD478" s="416"/>
      <c r="AE478" s="416"/>
      <c r="AF478" s="416"/>
      <c r="AG478" s="416"/>
      <c r="AH478" s="416"/>
      <c r="AI478" s="416"/>
      <c r="AJ478" s="416"/>
      <c r="AK478" s="416"/>
      <c r="AL478" s="416"/>
      <c r="AM478" s="416"/>
      <c r="AN478" s="416"/>
      <c r="AO478" s="416"/>
      <c r="AP478" s="416"/>
      <c r="AQ478" s="416"/>
      <c r="AR478" s="416"/>
      <c r="AS478" s="416"/>
      <c r="AT478" s="416"/>
      <c r="AU478" s="416"/>
      <c r="AV478" s="416"/>
      <c r="AW478" s="416"/>
      <c r="AX478" s="416"/>
      <c r="AY478" s="416"/>
      <c r="AZ478" s="32"/>
    </row>
    <row r="479" spans="2:52">
      <c r="B479" s="1256" t="s">
        <v>548</v>
      </c>
      <c r="C479" s="1257"/>
      <c r="D479" s="411" t="s">
        <v>1112</v>
      </c>
      <c r="E479" s="411"/>
      <c r="F479" s="411" t="s">
        <v>774</v>
      </c>
      <c r="G479" s="411" t="s">
        <v>423</v>
      </c>
      <c r="H479" s="412">
        <f>7541.812-3083.261</f>
        <v>4458.5509999999995</v>
      </c>
      <c r="I479" s="413" t="s">
        <v>1110</v>
      </c>
      <c r="J479" s="414">
        <v>45014.666666666664</v>
      </c>
      <c r="K479" s="414"/>
      <c r="L479" s="414" t="s">
        <v>192</v>
      </c>
      <c r="M479" s="414" t="s">
        <v>192</v>
      </c>
      <c r="N479" s="413" t="str">
        <f t="shared" si="32"/>
        <v>DELAY ( 7 day 9 hour 20 minute )</v>
      </c>
      <c r="O479" s="51"/>
      <c r="P479" s="415" t="s">
        <v>551</v>
      </c>
      <c r="Q479" s="415" t="s">
        <v>551</v>
      </c>
      <c r="R479" s="415" t="s">
        <v>551</v>
      </c>
      <c r="S479" s="32"/>
      <c r="T479" s="416"/>
      <c r="U479" s="416"/>
      <c r="V479" s="416"/>
      <c r="W479" s="416"/>
      <c r="X479" s="416"/>
      <c r="Y479" s="416">
        <f>(H479*0.3)</f>
        <v>1337.5652999999998</v>
      </c>
      <c r="Z479" s="416">
        <f>(H479*0.7)</f>
        <v>3120.9856999999993</v>
      </c>
      <c r="AA479" s="416"/>
      <c r="AB479" s="416"/>
      <c r="AC479" s="416"/>
      <c r="AD479" s="416"/>
      <c r="AE479" s="416"/>
      <c r="AF479" s="416"/>
      <c r="AG479" s="416"/>
      <c r="AH479" s="416"/>
      <c r="AI479" s="416"/>
      <c r="AJ479" s="416"/>
      <c r="AK479" s="416"/>
      <c r="AL479" s="416"/>
      <c r="AM479" s="416"/>
      <c r="AN479" s="416"/>
      <c r="AO479" s="416"/>
      <c r="AP479" s="416"/>
      <c r="AQ479" s="416"/>
      <c r="AR479" s="416"/>
      <c r="AS479" s="416"/>
      <c r="AT479" s="416"/>
      <c r="AU479" s="416"/>
      <c r="AV479" s="416"/>
      <c r="AW479" s="416"/>
      <c r="AX479" s="416"/>
      <c r="AY479" s="416"/>
      <c r="AZ479" s="32"/>
    </row>
    <row r="480" spans="2:52">
      <c r="B480" s="1258" t="s">
        <v>556</v>
      </c>
      <c r="C480" s="1259"/>
      <c r="D480" s="1259"/>
      <c r="E480" s="1259"/>
      <c r="F480" s="1259"/>
      <c r="G480" s="1260"/>
      <c r="H480" s="417">
        <f>SUM(H468:H479)</f>
        <v>66830</v>
      </c>
      <c r="I480" s="388"/>
      <c r="J480" s="293"/>
      <c r="K480" s="293"/>
      <c r="L480" s="293"/>
      <c r="M480" s="389"/>
      <c r="N480" s="413" t="str">
        <f>IF(ISBLANK(J480)," ",IF(J480&lt;$F$4,"On time",(IF(DAY(J480-$F$4)&lt;1,"On time",(IF(J480&gt;$F$4,"DELAY ( "&amp;DAY(J480-$F$4)&amp;" day "&amp;HOUR(J480-$F$4)&amp;" hour "&amp;MINUTE(J480-$F$4)&amp;" minute )","xxx"))))))</f>
        <v xml:space="preserve"> </v>
      </c>
      <c r="O480" s="212"/>
      <c r="P480" s="418"/>
      <c r="Q480" s="418"/>
      <c r="R480" s="418"/>
      <c r="S480" s="207"/>
      <c r="T480" s="1262"/>
      <c r="U480" s="1263"/>
      <c r="V480" s="1263"/>
      <c r="W480" s="1263"/>
      <c r="X480" s="1263"/>
      <c r="Y480" s="1263"/>
      <c r="Z480" s="1263"/>
      <c r="AA480" s="1263"/>
      <c r="AB480" s="1263"/>
      <c r="AC480" s="1263"/>
      <c r="AD480" s="1263"/>
      <c r="AE480" s="1263"/>
      <c r="AF480" s="1263"/>
      <c r="AG480" s="1263"/>
      <c r="AH480" s="1263"/>
      <c r="AI480" s="1263"/>
      <c r="AJ480" s="1263"/>
      <c r="AK480" s="1263"/>
      <c r="AL480" s="1263"/>
      <c r="AM480" s="1263"/>
      <c r="AN480" s="1263"/>
      <c r="AO480" s="1263"/>
      <c r="AP480" s="1263"/>
      <c r="AQ480" s="1263"/>
      <c r="AR480" s="1263"/>
      <c r="AS480" s="1263"/>
      <c r="AT480" s="1263"/>
      <c r="AU480" s="1263"/>
      <c r="AV480" s="1263"/>
      <c r="AW480" s="1263"/>
      <c r="AX480" s="1263"/>
      <c r="AY480" s="1264"/>
    </row>
    <row r="481" spans="2:52">
      <c r="B481" s="1243" t="s">
        <v>557</v>
      </c>
      <c r="C481" s="1244"/>
      <c r="D481" s="1244"/>
      <c r="E481" s="1244"/>
      <c r="F481" s="1244"/>
      <c r="G481" s="1245"/>
      <c r="H481" s="419">
        <v>66830</v>
      </c>
      <c r="I481" s="1273"/>
      <c r="J481" s="1274"/>
      <c r="K481" s="1274"/>
      <c r="L481" s="1274"/>
      <c r="M481" s="1275"/>
      <c r="N481" s="413" t="str">
        <f>IF(ISBLANK(J481)," ",IF(J481&lt;$F$4,"On time",(IF(DAY(J481-$F$4)&lt;1,"On time",(IF(J481&gt;$F$4,"DELAY ( "&amp;DAY(J481-$F$4)&amp;" day "&amp;HOUR(J481-$F$4)&amp;" hour "&amp;MINUTE(J481-$F$4)&amp;" minute )","xxx"))))))</f>
        <v xml:space="preserve"> </v>
      </c>
      <c r="O481" s="32"/>
      <c r="P481" s="415"/>
      <c r="Q481" s="415"/>
      <c r="R481" s="415"/>
      <c r="S481" s="63"/>
      <c r="T481" s="416">
        <f t="shared" ref="T481:AY481" si="33">SUM(T468:T479)</f>
        <v>0</v>
      </c>
      <c r="U481" s="416">
        <f t="shared" si="33"/>
        <v>0</v>
      </c>
      <c r="V481" s="416">
        <f t="shared" si="33"/>
        <v>0</v>
      </c>
      <c r="W481" s="416">
        <f t="shared" si="33"/>
        <v>0</v>
      </c>
      <c r="X481" s="416">
        <f t="shared" si="33"/>
        <v>0</v>
      </c>
      <c r="Y481" s="416">
        <f t="shared" si="33"/>
        <v>15214.969799999999</v>
      </c>
      <c r="Z481" s="416">
        <f t="shared" si="33"/>
        <v>44049.280199999994</v>
      </c>
      <c r="AA481" s="416">
        <f t="shared" si="33"/>
        <v>0</v>
      </c>
      <c r="AB481" s="416">
        <f t="shared" si="33"/>
        <v>0</v>
      </c>
      <c r="AC481" s="416">
        <f t="shared" si="33"/>
        <v>0</v>
      </c>
      <c r="AD481" s="416">
        <f t="shared" si="33"/>
        <v>0</v>
      </c>
      <c r="AE481" s="416">
        <f t="shared" si="33"/>
        <v>0</v>
      </c>
      <c r="AF481" s="416">
        <f t="shared" si="33"/>
        <v>0</v>
      </c>
      <c r="AG481" s="416">
        <f t="shared" si="33"/>
        <v>0</v>
      </c>
      <c r="AH481" s="416">
        <f t="shared" si="33"/>
        <v>0</v>
      </c>
      <c r="AI481" s="416">
        <f t="shared" si="33"/>
        <v>0</v>
      </c>
      <c r="AJ481" s="416">
        <f t="shared" si="33"/>
        <v>0</v>
      </c>
      <c r="AK481" s="416">
        <f t="shared" si="33"/>
        <v>0</v>
      </c>
      <c r="AL481" s="416">
        <f t="shared" si="33"/>
        <v>0</v>
      </c>
      <c r="AM481" s="416">
        <f t="shared" si="33"/>
        <v>0</v>
      </c>
      <c r="AN481" s="416">
        <f t="shared" si="33"/>
        <v>0</v>
      </c>
      <c r="AO481" s="416">
        <f t="shared" si="33"/>
        <v>0</v>
      </c>
      <c r="AP481" s="416">
        <f t="shared" si="33"/>
        <v>0</v>
      </c>
      <c r="AQ481" s="416">
        <f t="shared" si="33"/>
        <v>0</v>
      </c>
      <c r="AR481" s="416">
        <f t="shared" si="33"/>
        <v>0</v>
      </c>
      <c r="AS481" s="416">
        <f t="shared" si="33"/>
        <v>0</v>
      </c>
      <c r="AT481" s="416">
        <f t="shared" si="33"/>
        <v>0</v>
      </c>
      <c r="AU481" s="416">
        <f t="shared" si="33"/>
        <v>0</v>
      </c>
      <c r="AV481" s="416">
        <f t="shared" si="33"/>
        <v>0</v>
      </c>
      <c r="AW481" s="416">
        <f t="shared" si="33"/>
        <v>0</v>
      </c>
      <c r="AX481" s="416">
        <f t="shared" si="33"/>
        <v>0</v>
      </c>
      <c r="AY481" s="416">
        <f t="shared" si="33"/>
        <v>7565.75</v>
      </c>
      <c r="AZ481" s="416">
        <f>SUM(T481:AY481)</f>
        <v>66830</v>
      </c>
    </row>
    <row r="482" spans="2:52">
      <c r="B482" s="1243" t="s">
        <v>558</v>
      </c>
      <c r="C482" s="1244"/>
      <c r="D482" s="1244"/>
      <c r="E482" s="1244"/>
      <c r="F482" s="1244"/>
      <c r="G482" s="1245"/>
      <c r="H482" s="420">
        <f>H481-L462</f>
        <v>0</v>
      </c>
      <c r="I482" s="294"/>
      <c r="J482" s="295"/>
      <c r="K482" s="295"/>
      <c r="L482" s="296"/>
      <c r="M482" s="32"/>
      <c r="N482" s="32"/>
      <c r="O482" s="32"/>
      <c r="P482" s="32"/>
      <c r="Q482" s="297"/>
      <c r="R482" s="297"/>
      <c r="S482" s="32"/>
      <c r="T482" s="48"/>
      <c r="U482" s="48"/>
      <c r="V482" s="48"/>
      <c r="W482" s="48"/>
      <c r="X482" s="48"/>
      <c r="Y482" s="48"/>
      <c r="Z482" s="48"/>
      <c r="AA482" s="48"/>
      <c r="AB482" s="48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</row>
    <row r="483" spans="2:52">
      <c r="B483" s="1243" t="s">
        <v>559</v>
      </c>
      <c r="C483" s="1244"/>
      <c r="D483" s="1244"/>
      <c r="E483" s="1244"/>
      <c r="F483" s="1244"/>
      <c r="G483" s="1245"/>
      <c r="H483" s="420">
        <v>3083.761</v>
      </c>
      <c r="I483" s="52"/>
      <c r="J483" s="53"/>
      <c r="K483" s="53"/>
      <c r="L483" s="54"/>
      <c r="M483" s="32"/>
      <c r="N483" s="201"/>
      <c r="O483" s="32"/>
      <c r="P483" s="32"/>
      <c r="Q483" s="32"/>
      <c r="R483" s="32"/>
      <c r="S483" s="32"/>
      <c r="T483" s="48"/>
      <c r="U483" s="48"/>
      <c r="V483" s="48"/>
      <c r="W483" s="48"/>
      <c r="X483" s="48"/>
      <c r="Y483" s="48"/>
      <c r="Z483" s="48"/>
      <c r="AA483" s="48"/>
      <c r="AB483" s="48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</row>
    <row r="484" spans="2:52">
      <c r="B484" s="1243" t="s">
        <v>560</v>
      </c>
      <c r="C484" s="1244"/>
      <c r="D484" s="1244"/>
      <c r="E484" s="1244"/>
      <c r="F484" s="1244"/>
      <c r="G484" s="1245"/>
      <c r="H484" s="420">
        <f>H483-3083.261</f>
        <v>0.5</v>
      </c>
      <c r="I484" s="52"/>
      <c r="J484" s="53"/>
      <c r="K484" s="53"/>
      <c r="L484" s="54"/>
      <c r="M484" s="32"/>
      <c r="N484" s="32"/>
      <c r="O484" s="32"/>
      <c r="P484" s="32"/>
      <c r="Q484" s="32"/>
      <c r="R484" s="32"/>
      <c r="S484" s="48"/>
      <c r="T484" s="48"/>
      <c r="U484" s="48"/>
      <c r="V484" s="48"/>
      <c r="W484" s="48"/>
      <c r="X484" s="48"/>
      <c r="Y484" s="48"/>
      <c r="Z484" s="48"/>
      <c r="AA484" s="48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 spans="2:52">
      <c r="B485" s="201"/>
      <c r="C485" s="201"/>
      <c r="D485" s="201"/>
      <c r="E485" s="201"/>
      <c r="F485" s="201"/>
      <c r="G485" s="201"/>
      <c r="H485" s="201"/>
      <c r="I485" s="213"/>
      <c r="J485" s="209"/>
      <c r="K485" s="209"/>
      <c r="L485" s="203"/>
      <c r="M485" s="201"/>
      <c r="N485" s="201"/>
      <c r="O485" s="209"/>
      <c r="P485" s="32"/>
      <c r="Q485" s="32"/>
      <c r="R485" s="32"/>
      <c r="S485" s="32"/>
      <c r="T485" s="48"/>
      <c r="U485" s="48"/>
      <c r="V485" s="48"/>
      <c r="W485" s="48"/>
      <c r="X485" s="48"/>
      <c r="Y485" s="48"/>
      <c r="Z485" s="48"/>
      <c r="AA485" s="48"/>
      <c r="AB485" s="48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</row>
    <row r="486" spans="2:52">
      <c r="B486" s="40" t="s">
        <v>561</v>
      </c>
      <c r="C486" s="40"/>
      <c r="D486" s="32"/>
      <c r="E486" s="32"/>
      <c r="F486" s="32"/>
      <c r="G486" s="32"/>
      <c r="H486" s="32"/>
      <c r="I486" s="32"/>
      <c r="J486" s="52"/>
      <c r="K486" s="52"/>
      <c r="L486" s="55"/>
      <c r="M486" s="32"/>
      <c r="N486" s="201"/>
      <c r="O486" s="5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  <c r="AA486" s="202"/>
      <c r="AB486" s="201"/>
      <c r="AC486" s="201"/>
      <c r="AD486" s="201"/>
      <c r="AE486" s="201"/>
      <c r="AF486" s="201"/>
      <c r="AG486" s="201"/>
      <c r="AH486" s="201"/>
      <c r="AI486" s="201"/>
      <c r="AJ486" s="201"/>
      <c r="AK486" s="201"/>
      <c r="AL486" s="201"/>
      <c r="AM486" s="201"/>
      <c r="AN486" s="201"/>
      <c r="AO486" s="201"/>
      <c r="AP486" s="201"/>
      <c r="AQ486" s="201"/>
      <c r="AR486" s="201"/>
      <c r="AS486" s="201"/>
      <c r="AT486" s="201"/>
      <c r="AU486" s="201"/>
      <c r="AZ486" s="201"/>
    </row>
    <row r="487" spans="2:52">
      <c r="B487" s="422">
        <v>1</v>
      </c>
      <c r="C487" s="1249" t="s">
        <v>1174</v>
      </c>
      <c r="D487" s="1249"/>
      <c r="E487" s="1249"/>
      <c r="F487" s="1249"/>
      <c r="G487" s="1249"/>
      <c r="H487" s="1249"/>
      <c r="I487" s="1249"/>
      <c r="J487" s="1249"/>
      <c r="K487" s="1249"/>
      <c r="L487" s="203"/>
      <c r="M487" s="201"/>
      <c r="N487" s="201"/>
      <c r="O487" s="209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  <c r="AA487" s="202"/>
      <c r="AB487" s="201"/>
      <c r="AC487" s="201"/>
      <c r="AD487" s="201"/>
      <c r="AE487" s="201"/>
      <c r="AF487" s="201"/>
      <c r="AG487" s="201"/>
      <c r="AH487" s="201"/>
      <c r="AI487" s="201"/>
      <c r="AJ487" s="201"/>
      <c r="AK487" s="201"/>
      <c r="AL487" s="201"/>
      <c r="AM487" s="201"/>
      <c r="AN487" s="201"/>
      <c r="AO487" s="201"/>
      <c r="AP487" s="201"/>
      <c r="AQ487" s="201"/>
      <c r="AR487" s="201"/>
      <c r="AS487" s="201"/>
      <c r="AT487" s="201"/>
      <c r="AU487" s="201"/>
      <c r="AV487" s="201"/>
      <c r="AW487" s="201"/>
      <c r="AX487" s="201"/>
      <c r="AY487" s="201"/>
      <c r="AZ487" s="201"/>
    </row>
    <row r="489" spans="2:52">
      <c r="B489" s="28" t="s">
        <v>126</v>
      </c>
      <c r="C489" s="28"/>
      <c r="D489" s="29"/>
      <c r="E489" s="30" t="s">
        <v>511</v>
      </c>
      <c r="F489" s="31" t="s">
        <v>986</v>
      </c>
      <c r="G489" s="32"/>
      <c r="H489" s="33"/>
      <c r="I489" s="34"/>
      <c r="J489" s="35" t="s">
        <v>513</v>
      </c>
      <c r="K489" s="36" t="s">
        <v>511</v>
      </c>
      <c r="L489" s="37">
        <v>45015.354861111111</v>
      </c>
      <c r="M489" s="32"/>
      <c r="N489" s="32"/>
      <c r="O489" s="206"/>
      <c r="P489" s="205"/>
      <c r="Q489" s="202"/>
      <c r="R489" s="204"/>
      <c r="S489" s="38"/>
      <c r="T489" s="201"/>
      <c r="U489" s="201"/>
      <c r="V489" s="201"/>
      <c r="W489" s="201"/>
      <c r="X489" s="201"/>
      <c r="Y489" s="201"/>
      <c r="Z489" s="201"/>
      <c r="AA489" s="201"/>
      <c r="AB489" s="202"/>
      <c r="AC489" s="202"/>
      <c r="AD489" s="202"/>
      <c r="AE489" s="202"/>
      <c r="AF489" s="202"/>
      <c r="AG489" s="201"/>
      <c r="AH489" s="201"/>
      <c r="AI489" s="201"/>
      <c r="AJ489" s="201"/>
      <c r="AK489" s="201"/>
      <c r="AL489" s="201"/>
      <c r="AM489" s="201"/>
      <c r="AN489" s="201"/>
      <c r="AO489" s="201"/>
      <c r="AP489" s="201"/>
      <c r="AQ489" s="201"/>
      <c r="AR489" s="201"/>
      <c r="AS489" s="201"/>
      <c r="AT489" s="201"/>
      <c r="AU489" s="201"/>
      <c r="AV489" s="201"/>
      <c r="AW489" s="201"/>
      <c r="AX489" s="201"/>
      <c r="AY489" s="201"/>
      <c r="AZ489" s="201"/>
    </row>
    <row r="490" spans="2:52">
      <c r="B490" s="35" t="s">
        <v>514</v>
      </c>
      <c r="C490" s="35"/>
      <c r="D490" s="32"/>
      <c r="E490" s="36" t="s">
        <v>511</v>
      </c>
      <c r="F490" s="37" t="s">
        <v>1175</v>
      </c>
      <c r="G490" s="32"/>
      <c r="H490" s="33"/>
      <c r="I490" s="34"/>
      <c r="J490" s="35" t="s">
        <v>516</v>
      </c>
      <c r="K490" s="36" t="s">
        <v>511</v>
      </c>
      <c r="L490" s="37">
        <v>45016.835416666669</v>
      </c>
      <c r="M490" s="32"/>
      <c r="N490" s="32"/>
      <c r="O490" s="206"/>
      <c r="P490" s="205"/>
      <c r="Q490" s="202"/>
      <c r="R490" s="204"/>
      <c r="S490" s="38"/>
      <c r="T490" s="201"/>
      <c r="U490" s="201"/>
      <c r="V490" s="201"/>
      <c r="W490" s="201"/>
      <c r="X490" s="201"/>
      <c r="Y490" s="201"/>
      <c r="Z490" s="201"/>
      <c r="AA490" s="201"/>
      <c r="AB490" s="202"/>
      <c r="AC490" s="202"/>
      <c r="AD490" s="202"/>
      <c r="AE490" s="202"/>
      <c r="AF490" s="202"/>
      <c r="AG490" s="201"/>
      <c r="AH490" s="201"/>
      <c r="AI490" s="201"/>
      <c r="AJ490" s="201"/>
      <c r="AK490" s="201"/>
      <c r="AL490" s="201"/>
      <c r="AM490" s="201"/>
      <c r="AN490" s="201"/>
      <c r="AO490" s="201"/>
      <c r="AP490" s="201"/>
      <c r="AQ490" s="201"/>
      <c r="AR490" s="201"/>
      <c r="AS490" s="201"/>
      <c r="AT490" s="201"/>
      <c r="AU490" s="201"/>
      <c r="AV490" s="201"/>
      <c r="AW490" s="201"/>
      <c r="AX490" s="201"/>
      <c r="AY490" s="201"/>
      <c r="AZ490" s="201"/>
    </row>
    <row r="491" spans="2:52">
      <c r="B491" s="35" t="s">
        <v>517</v>
      </c>
      <c r="C491" s="35"/>
      <c r="D491" s="32"/>
      <c r="E491" s="36" t="s">
        <v>511</v>
      </c>
      <c r="F491" s="37">
        <v>45011.091666666667</v>
      </c>
      <c r="G491" s="32"/>
      <c r="H491" s="33"/>
      <c r="I491" s="34"/>
      <c r="J491" s="35" t="s">
        <v>518</v>
      </c>
      <c r="K491" s="36" t="s">
        <v>511</v>
      </c>
      <c r="L491" s="50">
        <v>66830</v>
      </c>
      <c r="M491" s="40" t="s">
        <v>519</v>
      </c>
      <c r="N491" s="40"/>
      <c r="O491" s="206"/>
      <c r="P491" s="205"/>
      <c r="Q491" s="202"/>
      <c r="R491" s="204"/>
      <c r="S491" s="38"/>
      <c r="T491" s="201"/>
      <c r="U491" s="201"/>
      <c r="V491" s="201"/>
      <c r="W491" s="201"/>
      <c r="X491" s="201"/>
      <c r="Y491" s="201"/>
      <c r="Z491" s="201"/>
      <c r="AA491" s="201"/>
      <c r="AB491" s="202"/>
      <c r="AC491" s="202"/>
      <c r="AD491" s="202"/>
      <c r="AE491" s="202"/>
      <c r="AF491" s="202"/>
      <c r="AG491" s="201"/>
      <c r="AH491" s="201"/>
      <c r="AI491" s="201"/>
      <c r="AJ491" s="201"/>
      <c r="AK491" s="201"/>
      <c r="AL491" s="201"/>
      <c r="AM491" s="201"/>
      <c r="AN491" s="201"/>
      <c r="AO491" s="201"/>
      <c r="AP491" s="201"/>
      <c r="AQ491" s="201"/>
      <c r="AR491" s="201"/>
      <c r="AS491" s="201"/>
      <c r="AT491" s="201"/>
      <c r="AU491" s="201"/>
      <c r="AV491" s="201"/>
      <c r="AW491" s="201"/>
      <c r="AX491" s="201"/>
      <c r="AY491" s="201"/>
      <c r="AZ491" s="201"/>
    </row>
    <row r="492" spans="2:52">
      <c r="B492" s="35" t="s">
        <v>520</v>
      </c>
      <c r="C492" s="35"/>
      <c r="D492" s="32"/>
      <c r="E492" s="36" t="s">
        <v>511</v>
      </c>
      <c r="F492" s="37" t="s">
        <v>20</v>
      </c>
      <c r="G492" s="32"/>
      <c r="H492" s="33"/>
      <c r="I492" s="34"/>
      <c r="J492" s="35" t="s">
        <v>521</v>
      </c>
      <c r="K492" s="36" t="s">
        <v>511</v>
      </c>
      <c r="L492" s="41" t="s">
        <v>1176</v>
      </c>
      <c r="M492" s="32"/>
      <c r="N492" s="32"/>
      <c r="O492" s="206"/>
      <c r="P492" s="202"/>
      <c r="Q492" s="202"/>
      <c r="R492" s="204"/>
      <c r="S492" s="38"/>
      <c r="T492" s="201"/>
      <c r="U492" s="201"/>
      <c r="V492" s="201"/>
      <c r="W492" s="201"/>
      <c r="X492" s="201"/>
      <c r="Y492" s="201"/>
      <c r="Z492" s="201"/>
      <c r="AA492" s="201"/>
      <c r="AB492" s="202"/>
      <c r="AC492" s="202"/>
      <c r="AD492" s="202"/>
      <c r="AE492" s="202"/>
      <c r="AF492" s="202"/>
      <c r="AG492" s="201"/>
      <c r="AH492" s="201"/>
      <c r="AI492" s="201"/>
      <c r="AJ492" s="201"/>
      <c r="AK492" s="201"/>
      <c r="AL492" s="201"/>
      <c r="AM492" s="201"/>
      <c r="AN492" s="201"/>
      <c r="AO492" s="201"/>
      <c r="AP492" s="201"/>
      <c r="AQ492" s="201"/>
      <c r="AR492" s="201"/>
      <c r="AS492" s="201"/>
      <c r="AT492" s="201"/>
      <c r="AU492" s="201"/>
      <c r="AV492" s="201"/>
      <c r="AW492" s="201"/>
      <c r="AX492" s="201"/>
      <c r="AY492" s="201"/>
      <c r="AZ492" s="201"/>
    </row>
    <row r="493" spans="2:52">
      <c r="B493" s="35" t="s">
        <v>523</v>
      </c>
      <c r="C493" s="35"/>
      <c r="D493" s="32"/>
      <c r="E493" s="36" t="s">
        <v>511</v>
      </c>
      <c r="F493" s="37" t="s">
        <v>47</v>
      </c>
      <c r="G493" s="32"/>
      <c r="H493" s="33"/>
      <c r="I493" s="34"/>
      <c r="J493" s="42" t="s">
        <v>524</v>
      </c>
      <c r="K493" s="36" t="s">
        <v>511</v>
      </c>
      <c r="L493" s="43" t="s">
        <v>15</v>
      </c>
      <c r="M493" s="44"/>
      <c r="N493" s="44"/>
      <c r="O493" s="206"/>
      <c r="P493" s="205"/>
      <c r="Q493" s="202"/>
      <c r="R493" s="204"/>
      <c r="S493" s="38"/>
      <c r="T493" s="201"/>
      <c r="U493" s="201"/>
      <c r="V493" s="201"/>
      <c r="W493" s="201"/>
      <c r="X493" s="201"/>
      <c r="Y493" s="201"/>
      <c r="Z493" s="201"/>
      <c r="AA493" s="201"/>
      <c r="AB493" s="202"/>
      <c r="AC493" s="202"/>
      <c r="AD493" s="202"/>
      <c r="AE493" s="202"/>
      <c r="AF493" s="202"/>
      <c r="AG493" s="201"/>
      <c r="AH493" s="201"/>
      <c r="AI493" s="201"/>
      <c r="AJ493" s="201"/>
      <c r="AK493" s="201"/>
      <c r="AL493" s="201"/>
      <c r="AM493" s="201"/>
      <c r="AN493" s="201"/>
      <c r="AO493" s="201"/>
      <c r="AP493" s="201"/>
      <c r="AQ493" s="201"/>
      <c r="AR493" s="201"/>
      <c r="AS493" s="201"/>
      <c r="AT493" s="201"/>
      <c r="AU493" s="201"/>
      <c r="AV493" s="201"/>
      <c r="AW493" s="201"/>
      <c r="AX493" s="201"/>
      <c r="AY493" s="201"/>
      <c r="AZ493" s="201"/>
    </row>
    <row r="494" spans="2:52">
      <c r="B494" s="35" t="s">
        <v>2</v>
      </c>
      <c r="C494" s="35"/>
      <c r="D494" s="32"/>
      <c r="E494" s="36" t="s">
        <v>511</v>
      </c>
      <c r="F494" s="37" t="s">
        <v>18</v>
      </c>
      <c r="G494" s="32"/>
      <c r="H494" s="33"/>
      <c r="I494" s="45"/>
      <c r="J494" s="42"/>
      <c r="K494" s="36"/>
      <c r="L494" s="211"/>
      <c r="M494" s="201"/>
      <c r="N494" s="201"/>
      <c r="O494" s="42"/>
      <c r="P494" s="44"/>
      <c r="Q494" s="44"/>
      <c r="R494" s="44"/>
      <c r="S494" s="34"/>
      <c r="T494" s="201"/>
      <c r="U494" s="201"/>
      <c r="V494" s="201"/>
      <c r="W494" s="201"/>
      <c r="X494" s="201"/>
      <c r="Y494" s="201"/>
      <c r="Z494" s="201"/>
      <c r="AA494" s="201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201"/>
      <c r="AP494" s="201"/>
      <c r="AQ494" s="201"/>
      <c r="AR494" s="201"/>
      <c r="AS494" s="201"/>
      <c r="AT494" s="201"/>
      <c r="AU494" s="201"/>
      <c r="AV494" s="201"/>
      <c r="AW494" s="201"/>
      <c r="AX494" s="201"/>
      <c r="AY494" s="201"/>
      <c r="AZ494" s="201"/>
    </row>
    <row r="495" spans="2:52">
      <c r="B495" s="201"/>
      <c r="C495" s="201"/>
      <c r="D495" s="201"/>
      <c r="E495" s="201"/>
      <c r="F495" s="201"/>
      <c r="G495" s="201"/>
      <c r="H495" s="201"/>
      <c r="I495" s="45"/>
      <c r="J495" s="42"/>
      <c r="K495" s="42"/>
      <c r="L495" s="43"/>
      <c r="M495" s="44"/>
      <c r="N495" s="44"/>
      <c r="O495" s="42"/>
      <c r="P495" s="44"/>
      <c r="Q495" s="44"/>
      <c r="R495" s="44"/>
      <c r="S495" s="34"/>
      <c r="T495" s="1265" t="s">
        <v>87</v>
      </c>
      <c r="U495" s="1265"/>
      <c r="V495" s="1265"/>
      <c r="W495" s="1265"/>
      <c r="X495" s="1265"/>
      <c r="Y495" s="1265" t="s">
        <v>73</v>
      </c>
      <c r="Z495" s="1265"/>
      <c r="AA495" s="1265"/>
      <c r="AB495" s="1265" t="s">
        <v>74</v>
      </c>
      <c r="AC495" s="1265"/>
      <c r="AD495" s="423" t="s">
        <v>85</v>
      </c>
      <c r="AE495" s="423" t="s">
        <v>77</v>
      </c>
      <c r="AF495" s="1265" t="s">
        <v>525</v>
      </c>
      <c r="AG495" s="1265"/>
      <c r="AH495" s="1265"/>
      <c r="AI495" s="1265"/>
      <c r="AJ495" s="1265"/>
      <c r="AK495" s="1265"/>
      <c r="AL495" s="1265"/>
      <c r="AM495" s="1265"/>
      <c r="AN495" s="1265"/>
      <c r="AO495" s="1265"/>
      <c r="AP495" s="1265"/>
      <c r="AQ495" s="1265"/>
      <c r="AR495" s="1265"/>
      <c r="AS495" s="1265"/>
      <c r="AT495" s="1265"/>
      <c r="AU495" s="1265"/>
      <c r="AV495" s="1265"/>
      <c r="AW495" s="1265"/>
      <c r="AX495" s="1265"/>
      <c r="AY495" s="1265"/>
      <c r="AZ495" s="201"/>
    </row>
    <row r="496" spans="2:52">
      <c r="B496" s="1266" t="s">
        <v>526</v>
      </c>
      <c r="C496" s="1267"/>
      <c r="D496" s="570" t="s">
        <v>527</v>
      </c>
      <c r="E496" s="570"/>
      <c r="F496" s="570" t="s">
        <v>528</v>
      </c>
      <c r="G496" s="570" t="s">
        <v>529</v>
      </c>
      <c r="H496" s="570" t="s">
        <v>530</v>
      </c>
      <c r="I496" s="570" t="s">
        <v>531</v>
      </c>
      <c r="J496" s="570" t="s">
        <v>532</v>
      </c>
      <c r="K496" s="570"/>
      <c r="L496" s="570" t="s">
        <v>130</v>
      </c>
      <c r="M496" s="570" t="s">
        <v>533</v>
      </c>
      <c r="N496" s="408" t="str">
        <f>"On time - "&amp;COUNTIF(N497:N508,"On time")&amp;" from "&amp;ROWS(N497:N508)-COUNTIF(N497:N508," ")</f>
        <v>On time - 3 from 9</v>
      </c>
      <c r="O496" s="46"/>
      <c r="P496" s="409" t="s">
        <v>534</v>
      </c>
      <c r="Q496" s="409" t="s">
        <v>535</v>
      </c>
      <c r="R496" s="409" t="s">
        <v>536</v>
      </c>
      <c r="S496" s="32"/>
      <c r="T496" s="424" t="s">
        <v>537</v>
      </c>
      <c r="U496" s="424" t="s">
        <v>538</v>
      </c>
      <c r="V496" s="424" t="s">
        <v>539</v>
      </c>
      <c r="W496" s="424" t="s">
        <v>540</v>
      </c>
      <c r="X496" s="424" t="s">
        <v>541</v>
      </c>
      <c r="Y496" s="424" t="s">
        <v>167</v>
      </c>
      <c r="Z496" s="424" t="s">
        <v>168</v>
      </c>
      <c r="AA496" s="424" t="s">
        <v>169</v>
      </c>
      <c r="AB496" s="424" t="s">
        <v>235</v>
      </c>
      <c r="AC496" s="424" t="s">
        <v>240</v>
      </c>
      <c r="AD496" s="423" t="s">
        <v>85</v>
      </c>
      <c r="AE496" s="424" t="s">
        <v>139</v>
      </c>
      <c r="AF496" s="424" t="s">
        <v>72</v>
      </c>
      <c r="AG496" s="424" t="s">
        <v>88</v>
      </c>
      <c r="AH496" s="424" t="s">
        <v>75</v>
      </c>
      <c r="AI496" s="424" t="s">
        <v>543</v>
      </c>
      <c r="AJ496" s="424" t="s">
        <v>78</v>
      </c>
      <c r="AK496" s="424" t="s">
        <v>76</v>
      </c>
      <c r="AL496" s="424" t="s">
        <v>544</v>
      </c>
      <c r="AM496" s="424" t="s">
        <v>545</v>
      </c>
      <c r="AN496" s="424" t="s">
        <v>86</v>
      </c>
      <c r="AO496" s="424" t="s">
        <v>83</v>
      </c>
      <c r="AP496" s="424" t="s">
        <v>84</v>
      </c>
      <c r="AQ496" s="424" t="s">
        <v>546</v>
      </c>
      <c r="AR496" s="424" t="s">
        <v>81</v>
      </c>
      <c r="AS496" s="424" t="s">
        <v>80</v>
      </c>
      <c r="AT496" s="424" t="s">
        <v>82</v>
      </c>
      <c r="AU496" s="424" t="s">
        <v>181</v>
      </c>
      <c r="AV496" s="424" t="s">
        <v>183</v>
      </c>
      <c r="AW496" s="424" t="s">
        <v>547</v>
      </c>
      <c r="AX496" s="424" t="s">
        <v>182</v>
      </c>
      <c r="AY496" s="424" t="s">
        <v>172</v>
      </c>
      <c r="AZ496" s="201"/>
    </row>
    <row r="497" spans="2:52">
      <c r="B497" s="1256">
        <v>1</v>
      </c>
      <c r="C497" s="1257"/>
      <c r="D497" s="411" t="s">
        <v>1034</v>
      </c>
      <c r="E497" s="411"/>
      <c r="F497" s="411" t="s">
        <v>441</v>
      </c>
      <c r="G497" s="411" t="s">
        <v>442</v>
      </c>
      <c r="H497" s="412">
        <v>5010</v>
      </c>
      <c r="I497" s="413" t="s">
        <v>81</v>
      </c>
      <c r="J497" s="414">
        <v>45000.895833333336</v>
      </c>
      <c r="K497" s="414"/>
      <c r="L497" s="414" t="s">
        <v>192</v>
      </c>
      <c r="M497" s="414" t="s">
        <v>192</v>
      </c>
      <c r="N497" s="413" t="str">
        <f>IF(ISBLANK(J497)," ",IF(J497&lt;$F$491,"On time",(IF(DAY(J497-$F$491)&lt;1,"On time",(IF(J497&gt;$F$491,"DELAY ( "&amp;DAY(J497-$F$491)&amp;" day "&amp;HOUR(J497-$F$491)&amp;" hour "&amp;MINUTE(J497-$F$491)&amp;" minute )","xxx"))))))</f>
        <v>On time</v>
      </c>
      <c r="O497" s="51"/>
      <c r="P497" s="415" t="s">
        <v>551</v>
      </c>
      <c r="Q497" s="415" t="s">
        <v>551</v>
      </c>
      <c r="R497" s="415" t="s">
        <v>551</v>
      </c>
      <c r="S497" s="32"/>
      <c r="T497" s="416"/>
      <c r="U497" s="416"/>
      <c r="V497" s="416"/>
      <c r="W497" s="416"/>
      <c r="X497" s="416"/>
      <c r="Y497" s="416"/>
      <c r="Z497" s="416"/>
      <c r="AA497" s="416"/>
      <c r="AB497" s="416"/>
      <c r="AC497" s="416"/>
      <c r="AD497" s="416"/>
      <c r="AE497" s="416"/>
      <c r="AF497" s="416"/>
      <c r="AG497" s="416"/>
      <c r="AH497" s="416"/>
      <c r="AI497" s="416"/>
      <c r="AJ497" s="416"/>
      <c r="AK497" s="416"/>
      <c r="AL497" s="416"/>
      <c r="AM497" s="416"/>
      <c r="AN497" s="416"/>
      <c r="AO497" s="416"/>
      <c r="AP497" s="416"/>
      <c r="AQ497" s="416"/>
      <c r="AR497" s="416">
        <f>H497</f>
        <v>5010</v>
      </c>
      <c r="AS497" s="416"/>
      <c r="AT497" s="416"/>
      <c r="AU497" s="416"/>
      <c r="AV497" s="416"/>
      <c r="AW497" s="416"/>
      <c r="AX497" s="416"/>
      <c r="AY497" s="416"/>
      <c r="AZ497" s="32"/>
    </row>
    <row r="498" spans="2:52">
      <c r="B498" s="1256">
        <v>2</v>
      </c>
      <c r="C498" s="1257"/>
      <c r="D498" s="411" t="s">
        <v>985</v>
      </c>
      <c r="E498" s="411"/>
      <c r="F498" s="411" t="s">
        <v>390</v>
      </c>
      <c r="G498" s="411" t="s">
        <v>391</v>
      </c>
      <c r="H498" s="412">
        <v>3302</v>
      </c>
      <c r="I498" s="413" t="s">
        <v>240</v>
      </c>
      <c r="J498" s="414">
        <v>45010.486111111109</v>
      </c>
      <c r="K498" s="414"/>
      <c r="L498" s="414" t="s">
        <v>192</v>
      </c>
      <c r="M498" s="414" t="s">
        <v>192</v>
      </c>
      <c r="N498" s="413" t="str">
        <f t="shared" ref="N498:N508" si="34">IF(ISBLANK(J498)," ",IF(J498&lt;$F$491,"On time",(IF(DAY(J498-$F$491)&lt;1,"On time",(IF(J498&gt;$F$491,"DELAY ( "&amp;DAY(J498-$F$491)&amp;" day "&amp;HOUR(J498-$F$491)&amp;" hour "&amp;MINUTE(J498-$F$491)&amp;" minute )","xxx"))))))</f>
        <v>On time</v>
      </c>
      <c r="O498" s="51"/>
      <c r="P498" s="415" t="s">
        <v>551</v>
      </c>
      <c r="Q498" s="415" t="s">
        <v>551</v>
      </c>
      <c r="R498" s="415" t="s">
        <v>551</v>
      </c>
      <c r="S498" s="32"/>
      <c r="T498" s="416"/>
      <c r="U498" s="416"/>
      <c r="V498" s="416"/>
      <c r="W498" s="416"/>
      <c r="X498" s="416"/>
      <c r="Y498" s="416"/>
      <c r="Z498" s="416"/>
      <c r="AA498" s="416"/>
      <c r="AB498" s="416"/>
      <c r="AC498" s="416">
        <f>H498</f>
        <v>3302</v>
      </c>
      <c r="AD498" s="416"/>
      <c r="AE498" s="416"/>
      <c r="AF498" s="416"/>
      <c r="AG498" s="416"/>
      <c r="AH498" s="416"/>
      <c r="AI498" s="416"/>
      <c r="AJ498" s="416"/>
      <c r="AK498" s="416"/>
      <c r="AL498" s="416"/>
      <c r="AM498" s="416"/>
      <c r="AN498" s="416"/>
      <c r="AO498" s="416"/>
      <c r="AP498" s="416"/>
      <c r="AQ498" s="416"/>
      <c r="AR498" s="416"/>
      <c r="AS498" s="416"/>
      <c r="AT498" s="416"/>
      <c r="AU498" s="416"/>
      <c r="AV498" s="416"/>
      <c r="AW498" s="416"/>
      <c r="AX498" s="416"/>
      <c r="AY498" s="416"/>
      <c r="AZ498" s="32"/>
    </row>
    <row r="499" spans="2:52">
      <c r="B499" s="1256">
        <v>3</v>
      </c>
      <c r="C499" s="1257"/>
      <c r="D499" s="411" t="s">
        <v>1063</v>
      </c>
      <c r="E499" s="411"/>
      <c r="F499" s="411" t="s">
        <v>374</v>
      </c>
      <c r="G499" s="411" t="s">
        <v>375</v>
      </c>
      <c r="H499" s="412">
        <v>7526.0510000000004</v>
      </c>
      <c r="I499" s="413" t="s">
        <v>172</v>
      </c>
      <c r="J499" s="414">
        <v>45011.875</v>
      </c>
      <c r="K499" s="414"/>
      <c r="L499" s="414" t="s">
        <v>192</v>
      </c>
      <c r="M499" s="414" t="s">
        <v>192</v>
      </c>
      <c r="N499" s="413" t="str">
        <f t="shared" si="34"/>
        <v>On time</v>
      </c>
      <c r="O499" s="51"/>
      <c r="P499" s="415" t="s">
        <v>551</v>
      </c>
      <c r="Q499" s="415" t="s">
        <v>551</v>
      </c>
      <c r="R499" s="415" t="s">
        <v>551</v>
      </c>
      <c r="S499" s="32"/>
      <c r="T499" s="416"/>
      <c r="U499" s="416"/>
      <c r="V499" s="416"/>
      <c r="W499" s="416"/>
      <c r="X499" s="416"/>
      <c r="Y499" s="416"/>
      <c r="Z499" s="416"/>
      <c r="AA499" s="416"/>
      <c r="AB499" s="416"/>
      <c r="AC499" s="416"/>
      <c r="AD499" s="416"/>
      <c r="AE499" s="416"/>
      <c r="AF499" s="416"/>
      <c r="AG499" s="416"/>
      <c r="AH499" s="416"/>
      <c r="AI499" s="416"/>
      <c r="AJ499" s="416"/>
      <c r="AK499" s="416"/>
      <c r="AL499" s="416"/>
      <c r="AM499" s="416"/>
      <c r="AN499" s="416"/>
      <c r="AO499" s="416"/>
      <c r="AP499" s="416"/>
      <c r="AQ499" s="416"/>
      <c r="AR499" s="416"/>
      <c r="AS499" s="416"/>
      <c r="AT499" s="416"/>
      <c r="AU499" s="416"/>
      <c r="AV499" s="416"/>
      <c r="AW499" s="416"/>
      <c r="AX499" s="416"/>
      <c r="AY499" s="416">
        <f>H499</f>
        <v>7526.0510000000004</v>
      </c>
      <c r="AZ499" s="32"/>
    </row>
    <row r="500" spans="2:52">
      <c r="B500" s="1256">
        <v>4</v>
      </c>
      <c r="C500" s="1257"/>
      <c r="D500" s="411" t="s">
        <v>1008</v>
      </c>
      <c r="E500" s="411"/>
      <c r="F500" s="411" t="s">
        <v>352</v>
      </c>
      <c r="G500" s="411" t="s">
        <v>353</v>
      </c>
      <c r="H500" s="412">
        <v>9219.4709999999995</v>
      </c>
      <c r="I500" s="413" t="s">
        <v>235</v>
      </c>
      <c r="J500" s="414">
        <v>45012.875</v>
      </c>
      <c r="K500" s="414"/>
      <c r="L500" s="414" t="s">
        <v>192</v>
      </c>
      <c r="M500" s="414" t="s">
        <v>192</v>
      </c>
      <c r="N500" s="413" t="str">
        <f t="shared" si="34"/>
        <v>DELAY ( 1 day 18 hour 48 minute )</v>
      </c>
      <c r="O500" s="51"/>
      <c r="P500" s="415" t="s">
        <v>551</v>
      </c>
      <c r="Q500" s="415" t="s">
        <v>551</v>
      </c>
      <c r="R500" s="415" t="s">
        <v>551</v>
      </c>
      <c r="S500" s="32"/>
      <c r="T500" s="416"/>
      <c r="U500" s="416"/>
      <c r="V500" s="416"/>
      <c r="W500" s="416"/>
      <c r="X500" s="416"/>
      <c r="Y500" s="416"/>
      <c r="Z500" s="416"/>
      <c r="AA500" s="416"/>
      <c r="AB500" s="416">
        <f>H500</f>
        <v>9219.4709999999995</v>
      </c>
      <c r="AC500" s="416"/>
      <c r="AD500" s="416"/>
      <c r="AE500" s="416"/>
      <c r="AF500" s="416"/>
      <c r="AG500" s="416"/>
      <c r="AH500" s="416"/>
      <c r="AI500" s="416"/>
      <c r="AJ500" s="416"/>
      <c r="AK500" s="416"/>
      <c r="AL500" s="416"/>
      <c r="AM500" s="416"/>
      <c r="AN500" s="416"/>
      <c r="AO500" s="416"/>
      <c r="AP500" s="416"/>
      <c r="AQ500" s="416"/>
      <c r="AR500" s="416"/>
      <c r="AS500" s="416"/>
      <c r="AT500" s="416"/>
      <c r="AU500" s="416"/>
      <c r="AV500" s="416"/>
      <c r="AW500" s="416"/>
      <c r="AX500" s="416"/>
      <c r="AY500" s="416"/>
      <c r="AZ500" s="32"/>
    </row>
    <row r="501" spans="2:52">
      <c r="B501" s="1256">
        <v>5</v>
      </c>
      <c r="C501" s="1257"/>
      <c r="D501" s="411" t="s">
        <v>1007</v>
      </c>
      <c r="E501" s="411"/>
      <c r="F501" s="411" t="s">
        <v>721</v>
      </c>
      <c r="G501" s="411" t="s">
        <v>722</v>
      </c>
      <c r="H501" s="412">
        <v>7665.7380000000003</v>
      </c>
      <c r="I501" s="413" t="s">
        <v>235</v>
      </c>
      <c r="J501" s="414">
        <v>45012.229166666664</v>
      </c>
      <c r="K501" s="414"/>
      <c r="L501" s="414" t="s">
        <v>192</v>
      </c>
      <c r="M501" s="414" t="s">
        <v>192</v>
      </c>
      <c r="N501" s="413" t="str">
        <f t="shared" si="34"/>
        <v>DELAY ( 1 day 3 hour 18 minute )</v>
      </c>
      <c r="O501" s="51"/>
      <c r="P501" s="415" t="s">
        <v>551</v>
      </c>
      <c r="Q501" s="415" t="s">
        <v>551</v>
      </c>
      <c r="R501" s="415" t="s">
        <v>551</v>
      </c>
      <c r="S501" s="32"/>
      <c r="T501" s="416"/>
      <c r="U501" s="416"/>
      <c r="V501" s="416"/>
      <c r="W501" s="416"/>
      <c r="X501" s="416"/>
      <c r="Y501" s="416"/>
      <c r="Z501" s="416"/>
      <c r="AA501" s="416"/>
      <c r="AB501" s="416">
        <f>H501</f>
        <v>7665.7380000000003</v>
      </c>
      <c r="AC501" s="416"/>
      <c r="AD501" s="416"/>
      <c r="AE501" s="416"/>
      <c r="AF501" s="416"/>
      <c r="AG501" s="416"/>
      <c r="AH501" s="416"/>
      <c r="AI501" s="416"/>
      <c r="AJ501" s="416"/>
      <c r="AK501" s="416"/>
      <c r="AL501" s="416"/>
      <c r="AM501" s="416"/>
      <c r="AN501" s="416"/>
      <c r="AO501" s="416"/>
      <c r="AP501" s="416"/>
      <c r="AQ501" s="416"/>
      <c r="AR501" s="416"/>
      <c r="AS501" s="416"/>
      <c r="AT501" s="416"/>
      <c r="AU501" s="416"/>
      <c r="AV501" s="416"/>
      <c r="AW501" s="416"/>
      <c r="AX501" s="416"/>
      <c r="AY501" s="416"/>
      <c r="AZ501" s="32"/>
    </row>
    <row r="502" spans="2:52">
      <c r="B502" s="1256">
        <v>6</v>
      </c>
      <c r="C502" s="1257"/>
      <c r="D502" s="411" t="s">
        <v>1006</v>
      </c>
      <c r="E502" s="411"/>
      <c r="F502" s="411" t="s">
        <v>380</v>
      </c>
      <c r="G502" s="411" t="s">
        <v>381</v>
      </c>
      <c r="H502" s="412">
        <v>7765.91</v>
      </c>
      <c r="I502" s="413" t="s">
        <v>235</v>
      </c>
      <c r="J502" s="414">
        <v>45012.375</v>
      </c>
      <c r="K502" s="414"/>
      <c r="L502" s="414" t="s">
        <v>192</v>
      </c>
      <c r="M502" s="414" t="s">
        <v>192</v>
      </c>
      <c r="N502" s="413" t="str">
        <f t="shared" si="34"/>
        <v>DELAY ( 1 day 6 hour 48 minute )</v>
      </c>
      <c r="O502" s="51"/>
      <c r="P502" s="415" t="s">
        <v>551</v>
      </c>
      <c r="Q502" s="415" t="s">
        <v>551</v>
      </c>
      <c r="R502" s="415" t="s">
        <v>551</v>
      </c>
      <c r="S502" s="32"/>
      <c r="T502" s="416"/>
      <c r="U502" s="416"/>
      <c r="V502" s="416"/>
      <c r="W502" s="416"/>
      <c r="X502" s="416"/>
      <c r="Y502" s="416"/>
      <c r="Z502" s="416"/>
      <c r="AA502" s="416"/>
      <c r="AB502" s="416">
        <f>H502</f>
        <v>7765.91</v>
      </c>
      <c r="AC502" s="416"/>
      <c r="AD502" s="416"/>
      <c r="AE502" s="416"/>
      <c r="AF502" s="416"/>
      <c r="AG502" s="416"/>
      <c r="AH502" s="416"/>
      <c r="AI502" s="416"/>
      <c r="AJ502" s="416"/>
      <c r="AK502" s="416"/>
      <c r="AL502" s="416"/>
      <c r="AM502" s="416"/>
      <c r="AN502" s="416"/>
      <c r="AO502" s="416"/>
      <c r="AP502" s="416"/>
      <c r="AQ502" s="416"/>
      <c r="AR502" s="416"/>
      <c r="AS502" s="416"/>
      <c r="AT502" s="416"/>
      <c r="AU502" s="416"/>
      <c r="AV502" s="416"/>
      <c r="AW502" s="416"/>
      <c r="AX502" s="416"/>
      <c r="AY502" s="416"/>
      <c r="AZ502" s="32"/>
    </row>
    <row r="503" spans="2:52">
      <c r="B503" s="1256">
        <v>7</v>
      </c>
      <c r="C503" s="1257"/>
      <c r="D503" s="411" t="s">
        <v>1011</v>
      </c>
      <c r="E503" s="411"/>
      <c r="F503" s="411" t="s">
        <v>205</v>
      </c>
      <c r="G503" s="411" t="s">
        <v>206</v>
      </c>
      <c r="H503" s="412">
        <v>7553.1779999999999</v>
      </c>
      <c r="I503" s="413" t="s">
        <v>240</v>
      </c>
      <c r="J503" s="414">
        <v>45014.493055555555</v>
      </c>
      <c r="K503" s="414"/>
      <c r="L503" s="414" t="s">
        <v>192</v>
      </c>
      <c r="M503" s="414" t="s">
        <v>192</v>
      </c>
      <c r="N503" s="413" t="str">
        <f t="shared" si="34"/>
        <v>DELAY ( 3 day 9 hour 38 minute )</v>
      </c>
      <c r="O503" s="51"/>
      <c r="P503" s="415" t="s">
        <v>551</v>
      </c>
      <c r="Q503" s="415" t="s">
        <v>551</v>
      </c>
      <c r="R503" s="415" t="s">
        <v>551</v>
      </c>
      <c r="S503" s="32"/>
      <c r="T503" s="416"/>
      <c r="U503" s="416"/>
      <c r="V503" s="416"/>
      <c r="W503" s="416"/>
      <c r="X503" s="416"/>
      <c r="Y503" s="416"/>
      <c r="Z503" s="416"/>
      <c r="AA503" s="416"/>
      <c r="AB503" s="416"/>
      <c r="AC503" s="416">
        <f>H503</f>
        <v>7553.1779999999999</v>
      </c>
      <c r="AD503" s="416"/>
      <c r="AE503" s="416"/>
      <c r="AF503" s="416"/>
      <c r="AG503" s="416"/>
      <c r="AH503" s="416"/>
      <c r="AI503" s="416"/>
      <c r="AJ503" s="416"/>
      <c r="AK503" s="416"/>
      <c r="AL503" s="416"/>
      <c r="AM503" s="416"/>
      <c r="AN503" s="416"/>
      <c r="AO503" s="416"/>
      <c r="AP503" s="416"/>
      <c r="AQ503" s="416"/>
      <c r="AR503" s="416"/>
      <c r="AS503" s="416"/>
      <c r="AT503" s="416"/>
      <c r="AU503" s="416"/>
      <c r="AV503" s="416"/>
      <c r="AW503" s="416"/>
      <c r="AX503" s="416"/>
      <c r="AY503" s="416"/>
      <c r="AZ503" s="32"/>
    </row>
    <row r="504" spans="2:52">
      <c r="B504" s="1256">
        <v>8</v>
      </c>
      <c r="C504" s="1257"/>
      <c r="D504" s="411" t="s">
        <v>1010</v>
      </c>
      <c r="E504" s="411"/>
      <c r="F504" s="411" t="s">
        <v>330</v>
      </c>
      <c r="G504" s="411" t="s">
        <v>331</v>
      </c>
      <c r="H504" s="412">
        <v>7483.5919999999996</v>
      </c>
      <c r="I504" s="413" t="s">
        <v>235</v>
      </c>
      <c r="J504" s="414">
        <v>45015.194444444445</v>
      </c>
      <c r="K504" s="414"/>
      <c r="L504" s="414" t="s">
        <v>192</v>
      </c>
      <c r="M504" s="414" t="s">
        <v>192</v>
      </c>
      <c r="N504" s="413" t="str">
        <f t="shared" si="34"/>
        <v>DELAY ( 4 day 2 hour 28 minute )</v>
      </c>
      <c r="O504" s="51"/>
      <c r="P504" s="415" t="s">
        <v>551</v>
      </c>
      <c r="Q504" s="415" t="s">
        <v>551</v>
      </c>
      <c r="R504" s="415" t="s">
        <v>551</v>
      </c>
      <c r="S504" s="32"/>
      <c r="T504" s="416"/>
      <c r="U504" s="416"/>
      <c r="V504" s="416"/>
      <c r="W504" s="416"/>
      <c r="X504" s="416"/>
      <c r="Y504" s="416"/>
      <c r="Z504" s="416"/>
      <c r="AA504" s="416"/>
      <c r="AB504" s="416">
        <f>H504</f>
        <v>7483.5919999999996</v>
      </c>
      <c r="AC504" s="416"/>
      <c r="AD504" s="416"/>
      <c r="AE504" s="416"/>
      <c r="AF504" s="416"/>
      <c r="AG504" s="416"/>
      <c r="AH504" s="416"/>
      <c r="AI504" s="416"/>
      <c r="AJ504" s="416"/>
      <c r="AK504" s="416"/>
      <c r="AL504" s="416"/>
      <c r="AM504" s="416"/>
      <c r="AN504" s="416"/>
      <c r="AO504" s="416"/>
      <c r="AP504" s="416"/>
      <c r="AQ504" s="416"/>
      <c r="AR504" s="416"/>
      <c r="AS504" s="416"/>
      <c r="AT504" s="416"/>
      <c r="AU504" s="416"/>
      <c r="AV504" s="416"/>
      <c r="AW504" s="416"/>
      <c r="AX504" s="416"/>
      <c r="AY504" s="416"/>
      <c r="AZ504" s="32"/>
    </row>
    <row r="505" spans="2:52">
      <c r="B505" s="1256">
        <v>9</v>
      </c>
      <c r="C505" s="1257"/>
      <c r="D505" s="411" t="s">
        <v>1009</v>
      </c>
      <c r="E505" s="411"/>
      <c r="F505" s="411" t="s">
        <v>246</v>
      </c>
      <c r="G505" s="411" t="s">
        <v>247</v>
      </c>
      <c r="H505" s="412">
        <v>7503.5720000000001</v>
      </c>
      <c r="I505" s="413" t="s">
        <v>235</v>
      </c>
      <c r="J505" s="414">
        <v>45013.277777777781</v>
      </c>
      <c r="K505" s="414"/>
      <c r="L505" s="414" t="s">
        <v>192</v>
      </c>
      <c r="M505" s="414" t="s">
        <v>192</v>
      </c>
      <c r="N505" s="413" t="str">
        <f t="shared" si="34"/>
        <v>DELAY ( 2 day 4 hour 28 minute )</v>
      </c>
      <c r="O505" s="51"/>
      <c r="P505" s="415" t="s">
        <v>551</v>
      </c>
      <c r="Q505" s="415" t="s">
        <v>551</v>
      </c>
      <c r="R505" s="415" t="s">
        <v>551</v>
      </c>
      <c r="S505" s="32"/>
      <c r="T505" s="416"/>
      <c r="U505" s="416"/>
      <c r="V505" s="416"/>
      <c r="W505" s="416"/>
      <c r="X505" s="416"/>
      <c r="Y505" s="416"/>
      <c r="Z505" s="416"/>
      <c r="AA505" s="416"/>
      <c r="AB505" s="416">
        <f>H505</f>
        <v>7503.5720000000001</v>
      </c>
      <c r="AC505" s="416"/>
      <c r="AD505" s="416"/>
      <c r="AE505" s="416"/>
      <c r="AF505" s="416"/>
      <c r="AG505" s="416"/>
      <c r="AH505" s="416"/>
      <c r="AI505" s="416"/>
      <c r="AJ505" s="416"/>
      <c r="AK505" s="416"/>
      <c r="AL505" s="416"/>
      <c r="AM505" s="416"/>
      <c r="AN505" s="416"/>
      <c r="AO505" s="416"/>
      <c r="AP505" s="416"/>
      <c r="AQ505" s="416"/>
      <c r="AR505" s="416"/>
      <c r="AS505" s="416"/>
      <c r="AT505" s="416"/>
      <c r="AU505" s="416"/>
      <c r="AV505" s="416"/>
      <c r="AW505" s="416"/>
      <c r="AX505" s="416"/>
      <c r="AY505" s="416"/>
      <c r="AZ505" s="32"/>
    </row>
    <row r="506" spans="2:52">
      <c r="B506" s="1256" t="s">
        <v>610</v>
      </c>
      <c r="C506" s="1276"/>
      <c r="D506" s="1276"/>
      <c r="E506" s="1276"/>
      <c r="F506" s="1276"/>
      <c r="G506" s="1257"/>
      <c r="H506" s="412">
        <f>H508-SUM(H497:H505)</f>
        <v>3800.4880000000048</v>
      </c>
      <c r="I506" s="413" t="s">
        <v>611</v>
      </c>
      <c r="J506" s="414"/>
      <c r="K506" s="414"/>
      <c r="L506" s="414"/>
      <c r="M506" s="414"/>
      <c r="N506" s="413" t="str">
        <f t="shared" si="34"/>
        <v xml:space="preserve"> </v>
      </c>
      <c r="O506" s="51"/>
      <c r="P506" s="415" t="s">
        <v>551</v>
      </c>
      <c r="Q506" s="415"/>
      <c r="R506" s="415"/>
      <c r="S506" s="32"/>
      <c r="T506" s="416">
        <f>H506</f>
        <v>3800.4880000000048</v>
      </c>
      <c r="U506" s="416"/>
      <c r="V506" s="416"/>
      <c r="W506" s="416"/>
      <c r="X506" s="416"/>
      <c r="Y506" s="416"/>
      <c r="Z506" s="416"/>
      <c r="AA506" s="416"/>
      <c r="AB506" s="416"/>
      <c r="AC506" s="416"/>
      <c r="AD506" s="416"/>
      <c r="AE506" s="416"/>
      <c r="AF506" s="416"/>
      <c r="AG506" s="416"/>
      <c r="AH506" s="416"/>
      <c r="AI506" s="416"/>
      <c r="AJ506" s="416"/>
      <c r="AK506" s="416"/>
      <c r="AL506" s="416"/>
      <c r="AM506" s="416"/>
      <c r="AN506" s="416"/>
      <c r="AO506" s="416"/>
      <c r="AP506" s="416"/>
      <c r="AQ506" s="416"/>
      <c r="AR506" s="416"/>
      <c r="AS506" s="416"/>
      <c r="AT506" s="416"/>
      <c r="AU506" s="416"/>
      <c r="AV506" s="416"/>
      <c r="AW506" s="416"/>
      <c r="AX506" s="416"/>
      <c r="AY506" s="416"/>
      <c r="AZ506" s="32"/>
    </row>
    <row r="507" spans="2:52">
      <c r="B507" s="1258" t="s">
        <v>556</v>
      </c>
      <c r="C507" s="1259"/>
      <c r="D507" s="1259"/>
      <c r="E507" s="1259"/>
      <c r="F507" s="1259"/>
      <c r="G507" s="1260"/>
      <c r="H507" s="417">
        <f>SUM(H497:H506)</f>
        <v>66830</v>
      </c>
      <c r="I507" s="388"/>
      <c r="J507" s="293"/>
      <c r="K507" s="293"/>
      <c r="L507" s="293"/>
      <c r="M507" s="389"/>
      <c r="N507" s="413" t="str">
        <f t="shared" si="34"/>
        <v xml:space="preserve"> </v>
      </c>
      <c r="O507" s="212"/>
      <c r="P507" s="418"/>
      <c r="Q507" s="418"/>
      <c r="R507" s="418"/>
      <c r="S507" s="207"/>
      <c r="T507" s="1262"/>
      <c r="U507" s="1263"/>
      <c r="V507" s="1263"/>
      <c r="W507" s="1263"/>
      <c r="X507" s="1263"/>
      <c r="Y507" s="1263"/>
      <c r="Z507" s="1263"/>
      <c r="AA507" s="1263"/>
      <c r="AB507" s="1263"/>
      <c r="AC507" s="1263"/>
      <c r="AD507" s="1263"/>
      <c r="AE507" s="1263"/>
      <c r="AF507" s="1263"/>
      <c r="AG507" s="1263"/>
      <c r="AH507" s="1263"/>
      <c r="AI507" s="1263"/>
      <c r="AJ507" s="1263"/>
      <c r="AK507" s="1263"/>
      <c r="AL507" s="1263"/>
      <c r="AM507" s="1263"/>
      <c r="AN507" s="1263"/>
      <c r="AO507" s="1263"/>
      <c r="AP507" s="1263"/>
      <c r="AQ507" s="1263"/>
      <c r="AR507" s="1263"/>
      <c r="AS507" s="1263"/>
      <c r="AT507" s="1263"/>
      <c r="AU507" s="1263"/>
      <c r="AV507" s="1263"/>
      <c r="AW507" s="1263"/>
      <c r="AX507" s="1263"/>
      <c r="AY507" s="1264"/>
    </row>
    <row r="508" spans="2:52">
      <c r="B508" s="1243" t="s">
        <v>557</v>
      </c>
      <c r="C508" s="1244"/>
      <c r="D508" s="1244"/>
      <c r="E508" s="1244"/>
      <c r="F508" s="1244"/>
      <c r="G508" s="1245"/>
      <c r="H508" s="419">
        <v>66830</v>
      </c>
      <c r="I508" s="1246"/>
      <c r="J508" s="1247"/>
      <c r="K508" s="1247"/>
      <c r="L508" s="1247"/>
      <c r="M508" s="1248"/>
      <c r="N508" s="413" t="str">
        <f t="shared" si="34"/>
        <v xml:space="preserve"> </v>
      </c>
      <c r="O508" s="32"/>
      <c r="P508" s="415"/>
      <c r="Q508" s="415"/>
      <c r="R508" s="415"/>
      <c r="S508" s="63"/>
      <c r="T508" s="416">
        <f>SUM(T497:T506)</f>
        <v>3800.4880000000048</v>
      </c>
      <c r="U508" s="416">
        <f t="shared" ref="U508:AY508" si="35">SUM(U497:U506)</f>
        <v>0</v>
      </c>
      <c r="V508" s="416">
        <f t="shared" si="35"/>
        <v>0</v>
      </c>
      <c r="W508" s="416">
        <f t="shared" si="35"/>
        <v>0</v>
      </c>
      <c r="X508" s="416">
        <f t="shared" si="35"/>
        <v>0</v>
      </c>
      <c r="Y508" s="416">
        <f t="shared" si="35"/>
        <v>0</v>
      </c>
      <c r="Z508" s="416">
        <f t="shared" si="35"/>
        <v>0</v>
      </c>
      <c r="AA508" s="416">
        <f t="shared" si="35"/>
        <v>0</v>
      </c>
      <c r="AB508" s="416">
        <f t="shared" si="35"/>
        <v>39638.282999999996</v>
      </c>
      <c r="AC508" s="416">
        <f t="shared" si="35"/>
        <v>10855.178</v>
      </c>
      <c r="AD508" s="416">
        <f t="shared" si="35"/>
        <v>0</v>
      </c>
      <c r="AE508" s="416">
        <f t="shared" si="35"/>
        <v>0</v>
      </c>
      <c r="AF508" s="416">
        <f t="shared" si="35"/>
        <v>0</v>
      </c>
      <c r="AG508" s="416">
        <f t="shared" si="35"/>
        <v>0</v>
      </c>
      <c r="AH508" s="416">
        <f t="shared" si="35"/>
        <v>0</v>
      </c>
      <c r="AI508" s="416">
        <f t="shared" si="35"/>
        <v>0</v>
      </c>
      <c r="AJ508" s="416">
        <f t="shared" si="35"/>
        <v>0</v>
      </c>
      <c r="AK508" s="416">
        <f t="shared" si="35"/>
        <v>0</v>
      </c>
      <c r="AL508" s="416">
        <f t="shared" si="35"/>
        <v>0</v>
      </c>
      <c r="AM508" s="416">
        <f t="shared" si="35"/>
        <v>0</v>
      </c>
      <c r="AN508" s="416">
        <f t="shared" si="35"/>
        <v>0</v>
      </c>
      <c r="AO508" s="416">
        <f t="shared" si="35"/>
        <v>0</v>
      </c>
      <c r="AP508" s="416">
        <f t="shared" si="35"/>
        <v>0</v>
      </c>
      <c r="AQ508" s="416">
        <f t="shared" si="35"/>
        <v>0</v>
      </c>
      <c r="AR508" s="416">
        <f t="shared" si="35"/>
        <v>5010</v>
      </c>
      <c r="AS508" s="416">
        <f t="shared" si="35"/>
        <v>0</v>
      </c>
      <c r="AT508" s="416">
        <f t="shared" si="35"/>
        <v>0</v>
      </c>
      <c r="AU508" s="416">
        <f t="shared" si="35"/>
        <v>0</v>
      </c>
      <c r="AV508" s="416">
        <f t="shared" si="35"/>
        <v>0</v>
      </c>
      <c r="AW508" s="416">
        <f t="shared" si="35"/>
        <v>0</v>
      </c>
      <c r="AX508" s="416">
        <f t="shared" si="35"/>
        <v>0</v>
      </c>
      <c r="AY508" s="416">
        <f t="shared" si="35"/>
        <v>7526.0510000000004</v>
      </c>
      <c r="AZ508" s="416">
        <f>SUM(T508:AY508)</f>
        <v>66830</v>
      </c>
    </row>
    <row r="509" spans="2:52">
      <c r="B509" s="1243" t="s">
        <v>558</v>
      </c>
      <c r="C509" s="1244"/>
      <c r="D509" s="1244"/>
      <c r="E509" s="1244"/>
      <c r="F509" s="1244"/>
      <c r="G509" s="1245"/>
      <c r="H509" s="420">
        <f>H508-L491</f>
        <v>0</v>
      </c>
      <c r="I509" s="294"/>
      <c r="J509" s="295"/>
      <c r="K509" s="295"/>
      <c r="L509" s="296"/>
      <c r="M509" s="32"/>
      <c r="N509" s="32"/>
      <c r="O509" s="32"/>
      <c r="P509" s="32"/>
      <c r="Q509" s="297"/>
      <c r="R509" s="297"/>
      <c r="S509" s="32"/>
      <c r="T509" s="48"/>
      <c r="U509" s="48"/>
      <c r="V509" s="48"/>
      <c r="W509" s="48"/>
      <c r="X509" s="48"/>
      <c r="Y509" s="48"/>
      <c r="Z509" s="48"/>
      <c r="AA509" s="48"/>
      <c r="AB509" s="48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</row>
    <row r="510" spans="2:52">
      <c r="B510" s="1243" t="s">
        <v>559</v>
      </c>
      <c r="C510" s="1244"/>
      <c r="D510" s="1244"/>
      <c r="E510" s="1244"/>
      <c r="F510" s="1244"/>
      <c r="G510" s="1245"/>
      <c r="H510" s="420">
        <f>H507-H508</f>
        <v>0</v>
      </c>
      <c r="I510" s="52"/>
      <c r="J510" s="53"/>
      <c r="K510" s="53"/>
      <c r="L510" s="54"/>
      <c r="M510" s="32"/>
      <c r="N510" s="32"/>
      <c r="O510" s="32"/>
      <c r="P510" s="32"/>
      <c r="Q510" s="32"/>
      <c r="R510" s="32"/>
      <c r="S510" s="32"/>
      <c r="T510" s="48"/>
      <c r="U510" s="48"/>
      <c r="V510" s="48"/>
      <c r="W510" s="48"/>
      <c r="X510" s="48"/>
      <c r="Y510" s="48"/>
      <c r="Z510" s="48"/>
      <c r="AA510" s="48"/>
      <c r="AB510" s="48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</row>
    <row r="511" spans="2:52">
      <c r="B511" s="201"/>
      <c r="C511" s="201"/>
      <c r="D511" s="201"/>
      <c r="E511" s="201"/>
      <c r="F511" s="201"/>
      <c r="G511" s="201"/>
      <c r="H511" s="201"/>
      <c r="I511" s="213"/>
      <c r="J511" s="209"/>
      <c r="K511" s="209"/>
      <c r="L511" s="203"/>
      <c r="M511" s="201"/>
      <c r="N511" s="201"/>
      <c r="O511" s="209"/>
      <c r="P511" s="32"/>
      <c r="Q511" s="32"/>
      <c r="R511" s="32"/>
      <c r="S511" s="32"/>
      <c r="T511" s="48"/>
      <c r="U511" s="48"/>
      <c r="V511" s="48"/>
      <c r="W511" s="48"/>
      <c r="X511" s="48"/>
      <c r="Y511" s="48"/>
      <c r="Z511" s="48"/>
      <c r="AA511" s="48"/>
      <c r="AB511" s="48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</row>
    <row r="512" spans="2:52">
      <c r="B512" s="40" t="s">
        <v>561</v>
      </c>
      <c r="C512" s="40"/>
      <c r="D512" s="32"/>
      <c r="E512" s="32"/>
      <c r="F512" s="32"/>
      <c r="G512" s="32"/>
      <c r="H512" s="32"/>
      <c r="I512" s="32"/>
      <c r="J512" s="52"/>
      <c r="K512" s="52"/>
      <c r="L512" s="55"/>
      <c r="M512" s="32"/>
      <c r="N512" s="201"/>
      <c r="O512" s="5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  <c r="AA512" s="202"/>
      <c r="AB512" s="201"/>
      <c r="AC512" s="201"/>
      <c r="AD512" s="201"/>
      <c r="AE512" s="201"/>
      <c r="AF512" s="201"/>
      <c r="AG512" s="201"/>
      <c r="AH512" s="201"/>
      <c r="AI512" s="201"/>
      <c r="AJ512" s="201"/>
      <c r="AK512" s="201"/>
      <c r="AL512" s="201"/>
      <c r="AM512" s="201"/>
      <c r="AN512" s="201"/>
      <c r="AO512" s="201"/>
      <c r="AP512" s="201"/>
      <c r="AQ512" s="201"/>
      <c r="AR512" s="201"/>
      <c r="AS512" s="201"/>
      <c r="AT512" s="201"/>
      <c r="AU512" s="201"/>
      <c r="AZ512" s="201"/>
    </row>
    <row r="513" spans="2:52">
      <c r="B513" s="422"/>
      <c r="C513" s="1249"/>
      <c r="D513" s="1249"/>
      <c r="E513" s="1249"/>
      <c r="F513" s="1249"/>
      <c r="G513" s="1249"/>
      <c r="H513" s="1249"/>
      <c r="I513" s="1249"/>
      <c r="J513" s="1249"/>
      <c r="K513" s="1249"/>
      <c r="L513" s="203"/>
      <c r="M513" s="201"/>
      <c r="N513" s="201"/>
      <c r="O513" s="209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  <c r="AA513" s="202"/>
      <c r="AB513" s="201"/>
      <c r="AC513" s="201"/>
      <c r="AD513" s="201"/>
      <c r="AE513" s="201"/>
      <c r="AF513" s="201"/>
      <c r="AG513" s="201"/>
      <c r="AH513" s="201"/>
      <c r="AI513" s="201"/>
      <c r="AJ513" s="201"/>
      <c r="AK513" s="201"/>
      <c r="AL513" s="201"/>
      <c r="AM513" s="201"/>
      <c r="AN513" s="201"/>
      <c r="AO513" s="201"/>
      <c r="AP513" s="201"/>
      <c r="AQ513" s="201"/>
      <c r="AR513" s="201"/>
      <c r="AS513" s="201"/>
      <c r="AT513" s="201"/>
      <c r="AU513" s="201"/>
      <c r="AZ513" s="201"/>
    </row>
  </sheetData>
  <mergeCells count="429">
    <mergeCell ref="B426:G426"/>
    <mergeCell ref="T426:AY426"/>
    <mergeCell ref="B427:G427"/>
    <mergeCell ref="I427:M427"/>
    <mergeCell ref="B428:G428"/>
    <mergeCell ref="B429:G429"/>
    <mergeCell ref="C432:K432"/>
    <mergeCell ref="B430:G430"/>
    <mergeCell ref="B418:C420"/>
    <mergeCell ref="F419:G419"/>
    <mergeCell ref="F420:G420"/>
    <mergeCell ref="B421:C421"/>
    <mergeCell ref="B422:C424"/>
    <mergeCell ref="F423:G423"/>
    <mergeCell ref="F424:G424"/>
    <mergeCell ref="B425:G425"/>
    <mergeCell ref="T425:AY425"/>
    <mergeCell ref="B408:C410"/>
    <mergeCell ref="F409:G409"/>
    <mergeCell ref="F410:G410"/>
    <mergeCell ref="B411:C411"/>
    <mergeCell ref="B412:C414"/>
    <mergeCell ref="F413:G413"/>
    <mergeCell ref="F414:G414"/>
    <mergeCell ref="B415:C417"/>
    <mergeCell ref="F416:G416"/>
    <mergeCell ref="F417:G417"/>
    <mergeCell ref="T402:X402"/>
    <mergeCell ref="Y402:AA402"/>
    <mergeCell ref="AB402:AC402"/>
    <mergeCell ref="AF402:AY402"/>
    <mergeCell ref="B403:C403"/>
    <mergeCell ref="B404:C404"/>
    <mergeCell ref="B405:C405"/>
    <mergeCell ref="B406:C406"/>
    <mergeCell ref="B407:G407"/>
    <mergeCell ref="B390:G390"/>
    <mergeCell ref="B391:G391"/>
    <mergeCell ref="C394:K394"/>
    <mergeCell ref="B382:C382"/>
    <mergeCell ref="B383:C383"/>
    <mergeCell ref="B384:C384"/>
    <mergeCell ref="B385:C385"/>
    <mergeCell ref="B386:C386"/>
    <mergeCell ref="B387:G387"/>
    <mergeCell ref="B388:G388"/>
    <mergeCell ref="T388:AY388"/>
    <mergeCell ref="B389:G389"/>
    <mergeCell ref="I389:M389"/>
    <mergeCell ref="T376:X376"/>
    <mergeCell ref="Y376:AA376"/>
    <mergeCell ref="AB376:AC376"/>
    <mergeCell ref="AF376:AY376"/>
    <mergeCell ref="B377:C377"/>
    <mergeCell ref="B378:C378"/>
    <mergeCell ref="B379:C379"/>
    <mergeCell ref="B380:C380"/>
    <mergeCell ref="B381:C381"/>
    <mergeCell ref="B361:C361"/>
    <mergeCell ref="B362:G362"/>
    <mergeCell ref="T362:AY362"/>
    <mergeCell ref="B363:G363"/>
    <mergeCell ref="I363:M363"/>
    <mergeCell ref="B364:G364"/>
    <mergeCell ref="B365:G365"/>
    <mergeCell ref="C368:K368"/>
    <mergeCell ref="B366:G366"/>
    <mergeCell ref="T351:X351"/>
    <mergeCell ref="Y351:AA351"/>
    <mergeCell ref="AB351:AC351"/>
    <mergeCell ref="AF351:AY351"/>
    <mergeCell ref="B352:C352"/>
    <mergeCell ref="B353:C354"/>
    <mergeCell ref="B355:C356"/>
    <mergeCell ref="B357:C358"/>
    <mergeCell ref="B359:C360"/>
    <mergeCell ref="B333:C334"/>
    <mergeCell ref="B335:C335"/>
    <mergeCell ref="B336:G336"/>
    <mergeCell ref="T336:AY336"/>
    <mergeCell ref="B337:G337"/>
    <mergeCell ref="I337:M337"/>
    <mergeCell ref="B338:G338"/>
    <mergeCell ref="B339:G339"/>
    <mergeCell ref="C343:K343"/>
    <mergeCell ref="B340:G340"/>
    <mergeCell ref="T326:X326"/>
    <mergeCell ref="Y326:AA326"/>
    <mergeCell ref="AB326:AC326"/>
    <mergeCell ref="AF326:AY326"/>
    <mergeCell ref="B327:C327"/>
    <mergeCell ref="B328:C329"/>
    <mergeCell ref="J329:J330"/>
    <mergeCell ref="B330:C331"/>
    <mergeCell ref="B332:C332"/>
    <mergeCell ref="B200:C200"/>
    <mergeCell ref="B201:G201"/>
    <mergeCell ref="T201:AY201"/>
    <mergeCell ref="B202:G202"/>
    <mergeCell ref="I202:M202"/>
    <mergeCell ref="B203:G203"/>
    <mergeCell ref="B204:G204"/>
    <mergeCell ref="C208:K208"/>
    <mergeCell ref="B205:G205"/>
    <mergeCell ref="T192:X192"/>
    <mergeCell ref="Y192:AA192"/>
    <mergeCell ref="AB192:AC192"/>
    <mergeCell ref="AF192:AY192"/>
    <mergeCell ref="B193:C193"/>
    <mergeCell ref="B194:C194"/>
    <mergeCell ref="B195:C195"/>
    <mergeCell ref="B196:C197"/>
    <mergeCell ref="J197:J198"/>
    <mergeCell ref="B198:C199"/>
    <mergeCell ref="B25:G25"/>
    <mergeCell ref="B26:G26"/>
    <mergeCell ref="C30:K30"/>
    <mergeCell ref="B27:G27"/>
    <mergeCell ref="B20:C21"/>
    <mergeCell ref="B22:C22"/>
    <mergeCell ref="B23:G23"/>
    <mergeCell ref="B24:G24"/>
    <mergeCell ref="I24:M24"/>
    <mergeCell ref="T23:AY23"/>
    <mergeCell ref="B18:C19"/>
    <mergeCell ref="T8:X8"/>
    <mergeCell ref="Y8:AA8"/>
    <mergeCell ref="AB8:AC8"/>
    <mergeCell ref="AF8:AY8"/>
    <mergeCell ref="B9:C9"/>
    <mergeCell ref="B10:C11"/>
    <mergeCell ref="B12:C13"/>
    <mergeCell ref="B14:C15"/>
    <mergeCell ref="B16:C17"/>
    <mergeCell ref="B40:C41"/>
    <mergeCell ref="J41:J42"/>
    <mergeCell ref="L41:L42"/>
    <mergeCell ref="M41:M42"/>
    <mergeCell ref="B42:C43"/>
    <mergeCell ref="T38:X38"/>
    <mergeCell ref="Y38:AA38"/>
    <mergeCell ref="AB38:AC38"/>
    <mergeCell ref="AF38:AY38"/>
    <mergeCell ref="B39:C39"/>
    <mergeCell ref="B50:C51"/>
    <mergeCell ref="B52:C53"/>
    <mergeCell ref="B54:C54"/>
    <mergeCell ref="B55:G55"/>
    <mergeCell ref="T55:AY55"/>
    <mergeCell ref="J51:J52"/>
    <mergeCell ref="B44:C44"/>
    <mergeCell ref="B45:C46"/>
    <mergeCell ref="J46:J47"/>
    <mergeCell ref="B47:C48"/>
    <mergeCell ref="B49:C49"/>
    <mergeCell ref="T70:X70"/>
    <mergeCell ref="Y70:AA70"/>
    <mergeCell ref="AB70:AC70"/>
    <mergeCell ref="AF70:AY70"/>
    <mergeCell ref="B71:C71"/>
    <mergeCell ref="B56:G56"/>
    <mergeCell ref="I56:M56"/>
    <mergeCell ref="B57:G57"/>
    <mergeCell ref="B58:G58"/>
    <mergeCell ref="C62:K62"/>
    <mergeCell ref="B59:G59"/>
    <mergeCell ref="B77:C78"/>
    <mergeCell ref="F78:G78"/>
    <mergeCell ref="B79:C80"/>
    <mergeCell ref="F80:G80"/>
    <mergeCell ref="B81:C81"/>
    <mergeCell ref="B72:C72"/>
    <mergeCell ref="B73:G73"/>
    <mergeCell ref="B74:C75"/>
    <mergeCell ref="F75:G75"/>
    <mergeCell ref="B76:C76"/>
    <mergeCell ref="B87:C87"/>
    <mergeCell ref="B88:G88"/>
    <mergeCell ref="T88:AY88"/>
    <mergeCell ref="B89:G89"/>
    <mergeCell ref="T89:AY89"/>
    <mergeCell ref="B82:C83"/>
    <mergeCell ref="F83:G83"/>
    <mergeCell ref="B84:C85"/>
    <mergeCell ref="F85:G85"/>
    <mergeCell ref="B86:C86"/>
    <mergeCell ref="AB104:AC104"/>
    <mergeCell ref="AF104:AY104"/>
    <mergeCell ref="B105:C105"/>
    <mergeCell ref="B90:G90"/>
    <mergeCell ref="I90:M90"/>
    <mergeCell ref="B91:G91"/>
    <mergeCell ref="B92:G92"/>
    <mergeCell ref="C96:K96"/>
    <mergeCell ref="B93:G93"/>
    <mergeCell ref="B106:C106"/>
    <mergeCell ref="B107:C107"/>
    <mergeCell ref="B108:C108"/>
    <mergeCell ref="B109:G109"/>
    <mergeCell ref="B110:C112"/>
    <mergeCell ref="F111:G111"/>
    <mergeCell ref="F112:G112"/>
    <mergeCell ref="T104:X104"/>
    <mergeCell ref="Y104:AA104"/>
    <mergeCell ref="B118:C120"/>
    <mergeCell ref="F119:G119"/>
    <mergeCell ref="F120:G120"/>
    <mergeCell ref="B121:C122"/>
    <mergeCell ref="F122:G122"/>
    <mergeCell ref="B113:C115"/>
    <mergeCell ref="F114:G114"/>
    <mergeCell ref="F115:G115"/>
    <mergeCell ref="B116:C117"/>
    <mergeCell ref="F117:G117"/>
    <mergeCell ref="B129:C131"/>
    <mergeCell ref="F130:G130"/>
    <mergeCell ref="F131:G131"/>
    <mergeCell ref="B132:G132"/>
    <mergeCell ref="T132:AY132"/>
    <mergeCell ref="B123:C125"/>
    <mergeCell ref="F124:G124"/>
    <mergeCell ref="F125:G125"/>
    <mergeCell ref="B126:C128"/>
    <mergeCell ref="F127:G127"/>
    <mergeCell ref="F128:G128"/>
    <mergeCell ref="B136:G136"/>
    <mergeCell ref="C140:K140"/>
    <mergeCell ref="B137:G137"/>
    <mergeCell ref="T148:X148"/>
    <mergeCell ref="Y148:AA148"/>
    <mergeCell ref="B133:G133"/>
    <mergeCell ref="T133:AY133"/>
    <mergeCell ref="B134:G134"/>
    <mergeCell ref="I134:M134"/>
    <mergeCell ref="B135:G135"/>
    <mergeCell ref="B153:C154"/>
    <mergeCell ref="B155:C156"/>
    <mergeCell ref="B157:C158"/>
    <mergeCell ref="B159:C159"/>
    <mergeCell ref="B160:G160"/>
    <mergeCell ref="AB148:AC148"/>
    <mergeCell ref="AF148:AY148"/>
    <mergeCell ref="B149:C149"/>
    <mergeCell ref="B150:C150"/>
    <mergeCell ref="B151:C152"/>
    <mergeCell ref="C167:K167"/>
    <mergeCell ref="B164:G164"/>
    <mergeCell ref="T175:X175"/>
    <mergeCell ref="Y175:AA175"/>
    <mergeCell ref="AB175:AC175"/>
    <mergeCell ref="T160:AY160"/>
    <mergeCell ref="B161:G161"/>
    <mergeCell ref="I161:M161"/>
    <mergeCell ref="B162:G162"/>
    <mergeCell ref="B163:G163"/>
    <mergeCell ref="B180:G180"/>
    <mergeCell ref="T180:AY180"/>
    <mergeCell ref="B181:G181"/>
    <mergeCell ref="I181:M181"/>
    <mergeCell ref="C184:K184"/>
    <mergeCell ref="AF175:AY175"/>
    <mergeCell ref="B176:C176"/>
    <mergeCell ref="B177:C177"/>
    <mergeCell ref="B178:C178"/>
    <mergeCell ref="B179:C179"/>
    <mergeCell ref="T216:X216"/>
    <mergeCell ref="Y216:AA216"/>
    <mergeCell ref="AB216:AC216"/>
    <mergeCell ref="AF216:AY216"/>
    <mergeCell ref="B217:C217"/>
    <mergeCell ref="B218:C218"/>
    <mergeCell ref="B219:C219"/>
    <mergeCell ref="B220:C220"/>
    <mergeCell ref="B221:C221"/>
    <mergeCell ref="B229:G229"/>
    <mergeCell ref="C232:K232"/>
    <mergeCell ref="B222:C222"/>
    <mergeCell ref="B223:C223"/>
    <mergeCell ref="B224:C224"/>
    <mergeCell ref="B225:G225"/>
    <mergeCell ref="B226:G226"/>
    <mergeCell ref="T226:AY226"/>
    <mergeCell ref="B227:G227"/>
    <mergeCell ref="I227:M227"/>
    <mergeCell ref="B228:G228"/>
    <mergeCell ref="T252:AY252"/>
    <mergeCell ref="B253:G253"/>
    <mergeCell ref="I253:M253"/>
    <mergeCell ref="T240:X240"/>
    <mergeCell ref="Y240:AA240"/>
    <mergeCell ref="AB240:AC240"/>
    <mergeCell ref="AF240:AY240"/>
    <mergeCell ref="B241:C241"/>
    <mergeCell ref="B242:C242"/>
    <mergeCell ref="B243:C243"/>
    <mergeCell ref="B244:C244"/>
    <mergeCell ref="B245:C245"/>
    <mergeCell ref="B254:G254"/>
    <mergeCell ref="B255:G255"/>
    <mergeCell ref="C259:K259"/>
    <mergeCell ref="B256:G256"/>
    <mergeCell ref="B246:C246"/>
    <mergeCell ref="B247:C247"/>
    <mergeCell ref="B248:C248"/>
    <mergeCell ref="B249:C249"/>
    <mergeCell ref="B250:C250"/>
    <mergeCell ref="B251:C251"/>
    <mergeCell ref="B252:G252"/>
    <mergeCell ref="T267:X267"/>
    <mergeCell ref="Y267:AA267"/>
    <mergeCell ref="AB267:AC267"/>
    <mergeCell ref="AF267:AZ267"/>
    <mergeCell ref="B268:C268"/>
    <mergeCell ref="B269:C269"/>
    <mergeCell ref="B270:G270"/>
    <mergeCell ref="B271:C272"/>
    <mergeCell ref="F272:G272"/>
    <mergeCell ref="B273:C274"/>
    <mergeCell ref="F274:G274"/>
    <mergeCell ref="B275:C276"/>
    <mergeCell ref="F276:G276"/>
    <mergeCell ref="B277:C278"/>
    <mergeCell ref="F278:G278"/>
    <mergeCell ref="B279:C280"/>
    <mergeCell ref="F280:G280"/>
    <mergeCell ref="B281:C281"/>
    <mergeCell ref="B282:C283"/>
    <mergeCell ref="F283:G283"/>
    <mergeCell ref="B284:G284"/>
    <mergeCell ref="T284:AZ284"/>
    <mergeCell ref="B285:G285"/>
    <mergeCell ref="T285:AZ285"/>
    <mergeCell ref="B286:G286"/>
    <mergeCell ref="I286:M286"/>
    <mergeCell ref="B287:G287"/>
    <mergeCell ref="T311:AY311"/>
    <mergeCell ref="B288:G288"/>
    <mergeCell ref="C292:K292"/>
    <mergeCell ref="B289:G289"/>
    <mergeCell ref="T300:X300"/>
    <mergeCell ref="Y300:AA300"/>
    <mergeCell ref="AB300:AC300"/>
    <mergeCell ref="AF300:AY300"/>
    <mergeCell ref="B301:C301"/>
    <mergeCell ref="B302:C302"/>
    <mergeCell ref="B312:G312"/>
    <mergeCell ref="I312:M312"/>
    <mergeCell ref="B313:G313"/>
    <mergeCell ref="B314:G314"/>
    <mergeCell ref="C318:K318"/>
    <mergeCell ref="B315:G315"/>
    <mergeCell ref="B303:C304"/>
    <mergeCell ref="J304:J305"/>
    <mergeCell ref="B305:C306"/>
    <mergeCell ref="B307:C307"/>
    <mergeCell ref="B308:C308"/>
    <mergeCell ref="B309:C309"/>
    <mergeCell ref="B310:C310"/>
    <mergeCell ref="B311:G311"/>
    <mergeCell ref="T452:AY452"/>
    <mergeCell ref="B453:G453"/>
    <mergeCell ref="I453:M453"/>
    <mergeCell ref="T440:X440"/>
    <mergeCell ref="Y440:AA440"/>
    <mergeCell ref="AB440:AC440"/>
    <mergeCell ref="AF440:AY440"/>
    <mergeCell ref="B441:C441"/>
    <mergeCell ref="B442:C442"/>
    <mergeCell ref="B443:C443"/>
    <mergeCell ref="B444:C444"/>
    <mergeCell ref="B445:C445"/>
    <mergeCell ref="B454:G454"/>
    <mergeCell ref="B455:G455"/>
    <mergeCell ref="C458:K458"/>
    <mergeCell ref="B446:C446"/>
    <mergeCell ref="B447:C447"/>
    <mergeCell ref="B448:C448"/>
    <mergeCell ref="B449:C449"/>
    <mergeCell ref="B450:C450"/>
    <mergeCell ref="B451:G451"/>
    <mergeCell ref="B452:G452"/>
    <mergeCell ref="T466:X466"/>
    <mergeCell ref="Y466:AA466"/>
    <mergeCell ref="AB466:AC466"/>
    <mergeCell ref="AF466:AY466"/>
    <mergeCell ref="B467:C467"/>
    <mergeCell ref="B468:C469"/>
    <mergeCell ref="J469:J470"/>
    <mergeCell ref="L469:L470"/>
    <mergeCell ref="M469:M470"/>
    <mergeCell ref="B470:C471"/>
    <mergeCell ref="B472:C473"/>
    <mergeCell ref="J473:J474"/>
    <mergeCell ref="L473:L474"/>
    <mergeCell ref="M473:M474"/>
    <mergeCell ref="B474:C475"/>
    <mergeCell ref="B476:C477"/>
    <mergeCell ref="B478:C478"/>
    <mergeCell ref="B479:C479"/>
    <mergeCell ref="B480:G480"/>
    <mergeCell ref="T480:AY480"/>
    <mergeCell ref="B481:G481"/>
    <mergeCell ref="I481:M481"/>
    <mergeCell ref="B482:G482"/>
    <mergeCell ref="B483:G483"/>
    <mergeCell ref="C487:K487"/>
    <mergeCell ref="T495:X495"/>
    <mergeCell ref="Y495:AA495"/>
    <mergeCell ref="AB495:AC495"/>
    <mergeCell ref="AF495:AY495"/>
    <mergeCell ref="B484:G484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G506"/>
    <mergeCell ref="B507:G507"/>
    <mergeCell ref="T507:AY507"/>
    <mergeCell ref="B508:G508"/>
    <mergeCell ref="I508:M508"/>
    <mergeCell ref="B509:G509"/>
    <mergeCell ref="B510:G510"/>
    <mergeCell ref="C513:K513"/>
  </mergeCells>
  <dataValidations count="4">
    <dataValidation type="list" allowBlank="1" showInputMessage="1" showErrorMessage="1" sqref="L35 L67" xr:uid="{00000000-0002-0000-0700-000000000000}">
      <formula1>$I$56:$I$89</formula1>
    </dataValidation>
    <dataValidation type="list" allowBlank="1" showInputMessage="1" showErrorMessage="1" sqref="F32 F64" xr:uid="{00000000-0002-0000-0700-000001000000}">
      <formula1>$H$56:$H$89</formula1>
    </dataValidation>
    <dataValidation type="list" allowBlank="1" showInputMessage="1" showErrorMessage="1" sqref="L101 L171 L145 L213 L189 L237 L373 L348 L323 L297 L264" xr:uid="{00000000-0002-0000-0700-000002000000}">
      <formula1>$I$56:$I$88</formula1>
    </dataValidation>
    <dataValidation type="list" allowBlank="1" showInputMessage="1" showErrorMessage="1" sqref="F98 F169 F142 F210 F186 F234 F370 F345 F320 F294 F261" xr:uid="{00000000-0002-0000-0700-000003000000}">
      <formula1>$H$56:$H$88</formula1>
    </dataValidation>
  </dataValidations>
  <pageMargins left="0.7" right="0.7" top="0.75" bottom="0.75" header="0.3" footer="0.3"/>
  <pageSetup paperSize="9" orientation="portrait" r:id="rId1"/>
  <ignoredErrors>
    <ignoredError sqref="Y18:Z18" 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700-000004000000}">
          <x14:formula1>
            <xm:f>'FLF &amp; AGENT INFO'!$B$3:$B$20</xm:f>
          </x14:formula1>
          <xm:sqref>F5 F35 F67 F101 F145 F172 F189 F213 F237 F264 F297 F323 F348 F373 F399 F437 F463 F492</xm:sqref>
        </x14:dataValidation>
        <x14:dataValidation type="list" allowBlank="1" showInputMessage="1" showErrorMessage="1" xr:uid="{00000000-0002-0000-0700-000005000000}">
          <x14:formula1>
            <xm:f>'FLF &amp; AGENT INFO'!$F$3:$F$24</xm:f>
          </x14:formula1>
          <xm:sqref>F7 F37 F69 F103 F147 F174 F191 F215 F239 F325 F350 F375 F401 F439 F494</xm:sqref>
        </x14:dataValidation>
        <x14:dataValidation type="list" allowBlank="1" showInputMessage="1" showErrorMessage="1" xr:uid="{00000000-0002-0000-0700-000006000000}">
          <x14:formula1>
            <xm:f>'FLF &amp; AGENT INFO'!$H$3:$H$7</xm:f>
          </x14:formula1>
          <xm:sqref>L6 L36 L68 L102 L146 L172 L190 L214 L238 L265 L298 L324 L349 L374 L400 L438 L464 L493</xm:sqref>
        </x14:dataValidation>
        <x14:dataValidation type="list" allowBlank="1" showInputMessage="1" showErrorMessage="1" xr:uid="{00000000-0002-0000-0700-000007000000}">
          <x14:formula1>
            <xm:f>'FLF &amp; AGENT INFO'!$F$3:$F$25</xm:f>
          </x14:formula1>
          <xm:sqref>F465</xm:sqref>
        </x14:dataValidation>
        <x14:dataValidation type="list" allowBlank="1" showInputMessage="1" showErrorMessage="1" xr:uid="{00000000-0002-0000-0700-000008000000}">
          <x14:formula1>
            <xm:f>'FLF &amp; AGENT INFO'!$F$3:$F$33</xm:f>
          </x14:formula1>
          <xm:sqref>F266 F299</xm:sqref>
        </x14:dataValidation>
        <x14:dataValidation type="list" allowBlank="1" showInputMessage="1" showErrorMessage="1" xr:uid="{00000000-0002-0000-0700-000009000000}">
          <x14:formula1>
            <xm:f>'FLF &amp; AGENT INFO'!$D$3:$D$31</xm:f>
          </x14:formula1>
          <xm:sqref>F6 F493 F464 F438 F400 F374 F349 F324 F298 F265 F238 F214 F190 F173 F146 F102 F68 F36</xm:sqref>
        </x14:dataValidation>
        <x14:dataValidation type="list" allowBlank="1" showInputMessage="1" showErrorMessage="1" xr:uid="{00000000-0002-0000-0700-00000A000000}">
          <x14:formula1>
            <xm:f>'VLU 2023 &amp; 2024'!$I$38:$I$58</xm:f>
          </x14:formula1>
          <xm:sqref>L5 L463 L492 L437 L399</xm:sqref>
        </x14:dataValidation>
        <x14:dataValidation type="list" allowBlank="1" showInputMessage="1" showErrorMessage="1" xr:uid="{00000000-0002-0000-0700-00000B000000}">
          <x14:formula1>
            <xm:f>'VLU 2023 &amp; 2024'!$H$38:$H$58</xm:f>
          </x14:formula1>
          <xm:sqref>F2 F460 F489 F434 F396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CC182"/>
  <sheetViews>
    <sheetView zoomScale="80" zoomScaleNormal="80" zoomScaleSheetLayoutView="73" workbookViewId="0">
      <pane xSplit="16" ySplit="2" topLeftCell="AM58" activePane="bottomRight" state="frozen"/>
      <selection pane="topRight" activeCell="R15" sqref="R15"/>
      <selection pane="bottomLeft" activeCell="R15" sqref="R15"/>
      <selection pane="bottomRight" activeCell="R15" sqref="R15"/>
    </sheetView>
  </sheetViews>
  <sheetFormatPr defaultColWidth="9.33203125" defaultRowHeight="14.4"/>
  <cols>
    <col min="1" max="1" width="12.6640625" style="119" customWidth="1"/>
    <col min="2" max="2" width="7.5546875" style="119" customWidth="1"/>
    <col min="3" max="3" width="7.6640625" style="115" customWidth="1"/>
    <col min="4" max="4" width="6" style="115" customWidth="1"/>
    <col min="5" max="5" width="25.44140625" style="115" customWidth="1"/>
    <col min="6" max="6" width="10.5546875" style="115" hidden="1" customWidth="1"/>
    <col min="7" max="7" width="13.5546875" style="252" hidden="1" customWidth="1"/>
    <col min="8" max="8" width="12.5546875" style="252" hidden="1" customWidth="1"/>
    <col min="9" max="9" width="11.109375" style="117" customWidth="1"/>
    <col min="10" max="10" width="22" style="115" hidden="1" customWidth="1"/>
    <col min="11" max="11" width="15" style="115" hidden="1" customWidth="1"/>
    <col min="12" max="12" width="13.5546875" style="115" customWidth="1"/>
    <col min="13" max="13" width="0.5546875" style="118" customWidth="1"/>
    <col min="14" max="14" width="21.44140625" style="115" customWidth="1"/>
    <col min="15" max="15" width="22" style="115" customWidth="1"/>
    <col min="16" max="16" width="20.6640625" style="115" customWidth="1"/>
    <col min="17" max="17" width="8.5546875" style="117" customWidth="1"/>
    <col min="18" max="18" width="10.33203125" style="117" customWidth="1"/>
    <col min="19" max="19" width="1.33203125" style="117" customWidth="1"/>
    <col min="20" max="20" width="9.6640625" style="115" customWidth="1"/>
    <col min="21" max="21" width="10.33203125" style="115" customWidth="1"/>
    <col min="22" max="22" width="8.5546875" style="115" customWidth="1"/>
    <col min="23" max="23" width="10.33203125" style="115" customWidth="1"/>
    <col min="24" max="24" width="10.109375" style="115" customWidth="1"/>
    <col min="25" max="48" width="8.5546875" style="115" customWidth="1"/>
    <col min="49" max="49" width="15.5546875" style="251" customWidth="1"/>
    <col min="50" max="50" width="16" style="251" customWidth="1"/>
    <col min="51" max="51" width="9.6640625" style="251" customWidth="1"/>
    <col min="52" max="52" width="15.5546875" style="251" customWidth="1"/>
    <col min="53" max="53" width="16.5546875" style="251" customWidth="1"/>
    <col min="54" max="54" width="16.44140625" style="251" customWidth="1"/>
    <col min="55" max="55" width="16" style="251" customWidth="1"/>
    <col min="56" max="56" width="15.5546875" style="251" customWidth="1"/>
    <col min="57" max="57" width="16.44140625" style="251" hidden="1" customWidth="1"/>
    <col min="58" max="58" width="15.5546875" style="251" hidden="1" customWidth="1"/>
    <col min="59" max="59" width="15.44140625" style="251" hidden="1" customWidth="1"/>
    <col min="60" max="60" width="17" style="251" hidden="1" customWidth="1"/>
    <col min="61" max="61" width="15.33203125" style="252" hidden="1" customWidth="1"/>
    <col min="62" max="62" width="15.5546875" style="251" hidden="1" customWidth="1"/>
    <col min="63" max="63" width="16.33203125" style="251" customWidth="1"/>
    <col min="64" max="64" width="15.5546875" style="251" customWidth="1"/>
    <col min="65" max="65" width="16.44140625" style="251" customWidth="1"/>
    <col min="66" max="67" width="15.5546875" style="115" customWidth="1"/>
    <col min="68" max="68" width="16.44140625" style="115" customWidth="1"/>
    <col min="69" max="69" width="49.5546875" style="116" customWidth="1"/>
    <col min="70" max="70" width="1.33203125" style="116" customWidth="1"/>
    <col min="71" max="71" width="10.5546875" style="251" customWidth="1"/>
    <col min="72" max="78" width="9.6640625" style="251" customWidth="1"/>
    <col min="79" max="79" width="11.33203125" style="115" bestFit="1" customWidth="1"/>
    <col min="80" max="16384" width="9.33203125" style="115"/>
  </cols>
  <sheetData>
    <row r="1" spans="1:79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1177</v>
      </c>
      <c r="M1" s="1232"/>
      <c r="N1" s="1234" t="s">
        <v>133</v>
      </c>
      <c r="O1" s="1234" t="s">
        <v>134</v>
      </c>
      <c r="P1" s="1217" t="s">
        <v>135</v>
      </c>
      <c r="Q1" s="1236" t="s">
        <v>136</v>
      </c>
      <c r="R1" s="1236" t="s">
        <v>137</v>
      </c>
      <c r="S1" s="403"/>
      <c r="T1" s="1224" t="s">
        <v>73</v>
      </c>
      <c r="U1" s="1224"/>
      <c r="V1" s="1224"/>
      <c r="W1" s="1220" t="s">
        <v>74</v>
      </c>
      <c r="X1" s="1221"/>
      <c r="Y1" s="1222" t="s">
        <v>138</v>
      </c>
      <c r="Z1" s="1223"/>
      <c r="AA1" s="404" t="s">
        <v>85</v>
      </c>
      <c r="AB1" s="404" t="s">
        <v>139</v>
      </c>
      <c r="AC1" s="1224" t="s">
        <v>87</v>
      </c>
      <c r="AD1" s="1224"/>
      <c r="AE1" s="1224"/>
      <c r="AF1" s="1224"/>
      <c r="AG1" s="1224"/>
      <c r="AH1" s="1225" t="s">
        <v>138</v>
      </c>
      <c r="AI1" s="1220"/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1"/>
      <c r="AW1" s="1218" t="s">
        <v>140</v>
      </c>
      <c r="AX1" s="1218" t="s">
        <v>141</v>
      </c>
      <c r="AY1" s="1226" t="s">
        <v>142</v>
      </c>
      <c r="AZ1" s="1228" t="s">
        <v>143</v>
      </c>
      <c r="BA1" s="1228" t="s">
        <v>144</v>
      </c>
      <c r="BB1" s="1219" t="s">
        <v>145</v>
      </c>
      <c r="BC1" s="1218" t="s">
        <v>146</v>
      </c>
      <c r="BD1" s="1218" t="s">
        <v>147</v>
      </c>
      <c r="BE1" s="1218" t="s">
        <v>148</v>
      </c>
      <c r="BF1" s="1218" t="s">
        <v>149</v>
      </c>
      <c r="BG1" s="1219" t="s">
        <v>150</v>
      </c>
      <c r="BH1" s="1219" t="s">
        <v>151</v>
      </c>
      <c r="BI1" s="1219" t="s">
        <v>152</v>
      </c>
      <c r="BJ1" s="1219" t="s">
        <v>153</v>
      </c>
      <c r="BK1" s="1219" t="s">
        <v>154</v>
      </c>
      <c r="BL1" s="1218" t="s">
        <v>155</v>
      </c>
      <c r="BM1" s="1218" t="s">
        <v>156</v>
      </c>
      <c r="BN1" s="1218" t="s">
        <v>157</v>
      </c>
      <c r="BO1" s="1218" t="s">
        <v>149</v>
      </c>
      <c r="BP1" s="1218" t="s">
        <v>158</v>
      </c>
      <c r="BQ1" s="1217" t="s">
        <v>159</v>
      </c>
      <c r="BR1" s="569"/>
      <c r="BS1" s="1213" t="s">
        <v>160</v>
      </c>
      <c r="BT1" s="1213" t="s">
        <v>111</v>
      </c>
      <c r="BU1" s="1213" t="s">
        <v>161</v>
      </c>
      <c r="BV1" s="1213" t="s">
        <v>162</v>
      </c>
      <c r="BW1" s="1213" t="s">
        <v>120</v>
      </c>
      <c r="BX1" s="1213" t="s">
        <v>163</v>
      </c>
      <c r="BY1" s="1215" t="s">
        <v>164</v>
      </c>
      <c r="BZ1" s="1215" t="s">
        <v>165</v>
      </c>
      <c r="CA1" s="1215" t="s">
        <v>166</v>
      </c>
    </row>
    <row r="2" spans="1:79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36"/>
      <c r="S2" s="403"/>
      <c r="T2" s="404" t="s">
        <v>167</v>
      </c>
      <c r="U2" s="404" t="s">
        <v>168</v>
      </c>
      <c r="V2" s="405" t="s">
        <v>169</v>
      </c>
      <c r="W2" s="404" t="s">
        <v>170</v>
      </c>
      <c r="X2" s="404" t="s">
        <v>171</v>
      </c>
      <c r="Y2" s="406" t="s">
        <v>172</v>
      </c>
      <c r="Z2" s="406" t="s">
        <v>173</v>
      </c>
      <c r="AA2" s="404" t="s">
        <v>174</v>
      </c>
      <c r="AB2" s="404" t="s">
        <v>139</v>
      </c>
      <c r="AC2" s="405" t="s">
        <v>175</v>
      </c>
      <c r="AD2" s="405" t="s">
        <v>176</v>
      </c>
      <c r="AE2" s="405" t="s">
        <v>177</v>
      </c>
      <c r="AF2" s="405" t="s">
        <v>178</v>
      </c>
      <c r="AG2" s="405" t="s">
        <v>179</v>
      </c>
      <c r="AH2" s="404" t="s">
        <v>81</v>
      </c>
      <c r="AI2" s="404" t="s">
        <v>180</v>
      </c>
      <c r="AJ2" s="404" t="s">
        <v>181</v>
      </c>
      <c r="AK2" s="404" t="s">
        <v>76</v>
      </c>
      <c r="AL2" s="404" t="s">
        <v>84</v>
      </c>
      <c r="AM2" s="404" t="s">
        <v>88</v>
      </c>
      <c r="AN2" s="404" t="s">
        <v>78</v>
      </c>
      <c r="AO2" s="404" t="s">
        <v>80</v>
      </c>
      <c r="AP2" s="404" t="s">
        <v>86</v>
      </c>
      <c r="AQ2" s="404" t="s">
        <v>82</v>
      </c>
      <c r="AR2" s="404" t="s">
        <v>182</v>
      </c>
      <c r="AS2" s="404" t="s">
        <v>183</v>
      </c>
      <c r="AT2" s="404" t="s">
        <v>184</v>
      </c>
      <c r="AU2" s="404" t="s">
        <v>100</v>
      </c>
      <c r="AV2" s="404" t="s">
        <v>913</v>
      </c>
      <c r="AW2" s="1218"/>
      <c r="AX2" s="1218"/>
      <c r="AY2" s="1227"/>
      <c r="AZ2" s="1229"/>
      <c r="BA2" s="1229"/>
      <c r="BB2" s="1219"/>
      <c r="BC2" s="1218"/>
      <c r="BD2" s="1218"/>
      <c r="BE2" s="1218"/>
      <c r="BF2" s="1218"/>
      <c r="BG2" s="1219"/>
      <c r="BH2" s="1219"/>
      <c r="BI2" s="1219"/>
      <c r="BJ2" s="1219"/>
      <c r="BK2" s="1219"/>
      <c r="BL2" s="1218"/>
      <c r="BM2" s="1218"/>
      <c r="BN2" s="1218"/>
      <c r="BO2" s="1218"/>
      <c r="BP2" s="1218"/>
      <c r="BQ2" s="1217"/>
      <c r="BR2" s="250"/>
      <c r="BS2" s="1214"/>
      <c r="BT2" s="1214"/>
      <c r="BU2" s="1214"/>
      <c r="BV2" s="1214"/>
      <c r="BW2" s="1214"/>
      <c r="BX2" s="1214"/>
      <c r="BY2" s="1216"/>
      <c r="BZ2" s="1216"/>
      <c r="CA2" s="1216"/>
    </row>
    <row r="3" spans="1:79" s="126" customFormat="1">
      <c r="A3" s="208" t="s">
        <v>1178</v>
      </c>
      <c r="E3" s="167" t="s">
        <v>186</v>
      </c>
      <c r="F3" s="167" t="s">
        <v>187</v>
      </c>
      <c r="G3" s="166"/>
      <c r="H3" s="166"/>
      <c r="I3" s="181"/>
      <c r="M3" s="167"/>
      <c r="Q3" s="181"/>
      <c r="R3" s="181"/>
      <c r="S3" s="181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6"/>
      <c r="BK3" s="165"/>
      <c r="BL3" s="165"/>
      <c r="BM3" s="165"/>
      <c r="BN3" s="165"/>
      <c r="BO3" s="165"/>
      <c r="BP3" s="165"/>
      <c r="BS3" s="165"/>
      <c r="BT3" s="165"/>
      <c r="BU3" s="165"/>
      <c r="BV3" s="165"/>
      <c r="BW3" s="165"/>
      <c r="BX3" s="165"/>
      <c r="BY3" s="165"/>
      <c r="BZ3" s="165"/>
    </row>
    <row r="4" spans="1:79" s="126" customFormat="1">
      <c r="A4" s="192">
        <f t="shared" ref="A4:A10" si="0">BC4</f>
        <v>45019.375</v>
      </c>
      <c r="B4" s="126" t="s">
        <v>188</v>
      </c>
      <c r="C4" s="126" t="s">
        <v>88</v>
      </c>
      <c r="D4" s="126" t="s">
        <v>189</v>
      </c>
      <c r="E4" s="65" t="s">
        <v>1179</v>
      </c>
      <c r="G4" s="165">
        <v>45033.495833333334</v>
      </c>
      <c r="H4" s="165">
        <v>45033.495833333334</v>
      </c>
      <c r="I4" s="65" t="s">
        <v>191</v>
      </c>
      <c r="J4" s="126" t="s">
        <v>192</v>
      </c>
      <c r="K4" s="126" t="s">
        <v>192</v>
      </c>
      <c r="L4" s="126" t="s">
        <v>1180</v>
      </c>
      <c r="M4" s="167"/>
      <c r="N4" s="126" t="s">
        <v>1181</v>
      </c>
      <c r="O4" s="126" t="s">
        <v>1182</v>
      </c>
      <c r="P4" s="126" t="s">
        <v>88</v>
      </c>
      <c r="Q4" s="181">
        <v>5000</v>
      </c>
      <c r="R4" s="181">
        <v>5009.3639999999996</v>
      </c>
      <c r="S4" s="181"/>
      <c r="AM4" s="181">
        <f>R4</f>
        <v>5009.3639999999996</v>
      </c>
      <c r="AW4" s="165">
        <f t="shared" ref="AW4:AW67" si="1">AZ4</f>
        <v>45019.243055555555</v>
      </c>
      <c r="AX4" s="165">
        <f t="shared" ref="AX4:AX67" si="2">BP4</f>
        <v>45038.961805555555</v>
      </c>
      <c r="AY4" s="137">
        <f t="shared" ref="AY4:AY67" si="3">AX4-AW4</f>
        <v>19.71875</v>
      </c>
      <c r="AZ4" s="165">
        <v>45019.243055555555</v>
      </c>
      <c r="BA4" s="165">
        <v>45019.243055555555</v>
      </c>
      <c r="BB4" s="165">
        <v>45019.243055555555</v>
      </c>
      <c r="BC4" s="165">
        <v>45019.375</v>
      </c>
      <c r="BD4" s="165">
        <v>45019.916666666664</v>
      </c>
      <c r="BE4" s="165">
        <v>45019.916666666664</v>
      </c>
      <c r="BF4" s="165">
        <v>45019.916666666664</v>
      </c>
      <c r="BG4" s="165">
        <v>45019.916666666664</v>
      </c>
      <c r="BH4" s="166" t="s">
        <v>196</v>
      </c>
      <c r="BI4" s="166" t="s">
        <v>196</v>
      </c>
      <c r="BJ4" s="166" t="s">
        <v>196</v>
      </c>
      <c r="BK4" s="165">
        <v>45024.895833333336</v>
      </c>
      <c r="BL4" s="165">
        <v>45038.708333333336</v>
      </c>
      <c r="BM4" s="165">
        <v>45038.940972222219</v>
      </c>
      <c r="BN4" s="165">
        <v>45038.958333333336</v>
      </c>
      <c r="BO4" s="165">
        <v>45038.961805555555</v>
      </c>
      <c r="BP4" s="165">
        <v>45038.961805555555</v>
      </c>
      <c r="BS4" s="136">
        <f t="shared" ref="BS4:BS67" si="4">(BB4-BA4)*24</f>
        <v>0</v>
      </c>
      <c r="BT4" s="136">
        <f t="shared" ref="BT4:BT67" si="5">(BD4-BC4)*24</f>
        <v>12.999999999941792</v>
      </c>
      <c r="BU4" s="136">
        <f t="shared" ref="BU4:BU67" si="6">(BG4-BF4)*24</f>
        <v>0</v>
      </c>
      <c r="BV4" s="136">
        <f>(BK4-BG4)*24</f>
        <v>119.50000000011642</v>
      </c>
      <c r="BW4" s="135">
        <f t="shared" ref="BW4:BW67" si="7">(BM4-BL4)*24</f>
        <v>5.5833333331975155</v>
      </c>
      <c r="BX4" s="135">
        <f t="shared" ref="BX4:BX67" si="8">(BP4-BO4)*24</f>
        <v>0</v>
      </c>
      <c r="BY4" s="134">
        <f t="shared" ref="BY4:BY67" si="9">SUM(BS4:BX4)/24</f>
        <v>5.7534722222189885</v>
      </c>
      <c r="BZ4" s="134">
        <f t="shared" ref="BZ4:BZ67" si="10">AY4</f>
        <v>19.71875</v>
      </c>
      <c r="CA4" s="133">
        <f t="shared" ref="CA4:CA67" si="11">BY4/BZ4</f>
        <v>0.29177672125357784</v>
      </c>
    </row>
    <row r="5" spans="1:79" s="126" customFormat="1">
      <c r="A5" s="192">
        <f t="shared" si="0"/>
        <v>45016.982638888891</v>
      </c>
      <c r="B5" s="126" t="s">
        <v>188</v>
      </c>
      <c r="C5" s="126" t="s">
        <v>78</v>
      </c>
      <c r="D5" s="126" t="s">
        <v>197</v>
      </c>
      <c r="E5" s="126" t="s">
        <v>1045</v>
      </c>
      <c r="G5" s="73">
        <v>45019.958333333336</v>
      </c>
      <c r="H5" s="73">
        <v>45019.958333333336</v>
      </c>
      <c r="I5" s="126" t="s">
        <v>199</v>
      </c>
      <c r="J5" s="126" t="s">
        <v>192</v>
      </c>
      <c r="K5" s="126" t="s">
        <v>192</v>
      </c>
      <c r="L5" s="126" t="s">
        <v>1183</v>
      </c>
      <c r="M5" s="167"/>
      <c r="N5" s="126" t="s">
        <v>267</v>
      </c>
      <c r="O5" s="126" t="s">
        <v>268</v>
      </c>
      <c r="P5" s="126" t="s">
        <v>78</v>
      </c>
      <c r="Q5" s="181">
        <f>3142*2.4</f>
        <v>7540.7999999999993</v>
      </c>
      <c r="R5" s="181">
        <v>7500</v>
      </c>
      <c r="S5" s="181"/>
      <c r="AN5" s="181">
        <f t="shared" ref="AN5:AN10" si="12">R5</f>
        <v>7500</v>
      </c>
      <c r="AW5" s="165">
        <f t="shared" si="1"/>
        <v>45013.666666666664</v>
      </c>
      <c r="AX5" s="165">
        <f t="shared" si="2"/>
        <v>45025.423611111109</v>
      </c>
      <c r="AY5" s="137">
        <f t="shared" si="3"/>
        <v>11.756944444445253</v>
      </c>
      <c r="AZ5" s="165">
        <v>45013.666666666664</v>
      </c>
      <c r="BA5" s="165">
        <v>45016.847222222219</v>
      </c>
      <c r="BB5" s="165">
        <v>45016.916666666664</v>
      </c>
      <c r="BC5" s="165">
        <v>45016.982638888891</v>
      </c>
      <c r="BD5" s="165">
        <v>45017.621527777781</v>
      </c>
      <c r="BE5" s="165">
        <v>45017.635416666664</v>
      </c>
      <c r="BF5" s="165">
        <v>45017.635416666664</v>
      </c>
      <c r="BG5" s="165">
        <f t="shared" ref="BG5:BG10" si="13">BF5+(5/24)</f>
        <v>45017.84375</v>
      </c>
      <c r="BH5" s="165">
        <v>45018.541666608799</v>
      </c>
      <c r="BI5" s="165">
        <v>45018.708333275463</v>
      </c>
      <c r="BJ5" s="165">
        <v>45018.625</v>
      </c>
      <c r="BK5" s="165">
        <v>45020.708333333336</v>
      </c>
      <c r="BL5" s="165">
        <v>45023.979166666664</v>
      </c>
      <c r="BM5" s="165">
        <v>45025.034722222219</v>
      </c>
      <c r="BN5" s="165">
        <v>45025.065972222219</v>
      </c>
      <c r="BO5" s="165">
        <v>45025.069444444445</v>
      </c>
      <c r="BP5" s="165">
        <v>45025.423611111109</v>
      </c>
      <c r="BS5" s="136">
        <f t="shared" si="4"/>
        <v>1.6666666666860692</v>
      </c>
      <c r="BT5" s="136">
        <f t="shared" si="5"/>
        <v>15.333333333372138</v>
      </c>
      <c r="BU5" s="136">
        <f t="shared" si="6"/>
        <v>5.0000000000582077</v>
      </c>
      <c r="BV5" s="136">
        <f t="shared" ref="BV5:BV68" si="14">(BK5-BI5)*24</f>
        <v>48.000001388951205</v>
      </c>
      <c r="BW5" s="135">
        <f t="shared" si="7"/>
        <v>25.333333333313931</v>
      </c>
      <c r="BX5" s="135">
        <f t="shared" si="8"/>
        <v>8.4999999999417923</v>
      </c>
      <c r="BY5" s="134">
        <f t="shared" si="9"/>
        <v>4.3263889467634726</v>
      </c>
      <c r="BZ5" s="134">
        <f t="shared" si="10"/>
        <v>11.756944444445253</v>
      </c>
      <c r="CA5" s="133">
        <f t="shared" si="11"/>
        <v>0.36798582890366049</v>
      </c>
    </row>
    <row r="6" spans="1:79" s="126" customFormat="1">
      <c r="A6" s="192">
        <f t="shared" si="0"/>
        <v>45028.875</v>
      </c>
      <c r="B6" s="126" t="s">
        <v>188</v>
      </c>
      <c r="C6" s="126" t="s">
        <v>78</v>
      </c>
      <c r="D6" s="126" t="s">
        <v>197</v>
      </c>
      <c r="E6" s="65" t="s">
        <v>1184</v>
      </c>
      <c r="G6" s="73">
        <v>45026.083333333336</v>
      </c>
      <c r="H6" s="73">
        <v>45026.107638888891</v>
      </c>
      <c r="I6" s="126" t="s">
        <v>211</v>
      </c>
      <c r="J6" s="126" t="s">
        <v>192</v>
      </c>
      <c r="K6" s="126" t="s">
        <v>192</v>
      </c>
      <c r="L6" s="126" t="s">
        <v>1185</v>
      </c>
      <c r="M6" s="167"/>
      <c r="N6" s="126" t="s">
        <v>686</v>
      </c>
      <c r="O6" s="126" t="s">
        <v>1186</v>
      </c>
      <c r="P6" s="126" t="s">
        <v>78</v>
      </c>
      <c r="Q6" s="181">
        <f>3136*2.4</f>
        <v>7526.4</v>
      </c>
      <c r="R6" s="181">
        <v>7500</v>
      </c>
      <c r="S6" s="181"/>
      <c r="AN6" s="181">
        <f t="shared" si="12"/>
        <v>7500</v>
      </c>
      <c r="AW6" s="165">
        <f t="shared" si="1"/>
        <v>45024.770833333336</v>
      </c>
      <c r="AX6" s="165">
        <f t="shared" si="2"/>
        <v>45032.697916666664</v>
      </c>
      <c r="AY6" s="137">
        <f t="shared" si="3"/>
        <v>7.9270833333284827</v>
      </c>
      <c r="AZ6" s="165">
        <v>45024.770833333336</v>
      </c>
      <c r="BA6" s="165">
        <v>44661.565972222219</v>
      </c>
      <c r="BB6" s="165">
        <v>44661.614583333336</v>
      </c>
      <c r="BC6" s="165">
        <v>45028.875</v>
      </c>
      <c r="BD6" s="165">
        <v>45029.215277777781</v>
      </c>
      <c r="BE6" s="165">
        <v>45029.246527777781</v>
      </c>
      <c r="BF6" s="165">
        <v>45029.246527777781</v>
      </c>
      <c r="BG6" s="165">
        <f t="shared" si="13"/>
        <v>45029.454861111117</v>
      </c>
      <c r="BH6" s="165">
        <v>45030.25</v>
      </c>
      <c r="BI6" s="165">
        <v>45030.416666666664</v>
      </c>
      <c r="BJ6" s="165">
        <v>45030.333333333336</v>
      </c>
      <c r="BK6" s="165">
        <v>45031.583333333336</v>
      </c>
      <c r="BL6" s="165">
        <v>45032.097222222219</v>
      </c>
      <c r="BM6" s="165">
        <v>45032.284722222219</v>
      </c>
      <c r="BN6" s="165">
        <v>45032.305555555555</v>
      </c>
      <c r="BO6" s="165">
        <v>45032.305555555555</v>
      </c>
      <c r="BP6" s="165">
        <v>45032.697916666664</v>
      </c>
      <c r="BS6" s="136">
        <f t="shared" si="4"/>
        <v>1.1666666668024845</v>
      </c>
      <c r="BT6" s="136">
        <f t="shared" si="5"/>
        <v>8.1666666667442769</v>
      </c>
      <c r="BU6" s="136">
        <f t="shared" si="6"/>
        <v>5.0000000000582077</v>
      </c>
      <c r="BV6" s="136">
        <f t="shared" si="14"/>
        <v>28.000000000116415</v>
      </c>
      <c r="BW6" s="135">
        <f t="shared" si="7"/>
        <v>4.5</v>
      </c>
      <c r="BX6" s="135">
        <f t="shared" si="8"/>
        <v>9.4166666666278616</v>
      </c>
      <c r="BY6" s="134">
        <f t="shared" si="9"/>
        <v>2.3437500000145519</v>
      </c>
      <c r="BZ6" s="134">
        <f t="shared" si="10"/>
        <v>7.9270833333284827</v>
      </c>
      <c r="CA6" s="133">
        <f t="shared" si="11"/>
        <v>0.29566360052764085</v>
      </c>
    </row>
    <row r="7" spans="1:79" s="126" customFormat="1">
      <c r="A7" s="192">
        <f t="shared" si="0"/>
        <v>45030.461805555555</v>
      </c>
      <c r="B7" s="126" t="s">
        <v>188</v>
      </c>
      <c r="C7" s="126" t="s">
        <v>78</v>
      </c>
      <c r="D7" s="126" t="s">
        <v>197</v>
      </c>
      <c r="E7" s="65" t="s">
        <v>1184</v>
      </c>
      <c r="G7" s="73">
        <v>45026.083333333336</v>
      </c>
      <c r="H7" s="73">
        <v>45026.107638888891</v>
      </c>
      <c r="I7" s="126" t="s">
        <v>211</v>
      </c>
      <c r="J7" s="126" t="s">
        <v>192</v>
      </c>
      <c r="K7" s="126" t="s">
        <v>192</v>
      </c>
      <c r="L7" s="126" t="s">
        <v>1187</v>
      </c>
      <c r="M7" s="167"/>
      <c r="N7" s="126" t="s">
        <v>330</v>
      </c>
      <c r="O7" s="126" t="s">
        <v>331</v>
      </c>
      <c r="P7" s="126" t="s">
        <v>78</v>
      </c>
      <c r="Q7" s="181">
        <f>3136*2.4</f>
        <v>7526.4</v>
      </c>
      <c r="R7" s="181">
        <v>7500</v>
      </c>
      <c r="S7" s="181"/>
      <c r="AN7" s="181">
        <f t="shared" si="12"/>
        <v>7500</v>
      </c>
      <c r="AW7" s="165">
        <f t="shared" si="1"/>
        <v>45025.75</v>
      </c>
      <c r="AX7" s="165">
        <f t="shared" si="2"/>
        <v>45034.666666666664</v>
      </c>
      <c r="AY7" s="137">
        <f t="shared" si="3"/>
        <v>8.9166666666642413</v>
      </c>
      <c r="AZ7" s="165">
        <v>45025.75</v>
      </c>
      <c r="BA7" s="165">
        <v>45027.586111111108</v>
      </c>
      <c r="BB7" s="165">
        <v>45027.666666666664</v>
      </c>
      <c r="BC7" s="165">
        <v>45030.461805555555</v>
      </c>
      <c r="BD7" s="165">
        <v>45030.996527777781</v>
      </c>
      <c r="BE7" s="165">
        <v>45031.038194444445</v>
      </c>
      <c r="BF7" s="165">
        <v>45031.038194444445</v>
      </c>
      <c r="BG7" s="165">
        <f t="shared" si="13"/>
        <v>45031.246527777781</v>
      </c>
      <c r="BH7" s="165">
        <v>45032.541666608799</v>
      </c>
      <c r="BI7" s="165">
        <v>45032.708333275463</v>
      </c>
      <c r="BJ7" s="165">
        <v>45032.579861111109</v>
      </c>
      <c r="BK7" s="165">
        <v>45033.916666666664</v>
      </c>
      <c r="BL7" s="165">
        <v>45033.993055555555</v>
      </c>
      <c r="BM7" s="165">
        <v>45034.25</v>
      </c>
      <c r="BN7" s="165">
        <v>45034.270833333336</v>
      </c>
      <c r="BO7" s="165">
        <v>45034.270833333336</v>
      </c>
      <c r="BP7" s="165">
        <v>45034.666666666664</v>
      </c>
      <c r="BS7" s="136">
        <f t="shared" si="4"/>
        <v>1.9333333333488554</v>
      </c>
      <c r="BT7" s="136">
        <f t="shared" si="5"/>
        <v>12.833333333430346</v>
      </c>
      <c r="BU7" s="136">
        <f t="shared" si="6"/>
        <v>5.0000000000582077</v>
      </c>
      <c r="BV7" s="136">
        <f t="shared" si="14"/>
        <v>29.000001388834789</v>
      </c>
      <c r="BW7" s="135">
        <f t="shared" si="7"/>
        <v>6.1666666666860692</v>
      </c>
      <c r="BX7" s="135">
        <f t="shared" si="8"/>
        <v>9.4999999998835847</v>
      </c>
      <c r="BY7" s="134">
        <f t="shared" si="9"/>
        <v>2.6847222800934105</v>
      </c>
      <c r="BZ7" s="134">
        <f t="shared" si="10"/>
        <v>8.9166666666642413</v>
      </c>
      <c r="CA7" s="133">
        <f t="shared" si="11"/>
        <v>0.30109034916943633</v>
      </c>
    </row>
    <row r="8" spans="1:79" s="126" customFormat="1">
      <c r="A8" s="192">
        <f t="shared" si="0"/>
        <v>45029.361111111109</v>
      </c>
      <c r="B8" s="126" t="s">
        <v>188</v>
      </c>
      <c r="C8" s="126" t="s">
        <v>78</v>
      </c>
      <c r="D8" s="126" t="s">
        <v>197</v>
      </c>
      <c r="E8" s="65" t="s">
        <v>1184</v>
      </c>
      <c r="G8" s="73">
        <v>45026.083333333336</v>
      </c>
      <c r="H8" s="73">
        <v>45026.107638888891</v>
      </c>
      <c r="I8" s="126" t="s">
        <v>211</v>
      </c>
      <c r="J8" s="126" t="s">
        <v>192</v>
      </c>
      <c r="K8" s="126" t="s">
        <v>192</v>
      </c>
      <c r="L8" s="126" t="s">
        <v>1188</v>
      </c>
      <c r="M8" s="167"/>
      <c r="N8" s="126" t="s">
        <v>201</v>
      </c>
      <c r="O8" s="126" t="s">
        <v>202</v>
      </c>
      <c r="P8" s="126" t="s">
        <v>78</v>
      </c>
      <c r="Q8" s="181">
        <f>3141*2.4</f>
        <v>7538.4</v>
      </c>
      <c r="R8" s="181">
        <v>7500</v>
      </c>
      <c r="S8" s="181"/>
      <c r="AN8" s="181">
        <f t="shared" si="12"/>
        <v>7500</v>
      </c>
      <c r="AW8" s="165">
        <f t="shared" si="1"/>
        <v>45025.852777777778</v>
      </c>
      <c r="AX8" s="165">
        <f t="shared" si="2"/>
        <v>45032.982638888891</v>
      </c>
      <c r="AY8" s="137">
        <f t="shared" si="3"/>
        <v>7.1298611111124046</v>
      </c>
      <c r="AZ8" s="165">
        <v>45025.852777777778</v>
      </c>
      <c r="BA8" s="165">
        <v>45027.572916666664</v>
      </c>
      <c r="BB8" s="165">
        <v>45027.614583333336</v>
      </c>
      <c r="BC8" s="165">
        <v>45029.361111111109</v>
      </c>
      <c r="BD8" s="165">
        <v>45029.868055555555</v>
      </c>
      <c r="BE8" s="165">
        <v>45029.892361111109</v>
      </c>
      <c r="BF8" s="165">
        <v>45029.892361111109</v>
      </c>
      <c r="BG8" s="165">
        <f t="shared" si="13"/>
        <v>45030.100694444445</v>
      </c>
      <c r="BH8" s="165">
        <v>45030.25</v>
      </c>
      <c r="BI8" s="165">
        <v>45030.416666666664</v>
      </c>
      <c r="BJ8" s="165">
        <v>45030.420138888891</v>
      </c>
      <c r="BK8" s="165">
        <v>45031.854166666664</v>
      </c>
      <c r="BL8" s="165">
        <v>45032.347222222219</v>
      </c>
      <c r="BM8" s="165">
        <v>45032.5625</v>
      </c>
      <c r="BN8" s="165">
        <v>45032.583333333336</v>
      </c>
      <c r="BO8" s="165">
        <v>45032.583333333336</v>
      </c>
      <c r="BP8" s="165">
        <v>45032.982638888891</v>
      </c>
      <c r="BS8" s="136">
        <f t="shared" si="4"/>
        <v>1.0000000001164153</v>
      </c>
      <c r="BT8" s="136">
        <f t="shared" si="5"/>
        <v>12.166666666686069</v>
      </c>
      <c r="BU8" s="136">
        <f t="shared" si="6"/>
        <v>5.0000000000582077</v>
      </c>
      <c r="BV8" s="136">
        <f t="shared" si="14"/>
        <v>34.5</v>
      </c>
      <c r="BW8" s="135">
        <f t="shared" si="7"/>
        <v>5.1666666667442769</v>
      </c>
      <c r="BX8" s="135">
        <f t="shared" si="8"/>
        <v>9.5833333333139308</v>
      </c>
      <c r="BY8" s="134">
        <f t="shared" si="9"/>
        <v>2.8090277777882875</v>
      </c>
      <c r="BZ8" s="134">
        <f t="shared" si="10"/>
        <v>7.1298611111124046</v>
      </c>
      <c r="CA8" s="133">
        <f t="shared" si="11"/>
        <v>0.39398071491325609</v>
      </c>
    </row>
    <row r="9" spans="1:79" s="126" customFormat="1">
      <c r="A9" s="192">
        <f t="shared" si="0"/>
        <v>45032.177083333336</v>
      </c>
      <c r="B9" s="126" t="s">
        <v>188</v>
      </c>
      <c r="C9" s="126" t="s">
        <v>78</v>
      </c>
      <c r="D9" s="126" t="s">
        <v>197</v>
      </c>
      <c r="E9" s="65" t="s">
        <v>1189</v>
      </c>
      <c r="G9" s="73">
        <v>45029.4375</v>
      </c>
      <c r="H9" s="73">
        <v>45029.415972222225</v>
      </c>
      <c r="I9" s="126" t="s">
        <v>211</v>
      </c>
      <c r="J9" s="126" t="s">
        <v>192</v>
      </c>
      <c r="K9" s="126" t="s">
        <v>192</v>
      </c>
      <c r="L9" s="126" t="s">
        <v>1190</v>
      </c>
      <c r="M9" s="167"/>
      <c r="N9" s="126" t="s">
        <v>70</v>
      </c>
      <c r="O9" s="126" t="s">
        <v>255</v>
      </c>
      <c r="P9" s="126" t="s">
        <v>78</v>
      </c>
      <c r="Q9" s="181">
        <f>3047*2.4</f>
        <v>7312.8</v>
      </c>
      <c r="R9" s="181">
        <v>7500</v>
      </c>
      <c r="S9" s="181"/>
      <c r="AN9" s="181">
        <f t="shared" si="12"/>
        <v>7500</v>
      </c>
      <c r="AW9" s="165">
        <f t="shared" si="1"/>
        <v>45029.420138888891</v>
      </c>
      <c r="AX9" s="165">
        <f t="shared" si="2"/>
        <v>45035.27847222222</v>
      </c>
      <c r="AY9" s="137">
        <f t="shared" si="3"/>
        <v>5.8583333333299379</v>
      </c>
      <c r="AZ9" s="165">
        <v>45029.420138888891</v>
      </c>
      <c r="BA9" s="165">
        <v>45030.5625</v>
      </c>
      <c r="BB9" s="165">
        <v>45030.604166666664</v>
      </c>
      <c r="BC9" s="165">
        <v>45032.177083333336</v>
      </c>
      <c r="BD9" s="165">
        <v>45032.638888888891</v>
      </c>
      <c r="BE9" s="165">
        <v>45032.642361111109</v>
      </c>
      <c r="BF9" s="165">
        <v>45032.642361111109</v>
      </c>
      <c r="BG9" s="165">
        <f t="shared" si="13"/>
        <v>45032.850694444445</v>
      </c>
      <c r="BH9" s="165">
        <v>45032.541666608799</v>
      </c>
      <c r="BI9" s="165">
        <v>45032.708333275463</v>
      </c>
      <c r="BJ9" s="165">
        <v>45032.743055555555</v>
      </c>
      <c r="BK9" s="165">
        <v>45034.170138888891</v>
      </c>
      <c r="BL9" s="165">
        <v>45034.270833333336</v>
      </c>
      <c r="BM9" s="165">
        <v>45034.847222222219</v>
      </c>
      <c r="BN9" s="165">
        <v>45034.861111111109</v>
      </c>
      <c r="BO9" s="165">
        <v>45035.069444444445</v>
      </c>
      <c r="BP9" s="165">
        <v>45035.27847222222</v>
      </c>
      <c r="BS9" s="136">
        <f t="shared" si="4"/>
        <v>0.99999999994179234</v>
      </c>
      <c r="BT9" s="136">
        <f t="shared" si="5"/>
        <v>11.083333333313931</v>
      </c>
      <c r="BU9" s="136">
        <f t="shared" si="6"/>
        <v>5.0000000000582077</v>
      </c>
      <c r="BV9" s="136">
        <f t="shared" si="14"/>
        <v>35.083334722265135</v>
      </c>
      <c r="BW9" s="135">
        <f t="shared" si="7"/>
        <v>13.833333333197515</v>
      </c>
      <c r="BX9" s="135">
        <f t="shared" si="8"/>
        <v>5.0166666666045785</v>
      </c>
      <c r="BY9" s="134">
        <f t="shared" si="9"/>
        <v>2.9590278356408817</v>
      </c>
      <c r="BZ9" s="134">
        <f t="shared" si="10"/>
        <v>5.8583333333299379</v>
      </c>
      <c r="CA9" s="133">
        <f t="shared" si="11"/>
        <v>0.50509721234297522</v>
      </c>
    </row>
    <row r="10" spans="1:79" s="126" customFormat="1">
      <c r="A10" s="192">
        <f t="shared" si="0"/>
        <v>45033.315972222219</v>
      </c>
      <c r="B10" s="126" t="s">
        <v>188</v>
      </c>
      <c r="C10" s="126" t="s">
        <v>78</v>
      </c>
      <c r="D10" s="126" t="s">
        <v>197</v>
      </c>
      <c r="E10" s="65" t="s">
        <v>971</v>
      </c>
      <c r="G10" s="165">
        <v>45038.35833333333</v>
      </c>
      <c r="H10" s="165">
        <v>45038.35833333333</v>
      </c>
      <c r="I10" s="126" t="s">
        <v>199</v>
      </c>
      <c r="J10" s="126" t="s">
        <v>192</v>
      </c>
      <c r="K10" s="126" t="s">
        <v>192</v>
      </c>
      <c r="L10" s="126" t="s">
        <v>1191</v>
      </c>
      <c r="M10" s="167"/>
      <c r="N10" s="126" t="s">
        <v>208</v>
      </c>
      <c r="O10" s="126" t="s">
        <v>328</v>
      </c>
      <c r="P10" s="126" t="s">
        <v>78</v>
      </c>
      <c r="Q10" s="181">
        <f>3128*2.4</f>
        <v>7507.2</v>
      </c>
      <c r="R10" s="181">
        <v>7500</v>
      </c>
      <c r="S10" s="181"/>
      <c r="AN10" s="181">
        <f t="shared" si="12"/>
        <v>7500</v>
      </c>
      <c r="AW10" s="165">
        <f t="shared" si="1"/>
        <v>45029.423611111109</v>
      </c>
      <c r="AX10" s="165">
        <f t="shared" si="2"/>
        <v>45041.875</v>
      </c>
      <c r="AY10" s="137">
        <f t="shared" si="3"/>
        <v>12.451388888890506</v>
      </c>
      <c r="AZ10" s="165">
        <v>45029.423611111109</v>
      </c>
      <c r="BA10" s="165">
        <v>45030.597222222219</v>
      </c>
      <c r="BB10" s="165">
        <v>45030.607638888891</v>
      </c>
      <c r="BC10" s="165">
        <v>45033.315972222219</v>
      </c>
      <c r="BD10" s="165">
        <v>45033.854166666664</v>
      </c>
      <c r="BE10" s="165">
        <v>45033.888888888891</v>
      </c>
      <c r="BF10" s="165">
        <v>45033.888888888891</v>
      </c>
      <c r="BG10" s="165">
        <f t="shared" si="13"/>
        <v>45034.097222222226</v>
      </c>
      <c r="BH10" s="165">
        <v>45034.583333333336</v>
      </c>
      <c r="BI10" s="165">
        <v>45034.75</v>
      </c>
      <c r="BJ10" s="165">
        <v>45034.736111111109</v>
      </c>
      <c r="BK10" s="165">
        <v>45036.34375</v>
      </c>
      <c r="BL10" s="165">
        <v>45041.229166666664</v>
      </c>
      <c r="BM10" s="165">
        <v>45041.475694444445</v>
      </c>
      <c r="BN10" s="165">
        <v>45041.489583333336</v>
      </c>
      <c r="BO10" s="165">
        <v>45041.493055555555</v>
      </c>
      <c r="BP10" s="165">
        <v>45041.875</v>
      </c>
      <c r="BS10" s="136">
        <f t="shared" si="4"/>
        <v>0.25000000011641532</v>
      </c>
      <c r="BT10" s="136">
        <f t="shared" si="5"/>
        <v>12.916666666686069</v>
      </c>
      <c r="BU10" s="136">
        <f t="shared" si="6"/>
        <v>5.0000000000582077</v>
      </c>
      <c r="BV10" s="136">
        <f t="shared" si="14"/>
        <v>38.25</v>
      </c>
      <c r="BW10" s="135">
        <f t="shared" si="7"/>
        <v>5.9166666667442769</v>
      </c>
      <c r="BX10" s="135">
        <f t="shared" si="8"/>
        <v>9.1666666666860692</v>
      </c>
      <c r="BY10" s="134">
        <f t="shared" si="9"/>
        <v>2.9791666666787933</v>
      </c>
      <c r="BZ10" s="134">
        <f t="shared" si="10"/>
        <v>12.451388888890506</v>
      </c>
      <c r="CA10" s="133">
        <f t="shared" si="11"/>
        <v>0.23926380368192443</v>
      </c>
    </row>
    <row r="11" spans="1:79" s="126" customFormat="1">
      <c r="A11" s="192"/>
      <c r="D11" s="126" t="s">
        <v>197</v>
      </c>
      <c r="G11" s="165"/>
      <c r="H11" s="165"/>
      <c r="J11" s="126" t="s">
        <v>312</v>
      </c>
      <c r="L11" s="126" t="s">
        <v>1192</v>
      </c>
      <c r="M11" s="167"/>
      <c r="N11" s="126" t="s">
        <v>314</v>
      </c>
      <c r="O11" s="126" t="s">
        <v>315</v>
      </c>
      <c r="Q11" s="181">
        <f>3146*2.4</f>
        <v>7550.4</v>
      </c>
      <c r="R11" s="181"/>
      <c r="S11" s="181"/>
      <c r="AW11" s="165">
        <f t="shared" si="1"/>
        <v>45017</v>
      </c>
      <c r="AX11" s="165">
        <f t="shared" si="2"/>
        <v>45047</v>
      </c>
      <c r="AY11" s="137">
        <f t="shared" si="3"/>
        <v>30</v>
      </c>
      <c r="AZ11" s="165">
        <v>45017</v>
      </c>
      <c r="BA11" s="165"/>
      <c r="BB11" s="165"/>
      <c r="BC11" s="165"/>
      <c r="BD11" s="165"/>
      <c r="BE11" s="165"/>
      <c r="BF11" s="165"/>
      <c r="BG11" s="165"/>
      <c r="BH11" s="165"/>
      <c r="BI11" s="165"/>
      <c r="BJ11" s="166"/>
      <c r="BK11" s="165"/>
      <c r="BL11" s="165"/>
      <c r="BM11" s="165"/>
      <c r="BN11" s="165"/>
      <c r="BO11" s="165"/>
      <c r="BP11" s="165">
        <v>45047</v>
      </c>
      <c r="BQ11" s="126" t="s">
        <v>316</v>
      </c>
      <c r="BS11" s="136">
        <f t="shared" si="4"/>
        <v>0</v>
      </c>
      <c r="BT11" s="136">
        <f t="shared" si="5"/>
        <v>0</v>
      </c>
      <c r="BU11" s="136">
        <f t="shared" si="6"/>
        <v>0</v>
      </c>
      <c r="BV11" s="136">
        <f t="shared" si="14"/>
        <v>0</v>
      </c>
      <c r="BW11" s="135">
        <f t="shared" si="7"/>
        <v>0</v>
      </c>
      <c r="BX11" s="135">
        <f t="shared" si="8"/>
        <v>1081128</v>
      </c>
      <c r="BY11" s="134">
        <f t="shared" si="9"/>
        <v>45047</v>
      </c>
      <c r="BZ11" s="134">
        <f t="shared" si="10"/>
        <v>30</v>
      </c>
      <c r="CA11" s="133">
        <f t="shared" si="11"/>
        <v>1501.5666666666666</v>
      </c>
    </row>
    <row r="12" spans="1:79" s="126" customFormat="1">
      <c r="A12" s="192">
        <f t="shared" ref="A12:A75" si="15">BC12</f>
        <v>45017.163194444445</v>
      </c>
      <c r="B12" s="126" t="s">
        <v>228</v>
      </c>
      <c r="C12" s="126" t="s">
        <v>229</v>
      </c>
      <c r="D12" s="126" t="s">
        <v>197</v>
      </c>
      <c r="E12" s="126" t="s">
        <v>1023</v>
      </c>
      <c r="G12" s="73">
        <v>45019.583333333336</v>
      </c>
      <c r="H12" s="73">
        <v>45019.604166666664</v>
      </c>
      <c r="I12" s="126" t="s">
        <v>243</v>
      </c>
      <c r="J12" s="126" t="s">
        <v>192</v>
      </c>
      <c r="K12" s="126" t="s">
        <v>192</v>
      </c>
      <c r="L12" s="126" t="s">
        <v>1193</v>
      </c>
      <c r="M12" s="167"/>
      <c r="N12" s="126" t="s">
        <v>429</v>
      </c>
      <c r="O12" s="126" t="s">
        <v>430</v>
      </c>
      <c r="P12" s="126" t="s">
        <v>235</v>
      </c>
      <c r="Q12" s="181">
        <f>3145 *2.4</f>
        <v>7548</v>
      </c>
      <c r="R12" s="181">
        <v>7803.1009999999997</v>
      </c>
      <c r="S12" s="181"/>
      <c r="T12" s="219"/>
      <c r="W12" s="181">
        <f>R12</f>
        <v>7803.1009999999997</v>
      </c>
      <c r="AW12" s="165">
        <f t="shared" si="1"/>
        <v>45008.635416666664</v>
      </c>
      <c r="AX12" s="165">
        <f t="shared" si="2"/>
        <v>45029.5</v>
      </c>
      <c r="AY12" s="137">
        <f t="shared" si="3"/>
        <v>20.864583333335759</v>
      </c>
      <c r="AZ12" s="165">
        <v>45008.635416666664</v>
      </c>
      <c r="BA12" s="165">
        <v>45010.642361111109</v>
      </c>
      <c r="BB12" s="165">
        <v>45012.854166666664</v>
      </c>
      <c r="BC12" s="165">
        <v>45017.163194444445</v>
      </c>
      <c r="BD12" s="165">
        <v>45017.760416666664</v>
      </c>
      <c r="BE12" s="165">
        <v>45017.763888888891</v>
      </c>
      <c r="BF12" s="165">
        <v>45017.763888888891</v>
      </c>
      <c r="BG12" s="165">
        <f t="shared" ref="BG12:BG75" si="16">BF12+(41/24)</f>
        <v>45019.472222222226</v>
      </c>
      <c r="BH12" s="165">
        <v>45019.583333333336</v>
      </c>
      <c r="BI12" s="165">
        <v>45019.75</v>
      </c>
      <c r="BJ12" s="165">
        <v>45019.600694444445</v>
      </c>
      <c r="BK12" s="165">
        <v>45021.118055555555</v>
      </c>
      <c r="BL12" s="165">
        <v>45028.517361111109</v>
      </c>
      <c r="BM12" s="165">
        <v>45028.756944444445</v>
      </c>
      <c r="BN12" s="165">
        <v>45028.795138888891</v>
      </c>
      <c r="BO12" s="165">
        <v>45029.003472222219</v>
      </c>
      <c r="BP12" s="165">
        <v>45029.5</v>
      </c>
      <c r="BS12" s="136">
        <f t="shared" si="4"/>
        <v>53.083333333313931</v>
      </c>
      <c r="BT12" s="136">
        <f t="shared" si="5"/>
        <v>14.333333333255723</v>
      </c>
      <c r="BU12" s="136">
        <f t="shared" si="6"/>
        <v>41.000000000058208</v>
      </c>
      <c r="BV12" s="136">
        <f t="shared" si="14"/>
        <v>32.833333333313931</v>
      </c>
      <c r="BW12" s="135">
        <f t="shared" si="7"/>
        <v>5.7500000000582077</v>
      </c>
      <c r="BX12" s="135">
        <f t="shared" si="8"/>
        <v>11.916666666744277</v>
      </c>
      <c r="BY12" s="134">
        <f t="shared" si="9"/>
        <v>6.6215277777810115</v>
      </c>
      <c r="BZ12" s="134">
        <f t="shared" si="10"/>
        <v>20.864583333335759</v>
      </c>
      <c r="CA12" s="133">
        <f t="shared" si="11"/>
        <v>0.31735729738737056</v>
      </c>
    </row>
    <row r="13" spans="1:79" s="126" customFormat="1">
      <c r="A13" s="192">
        <f t="shared" si="15"/>
        <v>45017.819444444445</v>
      </c>
      <c r="B13" s="126" t="s">
        <v>228</v>
      </c>
      <c r="C13" s="126" t="s">
        <v>229</v>
      </c>
      <c r="D13" s="126" t="s">
        <v>197</v>
      </c>
      <c r="E13" s="126" t="s">
        <v>1023</v>
      </c>
      <c r="G13" s="73">
        <v>45019.583333333336</v>
      </c>
      <c r="H13" s="73">
        <v>45019.604166666664</v>
      </c>
      <c r="I13" s="126" t="s">
        <v>243</v>
      </c>
      <c r="J13" s="126" t="s">
        <v>192</v>
      </c>
      <c r="K13" s="126" t="s">
        <v>192</v>
      </c>
      <c r="L13" s="126" t="s">
        <v>1194</v>
      </c>
      <c r="M13" s="167"/>
      <c r="N13" s="126" t="s">
        <v>208</v>
      </c>
      <c r="O13" s="126" t="s">
        <v>328</v>
      </c>
      <c r="P13" s="126" t="s">
        <v>235</v>
      </c>
      <c r="Q13" s="181">
        <f>3128*2.4</f>
        <v>7507.2</v>
      </c>
      <c r="R13" s="181">
        <v>7394.04</v>
      </c>
      <c r="S13" s="181"/>
      <c r="W13" s="181">
        <f>R13</f>
        <v>7394.04</v>
      </c>
      <c r="AW13" s="165">
        <f t="shared" si="1"/>
        <v>45011.795138888891</v>
      </c>
      <c r="AX13" s="165">
        <f t="shared" si="2"/>
        <v>45029.423611111109</v>
      </c>
      <c r="AY13" s="137">
        <f t="shared" si="3"/>
        <v>17.628472222218988</v>
      </c>
      <c r="AZ13" s="165">
        <v>45011.795138888891</v>
      </c>
      <c r="BA13" s="165">
        <v>45012.555555555555</v>
      </c>
      <c r="BB13" s="165">
        <v>45014.368055555555</v>
      </c>
      <c r="BC13" s="165">
        <v>45017.819444444445</v>
      </c>
      <c r="BD13" s="165">
        <v>45017.943055555559</v>
      </c>
      <c r="BE13" s="165">
        <v>45017.947916666664</v>
      </c>
      <c r="BF13" s="165">
        <v>45017.947916666664</v>
      </c>
      <c r="BG13" s="165">
        <f t="shared" si="16"/>
        <v>45019.65625</v>
      </c>
      <c r="BH13" s="165">
        <v>45019.583333333336</v>
      </c>
      <c r="BI13" s="165">
        <v>45019.75</v>
      </c>
      <c r="BJ13" s="165">
        <v>45019.618055555555</v>
      </c>
      <c r="BK13" s="165">
        <v>45020.930555555555</v>
      </c>
      <c r="BL13" s="165">
        <v>45028.180555555555</v>
      </c>
      <c r="BM13" s="165">
        <v>45028.429166666669</v>
      </c>
      <c r="BN13" s="165">
        <v>45028.444444444445</v>
      </c>
      <c r="BO13" s="165">
        <v>45029.006944444445</v>
      </c>
      <c r="BP13" s="165">
        <v>45029.423611111109</v>
      </c>
      <c r="BS13" s="136">
        <f t="shared" si="4"/>
        <v>43.5</v>
      </c>
      <c r="BT13" s="136">
        <f t="shared" si="5"/>
        <v>2.9666666667326353</v>
      </c>
      <c r="BU13" s="136">
        <f t="shared" si="6"/>
        <v>41.000000000058208</v>
      </c>
      <c r="BV13" s="136">
        <f t="shared" si="14"/>
        <v>28.333333333313931</v>
      </c>
      <c r="BW13" s="135">
        <f t="shared" si="7"/>
        <v>5.9666666667326353</v>
      </c>
      <c r="BX13" s="135">
        <f t="shared" si="8"/>
        <v>9.9999999999417923</v>
      </c>
      <c r="BY13" s="134">
        <f t="shared" si="9"/>
        <v>5.4902777777824667</v>
      </c>
      <c r="BZ13" s="134">
        <f t="shared" si="10"/>
        <v>17.628472222218988</v>
      </c>
      <c r="CA13" s="133">
        <f t="shared" si="11"/>
        <v>0.31144376600386853</v>
      </c>
    </row>
    <row r="14" spans="1:79" s="126" customFormat="1">
      <c r="A14" s="192">
        <f t="shared" si="15"/>
        <v>45017.972222222219</v>
      </c>
      <c r="B14" s="126" t="s">
        <v>228</v>
      </c>
      <c r="C14" s="126" t="s">
        <v>229</v>
      </c>
      <c r="D14" s="126" t="s">
        <v>215</v>
      </c>
      <c r="E14" s="126" t="s">
        <v>1023</v>
      </c>
      <c r="G14" s="73">
        <v>45019.583333333336</v>
      </c>
      <c r="H14" s="73">
        <v>45019.604166666664</v>
      </c>
      <c r="I14" s="126" t="s">
        <v>243</v>
      </c>
      <c r="J14" s="126" t="s">
        <v>192</v>
      </c>
      <c r="K14" s="126" t="s">
        <v>192</v>
      </c>
      <c r="L14" s="126" t="s">
        <v>1195</v>
      </c>
      <c r="M14" s="167"/>
      <c r="N14" s="126" t="s">
        <v>390</v>
      </c>
      <c r="O14" s="126" t="s">
        <v>391</v>
      </c>
      <c r="P14" s="126" t="s">
        <v>235</v>
      </c>
      <c r="Q14" s="181">
        <f>3097*2.4</f>
        <v>7432.7999999999993</v>
      </c>
      <c r="R14" s="181">
        <v>7435.4880000000003</v>
      </c>
      <c r="S14" s="181"/>
      <c r="W14" s="181">
        <f>R14</f>
        <v>7435.4880000000003</v>
      </c>
      <c r="AW14" s="165">
        <f t="shared" si="1"/>
        <v>45011.625</v>
      </c>
      <c r="AX14" s="165">
        <f t="shared" si="2"/>
        <v>45030.506944444445</v>
      </c>
      <c r="AY14" s="137">
        <f t="shared" si="3"/>
        <v>18.881944444445253</v>
      </c>
      <c r="AZ14" s="165">
        <v>45011.625</v>
      </c>
      <c r="BA14" s="165">
        <v>45012.534722222219</v>
      </c>
      <c r="BB14" s="165">
        <v>45014.552083333336</v>
      </c>
      <c r="BC14" s="165">
        <v>45017.972222222219</v>
      </c>
      <c r="BD14" s="165">
        <v>45018.100694444445</v>
      </c>
      <c r="BE14" s="165">
        <v>45018.107638888891</v>
      </c>
      <c r="BF14" s="165">
        <v>45018.25</v>
      </c>
      <c r="BG14" s="165">
        <f t="shared" si="16"/>
        <v>45019.958333333336</v>
      </c>
      <c r="BH14" s="165">
        <v>45019.583333333336</v>
      </c>
      <c r="BI14" s="165">
        <v>45019.75</v>
      </c>
      <c r="BJ14" s="165">
        <v>45019.635416666664</v>
      </c>
      <c r="BK14" s="165">
        <v>45021.125</v>
      </c>
      <c r="BL14" s="165">
        <v>45028.868055555555</v>
      </c>
      <c r="BM14" s="165">
        <v>45029.114583333336</v>
      </c>
      <c r="BN14" s="165">
        <v>45029.131944444445</v>
      </c>
      <c r="BO14" s="165">
        <v>45030.0625</v>
      </c>
      <c r="BP14" s="165">
        <v>45030.506944444445</v>
      </c>
      <c r="BS14" s="136">
        <f t="shared" si="4"/>
        <v>48.416666666802485</v>
      </c>
      <c r="BT14" s="136">
        <f t="shared" si="5"/>
        <v>3.0833333334303461</v>
      </c>
      <c r="BU14" s="136">
        <f t="shared" si="6"/>
        <v>41.000000000058208</v>
      </c>
      <c r="BV14" s="136">
        <f t="shared" si="14"/>
        <v>33</v>
      </c>
      <c r="BW14" s="135">
        <f t="shared" si="7"/>
        <v>5.9166666667442769</v>
      </c>
      <c r="BX14" s="135">
        <f t="shared" si="8"/>
        <v>10.666666666686069</v>
      </c>
      <c r="BY14" s="134">
        <f t="shared" si="9"/>
        <v>5.9201388889050577</v>
      </c>
      <c r="BZ14" s="134">
        <f t="shared" si="10"/>
        <v>18.881944444445253</v>
      </c>
      <c r="CA14" s="133">
        <f t="shared" si="11"/>
        <v>0.3135343876433585</v>
      </c>
    </row>
    <row r="15" spans="1:79" s="126" customFormat="1">
      <c r="A15" s="192">
        <f t="shared" si="15"/>
        <v>45018.128472222219</v>
      </c>
      <c r="B15" s="126" t="s">
        <v>228</v>
      </c>
      <c r="C15" s="126" t="s">
        <v>229</v>
      </c>
      <c r="D15" s="126" t="s">
        <v>197</v>
      </c>
      <c r="E15" s="126" t="s">
        <v>1023</v>
      </c>
      <c r="G15" s="73">
        <v>45019.583333333336</v>
      </c>
      <c r="H15" s="73">
        <v>45019.604166666664</v>
      </c>
      <c r="I15" s="126" t="s">
        <v>243</v>
      </c>
      <c r="J15" s="126" t="s">
        <v>192</v>
      </c>
      <c r="K15" s="126" t="s">
        <v>192</v>
      </c>
      <c r="L15" s="126" t="s">
        <v>1196</v>
      </c>
      <c r="M15" s="167"/>
      <c r="N15" s="126" t="s">
        <v>277</v>
      </c>
      <c r="O15" s="126" t="s">
        <v>278</v>
      </c>
      <c r="P15" s="126" t="s">
        <v>235</v>
      </c>
      <c r="Q15" s="181">
        <f>3117*2.4</f>
        <v>7480.7999999999993</v>
      </c>
      <c r="R15" s="181">
        <v>7413.4579999999996</v>
      </c>
      <c r="S15" s="181"/>
      <c r="W15" s="181">
        <f>R15</f>
        <v>7413.4579999999996</v>
      </c>
      <c r="AW15" s="165">
        <f t="shared" si="1"/>
        <v>45010.989583333336</v>
      </c>
      <c r="AX15" s="165">
        <f t="shared" si="2"/>
        <v>45029.847222222219</v>
      </c>
      <c r="AY15" s="137">
        <f t="shared" si="3"/>
        <v>18.85763888888323</v>
      </c>
      <c r="AZ15" s="165">
        <v>45010.989583333336</v>
      </c>
      <c r="BA15" s="165">
        <v>45012.798611111109</v>
      </c>
      <c r="BB15" s="165">
        <v>45014.5625</v>
      </c>
      <c r="BC15" s="165">
        <v>45018.128472222219</v>
      </c>
      <c r="BD15" s="165">
        <v>45018.270833333336</v>
      </c>
      <c r="BE15" s="165">
        <v>45018.284722222219</v>
      </c>
      <c r="BF15" s="165">
        <v>45018.284722222219</v>
      </c>
      <c r="BG15" s="165">
        <f t="shared" si="16"/>
        <v>45019.993055555555</v>
      </c>
      <c r="BH15" s="165">
        <v>45019.583333333336</v>
      </c>
      <c r="BI15" s="165">
        <v>45019.75</v>
      </c>
      <c r="BJ15" s="165">
        <v>45019.65625</v>
      </c>
      <c r="BK15" s="165">
        <v>45021.333333333336</v>
      </c>
      <c r="BL15" s="165">
        <v>45029.1875</v>
      </c>
      <c r="BM15" s="165">
        <v>45029.454861111109</v>
      </c>
      <c r="BN15" s="165">
        <v>45029.46875</v>
      </c>
      <c r="BO15" s="165">
        <v>45029.472222222219</v>
      </c>
      <c r="BP15" s="165">
        <v>45029.847222222219</v>
      </c>
      <c r="BS15" s="136">
        <f t="shared" si="4"/>
        <v>42.333333333372138</v>
      </c>
      <c r="BT15" s="136">
        <f t="shared" si="5"/>
        <v>3.4166666668024845</v>
      </c>
      <c r="BU15" s="136">
        <f t="shared" si="6"/>
        <v>41.000000000058208</v>
      </c>
      <c r="BV15" s="136">
        <f t="shared" si="14"/>
        <v>38.000000000058208</v>
      </c>
      <c r="BW15" s="135">
        <f t="shared" si="7"/>
        <v>6.4166666666278616</v>
      </c>
      <c r="BX15" s="135">
        <f t="shared" si="8"/>
        <v>9</v>
      </c>
      <c r="BY15" s="134">
        <f t="shared" si="9"/>
        <v>5.8402777777882875</v>
      </c>
      <c r="BZ15" s="134">
        <f t="shared" si="10"/>
        <v>18.85763888888323</v>
      </c>
      <c r="CA15" s="133">
        <f t="shared" si="11"/>
        <v>0.30970355367400693</v>
      </c>
    </row>
    <row r="16" spans="1:79" s="126" customFormat="1">
      <c r="A16" s="192">
        <f t="shared" si="15"/>
        <v>45018.333333333336</v>
      </c>
      <c r="B16" s="126" t="s">
        <v>228</v>
      </c>
      <c r="C16" s="126" t="s">
        <v>229</v>
      </c>
      <c r="D16" s="126" t="s">
        <v>197</v>
      </c>
      <c r="E16" s="126" t="s">
        <v>1023</v>
      </c>
      <c r="G16" s="73">
        <v>45019.583333333336</v>
      </c>
      <c r="H16" s="73">
        <v>45019.604166666664</v>
      </c>
      <c r="I16" s="126" t="s">
        <v>243</v>
      </c>
      <c r="J16" s="126" t="s">
        <v>192</v>
      </c>
      <c r="K16" s="126" t="s">
        <v>192</v>
      </c>
      <c r="L16" s="126" t="s">
        <v>1197</v>
      </c>
      <c r="M16" s="167"/>
      <c r="N16" s="126" t="s">
        <v>367</v>
      </c>
      <c r="O16" s="126" t="s">
        <v>368</v>
      </c>
      <c r="P16" s="126" t="s">
        <v>235</v>
      </c>
      <c r="Q16" s="181">
        <f>4111*2.4</f>
        <v>9866.4</v>
      </c>
      <c r="R16" s="181">
        <v>9846.732</v>
      </c>
      <c r="S16" s="181"/>
      <c r="W16" s="181">
        <f>R16</f>
        <v>9846.732</v>
      </c>
      <c r="AW16" s="165">
        <f t="shared" si="1"/>
        <v>45011.833333333336</v>
      </c>
      <c r="AX16" s="165">
        <f t="shared" si="2"/>
        <v>45031.670138888891</v>
      </c>
      <c r="AY16" s="137">
        <f t="shared" si="3"/>
        <v>19.836805555554747</v>
      </c>
      <c r="AZ16" s="165">
        <v>45011.833333333336</v>
      </c>
      <c r="BA16" s="165">
        <v>45012.833333333336</v>
      </c>
      <c r="BB16" s="165">
        <v>45014.666666666664</v>
      </c>
      <c r="BC16" s="165">
        <v>45018.333333333336</v>
      </c>
      <c r="BD16" s="165">
        <v>45018.510416666664</v>
      </c>
      <c r="BE16" s="165">
        <v>45018.513888888891</v>
      </c>
      <c r="BF16" s="165">
        <v>45018.513888888891</v>
      </c>
      <c r="BG16" s="165">
        <f t="shared" si="16"/>
        <v>45020.222222222226</v>
      </c>
      <c r="BH16" s="165">
        <v>45020.229166666664</v>
      </c>
      <c r="BI16" s="165">
        <v>45020.395833333328</v>
      </c>
      <c r="BJ16" s="165">
        <v>45020.371527777781</v>
      </c>
      <c r="BK16" s="165">
        <v>45022.020833333336</v>
      </c>
      <c r="BL16" s="165">
        <v>45030.204861111109</v>
      </c>
      <c r="BM16" s="165">
        <v>45030.493055555555</v>
      </c>
      <c r="BN16" s="165">
        <v>45030.576388888891</v>
      </c>
      <c r="BO16" s="165">
        <v>45031.364583333336</v>
      </c>
      <c r="BP16" s="165">
        <v>45031.670138888891</v>
      </c>
      <c r="BS16" s="136">
        <f t="shared" si="4"/>
        <v>43.999999999883585</v>
      </c>
      <c r="BT16" s="136">
        <f t="shared" si="5"/>
        <v>4.2499999998835847</v>
      </c>
      <c r="BU16" s="136">
        <f t="shared" si="6"/>
        <v>41.000000000058208</v>
      </c>
      <c r="BV16" s="136">
        <f t="shared" si="14"/>
        <v>39.000000000174623</v>
      </c>
      <c r="BW16" s="135">
        <f t="shared" si="7"/>
        <v>6.9166666666860692</v>
      </c>
      <c r="BX16" s="135">
        <f t="shared" si="8"/>
        <v>7.3333333333139308</v>
      </c>
      <c r="BY16" s="134">
        <f t="shared" si="9"/>
        <v>5.9375</v>
      </c>
      <c r="BZ16" s="134">
        <f t="shared" si="10"/>
        <v>19.836805555554747</v>
      </c>
      <c r="CA16" s="133">
        <f t="shared" si="11"/>
        <v>0.29931734640295288</v>
      </c>
    </row>
    <row r="17" spans="1:79" s="126" customFormat="1">
      <c r="A17" s="192">
        <f t="shared" si="15"/>
        <v>45018.53125</v>
      </c>
      <c r="B17" s="126" t="s">
        <v>228</v>
      </c>
      <c r="C17" s="126" t="s">
        <v>229</v>
      </c>
      <c r="D17" s="126" t="s">
        <v>197</v>
      </c>
      <c r="E17" s="126" t="s">
        <v>1023</v>
      </c>
      <c r="G17" s="73">
        <v>45019.583333333336</v>
      </c>
      <c r="H17" s="73">
        <v>45019.604166666664</v>
      </c>
      <c r="I17" s="126" t="s">
        <v>243</v>
      </c>
      <c r="J17" s="126" t="s">
        <v>192</v>
      </c>
      <c r="K17" s="126" t="s">
        <v>192</v>
      </c>
      <c r="L17" s="126" t="s">
        <v>1198</v>
      </c>
      <c r="M17" s="167"/>
      <c r="N17" s="126" t="s">
        <v>349</v>
      </c>
      <c r="O17" s="126" t="s">
        <v>350</v>
      </c>
      <c r="P17" s="126" t="s">
        <v>240</v>
      </c>
      <c r="Q17" s="181">
        <f>3077*2.4</f>
        <v>7384.7999999999993</v>
      </c>
      <c r="R17" s="181">
        <v>7495.3969999999999</v>
      </c>
      <c r="S17" s="181"/>
      <c r="X17" s="181">
        <f>R17</f>
        <v>7495.3969999999999</v>
      </c>
      <c r="AW17" s="165">
        <f t="shared" si="1"/>
        <v>45010.375</v>
      </c>
      <c r="AX17" s="165">
        <f t="shared" si="2"/>
        <v>45030.333333333336</v>
      </c>
      <c r="AY17" s="137">
        <f t="shared" si="3"/>
        <v>19.958333333335759</v>
      </c>
      <c r="AZ17" s="165">
        <v>45010.375</v>
      </c>
      <c r="BA17" s="165">
        <v>45012.847222222219</v>
      </c>
      <c r="BB17" s="165">
        <v>45014.916666666664</v>
      </c>
      <c r="BC17" s="165">
        <v>45018.53125</v>
      </c>
      <c r="BD17" s="165">
        <v>45018.670138888891</v>
      </c>
      <c r="BE17" s="165">
        <v>45018.673611111109</v>
      </c>
      <c r="BF17" s="165">
        <v>45018.673611111109</v>
      </c>
      <c r="BG17" s="165">
        <f t="shared" si="16"/>
        <v>45020.381944444445</v>
      </c>
      <c r="BH17" s="165">
        <v>45020.229166666664</v>
      </c>
      <c r="BI17" s="165">
        <v>45020.395833333328</v>
      </c>
      <c r="BJ17" s="165">
        <v>45020.28125</v>
      </c>
      <c r="BK17" s="165">
        <v>45021.809027777781</v>
      </c>
      <c r="BL17" s="165">
        <v>45029.572916666664</v>
      </c>
      <c r="BM17" s="165">
        <v>45029.850694444445</v>
      </c>
      <c r="BN17" s="165">
        <v>45029.864583333336</v>
      </c>
      <c r="BO17" s="165">
        <v>45029.868055555555</v>
      </c>
      <c r="BP17" s="165">
        <v>45030.333333333336</v>
      </c>
      <c r="BS17" s="136">
        <f t="shared" si="4"/>
        <v>49.666666666686069</v>
      </c>
      <c r="BT17" s="136">
        <f t="shared" si="5"/>
        <v>3.3333333333721384</v>
      </c>
      <c r="BU17" s="136">
        <f t="shared" si="6"/>
        <v>41.000000000058208</v>
      </c>
      <c r="BV17" s="136">
        <f t="shared" si="14"/>
        <v>33.916666666860692</v>
      </c>
      <c r="BW17" s="135">
        <f t="shared" si="7"/>
        <v>6.6666666667442769</v>
      </c>
      <c r="BX17" s="135">
        <f t="shared" si="8"/>
        <v>11.166666666744277</v>
      </c>
      <c r="BY17" s="134">
        <f t="shared" si="9"/>
        <v>6.0729166666860692</v>
      </c>
      <c r="BZ17" s="134">
        <f t="shared" si="10"/>
        <v>19.958333333335759</v>
      </c>
      <c r="CA17" s="133">
        <f t="shared" si="11"/>
        <v>0.30427974947901448</v>
      </c>
    </row>
    <row r="18" spans="1:79" s="126" customFormat="1">
      <c r="A18" s="192">
        <f t="shared" si="15"/>
        <v>45018.698611111111</v>
      </c>
      <c r="B18" s="126" t="s">
        <v>228</v>
      </c>
      <c r="C18" s="126" t="s">
        <v>229</v>
      </c>
      <c r="D18" s="126" t="s">
        <v>197</v>
      </c>
      <c r="E18" s="126" t="s">
        <v>1023</v>
      </c>
      <c r="G18" s="73">
        <v>45019.583333333336</v>
      </c>
      <c r="H18" s="73">
        <v>45019.604166666664</v>
      </c>
      <c r="I18" s="126" t="s">
        <v>243</v>
      </c>
      <c r="J18" s="126" t="s">
        <v>192</v>
      </c>
      <c r="K18" s="126" t="s">
        <v>192</v>
      </c>
      <c r="L18" s="126" t="s">
        <v>1199</v>
      </c>
      <c r="M18" s="167"/>
      <c r="N18" s="126" t="s">
        <v>437</v>
      </c>
      <c r="O18" s="126" t="s">
        <v>320</v>
      </c>
      <c r="P18" s="126" t="s">
        <v>235</v>
      </c>
      <c r="Q18" s="181">
        <f>3136*2.4</f>
        <v>7526.4</v>
      </c>
      <c r="R18" s="181">
        <v>7501.01</v>
      </c>
      <c r="S18" s="181"/>
      <c r="W18" s="181">
        <f t="shared" ref="W18:W23" si="17">R18</f>
        <v>7501.01</v>
      </c>
      <c r="AW18" s="165">
        <f t="shared" si="1"/>
        <v>45012.447916666664</v>
      </c>
      <c r="AX18" s="165">
        <f t="shared" si="2"/>
        <v>45030.569444444445</v>
      </c>
      <c r="AY18" s="137">
        <f t="shared" si="3"/>
        <v>18.121527777781012</v>
      </c>
      <c r="AZ18" s="165">
        <v>45012.447916666664</v>
      </c>
      <c r="BA18" s="165">
        <v>45013.583333333336</v>
      </c>
      <c r="BB18" s="165">
        <v>45015.350694444445</v>
      </c>
      <c r="BC18" s="165">
        <v>45018.698611111111</v>
      </c>
      <c r="BD18" s="165">
        <v>45018.895833333336</v>
      </c>
      <c r="BE18" s="165">
        <v>45018.902777777781</v>
      </c>
      <c r="BF18" s="165">
        <v>45018.902777777781</v>
      </c>
      <c r="BG18" s="165">
        <f t="shared" si="16"/>
        <v>45020.611111111117</v>
      </c>
      <c r="BH18" s="165">
        <v>45020.229166666664</v>
      </c>
      <c r="BI18" s="165">
        <v>45020.395833333328</v>
      </c>
      <c r="BJ18" s="165">
        <v>45020.288194444445</v>
      </c>
      <c r="BK18" s="165">
        <v>45022.291666666664</v>
      </c>
      <c r="BL18" s="165">
        <v>45028.9375</v>
      </c>
      <c r="BM18" s="165">
        <v>45030.118055555555</v>
      </c>
      <c r="BN18" s="165">
        <v>45030.131944444445</v>
      </c>
      <c r="BO18" s="165">
        <v>45030.135416666664</v>
      </c>
      <c r="BP18" s="165">
        <v>45030.569444444445</v>
      </c>
      <c r="BS18" s="136">
        <f t="shared" si="4"/>
        <v>42.416666666627862</v>
      </c>
      <c r="BT18" s="136">
        <f t="shared" si="5"/>
        <v>4.7333333333954215</v>
      </c>
      <c r="BU18" s="136">
        <f t="shared" si="6"/>
        <v>41.000000000058208</v>
      </c>
      <c r="BV18" s="136">
        <f t="shared" si="14"/>
        <v>45.500000000058208</v>
      </c>
      <c r="BW18" s="135">
        <f t="shared" si="7"/>
        <v>28.333333333313931</v>
      </c>
      <c r="BX18" s="135">
        <f t="shared" si="8"/>
        <v>10.416666666744277</v>
      </c>
      <c r="BY18" s="134">
        <f t="shared" si="9"/>
        <v>7.1833333333415794</v>
      </c>
      <c r="BZ18" s="134">
        <f t="shared" si="10"/>
        <v>18.121527777781012</v>
      </c>
      <c r="CA18" s="133">
        <f t="shared" si="11"/>
        <v>0.39639777735236742</v>
      </c>
    </row>
    <row r="19" spans="1:79" s="126" customFormat="1">
      <c r="A19" s="192">
        <f t="shared" si="15"/>
        <v>45018.925000000003</v>
      </c>
      <c r="B19" s="126" t="s">
        <v>228</v>
      </c>
      <c r="C19" s="126" t="s">
        <v>229</v>
      </c>
      <c r="D19" s="126" t="s">
        <v>197</v>
      </c>
      <c r="E19" s="126" t="s">
        <v>1027</v>
      </c>
      <c r="G19" s="73">
        <v>45022.208333333336</v>
      </c>
      <c r="H19" s="73">
        <v>45022.216666666667</v>
      </c>
      <c r="I19" s="126" t="s">
        <v>231</v>
      </c>
      <c r="J19" s="126" t="s">
        <v>192</v>
      </c>
      <c r="K19" s="126" t="s">
        <v>192</v>
      </c>
      <c r="L19" s="126" t="s">
        <v>1200</v>
      </c>
      <c r="M19" s="167"/>
      <c r="N19" s="126" t="s">
        <v>686</v>
      </c>
      <c r="O19" s="126" t="s">
        <v>1186</v>
      </c>
      <c r="P19" s="126" t="s">
        <v>235</v>
      </c>
      <c r="Q19" s="181">
        <v>7500</v>
      </c>
      <c r="R19" s="181">
        <v>7354.7629999999999</v>
      </c>
      <c r="S19" s="181"/>
      <c r="W19" s="181">
        <f t="shared" si="17"/>
        <v>7354.7629999999999</v>
      </c>
      <c r="AW19" s="165">
        <f t="shared" si="1"/>
        <v>45012.375</v>
      </c>
      <c r="AX19" s="165">
        <f t="shared" si="2"/>
        <v>45024.770833333336</v>
      </c>
      <c r="AY19" s="137">
        <f t="shared" si="3"/>
        <v>12.395833333335759</v>
      </c>
      <c r="AZ19" s="165">
        <v>45012.375</v>
      </c>
      <c r="BA19" s="165">
        <v>45013.59375</v>
      </c>
      <c r="BB19" s="165">
        <v>45015.5</v>
      </c>
      <c r="BC19" s="165">
        <v>45018.925000000003</v>
      </c>
      <c r="BD19" s="165">
        <v>45019.072916666664</v>
      </c>
      <c r="BE19" s="165">
        <v>45019.083333333336</v>
      </c>
      <c r="BF19" s="165">
        <v>45019.083333333336</v>
      </c>
      <c r="BG19" s="165">
        <f t="shared" si="16"/>
        <v>45020.791666666672</v>
      </c>
      <c r="BH19" s="165">
        <v>45021.229166608799</v>
      </c>
      <c r="BI19" s="165">
        <v>45021.395833275463</v>
      </c>
      <c r="BJ19" s="165">
        <v>45021.3125</v>
      </c>
      <c r="BK19" s="165">
        <v>45023.319444444445</v>
      </c>
      <c r="BL19" s="165">
        <v>45023.972222222219</v>
      </c>
      <c r="BM19" s="165">
        <v>45024.225694444445</v>
      </c>
      <c r="BN19" s="165">
        <v>45024.246527777781</v>
      </c>
      <c r="BO19" s="165">
        <v>45024.246527777781</v>
      </c>
      <c r="BP19" s="165">
        <v>45024.770833333336</v>
      </c>
      <c r="BS19" s="136">
        <f t="shared" si="4"/>
        <v>45.75</v>
      </c>
      <c r="BT19" s="136">
        <f t="shared" si="5"/>
        <v>3.5499999998719431</v>
      </c>
      <c r="BU19" s="136">
        <f t="shared" si="6"/>
        <v>41.000000000058208</v>
      </c>
      <c r="BV19" s="136">
        <f t="shared" si="14"/>
        <v>46.166668055579066</v>
      </c>
      <c r="BW19" s="135">
        <f t="shared" si="7"/>
        <v>6.0833333334303461</v>
      </c>
      <c r="BX19" s="135">
        <f t="shared" si="8"/>
        <v>12.583333333313931</v>
      </c>
      <c r="BY19" s="134">
        <f t="shared" si="9"/>
        <v>6.4638889467605622</v>
      </c>
      <c r="BZ19" s="134">
        <f t="shared" si="10"/>
        <v>12.395833333335759</v>
      </c>
      <c r="CA19" s="133">
        <f t="shared" si="11"/>
        <v>0.52145658730159039</v>
      </c>
    </row>
    <row r="20" spans="1:79" s="126" customFormat="1">
      <c r="A20" s="192">
        <f t="shared" si="15"/>
        <v>45019.111111111109</v>
      </c>
      <c r="B20" s="126" t="s">
        <v>228</v>
      </c>
      <c r="C20" s="126" t="s">
        <v>229</v>
      </c>
      <c r="D20" s="126" t="s">
        <v>215</v>
      </c>
      <c r="E20" s="126" t="s">
        <v>1027</v>
      </c>
      <c r="G20" s="73">
        <v>45022.208333333336</v>
      </c>
      <c r="H20" s="73">
        <v>45022.216666666667</v>
      </c>
      <c r="I20" s="126" t="s">
        <v>231</v>
      </c>
      <c r="J20" s="126" t="s">
        <v>192</v>
      </c>
      <c r="K20" s="126" t="s">
        <v>192</v>
      </c>
      <c r="L20" s="126" t="s">
        <v>1201</v>
      </c>
      <c r="M20" s="167"/>
      <c r="N20" s="126" t="s">
        <v>343</v>
      </c>
      <c r="O20" s="126" t="s">
        <v>359</v>
      </c>
      <c r="P20" s="126" t="s">
        <v>235</v>
      </c>
      <c r="Q20" s="181">
        <f>3852*2.4</f>
        <v>9244.7999999999993</v>
      </c>
      <c r="R20" s="181">
        <v>9045.7099999999991</v>
      </c>
      <c r="S20" s="181"/>
      <c r="W20" s="181">
        <f t="shared" si="17"/>
        <v>9045.7099999999991</v>
      </c>
      <c r="AW20" s="165">
        <f t="shared" si="1"/>
        <v>45012.71875</v>
      </c>
      <c r="AX20" s="165">
        <f t="shared" si="2"/>
        <v>45026.791666666664</v>
      </c>
      <c r="AY20" s="137">
        <f t="shared" si="3"/>
        <v>14.072916666664241</v>
      </c>
      <c r="AZ20" s="165">
        <v>45012.71875</v>
      </c>
      <c r="BA20" s="165">
        <v>45013.795138888891</v>
      </c>
      <c r="BB20" s="165">
        <v>45015.625</v>
      </c>
      <c r="BC20" s="165">
        <v>45019.111111111109</v>
      </c>
      <c r="BD20" s="165">
        <v>45019.361805555556</v>
      </c>
      <c r="BE20" s="165">
        <v>45019.371527777781</v>
      </c>
      <c r="BF20" s="165">
        <v>45019.371527777781</v>
      </c>
      <c r="BG20" s="165">
        <f t="shared" si="16"/>
        <v>45021.079861111117</v>
      </c>
      <c r="BH20" s="165">
        <v>45023.25</v>
      </c>
      <c r="BI20" s="165">
        <v>45023.416666666664</v>
      </c>
      <c r="BJ20" s="165">
        <v>45023.309027777781</v>
      </c>
      <c r="BK20" s="165">
        <v>45024.513888888891</v>
      </c>
      <c r="BL20" s="165">
        <v>45026.038194444445</v>
      </c>
      <c r="BM20" s="165">
        <v>45026.333333333336</v>
      </c>
      <c r="BN20" s="165">
        <v>45026.354166666664</v>
      </c>
      <c r="BO20" s="165">
        <v>45026.354166666664</v>
      </c>
      <c r="BP20" s="165">
        <v>45026.791666666664</v>
      </c>
      <c r="BQ20" s="126" t="s">
        <v>1202</v>
      </c>
      <c r="BS20" s="136">
        <f t="shared" si="4"/>
        <v>43.916666666627862</v>
      </c>
      <c r="BT20" s="136">
        <f t="shared" si="5"/>
        <v>6.0166666667209938</v>
      </c>
      <c r="BU20" s="136">
        <f t="shared" si="6"/>
        <v>41.000000000058208</v>
      </c>
      <c r="BV20" s="136">
        <f t="shared" si="14"/>
        <v>26.333333333430346</v>
      </c>
      <c r="BW20" s="135">
        <f t="shared" si="7"/>
        <v>7.0833333333721384</v>
      </c>
      <c r="BX20" s="135">
        <f t="shared" si="8"/>
        <v>10.5</v>
      </c>
      <c r="BY20" s="134">
        <f t="shared" si="9"/>
        <v>5.6187500000087311</v>
      </c>
      <c r="BZ20" s="134">
        <f t="shared" si="10"/>
        <v>14.072916666664241</v>
      </c>
      <c r="CA20" s="133">
        <f t="shared" si="11"/>
        <v>0.39925980755065221</v>
      </c>
    </row>
    <row r="21" spans="1:79" s="126" customFormat="1">
      <c r="A21" s="192">
        <f t="shared" si="15"/>
        <v>45019.38958333333</v>
      </c>
      <c r="B21" s="126" t="s">
        <v>228</v>
      </c>
      <c r="C21" s="126" t="s">
        <v>229</v>
      </c>
      <c r="D21" s="126" t="s">
        <v>197</v>
      </c>
      <c r="E21" s="126" t="s">
        <v>1027</v>
      </c>
      <c r="G21" s="73">
        <v>45022.208333333336</v>
      </c>
      <c r="H21" s="73">
        <v>45022.216666666667</v>
      </c>
      <c r="I21" s="126" t="s">
        <v>231</v>
      </c>
      <c r="J21" s="126" t="s">
        <v>192</v>
      </c>
      <c r="K21" s="126" t="s">
        <v>192</v>
      </c>
      <c r="L21" s="126" t="s">
        <v>1203</v>
      </c>
      <c r="M21" s="167"/>
      <c r="N21" s="126" t="s">
        <v>295</v>
      </c>
      <c r="O21" s="126" t="s">
        <v>296</v>
      </c>
      <c r="P21" s="126" t="s">
        <v>235</v>
      </c>
      <c r="Q21" s="181">
        <f>4118*2.4</f>
        <v>9883.1999999999989</v>
      </c>
      <c r="R21" s="181">
        <v>10356.16</v>
      </c>
      <c r="S21" s="181"/>
      <c r="W21" s="181">
        <f t="shared" si="17"/>
        <v>10356.16</v>
      </c>
      <c r="AW21" s="165">
        <f t="shared" si="1"/>
        <v>45013.451388888891</v>
      </c>
      <c r="AX21" s="165">
        <f t="shared" si="2"/>
        <v>45024.856249999997</v>
      </c>
      <c r="AY21" s="137">
        <f t="shared" si="3"/>
        <v>11.404861111106584</v>
      </c>
      <c r="AZ21" s="165">
        <v>45013.451388888891</v>
      </c>
      <c r="BA21" s="165">
        <v>45013.808333333334</v>
      </c>
      <c r="BB21" s="165">
        <v>45015.631944444445</v>
      </c>
      <c r="BC21" s="165">
        <v>45019.38958333333</v>
      </c>
      <c r="BD21" s="165">
        <v>45019.561805555553</v>
      </c>
      <c r="BE21" s="165">
        <v>45019.576388888891</v>
      </c>
      <c r="BF21" s="165">
        <v>45019.576388888891</v>
      </c>
      <c r="BG21" s="165">
        <f t="shared" si="16"/>
        <v>45021.284722222226</v>
      </c>
      <c r="BH21" s="165">
        <v>45021.229166608799</v>
      </c>
      <c r="BI21" s="165">
        <v>45021.395833275463</v>
      </c>
      <c r="BJ21" s="165">
        <v>45021.277777777781</v>
      </c>
      <c r="BK21" s="165">
        <v>45023.652777777781</v>
      </c>
      <c r="BL21" s="165">
        <v>45024.291666666664</v>
      </c>
      <c r="BM21" s="165">
        <v>45024.472222222219</v>
      </c>
      <c r="BN21" s="165">
        <v>45024.493055555555</v>
      </c>
      <c r="BO21" s="165">
        <v>45024.493055555555</v>
      </c>
      <c r="BP21" s="165">
        <v>45024.856249999997</v>
      </c>
      <c r="BS21" s="136">
        <f t="shared" si="4"/>
        <v>43.766666666662786</v>
      </c>
      <c r="BT21" s="136">
        <f t="shared" si="5"/>
        <v>4.1333333333604969</v>
      </c>
      <c r="BU21" s="136">
        <f t="shared" si="6"/>
        <v>41.000000000058208</v>
      </c>
      <c r="BV21" s="136">
        <f t="shared" si="14"/>
        <v>54.166668055637274</v>
      </c>
      <c r="BW21" s="135">
        <f t="shared" si="7"/>
        <v>4.3333333333139308</v>
      </c>
      <c r="BX21" s="135">
        <f t="shared" si="8"/>
        <v>8.71666666661622</v>
      </c>
      <c r="BY21" s="134">
        <f t="shared" si="9"/>
        <v>6.5048611689853715</v>
      </c>
      <c r="BZ21" s="134">
        <f t="shared" si="10"/>
        <v>11.404861111106584</v>
      </c>
      <c r="CA21" s="133">
        <f t="shared" si="11"/>
        <v>0.57035864844076312</v>
      </c>
    </row>
    <row r="22" spans="1:79" s="126" customFormat="1">
      <c r="A22" s="192">
        <f t="shared" si="15"/>
        <v>45019.597222222219</v>
      </c>
      <c r="B22" s="126" t="s">
        <v>228</v>
      </c>
      <c r="C22" s="126" t="s">
        <v>229</v>
      </c>
      <c r="D22" s="126" t="s">
        <v>197</v>
      </c>
      <c r="E22" s="126" t="s">
        <v>1027</v>
      </c>
      <c r="G22" s="73">
        <v>45022.208333333336</v>
      </c>
      <c r="H22" s="73">
        <v>45022.216666666667</v>
      </c>
      <c r="I22" s="126" t="s">
        <v>231</v>
      </c>
      <c r="J22" s="126" t="s">
        <v>192</v>
      </c>
      <c r="K22" s="126" t="s">
        <v>192</v>
      </c>
      <c r="L22" s="126" t="s">
        <v>1204</v>
      </c>
      <c r="M22" s="167"/>
      <c r="N22" s="126" t="s">
        <v>201</v>
      </c>
      <c r="O22" s="126" t="s">
        <v>202</v>
      </c>
      <c r="P22" s="126" t="s">
        <v>235</v>
      </c>
      <c r="Q22" s="181">
        <f>3141*2.4</f>
        <v>7538.4</v>
      </c>
      <c r="R22" s="181">
        <v>7583.4989999999998</v>
      </c>
      <c r="S22" s="181"/>
      <c r="W22" s="181">
        <f t="shared" si="17"/>
        <v>7583.4989999999998</v>
      </c>
      <c r="AW22" s="165">
        <f t="shared" si="1"/>
        <v>45009.354166666664</v>
      </c>
      <c r="AX22" s="165">
        <f t="shared" si="2"/>
        <v>45025.852777777778</v>
      </c>
      <c r="AY22" s="137">
        <f t="shared" si="3"/>
        <v>16.49861111111386</v>
      </c>
      <c r="AZ22" s="165">
        <v>45009.354166666664</v>
      </c>
      <c r="BA22" s="165">
        <v>45013.826388888891</v>
      </c>
      <c r="BB22" s="165">
        <v>45015.743055555555</v>
      </c>
      <c r="BC22" s="165">
        <v>45019.597222222219</v>
      </c>
      <c r="BD22" s="165">
        <v>45019.720138888886</v>
      </c>
      <c r="BE22" s="165">
        <v>45019.729166666664</v>
      </c>
      <c r="BF22" s="165">
        <v>45019.729166666664</v>
      </c>
      <c r="BG22" s="165">
        <f t="shared" si="16"/>
        <v>45021.4375</v>
      </c>
      <c r="BH22" s="165">
        <v>45022.25</v>
      </c>
      <c r="BI22" s="165">
        <v>45022.416666666664</v>
      </c>
      <c r="BJ22" s="165">
        <v>45022.277777777781</v>
      </c>
      <c r="BK22" s="165">
        <v>45023.625</v>
      </c>
      <c r="BL22" s="165">
        <v>45025.302083333336</v>
      </c>
      <c r="BM22" s="165">
        <v>45025.458333333336</v>
      </c>
      <c r="BN22" s="165">
        <v>45025.479166666664</v>
      </c>
      <c r="BO22" s="165">
        <v>45025.680555555555</v>
      </c>
      <c r="BP22" s="165">
        <v>45025.852777777778</v>
      </c>
      <c r="BS22" s="136">
        <f t="shared" si="4"/>
        <v>45.999999999941792</v>
      </c>
      <c r="BT22" s="136">
        <f t="shared" si="5"/>
        <v>2.9500000000116415</v>
      </c>
      <c r="BU22" s="136">
        <f t="shared" si="6"/>
        <v>41.000000000058208</v>
      </c>
      <c r="BV22" s="136">
        <f t="shared" si="14"/>
        <v>29.000000000058208</v>
      </c>
      <c r="BW22" s="135">
        <f t="shared" si="7"/>
        <v>3.75</v>
      </c>
      <c r="BX22" s="135">
        <f t="shared" si="8"/>
        <v>4.1333333333604969</v>
      </c>
      <c r="BY22" s="134">
        <f t="shared" si="9"/>
        <v>5.2847222222262644</v>
      </c>
      <c r="BZ22" s="134">
        <f t="shared" si="10"/>
        <v>16.49861111111386</v>
      </c>
      <c r="CA22" s="133">
        <f t="shared" si="11"/>
        <v>0.32031315767339646</v>
      </c>
    </row>
    <row r="23" spans="1:79" s="126" customFormat="1">
      <c r="A23" s="192">
        <f t="shared" si="15"/>
        <v>45019.75</v>
      </c>
      <c r="B23" s="126" t="s">
        <v>228</v>
      </c>
      <c r="C23" s="126" t="s">
        <v>229</v>
      </c>
      <c r="D23" s="126" t="s">
        <v>197</v>
      </c>
      <c r="E23" s="126" t="s">
        <v>1027</v>
      </c>
      <c r="G23" s="73">
        <v>45022.208333333336</v>
      </c>
      <c r="H23" s="73">
        <v>45022.216666666667</v>
      </c>
      <c r="I23" s="126" t="s">
        <v>231</v>
      </c>
      <c r="J23" s="126" t="s">
        <v>192</v>
      </c>
      <c r="K23" s="126" t="s">
        <v>192</v>
      </c>
      <c r="L23" s="126" t="s">
        <v>1205</v>
      </c>
      <c r="M23" s="167"/>
      <c r="N23" s="126" t="s">
        <v>307</v>
      </c>
      <c r="O23" s="126" t="s">
        <v>308</v>
      </c>
      <c r="P23" s="126" t="s">
        <v>235</v>
      </c>
      <c r="Q23" s="181">
        <f>3170*2.4</f>
        <v>7608</v>
      </c>
      <c r="R23" s="181">
        <v>7580.9449999999997</v>
      </c>
      <c r="S23" s="181"/>
      <c r="W23" s="181">
        <f t="shared" si="17"/>
        <v>7580.9449999999997</v>
      </c>
      <c r="AW23" s="165">
        <f t="shared" si="1"/>
        <v>45012.486111111109</v>
      </c>
      <c r="AX23" s="165">
        <f t="shared" si="2"/>
        <v>45026.420138888891</v>
      </c>
      <c r="AY23" s="137">
        <f t="shared" si="3"/>
        <v>13.934027777781012</v>
      </c>
      <c r="AZ23" s="165">
        <v>45012.486111111109</v>
      </c>
      <c r="BA23" s="165">
        <v>45013.826388888891</v>
      </c>
      <c r="BB23" s="165">
        <v>45016.4375</v>
      </c>
      <c r="BC23" s="165">
        <v>45019.75</v>
      </c>
      <c r="BD23" s="165">
        <v>45019.947916666664</v>
      </c>
      <c r="BE23" s="165">
        <v>45019.958333333336</v>
      </c>
      <c r="BF23" s="165">
        <v>45020.270833333336</v>
      </c>
      <c r="BG23" s="165">
        <f t="shared" si="16"/>
        <v>45021.979166666672</v>
      </c>
      <c r="BH23" s="165">
        <v>45022.25</v>
      </c>
      <c r="BI23" s="165">
        <v>45022.416666666664</v>
      </c>
      <c r="BJ23" s="165">
        <v>45022.336805555555</v>
      </c>
      <c r="BK23" s="165">
        <v>45023.8125</v>
      </c>
      <c r="BL23" s="165">
        <v>45025.756944444445</v>
      </c>
      <c r="BM23" s="165">
        <v>45025.975694444445</v>
      </c>
      <c r="BN23" s="165">
        <v>45025.996527777781</v>
      </c>
      <c r="BO23" s="165">
        <v>45026.125</v>
      </c>
      <c r="BP23" s="165">
        <v>45026.420138888891</v>
      </c>
      <c r="BS23" s="136">
        <f t="shared" si="4"/>
        <v>62.666666666627862</v>
      </c>
      <c r="BT23" s="136">
        <f t="shared" si="5"/>
        <v>4.7499999999417923</v>
      </c>
      <c r="BU23" s="136">
        <f t="shared" si="6"/>
        <v>41.000000000058208</v>
      </c>
      <c r="BV23" s="136">
        <f t="shared" si="14"/>
        <v>33.500000000058208</v>
      </c>
      <c r="BW23" s="135">
        <f t="shared" si="7"/>
        <v>5.25</v>
      </c>
      <c r="BX23" s="135">
        <f t="shared" si="8"/>
        <v>7.0833333333721384</v>
      </c>
      <c r="BY23" s="134">
        <f t="shared" si="9"/>
        <v>6.4270833333357587</v>
      </c>
      <c r="BZ23" s="134">
        <f t="shared" si="10"/>
        <v>13.934027777781012</v>
      </c>
      <c r="CA23" s="133">
        <f t="shared" si="11"/>
        <v>0.46125093446306226</v>
      </c>
    </row>
    <row r="24" spans="1:79" s="126" customFormat="1">
      <c r="A24" s="192">
        <f t="shared" si="15"/>
        <v>45019.997916666667</v>
      </c>
      <c r="B24" s="126" t="s">
        <v>228</v>
      </c>
      <c r="C24" s="126" t="s">
        <v>229</v>
      </c>
      <c r="D24" s="126" t="s">
        <v>215</v>
      </c>
      <c r="E24" s="126" t="s">
        <v>1027</v>
      </c>
      <c r="G24" s="73">
        <v>45022.208333333336</v>
      </c>
      <c r="H24" s="73">
        <v>45022.216666666667</v>
      </c>
      <c r="I24" s="126" t="s">
        <v>231</v>
      </c>
      <c r="J24" s="126" t="s">
        <v>192</v>
      </c>
      <c r="K24" s="126" t="s">
        <v>192</v>
      </c>
      <c r="L24" s="126" t="s">
        <v>1206</v>
      </c>
      <c r="M24" s="167"/>
      <c r="N24" s="126" t="s">
        <v>374</v>
      </c>
      <c r="O24" s="126" t="s">
        <v>375</v>
      </c>
      <c r="P24" s="126" t="s">
        <v>240</v>
      </c>
      <c r="Q24" s="181">
        <v>7508.4480000000003</v>
      </c>
      <c r="R24" s="181">
        <f>7465.533-3375.578</f>
        <v>4089.9550000000004</v>
      </c>
      <c r="S24" s="181"/>
      <c r="X24" s="181">
        <f>R24</f>
        <v>4089.9550000000004</v>
      </c>
      <c r="AW24" s="165">
        <f t="shared" si="1"/>
        <v>45014.059027777781</v>
      </c>
      <c r="AX24" s="165">
        <f t="shared" si="2"/>
        <v>45026.645833333336</v>
      </c>
      <c r="AY24" s="137">
        <f t="shared" si="3"/>
        <v>12.586805555554747</v>
      </c>
      <c r="AZ24" s="165">
        <v>45014.059027777781</v>
      </c>
      <c r="BA24" s="165">
        <v>45014.583333333336</v>
      </c>
      <c r="BB24" s="165">
        <v>45016.673611111109</v>
      </c>
      <c r="BC24" s="165">
        <v>45019.997916666667</v>
      </c>
      <c r="BD24" s="165">
        <v>45020.131944444445</v>
      </c>
      <c r="BE24" s="165">
        <v>45020.142361111109</v>
      </c>
      <c r="BF24" s="165">
        <v>45020.277777777781</v>
      </c>
      <c r="BG24" s="165">
        <f t="shared" si="16"/>
        <v>45021.986111111117</v>
      </c>
      <c r="BH24" s="165">
        <v>45022.25</v>
      </c>
      <c r="BI24" s="165">
        <v>45022.416666666664</v>
      </c>
      <c r="BJ24" s="165">
        <v>45022.28125</v>
      </c>
      <c r="BK24" s="165">
        <v>45023.482638888891</v>
      </c>
      <c r="BL24" s="165">
        <v>45026.395833333336</v>
      </c>
      <c r="BM24" s="165">
        <v>45026.5625</v>
      </c>
      <c r="BN24" s="165">
        <v>45026.645833333336</v>
      </c>
      <c r="BO24" s="165">
        <v>45026.645833333336</v>
      </c>
      <c r="BP24" s="165">
        <v>45026.645833333336</v>
      </c>
      <c r="BS24" s="136">
        <f t="shared" si="4"/>
        <v>50.166666666569654</v>
      </c>
      <c r="BT24" s="136">
        <f t="shared" si="5"/>
        <v>3.2166666666744277</v>
      </c>
      <c r="BU24" s="136">
        <f t="shared" si="6"/>
        <v>41.000000000058208</v>
      </c>
      <c r="BV24" s="136">
        <f t="shared" si="14"/>
        <v>25.583333333430346</v>
      </c>
      <c r="BW24" s="135">
        <f t="shared" si="7"/>
        <v>3.9999999999417923</v>
      </c>
      <c r="BX24" s="135">
        <f t="shared" si="8"/>
        <v>0</v>
      </c>
      <c r="BY24" s="134">
        <f t="shared" si="9"/>
        <v>5.1652777777781012</v>
      </c>
      <c r="BZ24" s="134">
        <f t="shared" si="10"/>
        <v>12.586805555554747</v>
      </c>
      <c r="CA24" s="133">
        <f t="shared" si="11"/>
        <v>0.41037241379315548</v>
      </c>
    </row>
    <row r="25" spans="1:79" s="126" customFormat="1">
      <c r="A25" s="192">
        <f t="shared" si="15"/>
        <v>45019.997916666667</v>
      </c>
      <c r="B25" s="126" t="s">
        <v>228</v>
      </c>
      <c r="C25" s="126" t="s">
        <v>229</v>
      </c>
      <c r="D25" s="126" t="s">
        <v>215</v>
      </c>
      <c r="E25" s="65" t="s">
        <v>1207</v>
      </c>
      <c r="G25" s="73">
        <v>45016.291666666664</v>
      </c>
      <c r="H25" s="73">
        <v>45016.208333333336</v>
      </c>
      <c r="I25" s="126" t="s">
        <v>231</v>
      </c>
      <c r="J25" s="126" t="s">
        <v>192</v>
      </c>
      <c r="K25" s="126" t="s">
        <v>192</v>
      </c>
      <c r="L25" s="126" t="s">
        <v>1206</v>
      </c>
      <c r="M25" s="167"/>
      <c r="N25" s="126" t="s">
        <v>374</v>
      </c>
      <c r="O25" s="126" t="s">
        <v>375</v>
      </c>
      <c r="P25" s="126" t="s">
        <v>240</v>
      </c>
      <c r="Q25" s="181">
        <v>7508.4480000000003</v>
      </c>
      <c r="R25" s="181">
        <v>3369</v>
      </c>
      <c r="S25" s="181"/>
      <c r="X25" s="181">
        <f>R25</f>
        <v>3369</v>
      </c>
      <c r="AW25" s="165">
        <f t="shared" si="1"/>
        <v>45014.059027777781</v>
      </c>
      <c r="AX25" s="165">
        <f t="shared" si="2"/>
        <v>45030.708333333336</v>
      </c>
      <c r="AY25" s="137">
        <f t="shared" si="3"/>
        <v>16.649305555554747</v>
      </c>
      <c r="AZ25" s="165">
        <v>45014.059027777781</v>
      </c>
      <c r="BA25" s="165">
        <v>45014.583333333336</v>
      </c>
      <c r="BB25" s="165">
        <v>45016.673611111109</v>
      </c>
      <c r="BC25" s="165">
        <v>45019.997916666667</v>
      </c>
      <c r="BD25" s="165">
        <v>45020.131944444445</v>
      </c>
      <c r="BE25" s="165">
        <v>45020.142361111109</v>
      </c>
      <c r="BF25" s="165">
        <v>45020.277777777781</v>
      </c>
      <c r="BG25" s="165">
        <f t="shared" si="16"/>
        <v>45021.986111111117</v>
      </c>
      <c r="BH25" s="165">
        <v>45022.25</v>
      </c>
      <c r="BI25" s="165">
        <v>45022.416666666664</v>
      </c>
      <c r="BJ25" s="165">
        <v>45022.28125</v>
      </c>
      <c r="BK25" s="165">
        <v>45026.645833333336</v>
      </c>
      <c r="BL25" s="165">
        <v>45030.184027777781</v>
      </c>
      <c r="BM25" s="165">
        <v>45030.333333333336</v>
      </c>
      <c r="BN25" s="165">
        <v>45030.347222222219</v>
      </c>
      <c r="BO25" s="165">
        <v>45030.347222222219</v>
      </c>
      <c r="BP25" s="165">
        <v>45030.708333333336</v>
      </c>
      <c r="BS25" s="136">
        <f t="shared" si="4"/>
        <v>50.166666666569654</v>
      </c>
      <c r="BT25" s="136">
        <f t="shared" si="5"/>
        <v>3.2166666666744277</v>
      </c>
      <c r="BU25" s="136">
        <f t="shared" si="6"/>
        <v>41.000000000058208</v>
      </c>
      <c r="BV25" s="136">
        <f t="shared" si="14"/>
        <v>101.50000000011642</v>
      </c>
      <c r="BW25" s="135">
        <f t="shared" si="7"/>
        <v>3.5833333333139308</v>
      </c>
      <c r="BX25" s="135">
        <f t="shared" si="8"/>
        <v>8.6666666668024845</v>
      </c>
      <c r="BY25" s="134">
        <f t="shared" si="9"/>
        <v>8.67222222223063</v>
      </c>
      <c r="BZ25" s="134">
        <f t="shared" si="10"/>
        <v>16.649305555554747</v>
      </c>
      <c r="CA25" s="133">
        <f t="shared" si="11"/>
        <v>0.52087591240928943</v>
      </c>
    </row>
    <row r="26" spans="1:79" s="126" customFormat="1">
      <c r="A26" s="192">
        <f t="shared" si="15"/>
        <v>45020.232638888891</v>
      </c>
      <c r="B26" s="126" t="s">
        <v>228</v>
      </c>
      <c r="C26" s="126" t="s">
        <v>229</v>
      </c>
      <c r="D26" s="126" t="s">
        <v>215</v>
      </c>
      <c r="E26" s="126" t="s">
        <v>1027</v>
      </c>
      <c r="G26" s="73">
        <v>45022.208333333336</v>
      </c>
      <c r="H26" s="73">
        <v>45022.216666666667</v>
      </c>
      <c r="I26" s="126" t="s">
        <v>231</v>
      </c>
      <c r="J26" s="126" t="s">
        <v>192</v>
      </c>
      <c r="K26" s="126" t="s">
        <v>192</v>
      </c>
      <c r="L26" s="126" t="s">
        <v>1208</v>
      </c>
      <c r="M26" s="167"/>
      <c r="N26" s="126" t="s">
        <v>271</v>
      </c>
      <c r="O26" s="126" t="s">
        <v>272</v>
      </c>
      <c r="P26" s="126" t="s">
        <v>235</v>
      </c>
      <c r="Q26" s="181">
        <f>3852*2.4</f>
        <v>9244.7999999999993</v>
      </c>
      <c r="R26" s="181">
        <v>9263.9560000000001</v>
      </c>
      <c r="S26" s="181"/>
      <c r="W26" s="181">
        <f>R26</f>
        <v>9263.9560000000001</v>
      </c>
      <c r="AW26" s="165">
        <f t="shared" si="1"/>
        <v>45013.409722222219</v>
      </c>
      <c r="AX26" s="165">
        <f t="shared" si="2"/>
        <v>45026.048611111109</v>
      </c>
      <c r="AY26" s="137">
        <f t="shared" si="3"/>
        <v>12.638888888890506</v>
      </c>
      <c r="AZ26" s="165">
        <v>45013.409722222219</v>
      </c>
      <c r="BA26" s="165">
        <v>45014.579861111109</v>
      </c>
      <c r="BB26" s="165">
        <v>45016.715277777781</v>
      </c>
      <c r="BC26" s="165">
        <v>45020.232638888891</v>
      </c>
      <c r="BD26" s="165">
        <v>45020.46597222222</v>
      </c>
      <c r="BE26" s="165">
        <v>45020.475694444445</v>
      </c>
      <c r="BF26" s="165">
        <v>45020.475694444445</v>
      </c>
      <c r="BG26" s="165">
        <f t="shared" si="16"/>
        <v>45022.184027777781</v>
      </c>
      <c r="BH26" s="165">
        <v>45022.25</v>
      </c>
      <c r="BI26" s="165">
        <v>45022.416666666664</v>
      </c>
      <c r="BJ26" s="165">
        <v>45022.392361111109</v>
      </c>
      <c r="BK26" s="165">
        <v>45023.659722222219</v>
      </c>
      <c r="BL26" s="165">
        <v>45025.520833333336</v>
      </c>
      <c r="BM26" s="165">
        <v>45025.694444444445</v>
      </c>
      <c r="BN26" s="165">
        <v>45025.715277777781</v>
      </c>
      <c r="BO26" s="165">
        <v>45025.715277777781</v>
      </c>
      <c r="BP26" s="165">
        <v>45026.048611111109</v>
      </c>
      <c r="BS26" s="136">
        <f t="shared" si="4"/>
        <v>51.250000000116415</v>
      </c>
      <c r="BT26" s="136">
        <f t="shared" si="5"/>
        <v>5.5999999999185093</v>
      </c>
      <c r="BU26" s="136">
        <f t="shared" si="6"/>
        <v>41.000000000058208</v>
      </c>
      <c r="BV26" s="136">
        <f t="shared" si="14"/>
        <v>29.833333333313931</v>
      </c>
      <c r="BW26" s="135">
        <f t="shared" si="7"/>
        <v>4.1666666666278616</v>
      </c>
      <c r="BX26" s="135">
        <f t="shared" si="8"/>
        <v>7.9999999998835847</v>
      </c>
      <c r="BY26" s="134">
        <f t="shared" si="9"/>
        <v>5.8270833333299379</v>
      </c>
      <c r="BZ26" s="134">
        <f t="shared" si="10"/>
        <v>12.638888888890506</v>
      </c>
      <c r="CA26" s="133">
        <f t="shared" si="11"/>
        <v>0.46104395604362841</v>
      </c>
    </row>
    <row r="27" spans="1:79" s="126" customFormat="1">
      <c r="A27" s="192">
        <f t="shared" si="15"/>
        <v>45020.754166666666</v>
      </c>
      <c r="B27" s="126" t="s">
        <v>228</v>
      </c>
      <c r="C27" s="126" t="s">
        <v>229</v>
      </c>
      <c r="D27" s="126" t="s">
        <v>197</v>
      </c>
      <c r="E27" s="126" t="s">
        <v>1207</v>
      </c>
      <c r="G27" s="73">
        <v>45016.291666666664</v>
      </c>
      <c r="H27" s="73">
        <v>45016.208333333336</v>
      </c>
      <c r="I27" s="126" t="s">
        <v>231</v>
      </c>
      <c r="J27" s="126" t="s">
        <v>192</v>
      </c>
      <c r="K27" s="126" t="s">
        <v>192</v>
      </c>
      <c r="L27" s="126" t="s">
        <v>1209</v>
      </c>
      <c r="M27" s="167"/>
      <c r="N27" s="126" t="s">
        <v>257</v>
      </c>
      <c r="O27" s="126" t="s">
        <v>258</v>
      </c>
      <c r="P27" s="126" t="s">
        <v>240</v>
      </c>
      <c r="Q27" s="181">
        <f>3139*2.4</f>
        <v>7533.5999999999995</v>
      </c>
      <c r="R27" s="181">
        <v>7514.6869999999999</v>
      </c>
      <c r="S27" s="181"/>
      <c r="X27" s="181">
        <f>R27</f>
        <v>7514.6869999999999</v>
      </c>
      <c r="AW27" s="165">
        <f t="shared" si="1"/>
        <v>45014.489583333336</v>
      </c>
      <c r="AX27" s="165">
        <f t="shared" si="2"/>
        <v>45029.246527777781</v>
      </c>
      <c r="AY27" s="137">
        <f t="shared" si="3"/>
        <v>14.756944444445253</v>
      </c>
      <c r="AZ27" s="165">
        <v>45014.489583333336</v>
      </c>
      <c r="BA27" s="165">
        <v>45015.569444444445</v>
      </c>
      <c r="BB27" s="165">
        <v>45017.548611111109</v>
      </c>
      <c r="BC27" s="165">
        <v>45020.754166666666</v>
      </c>
      <c r="BD27" s="165">
        <v>45020.916666666664</v>
      </c>
      <c r="BE27" s="165">
        <v>45020.930555555555</v>
      </c>
      <c r="BF27" s="165">
        <v>45020.930555555555</v>
      </c>
      <c r="BG27" s="165">
        <f t="shared" si="16"/>
        <v>45022.638888888891</v>
      </c>
      <c r="BH27" s="165">
        <v>45023.25</v>
      </c>
      <c r="BI27" s="165">
        <v>45023.416666666664</v>
      </c>
      <c r="BJ27" s="165">
        <v>45023.295138888891</v>
      </c>
      <c r="BK27" s="165">
        <v>45024.479166666664</v>
      </c>
      <c r="BL27" s="165">
        <v>45028.569444444445</v>
      </c>
      <c r="BM27" s="165">
        <v>45028.833333333336</v>
      </c>
      <c r="BN27" s="165">
        <v>45028.847222222219</v>
      </c>
      <c r="BO27" s="165">
        <v>45028.847222222219</v>
      </c>
      <c r="BP27" s="165">
        <v>45029.246527777781</v>
      </c>
      <c r="BS27" s="136">
        <f t="shared" si="4"/>
        <v>47.499999999941792</v>
      </c>
      <c r="BT27" s="136">
        <f t="shared" si="5"/>
        <v>3.8999999999650754</v>
      </c>
      <c r="BU27" s="136">
        <f t="shared" si="6"/>
        <v>41.000000000058208</v>
      </c>
      <c r="BV27" s="136">
        <f t="shared" si="14"/>
        <v>25.5</v>
      </c>
      <c r="BW27" s="135">
        <f t="shared" si="7"/>
        <v>6.3333333333721384</v>
      </c>
      <c r="BX27" s="135">
        <f t="shared" si="8"/>
        <v>9.5833333334885538</v>
      </c>
      <c r="BY27" s="134">
        <f t="shared" si="9"/>
        <v>5.5756944444510737</v>
      </c>
      <c r="BZ27" s="134">
        <f t="shared" si="10"/>
        <v>14.756944444445253</v>
      </c>
      <c r="CA27" s="133">
        <f t="shared" si="11"/>
        <v>0.37783529411807559</v>
      </c>
    </row>
    <row r="28" spans="1:79" s="126" customFormat="1">
      <c r="A28" s="192">
        <f t="shared" si="15"/>
        <v>45020.490277777775</v>
      </c>
      <c r="B28" s="126" t="s">
        <v>228</v>
      </c>
      <c r="C28" s="126" t="s">
        <v>229</v>
      </c>
      <c r="D28" s="126" t="s">
        <v>215</v>
      </c>
      <c r="E28" s="65" t="s">
        <v>1207</v>
      </c>
      <c r="G28" s="73">
        <v>45016.291666666664</v>
      </c>
      <c r="H28" s="73">
        <v>45016.208333333336</v>
      </c>
      <c r="I28" s="126" t="s">
        <v>231</v>
      </c>
      <c r="J28" s="126" t="s">
        <v>192</v>
      </c>
      <c r="K28" s="126" t="s">
        <v>192</v>
      </c>
      <c r="L28" s="126" t="s">
        <v>1210</v>
      </c>
      <c r="M28" s="167"/>
      <c r="N28" s="126" t="s">
        <v>352</v>
      </c>
      <c r="O28" s="126" t="s">
        <v>353</v>
      </c>
      <c r="P28" s="126" t="s">
        <v>235</v>
      </c>
      <c r="Q28" s="181">
        <f>3852*2.4</f>
        <v>9244.7999999999993</v>
      </c>
      <c r="R28" s="181">
        <v>9037.3529999999992</v>
      </c>
      <c r="S28" s="181"/>
      <c r="W28" s="181">
        <f>R28</f>
        <v>9037.3529999999992</v>
      </c>
      <c r="AW28" s="165">
        <f t="shared" si="1"/>
        <v>45014.5</v>
      </c>
      <c r="AX28" s="165">
        <f t="shared" si="2"/>
        <v>45028.972222222219</v>
      </c>
      <c r="AY28" s="137">
        <f t="shared" si="3"/>
        <v>14.472222222218988</v>
      </c>
      <c r="AZ28" s="165">
        <v>45014.5</v>
      </c>
      <c r="BA28" s="165">
        <v>45015.611111111109</v>
      </c>
      <c r="BB28" s="165">
        <v>45017.552083333336</v>
      </c>
      <c r="BC28" s="165">
        <v>45020.490277777775</v>
      </c>
      <c r="BD28" s="165">
        <v>45020.714583333334</v>
      </c>
      <c r="BE28" s="165">
        <v>45020.725694444445</v>
      </c>
      <c r="BF28" s="165">
        <v>45020.725694444445</v>
      </c>
      <c r="BG28" s="165">
        <f t="shared" si="16"/>
        <v>45022.434027777781</v>
      </c>
      <c r="BH28" s="165">
        <v>45024.25</v>
      </c>
      <c r="BI28" s="165">
        <v>45024.416666666664</v>
      </c>
      <c r="BJ28" s="165">
        <v>45024.274305555555</v>
      </c>
      <c r="BK28" s="165">
        <v>45025.680555555555</v>
      </c>
      <c r="BL28" s="165">
        <v>45028.229166666664</v>
      </c>
      <c r="BM28" s="165">
        <v>45028.534722222219</v>
      </c>
      <c r="BN28" s="165">
        <v>45028.548611111109</v>
      </c>
      <c r="BO28" s="165">
        <v>45028.708333333336</v>
      </c>
      <c r="BP28" s="165">
        <v>45028.972222222219</v>
      </c>
      <c r="BS28" s="136">
        <f t="shared" si="4"/>
        <v>46.583333333430346</v>
      </c>
      <c r="BT28" s="136">
        <f t="shared" si="5"/>
        <v>5.3833333334187046</v>
      </c>
      <c r="BU28" s="136">
        <f t="shared" si="6"/>
        <v>41.000000000058208</v>
      </c>
      <c r="BV28" s="136">
        <f t="shared" si="14"/>
        <v>30.333333333372138</v>
      </c>
      <c r="BW28" s="135">
        <f t="shared" si="7"/>
        <v>7.3333333333139308</v>
      </c>
      <c r="BX28" s="135">
        <f t="shared" si="8"/>
        <v>6.3333333331975155</v>
      </c>
      <c r="BY28" s="134">
        <f t="shared" si="9"/>
        <v>5.7069444444496185</v>
      </c>
      <c r="BZ28" s="134">
        <f t="shared" si="10"/>
        <v>14.472222222218988</v>
      </c>
      <c r="CA28" s="133">
        <f t="shared" si="11"/>
        <v>0.39433781190063755</v>
      </c>
    </row>
    <row r="29" spans="1:79" s="126" customFormat="1">
      <c r="A29" s="192">
        <f t="shared" si="15"/>
        <v>45020.958333333336</v>
      </c>
      <c r="B29" s="126" t="s">
        <v>228</v>
      </c>
      <c r="C29" s="126" t="s">
        <v>229</v>
      </c>
      <c r="D29" s="126" t="s">
        <v>197</v>
      </c>
      <c r="E29" s="65" t="s">
        <v>1207</v>
      </c>
      <c r="G29" s="73">
        <v>45016.291666666664</v>
      </c>
      <c r="H29" s="73">
        <v>45016.208333333336</v>
      </c>
      <c r="I29" s="126" t="s">
        <v>231</v>
      </c>
      <c r="J29" s="126" t="s">
        <v>192</v>
      </c>
      <c r="K29" s="126" t="s">
        <v>192</v>
      </c>
      <c r="L29" s="126" t="s">
        <v>1211</v>
      </c>
      <c r="M29" s="167"/>
      <c r="N29" s="126" t="s">
        <v>233</v>
      </c>
      <c r="O29" s="126" t="s">
        <v>234</v>
      </c>
      <c r="P29" s="126" t="s">
        <v>240</v>
      </c>
      <c r="Q29" s="181">
        <f>3215*2.4</f>
        <v>7716</v>
      </c>
      <c r="R29" s="181">
        <v>7425.558</v>
      </c>
      <c r="S29" s="181"/>
      <c r="X29" s="181">
        <f>R29</f>
        <v>7425.558</v>
      </c>
      <c r="AW29" s="165">
        <f t="shared" si="1"/>
        <v>45014.548611111109</v>
      </c>
      <c r="AX29" s="165">
        <f t="shared" si="2"/>
        <v>45030.041666666664</v>
      </c>
      <c r="AY29" s="137">
        <f t="shared" si="3"/>
        <v>15.493055555554747</v>
      </c>
      <c r="AZ29" s="165">
        <v>45014.548611111109</v>
      </c>
      <c r="BA29" s="165">
        <v>45015.486111111109</v>
      </c>
      <c r="BB29" s="165">
        <v>45017.979166666664</v>
      </c>
      <c r="BC29" s="165">
        <v>45020.958333333336</v>
      </c>
      <c r="BD29" s="165">
        <v>45021.118055555555</v>
      </c>
      <c r="BE29" s="165">
        <v>45021.142361111109</v>
      </c>
      <c r="BF29" s="165">
        <v>45021.142361111109</v>
      </c>
      <c r="BG29" s="165">
        <f t="shared" si="16"/>
        <v>45022.850694444445</v>
      </c>
      <c r="BH29" s="165">
        <v>45024.25</v>
      </c>
      <c r="BI29" s="165">
        <v>45024.416666666664</v>
      </c>
      <c r="BJ29" s="165">
        <v>45024.326388888891</v>
      </c>
      <c r="BK29" s="165">
        <v>45025.729166666664</v>
      </c>
      <c r="BL29" s="165">
        <v>45029.159722222219</v>
      </c>
      <c r="BM29" s="165">
        <v>45029.486111111109</v>
      </c>
      <c r="BN29" s="165">
        <v>45029.506944444445</v>
      </c>
      <c r="BO29" s="165">
        <v>45029.75</v>
      </c>
      <c r="BP29" s="165">
        <v>45030.041666666664</v>
      </c>
      <c r="BS29" s="136">
        <f t="shared" si="4"/>
        <v>59.833333333313931</v>
      </c>
      <c r="BT29" s="136">
        <f t="shared" si="5"/>
        <v>3.8333333332557231</v>
      </c>
      <c r="BU29" s="136">
        <f t="shared" si="6"/>
        <v>41.000000000058208</v>
      </c>
      <c r="BV29" s="136">
        <f t="shared" si="14"/>
        <v>31.5</v>
      </c>
      <c r="BW29" s="135">
        <f t="shared" si="7"/>
        <v>7.8333333333721384</v>
      </c>
      <c r="BX29" s="135">
        <f t="shared" si="8"/>
        <v>6.9999999999417923</v>
      </c>
      <c r="BY29" s="134">
        <f t="shared" si="9"/>
        <v>6.2916666666642413</v>
      </c>
      <c r="BZ29" s="134">
        <f t="shared" si="10"/>
        <v>15.493055555554747</v>
      </c>
      <c r="CA29" s="133">
        <f t="shared" si="11"/>
        <v>0.4060959211114738</v>
      </c>
    </row>
    <row r="30" spans="1:79" s="126" customFormat="1">
      <c r="A30" s="192">
        <f t="shared" si="15"/>
        <v>45021.166666666664</v>
      </c>
      <c r="B30" s="126" t="s">
        <v>228</v>
      </c>
      <c r="C30" s="126" t="s">
        <v>229</v>
      </c>
      <c r="D30" s="126" t="s">
        <v>197</v>
      </c>
      <c r="E30" s="65" t="s">
        <v>1207</v>
      </c>
      <c r="G30" s="73">
        <v>45016.291666666664</v>
      </c>
      <c r="H30" s="73">
        <v>45016.208333333336</v>
      </c>
      <c r="I30" s="126" t="s">
        <v>231</v>
      </c>
      <c r="J30" s="126" t="s">
        <v>192</v>
      </c>
      <c r="K30" s="126" t="s">
        <v>192</v>
      </c>
      <c r="L30" s="126" t="s">
        <v>1212</v>
      </c>
      <c r="M30" s="167"/>
      <c r="N30" s="126" t="s">
        <v>406</v>
      </c>
      <c r="O30" s="126" t="s">
        <v>407</v>
      </c>
      <c r="P30" s="126" t="s">
        <v>240</v>
      </c>
      <c r="Q30" s="181">
        <f>3107*2.4</f>
        <v>7456.7999999999993</v>
      </c>
      <c r="R30" s="181">
        <v>7508.3819999999996</v>
      </c>
      <c r="S30" s="181"/>
      <c r="X30" s="181">
        <f>R30</f>
        <v>7508.3819999999996</v>
      </c>
      <c r="AW30" s="165">
        <f t="shared" si="1"/>
        <v>45014.923611111109</v>
      </c>
      <c r="AX30" s="165">
        <f t="shared" si="2"/>
        <v>45029.538194444445</v>
      </c>
      <c r="AY30" s="137">
        <f t="shared" si="3"/>
        <v>14.614583333335759</v>
      </c>
      <c r="AZ30" s="165">
        <v>45014.923611111109</v>
      </c>
      <c r="BA30" s="165">
        <v>45015.857638888891</v>
      </c>
      <c r="BB30" s="165">
        <v>45018.003472222219</v>
      </c>
      <c r="BC30" s="165">
        <v>45021.166666666664</v>
      </c>
      <c r="BD30" s="165">
        <v>45021.440972222219</v>
      </c>
      <c r="BE30" s="165">
        <v>45021.444444444445</v>
      </c>
      <c r="BF30" s="165">
        <v>45021.444444444445</v>
      </c>
      <c r="BG30" s="165">
        <f t="shared" si="16"/>
        <v>45023.152777777781</v>
      </c>
      <c r="BH30" s="165">
        <v>45024.25</v>
      </c>
      <c r="BI30" s="165">
        <v>45024.416666666664</v>
      </c>
      <c r="BJ30" s="165">
        <v>45024.381944444445</v>
      </c>
      <c r="BK30" s="165">
        <v>45025.395833333336</v>
      </c>
      <c r="BL30" s="165">
        <v>45028.868055555555</v>
      </c>
      <c r="BM30" s="165">
        <v>45029.125</v>
      </c>
      <c r="BN30" s="165">
        <v>45029.138888888891</v>
      </c>
      <c r="BO30" s="165">
        <v>45029.229166666664</v>
      </c>
      <c r="BP30" s="165">
        <v>45029.538194444445</v>
      </c>
      <c r="BS30" s="136">
        <f t="shared" si="4"/>
        <v>51.499999999883585</v>
      </c>
      <c r="BT30" s="136">
        <f t="shared" si="5"/>
        <v>6.5833333333139308</v>
      </c>
      <c r="BU30" s="136">
        <f t="shared" si="6"/>
        <v>41.000000000058208</v>
      </c>
      <c r="BV30" s="136">
        <f t="shared" si="14"/>
        <v>23.500000000116415</v>
      </c>
      <c r="BW30" s="135">
        <f t="shared" si="7"/>
        <v>6.1666666666860692</v>
      </c>
      <c r="BX30" s="135">
        <f t="shared" si="8"/>
        <v>7.4166666667442769</v>
      </c>
      <c r="BY30" s="134">
        <f t="shared" si="9"/>
        <v>5.6736111111167702</v>
      </c>
      <c r="BZ30" s="134">
        <f t="shared" si="10"/>
        <v>14.614583333335759</v>
      </c>
      <c r="CA30" s="133">
        <f t="shared" si="11"/>
        <v>0.38821572820179584</v>
      </c>
    </row>
    <row r="31" spans="1:79" s="126" customFormat="1">
      <c r="A31" s="192">
        <f t="shared" si="15"/>
        <v>45021.461805555555</v>
      </c>
      <c r="B31" s="126" t="s">
        <v>228</v>
      </c>
      <c r="C31" s="126" t="s">
        <v>229</v>
      </c>
      <c r="D31" s="126" t="s">
        <v>197</v>
      </c>
      <c r="E31" s="65" t="s">
        <v>1207</v>
      </c>
      <c r="G31" s="73">
        <v>45016.291666666664</v>
      </c>
      <c r="H31" s="73">
        <v>45016.208333333336</v>
      </c>
      <c r="I31" s="126" t="s">
        <v>231</v>
      </c>
      <c r="J31" s="126" t="s">
        <v>192</v>
      </c>
      <c r="K31" s="126" t="s">
        <v>192</v>
      </c>
      <c r="L31" s="126" t="s">
        <v>1213</v>
      </c>
      <c r="M31" s="167"/>
      <c r="N31" s="126" t="s">
        <v>346</v>
      </c>
      <c r="O31" s="126" t="s">
        <v>347</v>
      </c>
      <c r="P31" s="126" t="s">
        <v>235</v>
      </c>
      <c r="Q31" s="181">
        <f>3136*2.4</f>
        <v>7526.4</v>
      </c>
      <c r="R31" s="181">
        <f>7512.159-2932.252</f>
        <v>4579.9069999999992</v>
      </c>
      <c r="S31" s="181"/>
      <c r="W31" s="181">
        <f t="shared" ref="W31:W42" si="18">R31</f>
        <v>4579.9069999999992</v>
      </c>
      <c r="AW31" s="165">
        <f t="shared" si="1"/>
        <v>45013.05972222222</v>
      </c>
      <c r="AX31" s="165">
        <f t="shared" si="2"/>
        <v>45030.513888888891</v>
      </c>
      <c r="AY31" s="137">
        <f t="shared" si="3"/>
        <v>17.454166666670062</v>
      </c>
      <c r="AZ31" s="165">
        <v>45013.05972222222</v>
      </c>
      <c r="BA31" s="165">
        <v>45015.857638888891</v>
      </c>
      <c r="BB31" s="165">
        <v>45018.041666666664</v>
      </c>
      <c r="BC31" s="165">
        <v>45021.461805555555</v>
      </c>
      <c r="BD31" s="165">
        <v>45021.59375</v>
      </c>
      <c r="BE31" s="165">
        <v>45021.597222222219</v>
      </c>
      <c r="BF31" s="165">
        <v>45021.597222222219</v>
      </c>
      <c r="BG31" s="165">
        <f t="shared" si="16"/>
        <v>45023.305555555555</v>
      </c>
      <c r="BH31" s="165">
        <v>45024.25</v>
      </c>
      <c r="BI31" s="165">
        <v>45024.416666666664</v>
      </c>
      <c r="BJ31" s="165">
        <v>45024.267361111109</v>
      </c>
      <c r="BK31" s="165">
        <v>45025.729166666664</v>
      </c>
      <c r="BL31" s="165">
        <v>45030.215277777781</v>
      </c>
      <c r="BM31" s="165">
        <v>45030.486111111109</v>
      </c>
      <c r="BN31" s="165">
        <v>45030.513888888891</v>
      </c>
      <c r="BO31" s="165">
        <v>45030.513888888891</v>
      </c>
      <c r="BP31" s="165">
        <v>45030.513888888891</v>
      </c>
      <c r="BS31" s="136">
        <f t="shared" si="4"/>
        <v>52.416666666569654</v>
      </c>
      <c r="BT31" s="136">
        <f t="shared" si="5"/>
        <v>3.1666666666860692</v>
      </c>
      <c r="BU31" s="136">
        <f t="shared" si="6"/>
        <v>41.000000000058208</v>
      </c>
      <c r="BV31" s="136">
        <f t="shared" si="14"/>
        <v>31.5</v>
      </c>
      <c r="BW31" s="135">
        <f t="shared" si="7"/>
        <v>6.4999999998835847</v>
      </c>
      <c r="BX31" s="135">
        <f t="shared" si="8"/>
        <v>0</v>
      </c>
      <c r="BY31" s="134">
        <f t="shared" si="9"/>
        <v>5.6076388888832298</v>
      </c>
      <c r="BZ31" s="134">
        <f t="shared" si="10"/>
        <v>17.454166666670062</v>
      </c>
      <c r="CA31" s="133">
        <f t="shared" si="11"/>
        <v>0.32127795018661098</v>
      </c>
    </row>
    <row r="32" spans="1:79" s="126" customFormat="1">
      <c r="A32" s="192">
        <f t="shared" si="15"/>
        <v>45021.461805555555</v>
      </c>
      <c r="B32" s="126" t="s">
        <v>228</v>
      </c>
      <c r="C32" s="126" t="s">
        <v>229</v>
      </c>
      <c r="D32" s="126" t="s">
        <v>197</v>
      </c>
      <c r="E32" s="65" t="s">
        <v>1189</v>
      </c>
      <c r="G32" s="73">
        <v>45029.4375</v>
      </c>
      <c r="H32" s="73">
        <v>45029.415972222225</v>
      </c>
      <c r="I32" s="126" t="s">
        <v>231</v>
      </c>
      <c r="J32" s="126" t="s">
        <v>192</v>
      </c>
      <c r="K32" s="126" t="s">
        <v>192</v>
      </c>
      <c r="L32" s="126" t="s">
        <v>1213</v>
      </c>
      <c r="M32" s="167"/>
      <c r="N32" s="126" t="s">
        <v>346</v>
      </c>
      <c r="O32" s="126" t="s">
        <v>347</v>
      </c>
      <c r="P32" s="126" t="s">
        <v>235</v>
      </c>
      <c r="Q32" s="181">
        <f>3136*2.4</f>
        <v>7526.4</v>
      </c>
      <c r="R32" s="181">
        <v>2926</v>
      </c>
      <c r="S32" s="181"/>
      <c r="W32" s="181">
        <f t="shared" si="18"/>
        <v>2926</v>
      </c>
      <c r="AW32" s="165">
        <f t="shared" si="1"/>
        <v>45013.05972222222</v>
      </c>
      <c r="AX32" s="165">
        <f t="shared" si="2"/>
        <v>45033.513888888891</v>
      </c>
      <c r="AY32" s="137">
        <f t="shared" si="3"/>
        <v>20.454166666670062</v>
      </c>
      <c r="AZ32" s="165">
        <v>45013.05972222222</v>
      </c>
      <c r="BA32" s="165">
        <v>45015.857638888891</v>
      </c>
      <c r="BB32" s="165">
        <v>45018.041666666664</v>
      </c>
      <c r="BC32" s="165">
        <v>45021.461805555555</v>
      </c>
      <c r="BD32" s="165">
        <v>45021.59375</v>
      </c>
      <c r="BE32" s="165">
        <v>45021.597222222219</v>
      </c>
      <c r="BF32" s="165">
        <v>45021.597222222219</v>
      </c>
      <c r="BG32" s="165">
        <f t="shared" si="16"/>
        <v>45023.305555555555</v>
      </c>
      <c r="BH32" s="165">
        <v>45024.25</v>
      </c>
      <c r="BI32" s="165">
        <v>45024.416666666664</v>
      </c>
      <c r="BJ32" s="165">
        <v>45024.267361111109</v>
      </c>
      <c r="BK32" s="165">
        <v>45030.513888888891</v>
      </c>
      <c r="BL32" s="165">
        <v>45032.930555555555</v>
      </c>
      <c r="BM32" s="165">
        <v>45033.041666666664</v>
      </c>
      <c r="BN32" s="165">
        <v>45033.055555555555</v>
      </c>
      <c r="BO32" s="165">
        <v>45033.0625</v>
      </c>
      <c r="BP32" s="165">
        <v>45033.513888888891</v>
      </c>
      <c r="BS32" s="136">
        <f t="shared" si="4"/>
        <v>52.416666666569654</v>
      </c>
      <c r="BT32" s="136">
        <f t="shared" si="5"/>
        <v>3.1666666666860692</v>
      </c>
      <c r="BU32" s="136">
        <f t="shared" si="6"/>
        <v>41.000000000058208</v>
      </c>
      <c r="BV32" s="136">
        <f t="shared" si="14"/>
        <v>146.33333333343035</v>
      </c>
      <c r="BW32" s="135">
        <f t="shared" si="7"/>
        <v>2.6666666666278616</v>
      </c>
      <c r="BX32" s="135">
        <f t="shared" si="8"/>
        <v>10.833333333372138</v>
      </c>
      <c r="BY32" s="134">
        <f t="shared" si="9"/>
        <v>10.684027777781012</v>
      </c>
      <c r="BZ32" s="134">
        <f t="shared" si="10"/>
        <v>20.454166666670062</v>
      </c>
      <c r="CA32" s="133">
        <f t="shared" si="11"/>
        <v>0.52233991987513084</v>
      </c>
    </row>
    <row r="33" spans="1:79" s="126" customFormat="1">
      <c r="A33" s="192">
        <f t="shared" si="15"/>
        <v>45021.618055555555</v>
      </c>
      <c r="B33" s="126" t="s">
        <v>228</v>
      </c>
      <c r="C33" s="126" t="s">
        <v>229</v>
      </c>
      <c r="D33" s="126" t="s">
        <v>197</v>
      </c>
      <c r="E33" s="65" t="s">
        <v>1207</v>
      </c>
      <c r="G33" s="73">
        <v>45016.291666666664</v>
      </c>
      <c r="H33" s="73">
        <v>45016.208333333336</v>
      </c>
      <c r="I33" s="126" t="s">
        <v>231</v>
      </c>
      <c r="J33" s="126" t="s">
        <v>192</v>
      </c>
      <c r="K33" s="126" t="s">
        <v>192</v>
      </c>
      <c r="L33" s="126" t="s">
        <v>1214</v>
      </c>
      <c r="M33" s="167"/>
      <c r="N33" s="126" t="s">
        <v>263</v>
      </c>
      <c r="O33" s="126" t="s">
        <v>264</v>
      </c>
      <c r="P33" s="126" t="s">
        <v>235</v>
      </c>
      <c r="Q33" s="181">
        <f>3136*2.4</f>
        <v>7526.4</v>
      </c>
      <c r="R33" s="181">
        <v>7537.1030000000001</v>
      </c>
      <c r="S33" s="181"/>
      <c r="W33" s="181">
        <f t="shared" si="18"/>
        <v>7537.1030000000001</v>
      </c>
      <c r="AW33" s="165">
        <f t="shared" si="1"/>
        <v>45014.458333333336</v>
      </c>
      <c r="AX33" s="165">
        <f t="shared" si="2"/>
        <v>45030.479166666664</v>
      </c>
      <c r="AY33" s="137">
        <f t="shared" si="3"/>
        <v>16.020833333328483</v>
      </c>
      <c r="AZ33" s="165">
        <v>45014.458333333336</v>
      </c>
      <c r="BA33" s="165">
        <v>45016.618055555555</v>
      </c>
      <c r="BB33" s="165">
        <v>45018.375</v>
      </c>
      <c r="BC33" s="165">
        <v>45021.618055555555</v>
      </c>
      <c r="BD33" s="165">
        <v>45021.736111111109</v>
      </c>
      <c r="BE33" s="165">
        <v>45021.739583333336</v>
      </c>
      <c r="BF33" s="165">
        <v>45021.739583333336</v>
      </c>
      <c r="BG33" s="165">
        <f t="shared" si="16"/>
        <v>45023.447916666672</v>
      </c>
      <c r="BH33" s="165">
        <v>45024.25</v>
      </c>
      <c r="BI33" s="165">
        <v>45024.416666666664</v>
      </c>
      <c r="BJ33" s="165">
        <v>45024.274305555555</v>
      </c>
      <c r="BK33" s="165">
        <v>45025.375</v>
      </c>
      <c r="BL33" s="165">
        <v>45029.885416666664</v>
      </c>
      <c r="BM33" s="165">
        <v>45030.138888888891</v>
      </c>
      <c r="BN33" s="165">
        <v>45030.159722222219</v>
      </c>
      <c r="BO33" s="165">
        <v>45030.159722222219</v>
      </c>
      <c r="BP33" s="165">
        <v>45030.479166666664</v>
      </c>
      <c r="BQ33" s="126" t="s">
        <v>1215</v>
      </c>
      <c r="BS33" s="136">
        <f t="shared" si="4"/>
        <v>42.166666666686069</v>
      </c>
      <c r="BT33" s="136">
        <f t="shared" si="5"/>
        <v>2.8333333333139308</v>
      </c>
      <c r="BU33" s="136">
        <f t="shared" si="6"/>
        <v>41.000000000058208</v>
      </c>
      <c r="BV33" s="136">
        <f t="shared" si="14"/>
        <v>23.000000000058208</v>
      </c>
      <c r="BW33" s="135">
        <f t="shared" si="7"/>
        <v>6.0833333334303461</v>
      </c>
      <c r="BX33" s="135">
        <f t="shared" si="8"/>
        <v>7.6666666666860692</v>
      </c>
      <c r="BY33" s="134">
        <f t="shared" si="9"/>
        <v>5.1145833333430346</v>
      </c>
      <c r="BZ33" s="134">
        <f t="shared" si="10"/>
        <v>16.020833333328483</v>
      </c>
      <c r="CA33" s="133">
        <f t="shared" si="11"/>
        <v>0.31924577373282181</v>
      </c>
    </row>
    <row r="34" spans="1:79" s="126" customFormat="1">
      <c r="A34" s="192">
        <f t="shared" si="15"/>
        <v>45021.819444444445</v>
      </c>
      <c r="B34" s="126" t="s">
        <v>228</v>
      </c>
      <c r="C34" s="126" t="s">
        <v>229</v>
      </c>
      <c r="D34" s="126" t="s">
        <v>197</v>
      </c>
      <c r="E34" s="65" t="s">
        <v>394</v>
      </c>
      <c r="G34" s="73">
        <v>45021.958333333336</v>
      </c>
      <c r="H34" s="73">
        <v>45021.92083333333</v>
      </c>
      <c r="I34" s="126" t="s">
        <v>231</v>
      </c>
      <c r="J34" s="126" t="s">
        <v>192</v>
      </c>
      <c r="K34" s="126" t="s">
        <v>192</v>
      </c>
      <c r="L34" s="126" t="s">
        <v>1216</v>
      </c>
      <c r="M34" s="167"/>
      <c r="N34" s="126" t="s">
        <v>377</v>
      </c>
      <c r="O34" s="126" t="s">
        <v>378</v>
      </c>
      <c r="P34" s="126" t="s">
        <v>235</v>
      </c>
      <c r="Q34" s="181">
        <f>3271*2.4</f>
        <v>7850.4</v>
      </c>
      <c r="R34" s="181">
        <v>7784.6390000000001</v>
      </c>
      <c r="S34" s="181"/>
      <c r="W34" s="181">
        <f t="shared" si="18"/>
        <v>7784.6390000000001</v>
      </c>
      <c r="AW34" s="165">
        <f t="shared" si="1"/>
        <v>45015.423611111109</v>
      </c>
      <c r="AX34" s="165">
        <f t="shared" si="2"/>
        <v>45028.770833333336</v>
      </c>
      <c r="AY34" s="137">
        <f t="shared" si="3"/>
        <v>13.347222222226264</v>
      </c>
      <c r="AZ34" s="165">
        <v>45015.423611111109</v>
      </c>
      <c r="BA34" s="165">
        <v>45016.572916666664</v>
      </c>
      <c r="BB34" s="165">
        <v>45018.395833333336</v>
      </c>
      <c r="BC34" s="165">
        <v>45021.819444444445</v>
      </c>
      <c r="BD34" s="165">
        <v>45021.951388888891</v>
      </c>
      <c r="BE34" s="165">
        <v>45021.954861111109</v>
      </c>
      <c r="BF34" s="165">
        <v>45021.954861111109</v>
      </c>
      <c r="BG34" s="165">
        <f t="shared" si="16"/>
        <v>45023.663194444445</v>
      </c>
      <c r="BH34" s="165">
        <v>45024.25</v>
      </c>
      <c r="BI34" s="165">
        <v>45024.416666666664</v>
      </c>
      <c r="BJ34" s="165">
        <v>45024.305555555555</v>
      </c>
      <c r="BK34" s="165">
        <v>45025.541666666664</v>
      </c>
      <c r="BL34" s="165">
        <v>45028.118055555555</v>
      </c>
      <c r="BM34" s="165">
        <v>45028.472222222219</v>
      </c>
      <c r="BN34" s="165">
        <v>45028.482638888891</v>
      </c>
      <c r="BO34" s="165">
        <v>45028.482638888891</v>
      </c>
      <c r="BP34" s="165">
        <v>45028.770833333336</v>
      </c>
      <c r="BS34" s="136">
        <f t="shared" si="4"/>
        <v>43.750000000116415</v>
      </c>
      <c r="BT34" s="136">
        <f t="shared" si="5"/>
        <v>3.1666666666860692</v>
      </c>
      <c r="BU34" s="136">
        <f t="shared" si="6"/>
        <v>41.000000000058208</v>
      </c>
      <c r="BV34" s="136">
        <f t="shared" si="14"/>
        <v>27</v>
      </c>
      <c r="BW34" s="135">
        <f t="shared" si="7"/>
        <v>8.4999999999417923</v>
      </c>
      <c r="BX34" s="135">
        <f t="shared" si="8"/>
        <v>6.9166666666860692</v>
      </c>
      <c r="BY34" s="134">
        <f t="shared" si="9"/>
        <v>5.4305555555620231</v>
      </c>
      <c r="BZ34" s="134">
        <f t="shared" si="10"/>
        <v>13.347222222226264</v>
      </c>
      <c r="CA34" s="133">
        <f t="shared" si="11"/>
        <v>0.40686784599411785</v>
      </c>
    </row>
    <row r="35" spans="1:79" s="126" customFormat="1">
      <c r="A35" s="192">
        <f t="shared" si="15"/>
        <v>45021.982638888891</v>
      </c>
      <c r="B35" s="126" t="s">
        <v>228</v>
      </c>
      <c r="C35" s="126" t="s">
        <v>229</v>
      </c>
      <c r="D35" s="126" t="s">
        <v>197</v>
      </c>
      <c r="E35" s="65" t="s">
        <v>394</v>
      </c>
      <c r="G35" s="73">
        <v>45021.958333333336</v>
      </c>
      <c r="H35" s="73">
        <v>45021.92083333333</v>
      </c>
      <c r="I35" s="126" t="s">
        <v>231</v>
      </c>
      <c r="J35" s="126" t="s">
        <v>192</v>
      </c>
      <c r="K35" s="126" t="s">
        <v>192</v>
      </c>
      <c r="L35" s="126" t="s">
        <v>1217</v>
      </c>
      <c r="M35" s="167"/>
      <c r="N35" s="126" t="s">
        <v>288</v>
      </c>
      <c r="O35" s="126" t="s">
        <v>289</v>
      </c>
      <c r="P35" s="126" t="s">
        <v>235</v>
      </c>
      <c r="Q35" s="181">
        <f>3107*2.4</f>
        <v>7456.7999999999993</v>
      </c>
      <c r="R35" s="181">
        <v>7500.0619999999999</v>
      </c>
      <c r="S35" s="181"/>
      <c r="W35" s="181">
        <f t="shared" si="18"/>
        <v>7500.0619999999999</v>
      </c>
      <c r="AW35" s="165">
        <f t="shared" si="1"/>
        <v>45015.479166666664</v>
      </c>
      <c r="AX35" s="165">
        <f t="shared" si="2"/>
        <v>45029.416666666664</v>
      </c>
      <c r="AY35" s="137">
        <f t="shared" si="3"/>
        <v>13.9375</v>
      </c>
      <c r="AZ35" s="165">
        <v>45015.479166666664</v>
      </c>
      <c r="BA35" s="165">
        <v>45016.895833333336</v>
      </c>
      <c r="BB35" s="165">
        <v>45018.5</v>
      </c>
      <c r="BC35" s="165">
        <v>45021.982638888891</v>
      </c>
      <c r="BD35" s="165">
        <v>45022.142361111109</v>
      </c>
      <c r="BE35" s="165">
        <v>45022.145833333336</v>
      </c>
      <c r="BF35" s="165">
        <v>45022.145833333336</v>
      </c>
      <c r="BG35" s="165">
        <f t="shared" si="16"/>
        <v>45023.854166666672</v>
      </c>
      <c r="BH35" s="165">
        <v>45024.25</v>
      </c>
      <c r="BI35" s="165">
        <v>45024.416666666664</v>
      </c>
      <c r="BJ35" s="165">
        <v>45024.368055555555</v>
      </c>
      <c r="BK35" s="165">
        <v>45025.5625</v>
      </c>
      <c r="BL35" s="165">
        <v>45028.878472222219</v>
      </c>
      <c r="BM35" s="165">
        <v>45029.135416666664</v>
      </c>
      <c r="BN35" s="165">
        <v>45029.145833333336</v>
      </c>
      <c r="BO35" s="165">
        <v>45029.145833333336</v>
      </c>
      <c r="BP35" s="165">
        <v>45029.416666666664</v>
      </c>
      <c r="BS35" s="136">
        <f t="shared" si="4"/>
        <v>38.499999999941792</v>
      </c>
      <c r="BT35" s="136">
        <f t="shared" si="5"/>
        <v>3.8333333332557231</v>
      </c>
      <c r="BU35" s="136">
        <f t="shared" si="6"/>
        <v>41.000000000058208</v>
      </c>
      <c r="BV35" s="136">
        <f t="shared" si="14"/>
        <v>27.500000000058208</v>
      </c>
      <c r="BW35" s="135">
        <f t="shared" si="7"/>
        <v>6.1666666666860692</v>
      </c>
      <c r="BX35" s="135">
        <f t="shared" si="8"/>
        <v>6.4999999998835847</v>
      </c>
      <c r="BY35" s="134">
        <f t="shared" si="9"/>
        <v>5.1458333333284827</v>
      </c>
      <c r="BZ35" s="134">
        <f t="shared" si="10"/>
        <v>13.9375</v>
      </c>
      <c r="CA35" s="133">
        <f t="shared" si="11"/>
        <v>0.36920777279486872</v>
      </c>
    </row>
    <row r="36" spans="1:79" s="126" customFormat="1">
      <c r="A36" s="192">
        <f t="shared" si="15"/>
        <v>45022.177083333336</v>
      </c>
      <c r="B36" s="126" t="s">
        <v>228</v>
      </c>
      <c r="C36" s="126" t="s">
        <v>229</v>
      </c>
      <c r="D36" s="126" t="s">
        <v>197</v>
      </c>
      <c r="E36" s="65" t="s">
        <v>394</v>
      </c>
      <c r="G36" s="73">
        <v>45021.958333333336</v>
      </c>
      <c r="H36" s="73">
        <v>45021.92083333333</v>
      </c>
      <c r="I36" s="126" t="s">
        <v>231</v>
      </c>
      <c r="J36" s="126" t="s">
        <v>192</v>
      </c>
      <c r="K36" s="126" t="s">
        <v>192</v>
      </c>
      <c r="L36" s="126" t="s">
        <v>1218</v>
      </c>
      <c r="M36" s="167"/>
      <c r="N36" s="126" t="s">
        <v>380</v>
      </c>
      <c r="O36" s="126" t="s">
        <v>381</v>
      </c>
      <c r="P36" s="126" t="s">
        <v>235</v>
      </c>
      <c r="Q36" s="181">
        <f>3271*2.4</f>
        <v>7850.4</v>
      </c>
      <c r="R36" s="181">
        <v>7745.34</v>
      </c>
      <c r="S36" s="181"/>
      <c r="W36" s="181">
        <f t="shared" si="18"/>
        <v>7745.34</v>
      </c>
      <c r="AW36" s="165">
        <f t="shared" si="1"/>
        <v>45014.854166666664</v>
      </c>
      <c r="AX36" s="165">
        <f t="shared" si="2"/>
        <v>45030.125</v>
      </c>
      <c r="AY36" s="137">
        <f t="shared" si="3"/>
        <v>15.270833333335759</v>
      </c>
      <c r="AZ36" s="165">
        <v>45014.854166666664</v>
      </c>
      <c r="BA36" s="165">
        <v>45016.819444444445</v>
      </c>
      <c r="BB36" s="165">
        <v>45018.927083333336</v>
      </c>
      <c r="BC36" s="165">
        <v>45022.177083333336</v>
      </c>
      <c r="BD36" s="165">
        <v>45022.392361111109</v>
      </c>
      <c r="BE36" s="165">
        <v>45022.395833333336</v>
      </c>
      <c r="BF36" s="165">
        <v>45022.395833333336</v>
      </c>
      <c r="BG36" s="165">
        <f t="shared" si="16"/>
        <v>45024.104166666672</v>
      </c>
      <c r="BH36" s="165">
        <v>45024.25</v>
      </c>
      <c r="BI36" s="165">
        <v>45024.416666666664</v>
      </c>
      <c r="BJ36" s="165">
        <v>45024.263888888891</v>
      </c>
      <c r="BK36" s="165">
        <v>45025.645833333336</v>
      </c>
      <c r="BL36" s="165">
        <v>45029.454861111109</v>
      </c>
      <c r="BM36" s="165">
        <v>45029.743055555555</v>
      </c>
      <c r="BN36" s="165">
        <v>45029.75</v>
      </c>
      <c r="BO36" s="165">
        <v>45029.75</v>
      </c>
      <c r="BP36" s="165">
        <v>45030.125</v>
      </c>
      <c r="BS36" s="136">
        <f t="shared" si="4"/>
        <v>50.583333333372138</v>
      </c>
      <c r="BT36" s="136">
        <f t="shared" si="5"/>
        <v>5.1666666665696539</v>
      </c>
      <c r="BU36" s="136">
        <f t="shared" si="6"/>
        <v>41.000000000058208</v>
      </c>
      <c r="BV36" s="136">
        <f t="shared" si="14"/>
        <v>29.500000000116415</v>
      </c>
      <c r="BW36" s="135">
        <f t="shared" si="7"/>
        <v>6.9166666666860692</v>
      </c>
      <c r="BX36" s="135">
        <f t="shared" si="8"/>
        <v>9</v>
      </c>
      <c r="BY36" s="134">
        <f t="shared" si="9"/>
        <v>5.9236111111167702</v>
      </c>
      <c r="BZ36" s="134">
        <f t="shared" si="10"/>
        <v>15.270833333335759</v>
      </c>
      <c r="CA36" s="133">
        <f t="shared" si="11"/>
        <v>0.38790359254237355</v>
      </c>
    </row>
    <row r="37" spans="1:79" s="126" customFormat="1">
      <c r="A37" s="192">
        <f t="shared" si="15"/>
        <v>45022.423611111109</v>
      </c>
      <c r="B37" s="126" t="s">
        <v>228</v>
      </c>
      <c r="C37" s="126" t="s">
        <v>229</v>
      </c>
      <c r="D37" s="126" t="s">
        <v>197</v>
      </c>
      <c r="E37" s="65" t="s">
        <v>394</v>
      </c>
      <c r="G37" s="73">
        <v>45021.958333333336</v>
      </c>
      <c r="H37" s="73">
        <v>45021.92083333333</v>
      </c>
      <c r="I37" s="126" t="s">
        <v>231</v>
      </c>
      <c r="J37" s="126" t="s">
        <v>192</v>
      </c>
      <c r="K37" s="126" t="s">
        <v>192</v>
      </c>
      <c r="L37" s="126" t="s">
        <v>1219</v>
      </c>
      <c r="M37" s="167"/>
      <c r="N37" s="126" t="s">
        <v>505</v>
      </c>
      <c r="O37" s="126" t="s">
        <v>506</v>
      </c>
      <c r="P37" s="126" t="s">
        <v>235</v>
      </c>
      <c r="Q37" s="181">
        <f>3071*2.4</f>
        <v>7370.4</v>
      </c>
      <c r="R37" s="181">
        <v>7435.5219999999999</v>
      </c>
      <c r="S37" s="181"/>
      <c r="W37" s="181">
        <f t="shared" si="18"/>
        <v>7435.5219999999999</v>
      </c>
      <c r="AW37" s="165">
        <f t="shared" si="1"/>
        <v>45015.333333333336</v>
      </c>
      <c r="AX37" s="165">
        <f t="shared" si="2"/>
        <v>45030.805555555555</v>
      </c>
      <c r="AY37" s="137">
        <f t="shared" si="3"/>
        <v>15.472222222218988</v>
      </c>
      <c r="AZ37" s="165">
        <v>45015.333333333336</v>
      </c>
      <c r="BA37" s="165">
        <v>45017.378472222219</v>
      </c>
      <c r="BB37" s="165">
        <v>45019.083333333336</v>
      </c>
      <c r="BC37" s="165">
        <v>45022.423611111109</v>
      </c>
      <c r="BD37" s="165">
        <v>45022.944444444445</v>
      </c>
      <c r="BE37" s="165">
        <v>45022.951388888891</v>
      </c>
      <c r="BF37" s="165">
        <v>45022.951388888891</v>
      </c>
      <c r="BG37" s="165">
        <f t="shared" si="16"/>
        <v>45024.659722222226</v>
      </c>
      <c r="BH37" s="165">
        <v>45024.25</v>
      </c>
      <c r="BI37" s="165">
        <v>45024.416666666664</v>
      </c>
      <c r="BJ37" s="165">
        <v>45024.347222222219</v>
      </c>
      <c r="BK37" s="165">
        <v>45025.652777777781</v>
      </c>
      <c r="BL37" s="165">
        <v>45030.145833333336</v>
      </c>
      <c r="BM37" s="165">
        <v>45030.482638888891</v>
      </c>
      <c r="BN37" s="165">
        <v>45030.493055555555</v>
      </c>
      <c r="BO37" s="165">
        <v>45030.611111111109</v>
      </c>
      <c r="BP37" s="165">
        <v>45030.805555555555</v>
      </c>
      <c r="BS37" s="136">
        <f t="shared" si="4"/>
        <v>40.916666666802485</v>
      </c>
      <c r="BT37" s="136">
        <f t="shared" si="5"/>
        <v>12.500000000058208</v>
      </c>
      <c r="BU37" s="136">
        <f t="shared" si="6"/>
        <v>41.000000000058208</v>
      </c>
      <c r="BV37" s="136">
        <f t="shared" si="14"/>
        <v>29.666666666802485</v>
      </c>
      <c r="BW37" s="135">
        <f t="shared" si="7"/>
        <v>8.0833333333139308</v>
      </c>
      <c r="BX37" s="135">
        <f t="shared" si="8"/>
        <v>4.6666666666860692</v>
      </c>
      <c r="BY37" s="134">
        <f t="shared" si="9"/>
        <v>5.7013888889050577</v>
      </c>
      <c r="BZ37" s="134">
        <f t="shared" si="10"/>
        <v>15.472222222218988</v>
      </c>
      <c r="CA37" s="133">
        <f t="shared" si="11"/>
        <v>0.36849192100650802</v>
      </c>
    </row>
    <row r="38" spans="1:79" s="126" customFormat="1">
      <c r="A38" s="192">
        <f t="shared" si="15"/>
        <v>45022.970138888886</v>
      </c>
      <c r="B38" s="126" t="s">
        <v>228</v>
      </c>
      <c r="C38" s="126" t="s">
        <v>229</v>
      </c>
      <c r="D38" s="126" t="s">
        <v>197</v>
      </c>
      <c r="E38" s="65" t="s">
        <v>394</v>
      </c>
      <c r="G38" s="73">
        <v>45021.958333333336</v>
      </c>
      <c r="H38" s="73">
        <v>45021.92083333333</v>
      </c>
      <c r="I38" s="126" t="s">
        <v>231</v>
      </c>
      <c r="J38" s="126" t="s">
        <v>192</v>
      </c>
      <c r="K38" s="126" t="s">
        <v>192</v>
      </c>
      <c r="L38" s="126" t="s">
        <v>1220</v>
      </c>
      <c r="M38" s="167"/>
      <c r="N38" s="126" t="s">
        <v>361</v>
      </c>
      <c r="O38" s="126" t="s">
        <v>362</v>
      </c>
      <c r="P38" s="126" t="s">
        <v>235</v>
      </c>
      <c r="Q38" s="181">
        <f>3039*2.4</f>
        <v>7293.5999999999995</v>
      </c>
      <c r="R38" s="181">
        <f>7449.595-4169.308</f>
        <v>3280.2870000000003</v>
      </c>
      <c r="S38" s="181"/>
      <c r="W38" s="181">
        <f t="shared" si="18"/>
        <v>3280.2870000000003</v>
      </c>
      <c r="AW38" s="165">
        <f t="shared" si="1"/>
        <v>45017.340277777781</v>
      </c>
      <c r="AX38" s="165">
        <f t="shared" si="2"/>
        <v>45030.743055555555</v>
      </c>
      <c r="AY38" s="137">
        <f t="shared" si="3"/>
        <v>13.402777777773736</v>
      </c>
      <c r="AZ38" s="165">
        <v>45017.340277777781</v>
      </c>
      <c r="BA38" s="165">
        <v>45019.90625</v>
      </c>
      <c r="BB38" s="165">
        <v>45021.541666666664</v>
      </c>
      <c r="BC38" s="165">
        <v>45022.970138888886</v>
      </c>
      <c r="BD38" s="165">
        <v>45023.163194444445</v>
      </c>
      <c r="BE38" s="165">
        <v>45023.170138888891</v>
      </c>
      <c r="BF38" s="165">
        <v>45023.319444444445</v>
      </c>
      <c r="BG38" s="165">
        <f t="shared" si="16"/>
        <v>45025.027777777781</v>
      </c>
      <c r="BH38" s="165">
        <v>45025.25</v>
      </c>
      <c r="BI38" s="165">
        <v>45025.416666666664</v>
      </c>
      <c r="BJ38" s="165">
        <v>45025.298611111109</v>
      </c>
      <c r="BK38" s="165">
        <v>45026.53125</v>
      </c>
      <c r="BL38" s="165">
        <v>45030.520833333336</v>
      </c>
      <c r="BM38" s="165">
        <v>45030.708333333336</v>
      </c>
      <c r="BN38" s="165">
        <v>45030.743055555555</v>
      </c>
      <c r="BO38" s="165">
        <v>45030.743055555555</v>
      </c>
      <c r="BP38" s="165">
        <v>45030.743055555555</v>
      </c>
      <c r="BS38" s="136">
        <f t="shared" si="4"/>
        <v>39.249999999941792</v>
      </c>
      <c r="BT38" s="136">
        <f t="shared" si="5"/>
        <v>4.6333333334187046</v>
      </c>
      <c r="BU38" s="136">
        <f t="shared" si="6"/>
        <v>41.000000000058208</v>
      </c>
      <c r="BV38" s="136">
        <f t="shared" si="14"/>
        <v>26.750000000058208</v>
      </c>
      <c r="BW38" s="135">
        <f t="shared" si="7"/>
        <v>4.5</v>
      </c>
      <c r="BX38" s="135">
        <f t="shared" si="8"/>
        <v>0</v>
      </c>
      <c r="BY38" s="134">
        <f t="shared" si="9"/>
        <v>4.8388888888948713</v>
      </c>
      <c r="BZ38" s="134">
        <f t="shared" si="10"/>
        <v>13.402777777773736</v>
      </c>
      <c r="CA38" s="133">
        <f t="shared" si="11"/>
        <v>0.36103626943060707</v>
      </c>
    </row>
    <row r="39" spans="1:79" s="126" customFormat="1">
      <c r="A39" s="192">
        <f t="shared" si="15"/>
        <v>45022.970138888886</v>
      </c>
      <c r="B39" s="126" t="s">
        <v>228</v>
      </c>
      <c r="C39" s="126" t="s">
        <v>229</v>
      </c>
      <c r="D39" s="126" t="s">
        <v>197</v>
      </c>
      <c r="E39" s="65" t="s">
        <v>1189</v>
      </c>
      <c r="G39" s="73">
        <v>45029.4375</v>
      </c>
      <c r="H39" s="73">
        <v>45029.415972222225</v>
      </c>
      <c r="I39" s="126" t="s">
        <v>231</v>
      </c>
      <c r="J39" s="126" t="s">
        <v>192</v>
      </c>
      <c r="K39" s="126" t="s">
        <v>192</v>
      </c>
      <c r="L39" s="126" t="s">
        <v>1220</v>
      </c>
      <c r="M39" s="167"/>
      <c r="N39" s="126" t="s">
        <v>361</v>
      </c>
      <c r="O39" s="126" t="s">
        <v>362</v>
      </c>
      <c r="P39" s="126" t="s">
        <v>235</v>
      </c>
      <c r="Q39" s="181">
        <f>3039*2.4</f>
        <v>7293.5999999999995</v>
      </c>
      <c r="R39" s="181">
        <v>4166</v>
      </c>
      <c r="S39" s="181"/>
      <c r="W39" s="181">
        <f t="shared" si="18"/>
        <v>4166</v>
      </c>
      <c r="AW39" s="165">
        <f t="shared" si="1"/>
        <v>45017.340277777781</v>
      </c>
      <c r="AX39" s="165">
        <f t="shared" si="2"/>
        <v>45033.409722222219</v>
      </c>
      <c r="AY39" s="137">
        <f t="shared" si="3"/>
        <v>16.069444444437977</v>
      </c>
      <c r="AZ39" s="165">
        <v>45017.340277777781</v>
      </c>
      <c r="BA39" s="165">
        <v>45019.90625</v>
      </c>
      <c r="BB39" s="165">
        <v>45021.541666666664</v>
      </c>
      <c r="BC39" s="165">
        <v>45022.970138888886</v>
      </c>
      <c r="BD39" s="165">
        <v>45023.163194444445</v>
      </c>
      <c r="BE39" s="165">
        <v>45023.170138888891</v>
      </c>
      <c r="BF39" s="165">
        <v>45023.319444444445</v>
      </c>
      <c r="BG39" s="165">
        <f t="shared" si="16"/>
        <v>45025.027777777781</v>
      </c>
      <c r="BH39" s="165">
        <v>45025.25</v>
      </c>
      <c r="BI39" s="165">
        <v>45025.416666666664</v>
      </c>
      <c r="BJ39" s="165">
        <v>45025.298611111109</v>
      </c>
      <c r="BK39" s="165">
        <v>45030.743055555555</v>
      </c>
      <c r="BL39" s="165">
        <v>45032.958333333336</v>
      </c>
      <c r="BM39" s="165">
        <v>45033.118055555555</v>
      </c>
      <c r="BN39" s="165">
        <v>45033.131944444445</v>
      </c>
      <c r="BO39" s="165">
        <v>45033.131944444445</v>
      </c>
      <c r="BP39" s="165">
        <v>45033.409722222219</v>
      </c>
      <c r="BS39" s="136">
        <f t="shared" si="4"/>
        <v>39.249999999941792</v>
      </c>
      <c r="BT39" s="136">
        <f t="shared" si="5"/>
        <v>4.6333333334187046</v>
      </c>
      <c r="BU39" s="136">
        <f t="shared" si="6"/>
        <v>41.000000000058208</v>
      </c>
      <c r="BV39" s="136">
        <f t="shared" si="14"/>
        <v>127.83333333337214</v>
      </c>
      <c r="BW39" s="135">
        <f t="shared" si="7"/>
        <v>3.8333333332557231</v>
      </c>
      <c r="BX39" s="135">
        <f t="shared" si="8"/>
        <v>6.6666666665696539</v>
      </c>
      <c r="BY39" s="134">
        <f t="shared" si="9"/>
        <v>9.3006944444423425</v>
      </c>
      <c r="BZ39" s="134">
        <f t="shared" si="10"/>
        <v>16.069444444437977</v>
      </c>
      <c r="CA39" s="133">
        <f t="shared" si="11"/>
        <v>0.57878133102862417</v>
      </c>
    </row>
    <row r="40" spans="1:79" s="126" customFormat="1">
      <c r="A40" s="192">
        <f t="shared" si="15"/>
        <v>45023.192361111112</v>
      </c>
      <c r="B40" s="126" t="s">
        <v>228</v>
      </c>
      <c r="C40" s="126" t="s">
        <v>229</v>
      </c>
      <c r="D40" s="126" t="s">
        <v>215</v>
      </c>
      <c r="E40" s="65" t="s">
        <v>394</v>
      </c>
      <c r="G40" s="73">
        <v>45021.958333333336</v>
      </c>
      <c r="H40" s="73">
        <v>45021.92083333333</v>
      </c>
      <c r="I40" s="126" t="s">
        <v>231</v>
      </c>
      <c r="J40" s="126" t="s">
        <v>192</v>
      </c>
      <c r="K40" s="126" t="s">
        <v>192</v>
      </c>
      <c r="L40" s="126" t="s">
        <v>1221</v>
      </c>
      <c r="M40" s="167"/>
      <c r="N40" s="126" t="s">
        <v>252</v>
      </c>
      <c r="O40" s="126" t="s">
        <v>253</v>
      </c>
      <c r="P40" s="126" t="s">
        <v>235</v>
      </c>
      <c r="Q40" s="181">
        <f>3107*2.4</f>
        <v>7456.7999999999993</v>
      </c>
      <c r="R40" s="181">
        <v>7484.15</v>
      </c>
      <c r="S40" s="181"/>
      <c r="W40" s="181">
        <f t="shared" si="18"/>
        <v>7484.15</v>
      </c>
      <c r="AW40" s="165">
        <f t="shared" si="1"/>
        <v>45018</v>
      </c>
      <c r="AX40" s="165">
        <f t="shared" si="2"/>
        <v>45029.229166666664</v>
      </c>
      <c r="AY40" s="137">
        <f t="shared" si="3"/>
        <v>11.229166666664241</v>
      </c>
      <c r="AZ40" s="165">
        <v>45018</v>
      </c>
      <c r="BA40" s="165">
        <v>45019.822916666664</v>
      </c>
      <c r="BB40" s="165">
        <v>45021.666666666664</v>
      </c>
      <c r="BC40" s="165">
        <v>45023.192361111112</v>
      </c>
      <c r="BD40" s="165">
        <v>45023.447222222225</v>
      </c>
      <c r="BE40" s="165">
        <v>45023.451388888891</v>
      </c>
      <c r="BF40" s="165">
        <v>45023.451388888891</v>
      </c>
      <c r="BG40" s="165">
        <f t="shared" si="16"/>
        <v>45025.159722222226</v>
      </c>
      <c r="BH40" s="165">
        <v>45026.25</v>
      </c>
      <c r="BI40" s="165">
        <v>45026.416666666664</v>
      </c>
      <c r="BJ40" s="165">
        <v>45026.263888888891</v>
      </c>
      <c r="BK40" s="165">
        <v>45027.458333333336</v>
      </c>
      <c r="BL40" s="165">
        <v>45028.517361111109</v>
      </c>
      <c r="BM40" s="165">
        <v>45028.847222222219</v>
      </c>
      <c r="BN40" s="165">
        <v>45028.854166666664</v>
      </c>
      <c r="BO40" s="165">
        <v>45028.854166666664</v>
      </c>
      <c r="BP40" s="165">
        <v>45029.229166666664</v>
      </c>
      <c r="BS40" s="136">
        <f t="shared" si="4"/>
        <v>44.25</v>
      </c>
      <c r="BT40" s="136">
        <f t="shared" si="5"/>
        <v>6.1166666666977108</v>
      </c>
      <c r="BU40" s="136">
        <f t="shared" si="6"/>
        <v>41.000000000058208</v>
      </c>
      <c r="BV40" s="136">
        <f t="shared" si="14"/>
        <v>25.000000000116415</v>
      </c>
      <c r="BW40" s="135">
        <f t="shared" si="7"/>
        <v>7.9166666666278616</v>
      </c>
      <c r="BX40" s="135">
        <f t="shared" si="8"/>
        <v>9</v>
      </c>
      <c r="BY40" s="134">
        <f t="shared" si="9"/>
        <v>5.5534722222291748</v>
      </c>
      <c r="BZ40" s="134">
        <f t="shared" si="10"/>
        <v>11.229166666664241</v>
      </c>
      <c r="CA40" s="133">
        <f t="shared" si="11"/>
        <v>0.49455782312997765</v>
      </c>
    </row>
    <row r="41" spans="1:79" s="126" customFormat="1">
      <c r="A41" s="192">
        <f t="shared" si="15"/>
        <v>45023.472222222219</v>
      </c>
      <c r="B41" s="126" t="s">
        <v>228</v>
      </c>
      <c r="C41" s="126" t="s">
        <v>229</v>
      </c>
      <c r="D41" s="126" t="s">
        <v>197</v>
      </c>
      <c r="E41" s="65" t="s">
        <v>1222</v>
      </c>
      <c r="G41" s="73">
        <v>45028.354166666664</v>
      </c>
      <c r="H41" s="73">
        <v>45028.270833333336</v>
      </c>
      <c r="I41" s="126" t="s">
        <v>243</v>
      </c>
      <c r="J41" s="126" t="s">
        <v>192</v>
      </c>
      <c r="K41" s="126" t="s">
        <v>192</v>
      </c>
      <c r="L41" s="126" t="s">
        <v>1223</v>
      </c>
      <c r="M41" s="167"/>
      <c r="N41" s="126" t="s">
        <v>205</v>
      </c>
      <c r="O41" s="126" t="s">
        <v>206</v>
      </c>
      <c r="P41" s="126" t="s">
        <v>235</v>
      </c>
      <c r="Q41" s="181">
        <f>3015*2.4</f>
        <v>7236</v>
      </c>
      <c r="R41" s="181">
        <v>7206.7160000000003</v>
      </c>
      <c r="S41" s="181"/>
      <c r="W41" s="181">
        <f t="shared" si="18"/>
        <v>7206.7160000000003</v>
      </c>
      <c r="AW41" s="165">
        <f t="shared" si="1"/>
        <v>45016.53125</v>
      </c>
      <c r="AX41" s="165">
        <f t="shared" si="2"/>
        <v>45031.996527777781</v>
      </c>
      <c r="AY41" s="137">
        <f t="shared" si="3"/>
        <v>15.465277777781012</v>
      </c>
      <c r="AZ41" s="165">
        <v>45016.53125</v>
      </c>
      <c r="BA41" s="165">
        <v>45019.847222222219</v>
      </c>
      <c r="BB41" s="165">
        <v>45021.673611111109</v>
      </c>
      <c r="BC41" s="165">
        <v>45023.472222222219</v>
      </c>
      <c r="BD41" s="165">
        <v>45023.635416666664</v>
      </c>
      <c r="BE41" s="165">
        <v>45023.638888888891</v>
      </c>
      <c r="BF41" s="165">
        <v>45023.638888888891</v>
      </c>
      <c r="BG41" s="165">
        <f t="shared" si="16"/>
        <v>45025.347222222226</v>
      </c>
      <c r="BH41" s="165">
        <v>45025.25</v>
      </c>
      <c r="BI41" s="165">
        <v>45025.416666666664</v>
      </c>
      <c r="BJ41" s="165">
        <v>45025.392361111109</v>
      </c>
      <c r="BK41" s="165">
        <v>45028.295138888891</v>
      </c>
      <c r="BL41" s="165">
        <v>45031.0625</v>
      </c>
      <c r="BM41" s="165">
        <v>45031.263888888891</v>
      </c>
      <c r="BN41" s="165">
        <v>45031.28125</v>
      </c>
      <c r="BO41" s="165">
        <v>45031.5625</v>
      </c>
      <c r="BP41" s="165">
        <v>45031.996527777781</v>
      </c>
      <c r="BS41" s="136">
        <f t="shared" si="4"/>
        <v>43.833333333372138</v>
      </c>
      <c r="BT41" s="136">
        <f t="shared" si="5"/>
        <v>3.9166666666860692</v>
      </c>
      <c r="BU41" s="136">
        <f t="shared" si="6"/>
        <v>41.000000000058208</v>
      </c>
      <c r="BV41" s="136">
        <f t="shared" si="14"/>
        <v>69.083333333430346</v>
      </c>
      <c r="BW41" s="135">
        <f t="shared" si="7"/>
        <v>4.8333333333721384</v>
      </c>
      <c r="BX41" s="135">
        <f t="shared" si="8"/>
        <v>10.416666666744277</v>
      </c>
      <c r="BY41" s="134">
        <f t="shared" si="9"/>
        <v>7.211805555569299</v>
      </c>
      <c r="BZ41" s="134">
        <f t="shared" si="10"/>
        <v>15.465277777781012</v>
      </c>
      <c r="CA41" s="133">
        <f t="shared" si="11"/>
        <v>0.4663224068261167</v>
      </c>
    </row>
    <row r="42" spans="1:79" s="126" customFormat="1">
      <c r="A42" s="192">
        <f t="shared" si="15"/>
        <v>45023.666666666664</v>
      </c>
      <c r="B42" s="126" t="s">
        <v>228</v>
      </c>
      <c r="C42" s="126" t="s">
        <v>229</v>
      </c>
      <c r="D42" s="126" t="s">
        <v>197</v>
      </c>
      <c r="E42" s="65" t="s">
        <v>1222</v>
      </c>
      <c r="G42" s="73">
        <v>45028.354166666664</v>
      </c>
      <c r="H42" s="73">
        <v>45028.270833333336</v>
      </c>
      <c r="I42" s="126" t="s">
        <v>243</v>
      </c>
      <c r="J42" s="126" t="s">
        <v>192</v>
      </c>
      <c r="K42" s="126" t="s">
        <v>192</v>
      </c>
      <c r="L42" s="126" t="s">
        <v>1224</v>
      </c>
      <c r="M42" s="167"/>
      <c r="N42" s="126" t="s">
        <v>304</v>
      </c>
      <c r="O42" s="126" t="s">
        <v>305</v>
      </c>
      <c r="P42" s="126" t="s">
        <v>235</v>
      </c>
      <c r="Q42" s="181">
        <f>3107*2.4</f>
        <v>7456.7999999999993</v>
      </c>
      <c r="R42" s="181">
        <v>7606.6459999999997</v>
      </c>
      <c r="S42" s="181"/>
      <c r="W42" s="181">
        <f t="shared" si="18"/>
        <v>7606.6459999999997</v>
      </c>
      <c r="AW42" s="165">
        <f t="shared" si="1"/>
        <v>45017.083333333336</v>
      </c>
      <c r="AX42" s="165">
        <f t="shared" si="2"/>
        <v>45032.875</v>
      </c>
      <c r="AY42" s="137">
        <f t="shared" si="3"/>
        <v>15.791666666664241</v>
      </c>
      <c r="AZ42" s="165">
        <v>45017.083333333336</v>
      </c>
      <c r="BA42" s="165">
        <v>45019.927083333336</v>
      </c>
      <c r="BB42" s="165">
        <v>45021.6875</v>
      </c>
      <c r="BC42" s="165">
        <v>45023.666666666664</v>
      </c>
      <c r="BD42" s="165">
        <v>45023.888888888891</v>
      </c>
      <c r="BE42" s="165">
        <v>45023.892361111109</v>
      </c>
      <c r="BF42" s="165">
        <v>45024.277777777781</v>
      </c>
      <c r="BG42" s="165">
        <f t="shared" si="16"/>
        <v>45025.986111111117</v>
      </c>
      <c r="BH42" s="165">
        <v>45026.25</v>
      </c>
      <c r="BI42" s="165">
        <v>45026.416666666664</v>
      </c>
      <c r="BJ42" s="165">
        <v>45026.298611111109</v>
      </c>
      <c r="BK42" s="165">
        <v>45028.5</v>
      </c>
      <c r="BL42" s="165">
        <v>45032.097222222219</v>
      </c>
      <c r="BM42" s="165">
        <v>45032.3125</v>
      </c>
      <c r="BN42" s="165">
        <v>45032.333333333336</v>
      </c>
      <c r="BO42" s="165">
        <v>45032.458333333336</v>
      </c>
      <c r="BP42" s="165">
        <v>45032.875</v>
      </c>
      <c r="BS42" s="136">
        <f t="shared" si="4"/>
        <v>42.249999999941792</v>
      </c>
      <c r="BT42" s="136">
        <f t="shared" si="5"/>
        <v>5.3333333334303461</v>
      </c>
      <c r="BU42" s="136">
        <f t="shared" si="6"/>
        <v>41.000000000058208</v>
      </c>
      <c r="BV42" s="136">
        <f t="shared" si="14"/>
        <v>50.000000000058208</v>
      </c>
      <c r="BW42" s="135">
        <f t="shared" si="7"/>
        <v>5.1666666667442769</v>
      </c>
      <c r="BX42" s="135">
        <f t="shared" si="8"/>
        <v>9.9999999999417923</v>
      </c>
      <c r="BY42" s="134">
        <f t="shared" si="9"/>
        <v>6.406250000007276</v>
      </c>
      <c r="BZ42" s="134">
        <f t="shared" si="10"/>
        <v>15.791666666664241</v>
      </c>
      <c r="CA42" s="133">
        <f t="shared" si="11"/>
        <v>0.40567282321952042</v>
      </c>
    </row>
    <row r="43" spans="1:79" s="126" customFormat="1">
      <c r="A43" s="192">
        <f t="shared" si="15"/>
        <v>45023.915277777778</v>
      </c>
      <c r="B43" s="126" t="s">
        <v>228</v>
      </c>
      <c r="C43" s="126" t="s">
        <v>229</v>
      </c>
      <c r="D43" s="126" t="s">
        <v>197</v>
      </c>
      <c r="E43" s="65" t="s">
        <v>1222</v>
      </c>
      <c r="G43" s="73">
        <v>45028.354166666664</v>
      </c>
      <c r="H43" s="73">
        <v>45028.270833333336</v>
      </c>
      <c r="I43" s="126" t="s">
        <v>243</v>
      </c>
      <c r="J43" s="126" t="s">
        <v>192</v>
      </c>
      <c r="K43" s="126" t="s">
        <v>192</v>
      </c>
      <c r="L43" s="126" t="s">
        <v>1225</v>
      </c>
      <c r="M43" s="167"/>
      <c r="N43" s="126" t="s">
        <v>249</v>
      </c>
      <c r="O43" s="126" t="s">
        <v>250</v>
      </c>
      <c r="P43" s="126" t="s">
        <v>240</v>
      </c>
      <c r="Q43" s="181">
        <f>3139*2.4</f>
        <v>7533.5999999999995</v>
      </c>
      <c r="R43" s="181">
        <v>7540.8130000000001</v>
      </c>
      <c r="S43" s="181"/>
      <c r="X43" s="181">
        <f t="shared" ref="X43:X48" si="19">R43</f>
        <v>7540.8130000000001</v>
      </c>
      <c r="AW43" s="165">
        <f t="shared" si="1"/>
        <v>45018.666666666664</v>
      </c>
      <c r="AX43" s="165">
        <f t="shared" si="2"/>
        <v>45032.569444444445</v>
      </c>
      <c r="AY43" s="137">
        <f t="shared" si="3"/>
        <v>13.902777777781012</v>
      </c>
      <c r="AZ43" s="165">
        <v>45018.666666666664</v>
      </c>
      <c r="BA43" s="165">
        <v>45019.840277777781</v>
      </c>
      <c r="BB43" s="165">
        <v>45022.125</v>
      </c>
      <c r="BC43" s="165">
        <v>45023.915277777778</v>
      </c>
      <c r="BD43" s="165">
        <v>45024.079861111109</v>
      </c>
      <c r="BE43" s="165">
        <v>45024.090277777781</v>
      </c>
      <c r="BF43" s="165">
        <v>45024.291666666664</v>
      </c>
      <c r="BG43" s="165">
        <f t="shared" si="16"/>
        <v>45026</v>
      </c>
      <c r="BH43" s="165">
        <v>45026.25</v>
      </c>
      <c r="BI43" s="165">
        <v>45026.416666666664</v>
      </c>
      <c r="BJ43" s="165">
        <v>45026.291666666664</v>
      </c>
      <c r="BK43" s="165">
        <v>45028.458333333336</v>
      </c>
      <c r="BL43" s="165">
        <v>45031.684027777781</v>
      </c>
      <c r="BM43" s="165">
        <v>45032.006944444445</v>
      </c>
      <c r="BN43" s="165">
        <v>45032.03125</v>
      </c>
      <c r="BO43" s="165">
        <v>45032.034722222219</v>
      </c>
      <c r="BP43" s="165">
        <v>45032.569444444445</v>
      </c>
      <c r="BS43" s="136">
        <f t="shared" si="4"/>
        <v>54.833333333255723</v>
      </c>
      <c r="BT43" s="136">
        <f t="shared" si="5"/>
        <v>3.9499999999534339</v>
      </c>
      <c r="BU43" s="136">
        <f t="shared" si="6"/>
        <v>41.000000000058208</v>
      </c>
      <c r="BV43" s="136">
        <f t="shared" si="14"/>
        <v>49.000000000116415</v>
      </c>
      <c r="BW43" s="135">
        <f t="shared" si="7"/>
        <v>7.7499999999417923</v>
      </c>
      <c r="BX43" s="135">
        <f t="shared" si="8"/>
        <v>12.833333333430346</v>
      </c>
      <c r="BY43" s="134">
        <f t="shared" si="9"/>
        <v>7.0569444444481633</v>
      </c>
      <c r="BZ43" s="134">
        <f t="shared" si="10"/>
        <v>13.902777777781012</v>
      </c>
      <c r="CA43" s="133">
        <f t="shared" si="11"/>
        <v>0.50759240759255697</v>
      </c>
    </row>
    <row r="44" spans="1:79" s="126" customFormat="1">
      <c r="A44" s="192">
        <f t="shared" si="15"/>
        <v>45024.131944444445</v>
      </c>
      <c r="B44" s="126" t="s">
        <v>228</v>
      </c>
      <c r="C44" s="126" t="s">
        <v>229</v>
      </c>
      <c r="D44" s="126" t="s">
        <v>197</v>
      </c>
      <c r="E44" s="65" t="s">
        <v>1222</v>
      </c>
      <c r="G44" s="73">
        <v>45028.354166666664</v>
      </c>
      <c r="H44" s="73">
        <v>45028.270833333336</v>
      </c>
      <c r="I44" s="126" t="s">
        <v>243</v>
      </c>
      <c r="J44" s="126" t="s">
        <v>192</v>
      </c>
      <c r="K44" s="126" t="s">
        <v>192</v>
      </c>
      <c r="L44" s="126" t="s">
        <v>1226</v>
      </c>
      <c r="M44" s="167"/>
      <c r="N44" s="126" t="s">
        <v>310</v>
      </c>
      <c r="O44" s="126" t="s">
        <v>311</v>
      </c>
      <c r="P44" s="126" t="s">
        <v>240</v>
      </c>
      <c r="Q44" s="181">
        <f>3128*2.4</f>
        <v>7507.2</v>
      </c>
      <c r="R44" s="181">
        <v>7473.0209999999997</v>
      </c>
      <c r="S44" s="181"/>
      <c r="X44" s="181">
        <f t="shared" si="19"/>
        <v>7473.0209999999997</v>
      </c>
      <c r="AW44" s="165">
        <f t="shared" si="1"/>
        <v>45018.506944444445</v>
      </c>
      <c r="AX44" s="165">
        <f t="shared" si="2"/>
        <v>45032.423611111109</v>
      </c>
      <c r="AY44" s="137">
        <f t="shared" si="3"/>
        <v>13.916666666664241</v>
      </c>
      <c r="AZ44" s="165">
        <v>45018.506944444445</v>
      </c>
      <c r="BA44" s="165">
        <v>45019.798611111109</v>
      </c>
      <c r="BB44" s="165">
        <v>45022.128472222219</v>
      </c>
      <c r="BC44" s="165">
        <v>45024.131944444445</v>
      </c>
      <c r="BD44" s="165">
        <v>45024.423611111109</v>
      </c>
      <c r="BE44" s="165">
        <v>45024.427083333336</v>
      </c>
      <c r="BF44" s="165">
        <v>45024.427083333336</v>
      </c>
      <c r="BG44" s="165">
        <f t="shared" si="16"/>
        <v>45026.135416666672</v>
      </c>
      <c r="BH44" s="165">
        <v>45026.25</v>
      </c>
      <c r="BI44" s="165">
        <v>45026.416666666664</v>
      </c>
      <c r="BJ44" s="165">
        <v>45026.354166666664</v>
      </c>
      <c r="BK44" s="165">
        <v>45028.375</v>
      </c>
      <c r="BL44" s="165">
        <v>45031.333333333336</v>
      </c>
      <c r="BM44" s="165">
        <v>45031.621527777781</v>
      </c>
      <c r="BN44" s="165">
        <v>45031.631944444445</v>
      </c>
      <c r="BO44" s="165">
        <v>45031.944444444445</v>
      </c>
      <c r="BP44" s="165">
        <v>45032.423611111109</v>
      </c>
      <c r="BS44" s="136">
        <f t="shared" si="4"/>
        <v>55.916666666627862</v>
      </c>
      <c r="BT44" s="136">
        <f t="shared" si="5"/>
        <v>6.9999999999417923</v>
      </c>
      <c r="BU44" s="136">
        <f t="shared" si="6"/>
        <v>41.000000000058208</v>
      </c>
      <c r="BV44" s="136">
        <f t="shared" si="14"/>
        <v>47.000000000058208</v>
      </c>
      <c r="BW44" s="135">
        <f t="shared" si="7"/>
        <v>6.9166666666860692</v>
      </c>
      <c r="BX44" s="135">
        <f t="shared" si="8"/>
        <v>11.499999999941792</v>
      </c>
      <c r="BY44" s="134">
        <f t="shared" si="9"/>
        <v>7.0555555555547471</v>
      </c>
      <c r="BZ44" s="134">
        <f t="shared" si="10"/>
        <v>13.916666666664241</v>
      </c>
      <c r="CA44" s="133">
        <f t="shared" si="11"/>
        <v>0.50698602794414205</v>
      </c>
    </row>
    <row r="45" spans="1:79" s="126" customFormat="1">
      <c r="A45" s="192">
        <f t="shared" si="15"/>
        <v>45024.447916666664</v>
      </c>
      <c r="B45" s="126" t="s">
        <v>228</v>
      </c>
      <c r="C45" s="126" t="s">
        <v>229</v>
      </c>
      <c r="D45" s="126" t="s">
        <v>197</v>
      </c>
      <c r="E45" s="65" t="s">
        <v>1222</v>
      </c>
      <c r="G45" s="73">
        <v>45028.354166666664</v>
      </c>
      <c r="H45" s="73">
        <v>45028.270833333336</v>
      </c>
      <c r="I45" s="126" t="s">
        <v>243</v>
      </c>
      <c r="J45" s="126" t="s">
        <v>192</v>
      </c>
      <c r="K45" s="126" t="s">
        <v>192</v>
      </c>
      <c r="L45" s="126" t="s">
        <v>1227</v>
      </c>
      <c r="M45" s="167"/>
      <c r="N45" s="126" t="s">
        <v>489</v>
      </c>
      <c r="O45" s="126" t="s">
        <v>483</v>
      </c>
      <c r="P45" s="126" t="s">
        <v>240</v>
      </c>
      <c r="Q45" s="181">
        <f>3107*2.4</f>
        <v>7456.7999999999993</v>
      </c>
      <c r="R45" s="181">
        <v>7415.8270000000002</v>
      </c>
      <c r="S45" s="181"/>
      <c r="X45" s="181">
        <f t="shared" si="19"/>
        <v>7415.8270000000002</v>
      </c>
      <c r="AW45" s="165">
        <f t="shared" si="1"/>
        <v>45019.34375</v>
      </c>
      <c r="AX45" s="165">
        <f t="shared" si="2"/>
        <v>45031.434027777781</v>
      </c>
      <c r="AY45" s="137">
        <f t="shared" si="3"/>
        <v>12.090277777781012</v>
      </c>
      <c r="AZ45" s="165">
        <v>45019.34375</v>
      </c>
      <c r="BA45" s="165">
        <v>45020.645138888889</v>
      </c>
      <c r="BB45" s="165">
        <v>45022.416666666664</v>
      </c>
      <c r="BC45" s="165">
        <v>45024.447916666664</v>
      </c>
      <c r="BD45" s="165">
        <v>45024.638888888891</v>
      </c>
      <c r="BE45" s="165">
        <v>45024.65625</v>
      </c>
      <c r="BF45" s="165">
        <v>45024.65625</v>
      </c>
      <c r="BG45" s="165">
        <f t="shared" si="16"/>
        <v>45026.364583333336</v>
      </c>
      <c r="BH45" s="165">
        <v>45026.25</v>
      </c>
      <c r="BI45" s="165">
        <v>45026.416666666664</v>
      </c>
      <c r="BJ45" s="165">
        <v>45026.268055555556</v>
      </c>
      <c r="BK45" s="165">
        <v>45028.114583333336</v>
      </c>
      <c r="BL45" s="165">
        <v>45030.631944444445</v>
      </c>
      <c r="BM45" s="165">
        <v>45031.003472222219</v>
      </c>
      <c r="BN45" s="165">
        <v>45031.017361111109</v>
      </c>
      <c r="BO45" s="165">
        <v>45031.020833333336</v>
      </c>
      <c r="BP45" s="165">
        <v>45031.434027777781</v>
      </c>
      <c r="BS45" s="136">
        <f t="shared" si="4"/>
        <v>42.516666666604578</v>
      </c>
      <c r="BT45" s="136">
        <f t="shared" si="5"/>
        <v>4.5833333334303461</v>
      </c>
      <c r="BU45" s="136">
        <f t="shared" si="6"/>
        <v>41.000000000058208</v>
      </c>
      <c r="BV45" s="136">
        <f t="shared" si="14"/>
        <v>40.750000000116415</v>
      </c>
      <c r="BW45" s="135">
        <f t="shared" si="7"/>
        <v>8.9166666665696539</v>
      </c>
      <c r="BX45" s="135">
        <f t="shared" si="8"/>
        <v>9.9166666666860692</v>
      </c>
      <c r="BY45" s="134">
        <f t="shared" si="9"/>
        <v>6.1534722222277196</v>
      </c>
      <c r="BZ45" s="134">
        <f t="shared" si="10"/>
        <v>12.090277777781012</v>
      </c>
      <c r="CA45" s="133">
        <f t="shared" si="11"/>
        <v>0.5089603676051434</v>
      </c>
    </row>
    <row r="46" spans="1:79" s="126" customFormat="1">
      <c r="A46" s="192">
        <f t="shared" si="15"/>
        <v>45025.479166666664</v>
      </c>
      <c r="B46" s="126" t="s">
        <v>228</v>
      </c>
      <c r="C46" s="126" t="s">
        <v>229</v>
      </c>
      <c r="D46" s="126" t="s">
        <v>197</v>
      </c>
      <c r="E46" s="65" t="s">
        <v>1222</v>
      </c>
      <c r="G46" s="73">
        <v>45028.354166666664</v>
      </c>
      <c r="H46" s="73">
        <v>45028.270833333336</v>
      </c>
      <c r="I46" s="126" t="s">
        <v>243</v>
      </c>
      <c r="J46" s="126" t="s">
        <v>192</v>
      </c>
      <c r="K46" s="126" t="s">
        <v>192</v>
      </c>
      <c r="L46" s="126" t="s">
        <v>1228</v>
      </c>
      <c r="M46" s="167"/>
      <c r="N46" s="126" t="s">
        <v>492</v>
      </c>
      <c r="O46" s="126" t="s">
        <v>493</v>
      </c>
      <c r="P46" s="126" t="s">
        <v>240</v>
      </c>
      <c r="Q46" s="181">
        <f>3152*2.4</f>
        <v>7564.7999999999993</v>
      </c>
      <c r="R46" s="181">
        <v>7435.4740000000002</v>
      </c>
      <c r="S46" s="181"/>
      <c r="X46" s="181">
        <f t="shared" si="19"/>
        <v>7435.4740000000002</v>
      </c>
      <c r="AW46" s="165">
        <f t="shared" si="1"/>
        <v>45017.625</v>
      </c>
      <c r="AX46" s="165">
        <f t="shared" si="2"/>
        <v>45033.354166666664</v>
      </c>
      <c r="AY46" s="137">
        <f t="shared" si="3"/>
        <v>15.729166666664241</v>
      </c>
      <c r="AZ46" s="165">
        <v>45017.625</v>
      </c>
      <c r="BA46" s="165">
        <v>45020.559027777781</v>
      </c>
      <c r="BB46" s="165">
        <v>45022.427083333336</v>
      </c>
      <c r="BC46" s="165">
        <v>45025.479166666664</v>
      </c>
      <c r="BD46" s="165">
        <v>45025.614583333336</v>
      </c>
      <c r="BE46" s="165">
        <v>45025.625</v>
      </c>
      <c r="BF46" s="165">
        <v>45025.625</v>
      </c>
      <c r="BG46" s="165">
        <f t="shared" si="16"/>
        <v>45027.333333333336</v>
      </c>
      <c r="BH46" s="165">
        <v>45027.25</v>
      </c>
      <c r="BI46" s="165">
        <v>45027.416666666664</v>
      </c>
      <c r="BJ46" s="165">
        <v>45027.270833333336</v>
      </c>
      <c r="BK46" s="165">
        <v>45028.756944444445</v>
      </c>
      <c r="BL46" s="165">
        <v>45032.597222222219</v>
      </c>
      <c r="BM46" s="165">
        <v>45032.888888888891</v>
      </c>
      <c r="BN46" s="165">
        <v>45032.899305555555</v>
      </c>
      <c r="BO46" s="165">
        <v>45032.902777777781</v>
      </c>
      <c r="BP46" s="165">
        <v>45033.354166666664</v>
      </c>
      <c r="BS46" s="136">
        <f t="shared" si="4"/>
        <v>44.833333333313931</v>
      </c>
      <c r="BT46" s="136">
        <f t="shared" si="5"/>
        <v>3.2500000001164153</v>
      </c>
      <c r="BU46" s="136">
        <f t="shared" si="6"/>
        <v>41.000000000058208</v>
      </c>
      <c r="BV46" s="136">
        <f t="shared" si="14"/>
        <v>32.166666666744277</v>
      </c>
      <c r="BW46" s="135">
        <f t="shared" si="7"/>
        <v>7.0000000001164153</v>
      </c>
      <c r="BX46" s="135">
        <f t="shared" si="8"/>
        <v>10.833333333197515</v>
      </c>
      <c r="BY46" s="134">
        <f t="shared" si="9"/>
        <v>5.7951388888977817</v>
      </c>
      <c r="BZ46" s="134">
        <f t="shared" si="10"/>
        <v>15.729166666664241</v>
      </c>
      <c r="CA46" s="133">
        <f t="shared" si="11"/>
        <v>0.36843267108229988</v>
      </c>
    </row>
    <row r="47" spans="1:79" s="126" customFormat="1">
      <c r="A47" s="192">
        <f t="shared" si="15"/>
        <v>45025.642361111109</v>
      </c>
      <c r="B47" s="126" t="s">
        <v>228</v>
      </c>
      <c r="C47" s="126" t="s">
        <v>229</v>
      </c>
      <c r="D47" s="126" t="s">
        <v>215</v>
      </c>
      <c r="E47" s="65" t="s">
        <v>1222</v>
      </c>
      <c r="G47" s="73">
        <v>45028.354166666664</v>
      </c>
      <c r="H47" s="73">
        <v>45028.270833333336</v>
      </c>
      <c r="I47" s="126" t="s">
        <v>243</v>
      </c>
      <c r="J47" s="126" t="s">
        <v>192</v>
      </c>
      <c r="K47" s="126" t="s">
        <v>192</v>
      </c>
      <c r="L47" s="126" t="s">
        <v>1229</v>
      </c>
      <c r="M47" s="167"/>
      <c r="N47" s="126" t="s">
        <v>1230</v>
      </c>
      <c r="O47" s="126" t="s">
        <v>1231</v>
      </c>
      <c r="P47" s="126" t="s">
        <v>240</v>
      </c>
      <c r="Q47" s="181">
        <f>3107*2.4</f>
        <v>7456.7999999999993</v>
      </c>
      <c r="R47" s="181">
        <v>7440.9759999999997</v>
      </c>
      <c r="S47" s="181"/>
      <c r="X47" s="181">
        <f t="shared" si="19"/>
        <v>7440.9759999999997</v>
      </c>
      <c r="AW47" s="165">
        <f t="shared" si="1"/>
        <v>45015.902777777781</v>
      </c>
      <c r="AX47" s="165">
        <f t="shared" si="2"/>
        <v>45033.21875</v>
      </c>
      <c r="AY47" s="137">
        <f t="shared" si="3"/>
        <v>17.315972222218988</v>
      </c>
      <c r="AZ47" s="165">
        <v>45015.902777777781</v>
      </c>
      <c r="BA47" s="165">
        <v>45019.291666666664</v>
      </c>
      <c r="BB47" s="165">
        <v>45022.434027777781</v>
      </c>
      <c r="BC47" s="165">
        <v>45025.642361111109</v>
      </c>
      <c r="BD47" s="165">
        <v>45025.958333333336</v>
      </c>
      <c r="BE47" s="165">
        <v>45025.965277777781</v>
      </c>
      <c r="BF47" s="165">
        <v>45025.965277777781</v>
      </c>
      <c r="BG47" s="165">
        <f t="shared" si="16"/>
        <v>45027.673611111117</v>
      </c>
      <c r="BH47" s="165">
        <v>45028.25</v>
      </c>
      <c r="BI47" s="165">
        <v>45028.416666666664</v>
      </c>
      <c r="BJ47" s="165">
        <v>45028.322916666664</v>
      </c>
      <c r="BK47" s="165">
        <v>45031.6875</v>
      </c>
      <c r="BL47" s="165">
        <v>45032.954861111109</v>
      </c>
      <c r="BM47" s="165">
        <v>45033.201388888891</v>
      </c>
      <c r="BN47" s="165">
        <v>45033.21875</v>
      </c>
      <c r="BO47" s="165">
        <v>45033.21875</v>
      </c>
      <c r="BP47" s="165">
        <v>45033.21875</v>
      </c>
      <c r="BQ47" s="126" t="s">
        <v>1232</v>
      </c>
      <c r="BS47" s="136">
        <f t="shared" si="4"/>
        <v>75.416666666802485</v>
      </c>
      <c r="BT47" s="136">
        <f t="shared" si="5"/>
        <v>7.5833333334303461</v>
      </c>
      <c r="BU47" s="136">
        <f t="shared" si="6"/>
        <v>41.000000000058208</v>
      </c>
      <c r="BV47" s="136">
        <f t="shared" si="14"/>
        <v>78.500000000058208</v>
      </c>
      <c r="BW47" s="135">
        <f t="shared" si="7"/>
        <v>5.9166666667442769</v>
      </c>
      <c r="BX47" s="135">
        <f t="shared" si="8"/>
        <v>0</v>
      </c>
      <c r="BY47" s="134">
        <f t="shared" si="9"/>
        <v>8.6840277777955635</v>
      </c>
      <c r="BZ47" s="134">
        <f t="shared" si="10"/>
        <v>17.315972222218988</v>
      </c>
      <c r="CA47" s="133">
        <f t="shared" si="11"/>
        <v>0.50150391016755347</v>
      </c>
    </row>
    <row r="48" spans="1:79" s="126" customFormat="1">
      <c r="A48" s="192">
        <f t="shared" si="15"/>
        <v>45026.555555555555</v>
      </c>
      <c r="B48" s="126" t="s">
        <v>228</v>
      </c>
      <c r="C48" s="126" t="s">
        <v>229</v>
      </c>
      <c r="D48" s="126" t="s">
        <v>215</v>
      </c>
      <c r="E48" s="65" t="s">
        <v>1222</v>
      </c>
      <c r="G48" s="73">
        <v>45028.354166666664</v>
      </c>
      <c r="H48" s="73">
        <v>45028.270833333336</v>
      </c>
      <c r="I48" s="126" t="s">
        <v>243</v>
      </c>
      <c r="J48" s="126" t="s">
        <v>192</v>
      </c>
      <c r="K48" s="126" t="s">
        <v>192</v>
      </c>
      <c r="L48" s="126" t="s">
        <v>1233</v>
      </c>
      <c r="M48" s="167"/>
      <c r="N48" s="126" t="s">
        <v>774</v>
      </c>
      <c r="O48" s="126" t="s">
        <v>423</v>
      </c>
      <c r="P48" s="126" t="s">
        <v>240</v>
      </c>
      <c r="Q48" s="181">
        <f>3156*2.4</f>
        <v>7574.4</v>
      </c>
      <c r="R48" s="181">
        <v>7400.5730000000003</v>
      </c>
      <c r="S48" s="181"/>
      <c r="X48" s="181">
        <f t="shared" si="19"/>
        <v>7400.5730000000003</v>
      </c>
      <c r="AW48" s="165">
        <f t="shared" si="1"/>
        <v>45019.555555555555</v>
      </c>
      <c r="AX48" s="165">
        <f t="shared" si="2"/>
        <v>45033.145833333336</v>
      </c>
      <c r="AY48" s="137">
        <f t="shared" si="3"/>
        <v>13.590277777781012</v>
      </c>
      <c r="AZ48" s="165">
        <v>45019.555555555555</v>
      </c>
      <c r="BA48" s="165">
        <v>45020.565972222219</v>
      </c>
      <c r="BB48" s="165">
        <v>45022.440972222219</v>
      </c>
      <c r="BC48" s="165">
        <v>45026.555555555555</v>
      </c>
      <c r="BD48" s="165">
        <v>45026.767361111109</v>
      </c>
      <c r="BE48" s="165">
        <v>45026.770833333336</v>
      </c>
      <c r="BF48" s="165">
        <v>45026.770833333336</v>
      </c>
      <c r="BG48" s="165">
        <f t="shared" si="16"/>
        <v>45028.479166666672</v>
      </c>
      <c r="BH48" s="165">
        <v>45028.25</v>
      </c>
      <c r="BI48" s="165">
        <v>45028.416666666664</v>
      </c>
      <c r="BJ48" s="165">
        <v>45028.34375</v>
      </c>
      <c r="BK48" s="165">
        <v>45029.75</v>
      </c>
      <c r="BL48" s="165">
        <v>45030.8125</v>
      </c>
      <c r="BM48" s="165">
        <v>45032.53125</v>
      </c>
      <c r="BN48" s="165">
        <v>45032.541666666664</v>
      </c>
      <c r="BO48" s="165">
        <v>45032.545138888891</v>
      </c>
      <c r="BP48" s="165">
        <v>45033.145833333336</v>
      </c>
      <c r="BS48" s="136">
        <f t="shared" si="4"/>
        <v>45</v>
      </c>
      <c r="BT48" s="136">
        <f t="shared" si="5"/>
        <v>5.0833333333139308</v>
      </c>
      <c r="BU48" s="136">
        <f t="shared" si="6"/>
        <v>41.000000000058208</v>
      </c>
      <c r="BV48" s="136">
        <f t="shared" si="14"/>
        <v>32.000000000058208</v>
      </c>
      <c r="BW48" s="135">
        <f t="shared" si="7"/>
        <v>41.25</v>
      </c>
      <c r="BX48" s="135">
        <f t="shared" si="8"/>
        <v>14.416666666686069</v>
      </c>
      <c r="BY48" s="134">
        <f t="shared" si="9"/>
        <v>7.4479166666715173</v>
      </c>
      <c r="BZ48" s="134">
        <f t="shared" si="10"/>
        <v>13.590277777781012</v>
      </c>
      <c r="CA48" s="133">
        <f t="shared" si="11"/>
        <v>0.54803270311724239</v>
      </c>
    </row>
    <row r="49" spans="1:79" s="126" customFormat="1">
      <c r="A49" s="192">
        <f t="shared" si="15"/>
        <v>45027.133333333331</v>
      </c>
      <c r="B49" s="126" t="s">
        <v>228</v>
      </c>
      <c r="C49" s="126" t="s">
        <v>229</v>
      </c>
      <c r="D49" s="126" t="s">
        <v>197</v>
      </c>
      <c r="E49" s="65" t="s">
        <v>1234</v>
      </c>
      <c r="G49" s="73">
        <v>45031.458333333336</v>
      </c>
      <c r="H49" s="73">
        <v>45031.402777777781</v>
      </c>
      <c r="I49" s="126" t="s">
        <v>434</v>
      </c>
      <c r="J49" s="126" t="s">
        <v>192</v>
      </c>
      <c r="K49" s="126" t="s">
        <v>192</v>
      </c>
      <c r="L49" s="126" t="s">
        <v>1235</v>
      </c>
      <c r="M49" s="167"/>
      <c r="N49" s="126" t="s">
        <v>334</v>
      </c>
      <c r="O49" s="126" t="s">
        <v>335</v>
      </c>
      <c r="P49" s="126" t="s">
        <v>235</v>
      </c>
      <c r="Q49" s="181">
        <f>3242 *2.4</f>
        <v>7780.7999999999993</v>
      </c>
      <c r="R49" s="181">
        <v>7572.2240000000002</v>
      </c>
      <c r="S49" s="181"/>
      <c r="W49" s="181">
        <f>R49</f>
        <v>7572.2240000000002</v>
      </c>
      <c r="AW49" s="165">
        <f t="shared" si="1"/>
        <v>45020.833333333336</v>
      </c>
      <c r="AX49" s="165">
        <f t="shared" si="2"/>
        <v>45037.75</v>
      </c>
      <c r="AY49" s="137">
        <f t="shared" si="3"/>
        <v>16.916666666664241</v>
      </c>
      <c r="AZ49" s="165">
        <v>45020.833333333336</v>
      </c>
      <c r="BA49" s="165">
        <v>45022.607638888891</v>
      </c>
      <c r="BB49" s="165">
        <v>45024.895833333336</v>
      </c>
      <c r="BC49" s="165">
        <v>45027.133333333331</v>
      </c>
      <c r="BD49" s="165">
        <v>45027.361111111109</v>
      </c>
      <c r="BE49" s="165">
        <v>45027.364583333336</v>
      </c>
      <c r="BF49" s="165">
        <v>45027.364583333336</v>
      </c>
      <c r="BG49" s="165">
        <f t="shared" si="16"/>
        <v>45029.072916666672</v>
      </c>
      <c r="BH49" s="165">
        <v>45029.25</v>
      </c>
      <c r="BI49" s="165">
        <v>45029.416666666664</v>
      </c>
      <c r="BJ49" s="165">
        <v>45029.302083333336</v>
      </c>
      <c r="BK49" s="165">
        <v>45033.083333333336</v>
      </c>
      <c r="BL49" s="165">
        <v>45034.25</v>
      </c>
      <c r="BM49" s="165">
        <v>45034.625</v>
      </c>
      <c r="BN49" s="165">
        <v>45034.638888888891</v>
      </c>
      <c r="BO49" s="165">
        <v>45034.875</v>
      </c>
      <c r="BP49" s="165">
        <v>45037.75</v>
      </c>
      <c r="BS49" s="136">
        <f t="shared" si="4"/>
        <v>54.916666666686069</v>
      </c>
      <c r="BT49" s="136">
        <f t="shared" si="5"/>
        <v>5.4666666666744277</v>
      </c>
      <c r="BU49" s="136">
        <f t="shared" si="6"/>
        <v>41.000000000058208</v>
      </c>
      <c r="BV49" s="136">
        <f t="shared" si="14"/>
        <v>88.000000000116415</v>
      </c>
      <c r="BW49" s="135">
        <f t="shared" si="7"/>
        <v>9</v>
      </c>
      <c r="BX49" s="135">
        <f t="shared" si="8"/>
        <v>69</v>
      </c>
      <c r="BY49" s="134">
        <f t="shared" si="9"/>
        <v>11.14097222223063</v>
      </c>
      <c r="BZ49" s="134">
        <f t="shared" si="10"/>
        <v>16.916666666664241</v>
      </c>
      <c r="CA49" s="133">
        <f t="shared" si="11"/>
        <v>0.65857963875264403</v>
      </c>
    </row>
    <row r="50" spans="1:79" s="126" customFormat="1">
      <c r="A50" s="192">
        <f t="shared" si="15"/>
        <v>45027.826388888891</v>
      </c>
      <c r="B50" s="126" t="s">
        <v>228</v>
      </c>
      <c r="C50" s="126" t="s">
        <v>229</v>
      </c>
      <c r="D50" s="126" t="s">
        <v>197</v>
      </c>
      <c r="E50" s="65" t="s">
        <v>1189</v>
      </c>
      <c r="G50" s="73">
        <v>45029.4375</v>
      </c>
      <c r="H50" s="73">
        <v>45029.415972222225</v>
      </c>
      <c r="I50" s="126" t="s">
        <v>231</v>
      </c>
      <c r="J50" s="126" t="s">
        <v>192</v>
      </c>
      <c r="K50" s="126" t="s">
        <v>192</v>
      </c>
      <c r="L50" s="126" t="s">
        <v>1236</v>
      </c>
      <c r="M50" s="167"/>
      <c r="N50" s="126" t="s">
        <v>298</v>
      </c>
      <c r="O50" s="126" t="s">
        <v>299</v>
      </c>
      <c r="P50" s="126" t="s">
        <v>235</v>
      </c>
      <c r="Q50" s="181">
        <f>4337*2.4</f>
        <v>10408.799999999999</v>
      </c>
      <c r="R50" s="181">
        <v>10521.075999999999</v>
      </c>
      <c r="S50" s="181"/>
      <c r="W50" s="181">
        <f>R50</f>
        <v>10521.075999999999</v>
      </c>
      <c r="AW50" s="165">
        <f t="shared" si="1"/>
        <v>45021.375</v>
      </c>
      <c r="AX50" s="165">
        <f t="shared" si="2"/>
        <v>45033.9375</v>
      </c>
      <c r="AY50" s="137">
        <f t="shared" si="3"/>
        <v>12.5625</v>
      </c>
      <c r="AZ50" s="165">
        <v>45021.375</v>
      </c>
      <c r="BA50" s="165">
        <v>45022.559027777781</v>
      </c>
      <c r="BB50" s="165">
        <v>45024.166666666664</v>
      </c>
      <c r="BC50" s="165">
        <v>45027.826388888891</v>
      </c>
      <c r="BD50" s="165">
        <v>45028.048611111109</v>
      </c>
      <c r="BE50" s="165">
        <v>45028.0625</v>
      </c>
      <c r="BF50" s="165">
        <v>45028.291666666664</v>
      </c>
      <c r="BG50" s="165">
        <f t="shared" si="16"/>
        <v>45030</v>
      </c>
      <c r="BH50" s="165">
        <v>45030.25</v>
      </c>
      <c r="BI50" s="165">
        <v>45030.416666666664</v>
      </c>
      <c r="BJ50" s="165">
        <v>45030.322916666664</v>
      </c>
      <c r="BK50" s="165">
        <v>45031.458333333336</v>
      </c>
      <c r="BL50" s="165">
        <v>45033.159722222219</v>
      </c>
      <c r="BM50" s="165">
        <v>45033.5625</v>
      </c>
      <c r="BN50" s="165">
        <v>45033.576388888891</v>
      </c>
      <c r="BO50" s="165">
        <v>45033.576388888891</v>
      </c>
      <c r="BP50" s="165">
        <v>45033.9375</v>
      </c>
      <c r="BS50" s="136">
        <f t="shared" si="4"/>
        <v>38.583333333197515</v>
      </c>
      <c r="BT50" s="136">
        <f t="shared" si="5"/>
        <v>5.3333333332557231</v>
      </c>
      <c r="BU50" s="136">
        <f t="shared" si="6"/>
        <v>41.000000000058208</v>
      </c>
      <c r="BV50" s="136">
        <f t="shared" si="14"/>
        <v>25.000000000116415</v>
      </c>
      <c r="BW50" s="135">
        <f t="shared" si="7"/>
        <v>9.6666666667442769</v>
      </c>
      <c r="BX50" s="135">
        <f t="shared" si="8"/>
        <v>8.6666666666278616</v>
      </c>
      <c r="BY50" s="134">
        <f t="shared" si="9"/>
        <v>5.34375</v>
      </c>
      <c r="BZ50" s="134">
        <f t="shared" si="10"/>
        <v>12.5625</v>
      </c>
      <c r="CA50" s="133">
        <f t="shared" si="11"/>
        <v>0.42537313432835822</v>
      </c>
    </row>
    <row r="51" spans="1:79" s="126" customFormat="1">
      <c r="A51" s="192">
        <f t="shared" si="15"/>
        <v>45028.425694444442</v>
      </c>
      <c r="B51" s="126" t="s">
        <v>228</v>
      </c>
      <c r="C51" s="126" t="s">
        <v>229</v>
      </c>
      <c r="D51" s="126" t="s">
        <v>197</v>
      </c>
      <c r="E51" s="65" t="s">
        <v>1189</v>
      </c>
      <c r="G51" s="73">
        <v>45029.4375</v>
      </c>
      <c r="H51" s="73">
        <v>45029.415972222225</v>
      </c>
      <c r="I51" s="126" t="s">
        <v>231</v>
      </c>
      <c r="J51" s="126" t="s">
        <v>192</v>
      </c>
      <c r="K51" s="126" t="s">
        <v>192</v>
      </c>
      <c r="L51" s="126" t="s">
        <v>1237</v>
      </c>
      <c r="M51" s="167"/>
      <c r="N51" s="126" t="s">
        <v>695</v>
      </c>
      <c r="O51" s="126" t="s">
        <v>281</v>
      </c>
      <c r="P51" s="126" t="s">
        <v>235</v>
      </c>
      <c r="Q51" s="181">
        <f>3102*2.4</f>
        <v>7444.7999999999993</v>
      </c>
      <c r="R51" s="181">
        <v>7487.5640000000003</v>
      </c>
      <c r="S51" s="181"/>
      <c r="W51" s="181">
        <f>R51</f>
        <v>7487.5640000000003</v>
      </c>
      <c r="AW51" s="165">
        <f t="shared" si="1"/>
        <v>45022.364583333336</v>
      </c>
      <c r="AX51" s="165">
        <f t="shared" si="2"/>
        <v>45034.434027777781</v>
      </c>
      <c r="AY51" s="137">
        <f t="shared" si="3"/>
        <v>12.069444444445253</v>
      </c>
      <c r="AZ51" s="165">
        <v>45022.364583333336</v>
      </c>
      <c r="BA51" s="165">
        <v>45022.822916666664</v>
      </c>
      <c r="BB51" s="165">
        <v>45025.368055555555</v>
      </c>
      <c r="BC51" s="165">
        <v>45028.425694444442</v>
      </c>
      <c r="BD51" s="165">
        <v>45028.548611111109</v>
      </c>
      <c r="BE51" s="165">
        <v>45028.552083333336</v>
      </c>
      <c r="BF51" s="165">
        <v>45028.552083333336</v>
      </c>
      <c r="BG51" s="165">
        <f t="shared" si="16"/>
        <v>45030.260416666672</v>
      </c>
      <c r="BH51" s="165">
        <v>45030.25</v>
      </c>
      <c r="BI51" s="165">
        <v>45030.416666666664</v>
      </c>
      <c r="BJ51" s="165">
        <v>45030.298611111109</v>
      </c>
      <c r="BK51" s="165">
        <v>45031.625</v>
      </c>
      <c r="BL51" s="165">
        <v>45033.475694444445</v>
      </c>
      <c r="BM51" s="165">
        <v>45033.777777777781</v>
      </c>
      <c r="BN51" s="165">
        <v>45033.791666666664</v>
      </c>
      <c r="BO51" s="165">
        <v>45034.145833333336</v>
      </c>
      <c r="BP51" s="165">
        <v>45034.434027777781</v>
      </c>
      <c r="BS51" s="136">
        <f t="shared" si="4"/>
        <v>61.083333333372138</v>
      </c>
      <c r="BT51" s="136">
        <f t="shared" si="5"/>
        <v>2.9500000000116415</v>
      </c>
      <c r="BU51" s="136">
        <f t="shared" si="6"/>
        <v>41.000000000058208</v>
      </c>
      <c r="BV51" s="136">
        <f t="shared" si="14"/>
        <v>29.000000000058208</v>
      </c>
      <c r="BW51" s="135">
        <f t="shared" si="7"/>
        <v>7.2500000000582077</v>
      </c>
      <c r="BX51" s="135">
        <f t="shared" si="8"/>
        <v>6.9166666666860692</v>
      </c>
      <c r="BY51" s="134">
        <f t="shared" si="9"/>
        <v>6.1750000000101863</v>
      </c>
      <c r="BZ51" s="134">
        <f t="shared" si="10"/>
        <v>12.069444444445253</v>
      </c>
      <c r="CA51" s="133">
        <f t="shared" si="11"/>
        <v>0.5116225546613391</v>
      </c>
    </row>
    <row r="52" spans="1:79" s="126" customFormat="1">
      <c r="A52" s="192">
        <f t="shared" si="15"/>
        <v>45028.572916666664</v>
      </c>
      <c r="B52" s="126" t="s">
        <v>228</v>
      </c>
      <c r="C52" s="126" t="s">
        <v>229</v>
      </c>
      <c r="D52" s="126" t="s">
        <v>197</v>
      </c>
      <c r="E52" s="126" t="s">
        <v>1189</v>
      </c>
      <c r="G52" s="73">
        <v>45029.4375</v>
      </c>
      <c r="H52" s="73">
        <v>45029.415972222225</v>
      </c>
      <c r="I52" s="126" t="s">
        <v>231</v>
      </c>
      <c r="J52" s="126" t="s">
        <v>192</v>
      </c>
      <c r="K52" s="126" t="s">
        <v>192</v>
      </c>
      <c r="L52" s="126" t="s">
        <v>1238</v>
      </c>
      <c r="M52" s="167"/>
      <c r="N52" s="126" t="s">
        <v>284</v>
      </c>
      <c r="O52" s="126" t="s">
        <v>285</v>
      </c>
      <c r="P52" s="126" t="s">
        <v>235</v>
      </c>
      <c r="Q52" s="181">
        <f>3852*2.4</f>
        <v>9244.7999999999993</v>
      </c>
      <c r="R52" s="181">
        <v>9104.5069999999996</v>
      </c>
      <c r="S52" s="181"/>
      <c r="W52" s="181">
        <f>R52</f>
        <v>9104.5069999999996</v>
      </c>
      <c r="AW52" s="165">
        <f t="shared" si="1"/>
        <v>45021.791666666664</v>
      </c>
      <c r="AX52" s="165">
        <f t="shared" si="2"/>
        <v>45033.770833333336</v>
      </c>
      <c r="AY52" s="137">
        <f t="shared" si="3"/>
        <v>11.979166666671517</v>
      </c>
      <c r="AZ52" s="165">
        <v>45021.791666666664</v>
      </c>
      <c r="BA52" s="165">
        <v>45023.565972222219</v>
      </c>
      <c r="BB52" s="165">
        <v>45025.444444444445</v>
      </c>
      <c r="BC52" s="165">
        <v>45028.572916666664</v>
      </c>
      <c r="BD52" s="165">
        <v>45028.725694444445</v>
      </c>
      <c r="BE52" s="165">
        <v>45028.729166666664</v>
      </c>
      <c r="BF52" s="165">
        <v>45028.729166666664</v>
      </c>
      <c r="BG52" s="165">
        <f t="shared" si="16"/>
        <v>45030.4375</v>
      </c>
      <c r="BH52" s="165">
        <v>45030.25</v>
      </c>
      <c r="BI52" s="165">
        <v>45030.416666666664</v>
      </c>
      <c r="BJ52" s="165">
        <v>45030.322916666664</v>
      </c>
      <c r="BK52" s="165">
        <v>45031.395833333336</v>
      </c>
      <c r="BL52" s="165">
        <v>45033.076388888891</v>
      </c>
      <c r="BM52" s="165">
        <v>45033.434027777781</v>
      </c>
      <c r="BN52" s="165">
        <v>45033.447916666664</v>
      </c>
      <c r="BO52" s="165">
        <v>45033.447916666664</v>
      </c>
      <c r="BP52" s="165">
        <v>45033.770833333336</v>
      </c>
      <c r="BS52" s="136">
        <f t="shared" si="4"/>
        <v>45.083333333430346</v>
      </c>
      <c r="BT52" s="136">
        <f t="shared" si="5"/>
        <v>3.6666666667442769</v>
      </c>
      <c r="BU52" s="136">
        <f t="shared" si="6"/>
        <v>41.000000000058208</v>
      </c>
      <c r="BV52" s="136">
        <f t="shared" si="14"/>
        <v>23.500000000116415</v>
      </c>
      <c r="BW52" s="135">
        <f t="shared" si="7"/>
        <v>8.5833333333721384</v>
      </c>
      <c r="BX52" s="135">
        <f t="shared" si="8"/>
        <v>7.7500000001164153</v>
      </c>
      <c r="BY52" s="134">
        <f t="shared" si="9"/>
        <v>5.399305555576575</v>
      </c>
      <c r="BZ52" s="134">
        <f t="shared" si="10"/>
        <v>11.979166666671517</v>
      </c>
      <c r="CA52" s="133">
        <f t="shared" si="11"/>
        <v>0.45072463768273158</v>
      </c>
    </row>
    <row r="53" spans="1:79" s="126" customFormat="1">
      <c r="A53" s="192">
        <f t="shared" si="15"/>
        <v>45028.753472222219</v>
      </c>
      <c r="B53" s="126" t="s">
        <v>228</v>
      </c>
      <c r="C53" s="126" t="s">
        <v>229</v>
      </c>
      <c r="D53" s="126" t="s">
        <v>197</v>
      </c>
      <c r="E53" s="126" t="s">
        <v>1189</v>
      </c>
      <c r="G53" s="73">
        <v>45029.4375</v>
      </c>
      <c r="H53" s="73">
        <v>45029.415972222225</v>
      </c>
      <c r="I53" s="126" t="s">
        <v>231</v>
      </c>
      <c r="J53" s="126" t="s">
        <v>192</v>
      </c>
      <c r="K53" s="126" t="s">
        <v>192</v>
      </c>
      <c r="L53" s="126" t="s">
        <v>1239</v>
      </c>
      <c r="M53" s="167"/>
      <c r="N53" s="126" t="s">
        <v>1240</v>
      </c>
      <c r="O53" s="126" t="s">
        <v>1241</v>
      </c>
      <c r="P53" s="126" t="s">
        <v>235</v>
      </c>
      <c r="Q53" s="181">
        <f>3243*2.4</f>
        <v>7783.2</v>
      </c>
      <c r="R53" s="181">
        <v>7818.8069999999998</v>
      </c>
      <c r="S53" s="181"/>
      <c r="W53" s="181">
        <f>R53</f>
        <v>7818.8069999999998</v>
      </c>
      <c r="AW53" s="165">
        <f t="shared" si="1"/>
        <v>45022.45416666667</v>
      </c>
      <c r="AX53" s="165">
        <f t="shared" si="2"/>
        <v>45034.877083333333</v>
      </c>
      <c r="AY53" s="137">
        <f t="shared" si="3"/>
        <v>12.422916666662786</v>
      </c>
      <c r="AZ53" s="165">
        <v>45022.45416666667</v>
      </c>
      <c r="BA53" s="165">
        <v>45023.617361111108</v>
      </c>
      <c r="BB53" s="165">
        <v>45025.458333333336</v>
      </c>
      <c r="BC53" s="165">
        <v>45028.753472222219</v>
      </c>
      <c r="BD53" s="165">
        <v>45028.954861111109</v>
      </c>
      <c r="BE53" s="165">
        <v>45028.965277777781</v>
      </c>
      <c r="BF53" s="165">
        <v>45028.965277777781</v>
      </c>
      <c r="BG53" s="165">
        <f t="shared" si="16"/>
        <v>45030.673611111117</v>
      </c>
      <c r="BH53" s="282">
        <v>45031.25</v>
      </c>
      <c r="BI53" s="282">
        <v>45031.416666666664</v>
      </c>
      <c r="BJ53" s="282">
        <v>45031.305555555555</v>
      </c>
      <c r="BK53" s="165">
        <v>45032.5</v>
      </c>
      <c r="BL53" s="165">
        <v>45034.270833333336</v>
      </c>
      <c r="BM53" s="165">
        <v>45034.541666666664</v>
      </c>
      <c r="BN53" s="165">
        <v>45034.555555555555</v>
      </c>
      <c r="BO53" s="165">
        <v>45034.555555555555</v>
      </c>
      <c r="BP53" s="165">
        <v>45034.877083333333</v>
      </c>
      <c r="BQ53" s="126" t="s">
        <v>1242</v>
      </c>
      <c r="BS53" s="136">
        <f t="shared" si="4"/>
        <v>44.183333333465271</v>
      </c>
      <c r="BT53" s="136">
        <f t="shared" si="5"/>
        <v>4.8333333333721384</v>
      </c>
      <c r="BU53" s="136">
        <f t="shared" si="6"/>
        <v>41.000000000058208</v>
      </c>
      <c r="BV53" s="136">
        <f t="shared" si="14"/>
        <v>26.000000000058208</v>
      </c>
      <c r="BW53" s="135">
        <f t="shared" si="7"/>
        <v>6.4999999998835847</v>
      </c>
      <c r="BX53" s="135">
        <f t="shared" si="8"/>
        <v>7.7166666666744277</v>
      </c>
      <c r="BY53" s="134">
        <f t="shared" si="9"/>
        <v>5.4263888888963265</v>
      </c>
      <c r="BZ53" s="134">
        <f t="shared" si="10"/>
        <v>12.422916666662786</v>
      </c>
      <c r="CA53" s="133">
        <f t="shared" si="11"/>
        <v>0.43680474034396283</v>
      </c>
    </row>
    <row r="54" spans="1:79" s="126" customFormat="1">
      <c r="A54" s="192">
        <f t="shared" si="15"/>
        <v>45028.984027777777</v>
      </c>
      <c r="B54" s="126" t="s">
        <v>228</v>
      </c>
      <c r="C54" s="126" t="s">
        <v>229</v>
      </c>
      <c r="D54" s="126" t="s">
        <v>197</v>
      </c>
      <c r="E54" s="65" t="s">
        <v>1189</v>
      </c>
      <c r="G54" s="73">
        <v>45029.4375</v>
      </c>
      <c r="H54" s="73">
        <v>45029.415972222225</v>
      </c>
      <c r="I54" s="126" t="s">
        <v>231</v>
      </c>
      <c r="J54" s="126" t="s">
        <v>192</v>
      </c>
      <c r="K54" s="126" t="s">
        <v>192</v>
      </c>
      <c r="L54" s="126" t="s">
        <v>1243</v>
      </c>
      <c r="M54" s="167"/>
      <c r="N54" s="126" t="s">
        <v>295</v>
      </c>
      <c r="O54" s="126" t="s">
        <v>296</v>
      </c>
      <c r="P54" s="126" t="s">
        <v>240</v>
      </c>
      <c r="Q54" s="181">
        <f>4118*2.4</f>
        <v>9883.1999999999989</v>
      </c>
      <c r="R54" s="181">
        <f>9949.052-3851.947</f>
        <v>6097.1049999999996</v>
      </c>
      <c r="S54" s="181"/>
      <c r="X54" s="181">
        <f>R54</f>
        <v>6097.1049999999996</v>
      </c>
      <c r="AW54" s="165">
        <f t="shared" si="1"/>
        <v>45024.856249999997</v>
      </c>
      <c r="AX54" s="165">
        <f t="shared" si="2"/>
        <v>45035.25</v>
      </c>
      <c r="AY54" s="137">
        <f t="shared" si="3"/>
        <v>10.39375000000291</v>
      </c>
      <c r="AZ54" s="165">
        <v>45024.856249999997</v>
      </c>
      <c r="BA54" s="165">
        <v>45025.538194444445</v>
      </c>
      <c r="BB54" s="165">
        <v>45027.458333333336</v>
      </c>
      <c r="BC54" s="165">
        <v>45028.984027777777</v>
      </c>
      <c r="BD54" s="165">
        <v>45029.184027777781</v>
      </c>
      <c r="BE54" s="165">
        <v>45029.190972222219</v>
      </c>
      <c r="BF54" s="165">
        <v>45029.190972222219</v>
      </c>
      <c r="BG54" s="165">
        <f t="shared" si="16"/>
        <v>45030.899305555555</v>
      </c>
      <c r="BH54" s="165">
        <v>45031.25</v>
      </c>
      <c r="BI54" s="165">
        <v>45031.416666666664</v>
      </c>
      <c r="BJ54" s="165">
        <v>45031.293749999997</v>
      </c>
      <c r="BK54" s="165">
        <v>45032.5</v>
      </c>
      <c r="BL54" s="165">
        <v>45034.888888888891</v>
      </c>
      <c r="BM54" s="165">
        <v>45035.166666666664</v>
      </c>
      <c r="BN54" s="165">
        <v>45035.25</v>
      </c>
      <c r="BO54" s="165">
        <v>45035.25</v>
      </c>
      <c r="BP54" s="165">
        <v>45035.25</v>
      </c>
      <c r="BS54" s="136">
        <f t="shared" si="4"/>
        <v>46.083333333372138</v>
      </c>
      <c r="BT54" s="136">
        <f t="shared" si="5"/>
        <v>4.8000000001047738</v>
      </c>
      <c r="BU54" s="136">
        <f t="shared" si="6"/>
        <v>41.000000000058208</v>
      </c>
      <c r="BV54" s="136">
        <f t="shared" si="14"/>
        <v>26.000000000058208</v>
      </c>
      <c r="BW54" s="135">
        <f t="shared" si="7"/>
        <v>6.6666666665696539</v>
      </c>
      <c r="BX54" s="135">
        <f t="shared" si="8"/>
        <v>0</v>
      </c>
      <c r="BY54" s="134">
        <f t="shared" si="9"/>
        <v>5.1895833333401242</v>
      </c>
      <c r="BZ54" s="134">
        <f t="shared" si="10"/>
        <v>10.39375000000291</v>
      </c>
      <c r="CA54" s="133">
        <f t="shared" si="11"/>
        <v>0.49929845660504352</v>
      </c>
    </row>
    <row r="55" spans="1:79" s="126" customFormat="1">
      <c r="A55" s="192">
        <f t="shared" si="15"/>
        <v>45028.984027777777</v>
      </c>
      <c r="B55" s="126" t="s">
        <v>228</v>
      </c>
      <c r="C55" s="126" t="s">
        <v>229</v>
      </c>
      <c r="D55" s="126" t="s">
        <v>197</v>
      </c>
      <c r="E55" s="65" t="s">
        <v>1244</v>
      </c>
      <c r="G55" s="165">
        <v>45036.708333333336</v>
      </c>
      <c r="H55" s="165">
        <v>45036.708333333336</v>
      </c>
      <c r="I55" s="126" t="s">
        <v>231</v>
      </c>
      <c r="J55" s="126" t="s">
        <v>192</v>
      </c>
      <c r="K55" s="126" t="s">
        <v>192</v>
      </c>
      <c r="L55" s="126" t="s">
        <v>1243</v>
      </c>
      <c r="M55" s="167"/>
      <c r="N55" s="126" t="s">
        <v>295</v>
      </c>
      <c r="O55" s="126" t="s">
        <v>296</v>
      </c>
      <c r="P55" s="126" t="s">
        <v>240</v>
      </c>
      <c r="Q55" s="181">
        <f>4118*2.4</f>
        <v>9883.1999999999989</v>
      </c>
      <c r="R55" s="181">
        <v>2513.165</v>
      </c>
      <c r="S55" s="181"/>
      <c r="X55" s="181">
        <f>R55</f>
        <v>2513.165</v>
      </c>
      <c r="AW55" s="165">
        <f t="shared" si="1"/>
        <v>45024.856249999997</v>
      </c>
      <c r="AX55" s="165">
        <f t="shared" si="2"/>
        <v>45040.881944444445</v>
      </c>
      <c r="AY55" s="137">
        <f t="shared" si="3"/>
        <v>16.025694444448163</v>
      </c>
      <c r="AZ55" s="165">
        <v>45024.856249999997</v>
      </c>
      <c r="BA55" s="165">
        <v>45025.538194444445</v>
      </c>
      <c r="BB55" s="165">
        <v>45027.458333333336</v>
      </c>
      <c r="BC55" s="165">
        <v>45028.984027777777</v>
      </c>
      <c r="BD55" s="165">
        <v>45029.184027777781</v>
      </c>
      <c r="BE55" s="165">
        <v>45029.190972222219</v>
      </c>
      <c r="BF55" s="165">
        <v>45029.190972222219</v>
      </c>
      <c r="BG55" s="165">
        <f t="shared" si="16"/>
        <v>45030.899305555555</v>
      </c>
      <c r="BH55" s="165">
        <v>45031.25</v>
      </c>
      <c r="BI55" s="165">
        <v>45031.416666666664</v>
      </c>
      <c r="BJ55" s="165">
        <v>45031.293749999997</v>
      </c>
      <c r="BK55" s="165">
        <v>45035.25</v>
      </c>
      <c r="BL55" s="165">
        <v>45040.423611111109</v>
      </c>
      <c r="BM55" s="165">
        <v>45040.548611111109</v>
      </c>
      <c r="BN55" s="165">
        <v>45040.569444444445</v>
      </c>
      <c r="BO55" s="165">
        <v>45040.569444444445</v>
      </c>
      <c r="BP55" s="165">
        <v>45040.881944444445</v>
      </c>
      <c r="BS55" s="136">
        <f t="shared" si="4"/>
        <v>46.083333333372138</v>
      </c>
      <c r="BT55" s="136">
        <f t="shared" si="5"/>
        <v>4.8000000001047738</v>
      </c>
      <c r="BU55" s="136">
        <f t="shared" si="6"/>
        <v>41.000000000058208</v>
      </c>
      <c r="BV55" s="136">
        <f t="shared" si="14"/>
        <v>92.000000000058208</v>
      </c>
      <c r="BW55" s="135">
        <f t="shared" si="7"/>
        <v>3</v>
      </c>
      <c r="BX55" s="135">
        <f t="shared" si="8"/>
        <v>7.5</v>
      </c>
      <c r="BY55" s="134">
        <f t="shared" si="9"/>
        <v>8.0993055555663886</v>
      </c>
      <c r="BZ55" s="134">
        <f t="shared" si="10"/>
        <v>16.025694444448163</v>
      </c>
      <c r="CA55" s="133">
        <f t="shared" si="11"/>
        <v>0.50539498201728528</v>
      </c>
    </row>
    <row r="56" spans="1:79" s="126" customFormat="1">
      <c r="A56" s="192">
        <f t="shared" si="15"/>
        <v>45029.361111111109</v>
      </c>
      <c r="B56" s="126" t="s">
        <v>228</v>
      </c>
      <c r="C56" s="126" t="s">
        <v>229</v>
      </c>
      <c r="D56" s="126" t="s">
        <v>197</v>
      </c>
      <c r="E56" s="65" t="s">
        <v>971</v>
      </c>
      <c r="G56" s="165">
        <v>45038.35833333333</v>
      </c>
      <c r="H56" s="165">
        <v>45038.35833333333</v>
      </c>
      <c r="I56" s="126" t="s">
        <v>243</v>
      </c>
      <c r="J56" s="126" t="s">
        <v>192</v>
      </c>
      <c r="K56" s="126" t="s">
        <v>192</v>
      </c>
      <c r="L56" s="126" t="s">
        <v>1245</v>
      </c>
      <c r="M56" s="167"/>
      <c r="N56" s="126" t="s">
        <v>355</v>
      </c>
      <c r="O56" s="126" t="s">
        <v>356</v>
      </c>
      <c r="P56" s="126" t="s">
        <v>235</v>
      </c>
      <c r="Q56" s="181">
        <f>3107*2.4</f>
        <v>7456.7999999999993</v>
      </c>
      <c r="R56" s="181">
        <v>7569.4160000000002</v>
      </c>
      <c r="S56" s="181"/>
      <c r="W56" s="181">
        <f>R56</f>
        <v>7569.4160000000002</v>
      </c>
      <c r="AW56" s="165">
        <f t="shared" si="1"/>
        <v>45026.395833333336</v>
      </c>
      <c r="AX56" s="165">
        <f t="shared" si="2"/>
        <v>45041.479166666664</v>
      </c>
      <c r="AY56" s="137">
        <f t="shared" si="3"/>
        <v>15.083333333328483</v>
      </c>
      <c r="AZ56" s="165">
        <v>45026.395833333336</v>
      </c>
      <c r="BA56" s="165">
        <v>45027.635416666664</v>
      </c>
      <c r="BB56" s="165">
        <v>45029.291666666664</v>
      </c>
      <c r="BC56" s="165">
        <v>45029.361111111109</v>
      </c>
      <c r="BD56" s="165">
        <v>45029.545138888891</v>
      </c>
      <c r="BE56" s="165">
        <v>45029.548611111109</v>
      </c>
      <c r="BF56" s="165">
        <v>45029.548611111109</v>
      </c>
      <c r="BG56" s="165">
        <f t="shared" si="16"/>
        <v>45031.256944444445</v>
      </c>
      <c r="BH56" s="165">
        <v>45031.25</v>
      </c>
      <c r="BI56" s="165">
        <v>45031.416666666664</v>
      </c>
      <c r="BJ56" s="165">
        <v>45031.315972222219</v>
      </c>
      <c r="BK56" s="165">
        <v>45033.208333333336</v>
      </c>
      <c r="BL56" s="165">
        <v>45040.815972222219</v>
      </c>
      <c r="BM56" s="165">
        <v>45041.059027777781</v>
      </c>
      <c r="BN56" s="165">
        <v>45041.104166666664</v>
      </c>
      <c r="BO56" s="165">
        <v>45041.107638888891</v>
      </c>
      <c r="BP56" s="165">
        <v>45041.479166666664</v>
      </c>
      <c r="BS56" s="136">
        <f t="shared" si="4"/>
        <v>39.75</v>
      </c>
      <c r="BT56" s="136">
        <f t="shared" si="5"/>
        <v>4.4166666667442769</v>
      </c>
      <c r="BU56" s="136">
        <f t="shared" si="6"/>
        <v>41.000000000058208</v>
      </c>
      <c r="BV56" s="136">
        <f t="shared" si="14"/>
        <v>43.000000000116415</v>
      </c>
      <c r="BW56" s="135">
        <f t="shared" si="7"/>
        <v>5.8333333334885538</v>
      </c>
      <c r="BX56" s="135">
        <f t="shared" si="8"/>
        <v>8.9166666665696539</v>
      </c>
      <c r="BY56" s="134">
        <f t="shared" si="9"/>
        <v>5.9548611111240461</v>
      </c>
      <c r="BZ56" s="134">
        <f t="shared" si="10"/>
        <v>15.083333333328483</v>
      </c>
      <c r="CA56" s="133">
        <f t="shared" si="11"/>
        <v>0.39479742173210791</v>
      </c>
    </row>
    <row r="57" spans="1:79" s="126" customFormat="1">
      <c r="A57" s="192">
        <f t="shared" si="15"/>
        <v>45029.65625</v>
      </c>
      <c r="B57" s="126" t="s">
        <v>228</v>
      </c>
      <c r="C57" s="126" t="s">
        <v>229</v>
      </c>
      <c r="D57" s="126" t="s">
        <v>215</v>
      </c>
      <c r="E57" s="126" t="s">
        <v>1246</v>
      </c>
      <c r="G57" s="73">
        <v>45030.541666666664</v>
      </c>
      <c r="H57" s="73">
        <v>45030.525000000001</v>
      </c>
      <c r="I57" s="126" t="s">
        <v>243</v>
      </c>
      <c r="J57" s="126" t="s">
        <v>192</v>
      </c>
      <c r="K57" s="126" t="s">
        <v>192</v>
      </c>
      <c r="L57" s="126" t="s">
        <v>1247</v>
      </c>
      <c r="M57" s="167"/>
      <c r="N57" s="126" t="s">
        <v>271</v>
      </c>
      <c r="O57" s="126" t="s">
        <v>272</v>
      </c>
      <c r="P57" s="126" t="s">
        <v>235</v>
      </c>
      <c r="Q57" s="181">
        <f>3852*2.4</f>
        <v>9244.7999999999993</v>
      </c>
      <c r="R57" s="181">
        <v>9232.4650000000001</v>
      </c>
      <c r="S57" s="181"/>
      <c r="W57" s="181">
        <f>R57</f>
        <v>9232.4650000000001</v>
      </c>
      <c r="AW57" s="165">
        <f t="shared" si="1"/>
        <v>45026.048611111109</v>
      </c>
      <c r="AX57" s="165">
        <f t="shared" si="2"/>
        <v>45041.430555555555</v>
      </c>
      <c r="AY57" s="137">
        <f t="shared" si="3"/>
        <v>15.381944444445253</v>
      </c>
      <c r="AZ57" s="165">
        <v>45026.048611111109</v>
      </c>
      <c r="BA57" s="165">
        <v>45027.590277777781</v>
      </c>
      <c r="BB57" s="165">
        <v>45029.635416666664</v>
      </c>
      <c r="BC57" s="165">
        <v>45029.65625</v>
      </c>
      <c r="BD57" s="165">
        <v>45029.890972222223</v>
      </c>
      <c r="BE57" s="165">
        <v>45029.899305555555</v>
      </c>
      <c r="BF57" s="165">
        <v>45030.25</v>
      </c>
      <c r="BG57" s="165">
        <f t="shared" si="16"/>
        <v>45031.958333333336</v>
      </c>
      <c r="BH57" s="165">
        <v>45032.541666608799</v>
      </c>
      <c r="BI57" s="165">
        <v>45032.708333275463</v>
      </c>
      <c r="BJ57" s="165">
        <v>45032.663194444445</v>
      </c>
      <c r="BK57" s="165">
        <v>45034.444444444445</v>
      </c>
      <c r="BL57" s="165">
        <v>45040.239583333336</v>
      </c>
      <c r="BM57" s="165">
        <v>45040.677083333336</v>
      </c>
      <c r="BN57" s="165">
        <v>45040.690972222219</v>
      </c>
      <c r="BO57" s="165">
        <v>45040.822916666664</v>
      </c>
      <c r="BP57" s="165">
        <v>45041.430555555555</v>
      </c>
      <c r="BS57" s="136">
        <f t="shared" si="4"/>
        <v>49.083333333197515</v>
      </c>
      <c r="BT57" s="136">
        <f t="shared" si="5"/>
        <v>5.6333333333604969</v>
      </c>
      <c r="BU57" s="136">
        <f t="shared" si="6"/>
        <v>41.000000000058208</v>
      </c>
      <c r="BV57" s="136">
        <f t="shared" si="14"/>
        <v>41.666668055579066</v>
      </c>
      <c r="BW57" s="135">
        <f t="shared" si="7"/>
        <v>10.5</v>
      </c>
      <c r="BX57" s="135">
        <f t="shared" si="8"/>
        <v>14.583333333372138</v>
      </c>
      <c r="BY57" s="134">
        <f t="shared" si="9"/>
        <v>6.7694445023153094</v>
      </c>
      <c r="BZ57" s="134">
        <f t="shared" si="10"/>
        <v>15.381944444445253</v>
      </c>
      <c r="CA57" s="133">
        <f t="shared" si="11"/>
        <v>0.44009029721596088</v>
      </c>
    </row>
    <row r="58" spans="1:79" s="126" customFormat="1">
      <c r="A58" s="192">
        <f t="shared" si="15"/>
        <v>45030.152777777781</v>
      </c>
      <c r="B58" s="126" t="s">
        <v>228</v>
      </c>
      <c r="C58" s="126" t="s">
        <v>229</v>
      </c>
      <c r="D58" s="285" t="s">
        <v>1248</v>
      </c>
      <c r="E58" s="65" t="s">
        <v>1189</v>
      </c>
      <c r="G58" s="73">
        <v>45029.4375</v>
      </c>
      <c r="H58" s="73">
        <v>45029.415972222225</v>
      </c>
      <c r="I58" s="126" t="s">
        <v>231</v>
      </c>
      <c r="J58" s="126" t="s">
        <v>192</v>
      </c>
      <c r="K58" s="126" t="s">
        <v>192</v>
      </c>
      <c r="L58" s="126" t="s">
        <v>1249</v>
      </c>
      <c r="M58" s="167"/>
      <c r="N58" s="126" t="s">
        <v>1250</v>
      </c>
      <c r="O58" s="126" t="s">
        <v>1251</v>
      </c>
      <c r="P58" s="126" t="s">
        <v>235</v>
      </c>
      <c r="Q58" s="181">
        <f>3135*2.4</f>
        <v>7524</v>
      </c>
      <c r="R58" s="181">
        <v>7578.9409999999998</v>
      </c>
      <c r="S58" s="181"/>
      <c r="W58" s="181">
        <f>R58</f>
        <v>7578.9409999999998</v>
      </c>
      <c r="AW58" s="165">
        <f t="shared" si="1"/>
        <v>45027.552083333336</v>
      </c>
      <c r="AX58" s="165">
        <f t="shared" si="2"/>
        <v>45034.868055555555</v>
      </c>
      <c r="AY58" s="137">
        <f t="shared" si="3"/>
        <v>7.3159722222189885</v>
      </c>
      <c r="AZ58" s="165">
        <v>45027.552083333336</v>
      </c>
      <c r="BA58" s="165">
        <v>45027.552083333336</v>
      </c>
      <c r="BB58" s="165">
        <v>45030.0625</v>
      </c>
      <c r="BC58" s="165">
        <v>45030.152777777781</v>
      </c>
      <c r="BD58" s="165">
        <v>45030.725694444445</v>
      </c>
      <c r="BE58" s="165">
        <v>45030.736111111109</v>
      </c>
      <c r="BF58" s="165">
        <v>45030.736111111109</v>
      </c>
      <c r="BG58" s="165">
        <f t="shared" si="16"/>
        <v>45032.444444444445</v>
      </c>
      <c r="BH58" s="165">
        <v>45032.541666608799</v>
      </c>
      <c r="BI58" s="165">
        <v>45032.708333275463</v>
      </c>
      <c r="BJ58" s="165">
        <v>45032.621527777781</v>
      </c>
      <c r="BK58" s="165">
        <v>45034.152777777781</v>
      </c>
      <c r="BL58" s="165">
        <v>45034.583333333336</v>
      </c>
      <c r="BM58" s="165">
        <v>45034.847222222219</v>
      </c>
      <c r="BN58" s="165">
        <v>45034.868055555555</v>
      </c>
      <c r="BO58" s="165">
        <v>45034.868055555555</v>
      </c>
      <c r="BP58" s="165">
        <v>45034.868055555555</v>
      </c>
      <c r="BS58" s="136">
        <f t="shared" si="4"/>
        <v>60.249999999941792</v>
      </c>
      <c r="BT58" s="136">
        <f t="shared" si="5"/>
        <v>13.749999999941792</v>
      </c>
      <c r="BU58" s="136">
        <f t="shared" si="6"/>
        <v>41.000000000058208</v>
      </c>
      <c r="BV58" s="136">
        <f t="shared" si="14"/>
        <v>34.666668055637274</v>
      </c>
      <c r="BW58" s="135">
        <f t="shared" si="7"/>
        <v>6.3333333331975155</v>
      </c>
      <c r="BX58" s="135">
        <f t="shared" si="8"/>
        <v>0</v>
      </c>
      <c r="BY58" s="134">
        <f t="shared" si="9"/>
        <v>6.5000000578656909</v>
      </c>
      <c r="BZ58" s="134">
        <f t="shared" si="10"/>
        <v>7.3159722222189885</v>
      </c>
      <c r="CA58" s="133">
        <f t="shared" si="11"/>
        <v>0.88846702262275579</v>
      </c>
    </row>
    <row r="59" spans="1:79" s="126" customFormat="1">
      <c r="A59" s="192">
        <f t="shared" si="15"/>
        <v>45029.978472222225</v>
      </c>
      <c r="B59" s="126" t="s">
        <v>228</v>
      </c>
      <c r="C59" s="126" t="s">
        <v>229</v>
      </c>
      <c r="D59" s="126" t="s">
        <v>197</v>
      </c>
      <c r="E59" s="65" t="s">
        <v>971</v>
      </c>
      <c r="G59" s="165">
        <v>45038.35833333333</v>
      </c>
      <c r="H59" s="165">
        <v>45038.35833333333</v>
      </c>
      <c r="I59" s="126" t="s">
        <v>243</v>
      </c>
      <c r="J59" s="126" t="s">
        <v>192</v>
      </c>
      <c r="K59" s="126" t="s">
        <v>192</v>
      </c>
      <c r="L59" s="126" t="s">
        <v>1252</v>
      </c>
      <c r="M59" s="167"/>
      <c r="N59" s="126" t="s">
        <v>307</v>
      </c>
      <c r="O59" s="126" t="s">
        <v>308</v>
      </c>
      <c r="P59" s="126" t="s">
        <v>235</v>
      </c>
      <c r="Q59" s="181">
        <f>3170*2.4</f>
        <v>7608</v>
      </c>
      <c r="R59" s="181">
        <v>7723.8220000000001</v>
      </c>
      <c r="S59" s="181"/>
      <c r="W59" s="181">
        <f>R59</f>
        <v>7723.8220000000001</v>
      </c>
      <c r="AW59" s="165">
        <f t="shared" si="1"/>
        <v>45026.420138888891</v>
      </c>
      <c r="AX59" s="165">
        <f t="shared" si="2"/>
        <v>45041.458333333336</v>
      </c>
      <c r="AY59" s="137">
        <f t="shared" si="3"/>
        <v>15.038194444445253</v>
      </c>
      <c r="AZ59" s="165">
        <v>45026.420138888891</v>
      </c>
      <c r="BA59" s="165">
        <v>45027.852083333331</v>
      </c>
      <c r="BB59" s="165">
        <v>45029.927083333336</v>
      </c>
      <c r="BC59" s="165">
        <v>45029.978472222225</v>
      </c>
      <c r="BD59" s="165">
        <v>45030.121527777781</v>
      </c>
      <c r="BE59" s="165">
        <v>45030.125</v>
      </c>
      <c r="BF59" s="165">
        <v>45030.25</v>
      </c>
      <c r="BG59" s="165">
        <f t="shared" si="16"/>
        <v>45031.958333333336</v>
      </c>
      <c r="BH59" s="165">
        <v>45035.229166666664</v>
      </c>
      <c r="BI59" s="165">
        <v>45035.395833333328</v>
      </c>
      <c r="BJ59" s="165">
        <v>45035.350694444445</v>
      </c>
      <c r="BK59" s="165">
        <v>45037.145833333336</v>
      </c>
      <c r="BL59" s="165">
        <v>45039.052083333336</v>
      </c>
      <c r="BM59" s="165">
        <v>45039.263888888891</v>
      </c>
      <c r="BN59" s="165">
        <v>45039.291666666664</v>
      </c>
      <c r="BO59" s="165">
        <v>45040.8125</v>
      </c>
      <c r="BP59" s="165">
        <v>45041.458333333336</v>
      </c>
      <c r="BS59" s="136">
        <f t="shared" si="4"/>
        <v>49.800000000104774</v>
      </c>
      <c r="BT59" s="136">
        <f t="shared" si="5"/>
        <v>3.4333333333488554</v>
      </c>
      <c r="BU59" s="136">
        <f t="shared" si="6"/>
        <v>41.000000000058208</v>
      </c>
      <c r="BV59" s="136">
        <f t="shared" si="14"/>
        <v>42.000000000174623</v>
      </c>
      <c r="BW59" s="135">
        <f t="shared" si="7"/>
        <v>5.0833333333139308</v>
      </c>
      <c r="BX59" s="135">
        <f t="shared" si="8"/>
        <v>15.500000000058208</v>
      </c>
      <c r="BY59" s="134">
        <f t="shared" si="9"/>
        <v>6.5340277777941083</v>
      </c>
      <c r="BZ59" s="134">
        <f t="shared" si="10"/>
        <v>15.038194444445253</v>
      </c>
      <c r="CA59" s="133">
        <f t="shared" si="11"/>
        <v>0.43449549757668021</v>
      </c>
    </row>
    <row r="60" spans="1:79" s="126" customFormat="1">
      <c r="A60" s="192">
        <f t="shared" si="15"/>
        <v>45031.216666666667</v>
      </c>
      <c r="B60" s="126" t="s">
        <v>228</v>
      </c>
      <c r="C60" s="126" t="s">
        <v>229</v>
      </c>
      <c r="D60" s="126" t="s">
        <v>197</v>
      </c>
      <c r="E60" s="126" t="s">
        <v>1246</v>
      </c>
      <c r="G60" s="73">
        <v>45030.541666666664</v>
      </c>
      <c r="H60" s="73">
        <v>45030.525000000001</v>
      </c>
      <c r="I60" s="126" t="s">
        <v>243</v>
      </c>
      <c r="J60" s="126" t="s">
        <v>192</v>
      </c>
      <c r="K60" s="126" t="s">
        <v>192</v>
      </c>
      <c r="L60" s="126" t="s">
        <v>1253</v>
      </c>
      <c r="M60" s="167"/>
      <c r="N60" s="126" t="s">
        <v>260</v>
      </c>
      <c r="O60" s="126" t="s">
        <v>261</v>
      </c>
      <c r="P60" s="126" t="s">
        <v>240</v>
      </c>
      <c r="Q60" s="181">
        <f>3107*2.4</f>
        <v>7456.7999999999993</v>
      </c>
      <c r="R60" s="181">
        <v>7544.3620000000001</v>
      </c>
      <c r="S60" s="181"/>
      <c r="X60" s="181">
        <f>R60</f>
        <v>7544.3620000000001</v>
      </c>
      <c r="AW60" s="165">
        <f t="shared" si="1"/>
        <v>45028.25</v>
      </c>
      <c r="AX60" s="165">
        <f t="shared" si="2"/>
        <v>45043.402777777781</v>
      </c>
      <c r="AY60" s="137">
        <f t="shared" si="3"/>
        <v>15.152777777781012</v>
      </c>
      <c r="AZ60" s="165">
        <v>45028.25</v>
      </c>
      <c r="BA60" s="165">
        <v>45028.826388888891</v>
      </c>
      <c r="BB60" s="165">
        <v>45030.84375</v>
      </c>
      <c r="BC60" s="165">
        <v>45031.216666666667</v>
      </c>
      <c r="BD60" s="165">
        <v>45031.451388888891</v>
      </c>
      <c r="BE60" s="165">
        <v>45031.454861111109</v>
      </c>
      <c r="BF60" s="165">
        <v>45031.454861111109</v>
      </c>
      <c r="BG60" s="165">
        <f t="shared" si="16"/>
        <v>45033.163194444445</v>
      </c>
      <c r="BH60" s="165">
        <v>45033.541666608799</v>
      </c>
      <c r="BI60" s="165">
        <v>45033.708333275463</v>
      </c>
      <c r="BJ60" s="165">
        <v>45033.600694444445</v>
      </c>
      <c r="BK60" s="165">
        <v>45035.53125</v>
      </c>
      <c r="BL60" s="165">
        <v>45042.3125</v>
      </c>
      <c r="BM60" s="165">
        <v>45042.663194444445</v>
      </c>
      <c r="BN60" s="165">
        <v>45042.694444444445</v>
      </c>
      <c r="BO60" s="165">
        <v>45042.954861111109</v>
      </c>
      <c r="BP60" s="165">
        <v>45043.402777777781</v>
      </c>
      <c r="BS60" s="136">
        <f t="shared" si="4"/>
        <v>48.416666666627862</v>
      </c>
      <c r="BT60" s="136">
        <f t="shared" si="5"/>
        <v>5.6333333333604969</v>
      </c>
      <c r="BU60" s="136">
        <f t="shared" si="6"/>
        <v>41.000000000058208</v>
      </c>
      <c r="BV60" s="136">
        <f t="shared" si="14"/>
        <v>43.750001388892997</v>
      </c>
      <c r="BW60" s="135">
        <f t="shared" si="7"/>
        <v>8.4166666666860692</v>
      </c>
      <c r="BX60" s="135">
        <f t="shared" si="8"/>
        <v>10.750000000116415</v>
      </c>
      <c r="BY60" s="134">
        <f t="shared" si="9"/>
        <v>6.5819445023225853</v>
      </c>
      <c r="BZ60" s="134">
        <f t="shared" si="10"/>
        <v>15.152777777781012</v>
      </c>
      <c r="CA60" s="133">
        <f t="shared" si="11"/>
        <v>0.43437213947490833</v>
      </c>
    </row>
    <row r="61" spans="1:79" s="126" customFormat="1">
      <c r="A61" s="192">
        <f t="shared" si="15"/>
        <v>45031.04583333333</v>
      </c>
      <c r="B61" s="126" t="s">
        <v>228</v>
      </c>
      <c r="C61" s="126" t="s">
        <v>229</v>
      </c>
      <c r="D61" s="126" t="s">
        <v>197</v>
      </c>
      <c r="E61" s="126" t="s">
        <v>1246</v>
      </c>
      <c r="G61" s="73">
        <v>45030.541666666664</v>
      </c>
      <c r="H61" s="73">
        <v>45030.525000000001</v>
      </c>
      <c r="I61" s="126" t="s">
        <v>243</v>
      </c>
      <c r="J61" s="126" t="s">
        <v>192</v>
      </c>
      <c r="K61" s="126" t="s">
        <v>192</v>
      </c>
      <c r="L61" s="126" t="s">
        <v>1254</v>
      </c>
      <c r="M61" s="167"/>
      <c r="N61" s="126" t="s">
        <v>1255</v>
      </c>
      <c r="O61" s="126" t="s">
        <v>268</v>
      </c>
      <c r="P61" s="126" t="s">
        <v>240</v>
      </c>
      <c r="Q61" s="181">
        <f>3142*2.4</f>
        <v>7540.7999999999993</v>
      </c>
      <c r="R61" s="181">
        <v>7550.7430000000004</v>
      </c>
      <c r="S61" s="181"/>
      <c r="X61" s="181">
        <f>R61</f>
        <v>7550.7430000000004</v>
      </c>
      <c r="AW61" s="165">
        <f t="shared" si="1"/>
        <v>45025.423611111109</v>
      </c>
      <c r="AX61" s="165">
        <f t="shared" si="2"/>
        <v>45042.965277777781</v>
      </c>
      <c r="AY61" s="137">
        <f t="shared" si="3"/>
        <v>17.541666666671517</v>
      </c>
      <c r="AZ61" s="165">
        <v>45025.423611111109</v>
      </c>
      <c r="BA61" s="165">
        <v>45028.804861111108</v>
      </c>
      <c r="BB61" s="165">
        <v>45030.833333333336</v>
      </c>
      <c r="BC61" s="165">
        <v>45031.04583333333</v>
      </c>
      <c r="BD61" s="165">
        <v>45031.179166666669</v>
      </c>
      <c r="BE61" s="165">
        <v>45031.1875</v>
      </c>
      <c r="BF61" s="165">
        <v>45031.1875</v>
      </c>
      <c r="BG61" s="165">
        <f t="shared" si="16"/>
        <v>45032.895833333336</v>
      </c>
      <c r="BH61" s="165">
        <v>45032.541666608799</v>
      </c>
      <c r="BI61" s="165">
        <v>45032.708333275463</v>
      </c>
      <c r="BJ61" s="165">
        <v>45032.6875</v>
      </c>
      <c r="BK61" s="165">
        <v>45034.552083333336</v>
      </c>
      <c r="BL61" s="165">
        <v>45041.875</v>
      </c>
      <c r="BM61" s="165">
        <v>45042.194444444445</v>
      </c>
      <c r="BN61" s="165">
        <v>45042.21875</v>
      </c>
      <c r="BO61" s="165">
        <v>45042.222222222219</v>
      </c>
      <c r="BP61" s="165">
        <v>45042.965277777781</v>
      </c>
      <c r="BQ61" s="126" t="s">
        <v>1256</v>
      </c>
      <c r="BS61" s="136">
        <f t="shared" si="4"/>
        <v>48.683333333465271</v>
      </c>
      <c r="BT61" s="136">
        <f t="shared" si="5"/>
        <v>3.2000000001280569</v>
      </c>
      <c r="BU61" s="136">
        <f t="shared" si="6"/>
        <v>41.000000000058208</v>
      </c>
      <c r="BV61" s="136">
        <f t="shared" si="14"/>
        <v>44.250001388951205</v>
      </c>
      <c r="BW61" s="135">
        <f t="shared" si="7"/>
        <v>7.6666666666860692</v>
      </c>
      <c r="BX61" s="135">
        <f t="shared" si="8"/>
        <v>17.833333333488554</v>
      </c>
      <c r="BY61" s="134">
        <f t="shared" si="9"/>
        <v>6.7763889467823901</v>
      </c>
      <c r="BZ61" s="134">
        <f t="shared" si="10"/>
        <v>17.541666666671517</v>
      </c>
      <c r="CA61" s="133">
        <f t="shared" si="11"/>
        <v>0.38630245777371114</v>
      </c>
    </row>
    <row r="62" spans="1:79" s="126" customFormat="1">
      <c r="A62" s="192">
        <f t="shared" si="15"/>
        <v>45031.541666666664</v>
      </c>
      <c r="B62" s="126" t="s">
        <v>228</v>
      </c>
      <c r="C62" s="126" t="s">
        <v>229</v>
      </c>
      <c r="D62" s="126" t="s">
        <v>215</v>
      </c>
      <c r="E62" s="126" t="s">
        <v>1246</v>
      </c>
      <c r="G62" s="73">
        <v>45030.541666666664</v>
      </c>
      <c r="H62" s="73">
        <v>45030.525000000001</v>
      </c>
      <c r="I62" s="126" t="s">
        <v>243</v>
      </c>
      <c r="J62" s="126" t="s">
        <v>192</v>
      </c>
      <c r="K62" s="126" t="s">
        <v>192</v>
      </c>
      <c r="L62" s="126" t="s">
        <v>1257</v>
      </c>
      <c r="M62" s="167"/>
      <c r="N62" s="126" t="s">
        <v>352</v>
      </c>
      <c r="O62" s="126" t="s">
        <v>353</v>
      </c>
      <c r="P62" s="126" t="s">
        <v>235</v>
      </c>
      <c r="Q62" s="181">
        <f>3852*2.4</f>
        <v>9244.7999999999993</v>
      </c>
      <c r="R62" s="181">
        <v>9107.5650000000005</v>
      </c>
      <c r="S62" s="181"/>
      <c r="W62" s="181">
        <f>R62</f>
        <v>9107.5650000000005</v>
      </c>
      <c r="AW62" s="165">
        <f t="shared" si="1"/>
        <v>45028.972222222219</v>
      </c>
      <c r="AX62" s="165">
        <f t="shared" si="2"/>
        <v>45044.458333333336</v>
      </c>
      <c r="AY62" s="137">
        <f t="shared" si="3"/>
        <v>15.48611111111677</v>
      </c>
      <c r="AZ62" s="165">
        <v>45028.972222222219</v>
      </c>
      <c r="BA62" s="165">
        <v>45029.600694444445</v>
      </c>
      <c r="BB62" s="165">
        <v>45031.513888888891</v>
      </c>
      <c r="BC62" s="165">
        <v>45031.541666666664</v>
      </c>
      <c r="BD62" s="165">
        <v>45031.701388888891</v>
      </c>
      <c r="BE62" s="165">
        <v>45031.704861111109</v>
      </c>
      <c r="BF62" s="165">
        <v>45031.704861111109</v>
      </c>
      <c r="BG62" s="165">
        <f t="shared" si="16"/>
        <v>45033.413194444445</v>
      </c>
      <c r="BH62" s="165">
        <v>45034.583333333336</v>
      </c>
      <c r="BI62" s="165">
        <v>45034.75</v>
      </c>
      <c r="BJ62" s="165">
        <v>45034.732638888891</v>
      </c>
      <c r="BK62" s="165">
        <v>45036.3125</v>
      </c>
      <c r="BL62" s="165">
        <v>45043.423611111109</v>
      </c>
      <c r="BM62" s="165">
        <v>45043.739583333336</v>
      </c>
      <c r="BN62" s="165">
        <v>45043.798611111109</v>
      </c>
      <c r="BO62" s="165">
        <v>45043.895833333336</v>
      </c>
      <c r="BP62" s="165">
        <v>45044.458333333336</v>
      </c>
      <c r="BS62" s="136">
        <f t="shared" si="4"/>
        <v>45.916666666686069</v>
      </c>
      <c r="BT62" s="136">
        <f t="shared" si="5"/>
        <v>3.8333333334303461</v>
      </c>
      <c r="BU62" s="136">
        <f t="shared" si="6"/>
        <v>41.000000000058208</v>
      </c>
      <c r="BV62" s="136">
        <f t="shared" si="14"/>
        <v>37.5</v>
      </c>
      <c r="BW62" s="135">
        <f t="shared" si="7"/>
        <v>7.5833333334303461</v>
      </c>
      <c r="BX62" s="135">
        <f t="shared" si="8"/>
        <v>13.5</v>
      </c>
      <c r="BY62" s="134">
        <f t="shared" si="9"/>
        <v>6.2222222222335404</v>
      </c>
      <c r="BZ62" s="134">
        <f t="shared" si="10"/>
        <v>15.48611111111677</v>
      </c>
      <c r="CA62" s="133">
        <f t="shared" si="11"/>
        <v>0.40179372197367819</v>
      </c>
    </row>
    <row r="63" spans="1:79" s="126" customFormat="1">
      <c r="A63" s="192">
        <f t="shared" si="15"/>
        <v>45032.518750000003</v>
      </c>
      <c r="B63" s="126" t="s">
        <v>228</v>
      </c>
      <c r="C63" s="126" t="s">
        <v>229</v>
      </c>
      <c r="D63" s="126" t="s">
        <v>215</v>
      </c>
      <c r="E63" s="126" t="s">
        <v>1246</v>
      </c>
      <c r="G63" s="73">
        <v>45030.541666666664</v>
      </c>
      <c r="H63" s="73">
        <v>45030.525000000001</v>
      </c>
      <c r="I63" s="126" t="s">
        <v>243</v>
      </c>
      <c r="J63" s="126" t="s">
        <v>192</v>
      </c>
      <c r="K63" s="126" t="s">
        <v>192</v>
      </c>
      <c r="L63" s="126" t="s">
        <v>1258</v>
      </c>
      <c r="M63" s="167"/>
      <c r="N63" s="126" t="s">
        <v>399</v>
      </c>
      <c r="O63" s="126" t="s">
        <v>1093</v>
      </c>
      <c r="P63" s="126" t="s">
        <v>240</v>
      </c>
      <c r="Q63" s="181">
        <f>3136*2.4</f>
        <v>7526.4</v>
      </c>
      <c r="R63" s="181">
        <v>7434.527</v>
      </c>
      <c r="S63" s="181"/>
      <c r="X63" s="181">
        <f>R63</f>
        <v>7434.527</v>
      </c>
      <c r="AW63" s="165">
        <f t="shared" si="1"/>
        <v>45028.3125</v>
      </c>
      <c r="AX63" s="165">
        <f t="shared" si="2"/>
        <v>45043.541666666664</v>
      </c>
      <c r="AY63" s="137">
        <f t="shared" si="3"/>
        <v>15.229166666664241</v>
      </c>
      <c r="AZ63" s="165">
        <v>45028.3125</v>
      </c>
      <c r="BA63" s="165">
        <v>45029.576388888891</v>
      </c>
      <c r="BB63" s="165">
        <v>45031.548611111109</v>
      </c>
      <c r="BC63" s="165">
        <v>45032.518750000003</v>
      </c>
      <c r="BD63" s="165">
        <v>45032.652777777781</v>
      </c>
      <c r="BE63" s="165">
        <v>45032.663194444445</v>
      </c>
      <c r="BF63" s="165">
        <v>45033.25</v>
      </c>
      <c r="BG63" s="165">
        <f t="shared" si="16"/>
        <v>45034.958333333336</v>
      </c>
      <c r="BH63" s="165">
        <v>45035.229166666664</v>
      </c>
      <c r="BI63" s="165">
        <v>45035.395833333328</v>
      </c>
      <c r="BJ63" s="165">
        <v>45035.347222222219</v>
      </c>
      <c r="BK63" s="165">
        <v>45036.993055555555</v>
      </c>
      <c r="BL63" s="165">
        <v>45039.454861111109</v>
      </c>
      <c r="BM63" s="165">
        <v>45042.923611111109</v>
      </c>
      <c r="BN63" s="165">
        <v>45042.9375</v>
      </c>
      <c r="BO63" s="165">
        <v>45042.940972222219</v>
      </c>
      <c r="BP63" s="165">
        <v>45043.541666666664</v>
      </c>
      <c r="BS63" s="136">
        <f t="shared" si="4"/>
        <v>47.333333333255723</v>
      </c>
      <c r="BT63" s="136">
        <f t="shared" si="5"/>
        <v>3.2166666666744277</v>
      </c>
      <c r="BU63" s="136">
        <f t="shared" si="6"/>
        <v>41.000000000058208</v>
      </c>
      <c r="BV63" s="136">
        <f t="shared" si="14"/>
        <v>38.333333333430346</v>
      </c>
      <c r="BW63" s="135">
        <f t="shared" si="7"/>
        <v>83.25</v>
      </c>
      <c r="BX63" s="135">
        <f t="shared" si="8"/>
        <v>14.416666666686069</v>
      </c>
      <c r="BY63" s="134">
        <f t="shared" si="9"/>
        <v>9.4812500000043656</v>
      </c>
      <c r="BZ63" s="134">
        <f t="shared" si="10"/>
        <v>15.229166666664241</v>
      </c>
      <c r="CA63" s="133">
        <f t="shared" si="11"/>
        <v>0.6225718194258304</v>
      </c>
    </row>
    <row r="64" spans="1:79" s="126" customFormat="1">
      <c r="A64" s="192">
        <f t="shared" si="15"/>
        <v>45031.732638888891</v>
      </c>
      <c r="B64" s="126" t="s">
        <v>228</v>
      </c>
      <c r="C64" s="126" t="s">
        <v>229</v>
      </c>
      <c r="D64" s="126" t="s">
        <v>197</v>
      </c>
      <c r="E64" s="126" t="s">
        <v>1246</v>
      </c>
      <c r="G64" s="73">
        <v>45030.541666666664</v>
      </c>
      <c r="H64" s="73">
        <v>45030.525000000001</v>
      </c>
      <c r="I64" s="126" t="s">
        <v>243</v>
      </c>
      <c r="J64" s="126" t="s">
        <v>192</v>
      </c>
      <c r="K64" s="126" t="s">
        <v>192</v>
      </c>
      <c r="L64" s="126" t="s">
        <v>1259</v>
      </c>
      <c r="M64" s="167"/>
      <c r="N64" s="126" t="s">
        <v>377</v>
      </c>
      <c r="O64" s="126" t="s">
        <v>378</v>
      </c>
      <c r="P64" s="126" t="s">
        <v>240</v>
      </c>
      <c r="Q64" s="181">
        <f>3271*2.4</f>
        <v>7850.4</v>
      </c>
      <c r="R64" s="181">
        <v>7706.4040000000005</v>
      </c>
      <c r="S64" s="181"/>
      <c r="X64" s="181">
        <f>R64</f>
        <v>7706.4040000000005</v>
      </c>
      <c r="AW64" s="165">
        <f t="shared" si="1"/>
        <v>45028.770833333336</v>
      </c>
      <c r="AX64" s="165">
        <f t="shared" si="2"/>
        <v>45044.201388888891</v>
      </c>
      <c r="AY64" s="137">
        <f t="shared" si="3"/>
        <v>15.430555555554747</v>
      </c>
      <c r="AZ64" s="165">
        <v>45028.770833333336</v>
      </c>
      <c r="BA64" s="165">
        <v>45029.829861111109</v>
      </c>
      <c r="BB64" s="165">
        <v>45031.534722222219</v>
      </c>
      <c r="BC64" s="165">
        <v>45031.732638888891</v>
      </c>
      <c r="BD64" s="165">
        <v>45031.952777777777</v>
      </c>
      <c r="BE64" s="165">
        <v>45031.958333333336</v>
      </c>
      <c r="BF64" s="165">
        <v>45031.958333333336</v>
      </c>
      <c r="BG64" s="165">
        <f t="shared" si="16"/>
        <v>45033.666666666672</v>
      </c>
      <c r="BH64" s="165">
        <v>45034.583333333336</v>
      </c>
      <c r="BI64" s="165">
        <v>45034.75</v>
      </c>
      <c r="BJ64" s="165">
        <v>45034.628472222219</v>
      </c>
      <c r="BK64" s="165">
        <v>45036.263888888891</v>
      </c>
      <c r="BL64" s="165">
        <v>45043.871527777781</v>
      </c>
      <c r="BM64" s="165">
        <v>45044.1875</v>
      </c>
      <c r="BN64" s="165">
        <v>45044.201388888891</v>
      </c>
      <c r="BO64" s="165">
        <v>45044.201388888891</v>
      </c>
      <c r="BP64" s="165">
        <v>45044.201388888891</v>
      </c>
      <c r="BS64" s="136">
        <f t="shared" si="4"/>
        <v>40.916666666627862</v>
      </c>
      <c r="BT64" s="136">
        <f t="shared" si="5"/>
        <v>5.2833333332673647</v>
      </c>
      <c r="BU64" s="136">
        <f t="shared" si="6"/>
        <v>41.000000000058208</v>
      </c>
      <c r="BV64" s="136">
        <f t="shared" si="14"/>
        <v>36.333333333372138</v>
      </c>
      <c r="BW64" s="135">
        <f t="shared" si="7"/>
        <v>7.5833333332557231</v>
      </c>
      <c r="BX64" s="135">
        <f t="shared" si="8"/>
        <v>0</v>
      </c>
      <c r="BY64" s="134">
        <f t="shared" si="9"/>
        <v>5.4631944444408873</v>
      </c>
      <c r="BZ64" s="134">
        <f t="shared" si="10"/>
        <v>15.430555555554747</v>
      </c>
      <c r="CA64" s="133">
        <f t="shared" si="11"/>
        <v>0.35405040504029206</v>
      </c>
    </row>
    <row r="65" spans="1:79" s="126" customFormat="1">
      <c r="A65" s="192">
        <f t="shared" si="15"/>
        <v>45032.684027777781</v>
      </c>
      <c r="B65" s="126" t="s">
        <v>228</v>
      </c>
      <c r="C65" s="126" t="s">
        <v>229</v>
      </c>
      <c r="D65" s="126" t="s">
        <v>197</v>
      </c>
      <c r="E65" s="65" t="s">
        <v>1244</v>
      </c>
      <c r="F65" s="126" t="s">
        <v>416</v>
      </c>
      <c r="G65" s="165">
        <v>45036.708333333336</v>
      </c>
      <c r="H65" s="165">
        <v>45036.708333333336</v>
      </c>
      <c r="I65" s="126" t="s">
        <v>231</v>
      </c>
      <c r="J65" s="126" t="s">
        <v>192</v>
      </c>
      <c r="K65" s="126" t="s">
        <v>192</v>
      </c>
      <c r="L65" s="126" t="s">
        <v>1260</v>
      </c>
      <c r="M65" s="167"/>
      <c r="N65" s="126" t="s">
        <v>288</v>
      </c>
      <c r="O65" s="126" t="s">
        <v>289</v>
      </c>
      <c r="P65" s="126" t="s">
        <v>235</v>
      </c>
      <c r="Q65" s="181">
        <f>3107*2.4</f>
        <v>7456.7999999999993</v>
      </c>
      <c r="R65" s="181">
        <v>7502.8249999999998</v>
      </c>
      <c r="S65" s="181"/>
      <c r="W65" s="181">
        <f t="shared" ref="W65:W74" si="20">R65</f>
        <v>7502.8249999999998</v>
      </c>
      <c r="AW65" s="165">
        <f t="shared" si="1"/>
        <v>45029.416666666664</v>
      </c>
      <c r="AX65" s="165">
        <f t="shared" si="2"/>
        <v>45041.895833333336</v>
      </c>
      <c r="AY65" s="137">
        <f t="shared" si="3"/>
        <v>12.479166666671517</v>
      </c>
      <c r="AZ65" s="165">
        <v>45029.416666666664</v>
      </c>
      <c r="BA65" s="165">
        <v>45029.909722222219</v>
      </c>
      <c r="BB65" s="165">
        <v>45031.555555555555</v>
      </c>
      <c r="BC65" s="165">
        <v>45032.684027777781</v>
      </c>
      <c r="BD65" s="165">
        <v>45032.862500000003</v>
      </c>
      <c r="BE65" s="165">
        <v>45032.871527777781</v>
      </c>
      <c r="BF65" s="165">
        <v>45033.246527777781</v>
      </c>
      <c r="BG65" s="165">
        <f t="shared" si="16"/>
        <v>45034.954861111117</v>
      </c>
      <c r="BH65" s="165">
        <v>45036.229166608799</v>
      </c>
      <c r="BI65" s="165">
        <v>45036.395833275463</v>
      </c>
      <c r="BJ65" s="165">
        <v>45036.354166666664</v>
      </c>
      <c r="BK65" s="165">
        <v>45039.875</v>
      </c>
      <c r="BL65" s="165">
        <v>45041.152777777774</v>
      </c>
      <c r="BM65" s="165">
        <v>45041.597222222219</v>
      </c>
      <c r="BN65" s="165">
        <v>45041.618055555555</v>
      </c>
      <c r="BO65" s="165">
        <v>45041.618055555555</v>
      </c>
      <c r="BP65" s="165">
        <v>45041.895833333336</v>
      </c>
      <c r="BS65" s="136">
        <f t="shared" si="4"/>
        <v>39.500000000058208</v>
      </c>
      <c r="BT65" s="136">
        <f t="shared" si="5"/>
        <v>4.2833333333255723</v>
      </c>
      <c r="BU65" s="136">
        <f t="shared" si="6"/>
        <v>41.000000000058208</v>
      </c>
      <c r="BV65" s="136">
        <f t="shared" si="14"/>
        <v>83.500001388892997</v>
      </c>
      <c r="BW65" s="135">
        <f t="shared" si="7"/>
        <v>10.666666666686069</v>
      </c>
      <c r="BX65" s="135">
        <f t="shared" si="8"/>
        <v>6.6666666667442769</v>
      </c>
      <c r="BY65" s="134">
        <f t="shared" si="9"/>
        <v>7.7340278356568888</v>
      </c>
      <c r="BZ65" s="134">
        <f t="shared" si="10"/>
        <v>12.479166666671517</v>
      </c>
      <c r="CA65" s="133">
        <f t="shared" si="11"/>
        <v>0.61975515210582033</v>
      </c>
    </row>
    <row r="66" spans="1:79" s="126" customFormat="1">
      <c r="A66" s="192">
        <f t="shared" si="15"/>
        <v>45032.883333333331</v>
      </c>
      <c r="B66" s="126" t="s">
        <v>228</v>
      </c>
      <c r="C66" s="126" t="s">
        <v>229</v>
      </c>
      <c r="D66" s="126" t="s">
        <v>197</v>
      </c>
      <c r="E66" s="65" t="s">
        <v>1244</v>
      </c>
      <c r="F66" s="126" t="s">
        <v>416</v>
      </c>
      <c r="G66" s="165">
        <v>45036.708333333336</v>
      </c>
      <c r="H66" s="165">
        <v>45036.708333333336</v>
      </c>
      <c r="I66" s="126" t="s">
        <v>231</v>
      </c>
      <c r="J66" s="126" t="s">
        <v>192</v>
      </c>
      <c r="K66" s="126" t="s">
        <v>192</v>
      </c>
      <c r="L66" s="126" t="s">
        <v>1261</v>
      </c>
      <c r="M66" s="167"/>
      <c r="N66" s="126" t="s">
        <v>406</v>
      </c>
      <c r="O66" s="126" t="s">
        <v>407</v>
      </c>
      <c r="P66" s="126" t="s">
        <v>235</v>
      </c>
      <c r="Q66" s="181">
        <f>3107*2.4</f>
        <v>7456.7999999999993</v>
      </c>
      <c r="R66" s="181">
        <v>7630.6959999999999</v>
      </c>
      <c r="S66" s="181"/>
      <c r="W66" s="181">
        <f t="shared" si="20"/>
        <v>7630.6959999999999</v>
      </c>
      <c r="AW66" s="165">
        <f t="shared" si="1"/>
        <v>45029.538194444445</v>
      </c>
      <c r="AX66" s="165">
        <f t="shared" si="2"/>
        <v>45042.482638888891</v>
      </c>
      <c r="AY66" s="137">
        <f t="shared" si="3"/>
        <v>12.944444444445253</v>
      </c>
      <c r="AZ66" s="165">
        <v>45029.538194444445</v>
      </c>
      <c r="BA66" s="165">
        <v>45030.618055555555</v>
      </c>
      <c r="BB66" s="165">
        <v>45032.034722222219</v>
      </c>
      <c r="BC66" s="165">
        <v>45032.883333333331</v>
      </c>
      <c r="BD66" s="165">
        <v>45033.02847222222</v>
      </c>
      <c r="BE66" s="165">
        <v>45033.03125</v>
      </c>
      <c r="BF66" s="165">
        <v>45033.045138888891</v>
      </c>
      <c r="BG66" s="165">
        <f t="shared" si="16"/>
        <v>45034.753472222226</v>
      </c>
      <c r="BH66" s="165">
        <v>45037.25</v>
      </c>
      <c r="BI66" s="165">
        <v>45037.416666666664</v>
      </c>
      <c r="BJ66" s="165">
        <v>45037.378472222219</v>
      </c>
      <c r="BK66" s="165">
        <v>45039.822916666664</v>
      </c>
      <c r="BL66" s="165">
        <v>45041.659722222219</v>
      </c>
      <c r="BM66" s="165">
        <v>45041.930555555555</v>
      </c>
      <c r="BN66" s="165">
        <v>45041.951388888891</v>
      </c>
      <c r="BO66" s="165">
        <v>45042.277777777781</v>
      </c>
      <c r="BP66" s="165">
        <v>45042.482638888891</v>
      </c>
      <c r="BS66" s="136">
        <f t="shared" si="4"/>
        <v>33.999999999941792</v>
      </c>
      <c r="BT66" s="136">
        <f t="shared" si="5"/>
        <v>3.4833333333372138</v>
      </c>
      <c r="BU66" s="136">
        <f t="shared" si="6"/>
        <v>41.000000000058208</v>
      </c>
      <c r="BV66" s="136">
        <f t="shared" si="14"/>
        <v>57.75</v>
      </c>
      <c r="BW66" s="135">
        <f t="shared" si="7"/>
        <v>6.5000000000582077</v>
      </c>
      <c r="BX66" s="135">
        <f t="shared" si="8"/>
        <v>4.9166666666278616</v>
      </c>
      <c r="BY66" s="134">
        <f t="shared" si="9"/>
        <v>6.1520833333343035</v>
      </c>
      <c r="BZ66" s="134">
        <f t="shared" si="10"/>
        <v>12.944444444445253</v>
      </c>
      <c r="CA66" s="133">
        <f t="shared" si="11"/>
        <v>0.47526824034339288</v>
      </c>
    </row>
    <row r="67" spans="1:79" s="126" customFormat="1">
      <c r="A67" s="192">
        <f t="shared" si="15"/>
        <v>45033.059027777781</v>
      </c>
      <c r="B67" s="126" t="s">
        <v>228</v>
      </c>
      <c r="C67" s="126" t="s">
        <v>229</v>
      </c>
      <c r="D67" s="126" t="s">
        <v>197</v>
      </c>
      <c r="E67" s="65" t="s">
        <v>1244</v>
      </c>
      <c r="F67" s="126" t="s">
        <v>416</v>
      </c>
      <c r="G67" s="165">
        <v>45036.708333333336</v>
      </c>
      <c r="H67" s="165">
        <v>45036.708333333336</v>
      </c>
      <c r="I67" s="126" t="s">
        <v>231</v>
      </c>
      <c r="J67" s="126" t="s">
        <v>192</v>
      </c>
      <c r="K67" s="126" t="s">
        <v>192</v>
      </c>
      <c r="L67" s="126" t="s">
        <v>1262</v>
      </c>
      <c r="M67" s="167"/>
      <c r="N67" s="126" t="s">
        <v>277</v>
      </c>
      <c r="O67" s="126" t="s">
        <v>278</v>
      </c>
      <c r="P67" s="126" t="s">
        <v>235</v>
      </c>
      <c r="Q67" s="181">
        <f>3117*2.4</f>
        <v>7480.7999999999993</v>
      </c>
      <c r="R67" s="181">
        <v>7578.4669999999996</v>
      </c>
      <c r="S67" s="181"/>
      <c r="W67" s="181">
        <f t="shared" si="20"/>
        <v>7578.4669999999996</v>
      </c>
      <c r="AW67" s="165">
        <f t="shared" si="1"/>
        <v>45029.847222222219</v>
      </c>
      <c r="AX67" s="165">
        <f t="shared" si="2"/>
        <v>45042.861111111109</v>
      </c>
      <c r="AY67" s="137">
        <f t="shared" si="3"/>
        <v>13.013888888890506</v>
      </c>
      <c r="AZ67" s="165">
        <v>45029.847222222219</v>
      </c>
      <c r="BA67" s="165">
        <v>45030.555555555555</v>
      </c>
      <c r="BB67" s="165">
        <v>45032.145833333336</v>
      </c>
      <c r="BC67" s="165">
        <v>45033.059027777781</v>
      </c>
      <c r="BD67" s="165">
        <v>45033.184027777781</v>
      </c>
      <c r="BE67" s="165">
        <v>45033.1875</v>
      </c>
      <c r="BF67" s="165">
        <v>45033.1875</v>
      </c>
      <c r="BG67" s="165">
        <f t="shared" si="16"/>
        <v>45034.895833333336</v>
      </c>
      <c r="BH67" s="165">
        <v>45037.25</v>
      </c>
      <c r="BI67" s="165">
        <v>45037.416666666664</v>
      </c>
      <c r="BJ67" s="165">
        <v>45037.333333333336</v>
      </c>
      <c r="BK67" s="165">
        <v>45040.111111111109</v>
      </c>
      <c r="BL67" s="165">
        <v>45041.993055555555</v>
      </c>
      <c r="BM67" s="165">
        <v>45042.576388888891</v>
      </c>
      <c r="BN67" s="165">
        <v>45042.597222222219</v>
      </c>
      <c r="BO67" s="165">
        <v>45042.597222222219</v>
      </c>
      <c r="BP67" s="165">
        <v>45042.861111111109</v>
      </c>
      <c r="BS67" s="136">
        <f t="shared" si="4"/>
        <v>38.166666666744277</v>
      </c>
      <c r="BT67" s="136">
        <f t="shared" si="5"/>
        <v>3</v>
      </c>
      <c r="BU67" s="136">
        <f t="shared" si="6"/>
        <v>41.000000000058208</v>
      </c>
      <c r="BV67" s="136">
        <f t="shared" si="14"/>
        <v>64.666666666686069</v>
      </c>
      <c r="BW67" s="135">
        <f t="shared" si="7"/>
        <v>14.000000000058208</v>
      </c>
      <c r="BX67" s="135">
        <f t="shared" si="8"/>
        <v>6.3333333333721384</v>
      </c>
      <c r="BY67" s="134">
        <f t="shared" si="9"/>
        <v>6.9652777777882875</v>
      </c>
      <c r="BZ67" s="134">
        <f t="shared" si="10"/>
        <v>13.013888888890506</v>
      </c>
      <c r="CA67" s="133">
        <f t="shared" si="11"/>
        <v>0.53521878335186168</v>
      </c>
    </row>
    <row r="68" spans="1:79" s="126" customFormat="1">
      <c r="A68" s="192">
        <f t="shared" si="15"/>
        <v>45033.21875</v>
      </c>
      <c r="B68" s="126" t="s">
        <v>228</v>
      </c>
      <c r="C68" s="126" t="s">
        <v>229</v>
      </c>
      <c r="D68" s="126" t="s">
        <v>215</v>
      </c>
      <c r="E68" s="126" t="s">
        <v>1244</v>
      </c>
      <c r="F68" s="126" t="s">
        <v>416</v>
      </c>
      <c r="G68" s="165">
        <v>45036.708333333336</v>
      </c>
      <c r="H68" s="165">
        <v>45036.708333333336</v>
      </c>
      <c r="I68" s="126" t="s">
        <v>231</v>
      </c>
      <c r="J68" s="126" t="s">
        <v>192</v>
      </c>
      <c r="K68" s="126" t="s">
        <v>192</v>
      </c>
      <c r="L68" s="126" t="s">
        <v>1263</v>
      </c>
      <c r="M68" s="167"/>
      <c r="N68" s="126" t="s">
        <v>252</v>
      </c>
      <c r="O68" s="126" t="s">
        <v>253</v>
      </c>
      <c r="P68" s="126" t="s">
        <v>235</v>
      </c>
      <c r="Q68" s="181">
        <f>3107*2.4</f>
        <v>7456.7999999999993</v>
      </c>
      <c r="R68" s="181">
        <v>7502.9769999999999</v>
      </c>
      <c r="S68" s="181"/>
      <c r="W68" s="181">
        <f t="shared" si="20"/>
        <v>7502.9769999999999</v>
      </c>
      <c r="AW68" s="165">
        <f t="shared" ref="AW68:AW131" si="21">AZ68</f>
        <v>45029.229166666664</v>
      </c>
      <c r="AX68" s="165">
        <f t="shared" ref="AX68:AX131" si="22">BP68</f>
        <v>45043.246527777781</v>
      </c>
      <c r="AY68" s="137">
        <f t="shared" ref="AY68:AY131" si="23">AX68-AW68</f>
        <v>14.01736111111677</v>
      </c>
      <c r="AZ68" s="165">
        <v>45029.229166666664</v>
      </c>
      <c r="BA68" s="165">
        <v>45030.569444444445</v>
      </c>
      <c r="BB68" s="165">
        <v>45032.416666666664</v>
      </c>
      <c r="BC68" s="165">
        <v>45033.21875</v>
      </c>
      <c r="BD68" s="165">
        <v>45033.451388888891</v>
      </c>
      <c r="BE68" s="165">
        <v>45033.454861111109</v>
      </c>
      <c r="BF68" s="165">
        <v>45033.454861111109</v>
      </c>
      <c r="BG68" s="165">
        <f t="shared" si="16"/>
        <v>45035.163194444445</v>
      </c>
      <c r="BH68" s="165">
        <v>45037.25</v>
      </c>
      <c r="BI68" s="165">
        <v>45037.416666666664</v>
      </c>
      <c r="BJ68" s="165">
        <v>45037.277777777781</v>
      </c>
      <c r="BK68" s="165">
        <v>45039.815972222219</v>
      </c>
      <c r="BL68" s="165">
        <v>45042.638888888891</v>
      </c>
      <c r="BM68" s="165">
        <v>45042.836805555555</v>
      </c>
      <c r="BN68" s="165">
        <v>45042.857638888891</v>
      </c>
      <c r="BO68" s="165">
        <v>45042.857638888891</v>
      </c>
      <c r="BP68" s="165">
        <v>45043.246527777781</v>
      </c>
      <c r="BS68" s="136">
        <f t="shared" ref="BS68:BS131" si="24">(BB68-BA68)*24</f>
        <v>44.333333333255723</v>
      </c>
      <c r="BT68" s="136">
        <f t="shared" ref="BT68:BT131" si="25">(BD68-BC68)*24</f>
        <v>5.5833333333721384</v>
      </c>
      <c r="BU68" s="136">
        <f t="shared" ref="BU68:BU131" si="26">(BG68-BF68)*24</f>
        <v>41.000000000058208</v>
      </c>
      <c r="BV68" s="136">
        <f t="shared" si="14"/>
        <v>57.583333333313931</v>
      </c>
      <c r="BW68" s="135">
        <f t="shared" ref="BW68:BW131" si="27">(BM68-BL68)*24</f>
        <v>4.7499999999417923</v>
      </c>
      <c r="BX68" s="135">
        <f t="shared" ref="BX68:BX131" si="28">(BP68-BO68)*24</f>
        <v>9.3333333333721384</v>
      </c>
      <c r="BY68" s="134">
        <f t="shared" ref="BY68:BY131" si="29">SUM(BS68:BX68)/24</f>
        <v>6.7743055555547471</v>
      </c>
      <c r="BZ68" s="134">
        <f t="shared" ref="BZ68:BZ131" si="30">AY68</f>
        <v>14.01736111111677</v>
      </c>
      <c r="CA68" s="133">
        <f t="shared" ref="CA68:CA131" si="31">BY68/BZ68</f>
        <v>0.48327966311592258</v>
      </c>
    </row>
    <row r="69" spans="1:79" s="126" customFormat="1">
      <c r="A69" s="192">
        <f t="shared" si="15"/>
        <v>45033.480555555558</v>
      </c>
      <c r="B69" s="126" t="s">
        <v>228</v>
      </c>
      <c r="C69" s="126" t="s">
        <v>229</v>
      </c>
      <c r="D69" s="126" t="s">
        <v>197</v>
      </c>
      <c r="E69" s="126" t="s">
        <v>1244</v>
      </c>
      <c r="F69" s="126" t="s">
        <v>416</v>
      </c>
      <c r="G69" s="165">
        <v>45036.708333333336</v>
      </c>
      <c r="H69" s="165">
        <v>45036.708333333336</v>
      </c>
      <c r="I69" s="126" t="s">
        <v>231</v>
      </c>
      <c r="J69" s="126" t="s">
        <v>192</v>
      </c>
      <c r="K69" s="126" t="s">
        <v>192</v>
      </c>
      <c r="L69" s="126" t="s">
        <v>1264</v>
      </c>
      <c r="M69" s="167"/>
      <c r="N69" s="126" t="s">
        <v>257</v>
      </c>
      <c r="O69" s="126" t="s">
        <v>258</v>
      </c>
      <c r="P69" s="126" t="s">
        <v>235</v>
      </c>
      <c r="Q69" s="181">
        <f>3139*2.4</f>
        <v>7533.5999999999995</v>
      </c>
      <c r="R69" s="181">
        <v>7457.732</v>
      </c>
      <c r="S69" s="181"/>
      <c r="W69" s="181">
        <f t="shared" si="20"/>
        <v>7457.732</v>
      </c>
      <c r="AW69" s="165">
        <f t="shared" si="21"/>
        <v>45029.246527777781</v>
      </c>
      <c r="AX69" s="165">
        <f t="shared" si="22"/>
        <v>45043.420138888891</v>
      </c>
      <c r="AY69" s="137">
        <f t="shared" si="23"/>
        <v>14.173611111109494</v>
      </c>
      <c r="AZ69" s="165">
        <v>45029.246527777781</v>
      </c>
      <c r="BA69" s="165">
        <v>45030.572916666664</v>
      </c>
      <c r="BB69" s="165">
        <v>45032.486111111109</v>
      </c>
      <c r="BC69" s="165">
        <v>45033.480555555558</v>
      </c>
      <c r="BD69" s="165">
        <v>45033.659722222219</v>
      </c>
      <c r="BE69" s="165">
        <v>45033.663194444445</v>
      </c>
      <c r="BF69" s="165">
        <v>45033.663194444445</v>
      </c>
      <c r="BG69" s="165">
        <f t="shared" si="16"/>
        <v>45035.371527777781</v>
      </c>
      <c r="BH69" s="165">
        <v>45037.25</v>
      </c>
      <c r="BI69" s="165">
        <v>45037.416666666664</v>
      </c>
      <c r="BJ69" s="165">
        <v>45037.34375</v>
      </c>
      <c r="BK69" s="165">
        <v>45040.083333333336</v>
      </c>
      <c r="BL69" s="165">
        <v>45042.899305555555</v>
      </c>
      <c r="BM69" s="165">
        <v>45043.114583333336</v>
      </c>
      <c r="BN69" s="165">
        <v>45043.135416666672</v>
      </c>
      <c r="BO69" s="165">
        <v>45043.135416666672</v>
      </c>
      <c r="BP69" s="165">
        <v>45043.420138888891</v>
      </c>
      <c r="BS69" s="136">
        <f t="shared" si="24"/>
        <v>45.916666666686069</v>
      </c>
      <c r="BT69" s="136">
        <f t="shared" si="25"/>
        <v>4.2999999998719431</v>
      </c>
      <c r="BU69" s="136">
        <f t="shared" si="26"/>
        <v>41.000000000058208</v>
      </c>
      <c r="BV69" s="136">
        <f t="shared" ref="BV69:BV99" si="32">(BK69-BI69)*24</f>
        <v>64.000000000116415</v>
      </c>
      <c r="BW69" s="135">
        <f t="shared" si="27"/>
        <v>5.1666666667442769</v>
      </c>
      <c r="BX69" s="135">
        <f t="shared" si="28"/>
        <v>6.8333333332557231</v>
      </c>
      <c r="BY69" s="134">
        <f t="shared" si="29"/>
        <v>6.9673611111138598</v>
      </c>
      <c r="BZ69" s="134">
        <f t="shared" si="30"/>
        <v>14.173611111109494</v>
      </c>
      <c r="CA69" s="133">
        <f t="shared" si="31"/>
        <v>0.49157275845198933</v>
      </c>
    </row>
    <row r="70" spans="1:79" s="126" customFormat="1">
      <c r="A70" s="192">
        <f t="shared" si="15"/>
        <v>45033.701388888891</v>
      </c>
      <c r="B70" s="126" t="s">
        <v>228</v>
      </c>
      <c r="C70" s="126" t="s">
        <v>229</v>
      </c>
      <c r="D70" s="126" t="s">
        <v>197</v>
      </c>
      <c r="E70" s="65" t="s">
        <v>1244</v>
      </c>
      <c r="F70" s="126" t="s">
        <v>416</v>
      </c>
      <c r="G70" s="165">
        <v>45036.708333333336</v>
      </c>
      <c r="H70" s="165">
        <v>45036.708333333336</v>
      </c>
      <c r="I70" s="126" t="s">
        <v>231</v>
      </c>
      <c r="J70" s="126" t="s">
        <v>192</v>
      </c>
      <c r="K70" s="126" t="s">
        <v>192</v>
      </c>
      <c r="L70" s="126" t="s">
        <v>1265</v>
      </c>
      <c r="M70" s="167"/>
      <c r="N70" s="126" t="s">
        <v>429</v>
      </c>
      <c r="O70" s="126" t="s">
        <v>430</v>
      </c>
      <c r="P70" s="126" t="s">
        <v>235</v>
      </c>
      <c r="Q70" s="181">
        <f>3145 *2.4</f>
        <v>7548</v>
      </c>
      <c r="R70" s="181">
        <v>7732.8440000000001</v>
      </c>
      <c r="S70" s="181"/>
      <c r="W70" s="181">
        <f t="shared" si="20"/>
        <v>7732.8440000000001</v>
      </c>
      <c r="AW70" s="165">
        <f t="shared" si="21"/>
        <v>45029.5</v>
      </c>
      <c r="AX70" s="165">
        <f t="shared" si="22"/>
        <v>45043.892361111109</v>
      </c>
      <c r="AY70" s="137">
        <f t="shared" si="23"/>
        <v>14.392361111109494</v>
      </c>
      <c r="AZ70" s="165">
        <v>45029.5</v>
      </c>
      <c r="BA70" s="165">
        <v>45030.59375</v>
      </c>
      <c r="BB70" s="165">
        <v>45032.708333333336</v>
      </c>
      <c r="BC70" s="165">
        <v>45033.701388888891</v>
      </c>
      <c r="BD70" s="165">
        <v>45033.934027777781</v>
      </c>
      <c r="BE70" s="165">
        <v>45033.940972222219</v>
      </c>
      <c r="BF70" s="165">
        <v>45033.940972222219</v>
      </c>
      <c r="BG70" s="165">
        <f t="shared" si="16"/>
        <v>45035.649305555555</v>
      </c>
      <c r="BH70" s="165">
        <v>45036.229166608799</v>
      </c>
      <c r="BI70" s="165">
        <v>45036.395833275463</v>
      </c>
      <c r="BJ70" s="165">
        <v>45036.354166666664</v>
      </c>
      <c r="BK70" s="165">
        <v>45040.118055555555</v>
      </c>
      <c r="BL70" s="165">
        <v>45043.177083333336</v>
      </c>
      <c r="BM70" s="165">
        <v>45043.385416666664</v>
      </c>
      <c r="BN70" s="165">
        <v>45043.40625</v>
      </c>
      <c r="BO70" s="165">
        <v>45043.680555555555</v>
      </c>
      <c r="BP70" s="165">
        <v>45043.892361111109</v>
      </c>
      <c r="BS70" s="136">
        <f t="shared" si="24"/>
        <v>50.750000000058208</v>
      </c>
      <c r="BT70" s="136">
        <f t="shared" si="25"/>
        <v>5.5833333333721384</v>
      </c>
      <c r="BU70" s="136">
        <f t="shared" si="26"/>
        <v>41.000000000058208</v>
      </c>
      <c r="BV70" s="136">
        <f t="shared" si="32"/>
        <v>89.333334722206928</v>
      </c>
      <c r="BW70" s="135">
        <f t="shared" si="27"/>
        <v>4.9999999998835847</v>
      </c>
      <c r="BX70" s="135">
        <f t="shared" si="28"/>
        <v>5.0833333333139308</v>
      </c>
      <c r="BY70" s="134">
        <f t="shared" si="29"/>
        <v>8.1979167245372082</v>
      </c>
      <c r="BZ70" s="134">
        <f t="shared" si="30"/>
        <v>14.392361111109494</v>
      </c>
      <c r="CA70" s="133">
        <f t="shared" si="31"/>
        <v>0.56960193405717274</v>
      </c>
    </row>
    <row r="71" spans="1:79" s="126" customFormat="1">
      <c r="A71" s="192">
        <f t="shared" si="15"/>
        <v>45033.963888888888</v>
      </c>
      <c r="B71" s="126" t="s">
        <v>228</v>
      </c>
      <c r="C71" s="126" t="s">
        <v>229</v>
      </c>
      <c r="D71" s="126" t="s">
        <v>197</v>
      </c>
      <c r="E71" s="65" t="s">
        <v>1244</v>
      </c>
      <c r="F71" s="126" t="s">
        <v>416</v>
      </c>
      <c r="G71" s="165">
        <v>45036.708333333336</v>
      </c>
      <c r="H71" s="165">
        <v>45036.708333333336</v>
      </c>
      <c r="I71" s="126" t="s">
        <v>231</v>
      </c>
      <c r="J71" s="126" t="s">
        <v>192</v>
      </c>
      <c r="K71" s="126" t="s">
        <v>192</v>
      </c>
      <c r="L71" s="126" t="s">
        <v>1266</v>
      </c>
      <c r="M71" s="167"/>
      <c r="N71" s="126" t="s">
        <v>437</v>
      </c>
      <c r="O71" s="126" t="s">
        <v>320</v>
      </c>
      <c r="P71" s="126" t="s">
        <v>235</v>
      </c>
      <c r="Q71" s="181">
        <f>3136*2.4</f>
        <v>7526.4</v>
      </c>
      <c r="R71" s="181">
        <v>7372.6610000000001</v>
      </c>
      <c r="S71" s="181"/>
      <c r="W71" s="181">
        <f t="shared" si="20"/>
        <v>7372.6610000000001</v>
      </c>
      <c r="AW71" s="165">
        <f t="shared" si="21"/>
        <v>45030.569444444445</v>
      </c>
      <c r="AX71" s="165">
        <f t="shared" si="22"/>
        <v>45043.902777777781</v>
      </c>
      <c r="AY71" s="137">
        <f t="shared" si="23"/>
        <v>13.333333333335759</v>
      </c>
      <c r="AZ71" s="165">
        <v>45030.569444444445</v>
      </c>
      <c r="BA71" s="165">
        <v>45031.524305555555</v>
      </c>
      <c r="BB71" s="165">
        <v>45033.041666666664</v>
      </c>
      <c r="BC71" s="165">
        <v>45033.963888888888</v>
      </c>
      <c r="BD71" s="165">
        <v>45034.09375</v>
      </c>
      <c r="BE71" s="165">
        <v>45034.104166666664</v>
      </c>
      <c r="BF71" s="165">
        <v>45034.104166666664</v>
      </c>
      <c r="BG71" s="165">
        <f t="shared" si="16"/>
        <v>45035.8125</v>
      </c>
      <c r="BH71" s="165">
        <v>45036.229166608799</v>
      </c>
      <c r="BI71" s="165">
        <v>45036.395833275463</v>
      </c>
      <c r="BJ71" s="165">
        <v>45036.350694444445</v>
      </c>
      <c r="BK71" s="165">
        <v>45040.03125</v>
      </c>
      <c r="BL71" s="165">
        <v>45043.447916666664</v>
      </c>
      <c r="BM71" s="165">
        <v>45043.652777777781</v>
      </c>
      <c r="BN71" s="165">
        <v>45043.673611111109</v>
      </c>
      <c r="BO71" s="165">
        <v>45043.673611111109</v>
      </c>
      <c r="BP71" s="165">
        <v>45043.902777777781</v>
      </c>
      <c r="BS71" s="136">
        <f t="shared" si="24"/>
        <v>36.416666666627862</v>
      </c>
      <c r="BT71" s="136">
        <f t="shared" si="25"/>
        <v>3.1166666666977108</v>
      </c>
      <c r="BU71" s="136">
        <f t="shared" si="26"/>
        <v>41.000000000058208</v>
      </c>
      <c r="BV71" s="136">
        <f t="shared" si="32"/>
        <v>87.250001388892997</v>
      </c>
      <c r="BW71" s="135">
        <f t="shared" si="27"/>
        <v>4.9166666668024845</v>
      </c>
      <c r="BX71" s="135">
        <f t="shared" si="28"/>
        <v>5.5000000001164153</v>
      </c>
      <c r="BY71" s="134">
        <f t="shared" si="29"/>
        <v>7.4250000578831532</v>
      </c>
      <c r="BZ71" s="134">
        <f t="shared" si="30"/>
        <v>13.333333333335759</v>
      </c>
      <c r="CA71" s="133">
        <f t="shared" si="31"/>
        <v>0.55687500434113524</v>
      </c>
    </row>
    <row r="72" spans="1:79" s="126" customFormat="1">
      <c r="A72" s="192">
        <f t="shared" si="15"/>
        <v>45034.123611111114</v>
      </c>
      <c r="B72" s="126" t="s">
        <v>228</v>
      </c>
      <c r="C72" s="126" t="s">
        <v>229</v>
      </c>
      <c r="D72" s="126" t="s">
        <v>197</v>
      </c>
      <c r="E72" s="65" t="s">
        <v>1244</v>
      </c>
      <c r="F72" s="126" t="s">
        <v>416</v>
      </c>
      <c r="G72" s="165">
        <v>45036.708333333336</v>
      </c>
      <c r="H72" s="165">
        <v>45036.708333333336</v>
      </c>
      <c r="I72" s="126" t="s">
        <v>231</v>
      </c>
      <c r="J72" s="126" t="s">
        <v>192</v>
      </c>
      <c r="K72" s="126" t="s">
        <v>192</v>
      </c>
      <c r="L72" s="126" t="s">
        <v>1267</v>
      </c>
      <c r="M72" s="167"/>
      <c r="N72" s="126" t="s">
        <v>292</v>
      </c>
      <c r="O72" s="126" t="s">
        <v>293</v>
      </c>
      <c r="P72" s="126" t="s">
        <v>235</v>
      </c>
      <c r="Q72" s="181">
        <f>3142*2.4</f>
        <v>7540.7999999999993</v>
      </c>
      <c r="R72" s="181">
        <v>7570.4530000000004</v>
      </c>
      <c r="S72" s="181"/>
      <c r="W72" s="181">
        <f t="shared" si="20"/>
        <v>7570.4530000000004</v>
      </c>
      <c r="AW72" s="165">
        <f t="shared" si="21"/>
        <v>45030.208333333336</v>
      </c>
      <c r="AX72" s="165">
        <f t="shared" si="22"/>
        <v>45044.416666666664</v>
      </c>
      <c r="AY72" s="137">
        <f t="shared" si="23"/>
        <v>14.208333333328483</v>
      </c>
      <c r="AZ72" s="165">
        <v>45030.208333333336</v>
      </c>
      <c r="BA72" s="165">
        <v>45031.506944444445</v>
      </c>
      <c r="BB72" s="165">
        <v>45033.083333333336</v>
      </c>
      <c r="BC72" s="165">
        <v>45034.123611111114</v>
      </c>
      <c r="BD72" s="165">
        <v>45034.677083333336</v>
      </c>
      <c r="BE72" s="165">
        <v>45034.684027777781</v>
      </c>
      <c r="BF72" s="165">
        <v>45034.684027777781</v>
      </c>
      <c r="BG72" s="165">
        <f t="shared" si="16"/>
        <v>45036.392361111117</v>
      </c>
      <c r="BH72" s="165">
        <v>45036.229166608799</v>
      </c>
      <c r="BI72" s="165">
        <v>45036.395833275463</v>
      </c>
      <c r="BJ72" s="165">
        <v>45036.364583333336</v>
      </c>
      <c r="BK72" s="165">
        <v>45040.104166666664</v>
      </c>
      <c r="BL72" s="165">
        <v>45043.715277777781</v>
      </c>
      <c r="BM72" s="165">
        <v>45043.965277777781</v>
      </c>
      <c r="BN72" s="165">
        <v>45043.986111111109</v>
      </c>
      <c r="BO72" s="165">
        <v>45044.232638888891</v>
      </c>
      <c r="BP72" s="165">
        <v>45044.416666666664</v>
      </c>
      <c r="BS72" s="136">
        <f t="shared" si="24"/>
        <v>37.833333333372138</v>
      </c>
      <c r="BT72" s="136">
        <f t="shared" si="25"/>
        <v>13.283333333325572</v>
      </c>
      <c r="BU72" s="136">
        <f t="shared" si="26"/>
        <v>41.000000000058208</v>
      </c>
      <c r="BV72" s="136">
        <f t="shared" si="32"/>
        <v>89.000001388834789</v>
      </c>
      <c r="BW72" s="135">
        <f t="shared" si="27"/>
        <v>6</v>
      </c>
      <c r="BX72" s="135">
        <f t="shared" si="28"/>
        <v>4.4166666665696539</v>
      </c>
      <c r="BY72" s="134">
        <f t="shared" si="29"/>
        <v>7.9805556134233484</v>
      </c>
      <c r="BZ72" s="134">
        <f t="shared" si="30"/>
        <v>14.208333333328483</v>
      </c>
      <c r="CA72" s="133">
        <f t="shared" si="31"/>
        <v>0.56168133349626315</v>
      </c>
    </row>
    <row r="73" spans="1:79" s="126" customFormat="1">
      <c r="A73" s="192">
        <f t="shared" si="15"/>
        <v>45034.815972222219</v>
      </c>
      <c r="B73" s="126" t="s">
        <v>228</v>
      </c>
      <c r="C73" s="126" t="s">
        <v>229</v>
      </c>
      <c r="D73" s="126" t="s">
        <v>197</v>
      </c>
      <c r="E73" s="65" t="s">
        <v>1244</v>
      </c>
      <c r="F73" s="126" t="s">
        <v>416</v>
      </c>
      <c r="G73" s="165">
        <v>45036.708333333336</v>
      </c>
      <c r="H73" s="165">
        <v>45036.708333333336</v>
      </c>
      <c r="I73" s="126" t="s">
        <v>231</v>
      </c>
      <c r="J73" s="126" t="s">
        <v>192</v>
      </c>
      <c r="K73" s="126" t="s">
        <v>192</v>
      </c>
      <c r="L73" s="126" t="s">
        <v>1268</v>
      </c>
      <c r="M73" s="167"/>
      <c r="N73" s="126" t="s">
        <v>263</v>
      </c>
      <c r="O73" s="126" t="s">
        <v>264</v>
      </c>
      <c r="P73" s="126" t="s">
        <v>235</v>
      </c>
      <c r="Q73" s="181">
        <f>3136*2.4</f>
        <v>7526.4</v>
      </c>
      <c r="R73" s="262">
        <f>7513.598-5243.622+9</f>
        <v>2278.9759999999997</v>
      </c>
      <c r="S73" s="181"/>
      <c r="W73" s="181">
        <f t="shared" si="20"/>
        <v>2278.9759999999997</v>
      </c>
      <c r="AW73" s="165">
        <f t="shared" si="21"/>
        <v>45030.479166666664</v>
      </c>
      <c r="AX73" s="165">
        <f t="shared" si="22"/>
        <v>45044.222222222219</v>
      </c>
      <c r="AY73" s="137">
        <f t="shared" si="23"/>
        <v>13.743055555554747</v>
      </c>
      <c r="AZ73" s="165">
        <v>45030.479166666664</v>
      </c>
      <c r="BA73" s="165">
        <v>45031.527777777781</v>
      </c>
      <c r="BB73" s="165">
        <v>45033.125</v>
      </c>
      <c r="BC73" s="165">
        <v>45034.815972222219</v>
      </c>
      <c r="BD73" s="165">
        <v>45035.03125</v>
      </c>
      <c r="BE73" s="165">
        <v>45035.038194444445</v>
      </c>
      <c r="BF73" s="165">
        <v>45035.038194444445</v>
      </c>
      <c r="BG73" s="165">
        <f t="shared" si="16"/>
        <v>45036.746527777781</v>
      </c>
      <c r="BH73" s="165">
        <v>45037.25</v>
      </c>
      <c r="BI73" s="165">
        <v>45037.416666666664</v>
      </c>
      <c r="BJ73" s="165">
        <v>45037.350694444445</v>
      </c>
      <c r="BK73" s="165">
        <v>45040.086805555555</v>
      </c>
      <c r="BL73" s="165">
        <v>45044.069444444445</v>
      </c>
      <c r="BM73" s="165">
        <v>45044.166666666664</v>
      </c>
      <c r="BN73" s="165">
        <v>45044.222222222219</v>
      </c>
      <c r="BO73" s="165">
        <v>45044.222222222219</v>
      </c>
      <c r="BP73" s="165">
        <v>45044.222222222219</v>
      </c>
      <c r="BS73" s="136">
        <f t="shared" si="24"/>
        <v>38.333333333255723</v>
      </c>
      <c r="BT73" s="136">
        <f t="shared" si="25"/>
        <v>5.1666666667442769</v>
      </c>
      <c r="BU73" s="136">
        <f t="shared" si="26"/>
        <v>41.000000000058208</v>
      </c>
      <c r="BV73" s="136">
        <f t="shared" si="32"/>
        <v>64.083333333372138</v>
      </c>
      <c r="BW73" s="135">
        <f t="shared" si="27"/>
        <v>2.3333333332557231</v>
      </c>
      <c r="BX73" s="135">
        <f t="shared" si="28"/>
        <v>0</v>
      </c>
      <c r="BY73" s="134">
        <f t="shared" si="29"/>
        <v>6.2881944444452529</v>
      </c>
      <c r="BZ73" s="134">
        <f t="shared" si="30"/>
        <v>13.743055555554747</v>
      </c>
      <c r="CA73" s="133">
        <f t="shared" si="31"/>
        <v>0.45755432036390586</v>
      </c>
    </row>
    <row r="74" spans="1:79" s="126" customFormat="1">
      <c r="A74" s="192">
        <f t="shared" si="15"/>
        <v>45034.815972222219</v>
      </c>
      <c r="B74" s="126" t="s">
        <v>228</v>
      </c>
      <c r="C74" s="126" t="s">
        <v>229</v>
      </c>
      <c r="D74" s="126" t="s">
        <v>197</v>
      </c>
      <c r="E74" s="65" t="s">
        <v>1269</v>
      </c>
      <c r="F74" s="126" t="s">
        <v>416</v>
      </c>
      <c r="G74" s="165">
        <v>45039.541666666664</v>
      </c>
      <c r="H74" s="165">
        <v>45039.548611111109</v>
      </c>
      <c r="I74" s="126" t="s">
        <v>231</v>
      </c>
      <c r="J74" s="126" t="s">
        <v>192</v>
      </c>
      <c r="K74" s="126" t="s">
        <v>192</v>
      </c>
      <c r="L74" s="126" t="s">
        <v>1268</v>
      </c>
      <c r="M74" s="167"/>
      <c r="N74" s="126" t="s">
        <v>263</v>
      </c>
      <c r="O74" s="126" t="s">
        <v>264</v>
      </c>
      <c r="P74" s="126" t="s">
        <v>235</v>
      </c>
      <c r="Q74" s="181">
        <f>3136*2.4</f>
        <v>7526.4</v>
      </c>
      <c r="R74" s="181">
        <v>5214</v>
      </c>
      <c r="S74" s="181"/>
      <c r="W74" s="181">
        <f t="shared" si="20"/>
        <v>5214</v>
      </c>
      <c r="AW74" s="165">
        <f t="shared" si="21"/>
        <v>45030.479166666664</v>
      </c>
      <c r="AX74" s="165">
        <f t="shared" si="22"/>
        <v>45045.46875</v>
      </c>
      <c r="AY74" s="137">
        <f t="shared" si="23"/>
        <v>14.989583333335759</v>
      </c>
      <c r="AZ74" s="165">
        <v>45030.479166666664</v>
      </c>
      <c r="BA74" s="165">
        <v>45031.527777777781</v>
      </c>
      <c r="BB74" s="165">
        <v>45033.125</v>
      </c>
      <c r="BC74" s="165">
        <v>45034.815972222219</v>
      </c>
      <c r="BD74" s="165">
        <v>45035.03125</v>
      </c>
      <c r="BE74" s="165">
        <v>45035.038194444445</v>
      </c>
      <c r="BF74" s="165">
        <v>45035.038194444445</v>
      </c>
      <c r="BG74" s="165">
        <f t="shared" si="16"/>
        <v>45036.746527777781</v>
      </c>
      <c r="BH74" s="165">
        <v>45037.25</v>
      </c>
      <c r="BI74" s="165">
        <v>45037.416666666664</v>
      </c>
      <c r="BJ74" s="165">
        <v>45037.350694444445</v>
      </c>
      <c r="BK74" s="165">
        <v>45044.222222222219</v>
      </c>
      <c r="BL74" s="165">
        <v>45044.923611111109</v>
      </c>
      <c r="BM74" s="165">
        <v>45045.125</v>
      </c>
      <c r="BN74" s="165">
        <v>45045.145833333336</v>
      </c>
      <c r="BO74" s="165">
        <v>45045.145833333336</v>
      </c>
      <c r="BP74" s="165">
        <v>45045.46875</v>
      </c>
      <c r="BS74" s="136">
        <f t="shared" si="24"/>
        <v>38.333333333255723</v>
      </c>
      <c r="BT74" s="136">
        <f t="shared" si="25"/>
        <v>5.1666666667442769</v>
      </c>
      <c r="BU74" s="136">
        <f t="shared" si="26"/>
        <v>41.000000000058208</v>
      </c>
      <c r="BV74" s="136">
        <f t="shared" si="32"/>
        <v>163.33333333331393</v>
      </c>
      <c r="BW74" s="135">
        <f t="shared" si="27"/>
        <v>4.8333333333721384</v>
      </c>
      <c r="BX74" s="135">
        <f t="shared" si="28"/>
        <v>7.7499999999417923</v>
      </c>
      <c r="BY74" s="134">
        <f t="shared" si="29"/>
        <v>10.850694444445253</v>
      </c>
      <c r="BZ74" s="134">
        <f t="shared" si="30"/>
        <v>14.989583333335759</v>
      </c>
      <c r="CA74" s="133">
        <f t="shared" si="31"/>
        <v>0.72388232568907274</v>
      </c>
    </row>
    <row r="75" spans="1:79" s="126" customFormat="1">
      <c r="A75" s="192">
        <f t="shared" si="15"/>
        <v>45035.399305555555</v>
      </c>
      <c r="B75" s="126" t="s">
        <v>228</v>
      </c>
      <c r="C75" s="126" t="s">
        <v>229</v>
      </c>
      <c r="D75" s="126" t="s">
        <v>215</v>
      </c>
      <c r="E75" s="65" t="s">
        <v>1270</v>
      </c>
      <c r="G75" s="165">
        <v>45039.34375</v>
      </c>
      <c r="H75" s="165">
        <v>45039.42083333333</v>
      </c>
      <c r="I75" s="126" t="s">
        <v>231</v>
      </c>
      <c r="J75" s="126" t="s">
        <v>192</v>
      </c>
      <c r="K75" s="126" t="s">
        <v>192</v>
      </c>
      <c r="L75" s="126" t="s">
        <v>1271</v>
      </c>
      <c r="M75" s="167"/>
      <c r="N75" s="126" t="s">
        <v>374</v>
      </c>
      <c r="O75" s="126" t="s">
        <v>375</v>
      </c>
      <c r="P75" s="126" t="s">
        <v>240</v>
      </c>
      <c r="Q75" s="181">
        <v>7508.4480000000003</v>
      </c>
      <c r="R75" s="181">
        <v>7533.3580000000002</v>
      </c>
      <c r="S75" s="181"/>
      <c r="X75" s="181">
        <f>R75</f>
        <v>7533.3580000000002</v>
      </c>
      <c r="AW75" s="165">
        <f t="shared" si="21"/>
        <v>45030.708333333336</v>
      </c>
      <c r="AX75" s="165">
        <f t="shared" si="22"/>
        <v>45042.041666666664</v>
      </c>
      <c r="AY75" s="137">
        <f t="shared" si="23"/>
        <v>11.333333333328483</v>
      </c>
      <c r="AZ75" s="165">
        <v>45030.708333333336</v>
      </c>
      <c r="BA75" s="165">
        <v>45031.545138888891</v>
      </c>
      <c r="BB75" s="165">
        <v>45033.322916666664</v>
      </c>
      <c r="BC75" s="165">
        <v>45035.399305555555</v>
      </c>
      <c r="BD75" s="165">
        <v>45035.552083333336</v>
      </c>
      <c r="BE75" s="165">
        <v>45035.559027777781</v>
      </c>
      <c r="BF75" s="165">
        <v>45035.559027777781</v>
      </c>
      <c r="BG75" s="165">
        <f t="shared" si="16"/>
        <v>45037.267361111117</v>
      </c>
      <c r="BH75" s="165">
        <v>45037.25</v>
      </c>
      <c r="BI75" s="165">
        <v>45037.416666666664</v>
      </c>
      <c r="BJ75" s="165">
        <v>45037.291666666664</v>
      </c>
      <c r="BK75" s="165">
        <v>45040.055555555555</v>
      </c>
      <c r="BL75" s="165">
        <v>45041.194444444445</v>
      </c>
      <c r="BM75" s="165">
        <v>45041.732638888891</v>
      </c>
      <c r="BN75" s="165">
        <v>45041.753472222226</v>
      </c>
      <c r="BO75" s="165">
        <v>45041.753472222226</v>
      </c>
      <c r="BP75" s="165">
        <v>45042.041666666664</v>
      </c>
      <c r="BS75" s="136">
        <f t="shared" si="24"/>
        <v>42.666666666569654</v>
      </c>
      <c r="BT75" s="136">
        <f t="shared" si="25"/>
        <v>3.6666666667442769</v>
      </c>
      <c r="BU75" s="136">
        <f t="shared" si="26"/>
        <v>41.000000000058208</v>
      </c>
      <c r="BV75" s="136">
        <f t="shared" si="32"/>
        <v>63.333333333372138</v>
      </c>
      <c r="BW75" s="135">
        <f t="shared" si="27"/>
        <v>12.916666666686069</v>
      </c>
      <c r="BX75" s="135">
        <f t="shared" si="28"/>
        <v>6.9166666665114462</v>
      </c>
      <c r="BY75" s="134">
        <f t="shared" si="29"/>
        <v>7.1041666666642413</v>
      </c>
      <c r="BZ75" s="134">
        <f t="shared" si="30"/>
        <v>11.333333333328483</v>
      </c>
      <c r="CA75" s="133">
        <f t="shared" si="31"/>
        <v>0.62683823529417193</v>
      </c>
    </row>
    <row r="76" spans="1:79" s="126" customFormat="1">
      <c r="A76" s="192">
        <f t="shared" ref="A76:A139" si="33">BC76</f>
        <v>45035.579861111109</v>
      </c>
      <c r="B76" s="126" t="s">
        <v>228</v>
      </c>
      <c r="C76" s="126" t="s">
        <v>229</v>
      </c>
      <c r="D76" s="126" t="s">
        <v>197</v>
      </c>
      <c r="E76" s="126" t="s">
        <v>1270</v>
      </c>
      <c r="G76" s="165">
        <v>45039.34375</v>
      </c>
      <c r="H76" s="165">
        <v>45039.42083333333</v>
      </c>
      <c r="I76" s="126" t="s">
        <v>231</v>
      </c>
      <c r="J76" s="126" t="s">
        <v>192</v>
      </c>
      <c r="K76" s="126" t="s">
        <v>192</v>
      </c>
      <c r="L76" s="126" t="s">
        <v>1272</v>
      </c>
      <c r="M76" s="167"/>
      <c r="N76" s="126" t="s">
        <v>349</v>
      </c>
      <c r="O76" s="126" t="s">
        <v>350</v>
      </c>
      <c r="P76" s="126" t="s">
        <v>240</v>
      </c>
      <c r="Q76" s="181">
        <f>3077*2.4</f>
        <v>7384.7999999999993</v>
      </c>
      <c r="R76" s="181">
        <v>7606.2979999999998</v>
      </c>
      <c r="S76" s="181"/>
      <c r="X76" s="181">
        <f>R76</f>
        <v>7606.2979999999998</v>
      </c>
      <c r="AW76" s="165">
        <f t="shared" si="21"/>
        <v>45030.333333333336</v>
      </c>
      <c r="AX76" s="165">
        <f t="shared" si="22"/>
        <v>45042.388888888891</v>
      </c>
      <c r="AY76" s="137">
        <f t="shared" si="23"/>
        <v>12.055555555554747</v>
      </c>
      <c r="AZ76" s="165">
        <v>45030.333333333336</v>
      </c>
      <c r="BA76" s="165">
        <v>45031.545138888891</v>
      </c>
      <c r="BB76" s="165">
        <v>45033.40625</v>
      </c>
      <c r="BC76" s="165">
        <v>45035.579861111109</v>
      </c>
      <c r="BD76" s="165">
        <v>45035.71875</v>
      </c>
      <c r="BE76" s="165">
        <v>45035.732638888891</v>
      </c>
      <c r="BF76" s="165">
        <v>45035.732638888891</v>
      </c>
      <c r="BG76" s="165">
        <f t="shared" ref="BG76:BG99" si="34">BF76+(41/24)</f>
        <v>45037.440972222226</v>
      </c>
      <c r="BH76" s="165">
        <v>45037.25</v>
      </c>
      <c r="BI76" s="165">
        <v>45037.416666666664</v>
      </c>
      <c r="BJ76" s="165">
        <v>45037.395833333336</v>
      </c>
      <c r="BK76" s="165">
        <v>45039.583333333336</v>
      </c>
      <c r="BL76" s="165">
        <v>45041.791666666664</v>
      </c>
      <c r="BM76" s="165">
        <v>45041.979166666664</v>
      </c>
      <c r="BN76" s="165">
        <v>45041.989583333336</v>
      </c>
      <c r="BO76" s="165">
        <v>45042.180555555555</v>
      </c>
      <c r="BP76" s="165">
        <v>45042.388888888891</v>
      </c>
      <c r="BS76" s="136">
        <f t="shared" si="24"/>
        <v>44.666666666627862</v>
      </c>
      <c r="BT76" s="136">
        <f t="shared" si="25"/>
        <v>3.3333333333721384</v>
      </c>
      <c r="BU76" s="136">
        <f t="shared" si="26"/>
        <v>41.000000000058208</v>
      </c>
      <c r="BV76" s="136">
        <f t="shared" si="32"/>
        <v>52.000000000116415</v>
      </c>
      <c r="BW76" s="135">
        <f t="shared" si="27"/>
        <v>4.5</v>
      </c>
      <c r="BX76" s="135">
        <f t="shared" si="28"/>
        <v>5.0000000000582077</v>
      </c>
      <c r="BY76" s="134">
        <f t="shared" si="29"/>
        <v>6.2708333333430346</v>
      </c>
      <c r="BZ76" s="134">
        <f t="shared" si="30"/>
        <v>12.055555555554747</v>
      </c>
      <c r="CA76" s="133">
        <f t="shared" si="31"/>
        <v>0.52016129032342029</v>
      </c>
    </row>
    <row r="77" spans="1:79" s="126" customFormat="1">
      <c r="A77" s="192">
        <f t="shared" si="33"/>
        <v>45035.701388888891</v>
      </c>
      <c r="B77" s="126" t="s">
        <v>228</v>
      </c>
      <c r="C77" s="126" t="s">
        <v>229</v>
      </c>
      <c r="D77" s="126" t="s">
        <v>197</v>
      </c>
      <c r="E77" s="65" t="s">
        <v>1270</v>
      </c>
      <c r="G77" s="165">
        <v>45039.34375</v>
      </c>
      <c r="H77" s="165">
        <v>45039.42083333333</v>
      </c>
      <c r="I77" s="126" t="s">
        <v>231</v>
      </c>
      <c r="J77" s="126" t="s">
        <v>192</v>
      </c>
      <c r="K77" s="126" t="s">
        <v>192</v>
      </c>
      <c r="L77" s="126" t="s">
        <v>1273</v>
      </c>
      <c r="M77" s="167"/>
      <c r="N77" s="126" t="s">
        <v>380</v>
      </c>
      <c r="O77" s="126" t="s">
        <v>381</v>
      </c>
      <c r="P77" s="126" t="s">
        <v>240</v>
      </c>
      <c r="Q77" s="181">
        <f>3271*2.4</f>
        <v>7850.4</v>
      </c>
      <c r="R77" s="181">
        <v>7737.5969999999998</v>
      </c>
      <c r="S77" s="181"/>
      <c r="X77" s="181">
        <f>R77</f>
        <v>7737.5969999999998</v>
      </c>
      <c r="AW77" s="165">
        <f t="shared" si="21"/>
        <v>45030.125</v>
      </c>
      <c r="AX77" s="165">
        <f t="shared" si="22"/>
        <v>45042.458333333336</v>
      </c>
      <c r="AY77" s="137">
        <f t="shared" si="23"/>
        <v>12.333333333335759</v>
      </c>
      <c r="AZ77" s="165">
        <v>45030.125</v>
      </c>
      <c r="BA77" s="165">
        <v>45031.5625</v>
      </c>
      <c r="BB77" s="165">
        <v>45033.416666666664</v>
      </c>
      <c r="BC77" s="165">
        <v>45035.701388888891</v>
      </c>
      <c r="BD77" s="165">
        <v>45035.927083333336</v>
      </c>
      <c r="BE77" s="165">
        <v>45035.930555555555</v>
      </c>
      <c r="BF77" s="165">
        <v>45035.930555555555</v>
      </c>
      <c r="BG77" s="165">
        <f t="shared" si="34"/>
        <v>45037.638888888891</v>
      </c>
      <c r="BH77" s="165">
        <v>45038.25</v>
      </c>
      <c r="BI77" s="165">
        <v>45038.416666666664</v>
      </c>
      <c r="BJ77" s="165">
        <v>45038.40625</v>
      </c>
      <c r="BK77" s="165">
        <v>45039.645833333336</v>
      </c>
      <c r="BL77" s="165">
        <v>45042.010416666664</v>
      </c>
      <c r="BM77" s="165">
        <v>45042.180555555555</v>
      </c>
      <c r="BN77" s="165">
        <v>45042.190972222219</v>
      </c>
      <c r="BO77" s="165">
        <v>45042.190972222219</v>
      </c>
      <c r="BP77" s="165">
        <v>45042.458333333336</v>
      </c>
      <c r="BS77" s="136">
        <f t="shared" si="24"/>
        <v>44.499999999941792</v>
      </c>
      <c r="BT77" s="136">
        <f t="shared" si="25"/>
        <v>5.4166666666860692</v>
      </c>
      <c r="BU77" s="136">
        <f t="shared" si="26"/>
        <v>41.000000000058208</v>
      </c>
      <c r="BV77" s="136">
        <f t="shared" si="32"/>
        <v>29.500000000116415</v>
      </c>
      <c r="BW77" s="135">
        <f t="shared" si="27"/>
        <v>4.0833333333721384</v>
      </c>
      <c r="BX77" s="135">
        <f t="shared" si="28"/>
        <v>6.4166666668024845</v>
      </c>
      <c r="BY77" s="134">
        <f t="shared" si="29"/>
        <v>5.4548611111240461</v>
      </c>
      <c r="BZ77" s="134">
        <f t="shared" si="30"/>
        <v>12.333333333335759</v>
      </c>
      <c r="CA77" s="133">
        <f t="shared" si="31"/>
        <v>0.44228603603699784</v>
      </c>
    </row>
    <row r="78" spans="1:79" s="126" customFormat="1">
      <c r="A78" s="192">
        <f t="shared" si="33"/>
        <v>45035.951388888891</v>
      </c>
      <c r="B78" s="126" t="s">
        <v>228</v>
      </c>
      <c r="C78" s="126" t="s">
        <v>229</v>
      </c>
      <c r="D78" s="126" t="s">
        <v>215</v>
      </c>
      <c r="E78" s="65" t="s">
        <v>1270</v>
      </c>
      <c r="G78" s="165">
        <v>45039.34375</v>
      </c>
      <c r="H78" s="165">
        <v>45039.42083333333</v>
      </c>
      <c r="I78" s="126" t="s">
        <v>231</v>
      </c>
      <c r="J78" s="126" t="s">
        <v>192</v>
      </c>
      <c r="K78" s="126" t="s">
        <v>192</v>
      </c>
      <c r="L78" s="126" t="s">
        <v>1274</v>
      </c>
      <c r="M78" s="167"/>
      <c r="N78" s="126" t="s">
        <v>218</v>
      </c>
      <c r="O78" s="126" t="s">
        <v>219</v>
      </c>
      <c r="P78" s="126" t="s">
        <v>240</v>
      </c>
      <c r="Q78" s="181">
        <f>3087*2.4</f>
        <v>7408.7999999999993</v>
      </c>
      <c r="R78" s="181">
        <v>7518.3540000000003</v>
      </c>
      <c r="S78" s="181"/>
      <c r="X78" s="181">
        <f>R78</f>
        <v>7518.3540000000003</v>
      </c>
      <c r="AW78" s="165">
        <f t="shared" si="21"/>
        <v>45030.427083333336</v>
      </c>
      <c r="AX78" s="165">
        <f t="shared" si="22"/>
        <v>45042.701388888891</v>
      </c>
      <c r="AY78" s="137">
        <f t="shared" si="23"/>
        <v>12.274305555554747</v>
      </c>
      <c r="AZ78" s="165">
        <v>45030.427083333336</v>
      </c>
      <c r="BA78" s="165">
        <v>45031.524305555555</v>
      </c>
      <c r="BB78" s="165">
        <v>45033.479166666664</v>
      </c>
      <c r="BC78" s="165">
        <v>45035.951388888891</v>
      </c>
      <c r="BD78" s="165">
        <v>45036.090277777781</v>
      </c>
      <c r="BE78" s="165">
        <v>45036.097222222219</v>
      </c>
      <c r="BF78" s="165">
        <v>45036.097222222219</v>
      </c>
      <c r="BG78" s="165">
        <f t="shared" si="34"/>
        <v>45037.805555555555</v>
      </c>
      <c r="BH78" s="165">
        <v>45039.25</v>
      </c>
      <c r="BI78" s="165">
        <v>45039.416666666664</v>
      </c>
      <c r="BJ78" s="165">
        <v>45039.315972222219</v>
      </c>
      <c r="BK78" s="165">
        <v>45040.680555555555</v>
      </c>
      <c r="BL78" s="165">
        <v>45042.22152777778</v>
      </c>
      <c r="BM78" s="165">
        <v>45042.395833333336</v>
      </c>
      <c r="BN78" s="165">
        <v>45042.416666666664</v>
      </c>
      <c r="BO78" s="165">
        <v>45042.416666666664</v>
      </c>
      <c r="BP78" s="165">
        <v>45042.701388888891</v>
      </c>
      <c r="BS78" s="136">
        <f t="shared" si="24"/>
        <v>46.916666666627862</v>
      </c>
      <c r="BT78" s="136">
        <f t="shared" si="25"/>
        <v>3.3333333333721384</v>
      </c>
      <c r="BU78" s="136">
        <f t="shared" si="26"/>
        <v>41.000000000058208</v>
      </c>
      <c r="BV78" s="136">
        <f t="shared" si="32"/>
        <v>30.333333333372138</v>
      </c>
      <c r="BW78" s="135">
        <f t="shared" si="27"/>
        <v>4.1833333333488554</v>
      </c>
      <c r="BX78" s="135">
        <f t="shared" si="28"/>
        <v>6.8333333334303461</v>
      </c>
      <c r="BY78" s="134">
        <f t="shared" si="29"/>
        <v>5.5250000000087311</v>
      </c>
      <c r="BZ78" s="134">
        <f t="shared" si="30"/>
        <v>12.274305555554747</v>
      </c>
      <c r="CA78" s="133">
        <f t="shared" si="31"/>
        <v>0.45012729844487109</v>
      </c>
    </row>
    <row r="79" spans="1:79" s="126" customFormat="1">
      <c r="A79" s="192">
        <f t="shared" si="33"/>
        <v>45035.809027777781</v>
      </c>
      <c r="B79" s="126" t="s">
        <v>228</v>
      </c>
      <c r="C79" s="126" t="s">
        <v>229</v>
      </c>
      <c r="D79" s="126" t="s">
        <v>197</v>
      </c>
      <c r="E79" s="65" t="s">
        <v>1270</v>
      </c>
      <c r="G79" s="165">
        <v>45039.34375</v>
      </c>
      <c r="H79" s="165">
        <v>45039.42083333333</v>
      </c>
      <c r="I79" s="126" t="s">
        <v>231</v>
      </c>
      <c r="J79" s="126" t="s">
        <v>192</v>
      </c>
      <c r="K79" s="126" t="s">
        <v>192</v>
      </c>
      <c r="L79" s="126" t="s">
        <v>1275</v>
      </c>
      <c r="M79" s="167"/>
      <c r="N79" s="126" t="s">
        <v>323</v>
      </c>
      <c r="O79" s="126" t="s">
        <v>324</v>
      </c>
      <c r="P79" s="126" t="s">
        <v>235</v>
      </c>
      <c r="Q79" s="181">
        <f>3095*2.4</f>
        <v>7428</v>
      </c>
      <c r="R79" s="181">
        <f>7607.837-3668.223</f>
        <v>3939.6140000000005</v>
      </c>
      <c r="S79" s="181"/>
      <c r="W79" s="181">
        <f>R79</f>
        <v>3939.6140000000005</v>
      </c>
      <c r="AW79" s="165">
        <f t="shared" si="21"/>
        <v>45030.68472222222</v>
      </c>
      <c r="AX79" s="165">
        <f t="shared" si="22"/>
        <v>45042.909722222219</v>
      </c>
      <c r="AY79" s="137">
        <f t="shared" si="23"/>
        <v>12.224999999998545</v>
      </c>
      <c r="AZ79" s="165">
        <v>45030.68472222222</v>
      </c>
      <c r="BA79" s="165">
        <v>45031.815972222219</v>
      </c>
      <c r="BB79" s="165">
        <v>45033.506944444445</v>
      </c>
      <c r="BC79" s="165">
        <v>45035.809027777781</v>
      </c>
      <c r="BD79" s="165">
        <v>45035.965277777781</v>
      </c>
      <c r="BE79" s="165">
        <v>45035.96875</v>
      </c>
      <c r="BF79" s="165">
        <v>45035.96875</v>
      </c>
      <c r="BG79" s="165">
        <f t="shared" si="34"/>
        <v>45037.677083333336</v>
      </c>
      <c r="BH79" s="165">
        <v>45039.25</v>
      </c>
      <c r="BI79" s="165">
        <v>45039.416666666664</v>
      </c>
      <c r="BJ79" s="165">
        <v>45039.302083333336</v>
      </c>
      <c r="BK79" s="165">
        <v>45040.6875</v>
      </c>
      <c r="BL79" s="165">
        <v>45042.694444444445</v>
      </c>
      <c r="BM79" s="165">
        <v>45042.864583333336</v>
      </c>
      <c r="BN79" s="165">
        <v>45042.909722222219</v>
      </c>
      <c r="BO79" s="165">
        <v>45042.909722222219</v>
      </c>
      <c r="BP79" s="165">
        <v>45042.909722222219</v>
      </c>
      <c r="BS79" s="136">
        <f t="shared" si="24"/>
        <v>40.583333333430346</v>
      </c>
      <c r="BT79" s="136">
        <f t="shared" si="25"/>
        <v>3.75</v>
      </c>
      <c r="BU79" s="136">
        <f t="shared" si="26"/>
        <v>41.000000000058208</v>
      </c>
      <c r="BV79" s="136">
        <f t="shared" si="32"/>
        <v>30.500000000058208</v>
      </c>
      <c r="BW79" s="135">
        <f t="shared" si="27"/>
        <v>4.0833333333721384</v>
      </c>
      <c r="BX79" s="135">
        <f t="shared" si="28"/>
        <v>0</v>
      </c>
      <c r="BY79" s="134">
        <f t="shared" si="29"/>
        <v>4.9965277777882875</v>
      </c>
      <c r="BZ79" s="134">
        <f t="shared" si="30"/>
        <v>12.224999999998545</v>
      </c>
      <c r="CA79" s="133">
        <f t="shared" si="31"/>
        <v>0.40871392865348732</v>
      </c>
    </row>
    <row r="80" spans="1:79" s="126" customFormat="1">
      <c r="A80" s="192">
        <f t="shared" si="33"/>
        <v>45035.809027777781</v>
      </c>
      <c r="B80" s="126" t="s">
        <v>228</v>
      </c>
      <c r="C80" s="126" t="s">
        <v>229</v>
      </c>
      <c r="D80" s="126" t="s">
        <v>197</v>
      </c>
      <c r="E80" s="65" t="s">
        <v>1269</v>
      </c>
      <c r="G80" s="165">
        <v>45039.541666666664</v>
      </c>
      <c r="H80" s="165">
        <v>45039.548611111109</v>
      </c>
      <c r="I80" s="126" t="s">
        <v>231</v>
      </c>
      <c r="J80" s="126" t="s">
        <v>192</v>
      </c>
      <c r="K80" s="126" t="s">
        <v>192</v>
      </c>
      <c r="L80" s="126" t="s">
        <v>1275</v>
      </c>
      <c r="M80" s="167"/>
      <c r="N80" s="126" t="s">
        <v>323</v>
      </c>
      <c r="O80" s="126" t="s">
        <v>324</v>
      </c>
      <c r="P80" s="126" t="s">
        <v>235</v>
      </c>
      <c r="Q80" s="181">
        <f>3095*2.4</f>
        <v>7428</v>
      </c>
      <c r="R80" s="181">
        <v>3660.09</v>
      </c>
      <c r="S80" s="181"/>
      <c r="W80" s="181">
        <f>R80</f>
        <v>3660.09</v>
      </c>
      <c r="AW80" s="165">
        <f t="shared" si="21"/>
        <v>45030.68472222222</v>
      </c>
      <c r="AX80" s="165">
        <f t="shared" si="22"/>
        <v>45045.431250000001</v>
      </c>
      <c r="AY80" s="137">
        <f t="shared" si="23"/>
        <v>14.746527777781012</v>
      </c>
      <c r="AZ80" s="165">
        <v>45030.68472222222</v>
      </c>
      <c r="BA80" s="165">
        <v>45031.815972222219</v>
      </c>
      <c r="BB80" s="165">
        <v>45033.506944444445</v>
      </c>
      <c r="BC80" s="165">
        <v>45035.809027777781</v>
      </c>
      <c r="BD80" s="165">
        <v>45035.965277777781</v>
      </c>
      <c r="BE80" s="165">
        <v>45035.96875</v>
      </c>
      <c r="BF80" s="165">
        <v>45035.96875</v>
      </c>
      <c r="BG80" s="165">
        <f t="shared" si="34"/>
        <v>45037.677083333336</v>
      </c>
      <c r="BH80" s="165">
        <v>45039.25</v>
      </c>
      <c r="BI80" s="165">
        <v>45039.416666666664</v>
      </c>
      <c r="BJ80" s="165">
        <f>$BJ$92</f>
        <v>45047.572916666664</v>
      </c>
      <c r="BK80" s="165">
        <v>45042.909722222219</v>
      </c>
      <c r="BL80" s="165">
        <v>45044.715277777781</v>
      </c>
      <c r="BM80" s="165">
        <v>45044.888888888891</v>
      </c>
      <c r="BN80" s="165">
        <v>45044.902777777781</v>
      </c>
      <c r="BO80" s="165">
        <v>45045.145833333336</v>
      </c>
      <c r="BP80" s="165">
        <v>45045.431250000001</v>
      </c>
      <c r="BS80" s="136">
        <f t="shared" si="24"/>
        <v>40.583333333430346</v>
      </c>
      <c r="BT80" s="136">
        <f t="shared" si="25"/>
        <v>3.75</v>
      </c>
      <c r="BU80" s="136">
        <f t="shared" si="26"/>
        <v>41.000000000058208</v>
      </c>
      <c r="BV80" s="136">
        <f t="shared" si="32"/>
        <v>83.833333333313931</v>
      </c>
      <c r="BW80" s="135">
        <f t="shared" si="27"/>
        <v>4.1666666666278616</v>
      </c>
      <c r="BX80" s="135">
        <f t="shared" si="28"/>
        <v>6.8499999999767169</v>
      </c>
      <c r="BY80" s="134">
        <f t="shared" si="29"/>
        <v>7.507638888891961</v>
      </c>
      <c r="BZ80" s="134">
        <f t="shared" si="30"/>
        <v>14.746527777781012</v>
      </c>
      <c r="CA80" s="133">
        <f t="shared" si="31"/>
        <v>0.50911231457509076</v>
      </c>
    </row>
    <row r="81" spans="1:79" s="126" customFormat="1">
      <c r="A81" s="192">
        <f t="shared" si="33"/>
        <v>45036.121527777781</v>
      </c>
      <c r="B81" s="126" t="s">
        <v>228</v>
      </c>
      <c r="C81" s="126" t="s">
        <v>229</v>
      </c>
      <c r="D81" s="126" t="s">
        <v>197</v>
      </c>
      <c r="E81" s="65" t="s">
        <v>1270</v>
      </c>
      <c r="G81" s="165">
        <v>45039.34375</v>
      </c>
      <c r="H81" s="165">
        <v>45039.42083333333</v>
      </c>
      <c r="I81" s="126" t="s">
        <v>231</v>
      </c>
      <c r="J81" s="126" t="s">
        <v>192</v>
      </c>
      <c r="K81" s="126" t="s">
        <v>192</v>
      </c>
      <c r="L81" s="126" t="s">
        <v>1276</v>
      </c>
      <c r="M81" s="167"/>
      <c r="N81" s="126" t="s">
        <v>505</v>
      </c>
      <c r="O81" s="126" t="s">
        <v>506</v>
      </c>
      <c r="P81" s="126" t="s">
        <v>240</v>
      </c>
      <c r="Q81" s="181">
        <f>3071*2.4</f>
        <v>7370.4</v>
      </c>
      <c r="R81" s="181">
        <v>7664.7790000000005</v>
      </c>
      <c r="S81" s="181"/>
      <c r="X81" s="181">
        <f>R81</f>
        <v>7664.7790000000005</v>
      </c>
      <c r="AW81" s="165">
        <f t="shared" si="21"/>
        <v>45030.805555555555</v>
      </c>
      <c r="AX81" s="165">
        <f t="shared" si="22"/>
        <v>45042.857638888891</v>
      </c>
      <c r="AY81" s="137">
        <f t="shared" si="23"/>
        <v>12.052083333335759</v>
      </c>
      <c r="AZ81" s="165">
        <v>45030.805555555555</v>
      </c>
      <c r="BA81" s="165">
        <v>45032.375</v>
      </c>
      <c r="BB81" s="165">
        <v>45034</v>
      </c>
      <c r="BC81" s="165">
        <v>45036.121527777781</v>
      </c>
      <c r="BD81" s="165">
        <v>45036.357638888891</v>
      </c>
      <c r="BE81" s="165">
        <v>45036.364583333336</v>
      </c>
      <c r="BF81" s="165">
        <v>45036.364583333336</v>
      </c>
      <c r="BG81" s="165">
        <f t="shared" si="34"/>
        <v>45038.072916666672</v>
      </c>
      <c r="BH81" s="165">
        <v>45039.25</v>
      </c>
      <c r="BI81" s="165">
        <v>45039.416666666664</v>
      </c>
      <c r="BJ81" s="165">
        <v>45039.364583333336</v>
      </c>
      <c r="BK81" s="165">
        <v>45040.666666666664</v>
      </c>
      <c r="BL81" s="165">
        <v>45042.444444444445</v>
      </c>
      <c r="BM81" s="165">
        <v>45042.652777777781</v>
      </c>
      <c r="BN81" s="165">
        <v>45042.673611111109</v>
      </c>
      <c r="BO81" s="165">
        <v>45042.673611111109</v>
      </c>
      <c r="BP81" s="165">
        <v>45042.857638888891</v>
      </c>
      <c r="BS81" s="136">
        <f t="shared" si="24"/>
        <v>39</v>
      </c>
      <c r="BT81" s="136">
        <f t="shared" si="25"/>
        <v>5.6666666666278616</v>
      </c>
      <c r="BU81" s="136">
        <f t="shared" si="26"/>
        <v>41.000000000058208</v>
      </c>
      <c r="BV81" s="136">
        <f t="shared" si="32"/>
        <v>30</v>
      </c>
      <c r="BW81" s="135">
        <f t="shared" si="27"/>
        <v>5.0000000000582077</v>
      </c>
      <c r="BX81" s="135">
        <f t="shared" si="28"/>
        <v>4.4166666667442769</v>
      </c>
      <c r="BY81" s="134">
        <f t="shared" si="29"/>
        <v>5.2118055555620231</v>
      </c>
      <c r="BZ81" s="134">
        <f t="shared" si="30"/>
        <v>12.052083333335759</v>
      </c>
      <c r="CA81" s="133">
        <f t="shared" si="31"/>
        <v>0.43244021895752249</v>
      </c>
    </row>
    <row r="82" spans="1:79" s="126" customFormat="1">
      <c r="A82" s="192">
        <f t="shared" si="33"/>
        <v>45039.976388888892</v>
      </c>
      <c r="B82" s="126" t="s">
        <v>228</v>
      </c>
      <c r="C82" s="126" t="s">
        <v>229</v>
      </c>
      <c r="D82" s="126" t="s">
        <v>215</v>
      </c>
      <c r="E82" s="126" t="s">
        <v>1269</v>
      </c>
      <c r="G82" s="165">
        <v>45039.541666666664</v>
      </c>
      <c r="H82" s="165">
        <v>45039.548611111109</v>
      </c>
      <c r="I82" s="126" t="s">
        <v>231</v>
      </c>
      <c r="J82" s="126" t="s">
        <v>192</v>
      </c>
      <c r="K82" s="126" t="s">
        <v>192</v>
      </c>
      <c r="L82" s="126" t="s">
        <v>1277</v>
      </c>
      <c r="M82" s="167"/>
      <c r="N82" s="126" t="s">
        <v>422</v>
      </c>
      <c r="O82" s="126" t="s">
        <v>275</v>
      </c>
      <c r="P82" s="126" t="s">
        <v>235</v>
      </c>
      <c r="Q82" s="181">
        <f>3097*2.4</f>
        <v>7432.7999999999993</v>
      </c>
      <c r="R82" s="181">
        <v>7500.8919999999998</v>
      </c>
      <c r="S82" s="181"/>
      <c r="W82" s="181">
        <f>R82</f>
        <v>7500.8919999999998</v>
      </c>
      <c r="AW82" s="165">
        <f t="shared" si="21"/>
        <v>45033.354166666664</v>
      </c>
      <c r="AX82" s="165">
        <f t="shared" si="22"/>
        <v>45045.767361111109</v>
      </c>
      <c r="AY82" s="137">
        <f t="shared" si="23"/>
        <v>12.413194444445253</v>
      </c>
      <c r="AZ82" s="165">
        <v>45033.354166666664</v>
      </c>
      <c r="BA82" s="165">
        <v>45034.385416666664</v>
      </c>
      <c r="BB82" s="165">
        <v>45035.958333333336</v>
      </c>
      <c r="BC82" s="165">
        <v>45039.976388888892</v>
      </c>
      <c r="BD82" s="165">
        <v>45040.166666666664</v>
      </c>
      <c r="BE82" s="165">
        <v>45040.173611111109</v>
      </c>
      <c r="BF82" s="165">
        <v>45040.173611111109</v>
      </c>
      <c r="BG82" s="165">
        <f t="shared" si="34"/>
        <v>45041.881944444445</v>
      </c>
      <c r="BH82" s="165">
        <v>45042.25</v>
      </c>
      <c r="BI82" s="165">
        <v>45042.416666666664</v>
      </c>
      <c r="BJ82" s="165">
        <v>45042.350694444445</v>
      </c>
      <c r="BK82" s="165">
        <v>45043.5</v>
      </c>
      <c r="BL82" s="165">
        <v>45045.166666666664</v>
      </c>
      <c r="BM82" s="165">
        <v>45045.451388888891</v>
      </c>
      <c r="BN82" s="165">
        <v>45045.465277777781</v>
      </c>
      <c r="BO82" s="165">
        <v>45045.465277777781</v>
      </c>
      <c r="BP82" s="165">
        <v>45045.767361111109</v>
      </c>
      <c r="BS82" s="136">
        <f t="shared" si="24"/>
        <v>37.750000000116415</v>
      </c>
      <c r="BT82" s="136">
        <f t="shared" si="25"/>
        <v>4.5666666665347293</v>
      </c>
      <c r="BU82" s="136">
        <f t="shared" si="26"/>
        <v>41.000000000058208</v>
      </c>
      <c r="BV82" s="136">
        <f t="shared" si="32"/>
        <v>26.000000000058208</v>
      </c>
      <c r="BW82" s="135">
        <f t="shared" si="27"/>
        <v>6.8333333334303461</v>
      </c>
      <c r="BX82" s="135">
        <f t="shared" si="28"/>
        <v>7.2499999998835847</v>
      </c>
      <c r="BY82" s="134">
        <f t="shared" si="29"/>
        <v>5.1416666666700621</v>
      </c>
      <c r="BZ82" s="134">
        <f t="shared" si="30"/>
        <v>12.413194444445253</v>
      </c>
      <c r="CA82" s="133">
        <f t="shared" si="31"/>
        <v>0.41420979021003679</v>
      </c>
    </row>
    <row r="83" spans="1:79" s="126" customFormat="1">
      <c r="A83" s="192">
        <f t="shared" si="33"/>
        <v>45040.197916666664</v>
      </c>
      <c r="B83" s="126" t="s">
        <v>228</v>
      </c>
      <c r="C83" s="126" t="s">
        <v>229</v>
      </c>
      <c r="D83" s="126" t="s">
        <v>197</v>
      </c>
      <c r="E83" s="126" t="s">
        <v>1269</v>
      </c>
      <c r="G83" s="165">
        <v>45039.541666666664</v>
      </c>
      <c r="H83" s="165">
        <v>45039.548611111109</v>
      </c>
      <c r="I83" s="126" t="s">
        <v>231</v>
      </c>
      <c r="J83" s="126" t="s">
        <v>192</v>
      </c>
      <c r="K83" s="126" t="s">
        <v>192</v>
      </c>
      <c r="L83" s="126" t="s">
        <v>1278</v>
      </c>
      <c r="M83" s="167"/>
      <c r="N83" s="126" t="s">
        <v>492</v>
      </c>
      <c r="O83" s="126" t="s">
        <v>493</v>
      </c>
      <c r="P83" s="126" t="s">
        <v>235</v>
      </c>
      <c r="Q83" s="181">
        <f>3152*2.4</f>
        <v>7564.7999999999993</v>
      </c>
      <c r="R83" s="181">
        <v>7554.0230000000001</v>
      </c>
      <c r="S83" s="181"/>
      <c r="W83" s="181">
        <f>R83</f>
        <v>7554.0230000000001</v>
      </c>
      <c r="AW83" s="165">
        <f t="shared" si="21"/>
        <v>45033.354166666664</v>
      </c>
      <c r="AX83" s="165">
        <f t="shared" si="22"/>
        <v>45045.805555555555</v>
      </c>
      <c r="AY83" s="137">
        <f t="shared" si="23"/>
        <v>12.451388888890506</v>
      </c>
      <c r="AZ83" s="165">
        <v>45033.354166666664</v>
      </c>
      <c r="BA83" s="165">
        <v>45034.342361111114</v>
      </c>
      <c r="BB83" s="165">
        <v>45035.96875</v>
      </c>
      <c r="BC83" s="165">
        <v>45040.197916666664</v>
      </c>
      <c r="BD83" s="165">
        <v>45040.495138888888</v>
      </c>
      <c r="BE83" s="165">
        <v>45040.496527777781</v>
      </c>
      <c r="BF83" s="165">
        <v>45040.496527777781</v>
      </c>
      <c r="BG83" s="165">
        <f t="shared" si="34"/>
        <v>45042.204861111117</v>
      </c>
      <c r="BH83" s="165">
        <v>45042.25</v>
      </c>
      <c r="BI83" s="165">
        <v>45042.416666666664</v>
      </c>
      <c r="BJ83" s="165">
        <v>45042.277777777781</v>
      </c>
      <c r="BK83" s="165">
        <v>45043.541666666664</v>
      </c>
      <c r="BL83" s="165">
        <v>45045.197916666664</v>
      </c>
      <c r="BM83" s="165">
        <v>45045.451388888891</v>
      </c>
      <c r="BN83" s="165">
        <v>45045.472222222219</v>
      </c>
      <c r="BO83" s="165">
        <v>45045.472222222219</v>
      </c>
      <c r="BP83" s="165">
        <v>45045.805555555555</v>
      </c>
      <c r="BS83" s="136">
        <f t="shared" si="24"/>
        <v>39.033333333267365</v>
      </c>
      <c r="BT83" s="136">
        <f t="shared" si="25"/>
        <v>7.1333333333604969</v>
      </c>
      <c r="BU83" s="136">
        <f t="shared" si="26"/>
        <v>41.000000000058208</v>
      </c>
      <c r="BV83" s="136">
        <f t="shared" si="32"/>
        <v>27</v>
      </c>
      <c r="BW83" s="135">
        <f t="shared" si="27"/>
        <v>6.0833333334303461</v>
      </c>
      <c r="BX83" s="135">
        <f t="shared" si="28"/>
        <v>8.0000000000582077</v>
      </c>
      <c r="BY83" s="134">
        <f t="shared" si="29"/>
        <v>5.343750000007276</v>
      </c>
      <c r="BZ83" s="134">
        <f t="shared" si="30"/>
        <v>12.451388888890506</v>
      </c>
      <c r="CA83" s="133">
        <f t="shared" si="31"/>
        <v>0.42916899051921237</v>
      </c>
    </row>
    <row r="84" spans="1:79" s="126" customFormat="1">
      <c r="A84" s="192">
        <f t="shared" si="33"/>
        <v>45040.8125</v>
      </c>
      <c r="B84" s="126" t="s">
        <v>228</v>
      </c>
      <c r="C84" s="126" t="s">
        <v>229</v>
      </c>
      <c r="D84" s="126" t="s">
        <v>197</v>
      </c>
      <c r="E84" s="126" t="s">
        <v>1269</v>
      </c>
      <c r="G84" s="165">
        <v>45039.541666666664</v>
      </c>
      <c r="H84" s="165">
        <v>45039.548611111109</v>
      </c>
      <c r="I84" s="126" t="s">
        <v>231</v>
      </c>
      <c r="J84" s="126" t="s">
        <v>192</v>
      </c>
      <c r="K84" s="126" t="s">
        <v>192</v>
      </c>
      <c r="L84" s="126" t="s">
        <v>1279</v>
      </c>
      <c r="M84" s="167"/>
      <c r="N84" s="126" t="s">
        <v>233</v>
      </c>
      <c r="O84" s="126" t="s">
        <v>234</v>
      </c>
      <c r="P84" s="126" t="s">
        <v>235</v>
      </c>
      <c r="Q84" s="181">
        <f>3215*2.4</f>
        <v>7716</v>
      </c>
      <c r="R84" s="181">
        <f>7625.053-5462.403</f>
        <v>2162.6499999999996</v>
      </c>
      <c r="S84" s="181"/>
      <c r="W84" s="181">
        <f>R84</f>
        <v>2162.6499999999996</v>
      </c>
      <c r="AW84" s="165">
        <f t="shared" si="21"/>
        <v>45030.041666666664</v>
      </c>
      <c r="AX84" s="165">
        <f t="shared" si="22"/>
        <v>45047.069444444445</v>
      </c>
      <c r="AY84" s="137">
        <f t="shared" si="23"/>
        <v>17.027777777781012</v>
      </c>
      <c r="AZ84" s="165">
        <v>45030.041666666664</v>
      </c>
      <c r="BA84" s="165">
        <v>45034.347222222219</v>
      </c>
      <c r="BB84" s="165">
        <v>45036.208333333336</v>
      </c>
      <c r="BC84" s="165">
        <v>45040.8125</v>
      </c>
      <c r="BD84" s="165">
        <v>45040.969444444447</v>
      </c>
      <c r="BE84" s="165">
        <v>45040.975694444445</v>
      </c>
      <c r="BF84" s="165">
        <v>45040.975694444445</v>
      </c>
      <c r="BG84" s="165">
        <f t="shared" si="34"/>
        <v>45042.684027777781</v>
      </c>
      <c r="BH84" s="165">
        <v>45043.25</v>
      </c>
      <c r="BI84" s="165">
        <v>45043.416666666664</v>
      </c>
      <c r="BJ84" s="165">
        <v>45043.329861111109</v>
      </c>
      <c r="BK84" s="165">
        <v>45044.625</v>
      </c>
      <c r="BL84" s="165">
        <v>45046.930555555555</v>
      </c>
      <c r="BM84" s="165">
        <v>45047.017361111109</v>
      </c>
      <c r="BN84" s="165">
        <v>45047.069444444445</v>
      </c>
      <c r="BO84" s="165">
        <v>45047.069444444445</v>
      </c>
      <c r="BP84" s="165">
        <v>45047.069444444445</v>
      </c>
      <c r="BS84" s="136">
        <f t="shared" si="24"/>
        <v>44.666666666802485</v>
      </c>
      <c r="BT84" s="136">
        <f t="shared" si="25"/>
        <v>3.7666666667209938</v>
      </c>
      <c r="BU84" s="136">
        <f t="shared" si="26"/>
        <v>41.000000000058208</v>
      </c>
      <c r="BV84" s="136">
        <f t="shared" si="32"/>
        <v>29.000000000058208</v>
      </c>
      <c r="BW84" s="135">
        <f t="shared" si="27"/>
        <v>2.0833333333139308</v>
      </c>
      <c r="BX84" s="135">
        <f t="shared" si="28"/>
        <v>0</v>
      </c>
      <c r="BY84" s="134">
        <f t="shared" si="29"/>
        <v>5.0215277777897427</v>
      </c>
      <c r="BZ84" s="134">
        <f t="shared" si="30"/>
        <v>17.027777777781012</v>
      </c>
      <c r="CA84" s="133">
        <f t="shared" si="31"/>
        <v>0.29490212071842808</v>
      </c>
    </row>
    <row r="85" spans="1:79" s="126" customFormat="1">
      <c r="A85" s="192">
        <f t="shared" si="33"/>
        <v>45040.8125</v>
      </c>
      <c r="B85" s="126" t="s">
        <v>228</v>
      </c>
      <c r="C85" s="126" t="s">
        <v>229</v>
      </c>
      <c r="D85" s="126" t="s">
        <v>197</v>
      </c>
      <c r="E85" s="126" t="s">
        <v>1280</v>
      </c>
      <c r="G85" s="73">
        <v>45041.458333333336</v>
      </c>
      <c r="H85" s="73">
        <v>45041.458333333336</v>
      </c>
      <c r="I85" s="126" t="s">
        <v>231</v>
      </c>
      <c r="J85" s="126" t="s">
        <v>192</v>
      </c>
      <c r="K85" s="126" t="s">
        <v>192</v>
      </c>
      <c r="L85" s="126" t="s">
        <v>1279</v>
      </c>
      <c r="M85" s="167"/>
      <c r="N85" s="126" t="s">
        <v>233</v>
      </c>
      <c r="O85" s="126" t="s">
        <v>234</v>
      </c>
      <c r="P85" s="126" t="s">
        <v>235</v>
      </c>
      <c r="Q85" s="181">
        <f>3215*2.4</f>
        <v>7716</v>
      </c>
      <c r="R85" s="287">
        <v>5455.2420000000002</v>
      </c>
      <c r="S85" s="181"/>
      <c r="W85" s="181">
        <f>R85</f>
        <v>5455.2420000000002</v>
      </c>
      <c r="AW85" s="165">
        <f t="shared" si="21"/>
        <v>45030.041666666664</v>
      </c>
      <c r="AX85" s="165">
        <f t="shared" si="22"/>
        <v>45049.8125</v>
      </c>
      <c r="AY85" s="137">
        <f t="shared" si="23"/>
        <v>19.770833333335759</v>
      </c>
      <c r="AZ85" s="165">
        <v>45030.041666666664</v>
      </c>
      <c r="BA85" s="165">
        <v>45034.347222222219</v>
      </c>
      <c r="BB85" s="165">
        <v>45036.208333333336</v>
      </c>
      <c r="BC85" s="165">
        <v>45040.8125</v>
      </c>
      <c r="BD85" s="165">
        <v>45040.969444444447</v>
      </c>
      <c r="BE85" s="165">
        <v>45040.975694444445</v>
      </c>
      <c r="BF85" s="165">
        <v>45040.975694444445</v>
      </c>
      <c r="BG85" s="165">
        <f t="shared" si="34"/>
        <v>45042.684027777781</v>
      </c>
      <c r="BH85" s="165">
        <v>45043.25</v>
      </c>
      <c r="BI85" s="165">
        <v>45043.416666666664</v>
      </c>
      <c r="BJ85" s="165">
        <v>45043.329861111109</v>
      </c>
      <c r="BK85" s="165">
        <v>45047.069444444445</v>
      </c>
      <c r="BL85" s="165">
        <v>45049.291666666664</v>
      </c>
      <c r="BM85" s="165">
        <v>45049.46875</v>
      </c>
      <c r="BN85" s="165">
        <v>45049.482638888891</v>
      </c>
      <c r="BO85" s="165">
        <v>45049.482638888891</v>
      </c>
      <c r="BP85" s="165">
        <v>45049.8125</v>
      </c>
      <c r="BS85" s="136">
        <f t="shared" si="24"/>
        <v>44.666666666802485</v>
      </c>
      <c r="BT85" s="136">
        <f t="shared" si="25"/>
        <v>3.7666666667209938</v>
      </c>
      <c r="BU85" s="136">
        <f t="shared" si="26"/>
        <v>41.000000000058208</v>
      </c>
      <c r="BV85" s="136">
        <f t="shared" si="32"/>
        <v>87.666666666744277</v>
      </c>
      <c r="BW85" s="135">
        <f t="shared" si="27"/>
        <v>4.2500000000582077</v>
      </c>
      <c r="BX85" s="135">
        <f t="shared" si="28"/>
        <v>7.9166666666278616</v>
      </c>
      <c r="BY85" s="134">
        <f t="shared" si="29"/>
        <v>7.8861111111255013</v>
      </c>
      <c r="BZ85" s="134">
        <f t="shared" si="30"/>
        <v>19.770833333335759</v>
      </c>
      <c r="CA85" s="133">
        <f t="shared" si="31"/>
        <v>0.39887600983559285</v>
      </c>
    </row>
    <row r="86" spans="1:79" s="126" customFormat="1">
      <c r="A86" s="192">
        <f t="shared" si="33"/>
        <v>45041.336805555555</v>
      </c>
      <c r="B86" s="126" t="s">
        <v>228</v>
      </c>
      <c r="C86" s="126" t="s">
        <v>229</v>
      </c>
      <c r="D86" s="126" t="s">
        <v>197</v>
      </c>
      <c r="E86" s="126" t="s">
        <v>1269</v>
      </c>
      <c r="G86" s="165">
        <v>45039.541666666664</v>
      </c>
      <c r="H86" s="165">
        <v>45039.548611111109</v>
      </c>
      <c r="I86" s="126" t="s">
        <v>231</v>
      </c>
      <c r="J86" s="126" t="s">
        <v>192</v>
      </c>
      <c r="K86" s="126" t="s">
        <v>192</v>
      </c>
      <c r="L86" s="126" t="s">
        <v>1281</v>
      </c>
      <c r="M86" s="167"/>
      <c r="N86" s="126" t="s">
        <v>298</v>
      </c>
      <c r="O86" s="126" t="s">
        <v>299</v>
      </c>
      <c r="P86" s="126" t="s">
        <v>235</v>
      </c>
      <c r="Q86" s="181">
        <f>4337*2.4</f>
        <v>10408.799999999999</v>
      </c>
      <c r="R86" s="181">
        <v>10347.93</v>
      </c>
      <c r="S86" s="181"/>
      <c r="W86" s="181">
        <f>R86</f>
        <v>10347.93</v>
      </c>
      <c r="AW86" s="165">
        <f t="shared" si="21"/>
        <v>45033.9375</v>
      </c>
      <c r="AX86" s="165">
        <f t="shared" si="22"/>
        <v>45046.40625</v>
      </c>
      <c r="AY86" s="137">
        <f t="shared" si="23"/>
        <v>12.46875</v>
      </c>
      <c r="AZ86" s="165">
        <v>45033.9375</v>
      </c>
      <c r="BA86" s="165">
        <v>45034.84375</v>
      </c>
      <c r="BB86" s="165">
        <v>45036.444444444445</v>
      </c>
      <c r="BC86" s="165">
        <v>45041.336805555555</v>
      </c>
      <c r="BD86" s="165">
        <v>45041.545138888891</v>
      </c>
      <c r="BE86" s="165">
        <v>45041.552083333336</v>
      </c>
      <c r="BF86" s="165">
        <v>45041.552083333336</v>
      </c>
      <c r="BG86" s="165">
        <f t="shared" si="34"/>
        <v>45043.260416666672</v>
      </c>
      <c r="BH86" s="165">
        <v>45043.25</v>
      </c>
      <c r="BI86" s="165">
        <v>45043.416666666664</v>
      </c>
      <c r="BJ86" s="165">
        <v>45043.291666666664</v>
      </c>
      <c r="BK86" s="165">
        <v>45044.520833333336</v>
      </c>
      <c r="BL86" s="165">
        <v>45045.506944444445</v>
      </c>
      <c r="BM86" s="165">
        <v>45045.84375</v>
      </c>
      <c r="BN86" s="165">
        <v>45045.857638888891</v>
      </c>
      <c r="BO86" s="165">
        <v>45046.166666666664</v>
      </c>
      <c r="BP86" s="165">
        <v>45046.40625</v>
      </c>
      <c r="BS86" s="136">
        <f t="shared" si="24"/>
        <v>38.416666666686069</v>
      </c>
      <c r="BT86" s="136">
        <f t="shared" si="25"/>
        <v>5.0000000000582077</v>
      </c>
      <c r="BU86" s="136">
        <f t="shared" si="26"/>
        <v>41.000000000058208</v>
      </c>
      <c r="BV86" s="136">
        <f t="shared" si="32"/>
        <v>26.500000000116415</v>
      </c>
      <c r="BW86" s="135">
        <f t="shared" si="27"/>
        <v>8.0833333333139308</v>
      </c>
      <c r="BX86" s="135">
        <f t="shared" si="28"/>
        <v>5.7500000000582077</v>
      </c>
      <c r="BY86" s="134">
        <f t="shared" si="29"/>
        <v>5.1979166666787933</v>
      </c>
      <c r="BZ86" s="134">
        <f t="shared" si="30"/>
        <v>12.46875</v>
      </c>
      <c r="CA86" s="133">
        <f t="shared" si="31"/>
        <v>0.41687552213965257</v>
      </c>
    </row>
    <row r="87" spans="1:79" s="126" customFormat="1">
      <c r="A87" s="192">
        <f t="shared" si="33"/>
        <v>45040.993750000001</v>
      </c>
      <c r="B87" s="126" t="s">
        <v>228</v>
      </c>
      <c r="C87" s="126" t="s">
        <v>229</v>
      </c>
      <c r="D87" s="126" t="s">
        <v>197</v>
      </c>
      <c r="E87" s="126" t="s">
        <v>1269</v>
      </c>
      <c r="G87" s="165">
        <v>45039.541666666664</v>
      </c>
      <c r="H87" s="165">
        <v>45039.548611111109</v>
      </c>
      <c r="I87" s="126" t="s">
        <v>231</v>
      </c>
      <c r="J87" s="126" t="s">
        <v>192</v>
      </c>
      <c r="K87" s="126" t="s">
        <v>192</v>
      </c>
      <c r="L87" s="126" t="s">
        <v>1282</v>
      </c>
      <c r="M87" s="167"/>
      <c r="N87" s="126" t="s">
        <v>201</v>
      </c>
      <c r="O87" s="126" t="s">
        <v>202</v>
      </c>
      <c r="P87" s="126" t="s">
        <v>240</v>
      </c>
      <c r="Q87" s="181">
        <f>3141*2.4</f>
        <v>7538.4</v>
      </c>
      <c r="R87" s="181">
        <v>7769.9369999999999</v>
      </c>
      <c r="S87" s="181"/>
      <c r="T87" s="219"/>
      <c r="X87" s="181">
        <f>R87</f>
        <v>7769.9369999999999</v>
      </c>
      <c r="AW87" s="165">
        <f t="shared" si="21"/>
        <v>45032.982638888891</v>
      </c>
      <c r="AX87" s="165">
        <f t="shared" si="22"/>
        <v>45047.229166666664</v>
      </c>
      <c r="AY87" s="137">
        <f t="shared" si="23"/>
        <v>14.246527777773736</v>
      </c>
      <c r="AZ87" s="165">
        <v>45032.982638888891</v>
      </c>
      <c r="BA87" s="165">
        <v>45034.861111111109</v>
      </c>
      <c r="BB87" s="165">
        <v>45036.548611111109</v>
      </c>
      <c r="BC87" s="165">
        <v>45040.993750000001</v>
      </c>
      <c r="BD87" s="165">
        <v>45041.145833333336</v>
      </c>
      <c r="BE87" s="165">
        <v>45041.15625</v>
      </c>
      <c r="BF87" s="165">
        <v>45041.15625</v>
      </c>
      <c r="BG87" s="165">
        <f t="shared" si="34"/>
        <v>45042.864583333336</v>
      </c>
      <c r="BH87" s="165">
        <v>45043.25</v>
      </c>
      <c r="BI87" s="165">
        <v>45043.416666666664</v>
      </c>
      <c r="BJ87" s="165">
        <v>45043.361111111109</v>
      </c>
      <c r="BK87" s="165">
        <v>45044.729166666664</v>
      </c>
      <c r="BL87" s="165">
        <v>45045.899305555555</v>
      </c>
      <c r="BM87" s="165">
        <v>45046.888888888891</v>
      </c>
      <c r="BN87" s="165">
        <v>45046.90625</v>
      </c>
      <c r="BO87" s="165">
        <v>45046.90625</v>
      </c>
      <c r="BP87" s="165">
        <v>45047.229166666664</v>
      </c>
      <c r="BS87" s="136">
        <f t="shared" si="24"/>
        <v>40.5</v>
      </c>
      <c r="BT87" s="136">
        <f t="shared" si="25"/>
        <v>3.6500000000232831</v>
      </c>
      <c r="BU87" s="136">
        <f t="shared" si="26"/>
        <v>41.000000000058208</v>
      </c>
      <c r="BV87" s="136">
        <f t="shared" si="32"/>
        <v>31.5</v>
      </c>
      <c r="BW87" s="135">
        <f t="shared" si="27"/>
        <v>23.750000000058208</v>
      </c>
      <c r="BX87" s="135">
        <f t="shared" si="28"/>
        <v>7.7499999999417923</v>
      </c>
      <c r="BY87" s="134">
        <f t="shared" si="29"/>
        <v>6.1729166666700621</v>
      </c>
      <c r="BZ87" s="134">
        <f t="shared" si="30"/>
        <v>14.246527777773736</v>
      </c>
      <c r="CA87" s="133">
        <f t="shared" si="31"/>
        <v>0.43329271264964231</v>
      </c>
    </row>
    <row r="88" spans="1:79" s="126" customFormat="1">
      <c r="A88" s="192">
        <f t="shared" si="33"/>
        <v>45042.451388888891</v>
      </c>
      <c r="B88" s="126" t="s">
        <v>228</v>
      </c>
      <c r="C88" s="126" t="s">
        <v>229</v>
      </c>
      <c r="D88" s="126" t="s">
        <v>197</v>
      </c>
      <c r="E88" s="65" t="s">
        <v>1283</v>
      </c>
      <c r="G88" s="73">
        <v>45045.833333333336</v>
      </c>
      <c r="H88" s="73">
        <v>45045.78125</v>
      </c>
      <c r="I88" s="126" t="s">
        <v>231</v>
      </c>
      <c r="J88" s="126" t="s">
        <v>192</v>
      </c>
      <c r="K88" s="126" t="s">
        <v>192</v>
      </c>
      <c r="L88" s="126" t="s">
        <v>1284</v>
      </c>
      <c r="M88" s="167"/>
      <c r="N88" s="126" t="s">
        <v>70</v>
      </c>
      <c r="O88" s="126" t="s">
        <v>255</v>
      </c>
      <c r="P88" s="126" t="s">
        <v>742</v>
      </c>
      <c r="Q88" s="181">
        <f>3047*2.4</f>
        <v>7312.8</v>
      </c>
      <c r="R88" s="181">
        <v>7371.3720000000003</v>
      </c>
      <c r="S88" s="181"/>
      <c r="W88" s="181">
        <f>R88*0.6</f>
        <v>4422.8231999999998</v>
      </c>
      <c r="X88" s="181">
        <f>R88*0.4</f>
        <v>2948.5488000000005</v>
      </c>
      <c r="AW88" s="165">
        <f t="shared" si="21"/>
        <v>45035.27847222222</v>
      </c>
      <c r="AX88" s="165">
        <f t="shared" si="22"/>
        <v>45047.375</v>
      </c>
      <c r="AY88" s="137">
        <f t="shared" si="23"/>
        <v>12.096527777779556</v>
      </c>
      <c r="AZ88" s="165">
        <v>45035.27847222222</v>
      </c>
      <c r="BA88" s="165">
        <v>45035.871527777781</v>
      </c>
      <c r="BB88" s="165">
        <v>45037.416666666664</v>
      </c>
      <c r="BC88" s="165">
        <v>45042.451388888891</v>
      </c>
      <c r="BD88" s="165">
        <v>45042.604166666664</v>
      </c>
      <c r="BE88" s="165">
        <v>45042.607638888891</v>
      </c>
      <c r="BF88" s="165">
        <v>45042.607638888891</v>
      </c>
      <c r="BG88" s="165">
        <f t="shared" si="34"/>
        <v>45044.315972222226</v>
      </c>
      <c r="BH88" s="165">
        <v>45044.25</v>
      </c>
      <c r="BI88" s="165">
        <v>45044.416666666664</v>
      </c>
      <c r="BJ88" s="165">
        <v>45044.288194444445</v>
      </c>
      <c r="BK88" s="165">
        <v>45045.8125</v>
      </c>
      <c r="BL88" s="165">
        <v>45046.736111111109</v>
      </c>
      <c r="BM88" s="165">
        <v>45047.131944444445</v>
      </c>
      <c r="BN88" s="165">
        <v>45047.152777777781</v>
      </c>
      <c r="BO88" s="165">
        <v>45047.152777777781</v>
      </c>
      <c r="BP88" s="165">
        <v>45047.375</v>
      </c>
      <c r="BS88" s="136">
        <f t="shared" si="24"/>
        <v>37.083333333197515</v>
      </c>
      <c r="BT88" s="136">
        <f t="shared" si="25"/>
        <v>3.6666666665696539</v>
      </c>
      <c r="BU88" s="136">
        <f t="shared" si="26"/>
        <v>41.000000000058208</v>
      </c>
      <c r="BV88" s="136">
        <f t="shared" si="32"/>
        <v>33.500000000058208</v>
      </c>
      <c r="BW88" s="135">
        <f t="shared" si="27"/>
        <v>9.5000000000582077</v>
      </c>
      <c r="BX88" s="135">
        <f t="shared" si="28"/>
        <v>5.3333333332557231</v>
      </c>
      <c r="BY88" s="134">
        <f t="shared" si="29"/>
        <v>5.4201388888832298</v>
      </c>
      <c r="BZ88" s="134">
        <f t="shared" si="30"/>
        <v>12.096527777779556</v>
      </c>
      <c r="CA88" s="133">
        <f t="shared" si="31"/>
        <v>0.44807394224643798</v>
      </c>
    </row>
    <row r="89" spans="1:79" s="126" customFormat="1">
      <c r="A89" s="192">
        <f t="shared" si="33"/>
        <v>45043.763888888891</v>
      </c>
      <c r="B89" s="126" t="s">
        <v>228</v>
      </c>
      <c r="C89" s="126" t="s">
        <v>229</v>
      </c>
      <c r="D89" s="126" t="s">
        <v>197</v>
      </c>
      <c r="E89" s="65" t="s">
        <v>1280</v>
      </c>
      <c r="G89" s="73">
        <v>45041.458333333336</v>
      </c>
      <c r="H89" s="73">
        <v>45041.458333333336</v>
      </c>
      <c r="I89" s="126" t="s">
        <v>231</v>
      </c>
      <c r="J89" s="126" t="s">
        <v>192</v>
      </c>
      <c r="K89" s="126" t="s">
        <v>192</v>
      </c>
      <c r="L89" s="126" t="s">
        <v>1285</v>
      </c>
      <c r="M89" s="167"/>
      <c r="N89" s="126" t="s">
        <v>473</v>
      </c>
      <c r="O89" s="126" t="s">
        <v>474</v>
      </c>
      <c r="P89" s="126" t="s">
        <v>240</v>
      </c>
      <c r="Q89" s="181">
        <f>3136*2.4</f>
        <v>7526.4</v>
      </c>
      <c r="R89" s="181">
        <v>7531.5</v>
      </c>
      <c r="S89" s="181"/>
      <c r="X89" s="181">
        <f>R89</f>
        <v>7531.5</v>
      </c>
      <c r="AW89" s="165">
        <f t="shared" si="21"/>
        <v>45035.34375</v>
      </c>
      <c r="AX89" s="165">
        <f t="shared" si="22"/>
        <v>45019.059027777781</v>
      </c>
      <c r="AY89" s="137">
        <f t="shared" si="23"/>
        <v>-16.284722222218988</v>
      </c>
      <c r="AZ89" s="165">
        <v>45035.34375</v>
      </c>
      <c r="BA89" s="165">
        <v>45036.5625</v>
      </c>
      <c r="BB89" s="165">
        <v>45038.208333333336</v>
      </c>
      <c r="BC89" s="165">
        <v>45043.763888888891</v>
      </c>
      <c r="BD89" s="165">
        <v>45043.944444444445</v>
      </c>
      <c r="BE89" s="165">
        <v>45043.947916666664</v>
      </c>
      <c r="BF89" s="165">
        <v>45043.947916666664</v>
      </c>
      <c r="BG89" s="165">
        <f t="shared" si="34"/>
        <v>45045.65625</v>
      </c>
      <c r="BH89" s="165">
        <v>45046.541666666664</v>
      </c>
      <c r="BI89" s="165">
        <v>45046.708333333328</v>
      </c>
      <c r="BJ89" s="165">
        <v>45046.631944444445</v>
      </c>
      <c r="BK89" s="165">
        <v>45048.034722222219</v>
      </c>
      <c r="BL89" s="165">
        <v>45048.263888888883</v>
      </c>
      <c r="BM89" s="165">
        <v>45048.597222222219</v>
      </c>
      <c r="BN89" s="165">
        <v>45048.611111111109</v>
      </c>
      <c r="BO89" s="165">
        <v>45048.611111111109</v>
      </c>
      <c r="BP89" s="165">
        <v>45019.059027777781</v>
      </c>
      <c r="BS89" s="136">
        <f t="shared" si="24"/>
        <v>39.500000000058208</v>
      </c>
      <c r="BT89" s="136">
        <f t="shared" si="25"/>
        <v>4.3333333333139308</v>
      </c>
      <c r="BU89" s="136">
        <f t="shared" si="26"/>
        <v>41.000000000058208</v>
      </c>
      <c r="BV89" s="136">
        <f t="shared" si="32"/>
        <v>31.833333333372138</v>
      </c>
      <c r="BW89" s="135">
        <f t="shared" si="27"/>
        <v>8.0000000000582077</v>
      </c>
      <c r="BX89" s="135">
        <f t="shared" si="28"/>
        <v>-709.24999999988358</v>
      </c>
      <c r="BY89" s="134">
        <f t="shared" si="29"/>
        <v>-24.357638888875954</v>
      </c>
      <c r="BZ89" s="134">
        <f t="shared" si="30"/>
        <v>-16.284722222218988</v>
      </c>
      <c r="CA89" s="133">
        <f t="shared" si="31"/>
        <v>1.4957356076754089</v>
      </c>
    </row>
    <row r="90" spans="1:79" s="126" customFormat="1">
      <c r="A90" s="192">
        <f t="shared" si="33"/>
        <v>45043.96875</v>
      </c>
      <c r="B90" s="126" t="s">
        <v>228</v>
      </c>
      <c r="C90" s="126" t="s">
        <v>229</v>
      </c>
      <c r="D90" s="126" t="s">
        <v>197</v>
      </c>
      <c r="E90" s="65" t="s">
        <v>1280</v>
      </c>
      <c r="G90" s="73">
        <v>45041.458333333336</v>
      </c>
      <c r="H90" s="73">
        <v>45041.458333333336</v>
      </c>
      <c r="I90" s="126" t="s">
        <v>231</v>
      </c>
      <c r="J90" s="126" t="s">
        <v>192</v>
      </c>
      <c r="K90" s="126" t="s">
        <v>192</v>
      </c>
      <c r="L90" s="126" t="s">
        <v>1286</v>
      </c>
      <c r="M90" s="167"/>
      <c r="N90" s="126" t="s">
        <v>346</v>
      </c>
      <c r="O90" s="126" t="s">
        <v>347</v>
      </c>
      <c r="P90" s="126" t="s">
        <v>240</v>
      </c>
      <c r="Q90" s="181">
        <f>3136*2.4</f>
        <v>7526.4</v>
      </c>
      <c r="R90" s="181">
        <v>7601.5169999999998</v>
      </c>
      <c r="S90" s="181"/>
      <c r="X90" s="181">
        <f>R90</f>
        <v>7601.5169999999998</v>
      </c>
      <c r="AW90" s="165">
        <f t="shared" si="21"/>
        <v>45033.513888888891</v>
      </c>
      <c r="AX90" s="165">
        <f t="shared" si="22"/>
        <v>45049.324305555558</v>
      </c>
      <c r="AY90" s="137">
        <f t="shared" si="23"/>
        <v>15.810416666667152</v>
      </c>
      <c r="AZ90" s="165">
        <v>45033.513888888891</v>
      </c>
      <c r="BA90" s="165">
        <v>45036.798611111109</v>
      </c>
      <c r="BB90" s="165">
        <v>45038.847222222219</v>
      </c>
      <c r="BC90" s="165">
        <v>45043.96875</v>
      </c>
      <c r="BD90" s="165">
        <v>45044.129861111112</v>
      </c>
      <c r="BE90" s="165">
        <v>45044.135416666664</v>
      </c>
      <c r="BF90" s="165">
        <v>45044.135416666664</v>
      </c>
      <c r="BG90" s="165">
        <f t="shared" si="34"/>
        <v>45045.84375</v>
      </c>
      <c r="BH90" s="165">
        <v>45046.541666666664</v>
      </c>
      <c r="BI90" s="165">
        <v>45046.708333333328</v>
      </c>
      <c r="BJ90" s="165">
        <v>45046.559027777781</v>
      </c>
      <c r="BK90" s="165">
        <v>45047.895833333336</v>
      </c>
      <c r="BL90" s="165">
        <v>45048.631944444445</v>
      </c>
      <c r="BM90" s="165">
        <v>45048.923611111109</v>
      </c>
      <c r="BN90" s="165">
        <v>45048.9375</v>
      </c>
      <c r="BO90" s="165">
        <v>45048.9375</v>
      </c>
      <c r="BP90" s="165">
        <v>45049.324305555558</v>
      </c>
      <c r="BS90" s="136">
        <f t="shared" si="24"/>
        <v>49.166666666627862</v>
      </c>
      <c r="BT90" s="136">
        <f t="shared" si="25"/>
        <v>3.8666666666977108</v>
      </c>
      <c r="BU90" s="136">
        <f t="shared" si="26"/>
        <v>41.000000000058208</v>
      </c>
      <c r="BV90" s="136">
        <f t="shared" si="32"/>
        <v>28.500000000174623</v>
      </c>
      <c r="BW90" s="135">
        <f t="shared" si="27"/>
        <v>6.9999999999417923</v>
      </c>
      <c r="BX90" s="135">
        <f t="shared" si="28"/>
        <v>9.28333333338378</v>
      </c>
      <c r="BY90" s="134">
        <f t="shared" si="29"/>
        <v>5.7840277777868323</v>
      </c>
      <c r="BZ90" s="134">
        <f t="shared" si="30"/>
        <v>15.810416666667152</v>
      </c>
      <c r="CA90" s="133">
        <f t="shared" si="31"/>
        <v>0.36583651776750487</v>
      </c>
    </row>
    <row r="91" spans="1:79" s="126" customFormat="1">
      <c r="A91" s="192">
        <f t="shared" si="33"/>
        <v>45044.159722222219</v>
      </c>
      <c r="B91" s="126" t="s">
        <v>228</v>
      </c>
      <c r="C91" s="126" t="s">
        <v>229</v>
      </c>
      <c r="D91" s="126" t="s">
        <v>197</v>
      </c>
      <c r="E91" s="65" t="s">
        <v>1280</v>
      </c>
      <c r="G91" s="73">
        <v>45041.458333333336</v>
      </c>
      <c r="H91" s="73">
        <v>45041.458333333336</v>
      </c>
      <c r="I91" s="126" t="s">
        <v>231</v>
      </c>
      <c r="J91" s="126" t="s">
        <v>192</v>
      </c>
      <c r="K91" s="126" t="s">
        <v>192</v>
      </c>
      <c r="L91" s="126" t="s">
        <v>1287</v>
      </c>
      <c r="M91" s="167"/>
      <c r="N91" s="126" t="s">
        <v>301</v>
      </c>
      <c r="O91" s="126" t="s">
        <v>302</v>
      </c>
      <c r="P91" s="126" t="s">
        <v>240</v>
      </c>
      <c r="Q91" s="181">
        <f>3852*2.4</f>
        <v>9244.7999999999993</v>
      </c>
      <c r="R91" s="181">
        <v>9205.4500000000007</v>
      </c>
      <c r="S91" s="181"/>
      <c r="X91" s="181">
        <f>R91</f>
        <v>9205.4500000000007</v>
      </c>
      <c r="AW91" s="165">
        <f t="shared" si="21"/>
        <v>45034.083333333336</v>
      </c>
      <c r="AX91" s="165">
        <f t="shared" si="22"/>
        <v>45048.534722222219</v>
      </c>
      <c r="AY91" s="137">
        <f t="shared" si="23"/>
        <v>14.45138888888323</v>
      </c>
      <c r="AZ91" s="165">
        <v>45034.083333333336</v>
      </c>
      <c r="BA91" s="165">
        <v>45040.538194444445</v>
      </c>
      <c r="BB91" s="165">
        <v>45042.229166666664</v>
      </c>
      <c r="BC91" s="165">
        <v>45044.159722222219</v>
      </c>
      <c r="BD91" s="165">
        <v>45044.461805555555</v>
      </c>
      <c r="BE91" s="165">
        <v>45044.46875</v>
      </c>
      <c r="BF91" s="165">
        <v>45044.46875</v>
      </c>
      <c r="BG91" s="165">
        <f t="shared" si="34"/>
        <v>45046.177083333336</v>
      </c>
      <c r="BH91" s="165">
        <v>45046.541666666664</v>
      </c>
      <c r="BI91" s="165">
        <v>45046.708333333328</v>
      </c>
      <c r="BJ91" s="165">
        <v>45046.489583333336</v>
      </c>
      <c r="BK91" s="165">
        <v>45047.841666666667</v>
      </c>
      <c r="BL91" s="165">
        <v>45047.923611111109</v>
      </c>
      <c r="BM91" s="165">
        <v>45048.208333333336</v>
      </c>
      <c r="BN91" s="165">
        <v>45048.222222222219</v>
      </c>
      <c r="BO91" s="165">
        <v>45048.326388888891</v>
      </c>
      <c r="BP91" s="165">
        <v>45048.534722222219</v>
      </c>
      <c r="BQ91" s="126" t="s">
        <v>1288</v>
      </c>
      <c r="BS91" s="136">
        <f t="shared" si="24"/>
        <v>40.583333333255723</v>
      </c>
      <c r="BT91" s="136">
        <f t="shared" si="25"/>
        <v>7.2500000000582077</v>
      </c>
      <c r="BU91" s="136">
        <f t="shared" si="26"/>
        <v>41.000000000058208</v>
      </c>
      <c r="BV91" s="136">
        <f t="shared" si="32"/>
        <v>27.200000000128057</v>
      </c>
      <c r="BW91" s="135">
        <f t="shared" si="27"/>
        <v>6.8333333334303461</v>
      </c>
      <c r="BX91" s="135">
        <f t="shared" si="28"/>
        <v>4.9999999998835847</v>
      </c>
      <c r="BY91" s="134">
        <f t="shared" si="29"/>
        <v>5.3277777777839219</v>
      </c>
      <c r="BZ91" s="134">
        <f t="shared" si="30"/>
        <v>14.45138888888323</v>
      </c>
      <c r="CA91" s="133">
        <f t="shared" si="31"/>
        <v>0.3686689091788492</v>
      </c>
    </row>
    <row r="92" spans="1:79" s="126" customFormat="1">
      <c r="A92" s="192">
        <f t="shared" si="33"/>
        <v>45044.496527777781</v>
      </c>
      <c r="B92" s="126" t="s">
        <v>228</v>
      </c>
      <c r="C92" s="126" t="s">
        <v>229</v>
      </c>
      <c r="D92" s="126" t="s">
        <v>197</v>
      </c>
      <c r="E92" s="65" t="s">
        <v>1280</v>
      </c>
      <c r="G92" s="73">
        <v>45041.458333333336</v>
      </c>
      <c r="H92" s="73">
        <v>45041.458333333336</v>
      </c>
      <c r="I92" s="126" t="s">
        <v>231</v>
      </c>
      <c r="J92" s="126" t="s">
        <v>192</v>
      </c>
      <c r="K92" s="126" t="s">
        <v>192</v>
      </c>
      <c r="L92" s="126" t="s">
        <v>1289</v>
      </c>
      <c r="M92" s="167"/>
      <c r="N92" s="126" t="s">
        <v>226</v>
      </c>
      <c r="O92" s="126" t="s">
        <v>227</v>
      </c>
      <c r="P92" s="126" t="s">
        <v>240</v>
      </c>
      <c r="Q92" s="181">
        <f>3100*2.4</f>
        <v>7440</v>
      </c>
      <c r="R92" s="181">
        <v>7418.027</v>
      </c>
      <c r="S92" s="181"/>
      <c r="X92" s="181">
        <f>R92</f>
        <v>7418.027</v>
      </c>
      <c r="AW92" s="165">
        <f t="shared" si="21"/>
        <v>45036.708333333336</v>
      </c>
      <c r="AX92" s="165">
        <f t="shared" si="22"/>
        <v>45049.850694444445</v>
      </c>
      <c r="AY92" s="137">
        <f t="shared" si="23"/>
        <v>13.142361111109494</v>
      </c>
      <c r="AZ92" s="165">
        <v>45036.708333333336</v>
      </c>
      <c r="BA92" s="165">
        <v>45041.555555555555</v>
      </c>
      <c r="BB92" s="165">
        <v>45043.333333333336</v>
      </c>
      <c r="BC92" s="165">
        <v>45044.496527777781</v>
      </c>
      <c r="BD92" s="165">
        <v>45044.645833333336</v>
      </c>
      <c r="BE92" s="165">
        <v>45044.649305555555</v>
      </c>
      <c r="BF92" s="165">
        <v>45044.649305555555</v>
      </c>
      <c r="BG92" s="165">
        <f t="shared" si="34"/>
        <v>45046.357638888891</v>
      </c>
      <c r="BH92" s="165">
        <v>45047.541666608799</v>
      </c>
      <c r="BI92" s="165">
        <v>45047.708333275463</v>
      </c>
      <c r="BJ92" s="165">
        <v>45047.572916666664</v>
      </c>
      <c r="BK92" s="165">
        <v>45048.708333333336</v>
      </c>
      <c r="BL92" s="165">
        <v>45048.972222222219</v>
      </c>
      <c r="BM92" s="165">
        <v>45049.229166666664</v>
      </c>
      <c r="BN92" s="165">
        <v>45049.243055555555</v>
      </c>
      <c r="BO92" s="165">
        <v>45049.243055555555</v>
      </c>
      <c r="BP92" s="165">
        <v>45049.850694444445</v>
      </c>
      <c r="BS92" s="136">
        <f t="shared" si="24"/>
        <v>42.666666666744277</v>
      </c>
      <c r="BT92" s="136">
        <f t="shared" si="25"/>
        <v>3.5833333333139308</v>
      </c>
      <c r="BU92" s="136">
        <f t="shared" si="26"/>
        <v>41.000000000058208</v>
      </c>
      <c r="BV92" s="136">
        <f t="shared" si="32"/>
        <v>24.000001388951205</v>
      </c>
      <c r="BW92" s="135">
        <f t="shared" si="27"/>
        <v>6.1666666666860692</v>
      </c>
      <c r="BX92" s="135">
        <f t="shared" si="28"/>
        <v>14.583333333372138</v>
      </c>
      <c r="BY92" s="134">
        <f t="shared" si="29"/>
        <v>5.5000000578802428</v>
      </c>
      <c r="BZ92" s="134">
        <f t="shared" si="30"/>
        <v>13.142361111109494</v>
      </c>
      <c r="CA92" s="133">
        <f t="shared" si="31"/>
        <v>0.41849405988631566</v>
      </c>
    </row>
    <row r="93" spans="1:79" s="126" customFormat="1">
      <c r="A93" s="192">
        <f t="shared" si="33"/>
        <v>45045.059027777781</v>
      </c>
      <c r="B93" s="126" t="s">
        <v>228</v>
      </c>
      <c r="C93" s="126" t="s">
        <v>229</v>
      </c>
      <c r="D93" s="126" t="s">
        <v>197</v>
      </c>
      <c r="E93" s="65" t="s">
        <v>1280</v>
      </c>
      <c r="G93" s="73">
        <v>45041.458333333336</v>
      </c>
      <c r="H93" s="73">
        <v>45041.458333333336</v>
      </c>
      <c r="I93" s="126" t="s">
        <v>231</v>
      </c>
      <c r="J93" s="126" t="s">
        <v>192</v>
      </c>
      <c r="K93" s="126" t="s">
        <v>192</v>
      </c>
      <c r="L93" s="126" t="s">
        <v>1290</v>
      </c>
      <c r="M93" s="167"/>
      <c r="N93" s="126" t="s">
        <v>295</v>
      </c>
      <c r="O93" s="126" t="s">
        <v>296</v>
      </c>
      <c r="P93" s="126" t="s">
        <v>240</v>
      </c>
      <c r="Q93" s="181">
        <f>4118*2.4</f>
        <v>9883.1999999999989</v>
      </c>
      <c r="R93" s="181">
        <v>9965.7459999999992</v>
      </c>
      <c r="S93" s="181"/>
      <c r="X93" s="181">
        <f>R93</f>
        <v>9965.7459999999992</v>
      </c>
      <c r="AW93" s="165">
        <f t="shared" si="21"/>
        <v>45040.881944444445</v>
      </c>
      <c r="AX93" s="165">
        <f t="shared" si="22"/>
        <v>45050.496527777781</v>
      </c>
      <c r="AY93" s="137">
        <f t="shared" si="23"/>
        <v>9.6145833333357587</v>
      </c>
      <c r="AZ93" s="165">
        <v>45040.881944444445</v>
      </c>
      <c r="BA93" s="165">
        <v>45041.822916666664</v>
      </c>
      <c r="BB93" s="165">
        <v>45043.5625</v>
      </c>
      <c r="BC93" s="165">
        <v>45045.059027777781</v>
      </c>
      <c r="BD93" s="165">
        <v>45045.475694444445</v>
      </c>
      <c r="BE93" s="165">
        <v>45045.482638888891</v>
      </c>
      <c r="BF93" s="165">
        <v>45045.482638888891</v>
      </c>
      <c r="BG93" s="165">
        <f t="shared" si="34"/>
        <v>45047.190972222226</v>
      </c>
      <c r="BH93" s="165">
        <v>45047.541666608799</v>
      </c>
      <c r="BI93" s="165">
        <v>45047.708333275463</v>
      </c>
      <c r="BJ93" s="165">
        <v>45047.613888888889</v>
      </c>
      <c r="BK93" s="165">
        <v>45048.708333333336</v>
      </c>
      <c r="BL93" s="165">
        <v>45049.770833333336</v>
      </c>
      <c r="BM93" s="165">
        <v>45050.111111111109</v>
      </c>
      <c r="BN93" s="165">
        <v>45050.125</v>
      </c>
      <c r="BO93" s="165">
        <v>45050.125</v>
      </c>
      <c r="BP93" s="165">
        <v>45050.496527777781</v>
      </c>
      <c r="BS93" s="136">
        <f t="shared" si="24"/>
        <v>41.750000000058208</v>
      </c>
      <c r="BT93" s="136">
        <f t="shared" si="25"/>
        <v>9.9999999999417923</v>
      </c>
      <c r="BU93" s="136">
        <f t="shared" si="26"/>
        <v>41.000000000058208</v>
      </c>
      <c r="BV93" s="136">
        <f t="shared" si="32"/>
        <v>24.000001388951205</v>
      </c>
      <c r="BW93" s="135">
        <f t="shared" si="27"/>
        <v>8.1666666665696539</v>
      </c>
      <c r="BX93" s="135">
        <f t="shared" si="28"/>
        <v>8.9166666667442769</v>
      </c>
      <c r="BY93" s="134">
        <f t="shared" si="29"/>
        <v>5.5763889467634726</v>
      </c>
      <c r="BZ93" s="134">
        <f t="shared" si="30"/>
        <v>9.6145833333357587</v>
      </c>
      <c r="CA93" s="133">
        <f t="shared" si="31"/>
        <v>0.57999278319518777</v>
      </c>
    </row>
    <row r="94" spans="1:79" s="126" customFormat="1">
      <c r="A94" s="192">
        <f t="shared" si="33"/>
        <v>45045.502083333333</v>
      </c>
      <c r="B94" s="126" t="s">
        <v>228</v>
      </c>
      <c r="C94" s="126" t="s">
        <v>229</v>
      </c>
      <c r="D94" s="126" t="s">
        <v>197</v>
      </c>
      <c r="E94" s="65" t="s">
        <v>1280</v>
      </c>
      <c r="G94" s="73">
        <v>45041.458333333336</v>
      </c>
      <c r="H94" s="73">
        <v>45041.458333333336</v>
      </c>
      <c r="I94" s="126" t="s">
        <v>231</v>
      </c>
      <c r="J94" s="126" t="s">
        <v>192</v>
      </c>
      <c r="K94" s="126" t="s">
        <v>192</v>
      </c>
      <c r="L94" s="126" t="s">
        <v>1291</v>
      </c>
      <c r="M94" s="167"/>
      <c r="N94" s="126" t="s">
        <v>371</v>
      </c>
      <c r="O94" s="126" t="s">
        <v>372</v>
      </c>
      <c r="P94" s="126" t="s">
        <v>235</v>
      </c>
      <c r="Q94" s="181">
        <f>3117*2.4</f>
        <v>7480.7999999999993</v>
      </c>
      <c r="R94" s="181">
        <f>7540.375-2268.018</f>
        <v>5272.357</v>
      </c>
      <c r="S94" s="181"/>
      <c r="W94" s="181">
        <f t="shared" ref="W94:W99" si="35">R94</f>
        <v>5272.357</v>
      </c>
      <c r="AW94" s="165">
        <f t="shared" si="21"/>
        <v>45038.107638888891</v>
      </c>
      <c r="AX94" s="165">
        <f t="shared" si="22"/>
        <v>45050.333333333336</v>
      </c>
      <c r="AY94" s="137">
        <f t="shared" si="23"/>
        <v>12.225694444445253</v>
      </c>
      <c r="AZ94" s="165">
        <v>45038.107638888891</v>
      </c>
      <c r="BA94" s="165">
        <v>45042.489583333336</v>
      </c>
      <c r="BB94" s="165">
        <v>45044.444444444445</v>
      </c>
      <c r="BC94" s="165">
        <v>45045.502083333333</v>
      </c>
      <c r="BD94" s="165">
        <v>45045.631944444445</v>
      </c>
      <c r="BE94" s="165">
        <v>45045.638888888891</v>
      </c>
      <c r="BF94" s="165">
        <v>45045.638888888891</v>
      </c>
      <c r="BG94" s="165">
        <f t="shared" si="34"/>
        <v>45047.347222222226</v>
      </c>
      <c r="BH94" s="165">
        <v>45047.541666608799</v>
      </c>
      <c r="BI94" s="165">
        <v>45047.708333275463</v>
      </c>
      <c r="BJ94" s="165">
        <v>45047.59375</v>
      </c>
      <c r="BK94" s="165">
        <v>45048.787499999999</v>
      </c>
      <c r="BL94" s="165">
        <v>45049.798611111109</v>
      </c>
      <c r="BM94" s="165">
        <v>45050.284722222219</v>
      </c>
      <c r="BN94" s="165">
        <v>45050.333333333336</v>
      </c>
      <c r="BO94" s="165">
        <v>45050.333333333336</v>
      </c>
      <c r="BP94" s="165">
        <v>45050.333333333336</v>
      </c>
      <c r="BS94" s="136">
        <f t="shared" si="24"/>
        <v>46.916666666627862</v>
      </c>
      <c r="BT94" s="136">
        <f t="shared" si="25"/>
        <v>3.1166666666977108</v>
      </c>
      <c r="BU94" s="136">
        <f t="shared" si="26"/>
        <v>41.000000000058208</v>
      </c>
      <c r="BV94" s="136">
        <f t="shared" si="32"/>
        <v>25.900001388858072</v>
      </c>
      <c r="BW94" s="135">
        <f t="shared" si="27"/>
        <v>11.666666666627862</v>
      </c>
      <c r="BX94" s="135">
        <f t="shared" si="28"/>
        <v>0</v>
      </c>
      <c r="BY94" s="134">
        <f t="shared" si="29"/>
        <v>5.3583333912029047</v>
      </c>
      <c r="BZ94" s="134">
        <f t="shared" si="30"/>
        <v>12.225694444445253</v>
      </c>
      <c r="CA94" s="133">
        <f t="shared" si="31"/>
        <v>0.4382845829782262</v>
      </c>
    </row>
    <row r="95" spans="1:79" s="126" customFormat="1">
      <c r="A95" s="192">
        <f t="shared" si="33"/>
        <v>45045.502083333333</v>
      </c>
      <c r="B95" s="126" t="s">
        <v>228</v>
      </c>
      <c r="C95" s="126" t="s">
        <v>229</v>
      </c>
      <c r="D95" s="126" t="s">
        <v>197</v>
      </c>
      <c r="E95" s="65" t="s">
        <v>1292</v>
      </c>
      <c r="G95" s="73">
        <v>45051.354166666664</v>
      </c>
      <c r="H95" s="73">
        <v>45051.3125</v>
      </c>
      <c r="I95" s="126" t="s">
        <v>231</v>
      </c>
      <c r="J95" s="126" t="s">
        <v>192</v>
      </c>
      <c r="K95" s="126" t="s">
        <v>192</v>
      </c>
      <c r="L95" s="126" t="s">
        <v>1291</v>
      </c>
      <c r="M95" s="167"/>
      <c r="N95" s="126" t="s">
        <v>371</v>
      </c>
      <c r="O95" s="126" t="s">
        <v>372</v>
      </c>
      <c r="P95" s="126" t="s">
        <v>235</v>
      </c>
      <c r="Q95" s="181">
        <f>3117*2.4</f>
        <v>7480.7999999999993</v>
      </c>
      <c r="R95" s="181">
        <v>1068.8050000000001</v>
      </c>
      <c r="S95" s="181"/>
      <c r="W95" s="181">
        <f t="shared" si="35"/>
        <v>1068.8050000000001</v>
      </c>
      <c r="AW95" s="165">
        <f t="shared" si="21"/>
        <v>45038.107638888891</v>
      </c>
      <c r="AX95" s="165">
        <f t="shared" si="22"/>
        <v>45059.486111111109</v>
      </c>
      <c r="AY95" s="137">
        <f t="shared" si="23"/>
        <v>21.378472222218988</v>
      </c>
      <c r="AZ95" s="165">
        <v>45038.107638888891</v>
      </c>
      <c r="BA95" s="165">
        <v>45042.489583333336</v>
      </c>
      <c r="BB95" s="165">
        <v>45044.444444444445</v>
      </c>
      <c r="BC95" s="165">
        <v>45045.502083333333</v>
      </c>
      <c r="BD95" s="165">
        <v>45045.631944444445</v>
      </c>
      <c r="BE95" s="165">
        <v>45045.638888888891</v>
      </c>
      <c r="BF95" s="165">
        <v>45045.638888888891</v>
      </c>
      <c r="BG95" s="165">
        <f t="shared" si="34"/>
        <v>45047.347222222226</v>
      </c>
      <c r="BH95" s="165">
        <v>45047.541666608799</v>
      </c>
      <c r="BI95" s="165">
        <v>45047.708333275463</v>
      </c>
      <c r="BJ95" s="165">
        <v>45047.59375</v>
      </c>
      <c r="BK95" s="165">
        <v>45050.333333333336</v>
      </c>
      <c r="BL95" s="165">
        <v>45059.055555555555</v>
      </c>
      <c r="BM95" s="165">
        <v>45059.090277777781</v>
      </c>
      <c r="BN95" s="165">
        <v>45059.111111111109</v>
      </c>
      <c r="BO95" s="165">
        <v>45059.111111111109</v>
      </c>
      <c r="BP95" s="165">
        <v>45059.486111111109</v>
      </c>
      <c r="BS95" s="136">
        <f t="shared" si="24"/>
        <v>46.916666666627862</v>
      </c>
      <c r="BT95" s="136">
        <f t="shared" si="25"/>
        <v>3.1166666666977108</v>
      </c>
      <c r="BU95" s="136">
        <f t="shared" si="26"/>
        <v>41.000000000058208</v>
      </c>
      <c r="BV95" s="136">
        <f t="shared" si="32"/>
        <v>63.000001388951205</v>
      </c>
      <c r="BW95" s="135">
        <f t="shared" si="27"/>
        <v>0.8333333334303461</v>
      </c>
      <c r="BX95" s="135">
        <f t="shared" si="28"/>
        <v>9</v>
      </c>
      <c r="BY95" s="134">
        <f t="shared" si="29"/>
        <v>6.8277778356568888</v>
      </c>
      <c r="BZ95" s="134">
        <f t="shared" si="30"/>
        <v>21.378472222218988</v>
      </c>
      <c r="CA95" s="133">
        <f t="shared" si="31"/>
        <v>0.31937632234358965</v>
      </c>
    </row>
    <row r="96" spans="1:79" s="126" customFormat="1">
      <c r="A96" s="192">
        <f t="shared" si="33"/>
        <v>45045.663194444445</v>
      </c>
      <c r="B96" s="126" t="s">
        <v>228</v>
      </c>
      <c r="C96" s="126" t="s">
        <v>229</v>
      </c>
      <c r="D96" s="126" t="s">
        <v>197</v>
      </c>
      <c r="E96" s="65" t="s">
        <v>1293</v>
      </c>
      <c r="G96" s="73">
        <v>45043.833333333336</v>
      </c>
      <c r="H96" s="73">
        <v>45043.770833333336</v>
      </c>
      <c r="I96" s="126" t="s">
        <v>243</v>
      </c>
      <c r="J96" s="126" t="s">
        <v>192</v>
      </c>
      <c r="K96" s="126" t="s">
        <v>192</v>
      </c>
      <c r="L96" s="126" t="s">
        <v>1294</v>
      </c>
      <c r="M96" s="167"/>
      <c r="N96" s="126" t="s">
        <v>355</v>
      </c>
      <c r="O96" s="126" t="s">
        <v>356</v>
      </c>
      <c r="P96" s="126" t="s">
        <v>235</v>
      </c>
      <c r="Q96" s="181">
        <f>3107*2.4</f>
        <v>7456.7999999999993</v>
      </c>
      <c r="R96" s="181">
        <v>7584.7560000000003</v>
      </c>
      <c r="S96" s="181"/>
      <c r="W96" s="181">
        <f t="shared" si="35"/>
        <v>7584.7560000000003</v>
      </c>
      <c r="AW96" s="165">
        <f t="shared" si="21"/>
        <v>45041.479166666664</v>
      </c>
      <c r="AX96" s="165">
        <f t="shared" si="22"/>
        <v>45050.784722222219</v>
      </c>
      <c r="AY96" s="137">
        <f t="shared" si="23"/>
        <v>9.3055555555547471</v>
      </c>
      <c r="AZ96" s="165">
        <v>45041.479166666664</v>
      </c>
      <c r="BA96" s="165">
        <v>45042.822916666664</v>
      </c>
      <c r="BB96" s="165">
        <v>45044.375</v>
      </c>
      <c r="BC96" s="165">
        <v>45045.663194444445</v>
      </c>
      <c r="BD96" s="165">
        <v>45045.923611111109</v>
      </c>
      <c r="BE96" s="165">
        <v>45045.934027777781</v>
      </c>
      <c r="BF96" s="165">
        <v>45045.934027777781</v>
      </c>
      <c r="BG96" s="165">
        <f t="shared" si="34"/>
        <v>45047.642361111117</v>
      </c>
      <c r="BH96" s="165">
        <v>45047.541666608799</v>
      </c>
      <c r="BI96" s="165">
        <v>45047.708333275463</v>
      </c>
      <c r="BJ96" s="165">
        <v>45047.583333333336</v>
      </c>
      <c r="BK96" s="165">
        <v>45049.020833333336</v>
      </c>
      <c r="BL96" s="165">
        <v>45050.114583333336</v>
      </c>
      <c r="BM96" s="165">
        <v>45050.402777777781</v>
      </c>
      <c r="BN96" s="165">
        <v>45050.420138888891</v>
      </c>
      <c r="BO96" s="165">
        <v>45050.423611111109</v>
      </c>
      <c r="BP96" s="165">
        <v>45050.784722222219</v>
      </c>
      <c r="BS96" s="136">
        <f t="shared" si="24"/>
        <v>37.250000000058208</v>
      </c>
      <c r="BT96" s="136">
        <f t="shared" si="25"/>
        <v>6.2499999999417923</v>
      </c>
      <c r="BU96" s="136">
        <f t="shared" si="26"/>
        <v>41.000000000058208</v>
      </c>
      <c r="BV96" s="136">
        <f t="shared" si="32"/>
        <v>31.500001388951205</v>
      </c>
      <c r="BW96" s="135">
        <f t="shared" si="27"/>
        <v>6.9166666666860692</v>
      </c>
      <c r="BX96" s="135">
        <f t="shared" si="28"/>
        <v>8.6666666666278616</v>
      </c>
      <c r="BY96" s="134">
        <f t="shared" si="29"/>
        <v>5.4826389467634726</v>
      </c>
      <c r="BZ96" s="134">
        <f t="shared" si="30"/>
        <v>9.3055555555547471</v>
      </c>
      <c r="CA96" s="133">
        <f t="shared" si="31"/>
        <v>0.58917911069702134</v>
      </c>
    </row>
    <row r="97" spans="1:79" s="126" customFormat="1">
      <c r="A97" s="192">
        <f t="shared" si="33"/>
        <v>45045.958333333336</v>
      </c>
      <c r="B97" s="126" t="s">
        <v>228</v>
      </c>
      <c r="C97" s="126" t="s">
        <v>229</v>
      </c>
      <c r="D97" s="126" t="s">
        <v>197</v>
      </c>
      <c r="E97" s="65" t="s">
        <v>1293</v>
      </c>
      <c r="G97" s="73">
        <v>45043.833333333336</v>
      </c>
      <c r="H97" s="73">
        <v>45043.770833333336</v>
      </c>
      <c r="I97" s="126" t="s">
        <v>243</v>
      </c>
      <c r="J97" s="126" t="s">
        <v>192</v>
      </c>
      <c r="K97" s="126" t="s">
        <v>192</v>
      </c>
      <c r="L97" s="126" t="s">
        <v>1295</v>
      </c>
      <c r="M97" s="167"/>
      <c r="N97" s="126" t="s">
        <v>288</v>
      </c>
      <c r="O97" s="126" t="s">
        <v>289</v>
      </c>
      <c r="P97" s="126" t="s">
        <v>235</v>
      </c>
      <c r="Q97" s="181">
        <f>3107*2.4</f>
        <v>7456.7999999999993</v>
      </c>
      <c r="R97" s="181">
        <v>7629.299</v>
      </c>
      <c r="S97" s="181"/>
      <c r="W97" s="181">
        <f t="shared" si="35"/>
        <v>7629.299</v>
      </c>
      <c r="AW97" s="165">
        <f t="shared" si="21"/>
        <v>45041.895833333336</v>
      </c>
      <c r="AX97" s="165">
        <f t="shared" si="22"/>
        <v>45050.78125</v>
      </c>
      <c r="AY97" s="137">
        <f t="shared" si="23"/>
        <v>8.8854166666642413</v>
      </c>
      <c r="AZ97" s="165">
        <v>45041.895833333336</v>
      </c>
      <c r="BA97" s="165">
        <v>45042.888888888891</v>
      </c>
      <c r="BB97" s="165">
        <v>45044.458333333336</v>
      </c>
      <c r="BC97" s="165">
        <v>45045.958333333336</v>
      </c>
      <c r="BD97" s="165">
        <v>45046.392361111109</v>
      </c>
      <c r="BE97" s="165">
        <v>45046.399305555555</v>
      </c>
      <c r="BF97" s="165">
        <v>45046.399305555555</v>
      </c>
      <c r="BG97" s="165">
        <f t="shared" si="34"/>
        <v>45048.107638888891</v>
      </c>
      <c r="BH97" s="165">
        <v>45048.583333333336</v>
      </c>
      <c r="BI97" s="165">
        <v>45048.75</v>
      </c>
      <c r="BJ97" s="165">
        <v>45048.5625</v>
      </c>
      <c r="BK97" s="165">
        <v>45050.180555555555</v>
      </c>
      <c r="BL97" s="165">
        <v>45050.465277777781</v>
      </c>
      <c r="BM97" s="165">
        <v>45050.767361111109</v>
      </c>
      <c r="BN97" s="165">
        <v>45050.78125</v>
      </c>
      <c r="BO97" s="165">
        <v>45050.78125</v>
      </c>
      <c r="BP97" s="165">
        <v>45050.78125</v>
      </c>
      <c r="BQ97" s="126" t="s">
        <v>788</v>
      </c>
      <c r="BS97" s="136">
        <f t="shared" si="24"/>
        <v>37.666666666686069</v>
      </c>
      <c r="BT97" s="136">
        <f t="shared" si="25"/>
        <v>10.416666666569654</v>
      </c>
      <c r="BU97" s="136">
        <f t="shared" si="26"/>
        <v>41.000000000058208</v>
      </c>
      <c r="BV97" s="136">
        <f t="shared" si="32"/>
        <v>34.333333333313931</v>
      </c>
      <c r="BW97" s="135">
        <f t="shared" si="27"/>
        <v>7.2499999998835847</v>
      </c>
      <c r="BX97" s="135">
        <f t="shared" si="28"/>
        <v>0</v>
      </c>
      <c r="BY97" s="134">
        <f t="shared" si="29"/>
        <v>5.4444444444379769</v>
      </c>
      <c r="BZ97" s="134">
        <f t="shared" si="30"/>
        <v>8.8854166666642413</v>
      </c>
      <c r="CA97" s="133">
        <f t="shared" si="31"/>
        <v>0.61273935130854451</v>
      </c>
    </row>
    <row r="98" spans="1:79" s="126" customFormat="1" ht="14.4" customHeight="1">
      <c r="A98" s="192">
        <f t="shared" si="33"/>
        <v>45046.694444444445</v>
      </c>
      <c r="B98" s="126" t="s">
        <v>228</v>
      </c>
      <c r="C98" s="126" t="s">
        <v>229</v>
      </c>
      <c r="D98" s="126" t="s">
        <v>197</v>
      </c>
      <c r="E98" s="65" t="s">
        <v>1293</v>
      </c>
      <c r="G98" s="73">
        <v>45043.833333333336</v>
      </c>
      <c r="H98" s="73">
        <v>45043.770833333336</v>
      </c>
      <c r="I98" s="126" t="s">
        <v>243</v>
      </c>
      <c r="J98" s="126" t="s">
        <v>192</v>
      </c>
      <c r="K98" s="126" t="s">
        <v>192</v>
      </c>
      <c r="L98" s="126" t="s">
        <v>1296</v>
      </c>
      <c r="M98" s="167"/>
      <c r="N98" s="126" t="s">
        <v>334</v>
      </c>
      <c r="O98" s="126" t="s">
        <v>335</v>
      </c>
      <c r="P98" s="126" t="s">
        <v>235</v>
      </c>
      <c r="Q98" s="181">
        <f>3242 *2.4</f>
        <v>7780.7999999999993</v>
      </c>
      <c r="R98" s="181">
        <v>7703.5919999999996</v>
      </c>
      <c r="S98" s="181"/>
      <c r="W98" s="181">
        <f t="shared" si="35"/>
        <v>7703.5919999999996</v>
      </c>
      <c r="AW98" s="165">
        <f t="shared" si="21"/>
        <v>45037.75</v>
      </c>
      <c r="AX98" s="165">
        <f t="shared" si="22"/>
        <v>45052.479166666664</v>
      </c>
      <c r="AY98" s="137">
        <f t="shared" si="23"/>
        <v>14.729166666664241</v>
      </c>
      <c r="AZ98" s="165">
        <v>45037.75</v>
      </c>
      <c r="BA98" s="165">
        <v>45042.506944444445</v>
      </c>
      <c r="BB98" s="165">
        <v>45044.590277777781</v>
      </c>
      <c r="BC98" s="165">
        <v>45046.694444444445</v>
      </c>
      <c r="BD98" s="165">
        <v>45047.166666666664</v>
      </c>
      <c r="BE98" s="165">
        <v>45047.173611111109</v>
      </c>
      <c r="BF98" s="165">
        <v>45047.3125</v>
      </c>
      <c r="BG98" s="165">
        <f t="shared" si="34"/>
        <v>45049.020833333336</v>
      </c>
      <c r="BH98" s="165">
        <v>45048.583333333336</v>
      </c>
      <c r="BI98" s="165">
        <v>45048.75</v>
      </c>
      <c r="BJ98" s="165">
        <v>45048.684027777781</v>
      </c>
      <c r="BK98" s="165">
        <v>45050.354166666664</v>
      </c>
      <c r="BL98" s="165">
        <v>45051.642361111109</v>
      </c>
      <c r="BM98" s="165">
        <v>45051.909722222219</v>
      </c>
      <c r="BN98" s="165">
        <v>45051.920138888891</v>
      </c>
      <c r="BO98" s="165">
        <v>45051.993055555555</v>
      </c>
      <c r="BP98" s="165">
        <v>45052.479166666664</v>
      </c>
      <c r="BS98" s="136">
        <f t="shared" si="24"/>
        <v>50.000000000058208</v>
      </c>
      <c r="BT98" s="136">
        <f t="shared" si="25"/>
        <v>11.333333333255723</v>
      </c>
      <c r="BU98" s="136">
        <f t="shared" si="26"/>
        <v>41.000000000058208</v>
      </c>
      <c r="BV98" s="136">
        <f t="shared" si="32"/>
        <v>38.499999999941792</v>
      </c>
      <c r="BW98" s="135">
        <f t="shared" si="27"/>
        <v>6.4166666666278616</v>
      </c>
      <c r="BX98" s="135">
        <f t="shared" si="28"/>
        <v>11.666666666627862</v>
      </c>
      <c r="BY98" s="134">
        <f t="shared" si="29"/>
        <v>6.6215277777737356</v>
      </c>
      <c r="BZ98" s="134">
        <f t="shared" si="30"/>
        <v>14.729166666664241</v>
      </c>
      <c r="CA98" s="133">
        <f t="shared" si="31"/>
        <v>0.44955209806674912</v>
      </c>
    </row>
    <row r="99" spans="1:79" s="126" customFormat="1">
      <c r="A99" s="192">
        <f t="shared" si="33"/>
        <v>45046.475694444445</v>
      </c>
      <c r="B99" s="126" t="s">
        <v>228</v>
      </c>
      <c r="C99" s="126" t="s">
        <v>229</v>
      </c>
      <c r="D99" s="126" t="s">
        <v>215</v>
      </c>
      <c r="E99" s="65" t="s">
        <v>1293</v>
      </c>
      <c r="G99" s="73">
        <v>45043.833333333336</v>
      </c>
      <c r="H99" s="73">
        <v>45043.770833333336</v>
      </c>
      <c r="I99" s="126" t="s">
        <v>243</v>
      </c>
      <c r="J99" s="126" t="s">
        <v>192</v>
      </c>
      <c r="K99" s="126" t="s">
        <v>192</v>
      </c>
      <c r="L99" s="126" t="s">
        <v>1297</v>
      </c>
      <c r="M99" s="167"/>
      <c r="N99" s="126" t="s">
        <v>343</v>
      </c>
      <c r="O99" s="126" t="s">
        <v>344</v>
      </c>
      <c r="P99" s="126" t="s">
        <v>235</v>
      </c>
      <c r="Q99" s="181">
        <f>3136*2.4</f>
        <v>7526.4</v>
      </c>
      <c r="R99" s="181">
        <v>7555.4620000000004</v>
      </c>
      <c r="S99" s="181"/>
      <c r="W99" s="181">
        <f t="shared" si="35"/>
        <v>7555.4620000000004</v>
      </c>
      <c r="AW99" s="165">
        <f t="shared" si="21"/>
        <v>45038.333333333336</v>
      </c>
      <c r="AX99" s="165">
        <f t="shared" si="22"/>
        <v>45051.135416666664</v>
      </c>
      <c r="AY99" s="137">
        <f t="shared" si="23"/>
        <v>12.802083333328483</v>
      </c>
      <c r="AZ99" s="165">
        <v>45038.333333333336</v>
      </c>
      <c r="BA99" s="165">
        <v>45042.819444444445</v>
      </c>
      <c r="BB99" s="165">
        <v>45044.583333333336</v>
      </c>
      <c r="BC99" s="165">
        <v>45046.475694444445</v>
      </c>
      <c r="BD99" s="165">
        <v>45046.666666666664</v>
      </c>
      <c r="BE99" s="165">
        <v>45046.673611111109</v>
      </c>
      <c r="BF99" s="165">
        <v>45046.673611111109</v>
      </c>
      <c r="BG99" s="165">
        <f t="shared" si="34"/>
        <v>45048.381944444445</v>
      </c>
      <c r="BH99" s="165">
        <v>45048.583333333336</v>
      </c>
      <c r="BI99" s="165">
        <v>45048.75</v>
      </c>
      <c r="BJ99" s="165">
        <v>45048.604166666664</v>
      </c>
      <c r="BK99" s="165">
        <v>45050.225694444445</v>
      </c>
      <c r="BL99" s="165">
        <v>45050.847222222219</v>
      </c>
      <c r="BM99" s="165">
        <v>45051.107638888891</v>
      </c>
      <c r="BN99" s="165">
        <v>45051.135416666664</v>
      </c>
      <c r="BO99" s="165">
        <v>45051.135416666664</v>
      </c>
      <c r="BP99" s="165">
        <v>45051.135416666664</v>
      </c>
      <c r="BQ99" s="126" t="s">
        <v>788</v>
      </c>
      <c r="BS99" s="136">
        <f t="shared" si="24"/>
        <v>42.333333333372138</v>
      </c>
      <c r="BT99" s="136">
        <f t="shared" si="25"/>
        <v>4.5833333332557231</v>
      </c>
      <c r="BU99" s="136">
        <f t="shared" si="26"/>
        <v>41.000000000058208</v>
      </c>
      <c r="BV99" s="136">
        <f t="shared" si="32"/>
        <v>35.416666666686069</v>
      </c>
      <c r="BW99" s="135">
        <f t="shared" si="27"/>
        <v>6.2500000001164153</v>
      </c>
      <c r="BX99" s="135">
        <f t="shared" si="28"/>
        <v>0</v>
      </c>
      <c r="BY99" s="134">
        <f t="shared" si="29"/>
        <v>5.3993055555620231</v>
      </c>
      <c r="BZ99" s="134">
        <f t="shared" si="30"/>
        <v>12.802083333328483</v>
      </c>
      <c r="CA99" s="133">
        <f t="shared" si="31"/>
        <v>0.42175210198059448</v>
      </c>
    </row>
    <row r="100" spans="1:79" s="126" customFormat="1">
      <c r="A100" s="192">
        <f t="shared" si="33"/>
        <v>45034.46875</v>
      </c>
      <c r="B100" s="126" t="s">
        <v>188</v>
      </c>
      <c r="C100" s="126" t="s">
        <v>913</v>
      </c>
      <c r="D100" s="126" t="s">
        <v>189</v>
      </c>
      <c r="E100" s="126" t="s">
        <v>1246</v>
      </c>
      <c r="G100" s="73">
        <v>45030.541666666664</v>
      </c>
      <c r="H100" s="73">
        <v>45030.525000000001</v>
      </c>
      <c r="I100" s="126" t="s">
        <v>1298</v>
      </c>
      <c r="J100" s="126" t="s">
        <v>192</v>
      </c>
      <c r="K100" s="126" t="s">
        <v>192</v>
      </c>
      <c r="L100" s="126" t="s">
        <v>1299</v>
      </c>
      <c r="M100" s="167"/>
      <c r="N100" s="126" t="s">
        <v>763</v>
      </c>
      <c r="O100" s="126" t="s">
        <v>454</v>
      </c>
      <c r="P100" s="126" t="s">
        <v>913</v>
      </c>
      <c r="Q100" s="181">
        <v>7500</v>
      </c>
      <c r="R100" s="181">
        <v>7741.6030000000001</v>
      </c>
      <c r="S100" s="181"/>
      <c r="AV100" s="181">
        <f>R100</f>
        <v>7741.6030000000001</v>
      </c>
      <c r="AW100" s="165">
        <f t="shared" si="21"/>
        <v>45032.947916666664</v>
      </c>
      <c r="AX100" s="165">
        <f t="shared" si="22"/>
        <v>45043.375</v>
      </c>
      <c r="AY100" s="137">
        <f t="shared" si="23"/>
        <v>10.427083333335759</v>
      </c>
      <c r="AZ100" s="165">
        <v>45032.947916666664</v>
      </c>
      <c r="BA100" s="165">
        <v>45032.947916666664</v>
      </c>
      <c r="BB100" s="165">
        <v>45032.947916666664</v>
      </c>
      <c r="BC100" s="165">
        <v>45034.46875</v>
      </c>
      <c r="BD100" s="165">
        <v>45037.663194444445</v>
      </c>
      <c r="BE100" s="165">
        <v>45037.770833333336</v>
      </c>
      <c r="BF100" s="165">
        <v>45037.770833333336</v>
      </c>
      <c r="BG100" s="165">
        <v>45037.770833333336</v>
      </c>
      <c r="BH100" s="166" t="s">
        <v>196</v>
      </c>
      <c r="BI100" s="166" t="s">
        <v>196</v>
      </c>
      <c r="BJ100" s="166" t="s">
        <v>196</v>
      </c>
      <c r="BK100" s="165">
        <v>45039.875</v>
      </c>
      <c r="BL100" s="165">
        <v>45042.815972222219</v>
      </c>
      <c r="BM100" s="165">
        <v>45043.361111111109</v>
      </c>
      <c r="BN100" s="165">
        <v>45043.375</v>
      </c>
      <c r="BO100" s="165">
        <v>45043.375</v>
      </c>
      <c r="BP100" s="165">
        <v>45043.375</v>
      </c>
      <c r="BS100" s="136">
        <f t="shared" si="24"/>
        <v>0</v>
      </c>
      <c r="BT100" s="136">
        <f t="shared" si="25"/>
        <v>76.666666666686069</v>
      </c>
      <c r="BU100" s="136">
        <f t="shared" si="26"/>
        <v>0</v>
      </c>
      <c r="BV100" s="136">
        <f t="shared" ref="BV100:BV117" si="36">(BK100-BG100)*24</f>
        <v>50.499999999941792</v>
      </c>
      <c r="BW100" s="135">
        <f t="shared" si="27"/>
        <v>13.083333333372138</v>
      </c>
      <c r="BX100" s="135">
        <f t="shared" si="28"/>
        <v>0</v>
      </c>
      <c r="BY100" s="134">
        <f t="shared" si="29"/>
        <v>5.84375</v>
      </c>
      <c r="BZ100" s="134">
        <f t="shared" si="30"/>
        <v>10.427083333335759</v>
      </c>
      <c r="CA100" s="133">
        <f t="shared" si="31"/>
        <v>0.56043956043943011</v>
      </c>
    </row>
    <row r="101" spans="1:79" s="126" customFormat="1">
      <c r="A101" s="192">
        <f t="shared" si="33"/>
        <v>45019.041666666664</v>
      </c>
      <c r="B101" s="126" t="s">
        <v>188</v>
      </c>
      <c r="C101" s="126" t="s">
        <v>81</v>
      </c>
      <c r="D101" s="126" t="s">
        <v>197</v>
      </c>
      <c r="E101" s="65" t="s">
        <v>1222</v>
      </c>
      <c r="G101" s="73">
        <v>45028.354166666664</v>
      </c>
      <c r="H101" s="73">
        <v>45028.270833333336</v>
      </c>
      <c r="I101" s="65" t="s">
        <v>443</v>
      </c>
      <c r="J101" s="126" t="s">
        <v>192</v>
      </c>
      <c r="K101" s="126" t="s">
        <v>192</v>
      </c>
      <c r="L101" s="126" t="s">
        <v>1300</v>
      </c>
      <c r="M101" s="167"/>
      <c r="N101" s="126" t="s">
        <v>383</v>
      </c>
      <c r="O101" s="126" t="s">
        <v>384</v>
      </c>
      <c r="P101" s="126" t="s">
        <v>81</v>
      </c>
      <c r="Q101" s="181">
        <v>5500</v>
      </c>
      <c r="R101" s="181">
        <v>5111</v>
      </c>
      <c r="S101" s="181"/>
      <c r="AH101" s="181">
        <f t="shared" ref="AH101:AH106" si="37">R101</f>
        <v>5111</v>
      </c>
      <c r="AW101" s="165">
        <f t="shared" si="21"/>
        <v>45017.746527777781</v>
      </c>
      <c r="AX101" s="165">
        <f t="shared" si="22"/>
        <v>45028.409722222219</v>
      </c>
      <c r="AY101" s="137">
        <f t="shared" si="23"/>
        <v>10.663194444437977</v>
      </c>
      <c r="AZ101" s="165">
        <v>45017.746527777781</v>
      </c>
      <c r="BA101" s="165">
        <v>45017.9375</v>
      </c>
      <c r="BB101" s="165">
        <v>45018.958333333336</v>
      </c>
      <c r="BC101" s="165">
        <v>45019.041666666664</v>
      </c>
      <c r="BD101" s="165">
        <v>45019.934027777781</v>
      </c>
      <c r="BE101" s="165">
        <v>45020.083333333336</v>
      </c>
      <c r="BF101" s="165">
        <v>45021.069444444445</v>
      </c>
      <c r="BG101" s="165">
        <v>45021.069444444445</v>
      </c>
      <c r="BH101" s="166" t="s">
        <v>196</v>
      </c>
      <c r="BI101" s="166" t="s">
        <v>196</v>
      </c>
      <c r="BJ101" s="166" t="s">
        <v>196</v>
      </c>
      <c r="BK101" s="165">
        <v>45022.40625</v>
      </c>
      <c r="BL101" s="165">
        <v>45027.670138888891</v>
      </c>
      <c r="BM101" s="165">
        <v>45027.770833333336</v>
      </c>
      <c r="BN101" s="165">
        <v>45027.791666666664</v>
      </c>
      <c r="BO101" s="165">
        <v>45028.027777777781</v>
      </c>
      <c r="BP101" s="165">
        <v>45028.409722222219</v>
      </c>
      <c r="BS101" s="136">
        <f t="shared" si="24"/>
        <v>24.500000000058208</v>
      </c>
      <c r="BT101" s="136">
        <f t="shared" si="25"/>
        <v>21.416666666802485</v>
      </c>
      <c r="BU101" s="136">
        <f t="shared" si="26"/>
        <v>0</v>
      </c>
      <c r="BV101" s="136">
        <f t="shared" si="36"/>
        <v>32.083333333313931</v>
      </c>
      <c r="BW101" s="135">
        <f t="shared" si="27"/>
        <v>2.4166666666860692</v>
      </c>
      <c r="BX101" s="135">
        <f t="shared" si="28"/>
        <v>9.1666666665114462</v>
      </c>
      <c r="BY101" s="134">
        <f t="shared" si="29"/>
        <v>3.7326388888905058</v>
      </c>
      <c r="BZ101" s="134">
        <f t="shared" si="30"/>
        <v>10.663194444437977</v>
      </c>
      <c r="CA101" s="133">
        <f t="shared" si="31"/>
        <v>0.35004884402511161</v>
      </c>
    </row>
    <row r="102" spans="1:79" s="126" customFormat="1">
      <c r="A102" s="192">
        <f t="shared" si="33"/>
        <v>45023.673611111109</v>
      </c>
      <c r="B102" s="126" t="s">
        <v>188</v>
      </c>
      <c r="C102" s="126" t="s">
        <v>81</v>
      </c>
      <c r="D102" s="126" t="s">
        <v>197</v>
      </c>
      <c r="E102" s="65" t="s">
        <v>1207</v>
      </c>
      <c r="G102" s="73">
        <v>45016.291666666664</v>
      </c>
      <c r="H102" s="73">
        <v>45016.208333333336</v>
      </c>
      <c r="I102" s="65" t="s">
        <v>439</v>
      </c>
      <c r="J102" s="126" t="s">
        <v>192</v>
      </c>
      <c r="K102" s="126" t="s">
        <v>192</v>
      </c>
      <c r="L102" s="126" t="s">
        <v>1301</v>
      </c>
      <c r="M102" s="167"/>
      <c r="N102" s="126" t="s">
        <v>441</v>
      </c>
      <c r="O102" s="126" t="s">
        <v>442</v>
      </c>
      <c r="P102" s="126" t="s">
        <v>81</v>
      </c>
      <c r="Q102" s="181">
        <v>5500</v>
      </c>
      <c r="R102" s="181">
        <v>5011.6360000000004</v>
      </c>
      <c r="S102" s="181"/>
      <c r="AH102" s="181">
        <f t="shared" si="37"/>
        <v>5011.6360000000004</v>
      </c>
      <c r="AW102" s="165">
        <f t="shared" si="21"/>
        <v>45022.052083333336</v>
      </c>
      <c r="AX102" s="165">
        <f t="shared" si="22"/>
        <v>45030.104166666664</v>
      </c>
      <c r="AY102" s="137">
        <f t="shared" si="23"/>
        <v>8.0520833333284827</v>
      </c>
      <c r="AZ102" s="165">
        <v>45022.052083333336</v>
      </c>
      <c r="BA102" s="165">
        <v>45022.055555555555</v>
      </c>
      <c r="BB102" s="165">
        <v>45022.958333333336</v>
      </c>
      <c r="BC102" s="165">
        <v>45023.673611111109</v>
      </c>
      <c r="BD102" s="165">
        <v>45024.534722222219</v>
      </c>
      <c r="BE102" s="165">
        <v>45024.600694444445</v>
      </c>
      <c r="BF102" s="165">
        <v>45025.645833333336</v>
      </c>
      <c r="BG102" s="165">
        <v>45025.645833333336</v>
      </c>
      <c r="BH102" s="166" t="s">
        <v>196</v>
      </c>
      <c r="BI102" s="166" t="s">
        <v>196</v>
      </c>
      <c r="BJ102" s="166" t="s">
        <v>196</v>
      </c>
      <c r="BK102" s="165">
        <v>45027.083333333336</v>
      </c>
      <c r="BL102" s="165">
        <v>45028.569444444445</v>
      </c>
      <c r="BM102" s="165">
        <v>45029.486111111109</v>
      </c>
      <c r="BN102" s="165">
        <v>45029.5</v>
      </c>
      <c r="BO102" s="165">
        <v>45029.5</v>
      </c>
      <c r="BP102" s="165">
        <v>45030.104166666664</v>
      </c>
      <c r="BS102" s="136">
        <f t="shared" si="24"/>
        <v>21.666666666744277</v>
      </c>
      <c r="BT102" s="136">
        <f t="shared" si="25"/>
        <v>20.666666666627862</v>
      </c>
      <c r="BU102" s="136">
        <f t="shared" si="26"/>
        <v>0</v>
      </c>
      <c r="BV102" s="136">
        <f t="shared" si="36"/>
        <v>34.5</v>
      </c>
      <c r="BW102" s="135">
        <f t="shared" si="27"/>
        <v>21.999999999941792</v>
      </c>
      <c r="BX102" s="135">
        <f t="shared" si="28"/>
        <v>14.499999999941792</v>
      </c>
      <c r="BY102" s="134">
        <f t="shared" si="29"/>
        <v>4.7222222222189885</v>
      </c>
      <c r="BZ102" s="134">
        <f t="shared" si="30"/>
        <v>8.0520833333284827</v>
      </c>
      <c r="CA102" s="133">
        <f t="shared" si="31"/>
        <v>0.58645968089689005</v>
      </c>
    </row>
    <row r="103" spans="1:79" s="126" customFormat="1">
      <c r="A103" s="192">
        <f t="shared" si="33"/>
        <v>45024.850694444445</v>
      </c>
      <c r="B103" s="126" t="s">
        <v>188</v>
      </c>
      <c r="C103" s="126" t="s">
        <v>81</v>
      </c>
      <c r="D103" s="126" t="s">
        <v>197</v>
      </c>
      <c r="E103" s="65" t="s">
        <v>394</v>
      </c>
      <c r="G103" s="73">
        <v>45021.958333333336</v>
      </c>
      <c r="H103" s="73">
        <v>45021.92083333333</v>
      </c>
      <c r="I103" s="65" t="s">
        <v>439</v>
      </c>
      <c r="J103" s="126" t="s">
        <v>192</v>
      </c>
      <c r="K103" s="126" t="s">
        <v>192</v>
      </c>
      <c r="L103" s="126" t="s">
        <v>1302</v>
      </c>
      <c r="M103" s="167"/>
      <c r="N103" s="126" t="s">
        <v>1303</v>
      </c>
      <c r="O103" s="126" t="s">
        <v>1304</v>
      </c>
      <c r="P103" s="126" t="s">
        <v>81</v>
      </c>
      <c r="Q103" s="181">
        <v>5500</v>
      </c>
      <c r="R103" s="181">
        <v>5070</v>
      </c>
      <c r="S103" s="181"/>
      <c r="AH103" s="181">
        <f t="shared" si="37"/>
        <v>5070</v>
      </c>
      <c r="AW103" s="165">
        <f t="shared" si="21"/>
        <v>45023.40625</v>
      </c>
      <c r="AX103" s="165">
        <f t="shared" si="22"/>
        <v>45029.986111111109</v>
      </c>
      <c r="AY103" s="137">
        <f t="shared" si="23"/>
        <v>6.5798611111094942</v>
      </c>
      <c r="AZ103" s="165">
        <v>45023.40625</v>
      </c>
      <c r="BA103" s="165">
        <v>45024.194444444445</v>
      </c>
      <c r="BB103" s="165">
        <v>45024.506944444445</v>
      </c>
      <c r="BC103" s="165">
        <v>45024.850694444445</v>
      </c>
      <c r="BD103" s="165">
        <v>45026.458333333336</v>
      </c>
      <c r="BE103" s="165">
        <v>45026.527777777781</v>
      </c>
      <c r="BF103" s="165">
        <v>45026.791666666664</v>
      </c>
      <c r="BG103" s="165">
        <v>45026.791666666664</v>
      </c>
      <c r="BH103" s="166" t="s">
        <v>196</v>
      </c>
      <c r="BI103" s="166" t="s">
        <v>196</v>
      </c>
      <c r="BJ103" s="166" t="s">
        <v>196</v>
      </c>
      <c r="BK103" s="165">
        <v>45027.902777777781</v>
      </c>
      <c r="BL103" s="165">
        <v>45029.1875</v>
      </c>
      <c r="BM103" s="165">
        <v>45029.423611111109</v>
      </c>
      <c r="BN103" s="165">
        <v>45029.434027777781</v>
      </c>
      <c r="BO103" s="165">
        <v>45029.434027777781</v>
      </c>
      <c r="BP103" s="165">
        <v>45029.986111111109</v>
      </c>
      <c r="BS103" s="136">
        <f t="shared" si="24"/>
        <v>7.5</v>
      </c>
      <c r="BT103" s="136">
        <f t="shared" si="25"/>
        <v>38.583333333372138</v>
      </c>
      <c r="BU103" s="136">
        <f t="shared" si="26"/>
        <v>0</v>
      </c>
      <c r="BV103" s="136">
        <f t="shared" si="36"/>
        <v>26.666666666802485</v>
      </c>
      <c r="BW103" s="135">
        <f t="shared" si="27"/>
        <v>5.6666666666278616</v>
      </c>
      <c r="BX103" s="135">
        <f t="shared" si="28"/>
        <v>13.249999999883585</v>
      </c>
      <c r="BY103" s="134">
        <f t="shared" si="29"/>
        <v>3.8194444444452529</v>
      </c>
      <c r="BZ103" s="134">
        <f t="shared" si="30"/>
        <v>6.5798611111094942</v>
      </c>
      <c r="CA103" s="133">
        <f t="shared" si="31"/>
        <v>0.58047493403720485</v>
      </c>
    </row>
    <row r="104" spans="1:79" s="126" customFormat="1" ht="14.4" customHeight="1">
      <c r="A104" s="192">
        <f t="shared" si="33"/>
        <v>45030.927083333336</v>
      </c>
      <c r="B104" s="126" t="s">
        <v>188</v>
      </c>
      <c r="C104" s="126" t="s">
        <v>81</v>
      </c>
      <c r="D104" s="126" t="s">
        <v>197</v>
      </c>
      <c r="E104" s="65" t="s">
        <v>1072</v>
      </c>
      <c r="G104" s="73">
        <v>45035.25</v>
      </c>
      <c r="H104" s="73">
        <v>45035.229166666664</v>
      </c>
      <c r="I104" s="65" t="s">
        <v>443</v>
      </c>
      <c r="J104" s="126" t="s">
        <v>192</v>
      </c>
      <c r="K104" s="126" t="s">
        <v>192</v>
      </c>
      <c r="L104" s="126" t="s">
        <v>1305</v>
      </c>
      <c r="M104" s="167"/>
      <c r="N104" s="126" t="s">
        <v>383</v>
      </c>
      <c r="O104" s="126" t="s">
        <v>384</v>
      </c>
      <c r="P104" s="126" t="s">
        <v>81</v>
      </c>
      <c r="Q104" s="181">
        <v>5500</v>
      </c>
      <c r="R104" s="181">
        <v>5102</v>
      </c>
      <c r="S104" s="181"/>
      <c r="AH104" s="181">
        <f t="shared" si="37"/>
        <v>5102</v>
      </c>
      <c r="AW104" s="165">
        <f t="shared" si="21"/>
        <v>45028.409722222219</v>
      </c>
      <c r="AX104" s="165">
        <f t="shared" si="22"/>
        <v>45037.069444444445</v>
      </c>
      <c r="AY104" s="137">
        <f t="shared" si="23"/>
        <v>8.6597222222262644</v>
      </c>
      <c r="AZ104" s="165">
        <v>45028.409722222219</v>
      </c>
      <c r="BA104" s="165">
        <v>45030.701388888891</v>
      </c>
      <c r="BB104" s="165">
        <v>45030.881944444445</v>
      </c>
      <c r="BC104" s="165">
        <v>45030.927083333336</v>
      </c>
      <c r="BD104" s="165">
        <v>45031.958333333336</v>
      </c>
      <c r="BE104" s="165">
        <v>45032.020833333336</v>
      </c>
      <c r="BF104" s="165">
        <v>45032.673611111109</v>
      </c>
      <c r="BG104" s="165">
        <v>45032.673611111109</v>
      </c>
      <c r="BH104" s="166" t="s">
        <v>196</v>
      </c>
      <c r="BI104" s="166" t="s">
        <v>196</v>
      </c>
      <c r="BJ104" s="166" t="s">
        <v>196</v>
      </c>
      <c r="BK104" s="165">
        <v>45033.888888888891</v>
      </c>
      <c r="BL104" s="165">
        <v>45036.809027777781</v>
      </c>
      <c r="BM104" s="165">
        <v>45037.052083333336</v>
      </c>
      <c r="BN104" s="165">
        <v>45037.069444444445</v>
      </c>
      <c r="BO104" s="165">
        <v>45037.069444444445</v>
      </c>
      <c r="BP104" s="165">
        <v>45037.069444444445</v>
      </c>
      <c r="BS104" s="136">
        <f t="shared" si="24"/>
        <v>4.3333333333139308</v>
      </c>
      <c r="BT104" s="136">
        <f t="shared" si="25"/>
        <v>24.75</v>
      </c>
      <c r="BU104" s="136">
        <f t="shared" si="26"/>
        <v>0</v>
      </c>
      <c r="BV104" s="136">
        <f t="shared" si="36"/>
        <v>29.166666666744277</v>
      </c>
      <c r="BW104" s="135">
        <f t="shared" si="27"/>
        <v>5.8333333333139308</v>
      </c>
      <c r="BX104" s="135">
        <f t="shared" si="28"/>
        <v>0</v>
      </c>
      <c r="BY104" s="134">
        <f t="shared" si="29"/>
        <v>2.6701388888905058</v>
      </c>
      <c r="BZ104" s="134">
        <f t="shared" si="30"/>
        <v>8.6597222222262644</v>
      </c>
      <c r="CA104" s="133">
        <f t="shared" si="31"/>
        <v>0.30834001603853517</v>
      </c>
    </row>
    <row r="105" spans="1:79" s="126" customFormat="1">
      <c r="A105" s="192">
        <f t="shared" si="33"/>
        <v>45035.586805555555</v>
      </c>
      <c r="B105" s="126" t="s">
        <v>188</v>
      </c>
      <c r="C105" s="126" t="s">
        <v>81</v>
      </c>
      <c r="D105" s="126" t="s">
        <v>197</v>
      </c>
      <c r="E105" s="65" t="s">
        <v>1179</v>
      </c>
      <c r="G105" s="165">
        <v>45033.495833333334</v>
      </c>
      <c r="H105" s="165">
        <v>45033.495833333334</v>
      </c>
      <c r="I105" s="65" t="s">
        <v>443</v>
      </c>
      <c r="J105" s="126" t="s">
        <v>192</v>
      </c>
      <c r="K105" s="126" t="s">
        <v>192</v>
      </c>
      <c r="L105" s="126" t="s">
        <v>1306</v>
      </c>
      <c r="M105" s="167"/>
      <c r="N105" s="126" t="s">
        <v>1307</v>
      </c>
      <c r="O105" s="126" t="s">
        <v>1308</v>
      </c>
      <c r="P105" s="126" t="s">
        <v>81</v>
      </c>
      <c r="Q105" s="181">
        <v>5500</v>
      </c>
      <c r="R105" s="181">
        <v>5028</v>
      </c>
      <c r="S105" s="181"/>
      <c r="AH105" s="181">
        <f t="shared" si="37"/>
        <v>5028</v>
      </c>
      <c r="AW105" s="165">
        <f t="shared" si="21"/>
        <v>45030.104166666664</v>
      </c>
      <c r="AX105" s="165">
        <f t="shared" si="22"/>
        <v>45045.583333333336</v>
      </c>
      <c r="AY105" s="137">
        <f t="shared" si="23"/>
        <v>15.479166666671517</v>
      </c>
      <c r="AZ105" s="165">
        <v>45030.104166666664</v>
      </c>
      <c r="BA105" s="165">
        <v>45035.197916666664</v>
      </c>
      <c r="BB105" s="165">
        <v>45035.5</v>
      </c>
      <c r="BC105" s="165">
        <v>45035.586805555555</v>
      </c>
      <c r="BD105" s="165">
        <v>45036.479166666664</v>
      </c>
      <c r="BE105" s="165">
        <v>45036.576388888891</v>
      </c>
      <c r="BF105" s="165">
        <v>45037.084722222222</v>
      </c>
      <c r="BG105" s="165">
        <v>45037.084722222222</v>
      </c>
      <c r="BH105" s="166" t="s">
        <v>196</v>
      </c>
      <c r="BI105" s="166" t="s">
        <v>196</v>
      </c>
      <c r="BJ105" s="166" t="s">
        <v>196</v>
      </c>
      <c r="BK105" s="165">
        <v>45038.75</v>
      </c>
      <c r="BL105" s="165">
        <v>45044.3125</v>
      </c>
      <c r="BM105" s="165">
        <v>45044.503472222219</v>
      </c>
      <c r="BN105" s="165">
        <v>45044.666666666664</v>
      </c>
      <c r="BO105" s="165">
        <v>45044.986111111109</v>
      </c>
      <c r="BP105" s="165">
        <v>45045.583333333336</v>
      </c>
      <c r="BQ105" s="126" t="s">
        <v>1309</v>
      </c>
      <c r="BS105" s="136">
        <f t="shared" si="24"/>
        <v>7.2500000000582077</v>
      </c>
      <c r="BT105" s="136">
        <f t="shared" si="25"/>
        <v>21.416666666627862</v>
      </c>
      <c r="BU105" s="136">
        <f t="shared" si="26"/>
        <v>0</v>
      </c>
      <c r="BV105" s="136">
        <f t="shared" si="36"/>
        <v>39.966666666674428</v>
      </c>
      <c r="BW105" s="135">
        <f t="shared" si="27"/>
        <v>4.5833333332557231</v>
      </c>
      <c r="BX105" s="135">
        <f t="shared" si="28"/>
        <v>14.333333333430346</v>
      </c>
      <c r="BY105" s="134">
        <f t="shared" si="29"/>
        <v>3.6479166666686069</v>
      </c>
      <c r="BZ105" s="134">
        <f t="shared" si="30"/>
        <v>15.479166666671517</v>
      </c>
      <c r="CA105" s="133">
        <f t="shared" si="31"/>
        <v>0.23566621803504476</v>
      </c>
    </row>
    <row r="106" spans="1:79" s="126" customFormat="1">
      <c r="A106" s="192">
        <f t="shared" si="33"/>
        <v>45040.055555555555</v>
      </c>
      <c r="B106" s="126" t="s">
        <v>188</v>
      </c>
      <c r="C106" s="126" t="s">
        <v>81</v>
      </c>
      <c r="D106" s="126" t="s">
        <v>197</v>
      </c>
      <c r="E106" s="65" t="s">
        <v>1179</v>
      </c>
      <c r="G106" s="165">
        <v>45033.495833333334</v>
      </c>
      <c r="H106" s="165">
        <v>45033.495833333334</v>
      </c>
      <c r="I106" s="65" t="s">
        <v>443</v>
      </c>
      <c r="J106" s="126" t="s">
        <v>192</v>
      </c>
      <c r="K106" s="126" t="s">
        <v>192</v>
      </c>
      <c r="L106" s="126" t="s">
        <v>1310</v>
      </c>
      <c r="M106" s="167"/>
      <c r="N106" s="126" t="s">
        <v>383</v>
      </c>
      <c r="O106" s="126" t="s">
        <v>384</v>
      </c>
      <c r="P106" s="126" t="s">
        <v>81</v>
      </c>
      <c r="Q106" s="181">
        <v>5500</v>
      </c>
      <c r="R106" s="181">
        <v>5102</v>
      </c>
      <c r="S106" s="181"/>
      <c r="AH106" s="181">
        <f t="shared" si="37"/>
        <v>5102</v>
      </c>
      <c r="AW106" s="165">
        <f t="shared" si="21"/>
        <v>45037.069444444445</v>
      </c>
      <c r="AX106" s="165">
        <f t="shared" si="22"/>
        <v>45045.763888888891</v>
      </c>
      <c r="AY106" s="137">
        <f t="shared" si="23"/>
        <v>8.6944444444452529</v>
      </c>
      <c r="AZ106" s="165">
        <v>45037.069444444445</v>
      </c>
      <c r="BA106" s="165">
        <v>45037.583333333336</v>
      </c>
      <c r="BB106" s="165">
        <v>45038.180555555555</v>
      </c>
      <c r="BC106" s="165">
        <v>45040.055555555555</v>
      </c>
      <c r="BD106" s="165">
        <v>45040.826388888891</v>
      </c>
      <c r="BE106" s="165">
        <v>45040.875</v>
      </c>
      <c r="BF106" s="165">
        <v>45042.75277777778</v>
      </c>
      <c r="BG106" s="165">
        <v>45042.75277777778</v>
      </c>
      <c r="BH106" s="166" t="s">
        <v>196</v>
      </c>
      <c r="BI106" s="166" t="s">
        <v>196</v>
      </c>
      <c r="BJ106" s="166" t="s">
        <v>196</v>
      </c>
      <c r="BK106" s="165">
        <v>45044.208333333336</v>
      </c>
      <c r="BL106" s="165">
        <v>45045.072916666664</v>
      </c>
      <c r="BM106" s="165">
        <v>45045.274305555555</v>
      </c>
      <c r="BN106" s="165">
        <v>45045.309027777781</v>
      </c>
      <c r="BO106" s="165">
        <v>45045.3125</v>
      </c>
      <c r="BP106" s="165">
        <v>45045.763888888891</v>
      </c>
      <c r="BS106" s="136">
        <f t="shared" si="24"/>
        <v>14.333333333255723</v>
      </c>
      <c r="BT106" s="136">
        <f t="shared" si="25"/>
        <v>18.500000000058208</v>
      </c>
      <c r="BU106" s="136">
        <f t="shared" si="26"/>
        <v>0</v>
      </c>
      <c r="BV106" s="136">
        <f t="shared" si="36"/>
        <v>34.933333333348855</v>
      </c>
      <c r="BW106" s="135">
        <f t="shared" si="27"/>
        <v>4.8333333333721384</v>
      </c>
      <c r="BX106" s="135">
        <f t="shared" si="28"/>
        <v>10.833333333372138</v>
      </c>
      <c r="BY106" s="134">
        <f t="shared" si="29"/>
        <v>3.476388888891961</v>
      </c>
      <c r="BZ106" s="134">
        <f t="shared" si="30"/>
        <v>8.6944444444452529</v>
      </c>
      <c r="CA106" s="133">
        <f t="shared" si="31"/>
        <v>0.39984025559137049</v>
      </c>
    </row>
    <row r="107" spans="1:79" s="126" customFormat="1">
      <c r="A107" s="192">
        <f t="shared" si="33"/>
        <v>45024.049305555556</v>
      </c>
      <c r="B107" s="126" t="s">
        <v>188</v>
      </c>
      <c r="C107" s="126" t="s">
        <v>87</v>
      </c>
      <c r="D107" s="126" t="s">
        <v>215</v>
      </c>
      <c r="E107" s="65" t="s">
        <v>1207</v>
      </c>
      <c r="G107" s="73">
        <v>45016.291666666664</v>
      </c>
      <c r="H107" s="73">
        <v>45016.208333333336</v>
      </c>
      <c r="I107" s="126" t="s">
        <v>751</v>
      </c>
      <c r="J107" s="126" t="s">
        <v>192</v>
      </c>
      <c r="K107" s="126" t="s">
        <v>192</v>
      </c>
      <c r="L107" s="126" t="s">
        <v>1311</v>
      </c>
      <c r="M107" s="167"/>
      <c r="N107" s="126" t="s">
        <v>403</v>
      </c>
      <c r="O107" s="126" t="s">
        <v>404</v>
      </c>
      <c r="P107" s="126" t="s">
        <v>1164</v>
      </c>
      <c r="Q107" s="181">
        <f>3107*2.4</f>
        <v>7456.7999999999993</v>
      </c>
      <c r="R107" s="181">
        <v>7516.3739999999998</v>
      </c>
      <c r="S107" s="181"/>
      <c r="AG107" s="181">
        <f>R107</f>
        <v>7516.3739999999998</v>
      </c>
      <c r="AW107" s="165">
        <f t="shared" si="21"/>
        <v>45023.899305555555</v>
      </c>
      <c r="AX107" s="165">
        <f t="shared" si="22"/>
        <v>45030.524305555555</v>
      </c>
      <c r="AY107" s="137">
        <f t="shared" si="23"/>
        <v>6.625</v>
      </c>
      <c r="AZ107" s="165">
        <v>45023.899305555555</v>
      </c>
      <c r="BA107" s="165">
        <v>45023.899305555555</v>
      </c>
      <c r="BB107" s="165">
        <v>45023.996527777781</v>
      </c>
      <c r="BC107" s="165">
        <v>45024.049305555556</v>
      </c>
      <c r="BD107" s="165">
        <v>45024.177083333336</v>
      </c>
      <c r="BE107" s="165">
        <v>45024.189583333333</v>
      </c>
      <c r="BF107" s="165">
        <v>45024.913194444445</v>
      </c>
      <c r="BG107" s="165">
        <v>45024.913194444445</v>
      </c>
      <c r="BH107" s="166" t="s">
        <v>196</v>
      </c>
      <c r="BI107" s="166" t="s">
        <v>196</v>
      </c>
      <c r="BJ107" s="166" t="s">
        <v>196</v>
      </c>
      <c r="BK107" s="165">
        <v>45025.159722222219</v>
      </c>
      <c r="BL107" s="165">
        <v>45029.548611111109</v>
      </c>
      <c r="BM107" s="165">
        <v>45030.138888888891</v>
      </c>
      <c r="BN107" s="165">
        <v>45030.152777777781</v>
      </c>
      <c r="BO107" s="165">
        <v>45030.152777777781</v>
      </c>
      <c r="BP107" s="165">
        <v>45030.524305555555</v>
      </c>
      <c r="BS107" s="136">
        <f t="shared" si="24"/>
        <v>2.3333333334303461</v>
      </c>
      <c r="BT107" s="136">
        <f t="shared" si="25"/>
        <v>3.0666666667093523</v>
      </c>
      <c r="BU107" s="136">
        <f t="shared" si="26"/>
        <v>0</v>
      </c>
      <c r="BV107" s="136">
        <f t="shared" si="36"/>
        <v>5.9166666665696539</v>
      </c>
      <c r="BW107" s="135">
        <f t="shared" si="27"/>
        <v>14.166666666744277</v>
      </c>
      <c r="BX107" s="135">
        <f t="shared" si="28"/>
        <v>8.9166666665696539</v>
      </c>
      <c r="BY107" s="134">
        <f t="shared" si="29"/>
        <v>1.4333333333343035</v>
      </c>
      <c r="BZ107" s="134">
        <f t="shared" si="30"/>
        <v>6.625</v>
      </c>
      <c r="CA107" s="133">
        <f t="shared" si="31"/>
        <v>0.21635220125800808</v>
      </c>
    </row>
    <row r="108" spans="1:79" s="126" customFormat="1">
      <c r="A108" s="192">
        <f t="shared" si="33"/>
        <v>45028.591666666667</v>
      </c>
      <c r="B108" s="126" t="s">
        <v>188</v>
      </c>
      <c r="C108" s="126" t="s">
        <v>87</v>
      </c>
      <c r="D108" s="126" t="s">
        <v>197</v>
      </c>
      <c r="E108" s="65" t="s">
        <v>1184</v>
      </c>
      <c r="G108" s="73">
        <v>45026.083333333336</v>
      </c>
      <c r="H108" s="73">
        <v>45026.107638888891</v>
      </c>
      <c r="I108" s="126" t="s">
        <v>751</v>
      </c>
      <c r="J108" s="126" t="s">
        <v>192</v>
      </c>
      <c r="K108" s="126" t="s">
        <v>192</v>
      </c>
      <c r="L108" s="126" t="s">
        <v>1312</v>
      </c>
      <c r="M108" s="167"/>
      <c r="N108" s="126" t="s">
        <v>1313</v>
      </c>
      <c r="O108" s="126" t="s">
        <v>438</v>
      </c>
      <c r="P108" s="126" t="s">
        <v>611</v>
      </c>
      <c r="Q108" s="181">
        <f>3142*2.4</f>
        <v>7540.7999999999993</v>
      </c>
      <c r="R108" s="181">
        <v>7505.5659999999998</v>
      </c>
      <c r="S108" s="181"/>
      <c r="AC108" s="181">
        <f>R108</f>
        <v>7505.5659999999998</v>
      </c>
      <c r="AW108" s="165">
        <f t="shared" si="21"/>
        <v>45026.815972222219</v>
      </c>
      <c r="AX108" s="165">
        <f t="shared" si="22"/>
        <v>45035.708333333336</v>
      </c>
      <c r="AY108" s="137">
        <f t="shared" si="23"/>
        <v>8.8923611111167702</v>
      </c>
      <c r="AZ108" s="165">
        <v>45026.815972222219</v>
      </c>
      <c r="BA108" s="165">
        <v>45026.815972222219</v>
      </c>
      <c r="BB108" s="165">
        <v>45026.861111111109</v>
      </c>
      <c r="BC108" s="165">
        <v>45028.591666666667</v>
      </c>
      <c r="BD108" s="165">
        <v>45028.723611111112</v>
      </c>
      <c r="BE108" s="165">
        <v>45028.729166666664</v>
      </c>
      <c r="BF108" s="165">
        <v>45030.076388888891</v>
      </c>
      <c r="BG108" s="165">
        <v>45030.076388888891</v>
      </c>
      <c r="BH108" s="166" t="s">
        <v>196</v>
      </c>
      <c r="BI108" s="166" t="s">
        <v>196</v>
      </c>
      <c r="BJ108" s="166" t="s">
        <v>196</v>
      </c>
      <c r="BK108" s="165">
        <v>45030.354166666664</v>
      </c>
      <c r="BL108" s="165">
        <v>45034.3125</v>
      </c>
      <c r="BM108" s="165">
        <v>45034.527777777781</v>
      </c>
      <c r="BN108" s="165">
        <v>45034.548611111109</v>
      </c>
      <c r="BO108" s="165">
        <v>45035.25</v>
      </c>
      <c r="BP108" s="165">
        <v>45035.708333333336</v>
      </c>
      <c r="BS108" s="136">
        <f t="shared" si="24"/>
        <v>1.0833333333721384</v>
      </c>
      <c r="BT108" s="136">
        <f t="shared" si="25"/>
        <v>3.1666666666860692</v>
      </c>
      <c r="BU108" s="136">
        <f t="shared" si="26"/>
        <v>0</v>
      </c>
      <c r="BV108" s="136">
        <f t="shared" si="36"/>
        <v>6.6666666665696539</v>
      </c>
      <c r="BW108" s="135">
        <f t="shared" si="27"/>
        <v>5.1666666667442769</v>
      </c>
      <c r="BX108" s="135">
        <f t="shared" si="28"/>
        <v>11.000000000058208</v>
      </c>
      <c r="BY108" s="134">
        <f t="shared" si="29"/>
        <v>1.1284722222262644</v>
      </c>
      <c r="BZ108" s="134">
        <f t="shared" si="30"/>
        <v>8.8923611111167702</v>
      </c>
      <c r="CA108" s="133">
        <f t="shared" si="31"/>
        <v>0.12690355329986619</v>
      </c>
    </row>
    <row r="109" spans="1:79" s="126" customFormat="1">
      <c r="A109" s="192">
        <f t="shared" si="33"/>
        <v>45033.75</v>
      </c>
      <c r="B109" s="126" t="s">
        <v>188</v>
      </c>
      <c r="C109" s="126" t="s">
        <v>87</v>
      </c>
      <c r="D109" s="126" t="s">
        <v>215</v>
      </c>
      <c r="E109" s="126" t="s">
        <v>1244</v>
      </c>
      <c r="G109" s="165">
        <v>45036.708333333336</v>
      </c>
      <c r="H109" s="165">
        <v>45036.708333333336</v>
      </c>
      <c r="I109" s="126" t="s">
        <v>751</v>
      </c>
      <c r="J109" s="126" t="s">
        <v>192</v>
      </c>
      <c r="K109" s="126" t="s">
        <v>192</v>
      </c>
      <c r="L109" s="126" t="s">
        <v>1314</v>
      </c>
      <c r="M109" s="167"/>
      <c r="N109" s="126" t="s">
        <v>1230</v>
      </c>
      <c r="O109" s="126" t="s">
        <v>1231</v>
      </c>
      <c r="P109" s="126" t="s">
        <v>611</v>
      </c>
      <c r="Q109" s="181">
        <f>3107*2.4</f>
        <v>7456.7999999999993</v>
      </c>
      <c r="R109" s="262">
        <v>7510.7569999999996</v>
      </c>
      <c r="S109" s="181"/>
      <c r="AC109" s="181">
        <f>R109</f>
        <v>7510.7569999999996</v>
      </c>
      <c r="AW109" s="165">
        <f t="shared" si="21"/>
        <v>45033.21875</v>
      </c>
      <c r="AX109" s="165">
        <f t="shared" si="22"/>
        <v>45040.986111111109</v>
      </c>
      <c r="AY109" s="137">
        <f t="shared" si="23"/>
        <v>7.7673611111094942</v>
      </c>
      <c r="AZ109" s="165">
        <v>45033.21875</v>
      </c>
      <c r="BA109" s="165">
        <v>45033.21875</v>
      </c>
      <c r="BB109" s="165">
        <v>45033.260416666664</v>
      </c>
      <c r="BC109" s="165">
        <v>45033.75</v>
      </c>
      <c r="BD109" s="165">
        <v>45033.919444444444</v>
      </c>
      <c r="BE109" s="165">
        <v>45033.926388888889</v>
      </c>
      <c r="BF109" s="165">
        <v>45034.996527777781</v>
      </c>
      <c r="BG109" s="165">
        <v>45034.996527777781</v>
      </c>
      <c r="BH109" s="166" t="s">
        <v>196</v>
      </c>
      <c r="BI109" s="166" t="s">
        <v>196</v>
      </c>
      <c r="BJ109" s="166" t="s">
        <v>196</v>
      </c>
      <c r="BK109" s="165">
        <v>45035.395833333336</v>
      </c>
      <c r="BL109" s="165">
        <v>45040.1875</v>
      </c>
      <c r="BM109" s="165">
        <v>45040.361111111109</v>
      </c>
      <c r="BN109" s="165">
        <v>45040.381944444445</v>
      </c>
      <c r="BO109" s="165">
        <v>45040.729166666664</v>
      </c>
      <c r="BP109" s="165">
        <v>45040.986111111109</v>
      </c>
      <c r="BS109" s="136">
        <f t="shared" si="24"/>
        <v>0.99999999994179234</v>
      </c>
      <c r="BT109" s="136">
        <f t="shared" si="25"/>
        <v>4.0666666666511446</v>
      </c>
      <c r="BU109" s="136">
        <f t="shared" si="26"/>
        <v>0</v>
      </c>
      <c r="BV109" s="136">
        <f t="shared" si="36"/>
        <v>9.5833333333139308</v>
      </c>
      <c r="BW109" s="135">
        <f t="shared" si="27"/>
        <v>4.1666666666278616</v>
      </c>
      <c r="BX109" s="135">
        <f t="shared" si="28"/>
        <v>6.1666666666860692</v>
      </c>
      <c r="BY109" s="134">
        <f t="shared" si="29"/>
        <v>1.0409722222175333</v>
      </c>
      <c r="BZ109" s="134">
        <f t="shared" si="30"/>
        <v>7.7673611111094942</v>
      </c>
      <c r="CA109" s="133">
        <f t="shared" si="31"/>
        <v>0.13401877514470809</v>
      </c>
    </row>
    <row r="110" spans="1:79" s="126" customFormat="1">
      <c r="A110" s="192">
        <f t="shared" si="33"/>
        <v>45035.416666666664</v>
      </c>
      <c r="B110" s="126" t="s">
        <v>188</v>
      </c>
      <c r="C110" s="126" t="s">
        <v>87</v>
      </c>
      <c r="D110" s="126" t="s">
        <v>197</v>
      </c>
      <c r="E110" s="126" t="s">
        <v>1244</v>
      </c>
      <c r="G110" s="165">
        <v>45036.708333333336</v>
      </c>
      <c r="H110" s="165">
        <v>45036.708333333336</v>
      </c>
      <c r="I110" s="126" t="s">
        <v>751</v>
      </c>
      <c r="J110" s="126" t="s">
        <v>192</v>
      </c>
      <c r="K110" s="126" t="s">
        <v>192</v>
      </c>
      <c r="L110" s="126" t="s">
        <v>1315</v>
      </c>
      <c r="M110" s="167"/>
      <c r="N110" s="126" t="s">
        <v>339</v>
      </c>
      <c r="O110" s="126" t="s">
        <v>340</v>
      </c>
      <c r="P110" s="126" t="s">
        <v>611</v>
      </c>
      <c r="Q110" s="181">
        <f>3141*2.4</f>
        <v>7538.4</v>
      </c>
      <c r="R110" s="181">
        <v>7523.8419999999996</v>
      </c>
      <c r="S110" s="181"/>
      <c r="AC110" s="181">
        <f>R110</f>
        <v>7523.8419999999996</v>
      </c>
      <c r="AW110" s="165">
        <f t="shared" si="21"/>
        <v>45035.319444444445</v>
      </c>
      <c r="AX110" s="165">
        <f t="shared" si="22"/>
        <v>45041.427083333336</v>
      </c>
      <c r="AY110" s="137">
        <f t="shared" si="23"/>
        <v>6.1076388888905058</v>
      </c>
      <c r="AZ110" s="165">
        <v>45035.319444444445</v>
      </c>
      <c r="BA110" s="165">
        <v>45035.319444444445</v>
      </c>
      <c r="BB110" s="165">
        <v>45035.319444444445</v>
      </c>
      <c r="BC110" s="165">
        <v>45035.416666666664</v>
      </c>
      <c r="BD110" s="165">
        <v>45035.583333333336</v>
      </c>
      <c r="BE110" s="165">
        <v>45035.590277777781</v>
      </c>
      <c r="BF110" s="165">
        <v>45036.96875</v>
      </c>
      <c r="BG110" s="165">
        <v>45036.96875</v>
      </c>
      <c r="BH110" s="166" t="s">
        <v>196</v>
      </c>
      <c r="BI110" s="166" t="s">
        <v>196</v>
      </c>
      <c r="BJ110" s="166" t="s">
        <v>196</v>
      </c>
      <c r="BK110" s="165">
        <v>45037.25</v>
      </c>
      <c r="BL110" s="165">
        <v>45040.611111111109</v>
      </c>
      <c r="BM110" s="165">
        <v>45040.902777777781</v>
      </c>
      <c r="BN110" s="165">
        <v>45040.923611111109</v>
      </c>
      <c r="BO110" s="165">
        <v>45041.166666666664</v>
      </c>
      <c r="BP110" s="165">
        <v>45041.427083333336</v>
      </c>
      <c r="BS110" s="136">
        <f t="shared" si="24"/>
        <v>0</v>
      </c>
      <c r="BT110" s="136">
        <f t="shared" si="25"/>
        <v>4.0000000001164153</v>
      </c>
      <c r="BU110" s="136">
        <f t="shared" si="26"/>
        <v>0</v>
      </c>
      <c r="BV110" s="136">
        <f t="shared" si="36"/>
        <v>6.75</v>
      </c>
      <c r="BW110" s="135">
        <f t="shared" si="27"/>
        <v>7.0000000001164153</v>
      </c>
      <c r="BX110" s="135">
        <f t="shared" si="28"/>
        <v>6.2500000001164153</v>
      </c>
      <c r="BY110" s="134">
        <f t="shared" si="29"/>
        <v>1.0000000000145519</v>
      </c>
      <c r="BZ110" s="134">
        <f t="shared" si="30"/>
        <v>6.1076388888905058</v>
      </c>
      <c r="CA110" s="133">
        <f t="shared" si="31"/>
        <v>0.16372939170216869</v>
      </c>
    </row>
    <row r="111" spans="1:79" s="126" customFormat="1">
      <c r="A111" s="192">
        <f t="shared" si="33"/>
        <v>45044.767361111109</v>
      </c>
      <c r="B111" s="126" t="s">
        <v>188</v>
      </c>
      <c r="C111" s="126" t="s">
        <v>87</v>
      </c>
      <c r="D111" s="126" t="s">
        <v>197</v>
      </c>
      <c r="E111" s="65" t="s">
        <v>1280</v>
      </c>
      <c r="G111" s="73">
        <v>45041.458333333336</v>
      </c>
      <c r="H111" s="73">
        <v>45041.458333333336</v>
      </c>
      <c r="I111" s="126" t="s">
        <v>751</v>
      </c>
      <c r="J111" s="126" t="s">
        <v>192</v>
      </c>
      <c r="K111" s="126" t="s">
        <v>192</v>
      </c>
      <c r="L111" s="126" t="s">
        <v>1316</v>
      </c>
      <c r="M111" s="167"/>
      <c r="N111" s="126" t="s">
        <v>377</v>
      </c>
      <c r="O111" s="126" t="s">
        <v>378</v>
      </c>
      <c r="P111" s="126" t="s">
        <v>1164</v>
      </c>
      <c r="Q111" s="181">
        <f>3271*2.4</f>
        <v>7850.4</v>
      </c>
      <c r="R111" s="181">
        <v>7514.4290000000001</v>
      </c>
      <c r="S111" s="181"/>
      <c r="AG111" s="181">
        <f>R111</f>
        <v>7514.4290000000001</v>
      </c>
      <c r="AW111" s="165">
        <f t="shared" si="21"/>
        <v>45044.201388888891</v>
      </c>
      <c r="AX111" s="165">
        <f t="shared" si="22"/>
        <v>45049.291666666664</v>
      </c>
      <c r="AY111" s="137">
        <f t="shared" si="23"/>
        <v>5.0902777777737356</v>
      </c>
      <c r="AZ111" s="165">
        <v>45044.201388888891</v>
      </c>
      <c r="BA111" s="165">
        <v>45044.201388888891</v>
      </c>
      <c r="BB111" s="165">
        <v>45044.229166666664</v>
      </c>
      <c r="BC111" s="165">
        <v>45044.767361111109</v>
      </c>
      <c r="BD111" s="165">
        <v>45044.900694444441</v>
      </c>
      <c r="BE111" s="165">
        <v>45044.909722222219</v>
      </c>
      <c r="BF111" s="165">
        <v>45046.097222222219</v>
      </c>
      <c r="BG111" s="165">
        <v>45046.097222222219</v>
      </c>
      <c r="BH111" s="166" t="s">
        <v>196</v>
      </c>
      <c r="BI111" s="166" t="s">
        <v>196</v>
      </c>
      <c r="BJ111" s="166" t="s">
        <v>196</v>
      </c>
      <c r="BK111" s="165">
        <v>45046.3125</v>
      </c>
      <c r="BL111" s="165">
        <v>45048.263888888883</v>
      </c>
      <c r="BM111" s="165">
        <v>45048.923611111109</v>
      </c>
      <c r="BN111" s="165">
        <v>45048.944444444445</v>
      </c>
      <c r="BO111" s="165">
        <v>45049.0625</v>
      </c>
      <c r="BP111" s="165">
        <v>45049.291666666664</v>
      </c>
      <c r="BS111" s="136">
        <f t="shared" si="24"/>
        <v>0.6666666665696539</v>
      </c>
      <c r="BT111" s="136">
        <f t="shared" si="25"/>
        <v>3.1999999999534339</v>
      </c>
      <c r="BU111" s="136">
        <f t="shared" si="26"/>
        <v>0</v>
      </c>
      <c r="BV111" s="136">
        <f t="shared" si="36"/>
        <v>5.1666666667442769</v>
      </c>
      <c r="BW111" s="135">
        <f t="shared" si="27"/>
        <v>15.833333333430346</v>
      </c>
      <c r="BX111" s="135">
        <f t="shared" si="28"/>
        <v>5.4999999999417923</v>
      </c>
      <c r="BY111" s="134">
        <f t="shared" si="29"/>
        <v>1.265277777776646</v>
      </c>
      <c r="BZ111" s="134">
        <f t="shared" si="30"/>
        <v>5.0902777777737356</v>
      </c>
      <c r="CA111" s="133">
        <f t="shared" si="31"/>
        <v>0.24856753069574583</v>
      </c>
    </row>
    <row r="112" spans="1:79" s="126" customFormat="1">
      <c r="A112" s="192">
        <f t="shared" si="33"/>
        <v>45046.353472222225</v>
      </c>
      <c r="B112" s="126" t="s">
        <v>188</v>
      </c>
      <c r="C112" s="126" t="s">
        <v>87</v>
      </c>
      <c r="D112" s="126" t="s">
        <v>215</v>
      </c>
      <c r="E112" s="65" t="s">
        <v>1280</v>
      </c>
      <c r="G112" s="73">
        <v>45041.458333333336</v>
      </c>
      <c r="H112" s="73">
        <v>45041.458333333336</v>
      </c>
      <c r="I112" s="126" t="s">
        <v>751</v>
      </c>
      <c r="J112" s="126" t="s">
        <v>192</v>
      </c>
      <c r="K112" s="126" t="s">
        <v>192</v>
      </c>
      <c r="L112" s="126" t="s">
        <v>1317</v>
      </c>
      <c r="M112" s="167"/>
      <c r="N112" s="126" t="s">
        <v>403</v>
      </c>
      <c r="O112" s="126" t="s">
        <v>404</v>
      </c>
      <c r="P112" s="126" t="s">
        <v>1164</v>
      </c>
      <c r="Q112" s="181">
        <f>3107*2.4</f>
        <v>7456.7999999999993</v>
      </c>
      <c r="R112" s="181">
        <v>7528.732</v>
      </c>
      <c r="S112" s="181"/>
      <c r="AG112" s="181">
        <f>R112</f>
        <v>7528.732</v>
      </c>
      <c r="AW112" s="165">
        <f t="shared" si="21"/>
        <v>45045.628472222219</v>
      </c>
      <c r="AX112" s="165">
        <f t="shared" si="22"/>
        <v>45050.305555555555</v>
      </c>
      <c r="AY112" s="137">
        <f t="shared" si="23"/>
        <v>4.6770833333357587</v>
      </c>
      <c r="AZ112" s="165">
        <v>45045.628472222219</v>
      </c>
      <c r="BA112" s="165">
        <v>45045.628472222219</v>
      </c>
      <c r="BB112" s="165">
        <v>45045.645833333336</v>
      </c>
      <c r="BC112" s="165">
        <v>45046.353472222225</v>
      </c>
      <c r="BD112" s="165">
        <v>45046.479166666664</v>
      </c>
      <c r="BE112" s="165">
        <v>45046.486111111109</v>
      </c>
      <c r="BF112" s="165">
        <v>45047.166666666664</v>
      </c>
      <c r="BG112" s="165">
        <v>45047.166666666664</v>
      </c>
      <c r="BH112" s="166" t="s">
        <v>196</v>
      </c>
      <c r="BI112" s="166" t="s">
        <v>196</v>
      </c>
      <c r="BJ112" s="166" t="s">
        <v>196</v>
      </c>
      <c r="BK112" s="165">
        <v>45047.416666666664</v>
      </c>
      <c r="BL112" s="165">
        <v>45049.291666666664</v>
      </c>
      <c r="BM112" s="165">
        <v>45049.729166666664</v>
      </c>
      <c r="BN112" s="165">
        <v>45049.743055555555</v>
      </c>
      <c r="BO112" s="165">
        <v>45050.083333333336</v>
      </c>
      <c r="BP112" s="165">
        <v>45050.305555555555</v>
      </c>
      <c r="BS112" s="136">
        <f t="shared" si="24"/>
        <v>0.41666666680248454</v>
      </c>
      <c r="BT112" s="136">
        <f t="shared" si="25"/>
        <v>3.0166666665463708</v>
      </c>
      <c r="BU112" s="136">
        <f t="shared" si="26"/>
        <v>0</v>
      </c>
      <c r="BV112" s="136">
        <f t="shared" si="36"/>
        <v>6</v>
      </c>
      <c r="BW112" s="135">
        <f t="shared" si="27"/>
        <v>10.5</v>
      </c>
      <c r="BX112" s="135">
        <f t="shared" si="28"/>
        <v>5.3333333332557231</v>
      </c>
      <c r="BY112" s="134">
        <f t="shared" si="29"/>
        <v>1.0527777777751908</v>
      </c>
      <c r="BZ112" s="134">
        <f t="shared" si="30"/>
        <v>4.6770833333357587</v>
      </c>
      <c r="CA112" s="133">
        <f t="shared" si="31"/>
        <v>0.22509279881150535</v>
      </c>
    </row>
    <row r="113" spans="1:79" s="126" customFormat="1">
      <c r="A113" s="192">
        <f t="shared" si="33"/>
        <v>45015.920138888891</v>
      </c>
      <c r="B113" s="126" t="s">
        <v>188</v>
      </c>
      <c r="C113" s="126" t="s">
        <v>181</v>
      </c>
      <c r="D113" s="126" t="s">
        <v>189</v>
      </c>
      <c r="E113" s="65" t="s">
        <v>1072</v>
      </c>
      <c r="G113" s="73">
        <v>45035.25</v>
      </c>
      <c r="H113" s="73">
        <v>45035.229166666664</v>
      </c>
      <c r="I113" s="65" t="s">
        <v>448</v>
      </c>
      <c r="J113" s="126" t="s">
        <v>192</v>
      </c>
      <c r="K113" s="126" t="s">
        <v>192</v>
      </c>
      <c r="L113" s="126" t="s">
        <v>1318</v>
      </c>
      <c r="M113" s="167"/>
      <c r="N113" s="126" t="s">
        <v>1319</v>
      </c>
      <c r="O113" s="126" t="s">
        <v>1320</v>
      </c>
      <c r="P113" s="126" t="s">
        <v>181</v>
      </c>
      <c r="Q113" s="181">
        <v>7500</v>
      </c>
      <c r="R113" s="181">
        <v>7740.8059999999996</v>
      </c>
      <c r="S113" s="181"/>
      <c r="AJ113" s="181">
        <f>R113</f>
        <v>7740.8059999999996</v>
      </c>
      <c r="AW113" s="165">
        <f t="shared" si="21"/>
        <v>45015.631944444445</v>
      </c>
      <c r="AX113" s="165">
        <f t="shared" si="22"/>
        <v>45034.951388888891</v>
      </c>
      <c r="AY113" s="137">
        <f t="shared" si="23"/>
        <v>19.319444444445253</v>
      </c>
      <c r="AZ113" s="165">
        <v>45015.631944444445</v>
      </c>
      <c r="BA113" s="165">
        <v>45015.631944444445</v>
      </c>
      <c r="BB113" s="165">
        <v>45015.631944444445</v>
      </c>
      <c r="BC113" s="165">
        <v>45015.920138888891</v>
      </c>
      <c r="BD113" s="165">
        <v>45018.920138888891</v>
      </c>
      <c r="BE113" s="165">
        <v>45019.697916666664</v>
      </c>
      <c r="BF113" s="165">
        <v>45019.697916666664</v>
      </c>
      <c r="BG113" s="165">
        <v>45019.697916666664</v>
      </c>
      <c r="BH113" s="166" t="s">
        <v>196</v>
      </c>
      <c r="BI113" s="166" t="s">
        <v>196</v>
      </c>
      <c r="BJ113" s="166" t="s">
        <v>196</v>
      </c>
      <c r="BK113" s="165">
        <v>45022.006944444445</v>
      </c>
      <c r="BL113" s="165">
        <v>45034.128472222219</v>
      </c>
      <c r="BM113" s="165">
        <v>45034.930555555555</v>
      </c>
      <c r="BN113" s="165">
        <v>45034.951388888891</v>
      </c>
      <c r="BO113" s="165">
        <v>45034.951388888891</v>
      </c>
      <c r="BP113" s="165">
        <v>45034.951388888891</v>
      </c>
      <c r="BS113" s="136">
        <f t="shared" si="24"/>
        <v>0</v>
      </c>
      <c r="BT113" s="136">
        <f t="shared" si="25"/>
        <v>72</v>
      </c>
      <c r="BU113" s="136">
        <f t="shared" si="26"/>
        <v>0</v>
      </c>
      <c r="BV113" s="136">
        <f t="shared" si="36"/>
        <v>55.416666666744277</v>
      </c>
      <c r="BW113" s="135">
        <f t="shared" si="27"/>
        <v>19.250000000058208</v>
      </c>
      <c r="BX113" s="135">
        <f t="shared" si="28"/>
        <v>0</v>
      </c>
      <c r="BY113" s="134">
        <f t="shared" si="29"/>
        <v>6.1111111111167702</v>
      </c>
      <c r="BZ113" s="134">
        <f t="shared" si="30"/>
        <v>19.319444444445253</v>
      </c>
      <c r="CA113" s="133">
        <f t="shared" si="31"/>
        <v>0.31631919482414739</v>
      </c>
    </row>
    <row r="114" spans="1:79" s="126" customFormat="1" ht="14.4" customHeight="1">
      <c r="A114" s="192">
        <f t="shared" si="33"/>
        <v>45027.055555555555</v>
      </c>
      <c r="B114" s="126" t="s">
        <v>188</v>
      </c>
      <c r="C114" s="126" t="s">
        <v>181</v>
      </c>
      <c r="D114" s="126" t="s">
        <v>189</v>
      </c>
      <c r="E114" s="126" t="s">
        <v>1246</v>
      </c>
      <c r="G114" s="73">
        <v>45030.541666666664</v>
      </c>
      <c r="H114" s="73">
        <v>45030.525000000001</v>
      </c>
      <c r="I114" s="126" t="s">
        <v>448</v>
      </c>
      <c r="J114" s="126" t="s">
        <v>192</v>
      </c>
      <c r="K114" s="126" t="s">
        <v>192</v>
      </c>
      <c r="L114" s="126" t="s">
        <v>1321</v>
      </c>
      <c r="M114" s="167"/>
      <c r="N114" s="126" t="s">
        <v>1322</v>
      </c>
      <c r="O114" s="126" t="s">
        <v>1323</v>
      </c>
      <c r="P114" s="126" t="s">
        <v>181</v>
      </c>
      <c r="Q114" s="181">
        <v>7500</v>
      </c>
      <c r="R114" s="181">
        <v>7755.7910000000002</v>
      </c>
      <c r="S114" s="181"/>
      <c r="AJ114" s="181">
        <f>R114</f>
        <v>7755.7910000000002</v>
      </c>
      <c r="AW114" s="165">
        <f t="shared" si="21"/>
        <v>45025.704861111109</v>
      </c>
      <c r="AX114" s="165">
        <f t="shared" si="22"/>
        <v>45040.128472222219</v>
      </c>
      <c r="AY114" s="137">
        <f t="shared" si="23"/>
        <v>14.423611111109494</v>
      </c>
      <c r="AZ114" s="165">
        <v>45025.704861111109</v>
      </c>
      <c r="BA114" s="165">
        <v>45025.704861111109</v>
      </c>
      <c r="BB114" s="165">
        <v>45025.704861111109</v>
      </c>
      <c r="BC114" s="165">
        <v>45027.055555555555</v>
      </c>
      <c r="BD114" s="165">
        <v>45028.736111111109</v>
      </c>
      <c r="BE114" s="165">
        <v>45029.371527777781</v>
      </c>
      <c r="BF114" s="165">
        <v>45029.371527777781</v>
      </c>
      <c r="BG114" s="165">
        <v>45029.371527777781</v>
      </c>
      <c r="BH114" s="166" t="s">
        <v>196</v>
      </c>
      <c r="BI114" s="166" t="s">
        <v>196</v>
      </c>
      <c r="BJ114" s="166" t="s">
        <v>196</v>
      </c>
      <c r="BK114" s="165">
        <v>45031.375</v>
      </c>
      <c r="BL114" s="165">
        <v>45039.454861111109</v>
      </c>
      <c r="BM114" s="165">
        <v>45040.100694444445</v>
      </c>
      <c r="BN114" s="165">
        <v>45040.128472222219</v>
      </c>
      <c r="BO114" s="165">
        <v>45040.128472222219</v>
      </c>
      <c r="BP114" s="165">
        <v>45040.128472222219</v>
      </c>
      <c r="BS114" s="136">
        <f t="shared" si="24"/>
        <v>0</v>
      </c>
      <c r="BT114" s="136">
        <f t="shared" si="25"/>
        <v>40.333333333313931</v>
      </c>
      <c r="BU114" s="136">
        <f t="shared" si="26"/>
        <v>0</v>
      </c>
      <c r="BV114" s="136">
        <f t="shared" si="36"/>
        <v>48.083333333255723</v>
      </c>
      <c r="BW114" s="135">
        <f t="shared" si="27"/>
        <v>15.500000000058208</v>
      </c>
      <c r="BX114" s="135">
        <f t="shared" si="28"/>
        <v>0</v>
      </c>
      <c r="BY114" s="134">
        <f t="shared" si="29"/>
        <v>4.3298611111094942</v>
      </c>
      <c r="BZ114" s="134">
        <f t="shared" si="30"/>
        <v>14.423611111109494</v>
      </c>
      <c r="CA114" s="133">
        <f t="shared" si="31"/>
        <v>0.30019258545971933</v>
      </c>
    </row>
    <row r="115" spans="1:79" s="126" customFormat="1">
      <c r="A115" s="192">
        <f t="shared" si="33"/>
        <v>45033.451388888891</v>
      </c>
      <c r="B115" s="126" t="s">
        <v>188</v>
      </c>
      <c r="C115" s="126" t="s">
        <v>82</v>
      </c>
      <c r="D115" s="126" t="s">
        <v>197</v>
      </c>
      <c r="E115" s="65" t="s">
        <v>1324</v>
      </c>
      <c r="G115" s="165">
        <v>45037</v>
      </c>
      <c r="H115" s="165">
        <v>45037</v>
      </c>
      <c r="I115" s="65" t="s">
        <v>1046</v>
      </c>
      <c r="J115" s="126" t="s">
        <v>192</v>
      </c>
      <c r="K115" s="126" t="s">
        <v>192</v>
      </c>
      <c r="L115" s="126" t="s">
        <v>1325</v>
      </c>
      <c r="M115" s="167"/>
      <c r="N115" s="126" t="s">
        <v>1303</v>
      </c>
      <c r="O115" s="126" t="s">
        <v>1304</v>
      </c>
      <c r="P115" s="126" t="s">
        <v>82</v>
      </c>
      <c r="Q115" s="181">
        <v>5500</v>
      </c>
      <c r="R115" s="181">
        <v>5037</v>
      </c>
      <c r="S115" s="181"/>
      <c r="AQ115" s="181">
        <f>R115</f>
        <v>5037</v>
      </c>
      <c r="AW115" s="165">
        <f t="shared" si="21"/>
        <v>45029.986111111109</v>
      </c>
      <c r="AX115" s="165">
        <f t="shared" si="22"/>
        <v>45041.479166666664</v>
      </c>
      <c r="AY115" s="137">
        <f t="shared" si="23"/>
        <v>11.493055555554747</v>
      </c>
      <c r="AZ115" s="165">
        <v>45029.986111111109</v>
      </c>
      <c r="BA115" s="165">
        <v>45031.701388888891</v>
      </c>
      <c r="BB115" s="165">
        <v>45031.840277777781</v>
      </c>
      <c r="BC115" s="165">
        <v>45033.451388888891</v>
      </c>
      <c r="BD115" s="165">
        <v>45034.524305555555</v>
      </c>
      <c r="BE115" s="165">
        <v>45034.583333333336</v>
      </c>
      <c r="BF115" s="165">
        <v>45035.574999999997</v>
      </c>
      <c r="BG115" s="165">
        <v>45035.574999999997</v>
      </c>
      <c r="BH115" s="166" t="s">
        <v>196</v>
      </c>
      <c r="BI115" s="166" t="s">
        <v>196</v>
      </c>
      <c r="BJ115" s="166" t="s">
        <v>196</v>
      </c>
      <c r="BK115" s="165">
        <v>45037.076388888891</v>
      </c>
      <c r="BL115" s="165">
        <v>45037.868055555555</v>
      </c>
      <c r="BM115" s="165">
        <v>45038.072916666664</v>
      </c>
      <c r="BN115" s="165">
        <v>45038.086805555555</v>
      </c>
      <c r="BO115" s="165">
        <v>45040.833333333336</v>
      </c>
      <c r="BP115" s="165">
        <v>45041.479166666664</v>
      </c>
      <c r="BS115" s="136">
        <f t="shared" si="24"/>
        <v>3.3333333333721384</v>
      </c>
      <c r="BT115" s="136">
        <f t="shared" si="25"/>
        <v>25.749999999941792</v>
      </c>
      <c r="BU115" s="136">
        <f t="shared" si="26"/>
        <v>0</v>
      </c>
      <c r="BV115" s="136">
        <f t="shared" si="36"/>
        <v>36.033333333441988</v>
      </c>
      <c r="BW115" s="135">
        <f t="shared" si="27"/>
        <v>4.9166666666278616</v>
      </c>
      <c r="BX115" s="135">
        <f t="shared" si="28"/>
        <v>15.499999999883585</v>
      </c>
      <c r="BY115" s="134">
        <f t="shared" si="29"/>
        <v>3.5638888888861402</v>
      </c>
      <c r="BZ115" s="134">
        <f t="shared" si="30"/>
        <v>11.493055555554747</v>
      </c>
      <c r="CA115" s="133">
        <f t="shared" si="31"/>
        <v>0.31009063444087026</v>
      </c>
    </row>
    <row r="116" spans="1:79" s="126" customFormat="1">
      <c r="A116" s="192">
        <f t="shared" si="33"/>
        <v>45045.5</v>
      </c>
      <c r="B116" s="126" t="s">
        <v>188</v>
      </c>
      <c r="C116" s="126" t="s">
        <v>82</v>
      </c>
      <c r="D116" s="126" t="s">
        <v>197</v>
      </c>
      <c r="E116" s="65" t="s">
        <v>1280</v>
      </c>
      <c r="G116" s="73">
        <v>45041.458333333336</v>
      </c>
      <c r="H116" s="73">
        <v>45041.458333333336</v>
      </c>
      <c r="I116" s="65" t="s">
        <v>1043</v>
      </c>
      <c r="J116" s="126" t="s">
        <v>192</v>
      </c>
      <c r="K116" s="126" t="s">
        <v>192</v>
      </c>
      <c r="L116" s="126" t="s">
        <v>1326</v>
      </c>
      <c r="M116" s="167"/>
      <c r="N116" s="126" t="s">
        <v>1303</v>
      </c>
      <c r="O116" s="126" t="s">
        <v>1304</v>
      </c>
      <c r="P116" s="126" t="s">
        <v>82</v>
      </c>
      <c r="Q116" s="181">
        <v>5500</v>
      </c>
      <c r="R116" s="181">
        <v>5015</v>
      </c>
      <c r="S116" s="181"/>
      <c r="AQ116" s="181">
        <f>R116</f>
        <v>5015</v>
      </c>
      <c r="AW116" s="165">
        <f t="shared" si="21"/>
        <v>45041.479166666664</v>
      </c>
      <c r="AX116" s="165">
        <f t="shared" si="22"/>
        <v>45050.4375</v>
      </c>
      <c r="AY116" s="137">
        <f t="shared" si="23"/>
        <v>8.9583333333357587</v>
      </c>
      <c r="AZ116" s="165">
        <v>45041.479166666664</v>
      </c>
      <c r="BA116" s="165">
        <v>45043.270833333336</v>
      </c>
      <c r="BB116" s="165">
        <v>45043.472222222219</v>
      </c>
      <c r="BC116" s="165">
        <v>45045.5</v>
      </c>
      <c r="BD116" s="165">
        <v>45046.25</v>
      </c>
      <c r="BE116" s="165">
        <v>45046.354166666664</v>
      </c>
      <c r="BF116" s="165">
        <v>45047.053472222222</v>
      </c>
      <c r="BG116" s="165">
        <v>45047.053472222222</v>
      </c>
      <c r="BH116" s="166" t="s">
        <v>196</v>
      </c>
      <c r="BI116" s="166" t="s">
        <v>196</v>
      </c>
      <c r="BJ116" s="166" t="s">
        <v>196</v>
      </c>
      <c r="BK116" s="165">
        <v>45048.166666666664</v>
      </c>
      <c r="BL116" s="165">
        <v>45049.506944444445</v>
      </c>
      <c r="BM116" s="165">
        <v>45049.729166666664</v>
      </c>
      <c r="BN116" s="165">
        <v>45049.75</v>
      </c>
      <c r="BO116" s="165">
        <v>45050.097222222219</v>
      </c>
      <c r="BP116" s="165">
        <v>45050.4375</v>
      </c>
      <c r="BS116" s="136">
        <f t="shared" si="24"/>
        <v>4.8333333331975155</v>
      </c>
      <c r="BT116" s="136">
        <f t="shared" si="25"/>
        <v>18</v>
      </c>
      <c r="BU116" s="136">
        <f t="shared" si="26"/>
        <v>0</v>
      </c>
      <c r="BV116" s="136">
        <f t="shared" si="36"/>
        <v>26.71666666661622</v>
      </c>
      <c r="BW116" s="135">
        <f t="shared" si="27"/>
        <v>5.3333333332557231</v>
      </c>
      <c r="BX116" s="135">
        <f t="shared" si="28"/>
        <v>8.1666666667442769</v>
      </c>
      <c r="BY116" s="134">
        <f t="shared" si="29"/>
        <v>2.6270833333255723</v>
      </c>
      <c r="BZ116" s="134">
        <f t="shared" si="30"/>
        <v>8.9583333333357587</v>
      </c>
      <c r="CA116" s="133">
        <f t="shared" si="31"/>
        <v>0.29325581395254263</v>
      </c>
    </row>
    <row r="117" spans="1:79" s="126" customFormat="1">
      <c r="A117" s="192">
        <f t="shared" si="33"/>
        <v>45020.652777777781</v>
      </c>
      <c r="B117" s="126" t="s">
        <v>188</v>
      </c>
      <c r="C117" s="126" t="s">
        <v>84</v>
      </c>
      <c r="D117" s="126" t="s">
        <v>197</v>
      </c>
      <c r="E117" s="65" t="s">
        <v>1327</v>
      </c>
      <c r="G117" s="165">
        <v>45025.179166666669</v>
      </c>
      <c r="H117" s="165">
        <v>45025.179166666669</v>
      </c>
      <c r="I117" s="126" t="s">
        <v>455</v>
      </c>
      <c r="J117" s="126" t="s">
        <v>192</v>
      </c>
      <c r="K117" s="126" t="s">
        <v>192</v>
      </c>
      <c r="L117" s="126" t="s">
        <v>1328</v>
      </c>
      <c r="M117" s="167"/>
      <c r="N117" s="126" t="s">
        <v>260</v>
      </c>
      <c r="O117" s="126" t="s">
        <v>261</v>
      </c>
      <c r="P117" s="126" t="s">
        <v>84</v>
      </c>
      <c r="Q117" s="181">
        <f>3107*2.4</f>
        <v>7456.7999999999993</v>
      </c>
      <c r="R117" s="181">
        <v>7502</v>
      </c>
      <c r="S117" s="181"/>
      <c r="AL117" s="181">
        <f>R117</f>
        <v>7502</v>
      </c>
      <c r="AW117" s="165">
        <f t="shared" si="21"/>
        <v>45013.920138888891</v>
      </c>
      <c r="AX117" s="165">
        <f t="shared" si="22"/>
        <v>45028.25</v>
      </c>
      <c r="AY117" s="137">
        <f t="shared" si="23"/>
        <v>14.329861111109494</v>
      </c>
      <c r="AZ117" s="165">
        <v>45013.920138888891</v>
      </c>
      <c r="BA117" s="165">
        <v>45017.28125</v>
      </c>
      <c r="BB117" s="165">
        <v>45018.458333333336</v>
      </c>
      <c r="BC117" s="165">
        <v>45020.652777777781</v>
      </c>
      <c r="BD117" s="165">
        <v>45020.836805555555</v>
      </c>
      <c r="BE117" s="165">
        <v>45020.856944444444</v>
      </c>
      <c r="BF117" s="165">
        <v>45021.236111111109</v>
      </c>
      <c r="BG117" s="165">
        <v>45021.236111111109</v>
      </c>
      <c r="BH117" s="166" t="s">
        <v>196</v>
      </c>
      <c r="BI117" s="166" t="s">
        <v>196</v>
      </c>
      <c r="BJ117" s="166" t="s">
        <v>196</v>
      </c>
      <c r="BK117" s="165">
        <v>45023.427083333336</v>
      </c>
      <c r="BL117" s="165">
        <v>45027.326388888891</v>
      </c>
      <c r="BM117" s="165">
        <v>45027.513888888891</v>
      </c>
      <c r="BN117" s="165">
        <v>45027.534722222219</v>
      </c>
      <c r="BO117" s="165">
        <v>45027.777777777781</v>
      </c>
      <c r="BP117" s="165">
        <v>45028.25</v>
      </c>
      <c r="BS117" s="136">
        <f t="shared" si="24"/>
        <v>28.250000000058208</v>
      </c>
      <c r="BT117" s="136">
        <f t="shared" si="25"/>
        <v>4.4166666665696539</v>
      </c>
      <c r="BU117" s="136">
        <f t="shared" si="26"/>
        <v>0</v>
      </c>
      <c r="BV117" s="136">
        <f t="shared" si="36"/>
        <v>52.583333333430346</v>
      </c>
      <c r="BW117" s="135">
        <f t="shared" si="27"/>
        <v>4.5</v>
      </c>
      <c r="BX117" s="135">
        <f t="shared" si="28"/>
        <v>11.333333333255723</v>
      </c>
      <c r="BY117" s="134">
        <f t="shared" si="29"/>
        <v>4.2118055555547471</v>
      </c>
      <c r="BZ117" s="134">
        <f t="shared" si="30"/>
        <v>14.329861111109494</v>
      </c>
      <c r="CA117" s="133">
        <f t="shared" si="31"/>
        <v>0.29391810031497556</v>
      </c>
    </row>
    <row r="118" spans="1:79" s="126" customFormat="1">
      <c r="A118" s="192">
        <f t="shared" si="33"/>
        <v>45017.850694444445</v>
      </c>
      <c r="B118" s="126" t="s">
        <v>188</v>
      </c>
      <c r="C118" s="126" t="s">
        <v>76</v>
      </c>
      <c r="D118" s="126" t="s">
        <v>215</v>
      </c>
      <c r="E118" s="126" t="s">
        <v>1045</v>
      </c>
      <c r="G118" s="73">
        <v>45019.958333333336</v>
      </c>
      <c r="H118" s="73">
        <v>45019.958333333336</v>
      </c>
      <c r="I118" s="126" t="s">
        <v>464</v>
      </c>
      <c r="J118" s="126" t="s">
        <v>192</v>
      </c>
      <c r="K118" s="126" t="s">
        <v>192</v>
      </c>
      <c r="L118" s="126" t="s">
        <v>1329</v>
      </c>
      <c r="M118" s="167"/>
      <c r="N118" s="126" t="s">
        <v>403</v>
      </c>
      <c r="O118" s="126" t="s">
        <v>404</v>
      </c>
      <c r="P118" s="126" t="s">
        <v>76</v>
      </c>
      <c r="Q118" s="181">
        <f>3107*2.4</f>
        <v>7456.7999999999993</v>
      </c>
      <c r="R118" s="181">
        <v>7500</v>
      </c>
      <c r="S118" s="181"/>
      <c r="AK118" s="181">
        <f t="shared" ref="AK118:AK127" si="38">R118</f>
        <v>7500</v>
      </c>
      <c r="AW118" s="165">
        <f t="shared" si="21"/>
        <v>45014.930555555555</v>
      </c>
      <c r="AX118" s="165">
        <f t="shared" si="22"/>
        <v>45023.899305555555</v>
      </c>
      <c r="AY118" s="137">
        <f t="shared" si="23"/>
        <v>8.96875</v>
      </c>
      <c r="AZ118" s="165">
        <v>45014.930555555555</v>
      </c>
      <c r="BA118" s="165">
        <v>45015.559027777781</v>
      </c>
      <c r="BB118" s="165">
        <v>45016</v>
      </c>
      <c r="BC118" s="165">
        <v>45017.850694444445</v>
      </c>
      <c r="BD118" s="165">
        <v>45018.458333333336</v>
      </c>
      <c r="BE118" s="165">
        <v>45018.479166666664</v>
      </c>
      <c r="BF118" s="165">
        <v>45018.479166666664</v>
      </c>
      <c r="BG118" s="165">
        <f t="shared" ref="BG118:BG127" si="39">BF118+(10/24)</f>
        <v>45018.895833333328</v>
      </c>
      <c r="BH118" s="165">
        <v>45019.583333333336</v>
      </c>
      <c r="BI118" s="165">
        <v>45019.75</v>
      </c>
      <c r="BJ118" s="165">
        <v>45019.556944444441</v>
      </c>
      <c r="BK118" s="165">
        <v>45020.909722222219</v>
      </c>
      <c r="BL118" s="165">
        <v>45022.121527777781</v>
      </c>
      <c r="BM118" s="165">
        <v>45023.875</v>
      </c>
      <c r="BN118" s="165">
        <v>45023.899305555555</v>
      </c>
      <c r="BO118" s="165">
        <v>45023.899305555555</v>
      </c>
      <c r="BP118" s="165">
        <v>45023.899305555555</v>
      </c>
      <c r="BQ118" s="126" t="s">
        <v>788</v>
      </c>
      <c r="BS118" s="136">
        <f t="shared" si="24"/>
        <v>10.583333333255723</v>
      </c>
      <c r="BT118" s="136">
        <f t="shared" si="25"/>
        <v>14.583333333372138</v>
      </c>
      <c r="BU118" s="136">
        <f t="shared" si="26"/>
        <v>9.9999999999417923</v>
      </c>
      <c r="BV118" s="136">
        <f t="shared" ref="BV118:BV134" si="40">(BK118-BI118)*24</f>
        <v>27.833333333255723</v>
      </c>
      <c r="BW118" s="135">
        <f t="shared" si="27"/>
        <v>42.083333333255723</v>
      </c>
      <c r="BX118" s="135">
        <f t="shared" si="28"/>
        <v>0</v>
      </c>
      <c r="BY118" s="134">
        <f t="shared" si="29"/>
        <v>4.3784722222117125</v>
      </c>
      <c r="BZ118" s="134">
        <f t="shared" si="30"/>
        <v>8.96875</v>
      </c>
      <c r="CA118" s="133">
        <f t="shared" si="31"/>
        <v>0.48819202477621881</v>
      </c>
    </row>
    <row r="119" spans="1:79" s="126" customFormat="1" ht="14.4" customHeight="1">
      <c r="A119" s="192">
        <f t="shared" si="33"/>
        <v>45018.822916666664</v>
      </c>
      <c r="B119" s="126" t="s">
        <v>188</v>
      </c>
      <c r="C119" s="126" t="s">
        <v>76</v>
      </c>
      <c r="D119" s="126" t="s">
        <v>197</v>
      </c>
      <c r="E119" s="65" t="s">
        <v>1049</v>
      </c>
      <c r="G119" s="165">
        <v>45026.604166666664</v>
      </c>
      <c r="H119" s="165">
        <v>45026.604166666664</v>
      </c>
      <c r="I119" s="126" t="s">
        <v>464</v>
      </c>
      <c r="J119" s="126" t="s">
        <v>192</v>
      </c>
      <c r="K119" s="126" t="s">
        <v>192</v>
      </c>
      <c r="L119" s="126" t="s">
        <v>1330</v>
      </c>
      <c r="M119" s="167"/>
      <c r="N119" s="126" t="s">
        <v>1313</v>
      </c>
      <c r="O119" s="126" t="s">
        <v>438</v>
      </c>
      <c r="P119" s="126" t="s">
        <v>76</v>
      </c>
      <c r="Q119" s="181">
        <f>3142*2.4</f>
        <v>7540.7999999999993</v>
      </c>
      <c r="R119" s="181">
        <v>7500</v>
      </c>
      <c r="S119" s="181"/>
      <c r="AK119" s="181">
        <f t="shared" si="38"/>
        <v>7500</v>
      </c>
      <c r="AW119" s="165">
        <f t="shared" si="21"/>
        <v>45013.416666666664</v>
      </c>
      <c r="AX119" s="165">
        <f t="shared" si="22"/>
        <v>45026.815972222219</v>
      </c>
      <c r="AY119" s="137">
        <f t="shared" si="23"/>
        <v>13.399305555554747</v>
      </c>
      <c r="AZ119" s="165">
        <v>45013.416666666664</v>
      </c>
      <c r="BA119" s="165">
        <v>45015.625</v>
      </c>
      <c r="BB119" s="165">
        <v>45016.083333333336</v>
      </c>
      <c r="BC119" s="165">
        <v>45018.822916666664</v>
      </c>
      <c r="BD119" s="165">
        <v>45019.211805555555</v>
      </c>
      <c r="BE119" s="165">
        <v>45019.222222222219</v>
      </c>
      <c r="BF119" s="165">
        <v>45019.222222222219</v>
      </c>
      <c r="BG119" s="165">
        <f t="shared" si="39"/>
        <v>45019.638888888883</v>
      </c>
      <c r="BH119" s="165">
        <v>45020.229166666664</v>
      </c>
      <c r="BI119" s="165">
        <v>45020.395833333328</v>
      </c>
      <c r="BJ119" s="165">
        <v>45020.336805555555</v>
      </c>
      <c r="BK119" s="165">
        <v>45022.333333333336</v>
      </c>
      <c r="BL119" s="165">
        <v>45026.569444444445</v>
      </c>
      <c r="BM119" s="165">
        <v>45026.760416666664</v>
      </c>
      <c r="BN119" s="165">
        <v>45026.815972222219</v>
      </c>
      <c r="BO119" s="165">
        <v>45026.815972222219</v>
      </c>
      <c r="BP119" s="165">
        <v>45026.815972222219</v>
      </c>
      <c r="BQ119" s="126" t="s">
        <v>1331</v>
      </c>
      <c r="BS119" s="136">
        <f t="shared" si="24"/>
        <v>11.000000000058208</v>
      </c>
      <c r="BT119" s="136">
        <f t="shared" si="25"/>
        <v>9.3333333333721384</v>
      </c>
      <c r="BU119" s="136">
        <f t="shared" si="26"/>
        <v>9.9999999999417923</v>
      </c>
      <c r="BV119" s="136">
        <f t="shared" si="40"/>
        <v>46.500000000174623</v>
      </c>
      <c r="BW119" s="135">
        <f t="shared" si="27"/>
        <v>4.5833333332557231</v>
      </c>
      <c r="BX119" s="135">
        <f t="shared" si="28"/>
        <v>0</v>
      </c>
      <c r="BY119" s="134">
        <f t="shared" si="29"/>
        <v>3.3923611111167702</v>
      </c>
      <c r="BZ119" s="134">
        <f t="shared" si="30"/>
        <v>13.399305555554747</v>
      </c>
      <c r="CA119" s="133">
        <f t="shared" si="31"/>
        <v>0.25317439751274651</v>
      </c>
    </row>
    <row r="120" spans="1:79" s="126" customFormat="1">
      <c r="A120" s="192">
        <f t="shared" si="33"/>
        <v>45019.434027777781</v>
      </c>
      <c r="B120" s="126" t="s">
        <v>188</v>
      </c>
      <c r="C120" s="126" t="s">
        <v>76</v>
      </c>
      <c r="D120" s="126" t="s">
        <v>215</v>
      </c>
      <c r="E120" s="65" t="s">
        <v>1327</v>
      </c>
      <c r="G120" s="165">
        <v>45025.179166666669</v>
      </c>
      <c r="H120" s="165">
        <v>45025.179166666669</v>
      </c>
      <c r="I120" s="126" t="s">
        <v>464</v>
      </c>
      <c r="J120" s="126" t="s">
        <v>192</v>
      </c>
      <c r="K120" s="126" t="s">
        <v>192</v>
      </c>
      <c r="L120" s="126" t="s">
        <v>1332</v>
      </c>
      <c r="M120" s="167"/>
      <c r="N120" s="126" t="s">
        <v>399</v>
      </c>
      <c r="O120" s="126" t="s">
        <v>1093</v>
      </c>
      <c r="P120" s="126" t="s">
        <v>76</v>
      </c>
      <c r="Q120" s="181">
        <f>3136*2.4</f>
        <v>7526.4</v>
      </c>
      <c r="R120" s="181">
        <v>7500</v>
      </c>
      <c r="S120" s="181"/>
      <c r="AK120" s="181">
        <f t="shared" si="38"/>
        <v>7500</v>
      </c>
      <c r="AW120" s="165">
        <f t="shared" si="21"/>
        <v>45015.75</v>
      </c>
      <c r="AX120" s="165">
        <f t="shared" si="22"/>
        <v>45028.3125</v>
      </c>
      <c r="AY120" s="137">
        <f t="shared" si="23"/>
        <v>12.5625</v>
      </c>
      <c r="AZ120" s="165">
        <v>45015.75</v>
      </c>
      <c r="BA120" s="165">
        <v>45016.611111111109</v>
      </c>
      <c r="BB120" s="165">
        <v>45017.083333333336</v>
      </c>
      <c r="BC120" s="165">
        <v>45019.434027777781</v>
      </c>
      <c r="BD120" s="165">
        <v>45020.090277777781</v>
      </c>
      <c r="BE120" s="165">
        <v>45020.114583333336</v>
      </c>
      <c r="BF120" s="165">
        <v>45020.114583333336</v>
      </c>
      <c r="BG120" s="165">
        <f t="shared" si="39"/>
        <v>45020.53125</v>
      </c>
      <c r="BH120" s="165">
        <v>45021.229166608799</v>
      </c>
      <c r="BI120" s="165">
        <v>45021.395833275463</v>
      </c>
      <c r="BJ120" s="165">
        <v>45021.378472222219</v>
      </c>
      <c r="BK120" s="165">
        <v>45022.979166666664</v>
      </c>
      <c r="BL120" s="165">
        <v>45026.909722222219</v>
      </c>
      <c r="BM120" s="165">
        <v>45027.229166666664</v>
      </c>
      <c r="BN120" s="165">
        <v>45027.246527777781</v>
      </c>
      <c r="BO120" s="165">
        <v>45027.774305555555</v>
      </c>
      <c r="BP120" s="165">
        <v>45028.3125</v>
      </c>
      <c r="BS120" s="136">
        <f t="shared" si="24"/>
        <v>11.333333333430346</v>
      </c>
      <c r="BT120" s="136">
        <f t="shared" si="25"/>
        <v>15.75</v>
      </c>
      <c r="BU120" s="136">
        <f t="shared" si="26"/>
        <v>9.9999999999417923</v>
      </c>
      <c r="BV120" s="136">
        <f t="shared" si="40"/>
        <v>38.000001388834789</v>
      </c>
      <c r="BW120" s="135">
        <f t="shared" si="27"/>
        <v>7.6666666666860692</v>
      </c>
      <c r="BX120" s="135">
        <f t="shared" si="28"/>
        <v>12.916666666686069</v>
      </c>
      <c r="BY120" s="134">
        <f t="shared" si="29"/>
        <v>3.9861111689824611</v>
      </c>
      <c r="BZ120" s="134">
        <f t="shared" si="30"/>
        <v>12.5625</v>
      </c>
      <c r="CA120" s="133">
        <f t="shared" si="31"/>
        <v>0.31730238161054419</v>
      </c>
    </row>
    <row r="121" spans="1:79" s="126" customFormat="1">
      <c r="A121" s="192">
        <f t="shared" si="33"/>
        <v>45021.444444444445</v>
      </c>
      <c r="B121" s="126" t="s">
        <v>188</v>
      </c>
      <c r="C121" s="126" t="s">
        <v>76</v>
      </c>
      <c r="D121" s="126" t="s">
        <v>197</v>
      </c>
      <c r="E121" s="65" t="s">
        <v>1333</v>
      </c>
      <c r="G121" s="73">
        <v>45022.208333333336</v>
      </c>
      <c r="H121" s="73">
        <v>45022.216666666667</v>
      </c>
      <c r="I121" s="126" t="s">
        <v>460</v>
      </c>
      <c r="J121" s="126" t="s">
        <v>192</v>
      </c>
      <c r="K121" s="126" t="s">
        <v>192</v>
      </c>
      <c r="L121" s="126" t="s">
        <v>1334</v>
      </c>
      <c r="M121" s="167"/>
      <c r="N121" s="126" t="s">
        <v>330</v>
      </c>
      <c r="O121" s="126" t="s">
        <v>331</v>
      </c>
      <c r="P121" s="126" t="s">
        <v>76</v>
      </c>
      <c r="Q121" s="181">
        <f>3136*2.4</f>
        <v>7526.4</v>
      </c>
      <c r="R121" s="181">
        <v>7500</v>
      </c>
      <c r="S121" s="181"/>
      <c r="AK121" s="181">
        <f t="shared" si="38"/>
        <v>7500</v>
      </c>
      <c r="AW121" s="165">
        <f t="shared" si="21"/>
        <v>45016.5625</v>
      </c>
      <c r="AX121" s="165">
        <f t="shared" si="22"/>
        <v>45025.75</v>
      </c>
      <c r="AY121" s="137">
        <f t="shared" si="23"/>
        <v>9.1875</v>
      </c>
      <c r="AZ121" s="165">
        <v>45016.5625</v>
      </c>
      <c r="BA121" s="165">
        <v>45020.611111111109</v>
      </c>
      <c r="BB121" s="165">
        <v>45021.09375</v>
      </c>
      <c r="BC121" s="165">
        <v>45021.444444444445</v>
      </c>
      <c r="BD121" s="165">
        <v>45021.923611111109</v>
      </c>
      <c r="BE121" s="165">
        <v>45021.944444444445</v>
      </c>
      <c r="BF121" s="165">
        <v>45021.944444444445</v>
      </c>
      <c r="BG121" s="165">
        <f t="shared" si="39"/>
        <v>45022.361111111109</v>
      </c>
      <c r="BH121" s="165">
        <v>45023.25</v>
      </c>
      <c r="BI121" s="165">
        <v>45023.416666666664</v>
      </c>
      <c r="BJ121" s="165">
        <v>45023.315972222219</v>
      </c>
      <c r="BK121" s="165">
        <v>45024.770833333336</v>
      </c>
      <c r="BL121" s="165">
        <v>45024.8125</v>
      </c>
      <c r="BM121" s="165">
        <v>45025.25</v>
      </c>
      <c r="BN121" s="165">
        <v>45025.270833333336</v>
      </c>
      <c r="BO121" s="165">
        <v>45025.270833333336</v>
      </c>
      <c r="BP121" s="165">
        <v>45025.75</v>
      </c>
      <c r="BS121" s="136">
        <f t="shared" si="24"/>
        <v>11.583333333372138</v>
      </c>
      <c r="BT121" s="136">
        <f t="shared" si="25"/>
        <v>11.499999999941792</v>
      </c>
      <c r="BU121" s="136">
        <f t="shared" si="26"/>
        <v>9.9999999999417923</v>
      </c>
      <c r="BV121" s="136">
        <f t="shared" si="40"/>
        <v>32.500000000116415</v>
      </c>
      <c r="BW121" s="135">
        <f t="shared" si="27"/>
        <v>10.5</v>
      </c>
      <c r="BX121" s="135">
        <f t="shared" si="28"/>
        <v>11.499999999941792</v>
      </c>
      <c r="BY121" s="134">
        <f t="shared" si="29"/>
        <v>3.6493055555547471</v>
      </c>
      <c r="BZ121" s="134">
        <f t="shared" si="30"/>
        <v>9.1875</v>
      </c>
      <c r="CA121" s="133">
        <f t="shared" si="31"/>
        <v>0.39720332577466633</v>
      </c>
    </row>
    <row r="122" spans="1:79" s="126" customFormat="1">
      <c r="A122" s="192">
        <f t="shared" si="33"/>
        <v>45022.569444444445</v>
      </c>
      <c r="B122" s="126" t="s">
        <v>188</v>
      </c>
      <c r="C122" s="126" t="s">
        <v>76</v>
      </c>
      <c r="D122" s="126" t="s">
        <v>197</v>
      </c>
      <c r="E122" s="65" t="s">
        <v>1207</v>
      </c>
      <c r="G122" s="73">
        <v>45016.291666666664</v>
      </c>
      <c r="H122" s="73">
        <v>45016.208333333336</v>
      </c>
      <c r="I122" s="126" t="s">
        <v>460</v>
      </c>
      <c r="J122" s="126" t="s">
        <v>192</v>
      </c>
      <c r="K122" s="126" t="s">
        <v>192</v>
      </c>
      <c r="L122" s="126" t="s">
        <v>1335</v>
      </c>
      <c r="M122" s="167"/>
      <c r="N122" s="126" t="s">
        <v>292</v>
      </c>
      <c r="O122" s="126" t="s">
        <v>293</v>
      </c>
      <c r="P122" s="126" t="s">
        <v>76</v>
      </c>
      <c r="Q122" s="181">
        <f>3142*2.4</f>
        <v>7540.7999999999993</v>
      </c>
      <c r="R122" s="181">
        <v>7500</v>
      </c>
      <c r="S122" s="181"/>
      <c r="AK122" s="181">
        <f t="shared" si="38"/>
        <v>7500</v>
      </c>
      <c r="AW122" s="165">
        <f t="shared" si="21"/>
        <v>45020.3125</v>
      </c>
      <c r="AX122" s="165">
        <f t="shared" si="22"/>
        <v>45030.208333333336</v>
      </c>
      <c r="AY122" s="137">
        <f t="shared" si="23"/>
        <v>9.8958333333357587</v>
      </c>
      <c r="AZ122" s="165">
        <v>45020.3125</v>
      </c>
      <c r="BA122" s="165">
        <v>45021.576388888891</v>
      </c>
      <c r="BB122" s="165">
        <v>45022.041666666664</v>
      </c>
      <c r="BC122" s="165">
        <v>45022.569444444445</v>
      </c>
      <c r="BD122" s="165">
        <v>45022.972222222219</v>
      </c>
      <c r="BE122" s="165">
        <v>45022.996527777781</v>
      </c>
      <c r="BF122" s="165">
        <v>45022.996527777781</v>
      </c>
      <c r="BG122" s="165">
        <f t="shared" si="39"/>
        <v>45023.413194444445</v>
      </c>
      <c r="BH122" s="165">
        <v>45023.25</v>
      </c>
      <c r="BI122" s="165">
        <v>45023.416666666664</v>
      </c>
      <c r="BJ122" s="165">
        <v>45023.388888888891</v>
      </c>
      <c r="BK122" s="165">
        <v>45024.826388888891</v>
      </c>
      <c r="BL122" s="165">
        <v>45029.548611111109</v>
      </c>
      <c r="BM122" s="165">
        <v>45029.850694444445</v>
      </c>
      <c r="BN122" s="165">
        <v>45029.864583333336</v>
      </c>
      <c r="BO122" s="165">
        <v>45029.864583333336</v>
      </c>
      <c r="BP122" s="165">
        <v>45030.208333333336</v>
      </c>
      <c r="BS122" s="136">
        <f t="shared" si="24"/>
        <v>11.166666666569654</v>
      </c>
      <c r="BT122" s="136">
        <f t="shared" si="25"/>
        <v>9.6666666665696539</v>
      </c>
      <c r="BU122" s="136">
        <f t="shared" si="26"/>
        <v>9.9999999999417923</v>
      </c>
      <c r="BV122" s="136">
        <f t="shared" si="40"/>
        <v>33.833333333430346</v>
      </c>
      <c r="BW122" s="135">
        <f t="shared" si="27"/>
        <v>7.2500000000582077</v>
      </c>
      <c r="BX122" s="135">
        <f t="shared" si="28"/>
        <v>8.25</v>
      </c>
      <c r="BY122" s="134">
        <f t="shared" si="29"/>
        <v>3.3402777777737356</v>
      </c>
      <c r="BZ122" s="134">
        <f t="shared" si="30"/>
        <v>9.8958333333357587</v>
      </c>
      <c r="CA122" s="133">
        <f t="shared" si="31"/>
        <v>0.33754385964863159</v>
      </c>
    </row>
    <row r="123" spans="1:79" s="126" customFormat="1">
      <c r="A123" s="192">
        <f t="shared" si="33"/>
        <v>45024.548611111109</v>
      </c>
      <c r="B123" s="126" t="s">
        <v>188</v>
      </c>
      <c r="C123" s="126" t="s">
        <v>76</v>
      </c>
      <c r="D123" s="126" t="s">
        <v>215</v>
      </c>
      <c r="E123" s="126" t="s">
        <v>394</v>
      </c>
      <c r="G123" s="73">
        <v>45021.958333333336</v>
      </c>
      <c r="H123" s="73">
        <v>45021.92083333333</v>
      </c>
      <c r="I123" s="126" t="s">
        <v>460</v>
      </c>
      <c r="J123" s="126" t="s">
        <v>192</v>
      </c>
      <c r="K123" s="126" t="s">
        <v>192</v>
      </c>
      <c r="L123" s="126" t="s">
        <v>1336</v>
      </c>
      <c r="M123" s="167"/>
      <c r="N123" s="126" t="s">
        <v>218</v>
      </c>
      <c r="O123" s="126" t="s">
        <v>219</v>
      </c>
      <c r="P123" s="126" t="s">
        <v>76</v>
      </c>
      <c r="Q123" s="181">
        <f>3087*2.4</f>
        <v>7408.7999999999993</v>
      </c>
      <c r="R123" s="181">
        <v>7500</v>
      </c>
      <c r="S123" s="181"/>
      <c r="AK123" s="181">
        <f t="shared" si="38"/>
        <v>7500</v>
      </c>
      <c r="AW123" s="165">
        <f t="shared" si="21"/>
        <v>45021.854166666664</v>
      </c>
      <c r="AX123" s="165">
        <f t="shared" si="22"/>
        <v>45030.427083333336</v>
      </c>
      <c r="AY123" s="137">
        <f t="shared" si="23"/>
        <v>8.5729166666715173</v>
      </c>
      <c r="AZ123" s="165">
        <v>45021.854166666664</v>
      </c>
      <c r="BA123" s="165">
        <v>45022.8125</v>
      </c>
      <c r="BB123" s="165">
        <v>45023.25</v>
      </c>
      <c r="BC123" s="165">
        <v>45024.548611111109</v>
      </c>
      <c r="BD123" s="165">
        <v>45024.916666666664</v>
      </c>
      <c r="BE123" s="165">
        <v>45024.940972222219</v>
      </c>
      <c r="BF123" s="165">
        <v>45024.940972222219</v>
      </c>
      <c r="BG123" s="165">
        <f t="shared" si="39"/>
        <v>45025.357638888883</v>
      </c>
      <c r="BH123" s="165">
        <v>45025.25</v>
      </c>
      <c r="BI123" s="165">
        <v>45025.416666666664</v>
      </c>
      <c r="BJ123" s="165">
        <v>45025.315972222219</v>
      </c>
      <c r="BK123" s="165">
        <v>45026.583333333336</v>
      </c>
      <c r="BL123" s="165">
        <v>45029.784722222219</v>
      </c>
      <c r="BM123" s="165">
        <v>45030.107638888891</v>
      </c>
      <c r="BN123" s="165">
        <v>45030.118055555555</v>
      </c>
      <c r="BO123" s="165">
        <v>45030.118055555555</v>
      </c>
      <c r="BP123" s="165">
        <v>45030.427083333336</v>
      </c>
      <c r="BS123" s="136">
        <f t="shared" si="24"/>
        <v>10.5</v>
      </c>
      <c r="BT123" s="136">
        <f t="shared" si="25"/>
        <v>8.8333333333139308</v>
      </c>
      <c r="BU123" s="136">
        <f t="shared" si="26"/>
        <v>9.9999999999417923</v>
      </c>
      <c r="BV123" s="136">
        <f t="shared" si="40"/>
        <v>28.000000000116415</v>
      </c>
      <c r="BW123" s="135">
        <f t="shared" si="27"/>
        <v>7.7500000001164153</v>
      </c>
      <c r="BX123" s="135">
        <f t="shared" si="28"/>
        <v>7.4166666667442769</v>
      </c>
      <c r="BY123" s="134">
        <f t="shared" si="29"/>
        <v>3.0208333333430346</v>
      </c>
      <c r="BZ123" s="134">
        <f t="shared" si="30"/>
        <v>8.5729166666715173</v>
      </c>
      <c r="CA123" s="133">
        <f t="shared" si="31"/>
        <v>0.35236938031684961</v>
      </c>
    </row>
    <row r="124" spans="1:79" s="126" customFormat="1">
      <c r="A124" s="192">
        <f t="shared" si="33"/>
        <v>45035.545138888891</v>
      </c>
      <c r="B124" s="126" t="s">
        <v>188</v>
      </c>
      <c r="C124" s="126" t="s">
        <v>76</v>
      </c>
      <c r="D124" s="126" t="s">
        <v>197</v>
      </c>
      <c r="E124" s="65" t="s">
        <v>971</v>
      </c>
      <c r="G124" s="165">
        <v>45038.35833333333</v>
      </c>
      <c r="H124" s="165">
        <v>45038.35833333333</v>
      </c>
      <c r="I124" s="126" t="s">
        <v>464</v>
      </c>
      <c r="J124" s="126" t="s">
        <v>192</v>
      </c>
      <c r="K124" s="126" t="s">
        <v>192</v>
      </c>
      <c r="L124" s="126" t="s">
        <v>1337</v>
      </c>
      <c r="M124" s="167"/>
      <c r="N124" s="126" t="s">
        <v>213</v>
      </c>
      <c r="O124" s="126" t="s">
        <v>214</v>
      </c>
      <c r="P124" s="126" t="s">
        <v>76</v>
      </c>
      <c r="Q124" s="181">
        <f>3113*2.4</f>
        <v>7471.2</v>
      </c>
      <c r="R124" s="181">
        <v>7500</v>
      </c>
      <c r="S124" s="181"/>
      <c r="AK124" s="181">
        <f t="shared" si="38"/>
        <v>7500</v>
      </c>
      <c r="AW124" s="165">
        <f t="shared" si="21"/>
        <v>45033.381944444445</v>
      </c>
      <c r="AX124" s="165">
        <f t="shared" si="22"/>
        <v>45042.416666666664</v>
      </c>
      <c r="AY124" s="137">
        <f t="shared" si="23"/>
        <v>9.0347222222189885</v>
      </c>
      <c r="AZ124" s="165">
        <v>45033.381944444445</v>
      </c>
      <c r="BA124" s="165">
        <v>45033.833333333336</v>
      </c>
      <c r="BB124" s="165">
        <v>45034.333333333336</v>
      </c>
      <c r="BC124" s="165">
        <v>45035.545138888891</v>
      </c>
      <c r="BD124" s="165">
        <v>45035.934027777781</v>
      </c>
      <c r="BE124" s="165">
        <v>45035.951388888891</v>
      </c>
      <c r="BF124" s="165">
        <v>45035.951388888891</v>
      </c>
      <c r="BG124" s="165">
        <f t="shared" si="39"/>
        <v>45036.368055555555</v>
      </c>
      <c r="BH124" s="165">
        <v>45036.229166608799</v>
      </c>
      <c r="BI124" s="165">
        <v>45036.395833275463</v>
      </c>
      <c r="BJ124" s="165">
        <v>45036.395833333336</v>
      </c>
      <c r="BK124" s="165">
        <v>45038.677083333336</v>
      </c>
      <c r="BL124" s="165">
        <v>45041.559027777781</v>
      </c>
      <c r="BM124" s="165">
        <v>45041.78125</v>
      </c>
      <c r="BN124" s="165">
        <v>45041.798611111109</v>
      </c>
      <c r="BO124" s="165">
        <v>45042.017361111109</v>
      </c>
      <c r="BP124" s="165">
        <v>45042.416666666664</v>
      </c>
      <c r="BS124" s="136">
        <f t="shared" si="24"/>
        <v>12</v>
      </c>
      <c r="BT124" s="136">
        <f t="shared" si="25"/>
        <v>9.3333333333721384</v>
      </c>
      <c r="BU124" s="136">
        <f t="shared" si="26"/>
        <v>9.9999999999417923</v>
      </c>
      <c r="BV124" s="136">
        <f t="shared" si="40"/>
        <v>54.750001388951205</v>
      </c>
      <c r="BW124" s="135">
        <f t="shared" si="27"/>
        <v>5.3333333332557231</v>
      </c>
      <c r="BX124" s="135">
        <f t="shared" si="28"/>
        <v>9.5833333333139308</v>
      </c>
      <c r="BY124" s="134">
        <f t="shared" si="29"/>
        <v>4.2083333912014496</v>
      </c>
      <c r="BZ124" s="134">
        <f t="shared" si="30"/>
        <v>9.0347222222189885</v>
      </c>
      <c r="CA124" s="133">
        <f t="shared" si="31"/>
        <v>0.46579554829609965</v>
      </c>
    </row>
    <row r="125" spans="1:79" s="126" customFormat="1">
      <c r="A125" s="192">
        <f t="shared" si="33"/>
        <v>45034.451388888891</v>
      </c>
      <c r="B125" s="126" t="s">
        <v>188</v>
      </c>
      <c r="C125" s="126" t="s">
        <v>76</v>
      </c>
      <c r="D125" s="126" t="s">
        <v>197</v>
      </c>
      <c r="E125" s="65" t="s">
        <v>1270</v>
      </c>
      <c r="G125" s="165">
        <v>45039.34375</v>
      </c>
      <c r="H125" s="165">
        <v>45039.42083333333</v>
      </c>
      <c r="I125" s="126" t="s">
        <v>460</v>
      </c>
      <c r="J125" s="126" t="s">
        <v>192</v>
      </c>
      <c r="K125" s="126" t="s">
        <v>192</v>
      </c>
      <c r="L125" s="126" t="s">
        <v>1338</v>
      </c>
      <c r="M125" s="167"/>
      <c r="N125" s="126" t="s">
        <v>304</v>
      </c>
      <c r="O125" s="126" t="s">
        <v>305</v>
      </c>
      <c r="P125" s="126" t="s">
        <v>76</v>
      </c>
      <c r="Q125" s="181">
        <f>3107*2.4</f>
        <v>7456.7999999999993</v>
      </c>
      <c r="R125" s="181">
        <v>7500</v>
      </c>
      <c r="S125" s="181"/>
      <c r="AK125" s="181">
        <f t="shared" si="38"/>
        <v>7500</v>
      </c>
      <c r="AW125" s="165">
        <f t="shared" si="21"/>
        <v>45032.875</v>
      </c>
      <c r="AX125" s="165">
        <f t="shared" si="22"/>
        <v>45042.020833333336</v>
      </c>
      <c r="AY125" s="137">
        <f t="shared" si="23"/>
        <v>9.1458333333357587</v>
      </c>
      <c r="AZ125" s="165">
        <v>45032.875</v>
      </c>
      <c r="BA125" s="165">
        <v>45033.944444444445</v>
      </c>
      <c r="BB125" s="165">
        <v>45034.347222222219</v>
      </c>
      <c r="BC125" s="165">
        <v>45034.451388888891</v>
      </c>
      <c r="BD125" s="165">
        <v>45034.868055555555</v>
      </c>
      <c r="BE125" s="165">
        <v>45034.888888888891</v>
      </c>
      <c r="BF125" s="165">
        <v>45034.888888888891</v>
      </c>
      <c r="BG125" s="165">
        <f t="shared" si="39"/>
        <v>45035.305555555555</v>
      </c>
      <c r="BH125" s="165">
        <v>45035.229166666664</v>
      </c>
      <c r="BI125" s="165">
        <v>45035.395833333328</v>
      </c>
      <c r="BJ125" s="165">
        <v>45035.267361111109</v>
      </c>
      <c r="BK125" s="165">
        <v>45040.0625</v>
      </c>
      <c r="BL125" s="165">
        <v>45041.194444444445</v>
      </c>
      <c r="BM125" s="165">
        <v>45041.732638888891</v>
      </c>
      <c r="BN125" s="165">
        <v>45041.763888888891</v>
      </c>
      <c r="BO125" s="165">
        <v>45041.763888888891</v>
      </c>
      <c r="BP125" s="165">
        <v>45042.020833333336</v>
      </c>
      <c r="BS125" s="136">
        <f t="shared" si="24"/>
        <v>9.6666666665696539</v>
      </c>
      <c r="BT125" s="136">
        <f t="shared" si="25"/>
        <v>9.9999999999417923</v>
      </c>
      <c r="BU125" s="136">
        <f t="shared" si="26"/>
        <v>9.9999999999417923</v>
      </c>
      <c r="BV125" s="136">
        <f t="shared" si="40"/>
        <v>112.00000000011642</v>
      </c>
      <c r="BW125" s="135">
        <f t="shared" si="27"/>
        <v>12.916666666686069</v>
      </c>
      <c r="BX125" s="135">
        <f t="shared" si="28"/>
        <v>6.1666666666860692</v>
      </c>
      <c r="BY125" s="134">
        <f t="shared" si="29"/>
        <v>6.6979166666642413</v>
      </c>
      <c r="BZ125" s="134">
        <f t="shared" si="30"/>
        <v>9.1458333333357587</v>
      </c>
      <c r="CA125" s="133">
        <f t="shared" si="31"/>
        <v>0.73234624145739935</v>
      </c>
    </row>
    <row r="126" spans="1:79" s="126" customFormat="1">
      <c r="A126" s="192">
        <f t="shared" si="33"/>
        <v>45043.354166666664</v>
      </c>
      <c r="B126" s="126" t="s">
        <v>188</v>
      </c>
      <c r="C126" s="126" t="s">
        <v>76</v>
      </c>
      <c r="D126" s="126" t="s">
        <v>215</v>
      </c>
      <c r="E126" s="65" t="s">
        <v>1269</v>
      </c>
      <c r="G126" s="165">
        <v>45039.541666666664</v>
      </c>
      <c r="H126" s="165">
        <v>45039.548611111109</v>
      </c>
      <c r="I126" s="126" t="s">
        <v>460</v>
      </c>
      <c r="J126" s="126" t="s">
        <v>192</v>
      </c>
      <c r="K126" s="126" t="s">
        <v>192</v>
      </c>
      <c r="L126" s="126" t="s">
        <v>1339</v>
      </c>
      <c r="M126" s="167"/>
      <c r="N126" s="126" t="s">
        <v>222</v>
      </c>
      <c r="O126" s="126" t="s">
        <v>223</v>
      </c>
      <c r="P126" s="126" t="s">
        <v>76</v>
      </c>
      <c r="Q126" s="181">
        <f>3137*2.4</f>
        <v>7528.7999999999993</v>
      </c>
      <c r="R126" s="181">
        <v>7500</v>
      </c>
      <c r="S126" s="181"/>
      <c r="AK126" s="181">
        <f t="shared" si="38"/>
        <v>7500</v>
      </c>
      <c r="AW126" s="165">
        <f t="shared" si="21"/>
        <v>45037.868055555555</v>
      </c>
      <c r="AX126" s="165">
        <f t="shared" si="22"/>
        <v>45047.208333333336</v>
      </c>
      <c r="AY126" s="137">
        <f t="shared" si="23"/>
        <v>9.3402777777810115</v>
      </c>
      <c r="AZ126" s="165">
        <v>45037.868055555555</v>
      </c>
      <c r="BA126" s="165">
        <v>45042.798611111109</v>
      </c>
      <c r="BB126" s="165">
        <v>45043.208333333336</v>
      </c>
      <c r="BC126" s="165">
        <v>45043.354166666664</v>
      </c>
      <c r="BD126" s="165">
        <v>45043.739583333336</v>
      </c>
      <c r="BE126" s="165">
        <v>45043.756944444445</v>
      </c>
      <c r="BF126" s="165">
        <v>45043.756944444445</v>
      </c>
      <c r="BG126" s="165">
        <f t="shared" si="39"/>
        <v>45044.173611111109</v>
      </c>
      <c r="BH126" s="165">
        <v>45044.25</v>
      </c>
      <c r="BI126" s="165">
        <v>45044.416666666664</v>
      </c>
      <c r="BJ126" s="165">
        <v>45044.305555555555</v>
      </c>
      <c r="BK126" s="165">
        <v>45045.520833333336</v>
      </c>
      <c r="BL126" s="165">
        <v>45046.482638888891</v>
      </c>
      <c r="BM126" s="165">
        <v>45046.888888888891</v>
      </c>
      <c r="BN126" s="165">
        <v>45046.899305555555</v>
      </c>
      <c r="BO126" s="165">
        <v>45046.899305555555</v>
      </c>
      <c r="BP126" s="165">
        <v>45047.208333333336</v>
      </c>
      <c r="BS126" s="136">
        <f t="shared" si="24"/>
        <v>9.8333333334303461</v>
      </c>
      <c r="BT126" s="136">
        <f t="shared" si="25"/>
        <v>9.2500000001164153</v>
      </c>
      <c r="BU126" s="136">
        <f t="shared" si="26"/>
        <v>9.9999999999417923</v>
      </c>
      <c r="BV126" s="136">
        <f t="shared" si="40"/>
        <v>26.500000000116415</v>
      </c>
      <c r="BW126" s="135">
        <f t="shared" si="27"/>
        <v>9.75</v>
      </c>
      <c r="BX126" s="135">
        <f t="shared" si="28"/>
        <v>7.4166666667442769</v>
      </c>
      <c r="BY126" s="134">
        <f t="shared" si="29"/>
        <v>3.0312500000145519</v>
      </c>
      <c r="BZ126" s="134">
        <f t="shared" si="30"/>
        <v>9.3402777777810115</v>
      </c>
      <c r="CA126" s="133">
        <f t="shared" si="31"/>
        <v>0.3245353159865757</v>
      </c>
    </row>
    <row r="127" spans="1:79" s="126" customFormat="1">
      <c r="A127" s="192">
        <f t="shared" si="33"/>
        <v>45045.559027777781</v>
      </c>
      <c r="B127" s="126" t="s">
        <v>188</v>
      </c>
      <c r="C127" s="126" t="s">
        <v>76</v>
      </c>
      <c r="D127" s="126" t="s">
        <v>197</v>
      </c>
      <c r="E127" s="65" t="s">
        <v>1293</v>
      </c>
      <c r="G127" s="73">
        <v>45043.833333333336</v>
      </c>
      <c r="H127" s="73">
        <v>45043.770833333336</v>
      </c>
      <c r="I127" s="126" t="s">
        <v>464</v>
      </c>
      <c r="J127" s="126" t="s">
        <v>192</v>
      </c>
      <c r="K127" s="126" t="s">
        <v>192</v>
      </c>
      <c r="L127" s="126" t="s">
        <v>1340</v>
      </c>
      <c r="M127" s="167"/>
      <c r="N127" s="126" t="s">
        <v>437</v>
      </c>
      <c r="O127" s="126" t="s">
        <v>320</v>
      </c>
      <c r="P127" s="126" t="s">
        <v>76</v>
      </c>
      <c r="Q127" s="181">
        <f>3136*2.4</f>
        <v>7526.4</v>
      </c>
      <c r="R127" s="181">
        <v>7500</v>
      </c>
      <c r="S127" s="181"/>
      <c r="AK127" s="181">
        <f t="shared" si="38"/>
        <v>7500</v>
      </c>
      <c r="AW127" s="165">
        <f t="shared" si="21"/>
        <v>45043.902777777781</v>
      </c>
      <c r="AX127" s="165">
        <f t="shared" si="22"/>
        <v>45050.563888888886</v>
      </c>
      <c r="AY127" s="137">
        <f t="shared" si="23"/>
        <v>6.6611111111051287</v>
      </c>
      <c r="AZ127" s="165">
        <v>45043.902777777781</v>
      </c>
      <c r="BA127" s="165">
        <v>45044.805555555555</v>
      </c>
      <c r="BB127" s="165">
        <v>45045.125</v>
      </c>
      <c r="BC127" s="165">
        <v>45045.559027777781</v>
      </c>
      <c r="BD127" s="165">
        <v>45045.954861111109</v>
      </c>
      <c r="BE127" s="165">
        <v>45045.975694444445</v>
      </c>
      <c r="BF127" s="165">
        <v>45045.975694444445</v>
      </c>
      <c r="BG127" s="165">
        <f t="shared" si="39"/>
        <v>45046.392361111109</v>
      </c>
      <c r="BH127" s="165">
        <v>45046.541666666664</v>
      </c>
      <c r="BI127" s="165">
        <v>45046.708333333328</v>
      </c>
      <c r="BJ127" s="165">
        <v>45046.493055555555</v>
      </c>
      <c r="BK127" s="165">
        <v>45048.416666666664</v>
      </c>
      <c r="BL127" s="165">
        <v>45049.760416666664</v>
      </c>
      <c r="BM127" s="165">
        <v>45050.045138888891</v>
      </c>
      <c r="BN127" s="165">
        <v>45050.059027777781</v>
      </c>
      <c r="BO127" s="165">
        <v>45050.0625</v>
      </c>
      <c r="BP127" s="165">
        <v>45050.563888888886</v>
      </c>
      <c r="BS127" s="136">
        <f t="shared" si="24"/>
        <v>7.6666666666860692</v>
      </c>
      <c r="BT127" s="136">
        <f t="shared" si="25"/>
        <v>9.4999999998835847</v>
      </c>
      <c r="BU127" s="136">
        <f t="shared" si="26"/>
        <v>9.9999999999417923</v>
      </c>
      <c r="BV127" s="136">
        <f t="shared" si="40"/>
        <v>41.000000000058208</v>
      </c>
      <c r="BW127" s="135">
        <f t="shared" si="27"/>
        <v>6.8333333334303461</v>
      </c>
      <c r="BX127" s="135">
        <f t="shared" si="28"/>
        <v>12.033333333267365</v>
      </c>
      <c r="BY127" s="134">
        <f t="shared" si="29"/>
        <v>3.6263888888861402</v>
      </c>
      <c r="BZ127" s="134">
        <f t="shared" si="30"/>
        <v>6.6611111111051287</v>
      </c>
      <c r="CA127" s="133">
        <f t="shared" si="31"/>
        <v>0.54441201000841655</v>
      </c>
    </row>
    <row r="128" spans="1:79" s="126" customFormat="1">
      <c r="A128" s="192">
        <f t="shared" si="33"/>
        <v>45024.673611111109</v>
      </c>
      <c r="B128" s="126" t="s">
        <v>228</v>
      </c>
      <c r="C128" s="126" t="s">
        <v>229</v>
      </c>
      <c r="D128" s="126" t="s">
        <v>197</v>
      </c>
      <c r="E128" s="65" t="s">
        <v>1072</v>
      </c>
      <c r="G128" s="73">
        <v>45035.25</v>
      </c>
      <c r="H128" s="73">
        <v>45035.229166666664</v>
      </c>
      <c r="I128" s="126" t="s">
        <v>469</v>
      </c>
      <c r="J128" s="126" t="s">
        <v>192</v>
      </c>
      <c r="K128" s="126" t="s">
        <v>192</v>
      </c>
      <c r="L128" s="126" t="s">
        <v>1341</v>
      </c>
      <c r="M128" s="167"/>
      <c r="N128" s="126" t="s">
        <v>339</v>
      </c>
      <c r="O128" s="126" t="s">
        <v>340</v>
      </c>
      <c r="P128" s="126" t="s">
        <v>172</v>
      </c>
      <c r="Q128" s="181">
        <f>3141*2.4</f>
        <v>7538.4</v>
      </c>
      <c r="R128" s="181">
        <v>7555.0990000000002</v>
      </c>
      <c r="S128" s="181"/>
      <c r="Y128" s="181">
        <f t="shared" ref="Y128:Y134" si="41">R128</f>
        <v>7555.0990000000002</v>
      </c>
      <c r="AW128" s="165">
        <f t="shared" si="21"/>
        <v>45017.625</v>
      </c>
      <c r="AX128" s="165">
        <f t="shared" si="22"/>
        <v>45035.319444444445</v>
      </c>
      <c r="AY128" s="137">
        <f t="shared" si="23"/>
        <v>17.694444444445253</v>
      </c>
      <c r="AZ128" s="165">
        <v>45017.625</v>
      </c>
      <c r="BA128" s="165">
        <v>45020.59375</v>
      </c>
      <c r="BB128" s="165">
        <v>45022.666666666664</v>
      </c>
      <c r="BC128" s="165">
        <v>45024.673611111109</v>
      </c>
      <c r="BD128" s="165">
        <v>45024.947916666664</v>
      </c>
      <c r="BE128" s="165">
        <v>45024.958333333336</v>
      </c>
      <c r="BF128" s="165">
        <v>45024.958333333336</v>
      </c>
      <c r="BG128" s="165">
        <f t="shared" ref="BG128:BG134" si="42">BF128+(41/24)</f>
        <v>45026.666666666672</v>
      </c>
      <c r="BH128" s="165">
        <v>45028.25</v>
      </c>
      <c r="BI128" s="165">
        <v>45028.416666666664</v>
      </c>
      <c r="BJ128" s="165">
        <v>45028.409722222219</v>
      </c>
      <c r="BK128" s="165">
        <v>45030.055555555555</v>
      </c>
      <c r="BL128" s="165">
        <v>45035.045138888891</v>
      </c>
      <c r="BM128" s="165">
        <v>45035.291666666664</v>
      </c>
      <c r="BN128" s="165">
        <v>45035.319444444445</v>
      </c>
      <c r="BO128" s="165">
        <v>45035.319444444445</v>
      </c>
      <c r="BP128" s="165">
        <v>45035.319444444445</v>
      </c>
      <c r="BQ128" s="126" t="s">
        <v>788</v>
      </c>
      <c r="BS128" s="136">
        <f t="shared" si="24"/>
        <v>49.749999999941792</v>
      </c>
      <c r="BT128" s="136">
        <f t="shared" si="25"/>
        <v>6.5833333333139308</v>
      </c>
      <c r="BU128" s="136">
        <f t="shared" si="26"/>
        <v>41.000000000058208</v>
      </c>
      <c r="BV128" s="136">
        <f t="shared" si="40"/>
        <v>39.333333333372138</v>
      </c>
      <c r="BW128" s="135">
        <f t="shared" si="27"/>
        <v>5.9166666665696539</v>
      </c>
      <c r="BX128" s="135">
        <f t="shared" si="28"/>
        <v>0</v>
      </c>
      <c r="BY128" s="134">
        <f t="shared" si="29"/>
        <v>5.9409722222189885</v>
      </c>
      <c r="BZ128" s="134">
        <f t="shared" si="30"/>
        <v>17.694444444445253</v>
      </c>
      <c r="CA128" s="133">
        <f t="shared" si="31"/>
        <v>0.33575353218190551</v>
      </c>
    </row>
    <row r="129" spans="1:79" s="126" customFormat="1">
      <c r="A129" s="192">
        <f t="shared" si="33"/>
        <v>45028.079861111109</v>
      </c>
      <c r="B129" s="126" t="s">
        <v>228</v>
      </c>
      <c r="C129" s="126" t="s">
        <v>229</v>
      </c>
      <c r="D129" s="126" t="s">
        <v>215</v>
      </c>
      <c r="E129" s="65" t="s">
        <v>1072</v>
      </c>
      <c r="G129" s="73">
        <v>45035.25</v>
      </c>
      <c r="H129" s="73">
        <v>45035.229166666664</v>
      </c>
      <c r="I129" s="126" t="s">
        <v>469</v>
      </c>
      <c r="J129" s="126" t="s">
        <v>192</v>
      </c>
      <c r="K129" s="126" t="s">
        <v>192</v>
      </c>
      <c r="L129" s="126" t="s">
        <v>1342</v>
      </c>
      <c r="M129" s="167"/>
      <c r="N129" s="126" t="s">
        <v>222</v>
      </c>
      <c r="O129" s="126" t="s">
        <v>223</v>
      </c>
      <c r="P129" s="126" t="s">
        <v>172</v>
      </c>
      <c r="Q129" s="181">
        <f>3137*2.4</f>
        <v>7528.7999999999993</v>
      </c>
      <c r="R129" s="181">
        <v>7594.6850000000004</v>
      </c>
      <c r="S129" s="181"/>
      <c r="Y129" s="181">
        <f t="shared" si="41"/>
        <v>7594.6850000000004</v>
      </c>
      <c r="AW129" s="165">
        <f t="shared" si="21"/>
        <v>45013.472222222219</v>
      </c>
      <c r="AX129" s="165">
        <f t="shared" si="22"/>
        <v>45037.868055555555</v>
      </c>
      <c r="AY129" s="137">
        <f t="shared" si="23"/>
        <v>24.395833333335759</v>
      </c>
      <c r="AZ129" s="165">
        <v>45013.472222222219</v>
      </c>
      <c r="BA129" s="165">
        <v>45025.5625</v>
      </c>
      <c r="BB129" s="165">
        <v>45027.90625</v>
      </c>
      <c r="BC129" s="165">
        <v>45028.079861111109</v>
      </c>
      <c r="BD129" s="165">
        <v>45028.395833333336</v>
      </c>
      <c r="BE129" s="165">
        <v>45028.402777777781</v>
      </c>
      <c r="BF129" s="165">
        <v>45028.402777777781</v>
      </c>
      <c r="BG129" s="165">
        <f t="shared" si="42"/>
        <v>45030.111111111117</v>
      </c>
      <c r="BH129" s="165">
        <v>45030.25</v>
      </c>
      <c r="BI129" s="165">
        <v>45030.416666666664</v>
      </c>
      <c r="BJ129" s="165">
        <v>45030.357638888891</v>
      </c>
      <c r="BK129" s="165">
        <v>45032.069444444445</v>
      </c>
      <c r="BL129" s="165">
        <v>45037.159722222219</v>
      </c>
      <c r="BM129" s="165">
        <v>45037.395833333336</v>
      </c>
      <c r="BN129" s="165">
        <v>45037.416666666664</v>
      </c>
      <c r="BO129" s="165">
        <v>45037.420138888891</v>
      </c>
      <c r="BP129" s="165">
        <v>45037.868055555555</v>
      </c>
      <c r="BS129" s="136">
        <f t="shared" si="24"/>
        <v>56.25</v>
      </c>
      <c r="BT129" s="136">
        <f t="shared" si="25"/>
        <v>7.5833333334303461</v>
      </c>
      <c r="BU129" s="136">
        <f t="shared" si="26"/>
        <v>41.000000000058208</v>
      </c>
      <c r="BV129" s="136">
        <f t="shared" si="40"/>
        <v>39.666666666744277</v>
      </c>
      <c r="BW129" s="135">
        <f t="shared" si="27"/>
        <v>5.6666666668024845</v>
      </c>
      <c r="BX129" s="135">
        <f t="shared" si="28"/>
        <v>10.749999999941792</v>
      </c>
      <c r="BY129" s="134">
        <f t="shared" si="29"/>
        <v>6.7048611111240461</v>
      </c>
      <c r="BZ129" s="134">
        <f t="shared" si="30"/>
        <v>24.395833333335759</v>
      </c>
      <c r="CA129" s="133">
        <f t="shared" si="31"/>
        <v>0.27483632223221366</v>
      </c>
    </row>
    <row r="130" spans="1:79" s="126" customFormat="1">
      <c r="A130" s="192">
        <f t="shared" si="33"/>
        <v>45030.813194444447</v>
      </c>
      <c r="B130" s="126" t="s">
        <v>228</v>
      </c>
      <c r="C130" s="126" t="s">
        <v>229</v>
      </c>
      <c r="D130" s="126" t="s">
        <v>215</v>
      </c>
      <c r="E130" s="65" t="s">
        <v>1072</v>
      </c>
      <c r="G130" s="73">
        <v>45035.25</v>
      </c>
      <c r="H130" s="73">
        <v>45035.229166666664</v>
      </c>
      <c r="I130" s="126" t="s">
        <v>469</v>
      </c>
      <c r="J130" s="126" t="s">
        <v>192</v>
      </c>
      <c r="K130" s="126" t="s">
        <v>192</v>
      </c>
      <c r="L130" s="126" t="s">
        <v>1343</v>
      </c>
      <c r="M130" s="167"/>
      <c r="N130" s="126" t="s">
        <v>343</v>
      </c>
      <c r="O130" s="126" t="s">
        <v>344</v>
      </c>
      <c r="P130" s="126" t="s">
        <v>172</v>
      </c>
      <c r="Q130" s="181">
        <f>3136*2.4</f>
        <v>7526.4</v>
      </c>
      <c r="R130" s="181">
        <v>7585.585</v>
      </c>
      <c r="S130" s="181"/>
      <c r="Y130" s="181">
        <f t="shared" si="41"/>
        <v>7585.585</v>
      </c>
      <c r="AW130" s="165">
        <f t="shared" si="21"/>
        <v>45024.291666666664</v>
      </c>
      <c r="AX130" s="165">
        <f t="shared" si="22"/>
        <v>45038.333333333336</v>
      </c>
      <c r="AY130" s="137">
        <f t="shared" si="23"/>
        <v>14.041666666671517</v>
      </c>
      <c r="AZ130" s="165">
        <v>45024.291666666664</v>
      </c>
      <c r="BA130" s="165">
        <v>45028.554166666669</v>
      </c>
      <c r="BB130" s="165">
        <v>45030.354166666664</v>
      </c>
      <c r="BC130" s="165">
        <v>45030.813194444447</v>
      </c>
      <c r="BD130" s="165">
        <v>45031.019444444442</v>
      </c>
      <c r="BE130" s="165">
        <v>45031.024305555555</v>
      </c>
      <c r="BF130" s="165">
        <v>45031.277777777781</v>
      </c>
      <c r="BG130" s="165">
        <f t="shared" si="42"/>
        <v>45032.986111111117</v>
      </c>
      <c r="BH130" s="165">
        <v>45033.541666608799</v>
      </c>
      <c r="BI130" s="165">
        <v>45033.708333275463</v>
      </c>
      <c r="BJ130" s="165">
        <v>45033.628472222219</v>
      </c>
      <c r="BK130" s="165">
        <v>45035.875</v>
      </c>
      <c r="BL130" s="165">
        <v>45037.565972222219</v>
      </c>
      <c r="BM130" s="165">
        <v>45037.770833333336</v>
      </c>
      <c r="BN130" s="165">
        <v>45037.791666666664</v>
      </c>
      <c r="BO130" s="165">
        <v>45037.944444444445</v>
      </c>
      <c r="BP130" s="165">
        <v>45038.333333333336</v>
      </c>
      <c r="BQ130" s="126" t="s">
        <v>1344</v>
      </c>
      <c r="BS130" s="136">
        <f t="shared" si="24"/>
        <v>43.199999999895226</v>
      </c>
      <c r="BT130" s="136">
        <f t="shared" si="25"/>
        <v>4.9499999998952262</v>
      </c>
      <c r="BU130" s="136">
        <f t="shared" si="26"/>
        <v>41.000000000058208</v>
      </c>
      <c r="BV130" s="136">
        <f t="shared" si="40"/>
        <v>52.000001388892997</v>
      </c>
      <c r="BW130" s="135">
        <f t="shared" si="27"/>
        <v>4.9166666668024845</v>
      </c>
      <c r="BX130" s="135">
        <f t="shared" si="28"/>
        <v>9.3333333333721384</v>
      </c>
      <c r="BY130" s="134">
        <f t="shared" si="29"/>
        <v>6.4750000578715117</v>
      </c>
      <c r="BZ130" s="134">
        <f t="shared" si="30"/>
        <v>14.041666666671517</v>
      </c>
      <c r="CA130" s="133">
        <f t="shared" si="31"/>
        <v>0.46112760056042312</v>
      </c>
    </row>
    <row r="131" spans="1:79" s="126" customFormat="1">
      <c r="A131" s="192">
        <f t="shared" si="33"/>
        <v>45035.065972222219</v>
      </c>
      <c r="B131" s="126" t="s">
        <v>228</v>
      </c>
      <c r="C131" s="126" t="s">
        <v>229</v>
      </c>
      <c r="D131" s="126" t="s">
        <v>215</v>
      </c>
      <c r="E131" s="65" t="s">
        <v>1345</v>
      </c>
      <c r="G131" s="73">
        <v>45038.333333333336</v>
      </c>
      <c r="H131" s="73">
        <v>45038.324999999997</v>
      </c>
      <c r="I131" s="126" t="s">
        <v>469</v>
      </c>
      <c r="J131" s="126" t="s">
        <v>192</v>
      </c>
      <c r="K131" s="126" t="s">
        <v>192</v>
      </c>
      <c r="L131" s="126" t="s">
        <v>1346</v>
      </c>
      <c r="M131" s="167"/>
      <c r="N131" s="126" t="s">
        <v>403</v>
      </c>
      <c r="O131" s="126" t="s">
        <v>404</v>
      </c>
      <c r="P131" s="187" t="s">
        <v>172</v>
      </c>
      <c r="Q131" s="181">
        <f>3107*2.4</f>
        <v>7456.7999999999993</v>
      </c>
      <c r="R131" s="188">
        <v>7550.8950000000004</v>
      </c>
      <c r="S131" s="181"/>
      <c r="Y131" s="181">
        <f t="shared" si="41"/>
        <v>7550.8950000000004</v>
      </c>
      <c r="AW131" s="165">
        <f t="shared" si="21"/>
        <v>45030.524305555555</v>
      </c>
      <c r="AX131" s="165">
        <f t="shared" si="22"/>
        <v>45045.628472222219</v>
      </c>
      <c r="AY131" s="137">
        <f t="shared" si="23"/>
        <v>15.104166666664241</v>
      </c>
      <c r="AZ131" s="165">
        <v>45030.524305555555</v>
      </c>
      <c r="BA131" s="165">
        <v>45031.559027777781</v>
      </c>
      <c r="BB131" s="165">
        <v>45033.25</v>
      </c>
      <c r="BC131" s="165">
        <v>45035.065972222219</v>
      </c>
      <c r="BD131" s="165">
        <v>45035.371527777781</v>
      </c>
      <c r="BE131" s="165">
        <v>45035.378472222219</v>
      </c>
      <c r="BF131" s="165">
        <v>45035.378472222219</v>
      </c>
      <c r="BG131" s="165">
        <f t="shared" si="42"/>
        <v>45037.086805555555</v>
      </c>
      <c r="BH131" s="165">
        <v>45037.25</v>
      </c>
      <c r="BI131" s="165">
        <v>45037.416666666664</v>
      </c>
      <c r="BJ131" s="165">
        <v>45037.28125</v>
      </c>
      <c r="BK131" s="165">
        <v>45038.833333333336</v>
      </c>
      <c r="BL131" s="165">
        <v>45045.402777777781</v>
      </c>
      <c r="BM131" s="165">
        <v>45045.611111111109</v>
      </c>
      <c r="BN131" s="165">
        <v>45045.628472222219</v>
      </c>
      <c r="BO131" s="165">
        <v>45045.628472222219</v>
      </c>
      <c r="BP131" s="165">
        <v>45045.628472222219</v>
      </c>
      <c r="BS131" s="136">
        <f t="shared" si="24"/>
        <v>40.583333333255723</v>
      </c>
      <c r="BT131" s="136">
        <f t="shared" si="25"/>
        <v>7.3333333334885538</v>
      </c>
      <c r="BU131" s="136">
        <f t="shared" si="26"/>
        <v>41.000000000058208</v>
      </c>
      <c r="BV131" s="136">
        <f t="shared" si="40"/>
        <v>34.000000000116415</v>
      </c>
      <c r="BW131" s="135">
        <f t="shared" si="27"/>
        <v>4.9999999998835847</v>
      </c>
      <c r="BX131" s="135">
        <f t="shared" si="28"/>
        <v>0</v>
      </c>
      <c r="BY131" s="134">
        <f t="shared" si="29"/>
        <v>5.3298611111167702</v>
      </c>
      <c r="BZ131" s="134">
        <f t="shared" si="30"/>
        <v>15.104166666664241</v>
      </c>
      <c r="CA131" s="133">
        <f t="shared" si="31"/>
        <v>0.35287356321882213</v>
      </c>
    </row>
    <row r="132" spans="1:79" s="126" customFormat="1">
      <c r="A132" s="192">
        <f t="shared" si="33"/>
        <v>45040.524305555555</v>
      </c>
      <c r="B132" s="126" t="s">
        <v>228</v>
      </c>
      <c r="C132" s="126" t="s">
        <v>229</v>
      </c>
      <c r="D132" s="126" t="s">
        <v>215</v>
      </c>
      <c r="E132" s="126" t="s">
        <v>1269</v>
      </c>
      <c r="G132" s="165">
        <v>45039.541666666664</v>
      </c>
      <c r="H132" s="165">
        <v>45039.548611111109</v>
      </c>
      <c r="I132" s="126" t="s">
        <v>471</v>
      </c>
      <c r="J132" s="126" t="s">
        <v>192</v>
      </c>
      <c r="K132" s="126" t="s">
        <v>192</v>
      </c>
      <c r="L132" s="126" t="s">
        <v>1347</v>
      </c>
      <c r="M132" s="167"/>
      <c r="N132" s="126" t="s">
        <v>774</v>
      </c>
      <c r="O132" s="126" t="s">
        <v>423</v>
      </c>
      <c r="P132" s="126" t="s">
        <v>172</v>
      </c>
      <c r="Q132" s="181">
        <f>3156*2.4</f>
        <v>7574.4</v>
      </c>
      <c r="R132" s="181">
        <v>7537.3739999999998</v>
      </c>
      <c r="S132" s="181"/>
      <c r="Y132" s="181">
        <f t="shared" si="41"/>
        <v>7537.3739999999998</v>
      </c>
      <c r="AW132" s="165">
        <f t="shared" ref="AW132:AW164" si="43">AZ132</f>
        <v>45033.145833333336</v>
      </c>
      <c r="AX132" s="165">
        <f t="shared" ref="AX132:AX164" si="44">BP132</f>
        <v>45045.472222222219</v>
      </c>
      <c r="AY132" s="137">
        <f t="shared" ref="AY132:AY164" si="45">AX132-AW132</f>
        <v>12.32638888888323</v>
      </c>
      <c r="AZ132" s="165">
        <v>45033.145833333336</v>
      </c>
      <c r="BA132" s="165">
        <v>45034.368055555555</v>
      </c>
      <c r="BB132" s="165">
        <v>45036.208333333336</v>
      </c>
      <c r="BC132" s="165">
        <v>45040.524305555555</v>
      </c>
      <c r="BD132" s="165">
        <v>45040.805555555555</v>
      </c>
      <c r="BE132" s="165">
        <v>45040.809027777781</v>
      </c>
      <c r="BF132" s="165">
        <v>45040.809027777781</v>
      </c>
      <c r="BG132" s="165">
        <f t="shared" si="42"/>
        <v>45042.517361111117</v>
      </c>
      <c r="BH132" s="165">
        <v>45042.25</v>
      </c>
      <c r="BI132" s="165">
        <v>45042.416666666664</v>
      </c>
      <c r="BJ132" s="165">
        <v>45042.333333333336</v>
      </c>
      <c r="BK132" s="165">
        <v>45043.569444444445</v>
      </c>
      <c r="BL132" s="165">
        <v>45044.715277777781</v>
      </c>
      <c r="BM132" s="165">
        <v>45045.125</v>
      </c>
      <c r="BN132" s="165">
        <v>45045.138888888891</v>
      </c>
      <c r="BO132" s="165">
        <v>45045.138888888891</v>
      </c>
      <c r="BP132" s="165">
        <v>45045.472222222219</v>
      </c>
      <c r="BS132" s="136">
        <f t="shared" ref="BS132:BS164" si="46">(BB132-BA132)*24</f>
        <v>44.166666666744277</v>
      </c>
      <c r="BT132" s="136">
        <f t="shared" ref="BT132:BT164" si="47">(BD132-BC132)*24</f>
        <v>6.75</v>
      </c>
      <c r="BU132" s="136">
        <f t="shared" ref="BU132:BU164" si="48">(BG132-BF132)*24</f>
        <v>41.000000000058208</v>
      </c>
      <c r="BV132" s="136">
        <f t="shared" si="40"/>
        <v>27.666666666744277</v>
      </c>
      <c r="BW132" s="135">
        <f t="shared" ref="BW132:BW164" si="49">(BM132-BL132)*24</f>
        <v>9.8333333332557231</v>
      </c>
      <c r="BX132" s="135">
        <f t="shared" ref="BX132:BX164" si="50">(BP132-BO132)*24</f>
        <v>7.9999999998835847</v>
      </c>
      <c r="BY132" s="134">
        <f t="shared" ref="BY132:BY163" si="51">SUM(BS132:BX132)/24</f>
        <v>5.7256944444452529</v>
      </c>
      <c r="BZ132" s="134">
        <f t="shared" ref="BZ132:BZ164" si="52">AY132</f>
        <v>12.32638888888323</v>
      </c>
      <c r="CA132" s="133">
        <f t="shared" ref="CA132:CA164" si="53">BY132/BZ132</f>
        <v>0.46450704225379996</v>
      </c>
    </row>
    <row r="133" spans="1:79" s="126" customFormat="1">
      <c r="A133" s="192">
        <f t="shared" si="33"/>
        <v>45041.576388888891</v>
      </c>
      <c r="B133" s="126" t="s">
        <v>228</v>
      </c>
      <c r="C133" s="126" t="s">
        <v>229</v>
      </c>
      <c r="D133" s="126" t="s">
        <v>215</v>
      </c>
      <c r="E133" s="126" t="s">
        <v>1269</v>
      </c>
      <c r="G133" s="165">
        <v>45039.541666666664</v>
      </c>
      <c r="H133" s="165">
        <v>45039.548611111109</v>
      </c>
      <c r="I133" s="126" t="s">
        <v>471</v>
      </c>
      <c r="J133" s="126" t="s">
        <v>192</v>
      </c>
      <c r="K133" s="126" t="s">
        <v>192</v>
      </c>
      <c r="L133" s="126" t="s">
        <v>1348</v>
      </c>
      <c r="M133" s="167"/>
      <c r="N133" s="126" t="s">
        <v>721</v>
      </c>
      <c r="O133" s="126" t="s">
        <v>1349</v>
      </c>
      <c r="P133" s="126" t="s">
        <v>172</v>
      </c>
      <c r="Q133" s="181">
        <f>3136*2.4</f>
        <v>7526.4</v>
      </c>
      <c r="R133" s="181">
        <v>7453.1040000000003</v>
      </c>
      <c r="S133" s="181"/>
      <c r="Y133" s="181">
        <f t="shared" si="41"/>
        <v>7453.1040000000003</v>
      </c>
      <c r="AW133" s="165">
        <f t="shared" si="43"/>
        <v>45033.729166666664</v>
      </c>
      <c r="AX133" s="165">
        <f t="shared" si="44"/>
        <v>45046.541666666664</v>
      </c>
      <c r="AY133" s="137">
        <f t="shared" si="45"/>
        <v>12.8125</v>
      </c>
      <c r="AZ133" s="165">
        <v>45033.729166666664</v>
      </c>
      <c r="BA133" s="165">
        <v>45034.809027777781</v>
      </c>
      <c r="BB133" s="165">
        <v>45036.375</v>
      </c>
      <c r="BC133" s="165">
        <v>45041.576388888891</v>
      </c>
      <c r="BD133" s="165">
        <v>45041.920138888891</v>
      </c>
      <c r="BE133" s="165">
        <v>45041.927083333336</v>
      </c>
      <c r="BF133" s="165">
        <v>45042.291666666664</v>
      </c>
      <c r="BG133" s="165">
        <f t="shared" si="42"/>
        <v>45044</v>
      </c>
      <c r="BH133" s="165">
        <v>45044.25</v>
      </c>
      <c r="BI133" s="165">
        <v>45044.416666666664</v>
      </c>
      <c r="BJ133" s="165">
        <v>45044.28125</v>
      </c>
      <c r="BK133" s="165">
        <v>45045.458333333336</v>
      </c>
      <c r="BL133" s="165">
        <v>45045.899305555555</v>
      </c>
      <c r="BM133" s="165">
        <v>45046.21875</v>
      </c>
      <c r="BN133" s="165">
        <v>45046.232638888891</v>
      </c>
      <c r="BO133" s="165">
        <v>45046.232638888891</v>
      </c>
      <c r="BP133" s="165">
        <v>45046.541666666664</v>
      </c>
      <c r="BS133" s="136">
        <f t="shared" si="46"/>
        <v>37.583333333255723</v>
      </c>
      <c r="BT133" s="136">
        <f t="shared" si="47"/>
        <v>8.25</v>
      </c>
      <c r="BU133" s="136">
        <f t="shared" si="48"/>
        <v>41.000000000058208</v>
      </c>
      <c r="BV133" s="136">
        <f t="shared" si="40"/>
        <v>25.000000000116415</v>
      </c>
      <c r="BW133" s="135">
        <f t="shared" si="49"/>
        <v>7.6666666666860692</v>
      </c>
      <c r="BX133" s="135">
        <f t="shared" si="50"/>
        <v>7.4166666665696539</v>
      </c>
      <c r="BY133" s="134">
        <f t="shared" si="51"/>
        <v>5.2881944444452529</v>
      </c>
      <c r="BZ133" s="134">
        <f t="shared" si="52"/>
        <v>12.8125</v>
      </c>
      <c r="CA133" s="133">
        <f t="shared" si="53"/>
        <v>0.41273712737133683</v>
      </c>
    </row>
    <row r="134" spans="1:79" s="126" customFormat="1">
      <c r="A134" s="192">
        <f t="shared" si="33"/>
        <v>45044.670138888891</v>
      </c>
      <c r="B134" s="126" t="s">
        <v>228</v>
      </c>
      <c r="C134" s="126" t="s">
        <v>229</v>
      </c>
      <c r="D134" s="126" t="s">
        <v>197</v>
      </c>
      <c r="E134" s="126" t="s">
        <v>1350</v>
      </c>
      <c r="G134" s="165">
        <v>45051.260416666664</v>
      </c>
      <c r="H134" s="165">
        <v>45051.260416666664</v>
      </c>
      <c r="I134" s="126" t="s">
        <v>469</v>
      </c>
      <c r="J134" s="126" t="s">
        <v>192</v>
      </c>
      <c r="K134" s="126" t="s">
        <v>192</v>
      </c>
      <c r="L134" s="126" t="s">
        <v>1351</v>
      </c>
      <c r="M134" s="167"/>
      <c r="N134" s="126" t="s">
        <v>208</v>
      </c>
      <c r="O134" s="126" t="s">
        <v>328</v>
      </c>
      <c r="P134" s="126" t="s">
        <v>172</v>
      </c>
      <c r="Q134" s="181">
        <f>3128*2.4</f>
        <v>7507.2</v>
      </c>
      <c r="R134" s="181">
        <v>7644.7870000000003</v>
      </c>
      <c r="S134" s="181"/>
      <c r="Y134" s="181">
        <f t="shared" si="41"/>
        <v>7644.7870000000003</v>
      </c>
      <c r="AW134" s="165">
        <f t="shared" si="43"/>
        <v>45041.875</v>
      </c>
      <c r="AX134" s="165">
        <f t="shared" si="44"/>
        <v>45050.335416666669</v>
      </c>
      <c r="AY134" s="137">
        <f t="shared" si="45"/>
        <v>8.4604166666686069</v>
      </c>
      <c r="AZ134" s="165">
        <v>45041.875</v>
      </c>
      <c r="BA134" s="165">
        <v>45042.802083333336</v>
      </c>
      <c r="BB134" s="165">
        <v>45044.375</v>
      </c>
      <c r="BC134" s="165">
        <v>45044.670138888891</v>
      </c>
      <c r="BD134" s="165">
        <v>45045.018055555556</v>
      </c>
      <c r="BE134" s="165">
        <v>45045.024305555555</v>
      </c>
      <c r="BF134" s="165">
        <v>45045.024305555555</v>
      </c>
      <c r="BG134" s="165">
        <f t="shared" si="42"/>
        <v>45046.732638888891</v>
      </c>
      <c r="BH134" s="165">
        <v>45047.541666608799</v>
      </c>
      <c r="BI134" s="165">
        <v>45047.708333275463</v>
      </c>
      <c r="BJ134" s="165">
        <v>45047.680555555555</v>
      </c>
      <c r="BK134" s="165">
        <v>45049.159722222219</v>
      </c>
      <c r="BL134" s="165">
        <v>45049.465277777781</v>
      </c>
      <c r="BM134" s="165">
        <v>45049.697916666664</v>
      </c>
      <c r="BN134" s="165">
        <v>45049.71875</v>
      </c>
      <c r="BO134" s="165">
        <v>45049.996527777781</v>
      </c>
      <c r="BP134" s="165">
        <v>45050.335416666669</v>
      </c>
      <c r="BS134" s="136">
        <f t="shared" si="46"/>
        <v>37.749999999941792</v>
      </c>
      <c r="BT134" s="136">
        <f t="shared" si="47"/>
        <v>8.3499999999767169</v>
      </c>
      <c r="BU134" s="136">
        <f t="shared" si="48"/>
        <v>41.000000000058208</v>
      </c>
      <c r="BV134" s="136">
        <f t="shared" si="40"/>
        <v>34.83333472214872</v>
      </c>
      <c r="BW134" s="135">
        <f t="shared" si="49"/>
        <v>5.5833333331975155</v>
      </c>
      <c r="BX134" s="135">
        <f t="shared" si="50"/>
        <v>8.1333333333022892</v>
      </c>
      <c r="BY134" s="134">
        <f t="shared" si="51"/>
        <v>5.6520833911927184</v>
      </c>
      <c r="BZ134" s="134">
        <f t="shared" si="52"/>
        <v>8.4604166666686069</v>
      </c>
      <c r="CA134" s="133">
        <f t="shared" si="53"/>
        <v>0.66806206052004002</v>
      </c>
    </row>
    <row r="135" spans="1:79" s="126" customFormat="1">
      <c r="A135" s="192">
        <f t="shared" si="33"/>
        <v>45037.090277777781</v>
      </c>
      <c r="B135" s="126" t="s">
        <v>188</v>
      </c>
      <c r="C135" s="126" t="s">
        <v>183</v>
      </c>
      <c r="D135" s="126" t="s">
        <v>189</v>
      </c>
      <c r="E135" s="65" t="s">
        <v>1179</v>
      </c>
      <c r="G135" s="165">
        <v>45033.495833333334</v>
      </c>
      <c r="H135" s="165">
        <v>45033.495833333334</v>
      </c>
      <c r="I135" s="65" t="s">
        <v>791</v>
      </c>
      <c r="J135" s="126" t="s">
        <v>192</v>
      </c>
      <c r="K135" s="126" t="s">
        <v>192</v>
      </c>
      <c r="L135" s="126" t="s">
        <v>1352</v>
      </c>
      <c r="M135" s="167"/>
      <c r="N135" s="126" t="s">
        <v>1353</v>
      </c>
      <c r="O135" s="126" t="s">
        <v>1354</v>
      </c>
      <c r="P135" s="126" t="s">
        <v>183</v>
      </c>
      <c r="Q135" s="181">
        <v>5500</v>
      </c>
      <c r="R135" s="181">
        <v>5155.6819999999998</v>
      </c>
      <c r="S135" s="181"/>
      <c r="AS135" s="181">
        <f>R135</f>
        <v>5155.6819999999998</v>
      </c>
      <c r="AW135" s="165">
        <f t="shared" si="43"/>
        <v>45037.041666666664</v>
      </c>
      <c r="AX135" s="165">
        <f t="shared" si="44"/>
        <v>45046.086805555555</v>
      </c>
      <c r="AY135" s="137">
        <f t="shared" si="45"/>
        <v>9.0451388888905058</v>
      </c>
      <c r="AZ135" s="165">
        <v>45037.041666666664</v>
      </c>
      <c r="BA135" s="165">
        <v>45037.041666666664</v>
      </c>
      <c r="BB135" s="165">
        <v>45037.041666666664</v>
      </c>
      <c r="BC135" s="165">
        <v>45037.090277777781</v>
      </c>
      <c r="BD135" s="165">
        <v>45037.489583333336</v>
      </c>
      <c r="BE135" s="165">
        <v>45037.517361111109</v>
      </c>
      <c r="BF135" s="165">
        <v>45037.517361111109</v>
      </c>
      <c r="BG135" s="165">
        <v>45037.517361111109</v>
      </c>
      <c r="BH135" s="166" t="s">
        <v>196</v>
      </c>
      <c r="BI135" s="166" t="s">
        <v>196</v>
      </c>
      <c r="BJ135" s="166" t="s">
        <v>196</v>
      </c>
      <c r="BK135" s="165">
        <v>45045.708333333336</v>
      </c>
      <c r="BL135" s="165">
        <v>45045.822916666664</v>
      </c>
      <c r="BM135" s="165">
        <v>45046.038194444445</v>
      </c>
      <c r="BN135" s="165">
        <v>45046.086805555555</v>
      </c>
      <c r="BO135" s="165">
        <v>45046.086805555555</v>
      </c>
      <c r="BP135" s="165">
        <v>45046.086805555555</v>
      </c>
      <c r="BS135" s="136">
        <f>(BB135-BA135)*24</f>
        <v>0</v>
      </c>
      <c r="BT135" s="136">
        <f t="shared" si="47"/>
        <v>9.5833333333139308</v>
      </c>
      <c r="BU135" s="136">
        <f t="shared" si="48"/>
        <v>0</v>
      </c>
      <c r="BV135" s="136">
        <f t="shared" ref="BV135:BV140" si="54">(BK135-BG135)*24</f>
        <v>196.58333333343035</v>
      </c>
      <c r="BW135" s="135">
        <f t="shared" si="49"/>
        <v>5.1666666667442769</v>
      </c>
      <c r="BX135" s="135">
        <f t="shared" si="50"/>
        <v>0</v>
      </c>
      <c r="BY135" s="134">
        <f t="shared" si="51"/>
        <v>8.8055555555620231</v>
      </c>
      <c r="BZ135" s="134">
        <f t="shared" si="52"/>
        <v>9.0451388888905058</v>
      </c>
      <c r="CA135" s="133">
        <f t="shared" si="53"/>
        <v>0.97351247600821855</v>
      </c>
    </row>
    <row r="136" spans="1:79" s="126" customFormat="1">
      <c r="A136" s="192">
        <f t="shared" si="33"/>
        <v>45037.611111111109</v>
      </c>
      <c r="B136" s="126" t="s">
        <v>188</v>
      </c>
      <c r="C136" s="126" t="s">
        <v>183</v>
      </c>
      <c r="D136" s="126" t="s">
        <v>189</v>
      </c>
      <c r="E136" s="65" t="s">
        <v>1179</v>
      </c>
      <c r="G136" s="165">
        <v>45033.495833333334</v>
      </c>
      <c r="H136" s="165">
        <v>45033.495833333334</v>
      </c>
      <c r="I136" s="65" t="s">
        <v>791</v>
      </c>
      <c r="J136" s="126" t="s">
        <v>192</v>
      </c>
      <c r="K136" s="126" t="s">
        <v>192</v>
      </c>
      <c r="L136" s="126" t="s">
        <v>1355</v>
      </c>
      <c r="M136" s="167"/>
      <c r="N136" s="126" t="s">
        <v>1070</v>
      </c>
      <c r="O136" s="126" t="s">
        <v>1071</v>
      </c>
      <c r="P136" s="126" t="s">
        <v>183</v>
      </c>
      <c r="Q136" s="181">
        <v>5500</v>
      </c>
      <c r="R136" s="181">
        <v>5252.7349999999997</v>
      </c>
      <c r="S136" s="181"/>
      <c r="AS136" s="181">
        <f>R136</f>
        <v>5252.7349999999997</v>
      </c>
      <c r="AW136" s="165">
        <f t="shared" si="43"/>
        <v>45037.069444444445</v>
      </c>
      <c r="AX136" s="165">
        <f t="shared" si="44"/>
        <v>45045.017361111109</v>
      </c>
      <c r="AY136" s="137">
        <f t="shared" si="45"/>
        <v>7.9479166666642413</v>
      </c>
      <c r="AZ136" s="165">
        <v>45037.069444444445</v>
      </c>
      <c r="BA136" s="165">
        <v>45037.583333333336</v>
      </c>
      <c r="BB136" s="165">
        <v>45037.597222222219</v>
      </c>
      <c r="BC136" s="165">
        <v>45037.611111111109</v>
      </c>
      <c r="BD136" s="165">
        <v>45039.125</v>
      </c>
      <c r="BE136" s="165">
        <v>45039.166666666664</v>
      </c>
      <c r="BF136" s="165">
        <v>45039.166666666664</v>
      </c>
      <c r="BG136" s="165">
        <v>45039.166666666664</v>
      </c>
      <c r="BH136" s="166" t="s">
        <v>196</v>
      </c>
      <c r="BI136" s="166" t="s">
        <v>196</v>
      </c>
      <c r="BJ136" s="166" t="s">
        <v>196</v>
      </c>
      <c r="BK136" s="165">
        <v>45044.326388888891</v>
      </c>
      <c r="BL136" s="165">
        <v>45044.743055555555</v>
      </c>
      <c r="BM136" s="165">
        <v>45044.982638888891</v>
      </c>
      <c r="BN136" s="165">
        <v>45045.017361111109</v>
      </c>
      <c r="BO136" s="165">
        <v>45045.017361111109</v>
      </c>
      <c r="BP136" s="165">
        <v>45045.017361111109</v>
      </c>
      <c r="BS136" s="136">
        <f t="shared" si="46"/>
        <v>0.33333333319751546</v>
      </c>
      <c r="BT136" s="136">
        <f t="shared" si="47"/>
        <v>36.333333333372138</v>
      </c>
      <c r="BU136" s="136">
        <f t="shared" si="48"/>
        <v>0</v>
      </c>
      <c r="BV136" s="136">
        <f t="shared" si="54"/>
        <v>123.83333333343035</v>
      </c>
      <c r="BW136" s="135">
        <f t="shared" si="49"/>
        <v>5.7500000000582077</v>
      </c>
      <c r="BX136" s="135">
        <f t="shared" si="50"/>
        <v>0</v>
      </c>
      <c r="BY136" s="134">
        <f t="shared" si="51"/>
        <v>6.9270833333357587</v>
      </c>
      <c r="BZ136" s="134">
        <f t="shared" si="52"/>
        <v>7.9479166666642413</v>
      </c>
      <c r="CA136" s="133">
        <f t="shared" si="53"/>
        <v>0.87155963302809403</v>
      </c>
    </row>
    <row r="137" spans="1:79" s="126" customFormat="1">
      <c r="A137" s="192">
        <f t="shared" si="33"/>
        <v>45040.4375</v>
      </c>
      <c r="B137" s="126" t="s">
        <v>188</v>
      </c>
      <c r="C137" s="126" t="s">
        <v>183</v>
      </c>
      <c r="D137" s="126" t="s">
        <v>189</v>
      </c>
      <c r="E137" s="126" t="s">
        <v>1350</v>
      </c>
      <c r="G137" s="165">
        <v>45051.260416666664</v>
      </c>
      <c r="H137" s="165">
        <v>45051.260416666664</v>
      </c>
      <c r="I137" s="65" t="s">
        <v>791</v>
      </c>
      <c r="J137" s="126" t="s">
        <v>192</v>
      </c>
      <c r="K137" s="126" t="s">
        <v>192</v>
      </c>
      <c r="L137" s="126" t="s">
        <v>1356</v>
      </c>
      <c r="M137" s="167"/>
      <c r="N137" s="126" t="s">
        <v>1357</v>
      </c>
      <c r="O137" s="126" t="s">
        <v>1358</v>
      </c>
      <c r="P137" s="126" t="s">
        <v>183</v>
      </c>
      <c r="Q137" s="181">
        <v>5500</v>
      </c>
      <c r="R137" s="181">
        <v>4753.5379999999996</v>
      </c>
      <c r="S137" s="181"/>
      <c r="AS137" s="181">
        <f>R137</f>
        <v>4753.5379999999996</v>
      </c>
      <c r="AW137" s="165">
        <f t="shared" si="43"/>
        <v>45040.409722222219</v>
      </c>
      <c r="AX137" s="165">
        <f t="shared" si="44"/>
        <v>45051.572916666664</v>
      </c>
      <c r="AY137" s="137">
        <f t="shared" si="45"/>
        <v>11.163194444445253</v>
      </c>
      <c r="AZ137" s="165">
        <v>45040.409722222219</v>
      </c>
      <c r="BA137" s="165">
        <v>45040.409722222219</v>
      </c>
      <c r="BB137" s="165">
        <v>45040.409722222219</v>
      </c>
      <c r="BC137" s="165">
        <v>45040.4375</v>
      </c>
      <c r="BD137" s="165">
        <v>45040.833333333336</v>
      </c>
      <c r="BE137" s="165">
        <v>45042.75</v>
      </c>
      <c r="BF137" s="165">
        <v>45042.75</v>
      </c>
      <c r="BG137" s="165">
        <v>45042.75</v>
      </c>
      <c r="BH137" s="166" t="s">
        <v>196</v>
      </c>
      <c r="BI137" s="166" t="s">
        <v>196</v>
      </c>
      <c r="BJ137" s="166" t="s">
        <v>196</v>
      </c>
      <c r="BK137" s="165">
        <v>45050.833333333336</v>
      </c>
      <c r="BL137" s="165">
        <v>45051.25</v>
      </c>
      <c r="BM137" s="165">
        <v>45051.541666666664</v>
      </c>
      <c r="BN137" s="165">
        <v>45051.572916666664</v>
      </c>
      <c r="BO137" s="165">
        <v>45051.572916666664</v>
      </c>
      <c r="BP137" s="165">
        <v>45051.572916666664</v>
      </c>
      <c r="BS137" s="136">
        <f t="shared" si="46"/>
        <v>0</v>
      </c>
      <c r="BT137" s="136">
        <f t="shared" si="47"/>
        <v>9.5000000000582077</v>
      </c>
      <c r="BU137" s="136">
        <f t="shared" si="48"/>
        <v>0</v>
      </c>
      <c r="BV137" s="136">
        <f t="shared" si="54"/>
        <v>194.00000000005821</v>
      </c>
      <c r="BW137" s="135">
        <f t="shared" si="49"/>
        <v>6.9999999999417923</v>
      </c>
      <c r="BX137" s="135">
        <f t="shared" si="50"/>
        <v>0</v>
      </c>
      <c r="BY137" s="134">
        <f t="shared" si="51"/>
        <v>8.7708333333357587</v>
      </c>
      <c r="BZ137" s="134">
        <f t="shared" si="52"/>
        <v>11.163194444445253</v>
      </c>
      <c r="CA137" s="133">
        <f t="shared" si="53"/>
        <v>0.78569206842939832</v>
      </c>
    </row>
    <row r="138" spans="1:79" s="126" customFormat="1">
      <c r="A138" s="192">
        <f t="shared" si="33"/>
        <v>45043.611111111109</v>
      </c>
      <c r="B138" s="126" t="s">
        <v>188</v>
      </c>
      <c r="C138" s="126" t="s">
        <v>183</v>
      </c>
      <c r="D138" s="126" t="s">
        <v>189</v>
      </c>
      <c r="E138" s="65" t="s">
        <v>1293</v>
      </c>
      <c r="G138" s="73">
        <v>45043.833333333336</v>
      </c>
      <c r="H138" s="73">
        <v>45043.770833333336</v>
      </c>
      <c r="I138" s="65" t="s">
        <v>791</v>
      </c>
      <c r="J138" s="126" t="s">
        <v>192</v>
      </c>
      <c r="K138" s="126" t="s">
        <v>192</v>
      </c>
      <c r="L138" s="126" t="s">
        <v>1359</v>
      </c>
      <c r="M138" s="167"/>
      <c r="N138" s="126" t="s">
        <v>1360</v>
      </c>
      <c r="O138" s="126" t="s">
        <v>1361</v>
      </c>
      <c r="P138" s="126" t="s">
        <v>183</v>
      </c>
      <c r="Q138" s="181">
        <v>5500</v>
      </c>
      <c r="R138" s="181">
        <v>5252.7349999999997</v>
      </c>
      <c r="S138" s="181"/>
      <c r="AS138" s="181">
        <f>R138</f>
        <v>5252.7349999999997</v>
      </c>
      <c r="AW138" s="165">
        <f t="shared" si="43"/>
        <v>45042.597222222219</v>
      </c>
      <c r="AX138" s="165">
        <f t="shared" si="44"/>
        <v>45054.888888888891</v>
      </c>
      <c r="AY138" s="137">
        <f t="shared" si="45"/>
        <v>12.291666666671517</v>
      </c>
      <c r="AZ138" s="165">
        <v>45042.597222222219</v>
      </c>
      <c r="BA138" s="165">
        <v>45042.597222222219</v>
      </c>
      <c r="BB138" s="165">
        <v>45042.597222222219</v>
      </c>
      <c r="BC138" s="165">
        <v>45043.611111111109</v>
      </c>
      <c r="BD138" s="165">
        <v>45044.125</v>
      </c>
      <c r="BE138" s="165">
        <v>45044.166666666664</v>
      </c>
      <c r="BF138" s="165">
        <v>45044.166666666664</v>
      </c>
      <c r="BG138" s="165">
        <v>45044.166666666664</v>
      </c>
      <c r="BH138" s="166" t="s">
        <v>196</v>
      </c>
      <c r="BI138" s="166" t="s">
        <v>196</v>
      </c>
      <c r="BJ138" s="166" t="s">
        <v>196</v>
      </c>
      <c r="BK138" s="165">
        <v>45054.020833333336</v>
      </c>
      <c r="BL138" s="165">
        <v>45054.666666666664</v>
      </c>
      <c r="BM138" s="165">
        <v>45054.868055555555</v>
      </c>
      <c r="BN138" s="165">
        <v>45054.888888888891</v>
      </c>
      <c r="BO138" s="165">
        <v>45054.888888888891</v>
      </c>
      <c r="BP138" s="165">
        <v>45054.888888888891</v>
      </c>
      <c r="BS138" s="136">
        <f t="shared" si="46"/>
        <v>0</v>
      </c>
      <c r="BT138" s="136">
        <f t="shared" si="47"/>
        <v>12.333333333372138</v>
      </c>
      <c r="BU138" s="136">
        <f t="shared" si="48"/>
        <v>0</v>
      </c>
      <c r="BV138" s="136">
        <f t="shared" si="54"/>
        <v>236.50000000011642</v>
      </c>
      <c r="BW138" s="135">
        <f t="shared" si="49"/>
        <v>4.8333333333721384</v>
      </c>
      <c r="BX138" s="135">
        <f t="shared" si="50"/>
        <v>0</v>
      </c>
      <c r="BY138" s="134">
        <f t="shared" si="51"/>
        <v>10.569444444452529</v>
      </c>
      <c r="BZ138" s="134">
        <f t="shared" si="52"/>
        <v>12.291666666671517</v>
      </c>
      <c r="CA138" s="133">
        <f t="shared" si="53"/>
        <v>0.85988700565003584</v>
      </c>
    </row>
    <row r="139" spans="1:79" s="126" customFormat="1">
      <c r="A139" s="192">
        <f t="shared" si="33"/>
        <v>45043.611111111109</v>
      </c>
      <c r="B139" s="126" t="s">
        <v>188</v>
      </c>
      <c r="C139" s="126" t="s">
        <v>183</v>
      </c>
      <c r="D139" s="126" t="s">
        <v>189</v>
      </c>
      <c r="E139" s="126" t="s">
        <v>1362</v>
      </c>
      <c r="G139" s="165">
        <v>45051.708333333336</v>
      </c>
      <c r="H139" s="165">
        <v>45051.708333333336</v>
      </c>
      <c r="I139" s="65" t="s">
        <v>791</v>
      </c>
      <c r="J139" s="126" t="s">
        <v>192</v>
      </c>
      <c r="K139" s="126" t="s">
        <v>192</v>
      </c>
      <c r="L139" s="126" t="s">
        <v>1363</v>
      </c>
      <c r="M139" s="167"/>
      <c r="N139" s="126" t="s">
        <v>1364</v>
      </c>
      <c r="O139" s="126" t="s">
        <v>1365</v>
      </c>
      <c r="P139" s="126" t="s">
        <v>183</v>
      </c>
      <c r="Q139" s="181">
        <v>5500</v>
      </c>
      <c r="R139" s="181">
        <v>5301.192</v>
      </c>
      <c r="S139" s="181"/>
      <c r="AS139" s="181">
        <f>R139</f>
        <v>5301.192</v>
      </c>
      <c r="AW139" s="165">
        <f t="shared" si="43"/>
        <v>45042.597222222219</v>
      </c>
      <c r="AX139" s="165">
        <f t="shared" si="44"/>
        <v>45058.034722222219</v>
      </c>
      <c r="AY139" s="137">
        <f t="shared" si="45"/>
        <v>15.4375</v>
      </c>
      <c r="AZ139" s="165">
        <v>45042.597222222219</v>
      </c>
      <c r="BA139" s="165">
        <v>45042.597222222219</v>
      </c>
      <c r="BB139" s="165">
        <v>45042.597222222219</v>
      </c>
      <c r="BC139" s="165">
        <v>45043.611111111109</v>
      </c>
      <c r="BD139" s="165">
        <v>45044.125</v>
      </c>
      <c r="BE139" s="165">
        <v>45046.166666666664</v>
      </c>
      <c r="BF139" s="165">
        <v>45046.166666666664</v>
      </c>
      <c r="BG139" s="165">
        <v>45046.166666666664</v>
      </c>
      <c r="BH139" s="166" t="s">
        <v>196</v>
      </c>
      <c r="BI139" s="166" t="s">
        <v>196</v>
      </c>
      <c r="BJ139" s="166" t="s">
        <v>196</v>
      </c>
      <c r="BK139" s="165">
        <v>45053.875</v>
      </c>
      <c r="BL139" s="165">
        <v>45057.659722222219</v>
      </c>
      <c r="BM139" s="165">
        <v>45058.017361111109</v>
      </c>
      <c r="BN139" s="165">
        <v>45058.034722222219</v>
      </c>
      <c r="BO139" s="165">
        <v>45058.034722222219</v>
      </c>
      <c r="BP139" s="165">
        <v>45058.034722222219</v>
      </c>
      <c r="BS139" s="136">
        <f t="shared" si="46"/>
        <v>0</v>
      </c>
      <c r="BT139" s="136">
        <f t="shared" si="47"/>
        <v>12.333333333372138</v>
      </c>
      <c r="BU139" s="136">
        <f t="shared" si="48"/>
        <v>0</v>
      </c>
      <c r="BV139" s="136">
        <f t="shared" si="54"/>
        <v>185.00000000005821</v>
      </c>
      <c r="BW139" s="135">
        <f t="shared" si="49"/>
        <v>8.5833333333721384</v>
      </c>
      <c r="BX139" s="135">
        <f t="shared" si="50"/>
        <v>0</v>
      </c>
      <c r="BY139" s="134">
        <f t="shared" si="51"/>
        <v>8.5798611111167702</v>
      </c>
      <c r="BZ139" s="134">
        <f t="shared" si="52"/>
        <v>15.4375</v>
      </c>
      <c r="CA139" s="133">
        <f t="shared" si="53"/>
        <v>0.55578047683347498</v>
      </c>
    </row>
    <row r="140" spans="1:79" s="126" customFormat="1">
      <c r="A140" s="192">
        <f t="shared" ref="A140" si="55">BC140</f>
        <v>45016.916666666664</v>
      </c>
      <c r="B140" s="126" t="s">
        <v>188</v>
      </c>
      <c r="C140" s="126" t="s">
        <v>184</v>
      </c>
      <c r="D140" s="126" t="s">
        <v>189</v>
      </c>
      <c r="E140" s="65" t="s">
        <v>1072</v>
      </c>
      <c r="G140" s="73">
        <v>45035.25</v>
      </c>
      <c r="H140" s="73">
        <v>45035.229166666664</v>
      </c>
      <c r="I140" s="65" t="s">
        <v>818</v>
      </c>
      <c r="J140" s="126" t="s">
        <v>192</v>
      </c>
      <c r="K140" s="126" t="s">
        <v>192</v>
      </c>
      <c r="L140" s="126" t="s">
        <v>1366</v>
      </c>
      <c r="M140" s="167"/>
      <c r="N140" s="126" t="s">
        <v>1367</v>
      </c>
      <c r="O140" s="126" t="s">
        <v>1368</v>
      </c>
      <c r="P140" s="126" t="s">
        <v>184</v>
      </c>
      <c r="Q140" s="181">
        <v>7500</v>
      </c>
      <c r="R140" s="181">
        <v>7532.8779999999997</v>
      </c>
      <c r="S140" s="181"/>
      <c r="AT140" s="181">
        <f>R140</f>
        <v>7532.8779999999997</v>
      </c>
      <c r="AW140" s="165">
        <f t="shared" si="43"/>
        <v>45016.725694444445</v>
      </c>
      <c r="AX140" s="165">
        <f t="shared" si="44"/>
        <v>45033.972222222219</v>
      </c>
      <c r="AY140" s="137">
        <f t="shared" si="45"/>
        <v>17.246527777773736</v>
      </c>
      <c r="AZ140" s="165">
        <v>45016.725694444445</v>
      </c>
      <c r="BA140" s="165">
        <v>45016.725694444445</v>
      </c>
      <c r="BB140" s="165">
        <v>45016.725694444445</v>
      </c>
      <c r="BC140" s="165">
        <v>45016.916666666664</v>
      </c>
      <c r="BD140" s="165">
        <v>45018.753472222219</v>
      </c>
      <c r="BE140" s="165">
        <v>45018.802083333336</v>
      </c>
      <c r="BF140" s="165">
        <v>45018.802083333336</v>
      </c>
      <c r="BG140" s="165">
        <v>45018.802083333336</v>
      </c>
      <c r="BH140" s="166" t="s">
        <v>196</v>
      </c>
      <c r="BI140" s="166" t="s">
        <v>196</v>
      </c>
      <c r="BJ140" s="166" t="s">
        <v>196</v>
      </c>
      <c r="BK140" s="165">
        <v>45023.885416666664</v>
      </c>
      <c r="BL140" s="165">
        <v>45033.3125</v>
      </c>
      <c r="BM140" s="165">
        <v>45033.777777777781</v>
      </c>
      <c r="BN140" s="165">
        <v>45033.972222222219</v>
      </c>
      <c r="BO140" s="165">
        <v>45033.972222222219</v>
      </c>
      <c r="BP140" s="165">
        <v>45033.972222222219</v>
      </c>
      <c r="BS140" s="136">
        <f t="shared" si="46"/>
        <v>0</v>
      </c>
      <c r="BT140" s="136">
        <f t="shared" si="47"/>
        <v>44.083333333313931</v>
      </c>
      <c r="BU140" s="136">
        <f t="shared" si="48"/>
        <v>0</v>
      </c>
      <c r="BV140" s="136">
        <f t="shared" si="54"/>
        <v>121.99999999988358</v>
      </c>
      <c r="BW140" s="135">
        <f t="shared" si="49"/>
        <v>11.166666666744277</v>
      </c>
      <c r="BX140" s="135">
        <f t="shared" si="50"/>
        <v>0</v>
      </c>
      <c r="BY140" s="134">
        <f t="shared" si="51"/>
        <v>7.3854166666642413</v>
      </c>
      <c r="BZ140" s="134">
        <f t="shared" si="52"/>
        <v>17.246527777773736</v>
      </c>
      <c r="CA140" s="133">
        <f t="shared" si="53"/>
        <v>0.42822629353730624</v>
      </c>
    </row>
    <row r="141" spans="1:79" s="126" customFormat="1">
      <c r="A141" s="192"/>
      <c r="D141" s="126" t="s">
        <v>215</v>
      </c>
      <c r="G141" s="165"/>
      <c r="H141" s="165"/>
      <c r="J141" s="126" t="s">
        <v>312</v>
      </c>
      <c r="L141" s="126" t="s">
        <v>1369</v>
      </c>
      <c r="M141" s="167"/>
      <c r="N141" s="126" t="s">
        <v>482</v>
      </c>
      <c r="O141" s="126" t="s">
        <v>483</v>
      </c>
      <c r="Q141" s="181">
        <f>3107*2.4</f>
        <v>7456.7999999999993</v>
      </c>
      <c r="R141" s="181"/>
      <c r="S141" s="181"/>
      <c r="T141" s="181"/>
      <c r="U141" s="181"/>
      <c r="AW141" s="165">
        <f t="shared" si="43"/>
        <v>45017</v>
      </c>
      <c r="AX141" s="165">
        <f t="shared" si="44"/>
        <v>45047</v>
      </c>
      <c r="AY141" s="137">
        <f t="shared" si="45"/>
        <v>30</v>
      </c>
      <c r="AZ141" s="165">
        <v>45017</v>
      </c>
      <c r="BA141" s="165"/>
      <c r="BB141" s="165"/>
      <c r="BC141" s="165"/>
      <c r="BD141" s="165"/>
      <c r="BE141" s="165"/>
      <c r="BF141" s="165"/>
      <c r="BG141" s="165"/>
      <c r="BH141" s="165"/>
      <c r="BI141" s="165"/>
      <c r="BJ141" s="166"/>
      <c r="BK141" s="165"/>
      <c r="BL141" s="165"/>
      <c r="BM141" s="165"/>
      <c r="BN141" s="165"/>
      <c r="BO141" s="165"/>
      <c r="BP141" s="165">
        <v>45047</v>
      </c>
      <c r="BS141" s="136">
        <f t="shared" si="46"/>
        <v>0</v>
      </c>
      <c r="BT141" s="136">
        <f t="shared" si="47"/>
        <v>0</v>
      </c>
      <c r="BU141" s="136">
        <f t="shared" si="48"/>
        <v>0</v>
      </c>
      <c r="BV141" s="136">
        <f t="shared" ref="BV141:BV164" si="56">(BK141-BI141)*24</f>
        <v>0</v>
      </c>
      <c r="BW141" s="135">
        <f t="shared" si="49"/>
        <v>0</v>
      </c>
      <c r="BX141" s="135">
        <f t="shared" si="50"/>
        <v>1081128</v>
      </c>
      <c r="BY141" s="134">
        <f t="shared" si="51"/>
        <v>45047</v>
      </c>
      <c r="BZ141" s="134">
        <f t="shared" si="52"/>
        <v>30</v>
      </c>
      <c r="CA141" s="133">
        <f t="shared" si="53"/>
        <v>1501.5666666666666</v>
      </c>
    </row>
    <row r="142" spans="1:79" s="126" customFormat="1">
      <c r="A142" s="192">
        <f t="shared" ref="A142:A164" si="57">BC142</f>
        <v>45027.604166666664</v>
      </c>
      <c r="B142" s="126" t="s">
        <v>228</v>
      </c>
      <c r="C142" s="126" t="s">
        <v>229</v>
      </c>
      <c r="D142" s="126" t="s">
        <v>197</v>
      </c>
      <c r="E142" s="65" t="s">
        <v>1184</v>
      </c>
      <c r="G142" s="73">
        <v>45026.083333333336</v>
      </c>
      <c r="H142" s="73">
        <v>45026.107638888891</v>
      </c>
      <c r="I142" s="126" t="s">
        <v>490</v>
      </c>
      <c r="J142" s="126" t="s">
        <v>192</v>
      </c>
      <c r="K142" s="126" t="s">
        <v>192</v>
      </c>
      <c r="L142" s="126" t="s">
        <v>1370</v>
      </c>
      <c r="M142" s="167"/>
      <c r="N142" s="126" t="s">
        <v>238</v>
      </c>
      <c r="O142" s="126" t="s">
        <v>239</v>
      </c>
      <c r="P142" s="126" t="s">
        <v>494</v>
      </c>
      <c r="Q142" s="181">
        <f>3100*2.4</f>
        <v>7440</v>
      </c>
      <c r="R142" s="181">
        <f>7473.416-3990.499</f>
        <v>3482.9170000000004</v>
      </c>
      <c r="S142" s="181"/>
      <c r="T142" s="181">
        <f>R142</f>
        <v>3482.9170000000004</v>
      </c>
      <c r="AW142" s="165">
        <f t="shared" si="43"/>
        <v>45020.916666666664</v>
      </c>
      <c r="AX142" s="165">
        <f t="shared" si="44"/>
        <v>45035.076388888891</v>
      </c>
      <c r="AY142" s="137">
        <f t="shared" si="45"/>
        <v>14.159722222226264</v>
      </c>
      <c r="AZ142" s="165">
        <v>45020.916666666664</v>
      </c>
      <c r="BA142" s="165">
        <v>45021.847222222219</v>
      </c>
      <c r="BB142" s="165">
        <v>45023.791666666664</v>
      </c>
      <c r="BC142" s="165">
        <v>45027.604166666664</v>
      </c>
      <c r="BD142" s="165">
        <v>45027.753472222219</v>
      </c>
      <c r="BE142" s="165">
        <v>45027.760416666664</v>
      </c>
      <c r="BF142" s="165">
        <v>45027.760416666664</v>
      </c>
      <c r="BG142" s="165">
        <f t="shared" ref="BG142:BG164" si="58">BF142+(41/24)</f>
        <v>45029.46875</v>
      </c>
      <c r="BH142" s="165">
        <v>45030.25</v>
      </c>
      <c r="BI142" s="165">
        <v>45030.416666666664</v>
      </c>
      <c r="BJ142" s="165">
        <v>45030.350694444445</v>
      </c>
      <c r="BK142" s="165">
        <v>45031.465277777781</v>
      </c>
      <c r="BL142" s="165">
        <v>45034.902777777781</v>
      </c>
      <c r="BM142" s="165">
        <v>45035.020833333336</v>
      </c>
      <c r="BN142" s="165">
        <v>45035.076388888891</v>
      </c>
      <c r="BO142" s="165">
        <v>45035.076388888891</v>
      </c>
      <c r="BP142" s="165">
        <v>45035.076388888891</v>
      </c>
      <c r="BS142" s="136">
        <f t="shared" si="46"/>
        <v>46.666666666686069</v>
      </c>
      <c r="BT142" s="136">
        <f t="shared" si="47"/>
        <v>3.5833333333139308</v>
      </c>
      <c r="BU142" s="136">
        <f t="shared" si="48"/>
        <v>41.000000000058208</v>
      </c>
      <c r="BV142" s="136">
        <f t="shared" si="56"/>
        <v>25.166666666802485</v>
      </c>
      <c r="BW142" s="135">
        <f t="shared" si="49"/>
        <v>2.8333333333139308</v>
      </c>
      <c r="BX142" s="135">
        <f t="shared" si="50"/>
        <v>0</v>
      </c>
      <c r="BY142" s="134">
        <f t="shared" si="51"/>
        <v>4.968750000007276</v>
      </c>
      <c r="BZ142" s="134">
        <f t="shared" si="52"/>
        <v>14.159722222226264</v>
      </c>
      <c r="CA142" s="133">
        <f t="shared" si="53"/>
        <v>0.35090730750409194</v>
      </c>
    </row>
    <row r="143" spans="1:79" s="126" customFormat="1">
      <c r="A143" s="192">
        <f t="shared" si="57"/>
        <v>45027.604166666664</v>
      </c>
      <c r="B143" s="126" t="s">
        <v>228</v>
      </c>
      <c r="C143" s="126" t="s">
        <v>229</v>
      </c>
      <c r="D143" s="126" t="s">
        <v>197</v>
      </c>
      <c r="E143" s="65" t="s">
        <v>1244</v>
      </c>
      <c r="G143" s="165">
        <v>45036.708333333336</v>
      </c>
      <c r="H143" s="165">
        <v>45036.708333333336</v>
      </c>
      <c r="I143" s="126" t="s">
        <v>490</v>
      </c>
      <c r="J143" s="126" t="s">
        <v>192</v>
      </c>
      <c r="K143" s="126" t="s">
        <v>192</v>
      </c>
      <c r="L143" s="126" t="s">
        <v>1370</v>
      </c>
      <c r="M143" s="167"/>
      <c r="N143" s="126" t="s">
        <v>238</v>
      </c>
      <c r="O143" s="126" t="s">
        <v>239</v>
      </c>
      <c r="P143" s="126" t="s">
        <v>494</v>
      </c>
      <c r="Q143" s="181">
        <f>3100*2.4</f>
        <v>7440</v>
      </c>
      <c r="R143" s="181">
        <v>3984.605</v>
      </c>
      <c r="S143" s="181"/>
      <c r="T143" s="181">
        <f>R143</f>
        <v>3984.605</v>
      </c>
      <c r="AW143" s="165">
        <f t="shared" si="43"/>
        <v>45020.916666666664</v>
      </c>
      <c r="AX143" s="165">
        <f t="shared" si="44"/>
        <v>45041.333333333336</v>
      </c>
      <c r="AY143" s="137">
        <f t="shared" si="45"/>
        <v>20.416666666671517</v>
      </c>
      <c r="AZ143" s="165">
        <v>45020.916666666664</v>
      </c>
      <c r="BA143" s="165">
        <v>45021.847222222219</v>
      </c>
      <c r="BB143" s="165">
        <v>45023.791666666664</v>
      </c>
      <c r="BC143" s="165">
        <v>45027.604166666664</v>
      </c>
      <c r="BD143" s="165">
        <v>45027.753472222219</v>
      </c>
      <c r="BE143" s="165">
        <v>45027.760416666664</v>
      </c>
      <c r="BF143" s="165">
        <v>45027.760416666664</v>
      </c>
      <c r="BG143" s="165">
        <f t="shared" si="58"/>
        <v>45029.46875</v>
      </c>
      <c r="BH143" s="165">
        <v>45030.25</v>
      </c>
      <c r="BI143" s="165">
        <v>45030.416666666664</v>
      </c>
      <c r="BJ143" s="165">
        <v>45030.350694444445</v>
      </c>
      <c r="BK143" s="165">
        <v>45035.076388888891</v>
      </c>
      <c r="BL143" s="165">
        <v>45040.965277777774</v>
      </c>
      <c r="BM143" s="165">
        <v>45041.090277777774</v>
      </c>
      <c r="BN143" s="165">
        <v>45041.111111111109</v>
      </c>
      <c r="BO143" s="165">
        <v>45041.111111111109</v>
      </c>
      <c r="BP143" s="165">
        <v>45041.333333333336</v>
      </c>
      <c r="BS143" s="136">
        <f t="shared" si="46"/>
        <v>46.666666666686069</v>
      </c>
      <c r="BT143" s="136">
        <f t="shared" si="47"/>
        <v>3.5833333333139308</v>
      </c>
      <c r="BU143" s="136">
        <f t="shared" si="48"/>
        <v>41.000000000058208</v>
      </c>
      <c r="BV143" s="136">
        <f t="shared" si="56"/>
        <v>111.83333333343035</v>
      </c>
      <c r="BW143" s="135">
        <f t="shared" si="49"/>
        <v>3</v>
      </c>
      <c r="BX143" s="135">
        <f t="shared" si="50"/>
        <v>5.3333333334303461</v>
      </c>
      <c r="BY143" s="134">
        <f t="shared" si="51"/>
        <v>8.8090277777882875</v>
      </c>
      <c r="BZ143" s="134">
        <f t="shared" si="52"/>
        <v>20.416666666671517</v>
      </c>
      <c r="CA143" s="133">
        <f t="shared" si="53"/>
        <v>0.43146258503442586</v>
      </c>
    </row>
    <row r="144" spans="1:79" s="126" customFormat="1">
      <c r="A144" s="192">
        <f t="shared" si="57"/>
        <v>45024.979166666664</v>
      </c>
      <c r="B144" s="126" t="s">
        <v>228</v>
      </c>
      <c r="C144" s="126" t="s">
        <v>229</v>
      </c>
      <c r="D144" s="126" t="s">
        <v>215</v>
      </c>
      <c r="E144" s="65" t="s">
        <v>1184</v>
      </c>
      <c r="G144" s="73">
        <v>45026.083333333336</v>
      </c>
      <c r="H144" s="73">
        <v>45026.107638888891</v>
      </c>
      <c r="I144" s="126" t="s">
        <v>490</v>
      </c>
      <c r="J144" s="126" t="s">
        <v>192</v>
      </c>
      <c r="K144" s="126" t="s">
        <v>192</v>
      </c>
      <c r="L144" s="126" t="s">
        <v>1371</v>
      </c>
      <c r="M144" s="167"/>
      <c r="N144" s="126" t="s">
        <v>422</v>
      </c>
      <c r="O144" s="126" t="s">
        <v>275</v>
      </c>
      <c r="P144" s="126" t="s">
        <v>1372</v>
      </c>
      <c r="Q144" s="181">
        <f>3097*2.4</f>
        <v>7432.7999999999993</v>
      </c>
      <c r="R144" s="181">
        <v>7810.518</v>
      </c>
      <c r="S144" s="181"/>
      <c r="T144" s="181">
        <f>R144*0.65</f>
        <v>5076.8366999999998</v>
      </c>
      <c r="U144" s="181">
        <f>R144*0.35</f>
        <v>2733.6812999999997</v>
      </c>
      <c r="V144" s="181"/>
      <c r="AW144" s="165">
        <f t="shared" si="43"/>
        <v>45018.625</v>
      </c>
      <c r="AX144" s="165">
        <f t="shared" si="44"/>
        <v>45033.354166666664</v>
      </c>
      <c r="AY144" s="137">
        <f t="shared" si="45"/>
        <v>14.729166666664241</v>
      </c>
      <c r="AZ144" s="165">
        <v>45018.625</v>
      </c>
      <c r="BA144" s="165">
        <v>45020.822916666664</v>
      </c>
      <c r="BB144" s="165">
        <v>45022.506944444445</v>
      </c>
      <c r="BC144" s="165">
        <v>45024.979166666664</v>
      </c>
      <c r="BD144" s="165">
        <v>45025.137499999997</v>
      </c>
      <c r="BE144" s="165">
        <v>45025.145833333336</v>
      </c>
      <c r="BF144" s="165">
        <v>45025.270833333336</v>
      </c>
      <c r="BG144" s="165">
        <f t="shared" si="58"/>
        <v>45026.979166666672</v>
      </c>
      <c r="BH144" s="165">
        <v>45027.25</v>
      </c>
      <c r="BI144" s="165">
        <v>45027.416666666664</v>
      </c>
      <c r="BJ144" s="165">
        <v>45027.361111111109</v>
      </c>
      <c r="BK144" s="165">
        <v>45028.479166666664</v>
      </c>
      <c r="BL144" s="165">
        <v>45032.625</v>
      </c>
      <c r="BM144" s="165">
        <v>45032.864583333336</v>
      </c>
      <c r="BN144" s="165">
        <v>45032.885416666664</v>
      </c>
      <c r="BO144" s="165">
        <v>45033.104166666664</v>
      </c>
      <c r="BP144" s="165">
        <v>45033.354166666664</v>
      </c>
      <c r="BQ144" s="126" t="s">
        <v>1373</v>
      </c>
      <c r="BS144" s="136">
        <f t="shared" si="46"/>
        <v>40.416666666744277</v>
      </c>
      <c r="BT144" s="136">
        <f t="shared" si="47"/>
        <v>3.7999999999883585</v>
      </c>
      <c r="BU144" s="136">
        <f t="shared" si="48"/>
        <v>41.000000000058208</v>
      </c>
      <c r="BV144" s="136">
        <f t="shared" si="56"/>
        <v>25.5</v>
      </c>
      <c r="BW144" s="135">
        <f t="shared" si="49"/>
        <v>5.7500000000582077</v>
      </c>
      <c r="BX144" s="135">
        <f t="shared" si="50"/>
        <v>6</v>
      </c>
      <c r="BY144" s="134">
        <f t="shared" si="51"/>
        <v>5.1027777777853771</v>
      </c>
      <c r="BZ144" s="134">
        <f t="shared" si="52"/>
        <v>14.729166666664241</v>
      </c>
      <c r="CA144" s="133">
        <f t="shared" si="53"/>
        <v>0.34644035832211945</v>
      </c>
    </row>
    <row r="145" spans="1:79" s="126" customFormat="1">
      <c r="A145" s="192">
        <f t="shared" si="57"/>
        <v>45025.163194444445</v>
      </c>
      <c r="B145" s="126" t="s">
        <v>228</v>
      </c>
      <c r="C145" s="126" t="s">
        <v>229</v>
      </c>
      <c r="D145" s="126" t="s">
        <v>197</v>
      </c>
      <c r="E145" s="65" t="s">
        <v>1184</v>
      </c>
      <c r="G145" s="73">
        <v>45026.083333333336</v>
      </c>
      <c r="H145" s="73">
        <v>45026.107638888891</v>
      </c>
      <c r="I145" s="126" t="s">
        <v>490</v>
      </c>
      <c r="J145" s="126" t="s">
        <v>192</v>
      </c>
      <c r="K145" s="126" t="s">
        <v>192</v>
      </c>
      <c r="L145" s="126" t="s">
        <v>1374</v>
      </c>
      <c r="M145" s="167"/>
      <c r="N145" s="126" t="s">
        <v>213</v>
      </c>
      <c r="O145" s="126" t="s">
        <v>214</v>
      </c>
      <c r="P145" s="126" t="s">
        <v>1372</v>
      </c>
      <c r="Q145" s="181">
        <f>3113*2.4</f>
        <v>7471.2</v>
      </c>
      <c r="R145" s="181">
        <v>7418.31</v>
      </c>
      <c r="S145" s="181"/>
      <c r="T145" s="181">
        <f>R145*0.65</f>
        <v>4821.9015000000009</v>
      </c>
      <c r="U145" s="181">
        <f>R145*0.35</f>
        <v>2596.4085</v>
      </c>
      <c r="AW145" s="165">
        <f t="shared" si="43"/>
        <v>45019.791666666664</v>
      </c>
      <c r="AX145" s="165">
        <f t="shared" si="44"/>
        <v>45033.381944444445</v>
      </c>
      <c r="AY145" s="137">
        <f t="shared" si="45"/>
        <v>13.590277777781012</v>
      </c>
      <c r="AZ145" s="165">
        <v>45019.791666666664</v>
      </c>
      <c r="BA145" s="165">
        <v>45020.840277777781</v>
      </c>
      <c r="BB145" s="165">
        <v>45022.770833333336</v>
      </c>
      <c r="BC145" s="165">
        <v>45025.163194444445</v>
      </c>
      <c r="BD145" s="165">
        <v>45025.454861111109</v>
      </c>
      <c r="BE145" s="165">
        <v>45025.461805555555</v>
      </c>
      <c r="BF145" s="165">
        <v>45025.461805555555</v>
      </c>
      <c r="BG145" s="165">
        <f t="shared" si="58"/>
        <v>45027.170138888891</v>
      </c>
      <c r="BH145" s="165">
        <v>45027.25</v>
      </c>
      <c r="BI145" s="165">
        <v>45027.416666666664</v>
      </c>
      <c r="BJ145" s="165">
        <v>45027.34375</v>
      </c>
      <c r="BK145" s="165">
        <v>45028.958333333336</v>
      </c>
      <c r="BL145" s="165">
        <v>45032.927083333336</v>
      </c>
      <c r="BM145" s="165">
        <v>45033.083333333336</v>
      </c>
      <c r="BN145" s="165">
        <v>45033.104166666664</v>
      </c>
      <c r="BO145" s="165">
        <v>45033.104166666664</v>
      </c>
      <c r="BP145" s="165">
        <v>45033.381944444445</v>
      </c>
      <c r="BS145" s="136">
        <f t="shared" si="46"/>
        <v>46.333333333313931</v>
      </c>
      <c r="BT145" s="136">
        <f t="shared" si="47"/>
        <v>6.9999999999417923</v>
      </c>
      <c r="BU145" s="136">
        <f t="shared" si="48"/>
        <v>41.000000000058208</v>
      </c>
      <c r="BV145" s="136">
        <f t="shared" si="56"/>
        <v>37.000000000116415</v>
      </c>
      <c r="BW145" s="135">
        <f t="shared" si="49"/>
        <v>3.75</v>
      </c>
      <c r="BX145" s="135">
        <f t="shared" si="50"/>
        <v>6.6666666667442769</v>
      </c>
      <c r="BY145" s="134">
        <f t="shared" si="51"/>
        <v>5.906250000007276</v>
      </c>
      <c r="BZ145" s="134">
        <f t="shared" si="52"/>
        <v>13.590277777781012</v>
      </c>
      <c r="CA145" s="133">
        <f t="shared" si="53"/>
        <v>0.43459376596875082</v>
      </c>
    </row>
    <row r="146" spans="1:79" s="126" customFormat="1">
      <c r="A146" s="192">
        <f t="shared" si="57"/>
        <v>45025.982638888891</v>
      </c>
      <c r="B146" s="126" t="s">
        <v>228</v>
      </c>
      <c r="C146" s="126" t="s">
        <v>229</v>
      </c>
      <c r="D146" s="126" t="s">
        <v>197</v>
      </c>
      <c r="E146" s="65" t="s">
        <v>1184</v>
      </c>
      <c r="G146" s="73">
        <v>45026.083333333336</v>
      </c>
      <c r="H146" s="73">
        <v>45026.107638888891</v>
      </c>
      <c r="I146" s="126" t="s">
        <v>490</v>
      </c>
      <c r="J146" s="126" t="s">
        <v>192</v>
      </c>
      <c r="K146" s="126" t="s">
        <v>192</v>
      </c>
      <c r="L146" s="126" t="s">
        <v>1375</v>
      </c>
      <c r="M146" s="167"/>
      <c r="N146" s="126" t="s">
        <v>246</v>
      </c>
      <c r="O146" s="126" t="s">
        <v>247</v>
      </c>
      <c r="P146" s="126" t="s">
        <v>1372</v>
      </c>
      <c r="Q146" s="181">
        <f>3136*2.4</f>
        <v>7526.4</v>
      </c>
      <c r="R146" s="181">
        <v>7604.8459999999995</v>
      </c>
      <c r="S146" s="181"/>
      <c r="T146" s="181">
        <f>R146*0.65</f>
        <v>4943.1498999999994</v>
      </c>
      <c r="U146" s="181">
        <f>R146*0.35</f>
        <v>2661.6960999999997</v>
      </c>
      <c r="AW146" s="165">
        <f t="shared" si="43"/>
        <v>45017.0625</v>
      </c>
      <c r="AX146" s="165">
        <f t="shared" si="44"/>
        <v>45034.083333333336</v>
      </c>
      <c r="AY146" s="137">
        <f t="shared" si="45"/>
        <v>17.020833333335759</v>
      </c>
      <c r="AZ146" s="165">
        <v>45017.0625</v>
      </c>
      <c r="BA146" s="165">
        <v>45020.604166666664</v>
      </c>
      <c r="BB146" s="165">
        <v>45022.791666666664</v>
      </c>
      <c r="BC146" s="165">
        <v>45025.982638888891</v>
      </c>
      <c r="BD146" s="165">
        <v>45026.113194444442</v>
      </c>
      <c r="BE146" s="165">
        <v>45026.121527777781</v>
      </c>
      <c r="BF146" s="165">
        <v>45026.125</v>
      </c>
      <c r="BG146" s="165">
        <f t="shared" si="58"/>
        <v>45027.833333333336</v>
      </c>
      <c r="BH146" s="165">
        <v>45028.25</v>
      </c>
      <c r="BI146" s="165">
        <v>45028.416666666664</v>
      </c>
      <c r="BJ146" s="165">
        <v>45028.402777777781</v>
      </c>
      <c r="BK146" s="165">
        <v>45029.8125</v>
      </c>
      <c r="BL146" s="165">
        <v>45033.527777777781</v>
      </c>
      <c r="BM146" s="165">
        <v>45033.6875</v>
      </c>
      <c r="BN146" s="165">
        <v>45033.708333333336</v>
      </c>
      <c r="BO146" s="165">
        <v>45033.708333333336</v>
      </c>
      <c r="BP146" s="165">
        <v>45034.083333333336</v>
      </c>
      <c r="BS146" s="136">
        <f t="shared" si="46"/>
        <v>52.5</v>
      </c>
      <c r="BT146" s="136">
        <f t="shared" si="47"/>
        <v>3.1333333332440816</v>
      </c>
      <c r="BU146" s="136">
        <f t="shared" si="48"/>
        <v>41.000000000058208</v>
      </c>
      <c r="BV146" s="136">
        <f t="shared" si="56"/>
        <v>33.500000000058208</v>
      </c>
      <c r="BW146" s="135">
        <f t="shared" si="49"/>
        <v>3.8333333332557231</v>
      </c>
      <c r="BX146" s="135">
        <f t="shared" si="50"/>
        <v>9</v>
      </c>
      <c r="BY146" s="134">
        <f t="shared" si="51"/>
        <v>5.9569444444423425</v>
      </c>
      <c r="BZ146" s="134">
        <f t="shared" si="52"/>
        <v>17.020833333335759</v>
      </c>
      <c r="CA146" s="133">
        <f t="shared" si="53"/>
        <v>0.34997960016302532</v>
      </c>
    </row>
    <row r="147" spans="1:79" s="126" customFormat="1">
      <c r="A147" s="192">
        <f t="shared" si="57"/>
        <v>45026.145833333336</v>
      </c>
      <c r="B147" s="126" t="s">
        <v>228</v>
      </c>
      <c r="C147" s="126" t="s">
        <v>229</v>
      </c>
      <c r="D147" s="126" t="s">
        <v>215</v>
      </c>
      <c r="E147" s="65" t="s">
        <v>1184</v>
      </c>
      <c r="G147" s="73">
        <v>45026.083333333336</v>
      </c>
      <c r="H147" s="73">
        <v>45026.107638888891</v>
      </c>
      <c r="I147" s="126" t="s">
        <v>490</v>
      </c>
      <c r="J147" s="126" t="s">
        <v>192</v>
      </c>
      <c r="K147" s="126" t="s">
        <v>192</v>
      </c>
      <c r="L147" s="126" t="s">
        <v>1376</v>
      </c>
      <c r="M147" s="167"/>
      <c r="N147" s="126" t="s">
        <v>721</v>
      </c>
      <c r="O147" s="126" t="s">
        <v>1349</v>
      </c>
      <c r="P147" s="126" t="s">
        <v>1372</v>
      </c>
      <c r="Q147" s="181">
        <f>3136*2.4</f>
        <v>7526.4</v>
      </c>
      <c r="R147" s="181">
        <v>7402.2520000000004</v>
      </c>
      <c r="S147" s="181"/>
      <c r="T147" s="181">
        <f>R147*0.65</f>
        <v>4811.4638000000004</v>
      </c>
      <c r="U147" s="181">
        <f>R147*0.35</f>
        <v>2590.7882</v>
      </c>
      <c r="AW147" s="165">
        <f t="shared" si="43"/>
        <v>45014.868055555555</v>
      </c>
      <c r="AX147" s="165">
        <f t="shared" si="44"/>
        <v>45033.729166666664</v>
      </c>
      <c r="AY147" s="137">
        <f t="shared" si="45"/>
        <v>18.861111111109494</v>
      </c>
      <c r="AZ147" s="165">
        <v>45014.868055555555</v>
      </c>
      <c r="BA147" s="165">
        <v>45021.59375</v>
      </c>
      <c r="BB147" s="165">
        <v>45023.5</v>
      </c>
      <c r="BC147" s="165">
        <v>45026.145833333336</v>
      </c>
      <c r="BD147" s="165">
        <v>45026.534722222219</v>
      </c>
      <c r="BE147" s="165">
        <v>45026.538194444445</v>
      </c>
      <c r="BF147" s="165">
        <v>45026.538194444445</v>
      </c>
      <c r="BG147" s="165">
        <f t="shared" si="58"/>
        <v>45028.246527777781</v>
      </c>
      <c r="BH147" s="165">
        <v>45028.25</v>
      </c>
      <c r="BI147" s="165">
        <v>45028.416666666664</v>
      </c>
      <c r="BJ147" s="165">
        <v>45028.305555555555</v>
      </c>
      <c r="BK147" s="165">
        <v>45029.375</v>
      </c>
      <c r="BL147" s="165">
        <v>45033.145833333336</v>
      </c>
      <c r="BM147" s="165">
        <v>45033.354166666664</v>
      </c>
      <c r="BN147" s="165">
        <v>45033.375</v>
      </c>
      <c r="BO147" s="165">
        <v>45033.520833333336</v>
      </c>
      <c r="BP147" s="165">
        <v>45033.729166666664</v>
      </c>
      <c r="BQ147" s="126" t="s">
        <v>1377</v>
      </c>
      <c r="BS147" s="136">
        <f t="shared" si="46"/>
        <v>45.75</v>
      </c>
      <c r="BT147" s="136">
        <f t="shared" si="47"/>
        <v>9.3333333331975155</v>
      </c>
      <c r="BU147" s="136">
        <f t="shared" si="48"/>
        <v>41.000000000058208</v>
      </c>
      <c r="BV147" s="136">
        <f t="shared" si="56"/>
        <v>23.000000000058208</v>
      </c>
      <c r="BW147" s="135">
        <f t="shared" si="49"/>
        <v>4.9999999998835847</v>
      </c>
      <c r="BX147" s="135">
        <f t="shared" si="50"/>
        <v>4.9999999998835847</v>
      </c>
      <c r="BY147" s="134">
        <f t="shared" si="51"/>
        <v>5.3784722222117125</v>
      </c>
      <c r="BZ147" s="134">
        <f t="shared" si="52"/>
        <v>18.861111111109494</v>
      </c>
      <c r="CA147" s="133">
        <f t="shared" si="53"/>
        <v>0.28516200294497535</v>
      </c>
    </row>
    <row r="148" spans="1:79" s="126" customFormat="1">
      <c r="A148" s="192">
        <f t="shared" si="57"/>
        <v>45027.423611111109</v>
      </c>
      <c r="B148" s="126" t="s">
        <v>228</v>
      </c>
      <c r="C148" s="126" t="s">
        <v>229</v>
      </c>
      <c r="D148" s="126" t="s">
        <v>197</v>
      </c>
      <c r="E148" s="65" t="s">
        <v>1184</v>
      </c>
      <c r="G148" s="73">
        <v>45026.083333333336</v>
      </c>
      <c r="H148" s="73">
        <v>45026.107638888891</v>
      </c>
      <c r="I148" s="126" t="s">
        <v>490</v>
      </c>
      <c r="J148" s="126" t="s">
        <v>192</v>
      </c>
      <c r="K148" s="126" t="s">
        <v>192</v>
      </c>
      <c r="L148" s="126" t="s">
        <v>1378</v>
      </c>
      <c r="M148" s="167"/>
      <c r="N148" s="126" t="s">
        <v>473</v>
      </c>
      <c r="O148" s="126" t="s">
        <v>474</v>
      </c>
      <c r="P148" s="126" t="s">
        <v>1372</v>
      </c>
      <c r="Q148" s="181">
        <f>3136*2.4</f>
        <v>7526.4</v>
      </c>
      <c r="R148" s="181">
        <v>7513.5910000000003</v>
      </c>
      <c r="S148" s="181"/>
      <c r="T148" s="181">
        <f>R148*0.65</f>
        <v>4883.8341500000006</v>
      </c>
      <c r="U148" s="181">
        <f>R148*0.35</f>
        <v>2629.7568499999998</v>
      </c>
      <c r="AW148" s="165">
        <f t="shared" si="43"/>
        <v>45020.395833333336</v>
      </c>
      <c r="AX148" s="165">
        <f t="shared" si="44"/>
        <v>45035.34375</v>
      </c>
      <c r="AY148" s="137">
        <f t="shared" si="45"/>
        <v>14.947916666664241</v>
      </c>
      <c r="AZ148" s="165">
        <v>45020.395833333336</v>
      </c>
      <c r="BA148" s="165">
        <v>45021.833333333336</v>
      </c>
      <c r="BB148" s="165">
        <v>45023.6875</v>
      </c>
      <c r="BC148" s="165">
        <v>45027.423611111109</v>
      </c>
      <c r="BD148" s="165">
        <v>45027.576388888891</v>
      </c>
      <c r="BE148" s="165">
        <v>45027.579861111109</v>
      </c>
      <c r="BF148" s="165">
        <v>45027.579861111109</v>
      </c>
      <c r="BG148" s="165">
        <f t="shared" si="58"/>
        <v>45029.288194444445</v>
      </c>
      <c r="BH148" s="165">
        <v>45029.25</v>
      </c>
      <c r="BI148" s="165">
        <v>45029.416666666664</v>
      </c>
      <c r="BJ148" s="165">
        <v>45029.329861111109</v>
      </c>
      <c r="BK148" s="165">
        <v>45030.541666666664</v>
      </c>
      <c r="BL148" s="165">
        <v>45034.590277777781</v>
      </c>
      <c r="BM148" s="165">
        <v>45034.840277777781</v>
      </c>
      <c r="BN148" s="165">
        <v>45034.861111111109</v>
      </c>
      <c r="BO148" s="165">
        <v>45035.090277777781</v>
      </c>
      <c r="BP148" s="165">
        <v>45035.34375</v>
      </c>
      <c r="BS148" s="136">
        <f t="shared" si="46"/>
        <v>44.499999999941792</v>
      </c>
      <c r="BT148" s="136">
        <f t="shared" si="47"/>
        <v>3.6666666667442769</v>
      </c>
      <c r="BU148" s="136">
        <f t="shared" si="48"/>
        <v>41.000000000058208</v>
      </c>
      <c r="BV148" s="136">
        <f t="shared" si="56"/>
        <v>27</v>
      </c>
      <c r="BW148" s="135">
        <f t="shared" si="49"/>
        <v>6</v>
      </c>
      <c r="BX148" s="135">
        <f t="shared" si="50"/>
        <v>6.0833333332557231</v>
      </c>
      <c r="BY148" s="134">
        <f t="shared" si="51"/>
        <v>5.34375</v>
      </c>
      <c r="BZ148" s="134">
        <f t="shared" si="52"/>
        <v>14.947916666664241</v>
      </c>
      <c r="CA148" s="133">
        <f t="shared" si="53"/>
        <v>0.3574912891986643</v>
      </c>
    </row>
    <row r="149" spans="1:79" s="126" customFormat="1">
      <c r="A149" s="192">
        <f t="shared" si="57"/>
        <v>45026.809027777781</v>
      </c>
      <c r="B149" s="126" t="s">
        <v>228</v>
      </c>
      <c r="C149" s="126" t="s">
        <v>229</v>
      </c>
      <c r="D149" s="126" t="s">
        <v>197</v>
      </c>
      <c r="E149" s="65" t="s">
        <v>1234</v>
      </c>
      <c r="G149" s="73">
        <v>45031.458333333336</v>
      </c>
      <c r="H149" s="73">
        <v>45031.402777777781</v>
      </c>
      <c r="I149" s="126" t="s">
        <v>507</v>
      </c>
      <c r="J149" s="126" t="s">
        <v>192</v>
      </c>
      <c r="K149" s="126" t="s">
        <v>192</v>
      </c>
      <c r="L149" s="126" t="s">
        <v>1379</v>
      </c>
      <c r="M149" s="167"/>
      <c r="N149" s="126" t="s">
        <v>226</v>
      </c>
      <c r="O149" s="126" t="s">
        <v>227</v>
      </c>
      <c r="P149" s="126" t="s">
        <v>501</v>
      </c>
      <c r="Q149" s="181">
        <f>3100*2.4</f>
        <v>7440</v>
      </c>
      <c r="R149" s="181">
        <v>7575.2439999999997</v>
      </c>
      <c r="S149" s="181"/>
      <c r="T149" s="181">
        <f>R149*0.5</f>
        <v>3787.6219999999998</v>
      </c>
      <c r="U149" s="181">
        <f>R149*0.5</f>
        <v>3787.6219999999998</v>
      </c>
      <c r="AW149" s="165">
        <f t="shared" si="43"/>
        <v>45018.041666666664</v>
      </c>
      <c r="AX149" s="165">
        <f t="shared" si="44"/>
        <v>45036.708333333336</v>
      </c>
      <c r="AY149" s="137">
        <f t="shared" si="45"/>
        <v>18.666666666671517</v>
      </c>
      <c r="AZ149" s="165">
        <v>45018.041666666664</v>
      </c>
      <c r="BA149" s="165">
        <v>45021.854166666664</v>
      </c>
      <c r="BB149" s="165">
        <v>45023.815972222219</v>
      </c>
      <c r="BC149" s="165">
        <v>45026.809027777781</v>
      </c>
      <c r="BD149" s="165">
        <v>45026.948611111111</v>
      </c>
      <c r="BE149" s="165">
        <v>45026.954861111109</v>
      </c>
      <c r="BF149" s="165">
        <v>45026.954861111109</v>
      </c>
      <c r="BG149" s="165">
        <f t="shared" si="58"/>
        <v>45028.663194444445</v>
      </c>
      <c r="BH149" s="165">
        <v>45029.25</v>
      </c>
      <c r="BI149" s="165">
        <v>45029.416666666664</v>
      </c>
      <c r="BJ149" s="165">
        <v>45029.263888888891</v>
      </c>
      <c r="BK149" s="165">
        <v>45032.8125</v>
      </c>
      <c r="BL149" s="165">
        <v>45033.125</v>
      </c>
      <c r="BM149" s="165">
        <v>45033.638888888891</v>
      </c>
      <c r="BN149" s="165">
        <v>45033.652777777781</v>
      </c>
      <c r="BO149" s="165">
        <v>45034.0625</v>
      </c>
      <c r="BP149" s="165">
        <v>45036.708333333336</v>
      </c>
      <c r="BS149" s="136">
        <f t="shared" si="46"/>
        <v>47.083333333313931</v>
      </c>
      <c r="BT149" s="136">
        <f t="shared" si="47"/>
        <v>3.3499999999185093</v>
      </c>
      <c r="BU149" s="136">
        <f t="shared" si="48"/>
        <v>41.000000000058208</v>
      </c>
      <c r="BV149" s="136">
        <f t="shared" si="56"/>
        <v>81.500000000058208</v>
      </c>
      <c r="BW149" s="135">
        <f t="shared" si="49"/>
        <v>12.333333333372138</v>
      </c>
      <c r="BX149" s="135">
        <f t="shared" si="50"/>
        <v>63.500000000058208</v>
      </c>
      <c r="BY149" s="134">
        <f t="shared" si="51"/>
        <v>10.365277777782467</v>
      </c>
      <c r="BZ149" s="134">
        <f t="shared" si="52"/>
        <v>18.666666666671517</v>
      </c>
      <c r="CA149" s="133">
        <f t="shared" si="53"/>
        <v>0.55528273809534501</v>
      </c>
    </row>
    <row r="150" spans="1:79" s="126" customFormat="1">
      <c r="A150" s="192">
        <f t="shared" si="57"/>
        <v>45026.972222222219</v>
      </c>
      <c r="B150" s="126" t="s">
        <v>228</v>
      </c>
      <c r="C150" s="126" t="s">
        <v>229</v>
      </c>
      <c r="D150" s="126" t="s">
        <v>197</v>
      </c>
      <c r="E150" s="65" t="s">
        <v>1234</v>
      </c>
      <c r="G150" s="73">
        <v>45031.458333333336</v>
      </c>
      <c r="H150" s="73">
        <v>45031.402777777781</v>
      </c>
      <c r="I150" s="126" t="s">
        <v>507</v>
      </c>
      <c r="J150" s="126" t="s">
        <v>192</v>
      </c>
      <c r="K150" s="126" t="s">
        <v>192</v>
      </c>
      <c r="L150" s="126" t="s">
        <v>1380</v>
      </c>
      <c r="M150" s="167"/>
      <c r="N150" s="126" t="s">
        <v>371</v>
      </c>
      <c r="O150" s="126" t="s">
        <v>372</v>
      </c>
      <c r="P150" s="126" t="s">
        <v>501</v>
      </c>
      <c r="Q150" s="181">
        <f>3117*2.4</f>
        <v>7480.7999999999993</v>
      </c>
      <c r="R150" s="181">
        <v>7402.2479999999996</v>
      </c>
      <c r="S150" s="181"/>
      <c r="T150" s="181">
        <f>R150*0.5</f>
        <v>3701.1239999999998</v>
      </c>
      <c r="U150" s="181">
        <f>R150*0.5</f>
        <v>3701.1239999999998</v>
      </c>
      <c r="AW150" s="165">
        <f t="shared" si="43"/>
        <v>45021.498611111114</v>
      </c>
      <c r="AX150" s="165">
        <f t="shared" si="44"/>
        <v>45038.107638888891</v>
      </c>
      <c r="AY150" s="137">
        <f t="shared" si="45"/>
        <v>16.609027777776646</v>
      </c>
      <c r="AZ150" s="165">
        <v>45021.498611111114</v>
      </c>
      <c r="BA150" s="165">
        <v>45022.59097222222</v>
      </c>
      <c r="BB150" s="165">
        <v>45024.534722222219</v>
      </c>
      <c r="BC150" s="165">
        <v>45026.972222222219</v>
      </c>
      <c r="BD150" s="165">
        <v>45027.104166666664</v>
      </c>
      <c r="BE150" s="165">
        <v>45027.111111111109</v>
      </c>
      <c r="BF150" s="165">
        <v>45027.111111111109</v>
      </c>
      <c r="BG150" s="165">
        <f t="shared" si="58"/>
        <v>45028.819444444445</v>
      </c>
      <c r="BH150" s="165">
        <v>45029.25</v>
      </c>
      <c r="BI150" s="165">
        <v>45029.416666666664</v>
      </c>
      <c r="BJ150" s="165">
        <v>45029.40625</v>
      </c>
      <c r="BK150" s="165">
        <v>45033.222222222219</v>
      </c>
      <c r="BL150" s="165">
        <v>45035.28125</v>
      </c>
      <c r="BM150" s="165">
        <v>45035.638888888891</v>
      </c>
      <c r="BN150" s="165">
        <v>45035.652777777781</v>
      </c>
      <c r="BO150" s="165">
        <v>45035.875</v>
      </c>
      <c r="BP150" s="165">
        <v>45038.107638888891</v>
      </c>
      <c r="BS150" s="136">
        <f t="shared" si="46"/>
        <v>46.649999999965075</v>
      </c>
      <c r="BT150" s="136">
        <f t="shared" si="47"/>
        <v>3.1666666666860692</v>
      </c>
      <c r="BU150" s="136">
        <f t="shared" si="48"/>
        <v>41.000000000058208</v>
      </c>
      <c r="BV150" s="136">
        <f t="shared" si="56"/>
        <v>91.333333333313931</v>
      </c>
      <c r="BW150" s="135">
        <f t="shared" si="49"/>
        <v>8.5833333333721384</v>
      </c>
      <c r="BX150" s="135">
        <f t="shared" si="50"/>
        <v>53.583333333372138</v>
      </c>
      <c r="BY150" s="134">
        <f t="shared" si="51"/>
        <v>10.179861111115315</v>
      </c>
      <c r="BZ150" s="134">
        <f t="shared" si="52"/>
        <v>16.609027777776646</v>
      </c>
      <c r="CA150" s="133">
        <f t="shared" si="53"/>
        <v>0.61291131830944734</v>
      </c>
    </row>
    <row r="151" spans="1:79" s="126" customFormat="1">
      <c r="A151" s="192">
        <f t="shared" si="57"/>
        <v>45035.996527777781</v>
      </c>
      <c r="B151" s="126" t="s">
        <v>228</v>
      </c>
      <c r="C151" s="126" t="s">
        <v>229</v>
      </c>
      <c r="D151" s="126" t="s">
        <v>215</v>
      </c>
      <c r="E151" s="126" t="s">
        <v>1345</v>
      </c>
      <c r="G151" s="73">
        <v>45038.333333333336</v>
      </c>
      <c r="H151" s="73">
        <v>45038.324999999997</v>
      </c>
      <c r="I151" s="126" t="s">
        <v>497</v>
      </c>
      <c r="J151" s="126" t="s">
        <v>192</v>
      </c>
      <c r="K151" s="126" t="s">
        <v>192</v>
      </c>
      <c r="L151" s="126" t="s">
        <v>1381</v>
      </c>
      <c r="M151" s="167"/>
      <c r="N151" s="126" t="s">
        <v>390</v>
      </c>
      <c r="O151" s="126" t="s">
        <v>391</v>
      </c>
      <c r="P151" s="126" t="s">
        <v>494</v>
      </c>
      <c r="Q151" s="181">
        <f>3097*2.4</f>
        <v>7432.7999999999993</v>
      </c>
      <c r="R151" s="181">
        <v>7632.0839999999998</v>
      </c>
      <c r="S151" s="181"/>
      <c r="T151" s="181">
        <f>R151</f>
        <v>7632.0839999999998</v>
      </c>
      <c r="AW151" s="165">
        <f t="shared" si="43"/>
        <v>45030.506944444445</v>
      </c>
      <c r="AX151" s="165">
        <f t="shared" si="44"/>
        <v>45048.291666666664</v>
      </c>
      <c r="AY151" s="137">
        <f t="shared" si="45"/>
        <v>17.784722222218988</v>
      </c>
      <c r="AZ151" s="165">
        <v>45030.506944444445</v>
      </c>
      <c r="BA151" s="165">
        <v>45033.357638888891</v>
      </c>
      <c r="BB151" s="165">
        <v>45035.166666666664</v>
      </c>
      <c r="BC151" s="165">
        <v>45035.996527777781</v>
      </c>
      <c r="BD151" s="165">
        <v>45036.197916666664</v>
      </c>
      <c r="BE151" s="165">
        <v>45036.204861111109</v>
      </c>
      <c r="BF151" s="165">
        <v>45036.204861111109</v>
      </c>
      <c r="BG151" s="165">
        <f t="shared" si="58"/>
        <v>45037.913194444445</v>
      </c>
      <c r="BH151" s="165">
        <v>45038.25</v>
      </c>
      <c r="BI151" s="165">
        <v>45038.416666666664</v>
      </c>
      <c r="BJ151" s="165">
        <v>45038.378472222219</v>
      </c>
      <c r="BK151" s="165">
        <v>45040.107638888891</v>
      </c>
      <c r="BL151" s="165">
        <v>45046.826388888891</v>
      </c>
      <c r="BM151" s="165">
        <v>45047.694444444445</v>
      </c>
      <c r="BN151" s="165">
        <v>45047.708333333336</v>
      </c>
      <c r="BO151" s="165">
        <v>45047.711805555555</v>
      </c>
      <c r="BP151" s="165">
        <v>45048.291666666664</v>
      </c>
      <c r="BS151" s="136">
        <f t="shared" si="46"/>
        <v>43.416666666569654</v>
      </c>
      <c r="BT151" s="136">
        <f t="shared" si="47"/>
        <v>4.8333333331975155</v>
      </c>
      <c r="BU151" s="136">
        <f t="shared" si="48"/>
        <v>41.000000000058208</v>
      </c>
      <c r="BV151" s="136">
        <f t="shared" si="56"/>
        <v>40.583333333430346</v>
      </c>
      <c r="BW151" s="135">
        <f t="shared" si="49"/>
        <v>20.833333333313931</v>
      </c>
      <c r="BX151" s="135">
        <f t="shared" si="50"/>
        <v>13.916666666627862</v>
      </c>
      <c r="BY151" s="134">
        <f t="shared" si="51"/>
        <v>6.8576388888832298</v>
      </c>
      <c r="BZ151" s="134">
        <f t="shared" si="52"/>
        <v>17.784722222218988</v>
      </c>
      <c r="CA151" s="133">
        <f t="shared" si="53"/>
        <v>0.38559156579436338</v>
      </c>
    </row>
    <row r="152" spans="1:79" s="126" customFormat="1">
      <c r="A152" s="192">
        <f t="shared" si="57"/>
        <v>45036.222222222219</v>
      </c>
      <c r="B152" s="126" t="s">
        <v>228</v>
      </c>
      <c r="C152" s="126" t="s">
        <v>229</v>
      </c>
      <c r="D152" s="126" t="s">
        <v>197</v>
      </c>
      <c r="E152" s="126" t="s">
        <v>1345</v>
      </c>
      <c r="G152" s="73">
        <v>45038.333333333336</v>
      </c>
      <c r="H152" s="73">
        <v>45038.324999999997</v>
      </c>
      <c r="I152" s="126" t="s">
        <v>497</v>
      </c>
      <c r="J152" s="126" t="s">
        <v>192</v>
      </c>
      <c r="K152" s="126" t="s">
        <v>192</v>
      </c>
      <c r="L152" s="126" t="s">
        <v>1382</v>
      </c>
      <c r="M152" s="167"/>
      <c r="N152" s="126" t="s">
        <v>489</v>
      </c>
      <c r="O152" s="126" t="s">
        <v>483</v>
      </c>
      <c r="P152" s="126" t="s">
        <v>494</v>
      </c>
      <c r="Q152" s="181">
        <f>3107*2.4</f>
        <v>7456.7999999999993</v>
      </c>
      <c r="R152" s="181">
        <v>7501.0940000000001</v>
      </c>
      <c r="S152" s="181"/>
      <c r="T152" s="181">
        <f>R152</f>
        <v>7501.0940000000001</v>
      </c>
      <c r="AW152" s="165">
        <f t="shared" si="43"/>
        <v>45031.434027777781</v>
      </c>
      <c r="AX152" s="165">
        <f t="shared" si="44"/>
        <v>45049.40625</v>
      </c>
      <c r="AY152" s="137">
        <f t="shared" si="45"/>
        <v>17.972222222218988</v>
      </c>
      <c r="AZ152" s="165">
        <v>45031.434027777781</v>
      </c>
      <c r="BA152" s="165">
        <v>45033.90625</v>
      </c>
      <c r="BB152" s="165">
        <v>45035.612500000003</v>
      </c>
      <c r="BC152" s="165">
        <v>45036.222222222219</v>
      </c>
      <c r="BD152" s="165">
        <v>45036.482638888891</v>
      </c>
      <c r="BE152" s="165">
        <v>45036.489583333336</v>
      </c>
      <c r="BF152" s="165">
        <v>45036.489583333336</v>
      </c>
      <c r="BG152" s="165">
        <f t="shared" si="58"/>
        <v>45038.197916666672</v>
      </c>
      <c r="BH152" s="165">
        <v>45038.25</v>
      </c>
      <c r="BI152" s="165">
        <v>45038.416666666664</v>
      </c>
      <c r="BJ152" s="165">
        <v>45038.397916666669</v>
      </c>
      <c r="BK152" s="165">
        <v>45040.25</v>
      </c>
      <c r="BL152" s="165">
        <v>45048.173611111109</v>
      </c>
      <c r="BM152" s="165">
        <v>45048.503472222219</v>
      </c>
      <c r="BN152" s="165">
        <v>45048.513888888891</v>
      </c>
      <c r="BO152" s="165">
        <v>45049.006944444445</v>
      </c>
      <c r="BP152" s="165">
        <v>45049.40625</v>
      </c>
      <c r="BS152" s="136">
        <f t="shared" si="46"/>
        <v>40.950000000069849</v>
      </c>
      <c r="BT152" s="136">
        <f t="shared" si="47"/>
        <v>6.2500000001164153</v>
      </c>
      <c r="BU152" s="136">
        <f t="shared" si="48"/>
        <v>41.000000000058208</v>
      </c>
      <c r="BV152" s="136">
        <f t="shared" si="56"/>
        <v>44.000000000058208</v>
      </c>
      <c r="BW152" s="135">
        <f t="shared" si="49"/>
        <v>7.9166666666278616</v>
      </c>
      <c r="BX152" s="135">
        <f t="shared" si="50"/>
        <v>9.5833333333139308</v>
      </c>
      <c r="BY152" s="134">
        <f t="shared" si="51"/>
        <v>6.2375000000101863</v>
      </c>
      <c r="BZ152" s="134">
        <f t="shared" si="52"/>
        <v>17.972222222218988</v>
      </c>
      <c r="CA152" s="133">
        <f t="shared" si="53"/>
        <v>0.34706336939784715</v>
      </c>
    </row>
    <row r="153" spans="1:79" s="126" customFormat="1">
      <c r="A153" s="192">
        <f t="shared" si="57"/>
        <v>45036.520833333336</v>
      </c>
      <c r="B153" s="126" t="s">
        <v>228</v>
      </c>
      <c r="C153" s="126" t="s">
        <v>229</v>
      </c>
      <c r="D153" s="126" t="s">
        <v>197</v>
      </c>
      <c r="E153" s="126" t="s">
        <v>1345</v>
      </c>
      <c r="G153" s="73">
        <v>45038.333333333336</v>
      </c>
      <c r="H153" s="73">
        <v>45038.324999999997</v>
      </c>
      <c r="I153" s="126" t="s">
        <v>497</v>
      </c>
      <c r="J153" s="126" t="s">
        <v>192</v>
      </c>
      <c r="K153" s="126" t="s">
        <v>192</v>
      </c>
      <c r="L153" s="126" t="s">
        <v>1383</v>
      </c>
      <c r="M153" s="167"/>
      <c r="N153" s="126" t="s">
        <v>205</v>
      </c>
      <c r="O153" s="126" t="s">
        <v>206</v>
      </c>
      <c r="P153" s="126" t="s">
        <v>494</v>
      </c>
      <c r="Q153" s="181">
        <f>3015*2.4</f>
        <v>7236</v>
      </c>
      <c r="R153" s="181">
        <v>7284.89</v>
      </c>
      <c r="S153" s="181"/>
      <c r="T153" s="181">
        <f>R153</f>
        <v>7284.89</v>
      </c>
      <c r="AW153" s="165">
        <f t="shared" si="43"/>
        <v>45031.996527777781</v>
      </c>
      <c r="AX153" s="165">
        <f t="shared" si="44"/>
        <v>45047.353472222225</v>
      </c>
      <c r="AY153" s="137">
        <f t="shared" si="45"/>
        <v>15.356944444443798</v>
      </c>
      <c r="AZ153" s="165">
        <v>45031.996527777781</v>
      </c>
      <c r="BA153" s="165">
        <v>45033.840277777781</v>
      </c>
      <c r="BB153" s="165">
        <v>45035.416666666664</v>
      </c>
      <c r="BC153" s="165">
        <v>45036.520833333336</v>
      </c>
      <c r="BD153" s="165">
        <v>45036.666666666664</v>
      </c>
      <c r="BE153" s="165">
        <v>45036.673611111109</v>
      </c>
      <c r="BF153" s="165">
        <v>45036.673611111109</v>
      </c>
      <c r="BG153" s="165">
        <f t="shared" si="58"/>
        <v>45038.381944444445</v>
      </c>
      <c r="BH153" s="165">
        <v>45038.25</v>
      </c>
      <c r="BI153" s="165">
        <v>45038.416666666664</v>
      </c>
      <c r="BJ153" s="165">
        <v>45038.454861111109</v>
      </c>
      <c r="BK153" s="165">
        <v>45040.100694444445</v>
      </c>
      <c r="BL153" s="165">
        <v>45046.420138888891</v>
      </c>
      <c r="BM153" s="165">
        <v>45046.670138888891</v>
      </c>
      <c r="BN153" s="165">
        <v>45046.777777777781</v>
      </c>
      <c r="BO153" s="165">
        <v>45046.78125</v>
      </c>
      <c r="BP153" s="165">
        <v>45047.353472222225</v>
      </c>
      <c r="BS153" s="136">
        <f t="shared" si="46"/>
        <v>37.833333333197515</v>
      </c>
      <c r="BT153" s="136">
        <f t="shared" si="47"/>
        <v>3.4999999998835847</v>
      </c>
      <c r="BU153" s="136">
        <f t="shared" si="48"/>
        <v>41.000000000058208</v>
      </c>
      <c r="BV153" s="136">
        <f t="shared" si="56"/>
        <v>40.416666666744277</v>
      </c>
      <c r="BW153" s="135">
        <f t="shared" si="49"/>
        <v>6</v>
      </c>
      <c r="BX153" s="135">
        <f t="shared" si="50"/>
        <v>13.733333333395422</v>
      </c>
      <c r="BY153" s="134">
        <f t="shared" si="51"/>
        <v>5.9368055555532919</v>
      </c>
      <c r="BZ153" s="134">
        <f t="shared" si="52"/>
        <v>15.356944444443798</v>
      </c>
      <c r="CA153" s="133">
        <f t="shared" si="53"/>
        <v>0.38658768201126437</v>
      </c>
    </row>
    <row r="154" spans="1:79" s="126" customFormat="1">
      <c r="A154" s="192">
        <f t="shared" si="57"/>
        <v>45037.538194444445</v>
      </c>
      <c r="B154" s="126" t="s">
        <v>228</v>
      </c>
      <c r="C154" s="126" t="s">
        <v>229</v>
      </c>
      <c r="D154" s="126" t="s">
        <v>197</v>
      </c>
      <c r="E154" s="126" t="s">
        <v>1345</v>
      </c>
      <c r="G154" s="73">
        <v>45038.333333333336</v>
      </c>
      <c r="H154" s="73">
        <v>45038.324999999997</v>
      </c>
      <c r="I154" s="126" t="s">
        <v>497</v>
      </c>
      <c r="J154" s="126" t="s">
        <v>192</v>
      </c>
      <c r="K154" s="126" t="s">
        <v>192</v>
      </c>
      <c r="L154" s="126" t="s">
        <v>1384</v>
      </c>
      <c r="M154" s="167"/>
      <c r="N154" s="126" t="s">
        <v>367</v>
      </c>
      <c r="O154" s="126" t="s">
        <v>368</v>
      </c>
      <c r="P154" s="126" t="s">
        <v>835</v>
      </c>
      <c r="Q154" s="181">
        <f>4111*2.4</f>
        <v>9866.4</v>
      </c>
      <c r="R154" s="181">
        <v>9825.5220000000008</v>
      </c>
      <c r="S154" s="181"/>
      <c r="U154" s="181">
        <f>R154</f>
        <v>9825.5220000000008</v>
      </c>
      <c r="AW154" s="165">
        <f t="shared" si="43"/>
        <v>45031.670138888891</v>
      </c>
      <c r="AX154" s="165">
        <f t="shared" si="44"/>
        <v>45048.416666666664</v>
      </c>
      <c r="AY154" s="137">
        <f t="shared" si="45"/>
        <v>16.746527777773736</v>
      </c>
      <c r="AZ154" s="165">
        <v>45031.670138888891</v>
      </c>
      <c r="BA154" s="165">
        <v>45033.833333333336</v>
      </c>
      <c r="BB154" s="165">
        <v>45035.631944444445</v>
      </c>
      <c r="BC154" s="165">
        <v>45037.538194444445</v>
      </c>
      <c r="BD154" s="165">
        <v>45037.722222222219</v>
      </c>
      <c r="BE154" s="165">
        <v>45037.739583333336</v>
      </c>
      <c r="BF154" s="165">
        <v>45037.739583333336</v>
      </c>
      <c r="BG154" s="165">
        <f t="shared" si="58"/>
        <v>45039.447916666672</v>
      </c>
      <c r="BH154" s="165">
        <v>45040.25</v>
      </c>
      <c r="BI154" s="165">
        <v>45040.416666666664</v>
      </c>
      <c r="BJ154" s="165">
        <v>45040.336805555555</v>
      </c>
      <c r="BK154" s="165">
        <v>45042.833333333336</v>
      </c>
      <c r="BL154" s="165">
        <v>45047.767361111109</v>
      </c>
      <c r="BM154" s="165">
        <v>45048.046527777777</v>
      </c>
      <c r="BN154" s="165">
        <v>45048.072916666664</v>
      </c>
      <c r="BO154" s="165">
        <v>45048.076388888891</v>
      </c>
      <c r="BP154" s="165">
        <v>45048.416666666664</v>
      </c>
      <c r="BS154" s="136">
        <f t="shared" si="46"/>
        <v>43.166666666627862</v>
      </c>
      <c r="BT154" s="136">
        <f t="shared" si="47"/>
        <v>4.4166666665696539</v>
      </c>
      <c r="BU154" s="136">
        <f t="shared" si="48"/>
        <v>41.000000000058208</v>
      </c>
      <c r="BV154" s="136">
        <f t="shared" si="56"/>
        <v>58.000000000116415</v>
      </c>
      <c r="BW154" s="135">
        <f t="shared" si="49"/>
        <v>6.7000000000116415</v>
      </c>
      <c r="BX154" s="135">
        <f t="shared" si="50"/>
        <v>8.1666666665696539</v>
      </c>
      <c r="BY154" s="134">
        <f t="shared" si="51"/>
        <v>6.7270833333313931</v>
      </c>
      <c r="BZ154" s="134">
        <f t="shared" si="52"/>
        <v>16.746527777773736</v>
      </c>
      <c r="CA154" s="133">
        <f t="shared" si="53"/>
        <v>0.40170018660582807</v>
      </c>
    </row>
    <row r="155" spans="1:79" s="126" customFormat="1">
      <c r="A155" s="192">
        <f t="shared" si="57"/>
        <v>45037.381944444445</v>
      </c>
      <c r="B155" s="126" t="s">
        <v>228</v>
      </c>
      <c r="C155" s="126" t="s">
        <v>229</v>
      </c>
      <c r="D155" s="126" t="s">
        <v>197</v>
      </c>
      <c r="E155" s="126" t="s">
        <v>1345</v>
      </c>
      <c r="G155" s="73">
        <v>45038.333333333336</v>
      </c>
      <c r="H155" s="73">
        <v>45038.324999999997</v>
      </c>
      <c r="I155" s="126" t="s">
        <v>497</v>
      </c>
      <c r="J155" s="126" t="s">
        <v>192</v>
      </c>
      <c r="K155" s="126" t="s">
        <v>192</v>
      </c>
      <c r="L155" s="126" t="s">
        <v>1385</v>
      </c>
      <c r="M155" s="167"/>
      <c r="N155" s="126" t="s">
        <v>361</v>
      </c>
      <c r="O155" s="126" t="s">
        <v>362</v>
      </c>
      <c r="P155" s="126" t="s">
        <v>494</v>
      </c>
      <c r="Q155" s="181">
        <f>3039*2.4</f>
        <v>7293.5999999999995</v>
      </c>
      <c r="R155" s="181">
        <v>7296.0649999999996</v>
      </c>
      <c r="S155" s="181"/>
      <c r="T155" s="181">
        <f>R155</f>
        <v>7296.0649999999996</v>
      </c>
      <c r="AW155" s="165">
        <f t="shared" si="43"/>
        <v>45033.409722222219</v>
      </c>
      <c r="AX155" s="165">
        <f t="shared" si="44"/>
        <v>45049.479166666664</v>
      </c>
      <c r="AY155" s="137">
        <f t="shared" si="45"/>
        <v>16.069444444445253</v>
      </c>
      <c r="AZ155" s="165">
        <v>45033.409722222219</v>
      </c>
      <c r="BA155" s="165">
        <v>45033.930555555555</v>
      </c>
      <c r="BB155" s="165">
        <v>45035.625</v>
      </c>
      <c r="BC155" s="165">
        <v>45037.381944444445</v>
      </c>
      <c r="BD155" s="165">
        <v>45037.513888888891</v>
      </c>
      <c r="BE155" s="165">
        <v>45037.517361111109</v>
      </c>
      <c r="BF155" s="165">
        <v>45037.517361111109</v>
      </c>
      <c r="BG155" s="165">
        <f t="shared" si="58"/>
        <v>45039.225694444445</v>
      </c>
      <c r="BH155" s="165">
        <v>45039.25</v>
      </c>
      <c r="BI155" s="165">
        <v>45039.416666666664</v>
      </c>
      <c r="BJ155" s="165">
        <v>45039.274305555555</v>
      </c>
      <c r="BK155" s="165">
        <v>45041.770833333336</v>
      </c>
      <c r="BL155" s="165">
        <v>45048.576388888891</v>
      </c>
      <c r="BM155" s="165">
        <v>45048.791666666664</v>
      </c>
      <c r="BN155" s="165">
        <v>45048.805555555555</v>
      </c>
      <c r="BO155" s="165">
        <v>45049.010416666664</v>
      </c>
      <c r="BP155" s="165">
        <v>45049.479166666664</v>
      </c>
      <c r="BS155" s="136">
        <f t="shared" si="46"/>
        <v>40.666666666686069</v>
      </c>
      <c r="BT155" s="136">
        <f t="shared" si="47"/>
        <v>3.1666666666860692</v>
      </c>
      <c r="BU155" s="136">
        <f t="shared" si="48"/>
        <v>41.000000000058208</v>
      </c>
      <c r="BV155" s="136">
        <f t="shared" si="56"/>
        <v>56.500000000116415</v>
      </c>
      <c r="BW155" s="135">
        <f t="shared" si="49"/>
        <v>5.1666666665696539</v>
      </c>
      <c r="BX155" s="135">
        <f t="shared" si="50"/>
        <v>11.25</v>
      </c>
      <c r="BY155" s="134">
        <f t="shared" si="51"/>
        <v>6.5729166666715173</v>
      </c>
      <c r="BZ155" s="134">
        <f t="shared" si="52"/>
        <v>16.069444444445253</v>
      </c>
      <c r="CA155" s="133">
        <f t="shared" si="53"/>
        <v>0.40903197925697965</v>
      </c>
    </row>
    <row r="156" spans="1:79" s="126" customFormat="1">
      <c r="A156" s="192">
        <f t="shared" si="57"/>
        <v>45039.340277777781</v>
      </c>
      <c r="B156" s="126" t="s">
        <v>228</v>
      </c>
      <c r="C156" s="126" t="s">
        <v>229</v>
      </c>
      <c r="D156" s="126" t="s">
        <v>197</v>
      </c>
      <c r="E156" s="126" t="s">
        <v>1345</v>
      </c>
      <c r="G156" s="73">
        <v>45038.333333333336</v>
      </c>
      <c r="H156" s="73">
        <v>45038.324999999997</v>
      </c>
      <c r="I156" s="126" t="s">
        <v>497</v>
      </c>
      <c r="J156" s="126" t="s">
        <v>192</v>
      </c>
      <c r="K156" s="126" t="s">
        <v>192</v>
      </c>
      <c r="L156" s="126" t="s">
        <v>1386</v>
      </c>
      <c r="M156" s="167"/>
      <c r="N156" s="126" t="s">
        <v>310</v>
      </c>
      <c r="O156" s="126" t="s">
        <v>311</v>
      </c>
      <c r="P156" s="126" t="s">
        <v>494</v>
      </c>
      <c r="Q156" s="181">
        <f>3128*2.4</f>
        <v>7507.2</v>
      </c>
      <c r="R156" s="181">
        <v>7528.0720000000001</v>
      </c>
      <c r="S156" s="181"/>
      <c r="T156" s="181">
        <f>R156</f>
        <v>7528.0720000000001</v>
      </c>
      <c r="AW156" s="165">
        <f t="shared" si="43"/>
        <v>45032.423611111109</v>
      </c>
      <c r="AX156" s="165">
        <f t="shared" si="44"/>
        <v>45049.909722222219</v>
      </c>
      <c r="AY156" s="137">
        <f t="shared" si="45"/>
        <v>17.486111111109494</v>
      </c>
      <c r="AZ156" s="165">
        <v>45032.423611111109</v>
      </c>
      <c r="BA156" s="165">
        <v>45033.8125</v>
      </c>
      <c r="BB156" s="165">
        <v>45035.826388888891</v>
      </c>
      <c r="BC156" s="165">
        <v>45039.340277777781</v>
      </c>
      <c r="BD156" s="165">
        <v>45039.5</v>
      </c>
      <c r="BE156" s="165">
        <v>45039.503472222219</v>
      </c>
      <c r="BF156" s="165">
        <v>45039.503472222219</v>
      </c>
      <c r="BG156" s="165">
        <f t="shared" si="58"/>
        <v>45041.211805555555</v>
      </c>
      <c r="BH156" s="165">
        <v>45041.25</v>
      </c>
      <c r="BI156" s="165">
        <v>45041.416666666664</v>
      </c>
      <c r="BJ156" s="165">
        <v>45041.288194444445</v>
      </c>
      <c r="BK156" s="165">
        <v>45043.767361111109</v>
      </c>
      <c r="BL156" s="165">
        <v>45048.881944444445</v>
      </c>
      <c r="BM156" s="165">
        <v>45049.173611111109</v>
      </c>
      <c r="BN156" s="165">
        <v>45049.194444444445</v>
      </c>
      <c r="BO156" s="165">
        <v>45049.197916666664</v>
      </c>
      <c r="BP156" s="165">
        <v>45049.909722222219</v>
      </c>
      <c r="BS156" s="136">
        <f t="shared" si="46"/>
        <v>48.333333333372138</v>
      </c>
      <c r="BT156" s="136">
        <f t="shared" si="47"/>
        <v>3.8333333332557231</v>
      </c>
      <c r="BU156" s="136">
        <f t="shared" si="48"/>
        <v>41.000000000058208</v>
      </c>
      <c r="BV156" s="136">
        <f t="shared" si="56"/>
        <v>56.416666666686069</v>
      </c>
      <c r="BW156" s="135">
        <f t="shared" si="49"/>
        <v>6.9999999999417923</v>
      </c>
      <c r="BX156" s="135">
        <f t="shared" si="50"/>
        <v>17.083333333313931</v>
      </c>
      <c r="BY156" s="134">
        <f t="shared" si="51"/>
        <v>7.2361111111094942</v>
      </c>
      <c r="BZ156" s="134">
        <f t="shared" si="52"/>
        <v>17.486111111109494</v>
      </c>
      <c r="CA156" s="133">
        <f t="shared" si="53"/>
        <v>0.41382049245427466</v>
      </c>
    </row>
    <row r="157" spans="1:79" s="126" customFormat="1">
      <c r="A157" s="192">
        <f t="shared" si="57"/>
        <v>45039.524305555555</v>
      </c>
      <c r="B157" s="126" t="s">
        <v>228</v>
      </c>
      <c r="C157" s="126" t="s">
        <v>229</v>
      </c>
      <c r="D157" s="126" t="s">
        <v>197</v>
      </c>
      <c r="E157" s="126" t="s">
        <v>1345</v>
      </c>
      <c r="G157" s="73">
        <v>45038.333333333336</v>
      </c>
      <c r="H157" s="73">
        <v>45038.324999999997</v>
      </c>
      <c r="I157" s="126" t="s">
        <v>497</v>
      </c>
      <c r="J157" s="126" t="s">
        <v>192</v>
      </c>
      <c r="K157" s="126" t="s">
        <v>192</v>
      </c>
      <c r="L157" s="126" t="s">
        <v>1387</v>
      </c>
      <c r="M157" s="167"/>
      <c r="N157" s="126" t="s">
        <v>249</v>
      </c>
      <c r="O157" s="126" t="s">
        <v>250</v>
      </c>
      <c r="P157" s="126" t="s">
        <v>494</v>
      </c>
      <c r="Q157" s="181">
        <f>3139*2.4</f>
        <v>7533.5999999999995</v>
      </c>
      <c r="R157" s="181">
        <v>7544.7120000000004</v>
      </c>
      <c r="S157" s="181"/>
      <c r="T157" s="181">
        <f>R157</f>
        <v>7544.7120000000004</v>
      </c>
      <c r="AW157" s="165">
        <f t="shared" si="43"/>
        <v>45032.569444444445</v>
      </c>
      <c r="AX157" s="165">
        <f t="shared" si="44"/>
        <v>45049.958333333336</v>
      </c>
      <c r="AY157" s="137">
        <f t="shared" si="45"/>
        <v>17.388888888890506</v>
      </c>
      <c r="AZ157" s="165">
        <v>45032.569444444445</v>
      </c>
      <c r="BA157" s="165">
        <v>45033.868055555555</v>
      </c>
      <c r="BB157" s="165">
        <v>45035.833333333336</v>
      </c>
      <c r="BC157" s="165">
        <v>45039.524305555555</v>
      </c>
      <c r="BD157" s="165">
        <v>45039.71875</v>
      </c>
      <c r="BE157" s="165">
        <v>45039.722222222219</v>
      </c>
      <c r="BF157" s="165">
        <v>45039.722222222219</v>
      </c>
      <c r="BG157" s="165">
        <f t="shared" si="58"/>
        <v>45041.430555555555</v>
      </c>
      <c r="BH157" s="165">
        <v>45041.25</v>
      </c>
      <c r="BI157" s="165">
        <v>45041.416666666664</v>
      </c>
      <c r="BJ157" s="165">
        <v>45041.420138888891</v>
      </c>
      <c r="BK157" s="165">
        <v>45043.833333333336</v>
      </c>
      <c r="BL157" s="165">
        <v>45046.069444444445</v>
      </c>
      <c r="BM157" s="165">
        <v>45049.40625</v>
      </c>
      <c r="BN157" s="165">
        <v>45049.413194444445</v>
      </c>
      <c r="BO157" s="165">
        <v>45049.416666666664</v>
      </c>
      <c r="BP157" s="165">
        <v>45049.958333333336</v>
      </c>
      <c r="BS157" s="136">
        <f t="shared" si="46"/>
        <v>47.166666666744277</v>
      </c>
      <c r="BT157" s="136">
        <f t="shared" si="47"/>
        <v>4.6666666666860692</v>
      </c>
      <c r="BU157" s="136">
        <f t="shared" si="48"/>
        <v>41.000000000058208</v>
      </c>
      <c r="BV157" s="136">
        <f t="shared" si="56"/>
        <v>58.000000000116415</v>
      </c>
      <c r="BW157" s="135">
        <f t="shared" si="49"/>
        <v>80.083333333313931</v>
      </c>
      <c r="BX157" s="135">
        <f t="shared" si="50"/>
        <v>13.000000000116415</v>
      </c>
      <c r="BY157" s="134">
        <f t="shared" si="51"/>
        <v>10.163194444459805</v>
      </c>
      <c r="BZ157" s="134">
        <f t="shared" si="52"/>
        <v>17.388888888890506</v>
      </c>
      <c r="CA157" s="133">
        <f t="shared" si="53"/>
        <v>0.58446485623086097</v>
      </c>
    </row>
    <row r="158" spans="1:79" s="126" customFormat="1">
      <c r="A158" s="192">
        <f t="shared" si="57"/>
        <v>45041.944444444445</v>
      </c>
      <c r="B158" s="126" t="s">
        <v>228</v>
      </c>
      <c r="C158" s="126" t="s">
        <v>229</v>
      </c>
      <c r="D158" s="126" t="s">
        <v>197</v>
      </c>
      <c r="E158" s="65" t="s">
        <v>1283</v>
      </c>
      <c r="G158" s="73">
        <v>45045.833333333336</v>
      </c>
      <c r="H158" s="73">
        <v>45045.78125</v>
      </c>
      <c r="I158" s="126" t="s">
        <v>490</v>
      </c>
      <c r="J158" s="126" t="s">
        <v>192</v>
      </c>
      <c r="K158" s="126" t="s">
        <v>192</v>
      </c>
      <c r="L158" s="126" t="s">
        <v>1388</v>
      </c>
      <c r="M158" s="167"/>
      <c r="N158" s="126" t="s">
        <v>686</v>
      </c>
      <c r="O158" s="126" t="s">
        <v>1186</v>
      </c>
      <c r="P158" s="126" t="s">
        <v>1389</v>
      </c>
      <c r="Q158" s="181">
        <v>7500</v>
      </c>
      <c r="R158" s="181">
        <v>7445.482</v>
      </c>
      <c r="S158" s="181"/>
      <c r="T158" s="181">
        <f>R158*0.7</f>
        <v>5211.8373999999994</v>
      </c>
      <c r="U158" s="181">
        <f>R158*0.3</f>
        <v>2233.6446000000001</v>
      </c>
      <c r="AW158" s="165">
        <f t="shared" si="43"/>
        <v>45032.697916666664</v>
      </c>
      <c r="AX158" s="165">
        <f t="shared" si="44"/>
        <v>45047.895833333336</v>
      </c>
      <c r="AY158" s="137">
        <f t="shared" si="45"/>
        <v>15.197916666671517</v>
      </c>
      <c r="AZ158" s="165">
        <v>45032.697916666664</v>
      </c>
      <c r="BA158" s="165">
        <v>45034.847222222219</v>
      </c>
      <c r="BB158" s="165">
        <v>45036.708333333336</v>
      </c>
      <c r="BC158" s="165">
        <v>45041.944444444445</v>
      </c>
      <c r="BD158" s="165">
        <v>45042.138888888891</v>
      </c>
      <c r="BE158" s="165">
        <v>45042.145833333336</v>
      </c>
      <c r="BF158" s="165">
        <v>45042.291666666664</v>
      </c>
      <c r="BG158" s="165">
        <f t="shared" si="58"/>
        <v>45044</v>
      </c>
      <c r="BH158" s="165">
        <v>45044.25</v>
      </c>
      <c r="BI158" s="165">
        <v>45044.416666666664</v>
      </c>
      <c r="BJ158" s="165">
        <v>45044.357638888891</v>
      </c>
      <c r="BK158" s="165">
        <v>45046</v>
      </c>
      <c r="BL158" s="165">
        <v>45047.131944444445</v>
      </c>
      <c r="BM158" s="165">
        <v>45047.548611111109</v>
      </c>
      <c r="BN158" s="165">
        <v>45047.569444444445</v>
      </c>
      <c r="BO158" s="165">
        <v>45047.569444444445</v>
      </c>
      <c r="BP158" s="165">
        <v>45047.895833333336</v>
      </c>
      <c r="BS158" s="136">
        <f t="shared" si="46"/>
        <v>44.666666666802485</v>
      </c>
      <c r="BT158" s="136">
        <f t="shared" si="47"/>
        <v>4.6666666666860692</v>
      </c>
      <c r="BU158" s="136">
        <f t="shared" si="48"/>
        <v>41.000000000058208</v>
      </c>
      <c r="BV158" s="136">
        <f t="shared" si="56"/>
        <v>38.000000000058208</v>
      </c>
      <c r="BW158" s="135">
        <f t="shared" si="49"/>
        <v>9.9999999999417923</v>
      </c>
      <c r="BX158" s="135">
        <f t="shared" si="50"/>
        <v>7.8333333333721384</v>
      </c>
      <c r="BY158" s="134">
        <f t="shared" si="51"/>
        <v>6.0902777777882875</v>
      </c>
      <c r="BZ158" s="134">
        <f t="shared" si="52"/>
        <v>15.197916666671517</v>
      </c>
      <c r="CA158" s="133">
        <f t="shared" si="53"/>
        <v>0.40073109435742904</v>
      </c>
    </row>
    <row r="159" spans="1:79" s="126" customFormat="1">
      <c r="A159" s="192">
        <f t="shared" si="57"/>
        <v>45042.173611111109</v>
      </c>
      <c r="B159" s="126" t="s">
        <v>228</v>
      </c>
      <c r="C159" s="126" t="s">
        <v>229</v>
      </c>
      <c r="D159" s="126" t="s">
        <v>197</v>
      </c>
      <c r="E159" s="65" t="s">
        <v>1283</v>
      </c>
      <c r="G159" s="73">
        <v>45045.833333333336</v>
      </c>
      <c r="H159" s="73">
        <v>45045.78125</v>
      </c>
      <c r="I159" s="126" t="s">
        <v>490</v>
      </c>
      <c r="J159" s="126" t="s">
        <v>192</v>
      </c>
      <c r="K159" s="126" t="s">
        <v>192</v>
      </c>
      <c r="L159" s="126" t="s">
        <v>1390</v>
      </c>
      <c r="M159" s="167"/>
      <c r="N159" s="126" t="s">
        <v>1240</v>
      </c>
      <c r="O159" s="126" t="s">
        <v>1241</v>
      </c>
      <c r="P159" s="126" t="s">
        <v>1389</v>
      </c>
      <c r="Q159" s="181">
        <f>3243*2.4</f>
        <v>7783.2</v>
      </c>
      <c r="R159" s="181">
        <v>7662.1549999999997</v>
      </c>
      <c r="S159" s="181"/>
      <c r="T159" s="181">
        <f>R159*0.7</f>
        <v>5363.5084999999999</v>
      </c>
      <c r="U159" s="181">
        <f>R159*0.3</f>
        <v>2298.6464999999998</v>
      </c>
      <c r="AW159" s="165">
        <f t="shared" si="43"/>
        <v>45034.877083333333</v>
      </c>
      <c r="AX159" s="165">
        <f t="shared" si="44"/>
        <v>45047.1875</v>
      </c>
      <c r="AY159" s="137">
        <f t="shared" si="45"/>
        <v>12.310416666667152</v>
      </c>
      <c r="AZ159" s="165">
        <v>45034.877083333333</v>
      </c>
      <c r="BA159" s="165">
        <v>45035.6</v>
      </c>
      <c r="BB159" s="165">
        <v>45037.3125</v>
      </c>
      <c r="BC159" s="165">
        <v>45042.173611111109</v>
      </c>
      <c r="BD159" s="165">
        <v>45042.423611111109</v>
      </c>
      <c r="BE159" s="165">
        <v>45042.430555555555</v>
      </c>
      <c r="BF159" s="165">
        <v>45042.430555555555</v>
      </c>
      <c r="BG159" s="165">
        <f t="shared" si="58"/>
        <v>45044.138888888891</v>
      </c>
      <c r="BH159" s="165">
        <v>45044.25</v>
      </c>
      <c r="BI159" s="165">
        <v>45044.416666666664</v>
      </c>
      <c r="BJ159" s="165">
        <v>45044.340277777781</v>
      </c>
      <c r="BK159" s="165">
        <v>45045.791666666664</v>
      </c>
      <c r="BL159" s="165">
        <v>45046.104166666664</v>
      </c>
      <c r="BM159" s="165">
        <v>45046.736111111109</v>
      </c>
      <c r="BN159" s="165">
        <v>45046.756944444445</v>
      </c>
      <c r="BO159" s="165">
        <v>45046.756944444445</v>
      </c>
      <c r="BP159" s="165">
        <v>45047.1875</v>
      </c>
      <c r="BS159" s="136">
        <f t="shared" si="46"/>
        <v>41.100000000034925</v>
      </c>
      <c r="BT159" s="136">
        <f t="shared" si="47"/>
        <v>6</v>
      </c>
      <c r="BU159" s="136">
        <f t="shared" si="48"/>
        <v>41.000000000058208</v>
      </c>
      <c r="BV159" s="136">
        <f t="shared" si="56"/>
        <v>33</v>
      </c>
      <c r="BW159" s="135">
        <f t="shared" si="49"/>
        <v>15.166666666686069</v>
      </c>
      <c r="BX159" s="135">
        <f t="shared" si="50"/>
        <v>10.333333333313931</v>
      </c>
      <c r="BY159" s="134">
        <f t="shared" si="51"/>
        <v>6.1083333333372138</v>
      </c>
      <c r="BZ159" s="134">
        <f t="shared" si="52"/>
        <v>12.310416666667152</v>
      </c>
      <c r="CA159" s="133">
        <f t="shared" si="53"/>
        <v>0.49619224911182047</v>
      </c>
    </row>
    <row r="160" spans="1:79" s="126" customFormat="1">
      <c r="A160" s="192">
        <f t="shared" si="57"/>
        <v>45042.652777777781</v>
      </c>
      <c r="B160" s="126" t="s">
        <v>228</v>
      </c>
      <c r="C160" s="126" t="s">
        <v>229</v>
      </c>
      <c r="D160" s="126" t="s">
        <v>197</v>
      </c>
      <c r="E160" s="65" t="s">
        <v>1283</v>
      </c>
      <c r="G160" s="73">
        <v>45045.833333333336</v>
      </c>
      <c r="H160" s="73">
        <v>45045.78125</v>
      </c>
      <c r="I160" s="126" t="s">
        <v>490</v>
      </c>
      <c r="J160" s="126" t="s">
        <v>192</v>
      </c>
      <c r="K160" s="126" t="s">
        <v>192</v>
      </c>
      <c r="L160" s="126" t="s">
        <v>1391</v>
      </c>
      <c r="M160" s="167"/>
      <c r="N160" s="126" t="s">
        <v>1392</v>
      </c>
      <c r="O160" s="126" t="s">
        <v>365</v>
      </c>
      <c r="P160" s="126" t="s">
        <v>1389</v>
      </c>
      <c r="Q160" s="181">
        <f>3142*2.4</f>
        <v>7540.7999999999993</v>
      </c>
      <c r="R160" s="181">
        <v>7526.5429999999997</v>
      </c>
      <c r="S160" s="181"/>
      <c r="T160" s="181">
        <f>R160*0.7</f>
        <v>5268.5800999999992</v>
      </c>
      <c r="U160" s="181">
        <f>R160*0.3</f>
        <v>2257.9629</v>
      </c>
      <c r="AW160" s="165">
        <f t="shared" si="43"/>
        <v>45006.052083333336</v>
      </c>
      <c r="AX160" s="165">
        <f t="shared" si="44"/>
        <v>45048.333333333336</v>
      </c>
      <c r="AY160" s="137">
        <f t="shared" si="45"/>
        <v>42.28125</v>
      </c>
      <c r="AZ160" s="165">
        <v>45006.052083333336</v>
      </c>
      <c r="BA160" s="165">
        <v>45035.625</v>
      </c>
      <c r="BB160" s="165">
        <v>45037.427083333336</v>
      </c>
      <c r="BC160" s="165">
        <v>45042.652777777781</v>
      </c>
      <c r="BD160" s="165">
        <v>45042.930555555555</v>
      </c>
      <c r="BE160" s="165">
        <v>45042.934027777781</v>
      </c>
      <c r="BF160" s="165">
        <v>45042.934027777781</v>
      </c>
      <c r="BG160" s="165">
        <f t="shared" si="58"/>
        <v>45044.642361111117</v>
      </c>
      <c r="BH160" s="165">
        <v>45045.25</v>
      </c>
      <c r="BI160" s="165">
        <v>45045.416666666664</v>
      </c>
      <c r="BJ160" s="165">
        <v>45045.333333333336</v>
      </c>
      <c r="BK160" s="165">
        <v>45046.635416666664</v>
      </c>
      <c r="BL160" s="165">
        <v>45047.548611111109</v>
      </c>
      <c r="BM160" s="165">
        <v>45047.979166666664</v>
      </c>
      <c r="BN160" s="165">
        <v>45048</v>
      </c>
      <c r="BO160" s="165">
        <v>45048.125</v>
      </c>
      <c r="BP160" s="165">
        <v>45048.333333333336</v>
      </c>
      <c r="BQ160" s="126" t="s">
        <v>1393</v>
      </c>
      <c r="BS160" s="136">
        <f t="shared" si="46"/>
        <v>43.250000000058208</v>
      </c>
      <c r="BT160" s="136">
        <f t="shared" si="47"/>
        <v>6.6666666665696539</v>
      </c>
      <c r="BU160" s="136">
        <f t="shared" si="48"/>
        <v>41.000000000058208</v>
      </c>
      <c r="BV160" s="136">
        <f t="shared" si="56"/>
        <v>29.25</v>
      </c>
      <c r="BW160" s="135">
        <f t="shared" si="49"/>
        <v>10.333333333313931</v>
      </c>
      <c r="BX160" s="135">
        <f t="shared" si="50"/>
        <v>5.0000000000582077</v>
      </c>
      <c r="BY160" s="134">
        <f t="shared" si="51"/>
        <v>5.6458333333357587</v>
      </c>
      <c r="BZ160" s="134">
        <f t="shared" si="52"/>
        <v>42.28125</v>
      </c>
      <c r="CA160" s="133">
        <f t="shared" si="53"/>
        <v>0.13353042621341041</v>
      </c>
    </row>
    <row r="161" spans="1:79" s="126" customFormat="1">
      <c r="A161" s="192">
        <f t="shared" si="57"/>
        <v>45042.993055555555</v>
      </c>
      <c r="B161" s="126" t="s">
        <v>228</v>
      </c>
      <c r="C161" s="126" t="s">
        <v>229</v>
      </c>
      <c r="D161" s="126" t="s">
        <v>197</v>
      </c>
      <c r="E161" s="65" t="s">
        <v>1283</v>
      </c>
      <c r="G161" s="73">
        <v>45045.833333333336</v>
      </c>
      <c r="H161" s="73">
        <v>45045.78125</v>
      </c>
      <c r="I161" s="126" t="s">
        <v>490</v>
      </c>
      <c r="J161" s="126" t="s">
        <v>192</v>
      </c>
      <c r="K161" s="126" t="s">
        <v>192</v>
      </c>
      <c r="L161" s="126" t="s">
        <v>1394</v>
      </c>
      <c r="M161" s="167"/>
      <c r="N161" s="126" t="s">
        <v>330</v>
      </c>
      <c r="O161" s="126" t="s">
        <v>331</v>
      </c>
      <c r="P161" s="126" t="s">
        <v>1389</v>
      </c>
      <c r="Q161" s="181">
        <f>3136*2.4</f>
        <v>7526.4</v>
      </c>
      <c r="R161" s="181">
        <v>7557.6350000000002</v>
      </c>
      <c r="S161" s="181"/>
      <c r="T161" s="181">
        <f>R161*0.7</f>
        <v>5290.3445000000002</v>
      </c>
      <c r="U161" s="181">
        <f>R161*0.3</f>
        <v>2267.2905000000001</v>
      </c>
      <c r="AW161" s="165">
        <f t="shared" si="43"/>
        <v>45034.666666666664</v>
      </c>
      <c r="AX161" s="165">
        <f t="shared" si="44"/>
        <v>45049.305555555555</v>
      </c>
      <c r="AY161" s="137">
        <f t="shared" si="45"/>
        <v>14.638888888890506</v>
      </c>
      <c r="AZ161" s="165">
        <v>45034.666666666664</v>
      </c>
      <c r="BA161" s="165">
        <v>45035.805555555555</v>
      </c>
      <c r="BB161" s="165">
        <v>45037.666666666664</v>
      </c>
      <c r="BC161" s="165">
        <v>45042.993055555555</v>
      </c>
      <c r="BD161" s="165">
        <v>45043.267361111109</v>
      </c>
      <c r="BE161" s="165">
        <v>45043.270833333336</v>
      </c>
      <c r="BF161" s="165">
        <v>45043.270833333336</v>
      </c>
      <c r="BG161" s="165">
        <f t="shared" si="58"/>
        <v>45044.979166666672</v>
      </c>
      <c r="BH161" s="165">
        <v>45045.25</v>
      </c>
      <c r="BI161" s="165">
        <v>45045.416666666664</v>
      </c>
      <c r="BJ161" s="165">
        <v>45045.319444444445</v>
      </c>
      <c r="BK161" s="165">
        <v>45046.701388888891</v>
      </c>
      <c r="BL161" s="165">
        <v>45048.395833333328</v>
      </c>
      <c r="BM161" s="165">
        <v>45048.951388888891</v>
      </c>
      <c r="BN161" s="165">
        <v>45048.972222222219</v>
      </c>
      <c r="BO161" s="165">
        <v>45048.972222222219</v>
      </c>
      <c r="BP161" s="165">
        <v>45049.305555555555</v>
      </c>
      <c r="BS161" s="136">
        <f t="shared" si="46"/>
        <v>44.666666666627862</v>
      </c>
      <c r="BT161" s="136">
        <f t="shared" si="47"/>
        <v>6.5833333333139308</v>
      </c>
      <c r="BU161" s="136">
        <f t="shared" si="48"/>
        <v>41.000000000058208</v>
      </c>
      <c r="BV161" s="136">
        <f t="shared" si="56"/>
        <v>30.833333333430346</v>
      </c>
      <c r="BW161" s="135">
        <f t="shared" si="49"/>
        <v>13.333333333488554</v>
      </c>
      <c r="BX161" s="135">
        <f t="shared" si="50"/>
        <v>8.0000000000582077</v>
      </c>
      <c r="BY161" s="134">
        <f t="shared" si="51"/>
        <v>6.0173611111240461</v>
      </c>
      <c r="BZ161" s="134">
        <f t="shared" si="52"/>
        <v>14.638888888890506</v>
      </c>
      <c r="CA161" s="133">
        <f t="shared" si="53"/>
        <v>0.41105313093062945</v>
      </c>
    </row>
    <row r="162" spans="1:79" s="126" customFormat="1">
      <c r="A162" s="192">
        <f t="shared" si="57"/>
        <v>45043.34375</v>
      </c>
      <c r="B162" s="126" t="s">
        <v>228</v>
      </c>
      <c r="C162" s="126" t="s">
        <v>229</v>
      </c>
      <c r="D162" s="126" t="s">
        <v>197</v>
      </c>
      <c r="E162" s="65" t="s">
        <v>1283</v>
      </c>
      <c r="G162" s="73">
        <v>45045.833333333336</v>
      </c>
      <c r="H162" s="73">
        <v>45045.78125</v>
      </c>
      <c r="I162" s="126" t="s">
        <v>490</v>
      </c>
      <c r="J162" s="126" t="s">
        <v>192</v>
      </c>
      <c r="K162" s="126" t="s">
        <v>192</v>
      </c>
      <c r="L162" s="126" t="s">
        <v>1395</v>
      </c>
      <c r="M162" s="167"/>
      <c r="N162" s="126" t="s">
        <v>695</v>
      </c>
      <c r="O162" s="126" t="s">
        <v>281</v>
      </c>
      <c r="P162" s="126" t="s">
        <v>1389</v>
      </c>
      <c r="Q162" s="181">
        <f>3102*2.4</f>
        <v>7444.7999999999993</v>
      </c>
      <c r="R162" s="181">
        <v>7546.2030000000004</v>
      </c>
      <c r="S162" s="181"/>
      <c r="T162" s="181">
        <f>R162*0.7</f>
        <v>5282.3420999999998</v>
      </c>
      <c r="U162" s="181">
        <f>R162*0.3</f>
        <v>2263.8609000000001</v>
      </c>
      <c r="AW162" s="165">
        <f t="shared" si="43"/>
        <v>45034.434027777781</v>
      </c>
      <c r="AX162" s="165">
        <f t="shared" si="44"/>
        <v>45048.729166666664</v>
      </c>
      <c r="AY162" s="137">
        <f t="shared" si="45"/>
        <v>14.29513888888323</v>
      </c>
      <c r="AZ162" s="165">
        <v>45034.434027777781</v>
      </c>
      <c r="BA162" s="165">
        <v>45035.604166666664</v>
      </c>
      <c r="BB162" s="165">
        <v>45037.75</v>
      </c>
      <c r="BC162" s="165">
        <v>45043.34375</v>
      </c>
      <c r="BD162" s="165">
        <v>45043.517361111109</v>
      </c>
      <c r="BE162" s="165">
        <v>45043.520833333336</v>
      </c>
      <c r="BF162" s="165">
        <v>45043.520833333336</v>
      </c>
      <c r="BG162" s="165">
        <f t="shared" si="58"/>
        <v>45045.229166666672</v>
      </c>
      <c r="BH162" s="165">
        <v>45045.25</v>
      </c>
      <c r="BI162" s="165">
        <v>45045.416666666664</v>
      </c>
      <c r="BJ162" s="165">
        <v>45045.277777777781</v>
      </c>
      <c r="BK162" s="165">
        <v>45046.6875</v>
      </c>
      <c r="BL162" s="165">
        <v>45047.979166666664</v>
      </c>
      <c r="BM162" s="165">
        <v>45048.395833333328</v>
      </c>
      <c r="BN162" s="165">
        <v>45048.416666666664</v>
      </c>
      <c r="BO162" s="165">
        <v>45048.416666666664</v>
      </c>
      <c r="BP162" s="165">
        <v>45048.729166666664</v>
      </c>
      <c r="BS162" s="136">
        <f t="shared" si="46"/>
        <v>51.500000000058208</v>
      </c>
      <c r="BT162" s="136">
        <f t="shared" si="47"/>
        <v>4.1666666666278616</v>
      </c>
      <c r="BU162" s="136">
        <f t="shared" si="48"/>
        <v>41.000000000058208</v>
      </c>
      <c r="BV162" s="136">
        <f t="shared" si="56"/>
        <v>30.500000000058208</v>
      </c>
      <c r="BW162" s="135">
        <f t="shared" si="49"/>
        <v>9.9999999999417923</v>
      </c>
      <c r="BX162" s="135">
        <f t="shared" si="50"/>
        <v>7.5</v>
      </c>
      <c r="BY162" s="134">
        <f t="shared" si="51"/>
        <v>6.0277777777810115</v>
      </c>
      <c r="BZ162" s="134">
        <f t="shared" si="52"/>
        <v>14.29513888888323</v>
      </c>
      <c r="CA162" s="133">
        <f t="shared" si="53"/>
        <v>0.4216662618415396</v>
      </c>
    </row>
    <row r="163" spans="1:79" s="126" customFormat="1">
      <c r="A163" s="192">
        <f t="shared" si="57"/>
        <v>45043.548611111109</v>
      </c>
      <c r="B163" s="126" t="s">
        <v>228</v>
      </c>
      <c r="C163" s="126" t="s">
        <v>229</v>
      </c>
      <c r="D163" s="126" t="s">
        <v>197</v>
      </c>
      <c r="E163" s="65" t="s">
        <v>1292</v>
      </c>
      <c r="G163" s="73">
        <v>45051.354166666664</v>
      </c>
      <c r="H163" s="73">
        <v>45051.3125</v>
      </c>
      <c r="I163" s="126" t="s">
        <v>490</v>
      </c>
      <c r="J163" s="126" t="s">
        <v>192</v>
      </c>
      <c r="K163" s="126" t="s">
        <v>192</v>
      </c>
      <c r="L163" s="126" t="s">
        <v>1396</v>
      </c>
      <c r="M163" s="167"/>
      <c r="N163" s="126" t="s">
        <v>284</v>
      </c>
      <c r="O163" s="126" t="s">
        <v>285</v>
      </c>
      <c r="P163" s="126" t="s">
        <v>1397</v>
      </c>
      <c r="Q163" s="181">
        <f>3852*2.4</f>
        <v>9244.7999999999993</v>
      </c>
      <c r="R163" s="181">
        <v>864</v>
      </c>
      <c r="S163" s="181"/>
      <c r="T163" s="181">
        <f>R163*0.6</f>
        <v>518.4</v>
      </c>
      <c r="U163" s="181">
        <f>R163*0.4</f>
        <v>345.6</v>
      </c>
      <c r="AW163" s="165">
        <f t="shared" si="43"/>
        <v>45033.770833333336</v>
      </c>
      <c r="AX163" s="165">
        <f t="shared" si="44"/>
        <v>45059.375</v>
      </c>
      <c r="AY163" s="137">
        <f t="shared" si="45"/>
        <v>25.604166666664241</v>
      </c>
      <c r="AZ163" s="165">
        <v>45033.770833333336</v>
      </c>
      <c r="BA163" s="165">
        <v>45039.538194444445</v>
      </c>
      <c r="BB163" s="165">
        <v>45041.3125</v>
      </c>
      <c r="BC163" s="165">
        <v>45043.548611111109</v>
      </c>
      <c r="BD163" s="165">
        <v>45043.732638888891</v>
      </c>
      <c r="BE163" s="165">
        <v>45043.736111111109</v>
      </c>
      <c r="BF163" s="165">
        <v>45043.736111111109</v>
      </c>
      <c r="BG163" s="165">
        <f t="shared" si="58"/>
        <v>45045.444444444445</v>
      </c>
      <c r="BH163" s="165">
        <v>45045.25</v>
      </c>
      <c r="BI163" s="165">
        <v>45045.416666666664</v>
      </c>
      <c r="BJ163" s="165">
        <v>45045.336805555555</v>
      </c>
      <c r="BK163" s="165">
        <v>45049.548611111109</v>
      </c>
      <c r="BL163" s="165">
        <v>45058.930555555555</v>
      </c>
      <c r="BM163" s="165">
        <v>45058.965277777781</v>
      </c>
      <c r="BN163" s="165">
        <v>45058.986111111109</v>
      </c>
      <c r="BO163" s="165">
        <v>45058.986111111109</v>
      </c>
      <c r="BP163" s="165">
        <v>45059.375</v>
      </c>
      <c r="BS163" s="136">
        <f t="shared" si="46"/>
        <v>42.583333333313931</v>
      </c>
      <c r="BT163" s="136">
        <f t="shared" si="47"/>
        <v>4.4166666667442769</v>
      </c>
      <c r="BU163" s="136">
        <f t="shared" si="48"/>
        <v>41.000000000058208</v>
      </c>
      <c r="BV163" s="136">
        <f t="shared" si="56"/>
        <v>99.166666666686069</v>
      </c>
      <c r="BW163" s="135">
        <f t="shared" si="49"/>
        <v>0.8333333334303461</v>
      </c>
      <c r="BX163" s="135">
        <f t="shared" si="50"/>
        <v>9.3333333333721384</v>
      </c>
      <c r="BY163" s="134">
        <f t="shared" si="51"/>
        <v>8.2222222222335404</v>
      </c>
      <c r="BZ163" s="134">
        <f t="shared" si="52"/>
        <v>25.604166666664241</v>
      </c>
      <c r="CA163" s="133">
        <f t="shared" si="53"/>
        <v>0.32112828858197506</v>
      </c>
    </row>
    <row r="164" spans="1:79" s="126" customFormat="1">
      <c r="A164" s="192">
        <f t="shared" si="57"/>
        <v>45043.548611111109</v>
      </c>
      <c r="B164" s="126" t="s">
        <v>228</v>
      </c>
      <c r="C164" s="126" t="s">
        <v>229</v>
      </c>
      <c r="D164" s="126" t="s">
        <v>197</v>
      </c>
      <c r="E164" s="65" t="s">
        <v>1283</v>
      </c>
      <c r="G164" s="73">
        <v>45045.833333333336</v>
      </c>
      <c r="H164" s="73">
        <v>45045.78125</v>
      </c>
      <c r="I164" s="126" t="s">
        <v>490</v>
      </c>
      <c r="J164" s="126" t="s">
        <v>192</v>
      </c>
      <c r="K164" s="126" t="s">
        <v>192</v>
      </c>
      <c r="L164" s="126" t="s">
        <v>1396</v>
      </c>
      <c r="M164" s="167"/>
      <c r="N164" s="126" t="s">
        <v>284</v>
      </c>
      <c r="O164" s="126" t="s">
        <v>285</v>
      </c>
      <c r="P164" s="126" t="s">
        <v>1397</v>
      </c>
      <c r="Q164" s="181">
        <f>3852*2.4</f>
        <v>9244.7999999999993</v>
      </c>
      <c r="R164" s="181">
        <f>9113.382-872.772</f>
        <v>8240.6099999999988</v>
      </c>
      <c r="S164" s="181"/>
      <c r="T164" s="181">
        <f>R164*0.6</f>
        <v>4944.3659999999991</v>
      </c>
      <c r="U164" s="181">
        <f>R164*0.4</f>
        <v>3296.2439999999997</v>
      </c>
      <c r="AW164" s="165">
        <f t="shared" si="43"/>
        <v>45033.770833333336</v>
      </c>
      <c r="AX164" s="165">
        <f t="shared" si="44"/>
        <v>45049.548611111109</v>
      </c>
      <c r="AY164" s="137">
        <f t="shared" si="45"/>
        <v>15.777777777773736</v>
      </c>
      <c r="AZ164" s="165">
        <v>45033.770833333336</v>
      </c>
      <c r="BA164" s="165">
        <v>45039.538194444445</v>
      </c>
      <c r="BB164" s="165">
        <v>45041.3125</v>
      </c>
      <c r="BC164" s="165">
        <v>45043.548611111109</v>
      </c>
      <c r="BD164" s="165">
        <v>45043.732638888891</v>
      </c>
      <c r="BE164" s="165">
        <v>45043.736111111109</v>
      </c>
      <c r="BF164" s="165">
        <v>45043.736111111109</v>
      </c>
      <c r="BG164" s="165">
        <f t="shared" si="58"/>
        <v>45045.444444444445</v>
      </c>
      <c r="BH164" s="165">
        <v>45045.25</v>
      </c>
      <c r="BI164" s="165">
        <v>45045.416666666664</v>
      </c>
      <c r="BJ164" s="165">
        <v>45045.336805555555</v>
      </c>
      <c r="BK164" s="165">
        <v>45046.819444444445</v>
      </c>
      <c r="BL164" s="165">
        <v>45048.951388888891</v>
      </c>
      <c r="BM164" s="165">
        <v>45049.506944444445</v>
      </c>
      <c r="BN164" s="165">
        <v>45049.548611111109</v>
      </c>
      <c r="BO164" s="165">
        <v>45049.548611111109</v>
      </c>
      <c r="BP164" s="165">
        <v>45049.548611111109</v>
      </c>
      <c r="BS164" s="136">
        <f t="shared" si="46"/>
        <v>42.583333333313931</v>
      </c>
      <c r="BT164" s="136">
        <f t="shared" si="47"/>
        <v>4.4166666667442769</v>
      </c>
      <c r="BU164" s="136">
        <f t="shared" si="48"/>
        <v>41.000000000058208</v>
      </c>
      <c r="BV164" s="136">
        <f t="shared" si="56"/>
        <v>33.666666666744277</v>
      </c>
      <c r="BW164" s="135">
        <f t="shared" si="49"/>
        <v>13.333333333313931</v>
      </c>
      <c r="BX164" s="135">
        <f t="shared" si="50"/>
        <v>0</v>
      </c>
      <c r="BY164" s="134">
        <f t="shared" ref="BY164" si="59">SUM(BS164:BX164)/24</f>
        <v>5.625000000007276</v>
      </c>
      <c r="BZ164" s="134">
        <f t="shared" si="52"/>
        <v>15.777777777773736</v>
      </c>
      <c r="CA164" s="133">
        <f t="shared" si="53"/>
        <v>0.35651408450759475</v>
      </c>
    </row>
    <row r="165" spans="1:79" s="126" customFormat="1">
      <c r="A165" s="192"/>
      <c r="G165" s="166"/>
      <c r="H165" s="166"/>
      <c r="I165" s="181"/>
      <c r="M165" s="167"/>
      <c r="Q165" s="181"/>
      <c r="R165" s="191">
        <f t="shared" ref="R165:AV165" si="60">SUM(R4:R164)</f>
        <v>1116887.0080000006</v>
      </c>
      <c r="S165" s="191">
        <f t="shared" si="60"/>
        <v>0</v>
      </c>
      <c r="T165" s="191">
        <f t="shared" si="60"/>
        <v>116159.74964999998</v>
      </c>
      <c r="U165" s="191">
        <f t="shared" si="60"/>
        <v>45489.84835</v>
      </c>
      <c r="V165" s="191">
        <f t="shared" si="60"/>
        <v>0</v>
      </c>
      <c r="W165" s="191">
        <f t="shared" si="60"/>
        <v>416284.14020000008</v>
      </c>
      <c r="X165" s="191">
        <f t="shared" si="60"/>
        <v>211457.0808</v>
      </c>
      <c r="Y165" s="191">
        <f t="shared" si="60"/>
        <v>52921.528999999995</v>
      </c>
      <c r="Z165" s="191">
        <f t="shared" si="60"/>
        <v>0</v>
      </c>
      <c r="AA165" s="191">
        <f t="shared" si="60"/>
        <v>0</v>
      </c>
      <c r="AB165" s="191">
        <f t="shared" si="60"/>
        <v>0</v>
      </c>
      <c r="AC165" s="191">
        <f t="shared" si="60"/>
        <v>22540.165000000001</v>
      </c>
      <c r="AD165" s="191">
        <f t="shared" si="60"/>
        <v>0</v>
      </c>
      <c r="AE165" s="191">
        <f t="shared" si="60"/>
        <v>0</v>
      </c>
      <c r="AF165" s="191">
        <f t="shared" si="60"/>
        <v>0</v>
      </c>
      <c r="AG165" s="191">
        <f t="shared" si="60"/>
        <v>22559.535</v>
      </c>
      <c r="AH165" s="191">
        <f t="shared" si="60"/>
        <v>30424.635999999999</v>
      </c>
      <c r="AI165" s="191">
        <f t="shared" si="60"/>
        <v>0</v>
      </c>
      <c r="AJ165" s="191">
        <f t="shared" si="60"/>
        <v>15496.597</v>
      </c>
      <c r="AK165" s="191">
        <f t="shared" si="60"/>
        <v>75000</v>
      </c>
      <c r="AL165" s="191">
        <f t="shared" si="60"/>
        <v>7502</v>
      </c>
      <c r="AM165" s="191">
        <f t="shared" si="60"/>
        <v>5009.3639999999996</v>
      </c>
      <c r="AN165" s="191">
        <f t="shared" si="60"/>
        <v>45000</v>
      </c>
      <c r="AO165" s="191">
        <f t="shared" si="60"/>
        <v>0</v>
      </c>
      <c r="AP165" s="191">
        <f t="shared" si="60"/>
        <v>0</v>
      </c>
      <c r="AQ165" s="191">
        <f t="shared" si="60"/>
        <v>10052</v>
      </c>
      <c r="AR165" s="191">
        <f t="shared" si="60"/>
        <v>0</v>
      </c>
      <c r="AS165" s="191">
        <f t="shared" si="60"/>
        <v>25715.881999999998</v>
      </c>
      <c r="AT165" s="191">
        <f t="shared" si="60"/>
        <v>7532.8779999999997</v>
      </c>
      <c r="AU165" s="191">
        <f t="shared" si="60"/>
        <v>0</v>
      </c>
      <c r="AV165" s="191">
        <f t="shared" si="60"/>
        <v>7741.6030000000001</v>
      </c>
      <c r="AW165" s="165"/>
      <c r="AX165" s="165"/>
      <c r="AY165" s="165"/>
      <c r="AZ165" s="165"/>
      <c r="BA165" s="165"/>
      <c r="BB165" s="165"/>
      <c r="BC165" s="165"/>
      <c r="BD165" s="165"/>
      <c r="BE165" s="165"/>
      <c r="BF165" s="165"/>
      <c r="BG165" s="165"/>
      <c r="BH165" s="165"/>
      <c r="BI165" s="165"/>
      <c r="BJ165" s="165"/>
      <c r="BK165" s="165"/>
      <c r="BL165" s="165"/>
      <c r="BM165" s="165"/>
      <c r="BN165" s="165"/>
      <c r="BO165" s="165"/>
      <c r="BP165" s="165"/>
      <c r="BS165" s="136"/>
      <c r="BT165" s="136"/>
      <c r="BU165" s="136"/>
      <c r="BV165" s="136"/>
      <c r="BW165" s="135"/>
      <c r="BX165" s="135"/>
      <c r="BY165" s="165"/>
      <c r="BZ165" s="165"/>
    </row>
    <row r="181" spans="1:81" s="251" customFormat="1">
      <c r="A181" s="119"/>
      <c r="B181" s="119"/>
      <c r="C181" s="115"/>
      <c r="D181" s="115"/>
      <c r="E181" s="115"/>
      <c r="F181" s="115"/>
      <c r="G181" s="252"/>
      <c r="H181" s="252"/>
      <c r="I181" s="117"/>
      <c r="J181" s="115"/>
      <c r="K181" s="115"/>
      <c r="L181" s="115"/>
      <c r="M181" s="118"/>
      <c r="N181" s="115"/>
      <c r="O181" s="115"/>
      <c r="P181" s="115"/>
      <c r="Q181" s="117"/>
      <c r="R181" s="117"/>
      <c r="S181" s="117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  <c r="AO181" s="115"/>
      <c r="AP181" s="115"/>
      <c r="AQ181" s="115"/>
      <c r="AR181" s="115"/>
      <c r="AS181" s="115"/>
      <c r="AT181" s="115"/>
      <c r="AU181" s="115"/>
      <c r="AV181" s="115"/>
      <c r="BI181" s="252"/>
      <c r="BN181" s="115"/>
      <c r="BO181" s="115"/>
      <c r="BP181" s="115"/>
      <c r="BQ181" s="116"/>
      <c r="BR181" s="116"/>
      <c r="CA181" s="115"/>
      <c r="CB181" s="115"/>
      <c r="CC181" s="115"/>
    </row>
    <row r="182" spans="1:81" s="251" customFormat="1">
      <c r="A182" s="119"/>
      <c r="B182" s="119"/>
      <c r="C182" s="115"/>
      <c r="D182" s="115"/>
      <c r="E182" s="115"/>
      <c r="F182" s="115"/>
      <c r="G182" s="252"/>
      <c r="H182" s="252"/>
      <c r="I182" s="117"/>
      <c r="J182" s="115"/>
      <c r="K182" s="115"/>
      <c r="L182" s="115"/>
      <c r="M182" s="118"/>
      <c r="N182" s="115"/>
      <c r="O182" s="115"/>
      <c r="P182" s="115"/>
      <c r="Q182" s="117"/>
      <c r="R182" s="117"/>
      <c r="S182" s="117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5"/>
      <c r="AP182" s="115"/>
      <c r="AQ182" s="115"/>
      <c r="AR182" s="115"/>
      <c r="AS182" s="115"/>
      <c r="AT182" s="115"/>
      <c r="AU182" s="115"/>
      <c r="AV182" s="115"/>
      <c r="BI182" s="252"/>
      <c r="BN182" s="115"/>
      <c r="BO182" s="115"/>
      <c r="BP182" s="115"/>
      <c r="BQ182" s="116"/>
      <c r="BR182" s="116"/>
      <c r="CA182" s="115"/>
      <c r="CB182" s="115"/>
      <c r="CC182" s="115"/>
    </row>
  </sheetData>
  <autoFilter ref="A1:L164" xr:uid="{00000000-0009-0000-0000-000008000000}">
    <filterColumn colId="4" showButton="0"/>
  </autoFilter>
  <mergeCells count="52">
    <mergeCell ref="BX1:BX2"/>
    <mergeCell ref="BY1:BY2"/>
    <mergeCell ref="BZ1:BZ2"/>
    <mergeCell ref="CA1:CA2"/>
    <mergeCell ref="BQ1:BQ2"/>
    <mergeCell ref="BS1:BS2"/>
    <mergeCell ref="BT1:BT2"/>
    <mergeCell ref="BU1:BU2"/>
    <mergeCell ref="BV1:BV2"/>
    <mergeCell ref="BW1:BW2"/>
    <mergeCell ref="BP1:BP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D1:BD2"/>
    <mergeCell ref="W1:X1"/>
    <mergeCell ref="Y1:Z1"/>
    <mergeCell ref="AC1:AG1"/>
    <mergeCell ref="AH1:AV1"/>
    <mergeCell ref="AW1:AW2"/>
    <mergeCell ref="AX1:AX2"/>
    <mergeCell ref="AY1:AY2"/>
    <mergeCell ref="AZ1:AZ2"/>
    <mergeCell ref="BA1:BA2"/>
    <mergeCell ref="BB1:BB2"/>
    <mergeCell ref="BC1:BC2"/>
    <mergeCell ref="T1:V1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G1:G2"/>
    <mergeCell ref="A1:A2"/>
    <mergeCell ref="B1:B2"/>
    <mergeCell ref="C1:C2"/>
    <mergeCell ref="D1:D2"/>
    <mergeCell ref="E1:F2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B2:BD394"/>
  <sheetViews>
    <sheetView topLeftCell="A395" zoomScaleNormal="100" workbookViewId="0">
      <selection activeCell="H89" sqref="H89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1.44140625" style="56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hidden="1" customWidth="1"/>
    <col min="22" max="22" width="11.44140625" style="39" hidden="1" customWidth="1"/>
    <col min="23" max="23" width="9.6640625" style="39" hidden="1" customWidth="1"/>
    <col min="24" max="24" width="10.5546875" style="39" hidden="1" customWidth="1"/>
    <col min="25" max="25" width="9.6640625" style="39" customWidth="1"/>
    <col min="26" max="27" width="9.6640625" style="39" hidden="1" customWidth="1"/>
    <col min="28" max="28" width="10" style="39" customWidth="1"/>
    <col min="29" max="29" width="11.6640625" style="39" bestFit="1" customWidth="1"/>
    <col min="30" max="30" width="11.6640625" style="39" hidden="1" customWidth="1"/>
    <col min="31" max="31" width="11.33203125" style="39" hidden="1" customWidth="1"/>
    <col min="32" max="32" width="11.5546875" style="39" hidden="1" customWidth="1"/>
    <col min="33" max="34" width="10.88671875" style="39" hidden="1" customWidth="1"/>
    <col min="35" max="35" width="11.33203125" style="39" hidden="1" customWidth="1"/>
    <col min="36" max="36" width="10.88671875" style="39" hidden="1" customWidth="1"/>
    <col min="37" max="37" width="12.5546875" style="39" hidden="1" customWidth="1"/>
    <col min="38" max="38" width="10.33203125" style="39" hidden="1" customWidth="1"/>
    <col min="39" max="39" width="10.5546875" style="39" hidden="1" customWidth="1"/>
    <col min="40" max="40" width="10.33203125" style="39" hidden="1" customWidth="1"/>
    <col min="41" max="41" width="10.5546875" style="39" hidden="1" customWidth="1"/>
    <col min="42" max="42" width="10.33203125" style="39" hidden="1" customWidth="1"/>
    <col min="43" max="43" width="10.5546875" style="39" hidden="1" customWidth="1"/>
    <col min="44" max="44" width="9.6640625" style="39" hidden="1" customWidth="1"/>
    <col min="45" max="47" width="9.33203125" style="39" hidden="1" customWidth="1"/>
    <col min="48" max="48" width="9.6640625" style="39" hidden="1" customWidth="1"/>
    <col min="49" max="51" width="9.33203125" style="39" hidden="1" customWidth="1"/>
    <col min="52" max="16384" width="9.33203125" style="39"/>
  </cols>
  <sheetData>
    <row r="2" spans="2:52">
      <c r="B2" s="28" t="s">
        <v>126</v>
      </c>
      <c r="C2" s="28"/>
      <c r="D2" s="29"/>
      <c r="E2" s="30" t="s">
        <v>511</v>
      </c>
      <c r="F2" s="31" t="s">
        <v>1398</v>
      </c>
      <c r="G2" s="32"/>
      <c r="H2" s="33"/>
      <c r="I2" s="34"/>
      <c r="J2" s="35" t="s">
        <v>513</v>
      </c>
      <c r="K2" s="36" t="s">
        <v>511</v>
      </c>
      <c r="L2" s="37">
        <v>45016.760416666664</v>
      </c>
      <c r="M2" s="32"/>
      <c r="N2" s="32"/>
      <c r="O2" s="206"/>
      <c r="P2" s="205"/>
      <c r="Q2" s="202"/>
      <c r="R2" s="204"/>
      <c r="S2" s="38"/>
      <c r="T2" s="201"/>
      <c r="U2" s="201"/>
      <c r="V2" s="201"/>
      <c r="W2" s="201"/>
      <c r="X2" s="201"/>
      <c r="Y2" s="201"/>
      <c r="Z2" s="201"/>
      <c r="AA2" s="201"/>
      <c r="AB2" s="202"/>
      <c r="AC2" s="202"/>
      <c r="AD2" s="202"/>
      <c r="AE2" s="202"/>
      <c r="AF2" s="202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</row>
    <row r="3" spans="2:52">
      <c r="B3" s="35" t="s">
        <v>514</v>
      </c>
      <c r="C3" s="35"/>
      <c r="D3" s="32"/>
      <c r="E3" s="36" t="s">
        <v>511</v>
      </c>
      <c r="F3" s="37" t="s">
        <v>1399</v>
      </c>
      <c r="G3" s="32"/>
      <c r="H3" s="33"/>
      <c r="I3" s="34"/>
      <c r="J3" s="35" t="s">
        <v>516</v>
      </c>
      <c r="K3" s="36" t="s">
        <v>511</v>
      </c>
      <c r="L3" s="37">
        <v>45018.559027777781</v>
      </c>
      <c r="M3" s="32"/>
      <c r="N3" s="32"/>
      <c r="O3" s="206"/>
      <c r="P3" s="205"/>
      <c r="Q3" s="202"/>
      <c r="R3" s="204"/>
      <c r="S3" s="38"/>
      <c r="T3" s="201"/>
      <c r="U3" s="201"/>
      <c r="V3" s="201"/>
      <c r="W3" s="201"/>
      <c r="X3" s="201"/>
      <c r="Y3" s="201"/>
      <c r="Z3" s="201"/>
      <c r="AA3" s="201"/>
      <c r="AB3" s="202"/>
      <c r="AC3" s="202"/>
      <c r="AD3" s="202"/>
      <c r="AE3" s="202"/>
      <c r="AF3" s="202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</row>
    <row r="4" spans="2:52">
      <c r="B4" s="35" t="s">
        <v>517</v>
      </c>
      <c r="C4" s="35"/>
      <c r="D4" s="32"/>
      <c r="E4" s="36" t="s">
        <v>511</v>
      </c>
      <c r="F4" s="37">
        <v>45009.583333333336</v>
      </c>
      <c r="G4" s="32"/>
      <c r="H4" s="33"/>
      <c r="I4" s="34"/>
      <c r="J4" s="35" t="s">
        <v>518</v>
      </c>
      <c r="K4" s="36" t="s">
        <v>511</v>
      </c>
      <c r="L4" s="50">
        <v>56550</v>
      </c>
      <c r="M4" s="40" t="s">
        <v>519</v>
      </c>
      <c r="N4" s="40"/>
      <c r="O4" s="206"/>
      <c r="P4" s="205"/>
      <c r="Q4" s="202"/>
      <c r="R4" s="204"/>
      <c r="S4" s="38"/>
      <c r="T4" s="201"/>
      <c r="U4" s="201"/>
      <c r="V4" s="201"/>
      <c r="W4" s="201"/>
      <c r="X4" s="201"/>
      <c r="Y4" s="201"/>
      <c r="Z4" s="201"/>
      <c r="AA4" s="201"/>
      <c r="AB4" s="202"/>
      <c r="AC4" s="202"/>
      <c r="AD4" s="202"/>
      <c r="AE4" s="202"/>
      <c r="AF4" s="202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</row>
    <row r="5" spans="2:52">
      <c r="B5" s="35" t="s">
        <v>520</v>
      </c>
      <c r="C5" s="35"/>
      <c r="D5" s="32"/>
      <c r="E5" s="36" t="s">
        <v>511</v>
      </c>
      <c r="F5" s="37" t="s">
        <v>12</v>
      </c>
      <c r="G5" s="32"/>
      <c r="H5" s="33"/>
      <c r="I5" s="34"/>
      <c r="J5" s="35" t="s">
        <v>521</v>
      </c>
      <c r="K5" s="36" t="s">
        <v>511</v>
      </c>
      <c r="L5" s="41" t="s">
        <v>1400</v>
      </c>
      <c r="M5" s="32"/>
      <c r="N5" s="32"/>
      <c r="O5" s="206"/>
      <c r="P5" s="202"/>
      <c r="Q5" s="202"/>
      <c r="R5" s="204"/>
      <c r="S5" s="38"/>
      <c r="T5" s="201"/>
      <c r="U5" s="201"/>
      <c r="V5" s="201"/>
      <c r="W5" s="201"/>
      <c r="X5" s="201"/>
      <c r="Y5" s="201"/>
      <c r="Z5" s="201"/>
      <c r="AA5" s="201"/>
      <c r="AB5" s="202"/>
      <c r="AC5" s="202"/>
      <c r="AD5" s="202"/>
      <c r="AE5" s="202"/>
      <c r="AF5" s="202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</row>
    <row r="6" spans="2:52">
      <c r="B6" s="35" t="s">
        <v>523</v>
      </c>
      <c r="C6" s="35"/>
      <c r="D6" s="32"/>
      <c r="E6" s="36" t="s">
        <v>511</v>
      </c>
      <c r="F6" s="37" t="s">
        <v>37</v>
      </c>
      <c r="G6" s="32"/>
      <c r="H6" s="33"/>
      <c r="I6" s="34"/>
      <c r="J6" s="42" t="s">
        <v>524</v>
      </c>
      <c r="K6" s="36" t="s">
        <v>511</v>
      </c>
      <c r="L6" s="43" t="s">
        <v>15</v>
      </c>
      <c r="M6" s="44"/>
      <c r="N6" s="44"/>
      <c r="O6" s="206"/>
      <c r="P6" s="205"/>
      <c r="Q6" s="202"/>
      <c r="R6" s="204"/>
      <c r="S6" s="38"/>
      <c r="T6" s="201"/>
      <c r="U6" s="201"/>
      <c r="V6" s="201"/>
      <c r="W6" s="201"/>
      <c r="X6" s="201"/>
      <c r="Y6" s="201"/>
      <c r="Z6" s="201"/>
      <c r="AA6" s="201"/>
      <c r="AB6" s="202"/>
      <c r="AC6" s="202"/>
      <c r="AD6" s="202"/>
      <c r="AE6" s="202"/>
      <c r="AF6" s="202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</row>
    <row r="7" spans="2:52">
      <c r="B7" s="35" t="s">
        <v>2</v>
      </c>
      <c r="C7" s="35"/>
      <c r="D7" s="32"/>
      <c r="E7" s="36" t="s">
        <v>511</v>
      </c>
      <c r="F7" s="37" t="s">
        <v>42</v>
      </c>
      <c r="G7" s="32"/>
      <c r="H7" s="33"/>
      <c r="I7" s="45"/>
      <c r="J7" s="42"/>
      <c r="K7" s="36"/>
      <c r="L7" s="211"/>
      <c r="M7" s="201"/>
      <c r="N7" s="201"/>
      <c r="O7" s="42"/>
      <c r="P7" s="44"/>
      <c r="Q7" s="44"/>
      <c r="R7" s="44"/>
      <c r="S7" s="34"/>
      <c r="T7" s="201"/>
      <c r="U7" s="201"/>
      <c r="V7" s="201"/>
      <c r="W7" s="201"/>
      <c r="X7" s="201"/>
      <c r="Y7" s="201"/>
      <c r="Z7" s="201"/>
      <c r="AA7" s="201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</row>
    <row r="8" spans="2:52">
      <c r="B8" s="201"/>
      <c r="C8" s="201"/>
      <c r="D8" s="201"/>
      <c r="E8" s="201"/>
      <c r="F8" s="201"/>
      <c r="G8" s="201"/>
      <c r="H8" s="201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65" t="s">
        <v>87</v>
      </c>
      <c r="U8" s="1265"/>
      <c r="V8" s="1265"/>
      <c r="W8" s="1265"/>
      <c r="X8" s="1265"/>
      <c r="Y8" s="1265" t="s">
        <v>73</v>
      </c>
      <c r="Z8" s="1265"/>
      <c r="AA8" s="1265"/>
      <c r="AB8" s="1265" t="s">
        <v>74</v>
      </c>
      <c r="AC8" s="1265"/>
      <c r="AD8" s="423" t="s">
        <v>85</v>
      </c>
      <c r="AE8" s="423" t="s">
        <v>77</v>
      </c>
      <c r="AF8" s="1265" t="s">
        <v>525</v>
      </c>
      <c r="AG8" s="1265"/>
      <c r="AH8" s="1265"/>
      <c r="AI8" s="1265"/>
      <c r="AJ8" s="1265"/>
      <c r="AK8" s="1265"/>
      <c r="AL8" s="1265"/>
      <c r="AM8" s="1265"/>
      <c r="AN8" s="1265"/>
      <c r="AO8" s="1265"/>
      <c r="AP8" s="1265"/>
      <c r="AQ8" s="1265"/>
      <c r="AR8" s="1265"/>
      <c r="AS8" s="1265"/>
      <c r="AT8" s="1265"/>
      <c r="AU8" s="1265"/>
      <c r="AV8" s="1265"/>
      <c r="AW8" s="1265"/>
      <c r="AX8" s="1265"/>
      <c r="AY8" s="1265"/>
      <c r="AZ8" s="201"/>
    </row>
    <row r="9" spans="2:52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408" t="str">
        <f>"On time - "&amp;COUNTIF(N10:N21,"On time")&amp;" from "&amp;ROWS(N10:N21)-COUNTIF(N10:N21," ")</f>
        <v>On time - 0 from 8</v>
      </c>
      <c r="O9" s="46"/>
      <c r="P9" s="409" t="s">
        <v>534</v>
      </c>
      <c r="Q9" s="409" t="s">
        <v>535</v>
      </c>
      <c r="R9" s="409" t="s">
        <v>536</v>
      </c>
      <c r="S9" s="32"/>
      <c r="T9" s="424" t="s">
        <v>537</v>
      </c>
      <c r="U9" s="424" t="s">
        <v>538</v>
      </c>
      <c r="V9" s="424" t="s">
        <v>539</v>
      </c>
      <c r="W9" s="424" t="s">
        <v>540</v>
      </c>
      <c r="X9" s="424" t="s">
        <v>541</v>
      </c>
      <c r="Y9" s="424" t="s">
        <v>167</v>
      </c>
      <c r="Z9" s="424" t="s">
        <v>168</v>
      </c>
      <c r="AA9" s="424" t="s">
        <v>169</v>
      </c>
      <c r="AB9" s="424" t="s">
        <v>235</v>
      </c>
      <c r="AC9" s="424" t="s">
        <v>240</v>
      </c>
      <c r="AD9" s="423" t="s">
        <v>85</v>
      </c>
      <c r="AE9" s="424" t="s">
        <v>139</v>
      </c>
      <c r="AF9" s="424" t="s">
        <v>72</v>
      </c>
      <c r="AG9" s="424" t="s">
        <v>88</v>
      </c>
      <c r="AH9" s="424" t="s">
        <v>75</v>
      </c>
      <c r="AI9" s="424" t="s">
        <v>543</v>
      </c>
      <c r="AJ9" s="424" t="s">
        <v>78</v>
      </c>
      <c r="AK9" s="424" t="s">
        <v>76</v>
      </c>
      <c r="AL9" s="424" t="s">
        <v>544</v>
      </c>
      <c r="AM9" s="424" t="s">
        <v>545</v>
      </c>
      <c r="AN9" s="424" t="s">
        <v>86</v>
      </c>
      <c r="AO9" s="424" t="s">
        <v>83</v>
      </c>
      <c r="AP9" s="424" t="s">
        <v>84</v>
      </c>
      <c r="AQ9" s="424" t="s">
        <v>546</v>
      </c>
      <c r="AR9" s="424" t="s">
        <v>81</v>
      </c>
      <c r="AS9" s="424" t="s">
        <v>80</v>
      </c>
      <c r="AT9" s="424" t="s">
        <v>82</v>
      </c>
      <c r="AU9" s="424" t="s">
        <v>181</v>
      </c>
      <c r="AV9" s="424" t="s">
        <v>183</v>
      </c>
      <c r="AW9" s="424" t="s">
        <v>547</v>
      </c>
      <c r="AX9" s="424" t="s">
        <v>182</v>
      </c>
      <c r="AY9" s="424" t="s">
        <v>172</v>
      </c>
      <c r="AZ9" s="201"/>
    </row>
    <row r="10" spans="2:52">
      <c r="B10" s="1250" t="s">
        <v>1401</v>
      </c>
      <c r="C10" s="1251"/>
      <c r="D10" s="411" t="s">
        <v>1042</v>
      </c>
      <c r="E10" s="425"/>
      <c r="F10" s="411" t="s">
        <v>453</v>
      </c>
      <c r="G10" s="411" t="s">
        <v>454</v>
      </c>
      <c r="H10" s="412">
        <f>H14</f>
        <v>1884.4265</v>
      </c>
      <c r="I10" s="413" t="s">
        <v>181</v>
      </c>
      <c r="J10" s="414">
        <v>45012.375</v>
      </c>
      <c r="K10" s="414"/>
      <c r="L10" s="414" t="s">
        <v>192</v>
      </c>
      <c r="M10" s="414" t="s">
        <v>192</v>
      </c>
      <c r="N10" s="413" t="str">
        <f>IF(ISBLANK(J10)," ",IF(J10&lt;$F$4,"On time",(IF(DAY(J10-$F$4)&lt;1,"On time",(IF(J10&gt;$F$4,"DELAY ( "&amp;DAY(J10-$F$4)&amp;" day "&amp;HOUR(J10-$F$4)&amp;" hour "&amp;MINUTE(J10-$F$4)&amp;" minute )","xxx"))))))</f>
        <v>DELAY ( 2 day 19 hour 0 minute )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/>
      <c r="AC10" s="416"/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/>
      <c r="AQ10" s="416"/>
      <c r="AR10" s="416"/>
      <c r="AS10" s="416"/>
      <c r="AT10" s="416"/>
      <c r="AU10" s="416">
        <f>H10</f>
        <v>1884.4265</v>
      </c>
      <c r="AV10" s="416"/>
      <c r="AW10" s="416"/>
      <c r="AX10" s="416"/>
      <c r="AY10" s="416"/>
      <c r="AZ10" s="32"/>
    </row>
    <row r="11" spans="2:52">
      <c r="B11" s="1254"/>
      <c r="C11" s="1255"/>
      <c r="D11" s="411" t="s">
        <v>1012</v>
      </c>
      <c r="E11" s="411"/>
      <c r="F11" s="411" t="s">
        <v>361</v>
      </c>
      <c r="G11" s="411" t="s">
        <v>362</v>
      </c>
      <c r="H11" s="412">
        <v>7204.4809999999998</v>
      </c>
      <c r="I11" s="413" t="s">
        <v>240</v>
      </c>
      <c r="J11" s="414">
        <v>45014.46875</v>
      </c>
      <c r="K11" s="414"/>
      <c r="L11" s="414" t="s">
        <v>192</v>
      </c>
      <c r="M11" s="414" t="s">
        <v>192</v>
      </c>
      <c r="N11" s="413" t="str">
        <f t="shared" ref="N11:N22" si="0">IF(ISBLANK(J11)," ",IF(J11&lt;$F$4,"On time",(IF(DAY(J11-$F$4)&lt;1,"On time",(IF(J11&gt;$F$4,"DELAY ( "&amp;DAY(J11-$F$4)&amp;" day "&amp;HOUR(J11-$F$4)&amp;" hour "&amp;MINUTE(J11-$F$4)&amp;" minute )","xxx"))))))</f>
        <v>DELAY ( 4 day 21 hour 15 minute )</v>
      </c>
      <c r="O11" s="51"/>
      <c r="P11" s="415" t="s">
        <v>551</v>
      </c>
      <c r="Q11" s="415" t="s">
        <v>551</v>
      </c>
      <c r="R11" s="415" t="s">
        <v>551</v>
      </c>
      <c r="S11" s="32"/>
      <c r="T11" s="416"/>
      <c r="U11" s="416"/>
      <c r="V11" s="416"/>
      <c r="W11" s="416"/>
      <c r="X11" s="416"/>
      <c r="Y11" s="416"/>
      <c r="Z11" s="416"/>
      <c r="AA11" s="416"/>
      <c r="AB11" s="416"/>
      <c r="AC11" s="416">
        <f>H11</f>
        <v>7204.4809999999998</v>
      </c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6"/>
      <c r="AQ11" s="416"/>
      <c r="AR11" s="416"/>
      <c r="AS11" s="416"/>
      <c r="AT11" s="416"/>
      <c r="AU11" s="416"/>
      <c r="AV11" s="416"/>
      <c r="AW11" s="416"/>
      <c r="AX11" s="416"/>
      <c r="AY11" s="416"/>
      <c r="AZ11" s="32"/>
    </row>
    <row r="12" spans="2:52">
      <c r="B12" s="1250" t="s">
        <v>911</v>
      </c>
      <c r="C12" s="1251"/>
      <c r="D12" s="411" t="s">
        <v>1042</v>
      </c>
      <c r="E12" s="425"/>
      <c r="F12" s="411" t="s">
        <v>453</v>
      </c>
      <c r="G12" s="411" t="s">
        <v>454</v>
      </c>
      <c r="H12" s="412">
        <f>H16</f>
        <v>1884.4265</v>
      </c>
      <c r="I12" s="413" t="s">
        <v>181</v>
      </c>
      <c r="J12" s="414"/>
      <c r="K12" s="414"/>
      <c r="L12" s="414" t="s">
        <v>192</v>
      </c>
      <c r="M12" s="414" t="s">
        <v>192</v>
      </c>
      <c r="N12" s="413" t="str">
        <f t="shared" si="0"/>
        <v xml:space="preserve"> </v>
      </c>
      <c r="O12" s="51"/>
      <c r="P12" s="415"/>
      <c r="Q12" s="415"/>
      <c r="R12" s="415"/>
      <c r="S12" s="32"/>
      <c r="T12" s="416"/>
      <c r="U12" s="416"/>
      <c r="V12" s="416"/>
      <c r="W12" s="416"/>
      <c r="X12" s="416"/>
      <c r="Y12" s="416"/>
      <c r="Z12" s="416"/>
      <c r="AA12" s="416"/>
      <c r="AB12" s="416"/>
      <c r="AC12" s="416"/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/>
      <c r="AQ12" s="416"/>
      <c r="AR12" s="416"/>
      <c r="AS12" s="416"/>
      <c r="AT12" s="416"/>
      <c r="AU12" s="416">
        <f>H12</f>
        <v>1884.4265</v>
      </c>
      <c r="AV12" s="416"/>
      <c r="AW12" s="416"/>
      <c r="AX12" s="416"/>
      <c r="AY12" s="416"/>
      <c r="AZ12" s="32"/>
    </row>
    <row r="13" spans="2:52">
      <c r="B13" s="1254"/>
      <c r="C13" s="1255"/>
      <c r="D13" s="411" t="s">
        <v>1038</v>
      </c>
      <c r="E13" s="411"/>
      <c r="F13" s="411" t="s">
        <v>492</v>
      </c>
      <c r="G13" s="411" t="s">
        <v>493</v>
      </c>
      <c r="H13" s="412">
        <v>7510.1959999999999</v>
      </c>
      <c r="I13" s="413" t="s">
        <v>611</v>
      </c>
      <c r="J13" s="414">
        <v>45016.375</v>
      </c>
      <c r="K13" s="414"/>
      <c r="L13" s="414" t="s">
        <v>192</v>
      </c>
      <c r="M13" s="414" t="s">
        <v>192</v>
      </c>
      <c r="N13" s="413" t="str">
        <f t="shared" si="0"/>
        <v>DELAY ( 6 day 19 hour 0 minute )</v>
      </c>
      <c r="O13" s="51"/>
      <c r="P13" s="415" t="s">
        <v>551</v>
      </c>
      <c r="Q13" s="415" t="s">
        <v>551</v>
      </c>
      <c r="R13" s="415" t="s">
        <v>551</v>
      </c>
      <c r="S13" s="32"/>
      <c r="T13" s="416">
        <f>H13</f>
        <v>7510.1959999999999</v>
      </c>
      <c r="U13" s="416"/>
      <c r="V13" s="416"/>
      <c r="W13" s="416"/>
      <c r="X13" s="416"/>
      <c r="Y13" s="416"/>
      <c r="Z13" s="416"/>
      <c r="AA13" s="416"/>
      <c r="AB13" s="416"/>
      <c r="AC13" s="416"/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32"/>
    </row>
    <row r="14" spans="2:52">
      <c r="B14" s="1250" t="s">
        <v>885</v>
      </c>
      <c r="C14" s="1251"/>
      <c r="D14" s="411" t="s">
        <v>1042</v>
      </c>
      <c r="E14" s="425"/>
      <c r="F14" s="411" t="s">
        <v>453</v>
      </c>
      <c r="G14" s="411" t="s">
        <v>454</v>
      </c>
      <c r="H14" s="412">
        <f>7537.706/4</f>
        <v>1884.4265</v>
      </c>
      <c r="I14" s="413" t="s">
        <v>181</v>
      </c>
      <c r="J14" s="414"/>
      <c r="K14" s="414"/>
      <c r="L14" s="414" t="s">
        <v>192</v>
      </c>
      <c r="M14" s="414" t="s">
        <v>192</v>
      </c>
      <c r="N14" s="413" t="str">
        <f t="shared" si="0"/>
        <v xml:space="preserve"> </v>
      </c>
      <c r="O14" s="51"/>
      <c r="P14" s="415" t="s">
        <v>551</v>
      </c>
      <c r="Q14" s="415" t="s">
        <v>551</v>
      </c>
      <c r="R14" s="415" t="s">
        <v>551</v>
      </c>
      <c r="S14" s="32"/>
      <c r="T14" s="416"/>
      <c r="U14" s="416"/>
      <c r="V14" s="416"/>
      <c r="W14" s="416"/>
      <c r="X14" s="416"/>
      <c r="Y14" s="416"/>
      <c r="Z14" s="416"/>
      <c r="AA14" s="416"/>
      <c r="AB14" s="416"/>
      <c r="AC14" s="416"/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/>
      <c r="AQ14" s="416"/>
      <c r="AR14" s="416"/>
      <c r="AS14" s="416"/>
      <c r="AT14" s="416"/>
      <c r="AU14" s="416">
        <f>H14</f>
        <v>1884.4265</v>
      </c>
      <c r="AV14" s="416"/>
      <c r="AW14" s="416"/>
      <c r="AX14" s="416"/>
      <c r="AY14" s="416"/>
      <c r="AZ14" s="32"/>
    </row>
    <row r="15" spans="2:52">
      <c r="B15" s="1254"/>
      <c r="C15" s="1255"/>
      <c r="D15" s="411" t="s">
        <v>993</v>
      </c>
      <c r="E15" s="411"/>
      <c r="F15" s="411" t="s">
        <v>226</v>
      </c>
      <c r="G15" s="411" t="s">
        <v>227</v>
      </c>
      <c r="H15" s="412">
        <v>4557.0730000000003</v>
      </c>
      <c r="I15" s="413" t="s">
        <v>240</v>
      </c>
      <c r="J15" s="414">
        <v>45013.972222222219</v>
      </c>
      <c r="K15" s="414"/>
      <c r="L15" s="414" t="s">
        <v>192</v>
      </c>
      <c r="M15" s="414" t="s">
        <v>192</v>
      </c>
      <c r="N15" s="413" t="str">
        <f t="shared" si="0"/>
        <v>DELAY ( 4 day 9 hour 20 minute )</v>
      </c>
      <c r="O15" s="51"/>
      <c r="P15" s="415" t="s">
        <v>551</v>
      </c>
      <c r="Q15" s="415" t="s">
        <v>551</v>
      </c>
      <c r="R15" s="415" t="s">
        <v>551</v>
      </c>
      <c r="S15" s="32"/>
      <c r="T15" s="416"/>
      <c r="U15" s="416"/>
      <c r="V15" s="416"/>
      <c r="W15" s="416"/>
      <c r="X15" s="416"/>
      <c r="Y15" s="416"/>
      <c r="Z15" s="416"/>
      <c r="AA15" s="416"/>
      <c r="AB15" s="416"/>
      <c r="AC15" s="416">
        <f>H15</f>
        <v>4557.0730000000003</v>
      </c>
      <c r="AD15" s="416"/>
      <c r="AE15" s="416"/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6"/>
      <c r="AS15" s="416"/>
      <c r="AT15" s="416"/>
      <c r="AU15" s="416"/>
      <c r="AV15" s="416"/>
      <c r="AW15" s="416"/>
      <c r="AX15" s="416"/>
      <c r="AY15" s="416"/>
      <c r="AZ15" s="32"/>
    </row>
    <row r="16" spans="2:52">
      <c r="B16" s="1250" t="s">
        <v>911</v>
      </c>
      <c r="C16" s="1251"/>
      <c r="D16" s="411" t="s">
        <v>1042</v>
      </c>
      <c r="E16" s="425"/>
      <c r="F16" s="411" t="s">
        <v>453</v>
      </c>
      <c r="G16" s="411" t="s">
        <v>454</v>
      </c>
      <c r="H16" s="412">
        <f>H10</f>
        <v>1884.4265</v>
      </c>
      <c r="I16" s="413" t="s">
        <v>181</v>
      </c>
      <c r="J16" s="414"/>
      <c r="K16" s="414"/>
      <c r="L16" s="414" t="s">
        <v>192</v>
      </c>
      <c r="M16" s="414" t="s">
        <v>192</v>
      </c>
      <c r="N16" s="413" t="str">
        <f t="shared" si="0"/>
        <v xml:space="preserve"> </v>
      </c>
      <c r="O16" s="51"/>
      <c r="P16" s="415"/>
      <c r="Q16" s="415"/>
      <c r="R16" s="415"/>
      <c r="S16" s="32"/>
      <c r="T16" s="416"/>
      <c r="U16" s="416"/>
      <c r="V16" s="416"/>
      <c r="W16" s="416"/>
      <c r="X16" s="416"/>
      <c r="Y16" s="416"/>
      <c r="Z16" s="416"/>
      <c r="AA16" s="416"/>
      <c r="AB16" s="416"/>
      <c r="AC16" s="416"/>
      <c r="AD16" s="416"/>
      <c r="AE16" s="416"/>
      <c r="AF16" s="416"/>
      <c r="AG16" s="416"/>
      <c r="AH16" s="416"/>
      <c r="AI16" s="416"/>
      <c r="AJ16" s="416"/>
      <c r="AK16" s="416"/>
      <c r="AL16" s="416"/>
      <c r="AM16" s="416"/>
      <c r="AN16" s="416"/>
      <c r="AO16" s="416"/>
      <c r="AP16" s="416"/>
      <c r="AQ16" s="416"/>
      <c r="AR16" s="416"/>
      <c r="AS16" s="416"/>
      <c r="AT16" s="416"/>
      <c r="AU16" s="416">
        <f>H16</f>
        <v>1884.4265</v>
      </c>
      <c r="AV16" s="416"/>
      <c r="AW16" s="416"/>
      <c r="AX16" s="416"/>
      <c r="AY16" s="416"/>
      <c r="AZ16" s="32"/>
    </row>
    <row r="17" spans="2:52">
      <c r="B17" s="1254"/>
      <c r="C17" s="1255"/>
      <c r="D17" s="411" t="s">
        <v>1015</v>
      </c>
      <c r="E17" s="411"/>
      <c r="F17" s="411" t="s">
        <v>274</v>
      </c>
      <c r="G17" s="411" t="s">
        <v>275</v>
      </c>
      <c r="H17" s="412">
        <v>7502.7280000000001</v>
      </c>
      <c r="I17" s="413" t="s">
        <v>240</v>
      </c>
      <c r="J17" s="414">
        <v>45017.291666666664</v>
      </c>
      <c r="K17" s="414"/>
      <c r="L17" s="414" t="s">
        <v>192</v>
      </c>
      <c r="M17" s="414" t="s">
        <v>192</v>
      </c>
      <c r="N17" s="413" t="str">
        <f t="shared" si="0"/>
        <v>DELAY ( 7 day 17 hour 0 minute )</v>
      </c>
      <c r="O17" s="51"/>
      <c r="P17" s="415" t="s">
        <v>551</v>
      </c>
      <c r="Q17" s="415" t="s">
        <v>551</v>
      </c>
      <c r="R17" s="415" t="s">
        <v>551</v>
      </c>
      <c r="S17" s="32"/>
      <c r="T17" s="416"/>
      <c r="U17" s="416"/>
      <c r="V17" s="416"/>
      <c r="W17" s="416"/>
      <c r="X17" s="416"/>
      <c r="Y17" s="416"/>
      <c r="Z17" s="416"/>
      <c r="AA17" s="416"/>
      <c r="AB17" s="416"/>
      <c r="AC17" s="416">
        <f>H17</f>
        <v>7502.7280000000001</v>
      </c>
      <c r="AD17" s="416"/>
      <c r="AE17" s="416"/>
      <c r="AF17" s="416"/>
      <c r="AG17" s="416"/>
      <c r="AH17" s="416"/>
      <c r="AI17" s="416"/>
      <c r="AJ17" s="416"/>
      <c r="AK17" s="416"/>
      <c r="AL17" s="416"/>
      <c r="AM17" s="416"/>
      <c r="AN17" s="416"/>
      <c r="AO17" s="416"/>
      <c r="AP17" s="416"/>
      <c r="AQ17" s="416"/>
      <c r="AR17" s="416"/>
      <c r="AS17" s="416"/>
      <c r="AT17" s="416"/>
      <c r="AU17" s="416"/>
      <c r="AV17" s="416"/>
      <c r="AW17" s="416"/>
      <c r="AX17" s="416"/>
      <c r="AY17" s="416"/>
      <c r="AZ17" s="32"/>
    </row>
    <row r="18" spans="2:52">
      <c r="B18" s="1256" t="s">
        <v>548</v>
      </c>
      <c r="C18" s="1257"/>
      <c r="D18" s="411" t="s">
        <v>1016</v>
      </c>
      <c r="E18" s="411"/>
      <c r="F18" s="411" t="s">
        <v>310</v>
      </c>
      <c r="G18" s="411" t="s">
        <v>311</v>
      </c>
      <c r="H18" s="412">
        <v>7520.3829999999998</v>
      </c>
      <c r="I18" s="413" t="s">
        <v>235</v>
      </c>
      <c r="J18" s="414">
        <v>45015.590277777781</v>
      </c>
      <c r="K18" s="414"/>
      <c r="L18" s="414" t="s">
        <v>192</v>
      </c>
      <c r="M18" s="414" t="s">
        <v>192</v>
      </c>
      <c r="N18" s="413" t="str">
        <f t="shared" si="0"/>
        <v>DELAY ( 6 day 0 hour 10 minute )</v>
      </c>
      <c r="O18" s="51"/>
      <c r="P18" s="415" t="s">
        <v>551</v>
      </c>
      <c r="Q18" s="415" t="s">
        <v>551</v>
      </c>
      <c r="R18" s="415" t="s">
        <v>551</v>
      </c>
      <c r="S18" s="32"/>
      <c r="T18" s="416"/>
      <c r="U18" s="416"/>
      <c r="V18" s="416"/>
      <c r="W18" s="416"/>
      <c r="X18" s="416"/>
      <c r="Y18" s="416"/>
      <c r="Z18" s="416"/>
      <c r="AA18" s="416"/>
      <c r="AB18" s="416">
        <f>H18</f>
        <v>7520.3829999999998</v>
      </c>
      <c r="AC18" s="416"/>
      <c r="AD18" s="416"/>
      <c r="AE18" s="416"/>
      <c r="AF18" s="416"/>
      <c r="AG18" s="416"/>
      <c r="AH18" s="416"/>
      <c r="AI18" s="416"/>
      <c r="AJ18" s="416"/>
      <c r="AK18" s="416"/>
      <c r="AL18" s="416"/>
      <c r="AM18" s="416"/>
      <c r="AN18" s="416"/>
      <c r="AO18" s="416"/>
      <c r="AP18" s="416"/>
      <c r="AQ18" s="416"/>
      <c r="AR18" s="416"/>
      <c r="AS18" s="416"/>
      <c r="AT18" s="416"/>
      <c r="AU18" s="416"/>
      <c r="AV18" s="416"/>
      <c r="AW18" s="416"/>
      <c r="AX18" s="416"/>
      <c r="AY18" s="416"/>
      <c r="AZ18" s="32"/>
    </row>
    <row r="19" spans="2:52">
      <c r="B19" s="1256" t="s">
        <v>548</v>
      </c>
      <c r="C19" s="1257"/>
      <c r="D19" s="411" t="s">
        <v>1014</v>
      </c>
      <c r="E19" s="411"/>
      <c r="F19" s="411" t="s">
        <v>249</v>
      </c>
      <c r="G19" s="411" t="s">
        <v>250</v>
      </c>
      <c r="H19" s="412">
        <v>7674.951</v>
      </c>
      <c r="I19" s="413" t="s">
        <v>235</v>
      </c>
      <c r="J19" s="414">
        <v>45015.645833333336</v>
      </c>
      <c r="K19" s="414"/>
      <c r="L19" s="414" t="s">
        <v>192</v>
      </c>
      <c r="M19" s="414" t="s">
        <v>192</v>
      </c>
      <c r="N19" s="413" t="str">
        <f t="shared" si="0"/>
        <v>DELAY ( 6 day 1 hour 30 minute )</v>
      </c>
      <c r="O19" s="51"/>
      <c r="P19" s="415" t="s">
        <v>551</v>
      </c>
      <c r="Q19" s="415" t="s">
        <v>551</v>
      </c>
      <c r="R19" s="415" t="s">
        <v>551</v>
      </c>
      <c r="S19" s="32"/>
      <c r="T19" s="416"/>
      <c r="U19" s="416"/>
      <c r="V19" s="416"/>
      <c r="W19" s="416"/>
      <c r="X19" s="416"/>
      <c r="Y19" s="416"/>
      <c r="Z19" s="416"/>
      <c r="AA19" s="416"/>
      <c r="AB19" s="416">
        <f>H19</f>
        <v>7674.951</v>
      </c>
      <c r="AC19" s="416"/>
      <c r="AD19" s="416"/>
      <c r="AE19" s="416"/>
      <c r="AF19" s="416"/>
      <c r="AG19" s="416"/>
      <c r="AH19" s="416"/>
      <c r="AI19" s="416"/>
      <c r="AJ19" s="416"/>
      <c r="AK19" s="416"/>
      <c r="AL19" s="416"/>
      <c r="AM19" s="416"/>
      <c r="AN19" s="416"/>
      <c r="AO19" s="416"/>
      <c r="AP19" s="416"/>
      <c r="AQ19" s="416"/>
      <c r="AR19" s="416"/>
      <c r="AS19" s="416"/>
      <c r="AT19" s="416"/>
      <c r="AU19" s="416"/>
      <c r="AV19" s="416"/>
      <c r="AW19" s="416"/>
      <c r="AX19" s="416"/>
      <c r="AY19" s="416"/>
      <c r="AZ19" s="32"/>
    </row>
    <row r="20" spans="2:52">
      <c r="B20" s="1256" t="s">
        <v>548</v>
      </c>
      <c r="C20" s="1257"/>
      <c r="D20" s="411" t="s">
        <v>1013</v>
      </c>
      <c r="E20" s="411"/>
      <c r="F20" s="411" t="s">
        <v>284</v>
      </c>
      <c r="G20" s="411" t="s">
        <v>285</v>
      </c>
      <c r="H20" s="412">
        <f>9103.253-2060.771</f>
        <v>7042.482</v>
      </c>
      <c r="I20" s="413" t="s">
        <v>235</v>
      </c>
      <c r="J20" s="414">
        <v>45015.645833333336</v>
      </c>
      <c r="K20" s="414"/>
      <c r="L20" s="414" t="s">
        <v>192</v>
      </c>
      <c r="M20" s="414" t="s">
        <v>192</v>
      </c>
      <c r="N20" s="413" t="str">
        <f t="shared" si="0"/>
        <v>DELAY ( 6 day 1 hour 30 minute )</v>
      </c>
      <c r="O20" s="51"/>
      <c r="P20" s="415" t="s">
        <v>551</v>
      </c>
      <c r="Q20" s="415" t="s">
        <v>551</v>
      </c>
      <c r="R20" s="415" t="s">
        <v>551</v>
      </c>
      <c r="S20" s="32"/>
      <c r="T20" s="416"/>
      <c r="U20" s="416"/>
      <c r="V20" s="416"/>
      <c r="W20" s="416"/>
      <c r="X20" s="416"/>
      <c r="Y20" s="416"/>
      <c r="Z20" s="416"/>
      <c r="AA20" s="416"/>
      <c r="AB20" s="416">
        <f>H20-H24</f>
        <v>4986.482</v>
      </c>
      <c r="AC20" s="416"/>
      <c r="AD20" s="416"/>
      <c r="AE20" s="416"/>
      <c r="AF20" s="416"/>
      <c r="AG20" s="416"/>
      <c r="AH20" s="416"/>
      <c r="AI20" s="416"/>
      <c r="AJ20" s="416"/>
      <c r="AK20" s="416"/>
      <c r="AL20" s="416"/>
      <c r="AM20" s="416"/>
      <c r="AN20" s="416"/>
      <c r="AO20" s="416"/>
      <c r="AP20" s="416"/>
      <c r="AQ20" s="416"/>
      <c r="AR20" s="416"/>
      <c r="AS20" s="416"/>
      <c r="AT20" s="416"/>
      <c r="AU20" s="416"/>
      <c r="AV20" s="416"/>
      <c r="AW20" s="416"/>
      <c r="AX20" s="416"/>
      <c r="AY20" s="416"/>
      <c r="AZ20" s="32"/>
    </row>
    <row r="21" spans="2:52">
      <c r="B21" s="1258" t="s">
        <v>556</v>
      </c>
      <c r="C21" s="1259"/>
      <c r="D21" s="1259"/>
      <c r="E21" s="1259"/>
      <c r="F21" s="1259"/>
      <c r="G21" s="1260"/>
      <c r="H21" s="417">
        <f>SUM(H10:H20)</f>
        <v>56550</v>
      </c>
      <c r="I21" s="388"/>
      <c r="J21" s="293"/>
      <c r="K21" s="293"/>
      <c r="L21" s="293"/>
      <c r="M21" s="389"/>
      <c r="N21" s="413" t="str">
        <f t="shared" si="0"/>
        <v xml:space="preserve"> </v>
      </c>
      <c r="O21" s="212"/>
      <c r="P21" s="418"/>
      <c r="Q21" s="418"/>
      <c r="R21" s="418"/>
      <c r="S21" s="207"/>
      <c r="T21" s="1262"/>
      <c r="U21" s="1263"/>
      <c r="V21" s="1263"/>
      <c r="W21" s="1263"/>
      <c r="X21" s="1263"/>
      <c r="Y21" s="1263"/>
      <c r="Z21" s="1263"/>
      <c r="AA21" s="1263"/>
      <c r="AB21" s="1263"/>
      <c r="AC21" s="1263"/>
      <c r="AD21" s="1263"/>
      <c r="AE21" s="1263"/>
      <c r="AF21" s="1263"/>
      <c r="AG21" s="1263"/>
      <c r="AH21" s="1263"/>
      <c r="AI21" s="1263"/>
      <c r="AJ21" s="1263"/>
      <c r="AK21" s="1263"/>
      <c r="AL21" s="1263"/>
      <c r="AM21" s="1263"/>
      <c r="AN21" s="1263"/>
      <c r="AO21" s="1263"/>
      <c r="AP21" s="1263"/>
      <c r="AQ21" s="1263"/>
      <c r="AR21" s="1263"/>
      <c r="AS21" s="1263"/>
      <c r="AT21" s="1263"/>
      <c r="AU21" s="1263"/>
      <c r="AV21" s="1263"/>
      <c r="AW21" s="1263"/>
      <c r="AX21" s="1263"/>
      <c r="AY21" s="1264"/>
    </row>
    <row r="22" spans="2:52">
      <c r="B22" s="1243" t="s">
        <v>557</v>
      </c>
      <c r="C22" s="1244"/>
      <c r="D22" s="1244"/>
      <c r="E22" s="1244"/>
      <c r="F22" s="1244"/>
      <c r="G22" s="1245"/>
      <c r="H22" s="419">
        <v>56550</v>
      </c>
      <c r="I22" s="1273"/>
      <c r="J22" s="1274"/>
      <c r="K22" s="1274"/>
      <c r="L22" s="1274"/>
      <c r="M22" s="1275"/>
      <c r="N22" s="413" t="str">
        <f t="shared" si="0"/>
        <v xml:space="preserve"> </v>
      </c>
      <c r="O22" s="32"/>
      <c r="P22" s="415"/>
      <c r="Q22" s="415"/>
      <c r="R22" s="415"/>
      <c r="S22" s="63"/>
      <c r="T22" s="416">
        <f>SUM(T10:T20)</f>
        <v>7510.1959999999999</v>
      </c>
      <c r="U22" s="416">
        <f t="shared" ref="U22:AY22" si="1">SUM(U10:U20)</f>
        <v>0</v>
      </c>
      <c r="V22" s="416">
        <f t="shared" si="1"/>
        <v>0</v>
      </c>
      <c r="W22" s="416">
        <f t="shared" si="1"/>
        <v>0</v>
      </c>
      <c r="X22" s="416">
        <f t="shared" si="1"/>
        <v>0</v>
      </c>
      <c r="Y22" s="416">
        <f t="shared" si="1"/>
        <v>0</v>
      </c>
      <c r="Z22" s="416">
        <f t="shared" si="1"/>
        <v>0</v>
      </c>
      <c r="AA22" s="416">
        <f t="shared" si="1"/>
        <v>0</v>
      </c>
      <c r="AB22" s="416">
        <f t="shared" si="1"/>
        <v>20181.815999999999</v>
      </c>
      <c r="AC22" s="416">
        <f t="shared" si="1"/>
        <v>19264.281999999999</v>
      </c>
      <c r="AD22" s="416">
        <f t="shared" si="1"/>
        <v>0</v>
      </c>
      <c r="AE22" s="416">
        <f t="shared" si="1"/>
        <v>0</v>
      </c>
      <c r="AF22" s="416">
        <f t="shared" si="1"/>
        <v>0</v>
      </c>
      <c r="AG22" s="416">
        <f t="shared" si="1"/>
        <v>0</v>
      </c>
      <c r="AH22" s="416">
        <f t="shared" si="1"/>
        <v>0</v>
      </c>
      <c r="AI22" s="416">
        <f t="shared" si="1"/>
        <v>0</v>
      </c>
      <c r="AJ22" s="416">
        <f t="shared" si="1"/>
        <v>0</v>
      </c>
      <c r="AK22" s="416">
        <f t="shared" si="1"/>
        <v>0</v>
      </c>
      <c r="AL22" s="416">
        <f t="shared" si="1"/>
        <v>0</v>
      </c>
      <c r="AM22" s="416">
        <f t="shared" si="1"/>
        <v>0</v>
      </c>
      <c r="AN22" s="416">
        <f t="shared" si="1"/>
        <v>0</v>
      </c>
      <c r="AO22" s="416">
        <f t="shared" si="1"/>
        <v>0</v>
      </c>
      <c r="AP22" s="416">
        <f t="shared" si="1"/>
        <v>0</v>
      </c>
      <c r="AQ22" s="416">
        <f t="shared" si="1"/>
        <v>0</v>
      </c>
      <c r="AR22" s="416">
        <f t="shared" si="1"/>
        <v>0</v>
      </c>
      <c r="AS22" s="416">
        <f t="shared" si="1"/>
        <v>0</v>
      </c>
      <c r="AT22" s="416">
        <f t="shared" si="1"/>
        <v>0</v>
      </c>
      <c r="AU22" s="416">
        <f t="shared" si="1"/>
        <v>7537.7060000000001</v>
      </c>
      <c r="AV22" s="416">
        <f t="shared" si="1"/>
        <v>0</v>
      </c>
      <c r="AW22" s="416">
        <f t="shared" si="1"/>
        <v>0</v>
      </c>
      <c r="AX22" s="416">
        <f t="shared" si="1"/>
        <v>0</v>
      </c>
      <c r="AY22" s="416">
        <f t="shared" si="1"/>
        <v>0</v>
      </c>
      <c r="AZ22" s="416">
        <f>SUM(T22:AY22)</f>
        <v>54493.999999999993</v>
      </c>
    </row>
    <row r="23" spans="2:52">
      <c r="B23" s="1243" t="s">
        <v>558</v>
      </c>
      <c r="C23" s="1244"/>
      <c r="D23" s="1244"/>
      <c r="E23" s="1244"/>
      <c r="F23" s="1244"/>
      <c r="G23" s="1245"/>
      <c r="H23" s="420">
        <f>H22-L4</f>
        <v>0</v>
      </c>
      <c r="I23" s="294"/>
      <c r="J23" s="295"/>
      <c r="K23" s="295"/>
      <c r="L23" s="296"/>
      <c r="M23" s="32"/>
      <c r="N23" s="32"/>
      <c r="O23" s="32"/>
      <c r="P23" s="32"/>
      <c r="Q23" s="297"/>
      <c r="R23" s="297"/>
      <c r="S23" s="32"/>
      <c r="T23" s="48"/>
      <c r="U23" s="48"/>
      <c r="V23" s="48"/>
      <c r="W23" s="48"/>
      <c r="X23" s="48"/>
      <c r="Y23" s="48"/>
      <c r="Z23" s="48"/>
      <c r="AA23" s="48"/>
      <c r="AB23" s="48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</row>
    <row r="24" spans="2:52">
      <c r="B24" s="1243" t="s">
        <v>559</v>
      </c>
      <c r="C24" s="1244"/>
      <c r="D24" s="1244"/>
      <c r="E24" s="1244"/>
      <c r="F24" s="1244"/>
      <c r="G24" s="1245"/>
      <c r="H24" s="420">
        <v>2056</v>
      </c>
      <c r="I24" s="280">
        <v>2083.3330000000001</v>
      </c>
      <c r="J24" s="53"/>
      <c r="K24" s="53"/>
      <c r="L24" s="54"/>
      <c r="M24" s="32"/>
      <c r="N24" s="201"/>
      <c r="O24" s="32"/>
      <c r="P24" s="32"/>
      <c r="Q24" s="32"/>
      <c r="R24" s="32"/>
      <c r="S24" s="32"/>
      <c r="T24" s="48"/>
      <c r="U24" s="48"/>
      <c r="V24" s="48"/>
      <c r="W24" s="48"/>
      <c r="X24" s="48"/>
      <c r="Y24" s="48"/>
      <c r="Z24" s="48"/>
      <c r="AA24" s="48"/>
      <c r="AB24" s="48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</row>
    <row r="25" spans="2:52">
      <c r="B25" s="1243" t="s">
        <v>560</v>
      </c>
      <c r="C25" s="1244"/>
      <c r="D25" s="1244"/>
      <c r="E25" s="1244"/>
      <c r="F25" s="1244"/>
      <c r="G25" s="1245"/>
      <c r="H25" s="421">
        <f>H24-2060.771</f>
        <v>-4.7710000000001855</v>
      </c>
      <c r="I25" s="270">
        <f>I24-H24</f>
        <v>27.333000000000084</v>
      </c>
      <c r="J25" s="53"/>
      <c r="K25" s="53"/>
      <c r="L25" s="54"/>
      <c r="M25" s="32"/>
      <c r="N25" s="32"/>
      <c r="O25" s="32"/>
      <c r="P25" s="32"/>
      <c r="Q25" s="32"/>
      <c r="R25" s="32"/>
      <c r="S25" s="48"/>
      <c r="T25" s="48"/>
      <c r="U25" s="48"/>
      <c r="V25" s="48"/>
      <c r="W25" s="48"/>
      <c r="X25" s="48"/>
      <c r="Y25" s="48"/>
      <c r="Z25" s="48"/>
      <c r="AA25" s="48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</row>
    <row r="26" spans="2:52">
      <c r="B26" s="201"/>
      <c r="C26" s="201"/>
      <c r="D26" s="201"/>
      <c r="E26" s="201"/>
      <c r="F26" s="201"/>
      <c r="G26" s="201"/>
      <c r="H26" s="201"/>
      <c r="I26" s="213"/>
      <c r="J26" s="209"/>
      <c r="K26" s="209"/>
      <c r="L26" s="203"/>
      <c r="M26" s="201"/>
      <c r="N26" s="201"/>
      <c r="O26" s="209"/>
      <c r="P26" s="32"/>
      <c r="Q26" s="32"/>
      <c r="R26" s="32"/>
      <c r="S26" s="32"/>
      <c r="T26" s="48"/>
      <c r="U26" s="48"/>
      <c r="V26" s="48"/>
      <c r="W26" s="48"/>
      <c r="X26" s="48"/>
      <c r="Y26" s="48"/>
      <c r="Z26" s="48"/>
      <c r="AA26" s="48"/>
      <c r="AB26" s="48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</row>
    <row r="27" spans="2:52">
      <c r="B27" s="40" t="s">
        <v>561</v>
      </c>
      <c r="C27" s="40"/>
      <c r="D27" s="32"/>
      <c r="E27" s="32"/>
      <c r="F27" s="32"/>
      <c r="G27" s="32"/>
      <c r="H27" s="32"/>
      <c r="I27" s="32"/>
      <c r="J27" s="52"/>
      <c r="K27" s="52"/>
      <c r="L27" s="55"/>
      <c r="M27" s="32"/>
      <c r="N27" s="201"/>
      <c r="O27" s="5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Z27" s="201"/>
    </row>
    <row r="28" spans="2:52">
      <c r="B28" s="422">
        <v>1</v>
      </c>
      <c r="C28" s="1249" t="s">
        <v>1402</v>
      </c>
      <c r="D28" s="1249"/>
      <c r="E28" s="1249"/>
      <c r="F28" s="1249"/>
      <c r="G28" s="1249"/>
      <c r="H28" s="1249"/>
      <c r="I28" s="1249"/>
      <c r="J28" s="1249"/>
      <c r="K28" s="1249"/>
      <c r="L28" s="203"/>
      <c r="M28" s="203"/>
      <c r="N28" s="201"/>
      <c r="O28" s="209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</row>
    <row r="30" spans="2:52">
      <c r="B30" s="28" t="s">
        <v>126</v>
      </c>
      <c r="C30" s="28"/>
      <c r="D30" s="29"/>
      <c r="E30" s="30" t="s">
        <v>511</v>
      </c>
      <c r="F30" s="31" t="s">
        <v>919</v>
      </c>
      <c r="G30" s="32"/>
      <c r="H30" s="33"/>
      <c r="I30" s="34"/>
      <c r="J30" s="35" t="s">
        <v>513</v>
      </c>
      <c r="K30" s="36" t="s">
        <v>511</v>
      </c>
      <c r="L30" s="37">
        <v>45019.805555555555</v>
      </c>
      <c r="M30" s="32"/>
      <c r="N30" s="32"/>
      <c r="O30" s="36"/>
      <c r="P30" s="33"/>
      <c r="Q30" s="48"/>
      <c r="R30" s="49"/>
      <c r="S30" s="38"/>
      <c r="T30" s="32"/>
      <c r="U30" s="32"/>
      <c r="V30" s="32"/>
      <c r="W30" s="32"/>
      <c r="X30" s="32"/>
      <c r="Y30" s="32"/>
      <c r="Z30" s="32"/>
      <c r="AA30" s="32"/>
      <c r="AB30" s="48"/>
      <c r="AC30" s="48"/>
      <c r="AD30" s="48"/>
      <c r="AE30" s="48"/>
      <c r="AF30" s="48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</row>
    <row r="31" spans="2:52">
      <c r="B31" s="35" t="s">
        <v>514</v>
      </c>
      <c r="C31" s="35"/>
      <c r="D31" s="32"/>
      <c r="E31" s="36" t="s">
        <v>511</v>
      </c>
      <c r="F31" s="37" t="s">
        <v>1403</v>
      </c>
      <c r="G31" s="32"/>
      <c r="H31" s="33"/>
      <c r="I31" s="34"/>
      <c r="J31" s="35" t="s">
        <v>516</v>
      </c>
      <c r="K31" s="36" t="s">
        <v>511</v>
      </c>
      <c r="L31" s="37">
        <f>'VLU 2023 &amp; 2024'!$N$61</f>
        <v>45022.072916666664</v>
      </c>
      <c r="M31" s="32"/>
      <c r="N31" s="32"/>
      <c r="O31" s="36"/>
      <c r="P31" s="33"/>
      <c r="Q31" s="48"/>
      <c r="R31" s="49"/>
      <c r="S31" s="38"/>
      <c r="T31" s="32"/>
      <c r="U31" s="32"/>
      <c r="V31" s="32"/>
      <c r="W31" s="32"/>
      <c r="X31" s="32"/>
      <c r="Y31" s="32"/>
      <c r="Z31" s="32"/>
      <c r="AA31" s="32"/>
      <c r="AB31" s="48"/>
      <c r="AC31" s="48"/>
      <c r="AD31" s="48"/>
      <c r="AE31" s="48"/>
      <c r="AF31" s="48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</row>
    <row r="32" spans="2:52">
      <c r="B32" s="35" t="s">
        <v>517</v>
      </c>
      <c r="C32" s="35"/>
      <c r="D32" s="32"/>
      <c r="E32" s="36" t="s">
        <v>511</v>
      </c>
      <c r="F32" s="37">
        <v>45010.654166666667</v>
      </c>
      <c r="G32" s="32"/>
      <c r="H32" s="33"/>
      <c r="I32" s="34"/>
      <c r="J32" s="35" t="s">
        <v>518</v>
      </c>
      <c r="K32" s="36" t="s">
        <v>511</v>
      </c>
      <c r="L32" s="50">
        <v>75000</v>
      </c>
      <c r="M32" s="40" t="s">
        <v>519</v>
      </c>
      <c r="N32" s="40"/>
      <c r="O32" s="36"/>
      <c r="P32" s="33"/>
      <c r="Q32" s="48"/>
      <c r="R32" s="49"/>
      <c r="S32" s="38"/>
      <c r="T32" s="32"/>
      <c r="U32" s="32"/>
      <c r="V32" s="32"/>
      <c r="W32" s="32"/>
      <c r="X32" s="32"/>
      <c r="Y32" s="32"/>
      <c r="Z32" s="32"/>
      <c r="AA32" s="32"/>
      <c r="AB32" s="48"/>
      <c r="AC32" s="48"/>
      <c r="AD32" s="48"/>
      <c r="AE32" s="48"/>
      <c r="AF32" s="48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</row>
    <row r="33" spans="2:52">
      <c r="B33" s="35" t="s">
        <v>520</v>
      </c>
      <c r="C33" s="35"/>
      <c r="D33" s="32"/>
      <c r="E33" s="36" t="s">
        <v>511</v>
      </c>
      <c r="F33" s="37" t="s">
        <v>4</v>
      </c>
      <c r="G33" s="32"/>
      <c r="H33" s="33"/>
      <c r="I33" s="34"/>
      <c r="J33" s="35" t="s">
        <v>521</v>
      </c>
      <c r="K33" s="36" t="s">
        <v>511</v>
      </c>
      <c r="L33" s="41" t="s">
        <v>1404</v>
      </c>
      <c r="M33" s="32"/>
      <c r="N33" s="32"/>
      <c r="O33" s="36"/>
      <c r="P33" s="48"/>
      <c r="Q33" s="48"/>
      <c r="R33" s="49"/>
      <c r="S33" s="38"/>
      <c r="T33" s="32"/>
      <c r="U33" s="32"/>
      <c r="V33" s="32"/>
      <c r="W33" s="32"/>
      <c r="X33" s="32"/>
      <c r="Y33" s="32"/>
      <c r="Z33" s="32"/>
      <c r="AA33" s="32"/>
      <c r="AB33" s="48"/>
      <c r="AC33" s="48"/>
      <c r="AD33" s="48"/>
      <c r="AE33" s="48"/>
      <c r="AF33" s="48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</row>
    <row r="34" spans="2:52">
      <c r="B34" s="35" t="s">
        <v>523</v>
      </c>
      <c r="C34" s="35"/>
      <c r="D34" s="32"/>
      <c r="E34" s="36" t="s">
        <v>511</v>
      </c>
      <c r="F34" s="37" t="s">
        <v>5</v>
      </c>
      <c r="G34" s="32"/>
      <c r="H34" s="33"/>
      <c r="I34" s="34"/>
      <c r="J34" s="42" t="s">
        <v>524</v>
      </c>
      <c r="K34" s="36" t="s">
        <v>511</v>
      </c>
      <c r="L34" s="43" t="s">
        <v>15</v>
      </c>
      <c r="M34" s="44"/>
      <c r="N34" s="44"/>
      <c r="O34" s="36"/>
      <c r="P34" s="33"/>
      <c r="Q34" s="48"/>
      <c r="R34" s="49"/>
      <c r="S34" s="38"/>
      <c r="T34" s="32"/>
      <c r="U34" s="32"/>
      <c r="V34" s="32"/>
      <c r="W34" s="32"/>
      <c r="X34" s="32"/>
      <c r="Y34" s="32"/>
      <c r="Z34" s="32"/>
      <c r="AA34" s="32"/>
      <c r="AB34" s="48"/>
      <c r="AC34" s="48"/>
      <c r="AD34" s="48"/>
      <c r="AE34" s="48"/>
      <c r="AF34" s="48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</row>
    <row r="35" spans="2:52">
      <c r="B35" s="35" t="s">
        <v>2</v>
      </c>
      <c r="C35" s="35"/>
      <c r="D35" s="32"/>
      <c r="E35" s="36" t="s">
        <v>511</v>
      </c>
      <c r="F35" s="37" t="s">
        <v>6</v>
      </c>
      <c r="G35" s="32"/>
      <c r="H35" s="33"/>
      <c r="I35" s="45"/>
      <c r="J35" s="42"/>
      <c r="K35" s="36"/>
      <c r="L35" s="37"/>
      <c r="M35" s="32"/>
      <c r="N35" s="32"/>
      <c r="O35" s="42"/>
      <c r="P35" s="44"/>
      <c r="Q35" s="44"/>
      <c r="R35" s="44"/>
      <c r="S35" s="34"/>
      <c r="T35" s="32"/>
      <c r="U35" s="32"/>
      <c r="V35" s="32"/>
      <c r="W35" s="32"/>
      <c r="X35" s="32"/>
      <c r="Y35" s="32"/>
      <c r="Z35" s="32"/>
      <c r="AA35" s="32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</row>
    <row r="36" spans="2:52">
      <c r="B36" s="32"/>
      <c r="C36" s="32"/>
      <c r="D36" s="32"/>
      <c r="E36" s="32"/>
      <c r="F36" s="32"/>
      <c r="G36" s="32"/>
      <c r="H36" s="32"/>
      <c r="I36" s="45"/>
      <c r="J36" s="42"/>
      <c r="K36" s="42"/>
      <c r="L36" s="43"/>
      <c r="M36" s="44"/>
      <c r="N36" s="44"/>
      <c r="O36" s="42"/>
      <c r="P36" s="44"/>
      <c r="Q36" s="44"/>
      <c r="R36" s="44"/>
      <c r="S36" s="34"/>
      <c r="T36" s="1270" t="s">
        <v>87</v>
      </c>
      <c r="U36" s="1270"/>
      <c r="V36" s="1270"/>
      <c r="W36" s="1270"/>
      <c r="X36" s="1270"/>
      <c r="Y36" s="1270" t="s">
        <v>73</v>
      </c>
      <c r="Z36" s="1270"/>
      <c r="AA36" s="1270"/>
      <c r="AB36" s="1270" t="s">
        <v>74</v>
      </c>
      <c r="AC36" s="1270"/>
      <c r="AD36" s="407" t="s">
        <v>85</v>
      </c>
      <c r="AE36" s="407" t="s">
        <v>77</v>
      </c>
      <c r="AF36" s="1270" t="s">
        <v>525</v>
      </c>
      <c r="AG36" s="1270"/>
      <c r="AH36" s="1270"/>
      <c r="AI36" s="1270"/>
      <c r="AJ36" s="1270"/>
      <c r="AK36" s="1270"/>
      <c r="AL36" s="1270"/>
      <c r="AM36" s="1270"/>
      <c r="AN36" s="1270"/>
      <c r="AO36" s="1270"/>
      <c r="AP36" s="1270"/>
      <c r="AQ36" s="1270"/>
      <c r="AR36" s="1270"/>
      <c r="AS36" s="1270"/>
      <c r="AT36" s="1270"/>
      <c r="AU36" s="1270"/>
      <c r="AV36" s="1270"/>
      <c r="AW36" s="1270"/>
      <c r="AX36" s="1270"/>
      <c r="AY36" s="1270"/>
      <c r="AZ36" s="32"/>
    </row>
    <row r="37" spans="2:52">
      <c r="B37" s="1266" t="s">
        <v>526</v>
      </c>
      <c r="C37" s="1267"/>
      <c r="D37" s="570" t="s">
        <v>527</v>
      </c>
      <c r="E37" s="570"/>
      <c r="F37" s="570" t="s">
        <v>528</v>
      </c>
      <c r="G37" s="570" t="s">
        <v>529</v>
      </c>
      <c r="H37" s="570" t="s">
        <v>530</v>
      </c>
      <c r="I37" s="570" t="s">
        <v>531</v>
      </c>
      <c r="J37" s="570" t="s">
        <v>532</v>
      </c>
      <c r="K37" s="570"/>
      <c r="L37" s="570" t="s">
        <v>130</v>
      </c>
      <c r="M37" s="570" t="s">
        <v>533</v>
      </c>
      <c r="N37" s="408" t="str">
        <f>"On time - "&amp;COUNTIF(N38:N62,"On time")&amp;" from "&amp;ROWS(N38:N62)-COUNTIF(N38:N62," ")</f>
        <v>On time - 0 from 11</v>
      </c>
      <c r="O37" s="46"/>
      <c r="P37" s="409" t="s">
        <v>534</v>
      </c>
      <c r="Q37" s="409" t="s">
        <v>535</v>
      </c>
      <c r="R37" s="409" t="s">
        <v>536</v>
      </c>
      <c r="S37" s="32"/>
      <c r="T37" s="410" t="s">
        <v>537</v>
      </c>
      <c r="U37" s="410" t="s">
        <v>538</v>
      </c>
      <c r="V37" s="410" t="s">
        <v>539</v>
      </c>
      <c r="W37" s="410" t="s">
        <v>540</v>
      </c>
      <c r="X37" s="410" t="s">
        <v>541</v>
      </c>
      <c r="Y37" s="410" t="s">
        <v>167</v>
      </c>
      <c r="Z37" s="410" t="s">
        <v>168</v>
      </c>
      <c r="AA37" s="410" t="s">
        <v>169</v>
      </c>
      <c r="AB37" s="410" t="s">
        <v>235</v>
      </c>
      <c r="AC37" s="410" t="s">
        <v>240</v>
      </c>
      <c r="AD37" s="407" t="s">
        <v>85</v>
      </c>
      <c r="AE37" s="410" t="s">
        <v>139</v>
      </c>
      <c r="AF37" s="410" t="s">
        <v>72</v>
      </c>
      <c r="AG37" s="410" t="s">
        <v>88</v>
      </c>
      <c r="AH37" s="410" t="s">
        <v>75</v>
      </c>
      <c r="AI37" s="410" t="s">
        <v>543</v>
      </c>
      <c r="AJ37" s="410" t="s">
        <v>78</v>
      </c>
      <c r="AK37" s="410" t="s">
        <v>76</v>
      </c>
      <c r="AL37" s="410" t="s">
        <v>544</v>
      </c>
      <c r="AM37" s="410" t="s">
        <v>545</v>
      </c>
      <c r="AN37" s="410" t="s">
        <v>86</v>
      </c>
      <c r="AO37" s="410" t="s">
        <v>83</v>
      </c>
      <c r="AP37" s="410" t="s">
        <v>84</v>
      </c>
      <c r="AQ37" s="410" t="s">
        <v>546</v>
      </c>
      <c r="AR37" s="410" t="s">
        <v>81</v>
      </c>
      <c r="AS37" s="410" t="s">
        <v>80</v>
      </c>
      <c r="AT37" s="410" t="s">
        <v>82</v>
      </c>
      <c r="AU37" s="410" t="s">
        <v>181</v>
      </c>
      <c r="AV37" s="410" t="s">
        <v>183</v>
      </c>
      <c r="AW37" s="410" t="s">
        <v>547</v>
      </c>
      <c r="AX37" s="410" t="s">
        <v>182</v>
      </c>
      <c r="AY37" s="410" t="s">
        <v>172</v>
      </c>
      <c r="AZ37" s="32"/>
    </row>
    <row r="38" spans="2:52">
      <c r="B38" s="1256" t="s">
        <v>616</v>
      </c>
      <c r="C38" s="1257"/>
      <c r="D38" s="411" t="s">
        <v>1017</v>
      </c>
      <c r="E38" s="411"/>
      <c r="F38" s="411" t="s">
        <v>489</v>
      </c>
      <c r="G38" s="411" t="s">
        <v>483</v>
      </c>
      <c r="H38" s="412">
        <v>7495.6289999999999</v>
      </c>
      <c r="I38" s="413" t="s">
        <v>240</v>
      </c>
      <c r="J38" s="414">
        <v>45016.386111111111</v>
      </c>
      <c r="K38" s="414"/>
      <c r="L38" s="414" t="s">
        <v>192</v>
      </c>
      <c r="M38" s="414" t="s">
        <v>192</v>
      </c>
      <c r="N38" s="413" t="str">
        <f>IF(ISBLANK(J38)," ",IF(J38&lt;$F$32,"On time",(IF(DAY(J38-$F$32)&lt;1,"On time",(IF(J38&gt;$F$32,"DELAY ( "&amp;DAY(J38-$F$32)&amp;" day "&amp;HOUR(J38-$F$32)&amp;" hour "&amp;MINUTE(J38-$F$32)&amp;" minute )","xxx"))))))</f>
        <v>DELAY ( 5 day 17 hour 34 minute )</v>
      </c>
      <c r="O38" s="51"/>
      <c r="P38" s="415" t="s">
        <v>551</v>
      </c>
      <c r="Q38" s="415" t="s">
        <v>551</v>
      </c>
      <c r="R38" s="415" t="s">
        <v>551</v>
      </c>
      <c r="S38" s="32"/>
      <c r="T38" s="416"/>
      <c r="U38" s="416"/>
      <c r="V38" s="416"/>
      <c r="W38" s="416"/>
      <c r="X38" s="416"/>
      <c r="Y38" s="416"/>
      <c r="Z38" s="416"/>
      <c r="AA38" s="416"/>
      <c r="AB38" s="416"/>
      <c r="AC38" s="416">
        <f>H38</f>
        <v>7495.6289999999999</v>
      </c>
      <c r="AD38" s="416"/>
      <c r="AE38" s="416"/>
      <c r="AF38" s="416"/>
      <c r="AG38" s="416"/>
      <c r="AH38" s="416"/>
      <c r="AI38" s="416"/>
      <c r="AJ38" s="416"/>
      <c r="AK38" s="416"/>
      <c r="AL38" s="416"/>
      <c r="AM38" s="416"/>
      <c r="AN38" s="416"/>
      <c r="AO38" s="416"/>
      <c r="AP38" s="416"/>
      <c r="AQ38" s="416"/>
      <c r="AR38" s="416"/>
      <c r="AS38" s="416"/>
      <c r="AT38" s="416"/>
      <c r="AU38" s="416"/>
      <c r="AV38" s="416"/>
      <c r="AW38" s="416"/>
      <c r="AX38" s="416"/>
      <c r="AY38" s="416"/>
      <c r="AZ38" s="32"/>
    </row>
    <row r="39" spans="2:52">
      <c r="B39" s="1256" t="s">
        <v>668</v>
      </c>
      <c r="C39" s="1257"/>
      <c r="D39" s="411" t="s">
        <v>920</v>
      </c>
      <c r="E39" s="411"/>
      <c r="F39" s="411" t="s">
        <v>213</v>
      </c>
      <c r="G39" s="411" t="s">
        <v>214</v>
      </c>
      <c r="H39" s="412">
        <v>7500</v>
      </c>
      <c r="I39" s="413" t="s">
        <v>78</v>
      </c>
      <c r="J39" s="414">
        <v>45015.670138888891</v>
      </c>
      <c r="K39" s="414"/>
      <c r="L39" s="414" t="s">
        <v>192</v>
      </c>
      <c r="M39" s="414" t="s">
        <v>192</v>
      </c>
      <c r="N39" s="413" t="str">
        <f t="shared" ref="N39:N65" si="2">IF(ISBLANK(J39)," ",IF(J39&lt;$F$32,"On time",(IF(DAY(J39-$F$32)&lt;1,"On time",(IF(J39&gt;$F$32,"DELAY ( "&amp;DAY(J39-$F$32)&amp;" day "&amp;HOUR(J39-$F$32)&amp;" hour "&amp;MINUTE(J39-$F$32)&amp;" minute )","xxx"))))))</f>
        <v>DELAY ( 5 day 0 hour 23 minute )</v>
      </c>
      <c r="O39" s="51"/>
      <c r="P39" s="415" t="s">
        <v>551</v>
      </c>
      <c r="Q39" s="415" t="s">
        <v>551</v>
      </c>
      <c r="R39" s="415" t="s">
        <v>551</v>
      </c>
      <c r="S39" s="32"/>
      <c r="T39" s="416"/>
      <c r="U39" s="416"/>
      <c r="V39" s="416"/>
      <c r="W39" s="416"/>
      <c r="X39" s="416"/>
      <c r="Y39" s="416"/>
      <c r="Z39" s="416"/>
      <c r="AA39" s="416"/>
      <c r="AB39" s="416"/>
      <c r="AC39" s="416"/>
      <c r="AD39" s="416"/>
      <c r="AE39" s="416"/>
      <c r="AF39" s="416"/>
      <c r="AG39" s="416"/>
      <c r="AH39" s="416"/>
      <c r="AI39" s="416"/>
      <c r="AJ39" s="416">
        <f>H39</f>
        <v>7500</v>
      </c>
      <c r="AK39" s="416"/>
      <c r="AL39" s="416"/>
      <c r="AM39" s="416"/>
      <c r="AN39" s="416"/>
      <c r="AO39" s="416"/>
      <c r="AP39" s="416"/>
      <c r="AQ39" s="416"/>
      <c r="AR39" s="416"/>
      <c r="AS39" s="416"/>
      <c r="AT39" s="416"/>
      <c r="AU39" s="416"/>
      <c r="AV39" s="416"/>
      <c r="AW39" s="416"/>
      <c r="AX39" s="416"/>
      <c r="AY39" s="416"/>
      <c r="AZ39" s="32"/>
    </row>
    <row r="40" spans="2:52">
      <c r="B40" s="1256" t="s">
        <v>616</v>
      </c>
      <c r="C40" s="1257"/>
      <c r="D40" s="411" t="s">
        <v>1019</v>
      </c>
      <c r="E40" s="411"/>
      <c r="F40" s="411" t="s">
        <v>473</v>
      </c>
      <c r="G40" s="411" t="s">
        <v>474</v>
      </c>
      <c r="H40" s="412">
        <v>7507.5469999999996</v>
      </c>
      <c r="I40" s="413" t="s">
        <v>240</v>
      </c>
      <c r="J40" s="414">
        <v>45016.520833333336</v>
      </c>
      <c r="K40" s="414"/>
      <c r="L40" s="414" t="s">
        <v>192</v>
      </c>
      <c r="M40" s="414" t="s">
        <v>192</v>
      </c>
      <c r="N40" s="413" t="str">
        <f t="shared" si="2"/>
        <v>DELAY ( 5 day 20 hour 48 minute )</v>
      </c>
      <c r="O40" s="51"/>
      <c r="P40" s="415" t="s">
        <v>551</v>
      </c>
      <c r="Q40" s="415" t="s">
        <v>551</v>
      </c>
      <c r="R40" s="415" t="s">
        <v>551</v>
      </c>
      <c r="S40" s="32"/>
      <c r="T40" s="416"/>
      <c r="U40" s="416"/>
      <c r="V40" s="416"/>
      <c r="W40" s="416"/>
      <c r="X40" s="416"/>
      <c r="Y40" s="416"/>
      <c r="Z40" s="416"/>
      <c r="AA40" s="416"/>
      <c r="AB40" s="416"/>
      <c r="AC40" s="416">
        <f>H40</f>
        <v>7507.5469999999996</v>
      </c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/>
      <c r="AR40" s="416"/>
      <c r="AS40" s="416"/>
      <c r="AT40" s="416"/>
      <c r="AU40" s="416"/>
      <c r="AV40" s="416"/>
      <c r="AW40" s="416"/>
      <c r="AX40" s="416"/>
      <c r="AY40" s="416"/>
      <c r="AZ40" s="32"/>
    </row>
    <row r="41" spans="2:52">
      <c r="B41" s="1258" t="s">
        <v>618</v>
      </c>
      <c r="C41" s="1259"/>
      <c r="D41" s="1259"/>
      <c r="E41" s="1259"/>
      <c r="F41" s="1259"/>
      <c r="G41" s="1260"/>
      <c r="H41" s="417">
        <f>SUM(H38:H40)</f>
        <v>22503.175999999999</v>
      </c>
      <c r="I41" s="388"/>
      <c r="J41" s="293"/>
      <c r="K41" s="293"/>
      <c r="L41" s="293"/>
      <c r="M41" s="389"/>
      <c r="N41" s="413" t="str">
        <f t="shared" si="2"/>
        <v xml:space="preserve"> </v>
      </c>
      <c r="O41" s="47"/>
      <c r="P41" s="418"/>
      <c r="Q41" s="418"/>
      <c r="R41" s="418"/>
      <c r="S41" s="32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416"/>
      <c r="AG41" s="416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416"/>
      <c r="AU41" s="416"/>
      <c r="AV41" s="416"/>
      <c r="AW41" s="416"/>
      <c r="AX41" s="416"/>
      <c r="AY41" s="416"/>
    </row>
    <row r="42" spans="2:52">
      <c r="B42" s="1250" t="s">
        <v>619</v>
      </c>
      <c r="C42" s="1251"/>
      <c r="D42" s="411" t="s">
        <v>1020</v>
      </c>
      <c r="E42" s="411"/>
      <c r="F42" s="411" t="s">
        <v>292</v>
      </c>
      <c r="G42" s="411" t="s">
        <v>293</v>
      </c>
      <c r="H42" s="412">
        <v>7591.1970000000001</v>
      </c>
      <c r="I42" s="413" t="s">
        <v>240</v>
      </c>
      <c r="J42" s="414">
        <v>45016.541666666664</v>
      </c>
      <c r="K42" s="414"/>
      <c r="L42" s="414" t="s">
        <v>192</v>
      </c>
      <c r="M42" s="414" t="s">
        <v>192</v>
      </c>
      <c r="N42" s="413" t="str">
        <f t="shared" si="2"/>
        <v>DELAY ( 5 day 21 hour 18 minute )</v>
      </c>
      <c r="O42" s="51"/>
      <c r="P42" s="415" t="s">
        <v>551</v>
      </c>
      <c r="Q42" s="415" t="s">
        <v>551</v>
      </c>
      <c r="R42" s="415" t="s">
        <v>551</v>
      </c>
      <c r="S42" s="32"/>
      <c r="T42" s="416"/>
      <c r="U42" s="416"/>
      <c r="V42" s="416"/>
      <c r="W42" s="416"/>
      <c r="X42" s="416"/>
      <c r="Y42" s="416"/>
      <c r="Z42" s="416"/>
      <c r="AA42" s="416"/>
      <c r="AB42" s="416"/>
      <c r="AC42" s="416">
        <f>H42</f>
        <v>7591.1970000000001</v>
      </c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6"/>
      <c r="AZ42" s="32"/>
    </row>
    <row r="43" spans="2:52">
      <c r="B43" s="1252"/>
      <c r="C43" s="1253"/>
      <c r="D43" s="411"/>
      <c r="E43" s="411"/>
      <c r="F43" s="1256" t="s">
        <v>616</v>
      </c>
      <c r="G43" s="1257"/>
      <c r="H43" s="412">
        <v>2143</v>
      </c>
      <c r="I43" s="413"/>
      <c r="J43" s="414"/>
      <c r="K43" s="414"/>
      <c r="L43" s="414"/>
      <c r="M43" s="414"/>
      <c r="N43" s="413" t="str">
        <f t="shared" si="2"/>
        <v xml:space="preserve"> </v>
      </c>
      <c r="O43" s="51"/>
      <c r="P43" s="415"/>
      <c r="Q43" s="415"/>
      <c r="R43" s="415"/>
      <c r="S43" s="32"/>
      <c r="T43" s="416"/>
      <c r="U43" s="416"/>
      <c r="V43" s="416"/>
      <c r="W43" s="416"/>
      <c r="X43" s="416"/>
      <c r="Y43" s="416"/>
      <c r="Z43" s="416"/>
      <c r="AA43" s="416"/>
      <c r="AB43" s="416"/>
      <c r="AC43" s="416"/>
      <c r="AD43" s="416"/>
      <c r="AE43" s="416"/>
      <c r="AF43" s="416"/>
      <c r="AG43" s="416"/>
      <c r="AH43" s="416"/>
      <c r="AI43" s="416"/>
      <c r="AJ43" s="416"/>
      <c r="AK43" s="416"/>
      <c r="AL43" s="416"/>
      <c r="AM43" s="416"/>
      <c r="AN43" s="416"/>
      <c r="AO43" s="416"/>
      <c r="AP43" s="416"/>
      <c r="AQ43" s="416"/>
      <c r="AR43" s="416"/>
      <c r="AS43" s="416"/>
      <c r="AT43" s="416"/>
      <c r="AU43" s="416"/>
      <c r="AV43" s="416"/>
      <c r="AW43" s="416"/>
      <c r="AX43" s="416"/>
      <c r="AY43" s="416"/>
      <c r="AZ43" s="32"/>
    </row>
    <row r="44" spans="2:52">
      <c r="B44" s="1254"/>
      <c r="C44" s="1255"/>
      <c r="D44" s="411"/>
      <c r="E44" s="411"/>
      <c r="F44" s="1256" t="s">
        <v>668</v>
      </c>
      <c r="G44" s="1257"/>
      <c r="H44" s="412">
        <v>1250</v>
      </c>
      <c r="I44" s="413"/>
      <c r="J44" s="414"/>
      <c r="K44" s="414"/>
      <c r="L44" s="414"/>
      <c r="M44" s="414"/>
      <c r="N44" s="413" t="str">
        <f t="shared" si="2"/>
        <v xml:space="preserve"> </v>
      </c>
      <c r="O44" s="51"/>
      <c r="P44" s="415"/>
      <c r="Q44" s="415"/>
      <c r="R44" s="415"/>
      <c r="S44" s="32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416"/>
      <c r="AG44" s="416"/>
      <c r="AH44" s="416"/>
      <c r="AI44" s="416"/>
      <c r="AJ44" s="416"/>
      <c r="AK44" s="416"/>
      <c r="AL44" s="416"/>
      <c r="AM44" s="416"/>
      <c r="AN44" s="416"/>
      <c r="AO44" s="416"/>
      <c r="AP44" s="416"/>
      <c r="AQ44" s="416"/>
      <c r="AR44" s="416"/>
      <c r="AS44" s="416"/>
      <c r="AT44" s="416"/>
      <c r="AU44" s="416"/>
      <c r="AV44" s="416"/>
      <c r="AW44" s="416"/>
      <c r="AX44" s="416"/>
      <c r="AY44" s="416"/>
      <c r="AZ44" s="32"/>
    </row>
    <row r="45" spans="2:52">
      <c r="B45" s="1250" t="s">
        <v>621</v>
      </c>
      <c r="C45" s="1251"/>
      <c r="D45" s="411" t="s">
        <v>1021</v>
      </c>
      <c r="E45" s="411"/>
      <c r="F45" s="411" t="s">
        <v>334</v>
      </c>
      <c r="G45" s="411" t="s">
        <v>335</v>
      </c>
      <c r="H45" s="412">
        <v>7591.3909999999996</v>
      </c>
      <c r="I45" s="413" t="s">
        <v>240</v>
      </c>
      <c r="J45" s="414">
        <v>45017.520833333336</v>
      </c>
      <c r="K45" s="414"/>
      <c r="L45" s="414" t="s">
        <v>192</v>
      </c>
      <c r="M45" s="414" t="s">
        <v>192</v>
      </c>
      <c r="N45" s="413" t="str">
        <f t="shared" si="2"/>
        <v>DELAY ( 6 day 20 hour 48 minute )</v>
      </c>
      <c r="O45" s="51"/>
      <c r="P45" s="415" t="s">
        <v>551</v>
      </c>
      <c r="Q45" s="415" t="s">
        <v>551</v>
      </c>
      <c r="R45" s="415" t="s">
        <v>551</v>
      </c>
      <c r="S45" s="32"/>
      <c r="T45" s="416"/>
      <c r="U45" s="416"/>
      <c r="V45" s="416"/>
      <c r="W45" s="416"/>
      <c r="X45" s="416"/>
      <c r="Y45" s="416"/>
      <c r="Z45" s="416"/>
      <c r="AA45" s="416"/>
      <c r="AB45" s="416"/>
      <c r="AC45" s="416">
        <f>H45</f>
        <v>7591.3909999999996</v>
      </c>
      <c r="AD45" s="416"/>
      <c r="AE45" s="416"/>
      <c r="AF45" s="416"/>
      <c r="AG45" s="416"/>
      <c r="AH45" s="416"/>
      <c r="AI45" s="416"/>
      <c r="AJ45" s="416"/>
      <c r="AK45" s="416"/>
      <c r="AL45" s="416"/>
      <c r="AM45" s="416"/>
      <c r="AN45" s="416"/>
      <c r="AO45" s="416"/>
      <c r="AP45" s="416"/>
      <c r="AQ45" s="416"/>
      <c r="AR45" s="416"/>
      <c r="AS45" s="416"/>
      <c r="AT45" s="416"/>
      <c r="AU45" s="416"/>
      <c r="AV45" s="416"/>
      <c r="AW45" s="416"/>
      <c r="AX45" s="416"/>
      <c r="AY45" s="416"/>
      <c r="AZ45" s="32"/>
    </row>
    <row r="46" spans="2:52">
      <c r="B46" s="1252"/>
      <c r="C46" s="1253"/>
      <c r="D46" s="411"/>
      <c r="E46" s="411"/>
      <c r="F46" s="1256" t="s">
        <v>616</v>
      </c>
      <c r="G46" s="1257"/>
      <c r="H46" s="412">
        <v>2143</v>
      </c>
      <c r="I46" s="413"/>
      <c r="J46" s="414"/>
      <c r="K46" s="414"/>
      <c r="L46" s="414"/>
      <c r="M46" s="414"/>
      <c r="N46" s="413" t="str">
        <f t="shared" si="2"/>
        <v xml:space="preserve"> </v>
      </c>
      <c r="O46" s="51"/>
      <c r="P46" s="415"/>
      <c r="Q46" s="415"/>
      <c r="R46" s="415"/>
      <c r="S46" s="32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416"/>
      <c r="AG46" s="416"/>
      <c r="AH46" s="416"/>
      <c r="AI46" s="416"/>
      <c r="AJ46" s="416"/>
      <c r="AK46" s="416"/>
      <c r="AL46" s="416"/>
      <c r="AM46" s="416"/>
      <c r="AN46" s="416"/>
      <c r="AO46" s="416"/>
      <c r="AP46" s="416"/>
      <c r="AQ46" s="416"/>
      <c r="AR46" s="416"/>
      <c r="AS46" s="416"/>
      <c r="AT46" s="416"/>
      <c r="AU46" s="416"/>
      <c r="AV46" s="416"/>
      <c r="AW46" s="416"/>
      <c r="AX46" s="416"/>
      <c r="AY46" s="416"/>
      <c r="AZ46" s="32"/>
    </row>
    <row r="47" spans="2:52">
      <c r="B47" s="1254"/>
      <c r="C47" s="1255"/>
      <c r="D47" s="411"/>
      <c r="E47" s="411"/>
      <c r="F47" s="1256" t="s">
        <v>668</v>
      </c>
      <c r="G47" s="1257"/>
      <c r="H47" s="412">
        <v>1250</v>
      </c>
      <c r="I47" s="413"/>
      <c r="J47" s="414"/>
      <c r="K47" s="414"/>
      <c r="L47" s="414"/>
      <c r="M47" s="414"/>
      <c r="N47" s="413" t="str">
        <f t="shared" si="2"/>
        <v xml:space="preserve"> </v>
      </c>
      <c r="O47" s="51"/>
      <c r="P47" s="415"/>
      <c r="Q47" s="415"/>
      <c r="R47" s="415"/>
      <c r="S47" s="32"/>
      <c r="T47" s="416"/>
      <c r="U47" s="416"/>
      <c r="V47" s="416"/>
      <c r="W47" s="416"/>
      <c r="X47" s="416"/>
      <c r="Y47" s="416"/>
      <c r="Z47" s="416"/>
      <c r="AA47" s="416"/>
      <c r="AB47" s="416"/>
      <c r="AC47" s="416"/>
      <c r="AD47" s="416"/>
      <c r="AE47" s="416"/>
      <c r="AF47" s="416"/>
      <c r="AG47" s="416"/>
      <c r="AH47" s="416"/>
      <c r="AI47" s="416"/>
      <c r="AJ47" s="416"/>
      <c r="AK47" s="416"/>
      <c r="AL47" s="416"/>
      <c r="AM47" s="416"/>
      <c r="AN47" s="416"/>
      <c r="AO47" s="416"/>
      <c r="AP47" s="416"/>
      <c r="AQ47" s="416"/>
      <c r="AR47" s="416"/>
      <c r="AS47" s="416"/>
      <c r="AT47" s="416"/>
      <c r="AU47" s="416"/>
      <c r="AV47" s="416"/>
      <c r="AW47" s="416"/>
      <c r="AX47" s="416"/>
      <c r="AY47" s="416"/>
      <c r="AZ47" s="32"/>
    </row>
    <row r="48" spans="2:52">
      <c r="B48" s="1250" t="s">
        <v>622</v>
      </c>
      <c r="C48" s="1251"/>
      <c r="D48" s="411" t="s">
        <v>1025</v>
      </c>
      <c r="E48" s="411"/>
      <c r="F48" s="411" t="s">
        <v>238</v>
      </c>
      <c r="G48" s="411" t="s">
        <v>239</v>
      </c>
      <c r="H48" s="412">
        <v>7619.2629999999999</v>
      </c>
      <c r="I48" s="413" t="s">
        <v>240</v>
      </c>
      <c r="J48" s="414">
        <v>45017.583333333336</v>
      </c>
      <c r="K48" s="414"/>
      <c r="L48" s="414" t="s">
        <v>192</v>
      </c>
      <c r="M48" s="414" t="s">
        <v>192</v>
      </c>
      <c r="N48" s="413" t="str">
        <f t="shared" si="2"/>
        <v>DELAY ( 6 day 22 hour 18 minute )</v>
      </c>
      <c r="O48" s="51"/>
      <c r="P48" s="415" t="s">
        <v>551</v>
      </c>
      <c r="Q48" s="415" t="s">
        <v>551</v>
      </c>
      <c r="R48" s="415" t="s">
        <v>551</v>
      </c>
      <c r="S48" s="32"/>
      <c r="T48" s="416"/>
      <c r="U48" s="416"/>
      <c r="V48" s="416"/>
      <c r="W48" s="416"/>
      <c r="X48" s="416"/>
      <c r="Y48" s="416"/>
      <c r="Z48" s="416"/>
      <c r="AA48" s="416"/>
      <c r="AB48" s="416"/>
      <c r="AC48" s="416">
        <f>H48</f>
        <v>7619.2629999999999</v>
      </c>
      <c r="AD48" s="416"/>
      <c r="AE48" s="416"/>
      <c r="AF48" s="416"/>
      <c r="AG48" s="416"/>
      <c r="AH48" s="416"/>
      <c r="AI48" s="416"/>
      <c r="AJ48" s="416"/>
      <c r="AK48" s="416"/>
      <c r="AL48" s="416"/>
      <c r="AM48" s="416"/>
      <c r="AN48" s="416"/>
      <c r="AO48" s="416"/>
      <c r="AP48" s="416"/>
      <c r="AQ48" s="416"/>
      <c r="AR48" s="416"/>
      <c r="AS48" s="416"/>
      <c r="AT48" s="416"/>
      <c r="AU48" s="416"/>
      <c r="AV48" s="416"/>
      <c r="AW48" s="416"/>
      <c r="AX48" s="416"/>
      <c r="AY48" s="416"/>
      <c r="AZ48" s="32"/>
    </row>
    <row r="49" spans="2:52">
      <c r="B49" s="1252"/>
      <c r="C49" s="1253"/>
      <c r="D49" s="411"/>
      <c r="E49" s="411"/>
      <c r="F49" s="1256" t="s">
        <v>616</v>
      </c>
      <c r="G49" s="1257"/>
      <c r="H49" s="412">
        <v>2143</v>
      </c>
      <c r="I49" s="413"/>
      <c r="J49" s="414"/>
      <c r="K49" s="414"/>
      <c r="L49" s="414"/>
      <c r="M49" s="414"/>
      <c r="N49" s="413" t="str">
        <f t="shared" si="2"/>
        <v xml:space="preserve"> </v>
      </c>
      <c r="O49" s="51"/>
      <c r="P49" s="415"/>
      <c r="Q49" s="415"/>
      <c r="R49" s="415"/>
      <c r="S49" s="32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416"/>
      <c r="AG49" s="416"/>
      <c r="AH49" s="416"/>
      <c r="AI49" s="416"/>
      <c r="AJ49" s="416"/>
      <c r="AK49" s="416"/>
      <c r="AL49" s="416"/>
      <c r="AM49" s="416"/>
      <c r="AN49" s="416"/>
      <c r="AO49" s="416"/>
      <c r="AP49" s="416"/>
      <c r="AQ49" s="416"/>
      <c r="AR49" s="416"/>
      <c r="AS49" s="416"/>
      <c r="AT49" s="416"/>
      <c r="AU49" s="416"/>
      <c r="AV49" s="416"/>
      <c r="AW49" s="416"/>
      <c r="AX49" s="416"/>
      <c r="AY49" s="416"/>
      <c r="AZ49" s="32"/>
    </row>
    <row r="50" spans="2:52">
      <c r="B50" s="1254"/>
      <c r="C50" s="1255"/>
      <c r="D50" s="411"/>
      <c r="E50" s="411"/>
      <c r="F50" s="1256" t="s">
        <v>668</v>
      </c>
      <c r="G50" s="1257"/>
      <c r="H50" s="412">
        <v>1250</v>
      </c>
      <c r="I50" s="413"/>
      <c r="J50" s="414"/>
      <c r="K50" s="414"/>
      <c r="L50" s="414"/>
      <c r="M50" s="414"/>
      <c r="N50" s="413" t="str">
        <f t="shared" si="2"/>
        <v xml:space="preserve"> </v>
      </c>
      <c r="O50" s="51"/>
      <c r="P50" s="415"/>
      <c r="Q50" s="415"/>
      <c r="R50" s="415"/>
      <c r="S50" s="32"/>
      <c r="T50" s="416"/>
      <c r="U50" s="416"/>
      <c r="V50" s="416"/>
      <c r="W50" s="416"/>
      <c r="X50" s="416"/>
      <c r="Y50" s="416"/>
      <c r="Z50" s="416"/>
      <c r="AA50" s="416"/>
      <c r="AB50" s="416"/>
      <c r="AC50" s="416"/>
      <c r="AD50" s="416"/>
      <c r="AE50" s="416"/>
      <c r="AF50" s="416"/>
      <c r="AG50" s="416"/>
      <c r="AH50" s="416"/>
      <c r="AI50" s="416"/>
      <c r="AJ50" s="416"/>
      <c r="AK50" s="416"/>
      <c r="AL50" s="416"/>
      <c r="AM50" s="416"/>
      <c r="AN50" s="416"/>
      <c r="AO50" s="416"/>
      <c r="AP50" s="416"/>
      <c r="AQ50" s="416"/>
      <c r="AR50" s="416"/>
      <c r="AS50" s="416"/>
      <c r="AT50" s="416"/>
      <c r="AU50" s="416"/>
      <c r="AV50" s="416"/>
      <c r="AW50" s="416"/>
      <c r="AX50" s="416"/>
      <c r="AY50" s="416"/>
      <c r="AZ50" s="32"/>
    </row>
    <row r="51" spans="2:52">
      <c r="B51" s="1250" t="s">
        <v>623</v>
      </c>
      <c r="C51" s="1251"/>
      <c r="D51" s="411" t="s">
        <v>1018</v>
      </c>
      <c r="E51" s="411"/>
      <c r="F51" s="411" t="s">
        <v>298</v>
      </c>
      <c r="G51" s="411" t="s">
        <v>299</v>
      </c>
      <c r="H51" s="412">
        <v>10339.392</v>
      </c>
      <c r="I51" s="413" t="s">
        <v>240</v>
      </c>
      <c r="J51" s="414">
        <v>45018.333333333336</v>
      </c>
      <c r="K51" s="414"/>
      <c r="L51" s="414" t="s">
        <v>192</v>
      </c>
      <c r="M51" s="414" t="s">
        <v>192</v>
      </c>
      <c r="N51" s="413" t="str">
        <f t="shared" si="2"/>
        <v>DELAY ( 7 day 16 hour 18 minute )</v>
      </c>
      <c r="O51" s="51"/>
      <c r="P51" s="415" t="s">
        <v>551</v>
      </c>
      <c r="Q51" s="415" t="s">
        <v>551</v>
      </c>
      <c r="R51" s="415" t="s">
        <v>551</v>
      </c>
      <c r="S51" s="32"/>
      <c r="T51" s="416"/>
      <c r="U51" s="416"/>
      <c r="V51" s="416"/>
      <c r="W51" s="416"/>
      <c r="X51" s="416"/>
      <c r="Y51" s="416"/>
      <c r="Z51" s="416"/>
      <c r="AA51" s="416"/>
      <c r="AB51" s="416"/>
      <c r="AC51" s="416">
        <f>H51</f>
        <v>10339.392</v>
      </c>
      <c r="AD51" s="416"/>
      <c r="AE51" s="416"/>
      <c r="AF51" s="416"/>
      <c r="AG51" s="416"/>
      <c r="AH51" s="416"/>
      <c r="AI51" s="416"/>
      <c r="AJ51" s="416"/>
      <c r="AK51" s="416"/>
      <c r="AL51" s="416"/>
      <c r="AM51" s="416"/>
      <c r="AN51" s="416"/>
      <c r="AO51" s="416"/>
      <c r="AP51" s="416"/>
      <c r="AQ51" s="416"/>
      <c r="AR51" s="416"/>
      <c r="AS51" s="416"/>
      <c r="AT51" s="416"/>
      <c r="AU51" s="416"/>
      <c r="AV51" s="416"/>
      <c r="AW51" s="416"/>
      <c r="AX51" s="416"/>
      <c r="AY51" s="416"/>
      <c r="AZ51" s="32"/>
    </row>
    <row r="52" spans="2:52">
      <c r="B52" s="1252"/>
      <c r="C52" s="1253"/>
      <c r="D52" s="411"/>
      <c r="E52" s="411"/>
      <c r="F52" s="1256" t="s">
        <v>616</v>
      </c>
      <c r="G52" s="1257"/>
      <c r="H52" s="412">
        <v>2143</v>
      </c>
      <c r="I52" s="413"/>
      <c r="J52" s="414"/>
      <c r="K52" s="414"/>
      <c r="L52" s="414"/>
      <c r="M52" s="414"/>
      <c r="N52" s="413" t="str">
        <f t="shared" si="2"/>
        <v xml:space="preserve"> </v>
      </c>
      <c r="O52" s="51"/>
      <c r="P52" s="415"/>
      <c r="Q52" s="415"/>
      <c r="R52" s="415"/>
      <c r="S52" s="32"/>
      <c r="T52" s="416"/>
      <c r="U52" s="416"/>
      <c r="V52" s="416"/>
      <c r="W52" s="416"/>
      <c r="X52" s="416"/>
      <c r="Y52" s="416"/>
      <c r="Z52" s="416"/>
      <c r="AA52" s="416"/>
      <c r="AB52" s="416"/>
      <c r="AC52" s="416"/>
      <c r="AD52" s="416"/>
      <c r="AE52" s="416"/>
      <c r="AF52" s="416"/>
      <c r="AG52" s="416"/>
      <c r="AH52" s="416"/>
      <c r="AI52" s="416"/>
      <c r="AJ52" s="416"/>
      <c r="AK52" s="416"/>
      <c r="AL52" s="416"/>
      <c r="AM52" s="416"/>
      <c r="AN52" s="416"/>
      <c r="AO52" s="416"/>
      <c r="AP52" s="416"/>
      <c r="AQ52" s="416"/>
      <c r="AR52" s="416"/>
      <c r="AS52" s="416"/>
      <c r="AT52" s="416"/>
      <c r="AU52" s="416"/>
      <c r="AV52" s="416"/>
      <c r="AW52" s="416"/>
      <c r="AX52" s="416"/>
      <c r="AY52" s="416"/>
      <c r="AZ52" s="32"/>
    </row>
    <row r="53" spans="2:52">
      <c r="B53" s="1254"/>
      <c r="C53" s="1255"/>
      <c r="D53" s="411"/>
      <c r="E53" s="411"/>
      <c r="F53" s="1256" t="s">
        <v>668</v>
      </c>
      <c r="G53" s="1257"/>
      <c r="H53" s="412">
        <v>1250</v>
      </c>
      <c r="I53" s="413"/>
      <c r="J53" s="414"/>
      <c r="K53" s="414"/>
      <c r="L53" s="414"/>
      <c r="M53" s="414"/>
      <c r="N53" s="413" t="str">
        <f t="shared" si="2"/>
        <v xml:space="preserve"> </v>
      </c>
      <c r="O53" s="51"/>
      <c r="P53" s="415"/>
      <c r="Q53" s="415"/>
      <c r="R53" s="415"/>
      <c r="S53" s="32"/>
      <c r="T53" s="416"/>
      <c r="U53" s="416"/>
      <c r="V53" s="416"/>
      <c r="W53" s="416"/>
      <c r="X53" s="416"/>
      <c r="Y53" s="416"/>
      <c r="Z53" s="416"/>
      <c r="AA53" s="416"/>
      <c r="AB53" s="416"/>
      <c r="AC53" s="416"/>
      <c r="AD53" s="416"/>
      <c r="AE53" s="416"/>
      <c r="AF53" s="416"/>
      <c r="AG53" s="416"/>
      <c r="AH53" s="416"/>
      <c r="AI53" s="416"/>
      <c r="AJ53" s="416"/>
      <c r="AK53" s="416"/>
      <c r="AL53" s="416"/>
      <c r="AM53" s="416"/>
      <c r="AN53" s="416"/>
      <c r="AO53" s="416"/>
      <c r="AP53" s="416"/>
      <c r="AQ53" s="416"/>
      <c r="AR53" s="416"/>
      <c r="AS53" s="416"/>
      <c r="AT53" s="416"/>
      <c r="AU53" s="416"/>
      <c r="AV53" s="416"/>
      <c r="AW53" s="416"/>
      <c r="AX53" s="416"/>
      <c r="AY53" s="416"/>
      <c r="AZ53" s="32"/>
    </row>
    <row r="54" spans="2:52">
      <c r="B54" s="1250" t="s">
        <v>624</v>
      </c>
      <c r="C54" s="1251"/>
      <c r="D54" s="411" t="s">
        <v>1029</v>
      </c>
      <c r="E54" s="411"/>
      <c r="F54" s="411" t="s">
        <v>218</v>
      </c>
      <c r="G54" s="411" t="s">
        <v>219</v>
      </c>
      <c r="H54" s="412">
        <v>7549.3149999999996</v>
      </c>
      <c r="I54" s="413" t="s">
        <v>240</v>
      </c>
      <c r="J54" s="414">
        <v>45019.826388888891</v>
      </c>
      <c r="K54" s="414"/>
      <c r="L54" s="414" t="s">
        <v>192</v>
      </c>
      <c r="M54" s="414" t="s">
        <v>192</v>
      </c>
      <c r="N54" s="413" t="str">
        <f t="shared" si="2"/>
        <v>DELAY ( 9 day 4 hour 8 minute )</v>
      </c>
      <c r="O54" s="51"/>
      <c r="P54" s="415" t="s">
        <v>551</v>
      </c>
      <c r="Q54" s="415" t="s">
        <v>551</v>
      </c>
      <c r="R54" s="415" t="s">
        <v>551</v>
      </c>
      <c r="S54" s="32"/>
      <c r="T54" s="416"/>
      <c r="U54" s="416"/>
      <c r="V54" s="416"/>
      <c r="W54" s="416"/>
      <c r="X54" s="416"/>
      <c r="Y54" s="416"/>
      <c r="Z54" s="416"/>
      <c r="AA54" s="416"/>
      <c r="AB54" s="416"/>
      <c r="AC54" s="416">
        <f>H54</f>
        <v>7549.3149999999996</v>
      </c>
      <c r="AD54" s="416"/>
      <c r="AE54" s="416"/>
      <c r="AF54" s="416"/>
      <c r="AG54" s="416"/>
      <c r="AH54" s="416"/>
      <c r="AI54" s="416"/>
      <c r="AJ54" s="416"/>
      <c r="AK54" s="416"/>
      <c r="AL54" s="416"/>
      <c r="AM54" s="416"/>
      <c r="AN54" s="416"/>
      <c r="AO54" s="416"/>
      <c r="AP54" s="416"/>
      <c r="AQ54" s="416"/>
      <c r="AR54" s="416"/>
      <c r="AS54" s="416"/>
      <c r="AT54" s="416"/>
      <c r="AU54" s="416"/>
      <c r="AV54" s="416"/>
      <c r="AW54" s="416"/>
      <c r="AX54" s="416"/>
      <c r="AY54" s="416"/>
      <c r="AZ54" s="32"/>
    </row>
    <row r="55" spans="2:52">
      <c r="B55" s="1252"/>
      <c r="C55" s="1253"/>
      <c r="D55" s="411"/>
      <c r="E55" s="411"/>
      <c r="F55" s="1256" t="s">
        <v>616</v>
      </c>
      <c r="G55" s="1257"/>
      <c r="H55" s="412">
        <v>2143</v>
      </c>
      <c r="I55" s="413"/>
      <c r="J55" s="414"/>
      <c r="K55" s="414"/>
      <c r="L55" s="414"/>
      <c r="M55" s="414"/>
      <c r="N55" s="413" t="str">
        <f t="shared" si="2"/>
        <v xml:space="preserve"> </v>
      </c>
      <c r="O55" s="51"/>
      <c r="P55" s="415"/>
      <c r="Q55" s="415"/>
      <c r="R55" s="415"/>
      <c r="S55" s="32"/>
      <c r="T55" s="416"/>
      <c r="U55" s="416"/>
      <c r="V55" s="416"/>
      <c r="W55" s="416"/>
      <c r="X55" s="416"/>
      <c r="Y55" s="416"/>
      <c r="Z55" s="416"/>
      <c r="AA55" s="416"/>
      <c r="AB55" s="416"/>
      <c r="AC55" s="416"/>
      <c r="AD55" s="416"/>
      <c r="AE55" s="416"/>
      <c r="AF55" s="416"/>
      <c r="AG55" s="416"/>
      <c r="AH55" s="416"/>
      <c r="AI55" s="416"/>
      <c r="AJ55" s="416"/>
      <c r="AK55" s="416"/>
      <c r="AL55" s="416"/>
      <c r="AM55" s="416"/>
      <c r="AN55" s="416"/>
      <c r="AO55" s="416"/>
      <c r="AP55" s="416"/>
      <c r="AQ55" s="416"/>
      <c r="AR55" s="416"/>
      <c r="AS55" s="416"/>
      <c r="AT55" s="416"/>
      <c r="AU55" s="416"/>
      <c r="AV55" s="416"/>
      <c r="AW55" s="416"/>
      <c r="AX55" s="416"/>
      <c r="AY55" s="416"/>
      <c r="AZ55" s="32"/>
    </row>
    <row r="56" spans="2:52">
      <c r="B56" s="1254"/>
      <c r="C56" s="1255"/>
      <c r="D56" s="411"/>
      <c r="E56" s="411"/>
      <c r="F56" s="1256" t="s">
        <v>668</v>
      </c>
      <c r="G56" s="1257"/>
      <c r="H56" s="412">
        <v>1250</v>
      </c>
      <c r="I56" s="413"/>
      <c r="J56" s="414"/>
      <c r="K56" s="414"/>
      <c r="L56" s="414"/>
      <c r="M56" s="414"/>
      <c r="N56" s="413" t="str">
        <f t="shared" si="2"/>
        <v xml:space="preserve"> </v>
      </c>
      <c r="O56" s="51"/>
      <c r="P56" s="415"/>
      <c r="Q56" s="415"/>
      <c r="R56" s="415"/>
      <c r="S56" s="32"/>
      <c r="T56" s="416"/>
      <c r="U56" s="416"/>
      <c r="V56" s="416"/>
      <c r="W56" s="416"/>
      <c r="X56" s="416"/>
      <c r="Y56" s="416"/>
      <c r="Z56" s="416"/>
      <c r="AA56" s="416"/>
      <c r="AB56" s="416"/>
      <c r="AC56" s="416"/>
      <c r="AD56" s="416"/>
      <c r="AE56" s="416"/>
      <c r="AF56" s="416"/>
      <c r="AG56" s="416"/>
      <c r="AH56" s="416"/>
      <c r="AI56" s="416"/>
      <c r="AJ56" s="416"/>
      <c r="AK56" s="416"/>
      <c r="AL56" s="416"/>
      <c r="AM56" s="416"/>
      <c r="AN56" s="416"/>
      <c r="AO56" s="416"/>
      <c r="AP56" s="416"/>
      <c r="AQ56" s="416"/>
      <c r="AR56" s="416"/>
      <c r="AS56" s="416"/>
      <c r="AT56" s="416"/>
      <c r="AU56" s="416"/>
      <c r="AV56" s="416"/>
      <c r="AW56" s="416"/>
      <c r="AX56" s="416"/>
      <c r="AY56" s="416"/>
      <c r="AZ56" s="32"/>
    </row>
    <row r="57" spans="2:52">
      <c r="B57" s="1250" t="s">
        <v>625</v>
      </c>
      <c r="C57" s="1251"/>
      <c r="D57" s="411" t="s">
        <v>1013</v>
      </c>
      <c r="E57" s="411"/>
      <c r="F57" s="411" t="s">
        <v>284</v>
      </c>
      <c r="G57" s="411" t="s">
        <v>285</v>
      </c>
      <c r="H57" s="412">
        <v>2056</v>
      </c>
      <c r="I57" s="413" t="s">
        <v>235</v>
      </c>
      <c r="J57" s="414">
        <v>45018.597222222219</v>
      </c>
      <c r="K57" s="414"/>
      <c r="L57" s="414" t="s">
        <v>192</v>
      </c>
      <c r="M57" s="414" t="s">
        <v>192</v>
      </c>
      <c r="N57" s="413" t="str">
        <f t="shared" si="2"/>
        <v>DELAY ( 7 day 22 hour 38 minute )</v>
      </c>
      <c r="O57" s="51"/>
      <c r="P57" s="415" t="s">
        <v>551</v>
      </c>
      <c r="Q57" s="415" t="s">
        <v>551</v>
      </c>
      <c r="R57" s="415" t="s">
        <v>551</v>
      </c>
      <c r="S57" s="32"/>
      <c r="T57" s="416"/>
      <c r="U57" s="416"/>
      <c r="V57" s="416"/>
      <c r="W57" s="416"/>
      <c r="X57" s="416"/>
      <c r="Y57" s="416"/>
      <c r="Z57" s="416"/>
      <c r="AA57" s="416"/>
      <c r="AB57" s="416">
        <f>H57</f>
        <v>2056</v>
      </c>
      <c r="AC57" s="416"/>
      <c r="AD57" s="416"/>
      <c r="AE57" s="416"/>
      <c r="AF57" s="416"/>
      <c r="AG57" s="416"/>
      <c r="AH57" s="416"/>
      <c r="AI57" s="416"/>
      <c r="AJ57" s="416"/>
      <c r="AK57" s="416"/>
      <c r="AL57" s="416"/>
      <c r="AM57" s="416"/>
      <c r="AN57" s="416"/>
      <c r="AO57" s="416"/>
      <c r="AP57" s="416"/>
      <c r="AQ57" s="416"/>
      <c r="AR57" s="416"/>
      <c r="AS57" s="416"/>
      <c r="AT57" s="416"/>
      <c r="AU57" s="416"/>
      <c r="AV57" s="416"/>
      <c r="AW57" s="416"/>
      <c r="AX57" s="416"/>
      <c r="AY57" s="416"/>
      <c r="AZ57" s="32"/>
    </row>
    <row r="58" spans="2:52">
      <c r="B58" s="1254"/>
      <c r="C58" s="1255"/>
      <c r="D58" s="411"/>
      <c r="E58" s="411"/>
      <c r="F58" s="1256" t="s">
        <v>616</v>
      </c>
      <c r="G58" s="1257"/>
      <c r="H58" s="412">
        <v>2143</v>
      </c>
      <c r="I58" s="413"/>
      <c r="J58" s="414"/>
      <c r="K58" s="414"/>
      <c r="L58" s="414"/>
      <c r="M58" s="414"/>
      <c r="N58" s="413" t="str">
        <f t="shared" si="2"/>
        <v xml:space="preserve"> </v>
      </c>
      <c r="O58" s="51"/>
      <c r="P58" s="415"/>
      <c r="Q58" s="415"/>
      <c r="R58" s="415"/>
      <c r="S58" s="32"/>
      <c r="T58" s="416"/>
      <c r="U58" s="416"/>
      <c r="V58" s="416"/>
      <c r="W58" s="416"/>
      <c r="X58" s="416"/>
      <c r="Y58" s="416"/>
      <c r="Z58" s="416"/>
      <c r="AA58" s="416"/>
      <c r="AB58" s="416"/>
      <c r="AC58" s="416"/>
      <c r="AD58" s="416"/>
      <c r="AE58" s="416"/>
      <c r="AF58" s="416"/>
      <c r="AG58" s="416"/>
      <c r="AH58" s="416"/>
      <c r="AI58" s="416"/>
      <c r="AJ58" s="416"/>
      <c r="AK58" s="416"/>
      <c r="AL58" s="416"/>
      <c r="AM58" s="416"/>
      <c r="AN58" s="416"/>
      <c r="AO58" s="416"/>
      <c r="AP58" s="416"/>
      <c r="AQ58" s="416"/>
      <c r="AR58" s="416"/>
      <c r="AS58" s="416"/>
      <c r="AT58" s="416"/>
      <c r="AU58" s="416"/>
      <c r="AV58" s="416"/>
      <c r="AW58" s="416"/>
      <c r="AX58" s="416"/>
      <c r="AY58" s="416"/>
      <c r="AZ58" s="32"/>
    </row>
    <row r="59" spans="2:52">
      <c r="B59" s="1250" t="s">
        <v>669</v>
      </c>
      <c r="C59" s="1251"/>
      <c r="D59" s="411" t="s">
        <v>1022</v>
      </c>
      <c r="E59" s="411"/>
      <c r="F59" s="411" t="s">
        <v>695</v>
      </c>
      <c r="G59" s="411" t="s">
        <v>281</v>
      </c>
      <c r="H59" s="412">
        <v>7847.5820000000003</v>
      </c>
      <c r="I59" s="413" t="s">
        <v>240</v>
      </c>
      <c r="J59" s="414">
        <v>45020.097222222219</v>
      </c>
      <c r="K59" s="414"/>
      <c r="L59" s="414" t="s">
        <v>192</v>
      </c>
      <c r="M59" s="414" t="s">
        <v>192</v>
      </c>
      <c r="N59" s="413" t="str">
        <f t="shared" si="2"/>
        <v>DELAY ( 9 day 10 hour 38 minute )</v>
      </c>
      <c r="O59" s="51"/>
      <c r="P59" s="415" t="s">
        <v>551</v>
      </c>
      <c r="Q59" s="415" t="s">
        <v>551</v>
      </c>
      <c r="R59" s="415" t="s">
        <v>551</v>
      </c>
      <c r="S59" s="32"/>
      <c r="T59" s="416"/>
      <c r="U59" s="416"/>
      <c r="V59" s="416"/>
      <c r="W59" s="416"/>
      <c r="X59" s="416"/>
      <c r="Y59" s="416"/>
      <c r="Z59" s="416"/>
      <c r="AA59" s="416"/>
      <c r="AB59" s="416"/>
      <c r="AC59" s="416">
        <f>H59</f>
        <v>7847.5820000000003</v>
      </c>
      <c r="AD59" s="416"/>
      <c r="AE59" s="416"/>
      <c r="AF59" s="416"/>
      <c r="AG59" s="416"/>
      <c r="AH59" s="416"/>
      <c r="AI59" s="416"/>
      <c r="AJ59" s="416"/>
      <c r="AK59" s="416"/>
      <c r="AL59" s="416"/>
      <c r="AM59" s="416"/>
      <c r="AN59" s="416"/>
      <c r="AO59" s="416"/>
      <c r="AP59" s="416"/>
      <c r="AQ59" s="416"/>
      <c r="AR59" s="416"/>
      <c r="AS59" s="416"/>
      <c r="AT59" s="416"/>
      <c r="AU59" s="416"/>
      <c r="AV59" s="416"/>
      <c r="AW59" s="416"/>
      <c r="AX59" s="416"/>
      <c r="AY59" s="416"/>
      <c r="AZ59" s="32"/>
    </row>
    <row r="60" spans="2:52">
      <c r="B60" s="1252"/>
      <c r="C60" s="1253"/>
      <c r="D60" s="411"/>
      <c r="E60" s="411"/>
      <c r="F60" s="1256" t="s">
        <v>616</v>
      </c>
      <c r="G60" s="1257"/>
      <c r="H60" s="412">
        <v>2145.1759999999999</v>
      </c>
      <c r="I60" s="413"/>
      <c r="J60" s="414"/>
      <c r="K60" s="414"/>
      <c r="L60" s="414"/>
      <c r="M60" s="414"/>
      <c r="N60" s="413" t="str">
        <f t="shared" si="2"/>
        <v xml:space="preserve"> </v>
      </c>
      <c r="O60" s="51"/>
      <c r="P60" s="415"/>
      <c r="Q60" s="415"/>
      <c r="R60" s="415"/>
      <c r="S60" s="32"/>
      <c r="T60" s="416"/>
      <c r="U60" s="416"/>
      <c r="V60" s="416"/>
      <c r="W60" s="416"/>
      <c r="X60" s="416"/>
      <c r="Y60" s="416"/>
      <c r="Z60" s="416"/>
      <c r="AA60" s="416"/>
      <c r="AB60" s="416"/>
      <c r="AC60" s="416"/>
      <c r="AD60" s="416"/>
      <c r="AE60" s="416"/>
      <c r="AF60" s="416"/>
      <c r="AG60" s="416"/>
      <c r="AH60" s="416"/>
      <c r="AI60" s="416"/>
      <c r="AJ60" s="416"/>
      <c r="AK60" s="416"/>
      <c r="AL60" s="416"/>
      <c r="AM60" s="416"/>
      <c r="AN60" s="416"/>
      <c r="AO60" s="416"/>
      <c r="AP60" s="416"/>
      <c r="AQ60" s="416"/>
      <c r="AR60" s="416"/>
      <c r="AS60" s="416"/>
      <c r="AT60" s="416"/>
      <c r="AU60" s="416"/>
      <c r="AV60" s="416"/>
      <c r="AW60" s="416"/>
      <c r="AX60" s="416"/>
      <c r="AY60" s="416"/>
      <c r="AZ60" s="32"/>
    </row>
    <row r="61" spans="2:52">
      <c r="B61" s="1254"/>
      <c r="C61" s="1255"/>
      <c r="D61" s="411"/>
      <c r="E61" s="411"/>
      <c r="F61" s="1256" t="s">
        <v>668</v>
      </c>
      <c r="G61" s="1257"/>
      <c r="H61" s="412">
        <v>1250</v>
      </c>
      <c r="I61" s="413"/>
      <c r="J61" s="414"/>
      <c r="K61" s="414"/>
      <c r="L61" s="414"/>
      <c r="M61" s="414"/>
      <c r="N61" s="413" t="str">
        <f t="shared" si="2"/>
        <v xml:space="preserve"> </v>
      </c>
      <c r="O61" s="51"/>
      <c r="P61" s="415"/>
      <c r="Q61" s="415"/>
      <c r="R61" s="415"/>
      <c r="S61" s="32"/>
      <c r="T61" s="416"/>
      <c r="U61" s="416"/>
      <c r="V61" s="416"/>
      <c r="W61" s="416"/>
      <c r="X61" s="416"/>
      <c r="Y61" s="416"/>
      <c r="Z61" s="416"/>
      <c r="AA61" s="416"/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  <c r="AL61" s="416"/>
      <c r="AM61" s="416"/>
      <c r="AN61" s="416"/>
      <c r="AO61" s="416"/>
      <c r="AP61" s="416"/>
      <c r="AQ61" s="416"/>
      <c r="AR61" s="416"/>
      <c r="AS61" s="416"/>
      <c r="AT61" s="416"/>
      <c r="AU61" s="416"/>
      <c r="AV61" s="416"/>
      <c r="AW61" s="416"/>
      <c r="AX61" s="416"/>
      <c r="AY61" s="416"/>
      <c r="AZ61" s="32"/>
    </row>
    <row r="62" spans="2:52">
      <c r="B62" s="1256" t="s">
        <v>670</v>
      </c>
      <c r="C62" s="1257"/>
      <c r="D62" s="411" t="s">
        <v>1026</v>
      </c>
      <c r="E62" s="411"/>
      <c r="F62" s="411" t="s">
        <v>301</v>
      </c>
      <c r="G62" s="411" t="s">
        <v>302</v>
      </c>
      <c r="H62" s="412">
        <f>9134.297-7231.613</f>
        <v>1902.6840000000002</v>
      </c>
      <c r="I62" s="413" t="s">
        <v>240</v>
      </c>
      <c r="J62" s="414">
        <v>45019.927083333336</v>
      </c>
      <c r="K62" s="414"/>
      <c r="L62" s="414" t="s">
        <v>192</v>
      </c>
      <c r="M62" s="414" t="s">
        <v>192</v>
      </c>
      <c r="N62" s="413" t="str">
        <f t="shared" si="2"/>
        <v>DELAY ( 9 day 6 hour 33 minute )</v>
      </c>
      <c r="O62" s="51"/>
      <c r="P62" s="415" t="s">
        <v>551</v>
      </c>
      <c r="Q62" s="415" t="s">
        <v>551</v>
      </c>
      <c r="R62" s="415" t="s">
        <v>551</v>
      </c>
      <c r="S62" s="32"/>
      <c r="T62" s="416"/>
      <c r="U62" s="416"/>
      <c r="V62" s="416"/>
      <c r="W62" s="416"/>
      <c r="X62" s="416"/>
      <c r="Y62" s="416"/>
      <c r="Z62" s="416"/>
      <c r="AA62" s="416"/>
      <c r="AB62" s="416"/>
      <c r="AC62" s="416">
        <f>H62</f>
        <v>1902.6840000000002</v>
      </c>
      <c r="AD62" s="416"/>
      <c r="AE62" s="416"/>
      <c r="AF62" s="416"/>
      <c r="AG62" s="416"/>
      <c r="AH62" s="416"/>
      <c r="AI62" s="416"/>
      <c r="AJ62" s="416"/>
      <c r="AK62" s="416"/>
      <c r="AL62" s="416"/>
      <c r="AM62" s="416"/>
      <c r="AN62" s="416"/>
      <c r="AO62" s="416"/>
      <c r="AP62" s="416"/>
      <c r="AQ62" s="416"/>
      <c r="AR62" s="416"/>
      <c r="AS62" s="416"/>
      <c r="AT62" s="416"/>
      <c r="AU62" s="416"/>
      <c r="AV62" s="416"/>
      <c r="AW62" s="416"/>
      <c r="AX62" s="416"/>
      <c r="AY62" s="416"/>
      <c r="AZ62" s="32"/>
    </row>
    <row r="63" spans="2:52">
      <c r="B63" s="1258" t="s">
        <v>626</v>
      </c>
      <c r="C63" s="1259"/>
      <c r="D63" s="1259"/>
      <c r="E63" s="1259"/>
      <c r="F63" s="1259"/>
      <c r="G63" s="1260"/>
      <c r="H63" s="417">
        <f>H51+H42+H45+H59+H48+H62+H54+H57</f>
        <v>52496.824000000001</v>
      </c>
      <c r="I63" s="388"/>
      <c r="J63" s="293"/>
      <c r="K63" s="293"/>
      <c r="L63" s="293"/>
      <c r="M63" s="389"/>
      <c r="N63" s="413" t="str">
        <f t="shared" si="2"/>
        <v xml:space="preserve"> </v>
      </c>
      <c r="O63" s="47"/>
      <c r="P63" s="418"/>
      <c r="Q63" s="418"/>
      <c r="R63" s="418"/>
      <c r="S63" s="32"/>
      <c r="T63" s="1261"/>
      <c r="U63" s="1261"/>
      <c r="V63" s="1261"/>
      <c r="W63" s="1261"/>
      <c r="X63" s="1261"/>
      <c r="Y63" s="1261"/>
      <c r="Z63" s="1261"/>
      <c r="AA63" s="1261"/>
      <c r="AB63" s="1261"/>
      <c r="AC63" s="1261"/>
      <c r="AD63" s="1261"/>
      <c r="AE63" s="1261"/>
      <c r="AF63" s="1261"/>
      <c r="AG63" s="1261"/>
      <c r="AH63" s="1261"/>
      <c r="AI63" s="1261"/>
      <c r="AJ63" s="1261"/>
      <c r="AK63" s="1261"/>
      <c r="AL63" s="1261"/>
      <c r="AM63" s="1261"/>
      <c r="AN63" s="1261"/>
      <c r="AO63" s="1261"/>
      <c r="AP63" s="1261"/>
      <c r="AQ63" s="1261"/>
      <c r="AR63" s="1261"/>
      <c r="AS63" s="1261"/>
      <c r="AT63" s="1261"/>
      <c r="AU63" s="1261"/>
      <c r="AV63" s="1261"/>
      <c r="AW63" s="1261"/>
      <c r="AX63" s="1261"/>
      <c r="AY63" s="1261"/>
    </row>
    <row r="64" spans="2:52">
      <c r="B64" s="1258" t="s">
        <v>556</v>
      </c>
      <c r="C64" s="1259"/>
      <c r="D64" s="1259"/>
      <c r="E64" s="1259"/>
      <c r="F64" s="1259"/>
      <c r="G64" s="1260"/>
      <c r="H64" s="417">
        <f>H41+H63</f>
        <v>75000</v>
      </c>
      <c r="I64" s="388"/>
      <c r="J64" s="293"/>
      <c r="K64" s="293"/>
      <c r="L64" s="293"/>
      <c r="M64" s="389"/>
      <c r="N64" s="413" t="str">
        <f t="shared" si="2"/>
        <v xml:space="preserve"> </v>
      </c>
      <c r="O64" s="47"/>
      <c r="P64" s="418"/>
      <c r="Q64" s="418"/>
      <c r="R64" s="418"/>
      <c r="S64" s="32"/>
      <c r="T64" s="1262"/>
      <c r="U64" s="1263"/>
      <c r="V64" s="1263"/>
      <c r="W64" s="1263"/>
      <c r="X64" s="1263"/>
      <c r="Y64" s="1263"/>
      <c r="Z64" s="1263"/>
      <c r="AA64" s="1263"/>
      <c r="AB64" s="1263"/>
      <c r="AC64" s="1263"/>
      <c r="AD64" s="1263"/>
      <c r="AE64" s="1263"/>
      <c r="AF64" s="1263"/>
      <c r="AG64" s="1263"/>
      <c r="AH64" s="1263"/>
      <c r="AI64" s="1263"/>
      <c r="AJ64" s="1263"/>
      <c r="AK64" s="1263"/>
      <c r="AL64" s="1263"/>
      <c r="AM64" s="1263"/>
      <c r="AN64" s="1263"/>
      <c r="AO64" s="1263"/>
      <c r="AP64" s="1263"/>
      <c r="AQ64" s="1263"/>
      <c r="AR64" s="1263"/>
      <c r="AS64" s="1263"/>
      <c r="AT64" s="1263"/>
      <c r="AU64" s="1263"/>
      <c r="AV64" s="1263"/>
      <c r="AW64" s="1263"/>
      <c r="AX64" s="1263"/>
      <c r="AY64" s="1264"/>
    </row>
    <row r="65" spans="2:52">
      <c r="B65" s="1243" t="s">
        <v>557</v>
      </c>
      <c r="C65" s="1244"/>
      <c r="D65" s="1244"/>
      <c r="E65" s="1244"/>
      <c r="F65" s="1244"/>
      <c r="G65" s="1245"/>
      <c r="H65" s="419">
        <v>75000</v>
      </c>
      <c r="I65" s="1246"/>
      <c r="J65" s="1247"/>
      <c r="K65" s="1247"/>
      <c r="L65" s="1247"/>
      <c r="M65" s="1248"/>
      <c r="N65" s="413" t="str">
        <f t="shared" si="2"/>
        <v xml:space="preserve"> </v>
      </c>
      <c r="O65" s="32"/>
      <c r="P65" s="415"/>
      <c r="Q65" s="415"/>
      <c r="R65" s="415"/>
      <c r="S65" s="63"/>
      <c r="T65" s="416">
        <f t="shared" ref="T65:AY65" si="3">SUM(T38:T62)</f>
        <v>0</v>
      </c>
      <c r="U65" s="416">
        <f t="shared" si="3"/>
        <v>0</v>
      </c>
      <c r="V65" s="416">
        <f t="shared" si="3"/>
        <v>0</v>
      </c>
      <c r="W65" s="416">
        <f t="shared" si="3"/>
        <v>0</v>
      </c>
      <c r="X65" s="416">
        <f t="shared" si="3"/>
        <v>0</v>
      </c>
      <c r="Y65" s="416">
        <f t="shared" si="3"/>
        <v>0</v>
      </c>
      <c r="Z65" s="416">
        <f t="shared" si="3"/>
        <v>0</v>
      </c>
      <c r="AA65" s="416">
        <f t="shared" si="3"/>
        <v>0</v>
      </c>
      <c r="AB65" s="416">
        <f t="shared" si="3"/>
        <v>2056</v>
      </c>
      <c r="AC65" s="416">
        <f t="shared" si="3"/>
        <v>65444.000000000007</v>
      </c>
      <c r="AD65" s="416">
        <f t="shared" si="3"/>
        <v>0</v>
      </c>
      <c r="AE65" s="416">
        <f t="shared" si="3"/>
        <v>0</v>
      </c>
      <c r="AF65" s="416">
        <f t="shared" si="3"/>
        <v>0</v>
      </c>
      <c r="AG65" s="416">
        <f t="shared" si="3"/>
        <v>0</v>
      </c>
      <c r="AH65" s="416">
        <f t="shared" si="3"/>
        <v>0</v>
      </c>
      <c r="AI65" s="416">
        <f t="shared" si="3"/>
        <v>0</v>
      </c>
      <c r="AJ65" s="416">
        <f t="shared" si="3"/>
        <v>7500</v>
      </c>
      <c r="AK65" s="416">
        <f t="shared" si="3"/>
        <v>0</v>
      </c>
      <c r="AL65" s="416">
        <f t="shared" si="3"/>
        <v>0</v>
      </c>
      <c r="AM65" s="416">
        <f t="shared" si="3"/>
        <v>0</v>
      </c>
      <c r="AN65" s="416">
        <f t="shared" si="3"/>
        <v>0</v>
      </c>
      <c r="AO65" s="416">
        <f t="shared" si="3"/>
        <v>0</v>
      </c>
      <c r="AP65" s="416">
        <f t="shared" si="3"/>
        <v>0</v>
      </c>
      <c r="AQ65" s="416">
        <f t="shared" si="3"/>
        <v>0</v>
      </c>
      <c r="AR65" s="416">
        <f t="shared" si="3"/>
        <v>0</v>
      </c>
      <c r="AS65" s="416">
        <f t="shared" si="3"/>
        <v>0</v>
      </c>
      <c r="AT65" s="416">
        <f t="shared" si="3"/>
        <v>0</v>
      </c>
      <c r="AU65" s="416">
        <f t="shared" si="3"/>
        <v>0</v>
      </c>
      <c r="AV65" s="416">
        <f t="shared" si="3"/>
        <v>0</v>
      </c>
      <c r="AW65" s="416">
        <f t="shared" si="3"/>
        <v>0</v>
      </c>
      <c r="AX65" s="416">
        <f t="shared" si="3"/>
        <v>0</v>
      </c>
      <c r="AY65" s="416">
        <f t="shared" si="3"/>
        <v>0</v>
      </c>
      <c r="AZ65" s="416">
        <f>SUM(T65:AY65)</f>
        <v>75000</v>
      </c>
    </row>
    <row r="66" spans="2:52">
      <c r="B66" s="1243" t="s">
        <v>558</v>
      </c>
      <c r="C66" s="1244"/>
      <c r="D66" s="1244"/>
      <c r="E66" s="1244"/>
      <c r="F66" s="1244"/>
      <c r="G66" s="1245"/>
      <c r="H66" s="420">
        <f>H65-L32</f>
        <v>0</v>
      </c>
      <c r="I66" s="294"/>
      <c r="J66" s="295"/>
      <c r="K66" s="295"/>
      <c r="L66" s="296"/>
      <c r="M66" s="32"/>
      <c r="N66" s="32"/>
      <c r="O66" s="32"/>
      <c r="P66" s="32"/>
      <c r="Q66" s="297"/>
      <c r="R66" s="297"/>
      <c r="S66" s="32"/>
      <c r="T66" s="48"/>
      <c r="U66" s="48"/>
      <c r="V66" s="48"/>
      <c r="W66" s="48"/>
      <c r="X66" s="48"/>
      <c r="Y66" s="48"/>
      <c r="Z66" s="48"/>
      <c r="AA66" s="48"/>
      <c r="AB66" s="48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</row>
    <row r="67" spans="2:52">
      <c r="B67" s="1243" t="s">
        <v>559</v>
      </c>
      <c r="C67" s="1244"/>
      <c r="D67" s="1244"/>
      <c r="E67" s="1244"/>
      <c r="F67" s="1244"/>
      <c r="G67" s="1245"/>
      <c r="H67" s="420">
        <v>7225.0119999999997</v>
      </c>
      <c r="I67" s="280">
        <v>7145.3019999999997</v>
      </c>
      <c r="J67" s="53"/>
      <c r="K67" s="53"/>
      <c r="L67" s="54"/>
      <c r="M67" s="32"/>
      <c r="N67" s="32"/>
      <c r="O67" s="32"/>
      <c r="P67" s="32"/>
      <c r="Q67" s="32"/>
      <c r="R67" s="32"/>
      <c r="S67" s="32"/>
      <c r="T67" s="48"/>
      <c r="U67" s="48"/>
      <c r="V67" s="48"/>
      <c r="W67" s="48"/>
      <c r="X67" s="48"/>
      <c r="Y67" s="48"/>
      <c r="Z67" s="48"/>
      <c r="AA67" s="48"/>
      <c r="AB67" s="48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</row>
    <row r="68" spans="2:52">
      <c r="B68" s="1243" t="s">
        <v>560</v>
      </c>
      <c r="C68" s="1244"/>
      <c r="D68" s="1244"/>
      <c r="E68" s="1244"/>
      <c r="F68" s="1244"/>
      <c r="G68" s="1245"/>
      <c r="H68" s="421">
        <f>H67-7231.613</f>
        <v>-6.6010000000005675</v>
      </c>
      <c r="I68" s="275">
        <f>I67-H67</f>
        <v>-79.710000000000036</v>
      </c>
      <c r="J68" s="53"/>
      <c r="K68" s="53"/>
      <c r="L68" s="54"/>
      <c r="M68" s="32"/>
      <c r="N68" s="32"/>
      <c r="O68" s="32"/>
      <c r="P68" s="32"/>
      <c r="Q68" s="32"/>
      <c r="R68" s="32"/>
      <c r="S68" s="48"/>
      <c r="T68" s="48"/>
      <c r="U68" s="48"/>
      <c r="V68" s="48"/>
      <c r="W68" s="48"/>
      <c r="X68" s="48"/>
      <c r="Y68" s="48"/>
      <c r="Z68" s="48"/>
      <c r="AA68" s="48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spans="2:52">
      <c r="B69" s="32"/>
      <c r="C69" s="32"/>
      <c r="D69" s="32"/>
      <c r="E69" s="32"/>
      <c r="F69" s="32"/>
      <c r="G69" s="32"/>
      <c r="H69" s="32"/>
      <c r="I69" s="57"/>
      <c r="J69" s="52"/>
      <c r="K69" s="52"/>
      <c r="L69" s="55"/>
      <c r="M69" s="32"/>
      <c r="N69" s="32"/>
      <c r="O69" s="52"/>
      <c r="P69" s="32"/>
      <c r="Q69" s="32"/>
      <c r="R69" s="32"/>
      <c r="S69" s="32"/>
      <c r="T69" s="48"/>
      <c r="U69" s="48"/>
      <c r="V69" s="48"/>
      <c r="W69" s="48"/>
      <c r="X69" s="48"/>
      <c r="Y69" s="48"/>
      <c r="Z69" s="48"/>
      <c r="AA69" s="48"/>
      <c r="AB69" s="48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</row>
    <row r="70" spans="2:52">
      <c r="B70" s="40" t="s">
        <v>561</v>
      </c>
      <c r="C70" s="40"/>
      <c r="D70" s="32"/>
      <c r="E70" s="32"/>
      <c r="F70" s="32"/>
      <c r="G70" s="32"/>
      <c r="H70" s="32"/>
      <c r="I70" s="32"/>
      <c r="J70" s="52"/>
      <c r="K70" s="52"/>
      <c r="L70" s="55"/>
      <c r="M70" s="32"/>
      <c r="N70" s="32"/>
      <c r="O70" s="52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Z70" s="32"/>
    </row>
    <row r="71" spans="2:52">
      <c r="B71" s="422">
        <v>1</v>
      </c>
      <c r="C71" s="1249" t="s">
        <v>1405</v>
      </c>
      <c r="D71" s="1249"/>
      <c r="E71" s="1249"/>
      <c r="F71" s="1249"/>
      <c r="G71" s="1249"/>
      <c r="H71" s="1249"/>
      <c r="I71" s="1249"/>
      <c r="J71" s="1249"/>
      <c r="K71" s="1249"/>
      <c r="L71" s="55"/>
      <c r="M71" s="32"/>
      <c r="N71" s="32"/>
      <c r="O71" s="52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Z71" s="32"/>
    </row>
    <row r="73" spans="2:52">
      <c r="B73" s="28" t="s">
        <v>2</v>
      </c>
      <c r="C73" s="28"/>
      <c r="D73" s="29"/>
      <c r="E73" s="30" t="s">
        <v>511</v>
      </c>
      <c r="F73" s="31" t="s">
        <v>1333</v>
      </c>
      <c r="G73" s="32"/>
      <c r="H73" s="33"/>
      <c r="I73" s="34"/>
      <c r="J73" s="35" t="s">
        <v>513</v>
      </c>
      <c r="K73" s="36" t="s">
        <v>511</v>
      </c>
      <c r="L73" s="37">
        <v>45023.979166666664</v>
      </c>
      <c r="M73" s="32"/>
      <c r="N73" s="32"/>
      <c r="O73" s="36"/>
      <c r="P73" s="33"/>
      <c r="Q73" s="48"/>
      <c r="R73" s="49"/>
      <c r="S73" s="38"/>
      <c r="T73" s="32"/>
      <c r="U73" s="32"/>
      <c r="V73" s="32"/>
      <c r="W73" s="32"/>
      <c r="X73" s="32"/>
      <c r="Y73" s="32"/>
      <c r="Z73" s="32"/>
      <c r="AA73" s="32"/>
      <c r="AB73" s="48"/>
      <c r="AC73" s="48"/>
      <c r="AD73" s="48"/>
      <c r="AE73" s="48"/>
      <c r="AF73" s="48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</row>
    <row r="74" spans="2:52">
      <c r="B74" s="35" t="s">
        <v>514</v>
      </c>
      <c r="C74" s="35"/>
      <c r="D74" s="32"/>
      <c r="E74" s="36" t="s">
        <v>511</v>
      </c>
      <c r="F74" s="37" t="s">
        <v>1406</v>
      </c>
      <c r="G74" s="32"/>
      <c r="H74" s="33"/>
      <c r="I74" s="34"/>
      <c r="J74" s="35" t="s">
        <v>516</v>
      </c>
      <c r="K74" s="36" t="s">
        <v>511</v>
      </c>
      <c r="L74" s="37">
        <v>45026.5625</v>
      </c>
      <c r="M74" s="32"/>
      <c r="N74" s="32"/>
      <c r="O74" s="36"/>
      <c r="P74" s="33"/>
      <c r="Q74" s="48"/>
      <c r="R74" s="49"/>
      <c r="S74" s="38"/>
      <c r="T74" s="32"/>
      <c r="U74" s="32"/>
      <c r="V74" s="32"/>
      <c r="W74" s="32"/>
      <c r="X74" s="32"/>
      <c r="Y74" s="32"/>
      <c r="Z74" s="32"/>
      <c r="AA74" s="32"/>
      <c r="AB74" s="48"/>
      <c r="AC74" s="48"/>
      <c r="AD74" s="48"/>
      <c r="AE74" s="48"/>
      <c r="AF74" s="48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</row>
    <row r="75" spans="2:52">
      <c r="B75" s="35" t="s">
        <v>517</v>
      </c>
      <c r="C75" s="35"/>
      <c r="D75" s="32"/>
      <c r="E75" s="36" t="s">
        <v>511</v>
      </c>
      <c r="F75" s="37">
        <v>45022.216666666667</v>
      </c>
      <c r="G75" s="32"/>
      <c r="H75" s="33"/>
      <c r="I75" s="34"/>
      <c r="J75" s="35" t="s">
        <v>518</v>
      </c>
      <c r="K75" s="36" t="s">
        <v>511</v>
      </c>
      <c r="L75" s="50">
        <v>70000</v>
      </c>
      <c r="M75" s="40" t="s">
        <v>519</v>
      </c>
      <c r="N75" s="40"/>
      <c r="O75" s="36"/>
      <c r="P75" s="33"/>
      <c r="Q75" s="48"/>
      <c r="R75" s="49"/>
      <c r="S75" s="38"/>
      <c r="T75" s="32"/>
      <c r="U75" s="32"/>
      <c r="V75" s="32"/>
      <c r="W75" s="32"/>
      <c r="X75" s="32"/>
      <c r="Y75" s="32"/>
      <c r="Z75" s="32"/>
      <c r="AA75" s="32"/>
      <c r="AB75" s="48"/>
      <c r="AC75" s="48"/>
      <c r="AD75" s="48"/>
      <c r="AE75" s="48"/>
      <c r="AF75" s="48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</row>
    <row r="76" spans="2:52">
      <c r="B76" s="35" t="s">
        <v>520</v>
      </c>
      <c r="C76" s="35"/>
      <c r="D76" s="32"/>
      <c r="E76" s="36" t="s">
        <v>511</v>
      </c>
      <c r="F76" s="37" t="s">
        <v>4</v>
      </c>
      <c r="G76" s="32"/>
      <c r="H76" s="33"/>
      <c r="I76" s="34"/>
      <c r="J76" s="35" t="s">
        <v>521</v>
      </c>
      <c r="K76" s="36" t="s">
        <v>511</v>
      </c>
      <c r="L76" s="41" t="s">
        <v>1407</v>
      </c>
      <c r="M76" s="32"/>
      <c r="N76" s="32"/>
      <c r="O76" s="36"/>
      <c r="P76" s="48"/>
      <c r="Q76" s="48"/>
      <c r="R76" s="49"/>
      <c r="S76" s="38"/>
      <c r="T76" s="32"/>
      <c r="U76" s="32"/>
      <c r="V76" s="32"/>
      <c r="W76" s="32"/>
      <c r="X76" s="32"/>
      <c r="Y76" s="32"/>
      <c r="Z76" s="32"/>
      <c r="AA76" s="32"/>
      <c r="AB76" s="48"/>
      <c r="AC76" s="48"/>
      <c r="AD76" s="48"/>
      <c r="AE76" s="48"/>
      <c r="AF76" s="48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</row>
    <row r="77" spans="2:52">
      <c r="B77" s="35" t="s">
        <v>523</v>
      </c>
      <c r="C77" s="35"/>
      <c r="D77" s="32"/>
      <c r="E77" s="36" t="s">
        <v>511</v>
      </c>
      <c r="F77" s="37" t="s">
        <v>5</v>
      </c>
      <c r="G77" s="32"/>
      <c r="H77" s="33"/>
      <c r="I77" s="34"/>
      <c r="J77" s="42" t="s">
        <v>524</v>
      </c>
      <c r="K77" s="36" t="s">
        <v>511</v>
      </c>
      <c r="L77" s="43" t="s">
        <v>15</v>
      </c>
      <c r="M77" s="44"/>
      <c r="N77" s="44"/>
      <c r="O77" s="36"/>
      <c r="P77" s="33"/>
      <c r="Q77" s="48"/>
      <c r="R77" s="49"/>
      <c r="S77" s="38"/>
      <c r="T77" s="32"/>
      <c r="U77" s="32"/>
      <c r="V77" s="32"/>
      <c r="W77" s="32"/>
      <c r="X77" s="32"/>
      <c r="Y77" s="32"/>
      <c r="Z77" s="32"/>
      <c r="AA77" s="32"/>
      <c r="AB77" s="48"/>
      <c r="AC77" s="48"/>
      <c r="AD77" s="48"/>
      <c r="AE77" s="48"/>
      <c r="AF77" s="48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</row>
    <row r="78" spans="2:52">
      <c r="B78" s="35" t="s">
        <v>2</v>
      </c>
      <c r="C78" s="35"/>
      <c r="D78" s="32"/>
      <c r="E78" s="36" t="s">
        <v>511</v>
      </c>
      <c r="F78" s="37" t="s">
        <v>6</v>
      </c>
      <c r="G78" s="32"/>
      <c r="H78" s="33"/>
      <c r="I78" s="45"/>
      <c r="J78" s="42"/>
      <c r="K78" s="36"/>
      <c r="L78" s="37"/>
      <c r="M78" s="32"/>
      <c r="N78" s="32"/>
      <c r="O78" s="42"/>
      <c r="P78" s="44"/>
      <c r="Q78" s="44"/>
      <c r="R78" s="44"/>
      <c r="S78" s="34"/>
      <c r="T78" s="32"/>
      <c r="U78" s="32"/>
      <c r="V78" s="32"/>
      <c r="W78" s="32"/>
      <c r="X78" s="32"/>
      <c r="Y78" s="32"/>
      <c r="Z78" s="32"/>
      <c r="AA78" s="32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</row>
    <row r="79" spans="2:52">
      <c r="B79" s="32"/>
      <c r="C79" s="32"/>
      <c r="D79" s="32"/>
      <c r="E79" s="32"/>
      <c r="F79" s="32"/>
      <c r="G79" s="32"/>
      <c r="H79" s="32"/>
      <c r="I79" s="45"/>
      <c r="J79" s="42"/>
      <c r="K79" s="42"/>
      <c r="L79" s="43"/>
      <c r="M79" s="44"/>
      <c r="N79" s="44"/>
      <c r="O79" s="42"/>
      <c r="P79" s="44"/>
      <c r="Q79" s="44"/>
      <c r="R79" s="44"/>
      <c r="S79" s="34"/>
      <c r="T79" s="1270" t="s">
        <v>87</v>
      </c>
      <c r="U79" s="1270"/>
      <c r="V79" s="1270"/>
      <c r="W79" s="1270"/>
      <c r="X79" s="1270"/>
      <c r="Y79" s="1270" t="s">
        <v>73</v>
      </c>
      <c r="Z79" s="1270"/>
      <c r="AA79" s="1270"/>
      <c r="AB79" s="1270" t="s">
        <v>74</v>
      </c>
      <c r="AC79" s="1270"/>
      <c r="AD79" s="407" t="s">
        <v>85</v>
      </c>
      <c r="AE79" s="407" t="s">
        <v>77</v>
      </c>
      <c r="AF79" s="1270" t="s">
        <v>525</v>
      </c>
      <c r="AG79" s="1270"/>
      <c r="AH79" s="1270"/>
      <c r="AI79" s="1270"/>
      <c r="AJ79" s="1270"/>
      <c r="AK79" s="1270"/>
      <c r="AL79" s="1270"/>
      <c r="AM79" s="1270"/>
      <c r="AN79" s="1270"/>
      <c r="AO79" s="1270"/>
      <c r="AP79" s="1270"/>
      <c r="AQ79" s="1270"/>
      <c r="AR79" s="1270"/>
      <c r="AS79" s="1270"/>
      <c r="AT79" s="1270"/>
      <c r="AU79" s="1270"/>
      <c r="AV79" s="1270"/>
      <c r="AW79" s="1270"/>
      <c r="AX79" s="1270"/>
      <c r="AY79" s="1270"/>
      <c r="AZ79" s="32"/>
    </row>
    <row r="80" spans="2:52">
      <c r="B80" s="1266" t="s">
        <v>526</v>
      </c>
      <c r="C80" s="1267"/>
      <c r="D80" s="570" t="s">
        <v>527</v>
      </c>
      <c r="E80" s="570"/>
      <c r="F80" s="570" t="s">
        <v>528</v>
      </c>
      <c r="G80" s="570" t="s">
        <v>529</v>
      </c>
      <c r="H80" s="570" t="s">
        <v>530</v>
      </c>
      <c r="I80" s="570" t="s">
        <v>531</v>
      </c>
      <c r="J80" s="570" t="s">
        <v>532</v>
      </c>
      <c r="K80" s="570"/>
      <c r="L80" s="570" t="s">
        <v>130</v>
      </c>
      <c r="M80" s="570" t="s">
        <v>533</v>
      </c>
      <c r="N80" s="408" t="str">
        <f>"On time - "&amp;COUNTIF(N81:N100,"On time")&amp;" from "&amp;ROWS(N81:N100)-COUNTIF(N81:N100," ")</f>
        <v>On time - 1 from 9</v>
      </c>
      <c r="O80" s="46"/>
      <c r="P80" s="409" t="s">
        <v>534</v>
      </c>
      <c r="Q80" s="409" t="s">
        <v>535</v>
      </c>
      <c r="R80" s="409" t="s">
        <v>536</v>
      </c>
      <c r="S80" s="32"/>
      <c r="T80" s="410" t="s">
        <v>537</v>
      </c>
      <c r="U80" s="410" t="s">
        <v>538</v>
      </c>
      <c r="V80" s="410" t="s">
        <v>539</v>
      </c>
      <c r="W80" s="410" t="s">
        <v>540</v>
      </c>
      <c r="X80" s="410" t="s">
        <v>541</v>
      </c>
      <c r="Y80" s="410" t="s">
        <v>167</v>
      </c>
      <c r="Z80" s="410" t="s">
        <v>168</v>
      </c>
      <c r="AA80" s="410" t="s">
        <v>169</v>
      </c>
      <c r="AB80" s="410" t="s">
        <v>235</v>
      </c>
      <c r="AC80" s="410" t="s">
        <v>240</v>
      </c>
      <c r="AD80" s="407" t="s">
        <v>85</v>
      </c>
      <c r="AE80" s="410" t="s">
        <v>139</v>
      </c>
      <c r="AF80" s="410" t="s">
        <v>72</v>
      </c>
      <c r="AG80" s="410" t="s">
        <v>88</v>
      </c>
      <c r="AH80" s="410" t="s">
        <v>75</v>
      </c>
      <c r="AI80" s="410" t="s">
        <v>543</v>
      </c>
      <c r="AJ80" s="410" t="s">
        <v>78</v>
      </c>
      <c r="AK80" s="410" t="s">
        <v>76</v>
      </c>
      <c r="AL80" s="410" t="s">
        <v>544</v>
      </c>
      <c r="AM80" s="410" t="s">
        <v>545</v>
      </c>
      <c r="AN80" s="410" t="s">
        <v>86</v>
      </c>
      <c r="AO80" s="410" t="s">
        <v>83</v>
      </c>
      <c r="AP80" s="410" t="s">
        <v>84</v>
      </c>
      <c r="AQ80" s="410" t="s">
        <v>546</v>
      </c>
      <c r="AR80" s="410" t="s">
        <v>81</v>
      </c>
      <c r="AS80" s="410" t="s">
        <v>80</v>
      </c>
      <c r="AT80" s="410" t="s">
        <v>82</v>
      </c>
      <c r="AU80" s="410" t="s">
        <v>181</v>
      </c>
      <c r="AV80" s="410" t="s">
        <v>183</v>
      </c>
      <c r="AW80" s="410" t="s">
        <v>547</v>
      </c>
      <c r="AX80" s="410" t="s">
        <v>182</v>
      </c>
      <c r="AY80" s="410" t="s">
        <v>172</v>
      </c>
      <c r="AZ80" s="32"/>
    </row>
    <row r="81" spans="2:52">
      <c r="B81" s="1256" t="s">
        <v>616</v>
      </c>
      <c r="C81" s="1257"/>
      <c r="D81" s="411" t="s">
        <v>1026</v>
      </c>
      <c r="E81" s="411"/>
      <c r="F81" s="411" t="s">
        <v>301</v>
      </c>
      <c r="G81" s="411" t="s">
        <v>302</v>
      </c>
      <c r="H81" s="412">
        <v>7225.0119999999997</v>
      </c>
      <c r="I81" s="413" t="s">
        <v>240</v>
      </c>
      <c r="J81" s="414">
        <v>45022.125</v>
      </c>
      <c r="K81" s="414"/>
      <c r="L81" s="414" t="s">
        <v>192</v>
      </c>
      <c r="M81" s="414" t="s">
        <v>192</v>
      </c>
      <c r="N81" s="413" t="str">
        <f>IF(ISBLANK(J81)," ",IF(J81&lt;$F$75,"On time",(IF(DAY(J81-$F$75)&lt;1,"On time",(IF(J81&gt;$F$75,"DELAY ( "&amp;DAY(J81-$F$75)&amp;" day "&amp;HOUR(J81-$F$75)&amp;" hour "&amp;MINUTE(J81-$F$75)&amp;" minute )","xxx"))))))</f>
        <v>On time</v>
      </c>
      <c r="O81" s="51"/>
      <c r="P81" s="415" t="s">
        <v>551</v>
      </c>
      <c r="Q81" s="415" t="s">
        <v>551</v>
      </c>
      <c r="R81" s="415" t="s">
        <v>551</v>
      </c>
      <c r="S81" s="32"/>
      <c r="T81" s="416"/>
      <c r="U81" s="416"/>
      <c r="V81" s="416"/>
      <c r="W81" s="416"/>
      <c r="X81" s="416"/>
      <c r="Y81" s="416"/>
      <c r="Z81" s="416"/>
      <c r="AA81" s="416"/>
      <c r="AB81" s="416"/>
      <c r="AC81" s="416">
        <f>H81</f>
        <v>7225.0119999999997</v>
      </c>
      <c r="AD81" s="416"/>
      <c r="AE81" s="416"/>
      <c r="AF81" s="416"/>
      <c r="AG81" s="416"/>
      <c r="AH81" s="416"/>
      <c r="AI81" s="416"/>
      <c r="AJ81" s="416"/>
      <c r="AK81" s="416"/>
      <c r="AL81" s="416"/>
      <c r="AM81" s="416"/>
      <c r="AN81" s="416"/>
      <c r="AO81" s="416"/>
      <c r="AP81" s="416"/>
      <c r="AQ81" s="416"/>
      <c r="AR81" s="416"/>
      <c r="AS81" s="416"/>
      <c r="AT81" s="416"/>
      <c r="AU81" s="416"/>
      <c r="AV81" s="416"/>
      <c r="AW81" s="416"/>
      <c r="AX81" s="416"/>
      <c r="AY81" s="416"/>
      <c r="AZ81" s="32"/>
    </row>
    <row r="82" spans="2:52">
      <c r="B82" s="1258" t="s">
        <v>618</v>
      </c>
      <c r="C82" s="1259"/>
      <c r="D82" s="1259"/>
      <c r="E82" s="1259"/>
      <c r="F82" s="1259"/>
      <c r="G82" s="1260"/>
      <c r="H82" s="417">
        <f>SUM(H81)</f>
        <v>7225.0119999999997</v>
      </c>
      <c r="I82" s="388"/>
      <c r="J82" s="293"/>
      <c r="K82" s="293"/>
      <c r="L82" s="293"/>
      <c r="M82" s="389"/>
      <c r="N82" s="413" t="str">
        <f t="shared" ref="N82:N103" si="4">IF(ISBLANK(J82)," ",IF(J82&lt;$F$75,"On time",(IF(DAY(J82-$F$75)&lt;1,"On time",(IF(J82&gt;$F$75,"DELAY ( "&amp;DAY(J82-$F$75)&amp;" day "&amp;HOUR(J82-$F$75)&amp;" hour "&amp;MINUTE(J82-$F$75)&amp;" minute )","xxx"))))))</f>
        <v xml:space="preserve"> </v>
      </c>
      <c r="O82" s="47"/>
      <c r="P82" s="418"/>
      <c r="Q82" s="418"/>
      <c r="R82" s="418"/>
      <c r="S82" s="32"/>
      <c r="T82" s="416"/>
      <c r="U82" s="416"/>
      <c r="V82" s="416"/>
      <c r="W82" s="416"/>
      <c r="X82" s="416"/>
      <c r="Y82" s="416"/>
      <c r="Z82" s="416"/>
      <c r="AA82" s="416"/>
      <c r="AB82" s="416"/>
      <c r="AC82" s="416"/>
      <c r="AD82" s="416"/>
      <c r="AE82" s="416"/>
      <c r="AF82" s="416"/>
      <c r="AG82" s="416"/>
      <c r="AH82" s="416"/>
      <c r="AI82" s="416"/>
      <c r="AJ82" s="416"/>
      <c r="AK82" s="416"/>
      <c r="AL82" s="416"/>
      <c r="AM82" s="416"/>
      <c r="AN82" s="416"/>
      <c r="AO82" s="416"/>
      <c r="AP82" s="416"/>
      <c r="AQ82" s="416"/>
      <c r="AR82" s="416"/>
      <c r="AS82" s="416"/>
      <c r="AT82" s="416"/>
      <c r="AU82" s="416"/>
      <c r="AV82" s="416"/>
      <c r="AW82" s="416"/>
      <c r="AX82" s="416"/>
      <c r="AY82" s="416"/>
    </row>
    <row r="83" spans="2:52">
      <c r="B83" s="1250" t="s">
        <v>619</v>
      </c>
      <c r="C83" s="1251"/>
      <c r="D83" s="411" t="s">
        <v>1200</v>
      </c>
      <c r="E83" s="411"/>
      <c r="F83" s="411" t="s">
        <v>686</v>
      </c>
      <c r="G83" s="411" t="s">
        <v>1186</v>
      </c>
      <c r="H83" s="412">
        <v>7354.7629999999999</v>
      </c>
      <c r="I83" s="413" t="s">
        <v>235</v>
      </c>
      <c r="J83" s="414">
        <v>45023.319444444445</v>
      </c>
      <c r="K83" s="414"/>
      <c r="L83" s="414" t="s">
        <v>192</v>
      </c>
      <c r="M83" s="414" t="s">
        <v>192</v>
      </c>
      <c r="N83" s="413" t="str">
        <f t="shared" si="4"/>
        <v>DELAY ( 1 day 2 hour 28 minute )</v>
      </c>
      <c r="O83" s="51"/>
      <c r="P83" s="415" t="s">
        <v>551</v>
      </c>
      <c r="Q83" s="415" t="s">
        <v>551</v>
      </c>
      <c r="R83" s="415" t="s">
        <v>551</v>
      </c>
      <c r="S83" s="32"/>
      <c r="T83" s="416"/>
      <c r="U83" s="416"/>
      <c r="V83" s="416"/>
      <c r="W83" s="416"/>
      <c r="X83" s="416"/>
      <c r="Y83" s="416"/>
      <c r="Z83" s="416"/>
      <c r="AA83" s="416"/>
      <c r="AB83" s="416">
        <f>H83</f>
        <v>7354.7629999999999</v>
      </c>
      <c r="AC83" s="416"/>
      <c r="AD83" s="416"/>
      <c r="AE83" s="416"/>
      <c r="AF83" s="416"/>
      <c r="AG83" s="416"/>
      <c r="AH83" s="416"/>
      <c r="AI83" s="416"/>
      <c r="AJ83" s="416"/>
      <c r="AK83" s="416"/>
      <c r="AL83" s="416"/>
      <c r="AM83" s="416"/>
      <c r="AN83" s="416"/>
      <c r="AO83" s="416"/>
      <c r="AP83" s="416"/>
      <c r="AQ83" s="416"/>
      <c r="AR83" s="416"/>
      <c r="AS83" s="416"/>
      <c r="AT83" s="416"/>
      <c r="AU83" s="416"/>
      <c r="AV83" s="416"/>
      <c r="AW83" s="416"/>
      <c r="AX83" s="416"/>
      <c r="AY83" s="416"/>
      <c r="AZ83" s="32"/>
    </row>
    <row r="84" spans="2:52">
      <c r="B84" s="1254"/>
      <c r="C84" s="1255"/>
      <c r="D84" s="411"/>
      <c r="E84" s="411"/>
      <c r="F84" s="1256" t="s">
        <v>616</v>
      </c>
      <c r="G84" s="1257"/>
      <c r="H84" s="412">
        <v>3000</v>
      </c>
      <c r="I84" s="413"/>
      <c r="J84" s="414"/>
      <c r="K84" s="414"/>
      <c r="L84" s="414"/>
      <c r="M84" s="414"/>
      <c r="N84" s="413" t="str">
        <f t="shared" si="4"/>
        <v xml:space="preserve"> </v>
      </c>
      <c r="O84" s="51"/>
      <c r="P84" s="415"/>
      <c r="Q84" s="415"/>
      <c r="R84" s="415"/>
      <c r="S84" s="32"/>
      <c r="T84" s="416"/>
      <c r="U84" s="416"/>
      <c r="V84" s="416"/>
      <c r="W84" s="416"/>
      <c r="X84" s="416"/>
      <c r="Y84" s="416"/>
      <c r="Z84" s="416"/>
      <c r="AA84" s="416"/>
      <c r="AB84" s="416"/>
      <c r="AC84" s="416"/>
      <c r="AD84" s="416"/>
      <c r="AE84" s="416"/>
      <c r="AF84" s="416"/>
      <c r="AG84" s="416"/>
      <c r="AH84" s="416"/>
      <c r="AI84" s="416"/>
      <c r="AJ84" s="416"/>
      <c r="AK84" s="416"/>
      <c r="AL84" s="416"/>
      <c r="AM84" s="416"/>
      <c r="AN84" s="416"/>
      <c r="AO84" s="416"/>
      <c r="AP84" s="416"/>
      <c r="AQ84" s="416"/>
      <c r="AR84" s="416"/>
      <c r="AS84" s="416"/>
      <c r="AT84" s="416"/>
      <c r="AU84" s="416"/>
      <c r="AV84" s="416"/>
      <c r="AW84" s="416"/>
      <c r="AX84" s="416"/>
      <c r="AY84" s="416"/>
      <c r="AZ84" s="32"/>
    </row>
    <row r="85" spans="2:52">
      <c r="B85" s="1250" t="s">
        <v>621</v>
      </c>
      <c r="C85" s="1251"/>
      <c r="D85" s="411" t="s">
        <v>1203</v>
      </c>
      <c r="E85" s="411"/>
      <c r="F85" s="411" t="s">
        <v>295</v>
      </c>
      <c r="G85" s="411" t="s">
        <v>296</v>
      </c>
      <c r="H85" s="412">
        <v>10356.16</v>
      </c>
      <c r="I85" s="413" t="s">
        <v>235</v>
      </c>
      <c r="J85" s="414">
        <v>45023.652777777781</v>
      </c>
      <c r="K85" s="414"/>
      <c r="L85" s="414" t="s">
        <v>192</v>
      </c>
      <c r="M85" s="414" t="s">
        <v>192</v>
      </c>
      <c r="N85" s="413" t="str">
        <f t="shared" si="4"/>
        <v>DELAY ( 1 day 10 hour 28 minute )</v>
      </c>
      <c r="O85" s="51"/>
      <c r="P85" s="415" t="s">
        <v>551</v>
      </c>
      <c r="Q85" s="415" t="s">
        <v>551</v>
      </c>
      <c r="R85" s="415" t="s">
        <v>551</v>
      </c>
      <c r="S85" s="32"/>
      <c r="T85" s="416"/>
      <c r="U85" s="416"/>
      <c r="V85" s="416"/>
      <c r="W85" s="416"/>
      <c r="X85" s="416"/>
      <c r="Y85" s="416"/>
      <c r="Z85" s="416"/>
      <c r="AA85" s="416"/>
      <c r="AB85" s="416">
        <f>H85</f>
        <v>10356.16</v>
      </c>
      <c r="AC85" s="416"/>
      <c r="AD85" s="416"/>
      <c r="AE85" s="416"/>
      <c r="AF85" s="416"/>
      <c r="AG85" s="416"/>
      <c r="AH85" s="416"/>
      <c r="AI85" s="416"/>
      <c r="AJ85" s="416"/>
      <c r="AK85" s="416"/>
      <c r="AL85" s="416"/>
      <c r="AM85" s="416"/>
      <c r="AN85" s="416"/>
      <c r="AO85" s="416"/>
      <c r="AP85" s="416"/>
      <c r="AQ85" s="416"/>
      <c r="AR85" s="416"/>
      <c r="AS85" s="416"/>
      <c r="AT85" s="416"/>
      <c r="AU85" s="416"/>
      <c r="AV85" s="416"/>
      <c r="AW85" s="416"/>
      <c r="AX85" s="416"/>
      <c r="AY85" s="416"/>
      <c r="AZ85" s="32"/>
    </row>
    <row r="86" spans="2:52">
      <c r="B86" s="1254"/>
      <c r="C86" s="1255"/>
      <c r="D86" s="411"/>
      <c r="E86" s="411"/>
      <c r="F86" s="1256" t="s">
        <v>616</v>
      </c>
      <c r="G86" s="1257"/>
      <c r="H86" s="412">
        <v>3000</v>
      </c>
      <c r="I86" s="413"/>
      <c r="J86" s="414"/>
      <c r="K86" s="414"/>
      <c r="L86" s="414"/>
      <c r="M86" s="414"/>
      <c r="N86" s="413" t="str">
        <f t="shared" si="4"/>
        <v xml:space="preserve"> </v>
      </c>
      <c r="O86" s="51"/>
      <c r="P86" s="415"/>
      <c r="Q86" s="415"/>
      <c r="R86" s="415"/>
      <c r="S86" s="32"/>
      <c r="T86" s="416"/>
      <c r="U86" s="416"/>
      <c r="V86" s="416"/>
      <c r="W86" s="416"/>
      <c r="X86" s="416"/>
      <c r="Y86" s="416"/>
      <c r="Z86" s="416"/>
      <c r="AA86" s="416"/>
      <c r="AB86" s="416"/>
      <c r="AC86" s="416"/>
      <c r="AD86" s="416"/>
      <c r="AE86" s="416"/>
      <c r="AF86" s="416"/>
      <c r="AG86" s="416"/>
      <c r="AH86" s="416"/>
      <c r="AI86" s="416"/>
      <c r="AJ86" s="416"/>
      <c r="AK86" s="416"/>
      <c r="AL86" s="416"/>
      <c r="AM86" s="416"/>
      <c r="AN86" s="416"/>
      <c r="AO86" s="416"/>
      <c r="AP86" s="416"/>
      <c r="AQ86" s="416"/>
      <c r="AR86" s="416"/>
      <c r="AS86" s="416"/>
      <c r="AT86" s="416"/>
      <c r="AU86" s="416"/>
      <c r="AV86" s="416"/>
      <c r="AW86" s="416"/>
      <c r="AX86" s="416"/>
      <c r="AY86" s="416"/>
      <c r="AZ86" s="32"/>
    </row>
    <row r="87" spans="2:52">
      <c r="B87" s="1266"/>
      <c r="C87" s="1267"/>
      <c r="D87" s="570"/>
      <c r="E87" s="570"/>
      <c r="F87" s="570"/>
      <c r="G87" s="570"/>
      <c r="H87" s="570"/>
      <c r="I87" s="570"/>
      <c r="J87" s="570"/>
      <c r="K87" s="570"/>
      <c r="L87" s="570"/>
      <c r="M87" s="570"/>
      <c r="N87" s="413" t="str">
        <f t="shared" si="4"/>
        <v xml:space="preserve"> </v>
      </c>
      <c r="O87" s="46"/>
      <c r="P87" s="409"/>
      <c r="Q87" s="409"/>
      <c r="R87" s="409"/>
      <c r="S87" s="32"/>
      <c r="T87" s="410"/>
      <c r="U87" s="410"/>
      <c r="V87" s="410"/>
      <c r="W87" s="410"/>
      <c r="X87" s="410"/>
      <c r="Y87" s="410"/>
      <c r="Z87" s="410"/>
      <c r="AA87" s="410"/>
      <c r="AB87" s="410"/>
      <c r="AC87" s="410"/>
      <c r="AD87" s="407"/>
      <c r="AE87" s="410"/>
      <c r="AF87" s="410"/>
      <c r="AG87" s="410"/>
      <c r="AH87" s="410"/>
      <c r="AI87" s="410"/>
      <c r="AJ87" s="410"/>
      <c r="AK87" s="410"/>
      <c r="AL87" s="410"/>
      <c r="AM87" s="410"/>
      <c r="AN87" s="410"/>
      <c r="AO87" s="410"/>
      <c r="AP87" s="410"/>
      <c r="AQ87" s="410"/>
      <c r="AR87" s="410"/>
      <c r="AS87" s="410"/>
      <c r="AT87" s="410"/>
      <c r="AU87" s="410"/>
      <c r="AV87" s="410"/>
      <c r="AW87" s="410"/>
      <c r="AX87" s="410"/>
      <c r="AY87" s="410"/>
      <c r="AZ87" s="32"/>
    </row>
    <row r="88" spans="2:52">
      <c r="B88" s="1256" t="s">
        <v>668</v>
      </c>
      <c r="C88" s="1257"/>
      <c r="D88" s="411" t="s">
        <v>1334</v>
      </c>
      <c r="E88" s="411"/>
      <c r="F88" s="411" t="s">
        <v>330</v>
      </c>
      <c r="G88" s="411" t="s">
        <v>331</v>
      </c>
      <c r="H88" s="412">
        <v>7500</v>
      </c>
      <c r="I88" s="413" t="s">
        <v>76</v>
      </c>
      <c r="J88" s="414">
        <v>45024.770833333336</v>
      </c>
      <c r="K88" s="414"/>
      <c r="L88" s="414" t="s">
        <v>192</v>
      </c>
      <c r="M88" s="414" t="s">
        <v>192</v>
      </c>
      <c r="N88" s="413" t="str">
        <f t="shared" si="4"/>
        <v>DELAY ( 2 day 13 hour 18 minute )</v>
      </c>
      <c r="O88" s="51"/>
      <c r="P88" s="415" t="s">
        <v>551</v>
      </c>
      <c r="Q88" s="415" t="s">
        <v>551</v>
      </c>
      <c r="R88" s="415" t="s">
        <v>551</v>
      </c>
      <c r="S88" s="32"/>
      <c r="T88" s="416"/>
      <c r="U88" s="416"/>
      <c r="V88" s="416"/>
      <c r="W88" s="416"/>
      <c r="X88" s="416"/>
      <c r="Y88" s="416"/>
      <c r="Z88" s="416"/>
      <c r="AA88" s="416"/>
      <c r="AB88" s="416"/>
      <c r="AC88" s="416"/>
      <c r="AD88" s="416"/>
      <c r="AE88" s="416"/>
      <c r="AF88" s="416"/>
      <c r="AG88" s="416"/>
      <c r="AH88" s="416"/>
      <c r="AI88" s="416"/>
      <c r="AJ88" s="416"/>
      <c r="AK88" s="416">
        <f>H88</f>
        <v>7500</v>
      </c>
      <c r="AL88" s="416"/>
      <c r="AM88" s="416"/>
      <c r="AN88" s="416"/>
      <c r="AO88" s="416"/>
      <c r="AP88" s="416"/>
      <c r="AQ88" s="416"/>
      <c r="AR88" s="416"/>
      <c r="AS88" s="416"/>
      <c r="AT88" s="416"/>
      <c r="AU88" s="416"/>
      <c r="AV88" s="416"/>
      <c r="AW88" s="416"/>
      <c r="AX88" s="416"/>
      <c r="AY88" s="416"/>
      <c r="AZ88" s="32"/>
    </row>
    <row r="89" spans="2:52">
      <c r="B89" s="1258" t="s">
        <v>1408</v>
      </c>
      <c r="C89" s="1259"/>
      <c r="D89" s="1259"/>
      <c r="E89" s="1259"/>
      <c r="F89" s="1259"/>
      <c r="G89" s="1260"/>
      <c r="H89" s="417">
        <f>SUM(H88)</f>
        <v>7500</v>
      </c>
      <c r="I89" s="388"/>
      <c r="J89" s="293"/>
      <c r="K89" s="293"/>
      <c r="L89" s="293"/>
      <c r="M89" s="389"/>
      <c r="N89" s="413" t="str">
        <f t="shared" si="4"/>
        <v xml:space="preserve"> </v>
      </c>
      <c r="O89" s="47"/>
      <c r="P89" s="418"/>
      <c r="Q89" s="418"/>
      <c r="R89" s="418"/>
      <c r="S89" s="32"/>
      <c r="T89" s="416"/>
      <c r="U89" s="416"/>
      <c r="V89" s="416"/>
      <c r="W89" s="416"/>
      <c r="X89" s="416"/>
      <c r="Y89" s="416"/>
      <c r="Z89" s="416"/>
      <c r="AA89" s="416"/>
      <c r="AB89" s="416"/>
      <c r="AC89" s="416"/>
      <c r="AD89" s="416"/>
      <c r="AE89" s="416"/>
      <c r="AF89" s="416"/>
      <c r="AG89" s="416"/>
      <c r="AH89" s="416"/>
      <c r="AI89" s="416"/>
      <c r="AJ89" s="416"/>
      <c r="AK89" s="416"/>
      <c r="AL89" s="416"/>
      <c r="AM89" s="416"/>
      <c r="AN89" s="416"/>
      <c r="AO89" s="416"/>
      <c r="AP89" s="416"/>
      <c r="AQ89" s="416"/>
      <c r="AR89" s="416"/>
      <c r="AS89" s="416"/>
      <c r="AT89" s="416"/>
      <c r="AU89" s="416"/>
      <c r="AV89" s="416"/>
      <c r="AW89" s="416"/>
      <c r="AX89" s="416"/>
      <c r="AY89" s="416"/>
    </row>
    <row r="90" spans="2:52">
      <c r="B90" s="1250" t="s">
        <v>622</v>
      </c>
      <c r="C90" s="1251"/>
      <c r="D90" s="411" t="s">
        <v>1204</v>
      </c>
      <c r="E90" s="411"/>
      <c r="F90" s="411" t="s">
        <v>201</v>
      </c>
      <c r="G90" s="411" t="s">
        <v>202</v>
      </c>
      <c r="H90" s="412">
        <v>7583.4989999999998</v>
      </c>
      <c r="I90" s="413" t="s">
        <v>235</v>
      </c>
      <c r="J90" s="414">
        <v>45023.625</v>
      </c>
      <c r="K90" s="414"/>
      <c r="L90" s="414" t="s">
        <v>192</v>
      </c>
      <c r="M90" s="414" t="s">
        <v>192</v>
      </c>
      <c r="N90" s="413" t="str">
        <f t="shared" si="4"/>
        <v>DELAY ( 1 day 9 hour 48 minute )</v>
      </c>
      <c r="O90" s="51"/>
      <c r="P90" s="415" t="s">
        <v>551</v>
      </c>
      <c r="Q90" s="415" t="s">
        <v>551</v>
      </c>
      <c r="R90" s="415" t="s">
        <v>551</v>
      </c>
      <c r="S90" s="32"/>
      <c r="T90" s="416"/>
      <c r="U90" s="416"/>
      <c r="V90" s="416"/>
      <c r="W90" s="416"/>
      <c r="X90" s="416"/>
      <c r="Y90" s="416"/>
      <c r="Z90" s="416"/>
      <c r="AA90" s="416"/>
      <c r="AB90" s="416">
        <f>H90</f>
        <v>7583.4989999999998</v>
      </c>
      <c r="AC90" s="416"/>
      <c r="AD90" s="416"/>
      <c r="AE90" s="416"/>
      <c r="AF90" s="416"/>
      <c r="AG90" s="416"/>
      <c r="AH90" s="416"/>
      <c r="AI90" s="416"/>
      <c r="AJ90" s="416"/>
      <c r="AK90" s="416"/>
      <c r="AL90" s="416"/>
      <c r="AM90" s="416"/>
      <c r="AN90" s="416"/>
      <c r="AO90" s="416"/>
      <c r="AP90" s="416"/>
      <c r="AQ90" s="416"/>
      <c r="AR90" s="416"/>
      <c r="AS90" s="416"/>
      <c r="AT90" s="416"/>
      <c r="AU90" s="416"/>
      <c r="AV90" s="416"/>
      <c r="AW90" s="416"/>
      <c r="AX90" s="416"/>
      <c r="AY90" s="416"/>
      <c r="AZ90" s="32"/>
    </row>
    <row r="91" spans="2:52">
      <c r="B91" s="1254"/>
      <c r="C91" s="1255"/>
      <c r="D91" s="411"/>
      <c r="E91" s="411"/>
      <c r="F91" s="1256" t="s">
        <v>668</v>
      </c>
      <c r="G91" s="1257"/>
      <c r="H91" s="412">
        <v>1500</v>
      </c>
      <c r="I91" s="413"/>
      <c r="J91" s="414"/>
      <c r="K91" s="414"/>
      <c r="L91" s="414"/>
      <c r="M91" s="414"/>
      <c r="N91" s="413" t="str">
        <f t="shared" si="4"/>
        <v xml:space="preserve"> </v>
      </c>
      <c r="O91" s="51"/>
      <c r="P91" s="415"/>
      <c r="Q91" s="415"/>
      <c r="R91" s="415"/>
      <c r="S91" s="32"/>
      <c r="T91" s="416"/>
      <c r="U91" s="416"/>
      <c r="V91" s="416"/>
      <c r="W91" s="416"/>
      <c r="X91" s="416"/>
      <c r="Y91" s="416"/>
      <c r="Z91" s="416"/>
      <c r="AA91" s="416"/>
      <c r="AB91" s="416"/>
      <c r="AC91" s="416"/>
      <c r="AD91" s="416"/>
      <c r="AE91" s="416"/>
      <c r="AF91" s="416"/>
      <c r="AG91" s="416"/>
      <c r="AH91" s="416"/>
      <c r="AI91" s="416"/>
      <c r="AJ91" s="416"/>
      <c r="AK91" s="416"/>
      <c r="AL91" s="416"/>
      <c r="AM91" s="416"/>
      <c r="AN91" s="416"/>
      <c r="AO91" s="416"/>
      <c r="AP91" s="416"/>
      <c r="AQ91" s="416"/>
      <c r="AR91" s="416"/>
      <c r="AS91" s="416"/>
      <c r="AT91" s="416"/>
      <c r="AU91" s="416"/>
      <c r="AV91" s="416"/>
      <c r="AW91" s="416"/>
      <c r="AX91" s="416"/>
      <c r="AY91" s="416"/>
      <c r="AZ91" s="32"/>
    </row>
    <row r="92" spans="2:52">
      <c r="B92" s="1250" t="s">
        <v>623</v>
      </c>
      <c r="C92" s="1251"/>
      <c r="D92" s="411" t="s">
        <v>1208</v>
      </c>
      <c r="E92" s="411"/>
      <c r="F92" s="411" t="s">
        <v>271</v>
      </c>
      <c r="G92" s="411" t="s">
        <v>272</v>
      </c>
      <c r="H92" s="412">
        <v>9263.9560000000001</v>
      </c>
      <c r="I92" s="413" t="s">
        <v>235</v>
      </c>
      <c r="J92" s="414">
        <v>45023.659722222219</v>
      </c>
      <c r="K92" s="414"/>
      <c r="L92" s="414" t="s">
        <v>192</v>
      </c>
      <c r="M92" s="414" t="s">
        <v>192</v>
      </c>
      <c r="N92" s="413" t="str">
        <f t="shared" si="4"/>
        <v>DELAY ( 1 day 10 hour 38 minute )</v>
      </c>
      <c r="O92" s="51"/>
      <c r="P92" s="415" t="s">
        <v>551</v>
      </c>
      <c r="Q92" s="415" t="s">
        <v>551</v>
      </c>
      <c r="R92" s="415" t="s">
        <v>551</v>
      </c>
      <c r="S92" s="32"/>
      <c r="T92" s="416"/>
      <c r="U92" s="416"/>
      <c r="V92" s="416"/>
      <c r="W92" s="416"/>
      <c r="X92" s="416"/>
      <c r="Y92" s="416"/>
      <c r="Z92" s="416"/>
      <c r="AA92" s="416"/>
      <c r="AB92" s="416">
        <f>H92</f>
        <v>9263.9560000000001</v>
      </c>
      <c r="AC92" s="416"/>
      <c r="AD92" s="416"/>
      <c r="AE92" s="416"/>
      <c r="AF92" s="416"/>
      <c r="AG92" s="416"/>
      <c r="AH92" s="416"/>
      <c r="AI92" s="416"/>
      <c r="AJ92" s="416"/>
      <c r="AK92" s="416"/>
      <c r="AL92" s="416"/>
      <c r="AM92" s="416"/>
      <c r="AN92" s="416"/>
      <c r="AO92" s="416"/>
      <c r="AP92" s="416"/>
      <c r="AQ92" s="416"/>
      <c r="AR92" s="416"/>
      <c r="AS92" s="416"/>
      <c r="AT92" s="416"/>
      <c r="AU92" s="416"/>
      <c r="AV92" s="416"/>
      <c r="AW92" s="416"/>
      <c r="AX92" s="416"/>
      <c r="AY92" s="416"/>
      <c r="AZ92" s="32"/>
    </row>
    <row r="93" spans="2:52">
      <c r="B93" s="1252"/>
      <c r="C93" s="1253"/>
      <c r="D93" s="411"/>
      <c r="E93" s="411"/>
      <c r="F93" s="1256" t="s">
        <v>616</v>
      </c>
      <c r="G93" s="1257"/>
      <c r="H93" s="412">
        <f>1225.012</f>
        <v>1225.0119999999999</v>
      </c>
      <c r="I93" s="413"/>
      <c r="J93" s="414"/>
      <c r="K93" s="414"/>
      <c r="L93" s="414"/>
      <c r="M93" s="414"/>
      <c r="N93" s="413" t="str">
        <f t="shared" si="4"/>
        <v xml:space="preserve"> </v>
      </c>
      <c r="O93" s="51"/>
      <c r="P93" s="415"/>
      <c r="Q93" s="415"/>
      <c r="R93" s="415"/>
      <c r="S93" s="32"/>
      <c r="T93" s="416"/>
      <c r="U93" s="416"/>
      <c r="V93" s="416"/>
      <c r="W93" s="416"/>
      <c r="X93" s="416"/>
      <c r="Y93" s="416"/>
      <c r="Z93" s="416"/>
      <c r="AA93" s="416"/>
      <c r="AB93" s="416"/>
      <c r="AC93" s="416"/>
      <c r="AD93" s="416"/>
      <c r="AE93" s="416"/>
      <c r="AF93" s="416"/>
      <c r="AG93" s="416"/>
      <c r="AH93" s="416"/>
      <c r="AI93" s="416"/>
      <c r="AJ93" s="416"/>
      <c r="AK93" s="416"/>
      <c r="AL93" s="416"/>
      <c r="AM93" s="416"/>
      <c r="AN93" s="416"/>
      <c r="AO93" s="416"/>
      <c r="AP93" s="416"/>
      <c r="AQ93" s="416"/>
      <c r="AR93" s="416"/>
      <c r="AS93" s="416"/>
      <c r="AT93" s="416"/>
      <c r="AU93" s="416"/>
      <c r="AV93" s="416"/>
      <c r="AW93" s="416"/>
      <c r="AX93" s="416"/>
      <c r="AY93" s="416"/>
      <c r="AZ93" s="32"/>
    </row>
    <row r="94" spans="2:52">
      <c r="B94" s="1254"/>
      <c r="C94" s="1255"/>
      <c r="D94" s="411"/>
      <c r="E94" s="411"/>
      <c r="F94" s="1256" t="s">
        <v>668</v>
      </c>
      <c r="G94" s="1257"/>
      <c r="H94" s="412">
        <v>1000</v>
      </c>
      <c r="I94" s="413"/>
      <c r="J94" s="414"/>
      <c r="K94" s="414"/>
      <c r="L94" s="414"/>
      <c r="M94" s="414"/>
      <c r="N94" s="413" t="str">
        <f t="shared" si="4"/>
        <v xml:space="preserve"> </v>
      </c>
      <c r="O94" s="51"/>
      <c r="P94" s="415"/>
      <c r="Q94" s="415"/>
      <c r="R94" s="415"/>
      <c r="S94" s="32"/>
      <c r="T94" s="416"/>
      <c r="U94" s="416"/>
      <c r="V94" s="416"/>
      <c r="W94" s="416"/>
      <c r="X94" s="416"/>
      <c r="Y94" s="416"/>
      <c r="Z94" s="416"/>
      <c r="AA94" s="416"/>
      <c r="AB94" s="416"/>
      <c r="AC94" s="416"/>
      <c r="AD94" s="416"/>
      <c r="AE94" s="416"/>
      <c r="AF94" s="416"/>
      <c r="AG94" s="416"/>
      <c r="AH94" s="416"/>
      <c r="AI94" s="416"/>
      <c r="AJ94" s="416"/>
      <c r="AK94" s="416"/>
      <c r="AL94" s="416"/>
      <c r="AM94" s="416"/>
      <c r="AN94" s="416"/>
      <c r="AO94" s="416"/>
      <c r="AP94" s="416"/>
      <c r="AQ94" s="416"/>
      <c r="AR94" s="416"/>
      <c r="AS94" s="416"/>
      <c r="AT94" s="416"/>
      <c r="AU94" s="416"/>
      <c r="AV94" s="416"/>
      <c r="AW94" s="416"/>
      <c r="AX94" s="416"/>
      <c r="AY94" s="416"/>
      <c r="AZ94" s="32"/>
    </row>
    <row r="95" spans="2:52">
      <c r="B95" s="1250" t="s">
        <v>624</v>
      </c>
      <c r="C95" s="1251"/>
      <c r="D95" s="411" t="s">
        <v>1205</v>
      </c>
      <c r="E95" s="411"/>
      <c r="F95" s="411" t="s">
        <v>307</v>
      </c>
      <c r="G95" s="411" t="s">
        <v>308</v>
      </c>
      <c r="H95" s="412">
        <v>7580.9449999999997</v>
      </c>
      <c r="I95" s="413" t="s">
        <v>235</v>
      </c>
      <c r="J95" s="414">
        <v>45023.8125</v>
      </c>
      <c r="K95" s="414"/>
      <c r="L95" s="414" t="s">
        <v>192</v>
      </c>
      <c r="M95" s="414" t="s">
        <v>192</v>
      </c>
      <c r="N95" s="413" t="str">
        <f t="shared" si="4"/>
        <v>DELAY ( 1 day 14 hour 18 minute )</v>
      </c>
      <c r="O95" s="51"/>
      <c r="P95" s="415" t="s">
        <v>551</v>
      </c>
      <c r="Q95" s="415" t="s">
        <v>551</v>
      </c>
      <c r="R95" s="415" t="s">
        <v>551</v>
      </c>
      <c r="S95" s="32"/>
      <c r="T95" s="416"/>
      <c r="U95" s="416"/>
      <c r="V95" s="416"/>
      <c r="W95" s="416"/>
      <c r="X95" s="416"/>
      <c r="Y95" s="416"/>
      <c r="Z95" s="416"/>
      <c r="AA95" s="416"/>
      <c r="AB95" s="416">
        <f>H95</f>
        <v>7580.9449999999997</v>
      </c>
      <c r="AC95" s="416"/>
      <c r="AD95" s="416"/>
      <c r="AE95" s="416"/>
      <c r="AF95" s="416"/>
      <c r="AG95" s="416"/>
      <c r="AH95" s="416"/>
      <c r="AI95" s="416"/>
      <c r="AJ95" s="416"/>
      <c r="AK95" s="416"/>
      <c r="AL95" s="416"/>
      <c r="AM95" s="416"/>
      <c r="AN95" s="416"/>
      <c r="AO95" s="416"/>
      <c r="AP95" s="416"/>
      <c r="AQ95" s="416"/>
      <c r="AR95" s="416"/>
      <c r="AS95" s="416"/>
      <c r="AT95" s="416"/>
      <c r="AU95" s="416"/>
      <c r="AV95" s="416"/>
      <c r="AW95" s="416"/>
      <c r="AX95" s="416"/>
      <c r="AY95" s="416"/>
      <c r="AZ95" s="32"/>
    </row>
    <row r="96" spans="2:52">
      <c r="B96" s="1254"/>
      <c r="C96" s="1255"/>
      <c r="D96" s="411"/>
      <c r="E96" s="411"/>
      <c r="F96" s="1256" t="s">
        <v>668</v>
      </c>
      <c r="G96" s="1257"/>
      <c r="H96" s="412">
        <v>1500</v>
      </c>
      <c r="I96" s="413"/>
      <c r="J96" s="414"/>
      <c r="K96" s="414"/>
      <c r="L96" s="414"/>
      <c r="M96" s="414"/>
      <c r="N96" s="413" t="str">
        <f t="shared" si="4"/>
        <v xml:space="preserve"> </v>
      </c>
      <c r="O96" s="51"/>
      <c r="P96" s="415"/>
      <c r="Q96" s="415"/>
      <c r="R96" s="415"/>
      <c r="S96" s="32"/>
      <c r="T96" s="416"/>
      <c r="U96" s="416"/>
      <c r="V96" s="416"/>
      <c r="W96" s="416"/>
      <c r="X96" s="416"/>
      <c r="Y96" s="416"/>
      <c r="Z96" s="416"/>
      <c r="AA96" s="416"/>
      <c r="AB96" s="416"/>
      <c r="AC96" s="416"/>
      <c r="AD96" s="416"/>
      <c r="AE96" s="416"/>
      <c r="AF96" s="416"/>
      <c r="AG96" s="416"/>
      <c r="AH96" s="416"/>
      <c r="AI96" s="416"/>
      <c r="AJ96" s="416"/>
      <c r="AK96" s="416"/>
      <c r="AL96" s="416"/>
      <c r="AM96" s="416"/>
      <c r="AN96" s="416"/>
      <c r="AO96" s="416"/>
      <c r="AP96" s="416"/>
      <c r="AQ96" s="416"/>
      <c r="AR96" s="416"/>
      <c r="AS96" s="416"/>
      <c r="AT96" s="416"/>
      <c r="AU96" s="416"/>
      <c r="AV96" s="416"/>
      <c r="AW96" s="416"/>
      <c r="AX96" s="416"/>
      <c r="AY96" s="416"/>
      <c r="AZ96" s="32"/>
    </row>
    <row r="97" spans="2:52">
      <c r="B97" s="1250" t="s">
        <v>625</v>
      </c>
      <c r="C97" s="1251"/>
      <c r="D97" s="411" t="s">
        <v>1201</v>
      </c>
      <c r="E97" s="411"/>
      <c r="F97" s="411" t="s">
        <v>343</v>
      </c>
      <c r="G97" s="411" t="s">
        <v>359</v>
      </c>
      <c r="H97" s="412">
        <v>9045.7099999999991</v>
      </c>
      <c r="I97" s="413" t="s">
        <v>235</v>
      </c>
      <c r="J97" s="414">
        <v>45024.513888888891</v>
      </c>
      <c r="K97" s="414"/>
      <c r="L97" s="414" t="s">
        <v>192</v>
      </c>
      <c r="M97" s="414" t="s">
        <v>192</v>
      </c>
      <c r="N97" s="413" t="str">
        <f t="shared" si="4"/>
        <v>DELAY ( 2 day 7 hour 8 minute )</v>
      </c>
      <c r="O97" s="51"/>
      <c r="P97" s="415" t="s">
        <v>551</v>
      </c>
      <c r="Q97" s="415" t="s">
        <v>551</v>
      </c>
      <c r="R97" s="415" t="s">
        <v>551</v>
      </c>
      <c r="S97" s="32"/>
      <c r="T97" s="416"/>
      <c r="U97" s="416"/>
      <c r="V97" s="416"/>
      <c r="W97" s="416"/>
      <c r="X97" s="416"/>
      <c r="Y97" s="416"/>
      <c r="Z97" s="416"/>
      <c r="AA97" s="416"/>
      <c r="AB97" s="416">
        <f>H97</f>
        <v>9045.7099999999991</v>
      </c>
      <c r="AC97" s="416"/>
      <c r="AD97" s="416"/>
      <c r="AE97" s="416"/>
      <c r="AF97" s="416"/>
      <c r="AG97" s="416"/>
      <c r="AH97" s="416"/>
      <c r="AI97" s="416"/>
      <c r="AJ97" s="416"/>
      <c r="AK97" s="416"/>
      <c r="AL97" s="416"/>
      <c r="AM97" s="416"/>
      <c r="AN97" s="416"/>
      <c r="AO97" s="416"/>
      <c r="AP97" s="416"/>
      <c r="AQ97" s="416"/>
      <c r="AR97" s="416"/>
      <c r="AS97" s="416"/>
      <c r="AT97" s="416"/>
      <c r="AU97" s="416"/>
      <c r="AV97" s="416"/>
      <c r="AW97" s="416"/>
      <c r="AX97" s="416"/>
      <c r="AY97" s="416"/>
      <c r="AZ97" s="32"/>
    </row>
    <row r="98" spans="2:52">
      <c r="B98" s="1254"/>
      <c r="C98" s="1255"/>
      <c r="D98" s="411"/>
      <c r="E98" s="411"/>
      <c r="F98" s="1256" t="s">
        <v>668</v>
      </c>
      <c r="G98" s="1257"/>
      <c r="H98" s="412">
        <v>2000</v>
      </c>
      <c r="I98" s="413"/>
      <c r="J98" s="414"/>
      <c r="K98" s="414"/>
      <c r="L98" s="414"/>
      <c r="M98" s="414"/>
      <c r="N98" s="413" t="str">
        <f t="shared" si="4"/>
        <v xml:space="preserve"> </v>
      </c>
      <c r="O98" s="51"/>
      <c r="P98" s="415"/>
      <c r="Q98" s="415"/>
      <c r="R98" s="415"/>
      <c r="S98" s="32"/>
      <c r="T98" s="416"/>
      <c r="U98" s="416"/>
      <c r="V98" s="416"/>
      <c r="W98" s="416"/>
      <c r="X98" s="416"/>
      <c r="Y98" s="416"/>
      <c r="Z98" s="416"/>
      <c r="AA98" s="416"/>
      <c r="AB98" s="416"/>
      <c r="AC98" s="416"/>
      <c r="AD98" s="416"/>
      <c r="AE98" s="416"/>
      <c r="AF98" s="416"/>
      <c r="AG98" s="416"/>
      <c r="AH98" s="416"/>
      <c r="AI98" s="416"/>
      <c r="AJ98" s="416"/>
      <c r="AK98" s="416"/>
      <c r="AL98" s="416"/>
      <c r="AM98" s="416"/>
      <c r="AN98" s="416"/>
      <c r="AO98" s="416"/>
      <c r="AP98" s="416"/>
      <c r="AQ98" s="416"/>
      <c r="AR98" s="416"/>
      <c r="AS98" s="416"/>
      <c r="AT98" s="416"/>
      <c r="AU98" s="416"/>
      <c r="AV98" s="416"/>
      <c r="AW98" s="416"/>
      <c r="AX98" s="416"/>
      <c r="AY98" s="416"/>
      <c r="AZ98" s="32"/>
    </row>
    <row r="99" spans="2:52">
      <c r="B99" s="1250" t="s">
        <v>669</v>
      </c>
      <c r="C99" s="1251"/>
      <c r="D99" s="411" t="s">
        <v>1206</v>
      </c>
      <c r="E99" s="411"/>
      <c r="F99" s="411" t="s">
        <v>374</v>
      </c>
      <c r="G99" s="411" t="s">
        <v>375</v>
      </c>
      <c r="H99" s="412">
        <f>7465.533-3375.578</f>
        <v>4089.9550000000004</v>
      </c>
      <c r="I99" s="413" t="s">
        <v>240</v>
      </c>
      <c r="J99" s="414">
        <v>45023.482638888891</v>
      </c>
      <c r="K99" s="414"/>
      <c r="L99" s="414" t="s">
        <v>192</v>
      </c>
      <c r="M99" s="414" t="s">
        <v>192</v>
      </c>
      <c r="N99" s="413" t="str">
        <f t="shared" si="4"/>
        <v>DELAY ( 1 day 6 hour 23 minute )</v>
      </c>
      <c r="O99" s="51"/>
      <c r="P99" s="415" t="s">
        <v>551</v>
      </c>
      <c r="Q99" s="415" t="s">
        <v>551</v>
      </c>
      <c r="R99" s="415" t="s">
        <v>551</v>
      </c>
      <c r="S99" s="32"/>
      <c r="T99" s="416"/>
      <c r="U99" s="416"/>
      <c r="V99" s="416"/>
      <c r="W99" s="416"/>
      <c r="X99" s="416"/>
      <c r="Y99" s="416"/>
      <c r="Z99" s="416"/>
      <c r="AA99" s="416"/>
      <c r="AB99" s="416"/>
      <c r="AC99" s="416">
        <f>H99</f>
        <v>4089.9550000000004</v>
      </c>
      <c r="AD99" s="416"/>
      <c r="AE99" s="416"/>
      <c r="AF99" s="416"/>
      <c r="AG99" s="416"/>
      <c r="AH99" s="416"/>
      <c r="AI99" s="416"/>
      <c r="AJ99" s="416"/>
      <c r="AK99" s="416"/>
      <c r="AL99" s="416"/>
      <c r="AM99" s="416"/>
      <c r="AN99" s="416"/>
      <c r="AO99" s="416"/>
      <c r="AP99" s="416"/>
      <c r="AQ99" s="416"/>
      <c r="AR99" s="416"/>
      <c r="AS99" s="416"/>
      <c r="AT99" s="416"/>
      <c r="AU99" s="416"/>
      <c r="AV99" s="416"/>
      <c r="AW99" s="416"/>
      <c r="AX99" s="416"/>
      <c r="AY99" s="416"/>
      <c r="AZ99" s="32"/>
    </row>
    <row r="100" spans="2:52">
      <c r="B100" s="1254"/>
      <c r="C100" s="1255"/>
      <c r="D100" s="411"/>
      <c r="E100" s="411"/>
      <c r="F100" s="1256" t="s">
        <v>668</v>
      </c>
      <c r="G100" s="1257"/>
      <c r="H100" s="412">
        <v>1500</v>
      </c>
      <c r="I100" s="413"/>
      <c r="J100" s="414"/>
      <c r="K100" s="414"/>
      <c r="L100" s="414"/>
      <c r="M100" s="414"/>
      <c r="N100" s="413" t="str">
        <f t="shared" si="4"/>
        <v xml:space="preserve"> </v>
      </c>
      <c r="O100" s="51"/>
      <c r="P100" s="415"/>
      <c r="Q100" s="415"/>
      <c r="R100" s="415"/>
      <c r="S100" s="32"/>
      <c r="T100" s="416"/>
      <c r="U100" s="416"/>
      <c r="V100" s="416"/>
      <c r="W100" s="416"/>
      <c r="X100" s="416"/>
      <c r="Y100" s="416"/>
      <c r="Z100" s="416"/>
      <c r="AA100" s="416"/>
      <c r="AB100" s="416"/>
      <c r="AC100" s="416"/>
      <c r="AD100" s="416"/>
      <c r="AE100" s="416"/>
      <c r="AF100" s="416"/>
      <c r="AG100" s="416"/>
      <c r="AH100" s="416"/>
      <c r="AI100" s="416"/>
      <c r="AJ100" s="416"/>
      <c r="AK100" s="416"/>
      <c r="AL100" s="416"/>
      <c r="AM100" s="416"/>
      <c r="AN100" s="416"/>
      <c r="AO100" s="416"/>
      <c r="AP100" s="416"/>
      <c r="AQ100" s="416"/>
      <c r="AR100" s="416"/>
      <c r="AS100" s="416"/>
      <c r="AT100" s="416"/>
      <c r="AU100" s="416"/>
      <c r="AV100" s="416"/>
      <c r="AW100" s="416"/>
      <c r="AX100" s="416"/>
      <c r="AY100" s="416"/>
      <c r="AZ100" s="32"/>
    </row>
    <row r="101" spans="2:52">
      <c r="B101" s="1258" t="s">
        <v>626</v>
      </c>
      <c r="C101" s="1259"/>
      <c r="D101" s="1259"/>
      <c r="E101" s="1259"/>
      <c r="F101" s="1259"/>
      <c r="G101" s="1260"/>
      <c r="H101" s="417">
        <f>H83+H85+H90+H95+H92+H97+H99</f>
        <v>55274.987999999998</v>
      </c>
      <c r="I101" s="388"/>
      <c r="J101" s="293"/>
      <c r="K101" s="293"/>
      <c r="L101" s="293"/>
      <c r="M101" s="389"/>
      <c r="N101" s="413" t="str">
        <f t="shared" si="4"/>
        <v xml:space="preserve"> </v>
      </c>
      <c r="O101" s="47"/>
      <c r="P101" s="418"/>
      <c r="Q101" s="418"/>
      <c r="R101" s="418"/>
      <c r="S101" s="32"/>
      <c r="T101" s="1261"/>
      <c r="U101" s="1261"/>
      <c r="V101" s="1261"/>
      <c r="W101" s="1261"/>
      <c r="X101" s="1261"/>
      <c r="Y101" s="1261"/>
      <c r="Z101" s="1261"/>
      <c r="AA101" s="1261"/>
      <c r="AB101" s="1261"/>
      <c r="AC101" s="1261"/>
      <c r="AD101" s="1261"/>
      <c r="AE101" s="1261"/>
      <c r="AF101" s="1261"/>
      <c r="AG101" s="1261"/>
      <c r="AH101" s="1261"/>
      <c r="AI101" s="1261"/>
      <c r="AJ101" s="1261"/>
      <c r="AK101" s="1261"/>
      <c r="AL101" s="1261"/>
      <c r="AM101" s="1261"/>
      <c r="AN101" s="1261"/>
      <c r="AO101" s="1261"/>
      <c r="AP101" s="1261"/>
      <c r="AQ101" s="1261"/>
      <c r="AR101" s="1261"/>
      <c r="AS101" s="1261"/>
      <c r="AT101" s="1261"/>
      <c r="AU101" s="1261"/>
      <c r="AV101" s="1261"/>
      <c r="AW101" s="1261"/>
      <c r="AX101" s="1261"/>
      <c r="AY101" s="1261"/>
    </row>
    <row r="102" spans="2:52">
      <c r="B102" s="1258" t="s">
        <v>556</v>
      </c>
      <c r="C102" s="1259"/>
      <c r="D102" s="1259"/>
      <c r="E102" s="1259"/>
      <c r="F102" s="1259"/>
      <c r="G102" s="1260"/>
      <c r="H102" s="417">
        <f>H82+H101+H89</f>
        <v>70000</v>
      </c>
      <c r="I102" s="388"/>
      <c r="J102" s="293"/>
      <c r="K102" s="293"/>
      <c r="L102" s="293"/>
      <c r="M102" s="389"/>
      <c r="N102" s="413" t="str">
        <f t="shared" si="4"/>
        <v xml:space="preserve"> </v>
      </c>
      <c r="O102" s="47"/>
      <c r="P102" s="418"/>
      <c r="Q102" s="418"/>
      <c r="R102" s="418"/>
      <c r="S102" s="32"/>
      <c r="T102" s="1262"/>
      <c r="U102" s="1263"/>
      <c r="V102" s="1263"/>
      <c r="W102" s="1263"/>
      <c r="X102" s="1263"/>
      <c r="Y102" s="1263"/>
      <c r="Z102" s="1263"/>
      <c r="AA102" s="1263"/>
      <c r="AB102" s="1263"/>
      <c r="AC102" s="1263"/>
      <c r="AD102" s="1263"/>
      <c r="AE102" s="1263"/>
      <c r="AF102" s="1263"/>
      <c r="AG102" s="1263"/>
      <c r="AH102" s="1263"/>
      <c r="AI102" s="1263"/>
      <c r="AJ102" s="1263"/>
      <c r="AK102" s="1263"/>
      <c r="AL102" s="1263"/>
      <c r="AM102" s="1263"/>
      <c r="AN102" s="1263"/>
      <c r="AO102" s="1263"/>
      <c r="AP102" s="1263"/>
      <c r="AQ102" s="1263"/>
      <c r="AR102" s="1263"/>
      <c r="AS102" s="1263"/>
      <c r="AT102" s="1263"/>
      <c r="AU102" s="1263"/>
      <c r="AV102" s="1263"/>
      <c r="AW102" s="1263"/>
      <c r="AX102" s="1263"/>
      <c r="AY102" s="1264"/>
    </row>
    <row r="103" spans="2:52">
      <c r="B103" s="1243" t="s">
        <v>557</v>
      </c>
      <c r="C103" s="1244"/>
      <c r="D103" s="1244"/>
      <c r="E103" s="1244"/>
      <c r="F103" s="1244"/>
      <c r="G103" s="1245"/>
      <c r="H103" s="419">
        <v>70000</v>
      </c>
      <c r="I103" s="1246"/>
      <c r="J103" s="1247"/>
      <c r="K103" s="1247"/>
      <c r="L103" s="1247"/>
      <c r="M103" s="1248"/>
      <c r="N103" s="413" t="str">
        <f t="shared" si="4"/>
        <v xml:space="preserve"> </v>
      </c>
      <c r="O103" s="32"/>
      <c r="P103" s="415"/>
      <c r="Q103" s="415"/>
      <c r="R103" s="415"/>
      <c r="S103" s="63"/>
      <c r="T103" s="416">
        <f t="shared" ref="T103:AY103" si="5">SUM(T81:T99)</f>
        <v>0</v>
      </c>
      <c r="U103" s="416">
        <f t="shared" si="5"/>
        <v>0</v>
      </c>
      <c r="V103" s="416">
        <f t="shared" si="5"/>
        <v>0</v>
      </c>
      <c r="W103" s="416">
        <f t="shared" si="5"/>
        <v>0</v>
      </c>
      <c r="X103" s="416">
        <f t="shared" si="5"/>
        <v>0</v>
      </c>
      <c r="Y103" s="416">
        <f t="shared" si="5"/>
        <v>0</v>
      </c>
      <c r="Z103" s="416">
        <f t="shared" si="5"/>
        <v>0</v>
      </c>
      <c r="AA103" s="416">
        <f t="shared" si="5"/>
        <v>0</v>
      </c>
      <c r="AB103" s="416">
        <f t="shared" si="5"/>
        <v>51185.032999999996</v>
      </c>
      <c r="AC103" s="416">
        <f t="shared" si="5"/>
        <v>11314.967000000001</v>
      </c>
      <c r="AD103" s="416">
        <f t="shared" si="5"/>
        <v>0</v>
      </c>
      <c r="AE103" s="416">
        <f t="shared" si="5"/>
        <v>0</v>
      </c>
      <c r="AF103" s="416">
        <f t="shared" si="5"/>
        <v>0</v>
      </c>
      <c r="AG103" s="416">
        <f t="shared" si="5"/>
        <v>0</v>
      </c>
      <c r="AH103" s="416">
        <f t="shared" si="5"/>
        <v>0</v>
      </c>
      <c r="AI103" s="416">
        <f t="shared" si="5"/>
        <v>0</v>
      </c>
      <c r="AJ103" s="416">
        <f t="shared" si="5"/>
        <v>0</v>
      </c>
      <c r="AK103" s="416">
        <f t="shared" si="5"/>
        <v>7500</v>
      </c>
      <c r="AL103" s="416">
        <f t="shared" si="5"/>
        <v>0</v>
      </c>
      <c r="AM103" s="416">
        <f t="shared" si="5"/>
        <v>0</v>
      </c>
      <c r="AN103" s="416">
        <f t="shared" si="5"/>
        <v>0</v>
      </c>
      <c r="AO103" s="416">
        <f t="shared" si="5"/>
        <v>0</v>
      </c>
      <c r="AP103" s="416">
        <f t="shared" si="5"/>
        <v>0</v>
      </c>
      <c r="AQ103" s="416">
        <f t="shared" si="5"/>
        <v>0</v>
      </c>
      <c r="AR103" s="416">
        <f t="shared" si="5"/>
        <v>0</v>
      </c>
      <c r="AS103" s="416">
        <f t="shared" si="5"/>
        <v>0</v>
      </c>
      <c r="AT103" s="416">
        <f t="shared" si="5"/>
        <v>0</v>
      </c>
      <c r="AU103" s="416">
        <f t="shared" si="5"/>
        <v>0</v>
      </c>
      <c r="AV103" s="416">
        <f t="shared" si="5"/>
        <v>0</v>
      </c>
      <c r="AW103" s="416">
        <f t="shared" si="5"/>
        <v>0</v>
      </c>
      <c r="AX103" s="416">
        <f t="shared" si="5"/>
        <v>0</v>
      </c>
      <c r="AY103" s="416">
        <f t="shared" si="5"/>
        <v>0</v>
      </c>
      <c r="AZ103" s="416">
        <f>SUM(T103:AY103)</f>
        <v>70000</v>
      </c>
    </row>
    <row r="104" spans="2:52">
      <c r="B104" s="1243" t="s">
        <v>558</v>
      </c>
      <c r="C104" s="1244"/>
      <c r="D104" s="1244"/>
      <c r="E104" s="1244"/>
      <c r="F104" s="1244"/>
      <c r="G104" s="1245"/>
      <c r="H104" s="420">
        <f>H103-L75</f>
        <v>0</v>
      </c>
      <c r="I104" s="294"/>
      <c r="J104" s="295"/>
      <c r="K104" s="295"/>
      <c r="L104" s="296"/>
      <c r="M104" s="32"/>
      <c r="N104" s="32"/>
      <c r="O104" s="32"/>
      <c r="P104" s="32"/>
      <c r="Q104" s="297"/>
      <c r="R104" s="297"/>
      <c r="S104" s="32"/>
      <c r="T104" s="48"/>
      <c r="U104" s="48"/>
      <c r="V104" s="48"/>
      <c r="W104" s="48"/>
      <c r="X104" s="48"/>
      <c r="Y104" s="48"/>
      <c r="Z104" s="48"/>
      <c r="AA104" s="48"/>
      <c r="AB104" s="48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</row>
    <row r="105" spans="2:52">
      <c r="B105" s="1243" t="s">
        <v>559</v>
      </c>
      <c r="C105" s="1244"/>
      <c r="D105" s="1244"/>
      <c r="E105" s="1244"/>
      <c r="F105" s="1244"/>
      <c r="G105" s="1245"/>
      <c r="H105" s="420">
        <v>3369</v>
      </c>
      <c r="I105" s="281">
        <v>3379</v>
      </c>
      <c r="J105" s="53"/>
      <c r="K105" s="53"/>
      <c r="L105" s="54"/>
      <c r="M105" s="32"/>
      <c r="N105" s="32"/>
      <c r="O105" s="32"/>
      <c r="P105" s="32"/>
      <c r="Q105" s="32"/>
      <c r="R105" s="32"/>
      <c r="S105" s="32"/>
      <c r="T105" s="48"/>
      <c r="U105" s="48"/>
      <c r="V105" s="48"/>
      <c r="W105" s="48"/>
      <c r="X105" s="48"/>
      <c r="Y105" s="48"/>
      <c r="Z105" s="48"/>
      <c r="AA105" s="48"/>
      <c r="AB105" s="48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</row>
    <row r="106" spans="2:52">
      <c r="B106" s="1243" t="s">
        <v>560</v>
      </c>
      <c r="C106" s="1244"/>
      <c r="D106" s="1244"/>
      <c r="E106" s="1244"/>
      <c r="F106" s="1244"/>
      <c r="G106" s="1245"/>
      <c r="H106" s="421">
        <f>H105-3375.578</f>
        <v>-6.5779999999999745</v>
      </c>
      <c r="I106" s="270">
        <f>I105-H105</f>
        <v>10</v>
      </c>
      <c r="J106" s="53"/>
      <c r="K106" s="53"/>
      <c r="L106" s="54"/>
      <c r="M106" s="32"/>
      <c r="N106" s="32"/>
      <c r="O106" s="32"/>
      <c r="P106" s="32"/>
      <c r="Q106" s="32"/>
      <c r="R106" s="32"/>
      <c r="S106" s="48"/>
      <c r="T106" s="48"/>
      <c r="U106" s="48"/>
      <c r="V106" s="48"/>
      <c r="W106" s="48"/>
      <c r="X106" s="48"/>
      <c r="Y106" s="48"/>
      <c r="Z106" s="48"/>
      <c r="AA106" s="48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07" spans="2:52">
      <c r="B107" s="32"/>
      <c r="C107" s="32"/>
      <c r="D107" s="32"/>
      <c r="E107" s="32"/>
      <c r="F107" s="32"/>
      <c r="G107" s="32"/>
      <c r="H107" s="32"/>
      <c r="I107" s="57"/>
      <c r="J107" s="52"/>
      <c r="K107" s="52"/>
      <c r="L107" s="55"/>
      <c r="M107" s="32"/>
      <c r="N107" s="32"/>
      <c r="O107" s="52"/>
      <c r="P107" s="32"/>
      <c r="Q107" s="32"/>
      <c r="R107" s="32"/>
      <c r="S107" s="32"/>
      <c r="T107" s="48"/>
      <c r="U107" s="48"/>
      <c r="V107" s="48"/>
      <c r="W107" s="48"/>
      <c r="X107" s="48"/>
      <c r="Y107" s="48"/>
      <c r="Z107" s="48"/>
      <c r="AA107" s="48"/>
      <c r="AB107" s="48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</row>
    <row r="108" spans="2:52">
      <c r="B108" s="40" t="s">
        <v>561</v>
      </c>
      <c r="C108" s="40"/>
      <c r="D108" s="32"/>
      <c r="E108" s="32"/>
      <c r="F108" s="32"/>
      <c r="G108" s="32"/>
      <c r="H108" s="32"/>
      <c r="I108" s="32"/>
      <c r="J108" s="52"/>
      <c r="K108" s="52"/>
      <c r="L108" s="55"/>
      <c r="M108" s="32"/>
      <c r="N108" s="32"/>
      <c r="O108" s="52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Z108" s="32"/>
    </row>
    <row r="109" spans="2:52">
      <c r="B109" s="422">
        <v>1</v>
      </c>
      <c r="C109" s="1249" t="s">
        <v>1409</v>
      </c>
      <c r="D109" s="1249"/>
      <c r="E109" s="1249"/>
      <c r="F109" s="1249"/>
      <c r="G109" s="1249"/>
      <c r="H109" s="1249"/>
      <c r="I109" s="1249"/>
      <c r="J109" s="1249"/>
      <c r="K109" s="1249"/>
      <c r="L109" s="55"/>
      <c r="M109" s="55"/>
      <c r="N109" s="32"/>
      <c r="O109" s="52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</row>
    <row r="111" spans="2:52">
      <c r="B111" s="28" t="s">
        <v>126</v>
      </c>
      <c r="C111" s="28"/>
      <c r="D111" s="29"/>
      <c r="E111" s="30" t="s">
        <v>511</v>
      </c>
      <c r="F111" s="31" t="s">
        <v>1207</v>
      </c>
      <c r="G111" s="32"/>
      <c r="H111" s="33"/>
      <c r="I111" s="34"/>
      <c r="J111" s="35" t="s">
        <v>513</v>
      </c>
      <c r="K111" s="36" t="s">
        <v>511</v>
      </c>
      <c r="L111" s="37">
        <v>45028.229166666664</v>
      </c>
      <c r="M111" s="32"/>
      <c r="N111" s="32"/>
      <c r="O111" s="36"/>
      <c r="P111" s="33"/>
      <c r="Q111" s="48"/>
      <c r="R111" s="49"/>
      <c r="S111" s="38"/>
      <c r="T111" s="32"/>
      <c r="U111" s="32"/>
      <c r="V111" s="32"/>
      <c r="W111" s="32"/>
      <c r="X111" s="32"/>
      <c r="Y111" s="32"/>
      <c r="Z111" s="32"/>
      <c r="AA111" s="32"/>
      <c r="AB111" s="48"/>
      <c r="AC111" s="48"/>
      <c r="AD111" s="48"/>
      <c r="AE111" s="48"/>
      <c r="AF111" s="48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</row>
    <row r="112" spans="2:52">
      <c r="B112" s="35" t="s">
        <v>514</v>
      </c>
      <c r="C112" s="35"/>
      <c r="D112" s="32"/>
      <c r="E112" s="36" t="s">
        <v>511</v>
      </c>
      <c r="F112" s="37" t="s">
        <v>1410</v>
      </c>
      <c r="G112" s="59" t="s">
        <v>1411</v>
      </c>
      <c r="H112" s="33"/>
      <c r="I112" s="34"/>
      <c r="J112" s="35" t="s">
        <v>516</v>
      </c>
      <c r="K112" s="36" t="s">
        <v>511</v>
      </c>
      <c r="L112" s="37">
        <v>45030.486111111109</v>
      </c>
      <c r="M112" s="32"/>
      <c r="N112" s="32"/>
      <c r="O112" s="36"/>
      <c r="P112" s="33"/>
      <c r="Q112" s="48"/>
      <c r="R112" s="49"/>
      <c r="S112" s="38"/>
      <c r="T112" s="32"/>
      <c r="U112" s="32"/>
      <c r="V112" s="32"/>
      <c r="W112" s="32"/>
      <c r="X112" s="32"/>
      <c r="Y112" s="32"/>
      <c r="Z112" s="32"/>
      <c r="AA112" s="32"/>
      <c r="AB112" s="48"/>
      <c r="AC112" s="48"/>
      <c r="AD112" s="48"/>
      <c r="AE112" s="48"/>
      <c r="AF112" s="48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</row>
    <row r="113" spans="2:52">
      <c r="B113" s="35" t="s">
        <v>517</v>
      </c>
      <c r="C113" s="35"/>
      <c r="D113" s="32"/>
      <c r="E113" s="36" t="s">
        <v>511</v>
      </c>
      <c r="F113" s="37">
        <v>45016.208333333336</v>
      </c>
      <c r="G113" s="60">
        <v>45027</v>
      </c>
      <c r="H113" s="33"/>
      <c r="I113" s="34"/>
      <c r="J113" s="35" t="s">
        <v>518</v>
      </c>
      <c r="K113" s="36" t="s">
        <v>511</v>
      </c>
      <c r="L113" s="50">
        <v>67000</v>
      </c>
      <c r="M113" s="40" t="s">
        <v>519</v>
      </c>
      <c r="N113" s="40"/>
      <c r="O113" s="36"/>
      <c r="P113" s="33"/>
      <c r="Q113" s="48"/>
      <c r="R113" s="49"/>
      <c r="S113" s="38"/>
      <c r="T113" s="32"/>
      <c r="U113" s="32"/>
      <c r="V113" s="32"/>
      <c r="W113" s="32"/>
      <c r="X113" s="32"/>
      <c r="Y113" s="32"/>
      <c r="Z113" s="32"/>
      <c r="AA113" s="32"/>
      <c r="AB113" s="48"/>
      <c r="AC113" s="48"/>
      <c r="AD113" s="48"/>
      <c r="AE113" s="48"/>
      <c r="AF113" s="48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</row>
    <row r="114" spans="2:52">
      <c r="B114" s="35" t="s">
        <v>520</v>
      </c>
      <c r="C114" s="35"/>
      <c r="D114" s="32"/>
      <c r="E114" s="36" t="s">
        <v>511</v>
      </c>
      <c r="F114" s="37" t="s">
        <v>12</v>
      </c>
      <c r="G114" s="32"/>
      <c r="H114" s="33"/>
      <c r="I114" s="34"/>
      <c r="J114" s="35" t="s">
        <v>521</v>
      </c>
      <c r="K114" s="36" t="s">
        <v>511</v>
      </c>
      <c r="L114" s="41" t="s">
        <v>1412</v>
      </c>
      <c r="M114" s="32"/>
      <c r="N114" s="32"/>
      <c r="O114" s="36"/>
      <c r="P114" s="48"/>
      <c r="Q114" s="48"/>
      <c r="R114" s="49"/>
      <c r="S114" s="38"/>
      <c r="T114" s="32"/>
      <c r="U114" s="32"/>
      <c r="V114" s="32"/>
      <c r="W114" s="32"/>
      <c r="X114" s="32"/>
      <c r="Y114" s="32"/>
      <c r="Z114" s="32"/>
      <c r="AA114" s="32"/>
      <c r="AB114" s="48"/>
      <c r="AC114" s="48"/>
      <c r="AD114" s="48"/>
      <c r="AE114" s="48"/>
      <c r="AF114" s="48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</row>
    <row r="115" spans="2:52">
      <c r="B115" s="35" t="s">
        <v>523</v>
      </c>
      <c r="C115" s="35"/>
      <c r="D115" s="32"/>
      <c r="E115" s="36" t="s">
        <v>511</v>
      </c>
      <c r="F115" s="37" t="s">
        <v>41</v>
      </c>
      <c r="G115" s="32"/>
      <c r="H115" s="33"/>
      <c r="I115" s="34"/>
      <c r="J115" s="42" t="s">
        <v>524</v>
      </c>
      <c r="K115" s="36" t="s">
        <v>511</v>
      </c>
      <c r="L115" s="43" t="s">
        <v>15</v>
      </c>
      <c r="M115" s="44"/>
      <c r="N115" s="44"/>
      <c r="O115" s="36"/>
      <c r="P115" s="33"/>
      <c r="Q115" s="48"/>
      <c r="R115" s="49"/>
      <c r="S115" s="38"/>
      <c r="T115" s="32"/>
      <c r="U115" s="32"/>
      <c r="V115" s="32"/>
      <c r="W115" s="32"/>
      <c r="X115" s="32"/>
      <c r="Y115" s="32"/>
      <c r="Z115" s="32"/>
      <c r="AA115" s="32"/>
      <c r="AB115" s="48"/>
      <c r="AC115" s="48"/>
      <c r="AD115" s="48"/>
      <c r="AE115" s="48"/>
      <c r="AF115" s="48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</row>
    <row r="116" spans="2:52">
      <c r="B116" s="35" t="s">
        <v>2</v>
      </c>
      <c r="C116" s="35"/>
      <c r="D116" s="32"/>
      <c r="E116" s="36" t="s">
        <v>511</v>
      </c>
      <c r="F116" s="37" t="s">
        <v>42</v>
      </c>
      <c r="G116" s="32"/>
      <c r="H116" s="33"/>
      <c r="I116" s="45"/>
      <c r="J116" s="42"/>
      <c r="K116" s="36"/>
      <c r="L116" s="37"/>
      <c r="M116" s="32"/>
      <c r="N116" s="32"/>
      <c r="O116" s="42"/>
      <c r="P116" s="44"/>
      <c r="Q116" s="44"/>
      <c r="R116" s="44"/>
      <c r="S116" s="34"/>
      <c r="T116" s="32"/>
      <c r="U116" s="32"/>
      <c r="V116" s="32"/>
      <c r="W116" s="32"/>
      <c r="X116" s="32"/>
      <c r="Y116" s="32"/>
      <c r="Z116" s="32"/>
      <c r="AA116" s="32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</row>
    <row r="117" spans="2:52">
      <c r="B117" s="32"/>
      <c r="C117" s="32"/>
      <c r="D117" s="32"/>
      <c r="E117" s="32"/>
      <c r="F117" s="32"/>
      <c r="G117" s="32"/>
      <c r="H117" s="32"/>
      <c r="I117" s="45"/>
      <c r="J117" s="42"/>
      <c r="K117" s="42"/>
      <c r="L117" s="43"/>
      <c r="M117" s="44"/>
      <c r="N117" s="44"/>
      <c r="O117" s="42"/>
      <c r="P117" s="44"/>
      <c r="Q117" s="44"/>
      <c r="R117" s="44"/>
      <c r="S117" s="34"/>
      <c r="T117" s="1270" t="s">
        <v>87</v>
      </c>
      <c r="U117" s="1270"/>
      <c r="V117" s="1270"/>
      <c r="W117" s="1270"/>
      <c r="X117" s="1270"/>
      <c r="Y117" s="1270" t="s">
        <v>73</v>
      </c>
      <c r="Z117" s="1270"/>
      <c r="AA117" s="1270"/>
      <c r="AB117" s="1270" t="s">
        <v>74</v>
      </c>
      <c r="AC117" s="1270"/>
      <c r="AD117" s="407" t="s">
        <v>85</v>
      </c>
      <c r="AE117" s="407" t="s">
        <v>77</v>
      </c>
      <c r="AF117" s="1270" t="s">
        <v>525</v>
      </c>
      <c r="AG117" s="1270"/>
      <c r="AH117" s="1270"/>
      <c r="AI117" s="1270"/>
      <c r="AJ117" s="1270"/>
      <c r="AK117" s="1270"/>
      <c r="AL117" s="1270"/>
      <c r="AM117" s="1270"/>
      <c r="AN117" s="1270"/>
      <c r="AO117" s="1270"/>
      <c r="AP117" s="1270"/>
      <c r="AQ117" s="1270"/>
      <c r="AR117" s="1270"/>
      <c r="AS117" s="1270"/>
      <c r="AT117" s="1270"/>
      <c r="AU117" s="1270"/>
      <c r="AV117" s="1270"/>
      <c r="AW117" s="1270"/>
      <c r="AX117" s="1270"/>
      <c r="AY117" s="1270"/>
      <c r="AZ117" s="32"/>
    </row>
    <row r="118" spans="2:52">
      <c r="B118" s="1266" t="s">
        <v>526</v>
      </c>
      <c r="C118" s="1267"/>
      <c r="D118" s="570" t="s">
        <v>527</v>
      </c>
      <c r="E118" s="570"/>
      <c r="F118" s="570" t="s">
        <v>528</v>
      </c>
      <c r="G118" s="570" t="s">
        <v>529</v>
      </c>
      <c r="H118" s="570" t="s">
        <v>530</v>
      </c>
      <c r="I118" s="570" t="s">
        <v>531</v>
      </c>
      <c r="J118" s="570" t="s">
        <v>532</v>
      </c>
      <c r="K118" s="570"/>
      <c r="L118" s="570" t="s">
        <v>130</v>
      </c>
      <c r="M118" s="570" t="s">
        <v>533</v>
      </c>
      <c r="N118" s="408" t="str">
        <f>"On time - "&amp;COUNTIF(N119:N131,"On time")&amp;" from "&amp;ROWS(N119:N131)-COUNTIF(N119:N131," ")</f>
        <v>On time - 10 from 10</v>
      </c>
      <c r="O118" s="46"/>
      <c r="P118" s="409" t="s">
        <v>534</v>
      </c>
      <c r="Q118" s="409" t="s">
        <v>535</v>
      </c>
      <c r="R118" s="409" t="s">
        <v>536</v>
      </c>
      <c r="S118" s="32"/>
      <c r="T118" s="410" t="s">
        <v>537</v>
      </c>
      <c r="U118" s="410" t="s">
        <v>538</v>
      </c>
      <c r="V118" s="410" t="s">
        <v>539</v>
      </c>
      <c r="W118" s="410" t="s">
        <v>540</v>
      </c>
      <c r="X118" s="410" t="s">
        <v>541</v>
      </c>
      <c r="Y118" s="410" t="s">
        <v>167</v>
      </c>
      <c r="Z118" s="410" t="s">
        <v>168</v>
      </c>
      <c r="AA118" s="410" t="s">
        <v>169</v>
      </c>
      <c r="AB118" s="410" t="s">
        <v>235</v>
      </c>
      <c r="AC118" s="410" t="s">
        <v>240</v>
      </c>
      <c r="AD118" s="407" t="s">
        <v>85</v>
      </c>
      <c r="AE118" s="410" t="s">
        <v>139</v>
      </c>
      <c r="AF118" s="410" t="s">
        <v>72</v>
      </c>
      <c r="AG118" s="410" t="s">
        <v>88</v>
      </c>
      <c r="AH118" s="410" t="s">
        <v>75</v>
      </c>
      <c r="AI118" s="410" t="s">
        <v>543</v>
      </c>
      <c r="AJ118" s="410" t="s">
        <v>78</v>
      </c>
      <c r="AK118" s="410" t="s">
        <v>76</v>
      </c>
      <c r="AL118" s="410" t="s">
        <v>544</v>
      </c>
      <c r="AM118" s="410" t="s">
        <v>545</v>
      </c>
      <c r="AN118" s="410" t="s">
        <v>86</v>
      </c>
      <c r="AO118" s="410" t="s">
        <v>83</v>
      </c>
      <c r="AP118" s="410" t="s">
        <v>84</v>
      </c>
      <c r="AQ118" s="410" t="s">
        <v>546</v>
      </c>
      <c r="AR118" s="410" t="s">
        <v>81</v>
      </c>
      <c r="AS118" s="410" t="s">
        <v>80</v>
      </c>
      <c r="AT118" s="410" t="s">
        <v>82</v>
      </c>
      <c r="AU118" s="410" t="s">
        <v>181</v>
      </c>
      <c r="AV118" s="410" t="s">
        <v>183</v>
      </c>
      <c r="AW118" s="410" t="s">
        <v>547</v>
      </c>
      <c r="AX118" s="410" t="s">
        <v>182</v>
      </c>
      <c r="AY118" s="410" t="s">
        <v>172</v>
      </c>
      <c r="AZ118" s="32"/>
    </row>
    <row r="119" spans="2:52">
      <c r="B119" s="1256" t="s">
        <v>548</v>
      </c>
      <c r="C119" s="1257"/>
      <c r="D119" s="411" t="s">
        <v>1210</v>
      </c>
      <c r="E119" s="411"/>
      <c r="F119" s="411" t="s">
        <v>352</v>
      </c>
      <c r="G119" s="411" t="s">
        <v>353</v>
      </c>
      <c r="H119" s="412">
        <v>9037.3529999999992</v>
      </c>
      <c r="I119" s="413" t="s">
        <v>235</v>
      </c>
      <c r="J119" s="414">
        <v>45025.680555555555</v>
      </c>
      <c r="K119" s="414"/>
      <c r="L119" s="414" t="s">
        <v>192</v>
      </c>
      <c r="M119" s="414" t="s">
        <v>192</v>
      </c>
      <c r="N119" s="413" t="str">
        <f>IF(ISBLANK(J119)," ",IF(J119&lt;$G$113,"On time",(IF(DAY(J119-$G$113)&lt;1,"On time",(IF(J119&gt;$G$113,"DELAY ( "&amp;DAY(J119-$G$113)&amp;" day "&amp;HOUR(J119-$G$113)&amp;" hour "&amp;MINUTE(J119-$G$113)&amp;" minute )","xxx"))))))</f>
        <v>On time</v>
      </c>
      <c r="O119" s="51"/>
      <c r="P119" s="415" t="s">
        <v>551</v>
      </c>
      <c r="Q119" s="415" t="s">
        <v>551</v>
      </c>
      <c r="R119" s="415" t="s">
        <v>551</v>
      </c>
      <c r="S119" s="32"/>
      <c r="T119" s="416"/>
      <c r="U119" s="416"/>
      <c r="V119" s="416"/>
      <c r="W119" s="416"/>
      <c r="X119" s="416"/>
      <c r="Y119" s="416"/>
      <c r="Z119" s="416"/>
      <c r="AA119" s="416"/>
      <c r="AB119" s="416">
        <f>H119</f>
        <v>9037.3529999999992</v>
      </c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32"/>
    </row>
    <row r="120" spans="2:52">
      <c r="B120" s="1250" t="s">
        <v>1161</v>
      </c>
      <c r="C120" s="1251"/>
      <c r="D120" s="411" t="s">
        <v>1301</v>
      </c>
      <c r="E120" s="425"/>
      <c r="F120" s="411" t="s">
        <v>441</v>
      </c>
      <c r="G120" s="411" t="s">
        <v>442</v>
      </c>
      <c r="H120" s="412">
        <f>5011.636/3</f>
        <v>1670.5453333333335</v>
      </c>
      <c r="I120" s="413" t="s">
        <v>81</v>
      </c>
      <c r="J120" s="414">
        <v>45027.083333333336</v>
      </c>
      <c r="K120" s="414"/>
      <c r="L120" s="414" t="s">
        <v>192</v>
      </c>
      <c r="M120" s="414" t="s">
        <v>192</v>
      </c>
      <c r="N120" s="413" t="str">
        <f t="shared" ref="N120:N133" si="6">IF(ISBLANK(J120)," ",IF(J120&lt;$G$113,"On time",(IF(DAY(J120-$G$113)&lt;1,"On time",(IF(J120&gt;$G$113,"DELAY ( "&amp;DAY(J120-$G$113)&amp;" day "&amp;HOUR(J120-$G$113)&amp;" hour "&amp;MINUTE(J120-$G$113)&amp;" minute )","xxx"))))))</f>
        <v>On time</v>
      </c>
      <c r="O120" s="51"/>
      <c r="P120" s="415" t="s">
        <v>551</v>
      </c>
      <c r="Q120" s="415" t="s">
        <v>551</v>
      </c>
      <c r="R120" s="415" t="s">
        <v>551</v>
      </c>
      <c r="S120" s="32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32"/>
      <c r="AQ120" s="416"/>
      <c r="AR120" s="416">
        <f>H120</f>
        <v>1670.5453333333335</v>
      </c>
      <c r="AS120" s="416"/>
      <c r="AT120" s="416"/>
      <c r="AU120" s="416"/>
      <c r="AV120" s="416"/>
      <c r="AW120" s="416"/>
      <c r="AX120" s="416"/>
      <c r="AY120" s="416"/>
      <c r="AZ120" s="32"/>
    </row>
    <row r="121" spans="2:52">
      <c r="B121" s="1254"/>
      <c r="C121" s="1255"/>
      <c r="D121" s="411" t="s">
        <v>1209</v>
      </c>
      <c r="E121" s="411"/>
      <c r="F121" s="411" t="s">
        <v>257</v>
      </c>
      <c r="G121" s="411" t="s">
        <v>258</v>
      </c>
      <c r="H121" s="412">
        <v>7514.6869999999999</v>
      </c>
      <c r="I121" s="413" t="s">
        <v>240</v>
      </c>
      <c r="J121" s="414">
        <v>45024.479166666664</v>
      </c>
      <c r="K121" s="414"/>
      <c r="L121" s="414" t="s">
        <v>192</v>
      </c>
      <c r="M121" s="414" t="s">
        <v>192</v>
      </c>
      <c r="N121" s="413" t="str">
        <f t="shared" si="6"/>
        <v>On time</v>
      </c>
      <c r="O121" s="51"/>
      <c r="P121" s="415" t="s">
        <v>551</v>
      </c>
      <c r="Q121" s="415" t="s">
        <v>551</v>
      </c>
      <c r="R121" s="415" t="s">
        <v>551</v>
      </c>
      <c r="S121" s="32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>
        <f>H121</f>
        <v>7514.6869999999999</v>
      </c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32"/>
    </row>
    <row r="122" spans="2:52">
      <c r="B122" s="1250" t="s">
        <v>1161</v>
      </c>
      <c r="C122" s="1251"/>
      <c r="D122" s="411" t="s">
        <v>1301</v>
      </c>
      <c r="E122" s="425"/>
      <c r="F122" s="411" t="s">
        <v>441</v>
      </c>
      <c r="G122" s="411" t="s">
        <v>442</v>
      </c>
      <c r="H122" s="412">
        <f>H120</f>
        <v>1670.5453333333335</v>
      </c>
      <c r="I122" s="413" t="s">
        <v>81</v>
      </c>
      <c r="J122" s="414"/>
      <c r="K122" s="414"/>
      <c r="L122" s="414" t="s">
        <v>192</v>
      </c>
      <c r="M122" s="414" t="s">
        <v>192</v>
      </c>
      <c r="N122" s="413" t="str">
        <f t="shared" si="6"/>
        <v xml:space="preserve"> </v>
      </c>
      <c r="O122" s="51"/>
      <c r="P122" s="415" t="s">
        <v>551</v>
      </c>
      <c r="Q122" s="415" t="s">
        <v>551</v>
      </c>
      <c r="R122" s="415" t="s">
        <v>551</v>
      </c>
      <c r="S122" s="32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32"/>
      <c r="AQ122" s="416"/>
      <c r="AR122" s="416">
        <f>H122</f>
        <v>1670.5453333333335</v>
      </c>
      <c r="AS122" s="416"/>
      <c r="AT122" s="416"/>
      <c r="AU122" s="416"/>
      <c r="AV122" s="416"/>
      <c r="AW122" s="416"/>
      <c r="AX122" s="416"/>
      <c r="AY122" s="416"/>
      <c r="AZ122" s="32"/>
    </row>
    <row r="123" spans="2:52">
      <c r="B123" s="1254"/>
      <c r="C123" s="1255"/>
      <c r="D123" s="411" t="s">
        <v>1212</v>
      </c>
      <c r="E123" s="411"/>
      <c r="F123" s="411" t="s">
        <v>406</v>
      </c>
      <c r="G123" s="411" t="s">
        <v>407</v>
      </c>
      <c r="H123" s="412">
        <v>7508.3819999999996</v>
      </c>
      <c r="I123" s="413" t="s">
        <v>240</v>
      </c>
      <c r="J123" s="414">
        <v>45025.395833333336</v>
      </c>
      <c r="K123" s="414"/>
      <c r="L123" s="414" t="s">
        <v>192</v>
      </c>
      <c r="M123" s="414" t="s">
        <v>192</v>
      </c>
      <c r="N123" s="413" t="str">
        <f t="shared" si="6"/>
        <v>On time</v>
      </c>
      <c r="O123" s="51"/>
      <c r="P123" s="415" t="s">
        <v>551</v>
      </c>
      <c r="Q123" s="415" t="s">
        <v>551</v>
      </c>
      <c r="R123" s="415" t="s">
        <v>551</v>
      </c>
      <c r="S123" s="32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>
        <f>H123</f>
        <v>7508.3819999999996</v>
      </c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32"/>
    </row>
    <row r="124" spans="2:52">
      <c r="B124" s="1250" t="s">
        <v>1161</v>
      </c>
      <c r="C124" s="1251"/>
      <c r="D124" s="411" t="s">
        <v>1301</v>
      </c>
      <c r="E124" s="425"/>
      <c r="F124" s="411" t="s">
        <v>441</v>
      </c>
      <c r="G124" s="411" t="s">
        <v>442</v>
      </c>
      <c r="H124" s="412">
        <f>H122</f>
        <v>1670.5453333333335</v>
      </c>
      <c r="I124" s="413" t="s">
        <v>81</v>
      </c>
      <c r="J124" s="414"/>
      <c r="K124" s="414"/>
      <c r="L124" s="414" t="s">
        <v>192</v>
      </c>
      <c r="M124" s="414" t="s">
        <v>192</v>
      </c>
      <c r="N124" s="413" t="str">
        <f t="shared" si="6"/>
        <v xml:space="preserve"> </v>
      </c>
      <c r="O124" s="51"/>
      <c r="P124" s="415" t="s">
        <v>551</v>
      </c>
      <c r="Q124" s="415" t="s">
        <v>551</v>
      </c>
      <c r="R124" s="415" t="s">
        <v>551</v>
      </c>
      <c r="S124" s="32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/>
      <c r="AH124" s="416"/>
      <c r="AI124" s="416"/>
      <c r="AJ124" s="416"/>
      <c r="AK124" s="416"/>
      <c r="AL124" s="416"/>
      <c r="AM124" s="416"/>
      <c r="AN124" s="416"/>
      <c r="AO124" s="416"/>
      <c r="AP124" s="32"/>
      <c r="AQ124" s="416"/>
      <c r="AR124" s="416">
        <f>H124</f>
        <v>1670.5453333333335</v>
      </c>
      <c r="AS124" s="416"/>
      <c r="AT124" s="416"/>
      <c r="AU124" s="416"/>
      <c r="AV124" s="416"/>
      <c r="AW124" s="416"/>
      <c r="AX124" s="416"/>
      <c r="AY124" s="416"/>
      <c r="AZ124" s="32"/>
    </row>
    <row r="125" spans="2:52">
      <c r="B125" s="1254"/>
      <c r="C125" s="1255"/>
      <c r="D125" s="411" t="s">
        <v>1211</v>
      </c>
      <c r="E125" s="411"/>
      <c r="F125" s="411" t="s">
        <v>233</v>
      </c>
      <c r="G125" s="411" t="s">
        <v>234</v>
      </c>
      <c r="H125" s="412">
        <v>7425.558</v>
      </c>
      <c r="I125" s="413" t="s">
        <v>240</v>
      </c>
      <c r="J125" s="414">
        <v>45025.729166666664</v>
      </c>
      <c r="K125" s="414"/>
      <c r="L125" s="414" t="s">
        <v>192</v>
      </c>
      <c r="M125" s="414" t="s">
        <v>192</v>
      </c>
      <c r="N125" s="413" t="str">
        <f t="shared" si="6"/>
        <v>On time</v>
      </c>
      <c r="O125" s="51"/>
      <c r="P125" s="415" t="s">
        <v>551</v>
      </c>
      <c r="Q125" s="415" t="s">
        <v>551</v>
      </c>
      <c r="R125" s="415" t="s">
        <v>551</v>
      </c>
      <c r="S125" s="32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>
        <f>H125</f>
        <v>7425.558</v>
      </c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32"/>
    </row>
    <row r="126" spans="2:52">
      <c r="B126" s="1250" t="s">
        <v>643</v>
      </c>
      <c r="C126" s="1251"/>
      <c r="D126" s="411" t="s">
        <v>1335</v>
      </c>
      <c r="E126" s="411"/>
      <c r="F126" s="411" t="s">
        <v>292</v>
      </c>
      <c r="G126" s="411" t="s">
        <v>293</v>
      </c>
      <c r="H126" s="412">
        <v>7500</v>
      </c>
      <c r="I126" s="413" t="s">
        <v>76</v>
      </c>
      <c r="J126" s="414">
        <v>45024.826388888891</v>
      </c>
      <c r="K126" s="414"/>
      <c r="L126" s="414" t="s">
        <v>192</v>
      </c>
      <c r="M126" s="414" t="s">
        <v>192</v>
      </c>
      <c r="N126" s="413" t="str">
        <f t="shared" si="6"/>
        <v>On time</v>
      </c>
      <c r="O126" s="51"/>
      <c r="P126" s="415" t="s">
        <v>551</v>
      </c>
      <c r="Q126" s="415" t="s">
        <v>551</v>
      </c>
      <c r="R126" s="415" t="s">
        <v>551</v>
      </c>
      <c r="S126" s="32"/>
      <c r="T126" s="416"/>
      <c r="U126" s="416"/>
      <c r="V126" s="416"/>
      <c r="W126" s="416"/>
      <c r="X126" s="416"/>
      <c r="Y126" s="416"/>
      <c r="Z126" s="416"/>
      <c r="AA126" s="416"/>
      <c r="AB126" s="416"/>
      <c r="AC126" s="416"/>
      <c r="AD126" s="416"/>
      <c r="AE126" s="416"/>
      <c r="AF126" s="416"/>
      <c r="AG126" s="416"/>
      <c r="AH126" s="416"/>
      <c r="AI126" s="416"/>
      <c r="AJ126" s="32"/>
      <c r="AK126" s="416">
        <f>H126</f>
        <v>7500</v>
      </c>
      <c r="AL126" s="416"/>
      <c r="AM126" s="416"/>
      <c r="AN126" s="416"/>
      <c r="AO126" s="416"/>
      <c r="AP126" s="416"/>
      <c r="AQ126" s="416"/>
      <c r="AR126" s="416"/>
      <c r="AS126" s="416"/>
      <c r="AT126" s="416"/>
      <c r="AU126" s="416"/>
      <c r="AV126" s="416"/>
      <c r="AW126" s="416"/>
      <c r="AX126" s="416"/>
      <c r="AY126" s="416"/>
      <c r="AZ126" s="32"/>
    </row>
    <row r="127" spans="2:52">
      <c r="B127" s="1254"/>
      <c r="C127" s="1255"/>
      <c r="D127" s="411" t="s">
        <v>1311</v>
      </c>
      <c r="E127" s="425"/>
      <c r="F127" s="411" t="s">
        <v>403</v>
      </c>
      <c r="G127" s="411" t="s">
        <v>404</v>
      </c>
      <c r="H127" s="412">
        <f>7516.374/2</f>
        <v>3758.1869999999999</v>
      </c>
      <c r="I127" s="413" t="s">
        <v>1164</v>
      </c>
      <c r="J127" s="1268">
        <v>45025.159722222219</v>
      </c>
      <c r="K127" s="414"/>
      <c r="L127" s="414" t="s">
        <v>192</v>
      </c>
      <c r="M127" s="414" t="s">
        <v>192</v>
      </c>
      <c r="N127" s="413" t="str">
        <f t="shared" si="6"/>
        <v>On time</v>
      </c>
      <c r="O127" s="51"/>
      <c r="P127" s="415" t="s">
        <v>551</v>
      </c>
      <c r="Q127" s="415" t="s">
        <v>551</v>
      </c>
      <c r="R127" s="415" t="s">
        <v>551</v>
      </c>
      <c r="S127" s="32"/>
      <c r="T127" s="416"/>
      <c r="U127" s="416"/>
      <c r="V127" s="416"/>
      <c r="W127" s="416"/>
      <c r="X127" s="416">
        <f>H127</f>
        <v>3758.1869999999999</v>
      </c>
      <c r="Y127" s="416"/>
      <c r="Z127" s="416"/>
      <c r="AA127" s="416"/>
      <c r="AB127" s="416"/>
      <c r="AC127" s="416"/>
      <c r="AD127" s="416"/>
      <c r="AE127" s="416"/>
      <c r="AF127" s="416"/>
      <c r="AG127" s="416"/>
      <c r="AH127" s="416"/>
      <c r="AI127" s="416"/>
      <c r="AJ127" s="416"/>
      <c r="AK127" s="416"/>
      <c r="AL127" s="416"/>
      <c r="AM127" s="416"/>
      <c r="AN127" s="416"/>
      <c r="AO127" s="416"/>
      <c r="AP127" s="416"/>
      <c r="AQ127" s="416"/>
      <c r="AR127" s="416"/>
      <c r="AS127" s="416"/>
      <c r="AT127" s="416"/>
      <c r="AU127" s="416"/>
      <c r="AV127" s="416"/>
      <c r="AW127" s="416"/>
      <c r="AX127" s="416"/>
      <c r="AY127" s="416"/>
      <c r="AZ127" s="32"/>
    </row>
    <row r="128" spans="2:52">
      <c r="B128" s="1250" t="s">
        <v>644</v>
      </c>
      <c r="C128" s="1251"/>
      <c r="D128" s="411" t="s">
        <v>1311</v>
      </c>
      <c r="E128" s="425"/>
      <c r="F128" s="411" t="s">
        <v>403</v>
      </c>
      <c r="G128" s="411" t="s">
        <v>404</v>
      </c>
      <c r="H128" s="412">
        <f>H127</f>
        <v>3758.1869999999999</v>
      </c>
      <c r="I128" s="413" t="s">
        <v>1164</v>
      </c>
      <c r="J128" s="1269"/>
      <c r="K128" s="414"/>
      <c r="L128" s="414" t="s">
        <v>192</v>
      </c>
      <c r="M128" s="414" t="s">
        <v>192</v>
      </c>
      <c r="N128" s="413" t="str">
        <f t="shared" si="6"/>
        <v xml:space="preserve"> </v>
      </c>
      <c r="O128" s="51"/>
      <c r="P128" s="415" t="s">
        <v>551</v>
      </c>
      <c r="Q128" s="415" t="s">
        <v>551</v>
      </c>
      <c r="R128" s="415" t="s">
        <v>551</v>
      </c>
      <c r="S128" s="32"/>
      <c r="T128" s="416"/>
      <c r="U128" s="416"/>
      <c r="V128" s="416"/>
      <c r="W128" s="416"/>
      <c r="X128" s="416">
        <f>H128</f>
        <v>3758.1869999999999</v>
      </c>
      <c r="Y128" s="416"/>
      <c r="Z128" s="416"/>
      <c r="AA128" s="416"/>
      <c r="AB128" s="416"/>
      <c r="AC128" s="416"/>
      <c r="AD128" s="416"/>
      <c r="AE128" s="416"/>
      <c r="AF128" s="416"/>
      <c r="AG128" s="416"/>
      <c r="AH128" s="416"/>
      <c r="AI128" s="416"/>
      <c r="AJ128" s="416"/>
      <c r="AK128" s="416"/>
      <c r="AL128" s="416"/>
      <c r="AM128" s="416"/>
      <c r="AN128" s="416"/>
      <c r="AO128" s="416"/>
      <c r="AP128" s="416"/>
      <c r="AQ128" s="416"/>
      <c r="AR128" s="416"/>
      <c r="AS128" s="416"/>
      <c r="AT128" s="416"/>
      <c r="AU128" s="416"/>
      <c r="AV128" s="416"/>
      <c r="AW128" s="416"/>
      <c r="AX128" s="416"/>
      <c r="AY128" s="416"/>
      <c r="AZ128" s="32"/>
    </row>
    <row r="129" spans="2:52">
      <c r="B129" s="1254"/>
      <c r="C129" s="1255"/>
      <c r="D129" s="411" t="s">
        <v>1214</v>
      </c>
      <c r="E129" s="411"/>
      <c r="F129" s="411" t="s">
        <v>263</v>
      </c>
      <c r="G129" s="411" t="s">
        <v>264</v>
      </c>
      <c r="H129" s="412">
        <v>7537.1030000000001</v>
      </c>
      <c r="I129" s="413" t="s">
        <v>235</v>
      </c>
      <c r="J129" s="414">
        <v>45025.375</v>
      </c>
      <c r="K129" s="414"/>
      <c r="L129" s="414" t="s">
        <v>192</v>
      </c>
      <c r="M129" s="414" t="s">
        <v>192</v>
      </c>
      <c r="N129" s="413" t="str">
        <f t="shared" si="6"/>
        <v>On time</v>
      </c>
      <c r="O129" s="51"/>
      <c r="P129" s="415" t="s">
        <v>551</v>
      </c>
      <c r="Q129" s="415" t="s">
        <v>551</v>
      </c>
      <c r="R129" s="415" t="s">
        <v>551</v>
      </c>
      <c r="S129" s="32"/>
      <c r="T129" s="416"/>
      <c r="U129" s="416"/>
      <c r="V129" s="416"/>
      <c r="W129" s="416"/>
      <c r="X129" s="416"/>
      <c r="Y129" s="416"/>
      <c r="Z129" s="416"/>
      <c r="AA129" s="416"/>
      <c r="AB129" s="416">
        <f>H129</f>
        <v>7537.1030000000001</v>
      </c>
      <c r="AC129" s="416"/>
      <c r="AD129" s="416"/>
      <c r="AE129" s="416"/>
      <c r="AF129" s="416"/>
      <c r="AG129" s="416"/>
      <c r="AH129" s="416"/>
      <c r="AI129" s="416"/>
      <c r="AJ129" s="416"/>
      <c r="AK129" s="416"/>
      <c r="AL129" s="416"/>
      <c r="AM129" s="416"/>
      <c r="AN129" s="416"/>
      <c r="AO129" s="416"/>
      <c r="AP129" s="416"/>
      <c r="AQ129" s="416"/>
      <c r="AR129" s="416"/>
      <c r="AS129" s="416"/>
      <c r="AT129" s="416"/>
      <c r="AU129" s="416"/>
      <c r="AV129" s="416"/>
      <c r="AW129" s="416"/>
      <c r="AX129" s="416"/>
      <c r="AY129" s="416"/>
      <c r="AZ129" s="32"/>
    </row>
    <row r="130" spans="2:52">
      <c r="B130" s="1256" t="s">
        <v>548</v>
      </c>
      <c r="C130" s="1257"/>
      <c r="D130" s="411" t="s">
        <v>1206</v>
      </c>
      <c r="E130" s="411"/>
      <c r="F130" s="411" t="s">
        <v>374</v>
      </c>
      <c r="G130" s="411" t="s">
        <v>375</v>
      </c>
      <c r="H130" s="412">
        <v>3369</v>
      </c>
      <c r="I130" s="413" t="s">
        <v>240</v>
      </c>
      <c r="J130" s="414">
        <v>45026.645833333336</v>
      </c>
      <c r="K130" s="414"/>
      <c r="L130" s="414" t="s">
        <v>192</v>
      </c>
      <c r="M130" s="414" t="s">
        <v>192</v>
      </c>
      <c r="N130" s="413" t="str">
        <f t="shared" si="6"/>
        <v>On time</v>
      </c>
      <c r="O130" s="51"/>
      <c r="P130" s="415" t="s">
        <v>551</v>
      </c>
      <c r="Q130" s="415" t="s">
        <v>551</v>
      </c>
      <c r="R130" s="415" t="s">
        <v>551</v>
      </c>
      <c r="S130" s="32"/>
      <c r="T130" s="416"/>
      <c r="U130" s="416"/>
      <c r="V130" s="416"/>
      <c r="W130" s="416"/>
      <c r="X130" s="416"/>
      <c r="Y130" s="416"/>
      <c r="Z130" s="416"/>
      <c r="AA130" s="416"/>
      <c r="AB130" s="416"/>
      <c r="AC130" s="416">
        <f>H130</f>
        <v>3369</v>
      </c>
      <c r="AD130" s="416"/>
      <c r="AE130" s="416"/>
      <c r="AF130" s="416"/>
      <c r="AG130" s="416"/>
      <c r="AH130" s="416"/>
      <c r="AI130" s="416"/>
      <c r="AJ130" s="416"/>
      <c r="AK130" s="416"/>
      <c r="AL130" s="416"/>
      <c r="AM130" s="416"/>
      <c r="AN130" s="416"/>
      <c r="AO130" s="416"/>
      <c r="AP130" s="416"/>
      <c r="AQ130" s="416"/>
      <c r="AR130" s="416"/>
      <c r="AS130" s="416"/>
      <c r="AT130" s="416"/>
      <c r="AU130" s="416"/>
      <c r="AV130" s="416"/>
      <c r="AW130" s="416"/>
      <c r="AX130" s="416"/>
      <c r="AY130" s="416"/>
      <c r="AZ130" s="32"/>
    </row>
    <row r="131" spans="2:52">
      <c r="B131" s="1256" t="s">
        <v>548</v>
      </c>
      <c r="C131" s="1257"/>
      <c r="D131" s="411" t="s">
        <v>1213</v>
      </c>
      <c r="E131" s="411"/>
      <c r="F131" s="411" t="s">
        <v>346</v>
      </c>
      <c r="G131" s="411" t="s">
        <v>347</v>
      </c>
      <c r="H131" s="412">
        <f>7512.159-2932.252</f>
        <v>4579.9069999999992</v>
      </c>
      <c r="I131" s="413" t="s">
        <v>235</v>
      </c>
      <c r="J131" s="414">
        <v>45025.729166666664</v>
      </c>
      <c r="K131" s="414"/>
      <c r="L131" s="414" t="s">
        <v>192</v>
      </c>
      <c r="M131" s="414" t="s">
        <v>192</v>
      </c>
      <c r="N131" s="413" t="str">
        <f t="shared" si="6"/>
        <v>On time</v>
      </c>
      <c r="O131" s="51"/>
      <c r="P131" s="415" t="s">
        <v>551</v>
      </c>
      <c r="Q131" s="415" t="s">
        <v>551</v>
      </c>
      <c r="R131" s="415" t="s">
        <v>551</v>
      </c>
      <c r="S131" s="32"/>
      <c r="T131" s="416"/>
      <c r="U131" s="416"/>
      <c r="V131" s="416"/>
      <c r="W131" s="416"/>
      <c r="X131" s="416"/>
      <c r="Y131" s="416"/>
      <c r="Z131" s="416"/>
      <c r="AA131" s="416"/>
      <c r="AB131" s="416">
        <f>H131</f>
        <v>4579.9069999999992</v>
      </c>
      <c r="AC131" s="416"/>
      <c r="AD131" s="416"/>
      <c r="AE131" s="416"/>
      <c r="AF131" s="416"/>
      <c r="AG131" s="416"/>
      <c r="AH131" s="416"/>
      <c r="AI131" s="416"/>
      <c r="AJ131" s="416"/>
      <c r="AK131" s="416"/>
      <c r="AL131" s="416"/>
      <c r="AM131" s="416"/>
      <c r="AN131" s="416"/>
      <c r="AO131" s="416"/>
      <c r="AP131" s="416"/>
      <c r="AQ131" s="416"/>
      <c r="AR131" s="416"/>
      <c r="AS131" s="416"/>
      <c r="AT131" s="416"/>
      <c r="AU131" s="416"/>
      <c r="AV131" s="416"/>
      <c r="AW131" s="416"/>
      <c r="AX131" s="416"/>
      <c r="AY131" s="416"/>
      <c r="AZ131" s="32"/>
    </row>
    <row r="132" spans="2:52">
      <c r="B132" s="1258" t="s">
        <v>556</v>
      </c>
      <c r="C132" s="1259"/>
      <c r="D132" s="1259"/>
      <c r="E132" s="1259"/>
      <c r="F132" s="1259"/>
      <c r="G132" s="1260"/>
      <c r="H132" s="417">
        <f>SUM(H119:H131)</f>
        <v>67000</v>
      </c>
      <c r="I132" s="388"/>
      <c r="J132" s="293"/>
      <c r="K132" s="293"/>
      <c r="L132" s="293"/>
      <c r="M132" s="389"/>
      <c r="N132" s="413" t="str">
        <f t="shared" si="6"/>
        <v xml:space="preserve"> </v>
      </c>
      <c r="O132" s="47"/>
      <c r="P132" s="418"/>
      <c r="Q132" s="418"/>
      <c r="R132" s="418"/>
      <c r="S132" s="32"/>
      <c r="T132" s="1262"/>
      <c r="U132" s="1263"/>
      <c r="V132" s="1263"/>
      <c r="W132" s="1263"/>
      <c r="X132" s="1263"/>
      <c r="Y132" s="1263"/>
      <c r="Z132" s="1263"/>
      <c r="AA132" s="1263"/>
      <c r="AB132" s="1263"/>
      <c r="AC132" s="1263"/>
      <c r="AD132" s="1263"/>
      <c r="AE132" s="1263"/>
      <c r="AF132" s="1263"/>
      <c r="AG132" s="1263"/>
      <c r="AH132" s="1263"/>
      <c r="AI132" s="1263"/>
      <c r="AJ132" s="1263"/>
      <c r="AK132" s="1263"/>
      <c r="AL132" s="1263"/>
      <c r="AM132" s="1263"/>
      <c r="AN132" s="1263"/>
      <c r="AO132" s="1263"/>
      <c r="AP132" s="1263"/>
      <c r="AQ132" s="1263"/>
      <c r="AR132" s="1263"/>
      <c r="AS132" s="1263"/>
      <c r="AT132" s="1263"/>
      <c r="AU132" s="1263"/>
      <c r="AV132" s="1263"/>
      <c r="AW132" s="1263"/>
      <c r="AX132" s="1263"/>
      <c r="AY132" s="1264"/>
    </row>
    <row r="133" spans="2:52">
      <c r="B133" s="1243" t="s">
        <v>557</v>
      </c>
      <c r="C133" s="1244"/>
      <c r="D133" s="1244"/>
      <c r="E133" s="1244"/>
      <c r="F133" s="1244"/>
      <c r="G133" s="1245"/>
      <c r="H133" s="419">
        <v>67000</v>
      </c>
      <c r="I133" s="1246"/>
      <c r="J133" s="1247"/>
      <c r="K133" s="1247"/>
      <c r="L133" s="1247"/>
      <c r="M133" s="1248"/>
      <c r="N133" s="413" t="str">
        <f t="shared" si="6"/>
        <v xml:space="preserve"> </v>
      </c>
      <c r="O133" s="32"/>
      <c r="P133" s="415"/>
      <c r="Q133" s="415"/>
      <c r="R133" s="415"/>
      <c r="S133" s="63"/>
      <c r="T133" s="416">
        <f>SUM(T119:T131)</f>
        <v>0</v>
      </c>
      <c r="U133" s="416">
        <f t="shared" ref="U133:AY133" si="7">SUM(U119:U131)</f>
        <v>0</v>
      </c>
      <c r="V133" s="416">
        <f t="shared" si="7"/>
        <v>0</v>
      </c>
      <c r="W133" s="416">
        <f t="shared" si="7"/>
        <v>0</v>
      </c>
      <c r="X133" s="416">
        <f t="shared" si="7"/>
        <v>7516.3739999999998</v>
      </c>
      <c r="Y133" s="416">
        <f t="shared" si="7"/>
        <v>0</v>
      </c>
      <c r="Z133" s="416">
        <f t="shared" si="7"/>
        <v>0</v>
      </c>
      <c r="AA133" s="416">
        <f t="shared" si="7"/>
        <v>0</v>
      </c>
      <c r="AB133" s="416">
        <f t="shared" si="7"/>
        <v>21154.362999999998</v>
      </c>
      <c r="AC133" s="416">
        <f t="shared" si="7"/>
        <v>25817.627</v>
      </c>
      <c r="AD133" s="416">
        <f t="shared" si="7"/>
        <v>0</v>
      </c>
      <c r="AE133" s="416">
        <f t="shared" si="7"/>
        <v>0</v>
      </c>
      <c r="AF133" s="416">
        <f t="shared" si="7"/>
        <v>0</v>
      </c>
      <c r="AG133" s="416">
        <f t="shared" si="7"/>
        <v>0</v>
      </c>
      <c r="AH133" s="416">
        <f t="shared" si="7"/>
        <v>0</v>
      </c>
      <c r="AI133" s="416">
        <f t="shared" si="7"/>
        <v>0</v>
      </c>
      <c r="AJ133" s="416">
        <f t="shared" si="7"/>
        <v>0</v>
      </c>
      <c r="AK133" s="416">
        <f t="shared" si="7"/>
        <v>7500</v>
      </c>
      <c r="AL133" s="416">
        <f t="shared" si="7"/>
        <v>0</v>
      </c>
      <c r="AM133" s="416">
        <f t="shared" si="7"/>
        <v>0</v>
      </c>
      <c r="AN133" s="416">
        <f t="shared" si="7"/>
        <v>0</v>
      </c>
      <c r="AO133" s="416">
        <f t="shared" si="7"/>
        <v>0</v>
      </c>
      <c r="AP133" s="416">
        <f t="shared" si="7"/>
        <v>0</v>
      </c>
      <c r="AQ133" s="416">
        <f t="shared" si="7"/>
        <v>0</v>
      </c>
      <c r="AR133" s="416">
        <f t="shared" si="7"/>
        <v>5011.6360000000004</v>
      </c>
      <c r="AS133" s="416">
        <f t="shared" si="7"/>
        <v>0</v>
      </c>
      <c r="AT133" s="416">
        <f t="shared" si="7"/>
        <v>0</v>
      </c>
      <c r="AU133" s="416">
        <f t="shared" si="7"/>
        <v>0</v>
      </c>
      <c r="AV133" s="416">
        <f t="shared" si="7"/>
        <v>0</v>
      </c>
      <c r="AW133" s="416">
        <f t="shared" si="7"/>
        <v>0</v>
      </c>
      <c r="AX133" s="416">
        <f t="shared" si="7"/>
        <v>0</v>
      </c>
      <c r="AY133" s="416">
        <f t="shared" si="7"/>
        <v>0</v>
      </c>
      <c r="AZ133" s="416">
        <f>SUM(T133:AY133)</f>
        <v>67000</v>
      </c>
    </row>
    <row r="134" spans="2:52">
      <c r="B134" s="1243" t="s">
        <v>558</v>
      </c>
      <c r="C134" s="1244"/>
      <c r="D134" s="1244"/>
      <c r="E134" s="1244"/>
      <c r="F134" s="1244"/>
      <c r="G134" s="1245"/>
      <c r="H134" s="420">
        <f>H133-L113</f>
        <v>0</v>
      </c>
      <c r="I134" s="294"/>
      <c r="J134" s="295"/>
      <c r="K134" s="295"/>
      <c r="L134" s="296"/>
      <c r="M134" s="32"/>
      <c r="N134" s="32"/>
      <c r="O134" s="32"/>
      <c r="P134" s="32"/>
      <c r="Q134" s="297"/>
      <c r="R134" s="297"/>
      <c r="S134" s="32"/>
      <c r="T134" s="48"/>
      <c r="U134" s="48"/>
      <c r="V134" s="48"/>
      <c r="W134" s="48"/>
      <c r="X134" s="48"/>
      <c r="Y134" s="48"/>
      <c r="Z134" s="48"/>
      <c r="AA134" s="48"/>
      <c r="AB134" s="48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</row>
    <row r="135" spans="2:52">
      <c r="B135" s="1243" t="s">
        <v>559</v>
      </c>
      <c r="C135" s="1244"/>
      <c r="D135" s="1244"/>
      <c r="E135" s="1244"/>
      <c r="F135" s="1244"/>
      <c r="G135" s="1245"/>
      <c r="H135" s="420">
        <v>2926</v>
      </c>
      <c r="I135" s="276">
        <v>3126</v>
      </c>
      <c r="J135" s="53"/>
      <c r="K135" s="53"/>
      <c r="L135" s="54"/>
      <c r="M135" s="32"/>
      <c r="N135" s="32"/>
      <c r="O135" s="32"/>
      <c r="P135" s="32"/>
      <c r="Q135" s="32"/>
      <c r="R135" s="32"/>
      <c r="S135" s="32"/>
      <c r="T135" s="48"/>
      <c r="U135" s="48"/>
      <c r="V135" s="48"/>
      <c r="W135" s="48"/>
      <c r="X135" s="48"/>
      <c r="Y135" s="48"/>
      <c r="Z135" s="48"/>
      <c r="AA135" s="48"/>
      <c r="AB135" s="48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</row>
    <row r="136" spans="2:52">
      <c r="B136" s="1243" t="s">
        <v>560</v>
      </c>
      <c r="C136" s="1244"/>
      <c r="D136" s="1244"/>
      <c r="E136" s="1244"/>
      <c r="F136" s="1244"/>
      <c r="G136" s="1245"/>
      <c r="H136" s="421">
        <f>H135-2932.252</f>
        <v>-6.2519999999999527</v>
      </c>
      <c r="I136" s="270">
        <f>I135-H135</f>
        <v>200</v>
      </c>
      <c r="J136" s="53"/>
      <c r="K136" s="53"/>
      <c r="L136" s="54"/>
      <c r="M136" s="32"/>
      <c r="N136" s="32"/>
      <c r="O136" s="32"/>
      <c r="P136" s="32"/>
      <c r="Q136" s="32"/>
      <c r="R136" s="32"/>
      <c r="S136" s="48"/>
      <c r="T136" s="48"/>
      <c r="U136" s="48"/>
      <c r="V136" s="48"/>
      <c r="W136" s="48"/>
      <c r="X136" s="48"/>
      <c r="Y136" s="48"/>
      <c r="Z136" s="48"/>
      <c r="AA136" s="48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2:52">
      <c r="B137" s="32"/>
      <c r="C137" s="32"/>
      <c r="D137" s="32"/>
      <c r="E137" s="32"/>
      <c r="F137" s="32"/>
      <c r="G137" s="32"/>
      <c r="H137" s="32"/>
      <c r="I137" s="57"/>
      <c r="J137" s="52"/>
      <c r="K137" s="52"/>
      <c r="L137" s="55"/>
      <c r="M137" s="32"/>
      <c r="N137" s="32"/>
      <c r="O137" s="52"/>
      <c r="P137" s="32"/>
      <c r="Q137" s="32"/>
      <c r="R137" s="32"/>
      <c r="S137" s="32"/>
      <c r="T137" s="48"/>
      <c r="U137" s="48"/>
      <c r="V137" s="48"/>
      <c r="W137" s="48"/>
      <c r="X137" s="48"/>
      <c r="Y137" s="48"/>
      <c r="Z137" s="48"/>
      <c r="AA137" s="48"/>
      <c r="AB137" s="48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</row>
    <row r="138" spans="2:52">
      <c r="B138" s="40" t="s">
        <v>561</v>
      </c>
      <c r="C138" s="40"/>
      <c r="D138" s="32"/>
      <c r="E138" s="32"/>
      <c r="F138" s="32"/>
      <c r="G138" s="32"/>
      <c r="H138" s="32"/>
      <c r="I138" s="32"/>
      <c r="J138" s="52"/>
      <c r="K138" s="52"/>
      <c r="L138" s="55"/>
      <c r="M138" s="32"/>
      <c r="N138" s="32"/>
      <c r="O138" s="52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Z138" s="32"/>
    </row>
    <row r="139" spans="2:52">
      <c r="B139" s="422">
        <v>1</v>
      </c>
      <c r="C139" s="1249" t="s">
        <v>1413</v>
      </c>
      <c r="D139" s="1249"/>
      <c r="E139" s="1249"/>
      <c r="F139" s="1249"/>
      <c r="G139" s="1249"/>
      <c r="H139" s="1249"/>
      <c r="I139" s="1249"/>
      <c r="J139" s="1249"/>
      <c r="K139" s="1249"/>
      <c r="L139" s="55"/>
      <c r="M139" s="55"/>
      <c r="N139" s="32"/>
      <c r="O139" s="52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</row>
    <row r="141" spans="2:52">
      <c r="B141" s="28" t="s">
        <v>126</v>
      </c>
      <c r="C141" s="28"/>
      <c r="D141" s="29"/>
      <c r="E141" s="30" t="s">
        <v>511</v>
      </c>
      <c r="F141" s="31" t="s">
        <v>394</v>
      </c>
      <c r="G141" s="32"/>
      <c r="H141" s="33"/>
      <c r="I141" s="34"/>
      <c r="J141" s="35" t="s">
        <v>513</v>
      </c>
      <c r="K141" s="36" t="s">
        <v>511</v>
      </c>
      <c r="L141" s="37">
        <v>45028.118055555555</v>
      </c>
      <c r="M141" s="32"/>
      <c r="N141" s="32"/>
      <c r="O141" s="206"/>
      <c r="P141" s="205"/>
      <c r="Q141" s="202"/>
      <c r="R141" s="204"/>
      <c r="S141" s="38"/>
      <c r="T141" s="201"/>
      <c r="U141" s="201"/>
      <c r="V141" s="201"/>
      <c r="W141" s="201"/>
      <c r="X141" s="201"/>
      <c r="Y141" s="201"/>
      <c r="Z141" s="201"/>
      <c r="AA141" s="201"/>
      <c r="AB141" s="202"/>
      <c r="AC141" s="202"/>
      <c r="AD141" s="202"/>
      <c r="AE141" s="202"/>
      <c r="AF141" s="202"/>
      <c r="AG141" s="201"/>
      <c r="AH141" s="201"/>
      <c r="AI141" s="201"/>
      <c r="AJ141" s="201"/>
      <c r="AK141" s="201"/>
      <c r="AL141" s="201"/>
      <c r="AM141" s="201"/>
      <c r="AN141" s="201"/>
      <c r="AO141" s="201"/>
      <c r="AP141" s="201"/>
      <c r="AQ141" s="201"/>
      <c r="AR141" s="201"/>
      <c r="AS141" s="201"/>
      <c r="AT141" s="201"/>
      <c r="AU141" s="201"/>
      <c r="AV141" s="201"/>
      <c r="AW141" s="201"/>
      <c r="AX141" s="201"/>
      <c r="AY141" s="201"/>
      <c r="AZ141" s="201"/>
    </row>
    <row r="142" spans="2:52">
      <c r="B142" s="35" t="s">
        <v>514</v>
      </c>
      <c r="C142" s="35"/>
      <c r="D142" s="32"/>
      <c r="E142" s="36" t="s">
        <v>511</v>
      </c>
      <c r="F142" s="37" t="s">
        <v>1414</v>
      </c>
      <c r="G142" s="59" t="s">
        <v>1411</v>
      </c>
      <c r="H142" s="33"/>
      <c r="I142" s="34"/>
      <c r="J142" s="35" t="s">
        <v>516</v>
      </c>
      <c r="K142" s="36" t="s">
        <v>511</v>
      </c>
      <c r="L142" s="37">
        <v>45030.708333333336</v>
      </c>
      <c r="M142" s="32"/>
      <c r="N142" s="32"/>
      <c r="O142" s="206"/>
      <c r="P142" s="205"/>
      <c r="Q142" s="202"/>
      <c r="R142" s="204"/>
      <c r="S142" s="38"/>
      <c r="T142" s="201"/>
      <c r="U142" s="201"/>
      <c r="V142" s="201"/>
      <c r="W142" s="201"/>
      <c r="X142" s="201"/>
      <c r="Y142" s="201"/>
      <c r="Z142" s="201"/>
      <c r="AA142" s="201"/>
      <c r="AB142" s="202"/>
      <c r="AC142" s="202"/>
      <c r="AD142" s="202"/>
      <c r="AE142" s="202"/>
      <c r="AF142" s="202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201"/>
      <c r="AU142" s="201"/>
      <c r="AV142" s="201"/>
      <c r="AW142" s="201"/>
      <c r="AX142" s="201"/>
      <c r="AY142" s="201"/>
      <c r="AZ142" s="201"/>
    </row>
    <row r="143" spans="2:52">
      <c r="B143" s="35" t="s">
        <v>517</v>
      </c>
      <c r="C143" s="35"/>
      <c r="D143" s="32"/>
      <c r="E143" s="36" t="s">
        <v>511</v>
      </c>
      <c r="F143" s="37">
        <v>45021.92083333333</v>
      </c>
      <c r="G143" s="60">
        <v>45024</v>
      </c>
      <c r="H143" s="33"/>
      <c r="I143" s="34"/>
      <c r="J143" s="35" t="s">
        <v>518</v>
      </c>
      <c r="K143" s="36" t="s">
        <v>511</v>
      </c>
      <c r="L143" s="50">
        <v>53800</v>
      </c>
      <c r="M143" s="40" t="s">
        <v>519</v>
      </c>
      <c r="N143" s="40"/>
      <c r="O143" s="206"/>
      <c r="P143" s="205"/>
      <c r="Q143" s="202"/>
      <c r="R143" s="204"/>
      <c r="S143" s="38"/>
      <c r="T143" s="201"/>
      <c r="U143" s="201"/>
      <c r="V143" s="201"/>
      <c r="W143" s="201"/>
      <c r="X143" s="201"/>
      <c r="Y143" s="201"/>
      <c r="Z143" s="201"/>
      <c r="AA143" s="201"/>
      <c r="AB143" s="202"/>
      <c r="AC143" s="202"/>
      <c r="AD143" s="202"/>
      <c r="AE143" s="202"/>
      <c r="AF143" s="202"/>
      <c r="AG143" s="201"/>
      <c r="AH143" s="201"/>
      <c r="AI143" s="201"/>
      <c r="AJ143" s="201"/>
      <c r="AK143" s="201"/>
      <c r="AL143" s="201"/>
      <c r="AM143" s="201"/>
      <c r="AN143" s="201"/>
      <c r="AO143" s="201"/>
      <c r="AP143" s="201"/>
      <c r="AQ143" s="201"/>
      <c r="AR143" s="201"/>
      <c r="AS143" s="201"/>
      <c r="AT143" s="201"/>
      <c r="AU143" s="201"/>
      <c r="AV143" s="201"/>
      <c r="AW143" s="201"/>
      <c r="AX143" s="201"/>
      <c r="AY143" s="201"/>
      <c r="AZ143" s="201"/>
    </row>
    <row r="144" spans="2:52">
      <c r="B144" s="35" t="s">
        <v>520</v>
      </c>
      <c r="C144" s="35"/>
      <c r="D144" s="32"/>
      <c r="E144" s="36" t="s">
        <v>511</v>
      </c>
      <c r="F144" s="37" t="s">
        <v>8</v>
      </c>
      <c r="G144" s="32"/>
      <c r="H144" s="33"/>
      <c r="I144" s="34"/>
      <c r="J144" s="35" t="s">
        <v>521</v>
      </c>
      <c r="K144" s="36" t="s">
        <v>511</v>
      </c>
      <c r="L144" s="41" t="s">
        <v>1415</v>
      </c>
      <c r="M144" s="32"/>
      <c r="N144" s="32"/>
      <c r="O144" s="206"/>
      <c r="P144" s="202"/>
      <c r="Q144" s="202"/>
      <c r="R144" s="204"/>
      <c r="S144" s="38"/>
      <c r="T144" s="201"/>
      <c r="U144" s="201"/>
      <c r="V144" s="201"/>
      <c r="W144" s="201"/>
      <c r="X144" s="201"/>
      <c r="Y144" s="201"/>
      <c r="Z144" s="201"/>
      <c r="AA144" s="201"/>
      <c r="AB144" s="202"/>
      <c r="AC144" s="202"/>
      <c r="AD144" s="202"/>
      <c r="AE144" s="202"/>
      <c r="AF144" s="202"/>
      <c r="AG144" s="201"/>
      <c r="AH144" s="201"/>
      <c r="AI144" s="201"/>
      <c r="AJ144" s="201"/>
      <c r="AK144" s="201"/>
      <c r="AL144" s="201"/>
      <c r="AM144" s="201"/>
      <c r="AN144" s="201"/>
      <c r="AO144" s="201"/>
      <c r="AP144" s="201"/>
      <c r="AQ144" s="201"/>
      <c r="AR144" s="201"/>
      <c r="AS144" s="201"/>
      <c r="AT144" s="201"/>
      <c r="AU144" s="201"/>
      <c r="AV144" s="201"/>
      <c r="AW144" s="201"/>
      <c r="AX144" s="201"/>
      <c r="AY144" s="201"/>
      <c r="AZ144" s="201"/>
    </row>
    <row r="145" spans="2:52">
      <c r="B145" s="35" t="s">
        <v>523</v>
      </c>
      <c r="C145" s="35"/>
      <c r="D145" s="32"/>
      <c r="E145" s="36" t="s">
        <v>511</v>
      </c>
      <c r="F145" s="37" t="s">
        <v>13</v>
      </c>
      <c r="G145" s="32"/>
      <c r="H145" s="33"/>
      <c r="I145" s="34"/>
      <c r="J145" s="42" t="s">
        <v>524</v>
      </c>
      <c r="K145" s="36" t="s">
        <v>511</v>
      </c>
      <c r="L145" s="43" t="s">
        <v>15</v>
      </c>
      <c r="M145" s="44"/>
      <c r="N145" s="44"/>
      <c r="O145" s="206"/>
      <c r="P145" s="205"/>
      <c r="Q145" s="202"/>
      <c r="R145" s="204"/>
      <c r="S145" s="38"/>
      <c r="T145" s="201"/>
      <c r="U145" s="201"/>
      <c r="V145" s="201"/>
      <c r="W145" s="201"/>
      <c r="X145" s="201"/>
      <c r="Y145" s="201"/>
      <c r="Z145" s="201"/>
      <c r="AA145" s="201"/>
      <c r="AB145" s="202"/>
      <c r="AC145" s="202"/>
      <c r="AD145" s="202"/>
      <c r="AE145" s="202"/>
      <c r="AF145" s="202"/>
      <c r="AG145" s="201"/>
      <c r="AH145" s="201"/>
      <c r="AI145" s="201"/>
      <c r="AJ145" s="201"/>
      <c r="AK145" s="201"/>
      <c r="AL145" s="201"/>
      <c r="AM145" s="201"/>
      <c r="AN145" s="201"/>
      <c r="AO145" s="201"/>
      <c r="AP145" s="201"/>
      <c r="AQ145" s="201"/>
      <c r="AR145" s="201"/>
      <c r="AS145" s="201"/>
      <c r="AT145" s="201"/>
      <c r="AU145" s="201"/>
      <c r="AV145" s="201"/>
      <c r="AW145" s="201"/>
      <c r="AX145" s="201"/>
      <c r="AY145" s="201"/>
      <c r="AZ145" s="201"/>
    </row>
    <row r="146" spans="2:52">
      <c r="B146" s="35" t="s">
        <v>2</v>
      </c>
      <c r="C146" s="35"/>
      <c r="D146" s="32"/>
      <c r="E146" s="36" t="s">
        <v>511</v>
      </c>
      <c r="F146" s="37" t="s">
        <v>42</v>
      </c>
      <c r="G146" s="32"/>
      <c r="H146" s="33"/>
      <c r="I146" s="45"/>
      <c r="J146" s="42"/>
      <c r="K146" s="36"/>
      <c r="L146" s="211"/>
      <c r="M146" s="201"/>
      <c r="N146" s="201"/>
      <c r="O146" s="42"/>
      <c r="P146" s="44"/>
      <c r="Q146" s="44"/>
      <c r="R146" s="44"/>
      <c r="S146" s="34"/>
      <c r="T146" s="201"/>
      <c r="U146" s="201"/>
      <c r="V146" s="201"/>
      <c r="W146" s="201"/>
      <c r="X146" s="201"/>
      <c r="Y146" s="201"/>
      <c r="Z146" s="201"/>
      <c r="AA146" s="201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201"/>
      <c r="AP146" s="201"/>
      <c r="AQ146" s="201"/>
      <c r="AR146" s="201"/>
      <c r="AS146" s="201"/>
      <c r="AT146" s="201"/>
      <c r="AU146" s="201"/>
      <c r="AV146" s="201"/>
      <c r="AW146" s="201"/>
      <c r="AX146" s="201"/>
      <c r="AY146" s="201"/>
      <c r="AZ146" s="201"/>
    </row>
    <row r="147" spans="2:52">
      <c r="B147" s="201"/>
      <c r="C147" s="201"/>
      <c r="D147" s="201"/>
      <c r="E147" s="201"/>
      <c r="F147" s="201"/>
      <c r="G147" s="201"/>
      <c r="H147" s="201"/>
      <c r="I147" s="45"/>
      <c r="J147" s="42"/>
      <c r="K147" s="42"/>
      <c r="L147" s="43"/>
      <c r="M147" s="44"/>
      <c r="N147" s="44"/>
      <c r="O147" s="42"/>
      <c r="P147" s="44"/>
      <c r="Q147" s="44"/>
      <c r="R147" s="44"/>
      <c r="S147" s="34"/>
      <c r="T147" s="1265" t="s">
        <v>87</v>
      </c>
      <c r="U147" s="1265"/>
      <c r="V147" s="1265"/>
      <c r="W147" s="1265"/>
      <c r="X147" s="1265"/>
      <c r="Y147" s="1265" t="s">
        <v>73</v>
      </c>
      <c r="Z147" s="1265"/>
      <c r="AA147" s="1265"/>
      <c r="AB147" s="1265" t="s">
        <v>74</v>
      </c>
      <c r="AC147" s="1265"/>
      <c r="AD147" s="423" t="s">
        <v>85</v>
      </c>
      <c r="AE147" s="423" t="s">
        <v>77</v>
      </c>
      <c r="AF147" s="1265" t="s">
        <v>525</v>
      </c>
      <c r="AG147" s="1265"/>
      <c r="AH147" s="1265"/>
      <c r="AI147" s="1265"/>
      <c r="AJ147" s="1265"/>
      <c r="AK147" s="1265"/>
      <c r="AL147" s="1265"/>
      <c r="AM147" s="1265"/>
      <c r="AN147" s="1265"/>
      <c r="AO147" s="1265"/>
      <c r="AP147" s="1265"/>
      <c r="AQ147" s="1265"/>
      <c r="AR147" s="1265"/>
      <c r="AS147" s="1265"/>
      <c r="AT147" s="1265"/>
      <c r="AU147" s="1265"/>
      <c r="AV147" s="1265"/>
      <c r="AW147" s="1265"/>
      <c r="AX147" s="1265"/>
      <c r="AY147" s="1265"/>
      <c r="AZ147" s="201"/>
    </row>
    <row r="148" spans="2:52">
      <c r="B148" s="1266" t="s">
        <v>526</v>
      </c>
      <c r="C148" s="1267"/>
      <c r="D148" s="570" t="s">
        <v>527</v>
      </c>
      <c r="E148" s="570"/>
      <c r="F148" s="570" t="s">
        <v>528</v>
      </c>
      <c r="G148" s="570" t="s">
        <v>529</v>
      </c>
      <c r="H148" s="570" t="s">
        <v>530</v>
      </c>
      <c r="I148" s="570" t="s">
        <v>531</v>
      </c>
      <c r="J148" s="570" t="s">
        <v>532</v>
      </c>
      <c r="K148" s="570"/>
      <c r="L148" s="570" t="s">
        <v>130</v>
      </c>
      <c r="M148" s="570" t="s">
        <v>533</v>
      </c>
      <c r="N148" s="408" t="str">
        <f>"On time - "&amp;COUNTIF(N149:N156,"On time")&amp;" from "&amp;ROWS(N149:N156)-COUNTIF(N149:N156," ")</f>
        <v>On time - 0 from 8</v>
      </c>
      <c r="O148" s="46"/>
      <c r="P148" s="409" t="s">
        <v>534</v>
      </c>
      <c r="Q148" s="409" t="s">
        <v>535</v>
      </c>
      <c r="R148" s="409" t="s">
        <v>536</v>
      </c>
      <c r="S148" s="32"/>
      <c r="T148" s="424" t="s">
        <v>537</v>
      </c>
      <c r="U148" s="424" t="s">
        <v>538</v>
      </c>
      <c r="V148" s="424" t="s">
        <v>539</v>
      </c>
      <c r="W148" s="424" t="s">
        <v>540</v>
      </c>
      <c r="X148" s="424" t="s">
        <v>541</v>
      </c>
      <c r="Y148" s="424" t="s">
        <v>167</v>
      </c>
      <c r="Z148" s="424" t="s">
        <v>168</v>
      </c>
      <c r="AA148" s="424" t="s">
        <v>169</v>
      </c>
      <c r="AB148" s="424" t="s">
        <v>235</v>
      </c>
      <c r="AC148" s="424" t="s">
        <v>240</v>
      </c>
      <c r="AD148" s="423" t="s">
        <v>85</v>
      </c>
      <c r="AE148" s="424" t="s">
        <v>139</v>
      </c>
      <c r="AF148" s="424" t="s">
        <v>72</v>
      </c>
      <c r="AG148" s="424" t="s">
        <v>88</v>
      </c>
      <c r="AH148" s="424" t="s">
        <v>75</v>
      </c>
      <c r="AI148" s="424" t="s">
        <v>543</v>
      </c>
      <c r="AJ148" s="424" t="s">
        <v>78</v>
      </c>
      <c r="AK148" s="424" t="s">
        <v>76</v>
      </c>
      <c r="AL148" s="424" t="s">
        <v>544</v>
      </c>
      <c r="AM148" s="424" t="s">
        <v>545</v>
      </c>
      <c r="AN148" s="424" t="s">
        <v>86</v>
      </c>
      <c r="AO148" s="424" t="s">
        <v>83</v>
      </c>
      <c r="AP148" s="424" t="s">
        <v>84</v>
      </c>
      <c r="AQ148" s="424" t="s">
        <v>546</v>
      </c>
      <c r="AR148" s="424" t="s">
        <v>81</v>
      </c>
      <c r="AS148" s="424" t="s">
        <v>80</v>
      </c>
      <c r="AT148" s="424" t="s">
        <v>82</v>
      </c>
      <c r="AU148" s="424" t="s">
        <v>181</v>
      </c>
      <c r="AV148" s="424" t="s">
        <v>183</v>
      </c>
      <c r="AW148" s="424" t="s">
        <v>547</v>
      </c>
      <c r="AX148" s="424" t="s">
        <v>182</v>
      </c>
      <c r="AY148" s="424" t="s">
        <v>172</v>
      </c>
      <c r="AZ148" s="201"/>
    </row>
    <row r="149" spans="2:52">
      <c r="B149" s="1256" t="s">
        <v>548</v>
      </c>
      <c r="C149" s="1257"/>
      <c r="D149" s="411" t="s">
        <v>1216</v>
      </c>
      <c r="E149" s="411"/>
      <c r="F149" s="411" t="s">
        <v>377</v>
      </c>
      <c r="G149" s="411" t="s">
        <v>378</v>
      </c>
      <c r="H149" s="412">
        <v>7784.6390000000001</v>
      </c>
      <c r="I149" s="413" t="s">
        <v>235</v>
      </c>
      <c r="J149" s="414">
        <v>45025.541666666664</v>
      </c>
      <c r="K149" s="414"/>
      <c r="L149" s="414" t="s">
        <v>192</v>
      </c>
      <c r="M149" s="414" t="s">
        <v>192</v>
      </c>
      <c r="N149" s="413" t="str">
        <f t="shared" ref="N149:N156" si="8">IF(ISBLANK(J149)," ",IF(J149&lt;$G$143,"On time",(IF(DAY(J149-$G$143)&lt;1,"On time",(IF(J149&gt;$G$143,"DELAY ( "&amp;DAY(J149-$G$143)&amp;" day "&amp;HOUR(J149-$G$143)&amp;" hour "&amp;MINUTE(J149-$G$143)&amp;" minute )","xxx"))))))</f>
        <v>DELAY ( 1 day 13 hour 0 minute )</v>
      </c>
      <c r="O149" s="51"/>
      <c r="P149" s="415" t="s">
        <v>551</v>
      </c>
      <c r="Q149" s="415" t="s">
        <v>551</v>
      </c>
      <c r="R149" s="415" t="s">
        <v>551</v>
      </c>
      <c r="S149" s="32"/>
      <c r="T149" s="416"/>
      <c r="U149" s="416"/>
      <c r="V149" s="416"/>
      <c r="W149" s="416"/>
      <c r="X149" s="416"/>
      <c r="Y149" s="416"/>
      <c r="Z149" s="416"/>
      <c r="AA149" s="416"/>
      <c r="AB149" s="416">
        <f>H149</f>
        <v>7784.6390000000001</v>
      </c>
      <c r="AC149" s="416"/>
      <c r="AD149" s="416"/>
      <c r="AE149" s="416"/>
      <c r="AF149" s="416"/>
      <c r="AG149" s="416"/>
      <c r="AH149" s="416"/>
      <c r="AI149" s="416"/>
      <c r="AJ149" s="416"/>
      <c r="AK149" s="416"/>
      <c r="AL149" s="416"/>
      <c r="AM149" s="416"/>
      <c r="AN149" s="416"/>
      <c r="AO149" s="416"/>
      <c r="AP149" s="416"/>
      <c r="AQ149" s="416"/>
      <c r="AR149" s="416"/>
      <c r="AS149" s="416"/>
      <c r="AT149" s="416"/>
      <c r="AU149" s="416"/>
      <c r="AV149" s="416"/>
      <c r="AW149" s="416"/>
      <c r="AX149" s="416"/>
      <c r="AY149" s="416"/>
      <c r="AZ149" s="32"/>
    </row>
    <row r="150" spans="2:52">
      <c r="B150" s="1256" t="s">
        <v>548</v>
      </c>
      <c r="C150" s="1257"/>
      <c r="D150" s="411" t="s">
        <v>1221</v>
      </c>
      <c r="E150" s="411"/>
      <c r="F150" s="411" t="s">
        <v>252</v>
      </c>
      <c r="G150" s="411" t="s">
        <v>253</v>
      </c>
      <c r="H150" s="412">
        <v>7484.15</v>
      </c>
      <c r="I150" s="413" t="s">
        <v>235</v>
      </c>
      <c r="J150" s="414">
        <v>45027.458333333336</v>
      </c>
      <c r="K150" s="414"/>
      <c r="L150" s="414" t="s">
        <v>192</v>
      </c>
      <c r="M150" s="414" t="s">
        <v>192</v>
      </c>
      <c r="N150" s="413" t="str">
        <f t="shared" si="8"/>
        <v>DELAY ( 3 day 11 hour 0 minute )</v>
      </c>
      <c r="O150" s="51"/>
      <c r="P150" s="415" t="s">
        <v>551</v>
      </c>
      <c r="Q150" s="415" t="s">
        <v>551</v>
      </c>
      <c r="R150" s="415" t="s">
        <v>551</v>
      </c>
      <c r="S150" s="32"/>
      <c r="T150" s="416"/>
      <c r="U150" s="416"/>
      <c r="V150" s="416"/>
      <c r="W150" s="416"/>
      <c r="X150" s="416"/>
      <c r="Y150" s="416"/>
      <c r="Z150" s="416"/>
      <c r="AA150" s="416"/>
      <c r="AB150" s="416">
        <f>H150</f>
        <v>7484.15</v>
      </c>
      <c r="AC150" s="416"/>
      <c r="AD150" s="416"/>
      <c r="AE150" s="416"/>
      <c r="AF150" s="416"/>
      <c r="AG150" s="416"/>
      <c r="AH150" s="416"/>
      <c r="AI150" s="416"/>
      <c r="AJ150" s="416"/>
      <c r="AK150" s="416"/>
      <c r="AL150" s="416"/>
      <c r="AM150" s="416"/>
      <c r="AN150" s="416"/>
      <c r="AO150" s="416"/>
      <c r="AP150" s="416"/>
      <c r="AQ150" s="416"/>
      <c r="AR150" s="416"/>
      <c r="AS150" s="416"/>
      <c r="AT150" s="416"/>
      <c r="AU150" s="416"/>
      <c r="AV150" s="416"/>
      <c r="AW150" s="416"/>
      <c r="AX150" s="416"/>
      <c r="AY150" s="416"/>
      <c r="AZ150" s="32"/>
    </row>
    <row r="151" spans="2:52">
      <c r="B151" s="1256" t="s">
        <v>548</v>
      </c>
      <c r="C151" s="1257"/>
      <c r="D151" s="411" t="s">
        <v>1217</v>
      </c>
      <c r="E151" s="411"/>
      <c r="F151" s="411" t="s">
        <v>288</v>
      </c>
      <c r="G151" s="411" t="s">
        <v>289</v>
      </c>
      <c r="H151" s="412">
        <v>7500.0619999999999</v>
      </c>
      <c r="I151" s="413" t="s">
        <v>235</v>
      </c>
      <c r="J151" s="414">
        <v>45025.5625</v>
      </c>
      <c r="K151" s="414"/>
      <c r="L151" s="414" t="s">
        <v>192</v>
      </c>
      <c r="M151" s="414" t="s">
        <v>192</v>
      </c>
      <c r="N151" s="413" t="str">
        <f t="shared" si="8"/>
        <v>DELAY ( 1 day 13 hour 30 minute )</v>
      </c>
      <c r="O151" s="51"/>
      <c r="P151" s="415" t="s">
        <v>551</v>
      </c>
      <c r="Q151" s="415" t="s">
        <v>551</v>
      </c>
      <c r="R151" s="415" t="s">
        <v>551</v>
      </c>
      <c r="S151" s="32"/>
      <c r="T151" s="416"/>
      <c r="U151" s="416"/>
      <c r="V151" s="416"/>
      <c r="W151" s="416"/>
      <c r="X151" s="416"/>
      <c r="Y151" s="416"/>
      <c r="Z151" s="416"/>
      <c r="AA151" s="416"/>
      <c r="AB151" s="416">
        <f>H151</f>
        <v>7500.0619999999999</v>
      </c>
      <c r="AC151" s="416"/>
      <c r="AD151" s="416"/>
      <c r="AE151" s="416"/>
      <c r="AF151" s="416"/>
      <c r="AG151" s="416"/>
      <c r="AH151" s="416"/>
      <c r="AI151" s="416"/>
      <c r="AJ151" s="416"/>
      <c r="AK151" s="416"/>
      <c r="AL151" s="416"/>
      <c r="AM151" s="416"/>
      <c r="AN151" s="416"/>
      <c r="AO151" s="416"/>
      <c r="AP151" s="416"/>
      <c r="AQ151" s="416"/>
      <c r="AR151" s="416"/>
      <c r="AS151" s="416"/>
      <c r="AT151" s="416"/>
      <c r="AU151" s="416"/>
      <c r="AV151" s="416"/>
      <c r="AW151" s="416"/>
      <c r="AX151" s="416"/>
      <c r="AY151" s="416"/>
      <c r="AZ151" s="32"/>
    </row>
    <row r="152" spans="2:52">
      <c r="B152" s="1256" t="s">
        <v>1416</v>
      </c>
      <c r="C152" s="1257"/>
      <c r="D152" s="411" t="s">
        <v>1302</v>
      </c>
      <c r="E152" s="411"/>
      <c r="F152" s="411" t="s">
        <v>1303</v>
      </c>
      <c r="G152" s="411" t="s">
        <v>1304</v>
      </c>
      <c r="H152" s="412">
        <v>5070</v>
      </c>
      <c r="I152" s="413" t="s">
        <v>81</v>
      </c>
      <c r="J152" s="414">
        <v>45027.902777777781</v>
      </c>
      <c r="K152" s="414"/>
      <c r="L152" s="414" t="s">
        <v>192</v>
      </c>
      <c r="M152" s="414" t="s">
        <v>192</v>
      </c>
      <c r="N152" s="413" t="str">
        <f t="shared" si="8"/>
        <v>DELAY ( 3 day 21 hour 40 minute )</v>
      </c>
      <c r="O152" s="51"/>
      <c r="P152" s="415" t="s">
        <v>551</v>
      </c>
      <c r="Q152" s="415" t="s">
        <v>551</v>
      </c>
      <c r="R152" s="415" t="s">
        <v>551</v>
      </c>
      <c r="S152" s="32"/>
      <c r="T152" s="416"/>
      <c r="U152" s="416"/>
      <c r="V152" s="416"/>
      <c r="W152" s="416"/>
      <c r="X152" s="416"/>
      <c r="Y152" s="416"/>
      <c r="Z152" s="416"/>
      <c r="AA152" s="416"/>
      <c r="AB152" s="416"/>
      <c r="AC152" s="416"/>
      <c r="AD152" s="416"/>
      <c r="AE152" s="416"/>
      <c r="AF152" s="416"/>
      <c r="AG152" s="416"/>
      <c r="AH152" s="416"/>
      <c r="AI152" s="416"/>
      <c r="AJ152" s="416"/>
      <c r="AK152" s="416"/>
      <c r="AL152" s="416"/>
      <c r="AM152" s="416"/>
      <c r="AN152" s="416"/>
      <c r="AO152" s="416"/>
      <c r="AP152" s="416"/>
      <c r="AQ152" s="416"/>
      <c r="AR152" s="416">
        <f>H152</f>
        <v>5070</v>
      </c>
      <c r="AS152" s="416"/>
      <c r="AT152" s="416"/>
      <c r="AU152" s="416"/>
      <c r="AV152" s="32"/>
      <c r="AW152" s="416"/>
      <c r="AX152" s="416"/>
      <c r="AY152" s="416"/>
      <c r="AZ152" s="32"/>
    </row>
    <row r="153" spans="2:52">
      <c r="B153" s="1256" t="s">
        <v>548</v>
      </c>
      <c r="C153" s="1257"/>
      <c r="D153" s="411" t="s">
        <v>1218</v>
      </c>
      <c r="E153" s="411"/>
      <c r="F153" s="411" t="s">
        <v>380</v>
      </c>
      <c r="G153" s="411" t="s">
        <v>381</v>
      </c>
      <c r="H153" s="412">
        <v>7745.34</v>
      </c>
      <c r="I153" s="413" t="s">
        <v>235</v>
      </c>
      <c r="J153" s="414">
        <v>45025.645833333336</v>
      </c>
      <c r="K153" s="414"/>
      <c r="L153" s="414" t="s">
        <v>192</v>
      </c>
      <c r="M153" s="414" t="s">
        <v>192</v>
      </c>
      <c r="N153" s="413" t="str">
        <f t="shared" si="8"/>
        <v>DELAY ( 1 day 15 hour 30 minute )</v>
      </c>
      <c r="O153" s="51"/>
      <c r="P153" s="415" t="s">
        <v>551</v>
      </c>
      <c r="Q153" s="415" t="s">
        <v>551</v>
      </c>
      <c r="R153" s="415" t="s">
        <v>551</v>
      </c>
      <c r="S153" s="32"/>
      <c r="T153" s="416"/>
      <c r="U153" s="416"/>
      <c r="V153" s="416"/>
      <c r="W153" s="416"/>
      <c r="X153" s="416"/>
      <c r="Y153" s="416"/>
      <c r="Z153" s="416"/>
      <c r="AA153" s="416"/>
      <c r="AB153" s="416">
        <f>H153</f>
        <v>7745.34</v>
      </c>
      <c r="AC153" s="416"/>
      <c r="AD153" s="416"/>
      <c r="AE153" s="416"/>
      <c r="AF153" s="416"/>
      <c r="AG153" s="416"/>
      <c r="AH153" s="416"/>
      <c r="AI153" s="416"/>
      <c r="AJ153" s="416"/>
      <c r="AK153" s="416"/>
      <c r="AL153" s="416"/>
      <c r="AM153" s="416"/>
      <c r="AN153" s="416"/>
      <c r="AO153" s="416"/>
      <c r="AP153" s="416"/>
      <c r="AQ153" s="416"/>
      <c r="AR153" s="416"/>
      <c r="AS153" s="416"/>
      <c r="AT153" s="416"/>
      <c r="AU153" s="416"/>
      <c r="AV153" s="416"/>
      <c r="AW153" s="416"/>
      <c r="AX153" s="416"/>
      <c r="AY153" s="416"/>
      <c r="AZ153" s="32"/>
    </row>
    <row r="154" spans="2:52">
      <c r="B154" s="1256" t="s">
        <v>548</v>
      </c>
      <c r="C154" s="1257"/>
      <c r="D154" s="411" t="s">
        <v>1336</v>
      </c>
      <c r="E154" s="411"/>
      <c r="F154" s="411" t="s">
        <v>218</v>
      </c>
      <c r="G154" s="411" t="s">
        <v>219</v>
      </c>
      <c r="H154" s="412">
        <v>7500</v>
      </c>
      <c r="I154" s="413" t="s">
        <v>76</v>
      </c>
      <c r="J154" s="414">
        <v>45026.583333333336</v>
      </c>
      <c r="K154" s="414"/>
      <c r="L154" s="414" t="s">
        <v>192</v>
      </c>
      <c r="M154" s="414" t="s">
        <v>192</v>
      </c>
      <c r="N154" s="413" t="str">
        <f t="shared" si="8"/>
        <v>DELAY ( 2 day 14 hour 0 minute )</v>
      </c>
      <c r="O154" s="51"/>
      <c r="P154" s="415" t="s">
        <v>551</v>
      </c>
      <c r="Q154" s="415" t="s">
        <v>551</v>
      </c>
      <c r="R154" s="415" t="s">
        <v>551</v>
      </c>
      <c r="S154" s="32"/>
      <c r="T154" s="416"/>
      <c r="U154" s="416"/>
      <c r="V154" s="416"/>
      <c r="W154" s="416"/>
      <c r="X154" s="416"/>
      <c r="Y154" s="416"/>
      <c r="Z154" s="416"/>
      <c r="AA154" s="416"/>
      <c r="AB154" s="416"/>
      <c r="AC154" s="416"/>
      <c r="AD154" s="416"/>
      <c r="AE154" s="416"/>
      <c r="AF154" s="416"/>
      <c r="AG154" s="416"/>
      <c r="AH154" s="416"/>
      <c r="AI154" s="416"/>
      <c r="AJ154" s="416"/>
      <c r="AK154" s="416">
        <f>H154</f>
        <v>7500</v>
      </c>
      <c r="AL154" s="416"/>
      <c r="AM154" s="416"/>
      <c r="AN154" s="416"/>
      <c r="AO154" s="416"/>
      <c r="AP154" s="416"/>
      <c r="AQ154" s="416"/>
      <c r="AR154" s="416"/>
      <c r="AS154" s="416"/>
      <c r="AT154" s="32"/>
      <c r="AU154" s="416"/>
      <c r="AV154" s="416"/>
      <c r="AW154" s="416"/>
      <c r="AX154" s="416"/>
      <c r="AY154" s="416"/>
      <c r="AZ154" s="32"/>
    </row>
    <row r="155" spans="2:52">
      <c r="B155" s="1256" t="s">
        <v>548</v>
      </c>
      <c r="C155" s="1257"/>
      <c r="D155" s="411" t="s">
        <v>1219</v>
      </c>
      <c r="E155" s="411"/>
      <c r="F155" s="411" t="s">
        <v>505</v>
      </c>
      <c r="G155" s="411" t="s">
        <v>506</v>
      </c>
      <c r="H155" s="412">
        <v>7435.5219999999999</v>
      </c>
      <c r="I155" s="413" t="s">
        <v>235</v>
      </c>
      <c r="J155" s="414">
        <v>45025.652777777781</v>
      </c>
      <c r="K155" s="414"/>
      <c r="L155" s="414" t="s">
        <v>192</v>
      </c>
      <c r="M155" s="414" t="s">
        <v>192</v>
      </c>
      <c r="N155" s="413" t="str">
        <f t="shared" si="8"/>
        <v>DELAY ( 1 day 15 hour 40 minute )</v>
      </c>
      <c r="O155" s="51"/>
      <c r="P155" s="415" t="s">
        <v>551</v>
      </c>
      <c r="Q155" s="415" t="s">
        <v>551</v>
      </c>
      <c r="R155" s="415" t="s">
        <v>551</v>
      </c>
      <c r="S155" s="32"/>
      <c r="T155" s="416"/>
      <c r="U155" s="416"/>
      <c r="V155" s="416"/>
      <c r="W155" s="416"/>
      <c r="X155" s="416"/>
      <c r="Y155" s="416"/>
      <c r="Z155" s="416"/>
      <c r="AA155" s="416"/>
      <c r="AB155" s="416">
        <f>H155</f>
        <v>7435.5219999999999</v>
      </c>
      <c r="AC155" s="416"/>
      <c r="AD155" s="416"/>
      <c r="AE155" s="416"/>
      <c r="AF155" s="416"/>
      <c r="AG155" s="416"/>
      <c r="AH155" s="416"/>
      <c r="AI155" s="416"/>
      <c r="AJ155" s="416"/>
      <c r="AK155" s="416"/>
      <c r="AL155" s="416"/>
      <c r="AM155" s="416"/>
      <c r="AN155" s="416"/>
      <c r="AO155" s="416"/>
      <c r="AP155" s="416"/>
      <c r="AQ155" s="416"/>
      <c r="AR155" s="416"/>
      <c r="AS155" s="416"/>
      <c r="AT155" s="416"/>
      <c r="AU155" s="416"/>
      <c r="AV155" s="416"/>
      <c r="AW155" s="416"/>
      <c r="AX155" s="416"/>
      <c r="AY155" s="416"/>
      <c r="AZ155" s="32"/>
    </row>
    <row r="156" spans="2:52">
      <c r="B156" s="1256" t="s">
        <v>548</v>
      </c>
      <c r="C156" s="1257"/>
      <c r="D156" s="411" t="s">
        <v>1220</v>
      </c>
      <c r="E156" s="411"/>
      <c r="F156" s="411" t="s">
        <v>361</v>
      </c>
      <c r="G156" s="411" t="s">
        <v>362</v>
      </c>
      <c r="H156" s="412">
        <f>7449.595-4169.308</f>
        <v>3280.2870000000003</v>
      </c>
      <c r="I156" s="413" t="s">
        <v>235</v>
      </c>
      <c r="J156" s="414">
        <v>45026.53125</v>
      </c>
      <c r="K156" s="414"/>
      <c r="L156" s="414" t="s">
        <v>192</v>
      </c>
      <c r="M156" s="414" t="s">
        <v>192</v>
      </c>
      <c r="N156" s="413" t="str">
        <f t="shared" si="8"/>
        <v>DELAY ( 2 day 12 hour 45 minute )</v>
      </c>
      <c r="O156" s="51"/>
      <c r="P156" s="415" t="s">
        <v>551</v>
      </c>
      <c r="Q156" s="415" t="s">
        <v>551</v>
      </c>
      <c r="R156" s="415" t="s">
        <v>551</v>
      </c>
      <c r="S156" s="32"/>
      <c r="T156" s="416"/>
      <c r="U156" s="416"/>
      <c r="V156" s="416"/>
      <c r="W156" s="416"/>
      <c r="X156" s="416"/>
      <c r="Y156" s="416"/>
      <c r="Z156" s="416"/>
      <c r="AA156" s="416"/>
      <c r="AB156" s="416">
        <f>H156</f>
        <v>3280.2870000000003</v>
      </c>
      <c r="AC156" s="416"/>
      <c r="AD156" s="416"/>
      <c r="AE156" s="416"/>
      <c r="AF156" s="416"/>
      <c r="AG156" s="416"/>
      <c r="AH156" s="416"/>
      <c r="AI156" s="416"/>
      <c r="AJ156" s="416"/>
      <c r="AK156" s="416"/>
      <c r="AL156" s="416"/>
      <c r="AM156" s="416"/>
      <c r="AN156" s="416"/>
      <c r="AO156" s="416"/>
      <c r="AP156" s="416"/>
      <c r="AQ156" s="416"/>
      <c r="AR156" s="416"/>
      <c r="AS156" s="416"/>
      <c r="AT156" s="416"/>
      <c r="AU156" s="416"/>
      <c r="AV156" s="416"/>
      <c r="AW156" s="416"/>
      <c r="AX156" s="416"/>
      <c r="AY156" s="416"/>
      <c r="AZ156" s="32"/>
    </row>
    <row r="157" spans="2:52">
      <c r="B157" s="1258" t="s">
        <v>556</v>
      </c>
      <c r="C157" s="1259"/>
      <c r="D157" s="1259"/>
      <c r="E157" s="1259"/>
      <c r="F157" s="1259"/>
      <c r="G157" s="1260"/>
      <c r="H157" s="417">
        <f>SUM(H149:H156)</f>
        <v>53800</v>
      </c>
      <c r="I157" s="388"/>
      <c r="J157" s="293"/>
      <c r="K157" s="293"/>
      <c r="L157" s="293"/>
      <c r="M157" s="389"/>
      <c r="N157" s="413" t="str">
        <f>IF(ISBLANK(J157)," ",IF(J157&lt;$F$4,"On time",(IF(DAY(J157-$F$4)&lt;1,"On time",(IF(J157&gt;$F$4,"DELAY ( "&amp;DAY(J157-$F$4)&amp;" day "&amp;HOUR(J157-$F$4)&amp;" hour "&amp;MINUTE(J157-$F$4)&amp;" minute )","xxx"))))))</f>
        <v xml:space="preserve"> </v>
      </c>
      <c r="O157" s="212"/>
      <c r="P157" s="418"/>
      <c r="Q157" s="418"/>
      <c r="R157" s="418"/>
      <c r="S157" s="207"/>
      <c r="T157" s="1262"/>
      <c r="U157" s="1263"/>
      <c r="V157" s="1263"/>
      <c r="W157" s="1263"/>
      <c r="X157" s="1263"/>
      <c r="Y157" s="1263"/>
      <c r="Z157" s="1263"/>
      <c r="AA157" s="1263"/>
      <c r="AB157" s="1263"/>
      <c r="AC157" s="1263"/>
      <c r="AD157" s="1263"/>
      <c r="AE157" s="1263"/>
      <c r="AF157" s="1263"/>
      <c r="AG157" s="1263"/>
      <c r="AH157" s="1263"/>
      <c r="AI157" s="1263"/>
      <c r="AJ157" s="1263"/>
      <c r="AK157" s="1263"/>
      <c r="AL157" s="1263"/>
      <c r="AM157" s="1263"/>
      <c r="AN157" s="1263"/>
      <c r="AO157" s="1263"/>
      <c r="AP157" s="1263"/>
      <c r="AQ157" s="1263"/>
      <c r="AR157" s="1263"/>
      <c r="AS157" s="1263"/>
      <c r="AT157" s="1263"/>
      <c r="AU157" s="1263"/>
      <c r="AV157" s="1263"/>
      <c r="AW157" s="1263"/>
      <c r="AX157" s="1263"/>
      <c r="AY157" s="1264"/>
    </row>
    <row r="158" spans="2:52">
      <c r="B158" s="1243" t="s">
        <v>557</v>
      </c>
      <c r="C158" s="1244"/>
      <c r="D158" s="1244"/>
      <c r="E158" s="1244"/>
      <c r="F158" s="1244"/>
      <c r="G158" s="1245"/>
      <c r="H158" s="419">
        <v>53800</v>
      </c>
      <c r="I158" s="1246"/>
      <c r="J158" s="1247"/>
      <c r="K158" s="1247"/>
      <c r="L158" s="1247"/>
      <c r="M158" s="1248"/>
      <c r="N158" s="413" t="str">
        <f>IF(ISBLANK(J158)," ",IF(J158&lt;$F$4,"On time",(IF(DAY(J158-$F$4)&lt;1,"On time",(IF(J158&gt;$F$4,"DELAY ( "&amp;DAY(J158-$F$4)&amp;" day "&amp;HOUR(J158-$F$4)&amp;" hour "&amp;MINUTE(J158-$F$4)&amp;" minute )","xxx"))))))</f>
        <v xml:space="preserve"> </v>
      </c>
      <c r="O158" s="32"/>
      <c r="P158" s="415"/>
      <c r="Q158" s="415"/>
      <c r="R158" s="415"/>
      <c r="S158" s="63"/>
      <c r="T158" s="416">
        <f t="shared" ref="T158:AY158" si="9">SUM(T149:T156)</f>
        <v>0</v>
      </c>
      <c r="U158" s="416">
        <f t="shared" si="9"/>
        <v>0</v>
      </c>
      <c r="V158" s="416">
        <f t="shared" si="9"/>
        <v>0</v>
      </c>
      <c r="W158" s="416">
        <f t="shared" si="9"/>
        <v>0</v>
      </c>
      <c r="X158" s="416">
        <f t="shared" si="9"/>
        <v>0</v>
      </c>
      <c r="Y158" s="416">
        <f t="shared" si="9"/>
        <v>0</v>
      </c>
      <c r="Z158" s="416">
        <f t="shared" si="9"/>
        <v>0</v>
      </c>
      <c r="AA158" s="416">
        <f t="shared" si="9"/>
        <v>0</v>
      </c>
      <c r="AB158" s="416">
        <f t="shared" si="9"/>
        <v>41230</v>
      </c>
      <c r="AC158" s="416">
        <f t="shared" si="9"/>
        <v>0</v>
      </c>
      <c r="AD158" s="416">
        <f t="shared" si="9"/>
        <v>0</v>
      </c>
      <c r="AE158" s="416">
        <f t="shared" si="9"/>
        <v>0</v>
      </c>
      <c r="AF158" s="416">
        <f t="shared" si="9"/>
        <v>0</v>
      </c>
      <c r="AG158" s="416">
        <f t="shared" si="9"/>
        <v>0</v>
      </c>
      <c r="AH158" s="416">
        <f t="shared" si="9"/>
        <v>0</v>
      </c>
      <c r="AI158" s="416">
        <f t="shared" si="9"/>
        <v>0</v>
      </c>
      <c r="AJ158" s="416">
        <f t="shared" si="9"/>
        <v>0</v>
      </c>
      <c r="AK158" s="416">
        <f t="shared" si="9"/>
        <v>7500</v>
      </c>
      <c r="AL158" s="416">
        <f t="shared" si="9"/>
        <v>0</v>
      </c>
      <c r="AM158" s="416">
        <f t="shared" si="9"/>
        <v>0</v>
      </c>
      <c r="AN158" s="416">
        <f t="shared" si="9"/>
        <v>0</v>
      </c>
      <c r="AO158" s="416">
        <f t="shared" si="9"/>
        <v>0</v>
      </c>
      <c r="AP158" s="416">
        <f t="shared" si="9"/>
        <v>0</v>
      </c>
      <c r="AQ158" s="416">
        <f t="shared" si="9"/>
        <v>0</v>
      </c>
      <c r="AR158" s="416">
        <f t="shared" si="9"/>
        <v>5070</v>
      </c>
      <c r="AS158" s="416">
        <f t="shared" si="9"/>
        <v>0</v>
      </c>
      <c r="AT158" s="416">
        <f t="shared" si="9"/>
        <v>0</v>
      </c>
      <c r="AU158" s="416">
        <f t="shared" si="9"/>
        <v>0</v>
      </c>
      <c r="AV158" s="416">
        <f t="shared" si="9"/>
        <v>0</v>
      </c>
      <c r="AW158" s="416">
        <f t="shared" si="9"/>
        <v>0</v>
      </c>
      <c r="AX158" s="416">
        <f t="shared" si="9"/>
        <v>0</v>
      </c>
      <c r="AY158" s="416">
        <f t="shared" si="9"/>
        <v>0</v>
      </c>
      <c r="AZ158" s="416">
        <f>SUM(T158:AY158)</f>
        <v>53800</v>
      </c>
    </row>
    <row r="159" spans="2:52">
      <c r="B159" s="1243" t="s">
        <v>558</v>
      </c>
      <c r="C159" s="1244"/>
      <c r="D159" s="1244"/>
      <c r="E159" s="1244"/>
      <c r="F159" s="1244"/>
      <c r="G159" s="1245"/>
      <c r="H159" s="420">
        <f>H158-L143</f>
        <v>0</v>
      </c>
      <c r="I159" s="294"/>
      <c r="J159" s="295"/>
      <c r="K159" s="295"/>
      <c r="L159" s="296"/>
      <c r="M159" s="32"/>
      <c r="N159" s="32"/>
      <c r="O159" s="32"/>
      <c r="P159" s="32"/>
      <c r="Q159" s="297"/>
      <c r="R159" s="297"/>
      <c r="S159" s="32"/>
      <c r="T159" s="48"/>
      <c r="U159" s="48"/>
      <c r="V159" s="48"/>
      <c r="W159" s="48"/>
      <c r="X159" s="48"/>
      <c r="Y159" s="48"/>
      <c r="Z159" s="48"/>
      <c r="AA159" s="48"/>
      <c r="AB159" s="48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</row>
    <row r="160" spans="2:52">
      <c r="B160" s="1243" t="s">
        <v>559</v>
      </c>
      <c r="C160" s="1244"/>
      <c r="D160" s="1244"/>
      <c r="E160" s="1244"/>
      <c r="F160" s="1244"/>
      <c r="G160" s="1245"/>
      <c r="H160" s="420">
        <v>4166</v>
      </c>
      <c r="I160" s="274">
        <v>4099.2020000000002</v>
      </c>
      <c r="J160" s="53"/>
      <c r="K160" s="53"/>
      <c r="L160" s="54"/>
      <c r="M160" s="32"/>
      <c r="N160" s="201"/>
      <c r="O160" s="32"/>
      <c r="P160" s="32"/>
      <c r="Q160" s="32"/>
      <c r="R160" s="32"/>
      <c r="S160" s="32"/>
      <c r="T160" s="48"/>
      <c r="U160" s="48"/>
      <c r="V160" s="48"/>
      <c r="W160" s="48"/>
      <c r="X160" s="48"/>
      <c r="Y160" s="48"/>
      <c r="Z160" s="48"/>
      <c r="AA160" s="48"/>
      <c r="AB160" s="48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</row>
    <row r="161" spans="2:52">
      <c r="B161" s="1243" t="s">
        <v>560</v>
      </c>
      <c r="C161" s="1244"/>
      <c r="D161" s="1244"/>
      <c r="E161" s="1244"/>
      <c r="F161" s="1244"/>
      <c r="G161" s="1245"/>
      <c r="H161" s="421">
        <f>H160-4169.308</f>
        <v>-3.3079999999999927</v>
      </c>
      <c r="I161" s="275">
        <f>I160-H160</f>
        <v>-66.797999999999774</v>
      </c>
      <c r="J161" s="53"/>
      <c r="K161" s="53"/>
      <c r="L161" s="54"/>
      <c r="M161" s="32"/>
      <c r="N161" s="32"/>
      <c r="O161" s="32"/>
      <c r="P161" s="32"/>
      <c r="Q161" s="32"/>
      <c r="R161" s="32"/>
      <c r="S161" s="48"/>
      <c r="T161" s="48"/>
      <c r="U161" s="48"/>
      <c r="V161" s="48"/>
      <c r="W161" s="48"/>
      <c r="X161" s="48"/>
      <c r="Y161" s="48"/>
      <c r="Z161" s="48"/>
      <c r="AA161" s="48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2:52">
      <c r="B162" s="201"/>
      <c r="C162" s="201"/>
      <c r="D162" s="201"/>
      <c r="E162" s="201"/>
      <c r="F162" s="201"/>
      <c r="G162" s="201"/>
      <c r="H162" s="201"/>
      <c r="I162" s="213"/>
      <c r="J162" s="209"/>
      <c r="K162" s="209"/>
      <c r="L162" s="203"/>
      <c r="M162" s="201"/>
      <c r="N162" s="201"/>
      <c r="O162" s="209"/>
      <c r="P162" s="32"/>
      <c r="Q162" s="32"/>
      <c r="R162" s="32"/>
      <c r="S162" s="32"/>
      <c r="T162" s="48"/>
      <c r="U162" s="48"/>
      <c r="V162" s="48"/>
      <c r="W162" s="48"/>
      <c r="X162" s="48"/>
      <c r="Y162" s="48"/>
      <c r="Z162" s="48"/>
      <c r="AA162" s="48"/>
      <c r="AB162" s="48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</row>
    <row r="163" spans="2:52">
      <c r="B163" s="40" t="s">
        <v>561</v>
      </c>
      <c r="C163" s="40"/>
      <c r="D163" s="32"/>
      <c r="E163" s="32"/>
      <c r="F163" s="32"/>
      <c r="G163" s="32"/>
      <c r="H163" s="32"/>
      <c r="I163" s="32"/>
      <c r="J163" s="52"/>
      <c r="K163" s="52"/>
      <c r="L163" s="55"/>
      <c r="M163" s="32"/>
      <c r="N163" s="201"/>
      <c r="O163" s="5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1"/>
      <c r="AC163" s="201"/>
      <c r="AD163" s="201"/>
      <c r="AE163" s="201"/>
      <c r="AF163" s="201"/>
      <c r="AG163" s="201"/>
      <c r="AH163" s="201"/>
      <c r="AI163" s="201"/>
      <c r="AJ163" s="201"/>
      <c r="AK163" s="201"/>
      <c r="AL163" s="201"/>
      <c r="AM163" s="201"/>
      <c r="AN163" s="201"/>
      <c r="AO163" s="201"/>
      <c r="AP163" s="201"/>
      <c r="AQ163" s="201"/>
      <c r="AR163" s="201"/>
      <c r="AS163" s="201"/>
      <c r="AT163" s="201"/>
      <c r="AU163" s="201"/>
      <c r="AZ163" s="201"/>
    </row>
    <row r="164" spans="2:52">
      <c r="B164" s="422">
        <v>1</v>
      </c>
      <c r="C164" s="1249" t="s">
        <v>1413</v>
      </c>
      <c r="D164" s="1249"/>
      <c r="E164" s="1249"/>
      <c r="F164" s="1249"/>
      <c r="G164" s="1249"/>
      <c r="H164" s="1249"/>
      <c r="I164" s="1249"/>
      <c r="J164" s="1249"/>
      <c r="K164" s="1249"/>
      <c r="L164" s="203"/>
      <c r="M164" s="201"/>
      <c r="N164" s="201"/>
      <c r="O164" s="209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1"/>
      <c r="AC164" s="201"/>
      <c r="AD164" s="201"/>
      <c r="AE164" s="201"/>
      <c r="AF164" s="201"/>
      <c r="AG164" s="201"/>
      <c r="AH164" s="201"/>
      <c r="AI164" s="201"/>
      <c r="AJ164" s="201"/>
      <c r="AK164" s="201"/>
      <c r="AL164" s="201"/>
      <c r="AM164" s="201"/>
      <c r="AN164" s="201"/>
      <c r="AO164" s="201"/>
      <c r="AP164" s="201"/>
      <c r="AQ164" s="201"/>
      <c r="AR164" s="201"/>
      <c r="AS164" s="201"/>
      <c r="AT164" s="201"/>
      <c r="AU164" s="201"/>
      <c r="AZ164" s="201"/>
    </row>
    <row r="166" spans="2:52">
      <c r="B166" s="28" t="s">
        <v>126</v>
      </c>
      <c r="C166" s="28"/>
      <c r="D166" s="29"/>
      <c r="E166" s="30" t="s">
        <v>511</v>
      </c>
      <c r="F166" s="31" t="s">
        <v>1023</v>
      </c>
      <c r="G166" s="32"/>
      <c r="H166" s="33"/>
      <c r="I166" s="34"/>
      <c r="J166" s="35" t="s">
        <v>513</v>
      </c>
      <c r="K166" s="36" t="s">
        <v>511</v>
      </c>
      <c r="L166" s="37">
        <v>45030.121527777781</v>
      </c>
      <c r="M166" s="32"/>
      <c r="N166" s="32"/>
      <c r="O166" s="206"/>
      <c r="P166" s="205"/>
      <c r="Q166" s="202"/>
      <c r="R166" s="204"/>
      <c r="S166" s="38"/>
      <c r="T166" s="201"/>
      <c r="U166" s="201"/>
      <c r="V166" s="201"/>
      <c r="W166" s="201"/>
      <c r="X166" s="201"/>
      <c r="Y166" s="201"/>
      <c r="Z166" s="201"/>
      <c r="AA166" s="201"/>
      <c r="AB166" s="202"/>
      <c r="AC166" s="202"/>
      <c r="AD166" s="202"/>
      <c r="AE166" s="202"/>
      <c r="AF166" s="202"/>
      <c r="AG166" s="201"/>
      <c r="AH166" s="201"/>
      <c r="AI166" s="201"/>
      <c r="AJ166" s="201"/>
      <c r="AK166" s="201"/>
      <c r="AL166" s="201"/>
      <c r="AM166" s="201"/>
      <c r="AN166" s="201"/>
      <c r="AO166" s="201"/>
      <c r="AP166" s="201"/>
      <c r="AQ166" s="201"/>
      <c r="AR166" s="201"/>
      <c r="AS166" s="201"/>
      <c r="AT166" s="201"/>
      <c r="AU166" s="201"/>
      <c r="AV166" s="201"/>
      <c r="AW166" s="201"/>
      <c r="AX166" s="201"/>
      <c r="AY166" s="201"/>
      <c r="AZ166" s="201"/>
    </row>
    <row r="167" spans="2:52">
      <c r="B167" s="35" t="s">
        <v>514</v>
      </c>
      <c r="C167" s="35"/>
      <c r="D167" s="32"/>
      <c r="E167" s="36" t="s">
        <v>511</v>
      </c>
      <c r="F167" s="37" t="s">
        <v>1417</v>
      </c>
      <c r="G167" s="32"/>
      <c r="H167" s="33"/>
      <c r="I167" s="34"/>
      <c r="J167" s="35" t="s">
        <v>516</v>
      </c>
      <c r="K167" s="36" t="s">
        <v>511</v>
      </c>
      <c r="L167" s="37">
        <v>45031.697916666664</v>
      </c>
      <c r="M167" s="32"/>
      <c r="N167" s="32"/>
      <c r="O167" s="206"/>
      <c r="P167" s="205"/>
      <c r="Q167" s="202"/>
      <c r="R167" s="204"/>
      <c r="S167" s="38"/>
      <c r="T167" s="201"/>
      <c r="U167" s="201"/>
      <c r="V167" s="201"/>
      <c r="W167" s="201"/>
      <c r="X167" s="201"/>
      <c r="Y167" s="201"/>
      <c r="Z167" s="201"/>
      <c r="AA167" s="201"/>
      <c r="AB167" s="202"/>
      <c r="AC167" s="202"/>
      <c r="AD167" s="202"/>
      <c r="AE167" s="202"/>
      <c r="AF167" s="202"/>
      <c r="AG167" s="201"/>
      <c r="AH167" s="201"/>
      <c r="AI167" s="201"/>
      <c r="AJ167" s="201"/>
      <c r="AK167" s="201"/>
      <c r="AL167" s="201"/>
      <c r="AM167" s="201"/>
      <c r="AN167" s="201"/>
      <c r="AO167" s="201"/>
      <c r="AP167" s="201"/>
      <c r="AQ167" s="201"/>
      <c r="AR167" s="201"/>
      <c r="AS167" s="201"/>
      <c r="AT167" s="201"/>
      <c r="AU167" s="201"/>
      <c r="AV167" s="201"/>
      <c r="AW167" s="201"/>
      <c r="AX167" s="201"/>
      <c r="AY167" s="201"/>
      <c r="AZ167" s="201"/>
    </row>
    <row r="168" spans="2:52">
      <c r="B168" s="35" t="s">
        <v>517</v>
      </c>
      <c r="C168" s="35"/>
      <c r="D168" s="32"/>
      <c r="E168" s="36" t="s">
        <v>511</v>
      </c>
      <c r="F168" s="37">
        <v>45019.604166666664</v>
      </c>
      <c r="G168" s="32"/>
      <c r="H168" s="33"/>
      <c r="I168" s="34"/>
      <c r="J168" s="35" t="s">
        <v>518</v>
      </c>
      <c r="K168" s="36" t="s">
        <v>511</v>
      </c>
      <c r="L168" s="50">
        <v>82500</v>
      </c>
      <c r="M168" s="40" t="s">
        <v>519</v>
      </c>
      <c r="N168" s="40"/>
      <c r="O168" s="206"/>
      <c r="P168" s="205"/>
      <c r="Q168" s="202"/>
      <c r="R168" s="204"/>
      <c r="S168" s="38"/>
      <c r="T168" s="201"/>
      <c r="U168" s="201"/>
      <c r="V168" s="201"/>
      <c r="W168" s="201"/>
      <c r="X168" s="201"/>
      <c r="Y168" s="201"/>
      <c r="Z168" s="201"/>
      <c r="AA168" s="201"/>
      <c r="AB168" s="202"/>
      <c r="AC168" s="202"/>
      <c r="AD168" s="202"/>
      <c r="AE168" s="202"/>
      <c r="AF168" s="202"/>
      <c r="AG168" s="201"/>
      <c r="AH168" s="201"/>
      <c r="AI168" s="201"/>
      <c r="AJ168" s="201"/>
      <c r="AK168" s="201"/>
      <c r="AL168" s="201"/>
      <c r="AM168" s="201"/>
      <c r="AN168" s="201"/>
      <c r="AO168" s="201"/>
      <c r="AP168" s="201"/>
      <c r="AQ168" s="201"/>
      <c r="AR168" s="201"/>
      <c r="AS168" s="201"/>
      <c r="AT168" s="201"/>
      <c r="AU168" s="201"/>
      <c r="AV168" s="201"/>
      <c r="AW168" s="201"/>
      <c r="AX168" s="201"/>
      <c r="AY168" s="201"/>
      <c r="AZ168" s="201"/>
    </row>
    <row r="169" spans="2:52">
      <c r="B169" s="35" t="s">
        <v>520</v>
      </c>
      <c r="C169" s="35"/>
      <c r="D169" s="32"/>
      <c r="E169" s="36" t="s">
        <v>511</v>
      </c>
      <c r="F169" s="37" t="s">
        <v>20</v>
      </c>
      <c r="G169" s="32"/>
      <c r="H169" s="33"/>
      <c r="I169" s="34"/>
      <c r="J169" s="35" t="s">
        <v>521</v>
      </c>
      <c r="K169" s="36" t="s">
        <v>511</v>
      </c>
      <c r="L169" s="41" t="s">
        <v>1418</v>
      </c>
      <c r="M169" s="32"/>
      <c r="N169" s="32"/>
      <c r="O169" s="206"/>
      <c r="P169" s="202"/>
      <c r="Q169" s="202"/>
      <c r="R169" s="204"/>
      <c r="S169" s="38"/>
      <c r="T169" s="201"/>
      <c r="U169" s="201"/>
      <c r="V169" s="201"/>
      <c r="W169" s="201"/>
      <c r="X169" s="201"/>
      <c r="Y169" s="201"/>
      <c r="Z169" s="201"/>
      <c r="AA169" s="201"/>
      <c r="AB169" s="202"/>
      <c r="AC169" s="202"/>
      <c r="AD169" s="202"/>
      <c r="AE169" s="202"/>
      <c r="AF169" s="202"/>
      <c r="AG169" s="201"/>
      <c r="AH169" s="201"/>
      <c r="AI169" s="201"/>
      <c r="AJ169" s="201"/>
      <c r="AK169" s="201"/>
      <c r="AL169" s="201"/>
      <c r="AM169" s="201"/>
      <c r="AN169" s="201"/>
      <c r="AO169" s="201"/>
      <c r="AP169" s="201"/>
      <c r="AQ169" s="201"/>
      <c r="AR169" s="201"/>
      <c r="AS169" s="201"/>
      <c r="AT169" s="201"/>
      <c r="AU169" s="201"/>
      <c r="AV169" s="201"/>
      <c r="AW169" s="201"/>
      <c r="AX169" s="201"/>
      <c r="AY169" s="201"/>
      <c r="AZ169" s="201"/>
    </row>
    <row r="170" spans="2:52">
      <c r="B170" s="35" t="s">
        <v>523</v>
      </c>
      <c r="C170" s="35"/>
      <c r="D170" s="32"/>
      <c r="E170" s="36" t="s">
        <v>511</v>
      </c>
      <c r="F170" s="37" t="s">
        <v>47</v>
      </c>
      <c r="G170" s="32"/>
      <c r="H170" s="33"/>
      <c r="I170" s="34"/>
      <c r="J170" s="42" t="s">
        <v>524</v>
      </c>
      <c r="K170" s="36" t="s">
        <v>511</v>
      </c>
      <c r="L170" s="43" t="s">
        <v>15</v>
      </c>
      <c r="M170" s="44"/>
      <c r="N170" s="44"/>
      <c r="O170" s="206"/>
      <c r="P170" s="205"/>
      <c r="Q170" s="202"/>
      <c r="R170" s="204"/>
      <c r="S170" s="38"/>
      <c r="T170" s="201"/>
      <c r="U170" s="201"/>
      <c r="V170" s="201"/>
      <c r="W170" s="201"/>
      <c r="X170" s="201"/>
      <c r="Y170" s="201"/>
      <c r="Z170" s="201"/>
      <c r="AA170" s="201"/>
      <c r="AB170" s="202"/>
      <c r="AC170" s="202"/>
      <c r="AD170" s="202"/>
      <c r="AE170" s="202"/>
      <c r="AF170" s="202"/>
      <c r="AG170" s="201"/>
      <c r="AH170" s="201"/>
      <c r="AI170" s="201"/>
      <c r="AJ170" s="201"/>
      <c r="AK170" s="201"/>
      <c r="AL170" s="201"/>
      <c r="AM170" s="201"/>
      <c r="AN170" s="201"/>
      <c r="AO170" s="201"/>
      <c r="AP170" s="201"/>
      <c r="AQ170" s="201"/>
      <c r="AR170" s="201"/>
      <c r="AS170" s="201"/>
      <c r="AT170" s="201"/>
      <c r="AU170" s="201"/>
      <c r="AV170" s="201"/>
      <c r="AW170" s="201"/>
      <c r="AX170" s="201"/>
      <c r="AY170" s="201"/>
      <c r="AZ170" s="201"/>
    </row>
    <row r="171" spans="2:52">
      <c r="B171" s="35" t="s">
        <v>2</v>
      </c>
      <c r="C171" s="35"/>
      <c r="D171" s="32"/>
      <c r="E171" s="36" t="s">
        <v>511</v>
      </c>
      <c r="F171" s="37" t="s">
        <v>14</v>
      </c>
      <c r="G171" s="32"/>
      <c r="H171" s="33"/>
      <c r="I171" s="45"/>
      <c r="J171" s="42"/>
      <c r="K171" s="36"/>
      <c r="L171" s="211"/>
      <c r="M171" s="201"/>
      <c r="N171" s="201"/>
      <c r="O171" s="42"/>
      <c r="P171" s="44"/>
      <c r="Q171" s="44"/>
      <c r="R171" s="44"/>
      <c r="S171" s="34"/>
      <c r="T171" s="201"/>
      <c r="U171" s="201"/>
      <c r="V171" s="201"/>
      <c r="W171" s="201"/>
      <c r="X171" s="201"/>
      <c r="Y171" s="201"/>
      <c r="Z171" s="201"/>
      <c r="AA171" s="201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201"/>
      <c r="AP171" s="201"/>
      <c r="AQ171" s="201"/>
      <c r="AR171" s="201"/>
      <c r="AS171" s="201"/>
      <c r="AT171" s="201"/>
      <c r="AU171" s="201"/>
      <c r="AV171" s="201"/>
      <c r="AW171" s="201"/>
      <c r="AX171" s="201"/>
      <c r="AY171" s="201"/>
      <c r="AZ171" s="201"/>
    </row>
    <row r="172" spans="2:52">
      <c r="B172" s="201"/>
      <c r="C172" s="201"/>
      <c r="D172" s="201"/>
      <c r="E172" s="201"/>
      <c r="F172" s="201"/>
      <c r="G172" s="201"/>
      <c r="H172" s="201"/>
      <c r="I172" s="45"/>
      <c r="J172" s="42"/>
      <c r="K172" s="42"/>
      <c r="L172" s="43"/>
      <c r="M172" s="44"/>
      <c r="N172" s="44"/>
      <c r="O172" s="42"/>
      <c r="P172" s="44"/>
      <c r="Q172" s="44"/>
      <c r="R172" s="44"/>
      <c r="S172" s="34"/>
      <c r="T172" s="1265" t="s">
        <v>87</v>
      </c>
      <c r="U172" s="1265"/>
      <c r="V172" s="1265"/>
      <c r="W172" s="1265"/>
      <c r="X172" s="1265"/>
      <c r="Y172" s="1265" t="s">
        <v>73</v>
      </c>
      <c r="Z172" s="1265"/>
      <c r="AA172" s="1265"/>
      <c r="AB172" s="1265" t="s">
        <v>74</v>
      </c>
      <c r="AC172" s="1265"/>
      <c r="AD172" s="423" t="s">
        <v>85</v>
      </c>
      <c r="AE172" s="423" t="s">
        <v>77</v>
      </c>
      <c r="AF172" s="1265" t="s">
        <v>525</v>
      </c>
      <c r="AG172" s="1265"/>
      <c r="AH172" s="1265"/>
      <c r="AI172" s="1265"/>
      <c r="AJ172" s="1265"/>
      <c r="AK172" s="1265"/>
      <c r="AL172" s="1265"/>
      <c r="AM172" s="1265"/>
      <c r="AN172" s="1265"/>
      <c r="AO172" s="1265"/>
      <c r="AP172" s="1265"/>
      <c r="AQ172" s="1265"/>
      <c r="AR172" s="1265"/>
      <c r="AS172" s="1265"/>
      <c r="AT172" s="1265"/>
      <c r="AU172" s="1265"/>
      <c r="AV172" s="1265"/>
      <c r="AW172" s="1265"/>
      <c r="AX172" s="1265"/>
      <c r="AY172" s="1265"/>
      <c r="AZ172" s="201"/>
    </row>
    <row r="173" spans="2:52">
      <c r="B173" s="1266" t="s">
        <v>526</v>
      </c>
      <c r="C173" s="1267"/>
      <c r="D173" s="570" t="s">
        <v>527</v>
      </c>
      <c r="E173" s="570"/>
      <c r="F173" s="570" t="s">
        <v>528</v>
      </c>
      <c r="G173" s="570" t="s">
        <v>529</v>
      </c>
      <c r="H173" s="570" t="s">
        <v>530</v>
      </c>
      <c r="I173" s="570" t="s">
        <v>531</v>
      </c>
      <c r="J173" s="570" t="s">
        <v>532</v>
      </c>
      <c r="K173" s="570"/>
      <c r="L173" s="570" t="s">
        <v>130</v>
      </c>
      <c r="M173" s="570" t="s">
        <v>533</v>
      </c>
      <c r="N173" s="408" t="str">
        <f>"On time - "&amp;COUNTIF(N174:N184,"On time")&amp;" from "&amp;ROWS(N174:N184)-COUNTIF(N174:N184," ")</f>
        <v>On time - 3 from 11</v>
      </c>
      <c r="O173" s="46"/>
      <c r="P173" s="409" t="s">
        <v>534</v>
      </c>
      <c r="Q173" s="409" t="s">
        <v>535</v>
      </c>
      <c r="R173" s="409" t="s">
        <v>536</v>
      </c>
      <c r="S173" s="32"/>
      <c r="T173" s="424" t="s">
        <v>537</v>
      </c>
      <c r="U173" s="424" t="s">
        <v>538</v>
      </c>
      <c r="V173" s="424" t="s">
        <v>539</v>
      </c>
      <c r="W173" s="424" t="s">
        <v>540</v>
      </c>
      <c r="X173" s="424" t="s">
        <v>541</v>
      </c>
      <c r="Y173" s="424" t="s">
        <v>167</v>
      </c>
      <c r="Z173" s="424" t="s">
        <v>168</v>
      </c>
      <c r="AA173" s="424" t="s">
        <v>169</v>
      </c>
      <c r="AB173" s="424" t="s">
        <v>235</v>
      </c>
      <c r="AC173" s="424" t="s">
        <v>240</v>
      </c>
      <c r="AD173" s="423" t="s">
        <v>85</v>
      </c>
      <c r="AE173" s="424" t="s">
        <v>139</v>
      </c>
      <c r="AF173" s="424" t="s">
        <v>72</v>
      </c>
      <c r="AG173" s="424" t="s">
        <v>88</v>
      </c>
      <c r="AH173" s="424" t="s">
        <v>75</v>
      </c>
      <c r="AI173" s="424" t="s">
        <v>543</v>
      </c>
      <c r="AJ173" s="424" t="s">
        <v>78</v>
      </c>
      <c r="AK173" s="424" t="s">
        <v>76</v>
      </c>
      <c r="AL173" s="424" t="s">
        <v>544</v>
      </c>
      <c r="AM173" s="424" t="s">
        <v>545</v>
      </c>
      <c r="AN173" s="424" t="s">
        <v>86</v>
      </c>
      <c r="AO173" s="424" t="s">
        <v>83</v>
      </c>
      <c r="AP173" s="424" t="s">
        <v>84</v>
      </c>
      <c r="AQ173" s="424" t="s">
        <v>546</v>
      </c>
      <c r="AR173" s="424" t="s">
        <v>81</v>
      </c>
      <c r="AS173" s="424" t="s">
        <v>80</v>
      </c>
      <c r="AT173" s="424" t="s">
        <v>82</v>
      </c>
      <c r="AU173" s="424" t="s">
        <v>181</v>
      </c>
      <c r="AV173" s="424" t="s">
        <v>183</v>
      </c>
      <c r="AW173" s="424" t="s">
        <v>547</v>
      </c>
      <c r="AX173" s="424" t="s">
        <v>182</v>
      </c>
      <c r="AY173" s="424" t="s">
        <v>172</v>
      </c>
      <c r="AZ173" s="201"/>
    </row>
    <row r="174" spans="2:52">
      <c r="B174" s="1256">
        <v>1</v>
      </c>
      <c r="C174" s="1257"/>
      <c r="D174" s="411" t="s">
        <v>1037</v>
      </c>
      <c r="E174" s="411"/>
      <c r="F174" s="411" t="s">
        <v>383</v>
      </c>
      <c r="G174" s="411" t="s">
        <v>384</v>
      </c>
      <c r="H174" s="412">
        <v>5120</v>
      </c>
      <c r="I174" s="413" t="s">
        <v>81</v>
      </c>
      <c r="J174" s="414">
        <v>45014.222222222219</v>
      </c>
      <c r="K174" s="414"/>
      <c r="L174" s="414" t="s">
        <v>192</v>
      </c>
      <c r="M174" s="414" t="s">
        <v>192</v>
      </c>
      <c r="N174" s="413" t="str">
        <f t="shared" ref="N174:N187" si="10">IF(ISBLANK(J174)," ",IF(J174&lt;$F$168,"On time",(IF(DAY(J174-$F$168)&lt;1,"On time",(IF(J174&gt;$F$168,"DELAY ( "&amp;DAY(J174-$F$168)&amp;" day "&amp;HOUR(J174-$F$168)&amp;" hour "&amp;MINUTE(J174-$F$168)&amp;" minute )","xxx"))))))</f>
        <v>On time</v>
      </c>
      <c r="O174" s="51"/>
      <c r="P174" s="415" t="s">
        <v>551</v>
      </c>
      <c r="Q174" s="415" t="s">
        <v>551</v>
      </c>
      <c r="R174" s="415" t="s">
        <v>551</v>
      </c>
      <c r="S174" s="32"/>
      <c r="T174" s="416"/>
      <c r="U174" s="416"/>
      <c r="V174" s="416"/>
      <c r="W174" s="416"/>
      <c r="X174" s="416"/>
      <c r="Y174" s="416"/>
      <c r="Z174" s="416"/>
      <c r="AA174" s="416"/>
      <c r="AB174" s="416"/>
      <c r="AC174" s="416"/>
      <c r="AD174" s="416"/>
      <c r="AE174" s="416"/>
      <c r="AF174" s="416"/>
      <c r="AG174" s="416"/>
      <c r="AH174" s="416"/>
      <c r="AI174" s="416"/>
      <c r="AJ174" s="416"/>
      <c r="AK174" s="416"/>
      <c r="AL174" s="416"/>
      <c r="AM174" s="416"/>
      <c r="AN174" s="416"/>
      <c r="AO174" s="416"/>
      <c r="AP174" s="416"/>
      <c r="AQ174" s="416"/>
      <c r="AR174" s="416">
        <f>H174</f>
        <v>5120</v>
      </c>
      <c r="AS174" s="416"/>
      <c r="AT174" s="416"/>
      <c r="AU174" s="416"/>
      <c r="AV174" s="416"/>
      <c r="AW174" s="416"/>
      <c r="AX174" s="416"/>
      <c r="AY174" s="416"/>
      <c r="AZ174" s="32"/>
    </row>
    <row r="175" spans="2:52">
      <c r="B175" s="1256">
        <v>2</v>
      </c>
      <c r="C175" s="1257"/>
      <c r="D175" s="411" t="s">
        <v>1112</v>
      </c>
      <c r="E175" s="411"/>
      <c r="F175" s="411" t="s">
        <v>774</v>
      </c>
      <c r="G175" s="411" t="s">
        <v>423</v>
      </c>
      <c r="H175" s="412">
        <v>3083.761</v>
      </c>
      <c r="I175" s="413" t="s">
        <v>1110</v>
      </c>
      <c r="J175" s="414">
        <v>45017.1875</v>
      </c>
      <c r="K175" s="414"/>
      <c r="L175" s="414" t="s">
        <v>192</v>
      </c>
      <c r="M175" s="414" t="s">
        <v>192</v>
      </c>
      <c r="N175" s="413" t="str">
        <f t="shared" si="10"/>
        <v>On time</v>
      </c>
      <c r="O175" s="51"/>
      <c r="P175" s="415" t="s">
        <v>551</v>
      </c>
      <c r="Q175" s="415" t="s">
        <v>551</v>
      </c>
      <c r="R175" s="415" t="s">
        <v>551</v>
      </c>
      <c r="S175" s="32"/>
      <c r="T175" s="416"/>
      <c r="U175" s="416"/>
      <c r="V175" s="416"/>
      <c r="W175" s="416"/>
      <c r="X175" s="416"/>
      <c r="Y175" s="416">
        <f>(H175*0.3)</f>
        <v>925.12829999999997</v>
      </c>
      <c r="Z175" s="416">
        <f>(H175*0.7)</f>
        <v>2158.6326999999997</v>
      </c>
      <c r="AA175" s="416"/>
      <c r="AB175" s="416"/>
      <c r="AC175" s="416"/>
      <c r="AD175" s="416"/>
      <c r="AE175" s="416"/>
      <c r="AF175" s="416"/>
      <c r="AG175" s="416"/>
      <c r="AH175" s="416"/>
      <c r="AI175" s="416"/>
      <c r="AJ175" s="416"/>
      <c r="AK175" s="416"/>
      <c r="AL175" s="416"/>
      <c r="AM175" s="416"/>
      <c r="AN175" s="416"/>
      <c r="AO175" s="416"/>
      <c r="AP175" s="416"/>
      <c r="AQ175" s="416"/>
      <c r="AR175" s="416"/>
      <c r="AS175" s="416"/>
      <c r="AT175" s="416"/>
      <c r="AU175" s="416"/>
      <c r="AV175" s="416"/>
      <c r="AW175" s="416"/>
      <c r="AX175" s="416"/>
      <c r="AY175" s="416"/>
      <c r="AZ175" s="32"/>
    </row>
    <row r="176" spans="2:52">
      <c r="B176" s="1256">
        <v>3</v>
      </c>
      <c r="C176" s="1257"/>
      <c r="D176" s="411" t="s">
        <v>1028</v>
      </c>
      <c r="E176" s="411"/>
      <c r="F176" s="411" t="s">
        <v>70</v>
      </c>
      <c r="G176" s="411" t="s">
        <v>255</v>
      </c>
      <c r="H176" s="412">
        <v>7284.1610000000001</v>
      </c>
      <c r="I176" s="413" t="s">
        <v>235</v>
      </c>
      <c r="J176" s="414">
        <v>45019.125</v>
      </c>
      <c r="K176" s="414"/>
      <c r="L176" s="414" t="s">
        <v>192</v>
      </c>
      <c r="M176" s="414" t="s">
        <v>192</v>
      </c>
      <c r="N176" s="413" t="str">
        <f t="shared" si="10"/>
        <v>On time</v>
      </c>
      <c r="O176" s="51"/>
      <c r="P176" s="415" t="s">
        <v>551</v>
      </c>
      <c r="Q176" s="415" t="s">
        <v>551</v>
      </c>
      <c r="R176" s="415" t="s">
        <v>551</v>
      </c>
      <c r="S176" s="32"/>
      <c r="T176" s="416"/>
      <c r="U176" s="416"/>
      <c r="V176" s="416"/>
      <c r="W176" s="416"/>
      <c r="X176" s="416"/>
      <c r="Y176" s="416"/>
      <c r="Z176" s="416"/>
      <c r="AA176" s="416"/>
      <c r="AB176" s="416">
        <f t="shared" ref="AB176:AB182" si="11">H176</f>
        <v>7284.1610000000001</v>
      </c>
      <c r="AC176" s="416"/>
      <c r="AD176" s="416"/>
      <c r="AE176" s="416"/>
      <c r="AF176" s="416"/>
      <c r="AG176" s="416"/>
      <c r="AH176" s="416"/>
      <c r="AI176" s="416"/>
      <c r="AJ176" s="416"/>
      <c r="AK176" s="416"/>
      <c r="AL176" s="416"/>
      <c r="AM176" s="416"/>
      <c r="AN176" s="416"/>
      <c r="AO176" s="416"/>
      <c r="AP176" s="416"/>
      <c r="AQ176" s="416"/>
      <c r="AR176" s="416"/>
      <c r="AS176" s="416"/>
      <c r="AT176" s="416"/>
      <c r="AU176" s="416"/>
      <c r="AV176" s="416"/>
      <c r="AW176" s="416"/>
      <c r="AX176" s="416"/>
      <c r="AY176" s="416"/>
      <c r="AZ176" s="32"/>
    </row>
    <row r="177" spans="2:52">
      <c r="B177" s="1256">
        <v>4</v>
      </c>
      <c r="C177" s="1257"/>
      <c r="D177" s="411" t="s">
        <v>1194</v>
      </c>
      <c r="E177" s="411"/>
      <c r="F177" s="411" t="s">
        <v>208</v>
      </c>
      <c r="G177" s="411" t="s">
        <v>328</v>
      </c>
      <c r="H177" s="412">
        <v>7394.04</v>
      </c>
      <c r="I177" s="413" t="s">
        <v>235</v>
      </c>
      <c r="J177" s="414">
        <v>45020.930555555555</v>
      </c>
      <c r="K177" s="414"/>
      <c r="L177" s="414" t="s">
        <v>192</v>
      </c>
      <c r="M177" s="414" t="s">
        <v>192</v>
      </c>
      <c r="N177" s="413" t="str">
        <f t="shared" si="10"/>
        <v>DELAY ( 1 day 7 hour 50 minute )</v>
      </c>
      <c r="O177" s="51"/>
      <c r="P177" s="415" t="s">
        <v>551</v>
      </c>
      <c r="Q177" s="415" t="s">
        <v>551</v>
      </c>
      <c r="R177" s="415" t="s">
        <v>551</v>
      </c>
      <c r="S177" s="32"/>
      <c r="T177" s="416"/>
      <c r="U177" s="416"/>
      <c r="V177" s="416"/>
      <c r="W177" s="416"/>
      <c r="X177" s="416"/>
      <c r="Y177" s="416"/>
      <c r="Z177" s="416"/>
      <c r="AA177" s="416"/>
      <c r="AB177" s="416">
        <f t="shared" si="11"/>
        <v>7394.04</v>
      </c>
      <c r="AC177" s="416"/>
      <c r="AD177" s="416"/>
      <c r="AE177" s="416"/>
      <c r="AF177" s="416"/>
      <c r="AG177" s="416"/>
      <c r="AH177" s="416"/>
      <c r="AI177" s="416"/>
      <c r="AJ177" s="416"/>
      <c r="AK177" s="416"/>
      <c r="AL177" s="416"/>
      <c r="AM177" s="416"/>
      <c r="AN177" s="416"/>
      <c r="AO177" s="416"/>
      <c r="AP177" s="416"/>
      <c r="AQ177" s="416"/>
      <c r="AR177" s="416"/>
      <c r="AS177" s="416"/>
      <c r="AT177" s="416"/>
      <c r="AU177" s="416"/>
      <c r="AV177" s="416"/>
      <c r="AW177" s="416"/>
      <c r="AX177" s="416"/>
      <c r="AY177" s="416"/>
      <c r="AZ177" s="32"/>
    </row>
    <row r="178" spans="2:52">
      <c r="B178" s="1256">
        <v>5</v>
      </c>
      <c r="C178" s="1257"/>
      <c r="D178" s="411" t="s">
        <v>1193</v>
      </c>
      <c r="E178" s="411"/>
      <c r="F178" s="411" t="s">
        <v>429</v>
      </c>
      <c r="G178" s="411" t="s">
        <v>430</v>
      </c>
      <c r="H178" s="412">
        <v>7803.1009999999997</v>
      </c>
      <c r="I178" s="413" t="s">
        <v>235</v>
      </c>
      <c r="J178" s="414">
        <v>45021.118055555555</v>
      </c>
      <c r="K178" s="414"/>
      <c r="L178" s="414" t="s">
        <v>192</v>
      </c>
      <c r="M178" s="414" t="s">
        <v>192</v>
      </c>
      <c r="N178" s="413" t="str">
        <f t="shared" si="10"/>
        <v>DELAY ( 1 day 12 hour 20 minute )</v>
      </c>
      <c r="O178" s="51"/>
      <c r="P178" s="415" t="s">
        <v>551</v>
      </c>
      <c r="Q178" s="415" t="s">
        <v>551</v>
      </c>
      <c r="R178" s="415" t="s">
        <v>551</v>
      </c>
      <c r="S178" s="32"/>
      <c r="T178" s="416"/>
      <c r="U178" s="416"/>
      <c r="V178" s="416"/>
      <c r="W178" s="416"/>
      <c r="X178" s="416"/>
      <c r="Y178" s="416"/>
      <c r="Z178" s="416"/>
      <c r="AA178" s="416"/>
      <c r="AB178" s="416">
        <f t="shared" si="11"/>
        <v>7803.1009999999997</v>
      </c>
      <c r="AC178" s="416"/>
      <c r="AD178" s="416"/>
      <c r="AE178" s="416"/>
      <c r="AF178" s="416"/>
      <c r="AG178" s="416"/>
      <c r="AH178" s="416"/>
      <c r="AI178" s="416"/>
      <c r="AJ178" s="416"/>
      <c r="AK178" s="416"/>
      <c r="AL178" s="416"/>
      <c r="AM178" s="416"/>
      <c r="AN178" s="416"/>
      <c r="AO178" s="416"/>
      <c r="AP178" s="416"/>
      <c r="AQ178" s="416"/>
      <c r="AR178" s="416"/>
      <c r="AS178" s="416"/>
      <c r="AT178" s="416"/>
      <c r="AU178" s="416"/>
      <c r="AV178" s="416"/>
      <c r="AW178" s="416"/>
      <c r="AX178" s="416"/>
      <c r="AY178" s="416"/>
      <c r="AZ178" s="32"/>
    </row>
    <row r="179" spans="2:52">
      <c r="B179" s="1256">
        <v>6</v>
      </c>
      <c r="C179" s="1257"/>
      <c r="D179" s="411" t="s">
        <v>1195</v>
      </c>
      <c r="E179" s="411"/>
      <c r="F179" s="411" t="s">
        <v>390</v>
      </c>
      <c r="G179" s="411" t="s">
        <v>391</v>
      </c>
      <c r="H179" s="412">
        <v>7435.4880000000003</v>
      </c>
      <c r="I179" s="413" t="s">
        <v>235</v>
      </c>
      <c r="J179" s="414">
        <v>45021.125</v>
      </c>
      <c r="K179" s="414"/>
      <c r="L179" s="414" t="s">
        <v>192</v>
      </c>
      <c r="M179" s="414" t="s">
        <v>192</v>
      </c>
      <c r="N179" s="413" t="str">
        <f t="shared" si="10"/>
        <v>DELAY ( 1 day 12 hour 30 minute )</v>
      </c>
      <c r="O179" s="51"/>
      <c r="P179" s="415" t="s">
        <v>551</v>
      </c>
      <c r="Q179" s="415" t="s">
        <v>551</v>
      </c>
      <c r="R179" s="415" t="s">
        <v>551</v>
      </c>
      <c r="S179" s="32"/>
      <c r="T179" s="416"/>
      <c r="U179" s="416"/>
      <c r="V179" s="416"/>
      <c r="W179" s="416"/>
      <c r="X179" s="416"/>
      <c r="Y179" s="416"/>
      <c r="Z179" s="416"/>
      <c r="AA179" s="416"/>
      <c r="AB179" s="416">
        <f t="shared" si="11"/>
        <v>7435.4880000000003</v>
      </c>
      <c r="AC179" s="416"/>
      <c r="AD179" s="416"/>
      <c r="AE179" s="416"/>
      <c r="AF179" s="416"/>
      <c r="AG179" s="416"/>
      <c r="AH179" s="416"/>
      <c r="AI179" s="416"/>
      <c r="AJ179" s="416"/>
      <c r="AK179" s="416"/>
      <c r="AL179" s="416"/>
      <c r="AM179" s="416"/>
      <c r="AN179" s="416"/>
      <c r="AO179" s="416"/>
      <c r="AP179" s="416"/>
      <c r="AQ179" s="416"/>
      <c r="AR179" s="416"/>
      <c r="AS179" s="416"/>
      <c r="AT179" s="416"/>
      <c r="AU179" s="416"/>
      <c r="AV179" s="416"/>
      <c r="AW179" s="416"/>
      <c r="AX179" s="416"/>
      <c r="AY179" s="416"/>
      <c r="AZ179" s="32"/>
    </row>
    <row r="180" spans="2:52">
      <c r="B180" s="1256">
        <v>7</v>
      </c>
      <c r="C180" s="1257"/>
      <c r="D180" s="411" t="s">
        <v>1196</v>
      </c>
      <c r="E180" s="411"/>
      <c r="F180" s="411" t="s">
        <v>277</v>
      </c>
      <c r="G180" s="411" t="s">
        <v>278</v>
      </c>
      <c r="H180" s="412">
        <v>7413.4579999999996</v>
      </c>
      <c r="I180" s="413" t="s">
        <v>235</v>
      </c>
      <c r="J180" s="414">
        <v>45021.333333333336</v>
      </c>
      <c r="K180" s="414"/>
      <c r="L180" s="414" t="s">
        <v>192</v>
      </c>
      <c r="M180" s="414" t="s">
        <v>192</v>
      </c>
      <c r="N180" s="413" t="str">
        <f t="shared" si="10"/>
        <v>DELAY ( 1 day 17 hour 30 minute )</v>
      </c>
      <c r="O180" s="51"/>
      <c r="P180" s="415" t="s">
        <v>551</v>
      </c>
      <c r="Q180" s="415" t="s">
        <v>551</v>
      </c>
      <c r="R180" s="415" t="s">
        <v>551</v>
      </c>
      <c r="S180" s="32"/>
      <c r="T180" s="416"/>
      <c r="U180" s="416"/>
      <c r="V180" s="416"/>
      <c r="W180" s="416"/>
      <c r="X180" s="416"/>
      <c r="Y180" s="416"/>
      <c r="Z180" s="416"/>
      <c r="AA180" s="416"/>
      <c r="AB180" s="416">
        <f t="shared" si="11"/>
        <v>7413.4579999999996</v>
      </c>
      <c r="AC180" s="416"/>
      <c r="AD180" s="416"/>
      <c r="AE180" s="416"/>
      <c r="AF180" s="416"/>
      <c r="AG180" s="416"/>
      <c r="AH180" s="416"/>
      <c r="AI180" s="416"/>
      <c r="AJ180" s="416"/>
      <c r="AK180" s="416"/>
      <c r="AL180" s="416"/>
      <c r="AM180" s="416"/>
      <c r="AN180" s="416"/>
      <c r="AO180" s="416"/>
      <c r="AP180" s="416"/>
      <c r="AQ180" s="416"/>
      <c r="AR180" s="416"/>
      <c r="AS180" s="416"/>
      <c r="AT180" s="416"/>
      <c r="AU180" s="416"/>
      <c r="AV180" s="416"/>
      <c r="AW180" s="416"/>
      <c r="AX180" s="416"/>
      <c r="AY180" s="416"/>
      <c r="AZ180" s="32"/>
    </row>
    <row r="181" spans="2:52">
      <c r="B181" s="1256">
        <v>8</v>
      </c>
      <c r="C181" s="1257"/>
      <c r="D181" s="411" t="s">
        <v>1199</v>
      </c>
      <c r="E181" s="411"/>
      <c r="F181" s="411" t="s">
        <v>437</v>
      </c>
      <c r="G181" s="411" t="s">
        <v>320</v>
      </c>
      <c r="H181" s="412">
        <v>7501.01</v>
      </c>
      <c r="I181" s="413" t="s">
        <v>235</v>
      </c>
      <c r="J181" s="414">
        <v>45022.291666666664</v>
      </c>
      <c r="K181" s="414"/>
      <c r="L181" s="414" t="s">
        <v>192</v>
      </c>
      <c r="M181" s="414" t="s">
        <v>192</v>
      </c>
      <c r="N181" s="413" t="str">
        <f t="shared" si="10"/>
        <v>DELAY ( 2 day 16 hour 30 minute )</v>
      </c>
      <c r="O181" s="51"/>
      <c r="P181" s="415" t="s">
        <v>551</v>
      </c>
      <c r="Q181" s="415" t="s">
        <v>551</v>
      </c>
      <c r="R181" s="415" t="s">
        <v>551</v>
      </c>
      <c r="S181" s="32"/>
      <c r="T181" s="416"/>
      <c r="U181" s="416"/>
      <c r="V181" s="416"/>
      <c r="W181" s="416"/>
      <c r="X181" s="416"/>
      <c r="Y181" s="416"/>
      <c r="Z181" s="416"/>
      <c r="AA181" s="416"/>
      <c r="AB181" s="416">
        <f t="shared" si="11"/>
        <v>7501.01</v>
      </c>
      <c r="AC181" s="416"/>
      <c r="AD181" s="416"/>
      <c r="AE181" s="416"/>
      <c r="AF181" s="416"/>
      <c r="AG181" s="416"/>
      <c r="AH181" s="416"/>
      <c r="AI181" s="416"/>
      <c r="AJ181" s="416"/>
      <c r="AK181" s="416"/>
      <c r="AL181" s="416"/>
      <c r="AM181" s="416"/>
      <c r="AN181" s="416"/>
      <c r="AO181" s="416"/>
      <c r="AP181" s="416"/>
      <c r="AQ181" s="416"/>
      <c r="AR181" s="416"/>
      <c r="AS181" s="416"/>
      <c r="AT181" s="416"/>
      <c r="AU181" s="416"/>
      <c r="AV181" s="416"/>
      <c r="AW181" s="416"/>
      <c r="AX181" s="416"/>
      <c r="AY181" s="416"/>
      <c r="AZ181" s="32"/>
    </row>
    <row r="182" spans="2:52">
      <c r="B182" s="1256">
        <v>9</v>
      </c>
      <c r="C182" s="1257"/>
      <c r="D182" s="411" t="s">
        <v>1024</v>
      </c>
      <c r="E182" s="411"/>
      <c r="F182" s="411" t="s">
        <v>323</v>
      </c>
      <c r="G182" s="411" t="s">
        <v>324</v>
      </c>
      <c r="H182" s="412">
        <v>7468.47</v>
      </c>
      <c r="I182" s="413" t="s">
        <v>235</v>
      </c>
      <c r="J182" s="414">
        <v>45021.541666666664</v>
      </c>
      <c r="K182" s="414"/>
      <c r="L182" s="414" t="s">
        <v>192</v>
      </c>
      <c r="M182" s="414" t="s">
        <v>192</v>
      </c>
      <c r="N182" s="413" t="str">
        <f t="shared" si="10"/>
        <v>DELAY ( 1 day 22 hour 30 minute )</v>
      </c>
      <c r="O182" s="51"/>
      <c r="P182" s="415" t="s">
        <v>551</v>
      </c>
      <c r="Q182" s="415" t="s">
        <v>551</v>
      </c>
      <c r="R182" s="415" t="s">
        <v>551</v>
      </c>
      <c r="S182" s="32"/>
      <c r="T182" s="416"/>
      <c r="U182" s="416"/>
      <c r="V182" s="416"/>
      <c r="W182" s="416"/>
      <c r="X182" s="416"/>
      <c r="Y182" s="416"/>
      <c r="Z182" s="416"/>
      <c r="AA182" s="416"/>
      <c r="AB182" s="416">
        <f t="shared" si="11"/>
        <v>7468.47</v>
      </c>
      <c r="AC182" s="416"/>
      <c r="AD182" s="416"/>
      <c r="AE182" s="416"/>
      <c r="AF182" s="416"/>
      <c r="AG182" s="416"/>
      <c r="AH182" s="416"/>
      <c r="AI182" s="416"/>
      <c r="AJ182" s="416"/>
      <c r="AK182" s="416"/>
      <c r="AL182" s="416"/>
      <c r="AM182" s="416"/>
      <c r="AN182" s="416"/>
      <c r="AO182" s="416"/>
      <c r="AP182" s="416"/>
      <c r="AQ182" s="416"/>
      <c r="AR182" s="416"/>
      <c r="AS182" s="416"/>
      <c r="AT182" s="416"/>
      <c r="AU182" s="416"/>
      <c r="AV182" s="416"/>
      <c r="AW182" s="416"/>
      <c r="AX182" s="416"/>
      <c r="AY182" s="416"/>
      <c r="AZ182" s="32"/>
    </row>
    <row r="183" spans="2:52">
      <c r="B183" s="1256">
        <v>10</v>
      </c>
      <c r="C183" s="1257"/>
      <c r="D183" s="411" t="s">
        <v>1198</v>
      </c>
      <c r="E183" s="411"/>
      <c r="F183" s="411" t="s">
        <v>349</v>
      </c>
      <c r="G183" s="411" t="s">
        <v>350</v>
      </c>
      <c r="H183" s="412">
        <v>7495.3969999999999</v>
      </c>
      <c r="I183" s="413" t="s">
        <v>240</v>
      </c>
      <c r="J183" s="414">
        <v>45021.809027777781</v>
      </c>
      <c r="K183" s="414"/>
      <c r="L183" s="414" t="s">
        <v>192</v>
      </c>
      <c r="M183" s="414" t="s">
        <v>192</v>
      </c>
      <c r="N183" s="413" t="str">
        <f t="shared" si="10"/>
        <v>DELAY ( 2 day 4 hour 55 minute )</v>
      </c>
      <c r="O183" s="51"/>
      <c r="P183" s="415" t="s">
        <v>551</v>
      </c>
      <c r="Q183" s="415" t="s">
        <v>551</v>
      </c>
      <c r="R183" s="415" t="s">
        <v>551</v>
      </c>
      <c r="S183" s="32"/>
      <c r="T183" s="416"/>
      <c r="U183" s="416"/>
      <c r="V183" s="416"/>
      <c r="W183" s="416"/>
      <c r="X183" s="416"/>
      <c r="Y183" s="416"/>
      <c r="Z183" s="416"/>
      <c r="AA183" s="416"/>
      <c r="AB183" s="416"/>
      <c r="AC183" s="416">
        <f>H183</f>
        <v>7495.3969999999999</v>
      </c>
      <c r="AD183" s="416"/>
      <c r="AE183" s="416"/>
      <c r="AF183" s="416"/>
      <c r="AG183" s="416"/>
      <c r="AH183" s="416"/>
      <c r="AI183" s="416"/>
      <c r="AJ183" s="416"/>
      <c r="AK183" s="416"/>
      <c r="AL183" s="416"/>
      <c r="AM183" s="416"/>
      <c r="AN183" s="416"/>
      <c r="AO183" s="416"/>
      <c r="AP183" s="416"/>
      <c r="AQ183" s="416"/>
      <c r="AR183" s="416"/>
      <c r="AS183" s="416"/>
      <c r="AT183" s="416"/>
      <c r="AU183" s="416"/>
      <c r="AV183" s="416"/>
      <c r="AW183" s="416"/>
      <c r="AX183" s="416"/>
      <c r="AY183" s="416"/>
      <c r="AZ183" s="32"/>
    </row>
    <row r="184" spans="2:52">
      <c r="B184" s="1256">
        <v>11</v>
      </c>
      <c r="C184" s="1257"/>
      <c r="D184" s="411" t="s">
        <v>1197</v>
      </c>
      <c r="E184" s="411"/>
      <c r="F184" s="411" t="s">
        <v>367</v>
      </c>
      <c r="G184" s="411" t="s">
        <v>368</v>
      </c>
      <c r="H184" s="412">
        <v>9846.732</v>
      </c>
      <c r="I184" s="413" t="s">
        <v>235</v>
      </c>
      <c r="J184" s="414">
        <v>45022.020833333336</v>
      </c>
      <c r="K184" s="414"/>
      <c r="L184" s="414" t="s">
        <v>192</v>
      </c>
      <c r="M184" s="414" t="s">
        <v>192</v>
      </c>
      <c r="N184" s="413" t="str">
        <f t="shared" si="10"/>
        <v>DELAY ( 2 day 10 hour 0 minute )</v>
      </c>
      <c r="O184" s="51"/>
      <c r="P184" s="415" t="s">
        <v>551</v>
      </c>
      <c r="Q184" s="415" t="s">
        <v>551</v>
      </c>
      <c r="R184" s="415" t="s">
        <v>551</v>
      </c>
      <c r="S184" s="32"/>
      <c r="T184" s="416"/>
      <c r="U184" s="416"/>
      <c r="V184" s="416"/>
      <c r="W184" s="416"/>
      <c r="X184" s="416"/>
      <c r="Y184" s="416"/>
      <c r="Z184" s="416"/>
      <c r="AA184" s="416"/>
      <c r="AB184" s="416">
        <f>H184</f>
        <v>9846.732</v>
      </c>
      <c r="AC184" s="416"/>
      <c r="AD184" s="416"/>
      <c r="AE184" s="416"/>
      <c r="AF184" s="416"/>
      <c r="AG184" s="416"/>
      <c r="AH184" s="416"/>
      <c r="AI184" s="416"/>
      <c r="AJ184" s="416"/>
      <c r="AK184" s="416"/>
      <c r="AL184" s="416"/>
      <c r="AM184" s="416"/>
      <c r="AN184" s="416"/>
      <c r="AO184" s="416"/>
      <c r="AP184" s="416"/>
      <c r="AQ184" s="416"/>
      <c r="AR184" s="416"/>
      <c r="AS184" s="416"/>
      <c r="AT184" s="416"/>
      <c r="AU184" s="416"/>
      <c r="AV184" s="416"/>
      <c r="AW184" s="416"/>
      <c r="AX184" s="416"/>
      <c r="AY184" s="416"/>
      <c r="AZ184" s="32"/>
    </row>
    <row r="185" spans="2:52">
      <c r="B185" s="1256" t="s">
        <v>610</v>
      </c>
      <c r="C185" s="1276"/>
      <c r="D185" s="1276"/>
      <c r="E185" s="1276"/>
      <c r="F185" s="1276"/>
      <c r="G185" s="1257"/>
      <c r="H185" s="412">
        <f>H187-SUM(H174:H184)</f>
        <v>4654.3819999999978</v>
      </c>
      <c r="I185" s="413" t="s">
        <v>1164</v>
      </c>
      <c r="J185" s="414"/>
      <c r="K185" s="414"/>
      <c r="L185" s="414"/>
      <c r="M185" s="414"/>
      <c r="N185" s="413" t="str">
        <f t="shared" si="10"/>
        <v xml:space="preserve"> </v>
      </c>
      <c r="O185" s="51"/>
      <c r="P185" s="415" t="s">
        <v>551</v>
      </c>
      <c r="Q185" s="415"/>
      <c r="R185" s="415"/>
      <c r="S185" s="32"/>
      <c r="T185" s="416"/>
      <c r="U185" s="416"/>
      <c r="V185" s="416"/>
      <c r="W185" s="416"/>
      <c r="X185" s="416">
        <f>H185</f>
        <v>4654.3819999999978</v>
      </c>
      <c r="Y185" s="416"/>
      <c r="Z185" s="416"/>
      <c r="AA185" s="416"/>
      <c r="AB185" s="416"/>
      <c r="AC185" s="416"/>
      <c r="AD185" s="416"/>
      <c r="AE185" s="416"/>
      <c r="AF185" s="416"/>
      <c r="AG185" s="416"/>
      <c r="AH185" s="416"/>
      <c r="AI185" s="416"/>
      <c r="AJ185" s="416"/>
      <c r="AK185" s="416"/>
      <c r="AL185" s="416"/>
      <c r="AM185" s="416"/>
      <c r="AN185" s="416"/>
      <c r="AO185" s="416"/>
      <c r="AP185" s="416"/>
      <c r="AQ185" s="416"/>
      <c r="AR185" s="416"/>
      <c r="AS185" s="416"/>
      <c r="AT185" s="416"/>
      <c r="AU185" s="416"/>
      <c r="AV185" s="416"/>
      <c r="AW185" s="416"/>
      <c r="AX185" s="416"/>
      <c r="AY185" s="416"/>
      <c r="AZ185" s="32"/>
    </row>
    <row r="186" spans="2:52">
      <c r="B186" s="1258" t="s">
        <v>556</v>
      </c>
      <c r="C186" s="1259"/>
      <c r="D186" s="1259"/>
      <c r="E186" s="1259"/>
      <c r="F186" s="1259"/>
      <c r="G186" s="1260"/>
      <c r="H186" s="417">
        <f>SUM(H174:H185)</f>
        <v>82500</v>
      </c>
      <c r="I186" s="388"/>
      <c r="J186" s="293"/>
      <c r="K186" s="293"/>
      <c r="L186" s="293"/>
      <c r="M186" s="389"/>
      <c r="N186" s="413" t="str">
        <f t="shared" si="10"/>
        <v xml:space="preserve"> </v>
      </c>
      <c r="O186" s="212"/>
      <c r="P186" s="418"/>
      <c r="Q186" s="418"/>
      <c r="R186" s="418"/>
      <c r="S186" s="207"/>
      <c r="T186" s="1262"/>
      <c r="U186" s="1263"/>
      <c r="V186" s="1263"/>
      <c r="W186" s="1263"/>
      <c r="X186" s="1263"/>
      <c r="Y186" s="1263"/>
      <c r="Z186" s="1263"/>
      <c r="AA186" s="1263"/>
      <c r="AB186" s="1263"/>
      <c r="AC186" s="1263"/>
      <c r="AD186" s="1263"/>
      <c r="AE186" s="1263"/>
      <c r="AF186" s="1263"/>
      <c r="AG186" s="1263"/>
      <c r="AH186" s="1263"/>
      <c r="AI186" s="1263"/>
      <c r="AJ186" s="1263"/>
      <c r="AK186" s="1263"/>
      <c r="AL186" s="1263"/>
      <c r="AM186" s="1263"/>
      <c r="AN186" s="1263"/>
      <c r="AO186" s="1263"/>
      <c r="AP186" s="1263"/>
      <c r="AQ186" s="1263"/>
      <c r="AR186" s="1263"/>
      <c r="AS186" s="1263"/>
      <c r="AT186" s="1263"/>
      <c r="AU186" s="1263"/>
      <c r="AV186" s="1263"/>
      <c r="AW186" s="1263"/>
      <c r="AX186" s="1263"/>
      <c r="AY186" s="1264"/>
    </row>
    <row r="187" spans="2:52">
      <c r="B187" s="1243" t="s">
        <v>557</v>
      </c>
      <c r="C187" s="1244"/>
      <c r="D187" s="1244"/>
      <c r="E187" s="1244"/>
      <c r="F187" s="1244"/>
      <c r="G187" s="1245"/>
      <c r="H187" s="419">
        <v>82500</v>
      </c>
      <c r="I187" s="1246"/>
      <c r="J187" s="1247"/>
      <c r="K187" s="1247"/>
      <c r="L187" s="1247"/>
      <c r="M187" s="1248"/>
      <c r="N187" s="413" t="str">
        <f t="shared" si="10"/>
        <v xml:space="preserve"> </v>
      </c>
      <c r="O187" s="32"/>
      <c r="P187" s="415"/>
      <c r="Q187" s="415"/>
      <c r="R187" s="415"/>
      <c r="S187" s="63"/>
      <c r="T187" s="416">
        <f t="shared" ref="T187:AY187" si="12">SUM(T174:T185)</f>
        <v>0</v>
      </c>
      <c r="U187" s="416">
        <f t="shared" si="12"/>
        <v>0</v>
      </c>
      <c r="V187" s="416">
        <f t="shared" si="12"/>
        <v>0</v>
      </c>
      <c r="W187" s="416">
        <f t="shared" si="12"/>
        <v>0</v>
      </c>
      <c r="X187" s="416">
        <f t="shared" si="12"/>
        <v>4654.3819999999978</v>
      </c>
      <c r="Y187" s="416">
        <f t="shared" si="12"/>
        <v>925.12829999999997</v>
      </c>
      <c r="Z187" s="416">
        <f t="shared" si="12"/>
        <v>2158.6326999999997</v>
      </c>
      <c r="AA187" s="416">
        <f t="shared" si="12"/>
        <v>0</v>
      </c>
      <c r="AB187" s="416">
        <f t="shared" si="12"/>
        <v>62146.460000000006</v>
      </c>
      <c r="AC187" s="416">
        <f t="shared" si="12"/>
        <v>7495.3969999999999</v>
      </c>
      <c r="AD187" s="416">
        <f t="shared" si="12"/>
        <v>0</v>
      </c>
      <c r="AE187" s="416">
        <f t="shared" si="12"/>
        <v>0</v>
      </c>
      <c r="AF187" s="416">
        <f t="shared" si="12"/>
        <v>0</v>
      </c>
      <c r="AG187" s="416">
        <f t="shared" si="12"/>
        <v>0</v>
      </c>
      <c r="AH187" s="416">
        <f t="shared" si="12"/>
        <v>0</v>
      </c>
      <c r="AI187" s="416">
        <f t="shared" si="12"/>
        <v>0</v>
      </c>
      <c r="AJ187" s="416">
        <f t="shared" si="12"/>
        <v>0</v>
      </c>
      <c r="AK187" s="416">
        <f t="shared" si="12"/>
        <v>0</v>
      </c>
      <c r="AL187" s="416">
        <f t="shared" si="12"/>
        <v>0</v>
      </c>
      <c r="AM187" s="416">
        <f t="shared" si="12"/>
        <v>0</v>
      </c>
      <c r="AN187" s="416">
        <f t="shared" si="12"/>
        <v>0</v>
      </c>
      <c r="AO187" s="416">
        <f t="shared" si="12"/>
        <v>0</v>
      </c>
      <c r="AP187" s="416">
        <f t="shared" si="12"/>
        <v>0</v>
      </c>
      <c r="AQ187" s="416">
        <f t="shared" si="12"/>
        <v>0</v>
      </c>
      <c r="AR187" s="416">
        <f t="shared" si="12"/>
        <v>5120</v>
      </c>
      <c r="AS187" s="416">
        <f t="shared" si="12"/>
        <v>0</v>
      </c>
      <c r="AT187" s="416">
        <f t="shared" si="12"/>
        <v>0</v>
      </c>
      <c r="AU187" s="416">
        <f t="shared" si="12"/>
        <v>0</v>
      </c>
      <c r="AV187" s="416">
        <f t="shared" si="12"/>
        <v>0</v>
      </c>
      <c r="AW187" s="416">
        <f t="shared" si="12"/>
        <v>0</v>
      </c>
      <c r="AX187" s="416">
        <f t="shared" si="12"/>
        <v>0</v>
      </c>
      <c r="AY187" s="416">
        <f t="shared" si="12"/>
        <v>0</v>
      </c>
      <c r="AZ187" s="416">
        <f>SUM(T187:AY187)</f>
        <v>82500</v>
      </c>
    </row>
    <row r="188" spans="2:52">
      <c r="B188" s="1243" t="s">
        <v>558</v>
      </c>
      <c r="C188" s="1244"/>
      <c r="D188" s="1244"/>
      <c r="E188" s="1244"/>
      <c r="F188" s="1244"/>
      <c r="G188" s="1245"/>
      <c r="H188" s="420">
        <f>H187-L168</f>
        <v>0</v>
      </c>
      <c r="I188" s="294"/>
      <c r="J188" s="295"/>
      <c r="K188" s="295"/>
      <c r="L188" s="296"/>
      <c r="M188" s="32"/>
      <c r="N188" s="32"/>
      <c r="O188" s="32"/>
      <c r="P188" s="32"/>
      <c r="Q188" s="297"/>
      <c r="R188" s="297"/>
      <c r="S188" s="32"/>
      <c r="T188" s="48"/>
      <c r="U188" s="48"/>
      <c r="V188" s="48"/>
      <c r="W188" s="48"/>
      <c r="X188" s="48"/>
      <c r="Y188" s="48"/>
      <c r="Z188" s="48"/>
      <c r="AA188" s="48"/>
      <c r="AB188" s="48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</row>
    <row r="189" spans="2:52">
      <c r="B189" s="1243" t="s">
        <v>559</v>
      </c>
      <c r="C189" s="1244"/>
      <c r="D189" s="1244"/>
      <c r="E189" s="1244"/>
      <c r="F189" s="1244"/>
      <c r="G189" s="1245"/>
      <c r="H189" s="420">
        <f>H186-H187</f>
        <v>0</v>
      </c>
      <c r="I189" s="52"/>
      <c r="J189" s="53"/>
      <c r="K189" s="53"/>
      <c r="L189" s="54"/>
      <c r="M189" s="32"/>
      <c r="N189" s="32"/>
      <c r="O189" s="32"/>
      <c r="P189" s="32"/>
      <c r="Q189" s="32"/>
      <c r="R189" s="32"/>
      <c r="S189" s="32"/>
      <c r="T189" s="48"/>
      <c r="U189" s="48"/>
      <c r="V189" s="48"/>
      <c r="W189" s="48"/>
      <c r="X189" s="48"/>
      <c r="Y189" s="48"/>
      <c r="Z189" s="48"/>
      <c r="AA189" s="48"/>
      <c r="AB189" s="48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</row>
    <row r="190" spans="2:52">
      <c r="B190" s="201"/>
      <c r="C190" s="201"/>
      <c r="D190" s="201"/>
      <c r="E190" s="201"/>
      <c r="F190" s="201"/>
      <c r="G190" s="201"/>
      <c r="H190" s="201"/>
      <c r="I190" s="213"/>
      <c r="J190" s="209"/>
      <c r="K190" s="209"/>
      <c r="L190" s="203"/>
      <c r="M190" s="201"/>
      <c r="N190" s="201"/>
      <c r="O190" s="209"/>
      <c r="P190" s="32"/>
      <c r="Q190" s="32"/>
      <c r="R190" s="32"/>
      <c r="S190" s="32"/>
      <c r="T190" s="48"/>
      <c r="U190" s="48"/>
      <c r="V190" s="48"/>
      <c r="W190" s="48"/>
      <c r="X190" s="48"/>
      <c r="Y190" s="48"/>
      <c r="Z190" s="48"/>
      <c r="AA190" s="48"/>
      <c r="AB190" s="48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</row>
    <row r="191" spans="2:52">
      <c r="B191" s="40" t="s">
        <v>561</v>
      </c>
      <c r="C191" s="40"/>
      <c r="D191" s="32"/>
      <c r="E191" s="32"/>
      <c r="F191" s="32"/>
      <c r="G191" s="32"/>
      <c r="H191" s="32"/>
      <c r="I191" s="32"/>
      <c r="J191" s="52"/>
      <c r="K191" s="52"/>
      <c r="L191" s="55"/>
      <c r="M191" s="32"/>
      <c r="N191" s="201"/>
      <c r="O191" s="5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1"/>
      <c r="AC191" s="201"/>
      <c r="AD191" s="201"/>
      <c r="AE191" s="201"/>
      <c r="AF191" s="201"/>
      <c r="AG191" s="201"/>
      <c r="AH191" s="201"/>
      <c r="AI191" s="201"/>
      <c r="AJ191" s="201"/>
      <c r="AK191" s="201"/>
      <c r="AL191" s="201"/>
      <c r="AM191" s="201"/>
      <c r="AN191" s="201"/>
      <c r="AO191" s="201"/>
      <c r="AP191" s="201"/>
      <c r="AQ191" s="201"/>
      <c r="AR191" s="201"/>
      <c r="AS191" s="201"/>
      <c r="AT191" s="201"/>
      <c r="AU191" s="201"/>
      <c r="AZ191" s="201"/>
    </row>
    <row r="192" spans="2:52">
      <c r="B192" s="422"/>
      <c r="C192" s="1249"/>
      <c r="D192" s="1249"/>
      <c r="E192" s="1249"/>
      <c r="F192" s="1249"/>
      <c r="G192" s="1249"/>
      <c r="H192" s="1249"/>
      <c r="I192" s="1249"/>
      <c r="J192" s="1249"/>
      <c r="K192" s="1249"/>
      <c r="L192" s="203"/>
      <c r="M192" s="201"/>
      <c r="N192" s="201"/>
      <c r="O192" s="209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1"/>
      <c r="AC192" s="201"/>
      <c r="AD192" s="201"/>
      <c r="AE192" s="201"/>
      <c r="AF192" s="201"/>
      <c r="AG192" s="201"/>
      <c r="AH192" s="201"/>
      <c r="AI192" s="201"/>
      <c r="AJ192" s="201"/>
      <c r="AK192" s="201"/>
      <c r="AL192" s="201"/>
      <c r="AM192" s="201"/>
      <c r="AN192" s="201"/>
      <c r="AO192" s="201"/>
      <c r="AP192" s="201"/>
      <c r="AQ192" s="201"/>
      <c r="AR192" s="201"/>
      <c r="AS192" s="201"/>
      <c r="AT192" s="201"/>
      <c r="AU192" s="201"/>
      <c r="AZ192" s="201"/>
    </row>
    <row r="194" spans="2:52">
      <c r="B194" s="28" t="s">
        <v>126</v>
      </c>
      <c r="C194" s="28"/>
      <c r="D194" s="29"/>
      <c r="E194" s="30" t="s">
        <v>511</v>
      </c>
      <c r="F194" s="31" t="s">
        <v>1222</v>
      </c>
      <c r="G194" s="32"/>
      <c r="H194" s="33"/>
      <c r="I194" s="34"/>
      <c r="J194" s="35" t="s">
        <v>513</v>
      </c>
      <c r="K194" s="36" t="s">
        <v>511</v>
      </c>
      <c r="L194" s="37">
        <v>45032.220833333333</v>
      </c>
      <c r="M194" s="32"/>
      <c r="N194" s="32"/>
      <c r="O194" s="36"/>
      <c r="P194" s="33"/>
      <c r="Q194" s="48"/>
      <c r="R194" s="49"/>
      <c r="S194" s="38"/>
      <c r="T194" s="32"/>
      <c r="U194" s="32"/>
      <c r="V194" s="32"/>
      <c r="W194" s="32"/>
      <c r="X194" s="32"/>
      <c r="Y194" s="32"/>
      <c r="Z194" s="32"/>
      <c r="AA194" s="32"/>
      <c r="AB194" s="48"/>
      <c r="AC194" s="48"/>
      <c r="AD194" s="48"/>
      <c r="AE194" s="48"/>
      <c r="AF194" s="48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</row>
    <row r="195" spans="2:52">
      <c r="B195" s="35" t="s">
        <v>514</v>
      </c>
      <c r="C195" s="35"/>
      <c r="D195" s="32"/>
      <c r="E195" s="36" t="s">
        <v>511</v>
      </c>
      <c r="F195" s="37" t="s">
        <v>1419</v>
      </c>
      <c r="G195" s="32"/>
      <c r="H195" s="33"/>
      <c r="I195" s="34"/>
      <c r="J195" s="35" t="s">
        <v>516</v>
      </c>
      <c r="K195" s="36" t="s">
        <v>511</v>
      </c>
      <c r="L195" s="37">
        <v>45033.739583333336</v>
      </c>
      <c r="M195" s="32"/>
      <c r="N195" s="32"/>
      <c r="O195" s="36"/>
      <c r="P195" s="33"/>
      <c r="Q195" s="48"/>
      <c r="R195" s="49"/>
      <c r="S195" s="38"/>
      <c r="T195" s="32"/>
      <c r="U195" s="32"/>
      <c r="V195" s="32"/>
      <c r="W195" s="32"/>
      <c r="X195" s="32"/>
      <c r="Y195" s="32"/>
      <c r="Z195" s="32"/>
      <c r="AA195" s="32"/>
      <c r="AB195" s="48"/>
      <c r="AC195" s="48"/>
      <c r="AD195" s="48"/>
      <c r="AE195" s="48"/>
      <c r="AF195" s="48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</row>
    <row r="196" spans="2:52">
      <c r="B196" s="35" t="s">
        <v>517</v>
      </c>
      <c r="C196" s="35"/>
      <c r="D196" s="32"/>
      <c r="E196" s="36" t="s">
        <v>511</v>
      </c>
      <c r="F196" s="37">
        <v>45028.270833333336</v>
      </c>
      <c r="G196" s="32"/>
      <c r="H196" s="33"/>
      <c r="I196" s="34"/>
      <c r="J196" s="35" t="s">
        <v>518</v>
      </c>
      <c r="K196" s="36" t="s">
        <v>511</v>
      </c>
      <c r="L196" s="50">
        <v>69878</v>
      </c>
      <c r="M196" s="40" t="s">
        <v>519</v>
      </c>
      <c r="N196" s="40"/>
      <c r="O196" s="36"/>
      <c r="P196" s="33"/>
      <c r="Q196" s="48"/>
      <c r="R196" s="49"/>
      <c r="S196" s="38"/>
      <c r="T196" s="32"/>
      <c r="U196" s="32"/>
      <c r="V196" s="32"/>
      <c r="W196" s="32"/>
      <c r="X196" s="32"/>
      <c r="Y196" s="32"/>
      <c r="Z196" s="32"/>
      <c r="AA196" s="32"/>
      <c r="AB196" s="48"/>
      <c r="AC196" s="48"/>
      <c r="AD196" s="48"/>
      <c r="AE196" s="48"/>
      <c r="AF196" s="48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</row>
    <row r="197" spans="2:52">
      <c r="B197" s="35" t="s">
        <v>520</v>
      </c>
      <c r="C197" s="35"/>
      <c r="D197" s="32"/>
      <c r="E197" s="36" t="s">
        <v>511</v>
      </c>
      <c r="F197" s="37" t="s">
        <v>20</v>
      </c>
      <c r="G197" s="32"/>
      <c r="H197" s="33"/>
      <c r="I197" s="34"/>
      <c r="J197" s="35" t="s">
        <v>521</v>
      </c>
      <c r="K197" s="36" t="s">
        <v>511</v>
      </c>
      <c r="L197" s="41" t="s">
        <v>1420</v>
      </c>
      <c r="M197" s="32"/>
      <c r="N197" s="32"/>
      <c r="O197" s="36"/>
      <c r="P197" s="48"/>
      <c r="Q197" s="48"/>
      <c r="R197" s="49"/>
      <c r="S197" s="38"/>
      <c r="T197" s="32"/>
      <c r="U197" s="32"/>
      <c r="V197" s="32"/>
      <c r="W197" s="32"/>
      <c r="X197" s="32"/>
      <c r="Y197" s="32"/>
      <c r="Z197" s="32"/>
      <c r="AA197" s="32"/>
      <c r="AB197" s="48"/>
      <c r="AC197" s="48"/>
      <c r="AD197" s="48"/>
      <c r="AE197" s="48"/>
      <c r="AF197" s="48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</row>
    <row r="198" spans="2:52">
      <c r="B198" s="35" t="s">
        <v>523</v>
      </c>
      <c r="C198" s="35"/>
      <c r="D198" s="32"/>
      <c r="E198" s="36" t="s">
        <v>511</v>
      </c>
      <c r="F198" s="37" t="s">
        <v>47</v>
      </c>
      <c r="G198" s="32"/>
      <c r="H198" s="33"/>
      <c r="I198" s="34"/>
      <c r="J198" s="42" t="s">
        <v>524</v>
      </c>
      <c r="K198" s="36" t="s">
        <v>511</v>
      </c>
      <c r="L198" s="43" t="s">
        <v>15</v>
      </c>
      <c r="M198" s="44"/>
      <c r="N198" s="44"/>
      <c r="O198" s="36"/>
      <c r="P198" s="33"/>
      <c r="Q198" s="48"/>
      <c r="R198" s="49"/>
      <c r="S198" s="38"/>
      <c r="T198" s="32"/>
      <c r="U198" s="32"/>
      <c r="V198" s="32"/>
      <c r="W198" s="32"/>
      <c r="X198" s="32"/>
      <c r="Y198" s="32"/>
      <c r="Z198" s="32"/>
      <c r="AA198" s="32"/>
      <c r="AB198" s="48"/>
      <c r="AC198" s="48"/>
      <c r="AD198" s="48"/>
      <c r="AE198" s="48"/>
      <c r="AF198" s="48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</row>
    <row r="199" spans="2:52">
      <c r="B199" s="35" t="s">
        <v>2</v>
      </c>
      <c r="C199" s="35"/>
      <c r="D199" s="32"/>
      <c r="E199" s="36" t="s">
        <v>511</v>
      </c>
      <c r="F199" s="37" t="s">
        <v>18</v>
      </c>
      <c r="G199" s="32"/>
      <c r="H199" s="33"/>
      <c r="I199" s="45"/>
      <c r="J199" s="42"/>
      <c r="K199" s="36"/>
      <c r="L199" s="37"/>
      <c r="M199" s="32"/>
      <c r="N199" s="32"/>
      <c r="O199" s="42"/>
      <c r="P199" s="44"/>
      <c r="Q199" s="44"/>
      <c r="R199" s="44"/>
      <c r="S199" s="34"/>
      <c r="T199" s="32"/>
      <c r="U199" s="32"/>
      <c r="V199" s="32"/>
      <c r="W199" s="32"/>
      <c r="X199" s="32"/>
      <c r="Y199" s="32"/>
      <c r="Z199" s="32"/>
      <c r="AA199" s="32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</row>
    <row r="200" spans="2:52">
      <c r="B200" s="32"/>
      <c r="C200" s="32"/>
      <c r="D200" s="32"/>
      <c r="E200" s="32"/>
      <c r="F200" s="32"/>
      <c r="G200" s="32"/>
      <c r="H200" s="32"/>
      <c r="I200" s="45"/>
      <c r="J200" s="42"/>
      <c r="K200" s="42"/>
      <c r="L200" s="43"/>
      <c r="M200" s="44"/>
      <c r="N200" s="44"/>
      <c r="O200" s="42"/>
      <c r="P200" s="44"/>
      <c r="Q200" s="44"/>
      <c r="R200" s="44"/>
      <c r="S200" s="34"/>
      <c r="T200" s="1270" t="s">
        <v>87</v>
      </c>
      <c r="U200" s="1270"/>
      <c r="V200" s="1270"/>
      <c r="W200" s="1270"/>
      <c r="X200" s="1270"/>
      <c r="Y200" s="1270" t="s">
        <v>73</v>
      </c>
      <c r="Z200" s="1270"/>
      <c r="AA200" s="1270"/>
      <c r="AB200" s="1270" t="s">
        <v>74</v>
      </c>
      <c r="AC200" s="1270"/>
      <c r="AD200" s="407" t="s">
        <v>85</v>
      </c>
      <c r="AE200" s="407" t="s">
        <v>77</v>
      </c>
      <c r="AF200" s="1270" t="s">
        <v>525</v>
      </c>
      <c r="AG200" s="1270"/>
      <c r="AH200" s="1270"/>
      <c r="AI200" s="1270"/>
      <c r="AJ200" s="1270"/>
      <c r="AK200" s="1270"/>
      <c r="AL200" s="1270"/>
      <c r="AM200" s="1270"/>
      <c r="AN200" s="1270"/>
      <c r="AO200" s="1270"/>
      <c r="AP200" s="1270"/>
      <c r="AQ200" s="1270"/>
      <c r="AR200" s="1270"/>
      <c r="AS200" s="1270"/>
      <c r="AT200" s="1270"/>
      <c r="AU200" s="1270"/>
      <c r="AV200" s="1270"/>
      <c r="AW200" s="1270"/>
      <c r="AX200" s="1270"/>
      <c r="AY200" s="1270"/>
      <c r="AZ200" s="32"/>
    </row>
    <row r="201" spans="2:52">
      <c r="B201" s="1266" t="s">
        <v>526</v>
      </c>
      <c r="C201" s="1267"/>
      <c r="D201" s="570" t="s">
        <v>527</v>
      </c>
      <c r="E201" s="570"/>
      <c r="F201" s="570" t="s">
        <v>528</v>
      </c>
      <c r="G201" s="570" t="s">
        <v>529</v>
      </c>
      <c r="H201" s="570" t="s">
        <v>530</v>
      </c>
      <c r="I201" s="570" t="s">
        <v>531</v>
      </c>
      <c r="J201" s="570" t="s">
        <v>532</v>
      </c>
      <c r="K201" s="570"/>
      <c r="L201" s="570" t="s">
        <v>130</v>
      </c>
      <c r="M201" s="570" t="s">
        <v>533</v>
      </c>
      <c r="N201" s="408" t="str">
        <f>"On time - "&amp;COUNTIF(N202:N212,"On time")&amp;" from "&amp;ROWS(N202:N212)-COUNTIF(N202:N212," ")</f>
        <v>On time - 7 from 9</v>
      </c>
      <c r="O201" s="46"/>
      <c r="P201" s="409" t="s">
        <v>534</v>
      </c>
      <c r="Q201" s="409" t="s">
        <v>535</v>
      </c>
      <c r="R201" s="409" t="s">
        <v>536</v>
      </c>
      <c r="S201" s="32"/>
      <c r="T201" s="410" t="s">
        <v>537</v>
      </c>
      <c r="U201" s="410" t="s">
        <v>538</v>
      </c>
      <c r="V201" s="410" t="s">
        <v>539</v>
      </c>
      <c r="W201" s="410" t="s">
        <v>540</v>
      </c>
      <c r="X201" s="410" t="s">
        <v>541</v>
      </c>
      <c r="Y201" s="410" t="s">
        <v>167</v>
      </c>
      <c r="Z201" s="410" t="s">
        <v>168</v>
      </c>
      <c r="AA201" s="410" t="s">
        <v>169</v>
      </c>
      <c r="AB201" s="410" t="s">
        <v>235</v>
      </c>
      <c r="AC201" s="410" t="s">
        <v>240</v>
      </c>
      <c r="AD201" s="407" t="s">
        <v>85</v>
      </c>
      <c r="AE201" s="410" t="s">
        <v>139</v>
      </c>
      <c r="AF201" s="410" t="s">
        <v>72</v>
      </c>
      <c r="AG201" s="410" t="s">
        <v>88</v>
      </c>
      <c r="AH201" s="410" t="s">
        <v>75</v>
      </c>
      <c r="AI201" s="410" t="s">
        <v>543</v>
      </c>
      <c r="AJ201" s="410" t="s">
        <v>78</v>
      </c>
      <c r="AK201" s="410" t="s">
        <v>76</v>
      </c>
      <c r="AL201" s="410" t="s">
        <v>544</v>
      </c>
      <c r="AM201" s="410" t="s">
        <v>545</v>
      </c>
      <c r="AN201" s="410" t="s">
        <v>86</v>
      </c>
      <c r="AO201" s="410" t="s">
        <v>83</v>
      </c>
      <c r="AP201" s="410" t="s">
        <v>84</v>
      </c>
      <c r="AQ201" s="410" t="s">
        <v>546</v>
      </c>
      <c r="AR201" s="410" t="s">
        <v>81</v>
      </c>
      <c r="AS201" s="410" t="s">
        <v>80</v>
      </c>
      <c r="AT201" s="410" t="s">
        <v>82</v>
      </c>
      <c r="AU201" s="410" t="s">
        <v>181</v>
      </c>
      <c r="AV201" s="410" t="s">
        <v>183</v>
      </c>
      <c r="AW201" s="410" t="s">
        <v>547</v>
      </c>
      <c r="AX201" s="410" t="s">
        <v>182</v>
      </c>
      <c r="AY201" s="410" t="s">
        <v>172</v>
      </c>
      <c r="AZ201" s="32"/>
    </row>
    <row r="202" spans="2:52">
      <c r="B202" s="1256">
        <v>1</v>
      </c>
      <c r="C202" s="1257"/>
      <c r="D202" s="411" t="s">
        <v>1300</v>
      </c>
      <c r="E202" s="411"/>
      <c r="F202" s="411" t="s">
        <v>383</v>
      </c>
      <c r="G202" s="411" t="s">
        <v>384</v>
      </c>
      <c r="H202" s="412">
        <v>5111</v>
      </c>
      <c r="I202" s="413" t="s">
        <v>81</v>
      </c>
      <c r="J202" s="414">
        <v>45022.40625</v>
      </c>
      <c r="K202" s="414"/>
      <c r="L202" s="414" t="s">
        <v>192</v>
      </c>
      <c r="M202" s="414" t="s">
        <v>192</v>
      </c>
      <c r="N202" s="413" t="str">
        <f t="shared" ref="N202:N213" si="13">IF(ISBLANK(J202)," ",IF(J202&lt;$F$196,"On time",(IF(DAY(J202-$F$196)&lt;1,"On time",(IF(J202&gt;$F$196,"DELAY ( "&amp;DAY(J202-$F$196)&amp;" day "&amp;HOUR(J202-$F$196)&amp;" hour "&amp;MINUTE(J202-$F$196)&amp;" minute )","xxx"))))))</f>
        <v>On time</v>
      </c>
      <c r="O202" s="51"/>
      <c r="P202" s="415" t="s">
        <v>551</v>
      </c>
      <c r="Q202" s="415" t="s">
        <v>551</v>
      </c>
      <c r="R202" s="415" t="s">
        <v>551</v>
      </c>
      <c r="S202" s="32"/>
      <c r="T202" s="416"/>
      <c r="U202" s="416"/>
      <c r="V202" s="416"/>
      <c r="W202" s="416"/>
      <c r="X202" s="416"/>
      <c r="Y202" s="416"/>
      <c r="Z202" s="416"/>
      <c r="AA202" s="416"/>
      <c r="AB202" s="416"/>
      <c r="AC202" s="416"/>
      <c r="AD202" s="416"/>
      <c r="AE202" s="416"/>
      <c r="AF202" s="416"/>
      <c r="AG202" s="416"/>
      <c r="AH202" s="416"/>
      <c r="AI202" s="416"/>
      <c r="AJ202" s="416"/>
      <c r="AK202" s="416"/>
      <c r="AL202" s="416"/>
      <c r="AM202" s="416"/>
      <c r="AN202" s="416"/>
      <c r="AO202" s="416"/>
      <c r="AP202" s="416"/>
      <c r="AQ202" s="416"/>
      <c r="AR202" s="416">
        <f>H202</f>
        <v>5111</v>
      </c>
      <c r="AS202" s="416"/>
      <c r="AT202" s="416"/>
      <c r="AU202" s="416"/>
      <c r="AV202" s="416"/>
      <c r="AW202" s="416"/>
      <c r="AX202" s="416"/>
      <c r="AY202" s="416"/>
      <c r="AZ202" s="32"/>
    </row>
    <row r="203" spans="2:52">
      <c r="B203" s="1256">
        <v>2</v>
      </c>
      <c r="C203" s="1257"/>
      <c r="D203" s="411" t="s">
        <v>1227</v>
      </c>
      <c r="E203" s="411"/>
      <c r="F203" s="411" t="s">
        <v>489</v>
      </c>
      <c r="G203" s="411" t="s">
        <v>483</v>
      </c>
      <c r="H203" s="412">
        <v>7415.8270000000002</v>
      </c>
      <c r="I203" s="413" t="s">
        <v>240</v>
      </c>
      <c r="J203" s="414">
        <v>45028.114583333336</v>
      </c>
      <c r="K203" s="414"/>
      <c r="L203" s="414" t="s">
        <v>192</v>
      </c>
      <c r="M203" s="414" t="s">
        <v>192</v>
      </c>
      <c r="N203" s="413" t="str">
        <f t="shared" si="13"/>
        <v>On time</v>
      </c>
      <c r="O203" s="51"/>
      <c r="P203" s="415" t="s">
        <v>551</v>
      </c>
      <c r="Q203" s="415" t="s">
        <v>551</v>
      </c>
      <c r="R203" s="415" t="s">
        <v>551</v>
      </c>
      <c r="S203" s="32"/>
      <c r="T203" s="416"/>
      <c r="U203" s="416"/>
      <c r="V203" s="416"/>
      <c r="W203" s="416"/>
      <c r="X203" s="416"/>
      <c r="Y203" s="416"/>
      <c r="Z203" s="416"/>
      <c r="AA203" s="416"/>
      <c r="AB203" s="416"/>
      <c r="AC203" s="416">
        <f>H203</f>
        <v>7415.8270000000002</v>
      </c>
      <c r="AD203" s="416"/>
      <c r="AE203" s="416"/>
      <c r="AF203" s="416"/>
      <c r="AG203" s="416"/>
      <c r="AH203" s="416"/>
      <c r="AI203" s="416"/>
      <c r="AJ203" s="416"/>
      <c r="AK203" s="416"/>
      <c r="AL203" s="416"/>
      <c r="AM203" s="416"/>
      <c r="AN203" s="416"/>
      <c r="AO203" s="416"/>
      <c r="AP203" s="416"/>
      <c r="AQ203" s="416"/>
      <c r="AR203" s="416"/>
      <c r="AS203" s="416"/>
      <c r="AT203" s="416"/>
      <c r="AU203" s="416"/>
      <c r="AV203" s="416"/>
      <c r="AW203" s="416"/>
      <c r="AX203" s="416"/>
      <c r="AY203" s="416"/>
      <c r="AZ203" s="32"/>
    </row>
    <row r="204" spans="2:52">
      <c r="B204" s="1256">
        <v>3</v>
      </c>
      <c r="C204" s="1257"/>
      <c r="D204" s="411" t="s">
        <v>1223</v>
      </c>
      <c r="E204" s="411"/>
      <c r="F204" s="411" t="s">
        <v>205</v>
      </c>
      <c r="G204" s="411" t="s">
        <v>206</v>
      </c>
      <c r="H204" s="412">
        <v>7206.7160000000003</v>
      </c>
      <c r="I204" s="413" t="s">
        <v>235</v>
      </c>
      <c r="J204" s="414">
        <v>45028.295138888891</v>
      </c>
      <c r="K204" s="414"/>
      <c r="L204" s="414" t="s">
        <v>192</v>
      </c>
      <c r="M204" s="414" t="s">
        <v>192</v>
      </c>
      <c r="N204" s="413" t="str">
        <f t="shared" si="13"/>
        <v>On time</v>
      </c>
      <c r="O204" s="51"/>
      <c r="P204" s="415" t="s">
        <v>551</v>
      </c>
      <c r="Q204" s="415" t="s">
        <v>551</v>
      </c>
      <c r="R204" s="415" t="s">
        <v>551</v>
      </c>
      <c r="S204" s="32"/>
      <c r="T204" s="416"/>
      <c r="U204" s="416"/>
      <c r="V204" s="416"/>
      <c r="W204" s="416"/>
      <c r="X204" s="416"/>
      <c r="Y204" s="416"/>
      <c r="Z204" s="416"/>
      <c r="AA204" s="416"/>
      <c r="AB204" s="416">
        <f>H204</f>
        <v>7206.7160000000003</v>
      </c>
      <c r="AC204" s="416"/>
      <c r="AD204" s="416"/>
      <c r="AE204" s="416"/>
      <c r="AF204" s="416"/>
      <c r="AG204" s="416"/>
      <c r="AH204" s="416"/>
      <c r="AI204" s="416"/>
      <c r="AJ204" s="416"/>
      <c r="AK204" s="416"/>
      <c r="AL204" s="416"/>
      <c r="AM204" s="416"/>
      <c r="AN204" s="416"/>
      <c r="AO204" s="416"/>
      <c r="AP204" s="416"/>
      <c r="AQ204" s="416"/>
      <c r="AR204" s="416"/>
      <c r="AS204" s="416"/>
      <c r="AT204" s="416"/>
      <c r="AU204" s="416"/>
      <c r="AV204" s="416"/>
      <c r="AW204" s="416"/>
      <c r="AX204" s="416"/>
      <c r="AY204" s="416"/>
      <c r="AZ204" s="32"/>
    </row>
    <row r="205" spans="2:52">
      <c r="B205" s="1256">
        <v>4</v>
      </c>
      <c r="C205" s="1257"/>
      <c r="D205" s="411" t="s">
        <v>1226</v>
      </c>
      <c r="E205" s="411"/>
      <c r="F205" s="411" t="s">
        <v>310</v>
      </c>
      <c r="G205" s="411" t="s">
        <v>311</v>
      </c>
      <c r="H205" s="412">
        <v>7473.0209999999997</v>
      </c>
      <c r="I205" s="413" t="s">
        <v>240</v>
      </c>
      <c r="J205" s="414">
        <v>45028.375</v>
      </c>
      <c r="K205" s="414"/>
      <c r="L205" s="414" t="s">
        <v>192</v>
      </c>
      <c r="M205" s="414" t="s">
        <v>192</v>
      </c>
      <c r="N205" s="413" t="str">
        <f t="shared" si="13"/>
        <v>On time</v>
      </c>
      <c r="O205" s="51"/>
      <c r="P205" s="415" t="s">
        <v>551</v>
      </c>
      <c r="Q205" s="415" t="s">
        <v>551</v>
      </c>
      <c r="R205" s="415" t="s">
        <v>551</v>
      </c>
      <c r="S205" s="32"/>
      <c r="T205" s="416"/>
      <c r="U205" s="416"/>
      <c r="V205" s="416"/>
      <c r="W205" s="416"/>
      <c r="X205" s="416"/>
      <c r="Y205" s="416"/>
      <c r="Z205" s="416"/>
      <c r="AA205" s="416"/>
      <c r="AB205" s="416"/>
      <c r="AC205" s="416">
        <f>H205</f>
        <v>7473.0209999999997</v>
      </c>
      <c r="AD205" s="416"/>
      <c r="AE205" s="416"/>
      <c r="AF205" s="416"/>
      <c r="AG205" s="416"/>
      <c r="AH205" s="416"/>
      <c r="AI205" s="416"/>
      <c r="AJ205" s="416"/>
      <c r="AK205" s="416"/>
      <c r="AL205" s="416"/>
      <c r="AM205" s="416"/>
      <c r="AN205" s="416"/>
      <c r="AO205" s="416"/>
      <c r="AP205" s="416"/>
      <c r="AQ205" s="416"/>
      <c r="AR205" s="416"/>
      <c r="AS205" s="416"/>
      <c r="AT205" s="416"/>
      <c r="AU205" s="416"/>
      <c r="AV205" s="416"/>
      <c r="AW205" s="416"/>
      <c r="AX205" s="416"/>
      <c r="AY205" s="416"/>
      <c r="AZ205" s="32"/>
    </row>
    <row r="206" spans="2:52">
      <c r="B206" s="1256">
        <v>5</v>
      </c>
      <c r="C206" s="1257"/>
      <c r="D206" s="411" t="s">
        <v>1225</v>
      </c>
      <c r="E206" s="411"/>
      <c r="F206" s="411" t="s">
        <v>249</v>
      </c>
      <c r="G206" s="411" t="s">
        <v>250</v>
      </c>
      <c r="H206" s="412">
        <v>7540.8130000000001</v>
      </c>
      <c r="I206" s="413" t="s">
        <v>240</v>
      </c>
      <c r="J206" s="414">
        <v>45028.458333333336</v>
      </c>
      <c r="K206" s="414"/>
      <c r="L206" s="414" t="s">
        <v>192</v>
      </c>
      <c r="M206" s="414" t="s">
        <v>192</v>
      </c>
      <c r="N206" s="413" t="str">
        <f t="shared" si="13"/>
        <v>On time</v>
      </c>
      <c r="O206" s="51"/>
      <c r="P206" s="415" t="s">
        <v>551</v>
      </c>
      <c r="Q206" s="415" t="s">
        <v>551</v>
      </c>
      <c r="R206" s="415" t="s">
        <v>551</v>
      </c>
      <c r="S206" s="32"/>
      <c r="T206" s="416"/>
      <c r="U206" s="416"/>
      <c r="V206" s="416"/>
      <c r="W206" s="416"/>
      <c r="X206" s="416"/>
      <c r="Y206" s="416"/>
      <c r="Z206" s="416"/>
      <c r="AA206" s="416"/>
      <c r="AB206" s="416"/>
      <c r="AC206" s="416">
        <f>H206</f>
        <v>7540.8130000000001</v>
      </c>
      <c r="AD206" s="416"/>
      <c r="AE206" s="416"/>
      <c r="AF206" s="416"/>
      <c r="AG206" s="416"/>
      <c r="AH206" s="416"/>
      <c r="AI206" s="416"/>
      <c r="AJ206" s="416"/>
      <c r="AK206" s="416"/>
      <c r="AL206" s="416"/>
      <c r="AM206" s="416"/>
      <c r="AN206" s="416"/>
      <c r="AO206" s="416"/>
      <c r="AP206" s="416"/>
      <c r="AQ206" s="416"/>
      <c r="AR206" s="416"/>
      <c r="AS206" s="416"/>
      <c r="AT206" s="416"/>
      <c r="AU206" s="416"/>
      <c r="AV206" s="416"/>
      <c r="AW206" s="416"/>
      <c r="AX206" s="416"/>
      <c r="AY206" s="416"/>
      <c r="AZ206" s="32"/>
    </row>
    <row r="207" spans="2:52">
      <c r="B207" s="1256">
        <v>6</v>
      </c>
      <c r="C207" s="1257"/>
      <c r="D207" s="411" t="s">
        <v>1224</v>
      </c>
      <c r="E207" s="411"/>
      <c r="F207" s="411" t="s">
        <v>304</v>
      </c>
      <c r="G207" s="411" t="s">
        <v>305</v>
      </c>
      <c r="H207" s="412">
        <v>7606.6459999999997</v>
      </c>
      <c r="I207" s="413" t="s">
        <v>235</v>
      </c>
      <c r="J207" s="414">
        <v>45028.5</v>
      </c>
      <c r="K207" s="414"/>
      <c r="L207" s="414" t="s">
        <v>192</v>
      </c>
      <c r="M207" s="414" t="s">
        <v>192</v>
      </c>
      <c r="N207" s="413" t="str">
        <f t="shared" si="13"/>
        <v>On time</v>
      </c>
      <c r="O207" s="51"/>
      <c r="P207" s="415" t="s">
        <v>551</v>
      </c>
      <c r="Q207" s="415" t="s">
        <v>551</v>
      </c>
      <c r="R207" s="415" t="s">
        <v>551</v>
      </c>
      <c r="S207" s="32"/>
      <c r="T207" s="416"/>
      <c r="U207" s="416"/>
      <c r="V207" s="416"/>
      <c r="W207" s="416"/>
      <c r="X207" s="416"/>
      <c r="Y207" s="416"/>
      <c r="Z207" s="416"/>
      <c r="AA207" s="416"/>
      <c r="AB207" s="416">
        <f>H207</f>
        <v>7606.6459999999997</v>
      </c>
      <c r="AC207" s="416"/>
      <c r="AD207" s="416"/>
      <c r="AE207" s="416"/>
      <c r="AF207" s="416"/>
      <c r="AG207" s="416"/>
      <c r="AH207" s="416"/>
      <c r="AI207" s="416"/>
      <c r="AJ207" s="416"/>
      <c r="AK207" s="416"/>
      <c r="AL207" s="416"/>
      <c r="AM207" s="416"/>
      <c r="AN207" s="416"/>
      <c r="AO207" s="416"/>
      <c r="AP207" s="416"/>
      <c r="AQ207" s="416"/>
      <c r="AR207" s="416"/>
      <c r="AS207" s="416"/>
      <c r="AT207" s="416"/>
      <c r="AU207" s="416"/>
      <c r="AV207" s="416"/>
      <c r="AW207" s="416"/>
      <c r="AX207" s="416"/>
      <c r="AY207" s="416"/>
      <c r="AZ207" s="32"/>
    </row>
    <row r="208" spans="2:52">
      <c r="B208" s="1256">
        <v>7</v>
      </c>
      <c r="C208" s="1257"/>
      <c r="D208" s="411" t="s">
        <v>1233</v>
      </c>
      <c r="E208" s="411"/>
      <c r="F208" s="411" t="s">
        <v>774</v>
      </c>
      <c r="G208" s="411" t="s">
        <v>423</v>
      </c>
      <c r="H208" s="412">
        <v>7400.5730000000003</v>
      </c>
      <c r="I208" s="413" t="s">
        <v>240</v>
      </c>
      <c r="J208" s="414">
        <v>45029.75</v>
      </c>
      <c r="K208" s="414"/>
      <c r="L208" s="414" t="s">
        <v>192</v>
      </c>
      <c r="M208" s="414" t="s">
        <v>192</v>
      </c>
      <c r="N208" s="413" t="str">
        <f t="shared" si="13"/>
        <v>DELAY ( 1 day 11 hour 30 minute )</v>
      </c>
      <c r="O208" s="51"/>
      <c r="P208" s="415" t="s">
        <v>551</v>
      </c>
      <c r="Q208" s="415" t="s">
        <v>551</v>
      </c>
      <c r="R208" s="415" t="s">
        <v>551</v>
      </c>
      <c r="S208" s="32"/>
      <c r="T208" s="416"/>
      <c r="U208" s="416"/>
      <c r="V208" s="416"/>
      <c r="W208" s="416"/>
      <c r="X208" s="416"/>
      <c r="Y208" s="416"/>
      <c r="Z208" s="416"/>
      <c r="AA208" s="416"/>
      <c r="AB208" s="416"/>
      <c r="AC208" s="416">
        <f>H208</f>
        <v>7400.5730000000003</v>
      </c>
      <c r="AD208" s="416"/>
      <c r="AE208" s="416"/>
      <c r="AF208" s="416"/>
      <c r="AG208" s="416"/>
      <c r="AH208" s="416"/>
      <c r="AI208" s="416"/>
      <c r="AJ208" s="416"/>
      <c r="AK208" s="416"/>
      <c r="AL208" s="416"/>
      <c r="AM208" s="416"/>
      <c r="AN208" s="416"/>
      <c r="AO208" s="416"/>
      <c r="AP208" s="416"/>
      <c r="AQ208" s="416"/>
      <c r="AR208" s="416"/>
      <c r="AS208" s="416"/>
      <c r="AT208" s="416"/>
      <c r="AU208" s="416"/>
      <c r="AV208" s="416"/>
      <c r="AW208" s="416"/>
      <c r="AX208" s="416"/>
      <c r="AY208" s="416"/>
      <c r="AZ208" s="32"/>
    </row>
    <row r="209" spans="2:52">
      <c r="B209" s="1256">
        <v>8</v>
      </c>
      <c r="C209" s="1257"/>
      <c r="D209" s="411" t="s">
        <v>1228</v>
      </c>
      <c r="E209" s="411"/>
      <c r="F209" s="411" t="s">
        <v>492</v>
      </c>
      <c r="G209" s="411" t="s">
        <v>493</v>
      </c>
      <c r="H209" s="412">
        <v>7435.4740000000002</v>
      </c>
      <c r="I209" s="413" t="s">
        <v>240</v>
      </c>
      <c r="J209" s="414">
        <v>45028.756944444445</v>
      </c>
      <c r="K209" s="414"/>
      <c r="L209" s="414" t="s">
        <v>192</v>
      </c>
      <c r="M209" s="414" t="s">
        <v>192</v>
      </c>
      <c r="N209" s="413" t="str">
        <f t="shared" si="13"/>
        <v>On time</v>
      </c>
      <c r="O209" s="51"/>
      <c r="P209" s="415" t="s">
        <v>551</v>
      </c>
      <c r="Q209" s="415" t="s">
        <v>551</v>
      </c>
      <c r="R209" s="415" t="s">
        <v>551</v>
      </c>
      <c r="S209" s="32"/>
      <c r="T209" s="416"/>
      <c r="U209" s="416"/>
      <c r="V209" s="416"/>
      <c r="W209" s="416"/>
      <c r="X209" s="416"/>
      <c r="Y209" s="416"/>
      <c r="Z209" s="416"/>
      <c r="AA209" s="416"/>
      <c r="AB209" s="416"/>
      <c r="AC209" s="416">
        <f>H209</f>
        <v>7435.4740000000002</v>
      </c>
      <c r="AD209" s="416"/>
      <c r="AE209" s="416"/>
      <c r="AF209" s="416"/>
      <c r="AG209" s="416"/>
      <c r="AH209" s="416"/>
      <c r="AI209" s="416"/>
      <c r="AJ209" s="416"/>
      <c r="AK209" s="416"/>
      <c r="AL209" s="416"/>
      <c r="AM209" s="416"/>
      <c r="AN209" s="416"/>
      <c r="AO209" s="416"/>
      <c r="AP209" s="416"/>
      <c r="AQ209" s="416"/>
      <c r="AR209" s="416"/>
      <c r="AS209" s="416"/>
      <c r="AT209" s="416"/>
      <c r="AU209" s="416"/>
      <c r="AV209" s="416"/>
      <c r="AW209" s="416"/>
      <c r="AX209" s="416"/>
      <c r="AY209" s="416"/>
      <c r="AZ209" s="32"/>
    </row>
    <row r="210" spans="2:52">
      <c r="B210" s="1256">
        <v>9</v>
      </c>
      <c r="C210" s="1257"/>
      <c r="D210" s="411" t="s">
        <v>1229</v>
      </c>
      <c r="E210" s="411"/>
      <c r="F210" s="411" t="s">
        <v>1230</v>
      </c>
      <c r="G210" s="411" t="s">
        <v>1231</v>
      </c>
      <c r="H210" s="412">
        <v>7440.9759999999997</v>
      </c>
      <c r="I210" s="413" t="s">
        <v>240</v>
      </c>
      <c r="J210" s="414">
        <v>45031.6875</v>
      </c>
      <c r="K210" s="414"/>
      <c r="L210" s="414" t="s">
        <v>192</v>
      </c>
      <c r="M210" s="414" t="s">
        <v>192</v>
      </c>
      <c r="N210" s="413" t="str">
        <f t="shared" si="13"/>
        <v>DELAY ( 3 day 10 hour 0 minute )</v>
      </c>
      <c r="O210" s="51"/>
      <c r="P210" s="415" t="s">
        <v>551</v>
      </c>
      <c r="Q210" s="415" t="s">
        <v>551</v>
      </c>
      <c r="R210" s="415" t="s">
        <v>551</v>
      </c>
      <c r="S210" s="32"/>
      <c r="T210" s="416"/>
      <c r="U210" s="416"/>
      <c r="V210" s="416"/>
      <c r="W210" s="416"/>
      <c r="X210" s="416"/>
      <c r="Y210" s="416"/>
      <c r="Z210" s="416"/>
      <c r="AA210" s="416"/>
      <c r="AB210" s="416"/>
      <c r="AC210" s="416">
        <f>H210</f>
        <v>7440.9759999999997</v>
      </c>
      <c r="AD210" s="416"/>
      <c r="AE210" s="416"/>
      <c r="AF210" s="416"/>
      <c r="AG210" s="416"/>
      <c r="AH210" s="416"/>
      <c r="AI210" s="416"/>
      <c r="AJ210" s="416"/>
      <c r="AK210" s="416"/>
      <c r="AL210" s="416"/>
      <c r="AM210" s="416"/>
      <c r="AN210" s="416"/>
      <c r="AO210" s="416"/>
      <c r="AP210" s="416"/>
      <c r="AQ210" s="416"/>
      <c r="AR210" s="416"/>
      <c r="AS210" s="416"/>
      <c r="AT210" s="416"/>
      <c r="AU210" s="416"/>
      <c r="AV210" s="416"/>
      <c r="AW210" s="416"/>
      <c r="AX210" s="416"/>
      <c r="AY210" s="416"/>
      <c r="AZ210" s="32"/>
    </row>
    <row r="211" spans="2:52">
      <c r="B211" s="1256" t="s">
        <v>610</v>
      </c>
      <c r="C211" s="1276"/>
      <c r="D211" s="1276"/>
      <c r="E211" s="1276"/>
      <c r="F211" s="1276"/>
      <c r="G211" s="1257"/>
      <c r="H211" s="412">
        <f>H213-SUM(H202:H210)</f>
        <v>5246.9539999999906</v>
      </c>
      <c r="I211" s="413" t="s">
        <v>1164</v>
      </c>
      <c r="J211" s="414"/>
      <c r="K211" s="414"/>
      <c r="L211" s="414"/>
      <c r="M211" s="414"/>
      <c r="N211" s="413" t="str">
        <f t="shared" si="13"/>
        <v xml:space="preserve"> </v>
      </c>
      <c r="O211" s="51"/>
      <c r="P211" s="415" t="s">
        <v>551</v>
      </c>
      <c r="Q211" s="415"/>
      <c r="R211" s="415"/>
      <c r="S211" s="32"/>
      <c r="T211" s="416"/>
      <c r="U211" s="416"/>
      <c r="V211" s="416"/>
      <c r="W211" s="416"/>
      <c r="X211" s="416">
        <f>H211</f>
        <v>5246.9539999999906</v>
      </c>
      <c r="Y211" s="416"/>
      <c r="Z211" s="416"/>
      <c r="AA211" s="416"/>
      <c r="AB211" s="416"/>
      <c r="AC211" s="416"/>
      <c r="AD211" s="416"/>
      <c r="AE211" s="416"/>
      <c r="AF211" s="416"/>
      <c r="AG211" s="416"/>
      <c r="AH211" s="416"/>
      <c r="AI211" s="416"/>
      <c r="AJ211" s="416"/>
      <c r="AK211" s="416"/>
      <c r="AL211" s="416"/>
      <c r="AM211" s="416"/>
      <c r="AN211" s="416"/>
      <c r="AO211" s="416"/>
      <c r="AP211" s="416"/>
      <c r="AQ211" s="416"/>
      <c r="AR211" s="416"/>
      <c r="AS211" s="416"/>
      <c r="AT211" s="416"/>
      <c r="AU211" s="416"/>
      <c r="AV211" s="416"/>
      <c r="AW211" s="416"/>
      <c r="AX211" s="416"/>
      <c r="AY211" s="416"/>
      <c r="AZ211" s="32"/>
    </row>
    <row r="212" spans="2:52">
      <c r="B212" s="1258" t="s">
        <v>556</v>
      </c>
      <c r="C212" s="1259"/>
      <c r="D212" s="1259"/>
      <c r="E212" s="1259"/>
      <c r="F212" s="1259"/>
      <c r="G212" s="1260"/>
      <c r="H212" s="417">
        <f>SUM(H202:H211)</f>
        <v>69878</v>
      </c>
      <c r="I212" s="388"/>
      <c r="J212" s="293"/>
      <c r="K212" s="293"/>
      <c r="L212" s="293"/>
      <c r="M212" s="389"/>
      <c r="N212" s="413" t="str">
        <f t="shared" si="13"/>
        <v xml:space="preserve"> </v>
      </c>
      <c r="O212" s="47"/>
      <c r="P212" s="418"/>
      <c r="Q212" s="418"/>
      <c r="R212" s="418"/>
      <c r="S212" s="32"/>
      <c r="T212" s="1262"/>
      <c r="U212" s="1263"/>
      <c r="V212" s="1263"/>
      <c r="W212" s="1263"/>
      <c r="X212" s="1263"/>
      <c r="Y212" s="1263"/>
      <c r="Z212" s="1263"/>
      <c r="AA212" s="1263"/>
      <c r="AB212" s="1263"/>
      <c r="AC212" s="1263"/>
      <c r="AD212" s="1263"/>
      <c r="AE212" s="1263"/>
      <c r="AF212" s="1263"/>
      <c r="AG212" s="1263"/>
      <c r="AH212" s="1263"/>
      <c r="AI212" s="1263"/>
      <c r="AJ212" s="1263"/>
      <c r="AK212" s="1263"/>
      <c r="AL212" s="1263"/>
      <c r="AM212" s="1263"/>
      <c r="AN212" s="1263"/>
      <c r="AO212" s="1263"/>
      <c r="AP212" s="1263"/>
      <c r="AQ212" s="1263"/>
      <c r="AR212" s="1263"/>
      <c r="AS212" s="1263"/>
      <c r="AT212" s="1263"/>
      <c r="AU212" s="1263"/>
      <c r="AV212" s="1263"/>
      <c r="AW212" s="1263"/>
      <c r="AX212" s="1263"/>
      <c r="AY212" s="1264"/>
    </row>
    <row r="213" spans="2:52">
      <c r="B213" s="1243" t="s">
        <v>557</v>
      </c>
      <c r="C213" s="1244"/>
      <c r="D213" s="1244"/>
      <c r="E213" s="1244"/>
      <c r="F213" s="1244"/>
      <c r="G213" s="1245"/>
      <c r="H213" s="419">
        <v>69878</v>
      </c>
      <c r="I213" s="1246"/>
      <c r="J213" s="1247"/>
      <c r="K213" s="1247"/>
      <c r="L213" s="1247"/>
      <c r="M213" s="1248"/>
      <c r="N213" s="413" t="str">
        <f t="shared" si="13"/>
        <v xml:space="preserve"> </v>
      </c>
      <c r="O213" s="32"/>
      <c r="P213" s="415"/>
      <c r="Q213" s="415"/>
      <c r="R213" s="415"/>
      <c r="S213" s="63"/>
      <c r="T213" s="416">
        <f t="shared" ref="T213:AY213" si="14">SUM(T202:T211)</f>
        <v>0</v>
      </c>
      <c r="U213" s="416">
        <f t="shared" si="14"/>
        <v>0</v>
      </c>
      <c r="V213" s="416">
        <f t="shared" si="14"/>
        <v>0</v>
      </c>
      <c r="W213" s="416">
        <f t="shared" si="14"/>
        <v>0</v>
      </c>
      <c r="X213" s="416">
        <f t="shared" si="14"/>
        <v>5246.9539999999906</v>
      </c>
      <c r="Y213" s="416">
        <f t="shared" si="14"/>
        <v>0</v>
      </c>
      <c r="Z213" s="416">
        <f t="shared" si="14"/>
        <v>0</v>
      </c>
      <c r="AA213" s="416">
        <f t="shared" si="14"/>
        <v>0</v>
      </c>
      <c r="AB213" s="416">
        <f t="shared" si="14"/>
        <v>14813.362000000001</v>
      </c>
      <c r="AC213" s="416">
        <f t="shared" si="14"/>
        <v>44706.684000000001</v>
      </c>
      <c r="AD213" s="416">
        <f t="shared" si="14"/>
        <v>0</v>
      </c>
      <c r="AE213" s="416">
        <f t="shared" si="14"/>
        <v>0</v>
      </c>
      <c r="AF213" s="416">
        <f t="shared" si="14"/>
        <v>0</v>
      </c>
      <c r="AG213" s="416">
        <f t="shared" si="14"/>
        <v>0</v>
      </c>
      <c r="AH213" s="416">
        <f t="shared" si="14"/>
        <v>0</v>
      </c>
      <c r="AI213" s="416">
        <f t="shared" si="14"/>
        <v>0</v>
      </c>
      <c r="AJ213" s="416">
        <f t="shared" si="14"/>
        <v>0</v>
      </c>
      <c r="AK213" s="416">
        <f t="shared" si="14"/>
        <v>0</v>
      </c>
      <c r="AL213" s="416">
        <f t="shared" si="14"/>
        <v>0</v>
      </c>
      <c r="AM213" s="416">
        <f t="shared" si="14"/>
        <v>0</v>
      </c>
      <c r="AN213" s="416">
        <f t="shared" si="14"/>
        <v>0</v>
      </c>
      <c r="AO213" s="416">
        <f t="shared" si="14"/>
        <v>0</v>
      </c>
      <c r="AP213" s="416">
        <f t="shared" si="14"/>
        <v>0</v>
      </c>
      <c r="AQ213" s="416">
        <f t="shared" si="14"/>
        <v>0</v>
      </c>
      <c r="AR213" s="416">
        <f t="shared" si="14"/>
        <v>5111</v>
      </c>
      <c r="AS213" s="416">
        <f t="shared" si="14"/>
        <v>0</v>
      </c>
      <c r="AT213" s="416">
        <f t="shared" si="14"/>
        <v>0</v>
      </c>
      <c r="AU213" s="416">
        <f t="shared" si="14"/>
        <v>0</v>
      </c>
      <c r="AV213" s="416">
        <f t="shared" si="14"/>
        <v>0</v>
      </c>
      <c r="AW213" s="416">
        <f t="shared" si="14"/>
        <v>0</v>
      </c>
      <c r="AX213" s="416">
        <f t="shared" si="14"/>
        <v>0</v>
      </c>
      <c r="AY213" s="416">
        <f t="shared" si="14"/>
        <v>0</v>
      </c>
      <c r="AZ213" s="416">
        <f>SUM(T213:AY213)</f>
        <v>69878</v>
      </c>
    </row>
    <row r="214" spans="2:52">
      <c r="B214" s="1243" t="s">
        <v>558</v>
      </c>
      <c r="C214" s="1244"/>
      <c r="D214" s="1244"/>
      <c r="E214" s="1244"/>
      <c r="F214" s="1244"/>
      <c r="G214" s="1245"/>
      <c r="H214" s="420">
        <f>H213-L196</f>
        <v>0</v>
      </c>
      <c r="I214" s="294"/>
      <c r="J214" s="295"/>
      <c r="K214" s="295"/>
      <c r="L214" s="296"/>
      <c r="M214" s="32"/>
      <c r="N214" s="32"/>
      <c r="O214" s="32"/>
      <c r="P214" s="32"/>
      <c r="Q214" s="297"/>
      <c r="R214" s="297"/>
      <c r="S214" s="32"/>
      <c r="T214" s="48"/>
      <c r="U214" s="48"/>
      <c r="V214" s="48"/>
      <c r="W214" s="48"/>
      <c r="X214" s="48"/>
      <c r="Y214" s="48"/>
      <c r="Z214" s="48"/>
      <c r="AA214" s="48"/>
      <c r="AB214" s="48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</row>
    <row r="215" spans="2:52">
      <c r="B215" s="1243" t="s">
        <v>559</v>
      </c>
      <c r="C215" s="1244"/>
      <c r="D215" s="1244"/>
      <c r="E215" s="1244"/>
      <c r="F215" s="1244"/>
      <c r="G215" s="1245"/>
      <c r="H215" s="420">
        <f>H212-H213</f>
        <v>0</v>
      </c>
      <c r="I215" s="52"/>
      <c r="J215" s="53"/>
      <c r="K215" s="53"/>
      <c r="L215" s="54"/>
      <c r="M215" s="32"/>
      <c r="N215" s="32"/>
      <c r="O215" s="32"/>
      <c r="P215" s="32"/>
      <c r="Q215" s="32"/>
      <c r="R215" s="32"/>
      <c r="S215" s="32"/>
      <c r="T215" s="48"/>
      <c r="U215" s="48"/>
      <c r="V215" s="48"/>
      <c r="W215" s="48"/>
      <c r="X215" s="48"/>
      <c r="Y215" s="48"/>
      <c r="Z215" s="48"/>
      <c r="AA215" s="48"/>
      <c r="AB215" s="48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</row>
    <row r="216" spans="2:52">
      <c r="B216" s="32"/>
      <c r="C216" s="32"/>
      <c r="D216" s="32"/>
      <c r="E216" s="32"/>
      <c r="F216" s="32"/>
      <c r="G216" s="32"/>
      <c r="H216" s="32"/>
      <c r="I216" s="57"/>
      <c r="J216" s="52"/>
      <c r="K216" s="52"/>
      <c r="L216" s="55"/>
      <c r="M216" s="32"/>
      <c r="N216" s="32"/>
      <c r="O216" s="52"/>
      <c r="P216" s="32"/>
      <c r="Q216" s="32"/>
      <c r="R216" s="32"/>
      <c r="S216" s="32"/>
      <c r="T216" s="48"/>
      <c r="U216" s="48"/>
      <c r="V216" s="48"/>
      <c r="W216" s="48"/>
      <c r="X216" s="48"/>
      <c r="Y216" s="48"/>
      <c r="Z216" s="48"/>
      <c r="AA216" s="48"/>
      <c r="AB216" s="48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</row>
    <row r="217" spans="2:52">
      <c r="B217" s="40" t="s">
        <v>561</v>
      </c>
      <c r="C217" s="40"/>
      <c r="D217" s="32"/>
      <c r="E217" s="32"/>
      <c r="F217" s="32"/>
      <c r="G217" s="32"/>
      <c r="H217" s="32"/>
      <c r="I217" s="32"/>
      <c r="J217" s="52"/>
      <c r="K217" s="52"/>
      <c r="L217" s="55"/>
      <c r="M217" s="32"/>
      <c r="N217" s="32"/>
      <c r="O217" s="52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Z217" s="32"/>
    </row>
    <row r="218" spans="2:52">
      <c r="B218" s="422"/>
      <c r="C218" s="1249"/>
      <c r="D218" s="1249"/>
      <c r="E218" s="1249"/>
      <c r="F218" s="1249"/>
      <c r="G218" s="1249"/>
      <c r="H218" s="1249"/>
      <c r="I218" s="1249"/>
      <c r="J218" s="1249"/>
      <c r="K218" s="1249"/>
      <c r="L218" s="55"/>
      <c r="M218" s="32"/>
      <c r="N218" s="32"/>
      <c r="O218" s="52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Z218" s="32"/>
    </row>
    <row r="220" spans="2:52">
      <c r="B220" s="28" t="s">
        <v>126</v>
      </c>
      <c r="C220" s="28"/>
      <c r="D220" s="29"/>
      <c r="E220" s="30" t="s">
        <v>511</v>
      </c>
      <c r="F220" s="31" t="s">
        <v>1184</v>
      </c>
      <c r="G220" s="32"/>
      <c r="H220" s="33"/>
      <c r="I220" s="34"/>
      <c r="J220" s="35" t="s">
        <v>513</v>
      </c>
      <c r="K220" s="36" t="s">
        <v>511</v>
      </c>
      <c r="L220" s="37">
        <v>45032.625</v>
      </c>
      <c r="M220" s="32"/>
      <c r="N220" s="32"/>
      <c r="O220" s="206"/>
      <c r="P220" s="205"/>
      <c r="Q220" s="202"/>
      <c r="R220" s="204"/>
      <c r="S220" s="38"/>
      <c r="T220" s="201"/>
      <c r="U220" s="201"/>
      <c r="V220" s="201"/>
      <c r="W220" s="201"/>
      <c r="X220" s="201"/>
      <c r="Y220" s="201"/>
      <c r="Z220" s="201"/>
      <c r="AA220" s="201"/>
      <c r="AB220" s="202"/>
      <c r="AC220" s="202"/>
      <c r="AD220" s="202"/>
      <c r="AE220" s="202"/>
      <c r="AF220" s="202"/>
      <c r="AG220" s="201"/>
      <c r="AH220" s="201"/>
      <c r="AI220" s="201"/>
      <c r="AJ220" s="201"/>
      <c r="AK220" s="201"/>
      <c r="AL220" s="201"/>
      <c r="AM220" s="201"/>
      <c r="AN220" s="201"/>
      <c r="AO220" s="201"/>
      <c r="AP220" s="201"/>
      <c r="AQ220" s="201"/>
      <c r="AR220" s="201"/>
      <c r="AS220" s="201"/>
      <c r="AT220" s="201"/>
      <c r="AU220" s="201"/>
      <c r="AV220" s="201"/>
      <c r="AW220" s="201"/>
      <c r="AX220" s="201"/>
      <c r="AY220" s="201"/>
      <c r="AZ220" s="201"/>
    </row>
    <row r="221" spans="2:52">
      <c r="B221" s="35" t="s">
        <v>514</v>
      </c>
      <c r="C221" s="35"/>
      <c r="D221" s="32"/>
      <c r="E221" s="36" t="s">
        <v>511</v>
      </c>
      <c r="F221" s="37" t="s">
        <v>1421</v>
      </c>
      <c r="G221" s="32"/>
      <c r="H221" s="33"/>
      <c r="I221" s="34"/>
      <c r="J221" s="35" t="s">
        <v>516</v>
      </c>
      <c r="K221" s="36" t="s">
        <v>511</v>
      </c>
      <c r="L221" s="37">
        <v>45035.020833333336</v>
      </c>
      <c r="M221" s="32"/>
      <c r="N221" s="32"/>
      <c r="O221" s="206"/>
      <c r="P221" s="205"/>
      <c r="Q221" s="202"/>
      <c r="R221" s="204"/>
      <c r="S221" s="38"/>
      <c r="T221" s="201"/>
      <c r="U221" s="201"/>
      <c r="V221" s="201"/>
      <c r="W221" s="201"/>
      <c r="X221" s="201"/>
      <c r="Y221" s="201"/>
      <c r="Z221" s="201"/>
      <c r="AA221" s="201"/>
      <c r="AB221" s="202"/>
      <c r="AC221" s="202"/>
      <c r="AD221" s="202"/>
      <c r="AE221" s="202"/>
      <c r="AF221" s="202"/>
      <c r="AG221" s="201"/>
      <c r="AH221" s="201"/>
      <c r="AI221" s="201"/>
      <c r="AJ221" s="201"/>
      <c r="AK221" s="201"/>
      <c r="AL221" s="201"/>
      <c r="AM221" s="201"/>
      <c r="AN221" s="201"/>
      <c r="AO221" s="201"/>
      <c r="AP221" s="201"/>
      <c r="AQ221" s="201"/>
      <c r="AR221" s="201"/>
      <c r="AS221" s="201"/>
      <c r="AT221" s="201"/>
      <c r="AU221" s="201"/>
      <c r="AV221" s="201"/>
      <c r="AW221" s="201"/>
      <c r="AX221" s="201"/>
      <c r="AY221" s="201"/>
      <c r="AZ221" s="201"/>
    </row>
    <row r="222" spans="2:52">
      <c r="B222" s="35" t="s">
        <v>517</v>
      </c>
      <c r="C222" s="35"/>
      <c r="D222" s="32"/>
      <c r="E222" s="36" t="s">
        <v>511</v>
      </c>
      <c r="F222" s="37">
        <v>45026.107638888891</v>
      </c>
      <c r="G222" s="32"/>
      <c r="H222" s="33"/>
      <c r="I222" s="34"/>
      <c r="J222" s="35" t="s">
        <v>518</v>
      </c>
      <c r="K222" s="36" t="s">
        <v>511</v>
      </c>
      <c r="L222" s="50">
        <v>71238</v>
      </c>
      <c r="M222" s="40" t="s">
        <v>519</v>
      </c>
      <c r="N222" s="40"/>
      <c r="O222" s="206"/>
      <c r="P222" s="205"/>
      <c r="Q222" s="202"/>
      <c r="R222" s="204"/>
      <c r="S222" s="38"/>
      <c r="T222" s="201"/>
      <c r="U222" s="201"/>
      <c r="V222" s="201"/>
      <c r="W222" s="201"/>
      <c r="X222" s="201"/>
      <c r="Y222" s="201"/>
      <c r="Z222" s="201"/>
      <c r="AA222" s="201"/>
      <c r="AB222" s="202"/>
      <c r="AC222" s="202"/>
      <c r="AD222" s="202"/>
      <c r="AE222" s="202"/>
      <c r="AF222" s="202"/>
      <c r="AG222" s="201"/>
      <c r="AH222" s="201"/>
      <c r="AI222" s="201"/>
      <c r="AJ222" s="201"/>
      <c r="AK222" s="201"/>
      <c r="AL222" s="201"/>
      <c r="AM222" s="201"/>
      <c r="AN222" s="201"/>
      <c r="AO222" s="201"/>
      <c r="AP222" s="201"/>
      <c r="AQ222" s="201"/>
      <c r="AR222" s="201"/>
      <c r="AS222" s="201"/>
      <c r="AT222" s="201"/>
      <c r="AU222" s="201"/>
      <c r="AV222" s="201"/>
      <c r="AW222" s="201"/>
      <c r="AX222" s="201"/>
      <c r="AY222" s="201"/>
      <c r="AZ222" s="201"/>
    </row>
    <row r="223" spans="2:52">
      <c r="B223" s="35" t="s">
        <v>520</v>
      </c>
      <c r="C223" s="35"/>
      <c r="D223" s="32"/>
      <c r="E223" s="36" t="s">
        <v>511</v>
      </c>
      <c r="F223" s="37" t="s">
        <v>4</v>
      </c>
      <c r="G223" s="32"/>
      <c r="H223" s="33"/>
      <c r="I223" s="34"/>
      <c r="J223" s="35" t="s">
        <v>521</v>
      </c>
      <c r="K223" s="36" t="s">
        <v>511</v>
      </c>
      <c r="L223" s="41" t="s">
        <v>1422</v>
      </c>
      <c r="M223" s="32"/>
      <c r="N223" s="32"/>
      <c r="O223" s="206"/>
      <c r="P223" s="202"/>
      <c r="Q223" s="202"/>
      <c r="R223" s="204"/>
      <c r="S223" s="38"/>
      <c r="T223" s="201"/>
      <c r="U223" s="201"/>
      <c r="V223" s="201"/>
      <c r="W223" s="201"/>
      <c r="X223" s="201"/>
      <c r="Y223" s="201"/>
      <c r="Z223" s="201"/>
      <c r="AA223" s="201"/>
      <c r="AB223" s="202"/>
      <c r="AC223" s="202"/>
      <c r="AD223" s="202"/>
      <c r="AE223" s="202"/>
      <c r="AF223" s="202"/>
      <c r="AG223" s="201"/>
      <c r="AH223" s="201"/>
      <c r="AI223" s="201"/>
      <c r="AJ223" s="201"/>
      <c r="AK223" s="201"/>
      <c r="AL223" s="201"/>
      <c r="AM223" s="201"/>
      <c r="AN223" s="201"/>
      <c r="AO223" s="201"/>
      <c r="AP223" s="201"/>
      <c r="AQ223" s="201"/>
      <c r="AR223" s="201"/>
      <c r="AS223" s="201"/>
      <c r="AT223" s="201"/>
      <c r="AU223" s="201"/>
      <c r="AV223" s="201"/>
      <c r="AW223" s="201"/>
      <c r="AX223" s="201"/>
      <c r="AY223" s="201"/>
      <c r="AZ223" s="201"/>
    </row>
    <row r="224" spans="2:52">
      <c r="B224" s="35" t="s">
        <v>523</v>
      </c>
      <c r="C224" s="35"/>
      <c r="D224" s="32"/>
      <c r="E224" s="36" t="s">
        <v>511</v>
      </c>
      <c r="F224" s="37" t="s">
        <v>5</v>
      </c>
      <c r="G224" s="32"/>
      <c r="H224" s="33"/>
      <c r="I224" s="34"/>
      <c r="J224" s="42" t="s">
        <v>524</v>
      </c>
      <c r="K224" s="36" t="s">
        <v>511</v>
      </c>
      <c r="L224" s="43" t="s">
        <v>11</v>
      </c>
      <c r="M224" s="44"/>
      <c r="N224" s="44"/>
      <c r="O224" s="206"/>
      <c r="P224" s="205"/>
      <c r="Q224" s="202"/>
      <c r="R224" s="204"/>
      <c r="S224" s="38"/>
      <c r="T224" s="201"/>
      <c r="U224" s="201"/>
      <c r="V224" s="201"/>
      <c r="W224" s="201"/>
      <c r="X224" s="201"/>
      <c r="Y224" s="201"/>
      <c r="Z224" s="201"/>
      <c r="AA224" s="201"/>
      <c r="AB224" s="202"/>
      <c r="AC224" s="202"/>
      <c r="AD224" s="202"/>
      <c r="AE224" s="202"/>
      <c r="AF224" s="202"/>
      <c r="AG224" s="201"/>
      <c r="AH224" s="201"/>
      <c r="AI224" s="201"/>
      <c r="AJ224" s="201"/>
      <c r="AK224" s="201"/>
      <c r="AL224" s="201"/>
      <c r="AM224" s="201"/>
      <c r="AN224" s="201"/>
      <c r="AO224" s="201"/>
      <c r="AP224" s="201"/>
      <c r="AQ224" s="201"/>
      <c r="AR224" s="201"/>
      <c r="AS224" s="201"/>
      <c r="AT224" s="201"/>
      <c r="AU224" s="201"/>
      <c r="AV224" s="201"/>
      <c r="AW224" s="201"/>
      <c r="AX224" s="201"/>
      <c r="AY224" s="201"/>
      <c r="AZ224" s="201"/>
    </row>
    <row r="225" spans="2:52">
      <c r="B225" s="35" t="s">
        <v>2</v>
      </c>
      <c r="C225" s="35"/>
      <c r="D225" s="32"/>
      <c r="E225" s="36" t="s">
        <v>511</v>
      </c>
      <c r="F225" s="37" t="s">
        <v>14</v>
      </c>
      <c r="G225" s="32"/>
      <c r="H225" s="33"/>
      <c r="I225" s="45"/>
      <c r="J225" s="42"/>
      <c r="K225" s="36"/>
      <c r="L225" s="211"/>
      <c r="M225" s="201"/>
      <c r="N225" s="201"/>
      <c r="O225" s="42"/>
      <c r="P225" s="44"/>
      <c r="Q225" s="44"/>
      <c r="R225" s="44"/>
      <c r="S225" s="34"/>
      <c r="T225" s="201"/>
      <c r="U225" s="201"/>
      <c r="V225" s="201"/>
      <c r="W225" s="201"/>
      <c r="X225" s="201"/>
      <c r="Y225" s="201"/>
      <c r="Z225" s="201"/>
      <c r="AA225" s="201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201"/>
      <c r="AP225" s="201"/>
      <c r="AQ225" s="201"/>
      <c r="AR225" s="201"/>
      <c r="AS225" s="201"/>
      <c r="AT225" s="201"/>
      <c r="AU225" s="201"/>
      <c r="AV225" s="201"/>
      <c r="AW225" s="201"/>
      <c r="AX225" s="201"/>
      <c r="AY225" s="201"/>
      <c r="AZ225" s="201"/>
    </row>
    <row r="226" spans="2:52">
      <c r="B226" s="201"/>
      <c r="C226" s="201"/>
      <c r="D226" s="201"/>
      <c r="E226" s="201"/>
      <c r="F226" s="201"/>
      <c r="G226" s="201"/>
      <c r="H226" s="201"/>
      <c r="I226" s="45"/>
      <c r="J226" s="42"/>
      <c r="K226" s="42"/>
      <c r="L226" s="43"/>
      <c r="M226" s="44"/>
      <c r="N226" s="44"/>
      <c r="O226" s="42"/>
      <c r="P226" s="44"/>
      <c r="Q226" s="44"/>
      <c r="R226" s="44"/>
      <c r="S226" s="34"/>
      <c r="T226" s="1265" t="s">
        <v>87</v>
      </c>
      <c r="U226" s="1265"/>
      <c r="V226" s="1265"/>
      <c r="W226" s="1265"/>
      <c r="X226" s="1265"/>
      <c r="Y226" s="1265" t="s">
        <v>73</v>
      </c>
      <c r="Z226" s="1265"/>
      <c r="AA226" s="1265"/>
      <c r="AB226" s="1265" t="s">
        <v>74</v>
      </c>
      <c r="AC226" s="1265"/>
      <c r="AD226" s="423" t="s">
        <v>85</v>
      </c>
      <c r="AE226" s="423" t="s">
        <v>77</v>
      </c>
      <c r="AF226" s="1265" t="s">
        <v>525</v>
      </c>
      <c r="AG226" s="1265"/>
      <c r="AH226" s="1265"/>
      <c r="AI226" s="1265"/>
      <c r="AJ226" s="1265"/>
      <c r="AK226" s="1265"/>
      <c r="AL226" s="1265"/>
      <c r="AM226" s="1265"/>
      <c r="AN226" s="1265"/>
      <c r="AO226" s="1265"/>
      <c r="AP226" s="1265"/>
      <c r="AQ226" s="1265"/>
      <c r="AR226" s="1265"/>
      <c r="AS226" s="1265"/>
      <c r="AT226" s="1265"/>
      <c r="AU226" s="1265"/>
      <c r="AV226" s="1265"/>
      <c r="AW226" s="1265"/>
      <c r="AX226" s="1265"/>
      <c r="AY226" s="1265"/>
      <c r="AZ226" s="201"/>
    </row>
    <row r="227" spans="2:52">
      <c r="B227" s="1266" t="s">
        <v>526</v>
      </c>
      <c r="C227" s="1267"/>
      <c r="D227" s="570" t="s">
        <v>527</v>
      </c>
      <c r="E227" s="570"/>
      <c r="F227" s="570" t="s">
        <v>528</v>
      </c>
      <c r="G227" s="570" t="s">
        <v>529</v>
      </c>
      <c r="H227" s="570" t="s">
        <v>530</v>
      </c>
      <c r="I227" s="570" t="s">
        <v>531</v>
      </c>
      <c r="J227" s="570" t="s">
        <v>532</v>
      </c>
      <c r="K227" s="570"/>
      <c r="L227" s="570" t="s">
        <v>130</v>
      </c>
      <c r="M227" s="570" t="s">
        <v>533</v>
      </c>
      <c r="N227" s="408" t="str">
        <f>"On time - "&amp;COUNTIF(N228:N248,"On time")&amp;" from "&amp;ROWS(N228:N248)-COUNTIF(N228:N248," ")</f>
        <v>On time - 0 from 10</v>
      </c>
      <c r="O227" s="46"/>
      <c r="P227" s="409" t="s">
        <v>534</v>
      </c>
      <c r="Q227" s="409" t="s">
        <v>535</v>
      </c>
      <c r="R227" s="409" t="s">
        <v>536</v>
      </c>
      <c r="S227" s="32"/>
      <c r="T227" s="424" t="s">
        <v>537</v>
      </c>
      <c r="U227" s="424" t="s">
        <v>538</v>
      </c>
      <c r="V227" s="424" t="s">
        <v>539</v>
      </c>
      <c r="W227" s="424" t="s">
        <v>540</v>
      </c>
      <c r="X227" s="424" t="s">
        <v>541</v>
      </c>
      <c r="Y227" s="424" t="s">
        <v>167</v>
      </c>
      <c r="Z227" s="424" t="s">
        <v>168</v>
      </c>
      <c r="AA227" s="424" t="s">
        <v>169</v>
      </c>
      <c r="AB227" s="424" t="s">
        <v>235</v>
      </c>
      <c r="AC227" s="424" t="s">
        <v>240</v>
      </c>
      <c r="AD227" s="423" t="s">
        <v>85</v>
      </c>
      <c r="AE227" s="424" t="s">
        <v>139</v>
      </c>
      <c r="AF227" s="424" t="s">
        <v>72</v>
      </c>
      <c r="AG227" s="424" t="s">
        <v>88</v>
      </c>
      <c r="AH227" s="424" t="s">
        <v>75</v>
      </c>
      <c r="AI227" s="424" t="s">
        <v>543</v>
      </c>
      <c r="AJ227" s="424" t="s">
        <v>78</v>
      </c>
      <c r="AK227" s="424" t="s">
        <v>76</v>
      </c>
      <c r="AL227" s="424" t="s">
        <v>544</v>
      </c>
      <c r="AM227" s="424" t="s">
        <v>545</v>
      </c>
      <c r="AN227" s="424" t="s">
        <v>86</v>
      </c>
      <c r="AO227" s="424" t="s">
        <v>83</v>
      </c>
      <c r="AP227" s="424" t="s">
        <v>84</v>
      </c>
      <c r="AQ227" s="424" t="s">
        <v>546</v>
      </c>
      <c r="AR227" s="424" t="s">
        <v>81</v>
      </c>
      <c r="AS227" s="424" t="s">
        <v>80</v>
      </c>
      <c r="AT227" s="424" t="s">
        <v>82</v>
      </c>
      <c r="AU227" s="424" t="s">
        <v>181</v>
      </c>
      <c r="AV227" s="424" t="s">
        <v>183</v>
      </c>
      <c r="AW227" s="424" t="s">
        <v>547</v>
      </c>
      <c r="AX227" s="424" t="s">
        <v>182</v>
      </c>
      <c r="AY227" s="424" t="s">
        <v>172</v>
      </c>
      <c r="AZ227" s="201"/>
    </row>
    <row r="228" spans="2:52">
      <c r="B228" s="1256" t="s">
        <v>616</v>
      </c>
      <c r="C228" s="1257"/>
      <c r="D228" s="411" t="s">
        <v>1185</v>
      </c>
      <c r="E228" s="411"/>
      <c r="F228" s="411" t="s">
        <v>686</v>
      </c>
      <c r="G228" s="411" t="s">
        <v>1186</v>
      </c>
      <c r="H228" s="412">
        <v>7500</v>
      </c>
      <c r="I228" s="413" t="s">
        <v>78</v>
      </c>
      <c r="J228" s="414">
        <v>45031.583333333336</v>
      </c>
      <c r="K228" s="414"/>
      <c r="L228" s="414" t="s">
        <v>192</v>
      </c>
      <c r="M228" s="414" t="s">
        <v>192</v>
      </c>
      <c r="N228" s="413" t="str">
        <f>IF(ISBLANK(J228)," ",IF(J228&lt;$F$222,"On time",(IF(DAY(J228-$F$222)&lt;1,"On time",(IF(J228&gt;$F$222,"DELAY ( "&amp;DAY(J228-$F$222)&amp;" day "&amp;HOUR(J228-$F$222)&amp;" hour "&amp;MINUTE(J228-$F$222)&amp;" minute )","xxx"))))))</f>
        <v>DELAY ( 5 day 11 hour 25 minute )</v>
      </c>
      <c r="O228" s="51"/>
      <c r="P228" s="415" t="s">
        <v>551</v>
      </c>
      <c r="Q228" s="415" t="s">
        <v>551</v>
      </c>
      <c r="R228" s="415" t="s">
        <v>551</v>
      </c>
      <c r="S228" s="32"/>
      <c r="T228" s="416"/>
      <c r="U228" s="416"/>
      <c r="V228" s="416"/>
      <c r="W228" s="416"/>
      <c r="X228" s="416"/>
      <c r="Y228" s="416"/>
      <c r="Z228" s="416"/>
      <c r="AA228" s="416"/>
      <c r="AB228" s="416"/>
      <c r="AC228" s="416"/>
      <c r="AD228" s="416"/>
      <c r="AE228" s="416"/>
      <c r="AF228" s="416"/>
      <c r="AG228" s="416"/>
      <c r="AH228" s="416"/>
      <c r="AI228" s="416"/>
      <c r="AJ228" s="416">
        <f>H228</f>
        <v>7500</v>
      </c>
      <c r="AK228" s="416"/>
      <c r="AL228" s="416"/>
      <c r="AM228" s="416"/>
      <c r="AN228" s="416"/>
      <c r="AO228" s="416"/>
      <c r="AP228" s="416"/>
      <c r="AQ228" s="416"/>
      <c r="AR228" s="416"/>
      <c r="AS228" s="416"/>
      <c r="AT228" s="416"/>
      <c r="AU228" s="416"/>
      <c r="AV228" s="416"/>
      <c r="AW228" s="416"/>
      <c r="AX228" s="416"/>
      <c r="AY228" s="416"/>
      <c r="AZ228" s="32"/>
    </row>
    <row r="229" spans="2:52">
      <c r="B229" s="1256" t="s">
        <v>616</v>
      </c>
      <c r="C229" s="1257"/>
      <c r="D229" s="411" t="s">
        <v>1188</v>
      </c>
      <c r="E229" s="411"/>
      <c r="F229" s="411" t="s">
        <v>201</v>
      </c>
      <c r="G229" s="411" t="s">
        <v>202</v>
      </c>
      <c r="H229" s="412">
        <v>7500</v>
      </c>
      <c r="I229" s="413" t="s">
        <v>78</v>
      </c>
      <c r="J229" s="414">
        <v>45031.854166666664</v>
      </c>
      <c r="K229" s="414"/>
      <c r="L229" s="414" t="s">
        <v>192</v>
      </c>
      <c r="M229" s="414" t="s">
        <v>192</v>
      </c>
      <c r="N229" s="413" t="str">
        <f t="shared" ref="N229:N251" si="15">IF(ISBLANK(J229)," ",IF(J229&lt;$F$222,"On time",(IF(DAY(J229-$F$222)&lt;1,"On time",(IF(J229&gt;$F$222,"DELAY ( "&amp;DAY(J229-$F$222)&amp;" day "&amp;HOUR(J229-$F$222)&amp;" hour "&amp;MINUTE(J229-$F$222)&amp;" minute )","xxx"))))))</f>
        <v>DELAY ( 5 day 17 hour 55 minute )</v>
      </c>
      <c r="O229" s="51"/>
      <c r="P229" s="415" t="s">
        <v>551</v>
      </c>
      <c r="Q229" s="415" t="s">
        <v>551</v>
      </c>
      <c r="R229" s="415" t="s">
        <v>551</v>
      </c>
      <c r="S229" s="32"/>
      <c r="T229" s="416"/>
      <c r="U229" s="416"/>
      <c r="V229" s="416"/>
      <c r="W229" s="416"/>
      <c r="X229" s="416"/>
      <c r="Y229" s="416"/>
      <c r="Z229" s="416"/>
      <c r="AA229" s="416"/>
      <c r="AB229" s="416"/>
      <c r="AC229" s="416"/>
      <c r="AD229" s="416"/>
      <c r="AE229" s="416"/>
      <c r="AF229" s="416"/>
      <c r="AG229" s="416"/>
      <c r="AH229" s="416"/>
      <c r="AI229" s="416"/>
      <c r="AJ229" s="416">
        <f>H229</f>
        <v>7500</v>
      </c>
      <c r="AK229" s="416"/>
      <c r="AL229" s="416"/>
      <c r="AM229" s="416"/>
      <c r="AN229" s="416"/>
      <c r="AO229" s="416"/>
      <c r="AP229" s="416"/>
      <c r="AQ229" s="416"/>
      <c r="AR229" s="416"/>
      <c r="AS229" s="416"/>
      <c r="AT229" s="416"/>
      <c r="AU229" s="416"/>
      <c r="AV229" s="416"/>
      <c r="AW229" s="416"/>
      <c r="AX229" s="416"/>
      <c r="AY229" s="416"/>
      <c r="AZ229" s="32"/>
    </row>
    <row r="230" spans="2:52">
      <c r="B230" s="1258" t="s">
        <v>618</v>
      </c>
      <c r="C230" s="1259"/>
      <c r="D230" s="1259"/>
      <c r="E230" s="1259"/>
      <c r="F230" s="1259"/>
      <c r="G230" s="1260"/>
      <c r="H230" s="417">
        <f>SUM(H228:H229)</f>
        <v>15000</v>
      </c>
      <c r="I230" s="388"/>
      <c r="J230" s="293"/>
      <c r="K230" s="293"/>
      <c r="L230" s="293"/>
      <c r="M230" s="389"/>
      <c r="N230" s="413" t="str">
        <f t="shared" si="15"/>
        <v xml:space="preserve"> </v>
      </c>
      <c r="O230" s="47"/>
      <c r="P230" s="418"/>
      <c r="Q230" s="418"/>
      <c r="R230" s="418"/>
      <c r="S230" s="32"/>
      <c r="T230" s="416"/>
      <c r="U230" s="416"/>
      <c r="V230" s="416"/>
      <c r="W230" s="416"/>
      <c r="X230" s="416"/>
      <c r="Y230" s="416"/>
      <c r="Z230" s="416"/>
      <c r="AA230" s="416"/>
      <c r="AB230" s="416"/>
      <c r="AC230" s="416"/>
      <c r="AD230" s="416"/>
      <c r="AE230" s="416"/>
      <c r="AF230" s="416"/>
      <c r="AG230" s="416"/>
      <c r="AH230" s="416"/>
      <c r="AI230" s="416"/>
      <c r="AJ230" s="416"/>
      <c r="AK230" s="416"/>
      <c r="AL230" s="416"/>
      <c r="AM230" s="416"/>
      <c r="AN230" s="416"/>
      <c r="AO230" s="416"/>
      <c r="AP230" s="416"/>
      <c r="AQ230" s="416"/>
      <c r="AR230" s="416"/>
      <c r="AS230" s="416"/>
      <c r="AT230" s="416"/>
      <c r="AU230" s="416"/>
      <c r="AV230" s="416"/>
      <c r="AW230" s="416"/>
      <c r="AX230" s="416"/>
      <c r="AY230" s="416"/>
    </row>
    <row r="231" spans="2:52">
      <c r="B231" s="1250" t="s">
        <v>619</v>
      </c>
      <c r="C231" s="1251"/>
      <c r="D231" s="411" t="s">
        <v>1371</v>
      </c>
      <c r="E231" s="411"/>
      <c r="F231" s="411" t="s">
        <v>422</v>
      </c>
      <c r="G231" s="411" t="s">
        <v>275</v>
      </c>
      <c r="H231" s="412">
        <v>7810.518</v>
      </c>
      <c r="I231" s="413" t="s">
        <v>1372</v>
      </c>
      <c r="J231" s="414">
        <v>45028.479166666664</v>
      </c>
      <c r="K231" s="414"/>
      <c r="L231" s="414" t="s">
        <v>192</v>
      </c>
      <c r="M231" s="414" t="s">
        <v>192</v>
      </c>
      <c r="N231" s="413" t="str">
        <f t="shared" si="15"/>
        <v>DELAY ( 2 day 8 hour 55 minute )</v>
      </c>
      <c r="O231" s="51"/>
      <c r="P231" s="415" t="s">
        <v>551</v>
      </c>
      <c r="Q231" s="415" t="s">
        <v>551</v>
      </c>
      <c r="R231" s="415" t="s">
        <v>551</v>
      </c>
      <c r="S231" s="32"/>
      <c r="T231" s="416"/>
      <c r="U231" s="416"/>
      <c r="V231" s="416"/>
      <c r="W231" s="416"/>
      <c r="X231" s="416"/>
      <c r="Y231" s="416">
        <f>H231*0.65</f>
        <v>5076.8366999999998</v>
      </c>
      <c r="Z231" s="416">
        <f>H231*0.35</f>
        <v>2733.6812999999997</v>
      </c>
      <c r="AA231" s="416"/>
      <c r="AB231" s="416"/>
      <c r="AC231" s="416"/>
      <c r="AD231" s="416"/>
      <c r="AE231" s="416"/>
      <c r="AF231" s="416"/>
      <c r="AG231" s="416"/>
      <c r="AH231" s="416"/>
      <c r="AI231" s="416"/>
      <c r="AJ231" s="416"/>
      <c r="AK231" s="416"/>
      <c r="AL231" s="416"/>
      <c r="AM231" s="416"/>
      <c r="AN231" s="416"/>
      <c r="AO231" s="416"/>
      <c r="AP231" s="416"/>
      <c r="AQ231" s="416"/>
      <c r="AR231" s="416"/>
      <c r="AS231" s="416"/>
      <c r="AT231" s="416"/>
      <c r="AU231" s="416"/>
      <c r="AV231" s="416"/>
      <c r="AW231" s="416"/>
      <c r="AX231" s="416"/>
      <c r="AY231" s="416"/>
      <c r="AZ231" s="32"/>
    </row>
    <row r="232" spans="2:52">
      <c r="B232" s="1254"/>
      <c r="C232" s="1255"/>
      <c r="D232" s="411"/>
      <c r="E232" s="411"/>
      <c r="F232" s="1256" t="s">
        <v>616</v>
      </c>
      <c r="G232" s="1257"/>
      <c r="H232" s="412">
        <v>3500</v>
      </c>
      <c r="I232" s="413"/>
      <c r="J232" s="414"/>
      <c r="K232" s="414"/>
      <c r="L232" s="414"/>
      <c r="M232" s="414"/>
      <c r="N232" s="413" t="str">
        <f t="shared" si="15"/>
        <v xml:space="preserve"> </v>
      </c>
      <c r="O232" s="51"/>
      <c r="P232" s="415"/>
      <c r="Q232" s="415"/>
      <c r="R232" s="415"/>
      <c r="S232" s="32"/>
      <c r="T232" s="416"/>
      <c r="U232" s="416"/>
      <c r="V232" s="416"/>
      <c r="W232" s="416"/>
      <c r="X232" s="416"/>
      <c r="Y232" s="416"/>
      <c r="Z232" s="416"/>
      <c r="AA232" s="416"/>
      <c r="AB232" s="416"/>
      <c r="AC232" s="416"/>
      <c r="AD232" s="416"/>
      <c r="AE232" s="416"/>
      <c r="AF232" s="416"/>
      <c r="AG232" s="416"/>
      <c r="AH232" s="416"/>
      <c r="AI232" s="416"/>
      <c r="AJ232" s="416"/>
      <c r="AK232" s="416"/>
      <c r="AL232" s="416"/>
      <c r="AM232" s="416"/>
      <c r="AN232" s="416"/>
      <c r="AO232" s="416"/>
      <c r="AP232" s="416"/>
      <c r="AQ232" s="416"/>
      <c r="AR232" s="416"/>
      <c r="AS232" s="416"/>
      <c r="AT232" s="416"/>
      <c r="AU232" s="416"/>
      <c r="AV232" s="416"/>
      <c r="AW232" s="416"/>
      <c r="AX232" s="416"/>
      <c r="AY232" s="416"/>
      <c r="AZ232" s="32"/>
    </row>
    <row r="233" spans="2:52">
      <c r="B233" s="1250" t="s">
        <v>621</v>
      </c>
      <c r="C233" s="1251"/>
      <c r="D233" s="411" t="s">
        <v>1374</v>
      </c>
      <c r="E233" s="411"/>
      <c r="F233" s="411" t="s">
        <v>213</v>
      </c>
      <c r="G233" s="411" t="s">
        <v>214</v>
      </c>
      <c r="H233" s="412">
        <v>7418.31</v>
      </c>
      <c r="I233" s="413" t="s">
        <v>1372</v>
      </c>
      <c r="J233" s="414">
        <v>45028.958333333336</v>
      </c>
      <c r="K233" s="414"/>
      <c r="L233" s="414" t="s">
        <v>192</v>
      </c>
      <c r="M233" s="414" t="s">
        <v>192</v>
      </c>
      <c r="N233" s="413" t="str">
        <f t="shared" si="15"/>
        <v>DELAY ( 2 day 20 hour 25 minute )</v>
      </c>
      <c r="O233" s="51"/>
      <c r="P233" s="415" t="s">
        <v>551</v>
      </c>
      <c r="Q233" s="415" t="s">
        <v>551</v>
      </c>
      <c r="R233" s="415" t="s">
        <v>551</v>
      </c>
      <c r="S233" s="32"/>
      <c r="T233" s="416"/>
      <c r="U233" s="416"/>
      <c r="V233" s="416"/>
      <c r="W233" s="416"/>
      <c r="X233" s="416"/>
      <c r="Y233" s="416">
        <f>H233*0.65</f>
        <v>4821.9015000000009</v>
      </c>
      <c r="Z233" s="416">
        <f>H233*0.35</f>
        <v>2596.4085</v>
      </c>
      <c r="AA233" s="416"/>
      <c r="AB233" s="416"/>
      <c r="AC233" s="416"/>
      <c r="AD233" s="416"/>
      <c r="AE233" s="416"/>
      <c r="AF233" s="416"/>
      <c r="AG233" s="416"/>
      <c r="AH233" s="416"/>
      <c r="AI233" s="416"/>
      <c r="AJ233" s="416"/>
      <c r="AK233" s="416"/>
      <c r="AL233" s="416"/>
      <c r="AM233" s="416"/>
      <c r="AN233" s="416"/>
      <c r="AO233" s="416"/>
      <c r="AP233" s="416"/>
      <c r="AQ233" s="416"/>
      <c r="AR233" s="416"/>
      <c r="AS233" s="416"/>
      <c r="AT233" s="416"/>
      <c r="AU233" s="416"/>
      <c r="AV233" s="416"/>
      <c r="AW233" s="416"/>
      <c r="AX233" s="416"/>
      <c r="AY233" s="416"/>
      <c r="AZ233" s="32"/>
    </row>
    <row r="234" spans="2:52">
      <c r="B234" s="1254"/>
      <c r="C234" s="1255"/>
      <c r="D234" s="411"/>
      <c r="E234" s="411"/>
      <c r="F234" s="1256" t="s">
        <v>616</v>
      </c>
      <c r="G234" s="1257"/>
      <c r="H234" s="412">
        <v>3500</v>
      </c>
      <c r="I234" s="413"/>
      <c r="J234" s="414"/>
      <c r="K234" s="414"/>
      <c r="L234" s="414"/>
      <c r="M234" s="414"/>
      <c r="N234" s="413" t="str">
        <f t="shared" si="15"/>
        <v xml:space="preserve"> </v>
      </c>
      <c r="O234" s="51"/>
      <c r="P234" s="415"/>
      <c r="Q234" s="415"/>
      <c r="R234" s="415"/>
      <c r="S234" s="32"/>
      <c r="T234" s="416"/>
      <c r="U234" s="416"/>
      <c r="V234" s="416"/>
      <c r="W234" s="416"/>
      <c r="X234" s="416"/>
      <c r="Y234" s="416"/>
      <c r="Z234" s="416"/>
      <c r="AA234" s="416"/>
      <c r="AB234" s="416"/>
      <c r="AC234" s="416"/>
      <c r="AD234" s="416"/>
      <c r="AE234" s="416"/>
      <c r="AF234" s="416"/>
      <c r="AG234" s="416"/>
      <c r="AH234" s="416"/>
      <c r="AI234" s="416"/>
      <c r="AJ234" s="416"/>
      <c r="AK234" s="416"/>
      <c r="AL234" s="416"/>
      <c r="AM234" s="416"/>
      <c r="AN234" s="416"/>
      <c r="AO234" s="416"/>
      <c r="AP234" s="416"/>
      <c r="AQ234" s="416"/>
      <c r="AR234" s="416"/>
      <c r="AS234" s="416"/>
      <c r="AT234" s="416"/>
      <c r="AU234" s="416"/>
      <c r="AV234" s="416"/>
      <c r="AW234" s="416"/>
      <c r="AX234" s="416"/>
      <c r="AY234" s="416"/>
      <c r="AZ234" s="32"/>
    </row>
    <row r="235" spans="2:52">
      <c r="B235" s="1250" t="s">
        <v>622</v>
      </c>
      <c r="C235" s="1251"/>
      <c r="D235" s="411" t="s">
        <v>1376</v>
      </c>
      <c r="E235" s="411"/>
      <c r="F235" s="411" t="s">
        <v>721</v>
      </c>
      <c r="G235" s="411" t="s">
        <v>1349</v>
      </c>
      <c r="H235" s="412">
        <v>7402.2520000000004</v>
      </c>
      <c r="I235" s="413" t="s">
        <v>1372</v>
      </c>
      <c r="J235" s="414">
        <v>45029.375</v>
      </c>
      <c r="K235" s="414"/>
      <c r="L235" s="414" t="s">
        <v>192</v>
      </c>
      <c r="M235" s="414" t="s">
        <v>192</v>
      </c>
      <c r="N235" s="413" t="str">
        <f t="shared" si="15"/>
        <v>DELAY ( 3 day 6 hour 25 minute )</v>
      </c>
      <c r="O235" s="51"/>
      <c r="P235" s="415" t="s">
        <v>551</v>
      </c>
      <c r="Q235" s="415" t="s">
        <v>551</v>
      </c>
      <c r="R235" s="415" t="s">
        <v>551</v>
      </c>
      <c r="S235" s="32"/>
      <c r="T235" s="416"/>
      <c r="U235" s="416"/>
      <c r="V235" s="416"/>
      <c r="W235" s="416"/>
      <c r="X235" s="416"/>
      <c r="Y235" s="416">
        <f>H235*0.65</f>
        <v>4811.4638000000004</v>
      </c>
      <c r="Z235" s="416">
        <f>H235*0.35</f>
        <v>2590.7882</v>
      </c>
      <c r="AA235" s="416"/>
      <c r="AB235" s="416"/>
      <c r="AC235" s="416"/>
      <c r="AD235" s="416"/>
      <c r="AE235" s="416"/>
      <c r="AF235" s="416"/>
      <c r="AG235" s="416"/>
      <c r="AH235" s="416"/>
      <c r="AI235" s="416"/>
      <c r="AJ235" s="416"/>
      <c r="AK235" s="416"/>
      <c r="AL235" s="416"/>
      <c r="AM235" s="416"/>
      <c r="AN235" s="416"/>
      <c r="AO235" s="416"/>
      <c r="AP235" s="416"/>
      <c r="AQ235" s="416"/>
      <c r="AR235" s="416"/>
      <c r="AS235" s="416"/>
      <c r="AT235" s="416"/>
      <c r="AU235" s="416"/>
      <c r="AV235" s="416"/>
      <c r="AW235" s="416"/>
      <c r="AX235" s="416"/>
      <c r="AY235" s="416"/>
      <c r="AZ235" s="32"/>
    </row>
    <row r="236" spans="2:52">
      <c r="B236" s="1252"/>
      <c r="C236" s="1253"/>
      <c r="D236" s="411"/>
      <c r="E236" s="411"/>
      <c r="F236" s="1256" t="s">
        <v>616</v>
      </c>
      <c r="G236" s="1257"/>
      <c r="H236" s="412">
        <v>3500</v>
      </c>
      <c r="I236" s="413"/>
      <c r="J236" s="414"/>
      <c r="K236" s="414"/>
      <c r="L236" s="414"/>
      <c r="M236" s="414"/>
      <c r="N236" s="413" t="str">
        <f t="shared" si="15"/>
        <v xml:space="preserve"> </v>
      </c>
      <c r="O236" s="51"/>
      <c r="P236" s="415"/>
      <c r="Q236" s="415"/>
      <c r="R236" s="415"/>
      <c r="S236" s="32"/>
      <c r="T236" s="416"/>
      <c r="U236" s="416"/>
      <c r="V236" s="416"/>
      <c r="W236" s="416"/>
      <c r="X236" s="416"/>
      <c r="Y236" s="416"/>
      <c r="Z236" s="416"/>
      <c r="AA236" s="416"/>
      <c r="AB236" s="416"/>
      <c r="AC236" s="416"/>
      <c r="AD236" s="416"/>
      <c r="AE236" s="416"/>
      <c r="AF236" s="416"/>
      <c r="AG236" s="416"/>
      <c r="AH236" s="416"/>
      <c r="AI236" s="416"/>
      <c r="AJ236" s="416"/>
      <c r="AK236" s="416"/>
      <c r="AL236" s="416"/>
      <c r="AM236" s="416"/>
      <c r="AN236" s="416"/>
      <c r="AO236" s="416"/>
      <c r="AP236" s="416"/>
      <c r="AQ236" s="416"/>
      <c r="AR236" s="416"/>
      <c r="AS236" s="416"/>
      <c r="AT236" s="416"/>
      <c r="AU236" s="416"/>
      <c r="AV236" s="416"/>
      <c r="AW236" s="416"/>
      <c r="AX236" s="416"/>
      <c r="AY236" s="416"/>
      <c r="AZ236" s="32"/>
    </row>
    <row r="237" spans="2:52">
      <c r="B237" s="1250" t="s">
        <v>623</v>
      </c>
      <c r="C237" s="1251"/>
      <c r="D237" s="411" t="s">
        <v>1375</v>
      </c>
      <c r="E237" s="411"/>
      <c r="F237" s="411" t="s">
        <v>246</v>
      </c>
      <c r="G237" s="411" t="s">
        <v>247</v>
      </c>
      <c r="H237" s="412">
        <v>7604.8459999999995</v>
      </c>
      <c r="I237" s="413" t="s">
        <v>1372</v>
      </c>
      <c r="J237" s="414">
        <v>45029.8125</v>
      </c>
      <c r="K237" s="414"/>
      <c r="L237" s="414" t="s">
        <v>192</v>
      </c>
      <c r="M237" s="414" t="s">
        <v>192</v>
      </c>
      <c r="N237" s="413" t="str">
        <f t="shared" si="15"/>
        <v>DELAY ( 3 day 16 hour 55 minute )</v>
      </c>
      <c r="O237" s="51"/>
      <c r="P237" s="415" t="s">
        <v>551</v>
      </c>
      <c r="Q237" s="415" t="s">
        <v>551</v>
      </c>
      <c r="R237" s="415" t="s">
        <v>551</v>
      </c>
      <c r="S237" s="32"/>
      <c r="T237" s="416"/>
      <c r="U237" s="416"/>
      <c r="V237" s="416"/>
      <c r="W237" s="416"/>
      <c r="X237" s="416"/>
      <c r="Y237" s="416">
        <f>H237*0.65</f>
        <v>4943.1498999999994</v>
      </c>
      <c r="Z237" s="416">
        <f>H237*0.35</f>
        <v>2661.6960999999997</v>
      </c>
      <c r="AA237" s="416"/>
      <c r="AB237" s="416"/>
      <c r="AC237" s="416"/>
      <c r="AD237" s="416"/>
      <c r="AE237" s="416"/>
      <c r="AF237" s="416"/>
      <c r="AG237" s="416"/>
      <c r="AH237" s="416"/>
      <c r="AI237" s="416"/>
      <c r="AJ237" s="416"/>
      <c r="AK237" s="416"/>
      <c r="AL237" s="416"/>
      <c r="AM237" s="416"/>
      <c r="AN237" s="416"/>
      <c r="AO237" s="416"/>
      <c r="AP237" s="416"/>
      <c r="AQ237" s="416"/>
      <c r="AR237" s="416"/>
      <c r="AS237" s="416"/>
      <c r="AT237" s="416"/>
      <c r="AU237" s="416"/>
      <c r="AV237" s="416"/>
      <c r="AW237" s="416"/>
      <c r="AX237" s="416"/>
      <c r="AY237" s="416"/>
      <c r="AZ237" s="32"/>
    </row>
    <row r="238" spans="2:52">
      <c r="B238" s="1252"/>
      <c r="C238" s="1253"/>
      <c r="D238" s="411"/>
      <c r="E238" s="411"/>
      <c r="F238" s="1256" t="s">
        <v>616</v>
      </c>
      <c r="G238" s="1257"/>
      <c r="H238" s="412">
        <v>3500</v>
      </c>
      <c r="I238" s="413"/>
      <c r="J238" s="414"/>
      <c r="K238" s="414"/>
      <c r="L238" s="414"/>
      <c r="M238" s="414"/>
      <c r="N238" s="413" t="str">
        <f t="shared" si="15"/>
        <v xml:space="preserve"> </v>
      </c>
      <c r="O238" s="51"/>
      <c r="P238" s="415"/>
      <c r="Q238" s="415"/>
      <c r="R238" s="415"/>
      <c r="S238" s="32"/>
      <c r="T238" s="416"/>
      <c r="U238" s="416"/>
      <c r="V238" s="416"/>
      <c r="W238" s="416"/>
      <c r="X238" s="416"/>
      <c r="Y238" s="416"/>
      <c r="Z238" s="416"/>
      <c r="AA238" s="416"/>
      <c r="AB238" s="416"/>
      <c r="AC238" s="416"/>
      <c r="AD238" s="416"/>
      <c r="AE238" s="416"/>
      <c r="AF238" s="416"/>
      <c r="AG238" s="416"/>
      <c r="AH238" s="416"/>
      <c r="AI238" s="416"/>
      <c r="AJ238" s="416"/>
      <c r="AK238" s="416"/>
      <c r="AL238" s="416"/>
      <c r="AM238" s="416"/>
      <c r="AN238" s="416"/>
      <c r="AO238" s="416"/>
      <c r="AP238" s="416"/>
      <c r="AQ238" s="416"/>
      <c r="AR238" s="416"/>
      <c r="AS238" s="416"/>
      <c r="AT238" s="416"/>
      <c r="AU238" s="416"/>
      <c r="AV238" s="416"/>
      <c r="AW238" s="416"/>
      <c r="AX238" s="416"/>
      <c r="AY238" s="416"/>
      <c r="AZ238" s="32"/>
    </row>
    <row r="239" spans="2:52">
      <c r="B239" s="1266"/>
      <c r="C239" s="1267"/>
      <c r="D239" s="570"/>
      <c r="E239" s="570"/>
      <c r="F239" s="570"/>
      <c r="G239" s="570"/>
      <c r="H239" s="570"/>
      <c r="I239" s="570"/>
      <c r="J239" s="570"/>
      <c r="K239" s="570"/>
      <c r="L239" s="570"/>
      <c r="M239" s="570"/>
      <c r="N239" s="413" t="str">
        <f t="shared" si="15"/>
        <v xml:space="preserve"> </v>
      </c>
      <c r="O239" s="46"/>
      <c r="P239" s="409"/>
      <c r="Q239" s="409"/>
      <c r="R239" s="409"/>
      <c r="S239" s="32"/>
      <c r="T239" s="410"/>
      <c r="U239" s="410"/>
      <c r="V239" s="410"/>
      <c r="W239" s="410"/>
      <c r="X239" s="410"/>
      <c r="Y239" s="410"/>
      <c r="Z239" s="410"/>
      <c r="AA239" s="410"/>
      <c r="AB239" s="410"/>
      <c r="AC239" s="410"/>
      <c r="AD239" s="407"/>
      <c r="AE239" s="410"/>
      <c r="AF239" s="410"/>
      <c r="AG239" s="410"/>
      <c r="AH239" s="410"/>
      <c r="AI239" s="410"/>
      <c r="AJ239" s="410"/>
      <c r="AK239" s="410"/>
      <c r="AL239" s="410"/>
      <c r="AM239" s="410"/>
      <c r="AN239" s="410"/>
      <c r="AO239" s="410"/>
      <c r="AP239" s="410"/>
      <c r="AQ239" s="410"/>
      <c r="AR239" s="410"/>
      <c r="AS239" s="410"/>
      <c r="AT239" s="410"/>
      <c r="AU239" s="410"/>
      <c r="AV239" s="410"/>
      <c r="AW239" s="410"/>
      <c r="AX239" s="410"/>
      <c r="AY239" s="410"/>
      <c r="AZ239" s="32"/>
    </row>
    <row r="240" spans="2:52">
      <c r="B240" s="1256" t="s">
        <v>668</v>
      </c>
      <c r="C240" s="1257"/>
      <c r="D240" s="411" t="s">
        <v>1187</v>
      </c>
      <c r="E240" s="411"/>
      <c r="F240" s="411" t="s">
        <v>330</v>
      </c>
      <c r="G240" s="411" t="s">
        <v>331</v>
      </c>
      <c r="H240" s="412">
        <v>7500</v>
      </c>
      <c r="I240" s="413" t="s">
        <v>78</v>
      </c>
      <c r="J240" s="414">
        <v>45033.916666666664</v>
      </c>
      <c r="K240" s="414"/>
      <c r="L240" s="414" t="s">
        <v>192</v>
      </c>
      <c r="M240" s="414" t="s">
        <v>192</v>
      </c>
      <c r="N240" s="413" t="str">
        <f t="shared" si="15"/>
        <v>DELAY ( 7 day 19 hour 25 minute )</v>
      </c>
      <c r="O240" s="51"/>
      <c r="P240" s="415" t="s">
        <v>551</v>
      </c>
      <c r="Q240" s="415" t="s">
        <v>551</v>
      </c>
      <c r="R240" s="415" t="s">
        <v>551</v>
      </c>
      <c r="S240" s="32"/>
      <c r="T240" s="416"/>
      <c r="U240" s="416"/>
      <c r="V240" s="416"/>
      <c r="W240" s="416"/>
      <c r="X240" s="416"/>
      <c r="Y240" s="416"/>
      <c r="Z240" s="416"/>
      <c r="AA240" s="416"/>
      <c r="AB240" s="416"/>
      <c r="AC240" s="416"/>
      <c r="AD240" s="416"/>
      <c r="AE240" s="416"/>
      <c r="AF240" s="416"/>
      <c r="AG240" s="416"/>
      <c r="AH240" s="416"/>
      <c r="AI240" s="416"/>
      <c r="AJ240" s="416">
        <f>H240</f>
        <v>7500</v>
      </c>
      <c r="AK240" s="416"/>
      <c r="AL240" s="416"/>
      <c r="AM240" s="416"/>
      <c r="AN240" s="416"/>
      <c r="AO240" s="416"/>
      <c r="AP240" s="416"/>
      <c r="AQ240" s="416"/>
      <c r="AR240" s="416"/>
      <c r="AS240" s="416"/>
      <c r="AT240" s="416"/>
      <c r="AU240" s="416"/>
      <c r="AV240" s="416"/>
      <c r="AW240" s="416"/>
      <c r="AX240" s="416"/>
      <c r="AY240" s="416"/>
      <c r="AZ240" s="32"/>
    </row>
    <row r="241" spans="2:52">
      <c r="B241" s="1258" t="s">
        <v>1408</v>
      </c>
      <c r="C241" s="1259"/>
      <c r="D241" s="1259"/>
      <c r="E241" s="1259"/>
      <c r="F241" s="1259"/>
      <c r="G241" s="1260"/>
      <c r="H241" s="417">
        <f>SUM(H240)</f>
        <v>7500</v>
      </c>
      <c r="I241" s="388"/>
      <c r="J241" s="293"/>
      <c r="K241" s="293"/>
      <c r="L241" s="293"/>
      <c r="M241" s="389"/>
      <c r="N241" s="413" t="str">
        <f t="shared" si="15"/>
        <v xml:space="preserve"> </v>
      </c>
      <c r="O241" s="47"/>
      <c r="P241" s="418"/>
      <c r="Q241" s="418"/>
      <c r="R241" s="418"/>
      <c r="S241" s="32"/>
      <c r="T241" s="416"/>
      <c r="U241" s="416"/>
      <c r="V241" s="416"/>
      <c r="W241" s="416"/>
      <c r="X241" s="416"/>
      <c r="Y241" s="416"/>
      <c r="Z241" s="416"/>
      <c r="AA241" s="416"/>
      <c r="AB241" s="416"/>
      <c r="AC241" s="416"/>
      <c r="AD241" s="416"/>
      <c r="AE241" s="416"/>
      <c r="AF241" s="416"/>
      <c r="AG241" s="416"/>
      <c r="AH241" s="416"/>
      <c r="AI241" s="416"/>
      <c r="AJ241" s="416"/>
      <c r="AK241" s="416"/>
      <c r="AL241" s="416"/>
      <c r="AM241" s="416"/>
      <c r="AN241" s="416"/>
      <c r="AO241" s="416"/>
      <c r="AP241" s="416"/>
      <c r="AQ241" s="416"/>
      <c r="AR241" s="416"/>
      <c r="AS241" s="416"/>
      <c r="AT241" s="416"/>
      <c r="AU241" s="416"/>
      <c r="AV241" s="416"/>
      <c r="AW241" s="416"/>
      <c r="AX241" s="416"/>
      <c r="AY241" s="416"/>
    </row>
    <row r="242" spans="2:52">
      <c r="B242" s="1250" t="s">
        <v>624</v>
      </c>
      <c r="C242" s="1251"/>
      <c r="D242" s="411" t="s">
        <v>1312</v>
      </c>
      <c r="E242" s="411"/>
      <c r="F242" s="411" t="s">
        <v>1313</v>
      </c>
      <c r="G242" s="411" t="s">
        <v>438</v>
      </c>
      <c r="H242" s="412">
        <v>7505.5659999999998</v>
      </c>
      <c r="I242" s="413" t="s">
        <v>611</v>
      </c>
      <c r="J242" s="414">
        <v>45030.354166666664</v>
      </c>
      <c r="K242" s="414"/>
      <c r="L242" s="414" t="s">
        <v>192</v>
      </c>
      <c r="M242" s="414" t="s">
        <v>192</v>
      </c>
      <c r="N242" s="413" t="str">
        <f t="shared" si="15"/>
        <v>DELAY ( 4 day 5 hour 55 minute )</v>
      </c>
      <c r="O242" s="51"/>
      <c r="P242" s="415" t="s">
        <v>551</v>
      </c>
      <c r="Q242" s="415" t="s">
        <v>551</v>
      </c>
      <c r="R242" s="415" t="s">
        <v>551</v>
      </c>
      <c r="S242" s="32"/>
      <c r="T242" s="416">
        <f>H242</f>
        <v>7505.5659999999998</v>
      </c>
      <c r="U242" s="416"/>
      <c r="V242" s="416"/>
      <c r="W242" s="416"/>
      <c r="X242" s="416"/>
      <c r="Y242" s="416"/>
      <c r="Z242" s="416"/>
      <c r="AA242" s="416"/>
      <c r="AB242" s="416"/>
      <c r="AC242" s="416"/>
      <c r="AD242" s="416"/>
      <c r="AE242" s="416"/>
      <c r="AF242" s="416"/>
      <c r="AG242" s="416"/>
      <c r="AH242" s="416"/>
      <c r="AI242" s="416"/>
      <c r="AJ242" s="416"/>
      <c r="AK242" s="416"/>
      <c r="AL242" s="416"/>
      <c r="AM242" s="416"/>
      <c r="AN242" s="416"/>
      <c r="AO242" s="416"/>
      <c r="AP242" s="416"/>
      <c r="AQ242" s="416"/>
      <c r="AR242" s="416"/>
      <c r="AS242" s="416"/>
      <c r="AT242" s="416"/>
      <c r="AU242" s="416"/>
      <c r="AV242" s="416"/>
      <c r="AW242" s="416"/>
      <c r="AX242" s="416"/>
      <c r="AY242" s="416"/>
      <c r="AZ242" s="32"/>
    </row>
    <row r="243" spans="2:52">
      <c r="B243" s="1254"/>
      <c r="C243" s="1255"/>
      <c r="D243" s="411"/>
      <c r="E243" s="411"/>
      <c r="F243" s="1256" t="s">
        <v>668</v>
      </c>
      <c r="G243" s="1257"/>
      <c r="H243" s="412">
        <v>3000</v>
      </c>
      <c r="I243" s="413"/>
      <c r="J243" s="414"/>
      <c r="K243" s="414"/>
      <c r="L243" s="414"/>
      <c r="M243" s="414"/>
      <c r="N243" s="413" t="str">
        <f t="shared" si="15"/>
        <v xml:space="preserve"> </v>
      </c>
      <c r="O243" s="51"/>
      <c r="P243" s="415"/>
      <c r="Q243" s="415"/>
      <c r="R243" s="415"/>
      <c r="S243" s="32"/>
      <c r="T243" s="416"/>
      <c r="U243" s="416"/>
      <c r="V243" s="416"/>
      <c r="W243" s="416"/>
      <c r="X243" s="416"/>
      <c r="Y243" s="416"/>
      <c r="Z243" s="416"/>
      <c r="AA243" s="416"/>
      <c r="AB243" s="416"/>
      <c r="AC243" s="416"/>
      <c r="AD243" s="416"/>
      <c r="AE243" s="416"/>
      <c r="AF243" s="416"/>
      <c r="AG243" s="416"/>
      <c r="AH243" s="416"/>
      <c r="AI243" s="416"/>
      <c r="AJ243" s="416"/>
      <c r="AK243" s="416"/>
      <c r="AL243" s="416"/>
      <c r="AM243" s="416"/>
      <c r="AN243" s="416"/>
      <c r="AO243" s="416"/>
      <c r="AP243" s="416"/>
      <c r="AQ243" s="416"/>
      <c r="AR243" s="416"/>
      <c r="AS243" s="416"/>
      <c r="AT243" s="416"/>
      <c r="AU243" s="416"/>
      <c r="AV243" s="416"/>
      <c r="AW243" s="416"/>
      <c r="AX243" s="416"/>
      <c r="AY243" s="416"/>
      <c r="AZ243" s="32"/>
    </row>
    <row r="244" spans="2:52">
      <c r="B244" s="1250" t="s">
        <v>625</v>
      </c>
      <c r="C244" s="1251"/>
      <c r="D244" s="411" t="s">
        <v>1378</v>
      </c>
      <c r="E244" s="411"/>
      <c r="F244" s="411" t="s">
        <v>473</v>
      </c>
      <c r="G244" s="411" t="s">
        <v>474</v>
      </c>
      <c r="H244" s="412">
        <v>7513.5910000000003</v>
      </c>
      <c r="I244" s="413" t="s">
        <v>1372</v>
      </c>
      <c r="J244" s="414">
        <v>45030.541666666664</v>
      </c>
      <c r="K244" s="414"/>
      <c r="L244" s="414" t="s">
        <v>192</v>
      </c>
      <c r="M244" s="414" t="s">
        <v>192</v>
      </c>
      <c r="N244" s="413" t="str">
        <f t="shared" si="15"/>
        <v>DELAY ( 4 day 10 hour 25 minute )</v>
      </c>
      <c r="O244" s="51"/>
      <c r="P244" s="415" t="s">
        <v>551</v>
      </c>
      <c r="Q244" s="415" t="s">
        <v>551</v>
      </c>
      <c r="R244" s="415" t="s">
        <v>551</v>
      </c>
      <c r="S244" s="32"/>
      <c r="T244" s="416"/>
      <c r="U244" s="416"/>
      <c r="V244" s="416"/>
      <c r="W244" s="416"/>
      <c r="X244" s="416"/>
      <c r="Y244" s="416">
        <f>H244*0.65</f>
        <v>4883.8341500000006</v>
      </c>
      <c r="Z244" s="416">
        <f>H244*0.35</f>
        <v>2629.7568499999998</v>
      </c>
      <c r="AA244" s="416"/>
      <c r="AB244" s="416"/>
      <c r="AC244" s="416"/>
      <c r="AD244" s="416"/>
      <c r="AE244" s="416"/>
      <c r="AF244" s="416"/>
      <c r="AG244" s="416"/>
      <c r="AH244" s="416"/>
      <c r="AI244" s="416"/>
      <c r="AJ244" s="416"/>
      <c r="AK244" s="416"/>
      <c r="AL244" s="416"/>
      <c r="AM244" s="416"/>
      <c r="AN244" s="416"/>
      <c r="AO244" s="416"/>
      <c r="AP244" s="416"/>
      <c r="AQ244" s="416"/>
      <c r="AR244" s="416"/>
      <c r="AS244" s="416"/>
      <c r="AT244" s="416"/>
      <c r="AU244" s="416"/>
      <c r="AV244" s="416"/>
      <c r="AW244" s="416"/>
      <c r="AX244" s="416"/>
      <c r="AY244" s="416"/>
      <c r="AZ244" s="32"/>
    </row>
    <row r="245" spans="2:52">
      <c r="B245" s="1252"/>
      <c r="C245" s="1253"/>
      <c r="D245" s="411"/>
      <c r="E245" s="411"/>
      <c r="F245" s="1256" t="s">
        <v>616</v>
      </c>
      <c r="G245" s="1257"/>
      <c r="H245" s="412">
        <v>1000</v>
      </c>
      <c r="I245" s="413"/>
      <c r="J245" s="414"/>
      <c r="K245" s="414"/>
      <c r="L245" s="414"/>
      <c r="M245" s="414"/>
      <c r="N245" s="413" t="str">
        <f t="shared" si="15"/>
        <v xml:space="preserve"> </v>
      </c>
      <c r="O245" s="51"/>
      <c r="P245" s="415"/>
      <c r="Q245" s="415"/>
      <c r="R245" s="415"/>
      <c r="S245" s="32"/>
      <c r="T245" s="416"/>
      <c r="U245" s="416"/>
      <c r="V245" s="416"/>
      <c r="W245" s="416"/>
      <c r="X245" s="416"/>
      <c r="Y245" s="416"/>
      <c r="Z245" s="416"/>
      <c r="AA245" s="416"/>
      <c r="AB245" s="416"/>
      <c r="AC245" s="416"/>
      <c r="AD245" s="416"/>
      <c r="AE245" s="416"/>
      <c r="AF245" s="416"/>
      <c r="AG245" s="416"/>
      <c r="AH245" s="416"/>
      <c r="AI245" s="416"/>
      <c r="AJ245" s="416"/>
      <c r="AK245" s="416"/>
      <c r="AL245" s="416"/>
      <c r="AM245" s="416"/>
      <c r="AN245" s="416"/>
      <c r="AO245" s="416"/>
      <c r="AP245" s="416"/>
      <c r="AQ245" s="416"/>
      <c r="AR245" s="416"/>
      <c r="AS245" s="416"/>
      <c r="AT245" s="416"/>
      <c r="AU245" s="416"/>
      <c r="AV245" s="416"/>
      <c r="AW245" s="416"/>
      <c r="AX245" s="416"/>
      <c r="AY245" s="416"/>
      <c r="AZ245" s="32"/>
    </row>
    <row r="246" spans="2:52">
      <c r="B246" s="1254"/>
      <c r="C246" s="1255"/>
      <c r="D246" s="411"/>
      <c r="E246" s="411"/>
      <c r="F246" s="1256" t="s">
        <v>668</v>
      </c>
      <c r="G246" s="1257"/>
      <c r="H246" s="412">
        <v>3500</v>
      </c>
      <c r="I246" s="413"/>
      <c r="J246" s="414"/>
      <c r="K246" s="414"/>
      <c r="L246" s="414"/>
      <c r="M246" s="414"/>
      <c r="N246" s="413" t="str">
        <f t="shared" si="15"/>
        <v xml:space="preserve"> </v>
      </c>
      <c r="O246" s="51"/>
      <c r="P246" s="415"/>
      <c r="Q246" s="415"/>
      <c r="R246" s="415"/>
      <c r="S246" s="32"/>
      <c r="T246" s="416"/>
      <c r="U246" s="416"/>
      <c r="V246" s="416"/>
      <c r="W246" s="416"/>
      <c r="X246" s="416"/>
      <c r="Y246" s="416"/>
      <c r="Z246" s="416"/>
      <c r="AA246" s="416"/>
      <c r="AB246" s="416"/>
      <c r="AC246" s="416"/>
      <c r="AD246" s="416"/>
      <c r="AE246" s="416"/>
      <c r="AF246" s="416"/>
      <c r="AG246" s="416"/>
      <c r="AH246" s="416"/>
      <c r="AI246" s="416"/>
      <c r="AJ246" s="416"/>
      <c r="AK246" s="416"/>
      <c r="AL246" s="416"/>
      <c r="AM246" s="416"/>
      <c r="AN246" s="416"/>
      <c r="AO246" s="416"/>
      <c r="AP246" s="416"/>
      <c r="AQ246" s="416"/>
      <c r="AR246" s="416"/>
      <c r="AS246" s="416"/>
      <c r="AT246" s="416"/>
      <c r="AU246" s="416"/>
      <c r="AV246" s="416"/>
      <c r="AW246" s="416"/>
      <c r="AX246" s="416"/>
      <c r="AY246" s="416"/>
      <c r="AZ246" s="32"/>
    </row>
    <row r="247" spans="2:52">
      <c r="B247" s="1250" t="s">
        <v>669</v>
      </c>
      <c r="C247" s="1251"/>
      <c r="D247" s="411" t="s">
        <v>1370</v>
      </c>
      <c r="E247" s="411"/>
      <c r="F247" s="411" t="s">
        <v>238</v>
      </c>
      <c r="G247" s="411" t="s">
        <v>239</v>
      </c>
      <c r="H247" s="412">
        <f>7473.416-3990.499</f>
        <v>3482.9170000000004</v>
      </c>
      <c r="I247" s="413" t="s">
        <v>494</v>
      </c>
      <c r="J247" s="414">
        <v>45031.465277777781</v>
      </c>
      <c r="K247" s="414"/>
      <c r="L247" s="414" t="s">
        <v>192</v>
      </c>
      <c r="M247" s="414" t="s">
        <v>192</v>
      </c>
      <c r="N247" s="413" t="str">
        <f t="shared" si="15"/>
        <v>DELAY ( 5 day 8 hour 35 minute )</v>
      </c>
      <c r="O247" s="51"/>
      <c r="P247" s="415" t="s">
        <v>551</v>
      </c>
      <c r="Q247" s="415" t="s">
        <v>551</v>
      </c>
      <c r="R247" s="415" t="s">
        <v>551</v>
      </c>
      <c r="S247" s="32"/>
      <c r="T247" s="416"/>
      <c r="U247" s="416"/>
      <c r="V247" s="416"/>
      <c r="W247" s="416"/>
      <c r="X247" s="416"/>
      <c r="Y247" s="416">
        <f>H247</f>
        <v>3482.9170000000004</v>
      </c>
      <c r="Z247" s="416"/>
      <c r="AA247" s="416"/>
      <c r="AB247" s="416"/>
      <c r="AC247" s="416"/>
      <c r="AD247" s="416"/>
      <c r="AE247" s="416"/>
      <c r="AF247" s="416"/>
      <c r="AG247" s="416"/>
      <c r="AH247" s="416"/>
      <c r="AI247" s="416"/>
      <c r="AJ247" s="416"/>
      <c r="AK247" s="416"/>
      <c r="AL247" s="416"/>
      <c r="AM247" s="416"/>
      <c r="AN247" s="416"/>
      <c r="AO247" s="416"/>
      <c r="AP247" s="416"/>
      <c r="AQ247" s="416"/>
      <c r="AR247" s="416"/>
      <c r="AS247" s="416"/>
      <c r="AT247" s="416"/>
      <c r="AU247" s="416"/>
      <c r="AV247" s="416"/>
      <c r="AW247" s="416"/>
      <c r="AX247" s="416"/>
      <c r="AY247" s="416"/>
      <c r="AZ247" s="32"/>
    </row>
    <row r="248" spans="2:52">
      <c r="B248" s="1254"/>
      <c r="C248" s="1255"/>
      <c r="D248" s="411"/>
      <c r="E248" s="411"/>
      <c r="F248" s="1256" t="s">
        <v>668</v>
      </c>
      <c r="G248" s="1257"/>
      <c r="H248" s="412">
        <v>1000</v>
      </c>
      <c r="I248" s="413"/>
      <c r="J248" s="414"/>
      <c r="K248" s="414"/>
      <c r="L248" s="414"/>
      <c r="M248" s="414"/>
      <c r="N248" s="413" t="str">
        <f t="shared" si="15"/>
        <v xml:space="preserve"> </v>
      </c>
      <c r="O248" s="51"/>
      <c r="P248" s="415"/>
      <c r="Q248" s="415"/>
      <c r="R248" s="415"/>
      <c r="S248" s="32"/>
      <c r="T248" s="416"/>
      <c r="U248" s="416"/>
      <c r="V248" s="416"/>
      <c r="W248" s="416"/>
      <c r="X248" s="416"/>
      <c r="Y248" s="416"/>
      <c r="Z248" s="416"/>
      <c r="AA248" s="416"/>
      <c r="AB248" s="416"/>
      <c r="AC248" s="416"/>
      <c r="AD248" s="416"/>
      <c r="AE248" s="416"/>
      <c r="AF248" s="416"/>
      <c r="AG248" s="416"/>
      <c r="AH248" s="416"/>
      <c r="AI248" s="416"/>
      <c r="AJ248" s="416"/>
      <c r="AK248" s="416"/>
      <c r="AL248" s="416"/>
      <c r="AM248" s="416"/>
      <c r="AN248" s="416"/>
      <c r="AO248" s="416"/>
      <c r="AP248" s="416"/>
      <c r="AQ248" s="416"/>
      <c r="AR248" s="416"/>
      <c r="AS248" s="416"/>
      <c r="AT248" s="416"/>
      <c r="AU248" s="416"/>
      <c r="AV248" s="416"/>
      <c r="AW248" s="416"/>
      <c r="AX248" s="416"/>
      <c r="AY248" s="416"/>
      <c r="AZ248" s="32"/>
    </row>
    <row r="249" spans="2:52">
      <c r="B249" s="1258" t="s">
        <v>626</v>
      </c>
      <c r="C249" s="1259"/>
      <c r="D249" s="1259"/>
      <c r="E249" s="1259"/>
      <c r="F249" s="1259"/>
      <c r="G249" s="1260"/>
      <c r="H249" s="417">
        <f>H233+H231+H237+H235+H244+H247+H242</f>
        <v>48738</v>
      </c>
      <c r="I249" s="388"/>
      <c r="J249" s="293"/>
      <c r="K249" s="293"/>
      <c r="L249" s="293"/>
      <c r="M249" s="389"/>
      <c r="N249" s="413" t="str">
        <f t="shared" si="15"/>
        <v xml:space="preserve"> </v>
      </c>
      <c r="O249" s="47"/>
      <c r="P249" s="418"/>
      <c r="Q249" s="418"/>
      <c r="R249" s="418"/>
      <c r="S249" s="32"/>
      <c r="T249" s="1261"/>
      <c r="U249" s="1261"/>
      <c r="V249" s="1261"/>
      <c r="W249" s="1261"/>
      <c r="X249" s="1261"/>
      <c r="Y249" s="1261"/>
      <c r="Z249" s="1261"/>
      <c r="AA249" s="1261"/>
      <c r="AB249" s="1261"/>
      <c r="AC249" s="1261"/>
      <c r="AD249" s="1261"/>
      <c r="AE249" s="1261"/>
      <c r="AF249" s="1261"/>
      <c r="AG249" s="1261"/>
      <c r="AH249" s="1261"/>
      <c r="AI249" s="1261"/>
      <c r="AJ249" s="1261"/>
      <c r="AK249" s="1261"/>
      <c r="AL249" s="1261"/>
      <c r="AM249" s="1261"/>
      <c r="AN249" s="1261"/>
      <c r="AO249" s="1261"/>
      <c r="AP249" s="1261"/>
      <c r="AQ249" s="1261"/>
      <c r="AR249" s="1261"/>
      <c r="AS249" s="1261"/>
      <c r="AT249" s="1261"/>
      <c r="AU249" s="1261"/>
      <c r="AV249" s="1261"/>
      <c r="AW249" s="1261"/>
      <c r="AX249" s="1261"/>
      <c r="AY249" s="1261"/>
    </row>
    <row r="250" spans="2:52">
      <c r="B250" s="1258" t="s">
        <v>556</v>
      </c>
      <c r="C250" s="1259"/>
      <c r="D250" s="1259"/>
      <c r="E250" s="1259"/>
      <c r="F250" s="1259"/>
      <c r="G250" s="1260"/>
      <c r="H250" s="417">
        <f>H230+H249+H241</f>
        <v>71238</v>
      </c>
      <c r="I250" s="388"/>
      <c r="J250" s="293"/>
      <c r="K250" s="293"/>
      <c r="L250" s="293"/>
      <c r="M250" s="389"/>
      <c r="N250" s="413" t="str">
        <f t="shared" si="15"/>
        <v xml:space="preserve"> </v>
      </c>
      <c r="O250" s="212"/>
      <c r="P250" s="418"/>
      <c r="Q250" s="418"/>
      <c r="R250" s="418"/>
      <c r="S250" s="207"/>
      <c r="T250" s="1262"/>
      <c r="U250" s="1263"/>
      <c r="V250" s="1263"/>
      <c r="W250" s="1263"/>
      <c r="X250" s="1263"/>
      <c r="Y250" s="1263"/>
      <c r="Z250" s="1263"/>
      <c r="AA250" s="1263"/>
      <c r="AB250" s="1263"/>
      <c r="AC250" s="1263"/>
      <c r="AD250" s="1263"/>
      <c r="AE250" s="1263"/>
      <c r="AF250" s="1263"/>
      <c r="AG250" s="1263"/>
      <c r="AH250" s="1263"/>
      <c r="AI250" s="1263"/>
      <c r="AJ250" s="1263"/>
      <c r="AK250" s="1263"/>
      <c r="AL250" s="1263"/>
      <c r="AM250" s="1263"/>
      <c r="AN250" s="1263"/>
      <c r="AO250" s="1263"/>
      <c r="AP250" s="1263"/>
      <c r="AQ250" s="1263"/>
      <c r="AR250" s="1263"/>
      <c r="AS250" s="1263"/>
      <c r="AT250" s="1263"/>
      <c r="AU250" s="1263"/>
      <c r="AV250" s="1263"/>
      <c r="AW250" s="1263"/>
      <c r="AX250" s="1263"/>
      <c r="AY250" s="1264"/>
    </row>
    <row r="251" spans="2:52">
      <c r="B251" s="1243" t="s">
        <v>557</v>
      </c>
      <c r="C251" s="1244"/>
      <c r="D251" s="1244"/>
      <c r="E251" s="1244"/>
      <c r="F251" s="1244"/>
      <c r="G251" s="1245"/>
      <c r="H251" s="419">
        <v>71238</v>
      </c>
      <c r="I251" s="1273"/>
      <c r="J251" s="1274"/>
      <c r="K251" s="1274"/>
      <c r="L251" s="1274"/>
      <c r="M251" s="1275"/>
      <c r="N251" s="413" t="str">
        <f t="shared" si="15"/>
        <v xml:space="preserve"> </v>
      </c>
      <c r="O251" s="32"/>
      <c r="P251" s="415"/>
      <c r="Q251" s="415"/>
      <c r="R251" s="415"/>
      <c r="S251" s="63"/>
      <c r="T251" s="416">
        <f>SUM(T228:T247)</f>
        <v>7505.5659999999998</v>
      </c>
      <c r="U251" s="416">
        <f t="shared" ref="U251:AY251" si="16">SUM(U228:U247)</f>
        <v>0</v>
      </c>
      <c r="V251" s="416">
        <f t="shared" si="16"/>
        <v>0</v>
      </c>
      <c r="W251" s="416">
        <f t="shared" si="16"/>
        <v>0</v>
      </c>
      <c r="X251" s="416">
        <f t="shared" si="16"/>
        <v>0</v>
      </c>
      <c r="Y251" s="416">
        <f>SUM(Y228:Y247)</f>
        <v>28020.103050000005</v>
      </c>
      <c r="Z251" s="416">
        <f t="shared" si="16"/>
        <v>13212.33095</v>
      </c>
      <c r="AA251" s="416">
        <f t="shared" si="16"/>
        <v>0</v>
      </c>
      <c r="AB251" s="416">
        <f t="shared" si="16"/>
        <v>0</v>
      </c>
      <c r="AC251" s="416">
        <f t="shared" si="16"/>
        <v>0</v>
      </c>
      <c r="AD251" s="416">
        <f t="shared" si="16"/>
        <v>0</v>
      </c>
      <c r="AE251" s="416">
        <f t="shared" si="16"/>
        <v>0</v>
      </c>
      <c r="AF251" s="416">
        <f t="shared" si="16"/>
        <v>0</v>
      </c>
      <c r="AG251" s="416">
        <f t="shared" si="16"/>
        <v>0</v>
      </c>
      <c r="AH251" s="416">
        <f t="shared" si="16"/>
        <v>0</v>
      </c>
      <c r="AI251" s="416">
        <f t="shared" si="16"/>
        <v>0</v>
      </c>
      <c r="AJ251" s="416">
        <f t="shared" si="16"/>
        <v>22500</v>
      </c>
      <c r="AK251" s="416">
        <f t="shared" si="16"/>
        <v>0</v>
      </c>
      <c r="AL251" s="416">
        <f t="shared" si="16"/>
        <v>0</v>
      </c>
      <c r="AM251" s="416">
        <f t="shared" si="16"/>
        <v>0</v>
      </c>
      <c r="AN251" s="416">
        <f t="shared" si="16"/>
        <v>0</v>
      </c>
      <c r="AO251" s="416">
        <f t="shared" si="16"/>
        <v>0</v>
      </c>
      <c r="AP251" s="416">
        <f t="shared" si="16"/>
        <v>0</v>
      </c>
      <c r="AQ251" s="416">
        <f t="shared" si="16"/>
        <v>0</v>
      </c>
      <c r="AR251" s="416">
        <f t="shared" si="16"/>
        <v>0</v>
      </c>
      <c r="AS251" s="416">
        <f t="shared" si="16"/>
        <v>0</v>
      </c>
      <c r="AT251" s="416">
        <f t="shared" si="16"/>
        <v>0</v>
      </c>
      <c r="AU251" s="416">
        <f t="shared" si="16"/>
        <v>0</v>
      </c>
      <c r="AV251" s="416"/>
      <c r="AW251" s="416">
        <f t="shared" si="16"/>
        <v>0</v>
      </c>
      <c r="AX251" s="416">
        <f t="shared" si="16"/>
        <v>0</v>
      </c>
      <c r="AY251" s="416">
        <f t="shared" si="16"/>
        <v>0</v>
      </c>
      <c r="AZ251" s="416">
        <f>SUM(T251:AY251)</f>
        <v>71238</v>
      </c>
    </row>
    <row r="252" spans="2:52">
      <c r="B252" s="1243" t="s">
        <v>558</v>
      </c>
      <c r="C252" s="1244"/>
      <c r="D252" s="1244"/>
      <c r="E252" s="1244"/>
      <c r="F252" s="1244"/>
      <c r="G252" s="1245"/>
      <c r="H252" s="420">
        <f>H251-L222</f>
        <v>0</v>
      </c>
      <c r="I252" s="294"/>
      <c r="J252" s="295"/>
      <c r="K252" s="295"/>
      <c r="L252" s="296"/>
      <c r="M252" s="32"/>
      <c r="N252" s="32"/>
      <c r="O252" s="32"/>
      <c r="P252" s="32"/>
      <c r="Q252" s="297"/>
      <c r="R252" s="297"/>
      <c r="S252" s="32"/>
      <c r="T252" s="48"/>
      <c r="U252" s="48"/>
      <c r="V252" s="48"/>
      <c r="W252" s="48"/>
      <c r="X252" s="48"/>
      <c r="Y252" s="48"/>
      <c r="Z252" s="48"/>
      <c r="AA252" s="48"/>
      <c r="AB252" s="48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</row>
    <row r="253" spans="2:52">
      <c r="B253" s="1243" t="s">
        <v>559</v>
      </c>
      <c r="C253" s="1244"/>
      <c r="D253" s="1244"/>
      <c r="E253" s="1244"/>
      <c r="F253" s="1244"/>
      <c r="G253" s="1245"/>
      <c r="H253" s="420">
        <v>3984.605</v>
      </c>
      <c r="I253" s="274">
        <v>4285</v>
      </c>
      <c r="J253" s="53"/>
      <c r="K253" s="53"/>
      <c r="L253" s="54"/>
      <c r="M253" s="32"/>
      <c r="N253" s="201"/>
      <c r="O253" s="32"/>
      <c r="P253" s="32"/>
      <c r="Q253" s="32"/>
      <c r="R253" s="32"/>
      <c r="S253" s="32"/>
      <c r="T253" s="48"/>
      <c r="U253" s="48"/>
      <c r="V253" s="48"/>
      <c r="W253" s="48"/>
      <c r="X253" s="48"/>
      <c r="Y253" s="48"/>
      <c r="Z253" s="48"/>
      <c r="AA253" s="48"/>
      <c r="AB253" s="48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</row>
    <row r="254" spans="2:52">
      <c r="B254" s="1243" t="s">
        <v>560</v>
      </c>
      <c r="C254" s="1244"/>
      <c r="D254" s="1244"/>
      <c r="E254" s="1244"/>
      <c r="F254" s="1244"/>
      <c r="G254" s="1245"/>
      <c r="H254" s="421">
        <f>H253-3990.499</f>
        <v>-5.8939999999997781</v>
      </c>
      <c r="I254" s="275">
        <f>I253-H253</f>
        <v>300.39499999999998</v>
      </c>
      <c r="J254" s="53"/>
      <c r="K254" s="53"/>
      <c r="L254" s="54"/>
      <c r="M254" s="32"/>
      <c r="N254" s="32"/>
      <c r="O254" s="32"/>
      <c r="P254" s="32"/>
      <c r="Q254" s="32"/>
      <c r="R254" s="32"/>
      <c r="S254" s="48"/>
      <c r="T254" s="48"/>
      <c r="U254" s="48"/>
      <c r="V254" s="48"/>
      <c r="W254" s="48"/>
      <c r="X254" s="48"/>
      <c r="Y254" s="48"/>
      <c r="Z254" s="48"/>
      <c r="AA254" s="48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 spans="2:52">
      <c r="B255" s="201"/>
      <c r="C255" s="201"/>
      <c r="D255" s="201"/>
      <c r="E255" s="201"/>
      <c r="F255" s="201"/>
      <c r="G255" s="201"/>
      <c r="H255" s="201"/>
      <c r="I255" s="213"/>
      <c r="J255" s="209"/>
      <c r="K255" s="209"/>
      <c r="L255" s="203"/>
      <c r="M255" s="201"/>
      <c r="N255" s="201"/>
      <c r="O255" s="209"/>
      <c r="P255" s="32"/>
      <c r="Q255" s="32"/>
      <c r="R255" s="32"/>
      <c r="S255" s="32"/>
      <c r="T255" s="48"/>
      <c r="U255" s="48"/>
      <c r="V255" s="48"/>
      <c r="W255" s="48"/>
      <c r="X255" s="48"/>
      <c r="Y255" s="48"/>
      <c r="Z255" s="48"/>
      <c r="AA255" s="48"/>
      <c r="AB255" s="48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</row>
    <row r="256" spans="2:52">
      <c r="B256" s="40" t="s">
        <v>561</v>
      </c>
      <c r="C256" s="40"/>
      <c r="D256" s="32"/>
      <c r="E256" s="32"/>
      <c r="F256" s="32"/>
      <c r="G256" s="32"/>
      <c r="H256" s="32"/>
      <c r="I256" s="32"/>
      <c r="J256" s="52"/>
      <c r="K256" s="52"/>
      <c r="L256" s="55"/>
      <c r="M256" s="32"/>
      <c r="N256" s="201"/>
      <c r="O256" s="5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  <c r="AA256" s="202"/>
      <c r="AB256" s="201"/>
      <c r="AC256" s="201"/>
      <c r="AD256" s="201"/>
      <c r="AE256" s="201"/>
      <c r="AF256" s="201"/>
      <c r="AG256" s="201"/>
      <c r="AH256" s="201"/>
      <c r="AI256" s="201"/>
      <c r="AJ256" s="201"/>
      <c r="AK256" s="201"/>
      <c r="AL256" s="201"/>
      <c r="AM256" s="201"/>
      <c r="AN256" s="201"/>
      <c r="AO256" s="201"/>
      <c r="AP256" s="201"/>
      <c r="AQ256" s="201"/>
      <c r="AR256" s="201"/>
      <c r="AS256" s="201"/>
      <c r="AT256" s="201"/>
      <c r="AU256" s="201"/>
      <c r="AZ256" s="201"/>
    </row>
    <row r="257" spans="2:52">
      <c r="B257" s="422">
        <v>1</v>
      </c>
      <c r="C257" s="1249" t="s">
        <v>1423</v>
      </c>
      <c r="D257" s="1249"/>
      <c r="E257" s="1249"/>
      <c r="F257" s="1249"/>
      <c r="G257" s="1249"/>
      <c r="H257" s="1249"/>
      <c r="I257" s="1249"/>
      <c r="J257" s="1249"/>
      <c r="K257" s="1249"/>
      <c r="L257" s="203"/>
      <c r="M257" s="203"/>
      <c r="N257" s="201"/>
      <c r="O257" s="209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  <c r="AA257" s="202"/>
      <c r="AB257" s="201"/>
      <c r="AC257" s="201"/>
      <c r="AD257" s="201"/>
      <c r="AE257" s="201"/>
      <c r="AF257" s="201"/>
      <c r="AG257" s="201"/>
      <c r="AH257" s="201"/>
      <c r="AI257" s="201"/>
      <c r="AJ257" s="201"/>
      <c r="AK257" s="201"/>
      <c r="AL257" s="201"/>
      <c r="AM257" s="201"/>
      <c r="AN257" s="201"/>
      <c r="AO257" s="201"/>
      <c r="AP257" s="201"/>
      <c r="AQ257" s="201"/>
      <c r="AR257" s="201"/>
      <c r="AS257" s="201"/>
      <c r="AT257" s="201"/>
      <c r="AU257" s="201"/>
      <c r="AV257" s="201"/>
      <c r="AW257" s="201"/>
      <c r="AX257" s="201"/>
      <c r="AY257" s="201"/>
      <c r="AZ257" s="201"/>
    </row>
    <row r="260" spans="2:52">
      <c r="B260" s="28" t="s">
        <v>126</v>
      </c>
      <c r="C260" s="28"/>
      <c r="D260" s="29"/>
      <c r="E260" s="30" t="s">
        <v>511</v>
      </c>
      <c r="F260" s="31" t="s">
        <v>1189</v>
      </c>
      <c r="G260" s="32"/>
      <c r="H260" s="33"/>
      <c r="I260" s="34"/>
      <c r="J260" s="35" t="s">
        <v>513</v>
      </c>
      <c r="K260" s="36" t="s">
        <v>511</v>
      </c>
      <c r="L260" s="37">
        <v>45032.930555555555</v>
      </c>
      <c r="M260" s="32"/>
      <c r="N260" s="32"/>
      <c r="O260" s="206"/>
      <c r="P260" s="205"/>
      <c r="Q260" s="202"/>
      <c r="R260" s="204"/>
      <c r="S260" s="38"/>
      <c r="T260" s="201"/>
      <c r="U260" s="201"/>
      <c r="V260" s="201"/>
      <c r="W260" s="201"/>
      <c r="X260" s="201"/>
      <c r="Y260" s="201"/>
      <c r="Z260" s="201"/>
      <c r="AA260" s="201"/>
      <c r="AB260" s="202"/>
      <c r="AC260" s="202"/>
      <c r="AD260" s="202"/>
      <c r="AE260" s="202"/>
      <c r="AF260" s="202"/>
      <c r="AG260" s="201"/>
      <c r="AH260" s="201"/>
      <c r="AI260" s="201"/>
      <c r="AJ260" s="201"/>
      <c r="AK260" s="201"/>
      <c r="AL260" s="201"/>
      <c r="AM260" s="201"/>
      <c r="AN260" s="201"/>
      <c r="AO260" s="201"/>
      <c r="AP260" s="201"/>
      <c r="AQ260" s="201"/>
      <c r="AR260" s="201"/>
      <c r="AS260" s="201"/>
      <c r="AT260" s="201"/>
      <c r="AU260" s="201"/>
      <c r="AV260" s="201"/>
      <c r="AW260" s="201"/>
      <c r="AX260" s="201"/>
      <c r="AY260" s="201"/>
      <c r="AZ260" s="201"/>
    </row>
    <row r="261" spans="2:52">
      <c r="B261" s="35" t="s">
        <v>514</v>
      </c>
      <c r="C261" s="35"/>
      <c r="D261" s="32"/>
      <c r="E261" s="36" t="s">
        <v>511</v>
      </c>
      <c r="F261" s="37" t="s">
        <v>1424</v>
      </c>
      <c r="G261" s="32"/>
      <c r="H261" s="33"/>
      <c r="I261" s="34"/>
      <c r="J261" s="35" t="s">
        <v>516</v>
      </c>
      <c r="K261" s="36" t="s">
        <v>511</v>
      </c>
      <c r="L261" s="37">
        <v>45035.166666666664</v>
      </c>
      <c r="M261" s="32"/>
      <c r="N261" s="32"/>
      <c r="O261" s="206"/>
      <c r="P261" s="205"/>
      <c r="Q261" s="202"/>
      <c r="R261" s="204"/>
      <c r="S261" s="38"/>
      <c r="T261" s="201"/>
      <c r="U261" s="201"/>
      <c r="V261" s="201"/>
      <c r="W261" s="201"/>
      <c r="X261" s="201"/>
      <c r="Y261" s="201"/>
      <c r="Z261" s="201"/>
      <c r="AA261" s="201"/>
      <c r="AB261" s="202"/>
      <c r="AC261" s="202"/>
      <c r="AD261" s="202"/>
      <c r="AE261" s="202"/>
      <c r="AF261" s="202"/>
      <c r="AG261" s="201"/>
      <c r="AH261" s="201"/>
      <c r="AI261" s="201"/>
      <c r="AJ261" s="201"/>
      <c r="AK261" s="201"/>
      <c r="AL261" s="201"/>
      <c r="AM261" s="201"/>
      <c r="AN261" s="201"/>
      <c r="AO261" s="201"/>
      <c r="AP261" s="201"/>
      <c r="AQ261" s="201"/>
      <c r="AR261" s="201"/>
      <c r="AS261" s="201"/>
      <c r="AT261" s="201"/>
      <c r="AU261" s="201"/>
      <c r="AV261" s="201"/>
      <c r="AW261" s="201"/>
      <c r="AX261" s="201"/>
      <c r="AY261" s="201"/>
      <c r="AZ261" s="201"/>
    </row>
    <row r="262" spans="2:52">
      <c r="B262" s="35" t="s">
        <v>517</v>
      </c>
      <c r="C262" s="35"/>
      <c r="D262" s="32"/>
      <c r="E262" s="36" t="s">
        <v>511</v>
      </c>
      <c r="F262" s="37">
        <v>45029.415972222225</v>
      </c>
      <c r="G262" s="32"/>
      <c r="H262" s="33"/>
      <c r="I262" s="34"/>
      <c r="J262" s="35" t="s">
        <v>518</v>
      </c>
      <c r="K262" s="36" t="s">
        <v>511</v>
      </c>
      <c r="L262" s="50">
        <v>63200</v>
      </c>
      <c r="M262" s="40" t="s">
        <v>519</v>
      </c>
      <c r="N262" s="40"/>
      <c r="O262" s="206"/>
      <c r="P262" s="205"/>
      <c r="Q262" s="202"/>
      <c r="R262" s="204"/>
      <c r="S262" s="38"/>
      <c r="T262" s="201"/>
      <c r="U262" s="201"/>
      <c r="V262" s="201"/>
      <c r="W262" s="201"/>
      <c r="X262" s="201"/>
      <c r="Y262" s="201"/>
      <c r="Z262" s="201"/>
      <c r="AA262" s="201"/>
      <c r="AB262" s="202"/>
      <c r="AC262" s="202"/>
      <c r="AD262" s="202"/>
      <c r="AE262" s="202"/>
      <c r="AF262" s="202"/>
      <c r="AG262" s="201"/>
      <c r="AH262" s="201"/>
      <c r="AI262" s="201"/>
      <c r="AJ262" s="201"/>
      <c r="AK262" s="201"/>
      <c r="AL262" s="201"/>
      <c r="AM262" s="201"/>
      <c r="AN262" s="201"/>
      <c r="AO262" s="201"/>
      <c r="AP262" s="201"/>
      <c r="AQ262" s="201"/>
      <c r="AR262" s="201"/>
      <c r="AS262" s="201"/>
      <c r="AT262" s="201"/>
      <c r="AU262" s="201"/>
      <c r="AV262" s="201"/>
      <c r="AW262" s="201"/>
      <c r="AX262" s="201"/>
      <c r="AY262" s="201"/>
      <c r="AZ262" s="201"/>
    </row>
    <row r="263" spans="2:52">
      <c r="B263" s="35" t="s">
        <v>520</v>
      </c>
      <c r="C263" s="35"/>
      <c r="D263" s="32"/>
      <c r="E263" s="36" t="s">
        <v>511</v>
      </c>
      <c r="F263" s="37" t="s">
        <v>12</v>
      </c>
      <c r="G263" s="32"/>
      <c r="H263" s="33"/>
      <c r="I263" s="34"/>
      <c r="J263" s="35" t="s">
        <v>521</v>
      </c>
      <c r="K263" s="36" t="s">
        <v>511</v>
      </c>
      <c r="L263" s="41" t="s">
        <v>1425</v>
      </c>
      <c r="M263" s="32"/>
      <c r="N263" s="32"/>
      <c r="O263" s="206"/>
      <c r="P263" s="202"/>
      <c r="Q263" s="202"/>
      <c r="R263" s="204"/>
      <c r="S263" s="38"/>
      <c r="T263" s="201"/>
      <c r="U263" s="201"/>
      <c r="V263" s="201"/>
      <c r="W263" s="201"/>
      <c r="X263" s="201"/>
      <c r="Y263" s="201"/>
      <c r="Z263" s="201"/>
      <c r="AA263" s="201"/>
      <c r="AB263" s="202"/>
      <c r="AC263" s="202"/>
      <c r="AD263" s="202"/>
      <c r="AE263" s="202"/>
      <c r="AF263" s="202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  <c r="AQ263" s="201"/>
      <c r="AR263" s="201"/>
      <c r="AS263" s="201"/>
      <c r="AT263" s="201"/>
      <c r="AU263" s="201"/>
      <c r="AV263" s="201"/>
      <c r="AW263" s="201"/>
      <c r="AX263" s="201"/>
      <c r="AY263" s="201"/>
      <c r="AZ263" s="201"/>
    </row>
    <row r="264" spans="2:52">
      <c r="B264" s="35" t="s">
        <v>523</v>
      </c>
      <c r="C264" s="35"/>
      <c r="D264" s="32"/>
      <c r="E264" s="36" t="s">
        <v>511</v>
      </c>
      <c r="F264" s="37" t="s">
        <v>41</v>
      </c>
      <c r="G264" s="32"/>
      <c r="H264" s="33"/>
      <c r="I264" s="34"/>
      <c r="J264" s="42" t="s">
        <v>524</v>
      </c>
      <c r="K264" s="36" t="s">
        <v>511</v>
      </c>
      <c r="L264" s="43" t="s">
        <v>15</v>
      </c>
      <c r="M264" s="44"/>
      <c r="N264" s="44"/>
      <c r="O264" s="206"/>
      <c r="P264" s="205"/>
      <c r="Q264" s="202"/>
      <c r="R264" s="204"/>
      <c r="S264" s="38"/>
      <c r="T264" s="201"/>
      <c r="U264" s="201"/>
      <c r="V264" s="201"/>
      <c r="W264" s="201"/>
      <c r="X264" s="201"/>
      <c r="Y264" s="201"/>
      <c r="Z264" s="201"/>
      <c r="AA264" s="201"/>
      <c r="AB264" s="202"/>
      <c r="AC264" s="202"/>
      <c r="AD264" s="202"/>
      <c r="AE264" s="202"/>
      <c r="AF264" s="202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201"/>
      <c r="AQ264" s="201"/>
      <c r="AR264" s="201"/>
      <c r="AS264" s="201"/>
      <c r="AT264" s="201"/>
      <c r="AU264" s="201"/>
      <c r="AV264" s="201"/>
      <c r="AW264" s="201"/>
      <c r="AX264" s="201"/>
      <c r="AY264" s="201"/>
      <c r="AZ264" s="201"/>
    </row>
    <row r="265" spans="2:52">
      <c r="B265" s="35" t="s">
        <v>2</v>
      </c>
      <c r="C265" s="35"/>
      <c r="D265" s="32"/>
      <c r="E265" s="36" t="s">
        <v>511</v>
      </c>
      <c r="F265" s="37" t="s">
        <v>6</v>
      </c>
      <c r="G265" s="32"/>
      <c r="H265" s="33"/>
      <c r="I265" s="45"/>
      <c r="J265" s="42"/>
      <c r="K265" s="36"/>
      <c r="L265" s="211"/>
      <c r="M265" s="201"/>
      <c r="N265" s="201"/>
      <c r="O265" s="42"/>
      <c r="P265" s="44"/>
      <c r="Q265" s="44"/>
      <c r="R265" s="44"/>
      <c r="S265" s="34"/>
      <c r="T265" s="201"/>
      <c r="U265" s="201"/>
      <c r="V265" s="201"/>
      <c r="W265" s="201"/>
      <c r="X265" s="201"/>
      <c r="Y265" s="201"/>
      <c r="Z265" s="201"/>
      <c r="AA265" s="201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201"/>
      <c r="AP265" s="201"/>
      <c r="AQ265" s="201"/>
      <c r="AR265" s="201"/>
      <c r="AS265" s="201"/>
      <c r="AT265" s="201"/>
      <c r="AU265" s="201"/>
      <c r="AV265" s="201"/>
      <c r="AW265" s="201"/>
      <c r="AX265" s="201"/>
      <c r="AY265" s="201"/>
      <c r="AZ265" s="201"/>
    </row>
    <row r="266" spans="2:52">
      <c r="B266" s="201"/>
      <c r="C266" s="201"/>
      <c r="D266" s="201"/>
      <c r="E266" s="201"/>
      <c r="F266" s="201"/>
      <c r="G266" s="201"/>
      <c r="H266" s="201"/>
      <c r="I266" s="45"/>
      <c r="J266" s="42"/>
      <c r="K266" s="42"/>
      <c r="L266" s="43"/>
      <c r="M266" s="44"/>
      <c r="N266" s="44"/>
      <c r="O266" s="42"/>
      <c r="P266" s="44"/>
      <c r="Q266" s="44"/>
      <c r="R266" s="44"/>
      <c r="S266" s="34"/>
      <c r="T266" s="1265" t="s">
        <v>87</v>
      </c>
      <c r="U266" s="1265"/>
      <c r="V266" s="1265"/>
      <c r="W266" s="1265"/>
      <c r="X266" s="1265"/>
      <c r="Y266" s="1265" t="s">
        <v>73</v>
      </c>
      <c r="Z266" s="1265"/>
      <c r="AA266" s="1265"/>
      <c r="AB266" s="1265" t="s">
        <v>74</v>
      </c>
      <c r="AC266" s="1265"/>
      <c r="AD266" s="423" t="s">
        <v>85</v>
      </c>
      <c r="AE266" s="423" t="s">
        <v>77</v>
      </c>
      <c r="AF266" s="1265" t="s">
        <v>525</v>
      </c>
      <c r="AG266" s="1265"/>
      <c r="AH266" s="1265"/>
      <c r="AI266" s="1265"/>
      <c r="AJ266" s="1265"/>
      <c r="AK266" s="1265"/>
      <c r="AL266" s="1265"/>
      <c r="AM266" s="1265"/>
      <c r="AN266" s="1265"/>
      <c r="AO266" s="1265"/>
      <c r="AP266" s="1265"/>
      <c r="AQ266" s="1265"/>
      <c r="AR266" s="1265"/>
      <c r="AS266" s="1265"/>
      <c r="AT266" s="1265"/>
      <c r="AU266" s="1265"/>
      <c r="AV266" s="1265"/>
      <c r="AW266" s="1265"/>
      <c r="AX266" s="1265"/>
      <c r="AY266" s="1265"/>
      <c r="AZ266" s="201"/>
    </row>
    <row r="267" spans="2:52">
      <c r="B267" s="1266" t="s">
        <v>526</v>
      </c>
      <c r="C267" s="1267"/>
      <c r="D267" s="570" t="s">
        <v>527</v>
      </c>
      <c r="E267" s="570"/>
      <c r="F267" s="570" t="s">
        <v>528</v>
      </c>
      <c r="G267" s="570" t="s">
        <v>529</v>
      </c>
      <c r="H267" s="570" t="s">
        <v>530</v>
      </c>
      <c r="I267" s="570" t="s">
        <v>531</v>
      </c>
      <c r="J267" s="570" t="s">
        <v>532</v>
      </c>
      <c r="K267" s="570"/>
      <c r="L267" s="570" t="s">
        <v>130</v>
      </c>
      <c r="M267" s="570" t="s">
        <v>533</v>
      </c>
      <c r="N267" s="408" t="str">
        <f>"On time - "&amp;COUNTIF(N268:N278,"On time")&amp;" from "&amp;ROWS(N268:N278)-COUNTIF(N268:N278," ")</f>
        <v>On time - 0 from 9</v>
      </c>
      <c r="O267" s="46"/>
      <c r="P267" s="409" t="s">
        <v>534</v>
      </c>
      <c r="Q267" s="409" t="s">
        <v>535</v>
      </c>
      <c r="R267" s="409" t="s">
        <v>536</v>
      </c>
      <c r="S267" s="32"/>
      <c r="T267" s="424" t="s">
        <v>537</v>
      </c>
      <c r="U267" s="424" t="s">
        <v>538</v>
      </c>
      <c r="V267" s="424" t="s">
        <v>539</v>
      </c>
      <c r="W267" s="424" t="s">
        <v>540</v>
      </c>
      <c r="X267" s="424" t="s">
        <v>541</v>
      </c>
      <c r="Y267" s="424" t="s">
        <v>167</v>
      </c>
      <c r="Z267" s="424" t="s">
        <v>168</v>
      </c>
      <c r="AA267" s="424" t="s">
        <v>169</v>
      </c>
      <c r="AB267" s="424" t="s">
        <v>235</v>
      </c>
      <c r="AC267" s="424" t="s">
        <v>240</v>
      </c>
      <c r="AD267" s="423" t="s">
        <v>85</v>
      </c>
      <c r="AE267" s="424" t="s">
        <v>139</v>
      </c>
      <c r="AF267" s="424" t="s">
        <v>72</v>
      </c>
      <c r="AG267" s="424" t="s">
        <v>88</v>
      </c>
      <c r="AH267" s="424" t="s">
        <v>75</v>
      </c>
      <c r="AI267" s="424" t="s">
        <v>543</v>
      </c>
      <c r="AJ267" s="424" t="s">
        <v>78</v>
      </c>
      <c r="AK267" s="424" t="s">
        <v>76</v>
      </c>
      <c r="AL267" s="424" t="s">
        <v>544</v>
      </c>
      <c r="AM267" s="424" t="s">
        <v>545</v>
      </c>
      <c r="AN267" s="424" t="s">
        <v>86</v>
      </c>
      <c r="AO267" s="424" t="s">
        <v>83</v>
      </c>
      <c r="AP267" s="424" t="s">
        <v>84</v>
      </c>
      <c r="AQ267" s="424" t="s">
        <v>546</v>
      </c>
      <c r="AR267" s="424" t="s">
        <v>81</v>
      </c>
      <c r="AS267" s="424" t="s">
        <v>80</v>
      </c>
      <c r="AT267" s="424" t="s">
        <v>82</v>
      </c>
      <c r="AU267" s="424" t="s">
        <v>181</v>
      </c>
      <c r="AV267" s="424" t="s">
        <v>183</v>
      </c>
      <c r="AW267" s="424" t="s">
        <v>547</v>
      </c>
      <c r="AX267" s="424" t="s">
        <v>182</v>
      </c>
      <c r="AY267" s="424" t="s">
        <v>172</v>
      </c>
      <c r="AZ267" s="201"/>
    </row>
    <row r="268" spans="2:52">
      <c r="B268" s="1256" t="s">
        <v>548</v>
      </c>
      <c r="C268" s="1257"/>
      <c r="D268" s="411" t="s">
        <v>1213</v>
      </c>
      <c r="E268" s="411"/>
      <c r="F268" s="411" t="s">
        <v>346</v>
      </c>
      <c r="G268" s="411" t="s">
        <v>347</v>
      </c>
      <c r="H268" s="412">
        <v>2926</v>
      </c>
      <c r="I268" s="413" t="s">
        <v>235</v>
      </c>
      <c r="J268" s="414">
        <v>45030.513888888891</v>
      </c>
      <c r="K268" s="414"/>
      <c r="L268" s="414" t="s">
        <v>192</v>
      </c>
      <c r="M268" s="414" t="s">
        <v>192</v>
      </c>
      <c r="N268" s="413" t="str">
        <f>IF(ISBLANK(J268)," ",IF(J268&lt;$F$262,"On time",(IF(DAY(J268-$F$262)&lt;1,"On time",(IF(J268&gt;$F$262,"DELAY ( "&amp;DAY(J268-$F$262)&amp;" day "&amp;HOUR(J268-$F$262)&amp;" hour "&amp;MINUTE(J268-$F$262)&amp;" minute )","xxx"))))))</f>
        <v>DELAY ( 1 day 2 hour 21 minute )</v>
      </c>
      <c r="O268" s="51"/>
      <c r="P268" s="415" t="s">
        <v>551</v>
      </c>
      <c r="Q268" s="415" t="s">
        <v>551</v>
      </c>
      <c r="R268" s="415" t="s">
        <v>551</v>
      </c>
      <c r="S268" s="32"/>
      <c r="T268" s="416"/>
      <c r="U268" s="416"/>
      <c r="V268" s="416"/>
      <c r="W268" s="416"/>
      <c r="X268" s="416"/>
      <c r="Y268" s="416"/>
      <c r="Z268" s="416"/>
      <c r="AA268" s="416"/>
      <c r="AB268" s="416">
        <f t="shared" ref="AB268:AB273" si="17">H268</f>
        <v>2926</v>
      </c>
      <c r="AC268" s="416"/>
      <c r="AD268" s="416"/>
      <c r="AE268" s="416"/>
      <c r="AF268" s="416"/>
      <c r="AG268" s="416"/>
      <c r="AH268" s="416"/>
      <c r="AI268" s="416"/>
      <c r="AJ268" s="416"/>
      <c r="AK268" s="416"/>
      <c r="AL268" s="416"/>
      <c r="AM268" s="416"/>
      <c r="AN268" s="416"/>
      <c r="AO268" s="416"/>
      <c r="AP268" s="416"/>
      <c r="AQ268" s="416"/>
      <c r="AR268" s="416"/>
      <c r="AS268" s="416"/>
      <c r="AT268" s="416"/>
      <c r="AU268" s="416"/>
      <c r="AV268" s="416"/>
      <c r="AW268" s="416"/>
      <c r="AX268" s="416"/>
      <c r="AY268" s="416"/>
      <c r="AZ268" s="32"/>
    </row>
    <row r="269" spans="2:52">
      <c r="B269" s="1256" t="s">
        <v>548</v>
      </c>
      <c r="C269" s="1257"/>
      <c r="D269" s="411" t="s">
        <v>1220</v>
      </c>
      <c r="E269" s="411"/>
      <c r="F269" s="411" t="s">
        <v>361</v>
      </c>
      <c r="G269" s="411" t="s">
        <v>362</v>
      </c>
      <c r="H269" s="412">
        <v>4166</v>
      </c>
      <c r="I269" s="413" t="s">
        <v>235</v>
      </c>
      <c r="J269" s="414">
        <v>45030.743055555555</v>
      </c>
      <c r="K269" s="414"/>
      <c r="L269" s="414" t="s">
        <v>192</v>
      </c>
      <c r="M269" s="414" t="s">
        <v>192</v>
      </c>
      <c r="N269" s="413" t="str">
        <f t="shared" ref="N269:N279" si="18">IF(ISBLANK(J269)," ",IF(J269&lt;$F$262,"On time",(IF(DAY(J269-$F$262)&lt;1,"On time",(IF(J269&gt;$F$262,"DELAY ( "&amp;DAY(J269-$F$262)&amp;" day "&amp;HOUR(J269-$F$262)&amp;" hour "&amp;MINUTE(J269-$F$262)&amp;" minute )","xxx"))))))</f>
        <v>DELAY ( 1 day 7 hour 51 minute )</v>
      </c>
      <c r="O269" s="51"/>
      <c r="P269" s="415" t="s">
        <v>551</v>
      </c>
      <c r="Q269" s="415" t="s">
        <v>551</v>
      </c>
      <c r="R269" s="415" t="s">
        <v>551</v>
      </c>
      <c r="S269" s="32"/>
      <c r="T269" s="416"/>
      <c r="U269" s="416"/>
      <c r="V269" s="416"/>
      <c r="W269" s="416"/>
      <c r="X269" s="416"/>
      <c r="Y269" s="416"/>
      <c r="Z269" s="416"/>
      <c r="AA269" s="416"/>
      <c r="AB269" s="416">
        <f t="shared" si="17"/>
        <v>4166</v>
      </c>
      <c r="AC269" s="416"/>
      <c r="AD269" s="416"/>
      <c r="AE269" s="416"/>
      <c r="AF269" s="416"/>
      <c r="AG269" s="416"/>
      <c r="AH269" s="416"/>
      <c r="AI269" s="416"/>
      <c r="AJ269" s="416"/>
      <c r="AK269" s="416"/>
      <c r="AL269" s="416"/>
      <c r="AM269" s="416"/>
      <c r="AN269" s="416"/>
      <c r="AO269" s="416"/>
      <c r="AP269" s="416"/>
      <c r="AQ269" s="416"/>
      <c r="AR269" s="416"/>
      <c r="AS269" s="416"/>
      <c r="AT269" s="416"/>
      <c r="AU269" s="416"/>
      <c r="AV269" s="416"/>
      <c r="AW269" s="416"/>
      <c r="AX269" s="416"/>
      <c r="AY269" s="416"/>
      <c r="AZ269" s="32"/>
    </row>
    <row r="270" spans="2:52">
      <c r="B270" s="1256" t="s">
        <v>548</v>
      </c>
      <c r="C270" s="1257"/>
      <c r="D270" s="411" t="s">
        <v>1238</v>
      </c>
      <c r="E270" s="411"/>
      <c r="F270" s="411" t="s">
        <v>284</v>
      </c>
      <c r="G270" s="411" t="s">
        <v>285</v>
      </c>
      <c r="H270" s="412">
        <v>9104.5069999999996</v>
      </c>
      <c r="I270" s="413" t="s">
        <v>235</v>
      </c>
      <c r="J270" s="414">
        <v>45031.395833333336</v>
      </c>
      <c r="K270" s="414"/>
      <c r="L270" s="414" t="s">
        <v>192</v>
      </c>
      <c r="M270" s="414" t="s">
        <v>192</v>
      </c>
      <c r="N270" s="413" t="str">
        <f t="shared" si="18"/>
        <v>DELAY ( 1 day 23 hour 31 minute )</v>
      </c>
      <c r="O270" s="51"/>
      <c r="P270" s="415" t="s">
        <v>551</v>
      </c>
      <c r="Q270" s="415" t="s">
        <v>551</v>
      </c>
      <c r="R270" s="415" t="s">
        <v>551</v>
      </c>
      <c r="S270" s="32"/>
      <c r="T270" s="416"/>
      <c r="U270" s="416"/>
      <c r="V270" s="416"/>
      <c r="W270" s="416"/>
      <c r="X270" s="416"/>
      <c r="Y270" s="416"/>
      <c r="Z270" s="416"/>
      <c r="AA270" s="416"/>
      <c r="AB270" s="416">
        <f t="shared" si="17"/>
        <v>9104.5069999999996</v>
      </c>
      <c r="AC270" s="416"/>
      <c r="AD270" s="416"/>
      <c r="AE270" s="416"/>
      <c r="AF270" s="416"/>
      <c r="AG270" s="416"/>
      <c r="AH270" s="416"/>
      <c r="AI270" s="416"/>
      <c r="AJ270" s="416"/>
      <c r="AK270" s="416"/>
      <c r="AL270" s="416"/>
      <c r="AM270" s="416"/>
      <c r="AN270" s="416"/>
      <c r="AO270" s="416"/>
      <c r="AP270" s="416"/>
      <c r="AQ270" s="416"/>
      <c r="AR270" s="416"/>
      <c r="AS270" s="416"/>
      <c r="AT270" s="416"/>
      <c r="AU270" s="416"/>
      <c r="AV270" s="416"/>
      <c r="AW270" s="416"/>
      <c r="AX270" s="416"/>
      <c r="AY270" s="416"/>
      <c r="AZ270" s="32"/>
    </row>
    <row r="271" spans="2:52">
      <c r="B271" s="1256" t="s">
        <v>548</v>
      </c>
      <c r="C271" s="1257"/>
      <c r="D271" s="411" t="s">
        <v>1236</v>
      </c>
      <c r="E271" s="411"/>
      <c r="F271" s="411" t="s">
        <v>298</v>
      </c>
      <c r="G271" s="411" t="s">
        <v>299</v>
      </c>
      <c r="H271" s="412">
        <v>10521.075999999999</v>
      </c>
      <c r="I271" s="413" t="s">
        <v>235</v>
      </c>
      <c r="J271" s="414">
        <v>45031.458333333336</v>
      </c>
      <c r="K271" s="414"/>
      <c r="L271" s="414" t="s">
        <v>192</v>
      </c>
      <c r="M271" s="414" t="s">
        <v>192</v>
      </c>
      <c r="N271" s="413" t="str">
        <f t="shared" si="18"/>
        <v>DELAY ( 2 day 1 hour 1 minute )</v>
      </c>
      <c r="O271" s="51"/>
      <c r="P271" s="415" t="s">
        <v>551</v>
      </c>
      <c r="Q271" s="415" t="s">
        <v>551</v>
      </c>
      <c r="R271" s="415" t="s">
        <v>551</v>
      </c>
      <c r="S271" s="32"/>
      <c r="T271" s="416"/>
      <c r="U271" s="416"/>
      <c r="V271" s="416"/>
      <c r="W271" s="416"/>
      <c r="X271" s="416"/>
      <c r="Y271" s="416"/>
      <c r="Z271" s="416"/>
      <c r="AA271" s="416"/>
      <c r="AB271" s="416">
        <f t="shared" si="17"/>
        <v>10521.075999999999</v>
      </c>
      <c r="AC271" s="416"/>
      <c r="AD271" s="416"/>
      <c r="AE271" s="416"/>
      <c r="AF271" s="416"/>
      <c r="AG271" s="416"/>
      <c r="AH271" s="416"/>
      <c r="AI271" s="416"/>
      <c r="AJ271" s="416"/>
      <c r="AK271" s="416"/>
      <c r="AL271" s="416"/>
      <c r="AM271" s="416"/>
      <c r="AN271" s="416"/>
      <c r="AO271" s="416"/>
      <c r="AP271" s="416"/>
      <c r="AQ271" s="416"/>
      <c r="AR271" s="416"/>
      <c r="AS271" s="416"/>
      <c r="AT271" s="416"/>
      <c r="AU271" s="416"/>
      <c r="AV271" s="416"/>
      <c r="AW271" s="416"/>
      <c r="AX271" s="416"/>
      <c r="AY271" s="416"/>
      <c r="AZ271" s="32"/>
    </row>
    <row r="272" spans="2:52">
      <c r="B272" s="1256" t="s">
        <v>548</v>
      </c>
      <c r="C272" s="1257"/>
      <c r="D272" s="411" t="s">
        <v>1237</v>
      </c>
      <c r="E272" s="411"/>
      <c r="F272" s="411" t="s">
        <v>695</v>
      </c>
      <c r="G272" s="411" t="s">
        <v>281</v>
      </c>
      <c r="H272" s="412">
        <v>7487.5640000000003</v>
      </c>
      <c r="I272" s="413" t="s">
        <v>235</v>
      </c>
      <c r="J272" s="414">
        <v>45031.625</v>
      </c>
      <c r="K272" s="414"/>
      <c r="L272" s="414" t="s">
        <v>192</v>
      </c>
      <c r="M272" s="414" t="s">
        <v>192</v>
      </c>
      <c r="N272" s="413" t="str">
        <f t="shared" si="18"/>
        <v>DELAY ( 2 day 5 hour 1 minute )</v>
      </c>
      <c r="O272" s="51"/>
      <c r="P272" s="415" t="s">
        <v>551</v>
      </c>
      <c r="Q272" s="415" t="s">
        <v>551</v>
      </c>
      <c r="R272" s="415" t="s">
        <v>551</v>
      </c>
      <c r="S272" s="32"/>
      <c r="T272" s="416"/>
      <c r="U272" s="416"/>
      <c r="V272" s="416"/>
      <c r="W272" s="416"/>
      <c r="X272" s="416"/>
      <c r="Y272" s="416"/>
      <c r="Z272" s="416"/>
      <c r="AA272" s="416"/>
      <c r="AB272" s="416">
        <f t="shared" si="17"/>
        <v>7487.5640000000003</v>
      </c>
      <c r="AC272" s="416"/>
      <c r="AD272" s="416"/>
      <c r="AE272" s="416"/>
      <c r="AF272" s="416"/>
      <c r="AG272" s="416"/>
      <c r="AH272" s="416"/>
      <c r="AI272" s="416"/>
      <c r="AJ272" s="416"/>
      <c r="AK272" s="416"/>
      <c r="AL272" s="416"/>
      <c r="AM272" s="416"/>
      <c r="AN272" s="416"/>
      <c r="AO272" s="416"/>
      <c r="AP272" s="416"/>
      <c r="AQ272" s="416"/>
      <c r="AR272" s="416"/>
      <c r="AS272" s="416"/>
      <c r="AT272" s="416"/>
      <c r="AU272" s="416"/>
      <c r="AV272" s="416"/>
      <c r="AW272" s="416"/>
      <c r="AX272" s="416"/>
      <c r="AY272" s="416"/>
      <c r="AZ272" s="32"/>
    </row>
    <row r="273" spans="2:52">
      <c r="B273" s="1250" t="s">
        <v>872</v>
      </c>
      <c r="C273" s="1251"/>
      <c r="D273" s="411" t="s">
        <v>1239</v>
      </c>
      <c r="E273" s="411"/>
      <c r="F273" s="411" t="s">
        <v>1240</v>
      </c>
      <c r="G273" s="411" t="s">
        <v>1241</v>
      </c>
      <c r="H273" s="412">
        <v>7818.8069999999998</v>
      </c>
      <c r="I273" s="413" t="s">
        <v>235</v>
      </c>
      <c r="J273" s="414">
        <v>45032.5</v>
      </c>
      <c r="K273" s="414"/>
      <c r="L273" s="414" t="s">
        <v>192</v>
      </c>
      <c r="M273" s="414" t="s">
        <v>192</v>
      </c>
      <c r="N273" s="413" t="str">
        <f t="shared" si="18"/>
        <v>DELAY ( 3 day 2 hour 1 minute )</v>
      </c>
      <c r="O273" s="51"/>
      <c r="P273" s="415" t="s">
        <v>551</v>
      </c>
      <c r="Q273" s="415" t="s">
        <v>551</v>
      </c>
      <c r="R273" s="415" t="s">
        <v>551</v>
      </c>
      <c r="S273" s="32"/>
      <c r="T273" s="416"/>
      <c r="U273" s="416"/>
      <c r="V273" s="416"/>
      <c r="W273" s="416"/>
      <c r="X273" s="416"/>
      <c r="Y273" s="416"/>
      <c r="Z273" s="416"/>
      <c r="AA273" s="416"/>
      <c r="AB273" s="416">
        <f t="shared" si="17"/>
        <v>7818.8069999999998</v>
      </c>
      <c r="AC273" s="416"/>
      <c r="AD273" s="416"/>
      <c r="AE273" s="416"/>
      <c r="AF273" s="416"/>
      <c r="AG273" s="416"/>
      <c r="AH273" s="416"/>
      <c r="AI273" s="416"/>
      <c r="AJ273" s="416"/>
      <c r="AK273" s="416"/>
      <c r="AL273" s="416"/>
      <c r="AM273" s="416"/>
      <c r="AN273" s="416"/>
      <c r="AO273" s="416"/>
      <c r="AP273" s="416"/>
      <c r="AQ273" s="416"/>
      <c r="AR273" s="416"/>
      <c r="AS273" s="416"/>
      <c r="AT273" s="416"/>
      <c r="AU273" s="416"/>
      <c r="AV273" s="416"/>
      <c r="AW273" s="416"/>
      <c r="AX273" s="416"/>
      <c r="AY273" s="416"/>
      <c r="AZ273" s="32"/>
    </row>
    <row r="274" spans="2:52">
      <c r="B274" s="1252"/>
      <c r="C274" s="1253"/>
      <c r="D274" s="411" t="s">
        <v>1190</v>
      </c>
      <c r="E274" s="425"/>
      <c r="F274" s="411" t="s">
        <v>70</v>
      </c>
      <c r="G274" s="411" t="s">
        <v>255</v>
      </c>
      <c r="H274" s="412">
        <f>7500/2</f>
        <v>3750</v>
      </c>
      <c r="I274" s="413" t="s">
        <v>78</v>
      </c>
      <c r="J274" s="1268">
        <v>45034.170138888891</v>
      </c>
      <c r="K274" s="414"/>
      <c r="L274" s="414" t="s">
        <v>192</v>
      </c>
      <c r="M274" s="414" t="s">
        <v>192</v>
      </c>
      <c r="N274" s="413" t="str">
        <f t="shared" si="18"/>
        <v>DELAY ( 4 day 18 hour 6 minute )</v>
      </c>
      <c r="O274" s="51"/>
      <c r="P274" s="1280" t="s">
        <v>551</v>
      </c>
      <c r="Q274" s="1280" t="s">
        <v>551</v>
      </c>
      <c r="R274" s="1280" t="s">
        <v>551</v>
      </c>
      <c r="S274" s="32"/>
      <c r="T274" s="416"/>
      <c r="U274" s="416"/>
      <c r="V274" s="416"/>
      <c r="W274" s="416"/>
      <c r="X274" s="416"/>
      <c r="Y274" s="416"/>
      <c r="Z274" s="416"/>
      <c r="AA274" s="416"/>
      <c r="AB274" s="416"/>
      <c r="AC274" s="416"/>
      <c r="AD274" s="416"/>
      <c r="AE274" s="416"/>
      <c r="AF274" s="416"/>
      <c r="AG274" s="416"/>
      <c r="AH274" s="416"/>
      <c r="AI274" s="416"/>
      <c r="AJ274" s="416">
        <f>H274</f>
        <v>3750</v>
      </c>
      <c r="AK274" s="416"/>
      <c r="AL274" s="416"/>
      <c r="AM274" s="416"/>
      <c r="AN274" s="416"/>
      <c r="AO274" s="416"/>
      <c r="AP274" s="416"/>
      <c r="AQ274" s="416"/>
      <c r="AR274" s="416"/>
      <c r="AS274" s="416"/>
      <c r="AT274" s="32"/>
      <c r="AU274" s="416"/>
      <c r="AV274" s="416"/>
      <c r="AW274" s="416"/>
      <c r="AX274" s="416"/>
      <c r="AY274" s="416"/>
      <c r="AZ274" s="32"/>
    </row>
    <row r="275" spans="2:52">
      <c r="B275" s="1250" t="s">
        <v>644</v>
      </c>
      <c r="C275" s="1251"/>
      <c r="D275" s="411" t="s">
        <v>1190</v>
      </c>
      <c r="E275" s="425"/>
      <c r="F275" s="411" t="s">
        <v>70</v>
      </c>
      <c r="G275" s="411" t="s">
        <v>255</v>
      </c>
      <c r="H275" s="412">
        <f>H274</f>
        <v>3750</v>
      </c>
      <c r="I275" s="413" t="s">
        <v>78</v>
      </c>
      <c r="J275" s="1269"/>
      <c r="K275" s="414"/>
      <c r="L275" s="414" t="s">
        <v>192</v>
      </c>
      <c r="M275" s="414" t="s">
        <v>192</v>
      </c>
      <c r="N275" s="413" t="str">
        <f t="shared" si="18"/>
        <v xml:space="preserve"> </v>
      </c>
      <c r="O275" s="51"/>
      <c r="P275" s="1281"/>
      <c r="Q275" s="1281"/>
      <c r="R275" s="1281"/>
      <c r="S275" s="32"/>
      <c r="T275" s="416"/>
      <c r="U275" s="416"/>
      <c r="V275" s="416"/>
      <c r="W275" s="416"/>
      <c r="X275" s="416"/>
      <c r="Y275" s="416"/>
      <c r="Z275" s="416"/>
      <c r="AA275" s="416"/>
      <c r="AB275" s="416"/>
      <c r="AC275" s="416"/>
      <c r="AD275" s="416"/>
      <c r="AE275" s="416"/>
      <c r="AF275" s="416"/>
      <c r="AG275" s="416"/>
      <c r="AH275" s="416"/>
      <c r="AI275" s="416"/>
      <c r="AJ275" s="416">
        <f>H275</f>
        <v>3750</v>
      </c>
      <c r="AK275" s="416"/>
      <c r="AL275" s="416"/>
      <c r="AM275" s="416"/>
      <c r="AN275" s="416"/>
      <c r="AO275" s="416"/>
      <c r="AP275" s="416"/>
      <c r="AQ275" s="416"/>
      <c r="AR275" s="416"/>
      <c r="AS275" s="416"/>
      <c r="AT275" s="32"/>
      <c r="AU275" s="416"/>
      <c r="AV275" s="416"/>
      <c r="AW275" s="416"/>
      <c r="AX275" s="416"/>
      <c r="AY275" s="416"/>
      <c r="AZ275" s="32"/>
    </row>
    <row r="276" spans="2:52">
      <c r="B276" s="1252"/>
      <c r="C276" s="1253"/>
      <c r="D276" s="411" t="s">
        <v>1249</v>
      </c>
      <c r="E276" s="411"/>
      <c r="F276" s="411" t="s">
        <v>1250</v>
      </c>
      <c r="G276" s="411" t="s">
        <v>1251</v>
      </c>
      <c r="H276" s="412">
        <v>7578.9409999999998</v>
      </c>
      <c r="I276" s="413" t="s">
        <v>235</v>
      </c>
      <c r="J276" s="414">
        <v>45034.152777777781</v>
      </c>
      <c r="K276" s="414"/>
      <c r="L276" s="414" t="s">
        <v>192</v>
      </c>
      <c r="M276" s="414" t="s">
        <v>192</v>
      </c>
      <c r="N276" s="413" t="str">
        <f t="shared" si="18"/>
        <v>DELAY ( 4 day 17 hour 41 minute )</v>
      </c>
      <c r="O276" s="51"/>
      <c r="P276" s="415" t="s">
        <v>551</v>
      </c>
      <c r="Q276" s="415" t="s">
        <v>551</v>
      </c>
      <c r="R276" s="415" t="s">
        <v>551</v>
      </c>
      <c r="S276" s="32"/>
      <c r="T276" s="416"/>
      <c r="U276" s="416"/>
      <c r="V276" s="416"/>
      <c r="W276" s="416"/>
      <c r="X276" s="416"/>
      <c r="Y276" s="416"/>
      <c r="Z276" s="416"/>
      <c r="AA276" s="416"/>
      <c r="AB276" s="416">
        <f>H276</f>
        <v>7578.9409999999998</v>
      </c>
      <c r="AC276" s="416"/>
      <c r="AD276" s="416"/>
      <c r="AE276" s="416"/>
      <c r="AF276" s="416"/>
      <c r="AG276" s="416"/>
      <c r="AH276" s="416"/>
      <c r="AI276" s="416"/>
      <c r="AJ276" s="416"/>
      <c r="AK276" s="416"/>
      <c r="AL276" s="416"/>
      <c r="AM276" s="416"/>
      <c r="AN276" s="416"/>
      <c r="AO276" s="416"/>
      <c r="AP276" s="416"/>
      <c r="AQ276" s="416"/>
      <c r="AR276" s="416"/>
      <c r="AS276" s="416"/>
      <c r="AT276" s="416"/>
      <c r="AU276" s="416"/>
      <c r="AV276" s="416"/>
      <c r="AW276" s="416"/>
      <c r="AX276" s="416"/>
      <c r="AY276" s="416"/>
      <c r="AZ276" s="32"/>
    </row>
    <row r="277" spans="2:52">
      <c r="B277" s="1256" t="s">
        <v>548</v>
      </c>
      <c r="C277" s="1257"/>
      <c r="D277" s="411" t="s">
        <v>1243</v>
      </c>
      <c r="E277" s="411"/>
      <c r="F277" s="411" t="s">
        <v>295</v>
      </c>
      <c r="G277" s="411" t="s">
        <v>296</v>
      </c>
      <c r="H277" s="412">
        <f>9949.052-3851.947</f>
        <v>6097.1049999999996</v>
      </c>
      <c r="I277" s="413" t="s">
        <v>240</v>
      </c>
      <c r="J277" s="414">
        <v>45032.5</v>
      </c>
      <c r="K277" s="414"/>
      <c r="L277" s="414" t="s">
        <v>192</v>
      </c>
      <c r="M277" s="414" t="s">
        <v>192</v>
      </c>
      <c r="N277" s="413" t="str">
        <f t="shared" si="18"/>
        <v>DELAY ( 3 day 2 hour 1 minute )</v>
      </c>
      <c r="O277" s="51"/>
      <c r="P277" s="415" t="s">
        <v>551</v>
      </c>
      <c r="Q277" s="415" t="s">
        <v>551</v>
      </c>
      <c r="R277" s="415" t="s">
        <v>551</v>
      </c>
      <c r="S277" s="32"/>
      <c r="T277" s="416"/>
      <c r="U277" s="416"/>
      <c r="V277" s="416"/>
      <c r="W277" s="416"/>
      <c r="X277" s="416"/>
      <c r="Y277" s="416"/>
      <c r="Z277" s="416"/>
      <c r="AA277" s="416"/>
      <c r="AB277" s="32"/>
      <c r="AC277" s="416">
        <f>H277</f>
        <v>6097.1049999999996</v>
      </c>
      <c r="AD277" s="416"/>
      <c r="AE277" s="416"/>
      <c r="AF277" s="416"/>
      <c r="AG277" s="416"/>
      <c r="AH277" s="416"/>
      <c r="AI277" s="416"/>
      <c r="AJ277" s="416"/>
      <c r="AK277" s="416"/>
      <c r="AL277" s="416"/>
      <c r="AM277" s="416"/>
      <c r="AN277" s="416"/>
      <c r="AO277" s="416"/>
      <c r="AP277" s="416"/>
      <c r="AQ277" s="416"/>
      <c r="AR277" s="416"/>
      <c r="AS277" s="416"/>
      <c r="AT277" s="416"/>
      <c r="AU277" s="416"/>
      <c r="AV277" s="416"/>
      <c r="AW277" s="416"/>
      <c r="AX277" s="416"/>
      <c r="AY277" s="416"/>
      <c r="AZ277" s="32"/>
    </row>
    <row r="278" spans="2:52">
      <c r="B278" s="1258" t="s">
        <v>556</v>
      </c>
      <c r="C278" s="1259"/>
      <c r="D278" s="1259"/>
      <c r="E278" s="1259"/>
      <c r="F278" s="1259"/>
      <c r="G278" s="1260"/>
      <c r="H278" s="417">
        <f>SUM(H268:H277)</f>
        <v>63200</v>
      </c>
      <c r="I278" s="388"/>
      <c r="J278" s="293"/>
      <c r="K278" s="293"/>
      <c r="L278" s="293"/>
      <c r="M278" s="389"/>
      <c r="N278" s="413" t="str">
        <f t="shared" si="18"/>
        <v xml:space="preserve"> </v>
      </c>
      <c r="O278" s="212"/>
      <c r="P278" s="418"/>
      <c r="Q278" s="418"/>
      <c r="R278" s="418"/>
      <c r="S278" s="207"/>
      <c r="T278" s="1262"/>
      <c r="U278" s="1263"/>
      <c r="V278" s="1263"/>
      <c r="W278" s="1263"/>
      <c r="X278" s="1263"/>
      <c r="Y278" s="1263"/>
      <c r="Z278" s="1263"/>
      <c r="AA278" s="1263"/>
      <c r="AB278" s="1263"/>
      <c r="AC278" s="1263"/>
      <c r="AD278" s="1263"/>
      <c r="AE278" s="1263"/>
      <c r="AF278" s="1263"/>
      <c r="AG278" s="1263"/>
      <c r="AH278" s="1263"/>
      <c r="AI278" s="1263"/>
      <c r="AJ278" s="1263"/>
      <c r="AK278" s="1263"/>
      <c r="AL278" s="1263"/>
      <c r="AM278" s="1263"/>
      <c r="AN278" s="1263"/>
      <c r="AO278" s="1263"/>
      <c r="AP278" s="1263"/>
      <c r="AQ278" s="1263"/>
      <c r="AR278" s="1263"/>
      <c r="AS278" s="1263"/>
      <c r="AT278" s="1263"/>
      <c r="AU278" s="1263"/>
      <c r="AV278" s="1263"/>
      <c r="AW278" s="1263"/>
      <c r="AX278" s="1263"/>
      <c r="AY278" s="1264"/>
    </row>
    <row r="279" spans="2:52">
      <c r="B279" s="1243" t="s">
        <v>557</v>
      </c>
      <c r="C279" s="1244"/>
      <c r="D279" s="1244"/>
      <c r="E279" s="1244"/>
      <c r="F279" s="1244"/>
      <c r="G279" s="1245"/>
      <c r="H279" s="419">
        <v>63200</v>
      </c>
      <c r="I279" s="1246"/>
      <c r="J279" s="1247"/>
      <c r="K279" s="1247"/>
      <c r="L279" s="1247"/>
      <c r="M279" s="1248"/>
      <c r="N279" s="413" t="str">
        <f t="shared" si="18"/>
        <v xml:space="preserve"> </v>
      </c>
      <c r="O279" s="32"/>
      <c r="P279" s="415"/>
      <c r="Q279" s="415"/>
      <c r="R279" s="415"/>
      <c r="S279" s="63"/>
      <c r="T279" s="416">
        <f>SUM(T268:T277)</f>
        <v>0</v>
      </c>
      <c r="U279" s="416">
        <f t="shared" ref="U279:AY279" si="19">SUM(U268:U277)</f>
        <v>0</v>
      </c>
      <c r="V279" s="416">
        <f t="shared" si="19"/>
        <v>0</v>
      </c>
      <c r="W279" s="416">
        <f t="shared" si="19"/>
        <v>0</v>
      </c>
      <c r="X279" s="416">
        <f t="shared" si="19"/>
        <v>0</v>
      </c>
      <c r="Y279" s="416">
        <f t="shared" si="19"/>
        <v>0</v>
      </c>
      <c r="Z279" s="416">
        <f t="shared" si="19"/>
        <v>0</v>
      </c>
      <c r="AA279" s="416">
        <f t="shared" si="19"/>
        <v>0</v>
      </c>
      <c r="AB279" s="416">
        <f t="shared" si="19"/>
        <v>49602.894999999997</v>
      </c>
      <c r="AC279" s="416">
        <f t="shared" si="19"/>
        <v>6097.1049999999996</v>
      </c>
      <c r="AD279" s="416">
        <f t="shared" si="19"/>
        <v>0</v>
      </c>
      <c r="AE279" s="416">
        <f t="shared" si="19"/>
        <v>0</v>
      </c>
      <c r="AF279" s="416">
        <f t="shared" si="19"/>
        <v>0</v>
      </c>
      <c r="AG279" s="416">
        <f t="shared" si="19"/>
        <v>0</v>
      </c>
      <c r="AH279" s="416">
        <f t="shared" si="19"/>
        <v>0</v>
      </c>
      <c r="AI279" s="416">
        <f t="shared" si="19"/>
        <v>0</v>
      </c>
      <c r="AJ279" s="416">
        <f t="shared" si="19"/>
        <v>7500</v>
      </c>
      <c r="AK279" s="416">
        <f t="shared" si="19"/>
        <v>0</v>
      </c>
      <c r="AL279" s="416">
        <f t="shared" si="19"/>
        <v>0</v>
      </c>
      <c r="AM279" s="416">
        <f t="shared" si="19"/>
        <v>0</v>
      </c>
      <c r="AN279" s="416">
        <f t="shared" si="19"/>
        <v>0</v>
      </c>
      <c r="AO279" s="416">
        <f t="shared" si="19"/>
        <v>0</v>
      </c>
      <c r="AP279" s="416">
        <f t="shared" si="19"/>
        <v>0</v>
      </c>
      <c r="AQ279" s="416">
        <f t="shared" si="19"/>
        <v>0</v>
      </c>
      <c r="AR279" s="416">
        <f t="shared" si="19"/>
        <v>0</v>
      </c>
      <c r="AS279" s="416">
        <f t="shared" si="19"/>
        <v>0</v>
      </c>
      <c r="AT279" s="416">
        <f t="shared" si="19"/>
        <v>0</v>
      </c>
      <c r="AU279" s="416">
        <f t="shared" si="19"/>
        <v>0</v>
      </c>
      <c r="AV279" s="416">
        <f t="shared" si="19"/>
        <v>0</v>
      </c>
      <c r="AW279" s="416">
        <f t="shared" si="19"/>
        <v>0</v>
      </c>
      <c r="AX279" s="416">
        <f t="shared" si="19"/>
        <v>0</v>
      </c>
      <c r="AY279" s="416">
        <f t="shared" si="19"/>
        <v>0</v>
      </c>
      <c r="AZ279" s="416">
        <f>SUM(T279:AY279)</f>
        <v>63200</v>
      </c>
    </row>
    <row r="280" spans="2:52">
      <c r="B280" s="1243" t="s">
        <v>558</v>
      </c>
      <c r="C280" s="1244"/>
      <c r="D280" s="1244"/>
      <c r="E280" s="1244"/>
      <c r="F280" s="1244"/>
      <c r="G280" s="1245"/>
      <c r="H280" s="420">
        <f>H279-L262</f>
        <v>0</v>
      </c>
      <c r="I280" s="294"/>
      <c r="J280" s="295"/>
      <c r="K280" s="295"/>
      <c r="L280" s="296"/>
      <c r="M280" s="32"/>
      <c r="N280" s="32"/>
      <c r="O280" s="32"/>
      <c r="P280" s="32"/>
      <c r="Q280" s="297"/>
      <c r="R280" s="297"/>
      <c r="S280" s="32"/>
      <c r="T280" s="48"/>
      <c r="U280" s="48"/>
      <c r="V280" s="48"/>
      <c r="W280" s="48"/>
      <c r="X280" s="48"/>
      <c r="Y280" s="48"/>
      <c r="Z280" s="48"/>
      <c r="AA280" s="48"/>
      <c r="AB280" s="48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</row>
    <row r="281" spans="2:52">
      <c r="B281" s="1243" t="s">
        <v>559</v>
      </c>
      <c r="C281" s="1244"/>
      <c r="D281" s="1244"/>
      <c r="E281" s="1244"/>
      <c r="F281" s="1244"/>
      <c r="G281" s="1245"/>
      <c r="H281" s="420">
        <v>2513.165</v>
      </c>
      <c r="I281" s="274">
        <v>2513.165</v>
      </c>
      <c r="J281" s="53"/>
      <c r="K281" s="53"/>
      <c r="L281" s="54"/>
      <c r="M281" s="32"/>
      <c r="N281" s="201"/>
      <c r="O281" s="32"/>
      <c r="P281" s="32"/>
      <c r="Q281" s="32"/>
      <c r="R281" s="32"/>
      <c r="S281" s="32"/>
      <c r="T281" s="48"/>
      <c r="U281" s="48"/>
      <c r="V281" s="48"/>
      <c r="W281" s="48"/>
      <c r="X281" s="48"/>
      <c r="Y281" s="48"/>
      <c r="Z281" s="48"/>
      <c r="AA281" s="48"/>
      <c r="AB281" s="48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</row>
    <row r="282" spans="2:52">
      <c r="B282" s="1243" t="s">
        <v>560</v>
      </c>
      <c r="C282" s="1244"/>
      <c r="D282" s="1244"/>
      <c r="E282" s="1244"/>
      <c r="F282" s="1244"/>
      <c r="G282" s="1245"/>
      <c r="H282" s="421">
        <f>H281-3851.947</f>
        <v>-1338.7820000000002</v>
      </c>
      <c r="I282" s="275">
        <f>I281-H281</f>
        <v>0</v>
      </c>
      <c r="J282" s="53"/>
      <c r="K282" s="53"/>
      <c r="L282" s="54"/>
      <c r="M282" s="32"/>
      <c r="N282" s="32"/>
      <c r="O282" s="32"/>
      <c r="P282" s="32"/>
      <c r="Q282" s="32"/>
      <c r="R282" s="32"/>
      <c r="S282" s="48"/>
      <c r="T282" s="48"/>
      <c r="U282" s="48"/>
      <c r="V282" s="48"/>
      <c r="W282" s="48"/>
      <c r="X282" s="48"/>
      <c r="Y282" s="48"/>
      <c r="Z282" s="48"/>
      <c r="AA282" s="48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</row>
    <row r="283" spans="2:52">
      <c r="B283" s="201"/>
      <c r="C283" s="201"/>
      <c r="D283" s="201"/>
      <c r="E283" s="201"/>
      <c r="F283" s="201"/>
      <c r="G283" s="201"/>
      <c r="H283" s="201"/>
      <c r="I283" s="213"/>
      <c r="J283" s="209"/>
      <c r="K283" s="209"/>
      <c r="L283" s="203"/>
      <c r="M283" s="201"/>
      <c r="N283" s="201"/>
      <c r="O283" s="209"/>
      <c r="P283" s="32"/>
      <c r="Q283" s="32"/>
      <c r="R283" s="32"/>
      <c r="S283" s="32"/>
      <c r="T283" s="48"/>
      <c r="U283" s="48"/>
      <c r="V283" s="48"/>
      <c r="W283" s="48"/>
      <c r="X283" s="48"/>
      <c r="Y283" s="48"/>
      <c r="Z283" s="48"/>
      <c r="AA283" s="48"/>
      <c r="AB283" s="48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</row>
    <row r="284" spans="2:52">
      <c r="B284" s="40" t="s">
        <v>561</v>
      </c>
      <c r="C284" s="40"/>
      <c r="D284" s="32"/>
      <c r="E284" s="32"/>
      <c r="F284" s="32"/>
      <c r="G284" s="32"/>
      <c r="H284" s="32"/>
      <c r="I284" s="32"/>
      <c r="J284" s="52"/>
      <c r="K284" s="52"/>
      <c r="L284" s="55"/>
      <c r="M284" s="32"/>
      <c r="N284" s="201"/>
      <c r="O284" s="5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  <c r="AA284" s="202"/>
      <c r="AB284" s="201"/>
      <c r="AC284" s="201"/>
      <c r="AD284" s="201"/>
      <c r="AE284" s="201"/>
      <c r="AF284" s="201"/>
      <c r="AG284" s="201"/>
      <c r="AH284" s="201"/>
      <c r="AI284" s="201"/>
      <c r="AJ284" s="201"/>
      <c r="AK284" s="201"/>
      <c r="AL284" s="201"/>
      <c r="AM284" s="201"/>
      <c r="AN284" s="201"/>
      <c r="AO284" s="201"/>
      <c r="AP284" s="201"/>
      <c r="AQ284" s="201"/>
      <c r="AR284" s="201"/>
      <c r="AS284" s="201"/>
      <c r="AT284" s="201"/>
      <c r="AU284" s="201"/>
      <c r="AZ284" s="201"/>
    </row>
    <row r="285" spans="2:52">
      <c r="B285" s="422">
        <v>1</v>
      </c>
      <c r="C285" s="1249" t="s">
        <v>1423</v>
      </c>
      <c r="D285" s="1249"/>
      <c r="E285" s="1249"/>
      <c r="F285" s="1249"/>
      <c r="G285" s="1249"/>
      <c r="H285" s="1249"/>
      <c r="I285" s="1249"/>
      <c r="J285" s="1249"/>
      <c r="K285" s="1249"/>
      <c r="L285" s="203"/>
      <c r="M285" s="201"/>
      <c r="N285" s="201"/>
      <c r="O285" s="209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  <c r="AA285" s="202"/>
      <c r="AB285" s="201"/>
      <c r="AC285" s="201"/>
      <c r="AD285" s="201"/>
      <c r="AE285" s="201"/>
      <c r="AF285" s="201"/>
      <c r="AG285" s="201"/>
      <c r="AH285" s="201"/>
      <c r="AI285" s="201"/>
      <c r="AJ285" s="201"/>
      <c r="AK285" s="201"/>
      <c r="AL285" s="201"/>
      <c r="AM285" s="201"/>
      <c r="AN285" s="201"/>
      <c r="AO285" s="201"/>
      <c r="AP285" s="201"/>
      <c r="AQ285" s="201"/>
      <c r="AR285" s="201"/>
      <c r="AS285" s="201"/>
      <c r="AT285" s="201"/>
      <c r="AU285" s="201"/>
      <c r="AZ285" s="201"/>
    </row>
    <row r="287" spans="2:52">
      <c r="B287" s="28" t="s">
        <v>126</v>
      </c>
      <c r="C287" s="28"/>
      <c r="D287" s="29"/>
      <c r="E287" s="30" t="s">
        <v>511</v>
      </c>
      <c r="F287" s="31" t="s">
        <v>1234</v>
      </c>
      <c r="G287" s="32"/>
      <c r="H287" s="33"/>
      <c r="I287" s="34"/>
      <c r="J287" s="35" t="s">
        <v>513</v>
      </c>
      <c r="K287" s="36" t="s">
        <v>511</v>
      </c>
      <c r="L287" s="37">
        <v>45032.000694444447</v>
      </c>
      <c r="M287" s="32"/>
      <c r="N287" s="32"/>
      <c r="O287" s="206"/>
      <c r="P287" s="205"/>
      <c r="Q287" s="202"/>
      <c r="R287" s="204"/>
      <c r="S287" s="38"/>
      <c r="T287" s="201"/>
      <c r="U287" s="201"/>
      <c r="V287" s="201"/>
      <c r="W287" s="201"/>
      <c r="X287" s="201"/>
      <c r="Y287" s="201"/>
      <c r="Z287" s="201"/>
      <c r="AA287" s="201"/>
      <c r="AB287" s="202"/>
      <c r="AC287" s="202"/>
      <c r="AD287" s="202"/>
      <c r="AE287" s="202"/>
      <c r="AF287" s="202"/>
      <c r="AG287" s="201"/>
      <c r="AH287" s="201"/>
      <c r="AI287" s="201"/>
      <c r="AJ287" s="201"/>
      <c r="AK287" s="201"/>
      <c r="AL287" s="201"/>
      <c r="AM287" s="201"/>
      <c r="AN287" s="201"/>
      <c r="AO287" s="201"/>
      <c r="AP287" s="201"/>
      <c r="AQ287" s="201"/>
      <c r="AR287" s="201"/>
      <c r="AS287" s="201"/>
      <c r="AT287" s="201"/>
      <c r="AU287" s="201"/>
      <c r="AV287" s="201"/>
      <c r="AW287" s="201"/>
      <c r="AX287" s="201"/>
      <c r="AY287" s="201"/>
      <c r="AZ287" s="201"/>
    </row>
    <row r="288" spans="2:52">
      <c r="B288" s="35" t="s">
        <v>514</v>
      </c>
      <c r="C288" s="35"/>
      <c r="D288" s="32"/>
      <c r="E288" s="36" t="s">
        <v>511</v>
      </c>
      <c r="F288" s="37" t="s">
        <v>1426</v>
      </c>
      <c r="G288" s="59" t="s">
        <v>1411</v>
      </c>
      <c r="H288" s="33"/>
      <c r="I288" s="34"/>
      <c r="J288" s="35" t="s">
        <v>516</v>
      </c>
      <c r="K288" s="36" t="s">
        <v>511</v>
      </c>
      <c r="L288" s="37">
        <v>45035.9375</v>
      </c>
      <c r="M288" s="32"/>
      <c r="N288" s="32"/>
      <c r="O288" s="206"/>
      <c r="P288" s="205"/>
      <c r="Q288" s="202"/>
      <c r="R288" s="204"/>
      <c r="S288" s="38"/>
      <c r="T288" s="201"/>
      <c r="U288" s="201"/>
      <c r="V288" s="201"/>
      <c r="W288" s="201"/>
      <c r="X288" s="201"/>
      <c r="Y288" s="201"/>
      <c r="Z288" s="201"/>
      <c r="AA288" s="201"/>
      <c r="AB288" s="202"/>
      <c r="AC288" s="202"/>
      <c r="AD288" s="202"/>
      <c r="AE288" s="202"/>
      <c r="AF288" s="202"/>
      <c r="AG288" s="201"/>
      <c r="AH288" s="201"/>
      <c r="AI288" s="201"/>
      <c r="AJ288" s="201"/>
      <c r="AK288" s="201"/>
      <c r="AL288" s="201"/>
      <c r="AM288" s="201"/>
      <c r="AN288" s="201"/>
      <c r="AO288" s="201"/>
      <c r="AP288" s="201"/>
      <c r="AQ288" s="201"/>
      <c r="AR288" s="201"/>
      <c r="AS288" s="201"/>
      <c r="AT288" s="201"/>
      <c r="AU288" s="201"/>
      <c r="AV288" s="201"/>
      <c r="AW288" s="201"/>
      <c r="AX288" s="201"/>
      <c r="AY288" s="201"/>
      <c r="AZ288" s="201"/>
    </row>
    <row r="289" spans="2:52">
      <c r="B289" s="35" t="s">
        <v>517</v>
      </c>
      <c r="C289" s="35"/>
      <c r="D289" s="32"/>
      <c r="E289" s="36" t="s">
        <v>511</v>
      </c>
      <c r="F289" s="37">
        <v>45031.402777777781</v>
      </c>
      <c r="G289" s="60">
        <v>45032</v>
      </c>
      <c r="H289" s="33"/>
      <c r="I289" s="34"/>
      <c r="J289" s="35" t="s">
        <v>521</v>
      </c>
      <c r="K289" s="36" t="s">
        <v>511</v>
      </c>
      <c r="L289" s="41" t="s">
        <v>1427</v>
      </c>
      <c r="M289" s="40"/>
      <c r="N289" s="40"/>
      <c r="O289" s="206"/>
      <c r="P289" s="205"/>
      <c r="Q289" s="202"/>
      <c r="R289" s="204"/>
      <c r="S289" s="38"/>
      <c r="T289" s="201"/>
      <c r="U289" s="201"/>
      <c r="V289" s="201"/>
      <c r="W289" s="201"/>
      <c r="X289" s="201"/>
      <c r="Y289" s="201"/>
      <c r="Z289" s="201"/>
      <c r="AA289" s="201"/>
      <c r="AB289" s="202"/>
      <c r="AC289" s="202"/>
      <c r="AD289" s="202"/>
      <c r="AE289" s="202"/>
      <c r="AF289" s="202"/>
      <c r="AG289" s="201"/>
      <c r="AH289" s="201"/>
      <c r="AI289" s="201"/>
      <c r="AJ289" s="201"/>
      <c r="AK289" s="201"/>
      <c r="AL289" s="201"/>
      <c r="AM289" s="201"/>
      <c r="AN289" s="201"/>
      <c r="AO289" s="201"/>
      <c r="AP289" s="201"/>
      <c r="AQ289" s="201"/>
      <c r="AR289" s="201"/>
      <c r="AS289" s="201"/>
      <c r="AT289" s="201"/>
      <c r="AU289" s="201"/>
      <c r="AV289" s="201"/>
      <c r="AW289" s="201"/>
      <c r="AX289" s="201"/>
      <c r="AY289" s="201"/>
      <c r="AZ289" s="201"/>
    </row>
    <row r="290" spans="2:52">
      <c r="B290" s="35" t="s">
        <v>520</v>
      </c>
      <c r="C290" s="35"/>
      <c r="D290" s="32"/>
      <c r="E290" s="36" t="s">
        <v>511</v>
      </c>
      <c r="F290" s="37" t="s">
        <v>16</v>
      </c>
      <c r="G290" s="32"/>
      <c r="H290" s="33"/>
      <c r="I290" s="34"/>
      <c r="J290" s="42" t="s">
        <v>524</v>
      </c>
      <c r="K290" s="36" t="s">
        <v>511</v>
      </c>
      <c r="L290" s="43" t="s">
        <v>23</v>
      </c>
      <c r="M290" s="32"/>
      <c r="N290" s="32"/>
      <c r="O290" s="206"/>
      <c r="P290" s="202"/>
      <c r="Q290" s="202"/>
      <c r="R290" s="204"/>
      <c r="S290" s="38"/>
      <c r="T290" s="201"/>
      <c r="U290" s="201"/>
      <c r="V290" s="201"/>
      <c r="W290" s="201"/>
      <c r="X290" s="201"/>
      <c r="Y290" s="201"/>
      <c r="Z290" s="201"/>
      <c r="AA290" s="201"/>
      <c r="AB290" s="202"/>
      <c r="AC290" s="202"/>
      <c r="AD290" s="202"/>
      <c r="AE290" s="202"/>
      <c r="AF290" s="202"/>
      <c r="AG290" s="201"/>
      <c r="AH290" s="201"/>
      <c r="AI290" s="201"/>
      <c r="AJ290" s="201"/>
      <c r="AK290" s="201"/>
      <c r="AL290" s="201"/>
      <c r="AM290" s="201"/>
      <c r="AN290" s="201"/>
      <c r="AO290" s="201"/>
      <c r="AP290" s="201"/>
      <c r="AQ290" s="201"/>
      <c r="AR290" s="201"/>
      <c r="AS290" s="201"/>
      <c r="AT290" s="201"/>
      <c r="AU290" s="201"/>
      <c r="AV290" s="201"/>
      <c r="AW290" s="201"/>
      <c r="AX290" s="201"/>
      <c r="AY290" s="201"/>
      <c r="AZ290" s="201"/>
    </row>
    <row r="291" spans="2:52">
      <c r="B291" s="35" t="s">
        <v>523</v>
      </c>
      <c r="C291" s="35"/>
      <c r="D291" s="32"/>
      <c r="E291" s="36" t="s">
        <v>511</v>
      </c>
      <c r="F291" s="37" t="s">
        <v>45</v>
      </c>
      <c r="G291" s="32"/>
      <c r="H291" s="33"/>
      <c r="I291" s="34"/>
      <c r="J291" s="209"/>
      <c r="K291" s="209"/>
      <c r="L291" s="203"/>
      <c r="M291" s="44"/>
      <c r="N291" s="44"/>
      <c r="O291" s="206"/>
      <c r="P291" s="205"/>
      <c r="Q291" s="202"/>
      <c r="R291" s="204"/>
      <c r="S291" s="38"/>
      <c r="T291" s="201"/>
      <c r="U291" s="201"/>
      <c r="V291" s="201"/>
      <c r="W291" s="201"/>
      <c r="X291" s="201"/>
      <c r="Y291" s="201"/>
      <c r="Z291" s="201"/>
      <c r="AA291" s="201"/>
      <c r="AB291" s="202"/>
      <c r="AC291" s="202"/>
      <c r="AD291" s="202"/>
      <c r="AE291" s="202"/>
      <c r="AF291" s="202"/>
      <c r="AG291" s="201"/>
      <c r="AH291" s="201"/>
      <c r="AI291" s="201"/>
      <c r="AJ291" s="201"/>
      <c r="AK291" s="201"/>
      <c r="AL291" s="201"/>
      <c r="AM291" s="201"/>
      <c r="AN291" s="201"/>
      <c r="AO291" s="201"/>
      <c r="AP291" s="201"/>
      <c r="AQ291" s="201"/>
      <c r="AR291" s="201"/>
      <c r="AS291" s="201"/>
      <c r="AT291" s="201"/>
      <c r="AU291" s="201"/>
      <c r="AV291" s="201"/>
      <c r="AW291" s="201"/>
      <c r="AX291" s="201"/>
      <c r="AY291" s="201"/>
      <c r="AZ291" s="201"/>
    </row>
    <row r="292" spans="2:52">
      <c r="B292" s="35" t="s">
        <v>2</v>
      </c>
      <c r="C292" s="35"/>
      <c r="D292" s="32"/>
      <c r="E292" s="36" t="s">
        <v>511</v>
      </c>
      <c r="F292" s="37" t="s">
        <v>29</v>
      </c>
      <c r="G292" s="32"/>
      <c r="H292" s="33"/>
      <c r="I292" s="45"/>
      <c r="J292" s="42"/>
      <c r="K292" s="36"/>
      <c r="L292" s="211"/>
      <c r="M292" s="201"/>
      <c r="N292" s="201"/>
      <c r="O292" s="42"/>
      <c r="P292" s="44"/>
      <c r="Q292" s="44"/>
      <c r="R292" s="44"/>
      <c r="S292" s="34"/>
      <c r="T292" s="201"/>
      <c r="U292" s="201"/>
      <c r="V292" s="201"/>
      <c r="W292" s="201"/>
      <c r="X292" s="201"/>
      <c r="Y292" s="201"/>
      <c r="Z292" s="201"/>
      <c r="AA292" s="201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201"/>
      <c r="AP292" s="201"/>
      <c r="AQ292" s="201"/>
      <c r="AR292" s="201"/>
      <c r="AS292" s="201"/>
      <c r="AT292" s="201"/>
      <c r="AU292" s="201"/>
      <c r="AV292" s="201"/>
      <c r="AW292" s="201"/>
      <c r="AX292" s="201"/>
      <c r="AY292" s="201"/>
      <c r="AZ292" s="201"/>
    </row>
    <row r="293" spans="2:52">
      <c r="B293" s="201"/>
      <c r="C293" s="201"/>
      <c r="D293" s="201"/>
      <c r="E293" s="201"/>
      <c r="F293" s="201"/>
      <c r="G293" s="201"/>
      <c r="H293" s="201"/>
      <c r="I293" s="45"/>
      <c r="J293" s="42"/>
      <c r="K293" s="42"/>
      <c r="L293" s="43"/>
      <c r="M293" s="44"/>
      <c r="N293" s="44"/>
      <c r="O293" s="42"/>
      <c r="P293" s="44"/>
      <c r="Q293" s="44"/>
      <c r="R293" s="44"/>
      <c r="S293" s="34"/>
      <c r="T293" s="1265" t="s">
        <v>87</v>
      </c>
      <c r="U293" s="1265"/>
      <c r="V293" s="1265"/>
      <c r="W293" s="1265"/>
      <c r="X293" s="1265"/>
      <c r="Y293" s="1265" t="s">
        <v>73</v>
      </c>
      <c r="Z293" s="1265"/>
      <c r="AA293" s="1265"/>
      <c r="AB293" s="1265" t="s">
        <v>74</v>
      </c>
      <c r="AC293" s="1265"/>
      <c r="AD293" s="423" t="s">
        <v>85</v>
      </c>
      <c r="AE293" s="423" t="s">
        <v>77</v>
      </c>
      <c r="AF293" s="1265" t="s">
        <v>525</v>
      </c>
      <c r="AG293" s="1265"/>
      <c r="AH293" s="1265"/>
      <c r="AI293" s="1265"/>
      <c r="AJ293" s="1265"/>
      <c r="AK293" s="1265"/>
      <c r="AL293" s="1265"/>
      <c r="AM293" s="1265"/>
      <c r="AN293" s="1265"/>
      <c r="AO293" s="1265"/>
      <c r="AP293" s="1265"/>
      <c r="AQ293" s="1265"/>
      <c r="AR293" s="1265"/>
      <c r="AS293" s="1265"/>
      <c r="AT293" s="1265"/>
      <c r="AU293" s="1265"/>
      <c r="AV293" s="1265"/>
      <c r="AW293" s="1265"/>
      <c r="AX293" s="1265"/>
      <c r="AY293" s="1265"/>
      <c r="AZ293" s="201"/>
    </row>
    <row r="294" spans="2:52">
      <c r="B294" s="1266" t="s">
        <v>526</v>
      </c>
      <c r="C294" s="1267"/>
      <c r="D294" s="570" t="s">
        <v>527</v>
      </c>
      <c r="E294" s="570"/>
      <c r="F294" s="570" t="s">
        <v>528</v>
      </c>
      <c r="G294" s="570" t="s">
        <v>529</v>
      </c>
      <c r="H294" s="570" t="s">
        <v>530</v>
      </c>
      <c r="I294" s="570" t="s">
        <v>531</v>
      </c>
      <c r="J294" s="570" t="s">
        <v>532</v>
      </c>
      <c r="K294" s="570"/>
      <c r="L294" s="570" t="s">
        <v>130</v>
      </c>
      <c r="M294" s="570" t="s">
        <v>533</v>
      </c>
      <c r="N294" s="408" t="str">
        <f>"On time - "&amp;COUNTIF(N295:N297,"On time")&amp;" from "&amp;ROWS(N295:N297)-COUNTIF(N295:N297," ")</f>
        <v>On time - 1 from 3</v>
      </c>
      <c r="O294" s="46"/>
      <c r="P294" s="409" t="s">
        <v>534</v>
      </c>
      <c r="Q294" s="409" t="s">
        <v>535</v>
      </c>
      <c r="R294" s="409" t="s">
        <v>903</v>
      </c>
      <c r="S294" s="32"/>
      <c r="T294" s="424" t="s">
        <v>537</v>
      </c>
      <c r="U294" s="424" t="s">
        <v>538</v>
      </c>
      <c r="V294" s="424" t="s">
        <v>539</v>
      </c>
      <c r="W294" s="424" t="s">
        <v>540</v>
      </c>
      <c r="X294" s="424" t="s">
        <v>541</v>
      </c>
      <c r="Y294" s="424" t="s">
        <v>167</v>
      </c>
      <c r="Z294" s="424" t="s">
        <v>168</v>
      </c>
      <c r="AA294" s="424" t="s">
        <v>169</v>
      </c>
      <c r="AB294" s="424" t="s">
        <v>235</v>
      </c>
      <c r="AC294" s="424" t="s">
        <v>240</v>
      </c>
      <c r="AD294" s="423" t="s">
        <v>85</v>
      </c>
      <c r="AE294" s="424" t="s">
        <v>139</v>
      </c>
      <c r="AF294" s="424" t="s">
        <v>72</v>
      </c>
      <c r="AG294" s="424" t="s">
        <v>88</v>
      </c>
      <c r="AH294" s="424" t="s">
        <v>75</v>
      </c>
      <c r="AI294" s="424" t="s">
        <v>543</v>
      </c>
      <c r="AJ294" s="424" t="s">
        <v>78</v>
      </c>
      <c r="AK294" s="424" t="s">
        <v>76</v>
      </c>
      <c r="AL294" s="424" t="s">
        <v>544</v>
      </c>
      <c r="AM294" s="424" t="s">
        <v>545</v>
      </c>
      <c r="AN294" s="424" t="s">
        <v>86</v>
      </c>
      <c r="AO294" s="424" t="s">
        <v>83</v>
      </c>
      <c r="AP294" s="424" t="s">
        <v>84</v>
      </c>
      <c r="AQ294" s="424" t="s">
        <v>546</v>
      </c>
      <c r="AR294" s="424" t="s">
        <v>81</v>
      </c>
      <c r="AS294" s="424" t="s">
        <v>80</v>
      </c>
      <c r="AT294" s="424" t="s">
        <v>82</v>
      </c>
      <c r="AU294" s="424" t="s">
        <v>181</v>
      </c>
      <c r="AV294" s="424" t="s">
        <v>183</v>
      </c>
      <c r="AW294" s="424" t="s">
        <v>547</v>
      </c>
      <c r="AX294" s="424" t="s">
        <v>182</v>
      </c>
      <c r="AY294" s="424" t="s">
        <v>172</v>
      </c>
      <c r="AZ294" s="201"/>
    </row>
    <row r="295" spans="2:52">
      <c r="B295" s="1256" t="s">
        <v>548</v>
      </c>
      <c r="C295" s="1257"/>
      <c r="D295" s="411" t="s">
        <v>1379</v>
      </c>
      <c r="E295" s="411"/>
      <c r="F295" s="411" t="s">
        <v>226</v>
      </c>
      <c r="G295" s="411" t="s">
        <v>227</v>
      </c>
      <c r="H295" s="412">
        <v>7575.2439999999997</v>
      </c>
      <c r="I295" s="413" t="s">
        <v>501</v>
      </c>
      <c r="J295" s="414">
        <v>45032.8125</v>
      </c>
      <c r="K295" s="414"/>
      <c r="L295" s="414" t="s">
        <v>192</v>
      </c>
      <c r="M295" s="414" t="s">
        <v>192</v>
      </c>
      <c r="N295" s="413" t="str">
        <f>IF(ISBLANK(J295)," ",IF(J295&lt;$G$289,"On time",(IF(DAY(J295-$G$289)&lt;1,"On time",(IF(J295&gt;$G$289,"DELAY ( "&amp;DAY(J295-$G$289)&amp;" day "&amp;HOUR(J295-$G$289)&amp;" hour "&amp;MINUTE(J295-$G$289)&amp;" minute )","xxx"))))))</f>
        <v>On time</v>
      </c>
      <c r="O295" s="51"/>
      <c r="P295" s="415" t="s">
        <v>551</v>
      </c>
      <c r="Q295" s="415" t="s">
        <v>551</v>
      </c>
      <c r="R295" s="415" t="s">
        <v>551</v>
      </c>
      <c r="S295" s="32"/>
      <c r="T295" s="416"/>
      <c r="U295" s="416"/>
      <c r="V295" s="416"/>
      <c r="W295" s="416"/>
      <c r="X295" s="416"/>
      <c r="Y295" s="416">
        <f>H295*0.5</f>
        <v>3787.6219999999998</v>
      </c>
      <c r="Z295" s="416">
        <f>H295*0.5</f>
        <v>3787.6219999999998</v>
      </c>
      <c r="AA295" s="416"/>
      <c r="AB295" s="416"/>
      <c r="AC295" s="416"/>
      <c r="AD295" s="416"/>
      <c r="AE295" s="416"/>
      <c r="AF295" s="416"/>
      <c r="AG295" s="416"/>
      <c r="AH295" s="416"/>
      <c r="AI295" s="416"/>
      <c r="AJ295" s="416"/>
      <c r="AK295" s="416"/>
      <c r="AL295" s="416"/>
      <c r="AM295" s="416"/>
      <c r="AN295" s="416"/>
      <c r="AO295" s="416"/>
      <c r="AP295" s="416"/>
      <c r="AQ295" s="416"/>
      <c r="AR295" s="416"/>
      <c r="AS295" s="416"/>
      <c r="AT295" s="416"/>
      <c r="AU295" s="416"/>
      <c r="AV295" s="416"/>
      <c r="AW295" s="416"/>
      <c r="AX295" s="416"/>
      <c r="AY295" s="416"/>
      <c r="AZ295" s="32"/>
    </row>
    <row r="296" spans="2:52">
      <c r="B296" s="1256" t="s">
        <v>548</v>
      </c>
      <c r="C296" s="1257"/>
      <c r="D296" s="411" t="s">
        <v>1235</v>
      </c>
      <c r="E296" s="411"/>
      <c r="F296" s="411" t="s">
        <v>334</v>
      </c>
      <c r="G296" s="411" t="s">
        <v>335</v>
      </c>
      <c r="H296" s="412">
        <v>7572.2240000000002</v>
      </c>
      <c r="I296" s="413" t="s">
        <v>240</v>
      </c>
      <c r="J296" s="414">
        <v>45033.083333333336</v>
      </c>
      <c r="K296" s="414"/>
      <c r="L296" s="414" t="s">
        <v>192</v>
      </c>
      <c r="M296" s="414" t="s">
        <v>192</v>
      </c>
      <c r="N296" s="413" t="str">
        <f>IF(ISBLANK(J296)," ",IF(J296&lt;$G$289,"On time",(IF(DAY(J296-$G$289)&lt;1,"On time",(IF(J296&gt;$G$289,"DELAY ( "&amp;DAY(J296-$G$289)&amp;" day "&amp;HOUR(J296-$G$289)&amp;" hour "&amp;MINUTE(J296-$G$289)&amp;" minute )","xxx"))))))</f>
        <v>DELAY ( 1 day 2 hour 0 minute )</v>
      </c>
      <c r="O296" s="51"/>
      <c r="P296" s="415" t="s">
        <v>551</v>
      </c>
      <c r="Q296" s="415" t="s">
        <v>551</v>
      </c>
      <c r="R296" s="415" t="s">
        <v>551</v>
      </c>
      <c r="S296" s="32"/>
      <c r="T296" s="416"/>
      <c r="U296" s="416"/>
      <c r="V296" s="416"/>
      <c r="W296" s="416"/>
      <c r="X296" s="416"/>
      <c r="Y296" s="416"/>
      <c r="Z296" s="416"/>
      <c r="AA296" s="416"/>
      <c r="AB296" s="416"/>
      <c r="AC296" s="416">
        <f>H296</f>
        <v>7572.2240000000002</v>
      </c>
      <c r="AD296" s="416"/>
      <c r="AE296" s="416"/>
      <c r="AF296" s="416"/>
      <c r="AG296" s="416"/>
      <c r="AH296" s="416"/>
      <c r="AI296" s="416"/>
      <c r="AJ296" s="416"/>
      <c r="AK296" s="416"/>
      <c r="AL296" s="416"/>
      <c r="AM296" s="416"/>
      <c r="AN296" s="416"/>
      <c r="AO296" s="416"/>
      <c r="AP296" s="416"/>
      <c r="AQ296" s="416"/>
      <c r="AR296" s="416"/>
      <c r="AS296" s="416"/>
      <c r="AT296" s="416"/>
      <c r="AU296" s="416"/>
      <c r="AV296" s="416"/>
      <c r="AW296" s="416"/>
      <c r="AX296" s="416"/>
      <c r="AY296" s="416"/>
      <c r="AZ296" s="32"/>
    </row>
    <row r="297" spans="2:52">
      <c r="B297" s="1256" t="s">
        <v>548</v>
      </c>
      <c r="C297" s="1257"/>
      <c r="D297" s="411" t="s">
        <v>1380</v>
      </c>
      <c r="E297" s="411"/>
      <c r="F297" s="411" t="s">
        <v>371</v>
      </c>
      <c r="G297" s="411" t="s">
        <v>372</v>
      </c>
      <c r="H297" s="412">
        <v>7402.2479999999996</v>
      </c>
      <c r="I297" s="413" t="s">
        <v>501</v>
      </c>
      <c r="J297" s="414">
        <v>45033.222222222219</v>
      </c>
      <c r="K297" s="414"/>
      <c r="L297" s="414" t="s">
        <v>192</v>
      </c>
      <c r="M297" s="414" t="s">
        <v>192</v>
      </c>
      <c r="N297" s="413" t="str">
        <f>IF(ISBLANK(J297)," ",IF(J297&lt;$G$289,"On time",(IF(DAY(J297-$G$289)&lt;1,"On time",(IF(J297&gt;$G$289,"DELAY ( "&amp;DAY(J297-$G$289)&amp;" day "&amp;HOUR(J297-$G$289)&amp;" hour "&amp;MINUTE(J297-$G$289)&amp;" minute )","xxx"))))))</f>
        <v>DELAY ( 1 day 5 hour 20 minute )</v>
      </c>
      <c r="O297" s="51"/>
      <c r="P297" s="415" t="s">
        <v>551</v>
      </c>
      <c r="Q297" s="415" t="s">
        <v>551</v>
      </c>
      <c r="R297" s="415" t="s">
        <v>551</v>
      </c>
      <c r="S297" s="32"/>
      <c r="T297" s="416"/>
      <c r="U297" s="416"/>
      <c r="V297" s="416"/>
      <c r="W297" s="416"/>
      <c r="X297" s="416"/>
      <c r="Y297" s="416">
        <f>H297*0.5</f>
        <v>3701.1239999999998</v>
      </c>
      <c r="Z297" s="416">
        <f>H297*0.5</f>
        <v>3701.1239999999998</v>
      </c>
      <c r="AA297" s="416"/>
      <c r="AB297" s="416"/>
      <c r="AC297" s="416"/>
      <c r="AD297" s="416"/>
      <c r="AE297" s="416"/>
      <c r="AF297" s="416"/>
      <c r="AG297" s="416"/>
      <c r="AH297" s="416"/>
      <c r="AI297" s="416"/>
      <c r="AJ297" s="416"/>
      <c r="AK297" s="416"/>
      <c r="AL297" s="416"/>
      <c r="AM297" s="416"/>
      <c r="AN297" s="416"/>
      <c r="AO297" s="416"/>
      <c r="AP297" s="416"/>
      <c r="AQ297" s="416"/>
      <c r="AR297" s="416"/>
      <c r="AS297" s="416"/>
      <c r="AT297" s="416"/>
      <c r="AU297" s="416"/>
      <c r="AV297" s="416"/>
      <c r="AW297" s="416"/>
      <c r="AX297" s="416"/>
      <c r="AY297" s="416"/>
      <c r="AZ297" s="32"/>
    </row>
    <row r="298" spans="2:52">
      <c r="B298" s="1258" t="s">
        <v>556</v>
      </c>
      <c r="C298" s="1259"/>
      <c r="D298" s="1259"/>
      <c r="E298" s="1259"/>
      <c r="F298" s="1259"/>
      <c r="G298" s="1260"/>
      <c r="H298" s="417">
        <f>SUM(H295:H297)</f>
        <v>22549.716</v>
      </c>
      <c r="I298" s="388"/>
      <c r="J298" s="293"/>
      <c r="K298" s="293"/>
      <c r="L298" s="293"/>
      <c r="M298" s="389"/>
      <c r="N298" s="413" t="str">
        <f>IF(ISBLANK(J298)," ",IF(J298&lt;$G$289,"On time",(IF(DAY(J298-$G$289)&lt;1,"On time",(IF(J298&gt;$G$289,"DELAY ( "&amp;DAY(J298-$G$289)&amp;" day "&amp;HOUR(J298-$G$289)&amp;" hour "&amp;MINUTE(J298-$G$289)&amp;" minute )","xxx"))))))</f>
        <v xml:space="preserve"> </v>
      </c>
      <c r="O298" s="212"/>
      <c r="P298" s="418"/>
      <c r="Q298" s="418"/>
      <c r="R298" s="418"/>
      <c r="S298" s="207"/>
      <c r="T298" s="1262"/>
      <c r="U298" s="1263"/>
      <c r="V298" s="1263"/>
      <c r="W298" s="1263"/>
      <c r="X298" s="1263"/>
      <c r="Y298" s="1263"/>
      <c r="Z298" s="1263"/>
      <c r="AA298" s="1263"/>
      <c r="AB298" s="1263"/>
      <c r="AC298" s="1263"/>
      <c r="AD298" s="1263"/>
      <c r="AE298" s="1263"/>
      <c r="AF298" s="1263"/>
      <c r="AG298" s="1263"/>
      <c r="AH298" s="1263"/>
      <c r="AI298" s="1263"/>
      <c r="AJ298" s="1263"/>
      <c r="AK298" s="1263"/>
      <c r="AL298" s="1263"/>
      <c r="AM298" s="1263"/>
      <c r="AN298" s="1263"/>
      <c r="AO298" s="1263"/>
      <c r="AP298" s="1263"/>
      <c r="AQ298" s="1263"/>
      <c r="AR298" s="1263"/>
      <c r="AS298" s="1263"/>
      <c r="AT298" s="1263"/>
      <c r="AU298" s="1263"/>
      <c r="AV298" s="1263"/>
      <c r="AW298" s="1263"/>
      <c r="AX298" s="1263"/>
      <c r="AY298" s="1264"/>
    </row>
    <row r="299" spans="2:52">
      <c r="B299" s="1277"/>
      <c r="C299" s="1278"/>
      <c r="D299" s="1278"/>
      <c r="E299" s="1278"/>
      <c r="F299" s="1278"/>
      <c r="G299" s="1279"/>
      <c r="H299" s="430"/>
      <c r="I299" s="1273"/>
      <c r="J299" s="1274"/>
      <c r="K299" s="1274"/>
      <c r="L299" s="1274"/>
      <c r="M299" s="1275"/>
      <c r="N299" s="413" t="str">
        <f>IF(ISBLANK(J299)," ",IF(J299&lt;$G$289,"On time",(IF(DAY(J299-$G$289)&lt;1,"On time",(IF(J299&gt;$G$289,"DELAY ( "&amp;DAY(J299-$G$289)&amp;" day "&amp;HOUR(J299-$G$289)&amp;" hour "&amp;MINUTE(J299-$G$289)&amp;" minute )","xxx"))))))</f>
        <v xml:space="preserve"> </v>
      </c>
      <c r="O299" s="32"/>
      <c r="P299" s="415"/>
      <c r="Q299" s="415"/>
      <c r="R299" s="415"/>
      <c r="S299" s="63"/>
      <c r="T299" s="416">
        <f t="shared" ref="T299:AY299" si="20">SUM(T295:T297)</f>
        <v>0</v>
      </c>
      <c r="U299" s="416">
        <f t="shared" si="20"/>
        <v>0</v>
      </c>
      <c r="V299" s="416">
        <f t="shared" si="20"/>
        <v>0</v>
      </c>
      <c r="W299" s="416">
        <f t="shared" si="20"/>
        <v>0</v>
      </c>
      <c r="X299" s="416">
        <f t="shared" si="20"/>
        <v>0</v>
      </c>
      <c r="Y299" s="416">
        <f t="shared" si="20"/>
        <v>7488.7459999999992</v>
      </c>
      <c r="Z299" s="416">
        <f t="shared" si="20"/>
        <v>7488.7459999999992</v>
      </c>
      <c r="AA299" s="416">
        <f t="shared" si="20"/>
        <v>0</v>
      </c>
      <c r="AB299" s="416">
        <f t="shared" si="20"/>
        <v>0</v>
      </c>
      <c r="AC299" s="416">
        <f t="shared" si="20"/>
        <v>7572.2240000000002</v>
      </c>
      <c r="AD299" s="416">
        <f t="shared" si="20"/>
        <v>0</v>
      </c>
      <c r="AE299" s="416">
        <f t="shared" si="20"/>
        <v>0</v>
      </c>
      <c r="AF299" s="416">
        <f t="shared" si="20"/>
        <v>0</v>
      </c>
      <c r="AG299" s="416">
        <f t="shared" si="20"/>
        <v>0</v>
      </c>
      <c r="AH299" s="416">
        <f t="shared" si="20"/>
        <v>0</v>
      </c>
      <c r="AI299" s="416">
        <f t="shared" si="20"/>
        <v>0</v>
      </c>
      <c r="AJ299" s="416">
        <f t="shared" si="20"/>
        <v>0</v>
      </c>
      <c r="AK299" s="416">
        <f t="shared" si="20"/>
        <v>0</v>
      </c>
      <c r="AL299" s="416">
        <f t="shared" si="20"/>
        <v>0</v>
      </c>
      <c r="AM299" s="416">
        <f t="shared" si="20"/>
        <v>0</v>
      </c>
      <c r="AN299" s="416">
        <f t="shared" si="20"/>
        <v>0</v>
      </c>
      <c r="AO299" s="416">
        <f t="shared" si="20"/>
        <v>0</v>
      </c>
      <c r="AP299" s="416">
        <f t="shared" si="20"/>
        <v>0</v>
      </c>
      <c r="AQ299" s="416">
        <f t="shared" si="20"/>
        <v>0</v>
      </c>
      <c r="AR299" s="416">
        <f t="shared" si="20"/>
        <v>0</v>
      </c>
      <c r="AS299" s="416">
        <f t="shared" si="20"/>
        <v>0</v>
      </c>
      <c r="AT299" s="416">
        <f t="shared" si="20"/>
        <v>0</v>
      </c>
      <c r="AU299" s="416">
        <f t="shared" si="20"/>
        <v>0</v>
      </c>
      <c r="AV299" s="416">
        <f t="shared" si="20"/>
        <v>0</v>
      </c>
      <c r="AW299" s="416">
        <f t="shared" si="20"/>
        <v>0</v>
      </c>
      <c r="AX299" s="416">
        <f t="shared" si="20"/>
        <v>0</v>
      </c>
      <c r="AY299" s="416">
        <f t="shared" si="20"/>
        <v>0</v>
      </c>
      <c r="AZ299" s="416">
        <f>SUM(T299:AY299)</f>
        <v>22549.716</v>
      </c>
    </row>
    <row r="300" spans="2:52">
      <c r="B300" s="201"/>
      <c r="C300" s="201"/>
      <c r="D300" s="201"/>
      <c r="E300" s="201"/>
      <c r="F300" s="201"/>
      <c r="G300" s="201"/>
      <c r="H300" s="201"/>
      <c r="I300" s="213"/>
      <c r="J300" s="209"/>
      <c r="K300" s="209"/>
      <c r="L300" s="203"/>
      <c r="M300" s="201"/>
      <c r="N300" s="201"/>
      <c r="O300" s="209"/>
      <c r="P300" s="32"/>
      <c r="Q300" s="32"/>
      <c r="R300" s="32"/>
      <c r="S300" s="32"/>
      <c r="T300" s="48"/>
      <c r="U300" s="48"/>
      <c r="V300" s="48"/>
      <c r="W300" s="48"/>
      <c r="X300" s="48"/>
      <c r="Y300" s="48"/>
      <c r="Z300" s="48"/>
      <c r="AA300" s="48"/>
      <c r="AB300" s="48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</row>
    <row r="301" spans="2:52">
      <c r="B301" s="40" t="s">
        <v>561</v>
      </c>
      <c r="C301" s="40"/>
      <c r="D301" s="32"/>
      <c r="E301" s="32"/>
      <c r="F301" s="32"/>
      <c r="G301" s="32"/>
      <c r="H301" s="32"/>
      <c r="I301" s="32"/>
      <c r="J301" s="52"/>
      <c r="K301" s="52"/>
      <c r="L301" s="55"/>
      <c r="M301" s="32"/>
      <c r="N301" s="201"/>
      <c r="O301" s="5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  <c r="AA301" s="202"/>
      <c r="AB301" s="201"/>
      <c r="AC301" s="201"/>
      <c r="AD301" s="201"/>
      <c r="AE301" s="201"/>
      <c r="AF301" s="201"/>
      <c r="AG301" s="201"/>
      <c r="AH301" s="201"/>
      <c r="AI301" s="201"/>
      <c r="AJ301" s="201"/>
      <c r="AK301" s="201"/>
      <c r="AL301" s="201"/>
      <c r="AM301" s="201"/>
      <c r="AN301" s="201"/>
      <c r="AO301" s="201"/>
      <c r="AP301" s="201"/>
      <c r="AQ301" s="201"/>
      <c r="AR301" s="201"/>
      <c r="AS301" s="201"/>
      <c r="AT301" s="201"/>
      <c r="AU301" s="201"/>
      <c r="AZ301" s="201"/>
    </row>
    <row r="302" spans="2:52">
      <c r="B302" s="422"/>
      <c r="C302" s="1249"/>
      <c r="D302" s="1249"/>
      <c r="E302" s="1249"/>
      <c r="F302" s="1249"/>
      <c r="G302" s="1249"/>
      <c r="H302" s="1249"/>
      <c r="I302" s="1249"/>
      <c r="J302" s="1249"/>
      <c r="K302" s="1249"/>
      <c r="L302" s="203"/>
      <c r="M302" s="201"/>
      <c r="N302" s="201"/>
      <c r="O302" s="209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  <c r="AA302" s="202"/>
      <c r="AB302" s="201"/>
      <c r="AC302" s="201"/>
      <c r="AD302" s="201"/>
      <c r="AE302" s="201"/>
      <c r="AF302" s="201"/>
      <c r="AG302" s="201"/>
      <c r="AH302" s="201"/>
      <c r="AI302" s="201"/>
      <c r="AJ302" s="201"/>
      <c r="AK302" s="201"/>
      <c r="AL302" s="201"/>
      <c r="AM302" s="201"/>
      <c r="AN302" s="201"/>
      <c r="AO302" s="201"/>
      <c r="AP302" s="201"/>
      <c r="AQ302" s="201"/>
      <c r="AR302" s="201"/>
      <c r="AS302" s="201"/>
      <c r="AT302" s="201"/>
      <c r="AU302" s="201"/>
      <c r="AZ302" s="201"/>
    </row>
    <row r="304" spans="2:52">
      <c r="B304" s="28" t="s">
        <v>126</v>
      </c>
      <c r="C304" s="28"/>
      <c r="D304" s="29"/>
      <c r="E304" s="30" t="s">
        <v>511</v>
      </c>
      <c r="F304" s="31" t="s">
        <v>1270</v>
      </c>
      <c r="G304" s="32"/>
      <c r="H304" s="33"/>
      <c r="I304" s="34"/>
      <c r="J304" s="35" t="s">
        <v>513</v>
      </c>
      <c r="K304" s="36" t="s">
        <v>511</v>
      </c>
      <c r="L304" s="37">
        <v>45041.194444444445</v>
      </c>
      <c r="M304" s="32"/>
      <c r="N304" s="32"/>
      <c r="O304" s="206"/>
      <c r="P304" s="205"/>
      <c r="Q304" s="202"/>
      <c r="R304" s="204"/>
      <c r="S304" s="38"/>
      <c r="T304" s="201"/>
      <c r="U304" s="201"/>
      <c r="V304" s="201"/>
      <c r="W304" s="201"/>
      <c r="X304" s="201"/>
      <c r="Y304" s="201"/>
      <c r="Z304" s="201"/>
      <c r="AA304" s="201"/>
      <c r="AB304" s="202"/>
      <c r="AC304" s="202"/>
      <c r="AD304" s="202"/>
      <c r="AE304" s="202"/>
      <c r="AF304" s="202"/>
      <c r="AG304" s="201"/>
      <c r="AH304" s="201"/>
      <c r="AI304" s="201"/>
      <c r="AJ304" s="201"/>
      <c r="AK304" s="201"/>
      <c r="AL304" s="201"/>
      <c r="AM304" s="201"/>
      <c r="AN304" s="201"/>
      <c r="AO304" s="201"/>
      <c r="AP304" s="201"/>
      <c r="AQ304" s="201"/>
      <c r="AR304" s="201"/>
      <c r="AS304" s="201"/>
      <c r="AT304" s="201"/>
      <c r="AU304" s="201"/>
      <c r="AV304" s="201"/>
      <c r="AW304" s="201"/>
      <c r="AX304" s="201"/>
      <c r="AY304" s="201"/>
      <c r="AZ304" s="201"/>
    </row>
    <row r="305" spans="2:52">
      <c r="B305" s="35" t="s">
        <v>514</v>
      </c>
      <c r="C305" s="35"/>
      <c r="D305" s="32"/>
      <c r="E305" s="36" t="s">
        <v>511</v>
      </c>
      <c r="F305" s="37" t="s">
        <v>1428</v>
      </c>
      <c r="G305" s="32"/>
      <c r="H305" s="33"/>
      <c r="I305" s="34"/>
      <c r="J305" s="35" t="s">
        <v>516</v>
      </c>
      <c r="K305" s="36" t="s">
        <v>511</v>
      </c>
      <c r="L305" s="37">
        <v>45042.864583333336</v>
      </c>
      <c r="M305" s="32"/>
      <c r="N305" s="32"/>
      <c r="O305" s="206"/>
      <c r="P305" s="205"/>
      <c r="Q305" s="202"/>
      <c r="R305" s="204"/>
      <c r="S305" s="38"/>
      <c r="T305" s="201"/>
      <c r="U305" s="201"/>
      <c r="V305" s="201"/>
      <c r="W305" s="201"/>
      <c r="X305" s="201"/>
      <c r="Y305" s="201"/>
      <c r="Z305" s="201"/>
      <c r="AA305" s="201"/>
      <c r="AB305" s="202"/>
      <c r="AC305" s="202"/>
      <c r="AD305" s="202"/>
      <c r="AE305" s="202"/>
      <c r="AF305" s="202"/>
      <c r="AG305" s="201"/>
      <c r="AH305" s="201"/>
      <c r="AI305" s="201"/>
      <c r="AJ305" s="201"/>
      <c r="AK305" s="201"/>
      <c r="AL305" s="201"/>
      <c r="AM305" s="201"/>
      <c r="AN305" s="201"/>
      <c r="AO305" s="201"/>
      <c r="AP305" s="201"/>
      <c r="AQ305" s="201"/>
      <c r="AR305" s="201"/>
      <c r="AS305" s="201"/>
      <c r="AT305" s="201"/>
      <c r="AU305" s="201"/>
      <c r="AV305" s="201"/>
      <c r="AW305" s="201"/>
      <c r="AX305" s="201"/>
      <c r="AY305" s="201"/>
      <c r="AZ305" s="201"/>
    </row>
    <row r="306" spans="2:52">
      <c r="B306" s="35" t="s">
        <v>517</v>
      </c>
      <c r="C306" s="35"/>
      <c r="D306" s="32"/>
      <c r="E306" s="36" t="s">
        <v>511</v>
      </c>
      <c r="F306" s="37">
        <v>45039.34375</v>
      </c>
      <c r="G306" s="32"/>
      <c r="H306" s="33"/>
      <c r="I306" s="34"/>
      <c r="J306" s="35" t="s">
        <v>518</v>
      </c>
      <c r="K306" s="36" t="s">
        <v>511</v>
      </c>
      <c r="L306" s="50">
        <v>49500</v>
      </c>
      <c r="M306" s="40" t="s">
        <v>519</v>
      </c>
      <c r="N306" s="40"/>
      <c r="O306" s="206"/>
      <c r="P306" s="205"/>
      <c r="Q306" s="202"/>
      <c r="R306" s="204"/>
      <c r="S306" s="38"/>
      <c r="T306" s="201"/>
      <c r="U306" s="201"/>
      <c r="V306" s="201"/>
      <c r="W306" s="201"/>
      <c r="X306" s="201"/>
      <c r="Y306" s="201"/>
      <c r="Z306" s="201"/>
      <c r="AA306" s="201"/>
      <c r="AB306" s="202"/>
      <c r="AC306" s="202"/>
      <c r="AD306" s="202"/>
      <c r="AE306" s="202"/>
      <c r="AF306" s="202"/>
      <c r="AG306" s="201"/>
      <c r="AH306" s="201"/>
      <c r="AI306" s="201"/>
      <c r="AJ306" s="201"/>
      <c r="AK306" s="201"/>
      <c r="AL306" s="201"/>
      <c r="AM306" s="201"/>
      <c r="AN306" s="201"/>
      <c r="AO306" s="201"/>
      <c r="AP306" s="201"/>
      <c r="AQ306" s="201"/>
      <c r="AR306" s="201"/>
      <c r="AS306" s="201"/>
      <c r="AT306" s="201"/>
      <c r="AU306" s="201"/>
      <c r="AV306" s="201"/>
      <c r="AW306" s="201"/>
      <c r="AX306" s="201"/>
      <c r="AY306" s="201"/>
      <c r="AZ306" s="201"/>
    </row>
    <row r="307" spans="2:52">
      <c r="B307" s="35" t="s">
        <v>520</v>
      </c>
      <c r="C307" s="35"/>
      <c r="D307" s="32"/>
      <c r="E307" s="36" t="s">
        <v>511</v>
      </c>
      <c r="F307" s="37" t="s">
        <v>12</v>
      </c>
      <c r="G307" s="32"/>
      <c r="H307" s="33"/>
      <c r="I307" s="34"/>
      <c r="J307" s="35" t="s">
        <v>521</v>
      </c>
      <c r="K307" s="36" t="s">
        <v>511</v>
      </c>
      <c r="L307" s="41" t="s">
        <v>1429</v>
      </c>
      <c r="M307" s="32"/>
      <c r="N307" s="32"/>
      <c r="O307" s="206"/>
      <c r="P307" s="202"/>
      <c r="Q307" s="202"/>
      <c r="R307" s="204"/>
      <c r="S307" s="38"/>
      <c r="T307" s="201"/>
      <c r="U307" s="201"/>
      <c r="V307" s="201"/>
      <c r="W307" s="201"/>
      <c r="X307" s="201"/>
      <c r="Y307" s="201"/>
      <c r="Z307" s="201"/>
      <c r="AA307" s="201"/>
      <c r="AB307" s="202"/>
      <c r="AC307" s="202"/>
      <c r="AD307" s="202"/>
      <c r="AE307" s="202"/>
      <c r="AF307" s="202"/>
      <c r="AG307" s="201"/>
      <c r="AH307" s="201"/>
      <c r="AI307" s="201"/>
      <c r="AJ307" s="201"/>
      <c r="AK307" s="201"/>
      <c r="AL307" s="201"/>
      <c r="AM307" s="201"/>
      <c r="AN307" s="201"/>
      <c r="AO307" s="201"/>
      <c r="AP307" s="201"/>
      <c r="AQ307" s="201"/>
      <c r="AR307" s="201"/>
      <c r="AS307" s="201"/>
      <c r="AT307" s="201"/>
      <c r="AU307" s="201"/>
      <c r="AV307" s="201"/>
      <c r="AW307" s="201"/>
      <c r="AX307" s="201"/>
      <c r="AY307" s="201"/>
      <c r="AZ307" s="201"/>
    </row>
    <row r="308" spans="2:52">
      <c r="B308" s="35" t="s">
        <v>523</v>
      </c>
      <c r="C308" s="35"/>
      <c r="D308" s="32"/>
      <c r="E308" s="36" t="s">
        <v>511</v>
      </c>
      <c r="F308" s="37" t="s">
        <v>37</v>
      </c>
      <c r="G308" s="32"/>
      <c r="H308" s="33"/>
      <c r="I308" s="34"/>
      <c r="J308" s="42" t="s">
        <v>524</v>
      </c>
      <c r="K308" s="36" t="s">
        <v>511</v>
      </c>
      <c r="L308" s="43" t="s">
        <v>15</v>
      </c>
      <c r="M308" s="44"/>
      <c r="N308" s="44"/>
      <c r="O308" s="206"/>
      <c r="P308" s="205"/>
      <c r="Q308" s="202"/>
      <c r="R308" s="204"/>
      <c r="S308" s="38"/>
      <c r="T308" s="201"/>
      <c r="U308" s="201"/>
      <c r="V308" s="201"/>
      <c r="W308" s="201"/>
      <c r="X308" s="201"/>
      <c r="Y308" s="201"/>
      <c r="Z308" s="201"/>
      <c r="AA308" s="201"/>
      <c r="AB308" s="202"/>
      <c r="AC308" s="202"/>
      <c r="AD308" s="202"/>
      <c r="AE308" s="202"/>
      <c r="AF308" s="202"/>
      <c r="AG308" s="201"/>
      <c r="AH308" s="201"/>
      <c r="AI308" s="201"/>
      <c r="AJ308" s="201"/>
      <c r="AK308" s="201"/>
      <c r="AL308" s="201"/>
      <c r="AM308" s="201"/>
      <c r="AN308" s="201"/>
      <c r="AO308" s="201"/>
      <c r="AP308" s="201"/>
      <c r="AQ308" s="201"/>
      <c r="AR308" s="201"/>
      <c r="AS308" s="201"/>
      <c r="AT308" s="201"/>
      <c r="AU308" s="201"/>
      <c r="AV308" s="201"/>
      <c r="AW308" s="201"/>
      <c r="AX308" s="201"/>
      <c r="AY308" s="201"/>
      <c r="AZ308" s="201"/>
    </row>
    <row r="309" spans="2:52">
      <c r="B309" s="35" t="s">
        <v>2</v>
      </c>
      <c r="C309" s="35"/>
      <c r="D309" s="32"/>
      <c r="E309" s="36" t="s">
        <v>511</v>
      </c>
      <c r="F309" s="37" t="s">
        <v>60</v>
      </c>
      <c r="G309" s="32"/>
      <c r="H309" s="33"/>
      <c r="I309" s="45"/>
      <c r="J309" s="42"/>
      <c r="K309" s="36"/>
      <c r="L309" s="211"/>
      <c r="M309" s="201"/>
      <c r="N309" s="201"/>
      <c r="O309" s="42"/>
      <c r="P309" s="44"/>
      <c r="Q309" s="44"/>
      <c r="R309" s="44"/>
      <c r="S309" s="34"/>
      <c r="T309" s="201"/>
      <c r="U309" s="201"/>
      <c r="V309" s="201"/>
      <c r="W309" s="201"/>
      <c r="X309" s="201"/>
      <c r="Y309" s="201"/>
      <c r="Z309" s="201"/>
      <c r="AA309" s="201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201"/>
      <c r="AP309" s="201"/>
      <c r="AQ309" s="201"/>
      <c r="AR309" s="201"/>
      <c r="AS309" s="201"/>
      <c r="AT309" s="201"/>
      <c r="AU309" s="201"/>
      <c r="AV309" s="201"/>
      <c r="AW309" s="201"/>
      <c r="AX309" s="201"/>
      <c r="AY309" s="201"/>
      <c r="AZ309" s="201"/>
    </row>
    <row r="310" spans="2:52">
      <c r="B310" s="201"/>
      <c r="C310" s="201"/>
      <c r="D310" s="201"/>
      <c r="E310" s="201"/>
      <c r="F310" s="201"/>
      <c r="G310" s="201"/>
      <c r="H310" s="201"/>
      <c r="I310" s="45"/>
      <c r="J310" s="42"/>
      <c r="K310" s="42"/>
      <c r="L310" s="43"/>
      <c r="M310" s="44"/>
      <c r="N310" s="44"/>
      <c r="O310" s="42"/>
      <c r="P310" s="44"/>
      <c r="Q310" s="44"/>
      <c r="R310" s="44"/>
      <c r="S310" s="34"/>
      <c r="T310" s="1265" t="s">
        <v>87</v>
      </c>
      <c r="U310" s="1265"/>
      <c r="V310" s="1265"/>
      <c r="W310" s="1265"/>
      <c r="X310" s="1265"/>
      <c r="Y310" s="1265" t="s">
        <v>73</v>
      </c>
      <c r="Z310" s="1265"/>
      <c r="AA310" s="1265"/>
      <c r="AB310" s="1265" t="s">
        <v>74</v>
      </c>
      <c r="AC310" s="1265"/>
      <c r="AD310" s="423" t="s">
        <v>85</v>
      </c>
      <c r="AE310" s="423" t="s">
        <v>77</v>
      </c>
      <c r="AF310" s="1265" t="s">
        <v>525</v>
      </c>
      <c r="AG310" s="1265"/>
      <c r="AH310" s="1265"/>
      <c r="AI310" s="1265"/>
      <c r="AJ310" s="1265"/>
      <c r="AK310" s="1265"/>
      <c r="AL310" s="1265"/>
      <c r="AM310" s="1265"/>
      <c r="AN310" s="1265"/>
      <c r="AO310" s="1265"/>
      <c r="AP310" s="1265"/>
      <c r="AQ310" s="1265"/>
      <c r="AR310" s="1265"/>
      <c r="AS310" s="1265"/>
      <c r="AT310" s="1265"/>
      <c r="AU310" s="1265"/>
      <c r="AV310" s="1265"/>
      <c r="AW310" s="1265"/>
      <c r="AX310" s="1265"/>
      <c r="AY310" s="1265"/>
      <c r="AZ310" s="201"/>
    </row>
    <row r="311" spans="2:52">
      <c r="B311" s="1266" t="s">
        <v>526</v>
      </c>
      <c r="C311" s="1267"/>
      <c r="D311" s="570" t="s">
        <v>527</v>
      </c>
      <c r="E311" s="570"/>
      <c r="F311" s="570" t="s">
        <v>528</v>
      </c>
      <c r="G311" s="570" t="s">
        <v>529</v>
      </c>
      <c r="H311" s="570" t="s">
        <v>530</v>
      </c>
      <c r="I311" s="570" t="s">
        <v>531</v>
      </c>
      <c r="J311" s="570" t="s">
        <v>532</v>
      </c>
      <c r="K311" s="570"/>
      <c r="L311" s="570" t="s">
        <v>130</v>
      </c>
      <c r="M311" s="570" t="s">
        <v>533</v>
      </c>
      <c r="N311" s="408" t="str">
        <f>"On time - "&amp;COUNTIF(N312:N320,"On time")&amp;" from "&amp;ROWS(N312:N320)-COUNTIF(N312:N320," ")</f>
        <v>On time - 4 from 7</v>
      </c>
      <c r="O311" s="46"/>
      <c r="P311" s="409" t="s">
        <v>534</v>
      </c>
      <c r="Q311" s="409" t="s">
        <v>535</v>
      </c>
      <c r="R311" s="409" t="s">
        <v>536</v>
      </c>
      <c r="S311" s="32"/>
      <c r="T311" s="424" t="s">
        <v>537</v>
      </c>
      <c r="U311" s="424" t="s">
        <v>538</v>
      </c>
      <c r="V311" s="424" t="s">
        <v>539</v>
      </c>
      <c r="W311" s="424" t="s">
        <v>540</v>
      </c>
      <c r="X311" s="424" t="s">
        <v>541</v>
      </c>
      <c r="Y311" s="424" t="s">
        <v>167</v>
      </c>
      <c r="Z311" s="424" t="s">
        <v>168</v>
      </c>
      <c r="AA311" s="424" t="s">
        <v>169</v>
      </c>
      <c r="AB311" s="424" t="s">
        <v>235</v>
      </c>
      <c r="AC311" s="424" t="s">
        <v>240</v>
      </c>
      <c r="AD311" s="423" t="s">
        <v>85</v>
      </c>
      <c r="AE311" s="424" t="s">
        <v>139</v>
      </c>
      <c r="AF311" s="424" t="s">
        <v>72</v>
      </c>
      <c r="AG311" s="424" t="s">
        <v>88</v>
      </c>
      <c r="AH311" s="424" t="s">
        <v>75</v>
      </c>
      <c r="AI311" s="424" t="s">
        <v>543</v>
      </c>
      <c r="AJ311" s="424" t="s">
        <v>78</v>
      </c>
      <c r="AK311" s="424" t="s">
        <v>76</v>
      </c>
      <c r="AL311" s="424" t="s">
        <v>544</v>
      </c>
      <c r="AM311" s="424" t="s">
        <v>545</v>
      </c>
      <c r="AN311" s="424" t="s">
        <v>86</v>
      </c>
      <c r="AO311" s="424" t="s">
        <v>83</v>
      </c>
      <c r="AP311" s="424" t="s">
        <v>84</v>
      </c>
      <c r="AQ311" s="424" t="s">
        <v>546</v>
      </c>
      <c r="AR311" s="424" t="s">
        <v>81</v>
      </c>
      <c r="AS311" s="424" t="s">
        <v>80</v>
      </c>
      <c r="AT311" s="424" t="s">
        <v>82</v>
      </c>
      <c r="AU311" s="424" t="s">
        <v>181</v>
      </c>
      <c r="AV311" s="424" t="s">
        <v>183</v>
      </c>
      <c r="AW311" s="424" t="s">
        <v>547</v>
      </c>
      <c r="AX311" s="424" t="s">
        <v>182</v>
      </c>
      <c r="AY311" s="424" t="s">
        <v>172</v>
      </c>
      <c r="AZ311" s="201"/>
    </row>
    <row r="312" spans="2:52">
      <c r="B312" s="1250" t="s">
        <v>653</v>
      </c>
      <c r="C312" s="1251"/>
      <c r="D312" s="411" t="s">
        <v>1337</v>
      </c>
      <c r="E312" s="411"/>
      <c r="F312" s="411" t="s">
        <v>304</v>
      </c>
      <c r="G312" s="411" t="s">
        <v>305</v>
      </c>
      <c r="H312" s="412">
        <v>7500</v>
      </c>
      <c r="I312" s="413" t="s">
        <v>76</v>
      </c>
      <c r="J312" s="414">
        <v>45040.0625</v>
      </c>
      <c r="K312" s="414"/>
      <c r="L312" s="414" t="s">
        <v>192</v>
      </c>
      <c r="M312" s="414" t="s">
        <v>192</v>
      </c>
      <c r="N312" s="413" t="str">
        <f>IF(ISBLANK(J312)," ",IF(J312&lt;$F$306,"On time",(IF(DAY(J312-$F$306)&lt;1,"On time",(IF(J312&gt;$F$306,"DELAY ( "&amp;DAY(J312-$F$306)&amp;" day "&amp;HOUR(J312-$F$306)&amp;" hour "&amp;MINUTE(J312-$F$306)&amp;" minute )","xxx"))))))</f>
        <v>On time</v>
      </c>
      <c r="O312" s="51"/>
      <c r="P312" s="415" t="s">
        <v>551</v>
      </c>
      <c r="Q312" s="415" t="s">
        <v>551</v>
      </c>
      <c r="R312" s="415" t="s">
        <v>551</v>
      </c>
      <c r="S312" s="32"/>
      <c r="T312" s="416"/>
      <c r="U312" s="416"/>
      <c r="V312" s="416"/>
      <c r="W312" s="416"/>
      <c r="X312" s="416"/>
      <c r="Y312" s="416"/>
      <c r="Z312" s="416"/>
      <c r="AA312" s="416"/>
      <c r="AB312" s="416"/>
      <c r="AC312" s="416"/>
      <c r="AD312" s="416"/>
      <c r="AE312" s="416"/>
      <c r="AF312" s="416"/>
      <c r="AG312" s="416"/>
      <c r="AH312" s="416"/>
      <c r="AI312" s="416"/>
      <c r="AJ312" s="416"/>
      <c r="AK312" s="416">
        <f>H312</f>
        <v>7500</v>
      </c>
      <c r="AL312" s="416"/>
      <c r="AM312" s="416"/>
      <c r="AN312" s="416"/>
      <c r="AO312" s="416"/>
      <c r="AP312" s="416"/>
      <c r="AQ312" s="416"/>
      <c r="AR312" s="416"/>
      <c r="AS312" s="416"/>
      <c r="AT312" s="32"/>
      <c r="AU312" s="416"/>
      <c r="AV312" s="416"/>
      <c r="AW312" s="416"/>
      <c r="AX312" s="416"/>
      <c r="AY312" s="416"/>
      <c r="AZ312" s="32"/>
    </row>
    <row r="313" spans="2:52">
      <c r="B313" s="1254"/>
      <c r="C313" s="1255"/>
      <c r="D313" s="411" t="s">
        <v>1271</v>
      </c>
      <c r="E313" s="411"/>
      <c r="F313" s="411" t="s">
        <v>374</v>
      </c>
      <c r="G313" s="411" t="s">
        <v>375</v>
      </c>
      <c r="H313" s="412">
        <v>7533.3580000000002</v>
      </c>
      <c r="I313" s="413" t="s">
        <v>240</v>
      </c>
      <c r="J313" s="414">
        <v>45040.055555555555</v>
      </c>
      <c r="K313" s="414"/>
      <c r="L313" s="414" t="s">
        <v>192</v>
      </c>
      <c r="M313" s="414" t="s">
        <v>192</v>
      </c>
      <c r="N313" s="413" t="str">
        <f t="shared" ref="N313:N320" si="21">IF(ISBLANK(J313)," ",IF(J313&lt;$F$306,"On time",(IF(DAY(J313-$F$306)&lt;1,"On time",(IF(J313&gt;$F$306,"DELAY ( "&amp;DAY(J313-$F$306)&amp;" day "&amp;HOUR(J313-$F$306)&amp;" hour "&amp;MINUTE(J313-$F$306)&amp;" minute )","xxx"))))))</f>
        <v>On time</v>
      </c>
      <c r="O313" s="51"/>
      <c r="P313" s="415" t="s">
        <v>551</v>
      </c>
      <c r="Q313" s="415" t="s">
        <v>551</v>
      </c>
      <c r="R313" s="415" t="s">
        <v>551</v>
      </c>
      <c r="S313" s="32"/>
      <c r="T313" s="416"/>
      <c r="U313" s="416"/>
      <c r="V313" s="416"/>
      <c r="W313" s="416"/>
      <c r="X313" s="416"/>
      <c r="Y313" s="416"/>
      <c r="Z313" s="416"/>
      <c r="AA313" s="416"/>
      <c r="AB313" s="416"/>
      <c r="AC313" s="416">
        <f>H313</f>
        <v>7533.3580000000002</v>
      </c>
      <c r="AD313" s="416"/>
      <c r="AE313" s="416"/>
      <c r="AF313" s="416"/>
      <c r="AG313" s="416"/>
      <c r="AH313" s="416"/>
      <c r="AI313" s="416"/>
      <c r="AJ313" s="416"/>
      <c r="AK313" s="416"/>
      <c r="AL313" s="416"/>
      <c r="AM313" s="416"/>
      <c r="AN313" s="416"/>
      <c r="AO313" s="416"/>
      <c r="AP313" s="416"/>
      <c r="AQ313" s="416"/>
      <c r="AR313" s="416"/>
      <c r="AS313" s="416"/>
      <c r="AT313" s="416"/>
      <c r="AU313" s="416"/>
      <c r="AV313" s="416"/>
      <c r="AW313" s="416"/>
      <c r="AX313" s="416"/>
      <c r="AY313" s="416"/>
      <c r="AZ313" s="32"/>
    </row>
    <row r="314" spans="2:52">
      <c r="B314" s="1256" t="s">
        <v>548</v>
      </c>
      <c r="C314" s="1257"/>
      <c r="D314" s="411" t="s">
        <v>1272</v>
      </c>
      <c r="E314" s="411"/>
      <c r="F314" s="411" t="s">
        <v>349</v>
      </c>
      <c r="G314" s="411" t="s">
        <v>350</v>
      </c>
      <c r="H314" s="412">
        <v>7606.2979999999998</v>
      </c>
      <c r="I314" s="413" t="s">
        <v>240</v>
      </c>
      <c r="J314" s="414">
        <v>45039.583333333336</v>
      </c>
      <c r="K314" s="414"/>
      <c r="L314" s="414" t="s">
        <v>192</v>
      </c>
      <c r="M314" s="414" t="s">
        <v>192</v>
      </c>
      <c r="N314" s="413" t="str">
        <f t="shared" si="21"/>
        <v>On time</v>
      </c>
      <c r="O314" s="51"/>
      <c r="P314" s="415" t="s">
        <v>551</v>
      </c>
      <c r="Q314" s="415" t="s">
        <v>551</v>
      </c>
      <c r="R314" s="415" t="s">
        <v>551</v>
      </c>
      <c r="S314" s="32"/>
      <c r="T314" s="416"/>
      <c r="U314" s="416"/>
      <c r="V314" s="416"/>
      <c r="W314" s="416"/>
      <c r="X314" s="416"/>
      <c r="Y314" s="416"/>
      <c r="Z314" s="416"/>
      <c r="AA314" s="416"/>
      <c r="AB314" s="416"/>
      <c r="AC314" s="416">
        <f>H314</f>
        <v>7606.2979999999998</v>
      </c>
      <c r="AD314" s="416"/>
      <c r="AE314" s="416"/>
      <c r="AF314" s="416"/>
      <c r="AG314" s="416"/>
      <c r="AH314" s="416"/>
      <c r="AI314" s="416"/>
      <c r="AJ314" s="416"/>
      <c r="AK314" s="416"/>
      <c r="AL314" s="416"/>
      <c r="AM314" s="416"/>
      <c r="AN314" s="416"/>
      <c r="AO314" s="416"/>
      <c r="AP314" s="416"/>
      <c r="AQ314" s="416"/>
      <c r="AR314" s="416"/>
      <c r="AS314" s="416"/>
      <c r="AT314" s="416"/>
      <c r="AU314" s="416"/>
      <c r="AV314" s="416"/>
      <c r="AW314" s="416"/>
      <c r="AX314" s="416"/>
      <c r="AY314" s="416"/>
      <c r="AZ314" s="32"/>
    </row>
    <row r="315" spans="2:52">
      <c r="B315" s="1256" t="s">
        <v>548</v>
      </c>
      <c r="C315" s="1257"/>
      <c r="D315" s="411" t="s">
        <v>1273</v>
      </c>
      <c r="E315" s="411"/>
      <c r="F315" s="411" t="s">
        <v>380</v>
      </c>
      <c r="G315" s="411" t="s">
        <v>381</v>
      </c>
      <c r="H315" s="412">
        <v>7737.5969999999998</v>
      </c>
      <c r="I315" s="413" t="s">
        <v>240</v>
      </c>
      <c r="J315" s="414">
        <v>45039.645833333336</v>
      </c>
      <c r="K315" s="414"/>
      <c r="L315" s="414" t="s">
        <v>192</v>
      </c>
      <c r="M315" s="414" t="s">
        <v>192</v>
      </c>
      <c r="N315" s="413" t="str">
        <f t="shared" si="21"/>
        <v>On time</v>
      </c>
      <c r="O315" s="51"/>
      <c r="P315" s="415" t="s">
        <v>551</v>
      </c>
      <c r="Q315" s="415" t="s">
        <v>551</v>
      </c>
      <c r="R315" s="415" t="s">
        <v>551</v>
      </c>
      <c r="S315" s="32"/>
      <c r="T315" s="416"/>
      <c r="U315" s="416"/>
      <c r="V315" s="416"/>
      <c r="W315" s="416"/>
      <c r="X315" s="416"/>
      <c r="Y315" s="416"/>
      <c r="Z315" s="416"/>
      <c r="AA315" s="416"/>
      <c r="AB315" s="416"/>
      <c r="AC315" s="416">
        <f>H315</f>
        <v>7737.5969999999998</v>
      </c>
      <c r="AD315" s="416"/>
      <c r="AE315" s="416"/>
      <c r="AF315" s="416"/>
      <c r="AG315" s="416"/>
      <c r="AH315" s="416"/>
      <c r="AI315" s="416"/>
      <c r="AJ315" s="416"/>
      <c r="AK315" s="416"/>
      <c r="AL315" s="416"/>
      <c r="AM315" s="416"/>
      <c r="AN315" s="416"/>
      <c r="AO315" s="416"/>
      <c r="AP315" s="416"/>
      <c r="AQ315" s="416"/>
      <c r="AR315" s="416"/>
      <c r="AS315" s="416"/>
      <c r="AT315" s="416"/>
      <c r="AU315" s="416"/>
      <c r="AV315" s="32"/>
      <c r="AW315" s="416"/>
      <c r="AX315" s="416"/>
      <c r="AY315" s="416"/>
      <c r="AZ315" s="32"/>
    </row>
    <row r="316" spans="2:52">
      <c r="B316" s="1256" t="s">
        <v>548</v>
      </c>
      <c r="C316" s="1257"/>
      <c r="D316" s="411" t="s">
        <v>1274</v>
      </c>
      <c r="E316" s="411"/>
      <c r="F316" s="411" t="s">
        <v>218</v>
      </c>
      <c r="G316" s="411" t="s">
        <v>219</v>
      </c>
      <c r="H316" s="412">
        <v>7518.3540000000003</v>
      </c>
      <c r="I316" s="413" t="s">
        <v>240</v>
      </c>
      <c r="J316" s="414">
        <v>45040.680555555555</v>
      </c>
      <c r="K316" s="414"/>
      <c r="L316" s="414" t="s">
        <v>192</v>
      </c>
      <c r="M316" s="414" t="s">
        <v>192</v>
      </c>
      <c r="N316" s="413" t="str">
        <f t="shared" si="21"/>
        <v>DELAY ( 1 day 8 hour 5 minute )</v>
      </c>
      <c r="O316" s="51"/>
      <c r="P316" s="415" t="s">
        <v>551</v>
      </c>
      <c r="Q316" s="415" t="s">
        <v>551</v>
      </c>
      <c r="R316" s="415" t="s">
        <v>551</v>
      </c>
      <c r="S316" s="32"/>
      <c r="T316" s="416"/>
      <c r="U316" s="416"/>
      <c r="V316" s="416"/>
      <c r="W316" s="416"/>
      <c r="X316" s="416"/>
      <c r="Y316" s="416"/>
      <c r="Z316" s="416"/>
      <c r="AA316" s="416"/>
      <c r="AB316" s="416"/>
      <c r="AC316" s="416">
        <f>H316</f>
        <v>7518.3540000000003</v>
      </c>
      <c r="AD316" s="416"/>
      <c r="AE316" s="416"/>
      <c r="AF316" s="416"/>
      <c r="AG316" s="416"/>
      <c r="AH316" s="416"/>
      <c r="AI316" s="416"/>
      <c r="AJ316" s="416"/>
      <c r="AK316" s="416"/>
      <c r="AL316" s="416"/>
      <c r="AM316" s="416"/>
      <c r="AN316" s="416"/>
      <c r="AO316" s="416"/>
      <c r="AP316" s="416"/>
      <c r="AQ316" s="416"/>
      <c r="AR316" s="416"/>
      <c r="AS316" s="416"/>
      <c r="AT316" s="416"/>
      <c r="AU316" s="416"/>
      <c r="AV316" s="416"/>
      <c r="AW316" s="416"/>
      <c r="AX316" s="416"/>
      <c r="AY316" s="416"/>
      <c r="AZ316" s="32"/>
    </row>
    <row r="317" spans="2:52">
      <c r="B317" s="1256" t="s">
        <v>548</v>
      </c>
      <c r="C317" s="1257"/>
      <c r="D317" s="411" t="s">
        <v>1276</v>
      </c>
      <c r="E317" s="411"/>
      <c r="F317" s="411" t="s">
        <v>505</v>
      </c>
      <c r="G317" s="411" t="s">
        <v>506</v>
      </c>
      <c r="H317" s="412">
        <v>7664.7790000000005</v>
      </c>
      <c r="I317" s="413" t="s">
        <v>240</v>
      </c>
      <c r="J317" s="414">
        <v>45040.666666666664</v>
      </c>
      <c r="K317" s="414"/>
      <c r="L317" s="414" t="s">
        <v>192</v>
      </c>
      <c r="M317" s="414" t="s">
        <v>192</v>
      </c>
      <c r="N317" s="413" t="str">
        <f t="shared" si="21"/>
        <v>DELAY ( 1 day 7 hour 45 minute )</v>
      </c>
      <c r="O317" s="51"/>
      <c r="P317" s="415" t="s">
        <v>551</v>
      </c>
      <c r="Q317" s="415" t="s">
        <v>551</v>
      </c>
      <c r="R317" s="415" t="s">
        <v>551</v>
      </c>
      <c r="S317" s="32"/>
      <c r="T317" s="416"/>
      <c r="U317" s="416"/>
      <c r="V317" s="416"/>
      <c r="W317" s="416"/>
      <c r="X317" s="416"/>
      <c r="Y317" s="416"/>
      <c r="Z317" s="416"/>
      <c r="AA317" s="416"/>
      <c r="AB317" s="416"/>
      <c r="AC317" s="416">
        <f>H317</f>
        <v>7664.7790000000005</v>
      </c>
      <c r="AD317" s="416"/>
      <c r="AE317" s="416"/>
      <c r="AF317" s="416"/>
      <c r="AG317" s="416"/>
      <c r="AH317" s="416"/>
      <c r="AI317" s="416"/>
      <c r="AJ317" s="416"/>
      <c r="AK317" s="416"/>
      <c r="AL317" s="416"/>
      <c r="AM317" s="416"/>
      <c r="AN317" s="416"/>
      <c r="AO317" s="416"/>
      <c r="AP317" s="416"/>
      <c r="AQ317" s="416"/>
      <c r="AR317" s="416"/>
      <c r="AS317" s="416"/>
      <c r="AT317" s="416"/>
      <c r="AU317" s="416"/>
      <c r="AV317" s="416"/>
      <c r="AW317" s="416"/>
      <c r="AX317" s="416"/>
      <c r="AY317" s="416"/>
      <c r="AZ317" s="32"/>
    </row>
    <row r="318" spans="2:52">
      <c r="B318" s="1256" t="s">
        <v>548</v>
      </c>
      <c r="C318" s="1257"/>
      <c r="D318" s="411" t="s">
        <v>1275</v>
      </c>
      <c r="E318" s="411"/>
      <c r="F318" s="411" t="s">
        <v>323</v>
      </c>
      <c r="G318" s="411" t="s">
        <v>324</v>
      </c>
      <c r="H318" s="412">
        <f>7607.837-3668.223</f>
        <v>3939.6140000000005</v>
      </c>
      <c r="I318" s="413" t="s">
        <v>235</v>
      </c>
      <c r="J318" s="414">
        <v>45040.6875</v>
      </c>
      <c r="K318" s="414"/>
      <c r="L318" s="414" t="s">
        <v>192</v>
      </c>
      <c r="M318" s="414" t="s">
        <v>192</v>
      </c>
      <c r="N318" s="413" t="str">
        <f t="shared" si="21"/>
        <v>DELAY ( 1 day 8 hour 15 minute )</v>
      </c>
      <c r="O318" s="51"/>
      <c r="P318" s="415" t="s">
        <v>551</v>
      </c>
      <c r="Q318" s="415" t="s">
        <v>551</v>
      </c>
      <c r="R318" s="415" t="s">
        <v>551</v>
      </c>
      <c r="S318" s="32"/>
      <c r="T318" s="416"/>
      <c r="U318" s="416"/>
      <c r="V318" s="416"/>
      <c r="W318" s="416"/>
      <c r="X318" s="416"/>
      <c r="Y318" s="416"/>
      <c r="Z318" s="416"/>
      <c r="AA318" s="416"/>
      <c r="AB318" s="416">
        <f>H318</f>
        <v>3939.6140000000005</v>
      </c>
      <c r="AC318" s="416"/>
      <c r="AD318" s="416"/>
      <c r="AE318" s="416"/>
      <c r="AF318" s="416"/>
      <c r="AG318" s="416"/>
      <c r="AH318" s="416"/>
      <c r="AI318" s="416"/>
      <c r="AJ318" s="416"/>
      <c r="AK318" s="416"/>
      <c r="AL318" s="416"/>
      <c r="AM318" s="416"/>
      <c r="AN318" s="416"/>
      <c r="AO318" s="416"/>
      <c r="AP318" s="416"/>
      <c r="AQ318" s="416"/>
      <c r="AR318" s="416"/>
      <c r="AS318" s="416"/>
      <c r="AT318" s="416"/>
      <c r="AU318" s="416"/>
      <c r="AV318" s="416"/>
      <c r="AW318" s="416"/>
      <c r="AX318" s="416"/>
      <c r="AY318" s="416"/>
      <c r="AZ318" s="32"/>
    </row>
    <row r="319" spans="2:52">
      <c r="B319" s="1258" t="s">
        <v>556</v>
      </c>
      <c r="C319" s="1259"/>
      <c r="D319" s="1259"/>
      <c r="E319" s="1259"/>
      <c r="F319" s="1259"/>
      <c r="G319" s="1260"/>
      <c r="H319" s="417">
        <f>SUM(H312:H318)</f>
        <v>49500</v>
      </c>
      <c r="I319" s="388"/>
      <c r="J319" s="293"/>
      <c r="K319" s="293"/>
      <c r="L319" s="293"/>
      <c r="M319" s="389"/>
      <c r="N319" s="413" t="str">
        <f t="shared" si="21"/>
        <v xml:space="preserve"> </v>
      </c>
      <c r="O319" s="212"/>
      <c r="P319" s="418"/>
      <c r="Q319" s="418"/>
      <c r="R319" s="418"/>
      <c r="S319" s="207"/>
      <c r="T319" s="1262"/>
      <c r="U319" s="1263"/>
      <c r="V319" s="1263"/>
      <c r="W319" s="1263"/>
      <c r="X319" s="1263"/>
      <c r="Y319" s="1263"/>
      <c r="Z319" s="1263"/>
      <c r="AA319" s="1263"/>
      <c r="AB319" s="1263"/>
      <c r="AC319" s="1263"/>
      <c r="AD319" s="1263"/>
      <c r="AE319" s="1263"/>
      <c r="AF319" s="1263"/>
      <c r="AG319" s="1263"/>
      <c r="AH319" s="1263"/>
      <c r="AI319" s="1263"/>
      <c r="AJ319" s="1263"/>
      <c r="AK319" s="1263"/>
      <c r="AL319" s="1263"/>
      <c r="AM319" s="1263"/>
      <c r="AN319" s="1263"/>
      <c r="AO319" s="1263"/>
      <c r="AP319" s="1263"/>
      <c r="AQ319" s="1263"/>
      <c r="AR319" s="1263"/>
      <c r="AS319" s="1263"/>
      <c r="AT319" s="1263"/>
      <c r="AU319" s="1263"/>
      <c r="AV319" s="1263"/>
      <c r="AW319" s="1263"/>
      <c r="AX319" s="1263"/>
      <c r="AY319" s="1264"/>
    </row>
    <row r="320" spans="2:52">
      <c r="B320" s="1243" t="s">
        <v>557</v>
      </c>
      <c r="C320" s="1244"/>
      <c r="D320" s="1244"/>
      <c r="E320" s="1244"/>
      <c r="F320" s="1244"/>
      <c r="G320" s="1245"/>
      <c r="H320" s="419">
        <v>49500</v>
      </c>
      <c r="I320" s="1273"/>
      <c r="J320" s="1274"/>
      <c r="K320" s="1274"/>
      <c r="L320" s="1274"/>
      <c r="M320" s="1275"/>
      <c r="N320" s="413" t="str">
        <f t="shared" si="21"/>
        <v xml:space="preserve"> </v>
      </c>
      <c r="O320" s="32"/>
      <c r="P320" s="415"/>
      <c r="Q320" s="415"/>
      <c r="R320" s="415"/>
      <c r="S320" s="63"/>
      <c r="T320" s="416">
        <f t="shared" ref="T320:AY320" si="22">SUM(T312:T318)</f>
        <v>0</v>
      </c>
      <c r="U320" s="416">
        <f t="shared" si="22"/>
        <v>0</v>
      </c>
      <c r="V320" s="416">
        <f t="shared" si="22"/>
        <v>0</v>
      </c>
      <c r="W320" s="416">
        <f t="shared" si="22"/>
        <v>0</v>
      </c>
      <c r="X320" s="416">
        <f t="shared" si="22"/>
        <v>0</v>
      </c>
      <c r="Y320" s="416">
        <f t="shared" si="22"/>
        <v>0</v>
      </c>
      <c r="Z320" s="416">
        <f t="shared" si="22"/>
        <v>0</v>
      </c>
      <c r="AA320" s="416">
        <f t="shared" si="22"/>
        <v>0</v>
      </c>
      <c r="AB320" s="416">
        <f t="shared" si="22"/>
        <v>3939.6140000000005</v>
      </c>
      <c r="AC320" s="416">
        <f t="shared" si="22"/>
        <v>38060.385999999999</v>
      </c>
      <c r="AD320" s="416">
        <f t="shared" si="22"/>
        <v>0</v>
      </c>
      <c r="AE320" s="416">
        <f t="shared" si="22"/>
        <v>0</v>
      </c>
      <c r="AF320" s="416">
        <f t="shared" si="22"/>
        <v>0</v>
      </c>
      <c r="AG320" s="416">
        <f t="shared" si="22"/>
        <v>0</v>
      </c>
      <c r="AH320" s="416">
        <f t="shared" si="22"/>
        <v>0</v>
      </c>
      <c r="AI320" s="416">
        <f t="shared" si="22"/>
        <v>0</v>
      </c>
      <c r="AJ320" s="416">
        <f t="shared" si="22"/>
        <v>0</v>
      </c>
      <c r="AK320" s="416">
        <f t="shared" si="22"/>
        <v>7500</v>
      </c>
      <c r="AL320" s="416">
        <f t="shared" si="22"/>
        <v>0</v>
      </c>
      <c r="AM320" s="416">
        <f t="shared" si="22"/>
        <v>0</v>
      </c>
      <c r="AN320" s="416">
        <f t="shared" si="22"/>
        <v>0</v>
      </c>
      <c r="AO320" s="416">
        <f t="shared" si="22"/>
        <v>0</v>
      </c>
      <c r="AP320" s="416">
        <f t="shared" si="22"/>
        <v>0</v>
      </c>
      <c r="AQ320" s="416">
        <f t="shared" si="22"/>
        <v>0</v>
      </c>
      <c r="AR320" s="416">
        <f t="shared" si="22"/>
        <v>0</v>
      </c>
      <c r="AS320" s="416">
        <f t="shared" si="22"/>
        <v>0</v>
      </c>
      <c r="AT320" s="416">
        <f t="shared" si="22"/>
        <v>0</v>
      </c>
      <c r="AU320" s="416">
        <f t="shared" si="22"/>
        <v>0</v>
      </c>
      <c r="AV320" s="416">
        <f t="shared" si="22"/>
        <v>0</v>
      </c>
      <c r="AW320" s="416">
        <f t="shared" si="22"/>
        <v>0</v>
      </c>
      <c r="AX320" s="416">
        <f t="shared" si="22"/>
        <v>0</v>
      </c>
      <c r="AY320" s="416">
        <f t="shared" si="22"/>
        <v>0</v>
      </c>
      <c r="AZ320" s="416">
        <f>SUM(T320:AY320)</f>
        <v>49500</v>
      </c>
    </row>
    <row r="321" spans="2:52">
      <c r="B321" s="1243" t="s">
        <v>558</v>
      </c>
      <c r="C321" s="1244"/>
      <c r="D321" s="1244"/>
      <c r="E321" s="1244"/>
      <c r="F321" s="1244"/>
      <c r="G321" s="1245"/>
      <c r="H321" s="420">
        <f>H320-L306</f>
        <v>0</v>
      </c>
      <c r="I321" s="294"/>
      <c r="J321" s="295"/>
      <c r="K321" s="295"/>
      <c r="L321" s="296"/>
      <c r="M321" s="32"/>
      <c r="N321" s="32"/>
      <c r="O321" s="32"/>
      <c r="P321" s="32"/>
      <c r="Q321" s="297"/>
      <c r="R321" s="297"/>
      <c r="S321" s="32"/>
      <c r="T321" s="48"/>
      <c r="U321" s="48"/>
      <c r="V321" s="48"/>
      <c r="W321" s="48"/>
      <c r="X321" s="48"/>
      <c r="Y321" s="48"/>
      <c r="Z321" s="48"/>
      <c r="AA321" s="48"/>
      <c r="AB321" s="48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</row>
    <row r="322" spans="2:52">
      <c r="B322" s="1243" t="s">
        <v>559</v>
      </c>
      <c r="C322" s="1244"/>
      <c r="D322" s="1244"/>
      <c r="E322" s="1244"/>
      <c r="F322" s="1244"/>
      <c r="G322" s="1245"/>
      <c r="H322" s="420">
        <v>3660.09</v>
      </c>
      <c r="I322" s="284">
        <v>3043.4520000000002</v>
      </c>
      <c r="J322" s="53"/>
      <c r="K322" s="53"/>
      <c r="L322" s="54"/>
      <c r="M322" s="32"/>
      <c r="N322" s="201"/>
      <c r="O322" s="32"/>
      <c r="P322" s="32"/>
      <c r="Q322" s="32"/>
      <c r="R322" s="32"/>
      <c r="S322" s="32"/>
      <c r="T322" s="48"/>
      <c r="U322" s="48"/>
      <c r="V322" s="48"/>
      <c r="W322" s="48"/>
      <c r="X322" s="48"/>
      <c r="Y322" s="48"/>
      <c r="Z322" s="48"/>
      <c r="AA322" s="48"/>
      <c r="AB322" s="48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</row>
    <row r="323" spans="2:52">
      <c r="B323" s="1243" t="s">
        <v>560</v>
      </c>
      <c r="C323" s="1244"/>
      <c r="D323" s="1244"/>
      <c r="E323" s="1244"/>
      <c r="F323" s="1244"/>
      <c r="G323" s="1245"/>
      <c r="H323" s="421">
        <f>H322-3668.223</f>
        <v>-8.1329999999998108</v>
      </c>
      <c r="I323" s="275">
        <f>I322-H322</f>
        <v>-616.63799999999992</v>
      </c>
      <c r="J323" s="53"/>
      <c r="K323" s="53"/>
      <c r="L323" s="54"/>
      <c r="M323" s="32"/>
      <c r="N323" s="32"/>
      <c r="O323" s="32"/>
      <c r="P323" s="32"/>
      <c r="Q323" s="32"/>
      <c r="R323" s="32"/>
      <c r="S323" s="48"/>
      <c r="T323" s="48"/>
      <c r="U323" s="48"/>
      <c r="V323" s="48"/>
      <c r="W323" s="48"/>
      <c r="X323" s="48"/>
      <c r="Y323" s="48"/>
      <c r="Z323" s="48"/>
      <c r="AA323" s="48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</row>
    <row r="324" spans="2:52">
      <c r="B324" s="201"/>
      <c r="C324" s="201"/>
      <c r="D324" s="201"/>
      <c r="E324" s="201"/>
      <c r="F324" s="201"/>
      <c r="G324" s="201"/>
      <c r="H324" s="201"/>
      <c r="I324" s="213"/>
      <c r="J324" s="209"/>
      <c r="K324" s="209"/>
      <c r="L324" s="203"/>
      <c r="M324" s="201"/>
      <c r="N324" s="201"/>
      <c r="O324" s="209"/>
      <c r="P324" s="32"/>
      <c r="Q324" s="32"/>
      <c r="R324" s="32"/>
      <c r="S324" s="32"/>
      <c r="T324" s="48"/>
      <c r="U324" s="48"/>
      <c r="V324" s="48"/>
      <c r="W324" s="48"/>
      <c r="X324" s="48"/>
      <c r="Y324" s="48"/>
      <c r="Z324" s="48"/>
      <c r="AA324" s="48"/>
      <c r="AB324" s="48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</row>
    <row r="325" spans="2:52">
      <c r="B325" s="40" t="s">
        <v>561</v>
      </c>
      <c r="C325" s="40"/>
      <c r="D325" s="32"/>
      <c r="E325" s="32"/>
      <c r="F325" s="32"/>
      <c r="G325" s="32"/>
      <c r="H325" s="32"/>
      <c r="I325" s="32"/>
      <c r="J325" s="52"/>
      <c r="K325" s="52"/>
      <c r="L325" s="55"/>
      <c r="M325" s="32"/>
      <c r="N325" s="201"/>
      <c r="O325" s="5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  <c r="AA325" s="202"/>
      <c r="AB325" s="201"/>
      <c r="AC325" s="201"/>
      <c r="AD325" s="201"/>
      <c r="AE325" s="201"/>
      <c r="AF325" s="201"/>
      <c r="AG325" s="201"/>
      <c r="AH325" s="201"/>
      <c r="AI325" s="201"/>
      <c r="AJ325" s="201"/>
      <c r="AK325" s="201"/>
      <c r="AL325" s="201"/>
      <c r="AM325" s="201"/>
      <c r="AN325" s="201"/>
      <c r="AO325" s="201"/>
      <c r="AP325" s="201"/>
      <c r="AQ325" s="201"/>
      <c r="AR325" s="201"/>
      <c r="AS325" s="201"/>
      <c r="AT325" s="201"/>
      <c r="AU325" s="201"/>
      <c r="AZ325" s="201"/>
    </row>
    <row r="326" spans="2:52">
      <c r="B326" s="422">
        <v>1</v>
      </c>
      <c r="C326" s="1249" t="s">
        <v>1430</v>
      </c>
      <c r="D326" s="1249"/>
      <c r="E326" s="1249"/>
      <c r="F326" s="1249"/>
      <c r="G326" s="1249"/>
      <c r="H326" s="1249"/>
      <c r="I326" s="1249"/>
      <c r="J326" s="1249"/>
      <c r="K326" s="1249"/>
      <c r="L326" s="203"/>
      <c r="M326" s="203"/>
      <c r="N326" s="201"/>
      <c r="O326" s="209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  <c r="AA326" s="202"/>
      <c r="AB326" s="201"/>
      <c r="AC326" s="201"/>
      <c r="AD326" s="201"/>
      <c r="AE326" s="201"/>
      <c r="AF326" s="201"/>
      <c r="AG326" s="201"/>
      <c r="AH326" s="201"/>
      <c r="AI326" s="201"/>
      <c r="AJ326" s="201"/>
      <c r="AK326" s="201"/>
      <c r="AL326" s="201"/>
      <c r="AM326" s="201"/>
      <c r="AN326" s="201"/>
      <c r="AO326" s="201"/>
      <c r="AP326" s="201"/>
      <c r="AQ326" s="201"/>
      <c r="AR326" s="201"/>
      <c r="AS326" s="201"/>
      <c r="AT326" s="201"/>
      <c r="AU326" s="201"/>
      <c r="AV326" s="201"/>
      <c r="AW326" s="201"/>
      <c r="AX326" s="201"/>
      <c r="AY326" s="201"/>
      <c r="AZ326" s="201"/>
    </row>
    <row r="328" spans="2:52">
      <c r="B328" s="28" t="s">
        <v>126</v>
      </c>
      <c r="C328" s="28"/>
      <c r="D328" s="29"/>
      <c r="E328" s="30" t="s">
        <v>511</v>
      </c>
      <c r="F328" s="31" t="s">
        <v>1244</v>
      </c>
      <c r="G328" s="32"/>
      <c r="H328" s="33"/>
      <c r="I328" s="34"/>
      <c r="J328" s="35" t="s">
        <v>513</v>
      </c>
      <c r="K328" s="36" t="s">
        <v>511</v>
      </c>
      <c r="L328" s="37">
        <v>45040.965277777774</v>
      </c>
      <c r="M328" s="32"/>
      <c r="N328" s="32"/>
      <c r="O328" s="36"/>
      <c r="P328" s="33"/>
      <c r="Q328" s="48"/>
      <c r="R328" s="49"/>
      <c r="S328" s="38"/>
      <c r="T328" s="32"/>
      <c r="U328" s="32"/>
      <c r="V328" s="32"/>
      <c r="W328" s="32"/>
      <c r="X328" s="32"/>
      <c r="Y328" s="32"/>
      <c r="Z328" s="32"/>
      <c r="AA328" s="32"/>
      <c r="AB328" s="48"/>
      <c r="AC328" s="48"/>
      <c r="AD328" s="48"/>
      <c r="AE328" s="48"/>
      <c r="AF328" s="48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</row>
    <row r="329" spans="2:52">
      <c r="B329" s="35" t="s">
        <v>514</v>
      </c>
      <c r="C329" s="35"/>
      <c r="D329" s="32"/>
      <c r="E329" s="36" t="s">
        <v>511</v>
      </c>
      <c r="F329" s="37" t="s">
        <v>1431</v>
      </c>
      <c r="G329" s="32"/>
      <c r="H329" s="33"/>
      <c r="I329" s="34"/>
      <c r="J329" s="35" t="s">
        <v>516</v>
      </c>
      <c r="K329" s="36" t="s">
        <v>511</v>
      </c>
      <c r="L329" s="37">
        <v>45044.166666666664</v>
      </c>
      <c r="M329" s="32"/>
      <c r="N329" s="32"/>
      <c r="O329" s="36"/>
      <c r="P329" s="33"/>
      <c r="Q329" s="48"/>
      <c r="R329" s="49"/>
      <c r="S329" s="38"/>
      <c r="T329" s="32"/>
      <c r="U329" s="32"/>
      <c r="V329" s="32"/>
      <c r="W329" s="32"/>
      <c r="X329" s="32"/>
      <c r="Y329" s="32"/>
      <c r="Z329" s="32"/>
      <c r="AA329" s="32"/>
      <c r="AB329" s="48"/>
      <c r="AC329" s="48"/>
      <c r="AD329" s="48"/>
      <c r="AE329" s="48"/>
      <c r="AF329" s="48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</row>
    <row r="330" spans="2:52">
      <c r="B330" s="35" t="s">
        <v>517</v>
      </c>
      <c r="C330" s="35"/>
      <c r="D330" s="32"/>
      <c r="E330" s="36" t="s">
        <v>511</v>
      </c>
      <c r="F330" s="37">
        <v>45036.708333333336</v>
      </c>
      <c r="G330" s="32"/>
      <c r="H330" s="33"/>
      <c r="I330" s="34"/>
      <c r="J330" s="35" t="s">
        <v>518</v>
      </c>
      <c r="K330" s="36" t="s">
        <v>511</v>
      </c>
      <c r="L330" s="50">
        <v>84160</v>
      </c>
      <c r="M330" s="40" t="s">
        <v>519</v>
      </c>
      <c r="N330" s="40"/>
      <c r="O330" s="36"/>
      <c r="P330" s="33"/>
      <c r="Q330" s="48"/>
      <c r="R330" s="49"/>
      <c r="S330" s="38"/>
      <c r="T330" s="32"/>
      <c r="U330" s="32"/>
      <c r="V330" s="32"/>
      <c r="W330" s="32"/>
      <c r="X330" s="32"/>
      <c r="Y330" s="32"/>
      <c r="Z330" s="32"/>
      <c r="AA330" s="32"/>
      <c r="AB330" s="48"/>
      <c r="AC330" s="48"/>
      <c r="AD330" s="48"/>
      <c r="AE330" s="48"/>
      <c r="AF330" s="48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</row>
    <row r="331" spans="2:52">
      <c r="B331" s="35" t="s">
        <v>520</v>
      </c>
      <c r="C331" s="35"/>
      <c r="D331" s="32"/>
      <c r="E331" s="36" t="s">
        <v>511</v>
      </c>
      <c r="F331" s="37" t="s">
        <v>4</v>
      </c>
      <c r="G331" s="32"/>
      <c r="H331" s="33"/>
      <c r="I331" s="34"/>
      <c r="J331" s="35" t="s">
        <v>521</v>
      </c>
      <c r="K331" s="36" t="s">
        <v>511</v>
      </c>
      <c r="L331" s="41" t="s">
        <v>1432</v>
      </c>
      <c r="M331" s="32"/>
      <c r="N331" s="32"/>
      <c r="O331" s="36"/>
      <c r="P331" s="48"/>
      <c r="Q331" s="48"/>
      <c r="R331" s="49"/>
      <c r="S331" s="38"/>
      <c r="T331" s="32"/>
      <c r="U331" s="32"/>
      <c r="V331" s="32"/>
      <c r="W331" s="32"/>
      <c r="X331" s="32"/>
      <c r="Y331" s="32"/>
      <c r="Z331" s="32"/>
      <c r="AA331" s="32"/>
      <c r="AB331" s="48"/>
      <c r="AC331" s="48"/>
      <c r="AD331" s="48"/>
      <c r="AE331" s="48"/>
      <c r="AF331" s="48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</row>
    <row r="332" spans="2:52">
      <c r="B332" s="35" t="s">
        <v>523</v>
      </c>
      <c r="C332" s="35"/>
      <c r="D332" s="32"/>
      <c r="E332" s="36" t="s">
        <v>511</v>
      </c>
      <c r="F332" s="37" t="s">
        <v>5</v>
      </c>
      <c r="G332" s="32"/>
      <c r="H332" s="33"/>
      <c r="I332" s="34"/>
      <c r="J332" s="42" t="s">
        <v>524</v>
      </c>
      <c r="K332" s="36" t="s">
        <v>511</v>
      </c>
      <c r="L332" s="43" t="s">
        <v>15</v>
      </c>
      <c r="M332" s="44"/>
      <c r="N332" s="44"/>
      <c r="O332" s="36"/>
      <c r="P332" s="33"/>
      <c r="Q332" s="48"/>
      <c r="R332" s="49"/>
      <c r="S332" s="38"/>
      <c r="T332" s="32"/>
      <c r="U332" s="32"/>
      <c r="V332" s="32"/>
      <c r="W332" s="32"/>
      <c r="X332" s="32"/>
      <c r="Y332" s="32"/>
      <c r="Z332" s="32"/>
      <c r="AA332" s="32"/>
      <c r="AB332" s="48"/>
      <c r="AC332" s="48"/>
      <c r="AD332" s="48"/>
      <c r="AE332" s="48"/>
      <c r="AF332" s="48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</row>
    <row r="333" spans="2:52">
      <c r="B333" s="35" t="s">
        <v>2</v>
      </c>
      <c r="C333" s="35"/>
      <c r="D333" s="32"/>
      <c r="E333" s="36" t="s">
        <v>511</v>
      </c>
      <c r="F333" s="37" t="s">
        <v>6</v>
      </c>
      <c r="G333" s="32"/>
      <c r="H333" s="33"/>
      <c r="I333" s="45"/>
      <c r="J333" s="42"/>
      <c r="K333" s="36"/>
      <c r="L333" s="37"/>
      <c r="M333" s="32"/>
      <c r="N333" s="32"/>
      <c r="O333" s="42"/>
      <c r="P333" s="44"/>
      <c r="Q333" s="44"/>
      <c r="R333" s="44"/>
      <c r="S333" s="34"/>
      <c r="T333" s="32"/>
      <c r="U333" s="32"/>
      <c r="V333" s="32"/>
      <c r="W333" s="32"/>
      <c r="X333" s="32"/>
      <c r="Y333" s="32"/>
      <c r="Z333" s="32"/>
      <c r="AA333" s="32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</row>
    <row r="334" spans="2:52">
      <c r="B334" s="32"/>
      <c r="C334" s="32"/>
      <c r="D334" s="32"/>
      <c r="E334" s="32"/>
      <c r="F334" s="32"/>
      <c r="G334" s="32"/>
      <c r="H334" s="32"/>
      <c r="I334" s="45"/>
      <c r="J334" s="42"/>
      <c r="K334" s="42"/>
      <c r="L334" s="43"/>
      <c r="M334" s="44"/>
      <c r="N334" s="44"/>
      <c r="O334" s="42"/>
      <c r="P334" s="44"/>
      <c r="Q334" s="44"/>
      <c r="R334" s="44"/>
      <c r="S334" s="34"/>
      <c r="T334" s="1270" t="s">
        <v>87</v>
      </c>
      <c r="U334" s="1270"/>
      <c r="V334" s="1270"/>
      <c r="W334" s="1270"/>
      <c r="X334" s="1270"/>
      <c r="Y334" s="1270" t="s">
        <v>73</v>
      </c>
      <c r="Z334" s="1270"/>
      <c r="AA334" s="1270"/>
      <c r="AB334" s="1270" t="s">
        <v>74</v>
      </c>
      <c r="AC334" s="1270"/>
      <c r="AD334" s="407" t="s">
        <v>85</v>
      </c>
      <c r="AE334" s="407" t="s">
        <v>77</v>
      </c>
      <c r="AF334" s="1270" t="s">
        <v>525</v>
      </c>
      <c r="AG334" s="1270"/>
      <c r="AH334" s="1270"/>
      <c r="AI334" s="1270"/>
      <c r="AJ334" s="1270"/>
      <c r="AK334" s="1270"/>
      <c r="AL334" s="1270"/>
      <c r="AM334" s="1270"/>
      <c r="AN334" s="1270"/>
      <c r="AO334" s="1270"/>
      <c r="AP334" s="1270"/>
      <c r="AQ334" s="1270"/>
      <c r="AR334" s="1270"/>
      <c r="AS334" s="1270"/>
      <c r="AT334" s="1270"/>
      <c r="AU334" s="1270"/>
      <c r="AV334" s="1270"/>
      <c r="AW334" s="1270"/>
      <c r="AX334" s="1270"/>
      <c r="AY334" s="1270"/>
      <c r="AZ334" s="32"/>
    </row>
    <row r="335" spans="2:52">
      <c r="B335" s="1266" t="s">
        <v>526</v>
      </c>
      <c r="C335" s="1267"/>
      <c r="D335" s="570" t="s">
        <v>527</v>
      </c>
      <c r="E335" s="570"/>
      <c r="F335" s="570" t="s">
        <v>528</v>
      </c>
      <c r="G335" s="570" t="s">
        <v>529</v>
      </c>
      <c r="H335" s="570" t="s">
        <v>530</v>
      </c>
      <c r="I335" s="570" t="s">
        <v>531</v>
      </c>
      <c r="J335" s="570" t="s">
        <v>532</v>
      </c>
      <c r="K335" s="570"/>
      <c r="L335" s="570" t="s">
        <v>130</v>
      </c>
      <c r="M335" s="570" t="s">
        <v>533</v>
      </c>
      <c r="N335" s="408" t="str">
        <f>"On time - "&amp;COUNTIF(N336:N360,"On time")&amp;" from "&amp;ROWS(N336:N360)-COUNTIF(N336:N360," ")</f>
        <v>On time - 4 from 13</v>
      </c>
      <c r="O335" s="46"/>
      <c r="P335" s="409" t="s">
        <v>534</v>
      </c>
      <c r="Q335" s="409" t="s">
        <v>535</v>
      </c>
      <c r="R335" s="409" t="s">
        <v>536</v>
      </c>
      <c r="S335" s="32"/>
      <c r="T335" s="410" t="s">
        <v>537</v>
      </c>
      <c r="U335" s="410" t="s">
        <v>538</v>
      </c>
      <c r="V335" s="410" t="s">
        <v>539</v>
      </c>
      <c r="W335" s="410" t="s">
        <v>540</v>
      </c>
      <c r="X335" s="410" t="s">
        <v>541</v>
      </c>
      <c r="Y335" s="410" t="s">
        <v>167</v>
      </c>
      <c r="Z335" s="410" t="s">
        <v>168</v>
      </c>
      <c r="AA335" s="410" t="s">
        <v>169</v>
      </c>
      <c r="AB335" s="410" t="s">
        <v>235</v>
      </c>
      <c r="AC335" s="410" t="s">
        <v>240</v>
      </c>
      <c r="AD335" s="407" t="s">
        <v>85</v>
      </c>
      <c r="AE335" s="410" t="s">
        <v>139</v>
      </c>
      <c r="AF335" s="410" t="s">
        <v>72</v>
      </c>
      <c r="AG335" s="410" t="s">
        <v>88</v>
      </c>
      <c r="AH335" s="410" t="s">
        <v>75</v>
      </c>
      <c r="AI335" s="410" t="s">
        <v>543</v>
      </c>
      <c r="AJ335" s="410" t="s">
        <v>78</v>
      </c>
      <c r="AK335" s="410" t="s">
        <v>76</v>
      </c>
      <c r="AL335" s="410" t="s">
        <v>544</v>
      </c>
      <c r="AM335" s="410" t="s">
        <v>545</v>
      </c>
      <c r="AN335" s="410" t="s">
        <v>86</v>
      </c>
      <c r="AO335" s="410" t="s">
        <v>83</v>
      </c>
      <c r="AP335" s="410" t="s">
        <v>84</v>
      </c>
      <c r="AQ335" s="410" t="s">
        <v>546</v>
      </c>
      <c r="AR335" s="410" t="s">
        <v>81</v>
      </c>
      <c r="AS335" s="410" t="s">
        <v>80</v>
      </c>
      <c r="AT335" s="410" t="s">
        <v>82</v>
      </c>
      <c r="AU335" s="410" t="s">
        <v>181</v>
      </c>
      <c r="AV335" s="410" t="s">
        <v>183</v>
      </c>
      <c r="AW335" s="410" t="s">
        <v>547</v>
      </c>
      <c r="AX335" s="410" t="s">
        <v>182</v>
      </c>
      <c r="AY335" s="410" t="s">
        <v>172</v>
      </c>
      <c r="AZ335" s="32"/>
    </row>
    <row r="336" spans="2:52">
      <c r="B336" s="1256" t="s">
        <v>616</v>
      </c>
      <c r="C336" s="1257"/>
      <c r="D336" s="411" t="s">
        <v>1314</v>
      </c>
      <c r="E336" s="411"/>
      <c r="F336" s="411" t="s">
        <v>1230</v>
      </c>
      <c r="G336" s="411" t="s">
        <v>1231</v>
      </c>
      <c r="H336" s="426">
        <v>7510.7569999999996</v>
      </c>
      <c r="I336" s="413" t="s">
        <v>611</v>
      </c>
      <c r="J336" s="414">
        <v>45035.395833333336</v>
      </c>
      <c r="K336" s="414"/>
      <c r="L336" s="414" t="s">
        <v>192</v>
      </c>
      <c r="M336" s="414" t="s">
        <v>192</v>
      </c>
      <c r="N336" s="413" t="str">
        <f>IF(ISBLANK(J336)," ",IF(J336&lt;$F$330,"On time",(IF(DAY(J336-$F$330)&lt;1,"On time",(IF(J336&gt;$F$330,"DELAY ( "&amp;DAY(J336-$F$330)&amp;" day "&amp;HOUR(J336-$F$330)&amp;" hour "&amp;MINUTE(J336-$F$330)&amp;" minute )","xxx"))))))</f>
        <v>On time</v>
      </c>
      <c r="O336" s="51"/>
      <c r="P336" s="415" t="s">
        <v>551</v>
      </c>
      <c r="Q336" s="415" t="s">
        <v>551</v>
      </c>
      <c r="R336" s="415" t="s">
        <v>551</v>
      </c>
      <c r="S336" s="32"/>
      <c r="T336" s="416">
        <f>H336</f>
        <v>7510.7569999999996</v>
      </c>
      <c r="U336" s="416"/>
      <c r="V336" s="416"/>
      <c r="W336" s="416"/>
      <c r="X336" s="416"/>
      <c r="Y336" s="416"/>
      <c r="Z336" s="416"/>
      <c r="AA336" s="416"/>
      <c r="AB336" s="416"/>
      <c r="AC336" s="416"/>
      <c r="AD336" s="416"/>
      <c r="AE336" s="416"/>
      <c r="AF336" s="416"/>
      <c r="AG336" s="416"/>
      <c r="AH336" s="416"/>
      <c r="AI336" s="416"/>
      <c r="AJ336" s="416"/>
      <c r="AK336" s="416"/>
      <c r="AL336" s="416"/>
      <c r="AM336" s="416"/>
      <c r="AN336" s="416"/>
      <c r="AO336" s="416"/>
      <c r="AP336" s="416"/>
      <c r="AQ336" s="416"/>
      <c r="AR336" s="416"/>
      <c r="AS336" s="416"/>
      <c r="AT336" s="416"/>
      <c r="AU336" s="416"/>
      <c r="AV336" s="416"/>
      <c r="AW336" s="416"/>
      <c r="AX336" s="416"/>
      <c r="AY336" s="416"/>
      <c r="AZ336" s="32"/>
    </row>
    <row r="337" spans="2:52">
      <c r="B337" s="1256" t="s">
        <v>668</v>
      </c>
      <c r="C337" s="1257"/>
      <c r="D337" s="411" t="s">
        <v>1243</v>
      </c>
      <c r="E337" s="411"/>
      <c r="F337" s="411" t="s">
        <v>295</v>
      </c>
      <c r="G337" s="411" t="s">
        <v>296</v>
      </c>
      <c r="H337" s="412">
        <v>2513.165</v>
      </c>
      <c r="I337" s="413" t="s">
        <v>240</v>
      </c>
      <c r="J337" s="414">
        <v>45035.25</v>
      </c>
      <c r="K337" s="414"/>
      <c r="L337" s="414" t="s">
        <v>192</v>
      </c>
      <c r="M337" s="414" t="s">
        <v>192</v>
      </c>
      <c r="N337" s="413" t="str">
        <f t="shared" ref="N337:N363" si="23">IF(ISBLANK(J337)," ",IF(J337&lt;$F$330,"On time",(IF(DAY(J337-$F$330)&lt;1,"On time",(IF(J337&gt;$F$330,"DELAY ( "&amp;DAY(J337-$F$330)&amp;" day "&amp;HOUR(J337-$F$330)&amp;" hour "&amp;MINUTE(J337-$F$330)&amp;" minute )","xxx"))))))</f>
        <v>On time</v>
      </c>
      <c r="O337" s="51"/>
      <c r="P337" s="415" t="s">
        <v>551</v>
      </c>
      <c r="Q337" s="415" t="s">
        <v>551</v>
      </c>
      <c r="R337" s="415" t="s">
        <v>551</v>
      </c>
      <c r="S337" s="32"/>
      <c r="T337" s="416"/>
      <c r="U337" s="416"/>
      <c r="V337" s="416"/>
      <c r="W337" s="416"/>
      <c r="X337" s="416"/>
      <c r="Y337" s="416"/>
      <c r="Z337" s="416"/>
      <c r="AA337" s="416"/>
      <c r="AB337" s="32"/>
      <c r="AC337" s="416">
        <f>H337</f>
        <v>2513.165</v>
      </c>
      <c r="AD337" s="416"/>
      <c r="AE337" s="416"/>
      <c r="AF337" s="416"/>
      <c r="AG337" s="416"/>
      <c r="AH337" s="416"/>
      <c r="AI337" s="416"/>
      <c r="AJ337" s="416"/>
      <c r="AK337" s="416"/>
      <c r="AL337" s="416"/>
      <c r="AM337" s="416"/>
      <c r="AN337" s="416"/>
      <c r="AO337" s="416"/>
      <c r="AP337" s="416"/>
      <c r="AQ337" s="416"/>
      <c r="AR337" s="416"/>
      <c r="AS337" s="416"/>
      <c r="AT337" s="416"/>
      <c r="AU337" s="416"/>
      <c r="AV337" s="416"/>
      <c r="AW337" s="416"/>
      <c r="AX337" s="416"/>
      <c r="AY337" s="416"/>
      <c r="AZ337" s="32"/>
    </row>
    <row r="338" spans="2:52">
      <c r="B338" s="1256" t="s">
        <v>616</v>
      </c>
      <c r="C338" s="1257"/>
      <c r="D338" s="411" t="s">
        <v>1315</v>
      </c>
      <c r="E338" s="411"/>
      <c r="F338" s="411" t="s">
        <v>339</v>
      </c>
      <c r="G338" s="411" t="s">
        <v>340</v>
      </c>
      <c r="H338" s="412">
        <v>7523.8419999999996</v>
      </c>
      <c r="I338" s="413" t="s">
        <v>611</v>
      </c>
      <c r="J338" s="414">
        <v>45037.25</v>
      </c>
      <c r="K338" s="414"/>
      <c r="L338" s="414" t="s">
        <v>192</v>
      </c>
      <c r="M338" s="414" t="s">
        <v>192</v>
      </c>
      <c r="N338" s="413" t="str">
        <f t="shared" si="23"/>
        <v>On time</v>
      </c>
      <c r="O338" s="51"/>
      <c r="P338" s="415" t="s">
        <v>551</v>
      </c>
      <c r="Q338" s="415" t="s">
        <v>551</v>
      </c>
      <c r="R338" s="415" t="s">
        <v>551</v>
      </c>
      <c r="S338" s="32"/>
      <c r="T338" s="416">
        <f>H338</f>
        <v>7523.8419999999996</v>
      </c>
      <c r="U338" s="416"/>
      <c r="V338" s="416"/>
      <c r="W338" s="416"/>
      <c r="X338" s="416"/>
      <c r="Y338" s="416"/>
      <c r="Z338" s="416"/>
      <c r="AA338" s="416"/>
      <c r="AB338" s="416"/>
      <c r="AC338" s="416"/>
      <c r="AD338" s="416"/>
      <c r="AE338" s="416"/>
      <c r="AF338" s="416"/>
      <c r="AG338" s="416"/>
      <c r="AH338" s="416"/>
      <c r="AI338" s="416"/>
      <c r="AJ338" s="416"/>
      <c r="AK338" s="416"/>
      <c r="AL338" s="416"/>
      <c r="AM338" s="416"/>
      <c r="AN338" s="416"/>
      <c r="AO338" s="416"/>
      <c r="AP338" s="416"/>
      <c r="AQ338" s="416"/>
      <c r="AR338" s="416"/>
      <c r="AS338" s="416"/>
      <c r="AT338" s="416"/>
      <c r="AU338" s="416"/>
      <c r="AV338" s="416"/>
      <c r="AW338" s="416"/>
      <c r="AX338" s="416"/>
      <c r="AY338" s="416"/>
      <c r="AZ338" s="32"/>
    </row>
    <row r="339" spans="2:52">
      <c r="B339" s="1258" t="s">
        <v>618</v>
      </c>
      <c r="C339" s="1259"/>
      <c r="D339" s="1259"/>
      <c r="E339" s="1259"/>
      <c r="F339" s="1259"/>
      <c r="G339" s="1260"/>
      <c r="H339" s="417">
        <f>SUM(H336:H338)</f>
        <v>17547.763999999999</v>
      </c>
      <c r="I339" s="388"/>
      <c r="J339" s="293"/>
      <c r="K339" s="293"/>
      <c r="L339" s="293"/>
      <c r="M339" s="389"/>
      <c r="N339" s="413" t="str">
        <f t="shared" si="23"/>
        <v xml:space="preserve"> </v>
      </c>
      <c r="O339" s="47"/>
      <c r="P339" s="418"/>
      <c r="Q339" s="418"/>
      <c r="R339" s="418"/>
      <c r="S339" s="32"/>
      <c r="T339" s="416"/>
      <c r="U339" s="416"/>
      <c r="V339" s="416"/>
      <c r="W339" s="416"/>
      <c r="X339" s="416"/>
      <c r="Y339" s="416"/>
      <c r="Z339" s="416"/>
      <c r="AA339" s="416"/>
      <c r="AB339" s="416"/>
      <c r="AC339" s="416"/>
      <c r="AD339" s="416"/>
      <c r="AE339" s="416"/>
      <c r="AF339" s="416"/>
      <c r="AG339" s="416"/>
      <c r="AH339" s="416"/>
      <c r="AI339" s="416"/>
      <c r="AJ339" s="416"/>
      <c r="AK339" s="416"/>
      <c r="AL339" s="416"/>
      <c r="AM339" s="416"/>
      <c r="AN339" s="416"/>
      <c r="AO339" s="416"/>
      <c r="AP339" s="416"/>
      <c r="AQ339" s="416"/>
      <c r="AR339" s="416"/>
      <c r="AS339" s="416"/>
      <c r="AT339" s="416"/>
      <c r="AU339" s="416"/>
      <c r="AV339" s="416"/>
      <c r="AW339" s="416"/>
      <c r="AX339" s="416"/>
      <c r="AY339" s="416"/>
    </row>
    <row r="340" spans="2:52">
      <c r="B340" s="1256" t="s">
        <v>619</v>
      </c>
      <c r="C340" s="1257"/>
      <c r="D340" s="411" t="s">
        <v>1370</v>
      </c>
      <c r="E340" s="411"/>
      <c r="F340" s="411" t="s">
        <v>238</v>
      </c>
      <c r="G340" s="411" t="s">
        <v>239</v>
      </c>
      <c r="H340" s="412">
        <v>3984.605</v>
      </c>
      <c r="I340" s="413" t="s">
        <v>494</v>
      </c>
      <c r="J340" s="414">
        <v>45035.076388888891</v>
      </c>
      <c r="K340" s="414"/>
      <c r="L340" s="414" t="s">
        <v>192</v>
      </c>
      <c r="M340" s="414" t="s">
        <v>192</v>
      </c>
      <c r="N340" s="413" t="str">
        <f t="shared" si="23"/>
        <v>On time</v>
      </c>
      <c r="O340" s="51"/>
      <c r="P340" s="415" t="s">
        <v>551</v>
      </c>
      <c r="Q340" s="415" t="s">
        <v>551</v>
      </c>
      <c r="R340" s="415" t="s">
        <v>551</v>
      </c>
      <c r="S340" s="32"/>
      <c r="T340" s="416"/>
      <c r="U340" s="416"/>
      <c r="V340" s="416"/>
      <c r="W340" s="416"/>
      <c r="X340" s="416"/>
      <c r="Y340" s="416">
        <f>H340</f>
        <v>3984.605</v>
      </c>
      <c r="Z340" s="416"/>
      <c r="AA340" s="416"/>
      <c r="AB340" s="416"/>
      <c r="AC340" s="416"/>
      <c r="AD340" s="416"/>
      <c r="AE340" s="416"/>
      <c r="AF340" s="416"/>
      <c r="AG340" s="416"/>
      <c r="AH340" s="416"/>
      <c r="AI340" s="416"/>
      <c r="AJ340" s="416"/>
      <c r="AK340" s="416"/>
      <c r="AL340" s="416"/>
      <c r="AM340" s="416"/>
      <c r="AN340" s="416"/>
      <c r="AO340" s="416"/>
      <c r="AP340" s="416"/>
      <c r="AQ340" s="416"/>
      <c r="AR340" s="416"/>
      <c r="AS340" s="416"/>
      <c r="AT340" s="416"/>
      <c r="AU340" s="416"/>
      <c r="AV340" s="416"/>
      <c r="AW340" s="416"/>
      <c r="AX340" s="416"/>
      <c r="AY340" s="416"/>
      <c r="AZ340" s="32"/>
    </row>
    <row r="341" spans="2:52">
      <c r="B341" s="1250" t="s">
        <v>621</v>
      </c>
      <c r="C341" s="1251"/>
      <c r="D341" s="411" t="s">
        <v>1260</v>
      </c>
      <c r="E341" s="411"/>
      <c r="F341" s="411" t="s">
        <v>288</v>
      </c>
      <c r="G341" s="411" t="s">
        <v>289</v>
      </c>
      <c r="H341" s="412">
        <v>7502.8249999999998</v>
      </c>
      <c r="I341" s="413" t="s">
        <v>235</v>
      </c>
      <c r="J341" s="414">
        <v>45039.875</v>
      </c>
      <c r="K341" s="414"/>
      <c r="L341" s="414" t="s">
        <v>192</v>
      </c>
      <c r="M341" s="414" t="s">
        <v>192</v>
      </c>
      <c r="N341" s="413" t="str">
        <f t="shared" si="23"/>
        <v>DELAY ( 3 day 4 hour 0 minute )</v>
      </c>
      <c r="O341" s="51"/>
      <c r="P341" s="415" t="s">
        <v>551</v>
      </c>
      <c r="Q341" s="415" t="s">
        <v>551</v>
      </c>
      <c r="R341" s="415" t="s">
        <v>551</v>
      </c>
      <c r="S341" s="32"/>
      <c r="T341" s="416"/>
      <c r="U341" s="416"/>
      <c r="V341" s="416"/>
      <c r="W341" s="416"/>
      <c r="X341" s="416"/>
      <c r="Y341" s="416"/>
      <c r="Z341" s="416"/>
      <c r="AA341" s="416"/>
      <c r="AB341" s="416">
        <f>H341</f>
        <v>7502.8249999999998</v>
      </c>
      <c r="AC341" s="416"/>
      <c r="AD341" s="416"/>
      <c r="AE341" s="416"/>
      <c r="AF341" s="416"/>
      <c r="AG341" s="416"/>
      <c r="AH341" s="416"/>
      <c r="AI341" s="416"/>
      <c r="AJ341" s="416"/>
      <c r="AK341" s="416"/>
      <c r="AL341" s="416"/>
      <c r="AM341" s="416"/>
      <c r="AN341" s="416"/>
      <c r="AO341" s="416"/>
      <c r="AP341" s="416"/>
      <c r="AQ341" s="416"/>
      <c r="AR341" s="416"/>
      <c r="AS341" s="416"/>
      <c r="AT341" s="416"/>
      <c r="AU341" s="416"/>
      <c r="AV341" s="416"/>
      <c r="AW341" s="416"/>
      <c r="AX341" s="416"/>
      <c r="AY341" s="416"/>
      <c r="AZ341" s="32"/>
    </row>
    <row r="342" spans="2:52">
      <c r="B342" s="1254"/>
      <c r="C342" s="1255"/>
      <c r="D342" s="411"/>
      <c r="E342" s="411"/>
      <c r="F342" s="1256" t="s">
        <v>616</v>
      </c>
      <c r="G342" s="1257"/>
      <c r="H342" s="412">
        <v>2000</v>
      </c>
      <c r="I342" s="413"/>
      <c r="J342" s="414"/>
      <c r="K342" s="414"/>
      <c r="L342" s="414"/>
      <c r="M342" s="414"/>
      <c r="N342" s="413" t="str">
        <f t="shared" si="23"/>
        <v xml:space="preserve"> </v>
      </c>
      <c r="O342" s="51"/>
      <c r="P342" s="415"/>
      <c r="Q342" s="415"/>
      <c r="R342" s="415"/>
      <c r="S342" s="32"/>
      <c r="T342" s="416"/>
      <c r="U342" s="416"/>
      <c r="V342" s="416"/>
      <c r="W342" s="416"/>
      <c r="X342" s="416"/>
      <c r="Y342" s="416"/>
      <c r="Z342" s="416"/>
      <c r="AA342" s="416"/>
      <c r="AB342" s="416"/>
      <c r="AC342" s="416"/>
      <c r="AD342" s="416"/>
      <c r="AE342" s="416"/>
      <c r="AF342" s="416"/>
      <c r="AG342" s="416"/>
      <c r="AH342" s="416"/>
      <c r="AI342" s="416"/>
      <c r="AJ342" s="416"/>
      <c r="AK342" s="416"/>
      <c r="AL342" s="416"/>
      <c r="AM342" s="416"/>
      <c r="AN342" s="416"/>
      <c r="AO342" s="416"/>
      <c r="AP342" s="416"/>
      <c r="AQ342" s="416"/>
      <c r="AR342" s="416"/>
      <c r="AS342" s="416"/>
      <c r="AT342" s="416"/>
      <c r="AU342" s="416"/>
      <c r="AV342" s="416"/>
      <c r="AW342" s="416"/>
      <c r="AX342" s="416"/>
      <c r="AY342" s="416"/>
      <c r="AZ342" s="32"/>
    </row>
    <row r="343" spans="2:52">
      <c r="B343" s="1250" t="s">
        <v>622</v>
      </c>
      <c r="C343" s="1251"/>
      <c r="D343" s="411" t="s">
        <v>1261</v>
      </c>
      <c r="E343" s="411"/>
      <c r="F343" s="411" t="s">
        <v>406</v>
      </c>
      <c r="G343" s="411" t="s">
        <v>407</v>
      </c>
      <c r="H343" s="412">
        <v>7630.6959999999999</v>
      </c>
      <c r="I343" s="413" t="s">
        <v>235</v>
      </c>
      <c r="J343" s="414">
        <v>45039.822916666664</v>
      </c>
      <c r="K343" s="414"/>
      <c r="L343" s="414" t="s">
        <v>192</v>
      </c>
      <c r="M343" s="414" t="s">
        <v>192</v>
      </c>
      <c r="N343" s="413" t="str">
        <f t="shared" si="23"/>
        <v>DELAY ( 3 day 2 hour 45 minute )</v>
      </c>
      <c r="O343" s="51"/>
      <c r="P343" s="415" t="s">
        <v>551</v>
      </c>
      <c r="Q343" s="415" t="s">
        <v>551</v>
      </c>
      <c r="R343" s="415" t="s">
        <v>551</v>
      </c>
      <c r="S343" s="32"/>
      <c r="T343" s="416"/>
      <c r="U343" s="416"/>
      <c r="V343" s="416"/>
      <c r="W343" s="416"/>
      <c r="X343" s="416"/>
      <c r="Y343" s="416"/>
      <c r="Z343" s="416"/>
      <c r="AA343" s="416"/>
      <c r="AB343" s="416">
        <f>H343</f>
        <v>7630.6959999999999</v>
      </c>
      <c r="AC343" s="416"/>
      <c r="AD343" s="416"/>
      <c r="AE343" s="416"/>
      <c r="AF343" s="416"/>
      <c r="AG343" s="416"/>
      <c r="AH343" s="416"/>
      <c r="AI343" s="416"/>
      <c r="AJ343" s="416"/>
      <c r="AK343" s="416"/>
      <c r="AL343" s="416"/>
      <c r="AM343" s="416"/>
      <c r="AN343" s="416"/>
      <c r="AO343" s="416"/>
      <c r="AP343" s="416"/>
      <c r="AQ343" s="416"/>
      <c r="AR343" s="416"/>
      <c r="AS343" s="416"/>
      <c r="AT343" s="416"/>
      <c r="AU343" s="416"/>
      <c r="AV343" s="416"/>
      <c r="AW343" s="416"/>
      <c r="AX343" s="416"/>
      <c r="AY343" s="416"/>
      <c r="AZ343" s="32"/>
    </row>
    <row r="344" spans="2:52">
      <c r="B344" s="1252"/>
      <c r="C344" s="1253"/>
      <c r="D344" s="411"/>
      <c r="E344" s="411"/>
      <c r="F344" s="1256" t="s">
        <v>668</v>
      </c>
      <c r="G344" s="1257"/>
      <c r="H344" s="412">
        <v>1513</v>
      </c>
      <c r="I344" s="413"/>
      <c r="J344" s="414"/>
      <c r="K344" s="414"/>
      <c r="L344" s="414"/>
      <c r="M344" s="414"/>
      <c r="N344" s="413" t="str">
        <f t="shared" si="23"/>
        <v xml:space="preserve"> </v>
      </c>
      <c r="O344" s="51"/>
      <c r="P344" s="415"/>
      <c r="Q344" s="415"/>
      <c r="R344" s="415"/>
      <c r="S344" s="32"/>
      <c r="T344" s="416"/>
      <c r="U344" s="416"/>
      <c r="V344" s="416"/>
      <c r="W344" s="416"/>
      <c r="X344" s="416"/>
      <c r="Y344" s="416"/>
      <c r="Z344" s="416"/>
      <c r="AA344" s="416"/>
      <c r="AB344" s="416"/>
      <c r="AC344" s="416"/>
      <c r="AD344" s="416"/>
      <c r="AE344" s="416"/>
      <c r="AF344" s="416"/>
      <c r="AG344" s="416"/>
      <c r="AH344" s="416"/>
      <c r="AI344" s="416"/>
      <c r="AJ344" s="416"/>
      <c r="AK344" s="416"/>
      <c r="AL344" s="416"/>
      <c r="AM344" s="416"/>
      <c r="AN344" s="416"/>
      <c r="AO344" s="416"/>
      <c r="AP344" s="416"/>
      <c r="AQ344" s="416"/>
      <c r="AR344" s="416"/>
      <c r="AS344" s="416"/>
      <c r="AT344" s="416"/>
      <c r="AU344" s="416"/>
      <c r="AV344" s="416"/>
      <c r="AW344" s="416"/>
      <c r="AX344" s="416"/>
      <c r="AY344" s="416"/>
      <c r="AZ344" s="32"/>
    </row>
    <row r="345" spans="2:52">
      <c r="B345" s="1254"/>
      <c r="C345" s="1255"/>
      <c r="D345" s="411"/>
      <c r="E345" s="411"/>
      <c r="F345" s="1256" t="s">
        <v>616</v>
      </c>
      <c r="G345" s="1257"/>
      <c r="H345" s="412">
        <v>3500</v>
      </c>
      <c r="I345" s="413"/>
      <c r="J345" s="414"/>
      <c r="K345" s="414"/>
      <c r="L345" s="414"/>
      <c r="M345" s="414"/>
      <c r="N345" s="413" t="str">
        <f t="shared" si="23"/>
        <v xml:space="preserve"> </v>
      </c>
      <c r="O345" s="51"/>
      <c r="P345" s="415"/>
      <c r="Q345" s="415"/>
      <c r="R345" s="415"/>
      <c r="S345" s="32"/>
      <c r="T345" s="416"/>
      <c r="U345" s="416"/>
      <c r="V345" s="416"/>
      <c r="W345" s="416"/>
      <c r="X345" s="416"/>
      <c r="Y345" s="416"/>
      <c r="Z345" s="416"/>
      <c r="AA345" s="416"/>
      <c r="AB345" s="416"/>
      <c r="AC345" s="416"/>
      <c r="AD345" s="416"/>
      <c r="AE345" s="416"/>
      <c r="AF345" s="416"/>
      <c r="AG345" s="416"/>
      <c r="AH345" s="416"/>
      <c r="AI345" s="416"/>
      <c r="AJ345" s="416"/>
      <c r="AK345" s="416"/>
      <c r="AL345" s="416"/>
      <c r="AM345" s="416"/>
      <c r="AN345" s="416"/>
      <c r="AO345" s="416"/>
      <c r="AP345" s="416"/>
      <c r="AQ345" s="416"/>
      <c r="AR345" s="416"/>
      <c r="AS345" s="416"/>
      <c r="AT345" s="416"/>
      <c r="AU345" s="416"/>
      <c r="AV345" s="416"/>
      <c r="AW345" s="416"/>
      <c r="AX345" s="416"/>
      <c r="AY345" s="416"/>
      <c r="AZ345" s="32"/>
    </row>
    <row r="346" spans="2:52">
      <c r="B346" s="1250" t="s">
        <v>623</v>
      </c>
      <c r="C346" s="1251"/>
      <c r="D346" s="411" t="s">
        <v>1262</v>
      </c>
      <c r="E346" s="411"/>
      <c r="F346" s="411" t="s">
        <v>277</v>
      </c>
      <c r="G346" s="411" t="s">
        <v>278</v>
      </c>
      <c r="H346" s="412">
        <v>7578.4669999999996</v>
      </c>
      <c r="I346" s="413" t="s">
        <v>235</v>
      </c>
      <c r="J346" s="414">
        <v>45040.111111111109</v>
      </c>
      <c r="K346" s="414"/>
      <c r="L346" s="414" t="s">
        <v>192</v>
      </c>
      <c r="M346" s="414" t="s">
        <v>192</v>
      </c>
      <c r="N346" s="413" t="str">
        <f t="shared" si="23"/>
        <v>DELAY ( 3 day 9 hour 40 minute )</v>
      </c>
      <c r="O346" s="51"/>
      <c r="P346" s="415" t="s">
        <v>551</v>
      </c>
      <c r="Q346" s="415" t="s">
        <v>551</v>
      </c>
      <c r="R346" s="415" t="s">
        <v>551</v>
      </c>
      <c r="S346" s="32"/>
      <c r="T346" s="416"/>
      <c r="U346" s="416"/>
      <c r="V346" s="416"/>
      <c r="W346" s="416"/>
      <c r="X346" s="416"/>
      <c r="Y346" s="416"/>
      <c r="Z346" s="416"/>
      <c r="AA346" s="416"/>
      <c r="AB346" s="416">
        <f>H346</f>
        <v>7578.4669999999996</v>
      </c>
      <c r="AC346" s="416"/>
      <c r="AD346" s="416"/>
      <c r="AE346" s="416"/>
      <c r="AF346" s="416"/>
      <c r="AG346" s="416"/>
      <c r="AH346" s="416"/>
      <c r="AI346" s="416"/>
      <c r="AJ346" s="416"/>
      <c r="AK346" s="416"/>
      <c r="AL346" s="416"/>
      <c r="AM346" s="416"/>
      <c r="AN346" s="416"/>
      <c r="AO346" s="416"/>
      <c r="AP346" s="416"/>
      <c r="AQ346" s="416"/>
      <c r="AR346" s="416"/>
      <c r="AS346" s="416"/>
      <c r="AT346" s="416"/>
      <c r="AU346" s="416"/>
      <c r="AV346" s="416"/>
      <c r="AW346" s="416"/>
      <c r="AX346" s="416"/>
      <c r="AY346" s="416"/>
      <c r="AZ346" s="32"/>
    </row>
    <row r="347" spans="2:52">
      <c r="B347" s="1252"/>
      <c r="C347" s="1253"/>
      <c r="D347" s="411"/>
      <c r="E347" s="411"/>
      <c r="F347" s="1256" t="s">
        <v>668</v>
      </c>
      <c r="G347" s="1257"/>
      <c r="H347" s="412">
        <f>1000+0.165</f>
        <v>1000.165</v>
      </c>
      <c r="I347" s="413"/>
      <c r="J347" s="414"/>
      <c r="K347" s="414"/>
      <c r="L347" s="414"/>
      <c r="M347" s="414"/>
      <c r="N347" s="413" t="str">
        <f t="shared" si="23"/>
        <v xml:space="preserve"> </v>
      </c>
      <c r="O347" s="51"/>
      <c r="P347" s="415"/>
      <c r="Q347" s="415"/>
      <c r="R347" s="415"/>
      <c r="S347" s="32"/>
      <c r="T347" s="416"/>
      <c r="U347" s="416"/>
      <c r="V347" s="416"/>
      <c r="W347" s="416"/>
      <c r="X347" s="416"/>
      <c r="Y347" s="416"/>
      <c r="Z347" s="416"/>
      <c r="AA347" s="416"/>
      <c r="AB347" s="416"/>
      <c r="AC347" s="416"/>
      <c r="AD347" s="416"/>
      <c r="AE347" s="416"/>
      <c r="AF347" s="416"/>
      <c r="AG347" s="416"/>
      <c r="AH347" s="416"/>
      <c r="AI347" s="416"/>
      <c r="AJ347" s="416"/>
      <c r="AK347" s="416"/>
      <c r="AL347" s="416"/>
      <c r="AM347" s="416"/>
      <c r="AN347" s="416"/>
      <c r="AO347" s="416"/>
      <c r="AP347" s="416"/>
      <c r="AQ347" s="416"/>
      <c r="AR347" s="416"/>
      <c r="AS347" s="416"/>
      <c r="AT347" s="416"/>
      <c r="AU347" s="416"/>
      <c r="AV347" s="416"/>
      <c r="AW347" s="416"/>
      <c r="AX347" s="416"/>
      <c r="AY347" s="416"/>
      <c r="AZ347" s="32"/>
    </row>
    <row r="348" spans="2:52">
      <c r="B348" s="1254"/>
      <c r="C348" s="1255"/>
      <c r="D348" s="411"/>
      <c r="E348" s="411"/>
      <c r="F348" s="1256" t="s">
        <v>616</v>
      </c>
      <c r="G348" s="1257"/>
      <c r="H348" s="412">
        <v>3500</v>
      </c>
      <c r="I348" s="413"/>
      <c r="J348" s="414"/>
      <c r="K348" s="414"/>
      <c r="L348" s="414"/>
      <c r="M348" s="414"/>
      <c r="N348" s="413" t="str">
        <f t="shared" si="23"/>
        <v xml:space="preserve"> </v>
      </c>
      <c r="O348" s="51"/>
      <c r="P348" s="415"/>
      <c r="Q348" s="415"/>
      <c r="R348" s="415"/>
      <c r="S348" s="32"/>
      <c r="T348" s="416"/>
      <c r="U348" s="416"/>
      <c r="V348" s="416"/>
      <c r="W348" s="416"/>
      <c r="X348" s="416"/>
      <c r="Y348" s="416"/>
      <c r="Z348" s="416"/>
      <c r="AA348" s="416"/>
      <c r="AB348" s="416"/>
      <c r="AC348" s="416"/>
      <c r="AD348" s="416"/>
      <c r="AE348" s="416"/>
      <c r="AF348" s="416"/>
      <c r="AG348" s="416"/>
      <c r="AH348" s="416"/>
      <c r="AI348" s="416"/>
      <c r="AJ348" s="416"/>
      <c r="AK348" s="416"/>
      <c r="AL348" s="416"/>
      <c r="AM348" s="416"/>
      <c r="AN348" s="416"/>
      <c r="AO348" s="416"/>
      <c r="AP348" s="416"/>
      <c r="AQ348" s="416"/>
      <c r="AR348" s="416"/>
      <c r="AS348" s="416"/>
      <c r="AT348" s="416"/>
      <c r="AU348" s="416"/>
      <c r="AV348" s="416"/>
      <c r="AW348" s="416"/>
      <c r="AX348" s="416"/>
      <c r="AY348" s="416"/>
      <c r="AZ348" s="32"/>
    </row>
    <row r="349" spans="2:52">
      <c r="B349" s="1250" t="s">
        <v>624</v>
      </c>
      <c r="C349" s="1251"/>
      <c r="D349" s="411" t="s">
        <v>1263</v>
      </c>
      <c r="E349" s="411"/>
      <c r="F349" s="411" t="s">
        <v>252</v>
      </c>
      <c r="G349" s="411" t="s">
        <v>253</v>
      </c>
      <c r="H349" s="412">
        <v>7502.9769999999999</v>
      </c>
      <c r="I349" s="413" t="s">
        <v>235</v>
      </c>
      <c r="J349" s="414">
        <v>45039.815972222219</v>
      </c>
      <c r="K349" s="414"/>
      <c r="L349" s="414" t="s">
        <v>192</v>
      </c>
      <c r="M349" s="414" t="s">
        <v>192</v>
      </c>
      <c r="N349" s="413" t="str">
        <f t="shared" si="23"/>
        <v>DELAY ( 3 day 2 hour 35 minute )</v>
      </c>
      <c r="O349" s="51"/>
      <c r="P349" s="415" t="s">
        <v>551</v>
      </c>
      <c r="Q349" s="415" t="s">
        <v>551</v>
      </c>
      <c r="R349" s="415" t="s">
        <v>551</v>
      </c>
      <c r="S349" s="32"/>
      <c r="T349" s="416"/>
      <c r="U349" s="416"/>
      <c r="V349" s="416"/>
      <c r="W349" s="416"/>
      <c r="X349" s="416"/>
      <c r="Y349" s="416"/>
      <c r="Z349" s="416"/>
      <c r="AA349" s="416"/>
      <c r="AB349" s="416">
        <f>H349</f>
        <v>7502.9769999999999</v>
      </c>
      <c r="AC349" s="416"/>
      <c r="AD349" s="416"/>
      <c r="AE349" s="416"/>
      <c r="AF349" s="416"/>
      <c r="AG349" s="416"/>
      <c r="AH349" s="416"/>
      <c r="AI349" s="416"/>
      <c r="AJ349" s="416"/>
      <c r="AK349" s="32"/>
      <c r="AL349" s="416"/>
      <c r="AM349" s="416"/>
      <c r="AN349" s="416"/>
      <c r="AO349" s="416"/>
      <c r="AP349" s="416"/>
      <c r="AQ349" s="416"/>
      <c r="AR349" s="416"/>
      <c r="AS349" s="416"/>
      <c r="AT349" s="416"/>
      <c r="AU349" s="416"/>
      <c r="AV349" s="416"/>
      <c r="AW349" s="416"/>
      <c r="AX349" s="416"/>
      <c r="AY349" s="416"/>
      <c r="AZ349" s="32"/>
    </row>
    <row r="350" spans="2:52">
      <c r="B350" s="1254"/>
      <c r="C350" s="1255"/>
      <c r="D350" s="411"/>
      <c r="E350" s="411"/>
      <c r="F350" s="1256" t="s">
        <v>616</v>
      </c>
      <c r="G350" s="1257"/>
      <c r="H350" s="412">
        <v>1035</v>
      </c>
      <c r="I350" s="413"/>
      <c r="J350" s="414"/>
      <c r="K350" s="414"/>
      <c r="L350" s="414"/>
      <c r="M350" s="414"/>
      <c r="N350" s="413" t="str">
        <f t="shared" si="23"/>
        <v xml:space="preserve"> </v>
      </c>
      <c r="O350" s="51"/>
      <c r="P350" s="415"/>
      <c r="Q350" s="415"/>
      <c r="R350" s="415"/>
      <c r="S350" s="32"/>
      <c r="T350" s="416"/>
      <c r="U350" s="416"/>
      <c r="V350" s="416"/>
      <c r="W350" s="416"/>
      <c r="X350" s="416"/>
      <c r="Y350" s="416"/>
      <c r="Z350" s="416"/>
      <c r="AA350" s="416"/>
      <c r="AB350" s="416"/>
      <c r="AC350" s="416"/>
      <c r="AD350" s="416"/>
      <c r="AE350" s="416"/>
      <c r="AF350" s="416"/>
      <c r="AG350" s="416"/>
      <c r="AH350" s="416"/>
      <c r="AI350" s="416"/>
      <c r="AJ350" s="416"/>
      <c r="AK350" s="416"/>
      <c r="AL350" s="416"/>
      <c r="AM350" s="416"/>
      <c r="AN350" s="416"/>
      <c r="AO350" s="416"/>
      <c r="AP350" s="416"/>
      <c r="AQ350" s="416"/>
      <c r="AR350" s="416"/>
      <c r="AS350" s="416"/>
      <c r="AT350" s="416"/>
      <c r="AU350" s="416"/>
      <c r="AV350" s="416"/>
      <c r="AW350" s="416"/>
      <c r="AX350" s="416"/>
      <c r="AY350" s="416"/>
      <c r="AZ350" s="32"/>
    </row>
    <row r="351" spans="2:52">
      <c r="B351" s="1250" t="s">
        <v>625</v>
      </c>
      <c r="C351" s="1251"/>
      <c r="D351" s="411" t="s">
        <v>1264</v>
      </c>
      <c r="E351" s="411"/>
      <c r="F351" s="411" t="s">
        <v>257</v>
      </c>
      <c r="G351" s="411" t="s">
        <v>258</v>
      </c>
      <c r="H351" s="412">
        <v>7457.732</v>
      </c>
      <c r="I351" s="413" t="s">
        <v>235</v>
      </c>
      <c r="J351" s="414">
        <v>45040.083333333336</v>
      </c>
      <c r="K351" s="414"/>
      <c r="L351" s="414" t="s">
        <v>192</v>
      </c>
      <c r="M351" s="414" t="s">
        <v>192</v>
      </c>
      <c r="N351" s="413" t="str">
        <f t="shared" si="23"/>
        <v>DELAY ( 3 day 9 hour 0 minute )</v>
      </c>
      <c r="O351" s="51"/>
      <c r="P351" s="415" t="s">
        <v>551</v>
      </c>
      <c r="Q351" s="415" t="s">
        <v>551</v>
      </c>
      <c r="R351" s="415" t="s">
        <v>551</v>
      </c>
      <c r="S351" s="32"/>
      <c r="T351" s="416"/>
      <c r="U351" s="416"/>
      <c r="V351" s="416"/>
      <c r="W351" s="416"/>
      <c r="X351" s="416"/>
      <c r="Y351" s="416"/>
      <c r="Z351" s="416"/>
      <c r="AA351" s="416"/>
      <c r="AB351" s="416">
        <f>H351</f>
        <v>7457.732</v>
      </c>
      <c r="AC351" s="416"/>
      <c r="AD351" s="416"/>
      <c r="AE351" s="416"/>
      <c r="AF351" s="416"/>
      <c r="AG351" s="416"/>
      <c r="AH351" s="416"/>
      <c r="AI351" s="416"/>
      <c r="AJ351" s="416"/>
      <c r="AK351" s="416"/>
      <c r="AL351" s="416"/>
      <c r="AM351" s="416"/>
      <c r="AN351" s="416"/>
      <c r="AO351" s="416"/>
      <c r="AP351" s="416"/>
      <c r="AQ351" s="416"/>
      <c r="AR351" s="416"/>
      <c r="AS351" s="416"/>
      <c r="AT351" s="416"/>
      <c r="AU351" s="416"/>
      <c r="AV351" s="416"/>
      <c r="AW351" s="416"/>
      <c r="AX351" s="416"/>
      <c r="AY351" s="416"/>
      <c r="AZ351" s="32"/>
    </row>
    <row r="352" spans="2:52">
      <c r="B352" s="1254"/>
      <c r="C352" s="1255"/>
      <c r="D352" s="411"/>
      <c r="E352" s="411"/>
      <c r="F352" s="1256" t="s">
        <v>616</v>
      </c>
      <c r="G352" s="1257"/>
      <c r="H352" s="412">
        <v>1000</v>
      </c>
      <c r="I352" s="413"/>
      <c r="J352" s="414"/>
      <c r="K352" s="414"/>
      <c r="L352" s="414"/>
      <c r="M352" s="414"/>
      <c r="N352" s="413" t="str">
        <f t="shared" si="23"/>
        <v xml:space="preserve"> </v>
      </c>
      <c r="O352" s="51"/>
      <c r="P352" s="415"/>
      <c r="Q352" s="415"/>
      <c r="R352" s="415"/>
      <c r="S352" s="32"/>
      <c r="T352" s="416"/>
      <c r="U352" s="416"/>
      <c r="V352" s="416"/>
      <c r="W352" s="416"/>
      <c r="X352" s="416"/>
      <c r="Y352" s="416"/>
      <c r="Z352" s="416"/>
      <c r="AA352" s="416"/>
      <c r="AB352" s="416"/>
      <c r="AC352" s="416"/>
      <c r="AD352" s="416"/>
      <c r="AE352" s="416"/>
      <c r="AF352" s="416"/>
      <c r="AG352" s="416"/>
      <c r="AH352" s="416"/>
      <c r="AI352" s="416"/>
      <c r="AJ352" s="416"/>
      <c r="AK352" s="416"/>
      <c r="AL352" s="416"/>
      <c r="AM352" s="416"/>
      <c r="AN352" s="416"/>
      <c r="AO352" s="416"/>
      <c r="AP352" s="416"/>
      <c r="AQ352" s="416"/>
      <c r="AR352" s="416"/>
      <c r="AS352" s="416"/>
      <c r="AT352" s="416"/>
      <c r="AU352" s="416"/>
      <c r="AV352" s="416"/>
      <c r="AW352" s="416"/>
      <c r="AX352" s="416"/>
      <c r="AY352" s="416"/>
      <c r="AZ352" s="32"/>
    </row>
    <row r="353" spans="2:52">
      <c r="B353" s="1250" t="s">
        <v>669</v>
      </c>
      <c r="C353" s="1251"/>
      <c r="D353" s="411" t="s">
        <v>1265</v>
      </c>
      <c r="E353" s="411"/>
      <c r="F353" s="411" t="s">
        <v>429</v>
      </c>
      <c r="G353" s="411" t="s">
        <v>430</v>
      </c>
      <c r="H353" s="412">
        <v>7732.8440000000001</v>
      </c>
      <c r="I353" s="413" t="s">
        <v>235</v>
      </c>
      <c r="J353" s="414">
        <v>45040.118055555555</v>
      </c>
      <c r="K353" s="414"/>
      <c r="L353" s="414" t="s">
        <v>192</v>
      </c>
      <c r="M353" s="414" t="s">
        <v>192</v>
      </c>
      <c r="N353" s="413" t="str">
        <f t="shared" si="23"/>
        <v>DELAY ( 3 day 9 hour 50 minute )</v>
      </c>
      <c r="O353" s="51"/>
      <c r="P353" s="415" t="s">
        <v>551</v>
      </c>
      <c r="Q353" s="415" t="s">
        <v>551</v>
      </c>
      <c r="R353" s="415" t="s">
        <v>551</v>
      </c>
      <c r="S353" s="32"/>
      <c r="T353" s="416"/>
      <c r="U353" s="416"/>
      <c r="V353" s="416"/>
      <c r="W353" s="416"/>
      <c r="X353" s="416"/>
      <c r="Y353" s="416"/>
      <c r="Z353" s="416"/>
      <c r="AA353" s="416"/>
      <c r="AB353" s="416">
        <f>H353</f>
        <v>7732.8440000000001</v>
      </c>
      <c r="AC353" s="416"/>
      <c r="AD353" s="416"/>
      <c r="AE353" s="416"/>
      <c r="AF353" s="416"/>
      <c r="AG353" s="416"/>
      <c r="AH353" s="416"/>
      <c r="AI353" s="416"/>
      <c r="AJ353" s="416"/>
      <c r="AK353" s="416"/>
      <c r="AL353" s="416"/>
      <c r="AM353" s="416"/>
      <c r="AN353" s="416"/>
      <c r="AO353" s="416"/>
      <c r="AP353" s="416"/>
      <c r="AQ353" s="416"/>
      <c r="AR353" s="416"/>
      <c r="AS353" s="416"/>
      <c r="AT353" s="416"/>
      <c r="AU353" s="416"/>
      <c r="AV353" s="416"/>
      <c r="AW353" s="416"/>
      <c r="AX353" s="416"/>
      <c r="AY353" s="416"/>
      <c r="AZ353" s="32"/>
    </row>
    <row r="354" spans="2:52">
      <c r="B354" s="1254"/>
      <c r="C354" s="1255"/>
      <c r="D354" s="411"/>
      <c r="E354" s="411"/>
      <c r="F354" s="1256" t="s">
        <v>616</v>
      </c>
      <c r="G354" s="1257"/>
      <c r="H354" s="412">
        <v>1000</v>
      </c>
      <c r="I354" s="413"/>
      <c r="J354" s="414"/>
      <c r="K354" s="414"/>
      <c r="L354" s="414"/>
      <c r="M354" s="414"/>
      <c r="N354" s="413" t="str">
        <f t="shared" si="23"/>
        <v xml:space="preserve"> </v>
      </c>
      <c r="O354" s="51"/>
      <c r="P354" s="415"/>
      <c r="Q354" s="415"/>
      <c r="R354" s="415"/>
      <c r="S354" s="32"/>
      <c r="T354" s="416"/>
      <c r="U354" s="416"/>
      <c r="V354" s="416"/>
      <c r="W354" s="416"/>
      <c r="X354" s="416"/>
      <c r="Y354" s="416"/>
      <c r="Z354" s="416"/>
      <c r="AA354" s="416"/>
      <c r="AB354" s="416"/>
      <c r="AC354" s="416"/>
      <c r="AD354" s="416"/>
      <c r="AE354" s="416"/>
      <c r="AF354" s="416"/>
      <c r="AG354" s="416"/>
      <c r="AH354" s="416"/>
      <c r="AI354" s="416"/>
      <c r="AJ354" s="416"/>
      <c r="AK354" s="416"/>
      <c r="AL354" s="416"/>
      <c r="AM354" s="416"/>
      <c r="AN354" s="416"/>
      <c r="AO354" s="416"/>
      <c r="AP354" s="416"/>
      <c r="AQ354" s="416"/>
      <c r="AR354" s="416"/>
      <c r="AS354" s="416"/>
      <c r="AT354" s="416"/>
      <c r="AU354" s="416"/>
      <c r="AV354" s="416"/>
      <c r="AW354" s="416"/>
      <c r="AX354" s="416"/>
      <c r="AY354" s="416"/>
      <c r="AZ354" s="32"/>
    </row>
    <row r="355" spans="2:52">
      <c r="B355" s="1250" t="s">
        <v>670</v>
      </c>
      <c r="C355" s="1251"/>
      <c r="D355" s="411" t="s">
        <v>1266</v>
      </c>
      <c r="E355" s="411"/>
      <c r="F355" s="411" t="s">
        <v>437</v>
      </c>
      <c r="G355" s="411" t="s">
        <v>320</v>
      </c>
      <c r="H355" s="412">
        <v>7372.6610000000001</v>
      </c>
      <c r="I355" s="413" t="s">
        <v>235</v>
      </c>
      <c r="J355" s="414">
        <v>45040.03125</v>
      </c>
      <c r="K355" s="414"/>
      <c r="L355" s="414" t="s">
        <v>192</v>
      </c>
      <c r="M355" s="414" t="s">
        <v>192</v>
      </c>
      <c r="N355" s="413" t="str">
        <f t="shared" si="23"/>
        <v>DELAY ( 3 day 7 hour 45 minute )</v>
      </c>
      <c r="O355" s="51"/>
      <c r="P355" s="415" t="s">
        <v>551</v>
      </c>
      <c r="Q355" s="415" t="s">
        <v>551</v>
      </c>
      <c r="R355" s="415" t="s">
        <v>551</v>
      </c>
      <c r="S355" s="32"/>
      <c r="T355" s="416"/>
      <c r="U355" s="416"/>
      <c r="V355" s="416"/>
      <c r="W355" s="416"/>
      <c r="X355" s="416"/>
      <c r="Y355" s="416"/>
      <c r="Z355" s="416"/>
      <c r="AA355" s="416"/>
      <c r="AB355" s="416">
        <f>H355</f>
        <v>7372.6610000000001</v>
      </c>
      <c r="AC355" s="416"/>
      <c r="AD355" s="416"/>
      <c r="AE355" s="416"/>
      <c r="AF355" s="416"/>
      <c r="AG355" s="416"/>
      <c r="AH355" s="416"/>
      <c r="AI355" s="416"/>
      <c r="AJ355" s="416"/>
      <c r="AK355" s="416"/>
      <c r="AL355" s="416"/>
      <c r="AM355" s="416"/>
      <c r="AN355" s="416"/>
      <c r="AO355" s="416"/>
      <c r="AP355" s="416"/>
      <c r="AQ355" s="416"/>
      <c r="AR355" s="416"/>
      <c r="AS355" s="416"/>
      <c r="AT355" s="416"/>
      <c r="AU355" s="416"/>
      <c r="AV355" s="416"/>
      <c r="AW355" s="416"/>
      <c r="AX355" s="416"/>
      <c r="AY355" s="416"/>
      <c r="AZ355" s="32"/>
    </row>
    <row r="356" spans="2:52">
      <c r="B356" s="1254"/>
      <c r="C356" s="1255"/>
      <c r="D356" s="411"/>
      <c r="E356" s="411"/>
      <c r="F356" s="1256" t="s">
        <v>616</v>
      </c>
      <c r="G356" s="1257"/>
      <c r="H356" s="412">
        <v>1000</v>
      </c>
      <c r="I356" s="413"/>
      <c r="J356" s="414"/>
      <c r="K356" s="414"/>
      <c r="L356" s="414"/>
      <c r="M356" s="414"/>
      <c r="N356" s="413" t="str">
        <f t="shared" si="23"/>
        <v xml:space="preserve"> </v>
      </c>
      <c r="O356" s="51"/>
      <c r="P356" s="415"/>
      <c r="Q356" s="415"/>
      <c r="R356" s="415"/>
      <c r="S356" s="32"/>
      <c r="T356" s="416"/>
      <c r="U356" s="416"/>
      <c r="V356" s="416"/>
      <c r="W356" s="416"/>
      <c r="X356" s="416"/>
      <c r="Y356" s="416"/>
      <c r="Z356" s="416"/>
      <c r="AA356" s="416"/>
      <c r="AB356" s="416"/>
      <c r="AC356" s="416"/>
      <c r="AD356" s="416"/>
      <c r="AE356" s="416"/>
      <c r="AF356" s="416"/>
      <c r="AG356" s="416"/>
      <c r="AH356" s="416"/>
      <c r="AI356" s="416"/>
      <c r="AJ356" s="416"/>
      <c r="AK356" s="416"/>
      <c r="AL356" s="416"/>
      <c r="AM356" s="416"/>
      <c r="AN356" s="416"/>
      <c r="AO356" s="416"/>
      <c r="AP356" s="416"/>
      <c r="AQ356" s="416"/>
      <c r="AR356" s="416"/>
      <c r="AS356" s="416"/>
      <c r="AT356" s="416"/>
      <c r="AU356" s="416"/>
      <c r="AV356" s="416"/>
      <c r="AW356" s="416"/>
      <c r="AX356" s="416"/>
      <c r="AY356" s="416"/>
      <c r="AZ356" s="32"/>
    </row>
    <row r="357" spans="2:52">
      <c r="B357" s="1250" t="s">
        <v>867</v>
      </c>
      <c r="C357" s="1251"/>
      <c r="D357" s="411" t="s">
        <v>1267</v>
      </c>
      <c r="E357" s="411"/>
      <c r="F357" s="411" t="s">
        <v>292</v>
      </c>
      <c r="G357" s="411" t="s">
        <v>293</v>
      </c>
      <c r="H357" s="412">
        <v>7570.4530000000004</v>
      </c>
      <c r="I357" s="413" t="s">
        <v>235</v>
      </c>
      <c r="J357" s="414">
        <v>45040.104166666664</v>
      </c>
      <c r="K357" s="414"/>
      <c r="L357" s="414" t="s">
        <v>192</v>
      </c>
      <c r="M357" s="414" t="s">
        <v>192</v>
      </c>
      <c r="N357" s="413" t="str">
        <f t="shared" si="23"/>
        <v>DELAY ( 3 day 9 hour 30 minute )</v>
      </c>
      <c r="O357" s="51"/>
      <c r="P357" s="415" t="s">
        <v>551</v>
      </c>
      <c r="Q357" s="415" t="s">
        <v>551</v>
      </c>
      <c r="R357" s="415" t="s">
        <v>551</v>
      </c>
      <c r="S357" s="32"/>
      <c r="T357" s="416"/>
      <c r="U357" s="416"/>
      <c r="V357" s="416"/>
      <c r="W357" s="416"/>
      <c r="X357" s="416"/>
      <c r="Y357" s="416"/>
      <c r="Z357" s="416"/>
      <c r="AA357" s="416"/>
      <c r="AB357" s="416">
        <f>H357</f>
        <v>7570.4530000000004</v>
      </c>
      <c r="AC357" s="416"/>
      <c r="AD357" s="416"/>
      <c r="AE357" s="416"/>
      <c r="AF357" s="416"/>
      <c r="AG357" s="416"/>
      <c r="AH357" s="416"/>
      <c r="AI357" s="416"/>
      <c r="AJ357" s="416"/>
      <c r="AK357" s="416"/>
      <c r="AL357" s="416"/>
      <c r="AM357" s="416"/>
      <c r="AN357" s="416"/>
      <c r="AO357" s="416"/>
      <c r="AP357" s="416"/>
      <c r="AQ357" s="416"/>
      <c r="AR357" s="416"/>
      <c r="AS357" s="416"/>
      <c r="AT357" s="416"/>
      <c r="AU357" s="416"/>
      <c r="AV357" s="416"/>
      <c r="AW357" s="416"/>
      <c r="AX357" s="416"/>
      <c r="AY357" s="416"/>
      <c r="AZ357" s="32"/>
    </row>
    <row r="358" spans="2:52">
      <c r="B358" s="1254"/>
      <c r="C358" s="1255"/>
      <c r="D358" s="411"/>
      <c r="E358" s="411"/>
      <c r="F358" s="1256" t="s">
        <v>616</v>
      </c>
      <c r="G358" s="1257"/>
      <c r="H358" s="412">
        <v>1000</v>
      </c>
      <c r="I358" s="413"/>
      <c r="J358" s="414"/>
      <c r="K358" s="414"/>
      <c r="L358" s="414"/>
      <c r="M358" s="414"/>
      <c r="N358" s="413" t="str">
        <f t="shared" si="23"/>
        <v xml:space="preserve"> </v>
      </c>
      <c r="O358" s="51"/>
      <c r="P358" s="415"/>
      <c r="Q358" s="415"/>
      <c r="R358" s="415"/>
      <c r="S358" s="32"/>
      <c r="T358" s="416"/>
      <c r="U358" s="416"/>
      <c r="V358" s="416"/>
      <c r="W358" s="416"/>
      <c r="X358" s="416"/>
      <c r="Y358" s="416"/>
      <c r="Z358" s="416"/>
      <c r="AA358" s="416"/>
      <c r="AB358" s="416"/>
      <c r="AC358" s="416"/>
      <c r="AD358" s="416"/>
      <c r="AE358" s="416"/>
      <c r="AF358" s="416"/>
      <c r="AG358" s="416"/>
      <c r="AH358" s="416"/>
      <c r="AI358" s="416"/>
      <c r="AJ358" s="416"/>
      <c r="AK358" s="416"/>
      <c r="AL358" s="416"/>
      <c r="AM358" s="416"/>
      <c r="AN358" s="416"/>
      <c r="AO358" s="416"/>
      <c r="AP358" s="416"/>
      <c r="AQ358" s="416"/>
      <c r="AR358" s="416"/>
      <c r="AS358" s="416"/>
      <c r="AT358" s="416"/>
      <c r="AU358" s="416"/>
      <c r="AV358" s="416"/>
      <c r="AW358" s="416"/>
      <c r="AX358" s="416"/>
      <c r="AY358" s="416"/>
      <c r="AZ358" s="32"/>
    </row>
    <row r="359" spans="2:52">
      <c r="B359" s="1250" t="s">
        <v>868</v>
      </c>
      <c r="C359" s="1251"/>
      <c r="D359" s="411" t="s">
        <v>1268</v>
      </c>
      <c r="E359" s="411"/>
      <c r="F359" s="411" t="s">
        <v>263</v>
      </c>
      <c r="G359" s="411" t="s">
        <v>264</v>
      </c>
      <c r="H359" s="412">
        <f>7513.598-5243.622+9</f>
        <v>2278.9759999999997</v>
      </c>
      <c r="I359" s="413" t="s">
        <v>235</v>
      </c>
      <c r="J359" s="414">
        <v>45040.086805555555</v>
      </c>
      <c r="K359" s="414"/>
      <c r="L359" s="414" t="s">
        <v>192</v>
      </c>
      <c r="M359" s="414" t="s">
        <v>192</v>
      </c>
      <c r="N359" s="413" t="str">
        <f t="shared" si="23"/>
        <v>DELAY ( 3 day 9 hour 5 minute )</v>
      </c>
      <c r="O359" s="51"/>
      <c r="P359" s="415" t="s">
        <v>551</v>
      </c>
      <c r="Q359" s="415" t="s">
        <v>551</v>
      </c>
      <c r="R359" s="415" t="s">
        <v>551</v>
      </c>
      <c r="S359" s="32"/>
      <c r="T359" s="416"/>
      <c r="U359" s="416"/>
      <c r="V359" s="416"/>
      <c r="W359" s="416"/>
      <c r="X359" s="416"/>
      <c r="Y359" s="416"/>
      <c r="Z359" s="416"/>
      <c r="AA359" s="416"/>
      <c r="AB359" s="416">
        <f>H359</f>
        <v>2278.9759999999997</v>
      </c>
      <c r="AC359" s="416"/>
      <c r="AD359" s="416"/>
      <c r="AE359" s="416"/>
      <c r="AF359" s="416"/>
      <c r="AG359" s="416"/>
      <c r="AH359" s="416"/>
      <c r="AI359" s="416"/>
      <c r="AJ359" s="416"/>
      <c r="AK359" s="416"/>
      <c r="AL359" s="416"/>
      <c r="AM359" s="416"/>
      <c r="AN359" s="416"/>
      <c r="AO359" s="416"/>
      <c r="AP359" s="416"/>
      <c r="AQ359" s="416"/>
      <c r="AR359" s="416"/>
      <c r="AS359" s="416"/>
      <c r="AT359" s="416"/>
      <c r="AU359" s="416"/>
      <c r="AV359" s="416"/>
      <c r="AW359" s="416"/>
      <c r="AX359" s="416"/>
      <c r="AY359" s="416"/>
      <c r="AZ359" s="32"/>
    </row>
    <row r="360" spans="2:52">
      <c r="B360" s="1254"/>
      <c r="C360" s="1255"/>
      <c r="D360" s="411"/>
      <c r="E360" s="411"/>
      <c r="F360" s="1256" t="s">
        <v>616</v>
      </c>
      <c r="G360" s="1257"/>
      <c r="H360" s="412">
        <f>1000+8.599</f>
        <v>1008.599</v>
      </c>
      <c r="I360" s="413"/>
      <c r="J360" s="414"/>
      <c r="K360" s="414"/>
      <c r="L360" s="414"/>
      <c r="M360" s="414"/>
      <c r="N360" s="413" t="str">
        <f t="shared" si="23"/>
        <v xml:space="preserve"> </v>
      </c>
      <c r="O360" s="51"/>
      <c r="P360" s="415"/>
      <c r="Q360" s="415"/>
      <c r="R360" s="415"/>
      <c r="S360" s="32"/>
      <c r="T360" s="416"/>
      <c r="U360" s="416"/>
      <c r="V360" s="416"/>
      <c r="W360" s="416"/>
      <c r="X360" s="416"/>
      <c r="Y360" s="416"/>
      <c r="Z360" s="416"/>
      <c r="AA360" s="416"/>
      <c r="AB360" s="416"/>
      <c r="AC360" s="416"/>
      <c r="AD360" s="416"/>
      <c r="AE360" s="416"/>
      <c r="AF360" s="416"/>
      <c r="AG360" s="416"/>
      <c r="AH360" s="416"/>
      <c r="AI360" s="416"/>
      <c r="AJ360" s="416"/>
      <c r="AK360" s="416"/>
      <c r="AL360" s="416"/>
      <c r="AM360" s="416"/>
      <c r="AN360" s="416"/>
      <c r="AO360" s="416"/>
      <c r="AP360" s="416"/>
      <c r="AQ360" s="416"/>
      <c r="AR360" s="416"/>
      <c r="AS360" s="416"/>
      <c r="AT360" s="416"/>
      <c r="AU360" s="416"/>
      <c r="AV360" s="416"/>
      <c r="AW360" s="416"/>
      <c r="AX360" s="416"/>
      <c r="AY360" s="416"/>
      <c r="AZ360" s="32"/>
    </row>
    <row r="361" spans="2:52">
      <c r="B361" s="1258" t="s">
        <v>626</v>
      </c>
      <c r="C361" s="1259"/>
      <c r="D361" s="1259"/>
      <c r="E361" s="1259"/>
      <c r="F361" s="1259"/>
      <c r="G361" s="1260"/>
      <c r="H361" s="417">
        <f>H343+H341+H351+H346+H357+H359+H349+H340+H353+H355</f>
        <v>66612.236000000004</v>
      </c>
      <c r="I361" s="388"/>
      <c r="J361" s="293"/>
      <c r="K361" s="293"/>
      <c r="L361" s="293"/>
      <c r="M361" s="389"/>
      <c r="N361" s="413" t="str">
        <f t="shared" si="23"/>
        <v xml:space="preserve"> </v>
      </c>
      <c r="O361" s="47"/>
      <c r="P361" s="418"/>
      <c r="Q361" s="418"/>
      <c r="R361" s="418"/>
      <c r="S361" s="32"/>
      <c r="T361" s="1261"/>
      <c r="U361" s="1261"/>
      <c r="V361" s="1261"/>
      <c r="W361" s="1261"/>
      <c r="X361" s="1261"/>
      <c r="Y361" s="1261"/>
      <c r="Z361" s="1261"/>
      <c r="AA361" s="1261"/>
      <c r="AB361" s="1261"/>
      <c r="AC361" s="1261"/>
      <c r="AD361" s="1261"/>
      <c r="AE361" s="1261"/>
      <c r="AF361" s="1261"/>
      <c r="AG361" s="1261"/>
      <c r="AH361" s="1261"/>
      <c r="AI361" s="1261"/>
      <c r="AJ361" s="1261"/>
      <c r="AK361" s="1261"/>
      <c r="AL361" s="1261"/>
      <c r="AM361" s="1261"/>
      <c r="AN361" s="1261"/>
      <c r="AO361" s="1261"/>
      <c r="AP361" s="1261"/>
      <c r="AQ361" s="1261"/>
      <c r="AR361" s="1261"/>
      <c r="AS361" s="1261"/>
      <c r="AT361" s="1261"/>
      <c r="AU361" s="1261"/>
      <c r="AV361" s="1261"/>
      <c r="AW361" s="1261"/>
      <c r="AX361" s="1261"/>
      <c r="AY361" s="1261"/>
    </row>
    <row r="362" spans="2:52">
      <c r="B362" s="1258" t="s">
        <v>556</v>
      </c>
      <c r="C362" s="1259"/>
      <c r="D362" s="1259"/>
      <c r="E362" s="1259"/>
      <c r="F362" s="1259"/>
      <c r="G362" s="1260"/>
      <c r="H362" s="417">
        <f>H339+H361</f>
        <v>84160</v>
      </c>
      <c r="I362" s="388"/>
      <c r="J362" s="293"/>
      <c r="K362" s="293"/>
      <c r="L362" s="293"/>
      <c r="M362" s="389"/>
      <c r="N362" s="413" t="str">
        <f t="shared" si="23"/>
        <v xml:space="preserve"> </v>
      </c>
      <c r="O362" s="47"/>
      <c r="P362" s="418"/>
      <c r="Q362" s="418"/>
      <c r="R362" s="418"/>
      <c r="S362" s="32"/>
      <c r="T362" s="1262"/>
      <c r="U362" s="1263"/>
      <c r="V362" s="1263"/>
      <c r="W362" s="1263"/>
      <c r="X362" s="1263"/>
      <c r="Y362" s="1263"/>
      <c r="Z362" s="1263"/>
      <c r="AA362" s="1263"/>
      <c r="AB362" s="1263"/>
      <c r="AC362" s="1263"/>
      <c r="AD362" s="1263"/>
      <c r="AE362" s="1263"/>
      <c r="AF362" s="1263"/>
      <c r="AG362" s="1263"/>
      <c r="AH362" s="1263"/>
      <c r="AI362" s="1263"/>
      <c r="AJ362" s="1263"/>
      <c r="AK362" s="1263"/>
      <c r="AL362" s="1263"/>
      <c r="AM362" s="1263"/>
      <c r="AN362" s="1263"/>
      <c r="AO362" s="1263"/>
      <c r="AP362" s="1263"/>
      <c r="AQ362" s="1263"/>
      <c r="AR362" s="1263"/>
      <c r="AS362" s="1263"/>
      <c r="AT362" s="1263"/>
      <c r="AU362" s="1263"/>
      <c r="AV362" s="1263"/>
      <c r="AW362" s="1263"/>
      <c r="AX362" s="1263"/>
      <c r="AY362" s="1264"/>
    </row>
    <row r="363" spans="2:52">
      <c r="B363" s="1243" t="s">
        <v>557</v>
      </c>
      <c r="C363" s="1244"/>
      <c r="D363" s="1244"/>
      <c r="E363" s="1244"/>
      <c r="F363" s="1244"/>
      <c r="G363" s="1245"/>
      <c r="H363" s="419">
        <v>84160</v>
      </c>
      <c r="I363" s="1246"/>
      <c r="J363" s="1247"/>
      <c r="K363" s="1247"/>
      <c r="L363" s="1247"/>
      <c r="M363" s="1248"/>
      <c r="N363" s="413" t="str">
        <f t="shared" si="23"/>
        <v xml:space="preserve"> </v>
      </c>
      <c r="O363" s="32"/>
      <c r="P363" s="415"/>
      <c r="Q363" s="415"/>
      <c r="R363" s="415"/>
      <c r="S363" s="63"/>
      <c r="T363" s="433">
        <f>SUM(T336:T359)</f>
        <v>15034.598999999998</v>
      </c>
      <c r="U363" s="416">
        <f t="shared" ref="U363:AY363" si="24">SUM(U336:U359)</f>
        <v>0</v>
      </c>
      <c r="V363" s="416">
        <f t="shared" si="24"/>
        <v>0</v>
      </c>
      <c r="W363" s="416">
        <f t="shared" si="24"/>
        <v>0</v>
      </c>
      <c r="X363" s="416">
        <f t="shared" si="24"/>
        <v>0</v>
      </c>
      <c r="Y363" s="416">
        <f t="shared" si="24"/>
        <v>3984.605</v>
      </c>
      <c r="Z363" s="416">
        <f t="shared" si="24"/>
        <v>0</v>
      </c>
      <c r="AA363" s="416">
        <f t="shared" si="24"/>
        <v>0</v>
      </c>
      <c r="AB363" s="433">
        <f t="shared" si="24"/>
        <v>62627.631000000001</v>
      </c>
      <c r="AC363" s="416">
        <f t="shared" si="24"/>
        <v>2513.165</v>
      </c>
      <c r="AD363" s="416">
        <f t="shared" si="24"/>
        <v>0</v>
      </c>
      <c r="AE363" s="416">
        <f t="shared" si="24"/>
        <v>0</v>
      </c>
      <c r="AF363" s="416">
        <f t="shared" si="24"/>
        <v>0</v>
      </c>
      <c r="AG363" s="416">
        <f t="shared" si="24"/>
        <v>0</v>
      </c>
      <c r="AH363" s="416">
        <f t="shared" si="24"/>
        <v>0</v>
      </c>
      <c r="AI363" s="416">
        <f t="shared" si="24"/>
        <v>0</v>
      </c>
      <c r="AJ363" s="416">
        <f t="shared" si="24"/>
        <v>0</v>
      </c>
      <c r="AK363" s="416">
        <f t="shared" si="24"/>
        <v>0</v>
      </c>
      <c r="AL363" s="416">
        <f t="shared" si="24"/>
        <v>0</v>
      </c>
      <c r="AM363" s="416">
        <f t="shared" si="24"/>
        <v>0</v>
      </c>
      <c r="AN363" s="416">
        <f t="shared" si="24"/>
        <v>0</v>
      </c>
      <c r="AO363" s="416">
        <f t="shared" si="24"/>
        <v>0</v>
      </c>
      <c r="AP363" s="416">
        <f t="shared" si="24"/>
        <v>0</v>
      </c>
      <c r="AQ363" s="416">
        <f t="shared" si="24"/>
        <v>0</v>
      </c>
      <c r="AR363" s="416">
        <f t="shared" si="24"/>
        <v>0</v>
      </c>
      <c r="AS363" s="416">
        <f t="shared" si="24"/>
        <v>0</v>
      </c>
      <c r="AT363" s="416">
        <f t="shared" si="24"/>
        <v>0</v>
      </c>
      <c r="AU363" s="416">
        <f t="shared" si="24"/>
        <v>0</v>
      </c>
      <c r="AV363" s="416">
        <f t="shared" si="24"/>
        <v>0</v>
      </c>
      <c r="AW363" s="416">
        <f t="shared" si="24"/>
        <v>0</v>
      </c>
      <c r="AX363" s="416">
        <f t="shared" si="24"/>
        <v>0</v>
      </c>
      <c r="AY363" s="416">
        <f t="shared" si="24"/>
        <v>0</v>
      </c>
      <c r="AZ363" s="416">
        <f>SUM(T363:AY363)</f>
        <v>84159.999999999985</v>
      </c>
    </row>
    <row r="364" spans="2:52">
      <c r="B364" s="1243" t="s">
        <v>558</v>
      </c>
      <c r="C364" s="1244"/>
      <c r="D364" s="1244"/>
      <c r="E364" s="1244"/>
      <c r="F364" s="1244"/>
      <c r="G364" s="1245"/>
      <c r="H364" s="420">
        <f>H363-L330</f>
        <v>0</v>
      </c>
      <c r="I364" s="294"/>
      <c r="J364" s="295"/>
      <c r="K364" s="295"/>
      <c r="L364" s="296"/>
      <c r="M364" s="32"/>
      <c r="N364" s="32"/>
      <c r="O364" s="32"/>
      <c r="P364" s="32"/>
      <c r="Q364" s="297"/>
      <c r="R364" s="297"/>
      <c r="S364" s="32"/>
      <c r="T364" s="48"/>
      <c r="U364" s="48"/>
      <c r="V364" s="48"/>
      <c r="W364" s="48"/>
      <c r="X364" s="48"/>
      <c r="Y364" s="48"/>
      <c r="Z364" s="48"/>
      <c r="AA364" s="48"/>
      <c r="AB364" s="48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</row>
    <row r="365" spans="2:52">
      <c r="B365" s="1243" t="s">
        <v>559</v>
      </c>
      <c r="C365" s="1244"/>
      <c r="D365" s="1244"/>
      <c r="E365" s="1244"/>
      <c r="F365" s="1244"/>
      <c r="G365" s="1245"/>
      <c r="H365" s="420">
        <v>5214</v>
      </c>
      <c r="I365" s="284">
        <v>5041</v>
      </c>
      <c r="J365" s="53"/>
      <c r="K365" s="53"/>
      <c r="L365" s="54"/>
      <c r="M365" s="32"/>
      <c r="N365" s="32"/>
      <c r="O365" s="32"/>
      <c r="P365" s="32"/>
      <c r="Q365" s="32"/>
      <c r="R365" s="32"/>
      <c r="S365" s="32"/>
      <c r="T365" s="48"/>
      <c r="U365" s="48"/>
      <c r="V365" s="48"/>
      <c r="W365" s="48"/>
      <c r="X365" s="48"/>
      <c r="Y365" s="48"/>
      <c r="Z365" s="48"/>
      <c r="AA365" s="48"/>
      <c r="AB365" s="48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</row>
    <row r="366" spans="2:52">
      <c r="B366" s="1243" t="s">
        <v>560</v>
      </c>
      <c r="C366" s="1244"/>
      <c r="D366" s="1244"/>
      <c r="E366" s="1244"/>
      <c r="F366" s="1244"/>
      <c r="G366" s="1245"/>
      <c r="H366" s="421">
        <f>H365-5243.622</f>
        <v>-29.622000000000298</v>
      </c>
      <c r="I366" s="275">
        <f>I365-H365</f>
        <v>-173</v>
      </c>
      <c r="J366" s="53"/>
      <c r="K366" s="53"/>
      <c r="L366" s="54"/>
      <c r="M366" s="32"/>
      <c r="N366" s="32"/>
      <c r="O366" s="32"/>
      <c r="P366" s="32"/>
      <c r="Q366" s="32"/>
      <c r="R366" s="32"/>
      <c r="S366" s="48"/>
      <c r="T366" s="48"/>
      <c r="U366" s="48"/>
      <c r="V366" s="48"/>
      <c r="W366" s="48"/>
      <c r="X366" s="48"/>
      <c r="Y366" s="48"/>
      <c r="Z366" s="48"/>
      <c r="AA366" s="48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 spans="2:52">
      <c r="B367" s="32"/>
      <c r="C367" s="32"/>
      <c r="D367" s="32"/>
      <c r="E367" s="32"/>
      <c r="F367" s="32"/>
      <c r="G367" s="32"/>
      <c r="H367" s="32"/>
      <c r="I367" s="57"/>
      <c r="J367" s="52"/>
      <c r="K367" s="52"/>
      <c r="L367" s="55"/>
      <c r="M367" s="32"/>
      <c r="N367" s="32"/>
      <c r="O367" s="52"/>
      <c r="P367" s="32"/>
      <c r="Q367" s="32"/>
      <c r="R367" s="32"/>
      <c r="S367" s="32"/>
      <c r="T367" s="48"/>
      <c r="U367" s="48"/>
      <c r="V367" s="48"/>
      <c r="W367" s="48"/>
      <c r="X367" s="48"/>
      <c r="Y367" s="48"/>
      <c r="Z367" s="48"/>
      <c r="AA367" s="48"/>
      <c r="AB367" s="48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</row>
    <row r="368" spans="2:52">
      <c r="B368" s="40" t="s">
        <v>561</v>
      </c>
      <c r="C368" s="40"/>
      <c r="D368" s="32"/>
      <c r="E368" s="32"/>
      <c r="F368" s="32"/>
      <c r="G368" s="32"/>
      <c r="H368" s="32"/>
      <c r="I368" s="32"/>
      <c r="J368" s="52"/>
      <c r="K368" s="52"/>
      <c r="L368" s="55"/>
      <c r="M368" s="32"/>
      <c r="N368" s="32"/>
      <c r="O368" s="52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Z368" s="32"/>
    </row>
    <row r="369" spans="2:56">
      <c r="B369" s="422">
        <v>1</v>
      </c>
      <c r="C369" s="1249" t="s">
        <v>1430</v>
      </c>
      <c r="D369" s="1249"/>
      <c r="E369" s="1249"/>
      <c r="F369" s="1249"/>
      <c r="G369" s="1249"/>
      <c r="H369" s="1249"/>
      <c r="I369" s="1249"/>
      <c r="J369" s="1249"/>
      <c r="K369" s="1249"/>
      <c r="L369" s="55"/>
      <c r="M369" s="55"/>
      <c r="N369" s="32"/>
      <c r="O369" s="52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</row>
    <row r="371" spans="2:56">
      <c r="B371" s="28" t="s">
        <v>126</v>
      </c>
      <c r="C371" s="28"/>
      <c r="D371" s="29"/>
      <c r="E371" s="30" t="s">
        <v>511</v>
      </c>
      <c r="F371" s="31" t="s">
        <v>1246</v>
      </c>
      <c r="G371" s="32"/>
      <c r="H371" s="33"/>
      <c r="I371" s="34"/>
      <c r="J371" s="35" t="s">
        <v>513</v>
      </c>
      <c r="K371" s="36" t="s">
        <v>511</v>
      </c>
      <c r="L371" s="37">
        <v>45042.678472222222</v>
      </c>
      <c r="M371" s="32"/>
      <c r="N371" s="32"/>
      <c r="O371" s="36"/>
      <c r="P371" s="33"/>
      <c r="Q371" s="48"/>
      <c r="R371" s="49"/>
      <c r="S371" s="38"/>
      <c r="T371" s="32"/>
      <c r="U371" s="32"/>
      <c r="V371" s="32"/>
      <c r="W371" s="32"/>
      <c r="X371" s="32"/>
      <c r="Y371" s="32"/>
      <c r="Z371" s="32"/>
      <c r="AA371" s="32"/>
      <c r="AB371" s="48"/>
      <c r="AC371" s="48"/>
      <c r="AD371" s="48"/>
      <c r="AE371" s="48"/>
      <c r="AF371" s="48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</row>
    <row r="372" spans="2:56">
      <c r="B372" s="35" t="s">
        <v>514</v>
      </c>
      <c r="C372" s="35"/>
      <c r="D372" s="32"/>
      <c r="E372" s="36" t="s">
        <v>511</v>
      </c>
      <c r="F372" s="37" t="s">
        <v>1431</v>
      </c>
      <c r="G372" s="32"/>
      <c r="H372" s="33"/>
      <c r="I372" s="34"/>
      <c r="J372" s="35" t="s">
        <v>516</v>
      </c>
      <c r="K372" s="36" t="s">
        <v>511</v>
      </c>
      <c r="L372" s="37">
        <f>'VLU 2023 &amp; 2024'!$N$73</f>
        <v>45044.411805555559</v>
      </c>
      <c r="M372" s="32"/>
      <c r="N372" s="32"/>
      <c r="O372" s="36"/>
      <c r="P372" s="33"/>
      <c r="Q372" s="48"/>
      <c r="R372" s="49"/>
      <c r="S372" s="38"/>
      <c r="T372" s="32"/>
      <c r="U372" s="32"/>
      <c r="V372" s="32"/>
      <c r="W372" s="32"/>
      <c r="X372" s="32"/>
      <c r="Y372" s="32"/>
      <c r="Z372" s="32"/>
      <c r="AA372" s="32"/>
      <c r="AB372" s="48"/>
      <c r="AC372" s="48"/>
      <c r="AD372" s="48"/>
      <c r="AE372" s="48"/>
      <c r="AF372" s="48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</row>
    <row r="373" spans="2:56">
      <c r="B373" s="35" t="s">
        <v>517</v>
      </c>
      <c r="C373" s="35"/>
      <c r="D373" s="32"/>
      <c r="E373" s="36" t="s">
        <v>511</v>
      </c>
      <c r="F373" s="37">
        <v>45030.525000000001</v>
      </c>
      <c r="G373" s="32"/>
      <c r="H373" s="33"/>
      <c r="I373" s="34"/>
      <c r="J373" s="35" t="s">
        <v>518</v>
      </c>
      <c r="K373" s="36" t="s">
        <v>511</v>
      </c>
      <c r="L373" s="50">
        <v>72897</v>
      </c>
      <c r="M373" s="40" t="s">
        <v>519</v>
      </c>
      <c r="N373" s="40"/>
      <c r="O373" s="36"/>
      <c r="P373" s="33"/>
      <c r="Q373" s="48"/>
      <c r="R373" s="49"/>
      <c r="S373" s="38"/>
      <c r="T373" s="32"/>
      <c r="U373" s="32"/>
      <c r="V373" s="32"/>
      <c r="W373" s="32"/>
      <c r="X373" s="32"/>
      <c r="Y373" s="32"/>
      <c r="Z373" s="32"/>
      <c r="AA373" s="32"/>
      <c r="AB373" s="48"/>
      <c r="AC373" s="48"/>
      <c r="AD373" s="48"/>
      <c r="AE373" s="48"/>
      <c r="AF373" s="48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</row>
    <row r="374" spans="2:56">
      <c r="B374" s="35" t="s">
        <v>520</v>
      </c>
      <c r="C374" s="35"/>
      <c r="D374" s="32"/>
      <c r="E374" s="36" t="s">
        <v>511</v>
      </c>
      <c r="F374" s="37" t="s">
        <v>20</v>
      </c>
      <c r="G374" s="32"/>
      <c r="H374" s="33"/>
      <c r="I374" s="34"/>
      <c r="J374" s="35" t="s">
        <v>521</v>
      </c>
      <c r="K374" s="36" t="s">
        <v>511</v>
      </c>
      <c r="L374" s="41" t="s">
        <v>1433</v>
      </c>
      <c r="M374" s="32"/>
      <c r="N374" s="32"/>
      <c r="O374" s="36"/>
      <c r="P374" s="48"/>
      <c r="Q374" s="48"/>
      <c r="R374" s="49"/>
      <c r="S374" s="38"/>
      <c r="T374" s="32"/>
      <c r="U374" s="32"/>
      <c r="V374" s="32"/>
      <c r="W374" s="32"/>
      <c r="X374" s="32"/>
      <c r="Y374" s="32"/>
      <c r="Z374" s="32"/>
      <c r="AA374" s="32"/>
      <c r="AB374" s="48"/>
      <c r="AC374" s="48"/>
      <c r="AD374" s="48"/>
      <c r="AE374" s="48"/>
      <c r="AF374" s="48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</row>
    <row r="375" spans="2:56">
      <c r="B375" s="35" t="s">
        <v>523</v>
      </c>
      <c r="C375" s="35"/>
      <c r="D375" s="32"/>
      <c r="E375" s="36" t="s">
        <v>511</v>
      </c>
      <c r="F375" s="37" t="s">
        <v>47</v>
      </c>
      <c r="G375" s="32"/>
      <c r="H375" s="33"/>
      <c r="I375" s="34"/>
      <c r="J375" s="42" t="s">
        <v>524</v>
      </c>
      <c r="K375" s="36" t="s">
        <v>511</v>
      </c>
      <c r="L375" s="43" t="s">
        <v>15</v>
      </c>
      <c r="M375" s="44"/>
      <c r="N375" s="44"/>
      <c r="O375" s="36"/>
      <c r="P375" s="33"/>
      <c r="Q375" s="48"/>
      <c r="R375" s="49"/>
      <c r="S375" s="38"/>
      <c r="T375" s="32"/>
      <c r="U375" s="32"/>
      <c r="V375" s="32"/>
      <c r="W375" s="32"/>
      <c r="X375" s="32"/>
      <c r="Y375" s="32"/>
      <c r="Z375" s="32"/>
      <c r="AA375" s="32"/>
      <c r="AB375" s="48"/>
      <c r="AC375" s="48"/>
      <c r="AD375" s="48"/>
      <c r="AE375" s="48"/>
      <c r="AF375" s="48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</row>
    <row r="376" spans="2:56">
      <c r="B376" s="35" t="s">
        <v>2</v>
      </c>
      <c r="C376" s="35"/>
      <c r="D376" s="32"/>
      <c r="E376" s="36" t="s">
        <v>511</v>
      </c>
      <c r="F376" s="37" t="s">
        <v>18</v>
      </c>
      <c r="G376" s="32"/>
      <c r="H376" s="33"/>
      <c r="I376" s="45"/>
      <c r="J376" s="42"/>
      <c r="K376" s="36"/>
      <c r="L376" s="37"/>
      <c r="M376" s="32"/>
      <c r="N376" s="32"/>
      <c r="O376" s="42"/>
      <c r="P376" s="44"/>
      <c r="Q376" s="44"/>
      <c r="R376" s="44"/>
      <c r="S376" s="34"/>
      <c r="T376" s="32"/>
      <c r="U376" s="32"/>
      <c r="V376" s="32"/>
      <c r="W376" s="32"/>
      <c r="X376" s="32"/>
      <c r="Y376" s="32"/>
      <c r="Z376" s="32"/>
      <c r="AA376" s="32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</row>
    <row r="377" spans="2:56">
      <c r="B377" s="32"/>
      <c r="C377" s="32"/>
      <c r="D377" s="32"/>
      <c r="E377" s="32"/>
      <c r="F377" s="32"/>
      <c r="G377" s="32"/>
      <c r="H377" s="32"/>
      <c r="I377" s="45"/>
      <c r="J377" s="42"/>
      <c r="K377" s="42"/>
      <c r="L377" s="43"/>
      <c r="M377" s="44"/>
      <c r="N377" s="44"/>
      <c r="O377" s="42"/>
      <c r="P377" s="44"/>
      <c r="Q377" s="44"/>
      <c r="R377" s="44"/>
      <c r="S377" s="34"/>
      <c r="T377" s="1270" t="s">
        <v>87</v>
      </c>
      <c r="U377" s="1270"/>
      <c r="V377" s="1270"/>
      <c r="W377" s="1270"/>
      <c r="X377" s="1270"/>
      <c r="Y377" s="1270" t="s">
        <v>73</v>
      </c>
      <c r="Z377" s="1270"/>
      <c r="AA377" s="1270"/>
      <c r="AB377" s="1270" t="s">
        <v>74</v>
      </c>
      <c r="AC377" s="1270"/>
      <c r="AD377" s="407" t="s">
        <v>85</v>
      </c>
      <c r="AE377" s="407" t="s">
        <v>77</v>
      </c>
      <c r="AF377" s="1270" t="s">
        <v>525</v>
      </c>
      <c r="AG377" s="1270"/>
      <c r="AH377" s="1270"/>
      <c r="AI377" s="1270"/>
      <c r="AJ377" s="1270"/>
      <c r="AK377" s="1270"/>
      <c r="AL377" s="1270"/>
      <c r="AM377" s="1270"/>
      <c r="AN377" s="1270"/>
      <c r="AO377" s="1270"/>
      <c r="AP377" s="1270"/>
      <c r="AQ377" s="1270"/>
      <c r="AR377" s="1270"/>
      <c r="AS377" s="1270"/>
      <c r="AT377" s="1270"/>
      <c r="AU377" s="1270"/>
      <c r="AV377" s="1270"/>
      <c r="AW377" s="1270"/>
      <c r="AX377" s="1270"/>
      <c r="AY377" s="1270"/>
      <c r="AZ377" s="1270"/>
      <c r="BA377" s="1270"/>
      <c r="BB377" s="1270"/>
      <c r="BC377" s="1270"/>
      <c r="BD377" s="32"/>
    </row>
    <row r="378" spans="2:56">
      <c r="B378" s="1266" t="s">
        <v>526</v>
      </c>
      <c r="C378" s="1267"/>
      <c r="D378" s="570" t="s">
        <v>527</v>
      </c>
      <c r="E378" s="570"/>
      <c r="F378" s="570" t="s">
        <v>528</v>
      </c>
      <c r="G378" s="570" t="s">
        <v>529</v>
      </c>
      <c r="H378" s="570" t="s">
        <v>530</v>
      </c>
      <c r="I378" s="570" t="s">
        <v>531</v>
      </c>
      <c r="J378" s="570" t="s">
        <v>532</v>
      </c>
      <c r="K378" s="570"/>
      <c r="L378" s="570" t="s">
        <v>130</v>
      </c>
      <c r="M378" s="570" t="s">
        <v>533</v>
      </c>
      <c r="N378" s="408" t="str">
        <f>"On time - "&amp;COUNTIF(N379:N389,"On time")&amp;" from "&amp;ROWS(N379:N389)-COUNTIF(N379:N389," ")</f>
        <v>On time - 1 from 8</v>
      </c>
      <c r="O378" s="46"/>
      <c r="P378" s="409" t="s">
        <v>534</v>
      </c>
      <c r="Q378" s="409" t="s">
        <v>535</v>
      </c>
      <c r="R378" s="409" t="s">
        <v>536</v>
      </c>
      <c r="S378" s="32"/>
      <c r="T378" s="410" t="s">
        <v>537</v>
      </c>
      <c r="U378" s="410" t="s">
        <v>538</v>
      </c>
      <c r="V378" s="410" t="s">
        <v>539</v>
      </c>
      <c r="W378" s="410" t="s">
        <v>540</v>
      </c>
      <c r="X378" s="410" t="s">
        <v>541</v>
      </c>
      <c r="Y378" s="410" t="s">
        <v>167</v>
      </c>
      <c r="Z378" s="410" t="s">
        <v>168</v>
      </c>
      <c r="AA378" s="410" t="s">
        <v>169</v>
      </c>
      <c r="AB378" s="410" t="s">
        <v>235</v>
      </c>
      <c r="AC378" s="410" t="s">
        <v>240</v>
      </c>
      <c r="AD378" s="407" t="s">
        <v>85</v>
      </c>
      <c r="AE378" s="410" t="s">
        <v>139</v>
      </c>
      <c r="AF378" s="410" t="s">
        <v>72</v>
      </c>
      <c r="AG378" s="410" t="s">
        <v>88</v>
      </c>
      <c r="AH378" s="410" t="s">
        <v>75</v>
      </c>
      <c r="AI378" s="410" t="s">
        <v>543</v>
      </c>
      <c r="AJ378" s="410" t="s">
        <v>78</v>
      </c>
      <c r="AK378" s="410" t="s">
        <v>76</v>
      </c>
      <c r="AL378" s="410" t="s">
        <v>544</v>
      </c>
      <c r="AM378" s="410" t="s">
        <v>545</v>
      </c>
      <c r="AN378" s="410" t="s">
        <v>86</v>
      </c>
      <c r="AO378" s="410" t="s">
        <v>83</v>
      </c>
      <c r="AP378" s="410" t="s">
        <v>84</v>
      </c>
      <c r="AQ378" s="410" t="s">
        <v>546</v>
      </c>
      <c r="AR378" s="410" t="s">
        <v>81</v>
      </c>
      <c r="AS378" s="410" t="s">
        <v>80</v>
      </c>
      <c r="AT378" s="410" t="s">
        <v>82</v>
      </c>
      <c r="AU378" s="410" t="s">
        <v>181</v>
      </c>
      <c r="AV378" s="410" t="s">
        <v>183</v>
      </c>
      <c r="AW378" s="410" t="s">
        <v>547</v>
      </c>
      <c r="AX378" s="410" t="s">
        <v>182</v>
      </c>
      <c r="AY378" s="410" t="s">
        <v>172</v>
      </c>
      <c r="AZ378" s="410" t="s">
        <v>173</v>
      </c>
      <c r="BA378" s="410" t="s">
        <v>184</v>
      </c>
      <c r="BB378" s="410" t="s">
        <v>100</v>
      </c>
      <c r="BC378" s="410" t="s">
        <v>913</v>
      </c>
      <c r="BD378" s="32"/>
    </row>
    <row r="379" spans="2:56">
      <c r="B379" s="1256">
        <v>1</v>
      </c>
      <c r="C379" s="1257"/>
      <c r="D379" s="411" t="s">
        <v>1321</v>
      </c>
      <c r="E379" s="411"/>
      <c r="F379" s="411" t="s">
        <v>1322</v>
      </c>
      <c r="G379" s="411" t="s">
        <v>1323</v>
      </c>
      <c r="H379" s="412">
        <v>7755.7910000000002</v>
      </c>
      <c r="I379" s="413" t="s">
        <v>181</v>
      </c>
      <c r="J379" s="414">
        <v>45031.375</v>
      </c>
      <c r="K379" s="414"/>
      <c r="L379" s="414" t="s">
        <v>192</v>
      </c>
      <c r="M379" s="414" t="s">
        <v>192</v>
      </c>
      <c r="N379" s="413" t="str">
        <f t="shared" ref="N379:N389" si="25">IF(ISBLANK(J379)," ",IF(J379&lt;$F$373,"On time",(IF(DAY(J379-$F$373)&lt;1,"On time",(IF(J379&gt;$F$373,"DELAY ( "&amp;DAY(J379-$F$373)&amp;" day "&amp;HOUR(J379-$F$373)&amp;" hour "&amp;MINUTE(J379-$F$373)&amp;" minute )","xxx"))))))</f>
        <v>On time</v>
      </c>
      <c r="O379" s="51"/>
      <c r="P379" s="415" t="s">
        <v>551</v>
      </c>
      <c r="Q379" s="415" t="s">
        <v>551</v>
      </c>
      <c r="R379" s="415" t="s">
        <v>551</v>
      </c>
      <c r="S379" s="32"/>
      <c r="T379" s="416"/>
      <c r="U379" s="416"/>
      <c r="V379" s="416"/>
      <c r="W379" s="416"/>
      <c r="X379" s="416"/>
      <c r="Y379" s="416"/>
      <c r="Z379" s="416"/>
      <c r="AA379" s="416"/>
      <c r="AB379" s="416"/>
      <c r="AC379" s="416"/>
      <c r="AD379" s="416"/>
      <c r="AE379" s="416"/>
      <c r="AF379" s="416"/>
      <c r="AG379" s="416"/>
      <c r="AH379" s="416"/>
      <c r="AI379" s="416"/>
      <c r="AJ379" s="416"/>
      <c r="AK379" s="416"/>
      <c r="AL379" s="416"/>
      <c r="AM379" s="416"/>
      <c r="AN379" s="416"/>
      <c r="AO379" s="416"/>
      <c r="AP379" s="416"/>
      <c r="AQ379" s="416"/>
      <c r="AR379" s="416"/>
      <c r="AS379" s="416"/>
      <c r="AT379" s="416"/>
      <c r="AU379" s="416">
        <f>H379</f>
        <v>7755.7910000000002</v>
      </c>
      <c r="AV379" s="416"/>
      <c r="AW379" s="416"/>
      <c r="AX379" s="416"/>
      <c r="AY379" s="416"/>
      <c r="AZ379" s="416"/>
      <c r="BA379" s="416"/>
      <c r="BB379" s="416"/>
      <c r="BC379" s="416"/>
      <c r="BD379" s="32"/>
    </row>
    <row r="380" spans="2:56">
      <c r="B380" s="1256">
        <v>2</v>
      </c>
      <c r="C380" s="1257"/>
      <c r="D380" s="411" t="s">
        <v>1247</v>
      </c>
      <c r="E380" s="411"/>
      <c r="F380" s="411" t="s">
        <v>271</v>
      </c>
      <c r="G380" s="411" t="s">
        <v>272</v>
      </c>
      <c r="H380" s="412">
        <v>9232.4650000000001</v>
      </c>
      <c r="I380" s="413" t="s">
        <v>235</v>
      </c>
      <c r="J380" s="414">
        <v>45034.444444444445</v>
      </c>
      <c r="K380" s="414"/>
      <c r="L380" s="414" t="s">
        <v>192</v>
      </c>
      <c r="M380" s="414" t="s">
        <v>192</v>
      </c>
      <c r="N380" s="413" t="str">
        <f t="shared" si="25"/>
        <v>DELAY ( 3 day 22 hour 4 minute )</v>
      </c>
      <c r="O380" s="51"/>
      <c r="P380" s="415" t="s">
        <v>551</v>
      </c>
      <c r="Q380" s="415" t="s">
        <v>551</v>
      </c>
      <c r="R380" s="415" t="s">
        <v>551</v>
      </c>
      <c r="S380" s="32"/>
      <c r="T380" s="416"/>
      <c r="U380" s="416"/>
      <c r="V380" s="416"/>
      <c r="W380" s="416"/>
      <c r="X380" s="416"/>
      <c r="Y380" s="416"/>
      <c r="Z380" s="416"/>
      <c r="AA380" s="416"/>
      <c r="AB380" s="416">
        <f>H380</f>
        <v>9232.4650000000001</v>
      </c>
      <c r="AC380" s="416"/>
      <c r="AD380" s="416"/>
      <c r="AE380" s="416"/>
      <c r="AF380" s="416"/>
      <c r="AG380" s="416"/>
      <c r="AH380" s="416"/>
      <c r="AI380" s="416"/>
      <c r="AJ380" s="416"/>
      <c r="AK380" s="416"/>
      <c r="AL380" s="416"/>
      <c r="AM380" s="416"/>
      <c r="AN380" s="416"/>
      <c r="AO380" s="416"/>
      <c r="AP380" s="416"/>
      <c r="AQ380" s="416"/>
      <c r="AR380" s="416"/>
      <c r="AS380" s="416"/>
      <c r="AT380" s="416"/>
      <c r="AU380" s="416"/>
      <c r="AV380" s="416"/>
      <c r="AW380" s="416"/>
      <c r="AX380" s="416"/>
      <c r="AY380" s="416"/>
      <c r="AZ380" s="416"/>
      <c r="BA380" s="416"/>
      <c r="BB380" s="416"/>
      <c r="BC380" s="416"/>
      <c r="BD380" s="32"/>
    </row>
    <row r="381" spans="2:56">
      <c r="B381" s="1256">
        <v>3</v>
      </c>
      <c r="C381" s="1257"/>
      <c r="D381" s="411" t="s">
        <v>1254</v>
      </c>
      <c r="E381" s="411"/>
      <c r="F381" s="411" t="s">
        <v>1255</v>
      </c>
      <c r="G381" s="411" t="s">
        <v>268</v>
      </c>
      <c r="H381" s="412">
        <v>7550.7430000000004</v>
      </c>
      <c r="I381" s="413" t="s">
        <v>240</v>
      </c>
      <c r="J381" s="414">
        <v>45034.552083333336</v>
      </c>
      <c r="K381" s="414"/>
      <c r="L381" s="414" t="s">
        <v>192</v>
      </c>
      <c r="M381" s="414" t="s">
        <v>192</v>
      </c>
      <c r="N381" s="413" t="str">
        <f t="shared" si="25"/>
        <v>DELAY ( 4 day 0 hour 39 minute )</v>
      </c>
      <c r="O381" s="51"/>
      <c r="P381" s="415" t="s">
        <v>551</v>
      </c>
      <c r="Q381" s="415" t="s">
        <v>551</v>
      </c>
      <c r="R381" s="415" t="s">
        <v>551</v>
      </c>
      <c r="S381" s="32"/>
      <c r="T381" s="416"/>
      <c r="U381" s="416"/>
      <c r="V381" s="416"/>
      <c r="W381" s="416"/>
      <c r="X381" s="416"/>
      <c r="Y381" s="416"/>
      <c r="Z381" s="416"/>
      <c r="AA381" s="416"/>
      <c r="AB381" s="416"/>
      <c r="AC381" s="416">
        <f>H381</f>
        <v>7550.7430000000004</v>
      </c>
      <c r="AD381" s="416"/>
      <c r="AE381" s="416"/>
      <c r="AF381" s="416"/>
      <c r="AG381" s="416"/>
      <c r="AH381" s="416"/>
      <c r="AI381" s="416"/>
      <c r="AJ381" s="416"/>
      <c r="AK381" s="416"/>
      <c r="AL381" s="416"/>
      <c r="AM381" s="416"/>
      <c r="AN381" s="416"/>
      <c r="AO381" s="416"/>
      <c r="AP381" s="416"/>
      <c r="AQ381" s="416"/>
      <c r="AR381" s="416"/>
      <c r="AS381" s="416"/>
      <c r="AT381" s="416"/>
      <c r="AU381" s="416"/>
      <c r="AV381" s="416"/>
      <c r="AW381" s="416"/>
      <c r="AX381" s="416"/>
      <c r="AY381" s="416"/>
      <c r="AZ381" s="416"/>
      <c r="BA381" s="416"/>
      <c r="BB381" s="416"/>
      <c r="BC381" s="416"/>
      <c r="BD381" s="32"/>
    </row>
    <row r="382" spans="2:56">
      <c r="B382" s="1256">
        <v>4</v>
      </c>
      <c r="C382" s="1257"/>
      <c r="D382" s="411" t="s">
        <v>1257</v>
      </c>
      <c r="E382" s="411"/>
      <c r="F382" s="411" t="s">
        <v>399</v>
      </c>
      <c r="G382" s="411" t="s">
        <v>1093</v>
      </c>
      <c r="H382" s="412">
        <v>7434.527</v>
      </c>
      <c r="I382" s="413" t="s">
        <v>240</v>
      </c>
      <c r="J382" s="414">
        <v>45036.993055555555</v>
      </c>
      <c r="K382" s="414"/>
      <c r="L382" s="414" t="s">
        <v>192</v>
      </c>
      <c r="M382" s="414" t="s">
        <v>192</v>
      </c>
      <c r="N382" s="413" t="str">
        <f t="shared" si="25"/>
        <v>DELAY ( 6 day 11 hour 14 minute )</v>
      </c>
      <c r="O382" s="51"/>
      <c r="P382" s="415" t="s">
        <v>551</v>
      </c>
      <c r="Q382" s="415" t="s">
        <v>551</v>
      </c>
      <c r="R382" s="415" t="s">
        <v>551</v>
      </c>
      <c r="S382" s="32"/>
      <c r="T382" s="416"/>
      <c r="U382" s="416"/>
      <c r="V382" s="416"/>
      <c r="W382" s="416"/>
      <c r="X382" s="416"/>
      <c r="Y382" s="416"/>
      <c r="Z382" s="416"/>
      <c r="AA382" s="416"/>
      <c r="AB382" s="416"/>
      <c r="AC382" s="416">
        <f>H382</f>
        <v>7434.527</v>
      </c>
      <c r="AD382" s="416"/>
      <c r="AE382" s="416"/>
      <c r="AF382" s="416"/>
      <c r="AG382" s="416"/>
      <c r="AH382" s="416"/>
      <c r="AI382" s="416"/>
      <c r="AJ382" s="416"/>
      <c r="AK382" s="416"/>
      <c r="AL382" s="416"/>
      <c r="AM382" s="416"/>
      <c r="AN382" s="416"/>
      <c r="AO382" s="416"/>
      <c r="AP382" s="416"/>
      <c r="AQ382" s="416"/>
      <c r="AR382" s="416"/>
      <c r="AS382" s="416"/>
      <c r="AT382" s="416"/>
      <c r="AU382" s="416"/>
      <c r="AV382" s="416"/>
      <c r="AW382" s="416"/>
      <c r="AX382" s="416"/>
      <c r="AY382" s="416"/>
      <c r="AZ382" s="416"/>
      <c r="BA382" s="416"/>
      <c r="BB382" s="416"/>
      <c r="BC382" s="416"/>
      <c r="BD382" s="32"/>
    </row>
    <row r="383" spans="2:56">
      <c r="B383" s="1256">
        <v>5</v>
      </c>
      <c r="C383" s="1257"/>
      <c r="D383" s="411" t="s">
        <v>1253</v>
      </c>
      <c r="E383" s="411"/>
      <c r="F383" s="411" t="s">
        <v>260</v>
      </c>
      <c r="G383" s="411" t="s">
        <v>261</v>
      </c>
      <c r="H383" s="412">
        <v>7544.3620000000001</v>
      </c>
      <c r="I383" s="413" t="s">
        <v>240</v>
      </c>
      <c r="J383" s="414">
        <v>45035.53125</v>
      </c>
      <c r="K383" s="414"/>
      <c r="L383" s="414" t="s">
        <v>192</v>
      </c>
      <c r="M383" s="414" t="s">
        <v>192</v>
      </c>
      <c r="N383" s="413" t="str">
        <f t="shared" si="25"/>
        <v>DELAY ( 5 day 0 hour 9 minute )</v>
      </c>
      <c r="O383" s="51"/>
      <c r="P383" s="415" t="s">
        <v>551</v>
      </c>
      <c r="Q383" s="415" t="s">
        <v>551</v>
      </c>
      <c r="R383" s="415" t="s">
        <v>551</v>
      </c>
      <c r="S383" s="32"/>
      <c r="T383" s="416"/>
      <c r="U383" s="416"/>
      <c r="V383" s="416"/>
      <c r="W383" s="416"/>
      <c r="X383" s="416"/>
      <c r="Y383" s="416"/>
      <c r="Z383" s="416"/>
      <c r="AA383" s="416"/>
      <c r="AB383" s="32"/>
      <c r="AC383" s="416">
        <f>H383</f>
        <v>7544.3620000000001</v>
      </c>
      <c r="AD383" s="416"/>
      <c r="AE383" s="416"/>
      <c r="AF383" s="416"/>
      <c r="AG383" s="416"/>
      <c r="AH383" s="416"/>
      <c r="AI383" s="416"/>
      <c r="AJ383" s="416"/>
      <c r="AK383" s="416"/>
      <c r="AL383" s="416"/>
      <c r="AM383" s="416"/>
      <c r="AN383" s="416"/>
      <c r="AO383" s="416"/>
      <c r="AP383" s="416"/>
      <c r="AQ383" s="416"/>
      <c r="AR383" s="416"/>
      <c r="AS383" s="416"/>
      <c r="AT383" s="416"/>
      <c r="AU383" s="416"/>
      <c r="AV383" s="416"/>
      <c r="AW383" s="416"/>
      <c r="AX383" s="416"/>
      <c r="AY383" s="416"/>
      <c r="AZ383" s="416"/>
      <c r="BA383" s="416"/>
      <c r="BB383" s="416"/>
      <c r="BC383" s="416"/>
      <c r="BD383" s="32"/>
    </row>
    <row r="384" spans="2:56">
      <c r="B384" s="1256">
        <v>6</v>
      </c>
      <c r="C384" s="1257"/>
      <c r="D384" s="411" t="s">
        <v>1299</v>
      </c>
      <c r="E384" s="411"/>
      <c r="F384" s="411" t="s">
        <v>763</v>
      </c>
      <c r="G384" s="411" t="s">
        <v>1434</v>
      </c>
      <c r="H384" s="412">
        <v>7741.6030000000001</v>
      </c>
      <c r="I384" s="413" t="s">
        <v>913</v>
      </c>
      <c r="J384" s="414">
        <v>45039.875</v>
      </c>
      <c r="K384" s="414"/>
      <c r="L384" s="414" t="s">
        <v>192</v>
      </c>
      <c r="M384" s="414" t="s">
        <v>192</v>
      </c>
      <c r="N384" s="413" t="str">
        <f t="shared" si="25"/>
        <v>DELAY ( 9 day 8 hour 24 minute )</v>
      </c>
      <c r="O384" s="51"/>
      <c r="P384" s="415" t="s">
        <v>551</v>
      </c>
      <c r="Q384" s="415" t="s">
        <v>551</v>
      </c>
      <c r="R384" s="415" t="s">
        <v>551</v>
      </c>
      <c r="S384" s="32"/>
      <c r="T384" s="416"/>
      <c r="U384" s="416"/>
      <c r="V384" s="416"/>
      <c r="W384" s="416"/>
      <c r="X384" s="416"/>
      <c r="Y384" s="416"/>
      <c r="Z384" s="416"/>
      <c r="AA384" s="416"/>
      <c r="AB384" s="32"/>
      <c r="AC384" s="416"/>
      <c r="AD384" s="416"/>
      <c r="AE384" s="416"/>
      <c r="AF384" s="416"/>
      <c r="AG384" s="416"/>
      <c r="AH384" s="416"/>
      <c r="AI384" s="416"/>
      <c r="AJ384" s="416"/>
      <c r="AK384" s="416"/>
      <c r="AL384" s="416"/>
      <c r="AM384" s="416"/>
      <c r="AN384" s="416"/>
      <c r="AO384" s="416"/>
      <c r="AP384" s="32"/>
      <c r="AQ384" s="416"/>
      <c r="AR384" s="416"/>
      <c r="AS384" s="416"/>
      <c r="AT384" s="416"/>
      <c r="AU384" s="416"/>
      <c r="AV384" s="416"/>
      <c r="AW384" s="416"/>
      <c r="AX384" s="416"/>
      <c r="AY384" s="416"/>
      <c r="AZ384" s="416"/>
      <c r="BA384" s="416"/>
      <c r="BB384" s="416"/>
      <c r="BC384" s="416">
        <f>H384</f>
        <v>7741.6030000000001</v>
      </c>
      <c r="BD384" s="32"/>
    </row>
    <row r="385" spans="2:56">
      <c r="B385" s="1256">
        <v>7</v>
      </c>
      <c r="C385" s="1257"/>
      <c r="D385" s="411" t="s">
        <v>1259</v>
      </c>
      <c r="E385" s="411"/>
      <c r="F385" s="411" t="s">
        <v>377</v>
      </c>
      <c r="G385" s="411" t="s">
        <v>378</v>
      </c>
      <c r="H385" s="412">
        <v>7706.4040000000005</v>
      </c>
      <c r="I385" s="413" t="s">
        <v>240</v>
      </c>
      <c r="J385" s="414">
        <v>45036.263888888891</v>
      </c>
      <c r="K385" s="414"/>
      <c r="L385" s="414" t="s">
        <v>192</v>
      </c>
      <c r="M385" s="414" t="s">
        <v>192</v>
      </c>
      <c r="N385" s="413" t="str">
        <f t="shared" si="25"/>
        <v>DELAY ( 5 day 17 hour 44 minute )</v>
      </c>
      <c r="O385" s="51"/>
      <c r="P385" s="415" t="s">
        <v>551</v>
      </c>
      <c r="Q385" s="415" t="s">
        <v>551</v>
      </c>
      <c r="R385" s="415" t="s">
        <v>551</v>
      </c>
      <c r="S385" s="32"/>
      <c r="T385" s="416"/>
      <c r="U385" s="416"/>
      <c r="V385" s="416"/>
      <c r="W385" s="416"/>
      <c r="X385" s="416"/>
      <c r="Y385" s="416"/>
      <c r="Z385" s="416"/>
      <c r="AA385" s="416"/>
      <c r="AB385" s="416"/>
      <c r="AC385" s="416">
        <f>H385</f>
        <v>7706.4040000000005</v>
      </c>
      <c r="AD385" s="416"/>
      <c r="AE385" s="416"/>
      <c r="AF385" s="416"/>
      <c r="AG385" s="416"/>
      <c r="AH385" s="416"/>
      <c r="AI385" s="416"/>
      <c r="AJ385" s="416"/>
      <c r="AK385" s="416"/>
      <c r="AL385" s="416"/>
      <c r="AM385" s="416"/>
      <c r="AN385" s="416"/>
      <c r="AO385" s="416"/>
      <c r="AP385" s="416"/>
      <c r="AQ385" s="416"/>
      <c r="AR385" s="416"/>
      <c r="AS385" s="416"/>
      <c r="AT385" s="416"/>
      <c r="AU385" s="416"/>
      <c r="AV385" s="416"/>
      <c r="AW385" s="416"/>
      <c r="AX385" s="416"/>
      <c r="AY385" s="416"/>
      <c r="AZ385" s="416"/>
      <c r="BA385" s="416"/>
      <c r="BB385" s="416"/>
      <c r="BC385" s="416"/>
      <c r="BD385" s="32"/>
    </row>
    <row r="386" spans="2:56">
      <c r="B386" s="1256">
        <v>8</v>
      </c>
      <c r="C386" s="1257"/>
      <c r="D386" s="411" t="s">
        <v>1258</v>
      </c>
      <c r="E386" s="411"/>
      <c r="F386" s="411" t="s">
        <v>352</v>
      </c>
      <c r="G386" s="411" t="s">
        <v>353</v>
      </c>
      <c r="H386" s="412">
        <v>9107.5650000000005</v>
      </c>
      <c r="I386" s="413" t="s">
        <v>235</v>
      </c>
      <c r="J386" s="414">
        <v>45036.3125</v>
      </c>
      <c r="K386" s="414"/>
      <c r="L386" s="414" t="s">
        <v>192</v>
      </c>
      <c r="M386" s="414" t="s">
        <v>192</v>
      </c>
      <c r="N386" s="413" t="str">
        <f t="shared" si="25"/>
        <v>DELAY ( 5 day 18 hour 54 minute )</v>
      </c>
      <c r="O386" s="51"/>
      <c r="P386" s="415" t="s">
        <v>551</v>
      </c>
      <c r="Q386" s="415" t="s">
        <v>551</v>
      </c>
      <c r="R386" s="415" t="s">
        <v>551</v>
      </c>
      <c r="S386" s="32"/>
      <c r="T386" s="416"/>
      <c r="U386" s="416"/>
      <c r="V386" s="416"/>
      <c r="W386" s="416"/>
      <c r="X386" s="416"/>
      <c r="Y386" s="416"/>
      <c r="Z386" s="416"/>
      <c r="AA386" s="416"/>
      <c r="AB386" s="416">
        <f>H386</f>
        <v>9107.5650000000005</v>
      </c>
      <c r="AC386" s="32"/>
      <c r="AD386" s="416"/>
      <c r="AE386" s="416"/>
      <c r="AF386" s="416"/>
      <c r="AG386" s="416"/>
      <c r="AH386" s="416"/>
      <c r="AI386" s="416"/>
      <c r="AJ386" s="416"/>
      <c r="AK386" s="416"/>
      <c r="AL386" s="416"/>
      <c r="AM386" s="416"/>
      <c r="AN386" s="416"/>
      <c r="AO386" s="416"/>
      <c r="AP386" s="416"/>
      <c r="AQ386" s="416"/>
      <c r="AR386" s="416"/>
      <c r="AS386" s="416"/>
      <c r="AT386" s="416"/>
      <c r="AU386" s="416"/>
      <c r="AV386" s="416"/>
      <c r="AW386" s="416"/>
      <c r="AX386" s="416"/>
      <c r="AY386" s="416"/>
      <c r="AZ386" s="416"/>
      <c r="BA386" s="416"/>
      <c r="BB386" s="416"/>
      <c r="BC386" s="416"/>
      <c r="BD386" s="32"/>
    </row>
    <row r="387" spans="2:56">
      <c r="B387" s="1256" t="s">
        <v>610</v>
      </c>
      <c r="C387" s="1276"/>
      <c r="D387" s="1276"/>
      <c r="E387" s="1276"/>
      <c r="F387" s="1276"/>
      <c r="G387" s="1257"/>
      <c r="H387" s="412">
        <f>H389-SUM(H379:H386)</f>
        <v>8823.5399999999863</v>
      </c>
      <c r="I387" s="413" t="s">
        <v>1164</v>
      </c>
      <c r="J387" s="414"/>
      <c r="K387" s="414"/>
      <c r="L387" s="414"/>
      <c r="M387" s="414"/>
      <c r="N387" s="413" t="str">
        <f t="shared" si="25"/>
        <v xml:space="preserve"> </v>
      </c>
      <c r="O387" s="51"/>
      <c r="P387" s="415" t="s">
        <v>551</v>
      </c>
      <c r="Q387" s="415"/>
      <c r="R387" s="415"/>
      <c r="S387" s="32"/>
      <c r="T387" s="416"/>
      <c r="U387" s="416"/>
      <c r="V387" s="416"/>
      <c r="W387" s="416"/>
      <c r="X387" s="416">
        <f>H387</f>
        <v>8823.5399999999863</v>
      </c>
      <c r="Y387" s="416"/>
      <c r="Z387" s="416"/>
      <c r="AA387" s="416"/>
      <c r="AB387" s="416"/>
      <c r="AC387" s="416"/>
      <c r="AD387" s="416"/>
      <c r="AE387" s="416"/>
      <c r="AF387" s="416"/>
      <c r="AG387" s="416"/>
      <c r="AH387" s="416"/>
      <c r="AI387" s="416"/>
      <c r="AJ387" s="416"/>
      <c r="AK387" s="416"/>
      <c r="AL387" s="416"/>
      <c r="AM387" s="416"/>
      <c r="AN387" s="416"/>
      <c r="AO387" s="416"/>
      <c r="AP387" s="416"/>
      <c r="AQ387" s="416"/>
      <c r="AR387" s="416"/>
      <c r="AS387" s="416"/>
      <c r="AT387" s="416"/>
      <c r="AU387" s="416"/>
      <c r="AV387" s="416"/>
      <c r="AW387" s="416"/>
      <c r="AX387" s="416"/>
      <c r="AY387" s="416"/>
      <c r="AZ387" s="416"/>
      <c r="BA387" s="416"/>
      <c r="BB387" s="416"/>
      <c r="BC387" s="416"/>
      <c r="BD387" s="32"/>
    </row>
    <row r="388" spans="2:56">
      <c r="B388" s="1258" t="s">
        <v>556</v>
      </c>
      <c r="C388" s="1259"/>
      <c r="D388" s="1259"/>
      <c r="E388" s="1259"/>
      <c r="F388" s="1259"/>
      <c r="G388" s="1260"/>
      <c r="H388" s="417">
        <f>SUM(H379:H387)</f>
        <v>72897</v>
      </c>
      <c r="I388" s="388"/>
      <c r="J388" s="293"/>
      <c r="K388" s="293"/>
      <c r="L388" s="293"/>
      <c r="M388" s="389"/>
      <c r="N388" s="413" t="str">
        <f t="shared" si="25"/>
        <v xml:space="preserve"> </v>
      </c>
      <c r="O388" s="47"/>
      <c r="P388" s="418"/>
      <c r="Q388" s="418"/>
      <c r="R388" s="418"/>
      <c r="S388" s="32"/>
      <c r="T388" s="1262"/>
      <c r="U388" s="1263"/>
      <c r="V388" s="1263"/>
      <c r="W388" s="1263"/>
      <c r="X388" s="1263"/>
      <c r="Y388" s="1263"/>
      <c r="Z388" s="1263"/>
      <c r="AA388" s="1263"/>
      <c r="AB388" s="1263"/>
      <c r="AC388" s="1263"/>
      <c r="AD388" s="1263"/>
      <c r="AE388" s="1263"/>
      <c r="AF388" s="1263"/>
      <c r="AG388" s="1263"/>
      <c r="AH388" s="1263"/>
      <c r="AI388" s="1263"/>
      <c r="AJ388" s="1263"/>
      <c r="AK388" s="1263"/>
      <c r="AL388" s="1263"/>
      <c r="AM388" s="1263"/>
      <c r="AN388" s="1263"/>
      <c r="AO388" s="1263"/>
      <c r="AP388" s="1263"/>
      <c r="AQ388" s="1263"/>
      <c r="AR388" s="1263"/>
      <c r="AS388" s="1263"/>
      <c r="AT388" s="1263"/>
      <c r="AU388" s="1263"/>
      <c r="AV388" s="1263"/>
      <c r="AW388" s="1263"/>
      <c r="AX388" s="1263"/>
      <c r="AY388" s="1263"/>
      <c r="AZ388" s="1263"/>
      <c r="BA388" s="1263"/>
      <c r="BB388" s="1263"/>
      <c r="BC388" s="1264"/>
    </row>
    <row r="389" spans="2:56">
      <c r="B389" s="1243" t="s">
        <v>557</v>
      </c>
      <c r="C389" s="1244"/>
      <c r="D389" s="1244"/>
      <c r="E389" s="1244"/>
      <c r="F389" s="1244"/>
      <c r="G389" s="1245"/>
      <c r="H389" s="419">
        <v>72897</v>
      </c>
      <c r="I389" s="1246"/>
      <c r="J389" s="1247"/>
      <c r="K389" s="1247"/>
      <c r="L389" s="1247"/>
      <c r="M389" s="1248"/>
      <c r="N389" s="413" t="str">
        <f t="shared" si="25"/>
        <v xml:space="preserve"> </v>
      </c>
      <c r="O389" s="32"/>
      <c r="P389" s="415"/>
      <c r="Q389" s="415"/>
      <c r="R389" s="415"/>
      <c r="S389" s="63"/>
      <c r="T389" s="416">
        <f t="shared" ref="T389:BC389" si="26">SUM(T379:T387)</f>
        <v>0</v>
      </c>
      <c r="U389" s="416">
        <f t="shared" si="26"/>
        <v>0</v>
      </c>
      <c r="V389" s="416">
        <f t="shared" si="26"/>
        <v>0</v>
      </c>
      <c r="W389" s="416">
        <f t="shared" si="26"/>
        <v>0</v>
      </c>
      <c r="X389" s="416">
        <f t="shared" si="26"/>
        <v>8823.5399999999863</v>
      </c>
      <c r="Y389" s="416">
        <f t="shared" si="26"/>
        <v>0</v>
      </c>
      <c r="Z389" s="416">
        <f t="shared" si="26"/>
        <v>0</v>
      </c>
      <c r="AA389" s="416">
        <f t="shared" si="26"/>
        <v>0</v>
      </c>
      <c r="AB389" s="416">
        <f t="shared" si="26"/>
        <v>18340.03</v>
      </c>
      <c r="AC389" s="416">
        <f t="shared" si="26"/>
        <v>30236.036</v>
      </c>
      <c r="AD389" s="416">
        <f t="shared" si="26"/>
        <v>0</v>
      </c>
      <c r="AE389" s="416">
        <f t="shared" si="26"/>
        <v>0</v>
      </c>
      <c r="AF389" s="416">
        <f t="shared" si="26"/>
        <v>0</v>
      </c>
      <c r="AG389" s="416">
        <f t="shared" si="26"/>
        <v>0</v>
      </c>
      <c r="AH389" s="416">
        <f t="shared" si="26"/>
        <v>0</v>
      </c>
      <c r="AI389" s="416">
        <f t="shared" si="26"/>
        <v>0</v>
      </c>
      <c r="AJ389" s="416">
        <f t="shared" si="26"/>
        <v>0</v>
      </c>
      <c r="AK389" s="416">
        <f t="shared" si="26"/>
        <v>0</v>
      </c>
      <c r="AL389" s="416">
        <f t="shared" si="26"/>
        <v>0</v>
      </c>
      <c r="AM389" s="416">
        <f t="shared" si="26"/>
        <v>0</v>
      </c>
      <c r="AN389" s="416">
        <f t="shared" si="26"/>
        <v>0</v>
      </c>
      <c r="AO389" s="416">
        <f t="shared" si="26"/>
        <v>0</v>
      </c>
      <c r="AP389" s="416">
        <f t="shared" si="26"/>
        <v>0</v>
      </c>
      <c r="AQ389" s="416">
        <f t="shared" si="26"/>
        <v>0</v>
      </c>
      <c r="AR389" s="416">
        <f t="shared" si="26"/>
        <v>0</v>
      </c>
      <c r="AS389" s="416">
        <f t="shared" si="26"/>
        <v>0</v>
      </c>
      <c r="AT389" s="416">
        <f t="shared" si="26"/>
        <v>0</v>
      </c>
      <c r="AU389" s="416">
        <f t="shared" si="26"/>
        <v>7755.7910000000002</v>
      </c>
      <c r="AV389" s="416">
        <f t="shared" si="26"/>
        <v>0</v>
      </c>
      <c r="AW389" s="416">
        <f t="shared" si="26"/>
        <v>0</v>
      </c>
      <c r="AX389" s="416">
        <f t="shared" si="26"/>
        <v>0</v>
      </c>
      <c r="AY389" s="416">
        <f t="shared" si="26"/>
        <v>0</v>
      </c>
      <c r="AZ389" s="416">
        <f t="shared" si="26"/>
        <v>0</v>
      </c>
      <c r="BA389" s="416">
        <f t="shared" si="26"/>
        <v>0</v>
      </c>
      <c r="BB389" s="416">
        <f t="shared" si="26"/>
        <v>0</v>
      </c>
      <c r="BC389" s="416">
        <f t="shared" si="26"/>
        <v>7741.6030000000001</v>
      </c>
      <c r="BD389" s="416">
        <f>SUM(T389:BC389)</f>
        <v>72896.999999999985</v>
      </c>
    </row>
    <row r="390" spans="2:56">
      <c r="B390" s="1243" t="s">
        <v>558</v>
      </c>
      <c r="C390" s="1244"/>
      <c r="D390" s="1244"/>
      <c r="E390" s="1244"/>
      <c r="F390" s="1244"/>
      <c r="G390" s="1245"/>
      <c r="H390" s="420">
        <f>H389-L373</f>
        <v>0</v>
      </c>
      <c r="I390" s="294"/>
      <c r="J390" s="295"/>
      <c r="K390" s="295"/>
      <c r="L390" s="296"/>
      <c r="M390" s="32"/>
      <c r="N390" s="32"/>
      <c r="O390" s="32"/>
      <c r="P390" s="32"/>
      <c r="Q390" s="297"/>
      <c r="R390" s="297"/>
      <c r="S390" s="32"/>
      <c r="T390" s="48"/>
      <c r="U390" s="48"/>
      <c r="V390" s="48"/>
      <c r="W390" s="48"/>
      <c r="X390" s="48"/>
      <c r="Y390" s="48"/>
      <c r="Z390" s="48"/>
      <c r="AA390" s="48"/>
      <c r="AB390" s="48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</row>
    <row r="391" spans="2:56">
      <c r="B391" s="1243" t="s">
        <v>559</v>
      </c>
      <c r="C391" s="1244"/>
      <c r="D391" s="1244"/>
      <c r="E391" s="1244"/>
      <c r="F391" s="1244"/>
      <c r="G391" s="1245"/>
      <c r="H391" s="420">
        <f>H388-H389</f>
        <v>0</v>
      </c>
      <c r="I391" s="52"/>
      <c r="J391" s="53"/>
      <c r="K391" s="53"/>
      <c r="L391" s="54"/>
      <c r="M391" s="32"/>
      <c r="N391" s="32"/>
      <c r="O391" s="32"/>
      <c r="P391" s="32"/>
      <c r="Q391" s="32"/>
      <c r="R391" s="32"/>
      <c r="S391" s="32"/>
      <c r="T391" s="48"/>
      <c r="U391" s="48"/>
      <c r="V391" s="48"/>
      <c r="W391" s="48"/>
      <c r="X391" s="48"/>
      <c r="Y391" s="48"/>
      <c r="Z391" s="48"/>
      <c r="AA391" s="48"/>
      <c r="AB391" s="48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</row>
    <row r="392" spans="2:56">
      <c r="B392" s="32"/>
      <c r="C392" s="32"/>
      <c r="D392" s="32"/>
      <c r="E392" s="32"/>
      <c r="F392" s="32"/>
      <c r="G392" s="32"/>
      <c r="H392" s="32"/>
      <c r="I392" s="57"/>
      <c r="J392" s="52"/>
      <c r="K392" s="52"/>
      <c r="L392" s="55"/>
      <c r="M392" s="32"/>
      <c r="N392" s="32"/>
      <c r="O392" s="52"/>
      <c r="P392" s="32"/>
      <c r="Q392" s="32"/>
      <c r="R392" s="32"/>
      <c r="S392" s="32"/>
      <c r="T392" s="48"/>
      <c r="U392" s="48"/>
      <c r="V392" s="48"/>
      <c r="W392" s="48"/>
      <c r="X392" s="48"/>
      <c r="Y392" s="48"/>
      <c r="Z392" s="48"/>
      <c r="AA392" s="48"/>
      <c r="AB392" s="48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</row>
    <row r="393" spans="2:56">
      <c r="B393" s="40" t="s">
        <v>561</v>
      </c>
      <c r="C393" s="40"/>
      <c r="D393" s="32"/>
      <c r="E393" s="32"/>
      <c r="F393" s="32"/>
      <c r="G393" s="32"/>
      <c r="H393" s="32"/>
      <c r="I393" s="32"/>
      <c r="J393" s="52"/>
      <c r="K393" s="52"/>
      <c r="L393" s="55"/>
      <c r="M393" s="32"/>
      <c r="N393" s="32"/>
      <c r="O393" s="52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BD393" s="32"/>
    </row>
    <row r="394" spans="2:56">
      <c r="B394" s="422">
        <v>1</v>
      </c>
      <c r="C394" s="1249" t="s">
        <v>1435</v>
      </c>
      <c r="D394" s="1249"/>
      <c r="E394" s="1249"/>
      <c r="F394" s="1249"/>
      <c r="G394" s="1249"/>
      <c r="H394" s="1249"/>
      <c r="I394" s="1249"/>
      <c r="J394" s="1249"/>
      <c r="K394" s="1249"/>
      <c r="L394" s="55"/>
      <c r="M394" s="32"/>
      <c r="N394" s="32"/>
      <c r="O394" s="52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BD394" s="32"/>
    </row>
  </sheetData>
  <mergeCells count="338">
    <mergeCell ref="B317:C317"/>
    <mergeCell ref="B318:C318"/>
    <mergeCell ref="B319:G319"/>
    <mergeCell ref="T319:AY319"/>
    <mergeCell ref="B320:G320"/>
    <mergeCell ref="I320:M320"/>
    <mergeCell ref="B321:G321"/>
    <mergeCell ref="B322:G322"/>
    <mergeCell ref="C326:K326"/>
    <mergeCell ref="B323:G323"/>
    <mergeCell ref="T310:X310"/>
    <mergeCell ref="Y310:AA310"/>
    <mergeCell ref="AB310:AC310"/>
    <mergeCell ref="AF310:AY310"/>
    <mergeCell ref="B311:C311"/>
    <mergeCell ref="B312:C313"/>
    <mergeCell ref="B314:C314"/>
    <mergeCell ref="B315:C315"/>
    <mergeCell ref="B316:C316"/>
    <mergeCell ref="B299:G299"/>
    <mergeCell ref="I299:M299"/>
    <mergeCell ref="C302:K302"/>
    <mergeCell ref="T293:X293"/>
    <mergeCell ref="Y293:AA293"/>
    <mergeCell ref="AB293:AC293"/>
    <mergeCell ref="AF293:AY293"/>
    <mergeCell ref="B294:C294"/>
    <mergeCell ref="B295:C295"/>
    <mergeCell ref="B296:C296"/>
    <mergeCell ref="B297:C297"/>
    <mergeCell ref="B298:G298"/>
    <mergeCell ref="T298:AY298"/>
    <mergeCell ref="T249:AY249"/>
    <mergeCell ref="B250:G250"/>
    <mergeCell ref="T250:AY250"/>
    <mergeCell ref="B235:C236"/>
    <mergeCell ref="F236:G236"/>
    <mergeCell ref="B237:C238"/>
    <mergeCell ref="F238:G238"/>
    <mergeCell ref="B239:C239"/>
    <mergeCell ref="B240:C240"/>
    <mergeCell ref="B241:G241"/>
    <mergeCell ref="B242:C243"/>
    <mergeCell ref="F243:G243"/>
    <mergeCell ref="B244:C246"/>
    <mergeCell ref="F245:G245"/>
    <mergeCell ref="F246:G246"/>
    <mergeCell ref="B247:C248"/>
    <mergeCell ref="F248:G248"/>
    <mergeCell ref="B249:G249"/>
    <mergeCell ref="AB226:AC226"/>
    <mergeCell ref="AF226:AY226"/>
    <mergeCell ref="B227:C227"/>
    <mergeCell ref="B228:C228"/>
    <mergeCell ref="B229:C229"/>
    <mergeCell ref="B230:G230"/>
    <mergeCell ref="B231:C232"/>
    <mergeCell ref="F232:G232"/>
    <mergeCell ref="B233:C234"/>
    <mergeCell ref="F234:G234"/>
    <mergeCell ref="B279:G279"/>
    <mergeCell ref="I279:M279"/>
    <mergeCell ref="B280:G280"/>
    <mergeCell ref="B281:G281"/>
    <mergeCell ref="C285:K285"/>
    <mergeCell ref="J274:J275"/>
    <mergeCell ref="B282:G282"/>
    <mergeCell ref="T226:X226"/>
    <mergeCell ref="Y226:AA226"/>
    <mergeCell ref="B272:C272"/>
    <mergeCell ref="B273:C274"/>
    <mergeCell ref="P274:P275"/>
    <mergeCell ref="Q274:Q275"/>
    <mergeCell ref="R274:R275"/>
    <mergeCell ref="B275:C276"/>
    <mergeCell ref="B277:C277"/>
    <mergeCell ref="B278:G278"/>
    <mergeCell ref="T278:AY278"/>
    <mergeCell ref="T266:X266"/>
    <mergeCell ref="Y266:AA266"/>
    <mergeCell ref="AB266:AC266"/>
    <mergeCell ref="AF266:AY266"/>
    <mergeCell ref="B267:C267"/>
    <mergeCell ref="B268:C268"/>
    <mergeCell ref="T63:AY63"/>
    <mergeCell ref="B64:G64"/>
    <mergeCell ref="T64:AY64"/>
    <mergeCell ref="B65:G65"/>
    <mergeCell ref="I65:M65"/>
    <mergeCell ref="B66:G66"/>
    <mergeCell ref="B67:G67"/>
    <mergeCell ref="T79:X79"/>
    <mergeCell ref="Y79:AA79"/>
    <mergeCell ref="AB79:AC79"/>
    <mergeCell ref="AF79:AY79"/>
    <mergeCell ref="F60:G60"/>
    <mergeCell ref="F61:G61"/>
    <mergeCell ref="B269:C269"/>
    <mergeCell ref="B270:C270"/>
    <mergeCell ref="B271:C271"/>
    <mergeCell ref="C71:K71"/>
    <mergeCell ref="B68:G68"/>
    <mergeCell ref="B62:C62"/>
    <mergeCell ref="B63:G63"/>
    <mergeCell ref="B80:C80"/>
    <mergeCell ref="B97:C98"/>
    <mergeCell ref="F98:G98"/>
    <mergeCell ref="B99:C100"/>
    <mergeCell ref="F100:G100"/>
    <mergeCell ref="B101:G101"/>
    <mergeCell ref="B251:G251"/>
    <mergeCell ref="I251:M251"/>
    <mergeCell ref="B252:G252"/>
    <mergeCell ref="B253:G253"/>
    <mergeCell ref="C257:K257"/>
    <mergeCell ref="B254:G254"/>
    <mergeCell ref="B88:C88"/>
    <mergeCell ref="B89:G89"/>
    <mergeCell ref="B90:C91"/>
    <mergeCell ref="AB8:AC8"/>
    <mergeCell ref="AF8:AY8"/>
    <mergeCell ref="B9:C9"/>
    <mergeCell ref="B10:C11"/>
    <mergeCell ref="B12:C13"/>
    <mergeCell ref="B14:C15"/>
    <mergeCell ref="B16:C17"/>
    <mergeCell ref="B42:C44"/>
    <mergeCell ref="F43:G43"/>
    <mergeCell ref="F44:G44"/>
    <mergeCell ref="B19:C19"/>
    <mergeCell ref="B20:C20"/>
    <mergeCell ref="B21:G21"/>
    <mergeCell ref="B22:G22"/>
    <mergeCell ref="I22:M22"/>
    <mergeCell ref="B25:G25"/>
    <mergeCell ref="B18:C18"/>
    <mergeCell ref="T8:X8"/>
    <mergeCell ref="Y8:AA8"/>
    <mergeCell ref="T21:AY21"/>
    <mergeCell ref="T36:X36"/>
    <mergeCell ref="Y36:AA36"/>
    <mergeCell ref="AB36:AC36"/>
    <mergeCell ref="AF36:AY36"/>
    <mergeCell ref="B37:C37"/>
    <mergeCell ref="B38:C38"/>
    <mergeCell ref="B39:C39"/>
    <mergeCell ref="B40:C40"/>
    <mergeCell ref="B23:G23"/>
    <mergeCell ref="B24:G24"/>
    <mergeCell ref="C28:K28"/>
    <mergeCell ref="B41:G41"/>
    <mergeCell ref="B87:C87"/>
    <mergeCell ref="B45:C47"/>
    <mergeCell ref="F46:G46"/>
    <mergeCell ref="F47:G47"/>
    <mergeCell ref="B48:C50"/>
    <mergeCell ref="F49:G49"/>
    <mergeCell ref="F50:G50"/>
    <mergeCell ref="B51:C53"/>
    <mergeCell ref="F52:G52"/>
    <mergeCell ref="F53:G53"/>
    <mergeCell ref="B54:C56"/>
    <mergeCell ref="F55:G55"/>
    <mergeCell ref="F56:G56"/>
    <mergeCell ref="B57:C58"/>
    <mergeCell ref="F58:G58"/>
    <mergeCell ref="B59:C61"/>
    <mergeCell ref="F91:G91"/>
    <mergeCell ref="B81:C81"/>
    <mergeCell ref="B82:G82"/>
    <mergeCell ref="B83:C84"/>
    <mergeCell ref="F84:G84"/>
    <mergeCell ref="B85:C86"/>
    <mergeCell ref="F86:G86"/>
    <mergeCell ref="B92:C94"/>
    <mergeCell ref="F93:G93"/>
    <mergeCell ref="F94:G94"/>
    <mergeCell ref="B95:C96"/>
    <mergeCell ref="F96:G96"/>
    <mergeCell ref="B118:C118"/>
    <mergeCell ref="B104:G104"/>
    <mergeCell ref="B105:G105"/>
    <mergeCell ref="C109:K109"/>
    <mergeCell ref="T101:AY101"/>
    <mergeCell ref="B102:G102"/>
    <mergeCell ref="T102:AY102"/>
    <mergeCell ref="B103:G103"/>
    <mergeCell ref="I103:M103"/>
    <mergeCell ref="C139:K139"/>
    <mergeCell ref="B106:G106"/>
    <mergeCell ref="B136:G136"/>
    <mergeCell ref="T147:X147"/>
    <mergeCell ref="Y147:AA147"/>
    <mergeCell ref="T132:AY132"/>
    <mergeCell ref="B133:G133"/>
    <mergeCell ref="I133:M133"/>
    <mergeCell ref="B134:G134"/>
    <mergeCell ref="B135:G135"/>
    <mergeCell ref="J127:J128"/>
    <mergeCell ref="B128:C129"/>
    <mergeCell ref="B130:C130"/>
    <mergeCell ref="B131:C131"/>
    <mergeCell ref="B132:G132"/>
    <mergeCell ref="B119:C119"/>
    <mergeCell ref="B120:C121"/>
    <mergeCell ref="B122:C123"/>
    <mergeCell ref="B124:C125"/>
    <mergeCell ref="B126:C127"/>
    <mergeCell ref="T117:X117"/>
    <mergeCell ref="Y117:AA117"/>
    <mergeCell ref="AB117:AC117"/>
    <mergeCell ref="AF117:AY117"/>
    <mergeCell ref="B151:C151"/>
    <mergeCell ref="B152:C152"/>
    <mergeCell ref="B153:C153"/>
    <mergeCell ref="B154:C154"/>
    <mergeCell ref="AB147:AC147"/>
    <mergeCell ref="AF147:AY147"/>
    <mergeCell ref="B148:C148"/>
    <mergeCell ref="B149:C149"/>
    <mergeCell ref="B150:C150"/>
    <mergeCell ref="B155:C155"/>
    <mergeCell ref="B178:C178"/>
    <mergeCell ref="B179:C179"/>
    <mergeCell ref="Y172:AA172"/>
    <mergeCell ref="AB172:AC172"/>
    <mergeCell ref="AF172:AY172"/>
    <mergeCell ref="B173:C173"/>
    <mergeCell ref="B174:C174"/>
    <mergeCell ref="B159:G159"/>
    <mergeCell ref="B160:G160"/>
    <mergeCell ref="C164:K164"/>
    <mergeCell ref="B161:G161"/>
    <mergeCell ref="B156:C156"/>
    <mergeCell ref="B157:G157"/>
    <mergeCell ref="T157:AY157"/>
    <mergeCell ref="B158:G158"/>
    <mergeCell ref="I158:M158"/>
    <mergeCell ref="B188:G188"/>
    <mergeCell ref="B189:G189"/>
    <mergeCell ref="T172:X172"/>
    <mergeCell ref="C192:K192"/>
    <mergeCell ref="B185:G185"/>
    <mergeCell ref="B186:G186"/>
    <mergeCell ref="T186:AY186"/>
    <mergeCell ref="B187:G187"/>
    <mergeCell ref="I187:M187"/>
    <mergeCell ref="B180:C180"/>
    <mergeCell ref="B181:C181"/>
    <mergeCell ref="B182:C182"/>
    <mergeCell ref="B183:C183"/>
    <mergeCell ref="B184:C184"/>
    <mergeCell ref="B175:C175"/>
    <mergeCell ref="B176:C176"/>
    <mergeCell ref="B177:C177"/>
    <mergeCell ref="T212:AY212"/>
    <mergeCell ref="B213:G213"/>
    <mergeCell ref="I213:M213"/>
    <mergeCell ref="T200:X200"/>
    <mergeCell ref="Y200:AA200"/>
    <mergeCell ref="AB200:AC200"/>
    <mergeCell ref="AF200:AY200"/>
    <mergeCell ref="B201:C201"/>
    <mergeCell ref="B202:C202"/>
    <mergeCell ref="B203:C203"/>
    <mergeCell ref="B204:C204"/>
    <mergeCell ref="B205:C205"/>
    <mergeCell ref="B214:G214"/>
    <mergeCell ref="B215:G215"/>
    <mergeCell ref="C218:K218"/>
    <mergeCell ref="B206:C206"/>
    <mergeCell ref="B207:C207"/>
    <mergeCell ref="B208:C208"/>
    <mergeCell ref="B209:C209"/>
    <mergeCell ref="B210:C210"/>
    <mergeCell ref="B211:G211"/>
    <mergeCell ref="B212:G212"/>
    <mergeCell ref="T334:X334"/>
    <mergeCell ref="Y334:AA334"/>
    <mergeCell ref="AB334:AC334"/>
    <mergeCell ref="AF334:AY334"/>
    <mergeCell ref="B335:C335"/>
    <mergeCell ref="B336:C336"/>
    <mergeCell ref="B337:C337"/>
    <mergeCell ref="B338:C338"/>
    <mergeCell ref="B339:G339"/>
    <mergeCell ref="B340:C340"/>
    <mergeCell ref="B341:C342"/>
    <mergeCell ref="F342:G342"/>
    <mergeCell ref="B343:C345"/>
    <mergeCell ref="F344:G344"/>
    <mergeCell ref="F345:G345"/>
    <mergeCell ref="B346:C348"/>
    <mergeCell ref="F347:G347"/>
    <mergeCell ref="F348:G348"/>
    <mergeCell ref="B349:C350"/>
    <mergeCell ref="F350:G350"/>
    <mergeCell ref="B351:C352"/>
    <mergeCell ref="F352:G352"/>
    <mergeCell ref="B353:C354"/>
    <mergeCell ref="F354:G354"/>
    <mergeCell ref="B355:C356"/>
    <mergeCell ref="F356:G356"/>
    <mergeCell ref="B357:C358"/>
    <mergeCell ref="F358:G358"/>
    <mergeCell ref="B359:C360"/>
    <mergeCell ref="F360:G360"/>
    <mergeCell ref="B361:G361"/>
    <mergeCell ref="T361:AY361"/>
    <mergeCell ref="B362:G362"/>
    <mergeCell ref="T362:AY362"/>
    <mergeCell ref="B363:G363"/>
    <mergeCell ref="I363:M363"/>
    <mergeCell ref="B364:G364"/>
    <mergeCell ref="B365:G365"/>
    <mergeCell ref="C369:K369"/>
    <mergeCell ref="B366:G366"/>
    <mergeCell ref="T377:X377"/>
    <mergeCell ref="Y377:AA377"/>
    <mergeCell ref="AB377:AC377"/>
    <mergeCell ref="AF377:BC377"/>
    <mergeCell ref="B378:C378"/>
    <mergeCell ref="B379:C379"/>
    <mergeCell ref="T388:BC388"/>
    <mergeCell ref="B389:G389"/>
    <mergeCell ref="I389:M389"/>
    <mergeCell ref="B390:G390"/>
    <mergeCell ref="B391:G391"/>
    <mergeCell ref="C394:K394"/>
    <mergeCell ref="B380:C380"/>
    <mergeCell ref="B381:C381"/>
    <mergeCell ref="B382:C382"/>
    <mergeCell ref="B383:C383"/>
    <mergeCell ref="B384:C384"/>
    <mergeCell ref="B385:C385"/>
    <mergeCell ref="B386:C386"/>
    <mergeCell ref="B387:G387"/>
    <mergeCell ref="B388:G388"/>
  </mergeCells>
  <dataValidations disablePrompts="1" count="6">
    <dataValidation type="list" allowBlank="1" showInputMessage="1" showErrorMessage="1" sqref="F30 F73" xr:uid="{00000000-0002-0000-0900-000000000000}">
      <formula1>$H$89:$H$110</formula1>
    </dataValidation>
    <dataValidation type="list" allowBlank="1" showInputMessage="1" showErrorMessage="1" sqref="L33 L76" xr:uid="{00000000-0002-0000-0900-000001000000}">
      <formula1>$I$89:$I$110</formula1>
    </dataValidation>
    <dataValidation type="list" allowBlank="1" showInputMessage="1" showErrorMessage="1" sqref="F111 F194 F141 F260 F287 F220" xr:uid="{00000000-0002-0000-0900-000002000000}">
      <formula1>$H$89:$H$109</formula1>
    </dataValidation>
    <dataValidation type="list" allowBlank="1" showInputMessage="1" showErrorMessage="1" sqref="L114 L197 L144 L263 L289 L223" xr:uid="{00000000-0002-0000-0900-000003000000}">
      <formula1>$I$89:$I$109</formula1>
    </dataValidation>
    <dataValidation type="list" allowBlank="1" showInputMessage="1" showErrorMessage="1" sqref="F328 F371 F304" xr:uid="{00000000-0002-0000-0900-000004000000}">
      <formula1>$H$89:$H$123</formula1>
    </dataValidation>
    <dataValidation type="list" allowBlank="1" showInputMessage="1" showErrorMessage="1" sqref="L331 L374 L307" xr:uid="{00000000-0002-0000-0900-000005000000}">
      <formula1>$I$89:$I$123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0">
        <x14:dataValidation type="list" allowBlank="1" showInputMessage="1" showErrorMessage="1" xr:uid="{00000000-0002-0000-0900-000006000000}">
          <x14:formula1>
            <xm:f>'FLF &amp; AGENT INFO'!$F$3:$F$25</xm:f>
          </x14:formula1>
          <xm:sqref>F7 F78 F116 F146 F171 F199 F265 F225 F292 F333 F376</xm:sqref>
        </x14:dataValidation>
        <x14:dataValidation type="list" allowBlank="1" showInputMessage="1" showErrorMessage="1" xr:uid="{00000000-0002-0000-0900-000007000000}">
          <x14:formula1>
            <xm:f>'FLF &amp; AGENT INFO'!$H$3:$H$7</xm:f>
          </x14:formula1>
          <xm:sqref>L6 L34 L77 L115 L145 L170 L198 L264 L224 L290 L308 L332 L375</xm:sqref>
        </x14:dataValidation>
        <x14:dataValidation type="list" allowBlank="1" showInputMessage="1" showErrorMessage="1" xr:uid="{00000000-0002-0000-0900-000008000000}">
          <x14:formula1>
            <xm:f>'FLF &amp; AGENT INFO'!$B$3:$B$20</xm:f>
          </x14:formula1>
          <xm:sqref>F5 F33 F76 F114 F144 F169 F197 F263 F223 F290 F307 F331 F374</xm:sqref>
        </x14:dataValidation>
        <x14:dataValidation type="list" allowBlank="1" showInputMessage="1" showErrorMessage="1" xr:uid="{00000000-0002-0000-0900-000009000000}">
          <x14:formula1>
            <xm:f>'FLF &amp; AGENT INFO'!$F$3:$F$24</xm:f>
          </x14:formula1>
          <xm:sqref>F35</xm:sqref>
        </x14:dataValidation>
        <x14:dataValidation type="list" allowBlank="1" showInputMessage="1" showErrorMessage="1" xr:uid="{00000000-0002-0000-0900-00000A000000}">
          <x14:formula1>
            <xm:f>'FLF &amp; AGENT INFO'!$F$3:$F$27</xm:f>
          </x14:formula1>
          <xm:sqref>F309</xm:sqref>
        </x14:dataValidation>
        <x14:dataValidation type="list" allowBlank="1" showInputMessage="1" showErrorMessage="1" xr:uid="{00000000-0002-0000-0900-00000B000000}">
          <x14:formula1>
            <xm:f>'FLF &amp; AGENT INFO'!$D$3:$D$31</xm:f>
          </x14:formula1>
          <xm:sqref>F6 F375 F332 F308 F291 F224 F264 F198 F170 F145 F115 F77 F34</xm:sqref>
        </x14:dataValidation>
        <x14:dataValidation type="list" allowBlank="1" showInputMessage="1" showErrorMessage="1" xr:uid="{00000000-0002-0000-0900-00000C000000}">
          <x14:formula1>
            <xm:f>'VLU 2023 &amp; 2024'!$I$65:$I$82</xm:f>
          </x14:formula1>
          <xm:sqref>L169</xm:sqref>
        </x14:dataValidation>
        <x14:dataValidation type="list" allowBlank="1" showInputMessage="1" showErrorMessage="1" xr:uid="{00000000-0002-0000-0900-00000D000000}">
          <x14:formula1>
            <xm:f>'VLU 2023 &amp; 2024'!$H$65:$H$82</xm:f>
          </x14:formula1>
          <xm:sqref>F166</xm:sqref>
        </x14:dataValidation>
        <x14:dataValidation type="list" allowBlank="1" showInputMessage="1" showErrorMessage="1" xr:uid="{00000000-0002-0000-0900-00000E000000}">
          <x14:formula1>
            <xm:f>'VLU 2023 &amp; 2024'!$H$60:$H$85</xm:f>
          </x14:formula1>
          <xm:sqref>F2</xm:sqref>
        </x14:dataValidation>
        <x14:dataValidation type="list" allowBlank="1" showInputMessage="1" showErrorMessage="1" xr:uid="{00000000-0002-0000-0900-00000F000000}">
          <x14:formula1>
            <xm:f>'VLU 2023 &amp; 2024'!$I$60:$I$85</xm:f>
          </x14:formula1>
          <xm:sqref>L5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CD192"/>
  <sheetViews>
    <sheetView zoomScale="80" zoomScaleNormal="80" zoomScaleSheetLayoutView="73" workbookViewId="0">
      <pane xSplit="16" ySplit="2" topLeftCell="Q203" activePane="bottomRight" state="frozen"/>
      <selection pane="topRight" activeCell="R15" sqref="R15"/>
      <selection pane="bottomLeft" activeCell="R15" sqref="R15"/>
      <selection pane="bottomRight" activeCell="R15" sqref="R15"/>
    </sheetView>
  </sheetViews>
  <sheetFormatPr defaultColWidth="9.33203125" defaultRowHeight="14.4"/>
  <cols>
    <col min="1" max="1" width="12.6640625" style="119" customWidth="1"/>
    <col min="2" max="2" width="7.5546875" style="119" customWidth="1"/>
    <col min="3" max="3" width="7.6640625" style="115" customWidth="1"/>
    <col min="4" max="4" width="6" style="115" customWidth="1"/>
    <col min="5" max="5" width="21" style="115" customWidth="1"/>
    <col min="6" max="6" width="10.5546875" style="115" customWidth="1"/>
    <col min="7" max="7" width="13.5546875" style="252" customWidth="1"/>
    <col min="8" max="8" width="12.5546875" style="252" customWidth="1"/>
    <col min="9" max="9" width="11.109375" style="117" customWidth="1"/>
    <col min="10" max="10" width="21.109375" style="115" customWidth="1"/>
    <col min="11" max="11" width="15.5546875" style="115" customWidth="1"/>
    <col min="12" max="12" width="13.5546875" style="115" customWidth="1"/>
    <col min="13" max="13" width="0.5546875" style="118" customWidth="1"/>
    <col min="14" max="14" width="22.44140625" style="115" customWidth="1"/>
    <col min="15" max="15" width="22" style="115" customWidth="1"/>
    <col min="16" max="16" width="20.6640625" style="115" customWidth="1"/>
    <col min="17" max="18" width="8.5546875" style="117" customWidth="1"/>
    <col min="19" max="19" width="10.33203125" style="117" customWidth="1"/>
    <col min="20" max="20" width="1.33203125" style="117" customWidth="1"/>
    <col min="21" max="21" width="9.6640625" style="115" customWidth="1"/>
    <col min="22" max="22" width="10.33203125" style="115" customWidth="1"/>
    <col min="23" max="23" width="8.5546875" style="115" customWidth="1"/>
    <col min="24" max="24" width="10.33203125" style="115" customWidth="1"/>
    <col min="25" max="25" width="10.109375" style="115" customWidth="1"/>
    <col min="26" max="49" width="8.5546875" style="115" customWidth="1"/>
    <col min="50" max="50" width="15.5546875" style="251" customWidth="1"/>
    <col min="51" max="51" width="16" style="251" customWidth="1"/>
    <col min="52" max="52" width="9.6640625" style="251" customWidth="1"/>
    <col min="53" max="53" width="15.5546875" style="251" customWidth="1"/>
    <col min="54" max="54" width="16.5546875" style="251" customWidth="1"/>
    <col min="55" max="55" width="16.44140625" style="251" customWidth="1"/>
    <col min="56" max="56" width="16" style="251" customWidth="1"/>
    <col min="57" max="57" width="15.5546875" style="251" customWidth="1"/>
    <col min="58" max="58" width="16.44140625" style="251" customWidth="1"/>
    <col min="59" max="59" width="15.5546875" style="251" customWidth="1"/>
    <col min="60" max="60" width="15.44140625" style="251" customWidth="1"/>
    <col min="61" max="61" width="17" style="251" customWidth="1"/>
    <col min="62" max="62" width="15.33203125" style="252" customWidth="1"/>
    <col min="63" max="63" width="15.5546875" style="251" customWidth="1"/>
    <col min="64" max="64" width="16.33203125" style="251" customWidth="1"/>
    <col min="65" max="65" width="15.5546875" style="251" customWidth="1"/>
    <col min="66" max="66" width="16.44140625" style="251" customWidth="1"/>
    <col min="67" max="68" width="15.5546875" style="115" customWidth="1"/>
    <col min="69" max="69" width="16.44140625" style="115" customWidth="1"/>
    <col min="70" max="70" width="49.5546875" style="116" customWidth="1"/>
    <col min="71" max="71" width="1.33203125" style="116" customWidth="1"/>
    <col min="72" max="72" width="10.5546875" style="251" customWidth="1"/>
    <col min="73" max="79" width="9.6640625" style="251" customWidth="1"/>
    <col min="80" max="80" width="11.33203125" style="115" bestFit="1" customWidth="1"/>
    <col min="81" max="16384" width="9.33203125" style="115"/>
  </cols>
  <sheetData>
    <row r="1" spans="1:82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1436</v>
      </c>
      <c r="R1" s="1286" t="s">
        <v>136</v>
      </c>
      <c r="S1" s="1236" t="s">
        <v>1437</v>
      </c>
      <c r="T1" s="403"/>
      <c r="U1" s="1224" t="s">
        <v>73</v>
      </c>
      <c r="V1" s="1224"/>
      <c r="W1" s="1224"/>
      <c r="X1" s="1220" t="s">
        <v>74</v>
      </c>
      <c r="Y1" s="1221"/>
      <c r="Z1" s="1222" t="s">
        <v>138</v>
      </c>
      <c r="AA1" s="1223"/>
      <c r="AB1" s="404" t="s">
        <v>85</v>
      </c>
      <c r="AC1" s="404" t="s">
        <v>139</v>
      </c>
      <c r="AD1" s="1224" t="s">
        <v>87</v>
      </c>
      <c r="AE1" s="1224"/>
      <c r="AF1" s="1224"/>
      <c r="AG1" s="1224"/>
      <c r="AH1" s="1224"/>
      <c r="AI1" s="1225" t="s">
        <v>138</v>
      </c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0"/>
      <c r="AW1" s="1221"/>
      <c r="AX1" s="1218" t="s">
        <v>140</v>
      </c>
      <c r="AY1" s="1218" t="s">
        <v>141</v>
      </c>
      <c r="AZ1" s="1226" t="s">
        <v>142</v>
      </c>
      <c r="BA1" s="1228" t="s">
        <v>143</v>
      </c>
      <c r="BB1" s="1228" t="s">
        <v>144</v>
      </c>
      <c r="BC1" s="1219" t="s">
        <v>1438</v>
      </c>
      <c r="BD1" s="1218" t="s">
        <v>146</v>
      </c>
      <c r="BE1" s="1218" t="s">
        <v>147</v>
      </c>
      <c r="BF1" s="1218" t="s">
        <v>148</v>
      </c>
      <c r="BG1" s="1218" t="s">
        <v>149</v>
      </c>
      <c r="BH1" s="1219" t="s">
        <v>150</v>
      </c>
      <c r="BI1" s="1219" t="s">
        <v>151</v>
      </c>
      <c r="BJ1" s="1219" t="s">
        <v>152</v>
      </c>
      <c r="BK1" s="1219" t="s">
        <v>153</v>
      </c>
      <c r="BL1" s="1219" t="s">
        <v>154</v>
      </c>
      <c r="BM1" s="1218" t="s">
        <v>155</v>
      </c>
      <c r="BN1" s="1218" t="s">
        <v>156</v>
      </c>
      <c r="BO1" s="1218" t="s">
        <v>157</v>
      </c>
      <c r="BP1" s="1218" t="s">
        <v>149</v>
      </c>
      <c r="BQ1" s="1218" t="s">
        <v>158</v>
      </c>
      <c r="BR1" s="1217" t="s">
        <v>159</v>
      </c>
      <c r="BS1" s="569"/>
      <c r="BT1" s="1213" t="s">
        <v>160</v>
      </c>
      <c r="BU1" s="1213" t="s">
        <v>111</v>
      </c>
      <c r="BV1" s="1213" t="s">
        <v>161</v>
      </c>
      <c r="BW1" s="1213" t="s">
        <v>162</v>
      </c>
      <c r="BX1" s="1213" t="s">
        <v>120</v>
      </c>
      <c r="BY1" s="1213" t="s">
        <v>163</v>
      </c>
      <c r="BZ1" s="1215" t="s">
        <v>164</v>
      </c>
      <c r="CA1" s="1215" t="s">
        <v>165</v>
      </c>
      <c r="CB1" s="1215" t="s">
        <v>166</v>
      </c>
    </row>
    <row r="2" spans="1:82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87"/>
      <c r="S2" s="1236"/>
      <c r="T2" s="403"/>
      <c r="U2" s="404" t="s">
        <v>167</v>
      </c>
      <c r="V2" s="404" t="s">
        <v>168</v>
      </c>
      <c r="W2" s="405" t="s">
        <v>169</v>
      </c>
      <c r="X2" s="404" t="s">
        <v>170</v>
      </c>
      <c r="Y2" s="404" t="s">
        <v>171</v>
      </c>
      <c r="Z2" s="406" t="s">
        <v>172</v>
      </c>
      <c r="AA2" s="406" t="s">
        <v>173</v>
      </c>
      <c r="AB2" s="404" t="s">
        <v>174</v>
      </c>
      <c r="AC2" s="404" t="s">
        <v>139</v>
      </c>
      <c r="AD2" s="405" t="s">
        <v>175</v>
      </c>
      <c r="AE2" s="405" t="s">
        <v>176</v>
      </c>
      <c r="AF2" s="405" t="s">
        <v>177</v>
      </c>
      <c r="AG2" s="405" t="s">
        <v>178</v>
      </c>
      <c r="AH2" s="405" t="s">
        <v>179</v>
      </c>
      <c r="AI2" s="404" t="s">
        <v>81</v>
      </c>
      <c r="AJ2" s="404" t="s">
        <v>180</v>
      </c>
      <c r="AK2" s="404" t="s">
        <v>181</v>
      </c>
      <c r="AL2" s="404" t="s">
        <v>76</v>
      </c>
      <c r="AM2" s="404" t="s">
        <v>84</v>
      </c>
      <c r="AN2" s="404" t="s">
        <v>88</v>
      </c>
      <c r="AO2" s="404" t="s">
        <v>78</v>
      </c>
      <c r="AP2" s="404" t="s">
        <v>80</v>
      </c>
      <c r="AQ2" s="404" t="s">
        <v>86</v>
      </c>
      <c r="AR2" s="404" t="s">
        <v>82</v>
      </c>
      <c r="AS2" s="404" t="s">
        <v>182</v>
      </c>
      <c r="AT2" s="404" t="s">
        <v>183</v>
      </c>
      <c r="AU2" s="404" t="s">
        <v>184</v>
      </c>
      <c r="AV2" s="404" t="s">
        <v>100</v>
      </c>
      <c r="AW2" s="404" t="s">
        <v>913</v>
      </c>
      <c r="AX2" s="1218"/>
      <c r="AY2" s="1218"/>
      <c r="AZ2" s="1227"/>
      <c r="BA2" s="1229"/>
      <c r="BB2" s="1229"/>
      <c r="BC2" s="1219"/>
      <c r="BD2" s="1218"/>
      <c r="BE2" s="1218"/>
      <c r="BF2" s="1218"/>
      <c r="BG2" s="1218"/>
      <c r="BH2" s="1219"/>
      <c r="BI2" s="1219"/>
      <c r="BJ2" s="1219"/>
      <c r="BK2" s="1219"/>
      <c r="BL2" s="1219"/>
      <c r="BM2" s="1218"/>
      <c r="BN2" s="1218"/>
      <c r="BO2" s="1218"/>
      <c r="BP2" s="1218"/>
      <c r="BQ2" s="1218"/>
      <c r="BR2" s="1217"/>
      <c r="BS2" s="250"/>
      <c r="BT2" s="1214"/>
      <c r="BU2" s="1214"/>
      <c r="BV2" s="1214"/>
      <c r="BW2" s="1214"/>
      <c r="BX2" s="1214"/>
      <c r="BY2" s="1214"/>
      <c r="BZ2" s="1216"/>
      <c r="CA2" s="1216"/>
      <c r="CB2" s="1216"/>
    </row>
    <row r="3" spans="1:82" s="126" customFormat="1">
      <c r="A3" s="208" t="s">
        <v>1439</v>
      </c>
      <c r="E3" s="167" t="s">
        <v>186</v>
      </c>
      <c r="F3" s="167" t="s">
        <v>187</v>
      </c>
      <c r="G3" s="166"/>
      <c r="H3" s="166"/>
      <c r="I3" s="181"/>
      <c r="M3" s="167"/>
      <c r="Q3" s="181"/>
      <c r="R3" s="181"/>
      <c r="S3" s="181"/>
      <c r="T3" s="181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6"/>
      <c r="BL3" s="165"/>
      <c r="BM3" s="165"/>
      <c r="BN3" s="165"/>
      <c r="BO3" s="165"/>
      <c r="BP3" s="165"/>
      <c r="BQ3" s="165"/>
      <c r="BT3" s="165"/>
      <c r="BU3" s="165"/>
      <c r="BV3" s="165"/>
      <c r="BW3" s="165"/>
      <c r="BX3" s="165"/>
      <c r="BY3" s="165"/>
      <c r="BZ3" s="165"/>
      <c r="CA3" s="165"/>
    </row>
    <row r="4" spans="1:82" s="126" customFormat="1">
      <c r="A4" s="192">
        <f>BD4</f>
        <v>45049.336805555555</v>
      </c>
      <c r="B4" s="126" t="s">
        <v>188</v>
      </c>
      <c r="C4" s="126" t="s">
        <v>78</v>
      </c>
      <c r="D4" s="126" t="s">
        <v>197</v>
      </c>
      <c r="E4" s="65" t="s">
        <v>1293</v>
      </c>
      <c r="G4" s="73">
        <v>45043.833333333336</v>
      </c>
      <c r="H4" s="73">
        <v>45043.770833333336</v>
      </c>
      <c r="I4" s="126" t="s">
        <v>199</v>
      </c>
      <c r="J4" s="126" t="s">
        <v>192</v>
      </c>
      <c r="K4" s="126" t="s">
        <v>192</v>
      </c>
      <c r="L4" s="126" t="s">
        <v>1440</v>
      </c>
      <c r="M4" s="167"/>
      <c r="N4" s="126" t="s">
        <v>292</v>
      </c>
      <c r="O4" s="126" t="s">
        <v>293</v>
      </c>
      <c r="P4" s="126" t="s">
        <v>78</v>
      </c>
      <c r="Q4" s="181">
        <f>3142*2.4</f>
        <v>7540.7999999999993</v>
      </c>
      <c r="R4" s="181"/>
      <c r="S4" s="181">
        <v>7500</v>
      </c>
      <c r="T4" s="181"/>
      <c r="AO4" s="181">
        <f>S4</f>
        <v>7500</v>
      </c>
      <c r="AX4" s="165">
        <f t="shared" ref="AX4:AX67" si="0">BA4</f>
        <v>45044.416666666664</v>
      </c>
      <c r="AY4" s="165">
        <f t="shared" ref="AY4:AY67" si="1">BQ4</f>
        <v>45054.958333333336</v>
      </c>
      <c r="AZ4" s="137">
        <f t="shared" ref="AZ4:AZ67" si="2">AY4-AX4</f>
        <v>10.541666666671517</v>
      </c>
      <c r="BA4" s="165">
        <v>45044.416666666664</v>
      </c>
      <c r="BB4" s="165">
        <v>45045.541666666664</v>
      </c>
      <c r="BC4" s="165">
        <v>45045.600694444445</v>
      </c>
      <c r="BD4" s="165">
        <v>45049.336805555555</v>
      </c>
      <c r="BE4" s="165">
        <v>45049.909722222219</v>
      </c>
      <c r="BF4" s="165">
        <v>45049.961805555555</v>
      </c>
      <c r="BG4" s="165">
        <v>45049.961805555555</v>
      </c>
      <c r="BH4" s="165">
        <f>BG4+(5/24)</f>
        <v>45050.170138888891</v>
      </c>
      <c r="BI4" s="165">
        <v>45050.229166666664</v>
      </c>
      <c r="BJ4" s="165">
        <v>45050.395833333328</v>
      </c>
      <c r="BK4" s="165">
        <v>45050.291666666664</v>
      </c>
      <c r="BL4" s="165">
        <v>45053.229166666664</v>
      </c>
      <c r="BM4" s="165">
        <v>45054.336805555555</v>
      </c>
      <c r="BN4" s="165">
        <v>45054.572916666664</v>
      </c>
      <c r="BO4" s="165">
        <v>45054.583333333336</v>
      </c>
      <c r="BP4" s="165">
        <v>45054.586805555555</v>
      </c>
      <c r="BQ4" s="165">
        <v>45054.958333333336</v>
      </c>
      <c r="BT4" s="136">
        <f t="shared" ref="BT4:BT67" si="3">(BC4-BB4)*24</f>
        <v>1.4166666667442769</v>
      </c>
      <c r="BU4" s="136">
        <f t="shared" ref="BU4:BU67" si="4">(BE4-BD4)*24</f>
        <v>13.749999999941792</v>
      </c>
      <c r="BV4" s="136">
        <f t="shared" ref="BV4:BV67" si="5">(BH4-BG4)*24</f>
        <v>5.0000000000582077</v>
      </c>
      <c r="BW4" s="136">
        <f t="shared" ref="BW4:BW67" si="6">(BL4-BJ4)*24</f>
        <v>68.000000000058208</v>
      </c>
      <c r="BX4" s="135">
        <f t="shared" ref="BX4:BX67" si="7">(BN4-BM4)*24</f>
        <v>5.6666666666278616</v>
      </c>
      <c r="BY4" s="135">
        <f t="shared" ref="BY4:BY67" si="8">(BQ4-BP4)*24</f>
        <v>8.9166666667442769</v>
      </c>
      <c r="BZ4" s="134">
        <f t="shared" ref="BZ4:BZ67" si="9">SUM(BT4:BY4)/24</f>
        <v>4.281250000007276</v>
      </c>
      <c r="CA4" s="134">
        <f t="shared" ref="CA4:CA67" si="10">AZ4</f>
        <v>10.541666666671517</v>
      </c>
      <c r="CB4" s="133">
        <f t="shared" ref="CB4:CB67" si="11">BZ4/CA4</f>
        <v>0.4061264822139421</v>
      </c>
    </row>
    <row r="5" spans="1:82" s="126" customFormat="1">
      <c r="A5" s="192">
        <f>BD5</f>
        <v>45055.454861111109</v>
      </c>
      <c r="B5" s="126" t="s">
        <v>188</v>
      </c>
      <c r="C5" s="126" t="s">
        <v>78</v>
      </c>
      <c r="D5" s="126" t="s">
        <v>197</v>
      </c>
      <c r="E5" s="65" t="s">
        <v>1441</v>
      </c>
      <c r="G5" s="165">
        <v>45061.208333333336</v>
      </c>
      <c r="H5" s="165">
        <v>45061.208333333336</v>
      </c>
      <c r="I5" s="126" t="s">
        <v>199</v>
      </c>
      <c r="J5" s="126" t="s">
        <v>192</v>
      </c>
      <c r="K5" s="126" t="s">
        <v>192</v>
      </c>
      <c r="L5" s="126" t="s">
        <v>1442</v>
      </c>
      <c r="M5" s="167"/>
      <c r="N5" s="126" t="s">
        <v>686</v>
      </c>
      <c r="O5" s="126" t="s">
        <v>1186</v>
      </c>
      <c r="P5" s="126" t="s">
        <v>78</v>
      </c>
      <c r="Q5" s="181">
        <v>7500</v>
      </c>
      <c r="R5" s="181"/>
      <c r="S5" s="181">
        <v>7500</v>
      </c>
      <c r="T5" s="181"/>
      <c r="AO5" s="181">
        <f>S5</f>
        <v>7500</v>
      </c>
      <c r="AX5" s="165">
        <f t="shared" si="0"/>
        <v>45047.895833333336</v>
      </c>
      <c r="AY5" s="165">
        <f t="shared" si="1"/>
        <v>45060.163194444445</v>
      </c>
      <c r="AZ5" s="137">
        <f t="shared" si="2"/>
        <v>12.267361111109494</v>
      </c>
      <c r="BA5" s="165">
        <v>45047.895833333336</v>
      </c>
      <c r="BB5" s="165">
        <v>45048.815972222219</v>
      </c>
      <c r="BC5" s="165">
        <v>45048.847222222219</v>
      </c>
      <c r="BD5" s="165">
        <v>45055.454861111109</v>
      </c>
      <c r="BE5" s="165">
        <v>45056.204861111109</v>
      </c>
      <c r="BF5" s="165">
        <v>45056.253472222219</v>
      </c>
      <c r="BG5" s="165">
        <v>45056.253472222219</v>
      </c>
      <c r="BH5" s="165">
        <f>BG5+(5/24)</f>
        <v>45056.461805555555</v>
      </c>
      <c r="BI5" s="165">
        <v>45057.25</v>
      </c>
      <c r="BJ5" s="165">
        <v>45057.416666666664</v>
      </c>
      <c r="BK5" s="165">
        <v>45057.402777777781</v>
      </c>
      <c r="BL5" s="165">
        <v>45059.020833333336</v>
      </c>
      <c r="BM5" s="165">
        <v>45059.534722222219</v>
      </c>
      <c r="BN5" s="165">
        <v>45059.736111111109</v>
      </c>
      <c r="BO5" s="165">
        <v>45060.163194444445</v>
      </c>
      <c r="BP5" s="165">
        <v>45060.163194444445</v>
      </c>
      <c r="BQ5" s="165">
        <v>45060.163194444445</v>
      </c>
      <c r="BR5" s="126" t="s">
        <v>788</v>
      </c>
      <c r="BS5" s="121"/>
      <c r="BT5" s="136">
        <f t="shared" si="3"/>
        <v>0.75</v>
      </c>
      <c r="BU5" s="136">
        <f t="shared" si="4"/>
        <v>18</v>
      </c>
      <c r="BV5" s="136">
        <f t="shared" si="5"/>
        <v>5.0000000000582077</v>
      </c>
      <c r="BW5" s="136">
        <f t="shared" si="6"/>
        <v>38.500000000116415</v>
      </c>
      <c r="BX5" s="135">
        <f t="shared" si="7"/>
        <v>4.8333333333721384</v>
      </c>
      <c r="BY5" s="135">
        <f t="shared" si="8"/>
        <v>0</v>
      </c>
      <c r="BZ5" s="134">
        <f t="shared" si="9"/>
        <v>2.7951388888977817</v>
      </c>
      <c r="CA5" s="134">
        <f t="shared" si="10"/>
        <v>12.267361111109494</v>
      </c>
      <c r="CB5" s="133">
        <f t="shared" si="11"/>
        <v>0.22785168412189846</v>
      </c>
      <c r="CC5" s="128"/>
      <c r="CD5" s="121"/>
    </row>
    <row r="6" spans="1:82" s="126" customFormat="1">
      <c r="A6" s="192">
        <f>BD6</f>
        <v>45073.5625</v>
      </c>
      <c r="B6" s="126" t="s">
        <v>188</v>
      </c>
      <c r="C6" s="126" t="s">
        <v>78</v>
      </c>
      <c r="D6" s="126" t="s">
        <v>215</v>
      </c>
      <c r="E6" s="65" t="s">
        <v>1443</v>
      </c>
      <c r="G6" s="73">
        <v>45071.583333333336</v>
      </c>
      <c r="H6" s="73">
        <v>45071.583333333336</v>
      </c>
      <c r="I6" s="126" t="s">
        <v>211</v>
      </c>
      <c r="J6" s="126" t="s">
        <v>192</v>
      </c>
      <c r="K6" s="126" t="s">
        <v>192</v>
      </c>
      <c r="L6" s="126" t="s">
        <v>1444</v>
      </c>
      <c r="M6" s="167"/>
      <c r="N6" s="126" t="s">
        <v>374</v>
      </c>
      <c r="O6" s="126" t="s">
        <v>375</v>
      </c>
      <c r="P6" s="126" t="s">
        <v>78</v>
      </c>
      <c r="Q6" s="181">
        <v>7508.4480000000003</v>
      </c>
      <c r="R6" s="181"/>
      <c r="S6" s="181">
        <v>7500</v>
      </c>
      <c r="T6" s="181"/>
      <c r="AO6" s="181">
        <f>S6</f>
        <v>7500</v>
      </c>
      <c r="AX6" s="165">
        <f t="shared" si="0"/>
        <v>45070.440972222219</v>
      </c>
      <c r="AY6" s="165">
        <f t="shared" si="1"/>
        <v>45080.708333333336</v>
      </c>
      <c r="AZ6" s="137">
        <f t="shared" si="2"/>
        <v>10.26736111111677</v>
      </c>
      <c r="BA6" s="165">
        <v>45070.440972222219</v>
      </c>
      <c r="BB6" s="165">
        <v>45070.815972222219</v>
      </c>
      <c r="BC6" s="165">
        <v>45070.899305555555</v>
      </c>
      <c r="BD6" s="165">
        <v>45073.5625</v>
      </c>
      <c r="BE6" s="165">
        <v>45074.166666666664</v>
      </c>
      <c r="BF6" s="165">
        <v>45074.229166666664</v>
      </c>
      <c r="BG6" s="165">
        <v>45074.229166666664</v>
      </c>
      <c r="BH6" s="165">
        <f>BG6+(5/24)</f>
        <v>45074.4375</v>
      </c>
      <c r="BI6" s="165">
        <v>45075.25</v>
      </c>
      <c r="BJ6" s="165">
        <v>45075.416666666664</v>
      </c>
      <c r="BK6" s="165">
        <v>45075.302083333336</v>
      </c>
      <c r="BL6" s="165">
        <v>45076.40625</v>
      </c>
      <c r="BM6" s="165">
        <v>45079.875</v>
      </c>
      <c r="BN6" s="165">
        <v>45080.229166666664</v>
      </c>
      <c r="BO6" s="165">
        <v>45080.243055555555</v>
      </c>
      <c r="BP6" s="165">
        <v>45080.243055555555</v>
      </c>
      <c r="BQ6" s="165">
        <v>45080.708333333336</v>
      </c>
      <c r="BT6" s="136">
        <f t="shared" si="3"/>
        <v>2.0000000000582077</v>
      </c>
      <c r="BU6" s="136">
        <f t="shared" si="4"/>
        <v>14.499999999941792</v>
      </c>
      <c r="BV6" s="136">
        <f t="shared" si="5"/>
        <v>5.0000000000582077</v>
      </c>
      <c r="BW6" s="136">
        <f t="shared" si="6"/>
        <v>23.750000000058208</v>
      </c>
      <c r="BX6" s="135">
        <f t="shared" si="7"/>
        <v>8.4999999999417923</v>
      </c>
      <c r="BY6" s="135">
        <f t="shared" si="8"/>
        <v>11.166666666744277</v>
      </c>
      <c r="BZ6" s="134">
        <f t="shared" si="9"/>
        <v>2.7048611111167702</v>
      </c>
      <c r="CA6" s="134">
        <f t="shared" si="10"/>
        <v>10.26736111111677</v>
      </c>
      <c r="CB6" s="133">
        <f t="shared" si="11"/>
        <v>0.26344267839066637</v>
      </c>
    </row>
    <row r="7" spans="1:82" s="126" customFormat="1">
      <c r="A7" s="192">
        <f>BD7</f>
        <v>45074.34375</v>
      </c>
      <c r="B7" s="126" t="s">
        <v>188</v>
      </c>
      <c r="C7" s="126" t="s">
        <v>78</v>
      </c>
      <c r="D7" s="126" t="s">
        <v>215</v>
      </c>
      <c r="E7" s="65" t="s">
        <v>1445</v>
      </c>
      <c r="G7" s="73">
        <v>45077.833333333336</v>
      </c>
      <c r="H7" s="73">
        <v>45077.804166666669</v>
      </c>
      <c r="I7" s="126" t="s">
        <v>199</v>
      </c>
      <c r="J7" s="126" t="s">
        <v>192</v>
      </c>
      <c r="K7" s="126" t="s">
        <v>192</v>
      </c>
      <c r="L7" s="126" t="s">
        <v>1446</v>
      </c>
      <c r="M7" s="167"/>
      <c r="N7" s="126" t="s">
        <v>1230</v>
      </c>
      <c r="O7" s="126" t="s">
        <v>1231</v>
      </c>
      <c r="P7" s="126" t="s">
        <v>78</v>
      </c>
      <c r="Q7" s="181">
        <f>3107*2.4</f>
        <v>7456.7999999999993</v>
      </c>
      <c r="R7" s="181"/>
      <c r="S7" s="181">
        <v>7500</v>
      </c>
      <c r="T7" s="181"/>
      <c r="AO7" s="181">
        <f>S7</f>
        <v>7500</v>
      </c>
      <c r="AX7" s="165">
        <f t="shared" si="0"/>
        <v>45070.46875</v>
      </c>
      <c r="AY7" s="165">
        <f t="shared" si="1"/>
        <v>45082.975694444445</v>
      </c>
      <c r="AZ7" s="137">
        <f t="shared" si="2"/>
        <v>12.506944444445253</v>
      </c>
      <c r="BA7" s="165">
        <v>45070.46875</v>
      </c>
      <c r="BB7" s="165">
        <v>45071.565972222219</v>
      </c>
      <c r="BC7" s="165">
        <v>45071.638888888891</v>
      </c>
      <c r="BD7" s="165">
        <v>45074.34375</v>
      </c>
      <c r="BE7" s="165">
        <v>45074.986111111109</v>
      </c>
      <c r="BF7" s="165">
        <v>45074.996527777781</v>
      </c>
      <c r="BG7" s="165">
        <v>45074.996527777781</v>
      </c>
      <c r="BH7" s="165">
        <f>BG7+(5/24)</f>
        <v>45075.204861111117</v>
      </c>
      <c r="BI7" s="165">
        <v>45076.520833333336</v>
      </c>
      <c r="BJ7" s="165">
        <v>45076.6875</v>
      </c>
      <c r="BK7" s="165">
        <v>45076.614583333336</v>
      </c>
      <c r="BL7" s="165">
        <v>45078.270833333336</v>
      </c>
      <c r="BM7" s="165">
        <v>45081.982638888891</v>
      </c>
      <c r="BN7" s="165">
        <v>45082.177083333336</v>
      </c>
      <c r="BO7" s="165">
        <v>45082.197916666664</v>
      </c>
      <c r="BP7" s="165">
        <v>45082.201388888891</v>
      </c>
      <c r="BQ7" s="165">
        <v>45082.975694444445</v>
      </c>
      <c r="BT7" s="136">
        <f t="shared" si="3"/>
        <v>1.7500000001164153</v>
      </c>
      <c r="BU7" s="136">
        <f t="shared" si="4"/>
        <v>15.416666666627862</v>
      </c>
      <c r="BV7" s="136">
        <f t="shared" si="5"/>
        <v>5.0000000000582077</v>
      </c>
      <c r="BW7" s="136">
        <f t="shared" si="6"/>
        <v>38.000000000058208</v>
      </c>
      <c r="BX7" s="135">
        <f t="shared" si="7"/>
        <v>4.6666666666860692</v>
      </c>
      <c r="BY7" s="135">
        <f t="shared" si="8"/>
        <v>18.583333333313931</v>
      </c>
      <c r="BZ7" s="134">
        <f t="shared" si="9"/>
        <v>3.4756944444525288</v>
      </c>
      <c r="CA7" s="134">
        <f t="shared" si="10"/>
        <v>12.506944444445253</v>
      </c>
      <c r="CB7" s="133">
        <f t="shared" si="11"/>
        <v>0.27790116601950682</v>
      </c>
    </row>
    <row r="8" spans="1:82" s="126" customFormat="1">
      <c r="A8" s="192"/>
      <c r="D8" s="126" t="s">
        <v>197</v>
      </c>
      <c r="G8" s="165"/>
      <c r="H8" s="165"/>
      <c r="J8" s="126" t="s">
        <v>312</v>
      </c>
      <c r="L8" s="126" t="s">
        <v>1447</v>
      </c>
      <c r="M8" s="167"/>
      <c r="N8" s="126" t="s">
        <v>314</v>
      </c>
      <c r="O8" s="126" t="s">
        <v>315</v>
      </c>
      <c r="Q8" s="181">
        <f>3146*2.4</f>
        <v>7550.4</v>
      </c>
      <c r="R8" s="181"/>
      <c r="S8" s="181"/>
      <c r="T8" s="181"/>
      <c r="AX8" s="165">
        <f t="shared" si="0"/>
        <v>45047</v>
      </c>
      <c r="AY8" s="165">
        <f t="shared" si="1"/>
        <v>45078</v>
      </c>
      <c r="AZ8" s="137">
        <f t="shared" si="2"/>
        <v>31</v>
      </c>
      <c r="BA8" s="165">
        <v>45047</v>
      </c>
      <c r="BB8" s="165"/>
      <c r="BC8" s="165"/>
      <c r="BD8" s="165"/>
      <c r="BE8" s="165"/>
      <c r="BF8" s="165"/>
      <c r="BG8" s="165"/>
      <c r="BH8" s="165"/>
      <c r="BI8" s="165"/>
      <c r="BJ8" s="165"/>
      <c r="BK8" s="166"/>
      <c r="BL8" s="165"/>
      <c r="BM8" s="165"/>
      <c r="BN8" s="165"/>
      <c r="BO8" s="165"/>
      <c r="BP8" s="165"/>
      <c r="BQ8" s="165">
        <v>45078</v>
      </c>
      <c r="BR8" s="126" t="s">
        <v>316</v>
      </c>
      <c r="BT8" s="136">
        <f t="shared" si="3"/>
        <v>0</v>
      </c>
      <c r="BU8" s="136">
        <f t="shared" si="4"/>
        <v>0</v>
      </c>
      <c r="BV8" s="136">
        <f t="shared" si="5"/>
        <v>0</v>
      </c>
      <c r="BW8" s="136">
        <f t="shared" si="6"/>
        <v>0</v>
      </c>
      <c r="BX8" s="135">
        <f t="shared" si="7"/>
        <v>0</v>
      </c>
      <c r="BY8" s="135">
        <f t="shared" si="8"/>
        <v>1081872</v>
      </c>
      <c r="BZ8" s="134">
        <f t="shared" si="9"/>
        <v>45078</v>
      </c>
      <c r="CA8" s="134">
        <f t="shared" si="10"/>
        <v>31</v>
      </c>
      <c r="CB8" s="133">
        <f t="shared" si="11"/>
        <v>1454.1290322580646</v>
      </c>
    </row>
    <row r="9" spans="1:82" s="126" customFormat="1">
      <c r="A9" s="192">
        <f>BD9</f>
        <v>45049.232638888891</v>
      </c>
      <c r="B9" s="126" t="s">
        <v>228</v>
      </c>
      <c r="C9" s="126" t="s">
        <v>229</v>
      </c>
      <c r="D9" s="126" t="s">
        <v>197</v>
      </c>
      <c r="E9" s="65" t="s">
        <v>1293</v>
      </c>
      <c r="G9" s="73">
        <v>45043.833333333336</v>
      </c>
      <c r="H9" s="73">
        <v>45043.770833333336</v>
      </c>
      <c r="I9" s="126" t="s">
        <v>243</v>
      </c>
      <c r="J9" s="126" t="s">
        <v>192</v>
      </c>
      <c r="K9" s="126" t="s">
        <v>192</v>
      </c>
      <c r="L9" s="126" t="s">
        <v>1448</v>
      </c>
      <c r="M9" s="167"/>
      <c r="N9" s="126" t="s">
        <v>349</v>
      </c>
      <c r="O9" s="126" t="s">
        <v>350</v>
      </c>
      <c r="P9" s="126" t="s">
        <v>235</v>
      </c>
      <c r="Q9" s="181">
        <f>3077*2.4</f>
        <v>7384.7999999999993</v>
      </c>
      <c r="R9" s="181"/>
      <c r="S9" s="181">
        <v>7500.0559999999996</v>
      </c>
      <c r="T9" s="181"/>
      <c r="X9" s="181">
        <f>S9</f>
        <v>7500.0559999999996</v>
      </c>
      <c r="AX9" s="165">
        <f t="shared" si="0"/>
        <v>45042.388888888891</v>
      </c>
      <c r="AY9" s="165">
        <f t="shared" si="1"/>
        <v>45052.986111111109</v>
      </c>
      <c r="AZ9" s="137">
        <f t="shared" si="2"/>
        <v>10.597222222218988</v>
      </c>
      <c r="BA9" s="165">
        <v>45042.388888888891</v>
      </c>
      <c r="BB9" s="165">
        <v>45042.802083333336</v>
      </c>
      <c r="BC9" s="165">
        <v>45044.600694444445</v>
      </c>
      <c r="BD9" s="165">
        <v>45049.232638888891</v>
      </c>
      <c r="BE9" s="165">
        <v>45049.513888888891</v>
      </c>
      <c r="BF9" s="165">
        <v>45049.520833333336</v>
      </c>
      <c r="BG9" s="165">
        <v>45049.520833333336</v>
      </c>
      <c r="BH9" s="165">
        <f>BG9+(41/24)</f>
        <v>45051.229166666672</v>
      </c>
      <c r="BI9" s="165">
        <v>45051.229166608799</v>
      </c>
      <c r="BJ9" s="165">
        <v>45051.395833275463</v>
      </c>
      <c r="BK9" s="165">
        <v>45051.284722222219</v>
      </c>
      <c r="BL9" s="165">
        <v>45052.666666666664</v>
      </c>
      <c r="BM9" s="165">
        <v>45052.756944444445</v>
      </c>
      <c r="BN9" s="165">
        <v>45052.975694444445</v>
      </c>
      <c r="BO9" s="165">
        <v>45052.986111111109</v>
      </c>
      <c r="BP9" s="165">
        <v>45052.986111111109</v>
      </c>
      <c r="BQ9" s="165">
        <v>45052.986111111109</v>
      </c>
      <c r="BT9" s="136">
        <f t="shared" si="3"/>
        <v>43.166666666627862</v>
      </c>
      <c r="BU9" s="136">
        <f t="shared" si="4"/>
        <v>6.75</v>
      </c>
      <c r="BV9" s="136">
        <f t="shared" si="5"/>
        <v>41.000000000058208</v>
      </c>
      <c r="BW9" s="136">
        <f t="shared" si="6"/>
        <v>30.500001388834789</v>
      </c>
      <c r="BX9" s="135">
        <f t="shared" si="7"/>
        <v>5.25</v>
      </c>
      <c r="BY9" s="135">
        <f t="shared" si="8"/>
        <v>0</v>
      </c>
      <c r="BZ9" s="134">
        <f t="shared" si="9"/>
        <v>5.2777778356467024</v>
      </c>
      <c r="CA9" s="134">
        <f t="shared" si="10"/>
        <v>10.597222222218988</v>
      </c>
      <c r="CB9" s="133">
        <f t="shared" si="11"/>
        <v>0.49803408147664291</v>
      </c>
    </row>
    <row r="10" spans="1:82" s="126" customFormat="1">
      <c r="A10" s="192">
        <f>BD10</f>
        <v>45049.033333333333</v>
      </c>
      <c r="B10" s="126" t="s">
        <v>228</v>
      </c>
      <c r="C10" s="126" t="s">
        <v>229</v>
      </c>
      <c r="D10" s="126" t="s">
        <v>197</v>
      </c>
      <c r="E10" s="65" t="s">
        <v>1293</v>
      </c>
      <c r="F10" s="126" t="s">
        <v>1449</v>
      </c>
      <c r="G10" s="73">
        <v>45043.833333333336</v>
      </c>
      <c r="H10" s="73">
        <v>45043.770833333336</v>
      </c>
      <c r="I10" s="126" t="s">
        <v>243</v>
      </c>
      <c r="J10" s="126" t="s">
        <v>192</v>
      </c>
      <c r="K10" s="126" t="s">
        <v>192</v>
      </c>
      <c r="L10" s="126" t="s">
        <v>1450</v>
      </c>
      <c r="M10" s="167"/>
      <c r="N10" s="126" t="s">
        <v>406</v>
      </c>
      <c r="O10" s="126" t="s">
        <v>407</v>
      </c>
      <c r="P10" s="126" t="s">
        <v>240</v>
      </c>
      <c r="Q10" s="181">
        <f>3107*2.4</f>
        <v>7456.7999999999993</v>
      </c>
      <c r="R10" s="181"/>
      <c r="S10" s="181">
        <v>7446.4359999999997</v>
      </c>
      <c r="T10" s="181"/>
      <c r="Y10" s="181">
        <f>S10</f>
        <v>7446.4359999999997</v>
      </c>
      <c r="AX10" s="165">
        <f t="shared" si="0"/>
        <v>45042.482638888891</v>
      </c>
      <c r="AY10" s="165">
        <f t="shared" si="1"/>
        <v>45055.440972222219</v>
      </c>
      <c r="AZ10" s="137">
        <f t="shared" si="2"/>
        <v>12.958333333328483</v>
      </c>
      <c r="BA10" s="165">
        <v>45042.482638888891</v>
      </c>
      <c r="BB10" s="165">
        <v>45043.847222222219</v>
      </c>
      <c r="BC10" s="165">
        <v>45045.309027777781</v>
      </c>
      <c r="BD10" s="165">
        <v>45049.033333333333</v>
      </c>
      <c r="BE10" s="165">
        <v>45049.184027777781</v>
      </c>
      <c r="BF10" s="165">
        <v>45049.190972222219</v>
      </c>
      <c r="BG10" s="165">
        <v>45049.190972222219</v>
      </c>
      <c r="BH10" s="165">
        <f>BG10+(41/24)</f>
        <v>45050.899305555555</v>
      </c>
      <c r="BI10" s="165">
        <v>45051.229166608799</v>
      </c>
      <c r="BJ10" s="165">
        <v>45051.395833275463</v>
      </c>
      <c r="BK10" s="165">
        <v>45051.423611111109</v>
      </c>
      <c r="BL10" s="165">
        <v>45052.791666666664</v>
      </c>
      <c r="BM10" s="165">
        <v>45053.451388888891</v>
      </c>
      <c r="BN10" s="165">
        <v>45053.701388888891</v>
      </c>
      <c r="BO10" s="165">
        <v>45053.725694444445</v>
      </c>
      <c r="BP10" s="165">
        <v>45054.951388888891</v>
      </c>
      <c r="BQ10" s="165">
        <v>45055.440972222219</v>
      </c>
      <c r="BT10" s="136">
        <f t="shared" si="3"/>
        <v>35.083333333488554</v>
      </c>
      <c r="BU10" s="136">
        <f t="shared" si="4"/>
        <v>3.6166666667559184</v>
      </c>
      <c r="BV10" s="136">
        <f t="shared" si="5"/>
        <v>41.000000000058208</v>
      </c>
      <c r="BW10" s="136">
        <f t="shared" si="6"/>
        <v>33.500001388834789</v>
      </c>
      <c r="BX10" s="135">
        <f t="shared" si="7"/>
        <v>6</v>
      </c>
      <c r="BY10" s="135">
        <f t="shared" si="8"/>
        <v>11.749999999883585</v>
      </c>
      <c r="BZ10" s="134">
        <f t="shared" si="9"/>
        <v>5.4562500578758772</v>
      </c>
      <c r="CA10" s="134">
        <f t="shared" si="10"/>
        <v>12.958333333328483</v>
      </c>
      <c r="CB10" s="133">
        <f t="shared" si="11"/>
        <v>0.4210610977140517</v>
      </c>
    </row>
    <row r="11" spans="1:82" s="126" customFormat="1">
      <c r="A11" s="192"/>
      <c r="D11" s="126" t="s">
        <v>215</v>
      </c>
      <c r="E11" s="65"/>
      <c r="F11" s="65"/>
      <c r="G11" s="73"/>
      <c r="H11" s="73"/>
      <c r="K11" s="126" t="s">
        <v>1451</v>
      </c>
      <c r="L11" s="126" t="s">
        <v>1452</v>
      </c>
      <c r="M11" s="167"/>
      <c r="N11" s="126" t="s">
        <v>358</v>
      </c>
      <c r="O11" s="126" t="s">
        <v>359</v>
      </c>
      <c r="Q11" s="181">
        <f>3852*2.4</f>
        <v>9244.7999999999993</v>
      </c>
      <c r="R11" s="181"/>
      <c r="S11" s="181"/>
      <c r="T11" s="181"/>
      <c r="AX11" s="165">
        <f t="shared" si="0"/>
        <v>45026.791666666664</v>
      </c>
      <c r="AY11" s="165">
        <f t="shared" si="1"/>
        <v>45068.055555555555</v>
      </c>
      <c r="AZ11" s="137">
        <f t="shared" si="2"/>
        <v>41.263888888890506</v>
      </c>
      <c r="BA11" s="165">
        <v>45026.791666666664</v>
      </c>
      <c r="BB11" s="165">
        <v>45042.5</v>
      </c>
      <c r="BC11" s="165">
        <v>45044.75</v>
      </c>
      <c r="BD11" s="166" t="s">
        <v>196</v>
      </c>
      <c r="BE11" s="166" t="s">
        <v>196</v>
      </c>
      <c r="BF11" s="166" t="s">
        <v>196</v>
      </c>
      <c r="BG11" s="166" t="s">
        <v>196</v>
      </c>
      <c r="BH11" s="166" t="s">
        <v>196</v>
      </c>
      <c r="BI11" s="166" t="s">
        <v>196</v>
      </c>
      <c r="BJ11" s="166" t="s">
        <v>196</v>
      </c>
      <c r="BK11" s="166" t="s">
        <v>196</v>
      </c>
      <c r="BL11" s="166" t="s">
        <v>196</v>
      </c>
      <c r="BM11" s="166" t="s">
        <v>196</v>
      </c>
      <c r="BN11" s="166" t="s">
        <v>196</v>
      </c>
      <c r="BO11" s="166" t="s">
        <v>196</v>
      </c>
      <c r="BP11" s="166" t="s">
        <v>196</v>
      </c>
      <c r="BQ11" s="165">
        <v>45068.055555555555</v>
      </c>
      <c r="BR11" s="126" t="s">
        <v>1453</v>
      </c>
      <c r="BT11" s="136">
        <f t="shared" si="3"/>
        <v>54</v>
      </c>
      <c r="BU11" s="136" t="e">
        <f t="shared" si="4"/>
        <v>#VALUE!</v>
      </c>
      <c r="BV11" s="136" t="e">
        <f t="shared" si="5"/>
        <v>#VALUE!</v>
      </c>
      <c r="BW11" s="136" t="e">
        <f t="shared" si="6"/>
        <v>#VALUE!</v>
      </c>
      <c r="BX11" s="135" t="e">
        <f t="shared" si="7"/>
        <v>#VALUE!</v>
      </c>
      <c r="BY11" s="135" t="e">
        <f t="shared" si="8"/>
        <v>#VALUE!</v>
      </c>
      <c r="BZ11" s="134" t="e">
        <f t="shared" si="9"/>
        <v>#VALUE!</v>
      </c>
      <c r="CA11" s="134">
        <f t="shared" si="10"/>
        <v>41.263888888890506</v>
      </c>
      <c r="CB11" s="133" t="e">
        <f t="shared" si="11"/>
        <v>#VALUE!</v>
      </c>
    </row>
    <row r="12" spans="1:82" s="126" customFormat="1">
      <c r="A12" s="192">
        <f t="shared" ref="A12:A26" si="12">BD12</f>
        <v>45051.243055555555</v>
      </c>
      <c r="B12" s="126" t="s">
        <v>228</v>
      </c>
      <c r="C12" s="126" t="s">
        <v>229</v>
      </c>
      <c r="D12" s="126" t="s">
        <v>197</v>
      </c>
      <c r="E12" s="126" t="s">
        <v>1292</v>
      </c>
      <c r="G12" s="73">
        <v>45051.354166666664</v>
      </c>
      <c r="H12" s="73">
        <v>45051.3125</v>
      </c>
      <c r="I12" s="126" t="s">
        <v>231</v>
      </c>
      <c r="J12" s="126" t="s">
        <v>192</v>
      </c>
      <c r="K12" s="126" t="s">
        <v>192</v>
      </c>
      <c r="L12" s="126" t="s">
        <v>1454</v>
      </c>
      <c r="M12" s="167"/>
      <c r="N12" s="126" t="s">
        <v>380</v>
      </c>
      <c r="O12" s="126" t="s">
        <v>381</v>
      </c>
      <c r="P12" s="126" t="s">
        <v>1455</v>
      </c>
      <c r="Q12" s="181">
        <f>3271*2.4</f>
        <v>7850.4</v>
      </c>
      <c r="R12" s="181"/>
      <c r="S12" s="181">
        <v>7719.3220000000001</v>
      </c>
      <c r="T12" s="181"/>
      <c r="X12" s="181">
        <f t="shared" ref="X12:X18" si="13">S12*0.6</f>
        <v>4631.5932000000003</v>
      </c>
      <c r="Y12" s="181">
        <f t="shared" ref="Y12:Y18" si="14">S12*0.4</f>
        <v>3087.7288000000003</v>
      </c>
      <c r="AX12" s="165">
        <f t="shared" si="0"/>
        <v>45042.458333333336</v>
      </c>
      <c r="AY12" s="165">
        <f t="shared" si="1"/>
        <v>45059.809027777781</v>
      </c>
      <c r="AZ12" s="137">
        <f t="shared" si="2"/>
        <v>17.350694444445253</v>
      </c>
      <c r="BA12" s="165">
        <v>45042.458333333336</v>
      </c>
      <c r="BB12" s="165">
        <v>45043.791666666664</v>
      </c>
      <c r="BC12" s="165">
        <v>45045.6875</v>
      </c>
      <c r="BD12" s="165">
        <v>45051.243055555555</v>
      </c>
      <c r="BE12" s="165">
        <v>45051.503472222219</v>
      </c>
      <c r="BF12" s="165">
        <v>45051.506944444445</v>
      </c>
      <c r="BG12" s="165">
        <v>45051.506944444445</v>
      </c>
      <c r="BH12" s="165">
        <f t="shared" ref="BH12:BH26" si="15">BG12+(41/24)</f>
        <v>45053.215277777781</v>
      </c>
      <c r="BI12" s="165">
        <v>45053.25</v>
      </c>
      <c r="BJ12" s="165">
        <v>45053.416666666664</v>
      </c>
      <c r="BK12" s="165">
        <v>45053.28125</v>
      </c>
      <c r="BL12" s="165">
        <v>45054.489583333336</v>
      </c>
      <c r="BM12" s="165">
        <v>45059.152777777781</v>
      </c>
      <c r="BN12" s="165">
        <v>45059.402777777781</v>
      </c>
      <c r="BO12" s="165">
        <v>45059.423611111117</v>
      </c>
      <c r="BP12" s="165">
        <v>45059.423611111117</v>
      </c>
      <c r="BQ12" s="165">
        <v>45059.809027777781</v>
      </c>
      <c r="BT12" s="136">
        <f t="shared" si="3"/>
        <v>45.500000000058208</v>
      </c>
      <c r="BU12" s="136">
        <f t="shared" si="4"/>
        <v>6.2499999999417923</v>
      </c>
      <c r="BV12" s="136">
        <f t="shared" si="5"/>
        <v>41.000000000058208</v>
      </c>
      <c r="BW12" s="136">
        <f t="shared" si="6"/>
        <v>25.750000000116415</v>
      </c>
      <c r="BX12" s="135">
        <f t="shared" si="7"/>
        <v>6</v>
      </c>
      <c r="BY12" s="135">
        <f t="shared" si="8"/>
        <v>9.2499999999417923</v>
      </c>
      <c r="BZ12" s="134">
        <f t="shared" si="9"/>
        <v>5.5729166666715173</v>
      </c>
      <c r="CA12" s="134">
        <f t="shared" si="10"/>
        <v>17.350694444445253</v>
      </c>
      <c r="CB12" s="133">
        <f t="shared" si="11"/>
        <v>0.32119271562964224</v>
      </c>
    </row>
    <row r="13" spans="1:82" s="126" customFormat="1">
      <c r="A13" s="192">
        <f t="shared" si="12"/>
        <v>45051.590277777781</v>
      </c>
      <c r="B13" s="126" t="s">
        <v>228</v>
      </c>
      <c r="C13" s="126" t="s">
        <v>229</v>
      </c>
      <c r="D13" s="126" t="s">
        <v>197</v>
      </c>
      <c r="E13" s="126" t="s">
        <v>1292</v>
      </c>
      <c r="G13" s="73">
        <v>45051.354166666664</v>
      </c>
      <c r="H13" s="73">
        <v>45051.3125</v>
      </c>
      <c r="I13" s="126" t="s">
        <v>231</v>
      </c>
      <c r="J13" s="126" t="s">
        <v>192</v>
      </c>
      <c r="K13" s="126" t="s">
        <v>192</v>
      </c>
      <c r="L13" s="126" t="s">
        <v>1456</v>
      </c>
      <c r="M13" s="167"/>
      <c r="N13" s="126" t="s">
        <v>1457</v>
      </c>
      <c r="O13" s="126" t="s">
        <v>1458</v>
      </c>
      <c r="P13" s="126" t="s">
        <v>1455</v>
      </c>
      <c r="Q13" s="181">
        <f>3086*2.4</f>
        <v>7406.4</v>
      </c>
      <c r="R13" s="181"/>
      <c r="S13" s="181">
        <v>7504.9809999999998</v>
      </c>
      <c r="T13" s="181"/>
      <c r="X13" s="181">
        <f t="shared" si="13"/>
        <v>4502.9885999999997</v>
      </c>
      <c r="Y13" s="181">
        <f t="shared" si="14"/>
        <v>3001.9924000000001</v>
      </c>
      <c r="AX13" s="165">
        <f t="shared" si="0"/>
        <v>45041.458333333336</v>
      </c>
      <c r="AY13" s="165">
        <f t="shared" si="1"/>
        <v>45061.291666666664</v>
      </c>
      <c r="AZ13" s="137">
        <f t="shared" si="2"/>
        <v>19.833333333328483</v>
      </c>
      <c r="BA13" s="165">
        <v>45041.458333333336</v>
      </c>
      <c r="BB13" s="165">
        <v>45043.740277777775</v>
      </c>
      <c r="BC13" s="165">
        <v>45045.875</v>
      </c>
      <c r="BD13" s="165">
        <v>45051.590277777781</v>
      </c>
      <c r="BE13" s="165">
        <v>45051.729166666664</v>
      </c>
      <c r="BF13" s="165">
        <v>45051.746527777781</v>
      </c>
      <c r="BG13" s="165">
        <v>45051.746527777781</v>
      </c>
      <c r="BH13" s="165">
        <f t="shared" si="15"/>
        <v>45053.454861111117</v>
      </c>
      <c r="BI13" s="165">
        <v>45054.25</v>
      </c>
      <c r="BJ13" s="165">
        <v>45054.416666666664</v>
      </c>
      <c r="BK13" s="165">
        <v>45054.333333333336</v>
      </c>
      <c r="BL13" s="165">
        <v>45055.666666666664</v>
      </c>
      <c r="BM13" s="165">
        <v>45060.513888888891</v>
      </c>
      <c r="BN13" s="165">
        <v>45060.694444444445</v>
      </c>
      <c r="BO13" s="165">
        <v>45060.715277777781</v>
      </c>
      <c r="BP13" s="165">
        <v>45060.979166666664</v>
      </c>
      <c r="BQ13" s="165">
        <v>45061.291666666664</v>
      </c>
      <c r="BR13" s="126" t="s">
        <v>1459</v>
      </c>
      <c r="BT13" s="136">
        <f t="shared" si="3"/>
        <v>51.233333333395422</v>
      </c>
      <c r="BU13" s="136">
        <f t="shared" si="4"/>
        <v>3.3333333331975155</v>
      </c>
      <c r="BV13" s="136">
        <f t="shared" si="5"/>
        <v>41.000000000058208</v>
      </c>
      <c r="BW13" s="136">
        <f t="shared" si="6"/>
        <v>30</v>
      </c>
      <c r="BX13" s="135">
        <f t="shared" si="7"/>
        <v>4.3333333333139308</v>
      </c>
      <c r="BY13" s="135">
        <f t="shared" si="8"/>
        <v>7.5</v>
      </c>
      <c r="BZ13" s="134">
        <f t="shared" si="9"/>
        <v>5.7249999999985448</v>
      </c>
      <c r="CA13" s="134">
        <f t="shared" si="10"/>
        <v>19.833333333328483</v>
      </c>
      <c r="CB13" s="133">
        <f t="shared" si="11"/>
        <v>0.28865546218487115</v>
      </c>
    </row>
    <row r="14" spans="1:82" s="126" customFormat="1">
      <c r="A14" s="192">
        <f t="shared" si="12"/>
        <v>45052.018750000003</v>
      </c>
      <c r="B14" s="126" t="s">
        <v>228</v>
      </c>
      <c r="C14" s="126" t="s">
        <v>229</v>
      </c>
      <c r="D14" s="126" t="s">
        <v>197</v>
      </c>
      <c r="E14" s="126" t="s">
        <v>1292</v>
      </c>
      <c r="G14" s="73">
        <v>45051.354166666664</v>
      </c>
      <c r="H14" s="73">
        <v>45051.3125</v>
      </c>
      <c r="I14" s="126" t="s">
        <v>231</v>
      </c>
      <c r="J14" s="126" t="s">
        <v>192</v>
      </c>
      <c r="K14" s="126" t="s">
        <v>192</v>
      </c>
      <c r="L14" s="126" t="s">
        <v>1460</v>
      </c>
      <c r="M14" s="167"/>
      <c r="N14" s="126" t="s">
        <v>260</v>
      </c>
      <c r="O14" s="126" t="s">
        <v>261</v>
      </c>
      <c r="P14" s="126" t="s">
        <v>1455</v>
      </c>
      <c r="Q14" s="181">
        <f>3107*2.4</f>
        <v>7456.7999999999993</v>
      </c>
      <c r="R14" s="181"/>
      <c r="S14" s="181">
        <v>7631.6350000000002</v>
      </c>
      <c r="T14" s="181"/>
      <c r="X14" s="181">
        <f t="shared" si="13"/>
        <v>4578.9809999999998</v>
      </c>
      <c r="Y14" s="181">
        <f t="shared" si="14"/>
        <v>3052.6540000000005</v>
      </c>
      <c r="AX14" s="165">
        <f t="shared" si="0"/>
        <v>45043.402777777781</v>
      </c>
      <c r="AY14" s="165">
        <f t="shared" si="1"/>
        <v>45060.368055555555</v>
      </c>
      <c r="AZ14" s="137">
        <f t="shared" si="2"/>
        <v>16.965277777773736</v>
      </c>
      <c r="BA14" s="165">
        <v>45043.402777777781</v>
      </c>
      <c r="BB14" s="165">
        <v>45044.815972222219</v>
      </c>
      <c r="BC14" s="165">
        <v>45046.784722222219</v>
      </c>
      <c r="BD14" s="165">
        <v>45052.018750000003</v>
      </c>
      <c r="BE14" s="165">
        <v>45052.152777777781</v>
      </c>
      <c r="BF14" s="165">
        <v>45052.15625</v>
      </c>
      <c r="BG14" s="165">
        <v>45052.15625</v>
      </c>
      <c r="BH14" s="165">
        <f t="shared" si="15"/>
        <v>45053.864583333336</v>
      </c>
      <c r="BI14" s="165">
        <v>45054.25</v>
      </c>
      <c r="BJ14" s="165">
        <v>45054.416666666664</v>
      </c>
      <c r="BK14" s="165">
        <v>45054.291666666664</v>
      </c>
      <c r="BL14" s="165">
        <v>45055.454861111109</v>
      </c>
      <c r="BM14" s="165">
        <v>45059.743055555555</v>
      </c>
      <c r="BN14" s="165">
        <v>45059.916666666664</v>
      </c>
      <c r="BO14" s="165">
        <v>45059.9375</v>
      </c>
      <c r="BP14" s="165">
        <v>45060.173611111109</v>
      </c>
      <c r="BQ14" s="165">
        <v>45060.368055555555</v>
      </c>
      <c r="BT14" s="136">
        <f t="shared" si="3"/>
        <v>47.25</v>
      </c>
      <c r="BU14" s="136">
        <f t="shared" si="4"/>
        <v>3.2166666666744277</v>
      </c>
      <c r="BV14" s="136">
        <f t="shared" si="5"/>
        <v>41.000000000058208</v>
      </c>
      <c r="BW14" s="136">
        <f t="shared" si="6"/>
        <v>24.916666666686069</v>
      </c>
      <c r="BX14" s="135">
        <f t="shared" si="7"/>
        <v>4.1666666666278616</v>
      </c>
      <c r="BY14" s="135">
        <f t="shared" si="8"/>
        <v>4.6666666666860692</v>
      </c>
      <c r="BZ14" s="134">
        <f t="shared" si="9"/>
        <v>5.2173611111138598</v>
      </c>
      <c r="CA14" s="134">
        <f t="shared" si="10"/>
        <v>16.965277777773736</v>
      </c>
      <c r="CB14" s="133">
        <f t="shared" si="11"/>
        <v>0.30753172329127093</v>
      </c>
    </row>
    <row r="15" spans="1:82" s="126" customFormat="1">
      <c r="A15" s="192">
        <f t="shared" si="12"/>
        <v>45052.177083333336</v>
      </c>
      <c r="B15" s="126" t="s">
        <v>228</v>
      </c>
      <c r="C15" s="126" t="s">
        <v>229</v>
      </c>
      <c r="D15" s="126" t="s">
        <v>215</v>
      </c>
      <c r="E15" s="126" t="s">
        <v>1292</v>
      </c>
      <c r="G15" s="73">
        <v>45051.354166666664</v>
      </c>
      <c r="H15" s="73">
        <v>45051.3125</v>
      </c>
      <c r="I15" s="126" t="s">
        <v>231</v>
      </c>
      <c r="J15" s="126" t="s">
        <v>192</v>
      </c>
      <c r="K15" s="126" t="s">
        <v>192</v>
      </c>
      <c r="L15" s="126" t="s">
        <v>1461</v>
      </c>
      <c r="M15" s="167"/>
      <c r="N15" s="126" t="s">
        <v>399</v>
      </c>
      <c r="O15" s="126" t="s">
        <v>1093</v>
      </c>
      <c r="P15" s="126" t="s">
        <v>1455</v>
      </c>
      <c r="Q15" s="181">
        <f>3136*2.4</f>
        <v>7526.4</v>
      </c>
      <c r="R15" s="181"/>
      <c r="S15" s="181">
        <v>7638.8789999999999</v>
      </c>
      <c r="T15" s="181"/>
      <c r="X15" s="181">
        <f t="shared" si="13"/>
        <v>4583.3274000000001</v>
      </c>
      <c r="Y15" s="181">
        <f t="shared" si="14"/>
        <v>3055.5516000000002</v>
      </c>
      <c r="AX15" s="165">
        <f t="shared" si="0"/>
        <v>45043.541666666664</v>
      </c>
      <c r="AY15" s="165">
        <f t="shared" si="1"/>
        <v>45060.833333333336</v>
      </c>
      <c r="AZ15" s="137">
        <f t="shared" si="2"/>
        <v>17.291666666671517</v>
      </c>
      <c r="BA15" s="165">
        <v>45043.541666666664</v>
      </c>
      <c r="BB15" s="165">
        <v>45044.809027777781</v>
      </c>
      <c r="BC15" s="165">
        <v>45046.90625</v>
      </c>
      <c r="BD15" s="165">
        <v>45052.177083333336</v>
      </c>
      <c r="BE15" s="165">
        <v>45052.427083333336</v>
      </c>
      <c r="BF15" s="165">
        <v>45052.430555555555</v>
      </c>
      <c r="BG15" s="165">
        <v>45052.430555555555</v>
      </c>
      <c r="BH15" s="165">
        <f t="shared" si="15"/>
        <v>45054.138888888891</v>
      </c>
      <c r="BI15" s="165">
        <v>45054.25</v>
      </c>
      <c r="BJ15" s="165">
        <v>45054.416666666664</v>
      </c>
      <c r="BK15" s="165">
        <v>45054.381944444445</v>
      </c>
      <c r="BL15" s="165">
        <v>45055.666666666664</v>
      </c>
      <c r="BM15" s="165">
        <v>45060.305555555555</v>
      </c>
      <c r="BN15" s="165">
        <v>45060.451388888891</v>
      </c>
      <c r="BO15" s="165">
        <v>45060.472222222219</v>
      </c>
      <c r="BP15" s="165">
        <v>45060.472222222219</v>
      </c>
      <c r="BQ15" s="165">
        <v>45060.833333333336</v>
      </c>
      <c r="BT15" s="136">
        <f t="shared" si="3"/>
        <v>50.333333333255723</v>
      </c>
      <c r="BU15" s="136">
        <f t="shared" si="4"/>
        <v>6</v>
      </c>
      <c r="BV15" s="136">
        <f t="shared" si="5"/>
        <v>41.000000000058208</v>
      </c>
      <c r="BW15" s="136">
        <f t="shared" si="6"/>
        <v>30</v>
      </c>
      <c r="BX15" s="135">
        <f t="shared" si="7"/>
        <v>3.5000000000582077</v>
      </c>
      <c r="BY15" s="135">
        <f t="shared" si="8"/>
        <v>8.6666666668024845</v>
      </c>
      <c r="BZ15" s="134">
        <f t="shared" si="9"/>
        <v>5.812500000007276</v>
      </c>
      <c r="CA15" s="134">
        <f t="shared" si="10"/>
        <v>17.291666666671517</v>
      </c>
      <c r="CB15" s="133">
        <f t="shared" si="11"/>
        <v>0.33614457831357952</v>
      </c>
    </row>
    <row r="16" spans="1:82" s="126" customFormat="1">
      <c r="A16" s="192">
        <f t="shared" si="12"/>
        <v>45052.454861111109</v>
      </c>
      <c r="B16" s="126" t="s">
        <v>228</v>
      </c>
      <c r="C16" s="126" t="s">
        <v>229</v>
      </c>
      <c r="D16" s="126" t="s">
        <v>215</v>
      </c>
      <c r="E16" s="126" t="s">
        <v>1292</v>
      </c>
      <c r="G16" s="73">
        <v>45051.354166666664</v>
      </c>
      <c r="H16" s="73">
        <v>45051.3125</v>
      </c>
      <c r="I16" s="126" t="s">
        <v>231</v>
      </c>
      <c r="J16" s="126" t="s">
        <v>192</v>
      </c>
      <c r="K16" s="126" t="s">
        <v>192</v>
      </c>
      <c r="L16" s="126" t="s">
        <v>1462</v>
      </c>
      <c r="M16" s="167"/>
      <c r="N16" s="126" t="s">
        <v>352</v>
      </c>
      <c r="O16" s="126" t="s">
        <v>353</v>
      </c>
      <c r="P16" s="126" t="s">
        <v>1455</v>
      </c>
      <c r="Q16" s="181">
        <f>3852*2.4</f>
        <v>9244.7999999999993</v>
      </c>
      <c r="R16" s="181"/>
      <c r="S16" s="181">
        <v>9203.4699999999993</v>
      </c>
      <c r="T16" s="181"/>
      <c r="X16" s="181">
        <f t="shared" si="13"/>
        <v>5522.0819999999994</v>
      </c>
      <c r="Y16" s="181">
        <f t="shared" si="14"/>
        <v>3681.3879999999999</v>
      </c>
      <c r="AX16" s="165">
        <f t="shared" si="0"/>
        <v>45044.458333333336</v>
      </c>
      <c r="AY16" s="165">
        <f t="shared" si="1"/>
        <v>45060.583333333336</v>
      </c>
      <c r="AZ16" s="137">
        <f t="shared" si="2"/>
        <v>16.125</v>
      </c>
      <c r="BA16" s="165">
        <v>45044.458333333336</v>
      </c>
      <c r="BB16" s="165">
        <v>45045.556944444441</v>
      </c>
      <c r="BC16" s="165">
        <v>45047.34375</v>
      </c>
      <c r="BD16" s="165">
        <v>45052.454861111109</v>
      </c>
      <c r="BE16" s="165">
        <v>45052.621527777781</v>
      </c>
      <c r="BF16" s="165">
        <v>45052.628472222219</v>
      </c>
      <c r="BG16" s="165">
        <v>45052.628472222219</v>
      </c>
      <c r="BH16" s="165">
        <f t="shared" si="15"/>
        <v>45054.336805555555</v>
      </c>
      <c r="BI16" s="165">
        <v>45054.25</v>
      </c>
      <c r="BJ16" s="165">
        <v>45054.416666666664</v>
      </c>
      <c r="BK16" s="165">
        <v>45054.270833333336</v>
      </c>
      <c r="BL16" s="165">
        <v>45055.645833333336</v>
      </c>
      <c r="BM16" s="165">
        <v>45059.979166666664</v>
      </c>
      <c r="BN16" s="165">
        <v>45060.215277777781</v>
      </c>
      <c r="BO16" s="165">
        <v>45060.236111111109</v>
      </c>
      <c r="BP16" s="165">
        <v>45060.236111111109</v>
      </c>
      <c r="BQ16" s="165">
        <v>45060.583333333336</v>
      </c>
      <c r="BT16" s="136">
        <f t="shared" si="3"/>
        <v>42.883333333418705</v>
      </c>
      <c r="BU16" s="136">
        <f t="shared" si="4"/>
        <v>4.0000000001164153</v>
      </c>
      <c r="BV16" s="136">
        <f t="shared" si="5"/>
        <v>41.000000000058208</v>
      </c>
      <c r="BW16" s="136">
        <f t="shared" si="6"/>
        <v>29.500000000116415</v>
      </c>
      <c r="BX16" s="135">
        <f t="shared" si="7"/>
        <v>5.6666666668024845</v>
      </c>
      <c r="BY16" s="135">
        <f t="shared" si="8"/>
        <v>8.3333333334303461</v>
      </c>
      <c r="BZ16" s="134">
        <f t="shared" si="9"/>
        <v>5.4743055555809406</v>
      </c>
      <c r="CA16" s="134">
        <f t="shared" si="10"/>
        <v>16.125</v>
      </c>
      <c r="CB16" s="133">
        <f t="shared" si="11"/>
        <v>0.33949181740036843</v>
      </c>
    </row>
    <row r="17" spans="1:82" s="126" customFormat="1">
      <c r="A17" s="192">
        <f t="shared" si="12"/>
        <v>45052.663194444445</v>
      </c>
      <c r="B17" s="126" t="s">
        <v>228</v>
      </c>
      <c r="C17" s="126" t="s">
        <v>229</v>
      </c>
      <c r="D17" s="126" t="s">
        <v>197</v>
      </c>
      <c r="E17" s="126" t="s">
        <v>1292</v>
      </c>
      <c r="G17" s="73">
        <v>45051.354166666664</v>
      </c>
      <c r="H17" s="73">
        <v>45051.3125</v>
      </c>
      <c r="I17" s="126" t="s">
        <v>231</v>
      </c>
      <c r="J17" s="126" t="s">
        <v>192</v>
      </c>
      <c r="K17" s="126" t="s">
        <v>192</v>
      </c>
      <c r="L17" s="126" t="s">
        <v>1463</v>
      </c>
      <c r="M17" s="167"/>
      <c r="N17" s="126" t="s">
        <v>1255</v>
      </c>
      <c r="O17" s="126" t="s">
        <v>268</v>
      </c>
      <c r="P17" s="126" t="s">
        <v>1455</v>
      </c>
      <c r="Q17" s="181">
        <f>3142*2.4</f>
        <v>7540.7999999999993</v>
      </c>
      <c r="R17" s="181"/>
      <c r="S17" s="181">
        <f>7630.959-5726.758</f>
        <v>1904.201</v>
      </c>
      <c r="T17" s="181"/>
      <c r="X17" s="181">
        <f t="shared" si="13"/>
        <v>1142.5206000000001</v>
      </c>
      <c r="Y17" s="181">
        <f t="shared" si="14"/>
        <v>761.68040000000008</v>
      </c>
      <c r="AX17" s="165">
        <f t="shared" si="0"/>
        <v>45042.965277777781</v>
      </c>
      <c r="AY17" s="165">
        <f t="shared" si="1"/>
        <v>45060.944444444445</v>
      </c>
      <c r="AZ17" s="137">
        <f t="shared" si="2"/>
        <v>17.979166666664241</v>
      </c>
      <c r="BA17" s="165">
        <v>45042.965277777781</v>
      </c>
      <c r="BB17" s="165">
        <v>45045.805555555555</v>
      </c>
      <c r="BC17" s="165">
        <v>45047.916666666664</v>
      </c>
      <c r="BD17" s="165">
        <v>45052.663194444445</v>
      </c>
      <c r="BE17" s="165">
        <v>45052.871527777781</v>
      </c>
      <c r="BF17" s="165">
        <v>45052.875</v>
      </c>
      <c r="BG17" s="165">
        <v>45052.875</v>
      </c>
      <c r="BH17" s="165">
        <f t="shared" si="15"/>
        <v>45054.583333333336</v>
      </c>
      <c r="BI17" s="165">
        <v>45055.25</v>
      </c>
      <c r="BJ17" s="165">
        <v>45055.416666666664</v>
      </c>
      <c r="BK17" s="165">
        <v>45055.423611111109</v>
      </c>
      <c r="BL17" s="165">
        <v>45056.875</v>
      </c>
      <c r="BM17" s="165">
        <v>45060.756944444445</v>
      </c>
      <c r="BN17" s="165">
        <v>45060.875</v>
      </c>
      <c r="BO17" s="165">
        <v>45060.944444444445</v>
      </c>
      <c r="BP17" s="165">
        <v>45060.944444444445</v>
      </c>
      <c r="BQ17" s="165">
        <v>45060.944444444445</v>
      </c>
      <c r="BT17" s="136">
        <f t="shared" si="3"/>
        <v>50.666666666627862</v>
      </c>
      <c r="BU17" s="136">
        <f t="shared" si="4"/>
        <v>5.0000000000582077</v>
      </c>
      <c r="BV17" s="136">
        <f t="shared" si="5"/>
        <v>41.000000000058208</v>
      </c>
      <c r="BW17" s="136">
        <f t="shared" si="6"/>
        <v>35.000000000058208</v>
      </c>
      <c r="BX17" s="135">
        <f t="shared" si="7"/>
        <v>2.8333333333139308</v>
      </c>
      <c r="BY17" s="135">
        <f t="shared" si="8"/>
        <v>0</v>
      </c>
      <c r="BZ17" s="134">
        <f t="shared" si="9"/>
        <v>5.6041666666715173</v>
      </c>
      <c r="CA17" s="134">
        <f t="shared" si="10"/>
        <v>17.979166666664241</v>
      </c>
      <c r="CB17" s="133">
        <f t="shared" si="11"/>
        <v>0.31170336037111135</v>
      </c>
    </row>
    <row r="18" spans="1:82" s="126" customFormat="1">
      <c r="A18" s="192">
        <f t="shared" si="12"/>
        <v>45052.663194444445</v>
      </c>
      <c r="B18" s="126" t="s">
        <v>228</v>
      </c>
      <c r="C18" s="126" t="s">
        <v>229</v>
      </c>
      <c r="D18" s="126" t="s">
        <v>197</v>
      </c>
      <c r="E18" s="126" t="s">
        <v>1464</v>
      </c>
      <c r="G18" s="73">
        <v>45051.395833333336</v>
      </c>
      <c r="H18" s="73">
        <v>45051.395833333336</v>
      </c>
      <c r="I18" s="126" t="s">
        <v>231</v>
      </c>
      <c r="J18" s="126" t="s">
        <v>192</v>
      </c>
      <c r="K18" s="126" t="s">
        <v>192</v>
      </c>
      <c r="L18" s="126" t="s">
        <v>1463</v>
      </c>
      <c r="M18" s="167"/>
      <c r="N18" s="126" t="s">
        <v>1255</v>
      </c>
      <c r="O18" s="126" t="s">
        <v>268</v>
      </c>
      <c r="P18" s="126" t="s">
        <v>1455</v>
      </c>
      <c r="Q18" s="181">
        <f>3142*2.4</f>
        <v>7540.7999999999993</v>
      </c>
      <c r="R18" s="181"/>
      <c r="S18" s="181">
        <v>5912</v>
      </c>
      <c r="T18" s="181"/>
      <c r="X18" s="181">
        <f t="shared" si="13"/>
        <v>3547.2</v>
      </c>
      <c r="Y18" s="181">
        <f t="shared" si="14"/>
        <v>2364.8000000000002</v>
      </c>
      <c r="AX18" s="165">
        <f t="shared" si="0"/>
        <v>45042.965277777781</v>
      </c>
      <c r="AY18" s="165">
        <f t="shared" si="1"/>
        <v>45063.260416666664</v>
      </c>
      <c r="AZ18" s="137">
        <f t="shared" si="2"/>
        <v>20.29513888888323</v>
      </c>
      <c r="BA18" s="165">
        <v>45042.965277777781</v>
      </c>
      <c r="BB18" s="165">
        <v>45045.805555555555</v>
      </c>
      <c r="BC18" s="165">
        <v>45047.916666666664</v>
      </c>
      <c r="BD18" s="165">
        <v>45052.663194444445</v>
      </c>
      <c r="BE18" s="165">
        <v>45052.871527777781</v>
      </c>
      <c r="BF18" s="165">
        <v>45052.875</v>
      </c>
      <c r="BG18" s="165">
        <v>45052.875</v>
      </c>
      <c r="BH18" s="165">
        <f t="shared" si="15"/>
        <v>45054.583333333336</v>
      </c>
      <c r="BI18" s="165">
        <v>45055.25</v>
      </c>
      <c r="BJ18" s="165">
        <v>45055.416666666664</v>
      </c>
      <c r="BK18" s="165">
        <v>45055.423611111109</v>
      </c>
      <c r="BL18" s="165">
        <v>45060.944444444445</v>
      </c>
      <c r="BM18" s="165">
        <v>45062.604166666664</v>
      </c>
      <c r="BN18" s="165">
        <v>45062.885416666664</v>
      </c>
      <c r="BO18" s="165">
        <v>45062.90625</v>
      </c>
      <c r="BP18" s="165">
        <v>45063.052083333336</v>
      </c>
      <c r="BQ18" s="165">
        <v>45063.260416666664</v>
      </c>
      <c r="BT18" s="136">
        <f t="shared" si="3"/>
        <v>50.666666666627862</v>
      </c>
      <c r="BU18" s="136">
        <f t="shared" si="4"/>
        <v>5.0000000000582077</v>
      </c>
      <c r="BV18" s="136">
        <f t="shared" si="5"/>
        <v>41.000000000058208</v>
      </c>
      <c r="BW18" s="136">
        <f t="shared" si="6"/>
        <v>132.66666666674428</v>
      </c>
      <c r="BX18" s="135">
        <f t="shared" si="7"/>
        <v>6.75</v>
      </c>
      <c r="BY18" s="135">
        <f t="shared" si="8"/>
        <v>4.9999999998835847</v>
      </c>
      <c r="BZ18" s="134">
        <f t="shared" si="9"/>
        <v>10.045138888890506</v>
      </c>
      <c r="CA18" s="134">
        <f t="shared" si="10"/>
        <v>20.29513888888323</v>
      </c>
      <c r="CB18" s="133">
        <f t="shared" si="11"/>
        <v>0.49495295124059407</v>
      </c>
    </row>
    <row r="19" spans="1:82" s="126" customFormat="1">
      <c r="A19" s="192">
        <f t="shared" si="12"/>
        <v>45052.895833333336</v>
      </c>
      <c r="B19" s="126" t="s">
        <v>228</v>
      </c>
      <c r="C19" s="126" t="s">
        <v>229</v>
      </c>
      <c r="D19" s="126" t="s">
        <v>197</v>
      </c>
      <c r="E19" s="65" t="s">
        <v>1465</v>
      </c>
      <c r="G19" s="73">
        <v>45047.666666666664</v>
      </c>
      <c r="H19" s="73">
        <v>45047.708333333336</v>
      </c>
      <c r="I19" s="126" t="s">
        <v>231</v>
      </c>
      <c r="J19" s="126" t="s">
        <v>192</v>
      </c>
      <c r="K19" s="126" t="s">
        <v>192</v>
      </c>
      <c r="L19" s="126" t="s">
        <v>1466</v>
      </c>
      <c r="M19" s="167"/>
      <c r="N19" s="126" t="s">
        <v>429</v>
      </c>
      <c r="O19" s="126" t="s">
        <v>430</v>
      </c>
      <c r="P19" s="126" t="s">
        <v>240</v>
      </c>
      <c r="Q19" s="181">
        <f>3145 *2.4</f>
        <v>7548</v>
      </c>
      <c r="R19" s="181"/>
      <c r="S19" s="181">
        <v>7482.9840000000004</v>
      </c>
      <c r="T19" s="181"/>
      <c r="Y19" s="181">
        <f>S19</f>
        <v>7482.9840000000004</v>
      </c>
      <c r="AX19" s="165">
        <f t="shared" si="0"/>
        <v>45043.892361111109</v>
      </c>
      <c r="AY19" s="165">
        <f t="shared" si="1"/>
        <v>45060.427083333336</v>
      </c>
      <c r="AZ19" s="137">
        <f t="shared" si="2"/>
        <v>16.534722222226264</v>
      </c>
      <c r="BA19" s="165">
        <v>45043.892361111109</v>
      </c>
      <c r="BB19" s="165">
        <v>45045.565972222219</v>
      </c>
      <c r="BC19" s="165">
        <v>45047.6875</v>
      </c>
      <c r="BD19" s="165">
        <v>45052.895833333336</v>
      </c>
      <c r="BE19" s="165">
        <v>45053.052083333336</v>
      </c>
      <c r="BF19" s="165">
        <v>45053.059027777781</v>
      </c>
      <c r="BG19" s="165">
        <v>45053.194444444445</v>
      </c>
      <c r="BH19" s="165">
        <f t="shared" si="15"/>
        <v>45054.902777777781</v>
      </c>
      <c r="BI19" s="165">
        <v>45056.25</v>
      </c>
      <c r="BJ19" s="165">
        <v>45056.416666666664</v>
      </c>
      <c r="BK19" s="165">
        <v>45056.409722222219</v>
      </c>
      <c r="BL19" s="165">
        <v>45057.666666666664</v>
      </c>
      <c r="BM19" s="165">
        <v>45059.708333333336</v>
      </c>
      <c r="BN19" s="165">
        <v>45059.965277777781</v>
      </c>
      <c r="BO19" s="165">
        <v>45059.979166666664</v>
      </c>
      <c r="BP19" s="165">
        <v>45060.1875</v>
      </c>
      <c r="BQ19" s="165">
        <v>45060.427083333336</v>
      </c>
      <c r="BT19" s="136">
        <f t="shared" si="3"/>
        <v>50.916666666744277</v>
      </c>
      <c r="BU19" s="136">
        <f t="shared" si="4"/>
        <v>3.75</v>
      </c>
      <c r="BV19" s="136">
        <f t="shared" si="5"/>
        <v>41.000000000058208</v>
      </c>
      <c r="BW19" s="136">
        <f t="shared" si="6"/>
        <v>30</v>
      </c>
      <c r="BX19" s="135">
        <f t="shared" si="7"/>
        <v>6.1666666666860692</v>
      </c>
      <c r="BY19" s="135">
        <f t="shared" si="8"/>
        <v>5.7500000000582077</v>
      </c>
      <c r="BZ19" s="134">
        <f t="shared" si="9"/>
        <v>5.7326388888977817</v>
      </c>
      <c r="CA19" s="134">
        <f t="shared" si="10"/>
        <v>16.534722222226264</v>
      </c>
      <c r="CB19" s="133">
        <f t="shared" si="11"/>
        <v>0.3467030659391343</v>
      </c>
    </row>
    <row r="20" spans="1:82" s="126" customFormat="1">
      <c r="A20" s="192">
        <f t="shared" si="12"/>
        <v>45053.086805555555</v>
      </c>
      <c r="B20" s="126" t="s">
        <v>228</v>
      </c>
      <c r="C20" s="126" t="s">
        <v>229</v>
      </c>
      <c r="D20" s="126" t="s">
        <v>215</v>
      </c>
      <c r="E20" s="65" t="s">
        <v>1465</v>
      </c>
      <c r="G20" s="73">
        <v>45047.666666666664</v>
      </c>
      <c r="H20" s="73">
        <v>45047.708333333336</v>
      </c>
      <c r="I20" s="126" t="s">
        <v>231</v>
      </c>
      <c r="J20" s="126" t="s">
        <v>192</v>
      </c>
      <c r="K20" s="126" t="s">
        <v>192</v>
      </c>
      <c r="L20" s="126" t="s">
        <v>1467</v>
      </c>
      <c r="M20" s="167"/>
      <c r="N20" s="126" t="s">
        <v>422</v>
      </c>
      <c r="O20" s="126" t="s">
        <v>275</v>
      </c>
      <c r="P20" s="126" t="s">
        <v>240</v>
      </c>
      <c r="Q20" s="181">
        <f>3097*2.4</f>
        <v>7432.7999999999993</v>
      </c>
      <c r="R20" s="181"/>
      <c r="S20" s="181">
        <v>7655.5079999999998</v>
      </c>
      <c r="T20" s="181"/>
      <c r="X20" s="181">
        <f>S20*0.26124980863</f>
        <v>1999.9999999654342</v>
      </c>
      <c r="Y20" s="181">
        <f>S20*0.73875019137</f>
        <v>5655.5080000345661</v>
      </c>
      <c r="AX20" s="165">
        <f t="shared" si="0"/>
        <v>45045.767361111109</v>
      </c>
      <c r="AY20" s="165">
        <f t="shared" si="1"/>
        <v>45060.298611111109</v>
      </c>
      <c r="AZ20" s="137">
        <f t="shared" si="2"/>
        <v>14.53125</v>
      </c>
      <c r="BA20" s="165">
        <v>45045.767361111109</v>
      </c>
      <c r="BB20" s="165">
        <v>45046.378472222219</v>
      </c>
      <c r="BC20" s="165">
        <v>45048.059027777781</v>
      </c>
      <c r="BD20" s="165">
        <v>45053.086805555555</v>
      </c>
      <c r="BE20" s="165">
        <v>45053.4375</v>
      </c>
      <c r="BF20" s="165">
        <v>45053.444444444445</v>
      </c>
      <c r="BG20" s="165">
        <v>45053.444444444445</v>
      </c>
      <c r="BH20" s="165">
        <f t="shared" si="15"/>
        <v>45055.152777777781</v>
      </c>
      <c r="BI20" s="165">
        <v>45055.25</v>
      </c>
      <c r="BJ20" s="165">
        <v>45055.416666666664</v>
      </c>
      <c r="BK20" s="165">
        <v>45055.407638888886</v>
      </c>
      <c r="BL20" s="165">
        <v>45056.857638888891</v>
      </c>
      <c r="BM20" s="165">
        <v>45059.4375</v>
      </c>
      <c r="BN20" s="165">
        <v>45059.666666666664</v>
      </c>
      <c r="BO20" s="165">
        <v>45059.680555555555</v>
      </c>
      <c r="BP20" s="165">
        <v>45060.013888888891</v>
      </c>
      <c r="BQ20" s="165">
        <v>45060.298611111109</v>
      </c>
      <c r="BT20" s="136">
        <f t="shared" si="3"/>
        <v>40.333333333488554</v>
      </c>
      <c r="BU20" s="136">
        <f t="shared" si="4"/>
        <v>8.4166666666860692</v>
      </c>
      <c r="BV20" s="136">
        <f t="shared" si="5"/>
        <v>41.000000000058208</v>
      </c>
      <c r="BW20" s="136">
        <f t="shared" si="6"/>
        <v>34.583333333430346</v>
      </c>
      <c r="BX20" s="135">
        <f t="shared" si="7"/>
        <v>5.4999999999417923</v>
      </c>
      <c r="BY20" s="135">
        <f t="shared" si="8"/>
        <v>6.8333333332557231</v>
      </c>
      <c r="BZ20" s="134">
        <f t="shared" si="9"/>
        <v>5.6944444444525288</v>
      </c>
      <c r="CA20" s="134">
        <f t="shared" si="10"/>
        <v>14.53125</v>
      </c>
      <c r="CB20" s="133">
        <f t="shared" si="11"/>
        <v>0.39187574671501274</v>
      </c>
    </row>
    <row r="21" spans="1:82" s="126" customFormat="1">
      <c r="A21" s="192">
        <f t="shared" si="12"/>
        <v>45053.465277777781</v>
      </c>
      <c r="B21" s="126" t="s">
        <v>228</v>
      </c>
      <c r="C21" s="126" t="s">
        <v>229</v>
      </c>
      <c r="D21" s="126" t="s">
        <v>215</v>
      </c>
      <c r="E21" s="65" t="s">
        <v>1465</v>
      </c>
      <c r="G21" s="73">
        <v>45047.666666666664</v>
      </c>
      <c r="H21" s="73">
        <v>45047.708333333336</v>
      </c>
      <c r="I21" s="126" t="s">
        <v>231</v>
      </c>
      <c r="J21" s="126" t="s">
        <v>192</v>
      </c>
      <c r="K21" s="126" t="s">
        <v>192</v>
      </c>
      <c r="L21" s="126" t="s">
        <v>1468</v>
      </c>
      <c r="M21" s="167"/>
      <c r="N21" s="126" t="s">
        <v>774</v>
      </c>
      <c r="O21" s="126" t="s">
        <v>423</v>
      </c>
      <c r="P21" s="126" t="s">
        <v>240</v>
      </c>
      <c r="Q21" s="181">
        <f>3156*2.4</f>
        <v>7574.4</v>
      </c>
      <c r="R21" s="181"/>
      <c r="S21" s="181">
        <v>7573.6450000000004</v>
      </c>
      <c r="T21" s="181"/>
      <c r="Y21" s="181">
        <f>S21</f>
        <v>7573.6450000000004</v>
      </c>
      <c r="AX21" s="165">
        <f t="shared" si="0"/>
        <v>45045.472222222219</v>
      </c>
      <c r="AY21" s="165">
        <f t="shared" si="1"/>
        <v>45059.815972222219</v>
      </c>
      <c r="AZ21" s="137">
        <f t="shared" si="2"/>
        <v>14.34375</v>
      </c>
      <c r="BA21" s="165">
        <v>45045.472222222219</v>
      </c>
      <c r="BB21" s="165">
        <v>45046.350694444445</v>
      </c>
      <c r="BC21" s="165">
        <v>45048.131944444445</v>
      </c>
      <c r="BD21" s="165">
        <v>45053.465277777781</v>
      </c>
      <c r="BE21" s="165">
        <v>45053.604166666664</v>
      </c>
      <c r="BF21" s="165">
        <v>45053.607638888891</v>
      </c>
      <c r="BG21" s="165">
        <v>45053.607638888891</v>
      </c>
      <c r="BH21" s="165">
        <f t="shared" si="15"/>
        <v>45055.315972222226</v>
      </c>
      <c r="BI21" s="165">
        <v>45055.25</v>
      </c>
      <c r="BJ21" s="165">
        <v>45055.416666666664</v>
      </c>
      <c r="BK21" s="165">
        <v>45055.378472222219</v>
      </c>
      <c r="BL21" s="165">
        <v>45056.666666666664</v>
      </c>
      <c r="BM21" s="165">
        <v>45059.152777777781</v>
      </c>
      <c r="BN21" s="165">
        <v>45059.402777777781</v>
      </c>
      <c r="BO21" s="165">
        <v>45059.416666666664</v>
      </c>
      <c r="BP21" s="165">
        <v>45059.416666666664</v>
      </c>
      <c r="BQ21" s="165">
        <v>45059.815972222219</v>
      </c>
      <c r="BT21" s="136">
        <f t="shared" si="3"/>
        <v>42.75</v>
      </c>
      <c r="BU21" s="136">
        <f t="shared" si="4"/>
        <v>3.3333333331975155</v>
      </c>
      <c r="BV21" s="136">
        <f t="shared" si="5"/>
        <v>41.000000000058208</v>
      </c>
      <c r="BW21" s="136">
        <f t="shared" si="6"/>
        <v>30</v>
      </c>
      <c r="BX21" s="135">
        <f t="shared" si="7"/>
        <v>6</v>
      </c>
      <c r="BY21" s="135">
        <f t="shared" si="8"/>
        <v>9.5833333333139308</v>
      </c>
      <c r="BZ21" s="134">
        <f t="shared" si="9"/>
        <v>5.5277777777737356</v>
      </c>
      <c r="CA21" s="134">
        <f t="shared" si="10"/>
        <v>14.34375</v>
      </c>
      <c r="CB21" s="133">
        <f t="shared" si="11"/>
        <v>0.38537884289490093</v>
      </c>
    </row>
    <row r="22" spans="1:82" s="126" customFormat="1">
      <c r="A22" s="192">
        <f t="shared" si="12"/>
        <v>45054.069444444445</v>
      </c>
      <c r="B22" s="126" t="s">
        <v>228</v>
      </c>
      <c r="C22" s="126" t="s">
        <v>229</v>
      </c>
      <c r="D22" s="126" t="s">
        <v>197</v>
      </c>
      <c r="E22" s="65" t="s">
        <v>1465</v>
      </c>
      <c r="G22" s="73">
        <v>45047.666666666664</v>
      </c>
      <c r="H22" s="73">
        <v>45047.708333333336</v>
      </c>
      <c r="I22" s="126" t="s">
        <v>231</v>
      </c>
      <c r="J22" s="126" t="s">
        <v>192</v>
      </c>
      <c r="K22" s="126" t="s">
        <v>192</v>
      </c>
      <c r="L22" s="126" t="s">
        <v>1469</v>
      </c>
      <c r="M22" s="167"/>
      <c r="N22" s="126" t="s">
        <v>323</v>
      </c>
      <c r="O22" s="126" t="s">
        <v>324</v>
      </c>
      <c r="P22" s="126" t="s">
        <v>240</v>
      </c>
      <c r="Q22" s="181">
        <f>3095*2.4</f>
        <v>7428</v>
      </c>
      <c r="R22" s="181"/>
      <c r="S22" s="181">
        <v>7525.3869999999997</v>
      </c>
      <c r="T22" s="181"/>
      <c r="Y22" s="181">
        <f>S22</f>
        <v>7525.3869999999997</v>
      </c>
      <c r="AX22" s="165">
        <f t="shared" si="0"/>
        <v>45045.431250000001</v>
      </c>
      <c r="AY22" s="165">
        <f t="shared" si="1"/>
        <v>45059.487500000003</v>
      </c>
      <c r="AZ22" s="137">
        <f t="shared" si="2"/>
        <v>14.056250000001455</v>
      </c>
      <c r="BA22" s="165">
        <v>45045.431250000001</v>
      </c>
      <c r="BB22" s="165">
        <v>45046.311111111114</v>
      </c>
      <c r="BC22" s="165">
        <v>45048.145833333336</v>
      </c>
      <c r="BD22" s="165">
        <v>45054.069444444445</v>
      </c>
      <c r="BE22" s="165">
        <v>45054.194444444445</v>
      </c>
      <c r="BF22" s="165">
        <v>45054.201388888891</v>
      </c>
      <c r="BG22" s="165">
        <v>45054.201388888891</v>
      </c>
      <c r="BH22" s="165">
        <f t="shared" si="15"/>
        <v>45055.909722222226</v>
      </c>
      <c r="BI22" s="165">
        <v>45056.25</v>
      </c>
      <c r="BJ22" s="165">
        <v>45056.416666666664</v>
      </c>
      <c r="BK22" s="165">
        <v>45056.275000000001</v>
      </c>
      <c r="BL22" s="165">
        <v>45057.416666666664</v>
      </c>
      <c r="BM22" s="165">
        <v>45058.520833333336</v>
      </c>
      <c r="BN22" s="165">
        <v>45059.083333333336</v>
      </c>
      <c r="BO22" s="165">
        <v>45059.104166666664</v>
      </c>
      <c r="BP22" s="165">
        <v>45059.104166666664</v>
      </c>
      <c r="BQ22" s="165">
        <v>45059.487500000003</v>
      </c>
      <c r="BT22" s="136">
        <f t="shared" si="3"/>
        <v>44.033333333325572</v>
      </c>
      <c r="BU22" s="136">
        <f t="shared" si="4"/>
        <v>3</v>
      </c>
      <c r="BV22" s="136">
        <f t="shared" si="5"/>
        <v>41.000000000058208</v>
      </c>
      <c r="BW22" s="136">
        <f t="shared" si="6"/>
        <v>24</v>
      </c>
      <c r="BX22" s="135">
        <f t="shared" si="7"/>
        <v>13.5</v>
      </c>
      <c r="BY22" s="135">
        <f t="shared" si="8"/>
        <v>9.2000000001280569</v>
      </c>
      <c r="BZ22" s="134">
        <f t="shared" si="9"/>
        <v>5.6138888888963265</v>
      </c>
      <c r="CA22" s="134">
        <f t="shared" si="10"/>
        <v>14.056250000001455</v>
      </c>
      <c r="CB22" s="133">
        <f t="shared" si="11"/>
        <v>0.39938738204682939</v>
      </c>
    </row>
    <row r="23" spans="1:82" s="126" customFormat="1">
      <c r="A23" s="192">
        <f t="shared" si="12"/>
        <v>45054.232638888891</v>
      </c>
      <c r="B23" s="126" t="s">
        <v>228</v>
      </c>
      <c r="C23" s="126" t="s">
        <v>229</v>
      </c>
      <c r="D23" s="126" t="s">
        <v>197</v>
      </c>
      <c r="E23" s="65" t="s">
        <v>1465</v>
      </c>
      <c r="G23" s="73">
        <v>45047.666666666664</v>
      </c>
      <c r="H23" s="73">
        <v>45047.708333333336</v>
      </c>
      <c r="I23" s="126" t="s">
        <v>231</v>
      </c>
      <c r="J23" s="126" t="s">
        <v>192</v>
      </c>
      <c r="K23" s="126" t="s">
        <v>192</v>
      </c>
      <c r="L23" s="126" t="s">
        <v>1470</v>
      </c>
      <c r="M23" s="167"/>
      <c r="N23" s="126" t="s">
        <v>492</v>
      </c>
      <c r="O23" s="126" t="s">
        <v>493</v>
      </c>
      <c r="P23" s="126" t="s">
        <v>240</v>
      </c>
      <c r="Q23" s="181">
        <f>3152*2.4</f>
        <v>7564.7999999999993</v>
      </c>
      <c r="R23" s="181"/>
      <c r="S23" s="181">
        <v>7513.8190000000004</v>
      </c>
      <c r="T23" s="181"/>
      <c r="Y23" s="181">
        <f>S23</f>
        <v>7513.8190000000004</v>
      </c>
      <c r="AX23" s="165">
        <f t="shared" si="0"/>
        <v>45045.805555555555</v>
      </c>
      <c r="AY23" s="165">
        <f t="shared" si="1"/>
        <v>45060.791666666664</v>
      </c>
      <c r="AZ23" s="137">
        <f t="shared" si="2"/>
        <v>14.986111111109494</v>
      </c>
      <c r="BA23" s="165">
        <v>45045.805555555555</v>
      </c>
      <c r="BB23" s="165">
        <v>45046.780555555553</v>
      </c>
      <c r="BC23" s="165">
        <v>45048.46875</v>
      </c>
      <c r="BD23" s="165">
        <v>45054.232638888891</v>
      </c>
      <c r="BE23" s="165">
        <v>45054.493055555555</v>
      </c>
      <c r="BF23" s="165">
        <v>45054.496527777781</v>
      </c>
      <c r="BG23" s="165">
        <v>45054.496527777781</v>
      </c>
      <c r="BH23" s="165">
        <f t="shared" si="15"/>
        <v>45056.204861111117</v>
      </c>
      <c r="BI23" s="165">
        <v>45056.25</v>
      </c>
      <c r="BJ23" s="165">
        <v>45056.416666666664</v>
      </c>
      <c r="BK23" s="165">
        <v>45056.289583333331</v>
      </c>
      <c r="BL23" s="165">
        <v>45057.604166666664</v>
      </c>
      <c r="BM23" s="165">
        <v>45060.090277777781</v>
      </c>
      <c r="BN23" s="165">
        <v>45060.395833333336</v>
      </c>
      <c r="BO23" s="165">
        <v>45060.416666666664</v>
      </c>
      <c r="BP23" s="165">
        <v>45060.416666666664</v>
      </c>
      <c r="BQ23" s="165">
        <v>45060.791666666664</v>
      </c>
      <c r="BT23" s="136">
        <f t="shared" si="3"/>
        <v>40.516666666720994</v>
      </c>
      <c r="BU23" s="136">
        <f t="shared" si="4"/>
        <v>6.2499999999417923</v>
      </c>
      <c r="BV23" s="136">
        <f t="shared" si="5"/>
        <v>41.000000000058208</v>
      </c>
      <c r="BW23" s="136">
        <f t="shared" si="6"/>
        <v>28.5</v>
      </c>
      <c r="BX23" s="135">
        <f t="shared" si="7"/>
        <v>7.3333333333139308</v>
      </c>
      <c r="BY23" s="135">
        <f t="shared" si="8"/>
        <v>9</v>
      </c>
      <c r="BZ23" s="134">
        <f t="shared" si="9"/>
        <v>5.5250000000014552</v>
      </c>
      <c r="CA23" s="134">
        <f t="shared" si="10"/>
        <v>14.986111111109494</v>
      </c>
      <c r="CB23" s="133">
        <f t="shared" si="11"/>
        <v>0.36867469879531761</v>
      </c>
    </row>
    <row r="24" spans="1:82" s="121" customFormat="1">
      <c r="A24" s="192">
        <f t="shared" si="12"/>
        <v>45054.569444444445</v>
      </c>
      <c r="B24" s="126" t="s">
        <v>228</v>
      </c>
      <c r="C24" s="126" t="s">
        <v>229</v>
      </c>
      <c r="D24" s="126" t="s">
        <v>197</v>
      </c>
      <c r="E24" s="65" t="s">
        <v>1465</v>
      </c>
      <c r="F24" s="65"/>
      <c r="G24" s="73">
        <v>45047.666666666664</v>
      </c>
      <c r="H24" s="73">
        <v>45047.708333333336</v>
      </c>
      <c r="I24" s="126" t="s">
        <v>231</v>
      </c>
      <c r="J24" s="126" t="s">
        <v>192</v>
      </c>
      <c r="K24" s="126" t="s">
        <v>192</v>
      </c>
      <c r="L24" s="126" t="s">
        <v>1471</v>
      </c>
      <c r="M24" s="167"/>
      <c r="N24" s="126" t="s">
        <v>263</v>
      </c>
      <c r="O24" s="126" t="s">
        <v>264</v>
      </c>
      <c r="P24" s="126" t="s">
        <v>1472</v>
      </c>
      <c r="Q24" s="181">
        <f>3136*2.4</f>
        <v>7526.4</v>
      </c>
      <c r="R24" s="181"/>
      <c r="S24" s="181">
        <v>7465.8190000000004</v>
      </c>
      <c r="T24" s="181"/>
      <c r="U24" s="126"/>
      <c r="V24" s="126"/>
      <c r="W24" s="126"/>
      <c r="X24" s="181">
        <f>S24*0.5</f>
        <v>3732.9095000000002</v>
      </c>
      <c r="Y24" s="181">
        <f>S24*0.5</f>
        <v>3732.9095000000002</v>
      </c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65">
        <f t="shared" si="0"/>
        <v>45045.46875</v>
      </c>
      <c r="AY24" s="165">
        <f t="shared" si="1"/>
        <v>45061.201388888891</v>
      </c>
      <c r="AZ24" s="137">
        <f t="shared" si="2"/>
        <v>15.732638888890506</v>
      </c>
      <c r="BA24" s="165">
        <v>45045.46875</v>
      </c>
      <c r="BB24" s="165">
        <v>45047.819444444445</v>
      </c>
      <c r="BC24" s="165">
        <v>45051.527777777781</v>
      </c>
      <c r="BD24" s="165">
        <v>45054.569444444445</v>
      </c>
      <c r="BE24" s="165">
        <v>45054.713194444441</v>
      </c>
      <c r="BF24" s="165">
        <v>45054.715277777781</v>
      </c>
      <c r="BG24" s="165">
        <v>45054.715277777781</v>
      </c>
      <c r="BH24" s="165">
        <f t="shared" si="15"/>
        <v>45056.423611111117</v>
      </c>
      <c r="BI24" s="165">
        <v>45056.25</v>
      </c>
      <c r="BJ24" s="165">
        <v>45056.416666666664</v>
      </c>
      <c r="BK24" s="165">
        <v>45056.28125</v>
      </c>
      <c r="BL24" s="165">
        <v>45057.354166666664</v>
      </c>
      <c r="BM24" s="165">
        <v>45060.472222222219</v>
      </c>
      <c r="BN24" s="165">
        <v>45060.763888888891</v>
      </c>
      <c r="BO24" s="165">
        <v>45060.791666666664</v>
      </c>
      <c r="BP24" s="165">
        <v>45060.972222222219</v>
      </c>
      <c r="BQ24" s="165">
        <v>45061.201388888891</v>
      </c>
      <c r="BR24" s="126"/>
      <c r="BS24" s="126"/>
      <c r="BT24" s="136">
        <f t="shared" si="3"/>
        <v>89.000000000058208</v>
      </c>
      <c r="BU24" s="136">
        <f t="shared" si="4"/>
        <v>3.4499999998952262</v>
      </c>
      <c r="BV24" s="136">
        <f t="shared" si="5"/>
        <v>41.000000000058208</v>
      </c>
      <c r="BW24" s="136">
        <f t="shared" si="6"/>
        <v>22.5</v>
      </c>
      <c r="BX24" s="135">
        <f t="shared" si="7"/>
        <v>7.0000000001164153</v>
      </c>
      <c r="BY24" s="135">
        <f t="shared" si="8"/>
        <v>5.5000000001164153</v>
      </c>
      <c r="BZ24" s="134">
        <f t="shared" si="9"/>
        <v>7.0187500000101863</v>
      </c>
      <c r="CA24" s="134">
        <f t="shared" si="10"/>
        <v>15.732638888890506</v>
      </c>
      <c r="CB24" s="133">
        <f t="shared" si="11"/>
        <v>0.4461266828520693</v>
      </c>
      <c r="CC24" s="126"/>
      <c r="CD24" s="126"/>
    </row>
    <row r="25" spans="1:82" s="126" customFormat="1">
      <c r="A25" s="192">
        <f t="shared" si="12"/>
        <v>45054.753472222219</v>
      </c>
      <c r="B25" s="126" t="s">
        <v>228</v>
      </c>
      <c r="C25" s="126" t="s">
        <v>229</v>
      </c>
      <c r="D25" s="126" t="s">
        <v>215</v>
      </c>
      <c r="E25" s="65" t="s">
        <v>1465</v>
      </c>
      <c r="F25" s="65"/>
      <c r="G25" s="73">
        <v>45047.666666666664</v>
      </c>
      <c r="H25" s="73">
        <v>45047.708333333336</v>
      </c>
      <c r="I25" s="126" t="s">
        <v>231</v>
      </c>
      <c r="J25" s="126" t="s">
        <v>192</v>
      </c>
      <c r="K25" s="126" t="s">
        <v>192</v>
      </c>
      <c r="L25" s="126" t="s">
        <v>1473</v>
      </c>
      <c r="M25" s="167"/>
      <c r="N25" s="126" t="s">
        <v>390</v>
      </c>
      <c r="O25" s="126" t="s">
        <v>391</v>
      </c>
      <c r="P25" s="126" t="s">
        <v>1472</v>
      </c>
      <c r="Q25" s="181">
        <f>3097*2.4</f>
        <v>7432.7999999999993</v>
      </c>
      <c r="R25" s="181"/>
      <c r="S25" s="181">
        <f>7503.276-3610.261</f>
        <v>3893.0149999999999</v>
      </c>
      <c r="T25" s="181"/>
      <c r="X25" s="181">
        <f>S25*0.5</f>
        <v>1946.5074999999999</v>
      </c>
      <c r="Y25" s="181">
        <f>S25*0.5</f>
        <v>1946.5074999999999</v>
      </c>
      <c r="AX25" s="165">
        <f t="shared" si="0"/>
        <v>45048.291666666664</v>
      </c>
      <c r="AY25" s="165">
        <f t="shared" si="1"/>
        <v>45060.916666666664</v>
      </c>
      <c r="AZ25" s="137">
        <f t="shared" si="2"/>
        <v>12.625</v>
      </c>
      <c r="BA25" s="165">
        <v>45048.291666666664</v>
      </c>
      <c r="BB25" s="165">
        <v>45049.350694444445</v>
      </c>
      <c r="BC25" s="165">
        <v>45053.069444444445</v>
      </c>
      <c r="BD25" s="165">
        <v>45054.753472222219</v>
      </c>
      <c r="BE25" s="165">
        <v>45054.975694444445</v>
      </c>
      <c r="BF25" s="165">
        <v>45054.982638888891</v>
      </c>
      <c r="BG25" s="165">
        <v>45055.270833333336</v>
      </c>
      <c r="BH25" s="165">
        <f t="shared" si="15"/>
        <v>45056.979166666672</v>
      </c>
      <c r="BI25" s="165">
        <v>45057.25</v>
      </c>
      <c r="BJ25" s="165">
        <v>45057.416666666664</v>
      </c>
      <c r="BK25" s="165">
        <v>45057.298611111109</v>
      </c>
      <c r="BL25" s="165">
        <v>45058.486111111109</v>
      </c>
      <c r="BM25" s="165">
        <v>45060.440972222219</v>
      </c>
      <c r="BN25" s="165">
        <v>45060.875</v>
      </c>
      <c r="BO25" s="165">
        <v>45060.916666666664</v>
      </c>
      <c r="BP25" s="165">
        <v>45060.916666666664</v>
      </c>
      <c r="BQ25" s="165">
        <v>45060.916666666664</v>
      </c>
      <c r="BT25" s="136">
        <f t="shared" si="3"/>
        <v>89.25</v>
      </c>
      <c r="BU25" s="136">
        <f t="shared" si="4"/>
        <v>5.3333333334303461</v>
      </c>
      <c r="BV25" s="136">
        <f t="shared" si="5"/>
        <v>41.000000000058208</v>
      </c>
      <c r="BW25" s="136">
        <f t="shared" si="6"/>
        <v>25.666666666686069</v>
      </c>
      <c r="BX25" s="135">
        <f t="shared" si="7"/>
        <v>10.416666666744277</v>
      </c>
      <c r="BY25" s="135">
        <f t="shared" si="8"/>
        <v>0</v>
      </c>
      <c r="BZ25" s="134">
        <f t="shared" si="9"/>
        <v>7.1527777777882875</v>
      </c>
      <c r="CA25" s="134">
        <f t="shared" si="10"/>
        <v>12.625</v>
      </c>
      <c r="CB25" s="133">
        <f t="shared" si="11"/>
        <v>0.56655665566639901</v>
      </c>
    </row>
    <row r="26" spans="1:82" s="126" customFormat="1">
      <c r="A26" s="192">
        <f t="shared" si="12"/>
        <v>45054.753472222219</v>
      </c>
      <c r="B26" s="126" t="s">
        <v>228</v>
      </c>
      <c r="C26" s="126" t="s">
        <v>229</v>
      </c>
      <c r="D26" s="126" t="s">
        <v>215</v>
      </c>
      <c r="E26" s="126" t="s">
        <v>1464</v>
      </c>
      <c r="F26" s="65"/>
      <c r="G26" s="73">
        <v>45051.395833333336</v>
      </c>
      <c r="H26" s="73">
        <v>45051.395833333336</v>
      </c>
      <c r="I26" s="126" t="s">
        <v>231</v>
      </c>
      <c r="J26" s="126" t="s">
        <v>192</v>
      </c>
      <c r="K26" s="126" t="s">
        <v>192</v>
      </c>
      <c r="L26" s="126" t="s">
        <v>1473</v>
      </c>
      <c r="M26" s="167"/>
      <c r="N26" s="126" t="s">
        <v>390</v>
      </c>
      <c r="O26" s="126" t="s">
        <v>391</v>
      </c>
      <c r="P26" s="126" t="s">
        <v>1472</v>
      </c>
      <c r="Q26" s="181">
        <f>3097*2.4</f>
        <v>7432.7999999999993</v>
      </c>
      <c r="R26" s="181"/>
      <c r="S26" s="181">
        <v>3594.498</v>
      </c>
      <c r="T26" s="181"/>
      <c r="X26" s="181">
        <f>S26*0.5</f>
        <v>1797.249</v>
      </c>
      <c r="Y26" s="181">
        <f>S26*0.5</f>
        <v>1797.249</v>
      </c>
      <c r="AX26" s="165">
        <f t="shared" si="0"/>
        <v>45048.291666666664</v>
      </c>
      <c r="AY26" s="165">
        <f t="shared" si="1"/>
        <v>45062.944444444445</v>
      </c>
      <c r="AZ26" s="137">
        <f t="shared" si="2"/>
        <v>14.652777777781012</v>
      </c>
      <c r="BA26" s="165">
        <v>45048.291666666664</v>
      </c>
      <c r="BB26" s="165">
        <v>45049.350694444445</v>
      </c>
      <c r="BC26" s="165">
        <v>45053.069444444445</v>
      </c>
      <c r="BD26" s="165">
        <v>45054.753472222219</v>
      </c>
      <c r="BE26" s="165">
        <v>45054.975694444445</v>
      </c>
      <c r="BF26" s="165">
        <v>45054.982638888891</v>
      </c>
      <c r="BG26" s="165">
        <v>45055.270833333336</v>
      </c>
      <c r="BH26" s="165">
        <f t="shared" si="15"/>
        <v>45056.979166666672</v>
      </c>
      <c r="BI26" s="165">
        <v>45057.25</v>
      </c>
      <c r="BJ26" s="165">
        <v>45057.416666666664</v>
      </c>
      <c r="BK26" s="165">
        <v>45057.298611111109</v>
      </c>
      <c r="BL26" s="165">
        <v>45060.916666666664</v>
      </c>
      <c r="BM26" s="165">
        <v>45062.46875</v>
      </c>
      <c r="BN26" s="165">
        <v>45062.541666666664</v>
      </c>
      <c r="BO26" s="165">
        <v>45062.5625</v>
      </c>
      <c r="BP26" s="165">
        <v>45062.5625</v>
      </c>
      <c r="BQ26" s="165">
        <v>45062.944444444445</v>
      </c>
      <c r="BT26" s="136">
        <f t="shared" si="3"/>
        <v>89.25</v>
      </c>
      <c r="BU26" s="136">
        <f t="shared" si="4"/>
        <v>5.3333333334303461</v>
      </c>
      <c r="BV26" s="136">
        <f t="shared" si="5"/>
        <v>41.000000000058208</v>
      </c>
      <c r="BW26" s="136">
        <f t="shared" si="6"/>
        <v>84</v>
      </c>
      <c r="BX26" s="135">
        <f t="shared" si="7"/>
        <v>1.7499999999417923</v>
      </c>
      <c r="BY26" s="135">
        <f t="shared" si="8"/>
        <v>9.1666666666860692</v>
      </c>
      <c r="BZ26" s="134">
        <f t="shared" si="9"/>
        <v>9.6041666666715173</v>
      </c>
      <c r="CA26" s="134">
        <f t="shared" si="10"/>
        <v>14.652777777781012</v>
      </c>
      <c r="CB26" s="133">
        <f t="shared" si="11"/>
        <v>0.65545023696701099</v>
      </c>
    </row>
    <row r="27" spans="1:82" s="126" customFormat="1">
      <c r="A27" s="192"/>
      <c r="D27" s="126" t="s">
        <v>197</v>
      </c>
      <c r="G27" s="165"/>
      <c r="H27" s="165"/>
      <c r="J27" s="126" t="s">
        <v>312</v>
      </c>
      <c r="L27" s="126" t="s">
        <v>1474</v>
      </c>
      <c r="M27" s="167"/>
      <c r="N27" s="126" t="s">
        <v>339</v>
      </c>
      <c r="O27" s="126" t="s">
        <v>340</v>
      </c>
      <c r="Q27" s="181">
        <f>3141*2.4</f>
        <v>7538.4</v>
      </c>
      <c r="R27" s="181"/>
      <c r="S27" s="181"/>
      <c r="T27" s="181"/>
      <c r="AX27" s="165">
        <f t="shared" si="0"/>
        <v>45041.427083333336</v>
      </c>
      <c r="AY27" s="165">
        <f t="shared" si="1"/>
        <v>45076.6875</v>
      </c>
      <c r="AZ27" s="137">
        <f t="shared" si="2"/>
        <v>35.260416666664241</v>
      </c>
      <c r="BA27" s="165">
        <v>45041.427083333336</v>
      </c>
      <c r="BB27" s="165"/>
      <c r="BC27" s="165"/>
      <c r="BD27" s="165"/>
      <c r="BE27" s="165"/>
      <c r="BF27" s="165"/>
      <c r="BG27" s="165"/>
      <c r="BH27" s="165"/>
      <c r="BI27" s="165"/>
      <c r="BJ27" s="165"/>
      <c r="BK27" s="166"/>
      <c r="BL27" s="165"/>
      <c r="BM27" s="165"/>
      <c r="BN27" s="165"/>
      <c r="BO27" s="165"/>
      <c r="BP27" s="165"/>
      <c r="BQ27" s="165">
        <v>45076.6875</v>
      </c>
      <c r="BT27" s="136">
        <f t="shared" si="3"/>
        <v>0</v>
      </c>
      <c r="BU27" s="136">
        <f t="shared" si="4"/>
        <v>0</v>
      </c>
      <c r="BV27" s="136">
        <f t="shared" si="5"/>
        <v>0</v>
      </c>
      <c r="BW27" s="136">
        <f t="shared" si="6"/>
        <v>0</v>
      </c>
      <c r="BX27" s="135">
        <f t="shared" si="7"/>
        <v>0</v>
      </c>
      <c r="BY27" s="135">
        <f t="shared" si="8"/>
        <v>1081840.5</v>
      </c>
      <c r="BZ27" s="134">
        <f t="shared" si="9"/>
        <v>45076.6875</v>
      </c>
      <c r="CA27" s="134">
        <f t="shared" si="10"/>
        <v>35.260416666664241</v>
      </c>
      <c r="CB27" s="133">
        <f t="shared" si="11"/>
        <v>1278.3935007386403</v>
      </c>
    </row>
    <row r="28" spans="1:82" s="126" customFormat="1">
      <c r="A28" s="192">
        <f>BD28</f>
        <v>45057.177083333336</v>
      </c>
      <c r="B28" s="126" t="s">
        <v>228</v>
      </c>
      <c r="C28" s="126" t="s">
        <v>229</v>
      </c>
      <c r="D28" s="126" t="s">
        <v>197</v>
      </c>
      <c r="E28" s="65" t="s">
        <v>1464</v>
      </c>
      <c r="G28" s="73">
        <v>45051.395833333336</v>
      </c>
      <c r="H28" s="73">
        <v>45051.395833333336</v>
      </c>
      <c r="I28" s="126" t="s">
        <v>231</v>
      </c>
      <c r="J28" s="126" t="s">
        <v>192</v>
      </c>
      <c r="K28" s="126" t="s">
        <v>192</v>
      </c>
      <c r="L28" s="126" t="s">
        <v>1475</v>
      </c>
      <c r="M28" s="167"/>
      <c r="N28" s="126" t="s">
        <v>361</v>
      </c>
      <c r="O28" s="126" t="s">
        <v>362</v>
      </c>
      <c r="P28" s="126" t="s">
        <v>240</v>
      </c>
      <c r="Q28" s="181">
        <f>3039*2.4</f>
        <v>7293.5999999999995</v>
      </c>
      <c r="R28" s="181"/>
      <c r="S28" s="181">
        <v>7556.9669999999996</v>
      </c>
      <c r="T28" s="181"/>
      <c r="X28" s="181"/>
      <c r="Y28" s="181">
        <f t="shared" ref="Y28:Y34" si="16">S28</f>
        <v>7556.9669999999996</v>
      </c>
      <c r="AX28" s="165">
        <f t="shared" si="0"/>
        <v>45049.479166666664</v>
      </c>
      <c r="AY28" s="165">
        <f t="shared" si="1"/>
        <v>45064</v>
      </c>
      <c r="AZ28" s="137">
        <f t="shared" si="2"/>
        <v>14.520833333335759</v>
      </c>
      <c r="BA28" s="165">
        <v>45049.479166666664</v>
      </c>
      <c r="BB28" s="165">
        <v>45052.618055555555</v>
      </c>
      <c r="BC28" s="165">
        <v>45054.277777777781</v>
      </c>
      <c r="BD28" s="165">
        <v>45057.177083333336</v>
      </c>
      <c r="BE28" s="165">
        <v>45057.395833333336</v>
      </c>
      <c r="BF28" s="165">
        <v>45057.399305555555</v>
      </c>
      <c r="BG28" s="165">
        <v>45057.399305555555</v>
      </c>
      <c r="BH28" s="165">
        <f t="shared" ref="BH28:BH88" si="17">BG28+(41/24)</f>
        <v>45059.107638888891</v>
      </c>
      <c r="BI28" s="165">
        <v>45059.25</v>
      </c>
      <c r="BJ28" s="165">
        <v>45059.416666666664</v>
      </c>
      <c r="BK28" s="165">
        <v>45059.399305555555</v>
      </c>
      <c r="BL28" s="165">
        <v>45060.4375</v>
      </c>
      <c r="BM28" s="165">
        <v>45063.395833333336</v>
      </c>
      <c r="BN28" s="165">
        <v>45063.638888888891</v>
      </c>
      <c r="BO28" s="165">
        <v>45063.659722222219</v>
      </c>
      <c r="BP28" s="165">
        <v>45063.659722222219</v>
      </c>
      <c r="BQ28" s="165">
        <v>45064</v>
      </c>
      <c r="BT28" s="136">
        <f t="shared" si="3"/>
        <v>39.833333333430346</v>
      </c>
      <c r="BU28" s="136">
        <f t="shared" si="4"/>
        <v>5.25</v>
      </c>
      <c r="BV28" s="136">
        <f t="shared" si="5"/>
        <v>41.000000000058208</v>
      </c>
      <c r="BW28" s="136">
        <f t="shared" si="6"/>
        <v>24.500000000058208</v>
      </c>
      <c r="BX28" s="135">
        <f t="shared" si="7"/>
        <v>5.8333333333139308</v>
      </c>
      <c r="BY28" s="135">
        <f t="shared" si="8"/>
        <v>8.1666666667442769</v>
      </c>
      <c r="BZ28" s="134">
        <f t="shared" si="9"/>
        <v>5.1909722222335404</v>
      </c>
      <c r="CA28" s="134">
        <f t="shared" si="10"/>
        <v>14.520833333335759</v>
      </c>
      <c r="CB28" s="133">
        <f t="shared" si="11"/>
        <v>0.35748445719823291</v>
      </c>
    </row>
    <row r="29" spans="1:82" s="126" customFormat="1">
      <c r="A29" s="192">
        <f>BD29</f>
        <v>45057.427083333336</v>
      </c>
      <c r="B29" s="126" t="s">
        <v>228</v>
      </c>
      <c r="C29" s="126" t="s">
        <v>229</v>
      </c>
      <c r="D29" s="126" t="s">
        <v>197</v>
      </c>
      <c r="E29" s="65" t="s">
        <v>1464</v>
      </c>
      <c r="G29" s="73">
        <v>45051.395833333336</v>
      </c>
      <c r="H29" s="73">
        <v>45051.395833333336</v>
      </c>
      <c r="I29" s="126" t="s">
        <v>231</v>
      </c>
      <c r="J29" s="126" t="s">
        <v>192</v>
      </c>
      <c r="K29" s="126" t="s">
        <v>192</v>
      </c>
      <c r="L29" s="126" t="s">
        <v>1476</v>
      </c>
      <c r="M29" s="167"/>
      <c r="N29" s="126" t="s">
        <v>473</v>
      </c>
      <c r="O29" s="126" t="s">
        <v>474</v>
      </c>
      <c r="P29" s="126" t="s">
        <v>240</v>
      </c>
      <c r="Q29" s="181">
        <f>3136*2.4</f>
        <v>7526.4</v>
      </c>
      <c r="R29" s="181"/>
      <c r="S29" s="181">
        <v>7313.2309999999998</v>
      </c>
      <c r="T29" s="181"/>
      <c r="Y29" s="181">
        <f t="shared" si="16"/>
        <v>7313.2309999999998</v>
      </c>
      <c r="AX29" s="165">
        <f t="shared" si="0"/>
        <v>45049.059027777781</v>
      </c>
      <c r="AY29" s="165">
        <f t="shared" si="1"/>
        <v>45064.333333333336</v>
      </c>
      <c r="AZ29" s="137">
        <f t="shared" si="2"/>
        <v>15.274305555554747</v>
      </c>
      <c r="BA29" s="165">
        <v>45049.059027777781</v>
      </c>
      <c r="BB29" s="165">
        <v>45052.604166666664</v>
      </c>
      <c r="BC29" s="165">
        <v>45054.284722222219</v>
      </c>
      <c r="BD29" s="165">
        <v>45057.427083333336</v>
      </c>
      <c r="BE29" s="165">
        <v>45057.545138888891</v>
      </c>
      <c r="BF29" s="165">
        <v>45057.552083333336</v>
      </c>
      <c r="BG29" s="165">
        <v>45057.552083333336</v>
      </c>
      <c r="BH29" s="165">
        <f t="shared" si="17"/>
        <v>45059.260416666672</v>
      </c>
      <c r="BI29" s="165">
        <v>45059.25</v>
      </c>
      <c r="BJ29" s="165">
        <v>45059.416666666664</v>
      </c>
      <c r="BK29" s="165">
        <v>45059.371527777781</v>
      </c>
      <c r="BL29" s="165">
        <v>45060.444444444445</v>
      </c>
      <c r="BM29" s="165">
        <v>45063.701388888891</v>
      </c>
      <c r="BN29" s="165">
        <v>45063.861111111109</v>
      </c>
      <c r="BO29" s="165">
        <v>45063.881944444445</v>
      </c>
      <c r="BP29" s="165">
        <v>45064.055555555555</v>
      </c>
      <c r="BQ29" s="165">
        <v>45064.333333333336</v>
      </c>
      <c r="BT29" s="136">
        <f t="shared" si="3"/>
        <v>40.333333333313931</v>
      </c>
      <c r="BU29" s="136">
        <f t="shared" si="4"/>
        <v>2.8333333333139308</v>
      </c>
      <c r="BV29" s="136">
        <f t="shared" si="5"/>
        <v>41.000000000058208</v>
      </c>
      <c r="BW29" s="136">
        <f t="shared" si="6"/>
        <v>24.666666666744277</v>
      </c>
      <c r="BX29" s="135">
        <f t="shared" si="7"/>
        <v>3.8333333332557231</v>
      </c>
      <c r="BY29" s="135">
        <f t="shared" si="8"/>
        <v>6.6666666667442769</v>
      </c>
      <c r="BZ29" s="134">
        <f t="shared" si="9"/>
        <v>4.9722222222262644</v>
      </c>
      <c r="CA29" s="134">
        <f t="shared" si="10"/>
        <v>15.274305555554747</v>
      </c>
      <c r="CB29" s="133">
        <f t="shared" si="11"/>
        <v>0.32552852921146624</v>
      </c>
    </row>
    <row r="30" spans="1:82" s="126" customFormat="1">
      <c r="A30" s="192">
        <f>BD30</f>
        <v>45057.569444444445</v>
      </c>
      <c r="B30" s="126" t="s">
        <v>228</v>
      </c>
      <c r="C30" s="126" t="s">
        <v>229</v>
      </c>
      <c r="D30" s="126" t="s">
        <v>197</v>
      </c>
      <c r="E30" s="65" t="s">
        <v>1464</v>
      </c>
      <c r="G30" s="73">
        <v>45051.395833333336</v>
      </c>
      <c r="H30" s="73">
        <v>45051.395833333336</v>
      </c>
      <c r="I30" s="126" t="s">
        <v>231</v>
      </c>
      <c r="J30" s="126" t="s">
        <v>192</v>
      </c>
      <c r="K30" s="126" t="s">
        <v>192</v>
      </c>
      <c r="L30" s="126" t="s">
        <v>1477</v>
      </c>
      <c r="M30" s="167"/>
      <c r="N30" s="126" t="s">
        <v>489</v>
      </c>
      <c r="O30" s="126" t="s">
        <v>483</v>
      </c>
      <c r="P30" s="126" t="s">
        <v>240</v>
      </c>
      <c r="Q30" s="181">
        <f>3107*2.4</f>
        <v>7456.7999999999993</v>
      </c>
      <c r="R30" s="181"/>
      <c r="S30" s="181">
        <v>7357.89</v>
      </c>
      <c r="T30" s="181"/>
      <c r="Y30" s="181">
        <f t="shared" si="16"/>
        <v>7357.89</v>
      </c>
      <c r="AX30" s="165">
        <f t="shared" si="0"/>
        <v>45049.40625</v>
      </c>
      <c r="AY30" s="165">
        <f t="shared" si="1"/>
        <v>45063.739583333336</v>
      </c>
      <c r="AZ30" s="137">
        <f t="shared" si="2"/>
        <v>14.333333333335759</v>
      </c>
      <c r="BA30" s="165">
        <v>45049.40625</v>
      </c>
      <c r="BB30" s="165">
        <v>45052.647916666669</v>
      </c>
      <c r="BC30" s="165">
        <v>45054.288194444445</v>
      </c>
      <c r="BD30" s="165">
        <v>45057.569444444445</v>
      </c>
      <c r="BE30" s="165">
        <v>45057.715277777781</v>
      </c>
      <c r="BF30" s="165">
        <v>45057.722222222219</v>
      </c>
      <c r="BG30" s="165">
        <v>45057.722222222219</v>
      </c>
      <c r="BH30" s="165">
        <f t="shared" si="17"/>
        <v>45059.430555555555</v>
      </c>
      <c r="BI30" s="165">
        <v>45059.25</v>
      </c>
      <c r="BJ30" s="165">
        <v>45059.416666666664</v>
      </c>
      <c r="BK30" s="165">
        <v>45059.376388888886</v>
      </c>
      <c r="BL30" s="165">
        <v>45060.416666666664</v>
      </c>
      <c r="BM30" s="165">
        <v>45062.958333333336</v>
      </c>
      <c r="BN30" s="165">
        <v>45063.229166666664</v>
      </c>
      <c r="BO30" s="165">
        <v>45063.25</v>
      </c>
      <c r="BP30" s="165">
        <v>45063.25</v>
      </c>
      <c r="BQ30" s="165">
        <v>45063.739583333336</v>
      </c>
      <c r="BT30" s="136">
        <f t="shared" si="3"/>
        <v>39.366666666639503</v>
      </c>
      <c r="BU30" s="136">
        <f t="shared" si="4"/>
        <v>3.5000000000582077</v>
      </c>
      <c r="BV30" s="136">
        <f t="shared" si="5"/>
        <v>41.000000000058208</v>
      </c>
      <c r="BW30" s="136">
        <f t="shared" si="6"/>
        <v>24</v>
      </c>
      <c r="BX30" s="135">
        <f t="shared" si="7"/>
        <v>6.4999999998835847</v>
      </c>
      <c r="BY30" s="135">
        <f t="shared" si="8"/>
        <v>11.750000000058208</v>
      </c>
      <c r="BZ30" s="134">
        <f t="shared" si="9"/>
        <v>5.2548611111124046</v>
      </c>
      <c r="CA30" s="134">
        <f t="shared" si="10"/>
        <v>14.333333333335759</v>
      </c>
      <c r="CB30" s="133">
        <f t="shared" si="11"/>
        <v>0.36661821705429176</v>
      </c>
    </row>
    <row r="31" spans="1:82" s="126" customFormat="1">
      <c r="A31" s="192">
        <f>BD31</f>
        <v>45057.753472222219</v>
      </c>
      <c r="B31" s="126" t="s">
        <v>228</v>
      </c>
      <c r="C31" s="126" t="s">
        <v>229</v>
      </c>
      <c r="D31" s="126" t="s">
        <v>197</v>
      </c>
      <c r="E31" s="65" t="s">
        <v>1464</v>
      </c>
      <c r="G31" s="73">
        <v>45051.395833333336</v>
      </c>
      <c r="H31" s="73">
        <v>45051.395833333336</v>
      </c>
      <c r="I31" s="126" t="s">
        <v>231</v>
      </c>
      <c r="J31" s="126" t="s">
        <v>192</v>
      </c>
      <c r="K31" s="126" t="s">
        <v>192</v>
      </c>
      <c r="L31" s="126" t="s">
        <v>1478</v>
      </c>
      <c r="M31" s="167"/>
      <c r="N31" s="126" t="s">
        <v>249</v>
      </c>
      <c r="O31" s="126" t="s">
        <v>250</v>
      </c>
      <c r="P31" s="126" t="s">
        <v>240</v>
      </c>
      <c r="Q31" s="181">
        <f>3139*2.4</f>
        <v>7533.5999999999995</v>
      </c>
      <c r="R31" s="181"/>
      <c r="S31" s="181">
        <f>7508.984-6596.577</f>
        <v>912.40700000000015</v>
      </c>
      <c r="T31" s="181"/>
      <c r="Y31" s="181">
        <f t="shared" si="16"/>
        <v>912.40700000000015</v>
      </c>
      <c r="AX31" s="165">
        <f t="shared" si="0"/>
        <v>45049.958333333336</v>
      </c>
      <c r="AY31" s="165">
        <f t="shared" si="1"/>
        <v>45065.194444444445</v>
      </c>
      <c r="AZ31" s="137">
        <f t="shared" si="2"/>
        <v>15.236111111109494</v>
      </c>
      <c r="BA31" s="165">
        <v>45049.958333333336</v>
      </c>
      <c r="BB31" s="165">
        <v>45052.579861111109</v>
      </c>
      <c r="BC31" s="165">
        <v>45054.583333333336</v>
      </c>
      <c r="BD31" s="165">
        <v>45057.753472222219</v>
      </c>
      <c r="BE31" s="165">
        <v>45057.934027777781</v>
      </c>
      <c r="BF31" s="165">
        <v>45057.940972222219</v>
      </c>
      <c r="BG31" s="165">
        <v>45058.270833333336</v>
      </c>
      <c r="BH31" s="165">
        <f t="shared" si="17"/>
        <v>45059.979166666672</v>
      </c>
      <c r="BI31" s="165">
        <v>45060.25</v>
      </c>
      <c r="BJ31" s="165">
        <v>45060.416666666664</v>
      </c>
      <c r="BK31" s="165">
        <v>45060.291666666664</v>
      </c>
      <c r="BL31" s="165">
        <v>45061.395833333336</v>
      </c>
      <c r="BM31" s="165">
        <v>45065.097222222219</v>
      </c>
      <c r="BN31" s="165">
        <v>45065.138888888891</v>
      </c>
      <c r="BO31" s="165">
        <v>45065.194444444445</v>
      </c>
      <c r="BP31" s="165">
        <v>45065.194444444445</v>
      </c>
      <c r="BQ31" s="165">
        <v>45065.194444444445</v>
      </c>
      <c r="BT31" s="136">
        <f t="shared" si="3"/>
        <v>48.083333333430346</v>
      </c>
      <c r="BU31" s="136">
        <f t="shared" si="4"/>
        <v>4.3333333334885538</v>
      </c>
      <c r="BV31" s="136">
        <f t="shared" si="5"/>
        <v>41.000000000058208</v>
      </c>
      <c r="BW31" s="136">
        <f t="shared" si="6"/>
        <v>23.500000000116415</v>
      </c>
      <c r="BX31" s="135">
        <f t="shared" si="7"/>
        <v>1.0000000001164153</v>
      </c>
      <c r="BY31" s="135">
        <f t="shared" si="8"/>
        <v>0</v>
      </c>
      <c r="BZ31" s="134">
        <f t="shared" si="9"/>
        <v>4.9131944444670808</v>
      </c>
      <c r="CA31" s="134">
        <f t="shared" si="10"/>
        <v>15.236111111109494</v>
      </c>
      <c r="CB31" s="133">
        <f t="shared" si="11"/>
        <v>0.3224703737481015</v>
      </c>
    </row>
    <row r="32" spans="1:82" s="126" customFormat="1">
      <c r="A32" s="192">
        <v>45057.753472222219</v>
      </c>
      <c r="B32" s="126" t="s">
        <v>228</v>
      </c>
      <c r="C32" s="126" t="s">
        <v>229</v>
      </c>
      <c r="D32" s="126" t="s">
        <v>197</v>
      </c>
      <c r="E32" s="65" t="s">
        <v>944</v>
      </c>
      <c r="G32" s="73">
        <v>45066.083333333336</v>
      </c>
      <c r="H32" s="73">
        <v>45066.125</v>
      </c>
      <c r="I32" s="126" t="s">
        <v>231</v>
      </c>
      <c r="J32" s="126" t="s">
        <v>192</v>
      </c>
      <c r="K32" s="126" t="s">
        <v>192</v>
      </c>
      <c r="L32" s="126" t="s">
        <v>1478</v>
      </c>
      <c r="M32" s="167"/>
      <c r="N32" s="126" t="s">
        <v>249</v>
      </c>
      <c r="O32" s="126" t="s">
        <v>250</v>
      </c>
      <c r="P32" s="126" t="s">
        <v>240</v>
      </c>
      <c r="Q32" s="181">
        <f>3139*2.4</f>
        <v>7533.5999999999995</v>
      </c>
      <c r="R32" s="181"/>
      <c r="S32" s="181">
        <v>6007.6729999999998</v>
      </c>
      <c r="T32" s="181"/>
      <c r="Y32" s="181">
        <f t="shared" si="16"/>
        <v>6007.6729999999998</v>
      </c>
      <c r="AX32" s="165">
        <f t="shared" si="0"/>
        <v>45049.958333333336</v>
      </c>
      <c r="AY32" s="165">
        <f t="shared" si="1"/>
        <v>45068.5</v>
      </c>
      <c r="AZ32" s="137">
        <f t="shared" si="2"/>
        <v>18.541666666664241</v>
      </c>
      <c r="BA32" s="165">
        <v>45049.958333333336</v>
      </c>
      <c r="BB32" s="165">
        <v>45052.579861111109</v>
      </c>
      <c r="BC32" s="165">
        <v>45054.583333333336</v>
      </c>
      <c r="BD32" s="165">
        <v>45057.753472222219</v>
      </c>
      <c r="BE32" s="165">
        <v>45057.934027777781</v>
      </c>
      <c r="BF32" s="165">
        <v>45057.940972222219</v>
      </c>
      <c r="BG32" s="165">
        <v>45058.270833333336</v>
      </c>
      <c r="BH32" s="165">
        <f t="shared" si="17"/>
        <v>45059.979166666672</v>
      </c>
      <c r="BI32" s="165">
        <v>45060.25</v>
      </c>
      <c r="BJ32" s="165">
        <v>45060.416666666664</v>
      </c>
      <c r="BK32" s="165">
        <v>45060.291666666664</v>
      </c>
      <c r="BL32" s="165">
        <v>45065.194444444445</v>
      </c>
      <c r="BM32" s="165">
        <v>45067.784722222219</v>
      </c>
      <c r="BN32" s="165">
        <v>45068.135416666664</v>
      </c>
      <c r="BO32" s="165">
        <v>45068.166666666664</v>
      </c>
      <c r="BP32" s="165">
        <v>45068.166666666664</v>
      </c>
      <c r="BQ32" s="165">
        <v>45068.5</v>
      </c>
      <c r="BT32" s="136">
        <f t="shared" si="3"/>
        <v>48.083333333430346</v>
      </c>
      <c r="BU32" s="136">
        <f t="shared" si="4"/>
        <v>4.3333333334885538</v>
      </c>
      <c r="BV32" s="136">
        <f t="shared" si="5"/>
        <v>41.000000000058208</v>
      </c>
      <c r="BW32" s="136">
        <f t="shared" si="6"/>
        <v>114.66666666674428</v>
      </c>
      <c r="BX32" s="135">
        <f t="shared" si="7"/>
        <v>8.4166666666860692</v>
      </c>
      <c r="BY32" s="135">
        <f t="shared" si="8"/>
        <v>8.0000000000582077</v>
      </c>
      <c r="BZ32" s="134">
        <f t="shared" si="9"/>
        <v>9.3541666666860692</v>
      </c>
      <c r="CA32" s="134">
        <f t="shared" si="10"/>
        <v>18.541666666664241</v>
      </c>
      <c r="CB32" s="133">
        <f t="shared" si="11"/>
        <v>0.50449438202358432</v>
      </c>
    </row>
    <row r="33" spans="1:80" s="126" customFormat="1">
      <c r="A33" s="192">
        <f t="shared" ref="A33:A96" si="18">BD33</f>
        <v>45057.972222222219</v>
      </c>
      <c r="B33" s="126" t="s">
        <v>228</v>
      </c>
      <c r="C33" s="126" t="s">
        <v>229</v>
      </c>
      <c r="D33" s="126" t="s">
        <v>197</v>
      </c>
      <c r="E33" s="65" t="s">
        <v>1464</v>
      </c>
      <c r="G33" s="73">
        <v>45051.395833333336</v>
      </c>
      <c r="H33" s="73">
        <v>45051.395833333336</v>
      </c>
      <c r="I33" s="126" t="s">
        <v>231</v>
      </c>
      <c r="J33" s="126" t="s">
        <v>192</v>
      </c>
      <c r="K33" s="126" t="s">
        <v>192</v>
      </c>
      <c r="L33" s="126" t="s">
        <v>1479</v>
      </c>
      <c r="M33" s="167"/>
      <c r="N33" s="126" t="s">
        <v>330</v>
      </c>
      <c r="O33" s="126" t="s">
        <v>331</v>
      </c>
      <c r="P33" s="126" t="s">
        <v>240</v>
      </c>
      <c r="Q33" s="181">
        <f>3136*2.4</f>
        <v>7526.4</v>
      </c>
      <c r="R33" s="181"/>
      <c r="S33" s="181">
        <v>7510.4129999999996</v>
      </c>
      <c r="T33" s="181"/>
      <c r="Y33" s="181">
        <f t="shared" si="16"/>
        <v>7510.4129999999996</v>
      </c>
      <c r="AX33" s="165">
        <f t="shared" si="0"/>
        <v>45049.305555555555</v>
      </c>
      <c r="AY33" s="165">
        <f t="shared" si="1"/>
        <v>45065.041666666664</v>
      </c>
      <c r="AZ33" s="137">
        <f t="shared" si="2"/>
        <v>15.736111111109494</v>
      </c>
      <c r="BA33" s="165">
        <v>45049.305555555555</v>
      </c>
      <c r="BB33" s="165">
        <v>45052.614583333336</v>
      </c>
      <c r="BC33" s="165">
        <v>45054.597222222219</v>
      </c>
      <c r="BD33" s="165">
        <v>45057.972222222219</v>
      </c>
      <c r="BE33" s="165">
        <v>45058.135416666664</v>
      </c>
      <c r="BF33" s="165">
        <v>45058.142361111109</v>
      </c>
      <c r="BG33" s="165">
        <v>45058.291666666664</v>
      </c>
      <c r="BH33" s="165">
        <f t="shared" si="17"/>
        <v>45060</v>
      </c>
      <c r="BI33" s="165">
        <v>45060.25</v>
      </c>
      <c r="BJ33" s="165">
        <v>45060.416666666664</v>
      </c>
      <c r="BK33" s="165">
        <v>45060.326388888891</v>
      </c>
      <c r="BL33" s="165">
        <v>45061.430555555555</v>
      </c>
      <c r="BM33" s="165">
        <v>45064.447916666664</v>
      </c>
      <c r="BN33" s="165">
        <v>45064.65625</v>
      </c>
      <c r="BO33" s="165">
        <v>45064.677083333336</v>
      </c>
      <c r="BP33" s="165">
        <v>45064.677083333336</v>
      </c>
      <c r="BQ33" s="165">
        <v>45065.041666666664</v>
      </c>
      <c r="BT33" s="136">
        <f t="shared" si="3"/>
        <v>47.583333333197515</v>
      </c>
      <c r="BU33" s="136">
        <f t="shared" si="4"/>
        <v>3.9166666666860692</v>
      </c>
      <c r="BV33" s="136">
        <f t="shared" si="5"/>
        <v>41.000000000058208</v>
      </c>
      <c r="BW33" s="136">
        <f t="shared" si="6"/>
        <v>24.333333333372138</v>
      </c>
      <c r="BX33" s="135">
        <f t="shared" si="7"/>
        <v>5.0000000000582077</v>
      </c>
      <c r="BY33" s="135">
        <f t="shared" si="8"/>
        <v>8.7499999998835847</v>
      </c>
      <c r="BZ33" s="134">
        <f t="shared" si="9"/>
        <v>5.4409722222189885</v>
      </c>
      <c r="CA33" s="134">
        <f t="shared" si="10"/>
        <v>15.736111111109494</v>
      </c>
      <c r="CB33" s="133">
        <f t="shared" si="11"/>
        <v>0.3457634598409598</v>
      </c>
    </row>
    <row r="34" spans="1:80" s="126" customFormat="1">
      <c r="A34" s="192">
        <f t="shared" si="18"/>
        <v>45058.177083333336</v>
      </c>
      <c r="B34" s="126" t="s">
        <v>228</v>
      </c>
      <c r="C34" s="126" t="s">
        <v>229</v>
      </c>
      <c r="D34" s="126" t="s">
        <v>197</v>
      </c>
      <c r="E34" s="65" t="s">
        <v>1464</v>
      </c>
      <c r="G34" s="73">
        <v>45051.395833333336</v>
      </c>
      <c r="H34" s="73">
        <v>45051.395833333336</v>
      </c>
      <c r="I34" s="126" t="s">
        <v>231</v>
      </c>
      <c r="J34" s="126" t="s">
        <v>192</v>
      </c>
      <c r="K34" s="126" t="s">
        <v>192</v>
      </c>
      <c r="L34" s="126" t="s">
        <v>1480</v>
      </c>
      <c r="M34" s="167"/>
      <c r="N34" s="126" t="s">
        <v>695</v>
      </c>
      <c r="O34" s="126" t="s">
        <v>281</v>
      </c>
      <c r="P34" s="126" t="s">
        <v>240</v>
      </c>
      <c r="Q34" s="181">
        <f>3102*2.4</f>
        <v>7444.7999999999993</v>
      </c>
      <c r="R34" s="181"/>
      <c r="S34" s="181">
        <v>7426.96</v>
      </c>
      <c r="T34" s="181"/>
      <c r="Y34" s="181">
        <f t="shared" si="16"/>
        <v>7426.96</v>
      </c>
      <c r="AX34" s="165">
        <f t="shared" si="0"/>
        <v>45048.729166666664</v>
      </c>
      <c r="AY34" s="165">
        <f t="shared" si="1"/>
        <v>45065.541666666664</v>
      </c>
      <c r="AZ34" s="137">
        <f t="shared" si="2"/>
        <v>16.8125</v>
      </c>
      <c r="BA34" s="165">
        <v>45048.729166666664</v>
      </c>
      <c r="BB34" s="165">
        <v>45052.607638888891</v>
      </c>
      <c r="BC34" s="165">
        <v>45054.854166666664</v>
      </c>
      <c r="BD34" s="165">
        <v>45058.177083333336</v>
      </c>
      <c r="BE34" s="165">
        <v>45058.384722222225</v>
      </c>
      <c r="BF34" s="165">
        <v>45058.388888888891</v>
      </c>
      <c r="BG34" s="165">
        <v>45058.388888888891</v>
      </c>
      <c r="BH34" s="165">
        <f t="shared" si="17"/>
        <v>45060.097222222226</v>
      </c>
      <c r="BI34" s="165">
        <v>45062.541666666664</v>
      </c>
      <c r="BJ34" s="165">
        <v>45062.708333333328</v>
      </c>
      <c r="BK34" s="165">
        <v>45062.631944444445</v>
      </c>
      <c r="BL34" s="165">
        <v>45063.875</v>
      </c>
      <c r="BM34" s="165">
        <v>45064.770833333336</v>
      </c>
      <c r="BN34" s="165">
        <v>45065.034722222219</v>
      </c>
      <c r="BO34" s="165">
        <v>45065.055555555555</v>
      </c>
      <c r="BP34" s="165">
        <v>45065.145833333336</v>
      </c>
      <c r="BQ34" s="165">
        <v>45065.541666666664</v>
      </c>
      <c r="BT34" s="136">
        <f t="shared" si="3"/>
        <v>53.916666666569654</v>
      </c>
      <c r="BU34" s="136">
        <f t="shared" si="4"/>
        <v>4.9833333333372138</v>
      </c>
      <c r="BV34" s="136">
        <f t="shared" si="5"/>
        <v>41.000000000058208</v>
      </c>
      <c r="BW34" s="136">
        <f t="shared" si="6"/>
        <v>28.000000000116415</v>
      </c>
      <c r="BX34" s="135">
        <f t="shared" si="7"/>
        <v>6.3333333331975155</v>
      </c>
      <c r="BY34" s="135">
        <f t="shared" si="8"/>
        <v>9.4999999998835847</v>
      </c>
      <c r="BZ34" s="134">
        <f t="shared" si="9"/>
        <v>5.9888888888817746</v>
      </c>
      <c r="CA34" s="134">
        <f t="shared" si="10"/>
        <v>16.8125</v>
      </c>
      <c r="CB34" s="133">
        <f t="shared" si="11"/>
        <v>0.35621643948739179</v>
      </c>
    </row>
    <row r="35" spans="1:80" s="126" customFormat="1">
      <c r="A35" s="192">
        <f t="shared" si="18"/>
        <v>45058.871527777781</v>
      </c>
      <c r="B35" s="126" t="s">
        <v>228</v>
      </c>
      <c r="C35" s="126" t="s">
        <v>229</v>
      </c>
      <c r="D35" s="126" t="s">
        <v>197</v>
      </c>
      <c r="E35" s="65" t="s">
        <v>1481</v>
      </c>
      <c r="G35" s="73">
        <v>45054.291666666664</v>
      </c>
      <c r="H35" s="73">
        <v>45054.270833333336</v>
      </c>
      <c r="I35" s="126" t="s">
        <v>243</v>
      </c>
      <c r="J35" s="126" t="s">
        <v>192</v>
      </c>
      <c r="K35" s="126" t="s">
        <v>192</v>
      </c>
      <c r="L35" s="126" t="s">
        <v>1482</v>
      </c>
      <c r="M35" s="167"/>
      <c r="N35" s="126" t="s">
        <v>1483</v>
      </c>
      <c r="O35" s="126" t="s">
        <v>378</v>
      </c>
      <c r="P35" s="126" t="s">
        <v>235</v>
      </c>
      <c r="Q35" s="181">
        <f>3271*2.4</f>
        <v>7850.4</v>
      </c>
      <c r="R35" s="181"/>
      <c r="S35" s="181">
        <v>7740.6940000000004</v>
      </c>
      <c r="T35" s="181"/>
      <c r="X35" s="181">
        <f>S35</f>
        <v>7740.6940000000004</v>
      </c>
      <c r="AX35" s="165">
        <f t="shared" si="0"/>
        <v>45049.291666666664</v>
      </c>
      <c r="AY35" s="165">
        <f t="shared" si="1"/>
        <v>45065.600694444445</v>
      </c>
      <c r="AZ35" s="137">
        <f t="shared" si="2"/>
        <v>16.309027777781012</v>
      </c>
      <c r="BA35" s="165">
        <v>45049.291666666664</v>
      </c>
      <c r="BB35" s="165">
        <v>45053.576388888891</v>
      </c>
      <c r="BC35" s="165">
        <v>45055.791666666664</v>
      </c>
      <c r="BD35" s="165">
        <v>45058.871527777781</v>
      </c>
      <c r="BE35" s="165">
        <v>45059.017361111109</v>
      </c>
      <c r="BF35" s="165">
        <v>45059.024305555555</v>
      </c>
      <c r="BG35" s="165">
        <v>45059.024305555555</v>
      </c>
      <c r="BH35" s="165">
        <f t="shared" si="17"/>
        <v>45060.732638888891</v>
      </c>
      <c r="BI35" s="165">
        <v>45060.25</v>
      </c>
      <c r="BJ35" s="165">
        <v>45060.416666666664</v>
      </c>
      <c r="BK35" s="165">
        <v>45060.417361111111</v>
      </c>
      <c r="BL35" s="165">
        <v>45063.791666666664</v>
      </c>
      <c r="BM35" s="165">
        <v>45064.545138888891</v>
      </c>
      <c r="BN35" s="165">
        <v>45064.833333333336</v>
      </c>
      <c r="BO35" s="165">
        <v>45064.9375</v>
      </c>
      <c r="BP35" s="165">
        <v>45064.940972222219</v>
      </c>
      <c r="BQ35" s="165">
        <v>45065.600694444445</v>
      </c>
      <c r="BR35" s="126" t="s">
        <v>1484</v>
      </c>
      <c r="BT35" s="136">
        <f t="shared" si="3"/>
        <v>53.166666666569654</v>
      </c>
      <c r="BU35" s="136">
        <f t="shared" si="4"/>
        <v>3.4999999998835847</v>
      </c>
      <c r="BV35" s="136">
        <f t="shared" si="5"/>
        <v>41.000000000058208</v>
      </c>
      <c r="BW35" s="136">
        <f t="shared" si="6"/>
        <v>81</v>
      </c>
      <c r="BX35" s="135">
        <f t="shared" si="7"/>
        <v>6.9166666666860692</v>
      </c>
      <c r="BY35" s="135">
        <f t="shared" si="8"/>
        <v>15.833333333430346</v>
      </c>
      <c r="BZ35" s="134">
        <f t="shared" si="9"/>
        <v>8.3923611111094942</v>
      </c>
      <c r="CA35" s="134">
        <f t="shared" si="10"/>
        <v>16.309027777781012</v>
      </c>
      <c r="CB35" s="133">
        <f t="shared" si="11"/>
        <v>0.51458377687865764</v>
      </c>
    </row>
    <row r="36" spans="1:80" s="126" customFormat="1">
      <c r="A36" s="192">
        <f t="shared" si="18"/>
        <v>45059.048611111109</v>
      </c>
      <c r="B36" s="126" t="s">
        <v>228</v>
      </c>
      <c r="C36" s="126" t="s">
        <v>229</v>
      </c>
      <c r="D36" s="126" t="s">
        <v>197</v>
      </c>
      <c r="E36" s="65" t="s">
        <v>1481</v>
      </c>
      <c r="G36" s="73">
        <v>45054.291666666664</v>
      </c>
      <c r="H36" s="73">
        <v>45054.270833333336</v>
      </c>
      <c r="I36" s="126" t="s">
        <v>243</v>
      </c>
      <c r="J36" s="126" t="s">
        <v>192</v>
      </c>
      <c r="K36" s="126" t="s">
        <v>192</v>
      </c>
      <c r="L36" s="126" t="s">
        <v>1485</v>
      </c>
      <c r="M36" s="167"/>
      <c r="N36" s="126" t="s">
        <v>310</v>
      </c>
      <c r="O36" s="126" t="s">
        <v>311</v>
      </c>
      <c r="P36" s="126" t="s">
        <v>235</v>
      </c>
      <c r="Q36" s="181">
        <f>3128*2.4</f>
        <v>7507.2</v>
      </c>
      <c r="R36" s="181"/>
      <c r="S36" s="181">
        <v>7676.3140000000003</v>
      </c>
      <c r="T36" s="181"/>
      <c r="X36" s="181">
        <f>S36</f>
        <v>7676.3140000000003</v>
      </c>
      <c r="AX36" s="165">
        <f t="shared" si="0"/>
        <v>45049.909722222219</v>
      </c>
      <c r="AY36" s="165">
        <f t="shared" si="1"/>
        <v>45065.506944444445</v>
      </c>
      <c r="AZ36" s="137">
        <f t="shared" si="2"/>
        <v>15.597222222226264</v>
      </c>
      <c r="BA36" s="165">
        <v>45049.909722222219</v>
      </c>
      <c r="BB36" s="165">
        <v>45050.548611111109</v>
      </c>
      <c r="BC36" s="165">
        <v>45056.458333333336</v>
      </c>
      <c r="BD36" s="165">
        <v>45059.048611111109</v>
      </c>
      <c r="BE36" s="165">
        <v>45059.180555555555</v>
      </c>
      <c r="BF36" s="165">
        <v>45059.190972222219</v>
      </c>
      <c r="BG36" s="165">
        <v>45059.28125</v>
      </c>
      <c r="BH36" s="165">
        <f t="shared" si="17"/>
        <v>45060.989583333336</v>
      </c>
      <c r="BI36" s="165">
        <v>45061.520833333336</v>
      </c>
      <c r="BJ36" s="165">
        <v>45061.6875</v>
      </c>
      <c r="BK36" s="165">
        <v>45061.576388888891</v>
      </c>
      <c r="BL36" s="165">
        <v>45062.998611111114</v>
      </c>
      <c r="BM36" s="165">
        <v>45063.436111111114</v>
      </c>
      <c r="BN36" s="165">
        <v>45064.993055555555</v>
      </c>
      <c r="BO36" s="165">
        <v>45065.017361111109</v>
      </c>
      <c r="BP36" s="165">
        <v>45065.020833333336</v>
      </c>
      <c r="BQ36" s="165">
        <v>45065.506944444445</v>
      </c>
      <c r="BT36" s="136">
        <f t="shared" si="3"/>
        <v>141.83333333343035</v>
      </c>
      <c r="BU36" s="136">
        <f t="shared" si="4"/>
        <v>3.1666666666860692</v>
      </c>
      <c r="BV36" s="136">
        <f t="shared" si="5"/>
        <v>41.000000000058208</v>
      </c>
      <c r="BW36" s="136">
        <f t="shared" si="6"/>
        <v>31.466666666732635</v>
      </c>
      <c r="BX36" s="135">
        <f t="shared" si="7"/>
        <v>37.366666666581295</v>
      </c>
      <c r="BY36" s="135">
        <f t="shared" si="8"/>
        <v>11.666666666627862</v>
      </c>
      <c r="BZ36" s="134">
        <f t="shared" si="9"/>
        <v>11.104166666671517</v>
      </c>
      <c r="CA36" s="134">
        <f t="shared" si="10"/>
        <v>15.597222222226264</v>
      </c>
      <c r="CB36" s="133">
        <f t="shared" si="11"/>
        <v>0.71193232413191632</v>
      </c>
    </row>
    <row r="37" spans="1:80" s="126" customFormat="1">
      <c r="A37" s="192">
        <f t="shared" si="18"/>
        <v>45059.236111111109</v>
      </c>
      <c r="B37" s="126" t="s">
        <v>228</v>
      </c>
      <c r="C37" s="126" t="s">
        <v>229</v>
      </c>
      <c r="D37" s="126" t="s">
        <v>215</v>
      </c>
      <c r="E37" s="65" t="s">
        <v>1481</v>
      </c>
      <c r="G37" s="73">
        <v>45054.291666666664</v>
      </c>
      <c r="H37" s="73">
        <v>45054.270833333336</v>
      </c>
      <c r="I37" s="126" t="s">
        <v>243</v>
      </c>
      <c r="J37" s="126" t="s">
        <v>192</v>
      </c>
      <c r="K37" s="126" t="s">
        <v>192</v>
      </c>
      <c r="L37" s="126" t="s">
        <v>1486</v>
      </c>
      <c r="M37" s="167"/>
      <c r="N37" s="126" t="s">
        <v>403</v>
      </c>
      <c r="O37" s="126" t="s">
        <v>404</v>
      </c>
      <c r="P37" s="126" t="s">
        <v>240</v>
      </c>
      <c r="Q37" s="181">
        <f>3107*2.4</f>
        <v>7456.7999999999993</v>
      </c>
      <c r="R37" s="181"/>
      <c r="S37" s="181">
        <v>7480.5680000000002</v>
      </c>
      <c r="T37" s="181"/>
      <c r="Y37" s="181">
        <f>S37</f>
        <v>7480.5680000000002</v>
      </c>
      <c r="AX37" s="165">
        <f t="shared" si="0"/>
        <v>45050.305555555555</v>
      </c>
      <c r="AY37" s="165">
        <f t="shared" si="1"/>
        <v>45065.3125</v>
      </c>
      <c r="AZ37" s="137">
        <f t="shared" si="2"/>
        <v>15.006944444445253</v>
      </c>
      <c r="BA37" s="165">
        <v>45050.305555555555</v>
      </c>
      <c r="BB37" s="165">
        <v>45054.78125</v>
      </c>
      <c r="BC37" s="165">
        <v>45056.611111111109</v>
      </c>
      <c r="BD37" s="165">
        <v>45059.236111111109</v>
      </c>
      <c r="BE37" s="165">
        <v>45059.434027777781</v>
      </c>
      <c r="BF37" s="165">
        <v>45059.4375</v>
      </c>
      <c r="BG37" s="165">
        <v>45059.4375</v>
      </c>
      <c r="BH37" s="165">
        <f t="shared" si="17"/>
        <v>45061.145833333336</v>
      </c>
      <c r="BI37" s="165">
        <v>45061.520833333336</v>
      </c>
      <c r="BJ37" s="165">
        <v>45061.6875</v>
      </c>
      <c r="BK37" s="165">
        <v>45061.611111111109</v>
      </c>
      <c r="BL37" s="165">
        <v>45063.666666666664</v>
      </c>
      <c r="BM37" s="165">
        <v>45063.84375</v>
      </c>
      <c r="BN37" s="165">
        <v>45064.107638888891</v>
      </c>
      <c r="BO37" s="165">
        <v>45064.135416666664</v>
      </c>
      <c r="BP37" s="165">
        <v>45064.916666666664</v>
      </c>
      <c r="BQ37" s="165">
        <v>45065.3125</v>
      </c>
      <c r="BT37" s="136">
        <f t="shared" si="3"/>
        <v>43.916666666627862</v>
      </c>
      <c r="BU37" s="136">
        <f t="shared" si="4"/>
        <v>4.7500000001164153</v>
      </c>
      <c r="BV37" s="136">
        <f t="shared" si="5"/>
        <v>41.000000000058208</v>
      </c>
      <c r="BW37" s="136">
        <f t="shared" si="6"/>
        <v>47.499999999941792</v>
      </c>
      <c r="BX37" s="135">
        <f t="shared" si="7"/>
        <v>6.3333333333721384</v>
      </c>
      <c r="BY37" s="135">
        <f t="shared" si="8"/>
        <v>9.5000000000582077</v>
      </c>
      <c r="BZ37" s="134">
        <f t="shared" si="9"/>
        <v>6.375000000007276</v>
      </c>
      <c r="CA37" s="134">
        <f t="shared" si="10"/>
        <v>15.006944444445253</v>
      </c>
      <c r="CB37" s="133">
        <f t="shared" si="11"/>
        <v>0.42480333179129953</v>
      </c>
    </row>
    <row r="38" spans="1:80" s="126" customFormat="1">
      <c r="A38" s="192">
        <f t="shared" si="18"/>
        <v>45059.458333333336</v>
      </c>
      <c r="B38" s="126" t="s">
        <v>228</v>
      </c>
      <c r="C38" s="126" t="s">
        <v>229</v>
      </c>
      <c r="D38" s="126" t="s">
        <v>197</v>
      </c>
      <c r="E38" s="65" t="s">
        <v>1481</v>
      </c>
      <c r="G38" s="73">
        <v>45054.291666666664</v>
      </c>
      <c r="H38" s="73">
        <v>45054.270833333336</v>
      </c>
      <c r="I38" s="126" t="s">
        <v>243</v>
      </c>
      <c r="J38" s="126" t="s">
        <v>192</v>
      </c>
      <c r="K38" s="126" t="s">
        <v>192</v>
      </c>
      <c r="L38" s="126" t="s">
        <v>1487</v>
      </c>
      <c r="M38" s="167"/>
      <c r="N38" s="126" t="s">
        <v>208</v>
      </c>
      <c r="O38" s="126" t="s">
        <v>328</v>
      </c>
      <c r="P38" s="126" t="s">
        <v>240</v>
      </c>
      <c r="Q38" s="181">
        <f>3128*2.4</f>
        <v>7507.2</v>
      </c>
      <c r="R38" s="181"/>
      <c r="S38" s="181">
        <v>7430.8019999999997</v>
      </c>
      <c r="T38" s="181"/>
      <c r="Y38" s="181">
        <f>S38</f>
        <v>7430.8019999999997</v>
      </c>
      <c r="AX38" s="165">
        <f t="shared" si="0"/>
        <v>45050.335416666669</v>
      </c>
      <c r="AY38" s="165">
        <f t="shared" si="1"/>
        <v>45064.347222222219</v>
      </c>
      <c r="AZ38" s="137">
        <f t="shared" si="2"/>
        <v>14.011805555550382</v>
      </c>
      <c r="BA38" s="165">
        <v>45050.335416666669</v>
      </c>
      <c r="BB38" s="165">
        <v>45054.868055555555</v>
      </c>
      <c r="BC38" s="165">
        <v>45056.614583333336</v>
      </c>
      <c r="BD38" s="165">
        <v>45059.458333333336</v>
      </c>
      <c r="BE38" s="165">
        <v>45059.583333333336</v>
      </c>
      <c r="BF38" s="165">
        <v>45059.590277777781</v>
      </c>
      <c r="BG38" s="165">
        <v>45059.590277777781</v>
      </c>
      <c r="BH38" s="165">
        <f t="shared" si="17"/>
        <v>45061.298611111117</v>
      </c>
      <c r="BI38" s="165">
        <v>45061.520833333336</v>
      </c>
      <c r="BJ38" s="165">
        <v>45061.6875</v>
      </c>
      <c r="BK38" s="210">
        <v>45061.652777777781</v>
      </c>
      <c r="BL38" s="165">
        <v>45063.020833333336</v>
      </c>
      <c r="BM38" s="165">
        <v>45063.104166666664</v>
      </c>
      <c r="BN38" s="165">
        <v>45063.361111111109</v>
      </c>
      <c r="BO38" s="165">
        <v>45063.375</v>
      </c>
      <c r="BP38" s="165">
        <v>45063.715277777781</v>
      </c>
      <c r="BQ38" s="165">
        <v>45064.347222222219</v>
      </c>
      <c r="BT38" s="136">
        <f t="shared" si="3"/>
        <v>41.916666666744277</v>
      </c>
      <c r="BU38" s="136">
        <f t="shared" si="4"/>
        <v>3</v>
      </c>
      <c r="BV38" s="136">
        <f t="shared" si="5"/>
        <v>41.000000000058208</v>
      </c>
      <c r="BW38" s="136">
        <f t="shared" si="6"/>
        <v>32.000000000058208</v>
      </c>
      <c r="BX38" s="135">
        <f t="shared" si="7"/>
        <v>6.1666666666860692</v>
      </c>
      <c r="BY38" s="135">
        <f t="shared" si="8"/>
        <v>15.166666666511446</v>
      </c>
      <c r="BZ38" s="134">
        <f t="shared" si="9"/>
        <v>5.8020833333357587</v>
      </c>
      <c r="CA38" s="134">
        <f t="shared" si="10"/>
        <v>14.011805555550382</v>
      </c>
      <c r="CB38" s="133">
        <f t="shared" si="11"/>
        <v>0.41408534469973624</v>
      </c>
    </row>
    <row r="39" spans="1:80" s="126" customFormat="1">
      <c r="A39" s="192">
        <f t="shared" si="18"/>
        <v>45059.614583333336</v>
      </c>
      <c r="B39" s="126" t="s">
        <v>228</v>
      </c>
      <c r="C39" s="126" t="s">
        <v>229</v>
      </c>
      <c r="D39" s="126" t="s">
        <v>197</v>
      </c>
      <c r="E39" s="65" t="s">
        <v>1481</v>
      </c>
      <c r="G39" s="73">
        <v>45054.291666666664</v>
      </c>
      <c r="H39" s="73">
        <v>45054.270833333336</v>
      </c>
      <c r="I39" s="126" t="s">
        <v>243</v>
      </c>
      <c r="J39" s="126" t="s">
        <v>192</v>
      </c>
      <c r="K39" s="126" t="s">
        <v>192</v>
      </c>
      <c r="L39" s="126" t="s">
        <v>1488</v>
      </c>
      <c r="M39" s="167"/>
      <c r="N39" s="126" t="s">
        <v>233</v>
      </c>
      <c r="O39" s="126" t="s">
        <v>234</v>
      </c>
      <c r="P39" s="126" t="s">
        <v>235</v>
      </c>
      <c r="Q39" s="181">
        <f>3215*2.4</f>
        <v>7716</v>
      </c>
      <c r="R39" s="181"/>
      <c r="S39" s="181">
        <v>7417.2179999999998</v>
      </c>
      <c r="T39" s="181"/>
      <c r="X39" s="181">
        <f t="shared" ref="X39:X48" si="19">S39</f>
        <v>7417.2179999999998</v>
      </c>
      <c r="AX39" s="165">
        <f t="shared" si="0"/>
        <v>45049.8125</v>
      </c>
      <c r="AY39" s="165">
        <f t="shared" si="1"/>
        <v>45063.791666666664</v>
      </c>
      <c r="AZ39" s="137">
        <f t="shared" si="2"/>
        <v>13.979166666664241</v>
      </c>
      <c r="BA39" s="165">
        <v>45049.8125</v>
      </c>
      <c r="BB39" s="165">
        <v>45054.416666666664</v>
      </c>
      <c r="BC39" s="165">
        <v>45056.666666666664</v>
      </c>
      <c r="BD39" s="165">
        <v>45059.614583333336</v>
      </c>
      <c r="BE39" s="165">
        <v>45059.736111111109</v>
      </c>
      <c r="BF39" s="165">
        <v>45059.739583333336</v>
      </c>
      <c r="BG39" s="165">
        <v>45059.739583333336</v>
      </c>
      <c r="BH39" s="165">
        <f t="shared" si="17"/>
        <v>45061.447916666672</v>
      </c>
      <c r="BI39" s="165">
        <v>45061.520833333336</v>
      </c>
      <c r="BJ39" s="165">
        <v>45061.6875</v>
      </c>
      <c r="BK39" s="165">
        <v>45061.618055555555</v>
      </c>
      <c r="BL39" s="165">
        <v>45063.104166666664</v>
      </c>
      <c r="BM39" s="165">
        <v>45063.503472222219</v>
      </c>
      <c r="BN39" s="165">
        <v>45063.770833333336</v>
      </c>
      <c r="BO39" s="165">
        <v>45063.791666666664</v>
      </c>
      <c r="BP39" s="165">
        <v>45063.791666666664</v>
      </c>
      <c r="BQ39" s="165">
        <v>45063.791666666664</v>
      </c>
      <c r="BR39" s="126" t="s">
        <v>1489</v>
      </c>
      <c r="BT39" s="136">
        <f t="shared" si="3"/>
        <v>54</v>
      </c>
      <c r="BU39" s="136">
        <f t="shared" si="4"/>
        <v>2.9166666665696539</v>
      </c>
      <c r="BV39" s="136">
        <f t="shared" si="5"/>
        <v>41.000000000058208</v>
      </c>
      <c r="BW39" s="136">
        <f t="shared" si="6"/>
        <v>33.999999999941792</v>
      </c>
      <c r="BX39" s="135">
        <f t="shared" si="7"/>
        <v>6.4166666668024845</v>
      </c>
      <c r="BY39" s="135">
        <f t="shared" si="8"/>
        <v>0</v>
      </c>
      <c r="BZ39" s="134">
        <f t="shared" si="9"/>
        <v>5.7638888888905058</v>
      </c>
      <c r="CA39" s="134">
        <f t="shared" si="10"/>
        <v>13.979166666664241</v>
      </c>
      <c r="CB39" s="133">
        <f t="shared" si="11"/>
        <v>0.41231992051682903</v>
      </c>
    </row>
    <row r="40" spans="1:80" s="126" customFormat="1">
      <c r="A40" s="192">
        <f t="shared" si="18"/>
        <v>45059.809027777781</v>
      </c>
      <c r="B40" s="126" t="s">
        <v>228</v>
      </c>
      <c r="C40" s="126" t="s">
        <v>229</v>
      </c>
      <c r="D40" s="126" t="s">
        <v>197</v>
      </c>
      <c r="E40" s="65" t="s">
        <v>944</v>
      </c>
      <c r="G40" s="73">
        <v>45066.083333333336</v>
      </c>
      <c r="H40" s="73">
        <v>45066.125</v>
      </c>
      <c r="I40" s="126" t="s">
        <v>231</v>
      </c>
      <c r="J40" s="126" t="s">
        <v>192</v>
      </c>
      <c r="K40" s="126" t="s">
        <v>192</v>
      </c>
      <c r="L40" s="126" t="s">
        <v>1490</v>
      </c>
      <c r="M40" s="167"/>
      <c r="N40" s="126" t="s">
        <v>437</v>
      </c>
      <c r="O40" s="126" t="s">
        <v>320</v>
      </c>
      <c r="P40" s="126" t="s">
        <v>235</v>
      </c>
      <c r="Q40" s="181">
        <f>3136*2.4</f>
        <v>7526.4</v>
      </c>
      <c r="R40" s="181"/>
      <c r="S40" s="181">
        <v>7501.817</v>
      </c>
      <c r="T40" s="181"/>
      <c r="X40" s="181">
        <f t="shared" si="19"/>
        <v>7501.817</v>
      </c>
      <c r="AX40" s="165">
        <f t="shared" si="0"/>
        <v>45050.563888888886</v>
      </c>
      <c r="AY40" s="165">
        <f t="shared" si="1"/>
        <v>45067.934027777781</v>
      </c>
      <c r="AZ40" s="137">
        <f t="shared" si="2"/>
        <v>17.370138888894871</v>
      </c>
      <c r="BA40" s="165">
        <v>45050.563888888886</v>
      </c>
      <c r="BB40" s="165">
        <v>45055.579861111109</v>
      </c>
      <c r="BC40" s="165">
        <v>45057.322916666664</v>
      </c>
      <c r="BD40" s="165">
        <v>45059.809027777781</v>
      </c>
      <c r="BE40" s="165">
        <v>45059.934027777781</v>
      </c>
      <c r="BF40" s="165">
        <v>45059.940972222219</v>
      </c>
      <c r="BG40" s="165">
        <v>45059.940972222219</v>
      </c>
      <c r="BH40" s="165">
        <f t="shared" si="17"/>
        <v>45061.649305555555</v>
      </c>
      <c r="BI40" s="165">
        <v>45063.583333333336</v>
      </c>
      <c r="BJ40" s="165">
        <v>45063.75</v>
      </c>
      <c r="BK40" s="165">
        <v>45063.621527777781</v>
      </c>
      <c r="BL40" s="165">
        <v>45065.541666666664</v>
      </c>
      <c r="BM40" s="165">
        <v>45067.229166666664</v>
      </c>
      <c r="BN40" s="165">
        <v>45067.510416666664</v>
      </c>
      <c r="BO40" s="165">
        <v>45067.53125</v>
      </c>
      <c r="BP40" s="165">
        <v>45067.708333333336</v>
      </c>
      <c r="BQ40" s="165">
        <v>45067.934027777781</v>
      </c>
      <c r="BT40" s="136">
        <f t="shared" si="3"/>
        <v>41.833333333313931</v>
      </c>
      <c r="BU40" s="136">
        <f t="shared" si="4"/>
        <v>3</v>
      </c>
      <c r="BV40" s="136">
        <f t="shared" si="5"/>
        <v>41.000000000058208</v>
      </c>
      <c r="BW40" s="136">
        <f t="shared" si="6"/>
        <v>42.999999999941792</v>
      </c>
      <c r="BX40" s="135">
        <f t="shared" si="7"/>
        <v>6.75</v>
      </c>
      <c r="BY40" s="135">
        <f t="shared" si="8"/>
        <v>5.4166666666860692</v>
      </c>
      <c r="BZ40" s="134">
        <f t="shared" si="9"/>
        <v>5.875</v>
      </c>
      <c r="CA40" s="134">
        <f t="shared" si="10"/>
        <v>17.370138888894871</v>
      </c>
      <c r="CB40" s="133">
        <f t="shared" si="11"/>
        <v>0.33822412345568648</v>
      </c>
    </row>
    <row r="41" spans="1:80" s="126" customFormat="1">
      <c r="A41" s="192">
        <f t="shared" si="18"/>
        <v>45060.333333333336</v>
      </c>
      <c r="B41" s="126" t="s">
        <v>228</v>
      </c>
      <c r="C41" s="126" t="s">
        <v>229</v>
      </c>
      <c r="D41" s="126" t="s">
        <v>197</v>
      </c>
      <c r="E41" s="65" t="s">
        <v>944</v>
      </c>
      <c r="G41" s="73">
        <v>45066.083333333336</v>
      </c>
      <c r="H41" s="73">
        <v>45066.125</v>
      </c>
      <c r="I41" s="126" t="s">
        <v>231</v>
      </c>
      <c r="J41" s="126" t="s">
        <v>192</v>
      </c>
      <c r="K41" s="126" t="s">
        <v>192</v>
      </c>
      <c r="L41" s="126" t="s">
        <v>1491</v>
      </c>
      <c r="M41" s="167"/>
      <c r="N41" s="126" t="s">
        <v>355</v>
      </c>
      <c r="O41" s="126" t="s">
        <v>356</v>
      </c>
      <c r="P41" s="126" t="s">
        <v>235</v>
      </c>
      <c r="Q41" s="181">
        <f>3107*2.4</f>
        <v>7456.7999999999993</v>
      </c>
      <c r="R41" s="181"/>
      <c r="S41" s="181">
        <v>7529.8980000000001</v>
      </c>
      <c r="T41" s="181"/>
      <c r="X41" s="181">
        <f t="shared" si="19"/>
        <v>7529.8980000000001</v>
      </c>
      <c r="AX41" s="165">
        <f t="shared" si="0"/>
        <v>45050.784722222219</v>
      </c>
      <c r="AY41" s="165">
        <f t="shared" si="1"/>
        <v>45067.40625</v>
      </c>
      <c r="AZ41" s="137">
        <f t="shared" si="2"/>
        <v>16.621527777781012</v>
      </c>
      <c r="BA41" s="165">
        <v>45050.784722222219</v>
      </c>
      <c r="BB41" s="165">
        <v>45055.798611111109</v>
      </c>
      <c r="BC41" s="165">
        <v>45057.416666666664</v>
      </c>
      <c r="BD41" s="165">
        <v>45060.333333333336</v>
      </c>
      <c r="BE41" s="165">
        <v>45060.458333333336</v>
      </c>
      <c r="BF41" s="165">
        <v>45060.461805555555</v>
      </c>
      <c r="BG41" s="165">
        <v>45060.461805555555</v>
      </c>
      <c r="BH41" s="165">
        <f t="shared" si="17"/>
        <v>45062.170138888891</v>
      </c>
      <c r="BI41" s="165">
        <v>45062.541666666664</v>
      </c>
      <c r="BJ41" s="165">
        <v>45062.708333333328</v>
      </c>
      <c r="BK41" s="165">
        <v>45062.611111111109</v>
      </c>
      <c r="BL41" s="165">
        <v>45065.006944444445</v>
      </c>
      <c r="BM41" s="165">
        <v>45066.871527777781</v>
      </c>
      <c r="BN41" s="165">
        <v>45067.149305555555</v>
      </c>
      <c r="BO41" s="165">
        <v>45067.180555555555</v>
      </c>
      <c r="BP41" s="165">
        <v>45067.180555555555</v>
      </c>
      <c r="BQ41" s="165">
        <v>45067.40625</v>
      </c>
      <c r="BT41" s="136">
        <f t="shared" si="3"/>
        <v>38.833333333313931</v>
      </c>
      <c r="BU41" s="136">
        <f t="shared" si="4"/>
        <v>3</v>
      </c>
      <c r="BV41" s="136">
        <f t="shared" si="5"/>
        <v>41.000000000058208</v>
      </c>
      <c r="BW41" s="136">
        <f t="shared" si="6"/>
        <v>55.166666666802485</v>
      </c>
      <c r="BX41" s="135">
        <f t="shared" si="7"/>
        <v>6.6666666665696539</v>
      </c>
      <c r="BY41" s="135">
        <f t="shared" si="8"/>
        <v>5.4166666666860692</v>
      </c>
      <c r="BZ41" s="134">
        <f t="shared" si="9"/>
        <v>6.2534722222262644</v>
      </c>
      <c r="CA41" s="134">
        <f t="shared" si="10"/>
        <v>16.621527777781012</v>
      </c>
      <c r="CB41" s="133">
        <f t="shared" si="11"/>
        <v>0.37622728222285645</v>
      </c>
    </row>
    <row r="42" spans="1:80" s="126" customFormat="1">
      <c r="A42" s="192">
        <f t="shared" si="18"/>
        <v>45060.482638888891</v>
      </c>
      <c r="B42" s="126" t="s">
        <v>228</v>
      </c>
      <c r="C42" s="126" t="s">
        <v>229</v>
      </c>
      <c r="D42" s="126" t="s">
        <v>197</v>
      </c>
      <c r="E42" s="65" t="s">
        <v>944</v>
      </c>
      <c r="G42" s="73">
        <v>45066.083333333336</v>
      </c>
      <c r="H42" s="73">
        <v>45066.125</v>
      </c>
      <c r="I42" s="126" t="s">
        <v>231</v>
      </c>
      <c r="J42" s="126" t="s">
        <v>192</v>
      </c>
      <c r="K42" s="126" t="s">
        <v>192</v>
      </c>
      <c r="L42" s="126" t="s">
        <v>1492</v>
      </c>
      <c r="M42" s="167"/>
      <c r="N42" s="126" t="s">
        <v>295</v>
      </c>
      <c r="O42" s="126" t="s">
        <v>296</v>
      </c>
      <c r="P42" s="126" t="s">
        <v>235</v>
      </c>
      <c r="Q42" s="181">
        <f>4118*2.4</f>
        <v>9883.1999999999989</v>
      </c>
      <c r="R42" s="181"/>
      <c r="S42" s="181">
        <f>9909.793-1463.298</f>
        <v>8446.494999999999</v>
      </c>
      <c r="T42" s="181"/>
      <c r="X42" s="181">
        <f t="shared" si="19"/>
        <v>8446.494999999999</v>
      </c>
      <c r="AX42" s="165">
        <f t="shared" si="0"/>
        <v>45050.496527777781</v>
      </c>
      <c r="AY42" s="165">
        <f t="shared" si="1"/>
        <v>45068.472222222219</v>
      </c>
      <c r="AZ42" s="137">
        <f t="shared" si="2"/>
        <v>17.975694444437977</v>
      </c>
      <c r="BA42" s="165">
        <v>45050.496527777781</v>
      </c>
      <c r="BB42" s="165">
        <v>45055.583333333336</v>
      </c>
      <c r="BC42" s="165">
        <v>45057.479166666664</v>
      </c>
      <c r="BD42" s="165">
        <v>45060.482638888891</v>
      </c>
      <c r="BE42" s="165">
        <v>45060.663194444445</v>
      </c>
      <c r="BF42" s="165">
        <v>45060.666666666664</v>
      </c>
      <c r="BG42" s="165">
        <v>45060.666666666664</v>
      </c>
      <c r="BH42" s="165">
        <f t="shared" si="17"/>
        <v>45062.375</v>
      </c>
      <c r="BI42" s="165">
        <v>45062.541666666664</v>
      </c>
      <c r="BJ42" s="165">
        <v>45062.708333333328</v>
      </c>
      <c r="BK42" s="165">
        <v>45062.690972222219</v>
      </c>
      <c r="BL42" s="165">
        <v>45065.5</v>
      </c>
      <c r="BM42" s="165">
        <v>45068.190972222219</v>
      </c>
      <c r="BN42" s="165">
        <v>45068.458333333336</v>
      </c>
      <c r="BO42" s="165">
        <v>45068.472222222219</v>
      </c>
      <c r="BP42" s="165">
        <v>45068.472222222219</v>
      </c>
      <c r="BQ42" s="165">
        <v>45068.472222222219</v>
      </c>
      <c r="BT42" s="136">
        <f t="shared" si="3"/>
        <v>45.499999999883585</v>
      </c>
      <c r="BU42" s="136">
        <f t="shared" si="4"/>
        <v>4.3333333333139308</v>
      </c>
      <c r="BV42" s="136">
        <f t="shared" si="5"/>
        <v>41.000000000058208</v>
      </c>
      <c r="BW42" s="136">
        <f t="shared" si="6"/>
        <v>67.000000000116415</v>
      </c>
      <c r="BX42" s="135">
        <f t="shared" si="7"/>
        <v>6.4166666668024845</v>
      </c>
      <c r="BY42" s="135">
        <f t="shared" si="8"/>
        <v>0</v>
      </c>
      <c r="BZ42" s="134">
        <f t="shared" si="9"/>
        <v>6.843750000007276</v>
      </c>
      <c r="CA42" s="134">
        <f t="shared" si="10"/>
        <v>17.975694444437977</v>
      </c>
      <c r="CB42" s="133">
        <f t="shared" si="11"/>
        <v>0.38072242611605267</v>
      </c>
    </row>
    <row r="43" spans="1:80" s="126" customFormat="1">
      <c r="A43" s="192">
        <f t="shared" si="18"/>
        <v>45060.482638888891</v>
      </c>
      <c r="B43" s="126" t="s">
        <v>228</v>
      </c>
      <c r="C43" s="126" t="s">
        <v>229</v>
      </c>
      <c r="D43" s="126" t="s">
        <v>197</v>
      </c>
      <c r="E43" s="65" t="s">
        <v>1493</v>
      </c>
      <c r="G43" s="73">
        <v>45061.625</v>
      </c>
      <c r="H43" s="73">
        <v>45061.629166666666</v>
      </c>
      <c r="I43" s="126" t="s">
        <v>231</v>
      </c>
      <c r="J43" s="126" t="s">
        <v>192</v>
      </c>
      <c r="K43" s="126" t="s">
        <v>192</v>
      </c>
      <c r="L43" s="126" t="s">
        <v>1492</v>
      </c>
      <c r="M43" s="167"/>
      <c r="N43" s="126" t="s">
        <v>295</v>
      </c>
      <c r="O43" s="126" t="s">
        <v>296</v>
      </c>
      <c r="P43" s="126" t="s">
        <v>235</v>
      </c>
      <c r="Q43" s="181">
        <f>4118*2.4</f>
        <v>9883.1999999999989</v>
      </c>
      <c r="R43" s="181"/>
      <c r="S43" s="181">
        <v>1035</v>
      </c>
      <c r="T43" s="181"/>
      <c r="X43" s="181">
        <f t="shared" si="19"/>
        <v>1035</v>
      </c>
      <c r="AX43" s="165">
        <f t="shared" si="0"/>
        <v>45050.496527777781</v>
      </c>
      <c r="AY43" s="165">
        <f t="shared" si="1"/>
        <v>45071.298611111109</v>
      </c>
      <c r="AZ43" s="137">
        <f t="shared" si="2"/>
        <v>20.802083333328483</v>
      </c>
      <c r="BA43" s="165">
        <v>45050.496527777781</v>
      </c>
      <c r="BB43" s="165">
        <v>45055.583333333336</v>
      </c>
      <c r="BC43" s="165">
        <v>45057.479166666664</v>
      </c>
      <c r="BD43" s="165">
        <v>45060.482638888891</v>
      </c>
      <c r="BE43" s="165">
        <v>45060.663194444445</v>
      </c>
      <c r="BF43" s="165">
        <v>45060.666666666664</v>
      </c>
      <c r="BG43" s="165">
        <v>45060.666666666664</v>
      </c>
      <c r="BH43" s="165">
        <f t="shared" si="17"/>
        <v>45062.375</v>
      </c>
      <c r="BI43" s="165">
        <v>45062.541666666664</v>
      </c>
      <c r="BJ43" s="165">
        <v>45062.708333333328</v>
      </c>
      <c r="BK43" s="165">
        <v>45062.690972222219</v>
      </c>
      <c r="BL43" s="165">
        <v>45068.472222222219</v>
      </c>
      <c r="BM43" s="165">
        <v>45070.850694444445</v>
      </c>
      <c r="BN43" s="165">
        <v>45070.916666666664</v>
      </c>
      <c r="BO43" s="165">
        <v>45070.927083333336</v>
      </c>
      <c r="BP43" s="165">
        <v>45070.927083333336</v>
      </c>
      <c r="BQ43" s="165">
        <v>45071.298611111109</v>
      </c>
      <c r="BT43" s="136">
        <f t="shared" si="3"/>
        <v>45.499999999883585</v>
      </c>
      <c r="BU43" s="136">
        <f t="shared" si="4"/>
        <v>4.3333333333139308</v>
      </c>
      <c r="BV43" s="136">
        <f t="shared" si="5"/>
        <v>41.000000000058208</v>
      </c>
      <c r="BW43" s="136">
        <f t="shared" si="6"/>
        <v>138.33333333337214</v>
      </c>
      <c r="BX43" s="135">
        <f t="shared" si="7"/>
        <v>1.5833333332557231</v>
      </c>
      <c r="BY43" s="135">
        <f t="shared" si="8"/>
        <v>8.9166666665696539</v>
      </c>
      <c r="BZ43" s="134">
        <f t="shared" si="9"/>
        <v>9.9861111111022183</v>
      </c>
      <c r="CA43" s="134">
        <f t="shared" si="10"/>
        <v>20.802083333328483</v>
      </c>
      <c r="CB43" s="133">
        <f t="shared" si="11"/>
        <v>0.48005341345319802</v>
      </c>
    </row>
    <row r="44" spans="1:80" s="126" customFormat="1">
      <c r="A44" s="192">
        <f t="shared" si="18"/>
        <v>45062.395833333336</v>
      </c>
      <c r="B44" s="126" t="s">
        <v>228</v>
      </c>
      <c r="C44" s="126" t="s">
        <v>229</v>
      </c>
      <c r="D44" s="126" t="s">
        <v>197</v>
      </c>
      <c r="E44" s="65" t="s">
        <v>1493</v>
      </c>
      <c r="G44" s="73">
        <v>45061.625</v>
      </c>
      <c r="H44" s="73">
        <v>45061.629166666666</v>
      </c>
      <c r="I44" s="126" t="s">
        <v>231</v>
      </c>
      <c r="J44" s="126" t="s">
        <v>192</v>
      </c>
      <c r="K44" s="126" t="s">
        <v>192</v>
      </c>
      <c r="L44" s="126" t="s">
        <v>1494</v>
      </c>
      <c r="M44" s="167"/>
      <c r="N44" s="126" t="s">
        <v>288</v>
      </c>
      <c r="O44" s="126" t="s">
        <v>289</v>
      </c>
      <c r="P44" s="126" t="s">
        <v>235</v>
      </c>
      <c r="Q44" s="181">
        <f>3107*2.4</f>
        <v>7456.7999999999993</v>
      </c>
      <c r="R44" s="181"/>
      <c r="S44" s="181">
        <v>7649.4620000000004</v>
      </c>
      <c r="T44" s="181"/>
      <c r="U44" s="219"/>
      <c r="X44" s="181">
        <f t="shared" si="19"/>
        <v>7649.4620000000004</v>
      </c>
      <c r="AX44" s="165">
        <f t="shared" si="0"/>
        <v>45058.5625</v>
      </c>
      <c r="AY44" s="165">
        <f t="shared" si="1"/>
        <v>45068.979166666664</v>
      </c>
      <c r="AZ44" s="137">
        <f t="shared" si="2"/>
        <v>10.416666666664241</v>
      </c>
      <c r="BA44" s="165">
        <v>45058.5625</v>
      </c>
      <c r="BB44" s="165">
        <v>45059.645833333336</v>
      </c>
      <c r="BC44" s="165">
        <v>45061.25</v>
      </c>
      <c r="BD44" s="165">
        <v>45062.395833333336</v>
      </c>
      <c r="BE44" s="165">
        <v>45062.520833333336</v>
      </c>
      <c r="BF44" s="165">
        <v>45062.527777777781</v>
      </c>
      <c r="BG44" s="165">
        <v>45062.527777777781</v>
      </c>
      <c r="BH44" s="165">
        <f t="shared" si="17"/>
        <v>45064.236111111117</v>
      </c>
      <c r="BI44" s="165">
        <v>45064.229166666664</v>
      </c>
      <c r="BJ44" s="165">
        <v>45064.395833333328</v>
      </c>
      <c r="BK44" s="165">
        <v>45064.354166666664</v>
      </c>
      <c r="BL44" s="165">
        <v>45065.375</v>
      </c>
      <c r="BM44" s="165">
        <v>45068</v>
      </c>
      <c r="BN44" s="165">
        <v>45068.364583333336</v>
      </c>
      <c r="BO44" s="165">
        <v>45068.375</v>
      </c>
      <c r="BP44" s="165">
        <v>45068.729166666664</v>
      </c>
      <c r="BQ44" s="165">
        <v>45068.979166666664</v>
      </c>
      <c r="BT44" s="136">
        <f t="shared" si="3"/>
        <v>38.499999999941792</v>
      </c>
      <c r="BU44" s="136">
        <f t="shared" si="4"/>
        <v>3</v>
      </c>
      <c r="BV44" s="136">
        <f t="shared" si="5"/>
        <v>41.000000000058208</v>
      </c>
      <c r="BW44" s="136">
        <f t="shared" si="6"/>
        <v>23.500000000116415</v>
      </c>
      <c r="BX44" s="135">
        <f t="shared" si="7"/>
        <v>8.7500000000582077</v>
      </c>
      <c r="BY44" s="135">
        <f t="shared" si="8"/>
        <v>6</v>
      </c>
      <c r="BZ44" s="134">
        <f t="shared" si="9"/>
        <v>5.031250000007276</v>
      </c>
      <c r="CA44" s="134">
        <f t="shared" si="10"/>
        <v>10.416666666664241</v>
      </c>
      <c r="CB44" s="133">
        <f t="shared" si="11"/>
        <v>0.48300000000081095</v>
      </c>
    </row>
    <row r="45" spans="1:80" s="126" customFormat="1">
      <c r="A45" s="192">
        <f t="shared" si="18"/>
        <v>45062.904861111114</v>
      </c>
      <c r="B45" s="126" t="s">
        <v>228</v>
      </c>
      <c r="C45" s="126" t="s">
        <v>229</v>
      </c>
      <c r="D45" s="126" t="s">
        <v>215</v>
      </c>
      <c r="E45" s="65" t="s">
        <v>1493</v>
      </c>
      <c r="G45" s="73">
        <v>45061.625</v>
      </c>
      <c r="H45" s="73">
        <v>45061.629166666666</v>
      </c>
      <c r="I45" s="126" t="s">
        <v>231</v>
      </c>
      <c r="J45" s="126" t="s">
        <v>192</v>
      </c>
      <c r="K45" s="126" t="s">
        <v>192</v>
      </c>
      <c r="L45" s="126" t="s">
        <v>1495</v>
      </c>
      <c r="M45" s="167"/>
      <c r="N45" s="126" t="s">
        <v>374</v>
      </c>
      <c r="O45" s="126" t="s">
        <v>375</v>
      </c>
      <c r="P45" s="126" t="s">
        <v>235</v>
      </c>
      <c r="Q45" s="181">
        <v>7508.4480000000003</v>
      </c>
      <c r="R45" s="181"/>
      <c r="S45" s="181">
        <v>7501.93</v>
      </c>
      <c r="T45" s="181"/>
      <c r="U45" s="219"/>
      <c r="X45" s="181">
        <f t="shared" si="19"/>
        <v>7501.93</v>
      </c>
      <c r="AX45" s="165">
        <f t="shared" si="0"/>
        <v>45059.208333333336</v>
      </c>
      <c r="AY45" s="165">
        <f t="shared" si="1"/>
        <v>45070.440972222219</v>
      </c>
      <c r="AZ45" s="137">
        <f t="shared" si="2"/>
        <v>11.23263888888323</v>
      </c>
      <c r="BA45" s="165">
        <v>45059.208333333336</v>
      </c>
      <c r="BB45" s="165">
        <v>45059.788194444445</v>
      </c>
      <c r="BC45" s="165">
        <v>45061.829861111109</v>
      </c>
      <c r="BD45" s="165">
        <v>45062.904861111114</v>
      </c>
      <c r="BE45" s="165">
        <v>45063.152777777781</v>
      </c>
      <c r="BF45" s="165">
        <v>45063.166666666664</v>
      </c>
      <c r="BG45" s="165">
        <v>45063.166666666664</v>
      </c>
      <c r="BH45" s="165">
        <f t="shared" si="17"/>
        <v>45064.875</v>
      </c>
      <c r="BI45" s="165">
        <v>45065.229166608799</v>
      </c>
      <c r="BJ45" s="165">
        <v>45065.395833275463</v>
      </c>
      <c r="BK45" s="165">
        <v>45065.298611111109</v>
      </c>
      <c r="BL45" s="165">
        <v>45066.458333333336</v>
      </c>
      <c r="BM45" s="165">
        <v>45069.458333333336</v>
      </c>
      <c r="BN45" s="165">
        <v>45069.78125</v>
      </c>
      <c r="BO45" s="165">
        <v>45069.791666666664</v>
      </c>
      <c r="BP45" s="165">
        <v>45070.173611111109</v>
      </c>
      <c r="BQ45" s="165">
        <v>45070.440972222219</v>
      </c>
      <c r="BT45" s="136">
        <f t="shared" si="3"/>
        <v>48.999999999941792</v>
      </c>
      <c r="BU45" s="136">
        <f t="shared" si="4"/>
        <v>5.9500000000116415</v>
      </c>
      <c r="BV45" s="136">
        <f t="shared" si="5"/>
        <v>41.000000000058208</v>
      </c>
      <c r="BW45" s="136">
        <f t="shared" si="6"/>
        <v>25.500001388951205</v>
      </c>
      <c r="BX45" s="135">
        <f t="shared" si="7"/>
        <v>7.7499999999417923</v>
      </c>
      <c r="BY45" s="135">
        <f t="shared" si="8"/>
        <v>6.4166666666278616</v>
      </c>
      <c r="BZ45" s="134">
        <f t="shared" si="9"/>
        <v>5.6506945023138542</v>
      </c>
      <c r="CA45" s="134">
        <f t="shared" si="10"/>
        <v>11.23263888888323</v>
      </c>
      <c r="CB45" s="133">
        <f t="shared" si="11"/>
        <v>0.50306028335926123</v>
      </c>
    </row>
    <row r="46" spans="1:80" s="126" customFormat="1">
      <c r="A46" s="192">
        <f t="shared" si="18"/>
        <v>45063.25</v>
      </c>
      <c r="B46" s="126" t="s">
        <v>228</v>
      </c>
      <c r="C46" s="126" t="s">
        <v>229</v>
      </c>
      <c r="D46" s="126" t="s">
        <v>197</v>
      </c>
      <c r="E46" s="65" t="s">
        <v>1493</v>
      </c>
      <c r="G46" s="73">
        <v>45061.625</v>
      </c>
      <c r="H46" s="73">
        <v>45061.629166666666</v>
      </c>
      <c r="I46" s="126" t="s">
        <v>231</v>
      </c>
      <c r="J46" s="126" t="s">
        <v>192</v>
      </c>
      <c r="K46" s="126" t="s">
        <v>192</v>
      </c>
      <c r="L46" s="126" t="s">
        <v>1496</v>
      </c>
      <c r="M46" s="167"/>
      <c r="N46" s="126" t="s">
        <v>349</v>
      </c>
      <c r="O46" s="126" t="s">
        <v>350</v>
      </c>
      <c r="P46" s="126" t="s">
        <v>235</v>
      </c>
      <c r="Q46" s="181">
        <f>3077*2.4</f>
        <v>7384.7999999999993</v>
      </c>
      <c r="R46" s="181"/>
      <c r="S46" s="181">
        <v>7493.8950000000004</v>
      </c>
      <c r="T46" s="181"/>
      <c r="X46" s="181">
        <f t="shared" si="19"/>
        <v>7493.8950000000004</v>
      </c>
      <c r="AX46" s="165">
        <f t="shared" si="0"/>
        <v>45059.229166666664</v>
      </c>
      <c r="AY46" s="165">
        <f t="shared" si="1"/>
        <v>45070</v>
      </c>
      <c r="AZ46" s="137">
        <f t="shared" si="2"/>
        <v>10.770833333335759</v>
      </c>
      <c r="BA46" s="165">
        <v>45059.229166666664</v>
      </c>
      <c r="BB46" s="165">
        <v>45059.78125</v>
      </c>
      <c r="BC46" s="165">
        <v>45061.875</v>
      </c>
      <c r="BD46" s="165">
        <v>45063.25</v>
      </c>
      <c r="BE46" s="165">
        <v>45063.447916666664</v>
      </c>
      <c r="BF46" s="165">
        <v>45063.454861111109</v>
      </c>
      <c r="BG46" s="165">
        <v>45063.454861111109</v>
      </c>
      <c r="BH46" s="165">
        <f t="shared" si="17"/>
        <v>45065.163194444445</v>
      </c>
      <c r="BI46" s="165">
        <v>45065.229166608799</v>
      </c>
      <c r="BJ46" s="165">
        <v>45065.395833275463</v>
      </c>
      <c r="BK46" s="165">
        <v>45065.309027777781</v>
      </c>
      <c r="BL46" s="165">
        <v>45066.430555555555</v>
      </c>
      <c r="BM46" s="165">
        <v>45069.15625</v>
      </c>
      <c r="BN46" s="165">
        <v>45069.423611111109</v>
      </c>
      <c r="BO46" s="165">
        <v>45069.434027777781</v>
      </c>
      <c r="BP46" s="165">
        <v>45069.652777777781</v>
      </c>
      <c r="BQ46" s="165">
        <v>45070</v>
      </c>
      <c r="BT46" s="136">
        <f t="shared" si="3"/>
        <v>50.25</v>
      </c>
      <c r="BU46" s="136">
        <f t="shared" si="4"/>
        <v>4.7499999999417923</v>
      </c>
      <c r="BV46" s="136">
        <f t="shared" si="5"/>
        <v>41.000000000058208</v>
      </c>
      <c r="BW46" s="136">
        <f t="shared" si="6"/>
        <v>24.833334722206928</v>
      </c>
      <c r="BX46" s="135">
        <f t="shared" si="7"/>
        <v>6.4166666666278616</v>
      </c>
      <c r="BY46" s="135">
        <f t="shared" si="8"/>
        <v>8.3333333332557231</v>
      </c>
      <c r="BZ46" s="134">
        <f t="shared" si="9"/>
        <v>5.649305613420438</v>
      </c>
      <c r="CA46" s="134">
        <f t="shared" si="10"/>
        <v>10.770833333335759</v>
      </c>
      <c r="CB46" s="133">
        <f t="shared" si="11"/>
        <v>0.52450032774491284</v>
      </c>
    </row>
    <row r="47" spans="1:80" s="126" customFormat="1">
      <c r="A47" s="192">
        <f t="shared" si="18"/>
        <v>45063.690972222219</v>
      </c>
      <c r="B47" s="126" t="s">
        <v>228</v>
      </c>
      <c r="C47" s="126" t="s">
        <v>229</v>
      </c>
      <c r="D47" s="126" t="s">
        <v>215</v>
      </c>
      <c r="E47" s="65" t="s">
        <v>1493</v>
      </c>
      <c r="G47" s="73">
        <v>45061.625</v>
      </c>
      <c r="H47" s="73">
        <v>45061.629166666666</v>
      </c>
      <c r="I47" s="126" t="s">
        <v>231</v>
      </c>
      <c r="J47" s="126" t="s">
        <v>192</v>
      </c>
      <c r="K47" s="126" t="s">
        <v>192</v>
      </c>
      <c r="L47" s="126" t="s">
        <v>1497</v>
      </c>
      <c r="M47" s="167"/>
      <c r="N47" s="126" t="s">
        <v>343</v>
      </c>
      <c r="O47" s="126" t="s">
        <v>344</v>
      </c>
      <c r="P47" s="126" t="s">
        <v>235</v>
      </c>
      <c r="Q47" s="181">
        <f>3136*2.4</f>
        <v>7526.4</v>
      </c>
      <c r="R47" s="181"/>
      <c r="S47" s="181">
        <v>7345.2790000000005</v>
      </c>
      <c r="T47" s="181"/>
      <c r="X47" s="181">
        <f t="shared" si="19"/>
        <v>7345.2790000000005</v>
      </c>
      <c r="AX47" s="165">
        <f t="shared" si="0"/>
        <v>45058.625</v>
      </c>
      <c r="AY47" s="165">
        <f t="shared" si="1"/>
        <v>45070.375</v>
      </c>
      <c r="AZ47" s="137">
        <f t="shared" si="2"/>
        <v>11.75</v>
      </c>
      <c r="BA47" s="165">
        <v>45058.625</v>
      </c>
      <c r="BB47" s="165">
        <v>45060.559027777781</v>
      </c>
      <c r="BC47" s="165">
        <v>45062.461805555555</v>
      </c>
      <c r="BD47" s="165">
        <v>45063.690972222219</v>
      </c>
      <c r="BE47" s="165">
        <v>45063.878472222219</v>
      </c>
      <c r="BF47" s="165">
        <v>45063.885416666664</v>
      </c>
      <c r="BG47" s="165">
        <v>45064.25</v>
      </c>
      <c r="BH47" s="165">
        <f t="shared" si="17"/>
        <v>45065.958333333336</v>
      </c>
      <c r="BI47" s="165">
        <v>45066.229166608799</v>
      </c>
      <c r="BJ47" s="165">
        <v>45066.395833275463</v>
      </c>
      <c r="BK47" s="165">
        <v>45066.357638888891</v>
      </c>
      <c r="BL47" s="165">
        <v>45067.416666666664</v>
      </c>
      <c r="BM47" s="165">
        <v>45069.8125</v>
      </c>
      <c r="BN47" s="165">
        <v>45070.097222222219</v>
      </c>
      <c r="BO47" s="165">
        <v>45070.107638888891</v>
      </c>
      <c r="BP47" s="165">
        <v>45070.107638888891</v>
      </c>
      <c r="BQ47" s="165">
        <v>45070.375</v>
      </c>
      <c r="BT47" s="136">
        <f t="shared" si="3"/>
        <v>45.666666666569654</v>
      </c>
      <c r="BU47" s="136">
        <f t="shared" si="4"/>
        <v>4.5</v>
      </c>
      <c r="BV47" s="136">
        <f t="shared" si="5"/>
        <v>41.000000000058208</v>
      </c>
      <c r="BW47" s="136">
        <f t="shared" si="6"/>
        <v>24.500001388834789</v>
      </c>
      <c r="BX47" s="135">
        <f t="shared" si="7"/>
        <v>6.8333333332557231</v>
      </c>
      <c r="BY47" s="135">
        <f t="shared" si="8"/>
        <v>6.4166666666278616</v>
      </c>
      <c r="BZ47" s="134">
        <f t="shared" si="9"/>
        <v>5.3715278356394265</v>
      </c>
      <c r="CA47" s="134">
        <f t="shared" si="10"/>
        <v>11.75</v>
      </c>
      <c r="CB47" s="133">
        <f t="shared" si="11"/>
        <v>0.45715130516080227</v>
      </c>
    </row>
    <row r="48" spans="1:80" s="126" customFormat="1">
      <c r="A48" s="192">
        <f t="shared" si="18"/>
        <v>45063.496527777781</v>
      </c>
      <c r="B48" s="126" t="s">
        <v>228</v>
      </c>
      <c r="C48" s="126" t="s">
        <v>229</v>
      </c>
      <c r="D48" s="126" t="s">
        <v>197</v>
      </c>
      <c r="E48" s="65" t="s">
        <v>1493</v>
      </c>
      <c r="G48" s="73">
        <v>45061.625</v>
      </c>
      <c r="H48" s="73">
        <v>45061.629166666666</v>
      </c>
      <c r="I48" s="126" t="s">
        <v>231</v>
      </c>
      <c r="J48" s="126" t="s">
        <v>192</v>
      </c>
      <c r="K48" s="126" t="s">
        <v>192</v>
      </c>
      <c r="L48" s="126" t="s">
        <v>1498</v>
      </c>
      <c r="M48" s="167"/>
      <c r="N48" s="126" t="s">
        <v>284</v>
      </c>
      <c r="O48" s="126" t="s">
        <v>285</v>
      </c>
      <c r="P48" s="126" t="s">
        <v>235</v>
      </c>
      <c r="Q48" s="181">
        <f>3852*2.4</f>
        <v>9244.7999999999993</v>
      </c>
      <c r="R48" s="181"/>
      <c r="S48" s="181">
        <v>9047.6460000000006</v>
      </c>
      <c r="T48" s="181"/>
      <c r="X48" s="181">
        <f t="shared" si="19"/>
        <v>9047.6460000000006</v>
      </c>
      <c r="AX48" s="165">
        <f t="shared" si="0"/>
        <v>45059.375</v>
      </c>
      <c r="AY48" s="165">
        <f t="shared" si="1"/>
        <v>45069.395833333336</v>
      </c>
      <c r="AZ48" s="137">
        <f t="shared" si="2"/>
        <v>10.020833333335759</v>
      </c>
      <c r="BA48" s="165">
        <v>45059.375</v>
      </c>
      <c r="BB48" s="165">
        <v>45060.579861111109</v>
      </c>
      <c r="BC48" s="165">
        <v>45062.4375</v>
      </c>
      <c r="BD48" s="165">
        <v>45063.496527777781</v>
      </c>
      <c r="BE48" s="165">
        <v>45063.647222222222</v>
      </c>
      <c r="BF48" s="165">
        <v>45063.666666666664</v>
      </c>
      <c r="BG48" s="165">
        <v>45063.666666666664</v>
      </c>
      <c r="BH48" s="165">
        <f t="shared" si="17"/>
        <v>45065.375</v>
      </c>
      <c r="BI48" s="165">
        <v>45065.229166608799</v>
      </c>
      <c r="BJ48" s="165">
        <v>45065.395833275463</v>
      </c>
      <c r="BK48" s="165">
        <v>45065.291666666664</v>
      </c>
      <c r="BL48" s="165">
        <v>45066.375</v>
      </c>
      <c r="BM48" s="165">
        <v>45068.729166666664</v>
      </c>
      <c r="BN48" s="165">
        <v>45069.128472222219</v>
      </c>
      <c r="BO48" s="165">
        <v>45069.135416666664</v>
      </c>
      <c r="BP48" s="165">
        <v>45069.135416666664</v>
      </c>
      <c r="BQ48" s="165">
        <v>45069.395833333336</v>
      </c>
      <c r="BT48" s="136">
        <f t="shared" si="3"/>
        <v>44.583333333372138</v>
      </c>
      <c r="BU48" s="136">
        <f t="shared" si="4"/>
        <v>3.6166666665812954</v>
      </c>
      <c r="BV48" s="136">
        <f t="shared" si="5"/>
        <v>41.000000000058208</v>
      </c>
      <c r="BW48" s="136">
        <f t="shared" si="6"/>
        <v>23.500001388892997</v>
      </c>
      <c r="BX48" s="135">
        <f t="shared" si="7"/>
        <v>9.5833333333139308</v>
      </c>
      <c r="BY48" s="135">
        <f t="shared" si="8"/>
        <v>6.2500000001164153</v>
      </c>
      <c r="BZ48" s="134">
        <f t="shared" si="9"/>
        <v>5.3555556134306244</v>
      </c>
      <c r="CA48" s="134">
        <f t="shared" si="10"/>
        <v>10.020833333335759</v>
      </c>
      <c r="CB48" s="133">
        <f t="shared" si="11"/>
        <v>0.53444214021747971</v>
      </c>
    </row>
    <row r="49" spans="1:80" s="126" customFormat="1">
      <c r="A49" s="192">
        <f t="shared" si="18"/>
        <v>45063.909722222219</v>
      </c>
      <c r="B49" s="126" t="s">
        <v>228</v>
      </c>
      <c r="C49" s="126" t="s">
        <v>229</v>
      </c>
      <c r="D49" s="126" t="s">
        <v>197</v>
      </c>
      <c r="E49" s="65" t="s">
        <v>1445</v>
      </c>
      <c r="F49" s="65" t="s">
        <v>1499</v>
      </c>
      <c r="G49" s="73">
        <v>45077.833333333336</v>
      </c>
      <c r="H49" s="73">
        <v>45077.804166666669</v>
      </c>
      <c r="I49" s="126" t="s">
        <v>243</v>
      </c>
      <c r="J49" s="126" t="s">
        <v>192</v>
      </c>
      <c r="K49" s="126" t="s">
        <v>192</v>
      </c>
      <c r="L49" s="126" t="s">
        <v>1500</v>
      </c>
      <c r="M49" s="167"/>
      <c r="N49" s="126" t="s">
        <v>323</v>
      </c>
      <c r="O49" s="126" t="s">
        <v>324</v>
      </c>
      <c r="P49" s="126" t="s">
        <v>240</v>
      </c>
      <c r="Q49" s="181">
        <f>3095*2.4</f>
        <v>7428</v>
      </c>
      <c r="R49" s="181"/>
      <c r="S49" s="181">
        <f>7501.762</f>
        <v>7501.7619999999997</v>
      </c>
      <c r="T49" s="181"/>
      <c r="Y49" s="181">
        <f>S49</f>
        <v>7501.7619999999997</v>
      </c>
      <c r="AX49" s="165">
        <f t="shared" si="0"/>
        <v>45059.487500000003</v>
      </c>
      <c r="AY49" s="165">
        <f t="shared" si="1"/>
        <v>45081.898611111108</v>
      </c>
      <c r="AZ49" s="137">
        <f t="shared" si="2"/>
        <v>22.411111111105129</v>
      </c>
      <c r="BA49" s="165">
        <v>45059.487500000003</v>
      </c>
      <c r="BB49" s="165">
        <v>45060.544444444444</v>
      </c>
      <c r="BC49" s="165">
        <v>45062.680555555555</v>
      </c>
      <c r="BD49" s="165">
        <v>45063.909722222219</v>
      </c>
      <c r="BE49" s="165">
        <v>45064.045138888891</v>
      </c>
      <c r="BF49" s="165">
        <v>45064.059027777781</v>
      </c>
      <c r="BG49" s="165">
        <v>45064.25</v>
      </c>
      <c r="BH49" s="165">
        <f t="shared" si="17"/>
        <v>45065.958333333336</v>
      </c>
      <c r="BI49" s="165">
        <v>45076.520833333336</v>
      </c>
      <c r="BJ49" s="165">
        <v>45076.6875</v>
      </c>
      <c r="BK49" s="165">
        <v>45076.543055555558</v>
      </c>
      <c r="BL49" s="165">
        <v>45078.041666666664</v>
      </c>
      <c r="BM49" s="165">
        <v>45080.982638888891</v>
      </c>
      <c r="BN49" s="165">
        <v>45081.239583333336</v>
      </c>
      <c r="BO49" s="165">
        <v>45081.270833333336</v>
      </c>
      <c r="BP49" s="165">
        <v>45081.270833333336</v>
      </c>
      <c r="BQ49" s="165">
        <v>45081.898611111108</v>
      </c>
      <c r="BT49" s="136">
        <f t="shared" si="3"/>
        <v>51.266666666662786</v>
      </c>
      <c r="BU49" s="136">
        <f t="shared" si="4"/>
        <v>3.2500000001164153</v>
      </c>
      <c r="BV49" s="136">
        <f t="shared" si="5"/>
        <v>41.000000000058208</v>
      </c>
      <c r="BW49" s="136">
        <f t="shared" si="6"/>
        <v>32.499999999941792</v>
      </c>
      <c r="BX49" s="135">
        <f t="shared" si="7"/>
        <v>6.1666666666860692</v>
      </c>
      <c r="BY49" s="135">
        <f t="shared" si="8"/>
        <v>15.066666666534729</v>
      </c>
      <c r="BZ49" s="134">
        <f t="shared" si="9"/>
        <v>6.21875</v>
      </c>
      <c r="CA49" s="134">
        <f t="shared" si="10"/>
        <v>22.411111111105129</v>
      </c>
      <c r="CB49" s="133">
        <f t="shared" si="11"/>
        <v>0.27748512642545831</v>
      </c>
    </row>
    <row r="50" spans="1:80" s="126" customFormat="1">
      <c r="A50" s="192">
        <f t="shared" si="18"/>
        <v>45064.076388888891</v>
      </c>
      <c r="B50" s="126" t="s">
        <v>228</v>
      </c>
      <c r="C50" s="126" t="s">
        <v>229</v>
      </c>
      <c r="D50" s="126" t="s">
        <v>215</v>
      </c>
      <c r="E50" s="65" t="s">
        <v>1501</v>
      </c>
      <c r="G50" s="73">
        <v>45062.25</v>
      </c>
      <c r="H50" s="73">
        <v>45062.241666666669</v>
      </c>
      <c r="I50" s="126" t="s">
        <v>243</v>
      </c>
      <c r="J50" s="126" t="s">
        <v>192</v>
      </c>
      <c r="K50" s="126" t="s">
        <v>192</v>
      </c>
      <c r="L50" s="126" t="s">
        <v>1502</v>
      </c>
      <c r="M50" s="167"/>
      <c r="N50" s="126" t="s">
        <v>721</v>
      </c>
      <c r="O50" s="126" t="s">
        <v>1349</v>
      </c>
      <c r="P50" s="126" t="s">
        <v>235</v>
      </c>
      <c r="Q50" s="181">
        <f>3136*2.4</f>
        <v>7526.4</v>
      </c>
      <c r="R50" s="181"/>
      <c r="S50" s="181">
        <v>7580.2139999999999</v>
      </c>
      <c r="T50" s="181"/>
      <c r="X50" s="181">
        <f>S50</f>
        <v>7580.2139999999999</v>
      </c>
      <c r="AX50" s="165">
        <f t="shared" si="0"/>
        <v>45059.465277777781</v>
      </c>
      <c r="AY50" s="165">
        <f t="shared" si="1"/>
        <v>45072.135416666664</v>
      </c>
      <c r="AZ50" s="137">
        <f t="shared" si="2"/>
        <v>12.67013888888323</v>
      </c>
      <c r="BA50" s="165">
        <v>45059.465277777781</v>
      </c>
      <c r="BB50" s="165">
        <v>45060.534722222219</v>
      </c>
      <c r="BC50" s="165">
        <v>45062.333333333336</v>
      </c>
      <c r="BD50" s="165">
        <v>45064.076388888891</v>
      </c>
      <c r="BE50" s="165">
        <v>45064.211805555555</v>
      </c>
      <c r="BF50" s="165">
        <v>45064.21875</v>
      </c>
      <c r="BG50" s="165">
        <v>45064.21875</v>
      </c>
      <c r="BH50" s="165">
        <f t="shared" si="17"/>
        <v>45065.927083333336</v>
      </c>
      <c r="BI50" s="165">
        <v>45066.229166608799</v>
      </c>
      <c r="BJ50" s="165">
        <v>45066.395833275463</v>
      </c>
      <c r="BK50" s="165">
        <v>45066.305555555555</v>
      </c>
      <c r="BL50" s="165">
        <v>45067.784722222219</v>
      </c>
      <c r="BM50" s="165">
        <v>45071.263888888891</v>
      </c>
      <c r="BN50" s="165">
        <v>45071.701388888891</v>
      </c>
      <c r="BO50" s="165">
        <v>45071.711805555555</v>
      </c>
      <c r="BP50" s="165">
        <v>45071.715277777781</v>
      </c>
      <c r="BQ50" s="165">
        <v>45072.135416666664</v>
      </c>
      <c r="BT50" s="136">
        <f t="shared" si="3"/>
        <v>43.166666666802485</v>
      </c>
      <c r="BU50" s="136">
        <f t="shared" si="4"/>
        <v>3.2499999999417923</v>
      </c>
      <c r="BV50" s="136">
        <f t="shared" si="5"/>
        <v>41.000000000058208</v>
      </c>
      <c r="BW50" s="136">
        <f t="shared" si="6"/>
        <v>33.33333472214872</v>
      </c>
      <c r="BX50" s="135">
        <f t="shared" si="7"/>
        <v>10.5</v>
      </c>
      <c r="BY50" s="135">
        <f t="shared" si="8"/>
        <v>10.083333333197515</v>
      </c>
      <c r="BZ50" s="134">
        <f t="shared" si="9"/>
        <v>5.8888889467561967</v>
      </c>
      <c r="CA50" s="134">
        <f t="shared" si="10"/>
        <v>12.67013888888323</v>
      </c>
      <c r="CB50" s="133">
        <f t="shared" si="11"/>
        <v>0.46478487713525407</v>
      </c>
    </row>
    <row r="51" spans="1:80" s="126" customFormat="1">
      <c r="A51" s="192">
        <f t="shared" si="18"/>
        <v>45064.243055555555</v>
      </c>
      <c r="B51" s="126" t="s">
        <v>228</v>
      </c>
      <c r="C51" s="126" t="s">
        <v>229</v>
      </c>
      <c r="D51" s="126" t="s">
        <v>197</v>
      </c>
      <c r="E51" s="65" t="s">
        <v>1501</v>
      </c>
      <c r="G51" s="73">
        <v>45062.25</v>
      </c>
      <c r="H51" s="73">
        <v>45062.241666666669</v>
      </c>
      <c r="I51" s="126" t="s">
        <v>243</v>
      </c>
      <c r="J51" s="126" t="s">
        <v>192</v>
      </c>
      <c r="K51" s="126" t="s">
        <v>192</v>
      </c>
      <c r="L51" s="126" t="s">
        <v>1503</v>
      </c>
      <c r="M51" s="167"/>
      <c r="N51" s="126" t="s">
        <v>371</v>
      </c>
      <c r="O51" s="126" t="s">
        <v>372</v>
      </c>
      <c r="P51" s="126" t="s">
        <v>235</v>
      </c>
      <c r="Q51" s="181">
        <f>3117*2.4</f>
        <v>7480.7999999999993</v>
      </c>
      <c r="R51" s="181"/>
      <c r="S51" s="181">
        <v>7490.9530000000004</v>
      </c>
      <c r="T51" s="181"/>
      <c r="X51" s="181">
        <f>S51</f>
        <v>7490.9530000000004</v>
      </c>
      <c r="AX51" s="165">
        <f t="shared" si="0"/>
        <v>45059.486111111109</v>
      </c>
      <c r="AY51" s="165">
        <f t="shared" si="1"/>
        <v>45071.225694444445</v>
      </c>
      <c r="AZ51" s="137">
        <f t="shared" si="2"/>
        <v>11.739583333335759</v>
      </c>
      <c r="BA51" s="165">
        <v>45059.486111111109</v>
      </c>
      <c r="BB51" s="165">
        <v>45060.847222222219</v>
      </c>
      <c r="BC51" s="165">
        <v>45062.791666666664</v>
      </c>
      <c r="BD51" s="165">
        <v>45064.243055555555</v>
      </c>
      <c r="BE51" s="165">
        <v>45064.43472222222</v>
      </c>
      <c r="BF51" s="165">
        <v>45064.4375</v>
      </c>
      <c r="BG51" s="165">
        <v>45064.4375</v>
      </c>
      <c r="BH51" s="165">
        <f t="shared" si="17"/>
        <v>45066.145833333336</v>
      </c>
      <c r="BI51" s="165">
        <v>45066.229166608799</v>
      </c>
      <c r="BJ51" s="165">
        <v>45066.395833275463</v>
      </c>
      <c r="BK51" s="165">
        <v>45066.284722222219</v>
      </c>
      <c r="BL51" s="165">
        <v>45067.711805555555</v>
      </c>
      <c r="BM51" s="165">
        <v>45070.975694444445</v>
      </c>
      <c r="BN51" s="165">
        <v>45071.194444444445</v>
      </c>
      <c r="BO51" s="165">
        <v>45071.225694444445</v>
      </c>
      <c r="BP51" s="165">
        <v>45071.225694444445</v>
      </c>
      <c r="BQ51" s="165">
        <v>45071.225694444445</v>
      </c>
      <c r="BR51" s="126" t="s">
        <v>788</v>
      </c>
      <c r="BT51" s="136">
        <f t="shared" si="3"/>
        <v>46.666666666686069</v>
      </c>
      <c r="BU51" s="136">
        <f t="shared" si="4"/>
        <v>4.5999999999767169</v>
      </c>
      <c r="BV51" s="136">
        <f t="shared" si="5"/>
        <v>41.000000000058208</v>
      </c>
      <c r="BW51" s="136">
        <f t="shared" si="6"/>
        <v>31.583334722206928</v>
      </c>
      <c r="BX51" s="135">
        <f t="shared" si="7"/>
        <v>5.25</v>
      </c>
      <c r="BY51" s="135">
        <f t="shared" si="8"/>
        <v>0</v>
      </c>
      <c r="BZ51" s="134">
        <f t="shared" si="9"/>
        <v>5.3791667245386634</v>
      </c>
      <c r="CA51" s="134">
        <f t="shared" si="10"/>
        <v>11.739583333335759</v>
      </c>
      <c r="CB51" s="133">
        <f t="shared" si="11"/>
        <v>0.45820763580799023</v>
      </c>
    </row>
    <row r="52" spans="1:80" s="126" customFormat="1">
      <c r="A52" s="192">
        <f t="shared" si="18"/>
        <v>45064.465277777781</v>
      </c>
      <c r="B52" s="126" t="s">
        <v>228</v>
      </c>
      <c r="C52" s="126" t="s">
        <v>229</v>
      </c>
      <c r="D52" s="126" t="s">
        <v>197</v>
      </c>
      <c r="E52" s="65" t="s">
        <v>1501</v>
      </c>
      <c r="G52" s="73">
        <v>45062.25</v>
      </c>
      <c r="H52" s="73">
        <v>45062.241666666669</v>
      </c>
      <c r="I52" s="126" t="s">
        <v>243</v>
      </c>
      <c r="J52" s="126" t="s">
        <v>192</v>
      </c>
      <c r="K52" s="126" t="s">
        <v>192</v>
      </c>
      <c r="L52" s="126" t="s">
        <v>1504</v>
      </c>
      <c r="M52" s="167"/>
      <c r="N52" s="126" t="s">
        <v>380</v>
      </c>
      <c r="O52" s="126" t="s">
        <v>381</v>
      </c>
      <c r="P52" s="126" t="s">
        <v>235</v>
      </c>
      <c r="Q52" s="181">
        <f>3271*2.4</f>
        <v>7850.4</v>
      </c>
      <c r="R52" s="181"/>
      <c r="S52" s="181">
        <v>7733.1139999999996</v>
      </c>
      <c r="T52" s="181"/>
      <c r="X52" s="181">
        <f>S52</f>
        <v>7733.1139999999996</v>
      </c>
      <c r="AX52" s="165">
        <f t="shared" si="0"/>
        <v>45059.809027777781</v>
      </c>
      <c r="AY52" s="165">
        <f t="shared" si="1"/>
        <v>45072.458333333336</v>
      </c>
      <c r="AZ52" s="137">
        <f t="shared" si="2"/>
        <v>12.649305555554747</v>
      </c>
      <c r="BA52" s="165">
        <v>45059.809027777781</v>
      </c>
      <c r="BB52" s="165">
        <v>45060.559027777781</v>
      </c>
      <c r="BC52" s="165">
        <v>45062.809027777781</v>
      </c>
      <c r="BD52" s="165">
        <v>45064.465277777781</v>
      </c>
      <c r="BE52" s="165">
        <v>45064.602777777778</v>
      </c>
      <c r="BF52" s="165">
        <v>45064.607638888891</v>
      </c>
      <c r="BG52" s="165">
        <v>45064.607638888891</v>
      </c>
      <c r="BH52" s="165">
        <f t="shared" si="17"/>
        <v>45066.315972222226</v>
      </c>
      <c r="BI52" s="165">
        <v>45066.229166608799</v>
      </c>
      <c r="BJ52" s="165">
        <v>45066.395833275463</v>
      </c>
      <c r="BK52" s="165">
        <v>45066.298611111109</v>
      </c>
      <c r="BL52" s="165">
        <v>45068.114583333336</v>
      </c>
      <c r="BM52" s="165">
        <v>45071.770833333336</v>
      </c>
      <c r="BN52" s="165">
        <v>45072.048611111109</v>
      </c>
      <c r="BO52" s="165">
        <v>45072.072916666664</v>
      </c>
      <c r="BP52" s="165">
        <v>45072.076388888891</v>
      </c>
      <c r="BQ52" s="165">
        <v>45072.458333333336</v>
      </c>
      <c r="BT52" s="136">
        <f t="shared" si="3"/>
        <v>54</v>
      </c>
      <c r="BU52" s="136">
        <f t="shared" si="4"/>
        <v>3.2999999999301508</v>
      </c>
      <c r="BV52" s="136">
        <f t="shared" si="5"/>
        <v>41.000000000058208</v>
      </c>
      <c r="BW52" s="136">
        <f t="shared" si="6"/>
        <v>41.250001388951205</v>
      </c>
      <c r="BX52" s="135">
        <f t="shared" si="7"/>
        <v>6.6666666665696539</v>
      </c>
      <c r="BY52" s="135">
        <f t="shared" si="8"/>
        <v>9.1666666666860692</v>
      </c>
      <c r="BZ52" s="134">
        <f t="shared" si="9"/>
        <v>6.4743056134248036</v>
      </c>
      <c r="CA52" s="134">
        <f t="shared" si="10"/>
        <v>12.649305555554747</v>
      </c>
      <c r="CB52" s="133">
        <f t="shared" si="11"/>
        <v>0.51183091316674789</v>
      </c>
    </row>
    <row r="53" spans="1:80" s="126" customFormat="1">
      <c r="A53" s="192">
        <f t="shared" si="18"/>
        <v>45064.632638888892</v>
      </c>
      <c r="B53" s="126" t="s">
        <v>228</v>
      </c>
      <c r="C53" s="126" t="s">
        <v>229</v>
      </c>
      <c r="D53" s="126" t="s">
        <v>215</v>
      </c>
      <c r="E53" s="65" t="s">
        <v>1501</v>
      </c>
      <c r="G53" s="73">
        <v>45062.25</v>
      </c>
      <c r="H53" s="73">
        <v>45062.241666666669</v>
      </c>
      <c r="I53" s="126" t="s">
        <v>243</v>
      </c>
      <c r="J53" s="126" t="s">
        <v>192</v>
      </c>
      <c r="K53" s="126" t="s">
        <v>192</v>
      </c>
      <c r="L53" s="126" t="s">
        <v>1505</v>
      </c>
      <c r="M53" s="167"/>
      <c r="N53" s="126" t="s">
        <v>774</v>
      </c>
      <c r="O53" s="126" t="s">
        <v>423</v>
      </c>
      <c r="P53" s="126" t="s">
        <v>240</v>
      </c>
      <c r="Q53" s="181">
        <f>3156*2.4</f>
        <v>7574.4</v>
      </c>
      <c r="R53" s="181"/>
      <c r="S53" s="181">
        <v>7556.8819999999996</v>
      </c>
      <c r="T53" s="181"/>
      <c r="Y53" s="181">
        <f>S53</f>
        <v>7556.8819999999996</v>
      </c>
      <c r="AX53" s="165">
        <f t="shared" si="0"/>
        <v>45059.815972222219</v>
      </c>
      <c r="AY53" s="165">
        <f t="shared" si="1"/>
        <v>45073.472222222219</v>
      </c>
      <c r="AZ53" s="137">
        <f t="shared" si="2"/>
        <v>13.65625</v>
      </c>
      <c r="BA53" s="165">
        <v>45059.815972222219</v>
      </c>
      <c r="BB53" s="165">
        <v>45060.84375</v>
      </c>
      <c r="BC53" s="165">
        <v>45062.819444444445</v>
      </c>
      <c r="BD53" s="165">
        <v>45064.632638888892</v>
      </c>
      <c r="BE53" s="165">
        <v>45064.756944444445</v>
      </c>
      <c r="BF53" s="165">
        <v>45064.760416666664</v>
      </c>
      <c r="BG53" s="165">
        <v>45064.760416666664</v>
      </c>
      <c r="BH53" s="165">
        <f t="shared" si="17"/>
        <v>45066.46875</v>
      </c>
      <c r="BI53" s="165">
        <v>45066.229166608799</v>
      </c>
      <c r="BJ53" s="165">
        <v>45066.395833275463</v>
      </c>
      <c r="BK53" s="165">
        <v>45066.34375</v>
      </c>
      <c r="BL53" s="165">
        <v>45067.666666666664</v>
      </c>
      <c r="BM53" s="165">
        <v>45070.718055555553</v>
      </c>
      <c r="BN53" s="165">
        <v>45072.756944444445</v>
      </c>
      <c r="BO53" s="165">
        <v>45073.006944444445</v>
      </c>
      <c r="BP53" s="165">
        <v>45073.010416666664</v>
      </c>
      <c r="BQ53" s="165">
        <v>45073.472222222219</v>
      </c>
      <c r="BT53" s="136">
        <f t="shared" si="3"/>
        <v>47.416666666686069</v>
      </c>
      <c r="BU53" s="136">
        <f t="shared" si="4"/>
        <v>2.9833333332790062</v>
      </c>
      <c r="BV53" s="136">
        <f t="shared" si="5"/>
        <v>41.000000000058208</v>
      </c>
      <c r="BW53" s="136">
        <f t="shared" si="6"/>
        <v>30.500001388834789</v>
      </c>
      <c r="BX53" s="135">
        <f t="shared" si="7"/>
        <v>48.933333333407063</v>
      </c>
      <c r="BY53" s="135">
        <f t="shared" si="8"/>
        <v>11.083333333313931</v>
      </c>
      <c r="BZ53" s="134">
        <f t="shared" si="9"/>
        <v>7.5798611689824611</v>
      </c>
      <c r="CA53" s="134">
        <f t="shared" si="10"/>
        <v>13.65625</v>
      </c>
      <c r="CB53" s="133">
        <f t="shared" si="11"/>
        <v>0.55504704212228551</v>
      </c>
    </row>
    <row r="54" spans="1:80" s="126" customFormat="1">
      <c r="A54" s="192">
        <f t="shared" si="18"/>
        <v>45064.802083333336</v>
      </c>
      <c r="B54" s="126" t="s">
        <v>228</v>
      </c>
      <c r="C54" s="126" t="s">
        <v>229</v>
      </c>
      <c r="D54" s="126" t="s">
        <v>197</v>
      </c>
      <c r="E54" s="65" t="s">
        <v>1501</v>
      </c>
      <c r="G54" s="73">
        <v>45062.25</v>
      </c>
      <c r="H54" s="73">
        <v>45062.241666666669</v>
      </c>
      <c r="I54" s="126" t="s">
        <v>243</v>
      </c>
      <c r="J54" s="126" t="s">
        <v>192</v>
      </c>
      <c r="K54" s="126" t="s">
        <v>192</v>
      </c>
      <c r="L54" s="126" t="s">
        <v>1506</v>
      </c>
      <c r="M54" s="167"/>
      <c r="N54" s="126" t="s">
        <v>492</v>
      </c>
      <c r="O54" s="126" t="s">
        <v>493</v>
      </c>
      <c r="P54" s="126" t="s">
        <v>240</v>
      </c>
      <c r="Q54" s="181">
        <f>3152*2.4</f>
        <v>7564.7999999999993</v>
      </c>
      <c r="R54" s="181"/>
      <c r="S54" s="181">
        <v>7569.66</v>
      </c>
      <c r="T54" s="181"/>
      <c r="Y54" s="181">
        <f>S54</f>
        <v>7569.66</v>
      </c>
      <c r="AX54" s="165">
        <f t="shared" si="0"/>
        <v>45060.791666666664</v>
      </c>
      <c r="AY54" s="165">
        <f t="shared" si="1"/>
        <v>45072.631944444445</v>
      </c>
      <c r="AZ54" s="137">
        <f t="shared" si="2"/>
        <v>11.840277777781012</v>
      </c>
      <c r="BA54" s="165">
        <v>45060.791666666664</v>
      </c>
      <c r="BB54" s="165">
        <v>45061.333333333336</v>
      </c>
      <c r="BC54" s="165">
        <v>45063.229166666664</v>
      </c>
      <c r="BD54" s="165">
        <v>45064.802083333336</v>
      </c>
      <c r="BE54" s="165">
        <v>45064.930555555555</v>
      </c>
      <c r="BF54" s="165">
        <v>45064.9375</v>
      </c>
      <c r="BG54" s="165">
        <v>45065.291666666664</v>
      </c>
      <c r="BH54" s="165">
        <f t="shared" si="17"/>
        <v>45067</v>
      </c>
      <c r="BI54" s="165">
        <v>45067.25</v>
      </c>
      <c r="BJ54" s="165">
        <v>45067.416666666664</v>
      </c>
      <c r="BK54" s="165">
        <v>45067.28125</v>
      </c>
      <c r="BL54" s="165">
        <v>45068.6875</v>
      </c>
      <c r="BM54" s="165">
        <v>45072.152777777781</v>
      </c>
      <c r="BN54" s="165">
        <v>45072.614583333336</v>
      </c>
      <c r="BO54" s="165">
        <v>45072.631944444445</v>
      </c>
      <c r="BP54" s="165">
        <v>45072.631944444445</v>
      </c>
      <c r="BQ54" s="165">
        <v>45072.631944444445</v>
      </c>
      <c r="BR54" s="126" t="s">
        <v>1507</v>
      </c>
      <c r="BT54" s="136">
        <f t="shared" si="3"/>
        <v>45.499999999883585</v>
      </c>
      <c r="BU54" s="136">
        <f t="shared" si="4"/>
        <v>3.0833333332557231</v>
      </c>
      <c r="BV54" s="136">
        <f t="shared" si="5"/>
        <v>41.000000000058208</v>
      </c>
      <c r="BW54" s="136">
        <f t="shared" si="6"/>
        <v>30.500000000058208</v>
      </c>
      <c r="BX54" s="135">
        <f t="shared" si="7"/>
        <v>11.083333333313931</v>
      </c>
      <c r="BY54" s="135">
        <f t="shared" si="8"/>
        <v>0</v>
      </c>
      <c r="BZ54" s="134">
        <f t="shared" si="9"/>
        <v>5.4652777777737356</v>
      </c>
      <c r="CA54" s="134">
        <f t="shared" si="10"/>
        <v>11.840277777781012</v>
      </c>
      <c r="CB54" s="133">
        <f t="shared" si="11"/>
        <v>0.46158357771214253</v>
      </c>
    </row>
    <row r="55" spans="1:80" s="126" customFormat="1">
      <c r="A55" s="192">
        <f t="shared" si="18"/>
        <v>45064.958333333336</v>
      </c>
      <c r="B55" s="126" t="s">
        <v>228</v>
      </c>
      <c r="C55" s="126" t="s">
        <v>229</v>
      </c>
      <c r="D55" s="126" t="s">
        <v>215</v>
      </c>
      <c r="E55" s="65" t="s">
        <v>1501</v>
      </c>
      <c r="G55" s="73">
        <v>45062.25</v>
      </c>
      <c r="H55" s="73">
        <v>45062.241666666669</v>
      </c>
      <c r="I55" s="126" t="s">
        <v>243</v>
      </c>
      <c r="J55" s="126" t="s">
        <v>192</v>
      </c>
      <c r="K55" s="126" t="s">
        <v>192</v>
      </c>
      <c r="L55" s="126" t="s">
        <v>1508</v>
      </c>
      <c r="M55" s="167"/>
      <c r="N55" s="126" t="s">
        <v>352</v>
      </c>
      <c r="O55" s="126" t="s">
        <v>353</v>
      </c>
      <c r="P55" s="126" t="s">
        <v>235</v>
      </c>
      <c r="Q55" s="181">
        <f>3852*2.4</f>
        <v>9244.7999999999993</v>
      </c>
      <c r="R55" s="181"/>
      <c r="S55" s="181">
        <v>9100.1990000000005</v>
      </c>
      <c r="T55" s="181"/>
      <c r="X55" s="181">
        <f>S55</f>
        <v>9100.1990000000005</v>
      </c>
      <c r="AX55" s="165">
        <f t="shared" si="0"/>
        <v>45060.583333333336</v>
      </c>
      <c r="AY55" s="165">
        <f t="shared" si="1"/>
        <v>45073.5</v>
      </c>
      <c r="AZ55" s="137">
        <f t="shared" si="2"/>
        <v>12.916666666664241</v>
      </c>
      <c r="BA55" s="165">
        <v>45060.583333333336</v>
      </c>
      <c r="BB55" s="165">
        <v>45061.82708333333</v>
      </c>
      <c r="BC55" s="165">
        <v>45063.875</v>
      </c>
      <c r="BD55" s="165">
        <v>45064.958333333336</v>
      </c>
      <c r="BE55" s="165">
        <v>45065.114583333336</v>
      </c>
      <c r="BF55" s="165">
        <v>45065.125</v>
      </c>
      <c r="BG55" s="165">
        <v>45065.267361111109</v>
      </c>
      <c r="BH55" s="165">
        <f t="shared" si="17"/>
        <v>45066.975694444445</v>
      </c>
      <c r="BI55" s="165">
        <v>45067.25</v>
      </c>
      <c r="BJ55" s="165">
        <v>45067.416666666664</v>
      </c>
      <c r="BK55" s="165">
        <v>45067.286805555559</v>
      </c>
      <c r="BL55" s="165">
        <v>45068.701388888891</v>
      </c>
      <c r="BM55" s="165">
        <v>45072.690972222219</v>
      </c>
      <c r="BN55" s="165">
        <v>45073.017361111109</v>
      </c>
      <c r="BO55" s="165">
        <v>45073.083333333336</v>
      </c>
      <c r="BP55" s="165">
        <v>45073.086805555555</v>
      </c>
      <c r="BQ55" s="165">
        <v>45073.5</v>
      </c>
      <c r="BT55" s="136">
        <f t="shared" si="3"/>
        <v>49.150000000081491</v>
      </c>
      <c r="BU55" s="136">
        <f t="shared" si="4"/>
        <v>3.75</v>
      </c>
      <c r="BV55" s="136">
        <f t="shared" si="5"/>
        <v>41.000000000058208</v>
      </c>
      <c r="BW55" s="136">
        <f t="shared" si="6"/>
        <v>30.833333333430346</v>
      </c>
      <c r="BX55" s="135">
        <f t="shared" si="7"/>
        <v>7.8333333333721384</v>
      </c>
      <c r="BY55" s="135">
        <f t="shared" si="8"/>
        <v>9.9166666666860692</v>
      </c>
      <c r="BZ55" s="134">
        <f t="shared" si="9"/>
        <v>5.9368055555678438</v>
      </c>
      <c r="CA55" s="134">
        <f t="shared" si="10"/>
        <v>12.916666666664241</v>
      </c>
      <c r="CB55" s="133">
        <f t="shared" si="11"/>
        <v>0.45962365591501614</v>
      </c>
    </row>
    <row r="56" spans="1:80" s="126" customFormat="1">
      <c r="A56" s="192">
        <f t="shared" si="18"/>
        <v>45065.142361111109</v>
      </c>
      <c r="B56" s="126" t="s">
        <v>228</v>
      </c>
      <c r="C56" s="126" t="s">
        <v>229</v>
      </c>
      <c r="D56" s="126" t="s">
        <v>197</v>
      </c>
      <c r="E56" s="65" t="s">
        <v>971</v>
      </c>
      <c r="G56" s="165">
        <v>45067.741666666669</v>
      </c>
      <c r="H56" s="165">
        <v>45067.741666666669</v>
      </c>
      <c r="I56" s="126" t="s">
        <v>243</v>
      </c>
      <c r="J56" s="126" t="s">
        <v>192</v>
      </c>
      <c r="K56" s="126" t="s">
        <v>192</v>
      </c>
      <c r="L56" s="126" t="s">
        <v>1509</v>
      </c>
      <c r="M56" s="167"/>
      <c r="N56" s="126" t="s">
        <v>257</v>
      </c>
      <c r="O56" s="126" t="s">
        <v>258</v>
      </c>
      <c r="P56" s="126" t="s">
        <v>235</v>
      </c>
      <c r="Q56" s="181">
        <f>3139*2.4</f>
        <v>7533.5999999999995</v>
      </c>
      <c r="R56" s="181"/>
      <c r="S56" s="181">
        <v>7402.1139999999996</v>
      </c>
      <c r="T56" s="181"/>
      <c r="X56" s="181">
        <f>S56</f>
        <v>7402.1139999999996</v>
      </c>
      <c r="AX56" s="165">
        <f t="shared" si="0"/>
        <v>45059.996527777781</v>
      </c>
      <c r="AY56" s="165">
        <f t="shared" si="1"/>
        <v>45070.559027777781</v>
      </c>
      <c r="AZ56" s="137">
        <f t="shared" si="2"/>
        <v>10.5625</v>
      </c>
      <c r="BA56" s="165">
        <v>45059.996527777781</v>
      </c>
      <c r="BB56" s="165">
        <v>45061.788194444445</v>
      </c>
      <c r="BC56" s="165">
        <v>45063.777777777781</v>
      </c>
      <c r="BD56" s="165">
        <v>45065.142361111109</v>
      </c>
      <c r="BE56" s="165">
        <v>45065.274305555555</v>
      </c>
      <c r="BF56" s="165">
        <v>45065.28125</v>
      </c>
      <c r="BG56" s="165">
        <v>45065.28125</v>
      </c>
      <c r="BH56" s="165">
        <f t="shared" si="17"/>
        <v>45066.989583333336</v>
      </c>
      <c r="BI56" s="165">
        <v>45067.25</v>
      </c>
      <c r="BJ56" s="165">
        <v>45067.416666666664</v>
      </c>
      <c r="BK56" s="165">
        <v>45067.295138888891</v>
      </c>
      <c r="BL56" s="165">
        <v>45068.583333333336</v>
      </c>
      <c r="BM56" s="165">
        <v>45069.836805555555</v>
      </c>
      <c r="BN56" s="165">
        <v>45070.131944444445</v>
      </c>
      <c r="BO56" s="165">
        <v>45070.145833333336</v>
      </c>
      <c r="BP56" s="165">
        <v>45070.149305555555</v>
      </c>
      <c r="BQ56" s="165">
        <v>45070.559027777781</v>
      </c>
      <c r="BT56" s="136">
        <f t="shared" si="3"/>
        <v>47.750000000058208</v>
      </c>
      <c r="BU56" s="136">
        <f t="shared" si="4"/>
        <v>3.1666666666860692</v>
      </c>
      <c r="BV56" s="136">
        <f t="shared" si="5"/>
        <v>41.000000000058208</v>
      </c>
      <c r="BW56" s="136">
        <f t="shared" si="6"/>
        <v>28.000000000116415</v>
      </c>
      <c r="BX56" s="135">
        <f t="shared" si="7"/>
        <v>7.0833333333721384</v>
      </c>
      <c r="BY56" s="135">
        <f t="shared" si="8"/>
        <v>9.8333333334303461</v>
      </c>
      <c r="BZ56" s="134">
        <f t="shared" si="9"/>
        <v>5.7013888889050577</v>
      </c>
      <c r="CA56" s="134">
        <f t="shared" si="10"/>
        <v>10.5625</v>
      </c>
      <c r="CB56" s="133">
        <f t="shared" si="11"/>
        <v>0.53977646285491665</v>
      </c>
    </row>
    <row r="57" spans="1:80" s="126" customFormat="1">
      <c r="A57" s="192">
        <f t="shared" si="18"/>
        <v>45065.736111111109</v>
      </c>
      <c r="B57" s="126" t="s">
        <v>228</v>
      </c>
      <c r="C57" s="126" t="s">
        <v>229</v>
      </c>
      <c r="D57" s="126" t="s">
        <v>197</v>
      </c>
      <c r="E57" s="65" t="s">
        <v>1493</v>
      </c>
      <c r="F57" s="65" t="s">
        <v>1510</v>
      </c>
      <c r="G57" s="73">
        <v>45061.625</v>
      </c>
      <c r="H57" s="73">
        <v>45061.629166666666</v>
      </c>
      <c r="I57" s="126" t="s">
        <v>231</v>
      </c>
      <c r="J57" s="126" t="s">
        <v>192</v>
      </c>
      <c r="K57" s="126" t="s">
        <v>192</v>
      </c>
      <c r="L57" s="126" t="s">
        <v>1511</v>
      </c>
      <c r="M57" s="167"/>
      <c r="N57" s="126" t="s">
        <v>1512</v>
      </c>
      <c r="O57" s="126" t="s">
        <v>1513</v>
      </c>
      <c r="P57" s="126" t="s">
        <v>240</v>
      </c>
      <c r="Q57" s="181">
        <f>2998*2.4</f>
        <v>7195.2</v>
      </c>
      <c r="R57" s="181"/>
      <c r="S57" s="181">
        <f>7506.373-1626.772</f>
        <v>5879.6009999999997</v>
      </c>
      <c r="T57" s="181"/>
      <c r="Y57" s="181">
        <f t="shared" ref="Y57:Y63" si="20">S57</f>
        <v>5879.6009999999997</v>
      </c>
      <c r="AX57" s="165">
        <f t="shared" si="0"/>
        <v>45061.291666666664</v>
      </c>
      <c r="AY57" s="165">
        <f t="shared" si="1"/>
        <v>45071.305555555555</v>
      </c>
      <c r="AZ57" s="137">
        <f t="shared" si="2"/>
        <v>10.013888888890506</v>
      </c>
      <c r="BA57" s="165">
        <v>45061.291666666664</v>
      </c>
      <c r="BB57" s="165">
        <v>45062.666666666664</v>
      </c>
      <c r="BC57" s="165">
        <v>45064.451388888891</v>
      </c>
      <c r="BD57" s="165">
        <v>45065.736111111109</v>
      </c>
      <c r="BE57" s="165">
        <v>45065.927083333336</v>
      </c>
      <c r="BF57" s="165">
        <v>45065.9375</v>
      </c>
      <c r="BG57" s="165">
        <v>45065.9375</v>
      </c>
      <c r="BH57" s="165">
        <f t="shared" si="17"/>
        <v>45067.645833333336</v>
      </c>
      <c r="BI57" s="165">
        <v>45068.25</v>
      </c>
      <c r="BJ57" s="165">
        <v>45068.416666666664</v>
      </c>
      <c r="BK57" s="165">
        <v>45068.361111111109</v>
      </c>
      <c r="BL57" s="165">
        <v>45069.5</v>
      </c>
      <c r="BM57" s="165">
        <v>45070.958333333336</v>
      </c>
      <c r="BN57" s="165">
        <v>45071.25</v>
      </c>
      <c r="BO57" s="165">
        <v>45071.305555555555</v>
      </c>
      <c r="BP57" s="165">
        <v>45071.305555555555</v>
      </c>
      <c r="BQ57" s="165">
        <v>45071.305555555555</v>
      </c>
      <c r="BR57" s="126" t="s">
        <v>1514</v>
      </c>
      <c r="BT57" s="136">
        <f t="shared" si="3"/>
        <v>42.833333333430346</v>
      </c>
      <c r="BU57" s="136">
        <f t="shared" si="4"/>
        <v>4.5833333334303461</v>
      </c>
      <c r="BV57" s="136">
        <f t="shared" si="5"/>
        <v>41.000000000058208</v>
      </c>
      <c r="BW57" s="136">
        <f t="shared" si="6"/>
        <v>26.000000000058208</v>
      </c>
      <c r="BX57" s="135">
        <f t="shared" si="7"/>
        <v>6.9999999999417923</v>
      </c>
      <c r="BY57" s="135">
        <f t="shared" si="8"/>
        <v>0</v>
      </c>
      <c r="BZ57" s="134">
        <f t="shared" si="9"/>
        <v>5.0590277777882875</v>
      </c>
      <c r="CA57" s="134">
        <f t="shared" si="10"/>
        <v>10.013888888890506</v>
      </c>
      <c r="CB57" s="133">
        <f t="shared" si="11"/>
        <v>0.5052011095710095</v>
      </c>
    </row>
    <row r="58" spans="1:80" s="126" customFormat="1">
      <c r="A58" s="192">
        <f t="shared" si="18"/>
        <v>45065.736111111109</v>
      </c>
      <c r="B58" s="126" t="s">
        <v>228</v>
      </c>
      <c r="C58" s="126" t="s">
        <v>229</v>
      </c>
      <c r="D58" s="126" t="s">
        <v>197</v>
      </c>
      <c r="E58" s="65" t="s">
        <v>1515</v>
      </c>
      <c r="G58" s="73">
        <v>45069.666666666664</v>
      </c>
      <c r="H58" s="73">
        <v>45069.708333333336</v>
      </c>
      <c r="I58" s="126" t="s">
        <v>231</v>
      </c>
      <c r="J58" s="126" t="s">
        <v>192</v>
      </c>
      <c r="K58" s="126" t="s">
        <v>192</v>
      </c>
      <c r="L58" s="126" t="s">
        <v>1511</v>
      </c>
      <c r="M58" s="167"/>
      <c r="N58" s="126" t="s">
        <v>1512</v>
      </c>
      <c r="O58" s="126" t="s">
        <v>1513</v>
      </c>
      <c r="P58" s="126" t="s">
        <v>240</v>
      </c>
      <c r="Q58" s="181">
        <f>3095*2.4</f>
        <v>7428</v>
      </c>
      <c r="R58" s="181"/>
      <c r="S58" s="181">
        <v>1010.6369999999999</v>
      </c>
      <c r="T58" s="181"/>
      <c r="Y58" s="181">
        <f t="shared" si="20"/>
        <v>1010.6369999999999</v>
      </c>
      <c r="AX58" s="165">
        <f t="shared" si="0"/>
        <v>45061.291666666664</v>
      </c>
      <c r="AY58" s="165">
        <f t="shared" si="1"/>
        <v>45073.333333333336</v>
      </c>
      <c r="AZ58" s="137">
        <f t="shared" si="2"/>
        <v>12.041666666671517</v>
      </c>
      <c r="BA58" s="165">
        <v>45061.291666666664</v>
      </c>
      <c r="BB58" s="165">
        <v>45062.666666666664</v>
      </c>
      <c r="BC58" s="165">
        <v>45064.451388888891</v>
      </c>
      <c r="BD58" s="165">
        <v>45065.736111111109</v>
      </c>
      <c r="BE58" s="165">
        <v>45065.927083333336</v>
      </c>
      <c r="BF58" s="165">
        <v>45065.9375</v>
      </c>
      <c r="BG58" s="165">
        <v>45065.9375</v>
      </c>
      <c r="BH58" s="165">
        <f t="shared" si="17"/>
        <v>45067.645833333336</v>
      </c>
      <c r="BI58" s="165">
        <v>45068.25</v>
      </c>
      <c r="BJ58" s="165">
        <v>45068.416666666664</v>
      </c>
      <c r="BK58" s="165">
        <v>45068.361111111109</v>
      </c>
      <c r="BL58" s="165">
        <v>45071.305555555555</v>
      </c>
      <c r="BM58" s="165">
        <v>45072.895833333336</v>
      </c>
      <c r="BN58" s="165">
        <v>45072.930555555555</v>
      </c>
      <c r="BO58" s="165">
        <v>45072.944444444445</v>
      </c>
      <c r="BP58" s="165">
        <v>45072.944444444445</v>
      </c>
      <c r="BQ58" s="165">
        <v>45073.333333333336</v>
      </c>
      <c r="BT58" s="136">
        <f t="shared" si="3"/>
        <v>42.833333333430346</v>
      </c>
      <c r="BU58" s="136">
        <f t="shared" si="4"/>
        <v>4.5833333334303461</v>
      </c>
      <c r="BV58" s="136">
        <f t="shared" si="5"/>
        <v>41.000000000058208</v>
      </c>
      <c r="BW58" s="136">
        <f t="shared" si="6"/>
        <v>69.333333333372138</v>
      </c>
      <c r="BX58" s="135">
        <f t="shared" si="7"/>
        <v>0.83333333325572312</v>
      </c>
      <c r="BY58" s="135">
        <f t="shared" si="8"/>
        <v>9.3333333333721384</v>
      </c>
      <c r="BZ58" s="134">
        <f t="shared" si="9"/>
        <v>6.9965277777882875</v>
      </c>
      <c r="CA58" s="134">
        <f t="shared" si="10"/>
        <v>12.041666666671517</v>
      </c>
      <c r="CB58" s="133">
        <f t="shared" si="11"/>
        <v>0.58102652825900092</v>
      </c>
    </row>
    <row r="59" spans="1:80" s="126" customFormat="1">
      <c r="A59" s="192">
        <f t="shared" si="18"/>
        <v>45065.958333333336</v>
      </c>
      <c r="B59" s="126" t="s">
        <v>228</v>
      </c>
      <c r="C59" s="126" t="s">
        <v>229</v>
      </c>
      <c r="D59" s="126" t="s">
        <v>197</v>
      </c>
      <c r="E59" s="65" t="s">
        <v>1515</v>
      </c>
      <c r="G59" s="73">
        <v>45069.666666666664</v>
      </c>
      <c r="H59" s="73">
        <v>45069.708333333336</v>
      </c>
      <c r="I59" s="126" t="s">
        <v>231</v>
      </c>
      <c r="J59" s="126" t="s">
        <v>192</v>
      </c>
      <c r="K59" s="126" t="s">
        <v>192</v>
      </c>
      <c r="L59" s="126" t="s">
        <v>1516</v>
      </c>
      <c r="M59" s="167"/>
      <c r="N59" s="126" t="s">
        <v>367</v>
      </c>
      <c r="O59" s="126" t="s">
        <v>368</v>
      </c>
      <c r="P59" s="126" t="s">
        <v>240</v>
      </c>
      <c r="Q59" s="181">
        <f>4111*2.4</f>
        <v>9866.4</v>
      </c>
      <c r="R59" s="181"/>
      <c r="S59" s="181">
        <v>9873.6489999999994</v>
      </c>
      <c r="T59" s="181"/>
      <c r="Y59" s="181">
        <f t="shared" si="20"/>
        <v>9873.6489999999994</v>
      </c>
      <c r="AX59" s="165">
        <f t="shared" si="0"/>
        <v>45062.256944444445</v>
      </c>
      <c r="AY59" s="165">
        <f t="shared" si="1"/>
        <v>45072.045138888891</v>
      </c>
      <c r="AZ59" s="137">
        <f t="shared" si="2"/>
        <v>9.7881944444452529</v>
      </c>
      <c r="BA59" s="165">
        <v>45062.256944444445</v>
      </c>
      <c r="BB59" s="165">
        <v>45062.881944444445</v>
      </c>
      <c r="BC59" s="165">
        <v>45064.666666666664</v>
      </c>
      <c r="BD59" s="165">
        <v>45065.958333333336</v>
      </c>
      <c r="BE59" s="165">
        <v>45066.197916666664</v>
      </c>
      <c r="BF59" s="165">
        <v>45066.208333333336</v>
      </c>
      <c r="BG59" s="165">
        <v>45066.295138888891</v>
      </c>
      <c r="BH59" s="165">
        <f t="shared" si="17"/>
        <v>45068.003472222226</v>
      </c>
      <c r="BI59" s="165">
        <v>45068.25</v>
      </c>
      <c r="BJ59" s="165">
        <v>45068.416666666664</v>
      </c>
      <c r="BK59" s="165">
        <v>45068.326388888891</v>
      </c>
      <c r="BL59" s="165">
        <v>45069.645833333336</v>
      </c>
      <c r="BM59" s="165">
        <v>45071.451388888891</v>
      </c>
      <c r="BN59" s="165">
        <v>45071.777777777781</v>
      </c>
      <c r="BO59" s="165">
        <v>45071.791666666664</v>
      </c>
      <c r="BP59" s="165">
        <v>45071.791666666664</v>
      </c>
      <c r="BQ59" s="165">
        <v>45072.045138888891</v>
      </c>
      <c r="BT59" s="136">
        <f t="shared" si="3"/>
        <v>42.833333333255723</v>
      </c>
      <c r="BU59" s="136">
        <f t="shared" si="4"/>
        <v>5.7499999998835847</v>
      </c>
      <c r="BV59" s="136">
        <f t="shared" si="5"/>
        <v>41.000000000058208</v>
      </c>
      <c r="BW59" s="136">
        <f t="shared" si="6"/>
        <v>29.500000000116415</v>
      </c>
      <c r="BX59" s="135">
        <f t="shared" si="7"/>
        <v>7.8333333333721384</v>
      </c>
      <c r="BY59" s="135">
        <f t="shared" si="8"/>
        <v>6.0833333334303461</v>
      </c>
      <c r="BZ59" s="134">
        <f t="shared" si="9"/>
        <v>5.5416666666715173</v>
      </c>
      <c r="CA59" s="134">
        <f t="shared" si="10"/>
        <v>9.7881944444452529</v>
      </c>
      <c r="CB59" s="133">
        <f t="shared" si="11"/>
        <v>0.56615821213241047</v>
      </c>
    </row>
    <row r="60" spans="1:80" s="126" customFormat="1">
      <c r="A60" s="192">
        <f t="shared" si="18"/>
        <v>45067.111111111109</v>
      </c>
      <c r="B60" s="126" t="s">
        <v>228</v>
      </c>
      <c r="C60" s="126" t="s">
        <v>229</v>
      </c>
      <c r="D60" s="126" t="s">
        <v>197</v>
      </c>
      <c r="E60" s="65" t="s">
        <v>1515</v>
      </c>
      <c r="G60" s="73">
        <v>45069.666666666664</v>
      </c>
      <c r="H60" s="73">
        <v>45069.708333333336</v>
      </c>
      <c r="I60" s="126" t="s">
        <v>231</v>
      </c>
      <c r="J60" s="126" t="s">
        <v>192</v>
      </c>
      <c r="K60" s="126" t="s">
        <v>192</v>
      </c>
      <c r="L60" s="126" t="s">
        <v>1517</v>
      </c>
      <c r="M60" s="167"/>
      <c r="N60" s="126" t="s">
        <v>429</v>
      </c>
      <c r="O60" s="126" t="s">
        <v>430</v>
      </c>
      <c r="P60" s="126" t="s">
        <v>240</v>
      </c>
      <c r="Q60" s="181">
        <f>3145 *2.4</f>
        <v>7548</v>
      </c>
      <c r="R60" s="181"/>
      <c r="S60" s="181">
        <v>7565.8270000000002</v>
      </c>
      <c r="T60" s="181"/>
      <c r="Y60" s="181">
        <f t="shared" si="20"/>
        <v>7565.8270000000002</v>
      </c>
      <c r="AX60" s="165">
        <f t="shared" si="0"/>
        <v>45060.427083333336</v>
      </c>
      <c r="AY60" s="165">
        <f t="shared" si="1"/>
        <v>45073.246527777781</v>
      </c>
      <c r="AZ60" s="137">
        <f t="shared" si="2"/>
        <v>12.819444444445253</v>
      </c>
      <c r="BA60" s="165">
        <v>45060.427083333336</v>
      </c>
      <c r="BB60" s="165">
        <v>45063.378472222219</v>
      </c>
      <c r="BC60" s="165">
        <v>45065.659722222219</v>
      </c>
      <c r="BD60" s="165">
        <v>45067.111111111109</v>
      </c>
      <c r="BE60" s="165">
        <v>45067.357638888891</v>
      </c>
      <c r="BF60" s="165">
        <v>45067.368055555555</v>
      </c>
      <c r="BG60" s="165">
        <v>45067.368055555555</v>
      </c>
      <c r="BH60" s="165">
        <f t="shared" si="17"/>
        <v>45069.076388888891</v>
      </c>
      <c r="BI60" s="165">
        <v>45069.25</v>
      </c>
      <c r="BJ60" s="165">
        <v>45069.416666666664</v>
      </c>
      <c r="BK60" s="165">
        <v>45069.319444444445</v>
      </c>
      <c r="BL60" s="165">
        <v>45070.333333333336</v>
      </c>
      <c r="BM60" s="165">
        <v>45072.524305555555</v>
      </c>
      <c r="BN60" s="165">
        <v>45072.826388888891</v>
      </c>
      <c r="BO60" s="165">
        <v>45072.847222222219</v>
      </c>
      <c r="BP60" s="165">
        <v>45072.847222222219</v>
      </c>
      <c r="BQ60" s="165">
        <v>45073.246527777781</v>
      </c>
      <c r="BT60" s="136">
        <f t="shared" si="3"/>
        <v>54.75</v>
      </c>
      <c r="BU60" s="136">
        <f t="shared" si="4"/>
        <v>5.9166666667442769</v>
      </c>
      <c r="BV60" s="136">
        <f t="shared" si="5"/>
        <v>41.000000000058208</v>
      </c>
      <c r="BW60" s="136">
        <f t="shared" si="6"/>
        <v>22.000000000116415</v>
      </c>
      <c r="BX60" s="135">
        <f t="shared" si="7"/>
        <v>7.2500000000582077</v>
      </c>
      <c r="BY60" s="135">
        <f t="shared" si="8"/>
        <v>9.5833333334885538</v>
      </c>
      <c r="BZ60" s="134">
        <f t="shared" si="9"/>
        <v>5.8541666666860692</v>
      </c>
      <c r="CA60" s="134">
        <f t="shared" si="10"/>
        <v>12.819444444445253</v>
      </c>
      <c r="CB60" s="133">
        <f t="shared" si="11"/>
        <v>0.4566630552560893</v>
      </c>
    </row>
    <row r="61" spans="1:80" s="126" customFormat="1">
      <c r="A61" s="192">
        <f t="shared" si="18"/>
        <v>45067.387499999997</v>
      </c>
      <c r="B61" s="126" t="s">
        <v>228</v>
      </c>
      <c r="C61" s="126" t="s">
        <v>229</v>
      </c>
      <c r="D61" s="126" t="s">
        <v>197</v>
      </c>
      <c r="E61" s="65" t="s">
        <v>1515</v>
      </c>
      <c r="G61" s="73">
        <v>45069.666666666664</v>
      </c>
      <c r="H61" s="73">
        <v>45069.708333333336</v>
      </c>
      <c r="I61" s="126" t="s">
        <v>231</v>
      </c>
      <c r="J61" s="126" t="s">
        <v>192</v>
      </c>
      <c r="K61" s="126" t="s">
        <v>192</v>
      </c>
      <c r="L61" s="126" t="s">
        <v>1518</v>
      </c>
      <c r="M61" s="167"/>
      <c r="N61" s="126" t="s">
        <v>201</v>
      </c>
      <c r="O61" s="126" t="s">
        <v>202</v>
      </c>
      <c r="P61" s="126" t="s">
        <v>240</v>
      </c>
      <c r="Q61" s="181">
        <f>3141*2.4</f>
        <v>7538.4</v>
      </c>
      <c r="R61" s="181"/>
      <c r="S61" s="181">
        <v>7570.2830000000004</v>
      </c>
      <c r="T61" s="181"/>
      <c r="Y61" s="181">
        <f t="shared" si="20"/>
        <v>7570.2830000000004</v>
      </c>
      <c r="AX61" s="165">
        <f t="shared" si="0"/>
        <v>45062.916666666664</v>
      </c>
      <c r="AY61" s="165">
        <f t="shared" si="1"/>
        <v>45072.920138888891</v>
      </c>
      <c r="AZ61" s="137">
        <f t="shared" si="2"/>
        <v>10.003472222226264</v>
      </c>
      <c r="BA61" s="165">
        <v>45062.916666666664</v>
      </c>
      <c r="BB61" s="165">
        <v>45063.861111111109</v>
      </c>
      <c r="BC61" s="165">
        <v>45065.743055555555</v>
      </c>
      <c r="BD61" s="165">
        <v>45067.387499999997</v>
      </c>
      <c r="BE61" s="165">
        <v>45067.541666666664</v>
      </c>
      <c r="BF61" s="165">
        <v>45067.545138888891</v>
      </c>
      <c r="BG61" s="165">
        <v>45067.545138888891</v>
      </c>
      <c r="BH61" s="165">
        <f t="shared" si="17"/>
        <v>45069.253472222226</v>
      </c>
      <c r="BI61" s="165">
        <v>45069.25</v>
      </c>
      <c r="BJ61" s="165">
        <v>45069.416666666664</v>
      </c>
      <c r="BK61" s="165">
        <v>45069.28125</v>
      </c>
      <c r="BL61" s="165">
        <v>45070.253472222219</v>
      </c>
      <c r="BM61" s="165">
        <v>45072.208333333336</v>
      </c>
      <c r="BN61" s="165">
        <v>45072.458333333336</v>
      </c>
      <c r="BO61" s="165">
        <v>45072.472222222219</v>
      </c>
      <c r="BP61" s="165">
        <v>45072.708333333336</v>
      </c>
      <c r="BQ61" s="165">
        <v>45072.920138888891</v>
      </c>
      <c r="BT61" s="136">
        <f t="shared" si="3"/>
        <v>45.166666666686069</v>
      </c>
      <c r="BU61" s="136">
        <f t="shared" si="4"/>
        <v>3.7000000000116415</v>
      </c>
      <c r="BV61" s="136">
        <f t="shared" si="5"/>
        <v>41.000000000058208</v>
      </c>
      <c r="BW61" s="136">
        <f t="shared" si="6"/>
        <v>20.083333333313931</v>
      </c>
      <c r="BX61" s="135">
        <f t="shared" si="7"/>
        <v>6</v>
      </c>
      <c r="BY61" s="135">
        <f t="shared" si="8"/>
        <v>5.0833333333139308</v>
      </c>
      <c r="BZ61" s="134">
        <f t="shared" si="9"/>
        <v>5.0430555555576575</v>
      </c>
      <c r="CA61" s="134">
        <f t="shared" si="10"/>
        <v>10.003472222226264</v>
      </c>
      <c r="CB61" s="133">
        <f t="shared" si="11"/>
        <v>0.50413051023950661</v>
      </c>
    </row>
    <row r="62" spans="1:80" s="126" customFormat="1">
      <c r="A62" s="192">
        <f t="shared" si="18"/>
        <v>45067.565972222219</v>
      </c>
      <c r="B62" s="126" t="s">
        <v>228</v>
      </c>
      <c r="C62" s="126" t="s">
        <v>229</v>
      </c>
      <c r="D62" s="126" t="s">
        <v>197</v>
      </c>
      <c r="E62" s="65" t="s">
        <v>1515</v>
      </c>
      <c r="G62" s="73">
        <v>45069.666666666664</v>
      </c>
      <c r="H62" s="73">
        <v>45069.708333333336</v>
      </c>
      <c r="I62" s="126" t="s">
        <v>231</v>
      </c>
      <c r="J62" s="126" t="s">
        <v>192</v>
      </c>
      <c r="K62" s="126" t="s">
        <v>192</v>
      </c>
      <c r="L62" s="126" t="s">
        <v>1519</v>
      </c>
      <c r="M62" s="167"/>
      <c r="N62" s="126" t="s">
        <v>489</v>
      </c>
      <c r="O62" s="126" t="s">
        <v>483</v>
      </c>
      <c r="P62" s="126" t="s">
        <v>240</v>
      </c>
      <c r="Q62" s="181">
        <f>3107*2.4</f>
        <v>7456.7999999999993</v>
      </c>
      <c r="R62" s="181"/>
      <c r="S62" s="181">
        <f>7506.075-4083.732</f>
        <v>3422.3429999999998</v>
      </c>
      <c r="T62" s="181"/>
      <c r="Y62" s="181">
        <f t="shared" si="20"/>
        <v>3422.3429999999998</v>
      </c>
      <c r="AX62" s="165">
        <f t="shared" si="0"/>
        <v>45063.739583333336</v>
      </c>
      <c r="AY62" s="165">
        <f t="shared" si="1"/>
        <v>45073.322916666664</v>
      </c>
      <c r="AZ62" s="137">
        <f t="shared" si="2"/>
        <v>9.5833333333284827</v>
      </c>
      <c r="BA62" s="165">
        <v>45063.739583333336</v>
      </c>
      <c r="BB62" s="165">
        <v>45064.615277777775</v>
      </c>
      <c r="BC62" s="165">
        <v>45066.416666666664</v>
      </c>
      <c r="BD62" s="165">
        <v>45067.565972222219</v>
      </c>
      <c r="BE62" s="165">
        <v>45067.701388888891</v>
      </c>
      <c r="BF62" s="165">
        <v>45067.704861111109</v>
      </c>
      <c r="BG62" s="165">
        <v>45067.704861111109</v>
      </c>
      <c r="BH62" s="165">
        <f t="shared" si="17"/>
        <v>45069.413194444445</v>
      </c>
      <c r="BI62" s="165">
        <v>45069.25</v>
      </c>
      <c r="BJ62" s="165">
        <v>45069.416666666664</v>
      </c>
      <c r="BK62" s="165">
        <v>45069.299305555556</v>
      </c>
      <c r="BL62" s="165">
        <v>45070.338194444441</v>
      </c>
      <c r="BM62" s="165">
        <v>45072.965277777781</v>
      </c>
      <c r="BN62" s="165">
        <v>45073.28125</v>
      </c>
      <c r="BO62" s="165">
        <v>45073.322916666664</v>
      </c>
      <c r="BP62" s="165">
        <v>45073.322916666664</v>
      </c>
      <c r="BQ62" s="165">
        <v>45073.322916666664</v>
      </c>
      <c r="BT62" s="136">
        <f t="shared" si="3"/>
        <v>43.233333333337214</v>
      </c>
      <c r="BU62" s="136">
        <f t="shared" si="4"/>
        <v>3.2500000001164153</v>
      </c>
      <c r="BV62" s="136">
        <f t="shared" si="5"/>
        <v>41.000000000058208</v>
      </c>
      <c r="BW62" s="136">
        <f t="shared" si="6"/>
        <v>22.116666666639503</v>
      </c>
      <c r="BX62" s="135">
        <f t="shared" si="7"/>
        <v>7.5833333332557231</v>
      </c>
      <c r="BY62" s="135">
        <f t="shared" si="8"/>
        <v>0</v>
      </c>
      <c r="BZ62" s="134">
        <f t="shared" si="9"/>
        <v>4.882638888891961</v>
      </c>
      <c r="CA62" s="134">
        <f t="shared" si="10"/>
        <v>9.5833333333284827</v>
      </c>
      <c r="CB62" s="133">
        <f t="shared" si="11"/>
        <v>0.50949275362376689</v>
      </c>
    </row>
    <row r="63" spans="1:80" s="126" customFormat="1">
      <c r="A63" s="192">
        <f t="shared" si="18"/>
        <v>45067.565972222219</v>
      </c>
      <c r="B63" s="126" t="s">
        <v>228</v>
      </c>
      <c r="C63" s="126" t="s">
        <v>229</v>
      </c>
      <c r="D63" s="126" t="s">
        <v>197</v>
      </c>
      <c r="E63" s="65" t="s">
        <v>1520</v>
      </c>
      <c r="G63" s="73">
        <v>45071.583333333336</v>
      </c>
      <c r="H63" s="73">
        <v>45071.583333333336</v>
      </c>
      <c r="I63" s="126" t="s">
        <v>231</v>
      </c>
      <c r="J63" s="126" t="s">
        <v>192</v>
      </c>
      <c r="K63" s="126" t="s">
        <v>192</v>
      </c>
      <c r="L63" s="126" t="s">
        <v>1519</v>
      </c>
      <c r="M63" s="167"/>
      <c r="N63" s="126" t="s">
        <v>489</v>
      </c>
      <c r="O63" s="126" t="s">
        <v>483</v>
      </c>
      <c r="P63" s="126" t="s">
        <v>240</v>
      </c>
      <c r="Q63" s="181">
        <f>3107*2.4</f>
        <v>7456.7999999999993</v>
      </c>
      <c r="R63" s="181"/>
      <c r="S63" s="181">
        <v>2971</v>
      </c>
      <c r="T63" s="181"/>
      <c r="Y63" s="181">
        <f t="shared" si="20"/>
        <v>2971</v>
      </c>
      <c r="AX63" s="165">
        <f t="shared" si="0"/>
        <v>45063.739583333336</v>
      </c>
      <c r="AY63" s="165">
        <f t="shared" si="1"/>
        <v>45080.423611111109</v>
      </c>
      <c r="AZ63" s="137">
        <f t="shared" si="2"/>
        <v>16.684027777773736</v>
      </c>
      <c r="BA63" s="165">
        <v>45063.739583333336</v>
      </c>
      <c r="BB63" s="165">
        <v>45064.615277777775</v>
      </c>
      <c r="BC63" s="165">
        <v>45066.416666666664</v>
      </c>
      <c r="BD63" s="165">
        <v>45067.565972222219</v>
      </c>
      <c r="BE63" s="165">
        <v>45067.701388888891</v>
      </c>
      <c r="BF63" s="165">
        <v>45067.704861111109</v>
      </c>
      <c r="BG63" s="165">
        <v>45067.704861111109</v>
      </c>
      <c r="BH63" s="165">
        <f t="shared" si="17"/>
        <v>45069.413194444445</v>
      </c>
      <c r="BI63" s="165">
        <v>45069.25</v>
      </c>
      <c r="BJ63" s="165">
        <v>45069.416666666664</v>
      </c>
      <c r="BK63" s="165">
        <v>45069.299305555556</v>
      </c>
      <c r="BL63" s="165">
        <v>45073.322916666664</v>
      </c>
      <c r="BM63" s="165">
        <v>45079.170138888891</v>
      </c>
      <c r="BN63" s="165">
        <v>45079.8125</v>
      </c>
      <c r="BO63" s="165">
        <v>45079.833333333336</v>
      </c>
      <c r="BP63" s="165">
        <v>45080.194444444445</v>
      </c>
      <c r="BQ63" s="165">
        <v>45080.423611111109</v>
      </c>
      <c r="BT63" s="136">
        <f t="shared" si="3"/>
        <v>43.233333333337214</v>
      </c>
      <c r="BU63" s="136">
        <f t="shared" si="4"/>
        <v>3.2500000001164153</v>
      </c>
      <c r="BV63" s="136">
        <f t="shared" si="5"/>
        <v>41.000000000058208</v>
      </c>
      <c r="BW63" s="136">
        <f t="shared" si="6"/>
        <v>93.75</v>
      </c>
      <c r="BX63" s="135">
        <f t="shared" si="7"/>
        <v>15.416666666627862</v>
      </c>
      <c r="BY63" s="135">
        <f t="shared" si="8"/>
        <v>5.4999999999417923</v>
      </c>
      <c r="BZ63" s="134">
        <f t="shared" si="9"/>
        <v>8.4229166666700621</v>
      </c>
      <c r="CA63" s="134">
        <f t="shared" si="10"/>
        <v>16.684027777773736</v>
      </c>
      <c r="CB63" s="133">
        <f t="shared" si="11"/>
        <v>0.50484911550500844</v>
      </c>
    </row>
    <row r="64" spans="1:80" s="126" customFormat="1">
      <c r="A64" s="192">
        <f t="shared" si="18"/>
        <v>45068.729166666664</v>
      </c>
      <c r="B64" s="126" t="s">
        <v>228</v>
      </c>
      <c r="C64" s="126" t="s">
        <v>229</v>
      </c>
      <c r="D64" s="126" t="s">
        <v>215</v>
      </c>
      <c r="E64" s="65" t="s">
        <v>1521</v>
      </c>
      <c r="F64" s="65" t="s">
        <v>1522</v>
      </c>
      <c r="G64" s="73">
        <v>45082.0625</v>
      </c>
      <c r="H64" s="73">
        <v>45082.104166666664</v>
      </c>
      <c r="I64" s="126" t="s">
        <v>243</v>
      </c>
      <c r="J64" s="126" t="s">
        <v>192</v>
      </c>
      <c r="K64" s="126" t="s">
        <v>192</v>
      </c>
      <c r="L64" s="126" t="s">
        <v>1523</v>
      </c>
      <c r="M64" s="167"/>
      <c r="N64" s="126" t="s">
        <v>403</v>
      </c>
      <c r="O64" s="126" t="s">
        <v>404</v>
      </c>
      <c r="P64" s="126" t="s">
        <v>1455</v>
      </c>
      <c r="Q64" s="181">
        <f>3107*2.4</f>
        <v>7456.7999999999993</v>
      </c>
      <c r="R64" s="181"/>
      <c r="S64" s="181">
        <v>7555.6319999999996</v>
      </c>
      <c r="T64" s="181"/>
      <c r="X64" s="181">
        <f>S64*0.7</f>
        <v>5288.942399999999</v>
      </c>
      <c r="Y64" s="181">
        <f>S64*0.3</f>
        <v>2266.6895999999997</v>
      </c>
      <c r="AX64" s="165">
        <f t="shared" si="0"/>
        <v>45065.3125</v>
      </c>
      <c r="AY64" s="165">
        <f t="shared" si="1"/>
        <v>45079.694444444445</v>
      </c>
      <c r="AZ64" s="137">
        <f t="shared" si="2"/>
        <v>14.381944444445253</v>
      </c>
      <c r="BA64" s="165">
        <v>45065.3125</v>
      </c>
      <c r="BB64" s="165">
        <v>45066.552083333336</v>
      </c>
      <c r="BC64" s="165">
        <v>45068.479166666664</v>
      </c>
      <c r="BD64" s="165">
        <v>45068.729166666664</v>
      </c>
      <c r="BE64" s="165">
        <v>45068.920138888891</v>
      </c>
      <c r="BF64" s="165">
        <v>45068.927083333336</v>
      </c>
      <c r="BG64" s="165">
        <v>45069.270833333336</v>
      </c>
      <c r="BH64" s="165">
        <f t="shared" si="17"/>
        <v>45070.979166666672</v>
      </c>
      <c r="BI64" s="165">
        <v>45071.25</v>
      </c>
      <c r="BJ64" s="165">
        <v>45071.416666666664</v>
      </c>
      <c r="BK64" s="165">
        <v>45071.277777777781</v>
      </c>
      <c r="BL64" s="165">
        <v>45072.763888888891</v>
      </c>
      <c r="BM64" s="165">
        <v>45079.378472222219</v>
      </c>
      <c r="BN64" s="165">
        <v>45079.694444444445</v>
      </c>
      <c r="BO64" s="165">
        <v>45079.694444444445</v>
      </c>
      <c r="BP64" s="165">
        <v>45079.694444444445</v>
      </c>
      <c r="BQ64" s="165">
        <v>45079.694444444445</v>
      </c>
      <c r="BR64" s="126" t="s">
        <v>788</v>
      </c>
      <c r="BT64" s="136">
        <f t="shared" si="3"/>
        <v>46.249999999883585</v>
      </c>
      <c r="BU64" s="136">
        <f t="shared" si="4"/>
        <v>4.5833333334303461</v>
      </c>
      <c r="BV64" s="136">
        <f t="shared" si="5"/>
        <v>41.000000000058208</v>
      </c>
      <c r="BW64" s="136">
        <f t="shared" si="6"/>
        <v>32.333333333430346</v>
      </c>
      <c r="BX64" s="135">
        <f t="shared" si="7"/>
        <v>7.5833333334303461</v>
      </c>
      <c r="BY64" s="135">
        <f t="shared" si="8"/>
        <v>0</v>
      </c>
      <c r="BZ64" s="134">
        <f t="shared" si="9"/>
        <v>5.4895833333430346</v>
      </c>
      <c r="CA64" s="134">
        <f t="shared" si="10"/>
        <v>14.381944444445253</v>
      </c>
      <c r="CB64" s="133">
        <f t="shared" si="11"/>
        <v>0.38169966199968736</v>
      </c>
    </row>
    <row r="65" spans="1:80" s="126" customFormat="1">
      <c r="A65" s="192">
        <f t="shared" si="18"/>
        <v>45068.9375</v>
      </c>
      <c r="B65" s="126" t="s">
        <v>228</v>
      </c>
      <c r="C65" s="126" t="s">
        <v>229</v>
      </c>
      <c r="D65" s="126" t="s">
        <v>197</v>
      </c>
      <c r="E65" s="65" t="s">
        <v>1521</v>
      </c>
      <c r="G65" s="73">
        <v>45082.0625</v>
      </c>
      <c r="H65" s="73">
        <v>45082.104166666664</v>
      </c>
      <c r="I65" s="126" t="s">
        <v>243</v>
      </c>
      <c r="J65" s="126" t="s">
        <v>192</v>
      </c>
      <c r="K65" s="126" t="s">
        <v>192</v>
      </c>
      <c r="L65" s="126" t="s">
        <v>1524</v>
      </c>
      <c r="M65" s="167"/>
      <c r="N65" s="126" t="s">
        <v>1392</v>
      </c>
      <c r="O65" s="126" t="s">
        <v>365</v>
      </c>
      <c r="P65" s="126" t="s">
        <v>1455</v>
      </c>
      <c r="Q65" s="181">
        <f>3142*2.4</f>
        <v>7540.7999999999993</v>
      </c>
      <c r="R65" s="181"/>
      <c r="S65" s="181">
        <v>7459.61</v>
      </c>
      <c r="T65" s="181"/>
      <c r="X65" s="181">
        <f>S65*0.7</f>
        <v>5221.7269999999999</v>
      </c>
      <c r="Y65" s="181">
        <f>S65*0.3</f>
        <v>2237.8829999999998</v>
      </c>
      <c r="AX65" s="165">
        <f t="shared" si="0"/>
        <v>45064.833333333336</v>
      </c>
      <c r="AY65" s="165">
        <f t="shared" si="1"/>
        <v>45079.315972222219</v>
      </c>
      <c r="AZ65" s="137">
        <f t="shared" si="2"/>
        <v>14.48263888888323</v>
      </c>
      <c r="BA65" s="165">
        <v>45064.833333333336</v>
      </c>
      <c r="BB65" s="165">
        <v>45066.565972222219</v>
      </c>
      <c r="BC65" s="165">
        <v>45068.53125</v>
      </c>
      <c r="BD65" s="165">
        <v>45068.9375</v>
      </c>
      <c r="BE65" s="165">
        <v>45069.072916666664</v>
      </c>
      <c r="BF65" s="165">
        <v>45069.079861111109</v>
      </c>
      <c r="BG65" s="165">
        <v>45069.090277777781</v>
      </c>
      <c r="BH65" s="165">
        <f t="shared" si="17"/>
        <v>45070.798611111117</v>
      </c>
      <c r="BI65" s="165">
        <v>45071.25</v>
      </c>
      <c r="BJ65" s="165">
        <v>45071.416666666664</v>
      </c>
      <c r="BK65" s="165">
        <v>45071.329861111109</v>
      </c>
      <c r="BL65" s="165">
        <v>45073.315972222219</v>
      </c>
      <c r="BM65" s="165">
        <v>45079.100694444445</v>
      </c>
      <c r="BN65" s="165">
        <v>45079.298611111109</v>
      </c>
      <c r="BO65" s="165">
        <v>45079.298611111109</v>
      </c>
      <c r="BP65" s="165">
        <v>45079.298611111109</v>
      </c>
      <c r="BQ65" s="165">
        <v>45079.315972222219</v>
      </c>
      <c r="BR65" s="126" t="s">
        <v>788</v>
      </c>
      <c r="BT65" s="136">
        <f t="shared" si="3"/>
        <v>47.166666666744277</v>
      </c>
      <c r="BU65" s="136">
        <f t="shared" si="4"/>
        <v>3.2499999999417923</v>
      </c>
      <c r="BV65" s="136">
        <f t="shared" si="5"/>
        <v>41.000000000058208</v>
      </c>
      <c r="BW65" s="136">
        <f t="shared" si="6"/>
        <v>45.583333333313931</v>
      </c>
      <c r="BX65" s="135">
        <f t="shared" si="7"/>
        <v>4.7499999999417923</v>
      </c>
      <c r="BY65" s="135">
        <f t="shared" si="8"/>
        <v>0.41666666662786156</v>
      </c>
      <c r="BZ65" s="134">
        <f t="shared" si="9"/>
        <v>5.9236111111094942</v>
      </c>
      <c r="CA65" s="134">
        <f t="shared" si="10"/>
        <v>14.48263888888323</v>
      </c>
      <c r="CB65" s="133">
        <f t="shared" si="11"/>
        <v>0.40901462479026635</v>
      </c>
    </row>
    <row r="66" spans="1:80" s="126" customFormat="1">
      <c r="A66" s="192">
        <f t="shared" si="18"/>
        <v>45069.3125</v>
      </c>
      <c r="B66" s="126" t="s">
        <v>228</v>
      </c>
      <c r="C66" s="126" t="s">
        <v>229</v>
      </c>
      <c r="D66" s="126" t="s">
        <v>197</v>
      </c>
      <c r="E66" s="65" t="s">
        <v>1521</v>
      </c>
      <c r="G66" s="73">
        <v>45082.0625</v>
      </c>
      <c r="H66" s="73">
        <v>45082.104166666664</v>
      </c>
      <c r="I66" s="126" t="s">
        <v>243</v>
      </c>
      <c r="J66" s="126" t="s">
        <v>192</v>
      </c>
      <c r="K66" s="126" t="s">
        <v>192</v>
      </c>
      <c r="L66" s="126" t="s">
        <v>1525</v>
      </c>
      <c r="M66" s="167"/>
      <c r="N66" s="126" t="s">
        <v>310</v>
      </c>
      <c r="O66" s="126" t="s">
        <v>311</v>
      </c>
      <c r="P66" s="126" t="s">
        <v>1455</v>
      </c>
      <c r="Q66" s="181">
        <f>3128*2.4</f>
        <v>7507.2</v>
      </c>
      <c r="R66" s="181"/>
      <c r="S66" s="181">
        <v>7506.317</v>
      </c>
      <c r="T66" s="181"/>
      <c r="X66" s="181">
        <f>S66*0.7</f>
        <v>5254.4218999999994</v>
      </c>
      <c r="Y66" s="181">
        <f>S66*0.3</f>
        <v>2251.8950999999997</v>
      </c>
      <c r="AX66" s="165">
        <f t="shared" si="0"/>
        <v>45065.506944444445</v>
      </c>
      <c r="AY66" s="165">
        <f t="shared" si="1"/>
        <v>45079.75</v>
      </c>
      <c r="AZ66" s="137">
        <f t="shared" si="2"/>
        <v>14.243055555554747</v>
      </c>
      <c r="BA66" s="165">
        <v>45065.506944444445</v>
      </c>
      <c r="BB66" s="165">
        <v>45066.618055555555</v>
      </c>
      <c r="BC66" s="165">
        <v>45068.923611111109</v>
      </c>
      <c r="BD66" s="165">
        <v>45069.3125</v>
      </c>
      <c r="BE66" s="165">
        <v>45069.465277777781</v>
      </c>
      <c r="BF66" s="165">
        <v>45069.472222222219</v>
      </c>
      <c r="BG66" s="165">
        <v>45069.472222222219</v>
      </c>
      <c r="BH66" s="165">
        <f t="shared" si="17"/>
        <v>45071.180555555555</v>
      </c>
      <c r="BI66" s="165">
        <v>45072.25</v>
      </c>
      <c r="BJ66" s="165">
        <v>45072.416666666664</v>
      </c>
      <c r="BK66" s="165">
        <v>45072.315972222219</v>
      </c>
      <c r="BL66" s="165">
        <v>45073.809027777781</v>
      </c>
      <c r="BM66" s="165">
        <v>45078.739583333336</v>
      </c>
      <c r="BN66" s="165">
        <v>45078.993055555555</v>
      </c>
      <c r="BO66" s="165">
        <v>45079.017361111109</v>
      </c>
      <c r="BP66" s="165">
        <v>45079.020833333336</v>
      </c>
      <c r="BQ66" s="165">
        <v>45079.75</v>
      </c>
      <c r="BT66" s="136">
        <f t="shared" si="3"/>
        <v>55.333333333313931</v>
      </c>
      <c r="BU66" s="136">
        <f t="shared" si="4"/>
        <v>3.6666666667442769</v>
      </c>
      <c r="BV66" s="136">
        <f t="shared" si="5"/>
        <v>41.000000000058208</v>
      </c>
      <c r="BW66" s="136">
        <f t="shared" si="6"/>
        <v>33.416666666802485</v>
      </c>
      <c r="BX66" s="135">
        <f t="shared" si="7"/>
        <v>6.0833333332557231</v>
      </c>
      <c r="BY66" s="135">
        <f t="shared" si="8"/>
        <v>17.499999999941792</v>
      </c>
      <c r="BZ66" s="134">
        <f t="shared" si="9"/>
        <v>6.5416666666715173</v>
      </c>
      <c r="CA66" s="134">
        <f t="shared" si="10"/>
        <v>14.243055555554747</v>
      </c>
      <c r="CB66" s="133">
        <f t="shared" si="11"/>
        <v>0.45928815212128327</v>
      </c>
    </row>
    <row r="67" spans="1:80" s="126" customFormat="1">
      <c r="A67" s="192">
        <f t="shared" si="18"/>
        <v>45069.493055555555</v>
      </c>
      <c r="B67" s="126" t="s">
        <v>228</v>
      </c>
      <c r="C67" s="126" t="s">
        <v>229</v>
      </c>
      <c r="D67" s="126" t="s">
        <v>197</v>
      </c>
      <c r="E67" s="65" t="s">
        <v>1515</v>
      </c>
      <c r="F67" s="65" t="s">
        <v>1526</v>
      </c>
      <c r="G67" s="73">
        <v>45069.666666666664</v>
      </c>
      <c r="H67" s="73">
        <v>45069.708333333336</v>
      </c>
      <c r="I67" s="126" t="s">
        <v>231</v>
      </c>
      <c r="J67" s="126" t="s">
        <v>192</v>
      </c>
      <c r="K67" s="126" t="s">
        <v>192</v>
      </c>
      <c r="L67" s="126" t="s">
        <v>1527</v>
      </c>
      <c r="M67" s="167"/>
      <c r="N67" s="126" t="s">
        <v>330</v>
      </c>
      <c r="O67" s="126" t="s">
        <v>331</v>
      </c>
      <c r="P67" s="126" t="s">
        <v>240</v>
      </c>
      <c r="Q67" s="181">
        <f>3136*2.4</f>
        <v>7526.4</v>
      </c>
      <c r="R67" s="181"/>
      <c r="S67" s="181">
        <v>7400.53</v>
      </c>
      <c r="T67" s="181"/>
      <c r="Y67" s="181">
        <f>S67</f>
        <v>7400.53</v>
      </c>
      <c r="AX67" s="165">
        <f t="shared" si="0"/>
        <v>45065.041666666664</v>
      </c>
      <c r="AY67" s="165">
        <f t="shared" si="1"/>
        <v>45073.479166666664</v>
      </c>
      <c r="AZ67" s="137">
        <f t="shared" si="2"/>
        <v>8.4375</v>
      </c>
      <c r="BA67" s="165">
        <v>45065.041666666664</v>
      </c>
      <c r="BB67" s="165">
        <v>45066.628472222219</v>
      </c>
      <c r="BC67" s="165">
        <v>45068.625</v>
      </c>
      <c r="BD67" s="165">
        <v>45069.493055555555</v>
      </c>
      <c r="BE67" s="165">
        <v>45069.631944444445</v>
      </c>
      <c r="BF67" s="165">
        <v>45069.635416666664</v>
      </c>
      <c r="BG67" s="165">
        <v>45069.635416666664</v>
      </c>
      <c r="BH67" s="165">
        <f t="shared" si="17"/>
        <v>45071.34375</v>
      </c>
      <c r="BI67" s="165">
        <v>45071.25</v>
      </c>
      <c r="BJ67" s="165">
        <v>45071.416666666664</v>
      </c>
      <c r="BK67" s="165">
        <v>45071.451388888891</v>
      </c>
      <c r="BL67" s="165">
        <v>45072.625</v>
      </c>
      <c r="BM67" s="165">
        <v>45072.868055555555</v>
      </c>
      <c r="BN67" s="165">
        <v>45073.135416666664</v>
      </c>
      <c r="BO67" s="165">
        <v>45073.149305555555</v>
      </c>
      <c r="BP67" s="165">
        <v>45073.149305555555</v>
      </c>
      <c r="BQ67" s="165">
        <v>45073.479166666664</v>
      </c>
      <c r="BT67" s="136">
        <f t="shared" si="3"/>
        <v>47.916666666744277</v>
      </c>
      <c r="BU67" s="136">
        <f t="shared" si="4"/>
        <v>3.3333333333721384</v>
      </c>
      <c r="BV67" s="136">
        <f t="shared" si="5"/>
        <v>41.000000000058208</v>
      </c>
      <c r="BW67" s="136">
        <f t="shared" si="6"/>
        <v>29.000000000058208</v>
      </c>
      <c r="BX67" s="135">
        <f t="shared" si="7"/>
        <v>6.4166666666278616</v>
      </c>
      <c r="BY67" s="135">
        <f t="shared" si="8"/>
        <v>7.9166666666278616</v>
      </c>
      <c r="BZ67" s="134">
        <f t="shared" si="9"/>
        <v>5.6493055555620231</v>
      </c>
      <c r="CA67" s="134">
        <f t="shared" si="10"/>
        <v>8.4375</v>
      </c>
      <c r="CB67" s="133">
        <f t="shared" si="11"/>
        <v>0.66954732510364723</v>
      </c>
    </row>
    <row r="68" spans="1:80" s="126" customFormat="1">
      <c r="A68" s="192">
        <f t="shared" si="18"/>
        <v>45069.65625</v>
      </c>
      <c r="B68" s="126" t="s">
        <v>228</v>
      </c>
      <c r="C68" s="126" t="s">
        <v>229</v>
      </c>
      <c r="D68" s="126" t="s">
        <v>197</v>
      </c>
      <c r="E68" s="65" t="s">
        <v>1528</v>
      </c>
      <c r="G68" s="73">
        <v>45065.625</v>
      </c>
      <c r="H68" s="73">
        <v>45065.637499999997</v>
      </c>
      <c r="I68" s="126" t="s">
        <v>243</v>
      </c>
      <c r="J68" s="126" t="s">
        <v>192</v>
      </c>
      <c r="K68" s="126" t="s">
        <v>192</v>
      </c>
      <c r="L68" s="126" t="s">
        <v>1529</v>
      </c>
      <c r="M68" s="167"/>
      <c r="N68" s="126" t="s">
        <v>473</v>
      </c>
      <c r="O68" s="126" t="s">
        <v>474</v>
      </c>
      <c r="P68" s="126" t="s">
        <v>235</v>
      </c>
      <c r="Q68" s="181">
        <f>3136*2.4</f>
        <v>7526.4</v>
      </c>
      <c r="R68" s="181"/>
      <c r="S68" s="181">
        <v>7519.9480000000003</v>
      </c>
      <c r="T68" s="181"/>
      <c r="X68" s="181">
        <f t="shared" ref="X68:X73" si="21">S68</f>
        <v>7519.9480000000003</v>
      </c>
      <c r="AX68" s="165">
        <f t="shared" ref="AX68:AX131" si="22">BA68</f>
        <v>45064.333333333336</v>
      </c>
      <c r="AY68" s="165">
        <f t="shared" ref="AY68:AY131" si="23">BQ68</f>
        <v>45078</v>
      </c>
      <c r="AZ68" s="137">
        <f t="shared" ref="AZ68:AZ131" si="24">AY68-AX68</f>
        <v>13.666666666664241</v>
      </c>
      <c r="BA68" s="165">
        <v>45064.333333333336</v>
      </c>
      <c r="BB68" s="165">
        <v>45067.565972222219</v>
      </c>
      <c r="BC68" s="165">
        <v>45069.444444444445</v>
      </c>
      <c r="BD68" s="165">
        <v>45069.65625</v>
      </c>
      <c r="BE68" s="165">
        <v>45069.868055555555</v>
      </c>
      <c r="BF68" s="165">
        <v>45069.875</v>
      </c>
      <c r="BG68" s="165">
        <v>45069.875</v>
      </c>
      <c r="BH68" s="165">
        <f t="shared" si="17"/>
        <v>45071.583333333336</v>
      </c>
      <c r="BI68" s="165">
        <v>45071.25</v>
      </c>
      <c r="BJ68" s="165">
        <v>45071.416666666664</v>
      </c>
      <c r="BK68" s="165">
        <v>45071.40625</v>
      </c>
      <c r="BL68" s="165">
        <v>45073.552083333336</v>
      </c>
      <c r="BM68" s="165">
        <v>45077.006944444445</v>
      </c>
      <c r="BN68" s="165">
        <v>45077.447916666664</v>
      </c>
      <c r="BO68" s="165">
        <v>45077.465277777781</v>
      </c>
      <c r="BP68" s="165">
        <v>45077.46875</v>
      </c>
      <c r="BQ68" s="165">
        <v>45078</v>
      </c>
      <c r="BT68" s="136">
        <f t="shared" ref="BT68:BT131" si="25">(BC68-BB68)*24</f>
        <v>45.083333333430346</v>
      </c>
      <c r="BU68" s="136">
        <f t="shared" ref="BU68:BU131" si="26">(BE68-BD68)*24</f>
        <v>5.0833333333139308</v>
      </c>
      <c r="BV68" s="136">
        <f t="shared" ref="BV68:BV131" si="27">(BH68-BG68)*24</f>
        <v>41.000000000058208</v>
      </c>
      <c r="BW68" s="136">
        <f t="shared" ref="BW68:BW88" si="28">(BL68-BJ68)*24</f>
        <v>51.250000000116415</v>
      </c>
      <c r="BX68" s="135">
        <f t="shared" ref="BX68:BX131" si="29">(BN68-BM68)*24</f>
        <v>10.583333333255723</v>
      </c>
      <c r="BY68" s="135">
        <f t="shared" ref="BY68:BY131" si="30">(BQ68-BP68)*24</f>
        <v>12.75</v>
      </c>
      <c r="BZ68" s="134">
        <f t="shared" ref="BZ68:BZ131" si="31">SUM(BT68:BY68)/24</f>
        <v>6.906250000007276</v>
      </c>
      <c r="CA68" s="134">
        <f t="shared" ref="CA68:CA131" si="32">AZ68</f>
        <v>13.666666666664241</v>
      </c>
      <c r="CB68" s="133">
        <f t="shared" ref="CB68:CB131" si="33">BZ68/CA68</f>
        <v>0.50533536585428063</v>
      </c>
    </row>
    <row r="69" spans="1:80" s="126" customFormat="1">
      <c r="A69" s="192">
        <f t="shared" si="18"/>
        <v>45070.229166666664</v>
      </c>
      <c r="B69" s="126" t="s">
        <v>228</v>
      </c>
      <c r="C69" s="126" t="s">
        <v>229</v>
      </c>
      <c r="D69" s="126" t="s">
        <v>197</v>
      </c>
      <c r="E69" s="65" t="s">
        <v>1528</v>
      </c>
      <c r="G69" s="73">
        <v>45065.625</v>
      </c>
      <c r="H69" s="73">
        <v>45065.637499999997</v>
      </c>
      <c r="I69" s="126" t="s">
        <v>243</v>
      </c>
      <c r="J69" s="126" t="s">
        <v>192</v>
      </c>
      <c r="K69" s="126" t="s">
        <v>192</v>
      </c>
      <c r="L69" s="126" t="s">
        <v>1530</v>
      </c>
      <c r="M69" s="167"/>
      <c r="N69" s="126" t="s">
        <v>208</v>
      </c>
      <c r="O69" s="126" t="s">
        <v>328</v>
      </c>
      <c r="P69" s="126" t="s">
        <v>235</v>
      </c>
      <c r="Q69" s="181">
        <f>3128*2.4</f>
        <v>7507.2</v>
      </c>
      <c r="R69" s="181"/>
      <c r="S69" s="181">
        <v>7468.058</v>
      </c>
      <c r="T69" s="181"/>
      <c r="X69" s="181">
        <f t="shared" si="21"/>
        <v>7468.058</v>
      </c>
      <c r="AX69" s="165">
        <f t="shared" si="22"/>
        <v>45064.347222222219</v>
      </c>
      <c r="AY69" s="165">
        <f t="shared" si="23"/>
        <v>45076.930555555555</v>
      </c>
      <c r="AZ69" s="137">
        <f t="shared" si="24"/>
        <v>12.583333333335759</v>
      </c>
      <c r="BA69" s="165">
        <v>45064.347222222219</v>
      </c>
      <c r="BB69" s="165">
        <v>45067.618055555555</v>
      </c>
      <c r="BC69" s="165">
        <v>45069.5</v>
      </c>
      <c r="BD69" s="165">
        <v>45070.229166666664</v>
      </c>
      <c r="BE69" s="165">
        <v>45070.565972222219</v>
      </c>
      <c r="BF69" s="165">
        <v>45070.576388888891</v>
      </c>
      <c r="BG69" s="165">
        <v>45070.576388888891</v>
      </c>
      <c r="BH69" s="165">
        <f t="shared" si="17"/>
        <v>45072.284722222226</v>
      </c>
      <c r="BI69" s="165">
        <v>45072.25</v>
      </c>
      <c r="BJ69" s="165">
        <v>45072.416666666664</v>
      </c>
      <c r="BK69" s="165">
        <v>45072.263888888891</v>
      </c>
      <c r="BL69" s="165">
        <v>45073.5625</v>
      </c>
      <c r="BM69" s="165">
        <v>45076.645833333336</v>
      </c>
      <c r="BN69" s="165">
        <v>45076.90625</v>
      </c>
      <c r="BO69" s="165">
        <v>45076.930555555555</v>
      </c>
      <c r="BP69" s="165">
        <v>45076.930555555555</v>
      </c>
      <c r="BQ69" s="165">
        <v>45076.930555555555</v>
      </c>
      <c r="BR69" s="126" t="s">
        <v>1531</v>
      </c>
      <c r="BT69" s="136">
        <f t="shared" si="25"/>
        <v>45.166666666686069</v>
      </c>
      <c r="BU69" s="136">
        <f t="shared" si="26"/>
        <v>8.0833333333139308</v>
      </c>
      <c r="BV69" s="136">
        <f t="shared" si="27"/>
        <v>41.000000000058208</v>
      </c>
      <c r="BW69" s="136">
        <f t="shared" si="28"/>
        <v>27.500000000058208</v>
      </c>
      <c r="BX69" s="135">
        <f t="shared" si="29"/>
        <v>6.2499999999417923</v>
      </c>
      <c r="BY69" s="135">
        <f t="shared" si="30"/>
        <v>0</v>
      </c>
      <c r="BZ69" s="134">
        <f t="shared" si="31"/>
        <v>5.3333333333357587</v>
      </c>
      <c r="CA69" s="134">
        <f t="shared" si="32"/>
        <v>12.583333333335759</v>
      </c>
      <c r="CB69" s="133">
        <f t="shared" si="33"/>
        <v>0.42384105960276003</v>
      </c>
    </row>
    <row r="70" spans="1:80" s="126" customFormat="1">
      <c r="A70" s="192">
        <f t="shared" si="18"/>
        <v>45070.909722222219</v>
      </c>
      <c r="B70" s="126" t="s">
        <v>228</v>
      </c>
      <c r="C70" s="126" t="s">
        <v>229</v>
      </c>
      <c r="D70" s="126" t="s">
        <v>197</v>
      </c>
      <c r="E70" s="65" t="s">
        <v>1528</v>
      </c>
      <c r="G70" s="73">
        <v>45065.625</v>
      </c>
      <c r="H70" s="73">
        <v>45065.637499999997</v>
      </c>
      <c r="I70" s="126" t="s">
        <v>243</v>
      </c>
      <c r="J70" s="126" t="s">
        <v>192</v>
      </c>
      <c r="K70" s="126" t="s">
        <v>192</v>
      </c>
      <c r="L70" s="126" t="s">
        <v>1532</v>
      </c>
      <c r="M70" s="167"/>
      <c r="N70" s="126" t="s">
        <v>355</v>
      </c>
      <c r="O70" s="126" t="s">
        <v>356</v>
      </c>
      <c r="P70" s="126" t="s">
        <v>235</v>
      </c>
      <c r="Q70" s="181">
        <f>3107*2.4</f>
        <v>7456.7999999999993</v>
      </c>
      <c r="R70" s="181"/>
      <c r="S70" s="181">
        <v>7584.5519999999997</v>
      </c>
      <c r="T70" s="181"/>
      <c r="X70" s="181">
        <f t="shared" si="21"/>
        <v>7584.5519999999997</v>
      </c>
      <c r="AX70" s="165">
        <f t="shared" si="22"/>
        <v>45067.40625</v>
      </c>
      <c r="AY70" s="165">
        <f t="shared" si="23"/>
        <v>45078.340277777781</v>
      </c>
      <c r="AZ70" s="137">
        <f t="shared" si="24"/>
        <v>10.934027777781012</v>
      </c>
      <c r="BA70" s="165">
        <v>45067.40625</v>
      </c>
      <c r="BB70" s="165">
        <v>45068.538194444445</v>
      </c>
      <c r="BC70" s="165">
        <v>45070.305555555555</v>
      </c>
      <c r="BD70" s="165">
        <v>45070.909722222219</v>
      </c>
      <c r="BE70" s="165">
        <v>45071.039583333331</v>
      </c>
      <c r="BF70" s="165">
        <v>45071.048611111109</v>
      </c>
      <c r="BG70" s="165">
        <v>45071.048611111109</v>
      </c>
      <c r="BH70" s="165">
        <f t="shared" si="17"/>
        <v>45072.756944444445</v>
      </c>
      <c r="BI70" s="165">
        <v>45072.25</v>
      </c>
      <c r="BJ70" s="165">
        <v>45072.416666666664</v>
      </c>
      <c r="BK70" s="165">
        <v>45072.420138888891</v>
      </c>
      <c r="BL70" s="165">
        <v>45074.333333333336</v>
      </c>
      <c r="BM70" s="165">
        <v>45077.517361111109</v>
      </c>
      <c r="BN70" s="165">
        <v>45077.819444444445</v>
      </c>
      <c r="BO70" s="165">
        <v>45077.847222222219</v>
      </c>
      <c r="BP70" s="165">
        <v>45077.923611111109</v>
      </c>
      <c r="BQ70" s="165">
        <v>45078.340277777781</v>
      </c>
      <c r="BT70" s="136">
        <f t="shared" si="25"/>
        <v>42.416666666627862</v>
      </c>
      <c r="BU70" s="136">
        <f t="shared" si="26"/>
        <v>3.1166666666977108</v>
      </c>
      <c r="BV70" s="136">
        <f t="shared" si="27"/>
        <v>41.000000000058208</v>
      </c>
      <c r="BW70" s="136">
        <f t="shared" si="28"/>
        <v>46.000000000116415</v>
      </c>
      <c r="BX70" s="135">
        <f t="shared" si="29"/>
        <v>7.2500000000582077</v>
      </c>
      <c r="BY70" s="135">
        <f t="shared" si="30"/>
        <v>10.000000000116415</v>
      </c>
      <c r="BZ70" s="134">
        <f t="shared" si="31"/>
        <v>6.2409722222364508</v>
      </c>
      <c r="CA70" s="134">
        <f t="shared" si="32"/>
        <v>10.934027777781012</v>
      </c>
      <c r="CB70" s="133">
        <f t="shared" si="33"/>
        <v>0.57078437599351106</v>
      </c>
    </row>
    <row r="71" spans="1:80" s="126" customFormat="1">
      <c r="A71" s="192">
        <f t="shared" si="18"/>
        <v>45071.070833333331</v>
      </c>
      <c r="B71" s="126" t="s">
        <v>228</v>
      </c>
      <c r="C71" s="126" t="s">
        <v>229</v>
      </c>
      <c r="D71" s="126" t="s">
        <v>197</v>
      </c>
      <c r="E71" s="65" t="s">
        <v>1528</v>
      </c>
      <c r="G71" s="73">
        <v>45065.625</v>
      </c>
      <c r="H71" s="73">
        <v>45065.637499999997</v>
      </c>
      <c r="I71" s="126" t="s">
        <v>243</v>
      </c>
      <c r="J71" s="126" t="s">
        <v>192</v>
      </c>
      <c r="K71" s="126" t="s">
        <v>192</v>
      </c>
      <c r="L71" s="126" t="s">
        <v>1533</v>
      </c>
      <c r="M71" s="167"/>
      <c r="N71" s="126" t="s">
        <v>437</v>
      </c>
      <c r="O71" s="126" t="s">
        <v>320</v>
      </c>
      <c r="P71" s="126" t="s">
        <v>235</v>
      </c>
      <c r="Q71" s="181">
        <f>3136*2.4</f>
        <v>7526.4</v>
      </c>
      <c r="R71" s="181"/>
      <c r="S71" s="181">
        <v>7589.7120000000004</v>
      </c>
      <c r="T71" s="181"/>
      <c r="X71" s="181">
        <f t="shared" si="21"/>
        <v>7589.7120000000004</v>
      </c>
      <c r="AX71" s="165">
        <f t="shared" si="22"/>
        <v>45067.934027777781</v>
      </c>
      <c r="AY71" s="165">
        <f t="shared" si="23"/>
        <v>45078.791666666664</v>
      </c>
      <c r="AZ71" s="137">
        <f t="shared" si="24"/>
        <v>10.85763888888323</v>
      </c>
      <c r="BA71" s="165">
        <v>45067.934027777781</v>
      </c>
      <c r="BB71" s="165">
        <v>45068.802083333336</v>
      </c>
      <c r="BC71" s="165">
        <v>45070.416666666664</v>
      </c>
      <c r="BD71" s="165">
        <v>45071.070833333331</v>
      </c>
      <c r="BE71" s="165">
        <v>45071.215277777781</v>
      </c>
      <c r="BF71" s="165">
        <v>45071.225694444445</v>
      </c>
      <c r="BG71" s="165">
        <v>45071.225694444445</v>
      </c>
      <c r="BH71" s="165">
        <f t="shared" si="17"/>
        <v>45072.934027777781</v>
      </c>
      <c r="BI71" s="165">
        <v>45073.25</v>
      </c>
      <c r="BJ71" s="165">
        <v>45073.416666666664</v>
      </c>
      <c r="BK71" s="165">
        <v>45073.326388888891</v>
      </c>
      <c r="BL71" s="165">
        <v>45075.072916666664</v>
      </c>
      <c r="BM71" s="165">
        <v>45077.90625</v>
      </c>
      <c r="BN71" s="165">
        <v>45078.177083333336</v>
      </c>
      <c r="BO71" s="165">
        <v>45078.201388888891</v>
      </c>
      <c r="BP71" s="165">
        <v>45078.204861111109</v>
      </c>
      <c r="BQ71" s="165">
        <v>45078.791666666664</v>
      </c>
      <c r="BT71" s="136">
        <f t="shared" si="25"/>
        <v>38.749999999883585</v>
      </c>
      <c r="BU71" s="136">
        <f t="shared" si="26"/>
        <v>3.466666666790843</v>
      </c>
      <c r="BV71" s="136">
        <f t="shared" si="27"/>
        <v>41.000000000058208</v>
      </c>
      <c r="BW71" s="136">
        <f t="shared" si="28"/>
        <v>39.75</v>
      </c>
      <c r="BX71" s="135">
        <f t="shared" si="29"/>
        <v>6.5000000000582077</v>
      </c>
      <c r="BY71" s="135">
        <f t="shared" si="30"/>
        <v>14.083333333313931</v>
      </c>
      <c r="BZ71" s="134">
        <f t="shared" si="31"/>
        <v>5.9812500000043656</v>
      </c>
      <c r="CA71" s="134">
        <f t="shared" si="32"/>
        <v>10.85763888888323</v>
      </c>
      <c r="CB71" s="133">
        <f t="shared" si="33"/>
        <v>0.5508794371609067</v>
      </c>
    </row>
    <row r="72" spans="1:80" s="126" customFormat="1">
      <c r="A72" s="192">
        <f t="shared" si="18"/>
        <v>45071.25</v>
      </c>
      <c r="B72" s="126" t="s">
        <v>228</v>
      </c>
      <c r="C72" s="126" t="s">
        <v>229</v>
      </c>
      <c r="D72" s="126" t="s">
        <v>197</v>
      </c>
      <c r="E72" s="65" t="s">
        <v>1520</v>
      </c>
      <c r="G72" s="73">
        <v>45071.583333333336</v>
      </c>
      <c r="H72" s="73">
        <v>45071.583333333336</v>
      </c>
      <c r="I72" s="126" t="s">
        <v>231</v>
      </c>
      <c r="J72" s="126" t="s">
        <v>192</v>
      </c>
      <c r="K72" s="126" t="s">
        <v>192</v>
      </c>
      <c r="L72" s="126" t="s">
        <v>1534</v>
      </c>
      <c r="M72" s="167"/>
      <c r="N72" s="126" t="s">
        <v>1240</v>
      </c>
      <c r="O72" s="126" t="s">
        <v>1241</v>
      </c>
      <c r="P72" s="126" t="s">
        <v>235</v>
      </c>
      <c r="Q72" s="181">
        <f>3243*2.4</f>
        <v>7783.2</v>
      </c>
      <c r="R72" s="181"/>
      <c r="S72" s="181">
        <v>7723.5910000000003</v>
      </c>
      <c r="T72" s="181"/>
      <c r="X72" s="181">
        <f t="shared" si="21"/>
        <v>7723.5910000000003</v>
      </c>
      <c r="AX72" s="165">
        <f t="shared" si="22"/>
        <v>45068.104166666664</v>
      </c>
      <c r="AY72" s="165">
        <f t="shared" si="23"/>
        <v>45078.541666666664</v>
      </c>
      <c r="AZ72" s="137">
        <f t="shared" si="24"/>
        <v>10.4375</v>
      </c>
      <c r="BA72" s="165">
        <v>45068.104166666664</v>
      </c>
      <c r="BB72" s="165">
        <v>45068.838888888888</v>
      </c>
      <c r="BC72" s="165">
        <v>45070.541666666664</v>
      </c>
      <c r="BD72" s="165">
        <v>45071.25</v>
      </c>
      <c r="BE72" s="165">
        <v>45071.486111111109</v>
      </c>
      <c r="BF72" s="165">
        <v>45071.493055555555</v>
      </c>
      <c r="BG72" s="165">
        <v>45071.493055555555</v>
      </c>
      <c r="BH72" s="165">
        <f t="shared" si="17"/>
        <v>45073.201388888891</v>
      </c>
      <c r="BI72" s="165">
        <v>45073.25</v>
      </c>
      <c r="BJ72" s="165">
        <v>45073.416666666664</v>
      </c>
      <c r="BK72" s="165">
        <v>45073.315972222219</v>
      </c>
      <c r="BL72" s="165">
        <v>45074.583333333336</v>
      </c>
      <c r="BM72" s="165">
        <v>45078</v>
      </c>
      <c r="BN72" s="165">
        <v>45078.086805555555</v>
      </c>
      <c r="BO72" s="165">
        <v>45078.100694444445</v>
      </c>
      <c r="BP72" s="165">
        <v>45078.100694444445</v>
      </c>
      <c r="BQ72" s="165">
        <v>45078.541666666664</v>
      </c>
      <c r="BT72" s="136">
        <f t="shared" si="25"/>
        <v>40.866666666639503</v>
      </c>
      <c r="BU72" s="136">
        <f t="shared" si="26"/>
        <v>5.6666666666278616</v>
      </c>
      <c r="BV72" s="136">
        <f t="shared" si="27"/>
        <v>41.000000000058208</v>
      </c>
      <c r="BW72" s="136">
        <f t="shared" si="28"/>
        <v>28.000000000116415</v>
      </c>
      <c r="BX72" s="135">
        <f t="shared" si="29"/>
        <v>2.0833333333139308</v>
      </c>
      <c r="BY72" s="135">
        <f t="shared" si="30"/>
        <v>10.583333333255723</v>
      </c>
      <c r="BZ72" s="134">
        <f t="shared" si="31"/>
        <v>5.3416666666671517</v>
      </c>
      <c r="CA72" s="134">
        <f t="shared" si="32"/>
        <v>10.4375</v>
      </c>
      <c r="CB72" s="133">
        <f t="shared" si="33"/>
        <v>0.51177644710583492</v>
      </c>
    </row>
    <row r="73" spans="1:80" s="126" customFormat="1">
      <c r="A73" s="192">
        <f t="shared" si="18"/>
        <v>45072.1875</v>
      </c>
      <c r="B73" s="126" t="s">
        <v>228</v>
      </c>
      <c r="C73" s="126" t="s">
        <v>229</v>
      </c>
      <c r="D73" s="126" t="s">
        <v>197</v>
      </c>
      <c r="E73" s="65" t="s">
        <v>1520</v>
      </c>
      <c r="G73" s="73">
        <v>45071.583333333336</v>
      </c>
      <c r="H73" s="73">
        <v>45071.583333333336</v>
      </c>
      <c r="I73" s="126" t="s">
        <v>231</v>
      </c>
      <c r="J73" s="126" t="s">
        <v>192</v>
      </c>
      <c r="K73" s="126" t="s">
        <v>192</v>
      </c>
      <c r="L73" s="126" t="s">
        <v>1535</v>
      </c>
      <c r="M73" s="167"/>
      <c r="N73" s="126" t="s">
        <v>70</v>
      </c>
      <c r="O73" s="126" t="s">
        <v>255</v>
      </c>
      <c r="P73" s="126" t="s">
        <v>235</v>
      </c>
      <c r="Q73" s="181">
        <f>3047*2.4</f>
        <v>7312.8</v>
      </c>
      <c r="R73" s="181"/>
      <c r="S73" s="181">
        <v>7402.71</v>
      </c>
      <c r="T73" s="181"/>
      <c r="X73" s="181">
        <f t="shared" si="21"/>
        <v>7402.71</v>
      </c>
      <c r="AX73" s="165">
        <f t="shared" si="22"/>
        <v>45068.305555555555</v>
      </c>
      <c r="AY73" s="165">
        <f t="shared" si="23"/>
        <v>45079.25</v>
      </c>
      <c r="AZ73" s="137">
        <f t="shared" si="24"/>
        <v>10.944444444445253</v>
      </c>
      <c r="BA73" s="165">
        <v>45068.305555555555</v>
      </c>
      <c r="BB73" s="165">
        <v>45069.559027777781</v>
      </c>
      <c r="BC73" s="165">
        <v>45071.208333333336</v>
      </c>
      <c r="BD73" s="165">
        <v>45072.1875</v>
      </c>
      <c r="BE73" s="165">
        <v>45072.378472222219</v>
      </c>
      <c r="BF73" s="165">
        <v>45072.378472222219</v>
      </c>
      <c r="BG73" s="165">
        <v>45072.378472222219</v>
      </c>
      <c r="BH73" s="165">
        <f t="shared" si="17"/>
        <v>45074.086805555555</v>
      </c>
      <c r="BI73" s="165">
        <v>45074.25</v>
      </c>
      <c r="BJ73" s="165">
        <v>45074.416666666664</v>
      </c>
      <c r="BK73" s="165">
        <v>45074.274305555555</v>
      </c>
      <c r="BL73" s="165">
        <v>45075.479166666664</v>
      </c>
      <c r="BM73" s="165">
        <v>45078.121527777781</v>
      </c>
      <c r="BN73" s="165">
        <v>45078.833333333336</v>
      </c>
      <c r="BO73" s="165">
        <v>45078.847222222219</v>
      </c>
      <c r="BP73" s="165">
        <v>45079.020833333336</v>
      </c>
      <c r="BQ73" s="165">
        <v>45079.25</v>
      </c>
      <c r="BT73" s="136">
        <f t="shared" si="25"/>
        <v>39.583333333313931</v>
      </c>
      <c r="BU73" s="136">
        <f t="shared" si="26"/>
        <v>4.5833333332557231</v>
      </c>
      <c r="BV73" s="136">
        <f t="shared" si="27"/>
        <v>41.000000000058208</v>
      </c>
      <c r="BW73" s="136">
        <f t="shared" si="28"/>
        <v>25.5</v>
      </c>
      <c r="BX73" s="135">
        <f t="shared" si="29"/>
        <v>17.083333333313931</v>
      </c>
      <c r="BY73" s="135">
        <f t="shared" si="30"/>
        <v>5.4999999999417923</v>
      </c>
      <c r="BZ73" s="134">
        <f t="shared" si="31"/>
        <v>5.5520833333284827</v>
      </c>
      <c r="CA73" s="134">
        <f t="shared" si="32"/>
        <v>10.944444444445253</v>
      </c>
      <c r="CB73" s="133">
        <f t="shared" si="33"/>
        <v>0.50729695431424016</v>
      </c>
    </row>
    <row r="74" spans="1:80" s="126" customFormat="1">
      <c r="A74" s="192">
        <f t="shared" si="18"/>
        <v>45072.399305555555</v>
      </c>
      <c r="B74" s="126" t="s">
        <v>228</v>
      </c>
      <c r="C74" s="126" t="s">
        <v>229</v>
      </c>
      <c r="D74" s="126" t="s">
        <v>197</v>
      </c>
      <c r="E74" s="65" t="s">
        <v>1528</v>
      </c>
      <c r="G74" s="73">
        <v>45065.625</v>
      </c>
      <c r="H74" s="73">
        <v>45065.637499999997</v>
      </c>
      <c r="I74" s="126" t="s">
        <v>243</v>
      </c>
      <c r="J74" s="126" t="s">
        <v>192</v>
      </c>
      <c r="K74" s="126" t="s">
        <v>192</v>
      </c>
      <c r="L74" s="126" t="s">
        <v>1536</v>
      </c>
      <c r="M74" s="167"/>
      <c r="N74" s="126" t="s">
        <v>505</v>
      </c>
      <c r="O74" s="126" t="s">
        <v>506</v>
      </c>
      <c r="P74" s="126" t="s">
        <v>240</v>
      </c>
      <c r="Q74" s="181">
        <f>3071*2.4</f>
        <v>7370.4</v>
      </c>
      <c r="R74" s="181"/>
      <c r="S74" s="181">
        <v>7347.5950000000003</v>
      </c>
      <c r="T74" s="181"/>
      <c r="Y74" s="181">
        <f>S74</f>
        <v>7347.5950000000003</v>
      </c>
      <c r="AX74" s="165">
        <f t="shared" si="22"/>
        <v>45068.923611111109</v>
      </c>
      <c r="AY74" s="165">
        <f t="shared" si="23"/>
        <v>45079.024305555555</v>
      </c>
      <c r="AZ74" s="137">
        <f t="shared" si="24"/>
        <v>10.100694444445253</v>
      </c>
      <c r="BA74" s="165">
        <v>45068.923611111109</v>
      </c>
      <c r="BB74" s="165">
        <v>45069.572916666664</v>
      </c>
      <c r="BC74" s="165">
        <v>45071.211805555555</v>
      </c>
      <c r="BD74" s="165">
        <v>45072.399305555555</v>
      </c>
      <c r="BE74" s="165">
        <v>45072.534722222219</v>
      </c>
      <c r="BF74" s="165">
        <v>45072.534722222219</v>
      </c>
      <c r="BG74" s="165">
        <v>45072.534722222219</v>
      </c>
      <c r="BH74" s="165">
        <f t="shared" si="17"/>
        <v>45074.243055555555</v>
      </c>
      <c r="BI74" s="165">
        <v>45074.25</v>
      </c>
      <c r="BJ74" s="165">
        <v>45074.416666666664</v>
      </c>
      <c r="BK74" s="165">
        <v>45074.340277777781</v>
      </c>
      <c r="BL74" s="165">
        <v>45075.6875</v>
      </c>
      <c r="BM74" s="165">
        <v>45076.333333333336</v>
      </c>
      <c r="BN74" s="165">
        <v>45078.65625</v>
      </c>
      <c r="BO74" s="165">
        <v>45078.677083333336</v>
      </c>
      <c r="BP74" s="165">
        <v>45078.680555555555</v>
      </c>
      <c r="BQ74" s="165">
        <v>45079.024305555555</v>
      </c>
      <c r="BT74" s="136">
        <f t="shared" si="25"/>
        <v>39.333333333372138</v>
      </c>
      <c r="BU74" s="136">
        <f t="shared" si="26"/>
        <v>3.2499999999417923</v>
      </c>
      <c r="BV74" s="136">
        <f t="shared" si="27"/>
        <v>41.000000000058208</v>
      </c>
      <c r="BW74" s="136">
        <f t="shared" si="28"/>
        <v>30.500000000058208</v>
      </c>
      <c r="BX74" s="135">
        <f t="shared" si="29"/>
        <v>55.749999999941792</v>
      </c>
      <c r="BY74" s="135">
        <f t="shared" si="30"/>
        <v>8.25</v>
      </c>
      <c r="BZ74" s="134">
        <f t="shared" si="31"/>
        <v>7.4201388888905058</v>
      </c>
      <c r="CA74" s="134">
        <f t="shared" si="32"/>
        <v>10.100694444445253</v>
      </c>
      <c r="CB74" s="133">
        <f t="shared" si="33"/>
        <v>0.73461670677218793</v>
      </c>
    </row>
    <row r="75" spans="1:80" s="126" customFormat="1">
      <c r="A75" s="192">
        <f t="shared" si="18"/>
        <v>45073.854166666664</v>
      </c>
      <c r="B75" s="126" t="s">
        <v>228</v>
      </c>
      <c r="C75" s="126" t="s">
        <v>229</v>
      </c>
      <c r="D75" s="126" t="s">
        <v>197</v>
      </c>
      <c r="E75" s="65" t="s">
        <v>1520</v>
      </c>
      <c r="G75" s="73">
        <v>45071.583333333336</v>
      </c>
      <c r="H75" s="73">
        <v>45071.583333333336</v>
      </c>
      <c r="I75" s="126" t="s">
        <v>231</v>
      </c>
      <c r="J75" s="126" t="s">
        <v>192</v>
      </c>
      <c r="K75" s="126" t="s">
        <v>192</v>
      </c>
      <c r="L75" s="126" t="s">
        <v>1537</v>
      </c>
      <c r="M75" s="167"/>
      <c r="N75" s="126" t="s">
        <v>686</v>
      </c>
      <c r="O75" s="126" t="s">
        <v>1186</v>
      </c>
      <c r="P75" s="126" t="s">
        <v>235</v>
      </c>
      <c r="Q75" s="181">
        <f>3136*2.4</f>
        <v>7526.4</v>
      </c>
      <c r="R75" s="181"/>
      <c r="S75" s="181">
        <v>7481.7560000000003</v>
      </c>
      <c r="T75" s="181"/>
      <c r="X75" s="181">
        <f>S75</f>
        <v>7481.7560000000003</v>
      </c>
      <c r="AX75" s="165">
        <f t="shared" si="22"/>
        <v>45064.458333333336</v>
      </c>
      <c r="AY75" s="165">
        <f t="shared" si="23"/>
        <v>45080.291666666664</v>
      </c>
      <c r="AZ75" s="137">
        <f t="shared" si="24"/>
        <v>15.833333333328483</v>
      </c>
      <c r="BA75" s="165">
        <v>45064.458333333336</v>
      </c>
      <c r="BB75" s="165">
        <v>45069.579861111109</v>
      </c>
      <c r="BC75" s="165">
        <v>45071.3125</v>
      </c>
      <c r="BD75" s="165">
        <v>45073.854166666664</v>
      </c>
      <c r="BE75" s="165">
        <v>45074.033333333333</v>
      </c>
      <c r="BF75" s="165">
        <v>45074.038194444445</v>
      </c>
      <c r="BG75" s="165">
        <v>45074.038194444445</v>
      </c>
      <c r="BH75" s="165">
        <f t="shared" si="17"/>
        <v>45075.746527777781</v>
      </c>
      <c r="BI75" s="165">
        <v>45075.25</v>
      </c>
      <c r="BJ75" s="165">
        <v>45075.416666666664</v>
      </c>
      <c r="BK75" s="165">
        <v>45075.375</v>
      </c>
      <c r="BL75" s="165">
        <v>45076.583333333336</v>
      </c>
      <c r="BM75" s="165">
        <v>45079.506944444445</v>
      </c>
      <c r="BN75" s="165">
        <v>45079.8125</v>
      </c>
      <c r="BO75" s="165">
        <v>45079.826388888891</v>
      </c>
      <c r="BP75" s="165">
        <v>45080.104166666664</v>
      </c>
      <c r="BQ75" s="165">
        <v>45080.291666666664</v>
      </c>
      <c r="BT75" s="136">
        <f t="shared" si="25"/>
        <v>41.583333333372138</v>
      </c>
      <c r="BU75" s="136">
        <f t="shared" si="26"/>
        <v>4.3000000000465661</v>
      </c>
      <c r="BV75" s="136">
        <f t="shared" si="27"/>
        <v>41.000000000058208</v>
      </c>
      <c r="BW75" s="136">
        <f t="shared" si="28"/>
        <v>28.000000000116415</v>
      </c>
      <c r="BX75" s="135">
        <f t="shared" si="29"/>
        <v>7.3333333333139308</v>
      </c>
      <c r="BY75" s="135">
        <f t="shared" si="30"/>
        <v>4.5</v>
      </c>
      <c r="BZ75" s="134">
        <f t="shared" si="31"/>
        <v>5.2798611111211358</v>
      </c>
      <c r="CA75" s="134">
        <f t="shared" si="32"/>
        <v>15.833333333328483</v>
      </c>
      <c r="CB75" s="133">
        <f t="shared" si="33"/>
        <v>0.33346491228143704</v>
      </c>
    </row>
    <row r="76" spans="1:80" s="126" customFormat="1">
      <c r="A76" s="192">
        <f t="shared" si="18"/>
        <v>45072.829861111109</v>
      </c>
      <c r="B76" s="126" t="s">
        <v>228</v>
      </c>
      <c r="C76" s="126" t="s">
        <v>229</v>
      </c>
      <c r="D76" s="126" t="s">
        <v>197</v>
      </c>
      <c r="E76" s="65" t="s">
        <v>1520</v>
      </c>
      <c r="G76" s="73">
        <v>45071.583333333336</v>
      </c>
      <c r="H76" s="73">
        <v>45071.583333333336</v>
      </c>
      <c r="I76" s="126" t="s">
        <v>231</v>
      </c>
      <c r="J76" s="126" t="s">
        <v>192</v>
      </c>
      <c r="K76" s="126" t="s">
        <v>192</v>
      </c>
      <c r="L76" s="126" t="s">
        <v>1538</v>
      </c>
      <c r="M76" s="167"/>
      <c r="N76" s="126" t="s">
        <v>238</v>
      </c>
      <c r="O76" s="126" t="s">
        <v>239</v>
      </c>
      <c r="P76" s="126" t="s">
        <v>235</v>
      </c>
      <c r="Q76" s="181">
        <f>3100*2.4</f>
        <v>7440</v>
      </c>
      <c r="R76" s="181"/>
      <c r="S76" s="181">
        <v>7496.8230000000003</v>
      </c>
      <c r="T76" s="181"/>
      <c r="X76" s="181">
        <f>S76</f>
        <v>7496.8230000000003</v>
      </c>
      <c r="AX76" s="165">
        <f t="shared" si="22"/>
        <v>45066.961805555555</v>
      </c>
      <c r="AY76" s="165">
        <f t="shared" si="23"/>
        <v>45079.8125</v>
      </c>
      <c r="AZ76" s="137">
        <f t="shared" si="24"/>
        <v>12.850694444445253</v>
      </c>
      <c r="BA76" s="165">
        <v>45066.961805555555</v>
      </c>
      <c r="BB76" s="165">
        <v>45069.5625</v>
      </c>
      <c r="BC76" s="165">
        <v>45071.291666666664</v>
      </c>
      <c r="BD76" s="165">
        <v>45072.829861111109</v>
      </c>
      <c r="BE76" s="165">
        <v>45072.987500000003</v>
      </c>
      <c r="BF76" s="165">
        <v>45072.993055555555</v>
      </c>
      <c r="BG76" s="165">
        <v>45072.993055555555</v>
      </c>
      <c r="BH76" s="165">
        <f t="shared" si="17"/>
        <v>45074.701388888891</v>
      </c>
      <c r="BI76" s="165">
        <v>45075.25</v>
      </c>
      <c r="BJ76" s="165">
        <v>45075.416666666664</v>
      </c>
      <c r="BK76" s="165">
        <v>45075.3125</v>
      </c>
      <c r="BL76" s="165">
        <v>45076.4375</v>
      </c>
      <c r="BM76" s="165">
        <v>45079.170138888891</v>
      </c>
      <c r="BN76" s="165">
        <v>45079.465277777781</v>
      </c>
      <c r="BO76" s="165">
        <v>45079.479166666664</v>
      </c>
      <c r="BP76" s="165">
        <v>45079.479166666664</v>
      </c>
      <c r="BQ76" s="165">
        <v>45079.8125</v>
      </c>
      <c r="BT76" s="136">
        <f t="shared" si="25"/>
        <v>41.499999999941792</v>
      </c>
      <c r="BU76" s="136">
        <f t="shared" si="26"/>
        <v>3.7833333334419876</v>
      </c>
      <c r="BV76" s="136">
        <f t="shared" si="27"/>
        <v>41.000000000058208</v>
      </c>
      <c r="BW76" s="136">
        <f t="shared" si="28"/>
        <v>24.500000000058208</v>
      </c>
      <c r="BX76" s="135">
        <f t="shared" si="29"/>
        <v>7.0833333333721384</v>
      </c>
      <c r="BY76" s="135">
        <f t="shared" si="30"/>
        <v>8.0000000000582077</v>
      </c>
      <c r="BZ76" s="134">
        <f t="shared" si="31"/>
        <v>5.2444444444554392</v>
      </c>
      <c r="CA76" s="134">
        <f t="shared" si="32"/>
        <v>12.850694444445253</v>
      </c>
      <c r="CB76" s="133">
        <f t="shared" si="33"/>
        <v>0.40810591732047324</v>
      </c>
    </row>
    <row r="77" spans="1:80" s="126" customFormat="1">
      <c r="A77" s="192">
        <f t="shared" si="18"/>
        <v>45074.239583333336</v>
      </c>
      <c r="B77" s="126" t="s">
        <v>228</v>
      </c>
      <c r="C77" s="126" t="s">
        <v>229</v>
      </c>
      <c r="D77" s="126" t="s">
        <v>197</v>
      </c>
      <c r="E77" s="65" t="s">
        <v>1520</v>
      </c>
      <c r="G77" s="73">
        <v>45071.583333333336</v>
      </c>
      <c r="H77" s="73">
        <v>45071.583333333336</v>
      </c>
      <c r="I77" s="126" t="s">
        <v>231</v>
      </c>
      <c r="J77" s="126" t="s">
        <v>192</v>
      </c>
      <c r="K77" s="126" t="s">
        <v>192</v>
      </c>
      <c r="L77" s="126" t="s">
        <v>1539</v>
      </c>
      <c r="M77" s="167"/>
      <c r="N77" s="126" t="s">
        <v>288</v>
      </c>
      <c r="O77" s="126" t="s">
        <v>289</v>
      </c>
      <c r="P77" s="126" t="s">
        <v>235</v>
      </c>
      <c r="Q77" s="181">
        <f>3107*2.4</f>
        <v>7456.7999999999993</v>
      </c>
      <c r="R77" s="181"/>
      <c r="S77" s="181">
        <v>7634.9480000000003</v>
      </c>
      <c r="T77" s="181"/>
      <c r="X77" s="181">
        <f>S77</f>
        <v>7634.9480000000003</v>
      </c>
      <c r="AX77" s="165">
        <f t="shared" si="22"/>
        <v>45068.979166666664</v>
      </c>
      <c r="AY77" s="165">
        <f t="shared" si="23"/>
        <v>45080.895833333336</v>
      </c>
      <c r="AZ77" s="137">
        <f t="shared" si="24"/>
        <v>11.916666666671517</v>
      </c>
      <c r="BA77" s="165">
        <v>45068.979166666664</v>
      </c>
      <c r="BB77" s="165">
        <v>45069.888888888891</v>
      </c>
      <c r="BC77" s="165">
        <v>45071.458333333336</v>
      </c>
      <c r="BD77" s="165">
        <v>45074.239583333336</v>
      </c>
      <c r="BE77" s="165">
        <v>45074.493055555555</v>
      </c>
      <c r="BF77" s="165">
        <v>45074.5</v>
      </c>
      <c r="BG77" s="165">
        <v>45074.5</v>
      </c>
      <c r="BH77" s="165">
        <f t="shared" si="17"/>
        <v>45076.208333333336</v>
      </c>
      <c r="BI77" s="165">
        <v>45076.520833333336</v>
      </c>
      <c r="BJ77" s="165">
        <v>45076.6875</v>
      </c>
      <c r="BK77" s="165">
        <v>45076.666666666664</v>
      </c>
      <c r="BL77" s="165">
        <v>45077.736111111109</v>
      </c>
      <c r="BM77" s="165">
        <v>45079.958333333336</v>
      </c>
      <c r="BN77" s="165">
        <v>45080.229166666664</v>
      </c>
      <c r="BO77" s="165">
        <v>45080.25</v>
      </c>
      <c r="BP77" s="165">
        <v>45080.25</v>
      </c>
      <c r="BQ77" s="165">
        <v>45080.895833333336</v>
      </c>
      <c r="BT77" s="136">
        <f t="shared" si="25"/>
        <v>37.666666666686069</v>
      </c>
      <c r="BU77" s="136">
        <f t="shared" si="26"/>
        <v>6.0833333332557231</v>
      </c>
      <c r="BV77" s="136">
        <f t="shared" si="27"/>
        <v>41.000000000058208</v>
      </c>
      <c r="BW77" s="136">
        <f t="shared" si="28"/>
        <v>25.166666666627862</v>
      </c>
      <c r="BX77" s="135">
        <f t="shared" si="29"/>
        <v>6.4999999998835847</v>
      </c>
      <c r="BY77" s="135">
        <f t="shared" si="30"/>
        <v>15.500000000058208</v>
      </c>
      <c r="BZ77" s="134">
        <f t="shared" si="31"/>
        <v>5.4965277777737356</v>
      </c>
      <c r="CA77" s="134">
        <f t="shared" si="32"/>
        <v>11.916666666671517</v>
      </c>
      <c r="CB77" s="133">
        <f t="shared" si="33"/>
        <v>0.4612470862465593</v>
      </c>
    </row>
    <row r="78" spans="1:80" s="126" customFormat="1">
      <c r="A78" s="192">
        <f t="shared" si="18"/>
        <v>45074.708333333336</v>
      </c>
      <c r="B78" s="126" t="s">
        <v>228</v>
      </c>
      <c r="C78" s="126" t="s">
        <v>229</v>
      </c>
      <c r="D78" s="126" t="s">
        <v>215</v>
      </c>
      <c r="E78" s="65" t="s">
        <v>1520</v>
      </c>
      <c r="G78" s="73">
        <v>45071.583333333336</v>
      </c>
      <c r="H78" s="73">
        <v>45071.583333333336</v>
      </c>
      <c r="I78" s="126" t="s">
        <v>231</v>
      </c>
      <c r="J78" s="126" t="s">
        <v>192</v>
      </c>
      <c r="K78" s="126" t="s">
        <v>192</v>
      </c>
      <c r="L78" s="126" t="s">
        <v>1540</v>
      </c>
      <c r="M78" s="167"/>
      <c r="N78" s="126" t="s">
        <v>301</v>
      </c>
      <c r="O78" s="126" t="s">
        <v>359</v>
      </c>
      <c r="P78" s="126" t="s">
        <v>235</v>
      </c>
      <c r="Q78" s="181">
        <f>3852*2.4</f>
        <v>9244.7999999999993</v>
      </c>
      <c r="R78" s="181"/>
      <c r="S78" s="181">
        <v>9157.3080000000009</v>
      </c>
      <c r="T78" s="181"/>
      <c r="X78" s="181">
        <f>S78</f>
        <v>9157.3080000000009</v>
      </c>
      <c r="AX78" s="165">
        <f t="shared" si="22"/>
        <v>45067.815972222219</v>
      </c>
      <c r="AY78" s="165">
        <f t="shared" si="23"/>
        <v>45080.947916666664</v>
      </c>
      <c r="AZ78" s="137">
        <f t="shared" si="24"/>
        <v>13.131944444445253</v>
      </c>
      <c r="BA78" s="165">
        <v>45067.815972222219</v>
      </c>
      <c r="BB78" s="165">
        <v>45069.815972222219</v>
      </c>
      <c r="BC78" s="165">
        <v>45071.5625</v>
      </c>
      <c r="BD78" s="165">
        <v>45074.708333333336</v>
      </c>
      <c r="BE78" s="165">
        <v>45074.932638888888</v>
      </c>
      <c r="BF78" s="165">
        <v>45074.944444444445</v>
      </c>
      <c r="BG78" s="165">
        <v>45074.944444444445</v>
      </c>
      <c r="BH78" s="165">
        <f t="shared" si="17"/>
        <v>45076.652777777781</v>
      </c>
      <c r="BI78" s="165">
        <v>45076.520833333336</v>
      </c>
      <c r="BJ78" s="165">
        <v>45076.6875</v>
      </c>
      <c r="BK78" s="165">
        <v>45076.677083333336</v>
      </c>
      <c r="BL78" s="165">
        <v>45077.909722222219</v>
      </c>
      <c r="BM78" s="165">
        <v>45080.270833333336</v>
      </c>
      <c r="BN78" s="165">
        <v>45080.625</v>
      </c>
      <c r="BO78" s="165">
        <v>45080.638888888891</v>
      </c>
      <c r="BP78" s="165">
        <v>45080.638888888891</v>
      </c>
      <c r="BQ78" s="165">
        <v>45080.947916666664</v>
      </c>
      <c r="BR78" s="126" t="s">
        <v>1541</v>
      </c>
      <c r="BT78" s="136">
        <f t="shared" si="25"/>
        <v>41.916666666744277</v>
      </c>
      <c r="BU78" s="136">
        <f t="shared" si="26"/>
        <v>5.3833333332440816</v>
      </c>
      <c r="BV78" s="136">
        <f t="shared" si="27"/>
        <v>41.000000000058208</v>
      </c>
      <c r="BW78" s="136">
        <f t="shared" si="28"/>
        <v>29.333333333255723</v>
      </c>
      <c r="BX78" s="135">
        <f t="shared" si="29"/>
        <v>8.4999999999417923</v>
      </c>
      <c r="BY78" s="135">
        <f t="shared" si="30"/>
        <v>7.4166666665696539</v>
      </c>
      <c r="BZ78" s="134">
        <f t="shared" si="31"/>
        <v>5.5645833333255723</v>
      </c>
      <c r="CA78" s="134">
        <f t="shared" si="32"/>
        <v>13.131944444445253</v>
      </c>
      <c r="CB78" s="133">
        <f t="shared" si="33"/>
        <v>0.42374405076617294</v>
      </c>
    </row>
    <row r="79" spans="1:80" s="126" customFormat="1">
      <c r="A79" s="192">
        <f t="shared" si="18"/>
        <v>45075.622916666667</v>
      </c>
      <c r="B79" s="126" t="s">
        <v>228</v>
      </c>
      <c r="C79" s="126" t="s">
        <v>229</v>
      </c>
      <c r="D79" s="126" t="s">
        <v>197</v>
      </c>
      <c r="E79" s="65" t="s">
        <v>1445</v>
      </c>
      <c r="G79" s="73">
        <v>45077.833333333336</v>
      </c>
      <c r="H79" s="73">
        <v>45077.804166666669</v>
      </c>
      <c r="I79" s="126" t="s">
        <v>243</v>
      </c>
      <c r="J79" s="126" t="s">
        <v>192</v>
      </c>
      <c r="K79" s="126" t="s">
        <v>192</v>
      </c>
      <c r="L79" s="126" t="s">
        <v>1542</v>
      </c>
      <c r="M79" s="167"/>
      <c r="N79" s="126" t="s">
        <v>1313</v>
      </c>
      <c r="O79" s="126" t="s">
        <v>438</v>
      </c>
      <c r="P79" s="126" t="s">
        <v>240</v>
      </c>
      <c r="Q79" s="181">
        <f>3136*2.4</f>
        <v>7526.4</v>
      </c>
      <c r="R79" s="181"/>
      <c r="S79" s="181">
        <v>7663.19</v>
      </c>
      <c r="T79" s="181"/>
      <c r="Y79" s="181">
        <f>S79</f>
        <v>7663.19</v>
      </c>
      <c r="AX79" s="165">
        <f t="shared" si="22"/>
        <v>45065.395833333336</v>
      </c>
      <c r="AY79" s="165">
        <f t="shared" si="23"/>
        <v>45082.506944444445</v>
      </c>
      <c r="AZ79" s="137">
        <f t="shared" si="24"/>
        <v>17.111111111109494</v>
      </c>
      <c r="BA79" s="165">
        <v>45065.395833333336</v>
      </c>
      <c r="BB79" s="165">
        <v>45069.565972222219</v>
      </c>
      <c r="BC79" s="165">
        <v>45071.875</v>
      </c>
      <c r="BD79" s="165">
        <v>45075.622916666667</v>
      </c>
      <c r="BE79" s="165">
        <v>45075.756944444445</v>
      </c>
      <c r="BF79" s="165">
        <v>45075.760416666664</v>
      </c>
      <c r="BG79" s="165">
        <v>45075.760416666664</v>
      </c>
      <c r="BH79" s="165">
        <f t="shared" si="17"/>
        <v>45077.46875</v>
      </c>
      <c r="BI79" s="165">
        <v>45077.520833333336</v>
      </c>
      <c r="BJ79" s="165">
        <v>45077.6875</v>
      </c>
      <c r="BK79" s="165">
        <v>45078.586805555555</v>
      </c>
      <c r="BL79" s="165">
        <v>45079.145833333336</v>
      </c>
      <c r="BM79" s="165">
        <v>45082.263888888891</v>
      </c>
      <c r="BN79" s="165">
        <v>45082.506944444445</v>
      </c>
      <c r="BO79" s="165">
        <v>45082.506944444445</v>
      </c>
      <c r="BP79" s="165">
        <v>45082.506944444445</v>
      </c>
      <c r="BQ79" s="165">
        <v>45082.506944444445</v>
      </c>
      <c r="BR79" s="126" t="s">
        <v>788</v>
      </c>
      <c r="BT79" s="136">
        <f t="shared" si="25"/>
        <v>55.416666666744277</v>
      </c>
      <c r="BU79" s="136">
        <f t="shared" si="26"/>
        <v>3.2166666666744277</v>
      </c>
      <c r="BV79" s="136">
        <f t="shared" si="27"/>
        <v>41.000000000058208</v>
      </c>
      <c r="BW79" s="136">
        <f t="shared" si="28"/>
        <v>35.000000000058208</v>
      </c>
      <c r="BX79" s="135">
        <f t="shared" si="29"/>
        <v>5.8333333333139308</v>
      </c>
      <c r="BY79" s="135">
        <f t="shared" si="30"/>
        <v>0</v>
      </c>
      <c r="BZ79" s="134">
        <f t="shared" si="31"/>
        <v>5.8527777777853771</v>
      </c>
      <c r="CA79" s="134">
        <f t="shared" si="32"/>
        <v>17.111111111109494</v>
      </c>
      <c r="CB79" s="133">
        <f t="shared" si="33"/>
        <v>0.34204545454593099</v>
      </c>
    </row>
    <row r="80" spans="1:80" s="126" customFormat="1">
      <c r="A80" s="192">
        <f t="shared" si="18"/>
        <v>45073.326388888891</v>
      </c>
      <c r="B80" s="126" t="s">
        <v>228</v>
      </c>
      <c r="C80" s="126" t="s">
        <v>229</v>
      </c>
      <c r="D80" s="126" t="s">
        <v>197</v>
      </c>
      <c r="E80" s="65" t="s">
        <v>1445</v>
      </c>
      <c r="G80" s="73">
        <v>45077.833333333336</v>
      </c>
      <c r="H80" s="73">
        <v>45077.804166666669</v>
      </c>
      <c r="I80" s="126" t="s">
        <v>243</v>
      </c>
      <c r="J80" s="126" t="s">
        <v>192</v>
      </c>
      <c r="K80" s="126" t="s">
        <v>192</v>
      </c>
      <c r="L80" s="126" t="s">
        <v>1543</v>
      </c>
      <c r="M80" s="167"/>
      <c r="N80" s="126" t="s">
        <v>346</v>
      </c>
      <c r="O80" s="126" t="s">
        <v>1544</v>
      </c>
      <c r="P80" s="126" t="s">
        <v>240</v>
      </c>
      <c r="Q80" s="181">
        <f>3136*2.4</f>
        <v>7526.4</v>
      </c>
      <c r="R80" s="181"/>
      <c r="S80" s="181">
        <v>7480.6559999999999</v>
      </c>
      <c r="T80" s="181"/>
      <c r="Y80" s="181">
        <f>S80</f>
        <v>7480.6559999999999</v>
      </c>
      <c r="AX80" s="165">
        <f t="shared" si="22"/>
        <v>45068.4375</v>
      </c>
      <c r="AY80" s="165">
        <f t="shared" si="23"/>
        <v>45082.625</v>
      </c>
      <c r="AZ80" s="137">
        <f t="shared" si="24"/>
        <v>14.1875</v>
      </c>
      <c r="BA80" s="165">
        <v>45068.4375</v>
      </c>
      <c r="BB80" s="165">
        <v>45069.819444444445</v>
      </c>
      <c r="BC80" s="165">
        <v>45072.003472222219</v>
      </c>
      <c r="BD80" s="165">
        <v>45073.326388888891</v>
      </c>
      <c r="BE80" s="165">
        <v>45073.482638888891</v>
      </c>
      <c r="BF80" s="165">
        <v>45073.489583333336</v>
      </c>
      <c r="BG80" s="165">
        <v>45074.083333333336</v>
      </c>
      <c r="BH80" s="165">
        <f t="shared" si="17"/>
        <v>45075.791666666672</v>
      </c>
      <c r="BI80" s="165">
        <v>45076.520833333336</v>
      </c>
      <c r="BJ80" s="165">
        <v>45076.6875</v>
      </c>
      <c r="BK80" s="165">
        <v>45076.642361111109</v>
      </c>
      <c r="BL80" s="165">
        <v>45078.25</v>
      </c>
      <c r="BM80" s="165">
        <v>45081.5625</v>
      </c>
      <c r="BN80" s="165">
        <v>45081.878472222219</v>
      </c>
      <c r="BO80" s="165">
        <v>45081.888888888891</v>
      </c>
      <c r="BP80" s="165">
        <v>45081.892361111109</v>
      </c>
      <c r="BQ80" s="165">
        <v>45082.625</v>
      </c>
      <c r="BT80" s="136">
        <f t="shared" si="25"/>
        <v>52.416666666569654</v>
      </c>
      <c r="BU80" s="136">
        <f t="shared" si="26"/>
        <v>3.75</v>
      </c>
      <c r="BV80" s="136">
        <f t="shared" si="27"/>
        <v>41.000000000058208</v>
      </c>
      <c r="BW80" s="136">
        <f t="shared" si="28"/>
        <v>37.5</v>
      </c>
      <c r="BX80" s="135">
        <f t="shared" si="29"/>
        <v>7.5833333332557231</v>
      </c>
      <c r="BY80" s="135">
        <f t="shared" si="30"/>
        <v>17.583333333372138</v>
      </c>
      <c r="BZ80" s="134">
        <f t="shared" si="31"/>
        <v>6.6597222222189885</v>
      </c>
      <c r="CA80" s="134">
        <f t="shared" si="32"/>
        <v>14.1875</v>
      </c>
      <c r="CB80" s="133">
        <f t="shared" si="33"/>
        <v>0.46940773372468642</v>
      </c>
    </row>
    <row r="81" spans="1:80" s="126" customFormat="1" ht="13.95" customHeight="1">
      <c r="A81" s="192">
        <f t="shared" si="18"/>
        <v>45073.510416666664</v>
      </c>
      <c r="B81" s="126" t="s">
        <v>228</v>
      </c>
      <c r="C81" s="126" t="s">
        <v>229</v>
      </c>
      <c r="D81" s="126" t="s">
        <v>197</v>
      </c>
      <c r="E81" s="65" t="s">
        <v>1445</v>
      </c>
      <c r="G81" s="73">
        <v>45077.833333333336</v>
      </c>
      <c r="H81" s="73">
        <v>45077.804166666669</v>
      </c>
      <c r="I81" s="126" t="s">
        <v>243</v>
      </c>
      <c r="J81" s="126" t="s">
        <v>192</v>
      </c>
      <c r="K81" s="126" t="s">
        <v>192</v>
      </c>
      <c r="L81" s="126" t="s">
        <v>1545</v>
      </c>
      <c r="M81" s="167"/>
      <c r="N81" s="126" t="s">
        <v>226</v>
      </c>
      <c r="O81" s="126" t="s">
        <v>227</v>
      </c>
      <c r="P81" s="126" t="s">
        <v>240</v>
      </c>
      <c r="Q81" s="181">
        <f>3100*2.4</f>
        <v>7440</v>
      </c>
      <c r="R81" s="181"/>
      <c r="S81" s="181">
        <v>7412.3190000000004</v>
      </c>
      <c r="T81" s="181"/>
      <c r="Y81" s="181">
        <f>S81</f>
        <v>7412.3190000000004</v>
      </c>
      <c r="AX81" s="165">
        <f t="shared" si="22"/>
        <v>45068.90625</v>
      </c>
      <c r="AY81" s="165">
        <f t="shared" si="23"/>
        <v>45081.322916666664</v>
      </c>
      <c r="AZ81" s="137">
        <f t="shared" si="24"/>
        <v>12.416666666664241</v>
      </c>
      <c r="BA81" s="165">
        <v>45068.90625</v>
      </c>
      <c r="BB81" s="165">
        <v>45070.541666666664</v>
      </c>
      <c r="BC81" s="165">
        <v>45072.354166666664</v>
      </c>
      <c r="BD81" s="165">
        <v>45073.510416666664</v>
      </c>
      <c r="BE81" s="165">
        <v>45073.680555555555</v>
      </c>
      <c r="BF81" s="165">
        <v>45073.684027777781</v>
      </c>
      <c r="BG81" s="165">
        <v>45073.684027777781</v>
      </c>
      <c r="BH81" s="165">
        <f t="shared" si="17"/>
        <v>45075.392361111117</v>
      </c>
      <c r="BI81" s="165">
        <v>45075.25</v>
      </c>
      <c r="BJ81" s="165">
        <v>45075.416666666664</v>
      </c>
      <c r="BK81" s="165">
        <v>45075.270833333336</v>
      </c>
      <c r="BL81" s="165">
        <v>45077.434027777781</v>
      </c>
      <c r="BM81" s="165">
        <v>45080.565972222219</v>
      </c>
      <c r="BN81" s="165">
        <v>45080.892361111109</v>
      </c>
      <c r="BO81" s="165">
        <v>45080.916666666664</v>
      </c>
      <c r="BP81" s="165">
        <v>45080.920138888891</v>
      </c>
      <c r="BQ81" s="165">
        <v>45081.322916666664</v>
      </c>
      <c r="BT81" s="136">
        <f t="shared" si="25"/>
        <v>43.5</v>
      </c>
      <c r="BU81" s="136">
        <f t="shared" si="26"/>
        <v>4.0833333333721384</v>
      </c>
      <c r="BV81" s="136">
        <f t="shared" si="27"/>
        <v>41.000000000058208</v>
      </c>
      <c r="BW81" s="136">
        <f t="shared" si="28"/>
        <v>48.416666666802485</v>
      </c>
      <c r="BX81" s="135">
        <f t="shared" si="29"/>
        <v>7.8333333333721384</v>
      </c>
      <c r="BY81" s="135">
        <f t="shared" si="30"/>
        <v>9.6666666665696539</v>
      </c>
      <c r="BZ81" s="134">
        <f t="shared" si="31"/>
        <v>6.437500000007276</v>
      </c>
      <c r="CA81" s="134">
        <f t="shared" si="32"/>
        <v>12.416666666664241</v>
      </c>
      <c r="CB81" s="133">
        <f t="shared" si="33"/>
        <v>0.51845637583961346</v>
      </c>
    </row>
    <row r="82" spans="1:80" s="126" customFormat="1">
      <c r="A82" s="192">
        <f t="shared" si="18"/>
        <v>45075.802083333336</v>
      </c>
      <c r="B82" s="126" t="s">
        <v>228</v>
      </c>
      <c r="C82" s="126" t="s">
        <v>229</v>
      </c>
      <c r="D82" s="126" t="s">
        <v>197</v>
      </c>
      <c r="E82" s="65" t="s">
        <v>1445</v>
      </c>
      <c r="G82" s="73">
        <v>45077.833333333336</v>
      </c>
      <c r="H82" s="73">
        <v>45077.804166666669</v>
      </c>
      <c r="I82" s="126" t="s">
        <v>243</v>
      </c>
      <c r="J82" s="126" t="s">
        <v>192</v>
      </c>
      <c r="K82" s="126" t="s">
        <v>192</v>
      </c>
      <c r="L82" s="126" t="s">
        <v>1546</v>
      </c>
      <c r="M82" s="167"/>
      <c r="N82" s="126" t="s">
        <v>349</v>
      </c>
      <c r="O82" s="126" t="s">
        <v>350</v>
      </c>
      <c r="P82" s="126" t="s">
        <v>240</v>
      </c>
      <c r="Q82" s="181">
        <f>3077*2.4</f>
        <v>7384.7999999999993</v>
      </c>
      <c r="R82" s="181"/>
      <c r="S82" s="181">
        <v>7435.04</v>
      </c>
      <c r="T82" s="181"/>
      <c r="Y82" s="181">
        <f>S82</f>
        <v>7435.04</v>
      </c>
      <c r="AX82" s="165">
        <f t="shared" si="22"/>
        <v>45070</v>
      </c>
      <c r="AY82" s="165">
        <f t="shared" si="23"/>
        <v>45084.375</v>
      </c>
      <c r="AZ82" s="137">
        <f t="shared" si="24"/>
        <v>14.375</v>
      </c>
      <c r="BA82" s="165">
        <v>45070</v>
      </c>
      <c r="BB82" s="165">
        <v>45070.545138888891</v>
      </c>
      <c r="BC82" s="165">
        <v>45072.583333333336</v>
      </c>
      <c r="BD82" s="165">
        <v>45075.802083333336</v>
      </c>
      <c r="BE82" s="165">
        <v>45075.951388888891</v>
      </c>
      <c r="BF82" s="165">
        <v>45075.958333333336</v>
      </c>
      <c r="BG82" s="165">
        <v>45076.291666666664</v>
      </c>
      <c r="BH82" s="165">
        <f t="shared" si="17"/>
        <v>45078</v>
      </c>
      <c r="BI82" s="165">
        <v>45078.583333333336</v>
      </c>
      <c r="BJ82" s="165">
        <v>45078.75</v>
      </c>
      <c r="BK82" s="165">
        <v>45078.684027777781</v>
      </c>
      <c r="BL82" s="165">
        <v>45080.145833333336</v>
      </c>
      <c r="BM82" s="165">
        <v>45083.21875</v>
      </c>
      <c r="BN82" s="165">
        <v>45083.559027777781</v>
      </c>
      <c r="BO82" s="165">
        <v>45083.670138888891</v>
      </c>
      <c r="BP82" s="165">
        <v>45083.958333333336</v>
      </c>
      <c r="BQ82" s="165">
        <v>45084.375</v>
      </c>
      <c r="BT82" s="136">
        <f t="shared" si="25"/>
        <v>48.916666666686069</v>
      </c>
      <c r="BU82" s="136">
        <f t="shared" si="26"/>
        <v>3.5833333333139308</v>
      </c>
      <c r="BV82" s="136">
        <f t="shared" si="27"/>
        <v>41.000000000058208</v>
      </c>
      <c r="BW82" s="136">
        <f t="shared" si="28"/>
        <v>33.500000000058208</v>
      </c>
      <c r="BX82" s="135">
        <f t="shared" si="29"/>
        <v>8.1666666667442769</v>
      </c>
      <c r="BY82" s="135">
        <f t="shared" si="30"/>
        <v>9.9999999999417923</v>
      </c>
      <c r="BZ82" s="134">
        <f t="shared" si="31"/>
        <v>6.0486111111167702</v>
      </c>
      <c r="CA82" s="134">
        <f t="shared" si="32"/>
        <v>14.375</v>
      </c>
      <c r="CB82" s="133">
        <f t="shared" si="33"/>
        <v>0.42077294686029704</v>
      </c>
    </row>
    <row r="83" spans="1:80" s="126" customFormat="1">
      <c r="A83" s="192">
        <f t="shared" si="18"/>
        <v>45075.25</v>
      </c>
      <c r="B83" s="126" t="s">
        <v>228</v>
      </c>
      <c r="C83" s="126" t="s">
        <v>229</v>
      </c>
      <c r="D83" s="126" t="s">
        <v>197</v>
      </c>
      <c r="E83" s="65" t="s">
        <v>1520</v>
      </c>
      <c r="G83" s="73">
        <v>45071.583333333336</v>
      </c>
      <c r="H83" s="73">
        <v>45071.583333333336</v>
      </c>
      <c r="I83" s="126" t="s">
        <v>231</v>
      </c>
      <c r="J83" s="126" t="s">
        <v>192</v>
      </c>
      <c r="K83" s="126" t="s">
        <v>192</v>
      </c>
      <c r="L83" s="126" t="s">
        <v>1547</v>
      </c>
      <c r="M83" s="167"/>
      <c r="N83" s="126" t="s">
        <v>284</v>
      </c>
      <c r="O83" s="126" t="s">
        <v>285</v>
      </c>
      <c r="P83" s="126" t="s">
        <v>235</v>
      </c>
      <c r="Q83" s="181">
        <f>3852*2.4</f>
        <v>9244.7999999999993</v>
      </c>
      <c r="R83" s="181"/>
      <c r="S83" s="181">
        <f>9105.541-1395.6</f>
        <v>7709.9409999999989</v>
      </c>
      <c r="T83" s="181"/>
      <c r="X83" s="181">
        <f>S83</f>
        <v>7709.9409999999989</v>
      </c>
      <c r="AX83" s="165">
        <f t="shared" si="22"/>
        <v>45069.395833333336</v>
      </c>
      <c r="AY83" s="165">
        <f t="shared" si="23"/>
        <v>45080.840277777781</v>
      </c>
      <c r="AZ83" s="137">
        <f t="shared" si="24"/>
        <v>11.444444444445253</v>
      </c>
      <c r="BA83" s="165">
        <v>45069.395833333336</v>
      </c>
      <c r="BB83" s="165">
        <v>45071.586805555555</v>
      </c>
      <c r="BC83" s="165">
        <v>45073.427083333336</v>
      </c>
      <c r="BD83" s="165">
        <v>45075.25</v>
      </c>
      <c r="BE83" s="165">
        <v>45075.59375</v>
      </c>
      <c r="BF83" s="165">
        <v>45075.600694444445</v>
      </c>
      <c r="BG83" s="165">
        <v>45075.600694444445</v>
      </c>
      <c r="BH83" s="165">
        <f t="shared" si="17"/>
        <v>45077.309027777781</v>
      </c>
      <c r="BI83" s="165">
        <v>45077.520833333336</v>
      </c>
      <c r="BJ83" s="165">
        <v>45077.6875</v>
      </c>
      <c r="BK83" s="165">
        <v>45077.590277777781</v>
      </c>
      <c r="BL83" s="165">
        <v>45079.215277777781</v>
      </c>
      <c r="BM83" s="165">
        <v>45080.298611111109</v>
      </c>
      <c r="BN83" s="165">
        <v>45080.791666666664</v>
      </c>
      <c r="BO83" s="165">
        <v>45080.840277777781</v>
      </c>
      <c r="BP83" s="165">
        <v>45080.840277777781</v>
      </c>
      <c r="BQ83" s="165">
        <v>45080.840277777781</v>
      </c>
      <c r="BT83" s="136">
        <f t="shared" si="25"/>
        <v>44.166666666744277</v>
      </c>
      <c r="BU83" s="136">
        <f t="shared" si="26"/>
        <v>8.25</v>
      </c>
      <c r="BV83" s="136">
        <f t="shared" si="27"/>
        <v>41.000000000058208</v>
      </c>
      <c r="BW83" s="136">
        <f t="shared" si="28"/>
        <v>36.666666666744277</v>
      </c>
      <c r="BX83" s="135">
        <f t="shared" si="29"/>
        <v>11.833333333313931</v>
      </c>
      <c r="BY83" s="135">
        <f t="shared" si="30"/>
        <v>0</v>
      </c>
      <c r="BZ83" s="134">
        <f t="shared" si="31"/>
        <v>5.9131944444525288</v>
      </c>
      <c r="CA83" s="134">
        <f t="shared" si="32"/>
        <v>11.444444444445253</v>
      </c>
      <c r="CB83" s="133">
        <f t="shared" si="33"/>
        <v>0.51668689320455341</v>
      </c>
    </row>
    <row r="84" spans="1:80">
      <c r="A84" s="119">
        <f t="shared" si="18"/>
        <v>45075.25</v>
      </c>
      <c r="B84" s="115" t="s">
        <v>228</v>
      </c>
      <c r="C84" s="115" t="s">
        <v>229</v>
      </c>
      <c r="D84" s="115" t="s">
        <v>197</v>
      </c>
      <c r="E84" s="77" t="s">
        <v>1548</v>
      </c>
      <c r="G84" s="299">
        <v>45078.958333333336</v>
      </c>
      <c r="H84" s="299">
        <v>45078.916666666664</v>
      </c>
      <c r="I84" s="115" t="s">
        <v>231</v>
      </c>
      <c r="J84" s="115" t="s">
        <v>192</v>
      </c>
      <c r="K84" s="115" t="s">
        <v>192</v>
      </c>
      <c r="L84" s="115" t="s">
        <v>1547</v>
      </c>
      <c r="N84" s="115" t="s">
        <v>284</v>
      </c>
      <c r="O84" s="115" t="s">
        <v>285</v>
      </c>
      <c r="P84" s="115" t="s">
        <v>235</v>
      </c>
      <c r="Q84" s="117">
        <f>3852*2.4</f>
        <v>9244.7999999999993</v>
      </c>
      <c r="S84" s="117">
        <v>549.94499999999994</v>
      </c>
      <c r="X84" s="117">
        <f>S84</f>
        <v>549.94499999999994</v>
      </c>
      <c r="AX84" s="251">
        <f t="shared" si="22"/>
        <v>45069.395833333336</v>
      </c>
      <c r="AY84" s="251">
        <f t="shared" si="23"/>
        <v>45086.423611111109</v>
      </c>
      <c r="AZ84" s="300">
        <f t="shared" si="24"/>
        <v>17.027777777773736</v>
      </c>
      <c r="BA84" s="251">
        <v>45069.395833333336</v>
      </c>
      <c r="BB84" s="251">
        <v>45071.586805555555</v>
      </c>
      <c r="BC84" s="251">
        <v>45073.427083333336</v>
      </c>
      <c r="BD84" s="251">
        <v>45075.25</v>
      </c>
      <c r="BE84" s="251">
        <v>45075.59375</v>
      </c>
      <c r="BF84" s="251">
        <v>45075.600694444445</v>
      </c>
      <c r="BG84" s="251">
        <v>45075.600694444445</v>
      </c>
      <c r="BH84" s="251">
        <f t="shared" si="17"/>
        <v>45077.309027777781</v>
      </c>
      <c r="BI84" s="251">
        <v>45077.520833333336</v>
      </c>
      <c r="BJ84" s="251">
        <v>45077.6875</v>
      </c>
      <c r="BK84" s="251">
        <v>45077.590277777781</v>
      </c>
      <c r="BL84" s="251">
        <v>45080.840277777781</v>
      </c>
      <c r="BM84" s="251">
        <v>45085.875</v>
      </c>
      <c r="BN84" s="251">
        <v>45085.892361111109</v>
      </c>
      <c r="BO84" s="251">
        <v>45085.90625</v>
      </c>
      <c r="BP84" s="251">
        <v>45086.1875</v>
      </c>
      <c r="BQ84" s="251">
        <v>45086.423611111109</v>
      </c>
      <c r="BR84" s="115"/>
      <c r="BS84" s="115"/>
      <c r="BT84" s="302">
        <f t="shared" si="25"/>
        <v>44.166666666744277</v>
      </c>
      <c r="BU84" s="302">
        <f t="shared" si="26"/>
        <v>8.25</v>
      </c>
      <c r="BV84" s="302">
        <f t="shared" si="27"/>
        <v>41.000000000058208</v>
      </c>
      <c r="BW84" s="302">
        <f t="shared" si="28"/>
        <v>75.666666666744277</v>
      </c>
      <c r="BX84" s="303">
        <f t="shared" si="29"/>
        <v>0.41666666662786156</v>
      </c>
      <c r="BY84" s="303">
        <f t="shared" si="30"/>
        <v>5.6666666666278616</v>
      </c>
      <c r="BZ84" s="304">
        <f t="shared" si="31"/>
        <v>7.2986111111167702</v>
      </c>
      <c r="CA84" s="304">
        <f t="shared" si="32"/>
        <v>17.027777777773736</v>
      </c>
      <c r="CB84" s="305">
        <f t="shared" si="33"/>
        <v>0.42862969004937373</v>
      </c>
    </row>
    <row r="85" spans="1:80" s="126" customFormat="1">
      <c r="A85" s="192">
        <f t="shared" si="18"/>
        <v>45076.201388888891</v>
      </c>
      <c r="B85" s="126" t="s">
        <v>228</v>
      </c>
      <c r="C85" s="126" t="s">
        <v>229</v>
      </c>
      <c r="D85" s="126" t="s">
        <v>215</v>
      </c>
      <c r="E85" s="65" t="s">
        <v>1445</v>
      </c>
      <c r="G85" s="73">
        <v>45077.833333333336</v>
      </c>
      <c r="H85" s="73">
        <v>45077.804166666669</v>
      </c>
      <c r="I85" s="126" t="s">
        <v>243</v>
      </c>
      <c r="J85" s="126" t="s">
        <v>192</v>
      </c>
      <c r="K85" s="126" t="s">
        <v>192</v>
      </c>
      <c r="L85" s="126" t="s">
        <v>1549</v>
      </c>
      <c r="M85" s="167"/>
      <c r="N85" s="126" t="s">
        <v>271</v>
      </c>
      <c r="O85" s="126" t="s">
        <v>272</v>
      </c>
      <c r="P85" s="126" t="s">
        <v>240</v>
      </c>
      <c r="Q85" s="181">
        <f>3852*2.4</f>
        <v>9244.7999999999993</v>
      </c>
      <c r="R85" s="181"/>
      <c r="S85" s="181">
        <v>9398.19</v>
      </c>
      <c r="T85" s="181"/>
      <c r="Y85" s="181">
        <f>S85</f>
        <v>9398.19</v>
      </c>
      <c r="AX85" s="165">
        <f t="shared" si="22"/>
        <v>45068.010416666664</v>
      </c>
      <c r="AY85" s="165">
        <f t="shared" si="23"/>
        <v>45084.368055555555</v>
      </c>
      <c r="AZ85" s="137">
        <f t="shared" si="24"/>
        <v>16.357638888890506</v>
      </c>
      <c r="BA85" s="165">
        <v>45068.010416666664</v>
      </c>
      <c r="BB85" s="165">
        <v>45072.606944444444</v>
      </c>
      <c r="BC85" s="165">
        <v>45074.440972222219</v>
      </c>
      <c r="BD85" s="165">
        <v>45076.201388888891</v>
      </c>
      <c r="BE85" s="165">
        <v>45076.423611111109</v>
      </c>
      <c r="BF85" s="165">
        <v>45076.430555555555</v>
      </c>
      <c r="BG85" s="165">
        <v>45076.430555555555</v>
      </c>
      <c r="BH85" s="165">
        <f t="shared" si="17"/>
        <v>45078.138888888891</v>
      </c>
      <c r="BI85" s="165">
        <v>45078.583333333336</v>
      </c>
      <c r="BJ85" s="165">
        <v>45078.75</v>
      </c>
      <c r="BK85" s="165">
        <v>45078.572916666664</v>
      </c>
      <c r="BL85" s="165">
        <v>45080.09375</v>
      </c>
      <c r="BM85" s="165">
        <v>45083.649305555555</v>
      </c>
      <c r="BN85" s="165">
        <v>45083.927083333336</v>
      </c>
      <c r="BO85" s="165">
        <v>45083.944444444445</v>
      </c>
      <c r="BP85" s="165">
        <v>45083.947916666664</v>
      </c>
      <c r="BQ85" s="165">
        <v>45084.368055555555</v>
      </c>
      <c r="BT85" s="136">
        <f t="shared" si="25"/>
        <v>44.016666666604578</v>
      </c>
      <c r="BU85" s="136">
        <f t="shared" si="26"/>
        <v>5.3333333332557231</v>
      </c>
      <c r="BV85" s="136">
        <f t="shared" si="27"/>
        <v>41.000000000058208</v>
      </c>
      <c r="BW85" s="136">
        <f t="shared" si="28"/>
        <v>32.25</v>
      </c>
      <c r="BX85" s="135">
        <f t="shared" si="29"/>
        <v>6.6666666667442769</v>
      </c>
      <c r="BY85" s="135">
        <f t="shared" si="30"/>
        <v>10.083333333372138</v>
      </c>
      <c r="BZ85" s="134">
        <f t="shared" si="31"/>
        <v>5.8062500000014552</v>
      </c>
      <c r="CA85" s="134">
        <f t="shared" si="32"/>
        <v>16.357638888890506</v>
      </c>
      <c r="CB85" s="133">
        <f t="shared" si="33"/>
        <v>0.35495648482280912</v>
      </c>
    </row>
    <row r="86" spans="1:80" s="126" customFormat="1">
      <c r="A86" s="192">
        <f t="shared" si="18"/>
        <v>45065.329861111109</v>
      </c>
      <c r="B86" s="126" t="s">
        <v>228</v>
      </c>
      <c r="C86" s="126" t="s">
        <v>229</v>
      </c>
      <c r="D86" s="126" t="s">
        <v>197</v>
      </c>
      <c r="E86" s="65" t="s">
        <v>971</v>
      </c>
      <c r="G86" s="165">
        <v>45067.741666666669</v>
      </c>
      <c r="H86" s="165">
        <v>45067.741666666669</v>
      </c>
      <c r="I86" s="126" t="s">
        <v>1550</v>
      </c>
      <c r="J86" s="126" t="s">
        <v>192</v>
      </c>
      <c r="K86" s="126" t="s">
        <v>192</v>
      </c>
      <c r="L86" s="126" t="s">
        <v>1551</v>
      </c>
      <c r="M86" s="167"/>
      <c r="N86" s="126" t="s">
        <v>260</v>
      </c>
      <c r="O86" s="126" t="s">
        <v>261</v>
      </c>
      <c r="P86" s="126" t="s">
        <v>173</v>
      </c>
      <c r="Q86" s="181">
        <f>3107*2.4</f>
        <v>7456.7999999999993</v>
      </c>
      <c r="R86" s="181"/>
      <c r="S86" s="181">
        <v>7638.6120000000001</v>
      </c>
      <c r="T86" s="181"/>
      <c r="AA86" s="181">
        <f>S86</f>
        <v>7638.6120000000001</v>
      </c>
      <c r="AX86" s="165">
        <f t="shared" si="22"/>
        <v>45060.368055555555</v>
      </c>
      <c r="AY86" s="165">
        <f t="shared" si="23"/>
        <v>45071.090277777781</v>
      </c>
      <c r="AZ86" s="137">
        <f t="shared" si="24"/>
        <v>10.722222222226264</v>
      </c>
      <c r="BA86" s="165">
        <v>45060.368055555555</v>
      </c>
      <c r="BB86" s="165">
        <v>45061.850694444445</v>
      </c>
      <c r="BC86" s="165">
        <v>45063.892361111109</v>
      </c>
      <c r="BD86" s="165">
        <v>45065.329861111109</v>
      </c>
      <c r="BE86" s="165">
        <v>45065.486111111109</v>
      </c>
      <c r="BF86" s="165">
        <v>45065.496527777781</v>
      </c>
      <c r="BG86" s="165">
        <v>45065.496527777781</v>
      </c>
      <c r="BH86" s="165">
        <f t="shared" si="17"/>
        <v>45067.204861111117</v>
      </c>
      <c r="BI86" s="165">
        <v>45067.25</v>
      </c>
      <c r="BJ86" s="165">
        <v>45067.416666666664</v>
      </c>
      <c r="BK86" s="165">
        <v>45067.302083333336</v>
      </c>
      <c r="BL86" s="165">
        <v>45068.822916666664</v>
      </c>
      <c r="BM86" s="165">
        <v>45070.211805555555</v>
      </c>
      <c r="BN86" s="165">
        <v>45070.569444444445</v>
      </c>
      <c r="BO86" s="165">
        <v>45070.579861111109</v>
      </c>
      <c r="BP86" s="165">
        <v>45070.583333333336</v>
      </c>
      <c r="BQ86" s="165">
        <v>45071.090277777781</v>
      </c>
      <c r="BT86" s="136">
        <f t="shared" si="25"/>
        <v>48.999999999941792</v>
      </c>
      <c r="BU86" s="136">
        <f t="shared" si="26"/>
        <v>3.75</v>
      </c>
      <c r="BV86" s="136">
        <f t="shared" si="27"/>
        <v>41.000000000058208</v>
      </c>
      <c r="BW86" s="136">
        <f t="shared" si="28"/>
        <v>33.75</v>
      </c>
      <c r="BX86" s="135">
        <f t="shared" si="29"/>
        <v>8.5833333333721384</v>
      </c>
      <c r="BY86" s="135">
        <f t="shared" si="30"/>
        <v>12.166666666686069</v>
      </c>
      <c r="BZ86" s="134">
        <f t="shared" si="31"/>
        <v>6.1770833333357587</v>
      </c>
      <c r="CA86" s="134">
        <f t="shared" si="32"/>
        <v>10.722222222226264</v>
      </c>
      <c r="CB86" s="133">
        <f t="shared" si="33"/>
        <v>0.57610103626943909</v>
      </c>
    </row>
    <row r="87" spans="1:80" s="126" customFormat="1">
      <c r="A87" s="192">
        <f t="shared" si="18"/>
        <v>45065.517361111109</v>
      </c>
      <c r="B87" s="126" t="s">
        <v>228</v>
      </c>
      <c r="C87" s="126" t="s">
        <v>229</v>
      </c>
      <c r="D87" s="126" t="s">
        <v>215</v>
      </c>
      <c r="E87" s="65" t="s">
        <v>1552</v>
      </c>
      <c r="G87" s="165">
        <v>45067.35833333333</v>
      </c>
      <c r="H87" s="165">
        <v>45067.35833333333</v>
      </c>
      <c r="I87" s="126" t="s">
        <v>1550</v>
      </c>
      <c r="J87" s="126" t="s">
        <v>192</v>
      </c>
      <c r="K87" s="126" t="s">
        <v>192</v>
      </c>
      <c r="L87" s="126" t="s">
        <v>1553</v>
      </c>
      <c r="M87" s="167"/>
      <c r="N87" s="126" t="s">
        <v>399</v>
      </c>
      <c r="O87" s="126" t="s">
        <v>1093</v>
      </c>
      <c r="P87" s="126" t="s">
        <v>173</v>
      </c>
      <c r="Q87" s="181">
        <f>3136*2.4</f>
        <v>7526.4</v>
      </c>
      <c r="R87" s="181"/>
      <c r="S87" s="181">
        <v>7578.6130000000003</v>
      </c>
      <c r="T87" s="181"/>
      <c r="AA87" s="181">
        <f>S87</f>
        <v>7578.6130000000003</v>
      </c>
      <c r="AX87" s="165">
        <f t="shared" si="22"/>
        <v>45060.833333333336</v>
      </c>
      <c r="AY87" s="165">
        <f t="shared" si="23"/>
        <v>45075.458333333336</v>
      </c>
      <c r="AZ87" s="137">
        <f t="shared" si="24"/>
        <v>14.625</v>
      </c>
      <c r="BA87" s="165">
        <v>45060.833333333336</v>
      </c>
      <c r="BB87" s="165">
        <v>45062.378472222219</v>
      </c>
      <c r="BC87" s="165">
        <v>45064.791666666664</v>
      </c>
      <c r="BD87" s="165">
        <v>45065.517361111109</v>
      </c>
      <c r="BE87" s="165">
        <v>45065.704861111109</v>
      </c>
      <c r="BF87" s="165">
        <v>45065.711805555555</v>
      </c>
      <c r="BG87" s="165">
        <v>45066.25</v>
      </c>
      <c r="BH87" s="165">
        <f t="shared" si="17"/>
        <v>45067.958333333336</v>
      </c>
      <c r="BI87" s="165">
        <v>45068.25</v>
      </c>
      <c r="BJ87" s="165">
        <v>45068.416666666664</v>
      </c>
      <c r="BK87" s="165">
        <v>45068.378472222219</v>
      </c>
      <c r="BL87" s="165">
        <v>45069.979166666664</v>
      </c>
      <c r="BM87" s="165">
        <v>45074.579861111109</v>
      </c>
      <c r="BN87" s="165">
        <v>45074.826388888891</v>
      </c>
      <c r="BO87" s="165">
        <v>45074.836805555555</v>
      </c>
      <c r="BP87" s="165">
        <v>45074.958333333336</v>
      </c>
      <c r="BQ87" s="165">
        <v>45075.458333333336</v>
      </c>
      <c r="BT87" s="136">
        <f t="shared" si="25"/>
        <v>57.916666666686069</v>
      </c>
      <c r="BU87" s="136">
        <f t="shared" si="26"/>
        <v>4.5</v>
      </c>
      <c r="BV87" s="136">
        <f t="shared" si="27"/>
        <v>41.000000000058208</v>
      </c>
      <c r="BW87" s="136">
        <f t="shared" si="28"/>
        <v>37.5</v>
      </c>
      <c r="BX87" s="135">
        <f t="shared" si="29"/>
        <v>5.9166666667442769</v>
      </c>
      <c r="BY87" s="135">
        <f t="shared" si="30"/>
        <v>12</v>
      </c>
      <c r="BZ87" s="134">
        <f t="shared" si="31"/>
        <v>6.6180555555620231</v>
      </c>
      <c r="CA87" s="134">
        <f t="shared" si="32"/>
        <v>14.625</v>
      </c>
      <c r="CB87" s="133">
        <f t="shared" si="33"/>
        <v>0.4525166191837281</v>
      </c>
    </row>
    <row r="88" spans="1:80" s="126" customFormat="1">
      <c r="A88" s="192">
        <f t="shared" si="18"/>
        <v>45066.604166666664</v>
      </c>
      <c r="B88" s="126" t="s">
        <v>228</v>
      </c>
      <c r="C88" s="126" t="s">
        <v>229</v>
      </c>
      <c r="D88" s="126" t="s">
        <v>197</v>
      </c>
      <c r="E88" s="65" t="s">
        <v>1515</v>
      </c>
      <c r="G88" s="73">
        <v>45069.666666666664</v>
      </c>
      <c r="H88" s="73">
        <v>45069.708333333336</v>
      </c>
      <c r="I88" s="126" t="s">
        <v>1031</v>
      </c>
      <c r="J88" s="126" t="s">
        <v>192</v>
      </c>
      <c r="K88" s="126" t="s">
        <v>192</v>
      </c>
      <c r="L88" s="126" t="s">
        <v>1554</v>
      </c>
      <c r="M88" s="167"/>
      <c r="N88" s="126" t="s">
        <v>213</v>
      </c>
      <c r="O88" s="126" t="s">
        <v>214</v>
      </c>
      <c r="P88" s="126" t="s">
        <v>173</v>
      </c>
      <c r="Q88" s="181">
        <f>3113*2.4</f>
        <v>7471.2</v>
      </c>
      <c r="R88" s="181"/>
      <c r="S88" s="181">
        <v>7503.3360000000002</v>
      </c>
      <c r="T88" s="181"/>
      <c r="AA88" s="181">
        <f>S88</f>
        <v>7503.3360000000002</v>
      </c>
      <c r="AX88" s="165">
        <f t="shared" si="22"/>
        <v>45060.6875</v>
      </c>
      <c r="AY88" s="165">
        <f t="shared" si="23"/>
        <v>45072.5</v>
      </c>
      <c r="AZ88" s="137">
        <f t="shared" si="24"/>
        <v>11.8125</v>
      </c>
      <c r="BA88" s="165">
        <v>45060.6875</v>
      </c>
      <c r="BB88" s="165">
        <v>45062.277777777781</v>
      </c>
      <c r="BC88" s="165">
        <v>45064.291666666664</v>
      </c>
      <c r="BD88" s="165">
        <v>45066.604166666664</v>
      </c>
      <c r="BE88" s="165">
        <v>45066.875</v>
      </c>
      <c r="BF88" s="165">
        <v>45066.878472222219</v>
      </c>
      <c r="BG88" s="165">
        <v>45066.878472222219</v>
      </c>
      <c r="BH88" s="165">
        <f t="shared" si="17"/>
        <v>45068.586805555555</v>
      </c>
      <c r="BI88" s="165">
        <v>45069.25</v>
      </c>
      <c r="BJ88" s="165">
        <v>45069.416666666664</v>
      </c>
      <c r="BK88" s="165">
        <v>45069.357638888891</v>
      </c>
      <c r="BL88" s="165">
        <v>45070.375</v>
      </c>
      <c r="BM88" s="165">
        <v>45071.8125</v>
      </c>
      <c r="BN88" s="165">
        <v>45072.166666666664</v>
      </c>
      <c r="BO88" s="165">
        <v>45072.1875</v>
      </c>
      <c r="BP88" s="165">
        <v>45072.298611111109</v>
      </c>
      <c r="BQ88" s="165">
        <v>45072.5</v>
      </c>
      <c r="BT88" s="136">
        <f t="shared" si="25"/>
        <v>48.333333333197515</v>
      </c>
      <c r="BU88" s="136">
        <f t="shared" si="26"/>
        <v>6.5000000000582077</v>
      </c>
      <c r="BV88" s="136">
        <f t="shared" si="27"/>
        <v>41.000000000058208</v>
      </c>
      <c r="BW88" s="136">
        <f t="shared" si="28"/>
        <v>23.000000000058208</v>
      </c>
      <c r="BX88" s="135">
        <f t="shared" si="29"/>
        <v>8.4999999999417923</v>
      </c>
      <c r="BY88" s="135">
        <f t="shared" si="30"/>
        <v>4.8333333333721384</v>
      </c>
      <c r="BZ88" s="134">
        <f t="shared" si="31"/>
        <v>5.5069444444452529</v>
      </c>
      <c r="CA88" s="134">
        <f t="shared" si="32"/>
        <v>11.8125</v>
      </c>
      <c r="CB88" s="133">
        <f t="shared" si="33"/>
        <v>0.46619635508531243</v>
      </c>
    </row>
    <row r="89" spans="1:80" s="126" customFormat="1">
      <c r="A89" s="192">
        <f t="shared" si="18"/>
        <v>45051.611111111109</v>
      </c>
      <c r="B89" s="126" t="s">
        <v>188</v>
      </c>
      <c r="C89" s="126" t="s">
        <v>81</v>
      </c>
      <c r="D89" s="126" t="s">
        <v>197</v>
      </c>
      <c r="E89" s="65" t="s">
        <v>1465</v>
      </c>
      <c r="G89" s="73">
        <v>45047.666666666664</v>
      </c>
      <c r="H89" s="73">
        <v>45047.708333333336</v>
      </c>
      <c r="I89" s="126" t="s">
        <v>439</v>
      </c>
      <c r="J89" s="126" t="s">
        <v>192</v>
      </c>
      <c r="K89" s="126" t="s">
        <v>192</v>
      </c>
      <c r="L89" s="126" t="s">
        <v>1555</v>
      </c>
      <c r="M89" s="167"/>
      <c r="N89" s="126" t="s">
        <v>1307</v>
      </c>
      <c r="O89" s="126" t="s">
        <v>1308</v>
      </c>
      <c r="P89" s="126" t="s">
        <v>81</v>
      </c>
      <c r="Q89" s="181">
        <v>5500</v>
      </c>
      <c r="R89" s="181"/>
      <c r="S89" s="181">
        <v>5285</v>
      </c>
      <c r="T89" s="181"/>
      <c r="AI89" s="181">
        <f t="shared" ref="AI89:AI95" si="34">S89</f>
        <v>5285</v>
      </c>
      <c r="AX89" s="165">
        <f t="shared" si="22"/>
        <v>45045.583333333336</v>
      </c>
      <c r="AY89" s="165">
        <f t="shared" si="23"/>
        <v>45060.625</v>
      </c>
      <c r="AZ89" s="137">
        <f t="shared" si="24"/>
        <v>15.041666666664241</v>
      </c>
      <c r="BA89" s="165">
        <v>45045.583333333336</v>
      </c>
      <c r="BB89" s="165">
        <v>45051.208333333336</v>
      </c>
      <c r="BC89" s="165">
        <v>45051.395833333336</v>
      </c>
      <c r="BD89" s="165">
        <v>45051.611111111109</v>
      </c>
      <c r="BE89" s="165">
        <v>45052.46875</v>
      </c>
      <c r="BF89" s="165">
        <v>45052.538194444445</v>
      </c>
      <c r="BG89" s="165">
        <v>45053.052083333336</v>
      </c>
      <c r="BH89" s="165">
        <v>45053.052083333336</v>
      </c>
      <c r="BI89" s="166" t="s">
        <v>196</v>
      </c>
      <c r="BJ89" s="166" t="s">
        <v>196</v>
      </c>
      <c r="BK89" s="166" t="s">
        <v>196</v>
      </c>
      <c r="BL89" s="165">
        <v>45054.190972222219</v>
      </c>
      <c r="BM89" s="165">
        <v>45059.152777777781</v>
      </c>
      <c r="BN89" s="165">
        <v>45059.965277777781</v>
      </c>
      <c r="BO89" s="165">
        <v>45059.986111111109</v>
      </c>
      <c r="BP89" s="165">
        <v>45059.986111111109</v>
      </c>
      <c r="BQ89" s="165">
        <v>45060.625</v>
      </c>
      <c r="BT89" s="136">
        <f t="shared" si="25"/>
        <v>4.5</v>
      </c>
      <c r="BU89" s="136">
        <f t="shared" si="26"/>
        <v>20.583333333372138</v>
      </c>
      <c r="BV89" s="136">
        <f t="shared" si="27"/>
        <v>0</v>
      </c>
      <c r="BW89" s="136">
        <f t="shared" ref="BW89:BW117" si="35">(BL89-BH89)*24</f>
        <v>27.333333333197515</v>
      </c>
      <c r="BX89" s="135">
        <f t="shared" si="29"/>
        <v>19.5</v>
      </c>
      <c r="BY89" s="135">
        <f t="shared" si="30"/>
        <v>15.333333333372138</v>
      </c>
      <c r="BZ89" s="134">
        <f t="shared" si="31"/>
        <v>3.6354166666642413</v>
      </c>
      <c r="CA89" s="134">
        <f t="shared" si="32"/>
        <v>15.041666666664241</v>
      </c>
      <c r="CB89" s="133">
        <f t="shared" si="33"/>
        <v>0.24168975069239851</v>
      </c>
    </row>
    <row r="90" spans="1:80" s="126" customFormat="1">
      <c r="A90" s="192">
        <f t="shared" si="18"/>
        <v>45056.659722222219</v>
      </c>
      <c r="B90" s="126" t="s">
        <v>188</v>
      </c>
      <c r="C90" s="126" t="s">
        <v>81</v>
      </c>
      <c r="D90" s="126" t="s">
        <v>197</v>
      </c>
      <c r="E90" s="65" t="s">
        <v>1441</v>
      </c>
      <c r="G90" s="165">
        <v>45061.208333333336</v>
      </c>
      <c r="H90" s="165">
        <v>45061.208333333336</v>
      </c>
      <c r="I90" s="126" t="s">
        <v>443</v>
      </c>
      <c r="J90" s="126" t="s">
        <v>192</v>
      </c>
      <c r="K90" s="126" t="s">
        <v>192</v>
      </c>
      <c r="L90" s="126" t="s">
        <v>1556</v>
      </c>
      <c r="M90" s="167"/>
      <c r="N90" s="126" t="s">
        <v>383</v>
      </c>
      <c r="O90" s="126" t="s">
        <v>384</v>
      </c>
      <c r="P90" s="126" t="s">
        <v>81</v>
      </c>
      <c r="Q90" s="181">
        <v>5500</v>
      </c>
      <c r="R90" s="181"/>
      <c r="S90" s="181">
        <v>5111</v>
      </c>
      <c r="T90" s="181"/>
      <c r="AI90" s="181">
        <f t="shared" si="34"/>
        <v>5111</v>
      </c>
      <c r="AX90" s="165">
        <f t="shared" si="22"/>
        <v>45045.763888888891</v>
      </c>
      <c r="AY90" s="165">
        <f t="shared" si="23"/>
        <v>45061.916666666664</v>
      </c>
      <c r="AZ90" s="137">
        <f t="shared" si="24"/>
        <v>16.152777777773736</v>
      </c>
      <c r="BA90" s="165">
        <v>45045.763888888891</v>
      </c>
      <c r="BB90" s="165">
        <v>45056.354166666664</v>
      </c>
      <c r="BC90" s="165">
        <v>45056.621527777781</v>
      </c>
      <c r="BD90" s="165">
        <v>45056.659722222219</v>
      </c>
      <c r="BE90" s="165">
        <v>45057.392361111109</v>
      </c>
      <c r="BF90" s="165">
        <v>45057.440972222219</v>
      </c>
      <c r="BG90" s="165">
        <v>45059.208333333336</v>
      </c>
      <c r="BH90" s="165">
        <v>45059.208333333336</v>
      </c>
      <c r="BI90" s="166" t="s">
        <v>196</v>
      </c>
      <c r="BJ90" s="166" t="s">
        <v>196</v>
      </c>
      <c r="BK90" s="166" t="s">
        <v>196</v>
      </c>
      <c r="BL90" s="165">
        <v>45060.576388888891</v>
      </c>
      <c r="BM90" s="165">
        <v>45060.895833333336</v>
      </c>
      <c r="BN90" s="165">
        <v>45061.114583333336</v>
      </c>
      <c r="BO90" s="165">
        <v>45061.149305555555</v>
      </c>
      <c r="BP90" s="165">
        <v>45061.388888888891</v>
      </c>
      <c r="BQ90" s="165">
        <v>45061.916666666664</v>
      </c>
      <c r="BT90" s="136">
        <f t="shared" si="25"/>
        <v>6.4166666668024845</v>
      </c>
      <c r="BU90" s="136">
        <f t="shared" si="26"/>
        <v>17.583333333372138</v>
      </c>
      <c r="BV90" s="136">
        <f t="shared" si="27"/>
        <v>0</v>
      </c>
      <c r="BW90" s="136">
        <f t="shared" si="35"/>
        <v>32.833333333313931</v>
      </c>
      <c r="BX90" s="135">
        <f t="shared" si="29"/>
        <v>5.25</v>
      </c>
      <c r="BY90" s="135">
        <f t="shared" si="30"/>
        <v>12.666666666569654</v>
      </c>
      <c r="BZ90" s="134">
        <f t="shared" si="31"/>
        <v>3.1145833333357587</v>
      </c>
      <c r="CA90" s="134">
        <f t="shared" si="32"/>
        <v>16.152777777773736</v>
      </c>
      <c r="CB90" s="133">
        <f t="shared" si="33"/>
        <v>0.19282029234757586</v>
      </c>
    </row>
    <row r="91" spans="1:80" s="126" customFormat="1">
      <c r="A91" s="192">
        <f t="shared" si="18"/>
        <v>45059.850694444445</v>
      </c>
      <c r="B91" s="126" t="s">
        <v>188</v>
      </c>
      <c r="C91" s="126" t="s">
        <v>81</v>
      </c>
      <c r="D91" s="126" t="s">
        <v>197</v>
      </c>
      <c r="E91" s="126" t="s">
        <v>1557</v>
      </c>
      <c r="G91" s="165">
        <v>45067.17083333333</v>
      </c>
      <c r="H91" s="165">
        <v>45067.17083333333</v>
      </c>
      <c r="I91" s="126" t="s">
        <v>443</v>
      </c>
      <c r="J91" s="126" t="s">
        <v>192</v>
      </c>
      <c r="K91" s="126" t="s">
        <v>192</v>
      </c>
      <c r="L91" s="126" t="s">
        <v>1558</v>
      </c>
      <c r="M91" s="167"/>
      <c r="N91" s="126" t="s">
        <v>1303</v>
      </c>
      <c r="O91" s="126" t="s">
        <v>1304</v>
      </c>
      <c r="P91" s="126" t="s">
        <v>81</v>
      </c>
      <c r="Q91" s="181">
        <v>5500</v>
      </c>
      <c r="R91" s="181"/>
      <c r="S91" s="181">
        <v>5137</v>
      </c>
      <c r="T91" s="181"/>
      <c r="AI91" s="181">
        <f t="shared" si="34"/>
        <v>5137</v>
      </c>
      <c r="AX91" s="165">
        <f t="shared" si="22"/>
        <v>45050.4375</v>
      </c>
      <c r="AY91" s="165">
        <f t="shared" si="23"/>
        <v>45065.260416666664</v>
      </c>
      <c r="AZ91" s="137">
        <f t="shared" si="24"/>
        <v>14.822916666664241</v>
      </c>
      <c r="BA91" s="165">
        <v>45050.4375</v>
      </c>
      <c r="BB91" s="165">
        <v>45059.395833333336</v>
      </c>
      <c r="BC91" s="165">
        <v>45059.6875</v>
      </c>
      <c r="BD91" s="165">
        <v>45059.850694444445</v>
      </c>
      <c r="BE91" s="165">
        <v>45060.482638888891</v>
      </c>
      <c r="BF91" s="165">
        <v>45060.572916666664</v>
      </c>
      <c r="BG91" s="165">
        <v>45061.986111111109</v>
      </c>
      <c r="BH91" s="165">
        <v>45061.986111111109</v>
      </c>
      <c r="BI91" s="166" t="s">
        <v>196</v>
      </c>
      <c r="BJ91" s="166" t="s">
        <v>196</v>
      </c>
      <c r="BK91" s="166" t="s">
        <v>196</v>
      </c>
      <c r="BL91" s="165">
        <v>45063.444444444445</v>
      </c>
      <c r="BM91" s="165">
        <v>45065.03125</v>
      </c>
      <c r="BN91" s="165">
        <v>45065.232638888891</v>
      </c>
      <c r="BO91" s="165">
        <v>45065.260416666664</v>
      </c>
      <c r="BP91" s="165">
        <v>45065.260416666664</v>
      </c>
      <c r="BQ91" s="165">
        <v>45065.260416666664</v>
      </c>
      <c r="BR91" s="126" t="s">
        <v>1559</v>
      </c>
      <c r="BT91" s="136">
        <f t="shared" si="25"/>
        <v>6.9999999999417923</v>
      </c>
      <c r="BU91" s="136">
        <f t="shared" si="26"/>
        <v>15.166666666686069</v>
      </c>
      <c r="BV91" s="136">
        <f t="shared" si="27"/>
        <v>0</v>
      </c>
      <c r="BW91" s="136">
        <f t="shared" si="35"/>
        <v>35.000000000058208</v>
      </c>
      <c r="BX91" s="135">
        <f t="shared" si="29"/>
        <v>4.8333333333721384</v>
      </c>
      <c r="BY91" s="135">
        <f t="shared" si="30"/>
        <v>0</v>
      </c>
      <c r="BZ91" s="134">
        <f t="shared" si="31"/>
        <v>2.5833333333357587</v>
      </c>
      <c r="CA91" s="134">
        <f t="shared" si="32"/>
        <v>14.822916666664241</v>
      </c>
      <c r="CB91" s="133">
        <f t="shared" si="33"/>
        <v>0.17427969079428912</v>
      </c>
    </row>
    <row r="92" spans="1:80" s="126" customFormat="1">
      <c r="A92" s="192">
        <f t="shared" si="18"/>
        <v>45067.006944444445</v>
      </c>
      <c r="B92" s="126" t="s">
        <v>188</v>
      </c>
      <c r="C92" s="126" t="s">
        <v>81</v>
      </c>
      <c r="D92" s="126" t="s">
        <v>197</v>
      </c>
      <c r="E92" s="65" t="s">
        <v>1552</v>
      </c>
      <c r="G92" s="165">
        <v>45067.35833333333</v>
      </c>
      <c r="H92" s="165">
        <v>45067.35833333333</v>
      </c>
      <c r="I92" s="126" t="s">
        <v>443</v>
      </c>
      <c r="J92" s="126" t="s">
        <v>192</v>
      </c>
      <c r="K92" s="126" t="s">
        <v>192</v>
      </c>
      <c r="L92" s="126" t="s">
        <v>1560</v>
      </c>
      <c r="M92" s="167"/>
      <c r="N92" s="126" t="s">
        <v>383</v>
      </c>
      <c r="O92" s="126" t="s">
        <v>384</v>
      </c>
      <c r="P92" s="126" t="s">
        <v>81</v>
      </c>
      <c r="Q92" s="181">
        <v>5500</v>
      </c>
      <c r="R92" s="181"/>
      <c r="S92" s="181">
        <v>5107</v>
      </c>
      <c r="T92" s="181"/>
      <c r="AI92" s="181">
        <f t="shared" si="34"/>
        <v>5107</v>
      </c>
      <c r="AX92" s="165">
        <f t="shared" si="22"/>
        <v>45061.916666666664</v>
      </c>
      <c r="AY92" s="165">
        <f t="shared" si="23"/>
        <v>45074.076388888891</v>
      </c>
      <c r="AZ92" s="137">
        <f t="shared" si="24"/>
        <v>12.159722222226264</v>
      </c>
      <c r="BA92" s="165">
        <v>45061.916666666664</v>
      </c>
      <c r="BB92" s="165">
        <v>45066.75</v>
      </c>
      <c r="BC92" s="165">
        <v>45066.958333333336</v>
      </c>
      <c r="BD92" s="165">
        <v>45067.006944444445</v>
      </c>
      <c r="BE92" s="165">
        <v>45067.892361111109</v>
      </c>
      <c r="BF92" s="165">
        <v>45067.96875</v>
      </c>
      <c r="BG92" s="165">
        <v>45069.131944444445</v>
      </c>
      <c r="BH92" s="165">
        <v>45069.131944444445</v>
      </c>
      <c r="BI92" s="166" t="s">
        <v>196</v>
      </c>
      <c r="BJ92" s="166" t="s">
        <v>196</v>
      </c>
      <c r="BK92" s="166" t="s">
        <v>196</v>
      </c>
      <c r="BL92" s="165">
        <v>45070.451388888891</v>
      </c>
      <c r="BM92" s="165">
        <v>45073.836805555555</v>
      </c>
      <c r="BN92" s="165">
        <v>45074.059027777781</v>
      </c>
      <c r="BO92" s="165">
        <v>45074.076388888891</v>
      </c>
      <c r="BP92" s="165">
        <v>45074.076388888891</v>
      </c>
      <c r="BQ92" s="165">
        <v>45074.076388888891</v>
      </c>
      <c r="BR92" s="126" t="s">
        <v>1561</v>
      </c>
      <c r="BT92" s="136">
        <f t="shared" si="25"/>
        <v>5.0000000000582077</v>
      </c>
      <c r="BU92" s="136">
        <f t="shared" si="26"/>
        <v>21.249999999941792</v>
      </c>
      <c r="BV92" s="136">
        <f t="shared" si="27"/>
        <v>0</v>
      </c>
      <c r="BW92" s="136">
        <f t="shared" si="35"/>
        <v>31.666666666686069</v>
      </c>
      <c r="BX92" s="135">
        <f t="shared" si="29"/>
        <v>5.3333333334303461</v>
      </c>
      <c r="BY92" s="135">
        <f t="shared" si="30"/>
        <v>0</v>
      </c>
      <c r="BZ92" s="134">
        <f t="shared" si="31"/>
        <v>2.6354166666715173</v>
      </c>
      <c r="CA92" s="134">
        <f t="shared" si="32"/>
        <v>12.159722222226264</v>
      </c>
      <c r="CB92" s="133">
        <f t="shared" si="33"/>
        <v>0.21673329526017837</v>
      </c>
    </row>
    <row r="93" spans="1:80" s="126" customFormat="1">
      <c r="A93" s="192">
        <f t="shared" si="18"/>
        <v>45068.583333333336</v>
      </c>
      <c r="B93" s="126" t="s">
        <v>188</v>
      </c>
      <c r="C93" s="126" t="s">
        <v>81</v>
      </c>
      <c r="D93" s="126" t="s">
        <v>197</v>
      </c>
      <c r="E93" s="65" t="s">
        <v>1521</v>
      </c>
      <c r="G93" s="73">
        <v>45082.0625</v>
      </c>
      <c r="H93" s="73">
        <v>45082.104166666664</v>
      </c>
      <c r="I93" s="126" t="s">
        <v>443</v>
      </c>
      <c r="J93" s="126" t="s">
        <v>192</v>
      </c>
      <c r="K93" s="126" t="s">
        <v>192</v>
      </c>
      <c r="L93" s="126" t="s">
        <v>1562</v>
      </c>
      <c r="M93" s="167"/>
      <c r="N93" s="126" t="s">
        <v>1303</v>
      </c>
      <c r="O93" s="126" t="s">
        <v>1304</v>
      </c>
      <c r="P93" s="126" t="s">
        <v>81</v>
      </c>
      <c r="Q93" s="181">
        <v>5500</v>
      </c>
      <c r="R93" s="181"/>
      <c r="S93" s="181">
        <v>5302</v>
      </c>
      <c r="T93" s="181"/>
      <c r="AI93" s="181">
        <f t="shared" si="34"/>
        <v>5302</v>
      </c>
      <c r="AX93" s="165">
        <f t="shared" si="22"/>
        <v>45065.260416666664</v>
      </c>
      <c r="AY93" s="165">
        <f t="shared" si="23"/>
        <v>45075.923611111109</v>
      </c>
      <c r="AZ93" s="137">
        <f t="shared" si="24"/>
        <v>10.663194444445253</v>
      </c>
      <c r="BA93" s="165">
        <v>45065.260416666664</v>
      </c>
      <c r="BB93" s="165">
        <v>45065.90625</v>
      </c>
      <c r="BC93" s="165">
        <v>45066.506944444445</v>
      </c>
      <c r="BD93" s="165">
        <v>45068.583333333336</v>
      </c>
      <c r="BE93" s="165">
        <v>45069.4375</v>
      </c>
      <c r="BF93" s="165">
        <v>45069.472222222219</v>
      </c>
      <c r="BG93" s="165">
        <v>45070.111111111109</v>
      </c>
      <c r="BH93" s="165">
        <v>45070.111111111109</v>
      </c>
      <c r="BI93" s="166" t="s">
        <v>196</v>
      </c>
      <c r="BJ93" s="166" t="s">
        <v>196</v>
      </c>
      <c r="BK93" s="166" t="s">
        <v>196</v>
      </c>
      <c r="BL93" s="165">
        <v>45071.631944444445</v>
      </c>
      <c r="BM93" s="165">
        <v>45075.690972222219</v>
      </c>
      <c r="BN93" s="165">
        <v>45075.909722222219</v>
      </c>
      <c r="BO93" s="165">
        <v>45075.923611111109</v>
      </c>
      <c r="BP93" s="165">
        <v>45075.923611111109</v>
      </c>
      <c r="BQ93" s="165">
        <v>45075.923611111109</v>
      </c>
      <c r="BR93" s="126" t="s">
        <v>1563</v>
      </c>
      <c r="BT93" s="136">
        <f t="shared" si="25"/>
        <v>14.416666666686069</v>
      </c>
      <c r="BU93" s="136">
        <f t="shared" si="26"/>
        <v>20.499999999941792</v>
      </c>
      <c r="BV93" s="136">
        <f t="shared" si="27"/>
        <v>0</v>
      </c>
      <c r="BW93" s="136">
        <f t="shared" si="35"/>
        <v>36.500000000058208</v>
      </c>
      <c r="BX93" s="135">
        <f t="shared" si="29"/>
        <v>5.25</v>
      </c>
      <c r="BY93" s="135">
        <f t="shared" si="30"/>
        <v>0</v>
      </c>
      <c r="BZ93" s="134">
        <f t="shared" si="31"/>
        <v>3.1944444444452529</v>
      </c>
      <c r="CA93" s="134">
        <f t="shared" si="32"/>
        <v>10.663194444445253</v>
      </c>
      <c r="CB93" s="133">
        <f t="shared" si="33"/>
        <v>0.29957668511890689</v>
      </c>
    </row>
    <row r="94" spans="1:80" s="126" customFormat="1">
      <c r="A94" s="192">
        <f t="shared" si="18"/>
        <v>45072.711805555555</v>
      </c>
      <c r="B94" s="126" t="s">
        <v>188</v>
      </c>
      <c r="C94" s="126" t="s">
        <v>81</v>
      </c>
      <c r="D94" s="126" t="s">
        <v>197</v>
      </c>
      <c r="E94" s="65" t="s">
        <v>224</v>
      </c>
      <c r="G94" s="73">
        <v>45065.625</v>
      </c>
      <c r="H94" s="73">
        <v>45065.637499999997</v>
      </c>
      <c r="I94" s="126" t="s">
        <v>443</v>
      </c>
      <c r="J94" s="126" t="s">
        <v>192</v>
      </c>
      <c r="K94" s="126" t="s">
        <v>192</v>
      </c>
      <c r="L94" s="126" t="s">
        <v>1564</v>
      </c>
      <c r="M94" s="167"/>
      <c r="N94" s="126" t="s">
        <v>1307</v>
      </c>
      <c r="O94" s="126" t="s">
        <v>1308</v>
      </c>
      <c r="P94" s="126" t="s">
        <v>81</v>
      </c>
      <c r="Q94" s="181">
        <v>5500</v>
      </c>
      <c r="R94" s="181"/>
      <c r="S94" s="181">
        <v>5289</v>
      </c>
      <c r="T94" s="181"/>
      <c r="AI94" s="181">
        <f t="shared" si="34"/>
        <v>5289</v>
      </c>
      <c r="AX94" s="165">
        <f t="shared" si="22"/>
        <v>45070.920138888891</v>
      </c>
      <c r="AY94" s="165">
        <f t="shared" si="23"/>
        <v>45078.538194444445</v>
      </c>
      <c r="AZ94" s="137">
        <f t="shared" si="24"/>
        <v>7.6180555555547471</v>
      </c>
      <c r="BA94" s="165">
        <v>45070.920138888891</v>
      </c>
      <c r="BB94" s="165">
        <v>45071.541666666664</v>
      </c>
      <c r="BC94" s="165">
        <v>45072.659722222219</v>
      </c>
      <c r="BD94" s="165">
        <v>45072.711805555555</v>
      </c>
      <c r="BE94" s="165">
        <v>45073.833333333336</v>
      </c>
      <c r="BF94" s="165">
        <v>45073.888888888891</v>
      </c>
      <c r="BG94" s="165">
        <v>45074.893750000003</v>
      </c>
      <c r="BH94" s="165">
        <v>45074.893750000003</v>
      </c>
      <c r="BI94" s="166" t="s">
        <v>196</v>
      </c>
      <c r="BJ94" s="166" t="s">
        <v>196</v>
      </c>
      <c r="BK94" s="166" t="s">
        <v>196</v>
      </c>
      <c r="BL94" s="165">
        <v>45076.833333333336</v>
      </c>
      <c r="BM94" s="165">
        <v>45078.274305555555</v>
      </c>
      <c r="BN94" s="165">
        <v>45078.517361111109</v>
      </c>
      <c r="BO94" s="165">
        <v>45078.538194444445</v>
      </c>
      <c r="BP94" s="165">
        <v>45078.538194444445</v>
      </c>
      <c r="BQ94" s="165">
        <v>45078.538194444445</v>
      </c>
      <c r="BT94" s="136">
        <f t="shared" si="25"/>
        <v>26.833333333313931</v>
      </c>
      <c r="BU94" s="136">
        <f t="shared" si="26"/>
        <v>26.916666666744277</v>
      </c>
      <c r="BV94" s="136">
        <f t="shared" si="27"/>
        <v>0</v>
      </c>
      <c r="BW94" s="136">
        <f t="shared" si="35"/>
        <v>46.549999999988358</v>
      </c>
      <c r="BX94" s="135">
        <f t="shared" si="29"/>
        <v>5.8333333333139308</v>
      </c>
      <c r="BY94" s="135">
        <f t="shared" si="30"/>
        <v>0</v>
      </c>
      <c r="BZ94" s="134">
        <f t="shared" si="31"/>
        <v>4.422222222223354</v>
      </c>
      <c r="CA94" s="134">
        <f t="shared" si="32"/>
        <v>7.6180555555547471</v>
      </c>
      <c r="CB94" s="133">
        <f t="shared" si="33"/>
        <v>0.58049225159547002</v>
      </c>
    </row>
    <row r="95" spans="1:80" s="126" customFormat="1">
      <c r="A95" s="192">
        <f t="shared" si="18"/>
        <v>45074.826388888891</v>
      </c>
      <c r="B95" s="126" t="s">
        <v>188</v>
      </c>
      <c r="C95" s="126" t="s">
        <v>81</v>
      </c>
      <c r="D95" s="126" t="s">
        <v>197</v>
      </c>
      <c r="E95" s="65" t="s">
        <v>1445</v>
      </c>
      <c r="G95" s="73">
        <v>45077.833333333336</v>
      </c>
      <c r="H95" s="73">
        <v>45077.804166666669</v>
      </c>
      <c r="I95" s="126" t="s">
        <v>443</v>
      </c>
      <c r="J95" s="126" t="s">
        <v>192</v>
      </c>
      <c r="K95" s="126" t="s">
        <v>192</v>
      </c>
      <c r="L95" s="126" t="s">
        <v>1565</v>
      </c>
      <c r="M95" s="167"/>
      <c r="N95" s="126" t="s">
        <v>383</v>
      </c>
      <c r="O95" s="126" t="s">
        <v>384</v>
      </c>
      <c r="P95" s="126" t="s">
        <v>81</v>
      </c>
      <c r="Q95" s="181">
        <v>5500</v>
      </c>
      <c r="R95" s="181"/>
      <c r="S95" s="181">
        <v>5144</v>
      </c>
      <c r="T95" s="181"/>
      <c r="AI95" s="181">
        <f t="shared" si="34"/>
        <v>5144</v>
      </c>
      <c r="AX95" s="165">
        <f t="shared" si="22"/>
        <v>45074.076388888891</v>
      </c>
      <c r="AY95" s="165">
        <f t="shared" si="23"/>
        <v>45080.489583333336</v>
      </c>
      <c r="AZ95" s="137">
        <f t="shared" si="24"/>
        <v>6.4131944444452529</v>
      </c>
      <c r="BA95" s="165">
        <v>45074.076388888891</v>
      </c>
      <c r="BB95" s="165">
        <v>45074.079861111109</v>
      </c>
      <c r="BC95" s="165">
        <v>45074.788194444445</v>
      </c>
      <c r="BD95" s="165">
        <v>45074.826388888891</v>
      </c>
      <c r="BE95" s="165">
        <v>45075.454861111109</v>
      </c>
      <c r="BF95" s="165">
        <v>45075.513888888891</v>
      </c>
      <c r="BG95" s="165">
        <v>45075.96875</v>
      </c>
      <c r="BH95" s="165">
        <v>45075.96875</v>
      </c>
      <c r="BI95" s="166" t="s">
        <v>196</v>
      </c>
      <c r="BJ95" s="166" t="s">
        <v>196</v>
      </c>
      <c r="BK95" s="166" t="s">
        <v>196</v>
      </c>
      <c r="BL95" s="165">
        <v>45077.270833333336</v>
      </c>
      <c r="BM95" s="165">
        <v>45080.232638888891</v>
      </c>
      <c r="BN95" s="165">
        <v>45080.479166666664</v>
      </c>
      <c r="BO95" s="165">
        <v>45080.489583333336</v>
      </c>
      <c r="BP95" s="165">
        <v>45080.489583333336</v>
      </c>
      <c r="BQ95" s="165">
        <v>45080.489583333336</v>
      </c>
      <c r="BR95" s="126" t="s">
        <v>1566</v>
      </c>
      <c r="BT95" s="136">
        <f t="shared" si="25"/>
        <v>17.000000000058208</v>
      </c>
      <c r="BU95" s="136">
        <f t="shared" si="26"/>
        <v>15.083333333255723</v>
      </c>
      <c r="BV95" s="136">
        <f t="shared" si="27"/>
        <v>0</v>
      </c>
      <c r="BW95" s="136">
        <f t="shared" si="35"/>
        <v>31.250000000058208</v>
      </c>
      <c r="BX95" s="135">
        <f t="shared" si="29"/>
        <v>5.9166666665696539</v>
      </c>
      <c r="BY95" s="135">
        <f t="shared" si="30"/>
        <v>0</v>
      </c>
      <c r="BZ95" s="134">
        <f t="shared" si="31"/>
        <v>2.8854166666642413</v>
      </c>
      <c r="CA95" s="134">
        <f t="shared" si="32"/>
        <v>6.4131944444452529</v>
      </c>
      <c r="CB95" s="133">
        <f t="shared" si="33"/>
        <v>0.44991878722208811</v>
      </c>
    </row>
    <row r="96" spans="1:80" s="126" customFormat="1">
      <c r="A96" s="192">
        <f t="shared" si="18"/>
        <v>45050.879861111112</v>
      </c>
      <c r="B96" s="126" t="s">
        <v>188</v>
      </c>
      <c r="C96" s="126" t="s">
        <v>229</v>
      </c>
      <c r="D96" s="126" t="s">
        <v>197</v>
      </c>
      <c r="E96" s="65" t="s">
        <v>1292</v>
      </c>
      <c r="G96" s="73">
        <v>45051.354166666664</v>
      </c>
      <c r="H96" s="73">
        <v>45051.3125</v>
      </c>
      <c r="I96" s="126" t="s">
        <v>751</v>
      </c>
      <c r="J96" s="126" t="s">
        <v>192</v>
      </c>
      <c r="K96" s="126" t="s">
        <v>192</v>
      </c>
      <c r="L96" s="126" t="s">
        <v>1567</v>
      </c>
      <c r="M96" s="167"/>
      <c r="N96" s="126" t="s">
        <v>288</v>
      </c>
      <c r="O96" s="126" t="s">
        <v>289</v>
      </c>
      <c r="P96" s="126" t="s">
        <v>611</v>
      </c>
      <c r="Q96" s="181">
        <f>3107*2.4</f>
        <v>7456.7999999999993</v>
      </c>
      <c r="R96" s="181"/>
      <c r="S96" s="181">
        <v>7528.1589999999997</v>
      </c>
      <c r="T96" s="181"/>
      <c r="AD96" s="181">
        <f>S96</f>
        <v>7528.1589999999997</v>
      </c>
      <c r="AX96" s="165">
        <f t="shared" si="22"/>
        <v>45050.78125</v>
      </c>
      <c r="AY96" s="165">
        <f t="shared" si="23"/>
        <v>45058.5625</v>
      </c>
      <c r="AZ96" s="137">
        <f t="shared" si="24"/>
        <v>7.78125</v>
      </c>
      <c r="BA96" s="165">
        <v>45050.78125</v>
      </c>
      <c r="BB96" s="165">
        <v>45050.78125</v>
      </c>
      <c r="BC96" s="165">
        <v>45050.857638888891</v>
      </c>
      <c r="BD96" s="165">
        <v>45050.879861111112</v>
      </c>
      <c r="BE96" s="165">
        <v>45051.013888888891</v>
      </c>
      <c r="BF96" s="165">
        <v>45051.020833333336</v>
      </c>
      <c r="BG96" s="165">
        <v>45052.013888888891</v>
      </c>
      <c r="BH96" s="165">
        <v>45052.013888888891</v>
      </c>
      <c r="BI96" s="166" t="s">
        <v>196</v>
      </c>
      <c r="BJ96" s="166" t="s">
        <v>196</v>
      </c>
      <c r="BK96" s="166" t="s">
        <v>196</v>
      </c>
      <c r="BL96" s="165">
        <v>45052.25</v>
      </c>
      <c r="BM96" s="165">
        <v>45057.927083333336</v>
      </c>
      <c r="BN96" s="165">
        <v>45058.09375</v>
      </c>
      <c r="BO96" s="165">
        <v>45058.114583333336</v>
      </c>
      <c r="BP96" s="165">
        <v>45058.270833333336</v>
      </c>
      <c r="BQ96" s="165">
        <v>45058.5625</v>
      </c>
      <c r="BT96" s="136">
        <f t="shared" si="25"/>
        <v>1.8333333333721384</v>
      </c>
      <c r="BU96" s="136">
        <f t="shared" si="26"/>
        <v>3.2166666666744277</v>
      </c>
      <c r="BV96" s="136">
        <f t="shared" si="27"/>
        <v>0</v>
      </c>
      <c r="BW96" s="136">
        <f t="shared" si="35"/>
        <v>5.6666666666278616</v>
      </c>
      <c r="BX96" s="135">
        <f t="shared" si="29"/>
        <v>3.9999999999417923</v>
      </c>
      <c r="BY96" s="135">
        <f t="shared" si="30"/>
        <v>6.9999999999417923</v>
      </c>
      <c r="BZ96" s="134">
        <f t="shared" si="31"/>
        <v>0.90486111110658385</v>
      </c>
      <c r="CA96" s="134">
        <f t="shared" si="32"/>
        <v>7.78125</v>
      </c>
      <c r="CB96" s="133">
        <f t="shared" si="33"/>
        <v>0.11628737170847664</v>
      </c>
    </row>
    <row r="97" spans="1:80" s="126" customFormat="1">
      <c r="A97" s="192">
        <f t="shared" ref="A97:A151" si="36">BD97</f>
        <v>45051.277777777781</v>
      </c>
      <c r="B97" s="126" t="s">
        <v>188</v>
      </c>
      <c r="C97" s="126" t="s">
        <v>229</v>
      </c>
      <c r="D97" s="126" t="s">
        <v>215</v>
      </c>
      <c r="E97" s="65" t="s">
        <v>1292</v>
      </c>
      <c r="G97" s="73">
        <v>45051.354166666664</v>
      </c>
      <c r="H97" s="73">
        <v>45051.3125</v>
      </c>
      <c r="I97" s="126" t="s">
        <v>751</v>
      </c>
      <c r="J97" s="126" t="s">
        <v>192</v>
      </c>
      <c r="K97" s="126" t="s">
        <v>192</v>
      </c>
      <c r="L97" s="126" t="s">
        <v>1568</v>
      </c>
      <c r="M97" s="167"/>
      <c r="N97" s="126" t="s">
        <v>343</v>
      </c>
      <c r="O97" s="126" t="s">
        <v>344</v>
      </c>
      <c r="P97" s="126" t="s">
        <v>611</v>
      </c>
      <c r="Q97" s="181">
        <f>3136*2.4</f>
        <v>7526.4</v>
      </c>
      <c r="R97" s="181"/>
      <c r="S97" s="181">
        <v>7512.9160000000002</v>
      </c>
      <c r="T97" s="181"/>
      <c r="AD97" s="181">
        <f>S97</f>
        <v>7512.9160000000002</v>
      </c>
      <c r="AX97" s="165">
        <f t="shared" si="22"/>
        <v>45051.135416666664</v>
      </c>
      <c r="AY97" s="165">
        <f t="shared" si="23"/>
        <v>45058.625</v>
      </c>
      <c r="AZ97" s="137">
        <f t="shared" si="24"/>
        <v>7.4895833333357587</v>
      </c>
      <c r="BA97" s="165">
        <v>45051.135416666664</v>
      </c>
      <c r="BB97" s="165">
        <v>45051.135416666664</v>
      </c>
      <c r="BC97" s="165">
        <v>45051.166666666664</v>
      </c>
      <c r="BD97" s="165">
        <v>45051.277777777781</v>
      </c>
      <c r="BE97" s="165">
        <v>45051.405555555553</v>
      </c>
      <c r="BF97" s="165">
        <v>45051.413194444445</v>
      </c>
      <c r="BG97" s="165">
        <v>45052.017361111109</v>
      </c>
      <c r="BH97" s="165">
        <v>45052.017361111109</v>
      </c>
      <c r="BI97" s="166" t="s">
        <v>196</v>
      </c>
      <c r="BJ97" s="166" t="s">
        <v>196</v>
      </c>
      <c r="BK97" s="166" t="s">
        <v>196</v>
      </c>
      <c r="BL97" s="165">
        <v>45052.277777777781</v>
      </c>
      <c r="BM97" s="165">
        <v>45058.15625</v>
      </c>
      <c r="BN97" s="165">
        <v>45058.298611111109</v>
      </c>
      <c r="BO97" s="165">
        <v>45058.319444444445</v>
      </c>
      <c r="BP97" s="165">
        <v>45058.319444444445</v>
      </c>
      <c r="BQ97" s="165">
        <v>45058.625</v>
      </c>
      <c r="BT97" s="136">
        <f t="shared" si="25"/>
        <v>0.75</v>
      </c>
      <c r="BU97" s="136">
        <f t="shared" si="26"/>
        <v>3.0666666665347293</v>
      </c>
      <c r="BV97" s="136">
        <f t="shared" si="27"/>
        <v>0</v>
      </c>
      <c r="BW97" s="136">
        <f t="shared" si="35"/>
        <v>6.2500000001164153</v>
      </c>
      <c r="BX97" s="135">
        <f t="shared" si="29"/>
        <v>3.4166666666278616</v>
      </c>
      <c r="BY97" s="135">
        <f t="shared" si="30"/>
        <v>7.3333333333139308</v>
      </c>
      <c r="BZ97" s="134">
        <f t="shared" si="31"/>
        <v>0.86736111110803904</v>
      </c>
      <c r="CA97" s="134">
        <f t="shared" si="32"/>
        <v>7.4895833333357587</v>
      </c>
      <c r="CB97" s="133">
        <f t="shared" si="33"/>
        <v>0.11580899397266312</v>
      </c>
    </row>
    <row r="98" spans="1:80" s="126" customFormat="1">
      <c r="A98" s="192">
        <f t="shared" si="36"/>
        <v>45053.691666666666</v>
      </c>
      <c r="B98" s="126" t="s">
        <v>188</v>
      </c>
      <c r="C98" s="126" t="s">
        <v>87</v>
      </c>
      <c r="D98" s="126" t="s">
        <v>197</v>
      </c>
      <c r="E98" s="65" t="s">
        <v>1465</v>
      </c>
      <c r="G98" s="73">
        <v>45047.666666666664</v>
      </c>
      <c r="H98" s="73">
        <v>45047.708333333336</v>
      </c>
      <c r="I98" s="126" t="s">
        <v>751</v>
      </c>
      <c r="J98" s="126" t="s">
        <v>192</v>
      </c>
      <c r="K98" s="126" t="s">
        <v>192</v>
      </c>
      <c r="L98" s="126" t="s">
        <v>1569</v>
      </c>
      <c r="M98" s="167"/>
      <c r="N98" s="126" t="s">
        <v>349</v>
      </c>
      <c r="O98" s="126" t="s">
        <v>350</v>
      </c>
      <c r="P98" s="126" t="s">
        <v>611</v>
      </c>
      <c r="Q98" s="181">
        <f>3077*2.4</f>
        <v>7384.7999999999993</v>
      </c>
      <c r="R98" s="181"/>
      <c r="S98" s="181">
        <v>7505.79</v>
      </c>
      <c r="T98" s="181"/>
      <c r="AD98" s="181">
        <f>S98</f>
        <v>7505.79</v>
      </c>
      <c r="AX98" s="165">
        <f t="shared" si="22"/>
        <v>45052.986111111109</v>
      </c>
      <c r="AY98" s="165">
        <f t="shared" si="23"/>
        <v>45059.229166666664</v>
      </c>
      <c r="AZ98" s="137">
        <f t="shared" si="24"/>
        <v>6.2430555555547471</v>
      </c>
      <c r="BA98" s="165">
        <v>45052.986111111109</v>
      </c>
      <c r="BB98" s="165">
        <v>45052.986111111109</v>
      </c>
      <c r="BC98" s="165">
        <v>45053.013888888891</v>
      </c>
      <c r="BD98" s="165">
        <v>45053.691666666666</v>
      </c>
      <c r="BE98" s="165">
        <v>45053.899305555555</v>
      </c>
      <c r="BF98" s="165">
        <v>45053.90625</v>
      </c>
      <c r="BG98" s="165">
        <v>45054.979166666664</v>
      </c>
      <c r="BH98" s="165">
        <v>45054.979166666664</v>
      </c>
      <c r="BI98" s="166" t="s">
        <v>196</v>
      </c>
      <c r="BJ98" s="166" t="s">
        <v>196</v>
      </c>
      <c r="BK98" s="166" t="s">
        <v>196</v>
      </c>
      <c r="BL98" s="165">
        <v>45055.270833333336</v>
      </c>
      <c r="BM98" s="165">
        <v>45058.520833333336</v>
      </c>
      <c r="BN98" s="165">
        <v>45058.805555555555</v>
      </c>
      <c r="BO98" s="165">
        <v>45058.819444444445</v>
      </c>
      <c r="BP98" s="165">
        <v>45058.819444444445</v>
      </c>
      <c r="BQ98" s="165">
        <v>45059.229166666664</v>
      </c>
      <c r="BT98" s="136">
        <f t="shared" si="25"/>
        <v>0.66666666674427688</v>
      </c>
      <c r="BU98" s="136">
        <f t="shared" si="26"/>
        <v>4.9833333333372138</v>
      </c>
      <c r="BV98" s="136">
        <f t="shared" si="27"/>
        <v>0</v>
      </c>
      <c r="BW98" s="136">
        <f t="shared" si="35"/>
        <v>7.0000000001164153</v>
      </c>
      <c r="BX98" s="135">
        <f t="shared" si="29"/>
        <v>6.8333333332557231</v>
      </c>
      <c r="BY98" s="135">
        <f t="shared" si="30"/>
        <v>9.8333333332557231</v>
      </c>
      <c r="BZ98" s="134">
        <f t="shared" si="31"/>
        <v>1.2215277777795563</v>
      </c>
      <c r="CA98" s="134">
        <f t="shared" si="32"/>
        <v>6.2430555555547471</v>
      </c>
      <c r="CB98" s="133">
        <f t="shared" si="33"/>
        <v>0.19566184649641702</v>
      </c>
    </row>
    <row r="99" spans="1:80" s="126" customFormat="1">
      <c r="A99" s="192">
        <f t="shared" si="36"/>
        <v>45055.507638888892</v>
      </c>
      <c r="B99" s="126" t="s">
        <v>188</v>
      </c>
      <c r="C99" s="126" t="s">
        <v>87</v>
      </c>
      <c r="D99" s="126" t="s">
        <v>197</v>
      </c>
      <c r="E99" s="65" t="s">
        <v>1465</v>
      </c>
      <c r="G99" s="73">
        <v>45047.666666666664</v>
      </c>
      <c r="H99" s="73">
        <v>45047.708333333336</v>
      </c>
      <c r="I99" s="126" t="s">
        <v>751</v>
      </c>
      <c r="J99" s="126" t="s">
        <v>192</v>
      </c>
      <c r="K99" s="126" t="s">
        <v>192</v>
      </c>
      <c r="L99" s="126" t="s">
        <v>1570</v>
      </c>
      <c r="M99" s="167"/>
      <c r="N99" s="126" t="s">
        <v>213</v>
      </c>
      <c r="O99" s="126" t="s">
        <v>214</v>
      </c>
      <c r="P99" s="126" t="s">
        <v>611</v>
      </c>
      <c r="Q99" s="181">
        <f>3113*2.4</f>
        <v>7471.2</v>
      </c>
      <c r="R99" s="181"/>
      <c r="S99" s="181">
        <v>7545.357</v>
      </c>
      <c r="T99" s="181"/>
      <c r="AD99" s="181">
        <f>S99</f>
        <v>7545.357</v>
      </c>
      <c r="AX99" s="165">
        <f t="shared" si="22"/>
        <v>45055.236111111109</v>
      </c>
      <c r="AY99" s="165">
        <f t="shared" si="23"/>
        <v>45060.6875</v>
      </c>
      <c r="AZ99" s="137">
        <f t="shared" si="24"/>
        <v>5.4513888888905058</v>
      </c>
      <c r="BA99" s="165">
        <v>45055.236111111109</v>
      </c>
      <c r="BB99" s="165">
        <v>45055.236111111109</v>
      </c>
      <c r="BC99" s="165">
        <v>45055.25</v>
      </c>
      <c r="BD99" s="165">
        <v>45055.507638888892</v>
      </c>
      <c r="BE99" s="165">
        <v>45055.618750000001</v>
      </c>
      <c r="BF99" s="165">
        <v>45055.625694444447</v>
      </c>
      <c r="BG99" s="165">
        <v>45056.871527777781</v>
      </c>
      <c r="BH99" s="165">
        <v>45056.871527777781</v>
      </c>
      <c r="BI99" s="166" t="s">
        <v>196</v>
      </c>
      <c r="BJ99" s="166" t="s">
        <v>196</v>
      </c>
      <c r="BK99" s="166" t="s">
        <v>196</v>
      </c>
      <c r="BL99" s="165">
        <v>45057.020833333336</v>
      </c>
      <c r="BM99" s="165">
        <v>45060.090277777781</v>
      </c>
      <c r="BN99" s="165">
        <v>45060.395833333336</v>
      </c>
      <c r="BO99" s="165">
        <v>45060.409722222219</v>
      </c>
      <c r="BP99" s="165">
        <v>45060.520833333336</v>
      </c>
      <c r="BQ99" s="165">
        <v>45060.6875</v>
      </c>
      <c r="BT99" s="136">
        <f t="shared" si="25"/>
        <v>0.33333333337213844</v>
      </c>
      <c r="BU99" s="136">
        <f t="shared" si="26"/>
        <v>2.6666666666278616</v>
      </c>
      <c r="BV99" s="136">
        <f t="shared" si="27"/>
        <v>0</v>
      </c>
      <c r="BW99" s="136">
        <f t="shared" si="35"/>
        <v>3.5833333333139308</v>
      </c>
      <c r="BX99" s="135">
        <f t="shared" si="29"/>
        <v>7.3333333333139308</v>
      </c>
      <c r="BY99" s="135">
        <f t="shared" si="30"/>
        <v>3.9999999999417923</v>
      </c>
      <c r="BZ99" s="134">
        <f t="shared" si="31"/>
        <v>0.74652777777373558</v>
      </c>
      <c r="CA99" s="134">
        <f t="shared" si="32"/>
        <v>5.4513888888905058</v>
      </c>
      <c r="CB99" s="133">
        <f t="shared" si="33"/>
        <v>0.13694267515845354</v>
      </c>
    </row>
    <row r="100" spans="1:80" s="126" customFormat="1">
      <c r="A100" s="192">
        <f t="shared" si="36"/>
        <v>45056.907638888886</v>
      </c>
      <c r="B100" s="126" t="s">
        <v>188</v>
      </c>
      <c r="C100" s="126" t="s">
        <v>87</v>
      </c>
      <c r="D100" s="126" t="s">
        <v>215</v>
      </c>
      <c r="E100" s="65" t="s">
        <v>1571</v>
      </c>
      <c r="G100" s="73">
        <v>45054.645833333336</v>
      </c>
      <c r="H100" s="73">
        <v>45054.5625</v>
      </c>
      <c r="I100" s="126" t="s">
        <v>751</v>
      </c>
      <c r="J100" s="126" t="s">
        <v>192</v>
      </c>
      <c r="K100" s="126" t="s">
        <v>192</v>
      </c>
      <c r="L100" s="126" t="s">
        <v>1572</v>
      </c>
      <c r="M100" s="167"/>
      <c r="N100" s="126" t="s">
        <v>252</v>
      </c>
      <c r="O100" s="126" t="s">
        <v>253</v>
      </c>
      <c r="P100" s="126" t="s">
        <v>1164</v>
      </c>
      <c r="Q100" s="181">
        <f>3107*2.4</f>
        <v>7456.7999999999993</v>
      </c>
      <c r="R100" s="181"/>
      <c r="S100" s="181">
        <v>7556.8</v>
      </c>
      <c r="T100" s="181"/>
      <c r="AH100" s="181">
        <f>S100</f>
        <v>7556.8</v>
      </c>
      <c r="AX100" s="165">
        <f t="shared" si="22"/>
        <v>45056.041666666664</v>
      </c>
      <c r="AY100" s="165">
        <f t="shared" si="23"/>
        <v>45063.541666666664</v>
      </c>
      <c r="AZ100" s="137">
        <f t="shared" si="24"/>
        <v>7.5</v>
      </c>
      <c r="BA100" s="165">
        <v>45056.041666666664</v>
      </c>
      <c r="BB100" s="165">
        <v>45056.041666666664</v>
      </c>
      <c r="BC100" s="165">
        <v>45056.079861111109</v>
      </c>
      <c r="BD100" s="165">
        <v>45056.907638888886</v>
      </c>
      <c r="BE100" s="165">
        <v>45057.017361111109</v>
      </c>
      <c r="BF100" s="165">
        <v>45057.024305555555</v>
      </c>
      <c r="BG100" s="165">
        <v>45058.166666666664</v>
      </c>
      <c r="BH100" s="165">
        <v>45058.166666666664</v>
      </c>
      <c r="BI100" s="166" t="s">
        <v>196</v>
      </c>
      <c r="BJ100" s="166" t="s">
        <v>196</v>
      </c>
      <c r="BK100" s="166" t="s">
        <v>196</v>
      </c>
      <c r="BL100" s="165">
        <v>45058.375</v>
      </c>
      <c r="BM100" s="165">
        <v>45062.75</v>
      </c>
      <c r="BN100" s="165">
        <v>45063.15625</v>
      </c>
      <c r="BO100" s="165">
        <v>45063.1875</v>
      </c>
      <c r="BP100" s="165">
        <v>45063.1875</v>
      </c>
      <c r="BQ100" s="165">
        <v>45063.541666666664</v>
      </c>
      <c r="BT100" s="136">
        <f t="shared" si="25"/>
        <v>0.91666666668606922</v>
      </c>
      <c r="BU100" s="136">
        <f t="shared" si="26"/>
        <v>2.6333333333604969</v>
      </c>
      <c r="BV100" s="136">
        <f t="shared" si="27"/>
        <v>0</v>
      </c>
      <c r="BW100" s="136">
        <f t="shared" si="35"/>
        <v>5.0000000000582077</v>
      </c>
      <c r="BX100" s="135">
        <f t="shared" si="29"/>
        <v>9.75</v>
      </c>
      <c r="BY100" s="135">
        <f t="shared" si="30"/>
        <v>8.4999999999417923</v>
      </c>
      <c r="BZ100" s="134">
        <f t="shared" si="31"/>
        <v>1.1166666666686069</v>
      </c>
      <c r="CA100" s="134">
        <f t="shared" si="32"/>
        <v>7.5</v>
      </c>
      <c r="CB100" s="133">
        <f t="shared" si="33"/>
        <v>0.14888888888914759</v>
      </c>
    </row>
    <row r="101" spans="1:80" s="126" customFormat="1">
      <c r="A101" s="192">
        <f t="shared" si="36"/>
        <v>45059.986111111109</v>
      </c>
      <c r="B101" s="126" t="s">
        <v>188</v>
      </c>
      <c r="C101" s="126" t="s">
        <v>87</v>
      </c>
      <c r="D101" s="126" t="s">
        <v>197</v>
      </c>
      <c r="E101" s="126" t="s">
        <v>1464</v>
      </c>
      <c r="G101" s="73">
        <v>45051.395833333336</v>
      </c>
      <c r="H101" s="73">
        <v>45051.395833333336</v>
      </c>
      <c r="I101" s="126" t="s">
        <v>751</v>
      </c>
      <c r="J101" s="126" t="s">
        <v>192</v>
      </c>
      <c r="K101" s="126" t="s">
        <v>192</v>
      </c>
      <c r="L101" s="126" t="s">
        <v>1573</v>
      </c>
      <c r="M101" s="167"/>
      <c r="N101" s="126" t="s">
        <v>205</v>
      </c>
      <c r="O101" s="126" t="s">
        <v>206</v>
      </c>
      <c r="P101" s="126" t="s">
        <v>611</v>
      </c>
      <c r="Q101" s="181">
        <f>3015*2.4</f>
        <v>7236</v>
      </c>
      <c r="R101" s="181"/>
      <c r="S101" s="181">
        <v>7519.7129999999997</v>
      </c>
      <c r="T101" s="181"/>
      <c r="AD101" s="181">
        <f>S101</f>
        <v>7519.7129999999997</v>
      </c>
      <c r="AX101" s="165">
        <f t="shared" si="22"/>
        <v>45059.125</v>
      </c>
      <c r="AY101" s="165">
        <f t="shared" si="23"/>
        <v>45062.761111111111</v>
      </c>
      <c r="AZ101" s="137">
        <f t="shared" si="24"/>
        <v>3.6361111111109494</v>
      </c>
      <c r="BA101" s="165">
        <v>45059.125</v>
      </c>
      <c r="BB101" s="165">
        <v>45059.125</v>
      </c>
      <c r="BC101" s="165">
        <v>45059.159722222219</v>
      </c>
      <c r="BD101" s="165">
        <v>45059.986111111109</v>
      </c>
      <c r="BE101" s="165">
        <v>45060.118055555555</v>
      </c>
      <c r="BF101" s="165">
        <v>45060.125</v>
      </c>
      <c r="BG101" s="165">
        <v>45060.729166666664</v>
      </c>
      <c r="BH101" s="165">
        <v>45060.729166666664</v>
      </c>
      <c r="BI101" s="166" t="s">
        <v>196</v>
      </c>
      <c r="BJ101" s="166" t="s">
        <v>196</v>
      </c>
      <c r="BK101" s="166" t="s">
        <v>196</v>
      </c>
      <c r="BL101" s="165">
        <v>45060.9375</v>
      </c>
      <c r="BM101" s="165">
        <v>45062.243055555555</v>
      </c>
      <c r="BN101" s="165">
        <v>45062.40625</v>
      </c>
      <c r="BO101" s="165">
        <v>45062.427083333336</v>
      </c>
      <c r="BP101" s="165">
        <v>45062.427083333336</v>
      </c>
      <c r="BQ101" s="165">
        <v>45062.761111111111</v>
      </c>
      <c r="BT101" s="136">
        <f t="shared" si="25"/>
        <v>0.83333333325572312</v>
      </c>
      <c r="BU101" s="136">
        <f t="shared" si="26"/>
        <v>3.1666666666860692</v>
      </c>
      <c r="BV101" s="136">
        <f t="shared" si="27"/>
        <v>0</v>
      </c>
      <c r="BW101" s="136">
        <f t="shared" si="35"/>
        <v>5.0000000000582077</v>
      </c>
      <c r="BX101" s="135">
        <f t="shared" si="29"/>
        <v>3.9166666666860692</v>
      </c>
      <c r="BY101" s="135">
        <f t="shared" si="30"/>
        <v>8.0166666666045785</v>
      </c>
      <c r="BZ101" s="134">
        <f t="shared" si="31"/>
        <v>0.87222222222044365</v>
      </c>
      <c r="CA101" s="134">
        <f t="shared" si="32"/>
        <v>3.6361111111109494</v>
      </c>
      <c r="CB101" s="133">
        <f t="shared" si="33"/>
        <v>0.23987776928905552</v>
      </c>
    </row>
    <row r="102" spans="1:80" s="126" customFormat="1">
      <c r="A102" s="192">
        <f t="shared" si="36"/>
        <v>45060.996527777781</v>
      </c>
      <c r="B102" s="126" t="s">
        <v>188</v>
      </c>
      <c r="C102" s="126" t="s">
        <v>87</v>
      </c>
      <c r="D102" s="126" t="s">
        <v>197</v>
      </c>
      <c r="E102" s="126" t="s">
        <v>1464</v>
      </c>
      <c r="G102" s="73">
        <v>45051.395833333336</v>
      </c>
      <c r="H102" s="73">
        <v>45051.395833333336</v>
      </c>
      <c r="I102" s="126" t="s">
        <v>751</v>
      </c>
      <c r="J102" s="126" t="s">
        <v>192</v>
      </c>
      <c r="K102" s="126" t="s">
        <v>192</v>
      </c>
      <c r="L102" s="126" t="s">
        <v>1574</v>
      </c>
      <c r="M102" s="167"/>
      <c r="N102" s="126" t="s">
        <v>686</v>
      </c>
      <c r="O102" s="126" t="s">
        <v>1186</v>
      </c>
      <c r="P102" s="126" t="s">
        <v>1164</v>
      </c>
      <c r="Q102" s="181">
        <v>7500</v>
      </c>
      <c r="R102" s="181"/>
      <c r="S102" s="181">
        <v>7503.1090000000004</v>
      </c>
      <c r="T102" s="181"/>
      <c r="AH102" s="181">
        <f>S102</f>
        <v>7503.1090000000004</v>
      </c>
      <c r="AX102" s="165">
        <f t="shared" si="22"/>
        <v>45060.163194444445</v>
      </c>
      <c r="AY102" s="165">
        <f t="shared" si="23"/>
        <v>45064.458333333336</v>
      </c>
      <c r="AZ102" s="137">
        <f t="shared" si="24"/>
        <v>4.2951388888905058</v>
      </c>
      <c r="BA102" s="165">
        <v>45060.163194444445</v>
      </c>
      <c r="BB102" s="165">
        <v>45060.163194444445</v>
      </c>
      <c r="BC102" s="165">
        <v>45060.173611111109</v>
      </c>
      <c r="BD102" s="165">
        <v>45060.996527777781</v>
      </c>
      <c r="BE102" s="165">
        <v>45061.133333333331</v>
      </c>
      <c r="BF102" s="165">
        <v>45061.142361111109</v>
      </c>
      <c r="BG102" s="165">
        <v>45061.729166666664</v>
      </c>
      <c r="BH102" s="165">
        <v>45061.729166666664</v>
      </c>
      <c r="BI102" s="166" t="s">
        <v>196</v>
      </c>
      <c r="BJ102" s="166" t="s">
        <v>196</v>
      </c>
      <c r="BK102" s="166" t="s">
        <v>196</v>
      </c>
      <c r="BL102" s="165">
        <v>45061.9375</v>
      </c>
      <c r="BM102" s="165">
        <v>45063.923611111109</v>
      </c>
      <c r="BN102" s="165">
        <v>45064.138888888891</v>
      </c>
      <c r="BO102" s="165">
        <v>45064.159722222219</v>
      </c>
      <c r="BP102" s="165">
        <v>45064.159722222219</v>
      </c>
      <c r="BQ102" s="165">
        <v>45064.458333333336</v>
      </c>
      <c r="BT102" s="136">
        <f t="shared" si="25"/>
        <v>0.24999999994179234</v>
      </c>
      <c r="BU102" s="136">
        <f t="shared" si="26"/>
        <v>3.283333333209157</v>
      </c>
      <c r="BV102" s="136">
        <f t="shared" si="27"/>
        <v>0</v>
      </c>
      <c r="BW102" s="136">
        <f t="shared" si="35"/>
        <v>5.0000000000582077</v>
      </c>
      <c r="BX102" s="135">
        <f t="shared" si="29"/>
        <v>5.1666666667442769</v>
      </c>
      <c r="BY102" s="135">
        <f t="shared" si="30"/>
        <v>7.1666666668024845</v>
      </c>
      <c r="BZ102" s="134">
        <f t="shared" si="31"/>
        <v>0.86944444444816327</v>
      </c>
      <c r="CA102" s="134">
        <f t="shared" si="32"/>
        <v>4.2951388888905058</v>
      </c>
      <c r="CB102" s="133">
        <f t="shared" si="33"/>
        <v>0.20242522231283488</v>
      </c>
    </row>
    <row r="103" spans="1:80" s="126" customFormat="1">
      <c r="A103" s="192">
        <f t="shared" si="36"/>
        <v>45062.142361111109</v>
      </c>
      <c r="B103" s="126" t="s">
        <v>188</v>
      </c>
      <c r="C103" s="126" t="s">
        <v>87</v>
      </c>
      <c r="D103" s="126" t="s">
        <v>197</v>
      </c>
      <c r="E103" s="65" t="s">
        <v>944</v>
      </c>
      <c r="G103" s="73">
        <v>45066.083333333336</v>
      </c>
      <c r="H103" s="73">
        <v>45066.125</v>
      </c>
      <c r="I103" s="126" t="s">
        <v>751</v>
      </c>
      <c r="J103" s="126" t="s">
        <v>192</v>
      </c>
      <c r="K103" s="126" t="s">
        <v>192</v>
      </c>
      <c r="L103" s="126" t="s">
        <v>1575</v>
      </c>
      <c r="M103" s="167"/>
      <c r="N103" s="126" t="s">
        <v>304</v>
      </c>
      <c r="O103" s="126" t="s">
        <v>305</v>
      </c>
      <c r="P103" s="126" t="s">
        <v>1164</v>
      </c>
      <c r="Q103" s="181">
        <f>3107*2.4</f>
        <v>7456.7999999999993</v>
      </c>
      <c r="R103" s="181"/>
      <c r="S103" s="181">
        <v>7500.61</v>
      </c>
      <c r="T103" s="181"/>
      <c r="AH103" s="181">
        <f>S103</f>
        <v>7500.61</v>
      </c>
      <c r="AX103" s="165">
        <f t="shared" si="22"/>
        <v>45062.045138888891</v>
      </c>
      <c r="AY103" s="165">
        <f t="shared" si="23"/>
        <v>45067.9375</v>
      </c>
      <c r="AZ103" s="137">
        <f t="shared" si="24"/>
        <v>5.8923611111094942</v>
      </c>
      <c r="BA103" s="165">
        <v>45062.045138888891</v>
      </c>
      <c r="BB103" s="165">
        <v>45062.045138888891</v>
      </c>
      <c r="BC103" s="165">
        <v>45062.118055555555</v>
      </c>
      <c r="BD103" s="165">
        <v>45062.142361111109</v>
      </c>
      <c r="BE103" s="165">
        <v>45062.28125</v>
      </c>
      <c r="BF103" s="165">
        <v>45062.288194444445</v>
      </c>
      <c r="BG103" s="165">
        <v>45063.048611111109</v>
      </c>
      <c r="BH103" s="165">
        <v>45063.048611111109</v>
      </c>
      <c r="BI103" s="166" t="s">
        <v>196</v>
      </c>
      <c r="BJ103" s="166" t="s">
        <v>196</v>
      </c>
      <c r="BK103" s="166" t="s">
        <v>196</v>
      </c>
      <c r="BL103" s="165">
        <v>45063.333333333336</v>
      </c>
      <c r="BM103" s="165">
        <v>45066.871527777781</v>
      </c>
      <c r="BN103" s="165">
        <v>45067.510416666664</v>
      </c>
      <c r="BO103" s="165">
        <v>45067.541666666664</v>
      </c>
      <c r="BP103" s="165">
        <v>45067.659722222219</v>
      </c>
      <c r="BQ103" s="165">
        <v>45067.9375</v>
      </c>
      <c r="BT103" s="136">
        <f t="shared" si="25"/>
        <v>1.7499999999417923</v>
      </c>
      <c r="BU103" s="136">
        <f t="shared" si="26"/>
        <v>3.3333333333721384</v>
      </c>
      <c r="BV103" s="136">
        <f t="shared" si="27"/>
        <v>0</v>
      </c>
      <c r="BW103" s="136">
        <f t="shared" si="35"/>
        <v>6.8333333334303461</v>
      </c>
      <c r="BX103" s="135">
        <f t="shared" si="29"/>
        <v>15.333333333197515</v>
      </c>
      <c r="BY103" s="135">
        <f t="shared" si="30"/>
        <v>6.6666666667442769</v>
      </c>
      <c r="BZ103" s="134">
        <f t="shared" si="31"/>
        <v>1.4131944444452529</v>
      </c>
      <c r="CA103" s="134">
        <f t="shared" si="32"/>
        <v>5.8923611111094942</v>
      </c>
      <c r="CB103" s="133">
        <f t="shared" si="33"/>
        <v>0.23983500294657897</v>
      </c>
    </row>
    <row r="104" spans="1:80" s="126" customFormat="1">
      <c r="A104" s="192">
        <f t="shared" si="36"/>
        <v>45062.833333333336</v>
      </c>
      <c r="B104" s="126" t="s">
        <v>188</v>
      </c>
      <c r="C104" s="126" t="s">
        <v>87</v>
      </c>
      <c r="D104" s="126" t="s">
        <v>197</v>
      </c>
      <c r="E104" s="65" t="s">
        <v>944</v>
      </c>
      <c r="G104" s="73">
        <v>45066.083333333336</v>
      </c>
      <c r="H104" s="73">
        <v>45066.125</v>
      </c>
      <c r="I104" s="126" t="s">
        <v>751</v>
      </c>
      <c r="J104" s="126" t="s">
        <v>192</v>
      </c>
      <c r="K104" s="126" t="s">
        <v>192</v>
      </c>
      <c r="L104" s="126" t="s">
        <v>1576</v>
      </c>
      <c r="M104" s="167"/>
      <c r="N104" s="126" t="s">
        <v>1240</v>
      </c>
      <c r="O104" s="126" t="s">
        <v>1241</v>
      </c>
      <c r="P104" s="126" t="s">
        <v>611</v>
      </c>
      <c r="Q104" s="181">
        <f>3243*2.4</f>
        <v>7783.2</v>
      </c>
      <c r="R104" s="181"/>
      <c r="S104" s="181">
        <v>7512.2619999999997</v>
      </c>
      <c r="T104" s="181"/>
      <c r="AD104" s="181">
        <f>S104</f>
        <v>7512.2619999999997</v>
      </c>
      <c r="AX104" s="165">
        <f t="shared" si="22"/>
        <v>45062.604166666664</v>
      </c>
      <c r="AY104" s="165">
        <f t="shared" si="23"/>
        <v>45068.104166666664</v>
      </c>
      <c r="AZ104" s="137">
        <f t="shared" si="24"/>
        <v>5.5</v>
      </c>
      <c r="BA104" s="165">
        <v>45062.604166666664</v>
      </c>
      <c r="BB104" s="165">
        <v>45062.604166666664</v>
      </c>
      <c r="BC104" s="165">
        <v>45062.770833333336</v>
      </c>
      <c r="BD104" s="165">
        <v>45062.833333333336</v>
      </c>
      <c r="BE104" s="165">
        <v>45062.961805555555</v>
      </c>
      <c r="BF104" s="165">
        <v>45062.96875</v>
      </c>
      <c r="BG104" s="165">
        <v>45063.833333333336</v>
      </c>
      <c r="BH104" s="165">
        <v>45063.833333333336</v>
      </c>
      <c r="BI104" s="166" t="s">
        <v>196</v>
      </c>
      <c r="BJ104" s="166" t="s">
        <v>196</v>
      </c>
      <c r="BK104" s="166" t="s">
        <v>196</v>
      </c>
      <c r="BL104" s="165">
        <v>45064.208333333336</v>
      </c>
      <c r="BM104" s="165">
        <v>45067.565972222219</v>
      </c>
      <c r="BN104" s="165">
        <v>45067.722222222219</v>
      </c>
      <c r="BO104" s="165">
        <v>45067.743055555555</v>
      </c>
      <c r="BP104" s="165">
        <v>45067.743055555555</v>
      </c>
      <c r="BQ104" s="165">
        <v>45068.104166666664</v>
      </c>
      <c r="BT104" s="136">
        <f t="shared" si="25"/>
        <v>4.0000000001164153</v>
      </c>
      <c r="BU104" s="136">
        <f t="shared" si="26"/>
        <v>3.0833333332557231</v>
      </c>
      <c r="BV104" s="136">
        <f t="shared" si="27"/>
        <v>0</v>
      </c>
      <c r="BW104" s="136">
        <f t="shared" si="35"/>
        <v>9</v>
      </c>
      <c r="BX104" s="135">
        <f t="shared" si="29"/>
        <v>3.75</v>
      </c>
      <c r="BY104" s="135">
        <f t="shared" si="30"/>
        <v>8.6666666666278616</v>
      </c>
      <c r="BZ104" s="134">
        <f t="shared" si="31"/>
        <v>1.1875</v>
      </c>
      <c r="CA104" s="134">
        <f t="shared" si="32"/>
        <v>5.5</v>
      </c>
      <c r="CB104" s="133">
        <f t="shared" si="33"/>
        <v>0.21590909090909091</v>
      </c>
    </row>
    <row r="105" spans="1:80" s="126" customFormat="1">
      <c r="A105" s="192">
        <f t="shared" si="36"/>
        <v>45064.776388888888</v>
      </c>
      <c r="B105" s="126" t="s">
        <v>188</v>
      </c>
      <c r="C105" s="126" t="s">
        <v>87</v>
      </c>
      <c r="D105" s="126" t="s">
        <v>197</v>
      </c>
      <c r="E105" s="65" t="s">
        <v>1493</v>
      </c>
      <c r="G105" s="73">
        <v>45061.625</v>
      </c>
      <c r="H105" s="73">
        <v>45061.629166666666</v>
      </c>
      <c r="I105" s="126" t="s">
        <v>751</v>
      </c>
      <c r="J105" s="126" t="s">
        <v>192</v>
      </c>
      <c r="K105" s="126" t="s">
        <v>192</v>
      </c>
      <c r="L105" s="126" t="s">
        <v>1577</v>
      </c>
      <c r="M105" s="167"/>
      <c r="N105" s="126" t="s">
        <v>233</v>
      </c>
      <c r="O105" s="126" t="s">
        <v>234</v>
      </c>
      <c r="P105" s="126" t="s">
        <v>1578</v>
      </c>
      <c r="Q105" s="181">
        <f>3215*2.4</f>
        <v>7716</v>
      </c>
      <c r="R105" s="181"/>
      <c r="S105" s="181">
        <v>7510.6059999999998</v>
      </c>
      <c r="T105" s="181"/>
      <c r="AD105" s="181">
        <v>4846.9719999999998</v>
      </c>
      <c r="AE105" s="181">
        <v>2663.634</v>
      </c>
      <c r="AX105" s="165">
        <f t="shared" si="22"/>
        <v>45063.791666666664</v>
      </c>
      <c r="AY105" s="165">
        <f t="shared" si="23"/>
        <v>45071.041666666664</v>
      </c>
      <c r="AZ105" s="137">
        <f t="shared" si="24"/>
        <v>7.25</v>
      </c>
      <c r="BA105" s="165">
        <v>45063.791666666664</v>
      </c>
      <c r="BB105" s="165">
        <v>45063.791666666664</v>
      </c>
      <c r="BC105" s="165">
        <v>45063.833333333336</v>
      </c>
      <c r="BD105" s="165">
        <v>45064.776388888888</v>
      </c>
      <c r="BE105" s="165">
        <v>45064.896527777775</v>
      </c>
      <c r="BF105" s="165">
        <v>45064.90625</v>
      </c>
      <c r="BG105" s="165">
        <v>45066.243055555555</v>
      </c>
      <c r="BH105" s="165">
        <v>45066.243055555555</v>
      </c>
      <c r="BI105" s="166" t="s">
        <v>196</v>
      </c>
      <c r="BJ105" s="166" t="s">
        <v>196</v>
      </c>
      <c r="BK105" s="166" t="s">
        <v>196</v>
      </c>
      <c r="BL105" s="165">
        <v>45066.479166666664</v>
      </c>
      <c r="BM105" s="165">
        <v>45070.135416666664</v>
      </c>
      <c r="BN105" s="165">
        <v>45070.399305555555</v>
      </c>
      <c r="BO105" s="165">
        <v>45070.409722222219</v>
      </c>
      <c r="BP105" s="165">
        <v>45070.75</v>
      </c>
      <c r="BQ105" s="165">
        <v>45071.041666666664</v>
      </c>
      <c r="BT105" s="136">
        <f t="shared" si="25"/>
        <v>1.0000000001164153</v>
      </c>
      <c r="BU105" s="136">
        <f t="shared" si="26"/>
        <v>2.8833333333022892</v>
      </c>
      <c r="BV105" s="136">
        <f t="shared" si="27"/>
        <v>0</v>
      </c>
      <c r="BW105" s="136">
        <f t="shared" si="35"/>
        <v>5.6666666666278616</v>
      </c>
      <c r="BX105" s="135">
        <f t="shared" si="29"/>
        <v>6.3333333333721384</v>
      </c>
      <c r="BY105" s="135">
        <f t="shared" si="30"/>
        <v>6.9999999999417923</v>
      </c>
      <c r="BZ105" s="134">
        <f t="shared" si="31"/>
        <v>0.95347222222335404</v>
      </c>
      <c r="CA105" s="134">
        <f t="shared" si="32"/>
        <v>7.25</v>
      </c>
      <c r="CB105" s="133">
        <f t="shared" si="33"/>
        <v>0.13151340996184194</v>
      </c>
    </row>
    <row r="106" spans="1:80" s="126" customFormat="1">
      <c r="A106" s="192">
        <f t="shared" si="36"/>
        <v>45067.204861111109</v>
      </c>
      <c r="B106" s="126" t="s">
        <v>188</v>
      </c>
      <c r="C106" s="126" t="s">
        <v>87</v>
      </c>
      <c r="D106" s="126" t="s">
        <v>197</v>
      </c>
      <c r="E106" s="65" t="s">
        <v>1515</v>
      </c>
      <c r="G106" s="73">
        <v>45069.666666666664</v>
      </c>
      <c r="H106" s="73">
        <v>45069.708333333336</v>
      </c>
      <c r="I106" s="126" t="s">
        <v>751</v>
      </c>
      <c r="J106" s="126" t="s">
        <v>192</v>
      </c>
      <c r="K106" s="126" t="s">
        <v>192</v>
      </c>
      <c r="L106" s="126" t="s">
        <v>1579</v>
      </c>
      <c r="M106" s="167"/>
      <c r="N106" s="126" t="s">
        <v>406</v>
      </c>
      <c r="O106" s="126" t="s">
        <v>407</v>
      </c>
      <c r="P106" s="126" t="s">
        <v>611</v>
      </c>
      <c r="Q106" s="181">
        <f>3107*2.4</f>
        <v>7456.7999999999993</v>
      </c>
      <c r="R106" s="181"/>
      <c r="S106" s="181">
        <v>7504.375</v>
      </c>
      <c r="T106" s="181"/>
      <c r="AD106" s="181">
        <f>S106</f>
        <v>7504.375</v>
      </c>
      <c r="AX106" s="165">
        <f t="shared" si="22"/>
        <v>45067.027777777781</v>
      </c>
      <c r="AY106" s="165">
        <f t="shared" si="23"/>
        <v>45072.003472222219</v>
      </c>
      <c r="AZ106" s="137">
        <f t="shared" si="24"/>
        <v>4.9756944444379769</v>
      </c>
      <c r="BA106" s="165">
        <v>45067.027777777781</v>
      </c>
      <c r="BB106" s="165">
        <v>45067.027777777781</v>
      </c>
      <c r="BC106" s="165">
        <v>45067.100694444445</v>
      </c>
      <c r="BD106" s="165">
        <v>45067.204861111109</v>
      </c>
      <c r="BE106" s="165">
        <v>45067.363888888889</v>
      </c>
      <c r="BF106" s="165">
        <v>45067.371527777781</v>
      </c>
      <c r="BG106" s="165">
        <v>45067.711805555555</v>
      </c>
      <c r="BH106" s="165">
        <v>45067.711805555555</v>
      </c>
      <c r="BI106" s="166" t="s">
        <v>196</v>
      </c>
      <c r="BJ106" s="166" t="s">
        <v>196</v>
      </c>
      <c r="BK106" s="166" t="s">
        <v>196</v>
      </c>
      <c r="BL106" s="165">
        <v>45068.013888888891</v>
      </c>
      <c r="BM106" s="165">
        <v>45071.125</v>
      </c>
      <c r="BN106" s="165">
        <v>45071.416666666664</v>
      </c>
      <c r="BO106" s="165">
        <v>45071.430555555555</v>
      </c>
      <c r="BP106" s="165">
        <v>45071.770833333336</v>
      </c>
      <c r="BQ106" s="165">
        <v>45072.003472222219</v>
      </c>
      <c r="BT106" s="136">
        <f t="shared" si="25"/>
        <v>1.7499999999417923</v>
      </c>
      <c r="BU106" s="136">
        <f t="shared" si="26"/>
        <v>3.8166666667093523</v>
      </c>
      <c r="BV106" s="136">
        <f t="shared" si="27"/>
        <v>0</v>
      </c>
      <c r="BW106" s="136">
        <f t="shared" si="35"/>
        <v>7.2500000000582077</v>
      </c>
      <c r="BX106" s="135">
        <f t="shared" si="29"/>
        <v>6.9999999999417923</v>
      </c>
      <c r="BY106" s="135">
        <f t="shared" si="30"/>
        <v>5.5833333331975155</v>
      </c>
      <c r="BZ106" s="134">
        <f t="shared" si="31"/>
        <v>1.0583333333270275</v>
      </c>
      <c r="CA106" s="134">
        <f t="shared" si="32"/>
        <v>4.9756944444379769</v>
      </c>
      <c r="CB106" s="133">
        <f t="shared" si="33"/>
        <v>0.21270062805204473</v>
      </c>
    </row>
    <row r="107" spans="1:80" s="126" customFormat="1">
      <c r="A107" s="192">
        <f t="shared" si="36"/>
        <v>45072.829861111109</v>
      </c>
      <c r="B107" s="126" t="s">
        <v>188</v>
      </c>
      <c r="C107" s="126" t="s">
        <v>87</v>
      </c>
      <c r="D107" s="126" t="s">
        <v>197</v>
      </c>
      <c r="E107" s="65" t="s">
        <v>1520</v>
      </c>
      <c r="G107" s="73">
        <v>45071.583333333336</v>
      </c>
      <c r="H107" s="73">
        <v>45071.583333333336</v>
      </c>
      <c r="I107" s="126" t="s">
        <v>751</v>
      </c>
      <c r="J107" s="126" t="s">
        <v>192</v>
      </c>
      <c r="K107" s="126" t="s">
        <v>192</v>
      </c>
      <c r="L107" s="126" t="s">
        <v>1580</v>
      </c>
      <c r="M107" s="167"/>
      <c r="N107" s="126" t="s">
        <v>371</v>
      </c>
      <c r="O107" s="126" t="s">
        <v>372</v>
      </c>
      <c r="P107" s="126" t="s">
        <v>1581</v>
      </c>
      <c r="Q107" s="181">
        <f>3117*2.4</f>
        <v>7480.7999999999993</v>
      </c>
      <c r="R107" s="181"/>
      <c r="S107" s="181">
        <v>7533.616</v>
      </c>
      <c r="T107" s="181"/>
      <c r="AD107" s="181">
        <v>6534.33</v>
      </c>
      <c r="AH107" s="181">
        <v>999.28599999999994</v>
      </c>
      <c r="AX107" s="165">
        <f t="shared" si="22"/>
        <v>45071.225694444445</v>
      </c>
      <c r="AY107" s="165">
        <f t="shared" si="23"/>
        <v>45078.208333333336</v>
      </c>
      <c r="AZ107" s="137">
        <f t="shared" si="24"/>
        <v>6.9826388888905058</v>
      </c>
      <c r="BA107" s="165">
        <v>45071.225694444445</v>
      </c>
      <c r="BB107" s="165">
        <v>45071.225694444445</v>
      </c>
      <c r="BC107" s="165">
        <v>45071.25</v>
      </c>
      <c r="BD107" s="165">
        <v>45072.829861111109</v>
      </c>
      <c r="BE107" s="165">
        <v>45072.972222222219</v>
      </c>
      <c r="BF107" s="165">
        <v>45072.979166666664</v>
      </c>
      <c r="BG107" s="165">
        <v>45073.805555555555</v>
      </c>
      <c r="BH107" s="165">
        <v>45073.805555555555</v>
      </c>
      <c r="BI107" s="166" t="s">
        <v>196</v>
      </c>
      <c r="BJ107" s="166" t="s">
        <v>196</v>
      </c>
      <c r="BK107" s="166" t="s">
        <v>196</v>
      </c>
      <c r="BL107" s="165">
        <v>45074.052083333336</v>
      </c>
      <c r="BM107" s="165">
        <v>45077.506944444445</v>
      </c>
      <c r="BN107" s="165">
        <v>45077.819444444445</v>
      </c>
      <c r="BO107" s="165">
        <v>45077.833333333336</v>
      </c>
      <c r="BP107" s="165">
        <v>45077.833333333336</v>
      </c>
      <c r="BQ107" s="165">
        <v>45078.208333333336</v>
      </c>
      <c r="BT107" s="136">
        <f t="shared" si="25"/>
        <v>0.58333333331393078</v>
      </c>
      <c r="BU107" s="136">
        <f t="shared" si="26"/>
        <v>3.4166666666278616</v>
      </c>
      <c r="BV107" s="136">
        <f t="shared" si="27"/>
        <v>0</v>
      </c>
      <c r="BW107" s="136">
        <f t="shared" si="35"/>
        <v>5.9166666667442769</v>
      </c>
      <c r="BX107" s="135">
        <f t="shared" si="29"/>
        <v>7.5</v>
      </c>
      <c r="BY107" s="135">
        <f t="shared" si="30"/>
        <v>9</v>
      </c>
      <c r="BZ107" s="134">
        <f t="shared" si="31"/>
        <v>1.1006944444452529</v>
      </c>
      <c r="CA107" s="134">
        <f t="shared" si="32"/>
        <v>6.9826388888905058</v>
      </c>
      <c r="CB107" s="133">
        <f t="shared" si="33"/>
        <v>0.15763301839888585</v>
      </c>
    </row>
    <row r="108" spans="1:80" s="126" customFormat="1">
      <c r="A108" s="192">
        <f t="shared" si="36"/>
        <v>45074.368055555555</v>
      </c>
      <c r="B108" s="126" t="s">
        <v>188</v>
      </c>
      <c r="C108" s="126" t="s">
        <v>87</v>
      </c>
      <c r="D108" s="126" t="s">
        <v>197</v>
      </c>
      <c r="E108" s="65" t="s">
        <v>1520</v>
      </c>
      <c r="G108" s="73">
        <v>45071.583333333336</v>
      </c>
      <c r="H108" s="73">
        <v>45071.583333333336</v>
      </c>
      <c r="I108" s="126" t="s">
        <v>751</v>
      </c>
      <c r="J108" s="126" t="s">
        <v>192</v>
      </c>
      <c r="K108" s="126" t="s">
        <v>192</v>
      </c>
      <c r="L108" s="126" t="s">
        <v>1582</v>
      </c>
      <c r="M108" s="167"/>
      <c r="N108" s="126" t="s">
        <v>492</v>
      </c>
      <c r="O108" s="126" t="s">
        <v>493</v>
      </c>
      <c r="P108" s="126" t="s">
        <v>1581</v>
      </c>
      <c r="Q108" s="181">
        <f>3152*2.4</f>
        <v>7564.7999999999993</v>
      </c>
      <c r="R108" s="181"/>
      <c r="S108" s="181">
        <v>7526.37</v>
      </c>
      <c r="T108" s="181"/>
      <c r="AD108" s="181">
        <v>6523.5230000000001</v>
      </c>
      <c r="AH108" s="181">
        <v>1002.847</v>
      </c>
      <c r="AX108" s="165">
        <f t="shared" si="22"/>
        <v>45072.631944444445</v>
      </c>
      <c r="AY108" s="165">
        <f t="shared" si="23"/>
        <v>45445.5</v>
      </c>
      <c r="AZ108" s="137">
        <f t="shared" si="24"/>
        <v>372.86805555555475</v>
      </c>
      <c r="BA108" s="165">
        <v>45072.631944444445</v>
      </c>
      <c r="BB108" s="165">
        <v>45072.631944444445</v>
      </c>
      <c r="BC108" s="165">
        <v>45072.666666666664</v>
      </c>
      <c r="BD108" s="165">
        <v>45074.368055555555</v>
      </c>
      <c r="BE108" s="165">
        <v>45074.509027777778</v>
      </c>
      <c r="BF108" s="165">
        <v>45074.517361111109</v>
      </c>
      <c r="BG108" s="165">
        <v>45074.979166666664</v>
      </c>
      <c r="BH108" s="165">
        <v>45074.979166666664</v>
      </c>
      <c r="BI108" s="166" t="s">
        <v>196</v>
      </c>
      <c r="BJ108" s="166" t="s">
        <v>196</v>
      </c>
      <c r="BK108" s="166" t="s">
        <v>196</v>
      </c>
      <c r="BL108" s="165">
        <v>45075.333333333336</v>
      </c>
      <c r="BM108" s="165">
        <v>45078.868055555555</v>
      </c>
      <c r="BN108" s="165">
        <v>45079.107638888891</v>
      </c>
      <c r="BO108" s="165">
        <v>45079.128472222219</v>
      </c>
      <c r="BP108" s="165">
        <v>45079.128472222219</v>
      </c>
      <c r="BQ108" s="165">
        <v>45445.5</v>
      </c>
      <c r="BT108" s="136">
        <f t="shared" si="25"/>
        <v>0.83333333325572312</v>
      </c>
      <c r="BU108" s="136">
        <f t="shared" si="26"/>
        <v>3.3833333333604969</v>
      </c>
      <c r="BV108" s="136">
        <f t="shared" si="27"/>
        <v>0</v>
      </c>
      <c r="BW108" s="136">
        <f t="shared" si="35"/>
        <v>8.5000000001164153</v>
      </c>
      <c r="BX108" s="135">
        <f t="shared" si="29"/>
        <v>5.7500000000582077</v>
      </c>
      <c r="BY108" s="135">
        <f t="shared" si="30"/>
        <v>8792.9166666667443</v>
      </c>
      <c r="BZ108" s="134">
        <f t="shared" si="31"/>
        <v>367.14097222223063</v>
      </c>
      <c r="CA108" s="134">
        <f t="shared" si="32"/>
        <v>372.86805555555475</v>
      </c>
      <c r="CB108" s="133">
        <f t="shared" si="33"/>
        <v>0.98464045592537808</v>
      </c>
    </row>
    <row r="109" spans="1:80" s="126" customFormat="1">
      <c r="A109" s="192">
        <f t="shared" si="36"/>
        <v>45046.586805555555</v>
      </c>
      <c r="B109" s="126" t="s">
        <v>188</v>
      </c>
      <c r="C109" s="126" t="s">
        <v>85</v>
      </c>
      <c r="D109" s="126" t="s">
        <v>197</v>
      </c>
      <c r="E109" s="126" t="s">
        <v>1583</v>
      </c>
      <c r="G109" s="73">
        <v>45049.25</v>
      </c>
      <c r="H109" s="73">
        <v>45049.197916666664</v>
      </c>
      <c r="I109" s="126" t="s">
        <v>1584</v>
      </c>
      <c r="J109" s="126" t="s">
        <v>192</v>
      </c>
      <c r="K109" s="126" t="s">
        <v>192</v>
      </c>
      <c r="L109" s="126" t="s">
        <v>1585</v>
      </c>
      <c r="M109" s="167"/>
      <c r="N109" s="126" t="s">
        <v>304</v>
      </c>
      <c r="O109" s="126" t="s">
        <v>305</v>
      </c>
      <c r="P109" s="126" t="s">
        <v>85</v>
      </c>
      <c r="Q109" s="181">
        <f>3107*2.4</f>
        <v>7456.7999999999993</v>
      </c>
      <c r="R109" s="181"/>
      <c r="S109" s="181">
        <v>7308.6189999999997</v>
      </c>
      <c r="T109" s="181"/>
      <c r="AB109" s="181">
        <f>S109</f>
        <v>7308.6189999999997</v>
      </c>
      <c r="AX109" s="165">
        <f t="shared" si="22"/>
        <v>45042.020833333336</v>
      </c>
      <c r="AY109" s="165">
        <f t="shared" si="23"/>
        <v>45053.451388888891</v>
      </c>
      <c r="AZ109" s="137">
        <f t="shared" si="24"/>
        <v>11.430555555554747</v>
      </c>
      <c r="BA109" s="165">
        <v>45042.020833333336</v>
      </c>
      <c r="BB109" s="165">
        <v>45043.458333333336</v>
      </c>
      <c r="BC109" s="165">
        <v>45045.673611111109</v>
      </c>
      <c r="BD109" s="165">
        <v>45046.586805555555</v>
      </c>
      <c r="BE109" s="165">
        <v>45047.229166666664</v>
      </c>
      <c r="BF109" s="165">
        <v>45047.243055555555</v>
      </c>
      <c r="BG109" s="165">
        <v>45048.104166666664</v>
      </c>
      <c r="BH109" s="165">
        <v>45048.104166666664</v>
      </c>
      <c r="BI109" s="166" t="s">
        <v>196</v>
      </c>
      <c r="BJ109" s="166" t="s">
        <v>196</v>
      </c>
      <c r="BK109" s="166" t="s">
        <v>196</v>
      </c>
      <c r="BL109" s="165">
        <v>45052.072916666664</v>
      </c>
      <c r="BM109" s="165">
        <v>45052.15625</v>
      </c>
      <c r="BN109" s="165">
        <v>45052.440972222219</v>
      </c>
      <c r="BO109" s="165">
        <v>45052.454861111109</v>
      </c>
      <c r="BP109" s="165">
        <v>45052.875</v>
      </c>
      <c r="BQ109" s="165">
        <v>45053.451388888891</v>
      </c>
      <c r="BT109" s="136">
        <f t="shared" si="25"/>
        <v>53.166666666569654</v>
      </c>
      <c r="BU109" s="136">
        <f t="shared" si="26"/>
        <v>15.416666666627862</v>
      </c>
      <c r="BV109" s="136">
        <f t="shared" si="27"/>
        <v>0</v>
      </c>
      <c r="BW109" s="136">
        <f t="shared" si="35"/>
        <v>95.25</v>
      </c>
      <c r="BX109" s="135">
        <f t="shared" si="29"/>
        <v>6.8333333332557231</v>
      </c>
      <c r="BY109" s="135">
        <f t="shared" si="30"/>
        <v>13.833333333372138</v>
      </c>
      <c r="BZ109" s="134">
        <f t="shared" si="31"/>
        <v>7.687499999992724</v>
      </c>
      <c r="CA109" s="134">
        <f t="shared" si="32"/>
        <v>11.430555555554747</v>
      </c>
      <c r="CB109" s="133">
        <f t="shared" si="33"/>
        <v>0.67253948967134303</v>
      </c>
    </row>
    <row r="110" spans="1:80" s="126" customFormat="1">
      <c r="A110" s="192">
        <f t="shared" si="36"/>
        <v>45049.079861111109</v>
      </c>
      <c r="B110" s="126" t="s">
        <v>188</v>
      </c>
      <c r="C110" s="126" t="s">
        <v>181</v>
      </c>
      <c r="D110" s="126" t="s">
        <v>189</v>
      </c>
      <c r="E110" s="126" t="s">
        <v>1586</v>
      </c>
      <c r="G110" s="165">
        <v>45053.541666666664</v>
      </c>
      <c r="H110" s="165">
        <v>45053.541666666664</v>
      </c>
      <c r="I110" s="65" t="s">
        <v>448</v>
      </c>
      <c r="J110" s="126" t="s">
        <v>192</v>
      </c>
      <c r="K110" s="126" t="s">
        <v>192</v>
      </c>
      <c r="L110" s="126" t="s">
        <v>1587</v>
      </c>
      <c r="M110" s="167"/>
      <c r="N110" s="126" t="s">
        <v>453</v>
      </c>
      <c r="O110" s="126" t="s">
        <v>454</v>
      </c>
      <c r="P110" s="126" t="s">
        <v>181</v>
      </c>
      <c r="Q110" s="181">
        <v>7500</v>
      </c>
      <c r="R110" s="181"/>
      <c r="S110" s="181">
        <v>7704.8909999999996</v>
      </c>
      <c r="T110" s="181"/>
      <c r="AK110" s="181">
        <f>S110</f>
        <v>7704.8909999999996</v>
      </c>
      <c r="AX110" s="165">
        <f t="shared" si="22"/>
        <v>45046.517361111109</v>
      </c>
      <c r="AY110" s="165">
        <f t="shared" si="23"/>
        <v>45054.263888888891</v>
      </c>
      <c r="AZ110" s="137">
        <f t="shared" si="24"/>
        <v>7.7465277777810115</v>
      </c>
      <c r="BA110" s="165">
        <v>45046.517361111109</v>
      </c>
      <c r="BB110" s="165">
        <v>45046.517361111109</v>
      </c>
      <c r="BC110" s="165">
        <v>45046.517361111109</v>
      </c>
      <c r="BD110" s="165">
        <v>45049.079861111109</v>
      </c>
      <c r="BE110" s="165">
        <v>45051.711805555555</v>
      </c>
      <c r="BF110" s="165">
        <v>45051.725694444445</v>
      </c>
      <c r="BG110" s="165">
        <v>45051.725694444445</v>
      </c>
      <c r="BH110" s="165">
        <v>45051.725694444445</v>
      </c>
      <c r="BI110" s="166" t="s">
        <v>196</v>
      </c>
      <c r="BJ110" s="166" t="s">
        <v>196</v>
      </c>
      <c r="BK110" s="166" t="s">
        <v>196</v>
      </c>
      <c r="BL110" s="165">
        <v>45053.666666666664</v>
      </c>
      <c r="BM110" s="165">
        <v>45053.864583333336</v>
      </c>
      <c r="BN110" s="165">
        <v>45054.177083333336</v>
      </c>
      <c r="BO110" s="165">
        <v>45054.263888888891</v>
      </c>
      <c r="BP110" s="165">
        <v>45054.263888888891</v>
      </c>
      <c r="BQ110" s="165">
        <v>45054.263888888891</v>
      </c>
      <c r="BT110" s="136">
        <f t="shared" si="25"/>
        <v>0</v>
      </c>
      <c r="BU110" s="136">
        <f t="shared" si="26"/>
        <v>63.166666666686069</v>
      </c>
      <c r="BV110" s="136">
        <f t="shared" si="27"/>
        <v>0</v>
      </c>
      <c r="BW110" s="136">
        <f t="shared" si="35"/>
        <v>46.583333333255723</v>
      </c>
      <c r="BX110" s="135">
        <f t="shared" si="29"/>
        <v>7.5</v>
      </c>
      <c r="BY110" s="135">
        <f t="shared" si="30"/>
        <v>0</v>
      </c>
      <c r="BZ110" s="134">
        <f t="shared" si="31"/>
        <v>4.8854166666642413</v>
      </c>
      <c r="CA110" s="134">
        <f t="shared" si="32"/>
        <v>7.7465277777810115</v>
      </c>
      <c r="CB110" s="133">
        <f t="shared" si="33"/>
        <v>0.63065889735486969</v>
      </c>
    </row>
    <row r="111" spans="1:80" s="126" customFormat="1">
      <c r="A111" s="192">
        <f t="shared" si="36"/>
        <v>45060.895833333336</v>
      </c>
      <c r="B111" s="126" t="s">
        <v>188</v>
      </c>
      <c r="C111" s="126" t="s">
        <v>181</v>
      </c>
      <c r="D111" s="126" t="s">
        <v>189</v>
      </c>
      <c r="E111" s="65" t="s">
        <v>1481</v>
      </c>
      <c r="G111" s="73">
        <v>45054.291666666664</v>
      </c>
      <c r="H111" s="73">
        <v>45054.270833333336</v>
      </c>
      <c r="I111" s="126" t="s">
        <v>448</v>
      </c>
      <c r="J111" s="126" t="s">
        <v>192</v>
      </c>
      <c r="K111" s="126" t="s">
        <v>192</v>
      </c>
      <c r="L111" s="126" t="s">
        <v>1588</v>
      </c>
      <c r="M111" s="167"/>
      <c r="N111" s="126" t="s">
        <v>453</v>
      </c>
      <c r="O111" s="126" t="s">
        <v>454</v>
      </c>
      <c r="P111" s="126" t="s">
        <v>181</v>
      </c>
      <c r="Q111" s="181">
        <v>7500</v>
      </c>
      <c r="R111" s="181"/>
      <c r="S111" s="181">
        <v>7726.72</v>
      </c>
      <c r="T111" s="181"/>
      <c r="AK111" s="181">
        <f>S111</f>
        <v>7726.72</v>
      </c>
      <c r="AX111" s="165">
        <f t="shared" si="22"/>
        <v>45059.815972222219</v>
      </c>
      <c r="AY111" s="165">
        <f t="shared" si="23"/>
        <v>45066.170138888891</v>
      </c>
      <c r="AZ111" s="137">
        <f t="shared" si="24"/>
        <v>6.3541666666715173</v>
      </c>
      <c r="BA111" s="165">
        <v>45059.815972222219</v>
      </c>
      <c r="BB111" s="165">
        <v>45059.815972222219</v>
      </c>
      <c r="BC111" s="165">
        <v>45059.815972222219</v>
      </c>
      <c r="BD111" s="165">
        <v>45060.895833333336</v>
      </c>
      <c r="BE111" s="165">
        <v>45062.868055555555</v>
      </c>
      <c r="BF111" s="165">
        <v>45063.680555555555</v>
      </c>
      <c r="BG111" s="165">
        <v>45063.680555555555</v>
      </c>
      <c r="BH111" s="165">
        <v>45063.680555555555</v>
      </c>
      <c r="BI111" s="166" t="s">
        <v>196</v>
      </c>
      <c r="BJ111" s="166" t="s">
        <v>196</v>
      </c>
      <c r="BK111" s="166" t="s">
        <v>196</v>
      </c>
      <c r="BL111" s="165">
        <v>45065.270833333336</v>
      </c>
      <c r="BM111" s="165">
        <v>45065.6875</v>
      </c>
      <c r="BN111" s="165">
        <v>45066.152777777781</v>
      </c>
      <c r="BO111" s="165">
        <v>45066.170138888891</v>
      </c>
      <c r="BP111" s="165">
        <v>45066.170138888891</v>
      </c>
      <c r="BQ111" s="165">
        <v>45066.170138888891</v>
      </c>
      <c r="BT111" s="136">
        <f t="shared" si="25"/>
        <v>0</v>
      </c>
      <c r="BU111" s="136">
        <f t="shared" si="26"/>
        <v>47.333333333255723</v>
      </c>
      <c r="BV111" s="136">
        <f t="shared" si="27"/>
        <v>0</v>
      </c>
      <c r="BW111" s="136">
        <f t="shared" si="35"/>
        <v>38.166666666744277</v>
      </c>
      <c r="BX111" s="135">
        <f t="shared" si="29"/>
        <v>11.166666666744277</v>
      </c>
      <c r="BY111" s="135">
        <f t="shared" si="30"/>
        <v>0</v>
      </c>
      <c r="BZ111" s="134">
        <f t="shared" si="31"/>
        <v>4.0277777777810115</v>
      </c>
      <c r="CA111" s="134">
        <f t="shared" si="32"/>
        <v>6.3541666666715173</v>
      </c>
      <c r="CB111" s="133">
        <f t="shared" si="33"/>
        <v>0.63387978142079004</v>
      </c>
    </row>
    <row r="112" spans="1:80" s="126" customFormat="1">
      <c r="A112" s="192">
        <f t="shared" si="36"/>
        <v>45070.583333333336</v>
      </c>
      <c r="B112" s="126" t="s">
        <v>188</v>
      </c>
      <c r="C112" s="126" t="s">
        <v>181</v>
      </c>
      <c r="D112" s="126" t="s">
        <v>189</v>
      </c>
      <c r="E112" s="65" t="s">
        <v>1552</v>
      </c>
      <c r="G112" s="165">
        <v>45067.35833333333</v>
      </c>
      <c r="H112" s="165">
        <v>45067.35833333333</v>
      </c>
      <c r="I112" s="126" t="s">
        <v>448</v>
      </c>
      <c r="J112" s="126" t="s">
        <v>192</v>
      </c>
      <c r="K112" s="126" t="s">
        <v>192</v>
      </c>
      <c r="L112" s="126" t="s">
        <v>1589</v>
      </c>
      <c r="M112" s="167"/>
      <c r="N112" s="126" t="s">
        <v>453</v>
      </c>
      <c r="O112" s="126" t="s">
        <v>454</v>
      </c>
      <c r="P112" s="126" t="s">
        <v>181</v>
      </c>
      <c r="Q112" s="181">
        <v>7500</v>
      </c>
      <c r="R112" s="181"/>
      <c r="S112" s="181">
        <v>7723.7430000000004</v>
      </c>
      <c r="T112" s="181"/>
      <c r="AK112" s="181">
        <f>S112</f>
        <v>7723.7430000000004</v>
      </c>
      <c r="AX112" s="165">
        <f t="shared" si="22"/>
        <v>45069.902777777781</v>
      </c>
      <c r="AY112" s="165">
        <f t="shared" si="23"/>
        <v>45075.475694444445</v>
      </c>
      <c r="AZ112" s="137">
        <f t="shared" si="24"/>
        <v>5.5729166666642413</v>
      </c>
      <c r="BA112" s="165">
        <v>45069.902777777781</v>
      </c>
      <c r="BB112" s="165">
        <v>45069.902777777781</v>
      </c>
      <c r="BC112" s="165">
        <v>45069.902777777781</v>
      </c>
      <c r="BD112" s="165">
        <v>45070.583333333336</v>
      </c>
      <c r="BE112" s="165">
        <v>45071.930555555555</v>
      </c>
      <c r="BF112" s="165">
        <v>45072.371527777781</v>
      </c>
      <c r="BG112" s="165">
        <v>45072.371527777781</v>
      </c>
      <c r="BH112" s="165">
        <v>45072.371527777781</v>
      </c>
      <c r="BI112" s="166" t="s">
        <v>196</v>
      </c>
      <c r="BJ112" s="166" t="s">
        <v>196</v>
      </c>
      <c r="BK112" s="166" t="s">
        <v>196</v>
      </c>
      <c r="BL112" s="165">
        <v>45074.166666666664</v>
      </c>
      <c r="BM112" s="165">
        <v>45074.916666666664</v>
      </c>
      <c r="BN112" s="165">
        <v>45075.454861111109</v>
      </c>
      <c r="BO112" s="165">
        <v>45075.475694444445</v>
      </c>
      <c r="BP112" s="165">
        <v>45075.475694444445</v>
      </c>
      <c r="BQ112" s="165">
        <v>45075.475694444445</v>
      </c>
      <c r="BT112" s="136">
        <f t="shared" si="25"/>
        <v>0</v>
      </c>
      <c r="BU112" s="136">
        <f t="shared" si="26"/>
        <v>32.333333333255723</v>
      </c>
      <c r="BV112" s="136">
        <f t="shared" si="27"/>
        <v>0</v>
      </c>
      <c r="BW112" s="136">
        <f t="shared" si="35"/>
        <v>43.083333333197515</v>
      </c>
      <c r="BX112" s="135">
        <f t="shared" si="29"/>
        <v>12.916666666686069</v>
      </c>
      <c r="BY112" s="135">
        <f t="shared" si="30"/>
        <v>0</v>
      </c>
      <c r="BZ112" s="134">
        <f t="shared" si="31"/>
        <v>3.6805555555474712</v>
      </c>
      <c r="CA112" s="134">
        <f t="shared" si="32"/>
        <v>5.5729166666642413</v>
      </c>
      <c r="CB112" s="133">
        <f t="shared" si="33"/>
        <v>0.66043613707048787</v>
      </c>
    </row>
    <row r="113" spans="1:80" s="126" customFormat="1">
      <c r="A113" s="192">
        <f t="shared" si="36"/>
        <v>45063.520833333336</v>
      </c>
      <c r="B113" s="126" t="s">
        <v>188</v>
      </c>
      <c r="C113" s="126" t="s">
        <v>82</v>
      </c>
      <c r="D113" s="126" t="s">
        <v>197</v>
      </c>
      <c r="E113" s="65" t="s">
        <v>1501</v>
      </c>
      <c r="G113" s="73">
        <v>45062.25</v>
      </c>
      <c r="H113" s="73">
        <v>45062.241666666669</v>
      </c>
      <c r="I113" s="126" t="s">
        <v>1046</v>
      </c>
      <c r="J113" s="126" t="s">
        <v>192</v>
      </c>
      <c r="K113" s="126" t="s">
        <v>192</v>
      </c>
      <c r="L113" s="126" t="s">
        <v>1590</v>
      </c>
      <c r="M113" s="167"/>
      <c r="N113" s="126" t="s">
        <v>1307</v>
      </c>
      <c r="O113" s="126" t="s">
        <v>1308</v>
      </c>
      <c r="P113" s="126" t="s">
        <v>82</v>
      </c>
      <c r="Q113" s="181">
        <v>5500</v>
      </c>
      <c r="R113" s="181"/>
      <c r="S113" s="181">
        <v>5328</v>
      </c>
      <c r="T113" s="181"/>
      <c r="AR113" s="181">
        <f>S113</f>
        <v>5328</v>
      </c>
      <c r="AX113" s="165">
        <f t="shared" si="22"/>
        <v>45060.625</v>
      </c>
      <c r="AY113" s="165">
        <f t="shared" si="23"/>
        <v>45070.920138888891</v>
      </c>
      <c r="AZ113" s="137">
        <f t="shared" si="24"/>
        <v>10.295138888890506</v>
      </c>
      <c r="BA113" s="165">
        <v>45060.625</v>
      </c>
      <c r="BB113" s="165">
        <v>45061.625</v>
      </c>
      <c r="BC113" s="165">
        <v>45063.347222222219</v>
      </c>
      <c r="BD113" s="165">
        <v>45063.520833333336</v>
      </c>
      <c r="BE113" s="165">
        <v>45064.145833333336</v>
      </c>
      <c r="BF113" s="165">
        <v>45064.291666666664</v>
      </c>
      <c r="BG113" s="165">
        <v>45065.079861111109</v>
      </c>
      <c r="BH113" s="165">
        <v>45065.079861111109</v>
      </c>
      <c r="BI113" s="166" t="s">
        <v>196</v>
      </c>
      <c r="BJ113" s="166" t="s">
        <v>196</v>
      </c>
      <c r="BK113" s="166" t="s">
        <v>196</v>
      </c>
      <c r="BL113" s="165">
        <v>45066.520833333336</v>
      </c>
      <c r="BM113" s="165">
        <v>45070.690972222219</v>
      </c>
      <c r="BN113" s="165">
        <v>45070.90625</v>
      </c>
      <c r="BO113" s="165">
        <v>45070.920138888891</v>
      </c>
      <c r="BP113" s="165">
        <v>45070.920138888891</v>
      </c>
      <c r="BQ113" s="165">
        <v>45070.920138888891</v>
      </c>
      <c r="BR113" s="126" t="s">
        <v>1566</v>
      </c>
      <c r="BT113" s="136">
        <f t="shared" si="25"/>
        <v>41.333333333255723</v>
      </c>
      <c r="BU113" s="136">
        <f t="shared" si="26"/>
        <v>15</v>
      </c>
      <c r="BV113" s="136">
        <f t="shared" si="27"/>
        <v>0</v>
      </c>
      <c r="BW113" s="136">
        <f t="shared" si="35"/>
        <v>34.583333333430346</v>
      </c>
      <c r="BX113" s="135">
        <f t="shared" si="29"/>
        <v>5.1666666667442769</v>
      </c>
      <c r="BY113" s="135">
        <f t="shared" si="30"/>
        <v>0</v>
      </c>
      <c r="BZ113" s="134">
        <f t="shared" si="31"/>
        <v>4.0034722222262644</v>
      </c>
      <c r="CA113" s="134">
        <f t="shared" si="32"/>
        <v>10.295138888890506</v>
      </c>
      <c r="CB113" s="133">
        <f t="shared" si="33"/>
        <v>0.38887015177098921</v>
      </c>
    </row>
    <row r="114" spans="1:80" s="126" customFormat="1">
      <c r="A114" s="192">
        <f t="shared" si="36"/>
        <v>45076.875</v>
      </c>
      <c r="B114" s="126" t="s">
        <v>188</v>
      </c>
      <c r="C114" s="126" t="s">
        <v>82</v>
      </c>
      <c r="D114" s="126" t="s">
        <v>197</v>
      </c>
      <c r="E114" s="65" t="s">
        <v>1591</v>
      </c>
      <c r="G114" s="165">
        <v>45085.784722222219</v>
      </c>
      <c r="H114" s="165">
        <v>45085.784722222219</v>
      </c>
      <c r="I114" s="126" t="s">
        <v>1046</v>
      </c>
      <c r="J114" s="126" t="s">
        <v>192</v>
      </c>
      <c r="K114" s="126" t="s">
        <v>192</v>
      </c>
      <c r="L114" s="126" t="s">
        <v>1592</v>
      </c>
      <c r="M114" s="167"/>
      <c r="N114" s="126" t="s">
        <v>1303</v>
      </c>
      <c r="O114" s="126" t="s">
        <v>1304</v>
      </c>
      <c r="P114" s="126" t="s">
        <v>82</v>
      </c>
      <c r="Q114" s="181">
        <v>5500</v>
      </c>
      <c r="R114" s="181"/>
      <c r="S114" s="181">
        <v>5313</v>
      </c>
      <c r="T114" s="181"/>
      <c r="AR114" s="181">
        <f>S114</f>
        <v>5313</v>
      </c>
      <c r="AX114" s="165">
        <f t="shared" si="22"/>
        <v>45075.923611111109</v>
      </c>
      <c r="AY114" s="165">
        <f t="shared" si="23"/>
        <v>45086.25</v>
      </c>
      <c r="AZ114" s="137">
        <f t="shared" si="24"/>
        <v>10.326388888890506</v>
      </c>
      <c r="BA114" s="165">
        <v>45075.923611111109</v>
      </c>
      <c r="BB114" s="165">
        <v>45075.927083333336</v>
      </c>
      <c r="BC114" s="165">
        <v>45076.774305555555</v>
      </c>
      <c r="BD114" s="165">
        <v>45076.875</v>
      </c>
      <c r="BE114" s="165">
        <v>45077.96875</v>
      </c>
      <c r="BF114" s="165">
        <v>45078.041666666664</v>
      </c>
      <c r="BG114" s="165">
        <v>45079.020833333336</v>
      </c>
      <c r="BH114" s="165">
        <v>45079.020833333336</v>
      </c>
      <c r="BI114" s="166" t="s">
        <v>196</v>
      </c>
      <c r="BJ114" s="166" t="s">
        <v>196</v>
      </c>
      <c r="BK114" s="166" t="s">
        <v>196</v>
      </c>
      <c r="BL114" s="165">
        <v>45080.486111111109</v>
      </c>
      <c r="BM114" s="165">
        <v>45085.114583333336</v>
      </c>
      <c r="BN114" s="165">
        <v>45085.378472222219</v>
      </c>
      <c r="BO114" s="165">
        <v>45085.392361111109</v>
      </c>
      <c r="BP114" s="165">
        <v>45085.618055555555</v>
      </c>
      <c r="BQ114" s="165">
        <v>45086.25</v>
      </c>
      <c r="BT114" s="136">
        <f t="shared" si="25"/>
        <v>20.333333333255723</v>
      </c>
      <c r="BU114" s="136">
        <f t="shared" si="26"/>
        <v>26.25</v>
      </c>
      <c r="BV114" s="136">
        <f t="shared" si="27"/>
        <v>0</v>
      </c>
      <c r="BW114" s="136">
        <f t="shared" si="35"/>
        <v>35.166666666569654</v>
      </c>
      <c r="BX114" s="135">
        <f t="shared" si="29"/>
        <v>6.3333333331975155</v>
      </c>
      <c r="BY114" s="135">
        <f t="shared" si="30"/>
        <v>15.166666666686069</v>
      </c>
      <c r="BZ114" s="134">
        <f t="shared" si="31"/>
        <v>4.3020833333212067</v>
      </c>
      <c r="CA114" s="134">
        <f t="shared" si="32"/>
        <v>10.326388888890506</v>
      </c>
      <c r="CB114" s="133">
        <f t="shared" si="33"/>
        <v>0.41661062541906979</v>
      </c>
    </row>
    <row r="115" spans="1:80" s="126" customFormat="1">
      <c r="A115" s="192">
        <f t="shared" si="36"/>
        <v>45050.972222222219</v>
      </c>
      <c r="B115" s="126" t="s">
        <v>188</v>
      </c>
      <c r="C115" s="126" t="s">
        <v>84</v>
      </c>
      <c r="D115" s="126" t="s">
        <v>197</v>
      </c>
      <c r="E115" s="126" t="s">
        <v>1583</v>
      </c>
      <c r="G115" s="73">
        <v>45049.25</v>
      </c>
      <c r="H115" s="73">
        <v>45049.197916666664</v>
      </c>
      <c r="I115" s="126" t="s">
        <v>455</v>
      </c>
      <c r="J115" s="126" t="s">
        <v>192</v>
      </c>
      <c r="K115" s="126" t="s">
        <v>192</v>
      </c>
      <c r="L115" s="126" t="s">
        <v>1593</v>
      </c>
      <c r="M115" s="167"/>
      <c r="N115" s="126" t="s">
        <v>505</v>
      </c>
      <c r="O115" s="126" t="s">
        <v>506</v>
      </c>
      <c r="P115" s="126" t="s">
        <v>84</v>
      </c>
      <c r="Q115" s="181">
        <f>3071*2.4</f>
        <v>7370.4</v>
      </c>
      <c r="R115" s="181"/>
      <c r="S115" s="181">
        <v>7501</v>
      </c>
      <c r="T115" s="181"/>
      <c r="AM115" s="181">
        <f>S115</f>
        <v>7501</v>
      </c>
      <c r="AX115" s="165">
        <f t="shared" si="22"/>
        <v>45042.857638888891</v>
      </c>
      <c r="AY115" s="165">
        <f t="shared" si="23"/>
        <v>45056.340277777781</v>
      </c>
      <c r="AZ115" s="137">
        <f t="shared" si="24"/>
        <v>13.482638888890506</v>
      </c>
      <c r="BA115" s="165">
        <v>45042.857638888891</v>
      </c>
      <c r="BB115" s="165">
        <v>45045.256944444445</v>
      </c>
      <c r="BC115" s="165">
        <v>45046.145833333336</v>
      </c>
      <c r="BD115" s="165">
        <v>45050.972222222219</v>
      </c>
      <c r="BE115" s="165">
        <v>45051.204861111109</v>
      </c>
      <c r="BF115" s="165">
        <v>45051.21875</v>
      </c>
      <c r="BG115" s="165">
        <v>45051.71875</v>
      </c>
      <c r="BH115" s="165">
        <v>45051.71875</v>
      </c>
      <c r="BI115" s="166" t="s">
        <v>196</v>
      </c>
      <c r="BJ115" s="166" t="s">
        <v>196</v>
      </c>
      <c r="BK115" s="166" t="s">
        <v>196</v>
      </c>
      <c r="BL115" s="165">
        <v>45053.440972222219</v>
      </c>
      <c r="BM115" s="165">
        <v>45055.3125</v>
      </c>
      <c r="BN115" s="165">
        <v>45055.690972222219</v>
      </c>
      <c r="BO115" s="165">
        <v>45055.701388888891</v>
      </c>
      <c r="BP115" s="165">
        <v>45055.746527777781</v>
      </c>
      <c r="BQ115" s="165">
        <v>45056.340277777781</v>
      </c>
      <c r="BT115" s="136">
        <f t="shared" si="25"/>
        <v>21.333333333372138</v>
      </c>
      <c r="BU115" s="136">
        <f t="shared" si="26"/>
        <v>5.5833333333721384</v>
      </c>
      <c r="BV115" s="136">
        <f t="shared" si="27"/>
        <v>0</v>
      </c>
      <c r="BW115" s="136">
        <f t="shared" si="35"/>
        <v>41.333333333255723</v>
      </c>
      <c r="BX115" s="135">
        <f t="shared" si="29"/>
        <v>9.0833333332557231</v>
      </c>
      <c r="BY115" s="135">
        <f t="shared" si="30"/>
        <v>14.25</v>
      </c>
      <c r="BZ115" s="134">
        <f t="shared" si="31"/>
        <v>3.8159722222189885</v>
      </c>
      <c r="CA115" s="134">
        <f t="shared" si="32"/>
        <v>13.482638888890506</v>
      </c>
      <c r="CB115" s="133">
        <f t="shared" si="33"/>
        <v>0.28302858614445969</v>
      </c>
    </row>
    <row r="116" spans="1:80" s="126" customFormat="1">
      <c r="A116" s="192">
        <f t="shared" si="36"/>
        <v>45065.027777777781</v>
      </c>
      <c r="B116" s="126" t="s">
        <v>188</v>
      </c>
      <c r="C116" s="126" t="s">
        <v>84</v>
      </c>
      <c r="D116" s="126" t="s">
        <v>215</v>
      </c>
      <c r="E116" s="126" t="s">
        <v>1557</v>
      </c>
      <c r="G116" s="165">
        <v>45067.17083333333</v>
      </c>
      <c r="H116" s="165">
        <v>45067.17083333333</v>
      </c>
      <c r="I116" s="126" t="s">
        <v>455</v>
      </c>
      <c r="J116" s="126" t="s">
        <v>192</v>
      </c>
      <c r="K116" s="126" t="s">
        <v>192</v>
      </c>
      <c r="L116" s="126" t="s">
        <v>1594</v>
      </c>
      <c r="M116" s="167"/>
      <c r="N116" s="126" t="s">
        <v>1230</v>
      </c>
      <c r="O116" s="126" t="s">
        <v>1231</v>
      </c>
      <c r="P116" s="126" t="s">
        <v>84</v>
      </c>
      <c r="Q116" s="181">
        <f>3107*2.4</f>
        <v>7456.7999999999993</v>
      </c>
      <c r="R116" s="181"/>
      <c r="S116" s="181">
        <v>7506</v>
      </c>
      <c r="T116" s="181"/>
      <c r="AM116" s="181">
        <f>S116</f>
        <v>7506</v>
      </c>
      <c r="AX116" s="165">
        <f t="shared" si="22"/>
        <v>45058.052083333336</v>
      </c>
      <c r="AY116" s="165">
        <f t="shared" si="23"/>
        <v>45070.46875</v>
      </c>
      <c r="AZ116" s="137">
        <f t="shared" si="24"/>
        <v>12.416666666664241</v>
      </c>
      <c r="BA116" s="165">
        <v>45058.052083333336</v>
      </c>
      <c r="BB116" s="165">
        <v>45060.399305555555</v>
      </c>
      <c r="BC116" s="165">
        <v>45061.479166666664</v>
      </c>
      <c r="BD116" s="165">
        <v>45065.027777777781</v>
      </c>
      <c r="BE116" s="165">
        <v>45065.350694444445</v>
      </c>
      <c r="BF116" s="165">
        <v>45065.361111111109</v>
      </c>
      <c r="BG116" s="165">
        <v>45067.069444444445</v>
      </c>
      <c r="BH116" s="165">
        <v>45067.069444444445</v>
      </c>
      <c r="BI116" s="166" t="s">
        <v>196</v>
      </c>
      <c r="BJ116" s="166" t="s">
        <v>196</v>
      </c>
      <c r="BK116" s="166" t="s">
        <v>196</v>
      </c>
      <c r="BL116" s="165">
        <v>45068.666666666664</v>
      </c>
      <c r="BM116" s="165">
        <v>45069.09375</v>
      </c>
      <c r="BN116" s="165">
        <v>45069.375</v>
      </c>
      <c r="BO116" s="165">
        <v>45069.395833333336</v>
      </c>
      <c r="BP116" s="165">
        <v>45069.888888888891</v>
      </c>
      <c r="BQ116" s="165">
        <v>45070.46875</v>
      </c>
      <c r="BT116" s="136">
        <f t="shared" si="25"/>
        <v>25.916666666627862</v>
      </c>
      <c r="BU116" s="136">
        <f t="shared" si="26"/>
        <v>7.7499999999417923</v>
      </c>
      <c r="BV116" s="136">
        <f t="shared" si="27"/>
        <v>0</v>
      </c>
      <c r="BW116" s="136">
        <f t="shared" si="35"/>
        <v>38.333333333255723</v>
      </c>
      <c r="BX116" s="135">
        <f t="shared" si="29"/>
        <v>6.75</v>
      </c>
      <c r="BY116" s="135">
        <f t="shared" si="30"/>
        <v>13.916666666627862</v>
      </c>
      <c r="BZ116" s="134">
        <f t="shared" si="31"/>
        <v>3.8611111111022183</v>
      </c>
      <c r="CA116" s="134">
        <f t="shared" si="32"/>
        <v>12.416666666664241</v>
      </c>
      <c r="CB116" s="133">
        <f t="shared" si="33"/>
        <v>0.31096196867943404</v>
      </c>
    </row>
    <row r="117" spans="1:80" s="126" customFormat="1">
      <c r="A117" s="192">
        <f t="shared" si="36"/>
        <v>45066.131944444445</v>
      </c>
      <c r="B117" s="126" t="s">
        <v>188</v>
      </c>
      <c r="C117" s="126" t="s">
        <v>84</v>
      </c>
      <c r="D117" s="126" t="s">
        <v>215</v>
      </c>
      <c r="E117" s="65" t="s">
        <v>1493</v>
      </c>
      <c r="G117" s="73">
        <v>45061.625</v>
      </c>
      <c r="H117" s="73">
        <v>45061.629166666666</v>
      </c>
      <c r="I117" s="126" t="s">
        <v>458</v>
      </c>
      <c r="J117" s="126" t="s">
        <v>192</v>
      </c>
      <c r="K117" s="126" t="s">
        <v>192</v>
      </c>
      <c r="L117" s="126" t="s">
        <v>1595</v>
      </c>
      <c r="M117" s="167"/>
      <c r="N117" s="126" t="s">
        <v>422</v>
      </c>
      <c r="O117" s="126" t="s">
        <v>275</v>
      </c>
      <c r="P117" s="126" t="s">
        <v>84</v>
      </c>
      <c r="Q117" s="181">
        <f>3097*2.4</f>
        <v>7432.7999999999993</v>
      </c>
      <c r="R117" s="181"/>
      <c r="S117" s="181">
        <v>7511</v>
      </c>
      <c r="T117" s="181"/>
      <c r="AM117" s="287">
        <f>S117</f>
        <v>7511</v>
      </c>
      <c r="AX117" s="165">
        <f t="shared" si="22"/>
        <v>45060.298611111109</v>
      </c>
      <c r="AY117" s="165">
        <f t="shared" si="23"/>
        <v>45071.486111111109</v>
      </c>
      <c r="AZ117" s="137">
        <f t="shared" si="24"/>
        <v>11.1875</v>
      </c>
      <c r="BA117" s="165">
        <v>45060.298611111109</v>
      </c>
      <c r="BB117" s="165">
        <v>45061.236111111109</v>
      </c>
      <c r="BC117" s="165">
        <v>45062.267361111109</v>
      </c>
      <c r="BD117" s="165">
        <v>45066.131944444445</v>
      </c>
      <c r="BE117" s="165">
        <v>45066.3125</v>
      </c>
      <c r="BF117" s="165">
        <v>45066.336805555555</v>
      </c>
      <c r="BG117" s="165">
        <v>45066.642361111109</v>
      </c>
      <c r="BH117" s="165">
        <v>45066.642361111109</v>
      </c>
      <c r="BI117" s="166" t="s">
        <v>196</v>
      </c>
      <c r="BJ117" s="166" t="s">
        <v>196</v>
      </c>
      <c r="BK117" s="166" t="s">
        <v>196</v>
      </c>
      <c r="BL117" s="165">
        <v>45067.885416666664</v>
      </c>
      <c r="BM117" s="165">
        <v>45070.4375</v>
      </c>
      <c r="BN117" s="165">
        <v>45070.815972222219</v>
      </c>
      <c r="BO117" s="165">
        <v>45070.826388888891</v>
      </c>
      <c r="BP117" s="165">
        <v>45071.21875</v>
      </c>
      <c r="BQ117" s="165">
        <v>45071.486111111109</v>
      </c>
      <c r="BT117" s="136">
        <f t="shared" si="25"/>
        <v>24.75</v>
      </c>
      <c r="BU117" s="136">
        <f t="shared" si="26"/>
        <v>4.3333333333139308</v>
      </c>
      <c r="BV117" s="136">
        <f t="shared" si="27"/>
        <v>0</v>
      </c>
      <c r="BW117" s="136">
        <f t="shared" si="35"/>
        <v>29.833333333313931</v>
      </c>
      <c r="BX117" s="135">
        <f t="shared" si="29"/>
        <v>9.0833333332557231</v>
      </c>
      <c r="BY117" s="135">
        <f t="shared" si="30"/>
        <v>6.4166666666278616</v>
      </c>
      <c r="BZ117" s="134">
        <f t="shared" si="31"/>
        <v>3.1006944444379769</v>
      </c>
      <c r="CA117" s="134">
        <f t="shared" si="32"/>
        <v>11.1875</v>
      </c>
      <c r="CB117" s="133">
        <f t="shared" si="33"/>
        <v>0.27715704531289181</v>
      </c>
    </row>
    <row r="118" spans="1:80" s="126" customFormat="1">
      <c r="A118" s="192">
        <f t="shared" si="36"/>
        <v>45050.815972222219</v>
      </c>
      <c r="B118" s="126" t="s">
        <v>188</v>
      </c>
      <c r="C118" s="126" t="s">
        <v>76</v>
      </c>
      <c r="D118" s="126" t="s">
        <v>197</v>
      </c>
      <c r="E118" s="65" t="s">
        <v>1362</v>
      </c>
      <c r="G118" s="165">
        <v>45051.708333333336</v>
      </c>
      <c r="H118" s="165">
        <v>45051.708333333336</v>
      </c>
      <c r="I118" s="126" t="s">
        <v>464</v>
      </c>
      <c r="J118" s="126" t="s">
        <v>192</v>
      </c>
      <c r="K118" s="126" t="s">
        <v>192</v>
      </c>
      <c r="L118" s="126" t="s">
        <v>1596</v>
      </c>
      <c r="M118" s="167"/>
      <c r="N118" s="126" t="s">
        <v>70</v>
      </c>
      <c r="O118" s="126" t="s">
        <v>255</v>
      </c>
      <c r="P118" s="126" t="s">
        <v>76</v>
      </c>
      <c r="Q118" s="181">
        <f>3047*2.4</f>
        <v>7312.8</v>
      </c>
      <c r="R118" s="181"/>
      <c r="S118" s="181">
        <v>7500</v>
      </c>
      <c r="T118" s="181"/>
      <c r="U118" s="219"/>
      <c r="AL118" s="181">
        <f t="shared" ref="AL118:AL123" si="37">S118</f>
        <v>7500</v>
      </c>
      <c r="AX118" s="165">
        <f t="shared" si="22"/>
        <v>45047.375</v>
      </c>
      <c r="AY118" s="165">
        <f t="shared" si="23"/>
        <v>45059.151388888888</v>
      </c>
      <c r="AZ118" s="137">
        <f t="shared" si="24"/>
        <v>11.776388888887595</v>
      </c>
      <c r="BA118" s="165">
        <v>45047.375</v>
      </c>
      <c r="BB118" s="165">
        <v>45048.309027777781</v>
      </c>
      <c r="BC118" s="165">
        <v>45048.715277777781</v>
      </c>
      <c r="BD118" s="165">
        <v>45050.815972222219</v>
      </c>
      <c r="BE118" s="165">
        <v>45051.149305555555</v>
      </c>
      <c r="BF118" s="165">
        <v>45051.177083333336</v>
      </c>
      <c r="BG118" s="165">
        <v>45051.177083333336</v>
      </c>
      <c r="BH118" s="165">
        <f t="shared" ref="BH118:BH123" si="38">BG118+(10/24)</f>
        <v>45051.59375</v>
      </c>
      <c r="BI118" s="165">
        <v>45054.25</v>
      </c>
      <c r="BJ118" s="165">
        <v>45054.416666666664</v>
      </c>
      <c r="BK118" s="165">
        <v>45054.329861111109</v>
      </c>
      <c r="BL118" s="165">
        <v>45056.09375</v>
      </c>
      <c r="BM118" s="165">
        <v>45058.100694444445</v>
      </c>
      <c r="BN118" s="165">
        <v>45058.527777777781</v>
      </c>
      <c r="BO118" s="165">
        <v>45058.555555555555</v>
      </c>
      <c r="BP118" s="165">
        <v>45058.777777777781</v>
      </c>
      <c r="BQ118" s="165">
        <v>45059.151388888888</v>
      </c>
      <c r="BT118" s="136">
        <f t="shared" si="25"/>
        <v>9.75</v>
      </c>
      <c r="BU118" s="136">
        <f t="shared" si="26"/>
        <v>8.0000000000582077</v>
      </c>
      <c r="BV118" s="136">
        <f t="shared" si="27"/>
        <v>9.9999999999417923</v>
      </c>
      <c r="BW118" s="136">
        <f t="shared" ref="BW118:BW134" si="39">(BL118-BJ118)*24</f>
        <v>40.250000000058208</v>
      </c>
      <c r="BX118" s="135">
        <f t="shared" si="29"/>
        <v>10.250000000058208</v>
      </c>
      <c r="BY118" s="135">
        <f t="shared" si="30"/>
        <v>8.9666666665580124</v>
      </c>
      <c r="BZ118" s="134">
        <f t="shared" si="31"/>
        <v>3.6340277777781012</v>
      </c>
      <c r="CA118" s="134">
        <f t="shared" si="32"/>
        <v>11.776388888887595</v>
      </c>
      <c r="CB118" s="133">
        <f t="shared" si="33"/>
        <v>0.30858591815078668</v>
      </c>
    </row>
    <row r="119" spans="1:80" s="126" customFormat="1">
      <c r="A119" s="192">
        <f t="shared" si="36"/>
        <v>45053.819444444445</v>
      </c>
      <c r="B119" s="126" t="s">
        <v>188</v>
      </c>
      <c r="C119" s="126" t="s">
        <v>76</v>
      </c>
      <c r="D119" s="126" t="s">
        <v>197</v>
      </c>
      <c r="E119" s="65" t="s">
        <v>1362</v>
      </c>
      <c r="G119" s="165">
        <v>45051.708333333336</v>
      </c>
      <c r="H119" s="165">
        <v>45051.708333333336</v>
      </c>
      <c r="I119" s="126" t="s">
        <v>464</v>
      </c>
      <c r="J119" s="126" t="s">
        <v>192</v>
      </c>
      <c r="K119" s="126" t="s">
        <v>192</v>
      </c>
      <c r="L119" s="126" t="s">
        <v>1597</v>
      </c>
      <c r="M119" s="167"/>
      <c r="N119" s="126" t="s">
        <v>205</v>
      </c>
      <c r="O119" s="126" t="s">
        <v>206</v>
      </c>
      <c r="P119" s="126" t="s">
        <v>76</v>
      </c>
      <c r="Q119" s="181">
        <f>3015*2.4</f>
        <v>7236</v>
      </c>
      <c r="R119" s="181"/>
      <c r="S119" s="181">
        <v>7500</v>
      </c>
      <c r="T119" s="181"/>
      <c r="U119" s="219"/>
      <c r="AL119" s="181">
        <f t="shared" si="37"/>
        <v>7500</v>
      </c>
      <c r="AX119" s="165">
        <f t="shared" si="22"/>
        <v>45047.353472222225</v>
      </c>
      <c r="AY119" s="165">
        <f t="shared" si="23"/>
        <v>45059.125</v>
      </c>
      <c r="AZ119" s="137">
        <f t="shared" si="24"/>
        <v>11.771527777775191</v>
      </c>
      <c r="BA119" s="165">
        <v>45047.353472222225</v>
      </c>
      <c r="BB119" s="165">
        <v>45048.836805555555</v>
      </c>
      <c r="BC119" s="165">
        <v>45049.263888888891</v>
      </c>
      <c r="BD119" s="165">
        <v>45053.819444444445</v>
      </c>
      <c r="BE119" s="165">
        <v>45054.15625</v>
      </c>
      <c r="BF119" s="165">
        <v>45054.177083333336</v>
      </c>
      <c r="BG119" s="165">
        <v>45054.177083333336</v>
      </c>
      <c r="BH119" s="165">
        <f t="shared" si="38"/>
        <v>45054.59375</v>
      </c>
      <c r="BI119" s="165">
        <v>45055.25</v>
      </c>
      <c r="BJ119" s="165">
        <v>45055.416666666664</v>
      </c>
      <c r="BK119" s="165">
        <v>45055.434027777781</v>
      </c>
      <c r="BL119" s="165">
        <v>45057.291666666664</v>
      </c>
      <c r="BM119" s="165">
        <v>45058.930555555555</v>
      </c>
      <c r="BN119" s="165">
        <v>45059.104166666664</v>
      </c>
      <c r="BO119" s="165">
        <v>45059.125</v>
      </c>
      <c r="BP119" s="165">
        <v>45059.125</v>
      </c>
      <c r="BQ119" s="165">
        <v>45059.125</v>
      </c>
      <c r="BR119" s="126" t="s">
        <v>1598</v>
      </c>
      <c r="BT119" s="136">
        <f t="shared" si="25"/>
        <v>10.250000000058208</v>
      </c>
      <c r="BU119" s="136">
        <f t="shared" si="26"/>
        <v>8.0833333333139308</v>
      </c>
      <c r="BV119" s="136">
        <f t="shared" si="27"/>
        <v>9.9999999999417923</v>
      </c>
      <c r="BW119" s="136">
        <f t="shared" si="39"/>
        <v>45</v>
      </c>
      <c r="BX119" s="135">
        <f t="shared" si="29"/>
        <v>4.1666666666278616</v>
      </c>
      <c r="BY119" s="135">
        <f t="shared" si="30"/>
        <v>0</v>
      </c>
      <c r="BZ119" s="134">
        <f t="shared" si="31"/>
        <v>3.2291666666642413</v>
      </c>
      <c r="CA119" s="134">
        <f t="shared" si="32"/>
        <v>11.771527777775191</v>
      </c>
      <c r="CB119" s="133">
        <f t="shared" si="33"/>
        <v>0.27432009910905136</v>
      </c>
    </row>
    <row r="120" spans="1:80" s="126" customFormat="1">
      <c r="A120" s="192">
        <f t="shared" si="36"/>
        <v>45057.670138888891</v>
      </c>
      <c r="B120" s="126" t="s">
        <v>188</v>
      </c>
      <c r="C120" s="126" t="s">
        <v>76</v>
      </c>
      <c r="D120" s="126" t="s">
        <v>197</v>
      </c>
      <c r="E120" s="65" t="s">
        <v>971</v>
      </c>
      <c r="G120" s="165">
        <v>45067.741666666669</v>
      </c>
      <c r="H120" s="165">
        <v>45067.741666666669</v>
      </c>
      <c r="I120" s="126" t="s">
        <v>464</v>
      </c>
      <c r="J120" s="126" t="s">
        <v>192</v>
      </c>
      <c r="K120" s="126" t="s">
        <v>192</v>
      </c>
      <c r="L120" s="126" t="s">
        <v>1599</v>
      </c>
      <c r="M120" s="167"/>
      <c r="N120" s="126" t="s">
        <v>304</v>
      </c>
      <c r="O120" s="126" t="s">
        <v>305</v>
      </c>
      <c r="P120" s="126" t="s">
        <v>76</v>
      </c>
      <c r="Q120" s="181">
        <f>3107*2.4</f>
        <v>7456.7999999999993</v>
      </c>
      <c r="R120" s="181"/>
      <c r="S120" s="181">
        <v>7500</v>
      </c>
      <c r="T120" s="181"/>
      <c r="U120" s="219"/>
      <c r="AL120" s="181">
        <f t="shared" si="37"/>
        <v>7500</v>
      </c>
      <c r="AX120" s="165">
        <f t="shared" si="22"/>
        <v>45053.451388888891</v>
      </c>
      <c r="AY120" s="165">
        <f t="shared" si="23"/>
        <v>45062.045138888891</v>
      </c>
      <c r="AZ120" s="137">
        <f t="shared" si="24"/>
        <v>8.59375</v>
      </c>
      <c r="BA120" s="165">
        <v>45053.451388888891</v>
      </c>
      <c r="BB120" s="165">
        <v>45055.923611111109</v>
      </c>
      <c r="BC120" s="165">
        <v>45056.333333333336</v>
      </c>
      <c r="BD120" s="165">
        <v>45057.670138888891</v>
      </c>
      <c r="BE120" s="165">
        <v>45058.107638888891</v>
      </c>
      <c r="BF120" s="165">
        <v>45058.128472222219</v>
      </c>
      <c r="BG120" s="165">
        <v>45058.128472222219</v>
      </c>
      <c r="BH120" s="165">
        <f t="shared" si="38"/>
        <v>45058.545138888883</v>
      </c>
      <c r="BI120" s="165">
        <v>45059.25</v>
      </c>
      <c r="BJ120" s="165">
        <v>45059.416666666664</v>
      </c>
      <c r="BK120" s="165">
        <v>45059.434027777781</v>
      </c>
      <c r="BL120" s="165">
        <v>45060.895833333336</v>
      </c>
      <c r="BM120" s="165">
        <v>45061.736111111109</v>
      </c>
      <c r="BN120" s="165">
        <v>45061.993055555555</v>
      </c>
      <c r="BO120" s="165">
        <v>45062.045138888891</v>
      </c>
      <c r="BP120" s="165">
        <v>45062.045138888891</v>
      </c>
      <c r="BQ120" s="165">
        <v>45062.045138888891</v>
      </c>
      <c r="BR120" s="126" t="s">
        <v>788</v>
      </c>
      <c r="BT120" s="136">
        <f t="shared" si="25"/>
        <v>9.8333333334303461</v>
      </c>
      <c r="BU120" s="136">
        <f t="shared" si="26"/>
        <v>10.5</v>
      </c>
      <c r="BV120" s="136">
        <f t="shared" si="27"/>
        <v>9.9999999999417923</v>
      </c>
      <c r="BW120" s="136">
        <f t="shared" si="39"/>
        <v>35.500000000116415</v>
      </c>
      <c r="BX120" s="135">
        <f t="shared" si="29"/>
        <v>6.1666666666860692</v>
      </c>
      <c r="BY120" s="135">
        <f t="shared" si="30"/>
        <v>0</v>
      </c>
      <c r="BZ120" s="134">
        <f t="shared" si="31"/>
        <v>3.000000000007276</v>
      </c>
      <c r="CA120" s="134">
        <f t="shared" si="32"/>
        <v>8.59375</v>
      </c>
      <c r="CB120" s="133">
        <f t="shared" si="33"/>
        <v>0.34909090909175577</v>
      </c>
    </row>
    <row r="121" spans="1:80" s="126" customFormat="1">
      <c r="A121" s="192">
        <f t="shared" si="36"/>
        <v>45062.975694444445</v>
      </c>
      <c r="B121" s="126" t="s">
        <v>188</v>
      </c>
      <c r="C121" s="126" t="s">
        <v>76</v>
      </c>
      <c r="D121" s="126" t="s">
        <v>197</v>
      </c>
      <c r="E121" s="65" t="s">
        <v>1600</v>
      </c>
      <c r="G121" s="73">
        <v>45059.291666666664</v>
      </c>
      <c r="H121" s="73">
        <v>45059.291666666664</v>
      </c>
      <c r="I121" s="126" t="s">
        <v>464</v>
      </c>
      <c r="J121" s="126" t="s">
        <v>192</v>
      </c>
      <c r="K121" s="126" t="s">
        <v>192</v>
      </c>
      <c r="L121" s="126" t="s">
        <v>1601</v>
      </c>
      <c r="M121" s="167"/>
      <c r="N121" s="126" t="s">
        <v>70</v>
      </c>
      <c r="O121" s="126" t="s">
        <v>255</v>
      </c>
      <c r="P121" s="126" t="s">
        <v>76</v>
      </c>
      <c r="Q121" s="181">
        <f>3047*2.4</f>
        <v>7312.8</v>
      </c>
      <c r="R121" s="181"/>
      <c r="S121" s="181">
        <v>7500</v>
      </c>
      <c r="T121" s="181"/>
      <c r="AL121" s="181">
        <f t="shared" si="37"/>
        <v>7500</v>
      </c>
      <c r="AX121" s="165">
        <f t="shared" si="22"/>
        <v>45059.151388888888</v>
      </c>
      <c r="AY121" s="165">
        <f t="shared" si="23"/>
        <v>45068.305555555555</v>
      </c>
      <c r="AZ121" s="137">
        <f t="shared" si="24"/>
        <v>9.1541666666671517</v>
      </c>
      <c r="BA121" s="165">
        <v>45059.151388888888</v>
      </c>
      <c r="BB121" s="165">
        <v>45061.875</v>
      </c>
      <c r="BC121" s="165">
        <v>45062.371527777781</v>
      </c>
      <c r="BD121" s="165">
        <v>45062.975694444445</v>
      </c>
      <c r="BE121" s="165">
        <v>45063.395833333336</v>
      </c>
      <c r="BF121" s="165">
        <v>45063.413194444445</v>
      </c>
      <c r="BG121" s="165">
        <v>45063.413194444445</v>
      </c>
      <c r="BH121" s="165">
        <f t="shared" si="38"/>
        <v>45063.829861111109</v>
      </c>
      <c r="BI121" s="165">
        <v>45064.229166666664</v>
      </c>
      <c r="BJ121" s="165">
        <v>45064.395833333328</v>
      </c>
      <c r="BK121" s="165">
        <v>45064.274305555555</v>
      </c>
      <c r="BL121" s="165">
        <v>45065.989583333336</v>
      </c>
      <c r="BM121" s="165">
        <v>45067.486111111109</v>
      </c>
      <c r="BN121" s="165">
        <v>45067.711805555555</v>
      </c>
      <c r="BO121" s="165">
        <v>45067.725694444445</v>
      </c>
      <c r="BP121" s="165">
        <v>45067.788194444445</v>
      </c>
      <c r="BQ121" s="165">
        <v>45068.305555555555</v>
      </c>
      <c r="BT121" s="136">
        <f t="shared" si="25"/>
        <v>11.916666666744277</v>
      </c>
      <c r="BU121" s="136">
        <f t="shared" si="26"/>
        <v>10.083333333372138</v>
      </c>
      <c r="BV121" s="136">
        <f t="shared" si="27"/>
        <v>9.9999999999417923</v>
      </c>
      <c r="BW121" s="136">
        <f t="shared" si="39"/>
        <v>38.250000000174623</v>
      </c>
      <c r="BX121" s="135">
        <f t="shared" si="29"/>
        <v>5.4166666666860692</v>
      </c>
      <c r="BY121" s="135">
        <f t="shared" si="30"/>
        <v>12.416666666627862</v>
      </c>
      <c r="BZ121" s="134">
        <f t="shared" si="31"/>
        <v>3.6701388888977817</v>
      </c>
      <c r="CA121" s="134">
        <f t="shared" si="32"/>
        <v>9.1541666666671517</v>
      </c>
      <c r="CB121" s="133">
        <f t="shared" si="33"/>
        <v>0.40092550447675052</v>
      </c>
    </row>
    <row r="122" spans="1:80" s="126" customFormat="1">
      <c r="A122" s="192">
        <f t="shared" si="36"/>
        <v>45066.576388888891</v>
      </c>
      <c r="B122" s="126" t="s">
        <v>188</v>
      </c>
      <c r="C122" s="126" t="s">
        <v>76</v>
      </c>
      <c r="D122" s="126" t="s">
        <v>197</v>
      </c>
      <c r="E122" s="65" t="s">
        <v>1552</v>
      </c>
      <c r="G122" s="165">
        <v>45067.35833333333</v>
      </c>
      <c r="H122" s="165">
        <v>45067.35833333333</v>
      </c>
      <c r="I122" s="126" t="s">
        <v>464</v>
      </c>
      <c r="J122" s="126" t="s">
        <v>192</v>
      </c>
      <c r="K122" s="126" t="s">
        <v>192</v>
      </c>
      <c r="L122" s="126" t="s">
        <v>1602</v>
      </c>
      <c r="M122" s="167"/>
      <c r="N122" s="126" t="s">
        <v>1255</v>
      </c>
      <c r="O122" s="126" t="s">
        <v>268</v>
      </c>
      <c r="P122" s="126" t="s">
        <v>76</v>
      </c>
      <c r="Q122" s="181">
        <f>3142*2.4</f>
        <v>7540.7999999999993</v>
      </c>
      <c r="R122" s="181"/>
      <c r="S122" s="181">
        <v>7500</v>
      </c>
      <c r="T122" s="181"/>
      <c r="AL122" s="181">
        <f t="shared" si="37"/>
        <v>7500</v>
      </c>
      <c r="AX122" s="165">
        <f t="shared" si="22"/>
        <v>45063.260416666664</v>
      </c>
      <c r="AY122" s="165">
        <f t="shared" si="23"/>
        <v>45076.104166666664</v>
      </c>
      <c r="AZ122" s="137">
        <f t="shared" si="24"/>
        <v>12.84375</v>
      </c>
      <c r="BA122" s="165">
        <v>45063.260416666664</v>
      </c>
      <c r="BB122" s="165">
        <v>45065.78125</v>
      </c>
      <c r="BC122" s="165">
        <v>45066.375</v>
      </c>
      <c r="BD122" s="165">
        <v>45066.576388888891</v>
      </c>
      <c r="BE122" s="165">
        <v>45067.454861111109</v>
      </c>
      <c r="BF122" s="165">
        <v>45067.482638888891</v>
      </c>
      <c r="BG122" s="165">
        <v>45067.482638888891</v>
      </c>
      <c r="BH122" s="165">
        <f t="shared" si="38"/>
        <v>45067.899305555555</v>
      </c>
      <c r="BI122" s="165">
        <v>45068.25</v>
      </c>
      <c r="BJ122" s="165">
        <v>45068.416666666664</v>
      </c>
      <c r="BK122" s="165">
        <v>45068.34375</v>
      </c>
      <c r="BL122" s="165">
        <v>45070.395833333336</v>
      </c>
      <c r="BM122" s="165">
        <v>45073.8125</v>
      </c>
      <c r="BN122" s="165">
        <v>45075.590277777781</v>
      </c>
      <c r="BO122" s="165">
        <v>45075.607638888891</v>
      </c>
      <c r="BP122" s="165">
        <v>45075.611111111109</v>
      </c>
      <c r="BQ122" s="165">
        <v>45076.104166666664</v>
      </c>
      <c r="BT122" s="136">
        <f t="shared" si="25"/>
        <v>14.25</v>
      </c>
      <c r="BU122" s="136">
        <f t="shared" si="26"/>
        <v>21.083333333255723</v>
      </c>
      <c r="BV122" s="136">
        <f t="shared" si="27"/>
        <v>9.9999999999417923</v>
      </c>
      <c r="BW122" s="136">
        <f t="shared" si="39"/>
        <v>47.500000000116415</v>
      </c>
      <c r="BX122" s="135">
        <f t="shared" si="29"/>
        <v>42.666666666744277</v>
      </c>
      <c r="BY122" s="135">
        <f t="shared" si="30"/>
        <v>11.833333333313931</v>
      </c>
      <c r="BZ122" s="134">
        <f t="shared" si="31"/>
        <v>6.1388888888905058</v>
      </c>
      <c r="CA122" s="134">
        <f t="shared" si="32"/>
        <v>12.84375</v>
      </c>
      <c r="CB122" s="133">
        <f t="shared" si="33"/>
        <v>0.47796701811312942</v>
      </c>
    </row>
    <row r="123" spans="1:80" s="126" customFormat="1">
      <c r="A123" s="192">
        <f t="shared" si="36"/>
        <v>45065.340277777781</v>
      </c>
      <c r="B123" s="126" t="s">
        <v>188</v>
      </c>
      <c r="C123" s="126" t="s">
        <v>76</v>
      </c>
      <c r="D123" s="126" t="s">
        <v>215</v>
      </c>
      <c r="E123" s="65" t="s">
        <v>1552</v>
      </c>
      <c r="G123" s="165">
        <v>45067.35833333333</v>
      </c>
      <c r="H123" s="165">
        <v>45067.35833333333</v>
      </c>
      <c r="I123" s="126" t="s">
        <v>464</v>
      </c>
      <c r="J123" s="126" t="s">
        <v>192</v>
      </c>
      <c r="K123" s="126" t="s">
        <v>192</v>
      </c>
      <c r="L123" s="126" t="s">
        <v>1603</v>
      </c>
      <c r="M123" s="167"/>
      <c r="N123" s="126" t="s">
        <v>222</v>
      </c>
      <c r="O123" s="126" t="s">
        <v>223</v>
      </c>
      <c r="P123" s="126" t="s">
        <v>76</v>
      </c>
      <c r="Q123" s="181">
        <f>3137*2.4</f>
        <v>7528.7999999999993</v>
      </c>
      <c r="R123" s="181"/>
      <c r="S123" s="181">
        <v>7500</v>
      </c>
      <c r="T123" s="181"/>
      <c r="AL123" s="181">
        <f t="shared" si="37"/>
        <v>7500</v>
      </c>
      <c r="AX123" s="165">
        <f t="shared" si="22"/>
        <v>45063.5625</v>
      </c>
      <c r="AY123" s="165">
        <f t="shared" si="23"/>
        <v>45075.048611111109</v>
      </c>
      <c r="AZ123" s="137">
        <f t="shared" si="24"/>
        <v>11.486111111109494</v>
      </c>
      <c r="BA123" s="165">
        <v>45063.5625</v>
      </c>
      <c r="BB123" s="165">
        <v>45064.541666666664</v>
      </c>
      <c r="BC123" s="165">
        <v>45065.055555555555</v>
      </c>
      <c r="BD123" s="165">
        <v>45065.340277777781</v>
      </c>
      <c r="BE123" s="165">
        <v>45065.715277777781</v>
      </c>
      <c r="BF123" s="165">
        <v>45065.732638888891</v>
      </c>
      <c r="BG123" s="165">
        <v>45065.732638888891</v>
      </c>
      <c r="BH123" s="165">
        <f t="shared" si="38"/>
        <v>45066.149305555555</v>
      </c>
      <c r="BI123" s="165">
        <v>45066.229166608799</v>
      </c>
      <c r="BJ123" s="165">
        <v>45066.395833275463</v>
      </c>
      <c r="BK123" s="165">
        <v>45066.263888888891</v>
      </c>
      <c r="BL123" s="165">
        <v>45067.854166666664</v>
      </c>
      <c r="BM123" s="165">
        <v>45074.152777777781</v>
      </c>
      <c r="BN123" s="165">
        <v>45074.486111111109</v>
      </c>
      <c r="BO123" s="165">
        <v>45074.534722222219</v>
      </c>
      <c r="BP123" s="165">
        <v>45074.538194444445</v>
      </c>
      <c r="BQ123" s="165">
        <v>45075.048611111109</v>
      </c>
      <c r="BT123" s="136">
        <f t="shared" si="25"/>
        <v>12.333333333372138</v>
      </c>
      <c r="BU123" s="136">
        <f t="shared" si="26"/>
        <v>9</v>
      </c>
      <c r="BV123" s="136">
        <f t="shared" si="27"/>
        <v>9.9999999999417923</v>
      </c>
      <c r="BW123" s="136">
        <f t="shared" si="39"/>
        <v>35.000001388834789</v>
      </c>
      <c r="BX123" s="135">
        <f t="shared" si="29"/>
        <v>7.9999999998835847</v>
      </c>
      <c r="BY123" s="135">
        <f t="shared" si="30"/>
        <v>12.249999999941792</v>
      </c>
      <c r="BZ123" s="134">
        <f t="shared" si="31"/>
        <v>3.6076389467489207</v>
      </c>
      <c r="CA123" s="134">
        <f t="shared" si="32"/>
        <v>11.486111111109494</v>
      </c>
      <c r="CB123" s="133">
        <f t="shared" si="33"/>
        <v>0.31408706670611714</v>
      </c>
    </row>
    <row r="124" spans="1:80" s="126" customFormat="1">
      <c r="A124" s="192">
        <f t="shared" si="36"/>
        <v>45047.199999999997</v>
      </c>
      <c r="B124" s="126" t="s">
        <v>228</v>
      </c>
      <c r="C124" s="126" t="s">
        <v>229</v>
      </c>
      <c r="D124" s="126" t="s">
        <v>197</v>
      </c>
      <c r="E124" s="65" t="s">
        <v>1586</v>
      </c>
      <c r="G124" s="165">
        <v>45053.541666666664</v>
      </c>
      <c r="H124" s="165">
        <v>45053.541666666664</v>
      </c>
      <c r="I124" s="126" t="s">
        <v>469</v>
      </c>
      <c r="J124" s="126" t="s">
        <v>192</v>
      </c>
      <c r="K124" s="126" t="s">
        <v>192</v>
      </c>
      <c r="L124" s="126" t="s">
        <v>1604</v>
      </c>
      <c r="M124" s="167"/>
      <c r="N124" s="126" t="s">
        <v>238</v>
      </c>
      <c r="O124" s="126" t="s">
        <v>239</v>
      </c>
      <c r="P124" s="126" t="s">
        <v>172</v>
      </c>
      <c r="Q124" s="181">
        <f>3100*2.4</f>
        <v>7440</v>
      </c>
      <c r="R124" s="181"/>
      <c r="S124" s="181">
        <v>7611.1509999999998</v>
      </c>
      <c r="T124" s="181"/>
      <c r="Z124" s="181">
        <f t="shared" ref="Z124:Z134" si="40">S124</f>
        <v>7611.1509999999998</v>
      </c>
      <c r="AX124" s="165">
        <f t="shared" si="22"/>
        <v>45041.333333333336</v>
      </c>
      <c r="AY124" s="165">
        <f t="shared" si="23"/>
        <v>45054.333333333336</v>
      </c>
      <c r="AZ124" s="137">
        <f t="shared" si="24"/>
        <v>13</v>
      </c>
      <c r="BA124" s="165">
        <v>45041.333333333336</v>
      </c>
      <c r="BB124" s="165">
        <v>45042.833333333336</v>
      </c>
      <c r="BC124" s="165">
        <v>45044.645833333336</v>
      </c>
      <c r="BD124" s="165">
        <v>45047.199999999997</v>
      </c>
      <c r="BE124" s="165">
        <v>45049.006944444445</v>
      </c>
      <c r="BF124" s="165">
        <v>45049.010416666664</v>
      </c>
      <c r="BG124" s="165">
        <v>45049.010416666664</v>
      </c>
      <c r="BH124" s="165">
        <f t="shared" ref="BH124:BH134" si="41">BG124+(41/24)</f>
        <v>45050.71875</v>
      </c>
      <c r="BI124" s="165">
        <v>45051.229166608799</v>
      </c>
      <c r="BJ124" s="165">
        <v>45051.395833275463</v>
      </c>
      <c r="BK124" s="165">
        <v>45051.357638888891</v>
      </c>
      <c r="BL124" s="165">
        <v>45053.034722222219</v>
      </c>
      <c r="BM124" s="165">
        <v>45053.048611111109</v>
      </c>
      <c r="BN124" s="165">
        <v>45053.263888888891</v>
      </c>
      <c r="BO124" s="165">
        <v>45053.392361111109</v>
      </c>
      <c r="BP124" s="165">
        <v>45053.947916666664</v>
      </c>
      <c r="BQ124" s="165">
        <v>45054.333333333336</v>
      </c>
      <c r="BT124" s="136">
        <f t="shared" si="25"/>
        <v>43.5</v>
      </c>
      <c r="BU124" s="136">
        <f t="shared" si="26"/>
        <v>43.366666666755918</v>
      </c>
      <c r="BV124" s="136">
        <f t="shared" si="27"/>
        <v>41.000000000058208</v>
      </c>
      <c r="BW124" s="136">
        <f t="shared" si="39"/>
        <v>39.33333472214872</v>
      </c>
      <c r="BX124" s="135">
        <f t="shared" si="29"/>
        <v>5.1666666667442769</v>
      </c>
      <c r="BY124" s="135">
        <f t="shared" si="30"/>
        <v>9.2500000001164153</v>
      </c>
      <c r="BZ124" s="134">
        <f t="shared" si="31"/>
        <v>7.5673611689926474</v>
      </c>
      <c r="CA124" s="134">
        <f t="shared" si="32"/>
        <v>13</v>
      </c>
      <c r="CB124" s="133">
        <f t="shared" si="33"/>
        <v>0.58210470530712677</v>
      </c>
    </row>
    <row r="125" spans="1:80" s="126" customFormat="1">
      <c r="A125" s="192">
        <f t="shared" si="36"/>
        <v>45050.9375</v>
      </c>
      <c r="B125" s="126" t="s">
        <v>228</v>
      </c>
      <c r="C125" s="126" t="s">
        <v>229</v>
      </c>
      <c r="D125" s="126" t="s">
        <v>215</v>
      </c>
      <c r="E125" s="126" t="s">
        <v>1292</v>
      </c>
      <c r="G125" s="73">
        <v>45051.354166666664</v>
      </c>
      <c r="H125" s="73">
        <v>45051.3125</v>
      </c>
      <c r="I125" s="126" t="s">
        <v>471</v>
      </c>
      <c r="J125" s="126" t="s">
        <v>192</v>
      </c>
      <c r="K125" s="126" t="s">
        <v>192</v>
      </c>
      <c r="L125" s="126" t="s">
        <v>1605</v>
      </c>
      <c r="M125" s="167"/>
      <c r="N125" s="126" t="s">
        <v>374</v>
      </c>
      <c r="O125" s="126" t="s">
        <v>375</v>
      </c>
      <c r="P125" s="126" t="s">
        <v>172</v>
      </c>
      <c r="Q125" s="181">
        <v>7508.4480000000003</v>
      </c>
      <c r="R125" s="181"/>
      <c r="S125" s="181">
        <v>7550.2250000000004</v>
      </c>
      <c r="T125" s="181"/>
      <c r="Z125" s="181">
        <f t="shared" si="40"/>
        <v>7550.2250000000004</v>
      </c>
      <c r="AX125" s="165">
        <f t="shared" si="22"/>
        <v>45042.041666666664</v>
      </c>
      <c r="AY125" s="165">
        <f t="shared" si="23"/>
        <v>45059.208333333336</v>
      </c>
      <c r="AZ125" s="137">
        <f t="shared" si="24"/>
        <v>17.166666666671517</v>
      </c>
      <c r="BA125" s="165">
        <v>45042.041666666664</v>
      </c>
      <c r="BB125" s="165">
        <v>45043.815972222219</v>
      </c>
      <c r="BC125" s="165">
        <v>45045.666666666664</v>
      </c>
      <c r="BD125" s="165">
        <v>45050.9375</v>
      </c>
      <c r="BE125" s="165">
        <v>45051.208333333336</v>
      </c>
      <c r="BF125" s="165">
        <v>45051.215277777781</v>
      </c>
      <c r="BG125" s="165">
        <v>45051.215277777781</v>
      </c>
      <c r="BH125" s="165">
        <f t="shared" si="41"/>
        <v>45052.923611111117</v>
      </c>
      <c r="BI125" s="165">
        <v>45053.25</v>
      </c>
      <c r="BJ125" s="165">
        <v>45053.416666666664</v>
      </c>
      <c r="BK125" s="165">
        <v>45053.288194444445</v>
      </c>
      <c r="BL125" s="165">
        <v>45054.444444444445</v>
      </c>
      <c r="BM125" s="165">
        <v>45058.520833333336</v>
      </c>
      <c r="BN125" s="165">
        <v>45058.833333333336</v>
      </c>
      <c r="BO125" s="165">
        <v>45058.854166666664</v>
      </c>
      <c r="BP125" s="165">
        <v>45058.854166666664</v>
      </c>
      <c r="BQ125" s="165">
        <v>45059.208333333336</v>
      </c>
      <c r="BT125" s="136">
        <f t="shared" si="25"/>
        <v>44.416666666686069</v>
      </c>
      <c r="BU125" s="136">
        <f t="shared" si="26"/>
        <v>6.5000000000582077</v>
      </c>
      <c r="BV125" s="136">
        <f t="shared" si="27"/>
        <v>41.000000000058208</v>
      </c>
      <c r="BW125" s="136">
        <f t="shared" si="39"/>
        <v>24.666666666744277</v>
      </c>
      <c r="BX125" s="135">
        <f t="shared" si="29"/>
        <v>7.5</v>
      </c>
      <c r="BY125" s="135">
        <f t="shared" si="30"/>
        <v>8.5000000001164153</v>
      </c>
      <c r="BZ125" s="134">
        <f t="shared" si="31"/>
        <v>5.524305555569299</v>
      </c>
      <c r="CA125" s="134">
        <f t="shared" si="32"/>
        <v>17.166666666671517</v>
      </c>
      <c r="CB125" s="133">
        <f t="shared" si="33"/>
        <v>0.32180420712045077</v>
      </c>
    </row>
    <row r="126" spans="1:80" s="126" customFormat="1">
      <c r="A126" s="192">
        <f t="shared" si="36"/>
        <v>45053.631944444445</v>
      </c>
      <c r="B126" s="126" t="s">
        <v>228</v>
      </c>
      <c r="C126" s="126" t="s">
        <v>229</v>
      </c>
      <c r="D126" s="126" t="s">
        <v>215</v>
      </c>
      <c r="E126" s="65" t="s">
        <v>1465</v>
      </c>
      <c r="G126" s="73">
        <v>45047.666666666664</v>
      </c>
      <c r="H126" s="73">
        <v>45047.708333333336</v>
      </c>
      <c r="I126" s="126" t="s">
        <v>471</v>
      </c>
      <c r="J126" s="126" t="s">
        <v>192</v>
      </c>
      <c r="K126" s="126" t="s">
        <v>192</v>
      </c>
      <c r="L126" s="126" t="s">
        <v>1606</v>
      </c>
      <c r="M126" s="167"/>
      <c r="N126" s="126" t="s">
        <v>721</v>
      </c>
      <c r="O126" s="126" t="s">
        <v>1349</v>
      </c>
      <c r="P126" s="126" t="s">
        <v>172</v>
      </c>
      <c r="Q126" s="181">
        <f>3136*2.4</f>
        <v>7526.4</v>
      </c>
      <c r="R126" s="181"/>
      <c r="S126" s="181">
        <v>7503.6760000000004</v>
      </c>
      <c r="T126" s="181"/>
      <c r="Z126" s="181">
        <f t="shared" si="40"/>
        <v>7503.6760000000004</v>
      </c>
      <c r="AX126" s="165">
        <f t="shared" si="22"/>
        <v>45046.541666666664</v>
      </c>
      <c r="AY126" s="165">
        <f t="shared" si="23"/>
        <v>45059.465277777781</v>
      </c>
      <c r="AZ126" s="137">
        <f t="shared" si="24"/>
        <v>12.92361111111677</v>
      </c>
      <c r="BA126" s="165">
        <v>45046.541666666664</v>
      </c>
      <c r="BB126" s="165">
        <v>45047.815972222219</v>
      </c>
      <c r="BC126" s="165">
        <v>45051.524305555555</v>
      </c>
      <c r="BD126" s="165">
        <v>45053.631944444445</v>
      </c>
      <c r="BE126" s="165">
        <v>45054.034722222219</v>
      </c>
      <c r="BF126" s="165">
        <v>45054.010416666664</v>
      </c>
      <c r="BG126" s="165">
        <v>45054.010416666664</v>
      </c>
      <c r="BH126" s="165">
        <f t="shared" si="41"/>
        <v>45055.71875</v>
      </c>
      <c r="BI126" s="165">
        <v>45056.25</v>
      </c>
      <c r="BJ126" s="165">
        <v>45056.416666666664</v>
      </c>
      <c r="BK126" s="165">
        <v>45056.309027777781</v>
      </c>
      <c r="BL126" s="165">
        <v>45057.375</v>
      </c>
      <c r="BM126" s="165">
        <v>45058.840277777781</v>
      </c>
      <c r="BN126" s="165">
        <v>45059.083333333336</v>
      </c>
      <c r="BO126" s="165">
        <v>45059.097222222219</v>
      </c>
      <c r="BP126" s="165">
        <v>45059.229166666664</v>
      </c>
      <c r="BQ126" s="165">
        <v>45059.465277777781</v>
      </c>
      <c r="BT126" s="136">
        <f t="shared" si="25"/>
        <v>89.000000000058208</v>
      </c>
      <c r="BU126" s="136">
        <f t="shared" si="26"/>
        <v>9.6666666665696539</v>
      </c>
      <c r="BV126" s="136">
        <f t="shared" si="27"/>
        <v>41.000000000058208</v>
      </c>
      <c r="BW126" s="136">
        <f t="shared" si="39"/>
        <v>23.000000000058208</v>
      </c>
      <c r="BX126" s="135">
        <f t="shared" si="29"/>
        <v>5.8333333333139308</v>
      </c>
      <c r="BY126" s="135">
        <f t="shared" si="30"/>
        <v>5.6666666668024845</v>
      </c>
      <c r="BZ126" s="134">
        <f t="shared" si="31"/>
        <v>7.2569444444525288</v>
      </c>
      <c r="CA126" s="134">
        <f t="shared" si="32"/>
        <v>12.92361111111677</v>
      </c>
      <c r="CB126" s="133">
        <f t="shared" si="33"/>
        <v>0.56152606125776816</v>
      </c>
    </row>
    <row r="127" spans="1:80" s="126" customFormat="1">
      <c r="A127" s="192">
        <f t="shared" si="36"/>
        <v>45058.411805555559</v>
      </c>
      <c r="B127" s="126" t="s">
        <v>228</v>
      </c>
      <c r="C127" s="126" t="s">
        <v>229</v>
      </c>
      <c r="D127" s="126" t="s">
        <v>197</v>
      </c>
      <c r="E127" s="65" t="s">
        <v>1441</v>
      </c>
      <c r="G127" s="165">
        <v>45061.208333333336</v>
      </c>
      <c r="H127" s="165">
        <v>45061.208333333336</v>
      </c>
      <c r="I127" s="126" t="s">
        <v>469</v>
      </c>
      <c r="J127" s="126" t="s">
        <v>192</v>
      </c>
      <c r="K127" s="126" t="s">
        <v>192</v>
      </c>
      <c r="L127" s="126" t="s">
        <v>1607</v>
      </c>
      <c r="M127" s="167"/>
      <c r="N127" s="126" t="s">
        <v>1313</v>
      </c>
      <c r="O127" s="126" t="s">
        <v>438</v>
      </c>
      <c r="P127" s="126" t="s">
        <v>172</v>
      </c>
      <c r="Q127" s="181">
        <f>3136*2.4</f>
        <v>7526.4</v>
      </c>
      <c r="R127" s="181"/>
      <c r="S127" s="181">
        <v>7594.6509999999998</v>
      </c>
      <c r="T127" s="181"/>
      <c r="Z127" s="181">
        <f t="shared" si="40"/>
        <v>7594.6509999999998</v>
      </c>
      <c r="AX127" s="165">
        <f t="shared" si="22"/>
        <v>45035.708333333336</v>
      </c>
      <c r="AY127" s="165">
        <f t="shared" si="23"/>
        <v>45065.395833333336</v>
      </c>
      <c r="AZ127" s="137">
        <f t="shared" si="24"/>
        <v>29.6875</v>
      </c>
      <c r="BA127" s="165">
        <v>45035.708333333336</v>
      </c>
      <c r="BB127" s="165">
        <v>45053.583333333336</v>
      </c>
      <c r="BC127" s="165">
        <v>45055.666666666664</v>
      </c>
      <c r="BD127" s="165">
        <v>45058.411805555559</v>
      </c>
      <c r="BE127" s="165">
        <v>45058.611111111109</v>
      </c>
      <c r="BF127" s="165">
        <v>45058.618055555555</v>
      </c>
      <c r="BG127" s="165">
        <v>45058.618055555555</v>
      </c>
      <c r="BH127" s="165">
        <f t="shared" si="41"/>
        <v>45060.326388888891</v>
      </c>
      <c r="BI127" s="165">
        <v>45061.520833333336</v>
      </c>
      <c r="BJ127" s="165">
        <v>45061.6875</v>
      </c>
      <c r="BK127" s="165">
        <v>45061.645833333336</v>
      </c>
      <c r="BL127" s="165">
        <v>45064.104166666664</v>
      </c>
      <c r="BM127" s="165">
        <v>45064.201388888891</v>
      </c>
      <c r="BN127" s="165">
        <v>45064.461805555555</v>
      </c>
      <c r="BO127" s="165">
        <v>45064.475694444445</v>
      </c>
      <c r="BP127" s="165">
        <v>45064.78125</v>
      </c>
      <c r="BQ127" s="165">
        <v>45065.395833333336</v>
      </c>
      <c r="BT127" s="136">
        <f t="shared" si="25"/>
        <v>49.999999999883585</v>
      </c>
      <c r="BU127" s="136">
        <f t="shared" si="26"/>
        <v>4.783333333209157</v>
      </c>
      <c r="BV127" s="136">
        <f t="shared" si="27"/>
        <v>41.000000000058208</v>
      </c>
      <c r="BW127" s="136">
        <f t="shared" si="39"/>
        <v>57.999999999941792</v>
      </c>
      <c r="BX127" s="135">
        <f t="shared" si="29"/>
        <v>6.2499999999417923</v>
      </c>
      <c r="BY127" s="135">
        <f t="shared" si="30"/>
        <v>14.750000000058208</v>
      </c>
      <c r="BZ127" s="134">
        <f t="shared" si="31"/>
        <v>7.2826388888788642</v>
      </c>
      <c r="CA127" s="134">
        <f t="shared" si="32"/>
        <v>29.6875</v>
      </c>
      <c r="CB127" s="133">
        <f t="shared" si="33"/>
        <v>0.24530994152013016</v>
      </c>
    </row>
    <row r="128" spans="1:80" s="126" customFormat="1">
      <c r="A128" s="192">
        <f t="shared" si="36"/>
        <v>45059.96875</v>
      </c>
      <c r="B128" s="126" t="s">
        <v>228</v>
      </c>
      <c r="C128" s="126" t="s">
        <v>229</v>
      </c>
      <c r="D128" s="126" t="s">
        <v>197</v>
      </c>
      <c r="E128" s="65" t="s">
        <v>944</v>
      </c>
      <c r="G128" s="73">
        <v>45066.083333333336</v>
      </c>
      <c r="H128" s="73">
        <v>45066.125</v>
      </c>
      <c r="I128" s="126" t="s">
        <v>471</v>
      </c>
      <c r="J128" s="126" t="s">
        <v>192</v>
      </c>
      <c r="K128" s="126" t="s">
        <v>192</v>
      </c>
      <c r="L128" s="126" t="s">
        <v>1608</v>
      </c>
      <c r="M128" s="167"/>
      <c r="N128" s="126" t="s">
        <v>346</v>
      </c>
      <c r="O128" s="126" t="s">
        <v>1544</v>
      </c>
      <c r="P128" s="126" t="s">
        <v>172</v>
      </c>
      <c r="Q128" s="181">
        <f>3136*2.4</f>
        <v>7526.4</v>
      </c>
      <c r="R128" s="181"/>
      <c r="S128" s="181">
        <v>7651.2449999999999</v>
      </c>
      <c r="T128" s="181"/>
      <c r="Z128" s="181">
        <f t="shared" si="40"/>
        <v>7651.2449999999999</v>
      </c>
      <c r="AX128" s="165">
        <f t="shared" si="22"/>
        <v>45049.324305555558</v>
      </c>
      <c r="AY128" s="165">
        <f t="shared" si="23"/>
        <v>45068.4375</v>
      </c>
      <c r="AZ128" s="137">
        <f t="shared" si="24"/>
        <v>19.113194444442343</v>
      </c>
      <c r="BA128" s="165">
        <v>45049.324305555558</v>
      </c>
      <c r="BB128" s="165">
        <v>45055.54583333333</v>
      </c>
      <c r="BC128" s="165">
        <v>45057.645833333336</v>
      </c>
      <c r="BD128" s="165">
        <v>45059.96875</v>
      </c>
      <c r="BE128" s="165">
        <v>45060.236111111109</v>
      </c>
      <c r="BF128" s="165">
        <v>45060.246527777781</v>
      </c>
      <c r="BG128" s="165">
        <v>45060.246527777781</v>
      </c>
      <c r="BH128" s="165">
        <f t="shared" si="41"/>
        <v>45061.954861111117</v>
      </c>
      <c r="BI128" s="165">
        <v>45062.541666666664</v>
      </c>
      <c r="BJ128" s="165">
        <v>45062.708333333328</v>
      </c>
      <c r="BK128" s="165">
        <v>45062.666666666664</v>
      </c>
      <c r="BL128" s="165">
        <v>45066.625</v>
      </c>
      <c r="BM128" s="165">
        <v>45067.784722222219</v>
      </c>
      <c r="BN128" s="165">
        <v>45068.135416666664</v>
      </c>
      <c r="BO128" s="165">
        <v>45068.15625</v>
      </c>
      <c r="BP128" s="165">
        <v>45068.15625</v>
      </c>
      <c r="BQ128" s="165">
        <v>45068.4375</v>
      </c>
      <c r="BR128" s="126" t="s">
        <v>1609</v>
      </c>
      <c r="BT128" s="136">
        <f t="shared" si="25"/>
        <v>50.400000000139698</v>
      </c>
      <c r="BU128" s="136">
        <f t="shared" si="26"/>
        <v>6.4166666666278616</v>
      </c>
      <c r="BV128" s="136">
        <f t="shared" si="27"/>
        <v>41.000000000058208</v>
      </c>
      <c r="BW128" s="136">
        <f t="shared" si="39"/>
        <v>94.000000000116415</v>
      </c>
      <c r="BX128" s="135">
        <f t="shared" si="29"/>
        <v>8.4166666666860692</v>
      </c>
      <c r="BY128" s="135">
        <f t="shared" si="30"/>
        <v>6.75</v>
      </c>
      <c r="BZ128" s="134">
        <f t="shared" si="31"/>
        <v>8.6243055555678438</v>
      </c>
      <c r="CA128" s="134">
        <f t="shared" si="32"/>
        <v>19.113194444442343</v>
      </c>
      <c r="CB128" s="133">
        <f t="shared" si="33"/>
        <v>0.45122261381459366</v>
      </c>
    </row>
    <row r="129" spans="1:80" s="126" customFormat="1">
      <c r="A129" s="192">
        <f t="shared" si="36"/>
        <v>45062.555555555555</v>
      </c>
      <c r="B129" s="126" t="s">
        <v>228</v>
      </c>
      <c r="C129" s="126" t="s">
        <v>229</v>
      </c>
      <c r="D129" s="126" t="s">
        <v>197</v>
      </c>
      <c r="E129" s="65" t="s">
        <v>1493</v>
      </c>
      <c r="G129" s="73">
        <v>45061.625</v>
      </c>
      <c r="H129" s="73">
        <v>45061.629166666666</v>
      </c>
      <c r="I129" s="126" t="s">
        <v>471</v>
      </c>
      <c r="J129" s="126" t="s">
        <v>192</v>
      </c>
      <c r="K129" s="126" t="s">
        <v>192</v>
      </c>
      <c r="L129" s="126" t="s">
        <v>1610</v>
      </c>
      <c r="M129" s="167"/>
      <c r="N129" s="126" t="s">
        <v>505</v>
      </c>
      <c r="O129" s="126" t="s">
        <v>506</v>
      </c>
      <c r="P129" s="126" t="s">
        <v>172</v>
      </c>
      <c r="Q129" s="181">
        <f>3071*2.4</f>
        <v>7370.4</v>
      </c>
      <c r="R129" s="181"/>
      <c r="S129" s="181">
        <v>7525.5810000000001</v>
      </c>
      <c r="T129" s="181"/>
      <c r="U129" s="219"/>
      <c r="Z129" s="181">
        <f t="shared" si="40"/>
        <v>7525.5810000000001</v>
      </c>
      <c r="AX129" s="165">
        <f t="shared" si="22"/>
        <v>45056.340277777781</v>
      </c>
      <c r="AY129" s="165">
        <f t="shared" si="23"/>
        <v>45068.923611111109</v>
      </c>
      <c r="AZ129" s="137">
        <f t="shared" si="24"/>
        <v>12.583333333328483</v>
      </c>
      <c r="BA129" s="165">
        <v>45056.340277777781</v>
      </c>
      <c r="BB129" s="165">
        <v>45058.826388888891</v>
      </c>
      <c r="BC129" s="165">
        <v>45060.732638888891</v>
      </c>
      <c r="BD129" s="165">
        <v>45062.555555555555</v>
      </c>
      <c r="BE129" s="165">
        <v>45062.774305555555</v>
      </c>
      <c r="BF129" s="165">
        <v>45062.784722222219</v>
      </c>
      <c r="BG129" s="165">
        <v>45062.784722222219</v>
      </c>
      <c r="BH129" s="165">
        <f t="shared" si="41"/>
        <v>45064.493055555555</v>
      </c>
      <c r="BI129" s="165">
        <v>45064.229166666664</v>
      </c>
      <c r="BJ129" s="165">
        <v>45064.395833333328</v>
      </c>
      <c r="BK129" s="165">
        <v>45064.34375</v>
      </c>
      <c r="BL129" s="165">
        <v>45066.173611111109</v>
      </c>
      <c r="BM129" s="165">
        <v>45068.392361111109</v>
      </c>
      <c r="BN129" s="165">
        <v>45068.607638888891</v>
      </c>
      <c r="BO129" s="165">
        <v>45068.711805555555</v>
      </c>
      <c r="BP129" s="165">
        <v>45068.711805555555</v>
      </c>
      <c r="BQ129" s="165">
        <v>45068.923611111109</v>
      </c>
      <c r="BT129" s="136">
        <f t="shared" si="25"/>
        <v>45.75</v>
      </c>
      <c r="BU129" s="136">
        <f t="shared" si="26"/>
        <v>5.25</v>
      </c>
      <c r="BV129" s="136">
        <f t="shared" si="27"/>
        <v>41.000000000058208</v>
      </c>
      <c r="BW129" s="136">
        <f t="shared" si="39"/>
        <v>42.666666666744277</v>
      </c>
      <c r="BX129" s="135">
        <f t="shared" si="29"/>
        <v>5.1666666667442769</v>
      </c>
      <c r="BY129" s="135">
        <f t="shared" si="30"/>
        <v>5.0833333333139308</v>
      </c>
      <c r="BZ129" s="134">
        <f t="shared" si="31"/>
        <v>6.0381944444525288</v>
      </c>
      <c r="CA129" s="134">
        <f t="shared" si="32"/>
        <v>12.583333333328483</v>
      </c>
      <c r="CB129" s="133">
        <f t="shared" si="33"/>
        <v>0.47985651214210778</v>
      </c>
    </row>
    <row r="130" spans="1:80" s="126" customFormat="1">
      <c r="A130" s="192">
        <f t="shared" si="36"/>
        <v>45066.899305555555</v>
      </c>
      <c r="B130" s="126" t="s">
        <v>228</v>
      </c>
      <c r="C130" s="126" t="s">
        <v>229</v>
      </c>
      <c r="D130" s="126" t="s">
        <v>197</v>
      </c>
      <c r="E130" s="65" t="s">
        <v>1515</v>
      </c>
      <c r="G130" s="73">
        <v>45069.666666666664</v>
      </c>
      <c r="H130" s="73">
        <v>45069.708333333336</v>
      </c>
      <c r="I130" s="126" t="s">
        <v>471</v>
      </c>
      <c r="J130" s="126" t="s">
        <v>192</v>
      </c>
      <c r="K130" s="126" t="s">
        <v>192</v>
      </c>
      <c r="L130" s="126" t="s">
        <v>1611</v>
      </c>
      <c r="M130" s="167"/>
      <c r="N130" s="126" t="s">
        <v>263</v>
      </c>
      <c r="O130" s="126" t="s">
        <v>264</v>
      </c>
      <c r="P130" s="126" t="s">
        <v>172</v>
      </c>
      <c r="Q130" s="181">
        <f>3136*2.4</f>
        <v>7526.4</v>
      </c>
      <c r="R130" s="181"/>
      <c r="S130" s="181">
        <v>7644.4470000000001</v>
      </c>
      <c r="T130" s="181"/>
      <c r="Z130" s="181">
        <f t="shared" si="40"/>
        <v>7644.4470000000001</v>
      </c>
      <c r="AX130" s="165">
        <f t="shared" si="22"/>
        <v>45061.201388888891</v>
      </c>
      <c r="AY130" s="165">
        <f t="shared" si="23"/>
        <v>45073.1875</v>
      </c>
      <c r="AZ130" s="137">
        <f t="shared" si="24"/>
        <v>11.986111111109494</v>
      </c>
      <c r="BA130" s="165">
        <v>45061.201388888891</v>
      </c>
      <c r="BB130" s="165">
        <v>45062.385416666664</v>
      </c>
      <c r="BC130" s="165">
        <v>45064.166666666664</v>
      </c>
      <c r="BD130" s="165">
        <v>45066.899305555555</v>
      </c>
      <c r="BE130" s="165">
        <v>45067.079861111109</v>
      </c>
      <c r="BF130" s="165">
        <v>45067.090277777781</v>
      </c>
      <c r="BG130" s="165">
        <v>45067.25</v>
      </c>
      <c r="BH130" s="165">
        <f t="shared" si="41"/>
        <v>45068.958333333336</v>
      </c>
      <c r="BI130" s="165">
        <v>45069.25</v>
      </c>
      <c r="BJ130" s="165">
        <v>45069.416666666664</v>
      </c>
      <c r="BK130" s="165">
        <v>45069.371527777781</v>
      </c>
      <c r="BL130" s="165">
        <v>45070.354166666664</v>
      </c>
      <c r="BM130" s="165">
        <v>45072.524305555555</v>
      </c>
      <c r="BN130" s="165">
        <v>45072.826388888891</v>
      </c>
      <c r="BO130" s="165">
        <v>45072.840277777781</v>
      </c>
      <c r="BP130" s="165">
        <v>45072.840277777781</v>
      </c>
      <c r="BQ130" s="165">
        <v>45073.1875</v>
      </c>
      <c r="BT130" s="136">
        <f t="shared" si="25"/>
        <v>42.75</v>
      </c>
      <c r="BU130" s="136">
        <f t="shared" si="26"/>
        <v>4.3333333333139308</v>
      </c>
      <c r="BV130" s="136">
        <f t="shared" si="27"/>
        <v>41.000000000058208</v>
      </c>
      <c r="BW130" s="136">
        <f t="shared" si="39"/>
        <v>22.5</v>
      </c>
      <c r="BX130" s="135">
        <f t="shared" si="29"/>
        <v>7.2500000000582077</v>
      </c>
      <c r="BY130" s="135">
        <f t="shared" si="30"/>
        <v>8.3333333332557231</v>
      </c>
      <c r="BZ130" s="134">
        <f t="shared" si="31"/>
        <v>5.2569444444452529</v>
      </c>
      <c r="CA130" s="134">
        <f t="shared" si="32"/>
        <v>11.986111111109494</v>
      </c>
      <c r="CB130" s="133">
        <f t="shared" si="33"/>
        <v>0.43858632676721815</v>
      </c>
    </row>
    <row r="131" spans="1:80" s="126" customFormat="1">
      <c r="A131" s="192">
        <f t="shared" si="36"/>
        <v>45070.601388888892</v>
      </c>
      <c r="B131" s="126" t="s">
        <v>228</v>
      </c>
      <c r="C131" s="126" t="s">
        <v>229</v>
      </c>
      <c r="D131" s="126" t="s">
        <v>197</v>
      </c>
      <c r="E131" s="65" t="s">
        <v>1591</v>
      </c>
      <c r="G131" s="165">
        <v>45085.784722222219</v>
      </c>
      <c r="H131" s="165">
        <v>45085.784722222219</v>
      </c>
      <c r="I131" s="126" t="s">
        <v>469</v>
      </c>
      <c r="J131" s="126" t="s">
        <v>192</v>
      </c>
      <c r="K131" s="126" t="s">
        <v>192</v>
      </c>
      <c r="L131" s="126" t="s">
        <v>1612</v>
      </c>
      <c r="M131" s="167"/>
      <c r="N131" s="126" t="s">
        <v>304</v>
      </c>
      <c r="O131" s="126" t="s">
        <v>305</v>
      </c>
      <c r="P131" s="126" t="s">
        <v>172</v>
      </c>
      <c r="Q131" s="181">
        <f>3107*2.4</f>
        <v>7456.7999999999993</v>
      </c>
      <c r="R131" s="181"/>
      <c r="S131" s="181">
        <v>7510.143</v>
      </c>
      <c r="T131" s="181"/>
      <c r="Z131" s="181">
        <f t="shared" si="40"/>
        <v>7510.143</v>
      </c>
      <c r="AX131" s="165">
        <f t="shared" si="22"/>
        <v>45067.9375</v>
      </c>
      <c r="AY131" s="165">
        <f t="shared" si="23"/>
        <v>45084.993055555555</v>
      </c>
      <c r="AZ131" s="137">
        <f t="shared" si="24"/>
        <v>17.055555555554747</v>
      </c>
      <c r="BA131" s="165">
        <v>45067.9375</v>
      </c>
      <c r="BB131" s="165">
        <v>45068.902777777781</v>
      </c>
      <c r="BC131" s="165">
        <v>45070.576388888891</v>
      </c>
      <c r="BD131" s="165">
        <v>45070.601388888892</v>
      </c>
      <c r="BE131" s="165">
        <v>45070.879166666666</v>
      </c>
      <c r="BF131" s="165">
        <v>45070.888888888891</v>
      </c>
      <c r="BG131" s="165">
        <v>45071.222222222219</v>
      </c>
      <c r="BH131" s="165">
        <f t="shared" si="41"/>
        <v>45072.930555555555</v>
      </c>
      <c r="BI131" s="165">
        <v>45072.25</v>
      </c>
      <c r="BJ131" s="165">
        <v>45072.416666666664</v>
      </c>
      <c r="BK131" s="165">
        <v>45072.409722222219</v>
      </c>
      <c r="BL131" s="165">
        <v>45074.055555555555</v>
      </c>
      <c r="BM131" s="165">
        <v>45084.010416666664</v>
      </c>
      <c r="BN131" s="165">
        <v>45084.315972222219</v>
      </c>
      <c r="BO131" s="165">
        <v>45084.333333333336</v>
      </c>
      <c r="BP131" s="165">
        <v>45084.336805555555</v>
      </c>
      <c r="BQ131" s="165">
        <v>45084.993055555555</v>
      </c>
      <c r="BT131" s="136">
        <f t="shared" si="25"/>
        <v>40.166666666627862</v>
      </c>
      <c r="BU131" s="136">
        <f t="shared" si="26"/>
        <v>6.6666666665696539</v>
      </c>
      <c r="BV131" s="136">
        <f t="shared" si="27"/>
        <v>41.000000000058208</v>
      </c>
      <c r="BW131" s="136">
        <f t="shared" si="39"/>
        <v>39.333333333372138</v>
      </c>
      <c r="BX131" s="135">
        <f t="shared" si="29"/>
        <v>7.3333333333139308</v>
      </c>
      <c r="BY131" s="135">
        <f t="shared" si="30"/>
        <v>15.75</v>
      </c>
      <c r="BZ131" s="134">
        <f t="shared" si="31"/>
        <v>6.2604166666642413</v>
      </c>
      <c r="CA131" s="134">
        <f t="shared" si="32"/>
        <v>17.055555555554747</v>
      </c>
      <c r="CB131" s="133">
        <f t="shared" si="33"/>
        <v>0.3670602605861944</v>
      </c>
    </row>
    <row r="132" spans="1:80" s="126" customFormat="1">
      <c r="A132" s="192">
        <f t="shared" si="36"/>
        <v>45072.559027777781</v>
      </c>
      <c r="B132" s="126" t="s">
        <v>228</v>
      </c>
      <c r="C132" s="126" t="s">
        <v>229</v>
      </c>
      <c r="D132" s="126" t="s">
        <v>215</v>
      </c>
      <c r="E132" s="65" t="s">
        <v>1591</v>
      </c>
      <c r="G132" s="165">
        <v>45085.784722222219</v>
      </c>
      <c r="H132" s="165">
        <v>45085.784722222219</v>
      </c>
      <c r="I132" s="126" t="s">
        <v>469</v>
      </c>
      <c r="J132" s="126" t="s">
        <v>192</v>
      </c>
      <c r="K132" s="126" t="s">
        <v>192</v>
      </c>
      <c r="L132" s="126" t="s">
        <v>1613</v>
      </c>
      <c r="M132" s="167"/>
      <c r="N132" s="126" t="s">
        <v>218</v>
      </c>
      <c r="O132" s="126" t="s">
        <v>219</v>
      </c>
      <c r="P132" s="126" t="s">
        <v>172</v>
      </c>
      <c r="Q132" s="181">
        <f>3087*2.4</f>
        <v>7408.7999999999993</v>
      </c>
      <c r="R132" s="181"/>
      <c r="S132" s="181">
        <v>7559.8459999999995</v>
      </c>
      <c r="T132" s="181"/>
      <c r="Z132" s="181">
        <f t="shared" si="40"/>
        <v>7559.8459999999995</v>
      </c>
      <c r="AX132" s="165">
        <f t="shared" ref="AX132:AX184" si="42">BA132</f>
        <v>45068.447916666664</v>
      </c>
      <c r="AY132" s="165">
        <f t="shared" ref="AY132:AY184" si="43">BQ132</f>
        <v>45085.451388888891</v>
      </c>
      <c r="AZ132" s="137">
        <f t="shared" ref="AZ132:AZ184" si="44">AY132-AX132</f>
        <v>17.003472222226264</v>
      </c>
      <c r="BA132" s="165">
        <v>45068.447916666664</v>
      </c>
      <c r="BB132" s="165">
        <v>45068.8125</v>
      </c>
      <c r="BC132" s="165">
        <v>45070.902777777781</v>
      </c>
      <c r="BD132" s="165">
        <v>45072.559027777781</v>
      </c>
      <c r="BE132" s="165">
        <v>45072.770833333336</v>
      </c>
      <c r="BF132" s="165">
        <v>45072.774305555555</v>
      </c>
      <c r="BG132" s="165">
        <v>45073.291666666664</v>
      </c>
      <c r="BH132" s="165">
        <f t="shared" si="41"/>
        <v>45075</v>
      </c>
      <c r="BI132" s="165">
        <v>45075.25</v>
      </c>
      <c r="BJ132" s="165">
        <v>45075.416666666664</v>
      </c>
      <c r="BK132" s="165">
        <v>45075.309027777781</v>
      </c>
      <c r="BL132" s="165">
        <v>45076.84375</v>
      </c>
      <c r="BM132" s="165">
        <v>45084.788194444445</v>
      </c>
      <c r="BN132" s="165">
        <v>45085.017361111109</v>
      </c>
      <c r="BO132" s="165">
        <v>45085.03125</v>
      </c>
      <c r="BP132" s="165">
        <v>45085.034722222219</v>
      </c>
      <c r="BQ132" s="165">
        <v>45085.451388888891</v>
      </c>
      <c r="BT132" s="136">
        <f t="shared" ref="BT132:BT184" si="45">(BC132-BB132)*24</f>
        <v>50.166666666744277</v>
      </c>
      <c r="BU132" s="136">
        <f t="shared" ref="BU132:BU184" si="46">(BE132-BD132)*24</f>
        <v>5.0833333333139308</v>
      </c>
      <c r="BV132" s="136">
        <f t="shared" ref="BV132:BV184" si="47">(BH132-BG132)*24</f>
        <v>41.000000000058208</v>
      </c>
      <c r="BW132" s="136">
        <f t="shared" si="39"/>
        <v>34.250000000058208</v>
      </c>
      <c r="BX132" s="135">
        <f t="shared" ref="BX132:BX184" si="48">(BN132-BM132)*24</f>
        <v>5.4999999999417923</v>
      </c>
      <c r="BY132" s="135">
        <f t="shared" ref="BY132:BY184" si="49">(BQ132-BP132)*24</f>
        <v>10.000000000116415</v>
      </c>
      <c r="BZ132" s="134">
        <f t="shared" ref="BZ132:BZ184" si="50">SUM(BT132:BY132)/24</f>
        <v>6.0833333333430346</v>
      </c>
      <c r="CA132" s="134">
        <f t="shared" ref="CA132:CA184" si="51">AZ132</f>
        <v>17.003472222226264</v>
      </c>
      <c r="CB132" s="133">
        <f t="shared" ref="CB132:CB184" si="52">BZ132/CA132</f>
        <v>0.35777006330454919</v>
      </c>
    </row>
    <row r="133" spans="1:80">
      <c r="A133" s="119">
        <f t="shared" si="36"/>
        <v>45074.972222222219</v>
      </c>
      <c r="B133" s="115" t="s">
        <v>228</v>
      </c>
      <c r="C133" s="115" t="s">
        <v>229</v>
      </c>
      <c r="D133" s="115" t="s">
        <v>197</v>
      </c>
      <c r="E133" s="77" t="s">
        <v>764</v>
      </c>
      <c r="G133" s="165">
        <v>45092.07916666667</v>
      </c>
      <c r="H133" s="165">
        <v>45092.07916666667</v>
      </c>
      <c r="I133" s="115" t="s">
        <v>469</v>
      </c>
      <c r="J133" s="115" t="s">
        <v>192</v>
      </c>
      <c r="K133" s="115" t="s">
        <v>192</v>
      </c>
      <c r="L133" s="115" t="s">
        <v>1614</v>
      </c>
      <c r="N133" s="115" t="s">
        <v>257</v>
      </c>
      <c r="O133" s="115" t="s">
        <v>258</v>
      </c>
      <c r="P133" s="115" t="s">
        <v>172</v>
      </c>
      <c r="Q133" s="117">
        <f>3139*2.4</f>
        <v>7533.5999999999995</v>
      </c>
      <c r="S133" s="117">
        <v>7575.5379999999996</v>
      </c>
      <c r="Z133" s="117">
        <f t="shared" si="40"/>
        <v>7575.5379999999996</v>
      </c>
      <c r="AX133" s="251">
        <f t="shared" si="42"/>
        <v>45070.559027777781</v>
      </c>
      <c r="AY133" s="251">
        <f t="shared" si="43"/>
        <v>45086.756944444445</v>
      </c>
      <c r="AZ133" s="300">
        <f t="shared" si="44"/>
        <v>16.197916666664241</v>
      </c>
      <c r="BA133" s="251">
        <v>45070.559027777781</v>
      </c>
      <c r="BB133" s="251">
        <v>45071.552083333336</v>
      </c>
      <c r="BC133" s="251">
        <v>45073.458333333336</v>
      </c>
      <c r="BD133" s="251">
        <v>45074.972222222219</v>
      </c>
      <c r="BE133" s="251">
        <v>45075.208333333336</v>
      </c>
      <c r="BF133" s="251">
        <v>45075.211805555555</v>
      </c>
      <c r="BG133" s="251">
        <v>45075.375</v>
      </c>
      <c r="BH133" s="251">
        <f t="shared" si="41"/>
        <v>45077.083333333336</v>
      </c>
      <c r="BI133" s="251">
        <v>45077.520833333336</v>
      </c>
      <c r="BJ133" s="251">
        <v>45077.6875</v>
      </c>
      <c r="BK133" s="251">
        <v>45077.541666666664</v>
      </c>
      <c r="BL133" s="251">
        <v>45079.3125</v>
      </c>
      <c r="BM133" s="251">
        <v>45086.034722222219</v>
      </c>
      <c r="BN133" s="251">
        <v>45086.253472222219</v>
      </c>
      <c r="BO133" s="251">
        <v>45086.270833333336</v>
      </c>
      <c r="BP133" s="251">
        <v>45086.274305555555</v>
      </c>
      <c r="BQ133" s="251">
        <v>45086.756944444445</v>
      </c>
      <c r="BR133" s="115"/>
      <c r="BS133" s="115"/>
      <c r="BT133" s="302">
        <f t="shared" si="45"/>
        <v>45.75</v>
      </c>
      <c r="BU133" s="302">
        <f t="shared" si="46"/>
        <v>5.6666666668024845</v>
      </c>
      <c r="BV133" s="302">
        <f t="shared" si="47"/>
        <v>41.000000000058208</v>
      </c>
      <c r="BW133" s="302">
        <f t="shared" si="39"/>
        <v>39</v>
      </c>
      <c r="BX133" s="303">
        <f t="shared" si="48"/>
        <v>5.25</v>
      </c>
      <c r="BY133" s="303">
        <f t="shared" si="49"/>
        <v>11.583333333372138</v>
      </c>
      <c r="BZ133" s="304">
        <f t="shared" si="50"/>
        <v>6.1770833333430346</v>
      </c>
      <c r="CA133" s="304">
        <f t="shared" si="51"/>
        <v>16.197916666664241</v>
      </c>
      <c r="CB133" s="305">
        <f t="shared" si="52"/>
        <v>0.38135048231576857</v>
      </c>
    </row>
    <row r="134" spans="1:80">
      <c r="A134" s="119">
        <f t="shared" si="36"/>
        <v>45077.979166666664</v>
      </c>
      <c r="B134" s="115" t="s">
        <v>228</v>
      </c>
      <c r="C134" s="115" t="s">
        <v>229</v>
      </c>
      <c r="D134" s="115" t="s">
        <v>197</v>
      </c>
      <c r="E134" s="77" t="s">
        <v>1548</v>
      </c>
      <c r="G134" s="299">
        <v>45078.958333333336</v>
      </c>
      <c r="H134" s="299">
        <v>45078.916666666664</v>
      </c>
      <c r="I134" s="115" t="s">
        <v>471</v>
      </c>
      <c r="J134" s="115" t="s">
        <v>192</v>
      </c>
      <c r="K134" s="115" t="s">
        <v>192</v>
      </c>
      <c r="L134" s="115" t="s">
        <v>1615</v>
      </c>
      <c r="N134" s="115" t="s">
        <v>292</v>
      </c>
      <c r="O134" s="115" t="s">
        <v>293</v>
      </c>
      <c r="P134" s="115" t="s">
        <v>172</v>
      </c>
      <c r="Q134" s="117">
        <f>3142*2.4</f>
        <v>7540.7999999999993</v>
      </c>
      <c r="S134" s="117">
        <v>7613.5519999999997</v>
      </c>
      <c r="Z134" s="117">
        <f t="shared" si="40"/>
        <v>7613.5519999999997</v>
      </c>
      <c r="AX134" s="251">
        <f t="shared" si="42"/>
        <v>45068.916666666664</v>
      </c>
      <c r="AY134" s="251">
        <f t="shared" si="43"/>
        <v>45087.017361111109</v>
      </c>
      <c r="AZ134" s="300">
        <f t="shared" si="44"/>
        <v>18.100694444445253</v>
      </c>
      <c r="BA134" s="251">
        <v>45068.916666666664</v>
      </c>
      <c r="BB134" s="251">
        <v>45072.84375</v>
      </c>
      <c r="BC134" s="251">
        <v>45074.583333333336</v>
      </c>
      <c r="BD134" s="251">
        <v>45077.979166666664</v>
      </c>
      <c r="BE134" s="251">
        <v>45078.159722222219</v>
      </c>
      <c r="BF134" s="251">
        <v>45078.170138888891</v>
      </c>
      <c r="BG134" s="251">
        <v>45078.170138888891</v>
      </c>
      <c r="BH134" s="251">
        <f t="shared" si="41"/>
        <v>45079.878472222226</v>
      </c>
      <c r="BI134" s="251">
        <v>45079.583333333336</v>
      </c>
      <c r="BJ134" s="251">
        <v>45079.75</v>
      </c>
      <c r="BK134" s="251">
        <v>45079.663194444445</v>
      </c>
      <c r="BL134" s="251">
        <v>45081.1875</v>
      </c>
      <c r="BM134" s="251">
        <v>45086.1875</v>
      </c>
      <c r="BN134" s="251">
        <v>45086.552083333336</v>
      </c>
      <c r="BO134" s="251">
        <v>45086.572916666664</v>
      </c>
      <c r="BP134" s="251">
        <v>45086.8125</v>
      </c>
      <c r="BQ134" s="251">
        <v>45087.017361111109</v>
      </c>
      <c r="BR134" s="115"/>
      <c r="BS134" s="115"/>
      <c r="BT134" s="302">
        <f t="shared" si="45"/>
        <v>41.750000000058208</v>
      </c>
      <c r="BU134" s="302">
        <f t="shared" si="46"/>
        <v>4.3333333333139308</v>
      </c>
      <c r="BV134" s="302">
        <f t="shared" si="47"/>
        <v>41.000000000058208</v>
      </c>
      <c r="BW134" s="302">
        <f t="shared" si="39"/>
        <v>34.5</v>
      </c>
      <c r="BX134" s="303">
        <f t="shared" si="48"/>
        <v>8.7500000000582077</v>
      </c>
      <c r="BY134" s="303">
        <f t="shared" si="49"/>
        <v>4.9166666666278616</v>
      </c>
      <c r="BZ134" s="304">
        <f t="shared" si="50"/>
        <v>5.6354166666715173</v>
      </c>
      <c r="CA134" s="304">
        <f t="shared" si="51"/>
        <v>18.100694444445253</v>
      </c>
      <c r="CB134" s="305">
        <f t="shared" si="52"/>
        <v>0.3113370420106128</v>
      </c>
    </row>
    <row r="135" spans="1:80" s="126" customFormat="1">
      <c r="A135" s="192">
        <f t="shared" si="36"/>
        <v>45050.541666666664</v>
      </c>
      <c r="B135" s="126" t="s">
        <v>188</v>
      </c>
      <c r="C135" s="126" t="s">
        <v>183</v>
      </c>
      <c r="D135" s="126" t="s">
        <v>189</v>
      </c>
      <c r="E135" s="126" t="s">
        <v>1557</v>
      </c>
      <c r="G135" s="165">
        <v>45067.17083333333</v>
      </c>
      <c r="H135" s="165">
        <v>45067.17083333333</v>
      </c>
      <c r="I135" s="65" t="s">
        <v>791</v>
      </c>
      <c r="J135" s="126" t="s">
        <v>192</v>
      </c>
      <c r="K135" s="126" t="s">
        <v>192</v>
      </c>
      <c r="L135" s="126" t="s">
        <v>1616</v>
      </c>
      <c r="M135" s="167"/>
      <c r="N135" s="126" t="s">
        <v>1617</v>
      </c>
      <c r="O135" s="126" t="s">
        <v>1618</v>
      </c>
      <c r="P135" s="126" t="s">
        <v>183</v>
      </c>
      <c r="Q135" s="181">
        <v>5500</v>
      </c>
      <c r="R135" s="181"/>
      <c r="S135" s="181">
        <v>5302.6869999999999</v>
      </c>
      <c r="T135" s="181"/>
      <c r="AT135" s="181">
        <f t="shared" ref="AT135:AT147" si="53">S135</f>
        <v>5302.6869999999999</v>
      </c>
      <c r="AX135" s="165">
        <f t="shared" si="42"/>
        <v>45050.493055555555</v>
      </c>
      <c r="AY135" s="165">
        <f t="shared" si="43"/>
        <v>45059.461805555555</v>
      </c>
      <c r="AZ135" s="137">
        <f t="shared" si="44"/>
        <v>8.96875</v>
      </c>
      <c r="BA135" s="165">
        <v>45050.493055555555</v>
      </c>
      <c r="BB135" s="165">
        <v>45050.493055555555</v>
      </c>
      <c r="BC135" s="165">
        <v>45050.493055555555</v>
      </c>
      <c r="BD135" s="165">
        <v>45050.541666666664</v>
      </c>
      <c r="BE135" s="165">
        <v>45050.916666666664</v>
      </c>
      <c r="BF135" s="165">
        <v>45050.940972222219</v>
      </c>
      <c r="BG135" s="165">
        <v>45050.940972222219</v>
      </c>
      <c r="BH135" s="165">
        <v>45050.940972222219</v>
      </c>
      <c r="BI135" s="166" t="s">
        <v>196</v>
      </c>
      <c r="BJ135" s="166" t="s">
        <v>196</v>
      </c>
      <c r="BK135" s="166" t="s">
        <v>196</v>
      </c>
      <c r="BL135" s="165">
        <v>45056.736111111109</v>
      </c>
      <c r="BM135" s="165">
        <v>45059.201388888891</v>
      </c>
      <c r="BN135" s="165">
        <v>45059.4375</v>
      </c>
      <c r="BO135" s="165">
        <v>45059.461805555555</v>
      </c>
      <c r="BP135" s="165">
        <v>45059.461805555555</v>
      </c>
      <c r="BQ135" s="165">
        <v>45059.461805555555</v>
      </c>
      <c r="BT135" s="136">
        <f t="shared" si="45"/>
        <v>0</v>
      </c>
      <c r="BU135" s="136">
        <f t="shared" si="46"/>
        <v>9</v>
      </c>
      <c r="BV135" s="136">
        <f t="shared" si="47"/>
        <v>0</v>
      </c>
      <c r="BW135" s="136">
        <f t="shared" ref="BW135:BW151" si="54">(BL135-BH135)*24</f>
        <v>139.08333333337214</v>
      </c>
      <c r="BX135" s="135">
        <f t="shared" si="48"/>
        <v>5.6666666666278616</v>
      </c>
      <c r="BY135" s="135">
        <f t="shared" si="49"/>
        <v>0</v>
      </c>
      <c r="BZ135" s="134">
        <f t="shared" si="50"/>
        <v>6.40625</v>
      </c>
      <c r="CA135" s="134">
        <f t="shared" si="51"/>
        <v>8.96875</v>
      </c>
      <c r="CB135" s="133">
        <f t="shared" si="52"/>
        <v>0.7142857142857143</v>
      </c>
    </row>
    <row r="136" spans="1:80" s="126" customFormat="1">
      <c r="A136" s="192">
        <f t="shared" si="36"/>
        <v>45050.604166666664</v>
      </c>
      <c r="B136" s="126" t="s">
        <v>188</v>
      </c>
      <c r="C136" s="126" t="s">
        <v>183</v>
      </c>
      <c r="D136" s="126" t="s">
        <v>189</v>
      </c>
      <c r="E136" s="65" t="s">
        <v>1362</v>
      </c>
      <c r="G136" s="165">
        <v>45051.708333333336</v>
      </c>
      <c r="H136" s="165">
        <v>45051.708333333336</v>
      </c>
      <c r="I136" s="65" t="s">
        <v>791</v>
      </c>
      <c r="J136" s="126" t="s">
        <v>192</v>
      </c>
      <c r="K136" s="126" t="s">
        <v>192</v>
      </c>
      <c r="L136" s="126" t="s">
        <v>1619</v>
      </c>
      <c r="M136" s="167"/>
      <c r="N136" s="126" t="s">
        <v>1620</v>
      </c>
      <c r="O136" s="126" t="s">
        <v>1621</v>
      </c>
      <c r="P136" s="126" t="s">
        <v>183</v>
      </c>
      <c r="Q136" s="181">
        <v>5500</v>
      </c>
      <c r="R136" s="181"/>
      <c r="S136" s="181">
        <v>5052.0280000000002</v>
      </c>
      <c r="T136" s="181"/>
      <c r="AT136" s="181">
        <f t="shared" si="53"/>
        <v>5052.0280000000002</v>
      </c>
      <c r="AX136" s="165">
        <f t="shared" si="42"/>
        <v>45050.583333333336</v>
      </c>
      <c r="AY136" s="165">
        <f t="shared" si="43"/>
        <v>45058.868055555555</v>
      </c>
      <c r="AZ136" s="137">
        <f t="shared" si="44"/>
        <v>8.2847222222189885</v>
      </c>
      <c r="BA136" s="165">
        <v>45050.583333333336</v>
      </c>
      <c r="BB136" s="165">
        <v>45050.583333333336</v>
      </c>
      <c r="BC136" s="165">
        <v>45050.583333333336</v>
      </c>
      <c r="BD136" s="165">
        <v>45050.604166666664</v>
      </c>
      <c r="BE136" s="165">
        <v>45051.920138888891</v>
      </c>
      <c r="BF136" s="165">
        <v>45051.958333333336</v>
      </c>
      <c r="BG136" s="165">
        <v>45051.958333333336</v>
      </c>
      <c r="BH136" s="165">
        <v>45051.958333333336</v>
      </c>
      <c r="BI136" s="166" t="s">
        <v>196</v>
      </c>
      <c r="BJ136" s="166" t="s">
        <v>196</v>
      </c>
      <c r="BK136" s="166" t="s">
        <v>196</v>
      </c>
      <c r="BL136" s="165">
        <v>45056.270833333336</v>
      </c>
      <c r="BM136" s="165">
        <v>45058.600694444445</v>
      </c>
      <c r="BN136" s="165">
        <v>45058.854166666664</v>
      </c>
      <c r="BO136" s="165">
        <v>45058.868055555555</v>
      </c>
      <c r="BP136" s="165">
        <v>45058.868055555555</v>
      </c>
      <c r="BQ136" s="165">
        <v>45058.868055555555</v>
      </c>
      <c r="BT136" s="136">
        <f t="shared" si="45"/>
        <v>0</v>
      </c>
      <c r="BU136" s="136">
        <f t="shared" si="46"/>
        <v>31.583333333430346</v>
      </c>
      <c r="BV136" s="136">
        <f t="shared" si="47"/>
        <v>0</v>
      </c>
      <c r="BW136" s="136">
        <f t="shared" si="54"/>
        <v>103.5</v>
      </c>
      <c r="BX136" s="135">
        <f t="shared" si="48"/>
        <v>6.0833333332557231</v>
      </c>
      <c r="BY136" s="135">
        <f t="shared" si="49"/>
        <v>0</v>
      </c>
      <c r="BZ136" s="134">
        <f t="shared" si="50"/>
        <v>5.8819444444452529</v>
      </c>
      <c r="CA136" s="134">
        <f t="shared" si="51"/>
        <v>8.2847222222189885</v>
      </c>
      <c r="CB136" s="133">
        <f t="shared" si="52"/>
        <v>0.70997485331135546</v>
      </c>
    </row>
    <row r="137" spans="1:80" s="126" customFormat="1">
      <c r="A137" s="192">
        <f t="shared" si="36"/>
        <v>45051.090277777781</v>
      </c>
      <c r="B137" s="126" t="s">
        <v>188</v>
      </c>
      <c r="C137" s="126" t="s">
        <v>183</v>
      </c>
      <c r="D137" s="126" t="s">
        <v>189</v>
      </c>
      <c r="E137" s="126" t="s">
        <v>1464</v>
      </c>
      <c r="G137" s="73">
        <v>45051.395833333336</v>
      </c>
      <c r="H137" s="73">
        <v>45051.395833333336</v>
      </c>
      <c r="I137" s="65" t="s">
        <v>807</v>
      </c>
      <c r="J137" s="126" t="s">
        <v>192</v>
      </c>
      <c r="K137" s="126" t="s">
        <v>192</v>
      </c>
      <c r="L137" s="126" t="s">
        <v>1622</v>
      </c>
      <c r="M137" s="167"/>
      <c r="N137" s="126" t="s">
        <v>1623</v>
      </c>
      <c r="O137" s="126" t="s">
        <v>1624</v>
      </c>
      <c r="P137" s="126" t="s">
        <v>183</v>
      </c>
      <c r="Q137" s="181">
        <v>5500</v>
      </c>
      <c r="R137" s="181"/>
      <c r="S137" s="181">
        <v>5006.1850000000004</v>
      </c>
      <c r="T137" s="181"/>
      <c r="AT137" s="181">
        <f t="shared" si="53"/>
        <v>5006.1850000000004</v>
      </c>
      <c r="AX137" s="165">
        <f t="shared" si="42"/>
        <v>45051.0625</v>
      </c>
      <c r="AY137" s="165">
        <f t="shared" si="43"/>
        <v>45062.201388888891</v>
      </c>
      <c r="AZ137" s="137">
        <f t="shared" si="44"/>
        <v>11.138888888890506</v>
      </c>
      <c r="BA137" s="165">
        <v>45051.0625</v>
      </c>
      <c r="BB137" s="165">
        <v>45051.0625</v>
      </c>
      <c r="BC137" s="165">
        <v>45051.0625</v>
      </c>
      <c r="BD137" s="165">
        <v>45051.090277777781</v>
      </c>
      <c r="BE137" s="165">
        <v>45052.451388888891</v>
      </c>
      <c r="BF137" s="165">
        <v>45052.5</v>
      </c>
      <c r="BG137" s="165">
        <v>45052.5</v>
      </c>
      <c r="BH137" s="165">
        <v>45052.5</v>
      </c>
      <c r="BI137" s="166" t="s">
        <v>196</v>
      </c>
      <c r="BJ137" s="166" t="s">
        <v>196</v>
      </c>
      <c r="BK137" s="166" t="s">
        <v>196</v>
      </c>
      <c r="BL137" s="165">
        <v>45057.277777777781</v>
      </c>
      <c r="BM137" s="165">
        <v>45061.96875</v>
      </c>
      <c r="BN137" s="165">
        <v>45062.180555555555</v>
      </c>
      <c r="BO137" s="165">
        <v>45062.201388888891</v>
      </c>
      <c r="BP137" s="165">
        <v>45062.201388888891</v>
      </c>
      <c r="BQ137" s="165">
        <v>45062.201388888891</v>
      </c>
      <c r="BT137" s="136">
        <f t="shared" si="45"/>
        <v>0</v>
      </c>
      <c r="BU137" s="136">
        <f t="shared" si="46"/>
        <v>32.666666666627862</v>
      </c>
      <c r="BV137" s="136">
        <f t="shared" si="47"/>
        <v>0</v>
      </c>
      <c r="BW137" s="136">
        <f t="shared" si="54"/>
        <v>114.66666666674428</v>
      </c>
      <c r="BX137" s="135">
        <f t="shared" si="48"/>
        <v>5.0833333333139308</v>
      </c>
      <c r="BY137" s="135">
        <f t="shared" si="49"/>
        <v>0</v>
      </c>
      <c r="BZ137" s="134">
        <f t="shared" si="50"/>
        <v>6.3506944444452529</v>
      </c>
      <c r="CA137" s="134">
        <f t="shared" si="51"/>
        <v>11.138888888890506</v>
      </c>
      <c r="CB137" s="133">
        <f t="shared" si="52"/>
        <v>0.57013715710722179</v>
      </c>
    </row>
    <row r="138" spans="1:80" s="126" customFormat="1">
      <c r="A138" s="192">
        <f t="shared" si="36"/>
        <v>45055.072916666664</v>
      </c>
      <c r="B138" s="126" t="s">
        <v>188</v>
      </c>
      <c r="C138" s="126" t="s">
        <v>183</v>
      </c>
      <c r="D138" s="126" t="s">
        <v>189</v>
      </c>
      <c r="E138" s="65" t="s">
        <v>1441</v>
      </c>
      <c r="G138" s="165">
        <v>45061.208333333336</v>
      </c>
      <c r="H138" s="165">
        <v>45061.208333333336</v>
      </c>
      <c r="I138" s="126" t="s">
        <v>443</v>
      </c>
      <c r="J138" s="126" t="s">
        <v>192</v>
      </c>
      <c r="K138" s="126" t="s">
        <v>192</v>
      </c>
      <c r="L138" s="126" t="s">
        <v>1625</v>
      </c>
      <c r="M138" s="167"/>
      <c r="N138" s="126" t="s">
        <v>1626</v>
      </c>
      <c r="O138" s="126" t="s">
        <v>1627</v>
      </c>
      <c r="P138" s="126" t="s">
        <v>183</v>
      </c>
      <c r="Q138" s="181">
        <v>5500</v>
      </c>
      <c r="R138" s="181"/>
      <c r="S138" s="181">
        <v>5303.835</v>
      </c>
      <c r="T138" s="181"/>
      <c r="AT138" s="181">
        <f t="shared" si="53"/>
        <v>5303.835</v>
      </c>
      <c r="AX138" s="165">
        <f t="shared" si="42"/>
        <v>45055.0625</v>
      </c>
      <c r="AY138" s="165">
        <f t="shared" si="43"/>
        <v>45061.684027777781</v>
      </c>
      <c r="AZ138" s="137">
        <f t="shared" si="44"/>
        <v>6.6215277777810115</v>
      </c>
      <c r="BA138" s="165">
        <v>45055.0625</v>
      </c>
      <c r="BB138" s="165">
        <v>45055.0625</v>
      </c>
      <c r="BC138" s="165">
        <v>45055.0625</v>
      </c>
      <c r="BD138" s="165">
        <v>45055.072916666664</v>
      </c>
      <c r="BE138" s="165">
        <v>45055.451388888891</v>
      </c>
      <c r="BF138" s="165">
        <v>45055.451388888891</v>
      </c>
      <c r="BG138" s="165">
        <v>45055.451388888891</v>
      </c>
      <c r="BH138" s="165">
        <v>45055.451388888891</v>
      </c>
      <c r="BI138" s="166" t="s">
        <v>196</v>
      </c>
      <c r="BJ138" s="166" t="s">
        <v>196</v>
      </c>
      <c r="BK138" s="166" t="s">
        <v>196</v>
      </c>
      <c r="BL138" s="165">
        <v>45060.833333333336</v>
      </c>
      <c r="BM138" s="165">
        <v>45061.25</v>
      </c>
      <c r="BN138" s="165">
        <v>45061.652777777781</v>
      </c>
      <c r="BO138" s="165">
        <v>45061.684027777781</v>
      </c>
      <c r="BP138" s="165">
        <v>45061.684027777781</v>
      </c>
      <c r="BQ138" s="165">
        <v>45061.684027777781</v>
      </c>
      <c r="BT138" s="136">
        <f t="shared" si="45"/>
        <v>0</v>
      </c>
      <c r="BU138" s="136">
        <f t="shared" si="46"/>
        <v>9.0833333334303461</v>
      </c>
      <c r="BV138" s="136">
        <f t="shared" si="47"/>
        <v>0</v>
      </c>
      <c r="BW138" s="136">
        <f t="shared" si="54"/>
        <v>129.16666666668607</v>
      </c>
      <c r="BX138" s="135">
        <f t="shared" si="48"/>
        <v>9.6666666667442769</v>
      </c>
      <c r="BY138" s="135">
        <f t="shared" si="49"/>
        <v>0</v>
      </c>
      <c r="BZ138" s="134">
        <f t="shared" si="50"/>
        <v>6.1631944444525288</v>
      </c>
      <c r="CA138" s="134">
        <f t="shared" si="51"/>
        <v>6.6215277777810115</v>
      </c>
      <c r="CB138" s="133">
        <f t="shared" si="52"/>
        <v>0.93078133193574275</v>
      </c>
    </row>
    <row r="139" spans="1:80" s="126" customFormat="1">
      <c r="A139" s="192">
        <f t="shared" si="36"/>
        <v>45057.652777777781</v>
      </c>
      <c r="B139" s="126" t="s">
        <v>188</v>
      </c>
      <c r="C139" s="126" t="s">
        <v>183</v>
      </c>
      <c r="D139" s="126" t="s">
        <v>189</v>
      </c>
      <c r="E139" s="65" t="s">
        <v>1501</v>
      </c>
      <c r="G139" s="73">
        <v>45051.395833333336</v>
      </c>
      <c r="H139" s="73">
        <v>45051.395833333336</v>
      </c>
      <c r="I139" s="65" t="s">
        <v>791</v>
      </c>
      <c r="J139" s="126" t="s">
        <v>192</v>
      </c>
      <c r="K139" s="126" t="s">
        <v>192</v>
      </c>
      <c r="L139" s="126" t="s">
        <v>1628</v>
      </c>
      <c r="M139" s="167"/>
      <c r="N139" s="126" t="s">
        <v>816</v>
      </c>
      <c r="O139" s="126" t="s">
        <v>794</v>
      </c>
      <c r="P139" s="126" t="s">
        <v>183</v>
      </c>
      <c r="Q139" s="181">
        <v>5500</v>
      </c>
      <c r="R139" s="181"/>
      <c r="S139" s="181">
        <v>5312.4650000000001</v>
      </c>
      <c r="T139" s="181"/>
      <c r="AT139" s="181">
        <f t="shared" si="53"/>
        <v>5312.4650000000001</v>
      </c>
      <c r="AX139" s="165">
        <f t="shared" si="42"/>
        <v>45057.625</v>
      </c>
      <c r="AY139" s="165">
        <f t="shared" si="43"/>
        <v>45062.704861111109</v>
      </c>
      <c r="AZ139" s="137">
        <f t="shared" si="44"/>
        <v>5.0798611111094942</v>
      </c>
      <c r="BA139" s="165">
        <v>45057.625</v>
      </c>
      <c r="BB139" s="165">
        <v>45057.625</v>
      </c>
      <c r="BC139" s="165">
        <v>45057.625</v>
      </c>
      <c r="BD139" s="165">
        <v>45057.652777777781</v>
      </c>
      <c r="BE139" s="165">
        <v>45058.059027777781</v>
      </c>
      <c r="BF139" s="165">
        <v>45058.059027777781</v>
      </c>
      <c r="BG139" s="165">
        <v>45058.059027777781</v>
      </c>
      <c r="BH139" s="165">
        <v>45058.059027777781</v>
      </c>
      <c r="BI139" s="166" t="s">
        <v>196</v>
      </c>
      <c r="BJ139" s="166" t="s">
        <v>196</v>
      </c>
      <c r="BK139" s="166" t="s">
        <v>196</v>
      </c>
      <c r="BL139" s="165">
        <v>45062.059027777781</v>
      </c>
      <c r="BM139" s="165">
        <v>45062.4375</v>
      </c>
      <c r="BN139" s="165">
        <v>45062.694444444445</v>
      </c>
      <c r="BO139" s="165">
        <v>45062.704861111109</v>
      </c>
      <c r="BP139" s="165">
        <v>45062.704861111109</v>
      </c>
      <c r="BQ139" s="165">
        <v>45062.704861111109</v>
      </c>
      <c r="BT139" s="136">
        <f t="shared" si="45"/>
        <v>0</v>
      </c>
      <c r="BU139" s="136">
        <f t="shared" si="46"/>
        <v>9.75</v>
      </c>
      <c r="BV139" s="136">
        <f t="shared" si="47"/>
        <v>0</v>
      </c>
      <c r="BW139" s="136">
        <f t="shared" si="54"/>
        <v>96</v>
      </c>
      <c r="BX139" s="135">
        <f t="shared" si="48"/>
        <v>6.1666666666860692</v>
      </c>
      <c r="BY139" s="135">
        <f t="shared" si="49"/>
        <v>0</v>
      </c>
      <c r="BZ139" s="134">
        <f t="shared" si="50"/>
        <v>4.6631944444452529</v>
      </c>
      <c r="CA139" s="134">
        <f t="shared" si="51"/>
        <v>5.0798611111094942</v>
      </c>
      <c r="CB139" s="133">
        <f t="shared" si="52"/>
        <v>0.91797676008247453</v>
      </c>
    </row>
    <row r="140" spans="1:80" s="126" customFormat="1">
      <c r="A140" s="192">
        <f t="shared" si="36"/>
        <v>45062.5625</v>
      </c>
      <c r="B140" s="126" t="s">
        <v>188</v>
      </c>
      <c r="C140" s="126" t="s">
        <v>183</v>
      </c>
      <c r="D140" s="126" t="s">
        <v>189</v>
      </c>
      <c r="E140" s="65" t="s">
        <v>971</v>
      </c>
      <c r="G140" s="165">
        <v>45067.741666666669</v>
      </c>
      <c r="H140" s="165">
        <v>45067.741666666669</v>
      </c>
      <c r="I140" s="126" t="s">
        <v>791</v>
      </c>
      <c r="J140" s="126" t="s">
        <v>192</v>
      </c>
      <c r="K140" s="126" t="s">
        <v>192</v>
      </c>
      <c r="L140" s="126" t="s">
        <v>1629</v>
      </c>
      <c r="M140" s="167"/>
      <c r="N140" s="126" t="s">
        <v>805</v>
      </c>
      <c r="O140" s="126" t="s">
        <v>1071</v>
      </c>
      <c r="P140" s="126" t="s">
        <v>183</v>
      </c>
      <c r="Q140" s="181">
        <v>5300</v>
      </c>
      <c r="R140" s="181"/>
      <c r="S140" s="181">
        <v>5304.0969999999998</v>
      </c>
      <c r="T140" s="181"/>
      <c r="AT140" s="181">
        <f t="shared" si="53"/>
        <v>5304.0969999999998</v>
      </c>
      <c r="AX140" s="165">
        <f t="shared" si="42"/>
        <v>45062.527777777781</v>
      </c>
      <c r="AY140" s="165">
        <f t="shared" si="43"/>
        <v>45069.791666666664</v>
      </c>
      <c r="AZ140" s="137">
        <f t="shared" si="44"/>
        <v>7.2638888888832298</v>
      </c>
      <c r="BA140" s="165">
        <v>45062.527777777781</v>
      </c>
      <c r="BB140" s="165">
        <v>45062.527777777781</v>
      </c>
      <c r="BC140" s="165">
        <v>45062.527777777781</v>
      </c>
      <c r="BD140" s="165">
        <v>45062.5625</v>
      </c>
      <c r="BE140" s="165">
        <v>45063.333333333336</v>
      </c>
      <c r="BF140" s="165">
        <v>45063.354166666664</v>
      </c>
      <c r="BG140" s="165">
        <v>45063.354166666664</v>
      </c>
      <c r="BH140" s="165">
        <v>45063.354166666664</v>
      </c>
      <c r="BI140" s="166" t="s">
        <v>196</v>
      </c>
      <c r="BJ140" s="166" t="s">
        <v>196</v>
      </c>
      <c r="BK140" s="166" t="s">
        <v>196</v>
      </c>
      <c r="BL140" s="165">
        <v>45067.881944444445</v>
      </c>
      <c r="BM140" s="165">
        <v>45069.444444444445</v>
      </c>
      <c r="BN140" s="165">
        <v>45069.763888888891</v>
      </c>
      <c r="BO140" s="165">
        <v>45069.791666666664</v>
      </c>
      <c r="BP140" s="165">
        <v>45069.791666666664</v>
      </c>
      <c r="BQ140" s="165">
        <v>45069.791666666664</v>
      </c>
      <c r="BT140" s="136">
        <f t="shared" si="45"/>
        <v>0</v>
      </c>
      <c r="BU140" s="136">
        <f t="shared" si="46"/>
        <v>18.500000000058208</v>
      </c>
      <c r="BV140" s="136">
        <f t="shared" si="47"/>
        <v>0</v>
      </c>
      <c r="BW140" s="136">
        <f t="shared" si="54"/>
        <v>108.66666666674428</v>
      </c>
      <c r="BX140" s="135">
        <f t="shared" si="48"/>
        <v>7.6666666666860692</v>
      </c>
      <c r="BY140" s="135">
        <f t="shared" si="49"/>
        <v>0</v>
      </c>
      <c r="BZ140" s="134">
        <f t="shared" si="50"/>
        <v>5.6180555555620231</v>
      </c>
      <c r="CA140" s="134">
        <f t="shared" si="51"/>
        <v>7.2638888888832298</v>
      </c>
      <c r="CB140" s="133">
        <f t="shared" si="52"/>
        <v>0.77342256214298433</v>
      </c>
    </row>
    <row r="141" spans="1:80" s="126" customFormat="1">
      <c r="A141" s="192">
        <f t="shared" si="36"/>
        <v>45063.5625</v>
      </c>
      <c r="B141" s="126" t="s">
        <v>188</v>
      </c>
      <c r="C141" s="126" t="s">
        <v>183</v>
      </c>
      <c r="D141" s="126" t="s">
        <v>189</v>
      </c>
      <c r="E141" s="65" t="s">
        <v>1501</v>
      </c>
      <c r="G141" s="73">
        <v>45062.25</v>
      </c>
      <c r="H141" s="73">
        <v>45062.241666666669</v>
      </c>
      <c r="I141" s="126" t="s">
        <v>791</v>
      </c>
      <c r="J141" s="126" t="s">
        <v>192</v>
      </c>
      <c r="K141" s="126" t="s">
        <v>192</v>
      </c>
      <c r="L141" s="126" t="s">
        <v>1630</v>
      </c>
      <c r="M141" s="167"/>
      <c r="N141" s="126" t="s">
        <v>1631</v>
      </c>
      <c r="O141" s="126" t="s">
        <v>797</v>
      </c>
      <c r="P141" s="126" t="s">
        <v>183</v>
      </c>
      <c r="Q141" s="181">
        <v>5300</v>
      </c>
      <c r="R141" s="181"/>
      <c r="S141" s="181">
        <v>5005.2139999999999</v>
      </c>
      <c r="T141" s="181"/>
      <c r="AT141" s="181">
        <f t="shared" si="53"/>
        <v>5005.2139999999999</v>
      </c>
      <c r="AX141" s="165">
        <f t="shared" si="42"/>
        <v>45063.493055555555</v>
      </c>
      <c r="AY141" s="165">
        <f t="shared" si="43"/>
        <v>45073.465277777781</v>
      </c>
      <c r="AZ141" s="137">
        <f t="shared" si="44"/>
        <v>9.9722222222262644</v>
      </c>
      <c r="BA141" s="165">
        <v>45063.493055555555</v>
      </c>
      <c r="BB141" s="165">
        <v>45063.493055555555</v>
      </c>
      <c r="BC141" s="165">
        <v>45063.493055555555</v>
      </c>
      <c r="BD141" s="165">
        <v>45063.5625</v>
      </c>
      <c r="BE141" s="165">
        <v>45063.958333333336</v>
      </c>
      <c r="BF141" s="165">
        <v>45063.993055555555</v>
      </c>
      <c r="BG141" s="165">
        <v>45063.993055555555</v>
      </c>
      <c r="BH141" s="165">
        <v>45063.993055555555</v>
      </c>
      <c r="BI141" s="166" t="s">
        <v>196</v>
      </c>
      <c r="BJ141" s="166" t="s">
        <v>196</v>
      </c>
      <c r="BK141" s="166" t="s">
        <v>196</v>
      </c>
      <c r="BL141" s="165">
        <v>45068.590277777781</v>
      </c>
      <c r="BM141" s="165">
        <v>45073.15625</v>
      </c>
      <c r="BN141" s="165">
        <v>45073.454861111109</v>
      </c>
      <c r="BO141" s="165">
        <v>45073.465277777781</v>
      </c>
      <c r="BP141" s="165">
        <v>45073.465277777781</v>
      </c>
      <c r="BQ141" s="165">
        <v>45073.465277777781</v>
      </c>
      <c r="BT141" s="136">
        <f t="shared" si="45"/>
        <v>0</v>
      </c>
      <c r="BU141" s="136">
        <f t="shared" si="46"/>
        <v>9.5000000000582077</v>
      </c>
      <c r="BV141" s="136">
        <f t="shared" si="47"/>
        <v>0</v>
      </c>
      <c r="BW141" s="136">
        <f t="shared" si="54"/>
        <v>110.33333333343035</v>
      </c>
      <c r="BX141" s="135">
        <f t="shared" si="48"/>
        <v>7.1666666666278616</v>
      </c>
      <c r="BY141" s="135">
        <f t="shared" si="49"/>
        <v>0</v>
      </c>
      <c r="BZ141" s="134">
        <f t="shared" si="50"/>
        <v>5.2916666666715173</v>
      </c>
      <c r="CA141" s="134">
        <f t="shared" si="51"/>
        <v>9.9722222222262644</v>
      </c>
      <c r="CB141" s="133">
        <f t="shared" si="52"/>
        <v>0.5306406685239482</v>
      </c>
    </row>
    <row r="142" spans="1:80" s="126" customFormat="1">
      <c r="A142" s="192">
        <f t="shared" si="36"/>
        <v>45065.604166666664</v>
      </c>
      <c r="B142" s="126" t="s">
        <v>188</v>
      </c>
      <c r="C142" s="126" t="s">
        <v>183</v>
      </c>
      <c r="D142" s="126" t="s">
        <v>189</v>
      </c>
      <c r="E142" s="65" t="s">
        <v>1632</v>
      </c>
      <c r="G142" s="165">
        <v>45069.033333333333</v>
      </c>
      <c r="H142" s="165">
        <v>45069.033333333333</v>
      </c>
      <c r="I142" s="126" t="s">
        <v>791</v>
      </c>
      <c r="J142" s="126" t="s">
        <v>192</v>
      </c>
      <c r="K142" s="126" t="s">
        <v>192</v>
      </c>
      <c r="L142" s="126" t="s">
        <v>1633</v>
      </c>
      <c r="M142" s="167"/>
      <c r="N142" s="126" t="s">
        <v>1360</v>
      </c>
      <c r="O142" s="126" t="s">
        <v>1361</v>
      </c>
      <c r="P142" s="126" t="s">
        <v>183</v>
      </c>
      <c r="Q142" s="181">
        <v>5300</v>
      </c>
      <c r="R142" s="181"/>
      <c r="S142" s="181">
        <v>5302.1610000000001</v>
      </c>
      <c r="T142" s="181"/>
      <c r="AT142" s="181">
        <f t="shared" si="53"/>
        <v>5302.1610000000001</v>
      </c>
      <c r="AX142" s="165">
        <f t="shared" si="42"/>
        <v>45065.583333333336</v>
      </c>
      <c r="AY142" s="165">
        <f t="shared" si="43"/>
        <v>45073.784722222219</v>
      </c>
      <c r="AZ142" s="137">
        <f t="shared" si="44"/>
        <v>8.2013888888832298</v>
      </c>
      <c r="BA142" s="165">
        <v>45065.583333333336</v>
      </c>
      <c r="BB142" s="165">
        <v>45065.583333333336</v>
      </c>
      <c r="BC142" s="165">
        <v>45065.583333333336</v>
      </c>
      <c r="BD142" s="165">
        <v>45065.604166666664</v>
      </c>
      <c r="BE142" s="165">
        <v>45066.034722222219</v>
      </c>
      <c r="BF142" s="165">
        <v>45066.041666666664</v>
      </c>
      <c r="BG142" s="165">
        <v>45066.041666666664</v>
      </c>
      <c r="BH142" s="165">
        <v>45066.041666666664</v>
      </c>
      <c r="BI142" s="166" t="s">
        <v>196</v>
      </c>
      <c r="BJ142" s="166" t="s">
        <v>196</v>
      </c>
      <c r="BK142" s="166" t="s">
        <v>196</v>
      </c>
      <c r="BL142" s="165">
        <v>45070.291666666664</v>
      </c>
      <c r="BM142" s="165">
        <v>45073.545138888891</v>
      </c>
      <c r="BN142" s="165">
        <v>45073.770833333336</v>
      </c>
      <c r="BO142" s="165">
        <v>45073.784722222219</v>
      </c>
      <c r="BP142" s="165">
        <v>45073.784722222219</v>
      </c>
      <c r="BQ142" s="165">
        <v>45073.784722222219</v>
      </c>
      <c r="BT142" s="136">
        <f t="shared" si="45"/>
        <v>0</v>
      </c>
      <c r="BU142" s="136">
        <f t="shared" si="46"/>
        <v>10.333333333313931</v>
      </c>
      <c r="BV142" s="136">
        <f t="shared" si="47"/>
        <v>0</v>
      </c>
      <c r="BW142" s="136">
        <f t="shared" si="54"/>
        <v>102</v>
      </c>
      <c r="BX142" s="135">
        <f t="shared" si="48"/>
        <v>5.4166666666860692</v>
      </c>
      <c r="BY142" s="135">
        <f t="shared" si="49"/>
        <v>0</v>
      </c>
      <c r="BZ142" s="134">
        <f t="shared" si="50"/>
        <v>4.90625</v>
      </c>
      <c r="CA142" s="134">
        <f t="shared" si="51"/>
        <v>8.2013888888832298</v>
      </c>
      <c r="CB142" s="133">
        <f t="shared" si="52"/>
        <v>0.59822184589372351</v>
      </c>
    </row>
    <row r="143" spans="1:80" s="126" customFormat="1">
      <c r="A143" s="192">
        <f t="shared" si="36"/>
        <v>45066.552083333336</v>
      </c>
      <c r="B143" s="126" t="s">
        <v>188</v>
      </c>
      <c r="C143" s="126" t="s">
        <v>183</v>
      </c>
      <c r="D143" s="126" t="s">
        <v>189</v>
      </c>
      <c r="E143" s="65" t="s">
        <v>764</v>
      </c>
      <c r="G143" s="165">
        <v>45092.07916666667</v>
      </c>
      <c r="H143" s="165">
        <v>45092.07916666667</v>
      </c>
      <c r="I143" s="126" t="s">
        <v>791</v>
      </c>
      <c r="J143" s="126" t="s">
        <v>192</v>
      </c>
      <c r="K143" s="126" t="s">
        <v>192</v>
      </c>
      <c r="L143" s="126" t="s">
        <v>1634</v>
      </c>
      <c r="M143" s="167"/>
      <c r="N143" s="126" t="s">
        <v>1620</v>
      </c>
      <c r="O143" s="126" t="s">
        <v>1621</v>
      </c>
      <c r="P143" s="126" t="s">
        <v>183</v>
      </c>
      <c r="Q143" s="181">
        <v>5300</v>
      </c>
      <c r="R143" s="181"/>
      <c r="S143" s="181">
        <v>5038.5590000000002</v>
      </c>
      <c r="T143" s="181"/>
      <c r="AT143" s="181">
        <f t="shared" si="53"/>
        <v>5038.5590000000002</v>
      </c>
      <c r="AX143" s="165">
        <f t="shared" si="42"/>
        <v>45066.472222222219</v>
      </c>
      <c r="AY143" s="165">
        <f t="shared" si="43"/>
        <v>45080.15625</v>
      </c>
      <c r="AZ143" s="137">
        <f t="shared" si="44"/>
        <v>13.684027777781012</v>
      </c>
      <c r="BA143" s="165">
        <v>45066.472222222219</v>
      </c>
      <c r="BB143" s="165">
        <v>45066.472222222219</v>
      </c>
      <c r="BC143" s="165">
        <v>45066.472222222219</v>
      </c>
      <c r="BD143" s="165">
        <v>45066.552083333336</v>
      </c>
      <c r="BE143" s="165">
        <v>45067.059027777781</v>
      </c>
      <c r="BF143" s="165">
        <v>45067.072916666664</v>
      </c>
      <c r="BG143" s="165">
        <v>45067.072916666664</v>
      </c>
      <c r="BH143" s="165">
        <v>45067.072916666664</v>
      </c>
      <c r="BI143" s="166" t="s">
        <v>196</v>
      </c>
      <c r="BJ143" s="166" t="s">
        <v>196</v>
      </c>
      <c r="BK143" s="166" t="s">
        <v>196</v>
      </c>
      <c r="BL143" s="165">
        <v>45071.229166666664</v>
      </c>
      <c r="BM143" s="165">
        <v>45079.770833333336</v>
      </c>
      <c r="BN143" s="165">
        <v>45080.114583333336</v>
      </c>
      <c r="BO143" s="165">
        <v>45080.15625</v>
      </c>
      <c r="BP143" s="165">
        <v>45080.15625</v>
      </c>
      <c r="BQ143" s="165">
        <v>45080.15625</v>
      </c>
      <c r="BT143" s="136">
        <f t="shared" si="45"/>
        <v>0</v>
      </c>
      <c r="BU143" s="136">
        <f t="shared" si="46"/>
        <v>12.166666666686069</v>
      </c>
      <c r="BV143" s="136">
        <f t="shared" si="47"/>
        <v>0</v>
      </c>
      <c r="BW143" s="136">
        <f t="shared" si="54"/>
        <v>99.75</v>
      </c>
      <c r="BX143" s="135">
        <f t="shared" si="48"/>
        <v>8.25</v>
      </c>
      <c r="BY143" s="135">
        <f t="shared" si="49"/>
        <v>0</v>
      </c>
      <c r="BZ143" s="134">
        <f t="shared" si="50"/>
        <v>5.0069444444452529</v>
      </c>
      <c r="CA143" s="134">
        <f t="shared" si="51"/>
        <v>13.684027777781012</v>
      </c>
      <c r="CB143" s="133">
        <f t="shared" si="52"/>
        <v>0.36589698046178432</v>
      </c>
    </row>
    <row r="144" spans="1:80" s="126" customFormat="1">
      <c r="A144" s="192">
        <f t="shared" si="36"/>
        <v>45068.590277777781</v>
      </c>
      <c r="B144" s="126" t="s">
        <v>188</v>
      </c>
      <c r="C144" s="126" t="s">
        <v>183</v>
      </c>
      <c r="D144" s="126" t="s">
        <v>189</v>
      </c>
      <c r="E144" s="65" t="s">
        <v>1520</v>
      </c>
      <c r="G144" s="73">
        <v>45071.583333333336</v>
      </c>
      <c r="H144" s="73">
        <v>45071.583333333336</v>
      </c>
      <c r="I144" s="126" t="s">
        <v>807</v>
      </c>
      <c r="J144" s="126" t="s">
        <v>192</v>
      </c>
      <c r="K144" s="126" t="s">
        <v>192</v>
      </c>
      <c r="L144" s="126" t="s">
        <v>1635</v>
      </c>
      <c r="M144" s="167"/>
      <c r="N144" s="126" t="s">
        <v>1636</v>
      </c>
      <c r="O144" s="126" t="s">
        <v>806</v>
      </c>
      <c r="P144" s="126" t="s">
        <v>183</v>
      </c>
      <c r="Q144" s="181">
        <v>5300</v>
      </c>
      <c r="R144" s="181"/>
      <c r="S144" s="181">
        <v>5311.8159999999998</v>
      </c>
      <c r="T144" s="181"/>
      <c r="AT144" s="181">
        <f t="shared" si="53"/>
        <v>5311.8159999999998</v>
      </c>
      <c r="AX144" s="165">
        <f t="shared" si="42"/>
        <v>45068.597222222219</v>
      </c>
      <c r="AY144" s="165">
        <f t="shared" si="43"/>
        <v>45079.121527777781</v>
      </c>
      <c r="AZ144" s="137">
        <f t="shared" si="44"/>
        <v>10.524305555562023</v>
      </c>
      <c r="BA144" s="165">
        <v>45068.597222222219</v>
      </c>
      <c r="BB144" s="165">
        <v>45068.597222222219</v>
      </c>
      <c r="BC144" s="165">
        <v>45068.597222222219</v>
      </c>
      <c r="BD144" s="165">
        <v>45068.590277777781</v>
      </c>
      <c r="BE144" s="165">
        <v>45068.979166666664</v>
      </c>
      <c r="BF144" s="165">
        <v>45069.076388888891</v>
      </c>
      <c r="BG144" s="165">
        <v>45069.076388888891</v>
      </c>
      <c r="BH144" s="165">
        <v>45069.076388888891</v>
      </c>
      <c r="BI144" s="166" t="s">
        <v>196</v>
      </c>
      <c r="BJ144" s="166" t="s">
        <v>196</v>
      </c>
      <c r="BK144" s="166" t="s">
        <v>196</v>
      </c>
      <c r="BL144" s="165">
        <v>45073.520833333336</v>
      </c>
      <c r="BM144" s="165">
        <v>45077.506944444445</v>
      </c>
      <c r="BN144" s="165">
        <v>45079.107638888891</v>
      </c>
      <c r="BO144" s="165">
        <v>45079.121527777781</v>
      </c>
      <c r="BP144" s="165">
        <v>45079.121527777781</v>
      </c>
      <c r="BQ144" s="165">
        <v>45079.121527777781</v>
      </c>
      <c r="BT144" s="136">
        <f t="shared" si="45"/>
        <v>0</v>
      </c>
      <c r="BU144" s="136">
        <f t="shared" si="46"/>
        <v>9.3333333331975155</v>
      </c>
      <c r="BV144" s="136">
        <f t="shared" si="47"/>
        <v>0</v>
      </c>
      <c r="BW144" s="136">
        <f t="shared" si="54"/>
        <v>106.66666666668607</v>
      </c>
      <c r="BX144" s="135">
        <f t="shared" si="48"/>
        <v>38.416666666686069</v>
      </c>
      <c r="BY144" s="135">
        <f t="shared" si="49"/>
        <v>0</v>
      </c>
      <c r="BZ144" s="134">
        <f t="shared" si="50"/>
        <v>6.4340277777737356</v>
      </c>
      <c r="CA144" s="134">
        <f t="shared" si="51"/>
        <v>10.524305555562023</v>
      </c>
      <c r="CB144" s="133">
        <f t="shared" si="52"/>
        <v>0.61134938963962293</v>
      </c>
    </row>
    <row r="145" spans="1:80" s="126" customFormat="1">
      <c r="A145" s="192">
        <f t="shared" si="36"/>
        <v>45069.354166666664</v>
      </c>
      <c r="B145" s="126" t="s">
        <v>188</v>
      </c>
      <c r="C145" s="126" t="s">
        <v>183</v>
      </c>
      <c r="D145" s="126" t="s">
        <v>189</v>
      </c>
      <c r="E145" s="65" t="s">
        <v>764</v>
      </c>
      <c r="G145" s="165">
        <v>45092.07916666667</v>
      </c>
      <c r="H145" s="165">
        <v>45092.07916666667</v>
      </c>
      <c r="I145" s="126" t="s">
        <v>791</v>
      </c>
      <c r="J145" s="126" t="s">
        <v>192</v>
      </c>
      <c r="K145" s="126" t="s">
        <v>192</v>
      </c>
      <c r="L145" s="126" t="s">
        <v>1637</v>
      </c>
      <c r="M145" s="167"/>
      <c r="N145" s="126" t="s">
        <v>1364</v>
      </c>
      <c r="O145" s="126" t="s">
        <v>1365</v>
      </c>
      <c r="P145" s="126" t="s">
        <v>183</v>
      </c>
      <c r="Q145" s="181">
        <v>5300</v>
      </c>
      <c r="R145" s="181"/>
      <c r="S145" s="181">
        <v>5303.3069999999998</v>
      </c>
      <c r="T145" s="181"/>
      <c r="AT145" s="181">
        <f t="shared" si="53"/>
        <v>5303.3069999999998</v>
      </c>
      <c r="AX145" s="165">
        <f t="shared" si="42"/>
        <v>45069.326388888891</v>
      </c>
      <c r="AY145" s="165">
        <f t="shared" si="43"/>
        <v>45084.739583333336</v>
      </c>
      <c r="AZ145" s="137">
        <f t="shared" si="44"/>
        <v>15.413194444445253</v>
      </c>
      <c r="BA145" s="165">
        <v>45069.326388888891</v>
      </c>
      <c r="BB145" s="165">
        <v>45069.326388888891</v>
      </c>
      <c r="BC145" s="165">
        <v>45069.326388888891</v>
      </c>
      <c r="BD145" s="165">
        <v>45069.354166666664</v>
      </c>
      <c r="BE145" s="165">
        <v>45071.513888888891</v>
      </c>
      <c r="BF145" s="165">
        <v>45071.534722222219</v>
      </c>
      <c r="BG145" s="165">
        <v>45071.534722222219</v>
      </c>
      <c r="BH145" s="165">
        <v>45071.534722222219</v>
      </c>
      <c r="BI145" s="166" t="s">
        <v>196</v>
      </c>
      <c r="BJ145" s="166" t="s">
        <v>196</v>
      </c>
      <c r="BK145" s="166" t="s">
        <v>196</v>
      </c>
      <c r="BL145" s="165">
        <v>45076.25</v>
      </c>
      <c r="BM145" s="165">
        <v>45084.409722222219</v>
      </c>
      <c r="BN145" s="165">
        <v>45084.722222222219</v>
      </c>
      <c r="BO145" s="165">
        <v>45084.739583333336</v>
      </c>
      <c r="BP145" s="165">
        <v>45084.739583333336</v>
      </c>
      <c r="BQ145" s="165">
        <v>45084.739583333336</v>
      </c>
      <c r="BT145" s="136">
        <f t="shared" si="45"/>
        <v>0</v>
      </c>
      <c r="BU145" s="136">
        <f t="shared" si="46"/>
        <v>51.833333333430346</v>
      </c>
      <c r="BV145" s="136">
        <f t="shared" si="47"/>
        <v>0</v>
      </c>
      <c r="BW145" s="136">
        <f t="shared" si="54"/>
        <v>113.16666666674428</v>
      </c>
      <c r="BX145" s="135">
        <f t="shared" si="48"/>
        <v>7.5</v>
      </c>
      <c r="BY145" s="135">
        <f t="shared" si="49"/>
        <v>0</v>
      </c>
      <c r="BZ145" s="134">
        <f t="shared" si="50"/>
        <v>7.187500000007276</v>
      </c>
      <c r="CA145" s="134">
        <f t="shared" si="51"/>
        <v>15.413194444445253</v>
      </c>
      <c r="CB145" s="133">
        <f t="shared" si="52"/>
        <v>0.46632124352376364</v>
      </c>
    </row>
    <row r="146" spans="1:80" s="126" customFormat="1">
      <c r="A146" s="192">
        <f t="shared" si="36"/>
        <v>45071.569444444445</v>
      </c>
      <c r="B146" s="126" t="s">
        <v>188</v>
      </c>
      <c r="C146" s="126" t="s">
        <v>183</v>
      </c>
      <c r="D146" s="126" t="s">
        <v>189</v>
      </c>
      <c r="E146" s="65" t="s">
        <v>1638</v>
      </c>
      <c r="G146" s="165">
        <v>45096.662499999999</v>
      </c>
      <c r="H146" s="165">
        <v>45096.662499999999</v>
      </c>
      <c r="I146" s="126" t="s">
        <v>791</v>
      </c>
      <c r="J146" s="126" t="s">
        <v>192</v>
      </c>
      <c r="K146" s="126" t="s">
        <v>192</v>
      </c>
      <c r="L146" s="126" t="s">
        <v>1639</v>
      </c>
      <c r="M146" s="167"/>
      <c r="N146" s="126" t="s">
        <v>809</v>
      </c>
      <c r="O146" s="126" t="s">
        <v>1618</v>
      </c>
      <c r="P146" s="126" t="s">
        <v>183</v>
      </c>
      <c r="Q146" s="181">
        <v>5300</v>
      </c>
      <c r="R146" s="181"/>
      <c r="S146" s="181">
        <v>5300.5709999999999</v>
      </c>
      <c r="T146" s="181"/>
      <c r="AT146" s="181">
        <f t="shared" si="53"/>
        <v>5300.5709999999999</v>
      </c>
      <c r="AX146" s="165">
        <f t="shared" si="42"/>
        <v>45071.541666666664</v>
      </c>
      <c r="AY146" s="165">
        <f t="shared" si="43"/>
        <v>45085.989583333336</v>
      </c>
      <c r="AZ146" s="137">
        <f t="shared" si="44"/>
        <v>14.447916666671517</v>
      </c>
      <c r="BA146" s="165">
        <v>45071.541666666664</v>
      </c>
      <c r="BB146" s="165">
        <v>45071.541666666664</v>
      </c>
      <c r="BC146" s="165">
        <v>45071.541666666664</v>
      </c>
      <c r="BD146" s="165">
        <v>45071.569444444445</v>
      </c>
      <c r="BE146" s="165">
        <v>45073.5</v>
      </c>
      <c r="BF146" s="165">
        <v>45073.534722222219</v>
      </c>
      <c r="BG146" s="165">
        <v>45073.534722222219</v>
      </c>
      <c r="BH146" s="165">
        <v>45073.534722222219</v>
      </c>
      <c r="BI146" s="166" t="s">
        <v>196</v>
      </c>
      <c r="BJ146" s="166" t="s">
        <v>196</v>
      </c>
      <c r="BK146" s="166" t="s">
        <v>196</v>
      </c>
      <c r="BL146" s="165">
        <v>45078.791666666664</v>
      </c>
      <c r="BM146" s="165">
        <v>45085.743055555555</v>
      </c>
      <c r="BN146" s="165">
        <v>45085.975694444445</v>
      </c>
      <c r="BO146" s="165">
        <v>45085.986111111109</v>
      </c>
      <c r="BP146" s="165">
        <v>45085.989583333336</v>
      </c>
      <c r="BQ146" s="165">
        <v>45085.989583333336</v>
      </c>
      <c r="BT146" s="136">
        <f t="shared" si="45"/>
        <v>0</v>
      </c>
      <c r="BU146" s="136">
        <f t="shared" si="46"/>
        <v>46.333333333313931</v>
      </c>
      <c r="BV146" s="136">
        <f t="shared" si="47"/>
        <v>0</v>
      </c>
      <c r="BW146" s="136">
        <f t="shared" si="54"/>
        <v>126.16666666668607</v>
      </c>
      <c r="BX146" s="135">
        <f t="shared" si="48"/>
        <v>5.5833333333721384</v>
      </c>
      <c r="BY146" s="135">
        <f t="shared" si="49"/>
        <v>0</v>
      </c>
      <c r="BZ146" s="134">
        <f t="shared" si="50"/>
        <v>7.4201388888905058</v>
      </c>
      <c r="CA146" s="134">
        <f t="shared" si="51"/>
        <v>14.447916666671517</v>
      </c>
      <c r="CB146" s="133">
        <f t="shared" si="52"/>
        <v>0.51357846671467156</v>
      </c>
    </row>
    <row r="147" spans="1:80">
      <c r="A147" s="119">
        <f t="shared" si="36"/>
        <v>45073.5625</v>
      </c>
      <c r="B147" s="115" t="s">
        <v>188</v>
      </c>
      <c r="C147" s="115" t="s">
        <v>183</v>
      </c>
      <c r="D147" s="115" t="s">
        <v>189</v>
      </c>
      <c r="E147" s="65" t="s">
        <v>1638</v>
      </c>
      <c r="G147" s="165">
        <v>45096.662499999999</v>
      </c>
      <c r="H147" s="165">
        <v>45096.662499999999</v>
      </c>
      <c r="I147" s="115" t="s">
        <v>791</v>
      </c>
      <c r="J147" s="115" t="s">
        <v>192</v>
      </c>
      <c r="K147" s="115" t="s">
        <v>192</v>
      </c>
      <c r="L147" s="115" t="s">
        <v>1640</v>
      </c>
      <c r="N147" s="115" t="s">
        <v>812</v>
      </c>
      <c r="O147" s="115" t="s">
        <v>813</v>
      </c>
      <c r="P147" s="115" t="s">
        <v>183</v>
      </c>
      <c r="Q147" s="117">
        <v>5300</v>
      </c>
      <c r="S147" s="117">
        <v>5251.0439999999999</v>
      </c>
      <c r="AT147" s="117">
        <f t="shared" si="53"/>
        <v>5251.0439999999999</v>
      </c>
      <c r="AX147" s="251">
        <f t="shared" si="42"/>
        <v>45073.541666666664</v>
      </c>
      <c r="AY147" s="251">
        <f t="shared" si="43"/>
        <v>45086.715277777781</v>
      </c>
      <c r="AZ147" s="300">
        <f t="shared" si="44"/>
        <v>13.17361111111677</v>
      </c>
      <c r="BA147" s="251">
        <v>45073.541666666664</v>
      </c>
      <c r="BB147" s="251">
        <v>45073.541666666664</v>
      </c>
      <c r="BC147" s="251">
        <v>45073.541666666664</v>
      </c>
      <c r="BD147" s="251">
        <v>45073.5625</v>
      </c>
      <c r="BE147" s="251">
        <v>45075.576388888891</v>
      </c>
      <c r="BF147" s="251">
        <v>45075.590277777781</v>
      </c>
      <c r="BG147" s="251">
        <v>45075.590277777781</v>
      </c>
      <c r="BH147" s="251">
        <v>45075.590277777781</v>
      </c>
      <c r="BI147" s="252" t="s">
        <v>196</v>
      </c>
      <c r="BJ147" s="252" t="s">
        <v>196</v>
      </c>
      <c r="BK147" s="252" t="s">
        <v>196</v>
      </c>
      <c r="BL147" s="251">
        <v>45080.288194444445</v>
      </c>
      <c r="BM147" s="251">
        <v>45086.423611111109</v>
      </c>
      <c r="BN147" s="251">
        <v>45086.701388888891</v>
      </c>
      <c r="BO147" s="251">
        <v>45086.715277777781</v>
      </c>
      <c r="BP147" s="251">
        <v>45086.715277777781</v>
      </c>
      <c r="BQ147" s="301">
        <f>BP147</f>
        <v>45086.715277777781</v>
      </c>
      <c r="BR147" s="115"/>
      <c r="BS147" s="115"/>
      <c r="BT147" s="302">
        <f t="shared" si="45"/>
        <v>0</v>
      </c>
      <c r="BU147" s="302">
        <f t="shared" si="46"/>
        <v>48.333333333372138</v>
      </c>
      <c r="BV147" s="302">
        <f t="shared" si="47"/>
        <v>0</v>
      </c>
      <c r="BW147" s="302">
        <f t="shared" si="54"/>
        <v>112.74999999994179</v>
      </c>
      <c r="BX147" s="303">
        <f t="shared" si="48"/>
        <v>6.6666666667442769</v>
      </c>
      <c r="BY147" s="303">
        <f t="shared" si="49"/>
        <v>0</v>
      </c>
      <c r="BZ147" s="304">
        <f t="shared" si="50"/>
        <v>6.9895833333357587</v>
      </c>
      <c r="CA147" s="304">
        <f t="shared" si="51"/>
        <v>13.17361111111677</v>
      </c>
      <c r="CB147" s="305">
        <f t="shared" si="52"/>
        <v>0.53057459146015651</v>
      </c>
    </row>
    <row r="148" spans="1:80" s="126" customFormat="1">
      <c r="A148" s="192">
        <f t="shared" si="36"/>
        <v>45061.399305555555</v>
      </c>
      <c r="B148" s="126" t="s">
        <v>188</v>
      </c>
      <c r="C148" s="126" t="s">
        <v>184</v>
      </c>
      <c r="D148" s="126" t="s">
        <v>189</v>
      </c>
      <c r="E148" s="65" t="s">
        <v>1557</v>
      </c>
      <c r="G148" s="165">
        <v>45067.17083333333</v>
      </c>
      <c r="H148" s="165">
        <v>45067.17083333333</v>
      </c>
      <c r="I148" s="126" t="s">
        <v>818</v>
      </c>
      <c r="J148" s="126" t="s">
        <v>192</v>
      </c>
      <c r="K148" s="126" t="s">
        <v>192</v>
      </c>
      <c r="L148" s="126" t="s">
        <v>1641</v>
      </c>
      <c r="M148" s="167"/>
      <c r="N148" s="126" t="s">
        <v>823</v>
      </c>
      <c r="O148" s="126" t="s">
        <v>824</v>
      </c>
      <c r="P148" s="126" t="s">
        <v>184</v>
      </c>
      <c r="Q148" s="181">
        <v>7500</v>
      </c>
      <c r="R148" s="181"/>
      <c r="S148" s="181">
        <v>7503.21</v>
      </c>
      <c r="T148" s="181"/>
      <c r="AU148" s="181">
        <f>S148</f>
        <v>7503.21</v>
      </c>
      <c r="AX148" s="165">
        <f t="shared" si="42"/>
        <v>45060.847222222219</v>
      </c>
      <c r="AY148" s="165">
        <f t="shared" si="43"/>
        <v>45069.024305555555</v>
      </c>
      <c r="AZ148" s="137">
        <f t="shared" si="44"/>
        <v>8.1770833333357587</v>
      </c>
      <c r="BA148" s="165">
        <v>45060.847222222219</v>
      </c>
      <c r="BB148" s="165">
        <v>45060.847222222219</v>
      </c>
      <c r="BC148" s="165">
        <v>45060.847222222219</v>
      </c>
      <c r="BD148" s="165">
        <v>45061.399305555555</v>
      </c>
      <c r="BE148" s="165">
        <v>45062.895833333336</v>
      </c>
      <c r="BF148" s="165">
        <v>45062.972222222219</v>
      </c>
      <c r="BG148" s="165">
        <v>45062.972222222219</v>
      </c>
      <c r="BH148" s="165">
        <v>45062.972222222219</v>
      </c>
      <c r="BI148" s="166" t="s">
        <v>196</v>
      </c>
      <c r="BJ148" s="166" t="s">
        <v>196</v>
      </c>
      <c r="BK148" s="166" t="s">
        <v>196</v>
      </c>
      <c r="BL148" s="165">
        <v>45066.9375</v>
      </c>
      <c r="BM148" s="165">
        <v>45068.513888888891</v>
      </c>
      <c r="BN148" s="165">
        <v>45069.010416666664</v>
      </c>
      <c r="BO148" s="165">
        <v>45069.020833333336</v>
      </c>
      <c r="BP148" s="165">
        <v>45069.024305555555</v>
      </c>
      <c r="BQ148" s="165">
        <v>45069.024305555555</v>
      </c>
      <c r="BT148" s="136">
        <f t="shared" si="45"/>
        <v>0</v>
      </c>
      <c r="BU148" s="136">
        <f t="shared" si="46"/>
        <v>35.916666666744277</v>
      </c>
      <c r="BV148" s="136">
        <f t="shared" si="47"/>
        <v>0</v>
      </c>
      <c r="BW148" s="136">
        <f t="shared" si="54"/>
        <v>95.166666666744277</v>
      </c>
      <c r="BX148" s="135">
        <f t="shared" si="48"/>
        <v>11.916666666569654</v>
      </c>
      <c r="BY148" s="135">
        <f t="shared" si="49"/>
        <v>0</v>
      </c>
      <c r="BZ148" s="134">
        <f t="shared" si="50"/>
        <v>5.9583333333357587</v>
      </c>
      <c r="CA148" s="134">
        <f t="shared" si="51"/>
        <v>8.1770833333357587</v>
      </c>
      <c r="CB148" s="133">
        <f t="shared" si="52"/>
        <v>0.72866242038224605</v>
      </c>
    </row>
    <row r="149" spans="1:80" s="126" customFormat="1">
      <c r="A149" s="192">
        <f t="shared" si="36"/>
        <v>45063.4375</v>
      </c>
      <c r="B149" s="126" t="s">
        <v>188</v>
      </c>
      <c r="C149" s="126" t="s">
        <v>184</v>
      </c>
      <c r="D149" s="126" t="s">
        <v>189</v>
      </c>
      <c r="E149" s="65" t="s">
        <v>1515</v>
      </c>
      <c r="G149" s="73">
        <v>45069.666666666664</v>
      </c>
      <c r="H149" s="73">
        <v>45069.708333333336</v>
      </c>
      <c r="I149" s="126" t="s">
        <v>1642</v>
      </c>
      <c r="J149" s="126" t="s">
        <v>192</v>
      </c>
      <c r="K149" s="126" t="s">
        <v>192</v>
      </c>
      <c r="L149" s="126" t="s">
        <v>1643</v>
      </c>
      <c r="M149" s="167"/>
      <c r="N149" s="126" t="s">
        <v>1644</v>
      </c>
      <c r="O149" s="126" t="s">
        <v>1645</v>
      </c>
      <c r="P149" s="126" t="s">
        <v>184</v>
      </c>
      <c r="Q149" s="181">
        <v>7500</v>
      </c>
      <c r="R149" s="181"/>
      <c r="S149" s="181">
        <v>7504.5730000000003</v>
      </c>
      <c r="T149" s="181"/>
      <c r="AU149" s="181">
        <f>S149</f>
        <v>7504.5730000000003</v>
      </c>
      <c r="AX149" s="165">
        <f t="shared" si="42"/>
        <v>45060.395833333336</v>
      </c>
      <c r="AY149" s="165">
        <f t="shared" si="43"/>
        <v>45072.180555555555</v>
      </c>
      <c r="AZ149" s="137">
        <f t="shared" si="44"/>
        <v>11.784722222218988</v>
      </c>
      <c r="BA149" s="165">
        <v>45060.395833333336</v>
      </c>
      <c r="BB149" s="165">
        <v>45060.395833333336</v>
      </c>
      <c r="BC149" s="165">
        <v>45060.395833333336</v>
      </c>
      <c r="BD149" s="165">
        <v>45063.4375</v>
      </c>
      <c r="BE149" s="165">
        <v>45064.694444444445</v>
      </c>
      <c r="BF149" s="165">
        <v>45064.720833333333</v>
      </c>
      <c r="BG149" s="165">
        <v>45064.720833333333</v>
      </c>
      <c r="BH149" s="165">
        <v>45064.720833333333</v>
      </c>
      <c r="BI149" s="166" t="s">
        <v>196</v>
      </c>
      <c r="BJ149" s="166" t="s">
        <v>196</v>
      </c>
      <c r="BK149" s="166" t="s">
        <v>196</v>
      </c>
      <c r="BL149" s="165">
        <v>45069.270833333336</v>
      </c>
      <c r="BM149" s="165">
        <v>45071.125</v>
      </c>
      <c r="BN149" s="165">
        <v>45072.166666666664</v>
      </c>
      <c r="BO149" s="165">
        <v>45072.180555555555</v>
      </c>
      <c r="BP149" s="165">
        <v>45072.180555555555</v>
      </c>
      <c r="BQ149" s="165">
        <v>45072.180555555555</v>
      </c>
      <c r="BT149" s="136">
        <f t="shared" si="45"/>
        <v>0</v>
      </c>
      <c r="BU149" s="136">
        <f t="shared" si="46"/>
        <v>30.166666666686069</v>
      </c>
      <c r="BV149" s="136">
        <f t="shared" si="47"/>
        <v>0</v>
      </c>
      <c r="BW149" s="136">
        <f t="shared" si="54"/>
        <v>109.20000000006985</v>
      </c>
      <c r="BX149" s="135">
        <f t="shared" si="48"/>
        <v>24.999999999941792</v>
      </c>
      <c r="BY149" s="135">
        <f t="shared" si="49"/>
        <v>0</v>
      </c>
      <c r="BZ149" s="134">
        <f t="shared" si="50"/>
        <v>6.8486111111124046</v>
      </c>
      <c r="CA149" s="134">
        <f t="shared" si="51"/>
        <v>11.784722222218988</v>
      </c>
      <c r="CB149" s="133">
        <f t="shared" si="52"/>
        <v>0.58114319387180724</v>
      </c>
    </row>
    <row r="150" spans="1:80" s="126" customFormat="1">
      <c r="A150" s="192">
        <f t="shared" si="36"/>
        <v>45064.809027777781</v>
      </c>
      <c r="B150" s="126" t="s">
        <v>188</v>
      </c>
      <c r="C150" s="126" t="s">
        <v>184</v>
      </c>
      <c r="D150" s="126" t="s">
        <v>189</v>
      </c>
      <c r="E150" s="65" t="s">
        <v>1528</v>
      </c>
      <c r="G150" s="73">
        <v>45065.625</v>
      </c>
      <c r="H150" s="73">
        <v>45065.637499999997</v>
      </c>
      <c r="I150" s="126" t="s">
        <v>818</v>
      </c>
      <c r="J150" s="126" t="s">
        <v>192</v>
      </c>
      <c r="K150" s="126" t="s">
        <v>192</v>
      </c>
      <c r="L150" s="126" t="s">
        <v>1646</v>
      </c>
      <c r="M150" s="167"/>
      <c r="N150" s="126" t="s">
        <v>1647</v>
      </c>
      <c r="O150" s="126" t="s">
        <v>1648</v>
      </c>
      <c r="P150" s="126" t="s">
        <v>184</v>
      </c>
      <c r="Q150" s="181">
        <v>8000</v>
      </c>
      <c r="R150" s="181"/>
      <c r="S150" s="181">
        <v>8014.6639999999998</v>
      </c>
      <c r="T150" s="181"/>
      <c r="AU150" s="181">
        <f>S150</f>
        <v>8014.6639999999998</v>
      </c>
      <c r="AX150" s="165">
        <f t="shared" si="42"/>
        <v>45061.25</v>
      </c>
      <c r="AY150" s="165">
        <f t="shared" si="43"/>
        <v>45076.520833333336</v>
      </c>
      <c r="AZ150" s="137">
        <f t="shared" si="44"/>
        <v>15.270833333335759</v>
      </c>
      <c r="BA150" s="165">
        <v>45061.25</v>
      </c>
      <c r="BB150" s="165">
        <v>45061.25</v>
      </c>
      <c r="BC150" s="165">
        <v>45061.25</v>
      </c>
      <c r="BD150" s="165">
        <v>45064.809027777781</v>
      </c>
      <c r="BE150" s="165">
        <v>45066.71875</v>
      </c>
      <c r="BF150" s="165">
        <v>45066.725694444445</v>
      </c>
      <c r="BG150" s="165">
        <v>45066.725694444445</v>
      </c>
      <c r="BH150" s="165">
        <v>45066.725694444445</v>
      </c>
      <c r="BI150" s="166" t="s">
        <v>196</v>
      </c>
      <c r="BJ150" s="166" t="s">
        <v>196</v>
      </c>
      <c r="BK150" s="166" t="s">
        <v>196</v>
      </c>
      <c r="BL150" s="165">
        <v>45071.416666666664</v>
      </c>
      <c r="BM150" s="165">
        <v>45076.034722222219</v>
      </c>
      <c r="BN150" s="165">
        <v>45076.503472222219</v>
      </c>
      <c r="BO150" s="165">
        <v>45076.520833333336</v>
      </c>
      <c r="BP150" s="165">
        <v>45076.520833333336</v>
      </c>
      <c r="BQ150" s="165">
        <v>45076.520833333336</v>
      </c>
      <c r="BT150" s="136">
        <f t="shared" si="45"/>
        <v>0</v>
      </c>
      <c r="BU150" s="136">
        <f t="shared" si="46"/>
        <v>45.833333333255723</v>
      </c>
      <c r="BV150" s="136">
        <f t="shared" si="47"/>
        <v>0</v>
      </c>
      <c r="BW150" s="136">
        <f t="shared" si="54"/>
        <v>112.58333333325572</v>
      </c>
      <c r="BX150" s="135">
        <f t="shared" si="48"/>
        <v>11.25</v>
      </c>
      <c r="BY150" s="135">
        <f t="shared" si="49"/>
        <v>0</v>
      </c>
      <c r="BZ150" s="134">
        <f t="shared" si="50"/>
        <v>7.0694444444379769</v>
      </c>
      <c r="CA150" s="134">
        <f t="shared" si="51"/>
        <v>15.270833333335759</v>
      </c>
      <c r="CB150" s="133">
        <f t="shared" si="52"/>
        <v>0.46293769895357301</v>
      </c>
    </row>
    <row r="151" spans="1:80" s="126" customFormat="1">
      <c r="A151" s="192">
        <f t="shared" si="36"/>
        <v>45069.541666666664</v>
      </c>
      <c r="B151" s="126" t="s">
        <v>188</v>
      </c>
      <c r="C151" s="126" t="s">
        <v>184</v>
      </c>
      <c r="D151" s="126" t="s">
        <v>189</v>
      </c>
      <c r="E151" s="65" t="s">
        <v>1649</v>
      </c>
      <c r="G151" s="299">
        <v>45096.520833333336</v>
      </c>
      <c r="H151" s="299">
        <v>45096.520833333336</v>
      </c>
      <c r="I151" s="126" t="s">
        <v>818</v>
      </c>
      <c r="J151" s="126" t="s">
        <v>192</v>
      </c>
      <c r="K151" s="126" t="s">
        <v>192</v>
      </c>
      <c r="L151" s="126" t="s">
        <v>1650</v>
      </c>
      <c r="M151" s="167"/>
      <c r="N151" s="126" t="s">
        <v>1651</v>
      </c>
      <c r="O151" s="126" t="s">
        <v>1652</v>
      </c>
      <c r="P151" s="126" t="s">
        <v>184</v>
      </c>
      <c r="Q151" s="181">
        <v>7500</v>
      </c>
      <c r="R151" s="181"/>
      <c r="S151" s="181">
        <v>7529.0649999999996</v>
      </c>
      <c r="T151" s="181"/>
      <c r="AU151" s="181">
        <f>S151</f>
        <v>7529.0649999999996</v>
      </c>
      <c r="AX151" s="165">
        <f t="shared" si="42"/>
        <v>45067.208333333336</v>
      </c>
      <c r="AY151" s="165">
        <f t="shared" si="43"/>
        <v>45083.138888888891</v>
      </c>
      <c r="AZ151" s="137">
        <f t="shared" si="44"/>
        <v>15.930555555554747</v>
      </c>
      <c r="BA151" s="165">
        <v>45067.208333333336</v>
      </c>
      <c r="BB151" s="165">
        <v>45067.208333333336</v>
      </c>
      <c r="BC151" s="165">
        <v>45067.208333333336</v>
      </c>
      <c r="BD151" s="165">
        <v>45069.541666666664</v>
      </c>
      <c r="BE151" s="165">
        <v>45069.868055555555</v>
      </c>
      <c r="BF151" s="165">
        <v>45069.909722222219</v>
      </c>
      <c r="BG151" s="165">
        <v>45069.909722222219</v>
      </c>
      <c r="BH151" s="165">
        <v>45069.909722222219</v>
      </c>
      <c r="BI151" s="166" t="s">
        <v>196</v>
      </c>
      <c r="BJ151" s="166" t="s">
        <v>196</v>
      </c>
      <c r="BK151" s="166" t="s">
        <v>196</v>
      </c>
      <c r="BL151" s="165">
        <v>45075.8125</v>
      </c>
      <c r="BM151" s="165">
        <v>45082.756944444445</v>
      </c>
      <c r="BN151" s="165">
        <v>45083.118055555555</v>
      </c>
      <c r="BO151" s="165">
        <v>45083.138888888891</v>
      </c>
      <c r="BP151" s="165">
        <v>45083.138888888891</v>
      </c>
      <c r="BQ151" s="165">
        <v>45083.138888888891</v>
      </c>
      <c r="BT151" s="136">
        <f t="shared" si="45"/>
        <v>0</v>
      </c>
      <c r="BU151" s="136">
        <f t="shared" si="46"/>
        <v>7.8333333333721384</v>
      </c>
      <c r="BV151" s="136">
        <f t="shared" si="47"/>
        <v>0</v>
      </c>
      <c r="BW151" s="136">
        <f t="shared" si="54"/>
        <v>141.66666666674428</v>
      </c>
      <c r="BX151" s="135">
        <f t="shared" si="48"/>
        <v>8.6666666666278616</v>
      </c>
      <c r="BY151" s="135">
        <f t="shared" si="49"/>
        <v>0</v>
      </c>
      <c r="BZ151" s="134">
        <f t="shared" si="50"/>
        <v>6.5902777777810115</v>
      </c>
      <c r="CA151" s="134">
        <f t="shared" si="51"/>
        <v>15.930555555554747</v>
      </c>
      <c r="CB151" s="133">
        <f t="shared" si="52"/>
        <v>0.41368788143004087</v>
      </c>
    </row>
    <row r="152" spans="1:80" s="126" customFormat="1">
      <c r="A152" s="192"/>
      <c r="D152" s="126" t="s">
        <v>215</v>
      </c>
      <c r="G152" s="165"/>
      <c r="H152" s="165"/>
      <c r="J152" s="126" t="s">
        <v>312</v>
      </c>
      <c r="L152" s="126" t="s">
        <v>1653</v>
      </c>
      <c r="M152" s="167"/>
      <c r="N152" s="126" t="s">
        <v>482</v>
      </c>
      <c r="O152" s="126" t="s">
        <v>483</v>
      </c>
      <c r="Q152" s="181">
        <f>3107*2.4</f>
        <v>7456.7999999999993</v>
      </c>
      <c r="R152" s="181"/>
      <c r="S152" s="181"/>
      <c r="T152" s="181"/>
      <c r="U152" s="181"/>
      <c r="V152" s="181"/>
      <c r="AX152" s="165">
        <f t="shared" si="42"/>
        <v>45047</v>
      </c>
      <c r="AY152" s="165">
        <f t="shared" si="43"/>
        <v>45078</v>
      </c>
      <c r="AZ152" s="137">
        <f t="shared" si="44"/>
        <v>31</v>
      </c>
      <c r="BA152" s="165">
        <v>45047</v>
      </c>
      <c r="BB152" s="165"/>
      <c r="BC152" s="165"/>
      <c r="BD152" s="165"/>
      <c r="BE152" s="165"/>
      <c r="BF152" s="165"/>
      <c r="BG152" s="165"/>
      <c r="BH152" s="165"/>
      <c r="BI152" s="165"/>
      <c r="BJ152" s="165"/>
      <c r="BK152" s="166"/>
      <c r="BL152" s="165"/>
      <c r="BM152" s="165"/>
      <c r="BN152" s="165"/>
      <c r="BO152" s="165"/>
      <c r="BP152" s="165"/>
      <c r="BQ152" s="165">
        <v>45078</v>
      </c>
      <c r="BT152" s="136">
        <f t="shared" si="45"/>
        <v>0</v>
      </c>
      <c r="BU152" s="136">
        <f t="shared" si="46"/>
        <v>0</v>
      </c>
      <c r="BV152" s="136">
        <f t="shared" si="47"/>
        <v>0</v>
      </c>
      <c r="BW152" s="136">
        <f t="shared" ref="BW152:BW184" si="55">(BL152-BJ152)*24</f>
        <v>0</v>
      </c>
      <c r="BX152" s="135">
        <f t="shared" si="48"/>
        <v>0</v>
      </c>
      <c r="BY152" s="135">
        <f t="shared" si="49"/>
        <v>1081872</v>
      </c>
      <c r="BZ152" s="134">
        <f t="shared" si="50"/>
        <v>45078</v>
      </c>
      <c r="CA152" s="134">
        <f t="shared" si="51"/>
        <v>31</v>
      </c>
      <c r="CB152" s="133">
        <f t="shared" si="52"/>
        <v>1454.1290322580646</v>
      </c>
    </row>
    <row r="153" spans="1:80" s="126" customFormat="1">
      <c r="A153" s="192">
        <f t="shared" ref="A153:A184" si="56">BD153</f>
        <v>45049.554861111108</v>
      </c>
      <c r="B153" s="126" t="s">
        <v>228</v>
      </c>
      <c r="C153" s="126" t="s">
        <v>229</v>
      </c>
      <c r="D153" s="126" t="s">
        <v>197</v>
      </c>
      <c r="E153" s="126" t="s">
        <v>1583</v>
      </c>
      <c r="G153" s="73">
        <v>45049.25</v>
      </c>
      <c r="H153" s="73">
        <v>45049.197916666664</v>
      </c>
      <c r="I153" s="126" t="s">
        <v>497</v>
      </c>
      <c r="J153" s="126" t="s">
        <v>192</v>
      </c>
      <c r="K153" s="126" t="s">
        <v>192</v>
      </c>
      <c r="L153" s="126" t="s">
        <v>1654</v>
      </c>
      <c r="M153" s="167"/>
      <c r="N153" s="126" t="s">
        <v>213</v>
      </c>
      <c r="O153" s="126" t="s">
        <v>214</v>
      </c>
      <c r="P153" s="126" t="s">
        <v>494</v>
      </c>
      <c r="Q153" s="181">
        <f>3113*2.4</f>
        <v>7471.2</v>
      </c>
      <c r="R153" s="181"/>
      <c r="S153" s="181">
        <v>7555.4780000000001</v>
      </c>
      <c r="T153" s="181"/>
      <c r="U153" s="181">
        <f>S153</f>
        <v>7555.4780000000001</v>
      </c>
      <c r="AX153" s="165">
        <f t="shared" si="42"/>
        <v>45042.416666666664</v>
      </c>
      <c r="AY153" s="165">
        <f t="shared" si="43"/>
        <v>45055.236111111109</v>
      </c>
      <c r="AZ153" s="137">
        <f t="shared" si="44"/>
        <v>12.819444444445253</v>
      </c>
      <c r="BA153" s="165">
        <v>45042.416666666664</v>
      </c>
      <c r="BB153" s="165">
        <v>45043.618055555555</v>
      </c>
      <c r="BC153" s="165">
        <v>45045.4375</v>
      </c>
      <c r="BD153" s="165">
        <v>45049.554861111108</v>
      </c>
      <c r="BE153" s="165">
        <v>45049.697916666664</v>
      </c>
      <c r="BF153" s="165">
        <v>45049.704861111109</v>
      </c>
      <c r="BG153" s="165">
        <v>45049.704861111109</v>
      </c>
      <c r="BH153" s="165">
        <f t="shared" ref="BH153:BH184" si="57">BG153+(41/24)</f>
        <v>45051.413194444445</v>
      </c>
      <c r="BI153" s="165">
        <v>45051.229166608799</v>
      </c>
      <c r="BJ153" s="165">
        <v>45051.395833275463</v>
      </c>
      <c r="BK153" s="165">
        <v>45051.361111111109</v>
      </c>
      <c r="BL153" s="165">
        <v>45052.833333333336</v>
      </c>
      <c r="BM153" s="165">
        <v>45054.979166666664</v>
      </c>
      <c r="BN153" s="165">
        <v>45055.194444444445</v>
      </c>
      <c r="BO153" s="165">
        <v>45055.236111111109</v>
      </c>
      <c r="BP153" s="165">
        <v>45055.236111111109</v>
      </c>
      <c r="BQ153" s="165">
        <v>45055.236111111109</v>
      </c>
      <c r="BR153" s="126" t="s">
        <v>788</v>
      </c>
      <c r="BT153" s="136">
        <f t="shared" si="45"/>
        <v>43.666666666686069</v>
      </c>
      <c r="BU153" s="136">
        <f t="shared" si="46"/>
        <v>3.4333333333488554</v>
      </c>
      <c r="BV153" s="136">
        <f t="shared" si="47"/>
        <v>41.000000000058208</v>
      </c>
      <c r="BW153" s="136">
        <f t="shared" si="55"/>
        <v>34.500001388951205</v>
      </c>
      <c r="BX153" s="135">
        <f t="shared" si="48"/>
        <v>5.1666666667442769</v>
      </c>
      <c r="BY153" s="135">
        <f t="shared" si="49"/>
        <v>0</v>
      </c>
      <c r="BZ153" s="134">
        <f t="shared" si="50"/>
        <v>5.3236111689911922</v>
      </c>
      <c r="CA153" s="134">
        <f t="shared" si="51"/>
        <v>12.819444444445253</v>
      </c>
      <c r="CB153" s="133">
        <f t="shared" si="52"/>
        <v>0.41527627753774826</v>
      </c>
    </row>
    <row r="154" spans="1:80" s="126" customFormat="1">
      <c r="A154" s="192">
        <f t="shared" si="56"/>
        <v>45049.738194444442</v>
      </c>
      <c r="B154" s="126" t="s">
        <v>228</v>
      </c>
      <c r="C154" s="126" t="s">
        <v>229</v>
      </c>
      <c r="D154" s="126" t="s">
        <v>215</v>
      </c>
      <c r="E154" s="126" t="s">
        <v>1583</v>
      </c>
      <c r="G154" s="73">
        <v>45049.25</v>
      </c>
      <c r="H154" s="73">
        <v>45049.197916666664</v>
      </c>
      <c r="I154" s="126" t="s">
        <v>497</v>
      </c>
      <c r="J154" s="126" t="s">
        <v>192</v>
      </c>
      <c r="K154" s="126" t="s">
        <v>192</v>
      </c>
      <c r="L154" s="126" t="s">
        <v>1655</v>
      </c>
      <c r="M154" s="167"/>
      <c r="N154" s="126" t="s">
        <v>271</v>
      </c>
      <c r="O154" s="126" t="s">
        <v>272</v>
      </c>
      <c r="P154" s="126" t="s">
        <v>835</v>
      </c>
      <c r="Q154" s="181">
        <f>3852*2.4</f>
        <v>9244.7999999999993</v>
      </c>
      <c r="R154" s="181"/>
      <c r="S154" s="181">
        <v>9438.3150000000005</v>
      </c>
      <c r="T154" s="181"/>
      <c r="V154" s="181">
        <f>S154</f>
        <v>9438.3150000000005</v>
      </c>
      <c r="AX154" s="165">
        <f t="shared" si="42"/>
        <v>45041.430555555555</v>
      </c>
      <c r="AY154" s="165">
        <f t="shared" si="43"/>
        <v>45056.993055555555</v>
      </c>
      <c r="AZ154" s="137">
        <f t="shared" si="44"/>
        <v>15.5625</v>
      </c>
      <c r="BA154" s="165">
        <v>45041.430555555555</v>
      </c>
      <c r="BB154" s="165">
        <v>45043.589583333334</v>
      </c>
      <c r="BC154" s="165">
        <v>45045.440972222219</v>
      </c>
      <c r="BD154" s="165">
        <v>45049.738194444442</v>
      </c>
      <c r="BE154" s="165">
        <v>45049.961805555555</v>
      </c>
      <c r="BF154" s="165">
        <v>45049.965277777781</v>
      </c>
      <c r="BG154" s="165">
        <v>45049.965277777781</v>
      </c>
      <c r="BH154" s="165">
        <f t="shared" si="57"/>
        <v>45051.673611111117</v>
      </c>
      <c r="BI154" s="165">
        <v>45052.25</v>
      </c>
      <c r="BJ154" s="165">
        <v>45052.416666666664</v>
      </c>
      <c r="BK154" s="165">
        <v>45052.275694444441</v>
      </c>
      <c r="BL154" s="165">
        <v>45053.659722222219</v>
      </c>
      <c r="BM154" s="165">
        <v>45056.107638888891</v>
      </c>
      <c r="BN154" s="165">
        <v>45056.454861111109</v>
      </c>
      <c r="BO154" s="165">
        <v>45056.465277777781</v>
      </c>
      <c r="BP154" s="165">
        <v>45056.46875</v>
      </c>
      <c r="BQ154" s="165">
        <v>45056.993055555555</v>
      </c>
      <c r="BT154" s="136">
        <f t="shared" si="45"/>
        <v>44.43333333323244</v>
      </c>
      <c r="BU154" s="136">
        <f t="shared" si="46"/>
        <v>5.3666666666977108</v>
      </c>
      <c r="BV154" s="136">
        <f t="shared" si="47"/>
        <v>41.000000000058208</v>
      </c>
      <c r="BW154" s="136">
        <f t="shared" si="55"/>
        <v>29.833333333313931</v>
      </c>
      <c r="BX154" s="135">
        <f t="shared" si="48"/>
        <v>8.3333333332557231</v>
      </c>
      <c r="BY154" s="135">
        <f t="shared" si="49"/>
        <v>12.583333333313931</v>
      </c>
      <c r="BZ154" s="134">
        <f t="shared" si="50"/>
        <v>5.897916666661331</v>
      </c>
      <c r="CA154" s="134">
        <f t="shared" si="51"/>
        <v>15.5625</v>
      </c>
      <c r="CB154" s="133">
        <f t="shared" si="52"/>
        <v>0.37898259705454335</v>
      </c>
    </row>
    <row r="155" spans="1:80" s="126" customFormat="1">
      <c r="A155" s="192">
        <f t="shared" si="56"/>
        <v>45049.987500000003</v>
      </c>
      <c r="B155" s="126" t="s">
        <v>228</v>
      </c>
      <c r="C155" s="126" t="s">
        <v>229</v>
      </c>
      <c r="D155" s="126" t="s">
        <v>215</v>
      </c>
      <c r="E155" s="126" t="s">
        <v>1583</v>
      </c>
      <c r="G155" s="73">
        <v>45049.25</v>
      </c>
      <c r="H155" s="73">
        <v>45049.197916666664</v>
      </c>
      <c r="I155" s="126" t="s">
        <v>497</v>
      </c>
      <c r="J155" s="126" t="s">
        <v>192</v>
      </c>
      <c r="K155" s="126" t="s">
        <v>192</v>
      </c>
      <c r="L155" s="126" t="s">
        <v>1656</v>
      </c>
      <c r="M155" s="167"/>
      <c r="N155" s="126" t="s">
        <v>252</v>
      </c>
      <c r="O155" s="126" t="s">
        <v>253</v>
      </c>
      <c r="P155" s="126" t="s">
        <v>835</v>
      </c>
      <c r="Q155" s="181">
        <f>3107*2.4</f>
        <v>7456.7999999999993</v>
      </c>
      <c r="R155" s="181"/>
      <c r="S155" s="181">
        <v>7523.14</v>
      </c>
      <c r="T155" s="181"/>
      <c r="V155" s="181">
        <f>S155</f>
        <v>7523.14</v>
      </c>
      <c r="AX155" s="165">
        <f t="shared" si="42"/>
        <v>45043.246527777781</v>
      </c>
      <c r="AY155" s="165">
        <f t="shared" si="43"/>
        <v>45056.041666666664</v>
      </c>
      <c r="AZ155" s="137">
        <f t="shared" si="44"/>
        <v>12.79513888888323</v>
      </c>
      <c r="BA155" s="165">
        <v>45043.246527777781</v>
      </c>
      <c r="BB155" s="165">
        <v>45043.798611111109</v>
      </c>
      <c r="BC155" s="165">
        <v>45045.458333333336</v>
      </c>
      <c r="BD155" s="165">
        <v>45049.987500000003</v>
      </c>
      <c r="BE155" s="165">
        <v>45050.142361111109</v>
      </c>
      <c r="BF155" s="165">
        <v>45050.149305555555</v>
      </c>
      <c r="BG155" s="165">
        <v>45050.149305555555</v>
      </c>
      <c r="BH155" s="165">
        <f t="shared" si="57"/>
        <v>45051.857638888891</v>
      </c>
      <c r="BI155" s="165">
        <v>45052.25</v>
      </c>
      <c r="BJ155" s="165">
        <v>45052.416666666664</v>
      </c>
      <c r="BK155" s="165">
        <v>45083.302083333336</v>
      </c>
      <c r="BL155" s="165">
        <v>45053.694444444445</v>
      </c>
      <c r="BM155" s="165">
        <v>45055.75</v>
      </c>
      <c r="BN155" s="165">
        <v>45056.013888888891</v>
      </c>
      <c r="BO155" s="165">
        <v>45056.041666666664</v>
      </c>
      <c r="BP155" s="165">
        <v>45056.041666666664</v>
      </c>
      <c r="BQ155" s="165">
        <v>45056.041666666664</v>
      </c>
      <c r="BT155" s="136">
        <f t="shared" si="45"/>
        <v>39.833333333430346</v>
      </c>
      <c r="BU155" s="136">
        <f t="shared" si="46"/>
        <v>3.7166666665580124</v>
      </c>
      <c r="BV155" s="136">
        <f t="shared" si="47"/>
        <v>41.000000000058208</v>
      </c>
      <c r="BW155" s="136">
        <f t="shared" si="55"/>
        <v>30.666666666744277</v>
      </c>
      <c r="BX155" s="135">
        <f t="shared" si="48"/>
        <v>6.3333333333721384</v>
      </c>
      <c r="BY155" s="135">
        <f t="shared" si="49"/>
        <v>0</v>
      </c>
      <c r="BZ155" s="134">
        <f t="shared" si="50"/>
        <v>5.0645833333401242</v>
      </c>
      <c r="CA155" s="134">
        <f t="shared" si="51"/>
        <v>12.79513888888323</v>
      </c>
      <c r="CB155" s="133">
        <f t="shared" si="52"/>
        <v>0.39582089552309385</v>
      </c>
    </row>
    <row r="156" spans="1:80" s="126" customFormat="1">
      <c r="A156" s="192">
        <f t="shared" si="56"/>
        <v>45050.173611111109</v>
      </c>
      <c r="B156" s="126" t="s">
        <v>228</v>
      </c>
      <c r="C156" s="126" t="s">
        <v>229</v>
      </c>
      <c r="D156" s="126" t="s">
        <v>197</v>
      </c>
      <c r="E156" s="126" t="s">
        <v>1583</v>
      </c>
      <c r="G156" s="73">
        <v>45049.25</v>
      </c>
      <c r="H156" s="73">
        <v>45049.197916666664</v>
      </c>
      <c r="I156" s="126" t="s">
        <v>497</v>
      </c>
      <c r="J156" s="126" t="s">
        <v>192</v>
      </c>
      <c r="K156" s="126" t="s">
        <v>192</v>
      </c>
      <c r="L156" s="126" t="s">
        <v>1657</v>
      </c>
      <c r="M156" s="167"/>
      <c r="N156" s="126" t="s">
        <v>277</v>
      </c>
      <c r="O156" s="126" t="s">
        <v>278</v>
      </c>
      <c r="P156" s="126" t="s">
        <v>494</v>
      </c>
      <c r="Q156" s="181">
        <f>3117*2.4</f>
        <v>7480.7999999999993</v>
      </c>
      <c r="R156" s="181"/>
      <c r="S156" s="181">
        <v>7439.1490000000003</v>
      </c>
      <c r="T156" s="181"/>
      <c r="U156" s="181">
        <f>S156</f>
        <v>7439.1490000000003</v>
      </c>
      <c r="AX156" s="165">
        <f t="shared" si="42"/>
        <v>45042.861111111109</v>
      </c>
      <c r="AY156" s="165">
        <f t="shared" si="43"/>
        <v>45057.739583333336</v>
      </c>
      <c r="AZ156" s="137">
        <f t="shared" si="44"/>
        <v>14.878472222226264</v>
      </c>
      <c r="BA156" s="165">
        <v>45042.861111111109</v>
      </c>
      <c r="BB156" s="165">
        <v>45043.802083333336</v>
      </c>
      <c r="BC156" s="165">
        <v>45045.472222222219</v>
      </c>
      <c r="BD156" s="165">
        <v>45050.173611111109</v>
      </c>
      <c r="BE156" s="165">
        <v>45050.434027777781</v>
      </c>
      <c r="BF156" s="165">
        <v>45050.444444444445</v>
      </c>
      <c r="BG156" s="165">
        <v>45050.444444444445</v>
      </c>
      <c r="BH156" s="165">
        <f t="shared" si="57"/>
        <v>45052.152777777781</v>
      </c>
      <c r="BI156" s="165">
        <v>45052.25</v>
      </c>
      <c r="BJ156" s="165">
        <v>45052.416666666664</v>
      </c>
      <c r="BK156" s="165">
        <v>45052.385416666664</v>
      </c>
      <c r="BL156" s="165">
        <v>45053.868055555555</v>
      </c>
      <c r="BM156" s="165">
        <v>45057.104166666664</v>
      </c>
      <c r="BN156" s="165">
        <v>45057.295138888891</v>
      </c>
      <c r="BO156" s="165">
        <v>45057.309027777781</v>
      </c>
      <c r="BP156" s="165">
        <v>45057.3125</v>
      </c>
      <c r="BQ156" s="165">
        <v>45057.739583333336</v>
      </c>
      <c r="BT156" s="136">
        <f t="shared" si="45"/>
        <v>40.083333333197515</v>
      </c>
      <c r="BU156" s="136">
        <f t="shared" si="46"/>
        <v>6.2500000001164153</v>
      </c>
      <c r="BV156" s="136">
        <f t="shared" si="47"/>
        <v>41.000000000058208</v>
      </c>
      <c r="BW156" s="136">
        <f t="shared" si="55"/>
        <v>34.833333333372138</v>
      </c>
      <c r="BX156" s="135">
        <f t="shared" si="48"/>
        <v>4.5833333334303461</v>
      </c>
      <c r="BY156" s="135">
        <f t="shared" si="49"/>
        <v>10.250000000058208</v>
      </c>
      <c r="BZ156" s="134">
        <f t="shared" si="50"/>
        <v>5.7083333333430346</v>
      </c>
      <c r="CA156" s="134">
        <f t="shared" si="51"/>
        <v>14.878472222226264</v>
      </c>
      <c r="CB156" s="133">
        <f t="shared" si="52"/>
        <v>0.3836639439912129</v>
      </c>
    </row>
    <row r="157" spans="1:80" s="126" customFormat="1">
      <c r="A157" s="192">
        <f t="shared" si="56"/>
        <v>45050.461805555555</v>
      </c>
      <c r="B157" s="126" t="s">
        <v>228</v>
      </c>
      <c r="C157" s="126" t="s">
        <v>229</v>
      </c>
      <c r="D157" s="126" t="s">
        <v>215</v>
      </c>
      <c r="E157" s="126" t="s">
        <v>1583</v>
      </c>
      <c r="G157" s="73">
        <v>45049.25</v>
      </c>
      <c r="H157" s="73">
        <v>45049.197916666664</v>
      </c>
      <c r="I157" s="126" t="s">
        <v>497</v>
      </c>
      <c r="J157" s="126" t="s">
        <v>192</v>
      </c>
      <c r="K157" s="126" t="s">
        <v>192</v>
      </c>
      <c r="L157" s="126" t="s">
        <v>1658</v>
      </c>
      <c r="M157" s="167"/>
      <c r="N157" s="126" t="s">
        <v>218</v>
      </c>
      <c r="O157" s="126" t="s">
        <v>219</v>
      </c>
      <c r="P157" s="126" t="s">
        <v>494</v>
      </c>
      <c r="Q157" s="181">
        <f>3087*2.4</f>
        <v>7408.7999999999993</v>
      </c>
      <c r="R157" s="181"/>
      <c r="S157" s="181">
        <v>7577.66</v>
      </c>
      <c r="T157" s="181"/>
      <c r="U157" s="181">
        <f>S157</f>
        <v>7577.66</v>
      </c>
      <c r="AX157" s="165">
        <f t="shared" si="42"/>
        <v>45042.701388888891</v>
      </c>
      <c r="AY157" s="165">
        <f t="shared" si="43"/>
        <v>45057.46875</v>
      </c>
      <c r="AZ157" s="137">
        <f t="shared" si="44"/>
        <v>14.767361111109494</v>
      </c>
      <c r="BA157" s="165">
        <v>45042.701388888891</v>
      </c>
      <c r="BB157" s="165">
        <v>45043.576388888891</v>
      </c>
      <c r="BC157" s="165">
        <v>45045.486111111109</v>
      </c>
      <c r="BD157" s="165">
        <v>45050.461805555555</v>
      </c>
      <c r="BE157" s="165">
        <v>45050.631944444445</v>
      </c>
      <c r="BF157" s="165">
        <v>45050.638888888891</v>
      </c>
      <c r="BG157" s="165">
        <v>45050.638888888891</v>
      </c>
      <c r="BH157" s="165">
        <f t="shared" si="57"/>
        <v>45052.347222222226</v>
      </c>
      <c r="BI157" s="165">
        <v>45052.25</v>
      </c>
      <c r="BJ157" s="165">
        <v>45052.416666666664</v>
      </c>
      <c r="BK157" s="165">
        <v>45052.348611111112</v>
      </c>
      <c r="BL157" s="165">
        <v>45053.819444444445</v>
      </c>
      <c r="BM157" s="165">
        <v>45056.559027777781</v>
      </c>
      <c r="BN157" s="165">
        <v>45056.923611111109</v>
      </c>
      <c r="BO157" s="165">
        <v>45057.048611111109</v>
      </c>
      <c r="BP157" s="165">
        <v>45057.052083333336</v>
      </c>
      <c r="BQ157" s="165">
        <v>45057.46875</v>
      </c>
      <c r="BT157" s="136">
        <f t="shared" si="45"/>
        <v>45.833333333255723</v>
      </c>
      <c r="BU157" s="136">
        <f t="shared" si="46"/>
        <v>4.0833333333721384</v>
      </c>
      <c r="BV157" s="136">
        <f t="shared" si="47"/>
        <v>41.000000000058208</v>
      </c>
      <c r="BW157" s="136">
        <f t="shared" si="55"/>
        <v>33.666666666744277</v>
      </c>
      <c r="BX157" s="135">
        <f t="shared" si="48"/>
        <v>8.7499999998835847</v>
      </c>
      <c r="BY157" s="135">
        <f t="shared" si="49"/>
        <v>9.9999999999417923</v>
      </c>
      <c r="BZ157" s="134">
        <f t="shared" si="50"/>
        <v>5.9722222222189885</v>
      </c>
      <c r="CA157" s="134">
        <f t="shared" si="51"/>
        <v>14.767361111109494</v>
      </c>
      <c r="CB157" s="133">
        <f t="shared" si="52"/>
        <v>0.40442040912279731</v>
      </c>
    </row>
    <row r="158" spans="1:80" s="126" customFormat="1">
      <c r="A158" s="192">
        <f t="shared" si="56"/>
        <v>45050.704861111109</v>
      </c>
      <c r="B158" s="126" t="s">
        <v>228</v>
      </c>
      <c r="C158" s="126" t="s">
        <v>229</v>
      </c>
      <c r="D158" s="126" t="s">
        <v>215</v>
      </c>
      <c r="E158" s="126" t="s">
        <v>1583</v>
      </c>
      <c r="G158" s="73">
        <v>45049.25</v>
      </c>
      <c r="H158" s="73">
        <v>45049.197916666664</v>
      </c>
      <c r="I158" s="126" t="s">
        <v>497</v>
      </c>
      <c r="J158" s="126" t="s">
        <v>192</v>
      </c>
      <c r="K158" s="126" t="s">
        <v>192</v>
      </c>
      <c r="L158" s="126" t="s">
        <v>1659</v>
      </c>
      <c r="M158" s="167"/>
      <c r="N158" s="126" t="s">
        <v>1230</v>
      </c>
      <c r="O158" s="126" t="s">
        <v>1231</v>
      </c>
      <c r="P158" s="126" t="s">
        <v>494</v>
      </c>
      <c r="Q158" s="181">
        <f>3107*2.4</f>
        <v>7456.7999999999993</v>
      </c>
      <c r="R158" s="181"/>
      <c r="S158" s="181">
        <v>7404.8469999999998</v>
      </c>
      <c r="T158" s="181"/>
      <c r="U158" s="181">
        <f>S158</f>
        <v>7404.8469999999998</v>
      </c>
      <c r="AX158" s="165">
        <f t="shared" si="42"/>
        <v>45040.986111111109</v>
      </c>
      <c r="AY158" s="165">
        <f t="shared" si="43"/>
        <v>45058.052083333336</v>
      </c>
      <c r="AZ158" s="137">
        <f t="shared" si="44"/>
        <v>17.065972222226264</v>
      </c>
      <c r="BA158" s="165">
        <v>45040.986111111109</v>
      </c>
      <c r="BB158" s="165">
        <v>45043.552083333336</v>
      </c>
      <c r="BC158" s="165">
        <v>45045.673611111109</v>
      </c>
      <c r="BD158" s="165">
        <v>45050.704861111109</v>
      </c>
      <c r="BE158" s="165">
        <v>45050.909722222219</v>
      </c>
      <c r="BF158" s="165">
        <v>45050.913194444445</v>
      </c>
      <c r="BG158" s="165">
        <v>45050.913194444445</v>
      </c>
      <c r="BH158" s="165">
        <f t="shared" si="57"/>
        <v>45052.621527777781</v>
      </c>
      <c r="BI158" s="165">
        <v>45053.25</v>
      </c>
      <c r="BJ158" s="165">
        <v>45053.416666666664</v>
      </c>
      <c r="BK158" s="165">
        <v>45053.295138888891</v>
      </c>
      <c r="BL158" s="165">
        <v>45054.895833333336</v>
      </c>
      <c r="BM158" s="165">
        <v>45057.392361111109</v>
      </c>
      <c r="BN158" s="165">
        <v>45057.572916666664</v>
      </c>
      <c r="BO158" s="165">
        <v>45057.579861111109</v>
      </c>
      <c r="BP158" s="165">
        <v>45057.583333333336</v>
      </c>
      <c r="BQ158" s="165">
        <v>45058.052083333336</v>
      </c>
      <c r="BT158" s="136">
        <f t="shared" si="45"/>
        <v>50.916666666569654</v>
      </c>
      <c r="BU158" s="136">
        <f t="shared" si="46"/>
        <v>4.9166666666278616</v>
      </c>
      <c r="BV158" s="136">
        <f t="shared" si="47"/>
        <v>41.000000000058208</v>
      </c>
      <c r="BW158" s="136">
        <f t="shared" si="55"/>
        <v>35.500000000116415</v>
      </c>
      <c r="BX158" s="135">
        <f t="shared" si="48"/>
        <v>4.3333333333139308</v>
      </c>
      <c r="BY158" s="135">
        <f t="shared" si="49"/>
        <v>11.25</v>
      </c>
      <c r="BZ158" s="134">
        <f t="shared" si="50"/>
        <v>6.1631944444452529</v>
      </c>
      <c r="CA158" s="134">
        <f t="shared" si="51"/>
        <v>17.065972222226264</v>
      </c>
      <c r="CB158" s="133">
        <f t="shared" si="52"/>
        <v>0.36113936927768309</v>
      </c>
    </row>
    <row r="159" spans="1:80" s="126" customFormat="1">
      <c r="A159" s="192">
        <f t="shared" si="56"/>
        <v>45051.805555555555</v>
      </c>
      <c r="B159" s="126" t="s">
        <v>228</v>
      </c>
      <c r="C159" s="126" t="s">
        <v>229</v>
      </c>
      <c r="D159" s="126" t="s">
        <v>197</v>
      </c>
      <c r="E159" s="126" t="s">
        <v>1292</v>
      </c>
      <c r="G159" s="73">
        <v>45051.354166666664</v>
      </c>
      <c r="H159" s="73">
        <v>45051.3125</v>
      </c>
      <c r="I159" s="126" t="s">
        <v>490</v>
      </c>
      <c r="J159" s="126" t="s">
        <v>192</v>
      </c>
      <c r="K159" s="126" t="s">
        <v>192</v>
      </c>
      <c r="L159" s="126" t="s">
        <v>1660</v>
      </c>
      <c r="M159" s="167"/>
      <c r="N159" s="126" t="s">
        <v>257</v>
      </c>
      <c r="O159" s="126" t="s">
        <v>258</v>
      </c>
      <c r="P159" s="126" t="s">
        <v>494</v>
      </c>
      <c r="Q159" s="181">
        <f>3139*2.4</f>
        <v>7533.5999999999995</v>
      </c>
      <c r="R159" s="181"/>
      <c r="S159" s="181">
        <v>7450.4070000000002</v>
      </c>
      <c r="T159" s="181"/>
      <c r="U159" s="181">
        <f>S159</f>
        <v>7450.4070000000002</v>
      </c>
      <c r="AX159" s="165">
        <f t="shared" si="42"/>
        <v>45043.420138888891</v>
      </c>
      <c r="AY159" s="165">
        <f t="shared" si="43"/>
        <v>45059.996527777781</v>
      </c>
      <c r="AZ159" s="137">
        <f t="shared" si="44"/>
        <v>16.576388888890506</v>
      </c>
      <c r="BA159" s="165">
        <v>45043.420138888891</v>
      </c>
      <c r="BB159" s="165">
        <v>45044.604166666664</v>
      </c>
      <c r="BC159" s="165">
        <v>45046.413194444445</v>
      </c>
      <c r="BD159" s="165">
        <v>45051.805555555555</v>
      </c>
      <c r="BE159" s="165">
        <v>45051.986111111109</v>
      </c>
      <c r="BF159" s="165">
        <v>45051.989583333336</v>
      </c>
      <c r="BG159" s="165">
        <v>45051.989583333336</v>
      </c>
      <c r="BH159" s="165">
        <f t="shared" si="57"/>
        <v>45053.697916666672</v>
      </c>
      <c r="BI159" s="165">
        <v>45054.25</v>
      </c>
      <c r="BJ159" s="165">
        <v>45054.416666666664</v>
      </c>
      <c r="BK159" s="165">
        <v>45054.28125</v>
      </c>
      <c r="BL159" s="165">
        <v>45055.375</v>
      </c>
      <c r="BM159" s="165">
        <v>45059.465277777781</v>
      </c>
      <c r="BN159" s="165">
        <v>45059.680555555555</v>
      </c>
      <c r="BO159" s="165">
        <v>45059.701388888891</v>
      </c>
      <c r="BP159" s="165">
        <v>45059.701388888891</v>
      </c>
      <c r="BQ159" s="165">
        <v>45059.996527777781</v>
      </c>
      <c r="BT159" s="136">
        <f t="shared" si="45"/>
        <v>43.416666666744277</v>
      </c>
      <c r="BU159" s="136">
        <f t="shared" si="46"/>
        <v>4.3333333333139308</v>
      </c>
      <c r="BV159" s="136">
        <f t="shared" si="47"/>
        <v>41.000000000058208</v>
      </c>
      <c r="BW159" s="136">
        <f t="shared" si="55"/>
        <v>23.000000000058208</v>
      </c>
      <c r="BX159" s="135">
        <f t="shared" si="48"/>
        <v>5.1666666665696539</v>
      </c>
      <c r="BY159" s="135">
        <f t="shared" si="49"/>
        <v>7.0833333333721384</v>
      </c>
      <c r="BZ159" s="134">
        <f t="shared" si="50"/>
        <v>5.1666666666715173</v>
      </c>
      <c r="CA159" s="134">
        <f t="shared" si="51"/>
        <v>16.576388888890506</v>
      </c>
      <c r="CB159" s="133">
        <f t="shared" si="52"/>
        <v>0.31168831168857392</v>
      </c>
    </row>
    <row r="160" spans="1:80" s="126" customFormat="1">
      <c r="A160" s="192">
        <f t="shared" si="56"/>
        <v>45055.006944444445</v>
      </c>
      <c r="B160" s="126" t="s">
        <v>228</v>
      </c>
      <c r="C160" s="126" t="s">
        <v>229</v>
      </c>
      <c r="D160" s="126" t="s">
        <v>197</v>
      </c>
      <c r="E160" s="65" t="s">
        <v>1571</v>
      </c>
      <c r="G160" s="73">
        <v>45054.645833333336</v>
      </c>
      <c r="H160" s="73">
        <v>45054.5625</v>
      </c>
      <c r="I160" s="126" t="s">
        <v>490</v>
      </c>
      <c r="J160" s="126" t="s">
        <v>192</v>
      </c>
      <c r="K160" s="126" t="s">
        <v>192</v>
      </c>
      <c r="L160" s="126" t="s">
        <v>1661</v>
      </c>
      <c r="M160" s="167"/>
      <c r="N160" s="126" t="s">
        <v>298</v>
      </c>
      <c r="O160" s="126" t="s">
        <v>299</v>
      </c>
      <c r="P160" s="126" t="s">
        <v>835</v>
      </c>
      <c r="Q160" s="181">
        <f>4337*2.4</f>
        <v>10408.799999999999</v>
      </c>
      <c r="R160" s="181"/>
      <c r="S160" s="181">
        <v>10429.396000000001</v>
      </c>
      <c r="T160" s="181"/>
      <c r="V160" s="181">
        <f>S160</f>
        <v>10429.396000000001</v>
      </c>
      <c r="AX160" s="165">
        <f t="shared" si="42"/>
        <v>45046.40625</v>
      </c>
      <c r="AY160" s="165">
        <f t="shared" si="43"/>
        <v>45062.25</v>
      </c>
      <c r="AZ160" s="137">
        <f t="shared" si="44"/>
        <v>15.84375</v>
      </c>
      <c r="BA160" s="165">
        <v>45046.40625</v>
      </c>
      <c r="BB160" s="165">
        <v>45047.302083333336</v>
      </c>
      <c r="BC160" s="165">
        <v>45051.520833333336</v>
      </c>
      <c r="BD160" s="165">
        <v>45055.006944444445</v>
      </c>
      <c r="BE160" s="165">
        <v>45055.201388888891</v>
      </c>
      <c r="BF160" s="165">
        <v>45055.208333333336</v>
      </c>
      <c r="BG160" s="165">
        <v>45055.208333333336</v>
      </c>
      <c r="BH160" s="165">
        <f t="shared" si="57"/>
        <v>45056.916666666672</v>
      </c>
      <c r="BI160" s="165">
        <v>45057.25</v>
      </c>
      <c r="BJ160" s="165">
        <v>45057.416666666664</v>
      </c>
      <c r="BK160" s="165">
        <v>45057.322916666664</v>
      </c>
      <c r="BL160" s="165">
        <v>45058.479166666664</v>
      </c>
      <c r="BM160" s="165">
        <v>45061.34375</v>
      </c>
      <c r="BN160" s="165">
        <v>45061.979166666664</v>
      </c>
      <c r="BO160" s="165">
        <v>45062</v>
      </c>
      <c r="BP160" s="165">
        <v>45062</v>
      </c>
      <c r="BQ160" s="165">
        <v>45062.25</v>
      </c>
      <c r="BT160" s="136">
        <f t="shared" si="45"/>
        <v>101.25</v>
      </c>
      <c r="BU160" s="136">
        <f t="shared" si="46"/>
        <v>4.6666666666860692</v>
      </c>
      <c r="BV160" s="136">
        <f t="shared" si="47"/>
        <v>41.000000000058208</v>
      </c>
      <c r="BW160" s="136">
        <f t="shared" si="55"/>
        <v>25.5</v>
      </c>
      <c r="BX160" s="135">
        <f t="shared" si="48"/>
        <v>15.249999999941792</v>
      </c>
      <c r="BY160" s="135">
        <f t="shared" si="49"/>
        <v>6</v>
      </c>
      <c r="BZ160" s="134">
        <f t="shared" si="50"/>
        <v>8.0694444444452529</v>
      </c>
      <c r="CA160" s="134">
        <f t="shared" si="51"/>
        <v>15.84375</v>
      </c>
      <c r="CB160" s="133">
        <f t="shared" si="52"/>
        <v>0.50931404777563727</v>
      </c>
    </row>
    <row r="161" spans="1:80" s="126" customFormat="1">
      <c r="A161" s="192">
        <f t="shared" si="56"/>
        <v>45055.506944444445</v>
      </c>
      <c r="B161" s="126" t="s">
        <v>228</v>
      </c>
      <c r="C161" s="126" t="s">
        <v>229</v>
      </c>
      <c r="D161" s="126" t="s">
        <v>197</v>
      </c>
      <c r="E161" s="65" t="s">
        <v>1571</v>
      </c>
      <c r="G161" s="73">
        <v>45054.645833333336</v>
      </c>
      <c r="H161" s="73">
        <v>45054.5625</v>
      </c>
      <c r="I161" s="126" t="s">
        <v>490</v>
      </c>
      <c r="J161" s="126" t="s">
        <v>192</v>
      </c>
      <c r="K161" s="126" t="s">
        <v>192</v>
      </c>
      <c r="L161" s="126" t="s">
        <v>1662</v>
      </c>
      <c r="M161" s="167"/>
      <c r="N161" s="126" t="s">
        <v>1240</v>
      </c>
      <c r="O161" s="126" t="s">
        <v>1241</v>
      </c>
      <c r="P161" s="126" t="s">
        <v>835</v>
      </c>
      <c r="Q161" s="181">
        <f>3243*2.4</f>
        <v>7783.2</v>
      </c>
      <c r="R161" s="181"/>
      <c r="S161" s="181">
        <v>7610.4480000000003</v>
      </c>
      <c r="T161" s="181"/>
      <c r="V161" s="181">
        <f>S161</f>
        <v>7610.4480000000003</v>
      </c>
      <c r="AX161" s="165">
        <f t="shared" si="42"/>
        <v>45047.1875</v>
      </c>
      <c r="AY161" s="165">
        <f t="shared" si="43"/>
        <v>45062.604166666664</v>
      </c>
      <c r="AZ161" s="137">
        <f t="shared" si="44"/>
        <v>15.416666666664241</v>
      </c>
      <c r="BA161" s="165">
        <v>45047.1875</v>
      </c>
      <c r="BB161" s="165">
        <v>45048.84097222222</v>
      </c>
      <c r="BC161" s="165">
        <v>45052.729166666664</v>
      </c>
      <c r="BD161" s="165">
        <v>45055.506944444445</v>
      </c>
      <c r="BE161" s="165">
        <v>45055.684027777781</v>
      </c>
      <c r="BF161" s="165">
        <v>45055.690972222219</v>
      </c>
      <c r="BG161" s="165">
        <v>45055.690972222219</v>
      </c>
      <c r="BH161" s="165">
        <f t="shared" si="57"/>
        <v>45057.399305555555</v>
      </c>
      <c r="BI161" s="165">
        <v>45057.25</v>
      </c>
      <c r="BJ161" s="165">
        <v>45057.416666666664</v>
      </c>
      <c r="BK161" s="165">
        <v>45057.409722222219</v>
      </c>
      <c r="BL161" s="165">
        <v>45058.805555555555</v>
      </c>
      <c r="BM161" s="165">
        <v>45062.052083333336</v>
      </c>
      <c r="BN161" s="165">
        <v>45062.572916666664</v>
      </c>
      <c r="BO161" s="165">
        <v>45062.604166666664</v>
      </c>
      <c r="BP161" s="165">
        <v>45062.604166666664</v>
      </c>
      <c r="BQ161" s="165">
        <v>45062.604166666664</v>
      </c>
      <c r="BR161" s="126" t="s">
        <v>1663</v>
      </c>
      <c r="BT161" s="136">
        <f t="shared" si="45"/>
        <v>93.316666666651145</v>
      </c>
      <c r="BU161" s="136">
        <f t="shared" si="46"/>
        <v>4.2500000000582077</v>
      </c>
      <c r="BV161" s="136">
        <f t="shared" si="47"/>
        <v>41.000000000058208</v>
      </c>
      <c r="BW161" s="136">
        <f t="shared" si="55"/>
        <v>33.333333333372138</v>
      </c>
      <c r="BX161" s="135">
        <f t="shared" si="48"/>
        <v>12.499999999883585</v>
      </c>
      <c r="BY161" s="135">
        <f t="shared" si="49"/>
        <v>0</v>
      </c>
      <c r="BZ161" s="134">
        <f t="shared" si="50"/>
        <v>7.6833333333343035</v>
      </c>
      <c r="CA161" s="134">
        <f t="shared" si="51"/>
        <v>15.416666666664241</v>
      </c>
      <c r="CB161" s="133">
        <f t="shared" si="52"/>
        <v>0.49837837837851973</v>
      </c>
    </row>
    <row r="162" spans="1:80" s="126" customFormat="1">
      <c r="A162" s="192">
        <f t="shared" si="56"/>
        <v>45055.822916666664</v>
      </c>
      <c r="B162" s="126" t="s">
        <v>228</v>
      </c>
      <c r="C162" s="126" t="s">
        <v>229</v>
      </c>
      <c r="D162" s="126" t="s">
        <v>197</v>
      </c>
      <c r="E162" s="65" t="s">
        <v>1571</v>
      </c>
      <c r="G162" s="73">
        <v>45054.645833333336</v>
      </c>
      <c r="H162" s="73">
        <v>45054.5625</v>
      </c>
      <c r="I162" s="126" t="s">
        <v>490</v>
      </c>
      <c r="J162" s="126" t="s">
        <v>192</v>
      </c>
      <c r="K162" s="126" t="s">
        <v>192</v>
      </c>
      <c r="L162" s="126" t="s">
        <v>1664</v>
      </c>
      <c r="M162" s="167"/>
      <c r="N162" s="126" t="s">
        <v>201</v>
      </c>
      <c r="O162" s="126" t="s">
        <v>202</v>
      </c>
      <c r="P162" s="126" t="s">
        <v>494</v>
      </c>
      <c r="Q162" s="181">
        <f>3141*2.4</f>
        <v>7538.4</v>
      </c>
      <c r="R162" s="181"/>
      <c r="S162" s="181">
        <v>7539.6149999999998</v>
      </c>
      <c r="T162" s="181"/>
      <c r="U162" s="181">
        <f>S162</f>
        <v>7539.6149999999998</v>
      </c>
      <c r="AX162" s="165">
        <f t="shared" si="42"/>
        <v>45047.229166666664</v>
      </c>
      <c r="AY162" s="165">
        <f t="shared" si="43"/>
        <v>45062.916666666664</v>
      </c>
      <c r="AZ162" s="137">
        <f t="shared" si="44"/>
        <v>15.6875</v>
      </c>
      <c r="BA162" s="165">
        <v>45047.229166666664</v>
      </c>
      <c r="BB162" s="165">
        <v>45048.381944444445</v>
      </c>
      <c r="BC162" s="165">
        <v>45052.746527777781</v>
      </c>
      <c r="BD162" s="165">
        <v>45055.822916666664</v>
      </c>
      <c r="BE162" s="165">
        <v>45055.975694444445</v>
      </c>
      <c r="BF162" s="165">
        <v>45055.979166666664</v>
      </c>
      <c r="BG162" s="165">
        <v>45055.979166666664</v>
      </c>
      <c r="BH162" s="165">
        <f t="shared" si="57"/>
        <v>45057.6875</v>
      </c>
      <c r="BI162" s="165">
        <v>45057.25</v>
      </c>
      <c r="BJ162" s="165">
        <v>45057.416666666664</v>
      </c>
      <c r="BK162" s="165">
        <v>45057.434027777781</v>
      </c>
      <c r="BL162" s="165">
        <v>45058.840277777781</v>
      </c>
      <c r="BM162" s="165">
        <v>45062.052083333336</v>
      </c>
      <c r="BN162" s="165">
        <v>45062.572916666664</v>
      </c>
      <c r="BO162" s="165">
        <v>45062.59375</v>
      </c>
      <c r="BP162" s="165">
        <v>45062.722222222219</v>
      </c>
      <c r="BQ162" s="165">
        <v>45062.916666666664</v>
      </c>
      <c r="BT162" s="136">
        <f t="shared" si="45"/>
        <v>104.75000000005821</v>
      </c>
      <c r="BU162" s="136">
        <f t="shared" si="46"/>
        <v>3.6666666667442769</v>
      </c>
      <c r="BV162" s="136">
        <f t="shared" si="47"/>
        <v>41.000000000058208</v>
      </c>
      <c r="BW162" s="136">
        <f t="shared" si="55"/>
        <v>34.166666666802485</v>
      </c>
      <c r="BX162" s="135">
        <f t="shared" si="48"/>
        <v>12.499999999883585</v>
      </c>
      <c r="BY162" s="135">
        <f t="shared" si="49"/>
        <v>4.6666666666860692</v>
      </c>
      <c r="BZ162" s="134">
        <f t="shared" si="50"/>
        <v>8.3645833333430346</v>
      </c>
      <c r="CA162" s="134">
        <f t="shared" si="51"/>
        <v>15.6875</v>
      </c>
      <c r="CB162" s="133">
        <f t="shared" si="52"/>
        <v>0.5332005312091177</v>
      </c>
    </row>
    <row r="163" spans="1:80" s="126" customFormat="1">
      <c r="A163" s="192">
        <f t="shared" si="56"/>
        <v>45056</v>
      </c>
      <c r="B163" s="126" t="s">
        <v>228</v>
      </c>
      <c r="C163" s="126" t="s">
        <v>229</v>
      </c>
      <c r="D163" s="126" t="s">
        <v>215</v>
      </c>
      <c r="E163" s="65" t="s">
        <v>1571</v>
      </c>
      <c r="G163" s="73">
        <v>45054.645833333336</v>
      </c>
      <c r="H163" s="73">
        <v>45054.5625</v>
      </c>
      <c r="I163" s="126" t="s">
        <v>490</v>
      </c>
      <c r="J163" s="126" t="s">
        <v>192</v>
      </c>
      <c r="K163" s="126" t="s">
        <v>192</v>
      </c>
      <c r="L163" s="126" t="s">
        <v>1665</v>
      </c>
      <c r="M163" s="167"/>
      <c r="N163" s="126" t="s">
        <v>222</v>
      </c>
      <c r="O163" s="126" t="s">
        <v>223</v>
      </c>
      <c r="P163" s="126" t="s">
        <v>494</v>
      </c>
      <c r="Q163" s="181">
        <f>3137*2.4</f>
        <v>7528.7999999999993</v>
      </c>
      <c r="R163" s="181"/>
      <c r="S163" s="181">
        <v>7622.7749999999996</v>
      </c>
      <c r="T163" s="181"/>
      <c r="U163" s="181">
        <f>S163</f>
        <v>7622.7749999999996</v>
      </c>
      <c r="AX163" s="165">
        <f t="shared" si="42"/>
        <v>45047.208333333336</v>
      </c>
      <c r="AY163" s="165">
        <f t="shared" si="43"/>
        <v>45063.5625</v>
      </c>
      <c r="AZ163" s="137">
        <f t="shared" si="44"/>
        <v>16.354166666664241</v>
      </c>
      <c r="BA163" s="165">
        <v>45047.208333333336</v>
      </c>
      <c r="BB163" s="165">
        <v>45051.802083333336</v>
      </c>
      <c r="BC163" s="165">
        <v>45053.888888888891</v>
      </c>
      <c r="BD163" s="165">
        <v>45056</v>
      </c>
      <c r="BE163" s="165">
        <v>45056.458333333336</v>
      </c>
      <c r="BF163" s="165">
        <v>45056.461805555555</v>
      </c>
      <c r="BG163" s="165">
        <v>45056.461805555555</v>
      </c>
      <c r="BH163" s="165">
        <f t="shared" si="57"/>
        <v>45058.170138888891</v>
      </c>
      <c r="BI163" s="165">
        <v>45058.25</v>
      </c>
      <c r="BJ163" s="165">
        <v>45058.416666666664</v>
      </c>
      <c r="BK163" s="165">
        <v>45058.277777777781</v>
      </c>
      <c r="BL163" s="165">
        <v>45059.354166666664</v>
      </c>
      <c r="BM163" s="165">
        <v>45062.75</v>
      </c>
      <c r="BN163" s="165">
        <v>45063.15625</v>
      </c>
      <c r="BO163" s="165">
        <v>45063.177083333336</v>
      </c>
      <c r="BP163" s="165">
        <v>45063.177083333336</v>
      </c>
      <c r="BQ163" s="165">
        <v>45063.5625</v>
      </c>
      <c r="BT163" s="136">
        <f t="shared" si="45"/>
        <v>50.083333333313931</v>
      </c>
      <c r="BU163" s="136">
        <f t="shared" si="46"/>
        <v>11.000000000058208</v>
      </c>
      <c r="BV163" s="136">
        <f t="shared" si="47"/>
        <v>41.000000000058208</v>
      </c>
      <c r="BW163" s="136">
        <f t="shared" si="55"/>
        <v>22.5</v>
      </c>
      <c r="BX163" s="135">
        <f t="shared" si="48"/>
        <v>9.75</v>
      </c>
      <c r="BY163" s="135">
        <f t="shared" si="49"/>
        <v>9.2499999999417923</v>
      </c>
      <c r="BZ163" s="134">
        <f t="shared" si="50"/>
        <v>5.9826388888905058</v>
      </c>
      <c r="CA163" s="134">
        <f t="shared" si="51"/>
        <v>16.354166666664241</v>
      </c>
      <c r="CB163" s="133">
        <f t="shared" si="52"/>
        <v>0.36581740976660748</v>
      </c>
    </row>
    <row r="164" spans="1:80" s="126" customFormat="1">
      <c r="A164" s="192">
        <f t="shared" si="56"/>
        <v>45055.243055555555</v>
      </c>
      <c r="B164" s="126" t="s">
        <v>228</v>
      </c>
      <c r="C164" s="126" t="s">
        <v>229</v>
      </c>
      <c r="D164" s="126" t="s">
        <v>197</v>
      </c>
      <c r="E164" s="65" t="s">
        <v>1571</v>
      </c>
      <c r="G164" s="73">
        <v>45054.645833333336</v>
      </c>
      <c r="H164" s="73">
        <v>45054.5625</v>
      </c>
      <c r="I164" s="126" t="s">
        <v>490</v>
      </c>
      <c r="J164" s="126" t="s">
        <v>192</v>
      </c>
      <c r="K164" s="126" t="s">
        <v>192</v>
      </c>
      <c r="L164" s="126" t="s">
        <v>1666</v>
      </c>
      <c r="M164" s="167"/>
      <c r="N164" s="126" t="s">
        <v>367</v>
      </c>
      <c r="O164" s="126" t="s">
        <v>368</v>
      </c>
      <c r="P164" s="126" t="s">
        <v>835</v>
      </c>
      <c r="Q164" s="181">
        <f>4111*2.4</f>
        <v>9866.4</v>
      </c>
      <c r="R164" s="181"/>
      <c r="S164" s="181">
        <v>9893.0660000000007</v>
      </c>
      <c r="T164" s="181"/>
      <c r="V164" s="181">
        <f>S164</f>
        <v>9893.0660000000007</v>
      </c>
      <c r="AX164" s="165">
        <f t="shared" si="42"/>
        <v>45048.416666666664</v>
      </c>
      <c r="AY164" s="165">
        <f t="shared" si="43"/>
        <v>45062.256944444445</v>
      </c>
      <c r="AZ164" s="137">
        <f t="shared" si="44"/>
        <v>13.840277777781012</v>
      </c>
      <c r="BA164" s="165">
        <v>45048.416666666664</v>
      </c>
      <c r="BB164" s="165">
        <v>45052.611111111109</v>
      </c>
      <c r="BC164" s="165">
        <v>45054.291666666664</v>
      </c>
      <c r="BD164" s="165">
        <v>45055.243055555555</v>
      </c>
      <c r="BE164" s="165">
        <v>45055.482638888891</v>
      </c>
      <c r="BF164" s="165">
        <v>45055.489583333336</v>
      </c>
      <c r="BG164" s="165">
        <v>45055.489583333336</v>
      </c>
      <c r="BH164" s="165">
        <f t="shared" si="57"/>
        <v>45057.197916666672</v>
      </c>
      <c r="BI164" s="165">
        <v>45057.25</v>
      </c>
      <c r="BJ164" s="165">
        <v>45057.416666666664</v>
      </c>
      <c r="BK164" s="165">
        <v>45057.270833333336</v>
      </c>
      <c r="BL164" s="165">
        <v>45058.458333333336</v>
      </c>
      <c r="BM164" s="165">
        <v>45061.34375</v>
      </c>
      <c r="BN164" s="165">
        <v>45061.979166666664</v>
      </c>
      <c r="BO164" s="165">
        <v>45062.010416666664</v>
      </c>
      <c r="BP164" s="165">
        <v>45062.010416666664</v>
      </c>
      <c r="BQ164" s="165">
        <v>45062.256944444445</v>
      </c>
      <c r="BT164" s="136">
        <f t="shared" si="45"/>
        <v>40.333333333313931</v>
      </c>
      <c r="BU164" s="136">
        <f t="shared" si="46"/>
        <v>5.7500000000582077</v>
      </c>
      <c r="BV164" s="136">
        <f t="shared" si="47"/>
        <v>41.000000000058208</v>
      </c>
      <c r="BW164" s="136">
        <f t="shared" si="55"/>
        <v>25.000000000116415</v>
      </c>
      <c r="BX164" s="135">
        <f t="shared" si="48"/>
        <v>15.249999999941792</v>
      </c>
      <c r="BY164" s="135">
        <f t="shared" si="49"/>
        <v>5.9166666667442769</v>
      </c>
      <c r="BZ164" s="134">
        <f t="shared" si="50"/>
        <v>5.5520833333430346</v>
      </c>
      <c r="CA164" s="134">
        <f t="shared" si="51"/>
        <v>13.840277777781012</v>
      </c>
      <c r="CB164" s="133">
        <f t="shared" si="52"/>
        <v>0.40115403913758663</v>
      </c>
    </row>
    <row r="165" spans="1:80" s="126" customFormat="1">
      <c r="A165" s="192">
        <f t="shared" si="56"/>
        <v>45056.482638888891</v>
      </c>
      <c r="B165" s="126" t="s">
        <v>228</v>
      </c>
      <c r="C165" s="126" t="s">
        <v>229</v>
      </c>
      <c r="D165" s="126" t="s">
        <v>215</v>
      </c>
      <c r="E165" s="65" t="s">
        <v>1571</v>
      </c>
      <c r="G165" s="73">
        <v>45054.645833333336</v>
      </c>
      <c r="H165" s="73">
        <v>45054.5625</v>
      </c>
      <c r="I165" s="126" t="s">
        <v>490</v>
      </c>
      <c r="J165" s="126" t="s">
        <v>192</v>
      </c>
      <c r="K165" s="126" t="s">
        <v>192</v>
      </c>
      <c r="L165" s="126" t="s">
        <v>1667</v>
      </c>
      <c r="M165" s="167"/>
      <c r="N165" s="126" t="s">
        <v>301</v>
      </c>
      <c r="O165" s="126" t="s">
        <v>302</v>
      </c>
      <c r="P165" s="126" t="s">
        <v>494</v>
      </c>
      <c r="Q165" s="181">
        <f>3852*2.4</f>
        <v>9244.7999999999993</v>
      </c>
      <c r="R165" s="181"/>
      <c r="S165" s="181">
        <f>9129.242-5766.342</f>
        <v>3362.9000000000005</v>
      </c>
      <c r="T165" s="181"/>
      <c r="U165" s="181">
        <f>S165</f>
        <v>3362.9000000000005</v>
      </c>
      <c r="AX165" s="165">
        <f t="shared" si="42"/>
        <v>45048.534722222219</v>
      </c>
      <c r="AY165" s="165">
        <f t="shared" si="43"/>
        <v>45063.479166666664</v>
      </c>
      <c r="AZ165" s="137">
        <f t="shared" si="44"/>
        <v>14.944444444445253</v>
      </c>
      <c r="BA165" s="165">
        <v>45048.534722222219</v>
      </c>
      <c r="BB165" s="165">
        <v>45052.600694444445</v>
      </c>
      <c r="BC165" s="165">
        <v>45054.270833333336</v>
      </c>
      <c r="BD165" s="165">
        <v>45056.482638888891</v>
      </c>
      <c r="BE165" s="165">
        <v>45056.65625</v>
      </c>
      <c r="BF165" s="165">
        <v>45056.659722222219</v>
      </c>
      <c r="BG165" s="165">
        <v>45056.659722222219</v>
      </c>
      <c r="BH165" s="165">
        <f t="shared" si="57"/>
        <v>45058.368055555555</v>
      </c>
      <c r="BI165" s="165">
        <v>45058.25</v>
      </c>
      <c r="BJ165" s="165">
        <v>45058.416666666664</v>
      </c>
      <c r="BK165" s="165">
        <v>45058.28125</v>
      </c>
      <c r="BL165" s="165">
        <v>45059.520833333336</v>
      </c>
      <c r="BM165" s="165">
        <v>45063.208333333336</v>
      </c>
      <c r="BN165" s="165">
        <v>45063.430555555555</v>
      </c>
      <c r="BO165" s="165">
        <v>45063.479166666664</v>
      </c>
      <c r="BP165" s="165">
        <v>45063.479166666664</v>
      </c>
      <c r="BQ165" s="165">
        <v>45063.479166666664</v>
      </c>
      <c r="BT165" s="136">
        <f t="shared" si="45"/>
        <v>40.083333333372138</v>
      </c>
      <c r="BU165" s="136">
        <f t="shared" si="46"/>
        <v>4.1666666666278616</v>
      </c>
      <c r="BV165" s="136">
        <f t="shared" si="47"/>
        <v>41.000000000058208</v>
      </c>
      <c r="BW165" s="136">
        <f t="shared" si="55"/>
        <v>26.500000000116415</v>
      </c>
      <c r="BX165" s="135">
        <f t="shared" si="48"/>
        <v>5.3333333332557231</v>
      </c>
      <c r="BY165" s="135">
        <f t="shared" si="49"/>
        <v>0</v>
      </c>
      <c r="BZ165" s="134">
        <f t="shared" si="50"/>
        <v>4.8784722222262644</v>
      </c>
      <c r="CA165" s="134">
        <f t="shared" si="51"/>
        <v>14.944444444445253</v>
      </c>
      <c r="CB165" s="133">
        <f t="shared" si="52"/>
        <v>0.32644052044634947</v>
      </c>
    </row>
    <row r="166" spans="1:80" s="126" customFormat="1">
      <c r="A166" s="192">
        <f t="shared" si="56"/>
        <v>45056.482638888891</v>
      </c>
      <c r="B166" s="126" t="s">
        <v>228</v>
      </c>
      <c r="C166" s="126" t="s">
        <v>229</v>
      </c>
      <c r="D166" s="126" t="s">
        <v>215</v>
      </c>
      <c r="E166" s="65" t="s">
        <v>1668</v>
      </c>
      <c r="G166" s="73">
        <v>45066.416666666664</v>
      </c>
      <c r="H166" s="73">
        <v>45066.375</v>
      </c>
      <c r="I166" s="126" t="s">
        <v>490</v>
      </c>
      <c r="J166" s="126" t="s">
        <v>192</v>
      </c>
      <c r="K166" s="126" t="s">
        <v>192</v>
      </c>
      <c r="L166" s="126" t="s">
        <v>1667</v>
      </c>
      <c r="M166" s="167"/>
      <c r="N166" s="126" t="s">
        <v>301</v>
      </c>
      <c r="O166" s="126" t="s">
        <v>302</v>
      </c>
      <c r="P166" s="126" t="s">
        <v>494</v>
      </c>
      <c r="Q166" s="181">
        <f>3852*2.4</f>
        <v>9244.7999999999993</v>
      </c>
      <c r="R166" s="181"/>
      <c r="S166" s="181">
        <v>5760.5829999999996</v>
      </c>
      <c r="T166" s="181"/>
      <c r="U166" s="181">
        <f>S166</f>
        <v>5760.5829999999996</v>
      </c>
      <c r="AX166" s="165">
        <f t="shared" si="42"/>
        <v>45048.534722222219</v>
      </c>
      <c r="AY166" s="165">
        <f t="shared" si="43"/>
        <v>45067.815972222219</v>
      </c>
      <c r="AZ166" s="137">
        <f t="shared" si="44"/>
        <v>19.28125</v>
      </c>
      <c r="BA166" s="165">
        <v>45048.534722222219</v>
      </c>
      <c r="BB166" s="165">
        <v>45052.600694444445</v>
      </c>
      <c r="BC166" s="165">
        <v>45054.270833333336</v>
      </c>
      <c r="BD166" s="165">
        <v>45056.482638888891</v>
      </c>
      <c r="BE166" s="165">
        <v>45056.65625</v>
      </c>
      <c r="BF166" s="165">
        <v>45056.659722222219</v>
      </c>
      <c r="BG166" s="165">
        <v>45056.659722222219</v>
      </c>
      <c r="BH166" s="165">
        <f t="shared" si="57"/>
        <v>45058.368055555555</v>
      </c>
      <c r="BI166" s="165">
        <v>45058.25</v>
      </c>
      <c r="BJ166" s="165">
        <v>45058.416666666664</v>
      </c>
      <c r="BK166" s="165">
        <v>45058.28125</v>
      </c>
      <c r="BL166" s="165">
        <v>45063.479166666664</v>
      </c>
      <c r="BM166" s="165">
        <v>45066.625</v>
      </c>
      <c r="BN166" s="165">
        <v>45067.34375</v>
      </c>
      <c r="BO166" s="165">
        <v>45067.364583333336</v>
      </c>
      <c r="BP166" s="165">
        <v>45067.635416666664</v>
      </c>
      <c r="BQ166" s="165">
        <v>45067.815972222219</v>
      </c>
      <c r="BT166" s="136">
        <f t="shared" si="45"/>
        <v>40.083333333372138</v>
      </c>
      <c r="BU166" s="136">
        <f t="shared" si="46"/>
        <v>4.1666666666278616</v>
      </c>
      <c r="BV166" s="136">
        <f t="shared" si="47"/>
        <v>41.000000000058208</v>
      </c>
      <c r="BW166" s="136">
        <f t="shared" si="55"/>
        <v>121.5</v>
      </c>
      <c r="BX166" s="135">
        <f t="shared" si="48"/>
        <v>17.25</v>
      </c>
      <c r="BY166" s="135">
        <f t="shared" si="49"/>
        <v>4.3333333333139308</v>
      </c>
      <c r="BZ166" s="134">
        <f t="shared" si="50"/>
        <v>9.5138888888905058</v>
      </c>
      <c r="CA166" s="134">
        <f t="shared" si="51"/>
        <v>19.28125</v>
      </c>
      <c r="CB166" s="133">
        <f t="shared" si="52"/>
        <v>0.49342697640923205</v>
      </c>
    </row>
    <row r="167" spans="1:80" s="126" customFormat="1">
      <c r="A167" s="192">
        <f t="shared" si="56"/>
        <v>45056.677083333336</v>
      </c>
      <c r="B167" s="126" t="s">
        <v>228</v>
      </c>
      <c r="C167" s="126" t="s">
        <v>229</v>
      </c>
      <c r="D167" s="126" t="s">
        <v>197</v>
      </c>
      <c r="E167" s="65" t="s">
        <v>1464</v>
      </c>
      <c r="G167" s="73">
        <v>45051.395833333336</v>
      </c>
      <c r="H167" s="73">
        <v>45051.395833333336</v>
      </c>
      <c r="I167" s="126" t="s">
        <v>490</v>
      </c>
      <c r="J167" s="126" t="s">
        <v>192</v>
      </c>
      <c r="K167" s="126" t="s">
        <v>192</v>
      </c>
      <c r="L167" s="126" t="s">
        <v>1669</v>
      </c>
      <c r="M167" s="167"/>
      <c r="N167" s="126" t="s">
        <v>1392</v>
      </c>
      <c r="O167" s="126" t="s">
        <v>365</v>
      </c>
      <c r="P167" s="126" t="s">
        <v>835</v>
      </c>
      <c r="Q167" s="181">
        <f>3142*2.4</f>
        <v>7540.7999999999993</v>
      </c>
      <c r="R167" s="181"/>
      <c r="S167" s="181">
        <v>7486.6270000000004</v>
      </c>
      <c r="T167" s="181"/>
      <c r="V167" s="181">
        <f>S167</f>
        <v>7486.6270000000004</v>
      </c>
      <c r="AX167" s="165">
        <f t="shared" si="42"/>
        <v>45048.333333333336</v>
      </c>
      <c r="AY167" s="165">
        <f t="shared" si="43"/>
        <v>45064.833333333336</v>
      </c>
      <c r="AZ167" s="137">
        <f t="shared" si="44"/>
        <v>16.5</v>
      </c>
      <c r="BA167" s="165">
        <v>45048.333333333336</v>
      </c>
      <c r="BB167" s="165">
        <v>45052.569444444445</v>
      </c>
      <c r="BC167" s="165">
        <v>45054.333333333336</v>
      </c>
      <c r="BD167" s="165">
        <v>45056.677083333336</v>
      </c>
      <c r="BE167" s="165">
        <v>45056.90625</v>
      </c>
      <c r="BF167" s="165">
        <v>45056.909722222219</v>
      </c>
      <c r="BG167" s="165">
        <v>45057.159722222219</v>
      </c>
      <c r="BH167" s="165">
        <f t="shared" si="57"/>
        <v>45058.868055555555</v>
      </c>
      <c r="BI167" s="165">
        <v>45059.25</v>
      </c>
      <c r="BJ167" s="165">
        <v>45059.416666666664</v>
      </c>
      <c r="BK167" s="165">
        <v>45059.364583333336</v>
      </c>
      <c r="BL167" s="165">
        <v>45060.704861111109</v>
      </c>
      <c r="BM167" s="165">
        <v>45064.201388888891</v>
      </c>
      <c r="BN167" s="165">
        <v>45064.385416666664</v>
      </c>
      <c r="BO167" s="165">
        <v>45064.40625</v>
      </c>
      <c r="BP167" s="165">
        <v>45064.642361111109</v>
      </c>
      <c r="BQ167" s="165">
        <v>45064.833333333336</v>
      </c>
      <c r="BT167" s="136">
        <f t="shared" si="45"/>
        <v>42.333333333372138</v>
      </c>
      <c r="BU167" s="136">
        <f t="shared" si="46"/>
        <v>5.4999999999417923</v>
      </c>
      <c r="BV167" s="136">
        <f t="shared" si="47"/>
        <v>41.000000000058208</v>
      </c>
      <c r="BW167" s="136">
        <f t="shared" si="55"/>
        <v>30.916666666686069</v>
      </c>
      <c r="BX167" s="135">
        <f t="shared" si="48"/>
        <v>4.4166666665696539</v>
      </c>
      <c r="BY167" s="135">
        <f t="shared" si="49"/>
        <v>4.5833333334303461</v>
      </c>
      <c r="BZ167" s="134">
        <f t="shared" si="50"/>
        <v>5.3645833333357587</v>
      </c>
      <c r="CA167" s="134">
        <f t="shared" si="51"/>
        <v>16.5</v>
      </c>
      <c r="CB167" s="133">
        <f t="shared" si="52"/>
        <v>0.32512626262640959</v>
      </c>
    </row>
    <row r="168" spans="1:80" s="126" customFormat="1">
      <c r="A168" s="192">
        <f t="shared" si="56"/>
        <v>45060.690972222219</v>
      </c>
      <c r="B168" s="126" t="s">
        <v>228</v>
      </c>
      <c r="C168" s="126" t="s">
        <v>229</v>
      </c>
      <c r="D168" s="126" t="s">
        <v>197</v>
      </c>
      <c r="E168" s="65" t="s">
        <v>1600</v>
      </c>
      <c r="G168" s="73">
        <v>45059.291666666664</v>
      </c>
      <c r="H168" s="73">
        <v>45059.291666666664</v>
      </c>
      <c r="I168" s="126" t="s">
        <v>497</v>
      </c>
      <c r="J168" s="126" t="s">
        <v>192</v>
      </c>
      <c r="K168" s="126" t="s">
        <v>192</v>
      </c>
      <c r="L168" s="126" t="s">
        <v>1670</v>
      </c>
      <c r="M168" s="167"/>
      <c r="N168" s="126" t="s">
        <v>226</v>
      </c>
      <c r="O168" s="126" t="s">
        <v>227</v>
      </c>
      <c r="P168" s="126" t="s">
        <v>494</v>
      </c>
      <c r="Q168" s="181">
        <f>3100*2.4</f>
        <v>7440</v>
      </c>
      <c r="R168" s="181"/>
      <c r="S168" s="181">
        <v>7550.9480000000003</v>
      </c>
      <c r="T168" s="181"/>
      <c r="U168" s="181">
        <f>S168</f>
        <v>7550.9480000000003</v>
      </c>
      <c r="AX168" s="165">
        <f t="shared" si="42"/>
        <v>45049.850694444445</v>
      </c>
      <c r="AY168" s="165">
        <f t="shared" si="43"/>
        <v>45068.90625</v>
      </c>
      <c r="AZ168" s="137">
        <f t="shared" si="44"/>
        <v>19.055555555554747</v>
      </c>
      <c r="BA168" s="165">
        <v>45049.850694444445</v>
      </c>
      <c r="BB168" s="165">
        <v>45055.600694444445</v>
      </c>
      <c r="BC168" s="165">
        <v>45057.482638888891</v>
      </c>
      <c r="BD168" s="165">
        <v>45060.690972222219</v>
      </c>
      <c r="BE168" s="165">
        <v>45060.878472222219</v>
      </c>
      <c r="BF168" s="165">
        <v>45060.881944444445</v>
      </c>
      <c r="BG168" s="165">
        <v>45060.881944444445</v>
      </c>
      <c r="BH168" s="165">
        <f t="shared" si="57"/>
        <v>45062.590277777781</v>
      </c>
      <c r="BI168" s="165">
        <v>45062.541666666664</v>
      </c>
      <c r="BJ168" s="165">
        <v>45062.708333333328</v>
      </c>
      <c r="BK168" s="165">
        <v>45062.663194444445</v>
      </c>
      <c r="BL168" s="165">
        <v>45066.434027777781</v>
      </c>
      <c r="BM168" s="165">
        <v>45067.850694444445</v>
      </c>
      <c r="BN168" s="165">
        <v>45068.107638888891</v>
      </c>
      <c r="BO168" s="165">
        <v>45068.121527777781</v>
      </c>
      <c r="BP168" s="165">
        <v>45068.125</v>
      </c>
      <c r="BQ168" s="165">
        <v>45068.90625</v>
      </c>
      <c r="BT168" s="136">
        <f t="shared" si="45"/>
        <v>45.166666666686069</v>
      </c>
      <c r="BU168" s="136">
        <f t="shared" si="46"/>
        <v>4.5</v>
      </c>
      <c r="BV168" s="136">
        <f t="shared" si="47"/>
        <v>41.000000000058208</v>
      </c>
      <c r="BW168" s="136">
        <f t="shared" si="55"/>
        <v>89.416666666860692</v>
      </c>
      <c r="BX168" s="135">
        <f t="shared" si="48"/>
        <v>6.1666666666860692</v>
      </c>
      <c r="BY168" s="135">
        <f t="shared" si="49"/>
        <v>18.75</v>
      </c>
      <c r="BZ168" s="134">
        <f t="shared" si="50"/>
        <v>8.5416666666787933</v>
      </c>
      <c r="CA168" s="134">
        <f t="shared" si="51"/>
        <v>19.055555555554747</v>
      </c>
      <c r="CB168" s="133">
        <f t="shared" si="52"/>
        <v>0.44825072886362916</v>
      </c>
    </row>
    <row r="169" spans="1:80" s="126" customFormat="1">
      <c r="A169" s="192">
        <f t="shared" si="56"/>
        <v>45060.916666666664</v>
      </c>
      <c r="B169" s="126" t="s">
        <v>228</v>
      </c>
      <c r="C169" s="126" t="s">
        <v>229</v>
      </c>
      <c r="D169" s="126" t="s">
        <v>197</v>
      </c>
      <c r="E169" s="65" t="s">
        <v>1600</v>
      </c>
      <c r="G169" s="73">
        <v>45059.291666666664</v>
      </c>
      <c r="H169" s="73">
        <v>45059.291666666664</v>
      </c>
      <c r="I169" s="126" t="s">
        <v>497</v>
      </c>
      <c r="J169" s="126" t="s">
        <v>192</v>
      </c>
      <c r="K169" s="126" t="s">
        <v>192</v>
      </c>
      <c r="L169" s="126" t="s">
        <v>1671</v>
      </c>
      <c r="M169" s="167"/>
      <c r="N169" s="126" t="s">
        <v>334</v>
      </c>
      <c r="O169" s="126" t="s">
        <v>335</v>
      </c>
      <c r="P169" s="126" t="s">
        <v>494</v>
      </c>
      <c r="Q169" s="181">
        <f>3242 *2.4</f>
        <v>7780.7999999999993</v>
      </c>
      <c r="R169" s="181"/>
      <c r="S169" s="181">
        <v>7519.7629999999999</v>
      </c>
      <c r="T169" s="181"/>
      <c r="U169" s="181">
        <f>S169</f>
        <v>7519.7629999999999</v>
      </c>
      <c r="AX169" s="165">
        <f t="shared" si="42"/>
        <v>45052.479166666664</v>
      </c>
      <c r="AY169" s="165">
        <f t="shared" si="43"/>
        <v>45066.364583333336</v>
      </c>
      <c r="AZ169" s="137">
        <f t="shared" si="44"/>
        <v>13.885416666671517</v>
      </c>
      <c r="BA169" s="165">
        <v>45052.479166666664</v>
      </c>
      <c r="BB169" s="165">
        <v>45055.579861111109</v>
      </c>
      <c r="BC169" s="165">
        <v>45057.923611111109</v>
      </c>
      <c r="BD169" s="165">
        <v>45060.916666666664</v>
      </c>
      <c r="BE169" s="165">
        <v>45061.038194444445</v>
      </c>
      <c r="BF169" s="165">
        <v>45061.045138888891</v>
      </c>
      <c r="BG169" s="165">
        <v>45061.25</v>
      </c>
      <c r="BH169" s="165">
        <f t="shared" si="57"/>
        <v>45062.958333333336</v>
      </c>
      <c r="BI169" s="165">
        <v>45062.541666666664</v>
      </c>
      <c r="BJ169" s="165">
        <v>45062.708333333328</v>
      </c>
      <c r="BK169" s="165">
        <v>45062.71875</v>
      </c>
      <c r="BL169" s="165">
        <v>45064.208333333336</v>
      </c>
      <c r="BM169" s="165">
        <v>45065.354166666664</v>
      </c>
      <c r="BN169" s="165">
        <v>45065.583333333336</v>
      </c>
      <c r="BO169" s="165">
        <v>45065.600694444445</v>
      </c>
      <c r="BP169" s="165">
        <v>45065.885416666664</v>
      </c>
      <c r="BQ169" s="165">
        <v>45066.364583333336</v>
      </c>
      <c r="BT169" s="136">
        <f t="shared" si="45"/>
        <v>56.25</v>
      </c>
      <c r="BU169" s="136">
        <f t="shared" si="46"/>
        <v>2.9166666667442769</v>
      </c>
      <c r="BV169" s="136">
        <f t="shared" si="47"/>
        <v>41.000000000058208</v>
      </c>
      <c r="BW169" s="136">
        <f t="shared" si="55"/>
        <v>36.000000000174623</v>
      </c>
      <c r="BX169" s="135">
        <f t="shared" si="48"/>
        <v>5.5000000001164153</v>
      </c>
      <c r="BY169" s="135">
        <f t="shared" si="49"/>
        <v>11.500000000116415</v>
      </c>
      <c r="BZ169" s="134">
        <f t="shared" si="50"/>
        <v>6.3819444444670808</v>
      </c>
      <c r="CA169" s="134">
        <f t="shared" si="51"/>
        <v>13.885416666671517</v>
      </c>
      <c r="CB169" s="133">
        <f t="shared" si="52"/>
        <v>0.45961490372740116</v>
      </c>
    </row>
    <row r="170" spans="1:80" s="126" customFormat="1">
      <c r="A170" s="192">
        <f t="shared" si="56"/>
        <v>45061.069444444445</v>
      </c>
      <c r="B170" s="126" t="s">
        <v>228</v>
      </c>
      <c r="C170" s="126" t="s">
        <v>229</v>
      </c>
      <c r="D170" s="126" t="s">
        <v>197</v>
      </c>
      <c r="E170" s="65" t="s">
        <v>1600</v>
      </c>
      <c r="G170" s="73">
        <v>45059.291666666664</v>
      </c>
      <c r="H170" s="73">
        <v>45059.291666666664</v>
      </c>
      <c r="I170" s="126" t="s">
        <v>497</v>
      </c>
      <c r="J170" s="126" t="s">
        <v>192</v>
      </c>
      <c r="K170" s="126" t="s">
        <v>192</v>
      </c>
      <c r="L170" s="126" t="s">
        <v>1672</v>
      </c>
      <c r="M170" s="167"/>
      <c r="N170" s="126" t="s">
        <v>238</v>
      </c>
      <c r="O170" s="126" t="s">
        <v>239</v>
      </c>
      <c r="P170" s="126" t="s">
        <v>494</v>
      </c>
      <c r="Q170" s="181">
        <f>3100*2.4</f>
        <v>7440</v>
      </c>
      <c r="R170" s="181"/>
      <c r="S170" s="181">
        <v>7543.3519999999999</v>
      </c>
      <c r="T170" s="181"/>
      <c r="U170" s="181">
        <f>S170</f>
        <v>7543.3519999999999</v>
      </c>
      <c r="AX170" s="165">
        <f t="shared" si="42"/>
        <v>45054.333333333336</v>
      </c>
      <c r="AY170" s="165">
        <f t="shared" si="43"/>
        <v>45066.961805555555</v>
      </c>
      <c r="AZ170" s="137">
        <f t="shared" si="44"/>
        <v>12.628472222218988</v>
      </c>
      <c r="BA170" s="165">
        <v>45054.333333333336</v>
      </c>
      <c r="BB170" s="165">
        <v>45056.548611111109</v>
      </c>
      <c r="BC170" s="165">
        <v>45058.5625</v>
      </c>
      <c r="BD170" s="165">
        <v>45061.069444444445</v>
      </c>
      <c r="BE170" s="165">
        <v>45061.194444444445</v>
      </c>
      <c r="BF170" s="165">
        <v>45061.201388888891</v>
      </c>
      <c r="BG170" s="165">
        <v>45061.201388888891</v>
      </c>
      <c r="BH170" s="165">
        <f t="shared" si="57"/>
        <v>45062.909722222226</v>
      </c>
      <c r="BI170" s="165">
        <v>45062.541666666664</v>
      </c>
      <c r="BJ170" s="165">
        <v>45062.708333333328</v>
      </c>
      <c r="BK170" s="165">
        <v>45062.722222222219</v>
      </c>
      <c r="BL170" s="165">
        <v>45064.333333333336</v>
      </c>
      <c r="BM170" s="165">
        <v>45066.371527777781</v>
      </c>
      <c r="BN170" s="165">
        <v>45066.586805555555</v>
      </c>
      <c r="BO170" s="165">
        <v>45066.621527777781</v>
      </c>
      <c r="BP170" s="165">
        <v>45066.625</v>
      </c>
      <c r="BQ170" s="165">
        <v>45066.961805555555</v>
      </c>
      <c r="BT170" s="136">
        <f t="shared" si="45"/>
        <v>48.333333333372138</v>
      </c>
      <c r="BU170" s="136">
        <f t="shared" si="46"/>
        <v>3</v>
      </c>
      <c r="BV170" s="136">
        <f t="shared" si="47"/>
        <v>41.000000000058208</v>
      </c>
      <c r="BW170" s="136">
        <f t="shared" si="55"/>
        <v>39.000000000174623</v>
      </c>
      <c r="BX170" s="135">
        <f t="shared" si="48"/>
        <v>5.1666666665696539</v>
      </c>
      <c r="BY170" s="135">
        <f t="shared" si="49"/>
        <v>8.0833333333139308</v>
      </c>
      <c r="BZ170" s="134">
        <f t="shared" si="50"/>
        <v>6.0243055555620231</v>
      </c>
      <c r="CA170" s="134">
        <f t="shared" si="51"/>
        <v>12.628472222218988</v>
      </c>
      <c r="CB170" s="133">
        <f t="shared" si="52"/>
        <v>0.47704151773503078</v>
      </c>
    </row>
    <row r="171" spans="1:80" s="126" customFormat="1">
      <c r="A171" s="192">
        <f t="shared" si="56"/>
        <v>45061.224305555559</v>
      </c>
      <c r="B171" s="126" t="s">
        <v>228</v>
      </c>
      <c r="C171" s="126" t="s">
        <v>229</v>
      </c>
      <c r="D171" s="126" t="s">
        <v>197</v>
      </c>
      <c r="E171" s="65" t="s">
        <v>1600</v>
      </c>
      <c r="G171" s="73">
        <v>45059.291666666664</v>
      </c>
      <c r="H171" s="73">
        <v>45059.291666666664</v>
      </c>
      <c r="I171" s="126" t="s">
        <v>497</v>
      </c>
      <c r="J171" s="126" t="s">
        <v>192</v>
      </c>
      <c r="K171" s="126" t="s">
        <v>192</v>
      </c>
      <c r="L171" s="126" t="s">
        <v>1673</v>
      </c>
      <c r="M171" s="167"/>
      <c r="N171" s="126" t="s">
        <v>406</v>
      </c>
      <c r="O171" s="126" t="s">
        <v>407</v>
      </c>
      <c r="P171" s="126" t="s">
        <v>494</v>
      </c>
      <c r="Q171" s="181">
        <f>3107*2.4</f>
        <v>7456.7999999999993</v>
      </c>
      <c r="R171" s="181"/>
      <c r="S171" s="181">
        <v>7479.17</v>
      </c>
      <c r="T171" s="181"/>
      <c r="U171" s="181">
        <f>S171</f>
        <v>7479.17</v>
      </c>
      <c r="AX171" s="165">
        <f t="shared" si="42"/>
        <v>45055.440972222219</v>
      </c>
      <c r="AY171" s="165">
        <f t="shared" si="43"/>
        <v>45067.027777777781</v>
      </c>
      <c r="AZ171" s="137">
        <f t="shared" si="44"/>
        <v>11.586805555562023</v>
      </c>
      <c r="BA171" s="165">
        <v>45055.440972222219</v>
      </c>
      <c r="BB171" s="165">
        <v>45056.826388888891</v>
      </c>
      <c r="BC171" s="165">
        <v>45058.423611111109</v>
      </c>
      <c r="BD171" s="165">
        <v>45061.224305555559</v>
      </c>
      <c r="BE171" s="165">
        <v>45061.444444444445</v>
      </c>
      <c r="BF171" s="165">
        <v>45061.451388888891</v>
      </c>
      <c r="BG171" s="165">
        <v>45061.451388888891</v>
      </c>
      <c r="BH171" s="165">
        <f t="shared" si="57"/>
        <v>45063.159722222226</v>
      </c>
      <c r="BI171" s="165">
        <v>45063.583333333336</v>
      </c>
      <c r="BJ171" s="165">
        <v>45063.75</v>
      </c>
      <c r="BK171" s="165">
        <v>45063.611111111109</v>
      </c>
      <c r="BL171" s="165">
        <v>45065.09375</v>
      </c>
      <c r="BM171" s="165">
        <v>45066.670138888891</v>
      </c>
      <c r="BN171" s="165">
        <v>45067.017361111109</v>
      </c>
      <c r="BO171" s="165">
        <v>45067.027777777781</v>
      </c>
      <c r="BP171" s="165">
        <v>45067.027777777781</v>
      </c>
      <c r="BQ171" s="165">
        <v>45067.027777777781</v>
      </c>
      <c r="BR171" s="126" t="s">
        <v>788</v>
      </c>
      <c r="BT171" s="136">
        <f t="shared" si="45"/>
        <v>38.333333333255723</v>
      </c>
      <c r="BU171" s="136">
        <f t="shared" si="46"/>
        <v>5.2833333332673647</v>
      </c>
      <c r="BV171" s="136">
        <f t="shared" si="47"/>
        <v>41.000000000058208</v>
      </c>
      <c r="BW171" s="136">
        <f t="shared" si="55"/>
        <v>32.25</v>
      </c>
      <c r="BX171" s="135">
        <f t="shared" si="48"/>
        <v>8.3333333332557231</v>
      </c>
      <c r="BY171" s="135">
        <f t="shared" si="49"/>
        <v>0</v>
      </c>
      <c r="BZ171" s="134">
        <f t="shared" si="50"/>
        <v>5.2166666666598758</v>
      </c>
      <c r="CA171" s="134">
        <f t="shared" si="51"/>
        <v>11.586805555562023</v>
      </c>
      <c r="CB171" s="133">
        <f t="shared" si="52"/>
        <v>0.45022475277111346</v>
      </c>
    </row>
    <row r="172" spans="1:80" s="126" customFormat="1">
      <c r="A172" s="192">
        <f t="shared" si="56"/>
        <v>45061.472222222219</v>
      </c>
      <c r="B172" s="126" t="s">
        <v>228</v>
      </c>
      <c r="C172" s="126" t="s">
        <v>229</v>
      </c>
      <c r="D172" s="126" t="s">
        <v>197</v>
      </c>
      <c r="E172" s="65" t="s">
        <v>1600</v>
      </c>
      <c r="G172" s="73">
        <v>45059.291666666664</v>
      </c>
      <c r="H172" s="73">
        <v>45059.291666666664</v>
      </c>
      <c r="I172" s="126" t="s">
        <v>497</v>
      </c>
      <c r="J172" s="126" t="s">
        <v>192</v>
      </c>
      <c r="K172" s="126" t="s">
        <v>192</v>
      </c>
      <c r="L172" s="126" t="s">
        <v>1674</v>
      </c>
      <c r="M172" s="167"/>
      <c r="N172" s="126" t="s">
        <v>292</v>
      </c>
      <c r="O172" s="126" t="s">
        <v>293</v>
      </c>
      <c r="P172" s="126" t="s">
        <v>835</v>
      </c>
      <c r="Q172" s="181">
        <f>3142*2.4</f>
        <v>7540.7999999999993</v>
      </c>
      <c r="R172" s="181"/>
      <c r="S172" s="181">
        <v>7455.4560000000001</v>
      </c>
      <c r="T172" s="181"/>
      <c r="V172" s="181">
        <f>S172</f>
        <v>7455.4560000000001</v>
      </c>
      <c r="AX172" s="165">
        <f t="shared" si="42"/>
        <v>45054.958333333336</v>
      </c>
      <c r="AY172" s="165">
        <f t="shared" si="43"/>
        <v>45068.916666666664</v>
      </c>
      <c r="AZ172" s="137">
        <f t="shared" si="44"/>
        <v>13.958333333328483</v>
      </c>
      <c r="BA172" s="165">
        <v>45054.958333333336</v>
      </c>
      <c r="BB172" s="165">
        <v>45057.565972222219</v>
      </c>
      <c r="BC172" s="165">
        <v>45059.5625</v>
      </c>
      <c r="BD172" s="165">
        <v>45061.472222222219</v>
      </c>
      <c r="BE172" s="165">
        <v>45061.611111111109</v>
      </c>
      <c r="BF172" s="165">
        <v>45061.618055555555</v>
      </c>
      <c r="BG172" s="165">
        <v>45061.618055555555</v>
      </c>
      <c r="BH172" s="165">
        <f t="shared" si="57"/>
        <v>45063.326388888891</v>
      </c>
      <c r="BI172" s="165">
        <v>45065.229166608799</v>
      </c>
      <c r="BJ172" s="165">
        <v>45065.395833275463</v>
      </c>
      <c r="BK172" s="165">
        <v>45065.322916666664</v>
      </c>
      <c r="BL172" s="165">
        <v>45066.836805555555</v>
      </c>
      <c r="BM172" s="165">
        <v>45068.197916666664</v>
      </c>
      <c r="BN172" s="165">
        <v>45068.4375</v>
      </c>
      <c r="BO172" s="165">
        <v>45068.454861111109</v>
      </c>
      <c r="BP172" s="165">
        <v>45068.458333333336</v>
      </c>
      <c r="BQ172" s="165">
        <v>45068.916666666664</v>
      </c>
      <c r="BT172" s="136">
        <f t="shared" si="45"/>
        <v>47.916666666744277</v>
      </c>
      <c r="BU172" s="136">
        <f t="shared" si="46"/>
        <v>3.3333333333721384</v>
      </c>
      <c r="BV172" s="136">
        <f t="shared" si="47"/>
        <v>41.000000000058208</v>
      </c>
      <c r="BW172" s="136">
        <f t="shared" si="55"/>
        <v>34.583334722206928</v>
      </c>
      <c r="BX172" s="135">
        <f t="shared" si="48"/>
        <v>5.7500000000582077</v>
      </c>
      <c r="BY172" s="135">
        <f t="shared" si="49"/>
        <v>10.999999999883585</v>
      </c>
      <c r="BZ172" s="134">
        <f t="shared" si="50"/>
        <v>5.9826389467634726</v>
      </c>
      <c r="CA172" s="134">
        <f t="shared" si="51"/>
        <v>13.958333333328483</v>
      </c>
      <c r="CB172" s="133">
        <f t="shared" si="52"/>
        <v>0.42860696932051712</v>
      </c>
    </row>
    <row r="173" spans="1:80" s="126" customFormat="1">
      <c r="A173" s="192">
        <f t="shared" si="56"/>
        <v>45061.638888888891</v>
      </c>
      <c r="B173" s="126" t="s">
        <v>228</v>
      </c>
      <c r="C173" s="126" t="s">
        <v>229</v>
      </c>
      <c r="D173" s="126" t="s">
        <v>215</v>
      </c>
      <c r="E173" s="65" t="s">
        <v>1600</v>
      </c>
      <c r="G173" s="73">
        <v>45059.291666666664</v>
      </c>
      <c r="H173" s="73">
        <v>45059.291666666664</v>
      </c>
      <c r="I173" s="126" t="s">
        <v>497</v>
      </c>
      <c r="J173" s="126" t="s">
        <v>192</v>
      </c>
      <c r="K173" s="126" t="s">
        <v>192</v>
      </c>
      <c r="L173" s="126" t="s">
        <v>1675</v>
      </c>
      <c r="M173" s="167"/>
      <c r="N173" s="126" t="s">
        <v>271</v>
      </c>
      <c r="O173" s="126" t="s">
        <v>272</v>
      </c>
      <c r="P173" s="126" t="s">
        <v>835</v>
      </c>
      <c r="Q173" s="181">
        <f>3852*2.4</f>
        <v>9244.7999999999993</v>
      </c>
      <c r="R173" s="181"/>
      <c r="S173" s="181">
        <v>9201.51</v>
      </c>
      <c r="T173" s="181"/>
      <c r="V173" s="181">
        <f>S173</f>
        <v>9201.51</v>
      </c>
      <c r="AX173" s="165">
        <f t="shared" si="42"/>
        <v>45056.993055555555</v>
      </c>
      <c r="AY173" s="165">
        <f t="shared" si="43"/>
        <v>45068.010416666664</v>
      </c>
      <c r="AZ173" s="137">
        <f t="shared" si="44"/>
        <v>11.017361111109494</v>
      </c>
      <c r="BA173" s="165">
        <v>45056.993055555555</v>
      </c>
      <c r="BB173" s="165">
        <v>45058.59375</v>
      </c>
      <c r="BC173" s="165">
        <v>45060.729166666664</v>
      </c>
      <c r="BD173" s="165">
        <v>45061.638888888891</v>
      </c>
      <c r="BE173" s="165">
        <v>45061.923611111109</v>
      </c>
      <c r="BF173" s="165">
        <v>45061.9375</v>
      </c>
      <c r="BG173" s="165">
        <v>45061.9375</v>
      </c>
      <c r="BH173" s="165">
        <f t="shared" si="57"/>
        <v>45063.645833333336</v>
      </c>
      <c r="BI173" s="165">
        <v>45063.583333333336</v>
      </c>
      <c r="BJ173" s="165">
        <v>45063.75</v>
      </c>
      <c r="BK173" s="165">
        <v>45063.614583333336</v>
      </c>
      <c r="BL173" s="165">
        <v>45065.25</v>
      </c>
      <c r="BM173" s="165">
        <v>45067.097222222219</v>
      </c>
      <c r="BN173" s="165">
        <v>45067.413194444445</v>
      </c>
      <c r="BO173" s="165">
        <v>45067.430555555555</v>
      </c>
      <c r="BP173" s="165">
        <v>45067.434027777781</v>
      </c>
      <c r="BQ173" s="165">
        <v>45068.010416666664</v>
      </c>
      <c r="BT173" s="136">
        <f t="shared" si="45"/>
        <v>51.249999999941792</v>
      </c>
      <c r="BU173" s="136">
        <f t="shared" si="46"/>
        <v>6.8333333332557231</v>
      </c>
      <c r="BV173" s="136">
        <f t="shared" si="47"/>
        <v>41.000000000058208</v>
      </c>
      <c r="BW173" s="136">
        <f t="shared" si="55"/>
        <v>36</v>
      </c>
      <c r="BX173" s="135">
        <f t="shared" si="48"/>
        <v>7.5833333334303461</v>
      </c>
      <c r="BY173" s="135">
        <f t="shared" si="49"/>
        <v>13.833333333197515</v>
      </c>
      <c r="BZ173" s="134">
        <f t="shared" si="50"/>
        <v>6.5208333333284827</v>
      </c>
      <c r="CA173" s="134">
        <f t="shared" si="51"/>
        <v>11.017361111109494</v>
      </c>
      <c r="CB173" s="133">
        <f t="shared" si="52"/>
        <v>0.59186889379101126</v>
      </c>
    </row>
    <row r="174" spans="1:80" s="126" customFormat="1">
      <c r="A174" s="192">
        <f t="shared" si="56"/>
        <v>45061.958333333336</v>
      </c>
      <c r="B174" s="126" t="s">
        <v>228</v>
      </c>
      <c r="C174" s="126" t="s">
        <v>229</v>
      </c>
      <c r="D174" s="126" t="s">
        <v>197</v>
      </c>
      <c r="E174" s="65" t="s">
        <v>1668</v>
      </c>
      <c r="G174" s="73">
        <v>45066.416666666664</v>
      </c>
      <c r="H174" s="73">
        <v>45066.375</v>
      </c>
      <c r="I174" s="126" t="s">
        <v>490</v>
      </c>
      <c r="J174" s="126" t="s">
        <v>192</v>
      </c>
      <c r="K174" s="126" t="s">
        <v>192</v>
      </c>
      <c r="L174" s="126" t="s">
        <v>1676</v>
      </c>
      <c r="M174" s="167"/>
      <c r="N174" s="126" t="s">
        <v>277</v>
      </c>
      <c r="O174" s="126" t="s">
        <v>278</v>
      </c>
      <c r="P174" s="126" t="s">
        <v>1677</v>
      </c>
      <c r="Q174" s="181">
        <f>3117*2.4</f>
        <v>7480.7999999999993</v>
      </c>
      <c r="R174" s="181"/>
      <c r="S174" s="181">
        <f>7553.215-3221.271</f>
        <v>4331.9439999999995</v>
      </c>
      <c r="T174" s="181"/>
      <c r="U174" s="181">
        <f>S174*0.75</f>
        <v>3248.9579999999996</v>
      </c>
      <c r="V174" s="181">
        <f>S174*0.25</f>
        <v>1082.9859999999999</v>
      </c>
      <c r="AX174" s="165">
        <f t="shared" si="42"/>
        <v>45057.739583333336</v>
      </c>
      <c r="AY174" s="165">
        <f t="shared" si="43"/>
        <v>45068.395833333336</v>
      </c>
      <c r="AZ174" s="137">
        <f t="shared" si="44"/>
        <v>10.65625</v>
      </c>
      <c r="BA174" s="165">
        <v>45057.739583333336</v>
      </c>
      <c r="BB174" s="165">
        <v>45058.777777777781</v>
      </c>
      <c r="BC174" s="165">
        <v>45060.5625</v>
      </c>
      <c r="BD174" s="165">
        <v>45061.958333333336</v>
      </c>
      <c r="BE174" s="165">
        <v>45062.097222222219</v>
      </c>
      <c r="BF174" s="165">
        <v>45062.111111111109</v>
      </c>
      <c r="BG174" s="165">
        <v>45062.111111111109</v>
      </c>
      <c r="BH174" s="165">
        <f t="shared" si="57"/>
        <v>45063.819444444445</v>
      </c>
      <c r="BI174" s="165">
        <v>45063.583333333336</v>
      </c>
      <c r="BJ174" s="165">
        <v>45063.75</v>
      </c>
      <c r="BK174" s="165">
        <v>45063.635416666664</v>
      </c>
      <c r="BL174" s="165">
        <v>45064.868055555555</v>
      </c>
      <c r="BM174" s="165">
        <v>45067.9375</v>
      </c>
      <c r="BN174" s="165">
        <v>45068.354166666664</v>
      </c>
      <c r="BO174" s="165">
        <v>45068.395833333336</v>
      </c>
      <c r="BP174" s="165">
        <v>45068.395833333336</v>
      </c>
      <c r="BQ174" s="165">
        <v>45068.395833333336</v>
      </c>
      <c r="BT174" s="136">
        <f t="shared" si="45"/>
        <v>42.833333333255723</v>
      </c>
      <c r="BU174" s="136">
        <f t="shared" si="46"/>
        <v>3.3333333331975155</v>
      </c>
      <c r="BV174" s="136">
        <f t="shared" si="47"/>
        <v>41.000000000058208</v>
      </c>
      <c r="BW174" s="136">
        <f t="shared" si="55"/>
        <v>26.833333333313931</v>
      </c>
      <c r="BX174" s="135">
        <f t="shared" si="48"/>
        <v>9.9999999999417923</v>
      </c>
      <c r="BY174" s="135">
        <f t="shared" si="49"/>
        <v>0</v>
      </c>
      <c r="BZ174" s="134">
        <f t="shared" si="50"/>
        <v>5.1666666666569654</v>
      </c>
      <c r="CA174" s="134">
        <f t="shared" si="51"/>
        <v>10.65625</v>
      </c>
      <c r="CB174" s="133">
        <f t="shared" si="52"/>
        <v>0.48484848484757448</v>
      </c>
    </row>
    <row r="175" spans="1:80" s="126" customFormat="1">
      <c r="A175" s="192">
        <f t="shared" si="56"/>
        <v>45061.958333333336</v>
      </c>
      <c r="B175" s="126" t="s">
        <v>228</v>
      </c>
      <c r="C175" s="126" t="s">
        <v>229</v>
      </c>
      <c r="D175" s="126" t="s">
        <v>197</v>
      </c>
      <c r="E175" s="65" t="s">
        <v>1678</v>
      </c>
      <c r="G175" s="73">
        <v>45072.625</v>
      </c>
      <c r="H175" s="73">
        <v>45072.616666666669</v>
      </c>
      <c r="I175" s="126" t="s">
        <v>490</v>
      </c>
      <c r="J175" s="126" t="s">
        <v>192</v>
      </c>
      <c r="K175" s="126" t="s">
        <v>192</v>
      </c>
      <c r="L175" s="126" t="s">
        <v>1676</v>
      </c>
      <c r="M175" s="167"/>
      <c r="N175" s="126" t="s">
        <v>277</v>
      </c>
      <c r="O175" s="126" t="s">
        <v>278</v>
      </c>
      <c r="P175" s="126" t="s">
        <v>1677</v>
      </c>
      <c r="Q175" s="181">
        <f>3117*2.4</f>
        <v>7480.7999999999993</v>
      </c>
      <c r="R175" s="181"/>
      <c r="S175" s="181">
        <v>3194.4209999999998</v>
      </c>
      <c r="T175" s="181"/>
      <c r="U175" s="181">
        <f>S175*0.75</f>
        <v>2395.8157499999998</v>
      </c>
      <c r="V175" s="181">
        <f>S175*0.25</f>
        <v>798.60524999999996</v>
      </c>
      <c r="AX175" s="165">
        <f t="shared" si="42"/>
        <v>45057.739583333336</v>
      </c>
      <c r="AY175" s="165">
        <f t="shared" si="43"/>
        <v>45072.708333333336</v>
      </c>
      <c r="AZ175" s="137">
        <f t="shared" si="44"/>
        <v>14.96875</v>
      </c>
      <c r="BA175" s="165">
        <v>45057.739583333336</v>
      </c>
      <c r="BB175" s="165">
        <v>45058.777777777781</v>
      </c>
      <c r="BC175" s="165">
        <v>45060.5625</v>
      </c>
      <c r="BD175" s="165">
        <v>45061.958333333336</v>
      </c>
      <c r="BE175" s="165">
        <v>45062.097222222219</v>
      </c>
      <c r="BF175" s="165">
        <v>45062.111111111109</v>
      </c>
      <c r="BG175" s="165">
        <v>45062.111111111109</v>
      </c>
      <c r="BH175" s="165">
        <f t="shared" si="57"/>
        <v>45063.819444444445</v>
      </c>
      <c r="BI175" s="165">
        <v>45063.583333333336</v>
      </c>
      <c r="BJ175" s="165">
        <v>45063.75</v>
      </c>
      <c r="BK175" s="165">
        <v>45063.635416666664</v>
      </c>
      <c r="BL175" s="165">
        <v>45068.395833333336</v>
      </c>
      <c r="BM175" s="165">
        <v>45072.25</v>
      </c>
      <c r="BN175" s="165">
        <v>45072.375</v>
      </c>
      <c r="BO175" s="165">
        <v>45072.395833333336</v>
      </c>
      <c r="BP175" s="165">
        <v>45072.395833333336</v>
      </c>
      <c r="BQ175" s="165">
        <v>45072.708333333336</v>
      </c>
      <c r="BT175" s="136">
        <f t="shared" si="45"/>
        <v>42.833333333255723</v>
      </c>
      <c r="BU175" s="136">
        <f t="shared" si="46"/>
        <v>3.3333333331975155</v>
      </c>
      <c r="BV175" s="136">
        <f t="shared" si="47"/>
        <v>41.000000000058208</v>
      </c>
      <c r="BW175" s="136">
        <f t="shared" si="55"/>
        <v>111.50000000005821</v>
      </c>
      <c r="BX175" s="135">
        <f t="shared" si="48"/>
        <v>3</v>
      </c>
      <c r="BY175" s="135">
        <f t="shared" si="49"/>
        <v>7.5</v>
      </c>
      <c r="BZ175" s="134">
        <f t="shared" si="50"/>
        <v>8.7152777777737356</v>
      </c>
      <c r="CA175" s="134">
        <f t="shared" si="51"/>
        <v>14.96875</v>
      </c>
      <c r="CB175" s="133">
        <f t="shared" si="52"/>
        <v>0.58223150081160657</v>
      </c>
    </row>
    <row r="176" spans="1:80" s="126" customFormat="1">
      <c r="A176" s="192">
        <f t="shared" si="56"/>
        <v>45062.142361111109</v>
      </c>
      <c r="B176" s="126" t="s">
        <v>228</v>
      </c>
      <c r="C176" s="126" t="s">
        <v>229</v>
      </c>
      <c r="D176" s="126" t="s">
        <v>215</v>
      </c>
      <c r="E176" s="65" t="s">
        <v>1668</v>
      </c>
      <c r="G176" s="73">
        <v>45066.416666666664</v>
      </c>
      <c r="H176" s="73">
        <v>45066.375</v>
      </c>
      <c r="I176" s="126" t="s">
        <v>490</v>
      </c>
      <c r="J176" s="126" t="s">
        <v>192</v>
      </c>
      <c r="K176" s="126" t="s">
        <v>192</v>
      </c>
      <c r="L176" s="126" t="s">
        <v>1679</v>
      </c>
      <c r="M176" s="167"/>
      <c r="N176" s="126" t="s">
        <v>218</v>
      </c>
      <c r="O176" s="126" t="s">
        <v>219</v>
      </c>
      <c r="P176" s="126" t="s">
        <v>1677</v>
      </c>
      <c r="Q176" s="181">
        <f>3087*2.4</f>
        <v>7408.7999999999993</v>
      </c>
      <c r="R176" s="181"/>
      <c r="S176" s="181">
        <v>7501.7139999999999</v>
      </c>
      <c r="T176" s="181"/>
      <c r="U176" s="181">
        <f>S176*0.75</f>
        <v>5626.2855</v>
      </c>
      <c r="V176" s="181">
        <f>S176*0.25</f>
        <v>1875.4285</v>
      </c>
      <c r="AX176" s="165">
        <f t="shared" si="42"/>
        <v>45057.46875</v>
      </c>
      <c r="AY176" s="165">
        <f t="shared" si="43"/>
        <v>45068.447916666664</v>
      </c>
      <c r="AZ176" s="137">
        <f t="shared" si="44"/>
        <v>10.979166666664241</v>
      </c>
      <c r="BA176" s="165">
        <v>45057.46875</v>
      </c>
      <c r="BB176" s="165">
        <v>45058.791666666664</v>
      </c>
      <c r="BC176" s="165">
        <v>45060.920138888891</v>
      </c>
      <c r="BD176" s="165">
        <v>45062.142361111109</v>
      </c>
      <c r="BE176" s="165">
        <v>45062.368055555555</v>
      </c>
      <c r="BF176" s="165">
        <v>45062.378472222219</v>
      </c>
      <c r="BG176" s="165">
        <v>45062.378472222219</v>
      </c>
      <c r="BH176" s="165">
        <f t="shared" si="57"/>
        <v>45064.086805555555</v>
      </c>
      <c r="BI176" s="165">
        <v>45064.229166666664</v>
      </c>
      <c r="BJ176" s="165">
        <v>45064.395833333328</v>
      </c>
      <c r="BK176" s="165">
        <v>45064.298611111109</v>
      </c>
      <c r="BL176" s="165">
        <v>45065.465277777781</v>
      </c>
      <c r="BM176" s="165">
        <v>45067.34375</v>
      </c>
      <c r="BN176" s="165">
        <v>45067.9375</v>
      </c>
      <c r="BO176" s="165">
        <v>45067.958333333336</v>
      </c>
      <c r="BP176" s="165">
        <v>45068.270833333336</v>
      </c>
      <c r="BQ176" s="165">
        <v>45068.447916666664</v>
      </c>
      <c r="BT176" s="136">
        <f t="shared" si="45"/>
        <v>51.083333333430346</v>
      </c>
      <c r="BU176" s="136">
        <f t="shared" si="46"/>
        <v>5.4166666666860692</v>
      </c>
      <c r="BV176" s="136">
        <f t="shared" si="47"/>
        <v>41.000000000058208</v>
      </c>
      <c r="BW176" s="136">
        <f t="shared" si="55"/>
        <v>25.666666666860692</v>
      </c>
      <c r="BX176" s="135">
        <f t="shared" si="48"/>
        <v>14.25</v>
      </c>
      <c r="BY176" s="135">
        <f t="shared" si="49"/>
        <v>4.2499999998835847</v>
      </c>
      <c r="BZ176" s="134">
        <f t="shared" si="50"/>
        <v>5.9027777777882875</v>
      </c>
      <c r="CA176" s="134">
        <f t="shared" si="51"/>
        <v>10.979166666664241</v>
      </c>
      <c r="CB176" s="133">
        <f t="shared" si="52"/>
        <v>0.53763440860322653</v>
      </c>
    </row>
    <row r="177" spans="1:80" s="126" customFormat="1">
      <c r="A177" s="192">
        <f t="shared" si="56"/>
        <v>45066.243055555555</v>
      </c>
      <c r="B177" s="126" t="s">
        <v>228</v>
      </c>
      <c r="C177" s="126" t="s">
        <v>229</v>
      </c>
      <c r="D177" s="126" t="s">
        <v>197</v>
      </c>
      <c r="E177" s="65" t="s">
        <v>1678</v>
      </c>
      <c r="G177" s="73">
        <v>45072.625</v>
      </c>
      <c r="H177" s="73">
        <v>45072.616666666669</v>
      </c>
      <c r="I177" s="126" t="s">
        <v>490</v>
      </c>
      <c r="J177" s="126" t="s">
        <v>192</v>
      </c>
      <c r="K177" s="126" t="s">
        <v>192</v>
      </c>
      <c r="L177" s="126" t="s">
        <v>1680</v>
      </c>
      <c r="M177" s="167"/>
      <c r="N177" s="126" t="s">
        <v>298</v>
      </c>
      <c r="O177" s="126" t="s">
        <v>299</v>
      </c>
      <c r="P177" s="126" t="s">
        <v>1681</v>
      </c>
      <c r="Q177" s="181">
        <f>4337*2.4</f>
        <v>10408.799999999999</v>
      </c>
      <c r="R177" s="181"/>
      <c r="S177" s="181">
        <v>10491.816000000001</v>
      </c>
      <c r="T177" s="181"/>
      <c r="U177" s="181">
        <f>S177*0.8</f>
        <v>8393.4528000000009</v>
      </c>
      <c r="V177" s="181">
        <f>S177*0.2</f>
        <v>2098.3632000000002</v>
      </c>
      <c r="AX177" s="165">
        <f t="shared" si="42"/>
        <v>45062.25</v>
      </c>
      <c r="AY177" s="165">
        <f t="shared" si="43"/>
        <v>45073.875</v>
      </c>
      <c r="AZ177" s="137">
        <f t="shared" si="44"/>
        <v>11.625</v>
      </c>
      <c r="BA177" s="165">
        <v>45062.25</v>
      </c>
      <c r="BB177" s="165">
        <v>45063.8125</v>
      </c>
      <c r="BC177" s="165">
        <v>45065.5</v>
      </c>
      <c r="BD177" s="165">
        <v>45066.243055555555</v>
      </c>
      <c r="BE177" s="165">
        <v>45066.569444444445</v>
      </c>
      <c r="BF177" s="165">
        <v>45066.572916666664</v>
      </c>
      <c r="BG177" s="165">
        <v>45066.572916666664</v>
      </c>
      <c r="BH177" s="165">
        <f t="shared" si="57"/>
        <v>45068.28125</v>
      </c>
      <c r="BI177" s="165">
        <v>45068.25</v>
      </c>
      <c r="BJ177" s="165">
        <v>45068.416666666664</v>
      </c>
      <c r="BK177" s="165">
        <v>45068.315972222219</v>
      </c>
      <c r="BL177" s="165">
        <v>45071.041666666664</v>
      </c>
      <c r="BM177" s="165">
        <v>45073.125</v>
      </c>
      <c r="BN177" s="165">
        <v>45073.520833333336</v>
      </c>
      <c r="BO177" s="165">
        <v>45073.541666666664</v>
      </c>
      <c r="BP177" s="165">
        <v>45073.541666666664</v>
      </c>
      <c r="BQ177" s="165">
        <v>45073.875</v>
      </c>
      <c r="BT177" s="136">
        <f t="shared" si="45"/>
        <v>40.5</v>
      </c>
      <c r="BU177" s="136">
        <f t="shared" si="46"/>
        <v>7.8333333333721384</v>
      </c>
      <c r="BV177" s="136">
        <f t="shared" si="47"/>
        <v>41.000000000058208</v>
      </c>
      <c r="BW177" s="136">
        <f t="shared" si="55"/>
        <v>63</v>
      </c>
      <c r="BX177" s="135">
        <f t="shared" si="48"/>
        <v>9.5000000000582077</v>
      </c>
      <c r="BY177" s="135">
        <f t="shared" si="49"/>
        <v>8.0000000000582077</v>
      </c>
      <c r="BZ177" s="134">
        <f t="shared" si="50"/>
        <v>7.0763888888977817</v>
      </c>
      <c r="CA177" s="134">
        <f t="shared" si="51"/>
        <v>11.625</v>
      </c>
      <c r="CB177" s="133">
        <f t="shared" si="52"/>
        <v>0.60872162485142212</v>
      </c>
    </row>
    <row r="178" spans="1:80" s="126" customFormat="1">
      <c r="A178" s="192">
        <f t="shared" si="56"/>
        <v>45068.135416666664</v>
      </c>
      <c r="B178" s="126" t="s">
        <v>228</v>
      </c>
      <c r="C178" s="126" t="s">
        <v>229</v>
      </c>
      <c r="D178" s="126" t="s">
        <v>215</v>
      </c>
      <c r="E178" s="65" t="s">
        <v>1678</v>
      </c>
      <c r="G178" s="73">
        <v>45072.625</v>
      </c>
      <c r="H178" s="73">
        <v>45072.616666666669</v>
      </c>
      <c r="I178" s="126" t="s">
        <v>490</v>
      </c>
      <c r="J178" s="126" t="s">
        <v>192</v>
      </c>
      <c r="K178" s="126" t="s">
        <v>192</v>
      </c>
      <c r="L178" s="126" t="s">
        <v>1682</v>
      </c>
      <c r="M178" s="167"/>
      <c r="N178" s="126" t="s">
        <v>390</v>
      </c>
      <c r="O178" s="126" t="s">
        <v>391</v>
      </c>
      <c r="P178" s="126" t="s">
        <v>1681</v>
      </c>
      <c r="Q178" s="181">
        <f>3097*2.4</f>
        <v>7432.7999999999993</v>
      </c>
      <c r="R178" s="181"/>
      <c r="S178" s="181">
        <v>7457.4070000000002</v>
      </c>
      <c r="T178" s="181"/>
      <c r="U178" s="181">
        <f>S178*0.8</f>
        <v>5965.9256000000005</v>
      </c>
      <c r="V178" s="181">
        <f>S178*0.2</f>
        <v>1491.4814000000001</v>
      </c>
      <c r="AX178" s="165">
        <f t="shared" si="42"/>
        <v>45062.944444444445</v>
      </c>
      <c r="AY178" s="165">
        <f t="shared" si="43"/>
        <v>45074.291666666664</v>
      </c>
      <c r="AZ178" s="137">
        <f t="shared" si="44"/>
        <v>11.347222222218988</v>
      </c>
      <c r="BA178" s="165">
        <v>45062.944444444445</v>
      </c>
      <c r="BB178" s="165">
        <v>45064.5625</v>
      </c>
      <c r="BC178" s="165">
        <v>45066.645833333336</v>
      </c>
      <c r="BD178" s="165">
        <v>45068.135416666664</v>
      </c>
      <c r="BE178" s="165">
        <v>45068.361111111109</v>
      </c>
      <c r="BF178" s="165">
        <v>45068.371527777781</v>
      </c>
      <c r="BG178" s="165">
        <v>45068.371527777781</v>
      </c>
      <c r="BH178" s="165">
        <f t="shared" si="57"/>
        <v>45070.079861111117</v>
      </c>
      <c r="BI178" s="165">
        <v>45070.25</v>
      </c>
      <c r="BJ178" s="165">
        <v>45070.416666666664</v>
      </c>
      <c r="BK178" s="165">
        <v>45070.270833333336</v>
      </c>
      <c r="BL178" s="165">
        <v>45071.357638888891</v>
      </c>
      <c r="BM178" s="165">
        <v>45073.583333333336</v>
      </c>
      <c r="BN178" s="165">
        <v>45073.899305555555</v>
      </c>
      <c r="BO178" s="165">
        <v>45073.920138888891</v>
      </c>
      <c r="BP178" s="165">
        <v>45073.920138888891</v>
      </c>
      <c r="BQ178" s="165">
        <v>45074.291666666664</v>
      </c>
      <c r="BT178" s="136">
        <f t="shared" si="45"/>
        <v>50.000000000058208</v>
      </c>
      <c r="BU178" s="136">
        <f t="shared" si="46"/>
        <v>5.4166666666860692</v>
      </c>
      <c r="BV178" s="136">
        <f t="shared" si="47"/>
        <v>41.000000000058208</v>
      </c>
      <c r="BW178" s="136">
        <f t="shared" si="55"/>
        <v>22.583333333430346</v>
      </c>
      <c r="BX178" s="135">
        <f t="shared" si="48"/>
        <v>7.5833333332557231</v>
      </c>
      <c r="BY178" s="135">
        <f t="shared" si="49"/>
        <v>8.9166666665696539</v>
      </c>
      <c r="BZ178" s="134">
        <f t="shared" si="50"/>
        <v>5.6458333333357587</v>
      </c>
      <c r="CA178" s="134">
        <f t="shared" si="51"/>
        <v>11.347222222218988</v>
      </c>
      <c r="CB178" s="133">
        <f t="shared" si="52"/>
        <v>0.49755201958419887</v>
      </c>
    </row>
    <row r="179" spans="1:80" s="126" customFormat="1">
      <c r="A179" s="192">
        <f t="shared" si="56"/>
        <v>45067.952777777777</v>
      </c>
      <c r="B179" s="126" t="s">
        <v>228</v>
      </c>
      <c r="C179" s="126" t="s">
        <v>229</v>
      </c>
      <c r="D179" s="126" t="s">
        <v>215</v>
      </c>
      <c r="E179" s="65" t="s">
        <v>1678</v>
      </c>
      <c r="G179" s="73">
        <v>45072.625</v>
      </c>
      <c r="H179" s="73">
        <v>45072.616666666669</v>
      </c>
      <c r="I179" s="126" t="s">
        <v>490</v>
      </c>
      <c r="J179" s="126" t="s">
        <v>192</v>
      </c>
      <c r="K179" s="126" t="s">
        <v>192</v>
      </c>
      <c r="L179" s="126" t="s">
        <v>1683</v>
      </c>
      <c r="M179" s="167"/>
      <c r="N179" s="126" t="s">
        <v>252</v>
      </c>
      <c r="O179" s="126" t="s">
        <v>253</v>
      </c>
      <c r="P179" s="126" t="s">
        <v>494</v>
      </c>
      <c r="Q179" s="181">
        <f>3107*2.4</f>
        <v>7456.7999999999993</v>
      </c>
      <c r="R179" s="181"/>
      <c r="S179" s="181">
        <v>7514.03</v>
      </c>
      <c r="T179" s="181"/>
      <c r="U179" s="181">
        <f t="shared" ref="U179:U184" si="58">S179</f>
        <v>7514.03</v>
      </c>
      <c r="AX179" s="165">
        <f t="shared" si="42"/>
        <v>45063.541666666664</v>
      </c>
      <c r="AY179" s="165">
        <f t="shared" si="43"/>
        <v>45073.236111111109</v>
      </c>
      <c r="AZ179" s="137">
        <f t="shared" si="44"/>
        <v>9.6944444444452529</v>
      </c>
      <c r="BA179" s="165">
        <v>45063.541666666664</v>
      </c>
      <c r="BB179" s="165">
        <v>45064.763888888891</v>
      </c>
      <c r="BC179" s="165">
        <v>45066.583333333336</v>
      </c>
      <c r="BD179" s="165">
        <v>45067.952777777777</v>
      </c>
      <c r="BE179" s="165">
        <v>45068.107638888891</v>
      </c>
      <c r="BF179" s="165">
        <v>45068.114583333336</v>
      </c>
      <c r="BG179" s="165">
        <v>45068.114583333336</v>
      </c>
      <c r="BH179" s="165">
        <f t="shared" si="57"/>
        <v>45069.822916666672</v>
      </c>
      <c r="BI179" s="165">
        <v>45070.25</v>
      </c>
      <c r="BJ179" s="165">
        <v>45070.416666666664</v>
      </c>
      <c r="BK179" s="165">
        <v>45070.309027777781</v>
      </c>
      <c r="BL179" s="165">
        <v>45071.416666666664</v>
      </c>
      <c r="BM179" s="165">
        <v>45072.4375</v>
      </c>
      <c r="BN179" s="165">
        <v>45072.822916666664</v>
      </c>
      <c r="BO179" s="165">
        <v>45072.84375</v>
      </c>
      <c r="BP179" s="165">
        <v>45072.84375</v>
      </c>
      <c r="BQ179" s="165">
        <v>45073.236111111109</v>
      </c>
      <c r="BT179" s="136">
        <f t="shared" si="45"/>
        <v>43.666666666686069</v>
      </c>
      <c r="BU179" s="136">
        <f t="shared" si="46"/>
        <v>3.7166666667326353</v>
      </c>
      <c r="BV179" s="136">
        <f t="shared" si="47"/>
        <v>41.000000000058208</v>
      </c>
      <c r="BW179" s="136">
        <f t="shared" si="55"/>
        <v>24</v>
      </c>
      <c r="BX179" s="135">
        <f t="shared" si="48"/>
        <v>9.2499999999417923</v>
      </c>
      <c r="BY179" s="135">
        <f t="shared" si="49"/>
        <v>9.4166666666278616</v>
      </c>
      <c r="BZ179" s="134">
        <f t="shared" si="50"/>
        <v>5.4604166666686069</v>
      </c>
      <c r="CA179" s="134">
        <f t="shared" si="51"/>
        <v>9.6944444444452529</v>
      </c>
      <c r="CB179" s="133">
        <f t="shared" si="52"/>
        <v>0.56325214899728782</v>
      </c>
    </row>
    <row r="180" spans="1:80" s="126" customFormat="1">
      <c r="A180" s="192">
        <f t="shared" si="56"/>
        <v>45067.725694444445</v>
      </c>
      <c r="B180" s="126" t="s">
        <v>228</v>
      </c>
      <c r="C180" s="126" t="s">
        <v>229</v>
      </c>
      <c r="D180" s="126" t="s">
        <v>197</v>
      </c>
      <c r="E180" s="65" t="s">
        <v>1678</v>
      </c>
      <c r="G180" s="73">
        <v>45072.625</v>
      </c>
      <c r="H180" s="73">
        <v>45072.616666666669</v>
      </c>
      <c r="I180" s="126" t="s">
        <v>490</v>
      </c>
      <c r="J180" s="126" t="s">
        <v>192</v>
      </c>
      <c r="K180" s="126" t="s">
        <v>192</v>
      </c>
      <c r="L180" s="126" t="s">
        <v>1684</v>
      </c>
      <c r="M180" s="167"/>
      <c r="N180" s="126" t="s">
        <v>205</v>
      </c>
      <c r="O180" s="126" t="s">
        <v>206</v>
      </c>
      <c r="P180" s="126" t="s">
        <v>494</v>
      </c>
      <c r="Q180" s="181">
        <f>3015*2.4</f>
        <v>7236</v>
      </c>
      <c r="R180" s="181"/>
      <c r="S180" s="181">
        <v>7341.9530000000004</v>
      </c>
      <c r="T180" s="181"/>
      <c r="U180" s="181">
        <f t="shared" si="58"/>
        <v>7341.9530000000004</v>
      </c>
      <c r="AX180" s="165">
        <f t="shared" si="42"/>
        <v>45062.761111111111</v>
      </c>
      <c r="AY180" s="165">
        <f t="shared" si="43"/>
        <v>45073.459027777775</v>
      </c>
      <c r="AZ180" s="137">
        <f t="shared" si="44"/>
        <v>10.697916666664241</v>
      </c>
      <c r="BA180" s="165">
        <v>45062.761111111111</v>
      </c>
      <c r="BB180" s="165">
        <v>45064.777777777781</v>
      </c>
      <c r="BC180" s="165">
        <v>45066.4375</v>
      </c>
      <c r="BD180" s="165">
        <v>45067.725694444445</v>
      </c>
      <c r="BE180" s="165">
        <v>45067.927777777775</v>
      </c>
      <c r="BF180" s="165">
        <v>45067.930555555555</v>
      </c>
      <c r="BG180" s="165">
        <v>45067.930555555555</v>
      </c>
      <c r="BH180" s="165">
        <f t="shared" si="57"/>
        <v>45069.638888888891</v>
      </c>
      <c r="BI180" s="165">
        <v>45070.25</v>
      </c>
      <c r="BJ180" s="165">
        <v>45070.416666666664</v>
      </c>
      <c r="BK180" s="165">
        <v>45070.399305555555</v>
      </c>
      <c r="BL180" s="165">
        <v>45071.875</v>
      </c>
      <c r="BM180" s="165">
        <v>45072.885416666664</v>
      </c>
      <c r="BN180" s="165">
        <v>45073.041666666664</v>
      </c>
      <c r="BO180" s="165">
        <v>45073.0625</v>
      </c>
      <c r="BP180" s="165">
        <v>45073.263888888891</v>
      </c>
      <c r="BQ180" s="165">
        <v>45073.459027777775</v>
      </c>
      <c r="BT180" s="136">
        <f t="shared" si="45"/>
        <v>39.833333333255723</v>
      </c>
      <c r="BU180" s="136">
        <f t="shared" si="46"/>
        <v>4.8499999999185093</v>
      </c>
      <c r="BV180" s="136">
        <f t="shared" si="47"/>
        <v>41.000000000058208</v>
      </c>
      <c r="BW180" s="136">
        <f t="shared" si="55"/>
        <v>35.000000000058208</v>
      </c>
      <c r="BX180" s="135">
        <f t="shared" si="48"/>
        <v>3.75</v>
      </c>
      <c r="BY180" s="135">
        <f t="shared" si="49"/>
        <v>4.6833333332324401</v>
      </c>
      <c r="BZ180" s="134">
        <f t="shared" si="50"/>
        <v>5.3798611111051287</v>
      </c>
      <c r="CA180" s="134">
        <f t="shared" si="51"/>
        <v>10.697916666664241</v>
      </c>
      <c r="CB180" s="133">
        <f t="shared" si="52"/>
        <v>0.50288867250848046</v>
      </c>
    </row>
    <row r="181" spans="1:80" s="126" customFormat="1">
      <c r="A181" s="192">
        <f t="shared" si="56"/>
        <v>45068.38958333333</v>
      </c>
      <c r="B181" s="126" t="s">
        <v>228</v>
      </c>
      <c r="C181" s="126" t="s">
        <v>229</v>
      </c>
      <c r="D181" s="126" t="s">
        <v>197</v>
      </c>
      <c r="E181" s="65" t="s">
        <v>1678</v>
      </c>
      <c r="G181" s="73">
        <v>45072.625</v>
      </c>
      <c r="H181" s="73">
        <v>45072.616666666669</v>
      </c>
      <c r="I181" s="126" t="s">
        <v>490</v>
      </c>
      <c r="J181" s="126" t="s">
        <v>192</v>
      </c>
      <c r="K181" s="126" t="s">
        <v>192</v>
      </c>
      <c r="L181" s="126" t="s">
        <v>1685</v>
      </c>
      <c r="M181" s="167"/>
      <c r="N181" s="126" t="s">
        <v>361</v>
      </c>
      <c r="O181" s="126" t="s">
        <v>362</v>
      </c>
      <c r="P181" s="126" t="s">
        <v>494</v>
      </c>
      <c r="Q181" s="181">
        <f>3039*2.4</f>
        <v>7293.5999999999995</v>
      </c>
      <c r="R181" s="181"/>
      <c r="S181" s="181">
        <v>7393.7209999999995</v>
      </c>
      <c r="T181" s="181"/>
      <c r="U181" s="181">
        <f t="shared" si="58"/>
        <v>7393.7209999999995</v>
      </c>
      <c r="AX181" s="165">
        <f t="shared" si="42"/>
        <v>45064</v>
      </c>
      <c r="AY181" s="165">
        <f t="shared" si="43"/>
        <v>45074.65625</v>
      </c>
      <c r="AZ181" s="137">
        <f t="shared" si="44"/>
        <v>10.65625</v>
      </c>
      <c r="BA181" s="165">
        <v>45064</v>
      </c>
      <c r="BB181" s="165">
        <v>45064.892361111109</v>
      </c>
      <c r="BC181" s="165">
        <v>45066.652777777781</v>
      </c>
      <c r="BD181" s="165">
        <v>45068.38958333333</v>
      </c>
      <c r="BE181" s="165">
        <v>45068.510416666664</v>
      </c>
      <c r="BF181" s="165">
        <v>45068.517361111109</v>
      </c>
      <c r="BG181" s="165">
        <v>45068.517361111109</v>
      </c>
      <c r="BH181" s="165">
        <f t="shared" si="57"/>
        <v>45070.225694444445</v>
      </c>
      <c r="BI181" s="165">
        <v>45070.25</v>
      </c>
      <c r="BJ181" s="165">
        <v>45070.416666666664</v>
      </c>
      <c r="BK181" s="165">
        <v>45070.34375</v>
      </c>
      <c r="BL181" s="165">
        <v>45071.34375</v>
      </c>
      <c r="BM181" s="165">
        <v>45073.961805555555</v>
      </c>
      <c r="BN181" s="165">
        <v>45074.232638888891</v>
      </c>
      <c r="BO181" s="165">
        <v>45074.253472222219</v>
      </c>
      <c r="BP181" s="165">
        <v>45074.253472222219</v>
      </c>
      <c r="BQ181" s="165">
        <v>45074.65625</v>
      </c>
      <c r="BR181" s="126" t="s">
        <v>788</v>
      </c>
      <c r="BT181" s="136">
        <f t="shared" si="45"/>
        <v>42.250000000116415</v>
      </c>
      <c r="BU181" s="136">
        <f t="shared" si="46"/>
        <v>2.9000000000232831</v>
      </c>
      <c r="BV181" s="136">
        <f t="shared" si="47"/>
        <v>41.000000000058208</v>
      </c>
      <c r="BW181" s="136">
        <f t="shared" si="55"/>
        <v>22.250000000058208</v>
      </c>
      <c r="BX181" s="135">
        <f t="shared" si="48"/>
        <v>6.5000000000582077</v>
      </c>
      <c r="BY181" s="135">
        <f t="shared" si="49"/>
        <v>9.6666666667442769</v>
      </c>
      <c r="BZ181" s="134">
        <f t="shared" si="50"/>
        <v>5.1902777777941083</v>
      </c>
      <c r="CA181" s="134">
        <f t="shared" si="51"/>
        <v>10.65625</v>
      </c>
      <c r="CB181" s="133">
        <f t="shared" si="52"/>
        <v>0.4870641902915292</v>
      </c>
    </row>
    <row r="182" spans="1:80" s="126" customFormat="1">
      <c r="A182" s="192">
        <f t="shared" si="56"/>
        <v>45068.541666666664</v>
      </c>
      <c r="B182" s="126" t="s">
        <v>228</v>
      </c>
      <c r="C182" s="126" t="s">
        <v>229</v>
      </c>
      <c r="D182" s="126" t="s">
        <v>215</v>
      </c>
      <c r="E182" s="65" t="s">
        <v>1678</v>
      </c>
      <c r="G182" s="73">
        <v>45072.625</v>
      </c>
      <c r="H182" s="73">
        <v>45072.616666666669</v>
      </c>
      <c r="I182" s="126" t="s">
        <v>490</v>
      </c>
      <c r="J182" s="126" t="s">
        <v>192</v>
      </c>
      <c r="K182" s="126" t="s">
        <v>192</v>
      </c>
      <c r="L182" s="126" t="s">
        <v>1686</v>
      </c>
      <c r="M182" s="167"/>
      <c r="N182" s="126" t="s">
        <v>246</v>
      </c>
      <c r="O182" s="126" t="s">
        <v>247</v>
      </c>
      <c r="P182" s="126" t="s">
        <v>494</v>
      </c>
      <c r="Q182" s="181">
        <f>3136*2.4</f>
        <v>7526.4</v>
      </c>
      <c r="R182" s="181"/>
      <c r="S182" s="181">
        <v>7505.0810000000001</v>
      </c>
      <c r="T182" s="181"/>
      <c r="U182" s="181">
        <f t="shared" si="58"/>
        <v>7505.0810000000001</v>
      </c>
      <c r="AX182" s="165">
        <f t="shared" si="42"/>
        <v>45065.3125</v>
      </c>
      <c r="AY182" s="165">
        <f t="shared" si="43"/>
        <v>45074.947916666664</v>
      </c>
      <c r="AZ182" s="137">
        <f t="shared" si="44"/>
        <v>9.6354166666642413</v>
      </c>
      <c r="BA182" s="165">
        <v>45065.3125</v>
      </c>
      <c r="BB182" s="165">
        <v>45065.833333333336</v>
      </c>
      <c r="BC182" s="165">
        <v>45068.055555555555</v>
      </c>
      <c r="BD182" s="165">
        <v>45068.541666666664</v>
      </c>
      <c r="BE182" s="165">
        <v>45068.693055555559</v>
      </c>
      <c r="BF182" s="165">
        <v>45068.701388888891</v>
      </c>
      <c r="BG182" s="165">
        <v>45068.701388888891</v>
      </c>
      <c r="BH182" s="165">
        <f t="shared" si="57"/>
        <v>45070.409722222226</v>
      </c>
      <c r="BI182" s="165">
        <v>45070.25</v>
      </c>
      <c r="BJ182" s="165">
        <v>45070.416666666664</v>
      </c>
      <c r="BK182" s="165">
        <v>45070.322916666664</v>
      </c>
      <c r="BL182" s="165">
        <v>45071.5625</v>
      </c>
      <c r="BM182" s="165">
        <v>45074.295138888891</v>
      </c>
      <c r="BN182" s="165">
        <v>45074.475694444445</v>
      </c>
      <c r="BO182" s="165">
        <v>45074.496527777781</v>
      </c>
      <c r="BP182" s="165">
        <v>45074.496527777781</v>
      </c>
      <c r="BQ182" s="165">
        <v>45074.947916666664</v>
      </c>
      <c r="BR182" s="126" t="s">
        <v>1687</v>
      </c>
      <c r="BT182" s="136">
        <f t="shared" si="45"/>
        <v>53.333333333255723</v>
      </c>
      <c r="BU182" s="136">
        <f t="shared" si="46"/>
        <v>3.6333333334769122</v>
      </c>
      <c r="BV182" s="136">
        <f t="shared" si="47"/>
        <v>41.000000000058208</v>
      </c>
      <c r="BW182" s="136">
        <f t="shared" si="55"/>
        <v>27.500000000058208</v>
      </c>
      <c r="BX182" s="135">
        <f t="shared" si="48"/>
        <v>4.3333333333139308</v>
      </c>
      <c r="BY182" s="135">
        <f t="shared" si="49"/>
        <v>10.833333333197515</v>
      </c>
      <c r="BZ182" s="134">
        <f t="shared" si="50"/>
        <v>5.859722222223354</v>
      </c>
      <c r="CA182" s="134">
        <f t="shared" si="51"/>
        <v>9.6354166666642413</v>
      </c>
      <c r="CB182" s="133">
        <f t="shared" si="52"/>
        <v>0.60814414414441464</v>
      </c>
    </row>
    <row r="183" spans="1:80" s="126" customFormat="1">
      <c r="A183" s="192">
        <f t="shared" si="56"/>
        <v>45069.100694444445</v>
      </c>
      <c r="B183" s="126" t="s">
        <v>228</v>
      </c>
      <c r="C183" s="126" t="s">
        <v>229</v>
      </c>
      <c r="D183" s="126" t="s">
        <v>197</v>
      </c>
      <c r="E183" s="65" t="s">
        <v>1520</v>
      </c>
      <c r="G183" s="73">
        <v>45071.583333333336</v>
      </c>
      <c r="H183" s="73">
        <v>45071.583333333336</v>
      </c>
      <c r="I183" s="126" t="s">
        <v>490</v>
      </c>
      <c r="J183" s="126" t="s">
        <v>192</v>
      </c>
      <c r="K183" s="126" t="s">
        <v>192</v>
      </c>
      <c r="L183" s="126" t="s">
        <v>1688</v>
      </c>
      <c r="M183" s="167"/>
      <c r="N183" s="126" t="s">
        <v>1483</v>
      </c>
      <c r="O183" s="126" t="s">
        <v>378</v>
      </c>
      <c r="P183" s="126" t="s">
        <v>494</v>
      </c>
      <c r="Q183" s="181">
        <f>3271*2.4</f>
        <v>7850.4</v>
      </c>
      <c r="R183" s="181"/>
      <c r="S183" s="181">
        <v>750.12099999999998</v>
      </c>
      <c r="T183" s="181"/>
      <c r="U183" s="181">
        <f t="shared" si="58"/>
        <v>750.12099999999998</v>
      </c>
      <c r="AX183" s="165">
        <f t="shared" si="42"/>
        <v>45065.600694444445</v>
      </c>
      <c r="AY183" s="165">
        <f t="shared" si="43"/>
        <v>45080.291666666664</v>
      </c>
      <c r="AZ183" s="137">
        <f t="shared" si="44"/>
        <v>14.690972222218988</v>
      </c>
      <c r="BA183" s="165">
        <v>45065.600694444445</v>
      </c>
      <c r="BB183" s="165">
        <v>45066.625</v>
      </c>
      <c r="BC183" s="165">
        <v>45068.902777777781</v>
      </c>
      <c r="BD183" s="165">
        <v>45069.100694444445</v>
      </c>
      <c r="BE183" s="165">
        <v>45069.236111111109</v>
      </c>
      <c r="BF183" s="165">
        <v>45069.25</v>
      </c>
      <c r="BG183" s="165">
        <v>45069.25</v>
      </c>
      <c r="BH183" s="165">
        <f t="shared" si="57"/>
        <v>45070.958333333336</v>
      </c>
      <c r="BI183" s="165">
        <v>45071.25</v>
      </c>
      <c r="BJ183" s="165">
        <v>45071.416666666664</v>
      </c>
      <c r="BK183" s="165">
        <v>45071.363888888889</v>
      </c>
      <c r="BL183" s="165">
        <v>45074.864583333336</v>
      </c>
      <c r="BM183" s="165">
        <v>45079.875</v>
      </c>
      <c r="BN183" s="165">
        <v>45079.923611111109</v>
      </c>
      <c r="BO183" s="165">
        <v>45079.9375</v>
      </c>
      <c r="BP183" s="165">
        <v>45079.9375</v>
      </c>
      <c r="BQ183" s="165">
        <v>45080.291666666664</v>
      </c>
      <c r="BT183" s="136">
        <f t="shared" si="45"/>
        <v>54.666666666744277</v>
      </c>
      <c r="BU183" s="136">
        <f t="shared" si="46"/>
        <v>3.2499999999417923</v>
      </c>
      <c r="BV183" s="136">
        <f t="shared" si="47"/>
        <v>41.000000000058208</v>
      </c>
      <c r="BW183" s="136">
        <f t="shared" si="55"/>
        <v>82.750000000116415</v>
      </c>
      <c r="BX183" s="135">
        <f t="shared" si="48"/>
        <v>1.1666666666278616</v>
      </c>
      <c r="BY183" s="135">
        <f t="shared" si="49"/>
        <v>8.4999999999417923</v>
      </c>
      <c r="BZ183" s="134">
        <f t="shared" si="50"/>
        <v>7.9722222222262644</v>
      </c>
      <c r="CA183" s="134">
        <f t="shared" si="51"/>
        <v>14.690972222218988</v>
      </c>
      <c r="CB183" s="133">
        <f t="shared" si="52"/>
        <v>0.5426613093835192</v>
      </c>
    </row>
    <row r="184" spans="1:80" s="126" customFormat="1">
      <c r="A184" s="192">
        <f t="shared" si="56"/>
        <v>45069.100694444445</v>
      </c>
      <c r="B184" s="126" t="s">
        <v>228</v>
      </c>
      <c r="C184" s="126" t="s">
        <v>229</v>
      </c>
      <c r="D184" s="126" t="s">
        <v>197</v>
      </c>
      <c r="E184" s="65" t="s">
        <v>1678</v>
      </c>
      <c r="G184" s="73">
        <v>45072.625</v>
      </c>
      <c r="H184" s="73">
        <v>45072.616666666669</v>
      </c>
      <c r="I184" s="126" t="s">
        <v>490</v>
      </c>
      <c r="J184" s="126" t="s">
        <v>192</v>
      </c>
      <c r="K184" s="126" t="s">
        <v>192</v>
      </c>
      <c r="L184" s="126" t="s">
        <v>1688</v>
      </c>
      <c r="M184" s="167"/>
      <c r="N184" s="126" t="s">
        <v>1483</v>
      </c>
      <c r="O184" s="126" t="s">
        <v>378</v>
      </c>
      <c r="P184" s="126" t="s">
        <v>494</v>
      </c>
      <c r="Q184" s="181">
        <f>3271*2.4</f>
        <v>7850.4</v>
      </c>
      <c r="R184" s="181"/>
      <c r="S184" s="181">
        <f>7801.127-1099.556</f>
        <v>6701.5709999999999</v>
      </c>
      <c r="T184" s="181"/>
      <c r="U184" s="181">
        <f t="shared" si="58"/>
        <v>6701.5709999999999</v>
      </c>
      <c r="AX184" s="165">
        <f t="shared" si="42"/>
        <v>45065.600694444445</v>
      </c>
      <c r="AY184" s="165">
        <f t="shared" si="43"/>
        <v>45074.864583333336</v>
      </c>
      <c r="AZ184" s="137">
        <f t="shared" si="44"/>
        <v>9.2638888888905058</v>
      </c>
      <c r="BA184" s="165">
        <v>45065.600694444445</v>
      </c>
      <c r="BB184" s="165">
        <v>45066.625</v>
      </c>
      <c r="BC184" s="165">
        <v>45068.902777777781</v>
      </c>
      <c r="BD184" s="165">
        <v>45069.100694444445</v>
      </c>
      <c r="BE184" s="165">
        <v>45069.236111111109</v>
      </c>
      <c r="BF184" s="165">
        <v>45069.25</v>
      </c>
      <c r="BG184" s="165">
        <v>45069.25</v>
      </c>
      <c r="BH184" s="165">
        <f t="shared" si="57"/>
        <v>45070.958333333336</v>
      </c>
      <c r="BI184" s="165">
        <v>45071.25</v>
      </c>
      <c r="BJ184" s="165">
        <v>45071.416666666664</v>
      </c>
      <c r="BK184" s="165">
        <v>45071.363888888889</v>
      </c>
      <c r="BL184" s="165">
        <v>45072.708333333336</v>
      </c>
      <c r="BM184" s="165">
        <v>45074.538194444445</v>
      </c>
      <c r="BN184" s="165">
        <v>45074.833333333336</v>
      </c>
      <c r="BO184" s="165">
        <v>45074.864583333336</v>
      </c>
      <c r="BP184" s="165">
        <v>45074.864583333336</v>
      </c>
      <c r="BQ184" s="165">
        <v>45074.864583333336</v>
      </c>
      <c r="BT184" s="136">
        <f t="shared" si="45"/>
        <v>54.666666666744277</v>
      </c>
      <c r="BU184" s="136">
        <f t="shared" si="46"/>
        <v>3.2499999999417923</v>
      </c>
      <c r="BV184" s="136">
        <f t="shared" si="47"/>
        <v>41.000000000058208</v>
      </c>
      <c r="BW184" s="136">
        <f t="shared" si="55"/>
        <v>31.000000000116415</v>
      </c>
      <c r="BX184" s="135">
        <f t="shared" si="48"/>
        <v>7.0833333333721384</v>
      </c>
      <c r="BY184" s="135">
        <f t="shared" si="49"/>
        <v>0</v>
      </c>
      <c r="BZ184" s="134">
        <f t="shared" si="50"/>
        <v>5.7083333333430346</v>
      </c>
      <c r="CA184" s="134">
        <f t="shared" si="51"/>
        <v>9.2638888888905058</v>
      </c>
      <c r="CB184" s="133">
        <f t="shared" si="52"/>
        <v>0.61619190404891566</v>
      </c>
    </row>
    <row r="185" spans="1:80">
      <c r="A185" s="119">
        <f t="shared" ref="A185:A191" si="59">BD185</f>
        <v>45076.451388888891</v>
      </c>
      <c r="B185" s="115" t="s">
        <v>228</v>
      </c>
      <c r="C185" s="115" t="s">
        <v>229</v>
      </c>
      <c r="D185" s="115" t="s">
        <v>215</v>
      </c>
      <c r="E185" s="77" t="s">
        <v>1689</v>
      </c>
      <c r="G185" s="299">
        <v>45085.958333333336</v>
      </c>
      <c r="H185" s="299">
        <v>45085.895833333336</v>
      </c>
      <c r="I185" s="115" t="s">
        <v>497</v>
      </c>
      <c r="J185" s="115" t="s">
        <v>192</v>
      </c>
      <c r="K185" s="115" t="s">
        <v>192</v>
      </c>
      <c r="L185" s="115" t="s">
        <v>1690</v>
      </c>
      <c r="N185" s="115" t="s">
        <v>343</v>
      </c>
      <c r="O185" s="115" t="s">
        <v>344</v>
      </c>
      <c r="P185" s="115" t="s">
        <v>1677</v>
      </c>
      <c r="Q185" s="117">
        <f>3136*2.4</f>
        <v>7526.4</v>
      </c>
      <c r="S185" s="117">
        <v>7461.3450000000003</v>
      </c>
      <c r="U185" s="117">
        <f t="shared" ref="U185:U191" si="60">S185*0.65</f>
        <v>4849.8742500000008</v>
      </c>
      <c r="V185" s="117">
        <f t="shared" ref="V185:V191" si="61">S185*0.35</f>
        <v>2611.47075</v>
      </c>
      <c r="AX185" s="251">
        <f t="shared" ref="AX185:AX191" si="62">BA185</f>
        <v>45070.375</v>
      </c>
      <c r="AY185" s="251">
        <f t="shared" ref="AY185:AY191" si="63">BQ185</f>
        <v>45087.270833333336</v>
      </c>
      <c r="AZ185" s="300">
        <f t="shared" ref="AZ185:AZ191" si="64">AY185-AX185</f>
        <v>16.895833333335759</v>
      </c>
      <c r="BA185" s="251">
        <v>45070.375</v>
      </c>
      <c r="BB185" s="251">
        <v>45071.576388888891</v>
      </c>
      <c r="BC185" s="251">
        <v>45073.465277777781</v>
      </c>
      <c r="BD185" s="251">
        <v>45076.451388888891</v>
      </c>
      <c r="BE185" s="251">
        <v>45076.625</v>
      </c>
      <c r="BF185" s="251">
        <v>45076.631944444445</v>
      </c>
      <c r="BG185" s="251">
        <v>45076.631944444445</v>
      </c>
      <c r="BH185" s="251">
        <f t="shared" ref="BH185:BH191" si="65">BG185+(41/24)</f>
        <v>45078.340277777781</v>
      </c>
      <c r="BI185" s="251">
        <v>45078.583333333336</v>
      </c>
      <c r="BJ185" s="251">
        <v>45078.75</v>
      </c>
      <c r="BK185" s="251">
        <v>45078.659722222219</v>
      </c>
      <c r="BL185" s="251">
        <v>45080.125</v>
      </c>
      <c r="BM185" s="251">
        <v>45087.059027777781</v>
      </c>
      <c r="BN185" s="251">
        <v>45087.270833333336</v>
      </c>
      <c r="BO185" s="251">
        <v>45087.270833333336</v>
      </c>
      <c r="BP185" s="251">
        <v>45087.270833333336</v>
      </c>
      <c r="BQ185" s="251">
        <v>45087.270833333336</v>
      </c>
      <c r="BR185" s="115"/>
      <c r="BS185" s="115"/>
      <c r="BT185" s="302">
        <f t="shared" ref="BT185:BT191" si="66">(BC185-BB185)*24</f>
        <v>45.333333333372138</v>
      </c>
      <c r="BU185" s="302">
        <f t="shared" ref="BU185:BU191" si="67">(BE185-BD185)*24</f>
        <v>4.1666666666278616</v>
      </c>
      <c r="BV185" s="302">
        <f t="shared" ref="BV185:BV191" si="68">(BH185-BG185)*24</f>
        <v>41.000000000058208</v>
      </c>
      <c r="BW185" s="302">
        <f t="shared" ref="BW185:BW191" si="69">(BL185-BJ185)*24</f>
        <v>33</v>
      </c>
      <c r="BX185" s="303">
        <f t="shared" ref="BX185:BX191" si="70">(BN185-BM185)*24</f>
        <v>5.0833333333139308</v>
      </c>
      <c r="BY185" s="303">
        <f t="shared" ref="BY185:BY191" si="71">(BQ185-BP185)*24</f>
        <v>0</v>
      </c>
      <c r="BZ185" s="304">
        <f t="shared" ref="BZ185:BZ191" si="72">SUM(BT185:BY185)/24</f>
        <v>5.3576388888905058</v>
      </c>
      <c r="CA185" s="304">
        <f t="shared" ref="CA185:CA191" si="73">AZ185</f>
        <v>16.895833333335759</v>
      </c>
      <c r="CB185" s="305">
        <f t="shared" ref="CB185:CB191" si="74">BZ185/CA185</f>
        <v>0.31709823263465764</v>
      </c>
    </row>
    <row r="186" spans="1:80" s="126" customFormat="1">
      <c r="A186" s="192">
        <f t="shared" si="59"/>
        <v>45076.652777777781</v>
      </c>
      <c r="B186" s="126" t="s">
        <v>228</v>
      </c>
      <c r="C186" s="126" t="s">
        <v>229</v>
      </c>
      <c r="D186" s="126" t="s">
        <v>197</v>
      </c>
      <c r="E186" s="65" t="s">
        <v>1689</v>
      </c>
      <c r="G186" s="73">
        <v>45085.958333333336</v>
      </c>
      <c r="H186" s="73">
        <v>45085.895833333336</v>
      </c>
      <c r="I186" s="126" t="s">
        <v>497</v>
      </c>
      <c r="J186" s="126" t="s">
        <v>192</v>
      </c>
      <c r="K186" s="126" t="s">
        <v>192</v>
      </c>
      <c r="L186" s="126" t="s">
        <v>1691</v>
      </c>
      <c r="M186" s="167"/>
      <c r="N186" s="126" t="s">
        <v>295</v>
      </c>
      <c r="O186" s="126" t="s">
        <v>296</v>
      </c>
      <c r="P186" s="126" t="s">
        <v>1677</v>
      </c>
      <c r="Q186" s="181">
        <f>4118*2.4</f>
        <v>9883.1999999999989</v>
      </c>
      <c r="R186" s="181"/>
      <c r="S186" s="181">
        <v>9821.1479999999992</v>
      </c>
      <c r="T186" s="181"/>
      <c r="U186" s="181">
        <f t="shared" si="60"/>
        <v>6383.7461999999996</v>
      </c>
      <c r="V186" s="181">
        <f t="shared" si="61"/>
        <v>3437.4017999999996</v>
      </c>
      <c r="AX186" s="165">
        <f t="shared" si="62"/>
        <v>45071.298611111109</v>
      </c>
      <c r="AY186" s="165">
        <f t="shared" si="63"/>
        <v>45088.237500000003</v>
      </c>
      <c r="AZ186" s="137">
        <f t="shared" si="64"/>
        <v>16.938888888893416</v>
      </c>
      <c r="BA186" s="165">
        <v>45071.298611111109</v>
      </c>
      <c r="BB186" s="165">
        <v>45071.811805555553</v>
      </c>
      <c r="BC186" s="165">
        <v>45073.708333333336</v>
      </c>
      <c r="BD186" s="165">
        <v>45076.652777777781</v>
      </c>
      <c r="BE186" s="165">
        <v>45076.930555555555</v>
      </c>
      <c r="BF186" s="165">
        <v>45076.934027777781</v>
      </c>
      <c r="BG186" s="165">
        <v>45076.934027777781</v>
      </c>
      <c r="BH186" s="165">
        <f t="shared" si="65"/>
        <v>45078.642361111117</v>
      </c>
      <c r="BI186" s="165">
        <v>45078.583333333336</v>
      </c>
      <c r="BJ186" s="165">
        <v>45078.75</v>
      </c>
      <c r="BK186" s="165">
        <v>45078.581250000003</v>
      </c>
      <c r="BL186" s="165">
        <v>45080.75</v>
      </c>
      <c r="BM186" s="165">
        <v>45087.375</v>
      </c>
      <c r="BN186" s="165">
        <v>45087.6875</v>
      </c>
      <c r="BO186" s="165">
        <v>45087.701388888891</v>
      </c>
      <c r="BP186" s="165">
        <v>45087.704861111109</v>
      </c>
      <c r="BQ186" s="165">
        <v>45088.237500000003</v>
      </c>
      <c r="BT186" s="136">
        <f t="shared" si="66"/>
        <v>45.516666666779201</v>
      </c>
      <c r="BU186" s="136">
        <f t="shared" si="67"/>
        <v>6.6666666665696539</v>
      </c>
      <c r="BV186" s="136">
        <f t="shared" si="68"/>
        <v>41.000000000058208</v>
      </c>
      <c r="BW186" s="136">
        <f t="shared" si="69"/>
        <v>48</v>
      </c>
      <c r="BX186" s="135">
        <f t="shared" si="70"/>
        <v>7.5</v>
      </c>
      <c r="BY186" s="135">
        <f t="shared" si="71"/>
        <v>12.783333333441988</v>
      </c>
      <c r="BZ186" s="134">
        <f t="shared" si="72"/>
        <v>6.7277777777853771</v>
      </c>
      <c r="CA186" s="134">
        <f t="shared" si="73"/>
        <v>16.938888888893416</v>
      </c>
      <c r="CB186" s="133">
        <f t="shared" si="74"/>
        <v>0.3971794030833205</v>
      </c>
    </row>
    <row r="187" spans="1:80" s="126" customFormat="1">
      <c r="A187" s="192">
        <f t="shared" si="59"/>
        <v>45076.954861111109</v>
      </c>
      <c r="B187" s="126" t="s">
        <v>228</v>
      </c>
      <c r="C187" s="126" t="s">
        <v>229</v>
      </c>
      <c r="D187" s="126" t="s">
        <v>197</v>
      </c>
      <c r="E187" s="65" t="s">
        <v>1689</v>
      </c>
      <c r="G187" s="73">
        <v>45085.958333333336</v>
      </c>
      <c r="H187" s="73">
        <v>45085.895833333336</v>
      </c>
      <c r="I187" s="126" t="s">
        <v>497</v>
      </c>
      <c r="J187" s="115" t="s">
        <v>192</v>
      </c>
      <c r="K187" s="115" t="s">
        <v>192</v>
      </c>
      <c r="L187" s="126" t="s">
        <v>1692</v>
      </c>
      <c r="M187" s="167"/>
      <c r="N187" s="126" t="s">
        <v>233</v>
      </c>
      <c r="O187" s="126" t="s">
        <v>234</v>
      </c>
      <c r="P187" s="126" t="s">
        <v>1677</v>
      </c>
      <c r="Q187" s="181">
        <f>3215*2.4</f>
        <v>7716</v>
      </c>
      <c r="R187" s="181"/>
      <c r="S187" s="181">
        <v>7560.0630000000001</v>
      </c>
      <c r="T187" s="181"/>
      <c r="U187" s="181">
        <f t="shared" si="60"/>
        <v>4914.0409500000005</v>
      </c>
      <c r="V187" s="181">
        <f t="shared" si="61"/>
        <v>2646.02205</v>
      </c>
      <c r="AX187" s="165">
        <f t="shared" si="62"/>
        <v>45071.041666666664</v>
      </c>
      <c r="AY187" s="165">
        <f t="shared" si="63"/>
        <v>45090.666666666664</v>
      </c>
      <c r="AZ187" s="137">
        <f t="shared" si="64"/>
        <v>19.625</v>
      </c>
      <c r="BA187" s="165">
        <v>45071.041666666664</v>
      </c>
      <c r="BB187" s="165">
        <v>45071.826388888891</v>
      </c>
      <c r="BC187" s="165">
        <v>45073.729166666664</v>
      </c>
      <c r="BD187" s="165">
        <v>45076.954861111109</v>
      </c>
      <c r="BE187" s="165">
        <v>45077.145833333336</v>
      </c>
      <c r="BF187" s="165">
        <v>45077.149305555555</v>
      </c>
      <c r="BG187" s="165">
        <v>45077.149305555555</v>
      </c>
      <c r="BH187" s="165">
        <f t="shared" si="65"/>
        <v>45078.857638888891</v>
      </c>
      <c r="BI187" s="165">
        <v>45079.583333333336</v>
      </c>
      <c r="BJ187" s="165">
        <v>45079.75</v>
      </c>
      <c r="BK187" s="165">
        <v>45079.635416666664</v>
      </c>
      <c r="BL187" s="165">
        <v>45081.229166666664</v>
      </c>
      <c r="BM187" s="165">
        <v>45089.256944444445</v>
      </c>
      <c r="BN187" s="165">
        <v>45089.541666666664</v>
      </c>
      <c r="BO187" s="165">
        <v>45089.875</v>
      </c>
      <c r="BP187" s="165">
        <v>45089.878472222219</v>
      </c>
      <c r="BQ187" s="165">
        <v>45090.666666666664</v>
      </c>
      <c r="BT187" s="136">
        <f t="shared" si="66"/>
        <v>45.666666666569654</v>
      </c>
      <c r="BU187" s="136">
        <f t="shared" si="67"/>
        <v>4.5833333334303461</v>
      </c>
      <c r="BV187" s="136">
        <f t="shared" si="68"/>
        <v>41.000000000058208</v>
      </c>
      <c r="BW187" s="136">
        <f t="shared" si="69"/>
        <v>35.499999999941792</v>
      </c>
      <c r="BX187" s="135">
        <f t="shared" si="70"/>
        <v>6.8333333332557231</v>
      </c>
      <c r="BY187" s="135">
        <f t="shared" si="71"/>
        <v>18.916666666686069</v>
      </c>
      <c r="BZ187" s="134">
        <f t="shared" si="72"/>
        <v>6.3541666666642413</v>
      </c>
      <c r="CA187" s="134">
        <f t="shared" si="73"/>
        <v>19.625</v>
      </c>
      <c r="CB187" s="133">
        <f t="shared" si="74"/>
        <v>0.32377919320582121</v>
      </c>
    </row>
    <row r="188" spans="1:80" s="126" customFormat="1">
      <c r="A188" s="192">
        <f t="shared" si="59"/>
        <v>45077.170138888891</v>
      </c>
      <c r="B188" s="126" t="s">
        <v>228</v>
      </c>
      <c r="C188" s="126" t="s">
        <v>229</v>
      </c>
      <c r="D188" s="126" t="s">
        <v>197</v>
      </c>
      <c r="E188" s="65" t="s">
        <v>1689</v>
      </c>
      <c r="G188" s="73">
        <v>45085.958333333336</v>
      </c>
      <c r="H188" s="73">
        <v>45085.895833333336</v>
      </c>
      <c r="I188" s="126" t="s">
        <v>497</v>
      </c>
      <c r="J188" s="126" t="s">
        <v>192</v>
      </c>
      <c r="K188" s="126" t="s">
        <v>192</v>
      </c>
      <c r="L188" s="126" t="s">
        <v>1693</v>
      </c>
      <c r="M188" s="167"/>
      <c r="N188" s="126" t="s">
        <v>260</v>
      </c>
      <c r="O188" s="126" t="s">
        <v>261</v>
      </c>
      <c r="P188" s="126" t="s">
        <v>1677</v>
      </c>
      <c r="Q188" s="181">
        <f>3107*2.4</f>
        <v>7456.7999999999993</v>
      </c>
      <c r="R188" s="181"/>
      <c r="S188" s="181">
        <v>7691.0219999999999</v>
      </c>
      <c r="T188" s="181"/>
      <c r="U188" s="181">
        <f t="shared" si="60"/>
        <v>4999.1643000000004</v>
      </c>
      <c r="V188" s="181">
        <f t="shared" si="61"/>
        <v>2691.8577</v>
      </c>
      <c r="AX188" s="165">
        <f t="shared" si="62"/>
        <v>45071.090277777781</v>
      </c>
      <c r="AY188" s="165">
        <f t="shared" si="63"/>
        <v>45089.652777777781</v>
      </c>
      <c r="AZ188" s="137">
        <f t="shared" si="64"/>
        <v>18.5625</v>
      </c>
      <c r="BA188" s="165">
        <v>45071.090277777781</v>
      </c>
      <c r="BB188" s="165">
        <v>45071.826388888891</v>
      </c>
      <c r="BC188" s="165">
        <v>45073.805555555555</v>
      </c>
      <c r="BD188" s="165">
        <v>45077.170138888891</v>
      </c>
      <c r="BE188" s="165">
        <v>45077.381944444445</v>
      </c>
      <c r="BF188" s="165">
        <v>45077.385416666664</v>
      </c>
      <c r="BG188" s="165">
        <v>45077.385416666664</v>
      </c>
      <c r="BH188" s="165">
        <f t="shared" si="65"/>
        <v>45079.09375</v>
      </c>
      <c r="BI188" s="165">
        <v>45079.583333333336</v>
      </c>
      <c r="BJ188" s="165">
        <v>45079.75</v>
      </c>
      <c r="BK188" s="165">
        <v>45079.604166666664</v>
      </c>
      <c r="BL188" s="165">
        <v>45081.118055555555</v>
      </c>
      <c r="BM188" s="165">
        <v>45088.725694444445</v>
      </c>
      <c r="BN188" s="165">
        <v>45088.972222222219</v>
      </c>
      <c r="BO188" s="165">
        <v>45089.180555555555</v>
      </c>
      <c r="BP188" s="165">
        <v>45089.184027777781</v>
      </c>
      <c r="BQ188" s="165">
        <v>45089.652777777781</v>
      </c>
      <c r="BT188" s="136">
        <f t="shared" si="66"/>
        <v>47.499999999941792</v>
      </c>
      <c r="BU188" s="136">
        <f t="shared" si="67"/>
        <v>5.0833333333139308</v>
      </c>
      <c r="BV188" s="136">
        <f t="shared" si="68"/>
        <v>41.000000000058208</v>
      </c>
      <c r="BW188" s="136">
        <f t="shared" si="69"/>
        <v>32.833333333313931</v>
      </c>
      <c r="BX188" s="135">
        <f t="shared" si="70"/>
        <v>5.9166666665696539</v>
      </c>
      <c r="BY188" s="135">
        <f t="shared" si="71"/>
        <v>11.25</v>
      </c>
      <c r="BZ188" s="134">
        <f t="shared" si="72"/>
        <v>5.9826388888832298</v>
      </c>
      <c r="CA188" s="134">
        <f t="shared" si="73"/>
        <v>18.5625</v>
      </c>
      <c r="CB188" s="133">
        <f t="shared" si="74"/>
        <v>0.32229704451896185</v>
      </c>
    </row>
    <row r="189" spans="1:80" s="126" customFormat="1">
      <c r="A189" s="192">
        <f t="shared" si="59"/>
        <v>45077.402777777781</v>
      </c>
      <c r="B189" s="126" t="s">
        <v>228</v>
      </c>
      <c r="C189" s="126" t="s">
        <v>229</v>
      </c>
      <c r="D189" s="126" t="s">
        <v>197</v>
      </c>
      <c r="E189" s="65" t="s">
        <v>1689</v>
      </c>
      <c r="G189" s="73">
        <v>45085.958333333336</v>
      </c>
      <c r="H189" s="73">
        <v>45085.895833333336</v>
      </c>
      <c r="I189" s="126" t="s">
        <v>497</v>
      </c>
      <c r="J189" s="115" t="s">
        <v>192</v>
      </c>
      <c r="K189" s="115" t="s">
        <v>192</v>
      </c>
      <c r="L189" s="126" t="s">
        <v>1694</v>
      </c>
      <c r="M189" s="167"/>
      <c r="N189" s="126" t="s">
        <v>406</v>
      </c>
      <c r="O189" s="126" t="s">
        <v>407</v>
      </c>
      <c r="P189" s="126" t="s">
        <v>1677</v>
      </c>
      <c r="Q189" s="181">
        <f>3107*2.4</f>
        <v>7456.7999999999993</v>
      </c>
      <c r="R189" s="181"/>
      <c r="S189" s="181">
        <v>7439.1480000000001</v>
      </c>
      <c r="T189" s="181"/>
      <c r="U189" s="181">
        <f t="shared" si="60"/>
        <v>4835.4462000000003</v>
      </c>
      <c r="V189" s="181">
        <f t="shared" si="61"/>
        <v>2603.7017999999998</v>
      </c>
      <c r="AX189" s="165">
        <f t="shared" si="62"/>
        <v>45072.003472222219</v>
      </c>
      <c r="AY189" s="165">
        <f t="shared" si="63"/>
        <v>45089.089583333334</v>
      </c>
      <c r="AZ189" s="137">
        <f t="shared" si="64"/>
        <v>17.086111111115315</v>
      </c>
      <c r="BA189" s="165">
        <v>45072.003472222219</v>
      </c>
      <c r="BB189" s="165">
        <v>45072.826388888891</v>
      </c>
      <c r="BC189" s="165">
        <v>45074.350694444445</v>
      </c>
      <c r="BD189" s="165">
        <v>45077.402777777781</v>
      </c>
      <c r="BE189" s="165">
        <v>45077.548611111109</v>
      </c>
      <c r="BF189" s="165">
        <v>45077.552083333336</v>
      </c>
      <c r="BG189" s="165">
        <v>45077.552083333336</v>
      </c>
      <c r="BH189" s="165">
        <f t="shared" si="65"/>
        <v>45079.260416666672</v>
      </c>
      <c r="BI189" s="165">
        <v>45079.583333333336</v>
      </c>
      <c r="BJ189" s="165">
        <v>45079.75</v>
      </c>
      <c r="BK189" s="165">
        <v>45079.631944444445</v>
      </c>
      <c r="BL189" s="165">
        <v>45080.940972222219</v>
      </c>
      <c r="BM189" s="165">
        <v>45088.024305555555</v>
      </c>
      <c r="BN189" s="165">
        <v>45088.618055555555</v>
      </c>
      <c r="BO189" s="165">
        <v>45088.631944444445</v>
      </c>
      <c r="BP189" s="165">
        <v>45088.635416666664</v>
      </c>
      <c r="BQ189" s="165">
        <v>45089.089583333334</v>
      </c>
      <c r="BT189" s="136">
        <f t="shared" si="66"/>
        <v>36.583333333313931</v>
      </c>
      <c r="BU189" s="136">
        <f t="shared" si="67"/>
        <v>3.4999999998835847</v>
      </c>
      <c r="BV189" s="136">
        <f t="shared" si="68"/>
        <v>41.000000000058208</v>
      </c>
      <c r="BW189" s="136">
        <f t="shared" si="69"/>
        <v>28.583333333255723</v>
      </c>
      <c r="BX189" s="135">
        <f t="shared" si="70"/>
        <v>14.25</v>
      </c>
      <c r="BY189" s="135">
        <f t="shared" si="71"/>
        <v>10.900000000081491</v>
      </c>
      <c r="BZ189" s="134">
        <f t="shared" si="72"/>
        <v>5.617361111108039</v>
      </c>
      <c r="CA189" s="134">
        <f t="shared" si="73"/>
        <v>17.086111111115315</v>
      </c>
      <c r="CB189" s="133">
        <f t="shared" si="74"/>
        <v>0.32876768005176338</v>
      </c>
    </row>
    <row r="190" spans="1:80" s="126" customFormat="1">
      <c r="A190" s="192">
        <f t="shared" si="59"/>
        <v>45077.579861111109</v>
      </c>
      <c r="B190" s="126" t="s">
        <v>228</v>
      </c>
      <c r="C190" s="126" t="s">
        <v>229</v>
      </c>
      <c r="D190" s="126" t="s">
        <v>197</v>
      </c>
      <c r="E190" s="65" t="s">
        <v>1689</v>
      </c>
      <c r="G190" s="73">
        <v>45085.958333333336</v>
      </c>
      <c r="H190" s="73">
        <v>45085.895833333336</v>
      </c>
      <c r="I190" s="126" t="s">
        <v>497</v>
      </c>
      <c r="J190" s="115" t="s">
        <v>192</v>
      </c>
      <c r="K190" s="115" t="s">
        <v>192</v>
      </c>
      <c r="L190" s="126" t="s">
        <v>1695</v>
      </c>
      <c r="M190" s="167"/>
      <c r="N190" s="126" t="s">
        <v>367</v>
      </c>
      <c r="O190" s="126" t="s">
        <v>368</v>
      </c>
      <c r="P190" s="126" t="s">
        <v>1677</v>
      </c>
      <c r="Q190" s="181">
        <f>4111*2.4</f>
        <v>9866.4</v>
      </c>
      <c r="R190" s="181"/>
      <c r="S190" s="181">
        <v>9995.0709999999999</v>
      </c>
      <c r="T190" s="181"/>
      <c r="U190" s="181">
        <f t="shared" si="60"/>
        <v>6496.7961500000001</v>
      </c>
      <c r="V190" s="181">
        <f t="shared" si="61"/>
        <v>3498.2748499999998</v>
      </c>
      <c r="AX190" s="165">
        <f t="shared" si="62"/>
        <v>45072.045138888891</v>
      </c>
      <c r="AY190" s="165">
        <f t="shared" si="63"/>
        <v>45091.097222222219</v>
      </c>
      <c r="AZ190" s="137">
        <f t="shared" si="64"/>
        <v>19.052083333328483</v>
      </c>
      <c r="BA190" s="165">
        <v>45072.045138888891</v>
      </c>
      <c r="BB190" s="165">
        <v>45073.604166666664</v>
      </c>
      <c r="BC190" s="165">
        <v>45075.472222222219</v>
      </c>
      <c r="BD190" s="165">
        <v>45077.579861111109</v>
      </c>
      <c r="BE190" s="165">
        <v>45077.762499999997</v>
      </c>
      <c r="BF190" s="165">
        <v>45077.763888888891</v>
      </c>
      <c r="BG190" s="165">
        <v>45078.284722222219</v>
      </c>
      <c r="BH190" s="165">
        <f t="shared" si="65"/>
        <v>45079.993055555555</v>
      </c>
      <c r="BI190" s="165">
        <v>45080.229166666664</v>
      </c>
      <c r="BJ190" s="165">
        <v>45080.395833333328</v>
      </c>
      <c r="BK190" s="165">
        <v>45079.652777777781</v>
      </c>
      <c r="BL190" s="165">
        <v>45081.486111111109</v>
      </c>
      <c r="BM190" s="165">
        <v>45089.940972222219</v>
      </c>
      <c r="BN190" s="165">
        <v>45090.5</v>
      </c>
      <c r="BO190" s="165">
        <v>45090.527777777781</v>
      </c>
      <c r="BP190" s="165">
        <v>45090.53125</v>
      </c>
      <c r="BQ190" s="165">
        <v>45091.097222222219</v>
      </c>
      <c r="BT190" s="136">
        <f t="shared" si="66"/>
        <v>44.833333333313931</v>
      </c>
      <c r="BU190" s="136">
        <f t="shared" si="67"/>
        <v>4.3833333333022892</v>
      </c>
      <c r="BV190" s="136">
        <f t="shared" si="68"/>
        <v>41.000000000058208</v>
      </c>
      <c r="BW190" s="136">
        <f t="shared" si="69"/>
        <v>26.166666666744277</v>
      </c>
      <c r="BX190" s="135">
        <f t="shared" si="70"/>
        <v>13.416666666744277</v>
      </c>
      <c r="BY190" s="135">
        <f t="shared" si="71"/>
        <v>13.583333333255723</v>
      </c>
      <c r="BZ190" s="134">
        <f t="shared" si="72"/>
        <v>5.9743055555591127</v>
      </c>
      <c r="CA190" s="134">
        <f t="shared" si="73"/>
        <v>19.052083333328483</v>
      </c>
      <c r="CB190" s="133">
        <f t="shared" si="74"/>
        <v>0.31357754692937168</v>
      </c>
    </row>
    <row r="191" spans="1:80" s="126" customFormat="1">
      <c r="A191" s="192">
        <f t="shared" si="59"/>
        <v>45077.809027777781</v>
      </c>
      <c r="B191" s="126" t="s">
        <v>228</v>
      </c>
      <c r="C191" s="126" t="s">
        <v>229</v>
      </c>
      <c r="D191" s="126" t="s">
        <v>215</v>
      </c>
      <c r="E191" s="65" t="s">
        <v>1689</v>
      </c>
      <c r="F191" s="65" t="s">
        <v>1548</v>
      </c>
      <c r="G191" s="73">
        <v>45085.958333333336</v>
      </c>
      <c r="H191" s="73">
        <v>45085.895833333336</v>
      </c>
      <c r="I191" s="126" t="s">
        <v>497</v>
      </c>
      <c r="J191" s="115" t="s">
        <v>192</v>
      </c>
      <c r="K191" s="115" t="s">
        <v>192</v>
      </c>
      <c r="L191" s="126" t="s">
        <v>1696</v>
      </c>
      <c r="M191" s="167"/>
      <c r="N191" s="126" t="s">
        <v>422</v>
      </c>
      <c r="O191" s="126" t="s">
        <v>275</v>
      </c>
      <c r="P191" s="126" t="s">
        <v>1677</v>
      </c>
      <c r="Q191" s="181">
        <f>3097*2.4</f>
        <v>7432.7999999999993</v>
      </c>
      <c r="R191" s="181"/>
      <c r="S191" s="181">
        <v>7561.0879999999997</v>
      </c>
      <c r="T191" s="181"/>
      <c r="U191" s="181">
        <f t="shared" si="60"/>
        <v>4914.7071999999998</v>
      </c>
      <c r="V191" s="181">
        <f t="shared" si="61"/>
        <v>2646.3807999999999</v>
      </c>
      <c r="AX191" s="165">
        <f t="shared" si="62"/>
        <v>45071.486111111109</v>
      </c>
      <c r="AY191" s="165">
        <f t="shared" si="63"/>
        <v>45087.944444444445</v>
      </c>
      <c r="AZ191" s="137">
        <f t="shared" si="64"/>
        <v>16.458333333335759</v>
      </c>
      <c r="BA191" s="165">
        <v>45071.486111111109</v>
      </c>
      <c r="BB191" s="165">
        <v>45072.805555555555</v>
      </c>
      <c r="BC191" s="165">
        <v>45074.444444444445</v>
      </c>
      <c r="BD191" s="165">
        <v>45077.809027777781</v>
      </c>
      <c r="BE191" s="165">
        <v>45077.958333333336</v>
      </c>
      <c r="BF191" s="165">
        <v>45077.961805555555</v>
      </c>
      <c r="BG191" s="165">
        <v>45077.961805555555</v>
      </c>
      <c r="BH191" s="165">
        <f t="shared" si="65"/>
        <v>45079.670138888891</v>
      </c>
      <c r="BI191" s="165">
        <v>45079.583333333336</v>
      </c>
      <c r="BJ191" s="165">
        <v>45079.75</v>
      </c>
      <c r="BK191" s="165">
        <v>45079.579861111109</v>
      </c>
      <c r="BL191" s="165">
        <v>45080.770833333336</v>
      </c>
      <c r="BM191" s="165">
        <v>45087.753472222219</v>
      </c>
      <c r="BN191" s="165">
        <v>45087.934027777781</v>
      </c>
      <c r="BO191" s="165">
        <v>45087.934027777781</v>
      </c>
      <c r="BP191" s="165">
        <v>45087.934027777781</v>
      </c>
      <c r="BQ191" s="165">
        <v>45087.944444444445</v>
      </c>
      <c r="BT191" s="136">
        <f t="shared" si="66"/>
        <v>39.333333333372138</v>
      </c>
      <c r="BU191" s="136">
        <f t="shared" si="67"/>
        <v>3.5833333333139308</v>
      </c>
      <c r="BV191" s="136">
        <f t="shared" si="68"/>
        <v>41.000000000058208</v>
      </c>
      <c r="BW191" s="136">
        <f t="shared" si="69"/>
        <v>24.500000000058208</v>
      </c>
      <c r="BX191" s="135">
        <f t="shared" si="70"/>
        <v>4.3333333334885538</v>
      </c>
      <c r="BY191" s="135">
        <f t="shared" si="71"/>
        <v>0.24999999994179234</v>
      </c>
      <c r="BZ191" s="134">
        <f t="shared" si="72"/>
        <v>4.7083333333430346</v>
      </c>
      <c r="CA191" s="134">
        <f t="shared" si="73"/>
        <v>16.458333333335759</v>
      </c>
      <c r="CB191" s="133">
        <f t="shared" si="74"/>
        <v>0.28607594936763592</v>
      </c>
    </row>
    <row r="192" spans="1:80" s="126" customFormat="1">
      <c r="A192" s="168"/>
      <c r="G192" s="166"/>
      <c r="H192" s="166"/>
      <c r="I192" s="181"/>
      <c r="M192" s="167"/>
      <c r="Q192" s="181"/>
      <c r="R192" s="181"/>
      <c r="S192" s="191">
        <f>SUM(S4:S191)</f>
        <v>1288475.8449999997</v>
      </c>
      <c r="T192" s="191">
        <f t="shared" ref="T192:AW192" si="75">SUM(T4:T191)</f>
        <v>0</v>
      </c>
      <c r="U192" s="191">
        <f t="shared" si="75"/>
        <v>192037.33689999999</v>
      </c>
      <c r="V192" s="191">
        <f t="shared" si="75"/>
        <v>96519.932099999991</v>
      </c>
      <c r="W192" s="191">
        <f t="shared" si="75"/>
        <v>0</v>
      </c>
      <c r="X192" s="191">
        <f t="shared" si="75"/>
        <v>272262.04009996541</v>
      </c>
      <c r="Y192" s="191">
        <f t="shared" si="75"/>
        <v>250492.78290003457</v>
      </c>
      <c r="Z192" s="191">
        <f t="shared" si="75"/>
        <v>83340.055000000008</v>
      </c>
      <c r="AA192" s="191">
        <f t="shared" si="75"/>
        <v>22720.561000000002</v>
      </c>
      <c r="AB192" s="191">
        <f t="shared" si="75"/>
        <v>7308.6189999999997</v>
      </c>
      <c r="AC192" s="191">
        <f t="shared" si="75"/>
        <v>0</v>
      </c>
      <c r="AD192" s="191">
        <f t="shared" si="75"/>
        <v>70533.396999999997</v>
      </c>
      <c r="AE192" s="191">
        <f t="shared" si="75"/>
        <v>2663.634</v>
      </c>
      <c r="AF192" s="191">
        <f t="shared" si="75"/>
        <v>0</v>
      </c>
      <c r="AG192" s="191">
        <f t="shared" si="75"/>
        <v>0</v>
      </c>
      <c r="AH192" s="191">
        <f t="shared" si="75"/>
        <v>24562.652000000002</v>
      </c>
      <c r="AI192" s="191">
        <f t="shared" si="75"/>
        <v>36375</v>
      </c>
      <c r="AJ192" s="191">
        <f t="shared" si="75"/>
        <v>0</v>
      </c>
      <c r="AK192" s="191">
        <f t="shared" si="75"/>
        <v>23155.353999999999</v>
      </c>
      <c r="AL192" s="191">
        <f t="shared" si="75"/>
        <v>45000</v>
      </c>
      <c r="AM192" s="191">
        <f t="shared" si="75"/>
        <v>22518</v>
      </c>
      <c r="AN192" s="191">
        <f t="shared" si="75"/>
        <v>0</v>
      </c>
      <c r="AO192" s="191">
        <f t="shared" si="75"/>
        <v>30000</v>
      </c>
      <c r="AP192" s="191">
        <f t="shared" si="75"/>
        <v>0</v>
      </c>
      <c r="AQ192" s="191">
        <f t="shared" si="75"/>
        <v>0</v>
      </c>
      <c r="AR192" s="191">
        <f t="shared" si="75"/>
        <v>10641</v>
      </c>
      <c r="AS192" s="191">
        <f t="shared" si="75"/>
        <v>0</v>
      </c>
      <c r="AT192" s="191">
        <f t="shared" si="75"/>
        <v>67793.968999999997</v>
      </c>
      <c r="AU192" s="191">
        <f t="shared" si="75"/>
        <v>30551.511999999999</v>
      </c>
      <c r="AV192" s="191">
        <f t="shared" si="75"/>
        <v>0</v>
      </c>
      <c r="AW192" s="191">
        <f t="shared" si="75"/>
        <v>0</v>
      </c>
      <c r="AX192" s="165"/>
      <c r="AY192" s="165"/>
      <c r="AZ192" s="165"/>
      <c r="BA192" s="165"/>
      <c r="BB192" s="165"/>
      <c r="BC192" s="165"/>
      <c r="BD192" s="165"/>
      <c r="BE192" s="165"/>
      <c r="BF192" s="165"/>
      <c r="BG192" s="165"/>
      <c r="BH192" s="165"/>
      <c r="BI192" s="165"/>
      <c r="BJ192" s="165"/>
      <c r="BK192" s="165"/>
      <c r="BL192" s="165"/>
      <c r="BM192" s="165"/>
      <c r="BN192" s="165"/>
      <c r="BO192" s="165"/>
      <c r="BP192" s="165"/>
      <c r="BQ192" s="165"/>
      <c r="BT192" s="136"/>
      <c r="BU192" s="136"/>
      <c r="BV192" s="136"/>
      <c r="BW192" s="136"/>
      <c r="BX192" s="135"/>
      <c r="BY192" s="135"/>
      <c r="BZ192" s="165"/>
      <c r="CA192" s="165"/>
    </row>
  </sheetData>
  <autoFilter ref="A1:L191" xr:uid="{00000000-0009-0000-0000-00000A000000}">
    <filterColumn colId="4" showButton="0"/>
  </autoFilter>
  <mergeCells count="53">
    <mergeCell ref="M1:M2"/>
    <mergeCell ref="A1:A2"/>
    <mergeCell ref="B1:B2"/>
    <mergeCell ref="C1:C2"/>
    <mergeCell ref="D1:D2"/>
    <mergeCell ref="E1:F2"/>
    <mergeCell ref="G1:G2"/>
    <mergeCell ref="H1:H2"/>
    <mergeCell ref="I1:I2"/>
    <mergeCell ref="J1:J2"/>
    <mergeCell ref="K1:K2"/>
    <mergeCell ref="L1:L2"/>
    <mergeCell ref="AX1:AX2"/>
    <mergeCell ref="N1:N2"/>
    <mergeCell ref="O1:O2"/>
    <mergeCell ref="P1:P2"/>
    <mergeCell ref="Q1:Q2"/>
    <mergeCell ref="R1:R2"/>
    <mergeCell ref="S1:S2"/>
    <mergeCell ref="U1:W1"/>
    <mergeCell ref="X1:Y1"/>
    <mergeCell ref="Z1:AA1"/>
    <mergeCell ref="AD1:AH1"/>
    <mergeCell ref="AI1:AW1"/>
    <mergeCell ref="BJ1:BJ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W1:BW2"/>
    <mergeCell ref="BK1:BK2"/>
    <mergeCell ref="BL1:BL2"/>
    <mergeCell ref="BM1:BM2"/>
    <mergeCell ref="BN1:BN2"/>
    <mergeCell ref="BO1:BO2"/>
    <mergeCell ref="BP1:BP2"/>
    <mergeCell ref="BQ1:BQ2"/>
    <mergeCell ref="BR1:BR2"/>
    <mergeCell ref="BT1:BT2"/>
    <mergeCell ref="BU1:BU2"/>
    <mergeCell ref="BV1:BV2"/>
    <mergeCell ref="BX1:BX2"/>
    <mergeCell ref="BY1:BY2"/>
    <mergeCell ref="BZ1:BZ2"/>
    <mergeCell ref="CA1:CA2"/>
    <mergeCell ref="CB1:CB2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2:BD509"/>
  <sheetViews>
    <sheetView topLeftCell="A504" zoomScaleNormal="100" workbookViewId="0">
      <selection activeCell="A3" sqref="A3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1.44140625" style="56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16384" width="9.33203125" style="39"/>
  </cols>
  <sheetData>
    <row r="2" spans="2:52">
      <c r="B2" s="28" t="s">
        <v>126</v>
      </c>
      <c r="C2" s="28"/>
      <c r="D2" s="29"/>
      <c r="E2" s="30" t="s">
        <v>511</v>
      </c>
      <c r="F2" s="31" t="s">
        <v>1269</v>
      </c>
      <c r="G2" s="32"/>
      <c r="H2" s="33"/>
      <c r="I2" s="34"/>
      <c r="J2" s="35" t="s">
        <v>513</v>
      </c>
      <c r="K2" s="36" t="s">
        <v>511</v>
      </c>
      <c r="L2" s="37">
        <v>45044.715277777781</v>
      </c>
      <c r="M2" s="32"/>
      <c r="N2" s="32"/>
      <c r="O2" s="206"/>
      <c r="P2" s="205"/>
      <c r="Q2" s="202"/>
      <c r="R2" s="204"/>
      <c r="S2" s="38"/>
      <c r="T2" s="201"/>
      <c r="U2" s="201"/>
      <c r="V2" s="201"/>
      <c r="W2" s="201"/>
      <c r="X2" s="201"/>
      <c r="Y2" s="201"/>
      <c r="Z2" s="201"/>
      <c r="AA2" s="201"/>
      <c r="AB2" s="202"/>
      <c r="AC2" s="202"/>
      <c r="AD2" s="202"/>
      <c r="AE2" s="202"/>
      <c r="AF2" s="202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</row>
    <row r="3" spans="2:52">
      <c r="B3" s="35" t="s">
        <v>514</v>
      </c>
      <c r="C3" s="35"/>
      <c r="D3" s="32"/>
      <c r="E3" s="36" t="s">
        <v>511</v>
      </c>
      <c r="F3" s="37" t="s">
        <v>1426</v>
      </c>
      <c r="G3" s="32"/>
      <c r="H3" s="33"/>
      <c r="I3" s="34"/>
      <c r="J3" s="35" t="s">
        <v>516</v>
      </c>
      <c r="K3" s="36" t="s">
        <v>511</v>
      </c>
      <c r="L3" s="37">
        <v>45047.017361111109</v>
      </c>
      <c r="M3" s="32"/>
      <c r="N3" s="32"/>
      <c r="O3" s="206"/>
      <c r="P3" s="205"/>
      <c r="Q3" s="202"/>
      <c r="R3" s="204"/>
      <c r="S3" s="38"/>
      <c r="T3" s="201"/>
      <c r="U3" s="201"/>
      <c r="V3" s="201"/>
      <c r="W3" s="201"/>
      <c r="X3" s="201"/>
      <c r="Y3" s="201"/>
      <c r="Z3" s="201"/>
      <c r="AA3" s="201"/>
      <c r="AB3" s="202"/>
      <c r="AC3" s="202"/>
      <c r="AD3" s="202"/>
      <c r="AE3" s="202"/>
      <c r="AF3" s="202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</row>
    <row r="4" spans="2:52">
      <c r="B4" s="35" t="s">
        <v>517</v>
      </c>
      <c r="C4" s="35"/>
      <c r="D4" s="32"/>
      <c r="E4" s="36" t="s">
        <v>511</v>
      </c>
      <c r="F4" s="37">
        <v>45039.548611111109</v>
      </c>
      <c r="G4" s="32"/>
      <c r="H4" s="33"/>
      <c r="I4" s="34"/>
      <c r="J4" s="35" t="s">
        <v>518</v>
      </c>
      <c r="K4" s="36" t="s">
        <v>511</v>
      </c>
      <c r="L4" s="50">
        <v>66700</v>
      </c>
      <c r="M4" s="40" t="s">
        <v>519</v>
      </c>
      <c r="N4" s="40"/>
      <c r="O4" s="206"/>
      <c r="P4" s="205"/>
      <c r="Q4" s="202"/>
      <c r="R4" s="204"/>
      <c r="S4" s="38"/>
      <c r="T4" s="201"/>
      <c r="U4" s="201"/>
      <c r="V4" s="201"/>
      <c r="W4" s="201"/>
      <c r="X4" s="201"/>
      <c r="Y4" s="201"/>
      <c r="Z4" s="201"/>
      <c r="AA4" s="201"/>
      <c r="AB4" s="202"/>
      <c r="AC4" s="202"/>
      <c r="AD4" s="202"/>
      <c r="AE4" s="202"/>
      <c r="AF4" s="202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</row>
    <row r="5" spans="2:52">
      <c r="B5" s="35" t="s">
        <v>520</v>
      </c>
      <c r="C5" s="35"/>
      <c r="D5" s="32"/>
      <c r="E5" s="36" t="s">
        <v>511</v>
      </c>
      <c r="F5" s="37" t="s">
        <v>12</v>
      </c>
      <c r="G5" s="32"/>
      <c r="H5" s="33"/>
      <c r="I5" s="34"/>
      <c r="J5" s="35" t="s">
        <v>521</v>
      </c>
      <c r="K5" s="36" t="s">
        <v>511</v>
      </c>
      <c r="L5" s="41" t="s">
        <v>1697</v>
      </c>
      <c r="M5" s="32"/>
      <c r="N5" s="32"/>
      <c r="O5" s="206"/>
      <c r="P5" s="202"/>
      <c r="Q5" s="202"/>
      <c r="R5" s="204"/>
      <c r="S5" s="38"/>
      <c r="T5" s="201"/>
      <c r="U5" s="201"/>
      <c r="V5" s="201"/>
      <c r="W5" s="201"/>
      <c r="X5" s="201"/>
      <c r="Y5" s="201"/>
      <c r="Z5" s="201"/>
      <c r="AA5" s="201"/>
      <c r="AB5" s="202"/>
      <c r="AC5" s="202"/>
      <c r="AD5" s="202"/>
      <c r="AE5" s="202"/>
      <c r="AF5" s="202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</row>
    <row r="6" spans="2:52">
      <c r="B6" s="35" t="s">
        <v>523</v>
      </c>
      <c r="C6" s="35"/>
      <c r="D6" s="32"/>
      <c r="E6" s="36" t="s">
        <v>511</v>
      </c>
      <c r="F6" s="37" t="s">
        <v>41</v>
      </c>
      <c r="G6" s="32"/>
      <c r="H6" s="33"/>
      <c r="I6" s="34"/>
      <c r="J6" s="42" t="s">
        <v>524</v>
      </c>
      <c r="K6" s="36" t="s">
        <v>511</v>
      </c>
      <c r="L6" s="43" t="s">
        <v>15</v>
      </c>
      <c r="M6" s="44"/>
      <c r="N6" s="44"/>
      <c r="O6" s="206"/>
      <c r="P6" s="205"/>
      <c r="Q6" s="202"/>
      <c r="R6" s="204"/>
      <c r="S6" s="38"/>
      <c r="T6" s="201"/>
      <c r="U6" s="201"/>
      <c r="V6" s="201"/>
      <c r="W6" s="201"/>
      <c r="X6" s="201"/>
      <c r="Y6" s="201"/>
      <c r="Z6" s="201"/>
      <c r="AA6" s="201"/>
      <c r="AB6" s="202"/>
      <c r="AC6" s="202"/>
      <c r="AD6" s="202"/>
      <c r="AE6" s="202"/>
      <c r="AF6" s="202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</row>
    <row r="7" spans="2:52">
      <c r="B7" s="35" t="s">
        <v>2</v>
      </c>
      <c r="C7" s="35"/>
      <c r="D7" s="32"/>
      <c r="E7" s="36" t="s">
        <v>511</v>
      </c>
      <c r="F7" s="37" t="s">
        <v>14</v>
      </c>
      <c r="G7" s="32"/>
      <c r="H7" s="33"/>
      <c r="I7" s="45"/>
      <c r="J7" s="42"/>
      <c r="K7" s="36"/>
      <c r="L7" s="211"/>
      <c r="M7" s="201"/>
      <c r="N7" s="201"/>
      <c r="O7" s="42"/>
      <c r="P7" s="44"/>
      <c r="Q7" s="44"/>
      <c r="R7" s="44"/>
      <c r="S7" s="34"/>
      <c r="T7" s="201"/>
      <c r="U7" s="201"/>
      <c r="V7" s="201"/>
      <c r="W7" s="201"/>
      <c r="X7" s="201"/>
      <c r="Y7" s="201"/>
      <c r="Z7" s="201"/>
      <c r="AA7" s="201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</row>
    <row r="8" spans="2:52">
      <c r="B8" s="201"/>
      <c r="C8" s="201"/>
      <c r="D8" s="201"/>
      <c r="E8" s="201"/>
      <c r="F8" s="201"/>
      <c r="G8" s="201"/>
      <c r="H8" s="201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65" t="s">
        <v>87</v>
      </c>
      <c r="U8" s="1265"/>
      <c r="V8" s="1265"/>
      <c r="W8" s="1265"/>
      <c r="X8" s="1265"/>
      <c r="Y8" s="1265" t="s">
        <v>73</v>
      </c>
      <c r="Z8" s="1265"/>
      <c r="AA8" s="1265"/>
      <c r="AB8" s="1265" t="s">
        <v>74</v>
      </c>
      <c r="AC8" s="1265"/>
      <c r="AD8" s="423" t="s">
        <v>85</v>
      </c>
      <c r="AE8" s="423" t="s">
        <v>77</v>
      </c>
      <c r="AF8" s="1265" t="s">
        <v>525</v>
      </c>
      <c r="AG8" s="1265"/>
      <c r="AH8" s="1265"/>
      <c r="AI8" s="1265"/>
      <c r="AJ8" s="1265"/>
      <c r="AK8" s="1265"/>
      <c r="AL8" s="1265"/>
      <c r="AM8" s="1265"/>
      <c r="AN8" s="1265"/>
      <c r="AO8" s="1265"/>
      <c r="AP8" s="1265"/>
      <c r="AQ8" s="1265"/>
      <c r="AR8" s="1265"/>
      <c r="AS8" s="1265"/>
      <c r="AT8" s="1265"/>
      <c r="AU8" s="1265"/>
      <c r="AV8" s="1265"/>
      <c r="AW8" s="1265"/>
      <c r="AX8" s="1265"/>
      <c r="AY8" s="1265"/>
      <c r="AZ8" s="201"/>
    </row>
    <row r="9" spans="2:52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408" t="str">
        <f>"On time - "&amp;COUNTIF(N10:N22,"On time")&amp;" from "&amp;ROWS(N10:N22)-COUNTIF(N10:N22," ")</f>
        <v>On time - 0 from 10</v>
      </c>
      <c r="O9" s="46"/>
      <c r="P9" s="409" t="s">
        <v>534</v>
      </c>
      <c r="Q9" s="409" t="s">
        <v>535</v>
      </c>
      <c r="R9" s="409" t="s">
        <v>536</v>
      </c>
      <c r="S9" s="32"/>
      <c r="T9" s="424" t="s">
        <v>537</v>
      </c>
      <c r="U9" s="424" t="s">
        <v>538</v>
      </c>
      <c r="V9" s="424" t="s">
        <v>539</v>
      </c>
      <c r="W9" s="424" t="s">
        <v>540</v>
      </c>
      <c r="X9" s="424" t="s">
        <v>541</v>
      </c>
      <c r="Y9" s="424" t="s">
        <v>167</v>
      </c>
      <c r="Z9" s="424" t="s">
        <v>168</v>
      </c>
      <c r="AA9" s="424" t="s">
        <v>169</v>
      </c>
      <c r="AB9" s="424" t="s">
        <v>235</v>
      </c>
      <c r="AC9" s="424" t="s">
        <v>240</v>
      </c>
      <c r="AD9" s="423" t="s">
        <v>85</v>
      </c>
      <c r="AE9" s="424" t="s">
        <v>139</v>
      </c>
      <c r="AF9" s="424" t="s">
        <v>72</v>
      </c>
      <c r="AG9" s="424" t="s">
        <v>88</v>
      </c>
      <c r="AH9" s="424" t="s">
        <v>75</v>
      </c>
      <c r="AI9" s="424" t="s">
        <v>543</v>
      </c>
      <c r="AJ9" s="424" t="s">
        <v>78</v>
      </c>
      <c r="AK9" s="424" t="s">
        <v>76</v>
      </c>
      <c r="AL9" s="424" t="s">
        <v>544</v>
      </c>
      <c r="AM9" s="424" t="s">
        <v>545</v>
      </c>
      <c r="AN9" s="424" t="s">
        <v>86</v>
      </c>
      <c r="AO9" s="424" t="s">
        <v>83</v>
      </c>
      <c r="AP9" s="424" t="s">
        <v>84</v>
      </c>
      <c r="AQ9" s="424" t="s">
        <v>546</v>
      </c>
      <c r="AR9" s="424" t="s">
        <v>81</v>
      </c>
      <c r="AS9" s="424" t="s">
        <v>80</v>
      </c>
      <c r="AT9" s="424" t="s">
        <v>82</v>
      </c>
      <c r="AU9" s="424" t="s">
        <v>181</v>
      </c>
      <c r="AV9" s="424" t="s">
        <v>183</v>
      </c>
      <c r="AW9" s="424" t="s">
        <v>547</v>
      </c>
      <c r="AX9" s="424" t="s">
        <v>182</v>
      </c>
      <c r="AY9" s="424" t="s">
        <v>172</v>
      </c>
      <c r="AZ9" s="201"/>
    </row>
    <row r="10" spans="2:52">
      <c r="B10" s="1250" t="s">
        <v>1698</v>
      </c>
      <c r="C10" s="1251"/>
      <c r="D10" s="411" t="s">
        <v>1275</v>
      </c>
      <c r="E10" s="411"/>
      <c r="F10" s="411" t="s">
        <v>323</v>
      </c>
      <c r="G10" s="411" t="s">
        <v>324</v>
      </c>
      <c r="H10" s="412">
        <v>3660.09</v>
      </c>
      <c r="I10" s="413" t="s">
        <v>235</v>
      </c>
      <c r="J10" s="414">
        <v>45042.909722222219</v>
      </c>
      <c r="K10" s="414"/>
      <c r="L10" s="414" t="s">
        <v>192</v>
      </c>
      <c r="M10" s="414" t="s">
        <v>192</v>
      </c>
      <c r="N10" s="413" t="str">
        <f>IF(ISBLANK(J10)," ",IF(J10&lt;$F$4,"On time",(IF(DAY(J10-$F$4)&lt;1,"On time",(IF(J10&gt;$F$4,"DELAY ( "&amp;DAY(J10-$F$4)&amp;" day "&amp;HOUR(J10-$F$4)&amp;" hour "&amp;MINUTE(J10-$F$4)&amp;" minute )","xxx"))))))</f>
        <v>DELAY ( 3 day 8 hour 40 minute )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>
        <f>H10</f>
        <v>3660.09</v>
      </c>
      <c r="AC10" s="416"/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/>
      <c r="AQ10" s="416"/>
      <c r="AR10" s="416"/>
      <c r="AS10" s="416"/>
      <c r="AT10" s="416"/>
      <c r="AU10" s="416"/>
      <c r="AV10" s="416"/>
      <c r="AW10" s="416"/>
      <c r="AX10" s="416"/>
      <c r="AY10" s="416"/>
      <c r="AZ10" s="32"/>
    </row>
    <row r="11" spans="2:52">
      <c r="B11" s="1254"/>
      <c r="C11" s="1255"/>
      <c r="D11" s="411" t="s">
        <v>1347</v>
      </c>
      <c r="E11" s="425"/>
      <c r="F11" s="411" t="s">
        <v>774</v>
      </c>
      <c r="G11" s="411" t="s">
        <v>423</v>
      </c>
      <c r="H11" s="412">
        <f>7537.374/2</f>
        <v>3768.6869999999999</v>
      </c>
      <c r="I11" s="413" t="s">
        <v>172</v>
      </c>
      <c r="J11" s="1268">
        <v>45043.569444444445</v>
      </c>
      <c r="K11" s="414"/>
      <c r="L11" s="1268" t="s">
        <v>192</v>
      </c>
      <c r="M11" s="1268" t="s">
        <v>192</v>
      </c>
      <c r="N11" s="413" t="str">
        <f t="shared" ref="N11:N23" si="0">IF(ISBLANK(J11)," ",IF(J11&lt;$F$4,"On time",(IF(DAY(J11-$F$4)&lt;1,"On time",(IF(J11&gt;$F$4,"DELAY ( "&amp;DAY(J11-$F$4)&amp;" day "&amp;HOUR(J11-$F$4)&amp;" hour "&amp;MINUTE(J11-$F$4)&amp;" minute )","xxx"))))))</f>
        <v>DELAY ( 4 day 0 hour 30 minute )</v>
      </c>
      <c r="O11" s="51"/>
      <c r="P11" s="415" t="s">
        <v>551</v>
      </c>
      <c r="Q11" s="415" t="s">
        <v>551</v>
      </c>
      <c r="R11" s="415" t="s">
        <v>551</v>
      </c>
      <c r="S11" s="32"/>
      <c r="T11" s="416"/>
      <c r="U11" s="416"/>
      <c r="V11" s="416"/>
      <c r="W11" s="416"/>
      <c r="X11" s="416"/>
      <c r="Y11" s="416"/>
      <c r="Z11" s="416"/>
      <c r="AA11" s="416"/>
      <c r="AB11" s="416"/>
      <c r="AC11" s="416"/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6"/>
      <c r="AQ11" s="416"/>
      <c r="AR11" s="416"/>
      <c r="AS11" s="416"/>
      <c r="AT11" s="416"/>
      <c r="AU11" s="416"/>
      <c r="AV11" s="416"/>
      <c r="AW11" s="416"/>
      <c r="AX11" s="416"/>
      <c r="AY11" s="416">
        <f>H11</f>
        <v>3768.6869999999999</v>
      </c>
      <c r="AZ11" s="32"/>
    </row>
    <row r="12" spans="2:52">
      <c r="B12" s="1250" t="s">
        <v>657</v>
      </c>
      <c r="C12" s="1251"/>
      <c r="D12" s="411" t="s">
        <v>1347</v>
      </c>
      <c r="E12" s="425"/>
      <c r="F12" s="411" t="s">
        <v>774</v>
      </c>
      <c r="G12" s="411" t="s">
        <v>423</v>
      </c>
      <c r="H12" s="412">
        <f>H11</f>
        <v>3768.6869999999999</v>
      </c>
      <c r="I12" s="413" t="s">
        <v>172</v>
      </c>
      <c r="J12" s="1269"/>
      <c r="K12" s="414"/>
      <c r="L12" s="1269"/>
      <c r="M12" s="1269"/>
      <c r="N12" s="413" t="str">
        <f t="shared" si="0"/>
        <v xml:space="preserve"> </v>
      </c>
      <c r="O12" s="51"/>
      <c r="P12" s="415" t="s">
        <v>551</v>
      </c>
      <c r="Q12" s="415" t="s">
        <v>551</v>
      </c>
      <c r="R12" s="415" t="s">
        <v>551</v>
      </c>
      <c r="S12" s="32"/>
      <c r="T12" s="416"/>
      <c r="U12" s="416"/>
      <c r="V12" s="416"/>
      <c r="W12" s="416"/>
      <c r="X12" s="416"/>
      <c r="Y12" s="416"/>
      <c r="Z12" s="416"/>
      <c r="AA12" s="416"/>
      <c r="AB12" s="416"/>
      <c r="AC12" s="416"/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/>
      <c r="AQ12" s="416"/>
      <c r="AR12" s="416"/>
      <c r="AS12" s="416"/>
      <c r="AT12" s="416"/>
      <c r="AU12" s="416"/>
      <c r="AV12" s="416"/>
      <c r="AW12" s="416"/>
      <c r="AX12" s="416"/>
      <c r="AY12" s="416">
        <f>H12</f>
        <v>3768.6869999999999</v>
      </c>
      <c r="AZ12" s="32"/>
    </row>
    <row r="13" spans="2:52">
      <c r="B13" s="1254"/>
      <c r="C13" s="1255"/>
      <c r="D13" s="411" t="s">
        <v>1268</v>
      </c>
      <c r="E13" s="411"/>
      <c r="F13" s="411" t="s">
        <v>263</v>
      </c>
      <c r="G13" s="411" t="s">
        <v>264</v>
      </c>
      <c r="H13" s="412">
        <v>5214</v>
      </c>
      <c r="I13" s="413" t="s">
        <v>235</v>
      </c>
      <c r="J13" s="414">
        <v>45044.222222222219</v>
      </c>
      <c r="K13" s="414"/>
      <c r="L13" s="414" t="s">
        <v>192</v>
      </c>
      <c r="M13" s="414" t="s">
        <v>192</v>
      </c>
      <c r="N13" s="413" t="str">
        <f t="shared" si="0"/>
        <v>DELAY ( 4 day 16 hour 10 minute )</v>
      </c>
      <c r="O13" s="51"/>
      <c r="P13" s="415" t="s">
        <v>551</v>
      </c>
      <c r="Q13" s="415" t="s">
        <v>551</v>
      </c>
      <c r="R13" s="415" t="s">
        <v>551</v>
      </c>
      <c r="S13" s="32"/>
      <c r="T13" s="416"/>
      <c r="U13" s="416"/>
      <c r="V13" s="416"/>
      <c r="W13" s="416"/>
      <c r="X13" s="416"/>
      <c r="Y13" s="416"/>
      <c r="Z13" s="416"/>
      <c r="AA13" s="416"/>
      <c r="AB13" s="416">
        <f>H13</f>
        <v>5214</v>
      </c>
      <c r="AC13" s="416"/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32"/>
    </row>
    <row r="14" spans="2:52">
      <c r="B14" s="1256" t="s">
        <v>548</v>
      </c>
      <c r="C14" s="1257"/>
      <c r="D14" s="411" t="s">
        <v>1277</v>
      </c>
      <c r="E14" s="411"/>
      <c r="F14" s="411" t="s">
        <v>422</v>
      </c>
      <c r="G14" s="411" t="s">
        <v>275</v>
      </c>
      <c r="H14" s="412">
        <v>7500.8919999999998</v>
      </c>
      <c r="I14" s="413" t="s">
        <v>235</v>
      </c>
      <c r="J14" s="414">
        <v>45043.5</v>
      </c>
      <c r="K14" s="414"/>
      <c r="L14" s="414" t="s">
        <v>192</v>
      </c>
      <c r="M14" s="414" t="s">
        <v>192</v>
      </c>
      <c r="N14" s="413" t="str">
        <f t="shared" si="0"/>
        <v>DELAY ( 3 day 22 hour 50 minute )</v>
      </c>
      <c r="O14" s="51"/>
      <c r="P14" s="415" t="s">
        <v>551</v>
      </c>
      <c r="Q14" s="415" t="s">
        <v>551</v>
      </c>
      <c r="R14" s="415" t="s">
        <v>551</v>
      </c>
      <c r="S14" s="32"/>
      <c r="T14" s="416"/>
      <c r="U14" s="416"/>
      <c r="V14" s="416"/>
      <c r="W14" s="416"/>
      <c r="X14" s="416"/>
      <c r="Y14" s="416"/>
      <c r="Z14" s="416"/>
      <c r="AA14" s="416"/>
      <c r="AB14" s="416">
        <f>H14</f>
        <v>7500.8919999999998</v>
      </c>
      <c r="AC14" s="416"/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/>
      <c r="AQ14" s="416"/>
      <c r="AR14" s="416"/>
      <c r="AS14" s="416"/>
      <c r="AT14" s="416"/>
      <c r="AU14" s="416"/>
      <c r="AV14" s="416"/>
      <c r="AW14" s="416"/>
      <c r="AX14" s="416"/>
      <c r="AY14" s="416"/>
      <c r="AZ14" s="32"/>
    </row>
    <row r="15" spans="2:52">
      <c r="B15" s="1256" t="s">
        <v>548</v>
      </c>
      <c r="C15" s="1257"/>
      <c r="D15" s="411" t="s">
        <v>1278</v>
      </c>
      <c r="E15" s="411"/>
      <c r="F15" s="411" t="s">
        <v>492</v>
      </c>
      <c r="G15" s="411" t="s">
        <v>493</v>
      </c>
      <c r="H15" s="412">
        <v>7554.0230000000001</v>
      </c>
      <c r="I15" s="413" t="s">
        <v>235</v>
      </c>
      <c r="J15" s="414">
        <v>45043.541666666664</v>
      </c>
      <c r="K15" s="414"/>
      <c r="L15" s="414" t="s">
        <v>192</v>
      </c>
      <c r="M15" s="414" t="s">
        <v>192</v>
      </c>
      <c r="N15" s="413" t="str">
        <f t="shared" si="0"/>
        <v>DELAY ( 3 day 23 hour 50 minute )</v>
      </c>
      <c r="O15" s="51"/>
      <c r="P15" s="415" t="s">
        <v>551</v>
      </c>
      <c r="Q15" s="415" t="s">
        <v>551</v>
      </c>
      <c r="R15" s="415" t="s">
        <v>551</v>
      </c>
      <c r="S15" s="32"/>
      <c r="T15" s="416"/>
      <c r="U15" s="416"/>
      <c r="V15" s="416"/>
      <c r="W15" s="416"/>
      <c r="X15" s="416"/>
      <c r="Y15" s="416"/>
      <c r="Z15" s="416"/>
      <c r="AA15" s="416"/>
      <c r="AB15" s="416">
        <f>H15</f>
        <v>7554.0230000000001</v>
      </c>
      <c r="AC15" s="416"/>
      <c r="AD15" s="416"/>
      <c r="AE15" s="416"/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6"/>
      <c r="AS15" s="416"/>
      <c r="AT15" s="416"/>
      <c r="AU15" s="416"/>
      <c r="AV15" s="416"/>
      <c r="AW15" s="416"/>
      <c r="AX15" s="416"/>
      <c r="AY15" s="416"/>
      <c r="AZ15" s="32"/>
    </row>
    <row r="16" spans="2:52">
      <c r="B16" s="1256" t="s">
        <v>548</v>
      </c>
      <c r="C16" s="1257"/>
      <c r="D16" s="411" t="s">
        <v>1281</v>
      </c>
      <c r="E16" s="411"/>
      <c r="F16" s="411" t="s">
        <v>298</v>
      </c>
      <c r="G16" s="411" t="s">
        <v>299</v>
      </c>
      <c r="H16" s="412">
        <v>10347.93</v>
      </c>
      <c r="I16" s="413" t="s">
        <v>235</v>
      </c>
      <c r="J16" s="414">
        <v>45044.520833333336</v>
      </c>
      <c r="K16" s="414"/>
      <c r="L16" s="414" t="s">
        <v>192</v>
      </c>
      <c r="M16" s="414" t="s">
        <v>192</v>
      </c>
      <c r="N16" s="413" t="str">
        <f t="shared" si="0"/>
        <v>DELAY ( 4 day 23 hour 20 minute )</v>
      </c>
      <c r="O16" s="51"/>
      <c r="P16" s="415" t="s">
        <v>551</v>
      </c>
      <c r="Q16" s="415" t="s">
        <v>551</v>
      </c>
      <c r="R16" s="415" t="s">
        <v>551</v>
      </c>
      <c r="S16" s="32"/>
      <c r="T16" s="416"/>
      <c r="U16" s="416"/>
      <c r="V16" s="416"/>
      <c r="W16" s="416"/>
      <c r="X16" s="416"/>
      <c r="Y16" s="416"/>
      <c r="Z16" s="416"/>
      <c r="AA16" s="416"/>
      <c r="AB16" s="416">
        <f>H16</f>
        <v>10347.93</v>
      </c>
      <c r="AC16" s="416"/>
      <c r="AD16" s="416"/>
      <c r="AE16" s="416"/>
      <c r="AF16" s="416"/>
      <c r="AG16" s="416"/>
      <c r="AH16" s="416"/>
      <c r="AI16" s="416"/>
      <c r="AJ16" s="416"/>
      <c r="AK16" s="416"/>
      <c r="AL16" s="416"/>
      <c r="AM16" s="416"/>
      <c r="AN16" s="416"/>
      <c r="AO16" s="416"/>
      <c r="AP16" s="416"/>
      <c r="AQ16" s="416"/>
      <c r="AR16" s="416"/>
      <c r="AS16" s="416"/>
      <c r="AT16" s="416"/>
      <c r="AU16" s="416"/>
      <c r="AV16" s="416"/>
      <c r="AW16" s="416"/>
      <c r="AX16" s="416"/>
      <c r="AY16" s="416"/>
      <c r="AZ16" s="32"/>
    </row>
    <row r="17" spans="2:52">
      <c r="B17" s="1250" t="s">
        <v>884</v>
      </c>
      <c r="C17" s="1251"/>
      <c r="D17" s="411" t="s">
        <v>1348</v>
      </c>
      <c r="E17" s="411"/>
      <c r="F17" s="411" t="s">
        <v>721</v>
      </c>
      <c r="G17" s="411" t="s">
        <v>1349</v>
      </c>
      <c r="H17" s="412">
        <v>7453.1040000000003</v>
      </c>
      <c r="I17" s="413" t="s">
        <v>172</v>
      </c>
      <c r="J17" s="414">
        <v>45045.458333333336</v>
      </c>
      <c r="K17" s="414"/>
      <c r="L17" s="414" t="s">
        <v>192</v>
      </c>
      <c r="M17" s="414" t="s">
        <v>192</v>
      </c>
      <c r="N17" s="413" t="str">
        <f t="shared" si="0"/>
        <v>DELAY ( 5 day 21 hour 50 minute )</v>
      </c>
      <c r="O17" s="51"/>
      <c r="P17" s="415" t="s">
        <v>551</v>
      </c>
      <c r="Q17" s="415" t="s">
        <v>551</v>
      </c>
      <c r="R17" s="415" t="s">
        <v>551</v>
      </c>
      <c r="S17" s="32"/>
      <c r="T17" s="416"/>
      <c r="U17" s="416"/>
      <c r="V17" s="416"/>
      <c r="W17" s="416"/>
      <c r="X17" s="416"/>
      <c r="Y17" s="416"/>
      <c r="Z17" s="416"/>
      <c r="AA17" s="416"/>
      <c r="AB17" s="416"/>
      <c r="AC17" s="416"/>
      <c r="AD17" s="416"/>
      <c r="AE17" s="416"/>
      <c r="AF17" s="416"/>
      <c r="AG17" s="416"/>
      <c r="AH17" s="416"/>
      <c r="AI17" s="416"/>
      <c r="AJ17" s="416"/>
      <c r="AK17" s="416"/>
      <c r="AL17" s="416"/>
      <c r="AM17" s="416"/>
      <c r="AN17" s="416"/>
      <c r="AO17" s="416"/>
      <c r="AP17" s="416"/>
      <c r="AQ17" s="416"/>
      <c r="AR17" s="416"/>
      <c r="AS17" s="416"/>
      <c r="AT17" s="416"/>
      <c r="AU17" s="416"/>
      <c r="AV17" s="416"/>
      <c r="AW17" s="416"/>
      <c r="AX17" s="416"/>
      <c r="AY17" s="416">
        <f>H17</f>
        <v>7453.1040000000003</v>
      </c>
      <c r="AZ17" s="32"/>
    </row>
    <row r="18" spans="2:52">
      <c r="B18" s="1254"/>
      <c r="C18" s="1255"/>
      <c r="D18" s="411" t="s">
        <v>1282</v>
      </c>
      <c r="E18" s="425"/>
      <c r="F18" s="411" t="s">
        <v>201</v>
      </c>
      <c r="G18" s="411" t="s">
        <v>202</v>
      </c>
      <c r="H18" s="412">
        <f>7769.937/2</f>
        <v>3884.9684999999999</v>
      </c>
      <c r="I18" s="413" t="s">
        <v>240</v>
      </c>
      <c r="J18" s="1268">
        <v>45044.729166666664</v>
      </c>
      <c r="K18" s="414"/>
      <c r="L18" s="414" t="s">
        <v>192</v>
      </c>
      <c r="M18" s="414" t="s">
        <v>192</v>
      </c>
      <c r="N18" s="413" t="str">
        <f t="shared" si="0"/>
        <v>DELAY ( 5 day 4 hour 20 minute )</v>
      </c>
      <c r="O18" s="51"/>
      <c r="P18" s="415" t="s">
        <v>551</v>
      </c>
      <c r="Q18" s="415" t="s">
        <v>551</v>
      </c>
      <c r="R18" s="415" t="s">
        <v>551</v>
      </c>
      <c r="S18" s="32"/>
      <c r="T18" s="416"/>
      <c r="U18" s="416"/>
      <c r="V18" s="416"/>
      <c r="W18" s="416"/>
      <c r="X18" s="416"/>
      <c r="Y18" s="416"/>
      <c r="Z18" s="416"/>
      <c r="AA18" s="416"/>
      <c r="AB18" s="416"/>
      <c r="AC18" s="416">
        <f>H18</f>
        <v>3884.9684999999999</v>
      </c>
      <c r="AD18" s="416"/>
      <c r="AE18" s="416"/>
      <c r="AF18" s="416"/>
      <c r="AG18" s="416"/>
      <c r="AH18" s="416"/>
      <c r="AI18" s="416"/>
      <c r="AJ18" s="416"/>
      <c r="AK18" s="416"/>
      <c r="AL18" s="416"/>
      <c r="AM18" s="416"/>
      <c r="AN18" s="416"/>
      <c r="AO18" s="416"/>
      <c r="AP18" s="416"/>
      <c r="AQ18" s="416"/>
      <c r="AR18" s="416"/>
      <c r="AS18" s="416"/>
      <c r="AT18" s="416"/>
      <c r="AU18" s="416"/>
      <c r="AV18" s="416"/>
      <c r="AW18" s="416"/>
      <c r="AX18" s="416"/>
      <c r="AY18" s="416"/>
      <c r="AZ18" s="32"/>
    </row>
    <row r="19" spans="2:52">
      <c r="B19" s="1250" t="s">
        <v>656</v>
      </c>
      <c r="C19" s="1251"/>
      <c r="D19" s="411" t="s">
        <v>1282</v>
      </c>
      <c r="E19" s="425"/>
      <c r="F19" s="411" t="s">
        <v>201</v>
      </c>
      <c r="G19" s="411" t="s">
        <v>202</v>
      </c>
      <c r="H19" s="412">
        <f>H18</f>
        <v>3884.9684999999999</v>
      </c>
      <c r="I19" s="413" t="s">
        <v>240</v>
      </c>
      <c r="J19" s="1269"/>
      <c r="K19" s="414"/>
      <c r="L19" s="414" t="s">
        <v>192</v>
      </c>
      <c r="M19" s="414" t="s">
        <v>192</v>
      </c>
      <c r="N19" s="413" t="str">
        <f t="shared" si="0"/>
        <v xml:space="preserve"> </v>
      </c>
      <c r="O19" s="51"/>
      <c r="P19" s="415" t="s">
        <v>551</v>
      </c>
      <c r="Q19" s="415" t="s">
        <v>551</v>
      </c>
      <c r="R19" s="415" t="s">
        <v>551</v>
      </c>
      <c r="S19" s="32"/>
      <c r="T19" s="416"/>
      <c r="U19" s="416"/>
      <c r="V19" s="416"/>
      <c r="W19" s="416"/>
      <c r="X19" s="416"/>
      <c r="Y19" s="416"/>
      <c r="Z19" s="416"/>
      <c r="AA19" s="416"/>
      <c r="AB19" s="416"/>
      <c r="AC19" s="416">
        <f>H19</f>
        <v>3884.9684999999999</v>
      </c>
      <c r="AD19" s="416"/>
      <c r="AE19" s="416"/>
      <c r="AF19" s="416"/>
      <c r="AG19" s="416"/>
      <c r="AH19" s="416"/>
      <c r="AI19" s="416"/>
      <c r="AJ19" s="416"/>
      <c r="AK19" s="416"/>
      <c r="AL19" s="416"/>
      <c r="AM19" s="416"/>
      <c r="AN19" s="416"/>
      <c r="AO19" s="416"/>
      <c r="AP19" s="416"/>
      <c r="AQ19" s="416"/>
      <c r="AR19" s="416"/>
      <c r="AS19" s="416"/>
      <c r="AT19" s="416"/>
      <c r="AU19" s="416"/>
      <c r="AV19" s="416"/>
      <c r="AW19" s="416"/>
      <c r="AX19" s="416"/>
      <c r="AY19" s="416"/>
      <c r="AZ19" s="32"/>
    </row>
    <row r="20" spans="2:52">
      <c r="B20" s="1254"/>
      <c r="C20" s="1255"/>
      <c r="D20" s="411" t="s">
        <v>1339</v>
      </c>
      <c r="E20" s="411"/>
      <c r="F20" s="411" t="s">
        <v>222</v>
      </c>
      <c r="G20" s="411" t="s">
        <v>223</v>
      </c>
      <c r="H20" s="412">
        <v>7500</v>
      </c>
      <c r="I20" s="413" t="s">
        <v>76</v>
      </c>
      <c r="J20" s="414">
        <v>45045.520833333336</v>
      </c>
      <c r="K20" s="414"/>
      <c r="L20" s="414" t="s">
        <v>192</v>
      </c>
      <c r="M20" s="414" t="s">
        <v>192</v>
      </c>
      <c r="N20" s="413" t="str">
        <f t="shared" si="0"/>
        <v>DELAY ( 5 day 23 hour 20 minute )</v>
      </c>
      <c r="O20" s="51"/>
      <c r="P20" s="415" t="s">
        <v>551</v>
      </c>
      <c r="Q20" s="415" t="s">
        <v>551</v>
      </c>
      <c r="R20" s="415" t="s">
        <v>551</v>
      </c>
      <c r="S20" s="32"/>
      <c r="T20" s="416"/>
      <c r="U20" s="416"/>
      <c r="V20" s="416"/>
      <c r="W20" s="416"/>
      <c r="X20" s="416"/>
      <c r="Y20" s="416"/>
      <c r="Z20" s="416"/>
      <c r="AA20" s="416"/>
      <c r="AB20" s="416"/>
      <c r="AC20" s="416"/>
      <c r="AD20" s="416"/>
      <c r="AE20" s="416"/>
      <c r="AF20" s="416"/>
      <c r="AG20" s="416"/>
      <c r="AH20" s="416"/>
      <c r="AI20" s="416"/>
      <c r="AJ20" s="416"/>
      <c r="AK20" s="416">
        <f>H20</f>
        <v>7500</v>
      </c>
      <c r="AL20" s="416"/>
      <c r="AM20" s="416"/>
      <c r="AN20" s="416"/>
      <c r="AO20" s="416"/>
      <c r="AP20" s="416"/>
      <c r="AQ20" s="416"/>
      <c r="AR20" s="416"/>
      <c r="AS20" s="416"/>
      <c r="AT20" s="416"/>
      <c r="AU20" s="416"/>
      <c r="AV20" s="416"/>
      <c r="AW20" s="416"/>
      <c r="AX20" s="416"/>
      <c r="AY20" s="416"/>
      <c r="AZ20" s="32"/>
    </row>
    <row r="21" spans="2:52">
      <c r="B21" s="1256" t="s">
        <v>548</v>
      </c>
      <c r="C21" s="1257"/>
      <c r="D21" s="411" t="s">
        <v>1279</v>
      </c>
      <c r="E21" s="411"/>
      <c r="F21" s="411" t="s">
        <v>233</v>
      </c>
      <c r="G21" s="411" t="s">
        <v>234</v>
      </c>
      <c r="H21" s="412">
        <f>7625.053-5462.403</f>
        <v>2162.6499999999996</v>
      </c>
      <c r="I21" s="413" t="s">
        <v>235</v>
      </c>
      <c r="J21" s="414">
        <v>45044.625</v>
      </c>
      <c r="K21" s="414"/>
      <c r="L21" s="414" t="s">
        <v>192</v>
      </c>
      <c r="M21" s="414" t="s">
        <v>192</v>
      </c>
      <c r="N21" s="413" t="str">
        <f t="shared" si="0"/>
        <v>DELAY ( 5 day 1 hour 50 minute )</v>
      </c>
      <c r="O21" s="51"/>
      <c r="P21" s="415" t="s">
        <v>551</v>
      </c>
      <c r="Q21" s="415" t="s">
        <v>551</v>
      </c>
      <c r="R21" s="415" t="s">
        <v>551</v>
      </c>
      <c r="S21" s="32"/>
      <c r="T21" s="416"/>
      <c r="U21" s="416"/>
      <c r="V21" s="416"/>
      <c r="W21" s="416"/>
      <c r="X21" s="416"/>
      <c r="Y21" s="416"/>
      <c r="Z21" s="416"/>
      <c r="AA21" s="416"/>
      <c r="AB21" s="416">
        <f>H21</f>
        <v>2162.6499999999996</v>
      </c>
      <c r="AC21" s="416"/>
      <c r="AD21" s="416"/>
      <c r="AE21" s="416"/>
      <c r="AF21" s="416"/>
      <c r="AG21" s="416"/>
      <c r="AH21" s="416"/>
      <c r="AI21" s="416"/>
      <c r="AJ21" s="416"/>
      <c r="AK21" s="416"/>
      <c r="AL21" s="416"/>
      <c r="AM21" s="416"/>
      <c r="AN21" s="416"/>
      <c r="AO21" s="416"/>
      <c r="AP21" s="416"/>
      <c r="AQ21" s="416"/>
      <c r="AR21" s="416"/>
      <c r="AS21" s="416"/>
      <c r="AT21" s="416"/>
      <c r="AU21" s="416"/>
      <c r="AV21" s="416"/>
      <c r="AW21" s="416"/>
      <c r="AX21" s="416"/>
      <c r="AY21" s="416"/>
      <c r="AZ21" s="32"/>
    </row>
    <row r="22" spans="2:52">
      <c r="B22" s="1258" t="s">
        <v>556</v>
      </c>
      <c r="C22" s="1259"/>
      <c r="D22" s="1259"/>
      <c r="E22" s="1259"/>
      <c r="F22" s="1259"/>
      <c r="G22" s="1260"/>
      <c r="H22" s="417">
        <f>SUM(H10:H21)</f>
        <v>66700</v>
      </c>
      <c r="I22" s="388"/>
      <c r="J22" s="293"/>
      <c r="K22" s="293"/>
      <c r="L22" s="293"/>
      <c r="M22" s="389"/>
      <c r="N22" s="413" t="str">
        <f t="shared" si="0"/>
        <v xml:space="preserve"> </v>
      </c>
      <c r="O22" s="212"/>
      <c r="P22" s="418"/>
      <c r="Q22" s="418"/>
      <c r="R22" s="418"/>
      <c r="S22" s="207"/>
      <c r="T22" s="1262"/>
      <c r="U22" s="1263"/>
      <c r="V22" s="1263"/>
      <c r="W22" s="1263"/>
      <c r="X22" s="1263"/>
      <c r="Y22" s="1263"/>
      <c r="Z22" s="1263"/>
      <c r="AA22" s="1263"/>
      <c r="AB22" s="1263"/>
      <c r="AC22" s="1263"/>
      <c r="AD22" s="1263"/>
      <c r="AE22" s="1263"/>
      <c r="AF22" s="1263"/>
      <c r="AG22" s="1263"/>
      <c r="AH22" s="1263"/>
      <c r="AI22" s="1263"/>
      <c r="AJ22" s="1263"/>
      <c r="AK22" s="1263"/>
      <c r="AL22" s="1263"/>
      <c r="AM22" s="1263"/>
      <c r="AN22" s="1263"/>
      <c r="AO22" s="1263"/>
      <c r="AP22" s="1263"/>
      <c r="AQ22" s="1263"/>
      <c r="AR22" s="1263"/>
      <c r="AS22" s="1263"/>
      <c r="AT22" s="1263"/>
      <c r="AU22" s="1263"/>
      <c r="AV22" s="1263"/>
      <c r="AW22" s="1263"/>
      <c r="AX22" s="1263"/>
      <c r="AY22" s="1264"/>
    </row>
    <row r="23" spans="2:52">
      <c r="B23" s="1243" t="s">
        <v>557</v>
      </c>
      <c r="C23" s="1244"/>
      <c r="D23" s="1244"/>
      <c r="E23" s="1244"/>
      <c r="F23" s="1244"/>
      <c r="G23" s="1245"/>
      <c r="H23" s="419">
        <v>66700</v>
      </c>
      <c r="I23" s="1246"/>
      <c r="J23" s="1247"/>
      <c r="K23" s="1247"/>
      <c r="L23" s="1247"/>
      <c r="M23" s="1248"/>
      <c r="N23" s="413" t="str">
        <f t="shared" si="0"/>
        <v xml:space="preserve"> </v>
      </c>
      <c r="O23" s="32"/>
      <c r="P23" s="415"/>
      <c r="Q23" s="415"/>
      <c r="R23" s="415"/>
      <c r="S23" s="63"/>
      <c r="T23" s="416">
        <f>SUM(T10:T21)</f>
        <v>0</v>
      </c>
      <c r="U23" s="416">
        <f t="shared" ref="U23:AY23" si="1">SUM(U10:U21)</f>
        <v>0</v>
      </c>
      <c r="V23" s="416">
        <f t="shared" si="1"/>
        <v>0</v>
      </c>
      <c r="W23" s="416">
        <f t="shared" si="1"/>
        <v>0</v>
      </c>
      <c r="X23" s="416">
        <f t="shared" si="1"/>
        <v>0</v>
      </c>
      <c r="Y23" s="416">
        <f t="shared" si="1"/>
        <v>0</v>
      </c>
      <c r="Z23" s="416">
        <f t="shared" si="1"/>
        <v>0</v>
      </c>
      <c r="AA23" s="416">
        <f t="shared" si="1"/>
        <v>0</v>
      </c>
      <c r="AB23" s="416">
        <f t="shared" si="1"/>
        <v>36439.584999999999</v>
      </c>
      <c r="AC23" s="416">
        <f t="shared" si="1"/>
        <v>7769.9369999999999</v>
      </c>
      <c r="AD23" s="416">
        <f t="shared" si="1"/>
        <v>0</v>
      </c>
      <c r="AE23" s="416">
        <f t="shared" si="1"/>
        <v>0</v>
      </c>
      <c r="AF23" s="416">
        <f t="shared" si="1"/>
        <v>0</v>
      </c>
      <c r="AG23" s="416">
        <f t="shared" si="1"/>
        <v>0</v>
      </c>
      <c r="AH23" s="416">
        <f t="shared" si="1"/>
        <v>0</v>
      </c>
      <c r="AI23" s="416">
        <f t="shared" si="1"/>
        <v>0</v>
      </c>
      <c r="AJ23" s="416">
        <f t="shared" si="1"/>
        <v>0</v>
      </c>
      <c r="AK23" s="416">
        <f t="shared" si="1"/>
        <v>7500</v>
      </c>
      <c r="AL23" s="416">
        <f t="shared" si="1"/>
        <v>0</v>
      </c>
      <c r="AM23" s="416">
        <f t="shared" si="1"/>
        <v>0</v>
      </c>
      <c r="AN23" s="416">
        <f t="shared" si="1"/>
        <v>0</v>
      </c>
      <c r="AO23" s="416">
        <f t="shared" si="1"/>
        <v>0</v>
      </c>
      <c r="AP23" s="416">
        <f t="shared" si="1"/>
        <v>0</v>
      </c>
      <c r="AQ23" s="416">
        <f t="shared" si="1"/>
        <v>0</v>
      </c>
      <c r="AR23" s="416">
        <f t="shared" si="1"/>
        <v>0</v>
      </c>
      <c r="AS23" s="416">
        <f t="shared" si="1"/>
        <v>0</v>
      </c>
      <c r="AT23" s="416">
        <f t="shared" si="1"/>
        <v>0</v>
      </c>
      <c r="AU23" s="416">
        <f t="shared" si="1"/>
        <v>0</v>
      </c>
      <c r="AV23" s="416">
        <f t="shared" si="1"/>
        <v>0</v>
      </c>
      <c r="AW23" s="416">
        <f t="shared" si="1"/>
        <v>0</v>
      </c>
      <c r="AX23" s="416">
        <f t="shared" si="1"/>
        <v>0</v>
      </c>
      <c r="AY23" s="416">
        <f t="shared" si="1"/>
        <v>14990.477999999999</v>
      </c>
      <c r="AZ23" s="416">
        <f>SUM(T23:AY23)</f>
        <v>66700</v>
      </c>
    </row>
    <row r="24" spans="2:52">
      <c r="B24" s="1243" t="s">
        <v>558</v>
      </c>
      <c r="C24" s="1244"/>
      <c r="D24" s="1244"/>
      <c r="E24" s="1244"/>
      <c r="F24" s="1244"/>
      <c r="G24" s="1245"/>
      <c r="H24" s="420">
        <f>H23-L4</f>
        <v>0</v>
      </c>
      <c r="I24" s="294"/>
      <c r="J24" s="295"/>
      <c r="K24" s="295"/>
      <c r="L24" s="296"/>
      <c r="M24" s="32"/>
      <c r="N24" s="32"/>
      <c r="O24" s="32"/>
      <c r="P24" s="32"/>
      <c r="Q24" s="297"/>
      <c r="R24" s="297"/>
      <c r="S24" s="32"/>
      <c r="T24" s="48"/>
      <c r="U24" s="48"/>
      <c r="V24" s="48"/>
      <c r="W24" s="48"/>
      <c r="X24" s="48"/>
      <c r="Y24" s="48"/>
      <c r="Z24" s="48"/>
      <c r="AA24" s="48"/>
      <c r="AB24" s="48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</row>
    <row r="25" spans="2:52">
      <c r="B25" s="1243" t="s">
        <v>559</v>
      </c>
      <c r="C25" s="1244"/>
      <c r="D25" s="1244"/>
      <c r="E25" s="1244"/>
      <c r="F25" s="1244"/>
      <c r="G25" s="1245"/>
      <c r="H25" s="420">
        <v>5455.2420000000002</v>
      </c>
      <c r="I25" s="274">
        <v>4881.1329999999998</v>
      </c>
      <c r="J25" s="53"/>
      <c r="K25" s="53"/>
      <c r="L25" s="54"/>
      <c r="M25" s="32"/>
      <c r="N25" s="201"/>
      <c r="O25" s="32"/>
      <c r="P25" s="32"/>
      <c r="Q25" s="32"/>
      <c r="R25" s="32"/>
      <c r="S25" s="32"/>
      <c r="T25" s="48"/>
      <c r="U25" s="48"/>
      <c r="V25" s="48"/>
      <c r="W25" s="48"/>
      <c r="X25" s="48"/>
      <c r="Y25" s="48"/>
      <c r="Z25" s="48"/>
      <c r="AA25" s="48"/>
      <c r="AB25" s="48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</row>
    <row r="26" spans="2:52">
      <c r="B26" s="1243" t="s">
        <v>560</v>
      </c>
      <c r="C26" s="1244"/>
      <c r="D26" s="1244"/>
      <c r="E26" s="1244"/>
      <c r="F26" s="1244"/>
      <c r="G26" s="1245"/>
      <c r="H26" s="421">
        <f>H25-5462.403</f>
        <v>-7.1610000000000582</v>
      </c>
      <c r="I26" s="275">
        <f>I25-H25</f>
        <v>-574.10900000000038</v>
      </c>
      <c r="J26" s="53"/>
      <c r="K26" s="53"/>
      <c r="L26" s="54"/>
      <c r="M26" s="32"/>
      <c r="N26" s="32"/>
      <c r="O26" s="32"/>
      <c r="P26" s="32"/>
      <c r="Q26" s="32"/>
      <c r="R26" s="32"/>
      <c r="S26" s="48"/>
      <c r="T26" s="48"/>
      <c r="U26" s="48"/>
      <c r="V26" s="48"/>
      <c r="W26" s="48"/>
      <c r="X26" s="48"/>
      <c r="Y26" s="48"/>
      <c r="Z26" s="48"/>
      <c r="AA26" s="48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</row>
    <row r="27" spans="2:52">
      <c r="B27" s="201"/>
      <c r="C27" s="201"/>
      <c r="D27" s="201"/>
      <c r="E27" s="201"/>
      <c r="F27" s="201"/>
      <c r="G27" s="201"/>
      <c r="H27" s="201"/>
      <c r="I27" s="213"/>
      <c r="J27" s="209"/>
      <c r="K27" s="209"/>
      <c r="L27" s="203"/>
      <c r="M27" s="201"/>
      <c r="N27" s="201"/>
      <c r="O27" s="209"/>
      <c r="P27" s="32"/>
      <c r="Q27" s="32"/>
      <c r="R27" s="32"/>
      <c r="S27" s="32"/>
      <c r="T27" s="48"/>
      <c r="U27" s="48"/>
      <c r="V27" s="48"/>
      <c r="W27" s="48"/>
      <c r="X27" s="48"/>
      <c r="Y27" s="48"/>
      <c r="Z27" s="48"/>
      <c r="AA27" s="48"/>
      <c r="AB27" s="48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</row>
    <row r="28" spans="2:52">
      <c r="B28" s="40" t="s">
        <v>561</v>
      </c>
      <c r="C28" s="40"/>
      <c r="D28" s="32"/>
      <c r="E28" s="32"/>
      <c r="F28" s="32"/>
      <c r="G28" s="32"/>
      <c r="H28" s="32"/>
      <c r="I28" s="32"/>
      <c r="J28" s="52"/>
      <c r="K28" s="52"/>
      <c r="L28" s="55"/>
      <c r="M28" s="32"/>
      <c r="N28" s="201"/>
      <c r="O28" s="5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Z28" s="201"/>
    </row>
    <row r="29" spans="2:52">
      <c r="B29" s="422">
        <v>1</v>
      </c>
      <c r="C29" s="1249" t="s">
        <v>1699</v>
      </c>
      <c r="D29" s="1249"/>
      <c r="E29" s="1249"/>
      <c r="F29" s="1249"/>
      <c r="G29" s="1249"/>
      <c r="H29" s="1249"/>
      <c r="I29" s="1249"/>
      <c r="J29" s="1249"/>
      <c r="K29" s="1249"/>
      <c r="L29" s="203"/>
      <c r="M29" s="203"/>
      <c r="N29" s="201"/>
      <c r="O29" s="209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</row>
    <row r="31" spans="2:52">
      <c r="B31" s="28" t="s">
        <v>126</v>
      </c>
      <c r="C31" s="28"/>
      <c r="D31" s="29"/>
      <c r="E31" s="30" t="s">
        <v>511</v>
      </c>
      <c r="F31" s="31" t="s">
        <v>1283</v>
      </c>
      <c r="G31" s="32"/>
      <c r="H31" s="33"/>
      <c r="I31" s="34"/>
      <c r="J31" s="35" t="s">
        <v>513</v>
      </c>
      <c r="K31" s="36" t="s">
        <v>511</v>
      </c>
      <c r="L31" s="37">
        <v>45046.104166666664</v>
      </c>
      <c r="M31" s="32"/>
      <c r="N31" s="32"/>
      <c r="O31" s="206"/>
      <c r="P31" s="205"/>
      <c r="Q31" s="202"/>
      <c r="R31" s="204"/>
      <c r="S31" s="38"/>
      <c r="T31" s="201"/>
      <c r="U31" s="201"/>
      <c r="V31" s="201"/>
      <c r="W31" s="201"/>
      <c r="X31" s="201"/>
      <c r="Y31" s="201"/>
      <c r="Z31" s="201"/>
      <c r="AA31" s="201"/>
      <c r="AB31" s="202"/>
      <c r="AC31" s="202"/>
      <c r="AD31" s="202"/>
      <c r="AE31" s="202"/>
      <c r="AF31" s="202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</row>
    <row r="32" spans="2:52">
      <c r="B32" s="35" t="s">
        <v>514</v>
      </c>
      <c r="C32" s="35"/>
      <c r="D32" s="32"/>
      <c r="E32" s="36" t="s">
        <v>511</v>
      </c>
      <c r="F32" s="37" t="s">
        <v>1700</v>
      </c>
      <c r="G32" s="32"/>
      <c r="H32" s="33"/>
      <c r="I32" s="34"/>
      <c r="J32" s="35" t="s">
        <v>516</v>
      </c>
      <c r="K32" s="36" t="s">
        <v>511</v>
      </c>
      <c r="L32" s="37">
        <v>45049.506944444445</v>
      </c>
      <c r="M32" s="32"/>
      <c r="N32" s="32"/>
      <c r="O32" s="206"/>
      <c r="P32" s="205"/>
      <c r="Q32" s="202"/>
      <c r="R32" s="204"/>
      <c r="S32" s="38"/>
      <c r="T32" s="201"/>
      <c r="U32" s="201"/>
      <c r="V32" s="201"/>
      <c r="W32" s="201"/>
      <c r="X32" s="201"/>
      <c r="Y32" s="201"/>
      <c r="Z32" s="201"/>
      <c r="AA32" s="201"/>
      <c r="AB32" s="202"/>
      <c r="AC32" s="202"/>
      <c r="AD32" s="202"/>
      <c r="AE32" s="202"/>
      <c r="AF32" s="202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</row>
    <row r="33" spans="2:52">
      <c r="B33" s="35" t="s">
        <v>517</v>
      </c>
      <c r="C33" s="35"/>
      <c r="D33" s="32"/>
      <c r="E33" s="36" t="s">
        <v>511</v>
      </c>
      <c r="F33" s="37">
        <v>45045.78125</v>
      </c>
      <c r="G33" s="32"/>
      <c r="H33" s="33"/>
      <c r="I33" s="34"/>
      <c r="J33" s="35" t="s">
        <v>518</v>
      </c>
      <c r="K33" s="36" t="s">
        <v>511</v>
      </c>
      <c r="L33" s="50">
        <v>53350</v>
      </c>
      <c r="M33" s="40" t="s">
        <v>519</v>
      </c>
      <c r="N33" s="40"/>
      <c r="O33" s="206"/>
      <c r="P33" s="205"/>
      <c r="Q33" s="202"/>
      <c r="R33" s="204"/>
      <c r="S33" s="38"/>
      <c r="T33" s="201"/>
      <c r="U33" s="201"/>
      <c r="V33" s="201"/>
      <c r="W33" s="201"/>
      <c r="X33" s="201"/>
      <c r="Y33" s="201"/>
      <c r="Z33" s="201"/>
      <c r="AA33" s="201"/>
      <c r="AB33" s="202"/>
      <c r="AC33" s="202"/>
      <c r="AD33" s="202"/>
      <c r="AE33" s="202"/>
      <c r="AF33" s="202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</row>
    <row r="34" spans="2:52">
      <c r="B34" s="35" t="s">
        <v>520</v>
      </c>
      <c r="C34" s="35"/>
      <c r="D34" s="32"/>
      <c r="E34" s="36" t="s">
        <v>511</v>
      </c>
      <c r="F34" s="37" t="s">
        <v>16</v>
      </c>
      <c r="G34" s="32"/>
      <c r="H34" s="33"/>
      <c r="I34" s="34"/>
      <c r="J34" s="35" t="s">
        <v>521</v>
      </c>
      <c r="K34" s="36" t="s">
        <v>511</v>
      </c>
      <c r="L34" s="41" t="s">
        <v>1701</v>
      </c>
      <c r="M34" s="32"/>
      <c r="N34" s="32"/>
      <c r="O34" s="206"/>
      <c r="P34" s="202"/>
      <c r="Q34" s="202"/>
      <c r="R34" s="204"/>
      <c r="S34" s="38"/>
      <c r="T34" s="201"/>
      <c r="U34" s="201"/>
      <c r="V34" s="201"/>
      <c r="W34" s="201"/>
      <c r="X34" s="201"/>
      <c r="Y34" s="201"/>
      <c r="Z34" s="201"/>
      <c r="AA34" s="201"/>
      <c r="AB34" s="202"/>
      <c r="AC34" s="202"/>
      <c r="AD34" s="202"/>
      <c r="AE34" s="202"/>
      <c r="AF34" s="202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201"/>
      <c r="AV34" s="201"/>
      <c r="AW34" s="201"/>
      <c r="AX34" s="201"/>
      <c r="AY34" s="201"/>
      <c r="AZ34" s="201"/>
    </row>
    <row r="35" spans="2:52">
      <c r="B35" s="35" t="s">
        <v>523</v>
      </c>
      <c r="C35" s="35"/>
      <c r="D35" s="32"/>
      <c r="E35" s="36" t="s">
        <v>511</v>
      </c>
      <c r="F35" s="37" t="s">
        <v>45</v>
      </c>
      <c r="G35" s="32"/>
      <c r="H35" s="33"/>
      <c r="I35" s="34"/>
      <c r="J35" s="42" t="s">
        <v>524</v>
      </c>
      <c r="K35" s="36" t="s">
        <v>511</v>
      </c>
      <c r="L35" s="43" t="s">
        <v>11</v>
      </c>
      <c r="M35" s="44"/>
      <c r="N35" s="44"/>
      <c r="O35" s="206"/>
      <c r="P35" s="205"/>
      <c r="Q35" s="202"/>
      <c r="R35" s="204"/>
      <c r="S35" s="38"/>
      <c r="T35" s="201"/>
      <c r="U35" s="201"/>
      <c r="V35" s="201"/>
      <c r="W35" s="201"/>
      <c r="X35" s="201"/>
      <c r="Y35" s="201"/>
      <c r="Z35" s="201"/>
      <c r="AA35" s="201"/>
      <c r="AB35" s="202"/>
      <c r="AC35" s="202"/>
      <c r="AD35" s="202"/>
      <c r="AE35" s="202"/>
      <c r="AF35" s="202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</row>
    <row r="36" spans="2:52">
      <c r="B36" s="35" t="s">
        <v>2</v>
      </c>
      <c r="C36" s="35"/>
      <c r="D36" s="32"/>
      <c r="E36" s="36" t="s">
        <v>511</v>
      </c>
      <c r="F36" s="37" t="s">
        <v>31</v>
      </c>
      <c r="G36" s="32"/>
      <c r="H36" s="33"/>
      <c r="I36" s="45"/>
      <c r="J36" s="42"/>
      <c r="K36" s="36"/>
      <c r="L36" s="211"/>
      <c r="M36" s="201"/>
      <c r="N36" s="201"/>
      <c r="O36" s="42"/>
      <c r="P36" s="44"/>
      <c r="Q36" s="44"/>
      <c r="R36" s="44"/>
      <c r="S36" s="34"/>
      <c r="T36" s="201"/>
      <c r="U36" s="201"/>
      <c r="V36" s="201"/>
      <c r="W36" s="201"/>
      <c r="X36" s="201"/>
      <c r="Y36" s="201"/>
      <c r="Z36" s="201"/>
      <c r="AA36" s="201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201"/>
      <c r="AP36" s="201"/>
      <c r="AQ36" s="201"/>
      <c r="AR36" s="201"/>
      <c r="AS36" s="201"/>
      <c r="AT36" s="201"/>
      <c r="AU36" s="201"/>
      <c r="AV36" s="201"/>
      <c r="AW36" s="201"/>
      <c r="AX36" s="201"/>
      <c r="AY36" s="201"/>
      <c r="AZ36" s="201"/>
    </row>
    <row r="37" spans="2:52">
      <c r="B37" s="201"/>
      <c r="C37" s="201"/>
      <c r="D37" s="201"/>
      <c r="E37" s="201"/>
      <c r="F37" s="201"/>
      <c r="G37" s="201"/>
      <c r="H37" s="201"/>
      <c r="I37" s="45"/>
      <c r="J37" s="42"/>
      <c r="K37" s="42"/>
      <c r="L37" s="43"/>
      <c r="M37" s="44"/>
      <c r="N37" s="44"/>
      <c r="O37" s="42"/>
      <c r="P37" s="44"/>
      <c r="Q37" s="44"/>
      <c r="R37" s="44"/>
      <c r="S37" s="34"/>
      <c r="T37" s="1265" t="s">
        <v>87</v>
      </c>
      <c r="U37" s="1265"/>
      <c r="V37" s="1265"/>
      <c r="W37" s="1265"/>
      <c r="X37" s="1265"/>
      <c r="Y37" s="1265" t="s">
        <v>73</v>
      </c>
      <c r="Z37" s="1265"/>
      <c r="AA37" s="1265"/>
      <c r="AB37" s="1265" t="s">
        <v>74</v>
      </c>
      <c r="AC37" s="1265"/>
      <c r="AD37" s="423" t="s">
        <v>85</v>
      </c>
      <c r="AE37" s="423" t="s">
        <v>77</v>
      </c>
      <c r="AF37" s="1265" t="s">
        <v>525</v>
      </c>
      <c r="AG37" s="1265"/>
      <c r="AH37" s="1265"/>
      <c r="AI37" s="1265"/>
      <c r="AJ37" s="1265"/>
      <c r="AK37" s="1265"/>
      <c r="AL37" s="1265"/>
      <c r="AM37" s="1265"/>
      <c r="AN37" s="1265"/>
      <c r="AO37" s="1265"/>
      <c r="AP37" s="1265"/>
      <c r="AQ37" s="1265"/>
      <c r="AR37" s="1265"/>
      <c r="AS37" s="1265"/>
      <c r="AT37" s="1265"/>
      <c r="AU37" s="1265"/>
      <c r="AV37" s="1265"/>
      <c r="AW37" s="1265"/>
      <c r="AX37" s="1265"/>
      <c r="AY37" s="1265"/>
      <c r="AZ37" s="201"/>
    </row>
    <row r="38" spans="2:52">
      <c r="B38" s="1266" t="s">
        <v>526</v>
      </c>
      <c r="C38" s="1267"/>
      <c r="D38" s="570" t="s">
        <v>527</v>
      </c>
      <c r="E38" s="570"/>
      <c r="F38" s="570" t="s">
        <v>528</v>
      </c>
      <c r="G38" s="570" t="s">
        <v>529</v>
      </c>
      <c r="H38" s="570" t="s">
        <v>530</v>
      </c>
      <c r="I38" s="570" t="s">
        <v>531</v>
      </c>
      <c r="J38" s="570" t="s">
        <v>532</v>
      </c>
      <c r="K38" s="570"/>
      <c r="L38" s="570" t="s">
        <v>130</v>
      </c>
      <c r="M38" s="570" t="s">
        <v>533</v>
      </c>
      <c r="N38" s="408" t="str">
        <f>"On time - "&amp;COUNTIF(N39:N52,"On time")&amp;" from "&amp;ROWS(N39:N52)-COUNTIF(N39:N52," ")</f>
        <v>On time - 6 from 12</v>
      </c>
      <c r="O38" s="46"/>
      <c r="P38" s="409" t="s">
        <v>534</v>
      </c>
      <c r="Q38" s="409" t="s">
        <v>535</v>
      </c>
      <c r="R38" s="409" t="s">
        <v>536</v>
      </c>
      <c r="S38" s="32"/>
      <c r="T38" s="424" t="s">
        <v>537</v>
      </c>
      <c r="U38" s="424" t="s">
        <v>538</v>
      </c>
      <c r="V38" s="424" t="s">
        <v>539</v>
      </c>
      <c r="W38" s="424" t="s">
        <v>540</v>
      </c>
      <c r="X38" s="424" t="s">
        <v>541</v>
      </c>
      <c r="Y38" s="424" t="s">
        <v>167</v>
      </c>
      <c r="Z38" s="424" t="s">
        <v>168</v>
      </c>
      <c r="AA38" s="424" t="s">
        <v>169</v>
      </c>
      <c r="AB38" s="424" t="s">
        <v>235</v>
      </c>
      <c r="AC38" s="424" t="s">
        <v>240</v>
      </c>
      <c r="AD38" s="423" t="s">
        <v>85</v>
      </c>
      <c r="AE38" s="424" t="s">
        <v>139</v>
      </c>
      <c r="AF38" s="424" t="s">
        <v>72</v>
      </c>
      <c r="AG38" s="424" t="s">
        <v>88</v>
      </c>
      <c r="AH38" s="424" t="s">
        <v>75</v>
      </c>
      <c r="AI38" s="424" t="s">
        <v>543</v>
      </c>
      <c r="AJ38" s="424" t="s">
        <v>78</v>
      </c>
      <c r="AK38" s="424" t="s">
        <v>76</v>
      </c>
      <c r="AL38" s="424" t="s">
        <v>544</v>
      </c>
      <c r="AM38" s="424" t="s">
        <v>545</v>
      </c>
      <c r="AN38" s="424" t="s">
        <v>86</v>
      </c>
      <c r="AO38" s="424" t="s">
        <v>83</v>
      </c>
      <c r="AP38" s="424" t="s">
        <v>84</v>
      </c>
      <c r="AQ38" s="424" t="s">
        <v>546</v>
      </c>
      <c r="AR38" s="424" t="s">
        <v>81</v>
      </c>
      <c r="AS38" s="424" t="s">
        <v>80</v>
      </c>
      <c r="AT38" s="424" t="s">
        <v>82</v>
      </c>
      <c r="AU38" s="424" t="s">
        <v>181</v>
      </c>
      <c r="AV38" s="424" t="s">
        <v>183</v>
      </c>
      <c r="AW38" s="424" t="s">
        <v>547</v>
      </c>
      <c r="AX38" s="424" t="s">
        <v>182</v>
      </c>
      <c r="AY38" s="424" t="s">
        <v>172</v>
      </c>
      <c r="AZ38" s="201"/>
    </row>
    <row r="39" spans="2:52">
      <c r="B39" s="1256" t="s">
        <v>548</v>
      </c>
      <c r="C39" s="1257"/>
      <c r="D39" s="411" t="s">
        <v>1390</v>
      </c>
      <c r="E39" s="411"/>
      <c r="F39" s="411" t="s">
        <v>1240</v>
      </c>
      <c r="G39" s="411" t="s">
        <v>1241</v>
      </c>
      <c r="H39" s="412">
        <v>7662.1549999999997</v>
      </c>
      <c r="I39" s="413" t="s">
        <v>1389</v>
      </c>
      <c r="J39" s="414">
        <v>45045.791666666664</v>
      </c>
      <c r="K39" s="414"/>
      <c r="L39" s="414" t="s">
        <v>192</v>
      </c>
      <c r="M39" s="414" t="s">
        <v>192</v>
      </c>
      <c r="N39" s="413" t="str">
        <f>IF(ISBLANK(J39)," ",IF(J39&lt;$F$33,"On time",(IF(DAY(J39-$F$33)&lt;1,"On time",(IF(J39&gt;$F$33,"DELAY ( "&amp;DAY(J39-$F$33)&amp;" day "&amp;HOUR(J39-$F$33)&amp;" hour "&amp;MINUTE(J39-$F$33)&amp;" minute )","xxx"))))))</f>
        <v>On time</v>
      </c>
      <c r="O39" s="51"/>
      <c r="P39" s="415" t="s">
        <v>551</v>
      </c>
      <c r="Q39" s="415" t="s">
        <v>551</v>
      </c>
      <c r="R39" s="415" t="s">
        <v>551</v>
      </c>
      <c r="S39" s="32"/>
      <c r="T39" s="416"/>
      <c r="U39" s="416"/>
      <c r="V39" s="416"/>
      <c r="W39" s="416"/>
      <c r="X39" s="416"/>
      <c r="Y39" s="416">
        <f>H39*0.7</f>
        <v>5363.5084999999999</v>
      </c>
      <c r="Z39" s="416">
        <f>H39*0.3</f>
        <v>2298.6464999999998</v>
      </c>
      <c r="AA39" s="416"/>
      <c r="AB39" s="416"/>
      <c r="AC39" s="416"/>
      <c r="AD39" s="416"/>
      <c r="AE39" s="416"/>
      <c r="AF39" s="416"/>
      <c r="AG39" s="416"/>
      <c r="AH39" s="416"/>
      <c r="AI39" s="416"/>
      <c r="AJ39" s="416"/>
      <c r="AK39" s="416"/>
      <c r="AL39" s="416"/>
      <c r="AM39" s="416"/>
      <c r="AN39" s="416"/>
      <c r="AO39" s="416"/>
      <c r="AP39" s="416"/>
      <c r="AQ39" s="416"/>
      <c r="AR39" s="416"/>
      <c r="AS39" s="416"/>
      <c r="AT39" s="416"/>
      <c r="AU39" s="416"/>
      <c r="AV39" s="416"/>
      <c r="AW39" s="416"/>
      <c r="AX39" s="416"/>
      <c r="AY39" s="416"/>
      <c r="AZ39" s="32"/>
    </row>
    <row r="40" spans="2:52">
      <c r="B40" s="1256" t="s">
        <v>548</v>
      </c>
      <c r="C40" s="1257"/>
      <c r="D40" s="411" t="s">
        <v>1284</v>
      </c>
      <c r="E40" s="411"/>
      <c r="F40" s="411" t="s">
        <v>70</v>
      </c>
      <c r="G40" s="411" t="s">
        <v>255</v>
      </c>
      <c r="H40" s="412">
        <v>7371.3720000000003</v>
      </c>
      <c r="I40" s="413" t="s">
        <v>742</v>
      </c>
      <c r="J40" s="414">
        <v>45045.8125</v>
      </c>
      <c r="K40" s="414"/>
      <c r="L40" s="414" t="s">
        <v>192</v>
      </c>
      <c r="M40" s="414" t="s">
        <v>192</v>
      </c>
      <c r="N40" s="413" t="str">
        <f t="shared" ref="N40:N45" si="2">IF(ISBLANK(J40)," ",IF(J40&lt;$F$33,"On time",(IF(DAY(J40-$F$33)&lt;1,"On time",(IF(J40&gt;$F$33,"DELAY ( "&amp;DAY(J40-$F$33)&amp;" day "&amp;HOUR(J40-$F$33)&amp;" hour "&amp;MINUTE(J40-$F$33)&amp;" minute )","xxx"))))))</f>
        <v>On time</v>
      </c>
      <c r="O40" s="51"/>
      <c r="P40" s="415" t="s">
        <v>551</v>
      </c>
      <c r="Q40" s="415" t="s">
        <v>551</v>
      </c>
      <c r="R40" s="415" t="s">
        <v>551</v>
      </c>
      <c r="S40" s="32"/>
      <c r="T40" s="416"/>
      <c r="U40" s="416"/>
      <c r="V40" s="416"/>
      <c r="W40" s="416"/>
      <c r="X40" s="416"/>
      <c r="Y40" s="416"/>
      <c r="Z40" s="416"/>
      <c r="AA40" s="416"/>
      <c r="AB40" s="416">
        <f>H40*0.6</f>
        <v>4422.8231999999998</v>
      </c>
      <c r="AC40" s="416">
        <f>H40*0.4</f>
        <v>2948.5488000000005</v>
      </c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/>
      <c r="AR40" s="416"/>
      <c r="AS40" s="416"/>
      <c r="AT40" s="416"/>
      <c r="AU40" s="416"/>
      <c r="AV40" s="416"/>
      <c r="AW40" s="416"/>
      <c r="AX40" s="416"/>
      <c r="AY40" s="416"/>
      <c r="AZ40" s="32"/>
    </row>
    <row r="41" spans="2:52">
      <c r="B41" s="1256" t="s">
        <v>548</v>
      </c>
      <c r="C41" s="1257"/>
      <c r="D41" s="411" t="s">
        <v>1388</v>
      </c>
      <c r="E41" s="411"/>
      <c r="F41" s="411" t="s">
        <v>686</v>
      </c>
      <c r="G41" s="411" t="s">
        <v>1186</v>
      </c>
      <c r="H41" s="412">
        <v>7445.482</v>
      </c>
      <c r="I41" s="413" t="s">
        <v>1389</v>
      </c>
      <c r="J41" s="414">
        <v>45046</v>
      </c>
      <c r="K41" s="414"/>
      <c r="L41" s="414" t="s">
        <v>192</v>
      </c>
      <c r="M41" s="414" t="s">
        <v>192</v>
      </c>
      <c r="N41" s="413" t="str">
        <f t="shared" si="2"/>
        <v>On time</v>
      </c>
      <c r="O41" s="51"/>
      <c r="P41" s="415" t="s">
        <v>551</v>
      </c>
      <c r="Q41" s="415" t="s">
        <v>551</v>
      </c>
      <c r="R41" s="415" t="s">
        <v>551</v>
      </c>
      <c r="S41" s="32"/>
      <c r="T41" s="416"/>
      <c r="U41" s="416"/>
      <c r="V41" s="416"/>
      <c r="W41" s="416"/>
      <c r="X41" s="416"/>
      <c r="Y41" s="416">
        <f>H41*0.7</f>
        <v>5211.8373999999994</v>
      </c>
      <c r="Z41" s="416">
        <f>H41*0.3</f>
        <v>2233.6446000000001</v>
      </c>
      <c r="AA41" s="416"/>
      <c r="AB41" s="416"/>
      <c r="AC41" s="416"/>
      <c r="AD41" s="416"/>
      <c r="AE41" s="416"/>
      <c r="AF41" s="416"/>
      <c r="AG41" s="416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416"/>
      <c r="AU41" s="416"/>
      <c r="AV41" s="416"/>
      <c r="AW41" s="416"/>
      <c r="AX41" s="416"/>
      <c r="AY41" s="416"/>
      <c r="AZ41" s="32"/>
    </row>
    <row r="42" spans="2:52">
      <c r="B42" s="1256" t="s">
        <v>548</v>
      </c>
      <c r="C42" s="1257"/>
      <c r="D42" s="411" t="s">
        <v>1391</v>
      </c>
      <c r="E42" s="411"/>
      <c r="F42" s="411" t="s">
        <v>1392</v>
      </c>
      <c r="G42" s="411" t="s">
        <v>365</v>
      </c>
      <c r="H42" s="412">
        <v>7526.5429999999997</v>
      </c>
      <c r="I42" s="413" t="s">
        <v>1389</v>
      </c>
      <c r="J42" s="414">
        <v>45046.635416666664</v>
      </c>
      <c r="K42" s="414"/>
      <c r="L42" s="414" t="s">
        <v>192</v>
      </c>
      <c r="M42" s="414" t="s">
        <v>192</v>
      </c>
      <c r="N42" s="413" t="str">
        <f t="shared" si="2"/>
        <v>On time</v>
      </c>
      <c r="O42" s="51"/>
      <c r="P42" s="415" t="s">
        <v>551</v>
      </c>
      <c r="Q42" s="415" t="s">
        <v>551</v>
      </c>
      <c r="R42" s="415" t="s">
        <v>551</v>
      </c>
      <c r="S42" s="32"/>
      <c r="T42" s="416"/>
      <c r="U42" s="416"/>
      <c r="V42" s="416"/>
      <c r="W42" s="416"/>
      <c r="X42" s="416"/>
      <c r="Y42" s="416">
        <f>H42*0.7</f>
        <v>5268.5800999999992</v>
      </c>
      <c r="Z42" s="416">
        <f>H42*0.3</f>
        <v>2257.9629</v>
      </c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6"/>
      <c r="AZ42" s="32"/>
    </row>
    <row r="43" spans="2:52">
      <c r="B43" s="1256" t="s">
        <v>548</v>
      </c>
      <c r="C43" s="1257"/>
      <c r="D43" s="411" t="s">
        <v>1395</v>
      </c>
      <c r="E43" s="411"/>
      <c r="F43" s="411" t="s">
        <v>695</v>
      </c>
      <c r="G43" s="411" t="s">
        <v>281</v>
      </c>
      <c r="H43" s="412">
        <v>7546.2030000000004</v>
      </c>
      <c r="I43" s="413" t="s">
        <v>1389</v>
      </c>
      <c r="J43" s="414">
        <v>45046.6875</v>
      </c>
      <c r="K43" s="414"/>
      <c r="L43" s="414" t="s">
        <v>192</v>
      </c>
      <c r="M43" s="414" t="s">
        <v>192</v>
      </c>
      <c r="N43" s="413" t="str">
        <f t="shared" si="2"/>
        <v>On time</v>
      </c>
      <c r="O43" s="51"/>
      <c r="P43" s="415" t="s">
        <v>551</v>
      </c>
      <c r="Q43" s="415" t="s">
        <v>551</v>
      </c>
      <c r="R43" s="415" t="s">
        <v>551</v>
      </c>
      <c r="S43" s="32"/>
      <c r="T43" s="416"/>
      <c r="U43" s="416"/>
      <c r="V43" s="416"/>
      <c r="W43" s="416"/>
      <c r="X43" s="416"/>
      <c r="Y43" s="416">
        <f>H43*0.7</f>
        <v>5282.3420999999998</v>
      </c>
      <c r="Z43" s="416">
        <f>H43*0.3</f>
        <v>2263.8609000000001</v>
      </c>
      <c r="AA43" s="416"/>
      <c r="AB43" s="416"/>
      <c r="AC43" s="416"/>
      <c r="AD43" s="416"/>
      <c r="AE43" s="416"/>
      <c r="AF43" s="416"/>
      <c r="AG43" s="416"/>
      <c r="AH43" s="416"/>
      <c r="AI43" s="416"/>
      <c r="AJ43" s="416"/>
      <c r="AK43" s="416"/>
      <c r="AL43" s="416"/>
      <c r="AM43" s="416"/>
      <c r="AN43" s="416"/>
      <c r="AO43" s="416"/>
      <c r="AP43" s="416"/>
      <c r="AQ43" s="416"/>
      <c r="AR43" s="416"/>
      <c r="AS43" s="416"/>
      <c r="AT43" s="416"/>
      <c r="AU43" s="416"/>
      <c r="AV43" s="416"/>
      <c r="AW43" s="416"/>
      <c r="AX43" s="416"/>
      <c r="AY43" s="416"/>
      <c r="AZ43" s="32"/>
    </row>
    <row r="44" spans="2:52">
      <c r="B44" s="1256" t="s">
        <v>548</v>
      </c>
      <c r="C44" s="1257"/>
      <c r="D44" s="411" t="s">
        <v>1394</v>
      </c>
      <c r="E44" s="411"/>
      <c r="F44" s="411" t="s">
        <v>330</v>
      </c>
      <c r="G44" s="411" t="s">
        <v>331</v>
      </c>
      <c r="H44" s="412">
        <v>7557.6350000000002</v>
      </c>
      <c r="I44" s="413" t="s">
        <v>1389</v>
      </c>
      <c r="J44" s="414">
        <v>45046.701388888891</v>
      </c>
      <c r="K44" s="414"/>
      <c r="L44" s="414" t="s">
        <v>192</v>
      </c>
      <c r="M44" s="414" t="s">
        <v>192</v>
      </c>
      <c r="N44" s="413" t="str">
        <f t="shared" si="2"/>
        <v>On time</v>
      </c>
      <c r="O44" s="51"/>
      <c r="P44" s="415" t="s">
        <v>551</v>
      </c>
      <c r="Q44" s="415" t="s">
        <v>551</v>
      </c>
      <c r="R44" s="415" t="s">
        <v>551</v>
      </c>
      <c r="S44" s="32"/>
      <c r="T44" s="416"/>
      <c r="U44" s="416"/>
      <c r="V44" s="416"/>
      <c r="W44" s="416"/>
      <c r="X44" s="416"/>
      <c r="Y44" s="416">
        <f>H44*0.7</f>
        <v>5290.3445000000002</v>
      </c>
      <c r="Z44" s="416">
        <f>H44*0.3</f>
        <v>2267.2905000000001</v>
      </c>
      <c r="AA44" s="416"/>
      <c r="AB44" s="416"/>
      <c r="AC44" s="416"/>
      <c r="AD44" s="416"/>
      <c r="AE44" s="416"/>
      <c r="AF44" s="416"/>
      <c r="AG44" s="416"/>
      <c r="AH44" s="416"/>
      <c r="AI44" s="416"/>
      <c r="AJ44" s="416"/>
      <c r="AK44" s="416"/>
      <c r="AL44" s="416"/>
      <c r="AM44" s="416"/>
      <c r="AN44" s="416"/>
      <c r="AO44" s="416"/>
      <c r="AP44" s="416"/>
      <c r="AQ44" s="416"/>
      <c r="AR44" s="416"/>
      <c r="AS44" s="416"/>
      <c r="AT44" s="416"/>
      <c r="AU44" s="416"/>
      <c r="AV44" s="416"/>
      <c r="AW44" s="416"/>
      <c r="AX44" s="416"/>
      <c r="AY44" s="416"/>
      <c r="AZ44" s="32"/>
    </row>
    <row r="45" spans="2:52">
      <c r="B45" s="1256" t="s">
        <v>548</v>
      </c>
      <c r="C45" s="1257"/>
      <c r="D45" s="411" t="s">
        <v>1396</v>
      </c>
      <c r="E45" s="411"/>
      <c r="F45" s="411" t="s">
        <v>284</v>
      </c>
      <c r="G45" s="411" t="s">
        <v>285</v>
      </c>
      <c r="H45" s="412">
        <f>9113.382-872.772</f>
        <v>8240.6099999999988</v>
      </c>
      <c r="I45" s="413" t="s">
        <v>1397</v>
      </c>
      <c r="J45" s="414">
        <v>45046.819444444445</v>
      </c>
      <c r="K45" s="414"/>
      <c r="L45" s="414" t="s">
        <v>192</v>
      </c>
      <c r="M45" s="414" t="s">
        <v>192</v>
      </c>
      <c r="N45" s="413" t="str">
        <f t="shared" si="2"/>
        <v>DELAY ( 1 day 0 hour 55 minute )</v>
      </c>
      <c r="O45" s="51"/>
      <c r="P45" s="415" t="s">
        <v>551</v>
      </c>
      <c r="Q45" s="415" t="s">
        <v>551</v>
      </c>
      <c r="R45" s="415" t="s">
        <v>551</v>
      </c>
      <c r="S45" s="32"/>
      <c r="T45" s="416"/>
      <c r="U45" s="416"/>
      <c r="V45" s="416"/>
      <c r="W45" s="416"/>
      <c r="X45" s="416"/>
      <c r="Y45" s="416">
        <f>(H45*0.6)</f>
        <v>4944.3659999999991</v>
      </c>
      <c r="Z45" s="416">
        <f>(H45*0.4)</f>
        <v>3296.2439999999997</v>
      </c>
      <c r="AA45" s="416"/>
      <c r="AB45" s="416"/>
      <c r="AC45" s="416"/>
      <c r="AD45" s="416"/>
      <c r="AE45" s="416"/>
      <c r="AF45" s="416"/>
      <c r="AG45" s="416"/>
      <c r="AH45" s="416"/>
      <c r="AI45" s="416"/>
      <c r="AJ45" s="416"/>
      <c r="AK45" s="416"/>
      <c r="AL45" s="416"/>
      <c r="AM45" s="416"/>
      <c r="AN45" s="416"/>
      <c r="AO45" s="416"/>
      <c r="AP45" s="416"/>
      <c r="AQ45" s="416"/>
      <c r="AR45" s="416"/>
      <c r="AS45" s="416"/>
      <c r="AT45" s="416"/>
      <c r="AU45" s="416"/>
      <c r="AV45" s="416"/>
      <c r="AW45" s="416"/>
      <c r="AX45" s="416"/>
      <c r="AY45" s="416"/>
      <c r="AZ45" s="32"/>
    </row>
    <row r="46" spans="2:52">
      <c r="B46" s="1258" t="s">
        <v>556</v>
      </c>
      <c r="C46" s="1259"/>
      <c r="D46" s="1259"/>
      <c r="E46" s="1259"/>
      <c r="F46" s="1259"/>
      <c r="G46" s="1260"/>
      <c r="H46" s="417">
        <f>SUM(H39:H45)</f>
        <v>53350</v>
      </c>
      <c r="I46" s="388"/>
      <c r="J46" s="293"/>
      <c r="K46" s="293"/>
      <c r="L46" s="293"/>
      <c r="M46" s="389"/>
      <c r="N46" s="413" t="str">
        <f>IF(ISBLANK(J46)," ",IF(J46&lt;$F$163,"On time",(IF(DAY(J46-$F$163)&lt;1,"On time",(IF(J46&gt;$F$163,"DELAY ( "&amp;DAY(J46-$F$163)&amp;" day "&amp;HOUR(J46-$F$163)&amp;" hour "&amp;MINUTE(J46-$F$163)&amp;" minute )","xxx"))))))</f>
        <v xml:space="preserve"> </v>
      </c>
      <c r="O46" s="212"/>
      <c r="P46" s="418"/>
      <c r="Q46" s="418"/>
      <c r="R46" s="418"/>
      <c r="S46" s="207"/>
      <c r="T46" s="1262"/>
      <c r="U46" s="1263"/>
      <c r="V46" s="1263"/>
      <c r="W46" s="1263"/>
      <c r="X46" s="1263"/>
      <c r="Y46" s="1263"/>
      <c r="Z46" s="1263"/>
      <c r="AA46" s="1263"/>
      <c r="AB46" s="1263"/>
      <c r="AC46" s="1263"/>
      <c r="AD46" s="1263"/>
      <c r="AE46" s="1263"/>
      <c r="AF46" s="1263"/>
      <c r="AG46" s="1263"/>
      <c r="AH46" s="1263"/>
      <c r="AI46" s="1263"/>
      <c r="AJ46" s="1263"/>
      <c r="AK46" s="1263"/>
      <c r="AL46" s="1263"/>
      <c r="AM46" s="1263"/>
      <c r="AN46" s="1263"/>
      <c r="AO46" s="1263"/>
      <c r="AP46" s="1263"/>
      <c r="AQ46" s="1263"/>
      <c r="AR46" s="1263"/>
      <c r="AS46" s="1263"/>
      <c r="AT46" s="1263"/>
      <c r="AU46" s="1263"/>
      <c r="AV46" s="1263"/>
      <c r="AW46" s="1263"/>
      <c r="AX46" s="1263"/>
      <c r="AY46" s="1264"/>
    </row>
    <row r="47" spans="2:52">
      <c r="B47" s="1243" t="s">
        <v>557</v>
      </c>
      <c r="C47" s="1244"/>
      <c r="D47" s="1244"/>
      <c r="E47" s="1244"/>
      <c r="F47" s="1244"/>
      <c r="G47" s="1245"/>
      <c r="H47" s="419">
        <v>53350</v>
      </c>
      <c r="I47" s="1246"/>
      <c r="J47" s="1247"/>
      <c r="K47" s="1247"/>
      <c r="L47" s="1247"/>
      <c r="M47" s="1248"/>
      <c r="N47" s="413" t="str">
        <f>IF(ISBLANK(J47)," ",IF(J47&lt;$F$163,"On time",(IF(DAY(J47-$F$163)&lt;1,"On time",(IF(J47&gt;$F$163,"DELAY ( "&amp;DAY(J47-$F$163)&amp;" day "&amp;HOUR(J47-$F$163)&amp;" hour "&amp;MINUTE(J47-$F$163)&amp;" minute )","xxx"))))))</f>
        <v xml:space="preserve"> </v>
      </c>
      <c r="O47" s="32"/>
      <c r="P47" s="415"/>
      <c r="Q47" s="415"/>
      <c r="R47" s="415"/>
      <c r="S47" s="63"/>
      <c r="T47" s="416">
        <f t="shared" ref="T47:AY47" si="3">SUM(T39:T45)</f>
        <v>0</v>
      </c>
      <c r="U47" s="416">
        <f t="shared" si="3"/>
        <v>0</v>
      </c>
      <c r="V47" s="416">
        <f t="shared" si="3"/>
        <v>0</v>
      </c>
      <c r="W47" s="416">
        <f t="shared" si="3"/>
        <v>0</v>
      </c>
      <c r="X47" s="416">
        <f t="shared" si="3"/>
        <v>0</v>
      </c>
      <c r="Y47" s="416">
        <f t="shared" si="3"/>
        <v>31360.978599999999</v>
      </c>
      <c r="Z47" s="416">
        <f t="shared" si="3"/>
        <v>14617.649399999998</v>
      </c>
      <c r="AA47" s="416">
        <f t="shared" si="3"/>
        <v>0</v>
      </c>
      <c r="AB47" s="416">
        <f t="shared" si="3"/>
        <v>4422.8231999999998</v>
      </c>
      <c r="AC47" s="416">
        <f t="shared" si="3"/>
        <v>2948.5488000000005</v>
      </c>
      <c r="AD47" s="416">
        <f t="shared" si="3"/>
        <v>0</v>
      </c>
      <c r="AE47" s="416">
        <f t="shared" si="3"/>
        <v>0</v>
      </c>
      <c r="AF47" s="416">
        <f t="shared" si="3"/>
        <v>0</v>
      </c>
      <c r="AG47" s="416">
        <f t="shared" si="3"/>
        <v>0</v>
      </c>
      <c r="AH47" s="416">
        <f t="shared" si="3"/>
        <v>0</v>
      </c>
      <c r="AI47" s="416">
        <f t="shared" si="3"/>
        <v>0</v>
      </c>
      <c r="AJ47" s="416">
        <f t="shared" si="3"/>
        <v>0</v>
      </c>
      <c r="AK47" s="416">
        <f t="shared" si="3"/>
        <v>0</v>
      </c>
      <c r="AL47" s="416">
        <f t="shared" si="3"/>
        <v>0</v>
      </c>
      <c r="AM47" s="416">
        <f t="shared" si="3"/>
        <v>0</v>
      </c>
      <c r="AN47" s="416">
        <f t="shared" si="3"/>
        <v>0</v>
      </c>
      <c r="AO47" s="416">
        <f t="shared" si="3"/>
        <v>0</v>
      </c>
      <c r="AP47" s="416">
        <f t="shared" si="3"/>
        <v>0</v>
      </c>
      <c r="AQ47" s="416">
        <f t="shared" si="3"/>
        <v>0</v>
      </c>
      <c r="AR47" s="416">
        <f t="shared" si="3"/>
        <v>0</v>
      </c>
      <c r="AS47" s="416">
        <f t="shared" si="3"/>
        <v>0</v>
      </c>
      <c r="AT47" s="416">
        <f t="shared" si="3"/>
        <v>0</v>
      </c>
      <c r="AU47" s="416">
        <f t="shared" si="3"/>
        <v>0</v>
      </c>
      <c r="AV47" s="416">
        <f t="shared" si="3"/>
        <v>0</v>
      </c>
      <c r="AW47" s="416">
        <f t="shared" si="3"/>
        <v>0</v>
      </c>
      <c r="AX47" s="416">
        <f t="shared" si="3"/>
        <v>0</v>
      </c>
      <c r="AY47" s="416">
        <f t="shared" si="3"/>
        <v>0</v>
      </c>
      <c r="AZ47" s="416">
        <f>SUM(T47:AY47)</f>
        <v>53350</v>
      </c>
    </row>
    <row r="48" spans="2:52">
      <c r="B48" s="1243" t="s">
        <v>558</v>
      </c>
      <c r="C48" s="1244"/>
      <c r="D48" s="1244"/>
      <c r="E48" s="1244"/>
      <c r="F48" s="1244"/>
      <c r="G48" s="1245"/>
      <c r="H48" s="420">
        <f>H47-L33</f>
        <v>0</v>
      </c>
      <c r="I48" s="294"/>
      <c r="J48" s="295"/>
      <c r="K48" s="295"/>
      <c r="L48" s="296"/>
      <c r="M48" s="32"/>
      <c r="N48" s="32"/>
      <c r="O48" s="32"/>
      <c r="P48" s="32"/>
      <c r="Q48" s="297"/>
      <c r="R48" s="297"/>
      <c r="S48" s="32"/>
      <c r="T48" s="48"/>
      <c r="U48" s="48"/>
      <c r="V48" s="48"/>
      <c r="W48" s="48"/>
      <c r="X48" s="48"/>
      <c r="Y48" s="48"/>
      <c r="Z48" s="48"/>
      <c r="AA48" s="48"/>
      <c r="AB48" s="48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</row>
    <row r="49" spans="2:56">
      <c r="B49" s="1243" t="s">
        <v>559</v>
      </c>
      <c r="C49" s="1244"/>
      <c r="D49" s="1244"/>
      <c r="E49" s="1244"/>
      <c r="F49" s="1244"/>
      <c r="G49" s="1245"/>
      <c r="H49" s="420">
        <v>864</v>
      </c>
      <c r="I49" s="255">
        <v>930</v>
      </c>
      <c r="J49" s="53"/>
      <c r="K49" s="53"/>
      <c r="L49" s="54"/>
      <c r="M49" s="32"/>
      <c r="N49" s="201"/>
      <c r="O49" s="32"/>
      <c r="P49" s="32"/>
      <c r="Q49" s="32"/>
      <c r="R49" s="32"/>
      <c r="S49" s="32"/>
      <c r="T49" s="48"/>
      <c r="U49" s="48"/>
      <c r="V49" s="48"/>
      <c r="W49" s="48"/>
      <c r="X49" s="48"/>
      <c r="Y49" s="48"/>
      <c r="Z49" s="48"/>
      <c r="AA49" s="48"/>
      <c r="AB49" s="48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</row>
    <row r="50" spans="2:56">
      <c r="B50" s="1243" t="s">
        <v>560</v>
      </c>
      <c r="C50" s="1244"/>
      <c r="D50" s="1244"/>
      <c r="E50" s="1244"/>
      <c r="F50" s="1244"/>
      <c r="G50" s="1245"/>
      <c r="H50" s="421">
        <f>H49-872.772</f>
        <v>-8.7720000000000482</v>
      </c>
      <c r="I50" s="270">
        <f>I49-H49</f>
        <v>66</v>
      </c>
      <c r="J50" s="53"/>
      <c r="K50" s="53"/>
      <c r="L50" s="54"/>
      <c r="M50" s="32"/>
      <c r="N50" s="32"/>
      <c r="O50" s="32"/>
      <c r="P50" s="32"/>
      <c r="Q50" s="32"/>
      <c r="R50" s="32"/>
      <c r="S50" s="48"/>
      <c r="T50" s="48"/>
      <c r="U50" s="48"/>
      <c r="V50" s="48"/>
      <c r="W50" s="48"/>
      <c r="X50" s="48"/>
      <c r="Y50" s="48"/>
      <c r="Z50" s="48"/>
      <c r="AA50" s="48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</row>
    <row r="51" spans="2:56">
      <c r="B51" s="201"/>
      <c r="C51" s="201"/>
      <c r="D51" s="201"/>
      <c r="E51" s="201"/>
      <c r="F51" s="201"/>
      <c r="G51" s="201"/>
      <c r="H51" s="201"/>
      <c r="I51" s="213"/>
      <c r="J51" s="209"/>
      <c r="K51" s="209"/>
      <c r="L51" s="203"/>
      <c r="M51" s="201"/>
      <c r="N51" s="201"/>
      <c r="O51" s="209"/>
      <c r="P51" s="32"/>
      <c r="Q51" s="32"/>
      <c r="R51" s="32"/>
      <c r="S51" s="32"/>
      <c r="T51" s="48"/>
      <c r="U51" s="48"/>
      <c r="V51" s="48"/>
      <c r="W51" s="48"/>
      <c r="X51" s="48"/>
      <c r="Y51" s="48"/>
      <c r="Z51" s="48"/>
      <c r="AA51" s="48"/>
      <c r="AB51" s="48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</row>
    <row r="52" spans="2:56">
      <c r="B52" s="40" t="s">
        <v>561</v>
      </c>
      <c r="C52" s="40"/>
      <c r="D52" s="32"/>
      <c r="E52" s="32"/>
      <c r="F52" s="32"/>
      <c r="G52" s="32"/>
      <c r="H52" s="32"/>
      <c r="I52" s="32"/>
      <c r="J52" s="52"/>
      <c r="K52" s="52"/>
      <c r="L52" s="55"/>
      <c r="M52" s="32"/>
      <c r="N52" s="201"/>
      <c r="O52" s="5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  <c r="AU52" s="201"/>
      <c r="AZ52" s="201"/>
    </row>
    <row r="53" spans="2:56">
      <c r="B53" s="422">
        <v>1</v>
      </c>
      <c r="C53" s="1249" t="s">
        <v>1702</v>
      </c>
      <c r="D53" s="1249"/>
      <c r="E53" s="1249"/>
      <c r="F53" s="1249"/>
      <c r="G53" s="1249"/>
      <c r="H53" s="1249"/>
      <c r="I53" s="1249"/>
      <c r="J53" s="1249"/>
      <c r="K53" s="1249"/>
      <c r="L53" s="203"/>
      <c r="M53" s="203"/>
      <c r="N53" s="201"/>
      <c r="O53" s="209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201"/>
      <c r="AV53" s="201"/>
      <c r="AW53" s="201"/>
      <c r="AX53" s="201"/>
      <c r="AY53" s="201"/>
      <c r="AZ53" s="201"/>
    </row>
    <row r="55" spans="2:56">
      <c r="B55" s="28" t="s">
        <v>126</v>
      </c>
      <c r="C55" s="28"/>
      <c r="D55" s="29"/>
      <c r="E55" s="30" t="s">
        <v>511</v>
      </c>
      <c r="F55" s="31" t="s">
        <v>1345</v>
      </c>
      <c r="G55" s="32"/>
      <c r="H55" s="33"/>
      <c r="I55" s="34"/>
      <c r="J55" s="35" t="s">
        <v>513</v>
      </c>
      <c r="K55" s="36" t="s">
        <v>511</v>
      </c>
      <c r="L55" s="37">
        <v>45048.361111111109</v>
      </c>
      <c r="M55" s="32"/>
      <c r="N55" s="32"/>
      <c r="O55" s="36"/>
      <c r="P55" s="33"/>
      <c r="Q55" s="48"/>
      <c r="R55" s="49"/>
      <c r="S55" s="38"/>
      <c r="T55" s="32"/>
      <c r="U55" s="32"/>
      <c r="V55" s="32"/>
      <c r="W55" s="32"/>
      <c r="X55" s="32"/>
      <c r="Y55" s="32"/>
      <c r="Z55" s="32"/>
      <c r="AA55" s="32"/>
      <c r="AB55" s="48"/>
      <c r="AC55" s="48"/>
      <c r="AD55" s="48"/>
      <c r="AE55" s="48"/>
      <c r="AF55" s="48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</row>
    <row r="56" spans="2:56">
      <c r="B56" s="35" t="s">
        <v>514</v>
      </c>
      <c r="C56" s="35"/>
      <c r="D56" s="32"/>
      <c r="E56" s="36" t="s">
        <v>511</v>
      </c>
      <c r="F56" s="37" t="s">
        <v>1703</v>
      </c>
      <c r="G56" s="32"/>
      <c r="H56" s="33"/>
      <c r="I56" s="34"/>
      <c r="J56" s="35" t="s">
        <v>516</v>
      </c>
      <c r="K56" s="36" t="s">
        <v>511</v>
      </c>
      <c r="L56" s="37">
        <v>45049.692361111112</v>
      </c>
      <c r="M56" s="32"/>
      <c r="N56" s="32"/>
      <c r="O56" s="36"/>
      <c r="P56" s="33"/>
      <c r="Q56" s="48"/>
      <c r="R56" s="49"/>
      <c r="S56" s="38"/>
      <c r="T56" s="32"/>
      <c r="U56" s="32"/>
      <c r="V56" s="32"/>
      <c r="W56" s="32"/>
      <c r="X56" s="32"/>
      <c r="Y56" s="32"/>
      <c r="Z56" s="32"/>
      <c r="AA56" s="32"/>
      <c r="AB56" s="48"/>
      <c r="AC56" s="48"/>
      <c r="AD56" s="48"/>
      <c r="AE56" s="48"/>
      <c r="AF56" s="48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</row>
    <row r="57" spans="2:56">
      <c r="B57" s="35" t="s">
        <v>517</v>
      </c>
      <c r="C57" s="35"/>
      <c r="D57" s="32"/>
      <c r="E57" s="36" t="s">
        <v>511</v>
      </c>
      <c r="F57" s="37">
        <v>45038.324999999997</v>
      </c>
      <c r="G57" s="32"/>
      <c r="H57" s="33"/>
      <c r="I57" s="34"/>
      <c r="J57" s="35" t="s">
        <v>518</v>
      </c>
      <c r="K57" s="36" t="s">
        <v>511</v>
      </c>
      <c r="L57" s="50">
        <v>66770</v>
      </c>
      <c r="M57" s="40" t="s">
        <v>519</v>
      </c>
      <c r="N57" s="40"/>
      <c r="O57" s="36"/>
      <c r="P57" s="33"/>
      <c r="Q57" s="48"/>
      <c r="R57" s="49"/>
      <c r="S57" s="38"/>
      <c r="T57" s="32"/>
      <c r="U57" s="32"/>
      <c r="V57" s="32"/>
      <c r="W57" s="32"/>
      <c r="X57" s="32"/>
      <c r="Y57" s="32"/>
      <c r="Z57" s="32"/>
      <c r="AA57" s="32"/>
      <c r="AB57" s="48"/>
      <c r="AC57" s="48"/>
      <c r="AD57" s="48"/>
      <c r="AE57" s="48"/>
      <c r="AF57" s="48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</row>
    <row r="58" spans="2:56">
      <c r="B58" s="35" t="s">
        <v>520</v>
      </c>
      <c r="C58" s="35"/>
      <c r="D58" s="32"/>
      <c r="E58" s="36" t="s">
        <v>511</v>
      </c>
      <c r="F58" s="37" t="s">
        <v>20</v>
      </c>
      <c r="G58" s="32"/>
      <c r="H58" s="33"/>
      <c r="I58" s="34"/>
      <c r="J58" s="35" t="s">
        <v>521</v>
      </c>
      <c r="K58" s="36" t="s">
        <v>511</v>
      </c>
      <c r="L58" s="41" t="s">
        <v>1704</v>
      </c>
      <c r="M58" s="32"/>
      <c r="N58" s="32"/>
      <c r="O58" s="36"/>
      <c r="P58" s="48"/>
      <c r="Q58" s="48"/>
      <c r="R58" s="49"/>
      <c r="S58" s="38"/>
      <c r="T58" s="32"/>
      <c r="U58" s="32"/>
      <c r="V58" s="32"/>
      <c r="W58" s="32"/>
      <c r="X58" s="32"/>
      <c r="Y58" s="32"/>
      <c r="Z58" s="32"/>
      <c r="AA58" s="32"/>
      <c r="AB58" s="48"/>
      <c r="AC58" s="48"/>
      <c r="AD58" s="48"/>
      <c r="AE58" s="48"/>
      <c r="AF58" s="48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</row>
    <row r="59" spans="2:56">
      <c r="B59" s="35" t="s">
        <v>523</v>
      </c>
      <c r="C59" s="35"/>
      <c r="D59" s="32"/>
      <c r="E59" s="36" t="s">
        <v>511</v>
      </c>
      <c r="F59" s="37" t="s">
        <v>47</v>
      </c>
      <c r="G59" s="32"/>
      <c r="H59" s="33"/>
      <c r="I59" s="34"/>
      <c r="J59" s="42" t="s">
        <v>524</v>
      </c>
      <c r="K59" s="36" t="s">
        <v>511</v>
      </c>
      <c r="L59" s="43" t="s">
        <v>11</v>
      </c>
      <c r="M59" s="44"/>
      <c r="N59" s="44"/>
      <c r="O59" s="36"/>
      <c r="P59" s="33"/>
      <c r="Q59" s="48"/>
      <c r="R59" s="49"/>
      <c r="S59" s="38"/>
      <c r="T59" s="32"/>
      <c r="U59" s="32"/>
      <c r="V59" s="32"/>
      <c r="W59" s="32"/>
      <c r="X59" s="32"/>
      <c r="Y59" s="32"/>
      <c r="Z59" s="32"/>
      <c r="AA59" s="32"/>
      <c r="AB59" s="48"/>
      <c r="AC59" s="48"/>
      <c r="AD59" s="48"/>
      <c r="AE59" s="48"/>
      <c r="AF59" s="48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</row>
    <row r="60" spans="2:56">
      <c r="B60" s="35" t="s">
        <v>2</v>
      </c>
      <c r="C60" s="35"/>
      <c r="D60" s="32"/>
      <c r="E60" s="36" t="s">
        <v>511</v>
      </c>
      <c r="F60" s="37" t="s">
        <v>18</v>
      </c>
      <c r="G60" s="32"/>
      <c r="H60" s="33"/>
      <c r="I60" s="45"/>
      <c r="J60" s="42"/>
      <c r="K60" s="36"/>
      <c r="L60" s="37"/>
      <c r="M60" s="32"/>
      <c r="N60" s="32"/>
      <c r="O60" s="42"/>
      <c r="P60" s="44"/>
      <c r="Q60" s="44"/>
      <c r="R60" s="44"/>
      <c r="S60" s="34"/>
      <c r="T60" s="32"/>
      <c r="U60" s="32"/>
      <c r="V60" s="32"/>
      <c r="W60" s="32"/>
      <c r="X60" s="32"/>
      <c r="Y60" s="32"/>
      <c r="Z60" s="32"/>
      <c r="AA60" s="32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</row>
    <row r="61" spans="2:56">
      <c r="B61" s="32"/>
      <c r="C61" s="32"/>
      <c r="D61" s="32"/>
      <c r="E61" s="32"/>
      <c r="F61" s="32"/>
      <c r="G61" s="32"/>
      <c r="H61" s="32"/>
      <c r="I61" s="45"/>
      <c r="J61" s="42"/>
      <c r="K61" s="42"/>
      <c r="L61" s="43"/>
      <c r="M61" s="44"/>
      <c r="N61" s="44"/>
      <c r="O61" s="42"/>
      <c r="P61" s="44"/>
      <c r="Q61" s="44"/>
      <c r="R61" s="44"/>
      <c r="S61" s="34"/>
      <c r="T61" s="1270" t="s">
        <v>87</v>
      </c>
      <c r="U61" s="1270"/>
      <c r="V61" s="1270"/>
      <c r="W61" s="1270"/>
      <c r="X61" s="1270"/>
      <c r="Y61" s="1270" t="s">
        <v>73</v>
      </c>
      <c r="Z61" s="1270"/>
      <c r="AA61" s="1270"/>
      <c r="AB61" s="1270" t="s">
        <v>74</v>
      </c>
      <c r="AC61" s="1270"/>
      <c r="AD61" s="407" t="s">
        <v>85</v>
      </c>
      <c r="AE61" s="407" t="s">
        <v>77</v>
      </c>
      <c r="AF61" s="1270" t="s">
        <v>525</v>
      </c>
      <c r="AG61" s="1270"/>
      <c r="AH61" s="1270"/>
      <c r="AI61" s="1270"/>
      <c r="AJ61" s="1270"/>
      <c r="AK61" s="1270"/>
      <c r="AL61" s="1270"/>
      <c r="AM61" s="1270"/>
      <c r="AN61" s="1270"/>
      <c r="AO61" s="1270"/>
      <c r="AP61" s="1270"/>
      <c r="AQ61" s="1270"/>
      <c r="AR61" s="1270"/>
      <c r="AS61" s="1270"/>
      <c r="AT61" s="1270"/>
      <c r="AU61" s="1270"/>
      <c r="AV61" s="1270"/>
      <c r="AW61" s="1270"/>
      <c r="AX61" s="1270"/>
      <c r="AY61" s="1270"/>
      <c r="AZ61" s="1270"/>
      <c r="BA61" s="1270"/>
      <c r="BB61" s="1270"/>
      <c r="BC61" s="1270"/>
      <c r="BD61" s="32"/>
    </row>
    <row r="62" spans="2:56">
      <c r="B62" s="1266" t="s">
        <v>526</v>
      </c>
      <c r="C62" s="1267"/>
      <c r="D62" s="570" t="s">
        <v>527</v>
      </c>
      <c r="E62" s="570"/>
      <c r="F62" s="570" t="s">
        <v>528</v>
      </c>
      <c r="G62" s="570" t="s">
        <v>529</v>
      </c>
      <c r="H62" s="570" t="s">
        <v>530</v>
      </c>
      <c r="I62" s="570" t="s">
        <v>531</v>
      </c>
      <c r="J62" s="570" t="s">
        <v>532</v>
      </c>
      <c r="K62" s="570"/>
      <c r="L62" s="570" t="s">
        <v>130</v>
      </c>
      <c r="M62" s="570" t="s">
        <v>533</v>
      </c>
      <c r="N62" s="408" t="str">
        <f>"On time - "&amp;COUNTIF(N63:N71,"On time")&amp;" from "&amp;ROWS(N63:N71)-COUNTIF(N63:N71," ")</f>
        <v>On time - 1 from 8</v>
      </c>
      <c r="O62" s="46"/>
      <c r="P62" s="409" t="s">
        <v>534</v>
      </c>
      <c r="Q62" s="409" t="s">
        <v>535</v>
      </c>
      <c r="R62" s="409" t="s">
        <v>536</v>
      </c>
      <c r="S62" s="32"/>
      <c r="T62" s="410" t="s">
        <v>537</v>
      </c>
      <c r="U62" s="410" t="s">
        <v>538</v>
      </c>
      <c r="V62" s="410" t="s">
        <v>539</v>
      </c>
      <c r="W62" s="410" t="s">
        <v>540</v>
      </c>
      <c r="X62" s="410" t="s">
        <v>541</v>
      </c>
      <c r="Y62" s="410" t="s">
        <v>167</v>
      </c>
      <c r="Z62" s="410" t="s">
        <v>168</v>
      </c>
      <c r="AA62" s="410" t="s">
        <v>169</v>
      </c>
      <c r="AB62" s="410" t="s">
        <v>235</v>
      </c>
      <c r="AC62" s="410" t="s">
        <v>240</v>
      </c>
      <c r="AD62" s="407" t="s">
        <v>85</v>
      </c>
      <c r="AE62" s="410" t="s">
        <v>139</v>
      </c>
      <c r="AF62" s="410" t="s">
        <v>72</v>
      </c>
      <c r="AG62" s="410" t="s">
        <v>88</v>
      </c>
      <c r="AH62" s="410" t="s">
        <v>75</v>
      </c>
      <c r="AI62" s="410" t="s">
        <v>543</v>
      </c>
      <c r="AJ62" s="410" t="s">
        <v>78</v>
      </c>
      <c r="AK62" s="410" t="s">
        <v>76</v>
      </c>
      <c r="AL62" s="410" t="s">
        <v>544</v>
      </c>
      <c r="AM62" s="410" t="s">
        <v>545</v>
      </c>
      <c r="AN62" s="410" t="s">
        <v>86</v>
      </c>
      <c r="AO62" s="410" t="s">
        <v>83</v>
      </c>
      <c r="AP62" s="410" t="s">
        <v>84</v>
      </c>
      <c r="AQ62" s="410" t="s">
        <v>546</v>
      </c>
      <c r="AR62" s="410" t="s">
        <v>81</v>
      </c>
      <c r="AS62" s="410" t="s">
        <v>80</v>
      </c>
      <c r="AT62" s="410" t="s">
        <v>82</v>
      </c>
      <c r="AU62" s="410" t="s">
        <v>181</v>
      </c>
      <c r="AV62" s="410" t="s">
        <v>183</v>
      </c>
      <c r="AW62" s="410" t="s">
        <v>547</v>
      </c>
      <c r="AX62" s="410" t="s">
        <v>182</v>
      </c>
      <c r="AY62" s="410" t="s">
        <v>172</v>
      </c>
      <c r="AZ62" s="410" t="s">
        <v>173</v>
      </c>
      <c r="BA62" s="410" t="s">
        <v>184</v>
      </c>
      <c r="BB62" s="410" t="s">
        <v>100</v>
      </c>
      <c r="BC62" s="410" t="s">
        <v>913</v>
      </c>
      <c r="BD62" s="32"/>
    </row>
    <row r="63" spans="2:56">
      <c r="B63" s="1256">
        <v>1</v>
      </c>
      <c r="C63" s="1257"/>
      <c r="D63" s="411" t="s">
        <v>1346</v>
      </c>
      <c r="E63" s="411"/>
      <c r="F63" s="411" t="s">
        <v>403</v>
      </c>
      <c r="G63" s="411" t="s">
        <v>404</v>
      </c>
      <c r="H63" s="412">
        <v>7550.8950000000004</v>
      </c>
      <c r="I63" s="413" t="s">
        <v>172</v>
      </c>
      <c r="J63" s="414">
        <v>45038.833333333336</v>
      </c>
      <c r="K63" s="414"/>
      <c r="L63" s="414" t="s">
        <v>192</v>
      </c>
      <c r="M63" s="414" t="s">
        <v>192</v>
      </c>
      <c r="N63" s="413" t="str">
        <f>IF(ISBLANK(J63)," ",IF(J63&lt;$F$57,"On time",(IF(DAY(J63-$F$57)&lt;1,"On time",(IF(J63&gt;$F$57,"DELAY ( "&amp;DAY(J63-$F$57)&amp;" day "&amp;HOUR(J63-$F$57)&amp;" hour "&amp;MINUTE(J63-$F$57)&amp;" minute )","xxx"))))))</f>
        <v>On time</v>
      </c>
      <c r="O63" s="51"/>
      <c r="P63" s="415" t="s">
        <v>551</v>
      </c>
      <c r="Q63" s="415" t="s">
        <v>551</v>
      </c>
      <c r="R63" s="415" t="s">
        <v>551</v>
      </c>
      <c r="S63" s="32"/>
      <c r="T63" s="416"/>
      <c r="U63" s="416"/>
      <c r="V63" s="416"/>
      <c r="W63" s="416"/>
      <c r="X63" s="416"/>
      <c r="Y63" s="416"/>
      <c r="Z63" s="416"/>
      <c r="AA63" s="416"/>
      <c r="AB63" s="416"/>
      <c r="AC63" s="416"/>
      <c r="AD63" s="416"/>
      <c r="AE63" s="416"/>
      <c r="AF63" s="416"/>
      <c r="AG63" s="416"/>
      <c r="AH63" s="416"/>
      <c r="AI63" s="416"/>
      <c r="AJ63" s="416"/>
      <c r="AK63" s="416"/>
      <c r="AL63" s="416"/>
      <c r="AM63" s="416"/>
      <c r="AN63" s="416"/>
      <c r="AO63" s="416"/>
      <c r="AP63" s="416"/>
      <c r="AQ63" s="416"/>
      <c r="AR63" s="416"/>
      <c r="AS63" s="416"/>
      <c r="AT63" s="416"/>
      <c r="AU63" s="32"/>
      <c r="AV63" s="416"/>
      <c r="AW63" s="416"/>
      <c r="AX63" s="416"/>
      <c r="AY63" s="416">
        <f>H63</f>
        <v>7550.8950000000004</v>
      </c>
      <c r="AZ63" s="416"/>
      <c r="BA63" s="416"/>
      <c r="BB63" s="416"/>
      <c r="BC63" s="416"/>
      <c r="BD63" s="32"/>
    </row>
    <row r="64" spans="2:56">
      <c r="B64" s="1256">
        <v>2</v>
      </c>
      <c r="C64" s="1257"/>
      <c r="D64" s="411" t="s">
        <v>1383</v>
      </c>
      <c r="E64" s="411"/>
      <c r="F64" s="411" t="s">
        <v>205</v>
      </c>
      <c r="G64" s="411" t="s">
        <v>206</v>
      </c>
      <c r="H64" s="412">
        <v>7284.89</v>
      </c>
      <c r="I64" s="413" t="s">
        <v>494</v>
      </c>
      <c r="J64" s="414">
        <v>45040.100694444445</v>
      </c>
      <c r="K64" s="414"/>
      <c r="L64" s="414" t="s">
        <v>192</v>
      </c>
      <c r="M64" s="414" t="s">
        <v>192</v>
      </c>
      <c r="N64" s="413" t="str">
        <f t="shared" ref="N64:N73" si="4">IF(ISBLANK(J64)," ",IF(J64&lt;$F$57,"On time",(IF(DAY(J64-$F$57)&lt;1,"On time",(IF(J64&gt;$F$57,"DELAY ( "&amp;DAY(J64-$F$57)&amp;" day "&amp;HOUR(J64-$F$57)&amp;" hour "&amp;MINUTE(J64-$F$57)&amp;" minute )","xxx"))))))</f>
        <v>DELAY ( 1 day 18 hour 37 minute )</v>
      </c>
      <c r="O64" s="51"/>
      <c r="P64" s="415" t="s">
        <v>551</v>
      </c>
      <c r="Q64" s="415" t="s">
        <v>551</v>
      </c>
      <c r="R64" s="415" t="s">
        <v>551</v>
      </c>
      <c r="S64" s="32"/>
      <c r="T64" s="416"/>
      <c r="U64" s="416"/>
      <c r="V64" s="416"/>
      <c r="W64" s="416"/>
      <c r="X64" s="416"/>
      <c r="Y64" s="416">
        <f>H64</f>
        <v>7284.89</v>
      </c>
      <c r="Z64" s="416"/>
      <c r="AA64" s="416"/>
      <c r="AB64" s="416"/>
      <c r="AC64" s="416"/>
      <c r="AD64" s="416"/>
      <c r="AE64" s="416"/>
      <c r="AF64" s="416"/>
      <c r="AG64" s="416"/>
      <c r="AH64" s="416"/>
      <c r="AI64" s="416"/>
      <c r="AJ64" s="416"/>
      <c r="AK64" s="416"/>
      <c r="AL64" s="416"/>
      <c r="AM64" s="416"/>
      <c r="AN64" s="416"/>
      <c r="AO64" s="416"/>
      <c r="AP64" s="416"/>
      <c r="AQ64" s="416"/>
      <c r="AR64" s="416"/>
      <c r="AS64" s="416"/>
      <c r="AT64" s="416"/>
      <c r="AU64" s="416"/>
      <c r="AV64" s="416"/>
      <c r="AW64" s="416"/>
      <c r="AX64" s="416"/>
      <c r="AY64" s="416"/>
      <c r="AZ64" s="416"/>
      <c r="BA64" s="416"/>
      <c r="BB64" s="416"/>
      <c r="BC64" s="416"/>
      <c r="BD64" s="32"/>
    </row>
    <row r="65" spans="2:56">
      <c r="B65" s="1256">
        <v>3</v>
      </c>
      <c r="C65" s="1257"/>
      <c r="D65" s="411" t="s">
        <v>1381</v>
      </c>
      <c r="E65" s="411"/>
      <c r="F65" s="411" t="s">
        <v>390</v>
      </c>
      <c r="G65" s="411" t="s">
        <v>391</v>
      </c>
      <c r="H65" s="412">
        <v>7632.0839999999998</v>
      </c>
      <c r="I65" s="413" t="s">
        <v>494</v>
      </c>
      <c r="J65" s="414">
        <v>45040.107638888891</v>
      </c>
      <c r="K65" s="414"/>
      <c r="L65" s="414" t="s">
        <v>192</v>
      </c>
      <c r="M65" s="414" t="s">
        <v>192</v>
      </c>
      <c r="N65" s="413" t="str">
        <f t="shared" si="4"/>
        <v>DELAY ( 1 day 18 hour 47 minute )</v>
      </c>
      <c r="O65" s="51"/>
      <c r="P65" s="415" t="s">
        <v>551</v>
      </c>
      <c r="Q65" s="415" t="s">
        <v>551</v>
      </c>
      <c r="R65" s="415" t="s">
        <v>551</v>
      </c>
      <c r="S65" s="32"/>
      <c r="T65" s="416"/>
      <c r="U65" s="416"/>
      <c r="V65" s="416"/>
      <c r="W65" s="416"/>
      <c r="X65" s="416"/>
      <c r="Y65" s="416">
        <f>H65</f>
        <v>7632.0839999999998</v>
      </c>
      <c r="Z65" s="416"/>
      <c r="AA65" s="416"/>
      <c r="AB65" s="32"/>
      <c r="AC65" s="416"/>
      <c r="AD65" s="416"/>
      <c r="AE65" s="416"/>
      <c r="AF65" s="416"/>
      <c r="AG65" s="416"/>
      <c r="AH65" s="416"/>
      <c r="AI65" s="416"/>
      <c r="AJ65" s="416"/>
      <c r="AK65" s="416"/>
      <c r="AL65" s="416"/>
      <c r="AM65" s="416"/>
      <c r="AN65" s="416"/>
      <c r="AO65" s="416"/>
      <c r="AP65" s="32"/>
      <c r="AQ65" s="416"/>
      <c r="AR65" s="416"/>
      <c r="AS65" s="416"/>
      <c r="AT65" s="416"/>
      <c r="AU65" s="416"/>
      <c r="AV65" s="416"/>
      <c r="AW65" s="416"/>
      <c r="AX65" s="416"/>
      <c r="AY65" s="416"/>
      <c r="AZ65" s="416"/>
      <c r="BA65" s="416"/>
      <c r="BB65" s="416"/>
      <c r="BC65" s="416"/>
      <c r="BD65" s="32"/>
    </row>
    <row r="66" spans="2:56">
      <c r="B66" s="1256">
        <v>4</v>
      </c>
      <c r="C66" s="1257"/>
      <c r="D66" s="411" t="s">
        <v>1384</v>
      </c>
      <c r="E66" s="411"/>
      <c r="F66" s="411" t="s">
        <v>367</v>
      </c>
      <c r="G66" s="411" t="s">
        <v>368</v>
      </c>
      <c r="H66" s="412">
        <v>9825.5220000000008</v>
      </c>
      <c r="I66" s="413" t="s">
        <v>835</v>
      </c>
      <c r="J66" s="414">
        <v>45042.833333333336</v>
      </c>
      <c r="K66" s="414"/>
      <c r="L66" s="414" t="s">
        <v>192</v>
      </c>
      <c r="M66" s="414" t="s">
        <v>192</v>
      </c>
      <c r="N66" s="413" t="str">
        <f t="shared" si="4"/>
        <v>DELAY ( 4 day 12 hour 12 minute )</v>
      </c>
      <c r="O66" s="51"/>
      <c r="P66" s="415" t="s">
        <v>551</v>
      </c>
      <c r="Q66" s="415" t="s">
        <v>551</v>
      </c>
      <c r="R66" s="415" t="s">
        <v>551</v>
      </c>
      <c r="S66" s="32"/>
      <c r="T66" s="416"/>
      <c r="U66" s="416"/>
      <c r="V66" s="416"/>
      <c r="W66" s="416"/>
      <c r="X66" s="416"/>
      <c r="Y66" s="32"/>
      <c r="Z66" s="416">
        <f>H66</f>
        <v>9825.5220000000008</v>
      </c>
      <c r="AA66" s="416"/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  <c r="AL66" s="416"/>
      <c r="AM66" s="416"/>
      <c r="AN66" s="416"/>
      <c r="AO66" s="416"/>
      <c r="AP66" s="416"/>
      <c r="AQ66" s="416"/>
      <c r="AR66" s="416"/>
      <c r="AS66" s="416"/>
      <c r="AT66" s="416"/>
      <c r="AU66" s="416"/>
      <c r="AV66" s="416"/>
      <c r="AW66" s="416"/>
      <c r="AX66" s="416"/>
      <c r="AY66" s="416"/>
      <c r="AZ66" s="416"/>
      <c r="BA66" s="416"/>
      <c r="BB66" s="416"/>
      <c r="BC66" s="416"/>
      <c r="BD66" s="32"/>
    </row>
    <row r="67" spans="2:56">
      <c r="B67" s="1256">
        <v>5</v>
      </c>
      <c r="C67" s="1257"/>
      <c r="D67" s="411" t="s">
        <v>1382</v>
      </c>
      <c r="E67" s="411"/>
      <c r="F67" s="411" t="s">
        <v>489</v>
      </c>
      <c r="G67" s="411" t="s">
        <v>483</v>
      </c>
      <c r="H67" s="412">
        <v>7501.0940000000001</v>
      </c>
      <c r="I67" s="413" t="s">
        <v>494</v>
      </c>
      <c r="J67" s="414">
        <v>45040.25</v>
      </c>
      <c r="K67" s="414"/>
      <c r="L67" s="414" t="s">
        <v>192</v>
      </c>
      <c r="M67" s="414" t="s">
        <v>192</v>
      </c>
      <c r="N67" s="413" t="str">
        <f t="shared" si="4"/>
        <v>DELAY ( 1 day 22 hour 12 minute )</v>
      </c>
      <c r="O67" s="51"/>
      <c r="P67" s="415" t="s">
        <v>551</v>
      </c>
      <c r="Q67" s="415" t="s">
        <v>551</v>
      </c>
      <c r="R67" s="415" t="s">
        <v>551</v>
      </c>
      <c r="S67" s="32"/>
      <c r="T67" s="416"/>
      <c r="U67" s="416"/>
      <c r="V67" s="416"/>
      <c r="W67" s="416"/>
      <c r="X67" s="416"/>
      <c r="Y67" s="416">
        <f>H67</f>
        <v>7501.0940000000001</v>
      </c>
      <c r="Z67" s="416"/>
      <c r="AA67" s="416"/>
      <c r="AB67" s="416"/>
      <c r="AC67" s="416"/>
      <c r="AD67" s="416"/>
      <c r="AE67" s="416"/>
      <c r="AF67" s="416"/>
      <c r="AG67" s="416"/>
      <c r="AH67" s="416"/>
      <c r="AI67" s="416"/>
      <c r="AJ67" s="416"/>
      <c r="AK67" s="416"/>
      <c r="AL67" s="416"/>
      <c r="AM67" s="416"/>
      <c r="AN67" s="416"/>
      <c r="AO67" s="416"/>
      <c r="AP67" s="416"/>
      <c r="AQ67" s="416"/>
      <c r="AR67" s="416"/>
      <c r="AS67" s="416"/>
      <c r="AT67" s="416"/>
      <c r="AU67" s="416"/>
      <c r="AV67" s="416"/>
      <c r="AW67" s="416"/>
      <c r="AX67" s="416"/>
      <c r="AY67" s="416"/>
      <c r="AZ67" s="416"/>
      <c r="BA67" s="416"/>
      <c r="BB67" s="416"/>
      <c r="BC67" s="416"/>
      <c r="BD67" s="32"/>
    </row>
    <row r="68" spans="2:56">
      <c r="B68" s="1256">
        <v>6</v>
      </c>
      <c r="C68" s="1257"/>
      <c r="D68" s="411" t="s">
        <v>1385</v>
      </c>
      <c r="E68" s="411"/>
      <c r="F68" s="411" t="s">
        <v>361</v>
      </c>
      <c r="G68" s="411" t="s">
        <v>362</v>
      </c>
      <c r="H68" s="412">
        <v>7296.0649999999996</v>
      </c>
      <c r="I68" s="413" t="s">
        <v>494</v>
      </c>
      <c r="J68" s="414">
        <v>45041.770833333336</v>
      </c>
      <c r="K68" s="414"/>
      <c r="L68" s="414" t="s">
        <v>192</v>
      </c>
      <c r="M68" s="414" t="s">
        <v>192</v>
      </c>
      <c r="N68" s="413" t="str">
        <f t="shared" si="4"/>
        <v>DELAY ( 3 day 10 hour 42 minute )</v>
      </c>
      <c r="O68" s="51"/>
      <c r="P68" s="415" t="s">
        <v>551</v>
      </c>
      <c r="Q68" s="415" t="s">
        <v>551</v>
      </c>
      <c r="R68" s="415" t="s">
        <v>551</v>
      </c>
      <c r="S68" s="32"/>
      <c r="T68" s="416"/>
      <c r="U68" s="416"/>
      <c r="V68" s="416"/>
      <c r="W68" s="416"/>
      <c r="X68" s="416"/>
      <c r="Y68" s="416">
        <f>H68</f>
        <v>7296.0649999999996</v>
      </c>
      <c r="Z68" s="416"/>
      <c r="AA68" s="416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  <c r="AX68" s="416"/>
      <c r="AY68" s="416"/>
      <c r="AZ68" s="416"/>
      <c r="BA68" s="416"/>
      <c r="BB68" s="416"/>
      <c r="BC68" s="416"/>
      <c r="BD68" s="32"/>
    </row>
    <row r="69" spans="2:56">
      <c r="B69" s="1256">
        <v>7</v>
      </c>
      <c r="C69" s="1257"/>
      <c r="D69" s="411" t="s">
        <v>1386</v>
      </c>
      <c r="E69" s="411"/>
      <c r="F69" s="411" t="s">
        <v>310</v>
      </c>
      <c r="G69" s="411" t="s">
        <v>311</v>
      </c>
      <c r="H69" s="412">
        <v>7528.0720000000001</v>
      </c>
      <c r="I69" s="413" t="s">
        <v>494</v>
      </c>
      <c r="J69" s="414">
        <v>45043.767361111109</v>
      </c>
      <c r="K69" s="414"/>
      <c r="L69" s="414" t="s">
        <v>192</v>
      </c>
      <c r="M69" s="414" t="s">
        <v>192</v>
      </c>
      <c r="N69" s="413" t="str">
        <f t="shared" si="4"/>
        <v>DELAY ( 5 day 10 hour 37 minute )</v>
      </c>
      <c r="O69" s="51"/>
      <c r="P69" s="415" t="s">
        <v>551</v>
      </c>
      <c r="Q69" s="415" t="s">
        <v>551</v>
      </c>
      <c r="R69" s="415" t="s">
        <v>551</v>
      </c>
      <c r="S69" s="32"/>
      <c r="T69" s="416"/>
      <c r="U69" s="416"/>
      <c r="V69" s="416"/>
      <c r="W69" s="416"/>
      <c r="X69" s="416"/>
      <c r="Y69" s="416">
        <f>H69</f>
        <v>7528.0720000000001</v>
      </c>
      <c r="Z69" s="416"/>
      <c r="AA69" s="416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  <c r="AX69" s="416"/>
      <c r="AY69" s="416"/>
      <c r="AZ69" s="416"/>
      <c r="BA69" s="416"/>
      <c r="BB69" s="416"/>
      <c r="BC69" s="416"/>
      <c r="BD69" s="32"/>
    </row>
    <row r="70" spans="2:56">
      <c r="B70" s="1256">
        <v>8</v>
      </c>
      <c r="C70" s="1257"/>
      <c r="D70" s="411" t="s">
        <v>1387</v>
      </c>
      <c r="E70" s="411"/>
      <c r="F70" s="411" t="s">
        <v>249</v>
      </c>
      <c r="G70" s="411" t="s">
        <v>250</v>
      </c>
      <c r="H70" s="412">
        <v>7544.7120000000004</v>
      </c>
      <c r="I70" s="413" t="s">
        <v>494</v>
      </c>
      <c r="J70" s="414">
        <v>45043.833333333336</v>
      </c>
      <c r="K70" s="414"/>
      <c r="L70" s="414" t="s">
        <v>192</v>
      </c>
      <c r="M70" s="414" t="s">
        <v>192</v>
      </c>
      <c r="N70" s="413" t="str">
        <f t="shared" si="4"/>
        <v>DELAY ( 5 day 12 hour 12 minute )</v>
      </c>
      <c r="O70" s="51"/>
      <c r="P70" s="415" t="s">
        <v>551</v>
      </c>
      <c r="Q70" s="415" t="s">
        <v>551</v>
      </c>
      <c r="R70" s="415" t="s">
        <v>551</v>
      </c>
      <c r="S70" s="32"/>
      <c r="T70" s="416"/>
      <c r="U70" s="416"/>
      <c r="V70" s="416"/>
      <c r="W70" s="416"/>
      <c r="X70" s="416"/>
      <c r="Y70" s="416">
        <f>H70</f>
        <v>7544.7120000000004</v>
      </c>
      <c r="Z70" s="416"/>
      <c r="AA70" s="416"/>
      <c r="AB70" s="416"/>
      <c r="AC70" s="416"/>
      <c r="AD70" s="416"/>
      <c r="AE70" s="416"/>
      <c r="AF70" s="416"/>
      <c r="AG70" s="416"/>
      <c r="AH70" s="416"/>
      <c r="AI70" s="416"/>
      <c r="AJ70" s="416"/>
      <c r="AK70" s="416"/>
      <c r="AL70" s="416"/>
      <c r="AM70" s="416"/>
      <c r="AN70" s="416"/>
      <c r="AO70" s="416"/>
      <c r="AP70" s="416"/>
      <c r="AQ70" s="416"/>
      <c r="AR70" s="416"/>
      <c r="AS70" s="416"/>
      <c r="AT70" s="416"/>
      <c r="AU70" s="416"/>
      <c r="AV70" s="416"/>
      <c r="AW70" s="416"/>
      <c r="AX70" s="416"/>
      <c r="AY70" s="416"/>
      <c r="AZ70" s="416"/>
      <c r="BA70" s="416"/>
      <c r="BB70" s="416"/>
      <c r="BC70" s="416"/>
      <c r="BD70" s="32"/>
    </row>
    <row r="71" spans="2:56">
      <c r="B71" s="1256" t="s">
        <v>610</v>
      </c>
      <c r="C71" s="1276"/>
      <c r="D71" s="1276"/>
      <c r="E71" s="1276"/>
      <c r="F71" s="1276"/>
      <c r="G71" s="1257"/>
      <c r="H71" s="412">
        <f>H73-SUM(H63:H70)</f>
        <v>4606.6659999999974</v>
      </c>
      <c r="I71" s="413" t="s">
        <v>611</v>
      </c>
      <c r="J71" s="414"/>
      <c r="K71" s="414"/>
      <c r="L71" s="414"/>
      <c r="M71" s="414"/>
      <c r="N71" s="413" t="str">
        <f t="shared" si="4"/>
        <v xml:space="preserve"> </v>
      </c>
      <c r="O71" s="51"/>
      <c r="P71" s="415" t="s">
        <v>551</v>
      </c>
      <c r="Q71" s="415"/>
      <c r="R71" s="415"/>
      <c r="S71" s="32"/>
      <c r="T71" s="416">
        <f>H71</f>
        <v>4606.6659999999974</v>
      </c>
      <c r="U71" s="416"/>
      <c r="V71" s="416"/>
      <c r="W71" s="416"/>
      <c r="X71" s="32"/>
      <c r="Y71" s="416"/>
      <c r="Z71" s="416"/>
      <c r="AA71" s="416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  <c r="AX71" s="416"/>
      <c r="AY71" s="416"/>
      <c r="AZ71" s="416"/>
      <c r="BA71" s="416"/>
      <c r="BB71" s="416"/>
      <c r="BC71" s="416"/>
      <c r="BD71" s="32"/>
    </row>
    <row r="72" spans="2:56">
      <c r="B72" s="1258" t="s">
        <v>556</v>
      </c>
      <c r="C72" s="1259"/>
      <c r="D72" s="1259"/>
      <c r="E72" s="1259"/>
      <c r="F72" s="1259"/>
      <c r="G72" s="1260"/>
      <c r="H72" s="417">
        <f>SUM(H63:H71)</f>
        <v>66770</v>
      </c>
      <c r="I72" s="388"/>
      <c r="J72" s="293"/>
      <c r="K72" s="293"/>
      <c r="L72" s="293"/>
      <c r="M72" s="389"/>
      <c r="N72" s="413" t="str">
        <f t="shared" si="4"/>
        <v xml:space="preserve"> </v>
      </c>
      <c r="O72" s="47"/>
      <c r="P72" s="418"/>
      <c r="Q72" s="418"/>
      <c r="R72" s="418"/>
      <c r="S72" s="32"/>
      <c r="T72" s="1262"/>
      <c r="U72" s="1263"/>
      <c r="V72" s="1263"/>
      <c r="W72" s="1263"/>
      <c r="X72" s="1263"/>
      <c r="Y72" s="1263"/>
      <c r="Z72" s="1263"/>
      <c r="AA72" s="1263"/>
      <c r="AB72" s="1263"/>
      <c r="AC72" s="1263"/>
      <c r="AD72" s="1263"/>
      <c r="AE72" s="1263"/>
      <c r="AF72" s="1263"/>
      <c r="AG72" s="1263"/>
      <c r="AH72" s="1263"/>
      <c r="AI72" s="1263"/>
      <c r="AJ72" s="1263"/>
      <c r="AK72" s="1263"/>
      <c r="AL72" s="1263"/>
      <c r="AM72" s="1263"/>
      <c r="AN72" s="1263"/>
      <c r="AO72" s="1263"/>
      <c r="AP72" s="1263"/>
      <c r="AQ72" s="1263"/>
      <c r="AR72" s="1263"/>
      <c r="AS72" s="1263"/>
      <c r="AT72" s="1263"/>
      <c r="AU72" s="1263"/>
      <c r="AV72" s="1263"/>
      <c r="AW72" s="1263"/>
      <c r="AX72" s="1263"/>
      <c r="AY72" s="1263"/>
      <c r="AZ72" s="1263"/>
      <c r="BA72" s="1263"/>
      <c r="BB72" s="1263"/>
      <c r="BC72" s="1264"/>
    </row>
    <row r="73" spans="2:56">
      <c r="B73" s="1243" t="s">
        <v>557</v>
      </c>
      <c r="C73" s="1244"/>
      <c r="D73" s="1244"/>
      <c r="E73" s="1244"/>
      <c r="F73" s="1244"/>
      <c r="G73" s="1245"/>
      <c r="H73" s="419">
        <v>66770</v>
      </c>
      <c r="I73" s="1246"/>
      <c r="J73" s="1247"/>
      <c r="K73" s="1247"/>
      <c r="L73" s="1247"/>
      <c r="M73" s="1248"/>
      <c r="N73" s="413" t="str">
        <f t="shared" si="4"/>
        <v xml:space="preserve"> </v>
      </c>
      <c r="O73" s="32"/>
      <c r="P73" s="415"/>
      <c r="Q73" s="415"/>
      <c r="R73" s="415"/>
      <c r="S73" s="63"/>
      <c r="T73" s="416">
        <f t="shared" ref="T73:BC73" si="5">SUM(T63:T71)</f>
        <v>4606.6659999999974</v>
      </c>
      <c r="U73" s="416">
        <f t="shared" si="5"/>
        <v>0</v>
      </c>
      <c r="V73" s="416">
        <f t="shared" si="5"/>
        <v>0</v>
      </c>
      <c r="W73" s="416">
        <f t="shared" si="5"/>
        <v>0</v>
      </c>
      <c r="X73" s="416">
        <f t="shared" si="5"/>
        <v>0</v>
      </c>
      <c r="Y73" s="416">
        <f t="shared" si="5"/>
        <v>44786.917000000001</v>
      </c>
      <c r="Z73" s="416">
        <f t="shared" si="5"/>
        <v>9825.5220000000008</v>
      </c>
      <c r="AA73" s="416">
        <f t="shared" si="5"/>
        <v>0</v>
      </c>
      <c r="AB73" s="416">
        <f t="shared" si="5"/>
        <v>0</v>
      </c>
      <c r="AC73" s="416">
        <f t="shared" si="5"/>
        <v>0</v>
      </c>
      <c r="AD73" s="416">
        <f t="shared" si="5"/>
        <v>0</v>
      </c>
      <c r="AE73" s="416">
        <f t="shared" si="5"/>
        <v>0</v>
      </c>
      <c r="AF73" s="416">
        <f t="shared" si="5"/>
        <v>0</v>
      </c>
      <c r="AG73" s="416">
        <f t="shared" si="5"/>
        <v>0</v>
      </c>
      <c r="AH73" s="416">
        <f t="shared" si="5"/>
        <v>0</v>
      </c>
      <c r="AI73" s="416">
        <f t="shared" si="5"/>
        <v>0</v>
      </c>
      <c r="AJ73" s="416">
        <f t="shared" si="5"/>
        <v>0</v>
      </c>
      <c r="AK73" s="416">
        <f t="shared" si="5"/>
        <v>0</v>
      </c>
      <c r="AL73" s="416">
        <f t="shared" si="5"/>
        <v>0</v>
      </c>
      <c r="AM73" s="416">
        <f t="shared" si="5"/>
        <v>0</v>
      </c>
      <c r="AN73" s="416">
        <f t="shared" si="5"/>
        <v>0</v>
      </c>
      <c r="AO73" s="416">
        <f t="shared" si="5"/>
        <v>0</v>
      </c>
      <c r="AP73" s="416">
        <f t="shared" si="5"/>
        <v>0</v>
      </c>
      <c r="AQ73" s="416">
        <f t="shared" si="5"/>
        <v>0</v>
      </c>
      <c r="AR73" s="416">
        <f t="shared" si="5"/>
        <v>0</v>
      </c>
      <c r="AS73" s="416">
        <f t="shared" si="5"/>
        <v>0</v>
      </c>
      <c r="AT73" s="416">
        <f t="shared" si="5"/>
        <v>0</v>
      </c>
      <c r="AU73" s="416">
        <f t="shared" si="5"/>
        <v>0</v>
      </c>
      <c r="AV73" s="416">
        <f t="shared" si="5"/>
        <v>0</v>
      </c>
      <c r="AW73" s="416">
        <f t="shared" si="5"/>
        <v>0</v>
      </c>
      <c r="AX73" s="416">
        <f t="shared" si="5"/>
        <v>0</v>
      </c>
      <c r="AY73" s="416">
        <f t="shared" si="5"/>
        <v>7550.8950000000004</v>
      </c>
      <c r="AZ73" s="416">
        <f t="shared" si="5"/>
        <v>0</v>
      </c>
      <c r="BA73" s="416">
        <f t="shared" si="5"/>
        <v>0</v>
      </c>
      <c r="BB73" s="416">
        <f t="shared" si="5"/>
        <v>0</v>
      </c>
      <c r="BC73" s="416">
        <f t="shared" si="5"/>
        <v>0</v>
      </c>
      <c r="BD73" s="416">
        <f>SUM(T73:BC73)</f>
        <v>66770</v>
      </c>
    </row>
    <row r="74" spans="2:56">
      <c r="B74" s="1243" t="s">
        <v>558</v>
      </c>
      <c r="C74" s="1244"/>
      <c r="D74" s="1244"/>
      <c r="E74" s="1244"/>
      <c r="F74" s="1244"/>
      <c r="G74" s="1245"/>
      <c r="H74" s="420">
        <f>H73-L57</f>
        <v>0</v>
      </c>
      <c r="I74" s="294"/>
      <c r="J74" s="295"/>
      <c r="K74" s="295"/>
      <c r="L74" s="296"/>
      <c r="M74" s="32"/>
      <c r="N74" s="32"/>
      <c r="O74" s="32"/>
      <c r="P74" s="32"/>
      <c r="Q74" s="297"/>
      <c r="R74" s="297"/>
      <c r="S74" s="32"/>
      <c r="T74" s="48"/>
      <c r="U74" s="48"/>
      <c r="V74" s="48"/>
      <c r="W74" s="48"/>
      <c r="X74" s="48"/>
      <c r="Y74" s="48"/>
      <c r="Z74" s="48"/>
      <c r="AA74" s="48"/>
      <c r="AB74" s="48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</row>
    <row r="75" spans="2:56">
      <c r="B75" s="1243" t="s">
        <v>559</v>
      </c>
      <c r="C75" s="1244"/>
      <c r="D75" s="1244"/>
      <c r="E75" s="1244"/>
      <c r="F75" s="1244"/>
      <c r="G75" s="1245"/>
      <c r="H75" s="420">
        <f>H72-H73</f>
        <v>0</v>
      </c>
      <c r="I75" s="52"/>
      <c r="J75" s="53"/>
      <c r="K75" s="53"/>
      <c r="L75" s="54"/>
      <c r="M75" s="32"/>
      <c r="N75" s="32"/>
      <c r="O75" s="32"/>
      <c r="P75" s="32"/>
      <c r="Q75" s="32"/>
      <c r="R75" s="32"/>
      <c r="S75" s="32"/>
      <c r="T75" s="48"/>
      <c r="U75" s="48"/>
      <c r="V75" s="48"/>
      <c r="W75" s="48"/>
      <c r="X75" s="48"/>
      <c r="Y75" s="48"/>
      <c r="Z75" s="48"/>
      <c r="AA75" s="48"/>
      <c r="AB75" s="48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</row>
    <row r="76" spans="2:56">
      <c r="B76" s="32"/>
      <c r="C76" s="32"/>
      <c r="D76" s="32"/>
      <c r="E76" s="32"/>
      <c r="F76" s="32"/>
      <c r="G76" s="32"/>
      <c r="H76" s="32"/>
      <c r="I76" s="57"/>
      <c r="J76" s="52"/>
      <c r="K76" s="52"/>
      <c r="L76" s="55"/>
      <c r="M76" s="32"/>
      <c r="N76" s="32"/>
      <c r="O76" s="52"/>
      <c r="P76" s="32"/>
      <c r="Q76" s="32"/>
      <c r="R76" s="32"/>
      <c r="S76" s="32"/>
      <c r="T76" s="48"/>
      <c r="U76" s="48"/>
      <c r="V76" s="48"/>
      <c r="W76" s="48"/>
      <c r="X76" s="48"/>
      <c r="Y76" s="48"/>
      <c r="Z76" s="48"/>
      <c r="AA76" s="48"/>
      <c r="AB76" s="48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</row>
    <row r="77" spans="2:56">
      <c r="B77" s="40" t="s">
        <v>561</v>
      </c>
      <c r="C77" s="40"/>
      <c r="D77" s="32"/>
      <c r="E77" s="32"/>
      <c r="F77" s="32"/>
      <c r="G77" s="32"/>
      <c r="H77" s="32"/>
      <c r="I77" s="32"/>
      <c r="J77" s="52"/>
      <c r="K77" s="52"/>
      <c r="L77" s="55"/>
      <c r="M77" s="32"/>
      <c r="N77" s="32"/>
      <c r="O77" s="52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BD77" s="32"/>
    </row>
    <row r="78" spans="2:56">
      <c r="B78" s="422">
        <v>1</v>
      </c>
      <c r="C78" s="1249" t="s">
        <v>1435</v>
      </c>
      <c r="D78" s="1249"/>
      <c r="E78" s="1249"/>
      <c r="F78" s="1249"/>
      <c r="G78" s="1249"/>
      <c r="H78" s="1249"/>
      <c r="I78" s="1249"/>
      <c r="J78" s="1249"/>
      <c r="K78" s="1249"/>
      <c r="L78" s="55"/>
      <c r="M78" s="55"/>
      <c r="N78" s="32"/>
      <c r="O78" s="52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</row>
    <row r="80" spans="2:56">
      <c r="B80" s="28" t="s">
        <v>126</v>
      </c>
      <c r="C80" s="28"/>
      <c r="D80" s="29"/>
      <c r="E80" s="30" t="s">
        <v>511</v>
      </c>
      <c r="F80" s="31" t="s">
        <v>1280</v>
      </c>
      <c r="G80" s="32"/>
      <c r="H80" s="33"/>
      <c r="I80" s="34"/>
      <c r="J80" s="35" t="s">
        <v>513</v>
      </c>
      <c r="K80" s="36" t="s">
        <v>511</v>
      </c>
      <c r="L80" s="37">
        <v>45047.923611111109</v>
      </c>
      <c r="M80" s="32"/>
      <c r="N80" s="32"/>
      <c r="O80" s="206"/>
      <c r="P80" s="205"/>
      <c r="Q80" s="202"/>
      <c r="R80" s="204"/>
      <c r="S80" s="38"/>
      <c r="T80" s="201"/>
      <c r="U80" s="201"/>
      <c r="V80" s="201"/>
      <c r="W80" s="201"/>
      <c r="X80" s="201"/>
      <c r="Y80" s="201"/>
      <c r="Z80" s="201"/>
      <c r="AA80" s="201"/>
      <c r="AB80" s="202"/>
      <c r="AC80" s="202"/>
      <c r="AD80" s="202"/>
      <c r="AE80" s="202"/>
      <c r="AF80" s="202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</row>
    <row r="81" spans="2:52">
      <c r="B81" s="35" t="s">
        <v>514</v>
      </c>
      <c r="C81" s="35"/>
      <c r="D81" s="32"/>
      <c r="E81" s="36" t="s">
        <v>511</v>
      </c>
      <c r="F81" s="37" t="s">
        <v>1705</v>
      </c>
      <c r="G81" s="32"/>
      <c r="H81" s="33"/>
      <c r="I81" s="34"/>
      <c r="J81" s="35" t="s">
        <v>516</v>
      </c>
      <c r="K81" s="36" t="s">
        <v>511</v>
      </c>
      <c r="L81" s="37">
        <v>45050.284722222219</v>
      </c>
      <c r="M81" s="32"/>
      <c r="N81" s="32"/>
      <c r="O81" s="206"/>
      <c r="P81" s="205"/>
      <c r="Q81" s="202"/>
      <c r="R81" s="204"/>
      <c r="S81" s="38"/>
      <c r="T81" s="201"/>
      <c r="U81" s="201"/>
      <c r="V81" s="201"/>
      <c r="W81" s="201"/>
      <c r="X81" s="201"/>
      <c r="Y81" s="201"/>
      <c r="Z81" s="201"/>
      <c r="AA81" s="201"/>
      <c r="AB81" s="202"/>
      <c r="AC81" s="202"/>
      <c r="AD81" s="202"/>
      <c r="AE81" s="202"/>
      <c r="AF81" s="202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  <c r="AR81" s="201"/>
      <c r="AS81" s="201"/>
      <c r="AT81" s="201"/>
      <c r="AU81" s="201"/>
      <c r="AV81" s="201"/>
      <c r="AW81" s="201"/>
      <c r="AX81" s="201"/>
      <c r="AY81" s="201"/>
      <c r="AZ81" s="201"/>
    </row>
    <row r="82" spans="2:52">
      <c r="B82" s="35" t="s">
        <v>517</v>
      </c>
      <c r="C82" s="35"/>
      <c r="D82" s="32"/>
      <c r="E82" s="36" t="s">
        <v>511</v>
      </c>
      <c r="F82" s="37">
        <v>45041.458333333336</v>
      </c>
      <c r="G82" s="32"/>
      <c r="H82" s="33"/>
      <c r="I82" s="34"/>
      <c r="J82" s="35" t="s">
        <v>518</v>
      </c>
      <c r="K82" s="36" t="s">
        <v>511</v>
      </c>
      <c r="L82" s="50">
        <v>72508</v>
      </c>
      <c r="M82" s="40" t="s">
        <v>519</v>
      </c>
      <c r="N82" s="40"/>
      <c r="O82" s="206"/>
      <c r="P82" s="205"/>
      <c r="Q82" s="202"/>
      <c r="R82" s="204"/>
      <c r="S82" s="38"/>
      <c r="T82" s="201"/>
      <c r="U82" s="201"/>
      <c r="V82" s="201"/>
      <c r="W82" s="201"/>
      <c r="X82" s="201"/>
      <c r="Y82" s="201"/>
      <c r="Z82" s="201"/>
      <c r="AA82" s="201"/>
      <c r="AB82" s="202"/>
      <c r="AC82" s="202"/>
      <c r="AD82" s="202"/>
      <c r="AE82" s="202"/>
      <c r="AF82" s="202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  <c r="AT82" s="201"/>
      <c r="AU82" s="201"/>
      <c r="AV82" s="201"/>
      <c r="AW82" s="201"/>
      <c r="AX82" s="201"/>
      <c r="AY82" s="201"/>
      <c r="AZ82" s="201"/>
    </row>
    <row r="83" spans="2:52">
      <c r="B83" s="35" t="s">
        <v>520</v>
      </c>
      <c r="C83" s="35"/>
      <c r="D83" s="32"/>
      <c r="E83" s="36" t="s">
        <v>511</v>
      </c>
      <c r="F83" s="37" t="s">
        <v>12</v>
      </c>
      <c r="G83" s="32"/>
      <c r="H83" s="33"/>
      <c r="I83" s="34"/>
      <c r="J83" s="35" t="s">
        <v>521</v>
      </c>
      <c r="K83" s="36" t="s">
        <v>511</v>
      </c>
      <c r="L83" s="41" t="s">
        <v>1706</v>
      </c>
      <c r="M83" s="32"/>
      <c r="N83" s="32"/>
      <c r="O83" s="206"/>
      <c r="P83" s="202"/>
      <c r="Q83" s="202"/>
      <c r="R83" s="204"/>
      <c r="S83" s="38"/>
      <c r="T83" s="201"/>
      <c r="U83" s="201"/>
      <c r="V83" s="201"/>
      <c r="W83" s="201"/>
      <c r="X83" s="201"/>
      <c r="Y83" s="201"/>
      <c r="Z83" s="201"/>
      <c r="AA83" s="201"/>
      <c r="AB83" s="202"/>
      <c r="AC83" s="202"/>
      <c r="AD83" s="202"/>
      <c r="AE83" s="202"/>
      <c r="AF83" s="202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  <c r="AQ83" s="201"/>
      <c r="AR83" s="201"/>
      <c r="AS83" s="201"/>
      <c r="AT83" s="201"/>
      <c r="AU83" s="201"/>
      <c r="AV83" s="201"/>
      <c r="AW83" s="201"/>
      <c r="AX83" s="201"/>
      <c r="AY83" s="201"/>
      <c r="AZ83" s="201"/>
    </row>
    <row r="84" spans="2:52">
      <c r="B84" s="35" t="s">
        <v>523</v>
      </c>
      <c r="C84" s="35"/>
      <c r="D84" s="32"/>
      <c r="E84" s="36" t="s">
        <v>511</v>
      </c>
      <c r="F84" s="37" t="s">
        <v>37</v>
      </c>
      <c r="G84" s="32"/>
      <c r="H84" s="33"/>
      <c r="I84" s="34"/>
      <c r="J84" s="42" t="s">
        <v>524</v>
      </c>
      <c r="K84" s="36" t="s">
        <v>511</v>
      </c>
      <c r="L84" s="43" t="s">
        <v>15</v>
      </c>
      <c r="M84" s="44"/>
      <c r="N84" s="44"/>
      <c r="O84" s="206"/>
      <c r="P84" s="205"/>
      <c r="Q84" s="202"/>
      <c r="R84" s="204"/>
      <c r="S84" s="38"/>
      <c r="T84" s="201"/>
      <c r="U84" s="201"/>
      <c r="V84" s="201"/>
      <c r="W84" s="201"/>
      <c r="X84" s="201"/>
      <c r="Y84" s="201"/>
      <c r="Z84" s="201"/>
      <c r="AA84" s="201"/>
      <c r="AB84" s="202"/>
      <c r="AC84" s="202"/>
      <c r="AD84" s="202"/>
      <c r="AE84" s="202"/>
      <c r="AF84" s="202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  <c r="AQ84" s="201"/>
      <c r="AR84" s="201"/>
      <c r="AS84" s="201"/>
      <c r="AT84" s="201"/>
      <c r="AU84" s="201"/>
      <c r="AV84" s="201"/>
      <c r="AW84" s="201"/>
      <c r="AX84" s="201"/>
      <c r="AY84" s="201"/>
      <c r="AZ84" s="201"/>
    </row>
    <row r="85" spans="2:52">
      <c r="B85" s="35" t="s">
        <v>2</v>
      </c>
      <c r="C85" s="35"/>
      <c r="D85" s="32"/>
      <c r="E85" s="36" t="s">
        <v>511</v>
      </c>
      <c r="F85" s="37" t="s">
        <v>22</v>
      </c>
      <c r="G85" s="32"/>
      <c r="H85" s="33"/>
      <c r="I85" s="45"/>
      <c r="J85" s="42"/>
      <c r="K85" s="36"/>
      <c r="L85" s="211"/>
      <c r="M85" s="201"/>
      <c r="N85" s="201"/>
      <c r="O85" s="42"/>
      <c r="P85" s="44"/>
      <c r="Q85" s="44"/>
      <c r="R85" s="44"/>
      <c r="S85" s="34"/>
      <c r="T85" s="201"/>
      <c r="U85" s="201"/>
      <c r="V85" s="201"/>
      <c r="W85" s="201"/>
      <c r="X85" s="201"/>
      <c r="Y85" s="201"/>
      <c r="Z85" s="201"/>
      <c r="AA85" s="201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201"/>
      <c r="AP85" s="201"/>
      <c r="AQ85" s="201"/>
      <c r="AR85" s="201"/>
      <c r="AS85" s="201"/>
      <c r="AT85" s="201"/>
      <c r="AU85" s="201"/>
      <c r="AV85" s="201"/>
      <c r="AW85" s="201"/>
      <c r="AX85" s="201"/>
      <c r="AY85" s="201"/>
      <c r="AZ85" s="201"/>
    </row>
    <row r="86" spans="2:52">
      <c r="B86" s="201"/>
      <c r="C86" s="201"/>
      <c r="D86" s="201"/>
      <c r="E86" s="201"/>
      <c r="F86" s="201"/>
      <c r="G86" s="201"/>
      <c r="H86" s="201"/>
      <c r="I86" s="45"/>
      <c r="J86" s="42"/>
      <c r="K86" s="42"/>
      <c r="L86" s="43"/>
      <c r="M86" s="44"/>
      <c r="N86" s="44"/>
      <c r="O86" s="42"/>
      <c r="P86" s="44"/>
      <c r="Q86" s="44"/>
      <c r="R86" s="44"/>
      <c r="S86" s="34"/>
      <c r="T86" s="1265" t="s">
        <v>87</v>
      </c>
      <c r="U86" s="1265"/>
      <c r="V86" s="1265"/>
      <c r="W86" s="1265"/>
      <c r="X86" s="1265"/>
      <c r="Y86" s="1265" t="s">
        <v>73</v>
      </c>
      <c r="Z86" s="1265"/>
      <c r="AA86" s="1265"/>
      <c r="AB86" s="1265" t="s">
        <v>74</v>
      </c>
      <c r="AC86" s="1265"/>
      <c r="AD86" s="423" t="s">
        <v>85</v>
      </c>
      <c r="AE86" s="423" t="s">
        <v>77</v>
      </c>
      <c r="AF86" s="1265" t="s">
        <v>525</v>
      </c>
      <c r="AG86" s="1265"/>
      <c r="AH86" s="1265"/>
      <c r="AI86" s="1265"/>
      <c r="AJ86" s="1265"/>
      <c r="AK86" s="1265"/>
      <c r="AL86" s="1265"/>
      <c r="AM86" s="1265"/>
      <c r="AN86" s="1265"/>
      <c r="AO86" s="1265"/>
      <c r="AP86" s="1265"/>
      <c r="AQ86" s="1265"/>
      <c r="AR86" s="1265"/>
      <c r="AS86" s="1265"/>
      <c r="AT86" s="1265"/>
      <c r="AU86" s="1265"/>
      <c r="AV86" s="1265"/>
      <c r="AW86" s="1265"/>
      <c r="AX86" s="1265"/>
      <c r="AY86" s="1265"/>
      <c r="AZ86" s="201"/>
    </row>
    <row r="87" spans="2:52">
      <c r="B87" s="1266" t="s">
        <v>526</v>
      </c>
      <c r="C87" s="1267"/>
      <c r="D87" s="570" t="s">
        <v>527</v>
      </c>
      <c r="E87" s="570"/>
      <c r="F87" s="570" t="s">
        <v>528</v>
      </c>
      <c r="G87" s="570" t="s">
        <v>529</v>
      </c>
      <c r="H87" s="570" t="s">
        <v>530</v>
      </c>
      <c r="I87" s="570" t="s">
        <v>531</v>
      </c>
      <c r="J87" s="570" t="s">
        <v>532</v>
      </c>
      <c r="K87" s="570"/>
      <c r="L87" s="570" t="s">
        <v>130</v>
      </c>
      <c r="M87" s="570" t="s">
        <v>533</v>
      </c>
      <c r="N87" s="408" t="str">
        <f>"On time - "&amp;COUNTIF(N88:N99,"On time")&amp;" from "&amp;ROWS(N88:N99)-COUNTIF(N88:N99," ")</f>
        <v>On time - 0 from 10</v>
      </c>
      <c r="O87" s="46"/>
      <c r="P87" s="409" t="s">
        <v>534</v>
      </c>
      <c r="Q87" s="409" t="s">
        <v>535</v>
      </c>
      <c r="R87" s="409" t="s">
        <v>536</v>
      </c>
      <c r="S87" s="32"/>
      <c r="T87" s="424" t="s">
        <v>537</v>
      </c>
      <c r="U87" s="424" t="s">
        <v>538</v>
      </c>
      <c r="V87" s="424" t="s">
        <v>539</v>
      </c>
      <c r="W87" s="424" t="s">
        <v>540</v>
      </c>
      <c r="X87" s="424" t="s">
        <v>541</v>
      </c>
      <c r="Y87" s="424" t="s">
        <v>167</v>
      </c>
      <c r="Z87" s="424" t="s">
        <v>168</v>
      </c>
      <c r="AA87" s="424" t="s">
        <v>169</v>
      </c>
      <c r="AB87" s="424" t="s">
        <v>235</v>
      </c>
      <c r="AC87" s="424" t="s">
        <v>240</v>
      </c>
      <c r="AD87" s="423" t="s">
        <v>85</v>
      </c>
      <c r="AE87" s="424" t="s">
        <v>139</v>
      </c>
      <c r="AF87" s="424" t="s">
        <v>72</v>
      </c>
      <c r="AG87" s="424" t="s">
        <v>88</v>
      </c>
      <c r="AH87" s="424" t="s">
        <v>75</v>
      </c>
      <c r="AI87" s="424" t="s">
        <v>543</v>
      </c>
      <c r="AJ87" s="424" t="s">
        <v>78</v>
      </c>
      <c r="AK87" s="424" t="s">
        <v>76</v>
      </c>
      <c r="AL87" s="424" t="s">
        <v>544</v>
      </c>
      <c r="AM87" s="424" t="s">
        <v>545</v>
      </c>
      <c r="AN87" s="424" t="s">
        <v>86</v>
      </c>
      <c r="AO87" s="424" t="s">
        <v>83</v>
      </c>
      <c r="AP87" s="424" t="s">
        <v>84</v>
      </c>
      <c r="AQ87" s="424" t="s">
        <v>546</v>
      </c>
      <c r="AR87" s="424" t="s">
        <v>81</v>
      </c>
      <c r="AS87" s="424" t="s">
        <v>80</v>
      </c>
      <c r="AT87" s="424" t="s">
        <v>82</v>
      </c>
      <c r="AU87" s="424" t="s">
        <v>181</v>
      </c>
      <c r="AV87" s="424" t="s">
        <v>183</v>
      </c>
      <c r="AW87" s="424" t="s">
        <v>547</v>
      </c>
      <c r="AX87" s="424" t="s">
        <v>182</v>
      </c>
      <c r="AY87" s="424" t="s">
        <v>172</v>
      </c>
      <c r="AZ87" s="201"/>
    </row>
    <row r="88" spans="2:52">
      <c r="B88" s="1256" t="s">
        <v>548</v>
      </c>
      <c r="C88" s="1257"/>
      <c r="D88" s="411" t="s">
        <v>1287</v>
      </c>
      <c r="E88" s="411"/>
      <c r="F88" s="411" t="s">
        <v>301</v>
      </c>
      <c r="G88" s="411" t="s">
        <v>302</v>
      </c>
      <c r="H88" s="412">
        <v>9205.4500000000007</v>
      </c>
      <c r="I88" s="413" t="s">
        <v>240</v>
      </c>
      <c r="J88" s="414">
        <v>45047.841666666667</v>
      </c>
      <c r="K88" s="414"/>
      <c r="L88" s="414" t="s">
        <v>192</v>
      </c>
      <c r="M88" s="414" t="s">
        <v>192</v>
      </c>
      <c r="N88" s="413" t="str">
        <f t="shared" ref="N88:N101" si="6">IF(ISBLANK(J88)," ",IF(J88&lt;$F$82,"On time",(IF(DAY(J88-$F$82)&lt;1,"On time",(IF(J88&gt;$F$82,"DELAY ( "&amp;DAY(J88-$F$82)&amp;" day "&amp;HOUR(J88-$F$82)&amp;" hour "&amp;MINUTE(J88-$F$82)&amp;" minute )","xxx"))))))</f>
        <v>DELAY ( 6 day 9 hour 12 minute )</v>
      </c>
      <c r="O88" s="51"/>
      <c r="P88" s="415" t="s">
        <v>551</v>
      </c>
      <c r="Q88" s="415" t="s">
        <v>551</v>
      </c>
      <c r="R88" s="415" t="s">
        <v>551</v>
      </c>
      <c r="S88" s="32"/>
      <c r="T88" s="416"/>
      <c r="U88" s="416"/>
      <c r="V88" s="416"/>
      <c r="W88" s="416"/>
      <c r="X88" s="416"/>
      <c r="Y88" s="416"/>
      <c r="Z88" s="416"/>
      <c r="AA88" s="416"/>
      <c r="AB88" s="416"/>
      <c r="AC88" s="416">
        <f>H88</f>
        <v>9205.4500000000007</v>
      </c>
      <c r="AD88" s="416"/>
      <c r="AE88" s="416"/>
      <c r="AF88" s="416"/>
      <c r="AG88" s="416"/>
      <c r="AH88" s="416"/>
      <c r="AI88" s="416"/>
      <c r="AJ88" s="416"/>
      <c r="AK88" s="416"/>
      <c r="AL88" s="416"/>
      <c r="AM88" s="416"/>
      <c r="AN88" s="416"/>
      <c r="AO88" s="416"/>
      <c r="AP88" s="416"/>
      <c r="AQ88" s="416"/>
      <c r="AR88" s="416"/>
      <c r="AS88" s="416"/>
      <c r="AT88" s="416"/>
      <c r="AU88" s="416"/>
      <c r="AV88" s="416"/>
      <c r="AW88" s="416"/>
      <c r="AX88" s="416"/>
      <c r="AY88" s="416"/>
      <c r="AZ88" s="32"/>
    </row>
    <row r="89" spans="2:52">
      <c r="B89" s="1250" t="s">
        <v>1707</v>
      </c>
      <c r="C89" s="1251"/>
      <c r="D89" s="411" t="s">
        <v>1285</v>
      </c>
      <c r="E89" s="411"/>
      <c r="F89" s="411" t="s">
        <v>473</v>
      </c>
      <c r="G89" s="411" t="s">
        <v>474</v>
      </c>
      <c r="H89" s="412">
        <v>7531.5</v>
      </c>
      <c r="I89" s="413" t="s">
        <v>240</v>
      </c>
      <c r="J89" s="414">
        <v>45048.034722222219</v>
      </c>
      <c r="K89" s="414"/>
      <c r="L89" s="414" t="s">
        <v>192</v>
      </c>
      <c r="M89" s="414" t="s">
        <v>192</v>
      </c>
      <c r="N89" s="413" t="str">
        <f t="shared" si="6"/>
        <v>DELAY ( 6 day 13 hour 50 minute )</v>
      </c>
      <c r="O89" s="51"/>
      <c r="P89" s="415" t="s">
        <v>551</v>
      </c>
      <c r="Q89" s="415" t="s">
        <v>551</v>
      </c>
      <c r="R89" s="415" t="s">
        <v>551</v>
      </c>
      <c r="S89" s="32"/>
      <c r="T89" s="416"/>
      <c r="U89" s="416"/>
      <c r="V89" s="416"/>
      <c r="W89" s="416"/>
      <c r="X89" s="416"/>
      <c r="Y89" s="416"/>
      <c r="Z89" s="416"/>
      <c r="AA89" s="416"/>
      <c r="AB89" s="416"/>
      <c r="AC89" s="416">
        <f>H89</f>
        <v>7531.5</v>
      </c>
      <c r="AD89" s="416"/>
      <c r="AE89" s="416"/>
      <c r="AF89" s="416"/>
      <c r="AG89" s="416"/>
      <c r="AH89" s="416"/>
      <c r="AI89" s="416"/>
      <c r="AJ89" s="416"/>
      <c r="AK89" s="416"/>
      <c r="AL89" s="416"/>
      <c r="AM89" s="416"/>
      <c r="AN89" s="416"/>
      <c r="AO89" s="416"/>
      <c r="AP89" s="416"/>
      <c r="AQ89" s="416"/>
      <c r="AR89" s="416"/>
      <c r="AS89" s="416"/>
      <c r="AT89" s="416"/>
      <c r="AU89" s="416"/>
      <c r="AV89" s="416"/>
      <c r="AW89" s="416"/>
      <c r="AX89" s="416"/>
      <c r="AY89" s="416"/>
      <c r="AZ89" s="32"/>
    </row>
    <row r="90" spans="2:52">
      <c r="B90" s="1252"/>
      <c r="C90" s="1253"/>
      <c r="D90" s="411" t="s">
        <v>1316</v>
      </c>
      <c r="E90" s="425"/>
      <c r="F90" s="411" t="s">
        <v>377</v>
      </c>
      <c r="G90" s="411" t="s">
        <v>378</v>
      </c>
      <c r="H90" s="412">
        <f>7514.429/2</f>
        <v>3757.2145</v>
      </c>
      <c r="I90" s="1282" t="s">
        <v>1164</v>
      </c>
      <c r="J90" s="1268">
        <v>45046.3125</v>
      </c>
      <c r="K90" s="414"/>
      <c r="L90" s="1268" t="s">
        <v>192</v>
      </c>
      <c r="M90" s="1268" t="s">
        <v>192</v>
      </c>
      <c r="N90" s="413" t="str">
        <f t="shared" si="6"/>
        <v>DELAY ( 4 day 20 hour 30 minute )</v>
      </c>
      <c r="O90" s="51"/>
      <c r="P90" s="415" t="s">
        <v>551</v>
      </c>
      <c r="Q90" s="415" t="s">
        <v>551</v>
      </c>
      <c r="R90" s="415" t="s">
        <v>551</v>
      </c>
      <c r="S90" s="32"/>
      <c r="T90" s="416"/>
      <c r="U90" s="416"/>
      <c r="V90" s="416"/>
      <c r="W90" s="416"/>
      <c r="X90" s="416">
        <f>H90</f>
        <v>3757.2145</v>
      </c>
      <c r="Y90" s="416"/>
      <c r="Z90" s="416"/>
      <c r="AA90" s="416"/>
      <c r="AB90" s="416"/>
      <c r="AC90" s="416"/>
      <c r="AD90" s="416"/>
      <c r="AE90" s="416"/>
      <c r="AF90" s="416"/>
      <c r="AG90" s="416"/>
      <c r="AH90" s="416"/>
      <c r="AI90" s="416"/>
      <c r="AJ90" s="416"/>
      <c r="AK90" s="416"/>
      <c r="AL90" s="416"/>
      <c r="AM90" s="416"/>
      <c r="AN90" s="416"/>
      <c r="AO90" s="416"/>
      <c r="AP90" s="416"/>
      <c r="AQ90" s="416"/>
      <c r="AR90" s="416"/>
      <c r="AS90" s="416"/>
      <c r="AT90" s="416"/>
      <c r="AU90" s="416"/>
      <c r="AV90" s="416"/>
      <c r="AW90" s="416"/>
      <c r="AX90" s="416"/>
      <c r="AY90" s="416"/>
      <c r="AZ90" s="32"/>
    </row>
    <row r="91" spans="2:52">
      <c r="B91" s="1250" t="s">
        <v>1708</v>
      </c>
      <c r="C91" s="1251"/>
      <c r="D91" s="411" t="s">
        <v>1316</v>
      </c>
      <c r="E91" s="425"/>
      <c r="F91" s="411" t="s">
        <v>377</v>
      </c>
      <c r="G91" s="411" t="s">
        <v>378</v>
      </c>
      <c r="H91" s="412">
        <f>H90</f>
        <v>3757.2145</v>
      </c>
      <c r="I91" s="1283"/>
      <c r="J91" s="1269"/>
      <c r="K91" s="414"/>
      <c r="L91" s="1269"/>
      <c r="M91" s="1269"/>
      <c r="N91" s="413" t="str">
        <f t="shared" si="6"/>
        <v xml:space="preserve"> </v>
      </c>
      <c r="O91" s="51"/>
      <c r="P91" s="415" t="s">
        <v>551</v>
      </c>
      <c r="Q91" s="415" t="s">
        <v>551</v>
      </c>
      <c r="R91" s="415" t="s">
        <v>551</v>
      </c>
      <c r="S91" s="32"/>
      <c r="T91" s="416"/>
      <c r="U91" s="416"/>
      <c r="V91" s="416"/>
      <c r="W91" s="416"/>
      <c r="X91" s="416">
        <f>H91</f>
        <v>3757.2145</v>
      </c>
      <c r="Y91" s="416"/>
      <c r="Z91" s="416"/>
      <c r="AA91" s="416"/>
      <c r="AB91" s="416"/>
      <c r="AC91" s="416"/>
      <c r="AD91" s="416"/>
      <c r="AE91" s="416"/>
      <c r="AF91" s="416"/>
      <c r="AG91" s="416"/>
      <c r="AH91" s="416"/>
      <c r="AI91" s="416"/>
      <c r="AJ91" s="416"/>
      <c r="AK91" s="416"/>
      <c r="AL91" s="416"/>
      <c r="AM91" s="416"/>
      <c r="AN91" s="416"/>
      <c r="AO91" s="416"/>
      <c r="AP91" s="416"/>
      <c r="AQ91" s="416"/>
      <c r="AR91" s="416"/>
      <c r="AS91" s="416"/>
      <c r="AT91" s="416"/>
      <c r="AU91" s="416"/>
      <c r="AV91" s="416"/>
      <c r="AW91" s="416"/>
      <c r="AX91" s="416"/>
      <c r="AY91" s="416"/>
      <c r="AZ91" s="32"/>
    </row>
    <row r="92" spans="2:52">
      <c r="B92" s="1252"/>
      <c r="C92" s="1253"/>
      <c r="D92" s="411" t="s">
        <v>1286</v>
      </c>
      <c r="E92" s="411"/>
      <c r="F92" s="411" t="s">
        <v>346</v>
      </c>
      <c r="G92" s="411" t="s">
        <v>347</v>
      </c>
      <c r="H92" s="412">
        <v>7601.5169999999998</v>
      </c>
      <c r="I92" s="413" t="s">
        <v>240</v>
      </c>
      <c r="J92" s="414">
        <v>45047.895833333336</v>
      </c>
      <c r="K92" s="414"/>
      <c r="L92" s="414" t="s">
        <v>192</v>
      </c>
      <c r="M92" s="414" t="s">
        <v>192</v>
      </c>
      <c r="N92" s="413" t="str">
        <f t="shared" si="6"/>
        <v>DELAY ( 6 day 10 hour 30 minute )</v>
      </c>
      <c r="O92" s="51"/>
      <c r="P92" s="415" t="s">
        <v>551</v>
      </c>
      <c r="Q92" s="415" t="s">
        <v>551</v>
      </c>
      <c r="R92" s="415" t="s">
        <v>551</v>
      </c>
      <c r="S92" s="32"/>
      <c r="T92" s="416"/>
      <c r="U92" s="416"/>
      <c r="V92" s="416"/>
      <c r="W92" s="416"/>
      <c r="X92" s="416"/>
      <c r="Y92" s="416"/>
      <c r="Z92" s="416"/>
      <c r="AA92" s="416"/>
      <c r="AB92" s="416"/>
      <c r="AC92" s="416">
        <f>H92</f>
        <v>7601.5169999999998</v>
      </c>
      <c r="AD92" s="416"/>
      <c r="AE92" s="416"/>
      <c r="AF92" s="416"/>
      <c r="AG92" s="416"/>
      <c r="AH92" s="416"/>
      <c r="AI92" s="416"/>
      <c r="AJ92" s="416"/>
      <c r="AK92" s="416"/>
      <c r="AL92" s="416"/>
      <c r="AM92" s="416"/>
      <c r="AN92" s="416"/>
      <c r="AO92" s="416"/>
      <c r="AP92" s="416"/>
      <c r="AQ92" s="416"/>
      <c r="AR92" s="416"/>
      <c r="AS92" s="416"/>
      <c r="AT92" s="416"/>
      <c r="AU92" s="416"/>
      <c r="AV92" s="416"/>
      <c r="AW92" s="416"/>
      <c r="AX92" s="416"/>
      <c r="AY92" s="416"/>
      <c r="AZ92" s="32"/>
    </row>
    <row r="93" spans="2:52">
      <c r="B93" s="1256" t="s">
        <v>548</v>
      </c>
      <c r="C93" s="1257"/>
      <c r="D93" s="411" t="s">
        <v>1289</v>
      </c>
      <c r="E93" s="411"/>
      <c r="F93" s="411" t="s">
        <v>226</v>
      </c>
      <c r="G93" s="411" t="s">
        <v>227</v>
      </c>
      <c r="H93" s="412">
        <v>7418.027</v>
      </c>
      <c r="I93" s="413" t="s">
        <v>240</v>
      </c>
      <c r="J93" s="414">
        <v>45048.708333333336</v>
      </c>
      <c r="K93" s="414"/>
      <c r="L93" s="414" t="s">
        <v>192</v>
      </c>
      <c r="M93" s="414" t="s">
        <v>192</v>
      </c>
      <c r="N93" s="413" t="str">
        <f t="shared" si="6"/>
        <v>DELAY ( 7 day 6 hour 0 minute )</v>
      </c>
      <c r="O93" s="51"/>
      <c r="P93" s="415" t="s">
        <v>551</v>
      </c>
      <c r="Q93" s="415" t="s">
        <v>551</v>
      </c>
      <c r="R93" s="415" t="s">
        <v>551</v>
      </c>
      <c r="S93" s="32"/>
      <c r="T93" s="416"/>
      <c r="U93" s="416"/>
      <c r="V93" s="416"/>
      <c r="W93" s="416"/>
      <c r="X93" s="416"/>
      <c r="Y93" s="416"/>
      <c r="Z93" s="416"/>
      <c r="AA93" s="416"/>
      <c r="AB93" s="416"/>
      <c r="AC93" s="416">
        <f>H93</f>
        <v>7418.027</v>
      </c>
      <c r="AD93" s="416"/>
      <c r="AE93" s="416"/>
      <c r="AF93" s="416"/>
      <c r="AG93" s="416"/>
      <c r="AH93" s="416"/>
      <c r="AI93" s="416"/>
      <c r="AJ93" s="416"/>
      <c r="AK93" s="416"/>
      <c r="AL93" s="416"/>
      <c r="AM93" s="416"/>
      <c r="AN93" s="416"/>
      <c r="AO93" s="416"/>
      <c r="AP93" s="416"/>
      <c r="AQ93" s="416"/>
      <c r="AR93" s="416"/>
      <c r="AS93" s="416"/>
      <c r="AT93" s="416"/>
      <c r="AU93" s="416"/>
      <c r="AV93" s="416"/>
      <c r="AW93" s="416"/>
      <c r="AX93" s="416"/>
      <c r="AY93" s="416"/>
      <c r="AZ93" s="32"/>
    </row>
    <row r="94" spans="2:52">
      <c r="B94" s="1250" t="s">
        <v>1709</v>
      </c>
      <c r="C94" s="1251"/>
      <c r="D94" s="411" t="s">
        <v>1279</v>
      </c>
      <c r="E94" s="411"/>
      <c r="F94" s="411" t="s">
        <v>233</v>
      </c>
      <c r="G94" s="411" t="s">
        <v>234</v>
      </c>
      <c r="H94" s="426">
        <v>5455.2420000000002</v>
      </c>
      <c r="I94" s="413" t="s">
        <v>235</v>
      </c>
      <c r="J94" s="414">
        <v>45047.069444444445</v>
      </c>
      <c r="K94" s="414"/>
      <c r="L94" s="414" t="s">
        <v>192</v>
      </c>
      <c r="M94" s="414" t="s">
        <v>192</v>
      </c>
      <c r="N94" s="413" t="str">
        <f t="shared" si="6"/>
        <v>DELAY ( 5 day 14 hour 40 minute )</v>
      </c>
      <c r="O94" s="51"/>
      <c r="P94" s="415" t="s">
        <v>551</v>
      </c>
      <c r="Q94" s="415" t="s">
        <v>551</v>
      </c>
      <c r="R94" s="415" t="s">
        <v>551</v>
      </c>
      <c r="S94" s="32"/>
      <c r="T94" s="416"/>
      <c r="U94" s="416"/>
      <c r="V94" s="416"/>
      <c r="W94" s="416"/>
      <c r="X94" s="416"/>
      <c r="Y94" s="416"/>
      <c r="Z94" s="416"/>
      <c r="AA94" s="416"/>
      <c r="AB94" s="416">
        <f>H94</f>
        <v>5455.2420000000002</v>
      </c>
      <c r="AC94" s="416"/>
      <c r="AD94" s="416"/>
      <c r="AE94" s="416"/>
      <c r="AF94" s="416"/>
      <c r="AG94" s="416"/>
      <c r="AH94" s="416"/>
      <c r="AI94" s="416"/>
      <c r="AJ94" s="416"/>
      <c r="AK94" s="416"/>
      <c r="AL94" s="416"/>
      <c r="AM94" s="416"/>
      <c r="AN94" s="416"/>
      <c r="AO94" s="416"/>
      <c r="AP94" s="416"/>
      <c r="AQ94" s="416"/>
      <c r="AR94" s="416"/>
      <c r="AS94" s="416"/>
      <c r="AT94" s="416"/>
      <c r="AU94" s="416"/>
      <c r="AV94" s="416"/>
      <c r="AW94" s="416"/>
      <c r="AX94" s="416"/>
      <c r="AY94" s="416"/>
      <c r="AZ94" s="32"/>
    </row>
    <row r="95" spans="2:52">
      <c r="B95" s="1252"/>
      <c r="C95" s="1253"/>
      <c r="D95" s="411" t="s">
        <v>1317</v>
      </c>
      <c r="E95" s="425"/>
      <c r="F95" s="411" t="s">
        <v>403</v>
      </c>
      <c r="G95" s="411" t="s">
        <v>404</v>
      </c>
      <c r="H95" s="412">
        <f>7528.732/2</f>
        <v>3764.366</v>
      </c>
      <c r="I95" s="1282" t="s">
        <v>1164</v>
      </c>
      <c r="J95" s="1268">
        <v>45047.416666666664</v>
      </c>
      <c r="K95" s="414"/>
      <c r="L95" s="414" t="s">
        <v>192</v>
      </c>
      <c r="M95" s="414" t="s">
        <v>192</v>
      </c>
      <c r="N95" s="413" t="str">
        <f t="shared" si="6"/>
        <v>DELAY ( 5 day 23 hour 0 minute )</v>
      </c>
      <c r="O95" s="51"/>
      <c r="P95" s="415" t="s">
        <v>551</v>
      </c>
      <c r="Q95" s="415" t="s">
        <v>551</v>
      </c>
      <c r="R95" s="415" t="s">
        <v>551</v>
      </c>
      <c r="S95" s="32"/>
      <c r="T95" s="416"/>
      <c r="U95" s="416"/>
      <c r="V95" s="416"/>
      <c r="W95" s="416"/>
      <c r="X95" s="416">
        <f>H95</f>
        <v>3764.366</v>
      </c>
      <c r="Y95" s="416"/>
      <c r="Z95" s="416"/>
      <c r="AA95" s="416"/>
      <c r="AB95" s="416"/>
      <c r="AC95" s="416"/>
      <c r="AD95" s="416"/>
      <c r="AE95" s="416"/>
      <c r="AF95" s="416"/>
      <c r="AG95" s="416"/>
      <c r="AH95" s="416"/>
      <c r="AI95" s="416"/>
      <c r="AJ95" s="416"/>
      <c r="AK95" s="416"/>
      <c r="AL95" s="416"/>
      <c r="AM95" s="416"/>
      <c r="AN95" s="416"/>
      <c r="AO95" s="416"/>
      <c r="AP95" s="416"/>
      <c r="AQ95" s="416"/>
      <c r="AR95" s="416"/>
      <c r="AS95" s="416"/>
      <c r="AT95" s="416"/>
      <c r="AU95" s="416"/>
      <c r="AV95" s="416"/>
      <c r="AW95" s="416"/>
      <c r="AX95" s="416"/>
      <c r="AY95" s="416"/>
      <c r="AZ95" s="32"/>
    </row>
    <row r="96" spans="2:52">
      <c r="B96" s="1250" t="s">
        <v>1710</v>
      </c>
      <c r="C96" s="1251"/>
      <c r="D96" s="411" t="s">
        <v>1317</v>
      </c>
      <c r="E96" s="425"/>
      <c r="F96" s="411" t="s">
        <v>403</v>
      </c>
      <c r="G96" s="411" t="s">
        <v>404</v>
      </c>
      <c r="H96" s="412">
        <f>H95</f>
        <v>3764.366</v>
      </c>
      <c r="I96" s="1283"/>
      <c r="J96" s="1269"/>
      <c r="K96" s="414"/>
      <c r="L96" s="414" t="s">
        <v>192</v>
      </c>
      <c r="M96" s="414" t="s">
        <v>192</v>
      </c>
      <c r="N96" s="413" t="str">
        <f t="shared" si="6"/>
        <v xml:space="preserve"> </v>
      </c>
      <c r="O96" s="51"/>
      <c r="P96" s="415" t="s">
        <v>551</v>
      </c>
      <c r="Q96" s="415" t="s">
        <v>551</v>
      </c>
      <c r="R96" s="415" t="s">
        <v>551</v>
      </c>
      <c r="S96" s="32"/>
      <c r="T96" s="416"/>
      <c r="U96" s="416"/>
      <c r="V96" s="416"/>
      <c r="W96" s="416"/>
      <c r="X96" s="416">
        <f>H96</f>
        <v>3764.366</v>
      </c>
      <c r="Y96" s="416"/>
      <c r="Z96" s="416"/>
      <c r="AA96" s="416"/>
      <c r="AB96" s="416"/>
      <c r="AC96" s="416"/>
      <c r="AD96" s="416"/>
      <c r="AE96" s="416"/>
      <c r="AF96" s="416"/>
      <c r="AG96" s="416"/>
      <c r="AH96" s="416"/>
      <c r="AI96" s="416"/>
      <c r="AJ96" s="416"/>
      <c r="AK96" s="416"/>
      <c r="AL96" s="416"/>
      <c r="AM96" s="416"/>
      <c r="AN96" s="416"/>
      <c r="AO96" s="416"/>
      <c r="AP96" s="416"/>
      <c r="AQ96" s="416"/>
      <c r="AR96" s="416"/>
      <c r="AS96" s="416"/>
      <c r="AT96" s="416"/>
      <c r="AU96" s="416"/>
      <c r="AV96" s="416"/>
      <c r="AW96" s="416"/>
      <c r="AX96" s="416"/>
      <c r="AY96" s="416"/>
      <c r="AZ96" s="32"/>
    </row>
    <row r="97" spans="2:56">
      <c r="B97" s="1252"/>
      <c r="C97" s="1253"/>
      <c r="D97" s="411" t="s">
        <v>1326</v>
      </c>
      <c r="E97" s="411"/>
      <c r="F97" s="411" t="s">
        <v>1303</v>
      </c>
      <c r="G97" s="411" t="s">
        <v>1304</v>
      </c>
      <c r="H97" s="412">
        <v>5015</v>
      </c>
      <c r="I97" s="413" t="s">
        <v>82</v>
      </c>
      <c r="J97" s="414">
        <v>45048.166666666664</v>
      </c>
      <c r="K97" s="414"/>
      <c r="L97" s="414" t="s">
        <v>192</v>
      </c>
      <c r="M97" s="414" t="s">
        <v>192</v>
      </c>
      <c r="N97" s="413" t="str">
        <f t="shared" si="6"/>
        <v>DELAY ( 6 day 17 hour 0 minute )</v>
      </c>
      <c r="O97" s="51"/>
      <c r="P97" s="415" t="s">
        <v>551</v>
      </c>
      <c r="Q97" s="415" t="s">
        <v>551</v>
      </c>
      <c r="R97" s="415" t="s">
        <v>551</v>
      </c>
      <c r="S97" s="32"/>
      <c r="T97" s="416"/>
      <c r="U97" s="416"/>
      <c r="V97" s="416"/>
      <c r="W97" s="416"/>
      <c r="X97" s="416"/>
      <c r="Y97" s="416"/>
      <c r="Z97" s="416"/>
      <c r="AA97" s="416"/>
      <c r="AB97" s="32"/>
      <c r="AC97" s="416"/>
      <c r="AD97" s="416"/>
      <c r="AE97" s="416"/>
      <c r="AF97" s="416"/>
      <c r="AG97" s="416"/>
      <c r="AH97" s="416"/>
      <c r="AI97" s="416"/>
      <c r="AJ97" s="416"/>
      <c r="AK97" s="416"/>
      <c r="AL97" s="416"/>
      <c r="AM97" s="416"/>
      <c r="AN97" s="416"/>
      <c r="AO97" s="416"/>
      <c r="AP97" s="416"/>
      <c r="AQ97" s="416"/>
      <c r="AR97" s="416"/>
      <c r="AS97" s="416"/>
      <c r="AT97" s="416">
        <f>H97</f>
        <v>5015</v>
      </c>
      <c r="AU97" s="416"/>
      <c r="AV97" s="32"/>
      <c r="AW97" s="416"/>
      <c r="AX97" s="416"/>
      <c r="AY97" s="416"/>
      <c r="AZ97" s="32"/>
    </row>
    <row r="98" spans="2:56">
      <c r="B98" s="1256" t="s">
        <v>548</v>
      </c>
      <c r="C98" s="1257"/>
      <c r="D98" s="411" t="s">
        <v>1290</v>
      </c>
      <c r="E98" s="411"/>
      <c r="F98" s="411" t="s">
        <v>295</v>
      </c>
      <c r="G98" s="411" t="s">
        <v>296</v>
      </c>
      <c r="H98" s="412">
        <v>9965.7459999999992</v>
      </c>
      <c r="I98" s="413" t="s">
        <v>240</v>
      </c>
      <c r="J98" s="414">
        <v>45048.708333333336</v>
      </c>
      <c r="K98" s="414"/>
      <c r="L98" s="414" t="s">
        <v>192</v>
      </c>
      <c r="M98" s="414" t="s">
        <v>192</v>
      </c>
      <c r="N98" s="413" t="str">
        <f t="shared" si="6"/>
        <v>DELAY ( 7 day 6 hour 0 minute )</v>
      </c>
      <c r="O98" s="51"/>
      <c r="P98" s="415" t="s">
        <v>551</v>
      </c>
      <c r="Q98" s="415" t="s">
        <v>551</v>
      </c>
      <c r="R98" s="415" t="s">
        <v>551</v>
      </c>
      <c r="S98" s="32"/>
      <c r="T98" s="416"/>
      <c r="U98" s="416"/>
      <c r="V98" s="416"/>
      <c r="W98" s="416"/>
      <c r="X98" s="416"/>
      <c r="Y98" s="416"/>
      <c r="Z98" s="416"/>
      <c r="AA98" s="416"/>
      <c r="AB98" s="416"/>
      <c r="AC98" s="416">
        <f>H98</f>
        <v>9965.7459999999992</v>
      </c>
      <c r="AD98" s="416"/>
      <c r="AE98" s="416"/>
      <c r="AF98" s="416"/>
      <c r="AG98" s="416"/>
      <c r="AH98" s="416"/>
      <c r="AI98" s="416"/>
      <c r="AJ98" s="416"/>
      <c r="AK98" s="416"/>
      <c r="AL98" s="416"/>
      <c r="AM98" s="416"/>
      <c r="AN98" s="416"/>
      <c r="AO98" s="416"/>
      <c r="AP98" s="416"/>
      <c r="AQ98" s="416"/>
      <c r="AR98" s="416"/>
      <c r="AS98" s="416"/>
      <c r="AT98" s="416"/>
      <c r="AU98" s="416"/>
      <c r="AV98" s="416"/>
      <c r="AW98" s="416"/>
      <c r="AX98" s="416"/>
      <c r="AY98" s="416"/>
      <c r="AZ98" s="32"/>
    </row>
    <row r="99" spans="2:56">
      <c r="B99" s="1256" t="s">
        <v>548</v>
      </c>
      <c r="C99" s="1257"/>
      <c r="D99" s="411" t="s">
        <v>1291</v>
      </c>
      <c r="E99" s="411"/>
      <c r="F99" s="411" t="s">
        <v>371</v>
      </c>
      <c r="G99" s="411" t="s">
        <v>372</v>
      </c>
      <c r="H99" s="412">
        <f>7540.375-2268.018</f>
        <v>5272.357</v>
      </c>
      <c r="I99" s="413" t="s">
        <v>235</v>
      </c>
      <c r="J99" s="414">
        <v>45048.787499999999</v>
      </c>
      <c r="K99" s="414"/>
      <c r="L99" s="414" t="s">
        <v>192</v>
      </c>
      <c r="M99" s="414" t="s">
        <v>192</v>
      </c>
      <c r="N99" s="413" t="str">
        <f t="shared" si="6"/>
        <v>DELAY ( 7 day 7 hour 54 minute )</v>
      </c>
      <c r="O99" s="51"/>
      <c r="P99" s="415" t="s">
        <v>551</v>
      </c>
      <c r="Q99" s="415" t="s">
        <v>551</v>
      </c>
      <c r="R99" s="415" t="s">
        <v>551</v>
      </c>
      <c r="S99" s="32"/>
      <c r="T99" s="416"/>
      <c r="U99" s="416"/>
      <c r="V99" s="416"/>
      <c r="W99" s="416"/>
      <c r="X99" s="416"/>
      <c r="Y99" s="416"/>
      <c r="Z99" s="416"/>
      <c r="AA99" s="416"/>
      <c r="AB99" s="416">
        <f>H99</f>
        <v>5272.357</v>
      </c>
      <c r="AC99" s="416"/>
      <c r="AD99" s="416"/>
      <c r="AE99" s="416"/>
      <c r="AF99" s="416"/>
      <c r="AG99" s="416"/>
      <c r="AH99" s="416"/>
      <c r="AI99" s="416"/>
      <c r="AJ99" s="416"/>
      <c r="AK99" s="416"/>
      <c r="AL99" s="416"/>
      <c r="AM99" s="416"/>
      <c r="AN99" s="416"/>
      <c r="AO99" s="416"/>
      <c r="AP99" s="416"/>
      <c r="AQ99" s="416"/>
      <c r="AR99" s="416"/>
      <c r="AS99" s="416"/>
      <c r="AT99" s="416"/>
      <c r="AU99" s="416"/>
      <c r="AV99" s="416"/>
      <c r="AW99" s="416"/>
      <c r="AX99" s="416"/>
      <c r="AY99" s="416"/>
      <c r="AZ99" s="32"/>
    </row>
    <row r="100" spans="2:56">
      <c r="B100" s="1258" t="s">
        <v>556</v>
      </c>
      <c r="C100" s="1259"/>
      <c r="D100" s="1259"/>
      <c r="E100" s="1259"/>
      <c r="F100" s="1259"/>
      <c r="G100" s="1260"/>
      <c r="H100" s="417">
        <f>SUM(H88:H99)</f>
        <v>72508.000000000015</v>
      </c>
      <c r="I100" s="388"/>
      <c r="J100" s="293"/>
      <c r="K100" s="293"/>
      <c r="L100" s="293"/>
      <c r="M100" s="389"/>
      <c r="N100" s="413" t="str">
        <f t="shared" si="6"/>
        <v xml:space="preserve"> </v>
      </c>
      <c r="O100" s="212"/>
      <c r="P100" s="418"/>
      <c r="Q100" s="418"/>
      <c r="R100" s="418"/>
      <c r="S100" s="207"/>
      <c r="T100" s="1262"/>
      <c r="U100" s="1263"/>
      <c r="V100" s="1263"/>
      <c r="W100" s="1263"/>
      <c r="X100" s="1263"/>
      <c r="Y100" s="1263"/>
      <c r="Z100" s="1263"/>
      <c r="AA100" s="1263"/>
      <c r="AB100" s="1263"/>
      <c r="AC100" s="1263"/>
      <c r="AD100" s="1263"/>
      <c r="AE100" s="1263"/>
      <c r="AF100" s="1263"/>
      <c r="AG100" s="1263"/>
      <c r="AH100" s="1263"/>
      <c r="AI100" s="1263"/>
      <c r="AJ100" s="1263"/>
      <c r="AK100" s="1263"/>
      <c r="AL100" s="1263"/>
      <c r="AM100" s="1263"/>
      <c r="AN100" s="1263"/>
      <c r="AO100" s="1263"/>
      <c r="AP100" s="1263"/>
      <c r="AQ100" s="1263"/>
      <c r="AR100" s="1263"/>
      <c r="AS100" s="1263"/>
      <c r="AT100" s="1263"/>
      <c r="AU100" s="1263"/>
      <c r="AV100" s="1263"/>
      <c r="AW100" s="1263"/>
      <c r="AX100" s="1263"/>
      <c r="AY100" s="1264"/>
    </row>
    <row r="101" spans="2:56">
      <c r="B101" s="1243" t="s">
        <v>557</v>
      </c>
      <c r="C101" s="1244"/>
      <c r="D101" s="1244"/>
      <c r="E101" s="1244"/>
      <c r="F101" s="1244"/>
      <c r="G101" s="1245"/>
      <c r="H101" s="419">
        <v>72508</v>
      </c>
      <c r="I101" s="1273"/>
      <c r="J101" s="1274"/>
      <c r="K101" s="1274"/>
      <c r="L101" s="1274"/>
      <c r="M101" s="1275"/>
      <c r="N101" s="413" t="str">
        <f t="shared" si="6"/>
        <v xml:space="preserve"> </v>
      </c>
      <c r="O101" s="32"/>
      <c r="P101" s="415"/>
      <c r="Q101" s="415"/>
      <c r="R101" s="415"/>
      <c r="S101" s="63"/>
      <c r="T101" s="416">
        <f>SUM(T88:T99)</f>
        <v>0</v>
      </c>
      <c r="U101" s="416">
        <f t="shared" ref="U101:AY101" si="7">SUM(U88:U99)</f>
        <v>0</v>
      </c>
      <c r="V101" s="416">
        <f t="shared" si="7"/>
        <v>0</v>
      </c>
      <c r="W101" s="416">
        <f t="shared" si="7"/>
        <v>0</v>
      </c>
      <c r="X101" s="416">
        <f t="shared" si="7"/>
        <v>15043.161</v>
      </c>
      <c r="Y101" s="416">
        <f t="shared" si="7"/>
        <v>0</v>
      </c>
      <c r="Z101" s="416">
        <f t="shared" si="7"/>
        <v>0</v>
      </c>
      <c r="AA101" s="416">
        <f t="shared" si="7"/>
        <v>0</v>
      </c>
      <c r="AB101" s="416">
        <f t="shared" si="7"/>
        <v>10727.599</v>
      </c>
      <c r="AC101" s="416">
        <f t="shared" si="7"/>
        <v>41722.239999999998</v>
      </c>
      <c r="AD101" s="416">
        <f t="shared" si="7"/>
        <v>0</v>
      </c>
      <c r="AE101" s="416">
        <f t="shared" si="7"/>
        <v>0</v>
      </c>
      <c r="AF101" s="416">
        <f t="shared" si="7"/>
        <v>0</v>
      </c>
      <c r="AG101" s="416">
        <f t="shared" si="7"/>
        <v>0</v>
      </c>
      <c r="AH101" s="416">
        <f t="shared" si="7"/>
        <v>0</v>
      </c>
      <c r="AI101" s="416">
        <f t="shared" si="7"/>
        <v>0</v>
      </c>
      <c r="AJ101" s="416">
        <f t="shared" si="7"/>
        <v>0</v>
      </c>
      <c r="AK101" s="416">
        <f t="shared" si="7"/>
        <v>0</v>
      </c>
      <c r="AL101" s="416">
        <f t="shared" si="7"/>
        <v>0</v>
      </c>
      <c r="AM101" s="416">
        <f t="shared" si="7"/>
        <v>0</v>
      </c>
      <c r="AN101" s="416">
        <f t="shared" si="7"/>
        <v>0</v>
      </c>
      <c r="AO101" s="416">
        <f t="shared" si="7"/>
        <v>0</v>
      </c>
      <c r="AP101" s="416">
        <f t="shared" si="7"/>
        <v>0</v>
      </c>
      <c r="AQ101" s="416">
        <f t="shared" si="7"/>
        <v>0</v>
      </c>
      <c r="AR101" s="416">
        <f t="shared" si="7"/>
        <v>0</v>
      </c>
      <c r="AS101" s="416">
        <f t="shared" si="7"/>
        <v>0</v>
      </c>
      <c r="AT101" s="416">
        <f t="shared" si="7"/>
        <v>5015</v>
      </c>
      <c r="AU101" s="416">
        <f t="shared" si="7"/>
        <v>0</v>
      </c>
      <c r="AV101" s="416">
        <f t="shared" si="7"/>
        <v>0</v>
      </c>
      <c r="AW101" s="416">
        <f t="shared" si="7"/>
        <v>0</v>
      </c>
      <c r="AX101" s="416">
        <f t="shared" si="7"/>
        <v>0</v>
      </c>
      <c r="AY101" s="416">
        <f t="shared" si="7"/>
        <v>0</v>
      </c>
      <c r="AZ101" s="416">
        <f>SUM(T101:AY101)</f>
        <v>72508</v>
      </c>
    </row>
    <row r="102" spans="2:56">
      <c r="B102" s="1243" t="s">
        <v>558</v>
      </c>
      <c r="C102" s="1244"/>
      <c r="D102" s="1244"/>
      <c r="E102" s="1244"/>
      <c r="F102" s="1244"/>
      <c r="G102" s="1245"/>
      <c r="H102" s="420">
        <f>H101-L82</f>
        <v>0</v>
      </c>
      <c r="I102" s="294"/>
      <c r="J102" s="295"/>
      <c r="K102" s="295"/>
      <c r="L102" s="296"/>
      <c r="M102" s="32"/>
      <c r="N102" s="32"/>
      <c r="O102" s="32"/>
      <c r="P102" s="32"/>
      <c r="Q102" s="297"/>
      <c r="R102" s="297"/>
      <c r="S102" s="32"/>
      <c r="T102" s="48"/>
      <c r="U102" s="48"/>
      <c r="V102" s="48"/>
      <c r="W102" s="48"/>
      <c r="X102" s="48"/>
      <c r="Y102" s="48"/>
      <c r="Z102" s="48"/>
      <c r="AA102" s="48"/>
      <c r="AB102" s="48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</row>
    <row r="103" spans="2:56">
      <c r="B103" s="1243" t="s">
        <v>559</v>
      </c>
      <c r="C103" s="1244"/>
      <c r="D103" s="1244"/>
      <c r="E103" s="1244"/>
      <c r="F103" s="1244"/>
      <c r="G103" s="1245"/>
      <c r="H103" s="420">
        <v>1068.8050000000001</v>
      </c>
      <c r="I103" s="52"/>
      <c r="J103" s="53"/>
      <c r="K103" s="53"/>
      <c r="L103" s="54"/>
      <c r="M103" s="32"/>
      <c r="N103" s="201"/>
      <c r="O103" s="32"/>
      <c r="P103" s="32"/>
      <c r="Q103" s="32"/>
      <c r="R103" s="32"/>
      <c r="S103" s="32"/>
      <c r="T103" s="48"/>
      <c r="U103" s="48"/>
      <c r="V103" s="48"/>
      <c r="W103" s="48"/>
      <c r="X103" s="48"/>
      <c r="Y103" s="48"/>
      <c r="Z103" s="48"/>
      <c r="AA103" s="48"/>
      <c r="AB103" s="48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</row>
    <row r="104" spans="2:56">
      <c r="B104" s="1243" t="s">
        <v>560</v>
      </c>
      <c r="C104" s="1244"/>
      <c r="D104" s="1244"/>
      <c r="E104" s="1244"/>
      <c r="F104" s="1244"/>
      <c r="G104" s="1245"/>
      <c r="H104" s="421">
        <f>H103-2268.018</f>
        <v>-1199.213</v>
      </c>
      <c r="I104" s="52"/>
      <c r="J104" s="53"/>
      <c r="K104" s="53"/>
      <c r="L104" s="54"/>
      <c r="M104" s="32"/>
      <c r="N104" s="32"/>
      <c r="O104" s="32"/>
      <c r="P104" s="32"/>
      <c r="Q104" s="32"/>
      <c r="R104" s="32"/>
      <c r="S104" s="48"/>
      <c r="T104" s="48"/>
      <c r="U104" s="48"/>
      <c r="V104" s="48"/>
      <c r="W104" s="48"/>
      <c r="X104" s="48"/>
      <c r="Y104" s="48"/>
      <c r="Z104" s="48"/>
      <c r="AA104" s="48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2:56">
      <c r="B105" s="201"/>
      <c r="C105" s="201"/>
      <c r="D105" s="201"/>
      <c r="E105" s="201"/>
      <c r="F105" s="201"/>
      <c r="G105" s="201"/>
      <c r="H105" s="201"/>
      <c r="I105" s="213"/>
      <c r="J105" s="209"/>
      <c r="K105" s="209"/>
      <c r="L105" s="203"/>
      <c r="M105" s="201"/>
      <c r="N105" s="201"/>
      <c r="O105" s="209"/>
      <c r="P105" s="32"/>
      <c r="Q105" s="32"/>
      <c r="R105" s="32"/>
      <c r="S105" s="32"/>
      <c r="T105" s="48"/>
      <c r="U105" s="48"/>
      <c r="V105" s="48"/>
      <c r="W105" s="48"/>
      <c r="X105" s="48"/>
      <c r="Y105" s="48"/>
      <c r="Z105" s="48"/>
      <c r="AA105" s="48"/>
      <c r="AB105" s="48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</row>
    <row r="106" spans="2:56">
      <c r="B106" s="40" t="s">
        <v>561</v>
      </c>
      <c r="C106" s="40"/>
      <c r="D106" s="32"/>
      <c r="E106" s="32"/>
      <c r="F106" s="32"/>
      <c r="G106" s="32"/>
      <c r="H106" s="32"/>
      <c r="I106" s="32"/>
      <c r="J106" s="52"/>
      <c r="K106" s="52"/>
      <c r="L106" s="55"/>
      <c r="M106" s="32"/>
      <c r="N106" s="201"/>
      <c r="O106" s="5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1"/>
      <c r="AC106" s="201"/>
      <c r="AD106" s="201"/>
      <c r="AE106" s="201"/>
      <c r="AF106" s="201"/>
      <c r="AG106" s="201"/>
      <c r="AH106" s="201"/>
      <c r="AI106" s="201"/>
      <c r="AJ106" s="201"/>
      <c r="AK106" s="201"/>
      <c r="AL106" s="201"/>
      <c r="AM106" s="201"/>
      <c r="AN106" s="201"/>
      <c r="AO106" s="201"/>
      <c r="AP106" s="201"/>
      <c r="AQ106" s="201"/>
      <c r="AR106" s="201"/>
      <c r="AS106" s="201"/>
      <c r="AT106" s="201"/>
      <c r="AU106" s="201"/>
      <c r="AZ106" s="201"/>
    </row>
    <row r="107" spans="2:56">
      <c r="B107" s="422">
        <v>1</v>
      </c>
      <c r="C107" s="1249" t="s">
        <v>1702</v>
      </c>
      <c r="D107" s="1249"/>
      <c r="E107" s="1249"/>
      <c r="F107" s="1249"/>
      <c r="G107" s="1249"/>
      <c r="H107" s="1249"/>
      <c r="I107" s="1249"/>
      <c r="J107" s="1249"/>
      <c r="K107" s="1249"/>
      <c r="L107" s="203"/>
      <c r="M107" s="203"/>
      <c r="N107" s="201"/>
      <c r="O107" s="209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201"/>
      <c r="AQ107" s="201"/>
      <c r="AR107" s="201"/>
      <c r="AS107" s="201"/>
      <c r="AT107" s="201"/>
      <c r="AU107" s="201"/>
      <c r="AV107" s="201"/>
      <c r="AW107" s="201"/>
      <c r="AX107" s="201"/>
      <c r="AY107" s="201"/>
      <c r="AZ107" s="201"/>
    </row>
    <row r="109" spans="2:56">
      <c r="B109" s="28" t="s">
        <v>126</v>
      </c>
      <c r="C109" s="28"/>
      <c r="D109" s="29"/>
      <c r="E109" s="30" t="s">
        <v>511</v>
      </c>
      <c r="F109" s="31" t="s">
        <v>1293</v>
      </c>
      <c r="G109" s="32"/>
      <c r="H109" s="33"/>
      <c r="I109" s="34"/>
      <c r="J109" s="35" t="s">
        <v>513</v>
      </c>
      <c r="K109" s="36" t="s">
        <v>511</v>
      </c>
      <c r="L109" s="37">
        <v>45055.630555555559</v>
      </c>
      <c r="M109" s="32"/>
      <c r="N109" s="32"/>
      <c r="O109" s="36"/>
      <c r="P109" s="33"/>
      <c r="Q109" s="48"/>
      <c r="R109" s="49"/>
      <c r="S109" s="38"/>
      <c r="T109" s="32"/>
      <c r="U109" s="32"/>
      <c r="V109" s="32"/>
      <c r="W109" s="32"/>
      <c r="X109" s="32"/>
      <c r="Y109" s="32"/>
      <c r="Z109" s="32"/>
      <c r="AA109" s="32"/>
      <c r="AB109" s="48"/>
      <c r="AC109" s="48"/>
      <c r="AD109" s="48"/>
      <c r="AE109" s="48"/>
      <c r="AF109" s="48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</row>
    <row r="110" spans="2:56">
      <c r="B110" s="35" t="s">
        <v>514</v>
      </c>
      <c r="C110" s="35"/>
      <c r="D110" s="32"/>
      <c r="E110" s="36" t="s">
        <v>511</v>
      </c>
      <c r="F110" s="37" t="s">
        <v>1705</v>
      </c>
      <c r="G110" s="32"/>
      <c r="H110" s="33"/>
      <c r="I110" s="34"/>
      <c r="J110" s="35" t="s">
        <v>516</v>
      </c>
      <c r="K110" s="36" t="s">
        <v>511</v>
      </c>
      <c r="L110" s="37">
        <v>45056.895833333336</v>
      </c>
      <c r="M110" s="32"/>
      <c r="N110" s="32"/>
      <c r="O110" s="36"/>
      <c r="P110" s="33"/>
      <c r="Q110" s="48"/>
      <c r="R110" s="49"/>
      <c r="S110" s="38"/>
      <c r="T110" s="32"/>
      <c r="U110" s="32"/>
      <c r="V110" s="32"/>
      <c r="W110" s="32"/>
      <c r="X110" s="32"/>
      <c r="Y110" s="32"/>
      <c r="Z110" s="32"/>
      <c r="AA110" s="32"/>
      <c r="AB110" s="48"/>
      <c r="AC110" s="48"/>
      <c r="AD110" s="48"/>
      <c r="AE110" s="48"/>
      <c r="AF110" s="48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</row>
    <row r="111" spans="2:56">
      <c r="B111" s="35" t="s">
        <v>517</v>
      </c>
      <c r="C111" s="35"/>
      <c r="D111" s="32"/>
      <c r="E111" s="36" t="s">
        <v>511</v>
      </c>
      <c r="F111" s="37">
        <v>45043.770833333336</v>
      </c>
      <c r="G111" s="32"/>
      <c r="H111" s="33"/>
      <c r="I111" s="34"/>
      <c r="J111" s="35" t="s">
        <v>518</v>
      </c>
      <c r="K111" s="36" t="s">
        <v>511</v>
      </c>
      <c r="L111" s="50">
        <v>68140</v>
      </c>
      <c r="M111" s="40" t="s">
        <v>519</v>
      </c>
      <c r="N111" s="40"/>
      <c r="O111" s="36"/>
      <c r="P111" s="33"/>
      <c r="Q111" s="48"/>
      <c r="R111" s="49"/>
      <c r="S111" s="38"/>
      <c r="T111" s="32"/>
      <c r="U111" s="32"/>
      <c r="V111" s="32"/>
      <c r="W111" s="32"/>
      <c r="X111" s="32"/>
      <c r="Y111" s="32"/>
      <c r="Z111" s="32"/>
      <c r="AA111" s="32"/>
      <c r="AB111" s="48"/>
      <c r="AC111" s="48"/>
      <c r="AD111" s="48"/>
      <c r="AE111" s="48"/>
      <c r="AF111" s="48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</row>
    <row r="112" spans="2:56">
      <c r="B112" s="35" t="s">
        <v>520</v>
      </c>
      <c r="C112" s="35"/>
      <c r="D112" s="32"/>
      <c r="E112" s="36" t="s">
        <v>511</v>
      </c>
      <c r="F112" s="37" t="s">
        <v>20</v>
      </c>
      <c r="G112" s="32"/>
      <c r="H112" s="33"/>
      <c r="I112" s="34"/>
      <c r="J112" s="35" t="s">
        <v>521</v>
      </c>
      <c r="K112" s="36" t="s">
        <v>511</v>
      </c>
      <c r="L112" s="41" t="s">
        <v>1711</v>
      </c>
      <c r="M112" s="32"/>
      <c r="N112" s="32"/>
      <c r="O112" s="36"/>
      <c r="P112" s="48"/>
      <c r="Q112" s="48"/>
      <c r="R112" s="49"/>
      <c r="S112" s="38"/>
      <c r="T112" s="32"/>
      <c r="U112" s="32"/>
      <c r="V112" s="32"/>
      <c r="W112" s="32"/>
      <c r="X112" s="32"/>
      <c r="Y112" s="32"/>
      <c r="Z112" s="32"/>
      <c r="AA112" s="32"/>
      <c r="AB112" s="48"/>
      <c r="AC112" s="48"/>
      <c r="AD112" s="48"/>
      <c r="AE112" s="48"/>
      <c r="AF112" s="48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</row>
    <row r="113" spans="2:56">
      <c r="B113" s="35" t="s">
        <v>523</v>
      </c>
      <c r="C113" s="35"/>
      <c r="D113" s="32"/>
      <c r="E113" s="36" t="s">
        <v>511</v>
      </c>
      <c r="F113" s="37" t="s">
        <v>47</v>
      </c>
      <c r="G113" s="32"/>
      <c r="H113" s="33"/>
      <c r="I113" s="34"/>
      <c r="J113" s="42" t="s">
        <v>524</v>
      </c>
      <c r="K113" s="36" t="s">
        <v>511</v>
      </c>
      <c r="L113" s="43" t="s">
        <v>15</v>
      </c>
      <c r="M113" s="44"/>
      <c r="N113" s="44"/>
      <c r="O113" s="36"/>
      <c r="P113" s="33"/>
      <c r="Q113" s="48"/>
      <c r="R113" s="49"/>
      <c r="S113" s="38"/>
      <c r="T113" s="32"/>
      <c r="U113" s="32"/>
      <c r="V113" s="32"/>
      <c r="W113" s="32"/>
      <c r="X113" s="32"/>
      <c r="Y113" s="32"/>
      <c r="Z113" s="32"/>
      <c r="AA113" s="32"/>
      <c r="AB113" s="48"/>
      <c r="AC113" s="48"/>
      <c r="AD113" s="48"/>
      <c r="AE113" s="48"/>
      <c r="AF113" s="48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</row>
    <row r="114" spans="2:56">
      <c r="B114" s="35" t="s">
        <v>2</v>
      </c>
      <c r="C114" s="35"/>
      <c r="D114" s="32"/>
      <c r="E114" s="36" t="s">
        <v>511</v>
      </c>
      <c r="F114" s="37" t="s">
        <v>14</v>
      </c>
      <c r="G114" s="32"/>
      <c r="H114" s="33"/>
      <c r="I114" s="45"/>
      <c r="J114" s="42"/>
      <c r="K114" s="36"/>
      <c r="L114" s="37"/>
      <c r="M114" s="32"/>
      <c r="N114" s="32"/>
      <c r="O114" s="42"/>
      <c r="P114" s="44"/>
      <c r="Q114" s="44"/>
      <c r="R114" s="44"/>
      <c r="S114" s="34"/>
      <c r="T114" s="32"/>
      <c r="U114" s="32"/>
      <c r="V114" s="32"/>
      <c r="W114" s="32"/>
      <c r="X114" s="32"/>
      <c r="Y114" s="32"/>
      <c r="Z114" s="32"/>
      <c r="AA114" s="32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</row>
    <row r="115" spans="2:56">
      <c r="B115" s="32"/>
      <c r="C115" s="32"/>
      <c r="D115" s="32"/>
      <c r="E115" s="32"/>
      <c r="F115" s="32"/>
      <c r="G115" s="32"/>
      <c r="H115" s="32"/>
      <c r="I115" s="45"/>
      <c r="J115" s="42"/>
      <c r="K115" s="42"/>
      <c r="L115" s="43"/>
      <c r="M115" s="44"/>
      <c r="N115" s="44"/>
      <c r="O115" s="42"/>
      <c r="P115" s="44"/>
      <c r="Q115" s="44"/>
      <c r="R115" s="44"/>
      <c r="S115" s="34"/>
      <c r="T115" s="1270" t="s">
        <v>87</v>
      </c>
      <c r="U115" s="1270"/>
      <c r="V115" s="1270"/>
      <c r="W115" s="1270"/>
      <c r="X115" s="1270"/>
      <c r="Y115" s="1270" t="s">
        <v>73</v>
      </c>
      <c r="Z115" s="1270"/>
      <c r="AA115" s="1270"/>
      <c r="AB115" s="1270" t="s">
        <v>74</v>
      </c>
      <c r="AC115" s="1270"/>
      <c r="AD115" s="407" t="s">
        <v>85</v>
      </c>
      <c r="AE115" s="407" t="s">
        <v>77</v>
      </c>
      <c r="AF115" s="1270" t="s">
        <v>525</v>
      </c>
      <c r="AG115" s="1270"/>
      <c r="AH115" s="1270"/>
      <c r="AI115" s="1270"/>
      <c r="AJ115" s="1270"/>
      <c r="AK115" s="1270"/>
      <c r="AL115" s="1270"/>
      <c r="AM115" s="1270"/>
      <c r="AN115" s="1270"/>
      <c r="AO115" s="1270"/>
      <c r="AP115" s="1270"/>
      <c r="AQ115" s="1270"/>
      <c r="AR115" s="1270"/>
      <c r="AS115" s="1270"/>
      <c r="AT115" s="1270"/>
      <c r="AU115" s="1270"/>
      <c r="AV115" s="1270"/>
      <c r="AW115" s="1270"/>
      <c r="AX115" s="1270"/>
      <c r="AY115" s="1270"/>
      <c r="AZ115" s="1270"/>
      <c r="BA115" s="1270"/>
      <c r="BB115" s="1270"/>
      <c r="BC115" s="1270"/>
      <c r="BD115" s="32"/>
    </row>
    <row r="116" spans="2:56">
      <c r="B116" s="1266" t="s">
        <v>526</v>
      </c>
      <c r="C116" s="1267"/>
      <c r="D116" s="570" t="s">
        <v>527</v>
      </c>
      <c r="E116" s="570"/>
      <c r="F116" s="570" t="s">
        <v>528</v>
      </c>
      <c r="G116" s="570" t="s">
        <v>529</v>
      </c>
      <c r="H116" s="570" t="s">
        <v>530</v>
      </c>
      <c r="I116" s="570" t="s">
        <v>531</v>
      </c>
      <c r="J116" s="570" t="s">
        <v>532</v>
      </c>
      <c r="K116" s="570"/>
      <c r="L116" s="570" t="s">
        <v>130</v>
      </c>
      <c r="M116" s="570" t="s">
        <v>533</v>
      </c>
      <c r="N116" s="408" t="str">
        <f>"On time - "&amp;COUNTIF(N117:N128,"On time")&amp;" from "&amp;ROWS(N117:N128)-COUNTIF(N117:N128," ")</f>
        <v>On time - 0 from 9</v>
      </c>
      <c r="O116" s="46"/>
      <c r="P116" s="409" t="s">
        <v>534</v>
      </c>
      <c r="Q116" s="409" t="s">
        <v>535</v>
      </c>
      <c r="R116" s="409" t="s">
        <v>536</v>
      </c>
      <c r="S116" s="32"/>
      <c r="T116" s="410" t="s">
        <v>537</v>
      </c>
      <c r="U116" s="410" t="s">
        <v>538</v>
      </c>
      <c r="V116" s="410" t="s">
        <v>539</v>
      </c>
      <c r="W116" s="410" t="s">
        <v>540</v>
      </c>
      <c r="X116" s="410" t="s">
        <v>541</v>
      </c>
      <c r="Y116" s="410" t="s">
        <v>167</v>
      </c>
      <c r="Z116" s="410" t="s">
        <v>168</v>
      </c>
      <c r="AA116" s="410" t="s">
        <v>169</v>
      </c>
      <c r="AB116" s="410" t="s">
        <v>235</v>
      </c>
      <c r="AC116" s="410" t="s">
        <v>240</v>
      </c>
      <c r="AD116" s="407" t="s">
        <v>85</v>
      </c>
      <c r="AE116" s="410" t="s">
        <v>139</v>
      </c>
      <c r="AF116" s="410" t="s">
        <v>72</v>
      </c>
      <c r="AG116" s="410" t="s">
        <v>88</v>
      </c>
      <c r="AH116" s="410" t="s">
        <v>75</v>
      </c>
      <c r="AI116" s="410" t="s">
        <v>543</v>
      </c>
      <c r="AJ116" s="410" t="s">
        <v>78</v>
      </c>
      <c r="AK116" s="410" t="s">
        <v>76</v>
      </c>
      <c r="AL116" s="410" t="s">
        <v>544</v>
      </c>
      <c r="AM116" s="410" t="s">
        <v>545</v>
      </c>
      <c r="AN116" s="410" t="s">
        <v>86</v>
      </c>
      <c r="AO116" s="410" t="s">
        <v>83</v>
      </c>
      <c r="AP116" s="410" t="s">
        <v>84</v>
      </c>
      <c r="AQ116" s="410" t="s">
        <v>546</v>
      </c>
      <c r="AR116" s="410" t="s">
        <v>81</v>
      </c>
      <c r="AS116" s="410" t="s">
        <v>80</v>
      </c>
      <c r="AT116" s="410" t="s">
        <v>82</v>
      </c>
      <c r="AU116" s="410" t="s">
        <v>181</v>
      </c>
      <c r="AV116" s="410" t="s">
        <v>183</v>
      </c>
      <c r="AW116" s="410" t="s">
        <v>547</v>
      </c>
      <c r="AX116" s="410" t="s">
        <v>182</v>
      </c>
      <c r="AY116" s="410" t="s">
        <v>172</v>
      </c>
      <c r="AZ116" s="410" t="s">
        <v>173</v>
      </c>
      <c r="BA116" s="410" t="s">
        <v>184</v>
      </c>
      <c r="BB116" s="410" t="s">
        <v>100</v>
      </c>
      <c r="BC116" s="410" t="s">
        <v>913</v>
      </c>
      <c r="BD116" s="32"/>
    </row>
    <row r="117" spans="2:56">
      <c r="B117" s="1256">
        <v>1</v>
      </c>
      <c r="C117" s="1257"/>
      <c r="D117" s="411" t="s">
        <v>1340</v>
      </c>
      <c r="E117" s="411"/>
      <c r="F117" s="411" t="s">
        <v>437</v>
      </c>
      <c r="G117" s="411" t="s">
        <v>320</v>
      </c>
      <c r="H117" s="412">
        <v>7500</v>
      </c>
      <c r="I117" s="413" t="s">
        <v>76</v>
      </c>
      <c r="J117" s="414">
        <v>45048.416666666664</v>
      </c>
      <c r="K117" s="414"/>
      <c r="L117" s="414" t="s">
        <v>192</v>
      </c>
      <c r="M117" s="414" t="s">
        <v>192</v>
      </c>
      <c r="N117" s="413" t="str">
        <f t="shared" ref="N117:N128" si="8">IF(ISBLANK(J117)," ",IF(J117&lt;$F$111,"On time",(IF(DAY(J117-$F$111)&lt;1,"On time",(IF(J117&gt;$F$111,"DELAY ( "&amp;DAY(J117-$F$111)&amp;" day "&amp;HOUR(J117-$F$111)&amp;" hour "&amp;MINUTE(J117-$F$111)&amp;" minute )","xxx"))))))</f>
        <v>DELAY ( 4 day 15 hour 30 minute )</v>
      </c>
      <c r="O117" s="51"/>
      <c r="P117" s="415" t="s">
        <v>551</v>
      </c>
      <c r="Q117" s="415" t="s">
        <v>551</v>
      </c>
      <c r="R117" s="415" t="s">
        <v>551</v>
      </c>
      <c r="S117" s="32"/>
      <c r="T117" s="416"/>
      <c r="U117" s="416"/>
      <c r="V117" s="416"/>
      <c r="W117" s="416"/>
      <c r="X117" s="416"/>
      <c r="Y117" s="416"/>
      <c r="Z117" s="416"/>
      <c r="AA117" s="416"/>
      <c r="AB117" s="416"/>
      <c r="AC117" s="416"/>
      <c r="AD117" s="416"/>
      <c r="AE117" s="416"/>
      <c r="AF117" s="416"/>
      <c r="AG117" s="416"/>
      <c r="AH117" s="416"/>
      <c r="AI117" s="416"/>
      <c r="AJ117" s="416"/>
      <c r="AK117" s="286">
        <f>H117</f>
        <v>7500</v>
      </c>
      <c r="AL117" s="416"/>
      <c r="AM117" s="416"/>
      <c r="AN117" s="416"/>
      <c r="AO117" s="416"/>
      <c r="AP117" s="32"/>
      <c r="AQ117" s="416"/>
      <c r="AR117" s="416"/>
      <c r="AS117" s="416"/>
      <c r="AT117" s="416"/>
      <c r="AU117" s="416"/>
      <c r="AV117" s="416"/>
      <c r="AW117" s="416"/>
      <c r="AX117" s="416"/>
      <c r="AY117" s="416"/>
      <c r="AZ117" s="416"/>
      <c r="BA117" s="416"/>
      <c r="BB117" s="416"/>
      <c r="BC117" s="416"/>
      <c r="BD117" s="32"/>
    </row>
    <row r="118" spans="2:56">
      <c r="B118" s="1256">
        <v>2</v>
      </c>
      <c r="C118" s="1257"/>
      <c r="D118" s="411" t="s">
        <v>1294</v>
      </c>
      <c r="E118" s="411"/>
      <c r="F118" s="411" t="s">
        <v>355</v>
      </c>
      <c r="G118" s="411" t="s">
        <v>356</v>
      </c>
      <c r="H118" s="412">
        <v>7584.7560000000003</v>
      </c>
      <c r="I118" s="413" t="s">
        <v>235</v>
      </c>
      <c r="J118" s="414">
        <v>45049.020833333336</v>
      </c>
      <c r="K118" s="414"/>
      <c r="L118" s="414" t="s">
        <v>192</v>
      </c>
      <c r="M118" s="414" t="s">
        <v>192</v>
      </c>
      <c r="N118" s="413" t="str">
        <f t="shared" si="8"/>
        <v>DELAY ( 5 day 6 hour 0 minute )</v>
      </c>
      <c r="O118" s="51"/>
      <c r="P118" s="415" t="s">
        <v>551</v>
      </c>
      <c r="Q118" s="415" t="s">
        <v>551</v>
      </c>
      <c r="R118" s="415" t="s">
        <v>551</v>
      </c>
      <c r="S118" s="32"/>
      <c r="T118" s="416"/>
      <c r="U118" s="416"/>
      <c r="V118" s="416"/>
      <c r="W118" s="416"/>
      <c r="X118" s="416"/>
      <c r="Y118" s="416"/>
      <c r="Z118" s="416"/>
      <c r="AA118" s="416"/>
      <c r="AB118" s="416">
        <f>H118</f>
        <v>7584.7560000000003</v>
      </c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416"/>
      <c r="BA118" s="416"/>
      <c r="BB118" s="416"/>
      <c r="BC118" s="416"/>
      <c r="BD118" s="32"/>
    </row>
    <row r="119" spans="2:56">
      <c r="B119" s="1256">
        <v>3</v>
      </c>
      <c r="C119" s="1257"/>
      <c r="D119" s="411" t="s">
        <v>1295</v>
      </c>
      <c r="E119" s="411"/>
      <c r="F119" s="411" t="s">
        <v>288</v>
      </c>
      <c r="G119" s="411" t="s">
        <v>289</v>
      </c>
      <c r="H119" s="412">
        <v>7629.299</v>
      </c>
      <c r="I119" s="413" t="s">
        <v>235</v>
      </c>
      <c r="J119" s="414">
        <v>45050.180555555555</v>
      </c>
      <c r="K119" s="414"/>
      <c r="L119" s="414" t="s">
        <v>192</v>
      </c>
      <c r="M119" s="414" t="s">
        <v>192</v>
      </c>
      <c r="N119" s="413" t="str">
        <f t="shared" si="8"/>
        <v>DELAY ( 6 day 9 hour 50 minute )</v>
      </c>
      <c r="O119" s="51"/>
      <c r="P119" s="415" t="s">
        <v>551</v>
      </c>
      <c r="Q119" s="415" t="s">
        <v>551</v>
      </c>
      <c r="R119" s="415" t="s">
        <v>551</v>
      </c>
      <c r="S119" s="32"/>
      <c r="T119" s="416"/>
      <c r="U119" s="416"/>
      <c r="V119" s="416"/>
      <c r="W119" s="416"/>
      <c r="X119" s="416"/>
      <c r="Y119" s="416"/>
      <c r="Z119" s="32"/>
      <c r="AA119" s="416"/>
      <c r="AB119" s="416">
        <f>H119</f>
        <v>7629.299</v>
      </c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416"/>
      <c r="BA119" s="416"/>
      <c r="BB119" s="416"/>
      <c r="BC119" s="416"/>
      <c r="BD119" s="32"/>
    </row>
    <row r="120" spans="2:56">
      <c r="B120" s="1256">
        <v>4</v>
      </c>
      <c r="C120" s="1257"/>
      <c r="D120" s="411" t="s">
        <v>1297</v>
      </c>
      <c r="E120" s="411"/>
      <c r="F120" s="411" t="s">
        <v>343</v>
      </c>
      <c r="G120" s="411" t="s">
        <v>344</v>
      </c>
      <c r="H120" s="412">
        <v>7555.4620000000004</v>
      </c>
      <c r="I120" s="413" t="s">
        <v>235</v>
      </c>
      <c r="J120" s="414">
        <v>45050.225694444445</v>
      </c>
      <c r="K120" s="414"/>
      <c r="L120" s="414" t="s">
        <v>192</v>
      </c>
      <c r="M120" s="414" t="s">
        <v>192</v>
      </c>
      <c r="N120" s="413" t="str">
        <f t="shared" si="8"/>
        <v>DELAY ( 6 day 10 hour 55 minute )</v>
      </c>
      <c r="O120" s="51"/>
      <c r="P120" s="415" t="s">
        <v>551</v>
      </c>
      <c r="Q120" s="415" t="s">
        <v>551</v>
      </c>
      <c r="R120" s="415" t="s">
        <v>551</v>
      </c>
      <c r="S120" s="32"/>
      <c r="T120" s="416"/>
      <c r="U120" s="416"/>
      <c r="V120" s="416"/>
      <c r="W120" s="416"/>
      <c r="X120" s="416"/>
      <c r="Y120" s="416"/>
      <c r="Z120" s="416"/>
      <c r="AA120" s="416"/>
      <c r="AB120" s="416">
        <f>H120</f>
        <v>7555.4620000000004</v>
      </c>
      <c r="AC120" s="416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416"/>
      <c r="AU120" s="416"/>
      <c r="AV120" s="416"/>
      <c r="AW120" s="416"/>
      <c r="AX120" s="416"/>
      <c r="AY120" s="416"/>
      <c r="AZ120" s="416"/>
      <c r="BA120" s="416"/>
      <c r="BB120" s="416"/>
      <c r="BC120" s="416"/>
      <c r="BD120" s="32"/>
    </row>
    <row r="121" spans="2:56">
      <c r="B121" s="1256">
        <v>5</v>
      </c>
      <c r="C121" s="1257"/>
      <c r="D121" s="411" t="s">
        <v>1296</v>
      </c>
      <c r="E121" s="411"/>
      <c r="F121" s="411" t="s">
        <v>334</v>
      </c>
      <c r="G121" s="411" t="s">
        <v>335</v>
      </c>
      <c r="H121" s="412">
        <v>7703.5919999999996</v>
      </c>
      <c r="I121" s="413" t="s">
        <v>235</v>
      </c>
      <c r="J121" s="414">
        <v>45050.284722222219</v>
      </c>
      <c r="K121" s="414"/>
      <c r="L121" s="414" t="s">
        <v>192</v>
      </c>
      <c r="M121" s="414" t="s">
        <v>192</v>
      </c>
      <c r="N121" s="413" t="str">
        <f t="shared" si="8"/>
        <v>DELAY ( 6 day 12 hour 20 minute )</v>
      </c>
      <c r="O121" s="51"/>
      <c r="P121" s="415" t="s">
        <v>551</v>
      </c>
      <c r="Q121" s="415" t="s">
        <v>551</v>
      </c>
      <c r="R121" s="415" t="s">
        <v>551</v>
      </c>
      <c r="S121" s="32"/>
      <c r="T121" s="416"/>
      <c r="U121" s="416"/>
      <c r="V121" s="416"/>
      <c r="W121" s="416"/>
      <c r="X121" s="416"/>
      <c r="Y121" s="416"/>
      <c r="Z121" s="416"/>
      <c r="AA121" s="416"/>
      <c r="AB121" s="416">
        <f>H121</f>
        <v>7703.5919999999996</v>
      </c>
      <c r="AC121" s="416"/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416"/>
      <c r="BA121" s="416"/>
      <c r="BB121" s="416"/>
      <c r="BC121" s="416"/>
      <c r="BD121" s="32"/>
    </row>
    <row r="122" spans="2:56">
      <c r="B122" s="1256">
        <v>6</v>
      </c>
      <c r="C122" s="1257"/>
      <c r="D122" s="411" t="s">
        <v>1448</v>
      </c>
      <c r="E122" s="411"/>
      <c r="F122" s="411" t="s">
        <v>349</v>
      </c>
      <c r="G122" s="411" t="s">
        <v>350</v>
      </c>
      <c r="H122" s="412">
        <v>7500.0559999999996</v>
      </c>
      <c r="I122" s="413" t="s">
        <v>235</v>
      </c>
      <c r="J122" s="414">
        <v>45052.666666666664</v>
      </c>
      <c r="K122" s="414"/>
      <c r="L122" s="414" t="s">
        <v>192</v>
      </c>
      <c r="M122" s="414" t="s">
        <v>192</v>
      </c>
      <c r="N122" s="413" t="str">
        <f t="shared" si="8"/>
        <v>DELAY ( 8 day 21 hour 30 minute )</v>
      </c>
      <c r="O122" s="51"/>
      <c r="P122" s="415" t="s">
        <v>551</v>
      </c>
      <c r="Q122" s="415" t="s">
        <v>551</v>
      </c>
      <c r="R122" s="415" t="s">
        <v>551</v>
      </c>
      <c r="S122" s="32"/>
      <c r="T122" s="416"/>
      <c r="U122" s="416"/>
      <c r="V122" s="416"/>
      <c r="W122" s="416"/>
      <c r="X122" s="416"/>
      <c r="Y122" s="416"/>
      <c r="Z122" s="416"/>
      <c r="AA122" s="416"/>
      <c r="AB122" s="416">
        <f>H122</f>
        <v>7500.0559999999996</v>
      </c>
      <c r="AC122" s="416"/>
      <c r="AD122" s="416"/>
      <c r="AE122" s="416"/>
      <c r="AF122" s="416"/>
      <c r="AG122" s="416"/>
      <c r="AH122" s="416"/>
      <c r="AI122" s="416"/>
      <c r="AJ122" s="416"/>
      <c r="AK122" s="416"/>
      <c r="AL122" s="416"/>
      <c r="AM122" s="416"/>
      <c r="AN122" s="416"/>
      <c r="AO122" s="416"/>
      <c r="AP122" s="416"/>
      <c r="AQ122" s="416"/>
      <c r="AR122" s="416"/>
      <c r="AS122" s="416"/>
      <c r="AT122" s="416"/>
      <c r="AU122" s="416"/>
      <c r="AV122" s="416"/>
      <c r="AW122" s="416"/>
      <c r="AX122" s="416"/>
      <c r="AY122" s="416"/>
      <c r="AZ122" s="416"/>
      <c r="BA122" s="416"/>
      <c r="BB122" s="416"/>
      <c r="BC122" s="416"/>
      <c r="BD122" s="32"/>
    </row>
    <row r="123" spans="2:56">
      <c r="B123" s="1256">
        <v>7</v>
      </c>
      <c r="C123" s="1257"/>
      <c r="D123" s="411" t="s">
        <v>1450</v>
      </c>
      <c r="E123" s="411"/>
      <c r="F123" s="411" t="s">
        <v>406</v>
      </c>
      <c r="G123" s="411" t="s">
        <v>407</v>
      </c>
      <c r="H123" s="412">
        <v>7446.4359999999997</v>
      </c>
      <c r="I123" s="413" t="s">
        <v>240</v>
      </c>
      <c r="J123" s="414">
        <v>45052.791666666664</v>
      </c>
      <c r="K123" s="414"/>
      <c r="L123" s="414" t="s">
        <v>192</v>
      </c>
      <c r="M123" s="414" t="s">
        <v>192</v>
      </c>
      <c r="N123" s="413" t="str">
        <f t="shared" si="8"/>
        <v>DELAY ( 9 day 0 hour 30 minute )</v>
      </c>
      <c r="O123" s="51"/>
      <c r="P123" s="415" t="s">
        <v>551</v>
      </c>
      <c r="Q123" s="415" t="s">
        <v>551</v>
      </c>
      <c r="R123" s="415" t="s">
        <v>551</v>
      </c>
      <c r="S123" s="32"/>
      <c r="T123" s="416"/>
      <c r="U123" s="416"/>
      <c r="V123" s="416"/>
      <c r="W123" s="416"/>
      <c r="X123" s="416"/>
      <c r="Y123" s="416"/>
      <c r="Z123" s="416"/>
      <c r="AA123" s="416"/>
      <c r="AB123" s="32"/>
      <c r="AC123" s="416">
        <f>H123</f>
        <v>7446.4359999999997</v>
      </c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416"/>
      <c r="BA123" s="416"/>
      <c r="BB123" s="416"/>
      <c r="BC123" s="416"/>
      <c r="BD123" s="32"/>
    </row>
    <row r="124" spans="2:56">
      <c r="B124" s="1256">
        <v>8</v>
      </c>
      <c r="C124" s="1257"/>
      <c r="D124" s="411" t="s">
        <v>1712</v>
      </c>
      <c r="E124" s="411"/>
      <c r="F124" s="411" t="s">
        <v>292</v>
      </c>
      <c r="G124" s="411" t="s">
        <v>293</v>
      </c>
      <c r="H124" s="412">
        <v>7500</v>
      </c>
      <c r="I124" s="413" t="s">
        <v>78</v>
      </c>
      <c r="J124" s="414">
        <v>45053.229166666664</v>
      </c>
      <c r="K124" s="414"/>
      <c r="L124" s="414" t="s">
        <v>192</v>
      </c>
      <c r="M124" s="414" t="s">
        <v>192</v>
      </c>
      <c r="N124" s="413" t="str">
        <f t="shared" si="8"/>
        <v>DELAY ( 9 day 11 hour 0 minute )</v>
      </c>
      <c r="O124" s="51"/>
      <c r="P124" s="415" t="s">
        <v>551</v>
      </c>
      <c r="Q124" s="415" t="s">
        <v>551</v>
      </c>
      <c r="R124" s="415" t="s">
        <v>551</v>
      </c>
      <c r="S124" s="32"/>
      <c r="T124" s="416"/>
      <c r="U124" s="416"/>
      <c r="V124" s="416"/>
      <c r="W124" s="416"/>
      <c r="X124" s="416"/>
      <c r="Y124" s="416"/>
      <c r="Z124" s="416"/>
      <c r="AA124" s="416"/>
      <c r="AB124" s="32"/>
      <c r="AC124" s="416"/>
      <c r="AD124" s="416"/>
      <c r="AE124" s="416"/>
      <c r="AF124" s="416"/>
      <c r="AG124" s="416"/>
      <c r="AH124" s="416"/>
      <c r="AI124" s="416"/>
      <c r="AJ124" s="286">
        <f>H124</f>
        <v>7500</v>
      </c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416"/>
      <c r="AZ124" s="416"/>
      <c r="BA124" s="416"/>
      <c r="BB124" s="416"/>
      <c r="BC124" s="416"/>
      <c r="BD124" s="32"/>
    </row>
    <row r="125" spans="2:56">
      <c r="B125" s="1256">
        <v>9</v>
      </c>
      <c r="C125" s="1257"/>
      <c r="D125" s="411" t="s">
        <v>1359</v>
      </c>
      <c r="E125" s="411"/>
      <c r="F125" s="411" t="s">
        <v>1360</v>
      </c>
      <c r="G125" s="411" t="s">
        <v>1361</v>
      </c>
      <c r="H125" s="412">
        <v>5252.7349999999997</v>
      </c>
      <c r="I125" s="413" t="s">
        <v>183</v>
      </c>
      <c r="J125" s="414">
        <v>45054.020833333336</v>
      </c>
      <c r="K125" s="414"/>
      <c r="L125" s="414" t="s">
        <v>192</v>
      </c>
      <c r="M125" s="414" t="s">
        <v>192</v>
      </c>
      <c r="N125" s="413" t="str">
        <f t="shared" si="8"/>
        <v>DELAY ( 10 day 6 hour 0 minute )</v>
      </c>
      <c r="O125" s="51"/>
      <c r="P125" s="415" t="s">
        <v>551</v>
      </c>
      <c r="Q125" s="415" t="s">
        <v>551</v>
      </c>
      <c r="R125" s="415" t="s">
        <v>551</v>
      </c>
      <c r="S125" s="32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32"/>
      <c r="AV125" s="416">
        <f>H125</f>
        <v>5252.7349999999997</v>
      </c>
      <c r="AW125" s="416"/>
      <c r="AX125" s="416"/>
      <c r="AY125" s="32"/>
      <c r="AZ125" s="416"/>
      <c r="BA125" s="416"/>
      <c r="BB125" s="416"/>
      <c r="BC125" s="416"/>
      <c r="BD125" s="32"/>
    </row>
    <row r="126" spans="2:56">
      <c r="B126" s="1256" t="s">
        <v>610</v>
      </c>
      <c r="C126" s="1276"/>
      <c r="D126" s="1276"/>
      <c r="E126" s="1276"/>
      <c r="F126" s="1276"/>
      <c r="G126" s="1257"/>
      <c r="H126" s="412">
        <f>H128-SUM(H117:H125)</f>
        <v>2467.6640000000043</v>
      </c>
      <c r="I126" s="413" t="s">
        <v>1164</v>
      </c>
      <c r="J126" s="414"/>
      <c r="K126" s="414"/>
      <c r="L126" s="414"/>
      <c r="M126" s="414"/>
      <c r="N126" s="413" t="str">
        <f t="shared" si="8"/>
        <v xml:space="preserve"> </v>
      </c>
      <c r="O126" s="51"/>
      <c r="P126" s="415" t="s">
        <v>551</v>
      </c>
      <c r="Q126" s="415"/>
      <c r="R126" s="415"/>
      <c r="S126" s="32"/>
      <c r="T126" s="416"/>
      <c r="U126" s="416"/>
      <c r="V126" s="416"/>
      <c r="W126" s="416"/>
      <c r="X126" s="416">
        <f>H126</f>
        <v>2467.6640000000043</v>
      </c>
      <c r="Y126" s="416"/>
      <c r="Z126" s="416"/>
      <c r="AA126" s="416"/>
      <c r="AB126" s="416"/>
      <c r="AC126" s="416"/>
      <c r="AD126" s="416"/>
      <c r="AE126" s="416"/>
      <c r="AF126" s="416"/>
      <c r="AG126" s="416"/>
      <c r="AH126" s="416"/>
      <c r="AI126" s="416"/>
      <c r="AJ126" s="416"/>
      <c r="AK126" s="416"/>
      <c r="AL126" s="416"/>
      <c r="AM126" s="416"/>
      <c r="AN126" s="416"/>
      <c r="AO126" s="416"/>
      <c r="AP126" s="416"/>
      <c r="AQ126" s="416"/>
      <c r="AR126" s="416"/>
      <c r="AS126" s="416"/>
      <c r="AT126" s="416"/>
      <c r="AU126" s="416"/>
      <c r="AV126" s="416"/>
      <c r="AW126" s="416"/>
      <c r="AX126" s="416"/>
      <c r="AY126" s="416"/>
      <c r="AZ126" s="416"/>
      <c r="BA126" s="416"/>
      <c r="BB126" s="416"/>
      <c r="BC126" s="416"/>
      <c r="BD126" s="32"/>
    </row>
    <row r="127" spans="2:56">
      <c r="B127" s="1258" t="s">
        <v>556</v>
      </c>
      <c r="C127" s="1259"/>
      <c r="D127" s="1259"/>
      <c r="E127" s="1259"/>
      <c r="F127" s="1259"/>
      <c r="G127" s="1260"/>
      <c r="H127" s="417">
        <f>SUM(H117:H126)</f>
        <v>68140</v>
      </c>
      <c r="I127" s="388"/>
      <c r="J127" s="293"/>
      <c r="K127" s="293"/>
      <c r="L127" s="293"/>
      <c r="M127" s="389"/>
      <c r="N127" s="413" t="str">
        <f t="shared" si="8"/>
        <v xml:space="preserve"> </v>
      </c>
      <c r="O127" s="47"/>
      <c r="P127" s="418"/>
      <c r="Q127" s="418"/>
      <c r="R127" s="418"/>
      <c r="S127" s="32"/>
      <c r="T127" s="1262"/>
      <c r="U127" s="1263"/>
      <c r="V127" s="1263"/>
      <c r="W127" s="1263"/>
      <c r="X127" s="1263"/>
      <c r="Y127" s="1263"/>
      <c r="Z127" s="1263"/>
      <c r="AA127" s="1263"/>
      <c r="AB127" s="1263"/>
      <c r="AC127" s="1263"/>
      <c r="AD127" s="1263"/>
      <c r="AE127" s="1263"/>
      <c r="AF127" s="1263"/>
      <c r="AG127" s="1263"/>
      <c r="AH127" s="1263"/>
      <c r="AI127" s="1263"/>
      <c r="AJ127" s="1263"/>
      <c r="AK127" s="1263"/>
      <c r="AL127" s="1263"/>
      <c r="AM127" s="1263"/>
      <c r="AN127" s="1263"/>
      <c r="AO127" s="1263"/>
      <c r="AP127" s="1263"/>
      <c r="AQ127" s="1263"/>
      <c r="AR127" s="1263"/>
      <c r="AS127" s="1263"/>
      <c r="AT127" s="1263"/>
      <c r="AU127" s="1263"/>
      <c r="AV127" s="1263"/>
      <c r="AW127" s="1263"/>
      <c r="AX127" s="1263"/>
      <c r="AY127" s="1263"/>
      <c r="AZ127" s="1263"/>
      <c r="BA127" s="1263"/>
      <c r="BB127" s="1263"/>
      <c r="BC127" s="1264"/>
    </row>
    <row r="128" spans="2:56">
      <c r="B128" s="1243" t="s">
        <v>557</v>
      </c>
      <c r="C128" s="1244"/>
      <c r="D128" s="1244"/>
      <c r="E128" s="1244"/>
      <c r="F128" s="1244"/>
      <c r="G128" s="1245"/>
      <c r="H128" s="419">
        <v>68140</v>
      </c>
      <c r="I128" s="1246"/>
      <c r="J128" s="1247"/>
      <c r="K128" s="1247"/>
      <c r="L128" s="1247"/>
      <c r="M128" s="1248"/>
      <c r="N128" s="413" t="str">
        <f t="shared" si="8"/>
        <v xml:space="preserve"> </v>
      </c>
      <c r="O128" s="32"/>
      <c r="P128" s="415"/>
      <c r="Q128" s="415"/>
      <c r="R128" s="415"/>
      <c r="S128" s="63"/>
      <c r="T128" s="416">
        <f>SUM(T117:T126)</f>
        <v>0</v>
      </c>
      <c r="U128" s="416">
        <f t="shared" ref="U128:BC128" si="9">SUM(U117:U126)</f>
        <v>0</v>
      </c>
      <c r="V128" s="416">
        <f t="shared" si="9"/>
        <v>0</v>
      </c>
      <c r="W128" s="416">
        <f t="shared" si="9"/>
        <v>0</v>
      </c>
      <c r="X128" s="416">
        <f t="shared" si="9"/>
        <v>2467.6640000000043</v>
      </c>
      <c r="Y128" s="416">
        <f t="shared" si="9"/>
        <v>0</v>
      </c>
      <c r="Z128" s="416">
        <f t="shared" si="9"/>
        <v>0</v>
      </c>
      <c r="AA128" s="416">
        <f t="shared" si="9"/>
        <v>0</v>
      </c>
      <c r="AB128" s="416">
        <f t="shared" si="9"/>
        <v>37973.165000000001</v>
      </c>
      <c r="AC128" s="416">
        <f t="shared" si="9"/>
        <v>7446.4359999999997</v>
      </c>
      <c r="AD128" s="416">
        <f t="shared" si="9"/>
        <v>0</v>
      </c>
      <c r="AE128" s="416">
        <f t="shared" si="9"/>
        <v>0</v>
      </c>
      <c r="AF128" s="416">
        <f t="shared" si="9"/>
        <v>0</v>
      </c>
      <c r="AG128" s="416">
        <f t="shared" si="9"/>
        <v>0</v>
      </c>
      <c r="AH128" s="416">
        <f t="shared" si="9"/>
        <v>0</v>
      </c>
      <c r="AI128" s="416">
        <f t="shared" si="9"/>
        <v>0</v>
      </c>
      <c r="AJ128" s="416">
        <f t="shared" si="9"/>
        <v>7500</v>
      </c>
      <c r="AK128" s="416">
        <f t="shared" si="9"/>
        <v>7500</v>
      </c>
      <c r="AL128" s="416">
        <f t="shared" si="9"/>
        <v>0</v>
      </c>
      <c r="AM128" s="416">
        <f t="shared" si="9"/>
        <v>0</v>
      </c>
      <c r="AN128" s="416">
        <f t="shared" si="9"/>
        <v>0</v>
      </c>
      <c r="AO128" s="416">
        <f t="shared" si="9"/>
        <v>0</v>
      </c>
      <c r="AP128" s="416">
        <f t="shared" si="9"/>
        <v>0</v>
      </c>
      <c r="AQ128" s="416">
        <f t="shared" si="9"/>
        <v>0</v>
      </c>
      <c r="AR128" s="416">
        <f t="shared" si="9"/>
        <v>0</v>
      </c>
      <c r="AS128" s="416">
        <f t="shared" si="9"/>
        <v>0</v>
      </c>
      <c r="AT128" s="416">
        <f t="shared" si="9"/>
        <v>0</v>
      </c>
      <c r="AU128" s="416">
        <f t="shared" si="9"/>
        <v>0</v>
      </c>
      <c r="AV128" s="416">
        <f t="shared" si="9"/>
        <v>5252.7349999999997</v>
      </c>
      <c r="AW128" s="416">
        <f t="shared" si="9"/>
        <v>0</v>
      </c>
      <c r="AX128" s="416">
        <f t="shared" si="9"/>
        <v>0</v>
      </c>
      <c r="AY128" s="416">
        <f t="shared" si="9"/>
        <v>0</v>
      </c>
      <c r="AZ128" s="416">
        <f t="shared" si="9"/>
        <v>0</v>
      </c>
      <c r="BA128" s="416">
        <f t="shared" si="9"/>
        <v>0</v>
      </c>
      <c r="BB128" s="416">
        <f t="shared" si="9"/>
        <v>0</v>
      </c>
      <c r="BC128" s="416">
        <f t="shared" si="9"/>
        <v>0</v>
      </c>
      <c r="BD128" s="416">
        <f>SUM(T128:BC128)</f>
        <v>68140</v>
      </c>
    </row>
    <row r="129" spans="2:56">
      <c r="B129" s="1243" t="s">
        <v>558</v>
      </c>
      <c r="C129" s="1244"/>
      <c r="D129" s="1244"/>
      <c r="E129" s="1244"/>
      <c r="F129" s="1244"/>
      <c r="G129" s="1245"/>
      <c r="H129" s="420">
        <f>H128-L111</f>
        <v>0</v>
      </c>
      <c r="I129" s="294"/>
      <c r="J129" s="295"/>
      <c r="K129" s="295"/>
      <c r="L129" s="296"/>
      <c r="M129" s="32"/>
      <c r="N129" s="32"/>
      <c r="O129" s="32"/>
      <c r="P129" s="32"/>
      <c r="Q129" s="297"/>
      <c r="R129" s="297"/>
      <c r="S129" s="32"/>
      <c r="T129" s="48"/>
      <c r="U129" s="48"/>
      <c r="V129" s="48"/>
      <c r="W129" s="48"/>
      <c r="X129" s="48"/>
      <c r="Y129" s="48"/>
      <c r="Z129" s="48"/>
      <c r="AA129" s="48"/>
      <c r="AB129" s="48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</row>
    <row r="130" spans="2:56">
      <c r="B130" s="1243" t="s">
        <v>559</v>
      </c>
      <c r="C130" s="1244"/>
      <c r="D130" s="1244"/>
      <c r="E130" s="1244"/>
      <c r="F130" s="1244"/>
      <c r="G130" s="1245"/>
      <c r="H130" s="420">
        <f>H127-H128</f>
        <v>0</v>
      </c>
      <c r="I130" s="52"/>
      <c r="J130" s="53"/>
      <c r="K130" s="53"/>
      <c r="L130" s="54"/>
      <c r="M130" s="32"/>
      <c r="N130" s="32"/>
      <c r="O130" s="32"/>
      <c r="P130" s="32"/>
      <c r="Q130" s="32"/>
      <c r="R130" s="32"/>
      <c r="S130" s="32"/>
      <c r="T130" s="48"/>
      <c r="U130" s="48"/>
      <c r="V130" s="48"/>
      <c r="W130" s="48"/>
      <c r="X130" s="48"/>
      <c r="Y130" s="48"/>
      <c r="Z130" s="48"/>
      <c r="AA130" s="48"/>
      <c r="AB130" s="48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</row>
    <row r="131" spans="2:56">
      <c r="B131" s="32"/>
      <c r="C131" s="32"/>
      <c r="D131" s="32"/>
      <c r="E131" s="32"/>
      <c r="F131" s="32"/>
      <c r="G131" s="32"/>
      <c r="H131" s="32"/>
      <c r="I131" s="57"/>
      <c r="J131" s="52"/>
      <c r="K131" s="52"/>
      <c r="L131" s="55"/>
      <c r="M131" s="32"/>
      <c r="N131" s="32"/>
      <c r="O131" s="52"/>
      <c r="P131" s="32"/>
      <c r="Q131" s="32"/>
      <c r="R131" s="32"/>
      <c r="S131" s="32"/>
      <c r="T131" s="48"/>
      <c r="U131" s="48"/>
      <c r="V131" s="48"/>
      <c r="W131" s="48"/>
      <c r="X131" s="48"/>
      <c r="Y131" s="48"/>
      <c r="Z131" s="48"/>
      <c r="AA131" s="48"/>
      <c r="AB131" s="48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</row>
    <row r="132" spans="2:56">
      <c r="B132" s="40" t="s">
        <v>561</v>
      </c>
      <c r="C132" s="40"/>
      <c r="D132" s="32"/>
      <c r="E132" s="32"/>
      <c r="F132" s="32"/>
      <c r="G132" s="32"/>
      <c r="H132" s="32"/>
      <c r="I132" s="32"/>
      <c r="J132" s="52"/>
      <c r="K132" s="52"/>
      <c r="L132" s="55"/>
      <c r="M132" s="32"/>
      <c r="N132" s="32"/>
      <c r="O132" s="52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BD132" s="32"/>
    </row>
    <row r="133" spans="2:56">
      <c r="B133" s="422"/>
      <c r="C133" s="1249"/>
      <c r="D133" s="1249"/>
      <c r="E133" s="1249"/>
      <c r="F133" s="1249"/>
      <c r="G133" s="1249"/>
      <c r="H133" s="1249"/>
      <c r="I133" s="1249"/>
      <c r="J133" s="1249"/>
      <c r="K133" s="1249"/>
      <c r="L133" s="55"/>
      <c r="M133" s="55"/>
      <c r="N133" s="32"/>
      <c r="O133" s="52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</row>
    <row r="135" spans="2:56">
      <c r="B135" s="28" t="s">
        <v>126</v>
      </c>
      <c r="C135" s="28"/>
      <c r="D135" s="29"/>
      <c r="E135" s="30" t="s">
        <v>511</v>
      </c>
      <c r="F135" s="31" t="s">
        <v>1583</v>
      </c>
      <c r="G135" s="32"/>
      <c r="H135" s="33"/>
      <c r="I135" s="34"/>
      <c r="J135" s="35" t="s">
        <v>513</v>
      </c>
      <c r="K135" s="36" t="s">
        <v>511</v>
      </c>
      <c r="L135" s="37">
        <f>'VLU 2023 &amp; 2024'!$M$83</f>
        <v>45057.027083333334</v>
      </c>
      <c r="M135" s="32"/>
      <c r="N135" s="32"/>
      <c r="O135" s="36"/>
      <c r="P135" s="33"/>
      <c r="Q135" s="48"/>
      <c r="R135" s="49"/>
      <c r="S135" s="38"/>
      <c r="T135" s="32"/>
      <c r="U135" s="32"/>
      <c r="V135" s="32"/>
      <c r="W135" s="32"/>
      <c r="X135" s="32"/>
      <c r="Y135" s="32"/>
      <c r="Z135" s="32"/>
      <c r="AA135" s="32"/>
      <c r="AB135" s="48"/>
      <c r="AC135" s="48"/>
      <c r="AD135" s="48"/>
      <c r="AE135" s="48"/>
      <c r="AF135" s="48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</row>
    <row r="136" spans="2:56">
      <c r="B136" s="35" t="s">
        <v>514</v>
      </c>
      <c r="C136" s="35"/>
      <c r="D136" s="32"/>
      <c r="E136" s="36" t="s">
        <v>511</v>
      </c>
      <c r="F136" s="37" t="s">
        <v>1713</v>
      </c>
      <c r="G136" s="32"/>
      <c r="H136" s="33"/>
      <c r="I136" s="34"/>
      <c r="J136" s="35" t="s">
        <v>516</v>
      </c>
      <c r="K136" s="36" t="s">
        <v>511</v>
      </c>
      <c r="L136" s="37">
        <v>45058.282638888886</v>
      </c>
      <c r="M136" s="32"/>
      <c r="N136" s="32"/>
      <c r="O136" s="36"/>
      <c r="P136" s="33"/>
      <c r="Q136" s="48"/>
      <c r="R136" s="49"/>
      <c r="S136" s="38"/>
      <c r="T136" s="32"/>
      <c r="U136" s="32"/>
      <c r="V136" s="32"/>
      <c r="W136" s="32"/>
      <c r="X136" s="32"/>
      <c r="Y136" s="32"/>
      <c r="Z136" s="32"/>
      <c r="AA136" s="32"/>
      <c r="AB136" s="48"/>
      <c r="AC136" s="48"/>
      <c r="AD136" s="48"/>
      <c r="AE136" s="48"/>
      <c r="AF136" s="48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</row>
    <row r="137" spans="2:56">
      <c r="B137" s="35" t="s">
        <v>517</v>
      </c>
      <c r="C137" s="35"/>
      <c r="D137" s="32"/>
      <c r="E137" s="36" t="s">
        <v>511</v>
      </c>
      <c r="F137" s="37">
        <v>45049.197916666664</v>
      </c>
      <c r="G137" s="32"/>
      <c r="H137" s="33"/>
      <c r="I137" s="34"/>
      <c r="J137" s="35" t="s">
        <v>518</v>
      </c>
      <c r="K137" s="36" t="s">
        <v>511</v>
      </c>
      <c r="L137" s="50">
        <v>66673</v>
      </c>
      <c r="M137" s="40" t="s">
        <v>519</v>
      </c>
      <c r="N137" s="40"/>
      <c r="O137" s="36"/>
      <c r="P137" s="33"/>
      <c r="Q137" s="48"/>
      <c r="R137" s="49"/>
      <c r="S137" s="38"/>
      <c r="T137" s="32"/>
      <c r="U137" s="32"/>
      <c r="V137" s="32"/>
      <c r="W137" s="32"/>
      <c r="X137" s="32"/>
      <c r="Y137" s="32"/>
      <c r="Z137" s="32"/>
      <c r="AA137" s="32"/>
      <c r="AB137" s="48"/>
      <c r="AC137" s="48"/>
      <c r="AD137" s="48"/>
      <c r="AE137" s="48"/>
      <c r="AF137" s="48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</row>
    <row r="138" spans="2:56">
      <c r="B138" s="35" t="s">
        <v>520</v>
      </c>
      <c r="C138" s="35"/>
      <c r="D138" s="32"/>
      <c r="E138" s="36" t="s">
        <v>511</v>
      </c>
      <c r="F138" s="37" t="s">
        <v>20</v>
      </c>
      <c r="G138" s="32"/>
      <c r="H138" s="33"/>
      <c r="I138" s="34"/>
      <c r="J138" s="35" t="s">
        <v>521</v>
      </c>
      <c r="K138" s="36" t="s">
        <v>511</v>
      </c>
      <c r="L138" s="41" t="s">
        <v>1714</v>
      </c>
      <c r="M138" s="32"/>
      <c r="N138" s="32"/>
      <c r="O138" s="36"/>
      <c r="P138" s="48"/>
      <c r="Q138" s="48"/>
      <c r="R138" s="49"/>
      <c r="S138" s="38"/>
      <c r="T138" s="32"/>
      <c r="U138" s="32"/>
      <c r="V138" s="32"/>
      <c r="W138" s="32"/>
      <c r="X138" s="32"/>
      <c r="Y138" s="32"/>
      <c r="Z138" s="32"/>
      <c r="AA138" s="32"/>
      <c r="AB138" s="48"/>
      <c r="AC138" s="48"/>
      <c r="AD138" s="48"/>
      <c r="AE138" s="48"/>
      <c r="AF138" s="48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</row>
    <row r="139" spans="2:56">
      <c r="B139" s="35" t="s">
        <v>523</v>
      </c>
      <c r="C139" s="35"/>
      <c r="D139" s="32"/>
      <c r="E139" s="36" t="s">
        <v>511</v>
      </c>
      <c r="F139" s="37" t="s">
        <v>47</v>
      </c>
      <c r="G139" s="32"/>
      <c r="H139" s="33"/>
      <c r="I139" s="34"/>
      <c r="J139" s="42" t="s">
        <v>524</v>
      </c>
      <c r="K139" s="36" t="s">
        <v>511</v>
      </c>
      <c r="L139" s="43" t="s">
        <v>11</v>
      </c>
      <c r="M139" s="44"/>
      <c r="N139" s="44"/>
      <c r="O139" s="36"/>
      <c r="P139" s="33"/>
      <c r="Q139" s="48"/>
      <c r="R139" s="49"/>
      <c r="S139" s="38"/>
      <c r="T139" s="32"/>
      <c r="U139" s="32"/>
      <c r="V139" s="32"/>
      <c r="W139" s="32"/>
      <c r="X139" s="32"/>
      <c r="Y139" s="32"/>
      <c r="Z139" s="32"/>
      <c r="AA139" s="32"/>
      <c r="AB139" s="48"/>
      <c r="AC139" s="48"/>
      <c r="AD139" s="48"/>
      <c r="AE139" s="48"/>
      <c r="AF139" s="48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</row>
    <row r="140" spans="2:56">
      <c r="B140" s="35" t="s">
        <v>2</v>
      </c>
      <c r="C140" s="35"/>
      <c r="D140" s="32"/>
      <c r="E140" s="36" t="s">
        <v>511</v>
      </c>
      <c r="F140" s="37" t="s">
        <v>18</v>
      </c>
      <c r="G140" s="32"/>
      <c r="H140" s="33"/>
      <c r="I140" s="45"/>
      <c r="J140" s="42"/>
      <c r="K140" s="36"/>
      <c r="L140" s="37"/>
      <c r="M140" s="32"/>
      <c r="N140" s="32"/>
      <c r="O140" s="42"/>
      <c r="P140" s="44"/>
      <c r="Q140" s="44"/>
      <c r="R140" s="44"/>
      <c r="S140" s="34"/>
      <c r="T140" s="32"/>
      <c r="U140" s="32"/>
      <c r="V140" s="32"/>
      <c r="W140" s="32"/>
      <c r="X140" s="32"/>
      <c r="Y140" s="32"/>
      <c r="Z140" s="32"/>
      <c r="AA140" s="32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</row>
    <row r="141" spans="2:56">
      <c r="B141" s="32"/>
      <c r="C141" s="32"/>
      <c r="D141" s="32"/>
      <c r="E141" s="32"/>
      <c r="F141" s="32"/>
      <c r="G141" s="32"/>
      <c r="H141" s="32"/>
      <c r="I141" s="45"/>
      <c r="J141" s="42"/>
      <c r="K141" s="42"/>
      <c r="L141" s="43"/>
      <c r="M141" s="44"/>
      <c r="N141" s="44"/>
      <c r="O141" s="42"/>
      <c r="P141" s="44"/>
      <c r="Q141" s="44"/>
      <c r="R141" s="44"/>
      <c r="S141" s="34"/>
      <c r="T141" s="1270" t="s">
        <v>87</v>
      </c>
      <c r="U141" s="1270"/>
      <c r="V141" s="1270"/>
      <c r="W141" s="1270"/>
      <c r="X141" s="1270"/>
      <c r="Y141" s="1270" t="s">
        <v>73</v>
      </c>
      <c r="Z141" s="1270"/>
      <c r="AA141" s="1270"/>
      <c r="AB141" s="1270" t="s">
        <v>74</v>
      </c>
      <c r="AC141" s="1270"/>
      <c r="AD141" s="407" t="s">
        <v>85</v>
      </c>
      <c r="AE141" s="407" t="s">
        <v>77</v>
      </c>
      <c r="AF141" s="1270" t="s">
        <v>525</v>
      </c>
      <c r="AG141" s="1270"/>
      <c r="AH141" s="1270"/>
      <c r="AI141" s="1270"/>
      <c r="AJ141" s="1270"/>
      <c r="AK141" s="1270"/>
      <c r="AL141" s="1270"/>
      <c r="AM141" s="1270"/>
      <c r="AN141" s="1270"/>
      <c r="AO141" s="1270"/>
      <c r="AP141" s="1270"/>
      <c r="AQ141" s="1270"/>
      <c r="AR141" s="1270"/>
      <c r="AS141" s="1270"/>
      <c r="AT141" s="1270"/>
      <c r="AU141" s="1270"/>
      <c r="AV141" s="1270"/>
      <c r="AW141" s="1270"/>
      <c r="AX141" s="1270"/>
      <c r="AY141" s="1270"/>
      <c r="AZ141" s="1270"/>
      <c r="BA141" s="1270"/>
      <c r="BB141" s="1270"/>
      <c r="BC141" s="1270"/>
      <c r="BD141" s="32"/>
    </row>
    <row r="142" spans="2:56">
      <c r="B142" s="1266" t="s">
        <v>526</v>
      </c>
      <c r="C142" s="1267"/>
      <c r="D142" s="570" t="s">
        <v>527</v>
      </c>
      <c r="E142" s="570"/>
      <c r="F142" s="570" t="s">
        <v>528</v>
      </c>
      <c r="G142" s="570" t="s">
        <v>529</v>
      </c>
      <c r="H142" s="570" t="s">
        <v>530</v>
      </c>
      <c r="I142" s="570" t="s">
        <v>531</v>
      </c>
      <c r="J142" s="570" t="s">
        <v>532</v>
      </c>
      <c r="K142" s="570"/>
      <c r="L142" s="570" t="s">
        <v>130</v>
      </c>
      <c r="M142" s="570" t="s">
        <v>533</v>
      </c>
      <c r="N142" s="408" t="str">
        <f>"On time - "&amp;COUNTIF(N143:N154,"On time")&amp;" from "&amp;ROWS(N143:N154)-COUNTIF(N143:N154," ")</f>
        <v>On time - 0 from 8</v>
      </c>
      <c r="O142" s="46"/>
      <c r="P142" s="409" t="s">
        <v>534</v>
      </c>
      <c r="Q142" s="409" t="s">
        <v>535</v>
      </c>
      <c r="R142" s="409" t="s">
        <v>536</v>
      </c>
      <c r="S142" s="32"/>
      <c r="T142" s="410" t="s">
        <v>537</v>
      </c>
      <c r="U142" s="410" t="s">
        <v>538</v>
      </c>
      <c r="V142" s="410" t="s">
        <v>539</v>
      </c>
      <c r="W142" s="410" t="s">
        <v>540</v>
      </c>
      <c r="X142" s="410" t="s">
        <v>541</v>
      </c>
      <c r="Y142" s="410" t="s">
        <v>167</v>
      </c>
      <c r="Z142" s="410" t="s">
        <v>168</v>
      </c>
      <c r="AA142" s="410" t="s">
        <v>169</v>
      </c>
      <c r="AB142" s="410" t="s">
        <v>235</v>
      </c>
      <c r="AC142" s="410" t="s">
        <v>240</v>
      </c>
      <c r="AD142" s="407" t="s">
        <v>85</v>
      </c>
      <c r="AE142" s="410" t="s">
        <v>139</v>
      </c>
      <c r="AF142" s="410" t="s">
        <v>72</v>
      </c>
      <c r="AG142" s="410" t="s">
        <v>88</v>
      </c>
      <c r="AH142" s="410" t="s">
        <v>75</v>
      </c>
      <c r="AI142" s="410" t="s">
        <v>543</v>
      </c>
      <c r="AJ142" s="410" t="s">
        <v>78</v>
      </c>
      <c r="AK142" s="410" t="s">
        <v>76</v>
      </c>
      <c r="AL142" s="410" t="s">
        <v>544</v>
      </c>
      <c r="AM142" s="410" t="s">
        <v>545</v>
      </c>
      <c r="AN142" s="410" t="s">
        <v>86</v>
      </c>
      <c r="AO142" s="410" t="s">
        <v>83</v>
      </c>
      <c r="AP142" s="410" t="s">
        <v>84</v>
      </c>
      <c r="AQ142" s="410" t="s">
        <v>546</v>
      </c>
      <c r="AR142" s="410" t="s">
        <v>81</v>
      </c>
      <c r="AS142" s="410" t="s">
        <v>80</v>
      </c>
      <c r="AT142" s="410" t="s">
        <v>82</v>
      </c>
      <c r="AU142" s="410" t="s">
        <v>181</v>
      </c>
      <c r="AV142" s="410" t="s">
        <v>183</v>
      </c>
      <c r="AW142" s="410" t="s">
        <v>547</v>
      </c>
      <c r="AX142" s="410" t="s">
        <v>182</v>
      </c>
      <c r="AY142" s="410" t="s">
        <v>172</v>
      </c>
      <c r="AZ142" s="410" t="s">
        <v>173</v>
      </c>
      <c r="BA142" s="410" t="s">
        <v>184</v>
      </c>
      <c r="BB142" s="410" t="s">
        <v>100</v>
      </c>
      <c r="BC142" s="410" t="s">
        <v>913</v>
      </c>
      <c r="BD142" s="32"/>
    </row>
    <row r="143" spans="2:56">
      <c r="B143" s="1256">
        <v>1</v>
      </c>
      <c r="C143" s="1257"/>
      <c r="D143" s="411" t="s">
        <v>1585</v>
      </c>
      <c r="E143" s="411"/>
      <c r="F143" s="411" t="s">
        <v>304</v>
      </c>
      <c r="G143" s="411" t="s">
        <v>305</v>
      </c>
      <c r="H143" s="412">
        <v>7308.6189999999997</v>
      </c>
      <c r="I143" s="413" t="s">
        <v>85</v>
      </c>
      <c r="J143" s="414">
        <v>45052.072916666664</v>
      </c>
      <c r="K143" s="414"/>
      <c r="L143" s="414" t="s">
        <v>192</v>
      </c>
      <c r="M143" s="414" t="s">
        <v>192</v>
      </c>
      <c r="N143" s="413" t="str">
        <f>IF(ISBLANK(J143)," ",IF(J143&lt;$F$137,"On time",(IF(DAY(J143-$F$137)&lt;1,"On time",(IF(J143&gt;$F$137,"DELAY ( "&amp;DAY(J143-$F$137)&amp;" day "&amp;HOUR(J143-$F$137)&amp;" hour "&amp;MINUTE(J143-$F$137)&amp;" minute )","xxx"))))))</f>
        <v>DELAY ( 2 day 21 hour 0 minute )</v>
      </c>
      <c r="O143" s="51"/>
      <c r="P143" s="415" t="s">
        <v>551</v>
      </c>
      <c r="Q143" s="415" t="s">
        <v>551</v>
      </c>
      <c r="R143" s="415" t="s">
        <v>551</v>
      </c>
      <c r="S143" s="32"/>
      <c r="T143" s="416"/>
      <c r="U143" s="416"/>
      <c r="V143" s="416"/>
      <c r="W143" s="416"/>
      <c r="X143" s="416"/>
      <c r="Y143" s="416"/>
      <c r="Z143" s="416"/>
      <c r="AA143" s="416"/>
      <c r="AB143" s="416"/>
      <c r="AC143" s="416"/>
      <c r="AD143" s="416">
        <f>H143</f>
        <v>7308.6189999999997</v>
      </c>
      <c r="AE143" s="416"/>
      <c r="AF143" s="416"/>
      <c r="AG143" s="416"/>
      <c r="AH143" s="416"/>
      <c r="AI143" s="416"/>
      <c r="AJ143" s="416"/>
      <c r="AK143" s="416"/>
      <c r="AL143" s="416"/>
      <c r="AM143" s="416"/>
      <c r="AN143" s="416"/>
      <c r="AO143" s="416"/>
      <c r="AP143" s="416"/>
      <c r="AQ143" s="416"/>
      <c r="AR143" s="416"/>
      <c r="AS143" s="416"/>
      <c r="AT143" s="416"/>
      <c r="AU143" s="32"/>
      <c r="AV143" s="416"/>
      <c r="AW143" s="416"/>
      <c r="AX143" s="416"/>
      <c r="AY143" s="32"/>
      <c r="AZ143" s="416"/>
      <c r="BA143" s="416"/>
      <c r="BB143" s="416"/>
      <c r="BC143" s="416"/>
      <c r="BD143" s="32"/>
    </row>
    <row r="144" spans="2:56">
      <c r="B144" s="1256">
        <v>2</v>
      </c>
      <c r="C144" s="1257"/>
      <c r="D144" s="411" t="s">
        <v>1654</v>
      </c>
      <c r="E144" s="411"/>
      <c r="F144" s="411" t="s">
        <v>213</v>
      </c>
      <c r="G144" s="411" t="s">
        <v>214</v>
      </c>
      <c r="H144" s="412">
        <v>7555.4780000000001</v>
      </c>
      <c r="I144" s="413" t="s">
        <v>494</v>
      </c>
      <c r="J144" s="414">
        <v>45052.833333333336</v>
      </c>
      <c r="K144" s="414"/>
      <c r="L144" s="414" t="s">
        <v>192</v>
      </c>
      <c r="M144" s="414" t="s">
        <v>192</v>
      </c>
      <c r="N144" s="413" t="str">
        <f t="shared" ref="N144:N154" si="10">IF(ISBLANK(J144)," ",IF(J144&lt;$F$137,"On time",(IF(DAY(J144-$F$137)&lt;1,"On time",(IF(J144&gt;$F$137,"DELAY ( "&amp;DAY(J144-$F$137)&amp;" day "&amp;HOUR(J144-$F$137)&amp;" hour "&amp;MINUTE(J144-$F$137)&amp;" minute )","xxx"))))))</f>
        <v>DELAY ( 3 day 15 hour 15 minute )</v>
      </c>
      <c r="O144" s="51"/>
      <c r="P144" s="415" t="s">
        <v>551</v>
      </c>
      <c r="Q144" s="415" t="s">
        <v>551</v>
      </c>
      <c r="R144" s="415" t="s">
        <v>551</v>
      </c>
      <c r="S144" s="32"/>
      <c r="T144" s="416"/>
      <c r="U144" s="416"/>
      <c r="V144" s="416"/>
      <c r="W144" s="416"/>
      <c r="X144" s="416"/>
      <c r="Y144" s="416">
        <f>H144</f>
        <v>7555.4780000000001</v>
      </c>
      <c r="Z144" s="416"/>
      <c r="AA144" s="416"/>
      <c r="AB144" s="416"/>
      <c r="AC144" s="416"/>
      <c r="AD144" s="416"/>
      <c r="AE144" s="416"/>
      <c r="AF144" s="416"/>
      <c r="AG144" s="416"/>
      <c r="AH144" s="416"/>
      <c r="AI144" s="416"/>
      <c r="AJ144" s="416"/>
      <c r="AK144" s="416"/>
      <c r="AL144" s="416"/>
      <c r="AM144" s="416"/>
      <c r="AN144" s="416"/>
      <c r="AO144" s="416"/>
      <c r="AP144" s="416"/>
      <c r="AQ144" s="416"/>
      <c r="AR144" s="416"/>
      <c r="AS144" s="416"/>
      <c r="AT144" s="416"/>
      <c r="AU144" s="416"/>
      <c r="AV144" s="416"/>
      <c r="AW144" s="416"/>
      <c r="AX144" s="416"/>
      <c r="AY144" s="416"/>
      <c r="AZ144" s="416"/>
      <c r="BA144" s="416"/>
      <c r="BB144" s="416"/>
      <c r="BC144" s="416"/>
      <c r="BD144" s="32"/>
    </row>
    <row r="145" spans="2:56">
      <c r="B145" s="1256">
        <v>3</v>
      </c>
      <c r="C145" s="1257"/>
      <c r="D145" s="411" t="s">
        <v>1593</v>
      </c>
      <c r="E145" s="411"/>
      <c r="F145" s="411" t="s">
        <v>505</v>
      </c>
      <c r="G145" s="411" t="s">
        <v>506</v>
      </c>
      <c r="H145" s="412">
        <v>7501</v>
      </c>
      <c r="I145" s="413" t="s">
        <v>84</v>
      </c>
      <c r="J145" s="414">
        <v>45053.440972222219</v>
      </c>
      <c r="K145" s="414"/>
      <c r="L145" s="414" t="s">
        <v>192</v>
      </c>
      <c r="M145" s="414" t="s">
        <v>192</v>
      </c>
      <c r="N145" s="413" t="str">
        <f t="shared" si="10"/>
        <v>DELAY ( 4 day 5 hour 50 minute )</v>
      </c>
      <c r="O145" s="51"/>
      <c r="P145" s="415" t="s">
        <v>551</v>
      </c>
      <c r="Q145" s="415" t="s">
        <v>551</v>
      </c>
      <c r="R145" s="415" t="s">
        <v>551</v>
      </c>
      <c r="S145" s="32"/>
      <c r="T145" s="416"/>
      <c r="U145" s="416"/>
      <c r="V145" s="416"/>
      <c r="W145" s="416"/>
      <c r="X145" s="416"/>
      <c r="Y145" s="416"/>
      <c r="Z145" s="416"/>
      <c r="AA145" s="416"/>
      <c r="AB145" s="416"/>
      <c r="AC145" s="416"/>
      <c r="AD145" s="416"/>
      <c r="AE145" s="416"/>
      <c r="AF145" s="416"/>
      <c r="AG145" s="416"/>
      <c r="AH145" s="416"/>
      <c r="AI145" s="416"/>
      <c r="AJ145" s="416"/>
      <c r="AK145" s="286"/>
      <c r="AL145" s="416"/>
      <c r="AM145" s="416"/>
      <c r="AN145" s="416"/>
      <c r="AO145" s="416"/>
      <c r="AP145" s="416">
        <f>H145</f>
        <v>7501</v>
      </c>
      <c r="AQ145" s="416"/>
      <c r="AR145" s="32"/>
      <c r="AS145" s="416"/>
      <c r="AT145" s="416"/>
      <c r="AU145" s="416"/>
      <c r="AV145" s="416"/>
      <c r="AW145" s="416"/>
      <c r="AX145" s="416"/>
      <c r="AY145" s="416"/>
      <c r="AZ145" s="416"/>
      <c r="BA145" s="416"/>
      <c r="BB145" s="416"/>
      <c r="BC145" s="416"/>
      <c r="BD145" s="32"/>
    </row>
    <row r="146" spans="2:56">
      <c r="B146" s="1256">
        <v>4</v>
      </c>
      <c r="C146" s="1257"/>
      <c r="D146" s="411" t="s">
        <v>1656</v>
      </c>
      <c r="E146" s="411"/>
      <c r="F146" s="411" t="s">
        <v>252</v>
      </c>
      <c r="G146" s="411" t="s">
        <v>253</v>
      </c>
      <c r="H146" s="412">
        <v>7523.14</v>
      </c>
      <c r="I146" s="413" t="s">
        <v>835</v>
      </c>
      <c r="J146" s="414">
        <v>45053.694444444445</v>
      </c>
      <c r="K146" s="414"/>
      <c r="L146" s="414" t="s">
        <v>192</v>
      </c>
      <c r="M146" s="414" t="s">
        <v>192</v>
      </c>
      <c r="N146" s="413" t="str">
        <f t="shared" si="10"/>
        <v>DELAY ( 4 day 11 hour 55 minute )</v>
      </c>
      <c r="O146" s="51"/>
      <c r="P146" s="415" t="s">
        <v>551</v>
      </c>
      <c r="Q146" s="415" t="s">
        <v>551</v>
      </c>
      <c r="R146" s="415" t="s">
        <v>551</v>
      </c>
      <c r="S146" s="32"/>
      <c r="T146" s="416"/>
      <c r="U146" s="416"/>
      <c r="V146" s="416"/>
      <c r="W146" s="416"/>
      <c r="X146" s="416"/>
      <c r="Y146" s="416"/>
      <c r="Z146" s="416">
        <f>H146</f>
        <v>7523.14</v>
      </c>
      <c r="AA146" s="416"/>
      <c r="AB146" s="416"/>
      <c r="AC146" s="416"/>
      <c r="AD146" s="416"/>
      <c r="AE146" s="416"/>
      <c r="AF146" s="416"/>
      <c r="AG146" s="416"/>
      <c r="AH146" s="416"/>
      <c r="AI146" s="416"/>
      <c r="AJ146" s="416"/>
      <c r="AK146" s="416"/>
      <c r="AL146" s="416"/>
      <c r="AM146" s="416"/>
      <c r="AN146" s="416"/>
      <c r="AO146" s="416"/>
      <c r="AP146" s="416"/>
      <c r="AQ146" s="416"/>
      <c r="AR146" s="416"/>
      <c r="AS146" s="416"/>
      <c r="AT146" s="416"/>
      <c r="AU146" s="416"/>
      <c r="AV146" s="416"/>
      <c r="AW146" s="416"/>
      <c r="AX146" s="416"/>
      <c r="AY146" s="416"/>
      <c r="AZ146" s="416"/>
      <c r="BA146" s="416"/>
      <c r="BB146" s="416"/>
      <c r="BC146" s="416"/>
      <c r="BD146" s="32"/>
    </row>
    <row r="147" spans="2:56">
      <c r="B147" s="1256">
        <v>5</v>
      </c>
      <c r="C147" s="1257"/>
      <c r="D147" s="411" t="s">
        <v>1655</v>
      </c>
      <c r="E147" s="411"/>
      <c r="F147" s="411" t="s">
        <v>271</v>
      </c>
      <c r="G147" s="411" t="s">
        <v>272</v>
      </c>
      <c r="H147" s="412">
        <v>9438.3150000000005</v>
      </c>
      <c r="I147" s="413" t="s">
        <v>835</v>
      </c>
      <c r="J147" s="414">
        <v>45053.659722222219</v>
      </c>
      <c r="K147" s="414"/>
      <c r="L147" s="414" t="s">
        <v>192</v>
      </c>
      <c r="M147" s="414" t="s">
        <v>192</v>
      </c>
      <c r="N147" s="413" t="str">
        <f t="shared" si="10"/>
        <v>DELAY ( 4 day 11 hour 5 minute )</v>
      </c>
      <c r="O147" s="51"/>
      <c r="P147" s="415" t="s">
        <v>551</v>
      </c>
      <c r="Q147" s="415" t="s">
        <v>551</v>
      </c>
      <c r="R147" s="415" t="s">
        <v>551</v>
      </c>
      <c r="S147" s="32"/>
      <c r="T147" s="416"/>
      <c r="U147" s="416"/>
      <c r="V147" s="416"/>
      <c r="W147" s="416"/>
      <c r="X147" s="416"/>
      <c r="Y147" s="416"/>
      <c r="Z147" s="416">
        <f>H147</f>
        <v>9438.3150000000005</v>
      </c>
      <c r="AA147" s="416"/>
      <c r="AB147" s="32"/>
      <c r="AC147" s="416"/>
      <c r="AD147" s="416"/>
      <c r="AE147" s="416"/>
      <c r="AF147" s="416"/>
      <c r="AG147" s="416"/>
      <c r="AH147" s="416"/>
      <c r="AI147" s="416"/>
      <c r="AJ147" s="286"/>
      <c r="AK147" s="416"/>
      <c r="AL147" s="416"/>
      <c r="AM147" s="416"/>
      <c r="AN147" s="416"/>
      <c r="AO147" s="416"/>
      <c r="AP147" s="416"/>
      <c r="AQ147" s="416"/>
      <c r="AR147" s="416"/>
      <c r="AS147" s="416"/>
      <c r="AT147" s="416"/>
      <c r="AU147" s="416"/>
      <c r="AV147" s="416"/>
      <c r="AW147" s="416"/>
      <c r="AX147" s="416"/>
      <c r="AY147" s="416"/>
      <c r="AZ147" s="416"/>
      <c r="BA147" s="416"/>
      <c r="BB147" s="416"/>
      <c r="BC147" s="416"/>
      <c r="BD147" s="32"/>
    </row>
    <row r="148" spans="2:56">
      <c r="B148" s="1256">
        <v>6</v>
      </c>
      <c r="C148" s="1257"/>
      <c r="D148" s="411" t="s">
        <v>1658</v>
      </c>
      <c r="E148" s="411"/>
      <c r="F148" s="411" t="s">
        <v>218</v>
      </c>
      <c r="G148" s="411" t="s">
        <v>219</v>
      </c>
      <c r="H148" s="412">
        <v>7577.66</v>
      </c>
      <c r="I148" s="413" t="s">
        <v>494</v>
      </c>
      <c r="J148" s="414">
        <v>45053.819444444445</v>
      </c>
      <c r="K148" s="414"/>
      <c r="L148" s="414" t="s">
        <v>192</v>
      </c>
      <c r="M148" s="414" t="s">
        <v>192</v>
      </c>
      <c r="N148" s="413" t="str">
        <f t="shared" si="10"/>
        <v>DELAY ( 4 day 14 hour 55 minute )</v>
      </c>
      <c r="O148" s="51"/>
      <c r="P148" s="415" t="s">
        <v>551</v>
      </c>
      <c r="Q148" s="415" t="s">
        <v>551</v>
      </c>
      <c r="R148" s="415" t="s">
        <v>551</v>
      </c>
      <c r="S148" s="32"/>
      <c r="T148" s="416"/>
      <c r="U148" s="416"/>
      <c r="V148" s="416"/>
      <c r="W148" s="416"/>
      <c r="X148" s="416"/>
      <c r="Y148" s="416">
        <f>H148</f>
        <v>7577.66</v>
      </c>
      <c r="Z148" s="416"/>
      <c r="AA148" s="416"/>
      <c r="AB148" s="416"/>
      <c r="AC148" s="416"/>
      <c r="AD148" s="416"/>
      <c r="AE148" s="416"/>
      <c r="AF148" s="416"/>
      <c r="AG148" s="416"/>
      <c r="AH148" s="416"/>
      <c r="AI148" s="416"/>
      <c r="AJ148" s="416"/>
      <c r="AK148" s="416"/>
      <c r="AL148" s="416"/>
      <c r="AM148" s="416"/>
      <c r="AN148" s="416"/>
      <c r="AO148" s="416"/>
      <c r="AP148" s="416"/>
      <c r="AQ148" s="416"/>
      <c r="AR148" s="416"/>
      <c r="AS148" s="416"/>
      <c r="AT148" s="416"/>
      <c r="AU148" s="416"/>
      <c r="AV148" s="416"/>
      <c r="AW148" s="416"/>
      <c r="AX148" s="416"/>
      <c r="AY148" s="416"/>
      <c r="AZ148" s="416"/>
      <c r="BA148" s="416"/>
      <c r="BB148" s="416"/>
      <c r="BC148" s="416"/>
      <c r="BD148" s="32"/>
    </row>
    <row r="149" spans="2:56">
      <c r="B149" s="1256">
        <v>7</v>
      </c>
      <c r="C149" s="1257"/>
      <c r="D149" s="411" t="s">
        <v>1657</v>
      </c>
      <c r="E149" s="411"/>
      <c r="F149" s="411" t="s">
        <v>277</v>
      </c>
      <c r="G149" s="411" t="s">
        <v>278</v>
      </c>
      <c r="H149" s="412">
        <v>7439.1490000000003</v>
      </c>
      <c r="I149" s="413" t="s">
        <v>494</v>
      </c>
      <c r="J149" s="414">
        <v>45053.861111111109</v>
      </c>
      <c r="K149" s="414"/>
      <c r="L149" s="414" t="s">
        <v>192</v>
      </c>
      <c r="M149" s="414" t="s">
        <v>192</v>
      </c>
      <c r="N149" s="413" t="str">
        <f t="shared" si="10"/>
        <v>DELAY ( 4 day 15 hour 55 minute )</v>
      </c>
      <c r="O149" s="51"/>
      <c r="P149" s="415" t="s">
        <v>551</v>
      </c>
      <c r="Q149" s="415" t="s">
        <v>551</v>
      </c>
      <c r="R149" s="415" t="s">
        <v>551</v>
      </c>
      <c r="S149" s="32"/>
      <c r="T149" s="416"/>
      <c r="U149" s="416"/>
      <c r="V149" s="416"/>
      <c r="W149" s="416"/>
      <c r="X149" s="416"/>
      <c r="Y149" s="416">
        <f>H149</f>
        <v>7439.1490000000003</v>
      </c>
      <c r="Z149" s="416"/>
      <c r="AA149" s="416"/>
      <c r="AB149" s="416"/>
      <c r="AC149" s="416"/>
      <c r="AD149" s="416"/>
      <c r="AE149" s="416"/>
      <c r="AF149" s="416"/>
      <c r="AG149" s="416"/>
      <c r="AH149" s="416"/>
      <c r="AI149" s="416"/>
      <c r="AJ149" s="416"/>
      <c r="AK149" s="416"/>
      <c r="AL149" s="416"/>
      <c r="AM149" s="416"/>
      <c r="AN149" s="416"/>
      <c r="AO149" s="416"/>
      <c r="AP149" s="416"/>
      <c r="AQ149" s="416"/>
      <c r="AR149" s="416"/>
      <c r="AS149" s="416"/>
      <c r="AT149" s="416"/>
      <c r="AU149" s="416"/>
      <c r="AV149" s="416"/>
      <c r="AW149" s="416"/>
      <c r="AX149" s="416"/>
      <c r="AY149" s="416"/>
      <c r="AZ149" s="416"/>
      <c r="BA149" s="416"/>
      <c r="BB149" s="416"/>
      <c r="BC149" s="416"/>
      <c r="BD149" s="32"/>
    </row>
    <row r="150" spans="2:56">
      <c r="B150" s="1256">
        <v>8</v>
      </c>
      <c r="C150" s="1257"/>
      <c r="D150" s="411" t="s">
        <v>1659</v>
      </c>
      <c r="E150" s="411"/>
      <c r="F150" s="411" t="s">
        <v>1230</v>
      </c>
      <c r="G150" s="411" t="s">
        <v>1231</v>
      </c>
      <c r="H150" s="412">
        <v>7404.8469999999998</v>
      </c>
      <c r="I150" s="413" t="s">
        <v>494</v>
      </c>
      <c r="J150" s="414">
        <v>45054.895833333336</v>
      </c>
      <c r="K150" s="414"/>
      <c r="L150" s="414" t="s">
        <v>192</v>
      </c>
      <c r="M150" s="414" t="s">
        <v>192</v>
      </c>
      <c r="N150" s="413" t="str">
        <f t="shared" si="10"/>
        <v>DELAY ( 5 day 16 hour 45 minute )</v>
      </c>
      <c r="O150" s="51"/>
      <c r="P150" s="415" t="s">
        <v>551</v>
      </c>
      <c r="Q150" s="415" t="s">
        <v>551</v>
      </c>
      <c r="R150" s="415" t="s">
        <v>551</v>
      </c>
      <c r="S150" s="32"/>
      <c r="T150" s="416"/>
      <c r="U150" s="416"/>
      <c r="V150" s="416"/>
      <c r="W150" s="416"/>
      <c r="X150" s="416"/>
      <c r="Y150" s="416">
        <f>H150</f>
        <v>7404.8469999999998</v>
      </c>
      <c r="Z150" s="416"/>
      <c r="AA150" s="416"/>
      <c r="AB150" s="416"/>
      <c r="AC150" s="416"/>
      <c r="AD150" s="416"/>
      <c r="AE150" s="416"/>
      <c r="AF150" s="416"/>
      <c r="AG150" s="416"/>
      <c r="AH150" s="416"/>
      <c r="AI150" s="416"/>
      <c r="AJ150" s="416"/>
      <c r="AK150" s="416"/>
      <c r="AL150" s="416"/>
      <c r="AM150" s="416"/>
      <c r="AN150" s="416"/>
      <c r="AO150" s="416"/>
      <c r="AP150" s="416"/>
      <c r="AQ150" s="416"/>
      <c r="AR150" s="416"/>
      <c r="AS150" s="416"/>
      <c r="AT150" s="416"/>
      <c r="AU150" s="416"/>
      <c r="AV150" s="416"/>
      <c r="AW150" s="416"/>
      <c r="AX150" s="416"/>
      <c r="AY150" s="416"/>
      <c r="AZ150" s="416"/>
      <c r="BA150" s="416"/>
      <c r="BB150" s="416"/>
      <c r="BC150" s="416"/>
      <c r="BD150" s="32"/>
    </row>
    <row r="151" spans="2:56">
      <c r="B151" s="1256" t="s">
        <v>610</v>
      </c>
      <c r="C151" s="1276"/>
      <c r="D151" s="1276"/>
      <c r="E151" s="1276"/>
      <c r="F151" s="1276"/>
      <c r="G151" s="1257"/>
      <c r="H151" s="412">
        <v>3685.5839999999998</v>
      </c>
      <c r="I151" s="413" t="s">
        <v>1164</v>
      </c>
      <c r="J151" s="414"/>
      <c r="K151" s="414"/>
      <c r="L151" s="414"/>
      <c r="M151" s="414"/>
      <c r="N151" s="413" t="str">
        <f>IF(ISBLANK(J151)," ",IF(J151&lt;$F$137,"On time",(IF(DAY(J151-$F$137)&lt;1,"On time",(IF(J151&gt;$F$137,"DELAY ( "&amp;DAY(J151-$F$137)&amp;" day "&amp;HOUR(J151-$F$137)&amp;" hour "&amp;MINUTE(J151-$F$137)&amp;" minute )","xxx"))))))</f>
        <v xml:space="preserve"> </v>
      </c>
      <c r="O151" s="51"/>
      <c r="P151" s="415" t="s">
        <v>551</v>
      </c>
      <c r="Q151" s="415"/>
      <c r="R151" s="415"/>
      <c r="S151" s="32"/>
      <c r="T151" s="416"/>
      <c r="U151" s="416"/>
      <c r="V151" s="416"/>
      <c r="W151" s="416"/>
      <c r="X151" s="416">
        <f>H151</f>
        <v>3685.5839999999998</v>
      </c>
      <c r="Y151" s="416"/>
      <c r="Z151" s="416"/>
      <c r="AA151" s="416"/>
      <c r="AB151" s="416"/>
      <c r="AC151" s="416"/>
      <c r="AD151" s="416"/>
      <c r="AE151" s="416"/>
      <c r="AF151" s="416"/>
      <c r="AG151" s="416"/>
      <c r="AH151" s="416"/>
      <c r="AI151" s="416"/>
      <c r="AJ151" s="416"/>
      <c r="AK151" s="416"/>
      <c r="AL151" s="416"/>
      <c r="AM151" s="416"/>
      <c r="AN151" s="416"/>
      <c r="AO151" s="416"/>
      <c r="AP151" s="416"/>
      <c r="AQ151" s="416"/>
      <c r="AR151" s="416"/>
      <c r="AS151" s="416"/>
      <c r="AT151" s="416"/>
      <c r="AU151" s="416"/>
      <c r="AV151" s="416"/>
      <c r="AW151" s="416"/>
      <c r="AX151" s="416"/>
      <c r="AY151" s="416"/>
      <c r="AZ151" s="416"/>
      <c r="BA151" s="416"/>
      <c r="BB151" s="416"/>
      <c r="BC151" s="416"/>
      <c r="BD151" s="32"/>
    </row>
    <row r="152" spans="2:56">
      <c r="B152" s="1256" t="s">
        <v>610</v>
      </c>
      <c r="C152" s="1276"/>
      <c r="D152" s="1276"/>
      <c r="E152" s="1276"/>
      <c r="F152" s="1276"/>
      <c r="G152" s="1257"/>
      <c r="H152" s="412">
        <f>H154-SUM(H143:H151)</f>
        <v>1239.2079999999987</v>
      </c>
      <c r="I152" s="413" t="s">
        <v>611</v>
      </c>
      <c r="J152" s="414"/>
      <c r="K152" s="414"/>
      <c r="L152" s="414"/>
      <c r="M152" s="414"/>
      <c r="N152" s="413" t="str">
        <f t="shared" si="10"/>
        <v xml:space="preserve"> </v>
      </c>
      <c r="O152" s="51"/>
      <c r="P152" s="415" t="s">
        <v>551</v>
      </c>
      <c r="Q152" s="415"/>
      <c r="R152" s="415"/>
      <c r="S152" s="32"/>
      <c r="T152" s="416">
        <f>H152</f>
        <v>1239.2079999999987</v>
      </c>
      <c r="U152" s="416"/>
      <c r="V152" s="416"/>
      <c r="W152" s="416"/>
      <c r="X152" s="416"/>
      <c r="Y152" s="416"/>
      <c r="Z152" s="416"/>
      <c r="AA152" s="416"/>
      <c r="AB152" s="416"/>
      <c r="AC152" s="416"/>
      <c r="AD152" s="416"/>
      <c r="AE152" s="416"/>
      <c r="AF152" s="416"/>
      <c r="AG152" s="416"/>
      <c r="AH152" s="416"/>
      <c r="AI152" s="416"/>
      <c r="AJ152" s="416"/>
      <c r="AK152" s="416"/>
      <c r="AL152" s="416"/>
      <c r="AM152" s="416"/>
      <c r="AN152" s="416"/>
      <c r="AO152" s="416"/>
      <c r="AP152" s="416"/>
      <c r="AQ152" s="416"/>
      <c r="AR152" s="416"/>
      <c r="AS152" s="416"/>
      <c r="AT152" s="416"/>
      <c r="AU152" s="416"/>
      <c r="AV152" s="416"/>
      <c r="AW152" s="416"/>
      <c r="AX152" s="416"/>
      <c r="AY152" s="416"/>
      <c r="AZ152" s="416"/>
      <c r="BA152" s="416"/>
      <c r="BB152" s="416"/>
      <c r="BC152" s="416"/>
      <c r="BD152" s="32"/>
    </row>
    <row r="153" spans="2:56">
      <c r="B153" s="1258" t="s">
        <v>556</v>
      </c>
      <c r="C153" s="1259"/>
      <c r="D153" s="1259"/>
      <c r="E153" s="1259"/>
      <c r="F153" s="1259"/>
      <c r="G153" s="1260"/>
      <c r="H153" s="417">
        <f>SUM(H143:H152)</f>
        <v>66673</v>
      </c>
      <c r="I153" s="388"/>
      <c r="J153" s="293"/>
      <c r="K153" s="293"/>
      <c r="L153" s="293"/>
      <c r="M153" s="389"/>
      <c r="N153" s="413" t="str">
        <f t="shared" si="10"/>
        <v xml:space="preserve"> </v>
      </c>
      <c r="O153" s="47"/>
      <c r="P153" s="418"/>
      <c r="Q153" s="418"/>
      <c r="R153" s="418"/>
      <c r="S153" s="32"/>
      <c r="T153" s="1262"/>
      <c r="U153" s="1263"/>
      <c r="V153" s="1263"/>
      <c r="W153" s="1263"/>
      <c r="X153" s="1263"/>
      <c r="Y153" s="1263"/>
      <c r="Z153" s="1263"/>
      <c r="AA153" s="1263"/>
      <c r="AB153" s="1263"/>
      <c r="AC153" s="1263"/>
      <c r="AD153" s="1263"/>
      <c r="AE153" s="1263"/>
      <c r="AF153" s="1263"/>
      <c r="AG153" s="1263"/>
      <c r="AH153" s="1263"/>
      <c r="AI153" s="1263"/>
      <c r="AJ153" s="1263"/>
      <c r="AK153" s="1263"/>
      <c r="AL153" s="1263"/>
      <c r="AM153" s="1263"/>
      <c r="AN153" s="1263"/>
      <c r="AO153" s="1263"/>
      <c r="AP153" s="1263"/>
      <c r="AQ153" s="1263"/>
      <c r="AR153" s="1263"/>
      <c r="AS153" s="1263"/>
      <c r="AT153" s="1263"/>
      <c r="AU153" s="1263"/>
      <c r="AV153" s="1263"/>
      <c r="AW153" s="1263"/>
      <c r="AX153" s="1263"/>
      <c r="AY153" s="1263"/>
      <c r="AZ153" s="1263"/>
      <c r="BA153" s="1263"/>
      <c r="BB153" s="1263"/>
      <c r="BC153" s="1264"/>
    </row>
    <row r="154" spans="2:56">
      <c r="B154" s="1243" t="s">
        <v>557</v>
      </c>
      <c r="C154" s="1244"/>
      <c r="D154" s="1244"/>
      <c r="E154" s="1244"/>
      <c r="F154" s="1244"/>
      <c r="G154" s="1245"/>
      <c r="H154" s="419">
        <v>66673</v>
      </c>
      <c r="I154" s="1246"/>
      <c r="J154" s="1247"/>
      <c r="K154" s="1247"/>
      <c r="L154" s="1247"/>
      <c r="M154" s="1248"/>
      <c r="N154" s="413" t="str">
        <f t="shared" si="10"/>
        <v xml:space="preserve"> </v>
      </c>
      <c r="O154" s="32"/>
      <c r="P154" s="415"/>
      <c r="Q154" s="415"/>
      <c r="R154" s="415"/>
      <c r="S154" s="63"/>
      <c r="T154" s="416">
        <f>SUM(T143:T152)</f>
        <v>1239.2079999999987</v>
      </c>
      <c r="U154" s="416">
        <f t="shared" ref="U154:BC154" si="11">SUM(U143:U152)</f>
        <v>0</v>
      </c>
      <c r="V154" s="416">
        <f t="shared" si="11"/>
        <v>0</v>
      </c>
      <c r="W154" s="416">
        <f t="shared" si="11"/>
        <v>0</v>
      </c>
      <c r="X154" s="416">
        <f t="shared" si="11"/>
        <v>3685.5839999999998</v>
      </c>
      <c r="Y154" s="416">
        <f t="shared" si="11"/>
        <v>29977.133999999998</v>
      </c>
      <c r="Z154" s="416">
        <f t="shared" si="11"/>
        <v>16961.455000000002</v>
      </c>
      <c r="AA154" s="416">
        <f t="shared" si="11"/>
        <v>0</v>
      </c>
      <c r="AB154" s="416">
        <f t="shared" si="11"/>
        <v>0</v>
      </c>
      <c r="AC154" s="416">
        <f t="shared" si="11"/>
        <v>0</v>
      </c>
      <c r="AD154" s="416">
        <f t="shared" si="11"/>
        <v>7308.6189999999997</v>
      </c>
      <c r="AE154" s="416">
        <f t="shared" si="11"/>
        <v>0</v>
      </c>
      <c r="AF154" s="416">
        <f t="shared" si="11"/>
        <v>0</v>
      </c>
      <c r="AG154" s="416">
        <f t="shared" si="11"/>
        <v>0</v>
      </c>
      <c r="AH154" s="416">
        <f t="shared" si="11"/>
        <v>0</v>
      </c>
      <c r="AI154" s="416">
        <f t="shared" si="11"/>
        <v>0</v>
      </c>
      <c r="AJ154" s="416">
        <f t="shared" si="11"/>
        <v>0</v>
      </c>
      <c r="AK154" s="416">
        <f t="shared" si="11"/>
        <v>0</v>
      </c>
      <c r="AL154" s="416">
        <f t="shared" si="11"/>
        <v>0</v>
      </c>
      <c r="AM154" s="416">
        <f t="shared" si="11"/>
        <v>0</v>
      </c>
      <c r="AN154" s="416">
        <f t="shared" si="11"/>
        <v>0</v>
      </c>
      <c r="AO154" s="416">
        <f t="shared" si="11"/>
        <v>0</v>
      </c>
      <c r="AP154" s="416">
        <f t="shared" si="11"/>
        <v>7501</v>
      </c>
      <c r="AQ154" s="416">
        <f t="shared" si="11"/>
        <v>0</v>
      </c>
      <c r="AR154" s="416">
        <f t="shared" si="11"/>
        <v>0</v>
      </c>
      <c r="AS154" s="416">
        <f t="shared" si="11"/>
        <v>0</v>
      </c>
      <c r="AT154" s="416">
        <f t="shared" si="11"/>
        <v>0</v>
      </c>
      <c r="AU154" s="416">
        <f t="shared" si="11"/>
        <v>0</v>
      </c>
      <c r="AV154" s="416">
        <f t="shared" si="11"/>
        <v>0</v>
      </c>
      <c r="AW154" s="416">
        <f t="shared" si="11"/>
        <v>0</v>
      </c>
      <c r="AX154" s="416">
        <f t="shared" si="11"/>
        <v>0</v>
      </c>
      <c r="AY154" s="416">
        <f t="shared" si="11"/>
        <v>0</v>
      </c>
      <c r="AZ154" s="416">
        <f t="shared" si="11"/>
        <v>0</v>
      </c>
      <c r="BA154" s="416">
        <f t="shared" si="11"/>
        <v>0</v>
      </c>
      <c r="BB154" s="416">
        <f t="shared" si="11"/>
        <v>0</v>
      </c>
      <c r="BC154" s="416">
        <f t="shared" si="11"/>
        <v>0</v>
      </c>
      <c r="BD154" s="416">
        <f>SUM(T154:BC154)</f>
        <v>66673</v>
      </c>
    </row>
    <row r="155" spans="2:56">
      <c r="B155" s="1243" t="s">
        <v>558</v>
      </c>
      <c r="C155" s="1244"/>
      <c r="D155" s="1244"/>
      <c r="E155" s="1244"/>
      <c r="F155" s="1244"/>
      <c r="G155" s="1245"/>
      <c r="H155" s="420">
        <f>H154-L137</f>
        <v>0</v>
      </c>
      <c r="I155" s="294"/>
      <c r="J155" s="295"/>
      <c r="K155" s="295"/>
      <c r="L155" s="296"/>
      <c r="M155" s="32"/>
      <c r="N155" s="32"/>
      <c r="O155" s="32"/>
      <c r="P155" s="32"/>
      <c r="Q155" s="297"/>
      <c r="R155" s="297"/>
      <c r="S155" s="32"/>
      <c r="T155" s="48"/>
      <c r="U155" s="48"/>
      <c r="V155" s="48"/>
      <c r="W155" s="48"/>
      <c r="X155" s="48"/>
      <c r="Y155" s="48"/>
      <c r="Z155" s="48"/>
      <c r="AA155" s="48"/>
      <c r="AB155" s="48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</row>
    <row r="156" spans="2:56">
      <c r="B156" s="1243" t="s">
        <v>559</v>
      </c>
      <c r="C156" s="1244"/>
      <c r="D156" s="1244"/>
      <c r="E156" s="1244"/>
      <c r="F156" s="1244"/>
      <c r="G156" s="1245"/>
      <c r="H156" s="420">
        <f>H153-H154</f>
        <v>0</v>
      </c>
      <c r="I156" s="52"/>
      <c r="J156" s="53"/>
      <c r="K156" s="53"/>
      <c r="L156" s="54"/>
      <c r="M156" s="32"/>
      <c r="N156" s="32"/>
      <c r="O156" s="32"/>
      <c r="P156" s="32"/>
      <c r="Q156" s="32"/>
      <c r="R156" s="32"/>
      <c r="S156" s="32"/>
      <c r="T156" s="48"/>
      <c r="U156" s="48"/>
      <c r="V156" s="48"/>
      <c r="W156" s="48"/>
      <c r="X156" s="48"/>
      <c r="Y156" s="48"/>
      <c r="Z156" s="48"/>
      <c r="AA156" s="48"/>
      <c r="AB156" s="48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</row>
    <row r="157" spans="2:56">
      <c r="B157" s="32"/>
      <c r="C157" s="32"/>
      <c r="D157" s="32"/>
      <c r="E157" s="32"/>
      <c r="F157" s="32"/>
      <c r="G157" s="32"/>
      <c r="H157" s="32"/>
      <c r="I157" s="57"/>
      <c r="J157" s="52"/>
      <c r="K157" s="52"/>
      <c r="L157" s="55"/>
      <c r="M157" s="32"/>
      <c r="N157" s="32"/>
      <c r="O157" s="52"/>
      <c r="P157" s="32"/>
      <c r="Q157" s="32"/>
      <c r="R157" s="32"/>
      <c r="S157" s="32"/>
      <c r="T157" s="48"/>
      <c r="U157" s="48"/>
      <c r="V157" s="48"/>
      <c r="W157" s="48"/>
      <c r="X157" s="48"/>
      <c r="Y157" s="48"/>
      <c r="Z157" s="48"/>
      <c r="AA157" s="48"/>
      <c r="AB157" s="48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</row>
    <row r="158" spans="2:56">
      <c r="B158" s="40" t="s">
        <v>561</v>
      </c>
      <c r="C158" s="40"/>
      <c r="D158" s="32"/>
      <c r="E158" s="32"/>
      <c r="F158" s="32"/>
      <c r="G158" s="32"/>
      <c r="H158" s="32"/>
      <c r="I158" s="32"/>
      <c r="J158" s="52"/>
      <c r="K158" s="52"/>
      <c r="L158" s="55"/>
      <c r="M158" s="32"/>
      <c r="N158" s="32"/>
      <c r="O158" s="52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BD158" s="32"/>
    </row>
    <row r="159" spans="2:56">
      <c r="B159" s="422">
        <v>1</v>
      </c>
      <c r="C159" s="1249" t="s">
        <v>1435</v>
      </c>
      <c r="D159" s="1249"/>
      <c r="E159" s="1249"/>
      <c r="F159" s="1249"/>
      <c r="G159" s="1249"/>
      <c r="H159" s="1249"/>
      <c r="I159" s="1249"/>
      <c r="J159" s="1249"/>
      <c r="K159" s="1249"/>
      <c r="L159" s="55"/>
      <c r="M159" s="55"/>
      <c r="N159" s="32"/>
      <c r="O159" s="52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</row>
    <row r="161" spans="2:52">
      <c r="B161" s="28" t="s">
        <v>126</v>
      </c>
      <c r="C161" s="28"/>
      <c r="D161" s="29"/>
      <c r="E161" s="30" t="s">
        <v>511</v>
      </c>
      <c r="F161" s="31" t="s">
        <v>1465</v>
      </c>
      <c r="G161" s="32"/>
      <c r="H161" s="33"/>
      <c r="I161" s="34"/>
      <c r="J161" s="35" t="s">
        <v>513</v>
      </c>
      <c r="K161" s="36" t="s">
        <v>511</v>
      </c>
      <c r="L161" s="37">
        <v>45058.520833333336</v>
      </c>
      <c r="M161" s="32"/>
      <c r="N161" s="32"/>
      <c r="O161" s="206"/>
      <c r="P161" s="205"/>
      <c r="Q161" s="202"/>
      <c r="R161" s="204"/>
      <c r="S161" s="38"/>
      <c r="T161" s="201"/>
      <c r="U161" s="201"/>
      <c r="V161" s="201"/>
      <c r="W161" s="201"/>
      <c r="X161" s="201"/>
      <c r="Y161" s="201"/>
      <c r="Z161" s="201"/>
      <c r="AA161" s="201"/>
      <c r="AB161" s="202"/>
      <c r="AC161" s="202"/>
      <c r="AD161" s="202"/>
      <c r="AE161" s="202"/>
      <c r="AF161" s="202"/>
      <c r="AG161" s="201"/>
      <c r="AH161" s="201"/>
      <c r="AI161" s="201"/>
      <c r="AJ161" s="201"/>
      <c r="AK161" s="201"/>
      <c r="AL161" s="201"/>
      <c r="AM161" s="201"/>
      <c r="AN161" s="201"/>
      <c r="AO161" s="201"/>
      <c r="AP161" s="201"/>
      <c r="AQ161" s="201"/>
      <c r="AR161" s="201"/>
      <c r="AS161" s="201"/>
      <c r="AT161" s="201"/>
      <c r="AU161" s="201"/>
      <c r="AV161" s="201"/>
      <c r="AW161" s="201"/>
      <c r="AX161" s="201"/>
      <c r="AY161" s="201"/>
      <c r="AZ161" s="201"/>
    </row>
    <row r="162" spans="2:52">
      <c r="B162" s="35" t="s">
        <v>514</v>
      </c>
      <c r="C162" s="35"/>
      <c r="D162" s="32"/>
      <c r="E162" s="36" t="s">
        <v>511</v>
      </c>
      <c r="F162" s="37" t="s">
        <v>1715</v>
      </c>
      <c r="G162" s="32"/>
      <c r="H162" s="33"/>
      <c r="I162" s="34"/>
      <c r="J162" s="35" t="s">
        <v>516</v>
      </c>
      <c r="K162" s="36" t="s">
        <v>511</v>
      </c>
      <c r="L162" s="37">
        <v>45060.875</v>
      </c>
      <c r="M162" s="32"/>
      <c r="N162" s="32"/>
      <c r="O162" s="206"/>
      <c r="P162" s="205"/>
      <c r="Q162" s="202"/>
      <c r="R162" s="204"/>
      <c r="S162" s="38"/>
      <c r="T162" s="201"/>
      <c r="U162" s="201"/>
      <c r="V162" s="201"/>
      <c r="W162" s="201"/>
      <c r="X162" s="201"/>
      <c r="Y162" s="201"/>
      <c r="Z162" s="201"/>
      <c r="AA162" s="201"/>
      <c r="AB162" s="202"/>
      <c r="AC162" s="202"/>
      <c r="AD162" s="202"/>
      <c r="AE162" s="202"/>
      <c r="AF162" s="202"/>
      <c r="AG162" s="201"/>
      <c r="AH162" s="201"/>
      <c r="AI162" s="201"/>
      <c r="AJ162" s="201"/>
      <c r="AK162" s="201"/>
      <c r="AL162" s="201"/>
      <c r="AM162" s="201"/>
      <c r="AN162" s="201"/>
      <c r="AO162" s="201"/>
      <c r="AP162" s="201"/>
      <c r="AQ162" s="201"/>
      <c r="AR162" s="201"/>
      <c r="AS162" s="201"/>
      <c r="AT162" s="201"/>
      <c r="AU162" s="201"/>
      <c r="AV162" s="201"/>
      <c r="AW162" s="201"/>
      <c r="AX162" s="201"/>
      <c r="AY162" s="201"/>
      <c r="AZ162" s="201"/>
    </row>
    <row r="163" spans="2:52">
      <c r="B163" s="35" t="s">
        <v>517</v>
      </c>
      <c r="C163" s="35"/>
      <c r="D163" s="32"/>
      <c r="E163" s="36" t="s">
        <v>511</v>
      </c>
      <c r="F163" s="37">
        <v>45047.708333333336</v>
      </c>
      <c r="G163" s="32"/>
      <c r="H163" s="33"/>
      <c r="I163" s="34"/>
      <c r="J163" s="35" t="s">
        <v>518</v>
      </c>
      <c r="K163" s="36" t="s">
        <v>511</v>
      </c>
      <c r="L163" s="50">
        <v>76950</v>
      </c>
      <c r="M163" s="40" t="s">
        <v>519</v>
      </c>
      <c r="N163" s="40"/>
      <c r="O163" s="206"/>
      <c r="P163" s="205"/>
      <c r="Q163" s="202"/>
      <c r="R163" s="204"/>
      <c r="S163" s="38"/>
      <c r="T163" s="201"/>
      <c r="U163" s="201"/>
      <c r="V163" s="201"/>
      <c r="W163" s="201"/>
      <c r="X163" s="201"/>
      <c r="Y163" s="201"/>
      <c r="Z163" s="201"/>
      <c r="AA163" s="201"/>
      <c r="AB163" s="202"/>
      <c r="AC163" s="202"/>
      <c r="AD163" s="202"/>
      <c r="AE163" s="202"/>
      <c r="AF163" s="202"/>
      <c r="AG163" s="201"/>
      <c r="AH163" s="201"/>
      <c r="AI163" s="201"/>
      <c r="AJ163" s="201"/>
      <c r="AK163" s="201"/>
      <c r="AL163" s="201"/>
      <c r="AM163" s="201"/>
      <c r="AN163" s="201"/>
      <c r="AO163" s="201"/>
      <c r="AP163" s="201"/>
      <c r="AQ163" s="201"/>
      <c r="AR163" s="201"/>
      <c r="AS163" s="201"/>
      <c r="AT163" s="201"/>
      <c r="AU163" s="201"/>
      <c r="AV163" s="201"/>
      <c r="AW163" s="201"/>
      <c r="AX163" s="201"/>
      <c r="AY163" s="201"/>
      <c r="AZ163" s="201"/>
    </row>
    <row r="164" spans="2:52">
      <c r="B164" s="35" t="s">
        <v>520</v>
      </c>
      <c r="C164" s="35"/>
      <c r="D164" s="32"/>
      <c r="E164" s="36" t="s">
        <v>511</v>
      </c>
      <c r="F164" s="37" t="s">
        <v>12</v>
      </c>
      <c r="G164" s="32"/>
      <c r="H164" s="33"/>
      <c r="I164" s="34"/>
      <c r="J164" s="35" t="s">
        <v>521</v>
      </c>
      <c r="K164" s="36" t="s">
        <v>511</v>
      </c>
      <c r="L164" s="41" t="s">
        <v>1716</v>
      </c>
      <c r="M164" s="32"/>
      <c r="N164" s="32"/>
      <c r="O164" s="206"/>
      <c r="P164" s="202"/>
      <c r="Q164" s="202"/>
      <c r="R164" s="204"/>
      <c r="S164" s="38"/>
      <c r="T164" s="201"/>
      <c r="U164" s="201"/>
      <c r="V164" s="201"/>
      <c r="W164" s="201"/>
      <c r="X164" s="201"/>
      <c r="Y164" s="201"/>
      <c r="Z164" s="201"/>
      <c r="AA164" s="201"/>
      <c r="AB164" s="202"/>
      <c r="AC164" s="202"/>
      <c r="AD164" s="202"/>
      <c r="AE164" s="202"/>
      <c r="AF164" s="202"/>
      <c r="AG164" s="201"/>
      <c r="AH164" s="201"/>
      <c r="AI164" s="201"/>
      <c r="AJ164" s="201"/>
      <c r="AK164" s="201"/>
      <c r="AL164" s="201"/>
      <c r="AM164" s="201"/>
      <c r="AN164" s="201"/>
      <c r="AO164" s="201"/>
      <c r="AP164" s="201"/>
      <c r="AQ164" s="201"/>
      <c r="AR164" s="201"/>
      <c r="AS164" s="201"/>
      <c r="AT164" s="201"/>
      <c r="AU164" s="201"/>
      <c r="AV164" s="201"/>
      <c r="AW164" s="201"/>
      <c r="AX164" s="201"/>
      <c r="AY164" s="201"/>
      <c r="AZ164" s="201"/>
    </row>
    <row r="165" spans="2:52">
      <c r="B165" s="35" t="s">
        <v>523</v>
      </c>
      <c r="C165" s="35"/>
      <c r="D165" s="32"/>
      <c r="E165" s="36" t="s">
        <v>511</v>
      </c>
      <c r="F165" s="37" t="s">
        <v>41</v>
      </c>
      <c r="G165" s="32"/>
      <c r="H165" s="33"/>
      <c r="I165" s="34"/>
      <c r="J165" s="42" t="s">
        <v>524</v>
      </c>
      <c r="K165" s="36" t="s">
        <v>511</v>
      </c>
      <c r="L165" s="43" t="s">
        <v>15</v>
      </c>
      <c r="M165" s="44"/>
      <c r="N165" s="44"/>
      <c r="O165" s="206"/>
      <c r="P165" s="205"/>
      <c r="Q165" s="202"/>
      <c r="R165" s="204"/>
      <c r="S165" s="38"/>
      <c r="T165" s="201"/>
      <c r="U165" s="201"/>
      <c r="V165" s="201"/>
      <c r="W165" s="201"/>
      <c r="X165" s="201"/>
      <c r="Y165" s="201"/>
      <c r="Z165" s="201"/>
      <c r="AA165" s="201"/>
      <c r="AB165" s="202"/>
      <c r="AC165" s="202"/>
      <c r="AD165" s="202"/>
      <c r="AE165" s="202"/>
      <c r="AF165" s="202"/>
      <c r="AG165" s="201"/>
      <c r="AH165" s="201"/>
      <c r="AI165" s="201"/>
      <c r="AJ165" s="201"/>
      <c r="AK165" s="201"/>
      <c r="AL165" s="201"/>
      <c r="AM165" s="201"/>
      <c r="AN165" s="201"/>
      <c r="AO165" s="201"/>
      <c r="AP165" s="201"/>
      <c r="AQ165" s="201"/>
      <c r="AR165" s="201"/>
      <c r="AS165" s="201"/>
      <c r="AT165" s="201"/>
      <c r="AU165" s="201"/>
      <c r="AV165" s="201"/>
      <c r="AW165" s="201"/>
      <c r="AX165" s="201"/>
      <c r="AY165" s="201"/>
      <c r="AZ165" s="201"/>
    </row>
    <row r="166" spans="2:52">
      <c r="B166" s="35" t="s">
        <v>2</v>
      </c>
      <c r="C166" s="35"/>
      <c r="D166" s="32"/>
      <c r="E166" s="36" t="s">
        <v>511</v>
      </c>
      <c r="F166" s="37" t="s">
        <v>6</v>
      </c>
      <c r="G166" s="32"/>
      <c r="H166" s="33"/>
      <c r="I166" s="45"/>
      <c r="J166" s="42"/>
      <c r="K166" s="36"/>
      <c r="L166" s="211"/>
      <c r="M166" s="201"/>
      <c r="N166" s="201"/>
      <c r="O166" s="42"/>
      <c r="P166" s="44"/>
      <c r="Q166" s="44"/>
      <c r="R166" s="44"/>
      <c r="S166" s="34"/>
      <c r="T166" s="201"/>
      <c r="U166" s="201"/>
      <c r="V166" s="201"/>
      <c r="W166" s="201"/>
      <c r="X166" s="201"/>
      <c r="Y166" s="201"/>
      <c r="Z166" s="201"/>
      <c r="AA166" s="201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201"/>
      <c r="AP166" s="201"/>
      <c r="AQ166" s="201"/>
      <c r="AR166" s="201"/>
      <c r="AS166" s="201"/>
      <c r="AT166" s="201"/>
      <c r="AU166" s="201"/>
      <c r="AV166" s="201"/>
      <c r="AW166" s="201"/>
      <c r="AX166" s="201"/>
      <c r="AY166" s="201"/>
      <c r="AZ166" s="201"/>
    </row>
    <row r="167" spans="2:52">
      <c r="B167" s="201"/>
      <c r="C167" s="201"/>
      <c r="D167" s="201"/>
      <c r="E167" s="201"/>
      <c r="F167" s="201"/>
      <c r="G167" s="201"/>
      <c r="H167" s="201"/>
      <c r="I167" s="45"/>
      <c r="J167" s="42"/>
      <c r="K167" s="42"/>
      <c r="L167" s="43"/>
      <c r="M167" s="44"/>
      <c r="N167" s="44"/>
      <c r="O167" s="42"/>
      <c r="P167" s="44"/>
      <c r="Q167" s="44"/>
      <c r="R167" s="44"/>
      <c r="S167" s="34"/>
      <c r="T167" s="1265" t="s">
        <v>87</v>
      </c>
      <c r="U167" s="1265"/>
      <c r="V167" s="1265"/>
      <c r="W167" s="1265"/>
      <c r="X167" s="1265"/>
      <c r="Y167" s="1265" t="s">
        <v>73</v>
      </c>
      <c r="Z167" s="1265"/>
      <c r="AA167" s="1265"/>
      <c r="AB167" s="1265" t="s">
        <v>74</v>
      </c>
      <c r="AC167" s="1265"/>
      <c r="AD167" s="423" t="s">
        <v>85</v>
      </c>
      <c r="AE167" s="423" t="s">
        <v>77</v>
      </c>
      <c r="AF167" s="1265" t="s">
        <v>525</v>
      </c>
      <c r="AG167" s="1265"/>
      <c r="AH167" s="1265"/>
      <c r="AI167" s="1265"/>
      <c r="AJ167" s="1265"/>
      <c r="AK167" s="1265"/>
      <c r="AL167" s="1265"/>
      <c r="AM167" s="1265"/>
      <c r="AN167" s="1265"/>
      <c r="AO167" s="1265"/>
      <c r="AP167" s="1265"/>
      <c r="AQ167" s="1265"/>
      <c r="AR167" s="1265"/>
      <c r="AS167" s="1265"/>
      <c r="AT167" s="1265"/>
      <c r="AU167" s="1265"/>
      <c r="AV167" s="1265"/>
      <c r="AW167" s="1265"/>
      <c r="AX167" s="1265"/>
      <c r="AY167" s="1265"/>
      <c r="AZ167" s="201"/>
    </row>
    <row r="168" spans="2:52">
      <c r="B168" s="1266" t="s">
        <v>526</v>
      </c>
      <c r="C168" s="1267"/>
      <c r="D168" s="570" t="s">
        <v>527</v>
      </c>
      <c r="E168" s="570"/>
      <c r="F168" s="570" t="s">
        <v>528</v>
      </c>
      <c r="G168" s="570" t="s">
        <v>529</v>
      </c>
      <c r="H168" s="570" t="s">
        <v>530</v>
      </c>
      <c r="I168" s="570" t="s">
        <v>531</v>
      </c>
      <c r="J168" s="570" t="s">
        <v>532</v>
      </c>
      <c r="K168" s="570"/>
      <c r="L168" s="570" t="s">
        <v>130</v>
      </c>
      <c r="M168" s="570" t="s">
        <v>533</v>
      </c>
      <c r="N168" s="408" t="str">
        <f>"On time - "&amp;COUNTIF(N169:N182,"On time")&amp;" from "&amp;ROWS(N169:N182)-COUNTIF(N169:N182," ")</f>
        <v>On time - 0 from 11</v>
      </c>
      <c r="O168" s="46"/>
      <c r="P168" s="409" t="s">
        <v>534</v>
      </c>
      <c r="Q168" s="409" t="s">
        <v>535</v>
      </c>
      <c r="R168" s="409" t="s">
        <v>536</v>
      </c>
      <c r="S168" s="32"/>
      <c r="T168" s="424" t="s">
        <v>537</v>
      </c>
      <c r="U168" s="424" t="s">
        <v>538</v>
      </c>
      <c r="V168" s="424" t="s">
        <v>539</v>
      </c>
      <c r="W168" s="424" t="s">
        <v>540</v>
      </c>
      <c r="X168" s="424" t="s">
        <v>541</v>
      </c>
      <c r="Y168" s="424" t="s">
        <v>167</v>
      </c>
      <c r="Z168" s="424" t="s">
        <v>168</v>
      </c>
      <c r="AA168" s="424" t="s">
        <v>169</v>
      </c>
      <c r="AB168" s="424" t="s">
        <v>235</v>
      </c>
      <c r="AC168" s="424" t="s">
        <v>240</v>
      </c>
      <c r="AD168" s="423" t="s">
        <v>85</v>
      </c>
      <c r="AE168" s="424" t="s">
        <v>139</v>
      </c>
      <c r="AF168" s="424" t="s">
        <v>72</v>
      </c>
      <c r="AG168" s="424" t="s">
        <v>88</v>
      </c>
      <c r="AH168" s="424" t="s">
        <v>75</v>
      </c>
      <c r="AI168" s="424" t="s">
        <v>543</v>
      </c>
      <c r="AJ168" s="424" t="s">
        <v>78</v>
      </c>
      <c r="AK168" s="424" t="s">
        <v>76</v>
      </c>
      <c r="AL168" s="424" t="s">
        <v>544</v>
      </c>
      <c r="AM168" s="424" t="s">
        <v>545</v>
      </c>
      <c r="AN168" s="424" t="s">
        <v>86</v>
      </c>
      <c r="AO168" s="424" t="s">
        <v>83</v>
      </c>
      <c r="AP168" s="424" t="s">
        <v>84</v>
      </c>
      <c r="AQ168" s="424" t="s">
        <v>546</v>
      </c>
      <c r="AR168" s="424" t="s">
        <v>81</v>
      </c>
      <c r="AS168" s="424" t="s">
        <v>80</v>
      </c>
      <c r="AT168" s="424" t="s">
        <v>82</v>
      </c>
      <c r="AU168" s="424" t="s">
        <v>181</v>
      </c>
      <c r="AV168" s="424" t="s">
        <v>183</v>
      </c>
      <c r="AW168" s="424" t="s">
        <v>547</v>
      </c>
      <c r="AX168" s="424" t="s">
        <v>182</v>
      </c>
      <c r="AY168" s="424" t="s">
        <v>172</v>
      </c>
      <c r="AZ168" s="201"/>
    </row>
    <row r="169" spans="2:52">
      <c r="B169" s="1250" t="s">
        <v>643</v>
      </c>
      <c r="C169" s="1251"/>
      <c r="D169" s="411" t="s">
        <v>1569</v>
      </c>
      <c r="E169" s="411"/>
      <c r="F169" s="411" t="s">
        <v>349</v>
      </c>
      <c r="G169" s="411" t="s">
        <v>350</v>
      </c>
      <c r="H169" s="412">
        <v>7505.79</v>
      </c>
      <c r="I169" s="413" t="s">
        <v>611</v>
      </c>
      <c r="J169" s="414">
        <v>45055.270833333336</v>
      </c>
      <c r="K169" s="414"/>
      <c r="L169" s="414" t="s">
        <v>192</v>
      </c>
      <c r="M169" s="414" t="s">
        <v>192</v>
      </c>
      <c r="N169" s="413" t="str">
        <f t="shared" ref="N169:N184" si="12">IF(ISBLANK(J169)," ",IF(J169&lt;$F$163,"On time",(IF(DAY(J169-$F$163)&lt;1,"On time",(IF(J169&gt;$F$163,"DELAY ( "&amp;DAY(J169-$F$163)&amp;" day "&amp;HOUR(J169-$F$163)&amp;" hour "&amp;MINUTE(J169-$F$163)&amp;" minute )","xxx"))))))</f>
        <v>DELAY ( 7 day 13 hour 30 minute )</v>
      </c>
      <c r="O169" s="51"/>
      <c r="P169" s="415" t="s">
        <v>551</v>
      </c>
      <c r="Q169" s="415" t="s">
        <v>551</v>
      </c>
      <c r="R169" s="415" t="s">
        <v>551</v>
      </c>
      <c r="S169" s="32"/>
      <c r="T169" s="416">
        <f>H169</f>
        <v>7505.79</v>
      </c>
      <c r="U169" s="416"/>
      <c r="V169" s="416"/>
      <c r="W169" s="416"/>
      <c r="X169" s="416"/>
      <c r="Y169" s="416"/>
      <c r="Z169" s="416"/>
      <c r="AA169" s="416"/>
      <c r="AB169" s="416"/>
      <c r="AC169" s="416"/>
      <c r="AD169" s="416"/>
      <c r="AE169" s="416"/>
      <c r="AF169" s="416"/>
      <c r="AG169" s="416"/>
      <c r="AH169" s="416"/>
      <c r="AI169" s="416"/>
      <c r="AJ169" s="416"/>
      <c r="AK169" s="416"/>
      <c r="AL169" s="416"/>
      <c r="AM169" s="416"/>
      <c r="AN169" s="416"/>
      <c r="AO169" s="416"/>
      <c r="AP169" s="416"/>
      <c r="AQ169" s="416"/>
      <c r="AR169" s="416"/>
      <c r="AS169" s="416"/>
      <c r="AT169" s="416"/>
      <c r="AU169" s="416"/>
      <c r="AV169" s="416"/>
      <c r="AW169" s="416"/>
      <c r="AX169" s="416"/>
      <c r="AY169" s="416"/>
      <c r="AZ169" s="32"/>
    </row>
    <row r="170" spans="2:52">
      <c r="B170" s="1254"/>
      <c r="C170" s="1255"/>
      <c r="D170" s="411" t="s">
        <v>1469</v>
      </c>
      <c r="E170" s="425"/>
      <c r="F170" s="411" t="s">
        <v>323</v>
      </c>
      <c r="G170" s="411" t="s">
        <v>324</v>
      </c>
      <c r="H170" s="412">
        <f>7525.387/2</f>
        <v>3762.6934999999999</v>
      </c>
      <c r="I170" s="413" t="s">
        <v>240</v>
      </c>
      <c r="J170" s="1268">
        <v>45057.416666666664</v>
      </c>
      <c r="K170" s="414"/>
      <c r="L170" s="1268" t="s">
        <v>192</v>
      </c>
      <c r="M170" s="1268" t="s">
        <v>192</v>
      </c>
      <c r="N170" s="413" t="str">
        <f t="shared" si="12"/>
        <v>DELAY ( 9 day 17 hour 0 minute )</v>
      </c>
      <c r="O170" s="51"/>
      <c r="P170" s="415" t="s">
        <v>551</v>
      </c>
      <c r="Q170" s="415" t="s">
        <v>551</v>
      </c>
      <c r="R170" s="415" t="s">
        <v>551</v>
      </c>
      <c r="S170" s="32"/>
      <c r="T170" s="416"/>
      <c r="U170" s="416"/>
      <c r="V170" s="416"/>
      <c r="W170" s="416"/>
      <c r="X170" s="416"/>
      <c r="Y170" s="416"/>
      <c r="Z170" s="416"/>
      <c r="AA170" s="416"/>
      <c r="AB170" s="416"/>
      <c r="AC170" s="416">
        <f>H170</f>
        <v>3762.6934999999999</v>
      </c>
      <c r="AD170" s="416"/>
      <c r="AE170" s="416"/>
      <c r="AF170" s="416"/>
      <c r="AG170" s="416"/>
      <c r="AH170" s="416"/>
      <c r="AI170" s="416"/>
      <c r="AJ170" s="416"/>
      <c r="AK170" s="416"/>
      <c r="AL170" s="416"/>
      <c r="AM170" s="416"/>
      <c r="AN170" s="416"/>
      <c r="AO170" s="416"/>
      <c r="AP170" s="416"/>
      <c r="AQ170" s="416"/>
      <c r="AR170" s="416"/>
      <c r="AS170" s="416"/>
      <c r="AT170" s="416"/>
      <c r="AU170" s="416"/>
      <c r="AV170" s="416"/>
      <c r="AW170" s="416"/>
      <c r="AX170" s="416"/>
      <c r="AY170" s="416"/>
      <c r="AZ170" s="32"/>
    </row>
    <row r="171" spans="2:52">
      <c r="B171" s="1250" t="s">
        <v>644</v>
      </c>
      <c r="C171" s="1251"/>
      <c r="D171" s="411" t="s">
        <v>1469</v>
      </c>
      <c r="E171" s="425"/>
      <c r="F171" s="411" t="s">
        <v>323</v>
      </c>
      <c r="G171" s="411" t="s">
        <v>324</v>
      </c>
      <c r="H171" s="412">
        <f>H170</f>
        <v>3762.6934999999999</v>
      </c>
      <c r="I171" s="413" t="s">
        <v>240</v>
      </c>
      <c r="J171" s="1269"/>
      <c r="K171" s="414"/>
      <c r="L171" s="1269"/>
      <c r="M171" s="1269"/>
      <c r="N171" s="413" t="str">
        <f t="shared" si="12"/>
        <v xml:space="preserve"> </v>
      </c>
      <c r="O171" s="51"/>
      <c r="P171" s="415" t="s">
        <v>551</v>
      </c>
      <c r="Q171" s="415" t="s">
        <v>551</v>
      </c>
      <c r="R171" s="415" t="s">
        <v>551</v>
      </c>
      <c r="S171" s="32"/>
      <c r="T171" s="416"/>
      <c r="U171" s="416"/>
      <c r="V171" s="416"/>
      <c r="W171" s="416"/>
      <c r="X171" s="416"/>
      <c r="Y171" s="416"/>
      <c r="Z171" s="416"/>
      <c r="AA171" s="416"/>
      <c r="AB171" s="416"/>
      <c r="AC171" s="416">
        <f>H171</f>
        <v>3762.6934999999999</v>
      </c>
      <c r="AD171" s="416"/>
      <c r="AE171" s="416"/>
      <c r="AF171" s="416"/>
      <c r="AG171" s="416"/>
      <c r="AH171" s="416"/>
      <c r="AI171" s="416"/>
      <c r="AJ171" s="416"/>
      <c r="AK171" s="416"/>
      <c r="AL171" s="416"/>
      <c r="AM171" s="416"/>
      <c r="AN171" s="416"/>
      <c r="AO171" s="416"/>
      <c r="AP171" s="416"/>
      <c r="AQ171" s="416"/>
      <c r="AR171" s="416"/>
      <c r="AS171" s="416"/>
      <c r="AT171" s="416"/>
      <c r="AU171" s="416"/>
      <c r="AV171" s="416"/>
      <c r="AW171" s="416"/>
      <c r="AX171" s="416"/>
      <c r="AY171" s="416"/>
      <c r="AZ171" s="32"/>
    </row>
    <row r="172" spans="2:52">
      <c r="B172" s="1254"/>
      <c r="C172" s="1255"/>
      <c r="D172" s="411" t="s">
        <v>1606</v>
      </c>
      <c r="E172" s="411"/>
      <c r="F172" s="411" t="s">
        <v>721</v>
      </c>
      <c r="G172" s="411" t="s">
        <v>1349</v>
      </c>
      <c r="H172" s="412">
        <v>7503.6760000000004</v>
      </c>
      <c r="I172" s="413" t="s">
        <v>172</v>
      </c>
      <c r="J172" s="414">
        <v>45057.375</v>
      </c>
      <c r="K172" s="414"/>
      <c r="L172" s="414" t="s">
        <v>192</v>
      </c>
      <c r="M172" s="414" t="s">
        <v>192</v>
      </c>
      <c r="N172" s="413" t="str">
        <f t="shared" si="12"/>
        <v>DELAY ( 9 day 16 hour 0 minute )</v>
      </c>
      <c r="O172" s="51"/>
      <c r="P172" s="415" t="s">
        <v>551</v>
      </c>
      <c r="Q172" s="415" t="s">
        <v>551</v>
      </c>
      <c r="R172" s="415" t="s">
        <v>551</v>
      </c>
      <c r="S172" s="32"/>
      <c r="T172" s="416"/>
      <c r="U172" s="416"/>
      <c r="V172" s="416"/>
      <c r="W172" s="416"/>
      <c r="X172" s="416"/>
      <c r="Y172" s="416"/>
      <c r="Z172" s="416"/>
      <c r="AA172" s="416"/>
      <c r="AB172" s="32"/>
      <c r="AC172" s="416"/>
      <c r="AD172" s="416"/>
      <c r="AE172" s="416"/>
      <c r="AF172" s="416"/>
      <c r="AG172" s="416"/>
      <c r="AH172" s="416"/>
      <c r="AI172" s="416"/>
      <c r="AJ172" s="416"/>
      <c r="AK172" s="416"/>
      <c r="AL172" s="416"/>
      <c r="AM172" s="416"/>
      <c r="AN172" s="416"/>
      <c r="AO172" s="416"/>
      <c r="AP172" s="416"/>
      <c r="AQ172" s="416"/>
      <c r="AR172" s="416"/>
      <c r="AS172" s="416"/>
      <c r="AT172" s="416"/>
      <c r="AU172" s="416"/>
      <c r="AV172" s="32"/>
      <c r="AW172" s="416"/>
      <c r="AX172" s="416"/>
      <c r="AY172" s="416">
        <f>H172</f>
        <v>7503.6760000000004</v>
      </c>
      <c r="AZ172" s="32"/>
    </row>
    <row r="173" spans="2:52">
      <c r="B173" s="1250" t="s">
        <v>1717</v>
      </c>
      <c r="C173" s="1251"/>
      <c r="D173" s="411" t="s">
        <v>1555</v>
      </c>
      <c r="E173" s="425"/>
      <c r="F173" s="411" t="s">
        <v>1307</v>
      </c>
      <c r="G173" s="411" t="s">
        <v>1308</v>
      </c>
      <c r="H173" s="412">
        <f>5285/3</f>
        <v>1761.6666666666667</v>
      </c>
      <c r="I173" s="413" t="s">
        <v>81</v>
      </c>
      <c r="J173" s="414">
        <v>45054.190972222219</v>
      </c>
      <c r="K173" s="414"/>
      <c r="L173" s="414" t="s">
        <v>192</v>
      </c>
      <c r="M173" s="414" t="s">
        <v>192</v>
      </c>
      <c r="N173" s="413" t="str">
        <f t="shared" si="12"/>
        <v>DELAY ( 6 day 11 hour 35 minute )</v>
      </c>
      <c r="O173" s="51"/>
      <c r="P173" s="415" t="s">
        <v>551</v>
      </c>
      <c r="Q173" s="415" t="s">
        <v>551</v>
      </c>
      <c r="R173" s="415" t="s">
        <v>551</v>
      </c>
      <c r="S173" s="32"/>
      <c r="T173" s="416"/>
      <c r="U173" s="416"/>
      <c r="V173" s="416"/>
      <c r="W173" s="416"/>
      <c r="X173" s="416"/>
      <c r="Y173" s="416"/>
      <c r="Z173" s="416"/>
      <c r="AA173" s="416"/>
      <c r="AB173" s="416"/>
      <c r="AC173" s="416"/>
      <c r="AD173" s="416"/>
      <c r="AE173" s="416"/>
      <c r="AF173" s="416"/>
      <c r="AG173" s="416"/>
      <c r="AH173" s="416"/>
      <c r="AI173" s="416"/>
      <c r="AJ173" s="416"/>
      <c r="AK173" s="416"/>
      <c r="AL173" s="416"/>
      <c r="AM173" s="416"/>
      <c r="AN173" s="416"/>
      <c r="AO173" s="416"/>
      <c r="AP173" s="416"/>
      <c r="AQ173" s="416"/>
      <c r="AR173" s="416">
        <f>H173</f>
        <v>1761.6666666666667</v>
      </c>
      <c r="AS173" s="416"/>
      <c r="AT173" s="416"/>
      <c r="AU173" s="416"/>
      <c r="AV173" s="416"/>
      <c r="AW173" s="416"/>
      <c r="AX173" s="416"/>
      <c r="AY173" s="416"/>
      <c r="AZ173" s="32"/>
    </row>
    <row r="174" spans="2:52">
      <c r="B174" s="1254"/>
      <c r="C174" s="1255"/>
      <c r="D174" s="411" t="s">
        <v>1468</v>
      </c>
      <c r="E174" s="411"/>
      <c r="F174" s="411" t="s">
        <v>774</v>
      </c>
      <c r="G174" s="411" t="s">
        <v>423</v>
      </c>
      <c r="H174" s="412">
        <v>7573.6450000000004</v>
      </c>
      <c r="I174" s="413" t="s">
        <v>240</v>
      </c>
      <c r="J174" s="414">
        <v>45056.666666666664</v>
      </c>
      <c r="K174" s="414"/>
      <c r="L174" s="414" t="s">
        <v>192</v>
      </c>
      <c r="M174" s="414" t="s">
        <v>192</v>
      </c>
      <c r="N174" s="413" t="str">
        <f t="shared" si="12"/>
        <v>DELAY ( 8 day 23 hour 0 minute )</v>
      </c>
      <c r="O174" s="51"/>
      <c r="P174" s="415" t="s">
        <v>551</v>
      </c>
      <c r="Q174" s="415" t="s">
        <v>551</v>
      </c>
      <c r="R174" s="415" t="s">
        <v>551</v>
      </c>
      <c r="S174" s="32"/>
      <c r="T174" s="416"/>
      <c r="U174" s="416"/>
      <c r="V174" s="416"/>
      <c r="W174" s="416"/>
      <c r="X174" s="416"/>
      <c r="Y174" s="416"/>
      <c r="Z174" s="416"/>
      <c r="AA174" s="416"/>
      <c r="AB174" s="416"/>
      <c r="AC174" s="416">
        <f>H174</f>
        <v>7573.6450000000004</v>
      </c>
      <c r="AD174" s="416"/>
      <c r="AE174" s="416"/>
      <c r="AF174" s="416"/>
      <c r="AG174" s="416"/>
      <c r="AH174" s="416"/>
      <c r="AI174" s="416"/>
      <c r="AJ174" s="416"/>
      <c r="AK174" s="416"/>
      <c r="AL174" s="416"/>
      <c r="AM174" s="416"/>
      <c r="AN174" s="416"/>
      <c r="AO174" s="416"/>
      <c r="AP174" s="416"/>
      <c r="AQ174" s="416"/>
      <c r="AR174" s="416"/>
      <c r="AS174" s="416"/>
      <c r="AT174" s="416"/>
      <c r="AU174" s="416"/>
      <c r="AV174" s="416"/>
      <c r="AW174" s="416"/>
      <c r="AX174" s="416"/>
      <c r="AY174" s="416"/>
      <c r="AZ174" s="32"/>
    </row>
    <row r="175" spans="2:52">
      <c r="B175" s="1250" t="s">
        <v>1717</v>
      </c>
      <c r="C175" s="1251"/>
      <c r="D175" s="411" t="s">
        <v>1555</v>
      </c>
      <c r="E175" s="425"/>
      <c r="F175" s="411" t="s">
        <v>1307</v>
      </c>
      <c r="G175" s="411" t="s">
        <v>1308</v>
      </c>
      <c r="H175" s="412">
        <f>H177</f>
        <v>1761.6666666666667</v>
      </c>
      <c r="I175" s="413" t="s">
        <v>81</v>
      </c>
      <c r="J175" s="414"/>
      <c r="K175" s="414"/>
      <c r="L175" s="414" t="s">
        <v>192</v>
      </c>
      <c r="M175" s="414" t="s">
        <v>192</v>
      </c>
      <c r="N175" s="413" t="str">
        <f t="shared" si="12"/>
        <v xml:space="preserve"> </v>
      </c>
      <c r="O175" s="51"/>
      <c r="P175" s="415" t="s">
        <v>551</v>
      </c>
      <c r="Q175" s="415" t="s">
        <v>551</v>
      </c>
      <c r="R175" s="415" t="s">
        <v>551</v>
      </c>
      <c r="S175" s="32"/>
      <c r="T175" s="416"/>
      <c r="U175" s="416"/>
      <c r="V175" s="416"/>
      <c r="W175" s="416"/>
      <c r="X175" s="416"/>
      <c r="Y175" s="416"/>
      <c r="Z175" s="416"/>
      <c r="AA175" s="416"/>
      <c r="AB175" s="416"/>
      <c r="AC175" s="416"/>
      <c r="AD175" s="416"/>
      <c r="AE175" s="416"/>
      <c r="AF175" s="416"/>
      <c r="AG175" s="416"/>
      <c r="AH175" s="416"/>
      <c r="AI175" s="416"/>
      <c r="AJ175" s="416"/>
      <c r="AK175" s="416"/>
      <c r="AL175" s="416"/>
      <c r="AM175" s="416"/>
      <c r="AN175" s="416"/>
      <c r="AO175" s="416"/>
      <c r="AP175" s="416"/>
      <c r="AQ175" s="416"/>
      <c r="AR175" s="416">
        <f>H175</f>
        <v>1761.6666666666667</v>
      </c>
      <c r="AS175" s="416"/>
      <c r="AT175" s="416"/>
      <c r="AU175" s="416"/>
      <c r="AV175" s="416"/>
      <c r="AW175" s="416"/>
      <c r="AX175" s="416"/>
      <c r="AY175" s="416"/>
      <c r="AZ175" s="32"/>
    </row>
    <row r="176" spans="2:52">
      <c r="B176" s="1254"/>
      <c r="C176" s="1255"/>
      <c r="D176" s="411" t="s">
        <v>1467</v>
      </c>
      <c r="E176" s="411"/>
      <c r="F176" s="411" t="s">
        <v>422</v>
      </c>
      <c r="G176" s="411" t="s">
        <v>275</v>
      </c>
      <c r="H176" s="412">
        <v>7655.5079999999998</v>
      </c>
      <c r="I176" s="413" t="s">
        <v>240</v>
      </c>
      <c r="J176" s="414">
        <v>45056.857638888891</v>
      </c>
      <c r="K176" s="414"/>
      <c r="L176" s="414" t="s">
        <v>192</v>
      </c>
      <c r="M176" s="414" t="s">
        <v>192</v>
      </c>
      <c r="N176" s="413" t="str">
        <f t="shared" si="12"/>
        <v>DELAY ( 9 day 3 hour 35 minute )</v>
      </c>
      <c r="O176" s="51"/>
      <c r="P176" s="415" t="s">
        <v>551</v>
      </c>
      <c r="Q176" s="415" t="s">
        <v>551</v>
      </c>
      <c r="R176" s="415" t="s">
        <v>551</v>
      </c>
      <c r="S176" s="32"/>
      <c r="T176" s="416"/>
      <c r="U176" s="416"/>
      <c r="V176" s="416"/>
      <c r="W176" s="416"/>
      <c r="X176" s="416"/>
      <c r="Y176" s="416"/>
      <c r="Z176" s="416"/>
      <c r="AA176" s="416"/>
      <c r="AB176" s="416">
        <f>H176*0.26124980863</f>
        <v>1999.9999999654342</v>
      </c>
      <c r="AC176" s="416">
        <f>H176*0.73875019137</f>
        <v>5655.5080000345661</v>
      </c>
      <c r="AD176" s="416"/>
      <c r="AE176" s="416"/>
      <c r="AF176" s="416"/>
      <c r="AG176" s="416"/>
      <c r="AH176" s="416"/>
      <c r="AI176" s="416"/>
      <c r="AJ176" s="416"/>
      <c r="AK176" s="416"/>
      <c r="AL176" s="416"/>
      <c r="AM176" s="416"/>
      <c r="AN176" s="416"/>
      <c r="AO176" s="416"/>
      <c r="AP176" s="416"/>
      <c r="AQ176" s="416"/>
      <c r="AR176" s="416"/>
      <c r="AS176" s="416"/>
      <c r="AT176" s="416"/>
      <c r="AU176" s="416"/>
      <c r="AV176" s="416"/>
      <c r="AW176" s="416"/>
      <c r="AX176" s="416"/>
      <c r="AY176" s="416"/>
      <c r="AZ176" s="32"/>
    </row>
    <row r="177" spans="2:52">
      <c r="B177" s="1250" t="s">
        <v>1717</v>
      </c>
      <c r="C177" s="1251"/>
      <c r="D177" s="411" t="s">
        <v>1555</v>
      </c>
      <c r="E177" s="425"/>
      <c r="F177" s="411" t="s">
        <v>1307</v>
      </c>
      <c r="G177" s="411" t="s">
        <v>1308</v>
      </c>
      <c r="H177" s="412">
        <f>H173</f>
        <v>1761.6666666666667</v>
      </c>
      <c r="I177" s="413" t="s">
        <v>81</v>
      </c>
      <c r="J177" s="414"/>
      <c r="K177" s="414"/>
      <c r="L177" s="414" t="s">
        <v>192</v>
      </c>
      <c r="M177" s="414" t="s">
        <v>192</v>
      </c>
      <c r="N177" s="413" t="str">
        <f t="shared" si="12"/>
        <v xml:space="preserve"> </v>
      </c>
      <c r="O177" s="51"/>
      <c r="P177" s="415" t="s">
        <v>551</v>
      </c>
      <c r="Q177" s="415" t="s">
        <v>551</v>
      </c>
      <c r="R177" s="415" t="s">
        <v>551</v>
      </c>
      <c r="S177" s="32"/>
      <c r="T177" s="416"/>
      <c r="U177" s="416"/>
      <c r="V177" s="416"/>
      <c r="W177" s="416"/>
      <c r="X177" s="416"/>
      <c r="Y177" s="416"/>
      <c r="Z177" s="416"/>
      <c r="AA177" s="416"/>
      <c r="AB177" s="416"/>
      <c r="AC177" s="416"/>
      <c r="AD177" s="416"/>
      <c r="AE177" s="416"/>
      <c r="AF177" s="416"/>
      <c r="AG177" s="416"/>
      <c r="AH177" s="416"/>
      <c r="AI177" s="416"/>
      <c r="AJ177" s="416"/>
      <c r="AK177" s="416"/>
      <c r="AL177" s="416"/>
      <c r="AM177" s="416"/>
      <c r="AN177" s="416"/>
      <c r="AO177" s="416"/>
      <c r="AP177" s="416"/>
      <c r="AQ177" s="416"/>
      <c r="AR177" s="416">
        <f>H177</f>
        <v>1761.6666666666667</v>
      </c>
      <c r="AS177" s="416"/>
      <c r="AT177" s="416"/>
      <c r="AU177" s="416"/>
      <c r="AV177" s="416"/>
      <c r="AW177" s="416"/>
      <c r="AX177" s="416"/>
      <c r="AY177" s="416"/>
      <c r="AZ177" s="32"/>
    </row>
    <row r="178" spans="2:52">
      <c r="B178" s="1254"/>
      <c r="C178" s="1255"/>
      <c r="D178" s="411" t="s">
        <v>1466</v>
      </c>
      <c r="E178" s="411"/>
      <c r="F178" s="411" t="s">
        <v>429</v>
      </c>
      <c r="G178" s="411" t="s">
        <v>430</v>
      </c>
      <c r="H178" s="412">
        <v>7482.9840000000004</v>
      </c>
      <c r="I178" s="413" t="s">
        <v>240</v>
      </c>
      <c r="J178" s="414">
        <v>45057.666666666664</v>
      </c>
      <c r="K178" s="414"/>
      <c r="L178" s="414" t="s">
        <v>192</v>
      </c>
      <c r="M178" s="414" t="s">
        <v>192</v>
      </c>
      <c r="N178" s="413" t="str">
        <f t="shared" si="12"/>
        <v>DELAY ( 9 day 23 hour 0 minute )</v>
      </c>
      <c r="O178" s="51"/>
      <c r="P178" s="415" t="s">
        <v>551</v>
      </c>
      <c r="Q178" s="415" t="s">
        <v>551</v>
      </c>
      <c r="R178" s="415" t="s">
        <v>551</v>
      </c>
      <c r="S178" s="32"/>
      <c r="T178" s="416"/>
      <c r="U178" s="416"/>
      <c r="V178" s="416"/>
      <c r="W178" s="416"/>
      <c r="X178" s="416"/>
      <c r="Y178" s="416"/>
      <c r="Z178" s="416"/>
      <c r="AA178" s="416"/>
      <c r="AB178" s="416"/>
      <c r="AC178" s="416">
        <f>H178</f>
        <v>7482.9840000000004</v>
      </c>
      <c r="AD178" s="416"/>
      <c r="AE178" s="416"/>
      <c r="AF178" s="416"/>
      <c r="AG178" s="416"/>
      <c r="AH178" s="416"/>
      <c r="AI178" s="416"/>
      <c r="AJ178" s="416"/>
      <c r="AK178" s="416"/>
      <c r="AL178" s="416"/>
      <c r="AM178" s="416"/>
      <c r="AN178" s="416"/>
      <c r="AO178" s="416"/>
      <c r="AP178" s="416"/>
      <c r="AQ178" s="416"/>
      <c r="AR178" s="416"/>
      <c r="AS178" s="416"/>
      <c r="AT178" s="416"/>
      <c r="AU178" s="416"/>
      <c r="AV178" s="416"/>
      <c r="AW178" s="416"/>
      <c r="AX178" s="416"/>
      <c r="AY178" s="416"/>
      <c r="AZ178" s="32"/>
    </row>
    <row r="179" spans="2:52">
      <c r="B179" s="1250" t="s">
        <v>653</v>
      </c>
      <c r="C179" s="1251"/>
      <c r="D179" s="411" t="s">
        <v>1570</v>
      </c>
      <c r="E179" s="411"/>
      <c r="F179" s="411" t="s">
        <v>213</v>
      </c>
      <c r="G179" s="411" t="s">
        <v>214</v>
      </c>
      <c r="H179" s="412">
        <v>7545.357</v>
      </c>
      <c r="I179" s="413" t="s">
        <v>611</v>
      </c>
      <c r="J179" s="414">
        <v>45057.020833333336</v>
      </c>
      <c r="K179" s="414"/>
      <c r="L179" s="414" t="s">
        <v>192</v>
      </c>
      <c r="M179" s="414" t="s">
        <v>192</v>
      </c>
      <c r="N179" s="413" t="str">
        <f t="shared" si="12"/>
        <v>DELAY ( 9 day 7 hour 30 minute )</v>
      </c>
      <c r="O179" s="51"/>
      <c r="P179" s="415" t="s">
        <v>551</v>
      </c>
      <c r="Q179" s="415" t="s">
        <v>551</v>
      </c>
      <c r="R179" s="415" t="s">
        <v>551</v>
      </c>
      <c r="S179" s="32"/>
      <c r="T179" s="416">
        <f>H179</f>
        <v>7545.357</v>
      </c>
      <c r="U179" s="416"/>
      <c r="V179" s="416"/>
      <c r="W179" s="416"/>
      <c r="X179" s="416"/>
      <c r="Y179" s="416"/>
      <c r="Z179" s="416"/>
      <c r="AA179" s="416"/>
      <c r="AB179" s="416"/>
      <c r="AC179" s="416"/>
      <c r="AD179" s="416"/>
      <c r="AE179" s="416"/>
      <c r="AF179" s="416"/>
      <c r="AG179" s="416"/>
      <c r="AH179" s="416"/>
      <c r="AI179" s="416"/>
      <c r="AJ179" s="416"/>
      <c r="AK179" s="416"/>
      <c r="AL179" s="416"/>
      <c r="AM179" s="416"/>
      <c r="AN179" s="416"/>
      <c r="AO179" s="416"/>
      <c r="AP179" s="416"/>
      <c r="AQ179" s="416"/>
      <c r="AR179" s="416"/>
      <c r="AS179" s="416"/>
      <c r="AT179" s="416"/>
      <c r="AU179" s="416"/>
      <c r="AV179" s="416"/>
      <c r="AW179" s="416"/>
      <c r="AX179" s="416"/>
      <c r="AY179" s="416"/>
      <c r="AZ179" s="32"/>
    </row>
    <row r="180" spans="2:52">
      <c r="B180" s="1254"/>
      <c r="C180" s="1255"/>
      <c r="D180" s="411" t="s">
        <v>1470</v>
      </c>
      <c r="E180" s="411"/>
      <c r="F180" s="411" t="s">
        <v>492</v>
      </c>
      <c r="G180" s="411" t="s">
        <v>493</v>
      </c>
      <c r="H180" s="412">
        <v>7513.8190000000004</v>
      </c>
      <c r="I180" s="413" t="s">
        <v>240</v>
      </c>
      <c r="J180" s="414">
        <v>45057.604166666664</v>
      </c>
      <c r="K180" s="414"/>
      <c r="L180" s="414" t="s">
        <v>192</v>
      </c>
      <c r="M180" s="414" t="s">
        <v>192</v>
      </c>
      <c r="N180" s="413" t="str">
        <f t="shared" si="12"/>
        <v>DELAY ( 9 day 21 hour 30 minute )</v>
      </c>
      <c r="O180" s="51"/>
      <c r="P180" s="415" t="s">
        <v>551</v>
      </c>
      <c r="Q180" s="415" t="s">
        <v>551</v>
      </c>
      <c r="R180" s="415" t="s">
        <v>551</v>
      </c>
      <c r="S180" s="32"/>
      <c r="T180" s="416"/>
      <c r="U180" s="416"/>
      <c r="V180" s="416"/>
      <c r="W180" s="416"/>
      <c r="X180" s="416"/>
      <c r="Y180" s="416"/>
      <c r="Z180" s="416"/>
      <c r="AA180" s="416"/>
      <c r="AB180" s="416"/>
      <c r="AC180" s="416">
        <f>H180</f>
        <v>7513.8190000000004</v>
      </c>
      <c r="AD180" s="416"/>
      <c r="AE180" s="416"/>
      <c r="AF180" s="416"/>
      <c r="AG180" s="416"/>
      <c r="AH180" s="416"/>
      <c r="AI180" s="416"/>
      <c r="AJ180" s="416"/>
      <c r="AK180" s="416"/>
      <c r="AL180" s="416"/>
      <c r="AM180" s="416"/>
      <c r="AN180" s="416"/>
      <c r="AO180" s="416"/>
      <c r="AP180" s="416"/>
      <c r="AQ180" s="416"/>
      <c r="AR180" s="416"/>
      <c r="AS180" s="416"/>
      <c r="AT180" s="416"/>
      <c r="AU180" s="416"/>
      <c r="AV180" s="416"/>
      <c r="AW180" s="416"/>
      <c r="AX180" s="416"/>
      <c r="AY180" s="416"/>
      <c r="AZ180" s="32"/>
    </row>
    <row r="181" spans="2:52">
      <c r="B181" s="1256" t="s">
        <v>548</v>
      </c>
      <c r="C181" s="1257"/>
      <c r="D181" s="411" t="s">
        <v>1471</v>
      </c>
      <c r="E181" s="411"/>
      <c r="F181" s="411" t="s">
        <v>263</v>
      </c>
      <c r="G181" s="411" t="s">
        <v>264</v>
      </c>
      <c r="H181" s="412">
        <v>7465.8190000000004</v>
      </c>
      <c r="I181" s="413" t="s">
        <v>1472</v>
      </c>
      <c r="J181" s="414">
        <v>45057.354166666664</v>
      </c>
      <c r="K181" s="414"/>
      <c r="L181" s="414" t="s">
        <v>192</v>
      </c>
      <c r="M181" s="414" t="s">
        <v>192</v>
      </c>
      <c r="N181" s="413" t="str">
        <f t="shared" si="12"/>
        <v>DELAY ( 9 day 15 hour 30 minute )</v>
      </c>
      <c r="O181" s="51"/>
      <c r="P181" s="415" t="s">
        <v>551</v>
      </c>
      <c r="Q181" s="415" t="s">
        <v>551</v>
      </c>
      <c r="R181" s="415" t="s">
        <v>551</v>
      </c>
      <c r="S181" s="32"/>
      <c r="T181" s="416"/>
      <c r="U181" s="416"/>
      <c r="V181" s="416"/>
      <c r="W181" s="416"/>
      <c r="X181" s="416"/>
      <c r="Y181" s="416"/>
      <c r="Z181" s="416"/>
      <c r="AA181" s="416"/>
      <c r="AB181" s="416">
        <f>H181*0.5</f>
        <v>3732.9095000000002</v>
      </c>
      <c r="AC181" s="416">
        <f>H181*0.5</f>
        <v>3732.9095000000002</v>
      </c>
      <c r="AD181" s="416"/>
      <c r="AE181" s="416"/>
      <c r="AF181" s="416"/>
      <c r="AG181" s="416"/>
      <c r="AH181" s="416"/>
      <c r="AI181" s="416"/>
      <c r="AJ181" s="416"/>
      <c r="AK181" s="416"/>
      <c r="AL181" s="416"/>
      <c r="AM181" s="416"/>
      <c r="AN181" s="416"/>
      <c r="AO181" s="416"/>
      <c r="AP181" s="416"/>
      <c r="AQ181" s="416"/>
      <c r="AR181" s="416"/>
      <c r="AS181" s="416"/>
      <c r="AT181" s="416"/>
      <c r="AU181" s="416"/>
      <c r="AV181" s="416"/>
      <c r="AW181" s="416"/>
      <c r="AX181" s="416"/>
      <c r="AY181" s="416"/>
      <c r="AZ181" s="32"/>
    </row>
    <row r="182" spans="2:52">
      <c r="B182" s="1256" t="s">
        <v>548</v>
      </c>
      <c r="C182" s="1257"/>
      <c r="D182" s="411" t="s">
        <v>1473</v>
      </c>
      <c r="E182" s="411"/>
      <c r="F182" s="411" t="s">
        <v>390</v>
      </c>
      <c r="G182" s="411" t="s">
        <v>391</v>
      </c>
      <c r="H182" s="412">
        <f>7503.276-3610.261</f>
        <v>3893.0149999999999</v>
      </c>
      <c r="I182" s="413" t="s">
        <v>1472</v>
      </c>
      <c r="J182" s="414">
        <v>45058.486111111109</v>
      </c>
      <c r="K182" s="414"/>
      <c r="L182" s="414" t="s">
        <v>192</v>
      </c>
      <c r="M182" s="414" t="s">
        <v>192</v>
      </c>
      <c r="N182" s="413" t="str">
        <f t="shared" si="12"/>
        <v>DELAY ( 10 day 18 hour 40 minute )</v>
      </c>
      <c r="O182" s="51"/>
      <c r="P182" s="415" t="s">
        <v>551</v>
      </c>
      <c r="Q182" s="415" t="s">
        <v>551</v>
      </c>
      <c r="R182" s="415" t="s">
        <v>551</v>
      </c>
      <c r="S182" s="32"/>
      <c r="T182" s="416"/>
      <c r="U182" s="416"/>
      <c r="V182" s="416"/>
      <c r="W182" s="416"/>
      <c r="X182" s="416"/>
      <c r="Y182" s="416"/>
      <c r="Z182" s="416"/>
      <c r="AA182" s="416"/>
      <c r="AB182" s="416">
        <f>(H182*0.5)</f>
        <v>1946.5074999999999</v>
      </c>
      <c r="AC182" s="416">
        <f>(H182*0.5)</f>
        <v>1946.5074999999999</v>
      </c>
      <c r="AD182" s="416"/>
      <c r="AE182" s="416"/>
      <c r="AF182" s="416"/>
      <c r="AG182" s="416"/>
      <c r="AH182" s="416"/>
      <c r="AI182" s="416"/>
      <c r="AJ182" s="416"/>
      <c r="AK182" s="416"/>
      <c r="AL182" s="416"/>
      <c r="AM182" s="416"/>
      <c r="AN182" s="416"/>
      <c r="AO182" s="416"/>
      <c r="AP182" s="416"/>
      <c r="AQ182" s="416"/>
      <c r="AR182" s="416"/>
      <c r="AS182" s="416"/>
      <c r="AT182" s="416"/>
      <c r="AU182" s="416"/>
      <c r="AV182" s="416"/>
      <c r="AW182" s="416"/>
      <c r="AX182" s="416"/>
      <c r="AY182" s="416"/>
      <c r="AZ182" s="32"/>
    </row>
    <row r="183" spans="2:52">
      <c r="B183" s="1258" t="s">
        <v>556</v>
      </c>
      <c r="C183" s="1259"/>
      <c r="D183" s="1259"/>
      <c r="E183" s="1259"/>
      <c r="F183" s="1259"/>
      <c r="G183" s="1260"/>
      <c r="H183" s="417">
        <f>SUM(H169:H182)</f>
        <v>76950.000000000015</v>
      </c>
      <c r="I183" s="388"/>
      <c r="J183" s="293"/>
      <c r="K183" s="293"/>
      <c r="L183" s="293"/>
      <c r="M183" s="389"/>
      <c r="N183" s="413" t="str">
        <f t="shared" si="12"/>
        <v xml:space="preserve"> </v>
      </c>
      <c r="O183" s="212"/>
      <c r="P183" s="418"/>
      <c r="Q183" s="418"/>
      <c r="R183" s="418"/>
      <c r="S183" s="207"/>
      <c r="T183" s="1262"/>
      <c r="U183" s="1263"/>
      <c r="V183" s="1263"/>
      <c r="W183" s="1263"/>
      <c r="X183" s="1263"/>
      <c r="Y183" s="1263"/>
      <c r="Z183" s="1263"/>
      <c r="AA183" s="1263"/>
      <c r="AB183" s="1263"/>
      <c r="AC183" s="1263"/>
      <c r="AD183" s="1263"/>
      <c r="AE183" s="1263"/>
      <c r="AF183" s="1263"/>
      <c r="AG183" s="1263"/>
      <c r="AH183" s="1263"/>
      <c r="AI183" s="1263"/>
      <c r="AJ183" s="1263"/>
      <c r="AK183" s="1263"/>
      <c r="AL183" s="1263"/>
      <c r="AM183" s="1263"/>
      <c r="AN183" s="1263"/>
      <c r="AO183" s="1263"/>
      <c r="AP183" s="1263"/>
      <c r="AQ183" s="1263"/>
      <c r="AR183" s="1263"/>
      <c r="AS183" s="1263"/>
      <c r="AT183" s="1263"/>
      <c r="AU183" s="1263"/>
      <c r="AV183" s="1263"/>
      <c r="AW183" s="1263"/>
      <c r="AX183" s="1263"/>
      <c r="AY183" s="1264"/>
    </row>
    <row r="184" spans="2:52">
      <c r="B184" s="1243" t="s">
        <v>557</v>
      </c>
      <c r="C184" s="1244"/>
      <c r="D184" s="1244"/>
      <c r="E184" s="1244"/>
      <c r="F184" s="1244"/>
      <c r="G184" s="1245"/>
      <c r="H184" s="419">
        <v>76950</v>
      </c>
      <c r="I184" s="1273"/>
      <c r="J184" s="1274"/>
      <c r="K184" s="1274"/>
      <c r="L184" s="1274"/>
      <c r="M184" s="1275"/>
      <c r="N184" s="413" t="str">
        <f t="shared" si="12"/>
        <v xml:space="preserve"> </v>
      </c>
      <c r="O184" s="32"/>
      <c r="P184" s="415"/>
      <c r="Q184" s="415"/>
      <c r="R184" s="415"/>
      <c r="S184" s="63"/>
      <c r="T184" s="416">
        <f>SUM(T169:T182)</f>
        <v>15051.147000000001</v>
      </c>
      <c r="U184" s="416">
        <f t="shared" ref="U184:AY184" si="13">SUM(U169:U182)</f>
        <v>0</v>
      </c>
      <c r="V184" s="416">
        <f t="shared" si="13"/>
        <v>0</v>
      </c>
      <c r="W184" s="416">
        <f t="shared" si="13"/>
        <v>0</v>
      </c>
      <c r="X184" s="416">
        <f t="shared" si="13"/>
        <v>0</v>
      </c>
      <c r="Y184" s="416">
        <f t="shared" si="13"/>
        <v>0</v>
      </c>
      <c r="Z184" s="416">
        <f t="shared" si="13"/>
        <v>0</v>
      </c>
      <c r="AA184" s="416">
        <f t="shared" si="13"/>
        <v>0</v>
      </c>
      <c r="AB184" s="416">
        <f t="shared" si="13"/>
        <v>7679.4169999654341</v>
      </c>
      <c r="AC184" s="416">
        <f t="shared" si="13"/>
        <v>41430.76000003457</v>
      </c>
      <c r="AD184" s="416">
        <f t="shared" si="13"/>
        <v>0</v>
      </c>
      <c r="AE184" s="416">
        <f t="shared" si="13"/>
        <v>0</v>
      </c>
      <c r="AF184" s="416">
        <f t="shared" si="13"/>
        <v>0</v>
      </c>
      <c r="AG184" s="416">
        <f t="shared" si="13"/>
        <v>0</v>
      </c>
      <c r="AH184" s="416">
        <f t="shared" si="13"/>
        <v>0</v>
      </c>
      <c r="AI184" s="416">
        <f t="shared" si="13"/>
        <v>0</v>
      </c>
      <c r="AJ184" s="416">
        <f t="shared" si="13"/>
        <v>0</v>
      </c>
      <c r="AK184" s="416">
        <f t="shared" si="13"/>
        <v>0</v>
      </c>
      <c r="AL184" s="416">
        <f t="shared" si="13"/>
        <v>0</v>
      </c>
      <c r="AM184" s="416">
        <f t="shared" si="13"/>
        <v>0</v>
      </c>
      <c r="AN184" s="416">
        <f t="shared" si="13"/>
        <v>0</v>
      </c>
      <c r="AO184" s="416">
        <f t="shared" si="13"/>
        <v>0</v>
      </c>
      <c r="AP184" s="416">
        <f t="shared" si="13"/>
        <v>0</v>
      </c>
      <c r="AQ184" s="416">
        <f t="shared" si="13"/>
        <v>0</v>
      </c>
      <c r="AR184" s="416">
        <f t="shared" si="13"/>
        <v>5285</v>
      </c>
      <c r="AS184" s="416">
        <f t="shared" si="13"/>
        <v>0</v>
      </c>
      <c r="AT184" s="416">
        <f t="shared" si="13"/>
        <v>0</v>
      </c>
      <c r="AU184" s="416">
        <f t="shared" si="13"/>
        <v>0</v>
      </c>
      <c r="AV184" s="416">
        <f t="shared" si="13"/>
        <v>0</v>
      </c>
      <c r="AW184" s="416">
        <f t="shared" si="13"/>
        <v>0</v>
      </c>
      <c r="AX184" s="416">
        <f t="shared" si="13"/>
        <v>0</v>
      </c>
      <c r="AY184" s="416">
        <f t="shared" si="13"/>
        <v>7503.6760000000004</v>
      </c>
      <c r="AZ184" s="416">
        <f>SUM(T184:AY184)</f>
        <v>76950.000000000015</v>
      </c>
    </row>
    <row r="185" spans="2:52">
      <c r="B185" s="1243" t="s">
        <v>558</v>
      </c>
      <c r="C185" s="1244"/>
      <c r="D185" s="1244"/>
      <c r="E185" s="1244"/>
      <c r="F185" s="1244"/>
      <c r="G185" s="1245"/>
      <c r="H185" s="420">
        <f>H184-L163</f>
        <v>0</v>
      </c>
      <c r="I185" s="294"/>
      <c r="J185" s="295"/>
      <c r="K185" s="295"/>
      <c r="L185" s="296"/>
      <c r="M185" s="32"/>
      <c r="N185" s="32"/>
      <c r="O185" s="32"/>
      <c r="P185" s="32"/>
      <c r="Q185" s="297"/>
      <c r="R185" s="297"/>
      <c r="S185" s="32"/>
      <c r="T185" s="48"/>
      <c r="U185" s="48"/>
      <c r="V185" s="48"/>
      <c r="W185" s="48"/>
      <c r="X185" s="48"/>
      <c r="Y185" s="48"/>
      <c r="Z185" s="48"/>
      <c r="AA185" s="48"/>
      <c r="AB185" s="48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</row>
    <row r="186" spans="2:52">
      <c r="B186" s="1243" t="s">
        <v>559</v>
      </c>
      <c r="C186" s="1244"/>
      <c r="D186" s="1244"/>
      <c r="E186" s="1244"/>
      <c r="F186" s="1244"/>
      <c r="G186" s="1245"/>
      <c r="H186" s="420">
        <v>3594.498</v>
      </c>
      <c r="I186" s="52"/>
      <c r="J186" s="53"/>
      <c r="K186" s="53"/>
      <c r="L186" s="54"/>
      <c r="M186" s="32"/>
      <c r="N186" s="201"/>
      <c r="O186" s="32"/>
      <c r="P186" s="32"/>
      <c r="Q186" s="32"/>
      <c r="R186" s="32"/>
      <c r="S186" s="32"/>
      <c r="T186" s="48"/>
      <c r="U186" s="48"/>
      <c r="V186" s="48"/>
      <c r="W186" s="48"/>
      <c r="X186" s="48"/>
      <c r="Y186" s="48"/>
      <c r="Z186" s="48"/>
      <c r="AA186" s="48"/>
      <c r="AB186" s="48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</row>
    <row r="187" spans="2:52">
      <c r="B187" s="1243" t="s">
        <v>560</v>
      </c>
      <c r="C187" s="1244"/>
      <c r="D187" s="1244"/>
      <c r="E187" s="1244"/>
      <c r="F187" s="1244"/>
      <c r="G187" s="1245"/>
      <c r="H187" s="421">
        <f>H186-3610.261</f>
        <v>-15.76299999999992</v>
      </c>
      <c r="I187" s="270">
        <f>I186-H186</f>
        <v>-3594.498</v>
      </c>
      <c r="J187" s="53"/>
      <c r="K187" s="53"/>
      <c r="L187" s="54"/>
      <c r="M187" s="32"/>
      <c r="N187" s="32"/>
      <c r="O187" s="32"/>
      <c r="P187" s="32"/>
      <c r="Q187" s="32"/>
      <c r="R187" s="32"/>
      <c r="S187" s="48"/>
      <c r="T187" s="48"/>
      <c r="U187" s="48"/>
      <c r="V187" s="48"/>
      <c r="W187" s="48"/>
      <c r="X187" s="48"/>
      <c r="Y187" s="48"/>
      <c r="Z187" s="48"/>
      <c r="AA187" s="48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2:52">
      <c r="B188" s="201"/>
      <c r="C188" s="201"/>
      <c r="D188" s="201"/>
      <c r="E188" s="201"/>
      <c r="F188" s="201"/>
      <c r="G188" s="201"/>
      <c r="H188" s="201"/>
      <c r="I188" s="213"/>
      <c r="J188" s="209"/>
      <c r="K188" s="209"/>
      <c r="L188" s="203"/>
      <c r="M188" s="201"/>
      <c r="N188" s="201"/>
      <c r="O188" s="209"/>
      <c r="P188" s="32"/>
      <c r="Q188" s="32"/>
      <c r="R188" s="32"/>
      <c r="S188" s="32"/>
      <c r="T188" s="48"/>
      <c r="U188" s="48"/>
      <c r="V188" s="48"/>
      <c r="W188" s="48"/>
      <c r="X188" s="48"/>
      <c r="Y188" s="48"/>
      <c r="Z188" s="48"/>
      <c r="AA188" s="48"/>
      <c r="AB188" s="48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</row>
    <row r="189" spans="2:52">
      <c r="B189" s="40" t="s">
        <v>561</v>
      </c>
      <c r="C189" s="40"/>
      <c r="D189" s="32"/>
      <c r="E189" s="32"/>
      <c r="F189" s="32"/>
      <c r="G189" s="32"/>
      <c r="H189" s="32"/>
      <c r="I189" s="32"/>
      <c r="J189" s="52"/>
      <c r="K189" s="52"/>
      <c r="L189" s="55"/>
      <c r="M189" s="32"/>
      <c r="N189" s="201"/>
      <c r="O189" s="5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1"/>
      <c r="AC189" s="201"/>
      <c r="AD189" s="201"/>
      <c r="AE189" s="201"/>
      <c r="AF189" s="201"/>
      <c r="AG189" s="201"/>
      <c r="AH189" s="201"/>
      <c r="AI189" s="201"/>
      <c r="AJ189" s="201"/>
      <c r="AK189" s="201"/>
      <c r="AL189" s="201"/>
      <c r="AM189" s="201"/>
      <c r="AN189" s="201"/>
      <c r="AO189" s="201"/>
      <c r="AP189" s="201"/>
      <c r="AQ189" s="201"/>
      <c r="AR189" s="201"/>
      <c r="AS189" s="201"/>
      <c r="AT189" s="201"/>
      <c r="AU189" s="201"/>
      <c r="AZ189" s="201"/>
    </row>
    <row r="190" spans="2:52">
      <c r="B190" s="422">
        <v>1</v>
      </c>
      <c r="C190" s="1249" t="s">
        <v>1718</v>
      </c>
      <c r="D190" s="1249"/>
      <c r="E190" s="1249"/>
      <c r="F190" s="1249"/>
      <c r="G190" s="1249"/>
      <c r="H190" s="1249"/>
      <c r="I190" s="1249"/>
      <c r="J190" s="1249"/>
      <c r="K190" s="1249"/>
      <c r="L190" s="203"/>
      <c r="M190" s="203"/>
      <c r="N190" s="201"/>
      <c r="O190" s="209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1"/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201"/>
      <c r="AR190" s="201"/>
      <c r="AS190" s="201"/>
      <c r="AT190" s="201"/>
      <c r="AU190" s="201"/>
      <c r="AV190" s="201"/>
      <c r="AW190" s="201"/>
      <c r="AX190" s="201"/>
      <c r="AY190" s="201"/>
      <c r="AZ190" s="201"/>
    </row>
    <row r="192" spans="2:52">
      <c r="B192" s="28" t="s">
        <v>126</v>
      </c>
      <c r="C192" s="28"/>
      <c r="D192" s="29"/>
      <c r="E192" s="30" t="s">
        <v>511</v>
      </c>
      <c r="F192" s="31" t="s">
        <v>1292</v>
      </c>
      <c r="G192" s="32"/>
      <c r="H192" s="33"/>
      <c r="I192" s="34"/>
      <c r="J192" s="35" t="s">
        <v>513</v>
      </c>
      <c r="K192" s="36" t="s">
        <v>511</v>
      </c>
      <c r="L192" s="37">
        <v>45058.930555555555</v>
      </c>
      <c r="M192" s="32"/>
      <c r="N192" s="32"/>
      <c r="O192" s="36"/>
      <c r="P192" s="33"/>
      <c r="Q192" s="48"/>
      <c r="R192" s="49"/>
      <c r="S192" s="38"/>
      <c r="T192" s="32"/>
      <c r="U192" s="32"/>
      <c r="V192" s="32"/>
      <c r="W192" s="32"/>
      <c r="X192" s="32"/>
      <c r="Y192" s="32"/>
      <c r="Z192" s="32"/>
      <c r="AA192" s="32"/>
      <c r="AB192" s="48"/>
      <c r="AC192" s="48"/>
      <c r="AD192" s="48"/>
      <c r="AE192" s="48"/>
      <c r="AF192" s="48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</row>
    <row r="193" spans="2:52">
      <c r="B193" s="35" t="s">
        <v>514</v>
      </c>
      <c r="C193" s="35"/>
      <c r="D193" s="32"/>
      <c r="E193" s="36" t="s">
        <v>511</v>
      </c>
      <c r="F193" s="37" t="s">
        <v>1719</v>
      </c>
      <c r="G193" s="32"/>
      <c r="H193" s="33"/>
      <c r="I193" s="34"/>
      <c r="J193" s="35" t="s">
        <v>516</v>
      </c>
      <c r="K193" s="36" t="s">
        <v>511</v>
      </c>
      <c r="L193" s="37">
        <v>45060.875</v>
      </c>
      <c r="M193" s="32"/>
      <c r="N193" s="32"/>
      <c r="O193" s="36"/>
      <c r="P193" s="33"/>
      <c r="Q193" s="48"/>
      <c r="R193" s="49"/>
      <c r="S193" s="38"/>
      <c r="T193" s="32"/>
      <c r="U193" s="32"/>
      <c r="V193" s="32"/>
      <c r="W193" s="32"/>
      <c r="X193" s="32"/>
      <c r="Y193" s="32"/>
      <c r="Z193" s="32"/>
      <c r="AA193" s="32"/>
      <c r="AB193" s="48"/>
      <c r="AC193" s="48"/>
      <c r="AD193" s="48"/>
      <c r="AE193" s="48"/>
      <c r="AF193" s="48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</row>
    <row r="194" spans="2:52">
      <c r="B194" s="35" t="s">
        <v>517</v>
      </c>
      <c r="C194" s="35"/>
      <c r="D194" s="32"/>
      <c r="E194" s="36" t="s">
        <v>511</v>
      </c>
      <c r="F194" s="37">
        <v>45051.3125</v>
      </c>
      <c r="G194" s="32"/>
      <c r="H194" s="33"/>
      <c r="I194" s="34"/>
      <c r="J194" s="35" t="s">
        <v>518</v>
      </c>
      <c r="K194" s="36" t="s">
        <v>511</v>
      </c>
      <c r="L194" s="50">
        <v>73577</v>
      </c>
      <c r="M194" s="40" t="s">
        <v>519</v>
      </c>
      <c r="N194" s="40"/>
      <c r="O194" s="36"/>
      <c r="P194" s="33"/>
      <c r="Q194" s="48"/>
      <c r="R194" s="49"/>
      <c r="S194" s="38"/>
      <c r="T194" s="32"/>
      <c r="U194" s="32"/>
      <c r="V194" s="32"/>
      <c r="W194" s="32"/>
      <c r="X194" s="32"/>
      <c r="Y194" s="32"/>
      <c r="Z194" s="32"/>
      <c r="AA194" s="32"/>
      <c r="AB194" s="48"/>
      <c r="AC194" s="48"/>
      <c r="AD194" s="48"/>
      <c r="AE194" s="48"/>
      <c r="AF194" s="48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</row>
    <row r="195" spans="2:52">
      <c r="B195" s="35" t="s">
        <v>520</v>
      </c>
      <c r="C195" s="35"/>
      <c r="D195" s="32"/>
      <c r="E195" s="36" t="s">
        <v>511</v>
      </c>
      <c r="F195" s="37" t="s">
        <v>4</v>
      </c>
      <c r="G195" s="32"/>
      <c r="H195" s="33"/>
      <c r="I195" s="34"/>
      <c r="J195" s="35" t="s">
        <v>521</v>
      </c>
      <c r="K195" s="36" t="s">
        <v>511</v>
      </c>
      <c r="L195" s="41" t="s">
        <v>1720</v>
      </c>
      <c r="M195" s="32"/>
      <c r="N195" s="32"/>
      <c r="O195" s="36"/>
      <c r="P195" s="48"/>
      <c r="Q195" s="48"/>
      <c r="R195" s="49"/>
      <c r="S195" s="38"/>
      <c r="T195" s="32"/>
      <c r="U195" s="32"/>
      <c r="V195" s="32"/>
      <c r="W195" s="32"/>
      <c r="X195" s="32"/>
      <c r="Y195" s="32"/>
      <c r="Z195" s="32"/>
      <c r="AA195" s="32"/>
      <c r="AB195" s="48"/>
      <c r="AC195" s="48"/>
      <c r="AD195" s="48"/>
      <c r="AE195" s="48"/>
      <c r="AF195" s="48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</row>
    <row r="196" spans="2:52">
      <c r="B196" s="35" t="s">
        <v>523</v>
      </c>
      <c r="C196" s="35"/>
      <c r="D196" s="32"/>
      <c r="E196" s="36" t="s">
        <v>511</v>
      </c>
      <c r="F196" s="37" t="s">
        <v>5</v>
      </c>
      <c r="G196" s="32"/>
      <c r="H196" s="33"/>
      <c r="I196" s="34"/>
      <c r="J196" s="42" t="s">
        <v>524</v>
      </c>
      <c r="K196" s="36" t="s">
        <v>511</v>
      </c>
      <c r="L196" s="43" t="s">
        <v>15</v>
      </c>
      <c r="M196" s="44"/>
      <c r="N196" s="44"/>
      <c r="O196" s="36"/>
      <c r="P196" s="33"/>
      <c r="Q196" s="48"/>
      <c r="R196" s="49"/>
      <c r="S196" s="38"/>
      <c r="T196" s="32"/>
      <c r="U196" s="32"/>
      <c r="V196" s="32"/>
      <c r="W196" s="32"/>
      <c r="X196" s="32"/>
      <c r="Y196" s="32"/>
      <c r="Z196" s="32"/>
      <c r="AA196" s="32"/>
      <c r="AB196" s="48"/>
      <c r="AC196" s="48"/>
      <c r="AD196" s="48"/>
      <c r="AE196" s="48"/>
      <c r="AF196" s="48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</row>
    <row r="197" spans="2:52">
      <c r="B197" s="35" t="s">
        <v>2</v>
      </c>
      <c r="C197" s="35"/>
      <c r="D197" s="32"/>
      <c r="E197" s="36" t="s">
        <v>511</v>
      </c>
      <c r="F197" s="37" t="s">
        <v>6</v>
      </c>
      <c r="G197" s="32"/>
      <c r="H197" s="33"/>
      <c r="I197" s="45"/>
      <c r="J197" s="42"/>
      <c r="K197" s="36"/>
      <c r="L197" s="37"/>
      <c r="M197" s="32"/>
      <c r="N197" s="32"/>
      <c r="O197" s="42"/>
      <c r="P197" s="44"/>
      <c r="Q197" s="44"/>
      <c r="R197" s="44"/>
      <c r="S197" s="34"/>
      <c r="T197" s="32"/>
      <c r="U197" s="32"/>
      <c r="V197" s="32"/>
      <c r="W197" s="32"/>
      <c r="X197" s="32"/>
      <c r="Y197" s="32"/>
      <c r="Z197" s="32"/>
      <c r="AA197" s="32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</row>
    <row r="198" spans="2:52">
      <c r="B198" s="32"/>
      <c r="C198" s="32"/>
      <c r="D198" s="32"/>
      <c r="E198" s="32"/>
      <c r="F198" s="32"/>
      <c r="G198" s="32"/>
      <c r="H198" s="32"/>
      <c r="I198" s="45"/>
      <c r="J198" s="42"/>
      <c r="K198" s="42"/>
      <c r="L198" s="43"/>
      <c r="M198" s="44"/>
      <c r="N198" s="44"/>
      <c r="O198" s="42"/>
      <c r="P198" s="44"/>
      <c r="Q198" s="44"/>
      <c r="R198" s="44"/>
      <c r="S198" s="34"/>
      <c r="T198" s="1270" t="s">
        <v>87</v>
      </c>
      <c r="U198" s="1270"/>
      <c r="V198" s="1270"/>
      <c r="W198" s="1270"/>
      <c r="X198" s="1270"/>
      <c r="Y198" s="1270" t="s">
        <v>73</v>
      </c>
      <c r="Z198" s="1270"/>
      <c r="AA198" s="1270"/>
      <c r="AB198" s="1270" t="s">
        <v>74</v>
      </c>
      <c r="AC198" s="1270"/>
      <c r="AD198" s="407" t="s">
        <v>85</v>
      </c>
      <c r="AE198" s="407" t="s">
        <v>77</v>
      </c>
      <c r="AF198" s="1270" t="s">
        <v>525</v>
      </c>
      <c r="AG198" s="1270"/>
      <c r="AH198" s="1270"/>
      <c r="AI198" s="1270"/>
      <c r="AJ198" s="1270"/>
      <c r="AK198" s="1270"/>
      <c r="AL198" s="1270"/>
      <c r="AM198" s="1270"/>
      <c r="AN198" s="1270"/>
      <c r="AO198" s="1270"/>
      <c r="AP198" s="1270"/>
      <c r="AQ198" s="1270"/>
      <c r="AR198" s="1270"/>
      <c r="AS198" s="1270"/>
      <c r="AT198" s="1270"/>
      <c r="AU198" s="1270"/>
      <c r="AV198" s="1270"/>
      <c r="AW198" s="1270"/>
      <c r="AX198" s="1270"/>
      <c r="AY198" s="1270"/>
      <c r="AZ198" s="32"/>
    </row>
    <row r="199" spans="2:52">
      <c r="B199" s="1266" t="s">
        <v>526</v>
      </c>
      <c r="C199" s="1267"/>
      <c r="D199" s="570" t="s">
        <v>527</v>
      </c>
      <c r="E199" s="570"/>
      <c r="F199" s="570" t="s">
        <v>528</v>
      </c>
      <c r="G199" s="570" t="s">
        <v>529</v>
      </c>
      <c r="H199" s="570" t="s">
        <v>530</v>
      </c>
      <c r="I199" s="570" t="s">
        <v>531</v>
      </c>
      <c r="J199" s="570" t="s">
        <v>532</v>
      </c>
      <c r="K199" s="570"/>
      <c r="L199" s="570" t="s">
        <v>130</v>
      </c>
      <c r="M199" s="570" t="s">
        <v>533</v>
      </c>
      <c r="N199" s="408" t="str">
        <f>"On time - "&amp;COUNTIF(N200:N226,"On time")&amp;" from "&amp;ROWS(N200:N226)-COUNTIF(N200:N226," ")</f>
        <v>On time - 4 from 12</v>
      </c>
      <c r="O199" s="46"/>
      <c r="P199" s="409" t="s">
        <v>534</v>
      </c>
      <c r="Q199" s="409" t="s">
        <v>535</v>
      </c>
      <c r="R199" s="409" t="s">
        <v>536</v>
      </c>
      <c r="S199" s="32"/>
      <c r="T199" s="410" t="s">
        <v>537</v>
      </c>
      <c r="U199" s="410" t="s">
        <v>538</v>
      </c>
      <c r="V199" s="410" t="s">
        <v>539</v>
      </c>
      <c r="W199" s="410" t="s">
        <v>540</v>
      </c>
      <c r="X199" s="410" t="s">
        <v>541</v>
      </c>
      <c r="Y199" s="410" t="s">
        <v>167</v>
      </c>
      <c r="Z199" s="410" t="s">
        <v>168</v>
      </c>
      <c r="AA199" s="410" t="s">
        <v>169</v>
      </c>
      <c r="AB199" s="410" t="s">
        <v>235</v>
      </c>
      <c r="AC199" s="410" t="s">
        <v>240</v>
      </c>
      <c r="AD199" s="407" t="s">
        <v>85</v>
      </c>
      <c r="AE199" s="410" t="s">
        <v>139</v>
      </c>
      <c r="AF199" s="410" t="s">
        <v>72</v>
      </c>
      <c r="AG199" s="410" t="s">
        <v>88</v>
      </c>
      <c r="AH199" s="410" t="s">
        <v>75</v>
      </c>
      <c r="AI199" s="410" t="s">
        <v>543</v>
      </c>
      <c r="AJ199" s="410" t="s">
        <v>78</v>
      </c>
      <c r="AK199" s="410" t="s">
        <v>76</v>
      </c>
      <c r="AL199" s="410" t="s">
        <v>544</v>
      </c>
      <c r="AM199" s="410" t="s">
        <v>545</v>
      </c>
      <c r="AN199" s="410" t="s">
        <v>86</v>
      </c>
      <c r="AO199" s="410" t="s">
        <v>83</v>
      </c>
      <c r="AP199" s="410" t="s">
        <v>84</v>
      </c>
      <c r="AQ199" s="410" t="s">
        <v>546</v>
      </c>
      <c r="AR199" s="410" t="s">
        <v>81</v>
      </c>
      <c r="AS199" s="410" t="s">
        <v>80</v>
      </c>
      <c r="AT199" s="410" t="s">
        <v>82</v>
      </c>
      <c r="AU199" s="410" t="s">
        <v>181</v>
      </c>
      <c r="AV199" s="410" t="s">
        <v>183</v>
      </c>
      <c r="AW199" s="410" t="s">
        <v>547</v>
      </c>
      <c r="AX199" s="410" t="s">
        <v>182</v>
      </c>
      <c r="AY199" s="410" t="s">
        <v>172</v>
      </c>
      <c r="AZ199" s="32"/>
    </row>
    <row r="200" spans="2:52">
      <c r="B200" s="1256" t="s">
        <v>616</v>
      </c>
      <c r="C200" s="1257"/>
      <c r="D200" s="411" t="s">
        <v>1567</v>
      </c>
      <c r="E200" s="411"/>
      <c r="F200" s="411" t="s">
        <v>288</v>
      </c>
      <c r="G200" s="411" t="s">
        <v>289</v>
      </c>
      <c r="H200" s="412">
        <v>7528.1589999999997</v>
      </c>
      <c r="I200" s="413" t="s">
        <v>611</v>
      </c>
      <c r="J200" s="414">
        <v>45052.25</v>
      </c>
      <c r="K200" s="414"/>
      <c r="L200" s="414" t="s">
        <v>192</v>
      </c>
      <c r="M200" s="414" t="s">
        <v>192</v>
      </c>
      <c r="N200" s="413" t="str">
        <f>IF(ISBLANK(J200)," ",IF(J200&lt;$F$194,"On time",(IF(DAY(J200-$F$194)&lt;1,"On time",(IF(J200&gt;$F$194,"DELAY ( "&amp;DAY(J200-$F$194)&amp;" day "&amp;HOUR(J200-$F$194)&amp;" hour "&amp;MINUTE(J200-$F$194)&amp;" minute )","xxx"))))))</f>
        <v>On time</v>
      </c>
      <c r="O200" s="51"/>
      <c r="P200" s="415" t="s">
        <v>551</v>
      </c>
      <c r="Q200" s="415" t="s">
        <v>551</v>
      </c>
      <c r="R200" s="415" t="s">
        <v>551</v>
      </c>
      <c r="S200" s="32"/>
      <c r="T200" s="416">
        <f>H200</f>
        <v>7528.1589999999997</v>
      </c>
      <c r="U200" s="416"/>
      <c r="V200" s="416"/>
      <c r="W200" s="416"/>
      <c r="X200" s="416"/>
      <c r="Y200" s="416"/>
      <c r="Z200" s="416"/>
      <c r="AA200" s="416"/>
      <c r="AB200" s="416"/>
      <c r="AC200" s="416"/>
      <c r="AD200" s="416"/>
      <c r="AE200" s="416"/>
      <c r="AF200" s="416"/>
      <c r="AG200" s="416"/>
      <c r="AH200" s="416"/>
      <c r="AI200" s="416"/>
      <c r="AJ200" s="416"/>
      <c r="AK200" s="416"/>
      <c r="AL200" s="416"/>
      <c r="AM200" s="416"/>
      <c r="AN200" s="416"/>
      <c r="AO200" s="416"/>
      <c r="AP200" s="416"/>
      <c r="AQ200" s="416"/>
      <c r="AR200" s="416"/>
      <c r="AS200" s="416"/>
      <c r="AT200" s="416"/>
      <c r="AU200" s="416"/>
      <c r="AV200" s="416"/>
      <c r="AW200" s="416"/>
      <c r="AX200" s="416"/>
      <c r="AY200" s="416"/>
      <c r="AZ200" s="32"/>
    </row>
    <row r="201" spans="2:52">
      <c r="B201" s="1256" t="s">
        <v>616</v>
      </c>
      <c r="C201" s="1257"/>
      <c r="D201" s="411" t="s">
        <v>1568</v>
      </c>
      <c r="E201" s="411"/>
      <c r="F201" s="411" t="s">
        <v>343</v>
      </c>
      <c r="G201" s="411" t="s">
        <v>344</v>
      </c>
      <c r="H201" s="412">
        <v>7512.9160000000002</v>
      </c>
      <c r="I201" s="413" t="s">
        <v>611</v>
      </c>
      <c r="J201" s="414">
        <v>45052.277777777781</v>
      </c>
      <c r="K201" s="414"/>
      <c r="L201" s="414" t="s">
        <v>192</v>
      </c>
      <c r="M201" s="414" t="s">
        <v>192</v>
      </c>
      <c r="N201" s="413" t="str">
        <f t="shared" ref="N201:N229" si="14">IF(ISBLANK(J201)," ",IF(J201&lt;$F$194,"On time",(IF(DAY(J201-$F$194)&lt;1,"On time",(IF(J201&gt;$F$194,"DELAY ( "&amp;DAY(J201-$F$194)&amp;" day "&amp;HOUR(J201-$F$194)&amp;" hour "&amp;MINUTE(J201-$F$194)&amp;" minute )","xxx"))))))</f>
        <v>On time</v>
      </c>
      <c r="O201" s="51"/>
      <c r="P201" s="415" t="s">
        <v>551</v>
      </c>
      <c r="Q201" s="415" t="s">
        <v>551</v>
      </c>
      <c r="R201" s="415" t="s">
        <v>551</v>
      </c>
      <c r="S201" s="32"/>
      <c r="T201" s="416">
        <f>H201</f>
        <v>7512.9160000000002</v>
      </c>
      <c r="U201" s="416"/>
      <c r="V201" s="416"/>
      <c r="W201" s="416"/>
      <c r="X201" s="416"/>
      <c r="Y201" s="416"/>
      <c r="Z201" s="416"/>
      <c r="AA201" s="416"/>
      <c r="AB201" s="416"/>
      <c r="AC201" s="416"/>
      <c r="AD201" s="416"/>
      <c r="AE201" s="416"/>
      <c r="AF201" s="416"/>
      <c r="AG201" s="416"/>
      <c r="AH201" s="416"/>
      <c r="AI201" s="416"/>
      <c r="AJ201" s="416"/>
      <c r="AK201" s="416"/>
      <c r="AL201" s="416"/>
      <c r="AM201" s="416"/>
      <c r="AN201" s="416"/>
      <c r="AO201" s="416"/>
      <c r="AP201" s="416"/>
      <c r="AQ201" s="416"/>
      <c r="AR201" s="416"/>
      <c r="AS201" s="416"/>
      <c r="AT201" s="416"/>
      <c r="AU201" s="416"/>
      <c r="AV201" s="416"/>
      <c r="AW201" s="416"/>
      <c r="AX201" s="416"/>
      <c r="AY201" s="416"/>
      <c r="AZ201" s="32"/>
    </row>
    <row r="202" spans="2:52">
      <c r="B202" s="1256" t="s">
        <v>668</v>
      </c>
      <c r="C202" s="1257"/>
      <c r="D202" s="411" t="s">
        <v>1605</v>
      </c>
      <c r="E202" s="411"/>
      <c r="F202" s="411" t="s">
        <v>374</v>
      </c>
      <c r="G202" s="411" t="s">
        <v>375</v>
      </c>
      <c r="H202" s="412">
        <v>7550.2250000000004</v>
      </c>
      <c r="I202" s="413" t="s">
        <v>172</v>
      </c>
      <c r="J202" s="414">
        <v>45054.444444444445</v>
      </c>
      <c r="K202" s="414"/>
      <c r="L202" s="414" t="s">
        <v>192</v>
      </c>
      <c r="M202" s="414" t="s">
        <v>192</v>
      </c>
      <c r="N202" s="413" t="str">
        <f t="shared" si="14"/>
        <v>DELAY ( 3 day 3 hour 10 minute )</v>
      </c>
      <c r="O202" s="51"/>
      <c r="P202" s="415" t="s">
        <v>551</v>
      </c>
      <c r="Q202" s="415" t="s">
        <v>551</v>
      </c>
      <c r="R202" s="415" t="s">
        <v>551</v>
      </c>
      <c r="S202" s="32"/>
      <c r="T202" s="416"/>
      <c r="U202" s="416"/>
      <c r="V202" s="416"/>
      <c r="W202" s="416"/>
      <c r="X202" s="416"/>
      <c r="Y202" s="416"/>
      <c r="Z202" s="416"/>
      <c r="AA202" s="416"/>
      <c r="AB202" s="32"/>
      <c r="AC202" s="416"/>
      <c r="AD202" s="416"/>
      <c r="AE202" s="416"/>
      <c r="AF202" s="416"/>
      <c r="AG202" s="416"/>
      <c r="AH202" s="416"/>
      <c r="AI202" s="416"/>
      <c r="AJ202" s="416"/>
      <c r="AK202" s="416"/>
      <c r="AL202" s="416"/>
      <c r="AM202" s="416"/>
      <c r="AN202" s="416"/>
      <c r="AO202" s="416"/>
      <c r="AP202" s="416"/>
      <c r="AQ202" s="416"/>
      <c r="AR202" s="416"/>
      <c r="AS202" s="416"/>
      <c r="AT202" s="416"/>
      <c r="AU202" s="416"/>
      <c r="AV202" s="32"/>
      <c r="AW202" s="416"/>
      <c r="AX202" s="416"/>
      <c r="AY202" s="416">
        <f>H202</f>
        <v>7550.2250000000004</v>
      </c>
      <c r="AZ202" s="32"/>
    </row>
    <row r="203" spans="2:52">
      <c r="B203" s="1258" t="s">
        <v>1721</v>
      </c>
      <c r="C203" s="1259"/>
      <c r="D203" s="1259"/>
      <c r="E203" s="1259"/>
      <c r="F203" s="1259"/>
      <c r="G203" s="1260"/>
      <c r="H203" s="417">
        <f>SUM(H200:H202)</f>
        <v>22591.300000000003</v>
      </c>
      <c r="I203" s="388"/>
      <c r="J203" s="293"/>
      <c r="K203" s="293"/>
      <c r="L203" s="293"/>
      <c r="M203" s="389"/>
      <c r="N203" s="413" t="str">
        <f t="shared" si="14"/>
        <v xml:space="preserve"> </v>
      </c>
      <c r="O203" s="47"/>
      <c r="P203" s="418"/>
      <c r="Q203" s="418"/>
      <c r="R203" s="418"/>
      <c r="S203" s="32"/>
      <c r="T203" s="1262"/>
      <c r="U203" s="1263"/>
      <c r="V203" s="1263"/>
      <c r="W203" s="1263"/>
      <c r="X203" s="1263"/>
      <c r="Y203" s="1263"/>
      <c r="Z203" s="1263"/>
      <c r="AA203" s="1263"/>
      <c r="AB203" s="1263"/>
      <c r="AC203" s="1263"/>
      <c r="AD203" s="1263"/>
      <c r="AE203" s="1263"/>
      <c r="AF203" s="1263"/>
      <c r="AG203" s="1263"/>
      <c r="AH203" s="1263"/>
      <c r="AI203" s="1263"/>
      <c r="AJ203" s="1263"/>
      <c r="AK203" s="1263"/>
      <c r="AL203" s="1263"/>
      <c r="AM203" s="1263"/>
      <c r="AN203" s="1263"/>
      <c r="AO203" s="1263"/>
      <c r="AP203" s="1263"/>
      <c r="AQ203" s="1263"/>
      <c r="AR203" s="1263"/>
      <c r="AS203" s="1263"/>
      <c r="AT203" s="1263"/>
      <c r="AU203" s="1263"/>
      <c r="AV203" s="1263"/>
      <c r="AW203" s="1263"/>
      <c r="AX203" s="1263"/>
      <c r="AY203" s="1264"/>
    </row>
    <row r="204" spans="2:52">
      <c r="B204" s="1250" t="s">
        <v>619</v>
      </c>
      <c r="C204" s="1251"/>
      <c r="D204" s="411" t="s">
        <v>1396</v>
      </c>
      <c r="E204" s="411"/>
      <c r="F204" s="411" t="s">
        <v>284</v>
      </c>
      <c r="G204" s="411" t="s">
        <v>285</v>
      </c>
      <c r="H204" s="412">
        <v>864</v>
      </c>
      <c r="I204" s="413" t="s">
        <v>1397</v>
      </c>
      <c r="J204" s="414">
        <v>45049.548611111109</v>
      </c>
      <c r="K204" s="414"/>
      <c r="L204" s="414" t="s">
        <v>192</v>
      </c>
      <c r="M204" s="414" t="s">
        <v>192</v>
      </c>
      <c r="N204" s="413" t="str">
        <f t="shared" si="14"/>
        <v>On time</v>
      </c>
      <c r="O204" s="51"/>
      <c r="P204" s="415" t="s">
        <v>551</v>
      </c>
      <c r="Q204" s="415" t="s">
        <v>551</v>
      </c>
      <c r="R204" s="415" t="s">
        <v>551</v>
      </c>
      <c r="S204" s="32"/>
      <c r="T204" s="416"/>
      <c r="U204" s="416"/>
      <c r="V204" s="416"/>
      <c r="W204" s="416"/>
      <c r="X204" s="416"/>
      <c r="Y204" s="416">
        <f>(H204*0.6)</f>
        <v>518.4</v>
      </c>
      <c r="Z204" s="416">
        <f>(H204*0.4)</f>
        <v>345.6</v>
      </c>
      <c r="AA204" s="416"/>
      <c r="AB204" s="416"/>
      <c r="AC204" s="416"/>
      <c r="AD204" s="416"/>
      <c r="AE204" s="416"/>
      <c r="AF204" s="416"/>
      <c r="AG204" s="416"/>
      <c r="AH204" s="416"/>
      <c r="AI204" s="416"/>
      <c r="AJ204" s="416"/>
      <c r="AK204" s="416"/>
      <c r="AL204" s="416"/>
      <c r="AM204" s="416"/>
      <c r="AN204" s="416"/>
      <c r="AO204" s="416"/>
      <c r="AP204" s="416"/>
      <c r="AQ204" s="416"/>
      <c r="AR204" s="416"/>
      <c r="AS204" s="416"/>
      <c r="AT204" s="416"/>
      <c r="AU204" s="416"/>
      <c r="AV204" s="416"/>
      <c r="AW204" s="416"/>
      <c r="AX204" s="416"/>
      <c r="AY204" s="416"/>
      <c r="AZ204" s="32"/>
    </row>
    <row r="205" spans="2:52">
      <c r="B205" s="1252"/>
      <c r="C205" s="1253"/>
      <c r="D205" s="411"/>
      <c r="E205" s="411"/>
      <c r="F205" s="1256" t="s">
        <v>668</v>
      </c>
      <c r="G205" s="1257"/>
      <c r="H205" s="412">
        <v>1000</v>
      </c>
      <c r="I205" s="413"/>
      <c r="J205" s="414"/>
      <c r="K205" s="414"/>
      <c r="L205" s="414"/>
      <c r="M205" s="414"/>
      <c r="N205" s="413" t="str">
        <f t="shared" si="14"/>
        <v xml:space="preserve"> </v>
      </c>
      <c r="O205" s="51"/>
      <c r="P205" s="415"/>
      <c r="Q205" s="415"/>
      <c r="R205" s="415"/>
      <c r="S205" s="32"/>
      <c r="T205" s="416"/>
      <c r="U205" s="416"/>
      <c r="V205" s="416"/>
      <c r="W205" s="416"/>
      <c r="X205" s="416"/>
      <c r="Y205" s="416"/>
      <c r="Z205" s="416"/>
      <c r="AA205" s="416"/>
      <c r="AB205" s="416"/>
      <c r="AC205" s="416"/>
      <c r="AD205" s="416"/>
      <c r="AE205" s="416"/>
      <c r="AF205" s="416"/>
      <c r="AG205" s="416"/>
      <c r="AH205" s="416"/>
      <c r="AI205" s="416"/>
      <c r="AJ205" s="416"/>
      <c r="AK205" s="416"/>
      <c r="AL205" s="416"/>
      <c r="AM205" s="416"/>
      <c r="AN205" s="416"/>
      <c r="AO205" s="416"/>
      <c r="AP205" s="416"/>
      <c r="AQ205" s="416"/>
      <c r="AR205" s="416"/>
      <c r="AS205" s="416"/>
      <c r="AT205" s="416"/>
      <c r="AU205" s="416"/>
      <c r="AV205" s="416"/>
      <c r="AW205" s="416"/>
      <c r="AX205" s="416"/>
      <c r="AY205" s="416"/>
      <c r="AZ205" s="32"/>
    </row>
    <row r="206" spans="2:52">
      <c r="B206" s="1254"/>
      <c r="C206" s="1255"/>
      <c r="D206" s="411"/>
      <c r="E206" s="411"/>
      <c r="F206" s="1256" t="s">
        <v>616</v>
      </c>
      <c r="G206" s="1257"/>
      <c r="H206" s="412">
        <v>1500</v>
      </c>
      <c r="I206" s="413"/>
      <c r="J206" s="414"/>
      <c r="K206" s="414"/>
      <c r="L206" s="414"/>
      <c r="M206" s="414"/>
      <c r="N206" s="413" t="str">
        <f t="shared" si="14"/>
        <v xml:space="preserve"> </v>
      </c>
      <c r="O206" s="51"/>
      <c r="P206" s="415"/>
      <c r="Q206" s="415"/>
      <c r="R206" s="415"/>
      <c r="S206" s="32"/>
      <c r="T206" s="416"/>
      <c r="U206" s="416"/>
      <c r="V206" s="416"/>
      <c r="W206" s="416"/>
      <c r="X206" s="416"/>
      <c r="Y206" s="416"/>
      <c r="Z206" s="416"/>
      <c r="AA206" s="416"/>
      <c r="AB206" s="416"/>
      <c r="AC206" s="416"/>
      <c r="AD206" s="416"/>
      <c r="AE206" s="416"/>
      <c r="AF206" s="416"/>
      <c r="AG206" s="416"/>
      <c r="AH206" s="416"/>
      <c r="AI206" s="416"/>
      <c r="AJ206" s="416"/>
      <c r="AK206" s="416"/>
      <c r="AL206" s="416"/>
      <c r="AM206" s="416"/>
      <c r="AN206" s="416"/>
      <c r="AO206" s="416"/>
      <c r="AP206" s="416"/>
      <c r="AQ206" s="416"/>
      <c r="AR206" s="416"/>
      <c r="AS206" s="416"/>
      <c r="AT206" s="416"/>
      <c r="AU206" s="416"/>
      <c r="AV206" s="416"/>
      <c r="AW206" s="416"/>
      <c r="AX206" s="416"/>
      <c r="AY206" s="416"/>
      <c r="AZ206" s="32"/>
    </row>
    <row r="207" spans="2:52">
      <c r="B207" s="1256" t="s">
        <v>621</v>
      </c>
      <c r="C207" s="1257"/>
      <c r="D207" s="411" t="s">
        <v>1291</v>
      </c>
      <c r="E207" s="411"/>
      <c r="F207" s="411" t="s">
        <v>371</v>
      </c>
      <c r="G207" s="411" t="s">
        <v>372</v>
      </c>
      <c r="H207" s="412">
        <v>1068.8050000000001</v>
      </c>
      <c r="I207" s="413" t="s">
        <v>235</v>
      </c>
      <c r="J207" s="414">
        <v>45050.333333333336</v>
      </c>
      <c r="K207" s="414"/>
      <c r="L207" s="414" t="s">
        <v>192</v>
      </c>
      <c r="M207" s="414" t="s">
        <v>192</v>
      </c>
      <c r="N207" s="413" t="str">
        <f t="shared" si="14"/>
        <v>On time</v>
      </c>
      <c r="O207" s="51"/>
      <c r="P207" s="415" t="s">
        <v>551</v>
      </c>
      <c r="Q207" s="415" t="s">
        <v>551</v>
      </c>
      <c r="R207" s="415" t="s">
        <v>551</v>
      </c>
      <c r="S207" s="32"/>
      <c r="T207" s="416"/>
      <c r="U207" s="416"/>
      <c r="V207" s="416"/>
      <c r="W207" s="416"/>
      <c r="X207" s="416"/>
      <c r="Y207" s="416"/>
      <c r="Z207" s="416"/>
      <c r="AA207" s="416"/>
      <c r="AB207" s="416">
        <f>H207</f>
        <v>1068.8050000000001</v>
      </c>
      <c r="AC207" s="416"/>
      <c r="AD207" s="416"/>
      <c r="AE207" s="416"/>
      <c r="AF207" s="416"/>
      <c r="AG207" s="416"/>
      <c r="AH207" s="416"/>
      <c r="AI207" s="416"/>
      <c r="AJ207" s="416"/>
      <c r="AK207" s="416"/>
      <c r="AL207" s="416"/>
      <c r="AM207" s="416"/>
      <c r="AN207" s="416"/>
      <c r="AO207" s="416"/>
      <c r="AP207" s="416"/>
      <c r="AQ207" s="416"/>
      <c r="AR207" s="416"/>
      <c r="AS207" s="416"/>
      <c r="AT207" s="416"/>
      <c r="AU207" s="416"/>
      <c r="AV207" s="416"/>
      <c r="AW207" s="416"/>
      <c r="AX207" s="416"/>
      <c r="AY207" s="416"/>
      <c r="AZ207" s="32"/>
    </row>
    <row r="208" spans="2:52">
      <c r="B208" s="1250" t="s">
        <v>622</v>
      </c>
      <c r="C208" s="1251"/>
      <c r="D208" s="411" t="s">
        <v>1454</v>
      </c>
      <c r="E208" s="411"/>
      <c r="F208" s="411" t="s">
        <v>380</v>
      </c>
      <c r="G208" s="411" t="s">
        <v>381</v>
      </c>
      <c r="H208" s="412">
        <v>7719.3220000000001</v>
      </c>
      <c r="I208" s="413" t="s">
        <v>1455</v>
      </c>
      <c r="J208" s="414">
        <v>45054.489583333336</v>
      </c>
      <c r="K208" s="414"/>
      <c r="L208" s="414" t="s">
        <v>192</v>
      </c>
      <c r="M208" s="414" t="s">
        <v>192</v>
      </c>
      <c r="N208" s="413" t="str">
        <f t="shared" si="14"/>
        <v>DELAY ( 3 day 4 hour 15 minute )</v>
      </c>
      <c r="O208" s="51"/>
      <c r="P208" s="415" t="s">
        <v>551</v>
      </c>
      <c r="Q208" s="415" t="s">
        <v>551</v>
      </c>
      <c r="R208" s="415" t="s">
        <v>551</v>
      </c>
      <c r="S208" s="32"/>
      <c r="T208" s="416"/>
      <c r="U208" s="416"/>
      <c r="V208" s="416"/>
      <c r="W208" s="416"/>
      <c r="X208" s="416"/>
      <c r="Y208" s="416"/>
      <c r="Z208" s="416"/>
      <c r="AA208" s="416"/>
      <c r="AB208" s="416">
        <f>H208*0.6</f>
        <v>4631.5932000000003</v>
      </c>
      <c r="AC208" s="416">
        <f>H208*0.4</f>
        <v>3087.7288000000003</v>
      </c>
      <c r="AD208" s="416"/>
      <c r="AE208" s="416"/>
      <c r="AF208" s="416"/>
      <c r="AG208" s="416"/>
      <c r="AH208" s="416"/>
      <c r="AI208" s="416"/>
      <c r="AJ208" s="416"/>
      <c r="AK208" s="416"/>
      <c r="AL208" s="416"/>
      <c r="AM208" s="416"/>
      <c r="AN208" s="416"/>
      <c r="AO208" s="416"/>
      <c r="AP208" s="416"/>
      <c r="AQ208" s="416"/>
      <c r="AR208" s="416"/>
      <c r="AS208" s="416"/>
      <c r="AT208" s="416"/>
      <c r="AU208" s="416"/>
      <c r="AV208" s="416"/>
      <c r="AW208" s="416"/>
      <c r="AX208" s="416"/>
      <c r="AY208" s="416"/>
      <c r="AZ208" s="32"/>
    </row>
    <row r="209" spans="2:52">
      <c r="B209" s="1252"/>
      <c r="C209" s="1253"/>
      <c r="D209" s="411"/>
      <c r="E209" s="411"/>
      <c r="F209" s="1256" t="s">
        <v>668</v>
      </c>
      <c r="G209" s="1257"/>
      <c r="H209" s="412">
        <v>1000</v>
      </c>
      <c r="I209" s="413"/>
      <c r="J209" s="414"/>
      <c r="K209" s="414"/>
      <c r="L209" s="414"/>
      <c r="M209" s="414"/>
      <c r="N209" s="413" t="str">
        <f t="shared" si="14"/>
        <v xml:space="preserve"> </v>
      </c>
      <c r="O209" s="51"/>
      <c r="P209" s="415"/>
      <c r="Q209" s="415"/>
      <c r="R209" s="415"/>
      <c r="S209" s="32"/>
      <c r="T209" s="416"/>
      <c r="U209" s="416"/>
      <c r="V209" s="416"/>
      <c r="W209" s="416"/>
      <c r="X209" s="416"/>
      <c r="Y209" s="416"/>
      <c r="Z209" s="416"/>
      <c r="AA209" s="416"/>
      <c r="AB209" s="416"/>
      <c r="AC209" s="416"/>
      <c r="AD209" s="416"/>
      <c r="AE209" s="416"/>
      <c r="AF209" s="416"/>
      <c r="AG209" s="416"/>
      <c r="AH209" s="416"/>
      <c r="AI209" s="416"/>
      <c r="AJ209" s="416"/>
      <c r="AK209" s="416"/>
      <c r="AL209" s="416"/>
      <c r="AM209" s="416"/>
      <c r="AN209" s="416"/>
      <c r="AO209" s="416"/>
      <c r="AP209" s="416"/>
      <c r="AQ209" s="416"/>
      <c r="AR209" s="416"/>
      <c r="AS209" s="416"/>
      <c r="AT209" s="416"/>
      <c r="AU209" s="416"/>
      <c r="AV209" s="416"/>
      <c r="AW209" s="416"/>
      <c r="AX209" s="416"/>
      <c r="AY209" s="416"/>
      <c r="AZ209" s="32"/>
    </row>
    <row r="210" spans="2:52">
      <c r="B210" s="1254"/>
      <c r="C210" s="1255"/>
      <c r="D210" s="411"/>
      <c r="E210" s="411"/>
      <c r="F210" s="1256" t="s">
        <v>616</v>
      </c>
      <c r="G210" s="1257"/>
      <c r="H210" s="412">
        <v>2500</v>
      </c>
      <c r="I210" s="413"/>
      <c r="J210" s="414"/>
      <c r="K210" s="414"/>
      <c r="L210" s="414"/>
      <c r="M210" s="414"/>
      <c r="N210" s="413" t="str">
        <f t="shared" si="14"/>
        <v xml:space="preserve"> </v>
      </c>
      <c r="O210" s="51"/>
      <c r="P210" s="415"/>
      <c r="Q210" s="415"/>
      <c r="R210" s="415"/>
      <c r="S210" s="32"/>
      <c r="T210" s="416"/>
      <c r="U210" s="416"/>
      <c r="V210" s="416"/>
      <c r="W210" s="416"/>
      <c r="X210" s="416"/>
      <c r="Y210" s="416"/>
      <c r="Z210" s="416"/>
      <c r="AA210" s="416"/>
      <c r="AB210" s="416"/>
      <c r="AC210" s="416"/>
      <c r="AD210" s="416"/>
      <c r="AE210" s="416"/>
      <c r="AF210" s="416"/>
      <c r="AG210" s="416"/>
      <c r="AH210" s="416"/>
      <c r="AI210" s="416"/>
      <c r="AJ210" s="416"/>
      <c r="AK210" s="416"/>
      <c r="AL210" s="416"/>
      <c r="AM210" s="416"/>
      <c r="AN210" s="416"/>
      <c r="AO210" s="416"/>
      <c r="AP210" s="416"/>
      <c r="AQ210" s="416"/>
      <c r="AR210" s="416"/>
      <c r="AS210" s="416"/>
      <c r="AT210" s="416"/>
      <c r="AU210" s="416"/>
      <c r="AV210" s="416"/>
      <c r="AW210" s="416"/>
      <c r="AX210" s="416"/>
      <c r="AY210" s="416"/>
      <c r="AZ210" s="32"/>
    </row>
    <row r="211" spans="2:52">
      <c r="B211" s="1250" t="s">
        <v>623</v>
      </c>
      <c r="C211" s="1251"/>
      <c r="D211" s="411" t="s">
        <v>1660</v>
      </c>
      <c r="E211" s="411"/>
      <c r="F211" s="411" t="s">
        <v>257</v>
      </c>
      <c r="G211" s="411" t="s">
        <v>258</v>
      </c>
      <c r="H211" s="412">
        <v>7450.4070000000002</v>
      </c>
      <c r="I211" s="413" t="s">
        <v>494</v>
      </c>
      <c r="J211" s="414">
        <v>45055.375</v>
      </c>
      <c r="K211" s="414"/>
      <c r="L211" s="414" t="s">
        <v>192</v>
      </c>
      <c r="M211" s="414" t="s">
        <v>192</v>
      </c>
      <c r="N211" s="413" t="str">
        <f t="shared" si="14"/>
        <v>DELAY ( 4 day 1 hour 30 minute )</v>
      </c>
      <c r="O211" s="51"/>
      <c r="P211" s="415" t="s">
        <v>551</v>
      </c>
      <c r="Q211" s="415" t="s">
        <v>551</v>
      </c>
      <c r="R211" s="415" t="s">
        <v>551</v>
      </c>
      <c r="S211" s="32"/>
      <c r="T211" s="416"/>
      <c r="U211" s="416"/>
      <c r="V211" s="416"/>
      <c r="W211" s="416"/>
      <c r="X211" s="416"/>
      <c r="Y211" s="416">
        <f>H211</f>
        <v>7450.4070000000002</v>
      </c>
      <c r="Z211" s="416"/>
      <c r="AA211" s="416"/>
      <c r="AB211" s="416"/>
      <c r="AC211" s="416"/>
      <c r="AD211" s="416"/>
      <c r="AE211" s="416"/>
      <c r="AF211" s="416"/>
      <c r="AG211" s="416"/>
      <c r="AH211" s="416"/>
      <c r="AI211" s="416"/>
      <c r="AJ211" s="416"/>
      <c r="AK211" s="416"/>
      <c r="AL211" s="416"/>
      <c r="AM211" s="416"/>
      <c r="AN211" s="416"/>
      <c r="AO211" s="416"/>
      <c r="AP211" s="416"/>
      <c r="AQ211" s="416"/>
      <c r="AR211" s="416"/>
      <c r="AS211" s="416"/>
      <c r="AT211" s="416"/>
      <c r="AU211" s="416"/>
      <c r="AV211" s="416"/>
      <c r="AW211" s="416"/>
      <c r="AX211" s="416"/>
      <c r="AY211" s="416"/>
      <c r="AZ211" s="32"/>
    </row>
    <row r="212" spans="2:52">
      <c r="B212" s="1252"/>
      <c r="C212" s="1253"/>
      <c r="D212" s="411"/>
      <c r="E212" s="411"/>
      <c r="F212" s="1256" t="s">
        <v>668</v>
      </c>
      <c r="G212" s="1257"/>
      <c r="H212" s="412">
        <v>2500</v>
      </c>
      <c r="I212" s="413"/>
      <c r="J212" s="414"/>
      <c r="K212" s="414"/>
      <c r="L212" s="414"/>
      <c r="M212" s="414"/>
      <c r="N212" s="413" t="str">
        <f t="shared" si="14"/>
        <v xml:space="preserve"> </v>
      </c>
      <c r="O212" s="51"/>
      <c r="P212" s="415"/>
      <c r="Q212" s="415"/>
      <c r="R212" s="415"/>
      <c r="S212" s="32"/>
      <c r="T212" s="416"/>
      <c r="U212" s="416"/>
      <c r="V212" s="416"/>
      <c r="W212" s="416"/>
      <c r="X212" s="416"/>
      <c r="Y212" s="416"/>
      <c r="Z212" s="416"/>
      <c r="AA212" s="416"/>
      <c r="AB212" s="416"/>
      <c r="AC212" s="416"/>
      <c r="AD212" s="416"/>
      <c r="AE212" s="416"/>
      <c r="AF212" s="416"/>
      <c r="AG212" s="416"/>
      <c r="AH212" s="416"/>
      <c r="AI212" s="416"/>
      <c r="AJ212" s="416"/>
      <c r="AK212" s="416"/>
      <c r="AL212" s="416"/>
      <c r="AM212" s="416"/>
      <c r="AN212" s="416"/>
      <c r="AO212" s="416"/>
      <c r="AP212" s="416"/>
      <c r="AQ212" s="416"/>
      <c r="AR212" s="416"/>
      <c r="AS212" s="416"/>
      <c r="AT212" s="416"/>
      <c r="AU212" s="416"/>
      <c r="AV212" s="416"/>
      <c r="AW212" s="416"/>
      <c r="AX212" s="416"/>
      <c r="AY212" s="416"/>
      <c r="AZ212" s="32"/>
    </row>
    <row r="213" spans="2:52">
      <c r="B213" s="1254"/>
      <c r="C213" s="1255"/>
      <c r="D213" s="411"/>
      <c r="E213" s="411"/>
      <c r="F213" s="1256" t="s">
        <v>616</v>
      </c>
      <c r="G213" s="1257"/>
      <c r="H213" s="412">
        <v>1000</v>
      </c>
      <c r="I213" s="413"/>
      <c r="J213" s="414"/>
      <c r="K213" s="414"/>
      <c r="L213" s="414"/>
      <c r="M213" s="414"/>
      <c r="N213" s="413" t="str">
        <f t="shared" si="14"/>
        <v xml:space="preserve"> </v>
      </c>
      <c r="O213" s="51"/>
      <c r="P213" s="415"/>
      <c r="Q213" s="415"/>
      <c r="R213" s="415"/>
      <c r="S213" s="32"/>
      <c r="T213" s="416"/>
      <c r="U213" s="416"/>
      <c r="V213" s="416"/>
      <c r="W213" s="416"/>
      <c r="X213" s="416"/>
      <c r="Y213" s="416"/>
      <c r="Z213" s="416"/>
      <c r="AA213" s="416"/>
      <c r="AB213" s="416"/>
      <c r="AC213" s="416"/>
      <c r="AD213" s="416"/>
      <c r="AE213" s="416"/>
      <c r="AF213" s="416"/>
      <c r="AG213" s="416"/>
      <c r="AH213" s="416"/>
      <c r="AI213" s="416"/>
      <c r="AJ213" s="416"/>
      <c r="AK213" s="416"/>
      <c r="AL213" s="416"/>
      <c r="AM213" s="416"/>
      <c r="AN213" s="416"/>
      <c r="AO213" s="416"/>
      <c r="AP213" s="416"/>
      <c r="AQ213" s="416"/>
      <c r="AR213" s="416"/>
      <c r="AS213" s="416"/>
      <c r="AT213" s="416"/>
      <c r="AU213" s="416"/>
      <c r="AV213" s="416"/>
      <c r="AW213" s="416"/>
      <c r="AX213" s="416"/>
      <c r="AY213" s="416"/>
      <c r="AZ213" s="32"/>
    </row>
    <row r="214" spans="2:52">
      <c r="B214" s="1250" t="s">
        <v>624</v>
      </c>
      <c r="C214" s="1251"/>
      <c r="D214" s="411" t="s">
        <v>1460</v>
      </c>
      <c r="E214" s="411"/>
      <c r="F214" s="411" t="s">
        <v>260</v>
      </c>
      <c r="G214" s="411" t="s">
        <v>261</v>
      </c>
      <c r="H214" s="412">
        <v>7631.6350000000002</v>
      </c>
      <c r="I214" s="413" t="s">
        <v>1455</v>
      </c>
      <c r="J214" s="414">
        <v>45055.454861111109</v>
      </c>
      <c r="K214" s="414"/>
      <c r="L214" s="414" t="s">
        <v>192</v>
      </c>
      <c r="M214" s="414" t="s">
        <v>192</v>
      </c>
      <c r="N214" s="413" t="str">
        <f t="shared" si="14"/>
        <v>DELAY ( 4 day 3 hour 25 minute )</v>
      </c>
      <c r="O214" s="51"/>
      <c r="P214" s="415" t="s">
        <v>551</v>
      </c>
      <c r="Q214" s="415" t="s">
        <v>551</v>
      </c>
      <c r="R214" s="415" t="s">
        <v>551</v>
      </c>
      <c r="S214" s="32"/>
      <c r="T214" s="416"/>
      <c r="U214" s="416" t="s">
        <v>1722</v>
      </c>
      <c r="V214" s="416"/>
      <c r="W214" s="416"/>
      <c r="X214" s="416"/>
      <c r="Y214" s="416"/>
      <c r="Z214" s="416"/>
      <c r="AA214" s="416"/>
      <c r="AB214" s="416">
        <f>H214*0.6</f>
        <v>4578.9809999999998</v>
      </c>
      <c r="AC214" s="416">
        <f>H214*0.4</f>
        <v>3052.6540000000005</v>
      </c>
      <c r="AD214" s="416"/>
      <c r="AE214" s="416"/>
      <c r="AF214" s="416"/>
      <c r="AG214" s="416"/>
      <c r="AH214" s="416"/>
      <c r="AI214" s="416"/>
      <c r="AJ214" s="416"/>
      <c r="AK214" s="416"/>
      <c r="AL214" s="416"/>
      <c r="AM214" s="416"/>
      <c r="AN214" s="416"/>
      <c r="AO214" s="416"/>
      <c r="AP214" s="416"/>
      <c r="AQ214" s="416"/>
      <c r="AR214" s="416"/>
      <c r="AS214" s="416"/>
      <c r="AT214" s="416"/>
      <c r="AU214" s="416"/>
      <c r="AV214" s="416"/>
      <c r="AW214" s="416"/>
      <c r="AX214" s="416"/>
      <c r="AY214" s="416"/>
      <c r="AZ214" s="32"/>
    </row>
    <row r="215" spans="2:52">
      <c r="B215" s="1252"/>
      <c r="C215" s="1253"/>
      <c r="D215" s="411"/>
      <c r="E215" s="411"/>
      <c r="F215" s="1256" t="s">
        <v>668</v>
      </c>
      <c r="G215" s="1257"/>
      <c r="H215" s="412">
        <v>1000</v>
      </c>
      <c r="I215" s="413"/>
      <c r="J215" s="414"/>
      <c r="K215" s="414"/>
      <c r="L215" s="414"/>
      <c r="M215" s="414"/>
      <c r="N215" s="413" t="str">
        <f t="shared" si="14"/>
        <v xml:space="preserve"> </v>
      </c>
      <c r="O215" s="51"/>
      <c r="P215" s="415"/>
      <c r="Q215" s="415"/>
      <c r="R215" s="415"/>
      <c r="S215" s="32"/>
      <c r="T215" s="416"/>
      <c r="U215" s="416"/>
      <c r="V215" s="416"/>
      <c r="W215" s="416"/>
      <c r="X215" s="416"/>
      <c r="Y215" s="416"/>
      <c r="Z215" s="416"/>
      <c r="AA215" s="416"/>
      <c r="AB215" s="416"/>
      <c r="AC215" s="416"/>
      <c r="AD215" s="416"/>
      <c r="AE215" s="416"/>
      <c r="AF215" s="416"/>
      <c r="AG215" s="416"/>
      <c r="AH215" s="416"/>
      <c r="AI215" s="416"/>
      <c r="AJ215" s="416"/>
      <c r="AK215" s="416"/>
      <c r="AL215" s="416"/>
      <c r="AM215" s="416"/>
      <c r="AN215" s="416"/>
      <c r="AO215" s="416"/>
      <c r="AP215" s="416"/>
      <c r="AQ215" s="416"/>
      <c r="AR215" s="416"/>
      <c r="AS215" s="416"/>
      <c r="AT215" s="416"/>
      <c r="AU215" s="416"/>
      <c r="AV215" s="416"/>
      <c r="AW215" s="416"/>
      <c r="AX215" s="416"/>
      <c r="AY215" s="416"/>
      <c r="AZ215" s="32"/>
    </row>
    <row r="216" spans="2:52">
      <c r="B216" s="1254"/>
      <c r="C216" s="1255"/>
      <c r="D216" s="411"/>
      <c r="E216" s="411"/>
      <c r="F216" s="1256" t="s">
        <v>616</v>
      </c>
      <c r="G216" s="1257"/>
      <c r="H216" s="412">
        <v>2500</v>
      </c>
      <c r="I216" s="413"/>
      <c r="J216" s="414"/>
      <c r="K216" s="414"/>
      <c r="L216" s="414"/>
      <c r="M216" s="414"/>
      <c r="N216" s="413" t="str">
        <f t="shared" si="14"/>
        <v xml:space="preserve"> </v>
      </c>
      <c r="O216" s="51"/>
      <c r="P216" s="415"/>
      <c r="Q216" s="415"/>
      <c r="R216" s="415"/>
      <c r="S216" s="32"/>
      <c r="T216" s="416"/>
      <c r="U216" s="416"/>
      <c r="V216" s="416"/>
      <c r="W216" s="416"/>
      <c r="X216" s="416"/>
      <c r="Y216" s="416"/>
      <c r="Z216" s="416"/>
      <c r="AA216" s="416"/>
      <c r="AB216" s="416"/>
      <c r="AC216" s="416"/>
      <c r="AD216" s="416"/>
      <c r="AE216" s="416"/>
      <c r="AF216" s="416"/>
      <c r="AG216" s="416"/>
      <c r="AH216" s="416"/>
      <c r="AI216" s="416"/>
      <c r="AJ216" s="416"/>
      <c r="AK216" s="416"/>
      <c r="AL216" s="416"/>
      <c r="AM216" s="416"/>
      <c r="AN216" s="416"/>
      <c r="AO216" s="416"/>
      <c r="AP216" s="416"/>
      <c r="AQ216" s="416"/>
      <c r="AR216" s="416"/>
      <c r="AS216" s="416"/>
      <c r="AT216" s="416"/>
      <c r="AU216" s="416"/>
      <c r="AV216" s="416"/>
      <c r="AW216" s="416"/>
      <c r="AX216" s="416"/>
      <c r="AY216" s="416"/>
      <c r="AZ216" s="32"/>
    </row>
    <row r="217" spans="2:52">
      <c r="B217" s="1250" t="s">
        <v>625</v>
      </c>
      <c r="C217" s="1251"/>
      <c r="D217" s="411" t="s">
        <v>1462</v>
      </c>
      <c r="E217" s="411"/>
      <c r="F217" s="411" t="s">
        <v>352</v>
      </c>
      <c r="G217" s="411" t="s">
        <v>353</v>
      </c>
      <c r="H217" s="412">
        <v>9203.4699999999993</v>
      </c>
      <c r="I217" s="413" t="s">
        <v>1455</v>
      </c>
      <c r="J217" s="414">
        <v>45055.645833333336</v>
      </c>
      <c r="K217" s="414"/>
      <c r="L217" s="414" t="s">
        <v>192</v>
      </c>
      <c r="M217" s="414" t="s">
        <v>192</v>
      </c>
      <c r="N217" s="413" t="str">
        <f t="shared" si="14"/>
        <v>DELAY ( 4 day 8 hour 0 minute )</v>
      </c>
      <c r="O217" s="51"/>
      <c r="P217" s="415" t="s">
        <v>551</v>
      </c>
      <c r="Q217" s="415" t="s">
        <v>551</v>
      </c>
      <c r="R217" s="415" t="s">
        <v>551</v>
      </c>
      <c r="S217" s="32"/>
      <c r="T217" s="416"/>
      <c r="U217" s="416"/>
      <c r="V217" s="416"/>
      <c r="W217" s="416"/>
      <c r="X217" s="416"/>
      <c r="Y217" s="416"/>
      <c r="Z217" s="416"/>
      <c r="AA217" s="416"/>
      <c r="AB217" s="416">
        <f>H217*0.6</f>
        <v>5522.0819999999994</v>
      </c>
      <c r="AC217" s="416">
        <f>H217*0.4</f>
        <v>3681.3879999999999</v>
      </c>
      <c r="AD217" s="416"/>
      <c r="AE217" s="416"/>
      <c r="AF217" s="416"/>
      <c r="AG217" s="416"/>
      <c r="AH217" s="416"/>
      <c r="AI217" s="416"/>
      <c r="AJ217" s="416"/>
      <c r="AK217" s="416"/>
      <c r="AL217" s="416"/>
      <c r="AM217" s="416"/>
      <c r="AN217" s="416"/>
      <c r="AO217" s="416"/>
      <c r="AP217" s="416"/>
      <c r="AQ217" s="416"/>
      <c r="AR217" s="416"/>
      <c r="AS217" s="416"/>
      <c r="AT217" s="416"/>
      <c r="AU217" s="416"/>
      <c r="AV217" s="416"/>
      <c r="AW217" s="416"/>
      <c r="AX217" s="416"/>
      <c r="AY217" s="416"/>
      <c r="AZ217" s="32"/>
    </row>
    <row r="218" spans="2:52">
      <c r="B218" s="1252"/>
      <c r="C218" s="1253"/>
      <c r="D218" s="411"/>
      <c r="E218" s="411"/>
      <c r="F218" s="1256" t="s">
        <v>668</v>
      </c>
      <c r="G218" s="1257"/>
      <c r="H218" s="412">
        <v>1000</v>
      </c>
      <c r="I218" s="413"/>
      <c r="J218" s="414"/>
      <c r="K218" s="414"/>
      <c r="L218" s="414"/>
      <c r="M218" s="414"/>
      <c r="N218" s="413" t="str">
        <f t="shared" si="14"/>
        <v xml:space="preserve"> </v>
      </c>
      <c r="O218" s="51"/>
      <c r="P218" s="415"/>
      <c r="Q218" s="415"/>
      <c r="R218" s="415"/>
      <c r="S218" s="32"/>
      <c r="T218" s="416"/>
      <c r="U218" s="416"/>
      <c r="V218" s="416"/>
      <c r="W218" s="416"/>
      <c r="X218" s="416"/>
      <c r="Y218" s="416"/>
      <c r="Z218" s="416"/>
      <c r="AA218" s="416"/>
      <c r="AB218" s="416"/>
      <c r="AC218" s="416"/>
      <c r="AD218" s="416"/>
      <c r="AE218" s="416"/>
      <c r="AF218" s="416"/>
      <c r="AG218" s="416"/>
      <c r="AH218" s="416"/>
      <c r="AI218" s="416"/>
      <c r="AJ218" s="416"/>
      <c r="AK218" s="416"/>
      <c r="AL218" s="416"/>
      <c r="AM218" s="416"/>
      <c r="AN218" s="416"/>
      <c r="AO218" s="416"/>
      <c r="AP218" s="416"/>
      <c r="AQ218" s="416"/>
      <c r="AR218" s="416"/>
      <c r="AS218" s="416"/>
      <c r="AT218" s="416"/>
      <c r="AU218" s="416"/>
      <c r="AV218" s="416"/>
      <c r="AW218" s="416"/>
      <c r="AX218" s="416"/>
      <c r="AY218" s="416"/>
      <c r="AZ218" s="32"/>
    </row>
    <row r="219" spans="2:52">
      <c r="B219" s="1254"/>
      <c r="C219" s="1255"/>
      <c r="D219" s="411"/>
      <c r="E219" s="411"/>
      <c r="F219" s="1256" t="s">
        <v>616</v>
      </c>
      <c r="G219" s="1257"/>
      <c r="H219" s="412">
        <v>2000</v>
      </c>
      <c r="I219" s="413"/>
      <c r="J219" s="414"/>
      <c r="K219" s="414"/>
      <c r="L219" s="414"/>
      <c r="M219" s="414"/>
      <c r="N219" s="413" t="str">
        <f t="shared" si="14"/>
        <v xml:space="preserve"> </v>
      </c>
      <c r="O219" s="51"/>
      <c r="P219" s="415"/>
      <c r="Q219" s="415"/>
      <c r="R219" s="415"/>
      <c r="S219" s="32"/>
      <c r="T219" s="416"/>
      <c r="U219" s="416"/>
      <c r="V219" s="416"/>
      <c r="W219" s="416"/>
      <c r="X219" s="416"/>
      <c r="Y219" s="416"/>
      <c r="Z219" s="416"/>
      <c r="AA219" s="416"/>
      <c r="AB219" s="416"/>
      <c r="AC219" s="416"/>
      <c r="AD219" s="416"/>
      <c r="AE219" s="416"/>
      <c r="AF219" s="416"/>
      <c r="AG219" s="416"/>
      <c r="AH219" s="416"/>
      <c r="AI219" s="416"/>
      <c r="AJ219" s="416"/>
      <c r="AK219" s="416"/>
      <c r="AL219" s="416"/>
      <c r="AM219" s="416"/>
      <c r="AN219" s="416"/>
      <c r="AO219" s="416"/>
      <c r="AP219" s="416"/>
      <c r="AQ219" s="416"/>
      <c r="AR219" s="416"/>
      <c r="AS219" s="416"/>
      <c r="AT219" s="416"/>
      <c r="AU219" s="416"/>
      <c r="AV219" s="416"/>
      <c r="AW219" s="416"/>
      <c r="AX219" s="416"/>
      <c r="AY219" s="416"/>
      <c r="AZ219" s="32"/>
    </row>
    <row r="220" spans="2:52">
      <c r="B220" s="1250" t="s">
        <v>669</v>
      </c>
      <c r="C220" s="1251"/>
      <c r="D220" s="411" t="s">
        <v>1461</v>
      </c>
      <c r="E220" s="411"/>
      <c r="F220" s="411" t="s">
        <v>399</v>
      </c>
      <c r="G220" s="411" t="s">
        <v>1093</v>
      </c>
      <c r="H220" s="412">
        <v>7638.8789999999999</v>
      </c>
      <c r="I220" s="413" t="s">
        <v>1455</v>
      </c>
      <c r="J220" s="414">
        <v>45055.666666666664</v>
      </c>
      <c r="K220" s="414"/>
      <c r="L220" s="414" t="s">
        <v>192</v>
      </c>
      <c r="M220" s="414" t="s">
        <v>192</v>
      </c>
      <c r="N220" s="413" t="str">
        <f t="shared" si="14"/>
        <v>DELAY ( 4 day 8 hour 30 minute )</v>
      </c>
      <c r="O220" s="51"/>
      <c r="P220" s="415" t="s">
        <v>551</v>
      </c>
      <c r="Q220" s="415" t="s">
        <v>551</v>
      </c>
      <c r="R220" s="415" t="s">
        <v>551</v>
      </c>
      <c r="S220" s="32"/>
      <c r="T220" s="416"/>
      <c r="U220" s="416"/>
      <c r="V220" s="416"/>
      <c r="W220" s="416"/>
      <c r="X220" s="416"/>
      <c r="Y220" s="416"/>
      <c r="Z220" s="416"/>
      <c r="AA220" s="416"/>
      <c r="AB220" s="416">
        <f>H220*0.6</f>
        <v>4583.3274000000001</v>
      </c>
      <c r="AC220" s="416">
        <f>H220*0.4</f>
        <v>3055.5516000000002</v>
      </c>
      <c r="AD220" s="416"/>
      <c r="AE220" s="416"/>
      <c r="AF220" s="416"/>
      <c r="AG220" s="416"/>
      <c r="AH220" s="416"/>
      <c r="AI220" s="416"/>
      <c r="AJ220" s="416"/>
      <c r="AK220" s="416"/>
      <c r="AL220" s="416"/>
      <c r="AM220" s="416"/>
      <c r="AN220" s="416"/>
      <c r="AO220" s="416"/>
      <c r="AP220" s="416"/>
      <c r="AQ220" s="416"/>
      <c r="AR220" s="416"/>
      <c r="AS220" s="416"/>
      <c r="AT220" s="416"/>
      <c r="AU220" s="416"/>
      <c r="AV220" s="416"/>
      <c r="AW220" s="416"/>
      <c r="AX220" s="416"/>
      <c r="AY220" s="416"/>
      <c r="AZ220" s="32"/>
    </row>
    <row r="221" spans="2:52">
      <c r="B221" s="1254"/>
      <c r="C221" s="1255"/>
      <c r="D221" s="411"/>
      <c r="E221" s="411"/>
      <c r="F221" s="1256" t="s">
        <v>616</v>
      </c>
      <c r="G221" s="1257"/>
      <c r="H221" s="412">
        <v>2500</v>
      </c>
      <c r="I221" s="413"/>
      <c r="J221" s="414"/>
      <c r="K221" s="414"/>
      <c r="L221" s="414"/>
      <c r="M221" s="414"/>
      <c r="N221" s="413" t="str">
        <f t="shared" si="14"/>
        <v xml:space="preserve"> </v>
      </c>
      <c r="O221" s="51"/>
      <c r="P221" s="415"/>
      <c r="Q221" s="415"/>
      <c r="R221" s="415"/>
      <c r="S221" s="32"/>
      <c r="T221" s="416"/>
      <c r="U221" s="416"/>
      <c r="V221" s="416"/>
      <c r="W221" s="416"/>
      <c r="X221" s="416"/>
      <c r="Y221" s="416"/>
      <c r="Z221" s="416"/>
      <c r="AA221" s="416"/>
      <c r="AB221" s="416"/>
      <c r="AC221" s="416"/>
      <c r="AD221" s="416"/>
      <c r="AE221" s="416"/>
      <c r="AF221" s="416"/>
      <c r="AG221" s="416"/>
      <c r="AH221" s="416"/>
      <c r="AI221" s="416"/>
      <c r="AJ221" s="416"/>
      <c r="AK221" s="416"/>
      <c r="AL221" s="416"/>
      <c r="AM221" s="416"/>
      <c r="AN221" s="416"/>
      <c r="AO221" s="416"/>
      <c r="AP221" s="416"/>
      <c r="AQ221" s="416"/>
      <c r="AR221" s="416"/>
      <c r="AS221" s="416"/>
      <c r="AT221" s="416"/>
      <c r="AU221" s="416"/>
      <c r="AV221" s="416"/>
      <c r="AW221" s="416"/>
      <c r="AX221" s="416"/>
      <c r="AY221" s="416"/>
      <c r="AZ221" s="32"/>
    </row>
    <row r="222" spans="2:52">
      <c r="B222" s="1250" t="s">
        <v>670</v>
      </c>
      <c r="C222" s="1251"/>
      <c r="D222" s="411" t="s">
        <v>1456</v>
      </c>
      <c r="E222" s="411"/>
      <c r="F222" s="411" t="s">
        <v>1457</v>
      </c>
      <c r="G222" s="411" t="s">
        <v>1458</v>
      </c>
      <c r="H222" s="412">
        <v>7504.9809999999998</v>
      </c>
      <c r="I222" s="413" t="s">
        <v>1455</v>
      </c>
      <c r="J222" s="414">
        <v>45055.666666666664</v>
      </c>
      <c r="K222" s="414"/>
      <c r="L222" s="414" t="s">
        <v>192</v>
      </c>
      <c r="M222" s="414" t="s">
        <v>192</v>
      </c>
      <c r="N222" s="413" t="str">
        <f t="shared" si="14"/>
        <v>DELAY ( 4 day 8 hour 30 minute )</v>
      </c>
      <c r="O222" s="51"/>
      <c r="P222" s="415" t="s">
        <v>551</v>
      </c>
      <c r="Q222" s="415" t="s">
        <v>551</v>
      </c>
      <c r="R222" s="415" t="s">
        <v>551</v>
      </c>
      <c r="S222" s="32"/>
      <c r="T222" s="416"/>
      <c r="U222" s="416"/>
      <c r="V222" s="416"/>
      <c r="W222" s="416"/>
      <c r="X222" s="416"/>
      <c r="Y222" s="416"/>
      <c r="Z222" s="416"/>
      <c r="AA222" s="416"/>
      <c r="AB222" s="416">
        <f>H222*0.6</f>
        <v>4502.9885999999997</v>
      </c>
      <c r="AC222" s="416">
        <f>H222*0.4</f>
        <v>3001.9924000000001</v>
      </c>
      <c r="AD222" s="416"/>
      <c r="AE222" s="416"/>
      <c r="AF222" s="416"/>
      <c r="AG222" s="416"/>
      <c r="AH222" s="416"/>
      <c r="AI222" s="416"/>
      <c r="AJ222" s="416"/>
      <c r="AK222" s="416"/>
      <c r="AL222" s="416"/>
      <c r="AM222" s="416"/>
      <c r="AN222" s="416"/>
      <c r="AO222" s="416"/>
      <c r="AP222" s="416"/>
      <c r="AQ222" s="416"/>
      <c r="AR222" s="416"/>
      <c r="AS222" s="416"/>
      <c r="AT222" s="416"/>
      <c r="AU222" s="416"/>
      <c r="AV222" s="416"/>
      <c r="AW222" s="416"/>
      <c r="AX222" s="416"/>
      <c r="AY222" s="416"/>
      <c r="AZ222" s="32"/>
    </row>
    <row r="223" spans="2:52">
      <c r="B223" s="1252"/>
      <c r="C223" s="1253"/>
      <c r="D223" s="411"/>
      <c r="E223" s="411"/>
      <c r="F223" s="1256" t="s">
        <v>668</v>
      </c>
      <c r="G223" s="1257"/>
      <c r="H223" s="412">
        <f>1050+0.225</f>
        <v>1050.2249999999999</v>
      </c>
      <c r="I223" s="413"/>
      <c r="J223" s="414"/>
      <c r="K223" s="414"/>
      <c r="L223" s="414"/>
      <c r="M223" s="414"/>
      <c r="N223" s="413" t="str">
        <f t="shared" si="14"/>
        <v xml:space="preserve"> </v>
      </c>
      <c r="O223" s="51"/>
      <c r="P223" s="415"/>
      <c r="Q223" s="415"/>
      <c r="R223" s="415"/>
      <c r="S223" s="32"/>
      <c r="T223" s="416"/>
      <c r="U223" s="416"/>
      <c r="V223" s="416"/>
      <c r="W223" s="416"/>
      <c r="X223" s="416"/>
      <c r="Y223" s="416"/>
      <c r="Z223" s="416"/>
      <c r="AA223" s="416"/>
      <c r="AB223" s="416"/>
      <c r="AC223" s="416"/>
      <c r="AD223" s="416"/>
      <c r="AE223" s="416"/>
      <c r="AF223" s="416"/>
      <c r="AG223" s="416"/>
      <c r="AH223" s="416"/>
      <c r="AI223" s="416"/>
      <c r="AJ223" s="416"/>
      <c r="AK223" s="416"/>
      <c r="AL223" s="416"/>
      <c r="AM223" s="416"/>
      <c r="AN223" s="416"/>
      <c r="AO223" s="416"/>
      <c r="AP223" s="416"/>
      <c r="AQ223" s="416"/>
      <c r="AR223" s="416"/>
      <c r="AS223" s="416"/>
      <c r="AT223" s="416"/>
      <c r="AU223" s="416"/>
      <c r="AV223" s="416"/>
      <c r="AW223" s="416"/>
      <c r="AX223" s="416"/>
      <c r="AY223" s="416"/>
      <c r="AZ223" s="32"/>
    </row>
    <row r="224" spans="2:52">
      <c r="B224" s="1254"/>
      <c r="C224" s="1255"/>
      <c r="D224" s="411"/>
      <c r="E224" s="411"/>
      <c r="F224" s="1256" t="s">
        <v>616</v>
      </c>
      <c r="G224" s="1257"/>
      <c r="H224" s="412">
        <v>2000</v>
      </c>
      <c r="I224" s="413"/>
      <c r="J224" s="414"/>
      <c r="K224" s="414"/>
      <c r="L224" s="414"/>
      <c r="M224" s="414"/>
      <c r="N224" s="413" t="str">
        <f t="shared" si="14"/>
        <v xml:space="preserve"> </v>
      </c>
      <c r="O224" s="51"/>
      <c r="P224" s="415"/>
      <c r="Q224" s="415"/>
      <c r="R224" s="415"/>
      <c r="S224" s="32"/>
      <c r="T224" s="416"/>
      <c r="U224" s="416"/>
      <c r="V224" s="416"/>
      <c r="W224" s="416"/>
      <c r="X224" s="416"/>
      <c r="Y224" s="416"/>
      <c r="Z224" s="416"/>
      <c r="AA224" s="416"/>
      <c r="AB224" s="416"/>
      <c r="AC224" s="416"/>
      <c r="AD224" s="416"/>
      <c r="AE224" s="416"/>
      <c r="AF224" s="416"/>
      <c r="AG224" s="416"/>
      <c r="AH224" s="416"/>
      <c r="AI224" s="416"/>
      <c r="AJ224" s="416"/>
      <c r="AK224" s="416"/>
      <c r="AL224" s="416"/>
      <c r="AM224" s="416"/>
      <c r="AN224" s="416"/>
      <c r="AO224" s="416"/>
      <c r="AP224" s="416"/>
      <c r="AQ224" s="416"/>
      <c r="AR224" s="416"/>
      <c r="AS224" s="416"/>
      <c r="AT224" s="416"/>
      <c r="AU224" s="416"/>
      <c r="AV224" s="416"/>
      <c r="AW224" s="416"/>
      <c r="AX224" s="416"/>
      <c r="AY224" s="416"/>
      <c r="AZ224" s="32"/>
    </row>
    <row r="225" spans="2:52">
      <c r="B225" s="1250" t="s">
        <v>867</v>
      </c>
      <c r="C225" s="1251"/>
      <c r="D225" s="411" t="s">
        <v>1463</v>
      </c>
      <c r="E225" s="411"/>
      <c r="F225" s="411" t="s">
        <v>1255</v>
      </c>
      <c r="G225" s="411" t="s">
        <v>268</v>
      </c>
      <c r="H225" s="412">
        <f>7630.959-5726.758</f>
        <v>1904.201</v>
      </c>
      <c r="I225" s="413" t="s">
        <v>1455</v>
      </c>
      <c r="J225" s="414">
        <v>45056.875</v>
      </c>
      <c r="K225" s="414"/>
      <c r="L225" s="414" t="s">
        <v>192</v>
      </c>
      <c r="M225" s="414" t="s">
        <v>192</v>
      </c>
      <c r="N225" s="413" t="str">
        <f t="shared" si="14"/>
        <v>DELAY ( 5 day 13 hour 30 minute )</v>
      </c>
      <c r="O225" s="51"/>
      <c r="P225" s="415" t="s">
        <v>551</v>
      </c>
      <c r="Q225" s="415" t="s">
        <v>551</v>
      </c>
      <c r="R225" s="415" t="s">
        <v>551</v>
      </c>
      <c r="S225" s="32"/>
      <c r="T225" s="416"/>
      <c r="U225" s="416"/>
      <c r="V225" s="416"/>
      <c r="W225" s="416"/>
      <c r="X225" s="416"/>
      <c r="Y225" s="416"/>
      <c r="Z225" s="416"/>
      <c r="AA225" s="416"/>
      <c r="AB225" s="416">
        <f>(H225*0.6)</f>
        <v>1142.5206000000001</v>
      </c>
      <c r="AC225" s="416">
        <f>(H225*0.4)</f>
        <v>761.68040000000008</v>
      </c>
      <c r="AD225" s="416"/>
      <c r="AE225" s="416"/>
      <c r="AF225" s="416"/>
      <c r="AG225" s="416"/>
      <c r="AH225" s="416"/>
      <c r="AI225" s="416"/>
      <c r="AJ225" s="416"/>
      <c r="AK225" s="416"/>
      <c r="AL225" s="416"/>
      <c r="AM225" s="416"/>
      <c r="AN225" s="416"/>
      <c r="AO225" s="416"/>
      <c r="AP225" s="416"/>
      <c r="AQ225" s="416"/>
      <c r="AR225" s="416"/>
      <c r="AS225" s="416"/>
      <c r="AT225" s="416"/>
      <c r="AU225" s="416"/>
      <c r="AV225" s="416"/>
      <c r="AW225" s="416"/>
      <c r="AX225" s="416"/>
      <c r="AY225" s="416"/>
      <c r="AZ225" s="32"/>
    </row>
    <row r="226" spans="2:52">
      <c r="B226" s="1254"/>
      <c r="C226" s="1255"/>
      <c r="D226" s="411"/>
      <c r="E226" s="411"/>
      <c r="F226" s="1256" t="s">
        <v>616</v>
      </c>
      <c r="G226" s="1257"/>
      <c r="H226" s="412">
        <f>1041+0.075</f>
        <v>1041.075</v>
      </c>
      <c r="I226" s="413"/>
      <c r="J226" s="414"/>
      <c r="K226" s="414"/>
      <c r="L226" s="414"/>
      <c r="M226" s="414"/>
      <c r="N226" s="413" t="str">
        <f t="shared" si="14"/>
        <v xml:space="preserve"> </v>
      </c>
      <c r="O226" s="51"/>
      <c r="P226" s="415"/>
      <c r="Q226" s="415"/>
      <c r="R226" s="415"/>
      <c r="S226" s="32"/>
      <c r="T226" s="416"/>
      <c r="U226" s="416"/>
      <c r="V226" s="416"/>
      <c r="W226" s="416"/>
      <c r="X226" s="416"/>
      <c r="Y226" s="416"/>
      <c r="Z226" s="416"/>
      <c r="AA226" s="416"/>
      <c r="AB226" s="416"/>
      <c r="AC226" s="416"/>
      <c r="AD226" s="416"/>
      <c r="AE226" s="416"/>
      <c r="AF226" s="416"/>
      <c r="AG226" s="416"/>
      <c r="AH226" s="416"/>
      <c r="AI226" s="416"/>
      <c r="AJ226" s="416"/>
      <c r="AK226" s="416"/>
      <c r="AL226" s="416"/>
      <c r="AM226" s="416"/>
      <c r="AN226" s="416"/>
      <c r="AO226" s="416"/>
      <c r="AP226" s="416"/>
      <c r="AQ226" s="416"/>
      <c r="AR226" s="416"/>
      <c r="AS226" s="416"/>
      <c r="AT226" s="416"/>
      <c r="AU226" s="416"/>
      <c r="AV226" s="416"/>
      <c r="AW226" s="416"/>
      <c r="AX226" s="416"/>
      <c r="AY226" s="416"/>
      <c r="AZ226" s="32"/>
    </row>
    <row r="227" spans="2:52">
      <c r="B227" s="1258" t="s">
        <v>626</v>
      </c>
      <c r="C227" s="1259"/>
      <c r="D227" s="1259"/>
      <c r="E227" s="1259"/>
      <c r="F227" s="1259"/>
      <c r="G227" s="1260"/>
      <c r="H227" s="417">
        <f>H204+H207+H208+H222+H211+H214+H220+H217+H225</f>
        <v>50985.700000000004</v>
      </c>
      <c r="I227" s="388"/>
      <c r="J227" s="293"/>
      <c r="K227" s="293"/>
      <c r="L227" s="293"/>
      <c r="M227" s="389"/>
      <c r="N227" s="413" t="str">
        <f t="shared" si="14"/>
        <v xml:space="preserve"> </v>
      </c>
      <c r="O227" s="47"/>
      <c r="P227" s="418"/>
      <c r="Q227" s="418"/>
      <c r="R227" s="418"/>
      <c r="S227" s="32"/>
      <c r="T227" s="1261"/>
      <c r="U227" s="1261"/>
      <c r="V227" s="1261"/>
      <c r="W227" s="1261"/>
      <c r="X227" s="1261"/>
      <c r="Y227" s="1261"/>
      <c r="Z227" s="1261"/>
      <c r="AA227" s="1261"/>
      <c r="AB227" s="1261"/>
      <c r="AC227" s="1261"/>
      <c r="AD227" s="1261"/>
      <c r="AE227" s="1261"/>
      <c r="AF227" s="1261"/>
      <c r="AG227" s="1261"/>
      <c r="AH227" s="1261"/>
      <c r="AI227" s="1261"/>
      <c r="AJ227" s="1261"/>
      <c r="AK227" s="1261"/>
      <c r="AL227" s="1261"/>
      <c r="AM227" s="1261"/>
      <c r="AN227" s="1261"/>
      <c r="AO227" s="1261"/>
      <c r="AP227" s="1261"/>
      <c r="AQ227" s="1261"/>
      <c r="AR227" s="1261"/>
      <c r="AS227" s="1261"/>
      <c r="AT227" s="1261"/>
      <c r="AU227" s="1261"/>
      <c r="AV227" s="1261"/>
      <c r="AW227" s="1261"/>
      <c r="AX227" s="1261"/>
      <c r="AY227" s="1261"/>
    </row>
    <row r="228" spans="2:52">
      <c r="B228" s="1258" t="s">
        <v>556</v>
      </c>
      <c r="C228" s="1259"/>
      <c r="D228" s="1259"/>
      <c r="E228" s="1259"/>
      <c r="F228" s="1259"/>
      <c r="G228" s="1260"/>
      <c r="H228" s="417">
        <f>H203+H227</f>
        <v>73577</v>
      </c>
      <c r="I228" s="388"/>
      <c r="J228" s="293"/>
      <c r="K228" s="293"/>
      <c r="L228" s="293"/>
      <c r="M228" s="389"/>
      <c r="N228" s="413" t="str">
        <f t="shared" si="14"/>
        <v xml:space="preserve"> </v>
      </c>
      <c r="O228" s="47"/>
      <c r="P228" s="418"/>
      <c r="Q228" s="418"/>
      <c r="R228" s="418"/>
      <c r="S228" s="32"/>
      <c r="T228" s="1262"/>
      <c r="U228" s="1263"/>
      <c r="V228" s="1263"/>
      <c r="W228" s="1263"/>
      <c r="X228" s="1263"/>
      <c r="Y228" s="1263"/>
      <c r="Z228" s="1263"/>
      <c r="AA228" s="1263"/>
      <c r="AB228" s="1263"/>
      <c r="AC228" s="1263"/>
      <c r="AD228" s="1263"/>
      <c r="AE228" s="1263"/>
      <c r="AF228" s="1263"/>
      <c r="AG228" s="1263"/>
      <c r="AH228" s="1263"/>
      <c r="AI228" s="1263"/>
      <c r="AJ228" s="1263"/>
      <c r="AK228" s="1263"/>
      <c r="AL228" s="1263"/>
      <c r="AM228" s="1263"/>
      <c r="AN228" s="1263"/>
      <c r="AO228" s="1263"/>
      <c r="AP228" s="1263"/>
      <c r="AQ228" s="1263"/>
      <c r="AR228" s="1263"/>
      <c r="AS228" s="1263"/>
      <c r="AT228" s="1263"/>
      <c r="AU228" s="1263"/>
      <c r="AV228" s="1263"/>
      <c r="AW228" s="1263"/>
      <c r="AX228" s="1263"/>
      <c r="AY228" s="1264"/>
    </row>
    <row r="229" spans="2:52">
      <c r="B229" s="1243" t="s">
        <v>557</v>
      </c>
      <c r="C229" s="1244"/>
      <c r="D229" s="1244"/>
      <c r="E229" s="1244"/>
      <c r="F229" s="1244"/>
      <c r="G229" s="1245"/>
      <c r="H229" s="419">
        <v>73577</v>
      </c>
      <c r="I229" s="1246"/>
      <c r="J229" s="1247"/>
      <c r="K229" s="1247"/>
      <c r="L229" s="1247"/>
      <c r="M229" s="1248"/>
      <c r="N229" s="413" t="str">
        <f t="shared" si="14"/>
        <v xml:space="preserve"> </v>
      </c>
      <c r="O229" s="32"/>
      <c r="P229" s="415"/>
      <c r="Q229" s="415"/>
      <c r="R229" s="415"/>
      <c r="S229" s="63"/>
      <c r="T229" s="416">
        <f t="shared" ref="T229:AY229" si="15">SUM(T200:T225)</f>
        <v>15041.075000000001</v>
      </c>
      <c r="U229" s="416">
        <f t="shared" si="15"/>
        <v>0</v>
      </c>
      <c r="V229" s="416">
        <f t="shared" si="15"/>
        <v>0</v>
      </c>
      <c r="W229" s="416">
        <f t="shared" si="15"/>
        <v>0</v>
      </c>
      <c r="X229" s="416">
        <f t="shared" si="15"/>
        <v>0</v>
      </c>
      <c r="Y229" s="416">
        <f t="shared" si="15"/>
        <v>7968.8069999999998</v>
      </c>
      <c r="Z229" s="416">
        <f t="shared" si="15"/>
        <v>345.6</v>
      </c>
      <c r="AA229" s="416">
        <f t="shared" si="15"/>
        <v>0</v>
      </c>
      <c r="AB229" s="416">
        <f t="shared" si="15"/>
        <v>26030.2978</v>
      </c>
      <c r="AC229" s="416">
        <f t="shared" si="15"/>
        <v>16640.995200000005</v>
      </c>
      <c r="AD229" s="416">
        <f t="shared" si="15"/>
        <v>0</v>
      </c>
      <c r="AE229" s="416">
        <f t="shared" si="15"/>
        <v>0</v>
      </c>
      <c r="AF229" s="416">
        <f t="shared" si="15"/>
        <v>0</v>
      </c>
      <c r="AG229" s="416">
        <f t="shared" si="15"/>
        <v>0</v>
      </c>
      <c r="AH229" s="416">
        <f t="shared" si="15"/>
        <v>0</v>
      </c>
      <c r="AI229" s="416">
        <f t="shared" si="15"/>
        <v>0</v>
      </c>
      <c r="AJ229" s="416">
        <f t="shared" si="15"/>
        <v>0</v>
      </c>
      <c r="AK229" s="416">
        <f t="shared" si="15"/>
        <v>0</v>
      </c>
      <c r="AL229" s="416">
        <f t="shared" si="15"/>
        <v>0</v>
      </c>
      <c r="AM229" s="416">
        <f t="shared" si="15"/>
        <v>0</v>
      </c>
      <c r="AN229" s="416">
        <f t="shared" si="15"/>
        <v>0</v>
      </c>
      <c r="AO229" s="416">
        <f t="shared" si="15"/>
        <v>0</v>
      </c>
      <c r="AP229" s="416">
        <f t="shared" si="15"/>
        <v>0</v>
      </c>
      <c r="AQ229" s="416">
        <f t="shared" si="15"/>
        <v>0</v>
      </c>
      <c r="AR229" s="416">
        <f t="shared" si="15"/>
        <v>0</v>
      </c>
      <c r="AS229" s="416">
        <f t="shared" si="15"/>
        <v>0</v>
      </c>
      <c r="AT229" s="416">
        <f t="shared" si="15"/>
        <v>0</v>
      </c>
      <c r="AU229" s="416">
        <f t="shared" si="15"/>
        <v>0</v>
      </c>
      <c r="AV229" s="416">
        <f t="shared" si="15"/>
        <v>0</v>
      </c>
      <c r="AW229" s="416">
        <f t="shared" si="15"/>
        <v>0</v>
      </c>
      <c r="AX229" s="416">
        <f t="shared" si="15"/>
        <v>0</v>
      </c>
      <c r="AY229" s="416">
        <f t="shared" si="15"/>
        <v>7550.2250000000004</v>
      </c>
      <c r="AZ229" s="416">
        <f>SUM(T229:AY229)</f>
        <v>73577.000000000015</v>
      </c>
    </row>
    <row r="230" spans="2:52">
      <c r="B230" s="1243" t="s">
        <v>558</v>
      </c>
      <c r="C230" s="1244"/>
      <c r="D230" s="1244"/>
      <c r="E230" s="1244"/>
      <c r="F230" s="1244"/>
      <c r="G230" s="1245"/>
      <c r="H230" s="420">
        <f>H229-L194</f>
        <v>0</v>
      </c>
      <c r="I230" s="294"/>
      <c r="J230" s="295"/>
      <c r="K230" s="295"/>
      <c r="L230" s="296"/>
      <c r="M230" s="32"/>
      <c r="N230" s="32"/>
      <c r="O230" s="32"/>
      <c r="P230" s="32"/>
      <c r="Q230" s="297"/>
      <c r="R230" s="297"/>
      <c r="S230" s="32"/>
      <c r="T230" s="48"/>
      <c r="U230" s="48"/>
      <c r="V230" s="48"/>
      <c r="W230" s="48"/>
      <c r="X230" s="48"/>
      <c r="Y230" s="48"/>
      <c r="Z230" s="48"/>
      <c r="AA230" s="48"/>
      <c r="AB230" s="48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</row>
    <row r="231" spans="2:52">
      <c r="B231" s="1243" t="s">
        <v>559</v>
      </c>
      <c r="C231" s="1244"/>
      <c r="D231" s="1244"/>
      <c r="E231" s="1244"/>
      <c r="F231" s="1244"/>
      <c r="G231" s="1245"/>
      <c r="H231" s="420">
        <v>5912</v>
      </c>
      <c r="I231" s="52"/>
      <c r="J231" s="53"/>
      <c r="K231" s="53"/>
      <c r="L231" s="54"/>
      <c r="M231" s="32"/>
      <c r="N231" s="32"/>
      <c r="O231" s="32"/>
      <c r="P231" s="32"/>
      <c r="Q231" s="32"/>
      <c r="R231" s="32"/>
      <c r="S231" s="32"/>
      <c r="T231" s="48"/>
      <c r="U231" s="48"/>
      <c r="V231" s="48"/>
      <c r="W231" s="48"/>
      <c r="X231" s="48"/>
      <c r="Y231" s="48"/>
      <c r="Z231" s="48"/>
      <c r="AA231" s="48"/>
      <c r="AB231" s="48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</row>
    <row r="232" spans="2:52">
      <c r="B232" s="1243" t="s">
        <v>560</v>
      </c>
      <c r="C232" s="1244"/>
      <c r="D232" s="1244"/>
      <c r="E232" s="1244"/>
      <c r="F232" s="1244"/>
      <c r="G232" s="1245"/>
      <c r="H232" s="420">
        <f>H231-5726.758</f>
        <v>185.24200000000019</v>
      </c>
      <c r="I232" s="270"/>
      <c r="J232" s="53"/>
      <c r="K232" s="53"/>
      <c r="L232" s="54"/>
      <c r="M232" s="32"/>
      <c r="N232" s="32"/>
      <c r="O232" s="32"/>
      <c r="P232" s="32"/>
      <c r="Q232" s="32"/>
      <c r="R232" s="32"/>
      <c r="S232" s="48"/>
      <c r="T232" s="48"/>
      <c r="U232" s="48"/>
      <c r="V232" s="48"/>
      <c r="W232" s="48"/>
      <c r="X232" s="48"/>
      <c r="Y232" s="48"/>
      <c r="Z232" s="48"/>
      <c r="AA232" s="48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</row>
    <row r="233" spans="2:52">
      <c r="B233" s="32"/>
      <c r="C233" s="32"/>
      <c r="D233" s="32"/>
      <c r="E233" s="32"/>
      <c r="F233" s="32"/>
      <c r="G233" s="32"/>
      <c r="H233" s="32"/>
      <c r="I233" s="57"/>
      <c r="J233" s="52"/>
      <c r="K233" s="52"/>
      <c r="L233" s="55"/>
      <c r="M233" s="32"/>
      <c r="N233" s="32"/>
      <c r="O233" s="52"/>
      <c r="P233" s="32"/>
      <c r="Q233" s="32"/>
      <c r="R233" s="32"/>
      <c r="S233" s="32"/>
      <c r="T233" s="48"/>
      <c r="U233" s="48"/>
      <c r="V233" s="48"/>
      <c r="W233" s="48"/>
      <c r="X233" s="48"/>
      <c r="Y233" s="48"/>
      <c r="Z233" s="48"/>
      <c r="AA233" s="48"/>
      <c r="AB233" s="48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</row>
    <row r="234" spans="2:52">
      <c r="B234" s="40" t="s">
        <v>561</v>
      </c>
      <c r="C234" s="40"/>
      <c r="D234" s="32"/>
      <c r="E234" s="32"/>
      <c r="F234" s="32"/>
      <c r="G234" s="32"/>
      <c r="H234" s="32"/>
      <c r="I234" s="32"/>
      <c r="J234" s="52"/>
      <c r="K234" s="52"/>
      <c r="L234" s="55"/>
      <c r="M234" s="32"/>
      <c r="N234" s="32"/>
      <c r="O234" s="52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Z234" s="32"/>
    </row>
    <row r="235" spans="2:52">
      <c r="B235" s="422">
        <v>1</v>
      </c>
      <c r="C235" s="1249" t="s">
        <v>1718</v>
      </c>
      <c r="D235" s="1249"/>
      <c r="E235" s="1249"/>
      <c r="F235" s="1249"/>
      <c r="G235" s="1249"/>
      <c r="H235" s="1249"/>
      <c r="I235" s="1249"/>
      <c r="J235" s="1249"/>
      <c r="K235" s="1249"/>
      <c r="L235" s="55"/>
      <c r="M235" s="55"/>
      <c r="N235" s="32"/>
      <c r="O235" s="52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</row>
    <row r="237" spans="2:52">
      <c r="B237" s="28" t="s">
        <v>126</v>
      </c>
      <c r="C237" s="28"/>
      <c r="D237" s="29"/>
      <c r="E237" s="30" t="s">
        <v>511</v>
      </c>
      <c r="F237" s="31" t="s">
        <v>1571</v>
      </c>
      <c r="G237" s="32"/>
      <c r="H237" s="33"/>
      <c r="I237" s="34"/>
      <c r="J237" s="35" t="s">
        <v>513</v>
      </c>
      <c r="K237" s="36" t="s">
        <v>511</v>
      </c>
      <c r="L237" s="37">
        <v>45061.34375</v>
      </c>
      <c r="M237" s="32"/>
      <c r="N237" s="32"/>
      <c r="O237" s="206"/>
      <c r="P237" s="205"/>
      <c r="Q237" s="202"/>
      <c r="R237" s="204"/>
      <c r="S237" s="38"/>
      <c r="T237" s="201"/>
      <c r="U237" s="201"/>
      <c r="V237" s="201"/>
      <c r="W237" s="201"/>
      <c r="X237" s="201"/>
      <c r="Y237" s="201"/>
      <c r="Z237" s="201"/>
      <c r="AA237" s="201"/>
      <c r="AB237" s="202"/>
      <c r="AC237" s="202"/>
      <c r="AD237" s="202"/>
      <c r="AE237" s="202"/>
      <c r="AF237" s="202"/>
      <c r="AG237" s="201"/>
      <c r="AH237" s="201"/>
      <c r="AI237" s="201"/>
      <c r="AJ237" s="201"/>
      <c r="AK237" s="201"/>
      <c r="AL237" s="201"/>
      <c r="AM237" s="201"/>
      <c r="AN237" s="201"/>
      <c r="AO237" s="201"/>
      <c r="AP237" s="201"/>
      <c r="AQ237" s="201"/>
      <c r="AR237" s="201"/>
      <c r="AS237" s="201"/>
      <c r="AT237" s="201"/>
      <c r="AU237" s="201"/>
      <c r="AV237" s="201"/>
      <c r="AW237" s="201"/>
      <c r="AX237" s="201"/>
      <c r="AY237" s="201"/>
      <c r="AZ237" s="201"/>
    </row>
    <row r="238" spans="2:52">
      <c r="B238" s="35" t="s">
        <v>514</v>
      </c>
      <c r="C238" s="35"/>
      <c r="D238" s="32"/>
      <c r="E238" s="36" t="s">
        <v>511</v>
      </c>
      <c r="F238" s="37" t="s">
        <v>1723</v>
      </c>
      <c r="G238" s="32"/>
      <c r="H238" s="33"/>
      <c r="I238" s="34"/>
      <c r="J238" s="35" t="s">
        <v>516</v>
      </c>
      <c r="K238" s="36" t="s">
        <v>511</v>
      </c>
      <c r="L238" s="37">
        <v>45063.430555555555</v>
      </c>
      <c r="M238" s="32"/>
      <c r="N238" s="32"/>
      <c r="O238" s="206"/>
      <c r="P238" s="205"/>
      <c r="Q238" s="202"/>
      <c r="R238" s="204"/>
      <c r="S238" s="38"/>
      <c r="T238" s="201"/>
      <c r="U238" s="201"/>
      <c r="V238" s="201"/>
      <c r="W238" s="201"/>
      <c r="X238" s="201"/>
      <c r="Y238" s="201"/>
      <c r="Z238" s="201"/>
      <c r="AA238" s="201"/>
      <c r="AB238" s="202"/>
      <c r="AC238" s="202"/>
      <c r="AD238" s="202"/>
      <c r="AE238" s="202"/>
      <c r="AF238" s="202"/>
      <c r="AG238" s="201"/>
      <c r="AH238" s="201"/>
      <c r="AI238" s="201"/>
      <c r="AJ238" s="201"/>
      <c r="AK238" s="201"/>
      <c r="AL238" s="201"/>
      <c r="AM238" s="201"/>
      <c r="AN238" s="201"/>
      <c r="AO238" s="201"/>
      <c r="AP238" s="201"/>
      <c r="AQ238" s="201"/>
      <c r="AR238" s="201"/>
      <c r="AS238" s="201"/>
      <c r="AT238" s="201"/>
      <c r="AU238" s="201"/>
      <c r="AV238" s="201"/>
      <c r="AW238" s="201"/>
      <c r="AX238" s="201"/>
      <c r="AY238" s="201"/>
      <c r="AZ238" s="201"/>
    </row>
    <row r="239" spans="2:52">
      <c r="B239" s="35" t="s">
        <v>517</v>
      </c>
      <c r="C239" s="35"/>
      <c r="D239" s="32"/>
      <c r="E239" s="36" t="s">
        <v>511</v>
      </c>
      <c r="F239" s="37">
        <v>45054.5625</v>
      </c>
      <c r="G239" s="32"/>
      <c r="H239" s="33"/>
      <c r="I239" s="34"/>
      <c r="J239" s="35" t="s">
        <v>518</v>
      </c>
      <c r="K239" s="36" t="s">
        <v>511</v>
      </c>
      <c r="L239" s="50">
        <v>54015</v>
      </c>
      <c r="M239" s="40" t="s">
        <v>519</v>
      </c>
      <c r="N239" s="40"/>
      <c r="O239" s="206"/>
      <c r="P239" s="205"/>
      <c r="Q239" s="202"/>
      <c r="R239" s="204"/>
      <c r="S239" s="38"/>
      <c r="T239" s="201"/>
      <c r="U239" s="201"/>
      <c r="V239" s="201"/>
      <c r="W239" s="201"/>
      <c r="X239" s="201"/>
      <c r="Y239" s="201"/>
      <c r="Z239" s="201"/>
      <c r="AA239" s="201"/>
      <c r="AB239" s="202"/>
      <c r="AC239" s="202"/>
      <c r="AD239" s="202"/>
      <c r="AE239" s="202"/>
      <c r="AF239" s="202"/>
      <c r="AG239" s="201"/>
      <c r="AH239" s="201"/>
      <c r="AI239" s="201"/>
      <c r="AJ239" s="201"/>
      <c r="AK239" s="201"/>
      <c r="AL239" s="201"/>
      <c r="AM239" s="201"/>
      <c r="AN239" s="201"/>
      <c r="AO239" s="201"/>
      <c r="AP239" s="201"/>
      <c r="AQ239" s="201"/>
      <c r="AR239" s="201"/>
      <c r="AS239" s="201"/>
      <c r="AT239" s="201"/>
      <c r="AU239" s="201"/>
      <c r="AV239" s="201"/>
      <c r="AW239" s="201"/>
      <c r="AX239" s="201"/>
      <c r="AY239" s="201"/>
      <c r="AZ239" s="201"/>
    </row>
    <row r="240" spans="2:52">
      <c r="B240" s="35" t="s">
        <v>520</v>
      </c>
      <c r="C240" s="35"/>
      <c r="D240" s="32"/>
      <c r="E240" s="36" t="s">
        <v>511</v>
      </c>
      <c r="F240" s="37" t="s">
        <v>12</v>
      </c>
      <c r="G240" s="32"/>
      <c r="H240" s="33"/>
      <c r="I240" s="34"/>
      <c r="J240" s="35" t="s">
        <v>521</v>
      </c>
      <c r="K240" s="36" t="s">
        <v>511</v>
      </c>
      <c r="L240" s="41" t="s">
        <v>1724</v>
      </c>
      <c r="M240" s="32"/>
      <c r="N240" s="32"/>
      <c r="O240" s="206"/>
      <c r="P240" s="202"/>
      <c r="Q240" s="202"/>
      <c r="R240" s="204"/>
      <c r="S240" s="38"/>
      <c r="T240" s="201"/>
      <c r="U240" s="201"/>
      <c r="V240" s="201"/>
      <c r="W240" s="201"/>
      <c r="X240" s="201"/>
      <c r="Y240" s="201"/>
      <c r="Z240" s="201"/>
      <c r="AA240" s="201"/>
      <c r="AB240" s="202"/>
      <c r="AC240" s="202"/>
      <c r="AD240" s="202"/>
      <c r="AE240" s="202"/>
      <c r="AF240" s="202"/>
      <c r="AG240" s="201"/>
      <c r="AH240" s="201"/>
      <c r="AI240" s="201"/>
      <c r="AJ240" s="201"/>
      <c r="AK240" s="201"/>
      <c r="AL240" s="201"/>
      <c r="AM240" s="201"/>
      <c r="AN240" s="201"/>
      <c r="AO240" s="201"/>
      <c r="AP240" s="201"/>
      <c r="AQ240" s="201"/>
      <c r="AR240" s="201"/>
      <c r="AS240" s="201"/>
      <c r="AT240" s="201"/>
      <c r="AU240" s="201"/>
      <c r="AV240" s="201"/>
      <c r="AW240" s="201"/>
      <c r="AX240" s="201"/>
      <c r="AY240" s="201"/>
      <c r="AZ240" s="201"/>
    </row>
    <row r="241" spans="2:52">
      <c r="B241" s="35" t="s">
        <v>523</v>
      </c>
      <c r="C241" s="35"/>
      <c r="D241" s="32"/>
      <c r="E241" s="36" t="s">
        <v>511</v>
      </c>
      <c r="F241" s="37" t="s">
        <v>37</v>
      </c>
      <c r="G241" s="32"/>
      <c r="H241" s="33"/>
      <c r="I241" s="34"/>
      <c r="J241" s="42" t="s">
        <v>524</v>
      </c>
      <c r="K241" s="36" t="s">
        <v>511</v>
      </c>
      <c r="L241" s="43" t="s">
        <v>11</v>
      </c>
      <c r="M241" s="44"/>
      <c r="N241" s="44"/>
      <c r="O241" s="206"/>
      <c r="P241" s="205"/>
      <c r="Q241" s="202"/>
      <c r="R241" s="204"/>
      <c r="S241" s="38"/>
      <c r="T241" s="201"/>
      <c r="U241" s="201"/>
      <c r="V241" s="201"/>
      <c r="W241" s="201"/>
      <c r="X241" s="201"/>
      <c r="Y241" s="201"/>
      <c r="Z241" s="201"/>
      <c r="AA241" s="201"/>
      <c r="AB241" s="202"/>
      <c r="AC241" s="202"/>
      <c r="AD241" s="202"/>
      <c r="AE241" s="202"/>
      <c r="AF241" s="202"/>
      <c r="AG241" s="201"/>
      <c r="AH241" s="201"/>
      <c r="AI241" s="201"/>
      <c r="AJ241" s="201"/>
      <c r="AK241" s="201"/>
      <c r="AL241" s="201"/>
      <c r="AM241" s="201"/>
      <c r="AN241" s="201"/>
      <c r="AO241" s="201"/>
      <c r="AP241" s="201"/>
      <c r="AQ241" s="201"/>
      <c r="AR241" s="201"/>
      <c r="AS241" s="201"/>
      <c r="AT241" s="201"/>
      <c r="AU241" s="201"/>
      <c r="AV241" s="201"/>
      <c r="AW241" s="201"/>
      <c r="AX241" s="201"/>
      <c r="AY241" s="201"/>
      <c r="AZ241" s="201"/>
    </row>
    <row r="242" spans="2:52">
      <c r="B242" s="35" t="s">
        <v>2</v>
      </c>
      <c r="C242" s="35"/>
      <c r="D242" s="32"/>
      <c r="E242" s="36" t="s">
        <v>511</v>
      </c>
      <c r="F242" s="37" t="s">
        <v>38</v>
      </c>
      <c r="G242" s="32"/>
      <c r="H242" s="33"/>
      <c r="I242" s="45"/>
      <c r="J242" s="42"/>
      <c r="K242" s="36"/>
      <c r="L242" s="211"/>
      <c r="M242" s="201"/>
      <c r="N242" s="201"/>
      <c r="O242" s="42"/>
      <c r="P242" s="44"/>
      <c r="Q242" s="44"/>
      <c r="R242" s="44"/>
      <c r="S242" s="34"/>
      <c r="T242" s="201"/>
      <c r="U242" s="201"/>
      <c r="V242" s="201"/>
      <c r="W242" s="201"/>
      <c r="X242" s="201"/>
      <c r="Y242" s="201"/>
      <c r="Z242" s="201"/>
      <c r="AA242" s="201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201"/>
      <c r="AP242" s="201"/>
      <c r="AQ242" s="201"/>
      <c r="AR242" s="201"/>
      <c r="AS242" s="201"/>
      <c r="AT242" s="201"/>
      <c r="AU242" s="201"/>
      <c r="AV242" s="201"/>
      <c r="AW242" s="201"/>
      <c r="AX242" s="201"/>
      <c r="AY242" s="201"/>
      <c r="AZ242" s="201"/>
    </row>
    <row r="243" spans="2:52">
      <c r="B243" s="201"/>
      <c r="C243" s="201"/>
      <c r="D243" s="201"/>
      <c r="E243" s="201"/>
      <c r="F243" s="201"/>
      <c r="G243" s="201"/>
      <c r="H243" s="201"/>
      <c r="I243" s="45"/>
      <c r="J243" s="42"/>
      <c r="K243" s="42"/>
      <c r="L243" s="43"/>
      <c r="M243" s="44"/>
      <c r="N243" s="44"/>
      <c r="O243" s="42"/>
      <c r="P243" s="44"/>
      <c r="Q243" s="44"/>
      <c r="R243" s="44"/>
      <c r="S243" s="34"/>
      <c r="T243" s="1265" t="s">
        <v>87</v>
      </c>
      <c r="U243" s="1265"/>
      <c r="V243" s="1265"/>
      <c r="W243" s="1265"/>
      <c r="X243" s="1265"/>
      <c r="Y243" s="1265" t="s">
        <v>73</v>
      </c>
      <c r="Z243" s="1265"/>
      <c r="AA243" s="1265"/>
      <c r="AB243" s="1265" t="s">
        <v>74</v>
      </c>
      <c r="AC243" s="1265"/>
      <c r="AD243" s="423" t="s">
        <v>85</v>
      </c>
      <c r="AE243" s="423" t="s">
        <v>77</v>
      </c>
      <c r="AF243" s="1265" t="s">
        <v>525</v>
      </c>
      <c r="AG243" s="1265"/>
      <c r="AH243" s="1265"/>
      <c r="AI243" s="1265"/>
      <c r="AJ243" s="1265"/>
      <c r="AK243" s="1265"/>
      <c r="AL243" s="1265"/>
      <c r="AM243" s="1265"/>
      <c r="AN243" s="1265"/>
      <c r="AO243" s="1265"/>
      <c r="AP243" s="1265"/>
      <c r="AQ243" s="1265"/>
      <c r="AR243" s="1265"/>
      <c r="AS243" s="1265"/>
      <c r="AT243" s="1265"/>
      <c r="AU243" s="1265"/>
      <c r="AV243" s="1265"/>
      <c r="AW243" s="1265"/>
      <c r="AX243" s="1265"/>
      <c r="AY243" s="1265"/>
      <c r="AZ243" s="201"/>
    </row>
    <row r="244" spans="2:52">
      <c r="B244" s="1266" t="s">
        <v>526</v>
      </c>
      <c r="C244" s="1267"/>
      <c r="D244" s="570" t="s">
        <v>527</v>
      </c>
      <c r="E244" s="570"/>
      <c r="F244" s="570" t="s">
        <v>528</v>
      </c>
      <c r="G244" s="570" t="s">
        <v>529</v>
      </c>
      <c r="H244" s="570" t="s">
        <v>530</v>
      </c>
      <c r="I244" s="570" t="s">
        <v>531</v>
      </c>
      <c r="J244" s="570" t="s">
        <v>532</v>
      </c>
      <c r="K244" s="570"/>
      <c r="L244" s="570" t="s">
        <v>130</v>
      </c>
      <c r="M244" s="570" t="s">
        <v>533</v>
      </c>
      <c r="N244" s="408" t="str">
        <f>"On time - "&amp;COUNTIF(N245:N251,"On time")&amp;" from "&amp;ROWS(N245:N251)-COUNTIF(N245:N251," ")</f>
        <v>On time - 0 from 7</v>
      </c>
      <c r="O244" s="46"/>
      <c r="P244" s="409" t="s">
        <v>534</v>
      </c>
      <c r="Q244" s="409" t="s">
        <v>535</v>
      </c>
      <c r="R244" s="409" t="s">
        <v>536</v>
      </c>
      <c r="S244" s="32"/>
      <c r="T244" s="424" t="s">
        <v>537</v>
      </c>
      <c r="U244" s="424" t="s">
        <v>538</v>
      </c>
      <c r="V244" s="424" t="s">
        <v>539</v>
      </c>
      <c r="W244" s="424" t="s">
        <v>540</v>
      </c>
      <c r="X244" s="424" t="s">
        <v>541</v>
      </c>
      <c r="Y244" s="424" t="s">
        <v>167</v>
      </c>
      <c r="Z244" s="424" t="s">
        <v>168</v>
      </c>
      <c r="AA244" s="424" t="s">
        <v>169</v>
      </c>
      <c r="AB244" s="424" t="s">
        <v>235</v>
      </c>
      <c r="AC244" s="424" t="s">
        <v>240</v>
      </c>
      <c r="AD244" s="423" t="s">
        <v>85</v>
      </c>
      <c r="AE244" s="424" t="s">
        <v>139</v>
      </c>
      <c r="AF244" s="424" t="s">
        <v>72</v>
      </c>
      <c r="AG244" s="424" t="s">
        <v>88</v>
      </c>
      <c r="AH244" s="424" t="s">
        <v>75</v>
      </c>
      <c r="AI244" s="424" t="s">
        <v>543</v>
      </c>
      <c r="AJ244" s="424" t="s">
        <v>78</v>
      </c>
      <c r="AK244" s="424" t="s">
        <v>76</v>
      </c>
      <c r="AL244" s="424" t="s">
        <v>544</v>
      </c>
      <c r="AM244" s="424" t="s">
        <v>545</v>
      </c>
      <c r="AN244" s="424" t="s">
        <v>86</v>
      </c>
      <c r="AO244" s="424" t="s">
        <v>83</v>
      </c>
      <c r="AP244" s="424" t="s">
        <v>84</v>
      </c>
      <c r="AQ244" s="424" t="s">
        <v>546</v>
      </c>
      <c r="AR244" s="424" t="s">
        <v>81</v>
      </c>
      <c r="AS244" s="424" t="s">
        <v>80</v>
      </c>
      <c r="AT244" s="424" t="s">
        <v>82</v>
      </c>
      <c r="AU244" s="424" t="s">
        <v>181</v>
      </c>
      <c r="AV244" s="424" t="s">
        <v>183</v>
      </c>
      <c r="AW244" s="424" t="s">
        <v>547</v>
      </c>
      <c r="AX244" s="424" t="s">
        <v>182</v>
      </c>
      <c r="AY244" s="424" t="s">
        <v>172</v>
      </c>
      <c r="AZ244" s="201"/>
    </row>
    <row r="245" spans="2:52">
      <c r="B245" s="1250" t="s">
        <v>653</v>
      </c>
      <c r="C245" s="1251"/>
      <c r="D245" s="411" t="s">
        <v>1661</v>
      </c>
      <c r="E245" s="411"/>
      <c r="F245" s="411" t="s">
        <v>298</v>
      </c>
      <c r="G245" s="411" t="s">
        <v>299</v>
      </c>
      <c r="H245" s="412">
        <v>10429.396000000001</v>
      </c>
      <c r="I245" s="413" t="s">
        <v>835</v>
      </c>
      <c r="J245" s="414">
        <v>45058.479166666664</v>
      </c>
      <c r="K245" s="414"/>
      <c r="L245" s="414" t="s">
        <v>192</v>
      </c>
      <c r="M245" s="414" t="s">
        <v>192</v>
      </c>
      <c r="N245" s="413" t="str">
        <f t="shared" ref="N245:N253" si="16">IF(ISBLANK(J245)," ",IF(J245&lt;$F$239,"On time",(IF(DAY(J245-$F$239)&lt;1,"On time",(IF(J245&gt;$F$239,"DELAY ( "&amp;DAY(J245-$F$239)&amp;" day "&amp;HOUR(J245-$F$239)&amp;" hour "&amp;MINUTE(J245-$F$239)&amp;" minute )","xxx"))))))</f>
        <v>DELAY ( 3 day 22 hour 0 minute )</v>
      </c>
      <c r="O245" s="51"/>
      <c r="P245" s="415" t="s">
        <v>551</v>
      </c>
      <c r="Q245" s="415" t="s">
        <v>551</v>
      </c>
      <c r="R245" s="415" t="s">
        <v>551</v>
      </c>
      <c r="S245" s="32"/>
      <c r="T245" s="416"/>
      <c r="U245" s="416"/>
      <c r="V245" s="416"/>
      <c r="W245" s="416"/>
      <c r="X245" s="416"/>
      <c r="Y245" s="416"/>
      <c r="Z245" s="416">
        <f>H245</f>
        <v>10429.396000000001</v>
      </c>
      <c r="AA245" s="416"/>
      <c r="AB245" s="416"/>
      <c r="AC245" s="416"/>
      <c r="AD245" s="416"/>
      <c r="AE245" s="416"/>
      <c r="AF245" s="416"/>
      <c r="AG245" s="416"/>
      <c r="AH245" s="416"/>
      <c r="AI245" s="416"/>
      <c r="AJ245" s="416"/>
      <c r="AK245" s="416"/>
      <c r="AL245" s="416"/>
      <c r="AM245" s="416"/>
      <c r="AN245" s="416"/>
      <c r="AO245" s="416"/>
      <c r="AP245" s="416"/>
      <c r="AQ245" s="416"/>
      <c r="AR245" s="416"/>
      <c r="AS245" s="416"/>
      <c r="AT245" s="416"/>
      <c r="AU245" s="416"/>
      <c r="AV245" s="416"/>
      <c r="AW245" s="416"/>
      <c r="AX245" s="416"/>
      <c r="AY245" s="416"/>
      <c r="AZ245" s="32"/>
    </row>
    <row r="246" spans="2:52">
      <c r="B246" s="1254"/>
      <c r="C246" s="1255"/>
      <c r="D246" s="411" t="s">
        <v>1666</v>
      </c>
      <c r="E246" s="411"/>
      <c r="F246" s="411" t="s">
        <v>367</v>
      </c>
      <c r="G246" s="411" t="s">
        <v>368</v>
      </c>
      <c r="H246" s="412">
        <v>9893.0660000000007</v>
      </c>
      <c r="I246" s="413" t="s">
        <v>835</v>
      </c>
      <c r="J246" s="414">
        <v>45058.458333333336</v>
      </c>
      <c r="K246" s="414"/>
      <c r="L246" s="414" t="s">
        <v>192</v>
      </c>
      <c r="M246" s="414" t="s">
        <v>192</v>
      </c>
      <c r="N246" s="413" t="str">
        <f t="shared" si="16"/>
        <v>DELAY ( 3 day 21 hour 30 minute )</v>
      </c>
      <c r="O246" s="51"/>
      <c r="P246" s="415" t="s">
        <v>551</v>
      </c>
      <c r="Q246" s="415" t="s">
        <v>551</v>
      </c>
      <c r="R246" s="415" t="s">
        <v>551</v>
      </c>
      <c r="S246" s="32"/>
      <c r="T246" s="416"/>
      <c r="U246" s="416"/>
      <c r="V246" s="416"/>
      <c r="W246" s="416"/>
      <c r="X246" s="416"/>
      <c r="Y246" s="416"/>
      <c r="Z246" s="416">
        <f>H246</f>
        <v>9893.0660000000007</v>
      </c>
      <c r="AA246" s="416"/>
      <c r="AB246" s="416"/>
      <c r="AC246" s="416"/>
      <c r="AD246" s="416"/>
      <c r="AE246" s="416"/>
      <c r="AF246" s="416"/>
      <c r="AG246" s="416"/>
      <c r="AH246" s="416"/>
      <c r="AI246" s="416"/>
      <c r="AJ246" s="416"/>
      <c r="AK246" s="416"/>
      <c r="AL246" s="416"/>
      <c r="AM246" s="416"/>
      <c r="AN246" s="416"/>
      <c r="AO246" s="416"/>
      <c r="AP246" s="416"/>
      <c r="AQ246" s="416"/>
      <c r="AR246" s="416"/>
      <c r="AS246" s="416"/>
      <c r="AT246" s="416"/>
      <c r="AU246" s="416"/>
      <c r="AV246" s="416"/>
      <c r="AW246" s="416"/>
      <c r="AX246" s="416"/>
      <c r="AY246" s="416"/>
      <c r="AZ246" s="32"/>
    </row>
    <row r="247" spans="2:52">
      <c r="B247" s="1250" t="s">
        <v>653</v>
      </c>
      <c r="C247" s="1251"/>
      <c r="D247" s="411" t="s">
        <v>1662</v>
      </c>
      <c r="E247" s="411"/>
      <c r="F247" s="411" t="s">
        <v>1240</v>
      </c>
      <c r="G247" s="411" t="s">
        <v>1241</v>
      </c>
      <c r="H247" s="412">
        <v>7610.4480000000003</v>
      </c>
      <c r="I247" s="413" t="s">
        <v>835</v>
      </c>
      <c r="J247" s="414">
        <v>45058.805555555555</v>
      </c>
      <c r="K247" s="414"/>
      <c r="L247" s="414" t="s">
        <v>192</v>
      </c>
      <c r="M247" s="414" t="s">
        <v>192</v>
      </c>
      <c r="N247" s="413" t="str">
        <f t="shared" si="16"/>
        <v>DELAY ( 4 day 5 hour 50 minute )</v>
      </c>
      <c r="O247" s="51"/>
      <c r="P247" s="415" t="s">
        <v>551</v>
      </c>
      <c r="Q247" s="415" t="s">
        <v>551</v>
      </c>
      <c r="R247" s="415" t="s">
        <v>551</v>
      </c>
      <c r="S247" s="32"/>
      <c r="T247" s="416"/>
      <c r="U247" s="416"/>
      <c r="V247" s="416"/>
      <c r="W247" s="416"/>
      <c r="X247" s="416"/>
      <c r="Y247" s="416"/>
      <c r="Z247" s="416">
        <f>H247</f>
        <v>7610.4480000000003</v>
      </c>
      <c r="AA247" s="416"/>
      <c r="AB247" s="416"/>
      <c r="AC247" s="416"/>
      <c r="AD247" s="416"/>
      <c r="AE247" s="416"/>
      <c r="AF247" s="416"/>
      <c r="AG247" s="416"/>
      <c r="AH247" s="416"/>
      <c r="AI247" s="416"/>
      <c r="AJ247" s="416"/>
      <c r="AK247" s="416"/>
      <c r="AL247" s="416"/>
      <c r="AM247" s="416"/>
      <c r="AN247" s="416"/>
      <c r="AO247" s="416"/>
      <c r="AP247" s="416"/>
      <c r="AQ247" s="416"/>
      <c r="AR247" s="416"/>
      <c r="AS247" s="416"/>
      <c r="AT247" s="32"/>
      <c r="AU247" s="416"/>
      <c r="AV247" s="32"/>
      <c r="AW247" s="416"/>
      <c r="AX247" s="416"/>
      <c r="AY247" s="416"/>
      <c r="AZ247" s="32"/>
    </row>
    <row r="248" spans="2:52">
      <c r="B248" s="1254"/>
      <c r="C248" s="1255"/>
      <c r="D248" s="411" t="s">
        <v>1664</v>
      </c>
      <c r="E248" s="411"/>
      <c r="F248" s="411" t="s">
        <v>201</v>
      </c>
      <c r="G248" s="411" t="s">
        <v>202</v>
      </c>
      <c r="H248" s="412">
        <v>7539.6149999999998</v>
      </c>
      <c r="I248" s="413" t="s">
        <v>494</v>
      </c>
      <c r="J248" s="414">
        <v>45058.840277777781</v>
      </c>
      <c r="K248" s="414"/>
      <c r="L248" s="414" t="s">
        <v>192</v>
      </c>
      <c r="M248" s="414" t="s">
        <v>192</v>
      </c>
      <c r="N248" s="413" t="str">
        <f t="shared" si="16"/>
        <v>DELAY ( 4 day 6 hour 40 minute )</v>
      </c>
      <c r="O248" s="51"/>
      <c r="P248" s="415" t="s">
        <v>551</v>
      </c>
      <c r="Q248" s="415" t="s">
        <v>551</v>
      </c>
      <c r="R248" s="415" t="s">
        <v>551</v>
      </c>
      <c r="S248" s="32"/>
      <c r="T248" s="416"/>
      <c r="U248" s="416"/>
      <c r="V248" s="416"/>
      <c r="W248" s="416"/>
      <c r="X248" s="416"/>
      <c r="Y248" s="416">
        <f>H248</f>
        <v>7539.6149999999998</v>
      </c>
      <c r="Z248" s="416"/>
      <c r="AA248" s="416"/>
      <c r="AB248" s="416"/>
      <c r="AC248" s="416"/>
      <c r="AD248" s="416"/>
      <c r="AE248" s="416"/>
      <c r="AF248" s="416"/>
      <c r="AG248" s="416"/>
      <c r="AH248" s="416"/>
      <c r="AI248" s="416"/>
      <c r="AJ248" s="416"/>
      <c r="AK248" s="416"/>
      <c r="AL248" s="416"/>
      <c r="AM248" s="416"/>
      <c r="AN248" s="416"/>
      <c r="AO248" s="416"/>
      <c r="AP248" s="416"/>
      <c r="AQ248" s="416"/>
      <c r="AR248" s="416"/>
      <c r="AS248" s="416"/>
      <c r="AT248" s="416"/>
      <c r="AU248" s="416"/>
      <c r="AV248" s="416"/>
      <c r="AW248" s="416"/>
      <c r="AX248" s="416"/>
      <c r="AY248" s="416"/>
      <c r="AZ248" s="32"/>
    </row>
    <row r="249" spans="2:52">
      <c r="B249" s="1250" t="s">
        <v>653</v>
      </c>
      <c r="C249" s="1251"/>
      <c r="D249" s="411" t="s">
        <v>1572</v>
      </c>
      <c r="E249" s="411"/>
      <c r="F249" s="411" t="s">
        <v>252</v>
      </c>
      <c r="G249" s="411" t="s">
        <v>253</v>
      </c>
      <c r="H249" s="412">
        <v>7556.8</v>
      </c>
      <c r="I249" s="413" t="s">
        <v>1164</v>
      </c>
      <c r="J249" s="414">
        <v>45058.375</v>
      </c>
      <c r="K249" s="414"/>
      <c r="L249" s="414" t="s">
        <v>192</v>
      </c>
      <c r="M249" s="414" t="s">
        <v>192</v>
      </c>
      <c r="N249" s="413" t="str">
        <f t="shared" si="16"/>
        <v>DELAY ( 3 day 19 hour 30 minute )</v>
      </c>
      <c r="O249" s="51"/>
      <c r="P249" s="415" t="s">
        <v>551</v>
      </c>
      <c r="Q249" s="415" t="s">
        <v>551</v>
      </c>
      <c r="R249" s="415" t="s">
        <v>551</v>
      </c>
      <c r="S249" s="32"/>
      <c r="T249" s="416"/>
      <c r="U249" s="416"/>
      <c r="V249" s="416"/>
      <c r="W249" s="416"/>
      <c r="X249" s="416">
        <f>H249</f>
        <v>7556.8</v>
      </c>
      <c r="Y249" s="416"/>
      <c r="Z249" s="416"/>
      <c r="AA249" s="416"/>
      <c r="AB249" s="416"/>
      <c r="AC249" s="416"/>
      <c r="AD249" s="416"/>
      <c r="AE249" s="416"/>
      <c r="AF249" s="416"/>
      <c r="AG249" s="416"/>
      <c r="AH249" s="416"/>
      <c r="AI249" s="416"/>
      <c r="AJ249" s="416"/>
      <c r="AK249" s="416"/>
      <c r="AL249" s="416"/>
      <c r="AM249" s="416"/>
      <c r="AN249" s="416"/>
      <c r="AO249" s="416"/>
      <c r="AP249" s="416"/>
      <c r="AQ249" s="416"/>
      <c r="AR249" s="416"/>
      <c r="AS249" s="416"/>
      <c r="AT249" s="416"/>
      <c r="AU249" s="416"/>
      <c r="AV249" s="416"/>
      <c r="AW249" s="416"/>
      <c r="AX249" s="416"/>
      <c r="AY249" s="416"/>
      <c r="AZ249" s="32"/>
    </row>
    <row r="250" spans="2:52">
      <c r="B250" s="1254"/>
      <c r="C250" s="1255"/>
      <c r="D250" s="411" t="s">
        <v>1665</v>
      </c>
      <c r="E250" s="411"/>
      <c r="F250" s="411" t="s">
        <v>222</v>
      </c>
      <c r="G250" s="411" t="s">
        <v>223</v>
      </c>
      <c r="H250" s="412">
        <v>7622.7749999999996</v>
      </c>
      <c r="I250" s="413" t="s">
        <v>494</v>
      </c>
      <c r="J250" s="414">
        <v>45059.354166666664</v>
      </c>
      <c r="K250" s="414"/>
      <c r="L250" s="414" t="s">
        <v>192</v>
      </c>
      <c r="M250" s="414" t="s">
        <v>192</v>
      </c>
      <c r="N250" s="413" t="str">
        <f t="shared" si="16"/>
        <v>DELAY ( 4 day 19 hour 0 minute )</v>
      </c>
      <c r="O250" s="51"/>
      <c r="P250" s="415" t="s">
        <v>551</v>
      </c>
      <c r="Q250" s="415" t="s">
        <v>551</v>
      </c>
      <c r="R250" s="415" t="s">
        <v>551</v>
      </c>
      <c r="S250" s="32"/>
      <c r="T250" s="416"/>
      <c r="U250" s="416"/>
      <c r="V250" s="416"/>
      <c r="W250" s="416"/>
      <c r="X250" s="416"/>
      <c r="Y250" s="416">
        <f>H250</f>
        <v>7622.7749999999996</v>
      </c>
      <c r="Z250" s="416"/>
      <c r="AA250" s="416"/>
      <c r="AB250" s="32"/>
      <c r="AC250" s="416"/>
      <c r="AD250" s="416"/>
      <c r="AE250" s="416"/>
      <c r="AF250" s="416"/>
      <c r="AG250" s="416"/>
      <c r="AH250" s="416"/>
      <c r="AI250" s="416"/>
      <c r="AJ250" s="416"/>
      <c r="AK250" s="416"/>
      <c r="AL250" s="416"/>
      <c r="AM250" s="416"/>
      <c r="AN250" s="416"/>
      <c r="AO250" s="416"/>
      <c r="AP250" s="416"/>
      <c r="AQ250" s="416"/>
      <c r="AR250" s="416"/>
      <c r="AS250" s="416"/>
      <c r="AT250" s="416"/>
      <c r="AU250" s="416"/>
      <c r="AV250" s="32"/>
      <c r="AW250" s="416"/>
      <c r="AX250" s="416"/>
      <c r="AY250" s="416"/>
      <c r="AZ250" s="32"/>
    </row>
    <row r="251" spans="2:52">
      <c r="B251" s="1256" t="s">
        <v>548</v>
      </c>
      <c r="C251" s="1257"/>
      <c r="D251" s="411" t="s">
        <v>1667</v>
      </c>
      <c r="E251" s="411"/>
      <c r="F251" s="411" t="s">
        <v>301</v>
      </c>
      <c r="G251" s="411" t="s">
        <v>302</v>
      </c>
      <c r="H251" s="412">
        <f>9129.242-5766.342</f>
        <v>3362.9000000000005</v>
      </c>
      <c r="I251" s="413" t="s">
        <v>494</v>
      </c>
      <c r="J251" s="414">
        <v>45059.520833333336</v>
      </c>
      <c r="K251" s="414"/>
      <c r="L251" s="414" t="s">
        <v>192</v>
      </c>
      <c r="M251" s="414" t="s">
        <v>192</v>
      </c>
      <c r="N251" s="413" t="str">
        <f t="shared" si="16"/>
        <v>DELAY ( 4 day 23 hour 0 minute )</v>
      </c>
      <c r="O251" s="51"/>
      <c r="P251" s="415" t="s">
        <v>551</v>
      </c>
      <c r="Q251" s="415" t="s">
        <v>551</v>
      </c>
      <c r="R251" s="415" t="s">
        <v>551</v>
      </c>
      <c r="S251" s="32"/>
      <c r="T251" s="416"/>
      <c r="U251" s="416"/>
      <c r="V251" s="416"/>
      <c r="W251" s="416"/>
      <c r="X251" s="416"/>
      <c r="Y251" s="416">
        <f>H251</f>
        <v>3362.9000000000005</v>
      </c>
      <c r="Z251" s="416"/>
      <c r="AA251" s="416"/>
      <c r="AB251" s="416"/>
      <c r="AC251" s="416"/>
      <c r="AD251" s="416"/>
      <c r="AE251" s="416"/>
      <c r="AF251" s="416"/>
      <c r="AG251" s="416"/>
      <c r="AH251" s="416"/>
      <c r="AI251" s="416"/>
      <c r="AJ251" s="416"/>
      <c r="AK251" s="416"/>
      <c r="AL251" s="416"/>
      <c r="AM251" s="416"/>
      <c r="AN251" s="416"/>
      <c r="AO251" s="416"/>
      <c r="AP251" s="416"/>
      <c r="AQ251" s="416"/>
      <c r="AR251" s="416"/>
      <c r="AS251" s="416"/>
      <c r="AT251" s="416"/>
      <c r="AU251" s="416"/>
      <c r="AV251" s="416"/>
      <c r="AW251" s="416"/>
      <c r="AX251" s="416"/>
      <c r="AY251" s="416"/>
      <c r="AZ251" s="32"/>
    </row>
    <row r="252" spans="2:52">
      <c r="B252" s="1258" t="s">
        <v>556</v>
      </c>
      <c r="C252" s="1259"/>
      <c r="D252" s="1259"/>
      <c r="E252" s="1259"/>
      <c r="F252" s="1259"/>
      <c r="G252" s="1260"/>
      <c r="H252" s="417">
        <f>SUM(H245:H251)</f>
        <v>54015.000000000007</v>
      </c>
      <c r="I252" s="388"/>
      <c r="J252" s="293"/>
      <c r="K252" s="293"/>
      <c r="L252" s="293"/>
      <c r="M252" s="389"/>
      <c r="N252" s="413" t="str">
        <f t="shared" si="16"/>
        <v xml:space="preserve"> </v>
      </c>
      <c r="O252" s="212"/>
      <c r="P252" s="418"/>
      <c r="Q252" s="418"/>
      <c r="R252" s="418"/>
      <c r="S252" s="207"/>
      <c r="T252" s="1262"/>
      <c r="U252" s="1263"/>
      <c r="V252" s="1263"/>
      <c r="W252" s="1263"/>
      <c r="X252" s="1263"/>
      <c r="Y252" s="1263"/>
      <c r="Z252" s="1263"/>
      <c r="AA252" s="1263"/>
      <c r="AB252" s="1263"/>
      <c r="AC252" s="1263"/>
      <c r="AD252" s="1263"/>
      <c r="AE252" s="1263"/>
      <c r="AF252" s="1263"/>
      <c r="AG252" s="1263"/>
      <c r="AH252" s="1263"/>
      <c r="AI252" s="1263"/>
      <c r="AJ252" s="1263"/>
      <c r="AK252" s="1263"/>
      <c r="AL252" s="1263"/>
      <c r="AM252" s="1263"/>
      <c r="AN252" s="1263"/>
      <c r="AO252" s="1263"/>
      <c r="AP252" s="1263"/>
      <c r="AQ252" s="1263"/>
      <c r="AR252" s="1263"/>
      <c r="AS252" s="1263"/>
      <c r="AT252" s="1263"/>
      <c r="AU252" s="1263"/>
      <c r="AV252" s="1263"/>
      <c r="AW252" s="1263"/>
      <c r="AX252" s="1263"/>
      <c r="AY252" s="1264"/>
    </row>
    <row r="253" spans="2:52">
      <c r="B253" s="1243" t="s">
        <v>557</v>
      </c>
      <c r="C253" s="1244"/>
      <c r="D253" s="1244"/>
      <c r="E253" s="1244"/>
      <c r="F253" s="1244"/>
      <c r="G253" s="1245"/>
      <c r="H253" s="419">
        <v>54015</v>
      </c>
      <c r="I253" s="1273"/>
      <c r="J253" s="1274"/>
      <c r="K253" s="1274"/>
      <c r="L253" s="1274"/>
      <c r="M253" s="1275"/>
      <c r="N253" s="413" t="str">
        <f t="shared" si="16"/>
        <v xml:space="preserve"> </v>
      </c>
      <c r="O253" s="32"/>
      <c r="P253" s="415"/>
      <c r="Q253" s="415"/>
      <c r="R253" s="415"/>
      <c r="S253" s="63"/>
      <c r="T253" s="416">
        <f t="shared" ref="T253:AY253" si="17">SUM(T245:T251)</f>
        <v>0</v>
      </c>
      <c r="U253" s="416">
        <f t="shared" si="17"/>
        <v>0</v>
      </c>
      <c r="V253" s="416">
        <f t="shared" si="17"/>
        <v>0</v>
      </c>
      <c r="W253" s="416">
        <f t="shared" si="17"/>
        <v>0</v>
      </c>
      <c r="X253" s="416">
        <f t="shared" si="17"/>
        <v>7556.8</v>
      </c>
      <c r="Y253" s="416">
        <f t="shared" si="17"/>
        <v>18525.29</v>
      </c>
      <c r="Z253" s="416">
        <f t="shared" si="17"/>
        <v>27932.91</v>
      </c>
      <c r="AA253" s="416">
        <f t="shared" si="17"/>
        <v>0</v>
      </c>
      <c r="AB253" s="416">
        <f t="shared" si="17"/>
        <v>0</v>
      </c>
      <c r="AC253" s="416">
        <f t="shared" si="17"/>
        <v>0</v>
      </c>
      <c r="AD253" s="416">
        <f t="shared" si="17"/>
        <v>0</v>
      </c>
      <c r="AE253" s="416">
        <f t="shared" si="17"/>
        <v>0</v>
      </c>
      <c r="AF253" s="416">
        <f t="shared" si="17"/>
        <v>0</v>
      </c>
      <c r="AG253" s="416">
        <f t="shared" si="17"/>
        <v>0</v>
      </c>
      <c r="AH253" s="416">
        <f t="shared" si="17"/>
        <v>0</v>
      </c>
      <c r="AI253" s="416">
        <f t="shared" si="17"/>
        <v>0</v>
      </c>
      <c r="AJ253" s="416">
        <f t="shared" si="17"/>
        <v>0</v>
      </c>
      <c r="AK253" s="416">
        <f t="shared" si="17"/>
        <v>0</v>
      </c>
      <c r="AL253" s="416">
        <f t="shared" si="17"/>
        <v>0</v>
      </c>
      <c r="AM253" s="416">
        <f t="shared" si="17"/>
        <v>0</v>
      </c>
      <c r="AN253" s="416">
        <f t="shared" si="17"/>
        <v>0</v>
      </c>
      <c r="AO253" s="416">
        <f t="shared" si="17"/>
        <v>0</v>
      </c>
      <c r="AP253" s="416">
        <f t="shared" si="17"/>
        <v>0</v>
      </c>
      <c r="AQ253" s="416">
        <f t="shared" si="17"/>
        <v>0</v>
      </c>
      <c r="AR253" s="416">
        <f t="shared" si="17"/>
        <v>0</v>
      </c>
      <c r="AS253" s="416">
        <f t="shared" si="17"/>
        <v>0</v>
      </c>
      <c r="AT253" s="416">
        <f t="shared" si="17"/>
        <v>0</v>
      </c>
      <c r="AU253" s="416">
        <f t="shared" si="17"/>
        <v>0</v>
      </c>
      <c r="AV253" s="416">
        <f t="shared" si="17"/>
        <v>0</v>
      </c>
      <c r="AW253" s="416">
        <f t="shared" si="17"/>
        <v>0</v>
      </c>
      <c r="AX253" s="416">
        <f t="shared" si="17"/>
        <v>0</v>
      </c>
      <c r="AY253" s="416">
        <f t="shared" si="17"/>
        <v>0</v>
      </c>
      <c r="AZ253" s="416">
        <f>SUM(T253:AY253)</f>
        <v>54015</v>
      </c>
    </row>
    <row r="254" spans="2:52">
      <c r="B254" s="1243" t="s">
        <v>558</v>
      </c>
      <c r="C254" s="1244"/>
      <c r="D254" s="1244"/>
      <c r="E254" s="1244"/>
      <c r="F254" s="1244"/>
      <c r="G254" s="1245"/>
      <c r="H254" s="420">
        <f>H253-L239</f>
        <v>0</v>
      </c>
      <c r="I254" s="294"/>
      <c r="J254" s="295"/>
      <c r="K254" s="295"/>
      <c r="L254" s="296"/>
      <c r="M254" s="32"/>
      <c r="N254" s="32"/>
      <c r="O254" s="32"/>
      <c r="P254" s="32"/>
      <c r="Q254" s="297"/>
      <c r="R254" s="297"/>
      <c r="S254" s="32"/>
      <c r="T254" s="48"/>
      <c r="U254" s="48"/>
      <c r="V254" s="48"/>
      <c r="W254" s="48"/>
      <c r="X254" s="48"/>
      <c r="Y254" s="48"/>
      <c r="Z254" s="48"/>
      <c r="AA254" s="48"/>
      <c r="AB254" s="48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</row>
    <row r="255" spans="2:52">
      <c r="B255" s="1243" t="s">
        <v>559</v>
      </c>
      <c r="C255" s="1244"/>
      <c r="D255" s="1244"/>
      <c r="E255" s="1244"/>
      <c r="F255" s="1244"/>
      <c r="G255" s="1245"/>
      <c r="H255" s="420">
        <v>5760.5829999999996</v>
      </c>
      <c r="I255" s="52"/>
      <c r="J255" s="53"/>
      <c r="K255" s="53"/>
      <c r="L255" s="54"/>
      <c r="M255" s="32"/>
      <c r="N255" s="201"/>
      <c r="O255" s="32"/>
      <c r="P255" s="32"/>
      <c r="Q255" s="32"/>
      <c r="R255" s="32"/>
      <c r="S255" s="32"/>
      <c r="T255" s="48"/>
      <c r="U255" s="48"/>
      <c r="V255" s="48"/>
      <c r="W255" s="48"/>
      <c r="X255" s="48"/>
      <c r="Y255" s="48"/>
      <c r="Z255" s="48"/>
      <c r="AA255" s="48"/>
      <c r="AB255" s="48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</row>
    <row r="256" spans="2:52">
      <c r="B256" s="1243" t="s">
        <v>560</v>
      </c>
      <c r="C256" s="1244"/>
      <c r="D256" s="1244"/>
      <c r="E256" s="1244"/>
      <c r="F256" s="1244"/>
      <c r="G256" s="1245"/>
      <c r="H256" s="421">
        <f>H255-5766.342</f>
        <v>-5.7590000000000146</v>
      </c>
      <c r="I256" s="270"/>
      <c r="J256" s="53"/>
      <c r="K256" s="53"/>
      <c r="L256" s="54"/>
      <c r="M256" s="32"/>
      <c r="N256" s="32"/>
      <c r="O256" s="32"/>
      <c r="P256" s="32"/>
      <c r="Q256" s="32"/>
      <c r="R256" s="32"/>
      <c r="S256" s="48"/>
      <c r="T256" s="48"/>
      <c r="U256" s="48"/>
      <c r="V256" s="48"/>
      <c r="W256" s="48"/>
      <c r="X256" s="48"/>
      <c r="Y256" s="48"/>
      <c r="Z256" s="48"/>
      <c r="AA256" s="48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 spans="2:52">
      <c r="B257" s="201"/>
      <c r="C257" s="201"/>
      <c r="D257" s="201"/>
      <c r="E257" s="201"/>
      <c r="F257" s="201"/>
      <c r="G257" s="201"/>
      <c r="H257" s="201"/>
      <c r="I257" s="213"/>
      <c r="J257" s="209"/>
      <c r="K257" s="209"/>
      <c r="L257" s="203"/>
      <c r="M257" s="201"/>
      <c r="N257" s="201"/>
      <c r="O257" s="209"/>
      <c r="P257" s="32"/>
      <c r="Q257" s="32"/>
      <c r="R257" s="32"/>
      <c r="S257" s="32"/>
      <c r="T257" s="48"/>
      <c r="U257" s="48"/>
      <c r="V257" s="48"/>
      <c r="W257" s="48"/>
      <c r="X257" s="48"/>
      <c r="Y257" s="48"/>
      <c r="Z257" s="48"/>
      <c r="AA257" s="48"/>
      <c r="AB257" s="48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</row>
    <row r="258" spans="2:52">
      <c r="B258" s="40" t="s">
        <v>561</v>
      </c>
      <c r="C258" s="40"/>
      <c r="D258" s="32"/>
      <c r="E258" s="32"/>
      <c r="F258" s="32"/>
      <c r="G258" s="32"/>
      <c r="H258" s="32"/>
      <c r="I258" s="32"/>
      <c r="J258" s="52"/>
      <c r="K258" s="52"/>
      <c r="L258" s="55"/>
      <c r="M258" s="32"/>
      <c r="N258" s="201"/>
      <c r="O258" s="5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  <c r="AA258" s="202"/>
      <c r="AB258" s="201"/>
      <c r="AC258" s="201"/>
      <c r="AD258" s="201"/>
      <c r="AE258" s="201"/>
      <c r="AF258" s="201"/>
      <c r="AG258" s="201"/>
      <c r="AH258" s="201"/>
      <c r="AI258" s="201"/>
      <c r="AJ258" s="201"/>
      <c r="AK258" s="201"/>
      <c r="AL258" s="201"/>
      <c r="AM258" s="201"/>
      <c r="AN258" s="201"/>
      <c r="AO258" s="201"/>
      <c r="AP258" s="201"/>
      <c r="AQ258" s="201"/>
      <c r="AR258" s="201"/>
      <c r="AS258" s="201"/>
      <c r="AT258" s="201"/>
      <c r="AU258" s="201"/>
      <c r="AZ258" s="201"/>
    </row>
    <row r="259" spans="2:52">
      <c r="B259" s="422">
        <v>1</v>
      </c>
      <c r="C259" s="1249" t="s">
        <v>1725</v>
      </c>
      <c r="D259" s="1249"/>
      <c r="E259" s="1249"/>
      <c r="F259" s="1249"/>
      <c r="G259" s="1249"/>
      <c r="H259" s="1249"/>
      <c r="I259" s="1249"/>
      <c r="J259" s="1249"/>
      <c r="K259" s="1249"/>
      <c r="L259" s="203"/>
      <c r="M259" s="203"/>
      <c r="N259" s="201"/>
      <c r="O259" s="209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  <c r="AA259" s="202"/>
      <c r="AB259" s="201"/>
      <c r="AC259" s="201"/>
      <c r="AD259" s="201"/>
      <c r="AE259" s="201"/>
      <c r="AF259" s="201"/>
      <c r="AG259" s="201"/>
      <c r="AH259" s="201"/>
      <c r="AI259" s="201"/>
      <c r="AJ259" s="201"/>
      <c r="AK259" s="201"/>
      <c r="AL259" s="201"/>
      <c r="AM259" s="201"/>
      <c r="AN259" s="201"/>
      <c r="AO259" s="201"/>
      <c r="AP259" s="201"/>
      <c r="AQ259" s="201"/>
      <c r="AR259" s="201"/>
      <c r="AS259" s="201"/>
      <c r="AT259" s="201"/>
      <c r="AU259" s="201"/>
      <c r="AV259" s="201"/>
      <c r="AW259" s="201"/>
      <c r="AX259" s="201"/>
      <c r="AY259" s="201"/>
      <c r="AZ259" s="201"/>
    </row>
    <row r="261" spans="2:52">
      <c r="B261" s="28" t="s">
        <v>126</v>
      </c>
      <c r="C261" s="28"/>
      <c r="D261" s="29"/>
      <c r="E261" s="30" t="s">
        <v>511</v>
      </c>
      <c r="F261" s="31" t="s">
        <v>1464</v>
      </c>
      <c r="G261" s="32"/>
      <c r="H261" s="33"/>
      <c r="I261" s="34"/>
      <c r="J261" s="35" t="s">
        <v>513</v>
      </c>
      <c r="K261" s="36" t="s">
        <v>511</v>
      </c>
      <c r="L261" s="37">
        <v>45062.958333333336</v>
      </c>
      <c r="M261" s="32"/>
      <c r="N261" s="32"/>
      <c r="O261" s="206"/>
      <c r="P261" s="205"/>
      <c r="Q261" s="202"/>
      <c r="R261" s="204"/>
      <c r="S261" s="38"/>
      <c r="T261" s="201"/>
      <c r="U261" s="201"/>
      <c r="V261" s="201"/>
      <c r="W261" s="201"/>
      <c r="X261" s="201"/>
      <c r="Y261" s="201"/>
      <c r="Z261" s="201"/>
      <c r="AA261" s="201"/>
      <c r="AB261" s="202"/>
      <c r="AC261" s="202"/>
      <c r="AD261" s="202"/>
      <c r="AE261" s="202"/>
      <c r="AF261" s="202"/>
      <c r="AG261" s="201"/>
      <c r="AH261" s="201"/>
      <c r="AI261" s="201"/>
      <c r="AJ261" s="201"/>
      <c r="AK261" s="201"/>
      <c r="AL261" s="201"/>
      <c r="AM261" s="201"/>
      <c r="AN261" s="201"/>
      <c r="AO261" s="201"/>
      <c r="AP261" s="201"/>
      <c r="AQ261" s="201"/>
      <c r="AR261" s="201"/>
      <c r="AS261" s="201"/>
      <c r="AT261" s="201"/>
      <c r="AU261" s="201"/>
      <c r="AV261" s="201"/>
      <c r="AW261" s="201"/>
      <c r="AX261" s="201"/>
      <c r="AY261" s="201"/>
      <c r="AZ261" s="201"/>
    </row>
    <row r="262" spans="2:52">
      <c r="B262" s="35" t="s">
        <v>514</v>
      </c>
      <c r="C262" s="35"/>
      <c r="D262" s="32"/>
      <c r="E262" s="36" t="s">
        <v>511</v>
      </c>
      <c r="F262" s="37" t="s">
        <v>1726</v>
      </c>
      <c r="G262" s="32"/>
      <c r="H262" s="33"/>
      <c r="I262" s="34"/>
      <c r="J262" s="35" t="s">
        <v>516</v>
      </c>
      <c r="K262" s="36" t="s">
        <v>511</v>
      </c>
      <c r="L262" s="37">
        <v>45065.138888888891</v>
      </c>
      <c r="M262" s="32"/>
      <c r="N262" s="32"/>
      <c r="O262" s="206"/>
      <c r="P262" s="205"/>
      <c r="Q262" s="202"/>
      <c r="R262" s="204"/>
      <c r="S262" s="38"/>
      <c r="T262" s="201"/>
      <c r="U262" s="201"/>
      <c r="V262" s="201"/>
      <c r="W262" s="201"/>
      <c r="X262" s="201"/>
      <c r="Y262" s="201"/>
      <c r="Z262" s="201"/>
      <c r="AA262" s="201"/>
      <c r="AB262" s="202"/>
      <c r="AC262" s="202"/>
      <c r="AD262" s="202"/>
      <c r="AE262" s="202"/>
      <c r="AF262" s="202"/>
      <c r="AG262" s="201"/>
      <c r="AH262" s="201"/>
      <c r="AI262" s="201"/>
      <c r="AJ262" s="201"/>
      <c r="AK262" s="201"/>
      <c r="AL262" s="201"/>
      <c r="AM262" s="201"/>
      <c r="AN262" s="201"/>
      <c r="AO262" s="201"/>
      <c r="AP262" s="201"/>
      <c r="AQ262" s="201"/>
      <c r="AR262" s="201"/>
      <c r="AS262" s="201"/>
      <c r="AT262" s="201"/>
      <c r="AU262" s="201"/>
      <c r="AV262" s="201"/>
      <c r="AW262" s="201"/>
      <c r="AX262" s="201"/>
      <c r="AY262" s="201"/>
      <c r="AZ262" s="201"/>
    </row>
    <row r="263" spans="2:52">
      <c r="B263" s="35" t="s">
        <v>517</v>
      </c>
      <c r="C263" s="35"/>
      <c r="D263" s="32"/>
      <c r="E263" s="36" t="s">
        <v>511</v>
      </c>
      <c r="F263" s="37">
        <v>45051.395833333336</v>
      </c>
      <c r="G263" s="32"/>
      <c r="H263" s="33"/>
      <c r="I263" s="34"/>
      <c r="J263" s="35" t="s">
        <v>518</v>
      </c>
      <c r="K263" s="36" t="s">
        <v>511</v>
      </c>
      <c r="L263" s="50">
        <v>75100</v>
      </c>
      <c r="M263" s="40" t="s">
        <v>519</v>
      </c>
      <c r="N263" s="40"/>
      <c r="O263" s="206"/>
      <c r="P263" s="205"/>
      <c r="Q263" s="202"/>
      <c r="R263" s="204"/>
      <c r="S263" s="38"/>
      <c r="T263" s="201"/>
      <c r="U263" s="201"/>
      <c r="V263" s="201"/>
      <c r="W263" s="201"/>
      <c r="X263" s="201"/>
      <c r="Y263" s="201"/>
      <c r="Z263" s="201"/>
      <c r="AA263" s="201"/>
      <c r="AB263" s="202"/>
      <c r="AC263" s="202"/>
      <c r="AD263" s="202"/>
      <c r="AE263" s="202"/>
      <c r="AF263" s="202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  <c r="AQ263" s="201"/>
      <c r="AR263" s="201"/>
      <c r="AS263" s="201"/>
      <c r="AT263" s="201"/>
      <c r="AU263" s="201"/>
      <c r="AV263" s="201"/>
      <c r="AW263" s="201"/>
      <c r="AX263" s="201"/>
      <c r="AY263" s="201"/>
      <c r="AZ263" s="201"/>
    </row>
    <row r="264" spans="2:52">
      <c r="B264" s="35" t="s">
        <v>520</v>
      </c>
      <c r="C264" s="35"/>
      <c r="D264" s="32"/>
      <c r="E264" s="36" t="s">
        <v>511</v>
      </c>
      <c r="F264" s="37" t="s">
        <v>4</v>
      </c>
      <c r="G264" s="32"/>
      <c r="H264" s="33"/>
      <c r="I264" s="34"/>
      <c r="J264" s="35" t="s">
        <v>521</v>
      </c>
      <c r="K264" s="36" t="s">
        <v>511</v>
      </c>
      <c r="L264" s="41" t="s">
        <v>1727</v>
      </c>
      <c r="M264" s="32"/>
      <c r="N264" s="32"/>
      <c r="O264" s="206"/>
      <c r="P264" s="202"/>
      <c r="Q264" s="202"/>
      <c r="R264" s="204"/>
      <c r="S264" s="38"/>
      <c r="T264" s="201"/>
      <c r="U264" s="201"/>
      <c r="V264" s="201"/>
      <c r="W264" s="201"/>
      <c r="X264" s="201"/>
      <c r="Y264" s="201"/>
      <c r="Z264" s="201"/>
      <c r="AA264" s="201"/>
      <c r="AB264" s="202"/>
      <c r="AC264" s="202"/>
      <c r="AD264" s="202"/>
      <c r="AE264" s="202"/>
      <c r="AF264" s="202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201"/>
      <c r="AQ264" s="201"/>
      <c r="AR264" s="201"/>
      <c r="AS264" s="201"/>
      <c r="AT264" s="201"/>
      <c r="AU264" s="201"/>
      <c r="AV264" s="201"/>
      <c r="AW264" s="201"/>
      <c r="AX264" s="201"/>
      <c r="AY264" s="201"/>
      <c r="AZ264" s="201"/>
    </row>
    <row r="265" spans="2:52">
      <c r="B265" s="35" t="s">
        <v>523</v>
      </c>
      <c r="C265" s="35"/>
      <c r="D265" s="32"/>
      <c r="E265" s="36" t="s">
        <v>511</v>
      </c>
      <c r="F265" s="37" t="s">
        <v>5</v>
      </c>
      <c r="G265" s="32"/>
      <c r="H265" s="33"/>
      <c r="I265" s="34"/>
      <c r="J265" s="42" t="s">
        <v>524</v>
      </c>
      <c r="K265" s="36" t="s">
        <v>511</v>
      </c>
      <c r="L265" s="43" t="s">
        <v>15</v>
      </c>
      <c r="M265" s="44"/>
      <c r="N265" s="44"/>
      <c r="O265" s="206"/>
      <c r="P265" s="205"/>
      <c r="Q265" s="202"/>
      <c r="R265" s="204"/>
      <c r="S265" s="38"/>
      <c r="T265" s="201"/>
      <c r="U265" s="201"/>
      <c r="V265" s="201"/>
      <c r="W265" s="201"/>
      <c r="X265" s="201"/>
      <c r="Y265" s="201"/>
      <c r="Z265" s="201"/>
      <c r="AA265" s="201"/>
      <c r="AB265" s="202"/>
      <c r="AC265" s="202"/>
      <c r="AD265" s="202"/>
      <c r="AE265" s="202"/>
      <c r="AF265" s="202"/>
      <c r="AG265" s="201"/>
      <c r="AH265" s="201"/>
      <c r="AI265" s="201"/>
      <c r="AJ265" s="201"/>
      <c r="AK265" s="201"/>
      <c r="AL265" s="201"/>
      <c r="AM265" s="201"/>
      <c r="AN265" s="201"/>
      <c r="AO265" s="201"/>
      <c r="AP265" s="201"/>
      <c r="AQ265" s="201"/>
      <c r="AR265" s="201"/>
      <c r="AS265" s="201"/>
      <c r="AT265" s="201"/>
      <c r="AU265" s="201"/>
      <c r="AV265" s="201"/>
      <c r="AW265" s="201"/>
      <c r="AX265" s="201"/>
      <c r="AY265" s="201"/>
      <c r="AZ265" s="201"/>
    </row>
    <row r="266" spans="2:52">
      <c r="B266" s="35" t="s">
        <v>2</v>
      </c>
      <c r="C266" s="35"/>
      <c r="D266" s="32"/>
      <c r="E266" s="36" t="s">
        <v>511</v>
      </c>
      <c r="F266" s="37" t="s">
        <v>6</v>
      </c>
      <c r="G266" s="32"/>
      <c r="H266" s="33"/>
      <c r="I266" s="45"/>
      <c r="J266" s="42"/>
      <c r="K266" s="36"/>
      <c r="L266" s="211"/>
      <c r="M266" s="201"/>
      <c r="N266" s="201"/>
      <c r="O266" s="42"/>
      <c r="P266" s="44"/>
      <c r="Q266" s="44"/>
      <c r="R266" s="44"/>
      <c r="S266" s="34"/>
      <c r="T266" s="201"/>
      <c r="U266" s="201"/>
      <c r="V266" s="201"/>
      <c r="W266" s="201"/>
      <c r="X266" s="201"/>
      <c r="Y266" s="201"/>
      <c r="Z266" s="201"/>
      <c r="AA266" s="201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201"/>
      <c r="AP266" s="201"/>
      <c r="AQ266" s="201"/>
      <c r="AR266" s="201"/>
      <c r="AS266" s="201"/>
      <c r="AT266" s="201"/>
      <c r="AU266" s="201"/>
      <c r="AV266" s="201"/>
      <c r="AW266" s="201"/>
      <c r="AX266" s="201"/>
      <c r="AY266" s="201"/>
      <c r="AZ266" s="201"/>
    </row>
    <row r="267" spans="2:52">
      <c r="B267" s="201"/>
      <c r="C267" s="201"/>
      <c r="D267" s="201"/>
      <c r="E267" s="201"/>
      <c r="F267" s="201"/>
      <c r="G267" s="201"/>
      <c r="H267" s="201"/>
      <c r="I267" s="45"/>
      <c r="J267" s="42"/>
      <c r="K267" s="42"/>
      <c r="L267" s="43"/>
      <c r="M267" s="44"/>
      <c r="N267" s="44"/>
      <c r="O267" s="42"/>
      <c r="P267" s="44"/>
      <c r="Q267" s="44"/>
      <c r="R267" s="44"/>
      <c r="S267" s="34"/>
      <c r="T267" s="1265" t="s">
        <v>87</v>
      </c>
      <c r="U267" s="1265"/>
      <c r="V267" s="1265"/>
      <c r="W267" s="1265"/>
      <c r="X267" s="1265"/>
      <c r="Y267" s="1265" t="s">
        <v>73</v>
      </c>
      <c r="Z267" s="1265"/>
      <c r="AA267" s="1265"/>
      <c r="AB267" s="1265" t="s">
        <v>74</v>
      </c>
      <c r="AC267" s="1265"/>
      <c r="AD267" s="423" t="s">
        <v>85</v>
      </c>
      <c r="AE267" s="423" t="s">
        <v>77</v>
      </c>
      <c r="AF267" s="1265" t="s">
        <v>525</v>
      </c>
      <c r="AG267" s="1265"/>
      <c r="AH267" s="1265"/>
      <c r="AI267" s="1265"/>
      <c r="AJ267" s="1265"/>
      <c r="AK267" s="1265"/>
      <c r="AL267" s="1265"/>
      <c r="AM267" s="1265"/>
      <c r="AN267" s="1265"/>
      <c r="AO267" s="1265"/>
      <c r="AP267" s="1265"/>
      <c r="AQ267" s="1265"/>
      <c r="AR267" s="1265"/>
      <c r="AS267" s="1265"/>
      <c r="AT267" s="1265"/>
      <c r="AU267" s="1265"/>
      <c r="AV267" s="1265"/>
      <c r="AW267" s="1265"/>
      <c r="AX267" s="1265"/>
      <c r="AY267" s="1265"/>
      <c r="AZ267" s="201"/>
    </row>
    <row r="268" spans="2:52">
      <c r="B268" s="1266" t="s">
        <v>526</v>
      </c>
      <c r="C268" s="1267"/>
      <c r="D268" s="570" t="s">
        <v>527</v>
      </c>
      <c r="E268" s="570"/>
      <c r="F268" s="570" t="s">
        <v>528</v>
      </c>
      <c r="G268" s="570" t="s">
        <v>529</v>
      </c>
      <c r="H268" s="570" t="s">
        <v>530</v>
      </c>
      <c r="I268" s="570" t="s">
        <v>531</v>
      </c>
      <c r="J268" s="570" t="s">
        <v>532</v>
      </c>
      <c r="K268" s="570"/>
      <c r="L268" s="570" t="s">
        <v>130</v>
      </c>
      <c r="M268" s="570" t="s">
        <v>533</v>
      </c>
      <c r="N268" s="408" t="str">
        <f>"On time - "&amp;COUNTIF(N269:N292,"On time")&amp;" from "&amp;ROWS(N269:N292)-COUNTIF(N269:N292," ")</f>
        <v>On time - 0 from 12</v>
      </c>
      <c r="O268" s="46"/>
      <c r="P268" s="409" t="s">
        <v>534</v>
      </c>
      <c r="Q268" s="409" t="s">
        <v>535</v>
      </c>
      <c r="R268" s="409" t="s">
        <v>536</v>
      </c>
      <c r="S268" s="32"/>
      <c r="T268" s="424" t="s">
        <v>537</v>
      </c>
      <c r="U268" s="424" t="s">
        <v>538</v>
      </c>
      <c r="V268" s="424" t="s">
        <v>539</v>
      </c>
      <c r="W268" s="424" t="s">
        <v>540</v>
      </c>
      <c r="X268" s="424" t="s">
        <v>541</v>
      </c>
      <c r="Y268" s="424" t="s">
        <v>167</v>
      </c>
      <c r="Z268" s="424" t="s">
        <v>168</v>
      </c>
      <c r="AA268" s="424" t="s">
        <v>169</v>
      </c>
      <c r="AB268" s="424" t="s">
        <v>235</v>
      </c>
      <c r="AC268" s="424" t="s">
        <v>240</v>
      </c>
      <c r="AD268" s="423" t="s">
        <v>85</v>
      </c>
      <c r="AE268" s="424" t="s">
        <v>139</v>
      </c>
      <c r="AF268" s="424" t="s">
        <v>72</v>
      </c>
      <c r="AG268" s="424" t="s">
        <v>88</v>
      </c>
      <c r="AH268" s="424" t="s">
        <v>75</v>
      </c>
      <c r="AI268" s="424" t="s">
        <v>543</v>
      </c>
      <c r="AJ268" s="424" t="s">
        <v>78</v>
      </c>
      <c r="AK268" s="424" t="s">
        <v>76</v>
      </c>
      <c r="AL268" s="424" t="s">
        <v>544</v>
      </c>
      <c r="AM268" s="424" t="s">
        <v>545</v>
      </c>
      <c r="AN268" s="424" t="s">
        <v>86</v>
      </c>
      <c r="AO268" s="424" t="s">
        <v>83</v>
      </c>
      <c r="AP268" s="424" t="s">
        <v>84</v>
      </c>
      <c r="AQ268" s="424" t="s">
        <v>546</v>
      </c>
      <c r="AR268" s="424" t="s">
        <v>81</v>
      </c>
      <c r="AS268" s="424" t="s">
        <v>80</v>
      </c>
      <c r="AT268" s="424" t="s">
        <v>82</v>
      </c>
      <c r="AU268" s="424" t="s">
        <v>181</v>
      </c>
      <c r="AV268" s="424" t="s">
        <v>183</v>
      </c>
      <c r="AW268" s="424" t="s">
        <v>547</v>
      </c>
      <c r="AX268" s="424" t="s">
        <v>182</v>
      </c>
      <c r="AY268" s="424" t="s">
        <v>172</v>
      </c>
      <c r="AZ268" s="201"/>
    </row>
    <row r="269" spans="2:52">
      <c r="B269" s="1256" t="s">
        <v>668</v>
      </c>
      <c r="C269" s="1257"/>
      <c r="D269" s="411" t="s">
        <v>1622</v>
      </c>
      <c r="E269" s="411"/>
      <c r="F269" s="411" t="s">
        <v>1623</v>
      </c>
      <c r="G269" s="411" t="s">
        <v>1624</v>
      </c>
      <c r="H269" s="412">
        <v>5006.1850000000004</v>
      </c>
      <c r="I269" s="413" t="s">
        <v>183</v>
      </c>
      <c r="J269" s="414">
        <v>45057.277777777781</v>
      </c>
      <c r="K269" s="414"/>
      <c r="L269" s="414" t="s">
        <v>192</v>
      </c>
      <c r="M269" s="414" t="s">
        <v>192</v>
      </c>
      <c r="N269" s="413" t="str">
        <f>IF(ISBLANK(J269)," ",IF(J269&lt;$F$263,"On time",(IF(DAY(J269-$F$263)&lt;1,"On time",(IF(J269&gt;$F$263,"DELAY ( "&amp;DAY(J269-$F$263)&amp;" day "&amp;HOUR(J269-$F$263)&amp;" hour "&amp;MINUTE(J269-$F$263)&amp;" minute )","xxx"))))))</f>
        <v>DELAY ( 5 day 21 hour 10 minute )</v>
      </c>
      <c r="O269" s="51"/>
      <c r="P269" s="415" t="s">
        <v>551</v>
      </c>
      <c r="Q269" s="415" t="s">
        <v>551</v>
      </c>
      <c r="R269" s="415" t="s">
        <v>551</v>
      </c>
      <c r="S269" s="32"/>
      <c r="T269" s="416"/>
      <c r="U269" s="416"/>
      <c r="V269" s="416"/>
      <c r="W269" s="416"/>
      <c r="X269" s="416"/>
      <c r="Y269" s="416"/>
      <c r="Z269" s="416"/>
      <c r="AA269" s="416"/>
      <c r="AB269" s="416"/>
      <c r="AC269" s="416"/>
      <c r="AD269" s="416"/>
      <c r="AE269" s="416"/>
      <c r="AF269" s="416"/>
      <c r="AG269" s="416"/>
      <c r="AH269" s="416"/>
      <c r="AI269" s="416"/>
      <c r="AJ269" s="416"/>
      <c r="AK269" s="416"/>
      <c r="AL269" s="416"/>
      <c r="AM269" s="416"/>
      <c r="AN269" s="416"/>
      <c r="AO269" s="416"/>
      <c r="AP269" s="416"/>
      <c r="AQ269" s="416"/>
      <c r="AR269" s="416"/>
      <c r="AS269" s="416"/>
      <c r="AT269" s="416"/>
      <c r="AU269" s="416"/>
      <c r="AV269" s="416">
        <f>H269</f>
        <v>5006.1850000000004</v>
      </c>
      <c r="AW269" s="416"/>
      <c r="AX269" s="416"/>
      <c r="AY269" s="416"/>
      <c r="AZ269" s="32"/>
    </row>
    <row r="270" spans="2:52">
      <c r="B270" s="1256" t="s">
        <v>616</v>
      </c>
      <c r="C270" s="1257"/>
      <c r="D270" s="411" t="s">
        <v>1573</v>
      </c>
      <c r="E270" s="411"/>
      <c r="F270" s="411" t="s">
        <v>205</v>
      </c>
      <c r="G270" s="411" t="s">
        <v>206</v>
      </c>
      <c r="H270" s="412">
        <v>7519.7129999999997</v>
      </c>
      <c r="I270" s="413" t="s">
        <v>611</v>
      </c>
      <c r="J270" s="414">
        <v>45060.9375</v>
      </c>
      <c r="K270" s="414"/>
      <c r="L270" s="414" t="s">
        <v>192</v>
      </c>
      <c r="M270" s="414" t="s">
        <v>192</v>
      </c>
      <c r="N270" s="413" t="str">
        <f t="shared" ref="N270:N295" si="18">IF(ISBLANK(J270)," ",IF(J270&lt;$F$263,"On time",(IF(DAY(J270-$F$263)&lt;1,"On time",(IF(J270&gt;$F$263,"DELAY ( "&amp;DAY(J270-$F$263)&amp;" day "&amp;HOUR(J270-$F$263)&amp;" hour "&amp;MINUTE(J270-$F$263)&amp;" minute )","xxx"))))))</f>
        <v>DELAY ( 9 day 13 hour 0 minute )</v>
      </c>
      <c r="O270" s="51"/>
      <c r="P270" s="415" t="s">
        <v>551</v>
      </c>
      <c r="Q270" s="415" t="s">
        <v>551</v>
      </c>
      <c r="R270" s="415" t="s">
        <v>551</v>
      </c>
      <c r="S270" s="32"/>
      <c r="T270" s="416">
        <f>H270</f>
        <v>7519.7129999999997</v>
      </c>
      <c r="U270" s="416"/>
      <c r="V270" s="416"/>
      <c r="W270" s="416"/>
      <c r="X270" s="32"/>
      <c r="Y270" s="416"/>
      <c r="Z270" s="416"/>
      <c r="AA270" s="416"/>
      <c r="AB270" s="416"/>
      <c r="AC270" s="416"/>
      <c r="AD270" s="416"/>
      <c r="AE270" s="416"/>
      <c r="AF270" s="416"/>
      <c r="AG270" s="416"/>
      <c r="AH270" s="416"/>
      <c r="AI270" s="416"/>
      <c r="AJ270" s="416"/>
      <c r="AK270" s="416"/>
      <c r="AL270" s="416"/>
      <c r="AM270" s="416"/>
      <c r="AN270" s="416"/>
      <c r="AO270" s="416"/>
      <c r="AP270" s="416"/>
      <c r="AQ270" s="416"/>
      <c r="AR270" s="416"/>
      <c r="AS270" s="416"/>
      <c r="AT270" s="416"/>
      <c r="AU270" s="416"/>
      <c r="AV270" s="416"/>
      <c r="AW270" s="416"/>
      <c r="AX270" s="416"/>
      <c r="AY270" s="416"/>
      <c r="AZ270" s="32"/>
    </row>
    <row r="271" spans="2:52">
      <c r="B271" s="1256" t="s">
        <v>616</v>
      </c>
      <c r="C271" s="1257"/>
      <c r="D271" s="411" t="s">
        <v>1473</v>
      </c>
      <c r="E271" s="411"/>
      <c r="F271" s="411" t="s">
        <v>390</v>
      </c>
      <c r="G271" s="411" t="s">
        <v>391</v>
      </c>
      <c r="H271" s="412">
        <v>3594.498</v>
      </c>
      <c r="I271" s="413" t="s">
        <v>1472</v>
      </c>
      <c r="J271" s="414">
        <v>45060.916666666664</v>
      </c>
      <c r="K271" s="414"/>
      <c r="L271" s="414" t="s">
        <v>192</v>
      </c>
      <c r="M271" s="414" t="s">
        <v>192</v>
      </c>
      <c r="N271" s="413" t="str">
        <f t="shared" si="18"/>
        <v>DELAY ( 9 day 12 hour 30 minute )</v>
      </c>
      <c r="O271" s="51"/>
      <c r="P271" s="415" t="s">
        <v>551</v>
      </c>
      <c r="Q271" s="415" t="s">
        <v>551</v>
      </c>
      <c r="R271" s="415" t="s">
        <v>551</v>
      </c>
      <c r="S271" s="32"/>
      <c r="T271" s="416"/>
      <c r="U271" s="416"/>
      <c r="V271" s="416"/>
      <c r="W271" s="416"/>
      <c r="X271" s="416"/>
      <c r="Y271" s="416"/>
      <c r="Z271" s="416"/>
      <c r="AA271" s="416"/>
      <c r="AB271" s="416">
        <f>(H271*0.5)</f>
        <v>1797.249</v>
      </c>
      <c r="AC271" s="416">
        <f>(H271*0.5)</f>
        <v>1797.249</v>
      </c>
      <c r="AD271" s="416"/>
      <c r="AE271" s="416"/>
      <c r="AF271" s="416"/>
      <c r="AG271" s="416"/>
      <c r="AH271" s="416"/>
      <c r="AI271" s="416"/>
      <c r="AJ271" s="416"/>
      <c r="AK271" s="416"/>
      <c r="AL271" s="416"/>
      <c r="AM271" s="416"/>
      <c r="AN271" s="416"/>
      <c r="AO271" s="416"/>
      <c r="AP271" s="416"/>
      <c r="AQ271" s="416"/>
      <c r="AR271" s="416"/>
      <c r="AS271" s="416"/>
      <c r="AT271" s="416"/>
      <c r="AU271" s="416"/>
      <c r="AV271" s="416"/>
      <c r="AW271" s="416"/>
      <c r="AX271" s="416"/>
      <c r="AY271" s="416"/>
      <c r="AZ271" s="32"/>
    </row>
    <row r="272" spans="2:52">
      <c r="B272" s="1256" t="s">
        <v>616</v>
      </c>
      <c r="C272" s="1257"/>
      <c r="D272" s="411" t="s">
        <v>1463</v>
      </c>
      <c r="E272" s="411"/>
      <c r="F272" s="411" t="s">
        <v>1255</v>
      </c>
      <c r="G272" s="411" t="s">
        <v>268</v>
      </c>
      <c r="H272" s="412">
        <v>5912</v>
      </c>
      <c r="I272" s="413" t="s">
        <v>1455</v>
      </c>
      <c r="J272" s="414">
        <v>45060.944444444445</v>
      </c>
      <c r="K272" s="414"/>
      <c r="L272" s="414" t="s">
        <v>192</v>
      </c>
      <c r="M272" s="414" t="s">
        <v>192</v>
      </c>
      <c r="N272" s="413" t="str">
        <f t="shared" si="18"/>
        <v>DELAY ( 9 day 13 hour 10 minute )</v>
      </c>
      <c r="O272" s="51"/>
      <c r="P272" s="415" t="s">
        <v>551</v>
      </c>
      <c r="Q272" s="415" t="s">
        <v>551</v>
      </c>
      <c r="R272" s="415" t="s">
        <v>551</v>
      </c>
      <c r="S272" s="32"/>
      <c r="T272" s="416"/>
      <c r="U272" s="416"/>
      <c r="V272" s="416"/>
      <c r="W272" s="416"/>
      <c r="X272" s="416"/>
      <c r="Y272" s="416"/>
      <c r="Z272" s="416"/>
      <c r="AA272" s="416"/>
      <c r="AB272" s="416">
        <f>(H272*0.6)</f>
        <v>3547.2</v>
      </c>
      <c r="AC272" s="416">
        <f>(H272*0.4)</f>
        <v>2364.8000000000002</v>
      </c>
      <c r="AD272" s="416"/>
      <c r="AE272" s="416"/>
      <c r="AF272" s="416"/>
      <c r="AG272" s="416"/>
      <c r="AH272" s="416"/>
      <c r="AI272" s="416"/>
      <c r="AJ272" s="416"/>
      <c r="AK272" s="416"/>
      <c r="AL272" s="416"/>
      <c r="AM272" s="416"/>
      <c r="AN272" s="416"/>
      <c r="AO272" s="416"/>
      <c r="AP272" s="416"/>
      <c r="AQ272" s="416"/>
      <c r="AR272" s="416"/>
      <c r="AS272" s="416"/>
      <c r="AT272" s="416"/>
      <c r="AU272" s="416"/>
      <c r="AV272" s="416"/>
      <c r="AW272" s="416"/>
      <c r="AX272" s="416"/>
      <c r="AY272" s="416"/>
      <c r="AZ272" s="32"/>
    </row>
    <row r="273" spans="2:52">
      <c r="B273" s="1258" t="s">
        <v>1721</v>
      </c>
      <c r="C273" s="1259"/>
      <c r="D273" s="1259"/>
      <c r="E273" s="1259"/>
      <c r="F273" s="1259"/>
      <c r="G273" s="1260"/>
      <c r="H273" s="417">
        <f>SUM(H269:H272)</f>
        <v>22032.396000000001</v>
      </c>
      <c r="I273" s="388"/>
      <c r="J273" s="293"/>
      <c r="K273" s="293"/>
      <c r="L273" s="293"/>
      <c r="M273" s="389"/>
      <c r="N273" s="413" t="str">
        <f t="shared" si="18"/>
        <v xml:space="preserve"> </v>
      </c>
      <c r="O273" s="212"/>
      <c r="P273" s="418"/>
      <c r="Q273" s="418"/>
      <c r="R273" s="418"/>
      <c r="S273" s="207"/>
      <c r="T273" s="428"/>
      <c r="U273" s="428"/>
      <c r="V273" s="428"/>
      <c r="W273" s="428"/>
      <c r="X273" s="428"/>
      <c r="Y273" s="428"/>
      <c r="Z273" s="428"/>
      <c r="AA273" s="428"/>
      <c r="AB273" s="428"/>
      <c r="AC273" s="428"/>
      <c r="AD273" s="428"/>
      <c r="AE273" s="428"/>
      <c r="AF273" s="428"/>
      <c r="AG273" s="428"/>
      <c r="AH273" s="428"/>
      <c r="AI273" s="428"/>
      <c r="AJ273" s="428"/>
      <c r="AK273" s="428"/>
      <c r="AL273" s="428"/>
      <c r="AM273" s="428"/>
      <c r="AN273" s="428"/>
      <c r="AO273" s="428"/>
      <c r="AP273" s="428"/>
      <c r="AQ273" s="428"/>
      <c r="AR273" s="428"/>
      <c r="AS273" s="428"/>
      <c r="AT273" s="428"/>
      <c r="AU273" s="428"/>
      <c r="AV273" s="428"/>
      <c r="AW273" s="428"/>
      <c r="AX273" s="428"/>
      <c r="AY273" s="428"/>
    </row>
    <row r="274" spans="2:52">
      <c r="B274" s="1250" t="s">
        <v>619</v>
      </c>
      <c r="C274" s="1251"/>
      <c r="D274" s="411" t="s">
        <v>1477</v>
      </c>
      <c r="E274" s="411"/>
      <c r="F274" s="411" t="s">
        <v>489</v>
      </c>
      <c r="G274" s="411" t="s">
        <v>483</v>
      </c>
      <c r="H274" s="412">
        <v>7357.89</v>
      </c>
      <c r="I274" s="413" t="s">
        <v>240</v>
      </c>
      <c r="J274" s="414">
        <v>45060.416666666664</v>
      </c>
      <c r="K274" s="414"/>
      <c r="L274" s="414" t="s">
        <v>192</v>
      </c>
      <c r="M274" s="414" t="s">
        <v>192</v>
      </c>
      <c r="N274" s="413" t="str">
        <f t="shared" si="18"/>
        <v>DELAY ( 9 day 0 hour 30 minute )</v>
      </c>
      <c r="O274" s="51"/>
      <c r="P274" s="415" t="s">
        <v>551</v>
      </c>
      <c r="Q274" s="415" t="s">
        <v>551</v>
      </c>
      <c r="R274" s="415" t="s">
        <v>551</v>
      </c>
      <c r="S274" s="32"/>
      <c r="T274" s="416"/>
      <c r="U274" s="416"/>
      <c r="V274" s="416"/>
      <c r="W274" s="416"/>
      <c r="X274" s="416"/>
      <c r="Y274" s="416"/>
      <c r="Z274" s="416"/>
      <c r="AA274" s="416"/>
      <c r="AB274" s="416"/>
      <c r="AC274" s="416">
        <f>H274</f>
        <v>7357.89</v>
      </c>
      <c r="AD274" s="416"/>
      <c r="AE274" s="416"/>
      <c r="AF274" s="416"/>
      <c r="AG274" s="416"/>
      <c r="AH274" s="416"/>
      <c r="AI274" s="416"/>
      <c r="AJ274" s="416"/>
      <c r="AK274" s="416"/>
      <c r="AL274" s="416"/>
      <c r="AM274" s="416"/>
      <c r="AN274" s="416"/>
      <c r="AO274" s="416"/>
      <c r="AP274" s="416"/>
      <c r="AQ274" s="416"/>
      <c r="AR274" s="416"/>
      <c r="AS274" s="416"/>
      <c r="AT274" s="416"/>
      <c r="AU274" s="416"/>
      <c r="AV274" s="416"/>
      <c r="AW274" s="416"/>
      <c r="AX274" s="416"/>
      <c r="AY274" s="416"/>
      <c r="AZ274" s="32"/>
    </row>
    <row r="275" spans="2:52">
      <c r="B275" s="1252"/>
      <c r="C275" s="1253"/>
      <c r="D275" s="411"/>
      <c r="E275" s="411"/>
      <c r="F275" s="1256" t="s">
        <v>668</v>
      </c>
      <c r="G275" s="1257"/>
      <c r="H275" s="412">
        <v>1000</v>
      </c>
      <c r="I275" s="413"/>
      <c r="J275" s="414"/>
      <c r="K275" s="414"/>
      <c r="L275" s="414"/>
      <c r="M275" s="414"/>
      <c r="N275" s="413" t="str">
        <f t="shared" si="18"/>
        <v xml:space="preserve"> </v>
      </c>
      <c r="O275" s="51"/>
      <c r="P275" s="415"/>
      <c r="Q275" s="415"/>
      <c r="R275" s="415"/>
      <c r="S275" s="32"/>
      <c r="T275" s="416"/>
      <c r="U275" s="416"/>
      <c r="V275" s="416"/>
      <c r="W275" s="416"/>
      <c r="X275" s="416"/>
      <c r="Y275" s="416"/>
      <c r="Z275" s="416"/>
      <c r="AA275" s="416"/>
      <c r="AB275" s="289"/>
      <c r="AC275" s="416"/>
      <c r="AD275" s="416"/>
      <c r="AE275" s="416"/>
      <c r="AF275" s="416"/>
      <c r="AG275" s="416"/>
      <c r="AH275" s="416"/>
      <c r="AI275" s="416"/>
      <c r="AJ275" s="416"/>
      <c r="AK275" s="416"/>
      <c r="AL275" s="416"/>
      <c r="AM275" s="416"/>
      <c r="AN275" s="416"/>
      <c r="AO275" s="416"/>
      <c r="AP275" s="416"/>
      <c r="AQ275" s="416"/>
      <c r="AR275" s="416"/>
      <c r="AS275" s="416"/>
      <c r="AT275" s="416"/>
      <c r="AU275" s="416"/>
      <c r="AV275" s="289"/>
      <c r="AW275" s="416"/>
      <c r="AX275" s="416"/>
      <c r="AY275" s="416"/>
      <c r="AZ275" s="32"/>
    </row>
    <row r="276" spans="2:52">
      <c r="B276" s="1254"/>
      <c r="C276" s="1255"/>
      <c r="D276" s="411"/>
      <c r="E276" s="411"/>
      <c r="F276" s="1256" t="s">
        <v>616</v>
      </c>
      <c r="G276" s="1257"/>
      <c r="H276" s="412">
        <v>3700</v>
      </c>
      <c r="I276" s="413"/>
      <c r="J276" s="414"/>
      <c r="K276" s="414"/>
      <c r="L276" s="414"/>
      <c r="M276" s="414"/>
      <c r="N276" s="413" t="str">
        <f t="shared" si="18"/>
        <v xml:space="preserve"> </v>
      </c>
      <c r="O276" s="51"/>
      <c r="P276" s="415"/>
      <c r="Q276" s="415"/>
      <c r="R276" s="415"/>
      <c r="S276" s="32"/>
      <c r="T276" s="416"/>
      <c r="U276" s="416"/>
      <c r="V276" s="416"/>
      <c r="W276" s="416"/>
      <c r="X276" s="416"/>
      <c r="Y276" s="416"/>
      <c r="Z276" s="416"/>
      <c r="AA276" s="416"/>
      <c r="AB276" s="289"/>
      <c r="AC276" s="416"/>
      <c r="AD276" s="416"/>
      <c r="AE276" s="416"/>
      <c r="AF276" s="416"/>
      <c r="AG276" s="416"/>
      <c r="AH276" s="416"/>
      <c r="AI276" s="416"/>
      <c r="AJ276" s="416"/>
      <c r="AK276" s="416"/>
      <c r="AL276" s="416"/>
      <c r="AM276" s="416"/>
      <c r="AN276" s="416"/>
      <c r="AO276" s="416"/>
      <c r="AP276" s="416"/>
      <c r="AQ276" s="416"/>
      <c r="AR276" s="416"/>
      <c r="AS276" s="416"/>
      <c r="AT276" s="416"/>
      <c r="AU276" s="416"/>
      <c r="AV276" s="289"/>
      <c r="AW276" s="416"/>
      <c r="AX276" s="416"/>
      <c r="AY276" s="416"/>
      <c r="AZ276" s="32"/>
    </row>
    <row r="277" spans="2:52">
      <c r="B277" s="1250" t="s">
        <v>621</v>
      </c>
      <c r="C277" s="1251"/>
      <c r="D277" s="411" t="s">
        <v>1475</v>
      </c>
      <c r="E277" s="411"/>
      <c r="F277" s="411" t="s">
        <v>361</v>
      </c>
      <c r="G277" s="411" t="s">
        <v>362</v>
      </c>
      <c r="H277" s="412">
        <v>7556.9669999999996</v>
      </c>
      <c r="I277" s="413" t="s">
        <v>240</v>
      </c>
      <c r="J277" s="414">
        <v>45060.4375</v>
      </c>
      <c r="K277" s="414"/>
      <c r="L277" s="414" t="s">
        <v>192</v>
      </c>
      <c r="M277" s="414" t="s">
        <v>192</v>
      </c>
      <c r="N277" s="413" t="str">
        <f t="shared" si="18"/>
        <v>DELAY ( 9 day 1 hour 0 minute )</v>
      </c>
      <c r="O277" s="51"/>
      <c r="P277" s="415" t="s">
        <v>551</v>
      </c>
      <c r="Q277" s="415" t="s">
        <v>551</v>
      </c>
      <c r="R277" s="415" t="s">
        <v>551</v>
      </c>
      <c r="S277" s="32"/>
      <c r="T277" s="416"/>
      <c r="U277" s="416"/>
      <c r="V277" s="416"/>
      <c r="W277" s="416"/>
      <c r="X277" s="416"/>
      <c r="Y277" s="416"/>
      <c r="Z277" s="416"/>
      <c r="AA277" s="416"/>
      <c r="AB277" s="32"/>
      <c r="AC277" s="416">
        <f>H277</f>
        <v>7556.9669999999996</v>
      </c>
      <c r="AD277" s="416"/>
      <c r="AE277" s="416"/>
      <c r="AF277" s="416"/>
      <c r="AG277" s="416"/>
      <c r="AH277" s="416"/>
      <c r="AI277" s="416"/>
      <c r="AJ277" s="416"/>
      <c r="AK277" s="416"/>
      <c r="AL277" s="416"/>
      <c r="AM277" s="416"/>
      <c r="AN277" s="416"/>
      <c r="AO277" s="416"/>
      <c r="AP277" s="416"/>
      <c r="AQ277" s="416"/>
      <c r="AR277" s="416"/>
      <c r="AS277" s="416"/>
      <c r="AT277" s="416"/>
      <c r="AU277" s="416"/>
      <c r="AV277" s="32"/>
      <c r="AW277" s="416"/>
      <c r="AX277" s="416"/>
      <c r="AY277" s="416"/>
      <c r="AZ277" s="32"/>
    </row>
    <row r="278" spans="2:52">
      <c r="B278" s="1252"/>
      <c r="C278" s="1253"/>
      <c r="D278" s="411"/>
      <c r="E278" s="411"/>
      <c r="F278" s="1256" t="s">
        <v>668</v>
      </c>
      <c r="G278" s="1257"/>
      <c r="H278" s="412">
        <v>1000</v>
      </c>
      <c r="I278" s="413"/>
      <c r="J278" s="414"/>
      <c r="K278" s="414"/>
      <c r="L278" s="414"/>
      <c r="M278" s="414"/>
      <c r="N278" s="413" t="str">
        <f t="shared" si="18"/>
        <v xml:space="preserve"> </v>
      </c>
      <c r="O278" s="51"/>
      <c r="P278" s="415"/>
      <c r="Q278" s="415"/>
      <c r="R278" s="415"/>
      <c r="S278" s="32"/>
      <c r="T278" s="416"/>
      <c r="U278" s="416"/>
      <c r="V278" s="416"/>
      <c r="W278" s="416"/>
      <c r="X278" s="416"/>
      <c r="Y278" s="416"/>
      <c r="Z278" s="416"/>
      <c r="AA278" s="416"/>
      <c r="AB278" s="289"/>
      <c r="AC278" s="416"/>
      <c r="AD278" s="416"/>
      <c r="AE278" s="416"/>
      <c r="AF278" s="416"/>
      <c r="AG278" s="416"/>
      <c r="AH278" s="416"/>
      <c r="AI278" s="416"/>
      <c r="AJ278" s="416"/>
      <c r="AK278" s="416"/>
      <c r="AL278" s="416"/>
      <c r="AM278" s="416"/>
      <c r="AN278" s="416"/>
      <c r="AO278" s="416"/>
      <c r="AP278" s="416"/>
      <c r="AQ278" s="416"/>
      <c r="AR278" s="416"/>
      <c r="AS278" s="416"/>
      <c r="AT278" s="416"/>
      <c r="AU278" s="416"/>
      <c r="AV278" s="289"/>
      <c r="AW278" s="416"/>
      <c r="AX278" s="416"/>
      <c r="AY278" s="416"/>
      <c r="AZ278" s="32"/>
    </row>
    <row r="279" spans="2:52">
      <c r="B279" s="1254"/>
      <c r="C279" s="1255"/>
      <c r="D279" s="411"/>
      <c r="E279" s="411"/>
      <c r="F279" s="1256" t="s">
        <v>616</v>
      </c>
      <c r="G279" s="1257"/>
      <c r="H279" s="412">
        <v>3000</v>
      </c>
      <c r="I279" s="413"/>
      <c r="J279" s="414"/>
      <c r="K279" s="414"/>
      <c r="L279" s="414"/>
      <c r="M279" s="414"/>
      <c r="N279" s="413" t="str">
        <f t="shared" si="18"/>
        <v xml:space="preserve"> </v>
      </c>
      <c r="O279" s="51"/>
      <c r="P279" s="415"/>
      <c r="Q279" s="415"/>
      <c r="R279" s="415"/>
      <c r="S279" s="32"/>
      <c r="T279" s="416"/>
      <c r="U279" s="416"/>
      <c r="V279" s="416"/>
      <c r="W279" s="416"/>
      <c r="X279" s="416"/>
      <c r="Y279" s="416"/>
      <c r="Z279" s="416"/>
      <c r="AA279" s="416"/>
      <c r="AB279" s="289"/>
      <c r="AC279" s="416"/>
      <c r="AD279" s="416"/>
      <c r="AE279" s="416"/>
      <c r="AF279" s="416"/>
      <c r="AG279" s="416"/>
      <c r="AH279" s="416"/>
      <c r="AI279" s="416"/>
      <c r="AJ279" s="416"/>
      <c r="AK279" s="416"/>
      <c r="AL279" s="416"/>
      <c r="AM279" s="416"/>
      <c r="AN279" s="416"/>
      <c r="AO279" s="416"/>
      <c r="AP279" s="416"/>
      <c r="AQ279" s="416"/>
      <c r="AR279" s="416"/>
      <c r="AS279" s="416"/>
      <c r="AT279" s="416"/>
      <c r="AU279" s="416"/>
      <c r="AV279" s="289"/>
      <c r="AW279" s="416"/>
      <c r="AX279" s="416"/>
      <c r="AY279" s="416"/>
      <c r="AZ279" s="32"/>
    </row>
    <row r="280" spans="2:52">
      <c r="B280" s="1250" t="s">
        <v>622</v>
      </c>
      <c r="C280" s="1251"/>
      <c r="D280" s="411" t="s">
        <v>1476</v>
      </c>
      <c r="E280" s="411"/>
      <c r="F280" s="411" t="s">
        <v>473</v>
      </c>
      <c r="G280" s="411" t="s">
        <v>474</v>
      </c>
      <c r="H280" s="412">
        <v>7313.2309999999998</v>
      </c>
      <c r="I280" s="413" t="s">
        <v>240</v>
      </c>
      <c r="J280" s="414">
        <v>45060.444444444445</v>
      </c>
      <c r="K280" s="414"/>
      <c r="L280" s="414" t="s">
        <v>192</v>
      </c>
      <c r="M280" s="414" t="s">
        <v>192</v>
      </c>
      <c r="N280" s="413" t="str">
        <f t="shared" si="18"/>
        <v>DELAY ( 9 day 1 hour 10 minute )</v>
      </c>
      <c r="O280" s="51"/>
      <c r="P280" s="415" t="s">
        <v>551</v>
      </c>
      <c r="Q280" s="415" t="s">
        <v>551</v>
      </c>
      <c r="R280" s="415" t="s">
        <v>551</v>
      </c>
      <c r="S280" s="32"/>
      <c r="T280" s="416"/>
      <c r="U280" s="416"/>
      <c r="V280" s="416"/>
      <c r="W280" s="416"/>
      <c r="X280" s="416"/>
      <c r="Y280" s="416"/>
      <c r="Z280" s="416"/>
      <c r="AA280" s="416"/>
      <c r="AB280" s="416"/>
      <c r="AC280" s="416">
        <f>H280</f>
        <v>7313.2309999999998</v>
      </c>
      <c r="AD280" s="416"/>
      <c r="AE280" s="416"/>
      <c r="AF280" s="416"/>
      <c r="AG280" s="416"/>
      <c r="AH280" s="416"/>
      <c r="AI280" s="416"/>
      <c r="AJ280" s="416"/>
      <c r="AK280" s="416"/>
      <c r="AL280" s="416"/>
      <c r="AM280" s="416"/>
      <c r="AN280" s="416"/>
      <c r="AO280" s="416"/>
      <c r="AP280" s="416"/>
      <c r="AQ280" s="416"/>
      <c r="AR280" s="416"/>
      <c r="AS280" s="416"/>
      <c r="AT280" s="416"/>
      <c r="AU280" s="416"/>
      <c r="AV280" s="416"/>
      <c r="AW280" s="416"/>
      <c r="AX280" s="416"/>
      <c r="AY280" s="416"/>
      <c r="AZ280" s="32"/>
    </row>
    <row r="281" spans="2:52">
      <c r="B281" s="1254"/>
      <c r="C281" s="1255"/>
      <c r="D281" s="411"/>
      <c r="E281" s="411"/>
      <c r="F281" s="1256" t="s">
        <v>616</v>
      </c>
      <c r="G281" s="1257"/>
      <c r="H281" s="412">
        <v>2000</v>
      </c>
      <c r="I281" s="413"/>
      <c r="J281" s="414"/>
      <c r="K281" s="414"/>
      <c r="L281" s="414"/>
      <c r="M281" s="414"/>
      <c r="N281" s="413" t="str">
        <f t="shared" si="18"/>
        <v xml:space="preserve"> </v>
      </c>
      <c r="O281" s="51"/>
      <c r="P281" s="415"/>
      <c r="Q281" s="415"/>
      <c r="R281" s="415"/>
      <c r="S281" s="32"/>
      <c r="T281" s="416"/>
      <c r="U281" s="416"/>
      <c r="V281" s="416"/>
      <c r="W281" s="416"/>
      <c r="X281" s="416"/>
      <c r="Y281" s="416"/>
      <c r="Z281" s="416"/>
      <c r="AA281" s="416"/>
      <c r="AB281" s="289"/>
      <c r="AC281" s="416"/>
      <c r="AD281" s="416"/>
      <c r="AE281" s="416"/>
      <c r="AF281" s="416"/>
      <c r="AG281" s="416"/>
      <c r="AH281" s="416"/>
      <c r="AI281" s="416"/>
      <c r="AJ281" s="416"/>
      <c r="AK281" s="416"/>
      <c r="AL281" s="416"/>
      <c r="AM281" s="416"/>
      <c r="AN281" s="416"/>
      <c r="AO281" s="416"/>
      <c r="AP281" s="416"/>
      <c r="AQ281" s="416"/>
      <c r="AR281" s="416"/>
      <c r="AS281" s="416"/>
      <c r="AT281" s="416"/>
      <c r="AU281" s="416"/>
      <c r="AV281" s="289"/>
      <c r="AW281" s="416"/>
      <c r="AX281" s="416"/>
      <c r="AY281" s="416"/>
      <c r="AZ281" s="32"/>
    </row>
    <row r="282" spans="2:52">
      <c r="B282" s="1250" t="s">
        <v>623</v>
      </c>
      <c r="C282" s="1251"/>
      <c r="D282" s="411" t="s">
        <v>1574</v>
      </c>
      <c r="E282" s="411"/>
      <c r="F282" s="411" t="s">
        <v>686</v>
      </c>
      <c r="G282" s="411" t="s">
        <v>1186</v>
      </c>
      <c r="H282" s="412">
        <v>7503.1090000000004</v>
      </c>
      <c r="I282" s="413" t="s">
        <v>1164</v>
      </c>
      <c r="J282" s="414">
        <v>45061.9375</v>
      </c>
      <c r="K282" s="414"/>
      <c r="L282" s="414" t="s">
        <v>192</v>
      </c>
      <c r="M282" s="414" t="s">
        <v>192</v>
      </c>
      <c r="N282" s="413" t="str">
        <f t="shared" si="18"/>
        <v>DELAY ( 10 day 13 hour 0 minute )</v>
      </c>
      <c r="O282" s="51"/>
      <c r="P282" s="415" t="s">
        <v>551</v>
      </c>
      <c r="Q282" s="415" t="s">
        <v>551</v>
      </c>
      <c r="R282" s="415" t="s">
        <v>551</v>
      </c>
      <c r="S282" s="32"/>
      <c r="T282" s="416"/>
      <c r="U282" s="416"/>
      <c r="V282" s="416"/>
      <c r="W282" s="416"/>
      <c r="X282" s="416">
        <f>H282</f>
        <v>7503.1090000000004</v>
      </c>
      <c r="Y282" s="416"/>
      <c r="Z282" s="416"/>
      <c r="AA282" s="416"/>
      <c r="AB282" s="416"/>
      <c r="AC282" s="416"/>
      <c r="AD282" s="416"/>
      <c r="AE282" s="416"/>
      <c r="AF282" s="416"/>
      <c r="AG282" s="416"/>
      <c r="AH282" s="416"/>
      <c r="AI282" s="416"/>
      <c r="AJ282" s="416"/>
      <c r="AK282" s="416"/>
      <c r="AL282" s="416"/>
      <c r="AM282" s="416"/>
      <c r="AN282" s="416"/>
      <c r="AO282" s="416"/>
      <c r="AP282" s="416"/>
      <c r="AQ282" s="416"/>
      <c r="AR282" s="416"/>
      <c r="AS282" s="416"/>
      <c r="AT282" s="416"/>
      <c r="AU282" s="416"/>
      <c r="AV282" s="416"/>
      <c r="AW282" s="416"/>
      <c r="AX282" s="416"/>
      <c r="AY282" s="416"/>
      <c r="AZ282" s="32"/>
    </row>
    <row r="283" spans="2:52">
      <c r="B283" s="1252"/>
      <c r="C283" s="1253"/>
      <c r="D283" s="411"/>
      <c r="E283" s="411"/>
      <c r="F283" s="1256" t="s">
        <v>668</v>
      </c>
      <c r="G283" s="1257"/>
      <c r="H283" s="412">
        <v>1000</v>
      </c>
      <c r="I283" s="413"/>
      <c r="J283" s="414"/>
      <c r="K283" s="414"/>
      <c r="L283" s="414"/>
      <c r="M283" s="414"/>
      <c r="N283" s="413" t="str">
        <f t="shared" si="18"/>
        <v xml:space="preserve"> </v>
      </c>
      <c r="O283" s="51"/>
      <c r="P283" s="415"/>
      <c r="Q283" s="415"/>
      <c r="R283" s="415"/>
      <c r="S283" s="32"/>
      <c r="T283" s="416"/>
      <c r="U283" s="416"/>
      <c r="V283" s="416"/>
      <c r="W283" s="416"/>
      <c r="X283" s="416"/>
      <c r="Y283" s="416"/>
      <c r="Z283" s="416"/>
      <c r="AA283" s="416"/>
      <c r="AB283" s="289"/>
      <c r="AC283" s="416"/>
      <c r="AD283" s="416"/>
      <c r="AE283" s="416"/>
      <c r="AF283" s="416"/>
      <c r="AG283" s="416"/>
      <c r="AH283" s="416"/>
      <c r="AI283" s="416"/>
      <c r="AJ283" s="416"/>
      <c r="AK283" s="416"/>
      <c r="AL283" s="416"/>
      <c r="AM283" s="416"/>
      <c r="AN283" s="416"/>
      <c r="AO283" s="416"/>
      <c r="AP283" s="416"/>
      <c r="AQ283" s="416"/>
      <c r="AR283" s="416"/>
      <c r="AS283" s="416"/>
      <c r="AT283" s="416"/>
      <c r="AU283" s="416"/>
      <c r="AV283" s="289"/>
      <c r="AW283" s="416"/>
      <c r="AX283" s="416"/>
      <c r="AY283" s="416"/>
      <c r="AZ283" s="32"/>
    </row>
    <row r="284" spans="2:52">
      <c r="B284" s="1254"/>
      <c r="C284" s="1255"/>
      <c r="D284" s="411"/>
      <c r="E284" s="411"/>
      <c r="F284" s="1256" t="s">
        <v>616</v>
      </c>
      <c r="G284" s="1257"/>
      <c r="H284" s="412">
        <v>3169</v>
      </c>
      <c r="I284" s="413"/>
      <c r="J284" s="414"/>
      <c r="K284" s="414"/>
      <c r="L284" s="414"/>
      <c r="M284" s="414"/>
      <c r="N284" s="413" t="str">
        <f t="shared" si="18"/>
        <v xml:space="preserve"> </v>
      </c>
      <c r="O284" s="51"/>
      <c r="P284" s="415"/>
      <c r="Q284" s="415"/>
      <c r="R284" s="415"/>
      <c r="S284" s="32"/>
      <c r="T284" s="416"/>
      <c r="U284" s="416"/>
      <c r="V284" s="416"/>
      <c r="W284" s="416"/>
      <c r="X284" s="416"/>
      <c r="Y284" s="416"/>
      <c r="Z284" s="416"/>
      <c r="AA284" s="416"/>
      <c r="AB284" s="289"/>
      <c r="AC284" s="416"/>
      <c r="AD284" s="416"/>
      <c r="AE284" s="416"/>
      <c r="AF284" s="416"/>
      <c r="AG284" s="416"/>
      <c r="AH284" s="416"/>
      <c r="AI284" s="416"/>
      <c r="AJ284" s="416"/>
      <c r="AK284" s="416"/>
      <c r="AL284" s="416"/>
      <c r="AM284" s="416"/>
      <c r="AN284" s="416"/>
      <c r="AO284" s="416"/>
      <c r="AP284" s="416"/>
      <c r="AQ284" s="416"/>
      <c r="AR284" s="416"/>
      <c r="AS284" s="416"/>
      <c r="AT284" s="416"/>
      <c r="AU284" s="416"/>
      <c r="AV284" s="289"/>
      <c r="AW284" s="416"/>
      <c r="AX284" s="416"/>
      <c r="AY284" s="416"/>
      <c r="AZ284" s="32"/>
    </row>
    <row r="285" spans="2:52">
      <c r="B285" s="1250" t="s">
        <v>624</v>
      </c>
      <c r="C285" s="1251"/>
      <c r="D285" s="411" t="s">
        <v>1669</v>
      </c>
      <c r="E285" s="411"/>
      <c r="F285" s="411" t="s">
        <v>1392</v>
      </c>
      <c r="G285" s="411" t="s">
        <v>365</v>
      </c>
      <c r="H285" s="412">
        <v>7486.6270000000004</v>
      </c>
      <c r="I285" s="413" t="s">
        <v>835</v>
      </c>
      <c r="J285" s="414">
        <v>45060.704861111109</v>
      </c>
      <c r="K285" s="414"/>
      <c r="L285" s="414" t="s">
        <v>192</v>
      </c>
      <c r="M285" s="414" t="s">
        <v>192</v>
      </c>
      <c r="N285" s="413" t="str">
        <f t="shared" si="18"/>
        <v>DELAY ( 9 day 7 hour 25 minute )</v>
      </c>
      <c r="O285" s="51"/>
      <c r="P285" s="415" t="s">
        <v>551</v>
      </c>
      <c r="Q285" s="415" t="s">
        <v>551</v>
      </c>
      <c r="R285" s="415" t="s">
        <v>551</v>
      </c>
      <c r="S285" s="32"/>
      <c r="T285" s="416"/>
      <c r="U285" s="416"/>
      <c r="V285" s="416"/>
      <c r="W285" s="416"/>
      <c r="X285" s="416"/>
      <c r="Y285" s="32"/>
      <c r="Z285" s="416">
        <f>H285</f>
        <v>7486.6270000000004</v>
      </c>
      <c r="AA285" s="416"/>
      <c r="AB285" s="416"/>
      <c r="AC285" s="416"/>
      <c r="AD285" s="416"/>
      <c r="AE285" s="416"/>
      <c r="AF285" s="416"/>
      <c r="AG285" s="416"/>
      <c r="AH285" s="416"/>
      <c r="AI285" s="416"/>
      <c r="AJ285" s="416"/>
      <c r="AK285" s="416"/>
      <c r="AL285" s="416"/>
      <c r="AM285" s="416"/>
      <c r="AN285" s="416"/>
      <c r="AO285" s="416"/>
      <c r="AP285" s="416"/>
      <c r="AQ285" s="416"/>
      <c r="AR285" s="416"/>
      <c r="AS285" s="416"/>
      <c r="AT285" s="416"/>
      <c r="AU285" s="416"/>
      <c r="AV285" s="416"/>
      <c r="AW285" s="416"/>
      <c r="AX285" s="416"/>
      <c r="AY285" s="416"/>
      <c r="AZ285" s="32"/>
    </row>
    <row r="286" spans="2:52">
      <c r="B286" s="1252"/>
      <c r="C286" s="1253"/>
      <c r="D286" s="411"/>
      <c r="E286" s="411"/>
      <c r="F286" s="1256" t="s">
        <v>668</v>
      </c>
      <c r="G286" s="1257"/>
      <c r="H286" s="412">
        <v>1006</v>
      </c>
      <c r="I286" s="413"/>
      <c r="J286" s="414"/>
      <c r="K286" s="414"/>
      <c r="L286" s="414"/>
      <c r="M286" s="414"/>
      <c r="N286" s="413" t="str">
        <f t="shared" si="18"/>
        <v xml:space="preserve"> </v>
      </c>
      <c r="O286" s="51"/>
      <c r="P286" s="415"/>
      <c r="Q286" s="415"/>
      <c r="R286" s="415"/>
      <c r="S286" s="32"/>
      <c r="T286" s="416"/>
      <c r="U286" s="416"/>
      <c r="V286" s="416"/>
      <c r="W286" s="416"/>
      <c r="X286" s="416"/>
      <c r="Y286" s="416"/>
      <c r="Z286" s="416"/>
      <c r="AA286" s="416"/>
      <c r="AB286" s="289"/>
      <c r="AC286" s="416"/>
      <c r="AD286" s="416"/>
      <c r="AE286" s="416"/>
      <c r="AF286" s="416"/>
      <c r="AG286" s="416"/>
      <c r="AH286" s="416"/>
      <c r="AI286" s="416"/>
      <c r="AJ286" s="416"/>
      <c r="AK286" s="416"/>
      <c r="AL286" s="416"/>
      <c r="AM286" s="416"/>
      <c r="AN286" s="416"/>
      <c r="AO286" s="416"/>
      <c r="AP286" s="416"/>
      <c r="AQ286" s="416"/>
      <c r="AR286" s="416"/>
      <c r="AS286" s="416"/>
      <c r="AT286" s="416"/>
      <c r="AU286" s="416"/>
      <c r="AV286" s="289"/>
      <c r="AW286" s="416"/>
      <c r="AX286" s="416"/>
      <c r="AY286" s="416"/>
      <c r="AZ286" s="32"/>
    </row>
    <row r="287" spans="2:52">
      <c r="B287" s="1250" t="s">
        <v>625</v>
      </c>
      <c r="C287" s="1251"/>
      <c r="D287" s="411" t="s">
        <v>1479</v>
      </c>
      <c r="E287" s="411"/>
      <c r="F287" s="411" t="s">
        <v>330</v>
      </c>
      <c r="G287" s="411" t="s">
        <v>331</v>
      </c>
      <c r="H287" s="412">
        <v>7510.4129999999996</v>
      </c>
      <c r="I287" s="413" t="s">
        <v>240</v>
      </c>
      <c r="J287" s="414">
        <v>45061.430555555555</v>
      </c>
      <c r="K287" s="414"/>
      <c r="L287" s="414" t="s">
        <v>192</v>
      </c>
      <c r="M287" s="414" t="s">
        <v>192</v>
      </c>
      <c r="N287" s="413" t="str">
        <f t="shared" si="18"/>
        <v>DELAY ( 10 day 0 hour 50 minute )</v>
      </c>
      <c r="O287" s="51"/>
      <c r="P287" s="415" t="s">
        <v>551</v>
      </c>
      <c r="Q287" s="415" t="s">
        <v>551</v>
      </c>
      <c r="R287" s="415" t="s">
        <v>551</v>
      </c>
      <c r="S287" s="32"/>
      <c r="T287" s="416"/>
      <c r="U287" s="416"/>
      <c r="V287" s="416"/>
      <c r="W287" s="416"/>
      <c r="X287" s="416"/>
      <c r="Y287" s="416"/>
      <c r="Z287" s="416"/>
      <c r="AA287" s="416"/>
      <c r="AB287" s="416"/>
      <c r="AC287" s="416">
        <f>H287</f>
        <v>7510.4129999999996</v>
      </c>
      <c r="AD287" s="416"/>
      <c r="AE287" s="416"/>
      <c r="AF287" s="416"/>
      <c r="AG287" s="416"/>
      <c r="AH287" s="416"/>
      <c r="AI287" s="416"/>
      <c r="AJ287" s="416"/>
      <c r="AK287" s="416"/>
      <c r="AL287" s="416"/>
      <c r="AM287" s="416"/>
      <c r="AN287" s="416"/>
      <c r="AO287" s="416"/>
      <c r="AP287" s="416"/>
      <c r="AQ287" s="416"/>
      <c r="AR287" s="416"/>
      <c r="AS287" s="416"/>
      <c r="AT287" s="416"/>
      <c r="AU287" s="416"/>
      <c r="AV287" s="416"/>
      <c r="AW287" s="416"/>
      <c r="AX287" s="416"/>
      <c r="AY287" s="416"/>
      <c r="AZ287" s="32"/>
    </row>
    <row r="288" spans="2:52">
      <c r="B288" s="1254"/>
      <c r="C288" s="1255"/>
      <c r="D288" s="411"/>
      <c r="E288" s="411"/>
      <c r="F288" s="1256" t="s">
        <v>616</v>
      </c>
      <c r="G288" s="1257"/>
      <c r="H288" s="412">
        <v>2000</v>
      </c>
      <c r="I288" s="413"/>
      <c r="J288" s="414"/>
      <c r="K288" s="414"/>
      <c r="L288" s="414"/>
      <c r="M288" s="414"/>
      <c r="N288" s="413" t="str">
        <f t="shared" si="18"/>
        <v xml:space="preserve"> </v>
      </c>
      <c r="O288" s="51"/>
      <c r="P288" s="415"/>
      <c r="Q288" s="415"/>
      <c r="R288" s="415"/>
      <c r="S288" s="32"/>
      <c r="T288" s="416"/>
      <c r="U288" s="416"/>
      <c r="V288" s="416"/>
      <c r="W288" s="416"/>
      <c r="X288" s="416"/>
      <c r="Y288" s="416"/>
      <c r="Z288" s="416"/>
      <c r="AA288" s="416"/>
      <c r="AB288" s="289"/>
      <c r="AC288" s="416"/>
      <c r="AD288" s="416"/>
      <c r="AE288" s="416"/>
      <c r="AF288" s="416"/>
      <c r="AG288" s="416"/>
      <c r="AH288" s="416"/>
      <c r="AI288" s="416"/>
      <c r="AJ288" s="416"/>
      <c r="AK288" s="416"/>
      <c r="AL288" s="416"/>
      <c r="AM288" s="416"/>
      <c r="AN288" s="416"/>
      <c r="AO288" s="416"/>
      <c r="AP288" s="416"/>
      <c r="AQ288" s="416"/>
      <c r="AR288" s="416"/>
      <c r="AS288" s="416"/>
      <c r="AT288" s="416"/>
      <c r="AU288" s="416"/>
      <c r="AV288" s="289"/>
      <c r="AW288" s="416"/>
      <c r="AX288" s="416"/>
      <c r="AY288" s="416"/>
      <c r="AZ288" s="32"/>
    </row>
    <row r="289" spans="2:56">
      <c r="B289" s="1250" t="s">
        <v>669</v>
      </c>
      <c r="C289" s="1251"/>
      <c r="D289" s="411" t="s">
        <v>1480</v>
      </c>
      <c r="E289" s="411"/>
      <c r="F289" s="411" t="s">
        <v>695</v>
      </c>
      <c r="G289" s="411" t="s">
        <v>281</v>
      </c>
      <c r="H289" s="412">
        <v>7426.96</v>
      </c>
      <c r="I289" s="413" t="s">
        <v>240</v>
      </c>
      <c r="J289" s="414">
        <v>45063.875</v>
      </c>
      <c r="K289" s="414"/>
      <c r="L289" s="414" t="s">
        <v>192</v>
      </c>
      <c r="M289" s="414" t="s">
        <v>192</v>
      </c>
      <c r="N289" s="413" t="str">
        <f t="shared" si="18"/>
        <v>DELAY ( 12 day 11 hour 30 minute )</v>
      </c>
      <c r="O289" s="51"/>
      <c r="P289" s="415" t="s">
        <v>551</v>
      </c>
      <c r="Q289" s="415" t="s">
        <v>551</v>
      </c>
      <c r="R289" s="415" t="s">
        <v>551</v>
      </c>
      <c r="S289" s="32"/>
      <c r="T289" s="416"/>
      <c r="U289" s="416"/>
      <c r="V289" s="416"/>
      <c r="W289" s="416"/>
      <c r="X289" s="416"/>
      <c r="Y289" s="416"/>
      <c r="Z289" s="416"/>
      <c r="AA289" s="416"/>
      <c r="AB289" s="416"/>
      <c r="AC289" s="416">
        <f>H289</f>
        <v>7426.96</v>
      </c>
      <c r="AD289" s="416"/>
      <c r="AE289" s="416"/>
      <c r="AF289" s="416"/>
      <c r="AG289" s="416"/>
      <c r="AH289" s="416"/>
      <c r="AI289" s="416"/>
      <c r="AJ289" s="416"/>
      <c r="AK289" s="416"/>
      <c r="AL289" s="416"/>
      <c r="AM289" s="416"/>
      <c r="AN289" s="416"/>
      <c r="AO289" s="416"/>
      <c r="AP289" s="416"/>
      <c r="AQ289" s="416"/>
      <c r="AR289" s="416"/>
      <c r="AS289" s="416"/>
      <c r="AT289" s="416"/>
      <c r="AU289" s="416"/>
      <c r="AV289" s="416"/>
      <c r="AW289" s="416"/>
      <c r="AX289" s="416"/>
      <c r="AY289" s="416"/>
      <c r="AZ289" s="32"/>
    </row>
    <row r="290" spans="2:56">
      <c r="B290" s="1252"/>
      <c r="C290" s="1253"/>
      <c r="D290" s="411"/>
      <c r="E290" s="411"/>
      <c r="F290" s="1256" t="s">
        <v>668</v>
      </c>
      <c r="G290" s="1257"/>
      <c r="H290" s="412">
        <f>1000+0.185</f>
        <v>1000.1849999999999</v>
      </c>
      <c r="I290" s="413"/>
      <c r="J290" s="414"/>
      <c r="K290" s="414"/>
      <c r="L290" s="414"/>
      <c r="M290" s="414"/>
      <c r="N290" s="413" t="str">
        <f t="shared" si="18"/>
        <v xml:space="preserve"> </v>
      </c>
      <c r="O290" s="51"/>
      <c r="P290" s="415"/>
      <c r="Q290" s="415"/>
      <c r="R290" s="415"/>
      <c r="S290" s="32"/>
      <c r="T290" s="416"/>
      <c r="U290" s="416"/>
      <c r="V290" s="416"/>
      <c r="W290" s="416"/>
      <c r="X290" s="416"/>
      <c r="Y290" s="416"/>
      <c r="Z290" s="416"/>
      <c r="AA290" s="416"/>
      <c r="AB290" s="289"/>
      <c r="AC290" s="416"/>
      <c r="AD290" s="416"/>
      <c r="AE290" s="416"/>
      <c r="AF290" s="416"/>
      <c r="AG290" s="416"/>
      <c r="AH290" s="416"/>
      <c r="AI290" s="416"/>
      <c r="AJ290" s="416"/>
      <c r="AK290" s="416"/>
      <c r="AL290" s="416"/>
      <c r="AM290" s="416"/>
      <c r="AN290" s="416"/>
      <c r="AO290" s="416"/>
      <c r="AP290" s="416"/>
      <c r="AQ290" s="416"/>
      <c r="AR290" s="416"/>
      <c r="AS290" s="416"/>
      <c r="AT290" s="416"/>
      <c r="AU290" s="416"/>
      <c r="AV290" s="289"/>
      <c r="AW290" s="416"/>
      <c r="AX290" s="416"/>
      <c r="AY290" s="416"/>
      <c r="AZ290" s="32"/>
    </row>
    <row r="291" spans="2:56">
      <c r="B291" s="1254"/>
      <c r="C291" s="1255"/>
      <c r="D291" s="411"/>
      <c r="E291" s="411"/>
      <c r="F291" s="1256" t="s">
        <v>616</v>
      </c>
      <c r="G291" s="1257"/>
      <c r="H291" s="412">
        <f>3157+0.211</f>
        <v>3157.2109999999998</v>
      </c>
      <c r="I291" s="413"/>
      <c r="J291" s="414"/>
      <c r="K291" s="414"/>
      <c r="L291" s="414"/>
      <c r="M291" s="414"/>
      <c r="N291" s="413" t="str">
        <f t="shared" si="18"/>
        <v xml:space="preserve"> </v>
      </c>
      <c r="O291" s="51"/>
      <c r="P291" s="415"/>
      <c r="Q291" s="415"/>
      <c r="R291" s="415"/>
      <c r="S291" s="32"/>
      <c r="T291" s="416"/>
      <c r="U291" s="416"/>
      <c r="V291" s="416"/>
      <c r="W291" s="416"/>
      <c r="X291" s="416"/>
      <c r="Y291" s="416"/>
      <c r="Z291" s="416"/>
      <c r="AA291" s="416"/>
      <c r="AB291" s="289"/>
      <c r="AC291" s="416"/>
      <c r="AD291" s="416"/>
      <c r="AE291" s="416"/>
      <c r="AF291" s="416"/>
      <c r="AG291" s="416"/>
      <c r="AH291" s="416"/>
      <c r="AI291" s="416"/>
      <c r="AJ291" s="416"/>
      <c r="AK291" s="416"/>
      <c r="AL291" s="416"/>
      <c r="AM291" s="416"/>
      <c r="AN291" s="416"/>
      <c r="AO291" s="416"/>
      <c r="AP291" s="416"/>
      <c r="AQ291" s="416"/>
      <c r="AR291" s="416"/>
      <c r="AS291" s="416"/>
      <c r="AT291" s="416"/>
      <c r="AU291" s="416"/>
      <c r="AV291" s="289"/>
      <c r="AW291" s="416"/>
      <c r="AX291" s="416"/>
      <c r="AY291" s="416"/>
      <c r="AZ291" s="32"/>
    </row>
    <row r="292" spans="2:56">
      <c r="B292" s="1256" t="s">
        <v>670</v>
      </c>
      <c r="C292" s="1257"/>
      <c r="D292" s="411" t="s">
        <v>1478</v>
      </c>
      <c r="E292" s="411"/>
      <c r="F292" s="411" t="s">
        <v>249</v>
      </c>
      <c r="G292" s="411" t="s">
        <v>250</v>
      </c>
      <c r="H292" s="412">
        <f>7508.984-6596.577</f>
        <v>912.40700000000015</v>
      </c>
      <c r="I292" s="413" t="s">
        <v>240</v>
      </c>
      <c r="J292" s="414">
        <v>45061.395833333336</v>
      </c>
      <c r="K292" s="414"/>
      <c r="L292" s="414" t="s">
        <v>192</v>
      </c>
      <c r="M292" s="414" t="s">
        <v>192</v>
      </c>
      <c r="N292" s="413" t="str">
        <f t="shared" si="18"/>
        <v>DELAY ( 10 day 0 hour 0 minute )</v>
      </c>
      <c r="O292" s="51"/>
      <c r="P292" s="415" t="s">
        <v>551</v>
      </c>
      <c r="Q292" s="415" t="s">
        <v>551</v>
      </c>
      <c r="R292" s="415" t="s">
        <v>551</v>
      </c>
      <c r="S292" s="32"/>
      <c r="T292" s="416"/>
      <c r="U292" s="416"/>
      <c r="V292" s="416"/>
      <c r="W292" s="416"/>
      <c r="X292" s="416"/>
      <c r="Y292" s="416"/>
      <c r="Z292" s="416"/>
      <c r="AA292" s="416"/>
      <c r="AB292" s="416"/>
      <c r="AC292" s="416">
        <f>H292</f>
        <v>912.40700000000015</v>
      </c>
      <c r="AD292" s="416"/>
      <c r="AE292" s="416"/>
      <c r="AF292" s="416"/>
      <c r="AG292" s="416"/>
      <c r="AH292" s="416"/>
      <c r="AI292" s="416"/>
      <c r="AJ292" s="416"/>
      <c r="AK292" s="416"/>
      <c r="AL292" s="416"/>
      <c r="AM292" s="416"/>
      <c r="AN292" s="416"/>
      <c r="AO292" s="416"/>
      <c r="AP292" s="416"/>
      <c r="AQ292" s="416"/>
      <c r="AR292" s="416"/>
      <c r="AS292" s="416"/>
      <c r="AT292" s="416"/>
      <c r="AU292" s="416"/>
      <c r="AV292" s="416"/>
      <c r="AW292" s="416"/>
      <c r="AX292" s="416"/>
      <c r="AY292" s="416"/>
      <c r="AZ292" s="32"/>
    </row>
    <row r="293" spans="2:56">
      <c r="B293" s="1258" t="s">
        <v>626</v>
      </c>
      <c r="C293" s="1259"/>
      <c r="D293" s="1259"/>
      <c r="E293" s="1259"/>
      <c r="F293" s="1259"/>
      <c r="G293" s="1260"/>
      <c r="H293" s="417">
        <f>H285+H277+H280+H274+H292+H287+H289+H282</f>
        <v>53067.603999999992</v>
      </c>
      <c r="I293" s="388"/>
      <c r="J293" s="293"/>
      <c r="K293" s="293"/>
      <c r="L293" s="293"/>
      <c r="M293" s="389"/>
      <c r="N293" s="413" t="str">
        <f t="shared" si="18"/>
        <v xml:space="preserve"> </v>
      </c>
      <c r="O293" s="47"/>
      <c r="P293" s="418"/>
      <c r="Q293" s="418"/>
      <c r="R293" s="418"/>
      <c r="S293" s="32"/>
      <c r="T293" s="1261"/>
      <c r="U293" s="1261"/>
      <c r="V293" s="1261"/>
      <c r="W293" s="1261"/>
      <c r="X293" s="1261"/>
      <c r="Y293" s="1261"/>
      <c r="Z293" s="1261"/>
      <c r="AA293" s="1261"/>
      <c r="AB293" s="1261"/>
      <c r="AC293" s="1261"/>
      <c r="AD293" s="1261"/>
      <c r="AE293" s="1261"/>
      <c r="AF293" s="1261"/>
      <c r="AG293" s="1261"/>
      <c r="AH293" s="1261"/>
      <c r="AI293" s="1261"/>
      <c r="AJ293" s="1261"/>
      <c r="AK293" s="1261"/>
      <c r="AL293" s="1261"/>
      <c r="AM293" s="1261"/>
      <c r="AN293" s="1261"/>
      <c r="AO293" s="1261"/>
      <c r="AP293" s="1261"/>
      <c r="AQ293" s="1261"/>
      <c r="AR293" s="1261"/>
      <c r="AS293" s="1261"/>
      <c r="AT293" s="1261"/>
      <c r="AU293" s="1261"/>
      <c r="AV293" s="1261"/>
      <c r="AW293" s="1261"/>
      <c r="AX293" s="1261"/>
      <c r="AY293" s="1261"/>
    </row>
    <row r="294" spans="2:56">
      <c r="B294" s="1258" t="s">
        <v>556</v>
      </c>
      <c r="C294" s="1259"/>
      <c r="D294" s="1259"/>
      <c r="E294" s="1259"/>
      <c r="F294" s="1259"/>
      <c r="G294" s="1260"/>
      <c r="H294" s="417">
        <f>H273+H293</f>
        <v>75100</v>
      </c>
      <c r="I294" s="388"/>
      <c r="J294" s="293"/>
      <c r="K294" s="293"/>
      <c r="L294" s="293"/>
      <c r="M294" s="389"/>
      <c r="N294" s="413" t="str">
        <f t="shared" si="18"/>
        <v xml:space="preserve"> </v>
      </c>
      <c r="O294" s="212"/>
      <c r="P294" s="418"/>
      <c r="Q294" s="418"/>
      <c r="R294" s="418"/>
      <c r="S294" s="207"/>
      <c r="T294" s="1262"/>
      <c r="U294" s="1263"/>
      <c r="V294" s="1263"/>
      <c r="W294" s="1263"/>
      <c r="X294" s="1263"/>
      <c r="Y294" s="1263"/>
      <c r="Z294" s="1263"/>
      <c r="AA294" s="1263"/>
      <c r="AB294" s="1263"/>
      <c r="AC294" s="1263"/>
      <c r="AD294" s="1263"/>
      <c r="AE294" s="1263"/>
      <c r="AF294" s="1263"/>
      <c r="AG294" s="1263"/>
      <c r="AH294" s="1263"/>
      <c r="AI294" s="1263"/>
      <c r="AJ294" s="1263"/>
      <c r="AK294" s="1263"/>
      <c r="AL294" s="1263"/>
      <c r="AM294" s="1263"/>
      <c r="AN294" s="1263"/>
      <c r="AO294" s="1263"/>
      <c r="AP294" s="1263"/>
      <c r="AQ294" s="1263"/>
      <c r="AR294" s="1263"/>
      <c r="AS294" s="1263"/>
      <c r="AT294" s="1263"/>
      <c r="AU294" s="1263"/>
      <c r="AV294" s="1263"/>
      <c r="AW294" s="1263"/>
      <c r="AX294" s="1263"/>
      <c r="AY294" s="1264"/>
    </row>
    <row r="295" spans="2:56">
      <c r="B295" s="1243" t="s">
        <v>557</v>
      </c>
      <c r="C295" s="1244"/>
      <c r="D295" s="1244"/>
      <c r="E295" s="1244"/>
      <c r="F295" s="1244"/>
      <c r="G295" s="1245"/>
      <c r="H295" s="419">
        <v>75100</v>
      </c>
      <c r="I295" s="1273"/>
      <c r="J295" s="1274"/>
      <c r="K295" s="1274"/>
      <c r="L295" s="1274"/>
      <c r="M295" s="1275"/>
      <c r="N295" s="413" t="str">
        <f t="shared" si="18"/>
        <v xml:space="preserve"> </v>
      </c>
      <c r="O295" s="32"/>
      <c r="P295" s="415"/>
      <c r="Q295" s="415"/>
      <c r="R295" s="415"/>
      <c r="S295" s="63"/>
      <c r="T295" s="416">
        <f>SUM(T269:T292)</f>
        <v>7519.7129999999997</v>
      </c>
      <c r="U295" s="416">
        <f t="shared" ref="U295:AY295" si="19">SUM(U269:U292)</f>
        <v>0</v>
      </c>
      <c r="V295" s="416">
        <f t="shared" si="19"/>
        <v>0</v>
      </c>
      <c r="W295" s="416">
        <f t="shared" si="19"/>
        <v>0</v>
      </c>
      <c r="X295" s="416">
        <f t="shared" si="19"/>
        <v>7503.1090000000004</v>
      </c>
      <c r="Y295" s="416">
        <f t="shared" si="19"/>
        <v>0</v>
      </c>
      <c r="Z295" s="416">
        <f t="shared" si="19"/>
        <v>7486.6270000000004</v>
      </c>
      <c r="AA295" s="416">
        <f t="shared" si="19"/>
        <v>0</v>
      </c>
      <c r="AB295" s="416">
        <f t="shared" si="19"/>
        <v>5344.4489999999996</v>
      </c>
      <c r="AC295" s="416">
        <f t="shared" si="19"/>
        <v>42239.916999999994</v>
      </c>
      <c r="AD295" s="416">
        <f t="shared" si="19"/>
        <v>0</v>
      </c>
      <c r="AE295" s="416">
        <f t="shared" si="19"/>
        <v>0</v>
      </c>
      <c r="AF295" s="416">
        <f t="shared" si="19"/>
        <v>0</v>
      </c>
      <c r="AG295" s="416">
        <f t="shared" si="19"/>
        <v>0</v>
      </c>
      <c r="AH295" s="416">
        <f t="shared" si="19"/>
        <v>0</v>
      </c>
      <c r="AI295" s="416">
        <f t="shared" si="19"/>
        <v>0</v>
      </c>
      <c r="AJ295" s="416">
        <f t="shared" si="19"/>
        <v>0</v>
      </c>
      <c r="AK295" s="416">
        <f t="shared" si="19"/>
        <v>0</v>
      </c>
      <c r="AL295" s="416">
        <f t="shared" si="19"/>
        <v>0</v>
      </c>
      <c r="AM295" s="416">
        <f t="shared" si="19"/>
        <v>0</v>
      </c>
      <c r="AN295" s="416">
        <f t="shared" si="19"/>
        <v>0</v>
      </c>
      <c r="AO295" s="416">
        <f t="shared" si="19"/>
        <v>0</v>
      </c>
      <c r="AP295" s="416">
        <f t="shared" si="19"/>
        <v>0</v>
      </c>
      <c r="AQ295" s="416">
        <f t="shared" si="19"/>
        <v>0</v>
      </c>
      <c r="AR295" s="416">
        <f t="shared" si="19"/>
        <v>0</v>
      </c>
      <c r="AS295" s="416">
        <f t="shared" si="19"/>
        <v>0</v>
      </c>
      <c r="AT295" s="416">
        <f t="shared" si="19"/>
        <v>0</v>
      </c>
      <c r="AU295" s="416">
        <f t="shared" si="19"/>
        <v>0</v>
      </c>
      <c r="AV295" s="416">
        <f t="shared" si="19"/>
        <v>5006.1850000000004</v>
      </c>
      <c r="AW295" s="416">
        <f t="shared" si="19"/>
        <v>0</v>
      </c>
      <c r="AX295" s="416">
        <f t="shared" si="19"/>
        <v>0</v>
      </c>
      <c r="AY295" s="416">
        <f t="shared" si="19"/>
        <v>0</v>
      </c>
      <c r="AZ295" s="416">
        <f>SUM(T295:AY295)</f>
        <v>75100</v>
      </c>
    </row>
    <row r="296" spans="2:56">
      <c r="B296" s="1243" t="s">
        <v>558</v>
      </c>
      <c r="C296" s="1244"/>
      <c r="D296" s="1244"/>
      <c r="E296" s="1244"/>
      <c r="F296" s="1244"/>
      <c r="G296" s="1245"/>
      <c r="H296" s="420">
        <f>H295-L263</f>
        <v>0</v>
      </c>
      <c r="I296" s="294"/>
      <c r="J296" s="295"/>
      <c r="K296" s="295"/>
      <c r="L296" s="296"/>
      <c r="M296" s="32"/>
      <c r="N296" s="32"/>
      <c r="O296" s="32"/>
      <c r="P296" s="32"/>
      <c r="Q296" s="297"/>
      <c r="R296" s="297"/>
      <c r="S296" s="32"/>
      <c r="T296" s="48"/>
      <c r="U296" s="48"/>
      <c r="V296" s="48"/>
      <c r="W296" s="48"/>
      <c r="X296" s="48"/>
      <c r="Y296" s="48"/>
      <c r="Z296" s="48"/>
      <c r="AA296" s="48"/>
      <c r="AB296" s="48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</row>
    <row r="297" spans="2:56">
      <c r="B297" s="1243" t="s">
        <v>559</v>
      </c>
      <c r="C297" s="1244"/>
      <c r="D297" s="1244"/>
      <c r="E297" s="1244"/>
      <c r="F297" s="1244"/>
      <c r="G297" s="1245"/>
      <c r="H297" s="420">
        <v>6007.6729999999998</v>
      </c>
      <c r="I297" s="52"/>
      <c r="J297" s="53"/>
      <c r="K297" s="53"/>
      <c r="L297" s="54"/>
      <c r="M297" s="32"/>
      <c r="N297" s="201"/>
      <c r="O297" s="32"/>
      <c r="P297" s="32"/>
      <c r="Q297" s="32"/>
      <c r="R297" s="32"/>
      <c r="S297" s="32"/>
      <c r="T297" s="48"/>
      <c r="U297" s="48"/>
      <c r="V297" s="48"/>
      <c r="W297" s="48"/>
      <c r="X297" s="48"/>
      <c r="Y297" s="48"/>
      <c r="Z297" s="48"/>
      <c r="AA297" s="48"/>
      <c r="AB297" s="48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</row>
    <row r="298" spans="2:56">
      <c r="B298" s="1243" t="s">
        <v>560</v>
      </c>
      <c r="C298" s="1244"/>
      <c r="D298" s="1244"/>
      <c r="E298" s="1244"/>
      <c r="F298" s="1244"/>
      <c r="G298" s="1245"/>
      <c r="H298" s="421">
        <f>H297-6596.577</f>
        <v>-588.90400000000045</v>
      </c>
      <c r="I298" s="270"/>
      <c r="J298" s="53"/>
      <c r="K298" s="53"/>
      <c r="L298" s="54"/>
      <c r="M298" s="32"/>
      <c r="N298" s="32"/>
      <c r="O298" s="32"/>
      <c r="P298" s="32"/>
      <c r="Q298" s="32"/>
      <c r="R298" s="32"/>
      <c r="S298" s="48"/>
      <c r="T298" s="48"/>
      <c r="U298" s="48"/>
      <c r="V298" s="48"/>
      <c r="W298" s="48"/>
      <c r="X298" s="48"/>
      <c r="Y298" s="48"/>
      <c r="Z298" s="48"/>
      <c r="AA298" s="48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</row>
    <row r="299" spans="2:56">
      <c r="B299" s="201"/>
      <c r="C299" s="201"/>
      <c r="D299" s="201"/>
      <c r="E299" s="201"/>
      <c r="F299" s="201"/>
      <c r="G299" s="201"/>
      <c r="H299" s="201"/>
      <c r="I299" s="52"/>
      <c r="J299" s="209"/>
      <c r="K299" s="209"/>
      <c r="L299" s="203"/>
      <c r="M299" s="201"/>
      <c r="N299" s="201"/>
      <c r="O299" s="209"/>
      <c r="P299" s="32"/>
      <c r="Q299" s="32"/>
      <c r="R299" s="32"/>
      <c r="S299" s="32"/>
      <c r="T299" s="48"/>
      <c r="U299" s="48"/>
      <c r="V299" s="48"/>
      <c r="W299" s="48"/>
      <c r="X299" s="48"/>
      <c r="Y299" s="48"/>
      <c r="Z299" s="48"/>
      <c r="AA299" s="48"/>
      <c r="AB299" s="48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</row>
    <row r="300" spans="2:56">
      <c r="B300" s="40" t="s">
        <v>561</v>
      </c>
      <c r="C300" s="40"/>
      <c r="D300" s="32"/>
      <c r="E300" s="32"/>
      <c r="F300" s="32"/>
      <c r="G300" s="32"/>
      <c r="H300" s="32"/>
      <c r="I300" s="32"/>
      <c r="J300" s="52"/>
      <c r="K300" s="52"/>
      <c r="L300" s="55"/>
      <c r="M300" s="32"/>
      <c r="N300" s="201"/>
      <c r="O300" s="5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  <c r="AA300" s="202"/>
      <c r="AB300" s="201"/>
      <c r="AC300" s="201"/>
      <c r="AD300" s="201"/>
      <c r="AE300" s="201"/>
      <c r="AF300" s="201"/>
      <c r="AG300" s="201"/>
      <c r="AH300" s="201"/>
      <c r="AI300" s="201"/>
      <c r="AJ300" s="201"/>
      <c r="AK300" s="201"/>
      <c r="AL300" s="201"/>
      <c r="AM300" s="201"/>
      <c r="AN300" s="201"/>
      <c r="AO300" s="201"/>
      <c r="AP300" s="201"/>
      <c r="AQ300" s="201"/>
      <c r="AR300" s="201"/>
      <c r="AS300" s="201"/>
      <c r="AT300" s="201"/>
      <c r="AU300" s="201"/>
      <c r="AZ300" s="201"/>
    </row>
    <row r="301" spans="2:56">
      <c r="B301" s="422">
        <v>1</v>
      </c>
      <c r="C301" s="1249" t="s">
        <v>1728</v>
      </c>
      <c r="D301" s="1249"/>
      <c r="E301" s="1249"/>
      <c r="F301" s="1249"/>
      <c r="G301" s="1249"/>
      <c r="H301" s="1249"/>
      <c r="I301" s="1249"/>
      <c r="J301" s="1249"/>
      <c r="K301" s="1249"/>
      <c r="L301" s="203"/>
      <c r="M301" s="203"/>
      <c r="N301" s="201"/>
      <c r="O301" s="209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  <c r="AA301" s="202"/>
      <c r="AB301" s="201"/>
      <c r="AC301" s="201"/>
      <c r="AD301" s="201"/>
      <c r="AE301" s="201"/>
      <c r="AF301" s="201"/>
      <c r="AG301" s="201"/>
      <c r="AH301" s="201"/>
      <c r="AI301" s="201"/>
      <c r="AJ301" s="201"/>
      <c r="AK301" s="201"/>
      <c r="AL301" s="201"/>
      <c r="AM301" s="201"/>
      <c r="AN301" s="201"/>
      <c r="AO301" s="201"/>
      <c r="AP301" s="201"/>
      <c r="AQ301" s="201"/>
      <c r="AR301" s="201"/>
      <c r="AS301" s="201"/>
      <c r="AT301" s="201"/>
      <c r="AU301" s="201"/>
      <c r="AV301" s="201"/>
      <c r="AW301" s="201"/>
      <c r="AX301" s="201"/>
      <c r="AY301" s="201"/>
      <c r="AZ301" s="201"/>
    </row>
    <row r="303" spans="2:56">
      <c r="B303" s="28" t="s">
        <v>126</v>
      </c>
      <c r="C303" s="28"/>
      <c r="D303" s="29"/>
      <c r="E303" s="30" t="s">
        <v>511</v>
      </c>
      <c r="F303" s="31" t="s">
        <v>1481</v>
      </c>
      <c r="G303" s="32"/>
      <c r="H303" s="33"/>
      <c r="I303" s="34"/>
      <c r="J303" s="35" t="s">
        <v>513</v>
      </c>
      <c r="K303" s="36" t="s">
        <v>511</v>
      </c>
      <c r="L303" s="37">
        <v>45065.779166666667</v>
      </c>
      <c r="M303" s="32"/>
      <c r="N303" s="32"/>
      <c r="O303" s="36"/>
      <c r="P303" s="33"/>
      <c r="Q303" s="48"/>
      <c r="R303" s="49"/>
      <c r="S303" s="38"/>
      <c r="T303" s="32"/>
      <c r="U303" s="32"/>
      <c r="V303" s="32"/>
      <c r="W303" s="32"/>
      <c r="X303" s="32"/>
      <c r="Y303" s="32"/>
      <c r="Z303" s="32"/>
      <c r="AA303" s="32"/>
      <c r="AB303" s="48"/>
      <c r="AC303" s="48"/>
      <c r="AD303" s="48"/>
      <c r="AE303" s="48"/>
      <c r="AF303" s="48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</row>
    <row r="304" spans="2:56">
      <c r="B304" s="35" t="s">
        <v>514</v>
      </c>
      <c r="C304" s="35"/>
      <c r="D304" s="32"/>
      <c r="E304" s="36" t="s">
        <v>511</v>
      </c>
      <c r="F304" s="37" t="s">
        <v>1729</v>
      </c>
      <c r="G304" s="32"/>
      <c r="H304" s="33"/>
      <c r="I304" s="34"/>
      <c r="J304" s="35" t="s">
        <v>516</v>
      </c>
      <c r="K304" s="36" t="s">
        <v>511</v>
      </c>
      <c r="L304" s="37">
        <v>45067.201388888891</v>
      </c>
      <c r="M304" s="32"/>
      <c r="N304" s="32"/>
      <c r="O304" s="36"/>
      <c r="P304" s="33"/>
      <c r="Q304" s="48"/>
      <c r="R304" s="49"/>
      <c r="S304" s="38"/>
      <c r="T304" s="32"/>
      <c r="U304" s="32"/>
      <c r="V304" s="32"/>
      <c r="W304" s="32"/>
      <c r="X304" s="32"/>
      <c r="Y304" s="32"/>
      <c r="Z304" s="32"/>
      <c r="AA304" s="32"/>
      <c r="AB304" s="48"/>
      <c r="AC304" s="48"/>
      <c r="AD304" s="48"/>
      <c r="AE304" s="48"/>
      <c r="AF304" s="48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</row>
    <row r="305" spans="2:56">
      <c r="B305" s="35" t="s">
        <v>517</v>
      </c>
      <c r="C305" s="35"/>
      <c r="D305" s="32"/>
      <c r="E305" s="36" t="s">
        <v>511</v>
      </c>
      <c r="F305" s="37">
        <v>45054.270833333336</v>
      </c>
      <c r="G305" s="32"/>
      <c r="H305" s="33"/>
      <c r="I305" s="34"/>
      <c r="J305" s="35" t="s">
        <v>518</v>
      </c>
      <c r="K305" s="36" t="s">
        <v>511</v>
      </c>
      <c r="L305" s="50">
        <v>71150</v>
      </c>
      <c r="M305" s="40" t="s">
        <v>519</v>
      </c>
      <c r="N305" s="40"/>
      <c r="O305" s="36"/>
      <c r="P305" s="33"/>
      <c r="Q305" s="48"/>
      <c r="R305" s="49"/>
      <c r="S305" s="38"/>
      <c r="T305" s="32"/>
      <c r="U305" s="32"/>
      <c r="V305" s="32"/>
      <c r="W305" s="32"/>
      <c r="X305" s="32"/>
      <c r="Y305" s="32"/>
      <c r="Z305" s="32"/>
      <c r="AA305" s="32"/>
      <c r="AB305" s="48"/>
      <c r="AC305" s="48"/>
      <c r="AD305" s="48"/>
      <c r="AE305" s="48"/>
      <c r="AF305" s="48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</row>
    <row r="306" spans="2:56">
      <c r="B306" s="35" t="s">
        <v>520</v>
      </c>
      <c r="C306" s="35"/>
      <c r="D306" s="32"/>
      <c r="E306" s="36" t="s">
        <v>511</v>
      </c>
      <c r="F306" s="37" t="s">
        <v>20</v>
      </c>
      <c r="G306" s="32"/>
      <c r="H306" s="33"/>
      <c r="I306" s="34"/>
      <c r="J306" s="35" t="s">
        <v>521</v>
      </c>
      <c r="K306" s="36" t="s">
        <v>511</v>
      </c>
      <c r="L306" s="41" t="s">
        <v>1730</v>
      </c>
      <c r="M306" s="32"/>
      <c r="N306" s="32"/>
      <c r="O306" s="36"/>
      <c r="P306" s="48"/>
      <c r="Q306" s="48"/>
      <c r="R306" s="49"/>
      <c r="S306" s="38"/>
      <c r="T306" s="32"/>
      <c r="U306" s="32"/>
      <c r="V306" s="32"/>
      <c r="W306" s="32"/>
      <c r="X306" s="32"/>
      <c r="Y306" s="32"/>
      <c r="Z306" s="32"/>
      <c r="AA306" s="32"/>
      <c r="AB306" s="48"/>
      <c r="AC306" s="48"/>
      <c r="AD306" s="48"/>
      <c r="AE306" s="48"/>
      <c r="AF306" s="48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</row>
    <row r="307" spans="2:56">
      <c r="B307" s="35" t="s">
        <v>523</v>
      </c>
      <c r="C307" s="35"/>
      <c r="D307" s="32"/>
      <c r="E307" s="36" t="s">
        <v>511</v>
      </c>
      <c r="F307" s="37" t="s">
        <v>47</v>
      </c>
      <c r="G307" s="32"/>
      <c r="H307" s="33"/>
      <c r="I307" s="34"/>
      <c r="J307" s="42" t="s">
        <v>524</v>
      </c>
      <c r="K307" s="36" t="s">
        <v>511</v>
      </c>
      <c r="L307" s="43" t="s">
        <v>15</v>
      </c>
      <c r="M307" s="44"/>
      <c r="N307" s="44"/>
      <c r="O307" s="36"/>
      <c r="P307" s="33"/>
      <c r="Q307" s="48"/>
      <c r="R307" s="49"/>
      <c r="S307" s="38"/>
      <c r="T307" s="32"/>
      <c r="U307" s="32"/>
      <c r="V307" s="32"/>
      <c r="W307" s="32"/>
      <c r="X307" s="32"/>
      <c r="Y307" s="32"/>
      <c r="Z307" s="32"/>
      <c r="AA307" s="32"/>
      <c r="AB307" s="48"/>
      <c r="AC307" s="48"/>
      <c r="AD307" s="48"/>
      <c r="AE307" s="48"/>
      <c r="AF307" s="48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</row>
    <row r="308" spans="2:56">
      <c r="B308" s="35" t="s">
        <v>2</v>
      </c>
      <c r="C308" s="35"/>
      <c r="D308" s="32"/>
      <c r="E308" s="36" t="s">
        <v>511</v>
      </c>
      <c r="F308" s="37" t="s">
        <v>18</v>
      </c>
      <c r="G308" s="32"/>
      <c r="H308" s="33"/>
      <c r="I308" s="45"/>
      <c r="J308" s="42"/>
      <c r="K308" s="36"/>
      <c r="L308" s="37"/>
      <c r="M308" s="32"/>
      <c r="N308" s="32"/>
      <c r="O308" s="42"/>
      <c r="P308" s="44"/>
      <c r="Q308" s="44"/>
      <c r="R308" s="44"/>
      <c r="S308" s="34"/>
      <c r="T308" s="32"/>
      <c r="U308" s="32"/>
      <c r="V308" s="32"/>
      <c r="W308" s="32"/>
      <c r="X308" s="32"/>
      <c r="Y308" s="32"/>
      <c r="Z308" s="32"/>
      <c r="AA308" s="32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</row>
    <row r="309" spans="2:56">
      <c r="B309" s="32"/>
      <c r="C309" s="32"/>
      <c r="D309" s="32"/>
      <c r="E309" s="32"/>
      <c r="F309" s="32"/>
      <c r="G309" s="32"/>
      <c r="H309" s="32"/>
      <c r="I309" s="45"/>
      <c r="J309" s="42"/>
      <c r="K309" s="42"/>
      <c r="L309" s="43"/>
      <c r="M309" s="44"/>
      <c r="N309" s="44"/>
      <c r="O309" s="42"/>
      <c r="P309" s="44"/>
      <c r="Q309" s="44"/>
      <c r="R309" s="44"/>
      <c r="S309" s="34"/>
      <c r="T309" s="1270" t="s">
        <v>87</v>
      </c>
      <c r="U309" s="1270"/>
      <c r="V309" s="1270"/>
      <c r="W309" s="1270"/>
      <c r="X309" s="1270"/>
      <c r="Y309" s="1270" t="s">
        <v>73</v>
      </c>
      <c r="Z309" s="1270"/>
      <c r="AA309" s="1270"/>
      <c r="AB309" s="1270" t="s">
        <v>74</v>
      </c>
      <c r="AC309" s="1270"/>
      <c r="AD309" s="407" t="s">
        <v>85</v>
      </c>
      <c r="AE309" s="407" t="s">
        <v>77</v>
      </c>
      <c r="AF309" s="1270" t="s">
        <v>525</v>
      </c>
      <c r="AG309" s="1270"/>
      <c r="AH309" s="1270"/>
      <c r="AI309" s="1270"/>
      <c r="AJ309" s="1270"/>
      <c r="AK309" s="1270"/>
      <c r="AL309" s="1270"/>
      <c r="AM309" s="1270"/>
      <c r="AN309" s="1270"/>
      <c r="AO309" s="1270"/>
      <c r="AP309" s="1270"/>
      <c r="AQ309" s="1270"/>
      <c r="AR309" s="1270"/>
      <c r="AS309" s="1270"/>
      <c r="AT309" s="1270"/>
      <c r="AU309" s="1270"/>
      <c r="AV309" s="1270"/>
      <c r="AW309" s="1270"/>
      <c r="AX309" s="1270"/>
      <c r="AY309" s="1270"/>
      <c r="AZ309" s="1270"/>
      <c r="BA309" s="1270"/>
      <c r="BB309" s="1270"/>
      <c r="BC309" s="1270"/>
      <c r="BD309" s="32"/>
    </row>
    <row r="310" spans="2:56">
      <c r="B310" s="1266" t="s">
        <v>526</v>
      </c>
      <c r="C310" s="1267"/>
      <c r="D310" s="570" t="s">
        <v>527</v>
      </c>
      <c r="E310" s="570"/>
      <c r="F310" s="570" t="s">
        <v>528</v>
      </c>
      <c r="G310" s="570" t="s">
        <v>529</v>
      </c>
      <c r="H310" s="570" t="s">
        <v>530</v>
      </c>
      <c r="I310" s="570" t="s">
        <v>531</v>
      </c>
      <c r="J310" s="570" t="s">
        <v>532</v>
      </c>
      <c r="K310" s="570"/>
      <c r="L310" s="570" t="s">
        <v>130</v>
      </c>
      <c r="M310" s="570" t="s">
        <v>533</v>
      </c>
      <c r="N310" s="408" t="str">
        <f>"On time - "&amp;COUNTIF(N311:N318,"On time")&amp;" from "&amp;ROWS(N311:N318)-COUNTIF(N311:N318," ")</f>
        <v>On time - 0 from 6</v>
      </c>
      <c r="O310" s="46"/>
      <c r="P310" s="409" t="s">
        <v>534</v>
      </c>
      <c r="Q310" s="409" t="s">
        <v>535</v>
      </c>
      <c r="R310" s="409" t="s">
        <v>536</v>
      </c>
      <c r="S310" s="32"/>
      <c r="T310" s="410" t="s">
        <v>537</v>
      </c>
      <c r="U310" s="410" t="s">
        <v>538</v>
      </c>
      <c r="V310" s="410" t="s">
        <v>539</v>
      </c>
      <c r="W310" s="410" t="s">
        <v>540</v>
      </c>
      <c r="X310" s="410" t="s">
        <v>541</v>
      </c>
      <c r="Y310" s="410" t="s">
        <v>167</v>
      </c>
      <c r="Z310" s="410" t="s">
        <v>168</v>
      </c>
      <c r="AA310" s="410" t="s">
        <v>169</v>
      </c>
      <c r="AB310" s="410" t="s">
        <v>235</v>
      </c>
      <c r="AC310" s="410" t="s">
        <v>240</v>
      </c>
      <c r="AD310" s="407" t="s">
        <v>85</v>
      </c>
      <c r="AE310" s="410" t="s">
        <v>139</v>
      </c>
      <c r="AF310" s="410" t="s">
        <v>72</v>
      </c>
      <c r="AG310" s="410" t="s">
        <v>88</v>
      </c>
      <c r="AH310" s="410" t="s">
        <v>75</v>
      </c>
      <c r="AI310" s="410" t="s">
        <v>543</v>
      </c>
      <c r="AJ310" s="410" t="s">
        <v>78</v>
      </c>
      <c r="AK310" s="410" t="s">
        <v>76</v>
      </c>
      <c r="AL310" s="410" t="s">
        <v>544</v>
      </c>
      <c r="AM310" s="410" t="s">
        <v>545</v>
      </c>
      <c r="AN310" s="410" t="s">
        <v>86</v>
      </c>
      <c r="AO310" s="410" t="s">
        <v>83</v>
      </c>
      <c r="AP310" s="410" t="s">
        <v>84</v>
      </c>
      <c r="AQ310" s="410" t="s">
        <v>546</v>
      </c>
      <c r="AR310" s="410" t="s">
        <v>81</v>
      </c>
      <c r="AS310" s="410" t="s">
        <v>80</v>
      </c>
      <c r="AT310" s="410" t="s">
        <v>82</v>
      </c>
      <c r="AU310" s="410" t="s">
        <v>181</v>
      </c>
      <c r="AV310" s="410" t="s">
        <v>183</v>
      </c>
      <c r="AW310" s="410" t="s">
        <v>547</v>
      </c>
      <c r="AX310" s="410" t="s">
        <v>182</v>
      </c>
      <c r="AY310" s="410" t="s">
        <v>172</v>
      </c>
      <c r="AZ310" s="410" t="s">
        <v>173</v>
      </c>
      <c r="BA310" s="410" t="s">
        <v>184</v>
      </c>
      <c r="BB310" s="410" t="s">
        <v>100</v>
      </c>
      <c r="BC310" s="410" t="s">
        <v>913</v>
      </c>
      <c r="BD310" s="32"/>
    </row>
    <row r="311" spans="2:56">
      <c r="B311" s="1256">
        <v>1</v>
      </c>
      <c r="C311" s="1257"/>
      <c r="D311" s="411" t="s">
        <v>1487</v>
      </c>
      <c r="E311" s="411"/>
      <c r="F311" s="411" t="s">
        <v>208</v>
      </c>
      <c r="G311" s="411" t="s">
        <v>328</v>
      </c>
      <c r="H311" s="412">
        <v>7430.8019999999997</v>
      </c>
      <c r="I311" s="413" t="s">
        <v>240</v>
      </c>
      <c r="J311" s="414">
        <v>45063.020833333336</v>
      </c>
      <c r="K311" s="414"/>
      <c r="L311" s="414" t="s">
        <v>192</v>
      </c>
      <c r="M311" s="414" t="s">
        <v>192</v>
      </c>
      <c r="N311" s="413" t="str">
        <f t="shared" ref="N311:N316" si="20">IF(ISBLANK(J311)," ",IF(J311&lt;$F$305,"On time",(IF(DAY(J311-$F$305)&lt;1,"On time",(IF(J311&gt;$F$305,"DELAY ( "&amp;DAY(J311-$F$305)&amp;" day "&amp;HOUR(J311-$F$305)&amp;" hour "&amp;MINUTE(J311-$F$305)&amp;" minute )","xxx"))))))</f>
        <v>DELAY ( 8 day 18 hour 0 minute )</v>
      </c>
      <c r="O311" s="51"/>
      <c r="P311" s="415" t="s">
        <v>551</v>
      </c>
      <c r="Q311" s="415" t="s">
        <v>551</v>
      </c>
      <c r="R311" s="415" t="s">
        <v>551</v>
      </c>
      <c r="S311" s="32"/>
      <c r="T311" s="416"/>
      <c r="U311" s="416"/>
      <c r="V311" s="416"/>
      <c r="W311" s="416"/>
      <c r="X311" s="416"/>
      <c r="Y311" s="416"/>
      <c r="Z311" s="416"/>
      <c r="AA311" s="416"/>
      <c r="AB311" s="416"/>
      <c r="AC311" s="416">
        <f>H311</f>
        <v>7430.8019999999997</v>
      </c>
      <c r="AD311" s="416"/>
      <c r="AE311" s="416"/>
      <c r="AF311" s="416"/>
      <c r="AG311" s="416"/>
      <c r="AH311" s="416"/>
      <c r="AI311" s="416"/>
      <c r="AJ311" s="416"/>
      <c r="AK311" s="416"/>
      <c r="AL311" s="416"/>
      <c r="AM311" s="416"/>
      <c r="AN311" s="416"/>
      <c r="AO311" s="416"/>
      <c r="AP311" s="416"/>
      <c r="AQ311" s="416"/>
      <c r="AR311" s="416"/>
      <c r="AS311" s="416"/>
      <c r="AT311" s="416"/>
      <c r="AU311" s="416"/>
      <c r="AV311" s="416"/>
      <c r="AW311" s="416"/>
      <c r="AX311" s="416"/>
      <c r="AY311" s="416"/>
      <c r="AZ311" s="416"/>
      <c r="BA311" s="416"/>
      <c r="BB311" s="416"/>
      <c r="BC311" s="416"/>
      <c r="BD311" s="32"/>
    </row>
    <row r="312" spans="2:56">
      <c r="B312" s="1256">
        <v>2</v>
      </c>
      <c r="C312" s="1257"/>
      <c r="D312" s="411" t="s">
        <v>1488</v>
      </c>
      <c r="E312" s="411"/>
      <c r="F312" s="411" t="s">
        <v>233</v>
      </c>
      <c r="G312" s="411" t="s">
        <v>234</v>
      </c>
      <c r="H312" s="412">
        <v>7417.2179999999998</v>
      </c>
      <c r="I312" s="413" t="s">
        <v>235</v>
      </c>
      <c r="J312" s="414">
        <v>45063.104166666664</v>
      </c>
      <c r="K312" s="414"/>
      <c r="L312" s="414" t="s">
        <v>192</v>
      </c>
      <c r="M312" s="414" t="s">
        <v>192</v>
      </c>
      <c r="N312" s="413" t="str">
        <f t="shared" si="20"/>
        <v>DELAY ( 8 day 20 hour 0 minute )</v>
      </c>
      <c r="O312" s="51"/>
      <c r="P312" s="415" t="s">
        <v>551</v>
      </c>
      <c r="Q312" s="415" t="s">
        <v>551</v>
      </c>
      <c r="R312" s="415" t="s">
        <v>551</v>
      </c>
      <c r="S312" s="32"/>
      <c r="T312" s="416"/>
      <c r="U312" s="416"/>
      <c r="V312" s="416"/>
      <c r="W312" s="416"/>
      <c r="X312" s="416"/>
      <c r="Y312" s="416"/>
      <c r="Z312" s="416"/>
      <c r="AA312" s="416"/>
      <c r="AB312" s="416">
        <f>H312</f>
        <v>7417.2179999999998</v>
      </c>
      <c r="AD312" s="416"/>
      <c r="AE312" s="416"/>
      <c r="AF312" s="416"/>
      <c r="AG312" s="416"/>
      <c r="AH312" s="416"/>
      <c r="AI312" s="416"/>
      <c r="AJ312" s="286"/>
      <c r="AK312" s="416"/>
      <c r="AL312" s="416"/>
      <c r="AM312" s="416"/>
      <c r="AN312" s="416"/>
      <c r="AO312" s="416"/>
      <c r="AP312" s="416"/>
      <c r="AQ312" s="416"/>
      <c r="AR312" s="416"/>
      <c r="AS312" s="416"/>
      <c r="AT312" s="416"/>
      <c r="AU312" s="416"/>
      <c r="AV312" s="416"/>
      <c r="AW312" s="416"/>
      <c r="AX312" s="416"/>
      <c r="AY312" s="416"/>
      <c r="AZ312" s="416"/>
      <c r="BA312" s="416"/>
      <c r="BB312" s="416"/>
      <c r="BC312" s="416"/>
      <c r="BD312" s="32"/>
    </row>
    <row r="313" spans="2:56">
      <c r="B313" s="1256">
        <v>3</v>
      </c>
      <c r="C313" s="1257"/>
      <c r="D313" s="411" t="s">
        <v>1486</v>
      </c>
      <c r="E313" s="411"/>
      <c r="F313" s="411" t="s">
        <v>403</v>
      </c>
      <c r="G313" s="411" t="s">
        <v>404</v>
      </c>
      <c r="H313" s="412">
        <v>7480.5680000000002</v>
      </c>
      <c r="I313" s="413" t="s">
        <v>240</v>
      </c>
      <c r="J313" s="414">
        <v>45063.666666666664</v>
      </c>
      <c r="K313" s="414"/>
      <c r="L313" s="414" t="s">
        <v>192</v>
      </c>
      <c r="M313" s="414" t="s">
        <v>192</v>
      </c>
      <c r="N313" s="413" t="str">
        <f t="shared" si="20"/>
        <v>DELAY ( 9 day 9 hour 30 minute )</v>
      </c>
      <c r="O313" s="51"/>
      <c r="P313" s="415" t="s">
        <v>551</v>
      </c>
      <c r="Q313" s="415" t="s">
        <v>551</v>
      </c>
      <c r="R313" s="415" t="s">
        <v>551</v>
      </c>
      <c r="S313" s="32"/>
      <c r="T313" s="416"/>
      <c r="U313" s="416"/>
      <c r="V313" s="416"/>
      <c r="W313" s="416"/>
      <c r="X313" s="416"/>
      <c r="Y313" s="416"/>
      <c r="Z313" s="416"/>
      <c r="AA313" s="416"/>
      <c r="AC313" s="416">
        <f>H313</f>
        <v>7480.5680000000002</v>
      </c>
      <c r="AD313" s="416"/>
      <c r="AE313" s="416"/>
      <c r="AF313" s="416"/>
      <c r="AG313" s="416"/>
      <c r="AH313" s="416"/>
      <c r="AI313" s="416"/>
      <c r="AJ313" s="416"/>
      <c r="AK313" s="416"/>
      <c r="AL313" s="416"/>
      <c r="AM313" s="416"/>
      <c r="AN313" s="416"/>
      <c r="AO313" s="416"/>
      <c r="AP313" s="416"/>
      <c r="AQ313" s="416"/>
      <c r="AR313" s="416"/>
      <c r="AS313" s="416"/>
      <c r="AT313" s="416"/>
      <c r="AU313" s="416"/>
      <c r="AV313" s="416"/>
      <c r="AW313" s="416"/>
      <c r="AX313" s="416"/>
      <c r="AY313" s="416"/>
      <c r="AZ313" s="416"/>
      <c r="BA313" s="416"/>
      <c r="BB313" s="416"/>
      <c r="BC313" s="416"/>
      <c r="BD313" s="32"/>
    </row>
    <row r="314" spans="2:56">
      <c r="B314" s="1256">
        <v>4</v>
      </c>
      <c r="C314" s="1257"/>
      <c r="D314" s="411" t="s">
        <v>1485</v>
      </c>
      <c r="E314" s="411"/>
      <c r="F314" s="411" t="s">
        <v>310</v>
      </c>
      <c r="G314" s="411" t="s">
        <v>311</v>
      </c>
      <c r="H314" s="412">
        <v>7676.3140000000003</v>
      </c>
      <c r="I314" s="413" t="s">
        <v>235</v>
      </c>
      <c r="J314" s="414">
        <v>45062.998611111114</v>
      </c>
      <c r="K314" s="414"/>
      <c r="L314" s="414" t="s">
        <v>192</v>
      </c>
      <c r="M314" s="414" t="s">
        <v>192</v>
      </c>
      <c r="N314" s="413" t="str">
        <f t="shared" si="20"/>
        <v>DELAY ( 8 day 17 hour 28 minute )</v>
      </c>
      <c r="O314" s="51"/>
      <c r="P314" s="415" t="s">
        <v>551</v>
      </c>
      <c r="Q314" s="415" t="s">
        <v>551</v>
      </c>
      <c r="R314" s="415" t="s">
        <v>551</v>
      </c>
      <c r="S314" s="32"/>
      <c r="T314" s="416"/>
      <c r="U314" s="416"/>
      <c r="V314" s="416"/>
      <c r="W314" s="416"/>
      <c r="X314" s="416"/>
      <c r="Y314" s="416"/>
      <c r="Z314" s="416"/>
      <c r="AA314" s="416"/>
      <c r="AB314" s="416">
        <f>H314</f>
        <v>7676.3140000000003</v>
      </c>
      <c r="AC314" s="416"/>
      <c r="AD314" s="416"/>
      <c r="AE314" s="416"/>
      <c r="AF314" s="416"/>
      <c r="AG314" s="416"/>
      <c r="AH314" s="416"/>
      <c r="AI314" s="416"/>
      <c r="AJ314" s="416"/>
      <c r="AK314" s="286"/>
      <c r="AL314" s="416"/>
      <c r="AM314" s="416"/>
      <c r="AN314" s="416"/>
      <c r="AO314" s="416"/>
      <c r="AP314" s="416"/>
      <c r="AQ314" s="416"/>
      <c r="AR314" s="32"/>
      <c r="AS314" s="416"/>
      <c r="AT314" s="416"/>
      <c r="AU314" s="416"/>
      <c r="AV314" s="416"/>
      <c r="AW314" s="416"/>
      <c r="AX314" s="416"/>
      <c r="AY314" s="416"/>
      <c r="AZ314" s="416"/>
      <c r="BA314" s="416"/>
      <c r="BB314" s="416"/>
      <c r="BC314" s="416"/>
      <c r="BD314" s="32"/>
    </row>
    <row r="315" spans="2:56">
      <c r="B315" s="1256">
        <v>5</v>
      </c>
      <c r="C315" s="1257"/>
      <c r="D315" s="411" t="s">
        <v>1482</v>
      </c>
      <c r="E315" s="411"/>
      <c r="F315" s="411" t="s">
        <v>1483</v>
      </c>
      <c r="G315" s="411" t="s">
        <v>378</v>
      </c>
      <c r="H315" s="412">
        <v>7740.6940000000004</v>
      </c>
      <c r="I315" s="413" t="s">
        <v>235</v>
      </c>
      <c r="J315" s="414">
        <v>45063.791666666664</v>
      </c>
      <c r="K315" s="414"/>
      <c r="L315" s="414" t="s">
        <v>192</v>
      </c>
      <c r="M315" s="414" t="s">
        <v>192</v>
      </c>
      <c r="N315" s="413" t="str">
        <f t="shared" si="20"/>
        <v>DELAY ( 9 day 12 hour 30 minute )</v>
      </c>
      <c r="O315" s="51"/>
      <c r="P315" s="415" t="s">
        <v>551</v>
      </c>
      <c r="Q315" s="415" t="s">
        <v>551</v>
      </c>
      <c r="R315" s="415" t="s">
        <v>551</v>
      </c>
      <c r="S315" s="32"/>
      <c r="T315" s="416"/>
      <c r="U315" s="416"/>
      <c r="V315" s="416"/>
      <c r="W315" s="416"/>
      <c r="X315" s="416"/>
      <c r="Y315" s="416"/>
      <c r="Z315" s="416"/>
      <c r="AA315" s="416"/>
      <c r="AB315" s="416">
        <f>H315</f>
        <v>7740.6940000000004</v>
      </c>
      <c r="AC315" s="416"/>
      <c r="AD315" s="416"/>
      <c r="AE315" s="416"/>
      <c r="AF315" s="416"/>
      <c r="AG315" s="416"/>
      <c r="AH315" s="416"/>
      <c r="AI315" s="416"/>
      <c r="AJ315" s="416"/>
      <c r="AK315" s="416"/>
      <c r="AL315" s="416"/>
      <c r="AM315" s="416"/>
      <c r="AN315" s="416"/>
      <c r="AO315" s="416"/>
      <c r="AP315" s="416"/>
      <c r="AQ315" s="416"/>
      <c r="AR315" s="416"/>
      <c r="AS315" s="416"/>
      <c r="AT315" s="416"/>
      <c r="AU315" s="416"/>
      <c r="AV315" s="416"/>
      <c r="AW315" s="416"/>
      <c r="AX315" s="416"/>
      <c r="AY315" s="416"/>
      <c r="AZ315" s="416"/>
      <c r="BA315" s="416"/>
      <c r="BB315" s="416"/>
      <c r="BC315" s="416"/>
      <c r="BD315" s="32"/>
    </row>
    <row r="316" spans="2:56">
      <c r="B316" s="1256">
        <v>6</v>
      </c>
      <c r="C316" s="1257"/>
      <c r="D316" s="411" t="s">
        <v>1587</v>
      </c>
      <c r="E316" s="411"/>
      <c r="F316" s="411" t="s">
        <v>453</v>
      </c>
      <c r="G316" s="411" t="s">
        <v>454</v>
      </c>
      <c r="H316" s="412">
        <v>7726.72</v>
      </c>
      <c r="I316" s="413" t="s">
        <v>181</v>
      </c>
      <c r="J316" s="414">
        <v>45065.270833333336</v>
      </c>
      <c r="K316" s="414"/>
      <c r="L316" s="414" t="s">
        <v>192</v>
      </c>
      <c r="M316" s="414" t="s">
        <v>192</v>
      </c>
      <c r="N316" s="413" t="str">
        <f t="shared" si="20"/>
        <v>DELAY ( 11 day 0 hour 0 minute )</v>
      </c>
      <c r="O316" s="51"/>
      <c r="P316" s="415" t="s">
        <v>551</v>
      </c>
      <c r="Q316" s="415" t="s">
        <v>551</v>
      </c>
      <c r="R316" s="415" t="s">
        <v>551</v>
      </c>
      <c r="S316" s="32"/>
      <c r="T316" s="416"/>
      <c r="U316" s="416"/>
      <c r="V316" s="416"/>
      <c r="W316" s="416"/>
      <c r="X316" s="416"/>
      <c r="Y316" s="416"/>
      <c r="Z316" s="416"/>
      <c r="AA316" s="416"/>
      <c r="AB316" s="416"/>
      <c r="AC316" s="416"/>
      <c r="AD316" s="416"/>
      <c r="AE316" s="416"/>
      <c r="AF316" s="416"/>
      <c r="AG316" s="416"/>
      <c r="AH316" s="416"/>
      <c r="AI316" s="416"/>
      <c r="AJ316" s="416"/>
      <c r="AK316" s="416"/>
      <c r="AL316" s="416"/>
      <c r="AM316" s="416"/>
      <c r="AN316" s="416"/>
      <c r="AO316" s="416"/>
      <c r="AP316" s="416"/>
      <c r="AQ316" s="416"/>
      <c r="AR316" s="416"/>
      <c r="AS316" s="416"/>
      <c r="AT316" s="416"/>
      <c r="AU316" s="286">
        <f>H316</f>
        <v>7726.72</v>
      </c>
      <c r="AV316" s="416"/>
      <c r="AW316" s="416"/>
      <c r="AX316" s="416"/>
      <c r="AY316" s="32"/>
      <c r="AZ316" s="416"/>
      <c r="BA316" s="416"/>
      <c r="BB316" s="416"/>
      <c r="BC316" s="416"/>
      <c r="BD316" s="32"/>
    </row>
    <row r="317" spans="2:56">
      <c r="B317" s="1256" t="s">
        <v>610</v>
      </c>
      <c r="C317" s="1276"/>
      <c r="D317" s="1276"/>
      <c r="E317" s="1276"/>
      <c r="F317" s="1276"/>
      <c r="G317" s="1257"/>
      <c r="H317" s="412">
        <v>7528.1450000000004</v>
      </c>
      <c r="I317" s="413" t="s">
        <v>1164</v>
      </c>
      <c r="J317" s="414"/>
      <c r="K317" s="414"/>
      <c r="L317" s="414"/>
      <c r="M317" s="414"/>
      <c r="N317" s="413" t="str">
        <f>IF(ISBLANK(J317)," ",IF(J317&lt;$F$374,"On time",(IF(DAY(J317-$F$374)&lt;1,"On time",(IF(J317&gt;$F$374,"DELAY ( "&amp;DAY(J317-$F$374)&amp;" day "&amp;HOUR(J317-$F$374)&amp;" hour "&amp;MINUTE(J317-$F$374)&amp;" minute )","xxx"))))))</f>
        <v xml:space="preserve"> </v>
      </c>
      <c r="O317" s="51"/>
      <c r="P317" s="415" t="s">
        <v>551</v>
      </c>
      <c r="Q317" s="415"/>
      <c r="R317" s="415"/>
      <c r="S317" s="32"/>
      <c r="T317" s="416"/>
      <c r="U317" s="416"/>
      <c r="V317" s="416"/>
      <c r="W317" s="416"/>
      <c r="X317" s="416">
        <f>H317</f>
        <v>7528.1450000000004</v>
      </c>
      <c r="Y317" s="416"/>
      <c r="Z317" s="416"/>
      <c r="AA317" s="416"/>
      <c r="AB317" s="416"/>
      <c r="AC317" s="416"/>
      <c r="AD317" s="416"/>
      <c r="AE317" s="416"/>
      <c r="AF317" s="416"/>
      <c r="AG317" s="416"/>
      <c r="AH317" s="416"/>
      <c r="AI317" s="416"/>
      <c r="AJ317" s="416"/>
      <c r="AK317" s="416"/>
      <c r="AL317" s="416"/>
      <c r="AM317" s="416"/>
      <c r="AN317" s="416"/>
      <c r="AO317" s="416"/>
      <c r="AP317" s="416"/>
      <c r="AQ317" s="416"/>
      <c r="AR317" s="416"/>
      <c r="AS317" s="416"/>
      <c r="AT317" s="416"/>
      <c r="AU317" s="416"/>
      <c r="AV317" s="416"/>
      <c r="AW317" s="416"/>
      <c r="AX317" s="416"/>
      <c r="AY317" s="416"/>
      <c r="AZ317" s="416"/>
      <c r="BA317" s="416"/>
      <c r="BB317" s="416"/>
      <c r="BC317" s="416"/>
      <c r="BD317" s="32"/>
    </row>
    <row r="318" spans="2:56">
      <c r="B318" s="1256" t="s">
        <v>610</v>
      </c>
      <c r="C318" s="1276"/>
      <c r="D318" s="1276"/>
      <c r="E318" s="1276"/>
      <c r="F318" s="1276"/>
      <c r="G318" s="1257"/>
      <c r="H318" s="412">
        <f>H320-SUM(H311:H317)</f>
        <v>18149.53899999999</v>
      </c>
      <c r="I318" s="413" t="s">
        <v>611</v>
      </c>
      <c r="J318" s="414"/>
      <c r="K318" s="414"/>
      <c r="L318" s="414"/>
      <c r="M318" s="414"/>
      <c r="N318" s="413" t="str">
        <f>IF(ISBLANK(J318)," ",IF(J318&lt;$F$374,"On time",(IF(DAY(J318-$F$374)&lt;1,"On time",(IF(J318&gt;$F$374,"DELAY ( "&amp;DAY(J318-$F$374)&amp;" day "&amp;HOUR(J318-$F$374)&amp;" hour "&amp;MINUTE(J318-$F$374)&amp;" minute )","xxx"))))))</f>
        <v xml:space="preserve"> </v>
      </c>
      <c r="O318" s="51"/>
      <c r="P318" s="415" t="s">
        <v>551</v>
      </c>
      <c r="Q318" s="415"/>
      <c r="R318" s="415"/>
      <c r="S318" s="32"/>
      <c r="T318" s="416">
        <f>H318</f>
        <v>18149.53899999999</v>
      </c>
      <c r="U318" s="416"/>
      <c r="V318" s="416"/>
      <c r="W318" s="416"/>
      <c r="X318" s="416"/>
      <c r="Y318" s="416"/>
      <c r="Z318" s="416"/>
      <c r="AA318" s="416"/>
      <c r="AB318" s="416"/>
      <c r="AC318" s="416"/>
      <c r="AD318" s="416"/>
      <c r="AE318" s="416"/>
      <c r="AF318" s="416"/>
      <c r="AG318" s="416"/>
      <c r="AH318" s="416"/>
      <c r="AI318" s="416"/>
      <c r="AJ318" s="416"/>
      <c r="AK318" s="416"/>
      <c r="AL318" s="416"/>
      <c r="AM318" s="416"/>
      <c r="AN318" s="416"/>
      <c r="AO318" s="416"/>
      <c r="AP318" s="416"/>
      <c r="AQ318" s="416"/>
      <c r="AR318" s="416"/>
      <c r="AS318" s="416"/>
      <c r="AT318" s="416"/>
      <c r="AU318" s="416"/>
      <c r="AV318" s="416"/>
      <c r="AW318" s="416"/>
      <c r="AX318" s="416"/>
      <c r="AY318" s="416"/>
      <c r="AZ318" s="416"/>
      <c r="BA318" s="416"/>
      <c r="BB318" s="416"/>
      <c r="BC318" s="416"/>
      <c r="BD318" s="32"/>
    </row>
    <row r="319" spans="2:56">
      <c r="B319" s="1258" t="s">
        <v>556</v>
      </c>
      <c r="C319" s="1259"/>
      <c r="D319" s="1259"/>
      <c r="E319" s="1259"/>
      <c r="F319" s="1259"/>
      <c r="G319" s="1260"/>
      <c r="H319" s="417">
        <f>SUM(H311:H318)</f>
        <v>71150</v>
      </c>
      <c r="I319" s="388"/>
      <c r="J319" s="293"/>
      <c r="K319" s="293"/>
      <c r="L319" s="293"/>
      <c r="M319" s="389"/>
      <c r="N319" s="413" t="str">
        <f>IF(ISBLANK(J319)," ",IF(J319&lt;$F$374,"On time",(IF(DAY(J319-$F$374)&lt;1,"On time",(IF(J319&gt;$F$374,"DELAY ( "&amp;DAY(J319-$F$374)&amp;" day "&amp;HOUR(J319-$F$374)&amp;" hour "&amp;MINUTE(J319-$F$374)&amp;" minute )","xxx"))))))</f>
        <v xml:space="preserve"> </v>
      </c>
      <c r="O319" s="47"/>
      <c r="P319" s="418"/>
      <c r="Q319" s="418"/>
      <c r="R319" s="418"/>
      <c r="S319" s="32"/>
      <c r="T319" s="1262"/>
      <c r="U319" s="1263"/>
      <c r="V319" s="1263"/>
      <c r="W319" s="1263"/>
      <c r="X319" s="1263"/>
      <c r="Y319" s="1263"/>
      <c r="Z319" s="1263"/>
      <c r="AA319" s="1263"/>
      <c r="AB319" s="1263"/>
      <c r="AC319" s="1263"/>
      <c r="AD319" s="1263"/>
      <c r="AE319" s="1263"/>
      <c r="AF319" s="1263"/>
      <c r="AG319" s="1263"/>
      <c r="AH319" s="1263"/>
      <c r="AI319" s="1263"/>
      <c r="AJ319" s="1263"/>
      <c r="AK319" s="1263"/>
      <c r="AL319" s="1263"/>
      <c r="AM319" s="1263"/>
      <c r="AN319" s="1263"/>
      <c r="AO319" s="1263"/>
      <c r="AP319" s="1263"/>
      <c r="AQ319" s="1263"/>
      <c r="AR319" s="1263"/>
      <c r="AS319" s="1263"/>
      <c r="AT319" s="1263"/>
      <c r="AU319" s="1263"/>
      <c r="AV319" s="1263"/>
      <c r="AW319" s="1263"/>
      <c r="AX319" s="1263"/>
      <c r="AY319" s="1263"/>
      <c r="AZ319" s="1263"/>
      <c r="BA319" s="1263"/>
      <c r="BB319" s="1263"/>
      <c r="BC319" s="1264"/>
    </row>
    <row r="320" spans="2:56">
      <c r="B320" s="1243" t="s">
        <v>557</v>
      </c>
      <c r="C320" s="1244"/>
      <c r="D320" s="1244"/>
      <c r="E320" s="1244"/>
      <c r="F320" s="1244"/>
      <c r="G320" s="1245"/>
      <c r="H320" s="419">
        <v>71150</v>
      </c>
      <c r="I320" s="1246"/>
      <c r="J320" s="1247"/>
      <c r="K320" s="1247"/>
      <c r="L320" s="1247"/>
      <c r="M320" s="1248"/>
      <c r="N320" s="413" t="str">
        <f>IF(ISBLANK(J320)," ",IF(J320&lt;$F$374,"On time",(IF(DAY(J320-$F$374)&lt;1,"On time",(IF(J320&gt;$F$374,"DELAY ( "&amp;DAY(J320-$F$374)&amp;" day "&amp;HOUR(J320-$F$374)&amp;" hour "&amp;MINUTE(J320-$F$374)&amp;" minute )","xxx"))))))</f>
        <v xml:space="preserve"> </v>
      </c>
      <c r="O320" s="32"/>
      <c r="P320" s="415"/>
      <c r="Q320" s="415"/>
      <c r="R320" s="415"/>
      <c r="S320" s="63"/>
      <c r="T320" s="416">
        <f>SUM(T311:T318)</f>
        <v>18149.53899999999</v>
      </c>
      <c r="U320" s="416">
        <f t="shared" ref="U320:BC320" si="21">SUM(U311:U318)</f>
        <v>0</v>
      </c>
      <c r="V320" s="416">
        <f t="shared" si="21"/>
        <v>0</v>
      </c>
      <c r="W320" s="416">
        <f t="shared" si="21"/>
        <v>0</v>
      </c>
      <c r="X320" s="416">
        <f t="shared" si="21"/>
        <v>7528.1450000000004</v>
      </c>
      <c r="Y320" s="416">
        <f t="shared" si="21"/>
        <v>0</v>
      </c>
      <c r="Z320" s="416">
        <f t="shared" si="21"/>
        <v>0</v>
      </c>
      <c r="AA320" s="416">
        <f t="shared" si="21"/>
        <v>0</v>
      </c>
      <c r="AB320" s="416">
        <f t="shared" si="21"/>
        <v>22834.225999999999</v>
      </c>
      <c r="AC320" s="416">
        <f t="shared" si="21"/>
        <v>14911.369999999999</v>
      </c>
      <c r="AD320" s="416">
        <f t="shared" si="21"/>
        <v>0</v>
      </c>
      <c r="AE320" s="416">
        <f t="shared" si="21"/>
        <v>0</v>
      </c>
      <c r="AF320" s="416">
        <f t="shared" si="21"/>
        <v>0</v>
      </c>
      <c r="AG320" s="416">
        <f t="shared" si="21"/>
        <v>0</v>
      </c>
      <c r="AH320" s="416">
        <f t="shared" si="21"/>
        <v>0</v>
      </c>
      <c r="AI320" s="416">
        <f t="shared" si="21"/>
        <v>0</v>
      </c>
      <c r="AJ320" s="416">
        <f t="shared" si="21"/>
        <v>0</v>
      </c>
      <c r="AK320" s="416">
        <f t="shared" si="21"/>
        <v>0</v>
      </c>
      <c r="AL320" s="416">
        <f t="shared" si="21"/>
        <v>0</v>
      </c>
      <c r="AM320" s="416">
        <f t="shared" si="21"/>
        <v>0</v>
      </c>
      <c r="AN320" s="416">
        <f t="shared" si="21"/>
        <v>0</v>
      </c>
      <c r="AO320" s="416">
        <f t="shared" si="21"/>
        <v>0</v>
      </c>
      <c r="AP320" s="416">
        <f t="shared" si="21"/>
        <v>0</v>
      </c>
      <c r="AQ320" s="416">
        <f t="shared" si="21"/>
        <v>0</v>
      </c>
      <c r="AR320" s="416">
        <f t="shared" si="21"/>
        <v>0</v>
      </c>
      <c r="AS320" s="416">
        <f t="shared" si="21"/>
        <v>0</v>
      </c>
      <c r="AT320" s="416">
        <f t="shared" si="21"/>
        <v>0</v>
      </c>
      <c r="AU320" s="416">
        <f t="shared" si="21"/>
        <v>7726.72</v>
      </c>
      <c r="AV320" s="416">
        <f t="shared" si="21"/>
        <v>0</v>
      </c>
      <c r="AW320" s="416">
        <f t="shared" si="21"/>
        <v>0</v>
      </c>
      <c r="AX320" s="416">
        <f t="shared" si="21"/>
        <v>0</v>
      </c>
      <c r="AY320" s="416">
        <f t="shared" si="21"/>
        <v>0</v>
      </c>
      <c r="AZ320" s="416">
        <f t="shared" si="21"/>
        <v>0</v>
      </c>
      <c r="BA320" s="416">
        <f t="shared" si="21"/>
        <v>0</v>
      </c>
      <c r="BB320" s="416">
        <f t="shared" si="21"/>
        <v>0</v>
      </c>
      <c r="BC320" s="416">
        <f t="shared" si="21"/>
        <v>0</v>
      </c>
      <c r="BD320" s="416">
        <f>SUM(T320:BC320)</f>
        <v>71149.999999999985</v>
      </c>
    </row>
    <row r="321" spans="2:56">
      <c r="B321" s="1243" t="s">
        <v>558</v>
      </c>
      <c r="C321" s="1244"/>
      <c r="D321" s="1244"/>
      <c r="E321" s="1244"/>
      <c r="F321" s="1244"/>
      <c r="G321" s="1245"/>
      <c r="H321" s="420">
        <f>H320-L305</f>
        <v>0</v>
      </c>
      <c r="I321" s="294"/>
      <c r="J321" s="295"/>
      <c r="K321" s="295"/>
      <c r="L321" s="296"/>
      <c r="M321" s="32"/>
      <c r="N321" s="32"/>
      <c r="O321" s="32"/>
      <c r="P321" s="32"/>
      <c r="Q321" s="297"/>
      <c r="R321" s="297"/>
      <c r="S321" s="32"/>
      <c r="T321" s="48"/>
      <c r="U321" s="48"/>
      <c r="V321" s="48"/>
      <c r="W321" s="48"/>
      <c r="X321" s="48"/>
      <c r="Y321" s="48"/>
      <c r="Z321" s="48"/>
      <c r="AA321" s="48"/>
      <c r="AB321" s="48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</row>
    <row r="322" spans="2:56">
      <c r="B322" s="1243" t="s">
        <v>559</v>
      </c>
      <c r="C322" s="1244"/>
      <c r="D322" s="1244"/>
      <c r="E322" s="1244"/>
      <c r="F322" s="1244"/>
      <c r="G322" s="1245"/>
      <c r="H322" s="420">
        <f>H319-H320</f>
        <v>0</v>
      </c>
      <c r="I322" s="52"/>
      <c r="J322" s="53"/>
      <c r="K322" s="53"/>
      <c r="L322" s="54"/>
      <c r="M322" s="32"/>
      <c r="N322" s="32"/>
      <c r="O322" s="32"/>
      <c r="P322" s="32"/>
      <c r="Q322" s="32"/>
      <c r="R322" s="32"/>
      <c r="S322" s="32"/>
      <c r="T322" s="48"/>
      <c r="U322" s="48"/>
      <c r="V322" s="48"/>
      <c r="W322" s="48"/>
      <c r="X322" s="48"/>
      <c r="Y322" s="48"/>
      <c r="Z322" s="48"/>
      <c r="AA322" s="48"/>
      <c r="AB322" s="48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</row>
    <row r="323" spans="2:56">
      <c r="B323" s="32"/>
      <c r="C323" s="32"/>
      <c r="D323" s="32"/>
      <c r="E323" s="32"/>
      <c r="F323" s="32"/>
      <c r="G323" s="32"/>
      <c r="H323" s="32"/>
      <c r="I323" s="57"/>
      <c r="J323" s="52"/>
      <c r="K323" s="52"/>
      <c r="L323" s="55"/>
      <c r="M323" s="32"/>
      <c r="N323" s="32"/>
      <c r="O323" s="52"/>
      <c r="P323" s="32"/>
      <c r="Q323" s="32"/>
      <c r="R323" s="32"/>
      <c r="S323" s="32"/>
      <c r="T323" s="48"/>
      <c r="U323" s="48"/>
      <c r="V323" s="48"/>
      <c r="W323" s="48"/>
      <c r="X323" s="48"/>
      <c r="Y323" s="48"/>
      <c r="Z323" s="48"/>
      <c r="AA323" s="48"/>
      <c r="AB323" s="48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</row>
    <row r="324" spans="2:56">
      <c r="B324" s="40" t="s">
        <v>561</v>
      </c>
      <c r="C324" s="40"/>
      <c r="D324" s="32"/>
      <c r="E324" s="32"/>
      <c r="F324" s="32"/>
      <c r="G324" s="32"/>
      <c r="H324" s="32"/>
      <c r="I324" s="32"/>
      <c r="J324" s="52"/>
      <c r="K324" s="52"/>
      <c r="L324" s="55"/>
      <c r="M324" s="32"/>
      <c r="N324" s="32"/>
      <c r="O324" s="52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BD324" s="32"/>
    </row>
    <row r="325" spans="2:56">
      <c r="B325" s="422"/>
      <c r="C325" s="1249"/>
      <c r="D325" s="1249"/>
      <c r="E325" s="1249"/>
      <c r="F325" s="1249"/>
      <c r="G325" s="1249"/>
      <c r="H325" s="1249"/>
      <c r="I325" s="1249"/>
      <c r="J325" s="1249"/>
      <c r="K325" s="1249"/>
      <c r="L325" s="55"/>
      <c r="M325" s="55"/>
      <c r="N325" s="32"/>
      <c r="O325" s="52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</row>
    <row r="327" spans="2:56">
      <c r="B327" s="28" t="s">
        <v>126</v>
      </c>
      <c r="C327" s="28"/>
      <c r="D327" s="29"/>
      <c r="E327" s="30" t="s">
        <v>511</v>
      </c>
      <c r="F327" s="31" t="s">
        <v>1668</v>
      </c>
      <c r="G327" s="32"/>
      <c r="H327" s="33"/>
      <c r="I327" s="34"/>
      <c r="J327" s="35" t="s">
        <v>513</v>
      </c>
      <c r="K327" s="36" t="s">
        <v>511</v>
      </c>
      <c r="L327" s="37">
        <v>45066.625</v>
      </c>
      <c r="M327" s="32"/>
      <c r="N327" s="32"/>
      <c r="O327" s="206"/>
      <c r="P327" s="205"/>
      <c r="Q327" s="202"/>
      <c r="R327" s="204"/>
      <c r="S327" s="38"/>
      <c r="T327" s="201"/>
      <c r="U327" s="201"/>
      <c r="V327" s="201"/>
      <c r="W327" s="201"/>
      <c r="X327" s="201"/>
      <c r="Y327" s="201"/>
      <c r="Z327" s="201"/>
      <c r="AA327" s="201"/>
      <c r="AB327" s="202"/>
      <c r="AC327" s="202"/>
      <c r="AD327" s="202"/>
      <c r="AE327" s="202"/>
      <c r="AF327" s="202"/>
      <c r="AG327" s="201"/>
      <c r="AH327" s="201"/>
      <c r="AI327" s="201"/>
      <c r="AJ327" s="201"/>
      <c r="AK327" s="201"/>
      <c r="AL327" s="201"/>
      <c r="AM327" s="201"/>
      <c r="AN327" s="201"/>
      <c r="AO327" s="201"/>
      <c r="AP327" s="201"/>
      <c r="AQ327" s="201"/>
      <c r="AR327" s="201"/>
      <c r="AS327" s="201"/>
      <c r="AT327" s="201"/>
      <c r="AU327" s="201"/>
      <c r="AV327" s="201"/>
      <c r="AW327" s="201"/>
      <c r="AX327" s="201"/>
      <c r="AY327" s="201"/>
      <c r="AZ327" s="201"/>
      <c r="BA327" s="201"/>
      <c r="BB327" s="201"/>
    </row>
    <row r="328" spans="2:56">
      <c r="B328" s="35" t="s">
        <v>514</v>
      </c>
      <c r="C328" s="35"/>
      <c r="D328" s="32"/>
      <c r="E328" s="36" t="s">
        <v>511</v>
      </c>
      <c r="F328" s="37" t="s">
        <v>1731</v>
      </c>
      <c r="G328" s="32"/>
      <c r="H328" s="33"/>
      <c r="I328" s="34"/>
      <c r="J328" s="35" t="s">
        <v>516</v>
      </c>
      <c r="K328" s="36" t="s">
        <v>511</v>
      </c>
      <c r="L328" s="37">
        <v>45068.354166666664</v>
      </c>
      <c r="M328" s="32"/>
      <c r="N328" s="32"/>
      <c r="O328" s="206"/>
      <c r="P328" s="205"/>
      <c r="Q328" s="202"/>
      <c r="R328" s="204"/>
      <c r="S328" s="38"/>
      <c r="T328" s="201"/>
      <c r="U328" s="201"/>
      <c r="V328" s="201"/>
      <c r="W328" s="201"/>
      <c r="X328" s="201"/>
      <c r="Y328" s="201"/>
      <c r="Z328" s="201"/>
      <c r="AA328" s="201"/>
      <c r="AB328" s="202"/>
      <c r="AC328" s="202"/>
      <c r="AD328" s="202"/>
      <c r="AE328" s="202"/>
      <c r="AF328" s="202"/>
      <c r="AG328" s="201"/>
      <c r="AH328" s="201"/>
      <c r="AI328" s="201"/>
      <c r="AJ328" s="201"/>
      <c r="AK328" s="201"/>
      <c r="AL328" s="201"/>
      <c r="AM328" s="201"/>
      <c r="AN328" s="201"/>
      <c r="AO328" s="201"/>
      <c r="AP328" s="201"/>
      <c r="AQ328" s="201"/>
      <c r="AR328" s="201"/>
      <c r="AS328" s="201"/>
      <c r="AT328" s="201"/>
      <c r="AU328" s="201"/>
      <c r="AV328" s="201"/>
      <c r="AW328" s="201"/>
      <c r="AX328" s="201"/>
      <c r="AY328" s="201"/>
      <c r="AZ328" s="201"/>
      <c r="BA328" s="201"/>
      <c r="BB328" s="201"/>
    </row>
    <row r="329" spans="2:56">
      <c r="B329" s="35" t="s">
        <v>517</v>
      </c>
      <c r="C329" s="35"/>
      <c r="D329" s="32"/>
      <c r="E329" s="36" t="s">
        <v>511</v>
      </c>
      <c r="F329" s="37">
        <v>45066.375</v>
      </c>
      <c r="G329" s="32"/>
      <c r="H329" s="33"/>
      <c r="I329" s="34"/>
      <c r="J329" s="35" t="s">
        <v>518</v>
      </c>
      <c r="K329" s="36" t="s">
        <v>511</v>
      </c>
      <c r="L329" s="50">
        <v>17600</v>
      </c>
      <c r="M329" s="40" t="s">
        <v>519</v>
      </c>
      <c r="N329" s="40"/>
      <c r="O329" s="206"/>
      <c r="P329" s="205"/>
      <c r="Q329" s="202"/>
      <c r="R329" s="204"/>
      <c r="S329" s="38"/>
      <c r="T329" s="201"/>
      <c r="U329" s="201"/>
      <c r="V329" s="201"/>
      <c r="W329" s="201"/>
      <c r="X329" s="201"/>
      <c r="Y329" s="201"/>
      <c r="Z329" s="201"/>
      <c r="AA329" s="201"/>
      <c r="AB329" s="202"/>
      <c r="AC329" s="202"/>
      <c r="AD329" s="202"/>
      <c r="AE329" s="202"/>
      <c r="AF329" s="202"/>
      <c r="AG329" s="201"/>
      <c r="AH329" s="201"/>
      <c r="AI329" s="201"/>
      <c r="AJ329" s="201"/>
      <c r="AK329" s="201"/>
      <c r="AL329" s="201"/>
      <c r="AM329" s="201"/>
      <c r="AN329" s="201"/>
      <c r="AO329" s="201"/>
      <c r="AP329" s="201"/>
      <c r="AQ329" s="201"/>
      <c r="AR329" s="201"/>
      <c r="AS329" s="201"/>
      <c r="AT329" s="201"/>
      <c r="AU329" s="201"/>
      <c r="AV329" s="201"/>
      <c r="AW329" s="201"/>
      <c r="AX329" s="201"/>
      <c r="AY329" s="201"/>
      <c r="AZ329" s="201"/>
      <c r="BA329" s="201"/>
      <c r="BB329" s="201"/>
    </row>
    <row r="330" spans="2:56">
      <c r="B330" s="35" t="s">
        <v>520</v>
      </c>
      <c r="C330" s="35"/>
      <c r="D330" s="32"/>
      <c r="E330" s="36" t="s">
        <v>511</v>
      </c>
      <c r="F330" s="37" t="s">
        <v>16</v>
      </c>
      <c r="G330" s="32"/>
      <c r="H330" s="33"/>
      <c r="I330" s="34"/>
      <c r="J330" s="35" t="s">
        <v>521</v>
      </c>
      <c r="K330" s="36" t="s">
        <v>511</v>
      </c>
      <c r="L330" s="41" t="s">
        <v>1732</v>
      </c>
      <c r="M330" s="32"/>
      <c r="N330" s="32"/>
      <c r="O330" s="206"/>
      <c r="P330" s="202"/>
      <c r="Q330" s="202"/>
      <c r="R330" s="204"/>
      <c r="S330" s="38"/>
      <c r="T330" s="201"/>
      <c r="U330" s="201"/>
      <c r="V330" s="201"/>
      <c r="W330" s="201"/>
      <c r="X330" s="201"/>
      <c r="Y330" s="201"/>
      <c r="Z330" s="201"/>
      <c r="AA330" s="201"/>
      <c r="AB330" s="202"/>
      <c r="AC330" s="202"/>
      <c r="AD330" s="202"/>
      <c r="AE330" s="202"/>
      <c r="AF330" s="202"/>
      <c r="AG330" s="201"/>
      <c r="AH330" s="201"/>
      <c r="AI330" s="201"/>
      <c r="AJ330" s="201"/>
      <c r="AK330" s="201"/>
      <c r="AL330" s="201"/>
      <c r="AM330" s="201"/>
      <c r="AN330" s="201"/>
      <c r="AO330" s="201"/>
      <c r="AP330" s="201"/>
      <c r="AQ330" s="201"/>
      <c r="AR330" s="201"/>
      <c r="AS330" s="201"/>
      <c r="AT330" s="201"/>
      <c r="AU330" s="201"/>
      <c r="AV330" s="201"/>
      <c r="AW330" s="201"/>
      <c r="AX330" s="201"/>
      <c r="AY330" s="201"/>
      <c r="AZ330" s="201"/>
      <c r="BA330" s="201"/>
      <c r="BB330" s="201"/>
    </row>
    <row r="331" spans="2:56">
      <c r="B331" s="35" t="s">
        <v>523</v>
      </c>
      <c r="C331" s="35"/>
      <c r="D331" s="32"/>
      <c r="E331" s="36" t="s">
        <v>511</v>
      </c>
      <c r="F331" s="37" t="s">
        <v>45</v>
      </c>
      <c r="G331" s="32"/>
      <c r="H331" s="33"/>
      <c r="I331" s="34"/>
      <c r="J331" s="42" t="s">
        <v>524</v>
      </c>
      <c r="K331" s="36" t="s">
        <v>511</v>
      </c>
      <c r="L331" s="43" t="s">
        <v>11</v>
      </c>
      <c r="M331" s="44"/>
      <c r="N331" s="44"/>
      <c r="O331" s="206"/>
      <c r="P331" s="205"/>
      <c r="Q331" s="202"/>
      <c r="R331" s="204"/>
      <c r="S331" s="38"/>
      <c r="T331" s="201"/>
      <c r="U331" s="201"/>
      <c r="V331" s="201"/>
      <c r="W331" s="201"/>
      <c r="X331" s="201"/>
      <c r="Y331" s="201"/>
      <c r="Z331" s="201"/>
      <c r="AA331" s="201"/>
      <c r="AB331" s="202"/>
      <c r="AC331" s="202"/>
      <c r="AD331" s="202"/>
      <c r="AE331" s="202"/>
      <c r="AF331" s="202"/>
      <c r="AG331" s="201"/>
      <c r="AH331" s="201"/>
      <c r="AI331" s="201"/>
      <c r="AJ331" s="201"/>
      <c r="AK331" s="201"/>
      <c r="AL331" s="201"/>
      <c r="AM331" s="201"/>
      <c r="AN331" s="201"/>
      <c r="AO331" s="201"/>
      <c r="AP331" s="201"/>
      <c r="AQ331" s="201"/>
      <c r="AR331" s="201"/>
      <c r="AS331" s="201"/>
      <c r="AT331" s="201"/>
      <c r="AU331" s="201"/>
      <c r="AV331" s="201"/>
      <c r="AW331" s="201"/>
      <c r="AX331" s="201"/>
      <c r="AY331" s="201"/>
      <c r="AZ331" s="201"/>
      <c r="BA331" s="201"/>
      <c r="BB331" s="201"/>
    </row>
    <row r="332" spans="2:56">
      <c r="B332" s="35" t="s">
        <v>2</v>
      </c>
      <c r="C332" s="35"/>
      <c r="D332" s="32"/>
      <c r="E332" s="36" t="s">
        <v>511</v>
      </c>
      <c r="F332" s="37" t="s">
        <v>29</v>
      </c>
      <c r="G332" s="32"/>
      <c r="H332" s="33"/>
      <c r="I332" s="45"/>
      <c r="J332" s="42"/>
      <c r="K332" s="36"/>
      <c r="L332" s="211"/>
      <c r="M332" s="201"/>
      <c r="N332" s="201"/>
      <c r="O332" s="42"/>
      <c r="P332" s="44"/>
      <c r="Q332" s="44"/>
      <c r="R332" s="44"/>
      <c r="S332" s="34"/>
      <c r="T332" s="201"/>
      <c r="U332" s="201"/>
      <c r="V332" s="201"/>
      <c r="W332" s="201"/>
      <c r="X332" s="201"/>
      <c r="Y332" s="201"/>
      <c r="Z332" s="201"/>
      <c r="AA332" s="201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201"/>
      <c r="AP332" s="201"/>
      <c r="AQ332" s="201"/>
      <c r="AR332" s="201"/>
      <c r="AS332" s="201"/>
      <c r="AT332" s="201"/>
      <c r="AU332" s="201"/>
      <c r="AV332" s="201"/>
      <c r="AW332" s="201"/>
      <c r="AX332" s="201"/>
      <c r="AY332" s="201"/>
      <c r="AZ332" s="201"/>
      <c r="BA332" s="201"/>
      <c r="BB332" s="201"/>
    </row>
    <row r="333" spans="2:56">
      <c r="B333" s="201"/>
      <c r="C333" s="201"/>
      <c r="D333" s="201"/>
      <c r="E333" s="201"/>
      <c r="F333" s="201"/>
      <c r="G333" s="201"/>
      <c r="H333" s="201"/>
      <c r="I333" s="45"/>
      <c r="J333" s="42"/>
      <c r="K333" s="42"/>
      <c r="L333" s="43"/>
      <c r="M333" s="44"/>
      <c r="N333" s="44"/>
      <c r="O333" s="42"/>
      <c r="P333" s="44"/>
      <c r="Q333" s="44"/>
      <c r="R333" s="44"/>
      <c r="S333" s="34"/>
      <c r="T333" s="1265" t="s">
        <v>87</v>
      </c>
      <c r="U333" s="1265"/>
      <c r="V333" s="1265"/>
      <c r="W333" s="1265"/>
      <c r="X333" s="1265"/>
      <c r="Y333" s="1265" t="s">
        <v>73</v>
      </c>
      <c r="Z333" s="1265"/>
      <c r="AA333" s="1265"/>
      <c r="AB333" s="1265" t="s">
        <v>74</v>
      </c>
      <c r="AC333" s="1265"/>
      <c r="AD333" s="423" t="s">
        <v>85</v>
      </c>
      <c r="AE333" s="423" t="s">
        <v>77</v>
      </c>
      <c r="AF333" s="1271" t="s">
        <v>525</v>
      </c>
      <c r="AG333" s="1272"/>
      <c r="AH333" s="1272"/>
      <c r="AI333" s="1272"/>
      <c r="AJ333" s="1272"/>
      <c r="AK333" s="1272"/>
      <c r="AL333" s="1272"/>
      <c r="AM333" s="1272"/>
      <c r="AN333" s="1272"/>
      <c r="AO333" s="1272"/>
      <c r="AP333" s="1272"/>
      <c r="AQ333" s="1272"/>
      <c r="AR333" s="1272"/>
      <c r="AS333" s="1272"/>
      <c r="AT333" s="1272"/>
      <c r="AU333" s="1272"/>
      <c r="AV333" s="1272"/>
      <c r="AW333" s="1272"/>
      <c r="AX333" s="1272"/>
      <c r="AY333" s="1272"/>
      <c r="AZ333" s="1272"/>
      <c r="BA333" s="1272"/>
      <c r="BB333" s="201"/>
    </row>
    <row r="334" spans="2:56">
      <c r="B334" s="1266" t="s">
        <v>526</v>
      </c>
      <c r="C334" s="1267"/>
      <c r="D334" s="570" t="s">
        <v>527</v>
      </c>
      <c r="E334" s="570"/>
      <c r="F334" s="570" t="s">
        <v>528</v>
      </c>
      <c r="G334" s="570" t="s">
        <v>529</v>
      </c>
      <c r="H334" s="570" t="s">
        <v>530</v>
      </c>
      <c r="I334" s="570" t="s">
        <v>531</v>
      </c>
      <c r="J334" s="570" t="s">
        <v>532</v>
      </c>
      <c r="K334" s="570"/>
      <c r="L334" s="570" t="s">
        <v>130</v>
      </c>
      <c r="M334" s="570" t="s">
        <v>533</v>
      </c>
      <c r="N334" s="408" t="str">
        <f>"On time - "&amp;COUNTIF(N335:N337,"On time")&amp;" from "&amp;ROWS(N335:N337)-COUNTIF(N335:N337," ")</f>
        <v>On time - 3 from 3</v>
      </c>
      <c r="O334" s="46"/>
      <c r="P334" s="409" t="s">
        <v>534</v>
      </c>
      <c r="Q334" s="409" t="s">
        <v>535</v>
      </c>
      <c r="R334" s="409" t="s">
        <v>536</v>
      </c>
      <c r="S334" s="32"/>
      <c r="T334" s="424" t="s">
        <v>537</v>
      </c>
      <c r="U334" s="424" t="s">
        <v>538</v>
      </c>
      <c r="V334" s="424" t="s">
        <v>539</v>
      </c>
      <c r="W334" s="424" t="s">
        <v>540</v>
      </c>
      <c r="X334" s="424" t="s">
        <v>541</v>
      </c>
      <c r="Y334" s="424" t="s">
        <v>167</v>
      </c>
      <c r="Z334" s="424" t="s">
        <v>168</v>
      </c>
      <c r="AA334" s="424" t="s">
        <v>169</v>
      </c>
      <c r="AB334" s="424" t="s">
        <v>235</v>
      </c>
      <c r="AC334" s="424" t="s">
        <v>240</v>
      </c>
      <c r="AD334" s="423" t="s">
        <v>85</v>
      </c>
      <c r="AE334" s="424" t="s">
        <v>139</v>
      </c>
      <c r="AF334" s="424" t="s">
        <v>72</v>
      </c>
      <c r="AG334" s="424" t="s">
        <v>88</v>
      </c>
      <c r="AH334" s="424" t="s">
        <v>75</v>
      </c>
      <c r="AI334" s="424" t="s">
        <v>543</v>
      </c>
      <c r="AJ334" s="424" t="s">
        <v>78</v>
      </c>
      <c r="AK334" s="424" t="s">
        <v>76</v>
      </c>
      <c r="AL334" s="424" t="s">
        <v>544</v>
      </c>
      <c r="AM334" s="424" t="s">
        <v>545</v>
      </c>
      <c r="AN334" s="424" t="s">
        <v>86</v>
      </c>
      <c r="AO334" s="424" t="s">
        <v>83</v>
      </c>
      <c r="AP334" s="424" t="s">
        <v>84</v>
      </c>
      <c r="AQ334" s="424" t="s">
        <v>546</v>
      </c>
      <c r="AR334" s="424" t="s">
        <v>81</v>
      </c>
      <c r="AS334" s="424" t="s">
        <v>80</v>
      </c>
      <c r="AT334" s="424" t="s">
        <v>82</v>
      </c>
      <c r="AU334" s="424" t="s">
        <v>181</v>
      </c>
      <c r="AV334" s="424" t="s">
        <v>183</v>
      </c>
      <c r="AW334" s="424" t="s">
        <v>547</v>
      </c>
      <c r="AX334" s="424" t="s">
        <v>182</v>
      </c>
      <c r="AY334" s="424" t="s">
        <v>172</v>
      </c>
      <c r="AZ334" s="424" t="s">
        <v>173</v>
      </c>
      <c r="BA334" s="424" t="s">
        <v>184</v>
      </c>
      <c r="BB334" s="201"/>
    </row>
    <row r="335" spans="2:56">
      <c r="B335" s="1256" t="s">
        <v>548</v>
      </c>
      <c r="C335" s="1257"/>
      <c r="D335" s="411" t="s">
        <v>1667</v>
      </c>
      <c r="E335" s="411"/>
      <c r="F335" s="411" t="s">
        <v>301</v>
      </c>
      <c r="G335" s="411" t="s">
        <v>302</v>
      </c>
      <c r="H335" s="412">
        <v>5760.5829999999996</v>
      </c>
      <c r="I335" s="413" t="s">
        <v>494</v>
      </c>
      <c r="J335" s="414">
        <v>45063.479166666664</v>
      </c>
      <c r="K335" s="414"/>
      <c r="L335" s="414" t="s">
        <v>192</v>
      </c>
      <c r="M335" s="414" t="s">
        <v>192</v>
      </c>
      <c r="N335" s="413" t="str">
        <f>IF(ISBLANK(J335)," ",IF(J335&lt;$F$329,"On time",(IF(DAY(J335-$F$329)&lt;1,"On time",(IF(J335&gt;$F$329,"DELAY ( "&amp;DAY(J335-$F$329)&amp;" day "&amp;HOUR(J335-$F$329)&amp;" hour "&amp;MINUTE(J335-$F$329)&amp;" minute )","xxx"))))))</f>
        <v>On time</v>
      </c>
      <c r="O335" s="51"/>
      <c r="P335" s="415" t="s">
        <v>551</v>
      </c>
      <c r="Q335" s="415" t="s">
        <v>551</v>
      </c>
      <c r="R335" s="415" t="s">
        <v>551</v>
      </c>
      <c r="S335" s="32"/>
      <c r="T335" s="416"/>
      <c r="U335" s="416"/>
      <c r="V335" s="416"/>
      <c r="W335" s="416"/>
      <c r="X335" s="416"/>
      <c r="Y335" s="416">
        <f>H335</f>
        <v>5760.5829999999996</v>
      </c>
      <c r="Z335" s="416"/>
      <c r="AA335" s="416"/>
      <c r="AB335" s="416"/>
      <c r="AC335" s="416"/>
      <c r="AD335" s="416"/>
      <c r="AE335" s="416"/>
      <c r="AF335" s="416"/>
      <c r="AG335" s="416"/>
      <c r="AH335" s="416"/>
      <c r="AI335" s="416"/>
      <c r="AJ335" s="416"/>
      <c r="AK335" s="416"/>
      <c r="AL335" s="416"/>
      <c r="AM335" s="416"/>
      <c r="AN335" s="416"/>
      <c r="AO335" s="416"/>
      <c r="AP335" s="416"/>
      <c r="AQ335" s="416"/>
      <c r="AR335" s="416"/>
      <c r="AS335" s="416"/>
      <c r="AT335" s="416"/>
      <c r="AU335" s="416"/>
      <c r="AV335" s="416"/>
      <c r="AW335" s="416"/>
      <c r="AX335" s="416"/>
      <c r="AY335" s="416"/>
      <c r="AZ335" s="416"/>
      <c r="BA335" s="416"/>
      <c r="BB335" s="32"/>
    </row>
    <row r="336" spans="2:56">
      <c r="B336" s="1256" t="s">
        <v>548</v>
      </c>
      <c r="C336" s="1257"/>
      <c r="D336" s="411" t="s">
        <v>1679</v>
      </c>
      <c r="E336" s="411"/>
      <c r="F336" s="411" t="s">
        <v>218</v>
      </c>
      <c r="G336" s="411" t="s">
        <v>219</v>
      </c>
      <c r="H336" s="412">
        <v>7501.7139999999999</v>
      </c>
      <c r="I336" s="413" t="s">
        <v>1677</v>
      </c>
      <c r="J336" s="414">
        <v>45065.465277777781</v>
      </c>
      <c r="K336" s="414"/>
      <c r="L336" s="414" t="s">
        <v>192</v>
      </c>
      <c r="M336" s="414" t="s">
        <v>192</v>
      </c>
      <c r="N336" s="413" t="str">
        <f>IF(ISBLANK(J336)," ",IF(J336&lt;$F$329,"On time",(IF(DAY(J336-$F$329)&lt;1,"On time",(IF(J336&gt;$F$329,"DELAY ( "&amp;DAY(J336-$F$329)&amp;" day "&amp;HOUR(J336-$F$329)&amp;" hour "&amp;MINUTE(J336-$F$329)&amp;" minute )","xxx"))))))</f>
        <v>On time</v>
      </c>
      <c r="O336" s="51"/>
      <c r="P336" s="415" t="s">
        <v>551</v>
      </c>
      <c r="Q336" s="415" t="s">
        <v>551</v>
      </c>
      <c r="R336" s="415" t="s">
        <v>551</v>
      </c>
      <c r="S336" s="32"/>
      <c r="T336" s="416"/>
      <c r="U336" s="416"/>
      <c r="V336" s="416"/>
      <c r="W336" s="416"/>
      <c r="X336" s="416"/>
      <c r="Y336" s="416">
        <f>(H336*0.75)</f>
        <v>5626.2855</v>
      </c>
      <c r="Z336" s="416">
        <f>(H336*0.25)</f>
        <v>1875.4285</v>
      </c>
      <c r="AA336" s="416"/>
      <c r="AB336" s="416"/>
      <c r="AC336" s="416"/>
      <c r="AD336" s="416"/>
      <c r="AE336" s="416"/>
      <c r="AF336" s="416"/>
      <c r="AG336" s="416"/>
      <c r="AH336" s="416"/>
      <c r="AI336" s="416"/>
      <c r="AJ336" s="416"/>
      <c r="AK336" s="416"/>
      <c r="AL336" s="416"/>
      <c r="AM336" s="416"/>
      <c r="AN336" s="416"/>
      <c r="AO336" s="416"/>
      <c r="AP336" s="416"/>
      <c r="AQ336" s="416"/>
      <c r="AR336" s="416"/>
      <c r="AS336" s="416"/>
      <c r="AT336" s="416"/>
      <c r="AU336" s="416"/>
      <c r="AV336" s="416"/>
      <c r="AW336" s="416"/>
      <c r="AX336" s="416"/>
      <c r="AY336" s="416"/>
      <c r="AZ336" s="416"/>
      <c r="BA336" s="416"/>
      <c r="BB336" s="32"/>
    </row>
    <row r="337" spans="2:54">
      <c r="B337" s="1256" t="s">
        <v>548</v>
      </c>
      <c r="C337" s="1257"/>
      <c r="D337" s="411" t="s">
        <v>1676</v>
      </c>
      <c r="E337" s="411"/>
      <c r="F337" s="411" t="s">
        <v>277</v>
      </c>
      <c r="G337" s="411" t="s">
        <v>278</v>
      </c>
      <c r="H337" s="412">
        <f>7553.215-3215.512</f>
        <v>4337.7029999999995</v>
      </c>
      <c r="I337" s="413" t="s">
        <v>1677</v>
      </c>
      <c r="J337" s="414">
        <v>45064.868055555555</v>
      </c>
      <c r="K337" s="414"/>
      <c r="L337" s="414" t="s">
        <v>192</v>
      </c>
      <c r="M337" s="414" t="s">
        <v>192</v>
      </c>
      <c r="N337" s="413" t="str">
        <f>IF(ISBLANK(J337)," ",IF(J337&lt;$F$329,"On time",(IF(DAY(J337-$F$329)&lt;1,"On time",(IF(J337&gt;$F$329,"DELAY ( "&amp;DAY(J337-$F$329)&amp;" day "&amp;HOUR(J337-$F$329)&amp;" hour "&amp;MINUTE(J337-$F$329)&amp;" minute )","xxx"))))))</f>
        <v>On time</v>
      </c>
      <c r="O337" s="51"/>
      <c r="P337" s="415" t="s">
        <v>551</v>
      </c>
      <c r="Q337" s="415" t="s">
        <v>551</v>
      </c>
      <c r="R337" s="415" t="s">
        <v>551</v>
      </c>
      <c r="S337" s="32"/>
      <c r="T337" s="416"/>
      <c r="U337" s="416"/>
      <c r="V337" s="416"/>
      <c r="W337" s="416"/>
      <c r="X337" s="416"/>
      <c r="Y337" s="416">
        <f>(H337*0.75)</f>
        <v>3253.2772499999996</v>
      </c>
      <c r="Z337" s="416">
        <f>(H337*0.25)</f>
        <v>1084.4257499999999</v>
      </c>
      <c r="AA337" s="416"/>
      <c r="AB337" s="416"/>
      <c r="AC337" s="416"/>
      <c r="AD337" s="416"/>
      <c r="AE337" s="416"/>
      <c r="AF337" s="416"/>
      <c r="AG337" s="416"/>
      <c r="AH337" s="416"/>
      <c r="AI337" s="416"/>
      <c r="AJ337" s="416"/>
      <c r="AK337" s="416"/>
      <c r="AL337" s="416"/>
      <c r="AM337" s="416"/>
      <c r="AN337" s="416"/>
      <c r="AO337" s="416"/>
      <c r="AP337" s="416"/>
      <c r="AQ337" s="416"/>
      <c r="AR337" s="416"/>
      <c r="AS337" s="416"/>
      <c r="AT337" s="416"/>
      <c r="AU337" s="416"/>
      <c r="AV337" s="416"/>
      <c r="AW337" s="416"/>
      <c r="AX337" s="416"/>
      <c r="AY337" s="416"/>
      <c r="AZ337" s="416"/>
      <c r="BA337" s="416"/>
      <c r="BB337" s="32"/>
    </row>
    <row r="338" spans="2:54">
      <c r="B338" s="1258" t="s">
        <v>556</v>
      </c>
      <c r="C338" s="1259"/>
      <c r="D338" s="1259"/>
      <c r="E338" s="1259"/>
      <c r="F338" s="1259"/>
      <c r="G338" s="1260"/>
      <c r="H338" s="417">
        <f>SUM(H335:H337)</f>
        <v>17600</v>
      </c>
      <c r="I338" s="388"/>
      <c r="J338" s="293"/>
      <c r="K338" s="293"/>
      <c r="L338" s="293"/>
      <c r="M338" s="389"/>
      <c r="N338" s="413" t="str">
        <f>IF(ISBLANK(J338)," ",IF(J338&lt;$F$374,"On time",(IF(DAY(J338-$F$374)&lt;1,"On time",(IF(J338&gt;$F$374,"DELAY ( "&amp;DAY(J338-$F$374)&amp;" day "&amp;HOUR(J338-$F$374)&amp;" hour "&amp;MINUTE(J338-$F$374)&amp;" minute )","xxx"))))))</f>
        <v xml:space="preserve"> </v>
      </c>
      <c r="O338" s="212"/>
      <c r="P338" s="418"/>
      <c r="Q338" s="418"/>
      <c r="R338" s="418"/>
      <c r="S338" s="207"/>
      <c r="T338" s="1262"/>
      <c r="U338" s="1263"/>
      <c r="V338" s="1263"/>
      <c r="W338" s="1263"/>
      <c r="X338" s="1263"/>
      <c r="Y338" s="1263"/>
      <c r="Z338" s="1263"/>
      <c r="AA338" s="1263"/>
      <c r="AB338" s="1263"/>
      <c r="AC338" s="1263"/>
      <c r="AD338" s="1263"/>
      <c r="AE338" s="1263"/>
      <c r="AF338" s="1263"/>
      <c r="AG338" s="1263"/>
      <c r="AH338" s="1263"/>
      <c r="AI338" s="1263"/>
      <c r="AJ338" s="1263"/>
      <c r="AK338" s="1263"/>
      <c r="AL338" s="1263"/>
      <c r="AM338" s="1263"/>
      <c r="AN338" s="1263"/>
      <c r="AO338" s="1263"/>
      <c r="AP338" s="1263"/>
      <c r="AQ338" s="1263"/>
      <c r="AR338" s="1263"/>
      <c r="AS338" s="1263"/>
      <c r="AT338" s="1263"/>
      <c r="AU338" s="1263"/>
      <c r="AV338" s="1263"/>
      <c r="AW338" s="1263"/>
      <c r="AX338" s="1263"/>
      <c r="AY338" s="1263"/>
      <c r="AZ338" s="1263"/>
      <c r="BA338" s="1263"/>
    </row>
    <row r="339" spans="2:54">
      <c r="B339" s="1243" t="s">
        <v>557</v>
      </c>
      <c r="C339" s="1244"/>
      <c r="D339" s="1244"/>
      <c r="E339" s="1244"/>
      <c r="F339" s="1244"/>
      <c r="G339" s="1245"/>
      <c r="H339" s="419">
        <v>17600</v>
      </c>
      <c r="I339" s="1273"/>
      <c r="J339" s="1274"/>
      <c r="K339" s="1274"/>
      <c r="L339" s="1274"/>
      <c r="M339" s="1275"/>
      <c r="N339" s="413" t="str">
        <f>IF(ISBLANK(J339)," ",IF(J339&lt;$F$374,"On time",(IF(DAY(J339-$F$374)&lt;1,"On time",(IF(J339&gt;$F$374,"DELAY ( "&amp;DAY(J339-$F$374)&amp;" day "&amp;HOUR(J339-$F$374)&amp;" hour "&amp;MINUTE(J339-$F$374)&amp;" minute )","xxx"))))))</f>
        <v xml:space="preserve"> </v>
      </c>
      <c r="O339" s="32"/>
      <c r="P339" s="415"/>
      <c r="Q339" s="415"/>
      <c r="R339" s="415"/>
      <c r="S339" s="63"/>
      <c r="T339" s="416">
        <f t="shared" ref="T339:BA339" si="22">SUM(T335:T337)</f>
        <v>0</v>
      </c>
      <c r="U339" s="416">
        <f t="shared" si="22"/>
        <v>0</v>
      </c>
      <c r="V339" s="416">
        <f t="shared" si="22"/>
        <v>0</v>
      </c>
      <c r="W339" s="416">
        <f t="shared" si="22"/>
        <v>0</v>
      </c>
      <c r="X339" s="416">
        <f t="shared" si="22"/>
        <v>0</v>
      </c>
      <c r="Y339" s="416">
        <f t="shared" si="22"/>
        <v>14640.14575</v>
      </c>
      <c r="Z339" s="416">
        <f t="shared" si="22"/>
        <v>2959.8542499999999</v>
      </c>
      <c r="AA339" s="416">
        <f t="shared" si="22"/>
        <v>0</v>
      </c>
      <c r="AB339" s="416">
        <f t="shared" si="22"/>
        <v>0</v>
      </c>
      <c r="AC339" s="416">
        <f t="shared" si="22"/>
        <v>0</v>
      </c>
      <c r="AD339" s="416">
        <f t="shared" si="22"/>
        <v>0</v>
      </c>
      <c r="AE339" s="416">
        <f t="shared" si="22"/>
        <v>0</v>
      </c>
      <c r="AF339" s="416">
        <f t="shared" si="22"/>
        <v>0</v>
      </c>
      <c r="AG339" s="416">
        <f t="shared" si="22"/>
        <v>0</v>
      </c>
      <c r="AH339" s="416">
        <f t="shared" si="22"/>
        <v>0</v>
      </c>
      <c r="AI339" s="416">
        <f t="shared" si="22"/>
        <v>0</v>
      </c>
      <c r="AJ339" s="416">
        <f t="shared" si="22"/>
        <v>0</v>
      </c>
      <c r="AK339" s="416">
        <f t="shared" si="22"/>
        <v>0</v>
      </c>
      <c r="AL339" s="416">
        <f t="shared" si="22"/>
        <v>0</v>
      </c>
      <c r="AM339" s="416">
        <f t="shared" si="22"/>
        <v>0</v>
      </c>
      <c r="AN339" s="416">
        <f t="shared" si="22"/>
        <v>0</v>
      </c>
      <c r="AO339" s="416">
        <f t="shared" si="22"/>
        <v>0</v>
      </c>
      <c r="AP339" s="416">
        <f t="shared" si="22"/>
        <v>0</v>
      </c>
      <c r="AQ339" s="416">
        <f t="shared" si="22"/>
        <v>0</v>
      </c>
      <c r="AR339" s="416">
        <f t="shared" si="22"/>
        <v>0</v>
      </c>
      <c r="AS339" s="416">
        <f t="shared" si="22"/>
        <v>0</v>
      </c>
      <c r="AT339" s="416">
        <f t="shared" si="22"/>
        <v>0</v>
      </c>
      <c r="AU339" s="416">
        <f t="shared" si="22"/>
        <v>0</v>
      </c>
      <c r="AV339" s="416">
        <f t="shared" si="22"/>
        <v>0</v>
      </c>
      <c r="AW339" s="416">
        <f t="shared" si="22"/>
        <v>0</v>
      </c>
      <c r="AX339" s="416">
        <f t="shared" si="22"/>
        <v>0</v>
      </c>
      <c r="AY339" s="416">
        <f t="shared" si="22"/>
        <v>0</v>
      </c>
      <c r="AZ339" s="416">
        <f t="shared" si="22"/>
        <v>0</v>
      </c>
      <c r="BA339" s="416">
        <f t="shared" si="22"/>
        <v>0</v>
      </c>
      <c r="BB339" s="416">
        <f>SUM(T339:BA339)</f>
        <v>17600</v>
      </c>
    </row>
    <row r="340" spans="2:54">
      <c r="B340" s="1243" t="s">
        <v>558</v>
      </c>
      <c r="C340" s="1244"/>
      <c r="D340" s="1244"/>
      <c r="E340" s="1244"/>
      <c r="F340" s="1244"/>
      <c r="G340" s="1245"/>
      <c r="H340" s="420">
        <f>H339-L329</f>
        <v>0</v>
      </c>
      <c r="I340" s="294"/>
      <c r="J340" s="295"/>
      <c r="K340" s="295"/>
      <c r="L340" s="296"/>
      <c r="M340" s="32"/>
      <c r="N340" s="32"/>
      <c r="O340" s="32"/>
      <c r="P340" s="32"/>
      <c r="Q340" s="297"/>
      <c r="R340" s="297"/>
      <c r="S340" s="32"/>
      <c r="T340" s="48"/>
      <c r="U340" s="48"/>
      <c r="V340" s="48"/>
      <c r="W340" s="48"/>
      <c r="X340" s="48"/>
      <c r="Y340" s="48"/>
      <c r="Z340" s="48"/>
      <c r="AA340" s="48"/>
      <c r="AB340" s="48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</row>
    <row r="341" spans="2:54">
      <c r="B341" s="1243" t="s">
        <v>559</v>
      </c>
      <c r="C341" s="1244"/>
      <c r="D341" s="1244"/>
      <c r="E341" s="1244"/>
      <c r="F341" s="1244"/>
      <c r="G341" s="1245"/>
      <c r="H341" s="420">
        <v>3194.4209999999998</v>
      </c>
      <c r="I341" s="52"/>
      <c r="J341" s="53"/>
      <c r="K341" s="53"/>
      <c r="L341" s="54"/>
      <c r="M341" s="32"/>
      <c r="N341" s="201"/>
      <c r="O341" s="32"/>
      <c r="P341" s="32"/>
      <c r="Q341" s="32"/>
      <c r="R341" s="32"/>
      <c r="S341" s="32"/>
      <c r="T341" s="48"/>
      <c r="U341" s="48"/>
      <c r="V341" s="48"/>
      <c r="W341" s="48"/>
      <c r="X341" s="48"/>
      <c r="Y341" s="48"/>
      <c r="Z341" s="48"/>
      <c r="AA341" s="48"/>
      <c r="AB341" s="48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</row>
    <row r="342" spans="2:54">
      <c r="B342" s="1243" t="s">
        <v>560</v>
      </c>
      <c r="C342" s="1244"/>
      <c r="D342" s="1244"/>
      <c r="E342" s="1244"/>
      <c r="F342" s="1244"/>
      <c r="G342" s="1245"/>
      <c r="H342" s="421">
        <f>H341-3215.512</f>
        <v>-21.091000000000349</v>
      </c>
      <c r="I342" s="270"/>
      <c r="J342" s="53"/>
      <c r="K342" s="53"/>
      <c r="L342" s="54"/>
      <c r="M342" s="32"/>
      <c r="N342" s="32"/>
      <c r="O342" s="32"/>
      <c r="P342" s="32"/>
      <c r="Q342" s="32"/>
      <c r="R342" s="32"/>
      <c r="S342" s="48"/>
      <c r="T342" s="48"/>
      <c r="U342" s="48"/>
      <c r="V342" s="48"/>
      <c r="W342" s="48"/>
      <c r="X342" s="48"/>
      <c r="Y342" s="48"/>
      <c r="Z342" s="48"/>
      <c r="AA342" s="48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</row>
    <row r="343" spans="2:54">
      <c r="B343" s="201"/>
      <c r="C343" s="201"/>
      <c r="D343" s="201"/>
      <c r="E343" s="201"/>
      <c r="F343" s="201"/>
      <c r="G343" s="201"/>
      <c r="H343" s="201"/>
      <c r="I343" s="213"/>
      <c r="J343" s="209"/>
      <c r="K343" s="209"/>
      <c r="L343" s="203"/>
      <c r="M343" s="201"/>
      <c r="N343" s="201"/>
      <c r="O343" s="209"/>
      <c r="P343" s="32"/>
      <c r="Q343" s="32"/>
      <c r="R343" s="32"/>
      <c r="S343" s="32"/>
      <c r="T343" s="48"/>
      <c r="U343" s="48"/>
      <c r="V343" s="48"/>
      <c r="W343" s="48"/>
      <c r="X343" s="48"/>
      <c r="Y343" s="48"/>
      <c r="Z343" s="48"/>
      <c r="AA343" s="48"/>
      <c r="AB343" s="48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</row>
    <row r="344" spans="2:54">
      <c r="B344" s="40" t="s">
        <v>561</v>
      </c>
      <c r="C344" s="40"/>
      <c r="D344" s="32"/>
      <c r="E344" s="32"/>
      <c r="F344" s="32"/>
      <c r="G344" s="32"/>
      <c r="H344" s="32"/>
      <c r="I344" s="32"/>
      <c r="J344" s="52"/>
      <c r="K344" s="52"/>
      <c r="L344" s="55"/>
      <c r="M344" s="32"/>
      <c r="N344" s="201"/>
      <c r="O344" s="5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  <c r="AA344" s="202"/>
      <c r="AB344" s="201"/>
      <c r="AC344" s="201"/>
      <c r="AD344" s="201"/>
      <c r="AE344" s="201"/>
      <c r="AF344" s="201"/>
      <c r="AG344" s="201"/>
      <c r="AH344" s="201"/>
      <c r="AI344" s="201"/>
      <c r="AJ344" s="201"/>
      <c r="AK344" s="201"/>
      <c r="AL344" s="201"/>
      <c r="AM344" s="201"/>
      <c r="AN344" s="201"/>
      <c r="AO344" s="201"/>
      <c r="AP344" s="201"/>
      <c r="AQ344" s="201"/>
      <c r="AR344" s="201"/>
      <c r="AS344" s="201"/>
      <c r="AT344" s="201"/>
      <c r="AU344" s="201"/>
      <c r="BB344" s="201"/>
    </row>
    <row r="345" spans="2:54">
      <c r="B345" s="422">
        <v>1</v>
      </c>
      <c r="C345" s="1249" t="s">
        <v>1733</v>
      </c>
      <c r="D345" s="1249"/>
      <c r="E345" s="1249"/>
      <c r="F345" s="1249"/>
      <c r="G345" s="1249"/>
      <c r="H345" s="1249"/>
      <c r="I345" s="1249"/>
      <c r="J345" s="1249"/>
      <c r="K345" s="1249"/>
      <c r="L345" s="203"/>
      <c r="M345" s="203"/>
      <c r="N345" s="201"/>
      <c r="O345" s="209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  <c r="AA345" s="202"/>
      <c r="AB345" s="201"/>
      <c r="AC345" s="201"/>
      <c r="AD345" s="201"/>
      <c r="AE345" s="201"/>
      <c r="AF345" s="201"/>
      <c r="AG345" s="201"/>
      <c r="AH345" s="201"/>
      <c r="AI345" s="201"/>
      <c r="AJ345" s="201"/>
      <c r="AK345" s="201"/>
      <c r="AL345" s="201"/>
      <c r="AM345" s="201"/>
      <c r="AN345" s="201"/>
      <c r="AO345" s="201"/>
      <c r="AP345" s="201"/>
      <c r="AQ345" s="201"/>
      <c r="AR345" s="201"/>
      <c r="AS345" s="201"/>
      <c r="AT345" s="201"/>
      <c r="AU345" s="201"/>
      <c r="AV345" s="201"/>
      <c r="AW345" s="201"/>
      <c r="AX345" s="201"/>
      <c r="AY345" s="201"/>
      <c r="AZ345" s="201"/>
      <c r="BA345" s="201"/>
      <c r="BB345" s="201"/>
    </row>
    <row r="347" spans="2:54">
      <c r="B347" s="28" t="s">
        <v>126</v>
      </c>
      <c r="C347" s="28"/>
      <c r="D347" s="29"/>
      <c r="E347" s="30" t="s">
        <v>511</v>
      </c>
      <c r="F347" s="31" t="s">
        <v>944</v>
      </c>
      <c r="G347" s="32"/>
      <c r="H347" s="33"/>
      <c r="I347" s="34"/>
      <c r="J347" s="35" t="s">
        <v>513</v>
      </c>
      <c r="K347" s="36" t="s">
        <v>511</v>
      </c>
      <c r="L347" s="37">
        <v>45066.871527777781</v>
      </c>
      <c r="M347" s="32"/>
      <c r="N347" s="32"/>
      <c r="O347" s="206"/>
      <c r="P347" s="205"/>
      <c r="Q347" s="202"/>
      <c r="R347" s="204"/>
      <c r="S347" s="38"/>
      <c r="T347" s="201"/>
      <c r="U347" s="201"/>
      <c r="V347" s="201"/>
      <c r="W347" s="201"/>
      <c r="X347" s="201"/>
      <c r="Y347" s="201"/>
      <c r="Z347" s="201"/>
      <c r="AA347" s="201"/>
      <c r="AB347" s="202"/>
      <c r="AC347" s="202"/>
      <c r="AD347" s="202"/>
      <c r="AE347" s="202"/>
      <c r="AF347" s="202"/>
      <c r="AG347" s="201"/>
      <c r="AH347" s="201"/>
      <c r="AI347" s="201"/>
      <c r="AJ347" s="201"/>
      <c r="AK347" s="201"/>
      <c r="AL347" s="20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</row>
    <row r="348" spans="2:54">
      <c r="B348" s="35" t="s">
        <v>514</v>
      </c>
      <c r="C348" s="35"/>
      <c r="D348" s="32"/>
      <c r="E348" s="36" t="s">
        <v>511</v>
      </c>
      <c r="F348" s="37" t="s">
        <v>1731</v>
      </c>
      <c r="G348" s="32"/>
      <c r="H348" s="33"/>
      <c r="I348" s="34"/>
      <c r="J348" s="35" t="s">
        <v>516</v>
      </c>
      <c r="K348" s="36" t="s">
        <v>511</v>
      </c>
      <c r="L348" s="37">
        <v>45068.458333333336</v>
      </c>
      <c r="M348" s="32"/>
      <c r="N348" s="32"/>
      <c r="O348" s="206"/>
      <c r="P348" s="205"/>
      <c r="Q348" s="202"/>
      <c r="R348" s="204"/>
      <c r="S348" s="38"/>
      <c r="T348" s="201"/>
      <c r="U348" s="201"/>
      <c r="V348" s="201"/>
      <c r="W348" s="201"/>
      <c r="X348" s="201"/>
      <c r="Y348" s="201"/>
      <c r="Z348" s="201"/>
      <c r="AA348" s="201"/>
      <c r="AB348" s="202"/>
      <c r="AC348" s="202"/>
      <c r="AD348" s="202"/>
      <c r="AE348" s="202"/>
      <c r="AF348" s="202"/>
      <c r="AG348" s="201"/>
      <c r="AH348" s="201"/>
      <c r="AI348" s="201"/>
      <c r="AJ348" s="201"/>
      <c r="AK348" s="201"/>
      <c r="AL348" s="201"/>
      <c r="AM348" s="201"/>
      <c r="AN348" s="201"/>
      <c r="AO348" s="201"/>
      <c r="AP348" s="201"/>
      <c r="AQ348" s="201"/>
      <c r="AR348" s="201"/>
      <c r="AS348" s="201"/>
      <c r="AT348" s="201"/>
      <c r="AU348" s="201"/>
      <c r="AV348" s="201"/>
      <c r="AW348" s="201"/>
      <c r="AX348" s="201"/>
      <c r="AY348" s="201"/>
      <c r="AZ348" s="201"/>
    </row>
    <row r="349" spans="2:54">
      <c r="B349" s="35" t="s">
        <v>517</v>
      </c>
      <c r="C349" s="35"/>
      <c r="D349" s="32"/>
      <c r="E349" s="36" t="s">
        <v>511</v>
      </c>
      <c r="F349" s="37">
        <v>45066.125</v>
      </c>
      <c r="G349" s="32"/>
      <c r="H349" s="33"/>
      <c r="I349" s="34"/>
      <c r="J349" s="35" t="s">
        <v>518</v>
      </c>
      <c r="K349" s="36" t="s">
        <v>511</v>
      </c>
      <c r="L349" s="50">
        <v>52150</v>
      </c>
      <c r="M349" s="40" t="s">
        <v>519</v>
      </c>
      <c r="N349" s="40"/>
      <c r="O349" s="206"/>
      <c r="P349" s="205"/>
      <c r="Q349" s="202"/>
      <c r="R349" s="204"/>
      <c r="S349" s="38"/>
      <c r="T349" s="201"/>
      <c r="U349" s="201"/>
      <c r="V349" s="201"/>
      <c r="W349" s="201"/>
      <c r="X349" s="201"/>
      <c r="Y349" s="201"/>
      <c r="Z349" s="201"/>
      <c r="AA349" s="201"/>
      <c r="AB349" s="202"/>
      <c r="AC349" s="202"/>
      <c r="AD349" s="202"/>
      <c r="AE349" s="202"/>
      <c r="AF349" s="202"/>
      <c r="AG349" s="201"/>
      <c r="AH349" s="201"/>
      <c r="AI349" s="201"/>
      <c r="AJ349" s="201"/>
      <c r="AK349" s="201"/>
      <c r="AL349" s="201"/>
      <c r="AM349" s="201"/>
      <c r="AN349" s="201"/>
      <c r="AO349" s="201"/>
      <c r="AP349" s="201"/>
      <c r="AQ349" s="201"/>
      <c r="AR349" s="201"/>
      <c r="AS349" s="201"/>
      <c r="AT349" s="201"/>
      <c r="AU349" s="201"/>
      <c r="AV349" s="201"/>
      <c r="AW349" s="201"/>
      <c r="AX349" s="201"/>
      <c r="AY349" s="201"/>
      <c r="AZ349" s="201"/>
    </row>
    <row r="350" spans="2:54">
      <c r="B350" s="35" t="s">
        <v>520</v>
      </c>
      <c r="C350" s="35"/>
      <c r="D350" s="32"/>
      <c r="E350" s="36" t="s">
        <v>511</v>
      </c>
      <c r="F350" s="37" t="s">
        <v>12</v>
      </c>
      <c r="G350" s="32"/>
      <c r="H350" s="33"/>
      <c r="I350" s="34"/>
      <c r="J350" s="35" t="s">
        <v>521</v>
      </c>
      <c r="K350" s="36" t="s">
        <v>511</v>
      </c>
      <c r="L350" s="41" t="s">
        <v>1734</v>
      </c>
      <c r="M350" s="32"/>
      <c r="N350" s="32"/>
      <c r="O350" s="206"/>
      <c r="P350" s="202"/>
      <c r="Q350" s="202"/>
      <c r="R350" s="204"/>
      <c r="S350" s="38"/>
      <c r="T350" s="201"/>
      <c r="U350" s="201"/>
      <c r="V350" s="201"/>
      <c r="W350" s="201"/>
      <c r="X350" s="201"/>
      <c r="Y350" s="201"/>
      <c r="Z350" s="201"/>
      <c r="AA350" s="201"/>
      <c r="AB350" s="202"/>
      <c r="AC350" s="202"/>
      <c r="AD350" s="202"/>
      <c r="AE350" s="202"/>
      <c r="AF350" s="202"/>
      <c r="AG350" s="201"/>
      <c r="AH350" s="201"/>
      <c r="AI350" s="201"/>
      <c r="AJ350" s="201"/>
      <c r="AK350" s="201"/>
      <c r="AL350" s="201"/>
      <c r="AM350" s="201"/>
      <c r="AN350" s="201"/>
      <c r="AO350" s="201"/>
      <c r="AP350" s="201"/>
      <c r="AQ350" s="201"/>
      <c r="AR350" s="201"/>
      <c r="AS350" s="201"/>
      <c r="AT350" s="201"/>
      <c r="AU350" s="201"/>
      <c r="AV350" s="201"/>
      <c r="AW350" s="201"/>
      <c r="AX350" s="201"/>
      <c r="AY350" s="201"/>
      <c r="AZ350" s="201"/>
    </row>
    <row r="351" spans="2:54">
      <c r="B351" s="35" t="s">
        <v>523</v>
      </c>
      <c r="C351" s="35"/>
      <c r="D351" s="32"/>
      <c r="E351" s="36" t="s">
        <v>511</v>
      </c>
      <c r="F351" s="37" t="s">
        <v>37</v>
      </c>
      <c r="G351" s="32"/>
      <c r="H351" s="33"/>
      <c r="I351" s="34"/>
      <c r="J351" s="42" t="s">
        <v>524</v>
      </c>
      <c r="K351" s="36" t="s">
        <v>511</v>
      </c>
      <c r="L351" s="43" t="s">
        <v>15</v>
      </c>
      <c r="M351" s="44"/>
      <c r="N351" s="44"/>
      <c r="O351" s="206"/>
      <c r="P351" s="205"/>
      <c r="Q351" s="202"/>
      <c r="R351" s="204"/>
      <c r="S351" s="38"/>
      <c r="T351" s="201"/>
      <c r="U351" s="201"/>
      <c r="V351" s="201"/>
      <c r="W351" s="201"/>
      <c r="X351" s="201"/>
      <c r="Y351" s="201"/>
      <c r="Z351" s="201"/>
      <c r="AA351" s="201"/>
      <c r="AB351" s="202"/>
      <c r="AC351" s="202"/>
      <c r="AD351" s="202"/>
      <c r="AE351" s="202"/>
      <c r="AF351" s="202"/>
      <c r="AG351" s="201"/>
      <c r="AH351" s="201"/>
      <c r="AI351" s="201"/>
      <c r="AJ351" s="201"/>
      <c r="AK351" s="201"/>
      <c r="AL351" s="201"/>
      <c r="AM351" s="201"/>
      <c r="AN351" s="201"/>
      <c r="AO351" s="201"/>
      <c r="AP351" s="201"/>
      <c r="AQ351" s="201"/>
      <c r="AR351" s="201"/>
      <c r="AS351" s="201"/>
      <c r="AT351" s="201"/>
      <c r="AU351" s="201"/>
      <c r="AV351" s="201"/>
      <c r="AW351" s="201"/>
      <c r="AX351" s="201"/>
      <c r="AY351" s="201"/>
      <c r="AZ351" s="201"/>
    </row>
    <row r="352" spans="2:54">
      <c r="B352" s="35" t="s">
        <v>2</v>
      </c>
      <c r="C352" s="35"/>
      <c r="D352" s="32"/>
      <c r="E352" s="36" t="s">
        <v>511</v>
      </c>
      <c r="F352" s="37" t="s">
        <v>18</v>
      </c>
      <c r="G352" s="32"/>
      <c r="H352" s="33"/>
      <c r="I352" s="45"/>
      <c r="J352" s="42"/>
      <c r="K352" s="36"/>
      <c r="L352" s="211"/>
      <c r="M352" s="201"/>
      <c r="N352" s="201"/>
      <c r="O352" s="42"/>
      <c r="P352" s="44"/>
      <c r="Q352" s="44"/>
      <c r="R352" s="44"/>
      <c r="S352" s="34"/>
      <c r="T352" s="201"/>
      <c r="U352" s="201"/>
      <c r="V352" s="201"/>
      <c r="W352" s="201"/>
      <c r="X352" s="201"/>
      <c r="Y352" s="201"/>
      <c r="Z352" s="201"/>
      <c r="AA352" s="201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201"/>
      <c r="AP352" s="201"/>
      <c r="AQ352" s="201"/>
      <c r="AR352" s="201"/>
      <c r="AS352" s="201"/>
      <c r="AT352" s="201"/>
      <c r="AU352" s="201"/>
      <c r="AV352" s="201"/>
      <c r="AW352" s="201"/>
      <c r="AX352" s="201"/>
      <c r="AY352" s="201"/>
      <c r="AZ352" s="201"/>
    </row>
    <row r="353" spans="2:52">
      <c r="B353" s="201"/>
      <c r="C353" s="201"/>
      <c r="D353" s="201"/>
      <c r="E353" s="201"/>
      <c r="F353" s="201"/>
      <c r="G353" s="201"/>
      <c r="H353" s="201"/>
      <c r="I353" s="45"/>
      <c r="J353" s="42"/>
      <c r="K353" s="42"/>
      <c r="L353" s="43"/>
      <c r="M353" s="44"/>
      <c r="N353" s="44"/>
      <c r="O353" s="42"/>
      <c r="P353" s="44"/>
      <c r="Q353" s="44"/>
      <c r="R353" s="44"/>
      <c r="S353" s="34"/>
      <c r="T353" s="1265" t="s">
        <v>87</v>
      </c>
      <c r="U353" s="1265"/>
      <c r="V353" s="1265"/>
      <c r="W353" s="1265"/>
      <c r="X353" s="1265"/>
      <c r="Y353" s="1265" t="s">
        <v>73</v>
      </c>
      <c r="Z353" s="1265"/>
      <c r="AA353" s="1265"/>
      <c r="AB353" s="1265" t="s">
        <v>74</v>
      </c>
      <c r="AC353" s="1265"/>
      <c r="AD353" s="423" t="s">
        <v>85</v>
      </c>
      <c r="AE353" s="423" t="s">
        <v>77</v>
      </c>
      <c r="AF353" s="1265" t="s">
        <v>525</v>
      </c>
      <c r="AG353" s="1265"/>
      <c r="AH353" s="1265"/>
      <c r="AI353" s="1265"/>
      <c r="AJ353" s="1265"/>
      <c r="AK353" s="1265"/>
      <c r="AL353" s="1265"/>
      <c r="AM353" s="1265"/>
      <c r="AN353" s="1265"/>
      <c r="AO353" s="1265"/>
      <c r="AP353" s="1265"/>
      <c r="AQ353" s="1265"/>
      <c r="AR353" s="1265"/>
      <c r="AS353" s="1265"/>
      <c r="AT353" s="1265"/>
      <c r="AU353" s="1265"/>
      <c r="AV353" s="1265"/>
      <c r="AW353" s="1265"/>
      <c r="AX353" s="1265"/>
      <c r="AY353" s="1265"/>
      <c r="AZ353" s="201"/>
    </row>
    <row r="354" spans="2:52">
      <c r="B354" s="1266" t="s">
        <v>526</v>
      </c>
      <c r="C354" s="1267"/>
      <c r="D354" s="570" t="s">
        <v>527</v>
      </c>
      <c r="E354" s="570"/>
      <c r="F354" s="570" t="s">
        <v>528</v>
      </c>
      <c r="G354" s="570" t="s">
        <v>529</v>
      </c>
      <c r="H354" s="570" t="s">
        <v>530</v>
      </c>
      <c r="I354" s="570" t="s">
        <v>531</v>
      </c>
      <c r="J354" s="570" t="s">
        <v>532</v>
      </c>
      <c r="K354" s="570"/>
      <c r="L354" s="570" t="s">
        <v>130</v>
      </c>
      <c r="M354" s="570" t="s">
        <v>533</v>
      </c>
      <c r="N354" s="408" t="str">
        <f>"On time - "&amp;COUNTIF(N355:N362,"On time")&amp;" from "&amp;ROWS(N355:N362)-COUNTIF(N355:N362," ")</f>
        <v>On time - 8 from 8</v>
      </c>
      <c r="O354" s="46"/>
      <c r="P354" s="409" t="s">
        <v>534</v>
      </c>
      <c r="Q354" s="409" t="s">
        <v>535</v>
      </c>
      <c r="R354" s="409" t="s">
        <v>536</v>
      </c>
      <c r="S354" s="32"/>
      <c r="T354" s="424" t="s">
        <v>537</v>
      </c>
      <c r="U354" s="424" t="s">
        <v>538</v>
      </c>
      <c r="V354" s="424" t="s">
        <v>539</v>
      </c>
      <c r="W354" s="424" t="s">
        <v>540</v>
      </c>
      <c r="X354" s="424" t="s">
        <v>541</v>
      </c>
      <c r="Y354" s="424" t="s">
        <v>167</v>
      </c>
      <c r="Z354" s="424" t="s">
        <v>168</v>
      </c>
      <c r="AA354" s="424" t="s">
        <v>169</v>
      </c>
      <c r="AB354" s="424" t="s">
        <v>235</v>
      </c>
      <c r="AC354" s="424" t="s">
        <v>240</v>
      </c>
      <c r="AD354" s="423" t="s">
        <v>85</v>
      </c>
      <c r="AE354" s="424" t="s">
        <v>139</v>
      </c>
      <c r="AF354" s="424" t="s">
        <v>72</v>
      </c>
      <c r="AG354" s="424" t="s">
        <v>88</v>
      </c>
      <c r="AH354" s="424" t="s">
        <v>75</v>
      </c>
      <c r="AI354" s="424" t="s">
        <v>543</v>
      </c>
      <c r="AJ354" s="424" t="s">
        <v>78</v>
      </c>
      <c r="AK354" s="424" t="s">
        <v>76</v>
      </c>
      <c r="AL354" s="424" t="s">
        <v>544</v>
      </c>
      <c r="AM354" s="424" t="s">
        <v>545</v>
      </c>
      <c r="AN354" s="424" t="s">
        <v>86</v>
      </c>
      <c r="AO354" s="424" t="s">
        <v>83</v>
      </c>
      <c r="AP354" s="424" t="s">
        <v>84</v>
      </c>
      <c r="AQ354" s="424" t="s">
        <v>546</v>
      </c>
      <c r="AR354" s="424" t="s">
        <v>81</v>
      </c>
      <c r="AS354" s="424" t="s">
        <v>80</v>
      </c>
      <c r="AT354" s="424" t="s">
        <v>82</v>
      </c>
      <c r="AU354" s="424" t="s">
        <v>181</v>
      </c>
      <c r="AV354" s="424" t="s">
        <v>183</v>
      </c>
      <c r="AW354" s="424" t="s">
        <v>547</v>
      </c>
      <c r="AX354" s="424" t="s">
        <v>182</v>
      </c>
      <c r="AY354" s="424" t="s">
        <v>172</v>
      </c>
      <c r="AZ354" s="201"/>
    </row>
    <row r="355" spans="2:52">
      <c r="B355" s="1250" t="s">
        <v>643</v>
      </c>
      <c r="C355" s="1251"/>
      <c r="D355" s="411" t="s">
        <v>1491</v>
      </c>
      <c r="E355" s="411"/>
      <c r="F355" s="411" t="s">
        <v>355</v>
      </c>
      <c r="G355" s="411" t="s">
        <v>356</v>
      </c>
      <c r="H355" s="412">
        <v>7529.8980000000001</v>
      </c>
      <c r="I355" s="413" t="s">
        <v>235</v>
      </c>
      <c r="J355" s="414">
        <v>45065.006944444445</v>
      </c>
      <c r="K355" s="414"/>
      <c r="L355" s="414" t="s">
        <v>192</v>
      </c>
      <c r="M355" s="414" t="s">
        <v>192</v>
      </c>
      <c r="N355" s="413" t="str">
        <f t="shared" ref="N355:N362" si="23">IF(ISBLANK(J355)," ",IF(J355&lt;$F$349,"On time",(IF(DAY(J355-$F$349)&lt;1,"On time",(IF(J355&gt;$F$349,"DELAY ( "&amp;DAY(J355-$F$349)&amp;" day "&amp;HOUR(J355-$F$349)&amp;" hour "&amp;MINUTE(J355-$F$349)&amp;" minute )","xxx"))))))</f>
        <v>On time</v>
      </c>
      <c r="O355" s="51"/>
      <c r="P355" s="415" t="s">
        <v>551</v>
      </c>
      <c r="Q355" s="415" t="s">
        <v>551</v>
      </c>
      <c r="R355" s="415" t="s">
        <v>551</v>
      </c>
      <c r="S355" s="32"/>
      <c r="T355" s="416"/>
      <c r="U355" s="416"/>
      <c r="V355" s="416"/>
      <c r="W355" s="416"/>
      <c r="X355" s="416"/>
      <c r="Y355" s="416"/>
      <c r="Z355" s="416"/>
      <c r="AA355" s="416"/>
      <c r="AB355" s="416">
        <f>H355</f>
        <v>7529.8980000000001</v>
      </c>
      <c r="AC355" s="416"/>
      <c r="AD355" s="416"/>
      <c r="AE355" s="416"/>
      <c r="AF355" s="416"/>
      <c r="AG355" s="416"/>
      <c r="AH355" s="416"/>
      <c r="AI355" s="416"/>
      <c r="AJ355" s="416"/>
      <c r="AK355" s="416"/>
      <c r="AL355" s="416"/>
      <c r="AM355" s="416"/>
      <c r="AN355" s="416"/>
      <c r="AO355" s="416"/>
      <c r="AP355" s="416"/>
      <c r="AQ355" s="416"/>
      <c r="AR355" s="416"/>
      <c r="AS355" s="416"/>
      <c r="AT355" s="416"/>
      <c r="AU355" s="416"/>
      <c r="AV355" s="416"/>
      <c r="AW355" s="416"/>
      <c r="AX355" s="416"/>
      <c r="AY355" s="416"/>
      <c r="AZ355" s="32"/>
    </row>
    <row r="356" spans="2:52">
      <c r="B356" s="1254"/>
      <c r="C356" s="1255"/>
      <c r="D356" s="411" t="s">
        <v>1575</v>
      </c>
      <c r="E356" s="411"/>
      <c r="F356" s="411" t="s">
        <v>304</v>
      </c>
      <c r="G356" s="411" t="s">
        <v>305</v>
      </c>
      <c r="H356" s="412">
        <f>7500.61/2</f>
        <v>3750.3049999999998</v>
      </c>
      <c r="I356" s="413" t="s">
        <v>1164</v>
      </c>
      <c r="J356" s="414">
        <v>45063.333333333336</v>
      </c>
      <c r="K356" s="414"/>
      <c r="L356" s="414" t="s">
        <v>192</v>
      </c>
      <c r="M356" s="414" t="s">
        <v>192</v>
      </c>
      <c r="N356" s="413" t="str">
        <f t="shared" si="23"/>
        <v>On time</v>
      </c>
      <c r="O356" s="51"/>
      <c r="P356" s="415" t="s">
        <v>551</v>
      </c>
      <c r="Q356" s="415" t="s">
        <v>551</v>
      </c>
      <c r="R356" s="415" t="s">
        <v>551</v>
      </c>
      <c r="S356" s="32"/>
      <c r="T356" s="416"/>
      <c r="U356" s="416"/>
      <c r="V356" s="416"/>
      <c r="W356" s="416"/>
      <c r="X356" s="416">
        <f>H356</f>
        <v>3750.3049999999998</v>
      </c>
      <c r="Y356" s="416"/>
      <c r="Z356" s="416"/>
      <c r="AA356" s="416"/>
      <c r="AB356" s="416"/>
      <c r="AC356" s="416"/>
      <c r="AD356" s="416"/>
      <c r="AE356" s="416"/>
      <c r="AF356" s="416"/>
      <c r="AG356" s="416"/>
      <c r="AH356" s="416"/>
      <c r="AI356" s="416"/>
      <c r="AJ356" s="416"/>
      <c r="AK356" s="416"/>
      <c r="AL356" s="416"/>
      <c r="AM356" s="416"/>
      <c r="AN356" s="416"/>
      <c r="AO356" s="416"/>
      <c r="AP356" s="416"/>
      <c r="AQ356" s="416"/>
      <c r="AR356" s="416"/>
      <c r="AS356" s="416"/>
      <c r="AT356" s="416"/>
      <c r="AU356" s="416"/>
      <c r="AV356" s="416"/>
      <c r="AW356" s="416"/>
      <c r="AX356" s="416"/>
      <c r="AY356" s="416"/>
      <c r="AZ356" s="32"/>
    </row>
    <row r="357" spans="2:52">
      <c r="B357" s="1250" t="s">
        <v>644</v>
      </c>
      <c r="C357" s="1251"/>
      <c r="D357" s="411" t="s">
        <v>1575</v>
      </c>
      <c r="E357" s="411"/>
      <c r="F357" s="411" t="s">
        <v>304</v>
      </c>
      <c r="G357" s="411" t="s">
        <v>305</v>
      </c>
      <c r="H357" s="412">
        <f>H356</f>
        <v>3750.3049999999998</v>
      </c>
      <c r="I357" s="413" t="s">
        <v>1164</v>
      </c>
      <c r="J357" s="273">
        <v>45063.333333333336</v>
      </c>
      <c r="K357" s="414"/>
      <c r="L357" s="414" t="s">
        <v>192</v>
      </c>
      <c r="M357" s="414" t="s">
        <v>192</v>
      </c>
      <c r="N357" s="413" t="str">
        <f t="shared" si="23"/>
        <v>On time</v>
      </c>
      <c r="O357" s="51"/>
      <c r="P357" s="415" t="s">
        <v>551</v>
      </c>
      <c r="Q357" s="415" t="s">
        <v>551</v>
      </c>
      <c r="R357" s="415" t="s">
        <v>551</v>
      </c>
      <c r="S357" s="32"/>
      <c r="T357" s="416"/>
      <c r="U357" s="416"/>
      <c r="V357" s="416"/>
      <c r="W357" s="416"/>
      <c r="X357" s="416">
        <f>H357</f>
        <v>3750.3049999999998</v>
      </c>
      <c r="Y357" s="416"/>
      <c r="Z357" s="416"/>
      <c r="AA357" s="416"/>
      <c r="AB357" s="416"/>
      <c r="AC357" s="416"/>
      <c r="AD357" s="416"/>
      <c r="AE357" s="416"/>
      <c r="AF357" s="416"/>
      <c r="AG357" s="416"/>
      <c r="AH357" s="416"/>
      <c r="AI357" s="416"/>
      <c r="AJ357" s="416"/>
      <c r="AK357" s="416"/>
      <c r="AL357" s="416"/>
      <c r="AM357" s="416"/>
      <c r="AN357" s="416"/>
      <c r="AO357" s="416"/>
      <c r="AP357" s="416"/>
      <c r="AQ357" s="416"/>
      <c r="AR357" s="416"/>
      <c r="AS357" s="416"/>
      <c r="AT357" s="416"/>
      <c r="AU357" s="416"/>
      <c r="AV357" s="416"/>
      <c r="AW357" s="416"/>
      <c r="AX357" s="416"/>
      <c r="AY357" s="416"/>
      <c r="AZ357" s="32"/>
    </row>
    <row r="358" spans="2:52">
      <c r="B358" s="1254"/>
      <c r="C358" s="1255"/>
      <c r="D358" s="411" t="s">
        <v>1490</v>
      </c>
      <c r="E358" s="411"/>
      <c r="F358" s="411" t="s">
        <v>437</v>
      </c>
      <c r="G358" s="411" t="s">
        <v>320</v>
      </c>
      <c r="H358" s="412">
        <v>7501.817</v>
      </c>
      <c r="I358" s="413" t="s">
        <v>235</v>
      </c>
      <c r="J358" s="414">
        <v>45065.541666666664</v>
      </c>
      <c r="K358" s="414"/>
      <c r="L358" s="414" t="s">
        <v>192</v>
      </c>
      <c r="M358" s="414" t="s">
        <v>192</v>
      </c>
      <c r="N358" s="413" t="str">
        <f t="shared" si="23"/>
        <v>On time</v>
      </c>
      <c r="O358" s="51"/>
      <c r="P358" s="415" t="s">
        <v>551</v>
      </c>
      <c r="Q358" s="415" t="s">
        <v>551</v>
      </c>
      <c r="R358" s="415" t="s">
        <v>551</v>
      </c>
      <c r="S358" s="32"/>
      <c r="T358" s="416"/>
      <c r="U358" s="416"/>
      <c r="V358" s="416"/>
      <c r="W358" s="416"/>
      <c r="X358" s="416"/>
      <c r="Y358" s="416"/>
      <c r="Z358" s="416"/>
      <c r="AA358" s="416"/>
      <c r="AB358" s="416">
        <f>H358</f>
        <v>7501.817</v>
      </c>
      <c r="AC358" s="416"/>
      <c r="AD358" s="416"/>
      <c r="AE358" s="416"/>
      <c r="AF358" s="416"/>
      <c r="AG358" s="416"/>
      <c r="AH358" s="416"/>
      <c r="AI358" s="416"/>
      <c r="AJ358" s="416"/>
      <c r="AK358" s="416"/>
      <c r="AL358" s="416"/>
      <c r="AM358" s="416"/>
      <c r="AN358" s="416"/>
      <c r="AO358" s="416"/>
      <c r="AP358" s="416"/>
      <c r="AQ358" s="416"/>
      <c r="AR358" s="416"/>
      <c r="AS358" s="416"/>
      <c r="AT358" s="416"/>
      <c r="AU358" s="416"/>
      <c r="AV358" s="416"/>
      <c r="AW358" s="416"/>
      <c r="AX358" s="416"/>
      <c r="AY358" s="416"/>
      <c r="AZ358" s="32"/>
    </row>
    <row r="359" spans="2:52">
      <c r="B359" s="1256" t="s">
        <v>548</v>
      </c>
      <c r="C359" s="1257"/>
      <c r="D359" s="411" t="s">
        <v>1576</v>
      </c>
      <c r="E359" s="411"/>
      <c r="F359" s="411" t="s">
        <v>1240</v>
      </c>
      <c r="G359" s="411" t="s">
        <v>1241</v>
      </c>
      <c r="H359" s="412">
        <v>7512.2619999999997</v>
      </c>
      <c r="I359" s="413" t="s">
        <v>611</v>
      </c>
      <c r="J359" s="414">
        <v>45064.208333333336</v>
      </c>
      <c r="K359" s="414"/>
      <c r="L359" s="414" t="s">
        <v>192</v>
      </c>
      <c r="M359" s="414" t="s">
        <v>192</v>
      </c>
      <c r="N359" s="413" t="str">
        <f t="shared" si="23"/>
        <v>On time</v>
      </c>
      <c r="O359" s="51"/>
      <c r="P359" s="415" t="s">
        <v>551</v>
      </c>
      <c r="Q359" s="415" t="s">
        <v>551</v>
      </c>
      <c r="R359" s="415" t="s">
        <v>551</v>
      </c>
      <c r="S359" s="32"/>
      <c r="T359" s="416">
        <f>H359</f>
        <v>7512.2619999999997</v>
      </c>
      <c r="U359" s="416"/>
      <c r="V359" s="416"/>
      <c r="W359" s="416"/>
      <c r="X359" s="32"/>
      <c r="Y359" s="416"/>
      <c r="Z359" s="416"/>
      <c r="AA359" s="416"/>
      <c r="AB359" s="416"/>
      <c r="AC359" s="416"/>
      <c r="AD359" s="416"/>
      <c r="AE359" s="416"/>
      <c r="AF359" s="416"/>
      <c r="AG359" s="416"/>
      <c r="AH359" s="416"/>
      <c r="AI359" s="416"/>
      <c r="AJ359" s="416"/>
      <c r="AK359" s="416"/>
      <c r="AL359" s="416"/>
      <c r="AM359" s="416"/>
      <c r="AN359" s="416"/>
      <c r="AO359" s="416"/>
      <c r="AP359" s="416"/>
      <c r="AQ359" s="416"/>
      <c r="AR359" s="416"/>
      <c r="AS359" s="416"/>
      <c r="AT359" s="416"/>
      <c r="AU359" s="416"/>
      <c r="AV359" s="416"/>
      <c r="AW359" s="416"/>
      <c r="AX359" s="416"/>
      <c r="AY359" s="416"/>
      <c r="AZ359" s="32"/>
    </row>
    <row r="360" spans="2:52">
      <c r="B360" s="1250" t="s">
        <v>1735</v>
      </c>
      <c r="C360" s="1251"/>
      <c r="D360" s="411" t="s">
        <v>1608</v>
      </c>
      <c r="E360" s="411"/>
      <c r="F360" s="411" t="s">
        <v>346</v>
      </c>
      <c r="G360" s="411" t="s">
        <v>1544</v>
      </c>
      <c r="H360" s="412">
        <v>7651.2449999999999</v>
      </c>
      <c r="I360" s="413" t="s">
        <v>172</v>
      </c>
      <c r="J360" s="414">
        <v>45066.625</v>
      </c>
      <c r="K360" s="414"/>
      <c r="L360" s="414" t="s">
        <v>192</v>
      </c>
      <c r="M360" s="414" t="s">
        <v>192</v>
      </c>
      <c r="N360" s="413" t="str">
        <f t="shared" si="23"/>
        <v>On time</v>
      </c>
      <c r="O360" s="51"/>
      <c r="P360" s="415" t="s">
        <v>551</v>
      </c>
      <c r="Q360" s="415" t="s">
        <v>551</v>
      </c>
      <c r="R360" s="415" t="s">
        <v>551</v>
      </c>
      <c r="S360" s="32"/>
      <c r="T360" s="416"/>
      <c r="U360" s="416"/>
      <c r="V360" s="416"/>
      <c r="W360" s="416"/>
      <c r="X360" s="416"/>
      <c r="Y360" s="416"/>
      <c r="Z360" s="416"/>
      <c r="AA360" s="416"/>
      <c r="AB360" s="32"/>
      <c r="AC360" s="416"/>
      <c r="AD360" s="416"/>
      <c r="AE360" s="416"/>
      <c r="AF360" s="416"/>
      <c r="AG360" s="416"/>
      <c r="AH360" s="416"/>
      <c r="AI360" s="416"/>
      <c r="AJ360" s="416"/>
      <c r="AK360" s="416"/>
      <c r="AL360" s="416"/>
      <c r="AM360" s="416"/>
      <c r="AN360" s="416"/>
      <c r="AO360" s="416"/>
      <c r="AP360" s="416"/>
      <c r="AQ360" s="416"/>
      <c r="AR360" s="416"/>
      <c r="AS360" s="416"/>
      <c r="AT360" s="416"/>
      <c r="AU360" s="416"/>
      <c r="AV360" s="416"/>
      <c r="AW360" s="416"/>
      <c r="AX360" s="416"/>
      <c r="AY360" s="416">
        <f>H360</f>
        <v>7651.2449999999999</v>
      </c>
      <c r="AZ360" s="32"/>
    </row>
    <row r="361" spans="2:52">
      <c r="B361" s="1254"/>
      <c r="C361" s="1255"/>
      <c r="D361" s="411" t="s">
        <v>1478</v>
      </c>
      <c r="E361" s="411"/>
      <c r="F361" s="411" t="s">
        <v>249</v>
      </c>
      <c r="G361" s="411" t="s">
        <v>250</v>
      </c>
      <c r="H361" s="412">
        <v>6007.6729999999998</v>
      </c>
      <c r="I361" s="413" t="s">
        <v>240</v>
      </c>
      <c r="J361" s="414">
        <v>45065.194444444445</v>
      </c>
      <c r="K361" s="414"/>
      <c r="L361" s="414" t="s">
        <v>192</v>
      </c>
      <c r="M361" s="414" t="s">
        <v>192</v>
      </c>
      <c r="N361" s="413" t="str">
        <f t="shared" si="23"/>
        <v>On time</v>
      </c>
      <c r="O361" s="51"/>
      <c r="P361" s="415" t="s">
        <v>551</v>
      </c>
      <c r="Q361" s="415" t="s">
        <v>551</v>
      </c>
      <c r="R361" s="415" t="s">
        <v>551</v>
      </c>
      <c r="S361" s="32"/>
      <c r="T361" s="416"/>
      <c r="U361" s="416"/>
      <c r="V361" s="416"/>
      <c r="W361" s="416"/>
      <c r="X361" s="416"/>
      <c r="Y361" s="416"/>
      <c r="Z361" s="416"/>
      <c r="AA361" s="416"/>
      <c r="AB361" s="416"/>
      <c r="AC361" s="416">
        <f>H361</f>
        <v>6007.6729999999998</v>
      </c>
      <c r="AD361" s="416"/>
      <c r="AE361" s="416"/>
      <c r="AF361" s="416"/>
      <c r="AG361" s="416"/>
      <c r="AH361" s="416"/>
      <c r="AI361" s="416"/>
      <c r="AJ361" s="416"/>
      <c r="AK361" s="416"/>
      <c r="AL361" s="416"/>
      <c r="AM361" s="416"/>
      <c r="AN361" s="416"/>
      <c r="AO361" s="416"/>
      <c r="AP361" s="416"/>
      <c r="AQ361" s="416"/>
      <c r="AR361" s="416"/>
      <c r="AS361" s="416"/>
      <c r="AT361" s="416"/>
      <c r="AU361" s="416"/>
      <c r="AV361" s="416"/>
      <c r="AW361" s="416"/>
      <c r="AX361" s="416"/>
      <c r="AY361" s="416"/>
      <c r="AZ361" s="32"/>
    </row>
    <row r="362" spans="2:52">
      <c r="B362" s="1256" t="s">
        <v>548</v>
      </c>
      <c r="C362" s="1257"/>
      <c r="D362" s="411" t="s">
        <v>1492</v>
      </c>
      <c r="E362" s="411"/>
      <c r="F362" s="411" t="s">
        <v>295</v>
      </c>
      <c r="G362" s="411" t="s">
        <v>296</v>
      </c>
      <c r="H362" s="412">
        <f>9909.793-1463.298</f>
        <v>8446.494999999999</v>
      </c>
      <c r="I362" s="413" t="s">
        <v>235</v>
      </c>
      <c r="J362" s="414">
        <v>45065.5</v>
      </c>
      <c r="K362" s="414"/>
      <c r="L362" s="414" t="s">
        <v>192</v>
      </c>
      <c r="M362" s="414" t="s">
        <v>192</v>
      </c>
      <c r="N362" s="413" t="str">
        <f t="shared" si="23"/>
        <v>On time</v>
      </c>
      <c r="O362" s="51"/>
      <c r="P362" s="415" t="s">
        <v>551</v>
      </c>
      <c r="Q362" s="415" t="s">
        <v>551</v>
      </c>
      <c r="R362" s="415" t="s">
        <v>551</v>
      </c>
      <c r="S362" s="32"/>
      <c r="T362" s="416"/>
      <c r="U362" s="416"/>
      <c r="V362" s="416"/>
      <c r="W362" s="416"/>
      <c r="X362" s="416"/>
      <c r="Y362" s="416"/>
      <c r="Z362" s="416"/>
      <c r="AA362" s="416"/>
      <c r="AB362" s="416">
        <f>H362</f>
        <v>8446.494999999999</v>
      </c>
      <c r="AC362" s="416"/>
      <c r="AD362" s="416"/>
      <c r="AE362" s="416"/>
      <c r="AF362" s="416"/>
      <c r="AG362" s="416"/>
      <c r="AH362" s="416"/>
      <c r="AI362" s="416"/>
      <c r="AJ362" s="416"/>
      <c r="AK362" s="416"/>
      <c r="AL362" s="416"/>
      <c r="AM362" s="416"/>
      <c r="AN362" s="416"/>
      <c r="AO362" s="416"/>
      <c r="AP362" s="416"/>
      <c r="AQ362" s="416"/>
      <c r="AR362" s="416"/>
      <c r="AS362" s="416"/>
      <c r="AT362" s="416"/>
      <c r="AU362" s="416"/>
      <c r="AV362" s="416"/>
      <c r="AW362" s="416"/>
      <c r="AX362" s="416"/>
      <c r="AY362" s="416"/>
      <c r="AZ362" s="32"/>
    </row>
    <row r="363" spans="2:52">
      <c r="B363" s="1258" t="s">
        <v>556</v>
      </c>
      <c r="C363" s="1259"/>
      <c r="D363" s="1259"/>
      <c r="E363" s="1259"/>
      <c r="F363" s="1259"/>
      <c r="G363" s="1260"/>
      <c r="H363" s="417">
        <f>SUM(H355:H362)</f>
        <v>52150</v>
      </c>
      <c r="I363" s="388"/>
      <c r="J363" s="293"/>
      <c r="K363" s="293"/>
      <c r="L363" s="293"/>
      <c r="M363" s="389"/>
      <c r="N363" s="413" t="str">
        <f>IF(ISBLANK(J363)," ",IF(J363&lt;$F$374,"On time",(IF(DAY(J363-$F$374)&lt;1,"On time",(IF(J363&gt;$F$374,"DELAY ( "&amp;DAY(J363-$F$374)&amp;" day "&amp;HOUR(J363-$F$374)&amp;" hour "&amp;MINUTE(J363-$F$374)&amp;" minute )","xxx"))))))</f>
        <v xml:space="preserve"> </v>
      </c>
      <c r="O363" s="212"/>
      <c r="P363" s="418"/>
      <c r="Q363" s="418"/>
      <c r="R363" s="418"/>
      <c r="S363" s="207"/>
      <c r="T363" s="1262"/>
      <c r="U363" s="1263"/>
      <c r="V363" s="1263"/>
      <c r="W363" s="1263"/>
      <c r="X363" s="1263"/>
      <c r="Y363" s="1263"/>
      <c r="Z363" s="1263"/>
      <c r="AA363" s="1263"/>
      <c r="AB363" s="1263"/>
      <c r="AC363" s="1263"/>
      <c r="AD363" s="1263"/>
      <c r="AE363" s="1263"/>
      <c r="AF363" s="1263"/>
      <c r="AG363" s="1263"/>
      <c r="AH363" s="1263"/>
      <c r="AI363" s="1263"/>
      <c r="AJ363" s="1263"/>
      <c r="AK363" s="1263"/>
      <c r="AL363" s="1263"/>
      <c r="AM363" s="1263"/>
      <c r="AN363" s="1263"/>
      <c r="AO363" s="1263"/>
      <c r="AP363" s="1263"/>
      <c r="AQ363" s="1263"/>
      <c r="AR363" s="1263"/>
      <c r="AS363" s="1263"/>
      <c r="AT363" s="1263"/>
      <c r="AU363" s="1263"/>
      <c r="AV363" s="1263"/>
      <c r="AW363" s="1263"/>
      <c r="AX363" s="1263"/>
      <c r="AY363" s="1264"/>
    </row>
    <row r="364" spans="2:52">
      <c r="B364" s="1243" t="s">
        <v>557</v>
      </c>
      <c r="C364" s="1244"/>
      <c r="D364" s="1244"/>
      <c r="E364" s="1244"/>
      <c r="F364" s="1244"/>
      <c r="G364" s="1245"/>
      <c r="H364" s="419">
        <v>52150</v>
      </c>
      <c r="I364" s="1273"/>
      <c r="J364" s="1274"/>
      <c r="K364" s="1274"/>
      <c r="L364" s="1274"/>
      <c r="M364" s="1275"/>
      <c r="N364" s="413" t="str">
        <f>IF(ISBLANK(J364)," ",IF(J364&lt;$F$374,"On time",(IF(DAY(J364-$F$374)&lt;1,"On time",(IF(J364&gt;$F$374,"DELAY ( "&amp;DAY(J364-$F$374)&amp;" day "&amp;HOUR(J364-$F$374)&amp;" hour "&amp;MINUTE(J364-$F$374)&amp;" minute )","xxx"))))))</f>
        <v xml:space="preserve"> </v>
      </c>
      <c r="O364" s="32"/>
      <c r="P364" s="415"/>
      <c r="Q364" s="415"/>
      <c r="R364" s="415"/>
      <c r="S364" s="63"/>
      <c r="T364" s="416">
        <f>SUM(T355:T362)</f>
        <v>7512.2619999999997</v>
      </c>
      <c r="U364" s="416">
        <f t="shared" ref="U364:AY364" si="24">SUM(U355:U362)</f>
        <v>0</v>
      </c>
      <c r="V364" s="416">
        <f t="shared" si="24"/>
        <v>0</v>
      </c>
      <c r="W364" s="416">
        <f t="shared" si="24"/>
        <v>0</v>
      </c>
      <c r="X364" s="416">
        <f t="shared" si="24"/>
        <v>7500.61</v>
      </c>
      <c r="Y364" s="416">
        <f t="shared" si="24"/>
        <v>0</v>
      </c>
      <c r="Z364" s="416">
        <f t="shared" si="24"/>
        <v>0</v>
      </c>
      <c r="AA364" s="416">
        <f t="shared" si="24"/>
        <v>0</v>
      </c>
      <c r="AB364" s="416">
        <f t="shared" si="24"/>
        <v>23478.21</v>
      </c>
      <c r="AC364" s="416">
        <f t="shared" si="24"/>
        <v>6007.6729999999998</v>
      </c>
      <c r="AD364" s="416">
        <f t="shared" si="24"/>
        <v>0</v>
      </c>
      <c r="AE364" s="416">
        <f t="shared" si="24"/>
        <v>0</v>
      </c>
      <c r="AF364" s="416">
        <f t="shared" si="24"/>
        <v>0</v>
      </c>
      <c r="AG364" s="416">
        <f t="shared" si="24"/>
        <v>0</v>
      </c>
      <c r="AH364" s="416">
        <f t="shared" si="24"/>
        <v>0</v>
      </c>
      <c r="AI364" s="416">
        <f t="shared" si="24"/>
        <v>0</v>
      </c>
      <c r="AJ364" s="416">
        <f t="shared" si="24"/>
        <v>0</v>
      </c>
      <c r="AK364" s="416">
        <f t="shared" si="24"/>
        <v>0</v>
      </c>
      <c r="AL364" s="416">
        <f t="shared" si="24"/>
        <v>0</v>
      </c>
      <c r="AM364" s="416">
        <f t="shared" si="24"/>
        <v>0</v>
      </c>
      <c r="AN364" s="416">
        <f t="shared" si="24"/>
        <v>0</v>
      </c>
      <c r="AO364" s="416">
        <f t="shared" si="24"/>
        <v>0</v>
      </c>
      <c r="AP364" s="416">
        <f t="shared" si="24"/>
        <v>0</v>
      </c>
      <c r="AQ364" s="416">
        <f t="shared" si="24"/>
        <v>0</v>
      </c>
      <c r="AR364" s="416">
        <f t="shared" si="24"/>
        <v>0</v>
      </c>
      <c r="AS364" s="416">
        <f t="shared" si="24"/>
        <v>0</v>
      </c>
      <c r="AT364" s="416">
        <f t="shared" si="24"/>
        <v>0</v>
      </c>
      <c r="AU364" s="416">
        <f t="shared" si="24"/>
        <v>0</v>
      </c>
      <c r="AV364" s="416">
        <f t="shared" si="24"/>
        <v>0</v>
      </c>
      <c r="AW364" s="416">
        <f t="shared" si="24"/>
        <v>0</v>
      </c>
      <c r="AX364" s="416">
        <f t="shared" si="24"/>
        <v>0</v>
      </c>
      <c r="AY364" s="416">
        <f t="shared" si="24"/>
        <v>7651.2449999999999</v>
      </c>
      <c r="AZ364" s="416">
        <f>SUM(T364:AY364)</f>
        <v>52150</v>
      </c>
    </row>
    <row r="365" spans="2:52">
      <c r="B365" s="1243" t="s">
        <v>558</v>
      </c>
      <c r="C365" s="1244"/>
      <c r="D365" s="1244"/>
      <c r="E365" s="1244"/>
      <c r="F365" s="1244"/>
      <c r="G365" s="1245"/>
      <c r="H365" s="420">
        <f>H364-L349</f>
        <v>0</v>
      </c>
      <c r="I365" s="294"/>
      <c r="J365" s="295"/>
      <c r="K365" s="295"/>
      <c r="L365" s="296"/>
      <c r="M365" s="32"/>
      <c r="N365" s="32"/>
      <c r="O365" s="32"/>
      <c r="P365" s="32"/>
      <c r="Q365" s="297"/>
      <c r="R365" s="297"/>
      <c r="S365" s="32"/>
      <c r="T365" s="48"/>
      <c r="U365" s="48"/>
      <c r="V365" s="48"/>
      <c r="W365" s="48"/>
      <c r="X365" s="48"/>
      <c r="Y365" s="48"/>
      <c r="Z365" s="48"/>
      <c r="AA365" s="48"/>
      <c r="AB365" s="48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</row>
    <row r="366" spans="2:52">
      <c r="B366" s="1243" t="s">
        <v>559</v>
      </c>
      <c r="C366" s="1244"/>
      <c r="D366" s="1244"/>
      <c r="E366" s="1244"/>
      <c r="F366" s="1244"/>
      <c r="G366" s="1245"/>
      <c r="H366" s="420">
        <v>1035</v>
      </c>
      <c r="I366" s="52"/>
      <c r="J366" s="53"/>
      <c r="K366" s="53"/>
      <c r="L366" s="54"/>
      <c r="M366" s="32"/>
      <c r="N366" s="201"/>
      <c r="O366" s="32"/>
      <c r="P366" s="32"/>
      <c r="Q366" s="32"/>
      <c r="R366" s="32"/>
      <c r="S366" s="32"/>
      <c r="T366" s="48"/>
      <c r="U366" s="48"/>
      <c r="V366" s="48"/>
      <c r="W366" s="48"/>
      <c r="X366" s="48"/>
      <c r="Y366" s="48"/>
      <c r="Z366" s="48"/>
      <c r="AA366" s="48"/>
      <c r="AB366" s="48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</row>
    <row r="367" spans="2:52">
      <c r="B367" s="1243" t="s">
        <v>560</v>
      </c>
      <c r="C367" s="1244"/>
      <c r="D367" s="1244"/>
      <c r="E367" s="1244"/>
      <c r="F367" s="1244"/>
      <c r="G367" s="1245"/>
      <c r="H367" s="421">
        <f>H366-1463.298</f>
        <v>-428.298</v>
      </c>
      <c r="I367" s="270"/>
      <c r="J367" s="53"/>
      <c r="K367" s="53"/>
      <c r="L367" s="54"/>
      <c r="M367" s="32"/>
      <c r="N367" s="32"/>
      <c r="O367" s="32"/>
      <c r="P367" s="32"/>
      <c r="Q367" s="32"/>
      <c r="R367" s="32"/>
      <c r="S367" s="48"/>
      <c r="T367" s="48"/>
      <c r="U367" s="48"/>
      <c r="V367" s="48"/>
      <c r="W367" s="48"/>
      <c r="X367" s="48"/>
      <c r="Y367" s="48"/>
      <c r="Z367" s="48"/>
      <c r="AA367" s="48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</row>
    <row r="368" spans="2:52">
      <c r="B368" s="201"/>
      <c r="C368" s="201"/>
      <c r="D368" s="201"/>
      <c r="E368" s="201"/>
      <c r="F368" s="201"/>
      <c r="G368" s="201"/>
      <c r="H368" s="201"/>
      <c r="I368" s="213"/>
      <c r="J368" s="209"/>
      <c r="K368" s="209"/>
      <c r="L368" s="203"/>
      <c r="M368" s="201"/>
      <c r="N368" s="201"/>
      <c r="O368" s="209"/>
      <c r="P368" s="32"/>
      <c r="Q368" s="32"/>
      <c r="R368" s="32"/>
      <c r="S368" s="32"/>
      <c r="T368" s="48"/>
      <c r="U368" s="48"/>
      <c r="V368" s="48"/>
      <c r="W368" s="48"/>
      <c r="X368" s="48"/>
      <c r="Y368" s="48"/>
      <c r="Z368" s="48"/>
      <c r="AA368" s="48"/>
      <c r="AB368" s="48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</row>
    <row r="369" spans="2:56">
      <c r="B369" s="40" t="s">
        <v>561</v>
      </c>
      <c r="C369" s="40"/>
      <c r="D369" s="32"/>
      <c r="E369" s="32"/>
      <c r="F369" s="32"/>
      <c r="G369" s="32"/>
      <c r="H369" s="32"/>
      <c r="I369" s="32"/>
      <c r="J369" s="52"/>
      <c r="K369" s="52"/>
      <c r="L369" s="55"/>
      <c r="M369" s="32"/>
      <c r="N369" s="201"/>
      <c r="O369" s="5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  <c r="AA369" s="202"/>
      <c r="AB369" s="201"/>
      <c r="AC369" s="201"/>
      <c r="AD369" s="201"/>
      <c r="AE369" s="201"/>
      <c r="AF369" s="201"/>
      <c r="AG369" s="201"/>
      <c r="AH369" s="201"/>
      <c r="AI369" s="201"/>
      <c r="AJ369" s="201"/>
      <c r="AK369" s="201"/>
      <c r="AL369" s="201"/>
      <c r="AM369" s="201"/>
      <c r="AN369" s="201"/>
      <c r="AO369" s="201"/>
      <c r="AP369" s="201"/>
      <c r="AQ369" s="201"/>
      <c r="AR369" s="201"/>
      <c r="AS369" s="201"/>
      <c r="AT369" s="201"/>
      <c r="AU369" s="201"/>
      <c r="AZ369" s="201"/>
    </row>
    <row r="370" spans="2:56">
      <c r="B370" s="422">
        <v>1</v>
      </c>
      <c r="C370" s="1249" t="s">
        <v>1736</v>
      </c>
      <c r="D370" s="1249"/>
      <c r="E370" s="1249"/>
      <c r="F370" s="1249"/>
      <c r="G370" s="1249"/>
      <c r="H370" s="1249"/>
      <c r="I370" s="1249"/>
      <c r="J370" s="1249"/>
      <c r="K370" s="1249"/>
      <c r="L370" s="203"/>
      <c r="M370" s="203"/>
      <c r="N370" s="201"/>
      <c r="O370" s="209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  <c r="AA370" s="202"/>
      <c r="AB370" s="201"/>
      <c r="AC370" s="201"/>
      <c r="AD370" s="201"/>
      <c r="AE370" s="201"/>
      <c r="AF370" s="201"/>
      <c r="AG370" s="201"/>
      <c r="AH370" s="201"/>
      <c r="AI370" s="201"/>
      <c r="AJ370" s="201"/>
      <c r="AK370" s="201"/>
      <c r="AL370" s="201"/>
      <c r="AM370" s="201"/>
      <c r="AN370" s="201"/>
      <c r="AO370" s="201"/>
      <c r="AP370" s="201"/>
      <c r="AQ370" s="201"/>
      <c r="AR370" s="201"/>
      <c r="AS370" s="201"/>
      <c r="AT370" s="201"/>
      <c r="AU370" s="201"/>
      <c r="AV370" s="201"/>
      <c r="AW370" s="201"/>
      <c r="AX370" s="201"/>
      <c r="AY370" s="201"/>
      <c r="AZ370" s="201"/>
    </row>
    <row r="372" spans="2:56">
      <c r="B372" s="28" t="s">
        <v>126</v>
      </c>
      <c r="C372" s="28"/>
      <c r="D372" s="29"/>
      <c r="E372" s="30" t="s">
        <v>511</v>
      </c>
      <c r="F372" s="31" t="s">
        <v>1600</v>
      </c>
      <c r="G372" s="32"/>
      <c r="H372" s="33"/>
      <c r="I372" s="34"/>
      <c r="J372" s="35" t="s">
        <v>513</v>
      </c>
      <c r="K372" s="36" t="s">
        <v>511</v>
      </c>
      <c r="L372" s="37">
        <v>45067.371527777781</v>
      </c>
      <c r="M372" s="32"/>
      <c r="N372" s="32"/>
      <c r="O372" s="206"/>
      <c r="P372" s="205"/>
      <c r="Q372" s="202"/>
      <c r="R372" s="204"/>
      <c r="S372" s="38"/>
      <c r="T372" s="201"/>
      <c r="U372" s="201"/>
      <c r="V372" s="201"/>
      <c r="W372" s="201"/>
      <c r="X372" s="201"/>
      <c r="Y372" s="201"/>
      <c r="Z372" s="201"/>
      <c r="AA372" s="201"/>
      <c r="AB372" s="202"/>
      <c r="AC372" s="202"/>
      <c r="AD372" s="202"/>
      <c r="AE372" s="202"/>
      <c r="AF372" s="202"/>
      <c r="AG372" s="201"/>
      <c r="AH372" s="201"/>
      <c r="AI372" s="201"/>
      <c r="AJ372" s="201"/>
      <c r="AK372" s="201"/>
      <c r="AL372" s="201"/>
      <c r="AM372" s="201"/>
      <c r="AN372" s="201"/>
      <c r="AO372" s="201"/>
      <c r="AP372" s="201"/>
      <c r="AQ372" s="201"/>
      <c r="AR372" s="201"/>
      <c r="AS372" s="201"/>
      <c r="AT372" s="201"/>
      <c r="AU372" s="201"/>
      <c r="AV372" s="201"/>
      <c r="AW372" s="201"/>
      <c r="AX372" s="201"/>
      <c r="AY372" s="201"/>
      <c r="AZ372" s="201"/>
      <c r="BA372" s="201"/>
      <c r="BB372" s="201"/>
      <c r="BC372" s="201"/>
      <c r="BD372" s="201"/>
    </row>
    <row r="373" spans="2:56">
      <c r="B373" s="35" t="s">
        <v>514</v>
      </c>
      <c r="C373" s="35"/>
      <c r="D373" s="32"/>
      <c r="E373" s="36" t="s">
        <v>511</v>
      </c>
      <c r="F373" s="37" t="s">
        <v>1737</v>
      </c>
      <c r="G373" s="32"/>
      <c r="H373" s="33"/>
      <c r="I373" s="34"/>
      <c r="J373" s="35" t="s">
        <v>516</v>
      </c>
      <c r="K373" s="36" t="s">
        <v>511</v>
      </c>
      <c r="L373" s="37">
        <v>45068.590277777781</v>
      </c>
      <c r="M373" s="32"/>
      <c r="N373" s="32"/>
      <c r="O373" s="206"/>
      <c r="P373" s="205"/>
      <c r="Q373" s="202"/>
      <c r="R373" s="204"/>
      <c r="S373" s="38"/>
      <c r="T373" s="201"/>
      <c r="U373" s="201"/>
      <c r="V373" s="201"/>
      <c r="W373" s="201"/>
      <c r="X373" s="201"/>
      <c r="Y373" s="201"/>
      <c r="Z373" s="201"/>
      <c r="AA373" s="201"/>
      <c r="AB373" s="202"/>
      <c r="AC373" s="202"/>
      <c r="AD373" s="202"/>
      <c r="AE373" s="202"/>
      <c r="AF373" s="202"/>
      <c r="AG373" s="201"/>
      <c r="AH373" s="201"/>
      <c r="AI373" s="201"/>
      <c r="AJ373" s="201"/>
      <c r="AK373" s="201"/>
      <c r="AL373" s="201"/>
      <c r="AM373" s="201"/>
      <c r="AN373" s="201"/>
      <c r="AO373" s="201"/>
      <c r="AP373" s="201"/>
      <c r="AQ373" s="201"/>
      <c r="AR373" s="201"/>
      <c r="AS373" s="201"/>
      <c r="AT373" s="201"/>
      <c r="AU373" s="201"/>
      <c r="AV373" s="201"/>
      <c r="AW373" s="201"/>
      <c r="AX373" s="201"/>
      <c r="AY373" s="201"/>
      <c r="AZ373" s="201"/>
      <c r="BA373" s="201"/>
      <c r="BB373" s="201"/>
      <c r="BC373" s="201"/>
      <c r="BD373" s="201"/>
    </row>
    <row r="374" spans="2:56">
      <c r="B374" s="35" t="s">
        <v>517</v>
      </c>
      <c r="C374" s="35"/>
      <c r="D374" s="32"/>
      <c r="E374" s="36" t="s">
        <v>511</v>
      </c>
      <c r="F374" s="37">
        <v>45059.291666666664</v>
      </c>
      <c r="G374" s="32"/>
      <c r="H374" s="33"/>
      <c r="I374" s="34"/>
      <c r="J374" s="35" t="s">
        <v>518</v>
      </c>
      <c r="K374" s="36" t="s">
        <v>511</v>
      </c>
      <c r="L374" s="50">
        <v>55750</v>
      </c>
      <c r="M374" s="40" t="s">
        <v>519</v>
      </c>
      <c r="N374" s="40"/>
      <c r="O374" s="206"/>
      <c r="P374" s="205"/>
      <c r="Q374" s="202"/>
      <c r="R374" s="204"/>
      <c r="S374" s="38"/>
      <c r="T374" s="201"/>
      <c r="U374" s="201"/>
      <c r="V374" s="201"/>
      <c r="W374" s="201"/>
      <c r="X374" s="201"/>
      <c r="Y374" s="201"/>
      <c r="Z374" s="201"/>
      <c r="AA374" s="201"/>
      <c r="AB374" s="202"/>
      <c r="AC374" s="202"/>
      <c r="AD374" s="202"/>
      <c r="AE374" s="202"/>
      <c r="AF374" s="202"/>
      <c r="AG374" s="201"/>
      <c r="AH374" s="201"/>
      <c r="AI374" s="201"/>
      <c r="AJ374" s="201"/>
      <c r="AK374" s="201"/>
      <c r="AL374" s="201"/>
      <c r="AM374" s="201"/>
      <c r="AN374" s="201"/>
      <c r="AO374" s="201"/>
      <c r="AP374" s="201"/>
      <c r="AQ374" s="201"/>
      <c r="AR374" s="201"/>
      <c r="AS374" s="201"/>
      <c r="AT374" s="201"/>
      <c r="AU374" s="201"/>
      <c r="AV374" s="201"/>
      <c r="AW374" s="201"/>
      <c r="AX374" s="201"/>
      <c r="AY374" s="201"/>
      <c r="AZ374" s="201"/>
      <c r="BA374" s="201"/>
      <c r="BB374" s="201"/>
      <c r="BC374" s="201"/>
      <c r="BD374" s="201"/>
    </row>
    <row r="375" spans="2:56">
      <c r="B375" s="35" t="s">
        <v>520</v>
      </c>
      <c r="C375" s="35"/>
      <c r="D375" s="32"/>
      <c r="E375" s="36" t="s">
        <v>511</v>
      </c>
      <c r="F375" s="37" t="s">
        <v>20</v>
      </c>
      <c r="G375" s="32"/>
      <c r="H375" s="33"/>
      <c r="I375" s="34"/>
      <c r="J375" s="35" t="s">
        <v>521</v>
      </c>
      <c r="K375" s="36" t="s">
        <v>511</v>
      </c>
      <c r="L375" s="41" t="s">
        <v>1738</v>
      </c>
      <c r="M375" s="32"/>
      <c r="N375" s="32"/>
      <c r="O375" s="206"/>
      <c r="P375" s="202"/>
      <c r="Q375" s="202"/>
      <c r="R375" s="204"/>
      <c r="S375" s="38"/>
      <c r="T375" s="201"/>
      <c r="U375" s="201"/>
      <c r="V375" s="201"/>
      <c r="W375" s="201"/>
      <c r="X375" s="201"/>
      <c r="Y375" s="201"/>
      <c r="Z375" s="201"/>
      <c r="AA375" s="201"/>
      <c r="AB375" s="202"/>
      <c r="AC375" s="202"/>
      <c r="AD375" s="202"/>
      <c r="AE375" s="202"/>
      <c r="AF375" s="202"/>
      <c r="AG375" s="201"/>
      <c r="AH375" s="201"/>
      <c r="AI375" s="201"/>
      <c r="AJ375" s="201"/>
      <c r="AK375" s="201"/>
      <c r="AL375" s="201"/>
      <c r="AM375" s="201"/>
      <c r="AN375" s="201"/>
      <c r="AO375" s="201"/>
      <c r="AP375" s="201"/>
      <c r="AQ375" s="201"/>
      <c r="AR375" s="201"/>
      <c r="AS375" s="201"/>
      <c r="AT375" s="201"/>
      <c r="AU375" s="201"/>
      <c r="AV375" s="201"/>
      <c r="AW375" s="201"/>
      <c r="AX375" s="201"/>
      <c r="AY375" s="201"/>
      <c r="AZ375" s="201"/>
      <c r="BA375" s="201"/>
      <c r="BB375" s="201"/>
      <c r="BC375" s="201"/>
      <c r="BD375" s="201"/>
    </row>
    <row r="376" spans="2:56">
      <c r="B376" s="35" t="s">
        <v>523</v>
      </c>
      <c r="C376" s="35"/>
      <c r="D376" s="32"/>
      <c r="E376" s="36" t="s">
        <v>511</v>
      </c>
      <c r="F376" s="37" t="s">
        <v>47</v>
      </c>
      <c r="G376" s="32"/>
      <c r="H376" s="33"/>
      <c r="I376" s="34"/>
      <c r="J376" s="42" t="s">
        <v>524</v>
      </c>
      <c r="K376" s="36" t="s">
        <v>511</v>
      </c>
      <c r="L376" s="43" t="s">
        <v>11</v>
      </c>
      <c r="M376" s="44"/>
      <c r="N376" s="44"/>
      <c r="O376" s="206"/>
      <c r="P376" s="205"/>
      <c r="Q376" s="202"/>
      <c r="R376" s="204"/>
      <c r="S376" s="38"/>
      <c r="T376" s="201"/>
      <c r="U376" s="201"/>
      <c r="V376" s="201"/>
      <c r="W376" s="201"/>
      <c r="X376" s="201"/>
      <c r="Y376" s="201"/>
      <c r="Z376" s="201"/>
      <c r="AA376" s="201"/>
      <c r="AB376" s="202"/>
      <c r="AC376" s="202"/>
      <c r="AD376" s="202"/>
      <c r="AE376" s="202"/>
      <c r="AF376" s="202"/>
      <c r="AG376" s="201"/>
      <c r="AH376" s="201"/>
      <c r="AI376" s="201"/>
      <c r="AJ376" s="201"/>
      <c r="AK376" s="201"/>
      <c r="AL376" s="201"/>
      <c r="AM376" s="201"/>
      <c r="AN376" s="201"/>
      <c r="AO376" s="201"/>
      <c r="AP376" s="201"/>
      <c r="AQ376" s="201"/>
      <c r="AR376" s="201"/>
      <c r="AS376" s="201"/>
      <c r="AT376" s="201"/>
      <c r="AU376" s="201"/>
      <c r="AV376" s="201"/>
      <c r="AW376" s="201"/>
      <c r="AX376" s="201"/>
      <c r="AY376" s="201"/>
      <c r="AZ376" s="201"/>
      <c r="BA376" s="201"/>
      <c r="BB376" s="201"/>
      <c r="BC376" s="201"/>
      <c r="BD376" s="201"/>
    </row>
    <row r="377" spans="2:56">
      <c r="B377" s="35" t="s">
        <v>2</v>
      </c>
      <c r="C377" s="35"/>
      <c r="D377" s="32"/>
      <c r="E377" s="36" t="s">
        <v>511</v>
      </c>
      <c r="F377" s="37" t="s">
        <v>14</v>
      </c>
      <c r="G377" s="32"/>
      <c r="H377" s="33"/>
      <c r="I377" s="45"/>
      <c r="J377" s="42"/>
      <c r="K377" s="36"/>
      <c r="L377" s="211"/>
      <c r="M377" s="201"/>
      <c r="N377" s="201"/>
      <c r="O377" s="42"/>
      <c r="P377" s="44"/>
      <c r="Q377" s="44"/>
      <c r="R377" s="44"/>
      <c r="S377" s="34"/>
      <c r="T377" s="201"/>
      <c r="U377" s="201"/>
      <c r="V377" s="201"/>
      <c r="W377" s="201"/>
      <c r="X377" s="201"/>
      <c r="Y377" s="201"/>
      <c r="Z377" s="201"/>
      <c r="AA377" s="201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201"/>
      <c r="AP377" s="201"/>
      <c r="AQ377" s="201"/>
      <c r="AR377" s="201"/>
      <c r="AS377" s="201"/>
      <c r="AT377" s="201"/>
      <c r="AU377" s="201"/>
      <c r="AV377" s="201"/>
      <c r="AW377" s="201"/>
      <c r="AX377" s="201"/>
      <c r="AY377" s="201"/>
      <c r="AZ377" s="201"/>
      <c r="BA377" s="201"/>
      <c r="BB377" s="201"/>
      <c r="BC377" s="201"/>
      <c r="BD377" s="201"/>
    </row>
    <row r="378" spans="2:56">
      <c r="B378" s="201"/>
      <c r="C378" s="201"/>
      <c r="D378" s="201"/>
      <c r="E378" s="201"/>
      <c r="F378" s="201"/>
      <c r="G378" s="201"/>
      <c r="H378" s="201"/>
      <c r="I378" s="45"/>
      <c r="J378" s="42"/>
      <c r="K378" s="42"/>
      <c r="L378" s="43"/>
      <c r="M378" s="44"/>
      <c r="N378" s="44"/>
      <c r="O378" s="42"/>
      <c r="P378" s="44"/>
      <c r="Q378" s="44"/>
      <c r="R378" s="44"/>
      <c r="S378" s="34"/>
      <c r="T378" s="1265" t="s">
        <v>87</v>
      </c>
      <c r="U378" s="1265"/>
      <c r="V378" s="1265"/>
      <c r="W378" s="1265"/>
      <c r="X378" s="1265"/>
      <c r="Y378" s="1265" t="s">
        <v>73</v>
      </c>
      <c r="Z378" s="1265"/>
      <c r="AA378" s="1265"/>
      <c r="AB378" s="1265" t="s">
        <v>74</v>
      </c>
      <c r="AC378" s="1265"/>
      <c r="AD378" s="423" t="s">
        <v>85</v>
      </c>
      <c r="AE378" s="423" t="s">
        <v>77</v>
      </c>
      <c r="AF378" s="1265" t="s">
        <v>525</v>
      </c>
      <c r="AG378" s="1265"/>
      <c r="AH378" s="1265"/>
      <c r="AI378" s="1265"/>
      <c r="AJ378" s="1265"/>
      <c r="AK378" s="1265"/>
      <c r="AL378" s="1265"/>
      <c r="AM378" s="1265"/>
      <c r="AN378" s="1265"/>
      <c r="AO378" s="1265"/>
      <c r="AP378" s="1265"/>
      <c r="AQ378" s="1265"/>
      <c r="AR378" s="1265"/>
      <c r="AS378" s="1265"/>
      <c r="AT378" s="1265"/>
      <c r="AU378" s="1265"/>
      <c r="AV378" s="1265"/>
      <c r="AW378" s="1265"/>
      <c r="AX378" s="1265"/>
      <c r="AY378" s="1265"/>
      <c r="AZ378" s="1265"/>
      <c r="BA378" s="1265"/>
      <c r="BB378" s="1265"/>
      <c r="BC378" s="1265"/>
      <c r="BD378" s="201"/>
    </row>
    <row r="379" spans="2:56">
      <c r="B379" s="1266" t="s">
        <v>526</v>
      </c>
      <c r="C379" s="1267"/>
      <c r="D379" s="570" t="s">
        <v>527</v>
      </c>
      <c r="E379" s="570"/>
      <c r="F379" s="570" t="s">
        <v>528</v>
      </c>
      <c r="G379" s="570" t="s">
        <v>529</v>
      </c>
      <c r="H379" s="570" t="s">
        <v>530</v>
      </c>
      <c r="I379" s="570" t="s">
        <v>531</v>
      </c>
      <c r="J379" s="570" t="s">
        <v>532</v>
      </c>
      <c r="K379" s="570"/>
      <c r="L379" s="570" t="s">
        <v>130</v>
      </c>
      <c r="M379" s="570" t="s">
        <v>533</v>
      </c>
      <c r="N379" s="408" t="str">
        <f>"On time - "&amp;COUNTIF(N380:N387,"On time")&amp;" from "&amp;ROWS(N380:N387)-COUNTIF(N380:N387," ")</f>
        <v>On time - 0 from 7</v>
      </c>
      <c r="O379" s="46"/>
      <c r="P379" s="409" t="s">
        <v>534</v>
      </c>
      <c r="Q379" s="409" t="s">
        <v>535</v>
      </c>
      <c r="R379" s="409" t="s">
        <v>536</v>
      </c>
      <c r="S379" s="32"/>
      <c r="T379" s="424" t="s">
        <v>537</v>
      </c>
      <c r="U379" s="424" t="s">
        <v>538</v>
      </c>
      <c r="V379" s="424" t="s">
        <v>539</v>
      </c>
      <c r="W379" s="424" t="s">
        <v>540</v>
      </c>
      <c r="X379" s="424" t="s">
        <v>541</v>
      </c>
      <c r="Y379" s="424" t="s">
        <v>167</v>
      </c>
      <c r="Z379" s="424" t="s">
        <v>168</v>
      </c>
      <c r="AA379" s="424" t="s">
        <v>169</v>
      </c>
      <c r="AB379" s="424" t="s">
        <v>235</v>
      </c>
      <c r="AC379" s="424" t="s">
        <v>240</v>
      </c>
      <c r="AD379" s="423" t="s">
        <v>85</v>
      </c>
      <c r="AE379" s="424" t="s">
        <v>139</v>
      </c>
      <c r="AF379" s="424" t="s">
        <v>72</v>
      </c>
      <c r="AG379" s="424" t="s">
        <v>88</v>
      </c>
      <c r="AH379" s="424" t="s">
        <v>75</v>
      </c>
      <c r="AI379" s="424" t="s">
        <v>543</v>
      </c>
      <c r="AJ379" s="424" t="s">
        <v>78</v>
      </c>
      <c r="AK379" s="424" t="s">
        <v>76</v>
      </c>
      <c r="AL379" s="424" t="s">
        <v>544</v>
      </c>
      <c r="AM379" s="424" t="s">
        <v>545</v>
      </c>
      <c r="AN379" s="424" t="s">
        <v>86</v>
      </c>
      <c r="AO379" s="424" t="s">
        <v>83</v>
      </c>
      <c r="AP379" s="424" t="s">
        <v>84</v>
      </c>
      <c r="AQ379" s="424" t="s">
        <v>546</v>
      </c>
      <c r="AR379" s="424" t="s">
        <v>81</v>
      </c>
      <c r="AS379" s="424" t="s">
        <v>80</v>
      </c>
      <c r="AT379" s="424" t="s">
        <v>82</v>
      </c>
      <c r="AU379" s="424" t="s">
        <v>181</v>
      </c>
      <c r="AV379" s="424" t="s">
        <v>183</v>
      </c>
      <c r="AW379" s="424" t="s">
        <v>547</v>
      </c>
      <c r="AX379" s="424" t="s">
        <v>182</v>
      </c>
      <c r="AY379" s="424" t="s">
        <v>172</v>
      </c>
      <c r="AZ379" s="424" t="s">
        <v>173</v>
      </c>
      <c r="BA379" s="424" t="s">
        <v>184</v>
      </c>
      <c r="BB379" s="424" t="s">
        <v>100</v>
      </c>
      <c r="BC379" s="424" t="s">
        <v>913</v>
      </c>
      <c r="BD379" s="201"/>
    </row>
    <row r="380" spans="2:56">
      <c r="B380" s="1256">
        <v>1</v>
      </c>
      <c r="C380" s="1257"/>
      <c r="D380" s="411" t="s">
        <v>1671</v>
      </c>
      <c r="E380" s="411"/>
      <c r="F380" s="411" t="s">
        <v>334</v>
      </c>
      <c r="G380" s="411" t="s">
        <v>335</v>
      </c>
      <c r="H380" s="412">
        <v>7519.7629999999999</v>
      </c>
      <c r="I380" s="413" t="s">
        <v>494</v>
      </c>
      <c r="J380" s="414">
        <v>45064.208333333336</v>
      </c>
      <c r="K380" s="414"/>
      <c r="L380" s="414" t="s">
        <v>192</v>
      </c>
      <c r="M380" s="414" t="s">
        <v>192</v>
      </c>
      <c r="N380" s="413" t="str">
        <f t="shared" ref="N380:N389" si="25">IF(ISBLANK(J380)," ",IF(J380&lt;$F$374,"On time",(IF(DAY(J380-$F$374)&lt;1,"On time",(IF(J380&gt;$F$374,"DELAY ( "&amp;DAY(J380-$F$374)&amp;" day "&amp;HOUR(J380-$F$374)&amp;" hour "&amp;MINUTE(J380-$F$374)&amp;" minute )","xxx"))))))</f>
        <v>DELAY ( 4 day 22 hour 0 minute )</v>
      </c>
      <c r="O380" s="51"/>
      <c r="P380" s="415" t="s">
        <v>551</v>
      </c>
      <c r="Q380" s="415" t="s">
        <v>551</v>
      </c>
      <c r="R380" s="415" t="s">
        <v>551</v>
      </c>
      <c r="S380" s="32"/>
      <c r="T380" s="416"/>
      <c r="U380" s="416"/>
      <c r="V380" s="416"/>
      <c r="W380" s="416"/>
      <c r="X380" s="416"/>
      <c r="Y380" s="416">
        <f>H380</f>
        <v>7519.7629999999999</v>
      </c>
      <c r="Z380" s="416"/>
      <c r="AA380" s="416"/>
      <c r="AB380" s="416"/>
      <c r="AC380" s="416"/>
      <c r="AD380" s="416"/>
      <c r="AE380" s="416"/>
      <c r="AF380" s="416"/>
      <c r="AG380" s="416"/>
      <c r="AH380" s="416"/>
      <c r="AI380" s="416"/>
      <c r="AJ380" s="416"/>
      <c r="AK380" s="416"/>
      <c r="AL380" s="416"/>
      <c r="AM380" s="416"/>
      <c r="AN380" s="416"/>
      <c r="AO380" s="416"/>
      <c r="AP380" s="416"/>
      <c r="AQ380" s="416"/>
      <c r="AR380" s="416"/>
      <c r="AS380" s="416"/>
      <c r="AT380" s="416"/>
      <c r="AU380" s="416"/>
      <c r="AV380" s="416"/>
      <c r="AW380" s="416"/>
      <c r="AX380" s="416"/>
      <c r="AY380" s="416"/>
      <c r="AZ380" s="416"/>
      <c r="BA380" s="416"/>
      <c r="BB380" s="416"/>
      <c r="BC380" s="416"/>
      <c r="BD380" s="32"/>
    </row>
    <row r="381" spans="2:56">
      <c r="B381" s="1256">
        <v>2</v>
      </c>
      <c r="C381" s="1257"/>
      <c r="D381" s="411" t="s">
        <v>1672</v>
      </c>
      <c r="E381" s="411"/>
      <c r="F381" s="411" t="s">
        <v>238</v>
      </c>
      <c r="G381" s="411" t="s">
        <v>239</v>
      </c>
      <c r="H381" s="412">
        <v>7543.3519999999999</v>
      </c>
      <c r="I381" s="413" t="s">
        <v>494</v>
      </c>
      <c r="J381" s="414">
        <v>45064.333333333336</v>
      </c>
      <c r="K381" s="414"/>
      <c r="L381" s="414" t="s">
        <v>192</v>
      </c>
      <c r="M381" s="414" t="s">
        <v>192</v>
      </c>
      <c r="N381" s="413" t="str">
        <f t="shared" si="25"/>
        <v>DELAY ( 5 day 1 hour 0 minute )</v>
      </c>
      <c r="O381" s="51"/>
      <c r="P381" s="415" t="s">
        <v>551</v>
      </c>
      <c r="Q381" s="415" t="s">
        <v>551</v>
      </c>
      <c r="R381" s="415" t="s">
        <v>551</v>
      </c>
      <c r="S381" s="32"/>
      <c r="T381" s="416"/>
      <c r="U381" s="416"/>
      <c r="V381" s="416"/>
      <c r="W381" s="416"/>
      <c r="X381" s="416"/>
      <c r="Y381" s="416">
        <f>H381</f>
        <v>7543.3519999999999</v>
      </c>
      <c r="Z381" s="416"/>
      <c r="AA381" s="416"/>
      <c r="AB381" s="416"/>
      <c r="AC381" s="416"/>
      <c r="AD381" s="416"/>
      <c r="AE381" s="416"/>
      <c r="AF381" s="416"/>
      <c r="AG381" s="416"/>
      <c r="AH381" s="416"/>
      <c r="AI381" s="416"/>
      <c r="AJ381" s="416"/>
      <c r="AK381" s="416"/>
      <c r="AL381" s="416"/>
      <c r="AM381" s="416"/>
      <c r="AN381" s="416"/>
      <c r="AO381" s="416"/>
      <c r="AP381" s="416"/>
      <c r="AQ381" s="416"/>
      <c r="AR381" s="416"/>
      <c r="AS381" s="416"/>
      <c r="AT381" s="416"/>
      <c r="AU381" s="416"/>
      <c r="AV381" s="416"/>
      <c r="AW381" s="416"/>
      <c r="AX381" s="416"/>
      <c r="AY381" s="416"/>
      <c r="AZ381" s="416"/>
      <c r="BA381" s="416"/>
      <c r="BB381" s="416"/>
      <c r="BC381" s="416"/>
      <c r="BD381" s="32"/>
    </row>
    <row r="382" spans="2:56">
      <c r="B382" s="1256">
        <v>3</v>
      </c>
      <c r="C382" s="1257"/>
      <c r="D382" s="411" t="s">
        <v>1673</v>
      </c>
      <c r="E382" s="411"/>
      <c r="F382" s="411" t="s">
        <v>406</v>
      </c>
      <c r="G382" s="411" t="s">
        <v>407</v>
      </c>
      <c r="H382" s="412">
        <v>7479.17</v>
      </c>
      <c r="I382" s="413" t="s">
        <v>494</v>
      </c>
      <c r="J382" s="414">
        <v>45065.09375</v>
      </c>
      <c r="K382" s="414"/>
      <c r="L382" s="414" t="s">
        <v>192</v>
      </c>
      <c r="M382" s="414" t="s">
        <v>192</v>
      </c>
      <c r="N382" s="413" t="str">
        <f t="shared" si="25"/>
        <v>DELAY ( 5 day 19 hour 15 minute )</v>
      </c>
      <c r="O382" s="51"/>
      <c r="P382" s="415" t="s">
        <v>551</v>
      </c>
      <c r="Q382" s="415" t="s">
        <v>551</v>
      </c>
      <c r="R382" s="415" t="s">
        <v>551</v>
      </c>
      <c r="S382" s="32"/>
      <c r="T382" s="416"/>
      <c r="U382" s="416"/>
      <c r="V382" s="416"/>
      <c r="W382" s="416"/>
      <c r="X382" s="416"/>
      <c r="Y382" s="416">
        <f>H382</f>
        <v>7479.17</v>
      </c>
      <c r="Z382" s="32"/>
      <c r="AA382" s="416"/>
      <c r="AB382" s="32"/>
      <c r="AC382" s="416"/>
      <c r="AD382" s="416"/>
      <c r="AE382" s="416"/>
      <c r="AF382" s="416"/>
      <c r="AG382" s="416"/>
      <c r="AH382" s="416"/>
      <c r="AI382" s="416"/>
      <c r="AJ382" s="286"/>
      <c r="AK382" s="416"/>
      <c r="AL382" s="416"/>
      <c r="AM382" s="416"/>
      <c r="AN382" s="416"/>
      <c r="AO382" s="416"/>
      <c r="AP382" s="416"/>
      <c r="AQ382" s="416"/>
      <c r="AR382" s="416"/>
      <c r="AS382" s="416"/>
      <c r="AT382" s="416"/>
      <c r="AU382" s="416"/>
      <c r="AV382" s="416"/>
      <c r="AW382" s="416"/>
      <c r="AX382" s="416"/>
      <c r="AY382" s="416"/>
      <c r="AZ382" s="416"/>
      <c r="BA382" s="416"/>
      <c r="BB382" s="416"/>
      <c r="BC382" s="416"/>
      <c r="BD382" s="32"/>
    </row>
    <row r="383" spans="2:56">
      <c r="B383" s="1256">
        <v>4</v>
      </c>
      <c r="C383" s="1257"/>
      <c r="D383" s="411" t="s">
        <v>1675</v>
      </c>
      <c r="E383" s="411"/>
      <c r="F383" s="411" t="s">
        <v>271</v>
      </c>
      <c r="G383" s="411" t="s">
        <v>272</v>
      </c>
      <c r="H383" s="412">
        <v>9201.51</v>
      </c>
      <c r="I383" s="413" t="s">
        <v>835</v>
      </c>
      <c r="J383" s="414">
        <v>45065.25</v>
      </c>
      <c r="K383" s="414"/>
      <c r="L383" s="414" t="s">
        <v>192</v>
      </c>
      <c r="M383" s="414" t="s">
        <v>192</v>
      </c>
      <c r="N383" s="413" t="str">
        <f t="shared" si="25"/>
        <v>DELAY ( 5 day 23 hour 0 minute )</v>
      </c>
      <c r="O383" s="51"/>
      <c r="P383" s="415" t="s">
        <v>551</v>
      </c>
      <c r="Q383" s="415" t="s">
        <v>551</v>
      </c>
      <c r="R383" s="415" t="s">
        <v>551</v>
      </c>
      <c r="S383" s="32"/>
      <c r="T383" s="416"/>
      <c r="U383" s="416"/>
      <c r="V383" s="416"/>
      <c r="W383" s="416"/>
      <c r="X383" s="416"/>
      <c r="Y383" s="32"/>
      <c r="Z383" s="416">
        <f>H383</f>
        <v>9201.51</v>
      </c>
      <c r="AA383" s="416"/>
      <c r="AB383" s="416"/>
      <c r="AC383" s="416"/>
      <c r="AD383" s="416"/>
      <c r="AE383" s="416"/>
      <c r="AF383" s="416"/>
      <c r="AG383" s="416"/>
      <c r="AH383" s="416"/>
      <c r="AI383" s="416"/>
      <c r="AJ383" s="416"/>
      <c r="AK383" s="416"/>
      <c r="AL383" s="416"/>
      <c r="AM383" s="416"/>
      <c r="AN383" s="416"/>
      <c r="AO383" s="416"/>
      <c r="AP383" s="416"/>
      <c r="AQ383" s="416"/>
      <c r="AR383" s="416"/>
      <c r="AS383" s="416"/>
      <c r="AT383" s="416"/>
      <c r="AU383" s="416"/>
      <c r="AV383" s="416"/>
      <c r="AW383" s="416"/>
      <c r="AX383" s="416"/>
      <c r="AY383" s="416"/>
      <c r="AZ383" s="416"/>
      <c r="BA383" s="416"/>
      <c r="BB383" s="416"/>
      <c r="BC383" s="416"/>
      <c r="BD383" s="32"/>
    </row>
    <row r="384" spans="2:56">
      <c r="B384" s="1256">
        <v>5</v>
      </c>
      <c r="C384" s="1257"/>
      <c r="D384" s="411" t="s">
        <v>1601</v>
      </c>
      <c r="E384" s="411"/>
      <c r="F384" s="411" t="s">
        <v>70</v>
      </c>
      <c r="G384" s="411" t="s">
        <v>255</v>
      </c>
      <c r="H384" s="412">
        <v>7500</v>
      </c>
      <c r="I384" s="413" t="s">
        <v>76</v>
      </c>
      <c r="J384" s="414">
        <v>45065.989583333336</v>
      </c>
      <c r="K384" s="414"/>
      <c r="L384" s="414" t="s">
        <v>192</v>
      </c>
      <c r="M384" s="414" t="s">
        <v>192</v>
      </c>
      <c r="N384" s="413" t="str">
        <f t="shared" si="25"/>
        <v>DELAY ( 6 day 16 hour 45 minute )</v>
      </c>
      <c r="O384" s="51"/>
      <c r="P384" s="415" t="s">
        <v>551</v>
      </c>
      <c r="Q384" s="415" t="s">
        <v>551</v>
      </c>
      <c r="R384" s="415" t="s">
        <v>551</v>
      </c>
      <c r="S384" s="32"/>
      <c r="T384" s="416"/>
      <c r="U384" s="416"/>
      <c r="V384" s="416"/>
      <c r="W384" s="416"/>
      <c r="X384" s="416"/>
      <c r="Y384" s="416"/>
      <c r="Z384" s="416"/>
      <c r="AA384" s="416"/>
      <c r="AB384" s="416"/>
      <c r="AC384" s="416"/>
      <c r="AD384" s="416"/>
      <c r="AE384" s="416"/>
      <c r="AF384" s="416"/>
      <c r="AG384" s="416"/>
      <c r="AH384" s="416"/>
      <c r="AI384" s="416"/>
      <c r="AJ384" s="416"/>
      <c r="AK384" s="286">
        <f>H384</f>
        <v>7500</v>
      </c>
      <c r="AL384" s="416"/>
      <c r="AM384" s="416"/>
      <c r="AN384" s="416"/>
      <c r="AO384" s="416"/>
      <c r="AP384" s="416"/>
      <c r="AQ384" s="416"/>
      <c r="AR384" s="416"/>
      <c r="AS384" s="416"/>
      <c r="AT384" s="416"/>
      <c r="AU384" s="416"/>
      <c r="AV384" s="416"/>
      <c r="AW384" s="416"/>
      <c r="AX384" s="416"/>
      <c r="AY384" s="32"/>
      <c r="AZ384" s="416"/>
      <c r="BA384" s="416"/>
      <c r="BB384" s="416"/>
      <c r="BC384" s="416"/>
      <c r="BD384" s="32"/>
    </row>
    <row r="385" spans="2:56">
      <c r="B385" s="1256">
        <v>6</v>
      </c>
      <c r="C385" s="1257"/>
      <c r="D385" s="411" t="s">
        <v>1670</v>
      </c>
      <c r="E385" s="411"/>
      <c r="F385" s="411" t="s">
        <v>226</v>
      </c>
      <c r="G385" s="411" t="s">
        <v>227</v>
      </c>
      <c r="H385" s="412">
        <v>7550.9480000000003</v>
      </c>
      <c r="I385" s="413" t="s">
        <v>494</v>
      </c>
      <c r="J385" s="414">
        <v>45066.434027777781</v>
      </c>
      <c r="K385" s="414"/>
      <c r="L385" s="414" t="s">
        <v>192</v>
      </c>
      <c r="M385" s="414" t="s">
        <v>192</v>
      </c>
      <c r="N385" s="413" t="str">
        <f t="shared" si="25"/>
        <v>DELAY ( 7 day 3 hour 25 minute )</v>
      </c>
      <c r="O385" s="51"/>
      <c r="P385" s="415" t="s">
        <v>551</v>
      </c>
      <c r="Q385" s="415" t="s">
        <v>551</v>
      </c>
      <c r="R385" s="415" t="s">
        <v>551</v>
      </c>
      <c r="S385" s="32"/>
      <c r="T385" s="416"/>
      <c r="U385" s="416"/>
      <c r="V385" s="416"/>
      <c r="W385" s="416"/>
      <c r="X385" s="416"/>
      <c r="Y385" s="416">
        <f>H385</f>
        <v>7550.9480000000003</v>
      </c>
      <c r="Z385" s="416"/>
      <c r="AA385" s="416"/>
      <c r="AB385" s="416"/>
      <c r="AC385" s="416"/>
      <c r="AD385" s="416"/>
      <c r="AE385" s="416"/>
      <c r="AF385" s="416"/>
      <c r="AG385" s="416"/>
      <c r="AH385" s="416"/>
      <c r="AI385" s="416"/>
      <c r="AJ385" s="416"/>
      <c r="AK385" s="416"/>
      <c r="AL385" s="416"/>
      <c r="AM385" s="416"/>
      <c r="AN385" s="416"/>
      <c r="AO385" s="416"/>
      <c r="AP385" s="416"/>
      <c r="AQ385" s="416"/>
      <c r="AR385" s="416"/>
      <c r="AS385" s="416"/>
      <c r="AT385" s="416"/>
      <c r="AU385" s="416"/>
      <c r="AV385" s="416"/>
      <c r="AW385" s="416"/>
      <c r="AX385" s="416"/>
      <c r="AY385" s="416"/>
      <c r="AZ385" s="416"/>
      <c r="BA385" s="416"/>
      <c r="BB385" s="416"/>
      <c r="BC385" s="416"/>
      <c r="BD385" s="32"/>
    </row>
    <row r="386" spans="2:56">
      <c r="B386" s="1256">
        <v>7</v>
      </c>
      <c r="C386" s="1257"/>
      <c r="D386" s="411" t="s">
        <v>1674</v>
      </c>
      <c r="E386" s="411"/>
      <c r="F386" s="411" t="s">
        <v>292</v>
      </c>
      <c r="G386" s="411" t="s">
        <v>293</v>
      </c>
      <c r="H386" s="412">
        <v>7455.4560000000001</v>
      </c>
      <c r="I386" s="413" t="s">
        <v>835</v>
      </c>
      <c r="J386" s="414">
        <v>45066.836805555555</v>
      </c>
      <c r="K386" s="414"/>
      <c r="L386" s="414" t="s">
        <v>192</v>
      </c>
      <c r="M386" s="414" t="s">
        <v>192</v>
      </c>
      <c r="N386" s="413" t="str">
        <f t="shared" si="25"/>
        <v>DELAY ( 7 day 13 hour 5 minute )</v>
      </c>
      <c r="O386" s="51"/>
      <c r="P386" s="415" t="s">
        <v>551</v>
      </c>
      <c r="Q386" s="415" t="s">
        <v>551</v>
      </c>
      <c r="R386" s="415" t="s">
        <v>551</v>
      </c>
      <c r="S386" s="32"/>
      <c r="T386" s="416"/>
      <c r="U386" s="416"/>
      <c r="V386" s="416"/>
      <c r="W386" s="416"/>
      <c r="X386" s="416"/>
      <c r="Y386" s="416"/>
      <c r="Z386" s="416">
        <f>H386</f>
        <v>7455.4560000000001</v>
      </c>
      <c r="AA386" s="416"/>
      <c r="AB386" s="416"/>
      <c r="AC386" s="416"/>
      <c r="AD386" s="416"/>
      <c r="AE386" s="416"/>
      <c r="AF386" s="416"/>
      <c r="AG386" s="416"/>
      <c r="AH386" s="416"/>
      <c r="AI386" s="416"/>
      <c r="AJ386" s="416"/>
      <c r="AK386" s="416"/>
      <c r="AL386" s="416"/>
      <c r="AM386" s="416"/>
      <c r="AN386" s="416"/>
      <c r="AO386" s="416"/>
      <c r="AP386" s="416"/>
      <c r="AQ386" s="416"/>
      <c r="AR386" s="416"/>
      <c r="AS386" s="416"/>
      <c r="AT386" s="416"/>
      <c r="AU386" s="416"/>
      <c r="AV386" s="416"/>
      <c r="AW386" s="416"/>
      <c r="AX386" s="416"/>
      <c r="AY386" s="434"/>
      <c r="AZ386" s="416"/>
      <c r="BA386" s="416"/>
      <c r="BB386" s="416"/>
      <c r="BC386" s="416"/>
      <c r="BD386" s="32"/>
    </row>
    <row r="387" spans="2:56">
      <c r="B387" s="1256" t="s">
        <v>610</v>
      </c>
      <c r="C387" s="1276"/>
      <c r="D387" s="1276"/>
      <c r="E387" s="1276"/>
      <c r="F387" s="1276"/>
      <c r="G387" s="1257"/>
      <c r="H387" s="412">
        <f>H389-SUM(H380:H386)</f>
        <v>1499.8009999999995</v>
      </c>
      <c r="I387" s="413" t="s">
        <v>1164</v>
      </c>
      <c r="J387" s="414"/>
      <c r="K387" s="414"/>
      <c r="L387" s="414"/>
      <c r="M387" s="414"/>
      <c r="N387" s="413" t="str">
        <f t="shared" si="25"/>
        <v xml:space="preserve"> </v>
      </c>
      <c r="O387" s="51"/>
      <c r="P387" s="415" t="s">
        <v>551</v>
      </c>
      <c r="Q387" s="415"/>
      <c r="R387" s="415"/>
      <c r="S387" s="32"/>
      <c r="T387" s="416"/>
      <c r="U387" s="416"/>
      <c r="V387" s="416"/>
      <c r="W387" s="416"/>
      <c r="X387" s="416">
        <f>H387</f>
        <v>1499.8009999999995</v>
      </c>
      <c r="Y387" s="416"/>
      <c r="Z387" s="416"/>
      <c r="AA387" s="416"/>
      <c r="AB387" s="416"/>
      <c r="AC387" s="416"/>
      <c r="AD387" s="416"/>
      <c r="AE387" s="416"/>
      <c r="AF387" s="416"/>
      <c r="AG387" s="416"/>
      <c r="AH387" s="416"/>
      <c r="AI387" s="416"/>
      <c r="AJ387" s="416"/>
      <c r="AK387" s="416"/>
      <c r="AL387" s="416"/>
      <c r="AM387" s="416"/>
      <c r="AN387" s="416"/>
      <c r="AO387" s="416"/>
      <c r="AP387" s="416"/>
      <c r="AQ387" s="416"/>
      <c r="AR387" s="416"/>
      <c r="AS387" s="416"/>
      <c r="AT387" s="416"/>
      <c r="AU387" s="416"/>
      <c r="AV387" s="416"/>
      <c r="AW387" s="416"/>
      <c r="AX387" s="416"/>
      <c r="AY387" s="416"/>
      <c r="AZ387" s="416"/>
      <c r="BA387" s="416"/>
      <c r="BB387" s="416"/>
      <c r="BC387" s="416"/>
      <c r="BD387" s="32"/>
    </row>
    <row r="388" spans="2:56">
      <c r="B388" s="1258" t="s">
        <v>556</v>
      </c>
      <c r="C388" s="1259"/>
      <c r="D388" s="1259"/>
      <c r="E388" s="1259"/>
      <c r="F388" s="1259"/>
      <c r="G388" s="1260"/>
      <c r="H388" s="417">
        <f>SUM(H380:H387)</f>
        <v>55750</v>
      </c>
      <c r="I388" s="388"/>
      <c r="J388" s="293"/>
      <c r="K388" s="293"/>
      <c r="L388" s="293"/>
      <c r="M388" s="389"/>
      <c r="N388" s="413" t="str">
        <f t="shared" si="25"/>
        <v xml:space="preserve"> </v>
      </c>
      <c r="O388" s="212"/>
      <c r="P388" s="418"/>
      <c r="Q388" s="418"/>
      <c r="R388" s="418"/>
      <c r="S388" s="207"/>
      <c r="T388" s="1262"/>
      <c r="U388" s="1263"/>
      <c r="V388" s="1263"/>
      <c r="W388" s="1263"/>
      <c r="X388" s="1263"/>
      <c r="Y388" s="1263"/>
      <c r="Z388" s="1263"/>
      <c r="AA388" s="1263"/>
      <c r="AB388" s="1263"/>
      <c r="AC388" s="1263"/>
      <c r="AD388" s="1263"/>
      <c r="AE388" s="1263"/>
      <c r="AF388" s="1263"/>
      <c r="AG388" s="1263"/>
      <c r="AH388" s="1263"/>
      <c r="AI388" s="1263"/>
      <c r="AJ388" s="1263"/>
      <c r="AK388" s="1263"/>
      <c r="AL388" s="1263"/>
      <c r="AM388" s="1263"/>
      <c r="AN388" s="1263"/>
      <c r="AO388" s="1263"/>
      <c r="AP388" s="1263"/>
      <c r="AQ388" s="1263"/>
      <c r="AR388" s="1263"/>
      <c r="AS388" s="1263"/>
      <c r="AT388" s="1263"/>
      <c r="AU388" s="1263"/>
      <c r="AV388" s="1263"/>
      <c r="AW388" s="1263"/>
      <c r="AX388" s="1263"/>
      <c r="AY388" s="1263"/>
      <c r="AZ388" s="1263"/>
      <c r="BA388" s="1263"/>
      <c r="BB388" s="1263"/>
      <c r="BC388" s="1264"/>
    </row>
    <row r="389" spans="2:56">
      <c r="B389" s="1243" t="s">
        <v>557</v>
      </c>
      <c r="C389" s="1244"/>
      <c r="D389" s="1244"/>
      <c r="E389" s="1244"/>
      <c r="F389" s="1244"/>
      <c r="G389" s="1245"/>
      <c r="H389" s="419">
        <v>55750</v>
      </c>
      <c r="I389" s="1273"/>
      <c r="J389" s="1274"/>
      <c r="K389" s="1274"/>
      <c r="L389" s="1274"/>
      <c r="M389" s="1275"/>
      <c r="N389" s="413" t="str">
        <f t="shared" si="25"/>
        <v xml:space="preserve"> </v>
      </c>
      <c r="O389" s="32"/>
      <c r="P389" s="415"/>
      <c r="Q389" s="415"/>
      <c r="R389" s="415"/>
      <c r="S389" s="63"/>
      <c r="T389" s="416">
        <f t="shared" ref="T389:BC389" si="26">SUM(T380:T387)</f>
        <v>0</v>
      </c>
      <c r="U389" s="416">
        <f t="shared" si="26"/>
        <v>0</v>
      </c>
      <c r="V389" s="416">
        <f t="shared" si="26"/>
        <v>0</v>
      </c>
      <c r="W389" s="416">
        <f t="shared" si="26"/>
        <v>0</v>
      </c>
      <c r="X389" s="416">
        <f t="shared" si="26"/>
        <v>1499.8009999999995</v>
      </c>
      <c r="Y389" s="416">
        <f t="shared" si="26"/>
        <v>30093.233</v>
      </c>
      <c r="Z389" s="416">
        <f t="shared" si="26"/>
        <v>16656.966</v>
      </c>
      <c r="AA389" s="416">
        <f t="shared" si="26"/>
        <v>0</v>
      </c>
      <c r="AB389" s="416">
        <f t="shared" si="26"/>
        <v>0</v>
      </c>
      <c r="AC389" s="416">
        <f t="shared" si="26"/>
        <v>0</v>
      </c>
      <c r="AD389" s="416">
        <f t="shared" si="26"/>
        <v>0</v>
      </c>
      <c r="AE389" s="416">
        <f t="shared" si="26"/>
        <v>0</v>
      </c>
      <c r="AF389" s="416">
        <f t="shared" si="26"/>
        <v>0</v>
      </c>
      <c r="AG389" s="416">
        <f t="shared" si="26"/>
        <v>0</v>
      </c>
      <c r="AH389" s="416">
        <f t="shared" si="26"/>
        <v>0</v>
      </c>
      <c r="AI389" s="416">
        <f t="shared" si="26"/>
        <v>0</v>
      </c>
      <c r="AJ389" s="416">
        <f t="shared" si="26"/>
        <v>0</v>
      </c>
      <c r="AK389" s="416">
        <f t="shared" si="26"/>
        <v>7500</v>
      </c>
      <c r="AL389" s="416">
        <f t="shared" si="26"/>
        <v>0</v>
      </c>
      <c r="AM389" s="416">
        <f t="shared" si="26"/>
        <v>0</v>
      </c>
      <c r="AN389" s="416">
        <f t="shared" si="26"/>
        <v>0</v>
      </c>
      <c r="AO389" s="416">
        <f t="shared" si="26"/>
        <v>0</v>
      </c>
      <c r="AP389" s="416">
        <f t="shared" si="26"/>
        <v>0</v>
      </c>
      <c r="AQ389" s="416">
        <f t="shared" si="26"/>
        <v>0</v>
      </c>
      <c r="AR389" s="416">
        <f t="shared" si="26"/>
        <v>0</v>
      </c>
      <c r="AS389" s="416">
        <f t="shared" si="26"/>
        <v>0</v>
      </c>
      <c r="AT389" s="416">
        <f t="shared" si="26"/>
        <v>0</v>
      </c>
      <c r="AU389" s="416">
        <f t="shared" si="26"/>
        <v>0</v>
      </c>
      <c r="AV389" s="416">
        <f t="shared" si="26"/>
        <v>0</v>
      </c>
      <c r="AW389" s="416">
        <f t="shared" si="26"/>
        <v>0</v>
      </c>
      <c r="AX389" s="416">
        <f t="shared" si="26"/>
        <v>0</v>
      </c>
      <c r="AY389" s="416">
        <f t="shared" si="26"/>
        <v>0</v>
      </c>
      <c r="AZ389" s="416">
        <f t="shared" si="26"/>
        <v>0</v>
      </c>
      <c r="BA389" s="416">
        <f t="shared" si="26"/>
        <v>0</v>
      </c>
      <c r="BB389" s="416">
        <f t="shared" si="26"/>
        <v>0</v>
      </c>
      <c r="BC389" s="416">
        <f t="shared" si="26"/>
        <v>0</v>
      </c>
      <c r="BD389" s="416">
        <f>SUM(T389:BC389)</f>
        <v>55750</v>
      </c>
    </row>
    <row r="390" spans="2:56">
      <c r="B390" s="1243" t="s">
        <v>558</v>
      </c>
      <c r="C390" s="1244"/>
      <c r="D390" s="1244"/>
      <c r="E390" s="1244"/>
      <c r="F390" s="1244"/>
      <c r="G390" s="1245"/>
      <c r="H390" s="420">
        <f>H389-L374</f>
        <v>0</v>
      </c>
      <c r="I390" s="294"/>
      <c r="J390" s="295"/>
      <c r="K390" s="295"/>
      <c r="L390" s="296"/>
      <c r="M390" s="32"/>
      <c r="N390" s="32"/>
      <c r="O390" s="32"/>
      <c r="P390" s="32"/>
      <c r="Q390" s="297"/>
      <c r="R390" s="297"/>
      <c r="S390" s="32"/>
      <c r="T390" s="48"/>
      <c r="U390" s="48"/>
      <c r="V390" s="48"/>
      <c r="W390" s="48"/>
      <c r="X390" s="48"/>
      <c r="Y390" s="48"/>
      <c r="Z390" s="48"/>
      <c r="AA390" s="48"/>
      <c r="AB390" s="48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</row>
    <row r="391" spans="2:56">
      <c r="B391" s="1243" t="s">
        <v>559</v>
      </c>
      <c r="C391" s="1244"/>
      <c r="D391" s="1244"/>
      <c r="E391" s="1244"/>
      <c r="F391" s="1244"/>
      <c r="G391" s="1245"/>
      <c r="H391" s="420">
        <f>H388-H389</f>
        <v>0</v>
      </c>
      <c r="I391" s="52"/>
      <c r="J391" s="53"/>
      <c r="K391" s="53"/>
      <c r="L391" s="54"/>
      <c r="M391" s="32"/>
      <c r="N391" s="201"/>
      <c r="O391" s="32"/>
      <c r="P391" s="32"/>
      <c r="Q391" s="32"/>
      <c r="R391" s="32"/>
      <c r="S391" s="32"/>
      <c r="T391" s="48"/>
      <c r="U391" s="48"/>
      <c r="V391" s="48"/>
      <c r="W391" s="48"/>
      <c r="X391" s="48"/>
      <c r="Y391" s="48"/>
      <c r="Z391" s="48"/>
      <c r="AA391" s="48"/>
      <c r="AB391" s="48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</row>
    <row r="392" spans="2:56">
      <c r="B392" s="201"/>
      <c r="C392" s="201"/>
      <c r="D392" s="201"/>
      <c r="E392" s="201"/>
      <c r="F392" s="201"/>
      <c r="G392" s="201"/>
      <c r="H392" s="201"/>
      <c r="I392" s="213"/>
      <c r="J392" s="209"/>
      <c r="K392" s="209"/>
      <c r="L392" s="203"/>
      <c r="M392" s="201"/>
      <c r="N392" s="201"/>
      <c r="O392" s="209"/>
      <c r="P392" s="32"/>
      <c r="Q392" s="32"/>
      <c r="R392" s="32"/>
      <c r="S392" s="32"/>
      <c r="T392" s="48"/>
      <c r="U392" s="48"/>
      <c r="V392" s="48"/>
      <c r="W392" s="48"/>
      <c r="X392" s="48"/>
      <c r="Y392" s="48"/>
      <c r="Z392" s="48"/>
      <c r="AA392" s="48"/>
      <c r="AB392" s="48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</row>
    <row r="393" spans="2:56">
      <c r="B393" s="40" t="s">
        <v>561</v>
      </c>
      <c r="C393" s="40"/>
      <c r="D393" s="32"/>
      <c r="E393" s="32"/>
      <c r="F393" s="32"/>
      <c r="G393" s="32"/>
      <c r="H393" s="32"/>
      <c r="I393" s="32"/>
      <c r="J393" s="52"/>
      <c r="K393" s="52"/>
      <c r="L393" s="55"/>
      <c r="M393" s="32"/>
      <c r="N393" s="201"/>
      <c r="O393" s="5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  <c r="AA393" s="202"/>
      <c r="AB393" s="201"/>
      <c r="AC393" s="201"/>
      <c r="AD393" s="201"/>
      <c r="AE393" s="201"/>
      <c r="AF393" s="201"/>
      <c r="AG393" s="201"/>
      <c r="AH393" s="201"/>
      <c r="AI393" s="201"/>
      <c r="AJ393" s="201"/>
      <c r="AK393" s="201"/>
      <c r="AL393" s="201"/>
      <c r="AM393" s="201"/>
      <c r="AN393" s="201"/>
      <c r="AO393" s="201"/>
      <c r="AP393" s="201"/>
      <c r="AQ393" s="201"/>
      <c r="AR393" s="201"/>
      <c r="AS393" s="201"/>
      <c r="AT393" s="201"/>
      <c r="AU393" s="201"/>
      <c r="BD393" s="201"/>
    </row>
    <row r="394" spans="2:56">
      <c r="B394" s="422"/>
      <c r="C394" s="1249"/>
      <c r="D394" s="1249"/>
      <c r="E394" s="1249"/>
      <c r="F394" s="1249"/>
      <c r="G394" s="1249"/>
      <c r="H394" s="1249"/>
      <c r="I394" s="1249"/>
      <c r="J394" s="1249"/>
      <c r="K394" s="1249"/>
      <c r="L394" s="203"/>
      <c r="M394" s="203"/>
      <c r="N394" s="201"/>
      <c r="O394" s="209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  <c r="AA394" s="202"/>
      <c r="AB394" s="201"/>
      <c r="AC394" s="201"/>
      <c r="AD394" s="201"/>
      <c r="AE394" s="201"/>
      <c r="AF394" s="201"/>
      <c r="AG394" s="201"/>
      <c r="AH394" s="201"/>
      <c r="AI394" s="201"/>
      <c r="AJ394" s="201"/>
      <c r="AK394" s="201"/>
      <c r="AL394" s="201"/>
      <c r="AM394" s="201"/>
      <c r="AN394" s="201"/>
      <c r="AO394" s="201"/>
      <c r="AP394" s="201"/>
      <c r="AQ394" s="201"/>
      <c r="AR394" s="201"/>
      <c r="AS394" s="201"/>
      <c r="AT394" s="201"/>
      <c r="AU394" s="201"/>
      <c r="AV394" s="201"/>
      <c r="AW394" s="201"/>
      <c r="AX394" s="201"/>
      <c r="AY394" s="201"/>
      <c r="AZ394" s="201"/>
      <c r="BA394" s="201"/>
      <c r="BB394" s="201"/>
      <c r="BC394" s="201"/>
      <c r="BD394" s="201"/>
    </row>
    <row r="396" spans="2:56">
      <c r="B396" s="28" t="s">
        <v>2</v>
      </c>
      <c r="C396" s="28"/>
      <c r="D396" s="29"/>
      <c r="E396" s="30" t="s">
        <v>511</v>
      </c>
      <c r="F396" s="31" t="s">
        <v>1493</v>
      </c>
      <c r="G396" s="32"/>
      <c r="H396" s="33"/>
      <c r="I396" s="34"/>
      <c r="J396" s="35" t="s">
        <v>513</v>
      </c>
      <c r="K396" s="36" t="s">
        <v>511</v>
      </c>
      <c r="L396" s="37">
        <v>45068</v>
      </c>
      <c r="M396" s="32"/>
      <c r="N396" s="32"/>
      <c r="O396" s="36"/>
      <c r="P396" s="33"/>
      <c r="Q396" s="48"/>
      <c r="R396" s="49"/>
      <c r="S396" s="38"/>
      <c r="T396" s="32"/>
      <c r="U396" s="32"/>
      <c r="V396" s="32"/>
      <c r="W396" s="32"/>
      <c r="X396" s="32"/>
      <c r="Y396" s="32"/>
      <c r="Z396" s="32"/>
      <c r="AA396" s="32"/>
      <c r="AB396" s="48"/>
      <c r="AC396" s="48"/>
      <c r="AD396" s="48"/>
      <c r="AE396" s="48"/>
      <c r="AF396" s="48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</row>
    <row r="397" spans="2:56">
      <c r="B397" s="35" t="s">
        <v>514</v>
      </c>
      <c r="C397" s="35"/>
      <c r="D397" s="32"/>
      <c r="E397" s="36" t="s">
        <v>511</v>
      </c>
      <c r="F397" s="37" t="s">
        <v>1739</v>
      </c>
      <c r="G397" s="32"/>
      <c r="H397" s="33"/>
      <c r="I397" s="34"/>
      <c r="J397" s="35" t="s">
        <v>516</v>
      </c>
      <c r="K397" s="36" t="s">
        <v>511</v>
      </c>
      <c r="L397" s="37">
        <v>45071.25</v>
      </c>
      <c r="M397" s="32"/>
      <c r="N397" s="32"/>
      <c r="O397" s="36"/>
      <c r="P397" s="33"/>
      <c r="Q397" s="48"/>
      <c r="R397" s="49"/>
      <c r="S397" s="38"/>
      <c r="T397" s="32"/>
      <c r="U397" s="32"/>
      <c r="V397" s="32"/>
      <c r="W397" s="32"/>
      <c r="X397" s="32"/>
      <c r="Y397" s="32"/>
      <c r="Z397" s="32"/>
      <c r="AA397" s="32"/>
      <c r="AB397" s="48"/>
      <c r="AC397" s="48"/>
      <c r="AD397" s="48"/>
      <c r="AE397" s="48"/>
      <c r="AF397" s="48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</row>
    <row r="398" spans="2:56">
      <c r="B398" s="35" t="s">
        <v>517</v>
      </c>
      <c r="C398" s="35"/>
      <c r="D398" s="32"/>
      <c r="E398" s="36" t="s">
        <v>511</v>
      </c>
      <c r="F398" s="37">
        <v>45061.629166666666</v>
      </c>
      <c r="G398" s="32"/>
      <c r="H398" s="33"/>
      <c r="I398" s="34"/>
      <c r="J398" s="35" t="s">
        <v>518</v>
      </c>
      <c r="K398" s="36" t="s">
        <v>511</v>
      </c>
      <c r="L398" s="50">
        <v>68500</v>
      </c>
      <c r="M398" s="40" t="s">
        <v>519</v>
      </c>
      <c r="N398" s="40"/>
      <c r="O398" s="36"/>
      <c r="P398" s="33"/>
      <c r="Q398" s="48"/>
      <c r="R398" s="49"/>
      <c r="S398" s="38"/>
      <c r="T398" s="32"/>
      <c r="U398" s="32"/>
      <c r="V398" s="32"/>
      <c r="W398" s="32"/>
      <c r="X398" s="32"/>
      <c r="Y398" s="32"/>
      <c r="Z398" s="32"/>
      <c r="AA398" s="32"/>
      <c r="AB398" s="48"/>
      <c r="AC398" s="48"/>
      <c r="AD398" s="48"/>
      <c r="AE398" s="48"/>
      <c r="AF398" s="48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</row>
    <row r="399" spans="2:56">
      <c r="B399" s="35" t="s">
        <v>520</v>
      </c>
      <c r="C399" s="35"/>
      <c r="D399" s="32"/>
      <c r="E399" s="36" t="s">
        <v>511</v>
      </c>
      <c r="F399" s="37" t="s">
        <v>8</v>
      </c>
      <c r="G399" s="32"/>
      <c r="H399" s="33"/>
      <c r="I399" s="34"/>
      <c r="J399" s="35" t="s">
        <v>521</v>
      </c>
      <c r="K399" s="36" t="s">
        <v>511</v>
      </c>
      <c r="L399" s="41" t="s">
        <v>1740</v>
      </c>
      <c r="M399" s="32"/>
      <c r="N399" s="32"/>
      <c r="O399" s="36"/>
      <c r="P399" s="48"/>
      <c r="Q399" s="48"/>
      <c r="R399" s="49"/>
      <c r="S399" s="38"/>
      <c r="T399" s="32"/>
      <c r="U399" s="32"/>
      <c r="V399" s="32"/>
      <c r="W399" s="32"/>
      <c r="X399" s="32"/>
      <c r="Y399" s="32"/>
      <c r="Z399" s="32"/>
      <c r="AA399" s="32"/>
      <c r="AB399" s="48"/>
      <c r="AC399" s="48"/>
      <c r="AD399" s="48"/>
      <c r="AE399" s="48"/>
      <c r="AF399" s="48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</row>
    <row r="400" spans="2:56">
      <c r="B400" s="35" t="s">
        <v>523</v>
      </c>
      <c r="C400" s="35"/>
      <c r="D400" s="32"/>
      <c r="E400" s="36" t="s">
        <v>511</v>
      </c>
      <c r="F400" s="37" t="s">
        <v>13</v>
      </c>
      <c r="G400" s="32"/>
      <c r="H400" s="33"/>
      <c r="I400" s="34"/>
      <c r="J400" s="42" t="s">
        <v>524</v>
      </c>
      <c r="K400" s="36" t="s">
        <v>511</v>
      </c>
      <c r="L400" s="43" t="s">
        <v>15</v>
      </c>
      <c r="M400" s="44"/>
      <c r="N400" s="44"/>
      <c r="O400" s="36"/>
      <c r="P400" s="33"/>
      <c r="Q400" s="48"/>
      <c r="R400" s="49"/>
      <c r="S400" s="38"/>
      <c r="T400" s="32"/>
      <c r="U400" s="32"/>
      <c r="V400" s="32"/>
      <c r="W400" s="32"/>
      <c r="X400" s="32"/>
      <c r="Y400" s="32"/>
      <c r="Z400" s="32"/>
      <c r="AA400" s="32"/>
      <c r="AB400" s="48"/>
      <c r="AC400" s="48"/>
      <c r="AD400" s="48"/>
      <c r="AE400" s="48"/>
      <c r="AF400" s="48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</row>
    <row r="401" spans="2:54">
      <c r="B401" s="35" t="s">
        <v>2</v>
      </c>
      <c r="C401" s="35"/>
      <c r="D401" s="32"/>
      <c r="E401" s="36" t="s">
        <v>511</v>
      </c>
      <c r="F401" s="37" t="s">
        <v>14</v>
      </c>
      <c r="G401" s="32"/>
      <c r="H401" s="33"/>
      <c r="I401" s="45"/>
      <c r="J401" s="42"/>
      <c r="K401" s="36"/>
      <c r="L401" s="37"/>
      <c r="M401" s="32"/>
      <c r="N401" s="32"/>
      <c r="O401" s="42"/>
      <c r="P401" s="44"/>
      <c r="Q401" s="44"/>
      <c r="R401" s="44"/>
      <c r="S401" s="34"/>
      <c r="T401" s="32"/>
      <c r="U401" s="32"/>
      <c r="V401" s="32"/>
      <c r="W401" s="32"/>
      <c r="X401" s="32"/>
      <c r="Y401" s="32"/>
      <c r="Z401" s="32"/>
      <c r="AA401" s="32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</row>
    <row r="402" spans="2:54">
      <c r="B402" s="32"/>
      <c r="C402" s="32"/>
      <c r="D402" s="32"/>
      <c r="E402" s="32"/>
      <c r="F402" s="32"/>
      <c r="G402" s="32"/>
      <c r="H402" s="32"/>
      <c r="I402" s="45"/>
      <c r="J402" s="42"/>
      <c r="K402" s="42"/>
      <c r="L402" s="43"/>
      <c r="M402" s="44"/>
      <c r="N402" s="44"/>
      <c r="O402" s="42"/>
      <c r="P402" s="44"/>
      <c r="Q402" s="44"/>
      <c r="R402" s="44"/>
      <c r="S402" s="34"/>
      <c r="T402" s="1270" t="s">
        <v>87</v>
      </c>
      <c r="U402" s="1270"/>
      <c r="V402" s="1270"/>
      <c r="W402" s="1270"/>
      <c r="X402" s="1270"/>
      <c r="Y402" s="1270" t="s">
        <v>73</v>
      </c>
      <c r="Z402" s="1270"/>
      <c r="AA402" s="1270"/>
      <c r="AB402" s="1270" t="s">
        <v>74</v>
      </c>
      <c r="AC402" s="1270"/>
      <c r="AD402" s="407" t="s">
        <v>85</v>
      </c>
      <c r="AE402" s="407" t="s">
        <v>77</v>
      </c>
      <c r="AF402" s="1288" t="s">
        <v>525</v>
      </c>
      <c r="AG402" s="1289"/>
      <c r="AH402" s="1289"/>
      <c r="AI402" s="1289"/>
      <c r="AJ402" s="1289"/>
      <c r="AK402" s="1289"/>
      <c r="AL402" s="1289"/>
      <c r="AM402" s="1289"/>
      <c r="AN402" s="1289"/>
      <c r="AO402" s="1289"/>
      <c r="AP402" s="1289"/>
      <c r="AQ402" s="1289"/>
      <c r="AR402" s="1289"/>
      <c r="AS402" s="1289"/>
      <c r="AT402" s="1289"/>
      <c r="AU402" s="1289"/>
      <c r="AV402" s="1289"/>
      <c r="AW402" s="1289"/>
      <c r="AX402" s="1289"/>
      <c r="AY402" s="1289"/>
      <c r="AZ402" s="1289"/>
      <c r="BA402" s="1289"/>
      <c r="BB402" s="32"/>
    </row>
    <row r="403" spans="2:54">
      <c r="B403" s="1266" t="s">
        <v>526</v>
      </c>
      <c r="C403" s="1267"/>
      <c r="D403" s="570" t="s">
        <v>527</v>
      </c>
      <c r="E403" s="570"/>
      <c r="F403" s="570" t="s">
        <v>528</v>
      </c>
      <c r="G403" s="570" t="s">
        <v>529</v>
      </c>
      <c r="H403" s="570" t="s">
        <v>530</v>
      </c>
      <c r="I403" s="570" t="s">
        <v>531</v>
      </c>
      <c r="J403" s="570" t="s">
        <v>532</v>
      </c>
      <c r="K403" s="570"/>
      <c r="L403" s="570" t="s">
        <v>130</v>
      </c>
      <c r="M403" s="570" t="s">
        <v>533</v>
      </c>
      <c r="N403" s="408" t="str">
        <f>"On time - "&amp;COUNTIF(N404:N413,"On time")&amp;" from "&amp;ROWS(N404:N413)-COUNTIF(N404:N413," ")</f>
        <v>On time - 0 from 10</v>
      </c>
      <c r="O403" s="46"/>
      <c r="P403" s="409" t="s">
        <v>534</v>
      </c>
      <c r="Q403" s="409" t="s">
        <v>535</v>
      </c>
      <c r="R403" s="409" t="s">
        <v>536</v>
      </c>
      <c r="S403" s="32"/>
      <c r="T403" s="410" t="s">
        <v>537</v>
      </c>
      <c r="U403" s="410" t="s">
        <v>538</v>
      </c>
      <c r="V403" s="410" t="s">
        <v>539</v>
      </c>
      <c r="W403" s="410" t="s">
        <v>540</v>
      </c>
      <c r="X403" s="410" t="s">
        <v>541</v>
      </c>
      <c r="Y403" s="410" t="s">
        <v>167</v>
      </c>
      <c r="Z403" s="410" t="s">
        <v>168</v>
      </c>
      <c r="AA403" s="410" t="s">
        <v>169</v>
      </c>
      <c r="AB403" s="410" t="s">
        <v>235</v>
      </c>
      <c r="AC403" s="410" t="s">
        <v>240</v>
      </c>
      <c r="AD403" s="407" t="s">
        <v>85</v>
      </c>
      <c r="AE403" s="410" t="s">
        <v>139</v>
      </c>
      <c r="AF403" s="410" t="s">
        <v>72</v>
      </c>
      <c r="AG403" s="410" t="s">
        <v>88</v>
      </c>
      <c r="AH403" s="410" t="s">
        <v>75</v>
      </c>
      <c r="AI403" s="410" t="s">
        <v>543</v>
      </c>
      <c r="AJ403" s="410" t="s">
        <v>78</v>
      </c>
      <c r="AK403" s="410" t="s">
        <v>76</v>
      </c>
      <c r="AL403" s="410" t="s">
        <v>544</v>
      </c>
      <c r="AM403" s="410" t="s">
        <v>545</v>
      </c>
      <c r="AN403" s="410" t="s">
        <v>86</v>
      </c>
      <c r="AO403" s="410" t="s">
        <v>83</v>
      </c>
      <c r="AP403" s="410" t="s">
        <v>84</v>
      </c>
      <c r="AQ403" s="410" t="s">
        <v>546</v>
      </c>
      <c r="AR403" s="410" t="s">
        <v>81</v>
      </c>
      <c r="AS403" s="410" t="s">
        <v>80</v>
      </c>
      <c r="AT403" s="410" t="s">
        <v>82</v>
      </c>
      <c r="AU403" s="410" t="s">
        <v>181</v>
      </c>
      <c r="AV403" s="410" t="s">
        <v>183</v>
      </c>
      <c r="AW403" s="410" t="s">
        <v>547</v>
      </c>
      <c r="AX403" s="410" t="s">
        <v>182</v>
      </c>
      <c r="AY403" s="410" t="s">
        <v>172</v>
      </c>
      <c r="AZ403" s="410" t="s">
        <v>173</v>
      </c>
      <c r="BA403" s="410" t="s">
        <v>184</v>
      </c>
      <c r="BB403" s="32"/>
    </row>
    <row r="404" spans="2:54">
      <c r="B404" s="1250" t="s">
        <v>1416</v>
      </c>
      <c r="C404" s="1251"/>
      <c r="D404" s="411" t="s">
        <v>1494</v>
      </c>
      <c r="E404" s="411"/>
      <c r="F404" s="411" t="s">
        <v>288</v>
      </c>
      <c r="G404" s="411" t="s">
        <v>289</v>
      </c>
      <c r="H404" s="412">
        <v>7649.4620000000004</v>
      </c>
      <c r="I404" s="413" t="s">
        <v>235</v>
      </c>
      <c r="J404" s="414">
        <v>45065.375</v>
      </c>
      <c r="K404" s="414"/>
      <c r="L404" s="414" t="s">
        <v>192</v>
      </c>
      <c r="M404" s="414" t="s">
        <v>192</v>
      </c>
      <c r="N404" s="413" t="str">
        <f>IF(ISBLANK(J404)," ",IF(J404&lt;$F$398,"On time",(IF(DAY(J404-$F$398)&lt;1,"On time",(IF(J404&gt;$F$398,"DELAY ( "&amp;DAY(J404-$F$398)&amp;" day "&amp;HOUR(J404-$F$398)&amp;" hour "&amp;MINUTE(J404-$F$398)&amp;" minute )","xxx"))))))</f>
        <v>DELAY ( 3 day 17 hour 54 minute )</v>
      </c>
      <c r="O404" s="51"/>
      <c r="P404" s="415" t="s">
        <v>551</v>
      </c>
      <c r="Q404" s="415" t="s">
        <v>551</v>
      </c>
      <c r="R404" s="415" t="s">
        <v>551</v>
      </c>
      <c r="S404" s="32"/>
      <c r="T404" s="416"/>
      <c r="U404" s="416"/>
      <c r="V404" s="416"/>
      <c r="W404" s="416"/>
      <c r="X404" s="416"/>
      <c r="Y404" s="416"/>
      <c r="Z404" s="416"/>
      <c r="AA404" s="416"/>
      <c r="AB404" s="416">
        <f>H404</f>
        <v>7649.4620000000004</v>
      </c>
      <c r="AC404" s="416"/>
      <c r="AD404" s="416"/>
      <c r="AE404" s="416"/>
      <c r="AF404" s="416"/>
      <c r="AG404" s="416"/>
      <c r="AH404" s="416"/>
      <c r="AI404" s="416"/>
      <c r="AJ404" s="416"/>
      <c r="AK404" s="416"/>
      <c r="AL404" s="416"/>
      <c r="AM404" s="416"/>
      <c r="AN404" s="416"/>
      <c r="AO404" s="416"/>
      <c r="AP404" s="416"/>
      <c r="AQ404" s="416"/>
      <c r="AR404" s="416"/>
      <c r="AS404" s="416"/>
      <c r="AT404" s="416"/>
      <c r="AU404" s="416"/>
      <c r="AV404" s="416"/>
      <c r="AW404" s="416"/>
      <c r="AX404" s="416"/>
      <c r="AY404" s="416"/>
      <c r="AZ404" s="416"/>
      <c r="BA404" s="416"/>
      <c r="BB404" s="32"/>
    </row>
    <row r="405" spans="2:54">
      <c r="B405" s="1254"/>
      <c r="C405" s="1255"/>
      <c r="D405" s="411" t="s">
        <v>1610</v>
      </c>
      <c r="E405" s="411"/>
      <c r="F405" s="411" t="s">
        <v>505</v>
      </c>
      <c r="G405" s="411" t="s">
        <v>506</v>
      </c>
      <c r="H405" s="412">
        <v>7525.5810000000001</v>
      </c>
      <c r="I405" s="413" t="s">
        <v>172</v>
      </c>
      <c r="J405" s="414">
        <v>45066.173611111109</v>
      </c>
      <c r="K405" s="414"/>
      <c r="L405" s="414" t="s">
        <v>192</v>
      </c>
      <c r="M405" s="414" t="s">
        <v>192</v>
      </c>
      <c r="N405" s="413" t="str">
        <f t="shared" ref="N405:N415" si="27">IF(ISBLANK(J405)," ",IF(J405&lt;$F$398,"On time",(IF(DAY(J405-$F$398)&lt;1,"On time",(IF(J405&gt;$F$398,"DELAY ( "&amp;DAY(J405-$F$398)&amp;" day "&amp;HOUR(J405-$F$398)&amp;" hour "&amp;MINUTE(J405-$F$398)&amp;" minute )","xxx"))))))</f>
        <v>DELAY ( 4 day 13 hour 4 minute )</v>
      </c>
      <c r="O405" s="51"/>
      <c r="P405" s="415" t="s">
        <v>551</v>
      </c>
      <c r="Q405" s="415" t="s">
        <v>551</v>
      </c>
      <c r="R405" s="415" t="s">
        <v>551</v>
      </c>
      <c r="S405" s="32"/>
      <c r="T405" s="416"/>
      <c r="U405" s="416"/>
      <c r="V405" s="416"/>
      <c r="W405" s="416"/>
      <c r="X405" s="416"/>
      <c r="Y405" s="416"/>
      <c r="Z405" s="416"/>
      <c r="AA405" s="416"/>
      <c r="AB405" s="416"/>
      <c r="AC405" s="416"/>
      <c r="AD405" s="416"/>
      <c r="AE405" s="416"/>
      <c r="AF405" s="416"/>
      <c r="AG405" s="416"/>
      <c r="AH405" s="416"/>
      <c r="AI405" s="416"/>
      <c r="AJ405" s="416"/>
      <c r="AK405" s="416"/>
      <c r="AL405" s="416"/>
      <c r="AM405" s="416"/>
      <c r="AN405" s="416"/>
      <c r="AO405" s="416"/>
      <c r="AP405" s="416"/>
      <c r="AQ405" s="416"/>
      <c r="AR405" s="416"/>
      <c r="AS405" s="416"/>
      <c r="AT405" s="416"/>
      <c r="AU405" s="416"/>
      <c r="AV405" s="416"/>
      <c r="AW405" s="416"/>
      <c r="AX405" s="416"/>
      <c r="AY405" s="416">
        <f>H405</f>
        <v>7525.5810000000001</v>
      </c>
      <c r="AZ405" s="416"/>
      <c r="BA405" s="416"/>
      <c r="BB405" s="32"/>
    </row>
    <row r="406" spans="2:54">
      <c r="B406" s="1256" t="s">
        <v>548</v>
      </c>
      <c r="C406" s="1257"/>
      <c r="D406" s="411" t="s">
        <v>1498</v>
      </c>
      <c r="E406" s="411"/>
      <c r="F406" s="411" t="s">
        <v>284</v>
      </c>
      <c r="G406" s="411" t="s">
        <v>285</v>
      </c>
      <c r="H406" s="412">
        <v>9047.6460000000006</v>
      </c>
      <c r="I406" s="413" t="s">
        <v>235</v>
      </c>
      <c r="J406" s="414">
        <v>45066.375</v>
      </c>
      <c r="K406" s="414"/>
      <c r="L406" s="414" t="s">
        <v>192</v>
      </c>
      <c r="M406" s="414" t="s">
        <v>192</v>
      </c>
      <c r="N406" s="413" t="str">
        <f t="shared" si="27"/>
        <v>DELAY ( 4 day 17 hour 54 minute )</v>
      </c>
      <c r="O406" s="51"/>
      <c r="P406" s="415" t="s">
        <v>551</v>
      </c>
      <c r="Q406" s="415" t="s">
        <v>551</v>
      </c>
      <c r="R406" s="415" t="s">
        <v>551</v>
      </c>
      <c r="S406" s="32"/>
      <c r="T406" s="416"/>
      <c r="U406" s="416"/>
      <c r="V406" s="416"/>
      <c r="W406" s="416"/>
      <c r="X406" s="416"/>
      <c r="Y406" s="416"/>
      <c r="Z406" s="416"/>
      <c r="AA406" s="416"/>
      <c r="AB406" s="416">
        <f>H406</f>
        <v>9047.6460000000006</v>
      </c>
      <c r="AC406" s="416"/>
      <c r="AD406" s="416"/>
      <c r="AE406" s="416"/>
      <c r="AF406" s="416"/>
      <c r="AG406" s="416"/>
      <c r="AH406" s="416"/>
      <c r="AI406" s="416"/>
      <c r="AJ406" s="416"/>
      <c r="AK406" s="416"/>
      <c r="AL406" s="416"/>
      <c r="AM406" s="416"/>
      <c r="AN406" s="416"/>
      <c r="AO406" s="416"/>
      <c r="AP406" s="416"/>
      <c r="AQ406" s="416"/>
      <c r="AR406" s="416"/>
      <c r="AS406" s="416"/>
      <c r="AT406" s="416"/>
      <c r="AU406" s="416"/>
      <c r="AV406" s="416"/>
      <c r="AW406" s="416"/>
      <c r="AX406" s="416"/>
      <c r="AY406" s="416"/>
      <c r="AZ406" s="416"/>
      <c r="BA406" s="416"/>
      <c r="BB406" s="32"/>
    </row>
    <row r="407" spans="2:54">
      <c r="B407" s="1256" t="s">
        <v>548</v>
      </c>
      <c r="C407" s="1257"/>
      <c r="D407" s="411" t="s">
        <v>1496</v>
      </c>
      <c r="E407" s="411"/>
      <c r="F407" s="411" t="s">
        <v>349</v>
      </c>
      <c r="G407" s="411" t="s">
        <v>350</v>
      </c>
      <c r="H407" s="412">
        <v>7493.8950000000004</v>
      </c>
      <c r="I407" s="413" t="s">
        <v>235</v>
      </c>
      <c r="J407" s="414">
        <v>45066.430555555555</v>
      </c>
      <c r="K407" s="414"/>
      <c r="L407" s="414" t="s">
        <v>192</v>
      </c>
      <c r="M407" s="414" t="s">
        <v>192</v>
      </c>
      <c r="N407" s="413" t="str">
        <f t="shared" si="27"/>
        <v>DELAY ( 4 day 19 hour 14 minute )</v>
      </c>
      <c r="O407" s="51"/>
      <c r="P407" s="415" t="s">
        <v>551</v>
      </c>
      <c r="Q407" s="415" t="s">
        <v>551</v>
      </c>
      <c r="R407" s="415" t="s">
        <v>551</v>
      </c>
      <c r="S407" s="32"/>
      <c r="T407" s="416"/>
      <c r="U407" s="416"/>
      <c r="V407" s="416"/>
      <c r="W407" s="416"/>
      <c r="X407" s="416"/>
      <c r="Y407" s="416"/>
      <c r="Z407" s="416"/>
      <c r="AA407" s="416"/>
      <c r="AB407" s="416">
        <f>H407</f>
        <v>7493.8950000000004</v>
      </c>
      <c r="AC407" s="416"/>
      <c r="AD407" s="416"/>
      <c r="AE407" s="416"/>
      <c r="AF407" s="416"/>
      <c r="AG407" s="416"/>
      <c r="AH407" s="416"/>
      <c r="AI407" s="416"/>
      <c r="AJ407" s="416"/>
      <c r="AK407" s="416"/>
      <c r="AL407" s="416"/>
      <c r="AM407" s="416"/>
      <c r="AN407" s="416"/>
      <c r="AO407" s="416"/>
      <c r="AP407" s="416"/>
      <c r="AQ407" s="416"/>
      <c r="AR407" s="416"/>
      <c r="AS407" s="416"/>
      <c r="AT407" s="416"/>
      <c r="AU407" s="416"/>
      <c r="AV407" s="416"/>
      <c r="AW407" s="416"/>
      <c r="AX407" s="416"/>
      <c r="AY407" s="416"/>
      <c r="AZ407" s="416"/>
      <c r="BA407" s="416"/>
      <c r="BB407" s="32"/>
    </row>
    <row r="408" spans="2:54">
      <c r="B408" s="1256" t="s">
        <v>548</v>
      </c>
      <c r="C408" s="1257"/>
      <c r="D408" s="411" t="s">
        <v>1495</v>
      </c>
      <c r="E408" s="411"/>
      <c r="F408" s="411" t="s">
        <v>374</v>
      </c>
      <c r="G408" s="411" t="s">
        <v>375</v>
      </c>
      <c r="H408" s="412">
        <v>7501.93</v>
      </c>
      <c r="I408" s="413" t="s">
        <v>235</v>
      </c>
      <c r="J408" s="414">
        <v>45066.458333333336</v>
      </c>
      <c r="K408" s="414"/>
      <c r="L408" s="414" t="s">
        <v>192</v>
      </c>
      <c r="M408" s="414" t="s">
        <v>192</v>
      </c>
      <c r="N408" s="413" t="str">
        <f t="shared" si="27"/>
        <v>DELAY ( 4 day 19 hour 54 minute )</v>
      </c>
      <c r="O408" s="51"/>
      <c r="P408" s="415" t="s">
        <v>551</v>
      </c>
      <c r="Q408" s="415" t="s">
        <v>551</v>
      </c>
      <c r="R408" s="415" t="s">
        <v>551</v>
      </c>
      <c r="S408" s="32"/>
      <c r="T408" s="416"/>
      <c r="U408" s="416"/>
      <c r="V408" s="416"/>
      <c r="W408" s="416"/>
      <c r="X408" s="416"/>
      <c r="Y408" s="416"/>
      <c r="Z408" s="416"/>
      <c r="AA408" s="416"/>
      <c r="AB408" s="416">
        <f>H408</f>
        <v>7501.93</v>
      </c>
      <c r="AC408" s="416"/>
      <c r="AD408" s="416"/>
      <c r="AE408" s="416"/>
      <c r="AF408" s="416"/>
      <c r="AG408" s="416"/>
      <c r="AH408" s="416"/>
      <c r="AI408" s="416"/>
      <c r="AJ408" s="416"/>
      <c r="AK408" s="416"/>
      <c r="AL408" s="416"/>
      <c r="AM408" s="416"/>
      <c r="AN408" s="416"/>
      <c r="AO408" s="416"/>
      <c r="AP408" s="416"/>
      <c r="AQ408" s="416"/>
      <c r="AR408" s="416"/>
      <c r="AS408" s="416"/>
      <c r="AT408" s="416"/>
      <c r="AU408" s="416"/>
      <c r="AV408" s="416"/>
      <c r="AW408" s="416"/>
      <c r="AX408" s="416"/>
      <c r="AY408" s="416"/>
      <c r="AZ408" s="416"/>
      <c r="BA408" s="416"/>
      <c r="BB408" s="32"/>
    </row>
    <row r="409" spans="2:54">
      <c r="B409" s="1256" t="s">
        <v>548</v>
      </c>
      <c r="C409" s="1257"/>
      <c r="D409" s="411" t="s">
        <v>1497</v>
      </c>
      <c r="E409" s="411"/>
      <c r="F409" s="411" t="s">
        <v>343</v>
      </c>
      <c r="G409" s="411" t="s">
        <v>344</v>
      </c>
      <c r="H409" s="412">
        <v>7345.2790000000005</v>
      </c>
      <c r="I409" s="413" t="s">
        <v>235</v>
      </c>
      <c r="J409" s="414">
        <v>45067.416666666664</v>
      </c>
      <c r="K409" s="414"/>
      <c r="L409" s="414" t="s">
        <v>192</v>
      </c>
      <c r="M409" s="414" t="s">
        <v>192</v>
      </c>
      <c r="N409" s="413" t="str">
        <f t="shared" si="27"/>
        <v>DELAY ( 5 day 18 hour 54 minute )</v>
      </c>
      <c r="O409" s="51"/>
      <c r="P409" s="415" t="s">
        <v>551</v>
      </c>
      <c r="Q409" s="415" t="s">
        <v>551</v>
      </c>
      <c r="R409" s="415" t="s">
        <v>551</v>
      </c>
      <c r="S409" s="32"/>
      <c r="T409" s="416"/>
      <c r="U409" s="416"/>
      <c r="V409" s="416"/>
      <c r="W409" s="416"/>
      <c r="X409" s="416"/>
      <c r="Y409" s="416"/>
      <c r="Z409" s="416"/>
      <c r="AA409" s="416"/>
      <c r="AB409" s="416">
        <f>H409</f>
        <v>7345.2790000000005</v>
      </c>
      <c r="AC409" s="416"/>
      <c r="AD409" s="416"/>
      <c r="AE409" s="416"/>
      <c r="AF409" s="416"/>
      <c r="AG409" s="416"/>
      <c r="AH409" s="416"/>
      <c r="AI409" s="416"/>
      <c r="AJ409" s="416"/>
      <c r="AK409" s="416"/>
      <c r="AL409" s="416"/>
      <c r="AM409" s="416"/>
      <c r="AN409" s="416"/>
      <c r="AO409" s="416"/>
      <c r="AP409" s="416"/>
      <c r="AQ409" s="416"/>
      <c r="AR409" s="416"/>
      <c r="AS409" s="416"/>
      <c r="AT409" s="416"/>
      <c r="AU409" s="416"/>
      <c r="AV409" s="416"/>
      <c r="AW409" s="416"/>
      <c r="AX409" s="416"/>
      <c r="AY409" s="416"/>
      <c r="AZ409" s="416"/>
      <c r="BA409" s="416"/>
      <c r="BB409" s="32"/>
    </row>
    <row r="410" spans="2:54">
      <c r="B410" s="1250" t="s">
        <v>1416</v>
      </c>
      <c r="C410" s="1251"/>
      <c r="D410" s="411" t="s">
        <v>1577</v>
      </c>
      <c r="E410" s="411"/>
      <c r="F410" s="411" t="s">
        <v>233</v>
      </c>
      <c r="G410" s="411" t="s">
        <v>234</v>
      </c>
      <c r="H410" s="412">
        <v>7510.6059999999998</v>
      </c>
      <c r="I410" s="413" t="s">
        <v>1578</v>
      </c>
      <c r="J410" s="414">
        <v>45066.479166666664</v>
      </c>
      <c r="K410" s="414"/>
      <c r="L410" s="414" t="s">
        <v>192</v>
      </c>
      <c r="M410" s="414" t="s">
        <v>192</v>
      </c>
      <c r="N410" s="413" t="str">
        <f t="shared" si="27"/>
        <v>DELAY ( 4 day 20 hour 24 minute )</v>
      </c>
      <c r="O410" s="51"/>
      <c r="P410" s="415" t="s">
        <v>551</v>
      </c>
      <c r="Q410" s="415" t="s">
        <v>551</v>
      </c>
      <c r="R410" s="415" t="s">
        <v>551</v>
      </c>
      <c r="S410" s="32"/>
      <c r="T410" s="416">
        <v>4846.9719999999998</v>
      </c>
      <c r="U410" s="416">
        <v>2663.634</v>
      </c>
      <c r="V410" s="416"/>
      <c r="W410" s="416"/>
      <c r="X410" s="416"/>
      <c r="Y410" s="416"/>
      <c r="Z410" s="416"/>
      <c r="AA410" s="416"/>
      <c r="AB410" s="32"/>
      <c r="AC410" s="416"/>
      <c r="AD410" s="416"/>
      <c r="AE410" s="416"/>
      <c r="AF410" s="416"/>
      <c r="AG410" s="416"/>
      <c r="AH410" s="416"/>
      <c r="AI410" s="416"/>
      <c r="AJ410" s="416"/>
      <c r="AK410" s="416"/>
      <c r="AL410" s="416"/>
      <c r="AM410" s="416"/>
      <c r="AN410" s="416"/>
      <c r="AO410" s="416"/>
      <c r="AP410" s="416"/>
      <c r="AQ410" s="416"/>
      <c r="AR410" s="416"/>
      <c r="AS410" s="416"/>
      <c r="AT410" s="416"/>
      <c r="AU410" s="416"/>
      <c r="AV410" s="32"/>
      <c r="AW410" s="416"/>
      <c r="AX410" s="416"/>
      <c r="AY410" s="416"/>
      <c r="AZ410" s="416"/>
      <c r="BA410" s="416"/>
      <c r="BB410" s="32"/>
    </row>
    <row r="411" spans="2:54">
      <c r="B411" s="1254"/>
      <c r="C411" s="1255"/>
      <c r="D411" s="411" t="s">
        <v>1595</v>
      </c>
      <c r="E411" s="411"/>
      <c r="F411" s="411" t="s">
        <v>422</v>
      </c>
      <c r="G411" s="411" t="s">
        <v>275</v>
      </c>
      <c r="H411" s="412">
        <v>7511</v>
      </c>
      <c r="I411" s="413" t="s">
        <v>84</v>
      </c>
      <c r="J411" s="414">
        <v>45067.885416666664</v>
      </c>
      <c r="K411" s="414"/>
      <c r="L411" s="414" t="s">
        <v>192</v>
      </c>
      <c r="M411" s="414" t="s">
        <v>192</v>
      </c>
      <c r="N411" s="413" t="str">
        <f t="shared" si="27"/>
        <v>DELAY ( 6 day 6 hour 9 minute )</v>
      </c>
      <c r="O411" s="51"/>
      <c r="P411" s="415" t="s">
        <v>551</v>
      </c>
      <c r="Q411" s="415" t="s">
        <v>551</v>
      </c>
      <c r="R411" s="415" t="s">
        <v>551</v>
      </c>
      <c r="S411" s="32"/>
      <c r="T411" s="416"/>
      <c r="U411" s="416"/>
      <c r="V411" s="416"/>
      <c r="W411" s="416"/>
      <c r="X411" s="416"/>
      <c r="Y411" s="416"/>
      <c r="Z411" s="416"/>
      <c r="AA411" s="416"/>
      <c r="AB411" s="416"/>
      <c r="AC411" s="416"/>
      <c r="AD411" s="416"/>
      <c r="AE411" s="416"/>
      <c r="AF411" s="416"/>
      <c r="AG411" s="416"/>
      <c r="AH411" s="416"/>
      <c r="AI411" s="416"/>
      <c r="AJ411" s="416"/>
      <c r="AK411" s="416"/>
      <c r="AL411" s="416"/>
      <c r="AM411" s="416"/>
      <c r="AN411" s="416"/>
      <c r="AO411" s="416"/>
      <c r="AP411" s="416">
        <f>H411</f>
        <v>7511</v>
      </c>
      <c r="AQ411" s="416"/>
      <c r="AR411" s="416"/>
      <c r="AS411" s="416"/>
      <c r="AT411" s="416"/>
      <c r="AU411" s="416"/>
      <c r="AV411" s="416"/>
      <c r="AW411" s="416"/>
      <c r="AX411" s="416"/>
      <c r="AY411" s="416"/>
      <c r="AZ411" s="416"/>
      <c r="BA411" s="416"/>
      <c r="BB411" s="32"/>
    </row>
    <row r="412" spans="2:54">
      <c r="B412" s="1256" t="s">
        <v>548</v>
      </c>
      <c r="C412" s="1257"/>
      <c r="D412" s="411" t="s">
        <v>1492</v>
      </c>
      <c r="E412" s="411"/>
      <c r="F412" s="411" t="s">
        <v>295</v>
      </c>
      <c r="G412" s="411" t="s">
        <v>296</v>
      </c>
      <c r="H412" s="412">
        <v>1035</v>
      </c>
      <c r="I412" s="413" t="s">
        <v>235</v>
      </c>
      <c r="J412" s="414">
        <v>45068.472222222219</v>
      </c>
      <c r="K412" s="414"/>
      <c r="L412" s="414" t="s">
        <v>192</v>
      </c>
      <c r="M412" s="414" t="s">
        <v>192</v>
      </c>
      <c r="N412" s="413" t="str">
        <f t="shared" si="27"/>
        <v>DELAY ( 6 day 20 hour 14 minute )</v>
      </c>
      <c r="O412" s="51"/>
      <c r="P412" s="415" t="s">
        <v>551</v>
      </c>
      <c r="Q412" s="415" t="s">
        <v>551</v>
      </c>
      <c r="R412" s="415" t="s">
        <v>551</v>
      </c>
      <c r="S412" s="32"/>
      <c r="T412" s="416"/>
      <c r="U412" s="416"/>
      <c r="V412" s="416"/>
      <c r="W412" s="416"/>
      <c r="X412" s="416"/>
      <c r="Y412" s="416"/>
      <c r="Z412" s="416"/>
      <c r="AA412" s="416"/>
      <c r="AB412" s="416">
        <f>H412</f>
        <v>1035</v>
      </c>
      <c r="AC412" s="416"/>
      <c r="AD412" s="416"/>
      <c r="AE412" s="416"/>
      <c r="AF412" s="416"/>
      <c r="AG412" s="416"/>
      <c r="AH412" s="416"/>
      <c r="AI412" s="416"/>
      <c r="AJ412" s="416"/>
      <c r="AK412" s="416"/>
      <c r="AL412" s="416"/>
      <c r="AM412" s="416"/>
      <c r="AN412" s="416"/>
      <c r="AO412" s="416"/>
      <c r="AP412" s="416"/>
      <c r="AQ412" s="416"/>
      <c r="AR412" s="416"/>
      <c r="AS412" s="416"/>
      <c r="AT412" s="416"/>
      <c r="AU412" s="416"/>
      <c r="AV412" s="416"/>
      <c r="AW412" s="416"/>
      <c r="AX412" s="416"/>
      <c r="AY412" s="416"/>
      <c r="AZ412" s="416"/>
      <c r="BA412" s="416"/>
      <c r="BB412" s="32"/>
    </row>
    <row r="413" spans="2:54">
      <c r="B413" s="1256" t="s">
        <v>548</v>
      </c>
      <c r="C413" s="1257"/>
      <c r="D413" s="411" t="s">
        <v>1511</v>
      </c>
      <c r="E413" s="411"/>
      <c r="F413" s="411" t="s">
        <v>1512</v>
      </c>
      <c r="G413" s="411" t="s">
        <v>1513</v>
      </c>
      <c r="H413" s="412">
        <f>7506.373-1626.772</f>
        <v>5879.6009999999997</v>
      </c>
      <c r="I413" s="413" t="s">
        <v>240</v>
      </c>
      <c r="J413" s="414">
        <v>45069.5</v>
      </c>
      <c r="K413" s="414"/>
      <c r="L413" s="414" t="s">
        <v>192</v>
      </c>
      <c r="M413" s="414" t="s">
        <v>192</v>
      </c>
      <c r="N413" s="413" t="str">
        <f t="shared" si="27"/>
        <v>DELAY ( 7 day 20 hour 54 minute )</v>
      </c>
      <c r="O413" s="51"/>
      <c r="P413" s="415" t="s">
        <v>551</v>
      </c>
      <c r="Q413" s="415" t="s">
        <v>551</v>
      </c>
      <c r="R413" s="415" t="s">
        <v>551</v>
      </c>
      <c r="S413" s="32"/>
      <c r="T413" s="416"/>
      <c r="U413" s="416"/>
      <c r="V413" s="416"/>
      <c r="W413" s="416"/>
      <c r="X413" s="416"/>
      <c r="Y413" s="416"/>
      <c r="Z413" s="416"/>
      <c r="AA413" s="416"/>
      <c r="AB413" s="416"/>
      <c r="AC413" s="416">
        <f>H413</f>
        <v>5879.6009999999997</v>
      </c>
      <c r="AD413" s="416"/>
      <c r="AE413" s="416"/>
      <c r="AF413" s="416"/>
      <c r="AG413" s="416"/>
      <c r="AH413" s="416"/>
      <c r="AI413" s="416"/>
      <c r="AJ413" s="416"/>
      <c r="AK413" s="416"/>
      <c r="AL413" s="416"/>
      <c r="AM413" s="416"/>
      <c r="AN413" s="416"/>
      <c r="AO413" s="416"/>
      <c r="AP413" s="416"/>
      <c r="AQ413" s="416"/>
      <c r="AR413" s="416"/>
      <c r="AS413" s="416"/>
      <c r="AT413" s="416"/>
      <c r="AU413" s="416"/>
      <c r="AV413" s="416"/>
      <c r="AW413" s="416"/>
      <c r="AX413" s="416"/>
      <c r="AY413" s="416"/>
      <c r="AZ413" s="416"/>
      <c r="BA413" s="416"/>
      <c r="BB413" s="32"/>
    </row>
    <row r="414" spans="2:54">
      <c r="B414" s="1258" t="s">
        <v>556</v>
      </c>
      <c r="C414" s="1259"/>
      <c r="D414" s="1259"/>
      <c r="E414" s="1259"/>
      <c r="F414" s="1259"/>
      <c r="G414" s="1260"/>
      <c r="H414" s="417">
        <f>SUM(H404:H413)</f>
        <v>68500</v>
      </c>
      <c r="I414" s="388"/>
      <c r="J414" s="293"/>
      <c r="K414" s="293"/>
      <c r="L414" s="293"/>
      <c r="M414" s="389"/>
      <c r="N414" s="413" t="str">
        <f t="shared" si="27"/>
        <v xml:space="preserve"> </v>
      </c>
      <c r="O414" s="47"/>
      <c r="P414" s="418"/>
      <c r="Q414" s="418"/>
      <c r="R414" s="418"/>
      <c r="S414" s="32"/>
      <c r="T414" s="1261"/>
      <c r="U414" s="1261"/>
      <c r="V414" s="1261"/>
      <c r="W414" s="1261"/>
      <c r="X414" s="1261"/>
      <c r="Y414" s="1261"/>
      <c r="Z414" s="1261"/>
      <c r="AA414" s="1261"/>
      <c r="AB414" s="1261"/>
      <c r="AC414" s="1261"/>
      <c r="AD414" s="1261"/>
      <c r="AE414" s="1261"/>
      <c r="AF414" s="1261"/>
      <c r="AG414" s="1261"/>
      <c r="AH414" s="1261"/>
      <c r="AI414" s="1261"/>
      <c r="AJ414" s="1261"/>
      <c r="AK414" s="1261"/>
      <c r="AL414" s="1261"/>
      <c r="AM414" s="1261"/>
      <c r="AN414" s="1261"/>
      <c r="AO414" s="1261"/>
      <c r="AP414" s="1261"/>
      <c r="AQ414" s="1261"/>
      <c r="AR414" s="1261"/>
      <c r="AS414" s="1261"/>
      <c r="AT414" s="1261"/>
      <c r="AU414" s="1261"/>
      <c r="AV414" s="1261"/>
      <c r="AW414" s="1261"/>
      <c r="AX414" s="1261"/>
      <c r="AY414" s="1261"/>
      <c r="AZ414" s="1261"/>
      <c r="BA414" s="1261"/>
    </row>
    <row r="415" spans="2:54">
      <c r="B415" s="1243" t="s">
        <v>557</v>
      </c>
      <c r="C415" s="1244"/>
      <c r="D415" s="1244"/>
      <c r="E415" s="1244"/>
      <c r="F415" s="1244"/>
      <c r="G415" s="1245"/>
      <c r="H415" s="419">
        <v>68500</v>
      </c>
      <c r="I415" s="1246"/>
      <c r="J415" s="1247"/>
      <c r="K415" s="1247"/>
      <c r="L415" s="1247"/>
      <c r="M415" s="1248"/>
      <c r="N415" s="413" t="str">
        <f t="shared" si="27"/>
        <v xml:space="preserve"> </v>
      </c>
      <c r="O415" s="32"/>
      <c r="P415" s="415"/>
      <c r="Q415" s="415"/>
      <c r="R415" s="415"/>
      <c r="S415" s="63"/>
      <c r="T415" s="416">
        <f>SUM(T404:T413)</f>
        <v>4846.9719999999998</v>
      </c>
      <c r="U415" s="416">
        <f t="shared" ref="U415:BA415" si="28">SUM(U404:U413)</f>
        <v>2663.634</v>
      </c>
      <c r="V415" s="416">
        <f t="shared" si="28"/>
        <v>0</v>
      </c>
      <c r="W415" s="416">
        <f t="shared" si="28"/>
        <v>0</v>
      </c>
      <c r="X415" s="416">
        <f t="shared" si="28"/>
        <v>0</v>
      </c>
      <c r="Y415" s="416">
        <f t="shared" si="28"/>
        <v>0</v>
      </c>
      <c r="Z415" s="416">
        <f t="shared" si="28"/>
        <v>0</v>
      </c>
      <c r="AA415" s="416">
        <f t="shared" si="28"/>
        <v>0</v>
      </c>
      <c r="AB415" s="416">
        <f t="shared" si="28"/>
        <v>40073.212</v>
      </c>
      <c r="AC415" s="416">
        <f t="shared" si="28"/>
        <v>5879.6009999999997</v>
      </c>
      <c r="AD415" s="416">
        <f t="shared" si="28"/>
        <v>0</v>
      </c>
      <c r="AE415" s="416">
        <f t="shared" si="28"/>
        <v>0</v>
      </c>
      <c r="AF415" s="416">
        <f t="shared" si="28"/>
        <v>0</v>
      </c>
      <c r="AG415" s="416">
        <f t="shared" si="28"/>
        <v>0</v>
      </c>
      <c r="AH415" s="416">
        <f t="shared" si="28"/>
        <v>0</v>
      </c>
      <c r="AI415" s="416">
        <f t="shared" si="28"/>
        <v>0</v>
      </c>
      <c r="AJ415" s="416">
        <f t="shared" si="28"/>
        <v>0</v>
      </c>
      <c r="AK415" s="416">
        <f t="shared" si="28"/>
        <v>0</v>
      </c>
      <c r="AL415" s="416">
        <f t="shared" si="28"/>
        <v>0</v>
      </c>
      <c r="AM415" s="416">
        <f t="shared" si="28"/>
        <v>0</v>
      </c>
      <c r="AN415" s="416">
        <f t="shared" si="28"/>
        <v>0</v>
      </c>
      <c r="AO415" s="416">
        <f t="shared" si="28"/>
        <v>0</v>
      </c>
      <c r="AP415" s="416">
        <f t="shared" si="28"/>
        <v>7511</v>
      </c>
      <c r="AQ415" s="416">
        <f t="shared" si="28"/>
        <v>0</v>
      </c>
      <c r="AR415" s="416">
        <f t="shared" si="28"/>
        <v>0</v>
      </c>
      <c r="AS415" s="416">
        <f t="shared" si="28"/>
        <v>0</v>
      </c>
      <c r="AT415" s="416">
        <f t="shared" si="28"/>
        <v>0</v>
      </c>
      <c r="AU415" s="416">
        <f t="shared" si="28"/>
        <v>0</v>
      </c>
      <c r="AV415" s="416">
        <f t="shared" si="28"/>
        <v>0</v>
      </c>
      <c r="AW415" s="416">
        <f t="shared" si="28"/>
        <v>0</v>
      </c>
      <c r="AX415" s="416">
        <f t="shared" si="28"/>
        <v>0</v>
      </c>
      <c r="AY415" s="416">
        <f t="shared" si="28"/>
        <v>7525.5810000000001</v>
      </c>
      <c r="AZ415" s="416">
        <f t="shared" si="28"/>
        <v>0</v>
      </c>
      <c r="BA415" s="416">
        <f t="shared" si="28"/>
        <v>0</v>
      </c>
      <c r="BB415" s="416">
        <f>SUM(T415:BA415)</f>
        <v>68500</v>
      </c>
    </row>
    <row r="416" spans="2:54">
      <c r="B416" s="1243" t="s">
        <v>558</v>
      </c>
      <c r="C416" s="1244"/>
      <c r="D416" s="1244"/>
      <c r="E416" s="1244"/>
      <c r="F416" s="1244"/>
      <c r="G416" s="1245"/>
      <c r="H416" s="420">
        <f>H415-L398</f>
        <v>0</v>
      </c>
      <c r="I416" s="294"/>
      <c r="J416" s="295"/>
      <c r="K416" s="295"/>
      <c r="L416" s="296"/>
      <c r="M416" s="32"/>
      <c r="N416" s="32"/>
      <c r="O416" s="32"/>
      <c r="P416" s="32"/>
      <c r="Q416" s="297"/>
      <c r="R416" s="297"/>
      <c r="S416" s="32"/>
      <c r="T416" s="48"/>
      <c r="U416" s="48"/>
      <c r="V416" s="48"/>
      <c r="W416" s="48"/>
      <c r="X416" s="48"/>
      <c r="Y416" s="48"/>
      <c r="Z416" s="48"/>
      <c r="AA416" s="48"/>
      <c r="AB416" s="48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</row>
    <row r="417" spans="2:54">
      <c r="B417" s="1243" t="s">
        <v>559</v>
      </c>
      <c r="C417" s="1244"/>
      <c r="D417" s="1244"/>
      <c r="E417" s="1244"/>
      <c r="F417" s="1244"/>
      <c r="G417" s="1245"/>
      <c r="H417" s="420">
        <v>1010.6369999999999</v>
      </c>
      <c r="I417" s="52"/>
      <c r="J417" s="53"/>
      <c r="K417" s="53"/>
      <c r="L417" s="54"/>
      <c r="M417" s="32"/>
      <c r="N417" s="32"/>
      <c r="O417" s="32"/>
      <c r="P417" s="32"/>
      <c r="Q417" s="32"/>
      <c r="R417" s="32"/>
      <c r="S417" s="32"/>
      <c r="T417" s="48"/>
      <c r="U417" s="48"/>
      <c r="V417" s="48"/>
      <c r="W417" s="48"/>
      <c r="X417" s="48"/>
      <c r="Y417" s="48"/>
      <c r="Z417" s="48"/>
      <c r="AA417" s="48"/>
      <c r="AB417" s="48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</row>
    <row r="418" spans="2:54">
      <c r="B418" s="1243" t="s">
        <v>560</v>
      </c>
      <c r="C418" s="1244"/>
      <c r="D418" s="1244"/>
      <c r="E418" s="1244"/>
      <c r="F418" s="1244"/>
      <c r="G418" s="1245"/>
      <c r="H418" s="421">
        <f>H417-1626.772</f>
        <v>-616.13499999999999</v>
      </c>
      <c r="I418" s="270"/>
      <c r="J418" s="53"/>
      <c r="K418" s="53"/>
      <c r="L418" s="54"/>
      <c r="M418" s="32"/>
      <c r="N418" s="32"/>
      <c r="O418" s="32"/>
      <c r="P418" s="32"/>
      <c r="Q418" s="32"/>
      <c r="R418" s="32"/>
      <c r="S418" s="48"/>
      <c r="T418" s="48"/>
      <c r="U418" s="48"/>
      <c r="V418" s="48"/>
      <c r="W418" s="48"/>
      <c r="X418" s="48"/>
      <c r="Y418" s="48"/>
      <c r="Z418" s="48"/>
      <c r="AA418" s="48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</row>
    <row r="419" spans="2:54">
      <c r="B419" s="32"/>
      <c r="C419" s="32"/>
      <c r="D419" s="32"/>
      <c r="E419" s="32"/>
      <c r="F419" s="32"/>
      <c r="G419" s="32"/>
      <c r="H419" s="32"/>
      <c r="I419" s="57"/>
      <c r="J419" s="52"/>
      <c r="K419" s="52"/>
      <c r="L419" s="55"/>
      <c r="M419" s="32"/>
      <c r="N419" s="32"/>
      <c r="O419" s="52"/>
      <c r="P419" s="32"/>
      <c r="Q419" s="32"/>
      <c r="R419" s="32"/>
      <c r="S419" s="32"/>
      <c r="T419" s="48"/>
      <c r="U419" s="48"/>
      <c r="V419" s="48"/>
      <c r="W419" s="48"/>
      <c r="X419" s="48"/>
      <c r="Y419" s="48"/>
      <c r="Z419" s="48"/>
      <c r="AA419" s="48"/>
      <c r="AB419" s="48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</row>
    <row r="420" spans="2:54">
      <c r="B420" s="40" t="s">
        <v>561</v>
      </c>
      <c r="C420" s="40"/>
      <c r="D420" s="32"/>
      <c r="E420" s="32"/>
      <c r="F420" s="32"/>
      <c r="G420" s="32"/>
      <c r="H420" s="32"/>
      <c r="I420" s="32"/>
      <c r="J420" s="52"/>
      <c r="K420" s="52"/>
      <c r="L420" s="55"/>
      <c r="M420" s="32"/>
      <c r="N420" s="32"/>
      <c r="O420" s="52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BB420" s="32"/>
    </row>
    <row r="421" spans="2:54">
      <c r="B421" s="422">
        <v>1</v>
      </c>
      <c r="C421" s="1249" t="s">
        <v>1741</v>
      </c>
      <c r="D421" s="1249"/>
      <c r="E421" s="1249"/>
      <c r="F421" s="1249"/>
      <c r="G421" s="1249"/>
      <c r="H421" s="1249"/>
      <c r="I421" s="1249"/>
      <c r="J421" s="1249"/>
      <c r="K421" s="1249"/>
      <c r="L421" s="55"/>
      <c r="M421" s="55"/>
      <c r="N421" s="32"/>
      <c r="O421" s="52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</row>
    <row r="423" spans="2:54">
      <c r="B423" s="28" t="s">
        <v>126</v>
      </c>
      <c r="C423" s="28"/>
      <c r="D423" s="29"/>
      <c r="E423" s="30" t="s">
        <v>511</v>
      </c>
      <c r="F423" s="31" t="s">
        <v>1515</v>
      </c>
      <c r="G423" s="32"/>
      <c r="H423" s="33"/>
      <c r="I423" s="34"/>
      <c r="J423" s="35" t="s">
        <v>513</v>
      </c>
      <c r="K423" s="36" t="s">
        <v>511</v>
      </c>
      <c r="L423" s="37">
        <v>45071.125</v>
      </c>
      <c r="M423" s="32"/>
      <c r="N423" s="32"/>
      <c r="O423" s="206"/>
      <c r="P423" s="205"/>
      <c r="Q423" s="202"/>
      <c r="R423" s="204"/>
      <c r="S423" s="38"/>
      <c r="T423" s="201"/>
      <c r="U423" s="201"/>
      <c r="V423" s="201"/>
      <c r="W423" s="201"/>
      <c r="X423" s="201"/>
      <c r="Y423" s="201"/>
      <c r="Z423" s="201"/>
      <c r="AA423" s="201"/>
      <c r="AB423" s="202"/>
      <c r="AC423" s="202"/>
      <c r="AD423" s="202"/>
      <c r="AE423" s="202"/>
      <c r="AF423" s="202"/>
      <c r="AG423" s="201"/>
      <c r="AH423" s="201"/>
      <c r="AI423" s="201"/>
      <c r="AJ423" s="201"/>
      <c r="AK423" s="201"/>
      <c r="AL423" s="201"/>
      <c r="AM423" s="201"/>
      <c r="AN423" s="201"/>
      <c r="AO423" s="201"/>
      <c r="AP423" s="201"/>
      <c r="AQ423" s="201"/>
      <c r="AR423" s="201"/>
      <c r="AS423" s="201"/>
      <c r="AT423" s="201"/>
      <c r="AU423" s="201"/>
      <c r="AV423" s="201"/>
      <c r="AW423" s="201"/>
      <c r="AX423" s="201"/>
      <c r="AY423" s="201"/>
      <c r="AZ423" s="201"/>
      <c r="BA423" s="201"/>
      <c r="BB423" s="201"/>
    </row>
    <row r="424" spans="2:54">
      <c r="B424" s="35" t="s">
        <v>514</v>
      </c>
      <c r="C424" s="35"/>
      <c r="D424" s="32"/>
      <c r="E424" s="36" t="s">
        <v>511</v>
      </c>
      <c r="F424" s="37" t="s">
        <v>1742</v>
      </c>
      <c r="G424" s="32"/>
      <c r="H424" s="33"/>
      <c r="I424" s="34"/>
      <c r="J424" s="35" t="s">
        <v>516</v>
      </c>
      <c r="K424" s="36" t="s">
        <v>511</v>
      </c>
      <c r="L424" s="37">
        <v>45073.28125</v>
      </c>
      <c r="M424" s="32"/>
      <c r="N424" s="32"/>
      <c r="O424" s="206"/>
      <c r="P424" s="205"/>
      <c r="Q424" s="202"/>
      <c r="R424" s="204"/>
      <c r="S424" s="38"/>
      <c r="T424" s="201"/>
      <c r="U424" s="201"/>
      <c r="V424" s="201"/>
      <c r="W424" s="201"/>
      <c r="X424" s="201"/>
      <c r="Y424" s="201"/>
      <c r="Z424" s="201"/>
      <c r="AA424" s="201"/>
      <c r="AB424" s="202"/>
      <c r="AC424" s="202"/>
      <c r="AD424" s="202"/>
      <c r="AE424" s="202"/>
      <c r="AF424" s="202"/>
      <c r="AG424" s="201"/>
      <c r="AH424" s="201"/>
      <c r="AI424" s="201"/>
      <c r="AJ424" s="201"/>
      <c r="AK424" s="201"/>
      <c r="AL424" s="201"/>
      <c r="AM424" s="201"/>
      <c r="AN424" s="201"/>
      <c r="AO424" s="201"/>
      <c r="AP424" s="201"/>
      <c r="AQ424" s="201"/>
      <c r="AR424" s="201"/>
      <c r="AS424" s="201"/>
      <c r="AT424" s="201"/>
      <c r="AU424" s="201"/>
      <c r="AV424" s="201"/>
      <c r="AW424" s="201"/>
      <c r="AX424" s="201"/>
      <c r="AY424" s="201"/>
      <c r="AZ424" s="201"/>
      <c r="BA424" s="201"/>
      <c r="BB424" s="201"/>
    </row>
    <row r="425" spans="2:54">
      <c r="B425" s="35" t="s">
        <v>517</v>
      </c>
      <c r="C425" s="35"/>
      <c r="D425" s="32"/>
      <c r="E425" s="36" t="s">
        <v>511</v>
      </c>
      <c r="F425" s="37">
        <v>45069.708333333336</v>
      </c>
      <c r="G425" s="32"/>
      <c r="H425" s="33"/>
      <c r="I425" s="34"/>
      <c r="J425" s="35" t="s">
        <v>518</v>
      </c>
      <c r="K425" s="36" t="s">
        <v>511</v>
      </c>
      <c r="L425" s="50">
        <v>67000</v>
      </c>
      <c r="M425" s="40" t="s">
        <v>519</v>
      </c>
      <c r="N425" s="40"/>
      <c r="O425" s="206"/>
      <c r="P425" s="205"/>
      <c r="Q425" s="202"/>
      <c r="R425" s="204"/>
      <c r="S425" s="38"/>
      <c r="T425" s="201"/>
      <c r="U425" s="201"/>
      <c r="V425" s="201"/>
      <c r="W425" s="201"/>
      <c r="X425" s="201"/>
      <c r="Y425" s="201"/>
      <c r="Z425" s="201"/>
      <c r="AA425" s="201"/>
      <c r="AB425" s="202"/>
      <c r="AC425" s="202"/>
      <c r="AD425" s="202"/>
      <c r="AE425" s="202"/>
      <c r="AF425" s="202"/>
      <c r="AG425" s="201"/>
      <c r="AH425" s="201"/>
      <c r="AI425" s="201"/>
      <c r="AJ425" s="201"/>
      <c r="AK425" s="201"/>
      <c r="AL425" s="201"/>
      <c r="AM425" s="201"/>
      <c r="AN425" s="201"/>
      <c r="AO425" s="201"/>
      <c r="AP425" s="201"/>
      <c r="AQ425" s="201"/>
      <c r="AR425" s="201"/>
      <c r="AS425" s="201"/>
      <c r="AT425" s="201"/>
      <c r="AU425" s="201"/>
      <c r="AV425" s="201"/>
      <c r="AW425" s="201"/>
      <c r="AX425" s="201"/>
      <c r="AY425" s="201"/>
      <c r="AZ425" s="201"/>
      <c r="BA425" s="201"/>
      <c r="BB425" s="201"/>
    </row>
    <row r="426" spans="2:54">
      <c r="B426" s="35" t="s">
        <v>520</v>
      </c>
      <c r="C426" s="35"/>
      <c r="D426" s="32"/>
      <c r="E426" s="36" t="s">
        <v>511</v>
      </c>
      <c r="F426" s="37" t="s">
        <v>12</v>
      </c>
      <c r="G426" s="32"/>
      <c r="H426" s="33"/>
      <c r="I426" s="34"/>
      <c r="J426" s="35" t="s">
        <v>521</v>
      </c>
      <c r="K426" s="36" t="s">
        <v>511</v>
      </c>
      <c r="L426" s="41" t="s">
        <v>1743</v>
      </c>
      <c r="M426" s="32"/>
      <c r="N426" s="32"/>
      <c r="O426" s="206"/>
      <c r="P426" s="202"/>
      <c r="Q426" s="202"/>
      <c r="R426" s="204"/>
      <c r="S426" s="38"/>
      <c r="T426" s="201"/>
      <c r="U426" s="201"/>
      <c r="V426" s="201"/>
      <c r="W426" s="201"/>
      <c r="X426" s="201"/>
      <c r="Y426" s="201"/>
      <c r="Z426" s="201"/>
      <c r="AA426" s="201"/>
      <c r="AB426" s="202"/>
      <c r="AC426" s="202"/>
      <c r="AD426" s="202"/>
      <c r="AE426" s="202"/>
      <c r="AF426" s="202"/>
      <c r="AG426" s="201"/>
      <c r="AH426" s="201"/>
      <c r="AI426" s="201"/>
      <c r="AJ426" s="201"/>
      <c r="AK426" s="201"/>
      <c r="AL426" s="201"/>
      <c r="AM426" s="201"/>
      <c r="AN426" s="201"/>
      <c r="AO426" s="201"/>
      <c r="AP426" s="201"/>
      <c r="AQ426" s="201"/>
      <c r="AR426" s="201"/>
      <c r="AS426" s="201"/>
      <c r="AT426" s="201"/>
      <c r="AU426" s="201"/>
      <c r="AV426" s="201"/>
      <c r="AW426" s="201"/>
      <c r="AX426" s="201"/>
      <c r="AY426" s="201"/>
      <c r="AZ426" s="201"/>
      <c r="BA426" s="201"/>
      <c r="BB426" s="201"/>
    </row>
    <row r="427" spans="2:54">
      <c r="B427" s="35" t="s">
        <v>523</v>
      </c>
      <c r="C427" s="35"/>
      <c r="D427" s="32"/>
      <c r="E427" s="36" t="s">
        <v>511</v>
      </c>
      <c r="F427" s="37" t="s">
        <v>41</v>
      </c>
      <c r="G427" s="32"/>
      <c r="H427" s="33"/>
      <c r="I427" s="34"/>
      <c r="J427" s="42" t="s">
        <v>524</v>
      </c>
      <c r="K427" s="36" t="s">
        <v>511</v>
      </c>
      <c r="L427" s="43" t="s">
        <v>15</v>
      </c>
      <c r="M427" s="44"/>
      <c r="N427" s="44"/>
      <c r="O427" s="206"/>
      <c r="P427" s="205"/>
      <c r="Q427" s="202"/>
      <c r="R427" s="204"/>
      <c r="S427" s="38"/>
      <c r="T427" s="201"/>
      <c r="U427" s="201"/>
      <c r="V427" s="201"/>
      <c r="W427" s="201"/>
      <c r="X427" s="201"/>
      <c r="Y427" s="201"/>
      <c r="Z427" s="201"/>
      <c r="AA427" s="201"/>
      <c r="AB427" s="202"/>
      <c r="AC427" s="202"/>
      <c r="AD427" s="202"/>
      <c r="AE427" s="202"/>
      <c r="AF427" s="202"/>
      <c r="AG427" s="201"/>
      <c r="AH427" s="201"/>
      <c r="AI427" s="201"/>
      <c r="AJ427" s="201"/>
      <c r="AK427" s="201"/>
      <c r="AL427" s="201"/>
      <c r="AM427" s="201"/>
      <c r="AN427" s="201"/>
      <c r="AO427" s="201"/>
      <c r="AP427" s="201"/>
      <c r="AQ427" s="201"/>
      <c r="AR427" s="201"/>
      <c r="AS427" s="201"/>
      <c r="AT427" s="201"/>
      <c r="AU427" s="201"/>
      <c r="AV427" s="201"/>
      <c r="AW427" s="201"/>
      <c r="AX427" s="201"/>
      <c r="AY427" s="201"/>
      <c r="AZ427" s="201"/>
      <c r="BA427" s="201"/>
      <c r="BB427" s="201"/>
    </row>
    <row r="428" spans="2:54">
      <c r="B428" s="35" t="s">
        <v>2</v>
      </c>
      <c r="C428" s="35"/>
      <c r="D428" s="32"/>
      <c r="E428" s="36" t="s">
        <v>511</v>
      </c>
      <c r="F428" s="37" t="s">
        <v>42</v>
      </c>
      <c r="G428" s="32"/>
      <c r="H428" s="33"/>
      <c r="I428" s="45"/>
      <c r="J428" s="42"/>
      <c r="K428" s="36"/>
      <c r="L428" s="211"/>
      <c r="M428" s="201"/>
      <c r="N428" s="201"/>
      <c r="O428" s="42"/>
      <c r="P428" s="44"/>
      <c r="Q428" s="44"/>
      <c r="R428" s="44"/>
      <c r="S428" s="34"/>
      <c r="T428" s="201"/>
      <c r="U428" s="201"/>
      <c r="V428" s="201"/>
      <c r="W428" s="201"/>
      <c r="X428" s="201"/>
      <c r="Y428" s="201"/>
      <c r="Z428" s="201"/>
      <c r="AA428" s="201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201"/>
      <c r="AP428" s="201"/>
      <c r="AQ428" s="201"/>
      <c r="AR428" s="201"/>
      <c r="AS428" s="201"/>
      <c r="AT428" s="201"/>
      <c r="AU428" s="201"/>
      <c r="AV428" s="201"/>
      <c r="AW428" s="201"/>
      <c r="AX428" s="201"/>
      <c r="AY428" s="201"/>
      <c r="AZ428" s="201"/>
      <c r="BA428" s="201"/>
      <c r="BB428" s="201"/>
    </row>
    <row r="429" spans="2:54">
      <c r="B429" s="201"/>
      <c r="C429" s="201"/>
      <c r="D429" s="201"/>
      <c r="E429" s="201"/>
      <c r="F429" s="201"/>
      <c r="G429" s="201"/>
      <c r="H429" s="201"/>
      <c r="I429" s="45"/>
      <c r="J429" s="42"/>
      <c r="K429" s="42"/>
      <c r="L429" s="43"/>
      <c r="M429" s="44"/>
      <c r="N429" s="44"/>
      <c r="O429" s="42"/>
      <c r="P429" s="44"/>
      <c r="Q429" s="44"/>
      <c r="R429" s="44"/>
      <c r="S429" s="34"/>
      <c r="T429" s="1265" t="s">
        <v>87</v>
      </c>
      <c r="U429" s="1265"/>
      <c r="V429" s="1265"/>
      <c r="W429" s="1265"/>
      <c r="X429" s="1265"/>
      <c r="Y429" s="1265" t="s">
        <v>73</v>
      </c>
      <c r="Z429" s="1265"/>
      <c r="AA429" s="1265"/>
      <c r="AB429" s="1265" t="s">
        <v>74</v>
      </c>
      <c r="AC429" s="1265"/>
      <c r="AD429" s="423" t="s">
        <v>85</v>
      </c>
      <c r="AE429" s="423" t="s">
        <v>77</v>
      </c>
      <c r="AF429" s="1271" t="s">
        <v>525</v>
      </c>
      <c r="AG429" s="1272"/>
      <c r="AH429" s="1272"/>
      <c r="AI429" s="1272"/>
      <c r="AJ429" s="1272"/>
      <c r="AK429" s="1272"/>
      <c r="AL429" s="1272"/>
      <c r="AM429" s="1272"/>
      <c r="AN429" s="1272"/>
      <c r="AO429" s="1272"/>
      <c r="AP429" s="1272"/>
      <c r="AQ429" s="1272"/>
      <c r="AR429" s="1272"/>
      <c r="AS429" s="1272"/>
      <c r="AT429" s="1272"/>
      <c r="AU429" s="1272"/>
      <c r="AV429" s="1272"/>
      <c r="AW429" s="1272"/>
      <c r="AX429" s="1272"/>
      <c r="AY429" s="1272"/>
      <c r="AZ429" s="1272"/>
      <c r="BA429" s="1272"/>
      <c r="BB429" s="201"/>
    </row>
    <row r="430" spans="2:54">
      <c r="B430" s="1266" t="s">
        <v>526</v>
      </c>
      <c r="C430" s="1267"/>
      <c r="D430" s="570" t="s">
        <v>527</v>
      </c>
      <c r="E430" s="570"/>
      <c r="F430" s="570" t="s">
        <v>528</v>
      </c>
      <c r="G430" s="570" t="s">
        <v>529</v>
      </c>
      <c r="H430" s="570" t="s">
        <v>530</v>
      </c>
      <c r="I430" s="570" t="s">
        <v>531</v>
      </c>
      <c r="J430" s="570" t="s">
        <v>532</v>
      </c>
      <c r="K430" s="570"/>
      <c r="L430" s="570" t="s">
        <v>130</v>
      </c>
      <c r="M430" s="570" t="s">
        <v>533</v>
      </c>
      <c r="N430" s="408" t="str">
        <f>"On time - "&amp;COUNTIF(N431:N442,"On time")&amp;" from "&amp;ROWS(N431:N442)-COUNTIF(N431:N442," ")</f>
        <v>On time - 8 from 10</v>
      </c>
      <c r="O430" s="46"/>
      <c r="P430" s="409" t="s">
        <v>534</v>
      </c>
      <c r="Q430" s="409" t="s">
        <v>535</v>
      </c>
      <c r="R430" s="409" t="s">
        <v>536</v>
      </c>
      <c r="S430" s="32"/>
      <c r="T430" s="424" t="s">
        <v>537</v>
      </c>
      <c r="U430" s="424" t="s">
        <v>538</v>
      </c>
      <c r="V430" s="424" t="s">
        <v>539</v>
      </c>
      <c r="W430" s="424" t="s">
        <v>540</v>
      </c>
      <c r="X430" s="424" t="s">
        <v>541</v>
      </c>
      <c r="Y430" s="424" t="s">
        <v>167</v>
      </c>
      <c r="Z430" s="424" t="s">
        <v>168</v>
      </c>
      <c r="AA430" s="424" t="s">
        <v>169</v>
      </c>
      <c r="AB430" s="424" t="s">
        <v>235</v>
      </c>
      <c r="AC430" s="424" t="s">
        <v>240</v>
      </c>
      <c r="AD430" s="423" t="s">
        <v>85</v>
      </c>
      <c r="AE430" s="424" t="s">
        <v>139</v>
      </c>
      <c r="AF430" s="424" t="s">
        <v>72</v>
      </c>
      <c r="AG430" s="424" t="s">
        <v>88</v>
      </c>
      <c r="AH430" s="424" t="s">
        <v>75</v>
      </c>
      <c r="AI430" s="424" t="s">
        <v>543</v>
      </c>
      <c r="AJ430" s="424" t="s">
        <v>78</v>
      </c>
      <c r="AK430" s="424" t="s">
        <v>76</v>
      </c>
      <c r="AL430" s="424" t="s">
        <v>544</v>
      </c>
      <c r="AM430" s="424" t="s">
        <v>545</v>
      </c>
      <c r="AN430" s="424" t="s">
        <v>86</v>
      </c>
      <c r="AO430" s="424" t="s">
        <v>83</v>
      </c>
      <c r="AP430" s="424" t="s">
        <v>84</v>
      </c>
      <c r="AQ430" s="424" t="s">
        <v>546</v>
      </c>
      <c r="AR430" s="424" t="s">
        <v>81</v>
      </c>
      <c r="AS430" s="424" t="s">
        <v>80</v>
      </c>
      <c r="AT430" s="424" t="s">
        <v>82</v>
      </c>
      <c r="AU430" s="424" t="s">
        <v>181</v>
      </c>
      <c r="AV430" s="424" t="s">
        <v>183</v>
      </c>
      <c r="AW430" s="424" t="s">
        <v>547</v>
      </c>
      <c r="AX430" s="424" t="s">
        <v>182</v>
      </c>
      <c r="AY430" s="424" t="s">
        <v>172</v>
      </c>
      <c r="AZ430" s="424" t="s">
        <v>173</v>
      </c>
      <c r="BA430" s="424" t="s">
        <v>184</v>
      </c>
      <c r="BB430" s="201"/>
    </row>
    <row r="431" spans="2:54">
      <c r="B431" s="1250" t="s">
        <v>650</v>
      </c>
      <c r="C431" s="1251"/>
      <c r="D431" s="411" t="s">
        <v>1643</v>
      </c>
      <c r="E431" s="425"/>
      <c r="F431" s="411" t="s">
        <v>1644</v>
      </c>
      <c r="G431" s="411" t="s">
        <v>1645</v>
      </c>
      <c r="H431" s="412">
        <f>7504.573/3</f>
        <v>2501.5243333333333</v>
      </c>
      <c r="I431" s="413" t="s">
        <v>184</v>
      </c>
      <c r="J431" s="414">
        <v>45069.270833333336</v>
      </c>
      <c r="K431" s="414"/>
      <c r="L431" s="414" t="s">
        <v>192</v>
      </c>
      <c r="M431" s="414" t="s">
        <v>192</v>
      </c>
      <c r="N431" s="413" t="str">
        <f>IF(ISBLANK(J431)," ",IF(J431&lt;$F$425,"On time",(IF(DAY(J431-$F$425)&lt;1,"On time",(IF(J431&gt;$F$425,"DELAY ( "&amp;DAY(J431-$F$425)&amp;" day "&amp;HOUR(J431-$F$425)&amp;" hour "&amp;MINUTE(J431-$F$425)&amp;" minute )","xxx"))))))</f>
        <v>On time</v>
      </c>
      <c r="O431" s="51"/>
      <c r="P431" s="415" t="s">
        <v>551</v>
      </c>
      <c r="Q431" s="415" t="s">
        <v>551</v>
      </c>
      <c r="R431" s="415" t="s">
        <v>551</v>
      </c>
      <c r="S431" s="32"/>
      <c r="T431" s="416"/>
      <c r="U431" s="416"/>
      <c r="V431" s="416"/>
      <c r="W431" s="416"/>
      <c r="X431" s="416"/>
      <c r="Y431" s="416"/>
      <c r="Z431" s="416"/>
      <c r="AA431" s="416"/>
      <c r="AB431" s="416"/>
      <c r="AC431" s="416"/>
      <c r="AD431" s="416"/>
      <c r="AE431" s="416"/>
      <c r="AF431" s="416"/>
      <c r="AG431" s="416"/>
      <c r="AH431" s="416"/>
      <c r="AI431" s="416"/>
      <c r="AJ431" s="416"/>
      <c r="AK431" s="416"/>
      <c r="AL431" s="416"/>
      <c r="AM431" s="416"/>
      <c r="AN431" s="416"/>
      <c r="AO431" s="416"/>
      <c r="AP431" s="416"/>
      <c r="AQ431" s="416"/>
      <c r="AR431" s="416"/>
      <c r="AS431" s="416"/>
      <c r="AT431" s="416"/>
      <c r="AU431" s="32"/>
      <c r="AV431" s="416"/>
      <c r="AW431" s="416"/>
      <c r="AX431" s="416"/>
      <c r="AY431" s="416"/>
      <c r="AZ431" s="416"/>
      <c r="BA431" s="416">
        <f>H431</f>
        <v>2501.5243333333333</v>
      </c>
      <c r="BB431" s="32"/>
    </row>
    <row r="432" spans="2:54">
      <c r="B432" s="1254"/>
      <c r="C432" s="1255"/>
      <c r="D432" s="411" t="s">
        <v>1579</v>
      </c>
      <c r="E432" s="411"/>
      <c r="F432" s="411" t="s">
        <v>406</v>
      </c>
      <c r="G432" s="411" t="s">
        <v>407</v>
      </c>
      <c r="H432" s="412">
        <v>7504.375</v>
      </c>
      <c r="I432" s="413" t="s">
        <v>611</v>
      </c>
      <c r="J432" s="414">
        <v>45068.013888888891</v>
      </c>
      <c r="K432" s="414"/>
      <c r="L432" s="414" t="s">
        <v>192</v>
      </c>
      <c r="M432" s="414" t="s">
        <v>192</v>
      </c>
      <c r="N432" s="413" t="str">
        <f t="shared" ref="N432:N444" si="29">IF(ISBLANK(J432)," ",IF(J432&lt;$F$425,"On time",(IF(DAY(J432-$F$425)&lt;1,"On time",(IF(J432&gt;$F$425,"DELAY ( "&amp;DAY(J432-$F$425)&amp;" day "&amp;HOUR(J432-$F$425)&amp;" hour "&amp;MINUTE(J432-$F$425)&amp;" minute )","xxx"))))))</f>
        <v>On time</v>
      </c>
      <c r="O432" s="51"/>
      <c r="P432" s="415" t="s">
        <v>551</v>
      </c>
      <c r="Q432" s="415" t="s">
        <v>551</v>
      </c>
      <c r="R432" s="415" t="s">
        <v>551</v>
      </c>
      <c r="S432" s="32"/>
      <c r="T432" s="416">
        <f>H432</f>
        <v>7504.375</v>
      </c>
      <c r="U432" s="416"/>
      <c r="V432" s="416"/>
      <c r="W432" s="416"/>
      <c r="X432" s="32"/>
      <c r="Y432" s="416"/>
      <c r="Z432" s="416"/>
      <c r="AA432" s="416"/>
      <c r="AB432" s="32"/>
      <c r="AC432" s="416"/>
      <c r="AD432" s="416"/>
      <c r="AE432" s="416"/>
      <c r="AF432" s="416"/>
      <c r="AG432" s="416"/>
      <c r="AH432" s="416"/>
      <c r="AI432" s="416"/>
      <c r="AJ432" s="416"/>
      <c r="AK432" s="416"/>
      <c r="AL432" s="416"/>
      <c r="AM432" s="416"/>
      <c r="AN432" s="416"/>
      <c r="AO432" s="416"/>
      <c r="AP432" s="416"/>
      <c r="AQ432" s="416"/>
      <c r="AR432" s="416"/>
      <c r="AS432" s="416"/>
      <c r="AT432" s="416"/>
      <c r="AU432" s="416"/>
      <c r="AV432" s="32"/>
      <c r="AW432" s="416"/>
      <c r="AX432" s="416"/>
      <c r="AY432" s="416"/>
      <c r="AZ432" s="416"/>
      <c r="BA432" s="416"/>
      <c r="BB432" s="32"/>
    </row>
    <row r="433" spans="2:54">
      <c r="B433" s="1250" t="s">
        <v>911</v>
      </c>
      <c r="C433" s="1251"/>
      <c r="D433" s="411" t="s">
        <v>1643</v>
      </c>
      <c r="E433" s="425"/>
      <c r="F433" s="411" t="s">
        <v>1644</v>
      </c>
      <c r="G433" s="411" t="s">
        <v>1645</v>
      </c>
      <c r="H433" s="412">
        <f>H431</f>
        <v>2501.5243333333333</v>
      </c>
      <c r="I433" s="413" t="s">
        <v>184</v>
      </c>
      <c r="J433" s="414"/>
      <c r="K433" s="414"/>
      <c r="L433" s="414" t="s">
        <v>192</v>
      </c>
      <c r="M433" s="414" t="s">
        <v>192</v>
      </c>
      <c r="N433" s="413" t="str">
        <f t="shared" si="29"/>
        <v xml:space="preserve"> </v>
      </c>
      <c r="O433" s="51"/>
      <c r="P433" s="415" t="s">
        <v>551</v>
      </c>
      <c r="Q433" s="415" t="s">
        <v>551</v>
      </c>
      <c r="R433" s="415" t="s">
        <v>551</v>
      </c>
      <c r="S433" s="32"/>
      <c r="T433" s="416"/>
      <c r="U433" s="416"/>
      <c r="V433" s="416"/>
      <c r="W433" s="416"/>
      <c r="X433" s="416"/>
      <c r="Y433" s="416"/>
      <c r="Z433" s="416"/>
      <c r="AA433" s="416"/>
      <c r="AB433" s="416"/>
      <c r="AC433" s="416"/>
      <c r="AD433" s="416"/>
      <c r="AE433" s="416"/>
      <c r="AF433" s="416"/>
      <c r="AG433" s="416"/>
      <c r="AH433" s="416"/>
      <c r="AI433" s="416"/>
      <c r="AJ433" s="416"/>
      <c r="AK433" s="416"/>
      <c r="AL433" s="416"/>
      <c r="AM433" s="416"/>
      <c r="AN433" s="416"/>
      <c r="AO433" s="416"/>
      <c r="AP433" s="416"/>
      <c r="AQ433" s="416"/>
      <c r="AR433" s="416"/>
      <c r="AS433" s="416"/>
      <c r="AT433" s="416"/>
      <c r="AU433" s="32"/>
      <c r="AV433" s="416"/>
      <c r="AW433" s="416"/>
      <c r="AX433" s="416"/>
      <c r="AY433" s="416"/>
      <c r="AZ433" s="416"/>
      <c r="BA433" s="416">
        <f>H433</f>
        <v>2501.5243333333333</v>
      </c>
      <c r="BB433" s="32"/>
    </row>
    <row r="434" spans="2:54">
      <c r="B434" s="1254"/>
      <c r="C434" s="1255"/>
      <c r="D434" s="411" t="s">
        <v>1516</v>
      </c>
      <c r="E434" s="411"/>
      <c r="F434" s="411" t="s">
        <v>367</v>
      </c>
      <c r="G434" s="411" t="s">
        <v>368</v>
      </c>
      <c r="H434" s="412">
        <v>9873.6489999999994</v>
      </c>
      <c r="I434" s="413" t="s">
        <v>240</v>
      </c>
      <c r="J434" s="414">
        <v>45069.645833333336</v>
      </c>
      <c r="K434" s="414"/>
      <c r="L434" s="414" t="s">
        <v>192</v>
      </c>
      <c r="M434" s="414" t="s">
        <v>192</v>
      </c>
      <c r="N434" s="413" t="str">
        <f t="shared" si="29"/>
        <v>On time</v>
      </c>
      <c r="O434" s="51"/>
      <c r="P434" s="415" t="s">
        <v>551</v>
      </c>
      <c r="Q434" s="415" t="s">
        <v>551</v>
      </c>
      <c r="R434" s="415" t="s">
        <v>551</v>
      </c>
      <c r="S434" s="32"/>
      <c r="T434" s="416"/>
      <c r="U434" s="416"/>
      <c r="V434" s="416"/>
      <c r="W434" s="416"/>
      <c r="X434" s="416"/>
      <c r="Y434" s="416"/>
      <c r="Z434" s="416"/>
      <c r="AA434" s="416"/>
      <c r="AB434" s="416"/>
      <c r="AC434" s="416">
        <f>H434</f>
        <v>9873.6489999999994</v>
      </c>
      <c r="AD434" s="416"/>
      <c r="AE434" s="416"/>
      <c r="AF434" s="416"/>
      <c r="AG434" s="416"/>
      <c r="AH434" s="416"/>
      <c r="AI434" s="416"/>
      <c r="AJ434" s="416"/>
      <c r="AK434" s="416"/>
      <c r="AL434" s="416"/>
      <c r="AM434" s="416"/>
      <c r="AN434" s="416"/>
      <c r="AO434" s="416"/>
      <c r="AP434" s="416"/>
      <c r="AQ434" s="416"/>
      <c r="AR434" s="416"/>
      <c r="AS434" s="416"/>
      <c r="AT434" s="416"/>
      <c r="AU434" s="416"/>
      <c r="AV434" s="416"/>
      <c r="AW434" s="416"/>
      <c r="AX434" s="416"/>
      <c r="AY434" s="416"/>
      <c r="AZ434" s="416"/>
      <c r="BA434" s="416"/>
      <c r="BB434" s="32"/>
    </row>
    <row r="435" spans="2:54">
      <c r="B435" s="1250" t="s">
        <v>650</v>
      </c>
      <c r="C435" s="1251"/>
      <c r="D435" s="411" t="s">
        <v>1643</v>
      </c>
      <c r="E435" s="425"/>
      <c r="F435" s="411" t="s">
        <v>1644</v>
      </c>
      <c r="G435" s="411" t="s">
        <v>1645</v>
      </c>
      <c r="H435" s="412">
        <f>H433</f>
        <v>2501.5243333333333</v>
      </c>
      <c r="I435" s="413" t="s">
        <v>184</v>
      </c>
      <c r="J435" s="414"/>
      <c r="K435" s="414"/>
      <c r="L435" s="414" t="s">
        <v>192</v>
      </c>
      <c r="M435" s="414" t="s">
        <v>192</v>
      </c>
      <c r="N435" s="413" t="str">
        <f t="shared" si="29"/>
        <v xml:space="preserve"> </v>
      </c>
      <c r="O435" s="51"/>
      <c r="P435" s="415" t="s">
        <v>551</v>
      </c>
      <c r="Q435" s="415" t="s">
        <v>551</v>
      </c>
      <c r="R435" s="415" t="s">
        <v>551</v>
      </c>
      <c r="S435" s="32"/>
      <c r="T435" s="416"/>
      <c r="U435" s="416"/>
      <c r="V435" s="416"/>
      <c r="W435" s="416"/>
      <c r="X435" s="416"/>
      <c r="Y435" s="416"/>
      <c r="Z435" s="416"/>
      <c r="AA435" s="416"/>
      <c r="AB435" s="416"/>
      <c r="AC435" s="416"/>
      <c r="AD435" s="416"/>
      <c r="AE435" s="416"/>
      <c r="AF435" s="416"/>
      <c r="AG435" s="416"/>
      <c r="AH435" s="416"/>
      <c r="AI435" s="416"/>
      <c r="AJ435" s="416"/>
      <c r="AK435" s="416"/>
      <c r="AL435" s="416"/>
      <c r="AM435" s="416"/>
      <c r="AN435" s="416"/>
      <c r="AO435" s="416"/>
      <c r="AP435" s="416"/>
      <c r="AQ435" s="416"/>
      <c r="AR435" s="416"/>
      <c r="AS435" s="416"/>
      <c r="AT435" s="416"/>
      <c r="AU435" s="32"/>
      <c r="AV435" s="416"/>
      <c r="AW435" s="416"/>
      <c r="AX435" s="416"/>
      <c r="AY435" s="416"/>
      <c r="AZ435" s="416"/>
      <c r="BA435" s="416">
        <f>H435</f>
        <v>2501.5243333333333</v>
      </c>
      <c r="BB435" s="32"/>
    </row>
    <row r="436" spans="2:54">
      <c r="B436" s="1254"/>
      <c r="C436" s="1255"/>
      <c r="D436" s="411" t="s">
        <v>1554</v>
      </c>
      <c r="E436" s="411"/>
      <c r="F436" s="411" t="s">
        <v>213</v>
      </c>
      <c r="G436" s="411" t="s">
        <v>214</v>
      </c>
      <c r="H436" s="412">
        <v>7503.3360000000002</v>
      </c>
      <c r="I436" s="413" t="s">
        <v>173</v>
      </c>
      <c r="J436" s="414">
        <v>45070.375</v>
      </c>
      <c r="K436" s="414"/>
      <c r="L436" s="414" t="s">
        <v>192</v>
      </c>
      <c r="M436" s="414" t="s">
        <v>192</v>
      </c>
      <c r="N436" s="413" t="str">
        <f t="shared" si="29"/>
        <v>On time</v>
      </c>
      <c r="O436" s="51"/>
      <c r="P436" s="415" t="s">
        <v>551</v>
      </c>
      <c r="Q436" s="415" t="s">
        <v>551</v>
      </c>
      <c r="R436" s="415" t="s">
        <v>551</v>
      </c>
      <c r="S436" s="32"/>
      <c r="T436" s="416"/>
      <c r="U436" s="416"/>
      <c r="V436" s="416"/>
      <c r="W436" s="416"/>
      <c r="X436" s="416"/>
      <c r="Y436" s="416"/>
      <c r="Z436" s="416"/>
      <c r="AA436" s="416"/>
      <c r="AB436" s="416"/>
      <c r="AC436" s="416"/>
      <c r="AD436" s="416"/>
      <c r="AE436" s="416"/>
      <c r="AF436" s="416"/>
      <c r="AG436" s="416"/>
      <c r="AH436" s="416"/>
      <c r="AI436" s="416"/>
      <c r="AJ436" s="416"/>
      <c r="AK436" s="416"/>
      <c r="AL436" s="416"/>
      <c r="AM436" s="416"/>
      <c r="AN436" s="416"/>
      <c r="AO436" s="416"/>
      <c r="AP436" s="416"/>
      <c r="AQ436" s="416"/>
      <c r="AR436" s="416"/>
      <c r="AS436" s="416"/>
      <c r="AT436" s="416"/>
      <c r="AU436" s="416"/>
      <c r="AV436" s="416"/>
      <c r="AW436" s="416"/>
      <c r="AX436" s="416"/>
      <c r="AY436" s="416"/>
      <c r="AZ436" s="416">
        <f>H436</f>
        <v>7503.3360000000002</v>
      </c>
      <c r="BA436" s="416"/>
      <c r="BB436" s="32"/>
    </row>
    <row r="437" spans="2:54">
      <c r="B437" s="1256" t="s">
        <v>548</v>
      </c>
      <c r="C437" s="1257"/>
      <c r="D437" s="411" t="s">
        <v>1518</v>
      </c>
      <c r="E437" s="411"/>
      <c r="F437" s="411" t="s">
        <v>201</v>
      </c>
      <c r="G437" s="411" t="s">
        <v>202</v>
      </c>
      <c r="H437" s="412">
        <v>7570.2830000000004</v>
      </c>
      <c r="I437" s="413" t="s">
        <v>240</v>
      </c>
      <c r="J437" s="414">
        <v>45070.253472222219</v>
      </c>
      <c r="K437" s="414"/>
      <c r="L437" s="414" t="s">
        <v>192</v>
      </c>
      <c r="M437" s="414" t="s">
        <v>192</v>
      </c>
      <c r="N437" s="413" t="str">
        <f t="shared" si="29"/>
        <v>On time</v>
      </c>
      <c r="O437" s="51"/>
      <c r="P437" s="415" t="s">
        <v>551</v>
      </c>
      <c r="Q437" s="415" t="s">
        <v>551</v>
      </c>
      <c r="R437" s="415" t="s">
        <v>551</v>
      </c>
      <c r="S437" s="32"/>
      <c r="T437" s="416"/>
      <c r="U437" s="416"/>
      <c r="V437" s="416"/>
      <c r="W437" s="416"/>
      <c r="X437" s="416"/>
      <c r="Y437" s="416"/>
      <c r="Z437" s="416"/>
      <c r="AA437" s="416"/>
      <c r="AB437" s="416"/>
      <c r="AC437" s="416">
        <f>H437</f>
        <v>7570.2830000000004</v>
      </c>
      <c r="AD437" s="416"/>
      <c r="AE437" s="416"/>
      <c r="AF437" s="416"/>
      <c r="AG437" s="416"/>
      <c r="AH437" s="416"/>
      <c r="AI437" s="416"/>
      <c r="AJ437" s="416"/>
      <c r="AK437" s="416"/>
      <c r="AL437" s="416"/>
      <c r="AM437" s="416"/>
      <c r="AN437" s="416"/>
      <c r="AO437" s="416"/>
      <c r="AP437" s="416"/>
      <c r="AQ437" s="416"/>
      <c r="AR437" s="416"/>
      <c r="AS437" s="416"/>
      <c r="AT437" s="416"/>
      <c r="AU437" s="416"/>
      <c r="AV437" s="416"/>
      <c r="AW437" s="416"/>
      <c r="AX437" s="416"/>
      <c r="AY437" s="416"/>
      <c r="AZ437" s="416"/>
      <c r="BA437" s="416"/>
      <c r="BB437" s="32"/>
    </row>
    <row r="438" spans="2:54">
      <c r="B438" s="1250" t="s">
        <v>653</v>
      </c>
      <c r="C438" s="1251"/>
      <c r="D438" s="411" t="s">
        <v>1517</v>
      </c>
      <c r="E438" s="411"/>
      <c r="F438" s="411" t="s">
        <v>429</v>
      </c>
      <c r="G438" s="411" t="s">
        <v>430</v>
      </c>
      <c r="H438" s="412">
        <v>7565.8270000000002</v>
      </c>
      <c r="I438" s="413" t="s">
        <v>240</v>
      </c>
      <c r="J438" s="414">
        <v>45070.333333333336</v>
      </c>
      <c r="K438" s="414"/>
      <c r="L438" s="414" t="s">
        <v>192</v>
      </c>
      <c r="M438" s="414" t="s">
        <v>192</v>
      </c>
      <c r="N438" s="413" t="str">
        <f t="shared" si="29"/>
        <v>On time</v>
      </c>
      <c r="O438" s="51"/>
      <c r="P438" s="415" t="s">
        <v>551</v>
      </c>
      <c r="Q438" s="415" t="s">
        <v>551</v>
      </c>
      <c r="R438" s="415" t="s">
        <v>551</v>
      </c>
      <c r="S438" s="32"/>
      <c r="T438" s="416"/>
      <c r="U438" s="416"/>
      <c r="V438" s="416"/>
      <c r="W438" s="416"/>
      <c r="X438" s="416"/>
      <c r="Y438" s="416"/>
      <c r="Z438" s="416"/>
      <c r="AA438" s="416"/>
      <c r="AB438" s="416"/>
      <c r="AC438" s="416">
        <f>H438</f>
        <v>7565.8270000000002</v>
      </c>
      <c r="AD438" s="416"/>
      <c r="AE438" s="416"/>
      <c r="AF438" s="416"/>
      <c r="AG438" s="416"/>
      <c r="AH438" s="416"/>
      <c r="AI438" s="416"/>
      <c r="AJ438" s="416"/>
      <c r="AK438" s="416"/>
      <c r="AL438" s="416"/>
      <c r="AM438" s="416"/>
      <c r="AN438" s="416"/>
      <c r="AO438" s="416"/>
      <c r="AP438" s="416"/>
      <c r="AQ438" s="416"/>
      <c r="AR438" s="416"/>
      <c r="AS438" s="416"/>
      <c r="AT438" s="416"/>
      <c r="AU438" s="416"/>
      <c r="AV438" s="416"/>
      <c r="AW438" s="416"/>
      <c r="AX438" s="416"/>
      <c r="AY438" s="416"/>
      <c r="AZ438" s="416"/>
      <c r="BA438" s="416"/>
      <c r="BB438" s="32"/>
    </row>
    <row r="439" spans="2:54">
      <c r="B439" s="1254"/>
      <c r="C439" s="1255"/>
      <c r="D439" s="411" t="s">
        <v>1611</v>
      </c>
      <c r="E439" s="411"/>
      <c r="F439" s="411" t="s">
        <v>263</v>
      </c>
      <c r="G439" s="411" t="s">
        <v>264</v>
      </c>
      <c r="H439" s="412">
        <v>7644.4470000000001</v>
      </c>
      <c r="I439" s="413" t="s">
        <v>172</v>
      </c>
      <c r="J439" s="414">
        <v>45070.354166666664</v>
      </c>
      <c r="K439" s="414"/>
      <c r="L439" s="414" t="s">
        <v>192</v>
      </c>
      <c r="M439" s="414" t="s">
        <v>192</v>
      </c>
      <c r="N439" s="413" t="str">
        <f t="shared" si="29"/>
        <v>On time</v>
      </c>
      <c r="O439" s="51"/>
      <c r="P439" s="415" t="s">
        <v>551</v>
      </c>
      <c r="Q439" s="415" t="s">
        <v>551</v>
      </c>
      <c r="R439" s="415" t="s">
        <v>551</v>
      </c>
      <c r="S439" s="32"/>
      <c r="T439" s="416"/>
      <c r="U439" s="416"/>
      <c r="V439" s="416"/>
      <c r="W439" s="416"/>
      <c r="X439" s="416"/>
      <c r="Y439" s="416"/>
      <c r="Z439" s="416"/>
      <c r="AA439" s="416"/>
      <c r="AB439" s="416"/>
      <c r="AC439" s="416"/>
      <c r="AD439" s="416"/>
      <c r="AE439" s="416"/>
      <c r="AF439" s="416"/>
      <c r="AG439" s="416"/>
      <c r="AH439" s="416"/>
      <c r="AI439" s="416"/>
      <c r="AJ439" s="416"/>
      <c r="AK439" s="416"/>
      <c r="AL439" s="416"/>
      <c r="AM439" s="416"/>
      <c r="AN439" s="416"/>
      <c r="AO439" s="416"/>
      <c r="AP439" s="416"/>
      <c r="AQ439" s="416"/>
      <c r="AR439" s="416"/>
      <c r="AS439" s="416"/>
      <c r="AT439" s="416"/>
      <c r="AU439" s="416"/>
      <c r="AV439" s="416"/>
      <c r="AW439" s="416"/>
      <c r="AX439" s="416"/>
      <c r="AY439" s="416">
        <f>H439</f>
        <v>7644.4470000000001</v>
      </c>
      <c r="AZ439" s="416"/>
      <c r="BA439" s="416"/>
      <c r="BB439" s="32"/>
    </row>
    <row r="440" spans="2:54">
      <c r="B440" s="1256" t="s">
        <v>548</v>
      </c>
      <c r="C440" s="1257"/>
      <c r="D440" s="411" t="s">
        <v>1511</v>
      </c>
      <c r="E440" s="411"/>
      <c r="F440" s="411" t="s">
        <v>1512</v>
      </c>
      <c r="G440" s="411" t="s">
        <v>1513</v>
      </c>
      <c r="H440" s="412">
        <v>1010.6369999999999</v>
      </c>
      <c r="I440" s="413" t="s">
        <v>240</v>
      </c>
      <c r="J440" s="414">
        <v>45071.305555555555</v>
      </c>
      <c r="K440" s="414"/>
      <c r="L440" s="414" t="s">
        <v>192</v>
      </c>
      <c r="M440" s="414" t="s">
        <v>192</v>
      </c>
      <c r="N440" s="413" t="str">
        <f t="shared" si="29"/>
        <v>DELAY ( 1 day 14 hour 20 minute )</v>
      </c>
      <c r="O440" s="51"/>
      <c r="P440" s="415" t="s">
        <v>551</v>
      </c>
      <c r="Q440" s="415" t="s">
        <v>551</v>
      </c>
      <c r="R440" s="415" t="s">
        <v>551</v>
      </c>
      <c r="S440" s="32"/>
      <c r="T440" s="416"/>
      <c r="U440" s="416"/>
      <c r="V440" s="416"/>
      <c r="W440" s="416"/>
      <c r="X440" s="416"/>
      <c r="Y440" s="416"/>
      <c r="Z440" s="416"/>
      <c r="AA440" s="416"/>
      <c r="AB440" s="416"/>
      <c r="AC440" s="416">
        <f>H440</f>
        <v>1010.6369999999999</v>
      </c>
      <c r="AD440" s="416"/>
      <c r="AE440" s="416"/>
      <c r="AF440" s="416"/>
      <c r="AG440" s="416"/>
      <c r="AH440" s="416"/>
      <c r="AI440" s="416"/>
      <c r="AJ440" s="416"/>
      <c r="AK440" s="416"/>
      <c r="AL440" s="416"/>
      <c r="AM440" s="416"/>
      <c r="AN440" s="416"/>
      <c r="AO440" s="416"/>
      <c r="AP440" s="416"/>
      <c r="AQ440" s="416"/>
      <c r="AR440" s="416"/>
      <c r="AS440" s="416"/>
      <c r="AT440" s="416"/>
      <c r="AU440" s="416"/>
      <c r="AV440" s="416"/>
      <c r="AW440" s="416"/>
      <c r="AX440" s="416"/>
      <c r="AY440" s="416"/>
      <c r="AZ440" s="416"/>
      <c r="BA440" s="416"/>
      <c r="BB440" s="32"/>
    </row>
    <row r="441" spans="2:54">
      <c r="B441" s="1256" t="s">
        <v>548</v>
      </c>
      <c r="C441" s="1257"/>
      <c r="D441" s="411" t="s">
        <v>1527</v>
      </c>
      <c r="E441" s="411"/>
      <c r="F441" s="411" t="s">
        <v>330</v>
      </c>
      <c r="G441" s="411" t="s">
        <v>331</v>
      </c>
      <c r="H441" s="412">
        <v>7400.53</v>
      </c>
      <c r="I441" s="413" t="s">
        <v>240</v>
      </c>
      <c r="J441" s="414">
        <v>45072.625</v>
      </c>
      <c r="K441" s="414"/>
      <c r="L441" s="414" t="s">
        <v>192</v>
      </c>
      <c r="M441" s="414" t="s">
        <v>192</v>
      </c>
      <c r="N441" s="413" t="str">
        <f t="shared" si="29"/>
        <v>DELAY ( 2 day 22 hour 0 minute )</v>
      </c>
      <c r="O441" s="51"/>
      <c r="P441" s="415" t="s">
        <v>551</v>
      </c>
      <c r="Q441" s="415" t="s">
        <v>551</v>
      </c>
      <c r="R441" s="415" t="s">
        <v>551</v>
      </c>
      <c r="S441" s="32"/>
      <c r="T441" s="416"/>
      <c r="U441" s="416"/>
      <c r="V441" s="416"/>
      <c r="W441" s="416"/>
      <c r="X441" s="416"/>
      <c r="Y441" s="416"/>
      <c r="Z441" s="416"/>
      <c r="AA441" s="416"/>
      <c r="AB441" s="416"/>
      <c r="AC441" s="416">
        <f>H441</f>
        <v>7400.53</v>
      </c>
      <c r="AD441" s="416"/>
      <c r="AE441" s="416"/>
      <c r="AF441" s="416"/>
      <c r="AG441" s="416"/>
      <c r="AH441" s="416"/>
      <c r="AI441" s="416"/>
      <c r="AJ441" s="416"/>
      <c r="AK441" s="416"/>
      <c r="AL441" s="416"/>
      <c r="AM441" s="416"/>
      <c r="AN441" s="416"/>
      <c r="AO441" s="416"/>
      <c r="AP441" s="416"/>
      <c r="AQ441" s="416"/>
      <c r="AR441" s="416"/>
      <c r="AS441" s="416"/>
      <c r="AT441" s="416"/>
      <c r="AU441" s="416"/>
      <c r="AV441" s="416"/>
      <c r="AW441" s="416"/>
      <c r="AX441" s="416"/>
      <c r="AY441" s="416"/>
      <c r="AZ441" s="416"/>
      <c r="BA441" s="416"/>
      <c r="BB441" s="32"/>
    </row>
    <row r="442" spans="2:54">
      <c r="B442" s="1256" t="s">
        <v>548</v>
      </c>
      <c r="C442" s="1257"/>
      <c r="D442" s="411" t="s">
        <v>1519</v>
      </c>
      <c r="E442" s="411"/>
      <c r="F442" s="411" t="s">
        <v>489</v>
      </c>
      <c r="G442" s="411" t="s">
        <v>483</v>
      </c>
      <c r="H442" s="412">
        <f>7506.075-4083.732</f>
        <v>3422.3429999999998</v>
      </c>
      <c r="I442" s="413" t="s">
        <v>240</v>
      </c>
      <c r="J442" s="414">
        <v>45070.338194444441</v>
      </c>
      <c r="K442" s="414"/>
      <c r="L442" s="414" t="s">
        <v>192</v>
      </c>
      <c r="M442" s="414" t="s">
        <v>192</v>
      </c>
      <c r="N442" s="413" t="str">
        <f t="shared" si="29"/>
        <v>On time</v>
      </c>
      <c r="O442" s="51"/>
      <c r="P442" s="415" t="s">
        <v>551</v>
      </c>
      <c r="Q442" s="415" t="s">
        <v>551</v>
      </c>
      <c r="R442" s="415" t="s">
        <v>551</v>
      </c>
      <c r="S442" s="32"/>
      <c r="T442" s="416"/>
      <c r="U442" s="416"/>
      <c r="V442" s="416"/>
      <c r="W442" s="416"/>
      <c r="X442" s="416"/>
      <c r="Y442" s="416"/>
      <c r="Z442" s="416"/>
      <c r="AA442" s="416"/>
      <c r="AB442" s="416"/>
      <c r="AC442" s="416">
        <f>H442</f>
        <v>3422.3429999999998</v>
      </c>
      <c r="AD442" s="416"/>
      <c r="AE442" s="416"/>
      <c r="AF442" s="416"/>
      <c r="AG442" s="416"/>
      <c r="AH442" s="416"/>
      <c r="AI442" s="416"/>
      <c r="AJ442" s="416"/>
      <c r="AK442" s="416"/>
      <c r="AL442" s="416"/>
      <c r="AM442" s="416"/>
      <c r="AN442" s="416"/>
      <c r="AO442" s="416"/>
      <c r="AP442" s="416"/>
      <c r="AQ442" s="416"/>
      <c r="AR442" s="416"/>
      <c r="AS442" s="416"/>
      <c r="AT442" s="416"/>
      <c r="AU442" s="416"/>
      <c r="AV442" s="416"/>
      <c r="AW442" s="416"/>
      <c r="AX442" s="416"/>
      <c r="AY442" s="416"/>
      <c r="AZ442" s="416"/>
      <c r="BA442" s="416"/>
      <c r="BB442" s="32"/>
    </row>
    <row r="443" spans="2:54">
      <c r="B443" s="1258" t="s">
        <v>556</v>
      </c>
      <c r="C443" s="1259"/>
      <c r="D443" s="1259"/>
      <c r="E443" s="1259"/>
      <c r="F443" s="1259"/>
      <c r="G443" s="1260"/>
      <c r="H443" s="417">
        <f>SUM(H431:H442)</f>
        <v>67000</v>
      </c>
      <c r="I443" s="388"/>
      <c r="J443" s="293"/>
      <c r="K443" s="293"/>
      <c r="L443" s="293"/>
      <c r="M443" s="389"/>
      <c r="N443" s="413" t="str">
        <f t="shared" si="29"/>
        <v xml:space="preserve"> </v>
      </c>
      <c r="O443" s="212"/>
      <c r="P443" s="418"/>
      <c r="Q443" s="418"/>
      <c r="R443" s="418"/>
      <c r="S443" s="207"/>
      <c r="T443" s="1262"/>
      <c r="U443" s="1263"/>
      <c r="V443" s="1263"/>
      <c r="W443" s="1263"/>
      <c r="X443" s="1263"/>
      <c r="Y443" s="1263"/>
      <c r="Z443" s="1263"/>
      <c r="AA443" s="1263"/>
      <c r="AB443" s="1263"/>
      <c r="AC443" s="1263"/>
      <c r="AD443" s="1263"/>
      <c r="AE443" s="1263"/>
      <c r="AF443" s="1263"/>
      <c r="AG443" s="1263"/>
      <c r="AH443" s="1263"/>
      <c r="AI443" s="1263"/>
      <c r="AJ443" s="1263"/>
      <c r="AK443" s="1263"/>
      <c r="AL443" s="1263"/>
      <c r="AM443" s="1263"/>
      <c r="AN443" s="1263"/>
      <c r="AO443" s="1263"/>
      <c r="AP443" s="1263"/>
      <c r="AQ443" s="1263"/>
      <c r="AR443" s="1263"/>
      <c r="AS443" s="1263"/>
      <c r="AT443" s="1263"/>
      <c r="AU443" s="1263"/>
      <c r="AV443" s="1263"/>
      <c r="AW443" s="1263"/>
      <c r="AX443" s="1263"/>
      <c r="AY443" s="1263"/>
      <c r="AZ443" s="1263"/>
      <c r="BA443" s="1263"/>
    </row>
    <row r="444" spans="2:54">
      <c r="B444" s="1243" t="s">
        <v>557</v>
      </c>
      <c r="C444" s="1244"/>
      <c r="D444" s="1244"/>
      <c r="E444" s="1244"/>
      <c r="F444" s="1244"/>
      <c r="G444" s="1245"/>
      <c r="H444" s="419">
        <v>67000</v>
      </c>
      <c r="I444" s="1273"/>
      <c r="J444" s="1274"/>
      <c r="K444" s="1274"/>
      <c r="L444" s="1274"/>
      <c r="M444" s="1275"/>
      <c r="N444" s="413" t="str">
        <f t="shared" si="29"/>
        <v xml:space="preserve"> </v>
      </c>
      <c r="O444" s="32"/>
      <c r="P444" s="415"/>
      <c r="Q444" s="415"/>
      <c r="R444" s="415"/>
      <c r="S444" s="63"/>
      <c r="T444" s="416">
        <f t="shared" ref="T444:BA444" si="30">SUM(T431:T442)</f>
        <v>7504.375</v>
      </c>
      <c r="U444" s="416">
        <f t="shared" si="30"/>
        <v>0</v>
      </c>
      <c r="V444" s="416">
        <f t="shared" si="30"/>
        <v>0</v>
      </c>
      <c r="W444" s="416">
        <f t="shared" si="30"/>
        <v>0</v>
      </c>
      <c r="X444" s="416">
        <f t="shared" si="30"/>
        <v>0</v>
      </c>
      <c r="Y444" s="416">
        <f t="shared" si="30"/>
        <v>0</v>
      </c>
      <c r="Z444" s="416">
        <f t="shared" si="30"/>
        <v>0</v>
      </c>
      <c r="AA444" s="416">
        <f t="shared" si="30"/>
        <v>0</v>
      </c>
      <c r="AB444" s="416">
        <f t="shared" si="30"/>
        <v>0</v>
      </c>
      <c r="AC444" s="416">
        <f t="shared" si="30"/>
        <v>36843.269</v>
      </c>
      <c r="AD444" s="416">
        <f t="shared" si="30"/>
        <v>0</v>
      </c>
      <c r="AE444" s="416">
        <f t="shared" si="30"/>
        <v>0</v>
      </c>
      <c r="AF444" s="416">
        <f t="shared" si="30"/>
        <v>0</v>
      </c>
      <c r="AG444" s="416">
        <f t="shared" si="30"/>
        <v>0</v>
      </c>
      <c r="AH444" s="416">
        <f t="shared" si="30"/>
        <v>0</v>
      </c>
      <c r="AI444" s="416">
        <f t="shared" si="30"/>
        <v>0</v>
      </c>
      <c r="AJ444" s="416">
        <f t="shared" si="30"/>
        <v>0</v>
      </c>
      <c r="AK444" s="416">
        <f t="shared" si="30"/>
        <v>0</v>
      </c>
      <c r="AL444" s="416">
        <f t="shared" si="30"/>
        <v>0</v>
      </c>
      <c r="AM444" s="416">
        <f t="shared" si="30"/>
        <v>0</v>
      </c>
      <c r="AN444" s="416">
        <f t="shared" si="30"/>
        <v>0</v>
      </c>
      <c r="AO444" s="416">
        <f t="shared" si="30"/>
        <v>0</v>
      </c>
      <c r="AP444" s="416">
        <f t="shared" si="30"/>
        <v>0</v>
      </c>
      <c r="AQ444" s="416">
        <f t="shared" si="30"/>
        <v>0</v>
      </c>
      <c r="AR444" s="416">
        <f t="shared" si="30"/>
        <v>0</v>
      </c>
      <c r="AS444" s="416">
        <f t="shared" si="30"/>
        <v>0</v>
      </c>
      <c r="AT444" s="416">
        <f t="shared" si="30"/>
        <v>0</v>
      </c>
      <c r="AU444" s="416">
        <f t="shared" si="30"/>
        <v>0</v>
      </c>
      <c r="AV444" s="416">
        <f t="shared" si="30"/>
        <v>0</v>
      </c>
      <c r="AW444" s="416">
        <f t="shared" si="30"/>
        <v>0</v>
      </c>
      <c r="AX444" s="416">
        <f t="shared" si="30"/>
        <v>0</v>
      </c>
      <c r="AY444" s="416">
        <f t="shared" si="30"/>
        <v>7644.4470000000001</v>
      </c>
      <c r="AZ444" s="416">
        <f t="shared" si="30"/>
        <v>7503.3360000000002</v>
      </c>
      <c r="BA444" s="416">
        <f t="shared" si="30"/>
        <v>7504.5730000000003</v>
      </c>
      <c r="BB444" s="416">
        <f>SUM(T444:BA444)</f>
        <v>67000</v>
      </c>
    </row>
    <row r="445" spans="2:54">
      <c r="B445" s="1243" t="s">
        <v>558</v>
      </c>
      <c r="C445" s="1244"/>
      <c r="D445" s="1244"/>
      <c r="E445" s="1244"/>
      <c r="F445" s="1244"/>
      <c r="G445" s="1245"/>
      <c r="H445" s="420">
        <f>H444-L425</f>
        <v>0</v>
      </c>
      <c r="I445" s="294"/>
      <c r="J445" s="295"/>
      <c r="K445" s="295"/>
      <c r="L445" s="296"/>
      <c r="M445" s="32"/>
      <c r="N445" s="32"/>
      <c r="O445" s="32"/>
      <c r="P445" s="32"/>
      <c r="Q445" s="297"/>
      <c r="R445" s="297"/>
      <c r="S445" s="32"/>
      <c r="T445" s="48"/>
      <c r="U445" s="48"/>
      <c r="V445" s="48"/>
      <c r="W445" s="48"/>
      <c r="X445" s="48"/>
      <c r="Y445" s="48"/>
      <c r="Z445" s="48"/>
      <c r="AA445" s="48"/>
      <c r="AB445" s="48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</row>
    <row r="446" spans="2:54">
      <c r="B446" s="1243" t="s">
        <v>559</v>
      </c>
      <c r="C446" s="1244"/>
      <c r="D446" s="1244"/>
      <c r="E446" s="1244"/>
      <c r="F446" s="1244"/>
      <c r="G446" s="1245"/>
      <c r="H446" s="420">
        <v>2971</v>
      </c>
      <c r="I446" s="52"/>
      <c r="J446" s="53"/>
      <c r="K446" s="53"/>
      <c r="L446" s="54"/>
      <c r="M446" s="32"/>
      <c r="N446" s="201"/>
      <c r="O446" s="32"/>
      <c r="P446" s="32"/>
      <c r="Q446" s="32"/>
      <c r="R446" s="32"/>
      <c r="S446" s="32"/>
      <c r="T446" s="48"/>
      <c r="U446" s="48"/>
      <c r="V446" s="48"/>
      <c r="W446" s="48"/>
      <c r="X446" s="48"/>
      <c r="Y446" s="48"/>
      <c r="Z446" s="48"/>
      <c r="AA446" s="48"/>
      <c r="AB446" s="48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</row>
    <row r="447" spans="2:54">
      <c r="B447" s="1243" t="s">
        <v>560</v>
      </c>
      <c r="C447" s="1244"/>
      <c r="D447" s="1244"/>
      <c r="E447" s="1244"/>
      <c r="F447" s="1244"/>
      <c r="G447" s="1245"/>
      <c r="H447" s="421">
        <f>H446-4083.732</f>
        <v>-1112.732</v>
      </c>
      <c r="I447" s="270"/>
      <c r="J447" s="53"/>
      <c r="K447" s="53"/>
      <c r="L447" s="54"/>
      <c r="M447" s="32"/>
      <c r="N447" s="32"/>
      <c r="O447" s="32"/>
      <c r="P447" s="32"/>
      <c r="Q447" s="32"/>
      <c r="R447" s="32"/>
      <c r="S447" s="48"/>
      <c r="T447" s="48"/>
      <c r="U447" s="48"/>
      <c r="V447" s="48"/>
      <c r="W447" s="48"/>
      <c r="X447" s="48"/>
      <c r="Y447" s="48"/>
      <c r="Z447" s="48"/>
      <c r="AA447" s="48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</row>
    <row r="448" spans="2:54">
      <c r="B448" s="201"/>
      <c r="C448" s="201"/>
      <c r="D448" s="201"/>
      <c r="E448" s="201"/>
      <c r="F448" s="201"/>
      <c r="G448" s="201"/>
      <c r="H448" s="201"/>
      <c r="I448" s="213"/>
      <c r="J448" s="209"/>
      <c r="K448" s="209"/>
      <c r="L448" s="203"/>
      <c r="M448" s="201"/>
      <c r="N448" s="201"/>
      <c r="O448" s="209"/>
      <c r="P448" s="32"/>
      <c r="Q448" s="32"/>
      <c r="R448" s="32"/>
      <c r="S448" s="32"/>
      <c r="T448" s="48"/>
      <c r="U448" s="48"/>
      <c r="V448" s="48"/>
      <c r="W448" s="48"/>
      <c r="X448" s="48"/>
      <c r="Y448" s="48"/>
      <c r="Z448" s="48"/>
      <c r="AA448" s="48"/>
      <c r="AB448" s="48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</row>
    <row r="449" spans="2:56">
      <c r="B449" s="40" t="s">
        <v>561</v>
      </c>
      <c r="C449" s="40"/>
      <c r="D449" s="32"/>
      <c r="E449" s="32"/>
      <c r="F449" s="32"/>
      <c r="G449" s="32"/>
      <c r="H449" s="32"/>
      <c r="I449" s="32"/>
      <c r="J449" s="52"/>
      <c r="K449" s="52"/>
      <c r="L449" s="55"/>
      <c r="M449" s="32"/>
      <c r="N449" s="201"/>
      <c r="O449" s="5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  <c r="AA449" s="202"/>
      <c r="AB449" s="201"/>
      <c r="AC449" s="201"/>
      <c r="AD449" s="201"/>
      <c r="AE449" s="201"/>
      <c r="AF449" s="201"/>
      <c r="AG449" s="201"/>
      <c r="AH449" s="201"/>
      <c r="AI449" s="201"/>
      <c r="AJ449" s="201"/>
      <c r="AK449" s="201"/>
      <c r="AL449" s="201"/>
      <c r="AM449" s="201"/>
      <c r="AN449" s="201"/>
      <c r="AO449" s="201"/>
      <c r="AP449" s="201"/>
      <c r="AQ449" s="201"/>
      <c r="AR449" s="201"/>
      <c r="AS449" s="201"/>
      <c r="AT449" s="201"/>
      <c r="AU449" s="201"/>
      <c r="BB449" s="201"/>
    </row>
    <row r="450" spans="2:56">
      <c r="B450" s="422">
        <v>1</v>
      </c>
      <c r="C450" s="1249" t="s">
        <v>1744</v>
      </c>
      <c r="D450" s="1249"/>
      <c r="E450" s="1249"/>
      <c r="F450" s="1249"/>
      <c r="G450" s="1249"/>
      <c r="H450" s="1249"/>
      <c r="I450" s="1249"/>
      <c r="J450" s="1249"/>
      <c r="K450" s="1249"/>
      <c r="L450" s="203"/>
      <c r="M450" s="203"/>
      <c r="N450" s="201"/>
      <c r="O450" s="209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  <c r="AA450" s="202"/>
      <c r="AB450" s="201"/>
      <c r="AC450" s="201"/>
      <c r="AD450" s="201"/>
      <c r="AE450" s="201"/>
      <c r="AF450" s="201"/>
      <c r="AG450" s="201"/>
      <c r="AH450" s="201"/>
      <c r="AI450" s="201"/>
      <c r="AJ450" s="201"/>
      <c r="AK450" s="201"/>
      <c r="AL450" s="201"/>
      <c r="AM450" s="201"/>
      <c r="AN450" s="201"/>
      <c r="AO450" s="201"/>
      <c r="AP450" s="201"/>
      <c r="AQ450" s="201"/>
      <c r="AR450" s="201"/>
      <c r="AS450" s="201"/>
      <c r="AT450" s="201"/>
      <c r="AU450" s="201"/>
      <c r="AV450" s="201"/>
      <c r="AW450" s="201"/>
      <c r="AX450" s="201"/>
      <c r="AY450" s="201"/>
      <c r="AZ450" s="201"/>
      <c r="BA450" s="201"/>
      <c r="BB450" s="201"/>
    </row>
    <row r="452" spans="2:56">
      <c r="B452" s="28" t="s">
        <v>126</v>
      </c>
      <c r="C452" s="28"/>
      <c r="D452" s="29"/>
      <c r="E452" s="30" t="s">
        <v>511</v>
      </c>
      <c r="F452" s="31" t="s">
        <v>1501</v>
      </c>
      <c r="G452" s="32"/>
      <c r="H452" s="33"/>
      <c r="I452" s="34"/>
      <c r="J452" s="35" t="s">
        <v>513</v>
      </c>
      <c r="K452" s="36" t="s">
        <v>511</v>
      </c>
      <c r="L452" s="37">
        <v>45072.993750000001</v>
      </c>
      <c r="M452" s="32"/>
      <c r="N452" s="32"/>
      <c r="O452" s="36"/>
      <c r="P452" s="33"/>
      <c r="Q452" s="48"/>
      <c r="R452" s="49"/>
      <c r="S452" s="38"/>
      <c r="T452" s="32"/>
      <c r="U452" s="32"/>
      <c r="V452" s="32"/>
      <c r="W452" s="32"/>
      <c r="X452" s="32"/>
      <c r="Y452" s="32"/>
      <c r="Z452" s="32"/>
      <c r="AA452" s="32"/>
      <c r="AB452" s="48"/>
      <c r="AC452" s="48"/>
      <c r="AD452" s="48"/>
      <c r="AE452" s="48"/>
      <c r="AF452" s="48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</row>
    <row r="453" spans="2:56">
      <c r="B453" s="35" t="s">
        <v>514</v>
      </c>
      <c r="C453" s="35"/>
      <c r="D453" s="32"/>
      <c r="E453" s="36" t="s">
        <v>511</v>
      </c>
      <c r="F453" s="37" t="s">
        <v>1745</v>
      </c>
      <c r="G453" s="32"/>
      <c r="H453" s="33"/>
      <c r="I453" s="34"/>
      <c r="J453" s="35" t="s">
        <v>516</v>
      </c>
      <c r="K453" s="36" t="s">
        <v>511</v>
      </c>
      <c r="L453" s="37">
        <v>45074.359722222223</v>
      </c>
      <c r="M453" s="32"/>
      <c r="N453" s="32"/>
      <c r="O453" s="36"/>
      <c r="P453" s="33"/>
      <c r="Q453" s="48"/>
      <c r="R453" s="49"/>
      <c r="S453" s="38"/>
      <c r="T453" s="32"/>
      <c r="U453" s="32"/>
      <c r="V453" s="32"/>
      <c r="W453" s="32"/>
      <c r="X453" s="32"/>
      <c r="Y453" s="32"/>
      <c r="Z453" s="32"/>
      <c r="AA453" s="32"/>
      <c r="AB453" s="48"/>
      <c r="AC453" s="48"/>
      <c r="AD453" s="48"/>
      <c r="AE453" s="48"/>
      <c r="AF453" s="48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</row>
    <row r="454" spans="2:56">
      <c r="B454" s="35" t="s">
        <v>517</v>
      </c>
      <c r="C454" s="35"/>
      <c r="D454" s="32"/>
      <c r="E454" s="36" t="s">
        <v>511</v>
      </c>
      <c r="F454" s="37">
        <v>45062.241666666669</v>
      </c>
      <c r="G454" s="32"/>
      <c r="H454" s="33"/>
      <c r="I454" s="34"/>
      <c r="J454" s="35" t="s">
        <v>518</v>
      </c>
      <c r="K454" s="36" t="s">
        <v>511</v>
      </c>
      <c r="L454" s="50">
        <v>75050</v>
      </c>
      <c r="M454" s="40" t="s">
        <v>519</v>
      </c>
      <c r="N454" s="40"/>
      <c r="O454" s="36"/>
      <c r="P454" s="33"/>
      <c r="Q454" s="48"/>
      <c r="R454" s="49"/>
      <c r="S454" s="38"/>
      <c r="T454" s="32"/>
      <c r="U454" s="32"/>
      <c r="V454" s="32"/>
      <c r="W454" s="32"/>
      <c r="X454" s="32"/>
      <c r="Y454" s="32"/>
      <c r="Z454" s="32"/>
      <c r="AA454" s="32"/>
      <c r="AB454" s="48"/>
      <c r="AC454" s="48"/>
      <c r="AD454" s="48"/>
      <c r="AE454" s="48"/>
      <c r="AF454" s="48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</row>
    <row r="455" spans="2:56">
      <c r="B455" s="35" t="s">
        <v>520</v>
      </c>
      <c r="C455" s="35"/>
      <c r="D455" s="32"/>
      <c r="E455" s="36" t="s">
        <v>511</v>
      </c>
      <c r="F455" s="37" t="s">
        <v>20</v>
      </c>
      <c r="G455" s="32"/>
      <c r="H455" s="33"/>
      <c r="I455" s="34"/>
      <c r="J455" s="35" t="s">
        <v>521</v>
      </c>
      <c r="K455" s="36" t="s">
        <v>511</v>
      </c>
      <c r="L455" s="41" t="s">
        <v>1746</v>
      </c>
      <c r="M455" s="32"/>
      <c r="N455" s="32"/>
      <c r="O455" s="36"/>
      <c r="P455" s="48"/>
      <c r="Q455" s="48"/>
      <c r="R455" s="49"/>
      <c r="S455" s="38"/>
      <c r="T455" s="32"/>
      <c r="U455" s="32"/>
      <c r="V455" s="32"/>
      <c r="W455" s="32"/>
      <c r="X455" s="32"/>
      <c r="Y455" s="32"/>
      <c r="Z455" s="32"/>
      <c r="AA455" s="32"/>
      <c r="AB455" s="48"/>
      <c r="AC455" s="48"/>
      <c r="AD455" s="48"/>
      <c r="AE455" s="48"/>
      <c r="AF455" s="48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</row>
    <row r="456" spans="2:56">
      <c r="B456" s="35" t="s">
        <v>523</v>
      </c>
      <c r="C456" s="35"/>
      <c r="D456" s="32"/>
      <c r="E456" s="36" t="s">
        <v>511</v>
      </c>
      <c r="F456" s="37" t="s">
        <v>47</v>
      </c>
      <c r="G456" s="32"/>
      <c r="H456" s="33"/>
      <c r="I456" s="34"/>
      <c r="J456" s="42" t="s">
        <v>524</v>
      </c>
      <c r="K456" s="36" t="s">
        <v>511</v>
      </c>
      <c r="L456" s="43" t="s">
        <v>15</v>
      </c>
      <c r="M456" s="44"/>
      <c r="N456" s="44"/>
      <c r="O456" s="36"/>
      <c r="P456" s="33"/>
      <c r="Q456" s="48"/>
      <c r="R456" s="49"/>
      <c r="S456" s="38"/>
      <c r="T456" s="32"/>
      <c r="U456" s="32"/>
      <c r="V456" s="32"/>
      <c r="W456" s="32"/>
      <c r="X456" s="32"/>
      <c r="Y456" s="32"/>
      <c r="Z456" s="32"/>
      <c r="AA456" s="32"/>
      <c r="AB456" s="48"/>
      <c r="AC456" s="48"/>
      <c r="AD456" s="48"/>
      <c r="AE456" s="48"/>
      <c r="AF456" s="48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</row>
    <row r="457" spans="2:56">
      <c r="B457" s="35" t="s">
        <v>2</v>
      </c>
      <c r="C457" s="35"/>
      <c r="D457" s="32"/>
      <c r="E457" s="36" t="s">
        <v>511</v>
      </c>
      <c r="F457" s="37" t="s">
        <v>18</v>
      </c>
      <c r="G457" s="32"/>
      <c r="H457" s="33"/>
      <c r="I457" s="45"/>
      <c r="J457" s="42"/>
      <c r="K457" s="36"/>
      <c r="L457" s="37"/>
      <c r="M457" s="32"/>
      <c r="N457" s="32"/>
      <c r="O457" s="42"/>
      <c r="P457" s="44"/>
      <c r="Q457" s="44"/>
      <c r="R457" s="44"/>
      <c r="S457" s="34"/>
      <c r="T457" s="32"/>
      <c r="U457" s="32"/>
      <c r="V457" s="32"/>
      <c r="W457" s="32"/>
      <c r="X457" s="32"/>
      <c r="Y457" s="32"/>
      <c r="Z457" s="32"/>
      <c r="AA457" s="32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</row>
    <row r="458" spans="2:56">
      <c r="B458" s="32"/>
      <c r="C458" s="32"/>
      <c r="D458" s="32"/>
      <c r="E458" s="32"/>
      <c r="F458" s="32"/>
      <c r="G458" s="32"/>
      <c r="H458" s="32"/>
      <c r="I458" s="45"/>
      <c r="J458" s="42"/>
      <c r="K458" s="42"/>
      <c r="L458" s="43"/>
      <c r="M458" s="44"/>
      <c r="N458" s="44"/>
      <c r="O458" s="42"/>
      <c r="P458" s="44"/>
      <c r="Q458" s="44"/>
      <c r="R458" s="44"/>
      <c r="S458" s="34"/>
      <c r="T458" s="1270" t="s">
        <v>87</v>
      </c>
      <c r="U458" s="1270"/>
      <c r="V458" s="1270"/>
      <c r="W458" s="1270"/>
      <c r="X458" s="1270"/>
      <c r="Y458" s="1270" t="s">
        <v>73</v>
      </c>
      <c r="Z458" s="1270"/>
      <c r="AA458" s="1270"/>
      <c r="AB458" s="1270" t="s">
        <v>74</v>
      </c>
      <c r="AC458" s="1270"/>
      <c r="AD458" s="407" t="s">
        <v>85</v>
      </c>
      <c r="AE458" s="407" t="s">
        <v>77</v>
      </c>
      <c r="AF458" s="1270" t="s">
        <v>525</v>
      </c>
      <c r="AG458" s="1270"/>
      <c r="AH458" s="1270"/>
      <c r="AI458" s="1270"/>
      <c r="AJ458" s="1270"/>
      <c r="AK458" s="1270"/>
      <c r="AL458" s="1270"/>
      <c r="AM458" s="1270"/>
      <c r="AN458" s="1270"/>
      <c r="AO458" s="1270"/>
      <c r="AP458" s="1270"/>
      <c r="AQ458" s="1270"/>
      <c r="AR458" s="1270"/>
      <c r="AS458" s="1270"/>
      <c r="AT458" s="1270"/>
      <c r="AU458" s="1270"/>
      <c r="AV458" s="1270"/>
      <c r="AW458" s="1270"/>
      <c r="AX458" s="1270"/>
      <c r="AY458" s="1270"/>
      <c r="AZ458" s="1270"/>
      <c r="BA458" s="1270"/>
      <c r="BB458" s="1270"/>
      <c r="BC458" s="1270"/>
      <c r="BD458" s="32"/>
    </row>
    <row r="459" spans="2:56">
      <c r="B459" s="1266" t="s">
        <v>526</v>
      </c>
      <c r="C459" s="1267"/>
      <c r="D459" s="570" t="s">
        <v>527</v>
      </c>
      <c r="E459" s="570"/>
      <c r="F459" s="570" t="s">
        <v>528</v>
      </c>
      <c r="G459" s="570" t="s">
        <v>529</v>
      </c>
      <c r="H459" s="570" t="s">
        <v>530</v>
      </c>
      <c r="I459" s="570" t="s">
        <v>531</v>
      </c>
      <c r="J459" s="570" t="s">
        <v>532</v>
      </c>
      <c r="K459" s="570"/>
      <c r="L459" s="570" t="s">
        <v>130</v>
      </c>
      <c r="M459" s="570" t="s">
        <v>533</v>
      </c>
      <c r="N459" s="408" t="str">
        <f>"On time - "&amp;COUNTIF(N460:N471,"On time")&amp;" from "&amp;ROWS(N460:N471)-COUNTIF(N460:N471," ")</f>
        <v>On time - 1 from 9</v>
      </c>
      <c r="O459" s="46"/>
      <c r="P459" s="409" t="s">
        <v>534</v>
      </c>
      <c r="Q459" s="409" t="s">
        <v>535</v>
      </c>
      <c r="R459" s="409" t="s">
        <v>536</v>
      </c>
      <c r="S459" s="32"/>
      <c r="T459" s="410" t="s">
        <v>537</v>
      </c>
      <c r="U459" s="410" t="s">
        <v>538</v>
      </c>
      <c r="V459" s="410" t="s">
        <v>539</v>
      </c>
      <c r="W459" s="410" t="s">
        <v>540</v>
      </c>
      <c r="X459" s="410" t="s">
        <v>541</v>
      </c>
      <c r="Y459" s="410" t="s">
        <v>167</v>
      </c>
      <c r="Z459" s="410" t="s">
        <v>168</v>
      </c>
      <c r="AA459" s="410" t="s">
        <v>169</v>
      </c>
      <c r="AB459" s="410" t="s">
        <v>235</v>
      </c>
      <c r="AC459" s="410" t="s">
        <v>240</v>
      </c>
      <c r="AD459" s="407" t="s">
        <v>85</v>
      </c>
      <c r="AE459" s="410" t="s">
        <v>139</v>
      </c>
      <c r="AF459" s="410" t="s">
        <v>72</v>
      </c>
      <c r="AG459" s="410" t="s">
        <v>88</v>
      </c>
      <c r="AH459" s="410" t="s">
        <v>75</v>
      </c>
      <c r="AI459" s="410" t="s">
        <v>543</v>
      </c>
      <c r="AJ459" s="410" t="s">
        <v>78</v>
      </c>
      <c r="AK459" s="410" t="s">
        <v>76</v>
      </c>
      <c r="AL459" s="410" t="s">
        <v>544</v>
      </c>
      <c r="AM459" s="410" t="s">
        <v>545</v>
      </c>
      <c r="AN459" s="410" t="s">
        <v>86</v>
      </c>
      <c r="AO459" s="410" t="s">
        <v>83</v>
      </c>
      <c r="AP459" s="410" t="s">
        <v>84</v>
      </c>
      <c r="AQ459" s="410" t="s">
        <v>546</v>
      </c>
      <c r="AR459" s="410" t="s">
        <v>81</v>
      </c>
      <c r="AS459" s="410" t="s">
        <v>80</v>
      </c>
      <c r="AT459" s="410" t="s">
        <v>82</v>
      </c>
      <c r="AU459" s="410" t="s">
        <v>181</v>
      </c>
      <c r="AV459" s="410" t="s">
        <v>183</v>
      </c>
      <c r="AW459" s="410" t="s">
        <v>547</v>
      </c>
      <c r="AX459" s="410" t="s">
        <v>182</v>
      </c>
      <c r="AY459" s="410" t="s">
        <v>172</v>
      </c>
      <c r="AZ459" s="410" t="s">
        <v>173</v>
      </c>
      <c r="BA459" s="410" t="s">
        <v>184</v>
      </c>
      <c r="BB459" s="410" t="s">
        <v>100</v>
      </c>
      <c r="BC459" s="410" t="s">
        <v>913</v>
      </c>
      <c r="BD459" s="32"/>
    </row>
    <row r="460" spans="2:56">
      <c r="B460" s="1256">
        <v>1</v>
      </c>
      <c r="C460" s="1257"/>
      <c r="D460" s="411" t="s">
        <v>1628</v>
      </c>
      <c r="E460" s="411"/>
      <c r="F460" s="411" t="s">
        <v>816</v>
      </c>
      <c r="G460" s="411" t="s">
        <v>794</v>
      </c>
      <c r="H460" s="412">
        <v>5312.4650000000001</v>
      </c>
      <c r="I460" s="413" t="s">
        <v>183</v>
      </c>
      <c r="J460" s="414">
        <v>45062.059027777781</v>
      </c>
      <c r="K460" s="414"/>
      <c r="L460" s="414" t="s">
        <v>192</v>
      </c>
      <c r="M460" s="414" t="s">
        <v>192</v>
      </c>
      <c r="N460" s="413" t="str">
        <f t="shared" ref="N460:N471" si="31">IF(ISBLANK(J460)," ",IF(J460&lt;$F$454,"On time",(IF(DAY(J460-$F$454)&lt;1,"On time",(IF(J460&gt;$F$454,"DELAY ( "&amp;DAY(J460-$F$454)&amp;" day "&amp;HOUR(J460-$F$454)&amp;" hour "&amp;MINUTE(J460-$F$454)&amp;" minute )","xxx"))))))</f>
        <v>On time</v>
      </c>
      <c r="O460" s="51"/>
      <c r="P460" s="415" t="s">
        <v>551</v>
      </c>
      <c r="Q460" s="415" t="s">
        <v>551</v>
      </c>
      <c r="R460" s="415" t="s">
        <v>551</v>
      </c>
      <c r="S460" s="32"/>
      <c r="T460" s="416"/>
      <c r="U460" s="416"/>
      <c r="V460" s="416"/>
      <c r="W460" s="416"/>
      <c r="X460" s="416"/>
      <c r="Y460" s="416"/>
      <c r="Z460" s="416"/>
      <c r="AA460" s="416"/>
      <c r="AB460" s="416"/>
      <c r="AC460" s="416"/>
      <c r="AD460" s="416"/>
      <c r="AE460" s="416"/>
      <c r="AF460" s="416"/>
      <c r="AG460" s="416"/>
      <c r="AH460" s="416"/>
      <c r="AI460" s="416"/>
      <c r="AJ460" s="416"/>
      <c r="AK460" s="416"/>
      <c r="AL460" s="416"/>
      <c r="AM460" s="416"/>
      <c r="AN460" s="416"/>
      <c r="AO460" s="416"/>
      <c r="AP460" s="416"/>
      <c r="AQ460" s="416"/>
      <c r="AR460" s="416"/>
      <c r="AS460" s="416"/>
      <c r="AT460" s="416"/>
      <c r="AU460" s="416"/>
      <c r="AV460" s="416">
        <f>H460</f>
        <v>5312.4650000000001</v>
      </c>
      <c r="AW460" s="416"/>
      <c r="AX460" s="416"/>
      <c r="AY460" s="434"/>
      <c r="AZ460" s="416"/>
      <c r="BA460" s="416"/>
      <c r="BB460" s="416"/>
      <c r="BC460" s="416"/>
      <c r="BD460" s="32"/>
    </row>
    <row r="461" spans="2:56">
      <c r="B461" s="1256">
        <v>2</v>
      </c>
      <c r="C461" s="1257"/>
      <c r="D461" s="411" t="s">
        <v>1590</v>
      </c>
      <c r="E461" s="411"/>
      <c r="F461" s="411" t="s">
        <v>1307</v>
      </c>
      <c r="G461" s="411" t="s">
        <v>1308</v>
      </c>
      <c r="H461" s="412">
        <v>5328</v>
      </c>
      <c r="I461" s="413" t="s">
        <v>82</v>
      </c>
      <c r="J461" s="414">
        <v>45066.520833333336</v>
      </c>
      <c r="K461" s="414"/>
      <c r="L461" s="414" t="s">
        <v>192</v>
      </c>
      <c r="M461" s="414" t="s">
        <v>192</v>
      </c>
      <c r="N461" s="413" t="str">
        <f t="shared" si="31"/>
        <v>DELAY ( 4 day 6 hour 42 minute )</v>
      </c>
      <c r="O461" s="51"/>
      <c r="P461" s="415" t="s">
        <v>551</v>
      </c>
      <c r="Q461" s="415" t="s">
        <v>551</v>
      </c>
      <c r="R461" s="415" t="s">
        <v>551</v>
      </c>
      <c r="S461" s="32"/>
      <c r="T461" s="416"/>
      <c r="U461" s="416"/>
      <c r="V461" s="416"/>
      <c r="W461" s="416"/>
      <c r="X461" s="416"/>
      <c r="Y461" s="416"/>
      <c r="Z461" s="416"/>
      <c r="AA461" s="416"/>
      <c r="AB461" s="416"/>
      <c r="AC461" s="416"/>
      <c r="AD461" s="416"/>
      <c r="AE461" s="416"/>
      <c r="AF461" s="416"/>
      <c r="AG461" s="416"/>
      <c r="AH461" s="416"/>
      <c r="AI461" s="416"/>
      <c r="AJ461" s="416"/>
      <c r="AK461" s="416"/>
      <c r="AL461" s="416"/>
      <c r="AM461" s="416"/>
      <c r="AN461" s="416"/>
      <c r="AO461" s="416"/>
      <c r="AP461" s="416"/>
      <c r="AQ461" s="416"/>
      <c r="AR461" s="32"/>
      <c r="AS461" s="416"/>
      <c r="AT461" s="416">
        <f>H461</f>
        <v>5328</v>
      </c>
      <c r="AU461" s="416"/>
      <c r="AV461" s="416"/>
      <c r="AW461" s="416"/>
      <c r="AX461" s="416"/>
      <c r="AY461" s="416"/>
      <c r="AZ461" s="416"/>
      <c r="BA461" s="416"/>
      <c r="BB461" s="416"/>
      <c r="BC461" s="416"/>
      <c r="BD461" s="32"/>
    </row>
    <row r="462" spans="2:56">
      <c r="B462" s="1256">
        <v>3</v>
      </c>
      <c r="C462" s="1257"/>
      <c r="D462" s="411" t="s">
        <v>1503</v>
      </c>
      <c r="E462" s="411"/>
      <c r="F462" s="411" t="s">
        <v>371</v>
      </c>
      <c r="G462" s="411" t="s">
        <v>372</v>
      </c>
      <c r="H462" s="412">
        <v>7490.9530000000004</v>
      </c>
      <c r="I462" s="413" t="s">
        <v>235</v>
      </c>
      <c r="J462" s="414">
        <v>45067.711805555555</v>
      </c>
      <c r="K462" s="414"/>
      <c r="L462" s="414" t="s">
        <v>192</v>
      </c>
      <c r="M462" s="414" t="s">
        <v>192</v>
      </c>
      <c r="N462" s="413" t="str">
        <f t="shared" si="31"/>
        <v>DELAY ( 5 day 11 hour 17 minute )</v>
      </c>
      <c r="O462" s="51"/>
      <c r="P462" s="415" t="s">
        <v>551</v>
      </c>
      <c r="Q462" s="415" t="s">
        <v>551</v>
      </c>
      <c r="R462" s="415" t="s">
        <v>551</v>
      </c>
      <c r="S462" s="32"/>
      <c r="T462" s="416"/>
      <c r="U462" s="416"/>
      <c r="V462" s="416"/>
      <c r="W462" s="416"/>
      <c r="X462" s="416"/>
      <c r="Y462" s="416"/>
      <c r="Z462" s="416"/>
      <c r="AA462" s="416"/>
      <c r="AB462" s="416">
        <f>H462</f>
        <v>7490.9530000000004</v>
      </c>
      <c r="AC462" s="416"/>
      <c r="AD462" s="416"/>
      <c r="AE462" s="416"/>
      <c r="AF462" s="416"/>
      <c r="AG462" s="416"/>
      <c r="AH462" s="416"/>
      <c r="AI462" s="416"/>
      <c r="AJ462" s="416"/>
      <c r="AK462" s="416"/>
      <c r="AL462" s="416"/>
      <c r="AM462" s="416"/>
      <c r="AN462" s="416"/>
      <c r="AO462" s="416"/>
      <c r="AP462" s="416"/>
      <c r="AQ462" s="416"/>
      <c r="AR462" s="416"/>
      <c r="AS462" s="416"/>
      <c r="AT462" s="416"/>
      <c r="AU462" s="416"/>
      <c r="AV462" s="416"/>
      <c r="AW462" s="416"/>
      <c r="AX462" s="416"/>
      <c r="AY462" s="416"/>
      <c r="AZ462" s="416"/>
      <c r="BA462" s="416"/>
      <c r="BB462" s="416"/>
      <c r="BC462" s="416"/>
      <c r="BD462" s="32"/>
    </row>
    <row r="463" spans="2:56">
      <c r="B463" s="1256">
        <v>4</v>
      </c>
      <c r="C463" s="1257"/>
      <c r="D463" s="411" t="s">
        <v>1502</v>
      </c>
      <c r="E463" s="411"/>
      <c r="F463" s="411" t="s">
        <v>721</v>
      </c>
      <c r="G463" s="411" t="s">
        <v>1349</v>
      </c>
      <c r="H463" s="412">
        <v>7580.2139999999999</v>
      </c>
      <c r="I463" s="413" t="s">
        <v>235</v>
      </c>
      <c r="J463" s="414">
        <v>45067.784722222219</v>
      </c>
      <c r="K463" s="414"/>
      <c r="L463" s="414" t="s">
        <v>192</v>
      </c>
      <c r="M463" s="414" t="s">
        <v>192</v>
      </c>
      <c r="N463" s="413" t="str">
        <f t="shared" si="31"/>
        <v>DELAY ( 5 day 13 hour 2 minute )</v>
      </c>
      <c r="O463" s="51"/>
      <c r="P463" s="415" t="s">
        <v>551</v>
      </c>
      <c r="Q463" s="415" t="s">
        <v>551</v>
      </c>
      <c r="R463" s="415" t="s">
        <v>551</v>
      </c>
      <c r="S463" s="32"/>
      <c r="T463" s="416"/>
      <c r="U463" s="416"/>
      <c r="V463" s="416"/>
      <c r="W463" s="416"/>
      <c r="X463" s="416"/>
      <c r="Y463" s="416"/>
      <c r="Z463" s="416"/>
      <c r="AA463" s="416"/>
      <c r="AB463" s="416">
        <f>H463</f>
        <v>7580.2139999999999</v>
      </c>
      <c r="AC463" s="416"/>
      <c r="AD463" s="416"/>
      <c r="AE463" s="416"/>
      <c r="AF463" s="416"/>
      <c r="AG463" s="416"/>
      <c r="AH463" s="416"/>
      <c r="AI463" s="416"/>
      <c r="AJ463" s="416"/>
      <c r="AK463" s="416"/>
      <c r="AL463" s="416"/>
      <c r="AM463" s="416"/>
      <c r="AN463" s="416"/>
      <c r="AO463" s="416"/>
      <c r="AP463" s="416"/>
      <c r="AQ463" s="416"/>
      <c r="AR463" s="416"/>
      <c r="AS463" s="416"/>
      <c r="AT463" s="416"/>
      <c r="AU463" s="416"/>
      <c r="AV463" s="416"/>
      <c r="AW463" s="416"/>
      <c r="AX463" s="416"/>
      <c r="AY463" s="416"/>
      <c r="AZ463" s="416"/>
      <c r="BA463" s="416"/>
      <c r="BB463" s="416"/>
      <c r="BC463" s="416"/>
      <c r="BD463" s="32"/>
    </row>
    <row r="464" spans="2:56">
      <c r="B464" s="1256">
        <v>5</v>
      </c>
      <c r="C464" s="1257"/>
      <c r="D464" s="411" t="s">
        <v>1504</v>
      </c>
      <c r="E464" s="411"/>
      <c r="F464" s="411" t="s">
        <v>380</v>
      </c>
      <c r="G464" s="411" t="s">
        <v>381</v>
      </c>
      <c r="H464" s="412">
        <v>7733.1139999999996</v>
      </c>
      <c r="I464" s="413" t="s">
        <v>235</v>
      </c>
      <c r="J464" s="414">
        <v>45068.114583333336</v>
      </c>
      <c r="K464" s="414"/>
      <c r="L464" s="414" t="s">
        <v>192</v>
      </c>
      <c r="M464" s="414" t="s">
        <v>192</v>
      </c>
      <c r="N464" s="413" t="str">
        <f t="shared" si="31"/>
        <v>DELAY ( 5 day 20 hour 57 minute )</v>
      </c>
      <c r="O464" s="51"/>
      <c r="P464" s="415" t="s">
        <v>551</v>
      </c>
      <c r="Q464" s="415" t="s">
        <v>551</v>
      </c>
      <c r="R464" s="415" t="s">
        <v>551</v>
      </c>
      <c r="S464" s="32"/>
      <c r="T464" s="416"/>
      <c r="U464" s="416"/>
      <c r="V464" s="416"/>
      <c r="W464" s="416"/>
      <c r="X464" s="416"/>
      <c r="Y464" s="416"/>
      <c r="Z464" s="416"/>
      <c r="AA464" s="416"/>
      <c r="AB464" s="416">
        <f>H464</f>
        <v>7733.1139999999996</v>
      </c>
      <c r="AC464" s="416"/>
      <c r="AD464" s="416"/>
      <c r="AE464" s="416"/>
      <c r="AF464" s="416"/>
      <c r="AG464" s="416"/>
      <c r="AH464" s="416"/>
      <c r="AI464" s="416"/>
      <c r="AJ464" s="416"/>
      <c r="AK464" s="416"/>
      <c r="AL464" s="416"/>
      <c r="AM464" s="416"/>
      <c r="AN464" s="416"/>
      <c r="AO464" s="416"/>
      <c r="AP464" s="416"/>
      <c r="AQ464" s="416"/>
      <c r="AR464" s="416"/>
      <c r="AS464" s="416"/>
      <c r="AT464" s="416"/>
      <c r="AU464" s="416"/>
      <c r="AV464" s="416"/>
      <c r="AW464" s="416"/>
      <c r="AX464" s="416"/>
      <c r="AY464" s="416"/>
      <c r="AZ464" s="416"/>
      <c r="BA464" s="416"/>
      <c r="BB464" s="416"/>
      <c r="BC464" s="416"/>
      <c r="BD464" s="32"/>
    </row>
    <row r="465" spans="2:56">
      <c r="B465" s="1256">
        <v>6</v>
      </c>
      <c r="C465" s="1257"/>
      <c r="D465" s="411" t="s">
        <v>1505</v>
      </c>
      <c r="E465" s="411"/>
      <c r="F465" s="411" t="s">
        <v>774</v>
      </c>
      <c r="G465" s="411" t="s">
        <v>423</v>
      </c>
      <c r="H465" s="412">
        <v>7556.8819999999996</v>
      </c>
      <c r="I465" s="413" t="s">
        <v>240</v>
      </c>
      <c r="J465" s="414">
        <v>45067.666666666664</v>
      </c>
      <c r="K465" s="414"/>
      <c r="L465" s="414" t="s">
        <v>192</v>
      </c>
      <c r="M465" s="414" t="s">
        <v>192</v>
      </c>
      <c r="N465" s="413" t="str">
        <f t="shared" si="31"/>
        <v>DELAY ( 5 day 10 hour 12 minute )</v>
      </c>
      <c r="O465" s="51"/>
      <c r="P465" s="415" t="s">
        <v>551</v>
      </c>
      <c r="Q465" s="415" t="s">
        <v>551</v>
      </c>
      <c r="R465" s="415" t="s">
        <v>551</v>
      </c>
      <c r="S465" s="32"/>
      <c r="T465" s="416"/>
      <c r="U465" s="416"/>
      <c r="V465" s="416"/>
      <c r="W465" s="416"/>
      <c r="X465" s="416"/>
      <c r="Y465" s="416"/>
      <c r="Z465" s="416"/>
      <c r="AA465" s="416"/>
      <c r="AB465" s="32"/>
      <c r="AC465" s="416">
        <f>H465</f>
        <v>7556.8819999999996</v>
      </c>
      <c r="AD465" s="416"/>
      <c r="AE465" s="416"/>
      <c r="AF465" s="416"/>
      <c r="AG465" s="416"/>
      <c r="AH465" s="416"/>
      <c r="AI465" s="416"/>
      <c r="AJ465" s="416"/>
      <c r="AK465" s="416"/>
      <c r="AL465" s="416"/>
      <c r="AM465" s="416"/>
      <c r="AN465" s="416"/>
      <c r="AO465" s="416"/>
      <c r="AP465" s="416"/>
      <c r="AQ465" s="416"/>
      <c r="AR465" s="416"/>
      <c r="AS465" s="416"/>
      <c r="AT465" s="416"/>
      <c r="AU465" s="416"/>
      <c r="AV465" s="416"/>
      <c r="AW465" s="416"/>
      <c r="AX465" s="416"/>
      <c r="AY465" s="416"/>
      <c r="AZ465" s="416"/>
      <c r="BA465" s="416"/>
      <c r="BB465" s="416"/>
      <c r="BC465" s="416"/>
      <c r="BD465" s="32"/>
    </row>
    <row r="466" spans="2:56">
      <c r="B466" s="1256">
        <v>7</v>
      </c>
      <c r="C466" s="1257"/>
      <c r="D466" s="411" t="s">
        <v>1506</v>
      </c>
      <c r="E466" s="411"/>
      <c r="F466" s="411" t="s">
        <v>492</v>
      </c>
      <c r="G466" s="411" t="s">
        <v>493</v>
      </c>
      <c r="H466" s="412">
        <v>7569.66</v>
      </c>
      <c r="I466" s="413" t="s">
        <v>240</v>
      </c>
      <c r="J466" s="414">
        <v>45067.6875</v>
      </c>
      <c r="K466" s="414"/>
      <c r="L466" s="414" t="s">
        <v>192</v>
      </c>
      <c r="M466" s="414" t="s">
        <v>192</v>
      </c>
      <c r="N466" s="413" t="str">
        <f t="shared" si="31"/>
        <v>DELAY ( 5 day 10 hour 42 minute )</v>
      </c>
      <c r="O466" s="51"/>
      <c r="P466" s="415" t="s">
        <v>551</v>
      </c>
      <c r="Q466" s="415" t="s">
        <v>551</v>
      </c>
      <c r="R466" s="415" t="s">
        <v>551</v>
      </c>
      <c r="S466" s="32"/>
      <c r="T466" s="416"/>
      <c r="U466" s="416"/>
      <c r="V466" s="416"/>
      <c r="W466" s="416"/>
      <c r="X466" s="416"/>
      <c r="Y466" s="416"/>
      <c r="Z466" s="416"/>
      <c r="AA466" s="416"/>
      <c r="AB466" s="416"/>
      <c r="AC466" s="416">
        <f>H466</f>
        <v>7569.66</v>
      </c>
      <c r="AD466" s="416"/>
      <c r="AE466" s="416"/>
      <c r="AF466" s="416"/>
      <c r="AG466" s="416"/>
      <c r="AH466" s="416"/>
      <c r="AI466" s="416"/>
      <c r="AJ466" s="416"/>
      <c r="AK466" s="416"/>
      <c r="AL466" s="416"/>
      <c r="AM466" s="416"/>
      <c r="AN466" s="416"/>
      <c r="AO466" s="416"/>
      <c r="AP466" s="416"/>
      <c r="AQ466" s="416"/>
      <c r="AR466" s="416"/>
      <c r="AS466" s="416"/>
      <c r="AT466" s="416"/>
      <c r="AU466" s="416"/>
      <c r="AV466" s="416"/>
      <c r="AW466" s="416"/>
      <c r="AX466" s="416"/>
      <c r="AY466" s="416"/>
      <c r="AZ466" s="416"/>
      <c r="BA466" s="416"/>
      <c r="BB466" s="416"/>
      <c r="BC466" s="416"/>
      <c r="BD466" s="32"/>
    </row>
    <row r="467" spans="2:56">
      <c r="B467" s="1256">
        <v>8</v>
      </c>
      <c r="C467" s="1257"/>
      <c r="D467" s="411" t="s">
        <v>1508</v>
      </c>
      <c r="E467" s="411"/>
      <c r="F467" s="411" t="s">
        <v>352</v>
      </c>
      <c r="G467" s="411" t="s">
        <v>353</v>
      </c>
      <c r="H467" s="412">
        <v>9100.1990000000005</v>
      </c>
      <c r="I467" s="413" t="s">
        <v>235</v>
      </c>
      <c r="J467" s="414">
        <v>45067.701388888891</v>
      </c>
      <c r="K467" s="414"/>
      <c r="L467" s="414" t="s">
        <v>192</v>
      </c>
      <c r="M467" s="414" t="s">
        <v>192</v>
      </c>
      <c r="N467" s="413" t="str">
        <f t="shared" si="31"/>
        <v>DELAY ( 5 day 11 hour 2 minute )</v>
      </c>
      <c r="O467" s="51"/>
      <c r="P467" s="415" t="s">
        <v>551</v>
      </c>
      <c r="Q467" s="415" t="s">
        <v>551</v>
      </c>
      <c r="R467" s="415" t="s">
        <v>551</v>
      </c>
      <c r="S467" s="32"/>
      <c r="T467" s="416"/>
      <c r="U467" s="416"/>
      <c r="V467" s="416"/>
      <c r="W467" s="416"/>
      <c r="X467" s="416"/>
      <c r="Y467" s="416"/>
      <c r="Z467" s="416"/>
      <c r="AA467" s="416"/>
      <c r="AB467" s="416">
        <f>H467</f>
        <v>9100.1990000000005</v>
      </c>
      <c r="AC467" s="416"/>
      <c r="AD467" s="416"/>
      <c r="AE467" s="416"/>
      <c r="AF467" s="416"/>
      <c r="AG467" s="416"/>
      <c r="AH467" s="416"/>
      <c r="AI467" s="416"/>
      <c r="AJ467" s="286"/>
      <c r="AK467" s="416"/>
      <c r="AL467" s="416"/>
      <c r="AM467" s="416"/>
      <c r="AN467" s="416"/>
      <c r="AO467" s="416"/>
      <c r="AP467" s="416"/>
      <c r="AQ467" s="416"/>
      <c r="AR467" s="416"/>
      <c r="AS467" s="416"/>
      <c r="AT467" s="416"/>
      <c r="AU467" s="416"/>
      <c r="AV467" s="416"/>
      <c r="AW467" s="416"/>
      <c r="AX467" s="416"/>
      <c r="AY467" s="416"/>
      <c r="AZ467" s="416"/>
      <c r="BA467" s="416"/>
      <c r="BB467" s="416"/>
      <c r="BC467" s="416"/>
      <c r="BD467" s="32"/>
    </row>
    <row r="468" spans="2:56">
      <c r="B468" s="1256">
        <v>9</v>
      </c>
      <c r="C468" s="1257"/>
      <c r="D468" s="411" t="s">
        <v>1630</v>
      </c>
      <c r="E468" s="411"/>
      <c r="F468" s="411" t="s">
        <v>1631</v>
      </c>
      <c r="G468" s="411" t="s">
        <v>797</v>
      </c>
      <c r="H468" s="412">
        <v>5005.2139999999999</v>
      </c>
      <c r="I468" s="413" t="s">
        <v>183</v>
      </c>
      <c r="J468" s="414">
        <v>45068.590277777781</v>
      </c>
      <c r="K468" s="414"/>
      <c r="L468" s="414" t="s">
        <v>192</v>
      </c>
      <c r="M468" s="414" t="s">
        <v>192</v>
      </c>
      <c r="N468" s="413" t="str">
        <f t="shared" si="31"/>
        <v>DELAY ( 6 day 8 hour 22 minute )</v>
      </c>
      <c r="O468" s="51"/>
      <c r="P468" s="415" t="s">
        <v>551</v>
      </c>
      <c r="Q468" s="415" t="s">
        <v>551</v>
      </c>
      <c r="R468" s="415" t="s">
        <v>551</v>
      </c>
      <c r="S468" s="32"/>
      <c r="T468" s="416"/>
      <c r="U468" s="416"/>
      <c r="V468" s="416"/>
      <c r="W468" s="416"/>
      <c r="X468" s="416"/>
      <c r="Y468" s="416"/>
      <c r="Z468" s="416"/>
      <c r="AA468" s="416"/>
      <c r="AB468" s="416"/>
      <c r="AC468" s="416"/>
      <c r="AD468" s="416"/>
      <c r="AE468" s="416"/>
      <c r="AF468" s="416"/>
      <c r="AG468" s="416"/>
      <c r="AH468" s="416"/>
      <c r="AI468" s="416"/>
      <c r="AJ468" s="416"/>
      <c r="AK468" s="416"/>
      <c r="AL468" s="416"/>
      <c r="AM468" s="416"/>
      <c r="AN468" s="416"/>
      <c r="AO468" s="416"/>
      <c r="AP468" s="416"/>
      <c r="AQ468" s="416"/>
      <c r="AR468" s="416"/>
      <c r="AS468" s="416"/>
      <c r="AT468" s="416"/>
      <c r="AU468" s="416"/>
      <c r="AV468" s="416">
        <f>H468</f>
        <v>5005.2139999999999</v>
      </c>
      <c r="AW468" s="416"/>
      <c r="AX468" s="416"/>
      <c r="AY468" s="286"/>
      <c r="AZ468" s="416"/>
      <c r="BA468" s="416"/>
      <c r="BB468" s="416"/>
      <c r="BC468" s="416"/>
      <c r="BD468" s="32"/>
    </row>
    <row r="469" spans="2:56">
      <c r="B469" s="1256" t="s">
        <v>610</v>
      </c>
      <c r="C469" s="1276"/>
      <c r="D469" s="1276"/>
      <c r="E469" s="1276"/>
      <c r="F469" s="1276"/>
      <c r="G469" s="1257"/>
      <c r="H469" s="412">
        <f>H471-SUM(H460:H468)</f>
        <v>12373.298999999999</v>
      </c>
      <c r="I469" s="413" t="s">
        <v>1164</v>
      </c>
      <c r="J469" s="414"/>
      <c r="K469" s="414"/>
      <c r="L469" s="414"/>
      <c r="M469" s="414"/>
      <c r="N469" s="413" t="str">
        <f t="shared" si="31"/>
        <v xml:space="preserve"> </v>
      </c>
      <c r="O469" s="51"/>
      <c r="P469" s="415" t="s">
        <v>551</v>
      </c>
      <c r="Q469" s="415"/>
      <c r="R469" s="415"/>
      <c r="S469" s="32"/>
      <c r="T469" s="416"/>
      <c r="U469" s="416"/>
      <c r="V469" s="416"/>
      <c r="W469" s="416"/>
      <c r="X469" s="416">
        <f>H469</f>
        <v>12373.298999999999</v>
      </c>
      <c r="Y469" s="416"/>
      <c r="Z469" s="416"/>
      <c r="AA469" s="416"/>
      <c r="AB469" s="416"/>
      <c r="AC469" s="416"/>
      <c r="AD469" s="416"/>
      <c r="AE469" s="416"/>
      <c r="AF469" s="416"/>
      <c r="AG469" s="416"/>
      <c r="AH469" s="416"/>
      <c r="AI469" s="416"/>
      <c r="AJ469" s="416"/>
      <c r="AK469" s="416"/>
      <c r="AL469" s="416"/>
      <c r="AM469" s="416"/>
      <c r="AN469" s="416"/>
      <c r="AO469" s="416"/>
      <c r="AP469" s="416"/>
      <c r="AQ469" s="416"/>
      <c r="AR469" s="416"/>
      <c r="AS469" s="416"/>
      <c r="AT469" s="416"/>
      <c r="AU469" s="416"/>
      <c r="AV469" s="416"/>
      <c r="AW469" s="416"/>
      <c r="AX469" s="416"/>
      <c r="AY469" s="416"/>
      <c r="AZ469" s="416"/>
      <c r="BA469" s="416"/>
      <c r="BB469" s="416"/>
      <c r="BC469" s="416"/>
      <c r="BD469" s="32"/>
    </row>
    <row r="470" spans="2:56">
      <c r="B470" s="1258" t="s">
        <v>556</v>
      </c>
      <c r="C470" s="1259"/>
      <c r="D470" s="1259"/>
      <c r="E470" s="1259"/>
      <c r="F470" s="1259"/>
      <c r="G470" s="1260"/>
      <c r="H470" s="417">
        <f>SUM(H460:H469)</f>
        <v>75050</v>
      </c>
      <c r="I470" s="388"/>
      <c r="J470" s="293"/>
      <c r="K470" s="293"/>
      <c r="L470" s="293"/>
      <c r="M470" s="389"/>
      <c r="N470" s="413" t="str">
        <f t="shared" si="31"/>
        <v xml:space="preserve"> </v>
      </c>
      <c r="O470" s="47"/>
      <c r="P470" s="418"/>
      <c r="Q470" s="418"/>
      <c r="R470" s="418"/>
      <c r="S470" s="32"/>
      <c r="T470" s="1262"/>
      <c r="U470" s="1263"/>
      <c r="V470" s="1263"/>
      <c r="W470" s="1263"/>
      <c r="X470" s="1263"/>
      <c r="Y470" s="1263"/>
      <c r="Z470" s="1263"/>
      <c r="AA470" s="1263"/>
      <c r="AB470" s="1263"/>
      <c r="AC470" s="1263"/>
      <c r="AD470" s="1263"/>
      <c r="AE470" s="1263"/>
      <c r="AF470" s="1263"/>
      <c r="AG470" s="1263"/>
      <c r="AH470" s="1263"/>
      <c r="AI470" s="1263"/>
      <c r="AJ470" s="1263"/>
      <c r="AK470" s="1263"/>
      <c r="AL470" s="1263"/>
      <c r="AM470" s="1263"/>
      <c r="AN470" s="1263"/>
      <c r="AO470" s="1263"/>
      <c r="AP470" s="1263"/>
      <c r="AQ470" s="1263"/>
      <c r="AR470" s="1263"/>
      <c r="AS470" s="1263"/>
      <c r="AT470" s="1263"/>
      <c r="AU470" s="1263"/>
      <c r="AV470" s="1263"/>
      <c r="AW470" s="1263"/>
      <c r="AX470" s="1263"/>
      <c r="AY470" s="1263"/>
      <c r="AZ470" s="1263"/>
      <c r="BA470" s="1263"/>
      <c r="BB470" s="1263"/>
      <c r="BC470" s="1264"/>
    </row>
    <row r="471" spans="2:56">
      <c r="B471" s="1243" t="s">
        <v>557</v>
      </c>
      <c r="C471" s="1244"/>
      <c r="D471" s="1244"/>
      <c r="E471" s="1244"/>
      <c r="F471" s="1244"/>
      <c r="G471" s="1245"/>
      <c r="H471" s="419">
        <v>75050</v>
      </c>
      <c r="I471" s="1246"/>
      <c r="J471" s="1247"/>
      <c r="K471" s="1247"/>
      <c r="L471" s="1247"/>
      <c r="M471" s="1248"/>
      <c r="N471" s="413" t="str">
        <f t="shared" si="31"/>
        <v xml:space="preserve"> </v>
      </c>
      <c r="O471" s="32"/>
      <c r="P471" s="415"/>
      <c r="Q471" s="415"/>
      <c r="R471" s="415"/>
      <c r="S471" s="63"/>
      <c r="T471" s="416">
        <f t="shared" ref="T471:BC471" si="32">SUM(T460:T469)</f>
        <v>0</v>
      </c>
      <c r="U471" s="416">
        <f t="shared" si="32"/>
        <v>0</v>
      </c>
      <c r="V471" s="416">
        <f t="shared" si="32"/>
        <v>0</v>
      </c>
      <c r="W471" s="416">
        <f t="shared" si="32"/>
        <v>0</v>
      </c>
      <c r="X471" s="416">
        <f t="shared" si="32"/>
        <v>12373.298999999999</v>
      </c>
      <c r="Y471" s="416">
        <f t="shared" si="32"/>
        <v>0</v>
      </c>
      <c r="Z471" s="416">
        <f t="shared" si="32"/>
        <v>0</v>
      </c>
      <c r="AA471" s="416">
        <f t="shared" si="32"/>
        <v>0</v>
      </c>
      <c r="AB471" s="416">
        <f t="shared" si="32"/>
        <v>31904.480000000003</v>
      </c>
      <c r="AC471" s="416">
        <f t="shared" si="32"/>
        <v>15126.541999999999</v>
      </c>
      <c r="AD471" s="416">
        <f t="shared" si="32"/>
        <v>0</v>
      </c>
      <c r="AE471" s="416">
        <f t="shared" si="32"/>
        <v>0</v>
      </c>
      <c r="AF471" s="416">
        <f t="shared" si="32"/>
        <v>0</v>
      </c>
      <c r="AG471" s="416">
        <f t="shared" si="32"/>
        <v>0</v>
      </c>
      <c r="AH471" s="416">
        <f t="shared" si="32"/>
        <v>0</v>
      </c>
      <c r="AI471" s="416">
        <f t="shared" si="32"/>
        <v>0</v>
      </c>
      <c r="AJ471" s="416">
        <f t="shared" si="32"/>
        <v>0</v>
      </c>
      <c r="AK471" s="416">
        <f t="shared" si="32"/>
        <v>0</v>
      </c>
      <c r="AL471" s="416">
        <f t="shared" si="32"/>
        <v>0</v>
      </c>
      <c r="AM471" s="416">
        <f t="shared" si="32"/>
        <v>0</v>
      </c>
      <c r="AN471" s="416">
        <f t="shared" si="32"/>
        <v>0</v>
      </c>
      <c r="AO471" s="416">
        <f t="shared" si="32"/>
        <v>0</v>
      </c>
      <c r="AP471" s="416">
        <f t="shared" si="32"/>
        <v>0</v>
      </c>
      <c r="AQ471" s="416">
        <f t="shared" si="32"/>
        <v>0</v>
      </c>
      <c r="AR471" s="416">
        <f t="shared" si="32"/>
        <v>0</v>
      </c>
      <c r="AS471" s="416">
        <f t="shared" si="32"/>
        <v>0</v>
      </c>
      <c r="AT471" s="416">
        <f t="shared" si="32"/>
        <v>5328</v>
      </c>
      <c r="AU471" s="416">
        <f t="shared" si="32"/>
        <v>0</v>
      </c>
      <c r="AV471" s="416">
        <f t="shared" si="32"/>
        <v>10317.679</v>
      </c>
      <c r="AW471" s="416">
        <f t="shared" si="32"/>
        <v>0</v>
      </c>
      <c r="AX471" s="416">
        <f t="shared" si="32"/>
        <v>0</v>
      </c>
      <c r="AY471" s="416">
        <f t="shared" si="32"/>
        <v>0</v>
      </c>
      <c r="AZ471" s="416">
        <f t="shared" si="32"/>
        <v>0</v>
      </c>
      <c r="BA471" s="416">
        <f t="shared" si="32"/>
        <v>0</v>
      </c>
      <c r="BB471" s="416">
        <f t="shared" si="32"/>
        <v>0</v>
      </c>
      <c r="BC471" s="416">
        <f t="shared" si="32"/>
        <v>0</v>
      </c>
      <c r="BD471" s="416">
        <f>SUM(T471:BC471)</f>
        <v>75050</v>
      </c>
    </row>
    <row r="472" spans="2:56">
      <c r="B472" s="1243" t="s">
        <v>558</v>
      </c>
      <c r="C472" s="1244"/>
      <c r="D472" s="1244"/>
      <c r="E472" s="1244"/>
      <c r="F472" s="1244"/>
      <c r="G472" s="1245"/>
      <c r="H472" s="420">
        <f>H471-L454</f>
        <v>0</v>
      </c>
      <c r="I472" s="294"/>
      <c r="J472" s="295"/>
      <c r="K472" s="295"/>
      <c r="L472" s="296"/>
      <c r="M472" s="32"/>
      <c r="N472" s="32"/>
      <c r="O472" s="32"/>
      <c r="P472" s="32"/>
      <c r="Q472" s="297"/>
      <c r="R472" s="297"/>
      <c r="S472" s="32"/>
      <c r="T472" s="48"/>
      <c r="U472" s="48"/>
      <c r="V472" s="48"/>
      <c r="W472" s="48"/>
      <c r="X472" s="48"/>
      <c r="Y472" s="48"/>
      <c r="Z472" s="48"/>
      <c r="AA472" s="48"/>
      <c r="AB472" s="48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</row>
    <row r="473" spans="2:56">
      <c r="B473" s="1243" t="s">
        <v>559</v>
      </c>
      <c r="C473" s="1244"/>
      <c r="D473" s="1244"/>
      <c r="E473" s="1244"/>
      <c r="F473" s="1244"/>
      <c r="G473" s="1245"/>
      <c r="H473" s="420">
        <f>H470-H471</f>
        <v>0</v>
      </c>
      <c r="I473" s="52"/>
      <c r="J473" s="53"/>
      <c r="K473" s="53"/>
      <c r="L473" s="54"/>
      <c r="M473" s="32"/>
      <c r="N473" s="32"/>
      <c r="O473" s="32"/>
      <c r="P473" s="32"/>
      <c r="Q473" s="32"/>
      <c r="R473" s="32"/>
      <c r="S473" s="32"/>
      <c r="T473" s="48"/>
      <c r="U473" s="48"/>
      <c r="V473" s="48"/>
      <c r="W473" s="48"/>
      <c r="X473" s="48"/>
      <c r="Y473" s="48"/>
      <c r="Z473" s="48"/>
      <c r="AA473" s="48"/>
      <c r="AB473" s="48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</row>
    <row r="474" spans="2:56">
      <c r="B474" s="32"/>
      <c r="C474" s="32"/>
      <c r="D474" s="32"/>
      <c r="E474" s="32"/>
      <c r="F474" s="32"/>
      <c r="G474" s="32"/>
      <c r="H474" s="32"/>
      <c r="I474" s="57"/>
      <c r="J474" s="52"/>
      <c r="K474" s="52"/>
      <c r="L474" s="55"/>
      <c r="M474" s="32"/>
      <c r="N474" s="32"/>
      <c r="O474" s="52"/>
      <c r="P474" s="32"/>
      <c r="Q474" s="32"/>
      <c r="R474" s="32"/>
      <c r="S474" s="32"/>
      <c r="T474" s="48"/>
      <c r="U474" s="48"/>
      <c r="V474" s="48"/>
      <c r="W474" s="48"/>
      <c r="X474" s="48"/>
      <c r="Y474" s="48"/>
      <c r="Z474" s="48"/>
      <c r="AA474" s="48"/>
      <c r="AB474" s="48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</row>
    <row r="475" spans="2:56">
      <c r="B475" s="40" t="s">
        <v>561</v>
      </c>
      <c r="C475" s="40"/>
      <c r="D475" s="32"/>
      <c r="E475" s="32"/>
      <c r="F475" s="32"/>
      <c r="G475" s="32"/>
      <c r="H475" s="32"/>
      <c r="I475" s="32"/>
      <c r="J475" s="52"/>
      <c r="K475" s="52"/>
      <c r="L475" s="55"/>
      <c r="M475" s="32"/>
      <c r="N475" s="32"/>
      <c r="O475" s="52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BD475" s="32"/>
    </row>
    <row r="476" spans="2:56">
      <c r="B476" s="422"/>
      <c r="C476" s="1249"/>
      <c r="D476" s="1249"/>
      <c r="E476" s="1249"/>
      <c r="F476" s="1249"/>
      <c r="G476" s="1249"/>
      <c r="H476" s="1249"/>
      <c r="I476" s="1249"/>
      <c r="J476" s="1249"/>
      <c r="K476" s="1249"/>
      <c r="L476" s="55"/>
      <c r="M476" s="55"/>
      <c r="N476" s="32"/>
      <c r="O476" s="52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</row>
    <row r="478" spans="2:56">
      <c r="B478" s="28" t="s">
        <v>126</v>
      </c>
      <c r="C478" s="28"/>
      <c r="D478" s="29"/>
      <c r="E478" s="30" t="s">
        <v>511</v>
      </c>
      <c r="F478" s="31" t="s">
        <v>1678</v>
      </c>
      <c r="G478" s="32"/>
      <c r="H478" s="33"/>
      <c r="I478" s="34"/>
      <c r="J478" s="35" t="s">
        <v>513</v>
      </c>
      <c r="K478" s="36" t="s">
        <v>511</v>
      </c>
      <c r="L478" s="37">
        <v>45073.125</v>
      </c>
      <c r="M478" s="32"/>
      <c r="N478" s="32"/>
      <c r="O478" s="206"/>
      <c r="P478" s="205"/>
      <c r="Q478" s="202"/>
      <c r="R478" s="204"/>
      <c r="S478" s="38"/>
      <c r="T478" s="201"/>
      <c r="U478" s="201"/>
      <c r="V478" s="201"/>
      <c r="W478" s="201"/>
      <c r="X478" s="201"/>
      <c r="Y478" s="201"/>
      <c r="Z478" s="201"/>
      <c r="AA478" s="201"/>
      <c r="AB478" s="202"/>
      <c r="AC478" s="202"/>
      <c r="AD478" s="202"/>
      <c r="AE478" s="202"/>
      <c r="AF478" s="202"/>
      <c r="AG478" s="201"/>
      <c r="AH478" s="201"/>
      <c r="AI478" s="201"/>
      <c r="AJ478" s="201"/>
      <c r="AK478" s="201"/>
      <c r="AL478" s="201"/>
      <c r="AM478" s="201"/>
      <c r="AN478" s="201"/>
      <c r="AO478" s="201"/>
      <c r="AP478" s="201"/>
      <c r="AQ478" s="201"/>
      <c r="AR478" s="201"/>
      <c r="AS478" s="201"/>
      <c r="AT478" s="201"/>
      <c r="AU478" s="201"/>
      <c r="AV478" s="201"/>
      <c r="AW478" s="201"/>
      <c r="AX478" s="201"/>
      <c r="AY478" s="201"/>
      <c r="AZ478" s="201"/>
      <c r="BA478" s="201"/>
      <c r="BB478" s="201"/>
    </row>
    <row r="479" spans="2:56">
      <c r="B479" s="35" t="s">
        <v>514</v>
      </c>
      <c r="C479" s="35"/>
      <c r="D479" s="32"/>
      <c r="E479" s="36" t="s">
        <v>511</v>
      </c>
      <c r="F479" s="37" t="s">
        <v>1742</v>
      </c>
      <c r="G479" s="32"/>
      <c r="H479" s="33"/>
      <c r="I479" s="34"/>
      <c r="J479" s="35" t="s">
        <v>516</v>
      </c>
      <c r="K479" s="36" t="s">
        <v>511</v>
      </c>
      <c r="L479" s="37">
        <v>45074.833333333336</v>
      </c>
      <c r="M479" s="32"/>
      <c r="N479" s="32"/>
      <c r="O479" s="206"/>
      <c r="P479" s="205"/>
      <c r="Q479" s="202"/>
      <c r="R479" s="204"/>
      <c r="S479" s="38"/>
      <c r="T479" s="201"/>
      <c r="U479" s="201"/>
      <c r="V479" s="201"/>
      <c r="W479" s="201"/>
      <c r="X479" s="201"/>
      <c r="Y479" s="201"/>
      <c r="Z479" s="201"/>
      <c r="AA479" s="201"/>
      <c r="AB479" s="202"/>
      <c r="AC479" s="202"/>
      <c r="AD479" s="202"/>
      <c r="AE479" s="202"/>
      <c r="AF479" s="202"/>
      <c r="AG479" s="201"/>
      <c r="AH479" s="201"/>
      <c r="AI479" s="201"/>
      <c r="AJ479" s="201"/>
      <c r="AK479" s="201"/>
      <c r="AL479" s="201"/>
      <c r="AM479" s="201"/>
      <c r="AN479" s="201"/>
      <c r="AO479" s="201"/>
      <c r="AP479" s="201"/>
      <c r="AQ479" s="201"/>
      <c r="AR479" s="201"/>
      <c r="AS479" s="201"/>
      <c r="AT479" s="201"/>
      <c r="AU479" s="201"/>
      <c r="AV479" s="201"/>
      <c r="AW479" s="201"/>
      <c r="AX479" s="201"/>
      <c r="AY479" s="201"/>
      <c r="AZ479" s="201"/>
      <c r="BA479" s="201"/>
      <c r="BB479" s="201"/>
    </row>
    <row r="480" spans="2:56">
      <c r="B480" s="35" t="s">
        <v>517</v>
      </c>
      <c r="C480" s="35"/>
      <c r="D480" s="32"/>
      <c r="E480" s="36" t="s">
        <v>511</v>
      </c>
      <c r="F480" s="37">
        <v>45072.616666666669</v>
      </c>
      <c r="G480" s="32"/>
      <c r="H480" s="33"/>
      <c r="I480" s="34"/>
      <c r="J480" s="35" t="s">
        <v>518</v>
      </c>
      <c r="K480" s="36" t="s">
        <v>511</v>
      </c>
      <c r="L480" s="50">
        <v>57600</v>
      </c>
      <c r="M480" s="40" t="s">
        <v>519</v>
      </c>
      <c r="N480" s="40"/>
      <c r="O480" s="206"/>
      <c r="P480" s="205"/>
      <c r="Q480" s="202"/>
      <c r="R480" s="204"/>
      <c r="S480" s="38"/>
      <c r="T480" s="201"/>
      <c r="U480" s="201"/>
      <c r="V480" s="201"/>
      <c r="W480" s="201"/>
      <c r="X480" s="201"/>
      <c r="Y480" s="201"/>
      <c r="Z480" s="201"/>
      <c r="AA480" s="201"/>
      <c r="AB480" s="202"/>
      <c r="AC480" s="202"/>
      <c r="AD480" s="202"/>
      <c r="AE480" s="202"/>
      <c r="AF480" s="202"/>
      <c r="AG480" s="201"/>
      <c r="AH480" s="201"/>
      <c r="AI480" s="201"/>
      <c r="AJ480" s="201"/>
      <c r="AK480" s="201"/>
      <c r="AL480" s="201"/>
      <c r="AM480" s="201"/>
      <c r="AN480" s="201"/>
      <c r="AO480" s="201"/>
      <c r="AP480" s="201"/>
      <c r="AQ480" s="201"/>
      <c r="AR480" s="201"/>
      <c r="AS480" s="201"/>
      <c r="AT480" s="201"/>
      <c r="AU480" s="201"/>
      <c r="AV480" s="201"/>
      <c r="AW480" s="201"/>
      <c r="AX480" s="201"/>
      <c r="AY480" s="201"/>
      <c r="AZ480" s="201"/>
      <c r="BA480" s="201"/>
      <c r="BB480" s="201"/>
    </row>
    <row r="481" spans="2:54">
      <c r="B481" s="35" t="s">
        <v>520</v>
      </c>
      <c r="C481" s="35"/>
      <c r="D481" s="32"/>
      <c r="E481" s="36" t="s">
        <v>511</v>
      </c>
      <c r="F481" s="37" t="s">
        <v>4</v>
      </c>
      <c r="G481" s="32"/>
      <c r="H481" s="33"/>
      <c r="I481" s="34"/>
      <c r="J481" s="35" t="s">
        <v>521</v>
      </c>
      <c r="K481" s="36" t="s">
        <v>511</v>
      </c>
      <c r="L481" s="41" t="s">
        <v>1747</v>
      </c>
      <c r="M481" s="32"/>
      <c r="N481" s="32"/>
      <c r="O481" s="206"/>
      <c r="P481" s="202"/>
      <c r="Q481" s="202"/>
      <c r="R481" s="204"/>
      <c r="S481" s="38"/>
      <c r="T481" s="201"/>
      <c r="U481" s="201"/>
      <c r="V481" s="201"/>
      <c r="W481" s="201"/>
      <c r="X481" s="201"/>
      <c r="Y481" s="201"/>
      <c r="Z481" s="201"/>
      <c r="AA481" s="201"/>
      <c r="AB481" s="202"/>
      <c r="AC481" s="202"/>
      <c r="AD481" s="202"/>
      <c r="AE481" s="202"/>
      <c r="AF481" s="202"/>
      <c r="AG481" s="201"/>
      <c r="AH481" s="201"/>
      <c r="AI481" s="201"/>
      <c r="AJ481" s="201"/>
      <c r="AK481" s="201"/>
      <c r="AL481" s="201"/>
      <c r="AM481" s="201"/>
      <c r="AN481" s="201"/>
      <c r="AO481" s="201"/>
      <c r="AP481" s="201"/>
      <c r="AQ481" s="201"/>
      <c r="AR481" s="201"/>
      <c r="AS481" s="201"/>
      <c r="AT481" s="201"/>
      <c r="AU481" s="201"/>
      <c r="AV481" s="201"/>
      <c r="AW481" s="201"/>
      <c r="AX481" s="201"/>
      <c r="AY481" s="201"/>
      <c r="AZ481" s="201"/>
      <c r="BA481" s="201"/>
      <c r="BB481" s="201"/>
    </row>
    <row r="482" spans="2:54">
      <c r="B482" s="35" t="s">
        <v>523</v>
      </c>
      <c r="C482" s="35"/>
      <c r="D482" s="32"/>
      <c r="E482" s="36" t="s">
        <v>511</v>
      </c>
      <c r="F482" s="37" t="s">
        <v>5</v>
      </c>
      <c r="G482" s="32"/>
      <c r="H482" s="33"/>
      <c r="I482" s="34"/>
      <c r="J482" s="42" t="s">
        <v>524</v>
      </c>
      <c r="K482" s="36" t="s">
        <v>511</v>
      </c>
      <c r="L482" s="43" t="s">
        <v>11</v>
      </c>
      <c r="M482" s="44"/>
      <c r="N482" s="44"/>
      <c r="O482" s="206"/>
      <c r="P482" s="205"/>
      <c r="Q482" s="202"/>
      <c r="R482" s="204"/>
      <c r="S482" s="38"/>
      <c r="T482" s="201"/>
      <c r="U482" s="201"/>
      <c r="V482" s="201"/>
      <c r="W482" s="201"/>
      <c r="X482" s="201"/>
      <c r="Y482" s="201"/>
      <c r="Z482" s="201"/>
      <c r="AA482" s="201"/>
      <c r="AB482" s="202"/>
      <c r="AC482" s="202"/>
      <c r="AD482" s="202"/>
      <c r="AE482" s="202"/>
      <c r="AF482" s="202"/>
      <c r="AG482" s="201"/>
      <c r="AH482" s="201"/>
      <c r="AI482" s="201"/>
      <c r="AJ482" s="201"/>
      <c r="AK482" s="201"/>
      <c r="AL482" s="201"/>
      <c r="AM482" s="201"/>
      <c r="AN482" s="201"/>
      <c r="AO482" s="201"/>
      <c r="AP482" s="201"/>
      <c r="AQ482" s="201"/>
      <c r="AR482" s="201"/>
      <c r="AS482" s="201"/>
      <c r="AT482" s="201"/>
      <c r="AU482" s="201"/>
      <c r="AV482" s="201"/>
      <c r="AW482" s="201"/>
      <c r="AX482" s="201"/>
      <c r="AY482" s="201"/>
      <c r="AZ482" s="201"/>
      <c r="BA482" s="201"/>
      <c r="BB482" s="201"/>
    </row>
    <row r="483" spans="2:54">
      <c r="B483" s="35" t="s">
        <v>2</v>
      </c>
      <c r="C483" s="35"/>
      <c r="D483" s="32"/>
      <c r="E483" s="36" t="s">
        <v>511</v>
      </c>
      <c r="F483" s="37" t="s">
        <v>31</v>
      </c>
      <c r="G483" s="32"/>
      <c r="H483" s="33"/>
      <c r="I483" s="45"/>
      <c r="J483" s="42"/>
      <c r="K483" s="36"/>
      <c r="L483" s="211"/>
      <c r="M483" s="201"/>
      <c r="N483" s="201"/>
      <c r="O483" s="42"/>
      <c r="P483" s="44"/>
      <c r="Q483" s="44"/>
      <c r="R483" s="44"/>
      <c r="S483" s="34"/>
      <c r="T483" s="201"/>
      <c r="U483" s="201"/>
      <c r="V483" s="201"/>
      <c r="W483" s="201"/>
      <c r="X483" s="201"/>
      <c r="Y483" s="201"/>
      <c r="Z483" s="201"/>
      <c r="AA483" s="201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201"/>
      <c r="AP483" s="201"/>
      <c r="AQ483" s="201"/>
      <c r="AR483" s="201"/>
      <c r="AS483" s="201"/>
      <c r="AT483" s="201"/>
      <c r="AU483" s="201"/>
      <c r="AV483" s="201"/>
      <c r="AW483" s="201"/>
      <c r="AX483" s="201"/>
      <c r="AY483" s="201"/>
      <c r="AZ483" s="201"/>
      <c r="BA483" s="201"/>
      <c r="BB483" s="201"/>
    </row>
    <row r="484" spans="2:54">
      <c r="B484" s="201"/>
      <c r="C484" s="201"/>
      <c r="D484" s="201"/>
      <c r="E484" s="201"/>
      <c r="F484" s="201"/>
      <c r="G484" s="201"/>
      <c r="H484" s="201"/>
      <c r="I484" s="45"/>
      <c r="J484" s="42"/>
      <c r="K484" s="42"/>
      <c r="L484" s="43"/>
      <c r="M484" s="44"/>
      <c r="N484" s="44"/>
      <c r="O484" s="42"/>
      <c r="P484" s="44"/>
      <c r="Q484" s="44"/>
      <c r="R484" s="44"/>
      <c r="S484" s="34"/>
      <c r="T484" s="1265" t="s">
        <v>87</v>
      </c>
      <c r="U484" s="1265"/>
      <c r="V484" s="1265"/>
      <c r="W484" s="1265"/>
      <c r="X484" s="1265"/>
      <c r="Y484" s="1265" t="s">
        <v>73</v>
      </c>
      <c r="Z484" s="1265"/>
      <c r="AA484" s="1265"/>
      <c r="AB484" s="1265" t="s">
        <v>74</v>
      </c>
      <c r="AC484" s="1265"/>
      <c r="AD484" s="423" t="s">
        <v>85</v>
      </c>
      <c r="AE484" s="423" t="s">
        <v>77</v>
      </c>
      <c r="AF484" s="1271" t="s">
        <v>525</v>
      </c>
      <c r="AG484" s="1272"/>
      <c r="AH484" s="1272"/>
      <c r="AI484" s="1272"/>
      <c r="AJ484" s="1272"/>
      <c r="AK484" s="1272"/>
      <c r="AL484" s="1272"/>
      <c r="AM484" s="1272"/>
      <c r="AN484" s="1272"/>
      <c r="AO484" s="1272"/>
      <c r="AP484" s="1272"/>
      <c r="AQ484" s="1272"/>
      <c r="AR484" s="1272"/>
      <c r="AS484" s="1272"/>
      <c r="AT484" s="1272"/>
      <c r="AU484" s="1272"/>
      <c r="AV484" s="1272"/>
      <c r="AW484" s="1272"/>
      <c r="AX484" s="1272"/>
      <c r="AY484" s="1272"/>
      <c r="AZ484" s="1272"/>
      <c r="BA484" s="1272"/>
      <c r="BB484" s="201"/>
    </row>
    <row r="485" spans="2:54">
      <c r="B485" s="1266" t="s">
        <v>526</v>
      </c>
      <c r="C485" s="1267"/>
      <c r="D485" s="570" t="s">
        <v>527</v>
      </c>
      <c r="E485" s="570"/>
      <c r="F485" s="570" t="s">
        <v>528</v>
      </c>
      <c r="G485" s="570" t="s">
        <v>529</v>
      </c>
      <c r="H485" s="570" t="s">
        <v>530</v>
      </c>
      <c r="I485" s="570" t="s">
        <v>531</v>
      </c>
      <c r="J485" s="570" t="s">
        <v>532</v>
      </c>
      <c r="K485" s="570"/>
      <c r="L485" s="570" t="s">
        <v>130</v>
      </c>
      <c r="M485" s="570" t="s">
        <v>533</v>
      </c>
      <c r="N485" s="408" t="str">
        <f>"On time - "&amp;COUNTIF(N486:N500,"On time")&amp;" from "&amp;ROWS(N486:N500)-COUNTIF(N486:N500," ")</f>
        <v>On time - 8 from 8</v>
      </c>
      <c r="O485" s="46"/>
      <c r="P485" s="409" t="s">
        <v>534</v>
      </c>
      <c r="Q485" s="409" t="s">
        <v>535</v>
      </c>
      <c r="R485" s="409" t="s">
        <v>536</v>
      </c>
      <c r="S485" s="32"/>
      <c r="T485" s="424" t="s">
        <v>537</v>
      </c>
      <c r="U485" s="424" t="s">
        <v>538</v>
      </c>
      <c r="V485" s="424" t="s">
        <v>539</v>
      </c>
      <c r="W485" s="424" t="s">
        <v>540</v>
      </c>
      <c r="X485" s="424" t="s">
        <v>541</v>
      </c>
      <c r="Y485" s="424" t="s">
        <v>167</v>
      </c>
      <c r="Z485" s="424" t="s">
        <v>168</v>
      </c>
      <c r="AA485" s="424" t="s">
        <v>169</v>
      </c>
      <c r="AB485" s="424" t="s">
        <v>235</v>
      </c>
      <c r="AC485" s="424" t="s">
        <v>240</v>
      </c>
      <c r="AD485" s="423" t="s">
        <v>85</v>
      </c>
      <c r="AE485" s="424" t="s">
        <v>139</v>
      </c>
      <c r="AF485" s="424" t="s">
        <v>72</v>
      </c>
      <c r="AG485" s="424" t="s">
        <v>88</v>
      </c>
      <c r="AH485" s="424" t="s">
        <v>75</v>
      </c>
      <c r="AI485" s="424" t="s">
        <v>543</v>
      </c>
      <c r="AJ485" s="424" t="s">
        <v>78</v>
      </c>
      <c r="AK485" s="424" t="s">
        <v>76</v>
      </c>
      <c r="AL485" s="424" t="s">
        <v>544</v>
      </c>
      <c r="AM485" s="424" t="s">
        <v>545</v>
      </c>
      <c r="AN485" s="424" t="s">
        <v>86</v>
      </c>
      <c r="AO485" s="424" t="s">
        <v>83</v>
      </c>
      <c r="AP485" s="424" t="s">
        <v>84</v>
      </c>
      <c r="AQ485" s="424" t="s">
        <v>546</v>
      </c>
      <c r="AR485" s="424" t="s">
        <v>81</v>
      </c>
      <c r="AS485" s="424" t="s">
        <v>80</v>
      </c>
      <c r="AT485" s="424" t="s">
        <v>82</v>
      </c>
      <c r="AU485" s="424" t="s">
        <v>181</v>
      </c>
      <c r="AV485" s="424" t="s">
        <v>183</v>
      </c>
      <c r="AW485" s="424" t="s">
        <v>547</v>
      </c>
      <c r="AX485" s="424" t="s">
        <v>182</v>
      </c>
      <c r="AY485" s="424" t="s">
        <v>172</v>
      </c>
      <c r="AZ485" s="424" t="s">
        <v>173</v>
      </c>
      <c r="BA485" s="424" t="s">
        <v>184</v>
      </c>
      <c r="BB485" s="201"/>
    </row>
    <row r="486" spans="2:54">
      <c r="B486" s="1256" t="s">
        <v>668</v>
      </c>
      <c r="C486" s="1257"/>
      <c r="D486" s="411" t="s">
        <v>1676</v>
      </c>
      <c r="E486" s="411"/>
      <c r="F486" s="411" t="s">
        <v>277</v>
      </c>
      <c r="G486" s="411" t="s">
        <v>278</v>
      </c>
      <c r="H486" s="412">
        <v>3194.4209999999998</v>
      </c>
      <c r="I486" s="413" t="s">
        <v>1677</v>
      </c>
      <c r="J486" s="414">
        <v>45068.395833333336</v>
      </c>
      <c r="K486" s="414"/>
      <c r="L486" s="414" t="s">
        <v>192</v>
      </c>
      <c r="M486" s="414" t="s">
        <v>192</v>
      </c>
      <c r="N486" s="413" t="str">
        <f>IF(ISBLANK(J486)," ",IF(J486&lt;$F$480,"On time",(IF(DAY(J486-$F$480)&lt;1,"On time",(IF(J486&gt;$F$480,"DELAY ( "&amp;DAY(J486-$F$480)&amp;" day "&amp;HOUR(J486-$F$480)&amp;" hour "&amp;MINUTE(J486-$F$480)&amp;" minute )","xxx"))))))</f>
        <v>On time</v>
      </c>
      <c r="O486" s="51"/>
      <c r="P486" s="415" t="s">
        <v>551</v>
      </c>
      <c r="Q486" s="415" t="s">
        <v>551</v>
      </c>
      <c r="R486" s="415" t="s">
        <v>551</v>
      </c>
      <c r="S486" s="32"/>
      <c r="T486" s="416"/>
      <c r="U486" s="416"/>
      <c r="V486" s="416"/>
      <c r="W486" s="416"/>
      <c r="X486" s="416"/>
      <c r="Y486" s="416">
        <f>(H486*0.75)</f>
        <v>2395.8157499999998</v>
      </c>
      <c r="Z486" s="416">
        <f>(H486*0.25)</f>
        <v>798.60524999999996</v>
      </c>
      <c r="AA486" s="416"/>
      <c r="AB486" s="416"/>
      <c r="AC486" s="416"/>
      <c r="AD486" s="416"/>
      <c r="AE486" s="416"/>
      <c r="AF486" s="416"/>
      <c r="AG486" s="416"/>
      <c r="AH486" s="416"/>
      <c r="AI486" s="416"/>
      <c r="AJ486" s="416"/>
      <c r="AK486" s="416"/>
      <c r="AL486" s="416"/>
      <c r="AM486" s="416"/>
      <c r="AN486" s="416"/>
      <c r="AO486" s="416"/>
      <c r="AP486" s="416"/>
      <c r="AQ486" s="416"/>
      <c r="AR486" s="416"/>
      <c r="AS486" s="416"/>
      <c r="AT486" s="416"/>
      <c r="AU486" s="416"/>
      <c r="AV486" s="416"/>
      <c r="AW486" s="416"/>
      <c r="AX486" s="416"/>
      <c r="AY486" s="416"/>
      <c r="AZ486" s="416"/>
      <c r="BA486" s="416"/>
      <c r="BB486" s="32"/>
    </row>
    <row r="487" spans="2:54">
      <c r="B487" s="1256" t="s">
        <v>616</v>
      </c>
      <c r="C487" s="1257"/>
      <c r="D487" s="411" t="s">
        <v>1683</v>
      </c>
      <c r="E487" s="411"/>
      <c r="F487" s="411" t="s">
        <v>252</v>
      </c>
      <c r="G487" s="411" t="s">
        <v>253</v>
      </c>
      <c r="H487" s="412">
        <v>7514.03</v>
      </c>
      <c r="I487" s="413" t="s">
        <v>494</v>
      </c>
      <c r="J487" s="414">
        <v>45071.416666666664</v>
      </c>
      <c r="K487" s="414"/>
      <c r="L487" s="414" t="s">
        <v>192</v>
      </c>
      <c r="M487" s="414" t="s">
        <v>192</v>
      </c>
      <c r="N487" s="413" t="str">
        <f t="shared" ref="N487:N503" si="33">IF(ISBLANK(J487)," ",IF(J487&lt;$F$480,"On time",(IF(DAY(J487-$F$480)&lt;1,"On time",(IF(J487&gt;$F$480,"DELAY ( "&amp;DAY(J487-$F$480)&amp;" day "&amp;HOUR(J487-$F$480)&amp;" hour "&amp;MINUTE(J487-$F$480)&amp;" minute )","xxx"))))))</f>
        <v>On time</v>
      </c>
      <c r="O487" s="51"/>
      <c r="P487" s="415" t="s">
        <v>551</v>
      </c>
      <c r="Q487" s="415" t="s">
        <v>551</v>
      </c>
      <c r="R487" s="415" t="s">
        <v>551</v>
      </c>
      <c r="S487" s="32"/>
      <c r="T487" s="416"/>
      <c r="U487" s="416"/>
      <c r="V487" s="416"/>
      <c r="W487" s="416"/>
      <c r="X487" s="416"/>
      <c r="Y487" s="416">
        <f>H487</f>
        <v>7514.03</v>
      </c>
      <c r="Z487" s="416"/>
      <c r="AA487" s="416"/>
      <c r="AB487" s="416"/>
      <c r="AC487" s="416"/>
      <c r="AD487" s="416"/>
      <c r="AE487" s="416"/>
      <c r="AF487" s="416"/>
      <c r="AG487" s="416"/>
      <c r="AH487" s="416"/>
      <c r="AI487" s="416"/>
      <c r="AJ487" s="416"/>
      <c r="AK487" s="416"/>
      <c r="AL487" s="416"/>
      <c r="AM487" s="416"/>
      <c r="AN487" s="416"/>
      <c r="AO487" s="416"/>
      <c r="AP487" s="416"/>
      <c r="AQ487" s="416"/>
      <c r="AR487" s="416"/>
      <c r="AS487" s="416"/>
      <c r="AT487" s="416"/>
      <c r="AU487" s="416"/>
      <c r="AV487" s="416"/>
      <c r="AW487" s="416"/>
      <c r="AX487" s="416"/>
      <c r="AY487" s="416"/>
      <c r="AZ487" s="416"/>
      <c r="BA487" s="416"/>
      <c r="BB487" s="32"/>
    </row>
    <row r="488" spans="2:54">
      <c r="B488" s="1256" t="s">
        <v>616</v>
      </c>
      <c r="C488" s="1257"/>
      <c r="D488" s="411" t="s">
        <v>1684</v>
      </c>
      <c r="E488" s="411"/>
      <c r="F488" s="411" t="s">
        <v>205</v>
      </c>
      <c r="G488" s="411" t="s">
        <v>206</v>
      </c>
      <c r="H488" s="412">
        <v>7341.9530000000004</v>
      </c>
      <c r="I488" s="413" t="s">
        <v>494</v>
      </c>
      <c r="J488" s="414">
        <v>45071.875</v>
      </c>
      <c r="K488" s="414"/>
      <c r="L488" s="414" t="s">
        <v>192</v>
      </c>
      <c r="M488" s="414" t="s">
        <v>192</v>
      </c>
      <c r="N488" s="413" t="str">
        <f t="shared" si="33"/>
        <v>On time</v>
      </c>
      <c r="O488" s="51"/>
      <c r="P488" s="415" t="s">
        <v>551</v>
      </c>
      <c r="Q488" s="415" t="s">
        <v>551</v>
      </c>
      <c r="R488" s="415" t="s">
        <v>551</v>
      </c>
      <c r="S488" s="32"/>
      <c r="T488" s="416"/>
      <c r="U488" s="416"/>
      <c r="V488" s="416"/>
      <c r="W488" s="416"/>
      <c r="X488" s="416"/>
      <c r="Y488" s="416">
        <f>H488</f>
        <v>7341.9530000000004</v>
      </c>
      <c r="Z488" s="416"/>
      <c r="AA488" s="416"/>
      <c r="AB488" s="416"/>
      <c r="AC488" s="416"/>
      <c r="AD488" s="416"/>
      <c r="AE488" s="416"/>
      <c r="AF488" s="416"/>
      <c r="AG488" s="416"/>
      <c r="AH488" s="416"/>
      <c r="AI488" s="416"/>
      <c r="AJ488" s="416"/>
      <c r="AK488" s="416"/>
      <c r="AL488" s="416"/>
      <c r="AM488" s="416"/>
      <c r="AN488" s="416"/>
      <c r="AO488" s="416"/>
      <c r="AP488" s="416"/>
      <c r="AQ488" s="416"/>
      <c r="AR488" s="416"/>
      <c r="AS488" s="416"/>
      <c r="AT488" s="416"/>
      <c r="AU488" s="416"/>
      <c r="AV488" s="416"/>
      <c r="AW488" s="416"/>
      <c r="AX488" s="416"/>
      <c r="AY488" s="416"/>
      <c r="AZ488" s="416"/>
      <c r="BA488" s="416"/>
      <c r="BB488" s="32"/>
    </row>
    <row r="489" spans="2:54">
      <c r="B489" s="1258" t="s">
        <v>1721</v>
      </c>
      <c r="C489" s="1259"/>
      <c r="D489" s="1259"/>
      <c r="E489" s="1259"/>
      <c r="F489" s="1259"/>
      <c r="G489" s="1260"/>
      <c r="H489" s="417">
        <f>SUM(H486:H488)</f>
        <v>18050.403999999999</v>
      </c>
      <c r="I489" s="388"/>
      <c r="J489" s="293"/>
      <c r="K489" s="293"/>
      <c r="L489" s="293"/>
      <c r="M489" s="389"/>
      <c r="N489" s="413" t="str">
        <f t="shared" si="33"/>
        <v xml:space="preserve"> </v>
      </c>
      <c r="O489" s="212"/>
      <c r="P489" s="418"/>
      <c r="Q489" s="418"/>
      <c r="R489" s="418"/>
      <c r="S489" s="207"/>
      <c r="T489" s="428"/>
      <c r="U489" s="428"/>
      <c r="V489" s="428"/>
      <c r="W489" s="428"/>
      <c r="X489" s="428"/>
      <c r="Y489" s="428"/>
      <c r="Z489" s="428"/>
      <c r="AA489" s="428"/>
      <c r="AB489" s="428"/>
      <c r="AC489" s="428"/>
      <c r="AD489" s="428"/>
      <c r="AE489" s="428"/>
      <c r="AF489" s="428"/>
      <c r="AG489" s="428"/>
      <c r="AH489" s="428"/>
      <c r="AI489" s="428"/>
      <c r="AJ489" s="428"/>
      <c r="AK489" s="428"/>
      <c r="AL489" s="428"/>
      <c r="AM489" s="428"/>
      <c r="AN489" s="428"/>
      <c r="AO489" s="428"/>
      <c r="AP489" s="428"/>
      <c r="AQ489" s="428"/>
      <c r="AR489" s="428"/>
      <c r="AS489" s="428"/>
      <c r="AT489" s="428"/>
      <c r="AU489" s="428"/>
      <c r="AV489" s="416"/>
      <c r="AW489" s="416"/>
      <c r="AX489" s="416"/>
      <c r="AY489" s="416"/>
      <c r="AZ489" s="416"/>
      <c r="BA489" s="416"/>
    </row>
    <row r="490" spans="2:54">
      <c r="B490" s="1250" t="s">
        <v>619</v>
      </c>
      <c r="C490" s="1251"/>
      <c r="D490" s="411" t="s">
        <v>1680</v>
      </c>
      <c r="E490" s="411"/>
      <c r="F490" s="411" t="s">
        <v>298</v>
      </c>
      <c r="G490" s="411" t="s">
        <v>299</v>
      </c>
      <c r="H490" s="412">
        <v>10491.816000000001</v>
      </c>
      <c r="I490" s="413" t="s">
        <v>1681</v>
      </c>
      <c r="J490" s="414">
        <v>45071.041666666664</v>
      </c>
      <c r="K490" s="414"/>
      <c r="L490" s="414" t="s">
        <v>192</v>
      </c>
      <c r="M490" s="414" t="s">
        <v>192</v>
      </c>
      <c r="N490" s="413" t="str">
        <f t="shared" si="33"/>
        <v>On time</v>
      </c>
      <c r="O490" s="51"/>
      <c r="P490" s="415" t="s">
        <v>551</v>
      </c>
      <c r="Q490" s="415" t="s">
        <v>551</v>
      </c>
      <c r="R490" s="415" t="s">
        <v>551</v>
      </c>
      <c r="S490" s="32"/>
      <c r="T490" s="416"/>
      <c r="U490" s="416"/>
      <c r="V490" s="416"/>
      <c r="W490" s="416"/>
      <c r="X490" s="416"/>
      <c r="Y490" s="416">
        <f>H490*0.8</f>
        <v>8393.4528000000009</v>
      </c>
      <c r="Z490" s="416">
        <f>H490*0.2</f>
        <v>2098.3632000000002</v>
      </c>
      <c r="AA490" s="416"/>
      <c r="AB490" s="416"/>
      <c r="AC490" s="416"/>
      <c r="AD490" s="416"/>
      <c r="AE490" s="416"/>
      <c r="AF490" s="416"/>
      <c r="AG490" s="416"/>
      <c r="AH490" s="416"/>
      <c r="AI490" s="416"/>
      <c r="AJ490" s="416"/>
      <c r="AK490" s="416"/>
      <c r="AL490" s="416"/>
      <c r="AM490" s="416"/>
      <c r="AN490" s="416"/>
      <c r="AO490" s="416"/>
      <c r="AP490" s="416"/>
      <c r="AQ490" s="416"/>
      <c r="AR490" s="416"/>
      <c r="AS490" s="416"/>
      <c r="AT490" s="416"/>
      <c r="AU490" s="416"/>
      <c r="AV490" s="416"/>
      <c r="AW490" s="416"/>
      <c r="AX490" s="416"/>
      <c r="AY490" s="416"/>
      <c r="AZ490" s="416"/>
      <c r="BA490" s="416"/>
      <c r="BB490" s="32"/>
    </row>
    <row r="491" spans="2:54">
      <c r="B491" s="1252"/>
      <c r="C491" s="1253"/>
      <c r="D491" s="411"/>
      <c r="E491" s="411"/>
      <c r="F491" s="1256" t="s">
        <v>668</v>
      </c>
      <c r="G491" s="1257"/>
      <c r="H491" s="412">
        <v>1500</v>
      </c>
      <c r="I491" s="413"/>
      <c r="J491" s="414"/>
      <c r="K491" s="414"/>
      <c r="L491" s="414"/>
      <c r="M491" s="414"/>
      <c r="N491" s="413" t="str">
        <f t="shared" si="33"/>
        <v xml:space="preserve"> </v>
      </c>
      <c r="O491" s="51"/>
      <c r="P491" s="415"/>
      <c r="Q491" s="415"/>
      <c r="R491" s="415"/>
      <c r="S491" s="32"/>
      <c r="T491" s="416"/>
      <c r="U491" s="416"/>
      <c r="V491" s="416"/>
      <c r="W491" s="416"/>
      <c r="X491" s="416"/>
      <c r="Y491" s="416"/>
      <c r="Z491" s="416"/>
      <c r="AA491" s="416"/>
      <c r="AB491" s="416"/>
      <c r="AC491" s="416"/>
      <c r="AD491" s="416"/>
      <c r="AE491" s="416"/>
      <c r="AF491" s="416"/>
      <c r="AG491" s="416"/>
      <c r="AH491" s="416"/>
      <c r="AI491" s="416"/>
      <c r="AJ491" s="416"/>
      <c r="AK491" s="416"/>
      <c r="AL491" s="416"/>
      <c r="AM491" s="416"/>
      <c r="AN491" s="416"/>
      <c r="AO491" s="416"/>
      <c r="AP491" s="416"/>
      <c r="AQ491" s="416"/>
      <c r="AR491" s="416"/>
      <c r="AS491" s="416"/>
      <c r="AT491" s="416"/>
      <c r="AU491" s="416"/>
      <c r="AV491" s="416"/>
      <c r="AW491" s="416"/>
      <c r="AX491" s="416"/>
      <c r="AY491" s="416"/>
      <c r="AZ491" s="416"/>
      <c r="BA491" s="416"/>
      <c r="BB491" s="32"/>
    </row>
    <row r="492" spans="2:54">
      <c r="B492" s="1254"/>
      <c r="C492" s="1255"/>
      <c r="D492" s="411"/>
      <c r="E492" s="411"/>
      <c r="F492" s="1256" t="s">
        <v>616</v>
      </c>
      <c r="G492" s="1257"/>
      <c r="H492" s="412">
        <v>4000</v>
      </c>
      <c r="I492" s="413"/>
      <c r="J492" s="414"/>
      <c r="K492" s="414"/>
      <c r="L492" s="414"/>
      <c r="M492" s="414"/>
      <c r="N492" s="413" t="str">
        <f t="shared" si="33"/>
        <v xml:space="preserve"> </v>
      </c>
      <c r="O492" s="51"/>
      <c r="P492" s="415"/>
      <c r="Q492" s="415"/>
      <c r="R492" s="415"/>
      <c r="S492" s="32"/>
      <c r="T492" s="416"/>
      <c r="U492" s="416"/>
      <c r="V492" s="416"/>
      <c r="W492" s="416"/>
      <c r="X492" s="416"/>
      <c r="Y492" s="416"/>
      <c r="Z492" s="416"/>
      <c r="AA492" s="416"/>
      <c r="AB492" s="416"/>
      <c r="AC492" s="416"/>
      <c r="AD492" s="416"/>
      <c r="AE492" s="416"/>
      <c r="AF492" s="416"/>
      <c r="AG492" s="416"/>
      <c r="AH492" s="416"/>
      <c r="AI492" s="416"/>
      <c r="AJ492" s="416"/>
      <c r="AK492" s="416"/>
      <c r="AL492" s="416"/>
      <c r="AM492" s="416"/>
      <c r="AN492" s="416"/>
      <c r="AO492" s="416"/>
      <c r="AP492" s="416"/>
      <c r="AQ492" s="416"/>
      <c r="AR492" s="416"/>
      <c r="AS492" s="416"/>
      <c r="AT492" s="416"/>
      <c r="AU492" s="416"/>
      <c r="AV492" s="416"/>
      <c r="AW492" s="416"/>
      <c r="AX492" s="416"/>
      <c r="AY492" s="416"/>
      <c r="AZ492" s="416"/>
      <c r="BA492" s="416"/>
      <c r="BB492" s="32"/>
    </row>
    <row r="493" spans="2:54">
      <c r="B493" s="1250" t="s">
        <v>621</v>
      </c>
      <c r="C493" s="1251"/>
      <c r="D493" s="411" t="s">
        <v>1682</v>
      </c>
      <c r="E493" s="411"/>
      <c r="F493" s="411" t="s">
        <v>390</v>
      </c>
      <c r="G493" s="411" t="s">
        <v>391</v>
      </c>
      <c r="H493" s="412">
        <v>7457.4070000000002</v>
      </c>
      <c r="I493" s="413" t="s">
        <v>1681</v>
      </c>
      <c r="J493" s="414">
        <v>45071.357638888891</v>
      </c>
      <c r="K493" s="414"/>
      <c r="L493" s="414" t="s">
        <v>192</v>
      </c>
      <c r="M493" s="414" t="s">
        <v>192</v>
      </c>
      <c r="N493" s="413" t="str">
        <f t="shared" si="33"/>
        <v>On time</v>
      </c>
      <c r="O493" s="51"/>
      <c r="P493" s="415" t="s">
        <v>551</v>
      </c>
      <c r="Q493" s="415" t="s">
        <v>551</v>
      </c>
      <c r="R493" s="415" t="s">
        <v>551</v>
      </c>
      <c r="S493" s="32"/>
      <c r="T493" s="416"/>
      <c r="U493" s="416"/>
      <c r="V493" s="416"/>
      <c r="W493" s="416"/>
      <c r="X493" s="416"/>
      <c r="Y493" s="416">
        <f>H493*0.8</f>
        <v>5965.9256000000005</v>
      </c>
      <c r="Z493" s="416">
        <f>H493*0.2</f>
        <v>1491.4814000000001</v>
      </c>
      <c r="AA493" s="416"/>
      <c r="AB493" s="416"/>
      <c r="AC493" s="416"/>
      <c r="AD493" s="416"/>
      <c r="AE493" s="416"/>
      <c r="AF493" s="416"/>
      <c r="AG493" s="416"/>
      <c r="AH493" s="416"/>
      <c r="AI493" s="416"/>
      <c r="AJ493" s="416"/>
      <c r="AK493" s="416"/>
      <c r="AL493" s="416"/>
      <c r="AM493" s="416"/>
      <c r="AN493" s="416"/>
      <c r="AO493" s="416"/>
      <c r="AP493" s="416"/>
      <c r="AQ493" s="416"/>
      <c r="AR493" s="416"/>
      <c r="AS493" s="416"/>
      <c r="AT493" s="416"/>
      <c r="AU493" s="416"/>
      <c r="AV493" s="416"/>
      <c r="AW493" s="416"/>
      <c r="AX493" s="416"/>
      <c r="AY493" s="416"/>
      <c r="AZ493" s="416"/>
      <c r="BA493" s="416"/>
      <c r="BB493" s="32"/>
    </row>
    <row r="494" spans="2:54">
      <c r="B494" s="1252"/>
      <c r="C494" s="1253"/>
      <c r="D494" s="411"/>
      <c r="E494" s="411"/>
      <c r="F494" s="1256" t="s">
        <v>668</v>
      </c>
      <c r="G494" s="1257"/>
      <c r="H494" s="412">
        <f>1694+0.421</f>
        <v>1694.421</v>
      </c>
      <c r="I494" s="413"/>
      <c r="J494" s="414"/>
      <c r="K494" s="414"/>
      <c r="L494" s="414"/>
      <c r="M494" s="414"/>
      <c r="N494" s="413" t="str">
        <f t="shared" si="33"/>
        <v xml:space="preserve"> </v>
      </c>
      <c r="O494" s="51"/>
      <c r="P494" s="415"/>
      <c r="Q494" s="415"/>
      <c r="R494" s="415"/>
      <c r="S494" s="32"/>
      <c r="T494" s="416"/>
      <c r="U494" s="416"/>
      <c r="V494" s="416"/>
      <c r="W494" s="416"/>
      <c r="X494" s="416"/>
      <c r="Y494" s="416"/>
      <c r="Z494" s="416"/>
      <c r="AA494" s="416"/>
      <c r="AB494" s="416"/>
      <c r="AC494" s="416"/>
      <c r="AD494" s="416"/>
      <c r="AE494" s="416"/>
      <c r="AF494" s="416"/>
      <c r="AG494" s="416"/>
      <c r="AH494" s="416"/>
      <c r="AI494" s="416"/>
      <c r="AJ494" s="416"/>
      <c r="AK494" s="416"/>
      <c r="AL494" s="416"/>
      <c r="AM494" s="416"/>
      <c r="AN494" s="416"/>
      <c r="AO494" s="416"/>
      <c r="AP494" s="416"/>
      <c r="AQ494" s="416"/>
      <c r="AR494" s="416"/>
      <c r="AS494" s="416"/>
      <c r="AT494" s="416"/>
      <c r="AU494" s="416"/>
      <c r="AV494" s="416"/>
      <c r="AW494" s="416"/>
      <c r="AX494" s="416"/>
      <c r="AY494" s="416"/>
      <c r="AZ494" s="416"/>
      <c r="BA494" s="416"/>
      <c r="BB494" s="32"/>
    </row>
    <row r="495" spans="2:54">
      <c r="B495" s="1254"/>
      <c r="C495" s="1255"/>
      <c r="D495" s="411"/>
      <c r="E495" s="411"/>
      <c r="F495" s="1256" t="s">
        <v>616</v>
      </c>
      <c r="G495" s="1257"/>
      <c r="H495" s="412">
        <v>4000</v>
      </c>
      <c r="I495" s="413"/>
      <c r="J495" s="414"/>
      <c r="K495" s="414"/>
      <c r="L495" s="414"/>
      <c r="M495" s="414"/>
      <c r="N495" s="413" t="str">
        <f t="shared" si="33"/>
        <v xml:space="preserve"> </v>
      </c>
      <c r="O495" s="51"/>
      <c r="P495" s="415"/>
      <c r="Q495" s="415"/>
      <c r="R495" s="415"/>
      <c r="S495" s="32"/>
      <c r="T495" s="416"/>
      <c r="U495" s="416"/>
      <c r="V495" s="416"/>
      <c r="W495" s="416"/>
      <c r="X495" s="416"/>
      <c r="Y495" s="416"/>
      <c r="Z495" s="416"/>
      <c r="AA495" s="416"/>
      <c r="AB495" s="416"/>
      <c r="AC495" s="416"/>
      <c r="AD495" s="416"/>
      <c r="AE495" s="416"/>
      <c r="AF495" s="416"/>
      <c r="AG495" s="416"/>
      <c r="AH495" s="416"/>
      <c r="AI495" s="416"/>
      <c r="AJ495" s="416"/>
      <c r="AK495" s="416"/>
      <c r="AL495" s="416"/>
      <c r="AM495" s="416"/>
      <c r="AN495" s="416"/>
      <c r="AO495" s="416"/>
      <c r="AP495" s="416"/>
      <c r="AQ495" s="416"/>
      <c r="AR495" s="416"/>
      <c r="AS495" s="416"/>
      <c r="AT495" s="416"/>
      <c r="AU495" s="416"/>
      <c r="AV495" s="416"/>
      <c r="AW495" s="416"/>
      <c r="AX495" s="416"/>
      <c r="AY495" s="416"/>
      <c r="AZ495" s="416"/>
      <c r="BA495" s="416"/>
      <c r="BB495" s="32"/>
    </row>
    <row r="496" spans="2:54">
      <c r="B496" s="1250" t="s">
        <v>622</v>
      </c>
      <c r="C496" s="1251"/>
      <c r="D496" s="411" t="s">
        <v>1685</v>
      </c>
      <c r="E496" s="411"/>
      <c r="F496" s="411" t="s">
        <v>361</v>
      </c>
      <c r="G496" s="411" t="s">
        <v>362</v>
      </c>
      <c r="H496" s="412">
        <v>7393.7209999999995</v>
      </c>
      <c r="I496" s="413" t="s">
        <v>494</v>
      </c>
      <c r="J496" s="414">
        <v>45071.34375</v>
      </c>
      <c r="K496" s="414"/>
      <c r="L496" s="414" t="s">
        <v>192</v>
      </c>
      <c r="M496" s="414" t="s">
        <v>192</v>
      </c>
      <c r="N496" s="413" t="str">
        <f t="shared" si="33"/>
        <v>On time</v>
      </c>
      <c r="O496" s="51"/>
      <c r="P496" s="415" t="s">
        <v>551</v>
      </c>
      <c r="Q496" s="415" t="s">
        <v>551</v>
      </c>
      <c r="R496" s="415" t="s">
        <v>551</v>
      </c>
      <c r="S496" s="32"/>
      <c r="T496" s="416"/>
      <c r="U496" s="416"/>
      <c r="V496" s="416"/>
      <c r="W496" s="416"/>
      <c r="X496" s="416"/>
      <c r="Y496" s="416">
        <f>H496</f>
        <v>7393.7209999999995</v>
      </c>
      <c r="Z496" s="416"/>
      <c r="AA496" s="416"/>
      <c r="AB496" s="416"/>
      <c r="AC496" s="416"/>
      <c r="AD496" s="416"/>
      <c r="AE496" s="416"/>
      <c r="AF496" s="416"/>
      <c r="AG496" s="416"/>
      <c r="AH496" s="416"/>
      <c r="AI496" s="416"/>
      <c r="AJ496" s="416"/>
      <c r="AK496" s="416"/>
      <c r="AL496" s="416"/>
      <c r="AM496" s="416"/>
      <c r="AN496" s="416"/>
      <c r="AO496" s="416"/>
      <c r="AP496" s="416"/>
      <c r="AQ496" s="416"/>
      <c r="AR496" s="416"/>
      <c r="AS496" s="416"/>
      <c r="AT496" s="416"/>
      <c r="AU496" s="416"/>
      <c r="AV496" s="416"/>
      <c r="AW496" s="416"/>
      <c r="AX496" s="416"/>
      <c r="AY496" s="416"/>
      <c r="AZ496" s="416"/>
      <c r="BA496" s="416"/>
      <c r="BB496" s="32"/>
    </row>
    <row r="497" spans="2:54">
      <c r="B497" s="1254"/>
      <c r="C497" s="1255"/>
      <c r="D497" s="411"/>
      <c r="E497" s="411"/>
      <c r="F497" s="1256" t="s">
        <v>616</v>
      </c>
      <c r="G497" s="1257"/>
      <c r="H497" s="412">
        <v>3300</v>
      </c>
      <c r="I497" s="413"/>
      <c r="J497" s="414"/>
      <c r="K497" s="414"/>
      <c r="L497" s="414"/>
      <c r="M497" s="414"/>
      <c r="N497" s="413" t="str">
        <f t="shared" si="33"/>
        <v xml:space="preserve"> </v>
      </c>
      <c r="O497" s="51"/>
      <c r="P497" s="415"/>
      <c r="Q497" s="415"/>
      <c r="R497" s="415"/>
      <c r="S497" s="32"/>
      <c r="T497" s="416"/>
      <c r="U497" s="416"/>
      <c r="V497" s="416"/>
      <c r="W497" s="416"/>
      <c r="X497" s="416"/>
      <c r="Y497" s="416"/>
      <c r="Z497" s="416"/>
      <c r="AA497" s="416"/>
      <c r="AB497" s="416"/>
      <c r="AC497" s="416"/>
      <c r="AD497" s="416"/>
      <c r="AE497" s="416"/>
      <c r="AF497" s="416"/>
      <c r="AG497" s="416"/>
      <c r="AH497" s="416"/>
      <c r="AI497" s="416"/>
      <c r="AJ497" s="416"/>
      <c r="AK497" s="416"/>
      <c r="AL497" s="416"/>
      <c r="AM497" s="416"/>
      <c r="AN497" s="416"/>
      <c r="AO497" s="416"/>
      <c r="AP497" s="416"/>
      <c r="AQ497" s="416"/>
      <c r="AR497" s="416"/>
      <c r="AS497" s="416"/>
      <c r="AT497" s="416"/>
      <c r="AU497" s="416"/>
      <c r="AV497" s="416"/>
      <c r="AW497" s="416"/>
      <c r="AX497" s="416"/>
      <c r="AY497" s="416"/>
      <c r="AZ497" s="416"/>
      <c r="BA497" s="416"/>
      <c r="BB497" s="32"/>
    </row>
    <row r="498" spans="2:54">
      <c r="B498" s="1250" t="s">
        <v>623</v>
      </c>
      <c r="C498" s="1251"/>
      <c r="D498" s="411" t="s">
        <v>1686</v>
      </c>
      <c r="E498" s="411"/>
      <c r="F498" s="411" t="s">
        <v>246</v>
      </c>
      <c r="G498" s="411" t="s">
        <v>247</v>
      </c>
      <c r="H498" s="412">
        <v>7505.0810000000001</v>
      </c>
      <c r="I498" s="413" t="s">
        <v>494</v>
      </c>
      <c r="J498" s="414">
        <v>45071.5625</v>
      </c>
      <c r="K498" s="414"/>
      <c r="L498" s="414" t="s">
        <v>192</v>
      </c>
      <c r="M498" s="414" t="s">
        <v>192</v>
      </c>
      <c r="N498" s="413" t="str">
        <f t="shared" si="33"/>
        <v>On time</v>
      </c>
      <c r="O498" s="51"/>
      <c r="P498" s="415" t="s">
        <v>551</v>
      </c>
      <c r="Q498" s="415" t="s">
        <v>551</v>
      </c>
      <c r="R498" s="415" t="s">
        <v>551</v>
      </c>
      <c r="S498" s="32"/>
      <c r="T498" s="416"/>
      <c r="U498" s="416"/>
      <c r="V498" s="416"/>
      <c r="W498" s="416"/>
      <c r="X498" s="416"/>
      <c r="Y498" s="416">
        <f>H498</f>
        <v>7505.0810000000001</v>
      </c>
      <c r="Z498" s="416"/>
      <c r="AA498" s="416"/>
      <c r="AB498" s="416"/>
      <c r="AC498" s="416"/>
      <c r="AD498" s="416"/>
      <c r="AE498" s="416"/>
      <c r="AF498" s="416"/>
      <c r="AG498" s="416"/>
      <c r="AH498" s="416"/>
      <c r="AI498" s="416"/>
      <c r="AJ498" s="416"/>
      <c r="AK498" s="416"/>
      <c r="AL498" s="416"/>
      <c r="AM498" s="416"/>
      <c r="AN498" s="416"/>
      <c r="AO498" s="416"/>
      <c r="AP498" s="416"/>
      <c r="AQ498" s="416"/>
      <c r="AR498" s="416"/>
      <c r="AS498" s="416"/>
      <c r="AT498" s="416"/>
      <c r="AU498" s="416"/>
      <c r="AV498" s="416"/>
      <c r="AW498" s="416"/>
      <c r="AX498" s="416"/>
      <c r="AY498" s="416"/>
      <c r="AZ498" s="416"/>
      <c r="BA498" s="416"/>
      <c r="BB498" s="32"/>
    </row>
    <row r="499" spans="2:54">
      <c r="B499" s="1254"/>
      <c r="C499" s="1255"/>
      <c r="D499" s="411"/>
      <c r="E499" s="411"/>
      <c r="F499" s="1256" t="s">
        <v>616</v>
      </c>
      <c r="G499" s="1257"/>
      <c r="H499" s="412">
        <f>3556-0.017</f>
        <v>3555.9830000000002</v>
      </c>
      <c r="I499" s="413"/>
      <c r="J499" s="414"/>
      <c r="K499" s="414"/>
      <c r="L499" s="414"/>
      <c r="M499" s="414"/>
      <c r="N499" s="413" t="str">
        <f t="shared" si="33"/>
        <v xml:space="preserve"> </v>
      </c>
      <c r="O499" s="51"/>
      <c r="P499" s="415"/>
      <c r="Q499" s="415"/>
      <c r="R499" s="415"/>
      <c r="S499" s="32"/>
      <c r="T499" s="416"/>
      <c r="U499" s="416"/>
      <c r="V499" s="416"/>
      <c r="W499" s="416"/>
      <c r="X499" s="416"/>
      <c r="Y499" s="416"/>
      <c r="Z499" s="416"/>
      <c r="AA499" s="416"/>
      <c r="AB499" s="289"/>
      <c r="AC499" s="416"/>
      <c r="AD499" s="416"/>
      <c r="AE499" s="416"/>
      <c r="AF499" s="416"/>
      <c r="AG499" s="416"/>
      <c r="AH499" s="416"/>
      <c r="AI499" s="416"/>
      <c r="AJ499" s="416"/>
      <c r="AK499" s="416"/>
      <c r="AL499" s="416"/>
      <c r="AM499" s="416"/>
      <c r="AN499" s="416"/>
      <c r="AO499" s="416"/>
      <c r="AP499" s="416"/>
      <c r="AQ499" s="416"/>
      <c r="AR499" s="416"/>
      <c r="AS499" s="416"/>
      <c r="AT499" s="416"/>
      <c r="AU499" s="416"/>
      <c r="AV499" s="416"/>
      <c r="AW499" s="416"/>
      <c r="AX499" s="416"/>
      <c r="AY499" s="416"/>
      <c r="AZ499" s="416"/>
      <c r="BA499" s="416"/>
      <c r="BB499" s="32"/>
    </row>
    <row r="500" spans="2:54">
      <c r="B500" s="1256" t="s">
        <v>624</v>
      </c>
      <c r="C500" s="1257"/>
      <c r="D500" s="411" t="s">
        <v>1690</v>
      </c>
      <c r="E500" s="411"/>
      <c r="F500" s="411" t="s">
        <v>1483</v>
      </c>
      <c r="G500" s="411" t="s">
        <v>378</v>
      </c>
      <c r="H500" s="412">
        <f>7801.127-1099.556</f>
        <v>6701.5709999999999</v>
      </c>
      <c r="I500" s="413" t="s">
        <v>494</v>
      </c>
      <c r="J500" s="414">
        <v>45072.708333333336</v>
      </c>
      <c r="K500" s="414"/>
      <c r="L500" s="414" t="s">
        <v>192</v>
      </c>
      <c r="M500" s="414" t="s">
        <v>192</v>
      </c>
      <c r="N500" s="413" t="str">
        <f t="shared" si="33"/>
        <v>On time</v>
      </c>
      <c r="O500" s="51"/>
      <c r="P500" s="415" t="s">
        <v>551</v>
      </c>
      <c r="Q500" s="415" t="s">
        <v>551</v>
      </c>
      <c r="R500" s="415" t="s">
        <v>551</v>
      </c>
      <c r="S500" s="32"/>
      <c r="T500" s="416"/>
      <c r="U500" s="416"/>
      <c r="V500" s="416"/>
      <c r="W500" s="416"/>
      <c r="X500" s="416"/>
      <c r="Y500" s="416">
        <f>H500-H505</f>
        <v>5951.45</v>
      </c>
      <c r="Z500" s="416"/>
      <c r="AA500" s="416"/>
      <c r="AB500" s="416"/>
      <c r="AC500" s="416"/>
      <c r="AD500" s="416"/>
      <c r="AE500" s="416"/>
      <c r="AF500" s="416"/>
      <c r="AG500" s="416"/>
      <c r="AH500" s="416"/>
      <c r="AI500" s="416"/>
      <c r="AJ500" s="416"/>
      <c r="AK500" s="416"/>
      <c r="AL500" s="416"/>
      <c r="AM500" s="416"/>
      <c r="AN500" s="416"/>
      <c r="AO500" s="416"/>
      <c r="AP500" s="416"/>
      <c r="AQ500" s="416"/>
      <c r="AR500" s="416"/>
      <c r="AS500" s="416"/>
      <c r="AT500" s="416"/>
      <c r="AU500" s="416"/>
      <c r="AV500" s="416"/>
      <c r="AW500" s="416"/>
      <c r="AX500" s="416"/>
      <c r="AY500" s="416"/>
      <c r="AZ500" s="416"/>
      <c r="BA500" s="416"/>
      <c r="BB500" s="32"/>
    </row>
    <row r="501" spans="2:54">
      <c r="B501" s="1258" t="s">
        <v>626</v>
      </c>
      <c r="C501" s="1259"/>
      <c r="D501" s="1259"/>
      <c r="E501" s="1259"/>
      <c r="F501" s="1259"/>
      <c r="G501" s="1260"/>
      <c r="H501" s="417">
        <f>H490+H493+H496+H498+H500</f>
        <v>39549.596000000005</v>
      </c>
      <c r="I501" s="388"/>
      <c r="J501" s="293"/>
      <c r="K501" s="293"/>
      <c r="L501" s="293"/>
      <c r="M501" s="389"/>
      <c r="N501" s="413" t="str">
        <f t="shared" si="33"/>
        <v xml:space="preserve"> </v>
      </c>
      <c r="O501" s="47"/>
      <c r="P501" s="418"/>
      <c r="Q501" s="418"/>
      <c r="R501" s="418"/>
      <c r="S501" s="32"/>
      <c r="T501" s="1261"/>
      <c r="U501" s="1261"/>
      <c r="V501" s="1261"/>
      <c r="W501" s="1261"/>
      <c r="X501" s="1261"/>
      <c r="Y501" s="1261"/>
      <c r="Z501" s="1261"/>
      <c r="AA501" s="1261"/>
      <c r="AB501" s="1261"/>
      <c r="AC501" s="1261"/>
      <c r="AD501" s="1261"/>
      <c r="AE501" s="1261"/>
      <c r="AF501" s="1261"/>
      <c r="AG501" s="1261"/>
      <c r="AH501" s="1261"/>
      <c r="AI501" s="1261"/>
      <c r="AJ501" s="1261"/>
      <c r="AK501" s="1261"/>
      <c r="AL501" s="1261"/>
      <c r="AM501" s="1261"/>
      <c r="AN501" s="1261"/>
      <c r="AO501" s="1261"/>
      <c r="AP501" s="1261"/>
      <c r="AQ501" s="1261"/>
      <c r="AR501" s="1261"/>
      <c r="AS501" s="1261"/>
      <c r="AT501" s="1261"/>
      <c r="AU501" s="1261"/>
      <c r="AV501" s="1261"/>
      <c r="AW501" s="1261"/>
      <c r="AX501" s="1261"/>
      <c r="AY501" s="1261"/>
      <c r="AZ501" s="1261"/>
      <c r="BA501" s="1261"/>
    </row>
    <row r="502" spans="2:54">
      <c r="B502" s="1258" t="s">
        <v>556</v>
      </c>
      <c r="C502" s="1259"/>
      <c r="D502" s="1259"/>
      <c r="E502" s="1259"/>
      <c r="F502" s="1259"/>
      <c r="G502" s="1260"/>
      <c r="H502" s="417">
        <f>H489+H501</f>
        <v>57600</v>
      </c>
      <c r="I502" s="388"/>
      <c r="J502" s="293"/>
      <c r="K502" s="293"/>
      <c r="L502" s="293"/>
      <c r="M502" s="389"/>
      <c r="N502" s="413" t="str">
        <f t="shared" si="33"/>
        <v xml:space="preserve"> </v>
      </c>
      <c r="O502" s="212"/>
      <c r="P502" s="418"/>
      <c r="Q502" s="418"/>
      <c r="R502" s="418"/>
      <c r="S502" s="207"/>
      <c r="T502" s="1261"/>
      <c r="U502" s="1261"/>
      <c r="V502" s="1261"/>
      <c r="W502" s="1261"/>
      <c r="X502" s="1261"/>
      <c r="Y502" s="1261"/>
      <c r="Z502" s="1261"/>
      <c r="AA502" s="1261"/>
      <c r="AB502" s="1261"/>
      <c r="AC502" s="1261"/>
      <c r="AD502" s="1261"/>
      <c r="AE502" s="1261"/>
      <c r="AF502" s="1261"/>
      <c r="AG502" s="1261"/>
      <c r="AH502" s="1261"/>
      <c r="AI502" s="1261"/>
      <c r="AJ502" s="1261"/>
      <c r="AK502" s="1261"/>
      <c r="AL502" s="1261"/>
      <c r="AM502" s="1261"/>
      <c r="AN502" s="1261"/>
      <c r="AO502" s="1261"/>
      <c r="AP502" s="1261"/>
      <c r="AQ502" s="1261"/>
      <c r="AR502" s="1261"/>
      <c r="AS502" s="1261"/>
      <c r="AT502" s="1261"/>
      <c r="AU502" s="1261"/>
      <c r="AV502" s="1261"/>
      <c r="AW502" s="1261"/>
      <c r="AX502" s="1261"/>
      <c r="AY502" s="1261"/>
      <c r="AZ502" s="1261"/>
      <c r="BA502" s="1261"/>
    </row>
    <row r="503" spans="2:54">
      <c r="B503" s="1243" t="s">
        <v>557</v>
      </c>
      <c r="C503" s="1244"/>
      <c r="D503" s="1244"/>
      <c r="E503" s="1244"/>
      <c r="F503" s="1244"/>
      <c r="G503" s="1245"/>
      <c r="H503" s="419">
        <v>57600</v>
      </c>
      <c r="I503" s="1273"/>
      <c r="J503" s="1274"/>
      <c r="K503" s="1274"/>
      <c r="L503" s="1274"/>
      <c r="M503" s="1275"/>
      <c r="N503" s="413" t="str">
        <f t="shared" si="33"/>
        <v xml:space="preserve"> </v>
      </c>
      <c r="O503" s="32"/>
      <c r="P503" s="415"/>
      <c r="Q503" s="415"/>
      <c r="R503" s="415"/>
      <c r="S503" s="63"/>
      <c r="T503" s="416">
        <f t="shared" ref="T503:BA503" si="34">SUM(T486:T500)</f>
        <v>0</v>
      </c>
      <c r="U503" s="416">
        <f t="shared" si="34"/>
        <v>0</v>
      </c>
      <c r="V503" s="416">
        <f t="shared" si="34"/>
        <v>0</v>
      </c>
      <c r="W503" s="416">
        <f t="shared" si="34"/>
        <v>0</v>
      </c>
      <c r="X503" s="416">
        <f t="shared" si="34"/>
        <v>0</v>
      </c>
      <c r="Y503" s="416">
        <f t="shared" si="34"/>
        <v>52461.429149999996</v>
      </c>
      <c r="Z503" s="416">
        <f t="shared" si="34"/>
        <v>4388.4498500000009</v>
      </c>
      <c r="AA503" s="416">
        <f t="shared" si="34"/>
        <v>0</v>
      </c>
      <c r="AB503" s="416">
        <f t="shared" si="34"/>
        <v>0</v>
      </c>
      <c r="AC503" s="416">
        <f t="shared" si="34"/>
        <v>0</v>
      </c>
      <c r="AD503" s="416">
        <f t="shared" si="34"/>
        <v>0</v>
      </c>
      <c r="AE503" s="416">
        <f t="shared" si="34"/>
        <v>0</v>
      </c>
      <c r="AF503" s="416">
        <f t="shared" si="34"/>
        <v>0</v>
      </c>
      <c r="AG503" s="416">
        <f t="shared" si="34"/>
        <v>0</v>
      </c>
      <c r="AH503" s="416">
        <f t="shared" si="34"/>
        <v>0</v>
      </c>
      <c r="AI503" s="416">
        <f t="shared" si="34"/>
        <v>0</v>
      </c>
      <c r="AJ503" s="416">
        <f t="shared" si="34"/>
        <v>0</v>
      </c>
      <c r="AK503" s="416">
        <f t="shared" si="34"/>
        <v>0</v>
      </c>
      <c r="AL503" s="416">
        <f t="shared" si="34"/>
        <v>0</v>
      </c>
      <c r="AM503" s="416">
        <f t="shared" si="34"/>
        <v>0</v>
      </c>
      <c r="AN503" s="416">
        <f t="shared" si="34"/>
        <v>0</v>
      </c>
      <c r="AO503" s="416">
        <f t="shared" si="34"/>
        <v>0</v>
      </c>
      <c r="AP503" s="416">
        <f t="shared" si="34"/>
        <v>0</v>
      </c>
      <c r="AQ503" s="416">
        <f t="shared" si="34"/>
        <v>0</v>
      </c>
      <c r="AR503" s="416">
        <f t="shared" si="34"/>
        <v>0</v>
      </c>
      <c r="AS503" s="416">
        <f t="shared" si="34"/>
        <v>0</v>
      </c>
      <c r="AT503" s="416">
        <f t="shared" si="34"/>
        <v>0</v>
      </c>
      <c r="AU503" s="416">
        <f t="shared" si="34"/>
        <v>0</v>
      </c>
      <c r="AV503" s="416">
        <f t="shared" si="34"/>
        <v>0</v>
      </c>
      <c r="AW503" s="416">
        <f t="shared" si="34"/>
        <v>0</v>
      </c>
      <c r="AX503" s="416">
        <f t="shared" si="34"/>
        <v>0</v>
      </c>
      <c r="AY503" s="416">
        <f t="shared" si="34"/>
        <v>0</v>
      </c>
      <c r="AZ503" s="416">
        <f t="shared" si="34"/>
        <v>0</v>
      </c>
      <c r="BA503" s="416">
        <f t="shared" si="34"/>
        <v>0</v>
      </c>
      <c r="BB503" s="416">
        <f>SUM(T503:BA503)</f>
        <v>56849.879000000001</v>
      </c>
    </row>
    <row r="504" spans="2:54">
      <c r="B504" s="1243" t="s">
        <v>558</v>
      </c>
      <c r="C504" s="1244"/>
      <c r="D504" s="1244"/>
      <c r="E504" s="1244"/>
      <c r="F504" s="1244"/>
      <c r="G504" s="1245"/>
      <c r="H504" s="420">
        <f>H503-L480</f>
        <v>0</v>
      </c>
      <c r="I504" s="294"/>
      <c r="J504" s="295"/>
      <c r="K504" s="295"/>
      <c r="L504" s="296"/>
      <c r="M504" s="32"/>
      <c r="N504" s="32"/>
      <c r="O504" s="32"/>
      <c r="P504" s="32"/>
      <c r="Q504" s="297"/>
      <c r="R504" s="297"/>
      <c r="S504" s="32"/>
      <c r="T504" s="48"/>
      <c r="U504" s="48"/>
      <c r="V504" s="48"/>
      <c r="W504" s="48"/>
      <c r="X504" s="48"/>
      <c r="Y504" s="48"/>
      <c r="Z504" s="48"/>
      <c r="AA504" s="48"/>
      <c r="AB504" s="48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</row>
    <row r="505" spans="2:54">
      <c r="B505" s="1243" t="s">
        <v>559</v>
      </c>
      <c r="C505" s="1244"/>
      <c r="D505" s="1244"/>
      <c r="E505" s="1244"/>
      <c r="F505" s="1244"/>
      <c r="G505" s="1245"/>
      <c r="H505" s="420">
        <v>750.12099999999998</v>
      </c>
      <c r="I505" s="52"/>
      <c r="J505" s="53"/>
      <c r="K505" s="53"/>
      <c r="L505" s="54"/>
      <c r="M505" s="32"/>
      <c r="N505" s="201"/>
      <c r="O505" s="32"/>
      <c r="P505" s="32"/>
      <c r="Q505" s="32"/>
      <c r="R505" s="32"/>
      <c r="S505" s="32"/>
      <c r="T505" s="48"/>
      <c r="U505" s="48"/>
      <c r="V505" s="48"/>
      <c r="W505" s="48"/>
      <c r="X505" s="48"/>
      <c r="Y505" s="48"/>
      <c r="Z505" s="48"/>
      <c r="AA505" s="48"/>
      <c r="AB505" s="48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</row>
    <row r="506" spans="2:54">
      <c r="B506" s="1243" t="s">
        <v>560</v>
      </c>
      <c r="C506" s="1244"/>
      <c r="D506" s="1244"/>
      <c r="E506" s="1244"/>
      <c r="F506" s="1244"/>
      <c r="G506" s="1245"/>
      <c r="H506" s="421">
        <f>H505-1099.556</f>
        <v>-349.43500000000006</v>
      </c>
      <c r="I506" s="270"/>
      <c r="J506" s="53"/>
      <c r="K506" s="53"/>
      <c r="L506" s="54"/>
      <c r="M506" s="32"/>
      <c r="N506" s="32"/>
      <c r="O506" s="32"/>
      <c r="P506" s="32"/>
      <c r="Q506" s="32"/>
      <c r="R506" s="32"/>
      <c r="S506" s="48"/>
      <c r="T506" s="48"/>
      <c r="U506" s="48"/>
      <c r="V506" s="48"/>
      <c r="W506" s="48"/>
      <c r="X506" s="48"/>
      <c r="Y506" s="48"/>
      <c r="Z506" s="48"/>
      <c r="AA506" s="48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</row>
    <row r="507" spans="2:54">
      <c r="B507" s="201"/>
      <c r="C507" s="201"/>
      <c r="D507" s="201"/>
      <c r="E507" s="201"/>
      <c r="F507" s="201"/>
      <c r="G507" s="201"/>
      <c r="H507" s="201"/>
      <c r="I507" s="213"/>
      <c r="J507" s="209"/>
      <c r="K507" s="209"/>
      <c r="L507" s="203"/>
      <c r="M507" s="201"/>
      <c r="N507" s="201"/>
      <c r="O507" s="209"/>
      <c r="P507" s="32"/>
      <c r="Q507" s="32"/>
      <c r="R507" s="32"/>
      <c r="S507" s="32"/>
      <c r="T507" s="48"/>
      <c r="U507" s="48"/>
      <c r="V507" s="48"/>
      <c r="W507" s="48"/>
      <c r="X507" s="48"/>
      <c r="Y507" s="48"/>
      <c r="Z507" s="48"/>
      <c r="AA507" s="48"/>
      <c r="AB507" s="48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</row>
    <row r="508" spans="2:54">
      <c r="B508" s="40" t="s">
        <v>561</v>
      </c>
      <c r="C508" s="40"/>
      <c r="D508" s="32"/>
      <c r="E508" s="32"/>
      <c r="F508" s="32"/>
      <c r="G508" s="32"/>
      <c r="H508" s="32"/>
      <c r="I508" s="32"/>
      <c r="J508" s="52"/>
      <c r="K508" s="52"/>
      <c r="L508" s="55"/>
      <c r="M508" s="32"/>
      <c r="N508" s="201"/>
      <c r="O508" s="5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  <c r="AA508" s="202"/>
      <c r="AB508" s="201"/>
      <c r="AC508" s="201"/>
      <c r="AD508" s="201"/>
      <c r="AE508" s="201"/>
      <c r="AF508" s="201"/>
      <c r="AG508" s="201"/>
      <c r="AH508" s="201"/>
      <c r="AI508" s="201"/>
      <c r="AJ508" s="201"/>
      <c r="AK508" s="201"/>
      <c r="AL508" s="201"/>
      <c r="AM508" s="201"/>
      <c r="AN508" s="201"/>
      <c r="AO508" s="201"/>
      <c r="AP508" s="201"/>
      <c r="AQ508" s="201"/>
      <c r="AR508" s="201"/>
      <c r="AS508" s="201"/>
      <c r="AT508" s="201"/>
      <c r="AU508" s="201"/>
      <c r="BB508" s="201"/>
    </row>
    <row r="509" spans="2:54">
      <c r="B509" s="422">
        <v>1</v>
      </c>
      <c r="C509" s="1249" t="s">
        <v>1744</v>
      </c>
      <c r="D509" s="1249"/>
      <c r="E509" s="1249"/>
      <c r="F509" s="1249"/>
      <c r="G509" s="1249"/>
      <c r="H509" s="1249"/>
      <c r="I509" s="1249"/>
      <c r="J509" s="1249"/>
      <c r="K509" s="1249"/>
      <c r="L509" s="203"/>
      <c r="M509" s="203"/>
      <c r="N509" s="201"/>
      <c r="O509" s="209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  <c r="AA509" s="202"/>
      <c r="AB509" s="201"/>
      <c r="AC509" s="201"/>
      <c r="AD509" s="201"/>
      <c r="AE509" s="201"/>
      <c r="AF509" s="201"/>
      <c r="AG509" s="201"/>
      <c r="AH509" s="201"/>
      <c r="AI509" s="201"/>
      <c r="AJ509" s="201"/>
      <c r="AK509" s="201"/>
      <c r="AL509" s="201"/>
      <c r="AM509" s="201"/>
      <c r="AN509" s="201"/>
      <c r="AO509" s="201"/>
      <c r="AP509" s="201"/>
      <c r="AQ509" s="201"/>
      <c r="AR509" s="201"/>
      <c r="AS509" s="201"/>
      <c r="AT509" s="201"/>
      <c r="AU509" s="201"/>
      <c r="AV509" s="201"/>
      <c r="AW509" s="201"/>
      <c r="AX509" s="201"/>
      <c r="AY509" s="201"/>
      <c r="AZ509" s="201"/>
      <c r="BA509" s="201"/>
      <c r="BB509" s="201"/>
    </row>
  </sheetData>
  <mergeCells count="428">
    <mergeCell ref="B470:G470"/>
    <mergeCell ref="T470:BC470"/>
    <mergeCell ref="B471:G471"/>
    <mergeCell ref="I471:M471"/>
    <mergeCell ref="B472:G472"/>
    <mergeCell ref="B473:G473"/>
    <mergeCell ref="C476:K476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G469"/>
    <mergeCell ref="B446:G446"/>
    <mergeCell ref="C450:K450"/>
    <mergeCell ref="B447:G447"/>
    <mergeCell ref="T458:X458"/>
    <mergeCell ref="Y458:AA458"/>
    <mergeCell ref="AB458:AC458"/>
    <mergeCell ref="AF458:BC458"/>
    <mergeCell ref="B459:C459"/>
    <mergeCell ref="B460:C460"/>
    <mergeCell ref="B438:C439"/>
    <mergeCell ref="B440:C440"/>
    <mergeCell ref="B441:C441"/>
    <mergeCell ref="B442:C442"/>
    <mergeCell ref="B443:G443"/>
    <mergeCell ref="T443:BA443"/>
    <mergeCell ref="B444:G444"/>
    <mergeCell ref="I444:M444"/>
    <mergeCell ref="B445:G445"/>
    <mergeCell ref="T429:X429"/>
    <mergeCell ref="Y429:AA429"/>
    <mergeCell ref="AB429:AC429"/>
    <mergeCell ref="AF429:BA429"/>
    <mergeCell ref="B430:C430"/>
    <mergeCell ref="B431:C432"/>
    <mergeCell ref="B433:C434"/>
    <mergeCell ref="B435:C436"/>
    <mergeCell ref="B437:C437"/>
    <mergeCell ref="B252:G252"/>
    <mergeCell ref="T252:AY252"/>
    <mergeCell ref="B253:G253"/>
    <mergeCell ref="I253:M253"/>
    <mergeCell ref="B254:G254"/>
    <mergeCell ref="B255:G255"/>
    <mergeCell ref="C259:K259"/>
    <mergeCell ref="B232:G232"/>
    <mergeCell ref="B256:G256"/>
    <mergeCell ref="T243:X243"/>
    <mergeCell ref="Y243:AA243"/>
    <mergeCell ref="AB243:AC243"/>
    <mergeCell ref="AF243:AY243"/>
    <mergeCell ref="B244:C244"/>
    <mergeCell ref="B245:C246"/>
    <mergeCell ref="B247:C248"/>
    <mergeCell ref="B249:C250"/>
    <mergeCell ref="B251:C251"/>
    <mergeCell ref="B155:G155"/>
    <mergeCell ref="B156:G156"/>
    <mergeCell ref="C159:K159"/>
    <mergeCell ref="B151:G151"/>
    <mergeCell ref="B147:C147"/>
    <mergeCell ref="B148:C148"/>
    <mergeCell ref="B149:C149"/>
    <mergeCell ref="B150:C150"/>
    <mergeCell ref="B152:G152"/>
    <mergeCell ref="B153:G153"/>
    <mergeCell ref="T153:BC153"/>
    <mergeCell ref="B154:G154"/>
    <mergeCell ref="I154:M154"/>
    <mergeCell ref="T141:X141"/>
    <mergeCell ref="Y141:AA141"/>
    <mergeCell ref="AB141:AC141"/>
    <mergeCell ref="AF141:BC141"/>
    <mergeCell ref="B142:C142"/>
    <mergeCell ref="B143:C143"/>
    <mergeCell ref="B144:C144"/>
    <mergeCell ref="B145:C145"/>
    <mergeCell ref="B146:C146"/>
    <mergeCell ref="B130:G130"/>
    <mergeCell ref="C133:K133"/>
    <mergeCell ref="B127:G127"/>
    <mergeCell ref="T127:BC127"/>
    <mergeCell ref="B128:G128"/>
    <mergeCell ref="I128:M128"/>
    <mergeCell ref="B129:G129"/>
    <mergeCell ref="B122:C122"/>
    <mergeCell ref="B123:C123"/>
    <mergeCell ref="B124:C124"/>
    <mergeCell ref="B125:C125"/>
    <mergeCell ref="B126:G126"/>
    <mergeCell ref="B117:C117"/>
    <mergeCell ref="B118:C118"/>
    <mergeCell ref="B119:C119"/>
    <mergeCell ref="B120:C120"/>
    <mergeCell ref="B121:C121"/>
    <mergeCell ref="T115:X115"/>
    <mergeCell ref="Y115:AA115"/>
    <mergeCell ref="AB115:AC115"/>
    <mergeCell ref="AF115:BC115"/>
    <mergeCell ref="B116:C116"/>
    <mergeCell ref="B73:G73"/>
    <mergeCell ref="I73:M73"/>
    <mergeCell ref="B74:G74"/>
    <mergeCell ref="B75:G75"/>
    <mergeCell ref="C78:K78"/>
    <mergeCell ref="B69:C69"/>
    <mergeCell ref="B70:C70"/>
    <mergeCell ref="B71:G71"/>
    <mergeCell ref="B72:G72"/>
    <mergeCell ref="T72:BC72"/>
    <mergeCell ref="B64:C64"/>
    <mergeCell ref="B65:C65"/>
    <mergeCell ref="B66:C66"/>
    <mergeCell ref="B67:C67"/>
    <mergeCell ref="B68:C68"/>
    <mergeCell ref="Y61:AA61"/>
    <mergeCell ref="AB61:AC61"/>
    <mergeCell ref="AF61:BC61"/>
    <mergeCell ref="B62:C62"/>
    <mergeCell ref="B63:C63"/>
    <mergeCell ref="B49:G49"/>
    <mergeCell ref="C53:K53"/>
    <mergeCell ref="B50:G50"/>
    <mergeCell ref="T61:X61"/>
    <mergeCell ref="B44:C44"/>
    <mergeCell ref="B45:C45"/>
    <mergeCell ref="B46:G46"/>
    <mergeCell ref="T46:AY46"/>
    <mergeCell ref="B47:G47"/>
    <mergeCell ref="I47:M47"/>
    <mergeCell ref="B41:C41"/>
    <mergeCell ref="B42:C42"/>
    <mergeCell ref="B43:C43"/>
    <mergeCell ref="T37:X37"/>
    <mergeCell ref="Y37:AA37"/>
    <mergeCell ref="AB37:AC37"/>
    <mergeCell ref="AF37:AY37"/>
    <mergeCell ref="B38:C38"/>
    <mergeCell ref="B48:G48"/>
    <mergeCell ref="AF8:AY8"/>
    <mergeCell ref="B9:C9"/>
    <mergeCell ref="B10:C11"/>
    <mergeCell ref="J11:J12"/>
    <mergeCell ref="L11:L12"/>
    <mergeCell ref="M11:M12"/>
    <mergeCell ref="B12:C13"/>
    <mergeCell ref="T8:X8"/>
    <mergeCell ref="Y8:AA8"/>
    <mergeCell ref="AB8:AC8"/>
    <mergeCell ref="AF86:AY86"/>
    <mergeCell ref="B87:C87"/>
    <mergeCell ref="B88:C88"/>
    <mergeCell ref="B89:C90"/>
    <mergeCell ref="I90:I91"/>
    <mergeCell ref="J90:J91"/>
    <mergeCell ref="L90:L91"/>
    <mergeCell ref="B14:C14"/>
    <mergeCell ref="B15:C15"/>
    <mergeCell ref="B16:C16"/>
    <mergeCell ref="B17:C18"/>
    <mergeCell ref="B19:C20"/>
    <mergeCell ref="C29:K29"/>
    <mergeCell ref="B26:G26"/>
    <mergeCell ref="J18:J19"/>
    <mergeCell ref="B22:G22"/>
    <mergeCell ref="T22:AY22"/>
    <mergeCell ref="B23:G23"/>
    <mergeCell ref="I23:M23"/>
    <mergeCell ref="B24:G24"/>
    <mergeCell ref="B25:G25"/>
    <mergeCell ref="B21:C21"/>
    <mergeCell ref="B39:C39"/>
    <mergeCell ref="B40:C40"/>
    <mergeCell ref="M90:M91"/>
    <mergeCell ref="B91:C92"/>
    <mergeCell ref="B93:C93"/>
    <mergeCell ref="B94:C95"/>
    <mergeCell ref="I95:I96"/>
    <mergeCell ref="B96:C97"/>
    <mergeCell ref="T86:X86"/>
    <mergeCell ref="Y86:AA86"/>
    <mergeCell ref="AB86:AC86"/>
    <mergeCell ref="B102:G102"/>
    <mergeCell ref="B103:G103"/>
    <mergeCell ref="C107:K107"/>
    <mergeCell ref="J95:J96"/>
    <mergeCell ref="B104:G104"/>
    <mergeCell ref="B98:C98"/>
    <mergeCell ref="B99:C99"/>
    <mergeCell ref="B100:G100"/>
    <mergeCell ref="T100:AY100"/>
    <mergeCell ref="B101:G101"/>
    <mergeCell ref="I101:M101"/>
    <mergeCell ref="T167:X167"/>
    <mergeCell ref="Y167:AA167"/>
    <mergeCell ref="AB167:AC167"/>
    <mergeCell ref="AF167:AY167"/>
    <mergeCell ref="B168:C168"/>
    <mergeCell ref="B169:C170"/>
    <mergeCell ref="J170:J171"/>
    <mergeCell ref="L170:L171"/>
    <mergeCell ref="M170:M171"/>
    <mergeCell ref="B171:C172"/>
    <mergeCell ref="B173:C174"/>
    <mergeCell ref="B175:C176"/>
    <mergeCell ref="B177:C178"/>
    <mergeCell ref="B179:C180"/>
    <mergeCell ref="B181:C181"/>
    <mergeCell ref="B182:C182"/>
    <mergeCell ref="B183:G183"/>
    <mergeCell ref="T183:AY183"/>
    <mergeCell ref="B184:G184"/>
    <mergeCell ref="I184:M184"/>
    <mergeCell ref="B185:G185"/>
    <mergeCell ref="B186:G186"/>
    <mergeCell ref="C190:K190"/>
    <mergeCell ref="B187:G187"/>
    <mergeCell ref="T198:X198"/>
    <mergeCell ref="Y198:AA198"/>
    <mergeCell ref="AB198:AC198"/>
    <mergeCell ref="AF198:AY198"/>
    <mergeCell ref="B199:C199"/>
    <mergeCell ref="B200:C200"/>
    <mergeCell ref="B201:C201"/>
    <mergeCell ref="B202:C202"/>
    <mergeCell ref="B203:G203"/>
    <mergeCell ref="T203:AY203"/>
    <mergeCell ref="B204:C206"/>
    <mergeCell ref="F205:G205"/>
    <mergeCell ref="F206:G206"/>
    <mergeCell ref="B207:C207"/>
    <mergeCell ref="B208:C210"/>
    <mergeCell ref="F209:G209"/>
    <mergeCell ref="F210:G210"/>
    <mergeCell ref="B211:C213"/>
    <mergeCell ref="F212:G212"/>
    <mergeCell ref="F213:G213"/>
    <mergeCell ref="B214:C216"/>
    <mergeCell ref="F215:G215"/>
    <mergeCell ref="F216:G216"/>
    <mergeCell ref="B217:C219"/>
    <mergeCell ref="F218:G218"/>
    <mergeCell ref="F219:G219"/>
    <mergeCell ref="B220:C221"/>
    <mergeCell ref="F221:G221"/>
    <mergeCell ref="B222:C224"/>
    <mergeCell ref="F223:G223"/>
    <mergeCell ref="F224:G224"/>
    <mergeCell ref="B225:C226"/>
    <mergeCell ref="F226:G226"/>
    <mergeCell ref="B227:G227"/>
    <mergeCell ref="T227:AY227"/>
    <mergeCell ref="B228:G228"/>
    <mergeCell ref="T228:AY228"/>
    <mergeCell ref="B229:G229"/>
    <mergeCell ref="I229:M229"/>
    <mergeCell ref="B230:G230"/>
    <mergeCell ref="B231:G231"/>
    <mergeCell ref="C235:K235"/>
    <mergeCell ref="T267:X267"/>
    <mergeCell ref="Y267:AA267"/>
    <mergeCell ref="AB267:AC267"/>
    <mergeCell ref="AF267:AY267"/>
    <mergeCell ref="B268:C268"/>
    <mergeCell ref="B269:C269"/>
    <mergeCell ref="B270:C270"/>
    <mergeCell ref="B271:C271"/>
    <mergeCell ref="B272:C272"/>
    <mergeCell ref="B273:G273"/>
    <mergeCell ref="B274:C276"/>
    <mergeCell ref="F275:G275"/>
    <mergeCell ref="F276:G276"/>
    <mergeCell ref="B277:C279"/>
    <mergeCell ref="F278:G278"/>
    <mergeCell ref="F279:G279"/>
    <mergeCell ref="B280:C281"/>
    <mergeCell ref="F281:G281"/>
    <mergeCell ref="B282:C284"/>
    <mergeCell ref="F283:G283"/>
    <mergeCell ref="F284:G284"/>
    <mergeCell ref="B285:C286"/>
    <mergeCell ref="F286:G286"/>
    <mergeCell ref="B287:C288"/>
    <mergeCell ref="F288:G288"/>
    <mergeCell ref="B289:C291"/>
    <mergeCell ref="F290:G290"/>
    <mergeCell ref="F291:G291"/>
    <mergeCell ref="C301:K301"/>
    <mergeCell ref="B298:G298"/>
    <mergeCell ref="B292:C292"/>
    <mergeCell ref="B293:G293"/>
    <mergeCell ref="T293:AY293"/>
    <mergeCell ref="B294:G294"/>
    <mergeCell ref="T294:AY294"/>
    <mergeCell ref="B295:G295"/>
    <mergeCell ref="I295:M295"/>
    <mergeCell ref="B296:G296"/>
    <mergeCell ref="B297:G297"/>
    <mergeCell ref="T309:X309"/>
    <mergeCell ref="Y309:AA309"/>
    <mergeCell ref="AB309:AC309"/>
    <mergeCell ref="AF309:BC309"/>
    <mergeCell ref="B310:C310"/>
    <mergeCell ref="B311:C311"/>
    <mergeCell ref="B312:C312"/>
    <mergeCell ref="B313:C313"/>
    <mergeCell ref="B314:C314"/>
    <mergeCell ref="B322:G322"/>
    <mergeCell ref="C325:K325"/>
    <mergeCell ref="B315:C315"/>
    <mergeCell ref="B316:C316"/>
    <mergeCell ref="B317:G317"/>
    <mergeCell ref="B318:G318"/>
    <mergeCell ref="B319:G319"/>
    <mergeCell ref="T319:BC319"/>
    <mergeCell ref="B320:G320"/>
    <mergeCell ref="I320:M320"/>
    <mergeCell ref="B321:G321"/>
    <mergeCell ref="T333:X333"/>
    <mergeCell ref="Y333:AA333"/>
    <mergeCell ref="AB333:AC333"/>
    <mergeCell ref="AF333:BA333"/>
    <mergeCell ref="B334:C334"/>
    <mergeCell ref="B335:C335"/>
    <mergeCell ref="B336:C336"/>
    <mergeCell ref="B337:C337"/>
    <mergeCell ref="B338:G338"/>
    <mergeCell ref="T338:BA338"/>
    <mergeCell ref="B339:G339"/>
    <mergeCell ref="I339:M339"/>
    <mergeCell ref="B340:G340"/>
    <mergeCell ref="B341:G341"/>
    <mergeCell ref="C345:K345"/>
    <mergeCell ref="B342:G342"/>
    <mergeCell ref="T353:X353"/>
    <mergeCell ref="Y353:AA353"/>
    <mergeCell ref="AB353:AC353"/>
    <mergeCell ref="AF353:AY353"/>
    <mergeCell ref="B354:C354"/>
    <mergeCell ref="B355:C356"/>
    <mergeCell ref="B357:C358"/>
    <mergeCell ref="B359:C359"/>
    <mergeCell ref="B360:C361"/>
    <mergeCell ref="B362:C362"/>
    <mergeCell ref="B363:G363"/>
    <mergeCell ref="T363:AY363"/>
    <mergeCell ref="B364:G364"/>
    <mergeCell ref="I364:M364"/>
    <mergeCell ref="B365:G365"/>
    <mergeCell ref="B366:G366"/>
    <mergeCell ref="C370:K370"/>
    <mergeCell ref="B367:G367"/>
    <mergeCell ref="T378:X378"/>
    <mergeCell ref="Y378:AA378"/>
    <mergeCell ref="AB378:AC378"/>
    <mergeCell ref="B387:G387"/>
    <mergeCell ref="B388:G388"/>
    <mergeCell ref="T388:BC388"/>
    <mergeCell ref="B389:G389"/>
    <mergeCell ref="I389:M389"/>
    <mergeCell ref="B390:G390"/>
    <mergeCell ref="B391:G391"/>
    <mergeCell ref="C394:K394"/>
    <mergeCell ref="AF378:B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T402:X402"/>
    <mergeCell ref="Y402:AA402"/>
    <mergeCell ref="AB402:AC402"/>
    <mergeCell ref="AF402:BA402"/>
    <mergeCell ref="B403:C403"/>
    <mergeCell ref="B404:C405"/>
    <mergeCell ref="B406:C406"/>
    <mergeCell ref="B407:C407"/>
    <mergeCell ref="B408:C408"/>
    <mergeCell ref="B417:G417"/>
    <mergeCell ref="C421:K421"/>
    <mergeCell ref="B418:G418"/>
    <mergeCell ref="B409:C409"/>
    <mergeCell ref="B410:C411"/>
    <mergeCell ref="B412:C412"/>
    <mergeCell ref="B413:C413"/>
    <mergeCell ref="B414:G414"/>
    <mergeCell ref="T414:BA414"/>
    <mergeCell ref="B415:G415"/>
    <mergeCell ref="I415:M415"/>
    <mergeCell ref="B416:G416"/>
    <mergeCell ref="T484:X484"/>
    <mergeCell ref="Y484:AA484"/>
    <mergeCell ref="AB484:AC484"/>
    <mergeCell ref="AF484:BA484"/>
    <mergeCell ref="B485:C485"/>
    <mergeCell ref="B486:C486"/>
    <mergeCell ref="B487:C487"/>
    <mergeCell ref="B488:C488"/>
    <mergeCell ref="B489:G489"/>
    <mergeCell ref="B490:C492"/>
    <mergeCell ref="F491:G491"/>
    <mergeCell ref="F492:G492"/>
    <mergeCell ref="B493:C495"/>
    <mergeCell ref="F494:G494"/>
    <mergeCell ref="F495:G495"/>
    <mergeCell ref="B496:C497"/>
    <mergeCell ref="F497:G497"/>
    <mergeCell ref="B498:C499"/>
    <mergeCell ref="F499:G499"/>
    <mergeCell ref="C509:K509"/>
    <mergeCell ref="B506:G506"/>
    <mergeCell ref="B500:C500"/>
    <mergeCell ref="B501:G501"/>
    <mergeCell ref="T501:BA501"/>
    <mergeCell ref="B502:G502"/>
    <mergeCell ref="T502:BA502"/>
    <mergeCell ref="B503:G503"/>
    <mergeCell ref="I503:M503"/>
    <mergeCell ref="B504:G504"/>
    <mergeCell ref="B505:G505"/>
  </mergeCells>
  <dataValidations count="8">
    <dataValidation type="list" allowBlank="1" showInputMessage="1" showErrorMessage="1" sqref="L34 L58" xr:uid="{00000000-0002-0000-0B00-000000000000}">
      <formula1>$I$116:$I$140</formula1>
    </dataValidation>
    <dataValidation type="list" allowBlank="1" showInputMessage="1" showErrorMessage="1" sqref="F31 F55" xr:uid="{00000000-0002-0000-0B00-000001000000}">
      <formula1>$H$116:$H$140</formula1>
    </dataValidation>
    <dataValidation type="list" allowBlank="1" showInputMessage="1" showErrorMessage="1" sqref="L112 L138" xr:uid="{00000000-0002-0000-0B00-000002000000}">
      <formula1>$I$118:$I$139</formula1>
    </dataValidation>
    <dataValidation type="list" allowBlank="1" showInputMessage="1" showErrorMessage="1" sqref="F109 F135" xr:uid="{00000000-0002-0000-0B00-000003000000}">
      <formula1>$H$118:$H$139</formula1>
    </dataValidation>
    <dataValidation type="list" allowBlank="1" showInputMessage="1" showErrorMessage="1" sqref="L164 L195 L264 L240" xr:uid="{00000000-0002-0000-0B00-000004000000}">
      <formula1>$I$118:$I$148</formula1>
    </dataValidation>
    <dataValidation type="list" allowBlank="1" showInputMessage="1" showErrorMessage="1" sqref="F161 F192 F261 F237" xr:uid="{00000000-0002-0000-0B00-000005000000}">
      <formula1>$H$118:$H$148</formula1>
    </dataValidation>
    <dataValidation type="list" allowBlank="1" showInputMessage="1" showErrorMessage="1" sqref="L306 L330 L399 L375 L350 L426 L481 L455" xr:uid="{00000000-0002-0000-0B00-000006000000}">
      <formula1>$I$118:$I$147</formula1>
    </dataValidation>
    <dataValidation type="list" allowBlank="1" showInputMessage="1" showErrorMessage="1" sqref="F303 F327 F396 F372 F347 F423 F452" xr:uid="{00000000-0002-0000-0B00-000007000000}">
      <formula1>$H$118:$H$147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B00-000008000000}">
          <x14:formula1>
            <xm:f>'FLF &amp; AGENT INFO'!$B$3:$B$20</xm:f>
          </x14:formula1>
          <xm:sqref>F5 F34 F58 F83 F112 F138 F164 F195 F240 F264 F306 F330 F350 F375 F399 F426 F455 F481</xm:sqref>
        </x14:dataValidation>
        <x14:dataValidation type="list" allowBlank="1" showInputMessage="1" showErrorMessage="1" xr:uid="{00000000-0002-0000-0B00-000009000000}">
          <x14:formula1>
            <xm:f>'FLF &amp; AGENT INFO'!$H$3:$H$7</xm:f>
          </x14:formula1>
          <xm:sqref>L6 L35 L59 L84 L113 L139 L165 L196 L241 L265 L307 L331 L351 L376 L400 L427 L456 L482</xm:sqref>
        </x14:dataValidation>
        <x14:dataValidation type="list" allowBlank="1" showInputMessage="1" showErrorMessage="1" xr:uid="{00000000-0002-0000-0B00-00000A000000}">
          <x14:formula1>
            <xm:f>'FLF &amp; AGENT INFO'!$F$3:$F$25</xm:f>
          </x14:formula1>
          <xm:sqref>F7 F36 F60</xm:sqref>
        </x14:dataValidation>
        <x14:dataValidation type="list" allowBlank="1" showInputMessage="1" showErrorMessage="1" xr:uid="{00000000-0002-0000-0B00-00000B000000}">
          <x14:formula1>
            <xm:f>'FLF &amp; AGENT INFO'!$F$3:$F$27</xm:f>
          </x14:formula1>
          <xm:sqref>F85 F483 F457 F428 F401 F377 F352 F332 F308 F266 F242 F197 F166 F140 F114</xm:sqref>
        </x14:dataValidation>
        <x14:dataValidation type="list" allowBlank="1" showInputMessage="1" showErrorMessage="1" xr:uid="{00000000-0002-0000-0B00-00000C000000}">
          <x14:formula1>
            <xm:f>'FLF &amp; AGENT INFO'!$D$3:$D$31</xm:f>
          </x14:formula1>
          <xm:sqref>F6 F482 F456 F427 F400 F376 F351 F331 F307 F265 F241 F196 F165 F139 F113 F84 F59 F35</xm:sqref>
        </x14:dataValidation>
        <x14:dataValidation type="list" allowBlank="1" showInputMessage="1" showErrorMessage="1" xr:uid="{00000000-0002-0000-0B00-00000D000000}">
          <x14:formula1>
            <xm:f>'VLU 2023 &amp; 2024'!$I$78:$I$97</xm:f>
          </x14:formula1>
          <xm:sqref>L5</xm:sqref>
        </x14:dataValidation>
        <x14:dataValidation type="list" allowBlank="1" showInputMessage="1" showErrorMessage="1" xr:uid="{00000000-0002-0000-0B00-00000E000000}">
          <x14:formula1>
            <xm:f>'VLU 2023 &amp; 2024'!$H$78:$H$97</xm:f>
          </x14:formula1>
          <xm:sqref>F2</xm:sqref>
        </x14:dataValidation>
        <x14:dataValidation type="list" allowBlank="1" showInputMessage="1" showErrorMessage="1" xr:uid="{00000000-0002-0000-0B00-00000F000000}">
          <x14:formula1>
            <xm:f>'VLU 2023 &amp; 2024'!$I$80:$I$97</xm:f>
          </x14:formula1>
          <xm:sqref>L83</xm:sqref>
        </x14:dataValidation>
        <x14:dataValidation type="list" allowBlank="1" showInputMessage="1" showErrorMessage="1" xr:uid="{00000000-0002-0000-0B00-000010000000}">
          <x14:formula1>
            <xm:f>'VLU 2023 &amp; 2024'!$H$80:$H$97</xm:f>
          </x14:formula1>
          <xm:sqref>F80</xm:sqref>
        </x14:dataValidation>
        <x14:dataValidation type="list" allowBlank="1" showInputMessage="1" showErrorMessage="1" xr:uid="{00000000-0002-0000-0B00-000011000000}">
          <x14:formula1>
            <xm:f>'VLU 2023 &amp; 2024'!$H$78:$H$103</xm:f>
          </x14:formula1>
          <xm:sqref>F478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CD237"/>
  <sheetViews>
    <sheetView zoomScale="80" zoomScaleNormal="80" zoomScaleSheetLayoutView="73" workbookViewId="0">
      <pane xSplit="16" ySplit="2" topLeftCell="Q3" activePane="bottomRight" state="frozen"/>
      <selection pane="topRight" activeCell="E184" sqref="E184"/>
      <selection pane="bottomLeft" activeCell="E184" sqref="E184"/>
      <selection pane="bottomRight" activeCell="E184" sqref="E184"/>
    </sheetView>
  </sheetViews>
  <sheetFormatPr defaultColWidth="9.33203125" defaultRowHeight="14.4"/>
  <cols>
    <col min="1" max="1" width="12.6640625" style="119" customWidth="1"/>
    <col min="2" max="2" width="7.5546875" style="119" customWidth="1"/>
    <col min="3" max="3" width="7.6640625" style="115" customWidth="1"/>
    <col min="4" max="4" width="6" style="115" customWidth="1"/>
    <col min="5" max="5" width="21.44140625" style="115" customWidth="1"/>
    <col min="6" max="6" width="10.5546875" style="115" customWidth="1"/>
    <col min="7" max="7" width="13.5546875" style="252" customWidth="1"/>
    <col min="8" max="8" width="12.5546875" style="252" customWidth="1"/>
    <col min="9" max="9" width="11.109375" style="117" customWidth="1"/>
    <col min="10" max="10" width="20" style="115" customWidth="1"/>
    <col min="11" max="11" width="15.88671875" style="115" customWidth="1"/>
    <col min="12" max="12" width="13.5546875" style="115" customWidth="1"/>
    <col min="13" max="13" width="0.5546875" style="118" customWidth="1"/>
    <col min="14" max="14" width="22.44140625" style="115" customWidth="1"/>
    <col min="15" max="15" width="22" style="115" customWidth="1"/>
    <col min="16" max="16" width="19.109375" style="115" customWidth="1"/>
    <col min="17" max="18" width="8.5546875" style="117" customWidth="1"/>
    <col min="19" max="19" width="10.33203125" style="117" customWidth="1"/>
    <col min="20" max="20" width="1.33203125" style="117" customWidth="1"/>
    <col min="21" max="21" width="10" style="115" bestFit="1" customWidth="1"/>
    <col min="22" max="22" width="10.33203125" style="115" customWidth="1"/>
    <col min="23" max="23" width="8.5546875" style="115" customWidth="1"/>
    <col min="24" max="24" width="10.33203125" style="115" customWidth="1"/>
    <col min="25" max="25" width="10.109375" style="115" customWidth="1"/>
    <col min="26" max="26" width="10.33203125" style="115" customWidth="1"/>
    <col min="27" max="49" width="8.5546875" style="115" customWidth="1"/>
    <col min="50" max="50" width="15.5546875" style="251" customWidth="1"/>
    <col min="51" max="51" width="16" style="251" customWidth="1"/>
    <col min="52" max="52" width="9.6640625" style="251" customWidth="1"/>
    <col min="53" max="53" width="15.5546875" style="251" customWidth="1"/>
    <col min="54" max="54" width="16.5546875" style="251" customWidth="1"/>
    <col min="55" max="55" width="16.44140625" style="251" customWidth="1"/>
    <col min="56" max="56" width="16" style="251" customWidth="1"/>
    <col min="57" max="57" width="15.5546875" style="251" customWidth="1"/>
    <col min="58" max="58" width="16.44140625" style="251" customWidth="1"/>
    <col min="59" max="59" width="15.5546875" style="251" customWidth="1"/>
    <col min="60" max="60" width="15.44140625" style="251" customWidth="1"/>
    <col min="61" max="61" width="17" style="251" customWidth="1"/>
    <col min="62" max="62" width="15.33203125" style="252" customWidth="1"/>
    <col min="63" max="63" width="15.5546875" style="251" customWidth="1"/>
    <col min="64" max="64" width="16.33203125" style="251" customWidth="1"/>
    <col min="65" max="65" width="15.5546875" style="251" customWidth="1"/>
    <col min="66" max="66" width="16.44140625" style="251" customWidth="1"/>
    <col min="67" max="68" width="15.5546875" style="115" customWidth="1"/>
    <col min="69" max="69" width="16.44140625" style="115" customWidth="1"/>
    <col min="70" max="70" width="49.5546875" style="116" customWidth="1"/>
    <col min="71" max="71" width="1.33203125" style="116" customWidth="1"/>
    <col min="72" max="72" width="10.5546875" style="251" customWidth="1"/>
    <col min="73" max="79" width="9.6640625" style="251" customWidth="1"/>
    <col min="80" max="80" width="11.33203125" style="115" bestFit="1" customWidth="1"/>
    <col min="81" max="16384" width="9.33203125" style="115"/>
  </cols>
  <sheetData>
    <row r="1" spans="1:82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1436</v>
      </c>
      <c r="R1" s="1286" t="s">
        <v>136</v>
      </c>
      <c r="S1" s="1236" t="s">
        <v>1437</v>
      </c>
      <c r="T1" s="403"/>
      <c r="U1" s="1224" t="s">
        <v>73</v>
      </c>
      <c r="V1" s="1224"/>
      <c r="W1" s="1224"/>
      <c r="X1" s="1220" t="s">
        <v>74</v>
      </c>
      <c r="Y1" s="1221"/>
      <c r="Z1" s="1222" t="s">
        <v>138</v>
      </c>
      <c r="AA1" s="1223"/>
      <c r="AB1" s="404" t="s">
        <v>85</v>
      </c>
      <c r="AC1" s="404" t="s">
        <v>139</v>
      </c>
      <c r="AD1" s="1224" t="s">
        <v>87</v>
      </c>
      <c r="AE1" s="1224"/>
      <c r="AF1" s="1224"/>
      <c r="AG1" s="1224"/>
      <c r="AH1" s="1224"/>
      <c r="AI1" s="1225" t="s">
        <v>138</v>
      </c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0"/>
      <c r="AW1" s="1221"/>
      <c r="AX1" s="1218" t="s">
        <v>140</v>
      </c>
      <c r="AY1" s="1218" t="s">
        <v>141</v>
      </c>
      <c r="AZ1" s="1226" t="s">
        <v>142</v>
      </c>
      <c r="BA1" s="1228" t="s">
        <v>143</v>
      </c>
      <c r="BB1" s="1228" t="s">
        <v>144</v>
      </c>
      <c r="BC1" s="1219" t="s">
        <v>1438</v>
      </c>
      <c r="BD1" s="1218" t="s">
        <v>146</v>
      </c>
      <c r="BE1" s="1218" t="s">
        <v>147</v>
      </c>
      <c r="BF1" s="1218" t="s">
        <v>148</v>
      </c>
      <c r="BG1" s="1218" t="s">
        <v>149</v>
      </c>
      <c r="BH1" s="1219" t="s">
        <v>150</v>
      </c>
      <c r="BI1" s="1219" t="s">
        <v>151</v>
      </c>
      <c r="BJ1" s="1219" t="s">
        <v>152</v>
      </c>
      <c r="BK1" s="1219" t="s">
        <v>153</v>
      </c>
      <c r="BL1" s="1219" t="s">
        <v>154</v>
      </c>
      <c r="BM1" s="1218" t="s">
        <v>155</v>
      </c>
      <c r="BN1" s="1218" t="s">
        <v>156</v>
      </c>
      <c r="BO1" s="1218" t="s">
        <v>157</v>
      </c>
      <c r="BP1" s="1218" t="s">
        <v>149</v>
      </c>
      <c r="BQ1" s="1218" t="s">
        <v>158</v>
      </c>
      <c r="BR1" s="1217" t="s">
        <v>159</v>
      </c>
      <c r="BS1" s="569"/>
      <c r="BT1" s="1213" t="s">
        <v>160</v>
      </c>
      <c r="BU1" s="1213" t="s">
        <v>111</v>
      </c>
      <c r="BV1" s="1213" t="s">
        <v>161</v>
      </c>
      <c r="BW1" s="1213" t="s">
        <v>162</v>
      </c>
      <c r="BX1" s="1213" t="s">
        <v>120</v>
      </c>
      <c r="BY1" s="1213" t="s">
        <v>163</v>
      </c>
      <c r="BZ1" s="1215" t="s">
        <v>164</v>
      </c>
      <c r="CA1" s="1215" t="s">
        <v>165</v>
      </c>
      <c r="CB1" s="1215" t="s">
        <v>166</v>
      </c>
    </row>
    <row r="2" spans="1:82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87"/>
      <c r="S2" s="1236"/>
      <c r="T2" s="403"/>
      <c r="U2" s="404" t="s">
        <v>167</v>
      </c>
      <c r="V2" s="404" t="s">
        <v>168</v>
      </c>
      <c r="W2" s="405" t="s">
        <v>169</v>
      </c>
      <c r="X2" s="404" t="s">
        <v>170</v>
      </c>
      <c r="Y2" s="404" t="s">
        <v>171</v>
      </c>
      <c r="Z2" s="406" t="s">
        <v>172</v>
      </c>
      <c r="AA2" s="406" t="s">
        <v>173</v>
      </c>
      <c r="AB2" s="404" t="s">
        <v>174</v>
      </c>
      <c r="AC2" s="404" t="s">
        <v>139</v>
      </c>
      <c r="AD2" s="405" t="s">
        <v>175</v>
      </c>
      <c r="AE2" s="405" t="s">
        <v>176</v>
      </c>
      <c r="AF2" s="405" t="s">
        <v>177</v>
      </c>
      <c r="AG2" s="405" t="s">
        <v>178</v>
      </c>
      <c r="AH2" s="405" t="s">
        <v>179</v>
      </c>
      <c r="AI2" s="404" t="s">
        <v>81</v>
      </c>
      <c r="AJ2" s="404" t="s">
        <v>180</v>
      </c>
      <c r="AK2" s="404" t="s">
        <v>181</v>
      </c>
      <c r="AL2" s="404" t="s">
        <v>76</v>
      </c>
      <c r="AM2" s="404" t="s">
        <v>84</v>
      </c>
      <c r="AN2" s="404" t="s">
        <v>88</v>
      </c>
      <c r="AO2" s="404" t="s">
        <v>78</v>
      </c>
      <c r="AP2" s="404" t="s">
        <v>80</v>
      </c>
      <c r="AQ2" s="404" t="s">
        <v>86</v>
      </c>
      <c r="AR2" s="404" t="s">
        <v>82</v>
      </c>
      <c r="AS2" s="404" t="s">
        <v>182</v>
      </c>
      <c r="AT2" s="404" t="s">
        <v>183</v>
      </c>
      <c r="AU2" s="404" t="s">
        <v>184</v>
      </c>
      <c r="AV2" s="404" t="s">
        <v>100</v>
      </c>
      <c r="AW2" s="404" t="s">
        <v>913</v>
      </c>
      <c r="AX2" s="1218"/>
      <c r="AY2" s="1218"/>
      <c r="AZ2" s="1227"/>
      <c r="BA2" s="1229"/>
      <c r="BB2" s="1229"/>
      <c r="BC2" s="1219"/>
      <c r="BD2" s="1218"/>
      <c r="BE2" s="1218"/>
      <c r="BF2" s="1218"/>
      <c r="BG2" s="1218"/>
      <c r="BH2" s="1219"/>
      <c r="BI2" s="1219"/>
      <c r="BJ2" s="1219"/>
      <c r="BK2" s="1219"/>
      <c r="BL2" s="1219"/>
      <c r="BM2" s="1218"/>
      <c r="BN2" s="1218"/>
      <c r="BO2" s="1218"/>
      <c r="BP2" s="1218"/>
      <c r="BQ2" s="1218"/>
      <c r="BR2" s="1217"/>
      <c r="BS2" s="250"/>
      <c r="BT2" s="1214"/>
      <c r="BU2" s="1214"/>
      <c r="BV2" s="1214"/>
      <c r="BW2" s="1214"/>
      <c r="BX2" s="1214"/>
      <c r="BY2" s="1214"/>
      <c r="BZ2" s="1216"/>
      <c r="CA2" s="1216"/>
      <c r="CB2" s="1216"/>
    </row>
    <row r="3" spans="1:82">
      <c r="A3" s="208" t="s">
        <v>1748</v>
      </c>
      <c r="B3" s="115"/>
      <c r="E3" s="77"/>
      <c r="G3" s="299"/>
      <c r="H3" s="299"/>
      <c r="I3" s="115"/>
      <c r="M3" s="115"/>
      <c r="Z3" s="117"/>
      <c r="AZ3" s="300"/>
      <c r="BJ3" s="251"/>
      <c r="BO3" s="251"/>
      <c r="BP3" s="251"/>
      <c r="BQ3" s="251"/>
      <c r="BR3" s="115"/>
      <c r="BS3" s="115"/>
      <c r="BT3" s="302"/>
      <c r="BU3" s="302"/>
      <c r="BV3" s="302"/>
      <c r="BW3" s="302"/>
      <c r="BX3" s="303"/>
      <c r="BY3" s="303"/>
      <c r="BZ3" s="304"/>
      <c r="CA3" s="304"/>
      <c r="CB3" s="305"/>
    </row>
    <row r="4" spans="1:82" s="126" customFormat="1">
      <c r="A4" s="192">
        <f t="shared" ref="A4:A11" si="0">BD4</f>
        <v>45098.569444444445</v>
      </c>
      <c r="B4" s="126" t="s">
        <v>188</v>
      </c>
      <c r="C4" s="126" t="s">
        <v>88</v>
      </c>
      <c r="D4" s="126" t="s">
        <v>189</v>
      </c>
      <c r="E4" s="65" t="s">
        <v>1749</v>
      </c>
      <c r="G4" s="165">
        <v>45108.166666666664</v>
      </c>
      <c r="H4" s="165">
        <v>45108.166666666664</v>
      </c>
      <c r="I4" s="126" t="s">
        <v>191</v>
      </c>
      <c r="J4" s="126" t="s">
        <v>192</v>
      </c>
      <c r="K4" s="126" t="s">
        <v>192</v>
      </c>
      <c r="L4" s="126" t="s">
        <v>1750</v>
      </c>
      <c r="M4" s="167"/>
      <c r="N4" s="126" t="s">
        <v>1181</v>
      </c>
      <c r="O4" s="126" t="s">
        <v>1182</v>
      </c>
      <c r="P4" s="126" t="s">
        <v>88</v>
      </c>
      <c r="Q4" s="181">
        <v>5000</v>
      </c>
      <c r="R4" s="181">
        <v>5000</v>
      </c>
      <c r="S4" s="181">
        <v>5049.3590000000004</v>
      </c>
      <c r="T4" s="181"/>
      <c r="AN4" s="181">
        <f>S4</f>
        <v>5049.3590000000004</v>
      </c>
      <c r="AX4" s="165">
        <f t="shared" ref="AX4:AX67" si="1">BA4</f>
        <v>45098.5625</v>
      </c>
      <c r="AY4" s="165">
        <f t="shared" ref="AY4:AY67" si="2">BQ4</f>
        <v>45107.635416666664</v>
      </c>
      <c r="AZ4" s="137">
        <f t="shared" ref="AZ4:AZ67" si="3">AY4-AX4</f>
        <v>9.0729166666642413</v>
      </c>
      <c r="BA4" s="165">
        <v>45098.5625</v>
      </c>
      <c r="BB4" s="165">
        <v>45098.5625</v>
      </c>
      <c r="BC4" s="165">
        <v>45098.5625</v>
      </c>
      <c r="BD4" s="165">
        <v>45098.569444444445</v>
      </c>
      <c r="BE4" s="165">
        <v>45099.180555555555</v>
      </c>
      <c r="BF4" s="165">
        <v>45099.180555555555</v>
      </c>
      <c r="BG4" s="165">
        <v>45099.180555555555</v>
      </c>
      <c r="BH4" s="165">
        <v>45099.180555555555</v>
      </c>
      <c r="BI4" s="166" t="s">
        <v>196</v>
      </c>
      <c r="BJ4" s="166" t="s">
        <v>196</v>
      </c>
      <c r="BK4" s="166" t="s">
        <v>196</v>
      </c>
      <c r="BL4" s="165">
        <v>45104.184027777781</v>
      </c>
      <c r="BM4" s="165">
        <v>45107.368055555555</v>
      </c>
      <c r="BN4" s="165">
        <v>45107.618055555555</v>
      </c>
      <c r="BO4" s="165">
        <v>45107.635416666664</v>
      </c>
      <c r="BP4" s="165">
        <v>45107.635416666664</v>
      </c>
      <c r="BQ4" s="165">
        <v>45107.635416666664</v>
      </c>
      <c r="BT4" s="136">
        <f t="shared" ref="BT4:BT67" si="4">(BC4-BB4)*24</f>
        <v>0</v>
      </c>
      <c r="BU4" s="136">
        <f t="shared" ref="BU4:BU67" si="5">(BE4-BD4)*24</f>
        <v>14.666666666627862</v>
      </c>
      <c r="BV4" s="136">
        <f t="shared" ref="BV4:BV67" si="6">(BH4-BG4)*24</f>
        <v>0</v>
      </c>
      <c r="BW4" s="136">
        <f>(BL4-BH4)*24</f>
        <v>120.08333333343035</v>
      </c>
      <c r="BX4" s="135">
        <f t="shared" ref="BX4:BX67" si="7">(BN4-BM4)*24</f>
        <v>6</v>
      </c>
      <c r="BY4" s="135">
        <f t="shared" ref="BY4:BY67" si="8">(BQ4-BP4)*24</f>
        <v>0</v>
      </c>
      <c r="BZ4" s="134">
        <f t="shared" ref="BZ4:BZ67" si="9">SUM(BT4:BY4)/24</f>
        <v>5.8645833333357587</v>
      </c>
      <c r="CA4" s="134">
        <f t="shared" ref="CA4:CA67" si="10">AZ4</f>
        <v>9.0729166666642413</v>
      </c>
      <c r="CB4" s="133">
        <f t="shared" ref="CB4:CB67" si="11">BZ4/CA4</f>
        <v>0.64638346727942975</v>
      </c>
    </row>
    <row r="5" spans="1:82">
      <c r="A5" s="192">
        <f t="shared" si="0"/>
        <v>45105.708333333336</v>
      </c>
      <c r="B5" s="126" t="s">
        <v>188</v>
      </c>
      <c r="C5" s="126" t="s">
        <v>88</v>
      </c>
      <c r="D5" s="126" t="s">
        <v>189</v>
      </c>
      <c r="E5" s="65" t="s">
        <v>1751</v>
      </c>
      <c r="F5" s="126"/>
      <c r="G5" s="165">
        <f>'VLU 2023 &amp; 2024'!$K$126</f>
        <v>45115.083333333336</v>
      </c>
      <c r="H5" s="165">
        <f>'VLU 2023 &amp; 2024'!$L$126</f>
        <v>45115.041666666664</v>
      </c>
      <c r="I5" s="126" t="s">
        <v>191</v>
      </c>
      <c r="J5" s="126" t="s">
        <v>192</v>
      </c>
      <c r="K5" s="126" t="s">
        <v>192</v>
      </c>
      <c r="L5" s="126" t="s">
        <v>1752</v>
      </c>
      <c r="M5" s="167"/>
      <c r="N5" s="126" t="s">
        <v>1753</v>
      </c>
      <c r="O5" s="126" t="s">
        <v>1754</v>
      </c>
      <c r="P5" s="126" t="s">
        <v>88</v>
      </c>
      <c r="Q5" s="181">
        <v>5000</v>
      </c>
      <c r="R5" s="181">
        <v>5000</v>
      </c>
      <c r="S5" s="181">
        <v>5009.8490000000002</v>
      </c>
      <c r="T5" s="181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81">
        <f>S5</f>
        <v>5009.8490000000002</v>
      </c>
      <c r="AO5" s="126"/>
      <c r="AP5" s="126"/>
      <c r="AQ5" s="126"/>
      <c r="AR5" s="126"/>
      <c r="AS5" s="126"/>
      <c r="AT5" s="126"/>
      <c r="AU5" s="126"/>
      <c r="AV5" s="126"/>
      <c r="AW5" s="126"/>
      <c r="AX5" s="165">
        <f t="shared" si="1"/>
        <v>45105.701388888891</v>
      </c>
      <c r="AY5" s="165">
        <f t="shared" si="2"/>
        <v>45112.736111111109</v>
      </c>
      <c r="AZ5" s="137">
        <f t="shared" si="3"/>
        <v>7.0347222222189885</v>
      </c>
      <c r="BA5" s="165">
        <v>45105.701388888891</v>
      </c>
      <c r="BB5" s="165">
        <v>45105.701388888891</v>
      </c>
      <c r="BC5" s="165">
        <v>45105.701388888891</v>
      </c>
      <c r="BD5" s="165">
        <v>45105.708333333336</v>
      </c>
      <c r="BE5" s="165">
        <v>45106.208333333336</v>
      </c>
      <c r="BF5" s="165">
        <v>45106.236111111109</v>
      </c>
      <c r="BG5" s="165">
        <v>45106.236111111109</v>
      </c>
      <c r="BH5" s="165">
        <v>45106.236111111109</v>
      </c>
      <c r="BI5" s="166" t="s">
        <v>196</v>
      </c>
      <c r="BJ5" s="166" t="s">
        <v>196</v>
      </c>
      <c r="BK5" s="166" t="s">
        <v>196</v>
      </c>
      <c r="BL5" s="165">
        <v>45111.423611111109</v>
      </c>
      <c r="BM5" s="165">
        <v>45112.399305555555</v>
      </c>
      <c r="BN5" s="165">
        <v>45112.725694444445</v>
      </c>
      <c r="BO5" s="165">
        <v>45112.736111111109</v>
      </c>
      <c r="BP5" s="165">
        <v>45112.736111111109</v>
      </c>
      <c r="BQ5" s="165">
        <v>45112.736111111109</v>
      </c>
      <c r="BR5" s="126"/>
      <c r="BS5" s="126"/>
      <c r="BT5" s="136">
        <f t="shared" si="4"/>
        <v>0</v>
      </c>
      <c r="BU5" s="136">
        <f t="shared" si="5"/>
        <v>12</v>
      </c>
      <c r="BV5" s="136">
        <f t="shared" si="6"/>
        <v>0</v>
      </c>
      <c r="BW5" s="136">
        <f>(BL5-BH5)*24</f>
        <v>124.5</v>
      </c>
      <c r="BX5" s="135">
        <f t="shared" si="7"/>
        <v>7.8333333333721384</v>
      </c>
      <c r="BY5" s="135">
        <f t="shared" si="8"/>
        <v>0</v>
      </c>
      <c r="BZ5" s="134">
        <f t="shared" si="9"/>
        <v>6.0138888888905058</v>
      </c>
      <c r="CA5" s="134">
        <f t="shared" si="10"/>
        <v>7.0347222222189885</v>
      </c>
      <c r="CB5" s="133">
        <f t="shared" si="11"/>
        <v>0.85488647581503541</v>
      </c>
      <c r="CC5" s="126"/>
      <c r="CD5" s="126"/>
    </row>
    <row r="6" spans="1:82" s="126" customFormat="1">
      <c r="A6" s="119">
        <f t="shared" si="0"/>
        <v>45079.357638888891</v>
      </c>
      <c r="B6" s="115" t="s">
        <v>188</v>
      </c>
      <c r="C6" s="115" t="s">
        <v>78</v>
      </c>
      <c r="D6" s="115" t="s">
        <v>197</v>
      </c>
      <c r="E6" s="77" t="s">
        <v>1591</v>
      </c>
      <c r="F6" s="115"/>
      <c r="G6" s="251">
        <v>45085.784722222219</v>
      </c>
      <c r="H6" s="251">
        <v>45085.784722222219</v>
      </c>
      <c r="I6" s="115" t="s">
        <v>199</v>
      </c>
      <c r="J6" s="115" t="s">
        <v>192</v>
      </c>
      <c r="K6" s="115" t="s">
        <v>192</v>
      </c>
      <c r="L6" s="115" t="s">
        <v>1755</v>
      </c>
      <c r="M6" s="118"/>
      <c r="N6" s="115" t="s">
        <v>213</v>
      </c>
      <c r="O6" s="115" t="s">
        <v>214</v>
      </c>
      <c r="P6" s="115" t="s">
        <v>78</v>
      </c>
      <c r="Q6" s="181">
        <f>3113*2.4</f>
        <v>7471.2</v>
      </c>
      <c r="R6" s="181">
        <f>7500+100</f>
        <v>7600</v>
      </c>
      <c r="S6" s="117">
        <v>7500</v>
      </c>
      <c r="T6" s="117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7">
        <f t="shared" ref="AO6:AO11" si="12">S6</f>
        <v>7500</v>
      </c>
      <c r="AP6" s="115"/>
      <c r="AQ6" s="115"/>
      <c r="AR6" s="115"/>
      <c r="AS6" s="115"/>
      <c r="AT6" s="115"/>
      <c r="AU6" s="115"/>
      <c r="AV6" s="115"/>
      <c r="AW6" s="115"/>
      <c r="AX6" s="251">
        <f t="shared" si="1"/>
        <v>45072.5</v>
      </c>
      <c r="AY6" s="251">
        <f t="shared" si="2"/>
        <v>45086.375</v>
      </c>
      <c r="AZ6" s="300">
        <f t="shared" si="3"/>
        <v>13.875</v>
      </c>
      <c r="BA6" s="251">
        <v>45072.5</v>
      </c>
      <c r="BB6" s="251">
        <v>45075.520833333336</v>
      </c>
      <c r="BC6" s="251">
        <v>45075.590277777781</v>
      </c>
      <c r="BD6" s="251">
        <v>45079.357638888891</v>
      </c>
      <c r="BE6" s="251">
        <v>45080.15625</v>
      </c>
      <c r="BF6" s="251">
        <v>45080.201388888891</v>
      </c>
      <c r="BG6" s="251">
        <v>45080.201388888891</v>
      </c>
      <c r="BH6" s="251">
        <f t="shared" ref="BH6:BH11" si="13">BG6+(5/24)</f>
        <v>45080.409722222226</v>
      </c>
      <c r="BI6" s="251">
        <v>45081.229166608799</v>
      </c>
      <c r="BJ6" s="251">
        <v>45081.395833275463</v>
      </c>
      <c r="BK6" s="251">
        <v>45081.347222222219</v>
      </c>
      <c r="BL6" s="251">
        <v>45084.895833333336</v>
      </c>
      <c r="BM6" s="251">
        <v>45085.458333333336</v>
      </c>
      <c r="BN6" s="251">
        <v>45085.654861111114</v>
      </c>
      <c r="BO6" s="251">
        <v>45085.694444444445</v>
      </c>
      <c r="BP6" s="251">
        <v>45085.777777777781</v>
      </c>
      <c r="BQ6" s="251">
        <v>45086.375</v>
      </c>
      <c r="BR6" s="115"/>
      <c r="BS6" s="115"/>
      <c r="BT6" s="302">
        <f t="shared" si="4"/>
        <v>1.6666666666860692</v>
      </c>
      <c r="BU6" s="302">
        <f t="shared" si="5"/>
        <v>19.166666666627862</v>
      </c>
      <c r="BV6" s="302">
        <f t="shared" si="6"/>
        <v>5.0000000000582077</v>
      </c>
      <c r="BW6" s="302">
        <f t="shared" ref="BW6:BW69" si="14">(BL6-BJ6)*24</f>
        <v>84.000001388951205</v>
      </c>
      <c r="BX6" s="303">
        <f t="shared" si="7"/>
        <v>4.7166666666744277</v>
      </c>
      <c r="BY6" s="303">
        <f t="shared" si="8"/>
        <v>14.333333333255723</v>
      </c>
      <c r="BZ6" s="304">
        <f t="shared" si="9"/>
        <v>5.3701389467605622</v>
      </c>
      <c r="CA6" s="304">
        <f t="shared" si="10"/>
        <v>13.875</v>
      </c>
      <c r="CB6" s="305">
        <f t="shared" si="11"/>
        <v>0.38703704120796845</v>
      </c>
      <c r="CC6" s="115"/>
      <c r="CD6" s="115"/>
    </row>
    <row r="7" spans="1:82" s="126" customFormat="1">
      <c r="A7" s="192">
        <f t="shared" si="0"/>
        <v>45095.854166666664</v>
      </c>
      <c r="B7" s="126" t="s">
        <v>188</v>
      </c>
      <c r="C7" s="126" t="s">
        <v>78</v>
      </c>
      <c r="D7" s="126" t="s">
        <v>197</v>
      </c>
      <c r="E7" s="65" t="s">
        <v>1756</v>
      </c>
      <c r="G7" s="165">
        <v>45101.854166666664</v>
      </c>
      <c r="H7" s="165">
        <v>45101.854166666664</v>
      </c>
      <c r="I7" s="126" t="s">
        <v>199</v>
      </c>
      <c r="J7" s="115" t="s">
        <v>192</v>
      </c>
      <c r="K7" s="115" t="s">
        <v>192</v>
      </c>
      <c r="L7" s="126" t="s">
        <v>1757</v>
      </c>
      <c r="M7" s="167"/>
      <c r="N7" s="126" t="s">
        <v>1255</v>
      </c>
      <c r="O7" s="126" t="s">
        <v>268</v>
      </c>
      <c r="P7" s="126" t="s">
        <v>78</v>
      </c>
      <c r="Q7" s="181">
        <f>3142*2.4</f>
        <v>7540.7999999999993</v>
      </c>
      <c r="R7" s="181">
        <f>7550+100</f>
        <v>7650</v>
      </c>
      <c r="S7" s="181">
        <v>7500</v>
      </c>
      <c r="T7" s="181"/>
      <c r="AO7" s="181">
        <f t="shared" si="12"/>
        <v>7500</v>
      </c>
      <c r="AX7" s="165">
        <f t="shared" si="1"/>
        <v>45092.333333333336</v>
      </c>
      <c r="AY7" s="165">
        <f t="shared" si="2"/>
        <v>45101.458333333336</v>
      </c>
      <c r="AZ7" s="137">
        <f t="shared" si="3"/>
        <v>9.125</v>
      </c>
      <c r="BA7" s="165">
        <v>45092.333333333336</v>
      </c>
      <c r="BB7" s="165">
        <v>45092.8125</v>
      </c>
      <c r="BC7" s="165">
        <v>45092.875</v>
      </c>
      <c r="BD7" s="165">
        <v>45095.854166666664</v>
      </c>
      <c r="BE7" s="165">
        <v>45096.722222222219</v>
      </c>
      <c r="BF7" s="165">
        <v>45096.743055555555</v>
      </c>
      <c r="BG7" s="165">
        <v>45096.743055555555</v>
      </c>
      <c r="BH7" s="165">
        <f t="shared" si="13"/>
        <v>45096.951388888891</v>
      </c>
      <c r="BI7" s="165">
        <v>45098.25</v>
      </c>
      <c r="BJ7" s="165">
        <v>45098.416666666664</v>
      </c>
      <c r="BK7" s="165">
        <v>45098.364583333336</v>
      </c>
      <c r="BL7" s="165">
        <v>45099.857638888891</v>
      </c>
      <c r="BM7" s="165">
        <v>45100.746527777781</v>
      </c>
      <c r="BN7" s="165">
        <v>45100.9375</v>
      </c>
      <c r="BO7" s="165">
        <v>45100.975694444445</v>
      </c>
      <c r="BP7" s="165">
        <v>45100.979166666664</v>
      </c>
      <c r="BQ7" s="165">
        <v>45101.458333333336</v>
      </c>
      <c r="BT7" s="136">
        <f t="shared" si="4"/>
        <v>1.5</v>
      </c>
      <c r="BU7" s="136">
        <f t="shared" si="5"/>
        <v>20.833333333313931</v>
      </c>
      <c r="BV7" s="136">
        <f t="shared" si="6"/>
        <v>5.0000000000582077</v>
      </c>
      <c r="BW7" s="136">
        <f t="shared" si="14"/>
        <v>34.583333333430346</v>
      </c>
      <c r="BX7" s="135">
        <f t="shared" si="7"/>
        <v>4.5833333332557231</v>
      </c>
      <c r="BY7" s="135">
        <f t="shared" si="8"/>
        <v>11.500000000116415</v>
      </c>
      <c r="BZ7" s="134">
        <f t="shared" si="9"/>
        <v>3.250000000007276</v>
      </c>
      <c r="CA7" s="134">
        <f t="shared" si="10"/>
        <v>9.125</v>
      </c>
      <c r="CB7" s="133">
        <f t="shared" si="11"/>
        <v>0.35616438356244118</v>
      </c>
    </row>
    <row r="8" spans="1:82" s="126" customFormat="1">
      <c r="A8" s="192">
        <f t="shared" si="0"/>
        <v>45096.836805555555</v>
      </c>
      <c r="B8" s="126" t="s">
        <v>188</v>
      </c>
      <c r="C8" s="126" t="s">
        <v>78</v>
      </c>
      <c r="D8" s="126" t="s">
        <v>197</v>
      </c>
      <c r="E8" s="65" t="s">
        <v>1758</v>
      </c>
      <c r="G8" s="165">
        <v>45102.000694444447</v>
      </c>
      <c r="H8" s="165">
        <v>45102.000694444447</v>
      </c>
      <c r="I8" s="126" t="s">
        <v>199</v>
      </c>
      <c r="J8" s="126" t="s">
        <v>192</v>
      </c>
      <c r="K8" s="126" t="s">
        <v>192</v>
      </c>
      <c r="L8" s="126" t="s">
        <v>1759</v>
      </c>
      <c r="M8" s="167"/>
      <c r="N8" s="126" t="s">
        <v>371</v>
      </c>
      <c r="O8" s="126" t="s">
        <v>372</v>
      </c>
      <c r="P8" s="126" t="s">
        <v>78</v>
      </c>
      <c r="Q8" s="181">
        <f>3117*2.4</f>
        <v>7480.7999999999993</v>
      </c>
      <c r="R8" s="181">
        <f>7500+100</f>
        <v>7600</v>
      </c>
      <c r="S8" s="181">
        <v>7500</v>
      </c>
      <c r="T8" s="181"/>
      <c r="AO8" s="181">
        <f t="shared" si="12"/>
        <v>7500</v>
      </c>
      <c r="AX8" s="165">
        <f t="shared" si="1"/>
        <v>45092.719444444447</v>
      </c>
      <c r="AY8" s="165">
        <f t="shared" si="2"/>
        <v>45101.274305555555</v>
      </c>
      <c r="AZ8" s="137">
        <f t="shared" si="3"/>
        <v>8.554861111108039</v>
      </c>
      <c r="BA8" s="165">
        <v>45092.719444444447</v>
      </c>
      <c r="BB8" s="165">
        <v>45093.364583333336</v>
      </c>
      <c r="BC8" s="165">
        <v>45093.423611111109</v>
      </c>
      <c r="BD8" s="165">
        <v>45096.836805555555</v>
      </c>
      <c r="BE8" s="165">
        <v>45097.211805555555</v>
      </c>
      <c r="BF8" s="165">
        <v>45097.25</v>
      </c>
      <c r="BG8" s="165">
        <v>45097.25</v>
      </c>
      <c r="BH8" s="165">
        <f t="shared" si="13"/>
        <v>45097.458333333336</v>
      </c>
      <c r="BI8" s="165">
        <v>45097.25</v>
      </c>
      <c r="BJ8" s="165">
        <v>45097.416666666664</v>
      </c>
      <c r="BK8" s="165">
        <v>45097.442361111112</v>
      </c>
      <c r="BL8" s="165">
        <v>45099.298611111109</v>
      </c>
      <c r="BM8" s="165">
        <v>45101.041666666664</v>
      </c>
      <c r="BN8" s="165">
        <v>45101.274305555555</v>
      </c>
      <c r="BO8" s="165">
        <v>45101.274305555555</v>
      </c>
      <c r="BP8" s="165">
        <v>45101.274305555555</v>
      </c>
      <c r="BQ8" s="165">
        <v>45101.274305555555</v>
      </c>
      <c r="BT8" s="136">
        <f t="shared" si="4"/>
        <v>1.4166666665696539</v>
      </c>
      <c r="BU8" s="136">
        <f t="shared" si="5"/>
        <v>9</v>
      </c>
      <c r="BV8" s="136">
        <f t="shared" si="6"/>
        <v>5.0000000000582077</v>
      </c>
      <c r="BW8" s="136">
        <f t="shared" si="14"/>
        <v>45.166666666686069</v>
      </c>
      <c r="BX8" s="135">
        <f t="shared" si="7"/>
        <v>5.5833333333721384</v>
      </c>
      <c r="BY8" s="135">
        <f t="shared" si="8"/>
        <v>0</v>
      </c>
      <c r="BZ8" s="134">
        <f t="shared" si="9"/>
        <v>2.7569444444452529</v>
      </c>
      <c r="CA8" s="134">
        <f t="shared" si="10"/>
        <v>8.554861111108039</v>
      </c>
      <c r="CB8" s="133">
        <f t="shared" si="11"/>
        <v>0.32226641772892195</v>
      </c>
    </row>
    <row r="9" spans="1:82" s="126" customFormat="1">
      <c r="A9" s="192">
        <f t="shared" si="0"/>
        <v>45101.819444444445</v>
      </c>
      <c r="B9" s="126" t="s">
        <v>188</v>
      </c>
      <c r="C9" s="126" t="s">
        <v>78</v>
      </c>
      <c r="D9" s="126" t="s">
        <v>197</v>
      </c>
      <c r="E9" s="65" t="s">
        <v>1749</v>
      </c>
      <c r="G9" s="165">
        <v>45108.166666666664</v>
      </c>
      <c r="H9" s="165">
        <v>45108.166666666664</v>
      </c>
      <c r="I9" s="126" t="s">
        <v>199</v>
      </c>
      <c r="J9" s="126" t="s">
        <v>192</v>
      </c>
      <c r="K9" s="126" t="s">
        <v>192</v>
      </c>
      <c r="L9" s="126" t="s">
        <v>1760</v>
      </c>
      <c r="M9" s="167"/>
      <c r="N9" s="126" t="s">
        <v>330</v>
      </c>
      <c r="O9" s="126" t="s">
        <v>331</v>
      </c>
      <c r="P9" s="126" t="s">
        <v>78</v>
      </c>
      <c r="Q9" s="181">
        <f>3136*2.4</f>
        <v>7526.4</v>
      </c>
      <c r="R9" s="181">
        <f>7550+100</f>
        <v>7650</v>
      </c>
      <c r="S9" s="181">
        <v>7500</v>
      </c>
      <c r="T9" s="181"/>
      <c r="AO9" s="181">
        <f t="shared" si="12"/>
        <v>7500</v>
      </c>
      <c r="AX9" s="165">
        <f t="shared" si="1"/>
        <v>45100.541666666664</v>
      </c>
      <c r="AY9" s="165">
        <f t="shared" si="2"/>
        <v>45108.458333333336</v>
      </c>
      <c r="AZ9" s="137">
        <f t="shared" si="3"/>
        <v>7.9166666666715173</v>
      </c>
      <c r="BA9" s="165">
        <v>45100.541666666664</v>
      </c>
      <c r="BB9" s="165">
        <v>45101.635416666664</v>
      </c>
      <c r="BC9" s="165">
        <v>45101.743055555555</v>
      </c>
      <c r="BD9" s="165">
        <v>45101.819444444445</v>
      </c>
      <c r="BE9" s="165">
        <v>45102.229166666664</v>
      </c>
      <c r="BF9" s="165">
        <v>45102.253472222219</v>
      </c>
      <c r="BG9" s="165">
        <v>45102.253472222219</v>
      </c>
      <c r="BH9" s="165">
        <f t="shared" si="13"/>
        <v>45102.461805555555</v>
      </c>
      <c r="BI9" s="165">
        <v>45103.25</v>
      </c>
      <c r="BJ9" s="165">
        <v>45103.25</v>
      </c>
      <c r="BK9" s="165">
        <v>45103.305555555555</v>
      </c>
      <c r="BL9" s="165">
        <v>45105.263888888891</v>
      </c>
      <c r="BM9" s="165">
        <v>45107.694444444445</v>
      </c>
      <c r="BN9" s="165">
        <v>45107.909722222219</v>
      </c>
      <c r="BO9" s="165">
        <v>45107.930555555555</v>
      </c>
      <c r="BP9" s="165">
        <v>45107.934027777781</v>
      </c>
      <c r="BQ9" s="165">
        <v>45108.458333333336</v>
      </c>
      <c r="BT9" s="136">
        <f t="shared" si="4"/>
        <v>2.5833333333721384</v>
      </c>
      <c r="BU9" s="136">
        <f t="shared" si="5"/>
        <v>9.8333333332557231</v>
      </c>
      <c r="BV9" s="136">
        <f t="shared" si="6"/>
        <v>5.0000000000582077</v>
      </c>
      <c r="BW9" s="136">
        <f t="shared" si="14"/>
        <v>48.333333333372138</v>
      </c>
      <c r="BX9" s="135">
        <f t="shared" si="7"/>
        <v>5.1666666665696539</v>
      </c>
      <c r="BY9" s="135">
        <f t="shared" si="8"/>
        <v>12.583333333313931</v>
      </c>
      <c r="BZ9" s="134">
        <f t="shared" si="9"/>
        <v>3.4791666666642413</v>
      </c>
      <c r="CA9" s="134">
        <f t="shared" si="10"/>
        <v>7.9166666666715173</v>
      </c>
      <c r="CB9" s="133">
        <f t="shared" si="11"/>
        <v>0.4394736842099507</v>
      </c>
    </row>
    <row r="10" spans="1:82" s="126" customFormat="1">
      <c r="A10" s="192">
        <f t="shared" si="0"/>
        <v>45102.65625</v>
      </c>
      <c r="B10" s="126" t="s">
        <v>188</v>
      </c>
      <c r="C10" s="126" t="s">
        <v>78</v>
      </c>
      <c r="D10" s="126" t="s">
        <v>197</v>
      </c>
      <c r="E10" s="65" t="s">
        <v>1761</v>
      </c>
      <c r="G10" s="165">
        <v>45119.916666666664</v>
      </c>
      <c r="H10" s="165">
        <v>45119.916666666664</v>
      </c>
      <c r="I10" s="126" t="s">
        <v>199</v>
      </c>
      <c r="J10" s="126" t="s">
        <v>192</v>
      </c>
      <c r="K10" s="126" t="s">
        <v>192</v>
      </c>
      <c r="L10" s="126" t="s">
        <v>1762</v>
      </c>
      <c r="M10" s="167"/>
      <c r="N10" s="126" t="s">
        <v>1392</v>
      </c>
      <c r="O10" s="126" t="s">
        <v>365</v>
      </c>
      <c r="P10" s="126" t="s">
        <v>78</v>
      </c>
      <c r="Q10" s="181">
        <f>3142*2.4</f>
        <v>7540.7999999999993</v>
      </c>
      <c r="R10" s="181">
        <f>7550+100</f>
        <v>7650</v>
      </c>
      <c r="S10" s="181">
        <v>7500</v>
      </c>
      <c r="T10" s="181"/>
      <c r="AO10" s="181">
        <f t="shared" si="12"/>
        <v>7500</v>
      </c>
      <c r="AX10" s="165">
        <f t="shared" si="1"/>
        <v>45101.479166666664</v>
      </c>
      <c r="AY10" s="165">
        <f t="shared" si="2"/>
        <v>45109.9375</v>
      </c>
      <c r="AZ10" s="137">
        <f t="shared" si="3"/>
        <v>8.4583333333357587</v>
      </c>
      <c r="BA10" s="165">
        <v>45101.479166666664</v>
      </c>
      <c r="BB10" s="165">
        <v>45102.545138888891</v>
      </c>
      <c r="BC10" s="165">
        <v>45102.625</v>
      </c>
      <c r="BD10" s="165">
        <v>45102.65625</v>
      </c>
      <c r="BE10" s="165">
        <v>45103.361111111109</v>
      </c>
      <c r="BF10" s="165">
        <v>45103.388888888891</v>
      </c>
      <c r="BG10" s="165">
        <v>45103.388888888891</v>
      </c>
      <c r="BH10" s="165">
        <f t="shared" si="13"/>
        <v>45103.597222222226</v>
      </c>
      <c r="BI10" s="165">
        <v>45104.25</v>
      </c>
      <c r="BJ10" s="165">
        <v>45104.416666666664</v>
      </c>
      <c r="BK10" s="165">
        <v>45104.322916666664</v>
      </c>
      <c r="BL10" s="165">
        <v>45105.8125</v>
      </c>
      <c r="BM10" s="165">
        <v>45108.815972222219</v>
      </c>
      <c r="BN10" s="165">
        <v>45109.083333333336</v>
      </c>
      <c r="BO10" s="165">
        <v>45109.274305555555</v>
      </c>
      <c r="BP10" s="165">
        <v>45109.28125</v>
      </c>
      <c r="BQ10" s="165">
        <v>45109.9375</v>
      </c>
      <c r="BT10" s="136">
        <f t="shared" si="4"/>
        <v>1.9166666666278616</v>
      </c>
      <c r="BU10" s="136">
        <f t="shared" si="5"/>
        <v>16.916666666627862</v>
      </c>
      <c r="BV10" s="136">
        <f t="shared" si="6"/>
        <v>5.0000000000582077</v>
      </c>
      <c r="BW10" s="136">
        <f t="shared" si="14"/>
        <v>33.500000000058208</v>
      </c>
      <c r="BX10" s="135">
        <f t="shared" si="7"/>
        <v>6.4166666668024845</v>
      </c>
      <c r="BY10" s="135">
        <f t="shared" si="8"/>
        <v>15.75</v>
      </c>
      <c r="BZ10" s="134">
        <f t="shared" si="9"/>
        <v>3.312500000007276</v>
      </c>
      <c r="CA10" s="134">
        <f t="shared" si="10"/>
        <v>8.4583333333357587</v>
      </c>
      <c r="CB10" s="133">
        <f t="shared" si="11"/>
        <v>0.39162561576429472</v>
      </c>
    </row>
    <row r="11" spans="1:82" s="126" customFormat="1">
      <c r="A11" s="192">
        <f t="shared" si="0"/>
        <v>45103.583333333336</v>
      </c>
      <c r="B11" s="126" t="s">
        <v>188</v>
      </c>
      <c r="C11" s="126" t="s">
        <v>78</v>
      </c>
      <c r="D11" s="126" t="s">
        <v>215</v>
      </c>
      <c r="E11" s="65" t="s">
        <v>1763</v>
      </c>
      <c r="G11" s="73">
        <v>45106.104166666664</v>
      </c>
      <c r="H11" s="73">
        <v>45106.1</v>
      </c>
      <c r="I11" s="126" t="s">
        <v>211</v>
      </c>
      <c r="J11" s="126" t="s">
        <v>192</v>
      </c>
      <c r="K11" s="126" t="s">
        <v>192</v>
      </c>
      <c r="L11" s="126" t="s">
        <v>1764</v>
      </c>
      <c r="M11" s="167"/>
      <c r="N11" s="126" t="s">
        <v>274</v>
      </c>
      <c r="O11" s="126" t="s">
        <v>1093</v>
      </c>
      <c r="P11" s="126" t="s">
        <v>78</v>
      </c>
      <c r="Q11" s="181">
        <f>3136*2.4</f>
        <v>7526.4</v>
      </c>
      <c r="R11" s="181">
        <f>7550+100</f>
        <v>7650</v>
      </c>
      <c r="S11" s="181">
        <v>7500</v>
      </c>
      <c r="T11" s="181"/>
      <c r="AO11" s="181">
        <f t="shared" si="12"/>
        <v>7500</v>
      </c>
      <c r="AX11" s="165">
        <f t="shared" si="1"/>
        <v>45101.541666666664</v>
      </c>
      <c r="AY11" s="165">
        <f t="shared" si="2"/>
        <v>45111.073611111111</v>
      </c>
      <c r="AZ11" s="137">
        <f t="shared" si="3"/>
        <v>9.5319444444467081</v>
      </c>
      <c r="BA11" s="165">
        <v>45101.541666666664</v>
      </c>
      <c r="BB11" s="165">
        <v>45102.5625</v>
      </c>
      <c r="BC11" s="165">
        <v>45102.645833333336</v>
      </c>
      <c r="BD11" s="165">
        <v>45103.583333333336</v>
      </c>
      <c r="BE11" s="165">
        <v>45104.104166666664</v>
      </c>
      <c r="BF11" s="165">
        <v>45104.145833333336</v>
      </c>
      <c r="BG11" s="165">
        <v>45104.145833333336</v>
      </c>
      <c r="BH11" s="165">
        <f t="shared" si="13"/>
        <v>45104.354166666672</v>
      </c>
      <c r="BI11" s="165">
        <v>45105.458333333336</v>
      </c>
      <c r="BJ11" s="165">
        <v>45105.625</v>
      </c>
      <c r="BK11" s="165">
        <v>45105.555555555555</v>
      </c>
      <c r="BL11" s="165">
        <v>45106.642361111109</v>
      </c>
      <c r="BM11" s="165">
        <v>45110.520833333336</v>
      </c>
      <c r="BN11" s="165">
        <v>45110.666666666664</v>
      </c>
      <c r="BO11" s="165">
        <v>45110.6875</v>
      </c>
      <c r="BP11" s="165">
        <v>45110.6875</v>
      </c>
      <c r="BQ11" s="165">
        <v>45111.073611111111</v>
      </c>
      <c r="BT11" s="136">
        <f t="shared" si="4"/>
        <v>2.0000000000582077</v>
      </c>
      <c r="BU11" s="136">
        <f t="shared" si="5"/>
        <v>12.499999999883585</v>
      </c>
      <c r="BV11" s="136">
        <f t="shared" si="6"/>
        <v>5.0000000000582077</v>
      </c>
      <c r="BW11" s="136">
        <f t="shared" si="14"/>
        <v>24.416666666627862</v>
      </c>
      <c r="BX11" s="135">
        <f t="shared" si="7"/>
        <v>3.4999999998835847</v>
      </c>
      <c r="BY11" s="135">
        <f t="shared" si="8"/>
        <v>9.2666666666627862</v>
      </c>
      <c r="BZ11" s="134">
        <f t="shared" si="9"/>
        <v>2.3618055555489263</v>
      </c>
      <c r="CA11" s="134">
        <f t="shared" si="10"/>
        <v>9.5319444444467081</v>
      </c>
      <c r="CB11" s="133">
        <f t="shared" si="11"/>
        <v>0.247777939675772</v>
      </c>
    </row>
    <row r="12" spans="1:82" s="126" customFormat="1">
      <c r="A12" s="192"/>
      <c r="D12" s="126" t="s">
        <v>197</v>
      </c>
      <c r="G12" s="165"/>
      <c r="H12" s="165"/>
      <c r="J12" s="126" t="s">
        <v>312</v>
      </c>
      <c r="L12" s="126" t="s">
        <v>1765</v>
      </c>
      <c r="M12" s="167"/>
      <c r="N12" s="126" t="s">
        <v>314</v>
      </c>
      <c r="O12" s="126" t="s">
        <v>315</v>
      </c>
      <c r="Q12" s="181">
        <f>3146*2.4</f>
        <v>7550.4</v>
      </c>
      <c r="R12" s="181"/>
      <c r="S12" s="181"/>
      <c r="T12" s="181"/>
      <c r="AX12" s="165">
        <f t="shared" si="1"/>
        <v>45078</v>
      </c>
      <c r="AY12" s="165">
        <f t="shared" si="2"/>
        <v>45091.072222222225</v>
      </c>
      <c r="AZ12" s="137">
        <f t="shared" si="3"/>
        <v>13.072222222224809</v>
      </c>
      <c r="BA12" s="165">
        <v>45078</v>
      </c>
      <c r="BB12" s="165"/>
      <c r="BC12" s="165"/>
      <c r="BD12" s="165"/>
      <c r="BE12" s="165"/>
      <c r="BF12" s="165"/>
      <c r="BG12" s="165"/>
      <c r="BH12" s="165"/>
      <c r="BI12" s="165"/>
      <c r="BJ12" s="165"/>
      <c r="BK12" s="166"/>
      <c r="BL12" s="165"/>
      <c r="BM12" s="165"/>
      <c r="BN12" s="165"/>
      <c r="BO12" s="165"/>
      <c r="BP12" s="165"/>
      <c r="BQ12" s="165">
        <v>45091.072222222225</v>
      </c>
      <c r="BT12" s="136">
        <f t="shared" si="4"/>
        <v>0</v>
      </c>
      <c r="BU12" s="136">
        <f t="shared" si="5"/>
        <v>0</v>
      </c>
      <c r="BV12" s="136">
        <f t="shared" si="6"/>
        <v>0</v>
      </c>
      <c r="BW12" s="136">
        <f t="shared" si="14"/>
        <v>0</v>
      </c>
      <c r="BX12" s="135">
        <f t="shared" si="7"/>
        <v>0</v>
      </c>
      <c r="BY12" s="135">
        <f t="shared" si="8"/>
        <v>1082185.7333333334</v>
      </c>
      <c r="BZ12" s="134">
        <f t="shared" si="9"/>
        <v>45091.072222222225</v>
      </c>
      <c r="CA12" s="134">
        <f t="shared" si="10"/>
        <v>13.072222222224809</v>
      </c>
      <c r="CB12" s="133">
        <f t="shared" si="11"/>
        <v>3449.3807904795553</v>
      </c>
    </row>
    <row r="13" spans="1:82">
      <c r="A13" s="192">
        <f t="shared" ref="A13:A76" si="15">BD13</f>
        <v>45078.569444444445</v>
      </c>
      <c r="B13" s="126" t="s">
        <v>228</v>
      </c>
      <c r="C13" s="126" t="s">
        <v>229</v>
      </c>
      <c r="D13" s="126" t="s">
        <v>197</v>
      </c>
      <c r="E13" s="65" t="s">
        <v>1548</v>
      </c>
      <c r="F13" s="65" t="s">
        <v>1445</v>
      </c>
      <c r="G13" s="73">
        <v>45078.958333333336</v>
      </c>
      <c r="H13" s="73">
        <v>45078.916666666664</v>
      </c>
      <c r="I13" s="126" t="s">
        <v>231</v>
      </c>
      <c r="J13" s="115" t="s">
        <v>192</v>
      </c>
      <c r="K13" s="115" t="s">
        <v>192</v>
      </c>
      <c r="L13" s="126" t="s">
        <v>1766</v>
      </c>
      <c r="M13" s="167"/>
      <c r="N13" s="126" t="s">
        <v>1767</v>
      </c>
      <c r="O13" s="126" t="s">
        <v>1768</v>
      </c>
      <c r="P13" s="126" t="s">
        <v>1455</v>
      </c>
      <c r="Q13" s="181">
        <f>3139*2.4</f>
        <v>7533.5999999999995</v>
      </c>
      <c r="R13" s="181">
        <f>7550+100</f>
        <v>7650</v>
      </c>
      <c r="S13" s="181">
        <v>7474.0940000000001</v>
      </c>
      <c r="T13" s="181"/>
      <c r="U13" s="126"/>
      <c r="V13" s="126"/>
      <c r="W13" s="126"/>
      <c r="X13" s="181">
        <f>S13*0.5</f>
        <v>3737.047</v>
      </c>
      <c r="Y13" s="181">
        <f>S13*0.5</f>
        <v>3737.047</v>
      </c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65">
        <f t="shared" si="1"/>
        <v>45068.5</v>
      </c>
      <c r="AY13" s="165">
        <f t="shared" si="2"/>
        <v>45088.690972222219</v>
      </c>
      <c r="AZ13" s="137">
        <f t="shared" si="3"/>
        <v>20.190972222218988</v>
      </c>
      <c r="BA13" s="165">
        <v>45068.5</v>
      </c>
      <c r="BB13" s="165">
        <v>45070.989583333336</v>
      </c>
      <c r="BC13" s="165">
        <v>45072.767361111109</v>
      </c>
      <c r="BD13" s="165">
        <v>45078.569444444445</v>
      </c>
      <c r="BE13" s="165">
        <v>45078.706944444442</v>
      </c>
      <c r="BF13" s="165">
        <v>45078.71875</v>
      </c>
      <c r="BG13" s="165">
        <v>45078.71875</v>
      </c>
      <c r="BH13" s="165">
        <f t="shared" ref="BH13:BH33" si="16">BG13+(41/24)</f>
        <v>45080.427083333336</v>
      </c>
      <c r="BI13" s="165">
        <v>45081.229166608799</v>
      </c>
      <c r="BJ13" s="165">
        <v>45081.395833275463</v>
      </c>
      <c r="BK13" s="165">
        <v>45081.354166666664</v>
      </c>
      <c r="BL13" s="165">
        <v>45082.881944444445</v>
      </c>
      <c r="BM13" s="165">
        <v>45087.923611111109</v>
      </c>
      <c r="BN13" s="165">
        <v>45088.246527777781</v>
      </c>
      <c r="BO13" s="165">
        <v>45088.267361111109</v>
      </c>
      <c r="BP13" s="165">
        <v>45088.267361111109</v>
      </c>
      <c r="BQ13" s="165">
        <v>45088.690972222219</v>
      </c>
      <c r="BR13" s="126" t="s">
        <v>1769</v>
      </c>
      <c r="BS13" s="126"/>
      <c r="BT13" s="136">
        <f t="shared" si="4"/>
        <v>42.666666666569654</v>
      </c>
      <c r="BU13" s="136">
        <f t="shared" si="5"/>
        <v>3.2999999999301508</v>
      </c>
      <c r="BV13" s="136">
        <f t="shared" si="6"/>
        <v>41.000000000058208</v>
      </c>
      <c r="BW13" s="136">
        <f t="shared" si="14"/>
        <v>35.666668055579066</v>
      </c>
      <c r="BX13" s="135">
        <f t="shared" si="7"/>
        <v>7.7500000001164153</v>
      </c>
      <c r="BY13" s="135">
        <f t="shared" si="8"/>
        <v>10.166666666627862</v>
      </c>
      <c r="BZ13" s="134">
        <f t="shared" si="9"/>
        <v>5.8562500578700565</v>
      </c>
      <c r="CA13" s="134">
        <f t="shared" si="10"/>
        <v>20.190972222218988</v>
      </c>
      <c r="CB13" s="133">
        <f t="shared" si="11"/>
        <v>0.29004299512757464</v>
      </c>
      <c r="CC13" s="126"/>
      <c r="CD13" s="126"/>
    </row>
    <row r="14" spans="1:82" s="126" customFormat="1">
      <c r="A14" s="192">
        <f t="shared" si="15"/>
        <v>45078.746527777781</v>
      </c>
      <c r="B14" s="126" t="s">
        <v>228</v>
      </c>
      <c r="C14" s="126" t="s">
        <v>229</v>
      </c>
      <c r="D14" s="126" t="s">
        <v>197</v>
      </c>
      <c r="E14" s="65" t="s">
        <v>1548</v>
      </c>
      <c r="F14" s="65" t="s">
        <v>1445</v>
      </c>
      <c r="G14" s="73">
        <v>45078.958333333336</v>
      </c>
      <c r="H14" s="73">
        <v>45078.916666666664</v>
      </c>
      <c r="I14" s="126" t="s">
        <v>231</v>
      </c>
      <c r="J14" s="115" t="s">
        <v>192</v>
      </c>
      <c r="K14" s="115" t="s">
        <v>192</v>
      </c>
      <c r="L14" s="126" t="s">
        <v>1770</v>
      </c>
      <c r="M14" s="167"/>
      <c r="N14" s="126" t="s">
        <v>695</v>
      </c>
      <c r="O14" s="126" t="s">
        <v>281</v>
      </c>
      <c r="P14" s="126" t="s">
        <v>1455</v>
      </c>
      <c r="Q14" s="181">
        <f>3102*2.4</f>
        <v>7444.7999999999993</v>
      </c>
      <c r="R14" s="181">
        <f>7450+100</f>
        <v>7550</v>
      </c>
      <c r="S14" s="181">
        <v>7485.2659999999996</v>
      </c>
      <c r="T14" s="181"/>
      <c r="X14" s="181">
        <f>S14*0.5</f>
        <v>3742.6329999999998</v>
      </c>
      <c r="Y14" s="181">
        <f>S14*0.5</f>
        <v>3742.6329999999998</v>
      </c>
      <c r="AX14" s="165">
        <f t="shared" si="1"/>
        <v>45065.541666666664</v>
      </c>
      <c r="AY14" s="165">
        <f t="shared" si="2"/>
        <v>45088.375</v>
      </c>
      <c r="AZ14" s="137">
        <f t="shared" si="3"/>
        <v>22.833333333335759</v>
      </c>
      <c r="BA14" s="165">
        <v>45065.541666666664</v>
      </c>
      <c r="BB14" s="165">
        <v>45070.822916666664</v>
      </c>
      <c r="BC14" s="165">
        <v>45073.333333333336</v>
      </c>
      <c r="BD14" s="165">
        <v>45078.746527777781</v>
      </c>
      <c r="BE14" s="165">
        <v>45078.930555555555</v>
      </c>
      <c r="BF14" s="165">
        <v>45078.9375</v>
      </c>
      <c r="BG14" s="165">
        <v>45078.9375</v>
      </c>
      <c r="BH14" s="165">
        <f t="shared" si="16"/>
        <v>45080.645833333336</v>
      </c>
      <c r="BI14" s="165">
        <v>45081.229166608799</v>
      </c>
      <c r="BJ14" s="165">
        <v>45081.395833275463</v>
      </c>
      <c r="BK14" s="165">
        <v>45081.302083333336</v>
      </c>
      <c r="BL14" s="165">
        <v>45082.520833333336</v>
      </c>
      <c r="BM14" s="165">
        <v>45087.555555555555</v>
      </c>
      <c r="BN14" s="165">
        <v>45087.868055555555</v>
      </c>
      <c r="BO14" s="165">
        <v>45087.888888888891</v>
      </c>
      <c r="BP14" s="165">
        <v>45088.0625</v>
      </c>
      <c r="BQ14" s="165">
        <v>45088.375</v>
      </c>
      <c r="BT14" s="136">
        <f t="shared" si="4"/>
        <v>60.250000000116415</v>
      </c>
      <c r="BU14" s="136">
        <f t="shared" si="5"/>
        <v>4.4166666665696539</v>
      </c>
      <c r="BV14" s="136">
        <f t="shared" si="6"/>
        <v>41.000000000058208</v>
      </c>
      <c r="BW14" s="136">
        <f t="shared" si="14"/>
        <v>27.000001388951205</v>
      </c>
      <c r="BX14" s="135">
        <f t="shared" si="7"/>
        <v>7.5</v>
      </c>
      <c r="BY14" s="135">
        <f t="shared" si="8"/>
        <v>7.5</v>
      </c>
      <c r="BZ14" s="134">
        <f t="shared" si="9"/>
        <v>6.1527778356539784</v>
      </c>
      <c r="CA14" s="134">
        <f t="shared" si="10"/>
        <v>22.833333333335759</v>
      </c>
      <c r="CB14" s="133">
        <f t="shared" si="11"/>
        <v>0.26946472272934269</v>
      </c>
    </row>
    <row r="15" spans="1:82" s="126" customFormat="1">
      <c r="A15" s="192">
        <f t="shared" si="15"/>
        <v>45079.130555555559</v>
      </c>
      <c r="B15" s="126" t="s">
        <v>228</v>
      </c>
      <c r="C15" s="126" t="s">
        <v>229</v>
      </c>
      <c r="D15" s="126" t="s">
        <v>197</v>
      </c>
      <c r="E15" s="65" t="s">
        <v>1548</v>
      </c>
      <c r="G15" s="73">
        <v>45078.958333333336</v>
      </c>
      <c r="H15" s="73">
        <v>45078.916666666664</v>
      </c>
      <c r="I15" s="126" t="s">
        <v>231</v>
      </c>
      <c r="J15" s="115" t="s">
        <v>192</v>
      </c>
      <c r="K15" s="115" t="s">
        <v>192</v>
      </c>
      <c r="L15" s="126" t="s">
        <v>1771</v>
      </c>
      <c r="M15" s="167"/>
      <c r="N15" s="126" t="s">
        <v>805</v>
      </c>
      <c r="O15" s="126" t="s">
        <v>335</v>
      </c>
      <c r="P15" s="126" t="s">
        <v>1455</v>
      </c>
      <c r="Q15" s="181">
        <f>3242 *2.4</f>
        <v>7780.7999999999993</v>
      </c>
      <c r="R15" s="181">
        <f>7800+100</f>
        <v>7900</v>
      </c>
      <c r="S15" s="181">
        <v>7722.8760000000002</v>
      </c>
      <c r="T15" s="181"/>
      <c r="X15" s="181">
        <f>S15*0.5</f>
        <v>3861.4380000000001</v>
      </c>
      <c r="Y15" s="181">
        <f>S15*0.5</f>
        <v>3861.4380000000001</v>
      </c>
      <c r="AX15" s="165">
        <f t="shared" si="1"/>
        <v>45066.364583333336</v>
      </c>
      <c r="AY15" s="165">
        <f t="shared" si="2"/>
        <v>45089.1875</v>
      </c>
      <c r="AZ15" s="137">
        <f t="shared" si="3"/>
        <v>22.822916666664241</v>
      </c>
      <c r="BA15" s="165">
        <v>45066.364583333336</v>
      </c>
      <c r="BB15" s="165">
        <v>45072.628472222219</v>
      </c>
      <c r="BC15" s="165">
        <v>45074.708333333336</v>
      </c>
      <c r="BD15" s="165">
        <v>45079.130555555559</v>
      </c>
      <c r="BE15" s="165">
        <v>45079.253472222219</v>
      </c>
      <c r="BF15" s="165">
        <v>45079.263888888891</v>
      </c>
      <c r="BG15" s="165">
        <v>45079.263888888891</v>
      </c>
      <c r="BH15" s="165">
        <f t="shared" si="16"/>
        <v>45080.972222222226</v>
      </c>
      <c r="BI15" s="165">
        <v>45081.229166608799</v>
      </c>
      <c r="BJ15" s="165">
        <v>45081.395833275463</v>
      </c>
      <c r="BK15" s="165">
        <v>45081.305555555555</v>
      </c>
      <c r="BL15" s="165">
        <v>45082.958333333336</v>
      </c>
      <c r="BM15" s="165">
        <v>45088.309027777781</v>
      </c>
      <c r="BN15" s="165">
        <v>45088.5625</v>
      </c>
      <c r="BO15" s="165">
        <v>45088.583333333336</v>
      </c>
      <c r="BP15" s="165">
        <v>45088.875</v>
      </c>
      <c r="BQ15" s="165">
        <v>45089.1875</v>
      </c>
      <c r="BR15" s="126" t="s">
        <v>1772</v>
      </c>
      <c r="BT15" s="136">
        <f t="shared" si="4"/>
        <v>49.916666666802485</v>
      </c>
      <c r="BU15" s="136">
        <f t="shared" si="5"/>
        <v>2.9499999998370185</v>
      </c>
      <c r="BV15" s="136">
        <f t="shared" si="6"/>
        <v>41.000000000058208</v>
      </c>
      <c r="BW15" s="136">
        <f t="shared" si="14"/>
        <v>37.500001388951205</v>
      </c>
      <c r="BX15" s="135">
        <f t="shared" si="7"/>
        <v>6.0833333332557231</v>
      </c>
      <c r="BY15" s="135">
        <f t="shared" si="8"/>
        <v>7.5</v>
      </c>
      <c r="BZ15" s="134">
        <f t="shared" si="9"/>
        <v>6.0395833912043599</v>
      </c>
      <c r="CA15" s="134">
        <f t="shared" si="10"/>
        <v>22.822916666664241</v>
      </c>
      <c r="CB15" s="133">
        <f t="shared" si="11"/>
        <v>0.26462802626913745</v>
      </c>
    </row>
    <row r="16" spans="1:82" s="126" customFormat="1">
      <c r="A16" s="192">
        <f t="shared" si="15"/>
        <v>45079.329861111109</v>
      </c>
      <c r="B16" s="126" t="s">
        <v>228</v>
      </c>
      <c r="C16" s="126" t="s">
        <v>229</v>
      </c>
      <c r="D16" s="126" t="s">
        <v>215</v>
      </c>
      <c r="E16" s="65" t="s">
        <v>1548</v>
      </c>
      <c r="G16" s="73">
        <v>45078.958333333336</v>
      </c>
      <c r="H16" s="73">
        <v>45078.916666666664</v>
      </c>
      <c r="I16" s="126" t="s">
        <v>231</v>
      </c>
      <c r="J16" s="115" t="s">
        <v>192</v>
      </c>
      <c r="K16" s="115" t="s">
        <v>192</v>
      </c>
      <c r="L16" s="126" t="s">
        <v>1773</v>
      </c>
      <c r="M16" s="167"/>
      <c r="N16" s="126" t="s">
        <v>721</v>
      </c>
      <c r="O16" s="126" t="s">
        <v>1349</v>
      </c>
      <c r="P16" s="126" t="s">
        <v>1455</v>
      </c>
      <c r="Q16" s="181">
        <f>3136*2.4</f>
        <v>7526.4</v>
      </c>
      <c r="R16" s="181">
        <f>7550+100</f>
        <v>7650</v>
      </c>
      <c r="S16" s="181">
        <v>7462.8149999999996</v>
      </c>
      <c r="T16" s="181"/>
      <c r="X16" s="181">
        <f>S16*0.65</f>
        <v>4850.8297499999999</v>
      </c>
      <c r="Y16" s="181">
        <f>S16*0.35</f>
        <v>2611.9852499999997</v>
      </c>
      <c r="AX16" s="165">
        <f t="shared" si="1"/>
        <v>45072.135416666664</v>
      </c>
      <c r="AY16" s="165">
        <f t="shared" si="2"/>
        <v>45087.5</v>
      </c>
      <c r="AZ16" s="137">
        <f t="shared" si="3"/>
        <v>15.364583333335759</v>
      </c>
      <c r="BA16" s="165">
        <v>45072.135416666664</v>
      </c>
      <c r="BB16" s="165">
        <v>45073.548611111109</v>
      </c>
      <c r="BC16" s="165">
        <v>45075.25</v>
      </c>
      <c r="BD16" s="165">
        <v>45079.329861111109</v>
      </c>
      <c r="BE16" s="165">
        <v>45079.479166666664</v>
      </c>
      <c r="BF16" s="165">
        <v>45079.482638888891</v>
      </c>
      <c r="BG16" s="165">
        <v>45079.482638888891</v>
      </c>
      <c r="BH16" s="165">
        <f t="shared" si="16"/>
        <v>45081.190972222226</v>
      </c>
      <c r="BI16" s="165">
        <v>45081.229166608799</v>
      </c>
      <c r="BJ16" s="165">
        <v>45081.395833275463</v>
      </c>
      <c r="BK16" s="165">
        <v>45081.291666666664</v>
      </c>
      <c r="BL16" s="165">
        <v>45082.291666666664</v>
      </c>
      <c r="BM16" s="165">
        <v>45087.003472222219</v>
      </c>
      <c r="BN16" s="165">
        <v>45087.197916666664</v>
      </c>
      <c r="BO16" s="165">
        <v>45087.21875</v>
      </c>
      <c r="BP16" s="165">
        <v>45087.21875</v>
      </c>
      <c r="BQ16" s="165">
        <v>45087.5</v>
      </c>
      <c r="BT16" s="136">
        <f t="shared" si="4"/>
        <v>40.833333333372138</v>
      </c>
      <c r="BU16" s="136">
        <f t="shared" si="5"/>
        <v>3.5833333333139308</v>
      </c>
      <c r="BV16" s="136">
        <f t="shared" si="6"/>
        <v>41.000000000058208</v>
      </c>
      <c r="BW16" s="136">
        <f t="shared" si="14"/>
        <v>21.500001388834789</v>
      </c>
      <c r="BX16" s="135">
        <f t="shared" si="7"/>
        <v>4.6666666666860692</v>
      </c>
      <c r="BY16" s="135">
        <f t="shared" si="8"/>
        <v>6.75</v>
      </c>
      <c r="BZ16" s="134">
        <f t="shared" si="9"/>
        <v>4.930555613427714</v>
      </c>
      <c r="CA16" s="134">
        <f t="shared" si="10"/>
        <v>15.364583333335759</v>
      </c>
      <c r="CB16" s="133">
        <f t="shared" si="11"/>
        <v>0.32090395856880394</v>
      </c>
    </row>
    <row r="17" spans="1:80" s="126" customFormat="1">
      <c r="A17" s="192">
        <f t="shared" si="15"/>
        <v>45079.503472222219</v>
      </c>
      <c r="B17" s="126" t="s">
        <v>228</v>
      </c>
      <c r="C17" s="126" t="s">
        <v>229</v>
      </c>
      <c r="D17" s="126" t="s">
        <v>215</v>
      </c>
      <c r="E17" s="65" t="s">
        <v>1548</v>
      </c>
      <c r="G17" s="73">
        <v>45078.958333333336</v>
      </c>
      <c r="H17" s="73">
        <v>45078.916666666664</v>
      </c>
      <c r="I17" s="126" t="s">
        <v>231</v>
      </c>
      <c r="J17" s="115" t="s">
        <v>192</v>
      </c>
      <c r="K17" s="115" t="s">
        <v>192</v>
      </c>
      <c r="L17" s="126" t="s">
        <v>1774</v>
      </c>
      <c r="M17" s="167"/>
      <c r="N17" s="126" t="s">
        <v>252</v>
      </c>
      <c r="O17" s="126" t="s">
        <v>253</v>
      </c>
      <c r="P17" s="126" t="s">
        <v>1455</v>
      </c>
      <c r="Q17" s="181">
        <f>3107*2.4</f>
        <v>7456.7999999999993</v>
      </c>
      <c r="R17" s="181">
        <f>7500+100</f>
        <v>7600</v>
      </c>
      <c r="S17" s="181">
        <f>7466.174-1545.529</f>
        <v>5920.6450000000004</v>
      </c>
      <c r="T17" s="181"/>
      <c r="X17" s="181">
        <f>S17*0.65</f>
        <v>3848.4192500000004</v>
      </c>
      <c r="Y17" s="181">
        <f>S17*0.35</f>
        <v>2072.2257500000001</v>
      </c>
      <c r="AX17" s="165">
        <f t="shared" si="1"/>
        <v>45073.236111111109</v>
      </c>
      <c r="AY17" s="165">
        <f t="shared" si="2"/>
        <v>45090.179166666669</v>
      </c>
      <c r="AZ17" s="137">
        <f t="shared" si="3"/>
        <v>16.943055555559113</v>
      </c>
      <c r="BA17" s="165">
        <v>45073.236111111109</v>
      </c>
      <c r="BB17" s="165">
        <v>45074.482638888891</v>
      </c>
      <c r="BC17" s="165">
        <v>45076.21875</v>
      </c>
      <c r="BD17" s="165">
        <v>45079.503472222219</v>
      </c>
      <c r="BE17" s="165">
        <v>45079.638888888891</v>
      </c>
      <c r="BF17" s="165">
        <v>45079.645833333336</v>
      </c>
      <c r="BG17" s="165">
        <v>45079.645833333336</v>
      </c>
      <c r="BH17" s="165">
        <f t="shared" si="16"/>
        <v>45081.354166666672</v>
      </c>
      <c r="BI17" s="165">
        <v>45084.229166608799</v>
      </c>
      <c r="BJ17" s="165">
        <v>45084.395833275463</v>
      </c>
      <c r="BK17" s="165">
        <v>45084.276388888888</v>
      </c>
      <c r="BL17" s="165">
        <v>45085.333333333336</v>
      </c>
      <c r="BM17" s="165">
        <v>45088.902777777781</v>
      </c>
      <c r="BN17" s="165">
        <v>45089.173611111109</v>
      </c>
      <c r="BO17" s="165">
        <v>45089.291666666664</v>
      </c>
      <c r="BP17" s="165">
        <v>45089.916666666664</v>
      </c>
      <c r="BQ17" s="165">
        <v>45090.179166666669</v>
      </c>
      <c r="BT17" s="136">
        <f t="shared" si="4"/>
        <v>41.666666666627862</v>
      </c>
      <c r="BU17" s="136">
        <f t="shared" si="5"/>
        <v>3.2500000001164153</v>
      </c>
      <c r="BV17" s="136">
        <f t="shared" si="6"/>
        <v>41.000000000058208</v>
      </c>
      <c r="BW17" s="136">
        <f t="shared" si="14"/>
        <v>22.500001388951205</v>
      </c>
      <c r="BX17" s="135">
        <f t="shared" si="7"/>
        <v>6.4999999998835847</v>
      </c>
      <c r="BY17" s="135">
        <f t="shared" si="8"/>
        <v>6.3000000001047738</v>
      </c>
      <c r="BZ17" s="134">
        <f t="shared" si="9"/>
        <v>5.0506945023225853</v>
      </c>
      <c r="CA17" s="134">
        <f t="shared" si="10"/>
        <v>16.943055555559113</v>
      </c>
      <c r="CB17" s="133">
        <f t="shared" si="11"/>
        <v>0.29809820818685939</v>
      </c>
    </row>
    <row r="18" spans="1:80" s="126" customFormat="1">
      <c r="A18" s="192">
        <f t="shared" si="15"/>
        <v>45079.668749999997</v>
      </c>
      <c r="B18" s="126" t="s">
        <v>228</v>
      </c>
      <c r="C18" s="126" t="s">
        <v>229</v>
      </c>
      <c r="D18" s="126" t="s">
        <v>197</v>
      </c>
      <c r="E18" s="65" t="s">
        <v>1548</v>
      </c>
      <c r="G18" s="73">
        <v>45078.958333333336</v>
      </c>
      <c r="H18" s="73">
        <v>45078.916666666664</v>
      </c>
      <c r="I18" s="126" t="s">
        <v>231</v>
      </c>
      <c r="J18" s="115" t="s">
        <v>192</v>
      </c>
      <c r="K18" s="115" t="s">
        <v>192</v>
      </c>
      <c r="L18" s="126" t="s">
        <v>1775</v>
      </c>
      <c r="M18" s="167"/>
      <c r="N18" s="126" t="s">
        <v>1512</v>
      </c>
      <c r="O18" s="126" t="s">
        <v>1513</v>
      </c>
      <c r="P18" s="126" t="s">
        <v>1455</v>
      </c>
      <c r="Q18" s="181">
        <f>2998*2.4</f>
        <v>7195.2</v>
      </c>
      <c r="R18" s="181">
        <f>7200+100</f>
        <v>7300</v>
      </c>
      <c r="S18" s="181">
        <v>7146.3</v>
      </c>
      <c r="T18" s="181"/>
      <c r="X18" s="181">
        <f>S18*0.65</f>
        <v>4645.0950000000003</v>
      </c>
      <c r="Y18" s="181">
        <f>S18*0.35</f>
        <v>2501.2049999999999</v>
      </c>
      <c r="AX18" s="165">
        <f t="shared" si="1"/>
        <v>45073.333333333336</v>
      </c>
      <c r="AY18" s="165">
        <f t="shared" si="2"/>
        <v>45089.21875</v>
      </c>
      <c r="AZ18" s="137">
        <f t="shared" si="3"/>
        <v>15.885416666664241</v>
      </c>
      <c r="BA18" s="165">
        <v>45073.333333333336</v>
      </c>
      <c r="BB18" s="165">
        <v>45073.5625</v>
      </c>
      <c r="BC18" s="165">
        <v>45077.368055555555</v>
      </c>
      <c r="BD18" s="165">
        <v>45079.668749999997</v>
      </c>
      <c r="BE18" s="165">
        <v>45079.84375</v>
      </c>
      <c r="BF18" s="165">
        <v>45079.850694444445</v>
      </c>
      <c r="BG18" s="165">
        <v>45079.850694444445</v>
      </c>
      <c r="BH18" s="165">
        <f t="shared" si="16"/>
        <v>45081.559027777781</v>
      </c>
      <c r="BI18" s="165">
        <v>45082.229166608799</v>
      </c>
      <c r="BJ18" s="165">
        <v>45082.395833275463</v>
      </c>
      <c r="BK18" s="165">
        <v>45082.378472222219</v>
      </c>
      <c r="BL18" s="165">
        <v>45083.59375</v>
      </c>
      <c r="BM18" s="165">
        <v>45088.625</v>
      </c>
      <c r="BN18" s="165">
        <v>45088.840277777781</v>
      </c>
      <c r="BO18" s="165">
        <v>45088.861111111109</v>
      </c>
      <c r="BP18" s="165">
        <v>45088.861111111109</v>
      </c>
      <c r="BQ18" s="165">
        <v>45089.21875</v>
      </c>
      <c r="BT18" s="136">
        <f t="shared" si="4"/>
        <v>91.333333333313931</v>
      </c>
      <c r="BU18" s="136">
        <f t="shared" si="5"/>
        <v>4.2000000000698492</v>
      </c>
      <c r="BV18" s="136">
        <f t="shared" si="6"/>
        <v>41.000000000058208</v>
      </c>
      <c r="BW18" s="136">
        <f t="shared" si="14"/>
        <v>28.750001388892997</v>
      </c>
      <c r="BX18" s="135">
        <f t="shared" si="7"/>
        <v>5.1666666667442769</v>
      </c>
      <c r="BY18" s="135">
        <f t="shared" si="8"/>
        <v>8.5833333333721384</v>
      </c>
      <c r="BZ18" s="134">
        <f t="shared" si="9"/>
        <v>7.4597222801021417</v>
      </c>
      <c r="CA18" s="134">
        <f t="shared" si="10"/>
        <v>15.885416666664241</v>
      </c>
      <c r="CB18" s="133">
        <f t="shared" si="11"/>
        <v>0.4695956320589606</v>
      </c>
    </row>
    <row r="19" spans="1:80">
      <c r="A19" s="119">
        <f t="shared" si="15"/>
        <v>45080.940972222219</v>
      </c>
      <c r="B19" s="115" t="s">
        <v>228</v>
      </c>
      <c r="C19" s="115" t="s">
        <v>229</v>
      </c>
      <c r="D19" s="115" t="s">
        <v>197</v>
      </c>
      <c r="E19" s="77" t="s">
        <v>1776</v>
      </c>
      <c r="G19" s="299">
        <v>45084.875</v>
      </c>
      <c r="H19" s="299">
        <v>45085.076388888891</v>
      </c>
      <c r="I19" s="115" t="s">
        <v>231</v>
      </c>
      <c r="J19" s="115" t="s">
        <v>192</v>
      </c>
      <c r="K19" s="115" t="s">
        <v>192</v>
      </c>
      <c r="L19" s="115" t="s">
        <v>1777</v>
      </c>
      <c r="N19" s="115" t="s">
        <v>277</v>
      </c>
      <c r="O19" s="115" t="s">
        <v>278</v>
      </c>
      <c r="P19" s="115" t="s">
        <v>235</v>
      </c>
      <c r="Q19" s="181">
        <f>3117*2.4</f>
        <v>7480.7999999999993</v>
      </c>
      <c r="R19" s="181">
        <f>7500+100</f>
        <v>7600</v>
      </c>
      <c r="S19" s="117">
        <v>7418.0020000000004</v>
      </c>
      <c r="X19" s="117">
        <f>S19</f>
        <v>7418.0020000000004</v>
      </c>
      <c r="AX19" s="251">
        <f t="shared" si="1"/>
        <v>45072.708333333336</v>
      </c>
      <c r="AY19" s="251">
        <f t="shared" si="2"/>
        <v>45087.0625</v>
      </c>
      <c r="AZ19" s="300">
        <f t="shared" si="3"/>
        <v>14.354166666664241</v>
      </c>
      <c r="BA19" s="251">
        <v>45072.708333333336</v>
      </c>
      <c r="BB19" s="251">
        <v>45073.777777777781</v>
      </c>
      <c r="BC19" s="251">
        <v>45075.451388888891</v>
      </c>
      <c r="BD19" s="251">
        <v>45080.940972222219</v>
      </c>
      <c r="BE19" s="251">
        <v>45081.121527777781</v>
      </c>
      <c r="BF19" s="251">
        <v>45081.128472222219</v>
      </c>
      <c r="BG19" s="251">
        <v>45081.128472222219</v>
      </c>
      <c r="BH19" s="251">
        <f t="shared" si="16"/>
        <v>45082.836805555555</v>
      </c>
      <c r="BI19" s="251">
        <v>45083.229166608799</v>
      </c>
      <c r="BJ19" s="251">
        <v>45083.395833275463</v>
      </c>
      <c r="BK19" s="251">
        <v>45083.385416666664</v>
      </c>
      <c r="BL19" s="251">
        <v>45084.666666666664</v>
      </c>
      <c r="BM19" s="251">
        <v>45086.395833333336</v>
      </c>
      <c r="BN19" s="251">
        <v>45086.78125</v>
      </c>
      <c r="BO19" s="251">
        <v>45086.795138888891</v>
      </c>
      <c r="BP19" s="251">
        <v>45086.795138888891</v>
      </c>
      <c r="BQ19" s="251">
        <v>45087.0625</v>
      </c>
      <c r="BR19" s="115"/>
      <c r="BS19" s="115"/>
      <c r="BT19" s="302">
        <f t="shared" si="4"/>
        <v>40.166666666627862</v>
      </c>
      <c r="BU19" s="302">
        <f t="shared" si="5"/>
        <v>4.3333333334885538</v>
      </c>
      <c r="BV19" s="302">
        <f t="shared" si="6"/>
        <v>41.000000000058208</v>
      </c>
      <c r="BW19" s="302">
        <f t="shared" si="14"/>
        <v>30.500001388834789</v>
      </c>
      <c r="BX19" s="303">
        <f t="shared" si="7"/>
        <v>9.2499999999417923</v>
      </c>
      <c r="BY19" s="303">
        <f t="shared" si="8"/>
        <v>6.4166666666278616</v>
      </c>
      <c r="BZ19" s="304">
        <f t="shared" si="9"/>
        <v>5.4861111689824611</v>
      </c>
      <c r="CA19" s="304">
        <f t="shared" si="10"/>
        <v>14.354166666664241</v>
      </c>
      <c r="CB19" s="305">
        <f t="shared" si="11"/>
        <v>0.3821964239640096</v>
      </c>
    </row>
    <row r="20" spans="1:80" s="126" customFormat="1">
      <c r="A20" s="192">
        <f t="shared" si="15"/>
        <v>45081.163194444445</v>
      </c>
      <c r="B20" s="126" t="s">
        <v>228</v>
      </c>
      <c r="C20" s="126" t="s">
        <v>229</v>
      </c>
      <c r="D20" s="126" t="s">
        <v>197</v>
      </c>
      <c r="E20" s="65" t="s">
        <v>1776</v>
      </c>
      <c r="G20" s="73">
        <v>45084.875</v>
      </c>
      <c r="H20" s="73">
        <v>45085.076388888891</v>
      </c>
      <c r="I20" s="126" t="s">
        <v>231</v>
      </c>
      <c r="J20" s="115" t="s">
        <v>192</v>
      </c>
      <c r="K20" s="115" t="s">
        <v>192</v>
      </c>
      <c r="L20" s="126" t="s">
        <v>1778</v>
      </c>
      <c r="M20" s="167"/>
      <c r="N20" s="126" t="s">
        <v>380</v>
      </c>
      <c r="O20" s="126" t="s">
        <v>381</v>
      </c>
      <c r="P20" s="126" t="s">
        <v>235</v>
      </c>
      <c r="Q20" s="181">
        <f>3271*2.4</f>
        <v>7850.4</v>
      </c>
      <c r="R20" s="181">
        <f>7900+100</f>
        <v>8000</v>
      </c>
      <c r="S20" s="181">
        <v>7801.4189999999999</v>
      </c>
      <c r="T20" s="181"/>
      <c r="X20" s="181">
        <f>S20</f>
        <v>7801.4189999999999</v>
      </c>
      <c r="AX20" s="165">
        <f t="shared" si="1"/>
        <v>45072.458333333336</v>
      </c>
      <c r="AY20" s="165">
        <f t="shared" si="2"/>
        <v>45087.75</v>
      </c>
      <c r="AZ20" s="137">
        <f t="shared" si="3"/>
        <v>15.291666666664241</v>
      </c>
      <c r="BA20" s="165">
        <v>45072.458333333336</v>
      </c>
      <c r="BB20" s="165">
        <v>45073.614583333336</v>
      </c>
      <c r="BC20" s="165">
        <v>45075.458333333336</v>
      </c>
      <c r="BD20" s="165">
        <v>45081.163194444445</v>
      </c>
      <c r="BE20" s="165">
        <v>45081.409722222219</v>
      </c>
      <c r="BF20" s="165">
        <v>45081.413194444445</v>
      </c>
      <c r="BG20" s="165">
        <v>45081.413194444445</v>
      </c>
      <c r="BH20" s="165">
        <f t="shared" si="16"/>
        <v>45083.121527777781</v>
      </c>
      <c r="BI20" s="165">
        <v>45083.229166608799</v>
      </c>
      <c r="BJ20" s="165">
        <v>45083.395833275463</v>
      </c>
      <c r="BK20" s="165">
        <v>45083.28125</v>
      </c>
      <c r="BL20" s="165">
        <v>45084.395833333336</v>
      </c>
      <c r="BM20" s="165">
        <v>45087.104166666664</v>
      </c>
      <c r="BN20" s="165">
        <v>45087.361111111109</v>
      </c>
      <c r="BO20" s="165">
        <v>45087.381944444445</v>
      </c>
      <c r="BP20" s="165">
        <v>45087.381944444445</v>
      </c>
      <c r="BQ20" s="165">
        <v>45087.75</v>
      </c>
      <c r="BT20" s="136">
        <f t="shared" si="4"/>
        <v>44.25</v>
      </c>
      <c r="BU20" s="136">
        <f t="shared" si="5"/>
        <v>5.9166666665696539</v>
      </c>
      <c r="BV20" s="136">
        <f t="shared" si="6"/>
        <v>41.000000000058208</v>
      </c>
      <c r="BW20" s="136">
        <f t="shared" si="14"/>
        <v>24.000001388951205</v>
      </c>
      <c r="BX20" s="135">
        <f t="shared" si="7"/>
        <v>6.1666666666860692</v>
      </c>
      <c r="BY20" s="135">
        <f t="shared" si="8"/>
        <v>8.8333333333139308</v>
      </c>
      <c r="BZ20" s="134">
        <f t="shared" si="9"/>
        <v>5.4236111689824611</v>
      </c>
      <c r="CA20" s="134">
        <f t="shared" si="10"/>
        <v>15.291666666664241</v>
      </c>
      <c r="CB20" s="133">
        <f t="shared" si="11"/>
        <v>0.35467756963378666</v>
      </c>
    </row>
    <row r="21" spans="1:80" s="126" customFormat="1">
      <c r="A21" s="192">
        <f t="shared" si="15"/>
        <v>45081.4375</v>
      </c>
      <c r="B21" s="126" t="s">
        <v>228</v>
      </c>
      <c r="C21" s="126" t="s">
        <v>229</v>
      </c>
      <c r="D21" s="126" t="s">
        <v>215</v>
      </c>
      <c r="E21" s="65" t="s">
        <v>1776</v>
      </c>
      <c r="G21" s="73">
        <v>45084.875</v>
      </c>
      <c r="H21" s="73">
        <v>45085.076388888891</v>
      </c>
      <c r="I21" s="126" t="s">
        <v>231</v>
      </c>
      <c r="J21" s="115" t="s">
        <v>192</v>
      </c>
      <c r="K21" s="115" t="s">
        <v>192</v>
      </c>
      <c r="L21" s="126" t="s">
        <v>1779</v>
      </c>
      <c r="M21" s="167"/>
      <c r="N21" s="126" t="s">
        <v>774</v>
      </c>
      <c r="O21" s="126" t="s">
        <v>423</v>
      </c>
      <c r="P21" s="126" t="s">
        <v>235</v>
      </c>
      <c r="Q21" s="181">
        <f>3156*2.4</f>
        <v>7574.4</v>
      </c>
      <c r="R21" s="181">
        <f>7600+100</f>
        <v>7700</v>
      </c>
      <c r="S21" s="181">
        <v>7509.674</v>
      </c>
      <c r="T21" s="181"/>
      <c r="X21" s="181">
        <f>S21</f>
        <v>7509.674</v>
      </c>
      <c r="AX21" s="165">
        <f t="shared" si="1"/>
        <v>45073.472222222219</v>
      </c>
      <c r="AY21" s="165">
        <f t="shared" si="2"/>
        <v>45087.590277777781</v>
      </c>
      <c r="AZ21" s="137">
        <f t="shared" si="3"/>
        <v>14.118055555562023</v>
      </c>
      <c r="BA21" s="165">
        <v>45073.472222222219</v>
      </c>
      <c r="BB21" s="165">
        <v>45074.493055555555</v>
      </c>
      <c r="BC21" s="165">
        <v>45076.25</v>
      </c>
      <c r="BD21" s="165">
        <v>45081.4375</v>
      </c>
      <c r="BE21" s="165">
        <v>45081.579861111109</v>
      </c>
      <c r="BF21" s="165">
        <v>45081.583333333336</v>
      </c>
      <c r="BG21" s="165">
        <v>45081.583333333336</v>
      </c>
      <c r="BH21" s="165">
        <f t="shared" si="16"/>
        <v>45083.291666666672</v>
      </c>
      <c r="BI21" s="165">
        <v>45083.229166608799</v>
      </c>
      <c r="BJ21" s="165">
        <v>45083.395833275463</v>
      </c>
      <c r="BK21" s="165">
        <v>45083.395833333336</v>
      </c>
      <c r="BL21" s="165">
        <v>45084.520833333336</v>
      </c>
      <c r="BM21" s="165">
        <v>45086.8125</v>
      </c>
      <c r="BN21" s="165">
        <v>45087.038194444445</v>
      </c>
      <c r="BO21" s="165">
        <v>45087.052083333336</v>
      </c>
      <c r="BP21" s="165">
        <v>45087.256944444445</v>
      </c>
      <c r="BQ21" s="165">
        <v>45087.590277777781</v>
      </c>
      <c r="BT21" s="136">
        <f t="shared" si="4"/>
        <v>42.166666666686069</v>
      </c>
      <c r="BU21" s="136">
        <f t="shared" si="5"/>
        <v>3.4166666666278616</v>
      </c>
      <c r="BV21" s="136">
        <f t="shared" si="6"/>
        <v>41.000000000058208</v>
      </c>
      <c r="BW21" s="136">
        <f t="shared" si="14"/>
        <v>27.000001388951205</v>
      </c>
      <c r="BX21" s="135">
        <f t="shared" si="7"/>
        <v>5.4166666666860692</v>
      </c>
      <c r="BY21" s="135">
        <f t="shared" si="8"/>
        <v>8.0000000000582077</v>
      </c>
      <c r="BZ21" s="134">
        <f t="shared" si="9"/>
        <v>5.2916667245444842</v>
      </c>
      <c r="CA21" s="134">
        <f t="shared" si="10"/>
        <v>14.118055555562023</v>
      </c>
      <c r="CB21" s="133">
        <f t="shared" si="11"/>
        <v>0.37481554763111491</v>
      </c>
    </row>
    <row r="22" spans="1:80" s="126" customFormat="1">
      <c r="A22" s="192">
        <f t="shared" si="15"/>
        <v>45080.100694444445</v>
      </c>
      <c r="B22" s="126" t="s">
        <v>228</v>
      </c>
      <c r="C22" s="126" t="s">
        <v>229</v>
      </c>
      <c r="D22" s="126" t="s">
        <v>215</v>
      </c>
      <c r="E22" s="65" t="s">
        <v>1776</v>
      </c>
      <c r="G22" s="73">
        <v>45084.875</v>
      </c>
      <c r="H22" s="73">
        <v>45085.076388888891</v>
      </c>
      <c r="I22" s="126" t="s">
        <v>231</v>
      </c>
      <c r="J22" s="115" t="s">
        <v>192</v>
      </c>
      <c r="K22" s="115" t="s">
        <v>192</v>
      </c>
      <c r="L22" s="126" t="s">
        <v>1780</v>
      </c>
      <c r="M22" s="167"/>
      <c r="N22" s="126" t="s">
        <v>390</v>
      </c>
      <c r="O22" s="126" t="s">
        <v>391</v>
      </c>
      <c r="P22" s="126" t="s">
        <v>240</v>
      </c>
      <c r="Q22" s="181">
        <f>3097*2.4</f>
        <v>7432.7999999999993</v>
      </c>
      <c r="R22" s="181">
        <f>7450+100</f>
        <v>7550</v>
      </c>
      <c r="S22" s="181">
        <f>7550.17-3453.854</f>
        <v>4096.3160000000007</v>
      </c>
      <c r="T22" s="181"/>
      <c r="Y22" s="181">
        <f>S22</f>
        <v>4096.3160000000007</v>
      </c>
      <c r="AX22" s="165">
        <f t="shared" si="1"/>
        <v>45074.291666666664</v>
      </c>
      <c r="AY22" s="165">
        <f t="shared" si="2"/>
        <v>45088.388888888891</v>
      </c>
      <c r="AZ22" s="137">
        <f t="shared" si="3"/>
        <v>14.097222222226264</v>
      </c>
      <c r="BA22" s="165">
        <v>45074.291666666664</v>
      </c>
      <c r="BB22" s="165">
        <v>45074.78125</v>
      </c>
      <c r="BC22" s="165">
        <v>45076.666666666664</v>
      </c>
      <c r="BD22" s="165">
        <v>45080.100694444445</v>
      </c>
      <c r="BE22" s="165">
        <v>45080.256944444445</v>
      </c>
      <c r="BF22" s="165">
        <v>45080.267361111109</v>
      </c>
      <c r="BG22" s="165">
        <v>45080.267361111109</v>
      </c>
      <c r="BH22" s="165">
        <f t="shared" si="16"/>
        <v>45081.975694444445</v>
      </c>
      <c r="BI22" s="165">
        <v>45082.229166608799</v>
      </c>
      <c r="BJ22" s="165">
        <v>45082.395833275463</v>
      </c>
      <c r="BK22" s="165">
        <v>45082.319444444445</v>
      </c>
      <c r="BL22" s="165">
        <v>45084.152777777781</v>
      </c>
      <c r="BM22" s="165">
        <v>45088.15625</v>
      </c>
      <c r="BN22" s="165">
        <v>45088.326388888891</v>
      </c>
      <c r="BO22" s="165">
        <v>45088.388888888891</v>
      </c>
      <c r="BP22" s="165">
        <v>45088.388888888891</v>
      </c>
      <c r="BQ22" s="165">
        <v>45088.388888888891</v>
      </c>
      <c r="BT22" s="136">
        <f t="shared" si="4"/>
        <v>45.249999999941792</v>
      </c>
      <c r="BU22" s="136">
        <f t="shared" si="5"/>
        <v>3.75</v>
      </c>
      <c r="BV22" s="136">
        <f t="shared" si="6"/>
        <v>41.000000000058208</v>
      </c>
      <c r="BW22" s="136">
        <f t="shared" si="14"/>
        <v>42.166668055637274</v>
      </c>
      <c r="BX22" s="135">
        <f t="shared" si="7"/>
        <v>4.0833333333721384</v>
      </c>
      <c r="BY22" s="135">
        <f t="shared" si="8"/>
        <v>0</v>
      </c>
      <c r="BZ22" s="134">
        <f t="shared" si="9"/>
        <v>5.6770833912087255</v>
      </c>
      <c r="CA22" s="134">
        <f t="shared" si="10"/>
        <v>14.097222222226264</v>
      </c>
      <c r="CB22" s="133">
        <f t="shared" si="11"/>
        <v>0.40270936371124239</v>
      </c>
    </row>
    <row r="23" spans="1:80" s="126" customFormat="1">
      <c r="A23" s="192">
        <f t="shared" si="15"/>
        <v>45080.100694444445</v>
      </c>
      <c r="B23" s="126" t="s">
        <v>228</v>
      </c>
      <c r="C23" s="126" t="s">
        <v>229</v>
      </c>
      <c r="D23" s="126" t="s">
        <v>215</v>
      </c>
      <c r="E23" s="65" t="s">
        <v>1184</v>
      </c>
      <c r="G23" s="73">
        <v>45090.4375</v>
      </c>
      <c r="H23" s="73">
        <v>45090.440972222219</v>
      </c>
      <c r="I23" s="126" t="s">
        <v>231</v>
      </c>
      <c r="J23" s="115" t="s">
        <v>192</v>
      </c>
      <c r="K23" s="115" t="s">
        <v>192</v>
      </c>
      <c r="L23" s="126" t="s">
        <v>1780</v>
      </c>
      <c r="M23" s="167"/>
      <c r="N23" s="126" t="s">
        <v>390</v>
      </c>
      <c r="O23" s="126" t="s">
        <v>391</v>
      </c>
      <c r="P23" s="126" t="s">
        <v>240</v>
      </c>
      <c r="Q23" s="181">
        <f>3097*2.4</f>
        <v>7432.7999999999993</v>
      </c>
      <c r="R23" s="181">
        <f>7450+100</f>
        <v>7550</v>
      </c>
      <c r="S23" s="181">
        <v>3283</v>
      </c>
      <c r="T23" s="181"/>
      <c r="Y23" s="181">
        <f>S23</f>
        <v>3283</v>
      </c>
      <c r="AX23" s="165">
        <f t="shared" si="1"/>
        <v>45074.291666666664</v>
      </c>
      <c r="AY23" s="165">
        <f t="shared" si="2"/>
        <v>45096</v>
      </c>
      <c r="AZ23" s="137">
        <f t="shared" si="3"/>
        <v>21.708333333335759</v>
      </c>
      <c r="BA23" s="165">
        <v>45074.291666666664</v>
      </c>
      <c r="BB23" s="165">
        <v>45074.78125</v>
      </c>
      <c r="BC23" s="165">
        <v>45076.666666666664</v>
      </c>
      <c r="BD23" s="165">
        <v>45080.100694444445</v>
      </c>
      <c r="BE23" s="165">
        <v>45080.256944444445</v>
      </c>
      <c r="BF23" s="165">
        <v>45080.267361111109</v>
      </c>
      <c r="BG23" s="165">
        <v>45080.267361111109</v>
      </c>
      <c r="BH23" s="165">
        <f t="shared" si="16"/>
        <v>45081.975694444445</v>
      </c>
      <c r="BI23" s="165">
        <v>45082.229166608799</v>
      </c>
      <c r="BJ23" s="165">
        <v>45082.395833275463</v>
      </c>
      <c r="BK23" s="165">
        <v>45082.319444444445</v>
      </c>
      <c r="BL23" s="165">
        <v>45088.388888888891</v>
      </c>
      <c r="BM23" s="165">
        <v>45095.125</v>
      </c>
      <c r="BN23" s="165">
        <v>45095.625</v>
      </c>
      <c r="BO23" s="165">
        <v>45095.645833333336</v>
      </c>
      <c r="BP23" s="165">
        <v>45095.645833333336</v>
      </c>
      <c r="BQ23" s="165">
        <v>45096</v>
      </c>
      <c r="BT23" s="136">
        <f t="shared" si="4"/>
        <v>45.249999999941792</v>
      </c>
      <c r="BU23" s="136">
        <f t="shared" si="5"/>
        <v>3.75</v>
      </c>
      <c r="BV23" s="136">
        <f t="shared" si="6"/>
        <v>41.000000000058208</v>
      </c>
      <c r="BW23" s="136">
        <f t="shared" si="14"/>
        <v>143.83333472226514</v>
      </c>
      <c r="BX23" s="135">
        <f t="shared" si="7"/>
        <v>12</v>
      </c>
      <c r="BY23" s="135">
        <f t="shared" si="8"/>
        <v>8.4999999999417923</v>
      </c>
      <c r="BZ23" s="134">
        <f t="shared" si="9"/>
        <v>10.597222280091955</v>
      </c>
      <c r="CA23" s="134">
        <f t="shared" si="10"/>
        <v>21.708333333335759</v>
      </c>
      <c r="CB23" s="133">
        <f t="shared" si="11"/>
        <v>0.48816379025370155</v>
      </c>
    </row>
    <row r="24" spans="1:80" s="126" customFormat="1">
      <c r="A24" s="192">
        <f t="shared" si="15"/>
        <v>45084.482638888891</v>
      </c>
      <c r="B24" s="126" t="s">
        <v>228</v>
      </c>
      <c r="C24" s="126" t="s">
        <v>229</v>
      </c>
      <c r="D24" s="126" t="s">
        <v>197</v>
      </c>
      <c r="E24" s="65" t="s">
        <v>1781</v>
      </c>
      <c r="F24" s="126" t="s">
        <v>1782</v>
      </c>
      <c r="G24" s="73">
        <v>45086.431944444441</v>
      </c>
      <c r="H24" s="73">
        <v>45086.431944444441</v>
      </c>
      <c r="I24" s="126" t="s">
        <v>231</v>
      </c>
      <c r="J24" s="115" t="s">
        <v>192</v>
      </c>
      <c r="K24" s="115" t="s">
        <v>192</v>
      </c>
      <c r="L24" s="126" t="s">
        <v>1783</v>
      </c>
      <c r="M24" s="167"/>
      <c r="N24" s="126" t="s">
        <v>1255</v>
      </c>
      <c r="O24" s="126" t="s">
        <v>268</v>
      </c>
      <c r="P24" s="126" t="s">
        <v>418</v>
      </c>
      <c r="Q24" s="181">
        <f>3142*2.4</f>
        <v>7540.7999999999993</v>
      </c>
      <c r="R24" s="181">
        <f>7550+100</f>
        <v>7650</v>
      </c>
      <c r="S24" s="181">
        <v>7544.0370000000003</v>
      </c>
      <c r="T24" s="181"/>
      <c r="X24" s="181">
        <f>S24*0.65</f>
        <v>4903.6240500000004</v>
      </c>
      <c r="Y24" s="181">
        <f>S24*0.35</f>
        <v>2640.4129499999999</v>
      </c>
      <c r="AX24" s="165">
        <f t="shared" si="1"/>
        <v>45076.104166666664</v>
      </c>
      <c r="AY24" s="165">
        <f t="shared" si="2"/>
        <v>45092.333333333336</v>
      </c>
      <c r="AZ24" s="137">
        <f t="shared" si="3"/>
        <v>16.229166666671517</v>
      </c>
      <c r="BA24" s="165">
        <v>45076.104166666664</v>
      </c>
      <c r="BB24" s="165">
        <v>45077.871527777781</v>
      </c>
      <c r="BC24" s="165">
        <v>45079.75</v>
      </c>
      <c r="BD24" s="165">
        <v>45084.482638888891</v>
      </c>
      <c r="BE24" s="165">
        <v>45084.611111111109</v>
      </c>
      <c r="BF24" s="165">
        <v>45084.618055555555</v>
      </c>
      <c r="BG24" s="165">
        <v>45084.618055555555</v>
      </c>
      <c r="BH24" s="165">
        <f t="shared" si="16"/>
        <v>45086.326388888891</v>
      </c>
      <c r="BI24" s="165">
        <v>45086.229166608799</v>
      </c>
      <c r="BJ24" s="165">
        <v>45086.395833275463</v>
      </c>
      <c r="BK24" s="165">
        <v>45086.291666666664</v>
      </c>
      <c r="BL24" s="165">
        <v>45087.5</v>
      </c>
      <c r="BM24" s="165">
        <v>45091.784722222219</v>
      </c>
      <c r="BN24" s="165">
        <v>45092.013888888891</v>
      </c>
      <c r="BO24" s="165">
        <v>45092.034722222219</v>
      </c>
      <c r="BP24" s="165">
        <v>45092.034722222219</v>
      </c>
      <c r="BQ24" s="165">
        <v>45092.333333333336</v>
      </c>
      <c r="BR24" s="126" t="s">
        <v>1784</v>
      </c>
      <c r="BT24" s="136">
        <f t="shared" si="4"/>
        <v>45.083333333255723</v>
      </c>
      <c r="BU24" s="136">
        <f t="shared" si="5"/>
        <v>3.0833333332557231</v>
      </c>
      <c r="BV24" s="136">
        <f t="shared" si="6"/>
        <v>41.000000000058208</v>
      </c>
      <c r="BW24" s="136">
        <f t="shared" si="14"/>
        <v>26.500001388892997</v>
      </c>
      <c r="BX24" s="135">
        <f t="shared" si="7"/>
        <v>5.5000000001164153</v>
      </c>
      <c r="BY24" s="135">
        <f t="shared" si="8"/>
        <v>7.1666666668024845</v>
      </c>
      <c r="BZ24" s="134">
        <f t="shared" si="9"/>
        <v>5.3472222800992313</v>
      </c>
      <c r="CA24" s="134">
        <f t="shared" si="10"/>
        <v>16.229166666671517</v>
      </c>
      <c r="CB24" s="133">
        <f t="shared" si="11"/>
        <v>0.32948224575697865</v>
      </c>
    </row>
    <row r="25" spans="1:80" s="126" customFormat="1">
      <c r="A25" s="192">
        <f t="shared" si="15"/>
        <v>45084.638888888891</v>
      </c>
      <c r="B25" s="126" t="s">
        <v>228</v>
      </c>
      <c r="C25" s="126" t="s">
        <v>229</v>
      </c>
      <c r="D25" s="126" t="s">
        <v>197</v>
      </c>
      <c r="E25" s="65" t="s">
        <v>1785</v>
      </c>
      <c r="G25" s="73">
        <v>45084.958333333336</v>
      </c>
      <c r="H25" s="73">
        <v>45084.925000000003</v>
      </c>
      <c r="I25" s="126" t="s">
        <v>231</v>
      </c>
      <c r="J25" s="115" t="s">
        <v>192</v>
      </c>
      <c r="K25" s="115" t="s">
        <v>192</v>
      </c>
      <c r="L25" s="126" t="s">
        <v>1786</v>
      </c>
      <c r="M25" s="167"/>
      <c r="N25" s="126" t="s">
        <v>355</v>
      </c>
      <c r="O25" s="126" t="s">
        <v>356</v>
      </c>
      <c r="P25" s="126" t="s">
        <v>240</v>
      </c>
      <c r="Q25" s="181">
        <f>3107*2.4</f>
        <v>7456.7999999999993</v>
      </c>
      <c r="R25" s="181">
        <f>7500+100</f>
        <v>7600</v>
      </c>
      <c r="S25" s="181">
        <v>7510.8339999999998</v>
      </c>
      <c r="T25" s="181"/>
      <c r="Y25" s="181">
        <f>S25</f>
        <v>7510.8339999999998</v>
      </c>
      <c r="AX25" s="165">
        <f t="shared" si="1"/>
        <v>45078.340277777781</v>
      </c>
      <c r="AY25" s="165">
        <f t="shared" si="2"/>
        <v>45092.618055555555</v>
      </c>
      <c r="AZ25" s="137">
        <f t="shared" si="3"/>
        <v>14.277777777773736</v>
      </c>
      <c r="BA25" s="165">
        <v>45078.340277777781</v>
      </c>
      <c r="BB25" s="165">
        <v>45079.836805555555</v>
      </c>
      <c r="BC25" s="165">
        <v>45081.423611111109</v>
      </c>
      <c r="BD25" s="165">
        <v>45084.638888888891</v>
      </c>
      <c r="BE25" s="165">
        <v>45084.761805555558</v>
      </c>
      <c r="BF25" s="165">
        <v>45084.763888888891</v>
      </c>
      <c r="BG25" s="165">
        <v>45084.763888888891</v>
      </c>
      <c r="BH25" s="165">
        <f t="shared" si="16"/>
        <v>45086.472222222226</v>
      </c>
      <c r="BI25" s="165">
        <v>45086.229166608799</v>
      </c>
      <c r="BJ25" s="165">
        <v>45086.395833275463</v>
      </c>
      <c r="BK25" s="165">
        <v>45086.288194444445</v>
      </c>
      <c r="BL25" s="165">
        <v>45089.0625</v>
      </c>
      <c r="BM25" s="165">
        <v>45092.083333333336</v>
      </c>
      <c r="BN25" s="165">
        <v>45092.354166666664</v>
      </c>
      <c r="BO25" s="165">
        <v>45092.368055555555</v>
      </c>
      <c r="BP25" s="165">
        <v>45092.368055555555</v>
      </c>
      <c r="BQ25" s="165">
        <v>45092.618055555555</v>
      </c>
      <c r="BT25" s="136">
        <f t="shared" si="4"/>
        <v>38.083333333313931</v>
      </c>
      <c r="BU25" s="136">
        <f t="shared" si="5"/>
        <v>2.9500000000116415</v>
      </c>
      <c r="BV25" s="136">
        <f t="shared" si="6"/>
        <v>41.000000000058208</v>
      </c>
      <c r="BW25" s="136">
        <f t="shared" si="14"/>
        <v>64.000001388892997</v>
      </c>
      <c r="BX25" s="135">
        <f t="shared" si="7"/>
        <v>6.4999999998835847</v>
      </c>
      <c r="BY25" s="135">
        <f t="shared" si="8"/>
        <v>6</v>
      </c>
      <c r="BZ25" s="134">
        <f t="shared" si="9"/>
        <v>6.6055556134233484</v>
      </c>
      <c r="CA25" s="134">
        <f t="shared" si="10"/>
        <v>14.277777777773736</v>
      </c>
      <c r="CB25" s="133">
        <f t="shared" si="11"/>
        <v>0.46264591845001529</v>
      </c>
    </row>
    <row r="26" spans="1:80" s="126" customFormat="1">
      <c r="A26" s="192">
        <f t="shared" si="15"/>
        <v>45084.819444444445</v>
      </c>
      <c r="B26" s="126" t="s">
        <v>228</v>
      </c>
      <c r="C26" s="126" t="s">
        <v>229</v>
      </c>
      <c r="D26" s="126" t="s">
        <v>197</v>
      </c>
      <c r="E26" s="65" t="s">
        <v>1785</v>
      </c>
      <c r="G26" s="73">
        <v>45084.958333333336</v>
      </c>
      <c r="H26" s="73">
        <v>45084.925000000003</v>
      </c>
      <c r="I26" s="126" t="s">
        <v>231</v>
      </c>
      <c r="J26" s="115" t="s">
        <v>192</v>
      </c>
      <c r="K26" s="115" t="s">
        <v>192</v>
      </c>
      <c r="L26" s="126" t="s">
        <v>1787</v>
      </c>
      <c r="M26" s="167"/>
      <c r="N26" s="126" t="s">
        <v>492</v>
      </c>
      <c r="O26" s="126" t="s">
        <v>493</v>
      </c>
      <c r="P26" s="126" t="s">
        <v>240</v>
      </c>
      <c r="Q26" s="181">
        <f>3152*2.4</f>
        <v>7564.7999999999993</v>
      </c>
      <c r="R26" s="181">
        <f>7600+100</f>
        <v>7700</v>
      </c>
      <c r="S26" s="181">
        <v>7654.442</v>
      </c>
      <c r="T26" s="181"/>
      <c r="Y26" s="181">
        <f>S26</f>
        <v>7654.442</v>
      </c>
      <c r="AX26" s="165">
        <f t="shared" si="1"/>
        <v>45079.5</v>
      </c>
      <c r="AY26" s="165">
        <f t="shared" si="2"/>
        <v>45093.208333333336</v>
      </c>
      <c r="AZ26" s="137">
        <f t="shared" si="3"/>
        <v>13.708333333335759</v>
      </c>
      <c r="BA26" s="165">
        <v>45079.5</v>
      </c>
      <c r="BB26" s="165">
        <v>45080.604166666664</v>
      </c>
      <c r="BC26" s="165">
        <v>45082.305555555555</v>
      </c>
      <c r="BD26" s="165">
        <v>45084.819444444445</v>
      </c>
      <c r="BE26" s="165">
        <v>45084.95</v>
      </c>
      <c r="BF26" s="165">
        <v>45084.961805555555</v>
      </c>
      <c r="BG26" s="165">
        <v>45085.354166666664</v>
      </c>
      <c r="BH26" s="165">
        <f t="shared" si="16"/>
        <v>45087.0625</v>
      </c>
      <c r="BI26" s="165">
        <v>45087.229166608799</v>
      </c>
      <c r="BJ26" s="165">
        <v>45087.395833275463</v>
      </c>
      <c r="BK26" s="210">
        <v>45087.341666666667</v>
      </c>
      <c r="BL26" s="165">
        <v>45089.416666666664</v>
      </c>
      <c r="BM26" s="165">
        <v>45092.409722222219</v>
      </c>
      <c r="BN26" s="165">
        <v>45092.777777777781</v>
      </c>
      <c r="BO26" s="165">
        <v>45092.791666666664</v>
      </c>
      <c r="BP26" s="165">
        <v>45092.997916666667</v>
      </c>
      <c r="BQ26" s="165">
        <v>45093.208333333336</v>
      </c>
      <c r="BT26" s="136">
        <f t="shared" si="4"/>
        <v>40.833333333372138</v>
      </c>
      <c r="BU26" s="136">
        <f t="shared" si="5"/>
        <v>3.1333333332440816</v>
      </c>
      <c r="BV26" s="136">
        <f t="shared" si="6"/>
        <v>41.000000000058208</v>
      </c>
      <c r="BW26" s="136">
        <f t="shared" si="14"/>
        <v>48.500001388834789</v>
      </c>
      <c r="BX26" s="135">
        <f t="shared" si="7"/>
        <v>8.8333333334885538</v>
      </c>
      <c r="BY26" s="135">
        <f t="shared" si="8"/>
        <v>5.0500000000465661</v>
      </c>
      <c r="BZ26" s="134">
        <f t="shared" si="9"/>
        <v>6.1395833912101807</v>
      </c>
      <c r="CA26" s="134">
        <f t="shared" si="10"/>
        <v>13.708333333335759</v>
      </c>
      <c r="CB26" s="133">
        <f t="shared" si="11"/>
        <v>0.44787234464747194</v>
      </c>
    </row>
    <row r="27" spans="1:80" s="126" customFormat="1">
      <c r="A27" s="192">
        <f t="shared" si="15"/>
        <v>45084.986111111109</v>
      </c>
      <c r="B27" s="126" t="s">
        <v>228</v>
      </c>
      <c r="C27" s="126" t="s">
        <v>229</v>
      </c>
      <c r="D27" s="126" t="s">
        <v>197</v>
      </c>
      <c r="E27" s="65" t="s">
        <v>1785</v>
      </c>
      <c r="G27" s="73">
        <v>45084.958333333336</v>
      </c>
      <c r="H27" s="73">
        <v>45084.925000000003</v>
      </c>
      <c r="I27" s="126" t="s">
        <v>231</v>
      </c>
      <c r="J27" s="115" t="s">
        <v>192</v>
      </c>
      <c r="K27" s="115" t="s">
        <v>192</v>
      </c>
      <c r="L27" s="126" t="s">
        <v>1788</v>
      </c>
      <c r="M27" s="167"/>
      <c r="N27" s="126" t="s">
        <v>686</v>
      </c>
      <c r="O27" s="126" t="s">
        <v>1186</v>
      </c>
      <c r="P27" s="126" t="s">
        <v>240</v>
      </c>
      <c r="Q27" s="181">
        <f>3136*2.4</f>
        <v>7526.4</v>
      </c>
      <c r="R27" s="181">
        <f>7550+100</f>
        <v>7650</v>
      </c>
      <c r="S27" s="181">
        <v>7401.0159999999996</v>
      </c>
      <c r="T27" s="181"/>
      <c r="Y27" s="181">
        <f>S27</f>
        <v>7401.0159999999996</v>
      </c>
      <c r="AX27" s="165">
        <f t="shared" si="1"/>
        <v>45080.291666666664</v>
      </c>
      <c r="AY27" s="165">
        <f t="shared" si="2"/>
        <v>45093.333333333336</v>
      </c>
      <c r="AZ27" s="137">
        <f t="shared" si="3"/>
        <v>13.041666666671517</v>
      </c>
      <c r="BA27" s="165">
        <v>45080.291666666664</v>
      </c>
      <c r="BB27" s="165">
        <v>45080.815972222219</v>
      </c>
      <c r="BC27" s="165">
        <v>45082.583333333336</v>
      </c>
      <c r="BD27" s="165">
        <v>45084.986111111109</v>
      </c>
      <c r="BE27" s="165">
        <v>45085.121527777781</v>
      </c>
      <c r="BF27" s="165">
        <v>45085.142361111109</v>
      </c>
      <c r="BG27" s="165">
        <v>45085.142361111109</v>
      </c>
      <c r="BH27" s="165">
        <f t="shared" si="16"/>
        <v>45086.850694444445</v>
      </c>
      <c r="BI27" s="165">
        <v>45087.229166608799</v>
      </c>
      <c r="BJ27" s="165">
        <v>45087.395833275463</v>
      </c>
      <c r="BK27" s="210">
        <v>45087.364583333336</v>
      </c>
      <c r="BL27" s="165">
        <v>45089.833333333336</v>
      </c>
      <c r="BM27" s="165">
        <v>45092.8125</v>
      </c>
      <c r="BN27" s="165">
        <v>45093.059027777781</v>
      </c>
      <c r="BO27" s="165">
        <v>45093.072916666664</v>
      </c>
      <c r="BP27" s="165">
        <v>45093.072916666664</v>
      </c>
      <c r="BQ27" s="165">
        <v>45093.333333333336</v>
      </c>
      <c r="BT27" s="136">
        <f t="shared" si="4"/>
        <v>42.416666666802485</v>
      </c>
      <c r="BU27" s="136">
        <f t="shared" si="5"/>
        <v>3.2500000001164153</v>
      </c>
      <c r="BV27" s="136">
        <f t="shared" si="6"/>
        <v>41.000000000058208</v>
      </c>
      <c r="BW27" s="136">
        <f t="shared" si="14"/>
        <v>58.500001388951205</v>
      </c>
      <c r="BX27" s="135">
        <f t="shared" si="7"/>
        <v>5.9166666667442769</v>
      </c>
      <c r="BY27" s="135">
        <f t="shared" si="8"/>
        <v>6.2500000001164153</v>
      </c>
      <c r="BZ27" s="134">
        <f t="shared" si="9"/>
        <v>6.5555556134495419</v>
      </c>
      <c r="CA27" s="134">
        <f t="shared" si="10"/>
        <v>13.041666666671517</v>
      </c>
      <c r="CB27" s="133">
        <f t="shared" si="11"/>
        <v>0.50266241125472999</v>
      </c>
    </row>
    <row r="28" spans="1:80" s="126" customFormat="1">
      <c r="A28" s="192">
        <f t="shared" si="15"/>
        <v>45086.020833333336</v>
      </c>
      <c r="B28" s="126" t="s">
        <v>228</v>
      </c>
      <c r="C28" s="126" t="s">
        <v>229</v>
      </c>
      <c r="D28" s="126" t="s">
        <v>215</v>
      </c>
      <c r="E28" s="65" t="s">
        <v>1789</v>
      </c>
      <c r="G28" s="165">
        <v>45094.6875</v>
      </c>
      <c r="H28" s="165">
        <v>45094.6875</v>
      </c>
      <c r="I28" s="126" t="s">
        <v>243</v>
      </c>
      <c r="J28" s="115" t="s">
        <v>192</v>
      </c>
      <c r="K28" s="115" t="s">
        <v>192</v>
      </c>
      <c r="L28" s="126" t="s">
        <v>1790</v>
      </c>
      <c r="M28" s="167"/>
      <c r="N28" s="126" t="s">
        <v>374</v>
      </c>
      <c r="O28" s="126" t="s">
        <v>375</v>
      </c>
      <c r="P28" s="126" t="s">
        <v>235</v>
      </c>
      <c r="Q28" s="181">
        <f>3097*2.4</f>
        <v>7432.7999999999993</v>
      </c>
      <c r="R28" s="181">
        <f>7450+100</f>
        <v>7550</v>
      </c>
      <c r="S28" s="181">
        <v>7580.0020000000004</v>
      </c>
      <c r="T28" s="181"/>
      <c r="X28" s="181">
        <f>S28</f>
        <v>7580.0020000000004</v>
      </c>
      <c r="AX28" s="165">
        <f t="shared" si="1"/>
        <v>45080.708333333336</v>
      </c>
      <c r="AY28" s="165">
        <f t="shared" si="2"/>
        <v>45093.621527777781</v>
      </c>
      <c r="AZ28" s="137">
        <f t="shared" si="3"/>
        <v>12.913194444445253</v>
      </c>
      <c r="BA28" s="165">
        <v>45080.708333333336</v>
      </c>
      <c r="BB28" s="165">
        <v>45081.5625</v>
      </c>
      <c r="BC28" s="165">
        <v>45083.368055555555</v>
      </c>
      <c r="BD28" s="165">
        <v>45086.020833333336</v>
      </c>
      <c r="BE28" s="165">
        <v>45086.180555555555</v>
      </c>
      <c r="BF28" s="165">
        <v>45086.194444444445</v>
      </c>
      <c r="BG28" s="165">
        <v>45086.194444444445</v>
      </c>
      <c r="BH28" s="165">
        <f t="shared" si="16"/>
        <v>45087.902777777781</v>
      </c>
      <c r="BI28" s="165">
        <v>45088.229166608799</v>
      </c>
      <c r="BJ28" s="165">
        <v>45088.395833275463</v>
      </c>
      <c r="BK28" s="165">
        <v>45088.322916666664</v>
      </c>
      <c r="BL28" s="165">
        <v>45089.697916666664</v>
      </c>
      <c r="BM28" s="165">
        <v>45092.78125</v>
      </c>
      <c r="BN28" s="165">
        <v>45093.052083333336</v>
      </c>
      <c r="BO28" s="165">
        <v>45093.065972222219</v>
      </c>
      <c r="BP28" s="165">
        <v>45093.069444444445</v>
      </c>
      <c r="BQ28" s="165">
        <v>45093.621527777781</v>
      </c>
      <c r="BT28" s="136">
        <f t="shared" si="4"/>
        <v>43.333333333313931</v>
      </c>
      <c r="BU28" s="136">
        <f t="shared" si="5"/>
        <v>3.8333333332557231</v>
      </c>
      <c r="BV28" s="136">
        <f t="shared" si="6"/>
        <v>41.000000000058208</v>
      </c>
      <c r="BW28" s="136">
        <f t="shared" si="14"/>
        <v>31.250001388834789</v>
      </c>
      <c r="BX28" s="135">
        <f t="shared" si="7"/>
        <v>6.5000000000582077</v>
      </c>
      <c r="BY28" s="135">
        <f t="shared" si="8"/>
        <v>13.250000000058208</v>
      </c>
      <c r="BZ28" s="134">
        <f t="shared" si="9"/>
        <v>5.7986111689824611</v>
      </c>
      <c r="CA28" s="134">
        <f t="shared" si="10"/>
        <v>12.913194444445253</v>
      </c>
      <c r="CB28" s="133">
        <f t="shared" si="11"/>
        <v>0.44904544680474434</v>
      </c>
    </row>
    <row r="29" spans="1:80" s="126" customFormat="1">
      <c r="A29" s="192">
        <f t="shared" si="15"/>
        <v>45086.215277777781</v>
      </c>
      <c r="B29" s="126" t="s">
        <v>228</v>
      </c>
      <c r="C29" s="126" t="s">
        <v>229</v>
      </c>
      <c r="D29" s="126" t="s">
        <v>197</v>
      </c>
      <c r="E29" s="65" t="s">
        <v>1789</v>
      </c>
      <c r="G29" s="165">
        <v>45094.6875</v>
      </c>
      <c r="H29" s="165">
        <v>45094.6875</v>
      </c>
      <c r="I29" s="126" t="s">
        <v>243</v>
      </c>
      <c r="J29" s="115" t="s">
        <v>192</v>
      </c>
      <c r="K29" s="115" t="s">
        <v>192</v>
      </c>
      <c r="L29" s="126" t="s">
        <v>1791</v>
      </c>
      <c r="M29" s="167"/>
      <c r="N29" s="126" t="s">
        <v>288</v>
      </c>
      <c r="O29" s="126" t="s">
        <v>289</v>
      </c>
      <c r="P29" s="126" t="s">
        <v>235</v>
      </c>
      <c r="Q29" s="181">
        <f>3107*2.4</f>
        <v>7456.7999999999993</v>
      </c>
      <c r="R29" s="181">
        <f>7500+100</f>
        <v>7600</v>
      </c>
      <c r="S29" s="181">
        <v>7480.567</v>
      </c>
      <c r="T29" s="181"/>
      <c r="X29" s="181">
        <f>S29</f>
        <v>7480.567</v>
      </c>
      <c r="AX29" s="165">
        <f t="shared" si="1"/>
        <v>45080.895833333336</v>
      </c>
      <c r="AY29" s="165">
        <f t="shared" si="2"/>
        <v>45093.84375</v>
      </c>
      <c r="AZ29" s="137">
        <f t="shared" si="3"/>
        <v>12.947916666664241</v>
      </c>
      <c r="BA29" s="165">
        <v>45080.895833333336</v>
      </c>
      <c r="BB29" s="165">
        <v>45081.888888888891</v>
      </c>
      <c r="BC29" s="165">
        <v>45083.375</v>
      </c>
      <c r="BD29" s="165">
        <v>45086.215277777781</v>
      </c>
      <c r="BE29" s="165">
        <v>45086.458333333336</v>
      </c>
      <c r="BF29" s="165">
        <v>45086.463194444441</v>
      </c>
      <c r="BG29" s="165">
        <v>45086.466666666667</v>
      </c>
      <c r="BH29" s="165">
        <f t="shared" si="16"/>
        <v>45088.175000000003</v>
      </c>
      <c r="BI29" s="165">
        <v>45088.229166608799</v>
      </c>
      <c r="BJ29" s="165">
        <v>45088.395833275463</v>
      </c>
      <c r="BK29" s="165">
        <v>45088.395833275463</v>
      </c>
      <c r="BL29" s="165">
        <v>45089.75</v>
      </c>
      <c r="BM29" s="165">
        <v>45093.152777777781</v>
      </c>
      <c r="BN29" s="165">
        <v>45093.388888888891</v>
      </c>
      <c r="BO29" s="165">
        <v>45093.399305555555</v>
      </c>
      <c r="BP29" s="165">
        <v>45093.427083333336</v>
      </c>
      <c r="BQ29" s="165">
        <v>45093.84375</v>
      </c>
      <c r="BT29" s="136">
        <f t="shared" si="4"/>
        <v>35.666666666627862</v>
      </c>
      <c r="BU29" s="136">
        <f t="shared" si="5"/>
        <v>5.8333333333139308</v>
      </c>
      <c r="BV29" s="136">
        <f t="shared" si="6"/>
        <v>41.000000000058208</v>
      </c>
      <c r="BW29" s="136">
        <f t="shared" si="14"/>
        <v>32.500001388892997</v>
      </c>
      <c r="BX29" s="135">
        <f t="shared" si="7"/>
        <v>5.6666666666278616</v>
      </c>
      <c r="BY29" s="135">
        <f t="shared" si="8"/>
        <v>9.9999999999417923</v>
      </c>
      <c r="BZ29" s="134">
        <f t="shared" si="9"/>
        <v>5.4444445023109438</v>
      </c>
      <c r="CA29" s="134">
        <f t="shared" si="10"/>
        <v>12.947916666664241</v>
      </c>
      <c r="CB29" s="133">
        <f t="shared" si="11"/>
        <v>0.42048807097501889</v>
      </c>
    </row>
    <row r="30" spans="1:80" s="126" customFormat="1">
      <c r="A30" s="192">
        <f t="shared" si="15"/>
        <v>45086.482638888891</v>
      </c>
      <c r="B30" s="126" t="s">
        <v>228</v>
      </c>
      <c r="C30" s="126" t="s">
        <v>229</v>
      </c>
      <c r="D30" s="126" t="s">
        <v>197</v>
      </c>
      <c r="E30" s="65" t="s">
        <v>1785</v>
      </c>
      <c r="G30" s="73">
        <v>45084.958333333336</v>
      </c>
      <c r="H30" s="73">
        <v>45084.925000000003</v>
      </c>
      <c r="I30" s="126" t="s">
        <v>231</v>
      </c>
      <c r="J30" s="115" t="s">
        <v>192</v>
      </c>
      <c r="K30" s="115" t="s">
        <v>192</v>
      </c>
      <c r="L30" s="126" t="s">
        <v>1792</v>
      </c>
      <c r="M30" s="167"/>
      <c r="N30" s="126" t="s">
        <v>1483</v>
      </c>
      <c r="O30" s="126" t="s">
        <v>378</v>
      </c>
      <c r="P30" s="126" t="s">
        <v>240</v>
      </c>
      <c r="Q30" s="181">
        <f>3271*2.4</f>
        <v>7850.4</v>
      </c>
      <c r="R30" s="181">
        <f>7900+100</f>
        <v>8000</v>
      </c>
      <c r="S30" s="181">
        <v>7704.4369999999999</v>
      </c>
      <c r="T30" s="181"/>
      <c r="Y30" s="181">
        <f>S30</f>
        <v>7704.4369999999999</v>
      </c>
      <c r="AX30" s="165">
        <f t="shared" si="1"/>
        <v>45080.291666666664</v>
      </c>
      <c r="AY30" s="165">
        <f t="shared" si="2"/>
        <v>45093.958333333336</v>
      </c>
      <c r="AZ30" s="137">
        <f t="shared" si="3"/>
        <v>13.666666666671517</v>
      </c>
      <c r="BA30" s="165">
        <v>45080.291666666664</v>
      </c>
      <c r="BB30" s="165">
        <v>45081.819444444445</v>
      </c>
      <c r="BC30" s="165">
        <v>45084.083333333336</v>
      </c>
      <c r="BD30" s="165">
        <v>45086.482638888891</v>
      </c>
      <c r="BE30" s="165">
        <v>45086.618055555555</v>
      </c>
      <c r="BF30" s="165">
        <v>45086.625</v>
      </c>
      <c r="BG30" s="165">
        <v>45086.628472222219</v>
      </c>
      <c r="BH30" s="165">
        <f t="shared" si="16"/>
        <v>45088.336805555555</v>
      </c>
      <c r="BI30" s="165">
        <v>45088.229166608799</v>
      </c>
      <c r="BJ30" s="165">
        <v>45088.395833275463</v>
      </c>
      <c r="BK30" s="165">
        <v>45088.444444444445</v>
      </c>
      <c r="BL30" s="165">
        <v>45090.875</v>
      </c>
      <c r="BM30" s="165">
        <v>45093.097222222219</v>
      </c>
      <c r="BN30" s="165">
        <v>45093.409722222219</v>
      </c>
      <c r="BO30" s="165">
        <v>45093.430555555555</v>
      </c>
      <c r="BP30" s="165">
        <v>45093.430555555555</v>
      </c>
      <c r="BQ30" s="165">
        <v>45093.958333333336</v>
      </c>
      <c r="BT30" s="136">
        <f t="shared" si="4"/>
        <v>54.333333333372138</v>
      </c>
      <c r="BU30" s="136">
        <f t="shared" si="5"/>
        <v>3.2499999999417923</v>
      </c>
      <c r="BV30" s="136">
        <f t="shared" si="6"/>
        <v>41.000000000058208</v>
      </c>
      <c r="BW30" s="136">
        <f t="shared" si="14"/>
        <v>59.500001388892997</v>
      </c>
      <c r="BX30" s="135">
        <f t="shared" si="7"/>
        <v>7.5</v>
      </c>
      <c r="BY30" s="135">
        <f t="shared" si="8"/>
        <v>12.666666666744277</v>
      </c>
      <c r="BZ30" s="134">
        <f t="shared" si="9"/>
        <v>7.4270833912087255</v>
      </c>
      <c r="CA30" s="134">
        <f t="shared" si="10"/>
        <v>13.666666666671517</v>
      </c>
      <c r="CB30" s="133">
        <f t="shared" si="11"/>
        <v>0.54344512618581142</v>
      </c>
    </row>
    <row r="31" spans="1:80" s="126" customFormat="1">
      <c r="A31" s="192">
        <f t="shared" si="15"/>
        <v>45088.682638888888</v>
      </c>
      <c r="B31" s="126" t="s">
        <v>228</v>
      </c>
      <c r="C31" s="126" t="s">
        <v>229</v>
      </c>
      <c r="D31" s="126" t="s">
        <v>215</v>
      </c>
      <c r="E31" s="65" t="s">
        <v>1785</v>
      </c>
      <c r="F31" s="65" t="s">
        <v>1793</v>
      </c>
      <c r="G31" s="73">
        <v>45084.958333333336</v>
      </c>
      <c r="H31" s="73">
        <v>45084.925000000003</v>
      </c>
      <c r="I31" s="126" t="s">
        <v>231</v>
      </c>
      <c r="J31" s="115" t="s">
        <v>192</v>
      </c>
      <c r="K31" s="115" t="s">
        <v>192</v>
      </c>
      <c r="L31" s="126" t="s">
        <v>1794</v>
      </c>
      <c r="M31" s="167"/>
      <c r="N31" s="126" t="s">
        <v>301</v>
      </c>
      <c r="O31" s="126" t="s">
        <v>359</v>
      </c>
      <c r="P31" s="126" t="s">
        <v>418</v>
      </c>
      <c r="Q31" s="181">
        <f>3852*2.4</f>
        <v>9244.7999999999993</v>
      </c>
      <c r="R31" s="181">
        <f>9250+100</f>
        <v>9350</v>
      </c>
      <c r="S31" s="181">
        <v>9126.4879999999994</v>
      </c>
      <c r="T31" s="181"/>
      <c r="X31" s="181">
        <f>S31*0.65</f>
        <v>5932.2172</v>
      </c>
      <c r="Y31" s="181">
        <f>S31*0.35</f>
        <v>3194.2707999999998</v>
      </c>
      <c r="AX31" s="165">
        <f t="shared" si="1"/>
        <v>45080.947916666664</v>
      </c>
      <c r="AY31" s="165">
        <f t="shared" si="2"/>
        <v>45095.803472222222</v>
      </c>
      <c r="AZ31" s="137">
        <f t="shared" si="3"/>
        <v>14.855555555557657</v>
      </c>
      <c r="BA31" s="165">
        <v>45080.947916666664</v>
      </c>
      <c r="BB31" s="165">
        <v>45081.65625</v>
      </c>
      <c r="BC31" s="165">
        <v>45083.321527777778</v>
      </c>
      <c r="BD31" s="165">
        <v>45088.682638888888</v>
      </c>
      <c r="BE31" s="165">
        <v>45088.923611111109</v>
      </c>
      <c r="BF31" s="165">
        <v>45088.934027777781</v>
      </c>
      <c r="BG31" s="165">
        <f>BF31+(0.5/24)</f>
        <v>45088.954861111117</v>
      </c>
      <c r="BH31" s="165">
        <f t="shared" si="16"/>
        <v>45090.663194444453</v>
      </c>
      <c r="BI31" s="165">
        <v>45090.5</v>
      </c>
      <c r="BJ31" s="165">
        <v>45090.666666666664</v>
      </c>
      <c r="BK31" s="165">
        <v>45090.586805555555</v>
      </c>
      <c r="BL31" s="165">
        <v>45091.84375</v>
      </c>
      <c r="BM31" s="165">
        <v>45094.9375</v>
      </c>
      <c r="BN31" s="165">
        <v>45095.291666666664</v>
      </c>
      <c r="BO31" s="165">
        <v>45095.305555555555</v>
      </c>
      <c r="BP31" s="165">
        <v>45095.645833333336</v>
      </c>
      <c r="BQ31" s="165">
        <v>45095.803472222222</v>
      </c>
      <c r="BT31" s="136">
        <f t="shared" si="4"/>
        <v>39.966666666674428</v>
      </c>
      <c r="BU31" s="136">
        <f t="shared" si="5"/>
        <v>5.7833333333255723</v>
      </c>
      <c r="BV31" s="136">
        <f t="shared" si="6"/>
        <v>41.000000000058208</v>
      </c>
      <c r="BW31" s="136">
        <f t="shared" si="14"/>
        <v>28.250000000058208</v>
      </c>
      <c r="BX31" s="135">
        <f t="shared" si="7"/>
        <v>8.4999999999417923</v>
      </c>
      <c r="BY31" s="135">
        <f t="shared" si="8"/>
        <v>3.7833333332673647</v>
      </c>
      <c r="BZ31" s="134">
        <f t="shared" si="9"/>
        <v>5.3034722222218988</v>
      </c>
      <c r="CA31" s="134">
        <f t="shared" si="10"/>
        <v>14.855555555557657</v>
      </c>
      <c r="CB31" s="133">
        <f t="shared" si="11"/>
        <v>0.35700261780097486</v>
      </c>
    </row>
    <row r="32" spans="1:80" s="126" customFormat="1">
      <c r="A32" s="192">
        <f t="shared" si="15"/>
        <v>45086.649305555555</v>
      </c>
      <c r="B32" s="126" t="s">
        <v>228</v>
      </c>
      <c r="C32" s="126" t="s">
        <v>229</v>
      </c>
      <c r="D32" s="126" t="s">
        <v>197</v>
      </c>
      <c r="E32" s="65" t="s">
        <v>1785</v>
      </c>
      <c r="G32" s="73">
        <v>45084.958333333336</v>
      </c>
      <c r="H32" s="73">
        <v>45084.925000000003</v>
      </c>
      <c r="I32" s="126" t="s">
        <v>231</v>
      </c>
      <c r="J32" s="115" t="s">
        <v>192</v>
      </c>
      <c r="K32" s="115" t="s">
        <v>192</v>
      </c>
      <c r="L32" s="126" t="s">
        <v>1795</v>
      </c>
      <c r="M32" s="167"/>
      <c r="N32" s="126" t="s">
        <v>323</v>
      </c>
      <c r="O32" s="126" t="s">
        <v>324</v>
      </c>
      <c r="P32" s="126" t="s">
        <v>240</v>
      </c>
      <c r="Q32" s="181">
        <f>3095*2.4</f>
        <v>7428</v>
      </c>
      <c r="R32" s="181">
        <f>7450+100</f>
        <v>7550</v>
      </c>
      <c r="S32" s="181">
        <v>7524.4279999999999</v>
      </c>
      <c r="T32" s="181"/>
      <c r="Y32" s="181">
        <f>S32</f>
        <v>7524.4279999999999</v>
      </c>
      <c r="AX32" s="165">
        <f t="shared" si="1"/>
        <v>45081.898611111108</v>
      </c>
      <c r="AY32" s="165">
        <f t="shared" si="2"/>
        <v>45094.925000000003</v>
      </c>
      <c r="AZ32" s="137">
        <f t="shared" si="3"/>
        <v>13.026388888894871</v>
      </c>
      <c r="BA32" s="165">
        <v>45081.898611111108</v>
      </c>
      <c r="BB32" s="165">
        <v>45082.820138888892</v>
      </c>
      <c r="BC32" s="165">
        <v>45084.892361111109</v>
      </c>
      <c r="BD32" s="165">
        <v>45086.649305555555</v>
      </c>
      <c r="BE32" s="165">
        <v>45086.833333333336</v>
      </c>
      <c r="BF32" s="165">
        <v>45086.84375</v>
      </c>
      <c r="BG32" s="165">
        <v>45087.291666666664</v>
      </c>
      <c r="BH32" s="165">
        <f t="shared" si="16"/>
        <v>45089</v>
      </c>
      <c r="BI32" s="165">
        <v>45089.229166608799</v>
      </c>
      <c r="BJ32" s="165">
        <v>45089.395833275463</v>
      </c>
      <c r="BK32" s="165">
        <v>45089.275694444441</v>
      </c>
      <c r="BL32" s="165">
        <v>45090.416666666664</v>
      </c>
      <c r="BM32" s="165">
        <v>45094.100694444445</v>
      </c>
      <c r="BN32" s="165">
        <v>45094.465277777781</v>
      </c>
      <c r="BO32" s="165">
        <v>45094.479166666664</v>
      </c>
      <c r="BP32" s="165">
        <v>45094.614583333336</v>
      </c>
      <c r="BQ32" s="165">
        <v>45094.925000000003</v>
      </c>
      <c r="BT32" s="136">
        <f t="shared" si="4"/>
        <v>49.733333333220799</v>
      </c>
      <c r="BU32" s="136">
        <f t="shared" si="5"/>
        <v>4.4166666667442769</v>
      </c>
      <c r="BV32" s="136">
        <f t="shared" si="6"/>
        <v>41.000000000058208</v>
      </c>
      <c r="BW32" s="136">
        <f t="shared" si="14"/>
        <v>24.500001388834789</v>
      </c>
      <c r="BX32" s="135">
        <f t="shared" si="7"/>
        <v>8.7500000000582077</v>
      </c>
      <c r="BY32" s="135">
        <f t="shared" si="8"/>
        <v>7.4500000000116415</v>
      </c>
      <c r="BZ32" s="134">
        <f t="shared" si="9"/>
        <v>5.6604167245386634</v>
      </c>
      <c r="CA32" s="134">
        <f t="shared" si="10"/>
        <v>13.026388888894871</v>
      </c>
      <c r="CB32" s="133">
        <f t="shared" si="11"/>
        <v>0.43453460301375052</v>
      </c>
    </row>
    <row r="33" spans="1:80" s="126" customFormat="1">
      <c r="A33" s="192">
        <f t="shared" si="15"/>
        <v>45086.868055555555</v>
      </c>
      <c r="B33" s="126" t="s">
        <v>228</v>
      </c>
      <c r="C33" s="126" t="s">
        <v>229</v>
      </c>
      <c r="D33" s="126" t="s">
        <v>197</v>
      </c>
      <c r="E33" s="65" t="s">
        <v>1785</v>
      </c>
      <c r="G33" s="73">
        <v>45084.958333333336</v>
      </c>
      <c r="H33" s="73">
        <v>45084.925000000003</v>
      </c>
      <c r="I33" s="126" t="s">
        <v>231</v>
      </c>
      <c r="J33" s="115" t="s">
        <v>192</v>
      </c>
      <c r="K33" s="115" t="s">
        <v>192</v>
      </c>
      <c r="L33" s="126" t="s">
        <v>1796</v>
      </c>
      <c r="M33" s="167"/>
      <c r="N33" s="126" t="s">
        <v>249</v>
      </c>
      <c r="O33" s="126" t="s">
        <v>250</v>
      </c>
      <c r="P33" s="126" t="s">
        <v>240</v>
      </c>
      <c r="Q33" s="181">
        <f>3139*2.4</f>
        <v>7533.5999999999995</v>
      </c>
      <c r="R33" s="181">
        <f>7550+100</f>
        <v>7650</v>
      </c>
      <c r="S33" s="181">
        <v>7553.3109999999997</v>
      </c>
      <c r="T33" s="181"/>
      <c r="Y33" s="181">
        <f>S33</f>
        <v>7553.3109999999997</v>
      </c>
      <c r="AX33" s="165">
        <f t="shared" si="1"/>
        <v>45079.75</v>
      </c>
      <c r="AY33" s="165">
        <f t="shared" si="2"/>
        <v>45095.388888888891</v>
      </c>
      <c r="AZ33" s="137">
        <f t="shared" si="3"/>
        <v>15.638888888890506</v>
      </c>
      <c r="BA33" s="165">
        <v>45079.75</v>
      </c>
      <c r="BB33" s="165">
        <v>45082.958333333336</v>
      </c>
      <c r="BC33" s="165">
        <v>45084.916666666664</v>
      </c>
      <c r="BD33" s="165">
        <v>45086.868055555555</v>
      </c>
      <c r="BE33" s="165">
        <v>45086.993750000001</v>
      </c>
      <c r="BF33" s="165">
        <v>45087.003472222219</v>
      </c>
      <c r="BG33" s="165">
        <v>45087.291666666664</v>
      </c>
      <c r="BH33" s="165">
        <f t="shared" si="16"/>
        <v>45089</v>
      </c>
      <c r="BI33" s="165">
        <v>45089.229166608799</v>
      </c>
      <c r="BJ33" s="165">
        <v>45089.395833275463</v>
      </c>
      <c r="BK33" s="165">
        <v>45089.314583333333</v>
      </c>
      <c r="BL33" s="165">
        <v>45090.583333333336</v>
      </c>
      <c r="BM33" s="165">
        <v>45094.5</v>
      </c>
      <c r="BN33" s="165">
        <v>45094.854166666664</v>
      </c>
      <c r="BO33" s="165">
        <v>45094.875</v>
      </c>
      <c r="BP33" s="165">
        <v>45095.083333333336</v>
      </c>
      <c r="BQ33" s="165">
        <v>45095.388888888891</v>
      </c>
      <c r="BR33" s="126" t="s">
        <v>1797</v>
      </c>
      <c r="BT33" s="136">
        <f t="shared" si="4"/>
        <v>46.999999999883585</v>
      </c>
      <c r="BU33" s="136">
        <f t="shared" si="5"/>
        <v>3.0166666667209938</v>
      </c>
      <c r="BV33" s="136">
        <f t="shared" si="6"/>
        <v>41.000000000058208</v>
      </c>
      <c r="BW33" s="136">
        <f t="shared" si="14"/>
        <v>28.500001388951205</v>
      </c>
      <c r="BX33" s="135">
        <f t="shared" si="7"/>
        <v>8.4999999999417923</v>
      </c>
      <c r="BY33" s="135">
        <f t="shared" si="8"/>
        <v>7.3333333333139308</v>
      </c>
      <c r="BZ33" s="134">
        <f t="shared" si="9"/>
        <v>5.6395833912029047</v>
      </c>
      <c r="CA33" s="134">
        <f t="shared" si="10"/>
        <v>15.638888888890506</v>
      </c>
      <c r="CB33" s="133">
        <f t="shared" si="11"/>
        <v>0.36061279233265292</v>
      </c>
    </row>
    <row r="34" spans="1:80" s="126" customFormat="1">
      <c r="A34" s="192">
        <f t="shared" si="15"/>
        <v>45087.034722222219</v>
      </c>
      <c r="B34" s="126" t="s">
        <v>228</v>
      </c>
      <c r="C34" s="126" t="s">
        <v>229</v>
      </c>
      <c r="D34" s="126" t="s">
        <v>197</v>
      </c>
      <c r="E34" s="65" t="s">
        <v>1785</v>
      </c>
      <c r="G34" s="73">
        <v>45084.958333333336</v>
      </c>
      <c r="H34" s="73">
        <v>45084.925000000003</v>
      </c>
      <c r="I34" s="126" t="s">
        <v>231</v>
      </c>
      <c r="J34" s="126" t="s">
        <v>192</v>
      </c>
      <c r="K34" s="126" t="s">
        <v>192</v>
      </c>
      <c r="L34" s="126" t="s">
        <v>1798</v>
      </c>
      <c r="M34" s="167"/>
      <c r="N34" s="126" t="s">
        <v>1799</v>
      </c>
      <c r="O34" s="126" t="s">
        <v>340</v>
      </c>
      <c r="P34" s="126" t="s">
        <v>418</v>
      </c>
      <c r="Q34" s="181">
        <f>3141*2.4</f>
        <v>7538.4</v>
      </c>
      <c r="R34" s="181">
        <f>7550+100</f>
        <v>7650</v>
      </c>
      <c r="S34" s="181">
        <f>7669.363-1751.469</f>
        <v>5917.8940000000002</v>
      </c>
      <c r="T34" s="181"/>
      <c r="X34" s="181">
        <f t="shared" ref="X34:X43" si="17">S34*0.65</f>
        <v>3846.6311000000001</v>
      </c>
      <c r="Y34" s="181">
        <f t="shared" ref="Y34:Y43" si="18">S34*0.35</f>
        <v>2071.2629000000002</v>
      </c>
      <c r="AX34" s="165">
        <f t="shared" si="1"/>
        <v>45076.6875</v>
      </c>
      <c r="AY34" s="165">
        <f t="shared" si="2"/>
        <v>45095.680555555555</v>
      </c>
      <c r="AZ34" s="137">
        <f t="shared" si="3"/>
        <v>18.993055555554747</v>
      </c>
      <c r="BA34" s="165">
        <v>45076.6875</v>
      </c>
      <c r="BB34" s="165">
        <v>45083.815972222219</v>
      </c>
      <c r="BC34" s="165">
        <v>45085.791666666664</v>
      </c>
      <c r="BD34" s="165">
        <v>45087.034722222219</v>
      </c>
      <c r="BE34" s="165">
        <v>45087.204861111109</v>
      </c>
      <c r="BF34" s="165">
        <v>45087.213888888888</v>
      </c>
      <c r="BG34" s="165">
        <v>45087.217361111114</v>
      </c>
      <c r="BH34" s="165">
        <v>45087.217361111114</v>
      </c>
      <c r="BI34" s="165">
        <v>45090.5</v>
      </c>
      <c r="BJ34" s="165">
        <v>45090.666666666664</v>
      </c>
      <c r="BK34" s="165">
        <v>45090.604166666664</v>
      </c>
      <c r="BL34" s="165">
        <v>45091.90625</v>
      </c>
      <c r="BM34" s="165">
        <v>45095.326388888891</v>
      </c>
      <c r="BN34" s="165">
        <v>45095.631944444445</v>
      </c>
      <c r="BO34" s="165">
        <v>45095.680555555555</v>
      </c>
      <c r="BP34" s="165">
        <v>45095.680555555555</v>
      </c>
      <c r="BQ34" s="165">
        <v>45095.680555555555</v>
      </c>
      <c r="BR34" s="126" t="s">
        <v>1800</v>
      </c>
      <c r="BT34" s="136">
        <f t="shared" si="4"/>
        <v>47.416666666686069</v>
      </c>
      <c r="BU34" s="136">
        <f t="shared" si="5"/>
        <v>4.0833333333721384</v>
      </c>
      <c r="BV34" s="136">
        <f t="shared" si="6"/>
        <v>0</v>
      </c>
      <c r="BW34" s="136">
        <f t="shared" si="14"/>
        <v>29.750000000058208</v>
      </c>
      <c r="BX34" s="135">
        <f t="shared" si="7"/>
        <v>7.3333333333139308</v>
      </c>
      <c r="BY34" s="135">
        <f t="shared" si="8"/>
        <v>0</v>
      </c>
      <c r="BZ34" s="134">
        <f t="shared" si="9"/>
        <v>3.6909722222262644</v>
      </c>
      <c r="CA34" s="134">
        <f t="shared" si="10"/>
        <v>18.993055555554747</v>
      </c>
      <c r="CB34" s="133">
        <f t="shared" si="11"/>
        <v>0.19433272394903281</v>
      </c>
    </row>
    <row r="35" spans="1:80" s="126" customFormat="1">
      <c r="A35" s="192">
        <f t="shared" si="15"/>
        <v>45087.034722222219</v>
      </c>
      <c r="B35" s="126" t="s">
        <v>228</v>
      </c>
      <c r="C35" s="126" t="s">
        <v>229</v>
      </c>
      <c r="D35" s="126" t="s">
        <v>197</v>
      </c>
      <c r="E35" s="65" t="s">
        <v>1801</v>
      </c>
      <c r="G35" s="73">
        <v>45095.3125</v>
      </c>
      <c r="H35" s="73">
        <v>45095.275000000001</v>
      </c>
      <c r="I35" s="126" t="s">
        <v>231</v>
      </c>
      <c r="J35" s="126" t="s">
        <v>192</v>
      </c>
      <c r="K35" s="126" t="s">
        <v>192</v>
      </c>
      <c r="L35" s="126" t="s">
        <v>1798</v>
      </c>
      <c r="M35" s="167"/>
      <c r="N35" s="126" t="s">
        <v>1799</v>
      </c>
      <c r="O35" s="126" t="s">
        <v>340</v>
      </c>
      <c r="P35" s="126" t="s">
        <v>418</v>
      </c>
      <c r="Q35" s="181">
        <f>3141*2.4</f>
        <v>7538.4</v>
      </c>
      <c r="R35" s="181">
        <f>7550+100</f>
        <v>7650</v>
      </c>
      <c r="S35" s="181">
        <f>733.784</f>
        <v>733.78399999999999</v>
      </c>
      <c r="T35" s="181"/>
      <c r="X35" s="181">
        <f t="shared" si="17"/>
        <v>476.95960000000002</v>
      </c>
      <c r="Y35" s="181">
        <f t="shared" si="18"/>
        <v>256.82439999999997</v>
      </c>
      <c r="AX35" s="165">
        <f t="shared" si="1"/>
        <v>45076.6875</v>
      </c>
      <c r="AY35" s="165">
        <f t="shared" si="2"/>
        <v>45098.135416666664</v>
      </c>
      <c r="AZ35" s="137">
        <f t="shared" si="3"/>
        <v>21.447916666664241</v>
      </c>
      <c r="BA35" s="165">
        <v>45076.6875</v>
      </c>
      <c r="BB35" s="165">
        <v>45083.815972222219</v>
      </c>
      <c r="BC35" s="165">
        <v>45085.791666666664</v>
      </c>
      <c r="BD35" s="165">
        <v>45087.034722222219</v>
      </c>
      <c r="BE35" s="165">
        <v>45087.204861111109</v>
      </c>
      <c r="BF35" s="165">
        <v>45087.213888888888</v>
      </c>
      <c r="BG35" s="165">
        <v>45087.217361111114</v>
      </c>
      <c r="BH35" s="165">
        <v>45087.217361111114</v>
      </c>
      <c r="BI35" s="165">
        <v>45090.5</v>
      </c>
      <c r="BJ35" s="165">
        <v>45090.666666666664</v>
      </c>
      <c r="BK35" s="165">
        <v>45090.604166666664</v>
      </c>
      <c r="BL35" s="165">
        <v>45095.680555555555</v>
      </c>
      <c r="BM35" s="165">
        <v>45097.736111111109</v>
      </c>
      <c r="BN35" s="165">
        <v>45097.75</v>
      </c>
      <c r="BO35" s="165">
        <v>45097.756944444445</v>
      </c>
      <c r="BP35" s="165">
        <v>45097.756944444445</v>
      </c>
      <c r="BQ35" s="165">
        <v>45098.135416666664</v>
      </c>
      <c r="BR35" s="126" t="s">
        <v>1800</v>
      </c>
      <c r="BT35" s="136">
        <f t="shared" si="4"/>
        <v>47.416666666686069</v>
      </c>
      <c r="BU35" s="136">
        <f t="shared" si="5"/>
        <v>4.0833333333721384</v>
      </c>
      <c r="BV35" s="136">
        <f t="shared" si="6"/>
        <v>0</v>
      </c>
      <c r="BW35" s="136">
        <f t="shared" si="14"/>
        <v>120.33333333337214</v>
      </c>
      <c r="BX35" s="135">
        <f t="shared" si="7"/>
        <v>0.33333333337213844</v>
      </c>
      <c r="BY35" s="135">
        <f t="shared" si="8"/>
        <v>9.0833333332557231</v>
      </c>
      <c r="BZ35" s="134">
        <f t="shared" si="9"/>
        <v>7.5520833333357587</v>
      </c>
      <c r="CA35" s="134">
        <f t="shared" si="10"/>
        <v>21.447916666664241</v>
      </c>
      <c r="CB35" s="133">
        <f t="shared" si="11"/>
        <v>0.35211267605649094</v>
      </c>
    </row>
    <row r="36" spans="1:80" s="126" customFormat="1">
      <c r="A36" s="192">
        <f t="shared" si="15"/>
        <v>45087.649305555555</v>
      </c>
      <c r="B36" s="126" t="s">
        <v>228</v>
      </c>
      <c r="C36" s="126" t="s">
        <v>229</v>
      </c>
      <c r="D36" s="126" t="s">
        <v>215</v>
      </c>
      <c r="E36" s="65" t="s">
        <v>1785</v>
      </c>
      <c r="G36" s="73">
        <v>45084.958333333336</v>
      </c>
      <c r="H36" s="73">
        <v>45084.925000000003</v>
      </c>
      <c r="I36" s="126" t="s">
        <v>231</v>
      </c>
      <c r="J36" s="115" t="s">
        <v>192</v>
      </c>
      <c r="K36" s="115" t="s">
        <v>192</v>
      </c>
      <c r="L36" s="126" t="s">
        <v>1802</v>
      </c>
      <c r="M36" s="167"/>
      <c r="N36" s="126" t="s">
        <v>271</v>
      </c>
      <c r="O36" s="126" t="s">
        <v>272</v>
      </c>
      <c r="P36" s="126" t="s">
        <v>418</v>
      </c>
      <c r="Q36" s="181">
        <f>3852*2.4</f>
        <v>9244.7999999999993</v>
      </c>
      <c r="R36" s="181">
        <f>9250+100</f>
        <v>9350</v>
      </c>
      <c r="S36" s="181">
        <v>9256.9089999999997</v>
      </c>
      <c r="T36" s="181"/>
      <c r="X36" s="181">
        <f t="shared" si="17"/>
        <v>6016.9908500000001</v>
      </c>
      <c r="Y36" s="181">
        <f t="shared" si="18"/>
        <v>3239.9181499999995</v>
      </c>
      <c r="AX36" s="165">
        <f t="shared" si="1"/>
        <v>45084.368055555555</v>
      </c>
      <c r="AY36" s="165">
        <f t="shared" si="2"/>
        <v>45095.84375</v>
      </c>
      <c r="AZ36" s="137">
        <f t="shared" si="3"/>
        <v>11.475694444445253</v>
      </c>
      <c r="BA36" s="165">
        <v>45084.368055555555</v>
      </c>
      <c r="BB36" s="165">
        <v>45085.552083333336</v>
      </c>
      <c r="BC36" s="165">
        <v>45087.618055555555</v>
      </c>
      <c r="BD36" s="165">
        <v>45087.649305555555</v>
      </c>
      <c r="BE36" s="165">
        <v>45087.888888888891</v>
      </c>
      <c r="BF36" s="165">
        <v>45087.902777777781</v>
      </c>
      <c r="BG36" s="165">
        <v>45087.902777777781</v>
      </c>
      <c r="BH36" s="165">
        <f t="shared" ref="BH36:BH96" si="19">BG36+(41/24)</f>
        <v>45089.611111111117</v>
      </c>
      <c r="BI36" s="165">
        <v>45090.5</v>
      </c>
      <c r="BJ36" s="165">
        <v>45090.666666666664</v>
      </c>
      <c r="BK36" s="165">
        <v>45090.506944444445</v>
      </c>
      <c r="BL36" s="165">
        <v>45091.625</v>
      </c>
      <c r="BM36" s="165">
        <v>45094.895833333336</v>
      </c>
      <c r="BN36" s="165">
        <v>45095.333333333336</v>
      </c>
      <c r="BO36" s="165">
        <v>45095.347222222219</v>
      </c>
      <c r="BP36" s="165">
        <v>45095.611111111109</v>
      </c>
      <c r="BQ36" s="165">
        <v>45095.84375</v>
      </c>
      <c r="BT36" s="136">
        <f t="shared" si="4"/>
        <v>49.583333333255723</v>
      </c>
      <c r="BU36" s="136">
        <f t="shared" si="5"/>
        <v>5.7500000000582077</v>
      </c>
      <c r="BV36" s="136">
        <f t="shared" si="6"/>
        <v>41.000000000058208</v>
      </c>
      <c r="BW36" s="136">
        <f t="shared" si="14"/>
        <v>23.000000000058208</v>
      </c>
      <c r="BX36" s="135">
        <f t="shared" si="7"/>
        <v>10.5</v>
      </c>
      <c r="BY36" s="135">
        <f t="shared" si="8"/>
        <v>5.5833333333721384</v>
      </c>
      <c r="BZ36" s="134">
        <f t="shared" si="9"/>
        <v>5.6423611111167702</v>
      </c>
      <c r="CA36" s="134">
        <f t="shared" si="10"/>
        <v>11.475694444445253</v>
      </c>
      <c r="CB36" s="133">
        <f t="shared" si="11"/>
        <v>0.49167927382799254</v>
      </c>
    </row>
    <row r="37" spans="1:80" s="126" customFormat="1">
      <c r="A37" s="192">
        <f t="shared" si="15"/>
        <v>45089.213888888888</v>
      </c>
      <c r="B37" s="126" t="s">
        <v>228</v>
      </c>
      <c r="C37" s="126" t="s">
        <v>229</v>
      </c>
      <c r="D37" s="126" t="s">
        <v>197</v>
      </c>
      <c r="E37" s="65" t="s">
        <v>1184</v>
      </c>
      <c r="G37" s="73">
        <v>45090.4375</v>
      </c>
      <c r="H37" s="73">
        <v>45090.440972222219</v>
      </c>
      <c r="I37" s="126" t="s">
        <v>231</v>
      </c>
      <c r="J37" s="115" t="s">
        <v>192</v>
      </c>
      <c r="K37" s="115" t="s">
        <v>192</v>
      </c>
      <c r="L37" s="126" t="s">
        <v>1803</v>
      </c>
      <c r="M37" s="167"/>
      <c r="N37" s="126" t="s">
        <v>1303</v>
      </c>
      <c r="O37" s="126" t="s">
        <v>1304</v>
      </c>
      <c r="P37" s="126" t="s">
        <v>418</v>
      </c>
      <c r="Q37" s="181">
        <f>2205*2.4</f>
        <v>5292</v>
      </c>
      <c r="R37" s="181">
        <f>5300+100</f>
        <v>5400</v>
      </c>
      <c r="S37" s="181">
        <v>5228.2709999999997</v>
      </c>
      <c r="T37" s="181"/>
      <c r="U37" s="181"/>
      <c r="X37" s="181">
        <f t="shared" si="17"/>
        <v>3398.3761500000001</v>
      </c>
      <c r="Y37" s="181">
        <f t="shared" si="18"/>
        <v>1829.8948499999997</v>
      </c>
      <c r="AX37" s="165">
        <f t="shared" si="1"/>
        <v>45086.25</v>
      </c>
      <c r="AY37" s="165">
        <f t="shared" si="2"/>
        <v>45094.895833333336</v>
      </c>
      <c r="AZ37" s="137">
        <f t="shared" si="3"/>
        <v>8.6458333333357587</v>
      </c>
      <c r="BA37" s="165">
        <v>45086.25</v>
      </c>
      <c r="BB37" s="165">
        <v>45086.815972222219</v>
      </c>
      <c r="BC37" s="165">
        <v>45089.020833333336</v>
      </c>
      <c r="BD37" s="165">
        <v>45089.213888888888</v>
      </c>
      <c r="BE37" s="165">
        <v>45089.364583333336</v>
      </c>
      <c r="BF37" s="165">
        <v>45089.371527777781</v>
      </c>
      <c r="BG37" s="165">
        <v>45089.371527777781</v>
      </c>
      <c r="BH37" s="165">
        <f t="shared" si="19"/>
        <v>45091.079861111117</v>
      </c>
      <c r="BI37" s="165">
        <v>45091.5</v>
      </c>
      <c r="BJ37" s="165">
        <v>45091.666666666664</v>
      </c>
      <c r="BK37" s="165">
        <v>45091.59375</v>
      </c>
      <c r="BL37" s="165">
        <v>45093.104166666664</v>
      </c>
      <c r="BM37" s="165">
        <v>45094.319444444445</v>
      </c>
      <c r="BN37" s="165">
        <v>45094.420138888891</v>
      </c>
      <c r="BO37" s="165">
        <v>45094.440972222219</v>
      </c>
      <c r="BP37" s="165">
        <v>45094.440972222219</v>
      </c>
      <c r="BQ37" s="165">
        <v>45094.895833333336</v>
      </c>
      <c r="BT37" s="136">
        <f t="shared" si="4"/>
        <v>52.916666666802485</v>
      </c>
      <c r="BU37" s="136">
        <f t="shared" si="5"/>
        <v>3.6166666667559184</v>
      </c>
      <c r="BV37" s="136">
        <f t="shared" si="6"/>
        <v>41.000000000058208</v>
      </c>
      <c r="BW37" s="136">
        <f t="shared" si="14"/>
        <v>34.5</v>
      </c>
      <c r="BX37" s="135">
        <f t="shared" si="7"/>
        <v>2.4166666666860692</v>
      </c>
      <c r="BY37" s="135">
        <f t="shared" si="8"/>
        <v>10.916666666802485</v>
      </c>
      <c r="BZ37" s="134">
        <f t="shared" si="9"/>
        <v>6.0569444444627152</v>
      </c>
      <c r="CA37" s="134">
        <f t="shared" si="10"/>
        <v>8.6458333333357587</v>
      </c>
      <c r="CB37" s="133">
        <f t="shared" si="11"/>
        <v>0.70056224899790065</v>
      </c>
    </row>
    <row r="38" spans="1:80" s="126" customFormat="1">
      <c r="A38" s="192">
        <f t="shared" si="15"/>
        <v>45090.048611111109</v>
      </c>
      <c r="B38" s="126" t="s">
        <v>228</v>
      </c>
      <c r="C38" s="126" t="s">
        <v>229</v>
      </c>
      <c r="D38" s="126" t="s">
        <v>197</v>
      </c>
      <c r="E38" s="65" t="s">
        <v>1184</v>
      </c>
      <c r="G38" s="73">
        <v>45090.4375</v>
      </c>
      <c r="H38" s="73">
        <v>45090.440972222219</v>
      </c>
      <c r="I38" s="126" t="s">
        <v>231</v>
      </c>
      <c r="J38" s="115" t="s">
        <v>192</v>
      </c>
      <c r="K38" s="115" t="s">
        <v>192</v>
      </c>
      <c r="L38" s="126" t="s">
        <v>1804</v>
      </c>
      <c r="M38" s="167"/>
      <c r="N38" s="126" t="s">
        <v>277</v>
      </c>
      <c r="O38" s="126" t="s">
        <v>278</v>
      </c>
      <c r="P38" s="126" t="s">
        <v>418</v>
      </c>
      <c r="Q38" s="181">
        <f>3117*2.4</f>
        <v>7480.7999999999993</v>
      </c>
      <c r="R38" s="181">
        <f>7500+100</f>
        <v>7600</v>
      </c>
      <c r="S38" s="181">
        <v>7551.2960000000003</v>
      </c>
      <c r="T38" s="181"/>
      <c r="X38" s="181">
        <f t="shared" si="17"/>
        <v>4908.3424000000005</v>
      </c>
      <c r="Y38" s="181">
        <f t="shared" si="18"/>
        <v>2642.9535999999998</v>
      </c>
      <c r="AX38" s="165">
        <f t="shared" si="1"/>
        <v>45087.0625</v>
      </c>
      <c r="AY38" s="165">
        <f t="shared" si="2"/>
        <v>45095.270833333336</v>
      </c>
      <c r="AZ38" s="137">
        <f t="shared" si="3"/>
        <v>8.2083333333357587</v>
      </c>
      <c r="BA38" s="165">
        <v>45087.0625</v>
      </c>
      <c r="BB38" s="165">
        <v>45087.78125</v>
      </c>
      <c r="BC38" s="165">
        <v>45089.555555555555</v>
      </c>
      <c r="BD38" s="165">
        <v>45090.048611111109</v>
      </c>
      <c r="BE38" s="165">
        <v>45090.173611111109</v>
      </c>
      <c r="BF38" s="165">
        <v>45090.1875</v>
      </c>
      <c r="BG38" s="165">
        <v>45090.1875</v>
      </c>
      <c r="BH38" s="165">
        <f t="shared" si="19"/>
        <v>45091.895833333336</v>
      </c>
      <c r="BI38" s="165">
        <v>45091.5</v>
      </c>
      <c r="BJ38" s="165">
        <v>45091.666666666664</v>
      </c>
      <c r="BK38" s="165">
        <v>45091.607638888891</v>
      </c>
      <c r="BL38" s="165">
        <v>45092.923611111109</v>
      </c>
      <c r="BM38" s="165">
        <v>45094.701388888891</v>
      </c>
      <c r="BN38" s="165">
        <v>45094.868055555555</v>
      </c>
      <c r="BO38" s="165">
        <v>45094.888888888891</v>
      </c>
      <c r="BP38" s="165">
        <v>45094.996527777781</v>
      </c>
      <c r="BQ38" s="165">
        <v>45095.270833333336</v>
      </c>
      <c r="BT38" s="136">
        <f t="shared" si="4"/>
        <v>42.583333333313931</v>
      </c>
      <c r="BU38" s="136">
        <f t="shared" si="5"/>
        <v>3</v>
      </c>
      <c r="BV38" s="136">
        <f t="shared" si="6"/>
        <v>41.000000000058208</v>
      </c>
      <c r="BW38" s="136">
        <f t="shared" si="14"/>
        <v>30.166666666686069</v>
      </c>
      <c r="BX38" s="135">
        <f t="shared" si="7"/>
        <v>3.9999999999417923</v>
      </c>
      <c r="BY38" s="135">
        <f t="shared" si="8"/>
        <v>6.5833333333139308</v>
      </c>
      <c r="BZ38" s="134">
        <f t="shared" si="9"/>
        <v>5.3055555555547471</v>
      </c>
      <c r="CA38" s="134">
        <f t="shared" si="10"/>
        <v>8.2083333333357587</v>
      </c>
      <c r="CB38" s="133">
        <f t="shared" si="11"/>
        <v>0.64636209813845846</v>
      </c>
    </row>
    <row r="39" spans="1:80" s="126" customFormat="1">
      <c r="A39" s="192">
        <f t="shared" si="15"/>
        <v>45089.652777777781</v>
      </c>
      <c r="B39" s="126" t="s">
        <v>228</v>
      </c>
      <c r="C39" s="126" t="s">
        <v>229</v>
      </c>
      <c r="D39" s="126" t="s">
        <v>197</v>
      </c>
      <c r="E39" s="65" t="s">
        <v>1184</v>
      </c>
      <c r="G39" s="73">
        <v>45090.4375</v>
      </c>
      <c r="H39" s="73">
        <v>45090.440972222219</v>
      </c>
      <c r="I39" s="126" t="s">
        <v>231</v>
      </c>
      <c r="J39" s="115" t="s">
        <v>192</v>
      </c>
      <c r="K39" s="115" t="s">
        <v>192</v>
      </c>
      <c r="L39" s="126" t="s">
        <v>1805</v>
      </c>
      <c r="M39" s="167"/>
      <c r="N39" s="126" t="s">
        <v>292</v>
      </c>
      <c r="O39" s="126" t="s">
        <v>293</v>
      </c>
      <c r="P39" s="126" t="s">
        <v>418</v>
      </c>
      <c r="Q39" s="181">
        <f>3142*2.4</f>
        <v>7540.7999999999993</v>
      </c>
      <c r="R39" s="181">
        <f>7550+100</f>
        <v>7650</v>
      </c>
      <c r="S39" s="181">
        <v>7574.9579999999996</v>
      </c>
      <c r="T39" s="181"/>
      <c r="X39" s="181">
        <f t="shared" si="17"/>
        <v>4923.7227000000003</v>
      </c>
      <c r="Y39" s="181">
        <f t="shared" si="18"/>
        <v>2651.2352999999998</v>
      </c>
      <c r="AX39" s="165">
        <f t="shared" si="1"/>
        <v>45087.017361111109</v>
      </c>
      <c r="AY39" s="165">
        <f t="shared" si="2"/>
        <v>45094.961805555555</v>
      </c>
      <c r="AZ39" s="137">
        <f t="shared" si="3"/>
        <v>7.9444444444452529</v>
      </c>
      <c r="BA39" s="165">
        <v>45087.017361111109</v>
      </c>
      <c r="BB39" s="165">
        <v>45087.788194444445</v>
      </c>
      <c r="BC39" s="165">
        <v>45089.541666666664</v>
      </c>
      <c r="BD39" s="165">
        <v>45089.652777777781</v>
      </c>
      <c r="BE39" s="165">
        <v>45089.826388888891</v>
      </c>
      <c r="BF39" s="165">
        <v>45089.829861111109</v>
      </c>
      <c r="BG39" s="165">
        <v>45089.829861111109</v>
      </c>
      <c r="BH39" s="165">
        <f t="shared" si="19"/>
        <v>45091.538194444445</v>
      </c>
      <c r="BI39" s="165">
        <v>45091.5</v>
      </c>
      <c r="BJ39" s="165">
        <v>45091.666666666664</v>
      </c>
      <c r="BK39" s="165">
        <v>45091.510416666664</v>
      </c>
      <c r="BL39" s="165">
        <v>45092.6875</v>
      </c>
      <c r="BM39" s="165">
        <v>45094.472222222219</v>
      </c>
      <c r="BN39" s="165">
        <v>45094.666666666664</v>
      </c>
      <c r="BO39" s="165">
        <v>45094.680555555555</v>
      </c>
      <c r="BP39" s="165">
        <v>45094.680555555555</v>
      </c>
      <c r="BQ39" s="165">
        <v>45094.961805555555</v>
      </c>
      <c r="BT39" s="136">
        <f t="shared" si="4"/>
        <v>42.083333333255723</v>
      </c>
      <c r="BU39" s="136">
        <f t="shared" si="5"/>
        <v>4.1666666666278616</v>
      </c>
      <c r="BV39" s="136">
        <f t="shared" si="6"/>
        <v>41.000000000058208</v>
      </c>
      <c r="BW39" s="136">
        <f t="shared" si="14"/>
        <v>24.500000000058208</v>
      </c>
      <c r="BX39" s="135">
        <f t="shared" si="7"/>
        <v>4.6666666666860692</v>
      </c>
      <c r="BY39" s="135">
        <f t="shared" si="8"/>
        <v>6.75</v>
      </c>
      <c r="BZ39" s="134">
        <f t="shared" si="9"/>
        <v>5.1319444444452529</v>
      </c>
      <c r="CA39" s="134">
        <f t="shared" si="10"/>
        <v>7.9444444444452529</v>
      </c>
      <c r="CB39" s="133">
        <f t="shared" si="11"/>
        <v>0.64597902097905702</v>
      </c>
    </row>
    <row r="40" spans="1:80" s="126" customFormat="1">
      <c r="A40" s="192">
        <f t="shared" si="15"/>
        <v>45090.208333333336</v>
      </c>
      <c r="B40" s="126" t="s">
        <v>228</v>
      </c>
      <c r="C40" s="126" t="s">
        <v>229</v>
      </c>
      <c r="D40" s="126" t="s">
        <v>197</v>
      </c>
      <c r="E40" s="65" t="s">
        <v>1184</v>
      </c>
      <c r="G40" s="73">
        <v>45090.4375</v>
      </c>
      <c r="H40" s="73">
        <v>45090.440972222219</v>
      </c>
      <c r="I40" s="126" t="s">
        <v>231</v>
      </c>
      <c r="J40" s="115" t="s">
        <v>192</v>
      </c>
      <c r="K40" s="115" t="s">
        <v>192</v>
      </c>
      <c r="L40" s="126" t="s">
        <v>1806</v>
      </c>
      <c r="M40" s="167"/>
      <c r="N40" s="126" t="s">
        <v>257</v>
      </c>
      <c r="O40" s="126" t="s">
        <v>258</v>
      </c>
      <c r="P40" s="126" t="s">
        <v>418</v>
      </c>
      <c r="Q40" s="181">
        <f>3139*2.4</f>
        <v>7533.5999999999995</v>
      </c>
      <c r="R40" s="181">
        <f>7550+100</f>
        <v>7650</v>
      </c>
      <c r="S40" s="181">
        <v>7453.3109999999997</v>
      </c>
      <c r="T40" s="181"/>
      <c r="X40" s="181">
        <f t="shared" si="17"/>
        <v>4844.6521499999999</v>
      </c>
      <c r="Y40" s="181">
        <f t="shared" si="18"/>
        <v>2608.6588499999998</v>
      </c>
      <c r="AX40" s="165">
        <f t="shared" si="1"/>
        <v>45086.756944444445</v>
      </c>
      <c r="AY40" s="165">
        <f t="shared" si="2"/>
        <v>45096.395833333336</v>
      </c>
      <c r="AZ40" s="137">
        <f t="shared" si="3"/>
        <v>9.6388888888905058</v>
      </c>
      <c r="BA40" s="165">
        <v>45086.756944444445</v>
      </c>
      <c r="BB40" s="165">
        <v>45087.784722222219</v>
      </c>
      <c r="BC40" s="165">
        <v>45089.861111111109</v>
      </c>
      <c r="BD40" s="165">
        <v>45090.208333333336</v>
      </c>
      <c r="BE40" s="165">
        <v>45090.393750000003</v>
      </c>
      <c r="BF40" s="165">
        <v>45090.399305555555</v>
      </c>
      <c r="BG40" s="165">
        <v>45090.399305555555</v>
      </c>
      <c r="BH40" s="165">
        <f t="shared" si="19"/>
        <v>45092.107638888891</v>
      </c>
      <c r="BI40" s="165">
        <v>45092.541666666664</v>
      </c>
      <c r="BJ40" s="165">
        <v>45092.708333333328</v>
      </c>
      <c r="BK40" s="165">
        <v>45092.621527777781</v>
      </c>
      <c r="BL40" s="165">
        <v>45093.791666666664</v>
      </c>
      <c r="BM40" s="165">
        <v>45095.680555555555</v>
      </c>
      <c r="BN40" s="165">
        <v>45096.090277777781</v>
      </c>
      <c r="BO40" s="165">
        <v>45096.118055555555</v>
      </c>
      <c r="BP40" s="165">
        <v>45096.118055555555</v>
      </c>
      <c r="BQ40" s="165">
        <v>45096.395833333336</v>
      </c>
      <c r="BT40" s="136">
        <f t="shared" si="4"/>
        <v>49.833333333372138</v>
      </c>
      <c r="BU40" s="136">
        <f t="shared" si="5"/>
        <v>4.4500000000116415</v>
      </c>
      <c r="BV40" s="136">
        <f t="shared" si="6"/>
        <v>41.000000000058208</v>
      </c>
      <c r="BW40" s="136">
        <f t="shared" si="14"/>
        <v>26.000000000058208</v>
      </c>
      <c r="BX40" s="135">
        <f t="shared" si="7"/>
        <v>9.8333333334303461</v>
      </c>
      <c r="BY40" s="135">
        <f t="shared" si="8"/>
        <v>6.6666666667442769</v>
      </c>
      <c r="BZ40" s="134">
        <f t="shared" si="9"/>
        <v>5.7409722222364508</v>
      </c>
      <c r="CA40" s="134">
        <f t="shared" si="10"/>
        <v>9.6388888888905058</v>
      </c>
      <c r="CB40" s="133">
        <f t="shared" si="11"/>
        <v>0.595605187321261</v>
      </c>
    </row>
    <row r="41" spans="1:80" s="126" customFormat="1">
      <c r="A41" s="192">
        <f t="shared" si="15"/>
        <v>45090.423611111109</v>
      </c>
      <c r="B41" s="126" t="s">
        <v>228</v>
      </c>
      <c r="C41" s="126" t="s">
        <v>229</v>
      </c>
      <c r="D41" s="126" t="s">
        <v>215</v>
      </c>
      <c r="E41" s="65" t="s">
        <v>1184</v>
      </c>
      <c r="G41" s="73">
        <v>45090.4375</v>
      </c>
      <c r="H41" s="73">
        <v>45090.440972222219</v>
      </c>
      <c r="I41" s="126" t="s">
        <v>231</v>
      </c>
      <c r="J41" s="115" t="s">
        <v>192</v>
      </c>
      <c r="K41" s="115" t="s">
        <v>192</v>
      </c>
      <c r="L41" s="126" t="s">
        <v>1807</v>
      </c>
      <c r="M41" s="167"/>
      <c r="N41" s="126" t="s">
        <v>721</v>
      </c>
      <c r="O41" s="126" t="s">
        <v>1349</v>
      </c>
      <c r="P41" s="126" t="s">
        <v>418</v>
      </c>
      <c r="Q41" s="181">
        <f>3136*2.4</f>
        <v>7526.4</v>
      </c>
      <c r="R41" s="181">
        <f>7550+100</f>
        <v>7650</v>
      </c>
      <c r="S41" s="181">
        <v>7424.6170000000002</v>
      </c>
      <c r="T41" s="181"/>
      <c r="X41" s="181">
        <f t="shared" si="17"/>
        <v>4826.0010499999999</v>
      </c>
      <c r="Y41" s="181">
        <f t="shared" si="18"/>
        <v>2598.6159499999999</v>
      </c>
      <c r="AX41" s="165">
        <f t="shared" si="1"/>
        <v>45087.5</v>
      </c>
      <c r="AY41" s="165">
        <f t="shared" si="2"/>
        <v>45095.375</v>
      </c>
      <c r="AZ41" s="137">
        <f t="shared" si="3"/>
        <v>7.875</v>
      </c>
      <c r="BA41" s="165">
        <v>45087.5</v>
      </c>
      <c r="BB41" s="165">
        <v>45088.579861111109</v>
      </c>
      <c r="BC41" s="165">
        <v>45090.319444444445</v>
      </c>
      <c r="BD41" s="165">
        <v>45090.423611111109</v>
      </c>
      <c r="BE41" s="165">
        <v>45090.543749999997</v>
      </c>
      <c r="BF41" s="165">
        <v>45090.545138888891</v>
      </c>
      <c r="BG41" s="165">
        <v>45090.545138888891</v>
      </c>
      <c r="BH41" s="165">
        <f t="shared" si="19"/>
        <v>45092.253472222226</v>
      </c>
      <c r="BI41" s="165">
        <v>45092.541666666664</v>
      </c>
      <c r="BJ41" s="165">
        <v>45092.708333333328</v>
      </c>
      <c r="BK41" s="165">
        <v>45092.569444444445</v>
      </c>
      <c r="BL41" s="165">
        <v>45093.597222222219</v>
      </c>
      <c r="BM41" s="165">
        <v>45094.916666666664</v>
      </c>
      <c r="BN41" s="165">
        <v>45095.076388888891</v>
      </c>
      <c r="BO41" s="165">
        <v>45095.090277777781</v>
      </c>
      <c r="BP41" s="165">
        <v>45095.090277777781</v>
      </c>
      <c r="BQ41" s="165">
        <v>45095.375</v>
      </c>
      <c r="BT41" s="136">
        <f t="shared" si="4"/>
        <v>41.750000000058208</v>
      </c>
      <c r="BU41" s="136">
        <f t="shared" si="5"/>
        <v>2.8833333333022892</v>
      </c>
      <c r="BV41" s="136">
        <f t="shared" si="6"/>
        <v>41.000000000058208</v>
      </c>
      <c r="BW41" s="136">
        <f t="shared" si="14"/>
        <v>21.333333333372138</v>
      </c>
      <c r="BX41" s="135">
        <f t="shared" si="7"/>
        <v>3.8333333334303461</v>
      </c>
      <c r="BY41" s="135">
        <f t="shared" si="8"/>
        <v>6.8333333332557231</v>
      </c>
      <c r="BZ41" s="134">
        <f t="shared" si="9"/>
        <v>4.9013888888948713</v>
      </c>
      <c r="CA41" s="134">
        <f t="shared" si="10"/>
        <v>7.875</v>
      </c>
      <c r="CB41" s="133">
        <f t="shared" si="11"/>
        <v>0.62239858906601542</v>
      </c>
    </row>
    <row r="42" spans="1:80" s="126" customFormat="1">
      <c r="A42" s="192">
        <f t="shared" si="15"/>
        <v>45090.565972222219</v>
      </c>
      <c r="B42" s="126" t="s">
        <v>228</v>
      </c>
      <c r="C42" s="126" t="s">
        <v>229</v>
      </c>
      <c r="D42" s="126" t="s">
        <v>197</v>
      </c>
      <c r="E42" s="65" t="s">
        <v>1184</v>
      </c>
      <c r="G42" s="73">
        <v>45090.4375</v>
      </c>
      <c r="H42" s="73">
        <v>45090.440972222219</v>
      </c>
      <c r="I42" s="126" t="s">
        <v>231</v>
      </c>
      <c r="J42" s="115" t="s">
        <v>192</v>
      </c>
      <c r="K42" s="115" t="s">
        <v>192</v>
      </c>
      <c r="L42" s="126" t="s">
        <v>1808</v>
      </c>
      <c r="M42" s="167"/>
      <c r="N42" s="126" t="s">
        <v>263</v>
      </c>
      <c r="O42" s="126" t="s">
        <v>264</v>
      </c>
      <c r="P42" s="126" t="s">
        <v>418</v>
      </c>
      <c r="Q42" s="181">
        <f>3136*2.4</f>
        <v>7526.4</v>
      </c>
      <c r="R42" s="181">
        <f>7550+100</f>
        <v>7650</v>
      </c>
      <c r="S42" s="181">
        <f>7484.33-3184.225</f>
        <v>4300.1049999999996</v>
      </c>
      <c r="T42" s="181"/>
      <c r="X42" s="181">
        <f t="shared" si="17"/>
        <v>2795.0682499999998</v>
      </c>
      <c r="Y42" s="181">
        <f t="shared" si="18"/>
        <v>1505.0367499999998</v>
      </c>
      <c r="AX42" s="165">
        <f t="shared" si="1"/>
        <v>45087.857638888891</v>
      </c>
      <c r="AY42" s="165">
        <f t="shared" si="2"/>
        <v>45096.326388888891</v>
      </c>
      <c r="AZ42" s="137">
        <f t="shared" si="3"/>
        <v>8.46875</v>
      </c>
      <c r="BA42" s="165">
        <v>45087.857638888891</v>
      </c>
      <c r="BB42" s="165">
        <v>45088.597222222219</v>
      </c>
      <c r="BC42" s="165">
        <v>45090.326388888891</v>
      </c>
      <c r="BD42" s="165">
        <v>45090.565972222219</v>
      </c>
      <c r="BE42" s="165">
        <v>45090.704861111109</v>
      </c>
      <c r="BF42" s="165">
        <v>45090.708333333336</v>
      </c>
      <c r="BG42" s="165">
        <v>45090.708333333336</v>
      </c>
      <c r="BH42" s="165">
        <f t="shared" si="19"/>
        <v>45092.416666666672</v>
      </c>
      <c r="BI42" s="165">
        <v>45092.541666666664</v>
      </c>
      <c r="BJ42" s="165">
        <v>45092.708333333328</v>
      </c>
      <c r="BK42" s="165">
        <v>45092.555555555555</v>
      </c>
      <c r="BL42" s="165">
        <v>45093.625</v>
      </c>
      <c r="BM42" s="165">
        <v>45096.145833333336</v>
      </c>
      <c r="BN42" s="165">
        <v>45096.270833333336</v>
      </c>
      <c r="BO42" s="165">
        <v>45096.326388888891</v>
      </c>
      <c r="BP42" s="165">
        <v>45096.326388888891</v>
      </c>
      <c r="BQ42" s="165">
        <v>45096.326388888891</v>
      </c>
      <c r="BT42" s="136">
        <f t="shared" si="4"/>
        <v>41.500000000116415</v>
      </c>
      <c r="BU42" s="136">
        <f t="shared" si="5"/>
        <v>3.3333333333721384</v>
      </c>
      <c r="BV42" s="136">
        <f t="shared" si="6"/>
        <v>41.000000000058208</v>
      </c>
      <c r="BW42" s="136">
        <f t="shared" si="14"/>
        <v>22.000000000116415</v>
      </c>
      <c r="BX42" s="135">
        <f t="shared" si="7"/>
        <v>3</v>
      </c>
      <c r="BY42" s="135">
        <f t="shared" si="8"/>
        <v>0</v>
      </c>
      <c r="BZ42" s="134">
        <f t="shared" si="9"/>
        <v>4.618055555569299</v>
      </c>
      <c r="CA42" s="134">
        <f t="shared" si="10"/>
        <v>8.46875</v>
      </c>
      <c r="CB42" s="133">
        <f t="shared" si="11"/>
        <v>0.54530545305615341</v>
      </c>
    </row>
    <row r="43" spans="1:80" s="126" customFormat="1">
      <c r="A43" s="192">
        <f t="shared" si="15"/>
        <v>45090.565972222219</v>
      </c>
      <c r="B43" s="126" t="s">
        <v>228</v>
      </c>
      <c r="C43" s="126" t="s">
        <v>229</v>
      </c>
      <c r="D43" s="126" t="s">
        <v>197</v>
      </c>
      <c r="E43" s="65" t="s">
        <v>1801</v>
      </c>
      <c r="G43" s="73">
        <v>45095.3125</v>
      </c>
      <c r="H43" s="73">
        <v>45095.275000000001</v>
      </c>
      <c r="I43" s="126" t="s">
        <v>231</v>
      </c>
      <c r="J43" s="126" t="s">
        <v>192</v>
      </c>
      <c r="K43" s="126" t="s">
        <v>192</v>
      </c>
      <c r="L43" s="126" t="s">
        <v>1808</v>
      </c>
      <c r="M43" s="167"/>
      <c r="N43" s="126" t="s">
        <v>263</v>
      </c>
      <c r="O43" s="126" t="s">
        <v>264</v>
      </c>
      <c r="P43" s="126" t="s">
        <v>418</v>
      </c>
      <c r="Q43" s="181">
        <f>3136*2.4</f>
        <v>7526.4</v>
      </c>
      <c r="R43" s="181">
        <f>7550+100</f>
        <v>7650</v>
      </c>
      <c r="S43" s="181">
        <v>3157</v>
      </c>
      <c r="T43" s="181"/>
      <c r="X43" s="181">
        <f t="shared" si="17"/>
        <v>2052.0500000000002</v>
      </c>
      <c r="Y43" s="181">
        <f t="shared" si="18"/>
        <v>1104.9499999999998</v>
      </c>
      <c r="AX43" s="165">
        <f t="shared" si="1"/>
        <v>45087.857638888891</v>
      </c>
      <c r="AY43" s="165">
        <f t="shared" si="2"/>
        <v>45098.069444444445</v>
      </c>
      <c r="AZ43" s="137">
        <f t="shared" si="3"/>
        <v>10.211805555554747</v>
      </c>
      <c r="BA43" s="165">
        <v>45087.857638888891</v>
      </c>
      <c r="BB43" s="165">
        <v>45088.597222222219</v>
      </c>
      <c r="BC43" s="165">
        <v>45090.326388888891</v>
      </c>
      <c r="BD43" s="165">
        <v>45090.565972222219</v>
      </c>
      <c r="BE43" s="165">
        <v>45090.704861111109</v>
      </c>
      <c r="BF43" s="165">
        <v>45090.708333333336</v>
      </c>
      <c r="BG43" s="165">
        <v>45090.708333333336</v>
      </c>
      <c r="BH43" s="165">
        <f t="shared" si="19"/>
        <v>45092.416666666672</v>
      </c>
      <c r="BI43" s="165">
        <v>45092.541666666664</v>
      </c>
      <c r="BJ43" s="165">
        <v>45092.708333333328</v>
      </c>
      <c r="BK43" s="165">
        <v>45092.555555555555</v>
      </c>
      <c r="BL43" s="165">
        <v>45096.326388888891</v>
      </c>
      <c r="BM43" s="165">
        <v>45097.583333333336</v>
      </c>
      <c r="BN43" s="165">
        <v>45097.708333333336</v>
      </c>
      <c r="BO43" s="165">
        <v>45097.715277777781</v>
      </c>
      <c r="BP43" s="165">
        <v>45097.715277777781</v>
      </c>
      <c r="BQ43" s="165">
        <v>45098.069444444445</v>
      </c>
      <c r="BT43" s="136">
        <f t="shared" si="4"/>
        <v>41.500000000116415</v>
      </c>
      <c r="BU43" s="136">
        <f t="shared" si="5"/>
        <v>3.3333333333721384</v>
      </c>
      <c r="BV43" s="136">
        <f t="shared" si="6"/>
        <v>41.000000000058208</v>
      </c>
      <c r="BW43" s="136">
        <f t="shared" si="14"/>
        <v>86.833333333488554</v>
      </c>
      <c r="BX43" s="135">
        <f t="shared" si="7"/>
        <v>3</v>
      </c>
      <c r="BY43" s="135">
        <f t="shared" si="8"/>
        <v>8.4999999999417923</v>
      </c>
      <c r="BZ43" s="134">
        <f t="shared" si="9"/>
        <v>7.6736111111240461</v>
      </c>
      <c r="CA43" s="134">
        <f t="shared" si="10"/>
        <v>10.211805555554747</v>
      </c>
      <c r="CB43" s="133">
        <f t="shared" si="11"/>
        <v>0.75144508670652843</v>
      </c>
    </row>
    <row r="44" spans="1:80" s="126" customFormat="1">
      <c r="A44" s="192">
        <f t="shared" si="15"/>
        <v>45090.736111111109</v>
      </c>
      <c r="B44" s="126" t="s">
        <v>228</v>
      </c>
      <c r="C44" s="126" t="s">
        <v>229</v>
      </c>
      <c r="D44" s="126" t="s">
        <v>215</v>
      </c>
      <c r="E44" s="65" t="s">
        <v>1809</v>
      </c>
      <c r="G44" s="165">
        <v>45095.041666666664</v>
      </c>
      <c r="H44" s="165">
        <v>45095.041666666664</v>
      </c>
      <c r="I44" s="126" t="s">
        <v>243</v>
      </c>
      <c r="J44" s="126" t="s">
        <v>192</v>
      </c>
      <c r="K44" s="126" t="s">
        <v>192</v>
      </c>
      <c r="L44" s="126" t="s">
        <v>1810</v>
      </c>
      <c r="M44" s="167"/>
      <c r="N44" s="126" t="s">
        <v>403</v>
      </c>
      <c r="O44" s="126" t="s">
        <v>404</v>
      </c>
      <c r="P44" s="126" t="s">
        <v>240</v>
      </c>
      <c r="Q44" s="181">
        <f>3107*2.4</f>
        <v>7456.7999999999993</v>
      </c>
      <c r="R44" s="181">
        <f>7500+100</f>
        <v>7600</v>
      </c>
      <c r="S44" s="181">
        <v>7412.8509999999997</v>
      </c>
      <c r="T44" s="181"/>
      <c r="Y44" s="181">
        <f t="shared" ref="Y44" si="20">S44</f>
        <v>7412.8509999999997</v>
      </c>
      <c r="AX44" s="165">
        <f t="shared" si="1"/>
        <v>45087.5</v>
      </c>
      <c r="AY44" s="165">
        <f t="shared" si="2"/>
        <v>45097.40625</v>
      </c>
      <c r="AZ44" s="137">
        <f t="shared" si="3"/>
        <v>9.90625</v>
      </c>
      <c r="BA44" s="165">
        <v>45087.5</v>
      </c>
      <c r="BB44" s="165">
        <v>45088.555555555555</v>
      </c>
      <c r="BC44" s="165">
        <v>45090.479166666664</v>
      </c>
      <c r="BD44" s="165">
        <v>45090.736111111109</v>
      </c>
      <c r="BE44" s="165">
        <v>45090.916666666664</v>
      </c>
      <c r="BF44" s="165">
        <v>45090.927083333336</v>
      </c>
      <c r="BG44" s="165">
        <v>45091.25</v>
      </c>
      <c r="BH44" s="165">
        <f t="shared" si="19"/>
        <v>45092.958333333336</v>
      </c>
      <c r="BI44" s="165">
        <v>45093.583333333336</v>
      </c>
      <c r="BJ44" s="165">
        <v>45093.75</v>
      </c>
      <c r="BK44" s="165">
        <v>45093.579861111109</v>
      </c>
      <c r="BL44" s="165">
        <v>45095.159722222219</v>
      </c>
      <c r="BM44" s="165">
        <v>45096.329861111109</v>
      </c>
      <c r="BN44" s="165">
        <v>45096.652777777781</v>
      </c>
      <c r="BO44" s="165">
        <v>45096.704861111109</v>
      </c>
      <c r="BP44" s="165">
        <v>45096.715277777781</v>
      </c>
      <c r="BQ44" s="165">
        <v>45097.40625</v>
      </c>
      <c r="BT44" s="136">
        <f t="shared" si="4"/>
        <v>46.166666666627862</v>
      </c>
      <c r="BU44" s="136">
        <f t="shared" si="5"/>
        <v>4.3333333333139308</v>
      </c>
      <c r="BV44" s="136">
        <f t="shared" si="6"/>
        <v>41.000000000058208</v>
      </c>
      <c r="BW44" s="136">
        <f t="shared" si="14"/>
        <v>33.833333333255723</v>
      </c>
      <c r="BX44" s="135">
        <f t="shared" si="7"/>
        <v>7.7500000001164153</v>
      </c>
      <c r="BY44" s="135">
        <f t="shared" si="8"/>
        <v>16.583333333255723</v>
      </c>
      <c r="BZ44" s="134">
        <f t="shared" si="9"/>
        <v>6.2361111111094942</v>
      </c>
      <c r="CA44" s="134">
        <f t="shared" si="10"/>
        <v>9.90625</v>
      </c>
      <c r="CB44" s="133">
        <f t="shared" si="11"/>
        <v>0.62951279355048517</v>
      </c>
    </row>
    <row r="45" spans="1:80" s="126" customFormat="1">
      <c r="A45" s="192">
        <f t="shared" si="15"/>
        <v>45091.104166666664</v>
      </c>
      <c r="B45" s="126" t="s">
        <v>228</v>
      </c>
      <c r="C45" s="126" t="s">
        <v>229</v>
      </c>
      <c r="D45" s="126" t="s">
        <v>215</v>
      </c>
      <c r="E45" s="65" t="s">
        <v>1809</v>
      </c>
      <c r="G45" s="165">
        <v>45095.041666666664</v>
      </c>
      <c r="H45" s="165">
        <v>45095.041666666664</v>
      </c>
      <c r="I45" s="126" t="s">
        <v>243</v>
      </c>
      <c r="J45" s="115" t="s">
        <v>192</v>
      </c>
      <c r="K45" s="115" t="s">
        <v>192</v>
      </c>
      <c r="L45" s="126" t="s">
        <v>1811</v>
      </c>
      <c r="M45" s="167"/>
      <c r="N45" s="126" t="s">
        <v>774</v>
      </c>
      <c r="O45" s="126" t="s">
        <v>423</v>
      </c>
      <c r="P45" s="126" t="s">
        <v>240</v>
      </c>
      <c r="Q45" s="181">
        <f>3156*2.4</f>
        <v>7574.4</v>
      </c>
      <c r="R45" s="181">
        <f>7600+100</f>
        <v>7700</v>
      </c>
      <c r="S45" s="181">
        <v>7582.4970000000003</v>
      </c>
      <c r="T45" s="181"/>
      <c r="Y45" s="181">
        <f>S45</f>
        <v>7582.4970000000003</v>
      </c>
      <c r="AX45" s="165">
        <f t="shared" si="1"/>
        <v>45087.590277777781</v>
      </c>
      <c r="AY45" s="165">
        <f t="shared" si="2"/>
        <v>45094.902777777781</v>
      </c>
      <c r="AZ45" s="137">
        <f t="shared" si="3"/>
        <v>7.3125</v>
      </c>
      <c r="BA45" s="165">
        <v>45087.590277777781</v>
      </c>
      <c r="BB45" s="165">
        <v>45088.576388888891</v>
      </c>
      <c r="BC45" s="165">
        <v>45090.489583333336</v>
      </c>
      <c r="BD45" s="165">
        <v>45091.104166666664</v>
      </c>
      <c r="BE45" s="165">
        <v>45091.240972222222</v>
      </c>
      <c r="BF45" s="165">
        <v>45091.246527777781</v>
      </c>
      <c r="BG45" s="165">
        <v>45091.246527777781</v>
      </c>
      <c r="BH45" s="165">
        <f t="shared" si="19"/>
        <v>45092.954861111117</v>
      </c>
      <c r="BI45" s="165">
        <v>45092.541666666664</v>
      </c>
      <c r="BJ45" s="165">
        <v>45092.708333333328</v>
      </c>
      <c r="BK45" s="165">
        <v>45092.715277777781</v>
      </c>
      <c r="BL45" s="165">
        <v>45094.1875</v>
      </c>
      <c r="BM45" s="165">
        <v>45094.663194444445</v>
      </c>
      <c r="BN45" s="165">
        <v>45094.902777777781</v>
      </c>
      <c r="BO45" s="165">
        <v>45094.902777777781</v>
      </c>
      <c r="BP45" s="165">
        <v>45094.902777777781</v>
      </c>
      <c r="BQ45" s="165">
        <v>45094.902777777781</v>
      </c>
      <c r="BR45" s="126" t="s">
        <v>788</v>
      </c>
      <c r="BT45" s="136">
        <f t="shared" si="4"/>
        <v>45.916666666686069</v>
      </c>
      <c r="BU45" s="136">
        <f t="shared" si="5"/>
        <v>3.28333333338378</v>
      </c>
      <c r="BV45" s="136">
        <f t="shared" si="6"/>
        <v>41.000000000058208</v>
      </c>
      <c r="BW45" s="136">
        <f t="shared" si="14"/>
        <v>35.500000000116415</v>
      </c>
      <c r="BX45" s="135">
        <f t="shared" si="7"/>
        <v>5.7500000000582077</v>
      </c>
      <c r="BY45" s="135">
        <f t="shared" si="8"/>
        <v>0</v>
      </c>
      <c r="BZ45" s="134">
        <f t="shared" si="9"/>
        <v>5.477083333345945</v>
      </c>
      <c r="CA45" s="134">
        <f t="shared" si="10"/>
        <v>7.3125</v>
      </c>
      <c r="CB45" s="133">
        <f t="shared" si="11"/>
        <v>0.7490028490045737</v>
      </c>
    </row>
    <row r="46" spans="1:80" s="126" customFormat="1">
      <c r="A46" s="192">
        <f t="shared" si="15"/>
        <v>45090.949305555558</v>
      </c>
      <c r="B46" s="126" t="s">
        <v>228</v>
      </c>
      <c r="C46" s="126" t="s">
        <v>229</v>
      </c>
      <c r="D46" s="126" t="s">
        <v>197</v>
      </c>
      <c r="E46" s="65" t="s">
        <v>1809</v>
      </c>
      <c r="G46" s="165">
        <v>45095.041666666664</v>
      </c>
      <c r="H46" s="165">
        <v>45095.041666666664</v>
      </c>
      <c r="I46" s="126" t="s">
        <v>243</v>
      </c>
      <c r="J46" s="115" t="s">
        <v>192</v>
      </c>
      <c r="K46" s="115" t="s">
        <v>192</v>
      </c>
      <c r="L46" s="126" t="s">
        <v>1812</v>
      </c>
      <c r="M46" s="167"/>
      <c r="N46" s="126" t="s">
        <v>201</v>
      </c>
      <c r="O46" s="126" t="s">
        <v>202</v>
      </c>
      <c r="P46" s="126" t="s">
        <v>240</v>
      </c>
      <c r="Q46" s="181">
        <f>3141*2.4</f>
        <v>7538.4</v>
      </c>
      <c r="R46" s="181">
        <f>7550+100</f>
        <v>7650</v>
      </c>
      <c r="S46" s="181">
        <v>7706.4260000000004</v>
      </c>
      <c r="T46" s="181"/>
      <c r="U46" s="219"/>
      <c r="Y46" s="181">
        <f>S46</f>
        <v>7706.4260000000004</v>
      </c>
      <c r="AX46" s="165">
        <f t="shared" si="1"/>
        <v>45087.9375</v>
      </c>
      <c r="AY46" s="165">
        <f t="shared" si="2"/>
        <v>45096.208333333336</v>
      </c>
      <c r="AZ46" s="137">
        <f t="shared" si="3"/>
        <v>8.2708333333357587</v>
      </c>
      <c r="BA46" s="165">
        <v>45087.9375</v>
      </c>
      <c r="BB46" s="165">
        <v>45088.570833333331</v>
      </c>
      <c r="BC46" s="165">
        <v>45090.482638888891</v>
      </c>
      <c r="BD46" s="165">
        <v>45090.949305555558</v>
      </c>
      <c r="BE46" s="165">
        <v>45091.083333333336</v>
      </c>
      <c r="BF46" s="165">
        <v>45091.086805555555</v>
      </c>
      <c r="BG46" s="165">
        <v>45091.086805555555</v>
      </c>
      <c r="BH46" s="165">
        <f t="shared" si="19"/>
        <v>45092.795138888891</v>
      </c>
      <c r="BI46" s="165">
        <v>45092.541666666664</v>
      </c>
      <c r="BJ46" s="165">
        <v>45092.708333333328</v>
      </c>
      <c r="BK46" s="165">
        <v>45092.586805555555</v>
      </c>
      <c r="BL46" s="165">
        <v>45094.319444444445</v>
      </c>
      <c r="BM46" s="165">
        <v>45094.979166666664</v>
      </c>
      <c r="BN46" s="165">
        <v>45095.166666666664</v>
      </c>
      <c r="BO46" s="165">
        <v>45095.201388888891</v>
      </c>
      <c r="BP46" s="165">
        <v>45095.746527777781</v>
      </c>
      <c r="BQ46" s="165">
        <v>45096.208333333336</v>
      </c>
      <c r="BT46" s="136">
        <f t="shared" si="4"/>
        <v>45.883333333418705</v>
      </c>
      <c r="BU46" s="136">
        <f t="shared" si="5"/>
        <v>3.2166666666744277</v>
      </c>
      <c r="BV46" s="136">
        <f t="shared" si="6"/>
        <v>41.000000000058208</v>
      </c>
      <c r="BW46" s="136">
        <f t="shared" si="14"/>
        <v>38.666666666802485</v>
      </c>
      <c r="BX46" s="135">
        <f t="shared" si="7"/>
        <v>4.5</v>
      </c>
      <c r="BY46" s="135">
        <f t="shared" si="8"/>
        <v>11.083333333313931</v>
      </c>
      <c r="BZ46" s="134">
        <f t="shared" si="9"/>
        <v>6.0145833333444898</v>
      </c>
      <c r="CA46" s="134">
        <f t="shared" si="10"/>
        <v>8.2708333333357587</v>
      </c>
      <c r="CB46" s="133">
        <f t="shared" si="11"/>
        <v>0.72720403022783586</v>
      </c>
    </row>
    <row r="47" spans="1:80" s="126" customFormat="1">
      <c r="A47" s="192">
        <f t="shared" si="15"/>
        <v>45091.313888888886</v>
      </c>
      <c r="B47" s="126" t="s">
        <v>228</v>
      </c>
      <c r="C47" s="126" t="s">
        <v>229</v>
      </c>
      <c r="D47" s="126" t="s">
        <v>197</v>
      </c>
      <c r="E47" s="65" t="s">
        <v>1809</v>
      </c>
      <c r="G47" s="165">
        <v>45095.041666666664</v>
      </c>
      <c r="H47" s="165">
        <v>45095.041666666664</v>
      </c>
      <c r="I47" s="126" t="s">
        <v>243</v>
      </c>
      <c r="J47" s="115" t="s">
        <v>192</v>
      </c>
      <c r="K47" s="115" t="s">
        <v>192</v>
      </c>
      <c r="L47" s="126" t="s">
        <v>1813</v>
      </c>
      <c r="M47" s="167"/>
      <c r="N47" s="126" t="s">
        <v>380</v>
      </c>
      <c r="O47" s="126" t="s">
        <v>381</v>
      </c>
      <c r="P47" s="126" t="s">
        <v>240</v>
      </c>
      <c r="Q47" s="181">
        <f>3271*2.4</f>
        <v>7850.4</v>
      </c>
      <c r="R47" s="181">
        <f>7900+100</f>
        <v>8000</v>
      </c>
      <c r="S47" s="181">
        <v>7800.9269999999997</v>
      </c>
      <c r="T47" s="181"/>
      <c r="Y47" s="181">
        <f>S47</f>
        <v>7800.9269999999997</v>
      </c>
      <c r="AX47" s="165">
        <f t="shared" si="1"/>
        <v>45087.75</v>
      </c>
      <c r="AY47" s="165">
        <f t="shared" si="2"/>
        <v>45096.199305555558</v>
      </c>
      <c r="AZ47" s="137">
        <f t="shared" si="3"/>
        <v>8.4493055555576575</v>
      </c>
      <c r="BA47" s="165">
        <v>45087.75</v>
      </c>
      <c r="BB47" s="165">
        <v>45088.579861111109</v>
      </c>
      <c r="BC47" s="165">
        <v>45090.583333333336</v>
      </c>
      <c r="BD47" s="165">
        <v>45091.313888888886</v>
      </c>
      <c r="BE47" s="165">
        <v>45091.510416666664</v>
      </c>
      <c r="BF47" s="165">
        <v>45091.517361111109</v>
      </c>
      <c r="BG47" s="165">
        <v>45091.517361111109</v>
      </c>
      <c r="BH47" s="165">
        <f t="shared" si="19"/>
        <v>45093.225694444445</v>
      </c>
      <c r="BI47" s="165">
        <v>45093.583333333336</v>
      </c>
      <c r="BJ47" s="165">
        <v>45093.75</v>
      </c>
      <c r="BK47" s="165">
        <v>45093.635416666664</v>
      </c>
      <c r="BL47" s="165">
        <v>45095.236111111109</v>
      </c>
      <c r="BM47" s="165">
        <v>45095.90625</v>
      </c>
      <c r="BN47" s="165">
        <v>45096.199305555558</v>
      </c>
      <c r="BO47" s="165">
        <v>45096.199305555558</v>
      </c>
      <c r="BP47" s="165">
        <v>45096.199305555558</v>
      </c>
      <c r="BQ47" s="165">
        <v>45096.199305555558</v>
      </c>
      <c r="BR47" s="126" t="s">
        <v>788</v>
      </c>
      <c r="BT47" s="136">
        <f t="shared" si="4"/>
        <v>48.083333333430346</v>
      </c>
      <c r="BU47" s="136">
        <f t="shared" si="5"/>
        <v>4.7166666666744277</v>
      </c>
      <c r="BV47" s="136">
        <f t="shared" si="6"/>
        <v>41.000000000058208</v>
      </c>
      <c r="BW47" s="136">
        <f t="shared" si="14"/>
        <v>35.666666666627862</v>
      </c>
      <c r="BX47" s="135">
        <f t="shared" si="7"/>
        <v>7.03333333338378</v>
      </c>
      <c r="BY47" s="135">
        <f t="shared" si="8"/>
        <v>0</v>
      </c>
      <c r="BZ47" s="134">
        <f t="shared" si="9"/>
        <v>5.687500000007276</v>
      </c>
      <c r="CA47" s="134">
        <f t="shared" si="10"/>
        <v>8.4493055555576575</v>
      </c>
      <c r="CB47" s="133">
        <f t="shared" si="11"/>
        <v>0.67313224295294161</v>
      </c>
    </row>
    <row r="48" spans="1:80" s="126" customFormat="1" ht="14.4" customHeight="1">
      <c r="A48" s="192">
        <f t="shared" si="15"/>
        <v>45091.538194444445</v>
      </c>
      <c r="B48" s="126" t="s">
        <v>228</v>
      </c>
      <c r="C48" s="126" t="s">
        <v>229</v>
      </c>
      <c r="D48" s="126" t="s">
        <v>197</v>
      </c>
      <c r="E48" s="65" t="s">
        <v>1809</v>
      </c>
      <c r="G48" s="165">
        <v>45095.041666666664</v>
      </c>
      <c r="H48" s="165">
        <v>45095.041666666664</v>
      </c>
      <c r="I48" s="126" t="s">
        <v>243</v>
      </c>
      <c r="J48" s="126" t="s">
        <v>192</v>
      </c>
      <c r="K48" s="126" t="s">
        <v>192</v>
      </c>
      <c r="L48" s="126" t="s">
        <v>1814</v>
      </c>
      <c r="M48" s="167"/>
      <c r="N48" s="126" t="s">
        <v>295</v>
      </c>
      <c r="O48" s="126" t="s">
        <v>296</v>
      </c>
      <c r="P48" s="126" t="s">
        <v>240</v>
      </c>
      <c r="Q48" s="181">
        <f>4118*2.4</f>
        <v>9883.1999999999989</v>
      </c>
      <c r="R48" s="181">
        <f>9900+100</f>
        <v>10000</v>
      </c>
      <c r="S48" s="181">
        <v>9900.3160000000007</v>
      </c>
      <c r="T48" s="181"/>
      <c r="Y48" s="181">
        <f>S48</f>
        <v>9900.3160000000007</v>
      </c>
      <c r="AX48" s="165">
        <f t="shared" si="1"/>
        <v>45088.237500000003</v>
      </c>
      <c r="AY48" s="165">
        <f t="shared" si="2"/>
        <v>45098.0625</v>
      </c>
      <c r="AZ48" s="137">
        <f t="shared" si="3"/>
        <v>9.8249999999970896</v>
      </c>
      <c r="BA48" s="165">
        <v>45088.237500000003</v>
      </c>
      <c r="BB48" s="165">
        <v>45088.814583333333</v>
      </c>
      <c r="BC48" s="165">
        <v>45090.708333333336</v>
      </c>
      <c r="BD48" s="165">
        <v>45091.538194444445</v>
      </c>
      <c r="BE48" s="165">
        <v>45091.720138888886</v>
      </c>
      <c r="BF48" s="165">
        <v>45091.725694444445</v>
      </c>
      <c r="BG48" s="165">
        <v>45091.725694444445</v>
      </c>
      <c r="BH48" s="165">
        <f t="shared" si="19"/>
        <v>45093.434027777781</v>
      </c>
      <c r="BI48" s="165">
        <v>45093.583333333336</v>
      </c>
      <c r="BJ48" s="165">
        <v>45093.75</v>
      </c>
      <c r="BK48" s="165">
        <v>45093.568055555559</v>
      </c>
      <c r="BL48" s="165">
        <v>45095.211805555555</v>
      </c>
      <c r="BM48" s="165">
        <v>45097.090277777781</v>
      </c>
      <c r="BN48" s="165">
        <v>45097.520833333336</v>
      </c>
      <c r="BO48" s="165">
        <v>45097.534722222219</v>
      </c>
      <c r="BP48" s="165">
        <v>45097.538194444445</v>
      </c>
      <c r="BQ48" s="165">
        <v>45098.0625</v>
      </c>
      <c r="BT48" s="136">
        <f t="shared" si="4"/>
        <v>45.450000000069849</v>
      </c>
      <c r="BU48" s="136">
        <f t="shared" si="5"/>
        <v>4.3666666665812954</v>
      </c>
      <c r="BV48" s="136">
        <f t="shared" si="6"/>
        <v>41.000000000058208</v>
      </c>
      <c r="BW48" s="136">
        <f t="shared" si="14"/>
        <v>35.083333333313931</v>
      </c>
      <c r="BX48" s="135">
        <f t="shared" si="7"/>
        <v>10.333333333313931</v>
      </c>
      <c r="BY48" s="135">
        <f t="shared" si="8"/>
        <v>12.583333333313931</v>
      </c>
      <c r="BZ48" s="134">
        <f t="shared" si="9"/>
        <v>6.2006944444437977</v>
      </c>
      <c r="CA48" s="134">
        <f t="shared" si="10"/>
        <v>9.8249999999970896</v>
      </c>
      <c r="CB48" s="133">
        <f t="shared" si="11"/>
        <v>0.63111393836596785</v>
      </c>
    </row>
    <row r="49" spans="1:80" s="126" customFormat="1">
      <c r="A49" s="192">
        <f t="shared" si="15"/>
        <v>45091.746527777781</v>
      </c>
      <c r="B49" s="126" t="s">
        <v>228</v>
      </c>
      <c r="C49" s="126" t="s">
        <v>229</v>
      </c>
      <c r="D49" s="126" t="s">
        <v>197</v>
      </c>
      <c r="E49" s="65" t="s">
        <v>1809</v>
      </c>
      <c r="G49" s="165">
        <v>45095.041666666664</v>
      </c>
      <c r="H49" s="165">
        <v>45095.041666666664</v>
      </c>
      <c r="I49" s="126" t="s">
        <v>243</v>
      </c>
      <c r="J49" s="126" t="s">
        <v>192</v>
      </c>
      <c r="K49" s="126" t="s">
        <v>192</v>
      </c>
      <c r="L49" s="126" t="s">
        <v>1815</v>
      </c>
      <c r="M49" s="167"/>
      <c r="N49" s="126" t="s">
        <v>238</v>
      </c>
      <c r="O49" s="126" t="s">
        <v>239</v>
      </c>
      <c r="P49" s="126" t="s">
        <v>240</v>
      </c>
      <c r="Q49" s="181">
        <f>3100*2.4</f>
        <v>7440</v>
      </c>
      <c r="R49" s="181">
        <f>7450+100</f>
        <v>7550</v>
      </c>
      <c r="S49" s="181">
        <v>7314.5219999999999</v>
      </c>
      <c r="T49" s="181"/>
      <c r="Y49" s="181">
        <f>S49</f>
        <v>7314.5219999999999</v>
      </c>
      <c r="AX49" s="165">
        <f t="shared" si="1"/>
        <v>45088.375</v>
      </c>
      <c r="AY49" s="165">
        <f t="shared" si="2"/>
        <v>45098.333333333336</v>
      </c>
      <c r="AZ49" s="137">
        <f t="shared" si="3"/>
        <v>9.9583333333357587</v>
      </c>
      <c r="BA49" s="165">
        <v>45088.375</v>
      </c>
      <c r="BB49" s="165">
        <v>45088.784722222219</v>
      </c>
      <c r="BC49" s="165">
        <v>45090.715277777781</v>
      </c>
      <c r="BD49" s="165">
        <v>45091.746527777781</v>
      </c>
      <c r="BE49" s="165">
        <v>45091.930555555555</v>
      </c>
      <c r="BF49" s="165">
        <v>45091.9375</v>
      </c>
      <c r="BG49" s="165">
        <v>45091.9375</v>
      </c>
      <c r="BH49" s="165">
        <f t="shared" si="19"/>
        <v>45093.645833333336</v>
      </c>
      <c r="BI49" s="165">
        <v>45094.229166666664</v>
      </c>
      <c r="BJ49" s="165">
        <v>45094.395833333328</v>
      </c>
      <c r="BK49" s="165">
        <v>45094.326388888891</v>
      </c>
      <c r="BL49" s="165">
        <v>45095.8125</v>
      </c>
      <c r="BM49" s="165">
        <v>45097.583333333336</v>
      </c>
      <c r="BN49" s="165">
        <v>45097.840277777781</v>
      </c>
      <c r="BO49" s="165">
        <v>45097.850694444445</v>
      </c>
      <c r="BP49" s="165">
        <v>45097.930555555555</v>
      </c>
      <c r="BQ49" s="165">
        <v>45098.333333333336</v>
      </c>
      <c r="BT49" s="136">
        <f t="shared" si="4"/>
        <v>46.333333333488554</v>
      </c>
      <c r="BU49" s="136">
        <f t="shared" si="5"/>
        <v>4.4166666665696539</v>
      </c>
      <c r="BV49" s="136">
        <f t="shared" si="6"/>
        <v>41.000000000058208</v>
      </c>
      <c r="BW49" s="136">
        <f t="shared" si="14"/>
        <v>34.000000000116415</v>
      </c>
      <c r="BX49" s="135">
        <f t="shared" si="7"/>
        <v>6.1666666666860692</v>
      </c>
      <c r="BY49" s="135">
        <f t="shared" si="8"/>
        <v>9.6666666667442769</v>
      </c>
      <c r="BZ49" s="134">
        <f t="shared" si="9"/>
        <v>5.899305555569299</v>
      </c>
      <c r="CA49" s="134">
        <f t="shared" si="10"/>
        <v>9.9583333333357587</v>
      </c>
      <c r="CB49" s="133">
        <f t="shared" si="11"/>
        <v>0.59239888424112419</v>
      </c>
    </row>
    <row r="50" spans="1:80" s="126" customFormat="1">
      <c r="A50" s="192">
        <f t="shared" si="15"/>
        <v>45091.954861111109</v>
      </c>
      <c r="B50" s="126" t="s">
        <v>228</v>
      </c>
      <c r="C50" s="126" t="s">
        <v>229</v>
      </c>
      <c r="D50" s="126" t="s">
        <v>197</v>
      </c>
      <c r="E50" s="65" t="s">
        <v>1809</v>
      </c>
      <c r="G50" s="165">
        <v>45095.041666666664</v>
      </c>
      <c r="H50" s="165">
        <v>45095.041666666664</v>
      </c>
      <c r="I50" s="126" t="s">
        <v>243</v>
      </c>
      <c r="J50" s="126" t="s">
        <v>192</v>
      </c>
      <c r="K50" s="126" t="s">
        <v>192</v>
      </c>
      <c r="L50" s="126" t="s">
        <v>1816</v>
      </c>
      <c r="M50" s="167"/>
      <c r="N50" s="126" t="s">
        <v>213</v>
      </c>
      <c r="O50" s="126" t="s">
        <v>214</v>
      </c>
      <c r="P50" s="126" t="s">
        <v>235</v>
      </c>
      <c r="Q50" s="181">
        <f>3113*2.4</f>
        <v>7471.2</v>
      </c>
      <c r="R50" s="181">
        <f>7500+100</f>
        <v>7600</v>
      </c>
      <c r="S50" s="181">
        <v>7561.9129999999996</v>
      </c>
      <c r="T50" s="181"/>
      <c r="X50" s="181">
        <f>S50</f>
        <v>7561.9129999999996</v>
      </c>
      <c r="AX50" s="165">
        <f t="shared" si="1"/>
        <v>45086.375</v>
      </c>
      <c r="AY50" s="165">
        <f t="shared" si="2"/>
        <v>45097.458333333336</v>
      </c>
      <c r="AZ50" s="137">
        <f t="shared" si="3"/>
        <v>11.083333333335759</v>
      </c>
      <c r="BA50" s="165">
        <v>45086.375</v>
      </c>
      <c r="BB50" s="165">
        <v>45089.527777777781</v>
      </c>
      <c r="BC50" s="165">
        <v>45091.392361111109</v>
      </c>
      <c r="BD50" s="165">
        <v>45091.954861111109</v>
      </c>
      <c r="BE50" s="165">
        <v>45092.097222222219</v>
      </c>
      <c r="BF50" s="165">
        <v>45092.107638888891</v>
      </c>
      <c r="BG50" s="165">
        <v>45092.107638888891</v>
      </c>
      <c r="BH50" s="165">
        <f t="shared" si="19"/>
        <v>45093.815972222226</v>
      </c>
      <c r="BI50" s="165">
        <v>45094.229166666664</v>
      </c>
      <c r="BJ50" s="165">
        <v>45094.395833333328</v>
      </c>
      <c r="BK50" s="165">
        <v>45094.375</v>
      </c>
      <c r="BL50" s="165">
        <v>45096.274305555555</v>
      </c>
      <c r="BM50" s="165">
        <v>45096.774305555555</v>
      </c>
      <c r="BN50" s="165">
        <v>45096.980555555558</v>
      </c>
      <c r="BO50" s="165">
        <v>45096.995138888888</v>
      </c>
      <c r="BP50" s="165">
        <v>45096.998611111114</v>
      </c>
      <c r="BQ50" s="165">
        <v>45097.458333333336</v>
      </c>
      <c r="BT50" s="136">
        <f t="shared" si="4"/>
        <v>44.749999999883585</v>
      </c>
      <c r="BU50" s="136">
        <f t="shared" si="5"/>
        <v>3.4166666666278616</v>
      </c>
      <c r="BV50" s="136">
        <f t="shared" si="6"/>
        <v>41.000000000058208</v>
      </c>
      <c r="BW50" s="136">
        <f t="shared" si="14"/>
        <v>45.083333333430346</v>
      </c>
      <c r="BX50" s="135">
        <f t="shared" si="7"/>
        <v>4.9500000000698492</v>
      </c>
      <c r="BY50" s="135">
        <f t="shared" si="8"/>
        <v>11.033333333325572</v>
      </c>
      <c r="BZ50" s="134">
        <f t="shared" si="9"/>
        <v>6.2597222222248092</v>
      </c>
      <c r="CA50" s="134">
        <f t="shared" si="10"/>
        <v>11.083333333335759</v>
      </c>
      <c r="CB50" s="133">
        <f t="shared" si="11"/>
        <v>0.56478696741865619</v>
      </c>
    </row>
    <row r="51" spans="1:80" s="126" customFormat="1">
      <c r="A51" s="192">
        <f t="shared" si="15"/>
        <v>45092.131944444445</v>
      </c>
      <c r="B51" s="126" t="s">
        <v>228</v>
      </c>
      <c r="C51" s="126" t="s">
        <v>229</v>
      </c>
      <c r="D51" s="126" t="s">
        <v>197</v>
      </c>
      <c r="E51" s="65" t="s">
        <v>1817</v>
      </c>
      <c r="G51" s="73">
        <v>45103.458333333336</v>
      </c>
      <c r="H51" s="73">
        <v>45103.425000000003</v>
      </c>
      <c r="I51" s="126" t="s">
        <v>434</v>
      </c>
      <c r="J51" s="126" t="s">
        <v>192</v>
      </c>
      <c r="K51" s="126" t="s">
        <v>192</v>
      </c>
      <c r="L51" s="126" t="s">
        <v>1818</v>
      </c>
      <c r="M51" s="167"/>
      <c r="N51" s="126" t="s">
        <v>406</v>
      </c>
      <c r="O51" s="126" t="s">
        <v>407</v>
      </c>
      <c r="P51" s="126" t="s">
        <v>240</v>
      </c>
      <c r="Q51" s="181">
        <f>3107*2.4</f>
        <v>7456.7999999999993</v>
      </c>
      <c r="R51" s="181">
        <f>7500+100</f>
        <v>7600</v>
      </c>
      <c r="S51" s="181">
        <v>7586.6049999999996</v>
      </c>
      <c r="T51" s="181"/>
      <c r="Y51" s="181">
        <f>S51</f>
        <v>7586.6049999999996</v>
      </c>
      <c r="AX51" s="165">
        <f t="shared" si="1"/>
        <v>45089.089583333334</v>
      </c>
      <c r="AY51" s="165">
        <f t="shared" si="2"/>
        <v>45110.642361111109</v>
      </c>
      <c r="AZ51" s="137">
        <f t="shared" si="3"/>
        <v>21.552777777775191</v>
      </c>
      <c r="BA51" s="165">
        <v>45089.089583333334</v>
      </c>
      <c r="BB51" s="165">
        <v>45089.840277777781</v>
      </c>
      <c r="BC51" s="165">
        <v>45091.381944444445</v>
      </c>
      <c r="BD51" s="165">
        <v>45092.131944444445</v>
      </c>
      <c r="BE51" s="165">
        <v>45092.270833333336</v>
      </c>
      <c r="BF51" s="165">
        <v>45092.274305555555</v>
      </c>
      <c r="BG51" s="165">
        <v>45092.274305555555</v>
      </c>
      <c r="BH51" s="165">
        <f t="shared" si="19"/>
        <v>45093.982638888891</v>
      </c>
      <c r="BI51" s="165">
        <v>45094.229166666664</v>
      </c>
      <c r="BJ51" s="165">
        <v>45094.395833333328</v>
      </c>
      <c r="BK51" s="165">
        <v>45094.315972222219</v>
      </c>
      <c r="BL51" s="165">
        <v>45098.465277777781</v>
      </c>
      <c r="BM51" s="165">
        <v>45106.65625</v>
      </c>
      <c r="BN51" s="165">
        <v>45107.819444444445</v>
      </c>
      <c r="BO51" s="165">
        <v>45107.829861111109</v>
      </c>
      <c r="BP51" s="165">
        <v>45107.84375</v>
      </c>
      <c r="BQ51" s="165">
        <v>45110.642361111109</v>
      </c>
      <c r="BT51" s="136">
        <f t="shared" si="4"/>
        <v>36.999999999941792</v>
      </c>
      <c r="BU51" s="136">
        <f t="shared" si="5"/>
        <v>3.3333333333721384</v>
      </c>
      <c r="BV51" s="136">
        <f t="shared" si="6"/>
        <v>41.000000000058208</v>
      </c>
      <c r="BW51" s="136">
        <f t="shared" si="14"/>
        <v>97.666666666860692</v>
      </c>
      <c r="BX51" s="135">
        <f t="shared" si="7"/>
        <v>27.916666666686069</v>
      </c>
      <c r="BY51" s="135">
        <f t="shared" si="8"/>
        <v>67.166666666627862</v>
      </c>
      <c r="BZ51" s="134">
        <f t="shared" si="9"/>
        <v>11.420138888897782</v>
      </c>
      <c r="CA51" s="134">
        <f t="shared" si="10"/>
        <v>21.552777777775191</v>
      </c>
      <c r="CB51" s="133">
        <f t="shared" si="11"/>
        <v>0.52986853976075454</v>
      </c>
    </row>
    <row r="52" spans="1:80" s="126" customFormat="1" ht="14.4" customHeight="1">
      <c r="A52" s="192">
        <f t="shared" si="15"/>
        <v>45092.326388888891</v>
      </c>
      <c r="B52" s="126" t="s">
        <v>228</v>
      </c>
      <c r="C52" s="126" t="s">
        <v>229</v>
      </c>
      <c r="D52" s="126" t="s">
        <v>197</v>
      </c>
      <c r="E52" s="65" t="s">
        <v>1817</v>
      </c>
      <c r="G52" s="73">
        <v>45103.458333333336</v>
      </c>
      <c r="H52" s="73">
        <v>45103.425000000003</v>
      </c>
      <c r="I52" s="126" t="s">
        <v>434</v>
      </c>
      <c r="J52" s="126" t="s">
        <v>192</v>
      </c>
      <c r="K52" s="126" t="s">
        <v>192</v>
      </c>
      <c r="L52" s="126" t="s">
        <v>1819</v>
      </c>
      <c r="M52" s="167"/>
      <c r="N52" s="126" t="s">
        <v>1512</v>
      </c>
      <c r="O52" s="126" t="s">
        <v>1513</v>
      </c>
      <c r="P52" s="126" t="s">
        <v>240</v>
      </c>
      <c r="Q52" s="181">
        <f>2998*2.4</f>
        <v>7195.2</v>
      </c>
      <c r="R52" s="181">
        <f>7200+100</f>
        <v>7300</v>
      </c>
      <c r="S52" s="181">
        <v>7290.72</v>
      </c>
      <c r="T52" s="181"/>
      <c r="Y52" s="181">
        <f>S52</f>
        <v>7290.72</v>
      </c>
      <c r="AX52" s="165">
        <f t="shared" si="1"/>
        <v>45089.21875</v>
      </c>
      <c r="AY52" s="165">
        <f t="shared" si="2"/>
        <v>45117.5</v>
      </c>
      <c r="AZ52" s="137">
        <f t="shared" si="3"/>
        <v>28.28125</v>
      </c>
      <c r="BA52" s="165">
        <v>45089.21875</v>
      </c>
      <c r="BB52" s="165">
        <v>45089.5625</v>
      </c>
      <c r="BC52" s="165">
        <v>45091.625</v>
      </c>
      <c r="BD52" s="165">
        <v>45092.326388888891</v>
      </c>
      <c r="BE52" s="165">
        <v>45092.46875</v>
      </c>
      <c r="BF52" s="165">
        <v>45092.475694444445</v>
      </c>
      <c r="BG52" s="165">
        <v>45092.475694444445</v>
      </c>
      <c r="BH52" s="165">
        <f t="shared" si="19"/>
        <v>45094.184027777781</v>
      </c>
      <c r="BI52" s="165">
        <v>45094.229166666664</v>
      </c>
      <c r="BJ52" s="165">
        <v>45094.395833333328</v>
      </c>
      <c r="BK52" s="165">
        <v>45094.357638888891</v>
      </c>
      <c r="BL52" s="165">
        <v>45099.277777777781</v>
      </c>
      <c r="BM52" s="165">
        <v>45111.614583333336</v>
      </c>
      <c r="BN52" s="165">
        <v>45113.854166666664</v>
      </c>
      <c r="BO52" s="165">
        <v>45113.90625</v>
      </c>
      <c r="BP52" s="165">
        <v>45114.4375</v>
      </c>
      <c r="BQ52" s="165">
        <v>45117.5</v>
      </c>
      <c r="BT52" s="136">
        <f t="shared" si="4"/>
        <v>49.5</v>
      </c>
      <c r="BU52" s="136">
        <f t="shared" si="5"/>
        <v>3.4166666666278616</v>
      </c>
      <c r="BV52" s="136">
        <f t="shared" si="6"/>
        <v>41.000000000058208</v>
      </c>
      <c r="BW52" s="136">
        <f t="shared" si="14"/>
        <v>117.16666666686069</v>
      </c>
      <c r="BX52" s="135">
        <f t="shared" si="7"/>
        <v>53.749999999883585</v>
      </c>
      <c r="BY52" s="135">
        <f t="shared" si="8"/>
        <v>73.5</v>
      </c>
      <c r="BZ52" s="134">
        <f t="shared" si="9"/>
        <v>14.097222222226264</v>
      </c>
      <c r="CA52" s="134">
        <f t="shared" si="10"/>
        <v>28.28125</v>
      </c>
      <c r="CB52" s="133">
        <f t="shared" si="11"/>
        <v>0.4984653161450171</v>
      </c>
    </row>
    <row r="53" spans="1:80" s="126" customFormat="1">
      <c r="A53" s="192">
        <f t="shared" si="15"/>
        <v>45092.496527777781</v>
      </c>
      <c r="B53" s="126" t="s">
        <v>228</v>
      </c>
      <c r="C53" s="126" t="s">
        <v>229</v>
      </c>
      <c r="D53" s="126" t="s">
        <v>197</v>
      </c>
      <c r="E53" s="65" t="s">
        <v>1817</v>
      </c>
      <c r="G53" s="73">
        <v>45103.458333333336</v>
      </c>
      <c r="H53" s="73">
        <v>45103.425000000003</v>
      </c>
      <c r="I53" s="126" t="s">
        <v>434</v>
      </c>
      <c r="J53" s="126" t="s">
        <v>192</v>
      </c>
      <c r="K53" s="126" t="s">
        <v>192</v>
      </c>
      <c r="L53" s="126" t="s">
        <v>1820</v>
      </c>
      <c r="M53" s="167"/>
      <c r="N53" s="126" t="s">
        <v>1313</v>
      </c>
      <c r="O53" s="126" t="s">
        <v>438</v>
      </c>
      <c r="P53" s="126" t="s">
        <v>240</v>
      </c>
      <c r="Q53" s="181">
        <f>3136*2.4</f>
        <v>7526.4</v>
      </c>
      <c r="R53" s="181">
        <f>7550+100</f>
        <v>7650</v>
      </c>
      <c r="S53" s="181">
        <v>7649.924</v>
      </c>
      <c r="T53" s="181"/>
      <c r="Y53" s="181">
        <f>S53</f>
        <v>7649.924</v>
      </c>
      <c r="AX53" s="165">
        <f t="shared" si="1"/>
        <v>45088.458333333336</v>
      </c>
      <c r="AY53" s="165">
        <f t="shared" si="2"/>
        <v>45113.166666666664</v>
      </c>
      <c r="AZ53" s="137">
        <f t="shared" si="3"/>
        <v>24.708333333328483</v>
      </c>
      <c r="BA53" s="165">
        <v>45088.458333333336</v>
      </c>
      <c r="BB53" s="165">
        <v>45089.555555555555</v>
      </c>
      <c r="BC53" s="165">
        <v>45091.666666666664</v>
      </c>
      <c r="BD53" s="165">
        <v>45092.496527777781</v>
      </c>
      <c r="BE53" s="165">
        <v>45092.635416666664</v>
      </c>
      <c r="BF53" s="165">
        <v>45092.638888888891</v>
      </c>
      <c r="BG53" s="165">
        <v>45092.638888888891</v>
      </c>
      <c r="BH53" s="165">
        <f t="shared" si="19"/>
        <v>45094.347222222226</v>
      </c>
      <c r="BI53" s="165">
        <v>45094.229166666664</v>
      </c>
      <c r="BJ53" s="165">
        <v>45094.395833333328</v>
      </c>
      <c r="BK53" s="165">
        <v>45094.322916666664</v>
      </c>
      <c r="BL53" s="165">
        <v>45098.708333333336</v>
      </c>
      <c r="BM53" s="165">
        <v>45109.083333333336</v>
      </c>
      <c r="BN53" s="165">
        <v>45110.364583333336</v>
      </c>
      <c r="BO53" s="165">
        <v>45110.375</v>
      </c>
      <c r="BP53" s="165">
        <v>45110.666666666664</v>
      </c>
      <c r="BQ53" s="165">
        <v>45113.166666666664</v>
      </c>
      <c r="BT53" s="136">
        <f t="shared" si="4"/>
        <v>50.666666666627862</v>
      </c>
      <c r="BU53" s="136">
        <f t="shared" si="5"/>
        <v>3.3333333331975155</v>
      </c>
      <c r="BV53" s="136">
        <f t="shared" si="6"/>
        <v>41.000000000058208</v>
      </c>
      <c r="BW53" s="136">
        <f t="shared" si="14"/>
        <v>103.50000000017462</v>
      </c>
      <c r="BX53" s="135">
        <f t="shared" si="7"/>
        <v>30.75</v>
      </c>
      <c r="BY53" s="135">
        <f t="shared" si="8"/>
        <v>60</v>
      </c>
      <c r="BZ53" s="134">
        <f t="shared" si="9"/>
        <v>12.052083333335759</v>
      </c>
      <c r="CA53" s="134">
        <f t="shared" si="10"/>
        <v>24.708333333328483</v>
      </c>
      <c r="CB53" s="133">
        <f t="shared" si="11"/>
        <v>0.48777403035432543</v>
      </c>
    </row>
    <row r="54" spans="1:80" s="126" customFormat="1">
      <c r="A54" s="192">
        <f t="shared" si="15"/>
        <v>45093.40625</v>
      </c>
      <c r="B54" s="126" t="s">
        <v>228</v>
      </c>
      <c r="C54" s="126" t="s">
        <v>229</v>
      </c>
      <c r="D54" s="126" t="s">
        <v>215</v>
      </c>
      <c r="E54" s="65" t="s">
        <v>1801</v>
      </c>
      <c r="G54" s="73">
        <v>45095.3125</v>
      </c>
      <c r="H54" s="73">
        <v>45095.275000000001</v>
      </c>
      <c r="I54" s="126" t="s">
        <v>231</v>
      </c>
      <c r="J54" s="115" t="s">
        <v>192</v>
      </c>
      <c r="K54" s="115" t="s">
        <v>192</v>
      </c>
      <c r="L54" s="126" t="s">
        <v>1821</v>
      </c>
      <c r="M54" s="167"/>
      <c r="N54" s="126" t="s">
        <v>252</v>
      </c>
      <c r="O54" s="126" t="s">
        <v>253</v>
      </c>
      <c r="P54" s="126" t="s">
        <v>235</v>
      </c>
      <c r="Q54" s="181">
        <f>3107*2.4</f>
        <v>7456.7999999999993</v>
      </c>
      <c r="R54" s="181">
        <f>7500+100</f>
        <v>7600</v>
      </c>
      <c r="S54" s="181">
        <v>7451.2330000000002</v>
      </c>
      <c r="T54" s="181"/>
      <c r="X54" s="181">
        <f t="shared" ref="X54:X62" si="21">S54</f>
        <v>7451.2330000000002</v>
      </c>
      <c r="AX54" s="165">
        <f t="shared" si="1"/>
        <v>45090.179166666669</v>
      </c>
      <c r="AY54" s="165">
        <f t="shared" si="2"/>
        <v>45098.520833333336</v>
      </c>
      <c r="AZ54" s="137">
        <f t="shared" si="3"/>
        <v>8.3416666666671517</v>
      </c>
      <c r="BA54" s="165">
        <v>45090.179166666669</v>
      </c>
      <c r="BB54" s="165">
        <v>45090.78125</v>
      </c>
      <c r="BC54" s="165">
        <v>45092.541666666664</v>
      </c>
      <c r="BD54" s="165">
        <v>45093.40625</v>
      </c>
      <c r="BE54" s="165">
        <v>45093.569444444445</v>
      </c>
      <c r="BF54" s="165">
        <v>45093.572916666664</v>
      </c>
      <c r="BG54" s="165">
        <v>45093.572916666664</v>
      </c>
      <c r="BH54" s="165">
        <f t="shared" si="19"/>
        <v>45095.28125</v>
      </c>
      <c r="BI54" s="165">
        <v>45095.229166608799</v>
      </c>
      <c r="BJ54" s="165">
        <v>45095.395833275463</v>
      </c>
      <c r="BK54" s="165">
        <v>45095.270833333336</v>
      </c>
      <c r="BL54" s="165">
        <v>45096.708333333336</v>
      </c>
      <c r="BM54" s="165">
        <v>45097.833333333336</v>
      </c>
      <c r="BN54" s="165">
        <v>45098.152777777781</v>
      </c>
      <c r="BO54" s="165">
        <v>45098.159722222219</v>
      </c>
      <c r="BP54" s="165">
        <v>45098.159722222219</v>
      </c>
      <c r="BQ54" s="165">
        <v>45098.520833333336</v>
      </c>
      <c r="BT54" s="136">
        <f t="shared" si="4"/>
        <v>42.249999999941792</v>
      </c>
      <c r="BU54" s="136">
        <f t="shared" si="5"/>
        <v>3.9166666666860692</v>
      </c>
      <c r="BV54" s="136">
        <f t="shared" si="6"/>
        <v>41.000000000058208</v>
      </c>
      <c r="BW54" s="136">
        <f t="shared" si="14"/>
        <v>31.500001388951205</v>
      </c>
      <c r="BX54" s="135">
        <f t="shared" si="7"/>
        <v>7.6666666666860692</v>
      </c>
      <c r="BY54" s="135">
        <f t="shared" si="8"/>
        <v>8.6666666668024845</v>
      </c>
      <c r="BZ54" s="134">
        <f t="shared" si="9"/>
        <v>5.6250000578802428</v>
      </c>
      <c r="CA54" s="134">
        <f t="shared" si="10"/>
        <v>8.3416666666671517</v>
      </c>
      <c r="CB54" s="133">
        <f t="shared" si="11"/>
        <v>0.67432568126432557</v>
      </c>
    </row>
    <row r="55" spans="1:80" s="126" customFormat="1" ht="14.4" customHeight="1">
      <c r="A55" s="192">
        <f t="shared" si="15"/>
        <v>45093.904861111114</v>
      </c>
      <c r="B55" s="126" t="s">
        <v>228</v>
      </c>
      <c r="C55" s="126" t="s">
        <v>229</v>
      </c>
      <c r="D55" s="126" t="s">
        <v>197</v>
      </c>
      <c r="E55" s="65" t="s">
        <v>1801</v>
      </c>
      <c r="G55" s="73">
        <v>45095.3125</v>
      </c>
      <c r="H55" s="73">
        <v>45095.275000000001</v>
      </c>
      <c r="I55" s="126" t="s">
        <v>231</v>
      </c>
      <c r="J55" s="115" t="s">
        <v>192</v>
      </c>
      <c r="K55" s="115" t="s">
        <v>192</v>
      </c>
      <c r="L55" s="126" t="s">
        <v>1822</v>
      </c>
      <c r="M55" s="167"/>
      <c r="N55" s="126" t="s">
        <v>334</v>
      </c>
      <c r="O55" s="126" t="s">
        <v>335</v>
      </c>
      <c r="P55" s="126" t="s">
        <v>235</v>
      </c>
      <c r="Q55" s="181">
        <f>3242 *2.4</f>
        <v>7780.7999999999993</v>
      </c>
      <c r="R55" s="181">
        <f>7800+100</f>
        <v>7900</v>
      </c>
      <c r="S55" s="181">
        <v>7876.6360000000004</v>
      </c>
      <c r="T55" s="181"/>
      <c r="X55" s="181">
        <f t="shared" si="21"/>
        <v>7876.6360000000004</v>
      </c>
      <c r="AX55" s="165">
        <f t="shared" si="1"/>
        <v>45089.1875</v>
      </c>
      <c r="AY55" s="165">
        <f t="shared" si="2"/>
        <v>45099.0625</v>
      </c>
      <c r="AZ55" s="137">
        <f t="shared" si="3"/>
        <v>9.875</v>
      </c>
      <c r="BA55" s="165">
        <v>45089.1875</v>
      </c>
      <c r="BB55" s="165">
        <v>45090.791666666664</v>
      </c>
      <c r="BC55" s="165">
        <v>45093.072916666664</v>
      </c>
      <c r="BD55" s="165">
        <v>45093.904861111114</v>
      </c>
      <c r="BE55" s="165">
        <v>45094.038194444445</v>
      </c>
      <c r="BF55" s="165">
        <v>45094.045138888891</v>
      </c>
      <c r="BG55" s="165">
        <v>45094.25</v>
      </c>
      <c r="BH55" s="165">
        <f t="shared" si="19"/>
        <v>45095.958333333336</v>
      </c>
      <c r="BI55" s="165">
        <v>45096.25</v>
      </c>
      <c r="BJ55" s="165">
        <v>45096.416666666664</v>
      </c>
      <c r="BK55" s="165">
        <v>45096.309027777781</v>
      </c>
      <c r="BL55" s="165">
        <v>45097.625</v>
      </c>
      <c r="BM55" s="165">
        <v>45098.222222222219</v>
      </c>
      <c r="BN55" s="165">
        <v>45098.618055555555</v>
      </c>
      <c r="BO55" s="165">
        <v>45098.631944444445</v>
      </c>
      <c r="BP55" s="165">
        <v>45098.631944444445</v>
      </c>
      <c r="BQ55" s="165">
        <v>45099.0625</v>
      </c>
      <c r="BR55" s="126" t="s">
        <v>1823</v>
      </c>
      <c r="BT55" s="136">
        <f t="shared" si="4"/>
        <v>54.75</v>
      </c>
      <c r="BU55" s="136">
        <f t="shared" si="5"/>
        <v>3.1999999999534339</v>
      </c>
      <c r="BV55" s="136">
        <f t="shared" si="6"/>
        <v>41.000000000058208</v>
      </c>
      <c r="BW55" s="136">
        <f t="shared" si="14"/>
        <v>29.000000000058208</v>
      </c>
      <c r="BX55" s="135">
        <f t="shared" si="7"/>
        <v>9.5000000000582077</v>
      </c>
      <c r="BY55" s="135">
        <f t="shared" si="8"/>
        <v>10.333333333313931</v>
      </c>
      <c r="BZ55" s="134">
        <f t="shared" si="9"/>
        <v>6.1576388888934162</v>
      </c>
      <c r="CA55" s="134">
        <f t="shared" si="10"/>
        <v>9.875</v>
      </c>
      <c r="CB55" s="133">
        <f t="shared" si="11"/>
        <v>0.62355836849553581</v>
      </c>
    </row>
    <row r="56" spans="1:80" s="126" customFormat="1">
      <c r="A56" s="192">
        <f t="shared" si="15"/>
        <v>45094.256249999999</v>
      </c>
      <c r="B56" s="126" t="s">
        <v>228</v>
      </c>
      <c r="C56" s="126" t="s">
        <v>229</v>
      </c>
      <c r="D56" s="126" t="s">
        <v>197</v>
      </c>
      <c r="E56" s="65" t="s">
        <v>1801</v>
      </c>
      <c r="G56" s="73">
        <v>45095.3125</v>
      </c>
      <c r="H56" s="73">
        <v>45095.275000000001</v>
      </c>
      <c r="I56" s="126" t="s">
        <v>231</v>
      </c>
      <c r="J56" s="115" t="s">
        <v>192</v>
      </c>
      <c r="K56" s="115" t="s">
        <v>192</v>
      </c>
      <c r="L56" s="126" t="s">
        <v>1824</v>
      </c>
      <c r="M56" s="167"/>
      <c r="N56" s="126" t="s">
        <v>367</v>
      </c>
      <c r="O56" s="126" t="s">
        <v>368</v>
      </c>
      <c r="P56" s="126" t="s">
        <v>235</v>
      </c>
      <c r="Q56" s="181">
        <f>4111*2.4</f>
        <v>9866.4</v>
      </c>
      <c r="R56" s="181">
        <f>9900+100</f>
        <v>10000</v>
      </c>
      <c r="S56" s="181">
        <v>9987.777</v>
      </c>
      <c r="T56" s="181"/>
      <c r="X56" s="181">
        <f t="shared" si="21"/>
        <v>9987.777</v>
      </c>
      <c r="AX56" s="165">
        <f t="shared" si="1"/>
        <v>45091.097222222219</v>
      </c>
      <c r="AY56" s="165">
        <f t="shared" si="2"/>
        <v>45099.371527777781</v>
      </c>
      <c r="AZ56" s="137">
        <f t="shared" si="3"/>
        <v>8.2743055555620231</v>
      </c>
      <c r="BA56" s="165">
        <v>45091.097222222219</v>
      </c>
      <c r="BB56" s="165">
        <v>45091.850694444445</v>
      </c>
      <c r="BC56" s="165">
        <v>45093.645833333336</v>
      </c>
      <c r="BD56" s="165">
        <v>45094.256249999999</v>
      </c>
      <c r="BE56" s="165">
        <v>45094.549305555556</v>
      </c>
      <c r="BF56" s="165">
        <v>45094.559027777781</v>
      </c>
      <c r="BG56" s="165">
        <v>45094.559027777781</v>
      </c>
      <c r="BH56" s="165">
        <f t="shared" si="19"/>
        <v>45096.267361111117</v>
      </c>
      <c r="BI56" s="165">
        <v>45096.25</v>
      </c>
      <c r="BJ56" s="165">
        <v>45096.416666666664</v>
      </c>
      <c r="BK56" s="165">
        <v>45096.309027777781</v>
      </c>
      <c r="BL56" s="165">
        <v>45097.638888888891</v>
      </c>
      <c r="BM56" s="165">
        <v>45098.701388888891</v>
      </c>
      <c r="BN56" s="165">
        <v>45099.125</v>
      </c>
      <c r="BO56" s="165">
        <v>45099.152777777781</v>
      </c>
      <c r="BP56" s="165">
        <v>45099.152777777781</v>
      </c>
      <c r="BQ56" s="165">
        <v>45099.371527777781</v>
      </c>
      <c r="BT56" s="136">
        <f t="shared" si="4"/>
        <v>43.083333333372138</v>
      </c>
      <c r="BU56" s="136">
        <f t="shared" si="5"/>
        <v>7.03333333338378</v>
      </c>
      <c r="BV56" s="136">
        <f t="shared" si="6"/>
        <v>41.000000000058208</v>
      </c>
      <c r="BW56" s="136">
        <f t="shared" si="14"/>
        <v>29.333333333430346</v>
      </c>
      <c r="BX56" s="135">
        <f t="shared" si="7"/>
        <v>10.166666666627862</v>
      </c>
      <c r="BY56" s="135">
        <f t="shared" si="8"/>
        <v>5.25</v>
      </c>
      <c r="BZ56" s="134">
        <f t="shared" si="9"/>
        <v>5.6611111111196806</v>
      </c>
      <c r="CA56" s="134">
        <f t="shared" si="10"/>
        <v>8.2743055555620231</v>
      </c>
      <c r="CB56" s="133">
        <f t="shared" si="11"/>
        <v>0.68417960553973711</v>
      </c>
    </row>
    <row r="57" spans="1:80" s="126" customFormat="1">
      <c r="A57" s="192">
        <f t="shared" si="15"/>
        <v>45094.069444444445</v>
      </c>
      <c r="B57" s="126" t="s">
        <v>228</v>
      </c>
      <c r="C57" s="126" t="s">
        <v>229</v>
      </c>
      <c r="D57" s="126" t="s">
        <v>197</v>
      </c>
      <c r="E57" s="65" t="s">
        <v>1801</v>
      </c>
      <c r="G57" s="73">
        <v>45095.3125</v>
      </c>
      <c r="H57" s="73">
        <v>45095.275000000001</v>
      </c>
      <c r="I57" s="126" t="s">
        <v>231</v>
      </c>
      <c r="J57" s="115" t="s">
        <v>192</v>
      </c>
      <c r="K57" s="115" t="s">
        <v>192</v>
      </c>
      <c r="L57" s="126" t="s">
        <v>1825</v>
      </c>
      <c r="M57" s="167"/>
      <c r="N57" s="126" t="s">
        <v>361</v>
      </c>
      <c r="O57" s="126" t="s">
        <v>362</v>
      </c>
      <c r="P57" s="126" t="s">
        <v>235</v>
      </c>
      <c r="Q57" s="181">
        <f>3039*2.4</f>
        <v>7293.5999999999995</v>
      </c>
      <c r="R57" s="181">
        <f>7300+100</f>
        <v>7400</v>
      </c>
      <c r="S57" s="181">
        <v>7366.5129999999999</v>
      </c>
      <c r="T57" s="181"/>
      <c r="X57" s="181">
        <f t="shared" si="21"/>
        <v>7366.5129999999999</v>
      </c>
      <c r="AX57" s="165">
        <f t="shared" si="1"/>
        <v>45090.875</v>
      </c>
      <c r="AY57" s="165">
        <f t="shared" si="2"/>
        <v>45099.916666666664</v>
      </c>
      <c r="AZ57" s="137">
        <f t="shared" si="3"/>
        <v>9.0416666666642413</v>
      </c>
      <c r="BA57" s="165">
        <v>45090.875</v>
      </c>
      <c r="BB57" s="165">
        <v>45091.857638888891</v>
      </c>
      <c r="BC57" s="165">
        <v>45093.541666666664</v>
      </c>
      <c r="BD57" s="165">
        <v>45094.069444444445</v>
      </c>
      <c r="BE57" s="165">
        <v>45094.21875</v>
      </c>
      <c r="BF57" s="165">
        <v>45094.225694444445</v>
      </c>
      <c r="BG57" s="165">
        <v>45094.270833333336</v>
      </c>
      <c r="BH57" s="165">
        <f t="shared" si="19"/>
        <v>45095.979166666672</v>
      </c>
      <c r="BI57" s="165">
        <v>45096.25</v>
      </c>
      <c r="BJ57" s="165">
        <v>45096.416666666664</v>
      </c>
      <c r="BK57" s="165">
        <v>45096.305555555555</v>
      </c>
      <c r="BL57" s="165">
        <v>45097.416666666664</v>
      </c>
      <c r="BM57" s="165">
        <v>45099.173611111109</v>
      </c>
      <c r="BN57" s="165">
        <v>45099.340277777781</v>
      </c>
      <c r="BO57" s="165">
        <v>45099.368055555555</v>
      </c>
      <c r="BP57" s="165">
        <v>45099.739583333336</v>
      </c>
      <c r="BQ57" s="165">
        <v>45099.916666666664</v>
      </c>
      <c r="BT57" s="136">
        <f t="shared" si="4"/>
        <v>40.416666666569654</v>
      </c>
      <c r="BU57" s="136">
        <f t="shared" si="5"/>
        <v>3.5833333333139308</v>
      </c>
      <c r="BV57" s="136">
        <f t="shared" si="6"/>
        <v>41.000000000058208</v>
      </c>
      <c r="BW57" s="136">
        <f t="shared" si="14"/>
        <v>24</v>
      </c>
      <c r="BX57" s="135">
        <f t="shared" si="7"/>
        <v>4.0000000001164153</v>
      </c>
      <c r="BY57" s="135">
        <f t="shared" si="8"/>
        <v>4.2499999998835847</v>
      </c>
      <c r="BZ57" s="134">
        <f t="shared" si="9"/>
        <v>4.8854166666642413</v>
      </c>
      <c r="CA57" s="134">
        <f t="shared" si="10"/>
        <v>9.0416666666642413</v>
      </c>
      <c r="CB57" s="133">
        <f t="shared" si="11"/>
        <v>0.54032258064503802</v>
      </c>
    </row>
    <row r="58" spans="1:80" s="126" customFormat="1">
      <c r="A58" s="192">
        <f t="shared" si="15"/>
        <v>45094.954861111109</v>
      </c>
      <c r="B58" s="126" t="s">
        <v>228</v>
      </c>
      <c r="C58" s="126" t="s">
        <v>229</v>
      </c>
      <c r="D58" s="126" t="s">
        <v>197</v>
      </c>
      <c r="E58" s="65" t="s">
        <v>1801</v>
      </c>
      <c r="G58" s="73">
        <v>45095.3125</v>
      </c>
      <c r="H58" s="73">
        <v>45095.275000000001</v>
      </c>
      <c r="I58" s="126" t="s">
        <v>231</v>
      </c>
      <c r="J58" s="115" t="s">
        <v>192</v>
      </c>
      <c r="K58" s="115" t="s">
        <v>192</v>
      </c>
      <c r="L58" s="126" t="s">
        <v>1826</v>
      </c>
      <c r="M58" s="167"/>
      <c r="N58" s="126" t="s">
        <v>233</v>
      </c>
      <c r="O58" s="126" t="s">
        <v>234</v>
      </c>
      <c r="P58" s="126" t="s">
        <v>235</v>
      </c>
      <c r="Q58" s="181">
        <f>3215*2.4</f>
        <v>7716</v>
      </c>
      <c r="R58" s="181">
        <f>7750+100</f>
        <v>7850</v>
      </c>
      <c r="S58" s="181">
        <f>7618.846-870.865</f>
        <v>6747.9809999999998</v>
      </c>
      <c r="T58" s="181"/>
      <c r="X58" s="181">
        <f t="shared" si="21"/>
        <v>6747.9809999999998</v>
      </c>
      <c r="AX58" s="165">
        <f t="shared" si="1"/>
        <v>45090.666666666664</v>
      </c>
      <c r="AY58" s="165">
        <f t="shared" si="2"/>
        <v>45099.611111111109</v>
      </c>
      <c r="AZ58" s="137">
        <f t="shared" si="3"/>
        <v>8.9444444444452529</v>
      </c>
      <c r="BA58" s="165">
        <v>45090.666666666664</v>
      </c>
      <c r="BB58" s="165">
        <v>45092.822916666664</v>
      </c>
      <c r="BC58" s="165">
        <v>45094.940972222219</v>
      </c>
      <c r="BD58" s="165">
        <v>45094.954861111109</v>
      </c>
      <c r="BE58" s="165">
        <v>45095.239583333336</v>
      </c>
      <c r="BF58" s="165">
        <v>45095.25</v>
      </c>
      <c r="BG58" s="165">
        <v>45095.25</v>
      </c>
      <c r="BH58" s="165">
        <f t="shared" si="19"/>
        <v>45096.958333333336</v>
      </c>
      <c r="BI58" s="165">
        <v>45097.25</v>
      </c>
      <c r="BJ58" s="165">
        <v>45097.416666666664</v>
      </c>
      <c r="BK58" s="165">
        <v>45097.315972222219</v>
      </c>
      <c r="BL58" s="165">
        <v>45098.416666666664</v>
      </c>
      <c r="BM58" s="165">
        <v>45099.395833333336</v>
      </c>
      <c r="BN58" s="165">
        <v>45099.5625</v>
      </c>
      <c r="BO58" s="165">
        <v>45099.611111111109</v>
      </c>
      <c r="BP58" s="165">
        <v>45099.611111111109</v>
      </c>
      <c r="BQ58" s="165">
        <v>45099.611111111109</v>
      </c>
      <c r="BT58" s="136">
        <f t="shared" si="4"/>
        <v>50.833333333313931</v>
      </c>
      <c r="BU58" s="136">
        <f t="shared" si="5"/>
        <v>6.8333333334303461</v>
      </c>
      <c r="BV58" s="136">
        <f t="shared" si="6"/>
        <v>41.000000000058208</v>
      </c>
      <c r="BW58" s="136">
        <f t="shared" si="14"/>
        <v>24</v>
      </c>
      <c r="BX58" s="135">
        <f t="shared" si="7"/>
        <v>3.9999999999417923</v>
      </c>
      <c r="BY58" s="135">
        <f t="shared" si="8"/>
        <v>0</v>
      </c>
      <c r="BZ58" s="134">
        <f t="shared" si="9"/>
        <v>5.2777777777810115</v>
      </c>
      <c r="CA58" s="134">
        <f t="shared" si="10"/>
        <v>8.9444444444452529</v>
      </c>
      <c r="CB58" s="133">
        <f t="shared" si="11"/>
        <v>0.59006211180155044</v>
      </c>
    </row>
    <row r="59" spans="1:80" s="126" customFormat="1">
      <c r="A59" s="192">
        <f t="shared" si="15"/>
        <v>45094.954861111109</v>
      </c>
      <c r="B59" s="126" t="s">
        <v>228</v>
      </c>
      <c r="C59" s="126" t="s">
        <v>229</v>
      </c>
      <c r="D59" s="126" t="s">
        <v>197</v>
      </c>
      <c r="E59" s="65" t="s">
        <v>1827</v>
      </c>
      <c r="G59" s="73">
        <v>45097.333333333336</v>
      </c>
      <c r="H59" s="73">
        <v>45097.324999999997</v>
      </c>
      <c r="I59" s="126" t="s">
        <v>231</v>
      </c>
      <c r="J59" s="126" t="s">
        <v>192</v>
      </c>
      <c r="K59" s="126" t="s">
        <v>192</v>
      </c>
      <c r="L59" s="126" t="s">
        <v>1826</v>
      </c>
      <c r="M59" s="167"/>
      <c r="N59" s="126" t="s">
        <v>233</v>
      </c>
      <c r="O59" s="126" t="s">
        <v>234</v>
      </c>
      <c r="P59" s="126" t="s">
        <v>235</v>
      </c>
      <c r="Q59" s="181">
        <f>3215*2.4</f>
        <v>7716</v>
      </c>
      <c r="R59" s="181">
        <f>7750+100</f>
        <v>7850</v>
      </c>
      <c r="S59" s="181">
        <v>1552.0650000000001</v>
      </c>
      <c r="T59" s="181"/>
      <c r="X59" s="181">
        <f t="shared" si="21"/>
        <v>1552.0650000000001</v>
      </c>
      <c r="AX59" s="165">
        <f t="shared" si="1"/>
        <v>45090.666666666664</v>
      </c>
      <c r="AY59" s="165">
        <f t="shared" si="2"/>
        <v>45102.5625</v>
      </c>
      <c r="AZ59" s="137">
        <f t="shared" si="3"/>
        <v>11.895833333335759</v>
      </c>
      <c r="BA59" s="165">
        <v>45090.666666666664</v>
      </c>
      <c r="BB59" s="165">
        <v>45092.822916666664</v>
      </c>
      <c r="BC59" s="165">
        <v>45094.940972222219</v>
      </c>
      <c r="BD59" s="165">
        <v>45094.954861111109</v>
      </c>
      <c r="BE59" s="165">
        <v>45095.239583333336</v>
      </c>
      <c r="BF59" s="165">
        <v>45095.25</v>
      </c>
      <c r="BG59" s="165">
        <v>45095.25</v>
      </c>
      <c r="BH59" s="165">
        <f t="shared" si="19"/>
        <v>45096.958333333336</v>
      </c>
      <c r="BI59" s="165">
        <v>45097.25</v>
      </c>
      <c r="BJ59" s="165">
        <v>45097.416666666664</v>
      </c>
      <c r="BK59" s="165">
        <v>45097.315972222219</v>
      </c>
      <c r="BL59" s="165">
        <v>45099.611111111109</v>
      </c>
      <c r="BM59" s="165">
        <v>45101.9375</v>
      </c>
      <c r="BN59" s="165">
        <v>45101.993055555555</v>
      </c>
      <c r="BO59" s="165">
        <v>45102.006944444445</v>
      </c>
      <c r="BP59" s="165">
        <v>45102.284722222219</v>
      </c>
      <c r="BQ59" s="165">
        <v>45102.5625</v>
      </c>
      <c r="BT59" s="136">
        <f t="shared" si="4"/>
        <v>50.833333333313931</v>
      </c>
      <c r="BU59" s="136">
        <f t="shared" si="5"/>
        <v>6.8333333334303461</v>
      </c>
      <c r="BV59" s="136">
        <f t="shared" si="6"/>
        <v>41.000000000058208</v>
      </c>
      <c r="BW59" s="136">
        <f t="shared" si="14"/>
        <v>52.666666666686069</v>
      </c>
      <c r="BX59" s="135">
        <f t="shared" si="7"/>
        <v>1.3333333333139308</v>
      </c>
      <c r="BY59" s="135">
        <f t="shared" si="8"/>
        <v>6.6666666667442769</v>
      </c>
      <c r="BZ59" s="134">
        <f t="shared" si="9"/>
        <v>6.6388888888977817</v>
      </c>
      <c r="CA59" s="134">
        <f t="shared" si="10"/>
        <v>11.895833333335759</v>
      </c>
      <c r="CB59" s="133">
        <f t="shared" si="11"/>
        <v>0.55808523059024262</v>
      </c>
    </row>
    <row r="60" spans="1:80" s="126" customFormat="1">
      <c r="A60" s="192">
        <f t="shared" si="15"/>
        <v>45095.329861111109</v>
      </c>
      <c r="B60" s="126" t="s">
        <v>228</v>
      </c>
      <c r="C60" s="126" t="s">
        <v>229</v>
      </c>
      <c r="D60" s="126" t="s">
        <v>197</v>
      </c>
      <c r="E60" s="65" t="s">
        <v>1828</v>
      </c>
      <c r="G60" s="165">
        <v>45101.854166666664</v>
      </c>
      <c r="H60" s="165">
        <v>45101.854166666664</v>
      </c>
      <c r="I60" s="126" t="s">
        <v>243</v>
      </c>
      <c r="J60" s="115" t="s">
        <v>192</v>
      </c>
      <c r="K60" s="115" t="s">
        <v>192</v>
      </c>
      <c r="L60" s="126" t="s">
        <v>1829</v>
      </c>
      <c r="M60" s="167"/>
      <c r="N60" s="126" t="s">
        <v>383</v>
      </c>
      <c r="O60" s="126" t="s">
        <v>384</v>
      </c>
      <c r="P60" s="126" t="s">
        <v>235</v>
      </c>
      <c r="Q60" s="181">
        <f>2144*2.4</f>
        <v>5145.5999999999995</v>
      </c>
      <c r="R60" s="181">
        <f>5150+100</f>
        <v>5250</v>
      </c>
      <c r="S60" s="181">
        <v>5184.0219999999999</v>
      </c>
      <c r="T60" s="181"/>
      <c r="X60" s="181">
        <f t="shared" si="21"/>
        <v>5184.0219999999999</v>
      </c>
      <c r="AX60" s="165">
        <f t="shared" si="1"/>
        <v>45089.9375</v>
      </c>
      <c r="AY60" s="165">
        <f t="shared" si="2"/>
        <v>45101.270833333336</v>
      </c>
      <c r="AZ60" s="137">
        <f t="shared" si="3"/>
        <v>11.333333333335759</v>
      </c>
      <c r="BA60" s="165">
        <v>45089.9375</v>
      </c>
      <c r="BB60" s="165">
        <v>45091.819444444445</v>
      </c>
      <c r="BC60" s="165">
        <v>45093.854166666664</v>
      </c>
      <c r="BD60" s="165">
        <v>45095.329861111109</v>
      </c>
      <c r="BE60" s="165">
        <v>45095.440972222219</v>
      </c>
      <c r="BF60" s="165">
        <v>45095.447916666664</v>
      </c>
      <c r="BG60" s="165">
        <v>45095.447916666664</v>
      </c>
      <c r="BH60" s="165">
        <f t="shared" si="19"/>
        <v>45097.15625</v>
      </c>
      <c r="BI60" s="165">
        <v>45097.25</v>
      </c>
      <c r="BJ60" s="165">
        <v>45097.416666666664</v>
      </c>
      <c r="BK60" s="165">
        <v>45097.34375</v>
      </c>
      <c r="BL60" s="165">
        <v>45098.940972222219</v>
      </c>
      <c r="BM60" s="165">
        <v>45100.510416666664</v>
      </c>
      <c r="BN60" s="165">
        <v>45100.686111111114</v>
      </c>
      <c r="BO60" s="165">
        <v>45100.697916666664</v>
      </c>
      <c r="BP60" s="165">
        <v>45100.701388888891</v>
      </c>
      <c r="BQ60" s="165">
        <v>45101.270833333336</v>
      </c>
      <c r="BT60" s="136">
        <f t="shared" si="4"/>
        <v>48.833333333255723</v>
      </c>
      <c r="BU60" s="136">
        <f t="shared" si="5"/>
        <v>2.6666666666278616</v>
      </c>
      <c r="BV60" s="136">
        <f t="shared" si="6"/>
        <v>41.000000000058208</v>
      </c>
      <c r="BW60" s="136">
        <f t="shared" si="14"/>
        <v>36.583333333313931</v>
      </c>
      <c r="BX60" s="135">
        <f t="shared" si="7"/>
        <v>4.216666666790843</v>
      </c>
      <c r="BY60" s="135">
        <f t="shared" si="8"/>
        <v>13.666666666686069</v>
      </c>
      <c r="BZ60" s="134">
        <f t="shared" si="9"/>
        <v>6.1236111111138598</v>
      </c>
      <c r="CA60" s="134">
        <f t="shared" si="10"/>
        <v>11.333333333335759</v>
      </c>
      <c r="CB60" s="133">
        <f t="shared" si="11"/>
        <v>0.54031862745110726</v>
      </c>
    </row>
    <row r="61" spans="1:80" s="126" customFormat="1">
      <c r="A61" s="192">
        <f t="shared" si="15"/>
        <v>45095.627083333333</v>
      </c>
      <c r="B61" s="126" t="s">
        <v>228</v>
      </c>
      <c r="C61" s="126" t="s">
        <v>229</v>
      </c>
      <c r="D61" s="126" t="s">
        <v>197</v>
      </c>
      <c r="E61" s="65" t="s">
        <v>1828</v>
      </c>
      <c r="G61" s="165">
        <v>45101.854166666664</v>
      </c>
      <c r="H61" s="165">
        <v>45101.854166666664</v>
      </c>
      <c r="I61" s="126" t="s">
        <v>243</v>
      </c>
      <c r="J61" s="115" t="s">
        <v>192</v>
      </c>
      <c r="K61" s="115" t="s">
        <v>192</v>
      </c>
      <c r="L61" s="126" t="s">
        <v>1830</v>
      </c>
      <c r="M61" s="167"/>
      <c r="N61" s="126" t="s">
        <v>298</v>
      </c>
      <c r="O61" s="126" t="s">
        <v>299</v>
      </c>
      <c r="P61" s="126" t="s">
        <v>235</v>
      </c>
      <c r="Q61" s="181">
        <f>4337*2.4</f>
        <v>10408.799999999999</v>
      </c>
      <c r="R61" s="181">
        <f>10450+100</f>
        <v>10550</v>
      </c>
      <c r="S61" s="181">
        <v>10166.682000000001</v>
      </c>
      <c r="T61" s="181"/>
      <c r="X61" s="181">
        <f t="shared" si="21"/>
        <v>10166.682000000001</v>
      </c>
      <c r="AX61" s="165">
        <f t="shared" si="1"/>
        <v>45091.5625</v>
      </c>
      <c r="AY61" s="165">
        <f t="shared" si="2"/>
        <v>45101.4375</v>
      </c>
      <c r="AZ61" s="137">
        <f t="shared" si="3"/>
        <v>9.875</v>
      </c>
      <c r="BA61" s="165">
        <v>45091.5625</v>
      </c>
      <c r="BB61" s="165">
        <v>45092.795138888891</v>
      </c>
      <c r="BC61" s="165">
        <v>45094.354166666664</v>
      </c>
      <c r="BD61" s="165">
        <v>45095.627083333333</v>
      </c>
      <c r="BE61" s="165">
        <v>45095.90625</v>
      </c>
      <c r="BF61" s="165">
        <v>45095.916666666664</v>
      </c>
      <c r="BG61" s="165">
        <v>45095.916666666664</v>
      </c>
      <c r="BH61" s="165">
        <f t="shared" si="19"/>
        <v>45097.625</v>
      </c>
      <c r="BI61" s="165">
        <v>45097.25</v>
      </c>
      <c r="BJ61" s="165">
        <v>45097.416666666664</v>
      </c>
      <c r="BK61" s="165">
        <v>45097.423611111109</v>
      </c>
      <c r="BL61" s="165">
        <v>45099.395833333336</v>
      </c>
      <c r="BM61" s="165">
        <v>45100.104166666664</v>
      </c>
      <c r="BN61" s="165">
        <v>45100.379861111112</v>
      </c>
      <c r="BO61" s="165">
        <v>45100.454861111109</v>
      </c>
      <c r="BP61" s="165">
        <v>45100.881944444445</v>
      </c>
      <c r="BQ61" s="165">
        <v>45101.4375</v>
      </c>
      <c r="BT61" s="136">
        <f t="shared" si="4"/>
        <v>37.416666666569654</v>
      </c>
      <c r="BU61" s="136">
        <f t="shared" si="5"/>
        <v>6.7000000000116415</v>
      </c>
      <c r="BV61" s="136">
        <f t="shared" si="6"/>
        <v>41.000000000058208</v>
      </c>
      <c r="BW61" s="136">
        <f t="shared" si="14"/>
        <v>47.500000000116415</v>
      </c>
      <c r="BX61" s="135">
        <f t="shared" si="7"/>
        <v>6.6166666667559184</v>
      </c>
      <c r="BY61" s="135">
        <f t="shared" si="8"/>
        <v>13.333333333313931</v>
      </c>
      <c r="BZ61" s="134">
        <f t="shared" si="9"/>
        <v>6.3569444444510737</v>
      </c>
      <c r="CA61" s="134">
        <f t="shared" si="10"/>
        <v>9.875</v>
      </c>
      <c r="CB61" s="133">
        <f t="shared" si="11"/>
        <v>0.64374120956466574</v>
      </c>
    </row>
    <row r="62" spans="1:80" s="126" customFormat="1">
      <c r="A62" s="192">
        <f t="shared" si="15"/>
        <v>45095.9375</v>
      </c>
      <c r="B62" s="126" t="s">
        <v>228</v>
      </c>
      <c r="C62" s="126" t="s">
        <v>229</v>
      </c>
      <c r="D62" s="126" t="s">
        <v>197</v>
      </c>
      <c r="E62" s="65" t="s">
        <v>1827</v>
      </c>
      <c r="G62" s="73">
        <v>45097.333333333336</v>
      </c>
      <c r="H62" s="73">
        <v>45097.324999999997</v>
      </c>
      <c r="I62" s="126" t="s">
        <v>231</v>
      </c>
      <c r="J62" s="115" t="s">
        <v>192</v>
      </c>
      <c r="K62" s="115" t="s">
        <v>192</v>
      </c>
      <c r="L62" s="126" t="s">
        <v>1831</v>
      </c>
      <c r="M62" s="167"/>
      <c r="N62" s="126" t="s">
        <v>330</v>
      </c>
      <c r="O62" s="126" t="s">
        <v>331</v>
      </c>
      <c r="P62" s="126" t="s">
        <v>235</v>
      </c>
      <c r="Q62" s="181">
        <f>3136*2.4</f>
        <v>7526.4</v>
      </c>
      <c r="R62" s="181">
        <f>7550+100</f>
        <v>7650</v>
      </c>
      <c r="S62" s="181">
        <v>7519.0010000000002</v>
      </c>
      <c r="T62" s="181"/>
      <c r="X62" s="181">
        <f t="shared" si="21"/>
        <v>7519.0010000000002</v>
      </c>
      <c r="AX62" s="165">
        <f t="shared" si="1"/>
        <v>45091.25</v>
      </c>
      <c r="AY62" s="165">
        <f t="shared" si="2"/>
        <v>45100.541666666664</v>
      </c>
      <c r="AZ62" s="137">
        <f t="shared" si="3"/>
        <v>9.2916666666642413</v>
      </c>
      <c r="BA62" s="165">
        <v>45091.25</v>
      </c>
      <c r="BB62" s="165">
        <v>45092.371527777781</v>
      </c>
      <c r="BC62" s="165">
        <v>45094.541666666664</v>
      </c>
      <c r="BD62" s="165">
        <v>45095.9375</v>
      </c>
      <c r="BE62" s="165">
        <v>45096.079861111109</v>
      </c>
      <c r="BF62" s="165">
        <v>45096.086805555555</v>
      </c>
      <c r="BG62" s="165">
        <v>45096.086805555555</v>
      </c>
      <c r="BH62" s="165">
        <f t="shared" si="19"/>
        <v>45097.795138888891</v>
      </c>
      <c r="BI62" s="165">
        <v>45098.25</v>
      </c>
      <c r="BJ62" s="165">
        <v>45098.416666666664</v>
      </c>
      <c r="BK62" s="165">
        <v>45098.284722222219</v>
      </c>
      <c r="BL62" s="165">
        <v>45099.333333333336</v>
      </c>
      <c r="BM62" s="165">
        <v>45099.770833333336</v>
      </c>
      <c r="BN62" s="165">
        <v>45100.173611111109</v>
      </c>
      <c r="BO62" s="165">
        <v>45100.201388888891</v>
      </c>
      <c r="BP62" s="165">
        <v>45100.201388888891</v>
      </c>
      <c r="BQ62" s="165">
        <v>45100.541666666664</v>
      </c>
      <c r="BT62" s="136">
        <f t="shared" si="4"/>
        <v>52.083333333197515</v>
      </c>
      <c r="BU62" s="136">
        <f t="shared" si="5"/>
        <v>3.4166666666278616</v>
      </c>
      <c r="BV62" s="136">
        <f t="shared" si="6"/>
        <v>41.000000000058208</v>
      </c>
      <c r="BW62" s="136">
        <f t="shared" si="14"/>
        <v>22.000000000116415</v>
      </c>
      <c r="BX62" s="135">
        <f t="shared" si="7"/>
        <v>9.6666666665696539</v>
      </c>
      <c r="BY62" s="135">
        <f t="shared" si="8"/>
        <v>8.1666666665696539</v>
      </c>
      <c r="BZ62" s="134">
        <f t="shared" si="9"/>
        <v>5.6805555555474712</v>
      </c>
      <c r="CA62" s="134">
        <f t="shared" si="10"/>
        <v>9.2916666666642413</v>
      </c>
      <c r="CB62" s="133">
        <f t="shared" si="11"/>
        <v>0.61136023916221927</v>
      </c>
    </row>
    <row r="63" spans="1:80" s="126" customFormat="1">
      <c r="A63" s="192">
        <f t="shared" si="15"/>
        <v>45095.465277777781</v>
      </c>
      <c r="B63" s="126" t="s">
        <v>228</v>
      </c>
      <c r="C63" s="126" t="s">
        <v>229</v>
      </c>
      <c r="D63" s="126" t="s">
        <v>215</v>
      </c>
      <c r="E63" s="65" t="s">
        <v>1827</v>
      </c>
      <c r="G63" s="73">
        <v>45097.333333333336</v>
      </c>
      <c r="H63" s="73">
        <v>45097.324999999997</v>
      </c>
      <c r="I63" s="126" t="s">
        <v>231</v>
      </c>
      <c r="J63" s="115" t="s">
        <v>192</v>
      </c>
      <c r="K63" s="115" t="s">
        <v>192</v>
      </c>
      <c r="L63" s="126" t="s">
        <v>1832</v>
      </c>
      <c r="M63" s="167"/>
      <c r="N63" s="126" t="s">
        <v>274</v>
      </c>
      <c r="O63" s="126" t="s">
        <v>1093</v>
      </c>
      <c r="P63" s="126" t="s">
        <v>240</v>
      </c>
      <c r="Q63" s="181">
        <f>3136*2.4</f>
        <v>7526.4</v>
      </c>
      <c r="R63" s="181">
        <f>7550+100</f>
        <v>7650</v>
      </c>
      <c r="S63" s="181">
        <v>7513.9719999999998</v>
      </c>
      <c r="T63" s="181"/>
      <c r="Y63" s="181">
        <f t="shared" ref="Y63:Y68" si="22">S63</f>
        <v>7513.9719999999998</v>
      </c>
      <c r="AX63" s="165">
        <f t="shared" si="1"/>
        <v>45091.8125</v>
      </c>
      <c r="AY63" s="165">
        <f t="shared" si="2"/>
        <v>45101.541666666664</v>
      </c>
      <c r="AZ63" s="137">
        <f t="shared" si="3"/>
        <v>9.7291666666642413</v>
      </c>
      <c r="BA63" s="165">
        <v>45091.8125</v>
      </c>
      <c r="BB63" s="165">
        <v>45092.774305555555</v>
      </c>
      <c r="BC63" s="165">
        <v>45094.527777777781</v>
      </c>
      <c r="BD63" s="165">
        <v>45095.465277777781</v>
      </c>
      <c r="BE63" s="165">
        <v>45095.598611111112</v>
      </c>
      <c r="BF63" s="165">
        <v>45095.604166666664</v>
      </c>
      <c r="BG63" s="165">
        <v>45095.604166666664</v>
      </c>
      <c r="BH63" s="165">
        <f t="shared" si="19"/>
        <v>45097.3125</v>
      </c>
      <c r="BI63" s="165">
        <v>45097.25</v>
      </c>
      <c r="BJ63" s="165">
        <v>45097.416666666664</v>
      </c>
      <c r="BK63" s="165">
        <v>45097.270833333336</v>
      </c>
      <c r="BL63" s="165">
        <v>45098.354166666664</v>
      </c>
      <c r="BM63" s="165">
        <v>45100.965277777781</v>
      </c>
      <c r="BN63" s="165">
        <v>45101.201388888891</v>
      </c>
      <c r="BO63" s="165">
        <v>45101.215277777781</v>
      </c>
      <c r="BP63" s="165">
        <v>45101.215277777781</v>
      </c>
      <c r="BQ63" s="165">
        <v>45101.541666666664</v>
      </c>
      <c r="BT63" s="136">
        <f t="shared" si="4"/>
        <v>42.083333333430346</v>
      </c>
      <c r="BU63" s="136">
        <f t="shared" si="5"/>
        <v>3.1999999999534339</v>
      </c>
      <c r="BV63" s="136">
        <f t="shared" si="6"/>
        <v>41.000000000058208</v>
      </c>
      <c r="BW63" s="136">
        <f t="shared" si="14"/>
        <v>22.5</v>
      </c>
      <c r="BX63" s="135">
        <f t="shared" si="7"/>
        <v>5.6666666666278616</v>
      </c>
      <c r="BY63" s="135">
        <f t="shared" si="8"/>
        <v>7.8333333331975155</v>
      </c>
      <c r="BZ63" s="134">
        <f t="shared" si="9"/>
        <v>5.0951388888861402</v>
      </c>
      <c r="CA63" s="134">
        <f t="shared" si="10"/>
        <v>9.7291666666642413</v>
      </c>
      <c r="CB63" s="133">
        <f t="shared" si="11"/>
        <v>0.52369735902911285</v>
      </c>
    </row>
    <row r="64" spans="1:80" s="126" customFormat="1">
      <c r="A64" s="192">
        <f t="shared" si="15"/>
        <v>45096.107638888891</v>
      </c>
      <c r="B64" s="126" t="s">
        <v>228</v>
      </c>
      <c r="C64" s="126" t="s">
        <v>229</v>
      </c>
      <c r="D64" s="126" t="s">
        <v>197</v>
      </c>
      <c r="E64" s="65" t="s">
        <v>1827</v>
      </c>
      <c r="G64" s="73">
        <v>45097.333333333336</v>
      </c>
      <c r="H64" s="73">
        <v>45097.324999999997</v>
      </c>
      <c r="I64" s="126" t="s">
        <v>231</v>
      </c>
      <c r="J64" s="115" t="s">
        <v>192</v>
      </c>
      <c r="K64" s="115" t="s">
        <v>192</v>
      </c>
      <c r="L64" s="126" t="s">
        <v>1833</v>
      </c>
      <c r="M64" s="167"/>
      <c r="N64" s="126" t="s">
        <v>1834</v>
      </c>
      <c r="O64" s="126" t="s">
        <v>1835</v>
      </c>
      <c r="P64" s="126" t="s">
        <v>240</v>
      </c>
      <c r="Q64" s="181">
        <f>3131*2.4</f>
        <v>7514.4</v>
      </c>
      <c r="R64" s="181">
        <f>7550+100</f>
        <v>7650</v>
      </c>
      <c r="S64" s="181">
        <f>7502.577-1795.691</f>
        <v>5706.8860000000004</v>
      </c>
      <c r="T64" s="181"/>
      <c r="Y64" s="181">
        <f t="shared" si="22"/>
        <v>5706.8860000000004</v>
      </c>
      <c r="AX64" s="165">
        <f t="shared" si="1"/>
        <v>45091.072222222225</v>
      </c>
      <c r="AY64" s="165">
        <f t="shared" si="2"/>
        <v>45102.5</v>
      </c>
      <c r="AZ64" s="137">
        <f t="shared" si="3"/>
        <v>11.427777777775191</v>
      </c>
      <c r="BA64" s="165">
        <v>45091.072222222225</v>
      </c>
      <c r="BB64" s="165">
        <v>45093.170138888891</v>
      </c>
      <c r="BC64" s="165">
        <v>45094.892361111109</v>
      </c>
      <c r="BD64" s="165">
        <v>45096.107638888891</v>
      </c>
      <c r="BE64" s="165">
        <v>45096.254166666666</v>
      </c>
      <c r="BF64" s="165">
        <v>45096.263888888891</v>
      </c>
      <c r="BG64" s="165">
        <v>45096.263888888891</v>
      </c>
      <c r="BH64" s="165">
        <f t="shared" si="19"/>
        <v>45097.972222222226</v>
      </c>
      <c r="BI64" s="165">
        <v>45099.25</v>
      </c>
      <c r="BJ64" s="165">
        <v>45099.416666666664</v>
      </c>
      <c r="BK64" s="165">
        <v>45099.371527777781</v>
      </c>
      <c r="BL64" s="165">
        <v>45100.416666666664</v>
      </c>
      <c r="BM64" s="165">
        <v>45102.3125</v>
      </c>
      <c r="BN64" s="165">
        <v>45102.458333333336</v>
      </c>
      <c r="BO64" s="165">
        <v>45102.5</v>
      </c>
      <c r="BP64" s="165">
        <v>45102.5</v>
      </c>
      <c r="BQ64" s="165">
        <v>45102.5</v>
      </c>
      <c r="BR64" s="126" t="s">
        <v>1836</v>
      </c>
      <c r="BT64" s="136">
        <f t="shared" si="4"/>
        <v>41.333333333255723</v>
      </c>
      <c r="BU64" s="136">
        <f t="shared" si="5"/>
        <v>3.5166666666045785</v>
      </c>
      <c r="BV64" s="136">
        <f t="shared" si="6"/>
        <v>41.000000000058208</v>
      </c>
      <c r="BW64" s="136">
        <f t="shared" si="14"/>
        <v>24</v>
      </c>
      <c r="BX64" s="135">
        <f t="shared" si="7"/>
        <v>3.5000000000582077</v>
      </c>
      <c r="BY64" s="135">
        <f t="shared" si="8"/>
        <v>0</v>
      </c>
      <c r="BZ64" s="134">
        <f t="shared" si="9"/>
        <v>4.7229166666656965</v>
      </c>
      <c r="CA64" s="134">
        <f t="shared" si="10"/>
        <v>11.427777777775191</v>
      </c>
      <c r="CB64" s="133">
        <f t="shared" si="11"/>
        <v>0.41328390860477288</v>
      </c>
    </row>
    <row r="65" spans="1:80" s="126" customFormat="1">
      <c r="A65" s="192">
        <f t="shared" si="15"/>
        <v>45096.107638888891</v>
      </c>
      <c r="B65" s="126" t="s">
        <v>228</v>
      </c>
      <c r="C65" s="126" t="s">
        <v>229</v>
      </c>
      <c r="D65" s="126" t="s">
        <v>197</v>
      </c>
      <c r="E65" s="65" t="s">
        <v>1207</v>
      </c>
      <c r="G65" s="315">
        <v>45103.5</v>
      </c>
      <c r="H65" s="316">
        <v>45103.354166666664</v>
      </c>
      <c r="I65" s="126" t="s">
        <v>231</v>
      </c>
      <c r="J65" s="126" t="s">
        <v>192</v>
      </c>
      <c r="K65" s="126" t="s">
        <v>192</v>
      </c>
      <c r="L65" s="126" t="s">
        <v>1833</v>
      </c>
      <c r="M65" s="167"/>
      <c r="N65" s="126" t="s">
        <v>1834</v>
      </c>
      <c r="O65" s="126" t="s">
        <v>1835</v>
      </c>
      <c r="P65" s="126" t="s">
        <v>240</v>
      </c>
      <c r="Q65" s="181">
        <f>3131*2.4</f>
        <v>7514.4</v>
      </c>
      <c r="R65" s="181">
        <f>7550+100</f>
        <v>7650</v>
      </c>
      <c r="S65" s="181">
        <v>2067</v>
      </c>
      <c r="T65" s="181"/>
      <c r="Y65" s="181">
        <f t="shared" si="22"/>
        <v>2067</v>
      </c>
      <c r="AX65" s="165">
        <f t="shared" si="1"/>
        <v>45091.072222222225</v>
      </c>
      <c r="AY65" s="165">
        <f t="shared" si="2"/>
        <v>45104.770833333336</v>
      </c>
      <c r="AZ65" s="137">
        <f t="shared" si="3"/>
        <v>13.698611111110949</v>
      </c>
      <c r="BA65" s="165">
        <v>45091.072222222225</v>
      </c>
      <c r="BB65" s="165">
        <v>45093.170138888891</v>
      </c>
      <c r="BC65" s="165">
        <v>45094.892361111109</v>
      </c>
      <c r="BD65" s="165">
        <v>45096.107638888891</v>
      </c>
      <c r="BE65" s="165">
        <v>45096.254166666666</v>
      </c>
      <c r="BF65" s="165">
        <v>45096.263888888891</v>
      </c>
      <c r="BG65" s="165">
        <v>45096.263888888891</v>
      </c>
      <c r="BH65" s="165">
        <f t="shared" si="19"/>
        <v>45097.972222222226</v>
      </c>
      <c r="BI65" s="165">
        <v>45099.25</v>
      </c>
      <c r="BJ65" s="165">
        <v>45099.416666666664</v>
      </c>
      <c r="BK65" s="165">
        <v>45099.371527777781</v>
      </c>
      <c r="BL65" s="165">
        <v>45102.5</v>
      </c>
      <c r="BM65" s="165">
        <v>45104.284722222219</v>
      </c>
      <c r="BN65" s="165">
        <v>45104.416666666664</v>
      </c>
      <c r="BO65" s="165">
        <v>45104.430555555555</v>
      </c>
      <c r="BP65" s="165">
        <v>45104.430555555555</v>
      </c>
      <c r="BQ65" s="165">
        <v>45104.770833333336</v>
      </c>
      <c r="BR65" s="126" t="s">
        <v>1836</v>
      </c>
      <c r="BT65" s="136">
        <f t="shared" si="4"/>
        <v>41.333333333255723</v>
      </c>
      <c r="BU65" s="136">
        <f t="shared" si="5"/>
        <v>3.5166666666045785</v>
      </c>
      <c r="BV65" s="136">
        <f t="shared" si="6"/>
        <v>41.000000000058208</v>
      </c>
      <c r="BW65" s="136">
        <f t="shared" si="14"/>
        <v>74.000000000058208</v>
      </c>
      <c r="BX65" s="135">
        <f t="shared" si="7"/>
        <v>3.1666666666860692</v>
      </c>
      <c r="BY65" s="135">
        <f t="shared" si="8"/>
        <v>8.1666666667442769</v>
      </c>
      <c r="BZ65" s="134">
        <f t="shared" si="9"/>
        <v>7.132638888891961</v>
      </c>
      <c r="CA65" s="134">
        <f t="shared" si="10"/>
        <v>13.698611111110949</v>
      </c>
      <c r="CB65" s="133">
        <f t="shared" si="11"/>
        <v>0.52068336206045551</v>
      </c>
    </row>
    <row r="66" spans="1:80" s="126" customFormat="1">
      <c r="A66" s="192">
        <f t="shared" si="15"/>
        <v>45096.333333333336</v>
      </c>
      <c r="B66" s="126" t="s">
        <v>228</v>
      </c>
      <c r="C66" s="126" t="s">
        <v>229</v>
      </c>
      <c r="D66" s="126" t="s">
        <v>197</v>
      </c>
      <c r="E66" s="65" t="s">
        <v>1827</v>
      </c>
      <c r="G66" s="73">
        <v>45097.333333333336</v>
      </c>
      <c r="H66" s="73">
        <v>45097.324999999997</v>
      </c>
      <c r="I66" s="126" t="s">
        <v>231</v>
      </c>
      <c r="J66" s="115" t="s">
        <v>192</v>
      </c>
      <c r="K66" s="115" t="s">
        <v>192</v>
      </c>
      <c r="L66" s="126" t="s">
        <v>1837</v>
      </c>
      <c r="M66" s="167"/>
      <c r="N66" s="126" t="s">
        <v>492</v>
      </c>
      <c r="O66" s="126" t="s">
        <v>493</v>
      </c>
      <c r="P66" s="126" t="s">
        <v>240</v>
      </c>
      <c r="Q66" s="181">
        <f>3152*2.4</f>
        <v>7564.7999999999993</v>
      </c>
      <c r="R66" s="181">
        <f>7600+100</f>
        <v>7700</v>
      </c>
      <c r="S66" s="181">
        <v>7472.7939999999999</v>
      </c>
      <c r="T66" s="181"/>
      <c r="Y66" s="181">
        <f t="shared" si="22"/>
        <v>7472.7939999999999</v>
      </c>
      <c r="AX66" s="165">
        <f t="shared" si="1"/>
        <v>45093.208333333336</v>
      </c>
      <c r="AY66" s="165">
        <f t="shared" si="2"/>
        <v>45102.083333333336</v>
      </c>
      <c r="AZ66" s="137">
        <f t="shared" si="3"/>
        <v>8.875</v>
      </c>
      <c r="BA66" s="165">
        <v>45093.208333333336</v>
      </c>
      <c r="BB66" s="165">
        <v>45093.826388888891</v>
      </c>
      <c r="BC66" s="165">
        <v>45095.506944444445</v>
      </c>
      <c r="BD66" s="165">
        <v>45096.333333333336</v>
      </c>
      <c r="BE66" s="165">
        <v>45096.461805555555</v>
      </c>
      <c r="BF66" s="165">
        <v>45096.472222222219</v>
      </c>
      <c r="BG66" s="165">
        <v>45096.472222222219</v>
      </c>
      <c r="BH66" s="165">
        <f t="shared" si="19"/>
        <v>45098.180555555555</v>
      </c>
      <c r="BI66" s="165">
        <v>45098.25</v>
      </c>
      <c r="BJ66" s="165">
        <v>45098.416666666664</v>
      </c>
      <c r="BK66" s="165">
        <v>45098.291666666664</v>
      </c>
      <c r="BL66" s="165">
        <v>45099.4375</v>
      </c>
      <c r="BM66" s="165">
        <v>45101.538194444445</v>
      </c>
      <c r="BN66" s="165">
        <v>45101.777777777781</v>
      </c>
      <c r="BO66" s="165">
        <v>45101.791666666664</v>
      </c>
      <c r="BP66" s="165">
        <v>45101.791666666664</v>
      </c>
      <c r="BQ66" s="165">
        <v>45102.083333333336</v>
      </c>
      <c r="BT66" s="136">
        <f t="shared" si="4"/>
        <v>40.333333333313931</v>
      </c>
      <c r="BU66" s="136">
        <f t="shared" si="5"/>
        <v>3.0833333332557231</v>
      </c>
      <c r="BV66" s="136">
        <f t="shared" si="6"/>
        <v>41.000000000058208</v>
      </c>
      <c r="BW66" s="136">
        <f t="shared" si="14"/>
        <v>24.500000000058208</v>
      </c>
      <c r="BX66" s="135">
        <f t="shared" si="7"/>
        <v>5.7500000000582077</v>
      </c>
      <c r="BY66" s="135">
        <f t="shared" si="8"/>
        <v>7.0000000001164153</v>
      </c>
      <c r="BZ66" s="134">
        <f t="shared" si="9"/>
        <v>5.0694444444525288</v>
      </c>
      <c r="CA66" s="134">
        <f t="shared" si="10"/>
        <v>8.875</v>
      </c>
      <c r="CB66" s="133">
        <f t="shared" si="11"/>
        <v>0.5712050078256371</v>
      </c>
    </row>
    <row r="67" spans="1:80" s="126" customFormat="1">
      <c r="A67" s="192">
        <f t="shared" si="15"/>
        <v>45096.496527777781</v>
      </c>
      <c r="B67" s="126" t="s">
        <v>228</v>
      </c>
      <c r="C67" s="126" t="s">
        <v>229</v>
      </c>
      <c r="D67" s="126" t="s">
        <v>197</v>
      </c>
      <c r="E67" s="65" t="s">
        <v>1827</v>
      </c>
      <c r="G67" s="73">
        <v>45097.333333333336</v>
      </c>
      <c r="H67" s="73">
        <v>45097.324999999997</v>
      </c>
      <c r="I67" s="126" t="s">
        <v>231</v>
      </c>
      <c r="J67" s="115" t="s">
        <v>192</v>
      </c>
      <c r="K67" s="115" t="s">
        <v>192</v>
      </c>
      <c r="L67" s="126" t="s">
        <v>1838</v>
      </c>
      <c r="M67" s="167"/>
      <c r="N67" s="126" t="s">
        <v>355</v>
      </c>
      <c r="O67" s="126" t="s">
        <v>356</v>
      </c>
      <c r="P67" s="126" t="s">
        <v>240</v>
      </c>
      <c r="Q67" s="181">
        <f>3107*2.4</f>
        <v>7456.7999999999993</v>
      </c>
      <c r="R67" s="181">
        <f>7500+100</f>
        <v>7600</v>
      </c>
      <c r="S67" s="181">
        <v>7602.3360000000002</v>
      </c>
      <c r="T67" s="181"/>
      <c r="Y67" s="181">
        <f t="shared" si="22"/>
        <v>7602.3360000000002</v>
      </c>
      <c r="AX67" s="165">
        <f t="shared" si="1"/>
        <v>45092.618055555555</v>
      </c>
      <c r="AY67" s="165">
        <f t="shared" si="2"/>
        <v>45101.961805555555</v>
      </c>
      <c r="AZ67" s="137">
        <f t="shared" si="3"/>
        <v>9.34375</v>
      </c>
      <c r="BA67" s="165">
        <v>45092.618055555555</v>
      </c>
      <c r="BB67" s="165">
        <v>45093.868055555555</v>
      </c>
      <c r="BC67" s="165">
        <v>45095.534722222219</v>
      </c>
      <c r="BD67" s="165">
        <v>45096.496527777781</v>
      </c>
      <c r="BE67" s="165">
        <v>45096.631944444445</v>
      </c>
      <c r="BF67" s="165">
        <v>45096.642361111109</v>
      </c>
      <c r="BG67" s="165">
        <v>45096.642361111109</v>
      </c>
      <c r="BH67" s="165">
        <f t="shared" si="19"/>
        <v>45098.350694444445</v>
      </c>
      <c r="BI67" s="165">
        <v>45098.25</v>
      </c>
      <c r="BJ67" s="165">
        <v>45098.416666666664</v>
      </c>
      <c r="BK67" s="210">
        <v>45098.309027777781</v>
      </c>
      <c r="BL67" s="165">
        <v>45099.416666666664</v>
      </c>
      <c r="BM67" s="165">
        <v>45101.236111111109</v>
      </c>
      <c r="BN67" s="165">
        <v>45101.503472222219</v>
      </c>
      <c r="BO67" s="165">
        <v>45101.517361111109</v>
      </c>
      <c r="BP67" s="165">
        <v>45101.746527777781</v>
      </c>
      <c r="BQ67" s="165">
        <v>45101.961805555555</v>
      </c>
      <c r="BT67" s="136">
        <f t="shared" si="4"/>
        <v>39.999999999941792</v>
      </c>
      <c r="BU67" s="136">
        <f t="shared" si="5"/>
        <v>3.2499999999417923</v>
      </c>
      <c r="BV67" s="136">
        <f t="shared" si="6"/>
        <v>41.000000000058208</v>
      </c>
      <c r="BW67" s="136">
        <f t="shared" si="14"/>
        <v>24</v>
      </c>
      <c r="BX67" s="135">
        <f t="shared" si="7"/>
        <v>6.4166666666278616</v>
      </c>
      <c r="BY67" s="135">
        <f t="shared" si="8"/>
        <v>5.1666666665696539</v>
      </c>
      <c r="BZ67" s="134">
        <f t="shared" si="9"/>
        <v>4.9930555555474712</v>
      </c>
      <c r="CA67" s="134">
        <f t="shared" si="10"/>
        <v>9.34375</v>
      </c>
      <c r="CB67" s="133">
        <f t="shared" si="11"/>
        <v>0.53437383872079958</v>
      </c>
    </row>
    <row r="68" spans="1:80" s="126" customFormat="1">
      <c r="A68" s="192">
        <f t="shared" si="15"/>
        <v>45096.65625</v>
      </c>
      <c r="B68" s="126" t="s">
        <v>228</v>
      </c>
      <c r="C68" s="126" t="s">
        <v>229</v>
      </c>
      <c r="D68" s="126" t="s">
        <v>215</v>
      </c>
      <c r="E68" s="65" t="s">
        <v>1827</v>
      </c>
      <c r="G68" s="73">
        <v>45097.333333333336</v>
      </c>
      <c r="H68" s="73">
        <v>45097.324999999997</v>
      </c>
      <c r="I68" s="126" t="s">
        <v>231</v>
      </c>
      <c r="J68" s="126" t="s">
        <v>192</v>
      </c>
      <c r="K68" s="126" t="s">
        <v>192</v>
      </c>
      <c r="L68" s="126" t="s">
        <v>1839</v>
      </c>
      <c r="M68" s="167"/>
      <c r="N68" s="126" t="s">
        <v>352</v>
      </c>
      <c r="O68" s="126" t="s">
        <v>353</v>
      </c>
      <c r="P68" s="126" t="s">
        <v>240</v>
      </c>
      <c r="Q68" s="181">
        <f>3852*2.4</f>
        <v>9244.7999999999993</v>
      </c>
      <c r="R68" s="181">
        <f>9250+100</f>
        <v>9350</v>
      </c>
      <c r="S68" s="181">
        <v>9285.8230000000003</v>
      </c>
      <c r="T68" s="181"/>
      <c r="Y68" s="181">
        <f t="shared" si="22"/>
        <v>9285.8230000000003</v>
      </c>
      <c r="AX68" s="165">
        <f t="shared" ref="AX68:AX131" si="23">BA68</f>
        <v>45093.125</v>
      </c>
      <c r="AY68" s="165">
        <f t="shared" ref="AY68:AY131" si="24">BQ68</f>
        <v>45102.625</v>
      </c>
      <c r="AZ68" s="137">
        <f t="shared" ref="AZ68:AZ131" si="25">AY68-AX68</f>
        <v>9.5</v>
      </c>
      <c r="BA68" s="165">
        <v>45093.125</v>
      </c>
      <c r="BB68" s="165">
        <v>45093.865277777775</v>
      </c>
      <c r="BC68" s="165">
        <v>45095.708333333336</v>
      </c>
      <c r="BD68" s="165">
        <v>45096.65625</v>
      </c>
      <c r="BE68" s="165">
        <v>45096.852777777778</v>
      </c>
      <c r="BF68" s="165">
        <v>45096.861111111109</v>
      </c>
      <c r="BG68" s="165">
        <v>45097.260416666664</v>
      </c>
      <c r="BH68" s="165">
        <f t="shared" si="19"/>
        <v>45098.96875</v>
      </c>
      <c r="BI68" s="165">
        <v>45099.25</v>
      </c>
      <c r="BJ68" s="165">
        <v>45099.416666666664</v>
      </c>
      <c r="BK68" s="165">
        <v>45099.354166666664</v>
      </c>
      <c r="BL68" s="165">
        <v>45100.409722222219</v>
      </c>
      <c r="BM68" s="165">
        <v>45102.055555555555</v>
      </c>
      <c r="BN68" s="165">
        <v>45102.263888888891</v>
      </c>
      <c r="BO68" s="165">
        <v>45102.277777777781</v>
      </c>
      <c r="BP68" s="165">
        <v>45102.277777777781</v>
      </c>
      <c r="BQ68" s="165">
        <v>45102.625</v>
      </c>
      <c r="BT68" s="136">
        <f t="shared" ref="BT68:BT131" si="26">(BC68-BB68)*24</f>
        <v>44.233333333453629</v>
      </c>
      <c r="BU68" s="136">
        <f t="shared" ref="BU68:BU131" si="27">(BE68-BD68)*24</f>
        <v>4.7166666666744277</v>
      </c>
      <c r="BV68" s="136">
        <f t="shared" ref="BV68:BV131" si="28">(BH68-BG68)*24</f>
        <v>41.000000000058208</v>
      </c>
      <c r="BW68" s="136">
        <f t="shared" si="14"/>
        <v>23.833333333313931</v>
      </c>
      <c r="BX68" s="135">
        <f t="shared" ref="BX68:BX131" si="29">(BN68-BM68)*24</f>
        <v>5.0000000000582077</v>
      </c>
      <c r="BY68" s="135">
        <f t="shared" ref="BY68:BY131" si="30">(BQ68-BP68)*24</f>
        <v>8.3333333332557231</v>
      </c>
      <c r="BZ68" s="134">
        <f t="shared" ref="BZ68:BZ131" si="31">SUM(BT68:BY68)/24</f>
        <v>5.2965277777839219</v>
      </c>
      <c r="CA68" s="134">
        <f t="shared" ref="CA68:CA131" si="32">AZ68</f>
        <v>9.5</v>
      </c>
      <c r="CB68" s="133">
        <f t="shared" ref="CB68:CB131" si="33">BZ68/CA68</f>
        <v>0.55752923976672863</v>
      </c>
    </row>
    <row r="69" spans="1:80" s="126" customFormat="1">
      <c r="A69" s="192">
        <f t="shared" si="15"/>
        <v>45098.354166666664</v>
      </c>
      <c r="B69" s="126" t="s">
        <v>228</v>
      </c>
      <c r="C69" s="126" t="s">
        <v>229</v>
      </c>
      <c r="D69" s="126" t="s">
        <v>215</v>
      </c>
      <c r="E69" s="65" t="s">
        <v>1345</v>
      </c>
      <c r="G69" s="166">
        <v>45105.625</v>
      </c>
      <c r="H69" s="166">
        <v>45105.616666666669</v>
      </c>
      <c r="I69" s="126" t="s">
        <v>243</v>
      </c>
      <c r="J69" s="126" t="s">
        <v>192</v>
      </c>
      <c r="K69" s="126" t="s">
        <v>192</v>
      </c>
      <c r="L69" s="126" t="s">
        <v>1840</v>
      </c>
      <c r="M69" s="167"/>
      <c r="N69" s="126" t="s">
        <v>721</v>
      </c>
      <c r="O69" s="126" t="s">
        <v>1349</v>
      </c>
      <c r="P69" s="126" t="s">
        <v>235</v>
      </c>
      <c r="Q69" s="181">
        <f>3136*2.4</f>
        <v>7526.4</v>
      </c>
      <c r="R69" s="181">
        <f>7550+100</f>
        <v>7650</v>
      </c>
      <c r="S69" s="181">
        <v>7513.82</v>
      </c>
      <c r="T69" s="181"/>
      <c r="X69" s="181">
        <f t="shared" ref="X69:X74" si="34">S69</f>
        <v>7513.82</v>
      </c>
      <c r="AX69" s="165">
        <f t="shared" si="23"/>
        <v>45095.375</v>
      </c>
      <c r="AY69" s="165">
        <f t="shared" si="24"/>
        <v>45103.333333333336</v>
      </c>
      <c r="AZ69" s="137">
        <f t="shared" si="25"/>
        <v>7.9583333333357587</v>
      </c>
      <c r="BA69" s="165">
        <v>45095.375</v>
      </c>
      <c r="BB69" s="165">
        <v>45095.795138888891</v>
      </c>
      <c r="BC69" s="165">
        <v>45097.5</v>
      </c>
      <c r="BD69" s="165">
        <v>45098.354166666664</v>
      </c>
      <c r="BE69" s="165">
        <v>45098.618055555555</v>
      </c>
      <c r="BF69" s="165">
        <v>45098.621527777781</v>
      </c>
      <c r="BG69" s="165">
        <v>45098.621527777781</v>
      </c>
      <c r="BH69" s="165">
        <f t="shared" si="19"/>
        <v>45100.329861111117</v>
      </c>
      <c r="BI69" s="165">
        <v>45100.25</v>
      </c>
      <c r="BJ69" s="165">
        <v>45100.416666666664</v>
      </c>
      <c r="BK69" s="165">
        <v>45100.392361111109</v>
      </c>
      <c r="BL69" s="165">
        <v>45101.888888888891</v>
      </c>
      <c r="BM69" s="165">
        <v>45102.347222222219</v>
      </c>
      <c r="BN69" s="165">
        <v>45102.602083333331</v>
      </c>
      <c r="BO69" s="165">
        <v>45102.711805555555</v>
      </c>
      <c r="BP69" s="165">
        <v>45102.927083333336</v>
      </c>
      <c r="BQ69" s="165">
        <v>45103.333333333336</v>
      </c>
      <c r="BT69" s="136">
        <f t="shared" si="26"/>
        <v>40.916666666627862</v>
      </c>
      <c r="BU69" s="136">
        <f t="shared" si="27"/>
        <v>6.3333333333721384</v>
      </c>
      <c r="BV69" s="136">
        <f t="shared" si="28"/>
        <v>41.000000000058208</v>
      </c>
      <c r="BW69" s="136">
        <f t="shared" si="14"/>
        <v>35.333333333430346</v>
      </c>
      <c r="BX69" s="135">
        <f t="shared" si="29"/>
        <v>6.1166666666977108</v>
      </c>
      <c r="BY69" s="135">
        <f t="shared" si="30"/>
        <v>9.75</v>
      </c>
      <c r="BZ69" s="134">
        <f t="shared" si="31"/>
        <v>5.8104166666744277</v>
      </c>
      <c r="CA69" s="134">
        <f t="shared" si="32"/>
        <v>7.9583333333357587</v>
      </c>
      <c r="CB69" s="133">
        <f t="shared" si="33"/>
        <v>0.73010471204263749</v>
      </c>
    </row>
    <row r="70" spans="1:80" s="126" customFormat="1" ht="14.4" customHeight="1">
      <c r="A70" s="192">
        <f t="shared" si="15"/>
        <v>45098.649305555555</v>
      </c>
      <c r="B70" s="126" t="s">
        <v>228</v>
      </c>
      <c r="C70" s="126" t="s">
        <v>229</v>
      </c>
      <c r="D70" s="126" t="s">
        <v>215</v>
      </c>
      <c r="E70" s="65" t="s">
        <v>1345</v>
      </c>
      <c r="G70" s="166">
        <v>45105.625</v>
      </c>
      <c r="H70" s="166">
        <v>45105.616666666669</v>
      </c>
      <c r="I70" s="126" t="s">
        <v>243</v>
      </c>
      <c r="J70" s="126" t="s">
        <v>192</v>
      </c>
      <c r="K70" s="126" t="s">
        <v>192</v>
      </c>
      <c r="L70" s="126" t="s">
        <v>1841</v>
      </c>
      <c r="M70" s="167"/>
      <c r="N70" s="126" t="s">
        <v>222</v>
      </c>
      <c r="O70" s="126" t="s">
        <v>223</v>
      </c>
      <c r="P70" s="126" t="s">
        <v>235</v>
      </c>
      <c r="Q70" s="181">
        <f>3137*2.4</f>
        <v>7528.7999999999993</v>
      </c>
      <c r="R70" s="181">
        <f>7550+100</f>
        <v>7650</v>
      </c>
      <c r="S70" s="181">
        <v>7476.3440000000001</v>
      </c>
      <c r="T70" s="181"/>
      <c r="X70" s="181">
        <f t="shared" si="34"/>
        <v>7476.3440000000001</v>
      </c>
      <c r="AX70" s="165">
        <f t="shared" si="23"/>
        <v>45095.287499999999</v>
      </c>
      <c r="AY70" s="165">
        <f t="shared" si="24"/>
        <v>45103.416666666664</v>
      </c>
      <c r="AZ70" s="137">
        <f t="shared" si="25"/>
        <v>8.1291666666656965</v>
      </c>
      <c r="BA70" s="165">
        <v>45095.287499999999</v>
      </c>
      <c r="BB70" s="165">
        <v>45095.923611111109</v>
      </c>
      <c r="BC70" s="165">
        <v>45097.833333333336</v>
      </c>
      <c r="BD70" s="165">
        <v>45098.649305555555</v>
      </c>
      <c r="BE70" s="165">
        <v>45098.840277777781</v>
      </c>
      <c r="BF70" s="165">
        <v>45098.84375</v>
      </c>
      <c r="BG70" s="165">
        <v>45098.84375</v>
      </c>
      <c r="BH70" s="165">
        <f t="shared" si="19"/>
        <v>45100.552083333336</v>
      </c>
      <c r="BI70" s="165">
        <v>45100.25</v>
      </c>
      <c r="BJ70" s="165">
        <v>45100.416666666664</v>
      </c>
      <c r="BK70" s="165">
        <v>45100.322916666664</v>
      </c>
      <c r="BL70" s="165">
        <v>45101.739583333336</v>
      </c>
      <c r="BM70" s="165">
        <v>45102.052083333336</v>
      </c>
      <c r="BN70" s="165">
        <v>45102.260416666664</v>
      </c>
      <c r="BO70" s="165">
        <v>45102.284722222219</v>
      </c>
      <c r="BP70" s="165">
        <v>45102.923611111109</v>
      </c>
      <c r="BQ70" s="165">
        <v>45103.416666666664</v>
      </c>
      <c r="BT70" s="136">
        <f t="shared" si="26"/>
        <v>45.833333333430346</v>
      </c>
      <c r="BU70" s="136">
        <f t="shared" si="27"/>
        <v>4.5833333334303461</v>
      </c>
      <c r="BV70" s="136">
        <f t="shared" si="28"/>
        <v>41.000000000058208</v>
      </c>
      <c r="BW70" s="136">
        <f t="shared" ref="BW70:BW96" si="35">(BL70-BJ70)*24</f>
        <v>31.750000000116415</v>
      </c>
      <c r="BX70" s="135">
        <f t="shared" si="29"/>
        <v>4.9999999998835847</v>
      </c>
      <c r="BY70" s="135">
        <f t="shared" si="30"/>
        <v>11.833333333313931</v>
      </c>
      <c r="BZ70" s="134">
        <f t="shared" si="31"/>
        <v>5.8333333333430346</v>
      </c>
      <c r="CA70" s="134">
        <f t="shared" si="32"/>
        <v>8.1291666666656965</v>
      </c>
      <c r="CB70" s="133">
        <f t="shared" si="33"/>
        <v>0.71758072783316007</v>
      </c>
    </row>
    <row r="71" spans="1:80" s="126" customFormat="1">
      <c r="A71" s="192">
        <f t="shared" si="15"/>
        <v>45098.868055555555</v>
      </c>
      <c r="B71" s="126" t="s">
        <v>228</v>
      </c>
      <c r="C71" s="126" t="s">
        <v>229</v>
      </c>
      <c r="D71" s="126" t="s">
        <v>197</v>
      </c>
      <c r="E71" s="65" t="s">
        <v>1345</v>
      </c>
      <c r="G71" s="166">
        <v>45105.625</v>
      </c>
      <c r="H71" s="166">
        <v>45105.616666666669</v>
      </c>
      <c r="I71" s="126" t="s">
        <v>243</v>
      </c>
      <c r="J71" s="126" t="s">
        <v>192</v>
      </c>
      <c r="K71" s="126" t="s">
        <v>192</v>
      </c>
      <c r="L71" s="126" t="s">
        <v>1842</v>
      </c>
      <c r="M71" s="167"/>
      <c r="N71" s="126" t="s">
        <v>1483</v>
      </c>
      <c r="O71" s="126" t="s">
        <v>378</v>
      </c>
      <c r="P71" s="126" t="s">
        <v>235</v>
      </c>
      <c r="Q71" s="181">
        <f>3271*2.4</f>
        <v>7850.4</v>
      </c>
      <c r="R71" s="181">
        <f>7900+100</f>
        <v>8000</v>
      </c>
      <c r="S71" s="181">
        <v>7972.3050000000003</v>
      </c>
      <c r="T71" s="181"/>
      <c r="X71" s="181">
        <f t="shared" si="34"/>
        <v>7972.3050000000003</v>
      </c>
      <c r="AX71" s="165">
        <f t="shared" si="23"/>
        <v>45093.958333333336</v>
      </c>
      <c r="AY71" s="165">
        <f t="shared" si="24"/>
        <v>45104.722222222219</v>
      </c>
      <c r="AZ71" s="137">
        <f t="shared" si="25"/>
        <v>10.76388888888323</v>
      </c>
      <c r="BA71" s="165">
        <v>45093.958333333336</v>
      </c>
      <c r="BB71" s="165">
        <v>45095.800694444442</v>
      </c>
      <c r="BC71" s="165">
        <v>45098.041666666664</v>
      </c>
      <c r="BD71" s="165">
        <v>45098.868055555555</v>
      </c>
      <c r="BE71" s="165">
        <v>45099.017361111109</v>
      </c>
      <c r="BF71" s="165">
        <v>45099.024305555555</v>
      </c>
      <c r="BG71" s="165">
        <v>45099.520833333336</v>
      </c>
      <c r="BH71" s="165">
        <f t="shared" si="19"/>
        <v>45101.229166666672</v>
      </c>
      <c r="BI71" s="165">
        <v>45101.25</v>
      </c>
      <c r="BJ71" s="165">
        <v>45101.416666666664</v>
      </c>
      <c r="BK71" s="165">
        <v>45101.381944444445</v>
      </c>
      <c r="BL71" s="165">
        <v>45103.006944444445</v>
      </c>
      <c r="BM71" s="165">
        <v>45103.822916666664</v>
      </c>
      <c r="BN71" s="165">
        <v>45104.045138888891</v>
      </c>
      <c r="BO71" s="165">
        <v>45104.069444444445</v>
      </c>
      <c r="BP71" s="165">
        <v>45104.072916666664</v>
      </c>
      <c r="BQ71" s="165">
        <v>45104.722222222219</v>
      </c>
      <c r="BT71" s="136">
        <f t="shared" si="26"/>
        <v>53.783333333325572</v>
      </c>
      <c r="BU71" s="136">
        <f t="shared" si="27"/>
        <v>3.5833333333139308</v>
      </c>
      <c r="BV71" s="136">
        <f t="shared" si="28"/>
        <v>41.000000000058208</v>
      </c>
      <c r="BW71" s="136">
        <f t="shared" si="35"/>
        <v>38.166666666744277</v>
      </c>
      <c r="BX71" s="135">
        <f t="shared" si="29"/>
        <v>5.3333333334303461</v>
      </c>
      <c r="BY71" s="135">
        <f t="shared" si="30"/>
        <v>15.583333333313931</v>
      </c>
      <c r="BZ71" s="134">
        <f t="shared" si="31"/>
        <v>6.5604166666744277</v>
      </c>
      <c r="CA71" s="134">
        <f t="shared" si="32"/>
        <v>10.76388888888323</v>
      </c>
      <c r="CB71" s="133">
        <f t="shared" si="33"/>
        <v>0.60948387096878343</v>
      </c>
    </row>
    <row r="72" spans="1:80" s="126" customFormat="1">
      <c r="A72" s="192">
        <f t="shared" si="15"/>
        <v>45099.0625</v>
      </c>
      <c r="B72" s="126" t="s">
        <v>228</v>
      </c>
      <c r="C72" s="126" t="s">
        <v>229</v>
      </c>
      <c r="D72" s="126" t="s">
        <v>197</v>
      </c>
      <c r="E72" s="65" t="s">
        <v>1345</v>
      </c>
      <c r="G72" s="166">
        <v>45105.625</v>
      </c>
      <c r="H72" s="166">
        <v>45105.616666666669</v>
      </c>
      <c r="I72" s="126" t="s">
        <v>243</v>
      </c>
      <c r="J72" s="126" t="s">
        <v>192</v>
      </c>
      <c r="K72" s="126" t="s">
        <v>192</v>
      </c>
      <c r="L72" s="126" t="s">
        <v>1843</v>
      </c>
      <c r="M72" s="167"/>
      <c r="N72" s="126" t="s">
        <v>292</v>
      </c>
      <c r="O72" s="126" t="s">
        <v>293</v>
      </c>
      <c r="P72" s="126" t="s">
        <v>235</v>
      </c>
      <c r="Q72" s="181">
        <f>3142*2.4</f>
        <v>7540.7999999999993</v>
      </c>
      <c r="R72" s="181">
        <f>7550+100</f>
        <v>7650</v>
      </c>
      <c r="S72" s="181">
        <v>7664.4179999999997</v>
      </c>
      <c r="T72" s="181"/>
      <c r="X72" s="181">
        <f t="shared" si="34"/>
        <v>7664.4179999999997</v>
      </c>
      <c r="AX72" s="165">
        <f t="shared" si="23"/>
        <v>45094.961805555555</v>
      </c>
      <c r="AY72" s="165">
        <f t="shared" si="24"/>
        <v>45104.361111111109</v>
      </c>
      <c r="AZ72" s="137">
        <f t="shared" si="25"/>
        <v>9.3993055555547471</v>
      </c>
      <c r="BA72" s="165">
        <v>45094.961805555555</v>
      </c>
      <c r="BB72" s="165">
        <v>45096.579861111109</v>
      </c>
      <c r="BC72" s="165">
        <v>45098.333333333336</v>
      </c>
      <c r="BD72" s="165">
        <v>45099.0625</v>
      </c>
      <c r="BE72" s="165">
        <v>45099.232638888891</v>
      </c>
      <c r="BF72" s="165">
        <v>45099.239583333336</v>
      </c>
      <c r="BG72" s="165">
        <v>45099.239583333336</v>
      </c>
      <c r="BH72" s="165">
        <f t="shared" si="19"/>
        <v>45100.947916666672</v>
      </c>
      <c r="BI72" s="165">
        <v>45101.25</v>
      </c>
      <c r="BJ72" s="165">
        <v>45101.416666666664</v>
      </c>
      <c r="BK72" s="165">
        <v>45101.329861111109</v>
      </c>
      <c r="BL72" s="165">
        <v>45102.875</v>
      </c>
      <c r="BM72" s="165">
        <v>45103.100694444445</v>
      </c>
      <c r="BN72" s="165">
        <v>45103.354166666664</v>
      </c>
      <c r="BO72" s="165">
        <v>45103.368055555555</v>
      </c>
      <c r="BP72" s="165">
        <v>45103.902777777781</v>
      </c>
      <c r="BQ72" s="165">
        <v>45104.361111111109</v>
      </c>
      <c r="BT72" s="136">
        <f t="shared" si="26"/>
        <v>42.083333333430346</v>
      </c>
      <c r="BU72" s="136">
        <f t="shared" si="27"/>
        <v>4.0833333333721384</v>
      </c>
      <c r="BV72" s="136">
        <f t="shared" si="28"/>
        <v>41.000000000058208</v>
      </c>
      <c r="BW72" s="136">
        <f t="shared" si="35"/>
        <v>35.000000000058208</v>
      </c>
      <c r="BX72" s="135">
        <f t="shared" si="29"/>
        <v>6.0833333332557231</v>
      </c>
      <c r="BY72" s="135">
        <f t="shared" si="30"/>
        <v>10.999999999883585</v>
      </c>
      <c r="BZ72" s="134">
        <f t="shared" si="31"/>
        <v>5.8020833333357587</v>
      </c>
      <c r="CA72" s="134">
        <f t="shared" si="32"/>
        <v>9.3993055555547471</v>
      </c>
      <c r="CB72" s="133">
        <f t="shared" si="33"/>
        <v>0.61728851126739648</v>
      </c>
    </row>
    <row r="73" spans="1:80" s="126" customFormat="1">
      <c r="A73" s="192">
        <f t="shared" si="15"/>
        <v>45099.319444444445</v>
      </c>
      <c r="B73" s="126" t="s">
        <v>228</v>
      </c>
      <c r="C73" s="126" t="s">
        <v>229</v>
      </c>
      <c r="D73" s="126" t="s">
        <v>215</v>
      </c>
      <c r="E73" s="65" t="s">
        <v>1345</v>
      </c>
      <c r="G73" s="166">
        <v>45105.625</v>
      </c>
      <c r="H73" s="166">
        <v>45105.616666666669</v>
      </c>
      <c r="I73" s="126" t="s">
        <v>243</v>
      </c>
      <c r="J73" s="126" t="s">
        <v>192</v>
      </c>
      <c r="K73" s="126" t="s">
        <v>192</v>
      </c>
      <c r="L73" s="126" t="s">
        <v>1844</v>
      </c>
      <c r="M73" s="167"/>
      <c r="N73" s="126" t="s">
        <v>271</v>
      </c>
      <c r="O73" s="126" t="s">
        <v>272</v>
      </c>
      <c r="P73" s="126" t="s">
        <v>235</v>
      </c>
      <c r="Q73" s="181">
        <f>3852*2.4</f>
        <v>9244.7999999999993</v>
      </c>
      <c r="R73" s="181">
        <f>9250+100</f>
        <v>9350</v>
      </c>
      <c r="S73" s="181">
        <v>9340.4150000000009</v>
      </c>
      <c r="T73" s="181"/>
      <c r="X73" s="181">
        <f t="shared" si="34"/>
        <v>9340.4150000000009</v>
      </c>
      <c r="AX73" s="165">
        <f t="shared" si="23"/>
        <v>45095.84375</v>
      </c>
      <c r="AY73" s="165">
        <f t="shared" si="24"/>
        <v>45103.989583333336</v>
      </c>
      <c r="AZ73" s="137">
        <f t="shared" si="25"/>
        <v>8.1458333333357587</v>
      </c>
      <c r="BA73" s="165">
        <v>45095.84375</v>
      </c>
      <c r="BB73" s="165">
        <v>45096.555555555555</v>
      </c>
      <c r="BC73" s="165">
        <v>45098.5</v>
      </c>
      <c r="BD73" s="165">
        <v>45099.319444444445</v>
      </c>
      <c r="BE73" s="165">
        <v>45099.5</v>
      </c>
      <c r="BF73" s="165">
        <v>45099.506944444445</v>
      </c>
      <c r="BG73" s="165">
        <v>45099.506944444445</v>
      </c>
      <c r="BH73" s="165">
        <f t="shared" si="19"/>
        <v>45101.215277777781</v>
      </c>
      <c r="BI73" s="165">
        <v>45101.25</v>
      </c>
      <c r="BJ73" s="165">
        <v>45101.416666666664</v>
      </c>
      <c r="BK73" s="165">
        <v>45101.288194444445</v>
      </c>
      <c r="BL73" s="165">
        <v>45102.5625</v>
      </c>
      <c r="BM73" s="165">
        <v>45102.777777777781</v>
      </c>
      <c r="BN73" s="165">
        <v>45103.020833333336</v>
      </c>
      <c r="BO73" s="165">
        <v>45103.048611111109</v>
      </c>
      <c r="BP73" s="165">
        <v>45103.461805555555</v>
      </c>
      <c r="BQ73" s="165">
        <v>45103.989583333336</v>
      </c>
      <c r="BT73" s="136">
        <f t="shared" si="26"/>
        <v>46.666666666686069</v>
      </c>
      <c r="BU73" s="136">
        <f t="shared" si="27"/>
        <v>4.3333333333139308</v>
      </c>
      <c r="BV73" s="136">
        <f t="shared" si="28"/>
        <v>41.000000000058208</v>
      </c>
      <c r="BW73" s="136">
        <f t="shared" si="35"/>
        <v>27.500000000058208</v>
      </c>
      <c r="BX73" s="135">
        <f t="shared" si="29"/>
        <v>5.8333333333139308</v>
      </c>
      <c r="BY73" s="135">
        <f t="shared" si="30"/>
        <v>12.666666666744277</v>
      </c>
      <c r="BZ73" s="134">
        <f t="shared" si="31"/>
        <v>5.750000000007276</v>
      </c>
      <c r="CA73" s="134">
        <f t="shared" si="32"/>
        <v>8.1458333333357587</v>
      </c>
      <c r="CB73" s="133">
        <f t="shared" si="33"/>
        <v>0.70588235294185953</v>
      </c>
    </row>
    <row r="74" spans="1:80" s="126" customFormat="1">
      <c r="A74" s="192">
        <f t="shared" si="15"/>
        <v>45099.53125</v>
      </c>
      <c r="B74" s="126" t="s">
        <v>228</v>
      </c>
      <c r="C74" s="126" t="s">
        <v>229</v>
      </c>
      <c r="D74" s="126" t="s">
        <v>197</v>
      </c>
      <c r="E74" s="65" t="s">
        <v>1345</v>
      </c>
      <c r="G74" s="166">
        <v>45105.625</v>
      </c>
      <c r="H74" s="166">
        <v>45105.616666666669</v>
      </c>
      <c r="I74" s="126" t="s">
        <v>243</v>
      </c>
      <c r="J74" s="126" t="s">
        <v>192</v>
      </c>
      <c r="K74" s="126" t="s">
        <v>192</v>
      </c>
      <c r="L74" s="126" t="s">
        <v>1845</v>
      </c>
      <c r="M74" s="167"/>
      <c r="N74" s="126" t="s">
        <v>489</v>
      </c>
      <c r="O74" s="126" t="s">
        <v>483</v>
      </c>
      <c r="P74" s="126" t="s">
        <v>235</v>
      </c>
      <c r="Q74" s="181">
        <f>3107*2.4</f>
        <v>7456.7999999999993</v>
      </c>
      <c r="R74" s="181">
        <f>7500+100</f>
        <v>7600</v>
      </c>
      <c r="S74" s="181">
        <v>7501.1549999999997</v>
      </c>
      <c r="T74" s="181"/>
      <c r="X74" s="181">
        <f t="shared" si="34"/>
        <v>7501.1549999999997</v>
      </c>
      <c r="AX74" s="165">
        <f t="shared" si="23"/>
        <v>45094.503472222219</v>
      </c>
      <c r="AY74" s="165">
        <f t="shared" si="24"/>
        <v>45104.490277777775</v>
      </c>
      <c r="AZ74" s="137">
        <f t="shared" si="25"/>
        <v>9.9868055555562023</v>
      </c>
      <c r="BA74" s="165">
        <v>45094.503472222219</v>
      </c>
      <c r="BB74" s="165">
        <v>45096.643750000003</v>
      </c>
      <c r="BC74" s="165">
        <v>45098.503472222219</v>
      </c>
      <c r="BD74" s="165">
        <v>45099.53125</v>
      </c>
      <c r="BE74" s="165">
        <v>45099.666666666664</v>
      </c>
      <c r="BF74" s="165">
        <v>45099.670138888891</v>
      </c>
      <c r="BG74" s="165">
        <v>45099.670138888891</v>
      </c>
      <c r="BH74" s="165">
        <f t="shared" si="19"/>
        <v>45101.378472222226</v>
      </c>
      <c r="BI74" s="165">
        <v>45101.25</v>
      </c>
      <c r="BJ74" s="165">
        <v>45101.416666666664</v>
      </c>
      <c r="BK74" s="165">
        <v>45101.369444444441</v>
      </c>
      <c r="BL74" s="165">
        <v>45102.704861111109</v>
      </c>
      <c r="BM74" s="165">
        <v>45103.430555555555</v>
      </c>
      <c r="BN74" s="165">
        <v>45103.729166666664</v>
      </c>
      <c r="BO74" s="165">
        <v>45103.739583333336</v>
      </c>
      <c r="BP74" s="165">
        <v>45103.899305555555</v>
      </c>
      <c r="BQ74" s="165">
        <v>45104.490277777775</v>
      </c>
      <c r="BT74" s="136">
        <f t="shared" si="26"/>
        <v>44.633333333185874</v>
      </c>
      <c r="BU74" s="136">
        <f t="shared" si="27"/>
        <v>3.2499999999417923</v>
      </c>
      <c r="BV74" s="136">
        <f t="shared" si="28"/>
        <v>41.000000000058208</v>
      </c>
      <c r="BW74" s="136">
        <f t="shared" si="35"/>
        <v>30.916666666686069</v>
      </c>
      <c r="BX74" s="135">
        <f t="shared" si="29"/>
        <v>7.1666666666278616</v>
      </c>
      <c r="BY74" s="135">
        <f t="shared" si="30"/>
        <v>14.183333333290648</v>
      </c>
      <c r="BZ74" s="134">
        <f t="shared" si="31"/>
        <v>5.8812499999912689</v>
      </c>
      <c r="CA74" s="134">
        <f t="shared" si="32"/>
        <v>9.9868055555562023</v>
      </c>
      <c r="CB74" s="133">
        <f t="shared" si="33"/>
        <v>0.58890202350232101</v>
      </c>
    </row>
    <row r="75" spans="1:80" s="126" customFormat="1" ht="14.4" customHeight="1">
      <c r="A75" s="192">
        <f t="shared" si="15"/>
        <v>45099.690972222219</v>
      </c>
      <c r="B75" s="126" t="s">
        <v>228</v>
      </c>
      <c r="C75" s="126" t="s">
        <v>229</v>
      </c>
      <c r="D75" s="126" t="s">
        <v>197</v>
      </c>
      <c r="E75" s="65" t="s">
        <v>1207</v>
      </c>
      <c r="G75" s="315">
        <v>45103.5</v>
      </c>
      <c r="H75" s="316">
        <v>45103.354166666664</v>
      </c>
      <c r="I75" s="126" t="s">
        <v>231</v>
      </c>
      <c r="J75" s="126" t="s">
        <v>192</v>
      </c>
      <c r="K75" s="126" t="s">
        <v>192</v>
      </c>
      <c r="L75" s="126" t="s">
        <v>1846</v>
      </c>
      <c r="M75" s="167"/>
      <c r="N75" s="126" t="s">
        <v>505</v>
      </c>
      <c r="O75" s="126" t="s">
        <v>506</v>
      </c>
      <c r="P75" s="126" t="s">
        <v>240</v>
      </c>
      <c r="Q75" s="181">
        <f>3071*2.4</f>
        <v>7370.4</v>
      </c>
      <c r="R75" s="181">
        <f>7400+100</f>
        <v>7500</v>
      </c>
      <c r="S75" s="181">
        <v>7606.8220000000001</v>
      </c>
      <c r="T75" s="181"/>
      <c r="Y75" s="181">
        <f t="shared" ref="Y75:Y81" si="36">S75</f>
        <v>7606.8220000000001</v>
      </c>
      <c r="AX75" s="165">
        <f t="shared" si="23"/>
        <v>45096.263888888891</v>
      </c>
      <c r="AY75" s="165">
        <f t="shared" si="24"/>
        <v>45105.034722222219</v>
      </c>
      <c r="AZ75" s="137">
        <f t="shared" si="25"/>
        <v>8.7708333333284827</v>
      </c>
      <c r="BA75" s="165">
        <v>45096.263888888891</v>
      </c>
      <c r="BB75" s="165">
        <v>45096.822916666664</v>
      </c>
      <c r="BC75" s="165">
        <v>45098.541666666664</v>
      </c>
      <c r="BD75" s="165">
        <v>45099.690972222219</v>
      </c>
      <c r="BE75" s="165">
        <v>45099.888888888891</v>
      </c>
      <c r="BF75" s="165">
        <v>45099.894444444442</v>
      </c>
      <c r="BG75" s="165">
        <v>45099.894444444442</v>
      </c>
      <c r="BH75" s="165">
        <f t="shared" si="19"/>
        <v>45101.602777777778</v>
      </c>
      <c r="BI75" s="165">
        <v>45101.25</v>
      </c>
      <c r="BJ75" s="165">
        <v>45101.416666666664</v>
      </c>
      <c r="BK75" s="165">
        <v>45101.243055555555</v>
      </c>
      <c r="BL75" s="165">
        <v>45103.194444444445</v>
      </c>
      <c r="BM75" s="165">
        <v>45104.451388888891</v>
      </c>
      <c r="BN75" s="165">
        <v>45104.701388888891</v>
      </c>
      <c r="BO75" s="165">
        <v>45104.715277777781</v>
      </c>
      <c r="BP75" s="165">
        <v>45104.847222222219</v>
      </c>
      <c r="BQ75" s="165">
        <v>45105.034722222219</v>
      </c>
      <c r="BT75" s="136">
        <f t="shared" si="26"/>
        <v>41.25</v>
      </c>
      <c r="BU75" s="136">
        <f t="shared" si="27"/>
        <v>4.7500000001164153</v>
      </c>
      <c r="BV75" s="136">
        <f t="shared" si="28"/>
        <v>41.000000000058208</v>
      </c>
      <c r="BW75" s="136">
        <f t="shared" si="35"/>
        <v>42.666666666744277</v>
      </c>
      <c r="BX75" s="135">
        <f t="shared" si="29"/>
        <v>6</v>
      </c>
      <c r="BY75" s="135">
        <f t="shared" si="30"/>
        <v>4.5</v>
      </c>
      <c r="BZ75" s="134">
        <f t="shared" si="31"/>
        <v>5.8402777777882875</v>
      </c>
      <c r="CA75" s="134">
        <f t="shared" si="32"/>
        <v>8.7708333333284827</v>
      </c>
      <c r="CB75" s="133">
        <f t="shared" si="33"/>
        <v>0.66587490103086189</v>
      </c>
    </row>
    <row r="76" spans="1:80" s="126" customFormat="1">
      <c r="A76" s="192">
        <f t="shared" si="15"/>
        <v>45099.921527777777</v>
      </c>
      <c r="B76" s="126" t="s">
        <v>228</v>
      </c>
      <c r="C76" s="126" t="s">
        <v>229</v>
      </c>
      <c r="D76" s="126" t="s">
        <v>197</v>
      </c>
      <c r="E76" s="65" t="s">
        <v>1207</v>
      </c>
      <c r="G76" s="315">
        <v>45103.5</v>
      </c>
      <c r="H76" s="316">
        <v>45103.354166666664</v>
      </c>
      <c r="I76" s="126" t="s">
        <v>231</v>
      </c>
      <c r="J76" s="126" t="s">
        <v>192</v>
      </c>
      <c r="K76" s="126" t="s">
        <v>192</v>
      </c>
      <c r="L76" s="126" t="s">
        <v>1847</v>
      </c>
      <c r="M76" s="167"/>
      <c r="N76" s="126" t="s">
        <v>1848</v>
      </c>
      <c r="O76" s="126" t="s">
        <v>350</v>
      </c>
      <c r="P76" s="126" t="s">
        <v>240</v>
      </c>
      <c r="Q76" s="181">
        <f>3077*2.4</f>
        <v>7384.7999999999993</v>
      </c>
      <c r="R76" s="181">
        <f>7400+100</f>
        <v>7500</v>
      </c>
      <c r="S76" s="181">
        <v>7639.4840000000004</v>
      </c>
      <c r="T76" s="181"/>
      <c r="Y76" s="181">
        <f t="shared" si="36"/>
        <v>7639.4840000000004</v>
      </c>
      <c r="AX76" s="165">
        <f t="shared" si="23"/>
        <v>45095.3125</v>
      </c>
      <c r="AY76" s="165">
        <f t="shared" si="24"/>
        <v>45106.541666666664</v>
      </c>
      <c r="AZ76" s="137">
        <f t="shared" si="25"/>
        <v>11.229166666664241</v>
      </c>
      <c r="BA76" s="165">
        <v>45095.3125</v>
      </c>
      <c r="BB76" s="165">
        <v>45096.569444444445</v>
      </c>
      <c r="BC76" s="165">
        <v>45098.607638888891</v>
      </c>
      <c r="BD76" s="165">
        <v>45099.921527777777</v>
      </c>
      <c r="BE76" s="165">
        <v>45100.06527777778</v>
      </c>
      <c r="BF76" s="165">
        <v>45100.076388888891</v>
      </c>
      <c r="BG76" s="165">
        <v>45100.229166666664</v>
      </c>
      <c r="BH76" s="165">
        <f t="shared" si="19"/>
        <v>45101.9375</v>
      </c>
      <c r="BI76" s="165">
        <v>45102.25</v>
      </c>
      <c r="BJ76" s="165">
        <v>45102.416666666664</v>
      </c>
      <c r="BK76" s="165">
        <v>45102.302083333336</v>
      </c>
      <c r="BL76" s="165">
        <v>45103.458333333336</v>
      </c>
      <c r="BM76" s="165">
        <v>45105.868055555555</v>
      </c>
      <c r="BN76" s="165">
        <v>45106.104166666664</v>
      </c>
      <c r="BO76" s="165">
        <v>45106.125</v>
      </c>
      <c r="BP76" s="165">
        <v>45106.125</v>
      </c>
      <c r="BQ76" s="165">
        <v>45106.541666666664</v>
      </c>
      <c r="BT76" s="136">
        <f t="shared" si="26"/>
        <v>48.916666666686069</v>
      </c>
      <c r="BU76" s="136">
        <f t="shared" si="27"/>
        <v>3.4500000000698492</v>
      </c>
      <c r="BV76" s="136">
        <f t="shared" si="28"/>
        <v>41.000000000058208</v>
      </c>
      <c r="BW76" s="136">
        <f t="shared" si="35"/>
        <v>25.000000000116415</v>
      </c>
      <c r="BX76" s="135">
        <f t="shared" si="29"/>
        <v>5.6666666666278616</v>
      </c>
      <c r="BY76" s="135">
        <f t="shared" si="30"/>
        <v>9.9999999999417923</v>
      </c>
      <c r="BZ76" s="134">
        <f t="shared" si="31"/>
        <v>5.5847222222291748</v>
      </c>
      <c r="CA76" s="134">
        <f t="shared" si="32"/>
        <v>11.229166666664241</v>
      </c>
      <c r="CB76" s="133">
        <f t="shared" si="33"/>
        <v>0.49734075448433818</v>
      </c>
    </row>
    <row r="77" spans="1:80" s="126" customFormat="1">
      <c r="A77" s="192">
        <f t="shared" ref="A77:A140" si="37">BD77</f>
        <v>45100.111111111109</v>
      </c>
      <c r="B77" s="126" t="s">
        <v>228</v>
      </c>
      <c r="C77" s="126" t="s">
        <v>229</v>
      </c>
      <c r="D77" s="126" t="s">
        <v>215</v>
      </c>
      <c r="E77" s="65" t="s">
        <v>1207</v>
      </c>
      <c r="G77" s="315">
        <v>45103.5</v>
      </c>
      <c r="H77" s="316">
        <v>45103.354166666664</v>
      </c>
      <c r="I77" s="126" t="s">
        <v>231</v>
      </c>
      <c r="J77" s="126" t="s">
        <v>192</v>
      </c>
      <c r="K77" s="126" t="s">
        <v>192</v>
      </c>
      <c r="L77" s="126" t="s">
        <v>1849</v>
      </c>
      <c r="M77" s="167"/>
      <c r="N77" s="126" t="s">
        <v>218</v>
      </c>
      <c r="O77" s="126" t="s">
        <v>219</v>
      </c>
      <c r="P77" s="126" t="s">
        <v>240</v>
      </c>
      <c r="Q77" s="181">
        <f>3087*2.4</f>
        <v>7408.7999999999993</v>
      </c>
      <c r="R77" s="181">
        <f>7450+100</f>
        <v>7550</v>
      </c>
      <c r="S77" s="181">
        <v>7439.7179999999998</v>
      </c>
      <c r="T77" s="181"/>
      <c r="Y77" s="181">
        <f t="shared" si="36"/>
        <v>7439.7179999999998</v>
      </c>
      <c r="AX77" s="165">
        <f t="shared" si="23"/>
        <v>45094.861111111109</v>
      </c>
      <c r="AY77" s="165">
        <f t="shared" si="24"/>
        <v>45105.319444444445</v>
      </c>
      <c r="AZ77" s="137">
        <f t="shared" si="25"/>
        <v>10.458333333335759</v>
      </c>
      <c r="BA77" s="165">
        <v>45094.861111111109</v>
      </c>
      <c r="BB77" s="165">
        <v>45096.586805555555</v>
      </c>
      <c r="BC77" s="165">
        <v>45098.625</v>
      </c>
      <c r="BD77" s="165">
        <v>45100.111111111109</v>
      </c>
      <c r="BE77" s="165">
        <v>45100.246527777781</v>
      </c>
      <c r="BF77" s="165">
        <v>45100.260416666664</v>
      </c>
      <c r="BG77" s="165">
        <v>45100.260416666664</v>
      </c>
      <c r="BH77" s="165">
        <f t="shared" si="19"/>
        <v>45101.96875</v>
      </c>
      <c r="BI77" s="165">
        <v>45102.25</v>
      </c>
      <c r="BJ77" s="165">
        <v>45102.416666666664</v>
      </c>
      <c r="BK77" s="165">
        <v>45102.302083333336</v>
      </c>
      <c r="BL77" s="165">
        <v>45103.479166666664</v>
      </c>
      <c r="BM77" s="165">
        <v>45104.736111111109</v>
      </c>
      <c r="BN77" s="165">
        <v>45104.965277777781</v>
      </c>
      <c r="BO77" s="165">
        <v>45104.979166666664</v>
      </c>
      <c r="BP77" s="165">
        <v>45104.979166666664</v>
      </c>
      <c r="BQ77" s="165">
        <v>45105.319444444445</v>
      </c>
      <c r="BT77" s="136">
        <f t="shared" si="26"/>
        <v>48.916666666686069</v>
      </c>
      <c r="BU77" s="136">
        <f t="shared" si="27"/>
        <v>3.2500000001164153</v>
      </c>
      <c r="BV77" s="136">
        <f t="shared" si="28"/>
        <v>41.000000000058208</v>
      </c>
      <c r="BW77" s="136">
        <f t="shared" si="35"/>
        <v>25.5</v>
      </c>
      <c r="BX77" s="135">
        <f t="shared" si="29"/>
        <v>5.5000000001164153</v>
      </c>
      <c r="BY77" s="135">
        <f t="shared" si="30"/>
        <v>8.1666666667442769</v>
      </c>
      <c r="BZ77" s="134">
        <f t="shared" si="31"/>
        <v>5.5138888889050577</v>
      </c>
      <c r="CA77" s="134">
        <f t="shared" si="32"/>
        <v>10.458333333335759</v>
      </c>
      <c r="CB77" s="133">
        <f t="shared" si="33"/>
        <v>0.52722443559239318</v>
      </c>
    </row>
    <row r="78" spans="1:80" s="126" customFormat="1">
      <c r="A78" s="192">
        <f t="shared" si="37"/>
        <v>45100.340277777781</v>
      </c>
      <c r="B78" s="126" t="s">
        <v>228</v>
      </c>
      <c r="C78" s="126" t="s">
        <v>229</v>
      </c>
      <c r="D78" s="126" t="s">
        <v>215</v>
      </c>
      <c r="E78" s="65" t="s">
        <v>1207</v>
      </c>
      <c r="G78" s="315">
        <v>45103.5</v>
      </c>
      <c r="H78" s="316">
        <v>45103.354166666664</v>
      </c>
      <c r="I78" s="126" t="s">
        <v>231</v>
      </c>
      <c r="J78" s="126" t="s">
        <v>192</v>
      </c>
      <c r="K78" s="126" t="s">
        <v>192</v>
      </c>
      <c r="L78" s="126" t="s">
        <v>1850</v>
      </c>
      <c r="M78" s="167"/>
      <c r="N78" s="126" t="s">
        <v>343</v>
      </c>
      <c r="O78" s="126" t="s">
        <v>344</v>
      </c>
      <c r="P78" s="126" t="s">
        <v>240</v>
      </c>
      <c r="Q78" s="181">
        <f>3136*2.4</f>
        <v>7526.4</v>
      </c>
      <c r="R78" s="181">
        <f>7550+100</f>
        <v>7650</v>
      </c>
      <c r="S78" s="181">
        <v>7507.1009999999997</v>
      </c>
      <c r="T78" s="181"/>
      <c r="Y78" s="181">
        <f t="shared" si="36"/>
        <v>7507.1009999999997</v>
      </c>
      <c r="AX78" s="165">
        <f t="shared" si="23"/>
        <v>45094.3125</v>
      </c>
      <c r="AY78" s="165">
        <f t="shared" si="24"/>
        <v>45106.291666666664</v>
      </c>
      <c r="AZ78" s="137">
        <f t="shared" si="25"/>
        <v>11.979166666664241</v>
      </c>
      <c r="BA78" s="165">
        <v>45094.3125</v>
      </c>
      <c r="BB78" s="165">
        <v>45096.833333333336</v>
      </c>
      <c r="BC78" s="165">
        <v>45098.625</v>
      </c>
      <c r="BD78" s="165">
        <v>45100.340277777781</v>
      </c>
      <c r="BE78" s="165">
        <v>45100.493055555555</v>
      </c>
      <c r="BF78" s="165">
        <v>45100.496527777781</v>
      </c>
      <c r="BG78" s="165">
        <v>45100.496527777781</v>
      </c>
      <c r="BH78" s="165">
        <f t="shared" si="19"/>
        <v>45102.204861111117</v>
      </c>
      <c r="BI78" s="165">
        <v>45102.25</v>
      </c>
      <c r="BJ78" s="165">
        <v>45102.416666666664</v>
      </c>
      <c r="BK78" s="165">
        <v>45102.322916666664</v>
      </c>
      <c r="BL78" s="165">
        <v>45103.430555555555</v>
      </c>
      <c r="BM78" s="165">
        <v>45105.586805555555</v>
      </c>
      <c r="BN78" s="165">
        <v>45105.833333333336</v>
      </c>
      <c r="BO78" s="165">
        <v>45105.847222222219</v>
      </c>
      <c r="BP78" s="165">
        <v>45106.020833333336</v>
      </c>
      <c r="BQ78" s="165">
        <v>45106.291666666664</v>
      </c>
      <c r="BT78" s="136">
        <f t="shared" si="26"/>
        <v>42.999999999941792</v>
      </c>
      <c r="BU78" s="136">
        <f t="shared" si="27"/>
        <v>3.6666666665696539</v>
      </c>
      <c r="BV78" s="136">
        <f t="shared" si="28"/>
        <v>41.000000000058208</v>
      </c>
      <c r="BW78" s="136">
        <f t="shared" si="35"/>
        <v>24.333333333372138</v>
      </c>
      <c r="BX78" s="135">
        <f t="shared" si="29"/>
        <v>5.9166666667442769</v>
      </c>
      <c r="BY78" s="135">
        <f t="shared" si="30"/>
        <v>6.4999999998835847</v>
      </c>
      <c r="BZ78" s="134">
        <f t="shared" si="31"/>
        <v>5.1840277777737356</v>
      </c>
      <c r="CA78" s="134">
        <f t="shared" si="32"/>
        <v>11.979166666664241</v>
      </c>
      <c r="CB78" s="133">
        <f t="shared" si="33"/>
        <v>0.43275362318815597</v>
      </c>
    </row>
    <row r="79" spans="1:80" s="126" customFormat="1">
      <c r="A79" s="192">
        <f t="shared" si="37"/>
        <v>45101.220833333333</v>
      </c>
      <c r="B79" s="126" t="s">
        <v>228</v>
      </c>
      <c r="C79" s="126" t="s">
        <v>229</v>
      </c>
      <c r="D79" s="126" t="s">
        <v>197</v>
      </c>
      <c r="E79" s="65" t="s">
        <v>1207</v>
      </c>
      <c r="G79" s="315">
        <v>45103.5</v>
      </c>
      <c r="H79" s="316">
        <v>45103.354166666664</v>
      </c>
      <c r="I79" s="126" t="s">
        <v>231</v>
      </c>
      <c r="J79" s="126" t="s">
        <v>192</v>
      </c>
      <c r="K79" s="126" t="s">
        <v>192</v>
      </c>
      <c r="L79" s="126" t="s">
        <v>1851</v>
      </c>
      <c r="M79" s="167"/>
      <c r="N79" s="126" t="s">
        <v>323</v>
      </c>
      <c r="O79" s="126" t="s">
        <v>324</v>
      </c>
      <c r="P79" s="126" t="s">
        <v>240</v>
      </c>
      <c r="Q79" s="181">
        <f>3095*2.4</f>
        <v>7428</v>
      </c>
      <c r="R79" s="181">
        <f>7450+100</f>
        <v>7550</v>
      </c>
      <c r="S79" s="181">
        <f>7504.398-6333.999</f>
        <v>1170.3990000000003</v>
      </c>
      <c r="T79" s="181"/>
      <c r="Y79" s="181">
        <f t="shared" si="36"/>
        <v>1170.3990000000003</v>
      </c>
      <c r="AX79" s="165">
        <f t="shared" si="23"/>
        <v>45094.925000000003</v>
      </c>
      <c r="AY79" s="165">
        <f t="shared" si="24"/>
        <v>45106.493055555555</v>
      </c>
      <c r="AZ79" s="137">
        <f t="shared" si="25"/>
        <v>11.568055555551837</v>
      </c>
      <c r="BA79" s="165">
        <v>45094.925000000003</v>
      </c>
      <c r="BB79" s="165">
        <v>45096.79791666667</v>
      </c>
      <c r="BC79" s="165">
        <v>45098.854166666664</v>
      </c>
      <c r="BD79" s="165">
        <v>45101.220833333333</v>
      </c>
      <c r="BE79" s="165">
        <v>45101.413194444445</v>
      </c>
      <c r="BF79" s="165">
        <v>45101.416666666664</v>
      </c>
      <c r="BG79" s="165">
        <v>45101.416666666664</v>
      </c>
      <c r="BH79" s="165">
        <f t="shared" si="19"/>
        <v>45103.125</v>
      </c>
      <c r="BI79" s="165">
        <v>45104.25</v>
      </c>
      <c r="BJ79" s="165">
        <v>45104.416666666664</v>
      </c>
      <c r="BK79" s="165">
        <v>45104.263888888891</v>
      </c>
      <c r="BL79" s="165">
        <v>45105.416666666664</v>
      </c>
      <c r="BM79" s="165">
        <v>45106.173611111109</v>
      </c>
      <c r="BN79" s="165">
        <v>45106.447916666664</v>
      </c>
      <c r="BO79" s="165">
        <v>45106.493055555555</v>
      </c>
      <c r="BP79" s="165">
        <v>45106.493055555555</v>
      </c>
      <c r="BQ79" s="165">
        <v>45106.493055555555</v>
      </c>
      <c r="BT79" s="136">
        <f t="shared" si="26"/>
        <v>49.349999999860302</v>
      </c>
      <c r="BU79" s="136">
        <f t="shared" si="27"/>
        <v>4.6166666666977108</v>
      </c>
      <c r="BV79" s="136">
        <f t="shared" si="28"/>
        <v>41.000000000058208</v>
      </c>
      <c r="BW79" s="136">
        <f t="shared" si="35"/>
        <v>24</v>
      </c>
      <c r="BX79" s="135">
        <f t="shared" si="29"/>
        <v>6.5833333333139308</v>
      </c>
      <c r="BY79" s="135">
        <f t="shared" si="30"/>
        <v>0</v>
      </c>
      <c r="BZ79" s="134">
        <f t="shared" si="31"/>
        <v>5.2312499999970896</v>
      </c>
      <c r="CA79" s="134">
        <f t="shared" si="32"/>
        <v>11.568055555551837</v>
      </c>
      <c r="CB79" s="133">
        <f t="shared" si="33"/>
        <v>0.45221515187887085</v>
      </c>
    </row>
    <row r="80" spans="1:80" s="126" customFormat="1">
      <c r="A80" s="192">
        <f t="shared" si="37"/>
        <v>45101.220833333333</v>
      </c>
      <c r="B80" s="126" t="s">
        <v>228</v>
      </c>
      <c r="C80" s="126" t="s">
        <v>229</v>
      </c>
      <c r="D80" s="126" t="s">
        <v>197</v>
      </c>
      <c r="E80" s="65" t="s">
        <v>1852</v>
      </c>
      <c r="G80" s="315">
        <v>45107.25</v>
      </c>
      <c r="H80" s="315">
        <v>45107.256944444445</v>
      </c>
      <c r="I80" s="126" t="s">
        <v>231</v>
      </c>
      <c r="J80" s="126" t="s">
        <v>192</v>
      </c>
      <c r="K80" s="126" t="s">
        <v>192</v>
      </c>
      <c r="L80" s="126" t="s">
        <v>1851</v>
      </c>
      <c r="M80" s="167"/>
      <c r="N80" s="126" t="s">
        <v>323</v>
      </c>
      <c r="O80" s="126" t="s">
        <v>324</v>
      </c>
      <c r="P80" s="126" t="s">
        <v>240</v>
      </c>
      <c r="Q80" s="181">
        <f>3095*2.4</f>
        <v>7428</v>
      </c>
      <c r="R80" s="181">
        <f>7450+100</f>
        <v>7550</v>
      </c>
      <c r="S80" s="181">
        <v>5977</v>
      </c>
      <c r="T80" s="181"/>
      <c r="Y80" s="181">
        <f t="shared" si="36"/>
        <v>5977</v>
      </c>
      <c r="AX80" s="165">
        <f t="shared" si="23"/>
        <v>45094.925000000003</v>
      </c>
      <c r="AY80" s="165">
        <f t="shared" si="24"/>
        <v>45110.318749999999</v>
      </c>
      <c r="AZ80" s="137">
        <f t="shared" si="25"/>
        <v>15.393749999995634</v>
      </c>
      <c r="BA80" s="165">
        <v>45094.925000000003</v>
      </c>
      <c r="BB80" s="165">
        <v>45096.79791666667</v>
      </c>
      <c r="BC80" s="165">
        <v>45098.854166666664</v>
      </c>
      <c r="BD80" s="165">
        <v>45101.220833333333</v>
      </c>
      <c r="BE80" s="165">
        <v>45101.413194444445</v>
      </c>
      <c r="BF80" s="165">
        <v>45101.416666666664</v>
      </c>
      <c r="BG80" s="165">
        <v>45101.416666666664</v>
      </c>
      <c r="BH80" s="165">
        <f t="shared" si="19"/>
        <v>45103.125</v>
      </c>
      <c r="BI80" s="165">
        <v>45104.25</v>
      </c>
      <c r="BJ80" s="165">
        <v>45104.416666666664</v>
      </c>
      <c r="BK80" s="165">
        <v>45104.263888888891</v>
      </c>
      <c r="BL80" s="165">
        <v>45106.493055555555</v>
      </c>
      <c r="BM80" s="165">
        <v>45109.708333333336</v>
      </c>
      <c r="BN80" s="165">
        <v>45109.847222222219</v>
      </c>
      <c r="BO80" s="165">
        <v>45109.854166666664</v>
      </c>
      <c r="BP80" s="165">
        <v>45110.097222222219</v>
      </c>
      <c r="BQ80" s="165">
        <v>45110.318749999999</v>
      </c>
      <c r="BT80" s="136">
        <f t="shared" si="26"/>
        <v>49.349999999860302</v>
      </c>
      <c r="BU80" s="136">
        <f t="shared" si="27"/>
        <v>4.6166666666977108</v>
      </c>
      <c r="BV80" s="136">
        <f t="shared" si="28"/>
        <v>41.000000000058208</v>
      </c>
      <c r="BW80" s="136">
        <f t="shared" si="35"/>
        <v>49.833333333372138</v>
      </c>
      <c r="BX80" s="135">
        <f t="shared" si="29"/>
        <v>3.3333333331975155</v>
      </c>
      <c r="BY80" s="135">
        <f t="shared" si="30"/>
        <v>5.3166666667093523</v>
      </c>
      <c r="BZ80" s="134">
        <f t="shared" si="31"/>
        <v>6.3937499999956344</v>
      </c>
      <c r="CA80" s="134">
        <f t="shared" si="32"/>
        <v>15.393749999995634</v>
      </c>
      <c r="CB80" s="133">
        <f t="shared" si="33"/>
        <v>0.41534713763686221</v>
      </c>
    </row>
    <row r="81" spans="1:80" s="126" customFormat="1">
      <c r="A81" s="192">
        <f t="shared" si="37"/>
        <v>45101.447916666664</v>
      </c>
      <c r="B81" s="126" t="s">
        <v>228</v>
      </c>
      <c r="C81" s="126" t="s">
        <v>229</v>
      </c>
      <c r="D81" s="126" t="s">
        <v>197</v>
      </c>
      <c r="E81" s="65" t="s">
        <v>1207</v>
      </c>
      <c r="G81" s="315">
        <v>45103.5</v>
      </c>
      <c r="H81" s="316">
        <v>45103.354166666664</v>
      </c>
      <c r="I81" s="126" t="s">
        <v>231</v>
      </c>
      <c r="J81" s="126" t="s">
        <v>192</v>
      </c>
      <c r="K81" s="126" t="s">
        <v>192</v>
      </c>
      <c r="L81" s="126" t="s">
        <v>1853</v>
      </c>
      <c r="M81" s="167"/>
      <c r="N81" s="126" t="s">
        <v>1303</v>
      </c>
      <c r="O81" s="126" t="s">
        <v>1304</v>
      </c>
      <c r="P81" s="126" t="s">
        <v>240</v>
      </c>
      <c r="Q81" s="181">
        <f>2205*2.4</f>
        <v>5292</v>
      </c>
      <c r="R81" s="181">
        <f>5300+100</f>
        <v>5400</v>
      </c>
      <c r="S81" s="181">
        <v>5285.5290000000005</v>
      </c>
      <c r="T81" s="181"/>
      <c r="Y81" s="181">
        <f t="shared" si="36"/>
        <v>5285.5290000000005</v>
      </c>
      <c r="AX81" s="165">
        <f t="shared" si="23"/>
        <v>45094.895833333336</v>
      </c>
      <c r="AY81" s="165">
        <f t="shared" si="24"/>
        <v>45106.895833333336</v>
      </c>
      <c r="AZ81" s="137">
        <f t="shared" si="25"/>
        <v>12</v>
      </c>
      <c r="BA81" s="165">
        <v>45094.895833333336</v>
      </c>
      <c r="BB81" s="165">
        <v>45097.847222222219</v>
      </c>
      <c r="BC81" s="165">
        <v>45100.0625</v>
      </c>
      <c r="BD81" s="165">
        <v>45101.447916666664</v>
      </c>
      <c r="BE81" s="165">
        <v>45101.538194444445</v>
      </c>
      <c r="BF81" s="165">
        <v>45101.541666666664</v>
      </c>
      <c r="BG81" s="165">
        <v>45101.541666666664</v>
      </c>
      <c r="BH81" s="165">
        <f t="shared" si="19"/>
        <v>45103.25</v>
      </c>
      <c r="BI81" s="165">
        <v>45103.25</v>
      </c>
      <c r="BJ81" s="165">
        <v>45103.25</v>
      </c>
      <c r="BK81" s="165">
        <v>45103.256944444445</v>
      </c>
      <c r="BL81" s="165">
        <v>45104.666666666664</v>
      </c>
      <c r="BM81" s="165">
        <v>45106.145833333336</v>
      </c>
      <c r="BN81" s="165">
        <v>45106.416666666664</v>
      </c>
      <c r="BO81" s="165">
        <v>45106.430555555555</v>
      </c>
      <c r="BP81" s="165">
        <v>45106.430555555555</v>
      </c>
      <c r="BQ81" s="165">
        <v>45106.895833333336</v>
      </c>
      <c r="BT81" s="136">
        <f t="shared" si="26"/>
        <v>53.166666666744277</v>
      </c>
      <c r="BU81" s="136">
        <f t="shared" si="27"/>
        <v>2.1666666667442769</v>
      </c>
      <c r="BV81" s="136">
        <f t="shared" si="28"/>
        <v>41.000000000058208</v>
      </c>
      <c r="BW81" s="136">
        <f t="shared" si="35"/>
        <v>33.999999999941792</v>
      </c>
      <c r="BX81" s="135">
        <f t="shared" si="29"/>
        <v>6.4999999998835847</v>
      </c>
      <c r="BY81" s="135">
        <f t="shared" si="30"/>
        <v>11.166666666744277</v>
      </c>
      <c r="BZ81" s="134">
        <f t="shared" si="31"/>
        <v>6.1666666666715173</v>
      </c>
      <c r="CA81" s="134">
        <f t="shared" si="32"/>
        <v>12</v>
      </c>
      <c r="CB81" s="133">
        <f t="shared" si="33"/>
        <v>0.51388888888929307</v>
      </c>
    </row>
    <row r="82" spans="1:80" s="126" customFormat="1">
      <c r="A82" s="192">
        <f t="shared" si="37"/>
        <v>45101.5625</v>
      </c>
      <c r="B82" s="126" t="s">
        <v>228</v>
      </c>
      <c r="C82" s="126" t="s">
        <v>229</v>
      </c>
      <c r="D82" s="126" t="s">
        <v>197</v>
      </c>
      <c r="E82" s="65" t="s">
        <v>1763</v>
      </c>
      <c r="G82" s="73">
        <v>45106.104166666664</v>
      </c>
      <c r="H82" s="73">
        <v>45106.1</v>
      </c>
      <c r="I82" s="126" t="s">
        <v>231</v>
      </c>
      <c r="J82" s="126" t="s">
        <v>192</v>
      </c>
      <c r="K82" s="126" t="s">
        <v>192</v>
      </c>
      <c r="L82" s="126" t="s">
        <v>1854</v>
      </c>
      <c r="M82" s="167"/>
      <c r="N82" s="126" t="s">
        <v>260</v>
      </c>
      <c r="O82" s="126" t="s">
        <v>261</v>
      </c>
      <c r="P82" s="126" t="s">
        <v>235</v>
      </c>
      <c r="Q82" s="181">
        <f>3107*2.4</f>
        <v>7456.7999999999993</v>
      </c>
      <c r="R82" s="181">
        <f>7500+100</f>
        <v>7600</v>
      </c>
      <c r="S82" s="181">
        <v>7639.6959999999999</v>
      </c>
      <c r="T82" s="181"/>
      <c r="X82" s="181">
        <f>S82</f>
        <v>7639.6959999999999</v>
      </c>
      <c r="AX82" s="165">
        <f t="shared" si="23"/>
        <v>45089.652777777781</v>
      </c>
      <c r="AY82" s="165">
        <f t="shared" si="24"/>
        <v>45111.666666666664</v>
      </c>
      <c r="AZ82" s="137">
        <f t="shared" si="25"/>
        <v>22.01388888888323</v>
      </c>
      <c r="BA82" s="165">
        <v>45089.652777777781</v>
      </c>
      <c r="BB82" s="165">
        <v>45096.809027777781</v>
      </c>
      <c r="BC82" s="165">
        <v>45098.864583333336</v>
      </c>
      <c r="BD82" s="165">
        <v>45101.5625</v>
      </c>
      <c r="BE82" s="165">
        <v>45101.694444444445</v>
      </c>
      <c r="BF82" s="165">
        <v>45101.701388888891</v>
      </c>
      <c r="BG82" s="165">
        <v>45101.701388888891</v>
      </c>
      <c r="BH82" s="165">
        <f t="shared" si="19"/>
        <v>45103.409722222226</v>
      </c>
      <c r="BI82" s="165">
        <v>45103.25</v>
      </c>
      <c r="BJ82" s="165">
        <v>45103.25</v>
      </c>
      <c r="BK82" s="165">
        <v>45103.319444444445</v>
      </c>
      <c r="BL82" s="165">
        <v>45105.5</v>
      </c>
      <c r="BM82" s="165">
        <v>45111.111111111109</v>
      </c>
      <c r="BN82" s="165">
        <v>45111.28125</v>
      </c>
      <c r="BO82" s="165">
        <v>45111.302083333336</v>
      </c>
      <c r="BP82" s="165">
        <v>45111.302083333336</v>
      </c>
      <c r="BQ82" s="165">
        <v>45111.666666666664</v>
      </c>
      <c r="BT82" s="136">
        <f t="shared" si="26"/>
        <v>49.333333333313931</v>
      </c>
      <c r="BU82" s="136">
        <f t="shared" si="27"/>
        <v>3.1666666666860692</v>
      </c>
      <c r="BV82" s="136">
        <f t="shared" si="28"/>
        <v>41.000000000058208</v>
      </c>
      <c r="BW82" s="136">
        <f t="shared" si="35"/>
        <v>54</v>
      </c>
      <c r="BX82" s="135">
        <f t="shared" si="29"/>
        <v>4.0833333333721384</v>
      </c>
      <c r="BY82" s="135">
        <f t="shared" si="30"/>
        <v>8.7499999998835847</v>
      </c>
      <c r="BZ82" s="134">
        <f t="shared" si="31"/>
        <v>6.6805555555547471</v>
      </c>
      <c r="CA82" s="134">
        <f t="shared" si="32"/>
        <v>22.01388888888323</v>
      </c>
      <c r="CB82" s="133">
        <f t="shared" si="33"/>
        <v>0.30347003154578261</v>
      </c>
    </row>
    <row r="83" spans="1:80" s="126" customFormat="1">
      <c r="A83" s="192">
        <f t="shared" si="37"/>
        <v>45103.706250000003</v>
      </c>
      <c r="B83" s="126" t="s">
        <v>228</v>
      </c>
      <c r="C83" s="126" t="s">
        <v>229</v>
      </c>
      <c r="D83" s="126" t="s">
        <v>215</v>
      </c>
      <c r="E83" s="65" t="s">
        <v>1852</v>
      </c>
      <c r="G83" s="315">
        <v>45107.25</v>
      </c>
      <c r="H83" s="315">
        <v>45107.256944444445</v>
      </c>
      <c r="I83" s="126" t="s">
        <v>231</v>
      </c>
      <c r="J83" s="126" t="s">
        <v>192</v>
      </c>
      <c r="K83" s="126" t="s">
        <v>192</v>
      </c>
      <c r="L83" s="126" t="s">
        <v>1855</v>
      </c>
      <c r="M83" s="167"/>
      <c r="N83" s="126" t="s">
        <v>246</v>
      </c>
      <c r="O83" s="126" t="s">
        <v>247</v>
      </c>
      <c r="P83" s="126" t="s">
        <v>240</v>
      </c>
      <c r="Q83" s="181">
        <f>3136*2.4</f>
        <v>7526.4</v>
      </c>
      <c r="R83" s="181">
        <f>7550+100</f>
        <v>7650</v>
      </c>
      <c r="S83" s="181">
        <v>7529.9669999999996</v>
      </c>
      <c r="T83" s="181"/>
      <c r="Y83" s="181">
        <f>S83</f>
        <v>7529.9669999999996</v>
      </c>
      <c r="AX83" s="165">
        <f t="shared" si="23"/>
        <v>45095.708333333336</v>
      </c>
      <c r="AY83" s="165">
        <f t="shared" si="24"/>
        <v>45112.104166666664</v>
      </c>
      <c r="AZ83" s="137">
        <f t="shared" si="25"/>
        <v>16.395833333328483</v>
      </c>
      <c r="BA83" s="165">
        <v>45095.708333333336</v>
      </c>
      <c r="BB83" s="165">
        <v>45099.802083333336</v>
      </c>
      <c r="BC83" s="165">
        <v>45101.791666666664</v>
      </c>
      <c r="BD83" s="165">
        <v>45103.706250000003</v>
      </c>
      <c r="BE83" s="165">
        <v>45103.885416666664</v>
      </c>
      <c r="BF83" s="165">
        <v>45103.888888888891</v>
      </c>
      <c r="BG83" s="165">
        <v>45104.253472222219</v>
      </c>
      <c r="BH83" s="165">
        <f t="shared" si="19"/>
        <v>45105.961805555555</v>
      </c>
      <c r="BI83" s="165">
        <v>45106.5</v>
      </c>
      <c r="BJ83" s="165">
        <v>45106.666666666664</v>
      </c>
      <c r="BK83" s="165">
        <v>45106.677083333336</v>
      </c>
      <c r="BL83" s="165">
        <v>45108.166666666664</v>
      </c>
      <c r="BM83" s="165">
        <v>45111.104166666664</v>
      </c>
      <c r="BN83" s="165">
        <v>45111.361111111109</v>
      </c>
      <c r="BO83" s="165">
        <v>45111.388888888891</v>
      </c>
      <c r="BP83" s="165">
        <v>45111.642361111109</v>
      </c>
      <c r="BQ83" s="165">
        <v>45112.104166666664</v>
      </c>
      <c r="BT83" s="136">
        <f t="shared" si="26"/>
        <v>47.749999999883585</v>
      </c>
      <c r="BU83" s="136">
        <f t="shared" si="27"/>
        <v>4.2999999998719431</v>
      </c>
      <c r="BV83" s="136">
        <f t="shared" si="28"/>
        <v>41.000000000058208</v>
      </c>
      <c r="BW83" s="136">
        <f t="shared" si="35"/>
        <v>36</v>
      </c>
      <c r="BX83" s="135">
        <f t="shared" si="29"/>
        <v>6.1666666666860692</v>
      </c>
      <c r="BY83" s="135">
        <f t="shared" si="30"/>
        <v>11.083333333313931</v>
      </c>
      <c r="BZ83" s="134">
        <f t="shared" si="31"/>
        <v>6.0958333333255723</v>
      </c>
      <c r="CA83" s="134">
        <f t="shared" si="32"/>
        <v>16.395833333328483</v>
      </c>
      <c r="CB83" s="133">
        <f t="shared" si="33"/>
        <v>0.37179161372263536</v>
      </c>
    </row>
    <row r="84" spans="1:80" s="126" customFormat="1">
      <c r="A84" s="192">
        <f t="shared" si="37"/>
        <v>45103.907638888886</v>
      </c>
      <c r="B84" s="126" t="s">
        <v>228</v>
      </c>
      <c r="C84" s="126" t="s">
        <v>229</v>
      </c>
      <c r="D84" s="126" t="s">
        <v>197</v>
      </c>
      <c r="E84" s="65" t="s">
        <v>1852</v>
      </c>
      <c r="G84" s="315">
        <v>45107.25</v>
      </c>
      <c r="H84" s="315">
        <v>45107.256944444445</v>
      </c>
      <c r="I84" s="126" t="s">
        <v>231</v>
      </c>
      <c r="J84" s="126" t="s">
        <v>192</v>
      </c>
      <c r="K84" s="126" t="s">
        <v>192</v>
      </c>
      <c r="L84" s="126" t="s">
        <v>1856</v>
      </c>
      <c r="M84" s="167"/>
      <c r="N84" s="126" t="s">
        <v>437</v>
      </c>
      <c r="O84" s="126" t="s">
        <v>320</v>
      </c>
      <c r="P84" s="126" t="s">
        <v>240</v>
      </c>
      <c r="Q84" s="181">
        <f>3136*2.4</f>
        <v>7526.4</v>
      </c>
      <c r="R84" s="181">
        <f>7550+100</f>
        <v>7650</v>
      </c>
      <c r="S84" s="181">
        <v>7636.9229999999998</v>
      </c>
      <c r="T84" s="181"/>
      <c r="Y84" s="181">
        <f>S84</f>
        <v>7636.9229999999998</v>
      </c>
      <c r="AX84" s="165">
        <f t="shared" si="23"/>
        <v>45098.434027777781</v>
      </c>
      <c r="AY84" s="165">
        <f t="shared" si="24"/>
        <v>45110.302083333336</v>
      </c>
      <c r="AZ84" s="137">
        <f t="shared" si="25"/>
        <v>11.868055555554747</v>
      </c>
      <c r="BA84" s="165">
        <v>45098.434027777781</v>
      </c>
      <c r="BB84" s="165">
        <v>45100.5625</v>
      </c>
      <c r="BC84" s="165">
        <v>45102.104166666664</v>
      </c>
      <c r="BD84" s="165">
        <v>45103.907638888886</v>
      </c>
      <c r="BE84" s="165">
        <v>45104.038194444445</v>
      </c>
      <c r="BF84" s="165">
        <v>45104.045138888891</v>
      </c>
      <c r="BG84" s="165">
        <v>45104.045138888891</v>
      </c>
      <c r="BH84" s="165">
        <f t="shared" si="19"/>
        <v>45105.753472222226</v>
      </c>
      <c r="BI84" s="165">
        <v>45105.458333333336</v>
      </c>
      <c r="BJ84" s="165">
        <v>45105.625</v>
      </c>
      <c r="BK84" s="165">
        <v>45105.65625</v>
      </c>
      <c r="BL84" s="165">
        <v>45107.510416666664</v>
      </c>
      <c r="BM84" s="165">
        <v>45109.881944444445</v>
      </c>
      <c r="BN84" s="165">
        <v>45110.013888888891</v>
      </c>
      <c r="BO84" s="165">
        <v>45110.020833333336</v>
      </c>
      <c r="BP84" s="165">
        <v>45110.020833333336</v>
      </c>
      <c r="BQ84" s="165">
        <v>45110.302083333336</v>
      </c>
      <c r="BT84" s="136">
        <f t="shared" si="26"/>
        <v>36.999999999941792</v>
      </c>
      <c r="BU84" s="136">
        <f t="shared" si="27"/>
        <v>3.1333333334187046</v>
      </c>
      <c r="BV84" s="136">
        <f t="shared" si="28"/>
        <v>41.000000000058208</v>
      </c>
      <c r="BW84" s="136">
        <f t="shared" si="35"/>
        <v>45.249999999941792</v>
      </c>
      <c r="BX84" s="135">
        <f t="shared" si="29"/>
        <v>3.1666666666860692</v>
      </c>
      <c r="BY84" s="135">
        <f t="shared" si="30"/>
        <v>6.75</v>
      </c>
      <c r="BZ84" s="134">
        <f t="shared" si="31"/>
        <v>5.6791666666686069</v>
      </c>
      <c r="CA84" s="134">
        <f t="shared" si="32"/>
        <v>11.868055555554747</v>
      </c>
      <c r="CB84" s="133">
        <f t="shared" si="33"/>
        <v>0.47852545348176423</v>
      </c>
    </row>
    <row r="85" spans="1:80" s="126" customFormat="1">
      <c r="A85" s="192">
        <f t="shared" si="37"/>
        <v>45104.069444444445</v>
      </c>
      <c r="B85" s="126" t="s">
        <v>228</v>
      </c>
      <c r="C85" s="126" t="s">
        <v>229</v>
      </c>
      <c r="D85" s="126" t="s">
        <v>197</v>
      </c>
      <c r="E85" s="65" t="s">
        <v>1852</v>
      </c>
      <c r="G85" s="315">
        <v>45107.25</v>
      </c>
      <c r="H85" s="315">
        <v>45107.256944444445</v>
      </c>
      <c r="I85" s="126" t="s">
        <v>231</v>
      </c>
      <c r="J85" s="126" t="s">
        <v>192</v>
      </c>
      <c r="K85" s="126" t="s">
        <v>192</v>
      </c>
      <c r="L85" s="126" t="s">
        <v>1857</v>
      </c>
      <c r="M85" s="167"/>
      <c r="N85" s="126" t="s">
        <v>284</v>
      </c>
      <c r="O85" s="126" t="s">
        <v>285</v>
      </c>
      <c r="P85" s="126" t="s">
        <v>240</v>
      </c>
      <c r="Q85" s="181">
        <f>3852*2.4</f>
        <v>9244.7999999999993</v>
      </c>
      <c r="R85" s="181">
        <f>9250+100</f>
        <v>9350</v>
      </c>
      <c r="S85" s="181">
        <v>9296.19</v>
      </c>
      <c r="T85" s="181"/>
      <c r="U85" s="319"/>
      <c r="Y85" s="181">
        <f>S85</f>
        <v>9296.19</v>
      </c>
      <c r="AX85" s="165">
        <f t="shared" si="23"/>
        <v>45096.944444444445</v>
      </c>
      <c r="AY85" s="165">
        <f t="shared" si="24"/>
        <v>45111.152777777781</v>
      </c>
      <c r="AZ85" s="137">
        <f t="shared" si="25"/>
        <v>14.208333333335759</v>
      </c>
      <c r="BA85" s="165">
        <v>45096.944444444445</v>
      </c>
      <c r="BB85" s="165">
        <v>45100.559027777781</v>
      </c>
      <c r="BC85" s="165">
        <v>45102.208333333336</v>
      </c>
      <c r="BD85" s="165">
        <v>45104.069444444445</v>
      </c>
      <c r="BE85" s="165">
        <v>45104.25</v>
      </c>
      <c r="BF85" s="165">
        <v>45104.260416666664</v>
      </c>
      <c r="BG85" s="165">
        <v>45104.260416666664</v>
      </c>
      <c r="BH85" s="165">
        <f t="shared" si="19"/>
        <v>45105.96875</v>
      </c>
      <c r="BI85" s="165">
        <v>45106.5</v>
      </c>
      <c r="BJ85" s="165">
        <v>45106.666666666664</v>
      </c>
      <c r="BK85" s="165">
        <v>45106.659722222219</v>
      </c>
      <c r="BL85" s="165">
        <v>45107.958333333336</v>
      </c>
      <c r="BM85" s="165">
        <v>45110.4375</v>
      </c>
      <c r="BN85" s="165">
        <v>45110.736111111109</v>
      </c>
      <c r="BO85" s="165">
        <v>45110.763888888891</v>
      </c>
      <c r="BP85" s="165">
        <v>45110.763888888891</v>
      </c>
      <c r="BQ85" s="165">
        <v>45111.152777777781</v>
      </c>
      <c r="BT85" s="136">
        <f t="shared" si="26"/>
        <v>39.583333333313931</v>
      </c>
      <c r="BU85" s="136">
        <f t="shared" si="27"/>
        <v>4.3333333333139308</v>
      </c>
      <c r="BV85" s="136">
        <f t="shared" si="28"/>
        <v>41.000000000058208</v>
      </c>
      <c r="BW85" s="136">
        <f t="shared" si="35"/>
        <v>31.000000000116415</v>
      </c>
      <c r="BX85" s="135">
        <f t="shared" si="29"/>
        <v>7.1666666666278616</v>
      </c>
      <c r="BY85" s="135">
        <f t="shared" si="30"/>
        <v>9.3333333333721384</v>
      </c>
      <c r="BZ85" s="134">
        <f t="shared" si="31"/>
        <v>5.5173611111167702</v>
      </c>
      <c r="CA85" s="134">
        <f t="shared" si="32"/>
        <v>14.208333333335759</v>
      </c>
      <c r="CB85" s="133">
        <f t="shared" si="33"/>
        <v>0.38831867057706709</v>
      </c>
    </row>
    <row r="86" spans="1:80" s="126" customFormat="1">
      <c r="A86" s="192">
        <f t="shared" si="37"/>
        <v>45104.345138888886</v>
      </c>
      <c r="B86" s="126" t="s">
        <v>228</v>
      </c>
      <c r="C86" s="126" t="s">
        <v>229</v>
      </c>
      <c r="D86" s="126" t="s">
        <v>215</v>
      </c>
      <c r="E86" s="65" t="s">
        <v>1852</v>
      </c>
      <c r="G86" s="315">
        <v>45107.25</v>
      </c>
      <c r="H86" s="315">
        <v>45107.256944444445</v>
      </c>
      <c r="I86" s="126" t="s">
        <v>231</v>
      </c>
      <c r="J86" s="126" t="s">
        <v>192</v>
      </c>
      <c r="K86" s="126" t="s">
        <v>192</v>
      </c>
      <c r="L86" s="126" t="s">
        <v>1858</v>
      </c>
      <c r="M86" s="167"/>
      <c r="N86" s="126" t="s">
        <v>252</v>
      </c>
      <c r="O86" s="126" t="s">
        <v>253</v>
      </c>
      <c r="P86" s="126" t="s">
        <v>240</v>
      </c>
      <c r="Q86" s="181">
        <f>3107*2.4</f>
        <v>7456.7999999999993</v>
      </c>
      <c r="R86" s="181">
        <f>7500+100</f>
        <v>7600</v>
      </c>
      <c r="S86" s="181">
        <v>7541.6629999999996</v>
      </c>
      <c r="T86" s="181"/>
      <c r="Y86" s="181">
        <f>S86</f>
        <v>7541.6629999999996</v>
      </c>
      <c r="AX86" s="165">
        <f t="shared" si="23"/>
        <v>45098.520833333336</v>
      </c>
      <c r="AY86" s="165">
        <f t="shared" si="24"/>
        <v>45111.340277777781</v>
      </c>
      <c r="AZ86" s="137">
        <f t="shared" si="25"/>
        <v>12.819444444445253</v>
      </c>
      <c r="BA86" s="165">
        <v>45098.520833333336</v>
      </c>
      <c r="BB86" s="165">
        <v>45100.765277777777</v>
      </c>
      <c r="BC86" s="165">
        <v>45102.274305555555</v>
      </c>
      <c r="BD86" s="165">
        <v>45104.345138888886</v>
      </c>
      <c r="BE86" s="165">
        <v>45104.496527777781</v>
      </c>
      <c r="BF86" s="165">
        <v>45104.503472222219</v>
      </c>
      <c r="BG86" s="165">
        <v>45104.503472222219</v>
      </c>
      <c r="BH86" s="165">
        <f t="shared" si="19"/>
        <v>45106.211805555555</v>
      </c>
      <c r="BI86" s="165">
        <v>45106.5</v>
      </c>
      <c r="BJ86" s="165">
        <v>45106.666666666664</v>
      </c>
      <c r="BK86" s="165">
        <v>45106.767361111109</v>
      </c>
      <c r="BL86" s="165">
        <v>45108.097222222219</v>
      </c>
      <c r="BM86" s="165">
        <v>45110.805555555555</v>
      </c>
      <c r="BN86" s="165">
        <v>45111.034722222219</v>
      </c>
      <c r="BO86" s="165">
        <v>45111.0625</v>
      </c>
      <c r="BP86" s="165">
        <v>45111.0625</v>
      </c>
      <c r="BQ86" s="165">
        <v>45111.340277777781</v>
      </c>
      <c r="BT86" s="136">
        <f t="shared" si="26"/>
        <v>36.216666666674428</v>
      </c>
      <c r="BU86" s="136">
        <f t="shared" si="27"/>
        <v>3.6333333334769122</v>
      </c>
      <c r="BV86" s="136">
        <f t="shared" si="28"/>
        <v>41.000000000058208</v>
      </c>
      <c r="BW86" s="136">
        <f t="shared" si="35"/>
        <v>34.333333333313931</v>
      </c>
      <c r="BX86" s="135">
        <f t="shared" si="29"/>
        <v>5.4999999999417923</v>
      </c>
      <c r="BY86" s="135">
        <f t="shared" si="30"/>
        <v>6.6666666667442769</v>
      </c>
      <c r="BZ86" s="134">
        <f t="shared" si="31"/>
        <v>5.3062500000087311</v>
      </c>
      <c r="CA86" s="134">
        <f t="shared" si="32"/>
        <v>12.819444444445253</v>
      </c>
      <c r="CB86" s="133">
        <f t="shared" si="33"/>
        <v>0.41392199350011327</v>
      </c>
    </row>
    <row r="87" spans="1:80" s="126" customFormat="1">
      <c r="A87" s="192">
        <f t="shared" si="37"/>
        <v>45104.923611111109</v>
      </c>
      <c r="B87" s="126" t="s">
        <v>228</v>
      </c>
      <c r="C87" s="126" t="s">
        <v>229</v>
      </c>
      <c r="D87" s="126" t="s">
        <v>197</v>
      </c>
      <c r="E87" s="65" t="s">
        <v>1852</v>
      </c>
      <c r="G87" s="315">
        <v>45107.25</v>
      </c>
      <c r="H87" s="315">
        <v>45107.256944444445</v>
      </c>
      <c r="I87" s="126" t="s">
        <v>231</v>
      </c>
      <c r="J87" s="126" t="s">
        <v>192</v>
      </c>
      <c r="K87" s="126" t="s">
        <v>192</v>
      </c>
      <c r="L87" s="126" t="s">
        <v>1859</v>
      </c>
      <c r="M87" s="167"/>
      <c r="N87" s="126" t="s">
        <v>238</v>
      </c>
      <c r="O87" s="126" t="s">
        <v>239</v>
      </c>
      <c r="P87" s="126" t="s">
        <v>240</v>
      </c>
      <c r="Q87" s="181">
        <f>3100*2.4</f>
        <v>7440</v>
      </c>
      <c r="R87" s="181">
        <f>7450+100</f>
        <v>7550</v>
      </c>
      <c r="S87" s="181">
        <v>7498.442</v>
      </c>
      <c r="T87" s="181"/>
      <c r="Y87" s="181">
        <f>S87</f>
        <v>7498.442</v>
      </c>
      <c r="AX87" s="165">
        <f t="shared" si="23"/>
        <v>45098.333333333336</v>
      </c>
      <c r="AY87" s="165">
        <f t="shared" si="24"/>
        <v>45111.986111111109</v>
      </c>
      <c r="AZ87" s="137">
        <f t="shared" si="25"/>
        <v>13.652777777773736</v>
      </c>
      <c r="BA87" s="165">
        <v>45098.333333333336</v>
      </c>
      <c r="BB87" s="165">
        <v>45100.597222222219</v>
      </c>
      <c r="BC87" s="165">
        <v>45102.354166666664</v>
      </c>
      <c r="BD87" s="165">
        <v>45104.923611111109</v>
      </c>
      <c r="BE87" s="165">
        <v>45105.065972222219</v>
      </c>
      <c r="BF87" s="165">
        <v>45105.076388888891</v>
      </c>
      <c r="BG87" s="165">
        <v>45105.295138888891</v>
      </c>
      <c r="BH87" s="165">
        <f t="shared" si="19"/>
        <v>45107.003472222226</v>
      </c>
      <c r="BI87" s="165">
        <v>45107.583333333336</v>
      </c>
      <c r="BJ87" s="165">
        <v>45107.75</v>
      </c>
      <c r="BK87" s="165">
        <v>45107.663194444445</v>
      </c>
      <c r="BL87" s="165">
        <v>45108.833333333336</v>
      </c>
      <c r="BM87" s="165">
        <v>45111.416666666664</v>
      </c>
      <c r="BN87" s="165">
        <v>45111.583333333336</v>
      </c>
      <c r="BO87" s="165">
        <v>45111.604166666664</v>
      </c>
      <c r="BP87" s="165">
        <v>45111.767361111109</v>
      </c>
      <c r="BQ87" s="165">
        <v>45111.986111111109</v>
      </c>
      <c r="BT87" s="136">
        <f t="shared" si="26"/>
        <v>42.166666666686069</v>
      </c>
      <c r="BU87" s="136">
        <f t="shared" si="27"/>
        <v>3.4166666666278616</v>
      </c>
      <c r="BV87" s="136">
        <f t="shared" si="28"/>
        <v>41.000000000058208</v>
      </c>
      <c r="BW87" s="136">
        <f t="shared" si="35"/>
        <v>26.000000000058208</v>
      </c>
      <c r="BX87" s="135">
        <f t="shared" si="29"/>
        <v>4.0000000001164153</v>
      </c>
      <c r="BY87" s="135">
        <f t="shared" si="30"/>
        <v>5.25</v>
      </c>
      <c r="BZ87" s="134">
        <f t="shared" si="31"/>
        <v>5.0763888888977817</v>
      </c>
      <c r="CA87" s="134">
        <f t="shared" si="32"/>
        <v>13.652777777773736</v>
      </c>
      <c r="CB87" s="133">
        <f t="shared" si="33"/>
        <v>0.37182095625711953</v>
      </c>
    </row>
    <row r="88" spans="1:80" s="126" customFormat="1">
      <c r="A88" s="192">
        <f t="shared" si="37"/>
        <v>45106.034722222219</v>
      </c>
      <c r="B88" s="126" t="s">
        <v>228</v>
      </c>
      <c r="C88" s="126" t="s">
        <v>229</v>
      </c>
      <c r="D88" s="126" t="s">
        <v>197</v>
      </c>
      <c r="E88" s="65" t="s">
        <v>1852</v>
      </c>
      <c r="G88" s="315">
        <v>45107.25</v>
      </c>
      <c r="H88" s="315">
        <v>45107.256944444445</v>
      </c>
      <c r="I88" s="126" t="s">
        <v>231</v>
      </c>
      <c r="J88" s="126" t="s">
        <v>192</v>
      </c>
      <c r="K88" s="126" t="s">
        <v>192</v>
      </c>
      <c r="L88" s="126" t="s">
        <v>1860</v>
      </c>
      <c r="M88" s="167"/>
      <c r="N88" s="126" t="s">
        <v>295</v>
      </c>
      <c r="O88" s="126" t="s">
        <v>296</v>
      </c>
      <c r="P88" s="126" t="s">
        <v>1861</v>
      </c>
      <c r="Q88" s="181">
        <f>4118*2.4</f>
        <v>9883.1999999999989</v>
      </c>
      <c r="R88" s="181">
        <f>9900+100</f>
        <v>10000</v>
      </c>
      <c r="S88" s="181">
        <v>9963.3040000000001</v>
      </c>
      <c r="T88" s="181"/>
      <c r="X88" s="181">
        <f>S88*0.5</f>
        <v>4981.652</v>
      </c>
      <c r="Y88" s="181">
        <f>S88*0.5</f>
        <v>4981.652</v>
      </c>
      <c r="AX88" s="165">
        <f t="shared" si="23"/>
        <v>45098.0625</v>
      </c>
      <c r="AY88" s="165">
        <f t="shared" si="24"/>
        <v>45112.298611111109</v>
      </c>
      <c r="AZ88" s="137">
        <f t="shared" si="25"/>
        <v>14.236111111109494</v>
      </c>
      <c r="BA88" s="165">
        <v>45098.0625</v>
      </c>
      <c r="BB88" s="165">
        <v>45100.597222222219</v>
      </c>
      <c r="BC88" s="165">
        <v>45102.375</v>
      </c>
      <c r="BD88" s="165">
        <v>45106.034722222219</v>
      </c>
      <c r="BE88" s="165">
        <v>45106.211805555555</v>
      </c>
      <c r="BF88" s="165">
        <v>45106.222222222219</v>
      </c>
      <c r="BG88" s="165">
        <v>45106.222222222219</v>
      </c>
      <c r="BH88" s="165">
        <f t="shared" si="19"/>
        <v>45107.930555555555</v>
      </c>
      <c r="BI88" s="165">
        <v>45107.583333333336</v>
      </c>
      <c r="BJ88" s="165">
        <v>45107.75</v>
      </c>
      <c r="BK88" s="165">
        <v>45107.697916666664</v>
      </c>
      <c r="BL88" s="165">
        <v>45109.041666666664</v>
      </c>
      <c r="BM88" s="165">
        <v>45111.625</v>
      </c>
      <c r="BN88" s="165">
        <v>45111.826388888891</v>
      </c>
      <c r="BO88" s="165">
        <v>45111.847222222219</v>
      </c>
      <c r="BP88" s="165">
        <v>45112.083333333336</v>
      </c>
      <c r="BQ88" s="165">
        <v>45112.298611111109</v>
      </c>
      <c r="BT88" s="136">
        <f t="shared" si="26"/>
        <v>42.666666666744277</v>
      </c>
      <c r="BU88" s="136">
        <f t="shared" si="27"/>
        <v>4.2500000000582077</v>
      </c>
      <c r="BV88" s="136">
        <f t="shared" si="28"/>
        <v>41.000000000058208</v>
      </c>
      <c r="BW88" s="136">
        <f t="shared" si="35"/>
        <v>30.999999999941792</v>
      </c>
      <c r="BX88" s="135">
        <f t="shared" si="29"/>
        <v>4.8333333333721384</v>
      </c>
      <c r="BY88" s="135">
        <f t="shared" si="30"/>
        <v>5.1666666665696539</v>
      </c>
      <c r="BZ88" s="134">
        <f t="shared" si="31"/>
        <v>5.3715277777810115</v>
      </c>
      <c r="CA88" s="134">
        <f t="shared" si="32"/>
        <v>14.236111111109494</v>
      </c>
      <c r="CB88" s="133">
        <f t="shared" si="33"/>
        <v>0.37731707317100172</v>
      </c>
    </row>
    <row r="89" spans="1:80" s="126" customFormat="1">
      <c r="A89" s="192">
        <f t="shared" si="37"/>
        <v>45104.722222222219</v>
      </c>
      <c r="B89" s="126" t="s">
        <v>228</v>
      </c>
      <c r="C89" s="126" t="s">
        <v>229</v>
      </c>
      <c r="D89" s="126" t="s">
        <v>215</v>
      </c>
      <c r="E89" s="65" t="s">
        <v>1852</v>
      </c>
      <c r="G89" s="315">
        <v>45107.25</v>
      </c>
      <c r="H89" s="315">
        <v>45107.256944444445</v>
      </c>
      <c r="I89" s="126" t="s">
        <v>231</v>
      </c>
      <c r="J89" s="126" t="s">
        <v>192</v>
      </c>
      <c r="K89" s="126" t="s">
        <v>192</v>
      </c>
      <c r="L89" s="126" t="s">
        <v>1862</v>
      </c>
      <c r="M89" s="167"/>
      <c r="N89" s="126" t="s">
        <v>422</v>
      </c>
      <c r="O89" s="126" t="s">
        <v>375</v>
      </c>
      <c r="P89" s="126" t="s">
        <v>235</v>
      </c>
      <c r="Q89" s="181">
        <f>3097*2.4</f>
        <v>7432.7999999999993</v>
      </c>
      <c r="R89" s="181">
        <f>7450+100</f>
        <v>7550</v>
      </c>
      <c r="S89" s="181">
        <f>7504.48-2451.006</f>
        <v>5053.4740000000002</v>
      </c>
      <c r="T89" s="181"/>
      <c r="X89" s="181">
        <f>S89</f>
        <v>5053.4740000000002</v>
      </c>
      <c r="AX89" s="165">
        <f t="shared" si="23"/>
        <v>45093.621527777781</v>
      </c>
      <c r="AY89" s="165">
        <f t="shared" si="24"/>
        <v>45112.159722222219</v>
      </c>
      <c r="AZ89" s="137">
        <f t="shared" si="25"/>
        <v>18.538194444437977</v>
      </c>
      <c r="BA89" s="165">
        <v>45093.621527777781</v>
      </c>
      <c r="BB89" s="165">
        <v>45100.788194444445</v>
      </c>
      <c r="BC89" s="165">
        <v>45102.440972222219</v>
      </c>
      <c r="BD89" s="165">
        <v>45104.722222222219</v>
      </c>
      <c r="BE89" s="165">
        <v>45104.895833333336</v>
      </c>
      <c r="BF89" s="165">
        <v>45104.899305555555</v>
      </c>
      <c r="BG89" s="165">
        <v>45105.319444444445</v>
      </c>
      <c r="BH89" s="165">
        <f t="shared" si="19"/>
        <v>45107.027777777781</v>
      </c>
      <c r="BI89" s="165">
        <v>45107.583333333336</v>
      </c>
      <c r="BJ89" s="165">
        <v>45107.75</v>
      </c>
      <c r="BK89" s="165">
        <v>45107.690972222219</v>
      </c>
      <c r="BL89" s="165">
        <v>45108.975694444445</v>
      </c>
      <c r="BM89" s="165">
        <v>45111.875</v>
      </c>
      <c r="BN89" s="165">
        <v>45112.083333333336</v>
      </c>
      <c r="BO89" s="165">
        <v>45112.159722222219</v>
      </c>
      <c r="BP89" s="165">
        <v>45112.159722222219</v>
      </c>
      <c r="BQ89" s="165">
        <v>45112.159722222219</v>
      </c>
      <c r="BR89" s="126" t="s">
        <v>1863</v>
      </c>
      <c r="BT89" s="136">
        <f t="shared" si="26"/>
        <v>39.666666666569654</v>
      </c>
      <c r="BU89" s="136">
        <f t="shared" si="27"/>
        <v>4.1666666668024845</v>
      </c>
      <c r="BV89" s="136">
        <f t="shared" si="28"/>
        <v>41.000000000058208</v>
      </c>
      <c r="BW89" s="136">
        <f t="shared" si="35"/>
        <v>29.416666666686069</v>
      </c>
      <c r="BX89" s="135">
        <f t="shared" si="29"/>
        <v>5.0000000000582077</v>
      </c>
      <c r="BY89" s="135">
        <f t="shared" si="30"/>
        <v>0</v>
      </c>
      <c r="BZ89" s="134">
        <f t="shared" si="31"/>
        <v>4.968750000007276</v>
      </c>
      <c r="CA89" s="134">
        <f t="shared" si="32"/>
        <v>18.538194444437977</v>
      </c>
      <c r="CB89" s="133">
        <f t="shared" si="33"/>
        <v>0.26802772054740487</v>
      </c>
    </row>
    <row r="90" spans="1:80" s="126" customFormat="1">
      <c r="A90" s="192">
        <f t="shared" si="37"/>
        <v>45104.722222222219</v>
      </c>
      <c r="B90" s="126" t="s">
        <v>228</v>
      </c>
      <c r="C90" s="126" t="s">
        <v>229</v>
      </c>
      <c r="D90" s="126" t="s">
        <v>215</v>
      </c>
      <c r="E90" s="65" t="s">
        <v>1864</v>
      </c>
      <c r="G90" s="315">
        <v>45118.375</v>
      </c>
      <c r="H90" s="315">
        <v>45118.384722222225</v>
      </c>
      <c r="I90" s="126" t="s">
        <v>231</v>
      </c>
      <c r="J90" s="126" t="s">
        <v>192</v>
      </c>
      <c r="K90" s="126" t="s">
        <v>192</v>
      </c>
      <c r="L90" s="126" t="s">
        <v>1862</v>
      </c>
      <c r="M90" s="167"/>
      <c r="N90" s="126" t="s">
        <v>422</v>
      </c>
      <c r="O90" s="126" t="s">
        <v>375</v>
      </c>
      <c r="P90" s="126" t="s">
        <v>235</v>
      </c>
      <c r="Q90" s="181">
        <f>3097*2.4</f>
        <v>7432.7999999999993</v>
      </c>
      <c r="R90" s="181">
        <f>7450+100</f>
        <v>7550</v>
      </c>
      <c r="S90" s="181">
        <v>2442</v>
      </c>
      <c r="T90" s="181"/>
      <c r="X90" s="181">
        <f>S90</f>
        <v>2442</v>
      </c>
      <c r="AX90" s="165">
        <f t="shared" si="23"/>
        <v>45093.621527777781</v>
      </c>
      <c r="AY90" s="165">
        <f t="shared" si="24"/>
        <v>45120.826388888891</v>
      </c>
      <c r="AZ90" s="137">
        <f t="shared" si="25"/>
        <v>27.204861111109494</v>
      </c>
      <c r="BA90" s="165">
        <v>45093.621527777781</v>
      </c>
      <c r="BB90" s="165">
        <v>45100.788194444445</v>
      </c>
      <c r="BC90" s="165">
        <v>45102.440972222219</v>
      </c>
      <c r="BD90" s="165">
        <v>45104.722222222219</v>
      </c>
      <c r="BE90" s="165">
        <v>45104.895833333336</v>
      </c>
      <c r="BF90" s="165">
        <v>45104.899305555555</v>
      </c>
      <c r="BG90" s="165">
        <v>45105.319444444445</v>
      </c>
      <c r="BH90" s="165">
        <f t="shared" si="19"/>
        <v>45107.027777777781</v>
      </c>
      <c r="BI90" s="165">
        <v>45107.583333333336</v>
      </c>
      <c r="BJ90" s="165">
        <v>45107.75</v>
      </c>
      <c r="BK90" s="165">
        <v>45107.690972222219</v>
      </c>
      <c r="BL90" s="165">
        <v>45112.159722222219</v>
      </c>
      <c r="BM90" s="165">
        <v>45120.447916666664</v>
      </c>
      <c r="BN90" s="165">
        <v>45120.486111111109</v>
      </c>
      <c r="BO90" s="165">
        <v>45120.506944444445</v>
      </c>
      <c r="BP90" s="165">
        <v>45120.506944444445</v>
      </c>
      <c r="BQ90" s="165">
        <v>45120.826388888891</v>
      </c>
      <c r="BR90" s="126" t="s">
        <v>1863</v>
      </c>
      <c r="BT90" s="136">
        <f t="shared" si="26"/>
        <v>39.666666666569654</v>
      </c>
      <c r="BU90" s="136">
        <f t="shared" si="27"/>
        <v>4.1666666668024845</v>
      </c>
      <c r="BV90" s="136">
        <f t="shared" si="28"/>
        <v>41.000000000058208</v>
      </c>
      <c r="BW90" s="136">
        <f t="shared" si="35"/>
        <v>105.83333333325572</v>
      </c>
      <c r="BX90" s="135">
        <f t="shared" si="29"/>
        <v>0.91666666668606922</v>
      </c>
      <c r="BY90" s="135">
        <f t="shared" si="30"/>
        <v>7.6666666666860692</v>
      </c>
      <c r="BZ90" s="134">
        <f t="shared" si="31"/>
        <v>8.3020833333357587</v>
      </c>
      <c r="CA90" s="134">
        <f t="shared" si="32"/>
        <v>27.204861111109494</v>
      </c>
      <c r="CB90" s="133">
        <f t="shared" si="33"/>
        <v>0.30516911295479776</v>
      </c>
    </row>
    <row r="91" spans="1:80" s="126" customFormat="1">
      <c r="A91" s="192">
        <f t="shared" si="37"/>
        <v>45107.390277777777</v>
      </c>
      <c r="B91" s="126" t="s">
        <v>228</v>
      </c>
      <c r="C91" s="126" t="s">
        <v>229</v>
      </c>
      <c r="D91" s="126" t="s">
        <v>197</v>
      </c>
      <c r="E91" s="65" t="s">
        <v>1751</v>
      </c>
      <c r="G91" s="165">
        <v>45115.083333333336</v>
      </c>
      <c r="H91" s="165">
        <v>45115.041666666664</v>
      </c>
      <c r="I91" s="126" t="s">
        <v>243</v>
      </c>
      <c r="J91" s="126" t="s">
        <v>192</v>
      </c>
      <c r="K91" s="126" t="s">
        <v>192</v>
      </c>
      <c r="L91" s="126" t="s">
        <v>1865</v>
      </c>
      <c r="M91" s="167"/>
      <c r="N91" s="126" t="s">
        <v>361</v>
      </c>
      <c r="O91" s="126" t="s">
        <v>362</v>
      </c>
      <c r="P91" s="126" t="s">
        <v>235</v>
      </c>
      <c r="Q91" s="181">
        <f>3039*2.4</f>
        <v>7293.5999999999995</v>
      </c>
      <c r="R91" s="181">
        <f>7300+100</f>
        <v>7400</v>
      </c>
      <c r="S91" s="181">
        <v>7522.1080000000002</v>
      </c>
      <c r="T91" s="181"/>
      <c r="X91" s="181">
        <f>S91</f>
        <v>7522.1080000000002</v>
      </c>
      <c r="AX91" s="165">
        <f t="shared" si="23"/>
        <v>45099.916666666664</v>
      </c>
      <c r="AY91" s="165">
        <f t="shared" si="24"/>
        <v>45113.895833333336</v>
      </c>
      <c r="AZ91" s="137">
        <f t="shared" si="25"/>
        <v>13.979166666671517</v>
      </c>
      <c r="BA91" s="165">
        <v>45099.916666666664</v>
      </c>
      <c r="BB91" s="165">
        <v>45101.604166666664</v>
      </c>
      <c r="BC91" s="165">
        <v>45103.333333333336</v>
      </c>
      <c r="BD91" s="165">
        <v>45107.390277777777</v>
      </c>
      <c r="BE91" s="165">
        <v>45107.506944444445</v>
      </c>
      <c r="BF91" s="165">
        <v>45107.510416666664</v>
      </c>
      <c r="BG91" s="165">
        <v>45107.510416666664</v>
      </c>
      <c r="BH91" s="165">
        <f t="shared" si="19"/>
        <v>45109.21875</v>
      </c>
      <c r="BI91" s="165">
        <v>45109.229166666664</v>
      </c>
      <c r="BJ91" s="165">
        <v>45109.395833333328</v>
      </c>
      <c r="BK91" s="165">
        <v>45109.288194444445</v>
      </c>
      <c r="BL91" s="165">
        <v>45112.048611111109</v>
      </c>
      <c r="BM91" s="165">
        <v>45113.163194444445</v>
      </c>
      <c r="BN91" s="165">
        <v>45113.388888888891</v>
      </c>
      <c r="BO91" s="165">
        <v>45113.402777777781</v>
      </c>
      <c r="BP91" s="165">
        <v>45113.40625</v>
      </c>
      <c r="BQ91" s="165">
        <v>45113.895833333336</v>
      </c>
      <c r="BT91" s="136">
        <f t="shared" si="26"/>
        <v>41.500000000116415</v>
      </c>
      <c r="BU91" s="136">
        <f t="shared" si="27"/>
        <v>2.8000000000465661</v>
      </c>
      <c r="BV91" s="136">
        <f t="shared" si="28"/>
        <v>41.000000000058208</v>
      </c>
      <c r="BW91" s="136">
        <f t="shared" si="35"/>
        <v>63.666666666744277</v>
      </c>
      <c r="BX91" s="135">
        <f t="shared" si="29"/>
        <v>5.4166666666860692</v>
      </c>
      <c r="BY91" s="135">
        <f t="shared" si="30"/>
        <v>11.750000000058208</v>
      </c>
      <c r="BZ91" s="134">
        <f t="shared" si="31"/>
        <v>6.922222222237906</v>
      </c>
      <c r="CA91" s="134">
        <f t="shared" si="32"/>
        <v>13.979166666671517</v>
      </c>
      <c r="CB91" s="133">
        <f t="shared" si="33"/>
        <v>0.49518132141177973</v>
      </c>
    </row>
    <row r="92" spans="1:80" s="126" customFormat="1">
      <c r="A92" s="192">
        <f t="shared" si="37"/>
        <v>45107.71875</v>
      </c>
      <c r="B92" s="126" t="s">
        <v>228</v>
      </c>
      <c r="C92" s="126" t="s">
        <v>229</v>
      </c>
      <c r="D92" s="126" t="s">
        <v>215</v>
      </c>
      <c r="E92" s="65" t="s">
        <v>1751</v>
      </c>
      <c r="G92" s="165">
        <v>45115.083333333336</v>
      </c>
      <c r="H92" s="165">
        <v>45115.041666666664</v>
      </c>
      <c r="I92" s="126" t="s">
        <v>243</v>
      </c>
      <c r="J92" s="126" t="s">
        <v>192</v>
      </c>
      <c r="K92" s="126" t="s">
        <v>192</v>
      </c>
      <c r="L92" s="126" t="s">
        <v>1866</v>
      </c>
      <c r="M92" s="167"/>
      <c r="N92" s="126" t="s">
        <v>1230</v>
      </c>
      <c r="O92" s="126" t="s">
        <v>1231</v>
      </c>
      <c r="P92" s="126" t="s">
        <v>240</v>
      </c>
      <c r="Q92" s="181">
        <f>3107*2.4</f>
        <v>7456.7999999999993</v>
      </c>
      <c r="R92" s="181">
        <f>7500+100</f>
        <v>7600</v>
      </c>
      <c r="S92" s="181">
        <v>7520.4319999999998</v>
      </c>
      <c r="T92" s="181"/>
      <c r="Y92" s="181">
        <f>S92</f>
        <v>7520.4319999999998</v>
      </c>
      <c r="AX92" s="165">
        <f t="shared" si="23"/>
        <v>45096.482638888891</v>
      </c>
      <c r="AY92" s="165">
        <f t="shared" si="24"/>
        <v>45114.986111111109</v>
      </c>
      <c r="AZ92" s="137">
        <f t="shared" si="25"/>
        <v>18.503472222218988</v>
      </c>
      <c r="BA92" s="165">
        <v>45096.482638888891</v>
      </c>
      <c r="BB92" s="165">
        <v>45098.555555555555</v>
      </c>
      <c r="BC92" s="165">
        <v>45104.166666666664</v>
      </c>
      <c r="BD92" s="165">
        <v>45107.71875</v>
      </c>
      <c r="BE92" s="165">
        <v>45107.899305555555</v>
      </c>
      <c r="BF92" s="165">
        <v>45107.909722222219</v>
      </c>
      <c r="BG92" s="165">
        <v>45107.909722222219</v>
      </c>
      <c r="BH92" s="165">
        <f t="shared" si="19"/>
        <v>45109.618055555555</v>
      </c>
      <c r="BI92" s="165">
        <v>45110.229166608799</v>
      </c>
      <c r="BJ92" s="165">
        <v>45110.395833275463</v>
      </c>
      <c r="BK92" s="165">
        <v>45110.361111111109</v>
      </c>
      <c r="BL92" s="165">
        <v>45112.368055555555</v>
      </c>
      <c r="BM92" s="165">
        <v>45114.229166666664</v>
      </c>
      <c r="BN92" s="165">
        <v>45114.479166666664</v>
      </c>
      <c r="BO92" s="165">
        <v>45114.5</v>
      </c>
      <c r="BP92" s="165">
        <v>45114.503472222219</v>
      </c>
      <c r="BQ92" s="165">
        <v>45114.986111111109</v>
      </c>
      <c r="BT92" s="136">
        <f t="shared" si="26"/>
        <v>134.66666666662786</v>
      </c>
      <c r="BU92" s="136">
        <f t="shared" si="27"/>
        <v>4.3333333333139308</v>
      </c>
      <c r="BV92" s="136">
        <f t="shared" si="28"/>
        <v>41.000000000058208</v>
      </c>
      <c r="BW92" s="136">
        <f t="shared" si="35"/>
        <v>47.333334722206928</v>
      </c>
      <c r="BX92" s="135">
        <f t="shared" si="29"/>
        <v>6</v>
      </c>
      <c r="BY92" s="135">
        <f t="shared" si="30"/>
        <v>11.583333333372138</v>
      </c>
      <c r="BZ92" s="134">
        <f t="shared" si="31"/>
        <v>10.204861168982461</v>
      </c>
      <c r="CA92" s="134">
        <f t="shared" si="32"/>
        <v>18.503472222218988</v>
      </c>
      <c r="CB92" s="133">
        <f t="shared" si="33"/>
        <v>0.55151060549211151</v>
      </c>
    </row>
    <row r="93" spans="1:80" s="126" customFormat="1">
      <c r="A93" s="192">
        <f t="shared" si="37"/>
        <v>45107.934027777781</v>
      </c>
      <c r="B93" s="126" t="s">
        <v>228</v>
      </c>
      <c r="C93" s="126" t="s">
        <v>229</v>
      </c>
      <c r="D93" s="126" t="s">
        <v>197</v>
      </c>
      <c r="E93" s="65" t="s">
        <v>1751</v>
      </c>
      <c r="G93" s="165">
        <v>45115.083333333336</v>
      </c>
      <c r="H93" s="165">
        <v>45115.041666666664</v>
      </c>
      <c r="I93" s="126" t="s">
        <v>243</v>
      </c>
      <c r="J93" s="126" t="s">
        <v>192</v>
      </c>
      <c r="K93" s="126" t="s">
        <v>192</v>
      </c>
      <c r="L93" s="126" t="s">
        <v>1867</v>
      </c>
      <c r="M93" s="167"/>
      <c r="N93" s="126" t="s">
        <v>288</v>
      </c>
      <c r="O93" s="126" t="s">
        <v>289</v>
      </c>
      <c r="P93" s="126" t="s">
        <v>235</v>
      </c>
      <c r="Q93" s="181">
        <f>3107*2.4</f>
        <v>7456.7999999999993</v>
      </c>
      <c r="R93" s="181">
        <f>7500+100</f>
        <v>7600</v>
      </c>
      <c r="S93" s="181">
        <v>7513.3010000000004</v>
      </c>
      <c r="T93" s="181"/>
      <c r="X93" s="181">
        <f>S93</f>
        <v>7513.3010000000004</v>
      </c>
      <c r="AX93" s="165">
        <f t="shared" si="23"/>
        <v>45101.947916666664</v>
      </c>
      <c r="AY93" s="165">
        <f t="shared" si="24"/>
        <v>45114.611111111109</v>
      </c>
      <c r="AZ93" s="137">
        <f t="shared" si="25"/>
        <v>12.663194444445253</v>
      </c>
      <c r="BA93" s="165">
        <v>45101.947916666664</v>
      </c>
      <c r="BB93" s="165">
        <v>45102.885416666664</v>
      </c>
      <c r="BC93" s="165">
        <v>45104.333333333336</v>
      </c>
      <c r="BD93" s="165">
        <v>45107.934027777781</v>
      </c>
      <c r="BE93" s="165">
        <v>45108.079861111109</v>
      </c>
      <c r="BF93" s="165">
        <v>45108.086805555555</v>
      </c>
      <c r="BG93" s="165">
        <v>45108.291666666664</v>
      </c>
      <c r="BH93" s="165">
        <f t="shared" si="19"/>
        <v>45110</v>
      </c>
      <c r="BI93" s="165">
        <v>45110.229166608799</v>
      </c>
      <c r="BJ93" s="165">
        <v>45110.395833275463</v>
      </c>
      <c r="BK93" s="165">
        <v>45110.28125</v>
      </c>
      <c r="BL93" s="165">
        <v>45112.097222222219</v>
      </c>
      <c r="BM93" s="165">
        <v>45113.857638888891</v>
      </c>
      <c r="BN93" s="165">
        <v>45114.131944444445</v>
      </c>
      <c r="BO93" s="165">
        <v>45114.152777777781</v>
      </c>
      <c r="BP93" s="165">
        <v>45114.15625</v>
      </c>
      <c r="BQ93" s="165">
        <v>45114.611111111109</v>
      </c>
      <c r="BT93" s="136">
        <f t="shared" si="26"/>
        <v>34.750000000116415</v>
      </c>
      <c r="BU93" s="136">
        <f t="shared" si="27"/>
        <v>3.4999999998835847</v>
      </c>
      <c r="BV93" s="136">
        <f t="shared" si="28"/>
        <v>41.000000000058208</v>
      </c>
      <c r="BW93" s="136">
        <f t="shared" si="35"/>
        <v>40.83333472214872</v>
      </c>
      <c r="BX93" s="135">
        <f t="shared" si="29"/>
        <v>6.5833333333139308</v>
      </c>
      <c r="BY93" s="135">
        <f t="shared" si="30"/>
        <v>10.916666666627862</v>
      </c>
      <c r="BZ93" s="134">
        <f t="shared" si="31"/>
        <v>5.7326389467561967</v>
      </c>
      <c r="CA93" s="134">
        <f t="shared" si="32"/>
        <v>12.663194444445253</v>
      </c>
      <c r="CB93" s="133">
        <f t="shared" si="33"/>
        <v>0.45270085458340531</v>
      </c>
    </row>
    <row r="94" spans="1:80" s="126" customFormat="1">
      <c r="A94" s="192">
        <f t="shared" si="37"/>
        <v>45108.104166666664</v>
      </c>
      <c r="B94" s="126" t="s">
        <v>228</v>
      </c>
      <c r="C94" s="126" t="s">
        <v>229</v>
      </c>
      <c r="D94" s="126" t="s">
        <v>215</v>
      </c>
      <c r="E94" s="65" t="s">
        <v>1751</v>
      </c>
      <c r="G94" s="165">
        <v>45115.083333333336</v>
      </c>
      <c r="H94" s="165">
        <v>45115.041666666664</v>
      </c>
      <c r="I94" s="126" t="s">
        <v>243</v>
      </c>
      <c r="J94" s="126" t="s">
        <v>192</v>
      </c>
      <c r="K94" s="126" t="s">
        <v>192</v>
      </c>
      <c r="L94" s="126" t="s">
        <v>1868</v>
      </c>
      <c r="M94" s="167"/>
      <c r="N94" s="126" t="s">
        <v>774</v>
      </c>
      <c r="O94" s="126" t="s">
        <v>423</v>
      </c>
      <c r="P94" s="126" t="s">
        <v>235</v>
      </c>
      <c r="Q94" s="181">
        <f>3156*2.4</f>
        <v>7574.4</v>
      </c>
      <c r="R94" s="181">
        <f>7600+100</f>
        <v>7700</v>
      </c>
      <c r="S94" s="181">
        <v>7696.7380000000003</v>
      </c>
      <c r="T94" s="181"/>
      <c r="X94" s="181">
        <f>S94</f>
        <v>7696.7380000000003</v>
      </c>
      <c r="AX94" s="165">
        <f t="shared" si="23"/>
        <v>45101.625</v>
      </c>
      <c r="AY94" s="165">
        <f t="shared" si="24"/>
        <v>45113.625</v>
      </c>
      <c r="AZ94" s="137">
        <f t="shared" si="25"/>
        <v>12</v>
      </c>
      <c r="BA94" s="165">
        <v>45101.625</v>
      </c>
      <c r="BB94" s="165">
        <v>45102.569444444445</v>
      </c>
      <c r="BC94" s="165">
        <v>45104.375</v>
      </c>
      <c r="BD94" s="165">
        <v>45108.104166666664</v>
      </c>
      <c r="BE94" s="165">
        <v>45108.232638888891</v>
      </c>
      <c r="BF94" s="165">
        <v>45108.236111111109</v>
      </c>
      <c r="BG94" s="165">
        <v>45108.236111111109</v>
      </c>
      <c r="BH94" s="165">
        <f t="shared" si="19"/>
        <v>45109.944444444445</v>
      </c>
      <c r="BI94" s="165">
        <v>45110.229166608799</v>
      </c>
      <c r="BJ94" s="165">
        <v>45110.395833275463</v>
      </c>
      <c r="BK94" s="165">
        <v>45110.378472222219</v>
      </c>
      <c r="BL94" s="165">
        <v>45111.8125</v>
      </c>
      <c r="BM94" s="165">
        <v>45112.822916666664</v>
      </c>
      <c r="BN94" s="165">
        <v>45113.059027777781</v>
      </c>
      <c r="BO94" s="165">
        <v>45113.097222222219</v>
      </c>
      <c r="BP94" s="165">
        <v>45113.100694444445</v>
      </c>
      <c r="BQ94" s="165">
        <v>45113.625</v>
      </c>
      <c r="BT94" s="136">
        <f t="shared" si="26"/>
        <v>43.333333333313931</v>
      </c>
      <c r="BU94" s="136">
        <f t="shared" si="27"/>
        <v>3.0833333334303461</v>
      </c>
      <c r="BV94" s="136">
        <f t="shared" si="28"/>
        <v>41.000000000058208</v>
      </c>
      <c r="BW94" s="136">
        <f t="shared" si="35"/>
        <v>34.000001388892997</v>
      </c>
      <c r="BX94" s="135">
        <f t="shared" si="29"/>
        <v>5.6666666668024845</v>
      </c>
      <c r="BY94" s="135">
        <f t="shared" si="30"/>
        <v>12.583333333313931</v>
      </c>
      <c r="BZ94" s="134">
        <f t="shared" si="31"/>
        <v>5.8194445023254957</v>
      </c>
      <c r="CA94" s="134">
        <f t="shared" si="32"/>
        <v>12</v>
      </c>
      <c r="CB94" s="133">
        <f t="shared" si="33"/>
        <v>0.48495370852712466</v>
      </c>
    </row>
    <row r="95" spans="1:80" s="126" customFormat="1">
      <c r="A95" s="192">
        <f t="shared" si="37"/>
        <v>45094.585416666669</v>
      </c>
      <c r="B95" s="126" t="s">
        <v>228</v>
      </c>
      <c r="C95" s="126" t="s">
        <v>229</v>
      </c>
      <c r="D95" s="126" t="s">
        <v>197</v>
      </c>
      <c r="E95" s="65" t="s">
        <v>1801</v>
      </c>
      <c r="G95" s="73">
        <v>45095.3125</v>
      </c>
      <c r="H95" s="73">
        <v>45095.275000000001</v>
      </c>
      <c r="I95" s="126" t="s">
        <v>1031</v>
      </c>
      <c r="J95" s="115" t="s">
        <v>192</v>
      </c>
      <c r="K95" s="115" t="s">
        <v>192</v>
      </c>
      <c r="L95" s="126" t="s">
        <v>1869</v>
      </c>
      <c r="M95" s="167"/>
      <c r="N95" s="126" t="s">
        <v>208</v>
      </c>
      <c r="O95" s="126" t="s">
        <v>328</v>
      </c>
      <c r="P95" s="126" t="s">
        <v>173</v>
      </c>
      <c r="Q95" s="181">
        <f>3128*2.4</f>
        <v>7507.2</v>
      </c>
      <c r="R95" s="181">
        <f>7550+100</f>
        <v>7650</v>
      </c>
      <c r="S95" s="181">
        <v>7504.348</v>
      </c>
      <c r="T95" s="181"/>
      <c r="AA95" s="181">
        <f>S95</f>
        <v>7504.348</v>
      </c>
      <c r="AX95" s="165">
        <f t="shared" si="23"/>
        <v>45091.215277777781</v>
      </c>
      <c r="AY95" s="165">
        <f t="shared" si="24"/>
        <v>45099.430555555555</v>
      </c>
      <c r="AZ95" s="137">
        <f t="shared" si="25"/>
        <v>8.2152777777737356</v>
      </c>
      <c r="BA95" s="165">
        <v>45091.215277777781</v>
      </c>
      <c r="BB95" s="165">
        <v>45091.847222222219</v>
      </c>
      <c r="BC95" s="165">
        <v>45093.583333333336</v>
      </c>
      <c r="BD95" s="165">
        <v>45094.585416666669</v>
      </c>
      <c r="BE95" s="165">
        <v>45094.930555555555</v>
      </c>
      <c r="BF95" s="165">
        <v>45094.9375</v>
      </c>
      <c r="BG95" s="165">
        <v>45094.9375</v>
      </c>
      <c r="BH95" s="165">
        <f t="shared" si="19"/>
        <v>45096.645833333336</v>
      </c>
      <c r="BI95" s="165">
        <v>45097.25</v>
      </c>
      <c r="BJ95" s="165">
        <v>45097.416666666664</v>
      </c>
      <c r="BK95" s="165">
        <v>45097.4375</v>
      </c>
      <c r="BL95" s="165">
        <v>45098.604166666664</v>
      </c>
      <c r="BM95" s="165">
        <v>45098.701388888891</v>
      </c>
      <c r="BN95" s="165">
        <v>45099.125</v>
      </c>
      <c r="BO95" s="165">
        <v>45099.138888888891</v>
      </c>
      <c r="BP95" s="165">
        <v>45099.138888888891</v>
      </c>
      <c r="BQ95" s="165">
        <v>45099.430555555555</v>
      </c>
      <c r="BT95" s="136">
        <f t="shared" si="26"/>
        <v>41.666666666802485</v>
      </c>
      <c r="BU95" s="136">
        <f t="shared" si="27"/>
        <v>8.2833333332673647</v>
      </c>
      <c r="BV95" s="136">
        <f t="shared" si="28"/>
        <v>41.000000000058208</v>
      </c>
      <c r="BW95" s="136">
        <f t="shared" si="35"/>
        <v>28.5</v>
      </c>
      <c r="BX95" s="135">
        <f t="shared" si="29"/>
        <v>10.166666666627862</v>
      </c>
      <c r="BY95" s="135">
        <f t="shared" si="30"/>
        <v>6.9999999999417923</v>
      </c>
      <c r="BZ95" s="134">
        <f t="shared" si="31"/>
        <v>5.6923611111124046</v>
      </c>
      <c r="CA95" s="134">
        <f t="shared" si="32"/>
        <v>8.2152777777737356</v>
      </c>
      <c r="CB95" s="133">
        <f t="shared" si="33"/>
        <v>0.69289940828452201</v>
      </c>
    </row>
    <row r="96" spans="1:80" s="126" customFormat="1">
      <c r="A96" s="192">
        <f t="shared" si="37"/>
        <v>45100.822916666664</v>
      </c>
      <c r="B96" s="126" t="s">
        <v>228</v>
      </c>
      <c r="C96" s="126" t="s">
        <v>229</v>
      </c>
      <c r="D96" s="126" t="s">
        <v>197</v>
      </c>
      <c r="E96" s="65" t="s">
        <v>1751</v>
      </c>
      <c r="G96" s="165">
        <v>45115.083333333336</v>
      </c>
      <c r="H96" s="165">
        <v>45115.041666666664</v>
      </c>
      <c r="I96" s="126" t="s">
        <v>1550</v>
      </c>
      <c r="J96" s="126" t="s">
        <v>192</v>
      </c>
      <c r="K96" s="126" t="s">
        <v>192</v>
      </c>
      <c r="L96" s="126" t="s">
        <v>1870</v>
      </c>
      <c r="M96" s="167"/>
      <c r="N96" s="126" t="s">
        <v>304</v>
      </c>
      <c r="O96" s="126" t="s">
        <v>305</v>
      </c>
      <c r="P96" s="126" t="s">
        <v>173</v>
      </c>
      <c r="Q96" s="181">
        <f>3107*2.4</f>
        <v>7456.7999999999993</v>
      </c>
      <c r="R96" s="181">
        <f>7500+100</f>
        <v>7600</v>
      </c>
      <c r="S96" s="181">
        <v>7694.7070000000003</v>
      </c>
      <c r="T96" s="181"/>
      <c r="AA96" s="181">
        <f>S96</f>
        <v>7694.7070000000003</v>
      </c>
      <c r="AX96" s="165">
        <f t="shared" si="23"/>
        <v>45094.270833333336</v>
      </c>
      <c r="AY96" s="165">
        <f t="shared" si="24"/>
        <v>45109.277777777781</v>
      </c>
      <c r="AZ96" s="137">
        <f t="shared" si="25"/>
        <v>15.006944444445253</v>
      </c>
      <c r="BA96" s="165">
        <v>45094.270833333336</v>
      </c>
      <c r="BB96" s="165">
        <v>45096.847222222219</v>
      </c>
      <c r="BC96" s="165">
        <v>45098.614583333336</v>
      </c>
      <c r="BD96" s="165">
        <v>45100.822916666664</v>
      </c>
      <c r="BE96" s="165">
        <v>45101.178472222222</v>
      </c>
      <c r="BF96" s="165">
        <v>45101.1875</v>
      </c>
      <c r="BG96" s="165">
        <v>45101.288194444445</v>
      </c>
      <c r="BH96" s="165">
        <f t="shared" si="19"/>
        <v>45102.996527777781</v>
      </c>
      <c r="BI96" s="165">
        <v>45103.25</v>
      </c>
      <c r="BJ96" s="165">
        <v>45103.25</v>
      </c>
      <c r="BK96" s="165">
        <v>45103.313888888886</v>
      </c>
      <c r="BL96" s="165">
        <v>45105.229166666664</v>
      </c>
      <c r="BM96" s="165">
        <v>45108.315972222219</v>
      </c>
      <c r="BN96" s="165">
        <v>45108.736111111109</v>
      </c>
      <c r="BO96" s="165">
        <v>45108.75</v>
      </c>
      <c r="BP96" s="165">
        <v>45108.753472222219</v>
      </c>
      <c r="BQ96" s="165">
        <v>45109.277777777781</v>
      </c>
      <c r="BT96" s="136">
        <f t="shared" si="26"/>
        <v>42.416666666802485</v>
      </c>
      <c r="BU96" s="136">
        <f t="shared" si="27"/>
        <v>8.53333333338378</v>
      </c>
      <c r="BV96" s="136">
        <f t="shared" si="28"/>
        <v>41.000000000058208</v>
      </c>
      <c r="BW96" s="136">
        <f t="shared" si="35"/>
        <v>47.499999999941792</v>
      </c>
      <c r="BX96" s="135">
        <f t="shared" si="29"/>
        <v>10.083333333372138</v>
      </c>
      <c r="BY96" s="135">
        <f t="shared" si="30"/>
        <v>12.583333333488554</v>
      </c>
      <c r="BZ96" s="134">
        <f t="shared" si="31"/>
        <v>6.7548611111269565</v>
      </c>
      <c r="CA96" s="134">
        <f t="shared" si="32"/>
        <v>15.006944444445253</v>
      </c>
      <c r="CB96" s="133">
        <f t="shared" si="33"/>
        <v>0.45011568718289185</v>
      </c>
    </row>
    <row r="97" spans="1:82" s="126" customFormat="1">
      <c r="A97" s="192">
        <f t="shared" si="37"/>
        <v>45079.645833333336</v>
      </c>
      <c r="B97" s="126" t="s">
        <v>188</v>
      </c>
      <c r="C97" s="126" t="s">
        <v>81</v>
      </c>
      <c r="D97" s="126" t="s">
        <v>197</v>
      </c>
      <c r="E97" s="65" t="s">
        <v>1689</v>
      </c>
      <c r="G97" s="73">
        <v>45085.958333333336</v>
      </c>
      <c r="H97" s="73">
        <v>45085.895833333336</v>
      </c>
      <c r="I97" s="126" t="s">
        <v>443</v>
      </c>
      <c r="J97" s="115" t="s">
        <v>192</v>
      </c>
      <c r="K97" s="115" t="s">
        <v>192</v>
      </c>
      <c r="L97" s="126" t="s">
        <v>1871</v>
      </c>
      <c r="M97" s="167"/>
      <c r="N97" s="126" t="s">
        <v>1307</v>
      </c>
      <c r="O97" s="126" t="s">
        <v>1308</v>
      </c>
      <c r="P97" s="126" t="s">
        <v>81</v>
      </c>
      <c r="Q97" s="181">
        <v>5500</v>
      </c>
      <c r="R97" s="181">
        <v>5500</v>
      </c>
      <c r="S97" s="181">
        <v>5339</v>
      </c>
      <c r="T97" s="181"/>
      <c r="AI97" s="181">
        <f>S97</f>
        <v>5339</v>
      </c>
      <c r="AX97" s="165">
        <f t="shared" si="23"/>
        <v>45078.538194444445</v>
      </c>
      <c r="AY97" s="165">
        <f t="shared" si="24"/>
        <v>45087.572916666664</v>
      </c>
      <c r="AZ97" s="137">
        <f t="shared" si="25"/>
        <v>9.0347222222189885</v>
      </c>
      <c r="BA97" s="165">
        <v>45078.538194444445</v>
      </c>
      <c r="BB97" s="165">
        <v>45078.708333333336</v>
      </c>
      <c r="BC97" s="165">
        <v>45079.618055555555</v>
      </c>
      <c r="BD97" s="165">
        <v>45079.645833333336</v>
      </c>
      <c r="BE97" s="165">
        <v>45080.472222222219</v>
      </c>
      <c r="BF97" s="165">
        <v>45080.611111111109</v>
      </c>
      <c r="BG97" s="165">
        <v>45081.055555555555</v>
      </c>
      <c r="BH97" s="165">
        <v>45081.055555555555</v>
      </c>
      <c r="BI97" s="166" t="s">
        <v>196</v>
      </c>
      <c r="BJ97" s="166" t="s">
        <v>196</v>
      </c>
      <c r="BK97" s="166" t="s">
        <v>196</v>
      </c>
      <c r="BL97" s="165">
        <v>45082.569444444445</v>
      </c>
      <c r="BM97" s="165">
        <v>45086.791666666664</v>
      </c>
      <c r="BN97" s="165">
        <v>45086.946527777778</v>
      </c>
      <c r="BO97" s="165">
        <v>45086.989583333336</v>
      </c>
      <c r="BP97" s="165">
        <v>45086.993055555555</v>
      </c>
      <c r="BQ97" s="165">
        <v>45087.572916666664</v>
      </c>
      <c r="BT97" s="136">
        <f t="shared" si="26"/>
        <v>21.833333333255723</v>
      </c>
      <c r="BU97" s="136">
        <f t="shared" si="27"/>
        <v>19.833333333197515</v>
      </c>
      <c r="BV97" s="136">
        <f t="shared" si="28"/>
        <v>0</v>
      </c>
      <c r="BW97" s="136">
        <f t="shared" ref="BW97:BW122" si="38">(BL97-BH97)*24</f>
        <v>36.333333333372138</v>
      </c>
      <c r="BX97" s="135">
        <f t="shared" si="29"/>
        <v>3.7166666667326353</v>
      </c>
      <c r="BY97" s="135">
        <f t="shared" si="30"/>
        <v>13.916666666627862</v>
      </c>
      <c r="BZ97" s="134">
        <f t="shared" si="31"/>
        <v>3.9847222222160781</v>
      </c>
      <c r="CA97" s="134">
        <f t="shared" si="32"/>
        <v>9.0347222222189885</v>
      </c>
      <c r="CB97" s="133">
        <f t="shared" si="33"/>
        <v>0.44104534973045395</v>
      </c>
    </row>
    <row r="98" spans="1:82" s="126" customFormat="1">
      <c r="A98" s="192">
        <f t="shared" si="37"/>
        <v>45081.541666666664</v>
      </c>
      <c r="B98" s="126" t="s">
        <v>188</v>
      </c>
      <c r="C98" s="126" t="s">
        <v>81</v>
      </c>
      <c r="D98" s="126" t="s">
        <v>197</v>
      </c>
      <c r="E98" s="65" t="s">
        <v>1781</v>
      </c>
      <c r="G98" s="73">
        <v>45086.431944444441</v>
      </c>
      <c r="H98" s="73">
        <f>G98</f>
        <v>45086.431944444441</v>
      </c>
      <c r="I98" s="126" t="s">
        <v>439</v>
      </c>
      <c r="J98" s="115" t="s">
        <v>192</v>
      </c>
      <c r="K98" s="115" t="s">
        <v>192</v>
      </c>
      <c r="L98" s="126" t="s">
        <v>1872</v>
      </c>
      <c r="M98" s="167"/>
      <c r="N98" s="126" t="s">
        <v>383</v>
      </c>
      <c r="O98" s="126" t="s">
        <v>384</v>
      </c>
      <c r="P98" s="126" t="s">
        <v>81</v>
      </c>
      <c r="Q98" s="181">
        <v>5500</v>
      </c>
      <c r="R98" s="181">
        <v>5500</v>
      </c>
      <c r="S98" s="181">
        <v>5184</v>
      </c>
      <c r="T98" s="181"/>
      <c r="AI98" s="181">
        <f>S98</f>
        <v>5184</v>
      </c>
      <c r="AX98" s="165">
        <f t="shared" si="23"/>
        <v>45080.489583333336</v>
      </c>
      <c r="AY98" s="165">
        <f t="shared" si="24"/>
        <v>45089.9375</v>
      </c>
      <c r="AZ98" s="137">
        <f t="shared" si="25"/>
        <v>9.4479166666642413</v>
      </c>
      <c r="BA98" s="165">
        <v>45080.489583333336</v>
      </c>
      <c r="BB98" s="165">
        <v>45080.493055555555</v>
      </c>
      <c r="BC98" s="165">
        <v>45081.166666666664</v>
      </c>
      <c r="BD98" s="165">
        <v>45081.541666666664</v>
      </c>
      <c r="BE98" s="165">
        <v>45082.486111111109</v>
      </c>
      <c r="BF98" s="165">
        <v>45082.538194444445</v>
      </c>
      <c r="BG98" s="165">
        <v>45083.166666666664</v>
      </c>
      <c r="BH98" s="165">
        <v>45083.166666666664</v>
      </c>
      <c r="BI98" s="166" t="s">
        <v>196</v>
      </c>
      <c r="BJ98" s="166" t="s">
        <v>196</v>
      </c>
      <c r="BK98" s="166" t="s">
        <v>196</v>
      </c>
      <c r="BL98" s="165">
        <v>45084.229166666664</v>
      </c>
      <c r="BM98" s="165">
        <v>45089.333333333336</v>
      </c>
      <c r="BN98" s="165">
        <v>45089.5</v>
      </c>
      <c r="BO98" s="165">
        <v>45089.520833333336</v>
      </c>
      <c r="BP98" s="165">
        <v>45089.520833333336</v>
      </c>
      <c r="BQ98" s="165">
        <v>45089.9375</v>
      </c>
      <c r="BT98" s="136">
        <f t="shared" si="26"/>
        <v>16.166666666627862</v>
      </c>
      <c r="BU98" s="136">
        <f t="shared" si="27"/>
        <v>22.666666666686069</v>
      </c>
      <c r="BV98" s="136">
        <f t="shared" si="28"/>
        <v>0</v>
      </c>
      <c r="BW98" s="136">
        <f t="shared" si="38"/>
        <v>25.5</v>
      </c>
      <c r="BX98" s="135">
        <f t="shared" si="29"/>
        <v>3.9999999999417923</v>
      </c>
      <c r="BY98" s="135">
        <f t="shared" si="30"/>
        <v>9.9999999999417923</v>
      </c>
      <c r="BZ98" s="134">
        <f t="shared" si="31"/>
        <v>3.2638888888832298</v>
      </c>
      <c r="CA98" s="134">
        <f t="shared" si="32"/>
        <v>9.4479166666642413</v>
      </c>
      <c r="CB98" s="133">
        <f t="shared" si="33"/>
        <v>0.34546122748938313</v>
      </c>
    </row>
    <row r="99" spans="1:82" s="126" customFormat="1">
      <c r="A99" s="192">
        <f t="shared" si="37"/>
        <v>45084.697916666664</v>
      </c>
      <c r="B99" s="126" t="s">
        <v>188</v>
      </c>
      <c r="C99" s="126" t="s">
        <v>81</v>
      </c>
      <c r="D99" s="126" t="s">
        <v>197</v>
      </c>
      <c r="E99" s="65" t="s">
        <v>1781</v>
      </c>
      <c r="G99" s="73">
        <v>45086.431944444441</v>
      </c>
      <c r="H99" s="73">
        <f>G99</f>
        <v>45086.431944444441</v>
      </c>
      <c r="I99" s="126" t="s">
        <v>439</v>
      </c>
      <c r="J99" s="115" t="s">
        <v>192</v>
      </c>
      <c r="K99" s="115" t="s">
        <v>192</v>
      </c>
      <c r="L99" s="126" t="s">
        <v>1873</v>
      </c>
      <c r="M99" s="167"/>
      <c r="N99" s="126" t="s">
        <v>1874</v>
      </c>
      <c r="O99" s="126" t="s">
        <v>1875</v>
      </c>
      <c r="P99" s="126" t="s">
        <v>81</v>
      </c>
      <c r="Q99" s="181">
        <v>5500</v>
      </c>
      <c r="R99" s="181">
        <v>5500</v>
      </c>
      <c r="S99" s="181">
        <v>5150</v>
      </c>
      <c r="T99" s="181"/>
      <c r="AI99" s="181">
        <f>S99</f>
        <v>5150</v>
      </c>
      <c r="AX99" s="165">
        <f t="shared" si="23"/>
        <v>45082.611111111109</v>
      </c>
      <c r="AY99" s="165">
        <f t="shared" si="24"/>
        <v>45090.71875</v>
      </c>
      <c r="AZ99" s="137">
        <f t="shared" si="25"/>
        <v>8.1076388888905058</v>
      </c>
      <c r="BA99" s="165">
        <v>45082.611111111109</v>
      </c>
      <c r="BB99" s="165">
        <v>45084.291666666664</v>
      </c>
      <c r="BC99" s="165">
        <v>45084.541666666664</v>
      </c>
      <c r="BD99" s="165">
        <v>45084.697916666664</v>
      </c>
      <c r="BE99" s="165">
        <v>45085.611111111109</v>
      </c>
      <c r="BF99" s="165">
        <v>45085.677083333336</v>
      </c>
      <c r="BG99" s="165">
        <v>45086.15625</v>
      </c>
      <c r="BH99" s="165">
        <v>45086.15625</v>
      </c>
      <c r="BI99" s="166" t="s">
        <v>196</v>
      </c>
      <c r="BJ99" s="166" t="s">
        <v>196</v>
      </c>
      <c r="BK99" s="166" t="s">
        <v>196</v>
      </c>
      <c r="BL99" s="165">
        <v>45087.395833333336</v>
      </c>
      <c r="BM99" s="165">
        <v>45089.979166666664</v>
      </c>
      <c r="BN99" s="165">
        <v>45090.152777777781</v>
      </c>
      <c r="BO99" s="165">
        <v>45090.173611111109</v>
      </c>
      <c r="BP99" s="165">
        <v>45090.173611111109</v>
      </c>
      <c r="BQ99" s="165">
        <v>45090.71875</v>
      </c>
      <c r="BT99" s="136">
        <f t="shared" si="26"/>
        <v>6</v>
      </c>
      <c r="BU99" s="136">
        <f t="shared" si="27"/>
        <v>21.916666666686069</v>
      </c>
      <c r="BV99" s="136">
        <f t="shared" si="28"/>
        <v>0</v>
      </c>
      <c r="BW99" s="136">
        <f t="shared" si="38"/>
        <v>29.750000000058208</v>
      </c>
      <c r="BX99" s="135">
        <f t="shared" si="29"/>
        <v>4.1666666668024845</v>
      </c>
      <c r="BY99" s="135">
        <f t="shared" si="30"/>
        <v>13.083333333372138</v>
      </c>
      <c r="BZ99" s="134">
        <f t="shared" si="31"/>
        <v>3.1215277777882875</v>
      </c>
      <c r="CA99" s="134">
        <f t="shared" si="32"/>
        <v>8.1076388888905058</v>
      </c>
      <c r="CB99" s="133">
        <f t="shared" si="33"/>
        <v>0.38501070663933512</v>
      </c>
    </row>
    <row r="100" spans="1:82" s="126" customFormat="1">
      <c r="A100" s="192">
        <f t="shared" si="37"/>
        <v>45103.163194444445</v>
      </c>
      <c r="B100" s="126" t="s">
        <v>188</v>
      </c>
      <c r="C100" s="126" t="s">
        <v>81</v>
      </c>
      <c r="D100" s="126" t="s">
        <v>197</v>
      </c>
      <c r="E100" s="126" t="s">
        <v>1763</v>
      </c>
      <c r="G100" s="73">
        <v>45106.104166666664</v>
      </c>
      <c r="H100" s="73">
        <v>45106.1</v>
      </c>
      <c r="I100" s="126" t="s">
        <v>439</v>
      </c>
      <c r="J100" s="126" t="s">
        <v>192</v>
      </c>
      <c r="K100" s="126" t="s">
        <v>192</v>
      </c>
      <c r="L100" s="126" t="s">
        <v>1876</v>
      </c>
      <c r="M100" s="167"/>
      <c r="N100" s="126" t="s">
        <v>383</v>
      </c>
      <c r="O100" s="126" t="s">
        <v>384</v>
      </c>
      <c r="P100" s="126" t="s">
        <v>81</v>
      </c>
      <c r="Q100" s="181">
        <f>2205*2.4</f>
        <v>5292</v>
      </c>
      <c r="R100" s="181">
        <f>5300+100</f>
        <v>5400</v>
      </c>
      <c r="S100" s="181">
        <v>5111</v>
      </c>
      <c r="T100" s="181"/>
      <c r="AI100" s="181">
        <f>S100</f>
        <v>5111</v>
      </c>
      <c r="AX100" s="165">
        <f t="shared" si="23"/>
        <v>45101.270833333336</v>
      </c>
      <c r="AY100" s="165">
        <f t="shared" si="24"/>
        <v>45110.909722222219</v>
      </c>
      <c r="AZ100" s="137">
        <f t="shared" si="25"/>
        <v>9.6388888888832298</v>
      </c>
      <c r="BA100" s="165">
        <v>45101.270833333336</v>
      </c>
      <c r="BB100" s="165">
        <v>45102.388888888891</v>
      </c>
      <c r="BC100" s="165">
        <v>45103.111111111109</v>
      </c>
      <c r="BD100" s="165">
        <v>45103.163194444445</v>
      </c>
      <c r="BE100" s="165">
        <v>45103.854166666664</v>
      </c>
      <c r="BF100" s="165">
        <v>45103.920138888891</v>
      </c>
      <c r="BG100" s="165">
        <v>45105.40625</v>
      </c>
      <c r="BH100" s="165">
        <v>45105.40625</v>
      </c>
      <c r="BI100" s="166" t="s">
        <v>196</v>
      </c>
      <c r="BJ100" s="166" t="s">
        <v>196</v>
      </c>
      <c r="BK100" s="166" t="s">
        <v>196</v>
      </c>
      <c r="BL100" s="165">
        <v>45106.645833333336</v>
      </c>
      <c r="BM100" s="165">
        <v>45110.131944444445</v>
      </c>
      <c r="BN100" s="165">
        <v>45110.458333333336</v>
      </c>
      <c r="BO100" s="165">
        <v>45110.479166666664</v>
      </c>
      <c r="BP100" s="165">
        <v>45110.479166666664</v>
      </c>
      <c r="BQ100" s="165">
        <v>45110.909722222219</v>
      </c>
      <c r="BT100" s="136">
        <f t="shared" si="26"/>
        <v>17.333333333255723</v>
      </c>
      <c r="BU100" s="136">
        <f t="shared" si="27"/>
        <v>16.583333333255723</v>
      </c>
      <c r="BV100" s="136">
        <f t="shared" si="28"/>
        <v>0</v>
      </c>
      <c r="BW100" s="136">
        <f t="shared" si="38"/>
        <v>29.750000000058208</v>
      </c>
      <c r="BX100" s="135">
        <f t="shared" si="29"/>
        <v>7.8333333333721384</v>
      </c>
      <c r="BY100" s="135">
        <f t="shared" si="30"/>
        <v>10.333333333313931</v>
      </c>
      <c r="BZ100" s="134">
        <f t="shared" si="31"/>
        <v>3.4097222222189885</v>
      </c>
      <c r="CA100" s="134">
        <f t="shared" si="32"/>
        <v>9.6388888888832298</v>
      </c>
      <c r="CB100" s="133">
        <f t="shared" si="33"/>
        <v>0.3537463976943967</v>
      </c>
    </row>
    <row r="101" spans="1:82" s="126" customFormat="1">
      <c r="A101" s="192">
        <f t="shared" si="37"/>
        <v>45104.809027777781</v>
      </c>
      <c r="B101" s="126" t="s">
        <v>188</v>
      </c>
      <c r="C101" s="126" t="s">
        <v>81</v>
      </c>
      <c r="D101" s="126" t="s">
        <v>197</v>
      </c>
      <c r="E101" s="126" t="s">
        <v>1749</v>
      </c>
      <c r="G101" s="165">
        <v>45108.166666666664</v>
      </c>
      <c r="H101" s="165">
        <v>45108.166666666664</v>
      </c>
      <c r="I101" s="126" t="s">
        <v>443</v>
      </c>
      <c r="J101" s="126" t="s">
        <v>192</v>
      </c>
      <c r="K101" s="126" t="s">
        <v>192</v>
      </c>
      <c r="L101" s="126" t="s">
        <v>1877</v>
      </c>
      <c r="M101" s="167"/>
      <c r="N101" s="126" t="s">
        <v>1874</v>
      </c>
      <c r="O101" s="126" t="s">
        <v>1875</v>
      </c>
      <c r="P101" s="126" t="s">
        <v>81</v>
      </c>
      <c r="Q101" s="181">
        <f>2228*2.4</f>
        <v>5347.2</v>
      </c>
      <c r="R101" s="181">
        <f>5350+100</f>
        <v>5450</v>
      </c>
      <c r="S101" s="181">
        <v>5187</v>
      </c>
      <c r="T101" s="181"/>
      <c r="AI101" s="181">
        <f>S101</f>
        <v>5187</v>
      </c>
      <c r="AX101" s="165">
        <f t="shared" si="23"/>
        <v>45102.260416666664</v>
      </c>
      <c r="AY101" s="165">
        <f t="shared" si="24"/>
        <v>45109</v>
      </c>
      <c r="AZ101" s="137">
        <f t="shared" si="25"/>
        <v>6.7395833333357587</v>
      </c>
      <c r="BA101" s="165">
        <v>45102.260416666664</v>
      </c>
      <c r="BB101" s="165">
        <v>45104.305555555555</v>
      </c>
      <c r="BC101" s="165">
        <v>45104.6875</v>
      </c>
      <c r="BD101" s="165">
        <v>45104.809027777781</v>
      </c>
      <c r="BE101" s="165">
        <v>45105.375</v>
      </c>
      <c r="BF101" s="165">
        <v>45105.569444444445</v>
      </c>
      <c r="BG101" s="165">
        <v>45105.923611111109</v>
      </c>
      <c r="BH101" s="165">
        <v>45105.923611111109</v>
      </c>
      <c r="BI101" s="166" t="s">
        <v>196</v>
      </c>
      <c r="BJ101" s="166" t="s">
        <v>196</v>
      </c>
      <c r="BK101" s="166" t="s">
        <v>196</v>
      </c>
      <c r="BL101" s="165">
        <v>45107.559027777781</v>
      </c>
      <c r="BM101" s="165">
        <v>45108.006944444445</v>
      </c>
      <c r="BN101" s="165">
        <v>45108.236111111109</v>
      </c>
      <c r="BO101" s="165">
        <v>45108.246527777781</v>
      </c>
      <c r="BP101" s="165">
        <v>45108.701388888891</v>
      </c>
      <c r="BQ101" s="165">
        <v>45109</v>
      </c>
      <c r="BT101" s="136">
        <f t="shared" si="26"/>
        <v>9.1666666666860692</v>
      </c>
      <c r="BU101" s="136">
        <f t="shared" si="27"/>
        <v>13.583333333255723</v>
      </c>
      <c r="BV101" s="136">
        <f t="shared" si="28"/>
        <v>0</v>
      </c>
      <c r="BW101" s="136">
        <f t="shared" si="38"/>
        <v>39.250000000116415</v>
      </c>
      <c r="BX101" s="135">
        <f t="shared" si="29"/>
        <v>5.4999999999417923</v>
      </c>
      <c r="BY101" s="135">
        <f t="shared" si="30"/>
        <v>7.1666666666278616</v>
      </c>
      <c r="BZ101" s="134">
        <f t="shared" si="31"/>
        <v>3.1111111111094942</v>
      </c>
      <c r="CA101" s="134">
        <f t="shared" si="32"/>
        <v>6.7395833333357587</v>
      </c>
      <c r="CB101" s="133">
        <f t="shared" si="33"/>
        <v>0.46161772282288094</v>
      </c>
    </row>
    <row r="102" spans="1:82" s="126" customFormat="1">
      <c r="A102" s="119">
        <f t="shared" si="37"/>
        <v>45079.420138888891</v>
      </c>
      <c r="B102" s="115" t="s">
        <v>188</v>
      </c>
      <c r="C102" s="115" t="s">
        <v>87</v>
      </c>
      <c r="D102" s="115" t="s">
        <v>197</v>
      </c>
      <c r="E102" s="77" t="s">
        <v>1548</v>
      </c>
      <c r="F102" s="115"/>
      <c r="G102" s="299">
        <v>45078.958333333336</v>
      </c>
      <c r="H102" s="299">
        <v>45078.916666666664</v>
      </c>
      <c r="I102" s="115" t="s">
        <v>751</v>
      </c>
      <c r="J102" s="115" t="s">
        <v>192</v>
      </c>
      <c r="K102" s="115" t="s">
        <v>192</v>
      </c>
      <c r="L102" s="115" t="s">
        <v>1878</v>
      </c>
      <c r="M102" s="118"/>
      <c r="N102" s="115" t="s">
        <v>1392</v>
      </c>
      <c r="O102" s="115" t="s">
        <v>365</v>
      </c>
      <c r="P102" s="115" t="s">
        <v>611</v>
      </c>
      <c r="Q102" s="181">
        <f>3142*2.4</f>
        <v>7540.7999999999993</v>
      </c>
      <c r="R102" s="181">
        <f>7550+100</f>
        <v>7650</v>
      </c>
      <c r="S102" s="117">
        <v>7536.4870000000001</v>
      </c>
      <c r="T102" s="117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7">
        <f>S102</f>
        <v>7536.4870000000001</v>
      </c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251">
        <f t="shared" si="23"/>
        <v>45079.298611111109</v>
      </c>
      <c r="AY102" s="251">
        <f t="shared" si="24"/>
        <v>45086.46875</v>
      </c>
      <c r="AZ102" s="300">
        <f t="shared" si="25"/>
        <v>7.1701388888905058</v>
      </c>
      <c r="BA102" s="251">
        <v>45079.298611111109</v>
      </c>
      <c r="BB102" s="251">
        <v>45079.315972222219</v>
      </c>
      <c r="BC102" s="251">
        <v>45079.315972222219</v>
      </c>
      <c r="BD102" s="251">
        <v>45079.420138888891</v>
      </c>
      <c r="BE102" s="251">
        <v>45079.55</v>
      </c>
      <c r="BF102" s="251">
        <v>45079.559027777781</v>
      </c>
      <c r="BG102" s="251">
        <v>45079.972222222219</v>
      </c>
      <c r="BH102" s="251">
        <v>45079.972222222219</v>
      </c>
      <c r="BI102" s="252" t="s">
        <v>196</v>
      </c>
      <c r="BJ102" s="252" t="s">
        <v>196</v>
      </c>
      <c r="BK102" s="252" t="s">
        <v>196</v>
      </c>
      <c r="BL102" s="251">
        <v>45080.25</v>
      </c>
      <c r="BM102" s="251">
        <v>45085.947916666664</v>
      </c>
      <c r="BN102" s="251">
        <v>45086.125</v>
      </c>
      <c r="BO102" s="251">
        <v>45086.145833333336</v>
      </c>
      <c r="BP102" s="251">
        <v>45086.145833333336</v>
      </c>
      <c r="BQ102" s="251">
        <v>45086.46875</v>
      </c>
      <c r="BR102" s="115"/>
      <c r="BS102" s="115"/>
      <c r="BT102" s="302">
        <f t="shared" si="26"/>
        <v>0</v>
      </c>
      <c r="BU102" s="302">
        <f t="shared" si="27"/>
        <v>3.1166666666977108</v>
      </c>
      <c r="BV102" s="302">
        <f t="shared" si="28"/>
        <v>0</v>
      </c>
      <c r="BW102" s="302">
        <f t="shared" si="38"/>
        <v>6.6666666667442769</v>
      </c>
      <c r="BX102" s="303">
        <f t="shared" si="29"/>
        <v>4.2500000000582077</v>
      </c>
      <c r="BY102" s="303">
        <f t="shared" si="30"/>
        <v>7.7499999999417923</v>
      </c>
      <c r="BZ102" s="304">
        <f t="shared" si="31"/>
        <v>0.90763888889341615</v>
      </c>
      <c r="CA102" s="304">
        <f t="shared" si="32"/>
        <v>7.1701388888905058</v>
      </c>
      <c r="CB102" s="305">
        <f t="shared" si="33"/>
        <v>0.12658595641706774</v>
      </c>
      <c r="CC102" s="115"/>
      <c r="CD102" s="115"/>
    </row>
    <row r="103" spans="1:82" s="126" customFormat="1">
      <c r="A103" s="192">
        <f t="shared" si="37"/>
        <v>45079.850694444445</v>
      </c>
      <c r="B103" s="126" t="s">
        <v>188</v>
      </c>
      <c r="C103" s="126" t="s">
        <v>87</v>
      </c>
      <c r="D103" s="126" t="s">
        <v>215</v>
      </c>
      <c r="E103" s="65" t="s">
        <v>1548</v>
      </c>
      <c r="G103" s="73">
        <v>45078.958333333336</v>
      </c>
      <c r="H103" s="73">
        <v>45078.916666666664</v>
      </c>
      <c r="I103" s="126" t="s">
        <v>751</v>
      </c>
      <c r="J103" s="115" t="s">
        <v>192</v>
      </c>
      <c r="K103" s="115" t="s">
        <v>192</v>
      </c>
      <c r="L103" s="126" t="s">
        <v>1879</v>
      </c>
      <c r="M103" s="167"/>
      <c r="N103" s="126" t="s">
        <v>403</v>
      </c>
      <c r="O103" s="126" t="s">
        <v>404</v>
      </c>
      <c r="P103" s="126" t="s">
        <v>611</v>
      </c>
      <c r="Q103" s="181">
        <f>3107*2.4</f>
        <v>7456.7999999999993</v>
      </c>
      <c r="R103" s="181">
        <f>7500+100</f>
        <v>7600</v>
      </c>
      <c r="S103" s="181">
        <v>7516.5280000000002</v>
      </c>
      <c r="T103" s="181"/>
      <c r="AD103" s="181">
        <f>S103</f>
        <v>7516.5280000000002</v>
      </c>
      <c r="AX103" s="165">
        <f t="shared" si="23"/>
        <v>45079.694444444445</v>
      </c>
      <c r="AY103" s="165">
        <f t="shared" si="24"/>
        <v>45087.5</v>
      </c>
      <c r="AZ103" s="137">
        <f t="shared" si="25"/>
        <v>7.8055555555547471</v>
      </c>
      <c r="BA103" s="165">
        <v>45079.694444444445</v>
      </c>
      <c r="BB103" s="165">
        <v>45079.708333333336</v>
      </c>
      <c r="BC103" s="165">
        <v>45079.729166666664</v>
      </c>
      <c r="BD103" s="165">
        <v>45079.850694444445</v>
      </c>
      <c r="BE103" s="165">
        <v>45080.052083333336</v>
      </c>
      <c r="BF103" s="165">
        <v>45080.059027777781</v>
      </c>
      <c r="BG103" s="165">
        <v>45080.4375</v>
      </c>
      <c r="BH103" s="165">
        <v>45080.4375</v>
      </c>
      <c r="BI103" s="166" t="s">
        <v>196</v>
      </c>
      <c r="BJ103" s="166" t="s">
        <v>196</v>
      </c>
      <c r="BK103" s="166" t="s">
        <v>196</v>
      </c>
      <c r="BL103" s="165">
        <v>45081.1875</v>
      </c>
      <c r="BM103" s="165">
        <v>45086.659722222219</v>
      </c>
      <c r="BN103" s="165">
        <v>45086.923611111109</v>
      </c>
      <c r="BO103" s="165">
        <v>45086.944444444445</v>
      </c>
      <c r="BP103" s="165">
        <v>45087.201388888891</v>
      </c>
      <c r="BQ103" s="165">
        <v>45087.5</v>
      </c>
      <c r="BT103" s="136">
        <f t="shared" si="26"/>
        <v>0.49999999988358468</v>
      </c>
      <c r="BU103" s="136">
        <f t="shared" si="27"/>
        <v>4.8333333333721384</v>
      </c>
      <c r="BV103" s="136">
        <f t="shared" si="28"/>
        <v>0</v>
      </c>
      <c r="BW103" s="136">
        <f t="shared" si="38"/>
        <v>18</v>
      </c>
      <c r="BX103" s="135">
        <f t="shared" si="29"/>
        <v>6.3333333333721384</v>
      </c>
      <c r="BY103" s="135">
        <f t="shared" si="30"/>
        <v>7.1666666666278616</v>
      </c>
      <c r="BZ103" s="134">
        <f t="shared" si="31"/>
        <v>1.5347222222189885</v>
      </c>
      <c r="CA103" s="134">
        <f t="shared" si="32"/>
        <v>7.8055555555547471</v>
      </c>
      <c r="CB103" s="133">
        <f t="shared" si="33"/>
        <v>0.1966192170814566</v>
      </c>
    </row>
    <row r="104" spans="1:82" s="126" customFormat="1">
      <c r="A104" s="192">
        <f t="shared" si="37"/>
        <v>45083.5</v>
      </c>
      <c r="B104" s="126" t="s">
        <v>188</v>
      </c>
      <c r="C104" s="126" t="s">
        <v>87</v>
      </c>
      <c r="D104" s="126" t="s">
        <v>197</v>
      </c>
      <c r="E104" s="65" t="s">
        <v>1776</v>
      </c>
      <c r="G104" s="73">
        <v>45084.875</v>
      </c>
      <c r="H104" s="73">
        <v>45085.076388888891</v>
      </c>
      <c r="I104" s="126" t="s">
        <v>751</v>
      </c>
      <c r="J104" s="115" t="s">
        <v>192</v>
      </c>
      <c r="K104" s="115" t="s">
        <v>192</v>
      </c>
      <c r="L104" s="126" t="s">
        <v>1880</v>
      </c>
      <c r="M104" s="167"/>
      <c r="N104" s="126" t="s">
        <v>1313</v>
      </c>
      <c r="O104" s="126" t="s">
        <v>438</v>
      </c>
      <c r="P104" s="126" t="s">
        <v>1164</v>
      </c>
      <c r="Q104" s="181">
        <f>3136*2.4</f>
        <v>7526.4</v>
      </c>
      <c r="R104" s="181">
        <f>7550+100</f>
        <v>7650</v>
      </c>
      <c r="S104" s="181">
        <v>7522.9059999999999</v>
      </c>
      <c r="T104" s="181"/>
      <c r="AH104" s="181">
        <f>S104</f>
        <v>7522.9059999999999</v>
      </c>
      <c r="AX104" s="165">
        <f t="shared" si="23"/>
        <v>45082.506944444445</v>
      </c>
      <c r="AY104" s="165">
        <f t="shared" si="24"/>
        <v>45088.458333333336</v>
      </c>
      <c r="AZ104" s="137">
        <f t="shared" si="25"/>
        <v>5.9513888888905058</v>
      </c>
      <c r="BA104" s="165">
        <v>45082.506944444445</v>
      </c>
      <c r="BB104" s="165">
        <v>45082.628472222219</v>
      </c>
      <c r="BC104" s="165">
        <v>45082.666666666664</v>
      </c>
      <c r="BD104" s="165">
        <v>45083.5</v>
      </c>
      <c r="BE104" s="165">
        <v>45083.805555555555</v>
      </c>
      <c r="BF104" s="165">
        <v>45083.815972222219</v>
      </c>
      <c r="BG104" s="165">
        <v>45084.951388888891</v>
      </c>
      <c r="BH104" s="165">
        <v>45084.951388888891</v>
      </c>
      <c r="BI104" s="166" t="s">
        <v>196</v>
      </c>
      <c r="BJ104" s="166" t="s">
        <v>196</v>
      </c>
      <c r="BK104" s="166" t="s">
        <v>196</v>
      </c>
      <c r="BL104" s="165">
        <v>45085.229166666664</v>
      </c>
      <c r="BM104" s="165">
        <v>45087.104166666664</v>
      </c>
      <c r="BN104" s="165">
        <v>45088.118055555555</v>
      </c>
      <c r="BO104" s="165">
        <v>45088.145833333336</v>
      </c>
      <c r="BP104" s="165">
        <v>45088.149305555555</v>
      </c>
      <c r="BQ104" s="165">
        <v>45088.458333333336</v>
      </c>
      <c r="BT104" s="136">
        <f t="shared" si="26"/>
        <v>0.91666666668606922</v>
      </c>
      <c r="BU104" s="136">
        <f t="shared" si="27"/>
        <v>7.3333333333139308</v>
      </c>
      <c r="BV104" s="136">
        <f t="shared" si="28"/>
        <v>0</v>
      </c>
      <c r="BW104" s="136">
        <f t="shared" si="38"/>
        <v>6.6666666665696539</v>
      </c>
      <c r="BX104" s="135">
        <f t="shared" si="29"/>
        <v>24.333333333372138</v>
      </c>
      <c r="BY104" s="135">
        <f t="shared" si="30"/>
        <v>7.4166666667442769</v>
      </c>
      <c r="BZ104" s="134">
        <f t="shared" si="31"/>
        <v>1.9444444444452529</v>
      </c>
      <c r="CA104" s="134">
        <f t="shared" si="32"/>
        <v>5.9513888888905058</v>
      </c>
      <c r="CB104" s="133">
        <f t="shared" si="33"/>
        <v>0.32672112018674487</v>
      </c>
    </row>
    <row r="105" spans="1:82" s="126" customFormat="1">
      <c r="A105" s="192">
        <f t="shared" si="37"/>
        <v>45089.574305555558</v>
      </c>
      <c r="B105" s="126" t="s">
        <v>188</v>
      </c>
      <c r="C105" s="126" t="s">
        <v>87</v>
      </c>
      <c r="D105" s="126" t="s">
        <v>215</v>
      </c>
      <c r="E105" s="65" t="s">
        <v>1785</v>
      </c>
      <c r="G105" s="73">
        <v>45084.958333333336</v>
      </c>
      <c r="H105" s="73">
        <v>45084.925000000003</v>
      </c>
      <c r="I105" s="126" t="s">
        <v>751</v>
      </c>
      <c r="J105" s="115" t="s">
        <v>192</v>
      </c>
      <c r="K105" s="115" t="s">
        <v>192</v>
      </c>
      <c r="L105" s="126" t="s">
        <v>1881</v>
      </c>
      <c r="M105" s="167"/>
      <c r="N105" s="126" t="s">
        <v>343</v>
      </c>
      <c r="O105" s="126" t="s">
        <v>344</v>
      </c>
      <c r="P105" s="126" t="s">
        <v>1164</v>
      </c>
      <c r="Q105" s="181">
        <f>3136*2.4</f>
        <v>7526.4</v>
      </c>
      <c r="R105" s="181">
        <f>7550+100</f>
        <v>7650</v>
      </c>
      <c r="S105" s="181">
        <v>7516.3379999999997</v>
      </c>
      <c r="T105" s="181"/>
      <c r="AH105" s="181">
        <f>S105</f>
        <v>7516.3379999999997</v>
      </c>
      <c r="AX105" s="165">
        <f t="shared" si="23"/>
        <v>45087.302083333336</v>
      </c>
      <c r="AY105" s="165">
        <f t="shared" si="24"/>
        <v>45094.3125</v>
      </c>
      <c r="AZ105" s="137">
        <f t="shared" si="25"/>
        <v>7.0104166666642413</v>
      </c>
      <c r="BA105" s="165">
        <v>45087.302083333336</v>
      </c>
      <c r="BB105" s="165">
        <v>45087.333333333336</v>
      </c>
      <c r="BC105" s="165">
        <v>45087.333333333336</v>
      </c>
      <c r="BD105" s="165">
        <v>45089.574305555558</v>
      </c>
      <c r="BE105" s="165">
        <v>45089.696527777778</v>
      </c>
      <c r="BF105" s="165">
        <v>45089.704861111109</v>
      </c>
      <c r="BG105" s="165">
        <v>45090.201388888891</v>
      </c>
      <c r="BH105" s="165">
        <v>45090.201388888891</v>
      </c>
      <c r="BI105" s="166" t="s">
        <v>196</v>
      </c>
      <c r="BJ105" s="166" t="s">
        <v>196</v>
      </c>
      <c r="BK105" s="166" t="s">
        <v>196</v>
      </c>
      <c r="BL105" s="165">
        <v>45090.395833333336</v>
      </c>
      <c r="BM105" s="165">
        <v>45093.472222222219</v>
      </c>
      <c r="BN105" s="165">
        <v>45093.75</v>
      </c>
      <c r="BO105" s="165">
        <v>45093.763888888891</v>
      </c>
      <c r="BP105" s="165">
        <v>45094.145833333336</v>
      </c>
      <c r="BQ105" s="165">
        <v>45094.3125</v>
      </c>
      <c r="BT105" s="136">
        <f t="shared" si="26"/>
        <v>0</v>
      </c>
      <c r="BU105" s="136">
        <f t="shared" si="27"/>
        <v>2.9333333332906477</v>
      </c>
      <c r="BV105" s="136">
        <f t="shared" si="28"/>
        <v>0</v>
      </c>
      <c r="BW105" s="136">
        <f t="shared" si="38"/>
        <v>4.6666666666860692</v>
      </c>
      <c r="BX105" s="135">
        <f t="shared" si="29"/>
        <v>6.6666666667442769</v>
      </c>
      <c r="BY105" s="135">
        <f t="shared" si="30"/>
        <v>3.9999999999417923</v>
      </c>
      <c r="BZ105" s="134">
        <f t="shared" si="31"/>
        <v>0.76111111111094942</v>
      </c>
      <c r="CA105" s="134">
        <f t="shared" si="32"/>
        <v>7.0104166666642413</v>
      </c>
      <c r="CB105" s="133">
        <f t="shared" si="33"/>
        <v>0.10856859831601251</v>
      </c>
    </row>
    <row r="106" spans="1:82" s="126" customFormat="1">
      <c r="A106" s="192">
        <f t="shared" si="37"/>
        <v>45089.736111111109</v>
      </c>
      <c r="B106" s="126" t="s">
        <v>188</v>
      </c>
      <c r="C106" s="126" t="s">
        <v>87</v>
      </c>
      <c r="D106" s="126" t="s">
        <v>215</v>
      </c>
      <c r="E106" s="65" t="s">
        <v>1785</v>
      </c>
      <c r="G106" s="73">
        <v>45084.958333333336</v>
      </c>
      <c r="H106" s="73">
        <v>45084.925000000003</v>
      </c>
      <c r="I106" s="126" t="s">
        <v>751</v>
      </c>
      <c r="J106" s="115" t="s">
        <v>192</v>
      </c>
      <c r="K106" s="115" t="s">
        <v>192</v>
      </c>
      <c r="L106" s="126" t="s">
        <v>1882</v>
      </c>
      <c r="M106" s="167"/>
      <c r="N106" s="126" t="s">
        <v>422</v>
      </c>
      <c r="O106" s="126" t="s">
        <v>275</v>
      </c>
      <c r="P106" s="126" t="s">
        <v>1164</v>
      </c>
      <c r="Q106" s="181">
        <f>3097*2.4</f>
        <v>7432.7999999999993</v>
      </c>
      <c r="R106" s="181">
        <f>7500+100</f>
        <v>7600</v>
      </c>
      <c r="S106" s="181">
        <v>7511.32</v>
      </c>
      <c r="T106" s="181"/>
      <c r="AH106" s="181">
        <f>S106</f>
        <v>7511.32</v>
      </c>
      <c r="AX106" s="165">
        <f t="shared" si="23"/>
        <v>45087.934027777781</v>
      </c>
      <c r="AY106" s="165">
        <f t="shared" si="24"/>
        <v>45094.402777777781</v>
      </c>
      <c r="AZ106" s="137">
        <f t="shared" si="25"/>
        <v>6.46875</v>
      </c>
      <c r="BA106" s="165">
        <v>45087.934027777781</v>
      </c>
      <c r="BB106" s="165">
        <v>45087.944444444445</v>
      </c>
      <c r="BC106" s="165">
        <v>45087.96875</v>
      </c>
      <c r="BD106" s="165">
        <v>45089.736111111109</v>
      </c>
      <c r="BE106" s="165">
        <v>45089.852083333331</v>
      </c>
      <c r="BF106" s="165">
        <v>45089.861111111109</v>
      </c>
      <c r="BG106" s="165">
        <v>45090.822916666664</v>
      </c>
      <c r="BH106" s="165">
        <v>45090.822916666664</v>
      </c>
      <c r="BI106" s="166" t="s">
        <v>196</v>
      </c>
      <c r="BJ106" s="166" t="s">
        <v>196</v>
      </c>
      <c r="BK106" s="166" t="s">
        <v>196</v>
      </c>
      <c r="BL106" s="165">
        <v>45091.138888888891</v>
      </c>
      <c r="BM106" s="165">
        <v>45093.784722222219</v>
      </c>
      <c r="BN106" s="165">
        <v>45094.059027777781</v>
      </c>
      <c r="BO106" s="165">
        <v>45094.072916666664</v>
      </c>
      <c r="BP106" s="165">
        <v>45094.072916666664</v>
      </c>
      <c r="BQ106" s="165">
        <v>45094.402777777781</v>
      </c>
      <c r="BT106" s="136">
        <f t="shared" si="26"/>
        <v>0.58333333331393078</v>
      </c>
      <c r="BU106" s="136">
        <f t="shared" si="27"/>
        <v>2.7833333333255723</v>
      </c>
      <c r="BV106" s="136">
        <f t="shared" si="28"/>
        <v>0</v>
      </c>
      <c r="BW106" s="136">
        <f t="shared" si="38"/>
        <v>7.5833333334303461</v>
      </c>
      <c r="BX106" s="135">
        <f t="shared" si="29"/>
        <v>6.5833333334885538</v>
      </c>
      <c r="BY106" s="135">
        <f t="shared" si="30"/>
        <v>7.9166666668024845</v>
      </c>
      <c r="BZ106" s="134">
        <f t="shared" si="31"/>
        <v>1.0604166666817036</v>
      </c>
      <c r="CA106" s="134">
        <f t="shared" si="32"/>
        <v>6.46875</v>
      </c>
      <c r="CB106" s="133">
        <f t="shared" si="33"/>
        <v>0.16392914654016674</v>
      </c>
    </row>
    <row r="107" spans="1:82" s="126" customFormat="1">
      <c r="A107" s="192">
        <f t="shared" si="37"/>
        <v>45091.470138888886</v>
      </c>
      <c r="B107" s="126" t="s">
        <v>188</v>
      </c>
      <c r="C107" s="126" t="s">
        <v>87</v>
      </c>
      <c r="D107" s="126" t="s">
        <v>197</v>
      </c>
      <c r="E107" s="65" t="s">
        <v>1184</v>
      </c>
      <c r="G107" s="73">
        <v>45090.4375</v>
      </c>
      <c r="H107" s="73">
        <v>45090.440972222219</v>
      </c>
      <c r="I107" s="126" t="s">
        <v>751</v>
      </c>
      <c r="J107" s="115" t="s">
        <v>192</v>
      </c>
      <c r="K107" s="115" t="s">
        <v>192</v>
      </c>
      <c r="L107" s="126" t="s">
        <v>1883</v>
      </c>
      <c r="M107" s="167"/>
      <c r="N107" s="126" t="s">
        <v>226</v>
      </c>
      <c r="O107" s="126" t="s">
        <v>227</v>
      </c>
      <c r="P107" s="126" t="s">
        <v>611</v>
      </c>
      <c r="Q107" s="181">
        <f>3100*2.4</f>
        <v>7440</v>
      </c>
      <c r="R107" s="181">
        <f>7450+100</f>
        <v>7550</v>
      </c>
      <c r="S107" s="181">
        <v>7504.2610000000004</v>
      </c>
      <c r="T107" s="181"/>
      <c r="AD107" s="181">
        <f>S107</f>
        <v>7504.2610000000004</v>
      </c>
      <c r="AX107" s="165">
        <f t="shared" si="23"/>
        <v>45091.111111111109</v>
      </c>
      <c r="AY107" s="165">
        <f t="shared" si="24"/>
        <v>45095.930555555555</v>
      </c>
      <c r="AZ107" s="137">
        <f t="shared" si="25"/>
        <v>4.8194444444452529</v>
      </c>
      <c r="BA107" s="165">
        <v>45091.111111111109</v>
      </c>
      <c r="BB107" s="165">
        <v>45091.131944444445</v>
      </c>
      <c r="BC107" s="165">
        <v>45091.166666666664</v>
      </c>
      <c r="BD107" s="165">
        <v>45091.470138888886</v>
      </c>
      <c r="BE107" s="165">
        <v>45091.732638888891</v>
      </c>
      <c r="BF107" s="165">
        <v>45091.739583333336</v>
      </c>
      <c r="BG107" s="165">
        <v>45092.798611111109</v>
      </c>
      <c r="BH107" s="165">
        <v>45092.798611111109</v>
      </c>
      <c r="BI107" s="166" t="s">
        <v>196</v>
      </c>
      <c r="BJ107" s="166" t="s">
        <v>196</v>
      </c>
      <c r="BK107" s="166" t="s">
        <v>196</v>
      </c>
      <c r="BL107" s="165">
        <v>45093.125</v>
      </c>
      <c r="BM107" s="165">
        <v>45095.25</v>
      </c>
      <c r="BN107" s="165">
        <v>45095.625</v>
      </c>
      <c r="BO107" s="165">
        <v>45095.638888888891</v>
      </c>
      <c r="BP107" s="165">
        <v>45095.638888888891</v>
      </c>
      <c r="BQ107" s="165">
        <v>45095.930555555555</v>
      </c>
      <c r="BT107" s="136">
        <f t="shared" si="26"/>
        <v>0.83333333325572312</v>
      </c>
      <c r="BU107" s="136">
        <f t="shared" si="27"/>
        <v>6.3000000001047738</v>
      </c>
      <c r="BV107" s="136">
        <f t="shared" si="28"/>
        <v>0</v>
      </c>
      <c r="BW107" s="136">
        <f t="shared" si="38"/>
        <v>7.8333333333721384</v>
      </c>
      <c r="BX107" s="135">
        <f t="shared" si="29"/>
        <v>9</v>
      </c>
      <c r="BY107" s="135">
        <f t="shared" si="30"/>
        <v>6.9999999999417923</v>
      </c>
      <c r="BZ107" s="134">
        <f t="shared" si="31"/>
        <v>1.2902777777781012</v>
      </c>
      <c r="CA107" s="134">
        <f t="shared" si="32"/>
        <v>4.8194444444452529</v>
      </c>
      <c r="CB107" s="133">
        <f t="shared" si="33"/>
        <v>0.26772334293950345</v>
      </c>
    </row>
    <row r="108" spans="1:82" s="126" customFormat="1">
      <c r="A108" s="192">
        <f t="shared" si="37"/>
        <v>45091.786111111112</v>
      </c>
      <c r="B108" s="126" t="s">
        <v>188</v>
      </c>
      <c r="C108" s="126" t="s">
        <v>87</v>
      </c>
      <c r="D108" s="126" t="s">
        <v>215</v>
      </c>
      <c r="E108" s="65" t="s">
        <v>1184</v>
      </c>
      <c r="G108" s="73">
        <v>45090.4375</v>
      </c>
      <c r="H108" s="73">
        <v>45090.440972222219</v>
      </c>
      <c r="I108" s="126" t="s">
        <v>751</v>
      </c>
      <c r="J108" s="115" t="s">
        <v>192</v>
      </c>
      <c r="K108" s="115" t="s">
        <v>192</v>
      </c>
      <c r="L108" s="126" t="s">
        <v>1884</v>
      </c>
      <c r="M108" s="167"/>
      <c r="N108" s="126" t="s">
        <v>1230</v>
      </c>
      <c r="O108" s="126" t="s">
        <v>1231</v>
      </c>
      <c r="P108" s="126" t="s">
        <v>611</v>
      </c>
      <c r="Q108" s="181">
        <f>3107*2.4</f>
        <v>7456.7999999999993</v>
      </c>
      <c r="R108" s="181">
        <f>7500+100</f>
        <v>7600</v>
      </c>
      <c r="S108" s="181">
        <v>7507.9970000000003</v>
      </c>
      <c r="T108" s="181"/>
      <c r="AD108" s="181">
        <f>S108</f>
        <v>7507.9970000000003</v>
      </c>
      <c r="AX108" s="165">
        <f t="shared" si="23"/>
        <v>45091.435416666667</v>
      </c>
      <c r="AY108" s="165">
        <f t="shared" si="24"/>
        <v>45096.482638888891</v>
      </c>
      <c r="AZ108" s="137">
        <f t="shared" si="25"/>
        <v>5.047222222223354</v>
      </c>
      <c r="BA108" s="165">
        <v>45091.435416666667</v>
      </c>
      <c r="BB108" s="165">
        <v>45091.5</v>
      </c>
      <c r="BC108" s="165">
        <v>45091.534722222219</v>
      </c>
      <c r="BD108" s="165">
        <v>45091.786111111112</v>
      </c>
      <c r="BE108" s="165">
        <v>45091.965277777781</v>
      </c>
      <c r="BF108" s="165">
        <v>45091.975694444445</v>
      </c>
      <c r="BG108" s="165">
        <v>45092.822916666664</v>
      </c>
      <c r="BH108" s="165">
        <v>45092.822916666664</v>
      </c>
      <c r="BI108" s="166" t="s">
        <v>196</v>
      </c>
      <c r="BJ108" s="166" t="s">
        <v>196</v>
      </c>
      <c r="BK108" s="166" t="s">
        <v>196</v>
      </c>
      <c r="BL108" s="165">
        <v>45093.135416666664</v>
      </c>
      <c r="BM108" s="165">
        <v>45095.680555555555</v>
      </c>
      <c r="BN108" s="165">
        <v>45096.090277777781</v>
      </c>
      <c r="BO108" s="165">
        <v>45096.104166666664</v>
      </c>
      <c r="BP108" s="165">
        <v>45096.236111111109</v>
      </c>
      <c r="BQ108" s="165">
        <v>45096.482638888891</v>
      </c>
      <c r="BT108" s="136">
        <f t="shared" si="26"/>
        <v>0.83333333325572312</v>
      </c>
      <c r="BU108" s="136">
        <f t="shared" si="27"/>
        <v>4.3000000000465661</v>
      </c>
      <c r="BV108" s="136">
        <f t="shared" si="28"/>
        <v>0</v>
      </c>
      <c r="BW108" s="136">
        <f t="shared" si="38"/>
        <v>7.5</v>
      </c>
      <c r="BX108" s="135">
        <f t="shared" si="29"/>
        <v>9.8333333334303461</v>
      </c>
      <c r="BY108" s="135">
        <f t="shared" si="30"/>
        <v>5.9166666667442769</v>
      </c>
      <c r="BZ108" s="134">
        <f t="shared" si="31"/>
        <v>1.1826388888948713</v>
      </c>
      <c r="CA108" s="134">
        <f t="shared" si="32"/>
        <v>5.047222222223354</v>
      </c>
      <c r="CB108" s="133">
        <f t="shared" si="33"/>
        <v>0.2343148046241377</v>
      </c>
    </row>
    <row r="109" spans="1:82" s="126" customFormat="1">
      <c r="A109" s="192">
        <f t="shared" si="37"/>
        <v>45096.195833333331</v>
      </c>
      <c r="B109" s="126" t="s">
        <v>188</v>
      </c>
      <c r="C109" s="126" t="s">
        <v>87</v>
      </c>
      <c r="D109" s="126" t="s">
        <v>215</v>
      </c>
      <c r="E109" s="65" t="s">
        <v>1827</v>
      </c>
      <c r="G109" s="73">
        <v>45097.333333333336</v>
      </c>
      <c r="H109" s="73">
        <v>45097.324999999997</v>
      </c>
      <c r="I109" s="126" t="s">
        <v>751</v>
      </c>
      <c r="J109" s="115" t="s">
        <v>192</v>
      </c>
      <c r="K109" s="115" t="s">
        <v>192</v>
      </c>
      <c r="L109" s="126" t="s">
        <v>1885</v>
      </c>
      <c r="M109" s="167"/>
      <c r="N109" s="126" t="s">
        <v>774</v>
      </c>
      <c r="O109" s="126" t="s">
        <v>423</v>
      </c>
      <c r="P109" s="126" t="s">
        <v>1164</v>
      </c>
      <c r="Q109" s="181">
        <f>3156*2.4</f>
        <v>7574.4</v>
      </c>
      <c r="R109" s="181">
        <f>7600+100</f>
        <v>7700</v>
      </c>
      <c r="S109" s="181">
        <v>7529.3549999999996</v>
      </c>
      <c r="T109" s="181"/>
      <c r="AH109" s="181">
        <f>S109</f>
        <v>7529.3549999999996</v>
      </c>
      <c r="AX109" s="165">
        <f t="shared" si="23"/>
        <v>45094.902777777781</v>
      </c>
      <c r="AY109" s="165">
        <f t="shared" si="24"/>
        <v>45101.625</v>
      </c>
      <c r="AZ109" s="137">
        <f t="shared" si="25"/>
        <v>6.7222222222189885</v>
      </c>
      <c r="BA109" s="165">
        <v>45094.902777777781</v>
      </c>
      <c r="BB109" s="165">
        <v>45094.913194444445</v>
      </c>
      <c r="BC109" s="165">
        <v>45094.9375</v>
      </c>
      <c r="BD109" s="165">
        <v>45096.195833333331</v>
      </c>
      <c r="BE109" s="165">
        <v>45096.40625</v>
      </c>
      <c r="BF109" s="165">
        <v>45096.409722222219</v>
      </c>
      <c r="BG109" s="165">
        <v>45097</v>
      </c>
      <c r="BH109" s="165">
        <v>45097</v>
      </c>
      <c r="BI109" s="166" t="s">
        <v>196</v>
      </c>
      <c r="BJ109" s="166" t="s">
        <v>196</v>
      </c>
      <c r="BK109" s="166" t="s">
        <v>196</v>
      </c>
      <c r="BL109" s="165">
        <v>45097.291666666664</v>
      </c>
      <c r="BM109" s="165">
        <v>45100.243055555555</v>
      </c>
      <c r="BN109" s="165">
        <v>45100.930555555555</v>
      </c>
      <c r="BO109" s="165">
        <v>45100.944444444445</v>
      </c>
      <c r="BP109" s="165">
        <v>45101.239583333336</v>
      </c>
      <c r="BQ109" s="165">
        <v>45101.625</v>
      </c>
      <c r="BT109" s="136">
        <f t="shared" si="26"/>
        <v>0.58333333331393078</v>
      </c>
      <c r="BU109" s="136">
        <f t="shared" si="27"/>
        <v>5.0500000000465661</v>
      </c>
      <c r="BV109" s="136">
        <f t="shared" si="28"/>
        <v>0</v>
      </c>
      <c r="BW109" s="136">
        <f t="shared" si="38"/>
        <v>6.9999999999417923</v>
      </c>
      <c r="BX109" s="135">
        <f t="shared" si="29"/>
        <v>16.5</v>
      </c>
      <c r="BY109" s="135">
        <f t="shared" si="30"/>
        <v>9.2499999999417923</v>
      </c>
      <c r="BZ109" s="134">
        <f t="shared" si="31"/>
        <v>1.5993055555518367</v>
      </c>
      <c r="CA109" s="134">
        <f t="shared" si="32"/>
        <v>6.7222222222189885</v>
      </c>
      <c r="CB109" s="133">
        <f t="shared" si="33"/>
        <v>0.23791322314005711</v>
      </c>
    </row>
    <row r="110" spans="1:82" s="126" customFormat="1">
      <c r="A110" s="192">
        <f t="shared" si="37"/>
        <v>45096.461805555555</v>
      </c>
      <c r="B110" s="126" t="s">
        <v>188</v>
      </c>
      <c r="C110" s="126" t="s">
        <v>87</v>
      </c>
      <c r="D110" s="126" t="s">
        <v>197</v>
      </c>
      <c r="E110" s="65" t="s">
        <v>1827</v>
      </c>
      <c r="G110" s="73">
        <v>45097.333333333336</v>
      </c>
      <c r="H110" s="73">
        <v>45097.324999999997</v>
      </c>
      <c r="I110" s="126" t="s">
        <v>751</v>
      </c>
      <c r="J110" s="115" t="s">
        <v>192</v>
      </c>
      <c r="K110" s="115" t="s">
        <v>192</v>
      </c>
      <c r="L110" s="126" t="s">
        <v>1886</v>
      </c>
      <c r="M110" s="167"/>
      <c r="N110" s="126" t="s">
        <v>380</v>
      </c>
      <c r="O110" s="126" t="s">
        <v>381</v>
      </c>
      <c r="P110" s="126" t="s">
        <v>1164</v>
      </c>
      <c r="Q110" s="181">
        <f>3271*2.4</f>
        <v>7850.4</v>
      </c>
      <c r="R110" s="181">
        <f>7900+100</f>
        <v>8000</v>
      </c>
      <c r="S110" s="181">
        <v>7515.4610000000002</v>
      </c>
      <c r="T110" s="181"/>
      <c r="AH110" s="181">
        <f>S110</f>
        <v>7515.4610000000002</v>
      </c>
      <c r="AX110" s="165">
        <f t="shared" si="23"/>
        <v>45096.199305555558</v>
      </c>
      <c r="AY110" s="165">
        <f t="shared" si="24"/>
        <v>45100.520833333336</v>
      </c>
      <c r="AZ110" s="137">
        <f t="shared" si="25"/>
        <v>4.3215277777781012</v>
      </c>
      <c r="BA110" s="165">
        <v>45096.199305555558</v>
      </c>
      <c r="BB110" s="165">
        <v>45096.243055555555</v>
      </c>
      <c r="BC110" s="165">
        <v>45096.270833333336</v>
      </c>
      <c r="BD110" s="165">
        <v>45096.461805555555</v>
      </c>
      <c r="BE110" s="165">
        <v>45096.574305555558</v>
      </c>
      <c r="BF110" s="165">
        <v>45096.583333333336</v>
      </c>
      <c r="BG110" s="165">
        <v>45096.991666666669</v>
      </c>
      <c r="BH110" s="165">
        <v>45096.991666666669</v>
      </c>
      <c r="BI110" s="166" t="s">
        <v>196</v>
      </c>
      <c r="BJ110" s="166" t="s">
        <v>196</v>
      </c>
      <c r="BK110" s="166" t="s">
        <v>196</v>
      </c>
      <c r="BL110" s="165">
        <v>45097.229166666664</v>
      </c>
      <c r="BM110" s="165">
        <v>45099.770833333336</v>
      </c>
      <c r="BN110" s="165">
        <v>45100.173611111109</v>
      </c>
      <c r="BO110" s="165">
        <v>45100.1875</v>
      </c>
      <c r="BP110" s="165">
        <v>45100.1875</v>
      </c>
      <c r="BQ110" s="165">
        <v>45100.520833333336</v>
      </c>
      <c r="BT110" s="136">
        <f t="shared" si="26"/>
        <v>0.66666666674427688</v>
      </c>
      <c r="BU110" s="136">
        <f t="shared" si="27"/>
        <v>2.7000000000698492</v>
      </c>
      <c r="BV110" s="136">
        <f t="shared" si="28"/>
        <v>0</v>
      </c>
      <c r="BW110" s="136">
        <f t="shared" si="38"/>
        <v>5.6999999998952262</v>
      </c>
      <c r="BX110" s="135">
        <f t="shared" si="29"/>
        <v>9.6666666665696539</v>
      </c>
      <c r="BY110" s="135">
        <f t="shared" si="30"/>
        <v>8.0000000000582077</v>
      </c>
      <c r="BZ110" s="134">
        <f t="shared" si="31"/>
        <v>1.1138888888890506</v>
      </c>
      <c r="CA110" s="134">
        <f t="shared" si="32"/>
        <v>4.3215277777781012</v>
      </c>
      <c r="CB110" s="133">
        <f t="shared" si="33"/>
        <v>0.25775349509884504</v>
      </c>
    </row>
    <row r="111" spans="1:82" s="126" customFormat="1">
      <c r="A111" s="192">
        <f t="shared" si="37"/>
        <v>45101.390972222223</v>
      </c>
      <c r="B111" s="126" t="s">
        <v>188</v>
      </c>
      <c r="C111" s="126" t="s">
        <v>87</v>
      </c>
      <c r="D111" s="126" t="s">
        <v>197</v>
      </c>
      <c r="E111" s="65" t="s">
        <v>1207</v>
      </c>
      <c r="G111" s="315">
        <v>45103.5</v>
      </c>
      <c r="H111" s="316">
        <v>45103.354166666664</v>
      </c>
      <c r="I111" s="126" t="s">
        <v>751</v>
      </c>
      <c r="J111" s="126" t="s">
        <v>192</v>
      </c>
      <c r="K111" s="126" t="s">
        <v>192</v>
      </c>
      <c r="L111" s="126" t="s">
        <v>1887</v>
      </c>
      <c r="M111" s="167"/>
      <c r="N111" s="126" t="s">
        <v>371</v>
      </c>
      <c r="O111" s="126" t="s">
        <v>372</v>
      </c>
      <c r="P111" s="126" t="s">
        <v>1164</v>
      </c>
      <c r="Q111" s="181">
        <f>3117*2.4</f>
        <v>7480.7999999999993</v>
      </c>
      <c r="R111" s="181">
        <f>7500+100</f>
        <v>7600</v>
      </c>
      <c r="S111" s="181">
        <v>7526.6819999999998</v>
      </c>
      <c r="T111" s="181"/>
      <c r="AH111" s="181">
        <f>S111</f>
        <v>7526.6819999999998</v>
      </c>
      <c r="AX111" s="165">
        <f t="shared" si="23"/>
        <v>45101.274305555555</v>
      </c>
      <c r="AY111" s="165">
        <f t="shared" si="24"/>
        <v>45105.648611111108</v>
      </c>
      <c r="AZ111" s="137">
        <f t="shared" si="25"/>
        <v>4.3743055555532919</v>
      </c>
      <c r="BA111" s="165">
        <v>45101.274305555555</v>
      </c>
      <c r="BB111" s="165">
        <v>45101.302083333336</v>
      </c>
      <c r="BC111" s="165">
        <v>45101.335416666669</v>
      </c>
      <c r="BD111" s="165">
        <v>45101.390972222223</v>
      </c>
      <c r="BE111" s="165">
        <v>45101.502083333333</v>
      </c>
      <c r="BF111" s="165">
        <v>45101.510416666664</v>
      </c>
      <c r="BG111" s="165">
        <v>45101.829861111109</v>
      </c>
      <c r="BH111" s="165">
        <v>45101.829861111109</v>
      </c>
      <c r="BI111" s="166" t="s">
        <v>196</v>
      </c>
      <c r="BJ111" s="166" t="s">
        <v>196</v>
      </c>
      <c r="BK111" s="166" t="s">
        <v>196</v>
      </c>
      <c r="BL111" s="165">
        <v>45102.0625</v>
      </c>
      <c r="BM111" s="165">
        <v>45105.027777777781</v>
      </c>
      <c r="BN111" s="165">
        <v>45105.277777777781</v>
      </c>
      <c r="BO111" s="165">
        <v>45105.291666666664</v>
      </c>
      <c r="BP111" s="165">
        <v>45105.291666666664</v>
      </c>
      <c r="BQ111" s="165">
        <v>45105.648611111108</v>
      </c>
      <c r="BT111" s="136">
        <f t="shared" si="26"/>
        <v>0.79999999998835847</v>
      </c>
      <c r="BU111" s="136">
        <f t="shared" si="27"/>
        <v>2.6666666666278616</v>
      </c>
      <c r="BV111" s="136">
        <f t="shared" si="28"/>
        <v>0</v>
      </c>
      <c r="BW111" s="136">
        <f t="shared" si="38"/>
        <v>5.5833333333721384</v>
      </c>
      <c r="BX111" s="135">
        <f t="shared" si="29"/>
        <v>6</v>
      </c>
      <c r="BY111" s="135">
        <f t="shared" si="30"/>
        <v>8.5666666666511446</v>
      </c>
      <c r="BZ111" s="134">
        <f t="shared" si="31"/>
        <v>0.98402777777664596</v>
      </c>
      <c r="CA111" s="134">
        <f t="shared" si="32"/>
        <v>4.3743055555532919</v>
      </c>
      <c r="CB111" s="133">
        <f t="shared" si="33"/>
        <v>0.22495634227640951</v>
      </c>
    </row>
    <row r="112" spans="1:82" s="126" customFormat="1">
      <c r="A112" s="192">
        <f t="shared" si="37"/>
        <v>45102.378472222219</v>
      </c>
      <c r="B112" s="126" t="s">
        <v>188</v>
      </c>
      <c r="C112" s="126" t="s">
        <v>87</v>
      </c>
      <c r="D112" s="126" t="s">
        <v>197</v>
      </c>
      <c r="E112" s="65" t="s">
        <v>1207</v>
      </c>
      <c r="G112" s="315">
        <v>45103.5</v>
      </c>
      <c r="H112" s="316">
        <v>45103.354166666664</v>
      </c>
      <c r="I112" s="126" t="s">
        <v>751</v>
      </c>
      <c r="J112" s="126" t="s">
        <v>192</v>
      </c>
      <c r="K112" s="126" t="s">
        <v>192</v>
      </c>
      <c r="L112" s="126" t="s">
        <v>1888</v>
      </c>
      <c r="M112" s="167"/>
      <c r="N112" s="126" t="s">
        <v>695</v>
      </c>
      <c r="O112" s="126" t="s">
        <v>281</v>
      </c>
      <c r="P112" s="126" t="s">
        <v>1164</v>
      </c>
      <c r="Q112" s="181">
        <f>3102*2.4</f>
        <v>7444.7999999999993</v>
      </c>
      <c r="R112" s="181">
        <f>7450+100</f>
        <v>7550</v>
      </c>
      <c r="S112" s="181">
        <v>7533.9390000000003</v>
      </c>
      <c r="T112" s="181"/>
      <c r="AH112" s="181">
        <f>S112</f>
        <v>7533.9390000000003</v>
      </c>
      <c r="AX112" s="165">
        <f t="shared" si="23"/>
        <v>45101.597222222219</v>
      </c>
      <c r="AY112" s="165">
        <f t="shared" si="24"/>
        <v>45106.145833333336</v>
      </c>
      <c r="AZ112" s="137">
        <f t="shared" si="25"/>
        <v>4.5486111111167702</v>
      </c>
      <c r="BA112" s="165">
        <v>45101.597222222219</v>
      </c>
      <c r="BB112" s="165">
        <v>45101.635416666664</v>
      </c>
      <c r="BC112" s="165">
        <v>45101.6875</v>
      </c>
      <c r="BD112" s="165">
        <v>45102.378472222219</v>
      </c>
      <c r="BE112" s="165">
        <v>45102.482638888891</v>
      </c>
      <c r="BF112" s="165">
        <v>45102.489583333336</v>
      </c>
      <c r="BG112" s="165">
        <v>45102.916666666664</v>
      </c>
      <c r="BH112" s="165">
        <v>45102.916666666664</v>
      </c>
      <c r="BI112" s="166" t="s">
        <v>196</v>
      </c>
      <c r="BJ112" s="166" t="s">
        <v>196</v>
      </c>
      <c r="BK112" s="166" t="s">
        <v>196</v>
      </c>
      <c r="BL112" s="165">
        <v>45103.166666666664</v>
      </c>
      <c r="BM112" s="165">
        <v>45105.3125</v>
      </c>
      <c r="BN112" s="165">
        <v>45105.552083333336</v>
      </c>
      <c r="BO112" s="165">
        <v>45105.565972222219</v>
      </c>
      <c r="BP112" s="165">
        <v>45105.888888888891</v>
      </c>
      <c r="BQ112" s="165">
        <v>45106.145833333336</v>
      </c>
      <c r="BT112" s="136">
        <f t="shared" si="26"/>
        <v>1.2500000000582077</v>
      </c>
      <c r="BU112" s="136">
        <f t="shared" si="27"/>
        <v>2.5000000001164153</v>
      </c>
      <c r="BV112" s="136">
        <f t="shared" si="28"/>
        <v>0</v>
      </c>
      <c r="BW112" s="136">
        <f t="shared" si="38"/>
        <v>6</v>
      </c>
      <c r="BX112" s="135">
        <f t="shared" si="29"/>
        <v>5.7500000000582077</v>
      </c>
      <c r="BY112" s="135">
        <f t="shared" si="30"/>
        <v>6.1666666666860692</v>
      </c>
      <c r="BZ112" s="134">
        <f t="shared" si="31"/>
        <v>0.90277777778828749</v>
      </c>
      <c r="CA112" s="134">
        <f t="shared" si="32"/>
        <v>4.5486111111167702</v>
      </c>
      <c r="CB112" s="133">
        <f t="shared" si="33"/>
        <v>0.19847328244481169</v>
      </c>
    </row>
    <row r="113" spans="1:80" s="126" customFormat="1">
      <c r="A113" s="192">
        <f t="shared" si="37"/>
        <v>45107.723611111112</v>
      </c>
      <c r="B113" s="126" t="s">
        <v>188</v>
      </c>
      <c r="C113" s="126" t="s">
        <v>87</v>
      </c>
      <c r="D113" s="126" t="s">
        <v>197</v>
      </c>
      <c r="E113" s="65" t="s">
        <v>1852</v>
      </c>
      <c r="G113" s="315">
        <v>45107.25</v>
      </c>
      <c r="H113" s="315">
        <v>45107.256944444445</v>
      </c>
      <c r="I113" s="126" t="s">
        <v>751</v>
      </c>
      <c r="J113" s="126" t="s">
        <v>192</v>
      </c>
      <c r="K113" s="126" t="s">
        <v>192</v>
      </c>
      <c r="L113" s="126" t="s">
        <v>1889</v>
      </c>
      <c r="M113" s="167"/>
      <c r="N113" s="126" t="s">
        <v>473</v>
      </c>
      <c r="O113" s="126" t="s">
        <v>474</v>
      </c>
      <c r="P113" s="126" t="s">
        <v>1164</v>
      </c>
      <c r="Q113" s="181">
        <f>3136*2.4</f>
        <v>7526.4</v>
      </c>
      <c r="R113" s="181">
        <f>7550+100</f>
        <v>7650</v>
      </c>
      <c r="S113" s="181">
        <v>7528.8270000000002</v>
      </c>
      <c r="T113" s="181"/>
      <c r="AH113" s="181">
        <f>S113</f>
        <v>7528.8270000000002</v>
      </c>
      <c r="AX113" s="165">
        <f t="shared" si="23"/>
        <v>45106.84375</v>
      </c>
      <c r="AY113" s="165">
        <f t="shared" si="24"/>
        <v>45110.958333333336</v>
      </c>
      <c r="AZ113" s="137">
        <f t="shared" si="25"/>
        <v>4.1145833333357587</v>
      </c>
      <c r="BA113" s="165">
        <v>45106.84375</v>
      </c>
      <c r="BB113" s="165">
        <v>45106.857638888891</v>
      </c>
      <c r="BC113" s="165">
        <v>45106.895833333336</v>
      </c>
      <c r="BD113" s="165">
        <v>45107.723611111112</v>
      </c>
      <c r="BE113" s="165">
        <v>45107.836805555555</v>
      </c>
      <c r="BF113" s="165">
        <v>45107.84375</v>
      </c>
      <c r="BG113" s="165">
        <v>45108.041666666664</v>
      </c>
      <c r="BH113" s="165">
        <v>45108.041666666664</v>
      </c>
      <c r="BI113" s="166" t="s">
        <v>196</v>
      </c>
      <c r="BJ113" s="166" t="s">
        <v>196</v>
      </c>
      <c r="BK113" s="166" t="s">
        <v>196</v>
      </c>
      <c r="BL113" s="165">
        <v>45108.416666666664</v>
      </c>
      <c r="BM113" s="165">
        <v>45110.145833333336</v>
      </c>
      <c r="BN113" s="165">
        <v>45110.368055555555</v>
      </c>
      <c r="BO113" s="165">
        <v>45110.395833333336</v>
      </c>
      <c r="BP113" s="165">
        <v>45110.638888888891</v>
      </c>
      <c r="BQ113" s="165">
        <v>45110.958333333336</v>
      </c>
      <c r="BT113" s="136">
        <f t="shared" si="26"/>
        <v>0.91666666668606922</v>
      </c>
      <c r="BU113" s="136">
        <f t="shared" si="27"/>
        <v>2.71666666661622</v>
      </c>
      <c r="BV113" s="136">
        <f t="shared" si="28"/>
        <v>0</v>
      </c>
      <c r="BW113" s="136">
        <f t="shared" si="38"/>
        <v>9</v>
      </c>
      <c r="BX113" s="135">
        <f t="shared" si="29"/>
        <v>5.3333333332557231</v>
      </c>
      <c r="BY113" s="135">
        <f t="shared" si="30"/>
        <v>7.6666666666860692</v>
      </c>
      <c r="BZ113" s="134">
        <f t="shared" si="31"/>
        <v>1.0680555555518367</v>
      </c>
      <c r="CA113" s="134">
        <f t="shared" si="32"/>
        <v>4.1145833333357587</v>
      </c>
      <c r="CB113" s="133">
        <f t="shared" si="33"/>
        <v>0.25957805907067316</v>
      </c>
    </row>
    <row r="114" spans="1:80" s="126" customFormat="1">
      <c r="A114" s="192">
        <f t="shared" si="37"/>
        <v>45077.868055555555</v>
      </c>
      <c r="B114" s="126" t="s">
        <v>188</v>
      </c>
      <c r="C114" s="126" t="s">
        <v>181</v>
      </c>
      <c r="D114" s="126" t="s">
        <v>189</v>
      </c>
      <c r="E114" s="65" t="s">
        <v>1789</v>
      </c>
      <c r="G114" s="165">
        <v>45094.6875</v>
      </c>
      <c r="H114" s="165">
        <v>45094.6875</v>
      </c>
      <c r="I114" s="126" t="s">
        <v>448</v>
      </c>
      <c r="J114" s="115" t="s">
        <v>192</v>
      </c>
      <c r="K114" s="115" t="s">
        <v>192</v>
      </c>
      <c r="L114" s="126" t="s">
        <v>1890</v>
      </c>
      <c r="M114" s="167"/>
      <c r="N114" s="126" t="s">
        <v>453</v>
      </c>
      <c r="O114" s="126" t="s">
        <v>454</v>
      </c>
      <c r="P114" s="126" t="s">
        <v>181</v>
      </c>
      <c r="Q114" s="181">
        <v>7500</v>
      </c>
      <c r="R114" s="181">
        <v>7500</v>
      </c>
      <c r="S114" s="181">
        <v>7714.317</v>
      </c>
      <c r="T114" s="181"/>
      <c r="AK114" s="181">
        <f>S114</f>
        <v>7714.317</v>
      </c>
      <c r="AX114" s="165">
        <f t="shared" si="23"/>
        <v>45077.427083333336</v>
      </c>
      <c r="AY114" s="165">
        <f t="shared" si="24"/>
        <v>45092.097222222219</v>
      </c>
      <c r="AZ114" s="137">
        <f t="shared" si="25"/>
        <v>14.67013888888323</v>
      </c>
      <c r="BA114" s="165">
        <v>45077.427083333336</v>
      </c>
      <c r="BB114" s="165">
        <v>45077.427083333336</v>
      </c>
      <c r="BC114" s="165">
        <v>45077.427083333336</v>
      </c>
      <c r="BD114" s="165">
        <v>45077.868055555555</v>
      </c>
      <c r="BE114" s="165">
        <v>45079.902777777781</v>
      </c>
      <c r="BF114" s="165">
        <v>45080.243055555555</v>
      </c>
      <c r="BG114" s="165">
        <v>45080.243055555555</v>
      </c>
      <c r="BH114" s="165">
        <v>45080.243055555555</v>
      </c>
      <c r="BI114" s="166" t="s">
        <v>196</v>
      </c>
      <c r="BJ114" s="166" t="s">
        <v>196</v>
      </c>
      <c r="BK114" s="166" t="s">
        <v>196</v>
      </c>
      <c r="BL114" s="165">
        <v>45082.291666666664</v>
      </c>
      <c r="BM114" s="165">
        <v>45091.569444444445</v>
      </c>
      <c r="BN114" s="165">
        <v>45092.072916666664</v>
      </c>
      <c r="BO114" s="165">
        <v>45092.097222222219</v>
      </c>
      <c r="BP114" s="165">
        <v>45092.097222222219</v>
      </c>
      <c r="BQ114" s="165">
        <v>45092.097222222219</v>
      </c>
      <c r="BT114" s="136">
        <f t="shared" si="26"/>
        <v>0</v>
      </c>
      <c r="BU114" s="136">
        <f t="shared" si="27"/>
        <v>48.833333333430346</v>
      </c>
      <c r="BV114" s="136">
        <f t="shared" si="28"/>
        <v>0</v>
      </c>
      <c r="BW114" s="136">
        <f t="shared" si="38"/>
        <v>49.166666666627862</v>
      </c>
      <c r="BX114" s="135">
        <f t="shared" si="29"/>
        <v>12.083333333255723</v>
      </c>
      <c r="BY114" s="135">
        <f t="shared" si="30"/>
        <v>0</v>
      </c>
      <c r="BZ114" s="134">
        <f t="shared" si="31"/>
        <v>4.5868055555547471</v>
      </c>
      <c r="CA114" s="134">
        <f t="shared" si="32"/>
        <v>14.67013888888323</v>
      </c>
      <c r="CB114" s="133">
        <f t="shared" si="33"/>
        <v>0.31266272189355665</v>
      </c>
    </row>
    <row r="115" spans="1:80" s="126" customFormat="1">
      <c r="A115" s="192">
        <f t="shared" si="37"/>
        <v>45088.347222222219</v>
      </c>
      <c r="B115" s="126" t="s">
        <v>188</v>
      </c>
      <c r="C115" s="126" t="s">
        <v>181</v>
      </c>
      <c r="D115" s="126" t="s">
        <v>189</v>
      </c>
      <c r="E115" s="65" t="s">
        <v>1891</v>
      </c>
      <c r="G115" s="73">
        <v>45084.666666666664</v>
      </c>
      <c r="H115" s="73">
        <v>45084.708333333336</v>
      </c>
      <c r="I115" s="126" t="s">
        <v>1039</v>
      </c>
      <c r="J115" s="115" t="s">
        <v>192</v>
      </c>
      <c r="K115" s="115" t="s">
        <v>192</v>
      </c>
      <c r="L115" s="126" t="s">
        <v>1892</v>
      </c>
      <c r="M115" s="167"/>
      <c r="N115" s="126" t="s">
        <v>1893</v>
      </c>
      <c r="O115" s="126" t="s">
        <v>1894</v>
      </c>
      <c r="P115" s="126" t="s">
        <v>181</v>
      </c>
      <c r="Q115" s="181">
        <v>7500</v>
      </c>
      <c r="R115" s="181">
        <v>7500</v>
      </c>
      <c r="S115" s="181">
        <v>7331.5309999999999</v>
      </c>
      <c r="T115" s="181"/>
      <c r="AK115" s="181">
        <f>S115</f>
        <v>7331.5309999999999</v>
      </c>
      <c r="AX115" s="165">
        <f t="shared" si="23"/>
        <v>45087.909722222219</v>
      </c>
      <c r="AY115" s="165">
        <f t="shared" si="24"/>
        <v>45094.680555555555</v>
      </c>
      <c r="AZ115" s="137">
        <f t="shared" si="25"/>
        <v>6.7708333333357587</v>
      </c>
      <c r="BA115" s="165">
        <v>45087.909722222219</v>
      </c>
      <c r="BB115" s="165">
        <v>45087.909722222219</v>
      </c>
      <c r="BC115" s="165">
        <v>45087.909722222219</v>
      </c>
      <c r="BD115" s="165">
        <v>45088.347222222219</v>
      </c>
      <c r="BE115" s="165">
        <v>45090.947916666664</v>
      </c>
      <c r="BF115" s="165">
        <v>45091.194444444445</v>
      </c>
      <c r="BG115" s="165">
        <v>45091.194444444445</v>
      </c>
      <c r="BH115" s="165">
        <v>45091.194444444445</v>
      </c>
      <c r="BI115" s="166" t="s">
        <v>196</v>
      </c>
      <c r="BJ115" s="166" t="s">
        <v>196</v>
      </c>
      <c r="BK115" s="166" t="s">
        <v>196</v>
      </c>
      <c r="BL115" s="165">
        <v>45092.541666666664</v>
      </c>
      <c r="BM115" s="165">
        <v>45094.333333333336</v>
      </c>
      <c r="BN115" s="165">
        <v>45094.659722222219</v>
      </c>
      <c r="BO115" s="165">
        <v>45094.680555555555</v>
      </c>
      <c r="BP115" s="165">
        <v>45094.680555555555</v>
      </c>
      <c r="BQ115" s="165">
        <v>45094.680555555555</v>
      </c>
      <c r="BT115" s="136">
        <f t="shared" si="26"/>
        <v>0</v>
      </c>
      <c r="BU115" s="136">
        <f t="shared" si="27"/>
        <v>62.416666666686069</v>
      </c>
      <c r="BV115" s="136">
        <f t="shared" si="28"/>
        <v>0</v>
      </c>
      <c r="BW115" s="136">
        <f t="shared" si="38"/>
        <v>32.333333333255723</v>
      </c>
      <c r="BX115" s="135">
        <f t="shared" si="29"/>
        <v>7.8333333331975155</v>
      </c>
      <c r="BY115" s="135">
        <f t="shared" si="30"/>
        <v>0</v>
      </c>
      <c r="BZ115" s="134">
        <f t="shared" si="31"/>
        <v>4.2743055555474712</v>
      </c>
      <c r="CA115" s="134">
        <f t="shared" si="32"/>
        <v>6.7708333333357587</v>
      </c>
      <c r="CB115" s="133">
        <f t="shared" si="33"/>
        <v>0.6312820512806312</v>
      </c>
    </row>
    <row r="116" spans="1:80" s="126" customFormat="1">
      <c r="A116" s="192">
        <f t="shared" si="37"/>
        <v>45099.961805555555</v>
      </c>
      <c r="B116" s="126" t="s">
        <v>188</v>
      </c>
      <c r="C116" s="126" t="s">
        <v>181</v>
      </c>
      <c r="D116" s="126" t="s">
        <v>189</v>
      </c>
      <c r="E116" s="65" t="s">
        <v>1207</v>
      </c>
      <c r="G116" s="315">
        <v>45103.5</v>
      </c>
      <c r="H116" s="316">
        <v>45103.354166666664</v>
      </c>
      <c r="I116" s="126" t="s">
        <v>1039</v>
      </c>
      <c r="J116" s="126" t="s">
        <v>192</v>
      </c>
      <c r="K116" s="126" t="s">
        <v>192</v>
      </c>
      <c r="L116" s="126" t="s">
        <v>1895</v>
      </c>
      <c r="M116" s="167"/>
      <c r="N116" s="126" t="s">
        <v>453</v>
      </c>
      <c r="O116" s="126" t="s">
        <v>454</v>
      </c>
      <c r="P116" s="126" t="s">
        <v>181</v>
      </c>
      <c r="Q116" s="181">
        <v>7500</v>
      </c>
      <c r="R116" s="181">
        <v>7500</v>
      </c>
      <c r="S116" s="181">
        <v>7834.326</v>
      </c>
      <c r="T116" s="181"/>
      <c r="AK116" s="181">
        <f>S116</f>
        <v>7834.326</v>
      </c>
      <c r="AX116" s="165">
        <f t="shared" si="23"/>
        <v>45099.788194444445</v>
      </c>
      <c r="AY116" s="165">
        <f t="shared" si="24"/>
        <v>45106.159722222226</v>
      </c>
      <c r="AZ116" s="137">
        <f t="shared" si="25"/>
        <v>6.3715277777810115</v>
      </c>
      <c r="BA116" s="165">
        <v>45099.788194444445</v>
      </c>
      <c r="BB116" s="165">
        <v>45099.788194444445</v>
      </c>
      <c r="BC116" s="165">
        <v>45099.788194444445</v>
      </c>
      <c r="BD116" s="165">
        <v>45099.961805555555</v>
      </c>
      <c r="BE116" s="165">
        <v>45101.940972222219</v>
      </c>
      <c r="BF116" s="165">
        <v>45102.378472222219</v>
      </c>
      <c r="BG116" s="165">
        <v>45102.378472222219</v>
      </c>
      <c r="BH116" s="165">
        <v>45102.378472222219</v>
      </c>
      <c r="BI116" s="166" t="s">
        <v>196</v>
      </c>
      <c r="BJ116" s="166" t="s">
        <v>196</v>
      </c>
      <c r="BK116" s="166" t="s">
        <v>196</v>
      </c>
      <c r="BL116" s="165">
        <v>45103.9375</v>
      </c>
      <c r="BM116" s="165">
        <v>45105.027777777781</v>
      </c>
      <c r="BN116" s="165">
        <v>45106.104166666664</v>
      </c>
      <c r="BO116" s="165">
        <v>45106.118055555555</v>
      </c>
      <c r="BP116" s="165">
        <f>BO116+(0.5/24)</f>
        <v>45106.138888888891</v>
      </c>
      <c r="BQ116" s="165">
        <f>BP116+(0.5/24)</f>
        <v>45106.159722222226</v>
      </c>
      <c r="BT116" s="136">
        <f t="shared" si="26"/>
        <v>0</v>
      </c>
      <c r="BU116" s="136">
        <f t="shared" si="27"/>
        <v>47.499999999941792</v>
      </c>
      <c r="BV116" s="136">
        <f t="shared" si="28"/>
        <v>0</v>
      </c>
      <c r="BW116" s="136">
        <f t="shared" si="38"/>
        <v>37.416666666744277</v>
      </c>
      <c r="BX116" s="135">
        <f t="shared" si="29"/>
        <v>25.833333333197515</v>
      </c>
      <c r="BY116" s="135">
        <f t="shared" si="30"/>
        <v>0.50000000005820766</v>
      </c>
      <c r="BZ116" s="134">
        <f t="shared" si="31"/>
        <v>4.6354166666642413</v>
      </c>
      <c r="CA116" s="134">
        <f t="shared" si="32"/>
        <v>6.3715277777810115</v>
      </c>
      <c r="CB116" s="133">
        <f t="shared" si="33"/>
        <v>0.72752043596655258</v>
      </c>
    </row>
    <row r="117" spans="1:80" s="126" customFormat="1">
      <c r="A117" s="192">
        <f t="shared" si="37"/>
        <v>45090.381944444445</v>
      </c>
      <c r="B117" s="126" t="s">
        <v>188</v>
      </c>
      <c r="C117" s="126" t="s">
        <v>82</v>
      </c>
      <c r="D117" s="126" t="s">
        <v>197</v>
      </c>
      <c r="E117" s="65" t="s">
        <v>1896</v>
      </c>
      <c r="G117" s="165">
        <v>45098.5</v>
      </c>
      <c r="H117" s="165">
        <v>45098.5</v>
      </c>
      <c r="I117" s="126" t="s">
        <v>1046</v>
      </c>
      <c r="J117" s="115" t="s">
        <v>192</v>
      </c>
      <c r="K117" s="115" t="s">
        <v>192</v>
      </c>
      <c r="L117" s="126" t="s">
        <v>1897</v>
      </c>
      <c r="M117" s="167"/>
      <c r="N117" s="126" t="s">
        <v>1307</v>
      </c>
      <c r="O117" s="126" t="s">
        <v>1308</v>
      </c>
      <c r="P117" s="126" t="s">
        <v>82</v>
      </c>
      <c r="Q117" s="181">
        <f>2212*2.4</f>
        <v>5308.8</v>
      </c>
      <c r="R117" s="181">
        <f>5350+100</f>
        <v>5450</v>
      </c>
      <c r="S117" s="181">
        <v>5286</v>
      </c>
      <c r="T117" s="181"/>
      <c r="AR117" s="181">
        <f>S117</f>
        <v>5286</v>
      </c>
      <c r="AX117" s="165">
        <f t="shared" si="23"/>
        <v>45087.572916666664</v>
      </c>
      <c r="AY117" s="165">
        <f t="shared" si="24"/>
        <v>45095.364583333336</v>
      </c>
      <c r="AZ117" s="137">
        <f t="shared" si="25"/>
        <v>7.7916666666715173</v>
      </c>
      <c r="BA117" s="165">
        <v>45087.572916666664</v>
      </c>
      <c r="BB117" s="165">
        <v>45090.048611111109</v>
      </c>
      <c r="BC117" s="165">
        <v>45090.274305555555</v>
      </c>
      <c r="BD117" s="165">
        <v>45090.381944444445</v>
      </c>
      <c r="BE117" s="165">
        <v>45091.083333333336</v>
      </c>
      <c r="BF117" s="165">
        <v>45091.333333333336</v>
      </c>
      <c r="BG117" s="165">
        <v>45091.9375</v>
      </c>
      <c r="BH117" s="165">
        <v>45091.9375</v>
      </c>
      <c r="BI117" s="166" t="s">
        <v>196</v>
      </c>
      <c r="BJ117" s="166" t="s">
        <v>196</v>
      </c>
      <c r="BK117" s="166" t="s">
        <v>196</v>
      </c>
      <c r="BL117" s="165">
        <v>45093.642361111109</v>
      </c>
      <c r="BM117" s="165">
        <v>45094.357638888891</v>
      </c>
      <c r="BN117" s="165">
        <v>45094.583333333336</v>
      </c>
      <c r="BO117" s="165">
        <v>45094.59375</v>
      </c>
      <c r="BP117" s="165">
        <v>45094.708333333336</v>
      </c>
      <c r="BQ117" s="165">
        <v>45095.364583333336</v>
      </c>
      <c r="BT117" s="136">
        <f t="shared" si="26"/>
        <v>5.4166666666860692</v>
      </c>
      <c r="BU117" s="136">
        <f t="shared" si="27"/>
        <v>16.833333333372138</v>
      </c>
      <c r="BV117" s="136">
        <f t="shared" si="28"/>
        <v>0</v>
      </c>
      <c r="BW117" s="136">
        <f t="shared" si="38"/>
        <v>40.916666666627862</v>
      </c>
      <c r="BX117" s="135">
        <f t="shared" si="29"/>
        <v>5.4166666666860692</v>
      </c>
      <c r="BY117" s="135">
        <f t="shared" si="30"/>
        <v>15.75</v>
      </c>
      <c r="BZ117" s="134">
        <f t="shared" si="31"/>
        <v>3.5138888888905058</v>
      </c>
      <c r="CA117" s="134">
        <f t="shared" si="32"/>
        <v>7.7916666666715173</v>
      </c>
      <c r="CB117" s="133">
        <f t="shared" si="33"/>
        <v>0.45098039215678948</v>
      </c>
    </row>
    <row r="118" spans="1:80" s="126" customFormat="1">
      <c r="A118" s="192">
        <f t="shared" si="37"/>
        <v>45099.690972222219</v>
      </c>
      <c r="B118" s="126" t="s">
        <v>188</v>
      </c>
      <c r="C118" s="126" t="s">
        <v>82</v>
      </c>
      <c r="D118" s="126" t="s">
        <v>197</v>
      </c>
      <c r="E118" s="65" t="s">
        <v>1207</v>
      </c>
      <c r="G118" s="315">
        <v>45103.5</v>
      </c>
      <c r="H118" s="316">
        <v>45103.354166666664</v>
      </c>
      <c r="I118" s="126" t="s">
        <v>1043</v>
      </c>
      <c r="J118" s="126" t="s">
        <v>192</v>
      </c>
      <c r="K118" s="126" t="s">
        <v>192</v>
      </c>
      <c r="L118" s="126" t="s">
        <v>1898</v>
      </c>
      <c r="M118" s="167"/>
      <c r="N118" s="126" t="s">
        <v>1307</v>
      </c>
      <c r="O118" s="126" t="s">
        <v>1308</v>
      </c>
      <c r="P118" s="126" t="s">
        <v>82</v>
      </c>
      <c r="Q118" s="181">
        <f>2212*2.4</f>
        <v>5308.8</v>
      </c>
      <c r="R118" s="181">
        <f>5350+100</f>
        <v>5450</v>
      </c>
      <c r="S118" s="181">
        <v>5389</v>
      </c>
      <c r="T118" s="181"/>
      <c r="AR118" s="181">
        <f>S118</f>
        <v>5389</v>
      </c>
      <c r="AX118" s="165">
        <f t="shared" si="23"/>
        <v>45095.364583333336</v>
      </c>
      <c r="AY118" s="165">
        <f t="shared" si="24"/>
        <v>45105.513888888891</v>
      </c>
      <c r="AZ118" s="137">
        <f t="shared" si="25"/>
        <v>10.149305555554747</v>
      </c>
      <c r="BA118" s="165">
        <v>45095.364583333336</v>
      </c>
      <c r="BB118" s="165">
        <v>45099.395833333336</v>
      </c>
      <c r="BC118" s="165">
        <v>45099.666666666664</v>
      </c>
      <c r="BD118" s="165">
        <v>45099.690972222219</v>
      </c>
      <c r="BE118" s="165">
        <v>45100.420138888891</v>
      </c>
      <c r="BF118" s="165">
        <v>45100.576388888891</v>
      </c>
      <c r="BG118" s="165">
        <v>45100.711805555555</v>
      </c>
      <c r="BH118" s="165">
        <v>45100.711805555555</v>
      </c>
      <c r="BI118" s="166" t="s">
        <v>196</v>
      </c>
      <c r="BJ118" s="166" t="s">
        <v>196</v>
      </c>
      <c r="BK118" s="166" t="s">
        <v>196</v>
      </c>
      <c r="BL118" s="165">
        <v>45101.895833333336</v>
      </c>
      <c r="BM118" s="165">
        <v>45104.451388888891</v>
      </c>
      <c r="BN118" s="165">
        <v>45104.965277777781</v>
      </c>
      <c r="BO118" s="165">
        <v>45104.986111111109</v>
      </c>
      <c r="BP118" s="165">
        <v>45104.986111111109</v>
      </c>
      <c r="BQ118" s="165">
        <v>45105.513888888891</v>
      </c>
      <c r="BT118" s="136">
        <f t="shared" si="26"/>
        <v>6.4999999998835847</v>
      </c>
      <c r="BU118" s="136">
        <f t="shared" si="27"/>
        <v>17.500000000116415</v>
      </c>
      <c r="BV118" s="136">
        <f t="shared" si="28"/>
        <v>0</v>
      </c>
      <c r="BW118" s="136">
        <f t="shared" si="38"/>
        <v>28.416666666744277</v>
      </c>
      <c r="BX118" s="135">
        <f t="shared" si="29"/>
        <v>12.333333333372138</v>
      </c>
      <c r="BY118" s="135">
        <f t="shared" si="30"/>
        <v>12.666666666744277</v>
      </c>
      <c r="BZ118" s="134">
        <f t="shared" si="31"/>
        <v>3.2256944444525288</v>
      </c>
      <c r="CA118" s="134">
        <f t="shared" si="32"/>
        <v>10.149305555554747</v>
      </c>
      <c r="CB118" s="133">
        <f t="shared" si="33"/>
        <v>0.31782415326801311</v>
      </c>
    </row>
    <row r="119" spans="1:80" s="126" customFormat="1">
      <c r="A119" s="192">
        <f t="shared" si="37"/>
        <v>45082.149305555555</v>
      </c>
      <c r="B119" s="126" t="s">
        <v>188</v>
      </c>
      <c r="C119" s="126" t="s">
        <v>84</v>
      </c>
      <c r="D119" s="126" t="s">
        <v>197</v>
      </c>
      <c r="E119" s="65" t="s">
        <v>1689</v>
      </c>
      <c r="G119" s="73">
        <v>45085.958333333336</v>
      </c>
      <c r="H119" s="73">
        <v>45085.895833333336</v>
      </c>
      <c r="I119" s="126" t="s">
        <v>455</v>
      </c>
      <c r="J119" s="115" t="s">
        <v>192</v>
      </c>
      <c r="K119" s="115" t="s">
        <v>192</v>
      </c>
      <c r="L119" s="126" t="s">
        <v>1899</v>
      </c>
      <c r="M119" s="167"/>
      <c r="N119" s="126" t="s">
        <v>208</v>
      </c>
      <c r="O119" s="126" t="s">
        <v>328</v>
      </c>
      <c r="P119" s="126" t="s">
        <v>84</v>
      </c>
      <c r="Q119" s="181">
        <f>3128*2.4</f>
        <v>7507.2</v>
      </c>
      <c r="R119" s="181">
        <f>7550+100</f>
        <v>7650</v>
      </c>
      <c r="S119" s="181">
        <v>7551.2120000000004</v>
      </c>
      <c r="T119" s="181"/>
      <c r="AM119" s="181">
        <f>S119</f>
        <v>7551.2120000000004</v>
      </c>
      <c r="AX119" s="165">
        <f t="shared" si="23"/>
        <v>45076.930555555555</v>
      </c>
      <c r="AY119" s="165">
        <f t="shared" si="24"/>
        <v>45091.215277777781</v>
      </c>
      <c r="AZ119" s="137">
        <f t="shared" si="25"/>
        <v>14.284722222226264</v>
      </c>
      <c r="BA119" s="165">
        <v>45076.930555555555</v>
      </c>
      <c r="BB119" s="165">
        <v>45077.472222222219</v>
      </c>
      <c r="BC119" s="165">
        <v>45079.4375</v>
      </c>
      <c r="BD119" s="165">
        <v>45082.149305555555</v>
      </c>
      <c r="BE119" s="165">
        <v>45082.329861111109</v>
      </c>
      <c r="BF119" s="165">
        <v>45082.354166666664</v>
      </c>
      <c r="BG119" s="165">
        <v>45083.6875</v>
      </c>
      <c r="BH119" s="165">
        <v>45083.6875</v>
      </c>
      <c r="BI119" s="166" t="s">
        <v>196</v>
      </c>
      <c r="BJ119" s="166" t="s">
        <v>196</v>
      </c>
      <c r="BK119" s="166" t="s">
        <v>196</v>
      </c>
      <c r="BL119" s="165">
        <v>45085.34375</v>
      </c>
      <c r="BM119" s="165">
        <v>45090.572916666664</v>
      </c>
      <c r="BN119" s="165">
        <v>45090.826388888891</v>
      </c>
      <c r="BO119" s="165">
        <v>45090.833333333336</v>
      </c>
      <c r="BP119" s="165">
        <v>45090.836805555555</v>
      </c>
      <c r="BQ119" s="165">
        <v>45091.215277777781</v>
      </c>
      <c r="BT119" s="136">
        <f t="shared" si="26"/>
        <v>47.166666666744277</v>
      </c>
      <c r="BU119" s="136">
        <f t="shared" si="27"/>
        <v>4.3333333333139308</v>
      </c>
      <c r="BV119" s="136">
        <f t="shared" si="28"/>
        <v>0</v>
      </c>
      <c r="BW119" s="136">
        <f t="shared" si="38"/>
        <v>39.75</v>
      </c>
      <c r="BX119" s="135">
        <f t="shared" si="29"/>
        <v>6.0833333334303461</v>
      </c>
      <c r="BY119" s="135">
        <f t="shared" si="30"/>
        <v>9.0833333334303461</v>
      </c>
      <c r="BZ119" s="134">
        <f t="shared" si="31"/>
        <v>4.4340277777882875</v>
      </c>
      <c r="CA119" s="134">
        <f t="shared" si="32"/>
        <v>14.284722222226264</v>
      </c>
      <c r="CB119" s="133">
        <f t="shared" si="33"/>
        <v>0.31040350024372032</v>
      </c>
    </row>
    <row r="120" spans="1:80" s="126" customFormat="1">
      <c r="A120" s="192">
        <f t="shared" si="37"/>
        <v>45089.770833333336</v>
      </c>
      <c r="B120" s="126" t="s">
        <v>188</v>
      </c>
      <c r="C120" s="126" t="s">
        <v>84</v>
      </c>
      <c r="D120" s="126" t="s">
        <v>197</v>
      </c>
      <c r="E120" s="65" t="s">
        <v>1785</v>
      </c>
      <c r="G120" s="73">
        <v>45084.958333333336</v>
      </c>
      <c r="H120" s="73">
        <v>45084.925000000003</v>
      </c>
      <c r="I120" s="126" t="s">
        <v>458</v>
      </c>
      <c r="J120" s="115" t="s">
        <v>192</v>
      </c>
      <c r="K120" s="115" t="s">
        <v>192</v>
      </c>
      <c r="L120" s="126" t="s">
        <v>1900</v>
      </c>
      <c r="M120" s="167"/>
      <c r="N120" s="126" t="s">
        <v>1848</v>
      </c>
      <c r="O120" s="126" t="s">
        <v>350</v>
      </c>
      <c r="P120" s="126" t="s">
        <v>84</v>
      </c>
      <c r="Q120" s="181">
        <f>3077*2.4</f>
        <v>7384.7999999999993</v>
      </c>
      <c r="R120" s="181">
        <f>7400+100</f>
        <v>7500</v>
      </c>
      <c r="S120" s="181">
        <v>7501</v>
      </c>
      <c r="T120" s="181"/>
      <c r="AM120" s="181">
        <f>S120</f>
        <v>7501</v>
      </c>
      <c r="AX120" s="165">
        <f t="shared" si="23"/>
        <v>45084.375</v>
      </c>
      <c r="AY120" s="165">
        <f t="shared" si="24"/>
        <v>45095.3125</v>
      </c>
      <c r="AZ120" s="137">
        <f t="shared" si="25"/>
        <v>10.9375</v>
      </c>
      <c r="BA120" s="165">
        <v>45084.375</v>
      </c>
      <c r="BB120" s="165">
        <v>45086.041666666664</v>
      </c>
      <c r="BC120" s="165">
        <v>45086.944444444445</v>
      </c>
      <c r="BD120" s="165">
        <v>45089.770833333336</v>
      </c>
      <c r="BE120" s="165">
        <v>45089.958333333336</v>
      </c>
      <c r="BF120" s="165">
        <v>45089.975694444445</v>
      </c>
      <c r="BG120" s="165">
        <v>45090.791666666664</v>
      </c>
      <c r="BH120" s="165">
        <v>45090.791666666664</v>
      </c>
      <c r="BI120" s="166" t="s">
        <v>196</v>
      </c>
      <c r="BJ120" s="166" t="s">
        <v>196</v>
      </c>
      <c r="BK120" s="166" t="s">
        <v>196</v>
      </c>
      <c r="BL120" s="165">
        <v>45092.1875</v>
      </c>
      <c r="BM120" s="165">
        <v>45093.472222222219</v>
      </c>
      <c r="BN120" s="165">
        <v>45094.854166666664</v>
      </c>
      <c r="BO120" s="165">
        <v>45094.868055555555</v>
      </c>
      <c r="BP120" s="165">
        <v>45095.076388888891</v>
      </c>
      <c r="BQ120" s="165">
        <v>45095.3125</v>
      </c>
      <c r="BR120" s="126" t="s">
        <v>1901</v>
      </c>
      <c r="BT120" s="136">
        <f t="shared" si="26"/>
        <v>21.666666666744277</v>
      </c>
      <c r="BU120" s="136">
        <f t="shared" si="27"/>
        <v>4.5</v>
      </c>
      <c r="BV120" s="136">
        <f t="shared" si="28"/>
        <v>0</v>
      </c>
      <c r="BW120" s="136">
        <f t="shared" si="38"/>
        <v>33.500000000058208</v>
      </c>
      <c r="BX120" s="135">
        <f t="shared" si="29"/>
        <v>33.166666666686069</v>
      </c>
      <c r="BY120" s="135">
        <f t="shared" si="30"/>
        <v>5.6666666666278616</v>
      </c>
      <c r="BZ120" s="134">
        <f t="shared" si="31"/>
        <v>4.1041666666715173</v>
      </c>
      <c r="CA120" s="134">
        <f t="shared" si="32"/>
        <v>10.9375</v>
      </c>
      <c r="CB120" s="133">
        <f t="shared" si="33"/>
        <v>0.37523809523853874</v>
      </c>
    </row>
    <row r="121" spans="1:80" s="126" customFormat="1">
      <c r="A121" s="192">
        <f t="shared" si="37"/>
        <v>45094.701388888891</v>
      </c>
      <c r="B121" s="126" t="s">
        <v>188</v>
      </c>
      <c r="C121" s="126" t="s">
        <v>84</v>
      </c>
      <c r="D121" s="126" t="s">
        <v>197</v>
      </c>
      <c r="E121" s="65" t="s">
        <v>1756</v>
      </c>
      <c r="G121" s="165">
        <v>45101.854166666664</v>
      </c>
      <c r="H121" s="165">
        <v>45101.854166666664</v>
      </c>
      <c r="I121" s="126" t="s">
        <v>455</v>
      </c>
      <c r="J121" s="115" t="s">
        <v>192</v>
      </c>
      <c r="K121" s="115" t="s">
        <v>192</v>
      </c>
      <c r="L121" s="126" t="s">
        <v>1902</v>
      </c>
      <c r="M121" s="167"/>
      <c r="N121" s="126" t="s">
        <v>205</v>
      </c>
      <c r="O121" s="126" t="s">
        <v>206</v>
      </c>
      <c r="P121" s="126" t="s">
        <v>84</v>
      </c>
      <c r="Q121" s="181">
        <f>3015*2.4</f>
        <v>7236</v>
      </c>
      <c r="R121" s="181">
        <f>7250+100</f>
        <v>7350</v>
      </c>
      <c r="S121" s="181">
        <v>7505</v>
      </c>
      <c r="T121" s="181"/>
      <c r="AM121" s="181">
        <f>S121</f>
        <v>7505</v>
      </c>
      <c r="AX121" s="165">
        <f t="shared" si="23"/>
        <v>45092.321527777778</v>
      </c>
      <c r="AY121" s="165">
        <f t="shared" si="24"/>
        <v>45099.666666666664</v>
      </c>
      <c r="AZ121" s="137">
        <f t="shared" si="25"/>
        <v>7.3451388888861402</v>
      </c>
      <c r="BA121" s="165">
        <v>45092.321527777778</v>
      </c>
      <c r="BB121" s="165">
        <v>45093.472222222219</v>
      </c>
      <c r="BC121" s="165">
        <v>45094.291666666664</v>
      </c>
      <c r="BD121" s="165">
        <v>45094.701388888891</v>
      </c>
      <c r="BE121" s="165">
        <v>45094.836805555555</v>
      </c>
      <c r="BF121" s="165">
        <v>45094.857638888891</v>
      </c>
      <c r="BG121" s="165">
        <v>45095.638888888891</v>
      </c>
      <c r="BH121" s="165">
        <v>45095.638888888891</v>
      </c>
      <c r="BI121" s="166" t="s">
        <v>196</v>
      </c>
      <c r="BJ121" s="166" t="s">
        <v>196</v>
      </c>
      <c r="BK121" s="166" t="s">
        <v>196</v>
      </c>
      <c r="BL121" s="165">
        <v>45097.534722222219</v>
      </c>
      <c r="BM121" s="165">
        <v>45098.96875</v>
      </c>
      <c r="BN121" s="165">
        <v>45099.236111111109</v>
      </c>
      <c r="BO121" s="165">
        <v>45099.253472222219</v>
      </c>
      <c r="BP121" s="165">
        <v>45099.256944444445</v>
      </c>
      <c r="BQ121" s="165">
        <v>45099.666666666664</v>
      </c>
      <c r="BT121" s="136">
        <f t="shared" si="26"/>
        <v>19.666666666686069</v>
      </c>
      <c r="BU121" s="136">
        <f t="shared" si="27"/>
        <v>3.2499999999417923</v>
      </c>
      <c r="BV121" s="136">
        <f t="shared" si="28"/>
        <v>0</v>
      </c>
      <c r="BW121" s="136">
        <f t="shared" si="38"/>
        <v>45.499999999883585</v>
      </c>
      <c r="BX121" s="135">
        <f t="shared" si="29"/>
        <v>6.4166666666278616</v>
      </c>
      <c r="BY121" s="135">
        <f t="shared" si="30"/>
        <v>9.8333333332557231</v>
      </c>
      <c r="BZ121" s="134">
        <f t="shared" si="31"/>
        <v>3.5277777777664596</v>
      </c>
      <c r="CA121" s="134">
        <f t="shared" si="32"/>
        <v>7.3451388888861402</v>
      </c>
      <c r="CB121" s="133">
        <f t="shared" si="33"/>
        <v>0.48028741609015818</v>
      </c>
    </row>
    <row r="122" spans="1:80" s="126" customFormat="1">
      <c r="A122" s="192">
        <f t="shared" si="37"/>
        <v>45103.243055555555</v>
      </c>
      <c r="B122" s="126" t="s">
        <v>188</v>
      </c>
      <c r="C122" s="126" t="s">
        <v>84</v>
      </c>
      <c r="D122" s="126" t="s">
        <v>197</v>
      </c>
      <c r="E122" s="65" t="s">
        <v>1852</v>
      </c>
      <c r="G122" s="315">
        <v>45107.25</v>
      </c>
      <c r="H122" s="315">
        <v>45107.256944444445</v>
      </c>
      <c r="I122" s="126" t="s">
        <v>458</v>
      </c>
      <c r="J122" s="126" t="s">
        <v>192</v>
      </c>
      <c r="K122" s="126" t="s">
        <v>192</v>
      </c>
      <c r="L122" s="126" t="s">
        <v>1903</v>
      </c>
      <c r="M122" s="167"/>
      <c r="N122" s="126" t="s">
        <v>205</v>
      </c>
      <c r="O122" s="126" t="s">
        <v>206</v>
      </c>
      <c r="P122" s="126" t="s">
        <v>84</v>
      </c>
      <c r="Q122" s="181">
        <f>3015*2.4</f>
        <v>7236</v>
      </c>
      <c r="R122" s="181">
        <f>7250+100</f>
        <v>7350</v>
      </c>
      <c r="S122" s="181">
        <v>7574</v>
      </c>
      <c r="T122" s="181"/>
      <c r="AM122" s="181">
        <f>S122</f>
        <v>7574</v>
      </c>
      <c r="AX122" s="165">
        <f t="shared" si="23"/>
        <v>45099.666666666664</v>
      </c>
      <c r="AY122" s="165">
        <f t="shared" si="24"/>
        <v>45111.964583333334</v>
      </c>
      <c r="AZ122" s="137">
        <f t="shared" si="25"/>
        <v>12.297916666670062</v>
      </c>
      <c r="BA122" s="165">
        <v>45099.666666666664</v>
      </c>
      <c r="BB122" s="165">
        <v>45101.322916666664</v>
      </c>
      <c r="BC122" s="165">
        <v>45102.125</v>
      </c>
      <c r="BD122" s="165">
        <v>45103.243055555555</v>
      </c>
      <c r="BE122" s="165">
        <v>45103.472222222219</v>
      </c>
      <c r="BF122" s="165">
        <v>45103.5</v>
      </c>
      <c r="BG122" s="165">
        <v>45103.965277777781</v>
      </c>
      <c r="BH122" s="165">
        <v>45103.965277777781</v>
      </c>
      <c r="BI122" s="166" t="s">
        <v>196</v>
      </c>
      <c r="BJ122" s="166" t="s">
        <v>196</v>
      </c>
      <c r="BK122" s="166" t="s">
        <v>196</v>
      </c>
      <c r="BL122" s="165">
        <v>45105.25</v>
      </c>
      <c r="BM122" s="165">
        <v>45110.145833333336</v>
      </c>
      <c r="BN122" s="165">
        <v>45111.361111111109</v>
      </c>
      <c r="BO122" s="165">
        <v>45111.381944444445</v>
      </c>
      <c r="BP122" s="165">
        <v>45111.736111111109</v>
      </c>
      <c r="BQ122" s="165">
        <v>45111.964583333334</v>
      </c>
      <c r="BT122" s="136">
        <f t="shared" si="26"/>
        <v>19.250000000058208</v>
      </c>
      <c r="BU122" s="136">
        <f t="shared" si="27"/>
        <v>5.4999999999417923</v>
      </c>
      <c r="BV122" s="136">
        <f t="shared" si="28"/>
        <v>0</v>
      </c>
      <c r="BW122" s="136">
        <f t="shared" si="38"/>
        <v>30.833333333255723</v>
      </c>
      <c r="BX122" s="135">
        <f t="shared" si="29"/>
        <v>29.166666666569654</v>
      </c>
      <c r="BY122" s="135">
        <f t="shared" si="30"/>
        <v>5.4833333333954215</v>
      </c>
      <c r="BZ122" s="134">
        <f t="shared" si="31"/>
        <v>3.7597222222175333</v>
      </c>
      <c r="CA122" s="134">
        <f t="shared" si="32"/>
        <v>12.297916666670062</v>
      </c>
      <c r="CB122" s="133">
        <f t="shared" si="33"/>
        <v>0.30572025523698421</v>
      </c>
    </row>
    <row r="123" spans="1:80" s="126" customFormat="1">
      <c r="A123" s="192">
        <f t="shared" si="37"/>
        <v>45080.909722222219</v>
      </c>
      <c r="B123" s="126" t="s">
        <v>188</v>
      </c>
      <c r="C123" s="126" t="s">
        <v>76</v>
      </c>
      <c r="D123" s="126" t="s">
        <v>197</v>
      </c>
      <c r="E123" s="65" t="s">
        <v>1781</v>
      </c>
      <c r="G123" s="73">
        <v>45086.431944444441</v>
      </c>
      <c r="H123" s="73">
        <f>G123</f>
        <v>45086.431944444441</v>
      </c>
      <c r="I123" s="126" t="s">
        <v>460</v>
      </c>
      <c r="J123" s="115" t="s">
        <v>192</v>
      </c>
      <c r="K123" s="115" t="s">
        <v>192</v>
      </c>
      <c r="L123" s="126" t="s">
        <v>1904</v>
      </c>
      <c r="M123" s="167"/>
      <c r="N123" s="126" t="s">
        <v>437</v>
      </c>
      <c r="O123" s="126" t="s">
        <v>320</v>
      </c>
      <c r="P123" s="126" t="s">
        <v>76</v>
      </c>
      <c r="Q123" s="181">
        <f>3136*2.4</f>
        <v>7526.4</v>
      </c>
      <c r="R123" s="181">
        <f>7550+100</f>
        <v>7650</v>
      </c>
      <c r="S123" s="181">
        <v>7500</v>
      </c>
      <c r="T123" s="181"/>
      <c r="AL123" s="181">
        <f t="shared" ref="AL123:AL129" si="39">S123</f>
        <v>7500</v>
      </c>
      <c r="AX123" s="165">
        <f t="shared" si="23"/>
        <v>45078.791666666664</v>
      </c>
      <c r="AY123" s="165">
        <f t="shared" si="24"/>
        <v>45090.15625</v>
      </c>
      <c r="AZ123" s="137">
        <f t="shared" si="25"/>
        <v>11.364583333335759</v>
      </c>
      <c r="BA123" s="165">
        <v>45078.791666666664</v>
      </c>
      <c r="BB123" s="165">
        <v>45079.809027777781</v>
      </c>
      <c r="BC123" s="165">
        <v>45080.190972222219</v>
      </c>
      <c r="BD123" s="165">
        <v>45080.909722222219</v>
      </c>
      <c r="BE123" s="165">
        <v>45081.229166666664</v>
      </c>
      <c r="BF123" s="165">
        <v>45081.25</v>
      </c>
      <c r="BG123" s="165">
        <v>45081.25</v>
      </c>
      <c r="BH123" s="165">
        <f t="shared" ref="BH123:BH129" si="40">BG123+(10/24)</f>
        <v>45081.666666666664</v>
      </c>
      <c r="BI123" s="165">
        <v>45082.229166608799</v>
      </c>
      <c r="BJ123" s="165">
        <v>45082.395833275463</v>
      </c>
      <c r="BK123" s="165">
        <v>45082.305555555555</v>
      </c>
      <c r="BL123" s="165">
        <v>45086.125</v>
      </c>
      <c r="BM123" s="165">
        <v>45089.5625</v>
      </c>
      <c r="BN123" s="165">
        <v>45089.895833333336</v>
      </c>
      <c r="BO123" s="165">
        <v>45089.916666666664</v>
      </c>
      <c r="BP123" s="165">
        <v>45089.916666666664</v>
      </c>
      <c r="BQ123" s="165">
        <v>45090.15625</v>
      </c>
      <c r="BT123" s="136">
        <f t="shared" si="26"/>
        <v>9.1666666665114462</v>
      </c>
      <c r="BU123" s="136">
        <f t="shared" si="27"/>
        <v>7.6666666666860692</v>
      </c>
      <c r="BV123" s="136">
        <f t="shared" si="28"/>
        <v>9.9999999999417923</v>
      </c>
      <c r="BW123" s="136">
        <f t="shared" ref="BW123:BW130" si="41">(BL123-BJ123)*24</f>
        <v>89.500001388892997</v>
      </c>
      <c r="BX123" s="135">
        <f t="shared" si="29"/>
        <v>8.0000000000582077</v>
      </c>
      <c r="BY123" s="135">
        <f t="shared" si="30"/>
        <v>5.7500000000582077</v>
      </c>
      <c r="BZ123" s="134">
        <f t="shared" si="31"/>
        <v>5.4201389467561967</v>
      </c>
      <c r="CA123" s="134">
        <f t="shared" si="32"/>
        <v>11.364583333335759</v>
      </c>
      <c r="CB123" s="133">
        <f t="shared" si="33"/>
        <v>0.4769324829408651</v>
      </c>
    </row>
    <row r="124" spans="1:80" s="126" customFormat="1">
      <c r="A124" s="192">
        <f t="shared" si="37"/>
        <v>45082.951388888891</v>
      </c>
      <c r="B124" s="126" t="s">
        <v>188</v>
      </c>
      <c r="C124" s="126" t="s">
        <v>76</v>
      </c>
      <c r="D124" s="126" t="s">
        <v>197</v>
      </c>
      <c r="E124" s="65" t="s">
        <v>1776</v>
      </c>
      <c r="G124" s="73">
        <v>45084.875</v>
      </c>
      <c r="H124" s="73">
        <v>45085.076388888891</v>
      </c>
      <c r="I124" s="126" t="s">
        <v>460</v>
      </c>
      <c r="J124" s="115" t="s">
        <v>192</v>
      </c>
      <c r="K124" s="115" t="s">
        <v>192</v>
      </c>
      <c r="L124" s="126" t="s">
        <v>1905</v>
      </c>
      <c r="M124" s="167"/>
      <c r="N124" s="126" t="s">
        <v>238</v>
      </c>
      <c r="O124" s="126" t="s">
        <v>239</v>
      </c>
      <c r="P124" s="126" t="s">
        <v>76</v>
      </c>
      <c r="Q124" s="181">
        <f>3100*2.4</f>
        <v>7440</v>
      </c>
      <c r="R124" s="181">
        <f>7450+100</f>
        <v>7550</v>
      </c>
      <c r="S124" s="181">
        <v>7500</v>
      </c>
      <c r="T124" s="181"/>
      <c r="AL124" s="181">
        <f t="shared" si="39"/>
        <v>7500</v>
      </c>
      <c r="AX124" s="165">
        <f t="shared" si="23"/>
        <v>45079.8125</v>
      </c>
      <c r="AY124" s="165">
        <f t="shared" si="24"/>
        <v>45088.375</v>
      </c>
      <c r="AZ124" s="137">
        <f t="shared" si="25"/>
        <v>8.5625</v>
      </c>
      <c r="BA124" s="165">
        <v>45079.8125</v>
      </c>
      <c r="BB124" s="165">
        <v>45081.628472222219</v>
      </c>
      <c r="BC124" s="165">
        <v>45082.010416666664</v>
      </c>
      <c r="BD124" s="165">
        <v>45082.951388888891</v>
      </c>
      <c r="BE124" s="165">
        <v>45083.430555555555</v>
      </c>
      <c r="BF124" s="165">
        <v>45083.444444444445</v>
      </c>
      <c r="BG124" s="165">
        <v>45083.444444444445</v>
      </c>
      <c r="BH124" s="165">
        <f t="shared" si="40"/>
        <v>45083.861111111109</v>
      </c>
      <c r="BI124" s="165">
        <v>45084.229166608799</v>
      </c>
      <c r="BJ124" s="165">
        <v>45084.395833275463</v>
      </c>
      <c r="BK124" s="165">
        <v>45084.3125</v>
      </c>
      <c r="BL124" s="165">
        <v>45085.388888888891</v>
      </c>
      <c r="BM124" s="165">
        <v>45087.798611111109</v>
      </c>
      <c r="BN124" s="165">
        <v>45088.118055555555</v>
      </c>
      <c r="BO124" s="165">
        <v>45088.149305555555</v>
      </c>
      <c r="BP124" s="165">
        <v>45088.149305555555</v>
      </c>
      <c r="BQ124" s="165">
        <v>45088.375</v>
      </c>
      <c r="BT124" s="136">
        <f t="shared" si="26"/>
        <v>9.1666666666860692</v>
      </c>
      <c r="BU124" s="136">
        <f t="shared" si="27"/>
        <v>11.499999999941792</v>
      </c>
      <c r="BV124" s="136">
        <f t="shared" si="28"/>
        <v>9.9999999999417923</v>
      </c>
      <c r="BW124" s="136">
        <f t="shared" si="41"/>
        <v>23.833334722265135</v>
      </c>
      <c r="BX124" s="135">
        <f t="shared" si="29"/>
        <v>7.6666666666860692</v>
      </c>
      <c r="BY124" s="135">
        <f t="shared" si="30"/>
        <v>5.4166666666860692</v>
      </c>
      <c r="BZ124" s="134">
        <f t="shared" si="31"/>
        <v>2.8159722800919553</v>
      </c>
      <c r="CA124" s="134">
        <f t="shared" si="32"/>
        <v>8.5625</v>
      </c>
      <c r="CB124" s="133">
        <f t="shared" si="33"/>
        <v>0.32887267504723566</v>
      </c>
    </row>
    <row r="125" spans="1:80" s="126" customFormat="1">
      <c r="A125" s="192">
        <f t="shared" si="37"/>
        <v>45084.559027777781</v>
      </c>
      <c r="B125" s="126" t="s">
        <v>188</v>
      </c>
      <c r="C125" s="126" t="s">
        <v>76</v>
      </c>
      <c r="D125" s="126" t="s">
        <v>197</v>
      </c>
      <c r="E125" s="65" t="s">
        <v>764</v>
      </c>
      <c r="G125" s="165">
        <v>45092.07916666667</v>
      </c>
      <c r="H125" s="165">
        <v>45092.07916666667</v>
      </c>
      <c r="I125" s="126" t="s">
        <v>464</v>
      </c>
      <c r="J125" s="115" t="s">
        <v>192</v>
      </c>
      <c r="K125" s="115" t="s">
        <v>192</v>
      </c>
      <c r="L125" s="126" t="s">
        <v>1906</v>
      </c>
      <c r="M125" s="167"/>
      <c r="N125" s="126" t="s">
        <v>226</v>
      </c>
      <c r="O125" s="126" t="s">
        <v>227</v>
      </c>
      <c r="P125" s="126" t="s">
        <v>76</v>
      </c>
      <c r="Q125" s="181">
        <f>3100*2.4</f>
        <v>7440</v>
      </c>
      <c r="R125" s="181">
        <f>7450+100</f>
        <v>7550</v>
      </c>
      <c r="S125" s="181">
        <v>7500</v>
      </c>
      <c r="T125" s="181"/>
      <c r="AL125" s="181">
        <f t="shared" si="39"/>
        <v>7500</v>
      </c>
      <c r="AX125" s="165">
        <f t="shared" si="23"/>
        <v>45081.322916666664</v>
      </c>
      <c r="AY125" s="165">
        <f t="shared" si="24"/>
        <v>45091.111111111109</v>
      </c>
      <c r="AZ125" s="137">
        <f t="shared" si="25"/>
        <v>9.7881944444452529</v>
      </c>
      <c r="BA125" s="165">
        <v>45081.322916666664</v>
      </c>
      <c r="BB125" s="165">
        <v>45083.819444444445</v>
      </c>
      <c r="BC125" s="165">
        <v>45084.222222222219</v>
      </c>
      <c r="BD125" s="165">
        <v>45084.559027777781</v>
      </c>
      <c r="BE125" s="165">
        <v>45085.069444444445</v>
      </c>
      <c r="BF125" s="165">
        <v>45085.09375</v>
      </c>
      <c r="BG125" s="165">
        <v>45085.09375</v>
      </c>
      <c r="BH125" s="165">
        <f t="shared" si="40"/>
        <v>45085.510416666664</v>
      </c>
      <c r="BI125" s="165">
        <v>45086.229166608799</v>
      </c>
      <c r="BJ125" s="165">
        <v>45086.395833275463</v>
      </c>
      <c r="BK125" s="165">
        <v>45086.385416666664</v>
      </c>
      <c r="BL125" s="165">
        <v>45088.208333333336</v>
      </c>
      <c r="BM125" s="165">
        <v>45090.909722222219</v>
      </c>
      <c r="BN125" s="165">
        <v>45091.111111111109</v>
      </c>
      <c r="BO125" s="165">
        <v>45091.111111111109</v>
      </c>
      <c r="BP125" s="165">
        <v>45091.111111111109</v>
      </c>
      <c r="BQ125" s="165">
        <v>45091.111111111109</v>
      </c>
      <c r="BT125" s="136">
        <f t="shared" si="26"/>
        <v>9.6666666665696539</v>
      </c>
      <c r="BU125" s="136">
        <f t="shared" si="27"/>
        <v>12.249999999941792</v>
      </c>
      <c r="BV125" s="136">
        <f t="shared" si="28"/>
        <v>9.9999999999417923</v>
      </c>
      <c r="BW125" s="136">
        <f t="shared" si="41"/>
        <v>43.500001388951205</v>
      </c>
      <c r="BX125" s="135">
        <f t="shared" si="29"/>
        <v>4.8333333333721384</v>
      </c>
      <c r="BY125" s="135">
        <f t="shared" si="30"/>
        <v>0</v>
      </c>
      <c r="BZ125" s="134">
        <f t="shared" si="31"/>
        <v>3.3437500578656909</v>
      </c>
      <c r="CA125" s="134">
        <f t="shared" si="32"/>
        <v>9.7881944444452529</v>
      </c>
      <c r="CB125" s="133">
        <f t="shared" si="33"/>
        <v>0.34161050608912358</v>
      </c>
    </row>
    <row r="126" spans="1:80" s="126" customFormat="1">
      <c r="A126" s="192">
        <f t="shared" si="37"/>
        <v>45085.375</v>
      </c>
      <c r="B126" s="126" t="s">
        <v>188</v>
      </c>
      <c r="C126" s="126" t="s">
        <v>76</v>
      </c>
      <c r="D126" s="126" t="s">
        <v>215</v>
      </c>
      <c r="E126" s="65" t="s">
        <v>764</v>
      </c>
      <c r="G126" s="165">
        <v>45092.07916666667</v>
      </c>
      <c r="H126" s="165">
        <v>45092.07916666667</v>
      </c>
      <c r="I126" s="126" t="s">
        <v>464</v>
      </c>
      <c r="J126" s="115" t="s">
        <v>192</v>
      </c>
      <c r="K126" s="115" t="s">
        <v>192</v>
      </c>
      <c r="L126" s="126" t="s">
        <v>1907</v>
      </c>
      <c r="M126" s="167"/>
      <c r="N126" s="126" t="s">
        <v>1230</v>
      </c>
      <c r="O126" s="126" t="s">
        <v>1231</v>
      </c>
      <c r="P126" s="126" t="s">
        <v>76</v>
      </c>
      <c r="Q126" s="181">
        <f>3107*2.4</f>
        <v>7456.7999999999993</v>
      </c>
      <c r="R126" s="181">
        <f>7500+100</f>
        <v>7600</v>
      </c>
      <c r="S126" s="181">
        <v>7500</v>
      </c>
      <c r="T126" s="181"/>
      <c r="AL126" s="181">
        <f t="shared" si="39"/>
        <v>7500</v>
      </c>
      <c r="AX126" s="165">
        <f t="shared" si="23"/>
        <v>45082.975694444445</v>
      </c>
      <c r="AY126" s="165">
        <f t="shared" si="24"/>
        <v>45091.435416666667</v>
      </c>
      <c r="AZ126" s="137">
        <f t="shared" si="25"/>
        <v>8.4597222222218988</v>
      </c>
      <c r="BA126" s="165">
        <v>45082.975694444445</v>
      </c>
      <c r="BB126" s="165">
        <v>45084.565972222219</v>
      </c>
      <c r="BC126" s="165">
        <v>45085.09375</v>
      </c>
      <c r="BD126" s="165">
        <v>45085.375</v>
      </c>
      <c r="BE126" s="165">
        <v>45085.729166666664</v>
      </c>
      <c r="BF126" s="165">
        <v>45085.746527777781</v>
      </c>
      <c r="BG126" s="165">
        <v>45085.746527777781</v>
      </c>
      <c r="BH126" s="165">
        <f t="shared" si="40"/>
        <v>45086.163194444445</v>
      </c>
      <c r="BI126" s="165">
        <v>45087.229166608799</v>
      </c>
      <c r="BJ126" s="165">
        <v>45087.395833275463</v>
      </c>
      <c r="BK126" s="165">
        <v>45087.305555555555</v>
      </c>
      <c r="BL126" s="165">
        <v>45088.826388888891</v>
      </c>
      <c r="BM126" s="165">
        <v>45091.197916666664</v>
      </c>
      <c r="BN126" s="165">
        <v>45091.435416666667</v>
      </c>
      <c r="BO126" s="165">
        <v>45091.435416666667</v>
      </c>
      <c r="BP126" s="165">
        <v>45091.435416666667</v>
      </c>
      <c r="BQ126" s="165">
        <v>45091.435416666667</v>
      </c>
      <c r="BT126" s="136">
        <f t="shared" si="26"/>
        <v>12.666666666744277</v>
      </c>
      <c r="BU126" s="136">
        <f t="shared" si="27"/>
        <v>8.4999999999417923</v>
      </c>
      <c r="BV126" s="136">
        <f t="shared" si="28"/>
        <v>9.9999999999417923</v>
      </c>
      <c r="BW126" s="136">
        <f t="shared" si="41"/>
        <v>34.333334722265135</v>
      </c>
      <c r="BX126" s="135">
        <f t="shared" si="29"/>
        <v>5.7000000000698492</v>
      </c>
      <c r="BY126" s="135">
        <f t="shared" si="30"/>
        <v>0</v>
      </c>
      <c r="BZ126" s="134">
        <f t="shared" si="31"/>
        <v>2.9666667245401186</v>
      </c>
      <c r="CA126" s="134">
        <f t="shared" si="32"/>
        <v>8.4597222222218988</v>
      </c>
      <c r="CB126" s="133">
        <f t="shared" si="33"/>
        <v>0.35068133995550271</v>
      </c>
    </row>
    <row r="127" spans="1:80" s="126" customFormat="1">
      <c r="A127" s="192">
        <f t="shared" si="37"/>
        <v>45086.555555555555</v>
      </c>
      <c r="B127" s="126" t="s">
        <v>188</v>
      </c>
      <c r="C127" s="126" t="s">
        <v>76</v>
      </c>
      <c r="D127" s="126" t="s">
        <v>197</v>
      </c>
      <c r="E127" s="65" t="s">
        <v>1789</v>
      </c>
      <c r="G127" s="165">
        <v>45094.6875</v>
      </c>
      <c r="H127" s="165">
        <v>45094.6875</v>
      </c>
      <c r="I127" s="126" t="s">
        <v>464</v>
      </c>
      <c r="J127" s="115" t="s">
        <v>192</v>
      </c>
      <c r="K127" s="115" t="s">
        <v>192</v>
      </c>
      <c r="L127" s="126" t="s">
        <v>1908</v>
      </c>
      <c r="M127" s="167"/>
      <c r="N127" s="126" t="s">
        <v>304</v>
      </c>
      <c r="O127" s="126" t="s">
        <v>305</v>
      </c>
      <c r="P127" s="126" t="s">
        <v>76</v>
      </c>
      <c r="Q127" s="181">
        <f>3107*2.4</f>
        <v>7456.7999999999993</v>
      </c>
      <c r="R127" s="181">
        <f>7500+100</f>
        <v>7600</v>
      </c>
      <c r="S127" s="181">
        <v>7500</v>
      </c>
      <c r="T127" s="181"/>
      <c r="AL127" s="181">
        <f t="shared" si="39"/>
        <v>7500</v>
      </c>
      <c r="AX127" s="165">
        <f t="shared" si="23"/>
        <v>45084.993055555555</v>
      </c>
      <c r="AY127" s="165">
        <f t="shared" si="24"/>
        <v>45094.270833333336</v>
      </c>
      <c r="AZ127" s="137">
        <f t="shared" si="25"/>
        <v>9.2777777777810115</v>
      </c>
      <c r="BA127" s="165">
        <v>45084.993055555555</v>
      </c>
      <c r="BB127" s="165">
        <v>45085.930555555555</v>
      </c>
      <c r="BC127" s="165">
        <v>45086.326388888891</v>
      </c>
      <c r="BD127" s="165">
        <v>45086.555555555555</v>
      </c>
      <c r="BE127" s="165">
        <v>45086.993055555555</v>
      </c>
      <c r="BF127" s="165">
        <v>45087.020833333336</v>
      </c>
      <c r="BG127" s="165">
        <v>45087.03125</v>
      </c>
      <c r="BH127" s="165">
        <f t="shared" si="40"/>
        <v>45087.447916666664</v>
      </c>
      <c r="BI127" s="165">
        <v>45088.229166608799</v>
      </c>
      <c r="BJ127" s="165">
        <v>45088.395833275463</v>
      </c>
      <c r="BK127" s="165">
        <v>45088.416666666664</v>
      </c>
      <c r="BL127" s="165">
        <v>45089.916666666664</v>
      </c>
      <c r="BM127" s="165">
        <v>45093.447916666664</v>
      </c>
      <c r="BN127" s="165">
        <v>45093.666666666664</v>
      </c>
      <c r="BO127" s="165">
        <v>45093.694444444445</v>
      </c>
      <c r="BP127" s="165">
        <v>45093.819444444445</v>
      </c>
      <c r="BQ127" s="165">
        <v>45094.270833333336</v>
      </c>
      <c r="BT127" s="136">
        <f t="shared" si="26"/>
        <v>9.5000000000582077</v>
      </c>
      <c r="BU127" s="136">
        <f t="shared" si="27"/>
        <v>10.5</v>
      </c>
      <c r="BV127" s="136">
        <f t="shared" si="28"/>
        <v>9.9999999999417923</v>
      </c>
      <c r="BW127" s="136">
        <f t="shared" si="41"/>
        <v>36.500001388834789</v>
      </c>
      <c r="BX127" s="135">
        <f t="shared" si="29"/>
        <v>5.25</v>
      </c>
      <c r="BY127" s="135">
        <f t="shared" si="30"/>
        <v>10.833333333372138</v>
      </c>
      <c r="BZ127" s="134">
        <f t="shared" si="31"/>
        <v>3.4409722800919553</v>
      </c>
      <c r="CA127" s="134">
        <f t="shared" si="32"/>
        <v>9.2777777777810115</v>
      </c>
      <c r="CB127" s="133">
        <f t="shared" si="33"/>
        <v>0.37088323977026111</v>
      </c>
    </row>
    <row r="128" spans="1:80" s="126" customFormat="1">
      <c r="A128" s="192">
        <f t="shared" si="37"/>
        <v>45087.451388888891</v>
      </c>
      <c r="B128" s="126" t="s">
        <v>188</v>
      </c>
      <c r="C128" s="126" t="s">
        <v>76</v>
      </c>
      <c r="D128" s="126" t="s">
        <v>215</v>
      </c>
      <c r="E128" s="65" t="s">
        <v>1649</v>
      </c>
      <c r="G128" s="299">
        <v>45096.520833333336</v>
      </c>
      <c r="H128" s="299">
        <v>45096.520833333336</v>
      </c>
      <c r="I128" s="126" t="s">
        <v>464</v>
      </c>
      <c r="J128" s="115" t="s">
        <v>192</v>
      </c>
      <c r="K128" s="115" t="s">
        <v>192</v>
      </c>
      <c r="L128" s="126" t="s">
        <v>1909</v>
      </c>
      <c r="M128" s="167"/>
      <c r="N128" s="126" t="s">
        <v>218</v>
      </c>
      <c r="O128" s="126" t="s">
        <v>219</v>
      </c>
      <c r="P128" s="126" t="s">
        <v>76</v>
      </c>
      <c r="Q128" s="181">
        <f>3087*2.4</f>
        <v>7408.7999999999993</v>
      </c>
      <c r="R128" s="181">
        <f>7450+100</f>
        <v>7550</v>
      </c>
      <c r="S128" s="181">
        <v>7500</v>
      </c>
      <c r="T128" s="181"/>
      <c r="AL128" s="181">
        <f t="shared" si="39"/>
        <v>7500</v>
      </c>
      <c r="AX128" s="165">
        <f t="shared" si="23"/>
        <v>45085.451388888891</v>
      </c>
      <c r="AY128" s="165">
        <f t="shared" si="24"/>
        <v>45094.861111111109</v>
      </c>
      <c r="AZ128" s="137">
        <f t="shared" si="25"/>
        <v>9.4097222222189885</v>
      </c>
      <c r="BA128" s="165">
        <v>45085.451388888891</v>
      </c>
      <c r="BB128" s="165">
        <v>45085.818055555559</v>
      </c>
      <c r="BC128" s="165">
        <v>45086.375</v>
      </c>
      <c r="BD128" s="165">
        <v>45087.451388888891</v>
      </c>
      <c r="BE128" s="165">
        <v>45087.902777777781</v>
      </c>
      <c r="BF128" s="165">
        <v>45087.916666666664</v>
      </c>
      <c r="BG128" s="165">
        <v>45087.916666666664</v>
      </c>
      <c r="BH128" s="165">
        <f t="shared" si="40"/>
        <v>45088.333333333328</v>
      </c>
      <c r="BI128" s="165">
        <v>45089.229166608799</v>
      </c>
      <c r="BJ128" s="165">
        <v>45089.395833275463</v>
      </c>
      <c r="BK128" s="165">
        <v>45089.319444444445</v>
      </c>
      <c r="BL128" s="165">
        <v>45089.9375</v>
      </c>
      <c r="BM128" s="165">
        <v>45094.111111111109</v>
      </c>
      <c r="BN128" s="165">
        <v>45094.288194444445</v>
      </c>
      <c r="BO128" s="165">
        <v>45094.305555555555</v>
      </c>
      <c r="BP128" s="165">
        <v>45094.309027777781</v>
      </c>
      <c r="BQ128" s="165">
        <v>45094.861111111109</v>
      </c>
      <c r="BT128" s="136">
        <f t="shared" si="26"/>
        <v>13.366666666581295</v>
      </c>
      <c r="BU128" s="136">
        <f t="shared" si="27"/>
        <v>10.833333333372138</v>
      </c>
      <c r="BV128" s="136">
        <f t="shared" si="28"/>
        <v>9.9999999999417923</v>
      </c>
      <c r="BW128" s="136">
        <f t="shared" si="41"/>
        <v>13.000001388892997</v>
      </c>
      <c r="BX128" s="135">
        <f t="shared" si="29"/>
        <v>4.2500000000582077</v>
      </c>
      <c r="BY128" s="135">
        <f t="shared" si="30"/>
        <v>13.249999999883585</v>
      </c>
      <c r="BZ128" s="134">
        <f t="shared" si="31"/>
        <v>2.695833391197084</v>
      </c>
      <c r="CA128" s="134">
        <f t="shared" si="32"/>
        <v>9.4097222222189885</v>
      </c>
      <c r="CB128" s="133">
        <f t="shared" si="33"/>
        <v>0.28649447109410592</v>
      </c>
    </row>
    <row r="129" spans="1:80" s="126" customFormat="1">
      <c r="A129" s="192">
        <f t="shared" si="37"/>
        <v>45103.8125</v>
      </c>
      <c r="B129" s="126" t="s">
        <v>188</v>
      </c>
      <c r="C129" s="126" t="s">
        <v>76</v>
      </c>
      <c r="D129" s="126" t="s">
        <v>197</v>
      </c>
      <c r="E129" s="65" t="s">
        <v>1761</v>
      </c>
      <c r="G129" s="165">
        <v>45119.916666666664</v>
      </c>
      <c r="H129" s="165">
        <v>45119.916666666664</v>
      </c>
      <c r="I129" s="126" t="s">
        <v>464</v>
      </c>
      <c r="J129" s="126" t="s">
        <v>192</v>
      </c>
      <c r="K129" s="126" t="s">
        <v>192</v>
      </c>
      <c r="L129" s="126" t="s">
        <v>1910</v>
      </c>
      <c r="M129" s="167"/>
      <c r="N129" s="126" t="s">
        <v>208</v>
      </c>
      <c r="O129" s="126" t="s">
        <v>328</v>
      </c>
      <c r="P129" s="126" t="s">
        <v>76</v>
      </c>
      <c r="Q129" s="181">
        <f>3128*2.4</f>
        <v>7507.2</v>
      </c>
      <c r="R129" s="181">
        <f>7550+100</f>
        <v>7650</v>
      </c>
      <c r="S129" s="181">
        <v>7500</v>
      </c>
      <c r="T129" s="181"/>
      <c r="AL129" s="181">
        <f t="shared" si="39"/>
        <v>7500</v>
      </c>
      <c r="AX129" s="165">
        <f t="shared" si="23"/>
        <v>45099.430555555555</v>
      </c>
      <c r="AY129" s="165">
        <f t="shared" si="24"/>
        <v>45110.298611111109</v>
      </c>
      <c r="AZ129" s="137">
        <f t="shared" si="25"/>
        <v>10.868055555554747</v>
      </c>
      <c r="BA129" s="165">
        <v>45099.430555555555</v>
      </c>
      <c r="BB129" s="165">
        <v>45100.809027777781</v>
      </c>
      <c r="BC129" s="165">
        <v>45101.197916666664</v>
      </c>
      <c r="BD129" s="165">
        <v>45103.8125</v>
      </c>
      <c r="BE129" s="165">
        <v>45104.15625</v>
      </c>
      <c r="BF129" s="165">
        <v>45104.184027777781</v>
      </c>
      <c r="BG129" s="165">
        <v>45104.184027777781</v>
      </c>
      <c r="BH129" s="165">
        <f t="shared" si="40"/>
        <v>45104.600694444445</v>
      </c>
      <c r="BI129" s="165">
        <v>45105.458333333336</v>
      </c>
      <c r="BJ129" s="165">
        <v>45105.625</v>
      </c>
      <c r="BK129" s="165">
        <v>45105.645833333336</v>
      </c>
      <c r="BL129" s="165">
        <v>45107.159722222219</v>
      </c>
      <c r="BM129" s="165">
        <v>45109.347222222219</v>
      </c>
      <c r="BN129" s="165">
        <v>45109.604166666664</v>
      </c>
      <c r="BO129" s="165">
        <v>45109.618055555555</v>
      </c>
      <c r="BP129" s="165">
        <v>45109.621527777781</v>
      </c>
      <c r="BQ129" s="165">
        <v>45110.298611111109</v>
      </c>
      <c r="BT129" s="136">
        <f t="shared" si="26"/>
        <v>9.3333333331975155</v>
      </c>
      <c r="BU129" s="136">
        <f t="shared" si="27"/>
        <v>8.25</v>
      </c>
      <c r="BV129" s="136">
        <f t="shared" si="28"/>
        <v>9.9999999999417923</v>
      </c>
      <c r="BW129" s="136">
        <f t="shared" si="41"/>
        <v>36.833333333255723</v>
      </c>
      <c r="BX129" s="135">
        <f t="shared" si="29"/>
        <v>6.1666666666860692</v>
      </c>
      <c r="BY129" s="135">
        <f t="shared" si="30"/>
        <v>16.249999999883585</v>
      </c>
      <c r="BZ129" s="134">
        <f t="shared" si="31"/>
        <v>3.6180555555401952</v>
      </c>
      <c r="CA129" s="134">
        <f t="shared" si="32"/>
        <v>10.868055555554747</v>
      </c>
      <c r="CB129" s="133">
        <f t="shared" si="33"/>
        <v>0.33290734824142293</v>
      </c>
    </row>
    <row r="130" spans="1:80" s="126" customFormat="1">
      <c r="A130" s="192">
        <f t="shared" si="37"/>
        <v>45084.888888888891</v>
      </c>
      <c r="B130" s="126" t="s">
        <v>188</v>
      </c>
      <c r="C130" s="126" t="s">
        <v>182</v>
      </c>
      <c r="D130" s="126" t="s">
        <v>197</v>
      </c>
      <c r="E130" s="65" t="s">
        <v>1785</v>
      </c>
      <c r="F130" s="126" t="s">
        <v>1911</v>
      </c>
      <c r="G130" s="73">
        <v>45084.958333333336</v>
      </c>
      <c r="H130" s="73">
        <v>45084.925000000003</v>
      </c>
      <c r="I130" s="126" t="s">
        <v>1912</v>
      </c>
      <c r="J130" s="115" t="s">
        <v>192</v>
      </c>
      <c r="K130" s="115" t="s">
        <v>192</v>
      </c>
      <c r="L130" s="126" t="s">
        <v>1913</v>
      </c>
      <c r="M130" s="167"/>
      <c r="N130" s="126" t="s">
        <v>473</v>
      </c>
      <c r="O130" s="126" t="s">
        <v>474</v>
      </c>
      <c r="P130" s="126" t="s">
        <v>182</v>
      </c>
      <c r="Q130" s="181">
        <f>3136*2.4</f>
        <v>7526.4</v>
      </c>
      <c r="R130" s="181">
        <f>7550+100</f>
        <v>7650</v>
      </c>
      <c r="S130" s="181">
        <v>7598.5829999999996</v>
      </c>
      <c r="T130" s="181"/>
      <c r="AS130" s="181">
        <f>S130</f>
        <v>7598.5829999999996</v>
      </c>
      <c r="AX130" s="165">
        <f t="shared" si="23"/>
        <v>45078</v>
      </c>
      <c r="AY130" s="165">
        <f t="shared" si="24"/>
        <v>45093.875</v>
      </c>
      <c r="AZ130" s="137">
        <f t="shared" si="25"/>
        <v>15.875</v>
      </c>
      <c r="BA130" s="165">
        <v>45078</v>
      </c>
      <c r="BB130" s="165">
        <v>45079.868055555555</v>
      </c>
      <c r="BC130" s="165">
        <v>45084.774305555555</v>
      </c>
      <c r="BD130" s="165">
        <v>45084.888888888891</v>
      </c>
      <c r="BE130" s="165">
        <v>45086.704861111109</v>
      </c>
      <c r="BF130" s="165">
        <v>45086.722222222219</v>
      </c>
      <c r="BG130" s="165">
        <v>45086.722222222219</v>
      </c>
      <c r="BH130" s="165">
        <f>BG130+(51/24)</f>
        <v>45088.847222222219</v>
      </c>
      <c r="BI130" s="165">
        <v>45090.5</v>
      </c>
      <c r="BJ130" s="165">
        <v>45090.666666666664</v>
      </c>
      <c r="BK130" s="165">
        <v>45090.534722222219</v>
      </c>
      <c r="BL130" s="165">
        <v>45092.055555555555</v>
      </c>
      <c r="BM130" s="165">
        <v>45092.083333333336</v>
      </c>
      <c r="BN130" s="165">
        <v>45093.409722222219</v>
      </c>
      <c r="BO130" s="165">
        <v>45093.423611111109</v>
      </c>
      <c r="BP130" s="165">
        <v>45093.423611111109</v>
      </c>
      <c r="BQ130" s="165">
        <v>45093.875</v>
      </c>
      <c r="BR130" s="126" t="s">
        <v>1914</v>
      </c>
      <c r="BT130" s="136">
        <f t="shared" si="26"/>
        <v>117.75</v>
      </c>
      <c r="BU130" s="136">
        <f t="shared" si="27"/>
        <v>43.583333333255723</v>
      </c>
      <c r="BV130" s="136">
        <f t="shared" si="28"/>
        <v>51</v>
      </c>
      <c r="BW130" s="136">
        <f t="shared" si="41"/>
        <v>33.333333333372138</v>
      </c>
      <c r="BX130" s="135">
        <f t="shared" si="29"/>
        <v>31.833333333197515</v>
      </c>
      <c r="BY130" s="135">
        <f t="shared" si="30"/>
        <v>10.833333333372138</v>
      </c>
      <c r="BZ130" s="134">
        <f t="shared" si="31"/>
        <v>12.01388888888323</v>
      </c>
      <c r="CA130" s="134">
        <f t="shared" si="32"/>
        <v>15.875</v>
      </c>
      <c r="CB130" s="133">
        <f t="shared" si="33"/>
        <v>0.75678040244933731</v>
      </c>
    </row>
    <row r="131" spans="1:80" s="126" customFormat="1">
      <c r="A131" s="192">
        <f t="shared" si="37"/>
        <v>45095.399305555555</v>
      </c>
      <c r="B131" s="126" t="s">
        <v>188</v>
      </c>
      <c r="C131" s="126" t="s">
        <v>182</v>
      </c>
      <c r="D131" s="126" t="s">
        <v>197</v>
      </c>
      <c r="E131" s="65" t="s">
        <v>1827</v>
      </c>
      <c r="G131" s="73">
        <v>45097.333333333336</v>
      </c>
      <c r="H131" s="73">
        <v>45097.324999999997</v>
      </c>
      <c r="I131" s="126" t="s">
        <v>1912</v>
      </c>
      <c r="J131" s="115" t="s">
        <v>192</v>
      </c>
      <c r="K131" s="115" t="s">
        <v>192</v>
      </c>
      <c r="L131" s="126" t="s">
        <v>1915</v>
      </c>
      <c r="M131" s="167"/>
      <c r="N131" s="126" t="s">
        <v>1874</v>
      </c>
      <c r="O131" s="126" t="s">
        <v>1875</v>
      </c>
      <c r="P131" s="126" t="s">
        <v>182</v>
      </c>
      <c r="Q131" s="181">
        <f>2228*2.4</f>
        <v>5347.2</v>
      </c>
      <c r="R131" s="181">
        <f>5350+100</f>
        <v>5450</v>
      </c>
      <c r="S131" s="181">
        <v>5302.3069999999998</v>
      </c>
      <c r="T131" s="181"/>
      <c r="AS131" s="313">
        <f>S131</f>
        <v>5302.3069999999998</v>
      </c>
      <c r="AX131" s="165">
        <f t="shared" si="23"/>
        <v>45090.71875</v>
      </c>
      <c r="AY131" s="165">
        <f t="shared" si="24"/>
        <v>45102.260416666664</v>
      </c>
      <c r="AZ131" s="137">
        <f t="shared" si="25"/>
        <v>11.541666666664241</v>
      </c>
      <c r="BA131" s="165">
        <v>45090.71875</v>
      </c>
      <c r="BB131" s="165">
        <v>45091.809027777781</v>
      </c>
      <c r="BC131" s="165">
        <v>45095.333333333336</v>
      </c>
      <c r="BD131" s="165">
        <v>45095.399305555555</v>
      </c>
      <c r="BE131" s="165">
        <v>45096.01458333333</v>
      </c>
      <c r="BF131" s="165">
        <v>45096.072916666664</v>
      </c>
      <c r="BG131" s="165">
        <v>45096.072916666664</v>
      </c>
      <c r="BH131" s="165">
        <f>BG131+(51/24)</f>
        <v>45098.197916666664</v>
      </c>
      <c r="BI131" s="165">
        <v>45098.25</v>
      </c>
      <c r="BJ131" s="165">
        <v>45098.416666666664</v>
      </c>
      <c r="BK131" s="165">
        <v>45098.357638888891</v>
      </c>
      <c r="BL131" s="165">
        <v>45099.711805555555</v>
      </c>
      <c r="BM131" s="165">
        <v>45100.243055555555</v>
      </c>
      <c r="BN131" s="165">
        <v>45101.777777777781</v>
      </c>
      <c r="BO131" s="165">
        <v>45101.798611111109</v>
      </c>
      <c r="BP131" s="165">
        <v>45101.798611111109</v>
      </c>
      <c r="BQ131" s="165">
        <v>45102.260416666664</v>
      </c>
      <c r="BT131" s="136">
        <f t="shared" si="26"/>
        <v>84.583333333313931</v>
      </c>
      <c r="BU131" s="136">
        <f t="shared" si="27"/>
        <v>14.766666666604578</v>
      </c>
      <c r="BV131" s="136">
        <f t="shared" si="28"/>
        <v>51</v>
      </c>
      <c r="BW131" s="136">
        <f>(BL131-BH131)*24</f>
        <v>36.333333333372138</v>
      </c>
      <c r="BX131" s="135">
        <f t="shared" si="29"/>
        <v>36.833333333430346</v>
      </c>
      <c r="BY131" s="135">
        <f t="shared" si="30"/>
        <v>11.083333333313931</v>
      </c>
      <c r="BZ131" s="134">
        <f t="shared" si="31"/>
        <v>9.7750000000014552</v>
      </c>
      <c r="CA131" s="134">
        <f t="shared" si="32"/>
        <v>11.541666666664241</v>
      </c>
      <c r="CB131" s="133">
        <f t="shared" si="33"/>
        <v>0.84693140794254229</v>
      </c>
    </row>
    <row r="132" spans="1:80" s="126" customFormat="1">
      <c r="A132" s="192">
        <f t="shared" si="37"/>
        <v>45080.583333333336</v>
      </c>
      <c r="B132" s="126" t="s">
        <v>228</v>
      </c>
      <c r="C132" s="126" t="s">
        <v>229</v>
      </c>
      <c r="D132" s="126" t="s">
        <v>197</v>
      </c>
      <c r="E132" s="65" t="s">
        <v>1776</v>
      </c>
      <c r="G132" s="73">
        <v>45084.875</v>
      </c>
      <c r="H132" s="73">
        <v>45085.076388888891</v>
      </c>
      <c r="I132" s="126" t="s">
        <v>471</v>
      </c>
      <c r="J132" s="115" t="s">
        <v>192</v>
      </c>
      <c r="K132" s="115" t="s">
        <v>192</v>
      </c>
      <c r="L132" s="126" t="s">
        <v>1916</v>
      </c>
      <c r="M132" s="167"/>
      <c r="N132" s="126" t="s">
        <v>201</v>
      </c>
      <c r="O132" s="126" t="s">
        <v>202</v>
      </c>
      <c r="P132" s="126" t="s">
        <v>172</v>
      </c>
      <c r="Q132" s="181">
        <f>3141*2.4</f>
        <v>7538.4</v>
      </c>
      <c r="R132" s="181">
        <f>7550+100</f>
        <v>7650</v>
      </c>
      <c r="S132" s="181">
        <v>7651.683</v>
      </c>
      <c r="T132" s="181"/>
      <c r="Z132" s="181">
        <f t="shared" ref="Z132:Z140" si="42">S132</f>
        <v>7651.683</v>
      </c>
      <c r="AX132" s="165">
        <f t="shared" ref="AX132:AX190" si="43">BA132</f>
        <v>45072.920138888891</v>
      </c>
      <c r="AY132" s="165">
        <f t="shared" ref="AY132:AY190" si="44">BQ132</f>
        <v>45087.9375</v>
      </c>
      <c r="AZ132" s="137">
        <f t="shared" ref="AZ132:AZ190" si="45">AY132-AX132</f>
        <v>15.017361111109494</v>
      </c>
      <c r="BA132" s="165">
        <v>45072.920138888891</v>
      </c>
      <c r="BB132" s="165">
        <v>45076.336805555555</v>
      </c>
      <c r="BC132" s="165">
        <v>45078.097222222219</v>
      </c>
      <c r="BD132" s="165">
        <v>45080.583333333336</v>
      </c>
      <c r="BE132" s="165">
        <v>45080.909722222219</v>
      </c>
      <c r="BF132" s="165">
        <v>45080.916666666664</v>
      </c>
      <c r="BG132" s="165">
        <v>45080.916666666664</v>
      </c>
      <c r="BH132" s="165">
        <f t="shared" ref="BH132:BH140" si="46">BG132+(41/24)</f>
        <v>45082.625</v>
      </c>
      <c r="BI132" s="165">
        <v>45083.229166608799</v>
      </c>
      <c r="BJ132" s="165">
        <v>45083.395833275463</v>
      </c>
      <c r="BK132" s="165">
        <v>45083.284722222219</v>
      </c>
      <c r="BL132" s="165">
        <v>45085.340277777781</v>
      </c>
      <c r="BM132" s="165">
        <v>45087.423611111109</v>
      </c>
      <c r="BN132" s="165">
        <v>45087.715277777781</v>
      </c>
      <c r="BO132" s="165">
        <v>45087.739583333336</v>
      </c>
      <c r="BP132" s="165">
        <v>45087.739583333336</v>
      </c>
      <c r="BQ132" s="165">
        <v>45087.9375</v>
      </c>
      <c r="BT132" s="136">
        <f t="shared" ref="BT132:BT190" si="47">(BC132-BB132)*24</f>
        <v>42.249999999941792</v>
      </c>
      <c r="BU132" s="136">
        <f t="shared" ref="BU132:BU190" si="48">(BE132-BD132)*24</f>
        <v>7.8333333331975155</v>
      </c>
      <c r="BV132" s="136">
        <f t="shared" ref="BV132:BV190" si="49">(BH132-BG132)*24</f>
        <v>41.000000000058208</v>
      </c>
      <c r="BW132" s="136">
        <f t="shared" ref="BW132:BW140" si="50">(BL132-BJ132)*24</f>
        <v>46.666668055637274</v>
      </c>
      <c r="BX132" s="135">
        <f t="shared" ref="BX132:BX190" si="51">(BN132-BM132)*24</f>
        <v>7.0000000001164153</v>
      </c>
      <c r="BY132" s="135">
        <f t="shared" ref="BY132:BY190" si="52">(BQ132-BP132)*24</f>
        <v>4.7499999999417923</v>
      </c>
      <c r="BZ132" s="134">
        <f t="shared" ref="BZ132:BZ190" si="53">SUM(BT132:BY132)/24</f>
        <v>6.2291667245372082</v>
      </c>
      <c r="CA132" s="134">
        <f t="shared" ref="CA132:CA190" si="54">AZ132</f>
        <v>15.017361111109494</v>
      </c>
      <c r="CB132" s="133">
        <f t="shared" ref="CB132:CB190" si="55">BZ132/CA132</f>
        <v>0.41479769171489228</v>
      </c>
    </row>
    <row r="133" spans="1:80" s="126" customFormat="1">
      <c r="A133" s="192">
        <f t="shared" si="37"/>
        <v>45085.451388888891</v>
      </c>
      <c r="B133" s="126" t="s">
        <v>228</v>
      </c>
      <c r="C133" s="126" t="s">
        <v>229</v>
      </c>
      <c r="D133" s="126" t="s">
        <v>197</v>
      </c>
      <c r="E133" s="65" t="s">
        <v>1758</v>
      </c>
      <c r="G133" s="165">
        <v>45102.000694444447</v>
      </c>
      <c r="H133" s="165">
        <v>45102.000694444447</v>
      </c>
      <c r="I133" s="126" t="s">
        <v>469</v>
      </c>
      <c r="J133" s="115" t="s">
        <v>192</v>
      </c>
      <c r="K133" s="115" t="s">
        <v>192</v>
      </c>
      <c r="L133" s="126" t="s">
        <v>1917</v>
      </c>
      <c r="M133" s="167"/>
      <c r="N133" s="126" t="s">
        <v>489</v>
      </c>
      <c r="O133" s="126" t="s">
        <v>483</v>
      </c>
      <c r="P133" s="126" t="s">
        <v>172</v>
      </c>
      <c r="Q133" s="181">
        <f>3107*2.4</f>
        <v>7456.7999999999993</v>
      </c>
      <c r="R133" s="181">
        <f>7500+100</f>
        <v>7600</v>
      </c>
      <c r="S133" s="181">
        <v>7524.7190000000001</v>
      </c>
      <c r="T133" s="181"/>
      <c r="Z133" s="181">
        <f t="shared" si="42"/>
        <v>7524.7190000000001</v>
      </c>
      <c r="AX133" s="165">
        <f t="shared" si="43"/>
        <v>45080.423611111109</v>
      </c>
      <c r="AY133" s="165">
        <f t="shared" si="44"/>
        <v>45094.503472222219</v>
      </c>
      <c r="AZ133" s="137">
        <f t="shared" si="45"/>
        <v>14.079861111109494</v>
      </c>
      <c r="BA133" s="165">
        <v>45080.423611111109</v>
      </c>
      <c r="BB133" s="165">
        <v>45081.628472222219</v>
      </c>
      <c r="BC133" s="165">
        <v>45083.076388888891</v>
      </c>
      <c r="BD133" s="165">
        <v>45085.451388888891</v>
      </c>
      <c r="BE133" s="165">
        <v>45085.729166666664</v>
      </c>
      <c r="BF133" s="165">
        <v>45085.743055555555</v>
      </c>
      <c r="BG133" s="165">
        <v>45085.743055555555</v>
      </c>
      <c r="BH133" s="165">
        <f t="shared" si="46"/>
        <v>45087.451388888891</v>
      </c>
      <c r="BI133" s="165">
        <v>45087.229166608799</v>
      </c>
      <c r="BJ133" s="165">
        <v>45087.395833275463</v>
      </c>
      <c r="BK133" s="165">
        <v>45087.273611111108</v>
      </c>
      <c r="BL133" s="165">
        <v>45089.166666666664</v>
      </c>
      <c r="BM133" s="165">
        <v>45093.784722222219</v>
      </c>
      <c r="BN133" s="165">
        <v>45094.027777777781</v>
      </c>
      <c r="BO133" s="165">
        <v>45094.048611111109</v>
      </c>
      <c r="BP133" s="165">
        <v>45094.052083333336</v>
      </c>
      <c r="BQ133" s="165">
        <v>45094.503472222219</v>
      </c>
      <c r="BT133" s="136">
        <f t="shared" si="47"/>
        <v>34.750000000116415</v>
      </c>
      <c r="BU133" s="136">
        <f t="shared" si="48"/>
        <v>6.6666666665696539</v>
      </c>
      <c r="BV133" s="136">
        <f t="shared" si="49"/>
        <v>41.000000000058208</v>
      </c>
      <c r="BW133" s="136">
        <f t="shared" si="50"/>
        <v>42.500001388834789</v>
      </c>
      <c r="BX133" s="135">
        <f t="shared" si="51"/>
        <v>5.8333333334885538</v>
      </c>
      <c r="BY133" s="135">
        <f t="shared" si="52"/>
        <v>10.833333333197515</v>
      </c>
      <c r="BZ133" s="134">
        <f t="shared" si="53"/>
        <v>5.899305613427714</v>
      </c>
      <c r="CA133" s="134">
        <f t="shared" si="54"/>
        <v>14.079861111109494</v>
      </c>
      <c r="CB133" s="133">
        <f t="shared" si="55"/>
        <v>0.418988906699723</v>
      </c>
    </row>
    <row r="134" spans="1:80" s="126" customFormat="1">
      <c r="A134" s="192">
        <f t="shared" si="37"/>
        <v>45092.670138888891</v>
      </c>
      <c r="B134" s="126" t="s">
        <v>228</v>
      </c>
      <c r="C134" s="126" t="s">
        <v>229</v>
      </c>
      <c r="D134" s="126" t="s">
        <v>197</v>
      </c>
      <c r="E134" s="65" t="s">
        <v>1918</v>
      </c>
      <c r="G134" s="165">
        <v>45100.6875</v>
      </c>
      <c r="H134" s="165">
        <v>45100.6875</v>
      </c>
      <c r="I134" s="126" t="s">
        <v>469</v>
      </c>
      <c r="J134" s="126" t="s">
        <v>192</v>
      </c>
      <c r="K134" s="126" t="s">
        <v>192</v>
      </c>
      <c r="L134" s="126" t="s">
        <v>1919</v>
      </c>
      <c r="M134" s="167"/>
      <c r="N134" s="126" t="s">
        <v>695</v>
      </c>
      <c r="O134" s="126" t="s">
        <v>281</v>
      </c>
      <c r="P134" s="126" t="s">
        <v>172</v>
      </c>
      <c r="Q134" s="181">
        <f>3102*2.4</f>
        <v>7444.7999999999993</v>
      </c>
      <c r="R134" s="181">
        <f>7450+100</f>
        <v>7550</v>
      </c>
      <c r="S134" s="181">
        <v>7551.8909999999996</v>
      </c>
      <c r="T134" s="181"/>
      <c r="Z134" s="181">
        <f t="shared" si="42"/>
        <v>7551.8909999999996</v>
      </c>
      <c r="AX134" s="165">
        <f t="shared" si="43"/>
        <v>45088.375</v>
      </c>
      <c r="AY134" s="165">
        <f t="shared" si="44"/>
        <v>45101.597222222219</v>
      </c>
      <c r="AZ134" s="137">
        <f t="shared" si="45"/>
        <v>13.222222222218988</v>
      </c>
      <c r="BA134" s="165">
        <v>45088.375</v>
      </c>
      <c r="BB134" s="165">
        <v>45089.5625</v>
      </c>
      <c r="BC134" s="165">
        <v>45092.118055555555</v>
      </c>
      <c r="BD134" s="165">
        <v>45092.670138888891</v>
      </c>
      <c r="BE134" s="165">
        <v>45093.017361111109</v>
      </c>
      <c r="BF134" s="165">
        <v>45093.020833333336</v>
      </c>
      <c r="BG134" s="165">
        <v>45093.020833333336</v>
      </c>
      <c r="BH134" s="165">
        <f t="shared" si="46"/>
        <v>45094.729166666672</v>
      </c>
      <c r="BI134" s="165">
        <v>45095.229166608799</v>
      </c>
      <c r="BJ134" s="165">
        <v>45095.395833275463</v>
      </c>
      <c r="BK134" s="165">
        <v>45095.302083333336</v>
      </c>
      <c r="BL134" s="165">
        <v>45097.020833333336</v>
      </c>
      <c r="BM134" s="165">
        <v>45101.364583333336</v>
      </c>
      <c r="BN134" s="165">
        <v>45101.597222222219</v>
      </c>
      <c r="BO134" s="165">
        <v>45101.597222222219</v>
      </c>
      <c r="BP134" s="165">
        <v>45101.597222222219</v>
      </c>
      <c r="BQ134" s="165">
        <v>45101.597222222219</v>
      </c>
      <c r="BT134" s="136">
        <f t="shared" si="47"/>
        <v>61.333333333313931</v>
      </c>
      <c r="BU134" s="136">
        <f t="shared" si="48"/>
        <v>8.3333333332557231</v>
      </c>
      <c r="BV134" s="136">
        <f t="shared" si="49"/>
        <v>41.000000000058208</v>
      </c>
      <c r="BW134" s="136">
        <f t="shared" si="50"/>
        <v>39.000001388951205</v>
      </c>
      <c r="BX134" s="135">
        <f t="shared" si="51"/>
        <v>5.5833333331975155</v>
      </c>
      <c r="BY134" s="135">
        <f t="shared" si="52"/>
        <v>0</v>
      </c>
      <c r="BZ134" s="134">
        <f t="shared" si="53"/>
        <v>6.4687500578656909</v>
      </c>
      <c r="CA134" s="134">
        <f t="shared" si="54"/>
        <v>13.222222222218988</v>
      </c>
      <c r="CB134" s="133">
        <f t="shared" si="55"/>
        <v>0.48923319765382739</v>
      </c>
    </row>
    <row r="135" spans="1:80" s="126" customFormat="1">
      <c r="A135" s="192">
        <f t="shared" si="37"/>
        <v>45093.045138888891</v>
      </c>
      <c r="B135" s="126" t="s">
        <v>228</v>
      </c>
      <c r="C135" s="126" t="s">
        <v>229</v>
      </c>
      <c r="D135" s="126" t="s">
        <v>197</v>
      </c>
      <c r="E135" s="65" t="s">
        <v>1801</v>
      </c>
      <c r="G135" s="73">
        <v>45095.3125</v>
      </c>
      <c r="H135" s="73">
        <v>45095.275000000001</v>
      </c>
      <c r="I135" s="126" t="s">
        <v>471</v>
      </c>
      <c r="J135" s="115" t="s">
        <v>192</v>
      </c>
      <c r="K135" s="115" t="s">
        <v>192</v>
      </c>
      <c r="L135" s="126" t="s">
        <v>1920</v>
      </c>
      <c r="M135" s="167"/>
      <c r="N135" s="126" t="s">
        <v>437</v>
      </c>
      <c r="O135" s="126" t="s">
        <v>320</v>
      </c>
      <c r="P135" s="126" t="s">
        <v>172</v>
      </c>
      <c r="Q135" s="181">
        <f>3136*2.4</f>
        <v>7526.4</v>
      </c>
      <c r="R135" s="181">
        <f>7550+100</f>
        <v>7650</v>
      </c>
      <c r="S135" s="181">
        <v>7515.8220000000001</v>
      </c>
      <c r="T135" s="181"/>
      <c r="Z135" s="181">
        <f t="shared" si="42"/>
        <v>7515.8220000000001</v>
      </c>
      <c r="AX135" s="165">
        <f t="shared" si="43"/>
        <v>45090.15625</v>
      </c>
      <c r="AY135" s="165">
        <f t="shared" si="44"/>
        <v>45098.434027777781</v>
      </c>
      <c r="AZ135" s="137">
        <f t="shared" si="45"/>
        <v>8.2777777777810115</v>
      </c>
      <c r="BA135" s="165">
        <v>45090.15625</v>
      </c>
      <c r="BB135" s="165">
        <v>45090.809027777781</v>
      </c>
      <c r="BC135" s="165">
        <v>45092.4375</v>
      </c>
      <c r="BD135" s="165">
        <v>45093.045138888891</v>
      </c>
      <c r="BE135" s="165">
        <v>45093.381944444445</v>
      </c>
      <c r="BF135" s="165">
        <v>45093.385416666664</v>
      </c>
      <c r="BG135" s="165">
        <v>45093.385416666664</v>
      </c>
      <c r="BH135" s="165">
        <f t="shared" si="46"/>
        <v>45095.09375</v>
      </c>
      <c r="BI135" s="165">
        <v>45095.229166608799</v>
      </c>
      <c r="BJ135" s="165">
        <v>45095.395833275463</v>
      </c>
      <c r="BK135" s="165">
        <v>45095.288194444445</v>
      </c>
      <c r="BL135" s="165">
        <v>45096.888888888891</v>
      </c>
      <c r="BM135" s="165">
        <v>45097.833333333336</v>
      </c>
      <c r="BN135" s="165">
        <v>45098.152777777781</v>
      </c>
      <c r="BO135" s="165">
        <v>45098.166666666664</v>
      </c>
      <c r="BP135" s="165">
        <v>45098.166666666664</v>
      </c>
      <c r="BQ135" s="165">
        <v>45098.434027777781</v>
      </c>
      <c r="BT135" s="136">
        <f t="shared" si="47"/>
        <v>39.083333333255723</v>
      </c>
      <c r="BU135" s="136">
        <f t="shared" si="48"/>
        <v>8.0833333333139308</v>
      </c>
      <c r="BV135" s="136">
        <f t="shared" si="49"/>
        <v>41.000000000058208</v>
      </c>
      <c r="BW135" s="136">
        <f t="shared" si="50"/>
        <v>35.833334722265135</v>
      </c>
      <c r="BX135" s="135">
        <f t="shared" si="51"/>
        <v>7.6666666666860692</v>
      </c>
      <c r="BY135" s="135">
        <f t="shared" si="52"/>
        <v>6.4166666668024845</v>
      </c>
      <c r="BZ135" s="134">
        <f t="shared" si="53"/>
        <v>5.7534722800992313</v>
      </c>
      <c r="CA135" s="134">
        <f t="shared" si="54"/>
        <v>8.2777777777810115</v>
      </c>
      <c r="CB135" s="133">
        <f t="shared" si="55"/>
        <v>0.69505034256205167</v>
      </c>
    </row>
    <row r="136" spans="1:80" s="126" customFormat="1">
      <c r="A136" s="192">
        <f t="shared" si="37"/>
        <v>45093.604166666664</v>
      </c>
      <c r="B136" s="126" t="s">
        <v>228</v>
      </c>
      <c r="C136" s="126" t="s">
        <v>229</v>
      </c>
      <c r="D136" s="126" t="s">
        <v>197</v>
      </c>
      <c r="E136" s="65" t="s">
        <v>1801</v>
      </c>
      <c r="G136" s="73">
        <v>45095.3125</v>
      </c>
      <c r="H136" s="73">
        <v>45095.275000000001</v>
      </c>
      <c r="I136" s="126" t="s">
        <v>471</v>
      </c>
      <c r="J136" s="115" t="s">
        <v>192</v>
      </c>
      <c r="K136" s="115" t="s">
        <v>192</v>
      </c>
      <c r="L136" s="126" t="s">
        <v>1921</v>
      </c>
      <c r="M136" s="167"/>
      <c r="N136" s="126" t="s">
        <v>1767</v>
      </c>
      <c r="O136" s="126" t="s">
        <v>1768</v>
      </c>
      <c r="P136" s="126" t="s">
        <v>172</v>
      </c>
      <c r="Q136" s="181">
        <f>3139*2.4</f>
        <v>7533.5999999999995</v>
      </c>
      <c r="R136" s="181">
        <f>7550+100</f>
        <v>7650</v>
      </c>
      <c r="S136" s="181">
        <v>7558.9059999999999</v>
      </c>
      <c r="T136" s="181"/>
      <c r="Z136" s="181">
        <f t="shared" si="42"/>
        <v>7558.9059999999999</v>
      </c>
      <c r="AX136" s="165">
        <f t="shared" si="43"/>
        <v>45088.690972222219</v>
      </c>
      <c r="AY136" s="165">
        <f t="shared" si="44"/>
        <v>45099.055555555555</v>
      </c>
      <c r="AZ136" s="137">
        <f t="shared" si="45"/>
        <v>10.364583333335759</v>
      </c>
      <c r="BA136" s="165">
        <v>45088.690972222219</v>
      </c>
      <c r="BB136" s="165">
        <v>45089.569444444445</v>
      </c>
      <c r="BC136" s="165">
        <v>45093.055555555555</v>
      </c>
      <c r="BD136" s="165">
        <v>45093.604166666664</v>
      </c>
      <c r="BE136" s="165">
        <v>45093.878472222219</v>
      </c>
      <c r="BF136" s="165">
        <v>45093.881944444445</v>
      </c>
      <c r="BG136" s="165">
        <v>45094.267361111109</v>
      </c>
      <c r="BH136" s="165">
        <f t="shared" si="46"/>
        <v>45095.975694444445</v>
      </c>
      <c r="BI136" s="165">
        <v>45096.25</v>
      </c>
      <c r="BJ136" s="165">
        <v>45096.416666666664</v>
      </c>
      <c r="BK136" s="165">
        <v>45096.319444444445</v>
      </c>
      <c r="BL136" s="165">
        <v>45097.875</v>
      </c>
      <c r="BM136" s="165">
        <v>45098.222222222219</v>
      </c>
      <c r="BN136" s="165">
        <v>45098.618055555555</v>
      </c>
      <c r="BO136" s="165">
        <v>45098.645833333336</v>
      </c>
      <c r="BP136" s="165">
        <v>45098.645833333336</v>
      </c>
      <c r="BQ136" s="165">
        <v>45099.055555555555</v>
      </c>
      <c r="BT136" s="136">
        <f t="shared" si="47"/>
        <v>83.666666666627862</v>
      </c>
      <c r="BU136" s="136">
        <f t="shared" si="48"/>
        <v>6.5833333333139308</v>
      </c>
      <c r="BV136" s="136">
        <f t="shared" si="49"/>
        <v>41.000000000058208</v>
      </c>
      <c r="BW136" s="136">
        <f t="shared" si="50"/>
        <v>35.000000000058208</v>
      </c>
      <c r="BX136" s="135">
        <f t="shared" si="51"/>
        <v>9.5000000000582077</v>
      </c>
      <c r="BY136" s="135">
        <f t="shared" si="52"/>
        <v>9.8333333332557231</v>
      </c>
      <c r="BZ136" s="134">
        <f t="shared" si="53"/>
        <v>7.7326388888905058</v>
      </c>
      <c r="CA136" s="134">
        <f t="shared" si="54"/>
        <v>10.364583333335759</v>
      </c>
      <c r="CB136" s="133">
        <f t="shared" si="55"/>
        <v>0.74606365159127119</v>
      </c>
    </row>
    <row r="137" spans="1:80" s="126" customFormat="1">
      <c r="A137" s="192">
        <f t="shared" si="37"/>
        <v>45097.243055555555</v>
      </c>
      <c r="B137" s="126" t="s">
        <v>228</v>
      </c>
      <c r="C137" s="126" t="s">
        <v>229</v>
      </c>
      <c r="D137" s="126" t="s">
        <v>197</v>
      </c>
      <c r="E137" s="65" t="s">
        <v>1922</v>
      </c>
      <c r="G137" s="73">
        <v>45098.708333333336</v>
      </c>
      <c r="H137" s="73">
        <v>45098.695833333331</v>
      </c>
      <c r="I137" s="126" t="s">
        <v>471</v>
      </c>
      <c r="J137" s="115" t="s">
        <v>192</v>
      </c>
      <c r="K137" s="115" t="s">
        <v>192</v>
      </c>
      <c r="L137" s="126" t="s">
        <v>1923</v>
      </c>
      <c r="M137" s="167"/>
      <c r="N137" s="126" t="s">
        <v>686</v>
      </c>
      <c r="O137" s="126" t="s">
        <v>1186</v>
      </c>
      <c r="P137" s="126" t="s">
        <v>172</v>
      </c>
      <c r="Q137" s="181">
        <f>3136*2.4</f>
        <v>7526.4</v>
      </c>
      <c r="R137" s="181">
        <f>7550+100</f>
        <v>7650</v>
      </c>
      <c r="S137" s="181">
        <v>7542.3940000000002</v>
      </c>
      <c r="T137" s="181"/>
      <c r="Z137" s="181">
        <f t="shared" si="42"/>
        <v>7542.3940000000002</v>
      </c>
      <c r="AX137" s="165">
        <f t="shared" si="43"/>
        <v>45093.333333333336</v>
      </c>
      <c r="AY137" s="165">
        <f t="shared" si="44"/>
        <v>45102.375</v>
      </c>
      <c r="AZ137" s="137">
        <f t="shared" si="45"/>
        <v>9.0416666666642413</v>
      </c>
      <c r="BA137" s="165">
        <v>45093.333333333336</v>
      </c>
      <c r="BB137" s="165">
        <v>45094.559027777781</v>
      </c>
      <c r="BC137" s="165">
        <v>45096.381944444445</v>
      </c>
      <c r="BD137" s="165">
        <v>45097.243055555555</v>
      </c>
      <c r="BE137" s="165">
        <v>45097.524305555555</v>
      </c>
      <c r="BF137" s="165">
        <v>45097.527777777781</v>
      </c>
      <c r="BG137" s="165">
        <v>45097.527777777781</v>
      </c>
      <c r="BH137" s="165">
        <f t="shared" si="46"/>
        <v>45099.236111111117</v>
      </c>
      <c r="BI137" s="165">
        <v>45099.25</v>
      </c>
      <c r="BJ137" s="165">
        <v>45099.416666666664</v>
      </c>
      <c r="BK137" s="165">
        <v>45099.333333333336</v>
      </c>
      <c r="BL137" s="165">
        <v>45100.416666666664</v>
      </c>
      <c r="BM137" s="165">
        <v>45101</v>
      </c>
      <c r="BN137" s="165">
        <v>45101.96875</v>
      </c>
      <c r="BO137" s="165">
        <v>45101.982638888891</v>
      </c>
      <c r="BP137" s="165">
        <v>45102.145833333336</v>
      </c>
      <c r="BQ137" s="165">
        <v>45102.375</v>
      </c>
      <c r="BT137" s="136">
        <f t="shared" si="47"/>
        <v>43.749999999941792</v>
      </c>
      <c r="BU137" s="136">
        <f t="shared" si="48"/>
        <v>6.75</v>
      </c>
      <c r="BV137" s="136">
        <f t="shared" si="49"/>
        <v>41.000000000058208</v>
      </c>
      <c r="BW137" s="136">
        <f t="shared" si="50"/>
        <v>24</v>
      </c>
      <c r="BX137" s="135">
        <f t="shared" si="51"/>
        <v>23.25</v>
      </c>
      <c r="BY137" s="135">
        <f t="shared" si="52"/>
        <v>5.4999999999417923</v>
      </c>
      <c r="BZ137" s="134">
        <f t="shared" si="53"/>
        <v>6.0104166666642413</v>
      </c>
      <c r="CA137" s="134">
        <f t="shared" si="54"/>
        <v>9.0416666666642413</v>
      </c>
      <c r="CB137" s="133">
        <f t="shared" si="55"/>
        <v>0.6647465437787119</v>
      </c>
    </row>
    <row r="138" spans="1:80" s="126" customFormat="1">
      <c r="A138" s="192">
        <f t="shared" si="37"/>
        <v>45100.527777777781</v>
      </c>
      <c r="B138" s="126" t="s">
        <v>228</v>
      </c>
      <c r="C138" s="126" t="s">
        <v>229</v>
      </c>
      <c r="D138" s="126" t="s">
        <v>215</v>
      </c>
      <c r="E138" s="65" t="s">
        <v>1345</v>
      </c>
      <c r="G138" s="166">
        <v>45105.625</v>
      </c>
      <c r="H138" s="166">
        <v>45105.616666666669</v>
      </c>
      <c r="I138" s="126" t="s">
        <v>469</v>
      </c>
      <c r="J138" s="126" t="s">
        <v>192</v>
      </c>
      <c r="K138" s="126" t="s">
        <v>192</v>
      </c>
      <c r="L138" s="126" t="s">
        <v>1924</v>
      </c>
      <c r="M138" s="167"/>
      <c r="N138" s="126" t="s">
        <v>403</v>
      </c>
      <c r="O138" s="126" t="s">
        <v>404</v>
      </c>
      <c r="P138" s="126" t="s">
        <v>172</v>
      </c>
      <c r="Q138" s="181">
        <f>3107*2.4</f>
        <v>7456.7999999999993</v>
      </c>
      <c r="R138" s="181">
        <f>7500+100</f>
        <v>7600</v>
      </c>
      <c r="S138" s="181">
        <v>7550.8950000000004</v>
      </c>
      <c r="T138" s="181"/>
      <c r="Z138" s="181">
        <f t="shared" si="42"/>
        <v>7550.8950000000004</v>
      </c>
      <c r="AX138" s="165">
        <f t="shared" si="43"/>
        <v>45097.40625</v>
      </c>
      <c r="AY138" s="165">
        <f t="shared" si="44"/>
        <v>45106.461805555555</v>
      </c>
      <c r="AZ138" s="137">
        <f t="shared" si="45"/>
        <v>9.0555555555547471</v>
      </c>
      <c r="BA138" s="165">
        <v>45097.40625</v>
      </c>
      <c r="BB138" s="165">
        <v>45098.628472222219</v>
      </c>
      <c r="BC138" s="165">
        <v>45100.381944444445</v>
      </c>
      <c r="BD138" s="165">
        <v>45100.527777777781</v>
      </c>
      <c r="BE138" s="165">
        <v>45100.753472222219</v>
      </c>
      <c r="BF138" s="165">
        <v>45100.756944444445</v>
      </c>
      <c r="BG138" s="165">
        <v>45101.274305555555</v>
      </c>
      <c r="BH138" s="165">
        <f t="shared" si="46"/>
        <v>45102.982638888891</v>
      </c>
      <c r="BI138" s="165">
        <v>45103.25</v>
      </c>
      <c r="BJ138" s="165">
        <v>45103.25</v>
      </c>
      <c r="BK138" s="165">
        <v>45103.288194444445</v>
      </c>
      <c r="BL138" s="165">
        <v>45105.149305555555</v>
      </c>
      <c r="BM138" s="165">
        <v>45105.697916666664</v>
      </c>
      <c r="BN138" s="165">
        <v>45105.958333333336</v>
      </c>
      <c r="BO138" s="165">
        <v>45105.972222222219</v>
      </c>
      <c r="BP138" s="165">
        <v>45105.975694444445</v>
      </c>
      <c r="BQ138" s="165">
        <v>45106.461805555555</v>
      </c>
      <c r="BT138" s="136">
        <f t="shared" si="47"/>
        <v>42.083333333430346</v>
      </c>
      <c r="BU138" s="136">
        <f t="shared" si="48"/>
        <v>5.4166666665114462</v>
      </c>
      <c r="BV138" s="136">
        <f t="shared" si="49"/>
        <v>41.000000000058208</v>
      </c>
      <c r="BW138" s="136">
        <f t="shared" si="50"/>
        <v>45.583333333313931</v>
      </c>
      <c r="BX138" s="135">
        <f t="shared" si="51"/>
        <v>6.2500000001164153</v>
      </c>
      <c r="BY138" s="135">
        <f t="shared" si="52"/>
        <v>11.666666666627862</v>
      </c>
      <c r="BZ138" s="134">
        <f t="shared" si="53"/>
        <v>6.3333333333357587</v>
      </c>
      <c r="CA138" s="134">
        <f t="shared" si="54"/>
        <v>9.0555555555547471</v>
      </c>
      <c r="CB138" s="133">
        <f t="shared" si="55"/>
        <v>0.69938650306781491</v>
      </c>
    </row>
    <row r="139" spans="1:80" s="126" customFormat="1">
      <c r="A139" s="192">
        <f t="shared" si="37"/>
        <v>45102.5625</v>
      </c>
      <c r="B139" s="126" t="s">
        <v>228</v>
      </c>
      <c r="C139" s="126" t="s">
        <v>229</v>
      </c>
      <c r="D139" s="126" t="s">
        <v>197</v>
      </c>
      <c r="E139" s="65" t="s">
        <v>1925</v>
      </c>
      <c r="G139" s="165">
        <v>45104.845833333333</v>
      </c>
      <c r="H139" s="165">
        <v>45104.845833333333</v>
      </c>
      <c r="I139" s="126" t="s">
        <v>469</v>
      </c>
      <c r="J139" s="115" t="s">
        <v>192</v>
      </c>
      <c r="K139" s="115" t="s">
        <v>192</v>
      </c>
      <c r="L139" s="126" t="s">
        <v>1926</v>
      </c>
      <c r="M139" s="167"/>
      <c r="N139" s="126" t="s">
        <v>473</v>
      </c>
      <c r="O139" s="126" t="s">
        <v>474</v>
      </c>
      <c r="P139" s="126" t="s">
        <v>172</v>
      </c>
      <c r="Q139" s="181">
        <f>3136*2.4</f>
        <v>7526.4</v>
      </c>
      <c r="R139" s="181">
        <f>7550+100</f>
        <v>7650</v>
      </c>
      <c r="S139" s="181">
        <v>7738.2489999999998</v>
      </c>
      <c r="T139" s="181"/>
      <c r="U139" s="219"/>
      <c r="Z139" s="181">
        <f t="shared" si="42"/>
        <v>7738.2489999999998</v>
      </c>
      <c r="AX139" s="165">
        <f t="shared" si="43"/>
        <v>45093.875</v>
      </c>
      <c r="AY139" s="165">
        <f t="shared" si="44"/>
        <v>45106.84375</v>
      </c>
      <c r="AZ139" s="137">
        <f t="shared" si="45"/>
        <v>12.96875</v>
      </c>
      <c r="BA139" s="165">
        <v>45093.875</v>
      </c>
      <c r="BB139" s="165">
        <v>45098.809027777781</v>
      </c>
      <c r="BC139" s="165">
        <v>45100.53125</v>
      </c>
      <c r="BD139" s="165">
        <v>45102.5625</v>
      </c>
      <c r="BE139" s="165">
        <v>45102.763888888891</v>
      </c>
      <c r="BF139" s="165">
        <v>45102.767361111109</v>
      </c>
      <c r="BG139" s="165">
        <v>45102.767361111109</v>
      </c>
      <c r="BH139" s="165">
        <f t="shared" si="46"/>
        <v>45104.475694444445</v>
      </c>
      <c r="BI139" s="165">
        <v>45104.25</v>
      </c>
      <c r="BJ139" s="165">
        <v>45104.416666666664</v>
      </c>
      <c r="BK139" s="165">
        <v>45104.309027777781</v>
      </c>
      <c r="BL139" s="165">
        <v>45105.954861111109</v>
      </c>
      <c r="BM139" s="165">
        <v>45106.052083333336</v>
      </c>
      <c r="BN139" s="165">
        <v>45106.84375</v>
      </c>
      <c r="BO139" s="165">
        <v>45106.84375</v>
      </c>
      <c r="BP139" s="165">
        <v>45106.84375</v>
      </c>
      <c r="BQ139" s="165">
        <v>45106.84375</v>
      </c>
      <c r="BT139" s="136">
        <f t="shared" si="47"/>
        <v>41.333333333255723</v>
      </c>
      <c r="BU139" s="136">
        <f t="shared" si="48"/>
        <v>4.8333333333721384</v>
      </c>
      <c r="BV139" s="136">
        <f t="shared" si="49"/>
        <v>41.000000000058208</v>
      </c>
      <c r="BW139" s="136">
        <f t="shared" si="50"/>
        <v>36.916666666686069</v>
      </c>
      <c r="BX139" s="135">
        <f t="shared" si="51"/>
        <v>18.999999999941792</v>
      </c>
      <c r="BY139" s="135">
        <f t="shared" si="52"/>
        <v>0</v>
      </c>
      <c r="BZ139" s="134">
        <f t="shared" si="53"/>
        <v>5.9618055555547471</v>
      </c>
      <c r="CA139" s="134">
        <f t="shared" si="54"/>
        <v>12.96875</v>
      </c>
      <c r="CB139" s="133">
        <f t="shared" si="55"/>
        <v>0.45970548862108895</v>
      </c>
    </row>
    <row r="140" spans="1:80" s="126" customFormat="1">
      <c r="A140" s="192">
        <f t="shared" si="37"/>
        <v>45104.524305555555</v>
      </c>
      <c r="B140" s="126" t="s">
        <v>228</v>
      </c>
      <c r="C140" s="126" t="s">
        <v>229</v>
      </c>
      <c r="D140" s="126" t="s">
        <v>197</v>
      </c>
      <c r="E140" s="65" t="s">
        <v>1749</v>
      </c>
      <c r="G140" s="165">
        <v>45108.166666666664</v>
      </c>
      <c r="H140" s="165">
        <v>45108.166666666664</v>
      </c>
      <c r="I140" s="126" t="s">
        <v>469</v>
      </c>
      <c r="J140" s="126" t="s">
        <v>192</v>
      </c>
      <c r="K140" s="126" t="s">
        <v>192</v>
      </c>
      <c r="L140" s="126" t="s">
        <v>1927</v>
      </c>
      <c r="M140" s="167"/>
      <c r="N140" s="126" t="s">
        <v>213</v>
      </c>
      <c r="O140" s="126" t="s">
        <v>214</v>
      </c>
      <c r="P140" s="126" t="s">
        <v>172</v>
      </c>
      <c r="Q140" s="181">
        <f>3113*2.4</f>
        <v>7471.2</v>
      </c>
      <c r="R140" s="181">
        <f>7500+100</f>
        <v>7600</v>
      </c>
      <c r="S140" s="181">
        <v>7561.6750000000002</v>
      </c>
      <c r="T140" s="181"/>
      <c r="Z140" s="181">
        <f t="shared" si="42"/>
        <v>7561.6750000000002</v>
      </c>
      <c r="AX140" s="165">
        <f t="shared" si="43"/>
        <v>45097.458333333336</v>
      </c>
      <c r="AY140" s="165">
        <f t="shared" si="44"/>
        <v>45110.416666666664</v>
      </c>
      <c r="AZ140" s="137">
        <f t="shared" si="45"/>
        <v>12.958333333328483</v>
      </c>
      <c r="BA140" s="165">
        <v>45097.458333333336</v>
      </c>
      <c r="BB140" s="165">
        <v>45100.864583333336</v>
      </c>
      <c r="BC140" s="165">
        <v>45102.548611111109</v>
      </c>
      <c r="BD140" s="165">
        <v>45104.524305555555</v>
      </c>
      <c r="BE140" s="165">
        <v>45104.694444444445</v>
      </c>
      <c r="BF140" s="165">
        <v>45104.697916666664</v>
      </c>
      <c r="BG140" s="165">
        <v>45104.697916666664</v>
      </c>
      <c r="BH140" s="165">
        <f t="shared" si="46"/>
        <v>45106.40625</v>
      </c>
      <c r="BI140" s="165">
        <v>45107.583333333336</v>
      </c>
      <c r="BJ140" s="165">
        <v>45107.75</v>
      </c>
      <c r="BK140" s="165">
        <v>45107.6875</v>
      </c>
      <c r="BL140" s="165">
        <v>45109.333333333336</v>
      </c>
      <c r="BM140" s="165">
        <v>45109.684027777781</v>
      </c>
      <c r="BN140" s="165">
        <v>45109.934027777781</v>
      </c>
      <c r="BO140" s="165">
        <v>45109.944444444445</v>
      </c>
      <c r="BP140" s="165">
        <v>45109.947916666664</v>
      </c>
      <c r="BQ140" s="165">
        <v>45110.416666666664</v>
      </c>
      <c r="BT140" s="136">
        <f t="shared" si="47"/>
        <v>40.416666666569654</v>
      </c>
      <c r="BU140" s="136">
        <f t="shared" si="48"/>
        <v>4.0833333333721384</v>
      </c>
      <c r="BV140" s="136">
        <f t="shared" si="49"/>
        <v>41.000000000058208</v>
      </c>
      <c r="BW140" s="136">
        <f t="shared" si="50"/>
        <v>38.000000000058208</v>
      </c>
      <c r="BX140" s="135">
        <f t="shared" si="51"/>
        <v>6</v>
      </c>
      <c r="BY140" s="135">
        <f t="shared" si="52"/>
        <v>11.25</v>
      </c>
      <c r="BZ140" s="134">
        <f t="shared" si="53"/>
        <v>5.8645833333357587</v>
      </c>
      <c r="CA140" s="134">
        <f t="shared" si="54"/>
        <v>12.958333333328483</v>
      </c>
      <c r="CB140" s="133">
        <f t="shared" si="55"/>
        <v>0.45257234726723761</v>
      </c>
    </row>
    <row r="141" spans="1:80" s="126" customFormat="1">
      <c r="A141" s="192">
        <f t="shared" ref="A141:A151" si="56">BD141</f>
        <v>45077.805555555555</v>
      </c>
      <c r="B141" s="126" t="s">
        <v>188</v>
      </c>
      <c r="C141" s="126" t="s">
        <v>183</v>
      </c>
      <c r="D141" s="126" t="s">
        <v>189</v>
      </c>
      <c r="E141" s="65" t="s">
        <v>1758</v>
      </c>
      <c r="G141" s="165">
        <v>45102.000694444447</v>
      </c>
      <c r="H141" s="165">
        <v>45102.000694444447</v>
      </c>
      <c r="I141" s="126" t="s">
        <v>791</v>
      </c>
      <c r="J141" s="115" t="s">
        <v>192</v>
      </c>
      <c r="K141" s="115" t="s">
        <v>192</v>
      </c>
      <c r="L141" s="126" t="s">
        <v>1928</v>
      </c>
      <c r="M141" s="167"/>
      <c r="N141" s="126" t="s">
        <v>1626</v>
      </c>
      <c r="O141" s="126" t="s">
        <v>1929</v>
      </c>
      <c r="P141" s="126" t="s">
        <v>183</v>
      </c>
      <c r="Q141" s="181">
        <v>5000</v>
      </c>
      <c r="R141" s="181">
        <v>5000</v>
      </c>
      <c r="S141" s="181">
        <v>5304.0780000000004</v>
      </c>
      <c r="T141" s="181"/>
      <c r="AT141" s="181">
        <f t="shared" ref="AT141:AT147" si="57">S141</f>
        <v>5304.0780000000004</v>
      </c>
      <c r="AX141" s="165">
        <f t="shared" si="43"/>
        <v>45077.75</v>
      </c>
      <c r="AY141" s="165">
        <f t="shared" si="44"/>
        <v>45092.71875</v>
      </c>
      <c r="AZ141" s="137">
        <f t="shared" si="45"/>
        <v>14.96875</v>
      </c>
      <c r="BA141" s="165">
        <v>45077.75</v>
      </c>
      <c r="BB141" s="165">
        <v>45077.75</v>
      </c>
      <c r="BC141" s="165">
        <v>45077.75</v>
      </c>
      <c r="BD141" s="165">
        <v>45077.805555555555</v>
      </c>
      <c r="BE141" s="165">
        <v>45078.138888888891</v>
      </c>
      <c r="BF141" s="165">
        <v>45082.333333333336</v>
      </c>
      <c r="BG141" s="165">
        <v>45082.333333333336</v>
      </c>
      <c r="BH141" s="165">
        <v>45082.333333333336</v>
      </c>
      <c r="BI141" s="166" t="s">
        <v>196</v>
      </c>
      <c r="BJ141" s="166" t="s">
        <v>196</v>
      </c>
      <c r="BK141" s="166" t="s">
        <v>196</v>
      </c>
      <c r="BL141" s="165">
        <v>45089.159722222219</v>
      </c>
      <c r="BM141" s="165">
        <v>45092.170138888891</v>
      </c>
      <c r="BN141" s="165">
        <v>45092.704861111109</v>
      </c>
      <c r="BO141" s="165">
        <v>45092.71875</v>
      </c>
      <c r="BP141" s="165">
        <v>45092.71875</v>
      </c>
      <c r="BQ141" s="165">
        <v>45092.71875</v>
      </c>
      <c r="BT141" s="136">
        <f t="shared" si="47"/>
        <v>0</v>
      </c>
      <c r="BU141" s="136">
        <f t="shared" si="48"/>
        <v>8.0000000000582077</v>
      </c>
      <c r="BV141" s="136">
        <f t="shared" si="49"/>
        <v>0</v>
      </c>
      <c r="BW141" s="136">
        <f t="shared" ref="BW141:BW151" si="58">(BL141-BH141)*24</f>
        <v>163.83333333319752</v>
      </c>
      <c r="BX141" s="135">
        <f t="shared" si="51"/>
        <v>12.833333333255723</v>
      </c>
      <c r="BY141" s="135">
        <f t="shared" si="52"/>
        <v>0</v>
      </c>
      <c r="BZ141" s="134">
        <f t="shared" si="53"/>
        <v>7.6944444444379769</v>
      </c>
      <c r="CA141" s="134">
        <f t="shared" si="54"/>
        <v>14.96875</v>
      </c>
      <c r="CB141" s="133">
        <f t="shared" si="55"/>
        <v>0.51403386685180641</v>
      </c>
    </row>
    <row r="142" spans="1:80" s="126" customFormat="1">
      <c r="A142" s="192">
        <f t="shared" si="56"/>
        <v>45083.388888888891</v>
      </c>
      <c r="B142" s="126" t="s">
        <v>188</v>
      </c>
      <c r="C142" s="126" t="s">
        <v>183</v>
      </c>
      <c r="D142" s="126" t="s">
        <v>189</v>
      </c>
      <c r="E142" s="65" t="s">
        <v>1891</v>
      </c>
      <c r="G142" s="73">
        <v>45084.666666666664</v>
      </c>
      <c r="H142" s="73">
        <v>45084.708333333336</v>
      </c>
      <c r="I142" s="126" t="s">
        <v>807</v>
      </c>
      <c r="J142" s="115" t="s">
        <v>192</v>
      </c>
      <c r="K142" s="115" t="s">
        <v>192</v>
      </c>
      <c r="L142" s="126" t="s">
        <v>1930</v>
      </c>
      <c r="M142" s="167"/>
      <c r="N142" s="126" t="s">
        <v>1623</v>
      </c>
      <c r="O142" s="126" t="s">
        <v>1624</v>
      </c>
      <c r="P142" s="126" t="s">
        <v>183</v>
      </c>
      <c r="Q142" s="181">
        <v>5300</v>
      </c>
      <c r="R142" s="181">
        <v>5300</v>
      </c>
      <c r="S142" s="181">
        <v>4966.0209999999997</v>
      </c>
      <c r="T142" s="181"/>
      <c r="AT142" s="181">
        <f t="shared" si="57"/>
        <v>4966.0209999999997</v>
      </c>
      <c r="AX142" s="165">
        <f t="shared" si="43"/>
        <v>45083.333333333336</v>
      </c>
      <c r="AY142" s="165">
        <f t="shared" si="44"/>
        <v>45093.645833333336</v>
      </c>
      <c r="AZ142" s="137">
        <f t="shared" si="45"/>
        <v>10.3125</v>
      </c>
      <c r="BA142" s="165">
        <v>45083.333333333336</v>
      </c>
      <c r="BB142" s="165">
        <v>45083.333333333336</v>
      </c>
      <c r="BC142" s="165">
        <v>45083.333333333336</v>
      </c>
      <c r="BD142" s="165">
        <v>45083.388888888891</v>
      </c>
      <c r="BE142" s="165">
        <v>45084.472222222219</v>
      </c>
      <c r="BF142" s="165">
        <v>45084.5</v>
      </c>
      <c r="BG142" s="165">
        <v>45084.5</v>
      </c>
      <c r="BH142" s="165">
        <v>45084.5</v>
      </c>
      <c r="BI142" s="166" t="s">
        <v>196</v>
      </c>
      <c r="BJ142" s="166" t="s">
        <v>196</v>
      </c>
      <c r="BK142" s="166" t="s">
        <v>196</v>
      </c>
      <c r="BL142" s="165">
        <v>45091.885416666664</v>
      </c>
      <c r="BM142" s="165">
        <v>45093.291666666664</v>
      </c>
      <c r="BN142" s="165">
        <v>45093.625</v>
      </c>
      <c r="BO142" s="165">
        <v>45093.645833333336</v>
      </c>
      <c r="BP142" s="165">
        <v>45093.645833333336</v>
      </c>
      <c r="BQ142" s="165">
        <v>45093.645833333336</v>
      </c>
      <c r="BT142" s="136">
        <f t="shared" si="47"/>
        <v>0</v>
      </c>
      <c r="BU142" s="136">
        <f t="shared" si="48"/>
        <v>25.999999999883585</v>
      </c>
      <c r="BV142" s="136">
        <f t="shared" si="49"/>
        <v>0</v>
      </c>
      <c r="BW142" s="136">
        <f t="shared" si="58"/>
        <v>177.24999999994179</v>
      </c>
      <c r="BX142" s="135">
        <f t="shared" si="51"/>
        <v>8.0000000000582077</v>
      </c>
      <c r="BY142" s="135">
        <f t="shared" si="52"/>
        <v>0</v>
      </c>
      <c r="BZ142" s="134">
        <f t="shared" si="53"/>
        <v>8.8020833333284827</v>
      </c>
      <c r="CA142" s="134">
        <f t="shared" si="54"/>
        <v>10.3125</v>
      </c>
      <c r="CB142" s="133">
        <f t="shared" si="55"/>
        <v>0.85353535353488319</v>
      </c>
    </row>
    <row r="143" spans="1:80" s="126" customFormat="1">
      <c r="A143" s="192">
        <f t="shared" si="56"/>
        <v>45092.59375</v>
      </c>
      <c r="B143" s="126" t="s">
        <v>188</v>
      </c>
      <c r="C143" s="126" t="s">
        <v>183</v>
      </c>
      <c r="D143" s="126" t="s">
        <v>189</v>
      </c>
      <c r="E143" s="65" t="s">
        <v>1931</v>
      </c>
      <c r="G143" s="165">
        <v>45104.845833333333</v>
      </c>
      <c r="H143" s="165">
        <v>45104.845833333333</v>
      </c>
      <c r="I143" s="126" t="s">
        <v>791</v>
      </c>
      <c r="J143" s="115" t="s">
        <v>192</v>
      </c>
      <c r="K143" s="115" t="s">
        <v>192</v>
      </c>
      <c r="L143" s="126" t="s">
        <v>1932</v>
      </c>
      <c r="M143" s="167"/>
      <c r="N143" s="126" t="s">
        <v>1620</v>
      </c>
      <c r="O143" s="126" t="s">
        <v>1621</v>
      </c>
      <c r="P143" s="126" t="s">
        <v>183</v>
      </c>
      <c r="Q143" s="181">
        <v>5000</v>
      </c>
      <c r="R143" s="181">
        <v>5000</v>
      </c>
      <c r="S143" s="181">
        <v>5036.3019999999997</v>
      </c>
      <c r="T143" s="181"/>
      <c r="AT143" s="181">
        <f t="shared" si="57"/>
        <v>5036.3019999999997</v>
      </c>
      <c r="AX143" s="165">
        <f t="shared" si="43"/>
        <v>45092.0625</v>
      </c>
      <c r="AY143" s="165">
        <f t="shared" si="44"/>
        <v>45101.96875</v>
      </c>
      <c r="AZ143" s="137">
        <f t="shared" si="45"/>
        <v>9.90625</v>
      </c>
      <c r="BA143" s="165">
        <v>45092.0625</v>
      </c>
      <c r="BB143" s="165">
        <v>45092.0625</v>
      </c>
      <c r="BC143" s="165">
        <v>45092.0625</v>
      </c>
      <c r="BD143" s="165">
        <v>45092.59375</v>
      </c>
      <c r="BE143" s="165">
        <v>45093.284722222219</v>
      </c>
      <c r="BF143" s="165">
        <v>45093.333333333336</v>
      </c>
      <c r="BG143" s="165">
        <v>45093.333333333336</v>
      </c>
      <c r="BH143" s="165">
        <v>45093.333333333336</v>
      </c>
      <c r="BI143" s="166" t="s">
        <v>196</v>
      </c>
      <c r="BJ143" s="166" t="s">
        <v>196</v>
      </c>
      <c r="BK143" s="166" t="s">
        <v>196</v>
      </c>
      <c r="BL143" s="165">
        <v>45097.229166666664</v>
      </c>
      <c r="BM143" s="165">
        <v>45101.6875</v>
      </c>
      <c r="BN143" s="165">
        <v>45101.954861111109</v>
      </c>
      <c r="BO143" s="165">
        <v>45101.96875</v>
      </c>
      <c r="BP143" s="165">
        <v>45101.96875</v>
      </c>
      <c r="BQ143" s="165">
        <v>45101.96875</v>
      </c>
      <c r="BT143" s="136">
        <f t="shared" si="47"/>
        <v>0</v>
      </c>
      <c r="BU143" s="136">
        <f t="shared" si="48"/>
        <v>16.583333333255723</v>
      </c>
      <c r="BV143" s="136">
        <f t="shared" si="49"/>
        <v>0</v>
      </c>
      <c r="BW143" s="136">
        <f t="shared" si="58"/>
        <v>93.499999999883585</v>
      </c>
      <c r="BX143" s="135">
        <f t="shared" si="51"/>
        <v>6.4166666666278616</v>
      </c>
      <c r="BY143" s="135">
        <f t="shared" si="52"/>
        <v>0</v>
      </c>
      <c r="BZ143" s="134">
        <f t="shared" si="53"/>
        <v>4.8541666666569654</v>
      </c>
      <c r="CA143" s="134">
        <f t="shared" si="54"/>
        <v>9.90625</v>
      </c>
      <c r="CB143" s="133">
        <f t="shared" si="55"/>
        <v>0.49001051524612899</v>
      </c>
    </row>
    <row r="144" spans="1:80" s="126" customFormat="1">
      <c r="A144" s="192">
        <f t="shared" si="56"/>
        <v>45093.590277777781</v>
      </c>
      <c r="B144" s="126" t="s">
        <v>188</v>
      </c>
      <c r="C144" s="126" t="s">
        <v>183</v>
      </c>
      <c r="D144" s="126" t="s">
        <v>189</v>
      </c>
      <c r="E144" s="65" t="s">
        <v>1931</v>
      </c>
      <c r="G144" s="165">
        <v>45104.845833333333</v>
      </c>
      <c r="H144" s="165">
        <v>45104.845833333333</v>
      </c>
      <c r="I144" s="126" t="s">
        <v>791</v>
      </c>
      <c r="J144" s="126" t="s">
        <v>192</v>
      </c>
      <c r="K144" s="126" t="s">
        <v>192</v>
      </c>
      <c r="L144" s="126" t="s">
        <v>1933</v>
      </c>
      <c r="M144" s="167"/>
      <c r="N144" s="126" t="s">
        <v>793</v>
      </c>
      <c r="O144" s="126" t="s">
        <v>817</v>
      </c>
      <c r="P144" s="126" t="s">
        <v>183</v>
      </c>
      <c r="Q144" s="181">
        <v>5000</v>
      </c>
      <c r="R144" s="181">
        <v>5000</v>
      </c>
      <c r="S144" s="181">
        <v>5333.7190000000001</v>
      </c>
      <c r="T144" s="181"/>
      <c r="AT144" s="181">
        <f t="shared" si="57"/>
        <v>5333.7190000000001</v>
      </c>
      <c r="AX144" s="165">
        <f t="shared" si="43"/>
        <v>45093.5625</v>
      </c>
      <c r="AY144" s="165">
        <f t="shared" si="44"/>
        <v>45105.121527777781</v>
      </c>
      <c r="AZ144" s="137">
        <f t="shared" si="45"/>
        <v>11.559027777781012</v>
      </c>
      <c r="BA144" s="165">
        <v>45093.5625</v>
      </c>
      <c r="BB144" s="165">
        <v>45093.5625</v>
      </c>
      <c r="BC144" s="165">
        <v>45093.5625</v>
      </c>
      <c r="BD144" s="165">
        <v>45093.590277777781</v>
      </c>
      <c r="BE144" s="165">
        <v>45093.986111111109</v>
      </c>
      <c r="BF144" s="165">
        <v>45093.996527777781</v>
      </c>
      <c r="BG144" s="165">
        <v>45093.996527777781</v>
      </c>
      <c r="BH144" s="165">
        <v>45093.996527777781</v>
      </c>
      <c r="BI144" s="166" t="s">
        <v>196</v>
      </c>
      <c r="BJ144" s="166" t="s">
        <v>196</v>
      </c>
      <c r="BK144" s="166" t="s">
        <v>196</v>
      </c>
      <c r="BL144" s="165">
        <v>45099.208333333336</v>
      </c>
      <c r="BM144" s="165">
        <v>45104.517361111109</v>
      </c>
      <c r="BN144" s="165">
        <v>45105.09375</v>
      </c>
      <c r="BO144" s="165">
        <v>45105.121527777781</v>
      </c>
      <c r="BP144" s="165">
        <v>45105.121527777781</v>
      </c>
      <c r="BQ144" s="165">
        <v>45105.121527777781</v>
      </c>
      <c r="BT144" s="136">
        <f t="shared" si="47"/>
        <v>0</v>
      </c>
      <c r="BU144" s="136">
        <f t="shared" si="48"/>
        <v>9.4999999998835847</v>
      </c>
      <c r="BV144" s="136">
        <f t="shared" si="49"/>
        <v>0</v>
      </c>
      <c r="BW144" s="136">
        <f t="shared" si="58"/>
        <v>125.08333333331393</v>
      </c>
      <c r="BX144" s="135">
        <f t="shared" si="51"/>
        <v>13.833333333372138</v>
      </c>
      <c r="BY144" s="135">
        <f t="shared" si="52"/>
        <v>0</v>
      </c>
      <c r="BZ144" s="134">
        <f t="shared" si="53"/>
        <v>6.1840277777737356</v>
      </c>
      <c r="CA144" s="134">
        <f t="shared" si="54"/>
        <v>11.559027777781012</v>
      </c>
      <c r="CB144" s="133">
        <f t="shared" si="55"/>
        <v>0.53499549414188574</v>
      </c>
    </row>
    <row r="145" spans="1:80" s="126" customFormat="1">
      <c r="A145" s="192">
        <f t="shared" si="56"/>
        <v>45094.090277777781</v>
      </c>
      <c r="B145" s="126" t="s">
        <v>188</v>
      </c>
      <c r="C145" s="126" t="s">
        <v>183</v>
      </c>
      <c r="D145" s="126" t="s">
        <v>189</v>
      </c>
      <c r="E145" s="65" t="s">
        <v>1931</v>
      </c>
      <c r="G145" s="165">
        <v>45104.845833333333</v>
      </c>
      <c r="H145" s="165">
        <v>45104.845833333333</v>
      </c>
      <c r="I145" s="126" t="s">
        <v>791</v>
      </c>
      <c r="J145" s="126" t="s">
        <v>192</v>
      </c>
      <c r="K145" s="126" t="s">
        <v>192</v>
      </c>
      <c r="L145" s="126" t="s">
        <v>1934</v>
      </c>
      <c r="M145" s="167"/>
      <c r="N145" s="126" t="s">
        <v>1636</v>
      </c>
      <c r="O145" s="126" t="s">
        <v>806</v>
      </c>
      <c r="P145" s="126" t="s">
        <v>183</v>
      </c>
      <c r="Q145" s="181">
        <v>5000</v>
      </c>
      <c r="R145" s="181">
        <v>5000</v>
      </c>
      <c r="S145" s="181">
        <v>5151.9849999999997</v>
      </c>
      <c r="T145" s="181"/>
      <c r="AT145" s="181">
        <f t="shared" si="57"/>
        <v>5151.9849999999997</v>
      </c>
      <c r="AX145" s="165">
        <f t="shared" si="43"/>
        <v>45094.069444444445</v>
      </c>
      <c r="AY145" s="165">
        <f t="shared" si="44"/>
        <v>45104.451388888891</v>
      </c>
      <c r="AZ145" s="137">
        <f t="shared" si="45"/>
        <v>10.381944444445253</v>
      </c>
      <c r="BA145" s="165">
        <v>45094.069444444445</v>
      </c>
      <c r="BB145" s="165">
        <v>45094.069444444445</v>
      </c>
      <c r="BC145" s="165">
        <v>45094.069444444445</v>
      </c>
      <c r="BD145" s="165">
        <v>45094.090277777781</v>
      </c>
      <c r="BE145" s="165">
        <v>45094.409722222219</v>
      </c>
      <c r="BF145" s="165">
        <v>45094.434027777781</v>
      </c>
      <c r="BG145" s="165">
        <v>45094.434027777781</v>
      </c>
      <c r="BH145" s="165">
        <v>45094.434027777781</v>
      </c>
      <c r="BI145" s="166" t="s">
        <v>196</v>
      </c>
      <c r="BJ145" s="166" t="s">
        <v>196</v>
      </c>
      <c r="BK145" s="166" t="s">
        <v>196</v>
      </c>
      <c r="BL145" s="165">
        <v>45098.895833333336</v>
      </c>
      <c r="BM145" s="165">
        <v>45104.170138888891</v>
      </c>
      <c r="BN145" s="165">
        <v>45104.4375</v>
      </c>
      <c r="BO145" s="165">
        <v>45104.451388888891</v>
      </c>
      <c r="BP145" s="165">
        <v>45104.451388888891</v>
      </c>
      <c r="BQ145" s="165">
        <v>45104.451388888891</v>
      </c>
      <c r="BT145" s="136">
        <f t="shared" si="47"/>
        <v>0</v>
      </c>
      <c r="BU145" s="136">
        <f t="shared" si="48"/>
        <v>7.6666666665114462</v>
      </c>
      <c r="BV145" s="136">
        <f t="shared" si="49"/>
        <v>0</v>
      </c>
      <c r="BW145" s="136">
        <f t="shared" si="58"/>
        <v>107.08333333331393</v>
      </c>
      <c r="BX145" s="135">
        <f t="shared" si="51"/>
        <v>6.4166666666278616</v>
      </c>
      <c r="BY145" s="135">
        <f t="shared" si="52"/>
        <v>0</v>
      </c>
      <c r="BZ145" s="134">
        <f t="shared" si="53"/>
        <v>5.0486111111022183</v>
      </c>
      <c r="CA145" s="134">
        <f t="shared" si="54"/>
        <v>10.381944444445253</v>
      </c>
      <c r="CB145" s="133">
        <f t="shared" si="55"/>
        <v>0.48628762541716575</v>
      </c>
    </row>
    <row r="146" spans="1:80" s="126" customFormat="1">
      <c r="A146" s="192">
        <f t="shared" si="56"/>
        <v>45099.090277777781</v>
      </c>
      <c r="B146" s="126" t="s">
        <v>188</v>
      </c>
      <c r="C146" s="126" t="s">
        <v>183</v>
      </c>
      <c r="D146" s="126" t="s">
        <v>189</v>
      </c>
      <c r="E146" s="65" t="s">
        <v>1931</v>
      </c>
      <c r="G146" s="165">
        <v>45104.845833333333</v>
      </c>
      <c r="H146" s="165">
        <v>45104.845833333333</v>
      </c>
      <c r="I146" s="126" t="s">
        <v>791</v>
      </c>
      <c r="J146" s="126" t="s">
        <v>192</v>
      </c>
      <c r="K146" s="126" t="s">
        <v>192</v>
      </c>
      <c r="L146" s="126" t="s">
        <v>1935</v>
      </c>
      <c r="M146" s="167"/>
      <c r="N146" s="126" t="s">
        <v>1364</v>
      </c>
      <c r="O146" s="126" t="s">
        <v>1365</v>
      </c>
      <c r="P146" s="126" t="s">
        <v>183</v>
      </c>
      <c r="Q146" s="181">
        <v>5000</v>
      </c>
      <c r="R146" s="181">
        <v>5000</v>
      </c>
      <c r="S146" s="181">
        <v>5301.7920000000004</v>
      </c>
      <c r="T146" s="181"/>
      <c r="AT146" s="181">
        <f t="shared" si="57"/>
        <v>5301.7920000000004</v>
      </c>
      <c r="AX146" s="165">
        <f t="shared" si="43"/>
        <v>45099.0625</v>
      </c>
      <c r="AY146" s="165">
        <f t="shared" si="44"/>
        <v>45107.309027777781</v>
      </c>
      <c r="AZ146" s="137">
        <f t="shared" si="45"/>
        <v>8.2465277777810115</v>
      </c>
      <c r="BA146" s="165">
        <v>45099.0625</v>
      </c>
      <c r="BB146" s="165">
        <v>45099.0625</v>
      </c>
      <c r="BC146" s="165">
        <v>45099.0625</v>
      </c>
      <c r="BD146" s="165">
        <v>45099.090277777781</v>
      </c>
      <c r="BE146" s="165">
        <v>45099.635416666664</v>
      </c>
      <c r="BF146" s="165">
        <v>45099.6875</v>
      </c>
      <c r="BG146" s="165">
        <v>45099.6875</v>
      </c>
      <c r="BH146" s="165">
        <v>45099.6875</v>
      </c>
      <c r="BI146" s="166" t="s">
        <v>196</v>
      </c>
      <c r="BJ146" s="166" t="s">
        <v>196</v>
      </c>
      <c r="BK146" s="166" t="s">
        <v>196</v>
      </c>
      <c r="BL146" s="165">
        <v>45102.930555555555</v>
      </c>
      <c r="BM146" s="165">
        <v>45106.913194444445</v>
      </c>
      <c r="BN146" s="165">
        <v>45107.284722222219</v>
      </c>
      <c r="BO146" s="165">
        <v>45107.309027777781</v>
      </c>
      <c r="BP146" s="165">
        <v>45107.309027777781</v>
      </c>
      <c r="BQ146" s="165">
        <v>45107.309027777781</v>
      </c>
      <c r="BT146" s="136">
        <f t="shared" si="47"/>
        <v>0</v>
      </c>
      <c r="BU146" s="136">
        <f t="shared" si="48"/>
        <v>13.083333333197515</v>
      </c>
      <c r="BV146" s="136">
        <f t="shared" si="49"/>
        <v>0</v>
      </c>
      <c r="BW146" s="136">
        <f t="shared" si="58"/>
        <v>77.833333333313931</v>
      </c>
      <c r="BX146" s="135">
        <f t="shared" si="51"/>
        <v>8.9166666665696539</v>
      </c>
      <c r="BY146" s="135">
        <f t="shared" si="52"/>
        <v>0</v>
      </c>
      <c r="BZ146" s="134">
        <f t="shared" si="53"/>
        <v>4.1597222222117125</v>
      </c>
      <c r="CA146" s="134">
        <f t="shared" si="54"/>
        <v>8.2465277777810115</v>
      </c>
      <c r="CB146" s="133">
        <f t="shared" si="55"/>
        <v>0.50442105263010673</v>
      </c>
    </row>
    <row r="147" spans="1:80" s="126" customFormat="1">
      <c r="A147" s="192">
        <f t="shared" si="56"/>
        <v>45104.090277777781</v>
      </c>
      <c r="B147" s="126" t="s">
        <v>188</v>
      </c>
      <c r="C147" s="126" t="s">
        <v>183</v>
      </c>
      <c r="D147" s="126" t="s">
        <v>189</v>
      </c>
      <c r="E147" s="65" t="s">
        <v>1936</v>
      </c>
      <c r="G147" s="165">
        <v>45125.583333333336</v>
      </c>
      <c r="H147" s="165">
        <v>45125.591666666667</v>
      </c>
      <c r="I147" s="126" t="s">
        <v>791</v>
      </c>
      <c r="J147" s="126" t="s">
        <v>192</v>
      </c>
      <c r="K147" s="126" t="s">
        <v>192</v>
      </c>
      <c r="L147" s="126" t="s">
        <v>1937</v>
      </c>
      <c r="M147" s="167"/>
      <c r="N147" s="126" t="s">
        <v>809</v>
      </c>
      <c r="O147" s="126" t="s">
        <v>1618</v>
      </c>
      <c r="P147" s="126" t="s">
        <v>183</v>
      </c>
      <c r="Q147" s="181">
        <v>5000</v>
      </c>
      <c r="R147" s="181">
        <v>5000</v>
      </c>
      <c r="S147" s="181">
        <v>5309.2389999999996</v>
      </c>
      <c r="T147" s="181"/>
      <c r="AT147" s="181">
        <f t="shared" si="57"/>
        <v>5309.2389999999996</v>
      </c>
      <c r="AX147" s="165">
        <f t="shared" si="43"/>
        <v>45104.0625</v>
      </c>
      <c r="AY147" s="165">
        <f t="shared" si="44"/>
        <v>45111.375</v>
      </c>
      <c r="AZ147" s="137">
        <f t="shared" si="45"/>
        <v>7.3125</v>
      </c>
      <c r="BA147" s="165">
        <v>45104.0625</v>
      </c>
      <c r="BB147" s="165">
        <v>45104.0625</v>
      </c>
      <c r="BC147" s="165">
        <v>45104.0625</v>
      </c>
      <c r="BD147" s="165">
        <v>45104.090277777781</v>
      </c>
      <c r="BE147" s="165">
        <v>45104.645833333336</v>
      </c>
      <c r="BF147" s="165">
        <v>45104.743055555555</v>
      </c>
      <c r="BG147" s="165">
        <v>45104.743055555555</v>
      </c>
      <c r="BH147" s="165">
        <v>45104.743055555555</v>
      </c>
      <c r="BI147" s="166" t="s">
        <v>196</v>
      </c>
      <c r="BJ147" s="166" t="s">
        <v>196</v>
      </c>
      <c r="BK147" s="166" t="s">
        <v>196</v>
      </c>
      <c r="BL147" s="165">
        <v>45109.416666666664</v>
      </c>
      <c r="BM147" s="165">
        <v>45111.104166666664</v>
      </c>
      <c r="BN147" s="165">
        <v>45111.361111111109</v>
      </c>
      <c r="BO147" s="165">
        <v>45111.375</v>
      </c>
      <c r="BP147" s="165">
        <v>45111.375</v>
      </c>
      <c r="BQ147" s="165">
        <v>45111.375</v>
      </c>
      <c r="BT147" s="136">
        <f t="shared" si="47"/>
        <v>0</v>
      </c>
      <c r="BU147" s="136">
        <f t="shared" si="48"/>
        <v>13.333333333313931</v>
      </c>
      <c r="BV147" s="136">
        <f t="shared" si="49"/>
        <v>0</v>
      </c>
      <c r="BW147" s="136">
        <f t="shared" si="58"/>
        <v>112.16666666662786</v>
      </c>
      <c r="BX147" s="135">
        <f t="shared" si="51"/>
        <v>6.1666666666860692</v>
      </c>
      <c r="BY147" s="135">
        <f t="shared" si="52"/>
        <v>0</v>
      </c>
      <c r="BZ147" s="134">
        <f t="shared" si="53"/>
        <v>5.4861111111094942</v>
      </c>
      <c r="CA147" s="134">
        <f t="shared" si="54"/>
        <v>7.3125</v>
      </c>
      <c r="CB147" s="133">
        <f t="shared" si="55"/>
        <v>0.75023741690386248</v>
      </c>
    </row>
    <row r="148" spans="1:80" s="126" customFormat="1">
      <c r="A148" s="192">
        <f t="shared" si="56"/>
        <v>45085.635416666664</v>
      </c>
      <c r="B148" s="126" t="s">
        <v>188</v>
      </c>
      <c r="C148" s="126" t="s">
        <v>184</v>
      </c>
      <c r="D148" s="126" t="s">
        <v>189</v>
      </c>
      <c r="E148" s="65" t="s">
        <v>1891</v>
      </c>
      <c r="G148" s="73">
        <v>45084.666666666664</v>
      </c>
      <c r="H148" s="73">
        <v>45084.708333333336</v>
      </c>
      <c r="I148" s="126" t="s">
        <v>1642</v>
      </c>
      <c r="J148" s="115" t="s">
        <v>192</v>
      </c>
      <c r="K148" s="115" t="s">
        <v>192</v>
      </c>
      <c r="L148" s="126" t="s">
        <v>1938</v>
      </c>
      <c r="M148" s="167"/>
      <c r="N148" s="126" t="s">
        <v>1367</v>
      </c>
      <c r="O148" s="126" t="s">
        <v>1939</v>
      </c>
      <c r="P148" s="126" t="s">
        <v>184</v>
      </c>
      <c r="Q148" s="181">
        <v>7500</v>
      </c>
      <c r="R148" s="181">
        <v>7500</v>
      </c>
      <c r="S148" s="181">
        <v>7558.1040000000003</v>
      </c>
      <c r="T148" s="181"/>
      <c r="AU148" s="181">
        <f>S148</f>
        <v>7558.1040000000003</v>
      </c>
      <c r="AX148" s="165">
        <f t="shared" si="43"/>
        <v>45085.625</v>
      </c>
      <c r="AY148" s="165">
        <f t="shared" si="44"/>
        <v>45094.236111111109</v>
      </c>
      <c r="AZ148" s="137">
        <f t="shared" si="45"/>
        <v>8.6111111111094942</v>
      </c>
      <c r="BA148" s="165">
        <v>45085.625</v>
      </c>
      <c r="BB148" s="165">
        <v>45085.625</v>
      </c>
      <c r="BC148" s="165">
        <v>45085.625</v>
      </c>
      <c r="BD148" s="165">
        <v>45085.635416666664</v>
      </c>
      <c r="BE148" s="165">
        <v>45087.791666666664</v>
      </c>
      <c r="BF148" s="165">
        <v>45087.791666666664</v>
      </c>
      <c r="BG148" s="165">
        <v>45087.791666666664</v>
      </c>
      <c r="BH148" s="165">
        <f>BG148+(51/24)</f>
        <v>45089.916666666664</v>
      </c>
      <c r="BI148" s="166" t="s">
        <v>196</v>
      </c>
      <c r="BJ148" s="166" t="s">
        <v>196</v>
      </c>
      <c r="BK148" s="166" t="s">
        <v>196</v>
      </c>
      <c r="BL148" s="165">
        <v>45092.694444444445</v>
      </c>
      <c r="BM148" s="165">
        <v>45093.729166666664</v>
      </c>
      <c r="BN148" s="165">
        <v>45094.215277777781</v>
      </c>
      <c r="BO148" s="165">
        <v>45094.236111111109</v>
      </c>
      <c r="BP148" s="165">
        <v>45094.236111111109</v>
      </c>
      <c r="BQ148" s="165">
        <v>45094.236111111109</v>
      </c>
      <c r="BT148" s="136">
        <f t="shared" si="47"/>
        <v>0</v>
      </c>
      <c r="BU148" s="136">
        <f t="shared" si="48"/>
        <v>51.75</v>
      </c>
      <c r="BV148" s="136">
        <f t="shared" si="49"/>
        <v>51</v>
      </c>
      <c r="BW148" s="136">
        <f t="shared" si="58"/>
        <v>66.666666666744277</v>
      </c>
      <c r="BX148" s="135">
        <f t="shared" si="51"/>
        <v>11.666666666802485</v>
      </c>
      <c r="BY148" s="135">
        <f t="shared" si="52"/>
        <v>0</v>
      </c>
      <c r="BZ148" s="134">
        <f t="shared" si="53"/>
        <v>7.5451388888977817</v>
      </c>
      <c r="CA148" s="134">
        <f t="shared" si="54"/>
        <v>8.6111111111094942</v>
      </c>
      <c r="CB148" s="133">
        <f t="shared" si="55"/>
        <v>0.87620967742055211</v>
      </c>
    </row>
    <row r="149" spans="1:80" s="126" customFormat="1">
      <c r="A149" s="192">
        <f t="shared" si="56"/>
        <v>45088.548611111109</v>
      </c>
      <c r="B149" s="126" t="s">
        <v>188</v>
      </c>
      <c r="C149" s="126" t="s">
        <v>184</v>
      </c>
      <c r="D149" s="126" t="s">
        <v>189</v>
      </c>
      <c r="E149" s="65" t="s">
        <v>1918</v>
      </c>
      <c r="G149" s="165">
        <v>45100.6875</v>
      </c>
      <c r="H149" s="165">
        <v>45100.6875</v>
      </c>
      <c r="I149" s="126" t="s">
        <v>818</v>
      </c>
      <c r="J149" s="126" t="s">
        <v>192</v>
      </c>
      <c r="K149" s="126" t="s">
        <v>192</v>
      </c>
      <c r="L149" s="126" t="s">
        <v>1940</v>
      </c>
      <c r="M149" s="167"/>
      <c r="N149" s="126" t="s">
        <v>1941</v>
      </c>
      <c r="O149" s="126" t="s">
        <v>1942</v>
      </c>
      <c r="P149" s="126" t="s">
        <v>184</v>
      </c>
      <c r="Q149" s="181">
        <v>7500</v>
      </c>
      <c r="R149" s="181">
        <v>7500</v>
      </c>
      <c r="S149" s="181">
        <v>7213.0219999999999</v>
      </c>
      <c r="T149" s="181"/>
      <c r="AU149" s="181">
        <f>S149</f>
        <v>7213.0219999999999</v>
      </c>
      <c r="AX149" s="165">
        <f t="shared" si="43"/>
        <v>45088.479166666664</v>
      </c>
      <c r="AY149" s="165">
        <f t="shared" si="44"/>
        <v>45098.909722222219</v>
      </c>
      <c r="AZ149" s="137">
        <f t="shared" si="45"/>
        <v>10.430555555554747</v>
      </c>
      <c r="BA149" s="165">
        <v>45088.479166666664</v>
      </c>
      <c r="BB149" s="165">
        <v>45088.479166666664</v>
      </c>
      <c r="BC149" s="165">
        <v>45088.479166666664</v>
      </c>
      <c r="BD149" s="165">
        <v>45088.548611111109</v>
      </c>
      <c r="BE149" s="165">
        <v>45089.708333333336</v>
      </c>
      <c r="BF149" s="165">
        <v>45089.708333333336</v>
      </c>
      <c r="BG149" s="165">
        <v>45089.708333333336</v>
      </c>
      <c r="BH149" s="165">
        <v>45089.708333333336</v>
      </c>
      <c r="BI149" s="166" t="s">
        <v>196</v>
      </c>
      <c r="BJ149" s="166" t="s">
        <v>196</v>
      </c>
      <c r="BK149" s="166" t="s">
        <v>196</v>
      </c>
      <c r="BL149" s="165">
        <v>45094.895833333336</v>
      </c>
      <c r="BM149" s="165">
        <v>45097.916666666664</v>
      </c>
      <c r="BN149" s="165">
        <v>45098.892361111109</v>
      </c>
      <c r="BO149" s="165">
        <v>45098.909722222219</v>
      </c>
      <c r="BP149" s="165">
        <v>45098.909722222219</v>
      </c>
      <c r="BQ149" s="165">
        <v>45098.909722222219</v>
      </c>
      <c r="BT149" s="136">
        <f t="shared" si="47"/>
        <v>0</v>
      </c>
      <c r="BU149" s="136">
        <f t="shared" si="48"/>
        <v>27.833333333430346</v>
      </c>
      <c r="BV149" s="136">
        <f t="shared" si="49"/>
        <v>0</v>
      </c>
      <c r="BW149" s="136">
        <f t="shared" si="58"/>
        <v>124.5</v>
      </c>
      <c r="BX149" s="135">
        <f t="shared" si="51"/>
        <v>23.416666666686069</v>
      </c>
      <c r="BY149" s="135">
        <f t="shared" si="52"/>
        <v>0</v>
      </c>
      <c r="BZ149" s="134">
        <f t="shared" si="53"/>
        <v>7.3229166666715173</v>
      </c>
      <c r="CA149" s="134">
        <f t="shared" si="54"/>
        <v>10.430555555554747</v>
      </c>
      <c r="CB149" s="133">
        <f t="shared" si="55"/>
        <v>0.70206391478081243</v>
      </c>
    </row>
    <row r="150" spans="1:80" s="126" customFormat="1">
      <c r="A150" s="192">
        <f t="shared" si="56"/>
        <v>45090.074999999997</v>
      </c>
      <c r="B150" s="126" t="s">
        <v>188</v>
      </c>
      <c r="C150" s="126" t="s">
        <v>184</v>
      </c>
      <c r="D150" s="126" t="s">
        <v>189</v>
      </c>
      <c r="E150" s="65" t="s">
        <v>1931</v>
      </c>
      <c r="G150" s="165">
        <v>45104.845833333333</v>
      </c>
      <c r="H150" s="165">
        <v>45104.845833333333</v>
      </c>
      <c r="I150" s="126" t="s">
        <v>818</v>
      </c>
      <c r="J150" s="115" t="s">
        <v>192</v>
      </c>
      <c r="K150" s="115" t="s">
        <v>192</v>
      </c>
      <c r="L150" s="126" t="s">
        <v>1943</v>
      </c>
      <c r="M150" s="167"/>
      <c r="N150" s="126" t="s">
        <v>1944</v>
      </c>
      <c r="O150" s="126" t="s">
        <v>821</v>
      </c>
      <c r="P150" s="126" t="s">
        <v>184</v>
      </c>
      <c r="Q150" s="181">
        <v>7500</v>
      </c>
      <c r="R150" s="181">
        <v>7500</v>
      </c>
      <c r="S150" s="181">
        <v>7501.875</v>
      </c>
      <c r="T150" s="181"/>
      <c r="AU150" s="181">
        <f>S150</f>
        <v>7501.875</v>
      </c>
      <c r="AX150" s="165">
        <f t="shared" si="43"/>
        <v>45089.958333333336</v>
      </c>
      <c r="AY150" s="165">
        <f t="shared" si="44"/>
        <v>45100.013888888891</v>
      </c>
      <c r="AZ150" s="137">
        <f t="shared" si="45"/>
        <v>10.055555555554747</v>
      </c>
      <c r="BA150" s="165">
        <v>45089.958333333336</v>
      </c>
      <c r="BB150" s="165">
        <v>45089.958333333336</v>
      </c>
      <c r="BC150" s="165">
        <v>45089.958333333336</v>
      </c>
      <c r="BD150" s="165">
        <v>45090.074999999997</v>
      </c>
      <c r="BE150" s="165">
        <v>45091.1875</v>
      </c>
      <c r="BF150" s="165">
        <v>45091.194444444445</v>
      </c>
      <c r="BG150" s="165">
        <v>45091.194444444445</v>
      </c>
      <c r="BH150" s="165">
        <v>45091.194444444445</v>
      </c>
      <c r="BI150" s="166" t="s">
        <v>196</v>
      </c>
      <c r="BJ150" s="166" t="s">
        <v>196</v>
      </c>
      <c r="BK150" s="166" t="s">
        <v>196</v>
      </c>
      <c r="BL150" s="165">
        <v>45095.5625</v>
      </c>
      <c r="BM150" s="165">
        <v>45099.375</v>
      </c>
      <c r="BN150" s="165">
        <v>45100</v>
      </c>
      <c r="BO150" s="165">
        <v>45100.010416666664</v>
      </c>
      <c r="BP150" s="165">
        <v>45100.013888888891</v>
      </c>
      <c r="BQ150" s="165">
        <v>45100.013888888891</v>
      </c>
      <c r="BT150" s="136">
        <f t="shared" si="47"/>
        <v>0</v>
      </c>
      <c r="BU150" s="136">
        <f t="shared" si="48"/>
        <v>26.700000000069849</v>
      </c>
      <c r="BV150" s="136">
        <f t="shared" si="49"/>
        <v>0</v>
      </c>
      <c r="BW150" s="136">
        <f t="shared" si="58"/>
        <v>104.83333333331393</v>
      </c>
      <c r="BX150" s="135">
        <f t="shared" si="51"/>
        <v>15</v>
      </c>
      <c r="BY150" s="135">
        <f t="shared" si="52"/>
        <v>0</v>
      </c>
      <c r="BZ150" s="134">
        <f t="shared" si="53"/>
        <v>6.1055555555576575</v>
      </c>
      <c r="CA150" s="134">
        <f t="shared" si="54"/>
        <v>10.055555555554747</v>
      </c>
      <c r="CB150" s="133">
        <f t="shared" si="55"/>
        <v>0.60718232044224685</v>
      </c>
    </row>
    <row r="151" spans="1:80" s="126" customFormat="1">
      <c r="A151" s="192">
        <f t="shared" si="56"/>
        <v>45094.375</v>
      </c>
      <c r="B151" s="126" t="s">
        <v>188</v>
      </c>
      <c r="C151" s="126" t="s">
        <v>184</v>
      </c>
      <c r="D151" s="126" t="s">
        <v>189</v>
      </c>
      <c r="E151" s="65" t="s">
        <v>1931</v>
      </c>
      <c r="G151" s="165">
        <v>45104.845833333333</v>
      </c>
      <c r="H151" s="165">
        <v>45104.845833333333</v>
      </c>
      <c r="I151" s="126" t="s">
        <v>818</v>
      </c>
      <c r="J151" s="126" t="s">
        <v>192</v>
      </c>
      <c r="K151" s="126" t="s">
        <v>192</v>
      </c>
      <c r="L151" s="126" t="s">
        <v>1945</v>
      </c>
      <c r="M151" s="167"/>
      <c r="N151" s="126" t="s">
        <v>820</v>
      </c>
      <c r="O151" s="126" t="s">
        <v>1368</v>
      </c>
      <c r="P151" s="126" t="s">
        <v>184</v>
      </c>
      <c r="Q151" s="181">
        <v>7500</v>
      </c>
      <c r="R151" s="181">
        <v>7500</v>
      </c>
      <c r="S151" s="181">
        <v>7501.7529999999997</v>
      </c>
      <c r="T151" s="181"/>
      <c r="AU151" s="181">
        <f>S151</f>
        <v>7501.7529999999997</v>
      </c>
      <c r="AX151" s="165">
        <f t="shared" si="43"/>
        <v>45094.361111111109</v>
      </c>
      <c r="AY151" s="165">
        <f t="shared" si="44"/>
        <v>45105.604166666664</v>
      </c>
      <c r="AZ151" s="137">
        <f t="shared" si="45"/>
        <v>11.243055555554747</v>
      </c>
      <c r="BA151" s="165">
        <v>45094.361111111109</v>
      </c>
      <c r="BB151" s="165">
        <v>45094.361111111109</v>
      </c>
      <c r="BC151" s="165">
        <v>45094.361111111109</v>
      </c>
      <c r="BD151" s="165">
        <v>45094.375</v>
      </c>
      <c r="BE151" s="165">
        <v>45095.677083333336</v>
      </c>
      <c r="BF151" s="165">
        <v>45095.708333333336</v>
      </c>
      <c r="BG151" s="165">
        <v>45095.708333333336</v>
      </c>
      <c r="BH151" s="165">
        <v>45095.708333333336</v>
      </c>
      <c r="BI151" s="166" t="s">
        <v>196</v>
      </c>
      <c r="BJ151" s="166" t="s">
        <v>196</v>
      </c>
      <c r="BK151" s="166" t="s">
        <v>196</v>
      </c>
      <c r="BL151" s="165">
        <v>45100.4375</v>
      </c>
      <c r="BM151" s="165">
        <v>45105.243055555555</v>
      </c>
      <c r="BN151" s="165">
        <v>45105.590277777781</v>
      </c>
      <c r="BO151" s="165">
        <v>45105.604166666664</v>
      </c>
      <c r="BP151" s="165">
        <v>45105.604166666664</v>
      </c>
      <c r="BQ151" s="165">
        <v>45105.604166666664</v>
      </c>
      <c r="BT151" s="136">
        <f t="shared" si="47"/>
        <v>0</v>
      </c>
      <c r="BU151" s="136">
        <f t="shared" si="48"/>
        <v>31.250000000058208</v>
      </c>
      <c r="BV151" s="136">
        <f t="shared" si="49"/>
        <v>0</v>
      </c>
      <c r="BW151" s="136">
        <f t="shared" si="58"/>
        <v>113.49999999994179</v>
      </c>
      <c r="BX151" s="135">
        <f t="shared" si="51"/>
        <v>8.3333333334303461</v>
      </c>
      <c r="BY151" s="135">
        <f t="shared" si="52"/>
        <v>0</v>
      </c>
      <c r="BZ151" s="134">
        <f t="shared" si="53"/>
        <v>6.3784722222262644</v>
      </c>
      <c r="CA151" s="134">
        <f t="shared" si="54"/>
        <v>11.243055555554747</v>
      </c>
      <c r="CB151" s="133">
        <f t="shared" si="55"/>
        <v>0.56732550957421135</v>
      </c>
    </row>
    <row r="152" spans="1:80" s="126" customFormat="1">
      <c r="A152" s="192"/>
      <c r="D152" s="126" t="s">
        <v>215</v>
      </c>
      <c r="G152" s="165"/>
      <c r="H152" s="165"/>
      <c r="J152" s="126" t="s">
        <v>312</v>
      </c>
      <c r="L152" s="126" t="s">
        <v>1946</v>
      </c>
      <c r="M152" s="167"/>
      <c r="N152" s="126" t="s">
        <v>482</v>
      </c>
      <c r="O152" s="126" t="s">
        <v>483</v>
      </c>
      <c r="Q152" s="181">
        <f>3107*2.4</f>
        <v>7456.7999999999993</v>
      </c>
      <c r="R152" s="181"/>
      <c r="S152" s="181"/>
      <c r="T152" s="181"/>
      <c r="U152" s="181"/>
      <c r="V152" s="181"/>
      <c r="AX152" s="165">
        <f t="shared" si="43"/>
        <v>45078</v>
      </c>
      <c r="AY152" s="165">
        <f t="shared" si="44"/>
        <v>45095.291666666664</v>
      </c>
      <c r="AZ152" s="137">
        <f t="shared" si="45"/>
        <v>17.291666666664241</v>
      </c>
      <c r="BA152" s="165">
        <v>45078</v>
      </c>
      <c r="BB152" s="165"/>
      <c r="BC152" s="165"/>
      <c r="BD152" s="165"/>
      <c r="BE152" s="165"/>
      <c r="BF152" s="165"/>
      <c r="BG152" s="165"/>
      <c r="BH152" s="165"/>
      <c r="BI152" s="165"/>
      <c r="BJ152" s="165"/>
      <c r="BK152" s="166"/>
      <c r="BL152" s="165"/>
      <c r="BM152" s="165"/>
      <c r="BN152" s="165"/>
      <c r="BO152" s="165"/>
      <c r="BP152" s="165"/>
      <c r="BQ152" s="165">
        <v>45095.291666666664</v>
      </c>
      <c r="BT152" s="136">
        <f t="shared" si="47"/>
        <v>0</v>
      </c>
      <c r="BU152" s="136">
        <f t="shared" si="48"/>
        <v>0</v>
      </c>
      <c r="BV152" s="136">
        <f t="shared" si="49"/>
        <v>0</v>
      </c>
      <c r="BW152" s="136">
        <f t="shared" ref="BW152:BW190" si="59">(BL152-BJ152)*24</f>
        <v>0</v>
      </c>
      <c r="BX152" s="135">
        <f t="shared" si="51"/>
        <v>0</v>
      </c>
      <c r="BY152" s="135">
        <f t="shared" si="52"/>
        <v>1082287</v>
      </c>
      <c r="BZ152" s="134">
        <f t="shared" si="53"/>
        <v>45095.291666666664</v>
      </c>
      <c r="CA152" s="134">
        <f t="shared" si="54"/>
        <v>17.291666666664241</v>
      </c>
      <c r="CB152" s="133">
        <f t="shared" si="55"/>
        <v>2607.9204819280767</v>
      </c>
    </row>
    <row r="153" spans="1:80" s="126" customFormat="1">
      <c r="A153" s="192">
        <f t="shared" ref="A153:A190" si="60">BD153</f>
        <v>45078.961805555555</v>
      </c>
      <c r="B153" s="126" t="s">
        <v>228</v>
      </c>
      <c r="C153" s="126" t="s">
        <v>229</v>
      </c>
      <c r="D153" s="126" t="s">
        <v>197</v>
      </c>
      <c r="E153" s="65" t="s">
        <v>1548</v>
      </c>
      <c r="G153" s="73">
        <v>45078.958333333336</v>
      </c>
      <c r="H153" s="73">
        <v>45078.916666666664</v>
      </c>
      <c r="I153" s="126" t="s">
        <v>490</v>
      </c>
      <c r="J153" s="115" t="s">
        <v>192</v>
      </c>
      <c r="K153" s="115" t="s">
        <v>192</v>
      </c>
      <c r="L153" s="126" t="s">
        <v>1947</v>
      </c>
      <c r="M153" s="167"/>
      <c r="N153" s="126" t="s">
        <v>263</v>
      </c>
      <c r="O153" s="126" t="s">
        <v>264</v>
      </c>
      <c r="P153" s="126" t="s">
        <v>494</v>
      </c>
      <c r="Q153" s="181">
        <f>3136*2.4</f>
        <v>7526.4</v>
      </c>
      <c r="R153" s="181">
        <f>7550+100</f>
        <v>7650</v>
      </c>
      <c r="S153" s="181">
        <v>7711.4920000000002</v>
      </c>
      <c r="T153" s="181"/>
      <c r="U153" s="181">
        <f>S153</f>
        <v>7711.4920000000002</v>
      </c>
      <c r="V153" s="219"/>
      <c r="AX153" s="165">
        <f t="shared" si="43"/>
        <v>45073.1875</v>
      </c>
      <c r="AY153" s="165">
        <f t="shared" si="44"/>
        <v>45087.857638888891</v>
      </c>
      <c r="AZ153" s="137">
        <f t="shared" si="45"/>
        <v>14.670138888890506</v>
      </c>
      <c r="BA153" s="165">
        <v>45073.1875</v>
      </c>
      <c r="BB153" s="165">
        <v>45074.6875</v>
      </c>
      <c r="BC153" s="165">
        <v>45076.145833333336</v>
      </c>
      <c r="BD153" s="165">
        <v>45078.961805555555</v>
      </c>
      <c r="BE153" s="165">
        <v>45079.097222222219</v>
      </c>
      <c r="BF153" s="165">
        <v>45079.111111111109</v>
      </c>
      <c r="BG153" s="165">
        <v>45079.111111111109</v>
      </c>
      <c r="BH153" s="165">
        <f t="shared" ref="BH153:BH190" si="61">BG153+(41/24)</f>
        <v>45080.819444444445</v>
      </c>
      <c r="BI153" s="165">
        <v>45081.229166608799</v>
      </c>
      <c r="BJ153" s="165">
        <v>45081.395833275463</v>
      </c>
      <c r="BK153" s="165">
        <v>45081.302083333336</v>
      </c>
      <c r="BL153" s="165">
        <v>45082.3125</v>
      </c>
      <c r="BM153" s="165">
        <v>45087.25</v>
      </c>
      <c r="BN153" s="165">
        <v>45087.5</v>
      </c>
      <c r="BO153" s="165">
        <v>45087.520833333336</v>
      </c>
      <c r="BP153" s="165">
        <v>45087.520833333336</v>
      </c>
      <c r="BQ153" s="165">
        <v>45087.857638888891</v>
      </c>
      <c r="BT153" s="136">
        <f t="shared" si="47"/>
        <v>35.000000000058208</v>
      </c>
      <c r="BU153" s="136">
        <f t="shared" si="48"/>
        <v>3.2499999999417923</v>
      </c>
      <c r="BV153" s="136">
        <f t="shared" si="49"/>
        <v>41.000000000058208</v>
      </c>
      <c r="BW153" s="136">
        <f t="shared" si="59"/>
        <v>22.000001388892997</v>
      </c>
      <c r="BX153" s="135">
        <f t="shared" si="51"/>
        <v>6</v>
      </c>
      <c r="BY153" s="135">
        <f t="shared" si="52"/>
        <v>8.0833333333139308</v>
      </c>
      <c r="BZ153" s="134">
        <f t="shared" si="53"/>
        <v>4.805555613427714</v>
      </c>
      <c r="CA153" s="134">
        <f t="shared" si="54"/>
        <v>14.670138888890506</v>
      </c>
      <c r="CB153" s="133">
        <f t="shared" si="55"/>
        <v>0.3275739684419004</v>
      </c>
    </row>
    <row r="154" spans="1:80" s="126" customFormat="1">
      <c r="A154" s="192">
        <f t="shared" si="60"/>
        <v>45080.329861111109</v>
      </c>
      <c r="B154" s="126" t="s">
        <v>228</v>
      </c>
      <c r="C154" s="126" t="s">
        <v>229</v>
      </c>
      <c r="D154" s="126" t="s">
        <v>197</v>
      </c>
      <c r="E154" s="65" t="s">
        <v>1781</v>
      </c>
      <c r="F154" s="65" t="s">
        <v>1689</v>
      </c>
      <c r="G154" s="73">
        <v>45086.431944444441</v>
      </c>
      <c r="H154" s="73">
        <f>G154</f>
        <v>45086.431944444441</v>
      </c>
      <c r="I154" s="126" t="s">
        <v>490</v>
      </c>
      <c r="J154" s="115" t="s">
        <v>192</v>
      </c>
      <c r="K154" s="115" t="s">
        <v>192</v>
      </c>
      <c r="L154" s="126" t="s">
        <v>1948</v>
      </c>
      <c r="M154" s="167"/>
      <c r="N154" s="126" t="s">
        <v>298</v>
      </c>
      <c r="O154" s="126" t="s">
        <v>299</v>
      </c>
      <c r="P154" s="126" t="s">
        <v>1949</v>
      </c>
      <c r="Q154" s="181">
        <f>4337*2.4</f>
        <v>10408.799999999999</v>
      </c>
      <c r="R154" s="181">
        <f>10450+100</f>
        <v>10550</v>
      </c>
      <c r="S154" s="181">
        <v>10368.142</v>
      </c>
      <c r="T154" s="181"/>
      <c r="U154" s="181">
        <f>S154*0.45</f>
        <v>4665.6639000000005</v>
      </c>
      <c r="V154" s="181">
        <f>S154*0.55</f>
        <v>5702.4781000000003</v>
      </c>
      <c r="AX154" s="165">
        <f t="shared" si="43"/>
        <v>45073.875</v>
      </c>
      <c r="AY154" s="165">
        <f t="shared" si="44"/>
        <v>45091.5625</v>
      </c>
      <c r="AZ154" s="137">
        <f t="shared" si="45"/>
        <v>17.6875</v>
      </c>
      <c r="BA154" s="165">
        <v>45073.875</v>
      </c>
      <c r="BB154" s="165">
        <v>45074.5</v>
      </c>
      <c r="BC154" s="165">
        <v>45076.0625</v>
      </c>
      <c r="BD154" s="165">
        <v>45080.329861111109</v>
      </c>
      <c r="BE154" s="165">
        <v>45080.555555555555</v>
      </c>
      <c r="BF154" s="165">
        <v>45080.55972222222</v>
      </c>
      <c r="BG154" s="165">
        <v>45080.55972222222</v>
      </c>
      <c r="BH154" s="165">
        <f t="shared" si="61"/>
        <v>45082.268055555556</v>
      </c>
      <c r="BI154" s="165">
        <v>45082.229166608799</v>
      </c>
      <c r="BJ154" s="165">
        <v>45082.395833275463</v>
      </c>
      <c r="BK154" s="165">
        <v>45082.274305555555</v>
      </c>
      <c r="BL154" s="165">
        <v>45086.25</v>
      </c>
      <c r="BM154" s="165">
        <v>45090.847222222219</v>
      </c>
      <c r="BN154" s="165">
        <v>45091.177083333336</v>
      </c>
      <c r="BO154" s="165">
        <v>45091.197916666664</v>
      </c>
      <c r="BP154" s="165">
        <v>45091.197916666664</v>
      </c>
      <c r="BQ154" s="165">
        <v>45091.5625</v>
      </c>
      <c r="BT154" s="136">
        <f t="shared" si="47"/>
        <v>37.5</v>
      </c>
      <c r="BU154" s="136">
        <f t="shared" si="48"/>
        <v>5.4166666666860692</v>
      </c>
      <c r="BV154" s="136">
        <f t="shared" si="49"/>
        <v>41.000000000058208</v>
      </c>
      <c r="BW154" s="136">
        <f t="shared" si="59"/>
        <v>92.500001388892997</v>
      </c>
      <c r="BX154" s="135">
        <f t="shared" si="51"/>
        <v>7.9166666668024845</v>
      </c>
      <c r="BY154" s="135">
        <f t="shared" si="52"/>
        <v>8.7500000000582077</v>
      </c>
      <c r="BZ154" s="134">
        <f t="shared" si="53"/>
        <v>8.0451389467707486</v>
      </c>
      <c r="CA154" s="134">
        <f t="shared" si="54"/>
        <v>17.6875</v>
      </c>
      <c r="CB154" s="133">
        <f t="shared" si="55"/>
        <v>0.45484884504710948</v>
      </c>
    </row>
    <row r="155" spans="1:80" s="126" customFormat="1">
      <c r="A155" s="192">
        <f t="shared" si="60"/>
        <v>45081.609722222223</v>
      </c>
      <c r="B155" s="126" t="s">
        <v>228</v>
      </c>
      <c r="C155" s="126" t="s">
        <v>229</v>
      </c>
      <c r="D155" s="126" t="s">
        <v>197</v>
      </c>
      <c r="E155" s="65" t="s">
        <v>1781</v>
      </c>
      <c r="G155" s="73">
        <v>45086.431944444441</v>
      </c>
      <c r="H155" s="73">
        <f>G155</f>
        <v>45086.431944444441</v>
      </c>
      <c r="I155" s="126" t="s">
        <v>490</v>
      </c>
      <c r="J155" s="115" t="s">
        <v>192</v>
      </c>
      <c r="K155" s="115" t="s">
        <v>192</v>
      </c>
      <c r="L155" s="126" t="s">
        <v>1950</v>
      </c>
      <c r="M155" s="167"/>
      <c r="N155" s="126" t="s">
        <v>361</v>
      </c>
      <c r="O155" s="126" t="s">
        <v>362</v>
      </c>
      <c r="P155" s="126" t="s">
        <v>1949</v>
      </c>
      <c r="Q155" s="181">
        <f>3039*2.4</f>
        <v>7293.5999999999995</v>
      </c>
      <c r="R155" s="181">
        <f>7300+100</f>
        <v>7400</v>
      </c>
      <c r="S155" s="181">
        <v>7296.6719999999996</v>
      </c>
      <c r="T155" s="181"/>
      <c r="U155" s="181">
        <f>S155*0.45</f>
        <v>3283.5023999999999</v>
      </c>
      <c r="V155" s="181">
        <f>S155*0.55</f>
        <v>4013.1696000000002</v>
      </c>
      <c r="AX155" s="165">
        <f t="shared" si="43"/>
        <v>45074.65625</v>
      </c>
      <c r="AY155" s="165">
        <f t="shared" si="44"/>
        <v>45090.875</v>
      </c>
      <c r="AZ155" s="137">
        <f t="shared" si="45"/>
        <v>16.21875</v>
      </c>
      <c r="BA155" s="165">
        <v>45074.65625</v>
      </c>
      <c r="BB155" s="165">
        <v>45075.541666666664</v>
      </c>
      <c r="BC155" s="165">
        <v>45077.302083333336</v>
      </c>
      <c r="BD155" s="165">
        <v>45081.609722222223</v>
      </c>
      <c r="BE155" s="165">
        <v>45081.739583333336</v>
      </c>
      <c r="BF155" s="165">
        <v>45081.756944444445</v>
      </c>
      <c r="BG155" s="165">
        <v>45081.756944444445</v>
      </c>
      <c r="BH155" s="165">
        <f t="shared" si="61"/>
        <v>45083.465277777781</v>
      </c>
      <c r="BI155" s="165">
        <v>45083.229166608799</v>
      </c>
      <c r="BJ155" s="165">
        <v>45083.395833275463</v>
      </c>
      <c r="BK155" s="165">
        <v>45083.381944444445</v>
      </c>
      <c r="BL155" s="165">
        <v>45086.21875</v>
      </c>
      <c r="BM155" s="165">
        <v>45090.215277777781</v>
      </c>
      <c r="BN155" s="165">
        <v>45090.416666666664</v>
      </c>
      <c r="BO155" s="165">
        <v>45090.4375</v>
      </c>
      <c r="BP155" s="165">
        <v>45090.4375</v>
      </c>
      <c r="BQ155" s="165">
        <v>45090.875</v>
      </c>
      <c r="BT155" s="136">
        <f t="shared" si="47"/>
        <v>42.250000000116415</v>
      </c>
      <c r="BU155" s="136">
        <f t="shared" si="48"/>
        <v>3.1166666666977108</v>
      </c>
      <c r="BV155" s="136">
        <f t="shared" si="49"/>
        <v>41.000000000058208</v>
      </c>
      <c r="BW155" s="136">
        <f t="shared" si="59"/>
        <v>67.750001388892997</v>
      </c>
      <c r="BX155" s="135">
        <f t="shared" si="51"/>
        <v>4.8333333331975155</v>
      </c>
      <c r="BY155" s="135">
        <f t="shared" si="52"/>
        <v>10.5</v>
      </c>
      <c r="BZ155" s="134">
        <f t="shared" si="53"/>
        <v>7.0604167245401186</v>
      </c>
      <c r="CA155" s="134">
        <f t="shared" si="54"/>
        <v>16.21875</v>
      </c>
      <c r="CB155" s="133">
        <f t="shared" si="55"/>
        <v>0.43532434525102853</v>
      </c>
    </row>
    <row r="156" spans="1:80" s="126" customFormat="1">
      <c r="A156" s="192">
        <f t="shared" si="60"/>
        <v>45081.847222222219</v>
      </c>
      <c r="B156" s="126" t="s">
        <v>228</v>
      </c>
      <c r="C156" s="126" t="s">
        <v>229</v>
      </c>
      <c r="D156" s="126" t="s">
        <v>215</v>
      </c>
      <c r="E156" s="65" t="s">
        <v>1781</v>
      </c>
      <c r="G156" s="73">
        <v>45086.431944444441</v>
      </c>
      <c r="H156" s="73">
        <v>45086.431944444441</v>
      </c>
      <c r="I156" s="126" t="s">
        <v>490</v>
      </c>
      <c r="J156" s="115" t="s">
        <v>192</v>
      </c>
      <c r="K156" s="115" t="s">
        <v>192</v>
      </c>
      <c r="L156" s="126" t="s">
        <v>1951</v>
      </c>
      <c r="M156" s="167"/>
      <c r="N156" s="126" t="s">
        <v>352</v>
      </c>
      <c r="O156" s="126" t="s">
        <v>353</v>
      </c>
      <c r="P156" s="126" t="s">
        <v>1949</v>
      </c>
      <c r="Q156" s="181">
        <f>3852*2.4</f>
        <v>9244.7999999999993</v>
      </c>
      <c r="R156" s="181">
        <f>9250+100</f>
        <v>9350</v>
      </c>
      <c r="S156" s="181">
        <v>9028.2469999999994</v>
      </c>
      <c r="T156" s="181"/>
      <c r="U156" s="181">
        <f>S156*0.45</f>
        <v>4062.7111499999996</v>
      </c>
      <c r="V156" s="181">
        <f>S156*0.55</f>
        <v>4965.5358500000002</v>
      </c>
      <c r="AX156" s="165">
        <f t="shared" si="43"/>
        <v>45073.5</v>
      </c>
      <c r="AY156" s="165">
        <f t="shared" si="44"/>
        <v>45093.125</v>
      </c>
      <c r="AZ156" s="137">
        <f t="shared" si="45"/>
        <v>19.625</v>
      </c>
      <c r="BA156" s="165">
        <v>45073.5</v>
      </c>
      <c r="BB156" s="165">
        <v>45075.800694444442</v>
      </c>
      <c r="BC156" s="165">
        <v>45077.583333333336</v>
      </c>
      <c r="BD156" s="165">
        <v>45081.847222222219</v>
      </c>
      <c r="BE156" s="165">
        <v>45082.018750000003</v>
      </c>
      <c r="BF156" s="165">
        <v>45082.027777777781</v>
      </c>
      <c r="BG156" s="165">
        <v>45082.027777777781</v>
      </c>
      <c r="BH156" s="165">
        <f t="shared" si="61"/>
        <v>45083.736111111117</v>
      </c>
      <c r="BI156" s="165">
        <v>45084.229166608799</v>
      </c>
      <c r="BJ156" s="165">
        <v>45084.395833275463</v>
      </c>
      <c r="BK156" s="165">
        <v>45084.336805555555</v>
      </c>
      <c r="BL156" s="165">
        <v>45087.25</v>
      </c>
      <c r="BM156" s="165">
        <v>45092.375</v>
      </c>
      <c r="BN156" s="165">
        <v>45092.75</v>
      </c>
      <c r="BO156" s="165">
        <v>45092.770833333336</v>
      </c>
      <c r="BP156" s="165">
        <v>45092.770833333336</v>
      </c>
      <c r="BQ156" s="165">
        <v>45093.125</v>
      </c>
      <c r="BT156" s="136">
        <f t="shared" si="47"/>
        <v>42.783333333441988</v>
      </c>
      <c r="BU156" s="136">
        <f t="shared" si="48"/>
        <v>4.1166666668141261</v>
      </c>
      <c r="BV156" s="136">
        <f t="shared" si="49"/>
        <v>41.000000000058208</v>
      </c>
      <c r="BW156" s="136">
        <f t="shared" si="59"/>
        <v>68.500001388892997</v>
      </c>
      <c r="BX156" s="135">
        <f t="shared" si="51"/>
        <v>9</v>
      </c>
      <c r="BY156" s="135">
        <f t="shared" si="52"/>
        <v>8.4999999999417923</v>
      </c>
      <c r="BZ156" s="134">
        <f t="shared" si="53"/>
        <v>7.2458333912145463</v>
      </c>
      <c r="CA156" s="134">
        <f t="shared" si="54"/>
        <v>19.625</v>
      </c>
      <c r="CB156" s="133">
        <f t="shared" si="55"/>
        <v>0.36921444031666478</v>
      </c>
    </row>
    <row r="157" spans="1:80" s="126" customFormat="1">
      <c r="A157" s="192">
        <f t="shared" si="60"/>
        <v>45082.052083333336</v>
      </c>
      <c r="B157" s="126" t="s">
        <v>228</v>
      </c>
      <c r="C157" s="126" t="s">
        <v>229</v>
      </c>
      <c r="D157" s="126" t="s">
        <v>197</v>
      </c>
      <c r="E157" s="65" t="s">
        <v>1781</v>
      </c>
      <c r="G157" s="73">
        <v>45086.431944444441</v>
      </c>
      <c r="H157" s="73">
        <f>G157</f>
        <v>45086.431944444441</v>
      </c>
      <c r="I157" s="126" t="s">
        <v>490</v>
      </c>
      <c r="J157" s="126" t="s">
        <v>192</v>
      </c>
      <c r="K157" s="126" t="s">
        <v>192</v>
      </c>
      <c r="L157" s="126" t="s">
        <v>1952</v>
      </c>
      <c r="M157" s="167"/>
      <c r="N157" s="126" t="s">
        <v>330</v>
      </c>
      <c r="O157" s="126" t="s">
        <v>331</v>
      </c>
      <c r="P157" s="126" t="s">
        <v>1949</v>
      </c>
      <c r="Q157" s="181">
        <f>3136*2.4</f>
        <v>7526.4</v>
      </c>
      <c r="R157" s="181">
        <f>7550+100</f>
        <v>7650</v>
      </c>
      <c r="S157" s="181">
        <v>7605.5780000000004</v>
      </c>
      <c r="T157" s="181"/>
      <c r="U157" s="181">
        <f>S157*0.45</f>
        <v>3422.5101000000004</v>
      </c>
      <c r="V157" s="181">
        <f>S157*0.55</f>
        <v>4183.0679000000009</v>
      </c>
      <c r="AX157" s="165">
        <f t="shared" si="43"/>
        <v>45073.479166666664</v>
      </c>
      <c r="AY157" s="165">
        <f t="shared" si="44"/>
        <v>45091.25</v>
      </c>
      <c r="AZ157" s="137">
        <f t="shared" si="45"/>
        <v>17.770833333335759</v>
      </c>
      <c r="BA157" s="165">
        <v>45073.479166666664</v>
      </c>
      <c r="BB157" s="165">
        <v>45075.791666666664</v>
      </c>
      <c r="BC157" s="165">
        <v>45077.760416666664</v>
      </c>
      <c r="BD157" s="165">
        <v>45082.052083333336</v>
      </c>
      <c r="BE157" s="165">
        <v>45082.268055555556</v>
      </c>
      <c r="BF157" s="165">
        <v>45082.270833333336</v>
      </c>
      <c r="BG157" s="165">
        <v>45082.270833333336</v>
      </c>
      <c r="BH157" s="165">
        <f t="shared" si="61"/>
        <v>45083.979166666672</v>
      </c>
      <c r="BI157" s="165">
        <v>45084.229166608799</v>
      </c>
      <c r="BJ157" s="165">
        <v>45084.395833275463</v>
      </c>
      <c r="BK157" s="165">
        <v>45084.305555555555</v>
      </c>
      <c r="BL157" s="165">
        <v>45086.236111111109</v>
      </c>
      <c r="BM157" s="165">
        <v>45090.53125</v>
      </c>
      <c r="BN157" s="165">
        <v>45090.784722222219</v>
      </c>
      <c r="BO157" s="165">
        <v>45090.805555555555</v>
      </c>
      <c r="BP157" s="165">
        <v>45090.958333333336</v>
      </c>
      <c r="BQ157" s="165">
        <v>45091.25</v>
      </c>
      <c r="BT157" s="136">
        <f t="shared" si="47"/>
        <v>47.25</v>
      </c>
      <c r="BU157" s="136">
        <f t="shared" si="48"/>
        <v>5.1833333332906477</v>
      </c>
      <c r="BV157" s="136">
        <f t="shared" si="49"/>
        <v>41.000000000058208</v>
      </c>
      <c r="BW157" s="136">
        <f t="shared" si="59"/>
        <v>44.166668055520859</v>
      </c>
      <c r="BX157" s="135">
        <f t="shared" si="51"/>
        <v>6.0833333332557231</v>
      </c>
      <c r="BY157" s="135">
        <f t="shared" si="52"/>
        <v>6.9999999999417923</v>
      </c>
      <c r="BZ157" s="134">
        <f t="shared" si="53"/>
        <v>6.2784722800861346</v>
      </c>
      <c r="CA157" s="134">
        <f t="shared" si="54"/>
        <v>17.770833333335759</v>
      </c>
      <c r="CB157" s="133">
        <f t="shared" si="55"/>
        <v>0.35330207437760064</v>
      </c>
    </row>
    <row r="158" spans="1:80" s="126" customFormat="1">
      <c r="A158" s="192">
        <f t="shared" si="60"/>
        <v>45082.340277777781</v>
      </c>
      <c r="B158" s="126" t="s">
        <v>228</v>
      </c>
      <c r="C158" s="126" t="s">
        <v>229</v>
      </c>
      <c r="D158" s="126" t="s">
        <v>215</v>
      </c>
      <c r="E158" s="65" t="s">
        <v>1781</v>
      </c>
      <c r="G158" s="73">
        <v>45086.431944444441</v>
      </c>
      <c r="H158" s="73">
        <v>45086.431944444441</v>
      </c>
      <c r="I158" s="126" t="s">
        <v>490</v>
      </c>
      <c r="J158" s="115" t="s">
        <v>192</v>
      </c>
      <c r="K158" s="115" t="s">
        <v>192</v>
      </c>
      <c r="L158" s="126" t="s">
        <v>1953</v>
      </c>
      <c r="M158" s="167"/>
      <c r="N158" s="126" t="s">
        <v>274</v>
      </c>
      <c r="O158" s="126" t="s">
        <v>1093</v>
      </c>
      <c r="P158" s="126" t="s">
        <v>1949</v>
      </c>
      <c r="Q158" s="181">
        <f>3136*2.4</f>
        <v>7526.4</v>
      </c>
      <c r="R158" s="181">
        <f>7550+100</f>
        <v>7650</v>
      </c>
      <c r="S158" s="181">
        <v>7413.808</v>
      </c>
      <c r="T158" s="181"/>
      <c r="U158" s="181">
        <f>S158*0.45</f>
        <v>3336.2136</v>
      </c>
      <c r="W158" s="181">
        <f>S158*0.55</f>
        <v>4077.5944000000004</v>
      </c>
      <c r="AX158" s="165">
        <f t="shared" si="43"/>
        <v>45075.458333333336</v>
      </c>
      <c r="AY158" s="165">
        <f t="shared" si="44"/>
        <v>45091.8125</v>
      </c>
      <c r="AZ158" s="137">
        <f t="shared" si="45"/>
        <v>16.354166666664241</v>
      </c>
      <c r="BA158" s="165">
        <v>45075.458333333336</v>
      </c>
      <c r="BB158" s="165">
        <v>45076.309027777781</v>
      </c>
      <c r="BC158" s="165">
        <v>45078.083333333336</v>
      </c>
      <c r="BD158" s="165">
        <v>45082.340277777781</v>
      </c>
      <c r="BE158" s="165">
        <v>45082.505555555559</v>
      </c>
      <c r="BF158" s="165">
        <v>45082.510416666664</v>
      </c>
      <c r="BG158" s="165">
        <v>45082.510416666664</v>
      </c>
      <c r="BH158" s="165">
        <f t="shared" si="61"/>
        <v>45084.21875</v>
      </c>
      <c r="BI158" s="165">
        <v>45084.229166608799</v>
      </c>
      <c r="BJ158" s="165">
        <v>45084.395833275463</v>
      </c>
      <c r="BK158" s="165">
        <v>45084.274305555555</v>
      </c>
      <c r="BL158" s="165">
        <v>45086.447916666664</v>
      </c>
      <c r="BM158" s="165">
        <v>45091.239583333336</v>
      </c>
      <c r="BN158" s="165">
        <v>45091.447916666664</v>
      </c>
      <c r="BO158" s="165">
        <v>45091.46875</v>
      </c>
      <c r="BP158" s="165">
        <v>45091.46875</v>
      </c>
      <c r="BQ158" s="165">
        <v>45091.8125</v>
      </c>
      <c r="BR158" s="126" t="s">
        <v>1954</v>
      </c>
      <c r="BT158" s="136">
        <f t="shared" si="47"/>
        <v>42.583333333313931</v>
      </c>
      <c r="BU158" s="136">
        <f t="shared" si="48"/>
        <v>3.9666666666744277</v>
      </c>
      <c r="BV158" s="136">
        <f t="shared" si="49"/>
        <v>41.000000000058208</v>
      </c>
      <c r="BW158" s="136">
        <f t="shared" si="59"/>
        <v>49.250001388834789</v>
      </c>
      <c r="BX158" s="135">
        <f t="shared" si="51"/>
        <v>4.9999999998835847</v>
      </c>
      <c r="BY158" s="135">
        <f t="shared" si="52"/>
        <v>8.25</v>
      </c>
      <c r="BZ158" s="134">
        <f t="shared" si="53"/>
        <v>6.2520833911985392</v>
      </c>
      <c r="CA158" s="134">
        <f t="shared" si="54"/>
        <v>16.354166666664241</v>
      </c>
      <c r="CB158" s="133">
        <f t="shared" si="55"/>
        <v>0.38229299716888454</v>
      </c>
    </row>
    <row r="159" spans="1:80" s="126" customFormat="1">
      <c r="A159" s="192">
        <f t="shared" si="60"/>
        <v>45082.532638888886</v>
      </c>
      <c r="B159" s="126" t="s">
        <v>228</v>
      </c>
      <c r="C159" s="126" t="s">
        <v>229</v>
      </c>
      <c r="D159" s="126" t="s">
        <v>197</v>
      </c>
      <c r="E159" s="65" t="s">
        <v>1781</v>
      </c>
      <c r="G159" s="73">
        <v>45086.431944444441</v>
      </c>
      <c r="H159" s="73">
        <v>45086.431944444441</v>
      </c>
      <c r="I159" s="126" t="s">
        <v>490</v>
      </c>
      <c r="J159" s="115" t="s">
        <v>192</v>
      </c>
      <c r="K159" s="115" t="s">
        <v>192</v>
      </c>
      <c r="L159" s="126" t="s">
        <v>1955</v>
      </c>
      <c r="M159" s="167"/>
      <c r="N159" s="126" t="s">
        <v>205</v>
      </c>
      <c r="O159" s="126" t="s">
        <v>206</v>
      </c>
      <c r="P159" s="126" t="s">
        <v>494</v>
      </c>
      <c r="Q159" s="181">
        <f>3015*2.4</f>
        <v>7236</v>
      </c>
      <c r="R159" s="181">
        <f>7250+100</f>
        <v>7350</v>
      </c>
      <c r="S159" s="181">
        <v>7565.1790000000001</v>
      </c>
      <c r="T159" s="181"/>
      <c r="U159" s="181">
        <f>S159</f>
        <v>7565.1790000000001</v>
      </c>
      <c r="AX159" s="165">
        <f t="shared" si="43"/>
        <v>45073.459027777775</v>
      </c>
      <c r="AY159" s="165">
        <f t="shared" si="44"/>
        <v>45092.321527777778</v>
      </c>
      <c r="AZ159" s="137">
        <f t="shared" si="45"/>
        <v>18.86250000000291</v>
      </c>
      <c r="BA159" s="165">
        <v>45073.459027777775</v>
      </c>
      <c r="BB159" s="165">
        <v>45077.840277777781</v>
      </c>
      <c r="BC159" s="165">
        <v>45079.479166666664</v>
      </c>
      <c r="BD159" s="165">
        <v>45082.532638888886</v>
      </c>
      <c r="BE159" s="165">
        <v>45082.697916666664</v>
      </c>
      <c r="BF159" s="165">
        <v>45082.701388888891</v>
      </c>
      <c r="BG159" s="165">
        <v>45082.701388888891</v>
      </c>
      <c r="BH159" s="165">
        <f t="shared" si="61"/>
        <v>45084.409722222226</v>
      </c>
      <c r="BI159" s="165">
        <v>45084.229166608799</v>
      </c>
      <c r="BJ159" s="165">
        <v>45084.395833275463</v>
      </c>
      <c r="BK159" s="165">
        <v>45084.409722222219</v>
      </c>
      <c r="BL159" s="165">
        <v>45086.541666666664</v>
      </c>
      <c r="BM159" s="165">
        <v>45091.510416666664</v>
      </c>
      <c r="BN159" s="165">
        <v>45091.722222222219</v>
      </c>
      <c r="BO159" s="165">
        <v>45091.743055555555</v>
      </c>
      <c r="BP159" s="165">
        <v>45092.076388888891</v>
      </c>
      <c r="BQ159" s="165">
        <v>45092.321527777778</v>
      </c>
      <c r="BT159" s="136">
        <f t="shared" si="47"/>
        <v>39.333333333197515</v>
      </c>
      <c r="BU159" s="136">
        <f t="shared" si="48"/>
        <v>3.9666666666744277</v>
      </c>
      <c r="BV159" s="136">
        <f t="shared" si="49"/>
        <v>41.000000000058208</v>
      </c>
      <c r="BW159" s="136">
        <f t="shared" si="59"/>
        <v>51.500001388834789</v>
      </c>
      <c r="BX159" s="135">
        <f t="shared" si="51"/>
        <v>5.0833333333139308</v>
      </c>
      <c r="BY159" s="135">
        <f t="shared" si="52"/>
        <v>5.8833333333022892</v>
      </c>
      <c r="BZ159" s="134">
        <f t="shared" si="53"/>
        <v>6.1152778356408817</v>
      </c>
      <c r="CA159" s="134">
        <f t="shared" si="54"/>
        <v>18.86250000000291</v>
      </c>
      <c r="CB159" s="133">
        <f t="shared" si="55"/>
        <v>0.32420293363233604</v>
      </c>
    </row>
    <row r="160" spans="1:80" s="126" customFormat="1">
      <c r="A160" s="192">
        <f t="shared" si="60"/>
        <v>45083.336805555555</v>
      </c>
      <c r="B160" s="126" t="s">
        <v>228</v>
      </c>
      <c r="C160" s="126" t="s">
        <v>229</v>
      </c>
      <c r="D160" s="126" t="s">
        <v>197</v>
      </c>
      <c r="E160" s="65" t="s">
        <v>1781</v>
      </c>
      <c r="G160" s="73">
        <v>45086.431944444441</v>
      </c>
      <c r="H160" s="73">
        <v>45086.431944444441</v>
      </c>
      <c r="I160" s="126" t="s">
        <v>490</v>
      </c>
      <c r="J160" s="115" t="s">
        <v>192</v>
      </c>
      <c r="K160" s="115" t="s">
        <v>192</v>
      </c>
      <c r="L160" s="126" t="s">
        <v>1956</v>
      </c>
      <c r="M160" s="167"/>
      <c r="N160" s="126" t="s">
        <v>371</v>
      </c>
      <c r="O160" s="126" t="s">
        <v>372</v>
      </c>
      <c r="P160" s="126" t="s">
        <v>494</v>
      </c>
      <c r="Q160" s="181">
        <f>3117*2.4</f>
        <v>7480.7999999999993</v>
      </c>
      <c r="R160" s="181">
        <f>7500+100</f>
        <v>7600</v>
      </c>
      <c r="S160" s="181">
        <v>7180.31</v>
      </c>
      <c r="T160" s="181"/>
      <c r="U160" s="181">
        <f>S160</f>
        <v>7180.31</v>
      </c>
      <c r="AX160" s="165">
        <f t="shared" si="43"/>
        <v>45078.208333333336</v>
      </c>
      <c r="AY160" s="165">
        <f t="shared" si="44"/>
        <v>45092.719444444447</v>
      </c>
      <c r="AZ160" s="137">
        <f t="shared" si="45"/>
        <v>14.511111111110949</v>
      </c>
      <c r="BA160" s="165">
        <v>45078.208333333336</v>
      </c>
      <c r="BB160" s="165">
        <v>45079.315972222219</v>
      </c>
      <c r="BC160" s="165">
        <v>45080.958333333336</v>
      </c>
      <c r="BD160" s="165">
        <v>45083.336805555555</v>
      </c>
      <c r="BE160" s="165">
        <v>45083.503472222219</v>
      </c>
      <c r="BF160" s="165">
        <v>45083.510416666664</v>
      </c>
      <c r="BG160" s="165">
        <v>45083.510416666664</v>
      </c>
      <c r="BH160" s="165">
        <f t="shared" si="61"/>
        <v>45085.21875</v>
      </c>
      <c r="BI160" s="165">
        <v>45085.229166608799</v>
      </c>
      <c r="BJ160" s="165">
        <v>45085.395833275463</v>
      </c>
      <c r="BK160" s="165">
        <v>45085.301388888889</v>
      </c>
      <c r="BL160" s="165">
        <v>45086.39166666667</v>
      </c>
      <c r="BM160" s="165">
        <v>45092.076388888891</v>
      </c>
      <c r="BN160" s="165">
        <v>45092.3125</v>
      </c>
      <c r="BO160" s="165">
        <v>45092.333333333336</v>
      </c>
      <c r="BP160" s="165">
        <v>45092.506944444445</v>
      </c>
      <c r="BQ160" s="165">
        <v>45092.719444444447</v>
      </c>
      <c r="BT160" s="136">
        <f t="shared" si="47"/>
        <v>39.416666666802485</v>
      </c>
      <c r="BU160" s="136">
        <f t="shared" si="48"/>
        <v>3.9999999999417923</v>
      </c>
      <c r="BV160" s="136">
        <f t="shared" si="49"/>
        <v>41.000000000058208</v>
      </c>
      <c r="BW160" s="136">
        <f t="shared" si="59"/>
        <v>23.900001388974488</v>
      </c>
      <c r="BX160" s="135">
        <f t="shared" si="51"/>
        <v>5.6666666666278616</v>
      </c>
      <c r="BY160" s="135">
        <f t="shared" si="52"/>
        <v>5.1000000000349246</v>
      </c>
      <c r="BZ160" s="134">
        <f t="shared" si="53"/>
        <v>4.9618056134349899</v>
      </c>
      <c r="CA160" s="134">
        <f t="shared" si="54"/>
        <v>14.511111111110949</v>
      </c>
      <c r="CB160" s="133">
        <f t="shared" si="55"/>
        <v>0.34193147412645791</v>
      </c>
    </row>
    <row r="161" spans="1:80" s="126" customFormat="1">
      <c r="A161" s="192">
        <f t="shared" si="60"/>
        <v>45085.173611111109</v>
      </c>
      <c r="B161" s="126" t="s">
        <v>228</v>
      </c>
      <c r="C161" s="126" t="s">
        <v>229</v>
      </c>
      <c r="D161" s="126" t="s">
        <v>197</v>
      </c>
      <c r="E161" s="65" t="s">
        <v>1184</v>
      </c>
      <c r="G161" s="73">
        <v>45090.4375</v>
      </c>
      <c r="H161" s="73">
        <v>45090.440972222219</v>
      </c>
      <c r="I161" s="126" t="s">
        <v>490</v>
      </c>
      <c r="J161" s="115" t="s">
        <v>192</v>
      </c>
      <c r="K161" s="115" t="s">
        <v>192</v>
      </c>
      <c r="L161" s="126" t="s">
        <v>1957</v>
      </c>
      <c r="M161" s="167"/>
      <c r="N161" s="126" t="s">
        <v>1240</v>
      </c>
      <c r="O161" s="126" t="s">
        <v>1241</v>
      </c>
      <c r="P161" s="126" t="s">
        <v>494</v>
      </c>
      <c r="Q161" s="181">
        <f>3243*2.4</f>
        <v>7783.2</v>
      </c>
      <c r="R161" s="181">
        <f>7800+100</f>
        <v>7900</v>
      </c>
      <c r="S161" s="181">
        <v>672.18399999999997</v>
      </c>
      <c r="T161" s="181"/>
      <c r="U161" s="181">
        <f>S161</f>
        <v>672.18399999999997</v>
      </c>
      <c r="AB161" s="172"/>
      <c r="AX161" s="165">
        <f t="shared" si="43"/>
        <v>45078.541666666664</v>
      </c>
      <c r="AY161" s="165">
        <f t="shared" si="44"/>
        <v>45095.631944444445</v>
      </c>
      <c r="AZ161" s="137">
        <f t="shared" si="45"/>
        <v>17.090277777781012</v>
      </c>
      <c r="BA161" s="165">
        <v>45078.541666666664</v>
      </c>
      <c r="BB161" s="165">
        <v>45079.345833333333</v>
      </c>
      <c r="BC161" s="165">
        <v>45080.965277777781</v>
      </c>
      <c r="BD161" s="165">
        <v>45085.173611111109</v>
      </c>
      <c r="BE161" s="165">
        <v>45085.361111111109</v>
      </c>
      <c r="BF161" s="165">
        <v>45085.364583333336</v>
      </c>
      <c r="BG161" s="165">
        <v>45085.368055555555</v>
      </c>
      <c r="BH161" s="165">
        <f t="shared" si="61"/>
        <v>45087.076388888891</v>
      </c>
      <c r="BI161" s="165">
        <v>45087.229166608799</v>
      </c>
      <c r="BJ161" s="165">
        <v>45087.395833275463</v>
      </c>
      <c r="BK161" s="210">
        <v>45087.315972222219</v>
      </c>
      <c r="BL161" s="165">
        <v>45093.180555555555</v>
      </c>
      <c r="BM161" s="165">
        <v>45095.125</v>
      </c>
      <c r="BN161" s="165">
        <v>45095.166666666664</v>
      </c>
      <c r="BO161" s="165">
        <v>45095.180555555555</v>
      </c>
      <c r="BP161" s="165">
        <v>45095.180555555555</v>
      </c>
      <c r="BQ161" s="165">
        <v>45095.631944444445</v>
      </c>
      <c r="BT161" s="136">
        <f t="shared" si="47"/>
        <v>38.866666666755918</v>
      </c>
      <c r="BU161" s="136">
        <f t="shared" si="48"/>
        <v>4.5</v>
      </c>
      <c r="BV161" s="136">
        <f t="shared" si="49"/>
        <v>41.000000000058208</v>
      </c>
      <c r="BW161" s="136">
        <f t="shared" si="59"/>
        <v>138.83333472220693</v>
      </c>
      <c r="BX161" s="135">
        <f t="shared" si="51"/>
        <v>0.99999999994179234</v>
      </c>
      <c r="BY161" s="135">
        <f t="shared" si="52"/>
        <v>10.833333333372138</v>
      </c>
      <c r="BZ161" s="134">
        <f t="shared" si="53"/>
        <v>9.7930556134306244</v>
      </c>
      <c r="CA161" s="134">
        <f t="shared" si="54"/>
        <v>17.090277777781012</v>
      </c>
      <c r="CB161" s="133">
        <f t="shared" si="55"/>
        <v>0.57301910131399558</v>
      </c>
    </row>
    <row r="162" spans="1:80" s="126" customFormat="1">
      <c r="A162" s="192">
        <f t="shared" si="60"/>
        <v>45085.173611111109</v>
      </c>
      <c r="B162" s="126" t="s">
        <v>228</v>
      </c>
      <c r="C162" s="126" t="s">
        <v>229</v>
      </c>
      <c r="D162" s="126" t="s">
        <v>197</v>
      </c>
      <c r="E162" s="65" t="s">
        <v>1781</v>
      </c>
      <c r="G162" s="73">
        <v>45086.431944444441</v>
      </c>
      <c r="H162" s="73">
        <v>45086.431944444441</v>
      </c>
      <c r="I162" s="126" t="s">
        <v>490</v>
      </c>
      <c r="J162" s="126" t="s">
        <v>192</v>
      </c>
      <c r="K162" s="126" t="s">
        <v>192</v>
      </c>
      <c r="L162" s="126" t="s">
        <v>1957</v>
      </c>
      <c r="M162" s="167"/>
      <c r="N162" s="126" t="s">
        <v>1240</v>
      </c>
      <c r="O162" s="126" t="s">
        <v>1241</v>
      </c>
      <c r="P162" s="126" t="s">
        <v>494</v>
      </c>
      <c r="Q162" s="181">
        <f>3243*2.4</f>
        <v>7783.2</v>
      </c>
      <c r="R162" s="181">
        <f>7800+100</f>
        <v>7900</v>
      </c>
      <c r="S162" s="181">
        <f>7672.139-1508.112</f>
        <v>6164.027</v>
      </c>
      <c r="T162" s="181"/>
      <c r="U162" s="181">
        <f>S162</f>
        <v>6164.027</v>
      </c>
      <c r="AB162" s="172"/>
      <c r="AX162" s="165">
        <f t="shared" si="43"/>
        <v>45078.541666666664</v>
      </c>
      <c r="AY162" s="165">
        <f t="shared" si="44"/>
        <v>45093.180555555555</v>
      </c>
      <c r="AZ162" s="137">
        <f t="shared" si="45"/>
        <v>14.638888888890506</v>
      </c>
      <c r="BA162" s="165">
        <v>45078.541666666664</v>
      </c>
      <c r="BB162" s="165">
        <v>45079.345833333333</v>
      </c>
      <c r="BC162" s="165">
        <v>45080.965277777781</v>
      </c>
      <c r="BD162" s="165">
        <v>45085.173611111109</v>
      </c>
      <c r="BE162" s="165">
        <v>45085.361111111109</v>
      </c>
      <c r="BF162" s="165">
        <v>45085.364583333336</v>
      </c>
      <c r="BG162" s="165">
        <v>45085.368055555555</v>
      </c>
      <c r="BH162" s="165">
        <f t="shared" si="61"/>
        <v>45087.076388888891</v>
      </c>
      <c r="BI162" s="165">
        <v>45087.229166608799</v>
      </c>
      <c r="BJ162" s="165">
        <v>45087.395833275463</v>
      </c>
      <c r="BK162" s="210">
        <v>45087.315972222219</v>
      </c>
      <c r="BL162" s="165">
        <v>45088.972222222219</v>
      </c>
      <c r="BM162" s="165">
        <v>45092.8125</v>
      </c>
      <c r="BN162" s="165">
        <v>45093.072916666664</v>
      </c>
      <c r="BO162" s="165">
        <v>45093.180555555555</v>
      </c>
      <c r="BP162" s="165">
        <v>45093.180555555555</v>
      </c>
      <c r="BQ162" s="165">
        <v>45093.180555555555</v>
      </c>
      <c r="BT162" s="136">
        <f t="shared" si="47"/>
        <v>38.866666666755918</v>
      </c>
      <c r="BU162" s="136">
        <f t="shared" si="48"/>
        <v>4.5</v>
      </c>
      <c r="BV162" s="136">
        <f t="shared" si="49"/>
        <v>41.000000000058208</v>
      </c>
      <c r="BW162" s="136">
        <f t="shared" si="59"/>
        <v>37.83333472214872</v>
      </c>
      <c r="BX162" s="135">
        <f t="shared" si="51"/>
        <v>6.2499999999417923</v>
      </c>
      <c r="BY162" s="135">
        <f t="shared" si="52"/>
        <v>0</v>
      </c>
      <c r="BZ162" s="134">
        <f t="shared" si="53"/>
        <v>5.3520833912043599</v>
      </c>
      <c r="CA162" s="134">
        <f t="shared" si="54"/>
        <v>14.638888888890506</v>
      </c>
      <c r="CB162" s="133">
        <f t="shared" si="55"/>
        <v>0.36560721457938461</v>
      </c>
    </row>
    <row r="163" spans="1:80" s="126" customFormat="1">
      <c r="A163" s="192">
        <f t="shared" si="60"/>
        <v>45085.84375</v>
      </c>
      <c r="B163" s="126" t="s">
        <v>228</v>
      </c>
      <c r="C163" s="126" t="s">
        <v>229</v>
      </c>
      <c r="D163" s="126" t="s">
        <v>197</v>
      </c>
      <c r="E163" s="65" t="s">
        <v>1891</v>
      </c>
      <c r="G163" s="73">
        <v>45084.666666666664</v>
      </c>
      <c r="H163" s="73">
        <v>45084.708333333336</v>
      </c>
      <c r="I163" s="126" t="s">
        <v>490</v>
      </c>
      <c r="J163" s="115" t="s">
        <v>192</v>
      </c>
      <c r="K163" s="115" t="s">
        <v>192</v>
      </c>
      <c r="L163" s="126" t="s">
        <v>1958</v>
      </c>
      <c r="M163" s="167"/>
      <c r="N163" s="126" t="s">
        <v>70</v>
      </c>
      <c r="O163" s="126" t="s">
        <v>255</v>
      </c>
      <c r="P163" s="126" t="s">
        <v>1959</v>
      </c>
      <c r="Q163" s="181">
        <f>3047*2.4</f>
        <v>7312.8</v>
      </c>
      <c r="R163" s="181">
        <f>7350+100</f>
        <v>7450</v>
      </c>
      <c r="S163" s="181">
        <v>7459.6760000000004</v>
      </c>
      <c r="T163" s="181"/>
      <c r="U163" s="181">
        <f>S163*0.2</f>
        <v>1491.9352000000001</v>
      </c>
      <c r="V163" s="181">
        <f>S163*0.8</f>
        <v>5967.7408000000005</v>
      </c>
      <c r="AB163" s="172"/>
      <c r="AC163" s="172"/>
      <c r="AX163" s="165">
        <f t="shared" si="43"/>
        <v>45079.25</v>
      </c>
      <c r="AY163" s="165">
        <f t="shared" si="44"/>
        <v>45095.881944444445</v>
      </c>
      <c r="AZ163" s="137">
        <f t="shared" si="45"/>
        <v>16.631944444445253</v>
      </c>
      <c r="BA163" s="165">
        <v>45079.25</v>
      </c>
      <c r="BB163" s="165">
        <v>45079.881944444445</v>
      </c>
      <c r="BC163" s="165">
        <v>45081.413194444445</v>
      </c>
      <c r="BD163" s="165">
        <v>45085.84375</v>
      </c>
      <c r="BE163" s="165">
        <v>45085.982638888891</v>
      </c>
      <c r="BF163" s="165">
        <v>45085.986111111109</v>
      </c>
      <c r="BG163" s="165">
        <v>45086.21875</v>
      </c>
      <c r="BH163" s="165">
        <f t="shared" si="61"/>
        <v>45087.927083333336</v>
      </c>
      <c r="BI163" s="165">
        <v>45088.229166608799</v>
      </c>
      <c r="BJ163" s="165">
        <v>45088.395833275463</v>
      </c>
      <c r="BK163" s="165">
        <v>45088.326388888891</v>
      </c>
      <c r="BL163" s="165">
        <v>45090.270833333336</v>
      </c>
      <c r="BM163" s="165">
        <v>45095.270833333336</v>
      </c>
      <c r="BN163" s="165">
        <v>45095.53125</v>
      </c>
      <c r="BO163" s="165">
        <v>45095.552083333336</v>
      </c>
      <c r="BP163" s="165">
        <v>45095.552083333336</v>
      </c>
      <c r="BQ163" s="165">
        <v>45095.881944444445</v>
      </c>
      <c r="BT163" s="136">
        <f t="shared" si="47"/>
        <v>36.75</v>
      </c>
      <c r="BU163" s="136">
        <f t="shared" si="48"/>
        <v>3.3333333333721384</v>
      </c>
      <c r="BV163" s="136">
        <f t="shared" si="49"/>
        <v>41.000000000058208</v>
      </c>
      <c r="BW163" s="136">
        <f t="shared" si="59"/>
        <v>45.000001388951205</v>
      </c>
      <c r="BX163" s="135">
        <f t="shared" si="51"/>
        <v>6.2499999999417923</v>
      </c>
      <c r="BY163" s="135">
        <f t="shared" si="52"/>
        <v>7.9166666666278616</v>
      </c>
      <c r="BZ163" s="134">
        <f t="shared" si="53"/>
        <v>5.8437500578729669</v>
      </c>
      <c r="CA163" s="134">
        <f t="shared" si="54"/>
        <v>16.631944444445253</v>
      </c>
      <c r="CB163" s="133">
        <f t="shared" si="55"/>
        <v>0.35135699721656216</v>
      </c>
    </row>
    <row r="164" spans="1:80" s="126" customFormat="1">
      <c r="A164" s="192">
        <f t="shared" si="60"/>
        <v>45082.745138888888</v>
      </c>
      <c r="B164" s="126" t="s">
        <v>228</v>
      </c>
      <c r="C164" s="126" t="s">
        <v>229</v>
      </c>
      <c r="D164" s="126" t="s">
        <v>215</v>
      </c>
      <c r="E164" s="65" t="s">
        <v>1891</v>
      </c>
      <c r="G164" s="73">
        <v>45084.666666666664</v>
      </c>
      <c r="H164" s="73">
        <v>45084.708333333336</v>
      </c>
      <c r="I164" s="126" t="s">
        <v>490</v>
      </c>
      <c r="J164" s="115" t="s">
        <v>192</v>
      </c>
      <c r="K164" s="115" t="s">
        <v>192</v>
      </c>
      <c r="L164" s="126" t="s">
        <v>1960</v>
      </c>
      <c r="M164" s="167"/>
      <c r="N164" s="126" t="s">
        <v>246</v>
      </c>
      <c r="O164" s="126" t="s">
        <v>247</v>
      </c>
      <c r="P164" s="126" t="s">
        <v>1959</v>
      </c>
      <c r="Q164" s="181">
        <f>3136*2.4</f>
        <v>7526.4</v>
      </c>
      <c r="R164" s="181">
        <f>7550+100</f>
        <v>7650</v>
      </c>
      <c r="S164" s="181">
        <v>7492.3890000000001</v>
      </c>
      <c r="T164" s="181"/>
      <c r="V164" s="181">
        <f>S164</f>
        <v>7492.3890000000001</v>
      </c>
      <c r="AB164" s="172"/>
      <c r="AX164" s="165">
        <f t="shared" si="43"/>
        <v>45074.947916666664</v>
      </c>
      <c r="AY164" s="165">
        <f t="shared" si="44"/>
        <v>45095.708333333336</v>
      </c>
      <c r="AZ164" s="137">
        <f t="shared" si="45"/>
        <v>20.760416666671517</v>
      </c>
      <c r="BA164" s="165">
        <v>45074.947916666664</v>
      </c>
      <c r="BB164" s="165">
        <v>45078.378472222219</v>
      </c>
      <c r="BC164" s="165">
        <v>45080.479166666664</v>
      </c>
      <c r="BD164" s="165">
        <v>45082.745138888888</v>
      </c>
      <c r="BE164" s="165">
        <v>45082.94027777778</v>
      </c>
      <c r="BF164" s="165">
        <v>45082.947916666664</v>
      </c>
      <c r="BG164" s="165">
        <v>45082.947916666664</v>
      </c>
      <c r="BH164" s="165">
        <f t="shared" si="61"/>
        <v>45084.65625</v>
      </c>
      <c r="BI164" s="165">
        <v>45085.229166608799</v>
      </c>
      <c r="BJ164" s="165">
        <v>45085.395833275463</v>
      </c>
      <c r="BK164" s="165">
        <v>45085.399305555555</v>
      </c>
      <c r="BL164" s="165">
        <v>45089.4375</v>
      </c>
      <c r="BM164" s="165">
        <v>45094.996527777781</v>
      </c>
      <c r="BN164" s="165">
        <v>45095.208333333336</v>
      </c>
      <c r="BO164" s="165">
        <v>45095.229166666664</v>
      </c>
      <c r="BP164" s="165">
        <v>45095.229166666664</v>
      </c>
      <c r="BQ164" s="165">
        <v>45095.708333333336</v>
      </c>
      <c r="BT164" s="136">
        <f t="shared" si="47"/>
        <v>50.416666666686069</v>
      </c>
      <c r="BU164" s="136">
        <f t="shared" si="48"/>
        <v>4.683333333407063</v>
      </c>
      <c r="BV164" s="136">
        <f t="shared" si="49"/>
        <v>41.000000000058208</v>
      </c>
      <c r="BW164" s="136">
        <f t="shared" si="59"/>
        <v>97.000001388892997</v>
      </c>
      <c r="BX164" s="135">
        <f t="shared" si="51"/>
        <v>5.0833333333139308</v>
      </c>
      <c r="BY164" s="135">
        <f t="shared" si="52"/>
        <v>11.500000000116415</v>
      </c>
      <c r="BZ164" s="134">
        <f t="shared" si="53"/>
        <v>8.7368056134364451</v>
      </c>
      <c r="CA164" s="134">
        <f t="shared" si="54"/>
        <v>20.760416666671517</v>
      </c>
      <c r="CB164" s="133">
        <f t="shared" si="55"/>
        <v>0.42083960807310727</v>
      </c>
    </row>
    <row r="165" spans="1:80" s="126" customFormat="1">
      <c r="A165" s="192">
        <f t="shared" si="60"/>
        <v>45082.96875</v>
      </c>
      <c r="B165" s="126" t="s">
        <v>228</v>
      </c>
      <c r="C165" s="126" t="s">
        <v>229</v>
      </c>
      <c r="D165" s="126" t="s">
        <v>215</v>
      </c>
      <c r="E165" s="65" t="s">
        <v>1891</v>
      </c>
      <c r="G165" s="73">
        <v>45084.666666666664</v>
      </c>
      <c r="H165" s="73">
        <v>45084.708333333336</v>
      </c>
      <c r="I165" s="126" t="s">
        <v>490</v>
      </c>
      <c r="J165" s="115" t="s">
        <v>192</v>
      </c>
      <c r="K165" s="115" t="s">
        <v>192</v>
      </c>
      <c r="L165" s="126" t="s">
        <v>1961</v>
      </c>
      <c r="M165" s="167"/>
      <c r="N165" s="126" t="s">
        <v>222</v>
      </c>
      <c r="O165" s="126" t="s">
        <v>223</v>
      </c>
      <c r="P165" s="126" t="s">
        <v>1959</v>
      </c>
      <c r="Q165" s="181">
        <f>3137*2.4</f>
        <v>7528.7999999999993</v>
      </c>
      <c r="R165" s="181">
        <f>7550+100</f>
        <v>7650</v>
      </c>
      <c r="S165" s="181">
        <v>7503.0690000000004</v>
      </c>
      <c r="T165" s="181"/>
      <c r="V165" s="181">
        <f>S165</f>
        <v>7503.0690000000004</v>
      </c>
      <c r="AB165" s="172"/>
      <c r="AC165" s="172"/>
      <c r="AX165" s="165">
        <f t="shared" si="43"/>
        <v>45075.048611111109</v>
      </c>
      <c r="AY165" s="165">
        <f t="shared" si="44"/>
        <v>45095.287499999999</v>
      </c>
      <c r="AZ165" s="137">
        <f t="shared" si="45"/>
        <v>20.238888888889051</v>
      </c>
      <c r="BA165" s="165">
        <v>45075.048611111109</v>
      </c>
      <c r="BB165" s="165">
        <v>45078.833333333336</v>
      </c>
      <c r="BC165" s="165">
        <v>45080.75</v>
      </c>
      <c r="BD165" s="165">
        <v>45082.96875</v>
      </c>
      <c r="BE165" s="165">
        <v>45083.125</v>
      </c>
      <c r="BF165" s="165">
        <v>45083.135416666664</v>
      </c>
      <c r="BG165" s="165">
        <v>45052.256944444445</v>
      </c>
      <c r="BH165" s="165">
        <f t="shared" si="61"/>
        <v>45053.965277777781</v>
      </c>
      <c r="BI165" s="165">
        <v>45085.229166608799</v>
      </c>
      <c r="BJ165" s="165">
        <v>45085.395833275463</v>
      </c>
      <c r="BK165" s="165">
        <v>45085.309027777781</v>
      </c>
      <c r="BL165" s="165">
        <v>45089.354166666664</v>
      </c>
      <c r="BM165" s="165">
        <v>45094.722222222219</v>
      </c>
      <c r="BN165" s="165">
        <v>45094.934027777781</v>
      </c>
      <c r="BO165" s="165">
        <v>45094.954861111109</v>
      </c>
      <c r="BP165" s="165">
        <v>45094.954861111109</v>
      </c>
      <c r="BQ165" s="165">
        <v>45095.287499999999</v>
      </c>
      <c r="BT165" s="136">
        <f t="shared" si="47"/>
        <v>45.999999999941792</v>
      </c>
      <c r="BU165" s="136">
        <f t="shared" si="48"/>
        <v>3.75</v>
      </c>
      <c r="BV165" s="136">
        <f t="shared" si="49"/>
        <v>41.000000000058208</v>
      </c>
      <c r="BW165" s="136">
        <f t="shared" si="59"/>
        <v>95.000001388834789</v>
      </c>
      <c r="BX165" s="135">
        <f t="shared" si="51"/>
        <v>5.0833333334885538</v>
      </c>
      <c r="BY165" s="135">
        <f t="shared" si="52"/>
        <v>7.9833333333372138</v>
      </c>
      <c r="BZ165" s="134">
        <f t="shared" si="53"/>
        <v>8.2840278356525232</v>
      </c>
      <c r="CA165" s="134">
        <f t="shared" si="54"/>
        <v>20.238888888889051</v>
      </c>
      <c r="CB165" s="133">
        <f t="shared" si="55"/>
        <v>0.40931238276624821</v>
      </c>
    </row>
    <row r="166" spans="1:80" s="126" customFormat="1">
      <c r="A166" s="192">
        <f t="shared" si="60"/>
        <v>45087.234722222223</v>
      </c>
      <c r="B166" s="126" t="s">
        <v>228</v>
      </c>
      <c r="C166" s="126" t="s">
        <v>229</v>
      </c>
      <c r="D166" s="126" t="s">
        <v>197</v>
      </c>
      <c r="E166" s="65" t="s">
        <v>1891</v>
      </c>
      <c r="G166" s="73">
        <v>45084.666666666664</v>
      </c>
      <c r="H166" s="73">
        <v>45084.708333333336</v>
      </c>
      <c r="I166" s="126" t="s">
        <v>490</v>
      </c>
      <c r="J166" s="126" t="s">
        <v>192</v>
      </c>
      <c r="K166" s="126" t="s">
        <v>192</v>
      </c>
      <c r="L166" s="126" t="s">
        <v>1962</v>
      </c>
      <c r="M166" s="167"/>
      <c r="N166" s="126" t="s">
        <v>505</v>
      </c>
      <c r="O166" s="126" t="s">
        <v>506</v>
      </c>
      <c r="P166" s="126" t="s">
        <v>1963</v>
      </c>
      <c r="Q166" s="181">
        <f>3071*2.4</f>
        <v>7370.4</v>
      </c>
      <c r="R166" s="181">
        <f>7400+100</f>
        <v>7500</v>
      </c>
      <c r="S166" s="181">
        <v>7648.7460000000001</v>
      </c>
      <c r="T166" s="181"/>
      <c r="U166" s="181">
        <f>S166</f>
        <v>7648.7460000000001</v>
      </c>
      <c r="AX166" s="165">
        <f t="shared" si="43"/>
        <v>45079.024305555555</v>
      </c>
      <c r="AY166" s="165">
        <f t="shared" si="44"/>
        <v>45096.263888888891</v>
      </c>
      <c r="AZ166" s="137">
        <f t="shared" si="45"/>
        <v>17.239583333335759</v>
      </c>
      <c r="BA166" s="165">
        <v>45079.024305555555</v>
      </c>
      <c r="BB166" s="165">
        <v>45084.8125</v>
      </c>
      <c r="BC166" s="165">
        <v>45086.506944444445</v>
      </c>
      <c r="BD166" s="165">
        <v>45087.234722222223</v>
      </c>
      <c r="BE166" s="165">
        <v>45087.475694444445</v>
      </c>
      <c r="BF166" s="165">
        <v>45087.487500000003</v>
      </c>
      <c r="BG166" s="165">
        <v>45087.493055555555</v>
      </c>
      <c r="BH166" s="165">
        <f t="shared" si="61"/>
        <v>45089.201388888891</v>
      </c>
      <c r="BI166" s="165">
        <v>45090.5</v>
      </c>
      <c r="BJ166" s="165">
        <v>45090.666666666664</v>
      </c>
      <c r="BK166" s="165">
        <v>45090.645833333336</v>
      </c>
      <c r="BL166" s="165">
        <v>45091.888888888891</v>
      </c>
      <c r="BM166" s="165">
        <v>45095.59375</v>
      </c>
      <c r="BN166" s="165">
        <v>45095.826388888891</v>
      </c>
      <c r="BO166" s="165">
        <v>45095.847222222219</v>
      </c>
      <c r="BP166" s="165">
        <v>45096.100694444445</v>
      </c>
      <c r="BQ166" s="165">
        <v>45096.263888888891</v>
      </c>
      <c r="BT166" s="136">
        <f t="shared" si="47"/>
        <v>40.666666666686069</v>
      </c>
      <c r="BU166" s="136">
        <f t="shared" si="48"/>
        <v>5.7833333333255723</v>
      </c>
      <c r="BV166" s="136">
        <f t="shared" si="49"/>
        <v>41.000000000058208</v>
      </c>
      <c r="BW166" s="136">
        <f t="shared" si="59"/>
        <v>29.333333333430346</v>
      </c>
      <c r="BX166" s="135">
        <f t="shared" si="51"/>
        <v>5.5833333333721384</v>
      </c>
      <c r="BY166" s="135">
        <f t="shared" si="52"/>
        <v>3.9166666666860692</v>
      </c>
      <c r="BZ166" s="134">
        <f t="shared" si="53"/>
        <v>5.2618055555649335</v>
      </c>
      <c r="CA166" s="134">
        <f t="shared" si="54"/>
        <v>17.239583333335759</v>
      </c>
      <c r="CB166" s="133">
        <f t="shared" si="55"/>
        <v>0.30521651560976587</v>
      </c>
    </row>
    <row r="167" spans="1:80" s="126" customFormat="1">
      <c r="A167" s="192">
        <f t="shared" si="60"/>
        <v>45089.024305555555</v>
      </c>
      <c r="B167" s="126" t="s">
        <v>228</v>
      </c>
      <c r="C167" s="126" t="s">
        <v>229</v>
      </c>
      <c r="D167" s="126" t="s">
        <v>197</v>
      </c>
      <c r="E167" s="65" t="s">
        <v>1891</v>
      </c>
      <c r="G167" s="73">
        <v>45084.666666666664</v>
      </c>
      <c r="H167" s="73">
        <v>45084.708333333336</v>
      </c>
      <c r="I167" s="126" t="s">
        <v>490</v>
      </c>
      <c r="J167" s="115" t="s">
        <v>192</v>
      </c>
      <c r="K167" s="115" t="s">
        <v>192</v>
      </c>
      <c r="L167" s="126" t="s">
        <v>1964</v>
      </c>
      <c r="M167" s="167"/>
      <c r="N167" s="126" t="s">
        <v>429</v>
      </c>
      <c r="O167" s="126" t="s">
        <v>430</v>
      </c>
      <c r="P167" s="126" t="s">
        <v>1963</v>
      </c>
      <c r="Q167" s="181">
        <f>3145 *2.4</f>
        <v>7548</v>
      </c>
      <c r="R167" s="181">
        <f>7550+100</f>
        <v>7650</v>
      </c>
      <c r="S167" s="181">
        <v>7631.067</v>
      </c>
      <c r="T167" s="181"/>
      <c r="U167" s="181">
        <f>S167</f>
        <v>7631.067</v>
      </c>
      <c r="AX167" s="165">
        <f t="shared" si="43"/>
        <v>45073.246527777781</v>
      </c>
      <c r="AY167" s="165">
        <f t="shared" si="44"/>
        <v>45096.385416666664</v>
      </c>
      <c r="AZ167" s="137">
        <f t="shared" si="45"/>
        <v>23.13888888888323</v>
      </c>
      <c r="BA167" s="165">
        <v>45073.246527777781</v>
      </c>
      <c r="BB167" s="165">
        <v>45086.819444444445</v>
      </c>
      <c r="BC167" s="165">
        <v>45089</v>
      </c>
      <c r="BD167" s="165">
        <v>45089.024305555555</v>
      </c>
      <c r="BE167" s="165">
        <v>45089.168749999997</v>
      </c>
      <c r="BF167" s="165">
        <v>45089.180555555555</v>
      </c>
      <c r="BG167" s="165">
        <v>45089.180555555555</v>
      </c>
      <c r="BH167" s="165">
        <f t="shared" si="61"/>
        <v>45090.888888888891</v>
      </c>
      <c r="BI167" s="165">
        <v>45090.5</v>
      </c>
      <c r="BJ167" s="165">
        <v>45090.666666666664</v>
      </c>
      <c r="BK167" s="165">
        <v>45090.666666666664</v>
      </c>
      <c r="BL167" s="165">
        <v>45092.083333333336</v>
      </c>
      <c r="BM167" s="165">
        <v>45095.888888888891</v>
      </c>
      <c r="BN167" s="165">
        <v>45096.069444444445</v>
      </c>
      <c r="BO167" s="165">
        <v>45096.090277777781</v>
      </c>
      <c r="BP167" s="165">
        <v>45096.090277777781</v>
      </c>
      <c r="BQ167" s="165">
        <v>45096.385416666664</v>
      </c>
      <c r="BT167" s="136">
        <f t="shared" si="47"/>
        <v>52.333333333313931</v>
      </c>
      <c r="BU167" s="136">
        <f t="shared" si="48"/>
        <v>3.46666666661622</v>
      </c>
      <c r="BV167" s="136">
        <f t="shared" si="49"/>
        <v>41.000000000058208</v>
      </c>
      <c r="BW167" s="136">
        <f t="shared" si="59"/>
        <v>34.000000000116415</v>
      </c>
      <c r="BX167" s="135">
        <f t="shared" si="51"/>
        <v>4.3333333333139308</v>
      </c>
      <c r="BY167" s="135">
        <f t="shared" si="52"/>
        <v>7.0833333331975155</v>
      </c>
      <c r="BZ167" s="134">
        <f t="shared" si="53"/>
        <v>5.9256944444423425</v>
      </c>
      <c r="CA167" s="134">
        <f t="shared" si="54"/>
        <v>23.13888888888323</v>
      </c>
      <c r="CB167" s="133">
        <f t="shared" si="55"/>
        <v>0.25609243697476169</v>
      </c>
    </row>
    <row r="168" spans="1:80" s="126" customFormat="1">
      <c r="A168" s="192">
        <f t="shared" si="60"/>
        <v>45089.447916666664</v>
      </c>
      <c r="B168" s="126" t="s">
        <v>228</v>
      </c>
      <c r="C168" s="126" t="s">
        <v>229</v>
      </c>
      <c r="D168" s="126" t="s">
        <v>197</v>
      </c>
      <c r="E168" s="65" t="s">
        <v>1891</v>
      </c>
      <c r="G168" s="73">
        <v>45084.666666666664</v>
      </c>
      <c r="H168" s="73">
        <v>45084.708333333336</v>
      </c>
      <c r="I168" s="126" t="s">
        <v>490</v>
      </c>
      <c r="J168" s="115" t="s">
        <v>192</v>
      </c>
      <c r="K168" s="115" t="s">
        <v>192</v>
      </c>
      <c r="L168" s="126" t="s">
        <v>1965</v>
      </c>
      <c r="M168" s="167"/>
      <c r="N168" s="126" t="s">
        <v>284</v>
      </c>
      <c r="O168" s="126" t="s">
        <v>285</v>
      </c>
      <c r="P168" s="126" t="s">
        <v>1963</v>
      </c>
      <c r="Q168" s="181">
        <f>3852*2.4</f>
        <v>9244.7999999999993</v>
      </c>
      <c r="R168" s="181">
        <f>9250+100</f>
        <v>9350</v>
      </c>
      <c r="S168" s="181">
        <v>9012.8050000000003</v>
      </c>
      <c r="T168" s="181"/>
      <c r="U168" s="181">
        <f>S168</f>
        <v>9012.8050000000003</v>
      </c>
      <c r="AX168" s="165">
        <f t="shared" si="43"/>
        <v>45086.423611111109</v>
      </c>
      <c r="AY168" s="165">
        <f t="shared" si="44"/>
        <v>45096.944444444445</v>
      </c>
      <c r="AZ168" s="137">
        <f t="shared" si="45"/>
        <v>10.520833333335759</v>
      </c>
      <c r="BA168" s="165">
        <v>45086.423611111109</v>
      </c>
      <c r="BB168" s="165">
        <v>45087.565972222219</v>
      </c>
      <c r="BC168" s="165">
        <v>45089.423611111109</v>
      </c>
      <c r="BD168" s="165">
        <v>45089.447916666664</v>
      </c>
      <c r="BE168" s="165">
        <v>45089.614583333336</v>
      </c>
      <c r="BF168" s="165">
        <v>45089.618055555555</v>
      </c>
      <c r="BG168" s="165">
        <v>45089.618055555555</v>
      </c>
      <c r="BH168" s="165">
        <f t="shared" si="61"/>
        <v>45091.326388888891</v>
      </c>
      <c r="BI168" s="165">
        <v>45091.5</v>
      </c>
      <c r="BJ168" s="165">
        <v>45091.666666666664</v>
      </c>
      <c r="BK168" s="165">
        <v>45091.569444444445</v>
      </c>
      <c r="BL168" s="165">
        <v>45092.854166666664</v>
      </c>
      <c r="BM168" s="165">
        <v>45096.131944444445</v>
      </c>
      <c r="BN168" s="165">
        <v>45096.381944444445</v>
      </c>
      <c r="BO168" s="165">
        <v>45096.402777777781</v>
      </c>
      <c r="BP168" s="165">
        <v>45096.666666666664</v>
      </c>
      <c r="BQ168" s="165">
        <v>45096.944444444445</v>
      </c>
      <c r="BT168" s="136">
        <f t="shared" si="47"/>
        <v>44.583333333372138</v>
      </c>
      <c r="BU168" s="136">
        <f t="shared" si="48"/>
        <v>4.0000000001164153</v>
      </c>
      <c r="BV168" s="136">
        <f t="shared" si="49"/>
        <v>41.000000000058208</v>
      </c>
      <c r="BW168" s="136">
        <f t="shared" si="59"/>
        <v>28.5</v>
      </c>
      <c r="BX168" s="135">
        <f t="shared" si="51"/>
        <v>6</v>
      </c>
      <c r="BY168" s="135">
        <f t="shared" si="52"/>
        <v>6.6666666667442769</v>
      </c>
      <c r="BZ168" s="134">
        <f t="shared" si="53"/>
        <v>5.4479166666787933</v>
      </c>
      <c r="CA168" s="134">
        <f t="shared" si="54"/>
        <v>10.520833333335759</v>
      </c>
      <c r="CB168" s="133">
        <f t="shared" si="55"/>
        <v>0.51782178217925112</v>
      </c>
    </row>
    <row r="169" spans="1:80" s="126" customFormat="1">
      <c r="A169" s="192">
        <f t="shared" si="60"/>
        <v>45089.857638888891</v>
      </c>
      <c r="B169" s="126" t="s">
        <v>228</v>
      </c>
      <c r="C169" s="126" t="s">
        <v>229</v>
      </c>
      <c r="D169" s="126" t="s">
        <v>197</v>
      </c>
      <c r="E169" s="65" t="s">
        <v>1891</v>
      </c>
      <c r="G169" s="73">
        <v>45084.666666666664</v>
      </c>
      <c r="H169" s="73">
        <v>45084.708333333336</v>
      </c>
      <c r="I169" s="126" t="s">
        <v>490</v>
      </c>
      <c r="J169" s="126" t="s">
        <v>192</v>
      </c>
      <c r="K169" s="126" t="s">
        <v>192</v>
      </c>
      <c r="L169" s="126" t="s">
        <v>1966</v>
      </c>
      <c r="M169" s="167"/>
      <c r="N169" s="126" t="s">
        <v>1392</v>
      </c>
      <c r="O169" s="126" t="s">
        <v>365</v>
      </c>
      <c r="P169" s="126" t="s">
        <v>1963</v>
      </c>
      <c r="Q169" s="181">
        <f>3142*2.4</f>
        <v>7540.7999999999993</v>
      </c>
      <c r="R169" s="181">
        <f>7550+100</f>
        <v>7650</v>
      </c>
      <c r="S169" s="181">
        <f>7518.311-2321.719</f>
        <v>5196.5919999999996</v>
      </c>
      <c r="T169" s="181"/>
      <c r="U169" s="181">
        <f>S169</f>
        <v>5196.5919999999996</v>
      </c>
      <c r="AX169" s="165">
        <f t="shared" si="43"/>
        <v>45086.46875</v>
      </c>
      <c r="AY169" s="165">
        <f t="shared" si="44"/>
        <v>45096.708333333336</v>
      </c>
      <c r="AZ169" s="137">
        <f t="shared" si="45"/>
        <v>10.239583333335759</v>
      </c>
      <c r="BA169" s="165">
        <v>45086.46875</v>
      </c>
      <c r="BB169" s="165">
        <v>45087.541666666664</v>
      </c>
      <c r="BC169" s="165">
        <v>45089.555555555555</v>
      </c>
      <c r="BD169" s="165">
        <v>45089.857638888891</v>
      </c>
      <c r="BE169" s="165">
        <v>45090.020833333336</v>
      </c>
      <c r="BF169" s="165">
        <v>45090.024305555555</v>
      </c>
      <c r="BG169" s="165">
        <v>45090.024305555555</v>
      </c>
      <c r="BH169" s="165">
        <f t="shared" si="61"/>
        <v>45091.732638888891</v>
      </c>
      <c r="BI169" s="165">
        <v>45091.5</v>
      </c>
      <c r="BJ169" s="165">
        <v>45091.666666666664</v>
      </c>
      <c r="BK169" s="165">
        <v>45091.541666666664</v>
      </c>
      <c r="BL169" s="165">
        <v>45092.840277777781</v>
      </c>
      <c r="BM169" s="165">
        <v>45096.444444444445</v>
      </c>
      <c r="BN169" s="165">
        <v>45096.635416666664</v>
      </c>
      <c r="BO169" s="165">
        <v>45096.708333333336</v>
      </c>
      <c r="BP169" s="165">
        <v>45096.708333333336</v>
      </c>
      <c r="BQ169" s="165">
        <v>45096.708333333336</v>
      </c>
      <c r="BT169" s="136">
        <f t="shared" si="47"/>
        <v>48.333333333372138</v>
      </c>
      <c r="BU169" s="136">
        <f t="shared" si="48"/>
        <v>3.9166666666860692</v>
      </c>
      <c r="BV169" s="136">
        <f t="shared" si="49"/>
        <v>41.000000000058208</v>
      </c>
      <c r="BW169" s="136">
        <f t="shared" si="59"/>
        <v>28.166666666802485</v>
      </c>
      <c r="BX169" s="135">
        <f t="shared" si="51"/>
        <v>4.5833333332557231</v>
      </c>
      <c r="BY169" s="135">
        <f t="shared" si="52"/>
        <v>0</v>
      </c>
      <c r="BZ169" s="134">
        <f t="shared" si="53"/>
        <v>5.250000000007276</v>
      </c>
      <c r="CA169" s="134">
        <f t="shared" si="54"/>
        <v>10.239583333335759</v>
      </c>
      <c r="CB169" s="133">
        <f t="shared" si="55"/>
        <v>0.51271617497515676</v>
      </c>
    </row>
    <row r="170" spans="1:80" s="126" customFormat="1">
      <c r="A170" s="192">
        <f t="shared" si="60"/>
        <v>45089.857638888891</v>
      </c>
      <c r="B170" s="126" t="s">
        <v>228</v>
      </c>
      <c r="C170" s="126" t="s">
        <v>229</v>
      </c>
      <c r="D170" s="126" t="s">
        <v>197</v>
      </c>
      <c r="E170" s="65" t="s">
        <v>1922</v>
      </c>
      <c r="G170" s="73">
        <v>45098.708333333336</v>
      </c>
      <c r="H170" s="73">
        <v>45098.695833333331</v>
      </c>
      <c r="I170" s="126" t="s">
        <v>490</v>
      </c>
      <c r="J170" s="115" t="s">
        <v>192</v>
      </c>
      <c r="K170" s="115" t="s">
        <v>192</v>
      </c>
      <c r="L170" s="126" t="s">
        <v>1966</v>
      </c>
      <c r="M170" s="167"/>
      <c r="N170" s="126" t="s">
        <v>1392</v>
      </c>
      <c r="O170" s="126" t="s">
        <v>365</v>
      </c>
      <c r="P170" s="126" t="s">
        <v>1963</v>
      </c>
      <c r="Q170" s="181">
        <f>3142*2.4</f>
        <v>7540.7999999999993</v>
      </c>
      <c r="R170" s="181">
        <f>7550+100</f>
        <v>7650</v>
      </c>
      <c r="S170" s="181">
        <v>2219.1640000000002</v>
      </c>
      <c r="T170" s="181"/>
      <c r="U170" s="181">
        <f>S170</f>
        <v>2219.1640000000002</v>
      </c>
      <c r="AX170" s="165">
        <f t="shared" si="43"/>
        <v>45086.46875</v>
      </c>
      <c r="AY170" s="165">
        <f t="shared" si="44"/>
        <v>45101.479166666664</v>
      </c>
      <c r="AZ170" s="137">
        <f t="shared" si="45"/>
        <v>15.010416666664241</v>
      </c>
      <c r="BA170" s="165">
        <v>45086.46875</v>
      </c>
      <c r="BB170" s="165">
        <v>45087.541666666664</v>
      </c>
      <c r="BC170" s="165">
        <v>45089.555555555555</v>
      </c>
      <c r="BD170" s="165">
        <v>45089.857638888891</v>
      </c>
      <c r="BE170" s="165">
        <v>45090.020833333336</v>
      </c>
      <c r="BF170" s="165">
        <v>45090.024305555555</v>
      </c>
      <c r="BG170" s="165">
        <v>45090.024305555555</v>
      </c>
      <c r="BH170" s="165">
        <f t="shared" si="61"/>
        <v>45091.732638888891</v>
      </c>
      <c r="BI170" s="165">
        <v>45091.5</v>
      </c>
      <c r="BJ170" s="165">
        <v>45091.666666666664</v>
      </c>
      <c r="BK170" s="165">
        <v>45091.541666666664</v>
      </c>
      <c r="BL170" s="165">
        <v>45096.708333333336</v>
      </c>
      <c r="BM170" s="165">
        <v>45100.885416666664</v>
      </c>
      <c r="BN170" s="165">
        <v>45100.944444444445</v>
      </c>
      <c r="BO170" s="165">
        <v>45100.958333333336</v>
      </c>
      <c r="BP170" s="165">
        <v>45100.958333333336</v>
      </c>
      <c r="BQ170" s="165">
        <v>45101.479166666664</v>
      </c>
      <c r="BT170" s="136">
        <f t="shared" si="47"/>
        <v>48.333333333372138</v>
      </c>
      <c r="BU170" s="136">
        <f t="shared" si="48"/>
        <v>3.9166666666860692</v>
      </c>
      <c r="BV170" s="136">
        <f t="shared" si="49"/>
        <v>41.000000000058208</v>
      </c>
      <c r="BW170" s="136">
        <f t="shared" si="59"/>
        <v>121.00000000011642</v>
      </c>
      <c r="BX170" s="135">
        <f t="shared" si="51"/>
        <v>1.4166666667442769</v>
      </c>
      <c r="BY170" s="135">
        <f t="shared" si="52"/>
        <v>12.499999999883585</v>
      </c>
      <c r="BZ170" s="134">
        <f t="shared" si="53"/>
        <v>9.5069444444525288</v>
      </c>
      <c r="CA170" s="134">
        <f t="shared" si="54"/>
        <v>15.010416666664241</v>
      </c>
      <c r="CB170" s="133">
        <f t="shared" si="55"/>
        <v>0.63335646541817503</v>
      </c>
    </row>
    <row r="171" spans="1:80" s="126" customFormat="1">
      <c r="A171" s="192">
        <f t="shared" si="60"/>
        <v>45097.056944444441</v>
      </c>
      <c r="B171" s="126" t="s">
        <v>228</v>
      </c>
      <c r="C171" s="126" t="s">
        <v>229</v>
      </c>
      <c r="D171" s="126" t="s">
        <v>197</v>
      </c>
      <c r="E171" s="65" t="s">
        <v>1922</v>
      </c>
      <c r="G171" s="73">
        <v>45098.708333333336</v>
      </c>
      <c r="H171" s="73">
        <v>45098.695833333331</v>
      </c>
      <c r="I171" s="126" t="s">
        <v>490</v>
      </c>
      <c r="J171" s="115" t="s">
        <v>192</v>
      </c>
      <c r="K171" s="115" t="s">
        <v>192</v>
      </c>
      <c r="L171" s="126" t="s">
        <v>1967</v>
      </c>
      <c r="M171" s="167"/>
      <c r="N171" s="126" t="s">
        <v>346</v>
      </c>
      <c r="O171" s="126" t="s">
        <v>347</v>
      </c>
      <c r="P171" s="126" t="s">
        <v>1968</v>
      </c>
      <c r="Q171" s="181">
        <f>3136*2.4</f>
        <v>7526.4</v>
      </c>
      <c r="R171" s="181">
        <f>7550+100</f>
        <v>7650</v>
      </c>
      <c r="S171" s="181">
        <v>7722.1390000000001</v>
      </c>
      <c r="T171" s="181"/>
      <c r="U171" s="181">
        <f>S171*0.55</f>
        <v>4247.1764500000008</v>
      </c>
      <c r="V171" s="181">
        <f>S171*0.45</f>
        <v>3474.9625500000002</v>
      </c>
      <c r="AX171" s="165">
        <f t="shared" si="43"/>
        <v>45082.625</v>
      </c>
      <c r="AY171" s="165">
        <f t="shared" si="44"/>
        <v>45101.756944444445</v>
      </c>
      <c r="AZ171" s="137">
        <f t="shared" si="45"/>
        <v>19.131944444445253</v>
      </c>
      <c r="BA171" s="165">
        <v>45082.625</v>
      </c>
      <c r="BB171" s="165">
        <v>45094.625</v>
      </c>
      <c r="BC171" s="165">
        <v>45096.763888888891</v>
      </c>
      <c r="BD171" s="165">
        <v>45097.056944444441</v>
      </c>
      <c r="BE171" s="165">
        <v>45097.201388888891</v>
      </c>
      <c r="BF171" s="165">
        <v>45097.215277777781</v>
      </c>
      <c r="BG171" s="165">
        <v>45097.215277777781</v>
      </c>
      <c r="BH171" s="165">
        <f t="shared" si="61"/>
        <v>45098.923611111117</v>
      </c>
      <c r="BI171" s="165">
        <v>45099.25</v>
      </c>
      <c r="BJ171" s="165">
        <v>45099.416666666664</v>
      </c>
      <c r="BK171" s="165">
        <v>45099.392361111109</v>
      </c>
      <c r="BL171" s="165">
        <v>45100.625</v>
      </c>
      <c r="BM171" s="165">
        <v>45101</v>
      </c>
      <c r="BN171" s="165">
        <v>45101.291666666664</v>
      </c>
      <c r="BO171" s="165">
        <v>45101.3125</v>
      </c>
      <c r="BP171" s="165">
        <v>45101.3125</v>
      </c>
      <c r="BQ171" s="165">
        <v>45101.756944444445</v>
      </c>
      <c r="BR171" s="126" t="s">
        <v>1969</v>
      </c>
      <c r="BT171" s="136">
        <f t="shared" si="47"/>
        <v>51.333333333372138</v>
      </c>
      <c r="BU171" s="136">
        <f t="shared" si="48"/>
        <v>3.466666666790843</v>
      </c>
      <c r="BV171" s="136">
        <f t="shared" si="49"/>
        <v>41.000000000058208</v>
      </c>
      <c r="BW171" s="136">
        <f t="shared" si="59"/>
        <v>29.000000000058208</v>
      </c>
      <c r="BX171" s="135">
        <f t="shared" si="51"/>
        <v>6.9999999999417923</v>
      </c>
      <c r="BY171" s="135">
        <f t="shared" si="52"/>
        <v>10.666666666686069</v>
      </c>
      <c r="BZ171" s="134">
        <f t="shared" si="53"/>
        <v>5.9361111111211358</v>
      </c>
      <c r="CA171" s="134">
        <f t="shared" si="54"/>
        <v>19.131944444445253</v>
      </c>
      <c r="CB171" s="133">
        <f t="shared" si="55"/>
        <v>0.31027223230541107</v>
      </c>
    </row>
    <row r="172" spans="1:80" s="126" customFormat="1">
      <c r="A172" s="192">
        <f t="shared" si="60"/>
        <v>45096.871527777781</v>
      </c>
      <c r="B172" s="126" t="s">
        <v>228</v>
      </c>
      <c r="C172" s="126" t="s">
        <v>229</v>
      </c>
      <c r="D172" s="126" t="s">
        <v>197</v>
      </c>
      <c r="E172" s="65" t="s">
        <v>1922</v>
      </c>
      <c r="G172" s="73">
        <v>45098.708333333336</v>
      </c>
      <c r="H172" s="73">
        <v>45098.695833333331</v>
      </c>
      <c r="I172" s="126" t="s">
        <v>490</v>
      </c>
      <c r="J172" s="115" t="s">
        <v>192</v>
      </c>
      <c r="K172" s="115" t="s">
        <v>192</v>
      </c>
      <c r="L172" s="126" t="s">
        <v>1970</v>
      </c>
      <c r="M172" s="167"/>
      <c r="N172" s="126" t="s">
        <v>288</v>
      </c>
      <c r="O172" s="126" t="s">
        <v>289</v>
      </c>
      <c r="P172" s="126" t="s">
        <v>1968</v>
      </c>
      <c r="Q172" s="181">
        <f>3107*2.4</f>
        <v>7456.7999999999993</v>
      </c>
      <c r="R172" s="181">
        <f>7500+100</f>
        <v>7600</v>
      </c>
      <c r="S172" s="181">
        <v>7548.723</v>
      </c>
      <c r="T172" s="181"/>
      <c r="U172" s="181">
        <f>S172*0.55</f>
        <v>4151.7976500000004</v>
      </c>
      <c r="V172" s="181">
        <f>S172*0.45</f>
        <v>3396.92535</v>
      </c>
      <c r="AX172" s="165">
        <f t="shared" si="43"/>
        <v>45093.84375</v>
      </c>
      <c r="AY172" s="165">
        <f t="shared" si="44"/>
        <v>45101.947916666664</v>
      </c>
      <c r="AZ172" s="137">
        <f t="shared" si="45"/>
        <v>8.1041666666642413</v>
      </c>
      <c r="BA172" s="165">
        <v>45093.84375</v>
      </c>
      <c r="BB172" s="165">
        <v>45094.833333333336</v>
      </c>
      <c r="BC172" s="165">
        <v>45096.375</v>
      </c>
      <c r="BD172" s="165">
        <v>45096.871527777781</v>
      </c>
      <c r="BE172" s="165">
        <v>45097.013888888891</v>
      </c>
      <c r="BF172" s="165">
        <v>45097.025000000001</v>
      </c>
      <c r="BG172" s="165">
        <v>45097.291666666664</v>
      </c>
      <c r="BH172" s="165">
        <f t="shared" si="61"/>
        <v>45099</v>
      </c>
      <c r="BI172" s="165">
        <v>45099.25</v>
      </c>
      <c r="BJ172" s="165">
        <v>45099.416666666664</v>
      </c>
      <c r="BK172" s="165">
        <v>45099.402777777781</v>
      </c>
      <c r="BL172" s="165">
        <v>45100.4375</v>
      </c>
      <c r="BM172" s="165">
        <v>45101.354166666664</v>
      </c>
      <c r="BN172" s="165">
        <v>45101.618055555555</v>
      </c>
      <c r="BO172" s="165">
        <v>45101.638888888891</v>
      </c>
      <c r="BP172" s="165">
        <v>45101.638888888891</v>
      </c>
      <c r="BQ172" s="165">
        <v>45101.947916666664</v>
      </c>
      <c r="BT172" s="136">
        <f t="shared" si="47"/>
        <v>36.999999999941792</v>
      </c>
      <c r="BU172" s="136">
        <f t="shared" si="48"/>
        <v>3.4166666666278616</v>
      </c>
      <c r="BV172" s="136">
        <f t="shared" si="49"/>
        <v>41.000000000058208</v>
      </c>
      <c r="BW172" s="136">
        <f t="shared" si="59"/>
        <v>24.500000000058208</v>
      </c>
      <c r="BX172" s="135">
        <f t="shared" si="51"/>
        <v>6.3333333333721384</v>
      </c>
      <c r="BY172" s="135">
        <f t="shared" si="52"/>
        <v>7.4166666665696539</v>
      </c>
      <c r="BZ172" s="134">
        <f t="shared" si="53"/>
        <v>4.9861111111094942</v>
      </c>
      <c r="CA172" s="134">
        <f t="shared" si="54"/>
        <v>8.1041666666642413</v>
      </c>
      <c r="CB172" s="133">
        <f t="shared" si="55"/>
        <v>0.61525278491857927</v>
      </c>
    </row>
    <row r="173" spans="1:80" s="126" customFormat="1">
      <c r="A173" s="192">
        <f t="shared" si="60"/>
        <v>45097.802083333336</v>
      </c>
      <c r="B173" s="126" t="s">
        <v>228</v>
      </c>
      <c r="C173" s="126" t="s">
        <v>229</v>
      </c>
      <c r="D173" s="126" t="s">
        <v>215</v>
      </c>
      <c r="E173" s="65" t="s">
        <v>1922</v>
      </c>
      <c r="G173" s="73">
        <v>45098.708333333336</v>
      </c>
      <c r="H173" s="73">
        <v>45098.695833333331</v>
      </c>
      <c r="I173" s="126" t="s">
        <v>490</v>
      </c>
      <c r="J173" s="126" t="s">
        <v>192</v>
      </c>
      <c r="K173" s="126" t="s">
        <v>192</v>
      </c>
      <c r="L173" s="126" t="s">
        <v>1971</v>
      </c>
      <c r="M173" s="167"/>
      <c r="N173" s="126" t="s">
        <v>1972</v>
      </c>
      <c r="O173" s="126" t="s">
        <v>1973</v>
      </c>
      <c r="P173" s="126" t="s">
        <v>1968</v>
      </c>
      <c r="Q173" s="181">
        <f>3107*2.4</f>
        <v>7456.7999999999993</v>
      </c>
      <c r="R173" s="181">
        <f>7500+100</f>
        <v>7600</v>
      </c>
      <c r="S173" s="181">
        <v>7535.9459999999999</v>
      </c>
      <c r="T173" s="181"/>
      <c r="U173" s="181">
        <f>S173*0.55</f>
        <v>4144.7703000000001</v>
      </c>
      <c r="V173" s="181">
        <f>S173*0.45</f>
        <v>3391.1757000000002</v>
      </c>
      <c r="AX173" s="165">
        <f t="shared" si="43"/>
        <v>45094.375</v>
      </c>
      <c r="AY173" s="165">
        <f t="shared" si="44"/>
        <v>45102.395833333336</v>
      </c>
      <c r="AZ173" s="137">
        <f t="shared" si="45"/>
        <v>8.0208333333357587</v>
      </c>
      <c r="BA173" s="165">
        <v>45094.375</v>
      </c>
      <c r="BB173" s="165">
        <v>45095.673611111109</v>
      </c>
      <c r="BC173" s="165">
        <v>45097.645833333336</v>
      </c>
      <c r="BD173" s="165">
        <v>45097.802083333336</v>
      </c>
      <c r="BE173" s="165">
        <v>45097.935416666667</v>
      </c>
      <c r="BF173" s="165">
        <v>45097.940972222219</v>
      </c>
      <c r="BG173" s="165">
        <v>45098.229166666664</v>
      </c>
      <c r="BH173" s="165">
        <f t="shared" si="61"/>
        <v>45099.9375</v>
      </c>
      <c r="BI173" s="165">
        <v>45099.25</v>
      </c>
      <c r="BJ173" s="165">
        <v>45099.416666666664</v>
      </c>
      <c r="BK173" s="165">
        <v>45099.451388888891</v>
      </c>
      <c r="BL173" s="165">
        <v>45100.590277777781</v>
      </c>
      <c r="BM173" s="165">
        <v>45101.680555555555</v>
      </c>
      <c r="BN173" s="165">
        <v>45101.96875</v>
      </c>
      <c r="BO173" s="165">
        <v>45101.989583333336</v>
      </c>
      <c r="BP173" s="165">
        <v>45102.194444444445</v>
      </c>
      <c r="BQ173" s="165">
        <v>45102.395833333336</v>
      </c>
      <c r="BR173" s="126" t="s">
        <v>1974</v>
      </c>
      <c r="BT173" s="136">
        <f t="shared" si="47"/>
        <v>47.333333333430346</v>
      </c>
      <c r="BU173" s="136">
        <f t="shared" si="48"/>
        <v>3.1999999999534339</v>
      </c>
      <c r="BV173" s="136">
        <f t="shared" si="49"/>
        <v>41.000000000058208</v>
      </c>
      <c r="BW173" s="136">
        <f t="shared" si="59"/>
        <v>28.166666666802485</v>
      </c>
      <c r="BX173" s="135">
        <f t="shared" si="51"/>
        <v>6.9166666666860692</v>
      </c>
      <c r="BY173" s="135">
        <f t="shared" si="52"/>
        <v>4.8333333333721384</v>
      </c>
      <c r="BZ173" s="134">
        <f t="shared" si="53"/>
        <v>5.477083333345945</v>
      </c>
      <c r="CA173" s="134">
        <f t="shared" si="54"/>
        <v>8.0208333333357587</v>
      </c>
      <c r="CB173" s="133">
        <f t="shared" si="55"/>
        <v>0.68285714285850874</v>
      </c>
    </row>
    <row r="174" spans="1:80" s="126" customFormat="1">
      <c r="A174" s="192">
        <f t="shared" si="60"/>
        <v>45097.611111111109</v>
      </c>
      <c r="B174" s="126" t="s">
        <v>228</v>
      </c>
      <c r="C174" s="126" t="s">
        <v>229</v>
      </c>
      <c r="D174" s="126" t="s">
        <v>197</v>
      </c>
      <c r="E174" s="65" t="s">
        <v>1922</v>
      </c>
      <c r="G174" s="73">
        <v>45098.708333333336</v>
      </c>
      <c r="H174" s="73">
        <v>45098.695833333331</v>
      </c>
      <c r="I174" s="126" t="s">
        <v>490</v>
      </c>
      <c r="J174" s="126" t="s">
        <v>192</v>
      </c>
      <c r="K174" s="126" t="s">
        <v>192</v>
      </c>
      <c r="L174" s="126" t="s">
        <v>1975</v>
      </c>
      <c r="M174" s="167"/>
      <c r="N174" s="126" t="s">
        <v>277</v>
      </c>
      <c r="O174" s="126" t="s">
        <v>278</v>
      </c>
      <c r="P174" s="126" t="s">
        <v>494</v>
      </c>
      <c r="Q174" s="181">
        <f>3117*2.4</f>
        <v>7480.7999999999993</v>
      </c>
      <c r="R174" s="181">
        <f>7500+100</f>
        <v>7600</v>
      </c>
      <c r="S174" s="181">
        <f>7509.111</f>
        <v>7509.1109999999999</v>
      </c>
      <c r="T174" s="181"/>
      <c r="U174" s="181">
        <f t="shared" ref="U174:U179" si="62">S174</f>
        <v>7509.1109999999999</v>
      </c>
      <c r="V174" s="181"/>
      <c r="W174" s="181"/>
      <c r="X174" s="181"/>
      <c r="Y174" s="181"/>
      <c r="AX174" s="165">
        <f t="shared" si="43"/>
        <v>45095.270833333336</v>
      </c>
      <c r="AY174" s="165">
        <f t="shared" si="44"/>
        <v>45102.5</v>
      </c>
      <c r="AZ174" s="137">
        <f t="shared" si="45"/>
        <v>7.2291666666642413</v>
      </c>
      <c r="BA174" s="165">
        <v>45095.270833333336</v>
      </c>
      <c r="BB174" s="165">
        <v>45095.774305555555</v>
      </c>
      <c r="BC174" s="165">
        <v>45097.506944444445</v>
      </c>
      <c r="BD174" s="165">
        <v>45097.611111111109</v>
      </c>
      <c r="BE174" s="165">
        <v>45097.753472222219</v>
      </c>
      <c r="BF174" s="165">
        <v>45097.756944444445</v>
      </c>
      <c r="BG174" s="165">
        <v>45097.756944444445</v>
      </c>
      <c r="BH174" s="165">
        <f t="shared" si="61"/>
        <v>45099.465277777781</v>
      </c>
      <c r="BI174" s="165">
        <v>45099.25</v>
      </c>
      <c r="BJ174" s="165">
        <v>45099.416666666664</v>
      </c>
      <c r="BK174" s="165">
        <v>45099.378472222219</v>
      </c>
      <c r="BL174" s="165">
        <v>45100.583333333336</v>
      </c>
      <c r="BM174" s="165">
        <v>45102.006944444445</v>
      </c>
      <c r="BN174" s="165">
        <v>45102.215277777781</v>
      </c>
      <c r="BO174" s="165">
        <v>45102.229166666664</v>
      </c>
      <c r="BP174" s="165">
        <v>45102.229166666664</v>
      </c>
      <c r="BQ174" s="165">
        <v>45102.5</v>
      </c>
      <c r="BT174" s="136">
        <f t="shared" si="47"/>
        <v>41.583333333372138</v>
      </c>
      <c r="BU174" s="136">
        <f t="shared" si="48"/>
        <v>3.4166666666278616</v>
      </c>
      <c r="BV174" s="136">
        <f t="shared" si="49"/>
        <v>41.000000000058208</v>
      </c>
      <c r="BW174" s="136">
        <f t="shared" si="59"/>
        <v>28.000000000116415</v>
      </c>
      <c r="BX174" s="135">
        <f t="shared" si="51"/>
        <v>5.0000000000582077</v>
      </c>
      <c r="BY174" s="135">
        <f t="shared" si="52"/>
        <v>6.5000000000582077</v>
      </c>
      <c r="BZ174" s="134">
        <f t="shared" si="53"/>
        <v>5.2291666666787933</v>
      </c>
      <c r="CA174" s="134">
        <f t="shared" si="54"/>
        <v>7.2291666666642413</v>
      </c>
      <c r="CB174" s="133">
        <f t="shared" si="55"/>
        <v>0.72334293948318817</v>
      </c>
    </row>
    <row r="175" spans="1:80" s="126" customFormat="1">
      <c r="A175" s="192">
        <f t="shared" si="60"/>
        <v>45097.965277777781</v>
      </c>
      <c r="B175" s="126" t="s">
        <v>228</v>
      </c>
      <c r="C175" s="126" t="s">
        <v>229</v>
      </c>
      <c r="D175" s="126" t="s">
        <v>215</v>
      </c>
      <c r="E175" s="65" t="s">
        <v>1922</v>
      </c>
      <c r="G175" s="73">
        <v>45098.708333333336</v>
      </c>
      <c r="H175" s="73">
        <v>45098.695833333331</v>
      </c>
      <c r="I175" s="126" t="s">
        <v>490</v>
      </c>
      <c r="J175" s="126" t="s">
        <v>192</v>
      </c>
      <c r="K175" s="126" t="s">
        <v>192</v>
      </c>
      <c r="L175" s="126" t="s">
        <v>1976</v>
      </c>
      <c r="M175" s="167"/>
      <c r="N175" s="126" t="s">
        <v>374</v>
      </c>
      <c r="O175" s="126" t="s">
        <v>275</v>
      </c>
      <c r="P175" s="126" t="s">
        <v>494</v>
      </c>
      <c r="Q175" s="181">
        <f>3097*2.4</f>
        <v>7432.7999999999993</v>
      </c>
      <c r="R175" s="181">
        <f>7450+100</f>
        <v>7550</v>
      </c>
      <c r="S175" s="181">
        <v>7547.2640000000001</v>
      </c>
      <c r="T175" s="181"/>
      <c r="U175" s="181">
        <f t="shared" si="62"/>
        <v>7547.2640000000001</v>
      </c>
      <c r="V175" s="181"/>
      <c r="W175" s="181"/>
      <c r="X175" s="181"/>
      <c r="Y175" s="181"/>
      <c r="AX175" s="165">
        <f t="shared" si="43"/>
        <v>45094.402777777781</v>
      </c>
      <c r="AY175" s="165">
        <f t="shared" si="44"/>
        <v>45102.8125</v>
      </c>
      <c r="AZ175" s="137">
        <f t="shared" si="45"/>
        <v>8.4097222222189885</v>
      </c>
      <c r="BA175" s="165">
        <v>45094.402777777781</v>
      </c>
      <c r="BB175" s="165">
        <v>45095.777777777781</v>
      </c>
      <c r="BC175" s="165">
        <v>45097.666666666664</v>
      </c>
      <c r="BD175" s="165">
        <v>45097.965277777781</v>
      </c>
      <c r="BE175" s="165">
        <v>45098.115972222222</v>
      </c>
      <c r="BF175" s="165">
        <v>45098.121527777781</v>
      </c>
      <c r="BG175" s="165">
        <v>45098.270833333336</v>
      </c>
      <c r="BH175" s="165">
        <f t="shared" si="61"/>
        <v>45099.979166666672</v>
      </c>
      <c r="BI175" s="165">
        <v>45100.25</v>
      </c>
      <c r="BJ175" s="165">
        <v>45100.416666666664</v>
      </c>
      <c r="BK175" s="165">
        <v>45100.302083333336</v>
      </c>
      <c r="BL175" s="165">
        <v>45101.381944444445</v>
      </c>
      <c r="BM175" s="165">
        <v>45102.25</v>
      </c>
      <c r="BN175" s="165">
        <v>45102.416666666664</v>
      </c>
      <c r="BO175" s="165">
        <v>45102.430555555555</v>
      </c>
      <c r="BP175" s="165">
        <v>45102.430555555555</v>
      </c>
      <c r="BQ175" s="165">
        <v>45102.8125</v>
      </c>
      <c r="BR175" s="126" t="s">
        <v>775</v>
      </c>
      <c r="BT175" s="136">
        <f t="shared" si="47"/>
        <v>45.333333333197515</v>
      </c>
      <c r="BU175" s="136">
        <f t="shared" si="48"/>
        <v>3.6166666665812954</v>
      </c>
      <c r="BV175" s="136">
        <f t="shared" si="49"/>
        <v>41.000000000058208</v>
      </c>
      <c r="BW175" s="136">
        <f t="shared" si="59"/>
        <v>23.166666666744277</v>
      </c>
      <c r="BX175" s="135">
        <f t="shared" si="51"/>
        <v>3.9999999999417923</v>
      </c>
      <c r="BY175" s="135">
        <f t="shared" si="52"/>
        <v>9.1666666666860692</v>
      </c>
      <c r="BZ175" s="134">
        <f t="shared" si="53"/>
        <v>5.2618055555503815</v>
      </c>
      <c r="CA175" s="134">
        <f t="shared" si="54"/>
        <v>8.4097222222189885</v>
      </c>
      <c r="CB175" s="133">
        <f t="shared" si="55"/>
        <v>0.62568125516064932</v>
      </c>
    </row>
    <row r="176" spans="1:80" s="126" customFormat="1" ht="14.4" customHeight="1">
      <c r="A176" s="192">
        <f t="shared" si="60"/>
        <v>45098.140277777777</v>
      </c>
      <c r="B176" s="126" t="s">
        <v>228</v>
      </c>
      <c r="C176" s="126" t="s">
        <v>229</v>
      </c>
      <c r="D176" s="126" t="s">
        <v>197</v>
      </c>
      <c r="E176" s="65" t="s">
        <v>1922</v>
      </c>
      <c r="G176" s="73">
        <v>45098.708333333336</v>
      </c>
      <c r="H176" s="73">
        <v>45098.695833333331</v>
      </c>
      <c r="I176" s="126" t="s">
        <v>490</v>
      </c>
      <c r="J176" s="126" t="s">
        <v>192</v>
      </c>
      <c r="K176" s="126" t="s">
        <v>192</v>
      </c>
      <c r="L176" s="126" t="s">
        <v>1977</v>
      </c>
      <c r="M176" s="167"/>
      <c r="N176" s="126" t="s">
        <v>249</v>
      </c>
      <c r="O176" s="126" t="s">
        <v>250</v>
      </c>
      <c r="P176" s="126" t="s">
        <v>494</v>
      </c>
      <c r="Q176" s="181">
        <f>3139*2.4</f>
        <v>7533.5999999999995</v>
      </c>
      <c r="R176" s="181">
        <f>7550+100</f>
        <v>7650</v>
      </c>
      <c r="S176" s="181">
        <f>7620.305-1245.046</f>
        <v>6375.259</v>
      </c>
      <c r="T176" s="181"/>
      <c r="U176" s="181">
        <f t="shared" si="62"/>
        <v>6375.259</v>
      </c>
      <c r="V176" s="181"/>
      <c r="W176" s="181"/>
      <c r="X176" s="181"/>
      <c r="Y176" s="181"/>
      <c r="AX176" s="165">
        <f t="shared" si="43"/>
        <v>45095.388888888891</v>
      </c>
      <c r="AY176" s="165">
        <f t="shared" si="44"/>
        <v>45102.78125</v>
      </c>
      <c r="AZ176" s="137">
        <f t="shared" si="45"/>
        <v>7.3923611111094942</v>
      </c>
      <c r="BA176" s="165">
        <v>45095.388888888891</v>
      </c>
      <c r="BB176" s="165">
        <v>45095.791666666664</v>
      </c>
      <c r="BC176" s="165">
        <v>45097.958333333336</v>
      </c>
      <c r="BD176" s="165">
        <v>45098.140277777777</v>
      </c>
      <c r="BE176" s="165">
        <v>45098.326388888891</v>
      </c>
      <c r="BF176" s="165">
        <v>45098.329861111109</v>
      </c>
      <c r="BG176" s="165">
        <v>45098.329861111109</v>
      </c>
      <c r="BH176" s="165">
        <f t="shared" si="61"/>
        <v>45100.038194444445</v>
      </c>
      <c r="BI176" s="165">
        <v>45100.25</v>
      </c>
      <c r="BJ176" s="165">
        <v>45100.416666666664</v>
      </c>
      <c r="BK176" s="165">
        <v>45100.302083333336</v>
      </c>
      <c r="BL176" s="165">
        <v>45101.458333333336</v>
      </c>
      <c r="BM176" s="165">
        <v>45102.451388888891</v>
      </c>
      <c r="BN176" s="165">
        <v>45102.680555555555</v>
      </c>
      <c r="BO176" s="165">
        <v>45102.78125</v>
      </c>
      <c r="BP176" s="165">
        <v>45102.78125</v>
      </c>
      <c r="BQ176" s="165">
        <v>45102.78125</v>
      </c>
      <c r="BT176" s="136">
        <f t="shared" si="47"/>
        <v>52.000000000116415</v>
      </c>
      <c r="BU176" s="136">
        <f t="shared" si="48"/>
        <v>4.4666666667326353</v>
      </c>
      <c r="BV176" s="136">
        <f t="shared" si="49"/>
        <v>41.000000000058208</v>
      </c>
      <c r="BW176" s="136">
        <f t="shared" si="59"/>
        <v>25.000000000116415</v>
      </c>
      <c r="BX176" s="135">
        <f t="shared" si="51"/>
        <v>5.4999999999417923</v>
      </c>
      <c r="BY176" s="135">
        <f t="shared" si="52"/>
        <v>0</v>
      </c>
      <c r="BZ176" s="134">
        <f t="shared" si="53"/>
        <v>5.3319444444568944</v>
      </c>
      <c r="CA176" s="134">
        <f t="shared" si="54"/>
        <v>7.3923611111094942</v>
      </c>
      <c r="CB176" s="133">
        <f t="shared" si="55"/>
        <v>0.72127759511691947</v>
      </c>
    </row>
    <row r="177" spans="1:80" s="126" customFormat="1" ht="14.4" customHeight="1">
      <c r="A177" s="192">
        <f t="shared" si="60"/>
        <v>45098.140277777777</v>
      </c>
      <c r="B177" s="126" t="s">
        <v>228</v>
      </c>
      <c r="C177" s="126" t="s">
        <v>229</v>
      </c>
      <c r="D177" s="126" t="s">
        <v>197</v>
      </c>
      <c r="E177" s="65" t="s">
        <v>1763</v>
      </c>
      <c r="G177" s="73">
        <v>45106.104166666664</v>
      </c>
      <c r="H177" s="73">
        <v>45106.1</v>
      </c>
      <c r="I177" s="126" t="s">
        <v>490</v>
      </c>
      <c r="J177" s="126" t="s">
        <v>192</v>
      </c>
      <c r="K177" s="126" t="s">
        <v>192</v>
      </c>
      <c r="L177" s="126" t="s">
        <v>1977</v>
      </c>
      <c r="M177" s="167"/>
      <c r="N177" s="126" t="s">
        <v>249</v>
      </c>
      <c r="O177" s="126" t="s">
        <v>250</v>
      </c>
      <c r="P177" s="126" t="s">
        <v>494</v>
      </c>
      <c r="Q177" s="181">
        <f>3139*2.4</f>
        <v>7533.5999999999995</v>
      </c>
      <c r="R177" s="181">
        <f>7550+100</f>
        <v>7650</v>
      </c>
      <c r="S177" s="181">
        <v>431.57</v>
      </c>
      <c r="T177" s="181"/>
      <c r="U177" s="181">
        <f t="shared" si="62"/>
        <v>431.57</v>
      </c>
      <c r="V177" s="181"/>
      <c r="W177" s="181"/>
      <c r="X177" s="181"/>
      <c r="Y177" s="181"/>
      <c r="AX177" s="165">
        <f t="shared" si="43"/>
        <v>45095.388888888891</v>
      </c>
      <c r="AY177" s="165">
        <f t="shared" si="44"/>
        <v>45110.416666666664</v>
      </c>
      <c r="AZ177" s="137">
        <f t="shared" si="45"/>
        <v>15.027777777773736</v>
      </c>
      <c r="BA177" s="165">
        <v>45095.388888888891</v>
      </c>
      <c r="BB177" s="165">
        <v>45095.791666666664</v>
      </c>
      <c r="BC177" s="165">
        <v>45097.958333333336</v>
      </c>
      <c r="BD177" s="165">
        <v>45098.140277777777</v>
      </c>
      <c r="BE177" s="165">
        <v>45098.326388888891</v>
      </c>
      <c r="BF177" s="165">
        <v>45098.329861111109</v>
      </c>
      <c r="BG177" s="165">
        <v>45098.329861111109</v>
      </c>
      <c r="BH177" s="165">
        <f t="shared" si="61"/>
        <v>45100.038194444445</v>
      </c>
      <c r="BI177" s="165">
        <v>45100.25</v>
      </c>
      <c r="BJ177" s="165">
        <v>45100.416666666664</v>
      </c>
      <c r="BK177" s="165">
        <v>45100.302083333336</v>
      </c>
      <c r="BL177" s="165">
        <v>45102.78125</v>
      </c>
      <c r="BM177" s="165">
        <v>45110.006944444445</v>
      </c>
      <c r="BN177" s="165">
        <v>45110.013888888891</v>
      </c>
      <c r="BO177" s="165">
        <v>45110.034722222219</v>
      </c>
      <c r="BP177" s="165">
        <v>45110.034722222219</v>
      </c>
      <c r="BQ177" s="165">
        <v>45110.416666666664</v>
      </c>
      <c r="BT177" s="136">
        <f t="shared" si="47"/>
        <v>52.000000000116415</v>
      </c>
      <c r="BU177" s="136">
        <f t="shared" si="48"/>
        <v>4.4666666667326353</v>
      </c>
      <c r="BV177" s="136">
        <f t="shared" si="49"/>
        <v>41.000000000058208</v>
      </c>
      <c r="BW177" s="136">
        <f t="shared" si="59"/>
        <v>56.750000000058208</v>
      </c>
      <c r="BX177" s="135">
        <f t="shared" si="51"/>
        <v>0.16666666668606922</v>
      </c>
      <c r="BY177" s="135">
        <f t="shared" si="52"/>
        <v>9.1666666666860692</v>
      </c>
      <c r="BZ177" s="134">
        <f t="shared" si="53"/>
        <v>6.8145833333474002</v>
      </c>
      <c r="CA177" s="134">
        <f t="shared" si="54"/>
        <v>15.027777777773736</v>
      </c>
      <c r="CB177" s="133">
        <f t="shared" si="55"/>
        <v>0.45346580406760145</v>
      </c>
    </row>
    <row r="178" spans="1:80" s="126" customFormat="1">
      <c r="A178" s="192">
        <f t="shared" si="60"/>
        <v>45101.725694444445</v>
      </c>
      <c r="B178" s="126" t="s">
        <v>228</v>
      </c>
      <c r="C178" s="126" t="s">
        <v>229</v>
      </c>
      <c r="D178" s="126" t="s">
        <v>197</v>
      </c>
      <c r="E178" s="65" t="s">
        <v>1763</v>
      </c>
      <c r="G178" s="73">
        <v>45106.104166666664</v>
      </c>
      <c r="H178" s="73">
        <v>45106.1</v>
      </c>
      <c r="I178" s="126" t="s">
        <v>490</v>
      </c>
      <c r="J178" s="126" t="s">
        <v>192</v>
      </c>
      <c r="K178" s="126" t="s">
        <v>192</v>
      </c>
      <c r="L178" s="126" t="s">
        <v>1978</v>
      </c>
      <c r="M178" s="167"/>
      <c r="N178" s="126" t="s">
        <v>257</v>
      </c>
      <c r="O178" s="126" t="s">
        <v>258</v>
      </c>
      <c r="P178" s="126" t="s">
        <v>494</v>
      </c>
      <c r="Q178" s="181">
        <f>3139*2.4</f>
        <v>7533.5999999999995</v>
      </c>
      <c r="R178" s="181">
        <f>7550+100</f>
        <v>7650</v>
      </c>
      <c r="S178" s="181">
        <v>7553.75</v>
      </c>
      <c r="T178" s="181"/>
      <c r="U178" s="181">
        <f t="shared" si="62"/>
        <v>7553.75</v>
      </c>
      <c r="AX178" s="165">
        <f t="shared" si="43"/>
        <v>45096.395833333336</v>
      </c>
      <c r="AY178" s="165">
        <f t="shared" si="44"/>
        <v>45111.350694444445</v>
      </c>
      <c r="AZ178" s="137">
        <f t="shared" si="45"/>
        <v>14.954861111109494</v>
      </c>
      <c r="BA178" s="165">
        <v>45096.395833333336</v>
      </c>
      <c r="BB178" s="165">
        <v>45097.548611111109</v>
      </c>
      <c r="BC178" s="165">
        <v>45099.385416666664</v>
      </c>
      <c r="BD178" s="165">
        <v>45101.725694444445</v>
      </c>
      <c r="BE178" s="165">
        <v>45101.923611111109</v>
      </c>
      <c r="BF178" s="165">
        <v>45101.927083333336</v>
      </c>
      <c r="BG178" s="165">
        <v>45102.270833333336</v>
      </c>
      <c r="BH178" s="165">
        <f t="shared" si="61"/>
        <v>45103.979166666672</v>
      </c>
      <c r="BI178" s="165">
        <v>45104.25</v>
      </c>
      <c r="BJ178" s="165">
        <v>45104.416666666664</v>
      </c>
      <c r="BK178" s="165">
        <v>45104.319444444445</v>
      </c>
      <c r="BL178" s="165">
        <v>45105.458333333336</v>
      </c>
      <c r="BM178" s="165">
        <v>45110.729166666664</v>
      </c>
      <c r="BN178" s="165">
        <v>45111.048611111109</v>
      </c>
      <c r="BO178" s="165">
        <v>45111.069444444445</v>
      </c>
      <c r="BP178" s="165">
        <v>45111.069444444445</v>
      </c>
      <c r="BQ178" s="165">
        <v>45111.350694444445</v>
      </c>
      <c r="BT178" s="136">
        <f t="shared" si="47"/>
        <v>44.083333333313931</v>
      </c>
      <c r="BU178" s="136">
        <f t="shared" si="48"/>
        <v>4.7499999999417923</v>
      </c>
      <c r="BV178" s="136">
        <f t="shared" si="49"/>
        <v>41.000000000058208</v>
      </c>
      <c r="BW178" s="136">
        <f t="shared" si="59"/>
        <v>25.000000000116415</v>
      </c>
      <c r="BX178" s="135">
        <f t="shared" si="51"/>
        <v>7.6666666666860692</v>
      </c>
      <c r="BY178" s="135">
        <f t="shared" si="52"/>
        <v>6.75</v>
      </c>
      <c r="BZ178" s="134">
        <f t="shared" si="53"/>
        <v>5.3854166666715173</v>
      </c>
      <c r="CA178" s="134">
        <f t="shared" si="54"/>
        <v>14.954861111109494</v>
      </c>
      <c r="CB178" s="133">
        <f t="shared" si="55"/>
        <v>0.36011144648283366</v>
      </c>
    </row>
    <row r="179" spans="1:80" s="126" customFormat="1">
      <c r="A179" s="192">
        <f t="shared" si="60"/>
        <v>45101.956250000003</v>
      </c>
      <c r="B179" s="126" t="s">
        <v>228</v>
      </c>
      <c r="C179" s="126" t="s">
        <v>229</v>
      </c>
      <c r="D179" s="126" t="s">
        <v>197</v>
      </c>
      <c r="E179" s="65" t="s">
        <v>1763</v>
      </c>
      <c r="G179" s="73">
        <v>45106.104166666664</v>
      </c>
      <c r="H179" s="73">
        <v>45106.1</v>
      </c>
      <c r="I179" s="126" t="s">
        <v>490</v>
      </c>
      <c r="J179" s="126" t="s">
        <v>192</v>
      </c>
      <c r="K179" s="126" t="s">
        <v>192</v>
      </c>
      <c r="L179" s="126" t="s">
        <v>1979</v>
      </c>
      <c r="M179" s="167"/>
      <c r="N179" s="126" t="s">
        <v>226</v>
      </c>
      <c r="O179" s="126" t="s">
        <v>227</v>
      </c>
      <c r="P179" s="126" t="s">
        <v>494</v>
      </c>
      <c r="Q179" s="181">
        <f>3100*2.4</f>
        <v>7440</v>
      </c>
      <c r="R179" s="181">
        <f>7450+100</f>
        <v>7550</v>
      </c>
      <c r="S179" s="181">
        <v>7601.3149999999996</v>
      </c>
      <c r="T179" s="181"/>
      <c r="U179" s="181">
        <f t="shared" si="62"/>
        <v>7601.3149999999996</v>
      </c>
      <c r="AX179" s="165">
        <f t="shared" si="43"/>
        <v>45095.930555555555</v>
      </c>
      <c r="AY179" s="165">
        <f t="shared" si="44"/>
        <v>45111.923611111109</v>
      </c>
      <c r="AZ179" s="137">
        <f t="shared" si="45"/>
        <v>15.993055555554747</v>
      </c>
      <c r="BA179" s="165">
        <v>45095.930555555555</v>
      </c>
      <c r="BB179" s="165">
        <v>45097.791666666664</v>
      </c>
      <c r="BC179" s="165">
        <v>45099.388888888891</v>
      </c>
      <c r="BD179" s="165">
        <v>45101.956250000003</v>
      </c>
      <c r="BE179" s="165">
        <v>45102.091666666667</v>
      </c>
      <c r="BF179" s="165">
        <v>45102.097222222219</v>
      </c>
      <c r="BG179" s="165">
        <v>45102.260416666664</v>
      </c>
      <c r="BH179" s="165">
        <f t="shared" si="61"/>
        <v>45103.96875</v>
      </c>
      <c r="BI179" s="165">
        <v>45104.25</v>
      </c>
      <c r="BJ179" s="165">
        <v>45104.416666666664</v>
      </c>
      <c r="BK179" s="165">
        <v>45104.340277777781</v>
      </c>
      <c r="BL179" s="165">
        <v>45105.583333333336</v>
      </c>
      <c r="BM179" s="165">
        <v>45111.34375</v>
      </c>
      <c r="BN179" s="165">
        <v>45111.517361111109</v>
      </c>
      <c r="BO179" s="165">
        <v>45111.538194444445</v>
      </c>
      <c r="BP179" s="165">
        <v>45111.75</v>
      </c>
      <c r="BQ179" s="165">
        <v>45111.923611111109</v>
      </c>
      <c r="BT179" s="136">
        <f t="shared" si="47"/>
        <v>38.333333333430346</v>
      </c>
      <c r="BU179" s="136">
        <f t="shared" si="48"/>
        <v>3.2499999999417923</v>
      </c>
      <c r="BV179" s="136">
        <f t="shared" si="49"/>
        <v>41.000000000058208</v>
      </c>
      <c r="BW179" s="136">
        <f t="shared" si="59"/>
        <v>28.000000000116415</v>
      </c>
      <c r="BX179" s="135">
        <f t="shared" si="51"/>
        <v>4.1666666666278616</v>
      </c>
      <c r="BY179" s="135">
        <f t="shared" si="52"/>
        <v>4.1666666666278616</v>
      </c>
      <c r="BZ179" s="134">
        <f t="shared" si="53"/>
        <v>4.9548611111167702</v>
      </c>
      <c r="CA179" s="134">
        <f t="shared" si="54"/>
        <v>15.993055555554747</v>
      </c>
      <c r="CB179" s="133">
        <f t="shared" si="55"/>
        <v>0.30981328701730393</v>
      </c>
    </row>
    <row r="180" spans="1:80" s="126" customFormat="1" ht="15" customHeight="1">
      <c r="A180" s="192">
        <f t="shared" si="60"/>
        <v>45102.118055555555</v>
      </c>
      <c r="B180" s="126" t="s">
        <v>228</v>
      </c>
      <c r="C180" s="126" t="s">
        <v>229</v>
      </c>
      <c r="D180" s="126" t="s">
        <v>197</v>
      </c>
      <c r="E180" s="65" t="s">
        <v>1763</v>
      </c>
      <c r="G180" s="73">
        <v>45106.104166666664</v>
      </c>
      <c r="H180" s="73">
        <v>45106.1</v>
      </c>
      <c r="I180" s="126" t="s">
        <v>490</v>
      </c>
      <c r="J180" s="126" t="s">
        <v>192</v>
      </c>
      <c r="K180" s="126" t="s">
        <v>192</v>
      </c>
      <c r="L180" s="126" t="s">
        <v>1980</v>
      </c>
      <c r="M180" s="167"/>
      <c r="N180" s="126" t="s">
        <v>1240</v>
      </c>
      <c r="O180" s="126" t="s">
        <v>1241</v>
      </c>
      <c r="P180" s="126" t="s">
        <v>1968</v>
      </c>
      <c r="Q180" s="181">
        <f>3243*2.4</f>
        <v>7783.2</v>
      </c>
      <c r="R180" s="181">
        <f>7800+100</f>
        <v>7900</v>
      </c>
      <c r="S180" s="181">
        <v>7983.42</v>
      </c>
      <c r="T180" s="181"/>
      <c r="U180" s="181">
        <f>S180*0.7</f>
        <v>5588.3939999999993</v>
      </c>
      <c r="V180" s="181">
        <f>S180*0.3</f>
        <v>2395.0259999999998</v>
      </c>
      <c r="AX180" s="165">
        <f t="shared" si="43"/>
        <v>45095.631944444445</v>
      </c>
      <c r="AY180" s="165">
        <f t="shared" si="44"/>
        <v>45112.138888888891</v>
      </c>
      <c r="AZ180" s="137">
        <f t="shared" si="45"/>
        <v>16.506944444445253</v>
      </c>
      <c r="BA180" s="165">
        <v>45095.631944444445</v>
      </c>
      <c r="BB180" s="165">
        <v>45097.770833333336</v>
      </c>
      <c r="BC180" s="165">
        <v>45099.392361111109</v>
      </c>
      <c r="BD180" s="165">
        <v>45102.118055555555</v>
      </c>
      <c r="BE180" s="165">
        <v>45102.354166666664</v>
      </c>
      <c r="BF180" s="165">
        <v>45102.357638888891</v>
      </c>
      <c r="BG180" s="165">
        <v>45102.357638888891</v>
      </c>
      <c r="BH180" s="165">
        <f t="shared" si="61"/>
        <v>45104.065972222226</v>
      </c>
      <c r="BI180" s="165">
        <v>45104.25</v>
      </c>
      <c r="BJ180" s="165">
        <v>45104.416666666664</v>
      </c>
      <c r="BK180" s="165">
        <v>45104.284722222219</v>
      </c>
      <c r="BL180" s="165">
        <v>45105.604166666664</v>
      </c>
      <c r="BM180" s="165">
        <v>45111.579861111109</v>
      </c>
      <c r="BN180" s="165">
        <v>45111.743055555555</v>
      </c>
      <c r="BO180" s="165">
        <v>45111.763888888891</v>
      </c>
      <c r="BP180" s="165">
        <v>45111.763888888891</v>
      </c>
      <c r="BQ180" s="165">
        <v>45112.138888888891</v>
      </c>
      <c r="BT180" s="136">
        <f t="shared" si="47"/>
        <v>38.916666666569654</v>
      </c>
      <c r="BU180" s="136">
        <f t="shared" si="48"/>
        <v>5.6666666666278616</v>
      </c>
      <c r="BV180" s="136">
        <f t="shared" si="49"/>
        <v>41.000000000058208</v>
      </c>
      <c r="BW180" s="136">
        <f t="shared" si="59"/>
        <v>28.5</v>
      </c>
      <c r="BX180" s="135">
        <f t="shared" si="51"/>
        <v>3.9166666666860692</v>
      </c>
      <c r="BY180" s="135">
        <f t="shared" si="52"/>
        <v>9</v>
      </c>
      <c r="BZ180" s="134">
        <f t="shared" si="53"/>
        <v>5.2916666666642413</v>
      </c>
      <c r="CA180" s="134">
        <f t="shared" si="54"/>
        <v>16.506944444445253</v>
      </c>
      <c r="CB180" s="133">
        <f t="shared" si="55"/>
        <v>0.32057214976845327</v>
      </c>
    </row>
    <row r="181" spans="1:80" s="126" customFormat="1">
      <c r="A181" s="192">
        <f t="shared" si="60"/>
        <v>45102.378472222219</v>
      </c>
      <c r="B181" s="126" t="s">
        <v>228</v>
      </c>
      <c r="C181" s="126" t="s">
        <v>229</v>
      </c>
      <c r="D181" s="126" t="s">
        <v>197</v>
      </c>
      <c r="E181" s="65" t="s">
        <v>1763</v>
      </c>
      <c r="G181" s="73">
        <v>45106.104166666664</v>
      </c>
      <c r="H181" s="73">
        <v>45106.1</v>
      </c>
      <c r="I181" s="126" t="s">
        <v>490</v>
      </c>
      <c r="J181" s="126" t="s">
        <v>192</v>
      </c>
      <c r="K181" s="126" t="s">
        <v>192</v>
      </c>
      <c r="L181" s="126" t="s">
        <v>1981</v>
      </c>
      <c r="M181" s="167"/>
      <c r="N181" s="126" t="s">
        <v>70</v>
      </c>
      <c r="O181" s="126" t="s">
        <v>1982</v>
      </c>
      <c r="P181" s="126" t="s">
        <v>1968</v>
      </c>
      <c r="Q181" s="181">
        <f>3142*2.4</f>
        <v>7540.7999999999993</v>
      </c>
      <c r="R181" s="181">
        <f>7550+100</f>
        <v>7650</v>
      </c>
      <c r="S181" s="181">
        <v>7488.7380000000003</v>
      </c>
      <c r="T181" s="181"/>
      <c r="U181" s="181">
        <f>S181*0.7</f>
        <v>5242.1166000000003</v>
      </c>
      <c r="V181" s="181">
        <f>S181*0.3</f>
        <v>2246.6214</v>
      </c>
      <c r="AX181" s="165">
        <f t="shared" si="43"/>
        <v>45095.881944444445</v>
      </c>
      <c r="AY181" s="165">
        <f t="shared" si="44"/>
        <v>45112.347222222219</v>
      </c>
      <c r="AZ181" s="137">
        <f t="shared" si="45"/>
        <v>16.465277777773736</v>
      </c>
      <c r="BA181" s="165">
        <v>45095.881944444445</v>
      </c>
      <c r="BB181" s="165">
        <v>45097.881944444445</v>
      </c>
      <c r="BC181" s="165">
        <v>45099.458333333336</v>
      </c>
      <c r="BD181" s="165">
        <v>45102.378472222219</v>
      </c>
      <c r="BE181" s="165">
        <v>45102.53125</v>
      </c>
      <c r="BF181" s="165">
        <v>45102.534722222219</v>
      </c>
      <c r="BG181" s="165">
        <v>45102.534722222219</v>
      </c>
      <c r="BH181" s="165">
        <f t="shared" si="61"/>
        <v>45104.243055555555</v>
      </c>
      <c r="BI181" s="165">
        <v>45104.25</v>
      </c>
      <c r="BJ181" s="165">
        <v>45104.416666666664</v>
      </c>
      <c r="BK181" s="165">
        <v>45104.284722222219</v>
      </c>
      <c r="BL181" s="165">
        <v>45105.760416666664</v>
      </c>
      <c r="BM181" s="165">
        <v>45111.805555555555</v>
      </c>
      <c r="BN181" s="165">
        <v>45111.951388888891</v>
      </c>
      <c r="BO181" s="165">
        <v>45111.972222222226</v>
      </c>
      <c r="BP181" s="165">
        <v>45112.138888888891</v>
      </c>
      <c r="BQ181" s="165">
        <v>45112.347222222219</v>
      </c>
      <c r="BR181" s="126" t="s">
        <v>1983</v>
      </c>
      <c r="BT181" s="136">
        <f t="shared" si="47"/>
        <v>37.833333333372138</v>
      </c>
      <c r="BU181" s="136">
        <f t="shared" si="48"/>
        <v>3.6666666667442769</v>
      </c>
      <c r="BV181" s="136">
        <f t="shared" si="49"/>
        <v>41.000000000058208</v>
      </c>
      <c r="BW181" s="136">
        <f t="shared" si="59"/>
        <v>32.25</v>
      </c>
      <c r="BX181" s="135">
        <f t="shared" si="51"/>
        <v>3.5000000000582077</v>
      </c>
      <c r="BY181" s="135">
        <f t="shared" si="52"/>
        <v>4.9999999998835847</v>
      </c>
      <c r="BZ181" s="134">
        <f t="shared" si="53"/>
        <v>5.1354166666715173</v>
      </c>
      <c r="CA181" s="134">
        <f t="shared" si="54"/>
        <v>16.465277777773736</v>
      </c>
      <c r="CB181" s="133">
        <f t="shared" si="55"/>
        <v>0.31189371573212993</v>
      </c>
    </row>
    <row r="182" spans="1:80" s="126" customFormat="1">
      <c r="A182" s="192">
        <f t="shared" si="60"/>
        <v>45102.8125</v>
      </c>
      <c r="B182" s="126" t="s">
        <v>228</v>
      </c>
      <c r="C182" s="126" t="s">
        <v>229</v>
      </c>
      <c r="D182" s="126" t="s">
        <v>215</v>
      </c>
      <c r="E182" s="65" t="s">
        <v>1763</v>
      </c>
      <c r="G182" s="73">
        <v>45106.104166666664</v>
      </c>
      <c r="H182" s="73">
        <v>45106.1</v>
      </c>
      <c r="I182" s="126" t="s">
        <v>490</v>
      </c>
      <c r="J182" s="126" t="s">
        <v>192</v>
      </c>
      <c r="K182" s="126" t="s">
        <v>192</v>
      </c>
      <c r="L182" s="126" t="s">
        <v>1984</v>
      </c>
      <c r="M182" s="167"/>
      <c r="N182" s="126" t="s">
        <v>301</v>
      </c>
      <c r="O182" s="126" t="s">
        <v>359</v>
      </c>
      <c r="P182" s="126" t="s">
        <v>494</v>
      </c>
      <c r="Q182" s="181">
        <f>3852*2.4</f>
        <v>9244.7999999999993</v>
      </c>
      <c r="R182" s="181">
        <v>9250</v>
      </c>
      <c r="S182" s="181">
        <v>9033.1509999999998</v>
      </c>
      <c r="T182" s="181"/>
      <c r="U182" s="181">
        <f>S182</f>
        <v>9033.1509999999998</v>
      </c>
      <c r="AX182" s="165">
        <f t="shared" si="43"/>
        <v>45095.803472222222</v>
      </c>
      <c r="AY182" s="165">
        <f t="shared" si="44"/>
        <v>45113.379166666666</v>
      </c>
      <c r="AZ182" s="137">
        <f t="shared" si="45"/>
        <v>17.575694444443798</v>
      </c>
      <c r="BA182" s="165">
        <v>45095.803472222222</v>
      </c>
      <c r="BB182" s="165">
        <v>45097.85</v>
      </c>
      <c r="BC182" s="165">
        <v>45099.583333333336</v>
      </c>
      <c r="BD182" s="165">
        <v>45102.8125</v>
      </c>
      <c r="BE182" s="165">
        <v>45102.984027777777</v>
      </c>
      <c r="BF182" s="165">
        <v>45102.989583333336</v>
      </c>
      <c r="BG182" s="165">
        <v>45102.989583333336</v>
      </c>
      <c r="BH182" s="165">
        <f t="shared" si="61"/>
        <v>45104.697916666672</v>
      </c>
      <c r="BI182" s="165">
        <v>45105.458333333336</v>
      </c>
      <c r="BJ182" s="165">
        <v>45105.625</v>
      </c>
      <c r="BK182" s="165">
        <v>45105.606944444444</v>
      </c>
      <c r="BL182" s="165">
        <v>45106.645833333336</v>
      </c>
      <c r="BM182" s="165">
        <v>45112.527777777781</v>
      </c>
      <c r="BN182" s="165">
        <v>45112.902777777781</v>
      </c>
      <c r="BO182" s="165">
        <v>45112.923611111109</v>
      </c>
      <c r="BP182" s="165">
        <v>45113.159722222219</v>
      </c>
      <c r="BQ182" s="165">
        <v>45113.379166666666</v>
      </c>
      <c r="BT182" s="136">
        <f t="shared" si="47"/>
        <v>41.600000000093132</v>
      </c>
      <c r="BU182" s="136">
        <f t="shared" si="48"/>
        <v>4.1166666666395031</v>
      </c>
      <c r="BV182" s="136">
        <f t="shared" si="49"/>
        <v>41.000000000058208</v>
      </c>
      <c r="BW182" s="136">
        <f t="shared" si="59"/>
        <v>24.500000000058208</v>
      </c>
      <c r="BX182" s="135">
        <f t="shared" si="51"/>
        <v>9</v>
      </c>
      <c r="BY182" s="135">
        <f t="shared" si="52"/>
        <v>5.2666666667209938</v>
      </c>
      <c r="BZ182" s="134">
        <f t="shared" si="53"/>
        <v>5.2284722222320852</v>
      </c>
      <c r="CA182" s="134">
        <f t="shared" si="54"/>
        <v>17.575694444443798</v>
      </c>
      <c r="CB182" s="133">
        <f t="shared" si="55"/>
        <v>0.29748310877610651</v>
      </c>
    </row>
    <row r="183" spans="1:80" s="126" customFormat="1">
      <c r="A183" s="192">
        <f t="shared" si="60"/>
        <v>45103.013888888891</v>
      </c>
      <c r="B183" s="126" t="s">
        <v>228</v>
      </c>
      <c r="C183" s="126" t="s">
        <v>229</v>
      </c>
      <c r="D183" s="126" t="s">
        <v>197</v>
      </c>
      <c r="E183" s="65" t="s">
        <v>1763</v>
      </c>
      <c r="G183" s="73">
        <v>45106.104166666664</v>
      </c>
      <c r="H183" s="73">
        <v>45106.1</v>
      </c>
      <c r="I183" s="126" t="s">
        <v>490</v>
      </c>
      <c r="J183" s="126" t="s">
        <v>192</v>
      </c>
      <c r="K183" s="126" t="s">
        <v>192</v>
      </c>
      <c r="L183" s="126" t="s">
        <v>1985</v>
      </c>
      <c r="M183" s="167"/>
      <c r="N183" s="126" t="s">
        <v>429</v>
      </c>
      <c r="O183" s="126" t="s">
        <v>430</v>
      </c>
      <c r="P183" s="126" t="s">
        <v>494</v>
      </c>
      <c r="Q183" s="181">
        <f>3145 *2.4</f>
        <v>7548</v>
      </c>
      <c r="R183" s="181">
        <f>7550+100</f>
        <v>7650</v>
      </c>
      <c r="S183" s="181">
        <f>7632.334-5001.666</f>
        <v>2630.6679999999997</v>
      </c>
      <c r="T183" s="181"/>
      <c r="U183" s="181">
        <f>S183</f>
        <v>2630.6679999999997</v>
      </c>
      <c r="AX183" s="165">
        <f t="shared" si="43"/>
        <v>45096.385416666664</v>
      </c>
      <c r="AY183" s="165">
        <f t="shared" si="44"/>
        <v>45113.201388888891</v>
      </c>
      <c r="AZ183" s="137">
        <f t="shared" si="45"/>
        <v>16.815972222226264</v>
      </c>
      <c r="BA183" s="165">
        <v>45096.385416666664</v>
      </c>
      <c r="BB183" s="165">
        <v>45097.597222222219</v>
      </c>
      <c r="BC183" s="165">
        <v>45099.625</v>
      </c>
      <c r="BD183" s="165">
        <v>45103.013888888891</v>
      </c>
      <c r="BE183" s="165">
        <v>45103.172222222223</v>
      </c>
      <c r="BF183" s="165">
        <v>45103.180555555555</v>
      </c>
      <c r="BG183" s="165">
        <v>45103.180555555555</v>
      </c>
      <c r="BH183" s="165">
        <f t="shared" si="61"/>
        <v>45104.888888888891</v>
      </c>
      <c r="BI183" s="165">
        <v>45105.458333333336</v>
      </c>
      <c r="BJ183" s="165">
        <v>45105.625</v>
      </c>
      <c r="BK183" s="165">
        <v>45105.59375</v>
      </c>
      <c r="BL183" s="165">
        <v>45106.645833333336</v>
      </c>
      <c r="BM183" s="165">
        <v>45112.989583333336</v>
      </c>
      <c r="BN183" s="165">
        <v>45113.069444444445</v>
      </c>
      <c r="BO183" s="165">
        <v>45113.201388888891</v>
      </c>
      <c r="BP183" s="165">
        <v>45113.201388888891</v>
      </c>
      <c r="BQ183" s="165">
        <v>45113.201388888891</v>
      </c>
      <c r="BT183" s="136">
        <f t="shared" si="47"/>
        <v>48.666666666744277</v>
      </c>
      <c r="BU183" s="136">
        <f t="shared" si="48"/>
        <v>3.7999999999883585</v>
      </c>
      <c r="BV183" s="136">
        <f t="shared" si="49"/>
        <v>41.000000000058208</v>
      </c>
      <c r="BW183" s="136">
        <f t="shared" si="59"/>
        <v>24.500000000058208</v>
      </c>
      <c r="BX183" s="135">
        <f t="shared" si="51"/>
        <v>1.9166666666278616</v>
      </c>
      <c r="BY183" s="135">
        <f t="shared" si="52"/>
        <v>0</v>
      </c>
      <c r="BZ183" s="134">
        <f t="shared" si="53"/>
        <v>4.9951388888948713</v>
      </c>
      <c r="CA183" s="134">
        <f t="shared" si="54"/>
        <v>16.815972222226264</v>
      </c>
      <c r="CB183" s="133">
        <f t="shared" si="55"/>
        <v>0.29704728474114744</v>
      </c>
    </row>
    <row r="184" spans="1:80" s="126" customFormat="1">
      <c r="A184" s="192">
        <f t="shared" si="60"/>
        <v>45103.013888888891</v>
      </c>
      <c r="B184" s="126" t="s">
        <v>228</v>
      </c>
      <c r="C184" s="126" t="s">
        <v>229</v>
      </c>
      <c r="D184" s="126" t="s">
        <v>197</v>
      </c>
      <c r="E184" s="65" t="s">
        <v>944</v>
      </c>
      <c r="G184" s="73">
        <v>45111.458333333336</v>
      </c>
      <c r="H184" s="73">
        <v>45111.458333333336</v>
      </c>
      <c r="I184" s="126" t="s">
        <v>490</v>
      </c>
      <c r="J184" s="126" t="s">
        <v>192</v>
      </c>
      <c r="K184" s="126" t="s">
        <v>192</v>
      </c>
      <c r="L184" s="126" t="s">
        <v>1985</v>
      </c>
      <c r="M184" s="167"/>
      <c r="N184" s="126" t="s">
        <v>429</v>
      </c>
      <c r="O184" s="126" t="s">
        <v>430</v>
      </c>
      <c r="P184" s="126" t="s">
        <v>494</v>
      </c>
      <c r="Q184" s="181">
        <f>3145 *2.4</f>
        <v>7548</v>
      </c>
      <c r="R184" s="181">
        <f>7550+100</f>
        <v>7650</v>
      </c>
      <c r="S184" s="181">
        <v>4275.0519999999997</v>
      </c>
      <c r="T184" s="181"/>
      <c r="U184" s="181">
        <f>S184</f>
        <v>4275.0519999999997</v>
      </c>
      <c r="AX184" s="165">
        <f t="shared" si="43"/>
        <v>45096.385416666664</v>
      </c>
      <c r="AY184" s="165">
        <f t="shared" si="44"/>
        <v>45116.020833333336</v>
      </c>
      <c r="AZ184" s="137">
        <f t="shared" si="45"/>
        <v>19.635416666671517</v>
      </c>
      <c r="BA184" s="165">
        <v>45096.385416666664</v>
      </c>
      <c r="BB184" s="165">
        <v>45097.597222222219</v>
      </c>
      <c r="BC184" s="165">
        <v>45099.625</v>
      </c>
      <c r="BD184" s="165">
        <v>45103.013888888891</v>
      </c>
      <c r="BE184" s="165">
        <v>45103.172222222223</v>
      </c>
      <c r="BF184" s="165">
        <v>45103.180555555555</v>
      </c>
      <c r="BG184" s="165">
        <v>45103.180555555555</v>
      </c>
      <c r="BH184" s="165">
        <f t="shared" si="61"/>
        <v>45104.888888888891</v>
      </c>
      <c r="BI184" s="165">
        <v>45105.458333333336</v>
      </c>
      <c r="BJ184" s="165">
        <v>45105.625</v>
      </c>
      <c r="BK184" s="165">
        <v>45105.59375</v>
      </c>
      <c r="BL184" s="165">
        <v>45113.201388888891</v>
      </c>
      <c r="BM184" s="165">
        <v>45115.256944444445</v>
      </c>
      <c r="BN184" s="165">
        <v>45115.472222222219</v>
      </c>
      <c r="BO184" s="165">
        <v>45115.482638888891</v>
      </c>
      <c r="BP184" s="165">
        <v>45115.784722222219</v>
      </c>
      <c r="BQ184" s="165">
        <v>45116.020833333336</v>
      </c>
      <c r="BT184" s="136">
        <f t="shared" si="47"/>
        <v>48.666666666744277</v>
      </c>
      <c r="BU184" s="136">
        <f t="shared" si="48"/>
        <v>3.7999999999883585</v>
      </c>
      <c r="BV184" s="136">
        <f t="shared" si="49"/>
        <v>41.000000000058208</v>
      </c>
      <c r="BW184" s="136">
        <f t="shared" si="59"/>
        <v>181.83333333337214</v>
      </c>
      <c r="BX184" s="135">
        <f t="shared" si="51"/>
        <v>5.1666666665696539</v>
      </c>
      <c r="BY184" s="135">
        <f t="shared" si="52"/>
        <v>5.6666666668024845</v>
      </c>
      <c r="BZ184" s="134">
        <f t="shared" si="53"/>
        <v>11.92222222223063</v>
      </c>
      <c r="CA184" s="134">
        <f t="shared" si="54"/>
        <v>19.635416666671517</v>
      </c>
      <c r="CB184" s="133">
        <f t="shared" si="55"/>
        <v>0.60717948717976533</v>
      </c>
    </row>
    <row r="185" spans="1:80" s="126" customFormat="1">
      <c r="A185" s="192">
        <f t="shared" si="60"/>
        <v>45103.368055555555</v>
      </c>
      <c r="B185" s="126" t="s">
        <v>228</v>
      </c>
      <c r="C185" s="126" t="s">
        <v>229</v>
      </c>
      <c r="D185" s="126" t="s">
        <v>197</v>
      </c>
      <c r="E185" s="65" t="s">
        <v>1763</v>
      </c>
      <c r="G185" s="73">
        <v>45106.104166666664</v>
      </c>
      <c r="H185" s="73">
        <v>45106.1</v>
      </c>
      <c r="I185" s="126" t="s">
        <v>490</v>
      </c>
      <c r="J185" s="126" t="s">
        <v>192</v>
      </c>
      <c r="K185" s="126" t="s">
        <v>192</v>
      </c>
      <c r="L185" s="126" t="s">
        <v>1986</v>
      </c>
      <c r="M185" s="167"/>
      <c r="N185" s="126" t="s">
        <v>201</v>
      </c>
      <c r="O185" s="126" t="s">
        <v>202</v>
      </c>
      <c r="P185" s="126" t="s">
        <v>494</v>
      </c>
      <c r="Q185" s="181">
        <f>3141*2.4</f>
        <v>7538.4</v>
      </c>
      <c r="R185" s="181">
        <f>7550+100</f>
        <v>7650</v>
      </c>
      <c r="S185" s="181">
        <v>7654.393</v>
      </c>
      <c r="T185" s="181"/>
      <c r="U185" s="181">
        <f>S185</f>
        <v>7654.393</v>
      </c>
      <c r="AX185" s="165">
        <f t="shared" si="43"/>
        <v>45096.208333333336</v>
      </c>
      <c r="AY185" s="165">
        <f t="shared" si="44"/>
        <v>45112.513888888891</v>
      </c>
      <c r="AZ185" s="137">
        <f t="shared" si="45"/>
        <v>16.305555555554747</v>
      </c>
      <c r="BA185" s="165">
        <v>45096.208333333336</v>
      </c>
      <c r="BB185" s="165">
        <v>45097.809027777781</v>
      </c>
      <c r="BC185" s="165">
        <v>45099.649305555555</v>
      </c>
      <c r="BD185" s="165">
        <v>45103.368055555555</v>
      </c>
      <c r="BE185" s="165">
        <v>45103.506944444445</v>
      </c>
      <c r="BF185" s="165">
        <v>45103.513888888891</v>
      </c>
      <c r="BG185" s="165">
        <v>45103.513888888891</v>
      </c>
      <c r="BH185" s="165">
        <f t="shared" si="61"/>
        <v>45105.222222222226</v>
      </c>
      <c r="BI185" s="165">
        <v>45105.458333333336</v>
      </c>
      <c r="BJ185" s="165">
        <v>45105.625</v>
      </c>
      <c r="BK185" s="165">
        <v>45105.590277777781</v>
      </c>
      <c r="BL185" s="165">
        <v>45106.590277777781</v>
      </c>
      <c r="BM185" s="165">
        <v>45112.013888888891</v>
      </c>
      <c r="BN185" s="165">
        <v>45112.194444444445</v>
      </c>
      <c r="BO185" s="165">
        <v>45112.215277777781</v>
      </c>
      <c r="BP185" s="165">
        <v>45112.215277777781</v>
      </c>
      <c r="BQ185" s="165">
        <v>45112.513888888891</v>
      </c>
      <c r="BT185" s="136">
        <f t="shared" si="47"/>
        <v>44.166666666569654</v>
      </c>
      <c r="BU185" s="136">
        <f t="shared" si="48"/>
        <v>3.3333333333721384</v>
      </c>
      <c r="BV185" s="136">
        <f t="shared" si="49"/>
        <v>41.000000000058208</v>
      </c>
      <c r="BW185" s="136">
        <f t="shared" si="59"/>
        <v>23.166666666744277</v>
      </c>
      <c r="BX185" s="135">
        <f t="shared" si="51"/>
        <v>4.3333333333139308</v>
      </c>
      <c r="BY185" s="135">
        <f t="shared" si="52"/>
        <v>7.1666666666278616</v>
      </c>
      <c r="BZ185" s="134">
        <f t="shared" si="53"/>
        <v>5.1319444444452529</v>
      </c>
      <c r="CA185" s="134">
        <f t="shared" si="54"/>
        <v>16.305555555554747</v>
      </c>
      <c r="CB185" s="133">
        <f t="shared" si="55"/>
        <v>0.31473594548558476</v>
      </c>
    </row>
    <row r="186" spans="1:80" s="126" customFormat="1">
      <c r="A186" s="192">
        <f t="shared" si="60"/>
        <v>45103.534722222219</v>
      </c>
      <c r="B186" s="126" t="s">
        <v>228</v>
      </c>
      <c r="C186" s="126" t="s">
        <v>229</v>
      </c>
      <c r="D186" s="126" t="s">
        <v>215</v>
      </c>
      <c r="E186" s="65" t="s">
        <v>1763</v>
      </c>
      <c r="G186" s="73">
        <v>45106.104166666664</v>
      </c>
      <c r="H186" s="73">
        <v>45106.1</v>
      </c>
      <c r="I186" s="126" t="s">
        <v>490</v>
      </c>
      <c r="J186" s="126" t="s">
        <v>192</v>
      </c>
      <c r="K186" s="126" t="s">
        <v>192</v>
      </c>
      <c r="L186" s="126" t="s">
        <v>1987</v>
      </c>
      <c r="M186" s="167"/>
      <c r="N186" s="126" t="s">
        <v>390</v>
      </c>
      <c r="O186" s="126" t="s">
        <v>391</v>
      </c>
      <c r="P186" s="126" t="s">
        <v>1372</v>
      </c>
      <c r="Q186" s="181">
        <f>3097*2.4</f>
        <v>7432.7999999999993</v>
      </c>
      <c r="R186" s="181">
        <f>7450+100</f>
        <v>7550</v>
      </c>
      <c r="S186" s="181">
        <v>7357.23</v>
      </c>
      <c r="T186" s="181"/>
      <c r="U186" s="181">
        <f>S186*0.6</f>
        <v>4414.3379999999997</v>
      </c>
      <c r="V186" s="181">
        <f>S186*0.4</f>
        <v>2942.8919999999998</v>
      </c>
      <c r="AX186" s="165">
        <f t="shared" si="43"/>
        <v>45096</v>
      </c>
      <c r="AY186" s="165">
        <f t="shared" si="44"/>
        <v>45112.9375</v>
      </c>
      <c r="AZ186" s="137">
        <f t="shared" si="45"/>
        <v>16.9375</v>
      </c>
      <c r="BA186" s="165">
        <v>45096</v>
      </c>
      <c r="BB186" s="165">
        <v>45098.597222222219</v>
      </c>
      <c r="BC186" s="165">
        <v>45100.520833333336</v>
      </c>
      <c r="BD186" s="165">
        <v>45103.534722222219</v>
      </c>
      <c r="BE186" s="165">
        <v>45103.673611111109</v>
      </c>
      <c r="BF186" s="165">
        <v>45103.677083333336</v>
      </c>
      <c r="BG186" s="165">
        <v>45103.677083333336</v>
      </c>
      <c r="BH186" s="165">
        <f t="shared" si="61"/>
        <v>45105.385416666672</v>
      </c>
      <c r="BI186" s="165">
        <v>45105.458333333336</v>
      </c>
      <c r="BJ186" s="165">
        <v>45105.625</v>
      </c>
      <c r="BK186" s="165">
        <v>45105.548611111109</v>
      </c>
      <c r="BL186" s="165">
        <v>45106.604166666664</v>
      </c>
      <c r="BM186" s="165">
        <v>45112.256944444445</v>
      </c>
      <c r="BN186" s="165">
        <v>45112.465277777781</v>
      </c>
      <c r="BO186" s="165">
        <v>45112.486111111109</v>
      </c>
      <c r="BP186" s="165">
        <v>45112.680555555555</v>
      </c>
      <c r="BQ186" s="165">
        <v>45112.9375</v>
      </c>
      <c r="BT186" s="136">
        <f t="shared" si="47"/>
        <v>46.166666666802485</v>
      </c>
      <c r="BU186" s="136">
        <f t="shared" si="48"/>
        <v>3.3333333333721384</v>
      </c>
      <c r="BV186" s="136">
        <f t="shared" si="49"/>
        <v>41.000000000058208</v>
      </c>
      <c r="BW186" s="136">
        <f t="shared" si="59"/>
        <v>23.499999999941792</v>
      </c>
      <c r="BX186" s="135">
        <f t="shared" si="51"/>
        <v>5.0000000000582077</v>
      </c>
      <c r="BY186" s="135">
        <f t="shared" si="52"/>
        <v>6.1666666666860692</v>
      </c>
      <c r="BZ186" s="134">
        <f t="shared" si="53"/>
        <v>5.2152777777882875</v>
      </c>
      <c r="CA186" s="134">
        <f t="shared" si="54"/>
        <v>16.9375</v>
      </c>
      <c r="CB186" s="133">
        <f t="shared" si="55"/>
        <v>0.3079130791314118</v>
      </c>
    </row>
    <row r="187" spans="1:80" s="126" customFormat="1">
      <c r="A187" s="192">
        <f t="shared" si="60"/>
        <v>45105.34375</v>
      </c>
      <c r="B187" s="126" t="s">
        <v>228</v>
      </c>
      <c r="C187" s="126" t="s">
        <v>229</v>
      </c>
      <c r="D187" s="126" t="s">
        <v>197</v>
      </c>
      <c r="E187" s="65" t="s">
        <v>944</v>
      </c>
      <c r="G187" s="165">
        <f>'VLU 2023 &amp; 2024'!$K$125</f>
        <v>45111.458333333336</v>
      </c>
      <c r="H187" s="165">
        <f>'VLU 2023 &amp; 2024'!$L$125</f>
        <v>45111.458333333336</v>
      </c>
      <c r="I187" s="126" t="s">
        <v>490</v>
      </c>
      <c r="J187" s="126" t="s">
        <v>192</v>
      </c>
      <c r="K187" s="126" t="s">
        <v>192</v>
      </c>
      <c r="L187" s="126" t="s">
        <v>1988</v>
      </c>
      <c r="M187" s="167"/>
      <c r="N187" s="126" t="s">
        <v>367</v>
      </c>
      <c r="O187" s="126" t="s">
        <v>368</v>
      </c>
      <c r="P187" s="126" t="s">
        <v>494</v>
      </c>
      <c r="Q187" s="181">
        <f>4111*2.4</f>
        <v>9866.4</v>
      </c>
      <c r="R187" s="181">
        <f>9900+100</f>
        <v>10000</v>
      </c>
      <c r="S187" s="181">
        <v>9861.4009999999998</v>
      </c>
      <c r="T187" s="181"/>
      <c r="U187" s="181">
        <f>S187</f>
        <v>9861.4009999999998</v>
      </c>
      <c r="AX187" s="165">
        <f t="shared" si="43"/>
        <v>45099.371527777781</v>
      </c>
      <c r="AY187" s="165">
        <f t="shared" si="44"/>
        <v>45113.895833333336</v>
      </c>
      <c r="AZ187" s="137">
        <f t="shared" si="45"/>
        <v>14.524305555554747</v>
      </c>
      <c r="BA187" s="165">
        <v>45099.371527777781</v>
      </c>
      <c r="BB187" s="165">
        <v>45100.857638888891</v>
      </c>
      <c r="BC187" s="165">
        <v>45102.569444444445</v>
      </c>
      <c r="BD187" s="165">
        <v>45105.34375</v>
      </c>
      <c r="BE187" s="165">
        <v>45105.576388888891</v>
      </c>
      <c r="BF187" s="165">
        <v>45105.597222222219</v>
      </c>
      <c r="BG187" s="165">
        <v>45105.597222222219</v>
      </c>
      <c r="BH187" s="165">
        <f t="shared" si="61"/>
        <v>45107.305555555555</v>
      </c>
      <c r="BI187" s="165">
        <v>45107.583333333336</v>
      </c>
      <c r="BJ187" s="165">
        <v>45107.75</v>
      </c>
      <c r="BK187" s="165">
        <v>45107.583333333336</v>
      </c>
      <c r="BL187" s="165">
        <v>45111.649305555555</v>
      </c>
      <c r="BM187" s="165">
        <v>45113.194444444445</v>
      </c>
      <c r="BN187" s="165">
        <v>45113.614583333336</v>
      </c>
      <c r="BO187" s="165">
        <v>45113.625</v>
      </c>
      <c r="BP187" s="165">
        <v>45113.708333333336</v>
      </c>
      <c r="BQ187" s="165">
        <v>45113.895833333336</v>
      </c>
      <c r="BT187" s="136">
        <f t="shared" si="47"/>
        <v>41.083333333313931</v>
      </c>
      <c r="BU187" s="136">
        <f t="shared" si="48"/>
        <v>5.5833333333721384</v>
      </c>
      <c r="BV187" s="136">
        <f t="shared" si="49"/>
        <v>41.000000000058208</v>
      </c>
      <c r="BW187" s="136">
        <f t="shared" si="59"/>
        <v>93.583333333313931</v>
      </c>
      <c r="BX187" s="135">
        <f t="shared" si="51"/>
        <v>10.083333333372138</v>
      </c>
      <c r="BY187" s="135">
        <f t="shared" si="52"/>
        <v>4.5</v>
      </c>
      <c r="BZ187" s="134">
        <f t="shared" si="53"/>
        <v>8.1597222222262644</v>
      </c>
      <c r="CA187" s="134">
        <f t="shared" si="54"/>
        <v>14.524305555554747</v>
      </c>
      <c r="CB187" s="133">
        <f t="shared" si="55"/>
        <v>0.56179775280929833</v>
      </c>
    </row>
    <row r="188" spans="1:80" s="126" customFormat="1">
      <c r="A188" s="192">
        <f t="shared" si="60"/>
        <v>45106.850694444445</v>
      </c>
      <c r="B188" s="126" t="s">
        <v>228</v>
      </c>
      <c r="C188" s="126" t="s">
        <v>229</v>
      </c>
      <c r="D188" s="126" t="s">
        <v>197</v>
      </c>
      <c r="E188" s="65" t="s">
        <v>944</v>
      </c>
      <c r="G188" s="73">
        <v>45111.458333333336</v>
      </c>
      <c r="H188" s="73">
        <v>45111.458333333336</v>
      </c>
      <c r="I188" s="126" t="s">
        <v>490</v>
      </c>
      <c r="J188" s="126" t="s">
        <v>192</v>
      </c>
      <c r="K188" s="126" t="s">
        <v>192</v>
      </c>
      <c r="L188" s="126" t="s">
        <v>1989</v>
      </c>
      <c r="M188" s="167"/>
      <c r="N188" s="126" t="s">
        <v>334</v>
      </c>
      <c r="O188" s="126" t="s">
        <v>335</v>
      </c>
      <c r="P188" s="126" t="s">
        <v>494</v>
      </c>
      <c r="Q188" s="181">
        <f>3242 *2.4</f>
        <v>7780.7999999999993</v>
      </c>
      <c r="R188" s="181">
        <f>7800+100</f>
        <v>7900</v>
      </c>
      <c r="S188" s="181">
        <v>7895.8019999999997</v>
      </c>
      <c r="T188" s="181"/>
      <c r="U188" s="181">
        <f>S188</f>
        <v>7895.8019999999997</v>
      </c>
      <c r="AX188" s="165">
        <f t="shared" si="43"/>
        <v>45099.0625</v>
      </c>
      <c r="AY188" s="165">
        <f t="shared" si="44"/>
        <v>45114.75</v>
      </c>
      <c r="AZ188" s="137">
        <f t="shared" si="45"/>
        <v>15.6875</v>
      </c>
      <c r="BA188" s="165">
        <v>45099.0625</v>
      </c>
      <c r="BB188" s="165">
        <v>45100.791666666664</v>
      </c>
      <c r="BC188" s="165">
        <v>45102.701388888891</v>
      </c>
      <c r="BD188" s="165">
        <v>45106.850694444445</v>
      </c>
      <c r="BE188" s="165">
        <v>45107.114583333336</v>
      </c>
      <c r="BF188" s="165">
        <v>45107.125</v>
      </c>
      <c r="BG188" s="165">
        <v>45107.25</v>
      </c>
      <c r="BH188" s="165">
        <f t="shared" si="61"/>
        <v>45108.958333333336</v>
      </c>
      <c r="BI188" s="165">
        <v>45108.583333333336</v>
      </c>
      <c r="BJ188" s="165">
        <v>45108.75</v>
      </c>
      <c r="BK188" s="165">
        <v>45108.708333333336</v>
      </c>
      <c r="BL188" s="165">
        <v>45111.166666666664</v>
      </c>
      <c r="BM188" s="165">
        <v>45114.03125</v>
      </c>
      <c r="BN188" s="165">
        <v>45114.34375</v>
      </c>
      <c r="BO188" s="165">
        <v>45114.354166666664</v>
      </c>
      <c r="BP188" s="165">
        <v>45114.354166666664</v>
      </c>
      <c r="BQ188" s="165">
        <v>45114.75</v>
      </c>
      <c r="BT188" s="136">
        <f t="shared" si="47"/>
        <v>45.833333333430346</v>
      </c>
      <c r="BU188" s="136">
        <f t="shared" si="48"/>
        <v>6.3333333333721384</v>
      </c>
      <c r="BV188" s="136">
        <f t="shared" si="49"/>
        <v>41.000000000058208</v>
      </c>
      <c r="BW188" s="136">
        <f t="shared" si="59"/>
        <v>57.999999999941792</v>
      </c>
      <c r="BX188" s="135">
        <f t="shared" si="51"/>
        <v>7.5</v>
      </c>
      <c r="BY188" s="135">
        <f t="shared" si="52"/>
        <v>9.5000000000582077</v>
      </c>
      <c r="BZ188" s="134">
        <f t="shared" si="53"/>
        <v>7.0069444444525288</v>
      </c>
      <c r="CA188" s="134">
        <f t="shared" si="54"/>
        <v>15.6875</v>
      </c>
      <c r="CB188" s="133">
        <f t="shared" si="55"/>
        <v>0.44665781319219305</v>
      </c>
    </row>
    <row r="189" spans="1:80" s="126" customFormat="1">
      <c r="A189" s="192">
        <f t="shared" si="60"/>
        <v>45107.145833333336</v>
      </c>
      <c r="B189" s="126" t="s">
        <v>228</v>
      </c>
      <c r="C189" s="126" t="s">
        <v>229</v>
      </c>
      <c r="D189" s="126" t="s">
        <v>197</v>
      </c>
      <c r="E189" s="65" t="s">
        <v>944</v>
      </c>
      <c r="G189" s="73">
        <v>45111.458333333336</v>
      </c>
      <c r="H189" s="73">
        <v>45111.458333333336</v>
      </c>
      <c r="I189" s="126" t="s">
        <v>490</v>
      </c>
      <c r="J189" s="126" t="s">
        <v>192</v>
      </c>
      <c r="K189" s="126" t="s">
        <v>192</v>
      </c>
      <c r="L189" s="126" t="s">
        <v>1990</v>
      </c>
      <c r="M189" s="167"/>
      <c r="N189" s="126" t="s">
        <v>263</v>
      </c>
      <c r="O189" s="126" t="s">
        <v>264</v>
      </c>
      <c r="P189" s="126" t="s">
        <v>494</v>
      </c>
      <c r="Q189" s="181">
        <f>3136*2.4</f>
        <v>7526.4</v>
      </c>
      <c r="R189" s="181">
        <f>7550+100</f>
        <v>7650</v>
      </c>
      <c r="S189" s="181">
        <v>7629.6850000000004</v>
      </c>
      <c r="T189" s="181"/>
      <c r="U189" s="181">
        <f>S189</f>
        <v>7629.6850000000004</v>
      </c>
      <c r="AX189" s="165">
        <f t="shared" si="43"/>
        <v>45098.069444444445</v>
      </c>
      <c r="AY189" s="165">
        <f t="shared" si="44"/>
        <v>45115.125</v>
      </c>
      <c r="AZ189" s="137">
        <f t="shared" si="45"/>
        <v>17.055555555554747</v>
      </c>
      <c r="BA189" s="165">
        <v>45098.069444444445</v>
      </c>
      <c r="BB189" s="165">
        <v>45101.552083333336</v>
      </c>
      <c r="BC189" s="165">
        <v>45103.25</v>
      </c>
      <c r="BD189" s="165">
        <v>45107.145833333336</v>
      </c>
      <c r="BE189" s="165">
        <v>45107.354166666664</v>
      </c>
      <c r="BF189" s="165">
        <v>45107.364583333336</v>
      </c>
      <c r="BG189" s="165">
        <v>45107.364583333336</v>
      </c>
      <c r="BH189" s="165">
        <f t="shared" si="61"/>
        <v>45109.072916666672</v>
      </c>
      <c r="BI189" s="165">
        <v>45109.229166666664</v>
      </c>
      <c r="BJ189" s="165">
        <v>45109.395833333328</v>
      </c>
      <c r="BK189" s="165">
        <v>45109.302083333336</v>
      </c>
      <c r="BL189" s="165">
        <v>45111.125</v>
      </c>
      <c r="BM189" s="165">
        <v>45114.451388888891</v>
      </c>
      <c r="BN189" s="165">
        <v>45114.802083333336</v>
      </c>
      <c r="BO189" s="165">
        <v>45114.8125</v>
      </c>
      <c r="BP189" s="165">
        <v>45114.8125</v>
      </c>
      <c r="BQ189" s="165">
        <v>45115.125</v>
      </c>
      <c r="BT189" s="136">
        <f t="shared" si="47"/>
        <v>40.749999999941792</v>
      </c>
      <c r="BU189" s="136">
        <f t="shared" si="48"/>
        <v>4.9999999998835847</v>
      </c>
      <c r="BV189" s="136">
        <f t="shared" si="49"/>
        <v>41.000000000058208</v>
      </c>
      <c r="BW189" s="136">
        <f t="shared" si="59"/>
        <v>41.500000000116415</v>
      </c>
      <c r="BX189" s="135">
        <f t="shared" si="51"/>
        <v>8.4166666666860692</v>
      </c>
      <c r="BY189" s="135">
        <f t="shared" si="52"/>
        <v>7.5</v>
      </c>
      <c r="BZ189" s="134">
        <f t="shared" si="53"/>
        <v>6.0069444444452529</v>
      </c>
      <c r="CA189" s="134">
        <f t="shared" si="54"/>
        <v>17.055555555554747</v>
      </c>
      <c r="CB189" s="133">
        <f t="shared" si="55"/>
        <v>0.35219869706846801</v>
      </c>
    </row>
    <row r="190" spans="1:80" s="126" customFormat="1">
      <c r="A190" s="192">
        <f t="shared" si="60"/>
        <v>45107.564583333333</v>
      </c>
      <c r="B190" s="126" t="s">
        <v>228</v>
      </c>
      <c r="C190" s="126" t="s">
        <v>229</v>
      </c>
      <c r="D190" s="126" t="s">
        <v>197</v>
      </c>
      <c r="E190" s="65" t="s">
        <v>944</v>
      </c>
      <c r="G190" s="73">
        <v>45111.458333333336</v>
      </c>
      <c r="H190" s="73">
        <v>45111.458333333336</v>
      </c>
      <c r="I190" s="126" t="s">
        <v>490</v>
      </c>
      <c r="J190" s="126" t="s">
        <v>192</v>
      </c>
      <c r="K190" s="126" t="s">
        <v>192</v>
      </c>
      <c r="L190" s="126" t="s">
        <v>1991</v>
      </c>
      <c r="M190" s="167"/>
      <c r="N190" s="126" t="s">
        <v>1767</v>
      </c>
      <c r="O190" s="126" t="s">
        <v>1768</v>
      </c>
      <c r="P190" s="126" t="s">
        <v>494</v>
      </c>
      <c r="Q190" s="181">
        <f>3139*2.4</f>
        <v>7533.5999999999995</v>
      </c>
      <c r="R190" s="181">
        <f>7550+100</f>
        <v>7650</v>
      </c>
      <c r="S190" s="181">
        <v>7530.3909999999996</v>
      </c>
      <c r="T190" s="181"/>
      <c r="U190" s="181">
        <f>S190</f>
        <v>7530.3909999999996</v>
      </c>
      <c r="AX190" s="165">
        <f t="shared" si="43"/>
        <v>45099.055555555555</v>
      </c>
      <c r="AY190" s="165">
        <f t="shared" si="44"/>
        <v>45115.600694444445</v>
      </c>
      <c r="AZ190" s="137">
        <f t="shared" si="45"/>
        <v>16.545138888890506</v>
      </c>
      <c r="BA190" s="165">
        <v>45099.055555555555</v>
      </c>
      <c r="BB190" s="165">
        <v>45100.824305555558</v>
      </c>
      <c r="BC190" s="165">
        <v>45103.3125</v>
      </c>
      <c r="BD190" s="165">
        <v>45107.564583333333</v>
      </c>
      <c r="BE190" s="165">
        <v>45107.690972222219</v>
      </c>
      <c r="BF190" s="165">
        <v>45107.694444444445</v>
      </c>
      <c r="BG190" s="165">
        <v>45107.694444444445</v>
      </c>
      <c r="BH190" s="165">
        <f t="shared" si="61"/>
        <v>45109.402777777781</v>
      </c>
      <c r="BI190" s="165">
        <v>45110.229166608799</v>
      </c>
      <c r="BJ190" s="165">
        <v>45110.395833275463</v>
      </c>
      <c r="BK190" s="165">
        <v>45110.364583333336</v>
      </c>
      <c r="BL190" s="165">
        <v>45111.777777777781</v>
      </c>
      <c r="BM190" s="165">
        <v>45114.829861111109</v>
      </c>
      <c r="BN190" s="165">
        <v>45115.225694444445</v>
      </c>
      <c r="BO190" s="165">
        <v>45115.236111111109</v>
      </c>
      <c r="BP190" s="165">
        <v>45115.236111111109</v>
      </c>
      <c r="BQ190" s="165">
        <v>45115.600694444445</v>
      </c>
      <c r="BT190" s="136">
        <f t="shared" si="47"/>
        <v>59.71666666661622</v>
      </c>
      <c r="BU190" s="136">
        <f t="shared" si="48"/>
        <v>3.0333333332673647</v>
      </c>
      <c r="BV190" s="136">
        <f t="shared" si="49"/>
        <v>41.000000000058208</v>
      </c>
      <c r="BW190" s="136">
        <f t="shared" si="59"/>
        <v>33.166668055637274</v>
      </c>
      <c r="BX190" s="135">
        <f t="shared" si="51"/>
        <v>9.5000000000582077</v>
      </c>
      <c r="BY190" s="135">
        <f t="shared" si="52"/>
        <v>8.7500000000582077</v>
      </c>
      <c r="BZ190" s="134">
        <f t="shared" si="53"/>
        <v>6.4652778356539784</v>
      </c>
      <c r="CA190" s="134">
        <f t="shared" si="54"/>
        <v>16.545138888890506</v>
      </c>
      <c r="CB190" s="133">
        <f t="shared" si="55"/>
        <v>0.39076600559667657</v>
      </c>
    </row>
    <row r="191" spans="1:80" s="126" customFormat="1">
      <c r="A191" s="168"/>
      <c r="G191" s="166"/>
      <c r="H191" s="166"/>
      <c r="I191" s="181"/>
      <c r="M191" s="167"/>
      <c r="Q191" s="181"/>
      <c r="R191" s="181"/>
      <c r="S191" s="191">
        <f>SUM(S4:S190)</f>
        <v>1289529.2029999995</v>
      </c>
      <c r="T191" s="191">
        <f t="shared" ref="T191:AW191" si="63">SUM(T4:T190)</f>
        <v>0</v>
      </c>
      <c r="U191" s="191">
        <f t="shared" si="63"/>
        <v>202581.50735000006</v>
      </c>
      <c r="V191" s="191">
        <f t="shared" si="63"/>
        <v>57675.053250000004</v>
      </c>
      <c r="W191" s="191">
        <f t="shared" si="63"/>
        <v>4077.5944000000004</v>
      </c>
      <c r="X191" s="191">
        <f t="shared" si="63"/>
        <v>273131.01050000003</v>
      </c>
      <c r="Y191" s="191">
        <f t="shared" si="63"/>
        <v>302123.27349999995</v>
      </c>
      <c r="Z191" s="191">
        <f t="shared" si="63"/>
        <v>68196.233999999997</v>
      </c>
      <c r="AA191" s="191">
        <f t="shared" si="63"/>
        <v>15199.055</v>
      </c>
      <c r="AB191" s="191">
        <f t="shared" si="63"/>
        <v>0</v>
      </c>
      <c r="AC191" s="191">
        <f t="shared" si="63"/>
        <v>0</v>
      </c>
      <c r="AD191" s="191">
        <f t="shared" si="63"/>
        <v>30065.272999999997</v>
      </c>
      <c r="AE191" s="191">
        <f t="shared" si="63"/>
        <v>0</v>
      </c>
      <c r="AF191" s="191">
        <f t="shared" si="63"/>
        <v>0</v>
      </c>
      <c r="AG191" s="191">
        <f t="shared" si="63"/>
        <v>0</v>
      </c>
      <c r="AH191" s="191">
        <f t="shared" si="63"/>
        <v>60184.827999999994</v>
      </c>
      <c r="AI191" s="191">
        <f t="shared" si="63"/>
        <v>25971</v>
      </c>
      <c r="AJ191" s="191">
        <f t="shared" si="63"/>
        <v>0</v>
      </c>
      <c r="AK191" s="191">
        <f t="shared" si="63"/>
        <v>22880.173999999999</v>
      </c>
      <c r="AL191" s="191">
        <f t="shared" si="63"/>
        <v>52500</v>
      </c>
      <c r="AM191" s="191">
        <f t="shared" si="63"/>
        <v>30131.212</v>
      </c>
      <c r="AN191" s="191">
        <f t="shared" si="63"/>
        <v>10059.208000000001</v>
      </c>
      <c r="AO191" s="191">
        <f t="shared" si="63"/>
        <v>45000</v>
      </c>
      <c r="AP191" s="191">
        <f t="shared" si="63"/>
        <v>0</v>
      </c>
      <c r="AQ191" s="191">
        <f t="shared" si="63"/>
        <v>0</v>
      </c>
      <c r="AR191" s="191">
        <f t="shared" si="63"/>
        <v>10675</v>
      </c>
      <c r="AS191" s="191">
        <f t="shared" si="63"/>
        <v>12900.89</v>
      </c>
      <c r="AT191" s="191">
        <f t="shared" si="63"/>
        <v>36403.135999999999</v>
      </c>
      <c r="AU191" s="191">
        <f t="shared" si="63"/>
        <v>29774.754000000001</v>
      </c>
      <c r="AV191" s="191">
        <f t="shared" si="63"/>
        <v>0</v>
      </c>
      <c r="AW191" s="191">
        <f t="shared" si="63"/>
        <v>0</v>
      </c>
      <c r="AX191" s="165"/>
      <c r="AY191" s="165"/>
      <c r="AZ191" s="165"/>
      <c r="BA191" s="165"/>
      <c r="BB191" s="165"/>
      <c r="BC191" s="165"/>
      <c r="BD191" s="165"/>
      <c r="BE191" s="165"/>
      <c r="BF191" s="165"/>
      <c r="BG191" s="165"/>
      <c r="BH191" s="165"/>
      <c r="BI191" s="165"/>
      <c r="BJ191" s="165"/>
      <c r="BK191" s="165"/>
      <c r="BL191" s="165"/>
      <c r="BM191" s="165"/>
      <c r="BN191" s="165"/>
      <c r="BO191" s="165"/>
      <c r="BP191" s="165"/>
      <c r="BQ191" s="165"/>
      <c r="BT191" s="136"/>
      <c r="BU191" s="136"/>
      <c r="BV191" s="136"/>
      <c r="BW191" s="136"/>
      <c r="BX191" s="135"/>
      <c r="BY191" s="135"/>
      <c r="BZ191" s="165"/>
      <c r="CA191" s="165"/>
    </row>
    <row r="192" spans="1:80" ht="13.95" customHeight="1"/>
    <row r="193" spans="1:82">
      <c r="BA193" s="1284"/>
      <c r="BB193" s="1284"/>
      <c r="BI193" s="1284"/>
      <c r="BJ193" s="1284"/>
    </row>
    <row r="195" spans="1:82">
      <c r="BA195" s="1284"/>
      <c r="BB195" s="1284"/>
      <c r="BI195" s="1284"/>
      <c r="BJ195" s="1290"/>
    </row>
    <row r="196" spans="1:82">
      <c r="BA196" s="120"/>
      <c r="BB196" s="120"/>
      <c r="BI196" s="120"/>
      <c r="BJ196" s="120"/>
    </row>
    <row r="197" spans="1:82">
      <c r="BA197" s="120"/>
      <c r="BB197" s="120"/>
      <c r="BI197" s="120"/>
      <c r="BJ197" s="120"/>
    </row>
    <row r="198" spans="1:82">
      <c r="BA198" s="120"/>
      <c r="BB198" s="120"/>
      <c r="BI198" s="120"/>
      <c r="BJ198" s="120"/>
    </row>
    <row r="199" spans="1:82">
      <c r="BA199" s="120"/>
      <c r="BB199" s="120"/>
      <c r="BI199" s="120"/>
      <c r="BJ199" s="120"/>
    </row>
    <row r="200" spans="1:82">
      <c r="BA200" s="120"/>
      <c r="BB200" s="120"/>
      <c r="BI200" s="120"/>
      <c r="BJ200" s="120"/>
    </row>
    <row r="201" spans="1:82" s="251" customFormat="1">
      <c r="A201" s="119"/>
      <c r="B201" s="119"/>
      <c r="C201" s="115"/>
      <c r="D201" s="115"/>
      <c r="E201" s="115"/>
      <c r="F201" s="115"/>
      <c r="G201" s="252"/>
      <c r="H201" s="252"/>
      <c r="I201" s="117"/>
      <c r="J201" s="115"/>
      <c r="K201" s="115"/>
      <c r="L201" s="115"/>
      <c r="M201" s="118"/>
      <c r="N201" s="115"/>
      <c r="O201" s="115"/>
      <c r="P201" s="115"/>
      <c r="Q201" s="117"/>
      <c r="R201" s="117"/>
      <c r="S201" s="117"/>
      <c r="T201" s="117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15"/>
      <c r="AO201" s="115"/>
      <c r="AP201" s="115"/>
      <c r="AQ201" s="115"/>
      <c r="AR201" s="115"/>
      <c r="AS201" s="115"/>
      <c r="AT201" s="115"/>
      <c r="AU201" s="115"/>
      <c r="AV201" s="115"/>
      <c r="AW201" s="115"/>
      <c r="BA201" s="120"/>
      <c r="BB201" s="120"/>
      <c r="BI201" s="120"/>
      <c r="BJ201" s="120"/>
      <c r="BO201" s="115"/>
      <c r="BP201" s="115"/>
      <c r="BQ201" s="115"/>
      <c r="BR201" s="116"/>
      <c r="BS201" s="116"/>
      <c r="CB201" s="115"/>
      <c r="CC201" s="115"/>
      <c r="CD201" s="115"/>
    </row>
    <row r="202" spans="1:82" s="251" customFormat="1">
      <c r="A202" s="119"/>
      <c r="B202" s="119"/>
      <c r="C202" s="115"/>
      <c r="D202" s="115"/>
      <c r="E202" s="115"/>
      <c r="F202" s="115"/>
      <c r="G202" s="252"/>
      <c r="H202" s="252"/>
      <c r="I202" s="117"/>
      <c r="J202" s="115"/>
      <c r="K202" s="115"/>
      <c r="L202" s="115"/>
      <c r="M202" s="118"/>
      <c r="N202" s="115"/>
      <c r="O202" s="115"/>
      <c r="P202" s="115"/>
      <c r="Q202" s="117"/>
      <c r="R202" s="117"/>
      <c r="S202" s="117"/>
      <c r="T202" s="117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15"/>
      <c r="AO202" s="115"/>
      <c r="AP202" s="115"/>
      <c r="AQ202" s="115"/>
      <c r="AR202" s="115"/>
      <c r="AS202" s="115"/>
      <c r="AT202" s="115"/>
      <c r="AU202" s="115"/>
      <c r="AV202" s="115"/>
      <c r="AW202" s="115"/>
      <c r="BA202" s="120"/>
      <c r="BB202" s="120"/>
      <c r="BI202" s="120"/>
      <c r="BJ202" s="120"/>
      <c r="BO202" s="115"/>
      <c r="BP202" s="115"/>
      <c r="BQ202" s="115"/>
      <c r="BR202" s="116"/>
      <c r="BS202" s="116"/>
      <c r="CB202" s="115"/>
      <c r="CC202" s="115"/>
      <c r="CD202" s="115"/>
    </row>
    <row r="203" spans="1:82" s="251" customFormat="1">
      <c r="A203" s="119"/>
      <c r="B203" s="119"/>
      <c r="C203" s="115"/>
      <c r="D203" s="115"/>
      <c r="E203" s="115"/>
      <c r="F203" s="115"/>
      <c r="G203" s="252"/>
      <c r="H203" s="252"/>
      <c r="I203" s="117"/>
      <c r="J203" s="115"/>
      <c r="K203" s="115"/>
      <c r="L203" s="115"/>
      <c r="M203" s="118"/>
      <c r="N203" s="115"/>
      <c r="O203" s="115"/>
      <c r="P203" s="115"/>
      <c r="Q203" s="117"/>
      <c r="R203" s="117"/>
      <c r="S203" s="117"/>
      <c r="T203" s="117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115"/>
      <c r="AQ203" s="115"/>
      <c r="AR203" s="115"/>
      <c r="AS203" s="115"/>
      <c r="AT203" s="115"/>
      <c r="AU203" s="115"/>
      <c r="AV203" s="115"/>
      <c r="AW203" s="115"/>
      <c r="BA203" s="120"/>
      <c r="BB203" s="120"/>
      <c r="BI203" s="120"/>
      <c r="BJ203" s="120"/>
      <c r="BO203" s="115"/>
      <c r="BP203" s="115"/>
      <c r="BQ203" s="115"/>
      <c r="BR203" s="116"/>
      <c r="BS203" s="116"/>
      <c r="CB203" s="115"/>
      <c r="CC203" s="115"/>
      <c r="CD203" s="115"/>
    </row>
    <row r="204" spans="1:82" s="251" customFormat="1">
      <c r="A204" s="119"/>
      <c r="B204" s="119"/>
      <c r="C204" s="115"/>
      <c r="D204" s="115"/>
      <c r="E204" s="115"/>
      <c r="F204" s="115"/>
      <c r="G204" s="252"/>
      <c r="H204" s="252"/>
      <c r="I204" s="117"/>
      <c r="J204" s="115"/>
      <c r="K204" s="115"/>
      <c r="L204" s="115"/>
      <c r="M204" s="118"/>
      <c r="N204" s="115"/>
      <c r="O204" s="115"/>
      <c r="P204" s="115"/>
      <c r="Q204" s="117"/>
      <c r="R204" s="117"/>
      <c r="S204" s="117"/>
      <c r="T204" s="117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115"/>
      <c r="AO204" s="115"/>
      <c r="AP204" s="115"/>
      <c r="AQ204" s="115"/>
      <c r="AR204" s="115"/>
      <c r="AS204" s="115"/>
      <c r="AT204" s="115"/>
      <c r="AU204" s="115"/>
      <c r="AV204" s="115"/>
      <c r="AW204" s="115"/>
      <c r="BA204" s="120"/>
      <c r="BB204" s="120"/>
      <c r="BI204" s="120"/>
      <c r="BJ204" s="120"/>
      <c r="BO204" s="115"/>
      <c r="BP204" s="115"/>
      <c r="BQ204" s="115"/>
      <c r="BR204" s="116"/>
      <c r="BS204" s="116"/>
      <c r="CB204" s="115"/>
      <c r="CC204" s="115"/>
      <c r="CD204" s="115"/>
    </row>
    <row r="205" spans="1:82" s="251" customFormat="1">
      <c r="A205" s="119"/>
      <c r="B205" s="119"/>
      <c r="C205" s="115"/>
      <c r="D205" s="115"/>
      <c r="E205" s="115"/>
      <c r="F205" s="115"/>
      <c r="G205" s="252"/>
      <c r="H205" s="252"/>
      <c r="I205" s="117"/>
      <c r="J205" s="115"/>
      <c r="K205" s="115"/>
      <c r="L205" s="115"/>
      <c r="M205" s="118"/>
      <c r="N205" s="115"/>
      <c r="O205" s="115"/>
      <c r="P205" s="115"/>
      <c r="Q205" s="117"/>
      <c r="R205" s="117"/>
      <c r="S205" s="117"/>
      <c r="T205" s="117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115"/>
      <c r="AO205" s="115"/>
      <c r="AP205" s="115"/>
      <c r="AQ205" s="115"/>
      <c r="AR205" s="115"/>
      <c r="AS205" s="115"/>
      <c r="AT205" s="115"/>
      <c r="AU205" s="115"/>
      <c r="AV205" s="115"/>
      <c r="AW205" s="115"/>
      <c r="BA205" s="120"/>
      <c r="BB205" s="120"/>
      <c r="BI205" s="120"/>
      <c r="BJ205" s="120"/>
      <c r="BO205" s="115"/>
      <c r="BP205" s="115"/>
      <c r="BQ205" s="115"/>
      <c r="BR205" s="116"/>
      <c r="BS205" s="116"/>
      <c r="CB205" s="115"/>
      <c r="CC205" s="115"/>
      <c r="CD205" s="115"/>
    </row>
    <row r="206" spans="1:82" s="251" customFormat="1">
      <c r="A206" s="119"/>
      <c r="B206" s="119"/>
      <c r="C206" s="115"/>
      <c r="D206" s="115"/>
      <c r="E206" s="115"/>
      <c r="F206" s="115"/>
      <c r="G206" s="252"/>
      <c r="H206" s="252"/>
      <c r="I206" s="117"/>
      <c r="J206" s="115"/>
      <c r="K206" s="115"/>
      <c r="L206" s="115"/>
      <c r="M206" s="118"/>
      <c r="N206" s="115"/>
      <c r="O206" s="115"/>
      <c r="P206" s="115"/>
      <c r="Q206" s="117"/>
      <c r="R206" s="117"/>
      <c r="S206" s="117"/>
      <c r="T206" s="117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15"/>
      <c r="AO206" s="115"/>
      <c r="AP206" s="115"/>
      <c r="AQ206" s="115"/>
      <c r="AR206" s="115"/>
      <c r="AS206" s="115"/>
      <c r="AT206" s="115"/>
      <c r="AU206" s="115"/>
      <c r="AV206" s="115"/>
      <c r="AW206" s="115"/>
      <c r="BA206" s="120"/>
      <c r="BB206" s="120"/>
      <c r="BI206" s="120"/>
      <c r="BJ206" s="120"/>
      <c r="BO206" s="115"/>
      <c r="BP206" s="115"/>
      <c r="BQ206" s="115"/>
      <c r="BR206" s="116"/>
      <c r="BS206" s="116"/>
      <c r="CB206" s="115"/>
      <c r="CC206" s="115"/>
      <c r="CD206" s="115"/>
    </row>
    <row r="207" spans="1:82" s="251" customFormat="1">
      <c r="A207" s="119"/>
      <c r="B207" s="119"/>
      <c r="C207" s="115"/>
      <c r="D207" s="115"/>
      <c r="E207" s="115"/>
      <c r="F207" s="115"/>
      <c r="G207" s="252"/>
      <c r="H207" s="252"/>
      <c r="I207" s="117"/>
      <c r="J207" s="115"/>
      <c r="K207" s="115"/>
      <c r="L207" s="115"/>
      <c r="M207" s="118"/>
      <c r="N207" s="115"/>
      <c r="O207" s="115"/>
      <c r="P207" s="115"/>
      <c r="Q207" s="117"/>
      <c r="R207" s="117"/>
      <c r="S207" s="117"/>
      <c r="T207" s="117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115"/>
      <c r="AQ207" s="115"/>
      <c r="AR207" s="115"/>
      <c r="AS207" s="115"/>
      <c r="AT207" s="115"/>
      <c r="AU207" s="115"/>
      <c r="AV207" s="115"/>
      <c r="AW207" s="115"/>
      <c r="BA207" s="120"/>
      <c r="BB207" s="120"/>
      <c r="BI207" s="120"/>
      <c r="BJ207" s="120"/>
      <c r="BO207" s="115"/>
      <c r="BP207" s="115"/>
      <c r="BQ207" s="115"/>
      <c r="BR207" s="116"/>
      <c r="BS207" s="116"/>
      <c r="CB207" s="115"/>
      <c r="CC207" s="115"/>
      <c r="CD207" s="115"/>
    </row>
    <row r="208" spans="1:82" s="251" customFormat="1">
      <c r="A208" s="119"/>
      <c r="B208" s="119"/>
      <c r="C208" s="115"/>
      <c r="D208" s="115"/>
      <c r="E208" s="115"/>
      <c r="F208" s="115"/>
      <c r="G208" s="252"/>
      <c r="H208" s="252"/>
      <c r="I208" s="117"/>
      <c r="J208" s="115"/>
      <c r="K208" s="115"/>
      <c r="L208" s="115"/>
      <c r="M208" s="118"/>
      <c r="N208" s="115"/>
      <c r="O208" s="115"/>
      <c r="P208" s="115"/>
      <c r="Q208" s="117"/>
      <c r="R208" s="117"/>
      <c r="S208" s="117"/>
      <c r="T208" s="117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115"/>
      <c r="AQ208" s="115"/>
      <c r="AR208" s="115"/>
      <c r="AS208" s="115"/>
      <c r="AT208" s="115"/>
      <c r="AU208" s="115"/>
      <c r="AV208" s="115"/>
      <c r="AW208" s="115"/>
      <c r="BA208" s="120"/>
      <c r="BB208" s="120"/>
      <c r="BI208" s="120"/>
      <c r="BJ208" s="120"/>
      <c r="BO208" s="115"/>
      <c r="BP208" s="115"/>
      <c r="BQ208" s="115"/>
      <c r="BR208" s="116"/>
      <c r="BS208" s="116"/>
      <c r="CB208" s="115"/>
      <c r="CC208" s="115"/>
      <c r="CD208" s="115"/>
    </row>
    <row r="209" spans="1:82" s="251" customFormat="1">
      <c r="A209" s="119"/>
      <c r="B209" s="119"/>
      <c r="C209" s="115"/>
      <c r="D209" s="115"/>
      <c r="E209" s="115"/>
      <c r="F209" s="115"/>
      <c r="G209" s="252"/>
      <c r="H209" s="252"/>
      <c r="I209" s="117"/>
      <c r="J209" s="115"/>
      <c r="K209" s="115"/>
      <c r="L209" s="115"/>
      <c r="M209" s="118"/>
      <c r="N209" s="115"/>
      <c r="O209" s="115"/>
      <c r="P209" s="115"/>
      <c r="Q209" s="117"/>
      <c r="R209" s="117"/>
      <c r="S209" s="117"/>
      <c r="T209" s="117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115"/>
      <c r="AQ209" s="115"/>
      <c r="AR209" s="115"/>
      <c r="AS209" s="115"/>
      <c r="AT209" s="115"/>
      <c r="AU209" s="115"/>
      <c r="AV209" s="115"/>
      <c r="AW209" s="115"/>
      <c r="BA209" s="120"/>
      <c r="BB209" s="120"/>
      <c r="BI209" s="120"/>
      <c r="BJ209" s="120"/>
      <c r="BO209" s="115"/>
      <c r="BP209" s="115"/>
      <c r="BQ209" s="115"/>
      <c r="BR209" s="116"/>
      <c r="BS209" s="116"/>
      <c r="CB209" s="115"/>
      <c r="CC209" s="115"/>
      <c r="CD209" s="115"/>
    </row>
    <row r="210" spans="1:82" s="251" customFormat="1">
      <c r="A210" s="119"/>
      <c r="B210" s="119"/>
      <c r="C210" s="115"/>
      <c r="D210" s="115"/>
      <c r="E210" s="115"/>
      <c r="F210" s="115"/>
      <c r="G210" s="252"/>
      <c r="H210" s="252"/>
      <c r="I210" s="117"/>
      <c r="J210" s="115"/>
      <c r="K210" s="115"/>
      <c r="L210" s="115"/>
      <c r="M210" s="118"/>
      <c r="N210" s="115"/>
      <c r="O210" s="115"/>
      <c r="P210" s="115"/>
      <c r="Q210" s="117"/>
      <c r="R210" s="117"/>
      <c r="S210" s="117"/>
      <c r="T210" s="117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115"/>
      <c r="AO210" s="115"/>
      <c r="AP210" s="115"/>
      <c r="AQ210" s="115"/>
      <c r="AR210" s="115"/>
      <c r="AS210" s="115"/>
      <c r="AT210" s="115"/>
      <c r="AU210" s="115"/>
      <c r="AV210" s="115"/>
      <c r="AW210" s="115"/>
      <c r="BA210" s="120"/>
      <c r="BB210" s="120"/>
      <c r="BI210" s="120"/>
      <c r="BJ210" s="120"/>
      <c r="BO210" s="115"/>
      <c r="BP210" s="115"/>
      <c r="BQ210" s="115"/>
      <c r="BR210" s="116"/>
      <c r="BS210" s="116"/>
      <c r="CB210" s="115"/>
      <c r="CC210" s="115"/>
      <c r="CD210" s="115"/>
    </row>
    <row r="211" spans="1:82" s="251" customFormat="1">
      <c r="A211" s="119"/>
      <c r="B211" s="119"/>
      <c r="C211" s="115"/>
      <c r="D211" s="115"/>
      <c r="E211" s="115"/>
      <c r="F211" s="115"/>
      <c r="G211" s="252"/>
      <c r="H211" s="252"/>
      <c r="I211" s="117"/>
      <c r="J211" s="115"/>
      <c r="K211" s="115"/>
      <c r="L211" s="115"/>
      <c r="M211" s="118"/>
      <c r="N211" s="115"/>
      <c r="O211" s="115"/>
      <c r="P211" s="115"/>
      <c r="Q211" s="117"/>
      <c r="R211" s="117"/>
      <c r="S211" s="117"/>
      <c r="T211" s="117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115"/>
      <c r="AO211" s="115"/>
      <c r="AP211" s="115"/>
      <c r="AQ211" s="115"/>
      <c r="AR211" s="115"/>
      <c r="AS211" s="115"/>
      <c r="AT211" s="115"/>
      <c r="AU211" s="115"/>
      <c r="AV211" s="115"/>
      <c r="AW211" s="115"/>
      <c r="BA211" s="120"/>
      <c r="BB211" s="120"/>
      <c r="BI211" s="120"/>
      <c r="BJ211" s="120"/>
      <c r="BO211" s="115"/>
      <c r="BP211" s="115"/>
      <c r="BQ211" s="115"/>
      <c r="BR211" s="116"/>
      <c r="BS211" s="116"/>
      <c r="CB211" s="115"/>
      <c r="CC211" s="115"/>
      <c r="CD211" s="115"/>
    </row>
    <row r="212" spans="1:82" s="251" customFormat="1">
      <c r="A212" s="119"/>
      <c r="B212" s="119"/>
      <c r="C212" s="115"/>
      <c r="D212" s="115"/>
      <c r="E212" s="115"/>
      <c r="F212" s="115"/>
      <c r="G212" s="252"/>
      <c r="H212" s="252"/>
      <c r="I212" s="117"/>
      <c r="J212" s="115"/>
      <c r="K212" s="115"/>
      <c r="L212" s="115"/>
      <c r="M212" s="118"/>
      <c r="N212" s="115"/>
      <c r="O212" s="115"/>
      <c r="P212" s="115"/>
      <c r="Q212" s="117"/>
      <c r="R212" s="117"/>
      <c r="S212" s="117"/>
      <c r="T212" s="117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115"/>
      <c r="AN212" s="115"/>
      <c r="AO212" s="115"/>
      <c r="AP212" s="115"/>
      <c r="AQ212" s="115"/>
      <c r="AR212" s="115"/>
      <c r="AS212" s="115"/>
      <c r="AT212" s="115"/>
      <c r="AU212" s="115"/>
      <c r="AV212" s="115"/>
      <c r="AW212" s="115"/>
      <c r="BA212" s="120"/>
      <c r="BB212" s="120"/>
      <c r="BI212" s="120"/>
      <c r="BJ212" s="120"/>
      <c r="BO212" s="115"/>
      <c r="BP212" s="115"/>
      <c r="BQ212" s="115"/>
      <c r="BR212" s="116"/>
      <c r="BS212" s="116"/>
      <c r="CB212" s="115"/>
      <c r="CC212" s="115"/>
      <c r="CD212" s="115"/>
    </row>
    <row r="213" spans="1:82" s="251" customFormat="1">
      <c r="A213" s="119"/>
      <c r="B213" s="119"/>
      <c r="C213" s="115"/>
      <c r="D213" s="115"/>
      <c r="E213" s="115"/>
      <c r="F213" s="115"/>
      <c r="G213" s="252"/>
      <c r="H213" s="252"/>
      <c r="I213" s="117"/>
      <c r="J213" s="115"/>
      <c r="K213" s="115"/>
      <c r="L213" s="115"/>
      <c r="M213" s="118"/>
      <c r="N213" s="115"/>
      <c r="O213" s="115"/>
      <c r="P213" s="115"/>
      <c r="Q213" s="117"/>
      <c r="R213" s="117"/>
      <c r="S213" s="117"/>
      <c r="T213" s="117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115"/>
      <c r="AO213" s="115"/>
      <c r="AP213" s="115"/>
      <c r="AQ213" s="115"/>
      <c r="AR213" s="115"/>
      <c r="AS213" s="115"/>
      <c r="AT213" s="115"/>
      <c r="AU213" s="115"/>
      <c r="AV213" s="115"/>
      <c r="AW213" s="115"/>
      <c r="BA213" s="120"/>
      <c r="BB213" s="120"/>
      <c r="BI213" s="120"/>
      <c r="BJ213" s="120"/>
      <c r="BO213" s="115"/>
      <c r="BP213" s="115"/>
      <c r="BQ213" s="115"/>
      <c r="BR213" s="116"/>
      <c r="BS213" s="116"/>
      <c r="CB213" s="115"/>
      <c r="CC213" s="115"/>
      <c r="CD213" s="115"/>
    </row>
    <row r="214" spans="1:82" s="251" customFormat="1">
      <c r="A214" s="119"/>
      <c r="B214" s="119"/>
      <c r="C214" s="115"/>
      <c r="D214" s="115"/>
      <c r="E214" s="115"/>
      <c r="F214" s="115"/>
      <c r="G214" s="252"/>
      <c r="H214" s="252"/>
      <c r="I214" s="117"/>
      <c r="J214" s="115"/>
      <c r="K214" s="115"/>
      <c r="L214" s="115"/>
      <c r="M214" s="118"/>
      <c r="N214" s="115"/>
      <c r="O214" s="115"/>
      <c r="P214" s="115"/>
      <c r="Q214" s="117"/>
      <c r="R214" s="117"/>
      <c r="S214" s="117"/>
      <c r="T214" s="117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115"/>
      <c r="AQ214" s="115"/>
      <c r="AR214" s="115"/>
      <c r="AS214" s="115"/>
      <c r="AT214" s="115"/>
      <c r="AU214" s="115"/>
      <c r="AV214" s="115"/>
      <c r="AW214" s="115"/>
      <c r="BA214" s="120"/>
      <c r="BB214" s="120"/>
      <c r="BI214" s="120"/>
      <c r="BJ214" s="120"/>
      <c r="BO214" s="115"/>
      <c r="BP214" s="115"/>
      <c r="BQ214" s="115"/>
      <c r="BR214" s="116"/>
      <c r="BS214" s="116"/>
      <c r="CB214" s="115"/>
      <c r="CC214" s="115"/>
      <c r="CD214" s="115"/>
    </row>
    <row r="215" spans="1:82" s="251" customFormat="1">
      <c r="A215" s="119"/>
      <c r="B215" s="119"/>
      <c r="C215" s="115"/>
      <c r="D215" s="115"/>
      <c r="E215" s="115"/>
      <c r="F215" s="115"/>
      <c r="G215" s="252"/>
      <c r="H215" s="252"/>
      <c r="I215" s="117"/>
      <c r="J215" s="115"/>
      <c r="K215" s="115"/>
      <c r="L215" s="115"/>
      <c r="M215" s="118"/>
      <c r="N215" s="115"/>
      <c r="O215" s="115"/>
      <c r="P215" s="115"/>
      <c r="Q215" s="117"/>
      <c r="R215" s="117"/>
      <c r="S215" s="117"/>
      <c r="T215" s="117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115"/>
      <c r="AO215" s="115"/>
      <c r="AP215" s="115"/>
      <c r="AQ215" s="115"/>
      <c r="AR215" s="115"/>
      <c r="AS215" s="115"/>
      <c r="AT215" s="115"/>
      <c r="AU215" s="115"/>
      <c r="AV215" s="115"/>
      <c r="AW215" s="115"/>
      <c r="BA215" s="120"/>
      <c r="BB215" s="120"/>
      <c r="BI215" s="120"/>
      <c r="BJ215" s="120"/>
      <c r="BO215" s="115"/>
      <c r="BP215" s="115"/>
      <c r="BQ215" s="115"/>
      <c r="BR215" s="116"/>
      <c r="BS215" s="116"/>
      <c r="CB215" s="115"/>
      <c r="CC215" s="115"/>
      <c r="CD215" s="115"/>
    </row>
    <row r="216" spans="1:82" s="251" customFormat="1">
      <c r="A216" s="119"/>
      <c r="B216" s="119"/>
      <c r="C216" s="115"/>
      <c r="D216" s="115"/>
      <c r="E216" s="115"/>
      <c r="F216" s="115"/>
      <c r="G216" s="252"/>
      <c r="H216" s="252"/>
      <c r="I216" s="117"/>
      <c r="J216" s="115"/>
      <c r="K216" s="115"/>
      <c r="L216" s="115"/>
      <c r="M216" s="118"/>
      <c r="N216" s="115"/>
      <c r="O216" s="115"/>
      <c r="P216" s="115"/>
      <c r="Q216" s="117"/>
      <c r="R216" s="117"/>
      <c r="S216" s="117"/>
      <c r="T216" s="117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115"/>
      <c r="AN216" s="115"/>
      <c r="AO216" s="115"/>
      <c r="AP216" s="115"/>
      <c r="AQ216" s="115"/>
      <c r="AR216" s="115"/>
      <c r="AS216" s="115"/>
      <c r="AT216" s="115"/>
      <c r="AU216" s="115"/>
      <c r="AV216" s="115"/>
      <c r="AW216" s="115"/>
      <c r="BA216" s="120"/>
      <c r="BB216" s="120"/>
      <c r="BI216" s="120"/>
      <c r="BJ216" s="120"/>
      <c r="BO216" s="115"/>
      <c r="BP216" s="115"/>
      <c r="BQ216" s="115"/>
      <c r="BR216" s="116"/>
      <c r="BS216" s="116"/>
      <c r="CB216" s="115"/>
      <c r="CC216" s="115"/>
      <c r="CD216" s="115"/>
    </row>
    <row r="217" spans="1:82" s="251" customFormat="1">
      <c r="A217" s="119"/>
      <c r="B217" s="119"/>
      <c r="C217" s="115"/>
      <c r="D217" s="115"/>
      <c r="E217" s="115"/>
      <c r="F217" s="115"/>
      <c r="G217" s="252"/>
      <c r="H217" s="252"/>
      <c r="I217" s="117"/>
      <c r="J217" s="115"/>
      <c r="K217" s="115"/>
      <c r="L217" s="115"/>
      <c r="M217" s="118"/>
      <c r="N217" s="115"/>
      <c r="O217" s="115"/>
      <c r="P217" s="115"/>
      <c r="Q217" s="117"/>
      <c r="R217" s="117"/>
      <c r="S217" s="117"/>
      <c r="T217" s="117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  <c r="AN217" s="115"/>
      <c r="AO217" s="115"/>
      <c r="AP217" s="115"/>
      <c r="AQ217" s="115"/>
      <c r="AR217" s="115"/>
      <c r="AS217" s="115"/>
      <c r="AT217" s="115"/>
      <c r="AU217" s="115"/>
      <c r="AV217" s="115"/>
      <c r="AW217" s="115"/>
      <c r="BA217" s="120"/>
      <c r="BB217" s="120"/>
      <c r="BI217" s="120"/>
      <c r="BJ217" s="120"/>
      <c r="BO217" s="115"/>
      <c r="BP217" s="115"/>
      <c r="BQ217" s="115"/>
      <c r="BR217" s="116"/>
      <c r="BS217" s="116"/>
      <c r="CB217" s="115"/>
      <c r="CC217" s="115"/>
      <c r="CD217" s="115"/>
    </row>
    <row r="218" spans="1:82" s="251" customFormat="1">
      <c r="A218" s="119"/>
      <c r="B218" s="119"/>
      <c r="C218" s="115"/>
      <c r="D218" s="115"/>
      <c r="E218" s="115"/>
      <c r="F218" s="115"/>
      <c r="G218" s="252"/>
      <c r="H218" s="252"/>
      <c r="I218" s="117"/>
      <c r="J218" s="115"/>
      <c r="K218" s="115"/>
      <c r="L218" s="115"/>
      <c r="M218" s="118"/>
      <c r="N218" s="115"/>
      <c r="O218" s="115"/>
      <c r="P218" s="115"/>
      <c r="Q218" s="117"/>
      <c r="R218" s="117"/>
      <c r="S218" s="117"/>
      <c r="T218" s="117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  <c r="AN218" s="115"/>
      <c r="AO218" s="115"/>
      <c r="AP218" s="115"/>
      <c r="AQ218" s="115"/>
      <c r="AR218" s="115"/>
      <c r="AS218" s="115"/>
      <c r="AT218" s="115"/>
      <c r="AU218" s="115"/>
      <c r="AV218" s="115"/>
      <c r="AW218" s="115"/>
      <c r="BA218" s="120"/>
      <c r="BB218" s="120"/>
      <c r="BI218" s="120"/>
      <c r="BJ218" s="120"/>
      <c r="BO218" s="115"/>
      <c r="BP218" s="115"/>
      <c r="BQ218" s="115"/>
      <c r="BR218" s="116"/>
      <c r="BS218" s="116"/>
      <c r="CB218" s="115"/>
      <c r="CC218" s="115"/>
      <c r="CD218" s="115"/>
    </row>
    <row r="219" spans="1:82" s="251" customFormat="1">
      <c r="A219" s="119"/>
      <c r="B219" s="119"/>
      <c r="C219" s="115"/>
      <c r="D219" s="115"/>
      <c r="E219" s="115"/>
      <c r="F219" s="115"/>
      <c r="G219" s="252"/>
      <c r="H219" s="252"/>
      <c r="I219" s="117"/>
      <c r="J219" s="115"/>
      <c r="K219" s="115"/>
      <c r="L219" s="115"/>
      <c r="M219" s="118"/>
      <c r="N219" s="115"/>
      <c r="O219" s="115"/>
      <c r="P219" s="115"/>
      <c r="Q219" s="117"/>
      <c r="R219" s="117"/>
      <c r="S219" s="117"/>
      <c r="T219" s="117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115"/>
      <c r="AO219" s="115"/>
      <c r="AP219" s="115"/>
      <c r="AQ219" s="115"/>
      <c r="AR219" s="115"/>
      <c r="AS219" s="115"/>
      <c r="AT219" s="115"/>
      <c r="AU219" s="115"/>
      <c r="AV219" s="115"/>
      <c r="AW219" s="115"/>
      <c r="BA219" s="120"/>
      <c r="BB219" s="120"/>
      <c r="BJ219" s="252"/>
      <c r="BO219" s="115"/>
      <c r="BP219" s="115"/>
      <c r="BQ219" s="115"/>
      <c r="BR219" s="116"/>
      <c r="BS219" s="116"/>
      <c r="CB219" s="115"/>
      <c r="CC219" s="115"/>
      <c r="CD219" s="115"/>
    </row>
    <row r="220" spans="1:82" s="251" customFormat="1">
      <c r="A220" s="119"/>
      <c r="B220" s="119"/>
      <c r="C220" s="115"/>
      <c r="D220" s="115"/>
      <c r="E220" s="115"/>
      <c r="F220" s="115"/>
      <c r="G220" s="252"/>
      <c r="H220" s="252"/>
      <c r="I220" s="117"/>
      <c r="J220" s="115"/>
      <c r="K220" s="115"/>
      <c r="L220" s="115"/>
      <c r="M220" s="118"/>
      <c r="N220" s="115"/>
      <c r="O220" s="115"/>
      <c r="P220" s="115"/>
      <c r="Q220" s="117"/>
      <c r="R220" s="117"/>
      <c r="S220" s="117"/>
      <c r="T220" s="117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115"/>
      <c r="AO220" s="115"/>
      <c r="AP220" s="115"/>
      <c r="AQ220" s="115"/>
      <c r="AR220" s="115"/>
      <c r="AS220" s="115"/>
      <c r="AT220" s="115"/>
      <c r="AU220" s="115"/>
      <c r="AV220" s="115"/>
      <c r="AW220" s="115"/>
      <c r="BA220" s="120"/>
      <c r="BB220" s="120"/>
      <c r="BI220" s="120"/>
      <c r="BJ220" s="120"/>
      <c r="BO220" s="115"/>
      <c r="BP220" s="115"/>
      <c r="BQ220" s="115"/>
      <c r="BR220" s="116"/>
      <c r="BS220" s="116"/>
      <c r="CB220" s="115"/>
      <c r="CC220" s="115"/>
      <c r="CD220" s="115"/>
    </row>
    <row r="221" spans="1:82" s="251" customFormat="1">
      <c r="A221" s="119"/>
      <c r="B221" s="119"/>
      <c r="C221" s="115"/>
      <c r="D221" s="115"/>
      <c r="E221" s="115"/>
      <c r="F221" s="115"/>
      <c r="G221" s="252"/>
      <c r="H221" s="252"/>
      <c r="I221" s="117"/>
      <c r="J221" s="115"/>
      <c r="K221" s="115"/>
      <c r="L221" s="115"/>
      <c r="M221" s="118"/>
      <c r="N221" s="115"/>
      <c r="O221" s="115"/>
      <c r="P221" s="115"/>
      <c r="Q221" s="117"/>
      <c r="R221" s="117"/>
      <c r="S221" s="117"/>
      <c r="T221" s="117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  <c r="AN221" s="115"/>
      <c r="AO221" s="115"/>
      <c r="AP221" s="115"/>
      <c r="AQ221" s="115"/>
      <c r="AR221" s="115"/>
      <c r="AS221" s="115"/>
      <c r="AT221" s="115"/>
      <c r="AU221" s="115"/>
      <c r="AV221" s="115"/>
      <c r="AW221" s="115"/>
      <c r="BA221" s="120"/>
      <c r="BB221" s="120"/>
      <c r="BI221" s="120"/>
      <c r="BJ221" s="120"/>
      <c r="BO221" s="115"/>
      <c r="BP221" s="115"/>
      <c r="BQ221" s="115"/>
      <c r="BR221" s="116"/>
      <c r="BS221" s="116"/>
      <c r="CB221" s="115"/>
      <c r="CC221" s="115"/>
      <c r="CD221" s="115"/>
    </row>
    <row r="222" spans="1:82" s="251" customFormat="1">
      <c r="A222" s="119"/>
      <c r="B222" s="119"/>
      <c r="C222" s="115"/>
      <c r="D222" s="115"/>
      <c r="E222" s="115"/>
      <c r="F222" s="115"/>
      <c r="G222" s="252"/>
      <c r="H222" s="252"/>
      <c r="I222" s="117"/>
      <c r="J222" s="115"/>
      <c r="K222" s="115"/>
      <c r="L222" s="115"/>
      <c r="M222" s="118"/>
      <c r="N222" s="115"/>
      <c r="O222" s="115"/>
      <c r="P222" s="115"/>
      <c r="Q222" s="117"/>
      <c r="R222" s="117"/>
      <c r="S222" s="117"/>
      <c r="T222" s="117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115"/>
      <c r="AO222" s="115"/>
      <c r="AP222" s="115"/>
      <c r="AQ222" s="115"/>
      <c r="AR222" s="115"/>
      <c r="AS222" s="115"/>
      <c r="AT222" s="115"/>
      <c r="AU222" s="115"/>
      <c r="AV222" s="115"/>
      <c r="AW222" s="115"/>
      <c r="BA222" s="120"/>
      <c r="BB222" s="120"/>
      <c r="BI222" s="120"/>
      <c r="BJ222" s="120"/>
      <c r="BO222" s="115"/>
      <c r="BP222" s="115"/>
      <c r="BQ222" s="115"/>
      <c r="BR222" s="116"/>
      <c r="BS222" s="116"/>
      <c r="CB222" s="115"/>
      <c r="CC222" s="115"/>
      <c r="CD222" s="115"/>
    </row>
    <row r="223" spans="1:82" s="251" customFormat="1">
      <c r="A223" s="119"/>
      <c r="B223" s="119"/>
      <c r="C223" s="115"/>
      <c r="D223" s="115"/>
      <c r="E223" s="115"/>
      <c r="F223" s="115"/>
      <c r="G223" s="252"/>
      <c r="H223" s="252"/>
      <c r="I223" s="117"/>
      <c r="J223" s="115"/>
      <c r="K223" s="115"/>
      <c r="L223" s="115"/>
      <c r="M223" s="118"/>
      <c r="N223" s="115"/>
      <c r="O223" s="115"/>
      <c r="P223" s="115"/>
      <c r="Q223" s="117"/>
      <c r="R223" s="117"/>
      <c r="S223" s="117"/>
      <c r="T223" s="117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115"/>
      <c r="AO223" s="115"/>
      <c r="AP223" s="115"/>
      <c r="AQ223" s="115"/>
      <c r="AR223" s="115"/>
      <c r="AS223" s="115"/>
      <c r="AT223" s="115"/>
      <c r="AU223" s="115"/>
      <c r="AV223" s="115"/>
      <c r="AW223" s="115"/>
      <c r="BA223" s="120"/>
      <c r="BB223" s="120"/>
      <c r="BI223" s="120"/>
      <c r="BJ223" s="120"/>
      <c r="BO223" s="115"/>
      <c r="BP223" s="115"/>
      <c r="BQ223" s="115"/>
      <c r="BR223" s="116"/>
      <c r="BS223" s="116"/>
      <c r="CB223" s="115"/>
      <c r="CC223" s="115"/>
      <c r="CD223" s="115"/>
    </row>
    <row r="224" spans="1:82" s="251" customFormat="1">
      <c r="A224" s="119"/>
      <c r="B224" s="119"/>
      <c r="C224" s="115"/>
      <c r="D224" s="115"/>
      <c r="E224" s="115"/>
      <c r="F224" s="115"/>
      <c r="G224" s="252"/>
      <c r="H224" s="252"/>
      <c r="I224" s="117"/>
      <c r="J224" s="115"/>
      <c r="K224" s="115"/>
      <c r="L224" s="115"/>
      <c r="M224" s="118"/>
      <c r="N224" s="115"/>
      <c r="O224" s="115"/>
      <c r="P224" s="115"/>
      <c r="Q224" s="117"/>
      <c r="R224" s="117"/>
      <c r="S224" s="117"/>
      <c r="T224" s="117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  <c r="AO224" s="115"/>
      <c r="AP224" s="115"/>
      <c r="AQ224" s="115"/>
      <c r="AR224" s="115"/>
      <c r="AS224" s="115"/>
      <c r="AT224" s="115"/>
      <c r="AU224" s="115"/>
      <c r="AV224" s="115"/>
      <c r="AW224" s="115"/>
      <c r="BA224" s="120"/>
      <c r="BB224" s="120"/>
      <c r="BI224" s="120"/>
      <c r="BJ224" s="120"/>
      <c r="BO224" s="115"/>
      <c r="BP224" s="115"/>
      <c r="BQ224" s="115"/>
      <c r="BR224" s="116"/>
      <c r="BS224" s="116"/>
      <c r="CB224" s="115"/>
      <c r="CC224" s="115"/>
      <c r="CD224" s="115"/>
    </row>
    <row r="225" spans="1:82" s="251" customFormat="1">
      <c r="A225" s="119"/>
      <c r="B225" s="119"/>
      <c r="C225" s="115"/>
      <c r="D225" s="115"/>
      <c r="E225" s="115"/>
      <c r="F225" s="115"/>
      <c r="G225" s="252"/>
      <c r="H225" s="252"/>
      <c r="I225" s="117"/>
      <c r="J225" s="115"/>
      <c r="K225" s="115"/>
      <c r="L225" s="115"/>
      <c r="M225" s="118"/>
      <c r="N225" s="115"/>
      <c r="O225" s="115"/>
      <c r="P225" s="115"/>
      <c r="Q225" s="117"/>
      <c r="R225" s="117"/>
      <c r="S225" s="117"/>
      <c r="T225" s="117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115"/>
      <c r="AO225" s="115"/>
      <c r="AP225" s="115"/>
      <c r="AQ225" s="115"/>
      <c r="AR225" s="115"/>
      <c r="AS225" s="115"/>
      <c r="AT225" s="115"/>
      <c r="AU225" s="115"/>
      <c r="AV225" s="115"/>
      <c r="AW225" s="115"/>
      <c r="BA225" s="120"/>
      <c r="BB225" s="120"/>
      <c r="BI225" s="120"/>
      <c r="BJ225" s="120"/>
      <c r="BO225" s="115"/>
      <c r="BP225" s="115"/>
      <c r="BQ225" s="115"/>
      <c r="BR225" s="116"/>
      <c r="BS225" s="116"/>
      <c r="CB225" s="115"/>
      <c r="CC225" s="115"/>
      <c r="CD225" s="115"/>
    </row>
    <row r="226" spans="1:82" s="251" customFormat="1">
      <c r="A226" s="119"/>
      <c r="B226" s="119"/>
      <c r="C226" s="115"/>
      <c r="D226" s="115"/>
      <c r="E226" s="115"/>
      <c r="F226" s="115"/>
      <c r="G226" s="252"/>
      <c r="H226" s="252"/>
      <c r="I226" s="117"/>
      <c r="J226" s="115"/>
      <c r="K226" s="115"/>
      <c r="L226" s="115"/>
      <c r="M226" s="118"/>
      <c r="N226" s="115"/>
      <c r="O226" s="115"/>
      <c r="P226" s="115"/>
      <c r="Q226" s="117"/>
      <c r="R226" s="117"/>
      <c r="S226" s="117"/>
      <c r="T226" s="117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115"/>
      <c r="AQ226" s="115"/>
      <c r="AR226" s="115"/>
      <c r="AS226" s="115"/>
      <c r="AT226" s="115"/>
      <c r="AU226" s="115"/>
      <c r="AV226" s="115"/>
      <c r="AW226" s="115"/>
      <c r="BA226" s="120"/>
      <c r="BB226" s="120"/>
      <c r="BI226" s="120"/>
      <c r="BJ226" s="120"/>
      <c r="BO226" s="115"/>
      <c r="BP226" s="115"/>
      <c r="BQ226" s="115"/>
      <c r="BR226" s="116"/>
      <c r="BS226" s="116"/>
      <c r="CB226" s="115"/>
      <c r="CC226" s="115"/>
      <c r="CD226" s="115"/>
    </row>
    <row r="227" spans="1:82" s="251" customFormat="1">
      <c r="A227" s="119"/>
      <c r="B227" s="119"/>
      <c r="C227" s="115"/>
      <c r="D227" s="115"/>
      <c r="E227" s="115"/>
      <c r="F227" s="115"/>
      <c r="G227" s="252"/>
      <c r="H227" s="252"/>
      <c r="I227" s="117"/>
      <c r="J227" s="115"/>
      <c r="K227" s="115"/>
      <c r="L227" s="115"/>
      <c r="M227" s="118"/>
      <c r="N227" s="115"/>
      <c r="O227" s="115"/>
      <c r="P227" s="115"/>
      <c r="Q227" s="117"/>
      <c r="R227" s="117"/>
      <c r="S227" s="117"/>
      <c r="T227" s="117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115"/>
      <c r="AO227" s="115"/>
      <c r="AP227" s="115"/>
      <c r="AQ227" s="115"/>
      <c r="AR227" s="115"/>
      <c r="AS227" s="115"/>
      <c r="AT227" s="115"/>
      <c r="AU227" s="115"/>
      <c r="AV227" s="115"/>
      <c r="AW227" s="115"/>
      <c r="BA227" s="120"/>
      <c r="BB227" s="120"/>
      <c r="BI227" s="120"/>
      <c r="BJ227" s="120"/>
      <c r="BO227" s="115"/>
      <c r="BP227" s="115"/>
      <c r="BQ227" s="115"/>
      <c r="BR227" s="116"/>
      <c r="BS227" s="116"/>
      <c r="CB227" s="115"/>
      <c r="CC227" s="115"/>
      <c r="CD227" s="115"/>
    </row>
    <row r="228" spans="1:82" s="251" customFormat="1">
      <c r="A228" s="119"/>
      <c r="B228" s="119"/>
      <c r="C228" s="115"/>
      <c r="D228" s="115"/>
      <c r="E228" s="115"/>
      <c r="F228" s="115"/>
      <c r="G228" s="252"/>
      <c r="H228" s="252"/>
      <c r="I228" s="117"/>
      <c r="J228" s="115"/>
      <c r="K228" s="115"/>
      <c r="L228" s="115"/>
      <c r="M228" s="118"/>
      <c r="N228" s="115"/>
      <c r="O228" s="115"/>
      <c r="P228" s="115"/>
      <c r="Q228" s="117"/>
      <c r="R228" s="117"/>
      <c r="S228" s="117"/>
      <c r="T228" s="117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115"/>
      <c r="AQ228" s="115"/>
      <c r="AR228" s="115"/>
      <c r="AS228" s="115"/>
      <c r="AT228" s="115"/>
      <c r="AU228" s="115"/>
      <c r="AV228" s="115"/>
      <c r="AW228" s="115"/>
      <c r="BA228" s="120"/>
      <c r="BB228" s="120"/>
      <c r="BI228" s="120"/>
      <c r="BJ228" s="120"/>
      <c r="BO228" s="115"/>
      <c r="BP228" s="115"/>
      <c r="BQ228" s="115"/>
      <c r="BR228" s="116"/>
      <c r="BS228" s="116"/>
      <c r="CB228" s="115"/>
      <c r="CC228" s="115"/>
      <c r="CD228" s="115"/>
    </row>
    <row r="229" spans="1:82" s="251" customFormat="1">
      <c r="A229" s="119"/>
      <c r="B229" s="119"/>
      <c r="C229" s="115"/>
      <c r="D229" s="115"/>
      <c r="E229" s="115"/>
      <c r="F229" s="115"/>
      <c r="G229" s="252"/>
      <c r="H229" s="252"/>
      <c r="I229" s="117"/>
      <c r="J229" s="115"/>
      <c r="K229" s="115"/>
      <c r="L229" s="115"/>
      <c r="M229" s="118"/>
      <c r="N229" s="115"/>
      <c r="O229" s="115"/>
      <c r="P229" s="115"/>
      <c r="Q229" s="117"/>
      <c r="R229" s="117"/>
      <c r="S229" s="117"/>
      <c r="T229" s="117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115"/>
      <c r="AQ229" s="115"/>
      <c r="AR229" s="115"/>
      <c r="AS229" s="115"/>
      <c r="AT229" s="115"/>
      <c r="AU229" s="115"/>
      <c r="AV229" s="115"/>
      <c r="AW229" s="115"/>
      <c r="BA229" s="120"/>
      <c r="BB229" s="120"/>
      <c r="BI229" s="120"/>
      <c r="BJ229" s="120"/>
      <c r="BO229" s="115"/>
      <c r="BP229" s="115"/>
      <c r="BQ229" s="115"/>
      <c r="BR229" s="116"/>
      <c r="BS229" s="116"/>
      <c r="CB229" s="115"/>
      <c r="CC229" s="115"/>
      <c r="CD229" s="115"/>
    </row>
    <row r="230" spans="1:82" s="251" customFormat="1">
      <c r="A230" s="119"/>
      <c r="B230" s="119"/>
      <c r="C230" s="115"/>
      <c r="D230" s="115"/>
      <c r="E230" s="115"/>
      <c r="F230" s="115"/>
      <c r="G230" s="252"/>
      <c r="H230" s="252"/>
      <c r="I230" s="117"/>
      <c r="J230" s="115"/>
      <c r="K230" s="115"/>
      <c r="L230" s="115"/>
      <c r="M230" s="118"/>
      <c r="N230" s="115"/>
      <c r="O230" s="115"/>
      <c r="P230" s="115"/>
      <c r="Q230" s="117"/>
      <c r="R230" s="117"/>
      <c r="S230" s="117"/>
      <c r="T230" s="117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115"/>
      <c r="AO230" s="115"/>
      <c r="AP230" s="115"/>
      <c r="AQ230" s="115"/>
      <c r="AR230" s="115"/>
      <c r="AS230" s="115"/>
      <c r="AT230" s="115"/>
      <c r="AU230" s="115"/>
      <c r="AV230" s="115"/>
      <c r="AW230" s="115"/>
      <c r="BA230" s="120"/>
      <c r="BB230" s="120"/>
      <c r="BI230" s="120"/>
      <c r="BJ230" s="120"/>
      <c r="BO230" s="115"/>
      <c r="BP230" s="115"/>
      <c r="BQ230" s="115"/>
      <c r="BR230" s="116"/>
      <c r="BS230" s="116"/>
      <c r="CB230" s="115"/>
      <c r="CC230" s="115"/>
      <c r="CD230" s="115"/>
    </row>
    <row r="236" spans="1:82" s="251" customFormat="1">
      <c r="A236" s="119"/>
      <c r="B236" s="119"/>
      <c r="C236" s="115"/>
      <c r="D236" s="115"/>
      <c r="E236" s="115"/>
      <c r="F236" s="115"/>
      <c r="G236" s="252"/>
      <c r="H236" s="252"/>
      <c r="I236" s="117"/>
      <c r="J236" s="115"/>
      <c r="K236" s="115"/>
      <c r="L236" s="115"/>
      <c r="M236" s="118"/>
      <c r="N236" s="115"/>
      <c r="O236" s="115"/>
      <c r="P236" s="115"/>
      <c r="Q236" s="117"/>
      <c r="R236" s="117"/>
      <c r="S236" s="117"/>
      <c r="T236" s="117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115"/>
      <c r="AR236" s="115"/>
      <c r="AS236" s="115"/>
      <c r="AT236" s="115"/>
      <c r="AU236" s="115"/>
      <c r="AV236" s="115"/>
      <c r="AW236" s="115"/>
      <c r="BJ236" s="252"/>
      <c r="BO236" s="115"/>
      <c r="BP236" s="115"/>
      <c r="BQ236" s="115"/>
      <c r="BR236" s="116"/>
      <c r="BS236" s="116"/>
      <c r="CB236" s="115"/>
      <c r="CC236" s="115"/>
      <c r="CD236" s="115"/>
    </row>
    <row r="237" spans="1:82" s="251" customFormat="1">
      <c r="A237" s="119"/>
      <c r="B237" s="119"/>
      <c r="C237" s="115"/>
      <c r="D237" s="115"/>
      <c r="E237" s="115"/>
      <c r="F237" s="115"/>
      <c r="G237" s="252"/>
      <c r="H237" s="252"/>
      <c r="I237" s="117"/>
      <c r="J237" s="115"/>
      <c r="K237" s="115"/>
      <c r="L237" s="115"/>
      <c r="M237" s="118"/>
      <c r="N237" s="115"/>
      <c r="O237" s="115"/>
      <c r="P237" s="115"/>
      <c r="Q237" s="117"/>
      <c r="R237" s="117"/>
      <c r="S237" s="117"/>
      <c r="T237" s="117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5"/>
      <c r="AR237" s="115"/>
      <c r="AS237" s="115"/>
      <c r="AT237" s="115"/>
      <c r="AU237" s="115"/>
      <c r="AV237" s="115"/>
      <c r="AW237" s="115"/>
      <c r="BJ237" s="252"/>
      <c r="BO237" s="115"/>
      <c r="BP237" s="115"/>
      <c r="BQ237" s="115"/>
      <c r="BR237" s="116"/>
      <c r="BS237" s="116"/>
      <c r="CB237" s="115"/>
      <c r="CC237" s="115"/>
      <c r="CD237" s="115"/>
    </row>
  </sheetData>
  <autoFilter ref="A1:L190" xr:uid="{00000000-0009-0000-0000-00000C000000}">
    <filterColumn colId="4" showButton="0"/>
  </autoFilter>
  <mergeCells count="57">
    <mergeCell ref="BA193:BB193"/>
    <mergeCell ref="BI193:BJ193"/>
    <mergeCell ref="BA195:BB195"/>
    <mergeCell ref="BI195:BJ195"/>
    <mergeCell ref="BX1:BX2"/>
    <mergeCell ref="BK1:BK2"/>
    <mergeCell ref="BL1:BL2"/>
    <mergeCell ref="BM1:BM2"/>
    <mergeCell ref="BN1:BN2"/>
    <mergeCell ref="BO1:BO2"/>
    <mergeCell ref="BP1:BP2"/>
    <mergeCell ref="BE1:BE2"/>
    <mergeCell ref="BF1:BF2"/>
    <mergeCell ref="BG1:BG2"/>
    <mergeCell ref="BH1:BH2"/>
    <mergeCell ref="BI1:BI2"/>
    <mergeCell ref="BY1:BY2"/>
    <mergeCell ref="BZ1:BZ2"/>
    <mergeCell ref="CA1:CA2"/>
    <mergeCell ref="CB1:CB2"/>
    <mergeCell ref="BQ1:BQ2"/>
    <mergeCell ref="BR1:BR2"/>
    <mergeCell ref="BT1:BT2"/>
    <mergeCell ref="BU1:BU2"/>
    <mergeCell ref="BV1:BV2"/>
    <mergeCell ref="BW1:BW2"/>
    <mergeCell ref="BJ1:BJ2"/>
    <mergeCell ref="AY1:AY2"/>
    <mergeCell ref="AZ1:AZ2"/>
    <mergeCell ref="BA1:BA2"/>
    <mergeCell ref="BB1:BB2"/>
    <mergeCell ref="BC1:BC2"/>
    <mergeCell ref="BD1:BD2"/>
    <mergeCell ref="AX1:AX2"/>
    <mergeCell ref="N1:N2"/>
    <mergeCell ref="O1:O2"/>
    <mergeCell ref="P1:P2"/>
    <mergeCell ref="Q1:Q2"/>
    <mergeCell ref="R1:R2"/>
    <mergeCell ref="S1:S2"/>
    <mergeCell ref="U1:W1"/>
    <mergeCell ref="X1:Y1"/>
    <mergeCell ref="Z1:AA1"/>
    <mergeCell ref="AD1:AH1"/>
    <mergeCell ref="AI1:AW1"/>
    <mergeCell ref="M1:M2"/>
    <mergeCell ref="A1:A2"/>
    <mergeCell ref="B1:B2"/>
    <mergeCell ref="C1:C2"/>
    <mergeCell ref="D1:D2"/>
    <mergeCell ref="E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B2:BD512"/>
  <sheetViews>
    <sheetView topLeftCell="A504" zoomScaleNormal="100" workbookViewId="0">
      <selection activeCell="L117" sqref="L117:M117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1.44140625" style="56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16384" width="9.33203125" style="39"/>
  </cols>
  <sheetData>
    <row r="2" spans="2:56">
      <c r="B2" s="28" t="s">
        <v>126</v>
      </c>
      <c r="C2" s="28"/>
      <c r="D2" s="29"/>
      <c r="E2" s="30" t="s">
        <v>511</v>
      </c>
      <c r="F2" s="31" t="s">
        <v>224</v>
      </c>
      <c r="G2" s="32"/>
      <c r="H2" s="33"/>
      <c r="I2" s="34"/>
      <c r="J2" s="35" t="s">
        <v>513</v>
      </c>
      <c r="K2" s="36" t="s">
        <v>511</v>
      </c>
      <c r="L2" s="37">
        <v>45077.769444444442</v>
      </c>
      <c r="M2" s="32"/>
      <c r="N2" s="32"/>
      <c r="O2" s="206"/>
      <c r="P2" s="205"/>
      <c r="Q2" s="202"/>
      <c r="R2" s="204"/>
      <c r="S2" s="38"/>
      <c r="T2" s="201"/>
      <c r="U2" s="201"/>
      <c r="V2" s="201"/>
      <c r="W2" s="201"/>
      <c r="X2" s="201"/>
      <c r="Y2" s="201"/>
      <c r="Z2" s="201"/>
      <c r="AA2" s="201"/>
      <c r="AB2" s="202"/>
      <c r="AC2" s="202"/>
      <c r="AD2" s="202"/>
      <c r="AE2" s="202"/>
      <c r="AF2" s="202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</row>
    <row r="3" spans="2:56">
      <c r="B3" s="35" t="s">
        <v>514</v>
      </c>
      <c r="C3" s="35"/>
      <c r="D3" s="32"/>
      <c r="E3" s="36" t="s">
        <v>511</v>
      </c>
      <c r="F3" s="37" t="s">
        <v>1737</v>
      </c>
      <c r="G3" s="32"/>
      <c r="H3" s="33"/>
      <c r="I3" s="34"/>
      <c r="J3" s="35" t="s">
        <v>516</v>
      </c>
      <c r="K3" s="36" t="s">
        <v>511</v>
      </c>
      <c r="L3" s="37">
        <v>45079.289583333331</v>
      </c>
      <c r="M3" s="32"/>
      <c r="N3" s="32"/>
      <c r="O3" s="206"/>
      <c r="P3" s="205"/>
      <c r="Q3" s="202"/>
      <c r="R3" s="204"/>
      <c r="S3" s="38"/>
      <c r="T3" s="201"/>
      <c r="U3" s="201"/>
      <c r="V3" s="201"/>
      <c r="W3" s="201"/>
      <c r="X3" s="201"/>
      <c r="Y3" s="201"/>
      <c r="Z3" s="201"/>
      <c r="AA3" s="201"/>
      <c r="AB3" s="202"/>
      <c r="AC3" s="202"/>
      <c r="AD3" s="202"/>
      <c r="AE3" s="202"/>
      <c r="AF3" s="202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  <c r="BC3" s="201"/>
      <c r="BD3" s="201"/>
    </row>
    <row r="4" spans="2:56">
      <c r="B4" s="35" t="s">
        <v>517</v>
      </c>
      <c r="C4" s="35"/>
      <c r="D4" s="32"/>
      <c r="E4" s="36" t="s">
        <v>511</v>
      </c>
      <c r="F4" s="37">
        <v>45065.637499999997</v>
      </c>
      <c r="G4" s="32"/>
      <c r="H4" s="33"/>
      <c r="I4" s="34"/>
      <c r="J4" s="35" t="s">
        <v>518</v>
      </c>
      <c r="K4" s="36" t="s">
        <v>511</v>
      </c>
      <c r="L4" s="291">
        <v>66000</v>
      </c>
      <c r="M4" s="40" t="s">
        <v>519</v>
      </c>
      <c r="N4" s="40"/>
      <c r="O4" s="206"/>
      <c r="P4" s="205"/>
      <c r="Q4" s="202"/>
      <c r="R4" s="204"/>
      <c r="S4" s="38"/>
      <c r="T4" s="201"/>
      <c r="U4" s="201"/>
      <c r="V4" s="201"/>
      <c r="W4" s="201"/>
      <c r="X4" s="201"/>
      <c r="Y4" s="201"/>
      <c r="Z4" s="201"/>
      <c r="AA4" s="201"/>
      <c r="AB4" s="202"/>
      <c r="AC4" s="202"/>
      <c r="AD4" s="202"/>
      <c r="AE4" s="202"/>
      <c r="AF4" s="202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</row>
    <row r="5" spans="2:56">
      <c r="B5" s="35" t="s">
        <v>520</v>
      </c>
      <c r="C5" s="35"/>
      <c r="D5" s="32"/>
      <c r="E5" s="36" t="s">
        <v>511</v>
      </c>
      <c r="F5" s="37" t="s">
        <v>20</v>
      </c>
      <c r="G5" s="32"/>
      <c r="H5" s="33"/>
      <c r="I5" s="34"/>
      <c r="J5" s="35" t="s">
        <v>521</v>
      </c>
      <c r="K5" s="36" t="s">
        <v>511</v>
      </c>
      <c r="L5" s="41" t="s">
        <v>1992</v>
      </c>
      <c r="M5" s="32"/>
      <c r="N5" s="32"/>
      <c r="O5" s="206"/>
      <c r="P5" s="202"/>
      <c r="Q5" s="202"/>
      <c r="R5" s="204"/>
      <c r="S5" s="38"/>
      <c r="T5" s="201"/>
      <c r="U5" s="201"/>
      <c r="V5" s="201"/>
      <c r="W5" s="201"/>
      <c r="X5" s="201"/>
      <c r="Y5" s="201"/>
      <c r="Z5" s="201"/>
      <c r="AA5" s="201"/>
      <c r="AB5" s="202"/>
      <c r="AC5" s="202"/>
      <c r="AD5" s="202"/>
      <c r="AE5" s="202"/>
      <c r="AF5" s="202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</row>
    <row r="6" spans="2:56">
      <c r="B6" s="35" t="s">
        <v>523</v>
      </c>
      <c r="C6" s="35"/>
      <c r="D6" s="32"/>
      <c r="E6" s="36" t="s">
        <v>511</v>
      </c>
      <c r="F6" s="37" t="s">
        <v>47</v>
      </c>
      <c r="G6" s="32"/>
      <c r="H6" s="33"/>
      <c r="I6" s="34"/>
      <c r="J6" s="42" t="s">
        <v>524</v>
      </c>
      <c r="K6" s="36" t="s">
        <v>511</v>
      </c>
      <c r="L6" s="43" t="s">
        <v>15</v>
      </c>
      <c r="M6" s="44"/>
      <c r="N6" s="44"/>
      <c r="O6" s="206"/>
      <c r="P6" s="205"/>
      <c r="Q6" s="202"/>
      <c r="R6" s="204"/>
      <c r="S6" s="38"/>
      <c r="T6" s="201"/>
      <c r="U6" s="201"/>
      <c r="V6" s="201"/>
      <c r="W6" s="201"/>
      <c r="X6" s="201"/>
      <c r="Y6" s="201"/>
      <c r="Z6" s="201"/>
      <c r="AA6" s="201"/>
      <c r="AB6" s="202"/>
      <c r="AC6" s="202"/>
      <c r="AD6" s="202"/>
      <c r="AE6" s="202"/>
      <c r="AF6" s="202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</row>
    <row r="7" spans="2:56">
      <c r="B7" s="35" t="s">
        <v>2</v>
      </c>
      <c r="C7" s="35"/>
      <c r="D7" s="32"/>
      <c r="E7" s="36" t="s">
        <v>511</v>
      </c>
      <c r="F7" s="37" t="s">
        <v>14</v>
      </c>
      <c r="G7" s="32"/>
      <c r="H7" s="33"/>
      <c r="I7" s="45"/>
      <c r="J7" s="42"/>
      <c r="K7" s="36"/>
      <c r="L7" s="211"/>
      <c r="M7" s="201"/>
      <c r="N7" s="201"/>
      <c r="O7" s="42"/>
      <c r="P7" s="44"/>
      <c r="Q7" s="44"/>
      <c r="R7" s="44"/>
      <c r="S7" s="34"/>
      <c r="T7" s="201"/>
      <c r="U7" s="201"/>
      <c r="V7" s="201"/>
      <c r="W7" s="201"/>
      <c r="X7" s="201"/>
      <c r="Y7" s="201"/>
      <c r="Z7" s="201"/>
      <c r="AA7" s="201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1"/>
      <c r="BD7" s="201"/>
    </row>
    <row r="8" spans="2:56">
      <c r="B8" s="201"/>
      <c r="C8" s="201"/>
      <c r="D8" s="201"/>
      <c r="E8" s="201"/>
      <c r="F8" s="201"/>
      <c r="G8" s="201"/>
      <c r="H8" s="201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65" t="s">
        <v>87</v>
      </c>
      <c r="U8" s="1265"/>
      <c r="V8" s="1265"/>
      <c r="W8" s="1265"/>
      <c r="X8" s="1265"/>
      <c r="Y8" s="1265" t="s">
        <v>73</v>
      </c>
      <c r="Z8" s="1265"/>
      <c r="AA8" s="1265"/>
      <c r="AB8" s="1265" t="s">
        <v>74</v>
      </c>
      <c r="AC8" s="1265"/>
      <c r="AD8" s="423" t="s">
        <v>85</v>
      </c>
      <c r="AE8" s="423" t="s">
        <v>77</v>
      </c>
      <c r="AF8" s="1265" t="s">
        <v>525</v>
      </c>
      <c r="AG8" s="1265"/>
      <c r="AH8" s="1265"/>
      <c r="AI8" s="1265"/>
      <c r="AJ8" s="1265"/>
      <c r="AK8" s="1265"/>
      <c r="AL8" s="1265"/>
      <c r="AM8" s="1265"/>
      <c r="AN8" s="1265"/>
      <c r="AO8" s="1265"/>
      <c r="AP8" s="1265"/>
      <c r="AQ8" s="1265"/>
      <c r="AR8" s="1265"/>
      <c r="AS8" s="1265"/>
      <c r="AT8" s="1265"/>
      <c r="AU8" s="1265"/>
      <c r="AV8" s="1265"/>
      <c r="AW8" s="1265"/>
      <c r="AX8" s="1265"/>
      <c r="AY8" s="1265"/>
      <c r="AZ8" s="1265"/>
      <c r="BA8" s="1265"/>
      <c r="BB8" s="1265"/>
      <c r="BC8" s="1265"/>
      <c r="BD8" s="201"/>
    </row>
    <row r="9" spans="2:56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408" t="str">
        <f>"On time - "&amp;COUNTIF(N10:N18,"On time")&amp;" from "&amp;ROWS(N10:N18)-COUNTIF(N10:N18," ")</f>
        <v>On time - 0 from 7</v>
      </c>
      <c r="O9" s="46"/>
      <c r="P9" s="409" t="s">
        <v>534</v>
      </c>
      <c r="Q9" s="409" t="s">
        <v>535</v>
      </c>
      <c r="R9" s="409" t="s">
        <v>536</v>
      </c>
      <c r="S9" s="32"/>
      <c r="T9" s="424" t="s">
        <v>537</v>
      </c>
      <c r="U9" s="424" t="s">
        <v>538</v>
      </c>
      <c r="V9" s="424" t="s">
        <v>539</v>
      </c>
      <c r="W9" s="424" t="s">
        <v>540</v>
      </c>
      <c r="X9" s="424" t="s">
        <v>541</v>
      </c>
      <c r="Y9" s="424" t="s">
        <v>167</v>
      </c>
      <c r="Z9" s="424" t="s">
        <v>168</v>
      </c>
      <c r="AA9" s="424" t="s">
        <v>169</v>
      </c>
      <c r="AB9" s="424" t="s">
        <v>235</v>
      </c>
      <c r="AC9" s="424" t="s">
        <v>240</v>
      </c>
      <c r="AD9" s="423" t="s">
        <v>85</v>
      </c>
      <c r="AE9" s="424" t="s">
        <v>139</v>
      </c>
      <c r="AF9" s="424" t="s">
        <v>72</v>
      </c>
      <c r="AG9" s="424" t="s">
        <v>88</v>
      </c>
      <c r="AH9" s="424" t="s">
        <v>75</v>
      </c>
      <c r="AI9" s="424" t="s">
        <v>543</v>
      </c>
      <c r="AJ9" s="424" t="s">
        <v>78</v>
      </c>
      <c r="AK9" s="424" t="s">
        <v>76</v>
      </c>
      <c r="AL9" s="424" t="s">
        <v>544</v>
      </c>
      <c r="AM9" s="424" t="s">
        <v>545</v>
      </c>
      <c r="AN9" s="424" t="s">
        <v>86</v>
      </c>
      <c r="AO9" s="424" t="s">
        <v>83</v>
      </c>
      <c r="AP9" s="424" t="s">
        <v>84</v>
      </c>
      <c r="AQ9" s="424" t="s">
        <v>546</v>
      </c>
      <c r="AR9" s="424" t="s">
        <v>81</v>
      </c>
      <c r="AS9" s="424" t="s">
        <v>80</v>
      </c>
      <c r="AT9" s="424" t="s">
        <v>82</v>
      </c>
      <c r="AU9" s="424" t="s">
        <v>181</v>
      </c>
      <c r="AV9" s="424" t="s">
        <v>183</v>
      </c>
      <c r="AW9" s="424" t="s">
        <v>547</v>
      </c>
      <c r="AX9" s="424" t="s">
        <v>182</v>
      </c>
      <c r="AY9" s="424" t="s">
        <v>172</v>
      </c>
      <c r="AZ9" s="424" t="s">
        <v>173</v>
      </c>
      <c r="BA9" s="424" t="s">
        <v>184</v>
      </c>
      <c r="BB9" s="424" t="s">
        <v>100</v>
      </c>
      <c r="BC9" s="424" t="s">
        <v>913</v>
      </c>
      <c r="BD9" s="201"/>
    </row>
    <row r="10" spans="2:56">
      <c r="B10" s="1256">
        <v>1</v>
      </c>
      <c r="C10" s="1257"/>
      <c r="D10" s="411" t="s">
        <v>1646</v>
      </c>
      <c r="E10" s="411"/>
      <c r="F10" s="411" t="s">
        <v>1647</v>
      </c>
      <c r="G10" s="411" t="s">
        <v>1648</v>
      </c>
      <c r="H10" s="412">
        <v>8014.6639999999998</v>
      </c>
      <c r="I10" s="413" t="s">
        <v>184</v>
      </c>
      <c r="J10" s="414">
        <v>45071.416666666664</v>
      </c>
      <c r="K10" s="414"/>
      <c r="L10" s="414" t="s">
        <v>192</v>
      </c>
      <c r="M10" s="414" t="s">
        <v>192</v>
      </c>
      <c r="N10" s="413" t="str">
        <f>IF(ISBLANK(J10)," ",IF(J10&lt;$F$4,"On time",(IF(DAY(J10-$F$4)&lt;1,"On time",(IF(J10&gt;$F$4,"DELAY ( "&amp;DAY(J10-$F$4)&amp;" day "&amp;HOUR(J10-$F$4)&amp;" hour "&amp;MINUTE(J10-$F$4)&amp;" minute )","xxx"))))))</f>
        <v>DELAY ( 5 day 18 hour 42 minute )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/>
      <c r="AC10" s="416"/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/>
      <c r="AQ10" s="416"/>
      <c r="AR10" s="416"/>
      <c r="AS10" s="416"/>
      <c r="AT10" s="416"/>
      <c r="AU10" s="32"/>
      <c r="AV10" s="416"/>
      <c r="AW10" s="416"/>
      <c r="AX10" s="416"/>
      <c r="AY10" s="434"/>
      <c r="AZ10" s="416"/>
      <c r="BA10" s="416">
        <f>H10</f>
        <v>8014.6639999999998</v>
      </c>
      <c r="BB10" s="416"/>
      <c r="BC10" s="416"/>
      <c r="BD10" s="32"/>
    </row>
    <row r="11" spans="2:56">
      <c r="B11" s="1256">
        <v>2</v>
      </c>
      <c r="C11" s="1257"/>
      <c r="D11" s="411" t="s">
        <v>1530</v>
      </c>
      <c r="E11" s="411"/>
      <c r="F11" s="411" t="s">
        <v>208</v>
      </c>
      <c r="G11" s="411" t="s">
        <v>328</v>
      </c>
      <c r="H11" s="412">
        <v>7468.058</v>
      </c>
      <c r="I11" s="413" t="s">
        <v>235</v>
      </c>
      <c r="J11" s="414">
        <v>45073.5625</v>
      </c>
      <c r="K11" s="414"/>
      <c r="L11" s="414" t="s">
        <v>192</v>
      </c>
      <c r="M11" s="414" t="s">
        <v>192</v>
      </c>
      <c r="N11" s="413" t="str">
        <f t="shared" ref="N11:N20" si="0">IF(ISBLANK(J11)," ",IF(J11&lt;$F$4,"On time",(IF(DAY(J11-$F$4)&lt;1,"On time",(IF(J11&gt;$F$4,"DELAY ( "&amp;DAY(J11-$F$4)&amp;" day "&amp;HOUR(J11-$F$4)&amp;" hour "&amp;MINUTE(J11-$F$4)&amp;" minute )","xxx"))))))</f>
        <v>DELAY ( 7 day 22 hour 12 minute )</v>
      </c>
      <c r="O11" s="51"/>
      <c r="P11" s="415" t="s">
        <v>551</v>
      </c>
      <c r="Q11" s="415" t="s">
        <v>551</v>
      </c>
      <c r="R11" s="415" t="s">
        <v>551</v>
      </c>
      <c r="S11" s="32"/>
      <c r="T11" s="416"/>
      <c r="U11" s="416"/>
      <c r="V11" s="416"/>
      <c r="W11" s="416"/>
      <c r="X11" s="416"/>
      <c r="Y11" s="416"/>
      <c r="Z11" s="416"/>
      <c r="AA11" s="416"/>
      <c r="AB11" s="416">
        <f>H11</f>
        <v>7468.058</v>
      </c>
      <c r="AC11" s="416"/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6"/>
      <c r="AQ11" s="416"/>
      <c r="AR11" s="416"/>
      <c r="AS11" s="416"/>
      <c r="AT11" s="416"/>
      <c r="AU11" s="416"/>
      <c r="AV11" s="416"/>
      <c r="AW11" s="416"/>
      <c r="AX11" s="416"/>
      <c r="AY11" s="416"/>
      <c r="AZ11" s="416"/>
      <c r="BA11" s="416"/>
      <c r="BB11" s="416"/>
      <c r="BC11" s="416"/>
      <c r="BD11" s="32"/>
    </row>
    <row r="12" spans="2:56">
      <c r="B12" s="1256">
        <v>3</v>
      </c>
      <c r="C12" s="1257"/>
      <c r="D12" s="411" t="s">
        <v>1529</v>
      </c>
      <c r="E12" s="411"/>
      <c r="F12" s="411" t="s">
        <v>473</v>
      </c>
      <c r="G12" s="411" t="s">
        <v>474</v>
      </c>
      <c r="H12" s="412">
        <v>7519.9480000000003</v>
      </c>
      <c r="I12" s="413" t="s">
        <v>235</v>
      </c>
      <c r="J12" s="414">
        <v>45073.552083333336</v>
      </c>
      <c r="K12" s="414"/>
      <c r="L12" s="414" t="s">
        <v>192</v>
      </c>
      <c r="M12" s="414" t="s">
        <v>192</v>
      </c>
      <c r="N12" s="413" t="str">
        <f t="shared" si="0"/>
        <v>DELAY ( 7 day 21 hour 57 minute )</v>
      </c>
      <c r="O12" s="51"/>
      <c r="P12" s="415" t="s">
        <v>551</v>
      </c>
      <c r="Q12" s="415" t="s">
        <v>551</v>
      </c>
      <c r="R12" s="415" t="s">
        <v>551</v>
      </c>
      <c r="S12" s="32"/>
      <c r="T12" s="416"/>
      <c r="U12" s="416"/>
      <c r="V12" s="416"/>
      <c r="W12" s="416"/>
      <c r="X12" s="416"/>
      <c r="Y12" s="416"/>
      <c r="Z12" s="416"/>
      <c r="AA12" s="416"/>
      <c r="AB12" s="416">
        <f>H12</f>
        <v>7519.9480000000003</v>
      </c>
      <c r="AC12" s="416"/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/>
      <c r="AQ12" s="416"/>
      <c r="AR12" s="416"/>
      <c r="AS12" s="416"/>
      <c r="AT12" s="416"/>
      <c r="AU12" s="416"/>
      <c r="AV12" s="416"/>
      <c r="AW12" s="416"/>
      <c r="AX12" s="416"/>
      <c r="AY12" s="416"/>
      <c r="AZ12" s="416"/>
      <c r="BA12" s="416"/>
      <c r="BB12" s="416"/>
      <c r="BC12" s="416"/>
      <c r="BD12" s="32"/>
    </row>
    <row r="13" spans="2:56">
      <c r="B13" s="1256">
        <v>4</v>
      </c>
      <c r="C13" s="1257"/>
      <c r="D13" s="411" t="s">
        <v>1532</v>
      </c>
      <c r="E13" s="411"/>
      <c r="F13" s="411" t="s">
        <v>355</v>
      </c>
      <c r="G13" s="411" t="s">
        <v>356</v>
      </c>
      <c r="H13" s="412">
        <v>7584.5519999999997</v>
      </c>
      <c r="I13" s="413" t="s">
        <v>235</v>
      </c>
      <c r="J13" s="414">
        <v>45074.333333333336</v>
      </c>
      <c r="K13" s="414"/>
      <c r="L13" s="414" t="s">
        <v>192</v>
      </c>
      <c r="M13" s="414" t="s">
        <v>192</v>
      </c>
      <c r="N13" s="413" t="str">
        <f t="shared" si="0"/>
        <v>DELAY ( 8 day 16 hour 42 minute )</v>
      </c>
      <c r="O13" s="51"/>
      <c r="P13" s="415" t="s">
        <v>551</v>
      </c>
      <c r="Q13" s="415" t="s">
        <v>551</v>
      </c>
      <c r="R13" s="415" t="s">
        <v>551</v>
      </c>
      <c r="S13" s="32"/>
      <c r="T13" s="416"/>
      <c r="U13" s="416"/>
      <c r="V13" s="416"/>
      <c r="W13" s="416"/>
      <c r="X13" s="416"/>
      <c r="Y13" s="416"/>
      <c r="Z13" s="416"/>
      <c r="AA13" s="416"/>
      <c r="AB13" s="416">
        <f t="shared" ref="AB13:AB14" si="1">H13</f>
        <v>7584.5519999999997</v>
      </c>
      <c r="AC13" s="416"/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416"/>
      <c r="BA13" s="416"/>
      <c r="BB13" s="416"/>
      <c r="BC13" s="416"/>
      <c r="BD13" s="32"/>
    </row>
    <row r="14" spans="2:56">
      <c r="B14" s="1256">
        <v>5</v>
      </c>
      <c r="C14" s="1257"/>
      <c r="D14" s="411" t="s">
        <v>1533</v>
      </c>
      <c r="E14" s="411"/>
      <c r="F14" s="411" t="s">
        <v>437</v>
      </c>
      <c r="G14" s="411" t="s">
        <v>320</v>
      </c>
      <c r="H14" s="412">
        <v>7589.7120000000004</v>
      </c>
      <c r="I14" s="413" t="s">
        <v>235</v>
      </c>
      <c r="J14" s="414">
        <v>45075.072916666664</v>
      </c>
      <c r="K14" s="414"/>
      <c r="L14" s="414" t="s">
        <v>192</v>
      </c>
      <c r="M14" s="414" t="s">
        <v>192</v>
      </c>
      <c r="N14" s="413" t="str">
        <f t="shared" si="0"/>
        <v>DELAY ( 9 day 10 hour 27 minute )</v>
      </c>
      <c r="O14" s="51"/>
      <c r="P14" s="415" t="s">
        <v>551</v>
      </c>
      <c r="Q14" s="415" t="s">
        <v>551</v>
      </c>
      <c r="R14" s="415" t="s">
        <v>551</v>
      </c>
      <c r="S14" s="32"/>
      <c r="T14" s="416"/>
      <c r="U14" s="416"/>
      <c r="V14" s="416"/>
      <c r="W14" s="416"/>
      <c r="X14" s="416"/>
      <c r="Y14" s="416"/>
      <c r="Z14" s="416"/>
      <c r="AA14" s="416"/>
      <c r="AB14" s="416">
        <f t="shared" si="1"/>
        <v>7589.7120000000004</v>
      </c>
      <c r="AC14" s="416"/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/>
      <c r="AQ14" s="416"/>
      <c r="AR14" s="416"/>
      <c r="AS14" s="416"/>
      <c r="AT14" s="416"/>
      <c r="AU14" s="416"/>
      <c r="AV14" s="416"/>
      <c r="AW14" s="416"/>
      <c r="AX14" s="416"/>
      <c r="AY14" s="416"/>
      <c r="AZ14" s="416"/>
      <c r="BA14" s="416"/>
      <c r="BB14" s="416"/>
      <c r="BC14" s="416"/>
      <c r="BD14" s="32"/>
    </row>
    <row r="15" spans="2:56">
      <c r="B15" s="1256">
        <v>6</v>
      </c>
      <c r="C15" s="1257"/>
      <c r="D15" s="411" t="s">
        <v>1536</v>
      </c>
      <c r="E15" s="411"/>
      <c r="F15" s="411" t="s">
        <v>505</v>
      </c>
      <c r="G15" s="411" t="s">
        <v>506</v>
      </c>
      <c r="H15" s="412">
        <v>7347.5950000000003</v>
      </c>
      <c r="I15" s="413" t="s">
        <v>240</v>
      </c>
      <c r="J15" s="414">
        <v>45075.6875</v>
      </c>
      <c r="K15" s="414"/>
      <c r="L15" s="414" t="s">
        <v>192</v>
      </c>
      <c r="M15" s="414" t="s">
        <v>192</v>
      </c>
      <c r="N15" s="413" t="str">
        <f t="shared" si="0"/>
        <v>DELAY ( 10 day 1 hour 12 minute )</v>
      </c>
      <c r="O15" s="51"/>
      <c r="P15" s="415" t="s">
        <v>551</v>
      </c>
      <c r="Q15" s="415" t="s">
        <v>551</v>
      </c>
      <c r="R15" s="415" t="s">
        <v>551</v>
      </c>
      <c r="S15" s="32"/>
      <c r="T15" s="416"/>
      <c r="U15" s="416"/>
      <c r="V15" s="416"/>
      <c r="W15" s="416"/>
      <c r="X15" s="416"/>
      <c r="Y15" s="416"/>
      <c r="Z15" s="416"/>
      <c r="AA15" s="416"/>
      <c r="AB15" s="416"/>
      <c r="AC15" s="416">
        <f>H15</f>
        <v>7347.5950000000003</v>
      </c>
      <c r="AD15" s="416"/>
      <c r="AE15" s="416"/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6"/>
      <c r="AS15" s="416"/>
      <c r="AT15" s="416"/>
      <c r="AU15" s="416"/>
      <c r="AV15" s="416"/>
      <c r="AW15" s="416"/>
      <c r="AX15" s="416"/>
      <c r="AY15" s="416"/>
      <c r="AZ15" s="416"/>
      <c r="BA15" s="416"/>
      <c r="BB15" s="416"/>
      <c r="BC15" s="416"/>
      <c r="BD15" s="32"/>
    </row>
    <row r="16" spans="2:56">
      <c r="B16" s="1256">
        <v>7</v>
      </c>
      <c r="C16" s="1257"/>
      <c r="D16" s="411" t="s">
        <v>1564</v>
      </c>
      <c r="E16" s="411"/>
      <c r="F16" s="411" t="s">
        <v>1307</v>
      </c>
      <c r="G16" s="411" t="s">
        <v>1308</v>
      </c>
      <c r="H16" s="412">
        <v>5289</v>
      </c>
      <c r="I16" s="413" t="s">
        <v>81</v>
      </c>
      <c r="J16" s="414">
        <v>45076.833333333336</v>
      </c>
      <c r="K16" s="414"/>
      <c r="L16" s="414" t="s">
        <v>192</v>
      </c>
      <c r="M16" s="414" t="s">
        <v>192</v>
      </c>
      <c r="N16" s="413" t="str">
        <f t="shared" si="0"/>
        <v>DELAY ( 11 day 4 hour 42 minute )</v>
      </c>
      <c r="O16" s="51"/>
      <c r="P16" s="415" t="s">
        <v>551</v>
      </c>
      <c r="Q16" s="415" t="s">
        <v>551</v>
      </c>
      <c r="R16" s="415" t="s">
        <v>551</v>
      </c>
      <c r="S16" s="32"/>
      <c r="T16" s="416"/>
      <c r="U16" s="416"/>
      <c r="V16" s="416"/>
      <c r="W16" s="416"/>
      <c r="X16" s="416"/>
      <c r="Y16" s="416"/>
      <c r="Z16" s="416"/>
      <c r="AA16" s="416"/>
      <c r="AB16" s="416"/>
      <c r="AC16" s="416"/>
      <c r="AD16" s="416"/>
      <c r="AE16" s="416"/>
      <c r="AF16" s="416"/>
      <c r="AG16" s="416"/>
      <c r="AH16" s="416"/>
      <c r="AI16" s="416"/>
      <c r="AJ16" s="416"/>
      <c r="AK16" s="416"/>
      <c r="AL16" s="416"/>
      <c r="AM16" s="416"/>
      <c r="AN16" s="416"/>
      <c r="AO16" s="416"/>
      <c r="AP16" s="416"/>
      <c r="AQ16" s="416"/>
      <c r="AR16" s="416">
        <f>H16</f>
        <v>5289</v>
      </c>
      <c r="AS16" s="416"/>
      <c r="AT16" s="416"/>
      <c r="AU16" s="416"/>
      <c r="AV16" s="416"/>
      <c r="AW16" s="416"/>
      <c r="AX16" s="416"/>
      <c r="AY16" s="286"/>
      <c r="AZ16" s="416"/>
      <c r="BA16" s="416"/>
      <c r="BB16" s="416"/>
      <c r="BC16" s="416"/>
      <c r="BD16" s="32"/>
    </row>
    <row r="17" spans="2:56">
      <c r="B17" s="1256" t="s">
        <v>610</v>
      </c>
      <c r="C17" s="1276"/>
      <c r="D17" s="1276"/>
      <c r="E17" s="1276"/>
      <c r="F17" s="1276"/>
      <c r="G17" s="1257"/>
      <c r="H17" s="412">
        <v>5000</v>
      </c>
      <c r="I17" s="413" t="s">
        <v>1164</v>
      </c>
      <c r="J17" s="414"/>
      <c r="K17" s="414"/>
      <c r="L17" s="414"/>
      <c r="M17" s="414"/>
      <c r="N17" s="413" t="str">
        <f t="shared" si="0"/>
        <v xml:space="preserve"> </v>
      </c>
      <c r="O17" s="51"/>
      <c r="P17" s="415" t="s">
        <v>551</v>
      </c>
      <c r="Q17" s="415"/>
      <c r="R17" s="415"/>
      <c r="S17" s="32"/>
      <c r="T17" s="416"/>
      <c r="U17" s="416"/>
      <c r="V17" s="416"/>
      <c r="W17" s="416"/>
      <c r="X17" s="416">
        <f>H17</f>
        <v>5000</v>
      </c>
      <c r="Y17" s="416"/>
      <c r="Z17" s="416"/>
      <c r="AA17" s="416"/>
      <c r="AB17" s="416"/>
      <c r="AC17" s="416"/>
      <c r="AD17" s="416"/>
      <c r="AE17" s="416"/>
      <c r="AF17" s="416"/>
      <c r="AG17" s="416"/>
      <c r="AH17" s="416"/>
      <c r="AI17" s="416"/>
      <c r="AJ17" s="416"/>
      <c r="AK17" s="416"/>
      <c r="AL17" s="416"/>
      <c r="AM17" s="416"/>
      <c r="AN17" s="416"/>
      <c r="AO17" s="416"/>
      <c r="AP17" s="416"/>
      <c r="AQ17" s="416"/>
      <c r="AR17" s="416"/>
      <c r="AS17" s="416"/>
      <c r="AT17" s="416"/>
      <c r="AU17" s="416"/>
      <c r="AV17" s="416"/>
      <c r="AW17" s="416"/>
      <c r="AX17" s="416"/>
      <c r="AY17" s="416"/>
      <c r="AZ17" s="416"/>
      <c r="BA17" s="416"/>
      <c r="BB17" s="416"/>
      <c r="BC17" s="416"/>
      <c r="BD17" s="32"/>
    </row>
    <row r="18" spans="2:56">
      <c r="B18" s="1256" t="s">
        <v>610</v>
      </c>
      <c r="C18" s="1276"/>
      <c r="D18" s="1276"/>
      <c r="E18" s="1276"/>
      <c r="F18" s="1276"/>
      <c r="G18" s="1257"/>
      <c r="H18" s="412">
        <f>H20-SUM(H10:H17)</f>
        <v>10186.470999999998</v>
      </c>
      <c r="I18" s="413" t="s">
        <v>611</v>
      </c>
      <c r="J18" s="414"/>
      <c r="K18" s="414"/>
      <c r="L18" s="414"/>
      <c r="M18" s="414"/>
      <c r="N18" s="413" t="str">
        <f t="shared" si="0"/>
        <v xml:space="preserve"> </v>
      </c>
      <c r="O18" s="51"/>
      <c r="P18" s="415" t="s">
        <v>551</v>
      </c>
      <c r="Q18" s="415"/>
      <c r="R18" s="415"/>
      <c r="S18" s="32"/>
      <c r="T18" s="416">
        <f>H18</f>
        <v>10186.470999999998</v>
      </c>
      <c r="U18" s="416"/>
      <c r="V18" s="416"/>
      <c r="W18" s="416"/>
      <c r="X18" s="416"/>
      <c r="Y18" s="416"/>
      <c r="Z18" s="416"/>
      <c r="AA18" s="416"/>
      <c r="AB18" s="416"/>
      <c r="AC18" s="416"/>
      <c r="AD18" s="416"/>
      <c r="AE18" s="416"/>
      <c r="AF18" s="416"/>
      <c r="AG18" s="416"/>
      <c r="AH18" s="416"/>
      <c r="AI18" s="416"/>
      <c r="AJ18" s="416"/>
      <c r="AK18" s="416"/>
      <c r="AL18" s="416"/>
      <c r="AM18" s="416"/>
      <c r="AN18" s="416"/>
      <c r="AO18" s="416"/>
      <c r="AP18" s="416"/>
      <c r="AQ18" s="416"/>
      <c r="AR18" s="416"/>
      <c r="AS18" s="416"/>
      <c r="AT18" s="416"/>
      <c r="AU18" s="416"/>
      <c r="AV18" s="416"/>
      <c r="AW18" s="416"/>
      <c r="AX18" s="416"/>
      <c r="AY18" s="416"/>
      <c r="AZ18" s="416"/>
      <c r="BA18" s="416"/>
      <c r="BB18" s="416"/>
      <c r="BC18" s="416"/>
      <c r="BD18" s="32"/>
    </row>
    <row r="19" spans="2:56">
      <c r="B19" s="1258" t="s">
        <v>556</v>
      </c>
      <c r="C19" s="1259"/>
      <c r="D19" s="1259"/>
      <c r="E19" s="1259"/>
      <c r="F19" s="1259"/>
      <c r="G19" s="1260"/>
      <c r="H19" s="417">
        <f>SUM(H10:H18)</f>
        <v>66000</v>
      </c>
      <c r="I19" s="388"/>
      <c r="J19" s="293"/>
      <c r="K19" s="293"/>
      <c r="L19" s="293"/>
      <c r="M19" s="389"/>
      <c r="N19" s="413" t="str">
        <f t="shared" si="0"/>
        <v xml:space="preserve"> </v>
      </c>
      <c r="O19" s="212"/>
      <c r="P19" s="418"/>
      <c r="Q19" s="418"/>
      <c r="R19" s="418"/>
      <c r="S19" s="207"/>
      <c r="T19" s="1262"/>
      <c r="U19" s="1263"/>
      <c r="V19" s="1263"/>
      <c r="W19" s="1263"/>
      <c r="X19" s="1263"/>
      <c r="Y19" s="1263"/>
      <c r="Z19" s="1263"/>
      <c r="AA19" s="1263"/>
      <c r="AB19" s="1263"/>
      <c r="AC19" s="1263"/>
      <c r="AD19" s="1263"/>
      <c r="AE19" s="1263"/>
      <c r="AF19" s="1263"/>
      <c r="AG19" s="1263"/>
      <c r="AH19" s="1263"/>
      <c r="AI19" s="1263"/>
      <c r="AJ19" s="1263"/>
      <c r="AK19" s="1263"/>
      <c r="AL19" s="1263"/>
      <c r="AM19" s="1263"/>
      <c r="AN19" s="1263"/>
      <c r="AO19" s="1263"/>
      <c r="AP19" s="1263"/>
      <c r="AQ19" s="1263"/>
      <c r="AR19" s="1263"/>
      <c r="AS19" s="1263"/>
      <c r="AT19" s="1263"/>
      <c r="AU19" s="1263"/>
      <c r="AV19" s="1263"/>
      <c r="AW19" s="1263"/>
      <c r="AX19" s="1263"/>
      <c r="AY19" s="1263"/>
      <c r="AZ19" s="1263"/>
      <c r="BA19" s="1263"/>
      <c r="BB19" s="1263"/>
      <c r="BC19" s="1264"/>
    </row>
    <row r="20" spans="2:56">
      <c r="B20" s="1277" t="s">
        <v>557</v>
      </c>
      <c r="C20" s="1278"/>
      <c r="D20" s="1278"/>
      <c r="E20" s="1278"/>
      <c r="F20" s="1278"/>
      <c r="G20" s="1279"/>
      <c r="H20" s="430">
        <v>66000</v>
      </c>
      <c r="I20" s="1273"/>
      <c r="J20" s="1274"/>
      <c r="K20" s="1274"/>
      <c r="L20" s="1274"/>
      <c r="M20" s="1275"/>
      <c r="N20" s="413" t="str">
        <f t="shared" si="0"/>
        <v xml:space="preserve"> </v>
      </c>
      <c r="O20" s="32"/>
      <c r="P20" s="415"/>
      <c r="Q20" s="415"/>
      <c r="R20" s="415"/>
      <c r="S20" s="63"/>
      <c r="T20" s="416">
        <f t="shared" ref="T20:BC20" si="2">SUM(T10:T18)</f>
        <v>10186.470999999998</v>
      </c>
      <c r="U20" s="416">
        <f t="shared" si="2"/>
        <v>0</v>
      </c>
      <c r="V20" s="416">
        <f t="shared" si="2"/>
        <v>0</v>
      </c>
      <c r="W20" s="416">
        <f t="shared" si="2"/>
        <v>0</v>
      </c>
      <c r="X20" s="416">
        <f t="shared" si="2"/>
        <v>5000</v>
      </c>
      <c r="Y20" s="416">
        <f t="shared" si="2"/>
        <v>0</v>
      </c>
      <c r="Z20" s="416">
        <f t="shared" si="2"/>
        <v>0</v>
      </c>
      <c r="AA20" s="416">
        <f t="shared" si="2"/>
        <v>0</v>
      </c>
      <c r="AB20" s="416">
        <f t="shared" si="2"/>
        <v>30162.27</v>
      </c>
      <c r="AC20" s="416">
        <f t="shared" si="2"/>
        <v>7347.5950000000003</v>
      </c>
      <c r="AD20" s="416">
        <f t="shared" si="2"/>
        <v>0</v>
      </c>
      <c r="AE20" s="416">
        <f t="shared" si="2"/>
        <v>0</v>
      </c>
      <c r="AF20" s="416">
        <f t="shared" si="2"/>
        <v>0</v>
      </c>
      <c r="AG20" s="416">
        <f t="shared" si="2"/>
        <v>0</v>
      </c>
      <c r="AH20" s="416">
        <f t="shared" si="2"/>
        <v>0</v>
      </c>
      <c r="AI20" s="416">
        <f t="shared" si="2"/>
        <v>0</v>
      </c>
      <c r="AJ20" s="416">
        <f t="shared" si="2"/>
        <v>0</v>
      </c>
      <c r="AK20" s="416">
        <f t="shared" si="2"/>
        <v>0</v>
      </c>
      <c r="AL20" s="416">
        <f t="shared" si="2"/>
        <v>0</v>
      </c>
      <c r="AM20" s="416">
        <f t="shared" si="2"/>
        <v>0</v>
      </c>
      <c r="AN20" s="416">
        <f t="shared" si="2"/>
        <v>0</v>
      </c>
      <c r="AO20" s="416">
        <f t="shared" si="2"/>
        <v>0</v>
      </c>
      <c r="AP20" s="416">
        <f t="shared" si="2"/>
        <v>0</v>
      </c>
      <c r="AQ20" s="416">
        <f t="shared" si="2"/>
        <v>0</v>
      </c>
      <c r="AR20" s="416">
        <f t="shared" si="2"/>
        <v>5289</v>
      </c>
      <c r="AS20" s="416">
        <f t="shared" si="2"/>
        <v>0</v>
      </c>
      <c r="AT20" s="416">
        <f t="shared" si="2"/>
        <v>0</v>
      </c>
      <c r="AU20" s="416">
        <f t="shared" si="2"/>
        <v>0</v>
      </c>
      <c r="AV20" s="416">
        <f t="shared" si="2"/>
        <v>0</v>
      </c>
      <c r="AW20" s="416">
        <f t="shared" si="2"/>
        <v>0</v>
      </c>
      <c r="AX20" s="416">
        <f t="shared" si="2"/>
        <v>0</v>
      </c>
      <c r="AY20" s="416">
        <f t="shared" si="2"/>
        <v>0</v>
      </c>
      <c r="AZ20" s="416">
        <f t="shared" si="2"/>
        <v>0</v>
      </c>
      <c r="BA20" s="416">
        <f t="shared" si="2"/>
        <v>8014.6639999999998</v>
      </c>
      <c r="BB20" s="416">
        <f t="shared" si="2"/>
        <v>0</v>
      </c>
      <c r="BC20" s="416">
        <f t="shared" si="2"/>
        <v>0</v>
      </c>
      <c r="BD20" s="416">
        <f>SUM(T20:BC20)</f>
        <v>66000</v>
      </c>
    </row>
    <row r="21" spans="2:56">
      <c r="B21" s="1277" t="s">
        <v>558</v>
      </c>
      <c r="C21" s="1278"/>
      <c r="D21" s="1278"/>
      <c r="E21" s="1278"/>
      <c r="F21" s="1278"/>
      <c r="G21" s="1279"/>
      <c r="H21" s="421">
        <f>H20-L4</f>
        <v>0</v>
      </c>
      <c r="I21" s="294"/>
      <c r="J21" s="295"/>
      <c r="K21" s="295"/>
      <c r="L21" s="296"/>
      <c r="M21" s="32"/>
      <c r="N21" s="32"/>
      <c r="O21" s="32"/>
      <c r="P21" s="32"/>
      <c r="Q21" s="297"/>
      <c r="R21" s="297"/>
      <c r="S21" s="32"/>
      <c r="T21" s="48"/>
      <c r="U21" s="48"/>
      <c r="V21" s="48"/>
      <c r="W21" s="48"/>
      <c r="X21" s="48"/>
      <c r="Y21" s="48"/>
      <c r="Z21" s="48"/>
      <c r="AA21" s="48"/>
      <c r="AB21" s="48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spans="2:56">
      <c r="B22" s="1277" t="s">
        <v>559</v>
      </c>
      <c r="C22" s="1278"/>
      <c r="D22" s="1278"/>
      <c r="E22" s="1278"/>
      <c r="F22" s="1278"/>
      <c r="G22" s="1279"/>
      <c r="H22" s="421">
        <f>H19-H20</f>
        <v>0</v>
      </c>
      <c r="I22" s="52"/>
      <c r="J22" s="53"/>
      <c r="K22" s="53"/>
      <c r="L22" s="54"/>
      <c r="M22" s="32"/>
      <c r="N22" s="201"/>
      <c r="O22" s="32"/>
      <c r="P22" s="32"/>
      <c r="Q22" s="32"/>
      <c r="R22" s="32"/>
      <c r="S22" s="32"/>
      <c r="T22" s="48"/>
      <c r="U22" s="48"/>
      <c r="V22" s="48"/>
      <c r="W22" s="48"/>
      <c r="X22" s="48"/>
      <c r="Y22" s="48"/>
      <c r="Z22" s="48"/>
      <c r="AA22" s="48"/>
      <c r="AB22" s="48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</row>
    <row r="23" spans="2:56">
      <c r="B23" s="201"/>
      <c r="C23" s="201"/>
      <c r="D23" s="201"/>
      <c r="E23" s="201"/>
      <c r="F23" s="201"/>
      <c r="G23" s="201"/>
      <c r="H23" s="201"/>
      <c r="I23" s="213"/>
      <c r="J23" s="209"/>
      <c r="K23" s="209"/>
      <c r="L23" s="203"/>
      <c r="M23" s="201"/>
      <c r="N23" s="201"/>
      <c r="O23" s="209"/>
      <c r="P23" s="32"/>
      <c r="Q23" s="32"/>
      <c r="R23" s="32"/>
      <c r="S23" s="32"/>
      <c r="T23" s="48"/>
      <c r="U23" s="48"/>
      <c r="V23" s="48"/>
      <c r="W23" s="48"/>
      <c r="X23" s="48"/>
      <c r="Y23" s="48"/>
      <c r="Z23" s="48"/>
      <c r="AA23" s="48"/>
      <c r="AB23" s="48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</row>
    <row r="24" spans="2:56">
      <c r="B24" s="40" t="s">
        <v>561</v>
      </c>
      <c r="C24" s="40"/>
      <c r="D24" s="32"/>
      <c r="E24" s="32"/>
      <c r="F24" s="32"/>
      <c r="G24" s="32"/>
      <c r="H24" s="32"/>
      <c r="I24" s="32"/>
      <c r="J24" s="52"/>
      <c r="K24" s="52"/>
      <c r="L24" s="55"/>
      <c r="M24" s="32"/>
      <c r="N24" s="201"/>
      <c r="O24" s="5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1"/>
      <c r="AT24" s="201"/>
      <c r="AU24" s="201"/>
      <c r="BD24" s="201"/>
    </row>
    <row r="25" spans="2:56">
      <c r="B25" s="422"/>
      <c r="C25" s="1249"/>
      <c r="D25" s="1249"/>
      <c r="E25" s="1249"/>
      <c r="F25" s="1249"/>
      <c r="G25" s="1249"/>
      <c r="H25" s="1249"/>
      <c r="I25" s="1249"/>
      <c r="J25" s="1249"/>
      <c r="K25" s="1249"/>
      <c r="L25" s="203"/>
      <c r="M25" s="203"/>
      <c r="N25" s="201"/>
      <c r="O25" s="209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</row>
    <row r="27" spans="2:56">
      <c r="B27" s="28" t="s">
        <v>126</v>
      </c>
      <c r="C27" s="28"/>
      <c r="D27" s="29"/>
      <c r="E27" s="30" t="s">
        <v>511</v>
      </c>
      <c r="F27" s="31" t="s">
        <v>1520</v>
      </c>
      <c r="G27" s="32"/>
      <c r="H27" s="33"/>
      <c r="I27" s="34"/>
      <c r="J27" s="35" t="s">
        <v>513</v>
      </c>
      <c r="K27" s="36" t="s">
        <v>511</v>
      </c>
      <c r="L27" s="37">
        <v>45077.506944444445</v>
      </c>
      <c r="M27" s="32"/>
      <c r="N27" s="32"/>
      <c r="O27" s="206"/>
      <c r="P27" s="205"/>
      <c r="Q27" s="202"/>
      <c r="R27" s="204"/>
      <c r="S27" s="38"/>
      <c r="T27" s="201"/>
      <c r="U27" s="201"/>
      <c r="V27" s="201"/>
      <c r="W27" s="201"/>
      <c r="X27" s="201"/>
      <c r="Y27" s="201"/>
      <c r="Z27" s="201"/>
      <c r="AA27" s="201"/>
      <c r="AB27" s="202"/>
      <c r="AC27" s="202"/>
      <c r="AD27" s="202"/>
      <c r="AE27" s="202"/>
      <c r="AF27" s="202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</row>
    <row r="28" spans="2:56">
      <c r="B28" s="35" t="s">
        <v>514</v>
      </c>
      <c r="C28" s="35"/>
      <c r="D28" s="32"/>
      <c r="E28" s="36" t="s">
        <v>511</v>
      </c>
      <c r="F28" s="37" t="s">
        <v>1993</v>
      </c>
      <c r="G28" s="32"/>
      <c r="H28" s="33"/>
      <c r="I28" s="34"/>
      <c r="J28" s="35" t="s">
        <v>516</v>
      </c>
      <c r="K28" s="36" t="s">
        <v>511</v>
      </c>
      <c r="L28" s="37">
        <v>45080.791666666664</v>
      </c>
      <c r="M28" s="32"/>
      <c r="N28" s="32"/>
      <c r="O28" s="206"/>
      <c r="P28" s="205"/>
      <c r="Q28" s="202"/>
      <c r="R28" s="204"/>
      <c r="S28" s="38"/>
      <c r="T28" s="201"/>
      <c r="U28" s="201"/>
      <c r="V28" s="201"/>
      <c r="W28" s="201"/>
      <c r="X28" s="201"/>
      <c r="Y28" s="201"/>
      <c r="Z28" s="201"/>
      <c r="AA28" s="201"/>
      <c r="AB28" s="202"/>
      <c r="AC28" s="202"/>
      <c r="AD28" s="202"/>
      <c r="AE28" s="202"/>
      <c r="AF28" s="202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  <c r="BB28" s="201"/>
    </row>
    <row r="29" spans="2:56">
      <c r="B29" s="35" t="s">
        <v>517</v>
      </c>
      <c r="C29" s="35"/>
      <c r="D29" s="32"/>
      <c r="E29" s="36" t="s">
        <v>511</v>
      </c>
      <c r="F29" s="37">
        <v>45071.583333333336</v>
      </c>
      <c r="G29" s="32"/>
      <c r="H29" s="33"/>
      <c r="I29" s="34"/>
      <c r="J29" s="35" t="s">
        <v>518</v>
      </c>
      <c r="K29" s="36" t="s">
        <v>511</v>
      </c>
      <c r="L29" s="298">
        <v>86200</v>
      </c>
      <c r="M29" s="40" t="s">
        <v>519</v>
      </c>
      <c r="N29" s="40"/>
      <c r="O29" s="206"/>
      <c r="P29" s="205"/>
      <c r="Q29" s="202"/>
      <c r="R29" s="204"/>
      <c r="S29" s="38"/>
      <c r="T29" s="201"/>
      <c r="U29" s="201"/>
      <c r="V29" s="201"/>
      <c r="W29" s="201"/>
      <c r="X29" s="201"/>
      <c r="Y29" s="201"/>
      <c r="Z29" s="201"/>
      <c r="AA29" s="201"/>
      <c r="AB29" s="202"/>
      <c r="AC29" s="202"/>
      <c r="AD29" s="202"/>
      <c r="AE29" s="202"/>
      <c r="AF29" s="202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</row>
    <row r="30" spans="2:56">
      <c r="B30" s="35" t="s">
        <v>520</v>
      </c>
      <c r="C30" s="35"/>
      <c r="D30" s="32"/>
      <c r="E30" s="36" t="s">
        <v>511</v>
      </c>
      <c r="F30" s="37" t="s">
        <v>12</v>
      </c>
      <c r="G30" s="32"/>
      <c r="H30" s="33"/>
      <c r="I30" s="34"/>
      <c r="J30" s="35" t="s">
        <v>521</v>
      </c>
      <c r="K30" s="36" t="s">
        <v>511</v>
      </c>
      <c r="L30" s="41" t="s">
        <v>1994</v>
      </c>
      <c r="M30" s="32"/>
      <c r="N30" s="32"/>
      <c r="O30" s="206"/>
      <c r="P30" s="202"/>
      <c r="Q30" s="202"/>
      <c r="R30" s="204"/>
      <c r="S30" s="38"/>
      <c r="T30" s="201"/>
      <c r="U30" s="201"/>
      <c r="V30" s="201"/>
      <c r="W30" s="201"/>
      <c r="X30" s="201"/>
      <c r="Y30" s="201"/>
      <c r="Z30" s="201"/>
      <c r="AA30" s="201"/>
      <c r="AB30" s="202"/>
      <c r="AC30" s="202"/>
      <c r="AD30" s="202"/>
      <c r="AE30" s="202"/>
      <c r="AF30" s="202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</row>
    <row r="31" spans="2:56">
      <c r="B31" s="35" t="s">
        <v>523</v>
      </c>
      <c r="C31" s="35"/>
      <c r="D31" s="32"/>
      <c r="E31" s="36" t="s">
        <v>511</v>
      </c>
      <c r="F31" s="37" t="s">
        <v>41</v>
      </c>
      <c r="G31" s="32"/>
      <c r="H31" s="33"/>
      <c r="I31" s="34"/>
      <c r="J31" s="42" t="s">
        <v>524</v>
      </c>
      <c r="K31" s="36" t="s">
        <v>511</v>
      </c>
      <c r="L31" s="43" t="s">
        <v>15</v>
      </c>
      <c r="M31" s="44"/>
      <c r="N31" s="44"/>
      <c r="O31" s="206"/>
      <c r="P31" s="205"/>
      <c r="Q31" s="202"/>
      <c r="R31" s="204"/>
      <c r="S31" s="38"/>
      <c r="T31" s="201"/>
      <c r="U31" s="201"/>
      <c r="V31" s="201"/>
      <c r="W31" s="201"/>
      <c r="X31" s="201"/>
      <c r="Y31" s="201"/>
      <c r="Z31" s="201"/>
      <c r="AA31" s="201"/>
      <c r="AB31" s="202"/>
      <c r="AC31" s="202"/>
      <c r="AD31" s="202"/>
      <c r="AE31" s="202"/>
      <c r="AF31" s="202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</row>
    <row r="32" spans="2:56">
      <c r="B32" s="35" t="s">
        <v>2</v>
      </c>
      <c r="C32" s="35"/>
      <c r="D32" s="32"/>
      <c r="E32" s="36" t="s">
        <v>511</v>
      </c>
      <c r="F32" s="37" t="s">
        <v>31</v>
      </c>
      <c r="G32" s="32"/>
      <c r="H32" s="33"/>
      <c r="I32" s="45"/>
      <c r="J32" s="42"/>
      <c r="K32" s="36"/>
      <c r="L32" s="211"/>
      <c r="M32" s="201"/>
      <c r="N32" s="201"/>
      <c r="O32" s="42"/>
      <c r="P32" s="44"/>
      <c r="Q32" s="44"/>
      <c r="R32" s="44"/>
      <c r="S32" s="34"/>
      <c r="T32" s="201"/>
      <c r="U32" s="201"/>
      <c r="V32" s="201"/>
      <c r="W32" s="201"/>
      <c r="X32" s="201"/>
      <c r="Y32" s="201"/>
      <c r="Z32" s="201"/>
      <c r="AA32" s="201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</row>
    <row r="33" spans="2:54">
      <c r="B33" s="201"/>
      <c r="C33" s="201"/>
      <c r="D33" s="201"/>
      <c r="E33" s="201"/>
      <c r="F33" s="201"/>
      <c r="G33" s="201"/>
      <c r="H33" s="201"/>
      <c r="I33" s="45"/>
      <c r="J33" s="42"/>
      <c r="K33" s="42"/>
      <c r="L33" s="43"/>
      <c r="M33" s="44"/>
      <c r="N33" s="44"/>
      <c r="O33" s="42"/>
      <c r="P33" s="44"/>
      <c r="Q33" s="44"/>
      <c r="R33" s="44"/>
      <c r="S33" s="34"/>
      <c r="T33" s="1265" t="s">
        <v>87</v>
      </c>
      <c r="U33" s="1265"/>
      <c r="V33" s="1265"/>
      <c r="W33" s="1265"/>
      <c r="X33" s="1265"/>
      <c r="Y33" s="1265" t="s">
        <v>73</v>
      </c>
      <c r="Z33" s="1265"/>
      <c r="AA33" s="1265"/>
      <c r="AB33" s="1265" t="s">
        <v>74</v>
      </c>
      <c r="AC33" s="1265"/>
      <c r="AD33" s="423" t="s">
        <v>85</v>
      </c>
      <c r="AE33" s="423" t="s">
        <v>77</v>
      </c>
      <c r="AF33" s="1265" t="s">
        <v>525</v>
      </c>
      <c r="AG33" s="1265"/>
      <c r="AH33" s="1265"/>
      <c r="AI33" s="1265"/>
      <c r="AJ33" s="1265"/>
      <c r="AK33" s="1265"/>
      <c r="AL33" s="1265"/>
      <c r="AM33" s="1265"/>
      <c r="AN33" s="1265"/>
      <c r="AO33" s="1265"/>
      <c r="AP33" s="1265"/>
      <c r="AQ33" s="1265"/>
      <c r="AR33" s="1265"/>
      <c r="AS33" s="1265"/>
      <c r="AT33" s="1265"/>
      <c r="AU33" s="1265"/>
      <c r="AV33" s="1265"/>
      <c r="AW33" s="1265"/>
      <c r="AX33" s="1265"/>
      <c r="AY33" s="1265"/>
      <c r="AZ33" s="1265"/>
      <c r="BA33" s="1265"/>
      <c r="BB33" s="201"/>
    </row>
    <row r="34" spans="2:54">
      <c r="B34" s="1266" t="s">
        <v>526</v>
      </c>
      <c r="C34" s="1267"/>
      <c r="D34" s="570" t="s">
        <v>527</v>
      </c>
      <c r="E34" s="570"/>
      <c r="F34" s="570" t="s">
        <v>528</v>
      </c>
      <c r="G34" s="570" t="s">
        <v>529</v>
      </c>
      <c r="H34" s="570" t="s">
        <v>530</v>
      </c>
      <c r="I34" s="570" t="s">
        <v>531</v>
      </c>
      <c r="J34" s="570" t="s">
        <v>532</v>
      </c>
      <c r="K34" s="570"/>
      <c r="L34" s="570" t="s">
        <v>130</v>
      </c>
      <c r="M34" s="570" t="s">
        <v>533</v>
      </c>
      <c r="N34" s="408" t="str">
        <f>"On time - "&amp;COUNTIF(N35:N52,"On time")&amp;" from "&amp;ROWS(N35:N52)-COUNTIF(N35:N52," ")</f>
        <v>On time - 0 from 13</v>
      </c>
      <c r="O34" s="46"/>
      <c r="P34" s="409" t="s">
        <v>534</v>
      </c>
      <c r="Q34" s="409" t="s">
        <v>535</v>
      </c>
      <c r="R34" s="409" t="s">
        <v>536</v>
      </c>
      <c r="S34" s="32"/>
      <c r="T34" s="424" t="s">
        <v>537</v>
      </c>
      <c r="U34" s="424" t="s">
        <v>538</v>
      </c>
      <c r="V34" s="424" t="s">
        <v>539</v>
      </c>
      <c r="W34" s="424" t="s">
        <v>540</v>
      </c>
      <c r="X34" s="424" t="s">
        <v>541</v>
      </c>
      <c r="Y34" s="424" t="s">
        <v>167</v>
      </c>
      <c r="Z34" s="424" t="s">
        <v>168</v>
      </c>
      <c r="AA34" s="424" t="s">
        <v>169</v>
      </c>
      <c r="AB34" s="424" t="s">
        <v>235</v>
      </c>
      <c r="AC34" s="424" t="s">
        <v>240</v>
      </c>
      <c r="AD34" s="423" t="s">
        <v>85</v>
      </c>
      <c r="AE34" s="424" t="s">
        <v>139</v>
      </c>
      <c r="AF34" s="424" t="s">
        <v>72</v>
      </c>
      <c r="AG34" s="424" t="s">
        <v>88</v>
      </c>
      <c r="AH34" s="424" t="s">
        <v>75</v>
      </c>
      <c r="AI34" s="424" t="s">
        <v>543</v>
      </c>
      <c r="AJ34" s="424" t="s">
        <v>78</v>
      </c>
      <c r="AK34" s="424" t="s">
        <v>76</v>
      </c>
      <c r="AL34" s="424" t="s">
        <v>544</v>
      </c>
      <c r="AM34" s="424" t="s">
        <v>545</v>
      </c>
      <c r="AN34" s="424" t="s">
        <v>86</v>
      </c>
      <c r="AO34" s="424" t="s">
        <v>83</v>
      </c>
      <c r="AP34" s="424" t="s">
        <v>84</v>
      </c>
      <c r="AQ34" s="424" t="s">
        <v>546</v>
      </c>
      <c r="AR34" s="424" t="s">
        <v>81</v>
      </c>
      <c r="AS34" s="424" t="s">
        <v>80</v>
      </c>
      <c r="AT34" s="424" t="s">
        <v>82</v>
      </c>
      <c r="AU34" s="424" t="s">
        <v>181</v>
      </c>
      <c r="AV34" s="424" t="s">
        <v>183</v>
      </c>
      <c r="AW34" s="424" t="s">
        <v>547</v>
      </c>
      <c r="AX34" s="424" t="s">
        <v>182</v>
      </c>
      <c r="AY34" s="424" t="s">
        <v>172</v>
      </c>
      <c r="AZ34" s="424" t="s">
        <v>173</v>
      </c>
      <c r="BA34" s="424" t="s">
        <v>184</v>
      </c>
      <c r="BB34" s="201"/>
    </row>
    <row r="35" spans="2:54">
      <c r="B35" s="1250" t="s">
        <v>1995</v>
      </c>
      <c r="C35" s="1251"/>
      <c r="D35" s="411" t="s">
        <v>1635</v>
      </c>
      <c r="E35" s="425"/>
      <c r="F35" s="411" t="s">
        <v>1636</v>
      </c>
      <c r="G35" s="411" t="s">
        <v>806</v>
      </c>
      <c r="H35" s="412">
        <f>5311.816/4</f>
        <v>1327.954</v>
      </c>
      <c r="I35" s="413" t="s">
        <v>183</v>
      </c>
      <c r="J35" s="414">
        <v>45073.520833333336</v>
      </c>
      <c r="K35" s="414"/>
      <c r="L35" s="414" t="s">
        <v>192</v>
      </c>
      <c r="M35" s="414" t="s">
        <v>192</v>
      </c>
      <c r="N35" s="413" t="str">
        <f>IF(ISBLANK(J35)," ",IF(J35&lt;$F$29,"On time",(IF(DAY(J35-$F$29)&lt;1,"On time",(IF(J35&gt;$F$29,"DELAY ( "&amp;DAY(J35-$F$29)&amp;" day "&amp;HOUR(J35-$F$29)&amp;" hour "&amp;MINUTE(J35-$F$29)&amp;" minute )","xxx"))))))</f>
        <v>DELAY ( 1 day 22 hour 30 minute )</v>
      </c>
      <c r="O35" s="51"/>
      <c r="P35" s="415" t="s">
        <v>551</v>
      </c>
      <c r="Q35" s="415" t="s">
        <v>551</v>
      </c>
      <c r="R35" s="415" t="s">
        <v>551</v>
      </c>
      <c r="S35" s="32"/>
      <c r="T35" s="416"/>
      <c r="U35" s="416"/>
      <c r="V35" s="416"/>
      <c r="W35" s="416"/>
      <c r="X35" s="416"/>
      <c r="Y35" s="416"/>
      <c r="Z35" s="416"/>
      <c r="AA35" s="416"/>
      <c r="AB35" s="416"/>
      <c r="AC35" s="416"/>
      <c r="AD35" s="416"/>
      <c r="AE35" s="416"/>
      <c r="AF35" s="416"/>
      <c r="AG35" s="416"/>
      <c r="AH35" s="416"/>
      <c r="AI35" s="416"/>
      <c r="AJ35" s="416"/>
      <c r="AK35" s="416"/>
      <c r="AL35" s="416"/>
      <c r="AM35" s="416"/>
      <c r="AN35" s="416"/>
      <c r="AO35" s="416"/>
      <c r="AP35" s="416"/>
      <c r="AQ35" s="416"/>
      <c r="AR35" s="416"/>
      <c r="AS35" s="416"/>
      <c r="AT35" s="416"/>
      <c r="AU35" s="416"/>
      <c r="AV35" s="416">
        <f>H35</f>
        <v>1327.954</v>
      </c>
      <c r="AW35" s="416"/>
      <c r="AX35" s="416"/>
      <c r="AY35" s="416"/>
      <c r="AZ35" s="416"/>
      <c r="BA35" s="416"/>
      <c r="BB35" s="32"/>
    </row>
    <row r="36" spans="2:54">
      <c r="B36" s="1254"/>
      <c r="C36" s="1255"/>
      <c r="D36" s="411" t="s">
        <v>1580</v>
      </c>
      <c r="E36" s="411"/>
      <c r="F36" s="411" t="s">
        <v>371</v>
      </c>
      <c r="G36" s="411" t="s">
        <v>372</v>
      </c>
      <c r="H36" s="412">
        <v>7533.616</v>
      </c>
      <c r="I36" s="413" t="s">
        <v>1581</v>
      </c>
      <c r="J36" s="414">
        <v>45074.052083333336</v>
      </c>
      <c r="K36" s="414"/>
      <c r="L36" s="414" t="s">
        <v>192</v>
      </c>
      <c r="M36" s="414" t="s">
        <v>192</v>
      </c>
      <c r="N36" s="413" t="str">
        <f t="shared" ref="N36:N54" si="3">IF(ISBLANK(J36)," ",IF(J36&lt;$F$29,"On time",(IF(DAY(J36-$F$29)&lt;1,"On time",(IF(J36&gt;$F$29,"DELAY ( "&amp;DAY(J36-$F$29)&amp;" day "&amp;HOUR(J36-$F$29)&amp;" hour "&amp;MINUTE(J36-$F$29)&amp;" minute )","xxx"))))))</f>
        <v>DELAY ( 2 day 11 hour 15 minute )</v>
      </c>
      <c r="O36" s="51"/>
      <c r="P36" s="415" t="s">
        <v>551</v>
      </c>
      <c r="Q36" s="415" t="s">
        <v>551</v>
      </c>
      <c r="R36" s="415" t="s">
        <v>551</v>
      </c>
      <c r="S36" s="32"/>
      <c r="T36" s="435">
        <v>6534.33</v>
      </c>
      <c r="U36" s="435"/>
      <c r="V36" s="435"/>
      <c r="W36" s="435"/>
      <c r="X36" s="435">
        <v>999.28599999999994</v>
      </c>
      <c r="Y36" s="416"/>
      <c r="Z36" s="416"/>
      <c r="AA36" s="416"/>
      <c r="AB36" s="416"/>
      <c r="AC36" s="416"/>
      <c r="AD36" s="416"/>
      <c r="AE36" s="416"/>
      <c r="AF36" s="416"/>
      <c r="AG36" s="416"/>
      <c r="AH36" s="416"/>
      <c r="AI36" s="416"/>
      <c r="AJ36" s="416"/>
      <c r="AK36" s="416"/>
      <c r="AL36" s="416"/>
      <c r="AM36" s="416"/>
      <c r="AN36" s="416"/>
      <c r="AO36" s="416"/>
      <c r="AP36" s="416"/>
      <c r="AQ36" s="416"/>
      <c r="AR36" s="416"/>
      <c r="AS36" s="416"/>
      <c r="AT36" s="416"/>
      <c r="AU36" s="416"/>
      <c r="AV36" s="416"/>
      <c r="AW36" s="416"/>
      <c r="AX36" s="416"/>
      <c r="AY36" s="416"/>
      <c r="AZ36" s="416"/>
      <c r="BA36" s="416"/>
      <c r="BB36" s="32"/>
    </row>
    <row r="37" spans="2:54">
      <c r="B37" s="1250" t="s">
        <v>1995</v>
      </c>
      <c r="C37" s="1251"/>
      <c r="D37" s="411" t="s">
        <v>1635</v>
      </c>
      <c r="E37" s="425"/>
      <c r="F37" s="411" t="s">
        <v>1636</v>
      </c>
      <c r="G37" s="411" t="s">
        <v>806</v>
      </c>
      <c r="H37" s="412">
        <f>H35</f>
        <v>1327.954</v>
      </c>
      <c r="I37" s="413" t="s">
        <v>183</v>
      </c>
      <c r="J37" s="414"/>
      <c r="K37" s="414"/>
      <c r="L37" s="414" t="s">
        <v>192</v>
      </c>
      <c r="M37" s="414" t="s">
        <v>192</v>
      </c>
      <c r="N37" s="413" t="str">
        <f t="shared" si="3"/>
        <v xml:space="preserve"> </v>
      </c>
      <c r="O37" s="51"/>
      <c r="P37" s="415" t="s">
        <v>551</v>
      </c>
      <c r="Q37" s="415" t="s">
        <v>551</v>
      </c>
      <c r="R37" s="415" t="s">
        <v>551</v>
      </c>
      <c r="S37" s="32"/>
      <c r="T37" s="416"/>
      <c r="U37" s="416"/>
      <c r="V37" s="416"/>
      <c r="W37" s="416"/>
      <c r="X37" s="416"/>
      <c r="Y37" s="416"/>
      <c r="Z37" s="416"/>
      <c r="AA37" s="416"/>
      <c r="AB37" s="416"/>
      <c r="AC37" s="416"/>
      <c r="AD37" s="416"/>
      <c r="AE37" s="416"/>
      <c r="AF37" s="416"/>
      <c r="AG37" s="416"/>
      <c r="AH37" s="416"/>
      <c r="AI37" s="416"/>
      <c r="AJ37" s="416"/>
      <c r="AK37" s="416"/>
      <c r="AL37" s="416"/>
      <c r="AM37" s="416"/>
      <c r="AN37" s="416"/>
      <c r="AO37" s="416"/>
      <c r="AP37" s="416"/>
      <c r="AQ37" s="416"/>
      <c r="AR37" s="416"/>
      <c r="AS37" s="416"/>
      <c r="AT37" s="416"/>
      <c r="AU37" s="416"/>
      <c r="AV37" s="416">
        <f>H37</f>
        <v>1327.954</v>
      </c>
      <c r="AW37" s="416"/>
      <c r="AX37" s="416"/>
      <c r="AY37" s="416"/>
      <c r="AZ37" s="416"/>
      <c r="BA37" s="416"/>
      <c r="BB37" s="32"/>
    </row>
    <row r="38" spans="2:54">
      <c r="B38" s="1254"/>
      <c r="C38" s="1255"/>
      <c r="D38" s="411" t="s">
        <v>1534</v>
      </c>
      <c r="E38" s="411"/>
      <c r="F38" s="411" t="s">
        <v>1240</v>
      </c>
      <c r="G38" s="411" t="s">
        <v>1241</v>
      </c>
      <c r="H38" s="412">
        <v>7723.5910000000003</v>
      </c>
      <c r="I38" s="413" t="s">
        <v>235</v>
      </c>
      <c r="J38" s="414">
        <v>45074.583333333336</v>
      </c>
      <c r="K38" s="414"/>
      <c r="L38" s="414" t="s">
        <v>192</v>
      </c>
      <c r="M38" s="414" t="s">
        <v>192</v>
      </c>
      <c r="N38" s="413" t="str">
        <f t="shared" si="3"/>
        <v>DELAY ( 3 day 0 hour 0 minute )</v>
      </c>
      <c r="O38" s="51"/>
      <c r="P38" s="415" t="s">
        <v>551</v>
      </c>
      <c r="Q38" s="415" t="s">
        <v>551</v>
      </c>
      <c r="R38" s="415" t="s">
        <v>551</v>
      </c>
      <c r="S38" s="32"/>
      <c r="T38" s="416"/>
      <c r="U38" s="416"/>
      <c r="V38" s="416"/>
      <c r="W38" s="416"/>
      <c r="X38" s="416"/>
      <c r="Y38" s="416"/>
      <c r="Z38" s="416"/>
      <c r="AA38" s="416"/>
      <c r="AB38" s="434">
        <f>H38</f>
        <v>7723.5910000000003</v>
      </c>
      <c r="AC38" s="416"/>
      <c r="AD38" s="416"/>
      <c r="AE38" s="416"/>
      <c r="AF38" s="416"/>
      <c r="AG38" s="416"/>
      <c r="AH38" s="416"/>
      <c r="AI38" s="416"/>
      <c r="AJ38" s="416"/>
      <c r="AK38" s="416"/>
      <c r="AL38" s="416"/>
      <c r="AM38" s="416"/>
      <c r="AN38" s="416"/>
      <c r="AO38" s="416"/>
      <c r="AP38" s="416"/>
      <c r="AQ38" s="416"/>
      <c r="AR38" s="416"/>
      <c r="AS38" s="416"/>
      <c r="AT38" s="416"/>
      <c r="AU38" s="416"/>
      <c r="AV38" s="416"/>
      <c r="AW38" s="416"/>
      <c r="AX38" s="416"/>
      <c r="AY38" s="416"/>
      <c r="AZ38" s="416"/>
      <c r="BA38" s="416"/>
      <c r="BB38" s="32"/>
    </row>
    <row r="39" spans="2:54">
      <c r="B39" s="1250" t="s">
        <v>1995</v>
      </c>
      <c r="C39" s="1251"/>
      <c r="D39" s="411" t="s">
        <v>1635</v>
      </c>
      <c r="E39" s="425"/>
      <c r="F39" s="411" t="s">
        <v>1636</v>
      </c>
      <c r="G39" s="411" t="s">
        <v>806</v>
      </c>
      <c r="H39" s="412">
        <f>H37</f>
        <v>1327.954</v>
      </c>
      <c r="I39" s="413" t="s">
        <v>183</v>
      </c>
      <c r="J39" s="414"/>
      <c r="K39" s="414"/>
      <c r="L39" s="414" t="s">
        <v>192</v>
      </c>
      <c r="M39" s="414" t="s">
        <v>192</v>
      </c>
      <c r="N39" s="413" t="str">
        <f t="shared" si="3"/>
        <v xml:space="preserve"> </v>
      </c>
      <c r="O39" s="51"/>
      <c r="P39" s="415" t="s">
        <v>551</v>
      </c>
      <c r="Q39" s="415" t="s">
        <v>551</v>
      </c>
      <c r="R39" s="415" t="s">
        <v>551</v>
      </c>
      <c r="S39" s="32"/>
      <c r="T39" s="416"/>
      <c r="U39" s="416"/>
      <c r="V39" s="416"/>
      <c r="W39" s="416"/>
      <c r="X39" s="416"/>
      <c r="Y39" s="416"/>
      <c r="Z39" s="416"/>
      <c r="AA39" s="416"/>
      <c r="AB39" s="416"/>
      <c r="AC39" s="416"/>
      <c r="AD39" s="416"/>
      <c r="AE39" s="416"/>
      <c r="AF39" s="416"/>
      <c r="AG39" s="416"/>
      <c r="AH39" s="416"/>
      <c r="AI39" s="416"/>
      <c r="AJ39" s="416"/>
      <c r="AK39" s="416"/>
      <c r="AL39" s="416"/>
      <c r="AM39" s="416"/>
      <c r="AN39" s="416"/>
      <c r="AO39" s="416"/>
      <c r="AP39" s="416"/>
      <c r="AQ39" s="416"/>
      <c r="AR39" s="416"/>
      <c r="AS39" s="416"/>
      <c r="AT39" s="416"/>
      <c r="AU39" s="416"/>
      <c r="AV39" s="416">
        <f>H39</f>
        <v>1327.954</v>
      </c>
      <c r="AW39" s="416"/>
      <c r="AX39" s="416"/>
      <c r="AY39" s="416"/>
      <c r="AZ39" s="416"/>
      <c r="BA39" s="416"/>
      <c r="BB39" s="32"/>
    </row>
    <row r="40" spans="2:54">
      <c r="B40" s="1254"/>
      <c r="C40" s="1255"/>
      <c r="D40" s="411" t="s">
        <v>1535</v>
      </c>
      <c r="E40" s="411"/>
      <c r="F40" s="411" t="s">
        <v>70</v>
      </c>
      <c r="G40" s="411" t="s">
        <v>255</v>
      </c>
      <c r="H40" s="412">
        <v>7402.71</v>
      </c>
      <c r="I40" s="413" t="s">
        <v>235</v>
      </c>
      <c r="J40" s="414">
        <v>45075.479166666664</v>
      </c>
      <c r="K40" s="414"/>
      <c r="L40" s="414" t="s">
        <v>192</v>
      </c>
      <c r="M40" s="414" t="s">
        <v>192</v>
      </c>
      <c r="N40" s="413" t="str">
        <f t="shared" si="3"/>
        <v>DELAY ( 3 day 21 hour 30 minute )</v>
      </c>
      <c r="O40" s="51"/>
      <c r="P40" s="415" t="s">
        <v>551</v>
      </c>
      <c r="Q40" s="415" t="s">
        <v>551</v>
      </c>
      <c r="R40" s="415" t="s">
        <v>551</v>
      </c>
      <c r="S40" s="32"/>
      <c r="T40" s="416"/>
      <c r="U40" s="416"/>
      <c r="V40" s="416"/>
      <c r="W40" s="416"/>
      <c r="X40" s="416"/>
      <c r="Y40" s="416"/>
      <c r="Z40" s="416"/>
      <c r="AA40" s="416"/>
      <c r="AB40" s="434">
        <f>H40</f>
        <v>7402.71</v>
      </c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/>
      <c r="AR40" s="416"/>
      <c r="AS40" s="416"/>
      <c r="AT40" s="416"/>
      <c r="AU40" s="416"/>
      <c r="AV40" s="416"/>
      <c r="AW40" s="416"/>
      <c r="AX40" s="416"/>
      <c r="AY40" s="416"/>
      <c r="AZ40" s="416"/>
      <c r="BA40" s="416"/>
      <c r="BB40" s="32"/>
    </row>
    <row r="41" spans="2:54">
      <c r="B41" s="1250" t="s">
        <v>1995</v>
      </c>
      <c r="C41" s="1251"/>
      <c r="D41" s="411" t="s">
        <v>1635</v>
      </c>
      <c r="E41" s="425"/>
      <c r="F41" s="411" t="s">
        <v>1636</v>
      </c>
      <c r="G41" s="411" t="s">
        <v>806</v>
      </c>
      <c r="H41" s="412">
        <f>H39</f>
        <v>1327.954</v>
      </c>
      <c r="I41" s="413" t="s">
        <v>183</v>
      </c>
      <c r="J41" s="414"/>
      <c r="K41" s="414"/>
      <c r="L41" s="414" t="s">
        <v>192</v>
      </c>
      <c r="M41" s="414" t="s">
        <v>192</v>
      </c>
      <c r="N41" s="413" t="str">
        <f t="shared" si="3"/>
        <v xml:space="preserve"> </v>
      </c>
      <c r="O41" s="51"/>
      <c r="P41" s="415" t="s">
        <v>551</v>
      </c>
      <c r="Q41" s="415" t="s">
        <v>551</v>
      </c>
      <c r="R41" s="415" t="s">
        <v>551</v>
      </c>
      <c r="S41" s="32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416"/>
      <c r="AG41" s="416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416"/>
      <c r="AU41" s="416"/>
      <c r="AV41" s="416">
        <f>H41</f>
        <v>1327.954</v>
      </c>
      <c r="AW41" s="416"/>
      <c r="AX41" s="416"/>
      <c r="AY41" s="416"/>
      <c r="AZ41" s="416"/>
      <c r="BA41" s="416"/>
      <c r="BB41" s="32"/>
    </row>
    <row r="42" spans="2:54">
      <c r="B42" s="1254"/>
      <c r="C42" s="1255"/>
      <c r="D42" s="411" t="s">
        <v>1582</v>
      </c>
      <c r="E42" s="411"/>
      <c r="F42" s="411" t="s">
        <v>492</v>
      </c>
      <c r="G42" s="411" t="s">
        <v>493</v>
      </c>
      <c r="H42" s="412">
        <v>7526.37</v>
      </c>
      <c r="I42" s="413" t="s">
        <v>1581</v>
      </c>
      <c r="J42" s="414">
        <v>45075.333333333336</v>
      </c>
      <c r="K42" s="414"/>
      <c r="L42" s="414" t="s">
        <v>192</v>
      </c>
      <c r="M42" s="414" t="s">
        <v>192</v>
      </c>
      <c r="N42" s="413" t="str">
        <f t="shared" si="3"/>
        <v>DELAY ( 3 day 18 hour 0 minute )</v>
      </c>
      <c r="O42" s="51"/>
      <c r="P42" s="415" t="s">
        <v>551</v>
      </c>
      <c r="Q42" s="415" t="s">
        <v>551</v>
      </c>
      <c r="R42" s="415" t="s">
        <v>551</v>
      </c>
      <c r="S42" s="32"/>
      <c r="T42" s="435">
        <v>6523.5230000000001</v>
      </c>
      <c r="U42" s="435"/>
      <c r="V42" s="435"/>
      <c r="W42" s="435"/>
      <c r="X42" s="435">
        <v>1002.847</v>
      </c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6"/>
      <c r="AZ42" s="416"/>
      <c r="BA42" s="416"/>
      <c r="BB42" s="32"/>
    </row>
    <row r="43" spans="2:54">
      <c r="B43" s="1250" t="s">
        <v>1996</v>
      </c>
      <c r="C43" s="1251"/>
      <c r="D43" s="411" t="s">
        <v>1538</v>
      </c>
      <c r="E43" s="411"/>
      <c r="F43" s="411" t="s">
        <v>238</v>
      </c>
      <c r="G43" s="411" t="s">
        <v>239</v>
      </c>
      <c r="H43" s="412">
        <v>7496.8230000000003</v>
      </c>
      <c r="I43" s="413" t="s">
        <v>235</v>
      </c>
      <c r="J43" s="414">
        <v>45076.4375</v>
      </c>
      <c r="K43" s="414"/>
      <c r="L43" s="414" t="s">
        <v>192</v>
      </c>
      <c r="M43" s="414" t="s">
        <v>192</v>
      </c>
      <c r="N43" s="413" t="str">
        <f t="shared" si="3"/>
        <v>DELAY ( 4 day 20 hour 30 minute )</v>
      </c>
      <c r="O43" s="51"/>
      <c r="P43" s="415" t="s">
        <v>551</v>
      </c>
      <c r="Q43" s="415" t="s">
        <v>551</v>
      </c>
      <c r="R43" s="415" t="s">
        <v>551</v>
      </c>
      <c r="S43" s="32"/>
      <c r="T43" s="416"/>
      <c r="U43" s="416"/>
      <c r="V43" s="416"/>
      <c r="W43" s="416"/>
      <c r="X43" s="416"/>
      <c r="Y43" s="416"/>
      <c r="Z43" s="416"/>
      <c r="AA43" s="416"/>
      <c r="AB43" s="434">
        <f>H43</f>
        <v>7496.8230000000003</v>
      </c>
      <c r="AC43" s="416"/>
      <c r="AD43" s="416"/>
      <c r="AE43" s="416"/>
      <c r="AF43" s="416"/>
      <c r="AG43" s="416"/>
      <c r="AH43" s="416"/>
      <c r="AI43" s="416"/>
      <c r="AJ43" s="416"/>
      <c r="AK43" s="416"/>
      <c r="AL43" s="416"/>
      <c r="AM43" s="416"/>
      <c r="AN43" s="416"/>
      <c r="AO43" s="416"/>
      <c r="AP43" s="416"/>
      <c r="AQ43" s="416"/>
      <c r="AR43" s="416"/>
      <c r="AS43" s="416"/>
      <c r="AT43" s="416"/>
      <c r="AU43" s="416"/>
      <c r="AV43" s="416"/>
      <c r="AW43" s="416"/>
      <c r="AX43" s="416"/>
      <c r="AY43" s="416"/>
      <c r="AZ43" s="416"/>
      <c r="BA43" s="416"/>
      <c r="BB43" s="32"/>
    </row>
    <row r="44" spans="2:54">
      <c r="B44" s="1252"/>
      <c r="C44" s="1253"/>
      <c r="D44" s="411" t="s">
        <v>1519</v>
      </c>
      <c r="E44" s="425"/>
      <c r="F44" s="411" t="s">
        <v>489</v>
      </c>
      <c r="G44" s="411" t="s">
        <v>483</v>
      </c>
      <c r="H44" s="412">
        <f>2971/2</f>
        <v>1485.5</v>
      </c>
      <c r="I44" s="413" t="s">
        <v>240</v>
      </c>
      <c r="J44" s="1268">
        <v>45073.302083333336</v>
      </c>
      <c r="K44" s="414"/>
      <c r="L44" s="414" t="s">
        <v>192</v>
      </c>
      <c r="M44" s="414" t="s">
        <v>192</v>
      </c>
      <c r="N44" s="413" t="str">
        <f t="shared" si="3"/>
        <v>DELAY ( 1 day 17 hour 15 minute )</v>
      </c>
      <c r="O44" s="51"/>
      <c r="P44" s="415" t="s">
        <v>551</v>
      </c>
      <c r="Q44" s="415" t="s">
        <v>551</v>
      </c>
      <c r="R44" s="415" t="s">
        <v>551</v>
      </c>
      <c r="S44" s="32"/>
      <c r="T44" s="416"/>
      <c r="U44" s="416"/>
      <c r="V44" s="416"/>
      <c r="W44" s="416"/>
      <c r="X44" s="416"/>
      <c r="Y44" s="416"/>
      <c r="Z44" s="416"/>
      <c r="AA44" s="416"/>
      <c r="AB44" s="416"/>
      <c r="AC44" s="416">
        <f>H44</f>
        <v>1485.5</v>
      </c>
      <c r="AD44" s="416"/>
      <c r="AE44" s="416"/>
      <c r="AF44" s="416"/>
      <c r="AG44" s="416"/>
      <c r="AH44" s="416"/>
      <c r="AI44" s="416"/>
      <c r="AJ44" s="416"/>
      <c r="AK44" s="416"/>
      <c r="AL44" s="416"/>
      <c r="AM44" s="416"/>
      <c r="AN44" s="416"/>
      <c r="AO44" s="416"/>
      <c r="AP44" s="416"/>
      <c r="AQ44" s="416"/>
      <c r="AR44" s="416"/>
      <c r="AS44" s="416"/>
      <c r="AT44" s="416"/>
      <c r="AU44" s="416"/>
      <c r="AV44" s="416"/>
      <c r="AW44" s="416"/>
      <c r="AX44" s="416"/>
      <c r="AY44" s="416"/>
      <c r="AZ44" s="416"/>
      <c r="BA44" s="416"/>
      <c r="BB44" s="32"/>
    </row>
    <row r="45" spans="2:54">
      <c r="B45" s="1250" t="s">
        <v>1997</v>
      </c>
      <c r="C45" s="1251"/>
      <c r="D45" s="411" t="s">
        <v>1519</v>
      </c>
      <c r="E45" s="425"/>
      <c r="F45" s="411" t="s">
        <v>489</v>
      </c>
      <c r="G45" s="411" t="s">
        <v>483</v>
      </c>
      <c r="H45" s="412">
        <f>H44</f>
        <v>1485.5</v>
      </c>
      <c r="I45" s="413" t="str">
        <f>I44</f>
        <v>BEK HCVMS</v>
      </c>
      <c r="J45" s="1269"/>
      <c r="K45" s="414"/>
      <c r="L45" s="414" t="s">
        <v>192</v>
      </c>
      <c r="M45" s="414" t="s">
        <v>192</v>
      </c>
      <c r="N45" s="413" t="str">
        <f t="shared" si="3"/>
        <v xml:space="preserve"> </v>
      </c>
      <c r="O45" s="51"/>
      <c r="P45" s="415" t="s">
        <v>551</v>
      </c>
      <c r="Q45" s="415" t="s">
        <v>551</v>
      </c>
      <c r="R45" s="415" t="s">
        <v>551</v>
      </c>
      <c r="S45" s="32"/>
      <c r="T45" s="416"/>
      <c r="U45" s="416"/>
      <c r="V45" s="416"/>
      <c r="W45" s="416"/>
      <c r="X45" s="416"/>
      <c r="Y45" s="416"/>
      <c r="Z45" s="416"/>
      <c r="AA45" s="416"/>
      <c r="AB45" s="416"/>
      <c r="AC45" s="416">
        <f>H45</f>
        <v>1485.5</v>
      </c>
      <c r="AD45" s="416"/>
      <c r="AE45" s="416"/>
      <c r="AF45" s="416"/>
      <c r="AG45" s="416"/>
      <c r="AH45" s="416"/>
      <c r="AI45" s="416"/>
      <c r="AJ45" s="416"/>
      <c r="AK45" s="416"/>
      <c r="AL45" s="416"/>
      <c r="AM45" s="416"/>
      <c r="AN45" s="416"/>
      <c r="AO45" s="416"/>
      <c r="AP45" s="416"/>
      <c r="AQ45" s="416"/>
      <c r="AR45" s="416"/>
      <c r="AS45" s="416"/>
      <c r="AT45" s="416"/>
      <c r="AU45" s="416"/>
      <c r="AV45" s="416"/>
      <c r="AW45" s="416"/>
      <c r="AX45" s="416"/>
      <c r="AY45" s="416"/>
      <c r="AZ45" s="416"/>
      <c r="BA45" s="416"/>
      <c r="BB45" s="32"/>
    </row>
    <row r="46" spans="2:54">
      <c r="B46" s="1252"/>
      <c r="C46" s="1253"/>
      <c r="D46" s="411" t="s">
        <v>1537</v>
      </c>
      <c r="E46" s="411"/>
      <c r="F46" s="411" t="s">
        <v>686</v>
      </c>
      <c r="G46" s="411" t="s">
        <v>1186</v>
      </c>
      <c r="H46" s="412">
        <v>7481.7560000000003</v>
      </c>
      <c r="I46" s="413" t="s">
        <v>235</v>
      </c>
      <c r="J46" s="414">
        <v>45076.583333333336</v>
      </c>
      <c r="K46" s="414"/>
      <c r="L46" s="414" t="s">
        <v>192</v>
      </c>
      <c r="M46" s="414" t="s">
        <v>192</v>
      </c>
      <c r="N46" s="413" t="str">
        <f t="shared" si="3"/>
        <v>DELAY ( 5 day 0 hour 0 minute )</v>
      </c>
      <c r="O46" s="51"/>
      <c r="P46" s="415" t="s">
        <v>551</v>
      </c>
      <c r="Q46" s="415" t="s">
        <v>551</v>
      </c>
      <c r="R46" s="415" t="s">
        <v>551</v>
      </c>
      <c r="S46" s="32"/>
      <c r="T46" s="416"/>
      <c r="U46" s="416"/>
      <c r="V46" s="416"/>
      <c r="W46" s="416"/>
      <c r="X46" s="416"/>
      <c r="Y46" s="416"/>
      <c r="Z46" s="416"/>
      <c r="AA46" s="416"/>
      <c r="AB46" s="434">
        <f>H46</f>
        <v>7481.7560000000003</v>
      </c>
      <c r="AC46" s="416"/>
      <c r="AD46" s="416"/>
      <c r="AE46" s="416"/>
      <c r="AF46" s="416"/>
      <c r="AG46" s="416"/>
      <c r="AH46" s="416"/>
      <c r="AI46" s="416"/>
      <c r="AJ46" s="416"/>
      <c r="AK46" s="416"/>
      <c r="AL46" s="416"/>
      <c r="AM46" s="416"/>
      <c r="AN46" s="416"/>
      <c r="AO46" s="416"/>
      <c r="AP46" s="416"/>
      <c r="AQ46" s="416"/>
      <c r="AR46" s="416"/>
      <c r="AS46" s="416"/>
      <c r="AT46" s="416"/>
      <c r="AU46" s="416"/>
      <c r="AV46" s="416"/>
      <c r="AW46" s="416"/>
      <c r="AX46" s="416"/>
      <c r="AY46" s="416"/>
      <c r="AZ46" s="416"/>
      <c r="BA46" s="416"/>
      <c r="BB46" s="32"/>
    </row>
    <row r="47" spans="2:54">
      <c r="B47" s="1252" t="s">
        <v>653</v>
      </c>
      <c r="C47" s="1253"/>
      <c r="D47" s="411" t="s">
        <v>1688</v>
      </c>
      <c r="E47" s="411"/>
      <c r="F47" s="411" t="s">
        <v>1483</v>
      </c>
      <c r="G47" s="411" t="s">
        <v>378</v>
      </c>
      <c r="H47" s="412">
        <v>750.12099999999998</v>
      </c>
      <c r="I47" s="413" t="s">
        <v>494</v>
      </c>
      <c r="J47" s="414">
        <v>45074.864583333336</v>
      </c>
      <c r="K47" s="414"/>
      <c r="L47" s="414" t="s">
        <v>192</v>
      </c>
      <c r="M47" s="414" t="s">
        <v>192</v>
      </c>
      <c r="N47" s="413" t="str">
        <f t="shared" si="3"/>
        <v>DELAY ( 3 day 6 hour 45 minute )</v>
      </c>
      <c r="O47" s="51"/>
      <c r="P47" s="415" t="s">
        <v>551</v>
      </c>
      <c r="Q47" s="415" t="s">
        <v>551</v>
      </c>
      <c r="R47" s="415" t="s">
        <v>551</v>
      </c>
      <c r="S47" s="32"/>
      <c r="T47" s="416"/>
      <c r="U47" s="416"/>
      <c r="V47" s="416"/>
      <c r="W47" s="416"/>
      <c r="X47" s="416"/>
      <c r="Y47" s="416">
        <f>H47</f>
        <v>750.12099999999998</v>
      </c>
      <c r="Z47" s="416"/>
      <c r="AA47" s="416"/>
      <c r="AB47" s="416"/>
      <c r="AC47" s="416"/>
      <c r="AD47" s="416"/>
      <c r="AE47" s="416"/>
      <c r="AF47" s="416"/>
      <c r="AG47" s="416"/>
      <c r="AH47" s="416"/>
      <c r="AI47" s="416"/>
      <c r="AJ47" s="416"/>
      <c r="AK47" s="416"/>
      <c r="AL47" s="416"/>
      <c r="AM47" s="416"/>
      <c r="AN47" s="416"/>
      <c r="AO47" s="416"/>
      <c r="AP47" s="416"/>
      <c r="AQ47" s="416"/>
      <c r="AR47" s="416"/>
      <c r="AS47" s="416"/>
      <c r="AT47" s="416"/>
      <c r="AU47" s="416"/>
      <c r="AV47" s="416"/>
      <c r="AW47" s="416"/>
      <c r="AX47" s="416"/>
      <c r="AY47" s="416"/>
      <c r="AZ47" s="416"/>
      <c r="BA47" s="416"/>
      <c r="BB47" s="32"/>
    </row>
    <row r="48" spans="2:54">
      <c r="B48" s="1254"/>
      <c r="C48" s="1255"/>
      <c r="D48" s="411" t="s">
        <v>1444</v>
      </c>
      <c r="E48" s="425"/>
      <c r="F48" s="411" t="s">
        <v>374</v>
      </c>
      <c r="G48" s="411" t="s">
        <v>375</v>
      </c>
      <c r="H48" s="412">
        <v>750.12099999999998</v>
      </c>
      <c r="I48" s="413" t="s">
        <v>78</v>
      </c>
      <c r="J48" s="1268">
        <v>45076.40625</v>
      </c>
      <c r="K48" s="414"/>
      <c r="L48" s="414" t="s">
        <v>192</v>
      </c>
      <c r="M48" s="414" t="s">
        <v>192</v>
      </c>
      <c r="N48" s="413" t="str">
        <f t="shared" si="3"/>
        <v>DELAY ( 4 day 19 hour 45 minute )</v>
      </c>
      <c r="O48" s="51"/>
      <c r="P48" s="415" t="s">
        <v>551</v>
      </c>
      <c r="Q48" s="415" t="s">
        <v>551</v>
      </c>
      <c r="R48" s="415" t="s">
        <v>551</v>
      </c>
      <c r="S48" s="32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416"/>
      <c r="AG48" s="416"/>
      <c r="AH48" s="416"/>
      <c r="AI48" s="416"/>
      <c r="AJ48" s="416">
        <f>H48</f>
        <v>750.12099999999998</v>
      </c>
      <c r="AK48" s="416"/>
      <c r="AL48" s="416"/>
      <c r="AM48" s="416"/>
      <c r="AN48" s="416"/>
      <c r="AO48" s="416"/>
      <c r="AP48" s="416"/>
      <c r="AQ48" s="416"/>
      <c r="AR48" s="416"/>
      <c r="AS48" s="416"/>
      <c r="AT48" s="416"/>
      <c r="AU48" s="416"/>
      <c r="AV48" s="416"/>
      <c r="AW48" s="416"/>
      <c r="AX48" s="416"/>
      <c r="AY48" s="416"/>
      <c r="AZ48" s="416"/>
      <c r="BA48" s="416"/>
      <c r="BB48" s="32"/>
    </row>
    <row r="49" spans="2:56">
      <c r="B49" s="1250" t="s">
        <v>1998</v>
      </c>
      <c r="C49" s="1251"/>
      <c r="D49" s="411" t="s">
        <v>1444</v>
      </c>
      <c r="E49" s="425"/>
      <c r="F49" s="411" t="s">
        <v>374</v>
      </c>
      <c r="G49" s="411" t="s">
        <v>375</v>
      </c>
      <c r="H49" s="412">
        <f>7500-H48</f>
        <v>6749.8789999999999</v>
      </c>
      <c r="I49" s="413" t="str">
        <f>I48</f>
        <v>BBE</v>
      </c>
      <c r="J49" s="1269"/>
      <c r="K49" s="414"/>
      <c r="L49" s="414" t="s">
        <v>192</v>
      </c>
      <c r="M49" s="414" t="s">
        <v>192</v>
      </c>
      <c r="N49" s="413" t="str">
        <f t="shared" si="3"/>
        <v xml:space="preserve"> </v>
      </c>
      <c r="O49" s="51"/>
      <c r="P49" s="415" t="s">
        <v>551</v>
      </c>
      <c r="Q49" s="415" t="s">
        <v>551</v>
      </c>
      <c r="R49" s="415" t="s">
        <v>551</v>
      </c>
      <c r="S49" s="32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416"/>
      <c r="AG49" s="416"/>
      <c r="AH49" s="416"/>
      <c r="AI49" s="416"/>
      <c r="AJ49" s="416">
        <f>H49</f>
        <v>6749.8789999999999</v>
      </c>
      <c r="AK49" s="416"/>
      <c r="AL49" s="416"/>
      <c r="AM49" s="416"/>
      <c r="AN49" s="416"/>
      <c r="AO49" s="416"/>
      <c r="AP49" s="416"/>
      <c r="AQ49" s="416"/>
      <c r="AR49" s="416"/>
      <c r="AS49" s="416"/>
      <c r="AT49" s="416"/>
      <c r="AU49" s="416"/>
      <c r="AV49" s="416"/>
      <c r="AW49" s="416"/>
      <c r="AX49" s="416"/>
      <c r="AY49" s="416"/>
      <c r="AZ49" s="416"/>
      <c r="BA49" s="416"/>
      <c r="BB49" s="32"/>
    </row>
    <row r="50" spans="2:56">
      <c r="B50" s="1252"/>
      <c r="C50" s="1253"/>
      <c r="D50" s="411" t="s">
        <v>1539</v>
      </c>
      <c r="E50" s="411"/>
      <c r="F50" s="411" t="s">
        <v>288</v>
      </c>
      <c r="G50" s="411" t="s">
        <v>289</v>
      </c>
      <c r="H50" s="412">
        <v>7634.9480000000003</v>
      </c>
      <c r="I50" s="413" t="s">
        <v>235</v>
      </c>
      <c r="J50" s="414">
        <v>45077.736111111109</v>
      </c>
      <c r="K50" s="414"/>
      <c r="L50" s="414" t="s">
        <v>192</v>
      </c>
      <c r="M50" s="414" t="s">
        <v>192</v>
      </c>
      <c r="N50" s="413" t="str">
        <f t="shared" si="3"/>
        <v>DELAY ( 6 day 3 hour 40 minute )</v>
      </c>
      <c r="O50" s="51"/>
      <c r="P50" s="415" t="s">
        <v>551</v>
      </c>
      <c r="Q50" s="415" t="s">
        <v>551</v>
      </c>
      <c r="R50" s="415" t="s">
        <v>551</v>
      </c>
      <c r="S50" s="32"/>
      <c r="T50" s="416"/>
      <c r="U50" s="416"/>
      <c r="V50" s="416"/>
      <c r="W50" s="416"/>
      <c r="X50" s="416"/>
      <c r="Y50" s="416"/>
      <c r="Z50" s="416"/>
      <c r="AA50" s="416"/>
      <c r="AB50" s="434">
        <f t="shared" ref="AB50:AB51" si="4">H50</f>
        <v>7634.9480000000003</v>
      </c>
      <c r="AC50" s="416"/>
      <c r="AD50" s="416"/>
      <c r="AE50" s="416"/>
      <c r="AF50" s="416"/>
      <c r="AG50" s="416"/>
      <c r="AH50" s="416"/>
      <c r="AI50" s="416"/>
      <c r="AJ50" s="416"/>
      <c r="AK50" s="416"/>
      <c r="AL50" s="416"/>
      <c r="AM50" s="416"/>
      <c r="AN50" s="416"/>
      <c r="AO50" s="416"/>
      <c r="AP50" s="416"/>
      <c r="AQ50" s="416"/>
      <c r="AR50" s="416"/>
      <c r="AS50" s="416"/>
      <c r="AT50" s="416"/>
      <c r="AU50" s="416"/>
      <c r="AV50" s="416"/>
      <c r="AW50" s="416"/>
      <c r="AX50" s="416"/>
      <c r="AY50" s="416"/>
      <c r="AZ50" s="416"/>
      <c r="BA50" s="416"/>
      <c r="BB50" s="32"/>
    </row>
    <row r="51" spans="2:56">
      <c r="B51" s="1256" t="s">
        <v>548</v>
      </c>
      <c r="C51" s="1257"/>
      <c r="D51" s="411" t="s">
        <v>1540</v>
      </c>
      <c r="E51" s="411"/>
      <c r="F51" s="411" t="s">
        <v>301</v>
      </c>
      <c r="G51" s="411" t="s">
        <v>359</v>
      </c>
      <c r="H51" s="412">
        <v>9157.3080000000009</v>
      </c>
      <c r="I51" s="413" t="s">
        <v>235</v>
      </c>
      <c r="J51" s="414">
        <v>45077.909722222219</v>
      </c>
      <c r="K51" s="414"/>
      <c r="L51" s="414" t="s">
        <v>192</v>
      </c>
      <c r="M51" s="414" t="s">
        <v>192</v>
      </c>
      <c r="N51" s="413" t="str">
        <f t="shared" si="3"/>
        <v>DELAY ( 6 day 7 hour 50 minute )</v>
      </c>
      <c r="O51" s="51"/>
      <c r="P51" s="415" t="s">
        <v>551</v>
      </c>
      <c r="Q51" s="415" t="s">
        <v>551</v>
      </c>
      <c r="R51" s="415" t="s">
        <v>551</v>
      </c>
      <c r="S51" s="32"/>
      <c r="T51" s="416"/>
      <c r="U51" s="416"/>
      <c r="V51" s="416"/>
      <c r="W51" s="416"/>
      <c r="X51" s="416"/>
      <c r="Y51" s="416"/>
      <c r="Z51" s="416"/>
      <c r="AA51" s="416"/>
      <c r="AB51" s="434">
        <f t="shared" si="4"/>
        <v>9157.3080000000009</v>
      </c>
      <c r="AC51" s="416"/>
      <c r="AD51" s="416"/>
      <c r="AE51" s="416"/>
      <c r="AF51" s="416"/>
      <c r="AG51" s="416"/>
      <c r="AH51" s="416"/>
      <c r="AI51" s="416"/>
      <c r="AJ51" s="416"/>
      <c r="AK51" s="416"/>
      <c r="AL51" s="416"/>
      <c r="AM51" s="416"/>
      <c r="AN51" s="416"/>
      <c r="AO51" s="416"/>
      <c r="AP51" s="416"/>
      <c r="AQ51" s="416"/>
      <c r="AR51" s="416"/>
      <c r="AS51" s="416"/>
      <c r="AT51" s="416"/>
      <c r="AU51" s="416"/>
      <c r="AV51" s="416"/>
      <c r="AW51" s="416"/>
      <c r="AX51" s="416"/>
      <c r="AY51" s="416"/>
      <c r="AZ51" s="416"/>
      <c r="BA51" s="416"/>
      <c r="BB51" s="32"/>
    </row>
    <row r="52" spans="2:56">
      <c r="B52" s="1256" t="s">
        <v>548</v>
      </c>
      <c r="C52" s="1257"/>
      <c r="D52" s="411" t="s">
        <v>1547</v>
      </c>
      <c r="E52" s="411"/>
      <c r="F52" s="411" t="s">
        <v>284</v>
      </c>
      <c r="G52" s="411" t="s">
        <v>285</v>
      </c>
      <c r="H52" s="412">
        <f>9105.541-1395.6</f>
        <v>7709.9409999999989</v>
      </c>
      <c r="I52" s="413" t="s">
        <v>235</v>
      </c>
      <c r="J52" s="414">
        <v>45079.215277777781</v>
      </c>
      <c r="K52" s="414"/>
      <c r="L52" s="414" t="s">
        <v>192</v>
      </c>
      <c r="M52" s="414" t="s">
        <v>192</v>
      </c>
      <c r="N52" s="413" t="str">
        <f t="shared" si="3"/>
        <v>DELAY ( 7 day 15 hour 10 minute )</v>
      </c>
      <c r="O52" s="51"/>
      <c r="P52" s="415" t="s">
        <v>551</v>
      </c>
      <c r="Q52" s="415" t="s">
        <v>551</v>
      </c>
      <c r="R52" s="415" t="s">
        <v>551</v>
      </c>
      <c r="S52" s="32"/>
      <c r="T52" s="416"/>
      <c r="U52" s="416"/>
      <c r="V52" s="416"/>
      <c r="W52" s="416"/>
      <c r="X52" s="416"/>
      <c r="Y52" s="416"/>
      <c r="Z52" s="416"/>
      <c r="AA52" s="416"/>
      <c r="AB52" s="434">
        <f>H52</f>
        <v>7709.9409999999989</v>
      </c>
      <c r="AC52" s="416"/>
      <c r="AD52" s="416"/>
      <c r="AE52" s="416"/>
      <c r="AF52" s="416"/>
      <c r="AG52" s="416"/>
      <c r="AH52" s="416"/>
      <c r="AI52" s="416"/>
      <c r="AJ52" s="416"/>
      <c r="AK52" s="416"/>
      <c r="AL52" s="416"/>
      <c r="AM52" s="416"/>
      <c r="AN52" s="416"/>
      <c r="AO52" s="416"/>
      <c r="AP52" s="416"/>
      <c r="AQ52" s="416"/>
      <c r="AR52" s="416"/>
      <c r="AS52" s="416"/>
      <c r="AT52" s="416"/>
      <c r="AU52" s="416"/>
      <c r="AV52" s="416"/>
      <c r="AW52" s="416"/>
      <c r="AX52" s="416"/>
      <c r="AY52" s="416"/>
      <c r="AZ52" s="416"/>
      <c r="BA52" s="416"/>
      <c r="BB52" s="32"/>
    </row>
    <row r="53" spans="2:56">
      <c r="B53" s="1258" t="s">
        <v>556</v>
      </c>
      <c r="C53" s="1259"/>
      <c r="D53" s="1259"/>
      <c r="E53" s="1259"/>
      <c r="F53" s="1259"/>
      <c r="G53" s="1260"/>
      <c r="H53" s="417">
        <f>SUM(H35:H52)</f>
        <v>86200</v>
      </c>
      <c r="I53" s="388"/>
      <c r="J53" s="293"/>
      <c r="K53" s="293"/>
      <c r="L53" s="293"/>
      <c r="M53" s="389"/>
      <c r="N53" s="413" t="str">
        <f t="shared" si="3"/>
        <v xml:space="preserve"> </v>
      </c>
      <c r="O53" s="212"/>
      <c r="P53" s="418"/>
      <c r="Q53" s="418"/>
      <c r="R53" s="418"/>
      <c r="S53" s="207"/>
      <c r="T53" s="1262"/>
      <c r="U53" s="1263"/>
      <c r="V53" s="1263"/>
      <c r="W53" s="1263"/>
      <c r="X53" s="1263"/>
      <c r="Y53" s="1263"/>
      <c r="Z53" s="1263"/>
      <c r="AA53" s="1263"/>
      <c r="AB53" s="1263"/>
      <c r="AC53" s="1263"/>
      <c r="AD53" s="1263"/>
      <c r="AE53" s="1263"/>
      <c r="AF53" s="1263"/>
      <c r="AG53" s="1263"/>
      <c r="AH53" s="1263"/>
      <c r="AI53" s="1263"/>
      <c r="AJ53" s="1263"/>
      <c r="AK53" s="1263"/>
      <c r="AL53" s="1263"/>
      <c r="AM53" s="1263"/>
      <c r="AN53" s="1263"/>
      <c r="AO53" s="1263"/>
      <c r="AP53" s="1263"/>
      <c r="AQ53" s="1263"/>
      <c r="AR53" s="1263"/>
      <c r="AS53" s="1263"/>
      <c r="AT53" s="1263"/>
      <c r="AU53" s="1263"/>
      <c r="AV53" s="1263"/>
      <c r="AW53" s="1263"/>
      <c r="AX53" s="1263"/>
      <c r="AY53" s="1263"/>
      <c r="AZ53" s="1263"/>
      <c r="BA53" s="1263"/>
    </row>
    <row r="54" spans="2:56">
      <c r="B54" s="1243" t="s">
        <v>557</v>
      </c>
      <c r="C54" s="1244"/>
      <c r="D54" s="1244"/>
      <c r="E54" s="1244"/>
      <c r="F54" s="1244"/>
      <c r="G54" s="1245"/>
      <c r="H54" s="419">
        <v>86200</v>
      </c>
      <c r="I54" s="1273"/>
      <c r="J54" s="1274"/>
      <c r="K54" s="1274"/>
      <c r="L54" s="1274"/>
      <c r="M54" s="1275"/>
      <c r="N54" s="413" t="str">
        <f t="shared" si="3"/>
        <v xml:space="preserve"> </v>
      </c>
      <c r="O54" s="32"/>
      <c r="P54" s="415"/>
      <c r="Q54" s="415"/>
      <c r="R54" s="415"/>
      <c r="S54" s="63"/>
      <c r="T54" s="416">
        <f>SUM(T35:T52)</f>
        <v>13057.852999999999</v>
      </c>
      <c r="U54" s="416">
        <f t="shared" ref="U54:BA54" si="5">SUM(U35:U52)</f>
        <v>0</v>
      </c>
      <c r="V54" s="416">
        <f t="shared" si="5"/>
        <v>0</v>
      </c>
      <c r="W54" s="416">
        <f t="shared" si="5"/>
        <v>0</v>
      </c>
      <c r="X54" s="416">
        <f t="shared" si="5"/>
        <v>2002.1329999999998</v>
      </c>
      <c r="Y54" s="416">
        <f t="shared" si="5"/>
        <v>750.12099999999998</v>
      </c>
      <c r="Z54" s="416">
        <f t="shared" si="5"/>
        <v>0</v>
      </c>
      <c r="AA54" s="416">
        <f t="shared" si="5"/>
        <v>0</v>
      </c>
      <c r="AB54" s="416">
        <f t="shared" si="5"/>
        <v>54607.076999999997</v>
      </c>
      <c r="AC54" s="416">
        <f t="shared" si="5"/>
        <v>2971</v>
      </c>
      <c r="AD54" s="416">
        <f t="shared" si="5"/>
        <v>0</v>
      </c>
      <c r="AE54" s="416">
        <f t="shared" si="5"/>
        <v>0</v>
      </c>
      <c r="AF54" s="416">
        <f t="shared" si="5"/>
        <v>0</v>
      </c>
      <c r="AG54" s="416">
        <f t="shared" si="5"/>
        <v>0</v>
      </c>
      <c r="AH54" s="416">
        <f t="shared" si="5"/>
        <v>0</v>
      </c>
      <c r="AI54" s="416">
        <f t="shared" si="5"/>
        <v>0</v>
      </c>
      <c r="AJ54" s="416">
        <f t="shared" si="5"/>
        <v>7500</v>
      </c>
      <c r="AK54" s="416">
        <f t="shared" si="5"/>
        <v>0</v>
      </c>
      <c r="AL54" s="416">
        <f t="shared" si="5"/>
        <v>0</v>
      </c>
      <c r="AM54" s="416">
        <f t="shared" si="5"/>
        <v>0</v>
      </c>
      <c r="AN54" s="416">
        <f t="shared" si="5"/>
        <v>0</v>
      </c>
      <c r="AO54" s="416">
        <f t="shared" si="5"/>
        <v>0</v>
      </c>
      <c r="AP54" s="416">
        <f t="shared" si="5"/>
        <v>0</v>
      </c>
      <c r="AQ54" s="416">
        <f t="shared" si="5"/>
        <v>0</v>
      </c>
      <c r="AR54" s="416">
        <f t="shared" si="5"/>
        <v>0</v>
      </c>
      <c r="AS54" s="416">
        <f t="shared" si="5"/>
        <v>0</v>
      </c>
      <c r="AT54" s="416">
        <f t="shared" si="5"/>
        <v>0</v>
      </c>
      <c r="AU54" s="416">
        <f t="shared" si="5"/>
        <v>0</v>
      </c>
      <c r="AV54" s="416">
        <f t="shared" si="5"/>
        <v>5311.8159999999998</v>
      </c>
      <c r="AW54" s="416">
        <f t="shared" si="5"/>
        <v>0</v>
      </c>
      <c r="AX54" s="416">
        <f t="shared" si="5"/>
        <v>0</v>
      </c>
      <c r="AY54" s="416">
        <f t="shared" si="5"/>
        <v>0</v>
      </c>
      <c r="AZ54" s="416">
        <f t="shared" si="5"/>
        <v>0</v>
      </c>
      <c r="BA54" s="416">
        <f t="shared" si="5"/>
        <v>0</v>
      </c>
      <c r="BB54" s="416">
        <f>SUM(T54:BA54)</f>
        <v>86200</v>
      </c>
    </row>
    <row r="55" spans="2:56">
      <c r="B55" s="1243" t="s">
        <v>558</v>
      </c>
      <c r="C55" s="1244"/>
      <c r="D55" s="1244"/>
      <c r="E55" s="1244"/>
      <c r="F55" s="1244"/>
      <c r="G55" s="1245"/>
      <c r="H55" s="420">
        <f>H54-L29</f>
        <v>0</v>
      </c>
      <c r="I55" s="294"/>
      <c r="J55" s="295"/>
      <c r="K55" s="295"/>
      <c r="L55" s="296"/>
      <c r="M55" s="32"/>
      <c r="N55" s="32"/>
      <c r="O55" s="32"/>
      <c r="P55" s="32"/>
      <c r="Q55" s="297"/>
      <c r="R55" s="297"/>
      <c r="S55" s="32"/>
      <c r="T55" s="48"/>
      <c r="U55" s="48"/>
      <c r="V55" s="48"/>
      <c r="W55" s="48"/>
      <c r="X55" s="48"/>
      <c r="Y55" s="48"/>
      <c r="Z55" s="48"/>
      <c r="AA55" s="48"/>
      <c r="AB55" s="48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</row>
    <row r="56" spans="2:56">
      <c r="B56" s="1243" t="s">
        <v>559</v>
      </c>
      <c r="C56" s="1244"/>
      <c r="D56" s="1244"/>
      <c r="E56" s="1244"/>
      <c r="F56" s="1244"/>
      <c r="G56" s="1245"/>
      <c r="H56" s="420">
        <v>549.94500000000005</v>
      </c>
      <c r="I56" s="52"/>
      <c r="J56" s="53"/>
      <c r="K56" s="53"/>
      <c r="L56" s="54"/>
      <c r="M56" s="32"/>
      <c r="N56" s="201"/>
      <c r="O56" s="32"/>
      <c r="P56" s="32"/>
      <c r="Q56" s="32"/>
      <c r="R56" s="32"/>
      <c r="S56" s="32"/>
      <c r="T56" s="48"/>
      <c r="U56" s="48"/>
      <c r="V56" s="48"/>
      <c r="W56" s="48"/>
      <c r="X56" s="48"/>
      <c r="Y56" s="48"/>
      <c r="Z56" s="48"/>
      <c r="AA56" s="48"/>
      <c r="AB56" s="48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</row>
    <row r="57" spans="2:56">
      <c r="B57" s="1243" t="s">
        <v>560</v>
      </c>
      <c r="C57" s="1244"/>
      <c r="D57" s="1244"/>
      <c r="E57" s="1244"/>
      <c r="F57" s="1244"/>
      <c r="G57" s="1245"/>
      <c r="H57" s="421">
        <f>H56-1395.6</f>
        <v>-845.65499999999986</v>
      </c>
      <c r="I57" s="52"/>
      <c r="J57" s="53"/>
      <c r="K57" s="53"/>
      <c r="L57" s="54"/>
      <c r="M57" s="32"/>
      <c r="N57" s="32"/>
      <c r="O57" s="32"/>
      <c r="P57" s="32"/>
      <c r="Q57" s="32"/>
      <c r="R57" s="32"/>
      <c r="S57" s="48"/>
      <c r="T57" s="48"/>
      <c r="U57" s="48"/>
      <c r="V57" s="48"/>
      <c r="W57" s="48"/>
      <c r="X57" s="48"/>
      <c r="Y57" s="48"/>
      <c r="Z57" s="48"/>
      <c r="AA57" s="48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</row>
    <row r="58" spans="2:56">
      <c r="B58" s="201"/>
      <c r="C58" s="201"/>
      <c r="D58" s="201"/>
      <c r="E58" s="201"/>
      <c r="F58" s="201"/>
      <c r="G58" s="201"/>
      <c r="H58" s="201"/>
      <c r="I58" s="213"/>
      <c r="J58" s="209"/>
      <c r="K58" s="209"/>
      <c r="L58" s="203"/>
      <c r="M58" s="201"/>
      <c r="N58" s="201"/>
      <c r="O58" s="209"/>
      <c r="P58" s="32"/>
      <c r="Q58" s="32"/>
      <c r="R58" s="32"/>
      <c r="S58" s="32"/>
      <c r="T58" s="48"/>
      <c r="U58" s="48"/>
      <c r="V58" s="48"/>
      <c r="W58" s="48"/>
      <c r="X58" s="48"/>
      <c r="Y58" s="48"/>
      <c r="Z58" s="48"/>
      <c r="AA58" s="48"/>
      <c r="AB58" s="48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</row>
    <row r="59" spans="2:56">
      <c r="B59" s="40" t="s">
        <v>561</v>
      </c>
      <c r="C59" s="40"/>
      <c r="D59" s="32"/>
      <c r="E59" s="32"/>
      <c r="F59" s="32"/>
      <c r="G59" s="32"/>
      <c r="H59" s="32"/>
      <c r="I59" s="32"/>
      <c r="J59" s="52"/>
      <c r="K59" s="52"/>
      <c r="L59" s="55"/>
      <c r="M59" s="32"/>
      <c r="N59" s="201"/>
      <c r="O59" s="5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1"/>
      <c r="AS59" s="201"/>
      <c r="AT59" s="201"/>
      <c r="AU59" s="201"/>
      <c r="BB59" s="201"/>
    </row>
    <row r="60" spans="2:56">
      <c r="B60" s="422">
        <v>1</v>
      </c>
      <c r="C60" s="1249" t="s">
        <v>1999</v>
      </c>
      <c r="D60" s="1249"/>
      <c r="E60" s="1249"/>
      <c r="F60" s="1249"/>
      <c r="G60" s="1249"/>
      <c r="H60" s="1249"/>
      <c r="I60" s="1249"/>
      <c r="J60" s="1249"/>
      <c r="K60" s="1249"/>
      <c r="L60" s="203"/>
      <c r="M60" s="203"/>
      <c r="N60" s="201"/>
      <c r="O60" s="209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1"/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/>
      <c r="AP60" s="201"/>
      <c r="AQ60" s="201"/>
      <c r="AR60" s="201"/>
      <c r="AS60" s="201"/>
      <c r="AT60" s="201"/>
      <c r="AU60" s="201"/>
      <c r="AV60" s="201"/>
      <c r="AW60" s="201"/>
      <c r="AX60" s="201"/>
      <c r="AY60" s="201"/>
      <c r="AZ60" s="201"/>
      <c r="BA60" s="201"/>
      <c r="BB60" s="201"/>
    </row>
    <row r="62" spans="2:56">
      <c r="B62" s="28" t="s">
        <v>126</v>
      </c>
      <c r="C62" s="28"/>
      <c r="D62" s="29"/>
      <c r="E62" s="30" t="s">
        <v>511</v>
      </c>
      <c r="F62" s="31" t="s">
        <v>1521</v>
      </c>
      <c r="G62" s="32"/>
      <c r="H62" s="33"/>
      <c r="I62" s="34"/>
      <c r="J62" s="35" t="s">
        <v>513</v>
      </c>
      <c r="K62" s="36" t="s">
        <v>511</v>
      </c>
      <c r="L62" s="37">
        <v>45082.689583333333</v>
      </c>
      <c r="M62" s="32"/>
      <c r="N62" s="32"/>
      <c r="O62" s="206"/>
      <c r="P62" s="205"/>
      <c r="Q62" s="202"/>
      <c r="R62" s="204"/>
      <c r="S62" s="38"/>
      <c r="T62" s="201"/>
      <c r="U62" s="201"/>
      <c r="V62" s="201"/>
      <c r="W62" s="201"/>
      <c r="X62" s="201"/>
      <c r="Y62" s="201"/>
      <c r="Z62" s="201"/>
      <c r="AA62" s="201"/>
      <c r="AB62" s="202"/>
      <c r="AC62" s="202"/>
      <c r="AD62" s="202"/>
      <c r="AE62" s="202"/>
      <c r="AF62" s="202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  <c r="AU62" s="201"/>
      <c r="AV62" s="201"/>
      <c r="AW62" s="201"/>
      <c r="AX62" s="201"/>
      <c r="AY62" s="201"/>
      <c r="AZ62" s="201"/>
      <c r="BA62" s="201"/>
      <c r="BB62" s="201"/>
      <c r="BC62" s="201"/>
      <c r="BD62" s="201"/>
    </row>
    <row r="63" spans="2:56">
      <c r="B63" s="35" t="s">
        <v>514</v>
      </c>
      <c r="C63" s="35"/>
      <c r="D63" s="32"/>
      <c r="E63" s="36" t="s">
        <v>511</v>
      </c>
      <c r="F63" s="37" t="s">
        <v>2000</v>
      </c>
      <c r="G63" s="32"/>
      <c r="H63" s="33"/>
      <c r="I63" s="34"/>
      <c r="J63" s="35" t="s">
        <v>516</v>
      </c>
      <c r="K63" s="36" t="s">
        <v>511</v>
      </c>
      <c r="L63" s="37">
        <v>45083.493055555555</v>
      </c>
      <c r="M63" s="32"/>
      <c r="N63" s="32"/>
      <c r="O63" s="206"/>
      <c r="P63" s="205"/>
      <c r="Q63" s="202"/>
      <c r="R63" s="204"/>
      <c r="S63" s="38"/>
      <c r="T63" s="201"/>
      <c r="U63" s="201"/>
      <c r="V63" s="201"/>
      <c r="W63" s="201"/>
      <c r="X63" s="201"/>
      <c r="Y63" s="201"/>
      <c r="Z63" s="201"/>
      <c r="AA63" s="201"/>
      <c r="AB63" s="202"/>
      <c r="AC63" s="202"/>
      <c r="AD63" s="202"/>
      <c r="AE63" s="202"/>
      <c r="AF63" s="202"/>
      <c r="AG63" s="201"/>
      <c r="AH63" s="201"/>
      <c r="AI63" s="201"/>
      <c r="AJ63" s="201"/>
      <c r="AK63" s="201"/>
      <c r="AL63" s="201"/>
      <c r="AM63" s="201"/>
      <c r="AN63" s="201"/>
      <c r="AO63" s="201"/>
      <c r="AP63" s="201"/>
      <c r="AQ63" s="201"/>
      <c r="AR63" s="201"/>
      <c r="AS63" s="201"/>
      <c r="AT63" s="201"/>
      <c r="AU63" s="201"/>
      <c r="AV63" s="201"/>
      <c r="AW63" s="201"/>
      <c r="AX63" s="201"/>
      <c r="AY63" s="201"/>
      <c r="AZ63" s="201"/>
      <c r="BA63" s="201"/>
      <c r="BB63" s="201"/>
      <c r="BC63" s="201"/>
      <c r="BD63" s="201"/>
    </row>
    <row r="64" spans="2:56">
      <c r="B64" s="35" t="s">
        <v>517</v>
      </c>
      <c r="C64" s="35"/>
      <c r="D64" s="32"/>
      <c r="E64" s="36" t="s">
        <v>511</v>
      </c>
      <c r="F64" s="37">
        <v>45082.104166666664</v>
      </c>
      <c r="G64" s="32"/>
      <c r="H64" s="33"/>
      <c r="I64" s="34"/>
      <c r="J64" s="35" t="s">
        <v>518</v>
      </c>
      <c r="K64" s="36" t="s">
        <v>511</v>
      </c>
      <c r="L64" s="298">
        <v>29700</v>
      </c>
      <c r="M64" s="40" t="s">
        <v>519</v>
      </c>
      <c r="N64" s="40"/>
      <c r="O64" s="206"/>
      <c r="P64" s="205"/>
      <c r="Q64" s="202"/>
      <c r="R64" s="204"/>
      <c r="S64" s="38"/>
      <c r="T64" s="201"/>
      <c r="U64" s="201"/>
      <c r="V64" s="201"/>
      <c r="W64" s="201"/>
      <c r="X64" s="201"/>
      <c r="Y64" s="201"/>
      <c r="Z64" s="201"/>
      <c r="AA64" s="201"/>
      <c r="AB64" s="202"/>
      <c r="AC64" s="202"/>
      <c r="AD64" s="202"/>
      <c r="AE64" s="202"/>
      <c r="AF64" s="202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/>
      <c r="AT64" s="201"/>
      <c r="AU64" s="201"/>
      <c r="AV64" s="201"/>
      <c r="AW64" s="201"/>
      <c r="AX64" s="201"/>
      <c r="AY64" s="201"/>
      <c r="AZ64" s="201"/>
      <c r="BA64" s="201"/>
      <c r="BB64" s="201"/>
      <c r="BC64" s="201"/>
      <c r="BD64" s="201"/>
    </row>
    <row r="65" spans="2:56">
      <c r="B65" s="35" t="s">
        <v>520</v>
      </c>
      <c r="C65" s="35"/>
      <c r="D65" s="32"/>
      <c r="E65" s="36" t="s">
        <v>511</v>
      </c>
      <c r="F65" s="37" t="s">
        <v>20</v>
      </c>
      <c r="G65" s="32"/>
      <c r="H65" s="33"/>
      <c r="I65" s="34"/>
      <c r="J65" s="35" t="s">
        <v>521</v>
      </c>
      <c r="K65" s="36" t="s">
        <v>511</v>
      </c>
      <c r="L65" s="41" t="s">
        <v>2001</v>
      </c>
      <c r="M65" s="32"/>
      <c r="N65" s="32"/>
      <c r="O65" s="206"/>
      <c r="P65" s="202"/>
      <c r="Q65" s="202"/>
      <c r="R65" s="204"/>
      <c r="S65" s="38"/>
      <c r="T65" s="201"/>
      <c r="U65" s="201"/>
      <c r="V65" s="201"/>
      <c r="W65" s="201"/>
      <c r="X65" s="201"/>
      <c r="Y65" s="201"/>
      <c r="Z65" s="201"/>
      <c r="AA65" s="201"/>
      <c r="AB65" s="202"/>
      <c r="AC65" s="202"/>
      <c r="AD65" s="202"/>
      <c r="AE65" s="202"/>
      <c r="AF65" s="202"/>
      <c r="AG65" s="201"/>
      <c r="AH65" s="201"/>
      <c r="AI65" s="201"/>
      <c r="AJ65" s="201"/>
      <c r="AK65" s="201"/>
      <c r="AL65" s="201"/>
      <c r="AM65" s="201"/>
      <c r="AN65" s="201"/>
      <c r="AO65" s="201"/>
      <c r="AP65" s="201"/>
      <c r="AQ65" s="201"/>
      <c r="AR65" s="201"/>
      <c r="AS65" s="201"/>
      <c r="AT65" s="201"/>
      <c r="AU65" s="201"/>
      <c r="AV65" s="201"/>
      <c r="AW65" s="201"/>
      <c r="AX65" s="201"/>
      <c r="AY65" s="201"/>
      <c r="AZ65" s="201"/>
      <c r="BA65" s="201"/>
      <c r="BB65" s="201"/>
      <c r="BC65" s="201"/>
      <c r="BD65" s="201"/>
    </row>
    <row r="66" spans="2:56">
      <c r="B66" s="35" t="s">
        <v>523</v>
      </c>
      <c r="C66" s="35"/>
      <c r="D66" s="32"/>
      <c r="E66" s="36" t="s">
        <v>511</v>
      </c>
      <c r="F66" s="37" t="s">
        <v>47</v>
      </c>
      <c r="G66" s="32"/>
      <c r="H66" s="33"/>
      <c r="I66" s="34"/>
      <c r="J66" s="42" t="s">
        <v>524</v>
      </c>
      <c r="K66" s="36" t="s">
        <v>511</v>
      </c>
      <c r="L66" s="43" t="s">
        <v>15</v>
      </c>
      <c r="M66" s="44"/>
      <c r="N66" s="44"/>
      <c r="O66" s="206"/>
      <c r="P66" s="205"/>
      <c r="Q66" s="202"/>
      <c r="R66" s="204"/>
      <c r="S66" s="38"/>
      <c r="T66" s="201"/>
      <c r="U66" s="201"/>
      <c r="V66" s="201"/>
      <c r="W66" s="201"/>
      <c r="X66" s="201"/>
      <c r="Y66" s="201"/>
      <c r="Z66" s="201"/>
      <c r="AA66" s="201"/>
      <c r="AB66" s="202"/>
      <c r="AC66" s="202"/>
      <c r="AD66" s="202"/>
      <c r="AE66" s="202"/>
      <c r="AF66" s="202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  <c r="AT66" s="201"/>
      <c r="AU66" s="201"/>
      <c r="AV66" s="201"/>
      <c r="AW66" s="201"/>
      <c r="AX66" s="201"/>
      <c r="AY66" s="201"/>
      <c r="AZ66" s="201"/>
      <c r="BA66" s="201"/>
      <c r="BB66" s="201"/>
      <c r="BC66" s="201"/>
      <c r="BD66" s="201"/>
    </row>
    <row r="67" spans="2:56">
      <c r="B67" s="35" t="s">
        <v>2</v>
      </c>
      <c r="C67" s="35"/>
      <c r="D67" s="32"/>
      <c r="E67" s="36" t="s">
        <v>511</v>
      </c>
      <c r="F67" s="37" t="s">
        <v>18</v>
      </c>
      <c r="G67" s="32"/>
      <c r="H67" s="33"/>
      <c r="I67" s="45"/>
      <c r="J67" s="42"/>
      <c r="K67" s="36"/>
      <c r="L67" s="211"/>
      <c r="M67" s="201"/>
      <c r="N67" s="201"/>
      <c r="O67" s="42"/>
      <c r="P67" s="44"/>
      <c r="Q67" s="44"/>
      <c r="R67" s="44"/>
      <c r="S67" s="34"/>
      <c r="T67" s="201"/>
      <c r="U67" s="201"/>
      <c r="V67" s="201"/>
      <c r="W67" s="201"/>
      <c r="X67" s="201"/>
      <c r="Y67" s="201"/>
      <c r="Z67" s="201"/>
      <c r="AA67" s="201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201"/>
      <c r="AP67" s="201"/>
      <c r="AQ67" s="201"/>
      <c r="AR67" s="201"/>
      <c r="AS67" s="201"/>
      <c r="AT67" s="201"/>
      <c r="AU67" s="201"/>
      <c r="AV67" s="201"/>
      <c r="AW67" s="201"/>
      <c r="AX67" s="201"/>
      <c r="AY67" s="201"/>
      <c r="AZ67" s="201"/>
      <c r="BA67" s="201"/>
      <c r="BB67" s="201"/>
      <c r="BC67" s="201"/>
      <c r="BD67" s="201"/>
    </row>
    <row r="68" spans="2:56">
      <c r="B68" s="201"/>
      <c r="C68" s="201"/>
      <c r="D68" s="201"/>
      <c r="E68" s="201"/>
      <c r="F68" s="201"/>
      <c r="G68" s="201"/>
      <c r="H68" s="201"/>
      <c r="I68" s="45"/>
      <c r="J68" s="42"/>
      <c r="K68" s="42"/>
      <c r="L68" s="43"/>
      <c r="M68" s="44"/>
      <c r="N68" s="44"/>
      <c r="O68" s="42"/>
      <c r="P68" s="44"/>
      <c r="Q68" s="44"/>
      <c r="R68" s="44"/>
      <c r="S68" s="34"/>
      <c r="T68" s="1265" t="s">
        <v>87</v>
      </c>
      <c r="U68" s="1265"/>
      <c r="V68" s="1265"/>
      <c r="W68" s="1265"/>
      <c r="X68" s="1265"/>
      <c r="Y68" s="1265" t="s">
        <v>73</v>
      </c>
      <c r="Z68" s="1265"/>
      <c r="AA68" s="1265"/>
      <c r="AB68" s="1265" t="s">
        <v>74</v>
      </c>
      <c r="AC68" s="1265"/>
      <c r="AD68" s="423" t="s">
        <v>85</v>
      </c>
      <c r="AE68" s="423" t="s">
        <v>77</v>
      </c>
      <c r="AF68" s="1265" t="s">
        <v>525</v>
      </c>
      <c r="AG68" s="1265"/>
      <c r="AH68" s="1265"/>
      <c r="AI68" s="1265"/>
      <c r="AJ68" s="1265"/>
      <c r="AK68" s="1265"/>
      <c r="AL68" s="1265"/>
      <c r="AM68" s="1265"/>
      <c r="AN68" s="1265"/>
      <c r="AO68" s="1265"/>
      <c r="AP68" s="1265"/>
      <c r="AQ68" s="1265"/>
      <c r="AR68" s="1265"/>
      <c r="AS68" s="1265"/>
      <c r="AT68" s="1265"/>
      <c r="AU68" s="1265"/>
      <c r="AV68" s="1265"/>
      <c r="AW68" s="1265"/>
      <c r="AX68" s="1265"/>
      <c r="AY68" s="1265"/>
      <c r="AZ68" s="1265"/>
      <c r="BA68" s="1265"/>
      <c r="BB68" s="1265"/>
      <c r="BC68" s="1265"/>
      <c r="BD68" s="201"/>
    </row>
    <row r="69" spans="2:56">
      <c r="B69" s="1266" t="s">
        <v>526</v>
      </c>
      <c r="C69" s="1267"/>
      <c r="D69" s="570" t="s">
        <v>527</v>
      </c>
      <c r="E69" s="570"/>
      <c r="F69" s="570" t="s">
        <v>528</v>
      </c>
      <c r="G69" s="570" t="s">
        <v>529</v>
      </c>
      <c r="H69" s="570" t="s">
        <v>530</v>
      </c>
      <c r="I69" s="570" t="s">
        <v>531</v>
      </c>
      <c r="J69" s="570" t="s">
        <v>532</v>
      </c>
      <c r="K69" s="570"/>
      <c r="L69" s="570" t="s">
        <v>130</v>
      </c>
      <c r="M69" s="570" t="s">
        <v>533</v>
      </c>
      <c r="N69" s="408" t="str">
        <f>"On time - "&amp;COUNTIF(N70:N75,"On time")&amp;" from "&amp;ROWS(N70:N75)-COUNTIF(N70:N75," ")</f>
        <v>On time - 4 from 4</v>
      </c>
      <c r="O69" s="46"/>
      <c r="P69" s="409" t="s">
        <v>534</v>
      </c>
      <c r="Q69" s="409" t="s">
        <v>535</v>
      </c>
      <c r="R69" s="409" t="s">
        <v>536</v>
      </c>
      <c r="S69" s="32"/>
      <c r="T69" s="424" t="s">
        <v>537</v>
      </c>
      <c r="U69" s="424" t="s">
        <v>538</v>
      </c>
      <c r="V69" s="424" t="s">
        <v>539</v>
      </c>
      <c r="W69" s="424" t="s">
        <v>540</v>
      </c>
      <c r="X69" s="424" t="s">
        <v>541</v>
      </c>
      <c r="Y69" s="424" t="s">
        <v>167</v>
      </c>
      <c r="Z69" s="424" t="s">
        <v>168</v>
      </c>
      <c r="AA69" s="424" t="s">
        <v>169</v>
      </c>
      <c r="AB69" s="424" t="s">
        <v>235</v>
      </c>
      <c r="AC69" s="424" t="s">
        <v>240</v>
      </c>
      <c r="AD69" s="423" t="s">
        <v>85</v>
      </c>
      <c r="AE69" s="424" t="s">
        <v>139</v>
      </c>
      <c r="AF69" s="424" t="s">
        <v>72</v>
      </c>
      <c r="AG69" s="424" t="s">
        <v>88</v>
      </c>
      <c r="AH69" s="424" t="s">
        <v>75</v>
      </c>
      <c r="AI69" s="424" t="s">
        <v>543</v>
      </c>
      <c r="AJ69" s="424" t="s">
        <v>78</v>
      </c>
      <c r="AK69" s="424" t="s">
        <v>76</v>
      </c>
      <c r="AL69" s="424" t="s">
        <v>544</v>
      </c>
      <c r="AM69" s="424" t="s">
        <v>545</v>
      </c>
      <c r="AN69" s="424" t="s">
        <v>86</v>
      </c>
      <c r="AO69" s="424" t="s">
        <v>83</v>
      </c>
      <c r="AP69" s="424" t="s">
        <v>84</v>
      </c>
      <c r="AQ69" s="424" t="s">
        <v>546</v>
      </c>
      <c r="AR69" s="424" t="s">
        <v>81</v>
      </c>
      <c r="AS69" s="424" t="s">
        <v>80</v>
      </c>
      <c r="AT69" s="424" t="s">
        <v>82</v>
      </c>
      <c r="AU69" s="424" t="s">
        <v>181</v>
      </c>
      <c r="AV69" s="424" t="s">
        <v>183</v>
      </c>
      <c r="AW69" s="424" t="s">
        <v>547</v>
      </c>
      <c r="AX69" s="424" t="s">
        <v>182</v>
      </c>
      <c r="AY69" s="424" t="s">
        <v>172</v>
      </c>
      <c r="AZ69" s="424" t="s">
        <v>173</v>
      </c>
      <c r="BA69" s="424" t="s">
        <v>184</v>
      </c>
      <c r="BB69" s="424" t="s">
        <v>100</v>
      </c>
      <c r="BC69" s="424" t="s">
        <v>913</v>
      </c>
      <c r="BD69" s="201"/>
    </row>
    <row r="70" spans="2:56">
      <c r="B70" s="1256">
        <v>1</v>
      </c>
      <c r="C70" s="1257"/>
      <c r="D70" s="411" t="s">
        <v>1562</v>
      </c>
      <c r="E70" s="411"/>
      <c r="F70" s="411" t="s">
        <v>1303</v>
      </c>
      <c r="G70" s="411" t="s">
        <v>1304</v>
      </c>
      <c r="H70" s="412">
        <v>5302</v>
      </c>
      <c r="I70" s="413" t="s">
        <v>81</v>
      </c>
      <c r="J70" s="414">
        <v>45071.631944444445</v>
      </c>
      <c r="K70" s="414"/>
      <c r="L70" s="414" t="s">
        <v>192</v>
      </c>
      <c r="M70" s="414" t="s">
        <v>192</v>
      </c>
      <c r="N70" s="413" t="str">
        <f t="shared" ref="N70:N77" si="6">IF(ISBLANK(J70)," ",IF(J70&lt;$F$64,"On time",(IF(DAY(J70-$F$64)&lt;1,"On time",(IF(J70&gt;$F$64,"DELAY ( "&amp;DAY(J70-$F$64)&amp;" day "&amp;HOUR(J70-$F$64)&amp;" hour "&amp;MINUTE(J70-$F$64)&amp;" minute )","xxx"))))))</f>
        <v>On time</v>
      </c>
      <c r="O70" s="51"/>
      <c r="P70" s="415" t="s">
        <v>551</v>
      </c>
      <c r="Q70" s="415" t="s">
        <v>551</v>
      </c>
      <c r="R70" s="415" t="s">
        <v>551</v>
      </c>
      <c r="S70" s="32"/>
      <c r="T70" s="416"/>
      <c r="U70" s="416"/>
      <c r="V70" s="416"/>
      <c r="W70" s="416"/>
      <c r="X70" s="416"/>
      <c r="Y70" s="416"/>
      <c r="Z70" s="416"/>
      <c r="AA70" s="416"/>
      <c r="AB70" s="416"/>
      <c r="AC70" s="416"/>
      <c r="AD70" s="416"/>
      <c r="AE70" s="416"/>
      <c r="AF70" s="416"/>
      <c r="AG70" s="416"/>
      <c r="AH70" s="416"/>
      <c r="AI70" s="416"/>
      <c r="AJ70" s="416"/>
      <c r="AK70" s="416"/>
      <c r="AL70" s="416"/>
      <c r="AM70" s="416"/>
      <c r="AN70" s="416"/>
      <c r="AO70" s="416"/>
      <c r="AP70" s="416"/>
      <c r="AQ70" s="416"/>
      <c r="AR70" s="416">
        <f>H70</f>
        <v>5302</v>
      </c>
      <c r="AS70" s="416"/>
      <c r="AT70" s="416"/>
      <c r="AU70" s="416"/>
      <c r="AV70" s="416"/>
      <c r="AW70" s="416"/>
      <c r="AX70" s="416"/>
      <c r="AY70" s="286"/>
      <c r="AZ70" s="416"/>
      <c r="BA70" s="416"/>
      <c r="BB70" s="416"/>
      <c r="BC70" s="416"/>
      <c r="BD70" s="32"/>
    </row>
    <row r="71" spans="2:56">
      <c r="B71" s="1256">
        <v>2</v>
      </c>
      <c r="C71" s="1257"/>
      <c r="D71" s="411" t="s">
        <v>1525</v>
      </c>
      <c r="E71" s="411"/>
      <c r="F71" s="411" t="s">
        <v>310</v>
      </c>
      <c r="G71" s="411" t="s">
        <v>311</v>
      </c>
      <c r="H71" s="412">
        <v>7506.317</v>
      </c>
      <c r="I71" s="413" t="s">
        <v>1455</v>
      </c>
      <c r="J71" s="414">
        <v>45073.809027777781</v>
      </c>
      <c r="K71" s="414"/>
      <c r="L71" s="414" t="s">
        <v>192</v>
      </c>
      <c r="M71" s="414" t="s">
        <v>192</v>
      </c>
      <c r="N71" s="413" t="str">
        <f t="shared" si="6"/>
        <v>On time</v>
      </c>
      <c r="O71" s="51"/>
      <c r="P71" s="415" t="s">
        <v>551</v>
      </c>
      <c r="Q71" s="415" t="s">
        <v>551</v>
      </c>
      <c r="R71" s="415" t="s">
        <v>551</v>
      </c>
      <c r="S71" s="32"/>
      <c r="T71" s="416"/>
      <c r="U71" s="416"/>
      <c r="V71" s="416"/>
      <c r="W71" s="416"/>
      <c r="X71" s="416"/>
      <c r="Y71" s="416"/>
      <c r="Z71" s="416"/>
      <c r="AA71" s="416"/>
      <c r="AB71" s="416">
        <f t="shared" ref="AB71" si="7">H71*0.7</f>
        <v>5254.4218999999994</v>
      </c>
      <c r="AC71" s="416">
        <f t="shared" ref="AC71" si="8">H71*0.3</f>
        <v>2251.8950999999997</v>
      </c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  <c r="AX71" s="416"/>
      <c r="AY71" s="416"/>
      <c r="AZ71" s="416"/>
      <c r="BA71" s="416"/>
      <c r="BB71" s="416"/>
      <c r="BC71" s="416"/>
      <c r="BD71" s="32"/>
    </row>
    <row r="72" spans="2:56">
      <c r="B72" s="1256">
        <v>3</v>
      </c>
      <c r="C72" s="1257"/>
      <c r="D72" s="411" t="s">
        <v>1524</v>
      </c>
      <c r="E72" s="411"/>
      <c r="F72" s="411" t="s">
        <v>1392</v>
      </c>
      <c r="G72" s="411" t="s">
        <v>365</v>
      </c>
      <c r="H72" s="412">
        <v>7459.61</v>
      </c>
      <c r="I72" s="413" t="s">
        <v>1455</v>
      </c>
      <c r="J72" s="414">
        <v>45073.315972222219</v>
      </c>
      <c r="K72" s="414"/>
      <c r="L72" s="414" t="s">
        <v>192</v>
      </c>
      <c r="M72" s="414" t="s">
        <v>192</v>
      </c>
      <c r="N72" s="413" t="str">
        <f t="shared" si="6"/>
        <v>On time</v>
      </c>
      <c r="O72" s="51"/>
      <c r="P72" s="415" t="s">
        <v>551</v>
      </c>
      <c r="Q72" s="415" t="s">
        <v>551</v>
      </c>
      <c r="R72" s="415" t="s">
        <v>551</v>
      </c>
      <c r="S72" s="32"/>
      <c r="T72" s="416"/>
      <c r="U72" s="416"/>
      <c r="V72" s="416"/>
      <c r="W72" s="416"/>
      <c r="X72" s="416"/>
      <c r="Y72" s="416"/>
      <c r="Z72" s="416"/>
      <c r="AA72" s="416"/>
      <c r="AB72" s="416">
        <f>H72*0.7</f>
        <v>5221.7269999999999</v>
      </c>
      <c r="AC72" s="416">
        <f>H72*0.3</f>
        <v>2237.8829999999998</v>
      </c>
      <c r="AD72" s="416"/>
      <c r="AE72" s="416"/>
      <c r="AF72" s="416"/>
      <c r="AG72" s="416"/>
      <c r="AH72" s="416"/>
      <c r="AI72" s="416"/>
      <c r="AJ72" s="416"/>
      <c r="AK72" s="416"/>
      <c r="AL72" s="416"/>
      <c r="AM72" s="416"/>
      <c r="AN72" s="416"/>
      <c r="AO72" s="416"/>
      <c r="AP72" s="416"/>
      <c r="AQ72" s="416"/>
      <c r="AR72" s="416"/>
      <c r="AS72" s="416"/>
      <c r="AT72" s="416"/>
      <c r="AU72" s="416"/>
      <c r="AV72" s="416"/>
      <c r="AW72" s="416"/>
      <c r="AX72" s="416"/>
      <c r="AY72" s="416"/>
      <c r="AZ72" s="416"/>
      <c r="BA72" s="416"/>
      <c r="BB72" s="416"/>
      <c r="BC72" s="416"/>
      <c r="BD72" s="32"/>
    </row>
    <row r="73" spans="2:56">
      <c r="B73" s="1256">
        <v>4</v>
      </c>
      <c r="C73" s="1257"/>
      <c r="D73" s="411" t="s">
        <v>1523</v>
      </c>
      <c r="E73" s="411"/>
      <c r="F73" s="411" t="s">
        <v>403</v>
      </c>
      <c r="G73" s="411" t="s">
        <v>404</v>
      </c>
      <c r="H73" s="412">
        <v>7555.6319999999996</v>
      </c>
      <c r="I73" s="413" t="s">
        <v>1455</v>
      </c>
      <c r="J73" s="414">
        <v>45072.763888888891</v>
      </c>
      <c r="K73" s="414"/>
      <c r="L73" s="414" t="s">
        <v>192</v>
      </c>
      <c r="M73" s="414" t="s">
        <v>192</v>
      </c>
      <c r="N73" s="413" t="str">
        <f t="shared" si="6"/>
        <v>On time</v>
      </c>
      <c r="O73" s="51"/>
      <c r="P73" s="415" t="s">
        <v>551</v>
      </c>
      <c r="Q73" s="415" t="s">
        <v>551</v>
      </c>
      <c r="R73" s="415" t="s">
        <v>551</v>
      </c>
      <c r="S73" s="32"/>
      <c r="T73" s="416"/>
      <c r="U73" s="416"/>
      <c r="V73" s="416"/>
      <c r="W73" s="416"/>
      <c r="X73" s="416"/>
      <c r="Y73" s="416"/>
      <c r="Z73" s="416"/>
      <c r="AA73" s="416"/>
      <c r="AB73" s="416">
        <f>H73*0.7</f>
        <v>5288.942399999999</v>
      </c>
      <c r="AC73" s="416">
        <f>H73*0.3</f>
        <v>2266.6895999999997</v>
      </c>
      <c r="AD73" s="416"/>
      <c r="AE73" s="416"/>
      <c r="AF73" s="416"/>
      <c r="AG73" s="416"/>
      <c r="AH73" s="416"/>
      <c r="AI73" s="416"/>
      <c r="AJ73" s="416"/>
      <c r="AK73" s="416"/>
      <c r="AL73" s="416"/>
      <c r="AM73" s="416"/>
      <c r="AN73" s="416"/>
      <c r="AO73" s="416"/>
      <c r="AP73" s="416"/>
      <c r="AQ73" s="416"/>
      <c r="AR73" s="32"/>
      <c r="AS73" s="416"/>
      <c r="AT73" s="416"/>
      <c r="AU73" s="416"/>
      <c r="AV73" s="416"/>
      <c r="AW73" s="416"/>
      <c r="AX73" s="416"/>
      <c r="AY73" s="416"/>
      <c r="AZ73" s="416"/>
      <c r="BA73" s="416"/>
      <c r="BB73" s="416"/>
      <c r="BC73" s="416"/>
      <c r="BD73" s="32"/>
    </row>
    <row r="74" spans="2:56">
      <c r="B74" s="1256" t="s">
        <v>610</v>
      </c>
      <c r="C74" s="1276"/>
      <c r="D74" s="1276"/>
      <c r="E74" s="1276"/>
      <c r="F74" s="1276"/>
      <c r="G74" s="1257"/>
      <c r="H74" s="412">
        <v>500</v>
      </c>
      <c r="I74" s="413" t="s">
        <v>665</v>
      </c>
      <c r="J74" s="414"/>
      <c r="K74" s="414"/>
      <c r="L74" s="414"/>
      <c r="M74" s="414"/>
      <c r="N74" s="413" t="str">
        <f t="shared" si="6"/>
        <v xml:space="preserve"> </v>
      </c>
      <c r="O74" s="51"/>
      <c r="P74" s="415" t="s">
        <v>551</v>
      </c>
      <c r="Q74" s="415"/>
      <c r="R74" s="415"/>
      <c r="S74" s="32"/>
      <c r="T74" s="416"/>
      <c r="U74" s="416">
        <f>H74</f>
        <v>500</v>
      </c>
      <c r="V74" s="416"/>
      <c r="W74" s="416"/>
      <c r="X74" s="32"/>
      <c r="Y74" s="416"/>
      <c r="Z74" s="416"/>
      <c r="AA74" s="416"/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  <c r="AL74" s="416"/>
      <c r="AM74" s="416"/>
      <c r="AN74" s="416"/>
      <c r="AO74" s="416"/>
      <c r="AP74" s="416"/>
      <c r="AQ74" s="416"/>
      <c r="AR74" s="416"/>
      <c r="AS74" s="416"/>
      <c r="AT74" s="416"/>
      <c r="AU74" s="416"/>
      <c r="AV74" s="416"/>
      <c r="AW74" s="416"/>
      <c r="AX74" s="416"/>
      <c r="AY74" s="416"/>
      <c r="AZ74" s="416"/>
      <c r="BA74" s="416"/>
      <c r="BB74" s="416"/>
      <c r="BC74" s="416"/>
      <c r="BD74" s="32"/>
    </row>
    <row r="75" spans="2:56">
      <c r="B75" s="1256" t="s">
        <v>610</v>
      </c>
      <c r="C75" s="1276"/>
      <c r="D75" s="1276"/>
      <c r="E75" s="1276"/>
      <c r="F75" s="1276"/>
      <c r="G75" s="1257"/>
      <c r="H75" s="412">
        <f>H77-SUM(H70:H74)</f>
        <v>1376.4409999999989</v>
      </c>
      <c r="I75" s="413" t="s">
        <v>611</v>
      </c>
      <c r="J75" s="414"/>
      <c r="K75" s="414"/>
      <c r="L75" s="414"/>
      <c r="M75" s="414"/>
      <c r="N75" s="413" t="str">
        <f t="shared" si="6"/>
        <v xml:space="preserve"> </v>
      </c>
      <c r="O75" s="51"/>
      <c r="P75" s="415" t="s">
        <v>551</v>
      </c>
      <c r="Q75" s="415"/>
      <c r="R75" s="415"/>
      <c r="S75" s="32"/>
      <c r="T75" s="416">
        <f>H75</f>
        <v>1376.4409999999989</v>
      </c>
      <c r="U75" s="416"/>
      <c r="V75" s="416"/>
      <c r="W75" s="416"/>
      <c r="X75" s="416"/>
      <c r="Y75" s="416"/>
      <c r="Z75" s="416"/>
      <c r="AA75" s="416"/>
      <c r="AB75" s="416"/>
      <c r="AC75" s="416"/>
      <c r="AD75" s="416"/>
      <c r="AE75" s="416"/>
      <c r="AF75" s="416"/>
      <c r="AG75" s="416"/>
      <c r="AH75" s="416"/>
      <c r="AI75" s="416"/>
      <c r="AJ75" s="416"/>
      <c r="AK75" s="416"/>
      <c r="AL75" s="416"/>
      <c r="AM75" s="416"/>
      <c r="AN75" s="416"/>
      <c r="AO75" s="416"/>
      <c r="AP75" s="416"/>
      <c r="AQ75" s="416"/>
      <c r="AR75" s="416"/>
      <c r="AS75" s="416"/>
      <c r="AT75" s="416"/>
      <c r="AU75" s="416"/>
      <c r="AV75" s="416"/>
      <c r="AW75" s="416"/>
      <c r="AX75" s="416"/>
      <c r="AY75" s="416"/>
      <c r="AZ75" s="416"/>
      <c r="BA75" s="416"/>
      <c r="BB75" s="416"/>
      <c r="BC75" s="416"/>
      <c r="BD75" s="32"/>
    </row>
    <row r="76" spans="2:56">
      <c r="B76" s="1258" t="s">
        <v>556</v>
      </c>
      <c r="C76" s="1259"/>
      <c r="D76" s="1259"/>
      <c r="E76" s="1259"/>
      <c r="F76" s="1259"/>
      <c r="G76" s="1260"/>
      <c r="H76" s="417">
        <f>SUM(H70:H75)</f>
        <v>29700</v>
      </c>
      <c r="I76" s="388"/>
      <c r="J76" s="293"/>
      <c r="K76" s="293"/>
      <c r="L76" s="293"/>
      <c r="M76" s="389"/>
      <c r="N76" s="413" t="str">
        <f t="shared" si="6"/>
        <v xml:space="preserve"> </v>
      </c>
      <c r="O76" s="212"/>
      <c r="P76" s="418"/>
      <c r="Q76" s="418"/>
      <c r="R76" s="418"/>
      <c r="S76" s="207"/>
      <c r="T76" s="1262"/>
      <c r="U76" s="1263"/>
      <c r="V76" s="1263"/>
      <c r="W76" s="1263"/>
      <c r="X76" s="1263"/>
      <c r="Y76" s="1263"/>
      <c r="Z76" s="1263"/>
      <c r="AA76" s="1263"/>
      <c r="AB76" s="1263"/>
      <c r="AC76" s="1263"/>
      <c r="AD76" s="1263"/>
      <c r="AE76" s="1263"/>
      <c r="AF76" s="1263"/>
      <c r="AG76" s="1263"/>
      <c r="AH76" s="1263"/>
      <c r="AI76" s="1263"/>
      <c r="AJ76" s="1263"/>
      <c r="AK76" s="1263"/>
      <c r="AL76" s="1263"/>
      <c r="AM76" s="1263"/>
      <c r="AN76" s="1263"/>
      <c r="AO76" s="1263"/>
      <c r="AP76" s="1263"/>
      <c r="AQ76" s="1263"/>
      <c r="AR76" s="1263"/>
      <c r="AS76" s="1263"/>
      <c r="AT76" s="1263"/>
      <c r="AU76" s="1263"/>
      <c r="AV76" s="1263"/>
      <c r="AW76" s="1263"/>
      <c r="AX76" s="1263"/>
      <c r="AY76" s="1263"/>
      <c r="AZ76" s="1263"/>
      <c r="BA76" s="1263"/>
      <c r="BB76" s="1263"/>
      <c r="BC76" s="1264"/>
    </row>
    <row r="77" spans="2:56">
      <c r="B77" s="1243" t="s">
        <v>557</v>
      </c>
      <c r="C77" s="1244"/>
      <c r="D77" s="1244"/>
      <c r="E77" s="1244"/>
      <c r="F77" s="1244"/>
      <c r="G77" s="1245"/>
      <c r="H77" s="419">
        <v>29700</v>
      </c>
      <c r="I77" s="1246"/>
      <c r="J77" s="1247"/>
      <c r="K77" s="1247"/>
      <c r="L77" s="1247"/>
      <c r="M77" s="1248"/>
      <c r="N77" s="413" t="str">
        <f t="shared" si="6"/>
        <v xml:space="preserve"> </v>
      </c>
      <c r="O77" s="32"/>
      <c r="P77" s="415"/>
      <c r="Q77" s="415"/>
      <c r="R77" s="415"/>
      <c r="S77" s="63"/>
      <c r="T77" s="416">
        <f t="shared" ref="T77:BC77" si="9">SUM(T70:T75)</f>
        <v>1376.4409999999989</v>
      </c>
      <c r="U77" s="416">
        <f t="shared" si="9"/>
        <v>500</v>
      </c>
      <c r="V77" s="416">
        <f t="shared" si="9"/>
        <v>0</v>
      </c>
      <c r="W77" s="416">
        <f t="shared" si="9"/>
        <v>0</v>
      </c>
      <c r="X77" s="416">
        <f t="shared" si="9"/>
        <v>0</v>
      </c>
      <c r="Y77" s="416">
        <f t="shared" si="9"/>
        <v>0</v>
      </c>
      <c r="Z77" s="416">
        <f t="shared" si="9"/>
        <v>0</v>
      </c>
      <c r="AA77" s="416">
        <f t="shared" si="9"/>
        <v>0</v>
      </c>
      <c r="AB77" s="416">
        <f t="shared" si="9"/>
        <v>15765.0913</v>
      </c>
      <c r="AC77" s="416">
        <f t="shared" si="9"/>
        <v>6756.4676999999992</v>
      </c>
      <c r="AD77" s="416">
        <f t="shared" si="9"/>
        <v>0</v>
      </c>
      <c r="AE77" s="416">
        <f t="shared" si="9"/>
        <v>0</v>
      </c>
      <c r="AF77" s="416">
        <f t="shared" si="9"/>
        <v>0</v>
      </c>
      <c r="AG77" s="416">
        <f t="shared" si="9"/>
        <v>0</v>
      </c>
      <c r="AH77" s="416">
        <f t="shared" si="9"/>
        <v>0</v>
      </c>
      <c r="AI77" s="416">
        <f t="shared" si="9"/>
        <v>0</v>
      </c>
      <c r="AJ77" s="416">
        <f t="shared" si="9"/>
        <v>0</v>
      </c>
      <c r="AK77" s="416">
        <f t="shared" si="9"/>
        <v>0</v>
      </c>
      <c r="AL77" s="416">
        <f t="shared" si="9"/>
        <v>0</v>
      </c>
      <c r="AM77" s="416">
        <f t="shared" si="9"/>
        <v>0</v>
      </c>
      <c r="AN77" s="416">
        <f t="shared" si="9"/>
        <v>0</v>
      </c>
      <c r="AO77" s="416">
        <f t="shared" si="9"/>
        <v>0</v>
      </c>
      <c r="AP77" s="416">
        <f t="shared" si="9"/>
        <v>0</v>
      </c>
      <c r="AQ77" s="416">
        <f t="shared" si="9"/>
        <v>0</v>
      </c>
      <c r="AR77" s="416">
        <f t="shared" si="9"/>
        <v>5302</v>
      </c>
      <c r="AS77" s="416">
        <f t="shared" si="9"/>
        <v>0</v>
      </c>
      <c r="AT77" s="416">
        <f t="shared" si="9"/>
        <v>0</v>
      </c>
      <c r="AU77" s="416">
        <f t="shared" si="9"/>
        <v>0</v>
      </c>
      <c r="AV77" s="416">
        <f t="shared" si="9"/>
        <v>0</v>
      </c>
      <c r="AW77" s="416">
        <f t="shared" si="9"/>
        <v>0</v>
      </c>
      <c r="AX77" s="416">
        <f t="shared" si="9"/>
        <v>0</v>
      </c>
      <c r="AY77" s="416">
        <f t="shared" si="9"/>
        <v>0</v>
      </c>
      <c r="AZ77" s="416">
        <f t="shared" si="9"/>
        <v>0</v>
      </c>
      <c r="BA77" s="416">
        <f t="shared" si="9"/>
        <v>0</v>
      </c>
      <c r="BB77" s="416">
        <f t="shared" si="9"/>
        <v>0</v>
      </c>
      <c r="BC77" s="416">
        <f t="shared" si="9"/>
        <v>0</v>
      </c>
      <c r="BD77" s="416">
        <f>SUM(T77:BC77)</f>
        <v>29700</v>
      </c>
    </row>
    <row r="78" spans="2:56">
      <c r="B78" s="1243" t="s">
        <v>558</v>
      </c>
      <c r="C78" s="1244"/>
      <c r="D78" s="1244"/>
      <c r="E78" s="1244"/>
      <c r="F78" s="1244"/>
      <c r="G78" s="1245"/>
      <c r="H78" s="420">
        <f>H77-L64</f>
        <v>0</v>
      </c>
      <c r="I78" s="294"/>
      <c r="J78" s="295"/>
      <c r="K78" s="295"/>
      <c r="L78" s="296"/>
      <c r="M78" s="32"/>
      <c r="N78" s="32"/>
      <c r="O78" s="32"/>
      <c r="P78" s="32"/>
      <c r="Q78" s="297"/>
      <c r="R78" s="297"/>
      <c r="S78" s="32"/>
      <c r="T78" s="48"/>
      <c r="U78" s="48"/>
      <c r="V78" s="48"/>
      <c r="W78" s="48"/>
      <c r="X78" s="48"/>
      <c r="Y78" s="48"/>
      <c r="Z78" s="48"/>
      <c r="AA78" s="48"/>
      <c r="AB78" s="48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</row>
    <row r="79" spans="2:56">
      <c r="B79" s="1243" t="s">
        <v>559</v>
      </c>
      <c r="C79" s="1244"/>
      <c r="D79" s="1244"/>
      <c r="E79" s="1244"/>
      <c r="F79" s="1244"/>
      <c r="G79" s="1245"/>
      <c r="H79" s="420">
        <f>H76-H77</f>
        <v>0</v>
      </c>
      <c r="I79" s="52"/>
      <c r="J79" s="53"/>
      <c r="K79" s="53"/>
      <c r="L79" s="54"/>
      <c r="M79" s="32"/>
      <c r="N79" s="32"/>
      <c r="O79" s="32"/>
      <c r="P79" s="32"/>
      <c r="Q79" s="32"/>
      <c r="R79" s="32"/>
      <c r="S79" s="32"/>
      <c r="T79" s="48"/>
      <c r="U79" s="48"/>
      <c r="V79" s="48"/>
      <c r="W79" s="48"/>
      <c r="X79" s="48"/>
      <c r="Y79" s="48"/>
      <c r="Z79" s="48"/>
      <c r="AA79" s="48"/>
      <c r="AB79" s="48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</row>
    <row r="80" spans="2:56">
      <c r="B80" s="201"/>
      <c r="C80" s="201"/>
      <c r="D80" s="201"/>
      <c r="E80" s="201"/>
      <c r="F80" s="201"/>
      <c r="G80" s="201"/>
      <c r="H80" s="201"/>
      <c r="I80" s="213"/>
      <c r="J80" s="209"/>
      <c r="K80" s="209"/>
      <c r="L80" s="203"/>
      <c r="M80" s="201"/>
      <c r="N80" s="201"/>
      <c r="O80" s="209"/>
      <c r="P80" s="32"/>
      <c r="Q80" s="32"/>
      <c r="R80" s="32"/>
      <c r="S80" s="32"/>
      <c r="T80" s="48"/>
      <c r="U80" s="48"/>
      <c r="V80" s="48"/>
      <c r="W80" s="48"/>
      <c r="X80" s="48"/>
      <c r="Y80" s="48"/>
      <c r="Z80" s="48"/>
      <c r="AA80" s="48"/>
      <c r="AB80" s="48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</row>
    <row r="81" spans="2:56">
      <c r="B81" s="40" t="s">
        <v>561</v>
      </c>
      <c r="C81" s="40"/>
      <c r="D81" s="32"/>
      <c r="E81" s="32"/>
      <c r="F81" s="32"/>
      <c r="G81" s="32"/>
      <c r="H81" s="32"/>
      <c r="I81" s="32"/>
      <c r="J81" s="52"/>
      <c r="K81" s="52"/>
      <c r="L81" s="55"/>
      <c r="M81" s="32"/>
      <c r="N81" s="201"/>
      <c r="O81" s="5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1"/>
      <c r="AC81" s="201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  <c r="AR81" s="201"/>
      <c r="AS81" s="201"/>
      <c r="AT81" s="201"/>
      <c r="AU81" s="201"/>
      <c r="BD81" s="201"/>
    </row>
    <row r="82" spans="2:56">
      <c r="B82" s="422"/>
      <c r="C82" s="1249"/>
      <c r="D82" s="1249"/>
      <c r="E82" s="1249"/>
      <c r="F82" s="1249"/>
      <c r="G82" s="1249"/>
      <c r="H82" s="1249"/>
      <c r="I82" s="1249"/>
      <c r="J82" s="1249"/>
      <c r="K82" s="1249"/>
      <c r="L82" s="203"/>
      <c r="M82" s="203"/>
      <c r="N82" s="201"/>
      <c r="O82" s="209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1"/>
      <c r="AC82" s="201"/>
      <c r="AD82" s="201"/>
      <c r="AE82" s="201"/>
      <c r="AF82" s="201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  <c r="AT82" s="201"/>
      <c r="AU82" s="201"/>
      <c r="AV82" s="201"/>
      <c r="AW82" s="201"/>
      <c r="AX82" s="201"/>
      <c r="AY82" s="201"/>
      <c r="AZ82" s="201"/>
      <c r="BA82" s="201"/>
      <c r="BB82" s="201"/>
      <c r="BC82" s="201"/>
      <c r="BD82" s="201"/>
    </row>
    <row r="84" spans="2:56">
      <c r="B84" s="28" t="s">
        <v>126</v>
      </c>
      <c r="C84" s="28"/>
      <c r="D84" s="29"/>
      <c r="E84" s="30" t="s">
        <v>511</v>
      </c>
      <c r="F84" s="31" t="s">
        <v>1445</v>
      </c>
      <c r="G84" s="32"/>
      <c r="H84" s="33"/>
      <c r="I84" s="34"/>
      <c r="J84" s="35" t="s">
        <v>513</v>
      </c>
      <c r="K84" s="36" t="s">
        <v>511</v>
      </c>
      <c r="L84" s="37">
        <v>45083.822916666664</v>
      </c>
      <c r="M84" s="32"/>
      <c r="N84" s="32"/>
      <c r="O84" s="206"/>
      <c r="P84" s="205"/>
      <c r="Q84" s="202"/>
      <c r="R84" s="204"/>
      <c r="S84" s="38"/>
      <c r="T84" s="201"/>
      <c r="U84" s="201"/>
      <c r="V84" s="201"/>
      <c r="W84" s="201"/>
      <c r="X84" s="201"/>
      <c r="Y84" s="201"/>
      <c r="Z84" s="201"/>
      <c r="AA84" s="201"/>
      <c r="AB84" s="202"/>
      <c r="AC84" s="202"/>
      <c r="AD84" s="202"/>
      <c r="AE84" s="202"/>
      <c r="AF84" s="202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  <c r="AQ84" s="201"/>
      <c r="AR84" s="201"/>
      <c r="AS84" s="201"/>
      <c r="AT84" s="201"/>
      <c r="AU84" s="201"/>
      <c r="AV84" s="201"/>
      <c r="AW84" s="201"/>
      <c r="AX84" s="201"/>
      <c r="AY84" s="201"/>
      <c r="AZ84" s="201"/>
      <c r="BA84" s="201"/>
      <c r="BB84" s="201"/>
      <c r="BC84" s="201"/>
      <c r="BD84" s="201"/>
    </row>
    <row r="85" spans="2:56">
      <c r="B85" s="35" t="s">
        <v>514</v>
      </c>
      <c r="C85" s="35"/>
      <c r="D85" s="32"/>
      <c r="E85" s="36" t="s">
        <v>511</v>
      </c>
      <c r="F85" s="37" t="s">
        <v>2002</v>
      </c>
      <c r="G85" s="59" t="s">
        <v>647</v>
      </c>
      <c r="H85" s="33"/>
      <c r="I85" s="34"/>
      <c r="J85" s="35" t="s">
        <v>516</v>
      </c>
      <c r="K85" s="36" t="s">
        <v>511</v>
      </c>
      <c r="L85" s="37">
        <v>45085.166666666664</v>
      </c>
      <c r="M85" s="32"/>
      <c r="N85" s="32"/>
      <c r="O85" s="206"/>
      <c r="P85" s="205"/>
      <c r="Q85" s="202"/>
      <c r="R85" s="204"/>
      <c r="S85" s="38"/>
      <c r="T85" s="201"/>
      <c r="U85" s="201"/>
      <c r="V85" s="201"/>
      <c r="W85" s="201"/>
      <c r="X85" s="201"/>
      <c r="Y85" s="201"/>
      <c r="Z85" s="201"/>
      <c r="AA85" s="201"/>
      <c r="AB85" s="202"/>
      <c r="AC85" s="202"/>
      <c r="AD85" s="202"/>
      <c r="AE85" s="202"/>
      <c r="AF85" s="202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  <c r="AU85" s="201"/>
      <c r="AV85" s="201"/>
      <c r="AW85" s="201"/>
      <c r="AX85" s="201"/>
      <c r="AY85" s="201"/>
      <c r="AZ85" s="201"/>
      <c r="BA85" s="201"/>
      <c r="BB85" s="201"/>
      <c r="BC85" s="201"/>
      <c r="BD85" s="201"/>
    </row>
    <row r="86" spans="2:56">
      <c r="B86" s="35" t="s">
        <v>517</v>
      </c>
      <c r="C86" s="35"/>
      <c r="D86" s="32"/>
      <c r="E86" s="36" t="s">
        <v>511</v>
      </c>
      <c r="F86" s="37">
        <v>45077.804166666669</v>
      </c>
      <c r="G86" s="60">
        <v>45078</v>
      </c>
      <c r="H86" s="33"/>
      <c r="I86" s="34"/>
      <c r="J86" s="35" t="s">
        <v>518</v>
      </c>
      <c r="K86" s="36" t="s">
        <v>511</v>
      </c>
      <c r="L86" s="50">
        <v>67005</v>
      </c>
      <c r="M86" s="40" t="s">
        <v>519</v>
      </c>
      <c r="N86" s="40"/>
      <c r="O86" s="206"/>
      <c r="P86" s="205"/>
      <c r="Q86" s="202"/>
      <c r="R86" s="204"/>
      <c r="S86" s="38"/>
      <c r="T86" s="201"/>
      <c r="U86" s="201"/>
      <c r="V86" s="201"/>
      <c r="W86" s="201"/>
      <c r="X86" s="201"/>
      <c r="Y86" s="201"/>
      <c r="Z86" s="201"/>
      <c r="AA86" s="201"/>
      <c r="AB86" s="202"/>
      <c r="AC86" s="202"/>
      <c r="AD86" s="202"/>
      <c r="AE86" s="202"/>
      <c r="AF86" s="202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  <c r="AR86" s="201"/>
      <c r="AS86" s="201"/>
      <c r="AT86" s="201"/>
      <c r="AU86" s="201"/>
      <c r="AV86" s="201"/>
      <c r="AW86" s="201"/>
      <c r="AX86" s="201"/>
      <c r="AY86" s="201"/>
      <c r="AZ86" s="201"/>
      <c r="BA86" s="201"/>
      <c r="BB86" s="201"/>
      <c r="BC86" s="201"/>
      <c r="BD86" s="201"/>
    </row>
    <row r="87" spans="2:56">
      <c r="B87" s="35" t="s">
        <v>520</v>
      </c>
      <c r="C87" s="35"/>
      <c r="D87" s="32"/>
      <c r="E87" s="36" t="s">
        <v>511</v>
      </c>
      <c r="F87" s="37" t="s">
        <v>20</v>
      </c>
      <c r="G87" s="32"/>
      <c r="H87" s="33"/>
      <c r="I87" s="34"/>
      <c r="J87" s="35" t="s">
        <v>521</v>
      </c>
      <c r="K87" s="36" t="s">
        <v>511</v>
      </c>
      <c r="L87" s="41" t="s">
        <v>2003</v>
      </c>
      <c r="M87" s="32"/>
      <c r="N87" s="32"/>
      <c r="O87" s="206"/>
      <c r="P87" s="202"/>
      <c r="Q87" s="202"/>
      <c r="R87" s="204"/>
      <c r="S87" s="38"/>
      <c r="T87" s="201"/>
      <c r="U87" s="201"/>
      <c r="V87" s="201"/>
      <c r="W87" s="201"/>
      <c r="X87" s="201"/>
      <c r="Y87" s="201"/>
      <c r="Z87" s="201"/>
      <c r="AA87" s="201"/>
      <c r="AB87" s="202"/>
      <c r="AC87" s="202"/>
      <c r="AD87" s="202"/>
      <c r="AE87" s="202"/>
      <c r="AF87" s="202"/>
      <c r="AG87" s="201"/>
      <c r="AH87" s="201"/>
      <c r="AI87" s="201"/>
      <c r="AJ87" s="201"/>
      <c r="AK87" s="201"/>
      <c r="AL87" s="201"/>
      <c r="AM87" s="201"/>
      <c r="AN87" s="201"/>
      <c r="AO87" s="201"/>
      <c r="AP87" s="201"/>
      <c r="AQ87" s="201"/>
      <c r="AR87" s="201"/>
      <c r="AS87" s="201"/>
      <c r="AT87" s="201"/>
      <c r="AU87" s="201"/>
      <c r="AV87" s="201"/>
      <c r="AW87" s="201"/>
      <c r="AX87" s="201"/>
      <c r="AY87" s="201"/>
      <c r="AZ87" s="201"/>
      <c r="BA87" s="201"/>
      <c r="BB87" s="201"/>
      <c r="BC87" s="201"/>
      <c r="BD87" s="201"/>
    </row>
    <row r="88" spans="2:56">
      <c r="B88" s="35" t="s">
        <v>523</v>
      </c>
      <c r="C88" s="35"/>
      <c r="D88" s="32"/>
      <c r="E88" s="36" t="s">
        <v>511</v>
      </c>
      <c r="F88" s="37" t="s">
        <v>47</v>
      </c>
      <c r="G88" s="32"/>
      <c r="H88" s="33"/>
      <c r="I88" s="34"/>
      <c r="J88" s="42" t="s">
        <v>524</v>
      </c>
      <c r="K88" s="36" t="s">
        <v>511</v>
      </c>
      <c r="L88" s="43" t="s">
        <v>15</v>
      </c>
      <c r="M88" s="44"/>
      <c r="N88" s="44"/>
      <c r="O88" s="206"/>
      <c r="P88" s="205"/>
      <c r="Q88" s="202"/>
      <c r="R88" s="204"/>
      <c r="S88" s="38"/>
      <c r="T88" s="201"/>
      <c r="U88" s="201"/>
      <c r="V88" s="201"/>
      <c r="W88" s="201"/>
      <c r="X88" s="201"/>
      <c r="Y88" s="201"/>
      <c r="Z88" s="201"/>
      <c r="AA88" s="201"/>
      <c r="AB88" s="202"/>
      <c r="AC88" s="202"/>
      <c r="AD88" s="202"/>
      <c r="AE88" s="202"/>
      <c r="AF88" s="202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1"/>
      <c r="AR88" s="201"/>
      <c r="AS88" s="201"/>
      <c r="AT88" s="201"/>
      <c r="AU88" s="201"/>
      <c r="AV88" s="201"/>
      <c r="AW88" s="201"/>
      <c r="AX88" s="201"/>
      <c r="AY88" s="201"/>
      <c r="AZ88" s="201"/>
      <c r="BA88" s="201"/>
      <c r="BB88" s="201"/>
      <c r="BC88" s="201"/>
      <c r="BD88" s="201"/>
    </row>
    <row r="89" spans="2:56">
      <c r="B89" s="35" t="s">
        <v>2</v>
      </c>
      <c r="C89" s="35"/>
      <c r="D89" s="32"/>
      <c r="E89" s="36" t="s">
        <v>511</v>
      </c>
      <c r="F89" s="37" t="s">
        <v>14</v>
      </c>
      <c r="G89" s="32"/>
      <c r="H89" s="33"/>
      <c r="I89" s="45"/>
      <c r="J89" s="42"/>
      <c r="K89" s="36"/>
      <c r="L89" s="211"/>
      <c r="M89" s="201"/>
      <c r="N89" s="201"/>
      <c r="O89" s="42"/>
      <c r="P89" s="44"/>
      <c r="Q89" s="44"/>
      <c r="R89" s="44"/>
      <c r="S89" s="34"/>
      <c r="T89" s="201"/>
      <c r="U89" s="201"/>
      <c r="V89" s="201"/>
      <c r="W89" s="201"/>
      <c r="X89" s="201"/>
      <c r="Y89" s="201"/>
      <c r="Z89" s="201"/>
      <c r="AA89" s="201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201"/>
      <c r="AP89" s="201"/>
      <c r="AQ89" s="201"/>
      <c r="AR89" s="201"/>
      <c r="AS89" s="201"/>
      <c r="AT89" s="201"/>
      <c r="AU89" s="201"/>
      <c r="AV89" s="201"/>
      <c r="AW89" s="201"/>
      <c r="AX89" s="201"/>
      <c r="AY89" s="201"/>
      <c r="AZ89" s="201"/>
      <c r="BA89" s="201"/>
      <c r="BB89" s="201"/>
      <c r="BC89" s="201"/>
      <c r="BD89" s="201"/>
    </row>
    <row r="90" spans="2:56">
      <c r="B90" s="201"/>
      <c r="C90" s="201"/>
      <c r="D90" s="201"/>
      <c r="E90" s="201"/>
      <c r="F90" s="201"/>
      <c r="G90" s="201"/>
      <c r="H90" s="201"/>
      <c r="I90" s="45"/>
      <c r="J90" s="42"/>
      <c r="K90" s="42"/>
      <c r="L90" s="43"/>
      <c r="M90" s="44"/>
      <c r="N90" s="44"/>
      <c r="O90" s="42"/>
      <c r="P90" s="44"/>
      <c r="Q90" s="44"/>
      <c r="R90" s="44"/>
      <c r="S90" s="34"/>
      <c r="T90" s="1265" t="s">
        <v>87</v>
      </c>
      <c r="U90" s="1265"/>
      <c r="V90" s="1265"/>
      <c r="W90" s="1265"/>
      <c r="X90" s="1265"/>
      <c r="Y90" s="1265" t="s">
        <v>73</v>
      </c>
      <c r="Z90" s="1265"/>
      <c r="AA90" s="1265"/>
      <c r="AB90" s="1265" t="s">
        <v>74</v>
      </c>
      <c r="AC90" s="1265"/>
      <c r="AD90" s="423" t="s">
        <v>85</v>
      </c>
      <c r="AE90" s="423" t="s">
        <v>77</v>
      </c>
      <c r="AF90" s="1265" t="s">
        <v>525</v>
      </c>
      <c r="AG90" s="1265"/>
      <c r="AH90" s="1265"/>
      <c r="AI90" s="1265"/>
      <c r="AJ90" s="1265"/>
      <c r="AK90" s="1265"/>
      <c r="AL90" s="1265"/>
      <c r="AM90" s="1265"/>
      <c r="AN90" s="1265"/>
      <c r="AO90" s="1265"/>
      <c r="AP90" s="1265"/>
      <c r="AQ90" s="1265"/>
      <c r="AR90" s="1265"/>
      <c r="AS90" s="1265"/>
      <c r="AT90" s="1265"/>
      <c r="AU90" s="1265"/>
      <c r="AV90" s="1265"/>
      <c r="AW90" s="1265"/>
      <c r="AX90" s="1265"/>
      <c r="AY90" s="1265"/>
      <c r="AZ90" s="1265"/>
      <c r="BA90" s="1265"/>
      <c r="BB90" s="1265"/>
      <c r="BC90" s="1265"/>
      <c r="BD90" s="201"/>
    </row>
    <row r="91" spans="2:56">
      <c r="B91" s="1266" t="s">
        <v>526</v>
      </c>
      <c r="C91" s="1267"/>
      <c r="D91" s="570" t="s">
        <v>527</v>
      </c>
      <c r="E91" s="570"/>
      <c r="F91" s="570" t="s">
        <v>528</v>
      </c>
      <c r="G91" s="570" t="s">
        <v>529</v>
      </c>
      <c r="H91" s="570" t="s">
        <v>530</v>
      </c>
      <c r="I91" s="570" t="s">
        <v>531</v>
      </c>
      <c r="J91" s="570" t="s">
        <v>532</v>
      </c>
      <c r="K91" s="570"/>
      <c r="L91" s="570" t="s">
        <v>130</v>
      </c>
      <c r="M91" s="570" t="s">
        <v>533</v>
      </c>
      <c r="N91" s="408" t="str">
        <f>"On time - "&amp;COUNTIF(N92:N100,"On time")&amp;" from "&amp;ROWS(N92:N100)-COUNTIF(N92:N100," ")</f>
        <v>On time - 5 from 8</v>
      </c>
      <c r="O91" s="46"/>
      <c r="P91" s="409" t="s">
        <v>534</v>
      </c>
      <c r="Q91" s="409" t="s">
        <v>535</v>
      </c>
      <c r="R91" s="409" t="s">
        <v>536</v>
      </c>
      <c r="S91" s="32"/>
      <c r="T91" s="424" t="s">
        <v>537</v>
      </c>
      <c r="U91" s="424" t="s">
        <v>538</v>
      </c>
      <c r="V91" s="424" t="s">
        <v>539</v>
      </c>
      <c r="W91" s="424" t="s">
        <v>540</v>
      </c>
      <c r="X91" s="424" t="s">
        <v>541</v>
      </c>
      <c r="Y91" s="424" t="s">
        <v>167</v>
      </c>
      <c r="Z91" s="424" t="s">
        <v>168</v>
      </c>
      <c r="AA91" s="424" t="s">
        <v>169</v>
      </c>
      <c r="AB91" s="424" t="s">
        <v>235</v>
      </c>
      <c r="AC91" s="424" t="s">
        <v>240</v>
      </c>
      <c r="AD91" s="423" t="s">
        <v>85</v>
      </c>
      <c r="AE91" s="424" t="s">
        <v>139</v>
      </c>
      <c r="AF91" s="424" t="s">
        <v>72</v>
      </c>
      <c r="AG91" s="424" t="s">
        <v>88</v>
      </c>
      <c r="AH91" s="424" t="s">
        <v>75</v>
      </c>
      <c r="AI91" s="424" t="s">
        <v>543</v>
      </c>
      <c r="AJ91" s="424" t="s">
        <v>78</v>
      </c>
      <c r="AK91" s="424" t="s">
        <v>76</v>
      </c>
      <c r="AL91" s="424" t="s">
        <v>544</v>
      </c>
      <c r="AM91" s="424" t="s">
        <v>545</v>
      </c>
      <c r="AN91" s="424" t="s">
        <v>86</v>
      </c>
      <c r="AO91" s="424" t="s">
        <v>83</v>
      </c>
      <c r="AP91" s="424" t="s">
        <v>84</v>
      </c>
      <c r="AQ91" s="424" t="s">
        <v>546</v>
      </c>
      <c r="AR91" s="424" t="s">
        <v>81</v>
      </c>
      <c r="AS91" s="424" t="s">
        <v>80</v>
      </c>
      <c r="AT91" s="424" t="s">
        <v>82</v>
      </c>
      <c r="AU91" s="424" t="s">
        <v>181</v>
      </c>
      <c r="AV91" s="424" t="s">
        <v>183</v>
      </c>
      <c r="AW91" s="424" t="s">
        <v>547</v>
      </c>
      <c r="AX91" s="424" t="s">
        <v>182</v>
      </c>
      <c r="AY91" s="424" t="s">
        <v>172</v>
      </c>
      <c r="AZ91" s="424" t="s">
        <v>173</v>
      </c>
      <c r="BA91" s="424" t="s">
        <v>184</v>
      </c>
      <c r="BB91" s="424" t="s">
        <v>100</v>
      </c>
      <c r="BC91" s="424" t="s">
        <v>913</v>
      </c>
      <c r="BD91" s="201"/>
    </row>
    <row r="92" spans="2:56">
      <c r="B92" s="1256">
        <v>1</v>
      </c>
      <c r="C92" s="1257"/>
      <c r="D92" s="411" t="s">
        <v>1565</v>
      </c>
      <c r="E92" s="411"/>
      <c r="F92" s="411" t="s">
        <v>383</v>
      </c>
      <c r="G92" s="411" t="s">
        <v>384</v>
      </c>
      <c r="H92" s="412">
        <v>5144</v>
      </c>
      <c r="I92" s="413" t="s">
        <v>81</v>
      </c>
      <c r="J92" s="414">
        <v>45077.270833333336</v>
      </c>
      <c r="K92" s="414"/>
      <c r="L92" s="414" t="s">
        <v>192</v>
      </c>
      <c r="M92" s="414" t="s">
        <v>192</v>
      </c>
      <c r="N92" s="413" t="str">
        <f t="shared" ref="N92:N102" si="10">IF(ISBLANK(J92)," ",IF(J92&lt;$G$86,"On time",(IF(DAY(J92-$G$86)&lt;1,"On time",(IF(J92&gt;$G$86,"DELAY ( "&amp;DAY(J92-$G$86)&amp;" day "&amp;HOUR(J92-$G$86)&amp;" hour "&amp;MINUTE(J92-$G$86)&amp;" minute )","xxx"))))))</f>
        <v>On time</v>
      </c>
      <c r="O92" s="51"/>
      <c r="P92" s="415" t="s">
        <v>551</v>
      </c>
      <c r="Q92" s="415" t="s">
        <v>551</v>
      </c>
      <c r="R92" s="415" t="s">
        <v>551</v>
      </c>
      <c r="S92" s="32"/>
      <c r="T92" s="416"/>
      <c r="U92" s="416"/>
      <c r="V92" s="416"/>
      <c r="W92" s="416"/>
      <c r="X92" s="416"/>
      <c r="Y92" s="416"/>
      <c r="Z92" s="416"/>
      <c r="AA92" s="416"/>
      <c r="AB92" s="416"/>
      <c r="AC92" s="416"/>
      <c r="AD92" s="416"/>
      <c r="AE92" s="416"/>
      <c r="AF92" s="416"/>
      <c r="AG92" s="416"/>
      <c r="AH92" s="416"/>
      <c r="AI92" s="416"/>
      <c r="AJ92" s="416"/>
      <c r="AK92" s="416"/>
      <c r="AL92" s="416"/>
      <c r="AM92" s="416"/>
      <c r="AN92" s="416"/>
      <c r="AO92" s="416"/>
      <c r="AP92" s="416"/>
      <c r="AQ92" s="416"/>
      <c r="AR92" s="416">
        <f>H92</f>
        <v>5144</v>
      </c>
      <c r="AS92" s="416"/>
      <c r="AT92" s="416"/>
      <c r="AU92" s="416"/>
      <c r="AV92" s="416"/>
      <c r="AW92" s="416"/>
      <c r="AX92" s="416"/>
      <c r="AY92" s="286"/>
      <c r="AZ92" s="416"/>
      <c r="BA92" s="416"/>
      <c r="BB92" s="416"/>
      <c r="BC92" s="416"/>
      <c r="BD92" s="32"/>
    </row>
    <row r="93" spans="2:56">
      <c r="B93" s="1256">
        <v>2</v>
      </c>
      <c r="C93" s="1257"/>
      <c r="D93" s="411" t="s">
        <v>1545</v>
      </c>
      <c r="E93" s="411"/>
      <c r="F93" s="411" t="s">
        <v>226</v>
      </c>
      <c r="G93" s="411" t="s">
        <v>227</v>
      </c>
      <c r="H93" s="412">
        <v>7412.3190000000004</v>
      </c>
      <c r="I93" s="413" t="s">
        <v>240</v>
      </c>
      <c r="J93" s="414">
        <v>45077.434027777781</v>
      </c>
      <c r="K93" s="414"/>
      <c r="L93" s="414" t="s">
        <v>192</v>
      </c>
      <c r="M93" s="414" t="s">
        <v>192</v>
      </c>
      <c r="N93" s="413" t="str">
        <f t="shared" si="10"/>
        <v>On time</v>
      </c>
      <c r="O93" s="51"/>
      <c r="P93" s="415" t="s">
        <v>551</v>
      </c>
      <c r="Q93" s="415" t="s">
        <v>551</v>
      </c>
      <c r="R93" s="415" t="s">
        <v>551</v>
      </c>
      <c r="S93" s="32"/>
      <c r="T93" s="416"/>
      <c r="U93" s="416"/>
      <c r="V93" s="416"/>
      <c r="W93" s="416"/>
      <c r="X93" s="416"/>
      <c r="Y93" s="416"/>
      <c r="Z93" s="416"/>
      <c r="AA93" s="416"/>
      <c r="AB93" s="416"/>
      <c r="AC93" s="416">
        <f>H93</f>
        <v>7412.3190000000004</v>
      </c>
      <c r="AD93" s="416"/>
      <c r="AE93" s="416"/>
      <c r="AF93" s="416"/>
      <c r="AG93" s="416"/>
      <c r="AH93" s="416"/>
      <c r="AI93" s="416"/>
      <c r="AJ93" s="416"/>
      <c r="AK93" s="416"/>
      <c r="AL93" s="416"/>
      <c r="AM93" s="416"/>
      <c r="AN93" s="416"/>
      <c r="AO93" s="416"/>
      <c r="AP93" s="416"/>
      <c r="AQ93" s="416"/>
      <c r="AR93" s="416"/>
      <c r="AS93" s="416"/>
      <c r="AT93" s="416"/>
      <c r="AU93" s="416"/>
      <c r="AV93" s="416"/>
      <c r="AW93" s="416"/>
      <c r="AX93" s="416"/>
      <c r="AY93" s="416"/>
      <c r="AZ93" s="416"/>
      <c r="BA93" s="416"/>
      <c r="BB93" s="416"/>
      <c r="BC93" s="416"/>
      <c r="BD93" s="32"/>
    </row>
    <row r="94" spans="2:56">
      <c r="B94" s="1256">
        <v>3</v>
      </c>
      <c r="C94" s="1257"/>
      <c r="D94" s="411" t="s">
        <v>1500</v>
      </c>
      <c r="E94" s="411"/>
      <c r="F94" s="411" t="s">
        <v>323</v>
      </c>
      <c r="G94" s="411" t="s">
        <v>324</v>
      </c>
      <c r="H94" s="412">
        <v>7501.7619999999997</v>
      </c>
      <c r="I94" s="413" t="s">
        <v>240</v>
      </c>
      <c r="J94" s="414">
        <v>45078.041666666664</v>
      </c>
      <c r="K94" s="414"/>
      <c r="L94" s="414" t="s">
        <v>192</v>
      </c>
      <c r="M94" s="414" t="s">
        <v>192</v>
      </c>
      <c r="N94" s="413" t="str">
        <f t="shared" si="10"/>
        <v>On time</v>
      </c>
      <c r="O94" s="51"/>
      <c r="P94" s="415" t="s">
        <v>551</v>
      </c>
      <c r="Q94" s="415" t="s">
        <v>551</v>
      </c>
      <c r="R94" s="415" t="s">
        <v>551</v>
      </c>
      <c r="S94" s="32"/>
      <c r="T94" s="416"/>
      <c r="U94" s="416"/>
      <c r="V94" s="416"/>
      <c r="W94" s="416"/>
      <c r="X94" s="416"/>
      <c r="Y94" s="416"/>
      <c r="Z94" s="416"/>
      <c r="AA94" s="416"/>
      <c r="AB94" s="416"/>
      <c r="AC94" s="416">
        <f>H94</f>
        <v>7501.7619999999997</v>
      </c>
      <c r="AD94" s="416"/>
      <c r="AE94" s="416"/>
      <c r="AF94" s="416"/>
      <c r="AG94" s="416"/>
      <c r="AH94" s="416"/>
      <c r="AI94" s="416"/>
      <c r="AJ94" s="416"/>
      <c r="AK94" s="416"/>
      <c r="AL94" s="416"/>
      <c r="AM94" s="416"/>
      <c r="AN94" s="416"/>
      <c r="AO94" s="416"/>
      <c r="AP94" s="416"/>
      <c r="AQ94" s="416"/>
      <c r="AR94" s="416"/>
      <c r="AS94" s="416"/>
      <c r="AT94" s="416"/>
      <c r="AU94" s="416"/>
      <c r="AV94" s="416"/>
      <c r="AW94" s="416"/>
      <c r="AX94" s="416"/>
      <c r="AY94" s="416"/>
      <c r="AZ94" s="416"/>
      <c r="BA94" s="416"/>
      <c r="BB94" s="416"/>
      <c r="BC94" s="416"/>
      <c r="BD94" s="32"/>
    </row>
    <row r="95" spans="2:56">
      <c r="B95" s="1256">
        <v>4</v>
      </c>
      <c r="C95" s="1257"/>
      <c r="D95" s="411" t="s">
        <v>1543</v>
      </c>
      <c r="E95" s="411"/>
      <c r="F95" s="411" t="s">
        <v>346</v>
      </c>
      <c r="G95" s="411" t="s">
        <v>1544</v>
      </c>
      <c r="H95" s="412">
        <v>7480.6559999999999</v>
      </c>
      <c r="I95" s="413" t="s">
        <v>240</v>
      </c>
      <c r="J95" s="414">
        <v>45078.25</v>
      </c>
      <c r="K95" s="414"/>
      <c r="L95" s="414" t="s">
        <v>192</v>
      </c>
      <c r="M95" s="414" t="s">
        <v>192</v>
      </c>
      <c r="N95" s="413" t="str">
        <f t="shared" si="10"/>
        <v>On time</v>
      </c>
      <c r="O95" s="51"/>
      <c r="P95" s="415" t="s">
        <v>551</v>
      </c>
      <c r="Q95" s="415" t="s">
        <v>551</v>
      </c>
      <c r="R95" s="415" t="s">
        <v>551</v>
      </c>
      <c r="S95" s="32"/>
      <c r="T95" s="416"/>
      <c r="U95" s="416"/>
      <c r="V95" s="416"/>
      <c r="W95" s="416"/>
      <c r="X95" s="416"/>
      <c r="Y95" s="416"/>
      <c r="Z95" s="416"/>
      <c r="AA95" s="416"/>
      <c r="AB95" s="416"/>
      <c r="AC95" s="416">
        <f>H95</f>
        <v>7480.6559999999999</v>
      </c>
      <c r="AD95" s="416"/>
      <c r="AE95" s="416"/>
      <c r="AF95" s="416"/>
      <c r="AG95" s="416"/>
      <c r="AH95" s="416"/>
      <c r="AI95" s="416"/>
      <c r="AJ95" s="416"/>
      <c r="AK95" s="416"/>
      <c r="AL95" s="416"/>
      <c r="AM95" s="416"/>
      <c r="AN95" s="416"/>
      <c r="AO95" s="416"/>
      <c r="AP95" s="416"/>
      <c r="AQ95" s="416"/>
      <c r="AR95" s="416"/>
      <c r="AS95" s="416"/>
      <c r="AT95" s="416"/>
      <c r="AU95" s="416"/>
      <c r="AV95" s="416"/>
      <c r="AW95" s="416"/>
      <c r="AX95" s="416"/>
      <c r="AY95" s="416"/>
      <c r="AZ95" s="416"/>
      <c r="BA95" s="416"/>
      <c r="BB95" s="416"/>
      <c r="BC95" s="416"/>
      <c r="BD95" s="32"/>
    </row>
    <row r="96" spans="2:56">
      <c r="B96" s="1256">
        <v>5</v>
      </c>
      <c r="C96" s="1257"/>
      <c r="D96" s="411" t="s">
        <v>1446</v>
      </c>
      <c r="E96" s="411"/>
      <c r="F96" s="411" t="s">
        <v>1230</v>
      </c>
      <c r="G96" s="411" t="s">
        <v>1231</v>
      </c>
      <c r="H96" s="412">
        <v>7500</v>
      </c>
      <c r="I96" s="413" t="s">
        <v>78</v>
      </c>
      <c r="J96" s="414">
        <v>45078.270833333336</v>
      </c>
      <c r="K96" s="414"/>
      <c r="L96" s="414" t="s">
        <v>192</v>
      </c>
      <c r="M96" s="414" t="s">
        <v>192</v>
      </c>
      <c r="N96" s="413" t="str">
        <f t="shared" si="10"/>
        <v>On time</v>
      </c>
      <c r="O96" s="51"/>
      <c r="P96" s="415" t="s">
        <v>551</v>
      </c>
      <c r="Q96" s="415" t="s">
        <v>551</v>
      </c>
      <c r="R96" s="415" t="s">
        <v>551</v>
      </c>
      <c r="S96" s="32"/>
      <c r="T96" s="416"/>
      <c r="U96" s="416"/>
      <c r="V96" s="416"/>
      <c r="W96" s="416"/>
      <c r="X96" s="416"/>
      <c r="Y96" s="416"/>
      <c r="Z96" s="416"/>
      <c r="AA96" s="416"/>
      <c r="AB96" s="416"/>
      <c r="AC96" s="416"/>
      <c r="AD96" s="416"/>
      <c r="AE96" s="416"/>
      <c r="AF96" s="416"/>
      <c r="AG96" s="416"/>
      <c r="AH96" s="416"/>
      <c r="AI96" s="416"/>
      <c r="AJ96" s="416">
        <f>H96</f>
        <v>7500</v>
      </c>
      <c r="AK96" s="416"/>
      <c r="AL96" s="416"/>
      <c r="AM96" s="416"/>
      <c r="AN96" s="416"/>
      <c r="AO96" s="416"/>
      <c r="AP96" s="416"/>
      <c r="AQ96" s="416"/>
      <c r="AR96" s="416"/>
      <c r="AS96" s="416"/>
      <c r="AT96" s="416"/>
      <c r="AU96" s="32"/>
      <c r="AV96" s="416"/>
      <c r="AW96" s="416"/>
      <c r="AX96" s="416"/>
      <c r="AY96" s="434"/>
      <c r="AZ96" s="416"/>
      <c r="BA96" s="416"/>
      <c r="BB96" s="416"/>
      <c r="BC96" s="416"/>
      <c r="BD96" s="32"/>
    </row>
    <row r="97" spans="2:56">
      <c r="B97" s="1256">
        <v>6</v>
      </c>
      <c r="C97" s="1257"/>
      <c r="D97" s="411" t="s">
        <v>1542</v>
      </c>
      <c r="E97" s="411"/>
      <c r="F97" s="411" t="s">
        <v>1313</v>
      </c>
      <c r="G97" s="411" t="s">
        <v>438</v>
      </c>
      <c r="H97" s="412">
        <v>7663.19</v>
      </c>
      <c r="I97" s="413" t="s">
        <v>240</v>
      </c>
      <c r="J97" s="414">
        <v>45079.145833333336</v>
      </c>
      <c r="K97" s="414"/>
      <c r="L97" s="414" t="s">
        <v>192</v>
      </c>
      <c r="M97" s="414" t="s">
        <v>192</v>
      </c>
      <c r="N97" s="413" t="str">
        <f t="shared" si="10"/>
        <v>DELAY ( 1 day 3 hour 30 minute )</v>
      </c>
      <c r="O97" s="51"/>
      <c r="P97" s="415" t="s">
        <v>551</v>
      </c>
      <c r="Q97" s="415" t="s">
        <v>551</v>
      </c>
      <c r="R97" s="415" t="s">
        <v>551</v>
      </c>
      <c r="S97" s="32"/>
      <c r="T97" s="416"/>
      <c r="U97" s="416"/>
      <c r="V97" s="416"/>
      <c r="W97" s="416"/>
      <c r="X97" s="416"/>
      <c r="Y97" s="416"/>
      <c r="Z97" s="416"/>
      <c r="AA97" s="416"/>
      <c r="AB97" s="416"/>
      <c r="AC97" s="416">
        <f t="shared" ref="AC97:AC99" si="11">H97</f>
        <v>7663.19</v>
      </c>
      <c r="AD97" s="416"/>
      <c r="AE97" s="416"/>
      <c r="AF97" s="416"/>
      <c r="AG97" s="416"/>
      <c r="AH97" s="416"/>
      <c r="AI97" s="416"/>
      <c r="AJ97" s="416"/>
      <c r="AK97" s="416"/>
      <c r="AL97" s="416"/>
      <c r="AM97" s="416"/>
      <c r="AN97" s="416"/>
      <c r="AO97" s="416"/>
      <c r="AP97" s="416"/>
      <c r="AQ97" s="416"/>
      <c r="AR97" s="416"/>
      <c r="AS97" s="416"/>
      <c r="AT97" s="416"/>
      <c r="AU97" s="416"/>
      <c r="AV97" s="416"/>
      <c r="AW97" s="416"/>
      <c r="AX97" s="416"/>
      <c r="AY97" s="416"/>
      <c r="AZ97" s="416"/>
      <c r="BA97" s="416"/>
      <c r="BB97" s="416"/>
      <c r="BC97" s="416"/>
      <c r="BD97" s="32"/>
    </row>
    <row r="98" spans="2:56">
      <c r="B98" s="1256">
        <v>7</v>
      </c>
      <c r="C98" s="1257"/>
      <c r="D98" s="411" t="s">
        <v>1546</v>
      </c>
      <c r="E98" s="411"/>
      <c r="F98" s="411" t="s">
        <v>349</v>
      </c>
      <c r="G98" s="411" t="s">
        <v>350</v>
      </c>
      <c r="H98" s="412">
        <v>7435.04</v>
      </c>
      <c r="I98" s="413" t="s">
        <v>240</v>
      </c>
      <c r="J98" s="414">
        <v>45080.145833333336</v>
      </c>
      <c r="K98" s="414"/>
      <c r="L98" s="414" t="s">
        <v>192</v>
      </c>
      <c r="M98" s="414" t="s">
        <v>192</v>
      </c>
      <c r="N98" s="413" t="str">
        <f t="shared" si="10"/>
        <v>DELAY ( 2 day 3 hour 30 minute )</v>
      </c>
      <c r="O98" s="51"/>
      <c r="P98" s="415" t="s">
        <v>551</v>
      </c>
      <c r="Q98" s="415" t="s">
        <v>551</v>
      </c>
      <c r="R98" s="415" t="s">
        <v>551</v>
      </c>
      <c r="S98" s="32"/>
      <c r="T98" s="416"/>
      <c r="U98" s="416"/>
      <c r="V98" s="416"/>
      <c r="W98" s="416"/>
      <c r="X98" s="416"/>
      <c r="Y98" s="416"/>
      <c r="Z98" s="416"/>
      <c r="AA98" s="416"/>
      <c r="AB98" s="416"/>
      <c r="AC98" s="416">
        <f t="shared" si="11"/>
        <v>7435.04</v>
      </c>
      <c r="AD98" s="416"/>
      <c r="AE98" s="416"/>
      <c r="AF98" s="416"/>
      <c r="AG98" s="416"/>
      <c r="AH98" s="416"/>
      <c r="AI98" s="416"/>
      <c r="AJ98" s="416"/>
      <c r="AK98" s="416"/>
      <c r="AL98" s="416"/>
      <c r="AM98" s="416"/>
      <c r="AN98" s="416"/>
      <c r="AO98" s="416"/>
      <c r="AP98" s="416"/>
      <c r="AQ98" s="416"/>
      <c r="AR98" s="416"/>
      <c r="AS98" s="416"/>
      <c r="AT98" s="416"/>
      <c r="AU98" s="416"/>
      <c r="AV98" s="416"/>
      <c r="AW98" s="416"/>
      <c r="AX98" s="416"/>
      <c r="AY98" s="416"/>
      <c r="AZ98" s="416"/>
      <c r="BA98" s="416"/>
      <c r="BB98" s="416"/>
      <c r="BC98" s="416"/>
      <c r="BD98" s="32"/>
    </row>
    <row r="99" spans="2:56">
      <c r="B99" s="1256">
        <v>8</v>
      </c>
      <c r="C99" s="1257"/>
      <c r="D99" s="411" t="s">
        <v>1549</v>
      </c>
      <c r="E99" s="411"/>
      <c r="F99" s="411" t="s">
        <v>271</v>
      </c>
      <c r="G99" s="411" t="s">
        <v>272</v>
      </c>
      <c r="H99" s="412">
        <v>9398.19</v>
      </c>
      <c r="I99" s="413" t="s">
        <v>240</v>
      </c>
      <c r="J99" s="414">
        <v>45080.09375</v>
      </c>
      <c r="K99" s="414"/>
      <c r="L99" s="414" t="s">
        <v>192</v>
      </c>
      <c r="M99" s="414" t="s">
        <v>192</v>
      </c>
      <c r="N99" s="413" t="str">
        <f t="shared" si="10"/>
        <v>DELAY ( 2 day 2 hour 15 minute )</v>
      </c>
      <c r="O99" s="51"/>
      <c r="P99" s="415" t="s">
        <v>551</v>
      </c>
      <c r="Q99" s="415" t="s">
        <v>551</v>
      </c>
      <c r="R99" s="415" t="s">
        <v>551</v>
      </c>
      <c r="S99" s="32"/>
      <c r="T99" s="416"/>
      <c r="U99" s="416"/>
      <c r="V99" s="416"/>
      <c r="W99" s="416"/>
      <c r="X99" s="416"/>
      <c r="Y99" s="416"/>
      <c r="Z99" s="416"/>
      <c r="AA99" s="416"/>
      <c r="AB99" s="416"/>
      <c r="AC99" s="416">
        <f t="shared" si="11"/>
        <v>9398.19</v>
      </c>
      <c r="AD99" s="416"/>
      <c r="AE99" s="416"/>
      <c r="AF99" s="416"/>
      <c r="AG99" s="416"/>
      <c r="AH99" s="416"/>
      <c r="AI99" s="416"/>
      <c r="AJ99" s="416"/>
      <c r="AK99" s="416"/>
      <c r="AL99" s="416"/>
      <c r="AM99" s="416"/>
      <c r="AN99" s="416"/>
      <c r="AO99" s="416"/>
      <c r="AP99" s="416"/>
      <c r="AQ99" s="416"/>
      <c r="AR99" s="416"/>
      <c r="AS99" s="416"/>
      <c r="AT99" s="416"/>
      <c r="AU99" s="416"/>
      <c r="AV99" s="416"/>
      <c r="AW99" s="416"/>
      <c r="AX99" s="416"/>
      <c r="AY99" s="416"/>
      <c r="AZ99" s="416"/>
      <c r="BA99" s="416"/>
      <c r="BB99" s="416"/>
      <c r="BC99" s="416"/>
      <c r="BD99" s="32"/>
    </row>
    <row r="100" spans="2:56">
      <c r="B100" s="1256" t="s">
        <v>610</v>
      </c>
      <c r="C100" s="1276"/>
      <c r="D100" s="1276"/>
      <c r="E100" s="1276"/>
      <c r="F100" s="1276"/>
      <c r="G100" s="1257"/>
      <c r="H100" s="412">
        <f>H102-SUM(H92:H99)</f>
        <v>7469.8430000000008</v>
      </c>
      <c r="I100" s="413" t="s">
        <v>1164</v>
      </c>
      <c r="J100" s="414"/>
      <c r="K100" s="414"/>
      <c r="L100" s="414"/>
      <c r="M100" s="414"/>
      <c r="N100" s="413" t="str">
        <f t="shared" si="10"/>
        <v xml:space="preserve"> </v>
      </c>
      <c r="O100" s="51"/>
      <c r="P100" s="415" t="s">
        <v>551</v>
      </c>
      <c r="Q100" s="415"/>
      <c r="R100" s="415"/>
      <c r="S100" s="32"/>
      <c r="T100" s="416"/>
      <c r="U100" s="416"/>
      <c r="V100" s="416"/>
      <c r="W100" s="416"/>
      <c r="X100" s="416">
        <f>H100</f>
        <v>7469.8430000000008</v>
      </c>
      <c r="Y100" s="416"/>
      <c r="Z100" s="416"/>
      <c r="AA100" s="416"/>
      <c r="AB100" s="416"/>
      <c r="AC100" s="416"/>
      <c r="AD100" s="416"/>
      <c r="AE100" s="416"/>
      <c r="AF100" s="416"/>
      <c r="AG100" s="416"/>
      <c r="AH100" s="416"/>
      <c r="AI100" s="416"/>
      <c r="AJ100" s="416"/>
      <c r="AK100" s="416"/>
      <c r="AL100" s="416"/>
      <c r="AM100" s="416"/>
      <c r="AN100" s="416"/>
      <c r="AO100" s="416"/>
      <c r="AP100" s="416"/>
      <c r="AQ100" s="416"/>
      <c r="AR100" s="416"/>
      <c r="AS100" s="416"/>
      <c r="AT100" s="416"/>
      <c r="AU100" s="416"/>
      <c r="AV100" s="416"/>
      <c r="AW100" s="416"/>
      <c r="AX100" s="416"/>
      <c r="AY100" s="416"/>
      <c r="AZ100" s="416"/>
      <c r="BA100" s="416"/>
      <c r="BB100" s="416"/>
      <c r="BC100" s="416"/>
      <c r="BD100" s="32"/>
    </row>
    <row r="101" spans="2:56">
      <c r="B101" s="1258" t="s">
        <v>556</v>
      </c>
      <c r="C101" s="1259"/>
      <c r="D101" s="1259"/>
      <c r="E101" s="1259"/>
      <c r="F101" s="1259"/>
      <c r="G101" s="1260"/>
      <c r="H101" s="417">
        <f>SUM(H92:H100)</f>
        <v>67005</v>
      </c>
      <c r="I101" s="388"/>
      <c r="J101" s="293"/>
      <c r="K101" s="293"/>
      <c r="L101" s="293"/>
      <c r="M101" s="389"/>
      <c r="N101" s="413" t="str">
        <f t="shared" si="10"/>
        <v xml:space="preserve"> </v>
      </c>
      <c r="O101" s="47"/>
      <c r="P101" s="418"/>
      <c r="Q101" s="418"/>
      <c r="R101" s="418"/>
      <c r="S101" s="32"/>
      <c r="T101" s="1262"/>
      <c r="U101" s="1263"/>
      <c r="V101" s="1263"/>
      <c r="W101" s="1263"/>
      <c r="X101" s="1263"/>
      <c r="Y101" s="1263"/>
      <c r="Z101" s="1263"/>
      <c r="AA101" s="1263"/>
      <c r="AB101" s="1263"/>
      <c r="AC101" s="1263"/>
      <c r="AD101" s="1263"/>
      <c r="AE101" s="1263"/>
      <c r="AF101" s="1263"/>
      <c r="AG101" s="1263"/>
      <c r="AH101" s="1263"/>
      <c r="AI101" s="1263"/>
      <c r="AJ101" s="1263"/>
      <c r="AK101" s="1263"/>
      <c r="AL101" s="1263"/>
      <c r="AM101" s="1263"/>
      <c r="AN101" s="1263"/>
      <c r="AO101" s="1263"/>
      <c r="AP101" s="1263"/>
      <c r="AQ101" s="1263"/>
      <c r="AR101" s="1263"/>
      <c r="AS101" s="1263"/>
      <c r="AT101" s="1263"/>
      <c r="AU101" s="1263"/>
      <c r="AV101" s="1263"/>
      <c r="AW101" s="1263"/>
      <c r="AX101" s="1263"/>
      <c r="AY101" s="1263"/>
      <c r="AZ101" s="1263"/>
      <c r="BA101" s="1263"/>
      <c r="BB101" s="1263"/>
      <c r="BC101" s="1264"/>
    </row>
    <row r="102" spans="2:56">
      <c r="B102" s="1243" t="s">
        <v>557</v>
      </c>
      <c r="C102" s="1244"/>
      <c r="D102" s="1244"/>
      <c r="E102" s="1244"/>
      <c r="F102" s="1244"/>
      <c r="G102" s="1245"/>
      <c r="H102" s="419">
        <v>67005</v>
      </c>
      <c r="I102" s="1246"/>
      <c r="J102" s="1247"/>
      <c r="K102" s="1247"/>
      <c r="L102" s="1247"/>
      <c r="M102" s="1248"/>
      <c r="N102" s="413" t="str">
        <f t="shared" si="10"/>
        <v xml:space="preserve"> </v>
      </c>
      <c r="O102" s="32"/>
      <c r="P102" s="415"/>
      <c r="Q102" s="415"/>
      <c r="R102" s="415"/>
      <c r="S102" s="63"/>
      <c r="T102" s="416">
        <f>SUM(T92:T100)</f>
        <v>0</v>
      </c>
      <c r="U102" s="416">
        <f t="shared" ref="U102:BC102" si="12">SUM(U92:U100)</f>
        <v>0</v>
      </c>
      <c r="V102" s="416">
        <f t="shared" si="12"/>
        <v>0</v>
      </c>
      <c r="W102" s="416">
        <f t="shared" si="12"/>
        <v>0</v>
      </c>
      <c r="X102" s="416">
        <f t="shared" si="12"/>
        <v>7469.8430000000008</v>
      </c>
      <c r="Y102" s="416">
        <f t="shared" si="12"/>
        <v>0</v>
      </c>
      <c r="Z102" s="416">
        <f t="shared" si="12"/>
        <v>0</v>
      </c>
      <c r="AA102" s="416">
        <f t="shared" si="12"/>
        <v>0</v>
      </c>
      <c r="AB102" s="416">
        <f t="shared" si="12"/>
        <v>0</v>
      </c>
      <c r="AC102" s="416">
        <f t="shared" si="12"/>
        <v>46891.156999999999</v>
      </c>
      <c r="AD102" s="416">
        <f t="shared" si="12"/>
        <v>0</v>
      </c>
      <c r="AE102" s="416">
        <f t="shared" si="12"/>
        <v>0</v>
      </c>
      <c r="AF102" s="416">
        <f t="shared" si="12"/>
        <v>0</v>
      </c>
      <c r="AG102" s="416">
        <f t="shared" si="12"/>
        <v>0</v>
      </c>
      <c r="AH102" s="416">
        <f t="shared" si="12"/>
        <v>0</v>
      </c>
      <c r="AI102" s="416">
        <f t="shared" si="12"/>
        <v>0</v>
      </c>
      <c r="AJ102" s="416">
        <f t="shared" si="12"/>
        <v>7500</v>
      </c>
      <c r="AK102" s="416">
        <f t="shared" si="12"/>
        <v>0</v>
      </c>
      <c r="AL102" s="416">
        <f t="shared" si="12"/>
        <v>0</v>
      </c>
      <c r="AM102" s="416">
        <f t="shared" si="12"/>
        <v>0</v>
      </c>
      <c r="AN102" s="416">
        <f t="shared" si="12"/>
        <v>0</v>
      </c>
      <c r="AO102" s="416">
        <f t="shared" si="12"/>
        <v>0</v>
      </c>
      <c r="AP102" s="416">
        <f t="shared" si="12"/>
        <v>0</v>
      </c>
      <c r="AQ102" s="416">
        <f t="shared" si="12"/>
        <v>0</v>
      </c>
      <c r="AR102" s="416">
        <f t="shared" si="12"/>
        <v>5144</v>
      </c>
      <c r="AS102" s="416">
        <f t="shared" si="12"/>
        <v>0</v>
      </c>
      <c r="AT102" s="416">
        <f t="shared" si="12"/>
        <v>0</v>
      </c>
      <c r="AU102" s="416">
        <f t="shared" si="12"/>
        <v>0</v>
      </c>
      <c r="AV102" s="416">
        <f t="shared" si="12"/>
        <v>0</v>
      </c>
      <c r="AW102" s="416">
        <f t="shared" si="12"/>
        <v>0</v>
      </c>
      <c r="AX102" s="416">
        <f t="shared" si="12"/>
        <v>0</v>
      </c>
      <c r="AY102" s="416">
        <f t="shared" si="12"/>
        <v>0</v>
      </c>
      <c r="AZ102" s="416">
        <f t="shared" si="12"/>
        <v>0</v>
      </c>
      <c r="BA102" s="416">
        <f t="shared" si="12"/>
        <v>0</v>
      </c>
      <c r="BB102" s="416">
        <f t="shared" si="12"/>
        <v>0</v>
      </c>
      <c r="BC102" s="416">
        <f t="shared" si="12"/>
        <v>0</v>
      </c>
      <c r="BD102" s="416">
        <f>SUM(T102:BC102)</f>
        <v>67005</v>
      </c>
    </row>
    <row r="103" spans="2:56">
      <c r="B103" s="1243" t="s">
        <v>558</v>
      </c>
      <c r="C103" s="1244"/>
      <c r="D103" s="1244"/>
      <c r="E103" s="1244"/>
      <c r="F103" s="1244"/>
      <c r="G103" s="1245"/>
      <c r="H103" s="420">
        <f>H102-L86</f>
        <v>0</v>
      </c>
      <c r="I103" s="294"/>
      <c r="J103" s="295"/>
      <c r="K103" s="295"/>
      <c r="L103" s="296"/>
      <c r="M103" s="32"/>
      <c r="N103" s="32"/>
      <c r="O103" s="32"/>
      <c r="P103" s="32"/>
      <c r="Q103" s="297"/>
      <c r="R103" s="297"/>
      <c r="S103" s="32"/>
      <c r="T103" s="48"/>
      <c r="U103" s="48"/>
      <c r="V103" s="48"/>
      <c r="W103" s="48"/>
      <c r="X103" s="48"/>
      <c r="Y103" s="48"/>
      <c r="Z103" s="48"/>
      <c r="AA103" s="48"/>
      <c r="AB103" s="48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</row>
    <row r="104" spans="2:56">
      <c r="B104" s="1243" t="s">
        <v>559</v>
      </c>
      <c r="C104" s="1244"/>
      <c r="D104" s="1244"/>
      <c r="E104" s="1244"/>
      <c r="F104" s="1244"/>
      <c r="G104" s="1245"/>
      <c r="H104" s="420">
        <f>H101-H102</f>
        <v>0</v>
      </c>
      <c r="I104" s="52"/>
      <c r="J104" s="53"/>
      <c r="K104" s="53"/>
      <c r="L104" s="54"/>
      <c r="M104" s="32"/>
      <c r="N104" s="32"/>
      <c r="O104" s="32"/>
      <c r="P104" s="32"/>
      <c r="Q104" s="32"/>
      <c r="R104" s="32"/>
      <c r="S104" s="32"/>
      <c r="T104" s="48"/>
      <c r="U104" s="48"/>
      <c r="V104" s="48"/>
      <c r="W104" s="48"/>
      <c r="X104" s="48"/>
      <c r="Y104" s="48"/>
      <c r="Z104" s="48"/>
      <c r="AA104" s="48"/>
      <c r="AB104" s="48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</row>
    <row r="105" spans="2:56">
      <c r="B105" s="201"/>
      <c r="C105" s="201"/>
      <c r="D105" s="201"/>
      <c r="E105" s="201"/>
      <c r="F105" s="201"/>
      <c r="G105" s="201"/>
      <c r="H105" s="201"/>
      <c r="I105" s="213"/>
      <c r="J105" s="209"/>
      <c r="K105" s="209"/>
      <c r="L105" s="203"/>
      <c r="M105" s="201"/>
      <c r="N105" s="201"/>
      <c r="O105" s="209"/>
      <c r="P105" s="32"/>
      <c r="Q105" s="32"/>
      <c r="R105" s="32"/>
      <c r="S105" s="32"/>
      <c r="T105" s="48"/>
      <c r="U105" s="48"/>
      <c r="V105" s="48"/>
      <c r="W105" s="48"/>
      <c r="X105" s="48"/>
      <c r="Y105" s="48"/>
      <c r="Z105" s="48"/>
      <c r="AA105" s="48"/>
      <c r="AB105" s="48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</row>
    <row r="106" spans="2:56">
      <c r="B106" s="40" t="s">
        <v>561</v>
      </c>
      <c r="C106" s="40"/>
      <c r="D106" s="32"/>
      <c r="E106" s="32"/>
      <c r="F106" s="32"/>
      <c r="G106" s="32"/>
      <c r="H106" s="32"/>
      <c r="I106" s="32"/>
      <c r="J106" s="52"/>
      <c r="K106" s="52"/>
      <c r="L106" s="55"/>
      <c r="M106" s="32"/>
      <c r="N106" s="201"/>
      <c r="O106" s="5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1"/>
      <c r="AC106" s="201"/>
      <c r="AD106" s="201"/>
      <c r="AE106" s="201"/>
      <c r="AF106" s="201"/>
      <c r="AG106" s="201"/>
      <c r="AH106" s="201"/>
      <c r="AI106" s="201"/>
      <c r="AJ106" s="201"/>
      <c r="AK106" s="201"/>
      <c r="AL106" s="201"/>
      <c r="AM106" s="201"/>
      <c r="AN106" s="201"/>
      <c r="AO106" s="201"/>
      <c r="AP106" s="201"/>
      <c r="AQ106" s="201"/>
      <c r="AR106" s="201"/>
      <c r="AS106" s="201"/>
      <c r="AT106" s="201"/>
      <c r="AU106" s="201"/>
      <c r="BD106" s="201"/>
    </row>
    <row r="107" spans="2:56">
      <c r="B107" s="422"/>
      <c r="C107" s="1249"/>
      <c r="D107" s="1249"/>
      <c r="E107" s="1249"/>
      <c r="F107" s="1249"/>
      <c r="G107" s="1249"/>
      <c r="H107" s="1249"/>
      <c r="I107" s="1249"/>
      <c r="J107" s="1249"/>
      <c r="K107" s="1249"/>
      <c r="L107" s="203"/>
      <c r="M107" s="203"/>
      <c r="N107" s="201"/>
      <c r="O107" s="209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201"/>
      <c r="AQ107" s="201"/>
      <c r="AR107" s="201"/>
      <c r="AS107" s="201"/>
      <c r="AT107" s="201"/>
      <c r="AU107" s="201"/>
      <c r="AV107" s="201"/>
      <c r="AW107" s="201"/>
      <c r="AX107" s="201"/>
      <c r="AY107" s="201"/>
      <c r="AZ107" s="201"/>
      <c r="BA107" s="201"/>
      <c r="BB107" s="201"/>
      <c r="BC107" s="201"/>
      <c r="BD107" s="201"/>
    </row>
    <row r="109" spans="2:56">
      <c r="B109" s="28" t="s">
        <v>126</v>
      </c>
      <c r="C109" s="28"/>
      <c r="D109" s="29"/>
      <c r="E109" s="30" t="s">
        <v>511</v>
      </c>
      <c r="F109" s="31" t="s">
        <v>1270</v>
      </c>
      <c r="G109" s="32"/>
      <c r="H109" s="33"/>
      <c r="I109" s="34"/>
      <c r="J109" s="35" t="s">
        <v>513</v>
      </c>
      <c r="K109" s="36" t="s">
        <v>511</v>
      </c>
      <c r="L109" s="306" t="s">
        <v>2004</v>
      </c>
      <c r="M109" s="32"/>
      <c r="N109" s="32"/>
      <c r="O109" s="206"/>
      <c r="P109" s="205"/>
      <c r="Q109" s="202"/>
      <c r="R109" s="204"/>
      <c r="S109" s="38"/>
      <c r="T109" s="201"/>
      <c r="U109" s="201"/>
      <c r="V109" s="201"/>
      <c r="W109" s="201"/>
      <c r="X109" s="201"/>
      <c r="Y109" s="201"/>
      <c r="Z109" s="201"/>
      <c r="AA109" s="201"/>
      <c r="AB109" s="202"/>
      <c r="AC109" s="202"/>
      <c r="AD109" s="202"/>
      <c r="AE109" s="202"/>
      <c r="AF109" s="202"/>
      <c r="AG109" s="201"/>
      <c r="AH109" s="201"/>
      <c r="AI109" s="201"/>
      <c r="AJ109" s="201"/>
      <c r="AK109" s="201"/>
      <c r="AL109" s="201"/>
      <c r="AM109" s="201"/>
      <c r="AN109" s="201"/>
      <c r="AO109" s="201"/>
      <c r="AP109" s="201"/>
      <c r="AQ109" s="201"/>
      <c r="AR109" s="201"/>
      <c r="AS109" s="201"/>
      <c r="AT109" s="201"/>
      <c r="AU109" s="201"/>
      <c r="AV109" s="201"/>
      <c r="AW109" s="201"/>
      <c r="AX109" s="201"/>
      <c r="AY109" s="201"/>
      <c r="AZ109" s="201"/>
      <c r="BA109" s="201"/>
      <c r="BB109" s="201"/>
    </row>
    <row r="110" spans="2:56">
      <c r="B110" s="35" t="s">
        <v>514</v>
      </c>
      <c r="C110" s="35"/>
      <c r="D110" s="32"/>
      <c r="E110" s="36" t="s">
        <v>511</v>
      </c>
      <c r="F110" s="37" t="s">
        <v>2005</v>
      </c>
      <c r="G110" s="32"/>
      <c r="H110" s="33"/>
      <c r="I110" s="34"/>
      <c r="J110" s="35" t="s">
        <v>516</v>
      </c>
      <c r="K110" s="36" t="s">
        <v>511</v>
      </c>
      <c r="L110" s="306">
        <v>45088.326388888891</v>
      </c>
      <c r="M110" s="32"/>
      <c r="N110" s="32"/>
      <c r="O110" s="206"/>
      <c r="P110" s="205"/>
      <c r="Q110" s="202"/>
      <c r="R110" s="204"/>
      <c r="S110" s="38"/>
      <c r="T110" s="201"/>
      <c r="U110" s="201"/>
      <c r="V110" s="201"/>
      <c r="W110" s="201"/>
      <c r="X110" s="201"/>
      <c r="Y110" s="201"/>
      <c r="Z110" s="201"/>
      <c r="AA110" s="201"/>
      <c r="AB110" s="202"/>
      <c r="AC110" s="202"/>
      <c r="AD110" s="202"/>
      <c r="AE110" s="202"/>
      <c r="AF110" s="202"/>
      <c r="AG110" s="201"/>
      <c r="AH110" s="201"/>
      <c r="AI110" s="201"/>
      <c r="AJ110" s="201"/>
      <c r="AK110" s="201"/>
      <c r="AL110" s="201"/>
      <c r="AM110" s="201"/>
      <c r="AN110" s="201"/>
      <c r="AO110" s="201"/>
      <c r="AP110" s="201"/>
      <c r="AQ110" s="201"/>
      <c r="AR110" s="201"/>
      <c r="AS110" s="201"/>
      <c r="AT110" s="201"/>
      <c r="AU110" s="201"/>
      <c r="AV110" s="201"/>
      <c r="AW110" s="201"/>
      <c r="AX110" s="201"/>
      <c r="AY110" s="201"/>
      <c r="AZ110" s="201"/>
      <c r="BA110" s="201"/>
      <c r="BB110" s="201"/>
    </row>
    <row r="111" spans="2:56">
      <c r="B111" s="35" t="s">
        <v>517</v>
      </c>
      <c r="C111" s="35"/>
      <c r="D111" s="32"/>
      <c r="E111" s="36" t="s">
        <v>511</v>
      </c>
      <c r="F111" s="37">
        <v>45085.076388888891</v>
      </c>
      <c r="G111" s="32"/>
      <c r="H111" s="33"/>
      <c r="I111" s="34"/>
      <c r="J111" s="35" t="s">
        <v>518</v>
      </c>
      <c r="K111" s="36" t="s">
        <v>511</v>
      </c>
      <c r="L111" s="307">
        <v>49500</v>
      </c>
      <c r="M111" s="40" t="s">
        <v>519</v>
      </c>
      <c r="N111" s="40"/>
      <c r="O111" s="206"/>
      <c r="P111" s="205"/>
      <c r="Q111" s="202"/>
      <c r="R111" s="204"/>
      <c r="S111" s="38"/>
      <c r="T111" s="201"/>
      <c r="U111" s="201"/>
      <c r="V111" s="201"/>
      <c r="W111" s="201"/>
      <c r="X111" s="201"/>
      <c r="Y111" s="201"/>
      <c r="Z111" s="201"/>
      <c r="AA111" s="201"/>
      <c r="AB111" s="202"/>
      <c r="AC111" s="202"/>
      <c r="AD111" s="202"/>
      <c r="AE111" s="202"/>
      <c r="AF111" s="202"/>
      <c r="AG111" s="201"/>
      <c r="AH111" s="201"/>
      <c r="AI111" s="201"/>
      <c r="AJ111" s="201"/>
      <c r="AK111" s="201"/>
      <c r="AL111" s="201"/>
      <c r="AM111" s="201"/>
      <c r="AN111" s="201"/>
      <c r="AO111" s="201"/>
      <c r="AP111" s="201"/>
      <c r="AQ111" s="201"/>
      <c r="AR111" s="201"/>
      <c r="AS111" s="201"/>
      <c r="AT111" s="201"/>
      <c r="AU111" s="201"/>
      <c r="AV111" s="201"/>
      <c r="AW111" s="201"/>
      <c r="AX111" s="201"/>
      <c r="AY111" s="201"/>
      <c r="AZ111" s="201"/>
      <c r="BA111" s="201"/>
      <c r="BB111" s="201"/>
    </row>
    <row r="112" spans="2:56">
      <c r="B112" s="35" t="s">
        <v>520</v>
      </c>
      <c r="C112" s="35"/>
      <c r="D112" s="32"/>
      <c r="E112" s="36" t="s">
        <v>511</v>
      </c>
      <c r="F112" s="37" t="s">
        <v>12</v>
      </c>
      <c r="G112" s="32"/>
      <c r="H112" s="33"/>
      <c r="I112" s="34"/>
      <c r="J112" s="35" t="s">
        <v>521</v>
      </c>
      <c r="K112" s="36" t="s">
        <v>511</v>
      </c>
      <c r="L112" s="41" t="s">
        <v>2006</v>
      </c>
      <c r="M112" s="32"/>
      <c r="N112" s="32"/>
      <c r="O112" s="206"/>
      <c r="P112" s="202"/>
      <c r="Q112" s="202"/>
      <c r="R112" s="204"/>
      <c r="S112" s="38"/>
      <c r="T112" s="201"/>
      <c r="U112" s="201"/>
      <c r="V112" s="201"/>
      <c r="W112" s="201"/>
      <c r="X112" s="201"/>
      <c r="Y112" s="201"/>
      <c r="Z112" s="201"/>
      <c r="AA112" s="201"/>
      <c r="AB112" s="202"/>
      <c r="AC112" s="202"/>
      <c r="AD112" s="202"/>
      <c r="AE112" s="202"/>
      <c r="AF112" s="202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  <c r="AQ112" s="201"/>
      <c r="AR112" s="201"/>
      <c r="AS112" s="201"/>
      <c r="AT112" s="201"/>
      <c r="AU112" s="201"/>
      <c r="AV112" s="201"/>
      <c r="AW112" s="201"/>
      <c r="AX112" s="201"/>
      <c r="AY112" s="201"/>
      <c r="AZ112" s="201"/>
      <c r="BA112" s="201"/>
      <c r="BB112" s="201"/>
    </row>
    <row r="113" spans="2:54">
      <c r="B113" s="35" t="s">
        <v>523</v>
      </c>
      <c r="C113" s="35"/>
      <c r="D113" s="32"/>
      <c r="E113" s="36" t="s">
        <v>511</v>
      </c>
      <c r="F113" s="37" t="s">
        <v>37</v>
      </c>
      <c r="G113" s="32"/>
      <c r="H113" s="33"/>
      <c r="I113" s="34"/>
      <c r="J113" s="42" t="s">
        <v>524</v>
      </c>
      <c r="K113" s="36" t="s">
        <v>511</v>
      </c>
      <c r="L113" s="43" t="s">
        <v>15</v>
      </c>
      <c r="M113" s="44"/>
      <c r="N113" s="44"/>
      <c r="O113" s="206"/>
      <c r="P113" s="205"/>
      <c r="Q113" s="202"/>
      <c r="R113" s="204"/>
      <c r="S113" s="38"/>
      <c r="T113" s="201"/>
      <c r="U113" s="201"/>
      <c r="V113" s="201"/>
      <c r="W113" s="201"/>
      <c r="X113" s="201"/>
      <c r="Y113" s="201"/>
      <c r="Z113" s="201"/>
      <c r="AA113" s="201"/>
      <c r="AB113" s="202"/>
      <c r="AC113" s="202"/>
      <c r="AD113" s="202"/>
      <c r="AE113" s="202"/>
      <c r="AF113" s="202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  <c r="AT113" s="201"/>
      <c r="AU113" s="201"/>
      <c r="AV113" s="201"/>
      <c r="AW113" s="201"/>
      <c r="AX113" s="201"/>
      <c r="AY113" s="201"/>
      <c r="AZ113" s="201"/>
      <c r="BA113" s="201"/>
      <c r="BB113" s="201"/>
    </row>
    <row r="114" spans="2:54">
      <c r="B114" s="35" t="s">
        <v>2</v>
      </c>
      <c r="C114" s="35"/>
      <c r="D114" s="32"/>
      <c r="E114" s="36" t="s">
        <v>511</v>
      </c>
      <c r="F114" s="37" t="s">
        <v>6</v>
      </c>
      <c r="G114" s="32"/>
      <c r="H114" s="33"/>
      <c r="I114" s="45"/>
      <c r="J114" s="42"/>
      <c r="K114" s="36"/>
      <c r="L114" s="211"/>
      <c r="M114" s="201"/>
      <c r="N114" s="201"/>
      <c r="O114" s="42"/>
      <c r="P114" s="44"/>
      <c r="Q114" s="44"/>
      <c r="R114" s="44"/>
      <c r="S114" s="34"/>
      <c r="T114" s="201"/>
      <c r="U114" s="201"/>
      <c r="V114" s="201"/>
      <c r="W114" s="201"/>
      <c r="X114" s="201"/>
      <c r="Y114" s="201"/>
      <c r="Z114" s="201"/>
      <c r="AA114" s="201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201"/>
      <c r="AP114" s="201"/>
      <c r="AQ114" s="201"/>
      <c r="AR114" s="201"/>
      <c r="AS114" s="201"/>
      <c r="AT114" s="201"/>
      <c r="AU114" s="201"/>
      <c r="AV114" s="201"/>
      <c r="AW114" s="201"/>
      <c r="AX114" s="201"/>
      <c r="AY114" s="201"/>
      <c r="AZ114" s="201"/>
      <c r="BA114" s="201"/>
      <c r="BB114" s="201"/>
    </row>
    <row r="115" spans="2:54">
      <c r="B115" s="201"/>
      <c r="C115" s="201"/>
      <c r="D115" s="201"/>
      <c r="E115" s="201"/>
      <c r="F115" s="201"/>
      <c r="G115" s="201"/>
      <c r="H115" s="201"/>
      <c r="I115" s="45"/>
      <c r="J115" s="42"/>
      <c r="K115" s="42"/>
      <c r="L115" s="43"/>
      <c r="M115" s="44"/>
      <c r="N115" s="44"/>
      <c r="O115" s="42"/>
      <c r="P115" s="44"/>
      <c r="Q115" s="44"/>
      <c r="R115" s="44"/>
      <c r="S115" s="34"/>
      <c r="T115" s="1265" t="s">
        <v>87</v>
      </c>
      <c r="U115" s="1265"/>
      <c r="V115" s="1265"/>
      <c r="W115" s="1265"/>
      <c r="X115" s="1265"/>
      <c r="Y115" s="1265" t="s">
        <v>73</v>
      </c>
      <c r="Z115" s="1265"/>
      <c r="AA115" s="1265"/>
      <c r="AB115" s="1265" t="s">
        <v>74</v>
      </c>
      <c r="AC115" s="1265"/>
      <c r="AD115" s="423" t="s">
        <v>85</v>
      </c>
      <c r="AE115" s="423" t="s">
        <v>77</v>
      </c>
      <c r="AF115" s="1265" t="s">
        <v>525</v>
      </c>
      <c r="AG115" s="1265"/>
      <c r="AH115" s="1265"/>
      <c r="AI115" s="1265"/>
      <c r="AJ115" s="1265"/>
      <c r="AK115" s="1265"/>
      <c r="AL115" s="1265"/>
      <c r="AM115" s="1265"/>
      <c r="AN115" s="1265"/>
      <c r="AO115" s="1265"/>
      <c r="AP115" s="1265"/>
      <c r="AQ115" s="1265"/>
      <c r="AR115" s="1265"/>
      <c r="AS115" s="1265"/>
      <c r="AT115" s="1265"/>
      <c r="AU115" s="1265"/>
      <c r="AV115" s="1265"/>
      <c r="AW115" s="1265"/>
      <c r="AX115" s="1265"/>
      <c r="AY115" s="1265"/>
      <c r="AZ115" s="1265"/>
      <c r="BA115" s="1265"/>
      <c r="BB115" s="201"/>
    </row>
    <row r="116" spans="2:54">
      <c r="B116" s="1266" t="s">
        <v>526</v>
      </c>
      <c r="C116" s="1267"/>
      <c r="D116" s="570" t="s">
        <v>527</v>
      </c>
      <c r="E116" s="570"/>
      <c r="F116" s="570" t="s">
        <v>528</v>
      </c>
      <c r="G116" s="570" t="s">
        <v>529</v>
      </c>
      <c r="H116" s="570" t="s">
        <v>530</v>
      </c>
      <c r="I116" s="570" t="s">
        <v>531</v>
      </c>
      <c r="J116" s="570" t="s">
        <v>532</v>
      </c>
      <c r="K116" s="570"/>
      <c r="L116" s="570" t="s">
        <v>130</v>
      </c>
      <c r="M116" s="570" t="s">
        <v>533</v>
      </c>
      <c r="N116" s="408" t="str">
        <f>"On time - "&amp;COUNTIF(N117:N125,"On time")&amp;" from "&amp;ROWS(N117:N125)-COUNTIF(N117:N125," ")</f>
        <v>On time - 9 from 9</v>
      </c>
      <c r="O116" s="46"/>
      <c r="P116" s="409" t="s">
        <v>534</v>
      </c>
      <c r="Q116" s="409" t="s">
        <v>535</v>
      </c>
      <c r="R116" s="409" t="s">
        <v>536</v>
      </c>
      <c r="S116" s="32"/>
      <c r="T116" s="424" t="s">
        <v>537</v>
      </c>
      <c r="U116" s="424" t="s">
        <v>538</v>
      </c>
      <c r="V116" s="424" t="s">
        <v>539</v>
      </c>
      <c r="W116" s="424" t="s">
        <v>540</v>
      </c>
      <c r="X116" s="424" t="s">
        <v>541</v>
      </c>
      <c r="Y116" s="424" t="s">
        <v>167</v>
      </c>
      <c r="Z116" s="424" t="s">
        <v>168</v>
      </c>
      <c r="AA116" s="424" t="s">
        <v>169</v>
      </c>
      <c r="AB116" s="424" t="s">
        <v>235</v>
      </c>
      <c r="AC116" s="424" t="s">
        <v>240</v>
      </c>
      <c r="AD116" s="423" t="s">
        <v>85</v>
      </c>
      <c r="AE116" s="424" t="s">
        <v>139</v>
      </c>
      <c r="AF116" s="424" t="s">
        <v>72</v>
      </c>
      <c r="AG116" s="424" t="s">
        <v>88</v>
      </c>
      <c r="AH116" s="424" t="s">
        <v>75</v>
      </c>
      <c r="AI116" s="424" t="s">
        <v>543</v>
      </c>
      <c r="AJ116" s="424" t="s">
        <v>78</v>
      </c>
      <c r="AK116" s="424" t="s">
        <v>76</v>
      </c>
      <c r="AL116" s="424" t="s">
        <v>544</v>
      </c>
      <c r="AM116" s="424" t="s">
        <v>545</v>
      </c>
      <c r="AN116" s="424" t="s">
        <v>86</v>
      </c>
      <c r="AO116" s="424" t="s">
        <v>83</v>
      </c>
      <c r="AP116" s="424" t="s">
        <v>84</v>
      </c>
      <c r="AQ116" s="424" t="s">
        <v>546</v>
      </c>
      <c r="AR116" s="424" t="s">
        <v>81</v>
      </c>
      <c r="AS116" s="424" t="s">
        <v>80</v>
      </c>
      <c r="AT116" s="424" t="s">
        <v>82</v>
      </c>
      <c r="AU116" s="424" t="s">
        <v>181</v>
      </c>
      <c r="AV116" s="424" t="s">
        <v>183</v>
      </c>
      <c r="AW116" s="424" t="s">
        <v>547</v>
      </c>
      <c r="AX116" s="424" t="s">
        <v>182</v>
      </c>
      <c r="AY116" s="424" t="s">
        <v>172</v>
      </c>
      <c r="AZ116" s="424" t="s">
        <v>173</v>
      </c>
      <c r="BA116" s="424" t="s">
        <v>184</v>
      </c>
      <c r="BB116" s="201"/>
    </row>
    <row r="117" spans="2:54">
      <c r="B117" s="1294" t="s">
        <v>548</v>
      </c>
      <c r="C117" s="1295"/>
      <c r="D117" s="436" t="s">
        <v>1777</v>
      </c>
      <c r="E117" s="436"/>
      <c r="F117" s="436" t="s">
        <v>277</v>
      </c>
      <c r="G117" s="436" t="s">
        <v>278</v>
      </c>
      <c r="H117" s="437">
        <v>7418.0020000000004</v>
      </c>
      <c r="I117" s="438" t="s">
        <v>235</v>
      </c>
      <c r="J117" s="439">
        <v>45084.666666666664</v>
      </c>
      <c r="K117" s="439"/>
      <c r="L117" s="439" t="s">
        <v>192</v>
      </c>
      <c r="M117" s="439" t="s">
        <v>192</v>
      </c>
      <c r="N117" s="438" t="str">
        <f t="shared" ref="N117:N125" si="13">IF(ISBLANK(J117)," ",IF(J117&lt;$F$111,"On time",(IF(DAY(J117-$F$111)&lt;1,"On time",(IF(J117&gt;$F$111,"DELAY ( "&amp;DAY(J117-$F$111)&amp;" day "&amp;HOUR(J117-$F$111)&amp;" hour "&amp;MINUTE(J117-$F$111)&amp;" minute )","xxx"))))))</f>
        <v>On time</v>
      </c>
      <c r="O117" s="308"/>
      <c r="P117" s="440" t="s">
        <v>551</v>
      </c>
      <c r="Q117" s="440" t="s">
        <v>551</v>
      </c>
      <c r="R117" s="440" t="s">
        <v>551</v>
      </c>
      <c r="S117" s="201"/>
      <c r="T117" s="441"/>
      <c r="U117" s="441"/>
      <c r="V117" s="441"/>
      <c r="W117" s="441"/>
      <c r="X117" s="441"/>
      <c r="Y117" s="441"/>
      <c r="Z117" s="441"/>
      <c r="AA117" s="441"/>
      <c r="AB117" s="441">
        <f>H117</f>
        <v>7418.0020000000004</v>
      </c>
      <c r="AC117" s="441"/>
      <c r="AD117" s="441"/>
      <c r="AE117" s="441"/>
      <c r="AF117" s="441"/>
      <c r="AG117" s="441"/>
      <c r="AH117" s="441"/>
      <c r="AI117" s="441"/>
      <c r="AJ117" s="441"/>
      <c r="AK117" s="441"/>
      <c r="AL117" s="441"/>
      <c r="AM117" s="441"/>
      <c r="AN117" s="441"/>
      <c r="AO117" s="441"/>
      <c r="AP117" s="441"/>
      <c r="AQ117" s="441"/>
      <c r="AR117" s="441"/>
      <c r="AS117" s="441"/>
      <c r="AT117" s="441"/>
      <c r="AU117" s="441"/>
      <c r="AV117" s="441"/>
      <c r="AW117" s="441"/>
      <c r="AX117" s="441"/>
      <c r="AY117" s="441"/>
      <c r="AZ117" s="441"/>
      <c r="BA117" s="441"/>
      <c r="BB117" s="201"/>
    </row>
    <row r="118" spans="2:54">
      <c r="B118" s="1294" t="s">
        <v>548</v>
      </c>
      <c r="C118" s="1295"/>
      <c r="D118" s="436" t="s">
        <v>1779</v>
      </c>
      <c r="E118" s="436"/>
      <c r="F118" s="436" t="s">
        <v>774</v>
      </c>
      <c r="G118" s="436" t="s">
        <v>423</v>
      </c>
      <c r="H118" s="437">
        <v>7509.674</v>
      </c>
      <c r="I118" s="438" t="s">
        <v>235</v>
      </c>
      <c r="J118" s="439">
        <v>45084.520833333336</v>
      </c>
      <c r="K118" s="439"/>
      <c r="L118" s="439" t="s">
        <v>192</v>
      </c>
      <c r="M118" s="439" t="s">
        <v>192</v>
      </c>
      <c r="N118" s="438" t="str">
        <f t="shared" si="13"/>
        <v>On time</v>
      </c>
      <c r="O118" s="308"/>
      <c r="P118" s="440" t="s">
        <v>551</v>
      </c>
      <c r="Q118" s="440" t="s">
        <v>551</v>
      </c>
      <c r="R118" s="440" t="s">
        <v>551</v>
      </c>
      <c r="S118" s="201"/>
      <c r="T118" s="441"/>
      <c r="U118" s="441"/>
      <c r="V118" s="441"/>
      <c r="W118" s="441"/>
      <c r="X118" s="441"/>
      <c r="Y118" s="441"/>
      <c r="Z118" s="441"/>
      <c r="AA118" s="441"/>
      <c r="AB118" s="441">
        <f>H118</f>
        <v>7509.674</v>
      </c>
      <c r="AC118" s="441"/>
      <c r="AD118" s="441"/>
      <c r="AE118" s="441"/>
      <c r="AF118" s="441"/>
      <c r="AG118" s="441"/>
      <c r="AH118" s="441"/>
      <c r="AI118" s="441"/>
      <c r="AJ118" s="441"/>
      <c r="AK118" s="441"/>
      <c r="AL118" s="441"/>
      <c r="AM118" s="441"/>
      <c r="AN118" s="441"/>
      <c r="AO118" s="441"/>
      <c r="AP118" s="441"/>
      <c r="AQ118" s="441"/>
      <c r="AR118" s="441"/>
      <c r="AS118" s="441"/>
      <c r="AT118" s="441"/>
      <c r="AU118" s="441"/>
      <c r="AV118" s="441"/>
      <c r="AW118" s="441"/>
      <c r="AX118" s="441"/>
      <c r="AY118" s="441"/>
      <c r="AZ118" s="441"/>
      <c r="BA118" s="441"/>
      <c r="BB118" s="201"/>
    </row>
    <row r="119" spans="2:54">
      <c r="B119" s="1296" t="s">
        <v>643</v>
      </c>
      <c r="C119" s="1297"/>
      <c r="D119" s="436" t="s">
        <v>1778</v>
      </c>
      <c r="E119" s="436"/>
      <c r="F119" s="436" t="s">
        <v>380</v>
      </c>
      <c r="G119" s="436" t="s">
        <v>381</v>
      </c>
      <c r="H119" s="437">
        <v>7801.4189999999999</v>
      </c>
      <c r="I119" s="438" t="s">
        <v>235</v>
      </c>
      <c r="J119" s="439">
        <v>45084.395833333336</v>
      </c>
      <c r="K119" s="439"/>
      <c r="L119" s="439" t="s">
        <v>192</v>
      </c>
      <c r="M119" s="439" t="s">
        <v>192</v>
      </c>
      <c r="N119" s="438" t="str">
        <f t="shared" si="13"/>
        <v>On time</v>
      </c>
      <c r="O119" s="308"/>
      <c r="P119" s="440" t="s">
        <v>551</v>
      </c>
      <c r="Q119" s="440" t="s">
        <v>551</v>
      </c>
      <c r="R119" s="440" t="s">
        <v>551</v>
      </c>
      <c r="S119" s="201"/>
      <c r="T119" s="441"/>
      <c r="U119" s="441"/>
      <c r="V119" s="441"/>
      <c r="W119" s="441"/>
      <c r="X119" s="441"/>
      <c r="Y119" s="441"/>
      <c r="Z119" s="441"/>
      <c r="AA119" s="441"/>
      <c r="AB119" s="441">
        <f>H119</f>
        <v>7801.4189999999999</v>
      </c>
      <c r="AC119" s="441"/>
      <c r="AD119" s="441"/>
      <c r="AE119" s="441"/>
      <c r="AF119" s="441"/>
      <c r="AG119" s="441"/>
      <c r="AH119" s="441"/>
      <c r="AI119" s="441"/>
      <c r="AJ119" s="441"/>
      <c r="AK119" s="441"/>
      <c r="AL119" s="441"/>
      <c r="AM119" s="441"/>
      <c r="AN119" s="441"/>
      <c r="AO119" s="441"/>
      <c r="AP119" s="441"/>
      <c r="AQ119" s="441"/>
      <c r="AR119" s="441"/>
      <c r="AS119" s="441"/>
      <c r="AT119" s="441"/>
      <c r="AU119" s="441"/>
      <c r="AV119" s="441"/>
      <c r="AW119" s="441"/>
      <c r="AX119" s="441"/>
      <c r="AY119" s="441"/>
      <c r="AZ119" s="441"/>
      <c r="BA119" s="441"/>
      <c r="BB119" s="201"/>
    </row>
    <row r="120" spans="2:54">
      <c r="B120" s="1298"/>
      <c r="C120" s="1299"/>
      <c r="D120" s="436" t="s">
        <v>1880</v>
      </c>
      <c r="E120" s="442"/>
      <c r="F120" s="436" t="s">
        <v>1313</v>
      </c>
      <c r="G120" s="436" t="s">
        <v>438</v>
      </c>
      <c r="H120" s="437">
        <f>7522.906/3</f>
        <v>2507.6353333333332</v>
      </c>
      <c r="I120" s="438" t="s">
        <v>1164</v>
      </c>
      <c r="J120" s="439">
        <v>45085.229166666664</v>
      </c>
      <c r="K120" s="439"/>
      <c r="L120" s="439" t="s">
        <v>192</v>
      </c>
      <c r="M120" s="439" t="s">
        <v>192</v>
      </c>
      <c r="N120" s="438" t="str">
        <f t="shared" si="13"/>
        <v>On time</v>
      </c>
      <c r="O120" s="308"/>
      <c r="P120" s="440" t="s">
        <v>551</v>
      </c>
      <c r="Q120" s="440" t="s">
        <v>551</v>
      </c>
      <c r="R120" s="440" t="s">
        <v>551</v>
      </c>
      <c r="S120" s="201"/>
      <c r="T120" s="441"/>
      <c r="U120" s="441"/>
      <c r="V120" s="441"/>
      <c r="W120" s="441"/>
      <c r="X120" s="441">
        <f>H120</f>
        <v>2507.6353333333332</v>
      </c>
      <c r="Y120" s="441"/>
      <c r="Z120" s="441"/>
      <c r="AA120" s="441"/>
      <c r="AB120" s="441"/>
      <c r="AC120" s="441"/>
      <c r="AD120" s="441"/>
      <c r="AE120" s="441"/>
      <c r="AF120" s="441"/>
      <c r="AG120" s="441"/>
      <c r="AH120" s="441"/>
      <c r="AI120" s="441"/>
      <c r="AJ120" s="441"/>
      <c r="AK120" s="441"/>
      <c r="AL120" s="441"/>
      <c r="AM120" s="441"/>
      <c r="AN120" s="441"/>
      <c r="AO120" s="441"/>
      <c r="AP120" s="441"/>
      <c r="AQ120" s="441"/>
      <c r="AR120" s="441"/>
      <c r="AS120" s="441"/>
      <c r="AT120" s="441"/>
      <c r="AU120" s="441"/>
      <c r="AV120" s="441"/>
      <c r="AW120" s="441"/>
      <c r="AX120" s="441"/>
      <c r="AY120" s="441"/>
      <c r="AZ120" s="441"/>
      <c r="BA120" s="441"/>
      <c r="BB120" s="201"/>
    </row>
    <row r="121" spans="2:54">
      <c r="B121" s="1296" t="s">
        <v>643</v>
      </c>
      <c r="C121" s="1297"/>
      <c r="D121" s="436" t="s">
        <v>1916</v>
      </c>
      <c r="E121" s="436"/>
      <c r="F121" s="436" t="s">
        <v>201</v>
      </c>
      <c r="G121" s="436" t="s">
        <v>202</v>
      </c>
      <c r="H121" s="437">
        <v>7651.683</v>
      </c>
      <c r="I121" s="438" t="s">
        <v>172</v>
      </c>
      <c r="J121" s="439">
        <v>45085.340277777781</v>
      </c>
      <c r="K121" s="439"/>
      <c r="L121" s="439" t="s">
        <v>192</v>
      </c>
      <c r="M121" s="439" t="s">
        <v>192</v>
      </c>
      <c r="N121" s="438" t="str">
        <f t="shared" si="13"/>
        <v>On time</v>
      </c>
      <c r="O121" s="308"/>
      <c r="P121" s="440" t="s">
        <v>551</v>
      </c>
      <c r="Q121" s="440" t="s">
        <v>551</v>
      </c>
      <c r="R121" s="440" t="s">
        <v>551</v>
      </c>
      <c r="S121" s="201"/>
      <c r="T121" s="441"/>
      <c r="U121" s="441"/>
      <c r="V121" s="441"/>
      <c r="W121" s="441"/>
      <c r="X121" s="441"/>
      <c r="Y121" s="441"/>
      <c r="Z121" s="441"/>
      <c r="AA121" s="441"/>
      <c r="AB121" s="441"/>
      <c r="AC121" s="441"/>
      <c r="AD121" s="441"/>
      <c r="AE121" s="441"/>
      <c r="AF121" s="441"/>
      <c r="AG121" s="441"/>
      <c r="AH121" s="441"/>
      <c r="AI121" s="441"/>
      <c r="AJ121" s="441"/>
      <c r="AK121" s="441"/>
      <c r="AL121" s="441"/>
      <c r="AM121" s="441"/>
      <c r="AN121" s="441"/>
      <c r="AO121" s="441"/>
      <c r="AP121" s="441"/>
      <c r="AQ121" s="441"/>
      <c r="AR121" s="201"/>
      <c r="AS121" s="441"/>
      <c r="AT121" s="441"/>
      <c r="AU121" s="441"/>
      <c r="AV121" s="441"/>
      <c r="AW121" s="441"/>
      <c r="AX121" s="441"/>
      <c r="AY121" s="441">
        <f>H121</f>
        <v>7651.683</v>
      </c>
      <c r="AZ121" s="441"/>
      <c r="BA121" s="441"/>
      <c r="BB121" s="201"/>
    </row>
    <row r="122" spans="2:54">
      <c r="B122" s="1298"/>
      <c r="C122" s="1299"/>
      <c r="D122" s="436" t="s">
        <v>1880</v>
      </c>
      <c r="E122" s="442"/>
      <c r="F122" s="436" t="s">
        <v>1313</v>
      </c>
      <c r="G122" s="436" t="s">
        <v>438</v>
      </c>
      <c r="H122" s="437">
        <f>H120</f>
        <v>2507.6353333333332</v>
      </c>
      <c r="I122" s="438" t="s">
        <v>1164</v>
      </c>
      <c r="J122" s="439">
        <v>45085.229166666664</v>
      </c>
      <c r="K122" s="439"/>
      <c r="L122" s="439" t="s">
        <v>192</v>
      </c>
      <c r="M122" s="439" t="s">
        <v>192</v>
      </c>
      <c r="N122" s="438" t="str">
        <f t="shared" si="13"/>
        <v>On time</v>
      </c>
      <c r="O122" s="308"/>
      <c r="P122" s="440" t="s">
        <v>551</v>
      </c>
      <c r="Q122" s="440" t="s">
        <v>551</v>
      </c>
      <c r="R122" s="440" t="s">
        <v>551</v>
      </c>
      <c r="S122" s="201"/>
      <c r="T122" s="441"/>
      <c r="U122" s="441"/>
      <c r="V122" s="441"/>
      <c r="W122" s="441"/>
      <c r="X122" s="441">
        <f>H122</f>
        <v>2507.6353333333332</v>
      </c>
      <c r="Y122" s="441"/>
      <c r="Z122" s="441"/>
      <c r="AA122" s="441"/>
      <c r="AB122" s="441"/>
      <c r="AC122" s="441"/>
      <c r="AD122" s="441"/>
      <c r="AE122" s="441"/>
      <c r="AF122" s="441"/>
      <c r="AG122" s="441"/>
      <c r="AH122" s="441"/>
      <c r="AI122" s="441"/>
      <c r="AJ122" s="441"/>
      <c r="AK122" s="441"/>
      <c r="AL122" s="441"/>
      <c r="AM122" s="441"/>
      <c r="AN122" s="441"/>
      <c r="AO122" s="441"/>
      <c r="AP122" s="441"/>
      <c r="AQ122" s="441"/>
      <c r="AR122" s="441"/>
      <c r="AS122" s="441"/>
      <c r="AT122" s="441"/>
      <c r="AU122" s="441"/>
      <c r="AV122" s="441"/>
      <c r="AW122" s="441"/>
      <c r="AX122" s="441"/>
      <c r="AY122" s="441"/>
      <c r="AZ122" s="441"/>
      <c r="BA122" s="441"/>
      <c r="BB122" s="201"/>
    </row>
    <row r="123" spans="2:54">
      <c r="B123" s="1296" t="s">
        <v>643</v>
      </c>
      <c r="C123" s="1297"/>
      <c r="D123" s="436" t="s">
        <v>1905</v>
      </c>
      <c r="E123" s="436"/>
      <c r="F123" s="436" t="s">
        <v>238</v>
      </c>
      <c r="G123" s="436" t="s">
        <v>239</v>
      </c>
      <c r="H123" s="437">
        <v>7500</v>
      </c>
      <c r="I123" s="438" t="s">
        <v>76</v>
      </c>
      <c r="J123" s="439">
        <v>45085.388888888891</v>
      </c>
      <c r="K123" s="439"/>
      <c r="L123" s="439" t="s">
        <v>192</v>
      </c>
      <c r="M123" s="439" t="s">
        <v>192</v>
      </c>
      <c r="N123" s="438" t="str">
        <f t="shared" si="13"/>
        <v>On time</v>
      </c>
      <c r="O123" s="308"/>
      <c r="P123" s="440" t="s">
        <v>551</v>
      </c>
      <c r="Q123" s="440" t="s">
        <v>551</v>
      </c>
      <c r="R123" s="440" t="s">
        <v>551</v>
      </c>
      <c r="S123" s="201"/>
      <c r="T123" s="441"/>
      <c r="U123" s="441"/>
      <c r="V123" s="441"/>
      <c r="W123" s="441"/>
      <c r="X123" s="441"/>
      <c r="Y123" s="441"/>
      <c r="Z123" s="441"/>
      <c r="AA123" s="441"/>
      <c r="AB123" s="441"/>
      <c r="AC123" s="441"/>
      <c r="AD123" s="441"/>
      <c r="AE123" s="441"/>
      <c r="AF123" s="441"/>
      <c r="AG123" s="441"/>
      <c r="AH123" s="441"/>
      <c r="AI123" s="441"/>
      <c r="AJ123" s="201"/>
      <c r="AK123" s="441">
        <f>H123</f>
        <v>7500</v>
      </c>
      <c r="AL123" s="441"/>
      <c r="AM123" s="441"/>
      <c r="AN123" s="441"/>
      <c r="AO123" s="441"/>
      <c r="AP123" s="441"/>
      <c r="AQ123" s="441"/>
      <c r="AR123" s="441"/>
      <c r="AS123" s="441"/>
      <c r="AT123" s="441"/>
      <c r="AU123" s="441"/>
      <c r="AV123" s="441"/>
      <c r="AW123" s="441"/>
      <c r="AX123" s="441"/>
      <c r="AY123" s="441"/>
      <c r="AZ123" s="441"/>
      <c r="BA123" s="441"/>
      <c r="BB123" s="201"/>
    </row>
    <row r="124" spans="2:54">
      <c r="B124" s="1298"/>
      <c r="C124" s="1299"/>
      <c r="D124" s="436" t="s">
        <v>1880</v>
      </c>
      <c r="E124" s="442"/>
      <c r="F124" s="436" t="s">
        <v>1313</v>
      </c>
      <c r="G124" s="436" t="s">
        <v>438</v>
      </c>
      <c r="H124" s="437">
        <f>H122</f>
        <v>2507.6353333333332</v>
      </c>
      <c r="I124" s="438" t="s">
        <v>1164</v>
      </c>
      <c r="J124" s="439">
        <v>45085.229166666664</v>
      </c>
      <c r="K124" s="439"/>
      <c r="L124" s="439" t="s">
        <v>192</v>
      </c>
      <c r="M124" s="439" t="s">
        <v>192</v>
      </c>
      <c r="N124" s="438" t="str">
        <f t="shared" si="13"/>
        <v>On time</v>
      </c>
      <c r="O124" s="308"/>
      <c r="P124" s="440" t="s">
        <v>551</v>
      </c>
      <c r="Q124" s="440" t="s">
        <v>551</v>
      </c>
      <c r="R124" s="440" t="s">
        <v>551</v>
      </c>
      <c r="S124" s="201"/>
      <c r="T124" s="441"/>
      <c r="U124" s="441"/>
      <c r="V124" s="441"/>
      <c r="W124" s="441"/>
      <c r="X124" s="441">
        <f>H124</f>
        <v>2507.6353333333332</v>
      </c>
      <c r="Y124" s="441"/>
      <c r="Z124" s="441"/>
      <c r="AA124" s="441"/>
      <c r="AB124" s="441"/>
      <c r="AC124" s="441"/>
      <c r="AD124" s="441"/>
      <c r="AE124" s="441"/>
      <c r="AF124" s="441"/>
      <c r="AG124" s="441"/>
      <c r="AH124" s="441"/>
      <c r="AI124" s="441"/>
      <c r="AJ124" s="441"/>
      <c r="AK124" s="441"/>
      <c r="AL124" s="441"/>
      <c r="AM124" s="441"/>
      <c r="AN124" s="441"/>
      <c r="AO124" s="441"/>
      <c r="AP124" s="441"/>
      <c r="AQ124" s="441"/>
      <c r="AR124" s="441"/>
      <c r="AS124" s="441"/>
      <c r="AT124" s="441"/>
      <c r="AU124" s="441"/>
      <c r="AV124" s="441"/>
      <c r="AW124" s="441"/>
      <c r="AX124" s="441"/>
      <c r="AY124" s="441"/>
      <c r="AZ124" s="441"/>
      <c r="BA124" s="441"/>
      <c r="BB124" s="201"/>
    </row>
    <row r="125" spans="2:54">
      <c r="B125" s="1294" t="s">
        <v>548</v>
      </c>
      <c r="C125" s="1295"/>
      <c r="D125" s="436" t="s">
        <v>1780</v>
      </c>
      <c r="E125" s="436"/>
      <c r="F125" s="436" t="s">
        <v>390</v>
      </c>
      <c r="G125" s="436" t="s">
        <v>391</v>
      </c>
      <c r="H125" s="437">
        <f>7550.17-3453.854</f>
        <v>4096.3160000000007</v>
      </c>
      <c r="I125" s="438" t="s">
        <v>240</v>
      </c>
      <c r="J125" s="439">
        <v>45084.152777777781</v>
      </c>
      <c r="K125" s="439"/>
      <c r="L125" s="439" t="s">
        <v>192</v>
      </c>
      <c r="M125" s="439" t="s">
        <v>192</v>
      </c>
      <c r="N125" s="438" t="str">
        <f t="shared" si="13"/>
        <v>On time</v>
      </c>
      <c r="O125" s="308"/>
      <c r="P125" s="440" t="s">
        <v>551</v>
      </c>
      <c r="Q125" s="440" t="s">
        <v>551</v>
      </c>
      <c r="R125" s="440" t="s">
        <v>551</v>
      </c>
      <c r="S125" s="201"/>
      <c r="T125" s="441"/>
      <c r="U125" s="441"/>
      <c r="V125" s="441"/>
      <c r="W125" s="441"/>
      <c r="X125" s="441"/>
      <c r="Y125" s="441"/>
      <c r="Z125" s="441"/>
      <c r="AA125" s="441"/>
      <c r="AB125" s="201"/>
      <c r="AC125" s="441">
        <f>H125</f>
        <v>4096.3160000000007</v>
      </c>
      <c r="AD125" s="441"/>
      <c r="AE125" s="441"/>
      <c r="AF125" s="441"/>
      <c r="AG125" s="441"/>
      <c r="AH125" s="441"/>
      <c r="AI125" s="441"/>
      <c r="AJ125" s="441"/>
      <c r="AK125" s="441"/>
      <c r="AL125" s="441"/>
      <c r="AM125" s="441"/>
      <c r="AN125" s="441"/>
      <c r="AO125" s="441"/>
      <c r="AP125" s="441"/>
      <c r="AQ125" s="441"/>
      <c r="AR125" s="441"/>
      <c r="AS125" s="441"/>
      <c r="AT125" s="441"/>
      <c r="AU125" s="441"/>
      <c r="AV125" s="441"/>
      <c r="AW125" s="441"/>
      <c r="AX125" s="441"/>
      <c r="AY125" s="441"/>
      <c r="AZ125" s="441"/>
      <c r="BA125" s="441"/>
      <c r="BB125" s="201"/>
    </row>
    <row r="126" spans="2:54">
      <c r="B126" s="1258" t="s">
        <v>556</v>
      </c>
      <c r="C126" s="1259"/>
      <c r="D126" s="1259"/>
      <c r="E126" s="1259"/>
      <c r="F126" s="1259"/>
      <c r="G126" s="1260"/>
      <c r="H126" s="417">
        <f>SUM(H117:H125)</f>
        <v>49499.999999999993</v>
      </c>
      <c r="I126" s="388"/>
      <c r="J126" s="293"/>
      <c r="K126" s="293"/>
      <c r="L126" s="293"/>
      <c r="M126" s="389"/>
      <c r="N126" s="413" t="str">
        <f t="shared" ref="N126:N127" si="14">IF(ISBLANK(J126)," ",IF(J126&lt;$F$4,"On time",(IF(DAY(J126-$F$4)&lt;1,"On time",(IF(J126&gt;$F$4,"DELAY ( "&amp;DAY(J126-$F$4)&amp;" day "&amp;HOUR(J126-$F$4)&amp;" hour "&amp;MINUTE(J126-$F$4)&amp;" minute )","xxx"))))))</f>
        <v xml:space="preserve"> </v>
      </c>
      <c r="O126" s="212"/>
      <c r="P126" s="418"/>
      <c r="Q126" s="418"/>
      <c r="R126" s="418"/>
      <c r="S126" s="207"/>
      <c r="T126" s="1262"/>
      <c r="U126" s="1263"/>
      <c r="V126" s="1263"/>
      <c r="W126" s="1263"/>
      <c r="X126" s="1263"/>
      <c r="Y126" s="1263"/>
      <c r="Z126" s="1263"/>
      <c r="AA126" s="1263"/>
      <c r="AB126" s="1263"/>
      <c r="AC126" s="1263"/>
      <c r="AD126" s="1263"/>
      <c r="AE126" s="1263"/>
      <c r="AF126" s="1263"/>
      <c r="AG126" s="1263"/>
      <c r="AH126" s="1263"/>
      <c r="AI126" s="1263"/>
      <c r="AJ126" s="1263"/>
      <c r="AK126" s="1263"/>
      <c r="AL126" s="1263"/>
      <c r="AM126" s="1263"/>
      <c r="AN126" s="1263"/>
      <c r="AO126" s="1263"/>
      <c r="AP126" s="1263"/>
      <c r="AQ126" s="1263"/>
      <c r="AR126" s="1263"/>
      <c r="AS126" s="1263"/>
      <c r="AT126" s="1263"/>
      <c r="AU126" s="1263"/>
      <c r="AV126" s="1263"/>
      <c r="AW126" s="1263"/>
      <c r="AX126" s="1263"/>
      <c r="AY126" s="1263"/>
      <c r="AZ126" s="1263"/>
      <c r="BA126" s="1263"/>
    </row>
    <row r="127" spans="2:54">
      <c r="B127" s="1243" t="s">
        <v>557</v>
      </c>
      <c r="C127" s="1244"/>
      <c r="D127" s="1244"/>
      <c r="E127" s="1244"/>
      <c r="F127" s="1244"/>
      <c r="G127" s="1245"/>
      <c r="H127" s="419">
        <v>49500</v>
      </c>
      <c r="I127" s="1273"/>
      <c r="J127" s="1274"/>
      <c r="K127" s="1274"/>
      <c r="L127" s="1274"/>
      <c r="M127" s="1275"/>
      <c r="N127" s="413" t="str">
        <f t="shared" si="14"/>
        <v xml:space="preserve"> </v>
      </c>
      <c r="O127" s="32"/>
      <c r="P127" s="415"/>
      <c r="Q127" s="415"/>
      <c r="R127" s="415"/>
      <c r="S127" s="63"/>
      <c r="T127" s="416">
        <f>SUM(T117:T125)</f>
        <v>0</v>
      </c>
      <c r="U127" s="416">
        <f t="shared" ref="U127:BA127" si="15">SUM(U117:U125)</f>
        <v>0</v>
      </c>
      <c r="V127" s="416">
        <f t="shared" si="15"/>
        <v>0</v>
      </c>
      <c r="W127" s="416">
        <f t="shared" si="15"/>
        <v>0</v>
      </c>
      <c r="X127" s="416">
        <f t="shared" si="15"/>
        <v>7522.905999999999</v>
      </c>
      <c r="Y127" s="416">
        <f t="shared" si="15"/>
        <v>0</v>
      </c>
      <c r="Z127" s="416">
        <f t="shared" si="15"/>
        <v>0</v>
      </c>
      <c r="AA127" s="416">
        <f t="shared" si="15"/>
        <v>0</v>
      </c>
      <c r="AB127" s="416">
        <f t="shared" si="15"/>
        <v>22729.095000000001</v>
      </c>
      <c r="AC127" s="416">
        <f t="shared" si="15"/>
        <v>4096.3160000000007</v>
      </c>
      <c r="AD127" s="416">
        <f t="shared" si="15"/>
        <v>0</v>
      </c>
      <c r="AE127" s="416">
        <f t="shared" si="15"/>
        <v>0</v>
      </c>
      <c r="AF127" s="416">
        <f t="shared" si="15"/>
        <v>0</v>
      </c>
      <c r="AG127" s="416">
        <f t="shared" si="15"/>
        <v>0</v>
      </c>
      <c r="AH127" s="416">
        <f t="shared" si="15"/>
        <v>0</v>
      </c>
      <c r="AI127" s="416">
        <f t="shared" si="15"/>
        <v>0</v>
      </c>
      <c r="AJ127" s="416">
        <f t="shared" si="15"/>
        <v>0</v>
      </c>
      <c r="AK127" s="416">
        <f t="shared" si="15"/>
        <v>7500</v>
      </c>
      <c r="AL127" s="416">
        <f t="shared" si="15"/>
        <v>0</v>
      </c>
      <c r="AM127" s="416">
        <f t="shared" si="15"/>
        <v>0</v>
      </c>
      <c r="AN127" s="416">
        <f t="shared" si="15"/>
        <v>0</v>
      </c>
      <c r="AO127" s="416">
        <f t="shared" si="15"/>
        <v>0</v>
      </c>
      <c r="AP127" s="416">
        <f t="shared" si="15"/>
        <v>0</v>
      </c>
      <c r="AQ127" s="416">
        <f t="shared" si="15"/>
        <v>0</v>
      </c>
      <c r="AR127" s="416">
        <f t="shared" si="15"/>
        <v>0</v>
      </c>
      <c r="AS127" s="416">
        <f t="shared" si="15"/>
        <v>0</v>
      </c>
      <c r="AT127" s="416">
        <f t="shared" si="15"/>
        <v>0</v>
      </c>
      <c r="AU127" s="416">
        <f t="shared" si="15"/>
        <v>0</v>
      </c>
      <c r="AV127" s="416">
        <f t="shared" si="15"/>
        <v>0</v>
      </c>
      <c r="AW127" s="416">
        <f t="shared" si="15"/>
        <v>0</v>
      </c>
      <c r="AX127" s="416">
        <f t="shared" si="15"/>
        <v>0</v>
      </c>
      <c r="AY127" s="416">
        <f t="shared" si="15"/>
        <v>7651.683</v>
      </c>
      <c r="AZ127" s="416">
        <f t="shared" si="15"/>
        <v>0</v>
      </c>
      <c r="BA127" s="416">
        <f t="shared" si="15"/>
        <v>0</v>
      </c>
      <c r="BB127" s="416">
        <f>SUM(T127:BA127)</f>
        <v>49500</v>
      </c>
    </row>
    <row r="128" spans="2:54">
      <c r="B128" s="1243" t="s">
        <v>558</v>
      </c>
      <c r="C128" s="1244"/>
      <c r="D128" s="1244"/>
      <c r="E128" s="1244"/>
      <c r="F128" s="1244"/>
      <c r="G128" s="1245"/>
      <c r="H128" s="420">
        <f>H127-L111</f>
        <v>0</v>
      </c>
      <c r="I128" s="294"/>
      <c r="J128" s="295"/>
      <c r="K128" s="295"/>
      <c r="L128" s="296"/>
      <c r="M128" s="32"/>
      <c r="N128" s="32"/>
      <c r="O128" s="32"/>
      <c r="P128" s="32"/>
      <c r="Q128" s="297"/>
      <c r="R128" s="297"/>
      <c r="S128" s="32"/>
      <c r="T128" s="48"/>
      <c r="U128" s="48"/>
      <c r="V128" s="48"/>
      <c r="W128" s="48"/>
      <c r="X128" s="48"/>
      <c r="Y128" s="48"/>
      <c r="Z128" s="48"/>
      <c r="AA128" s="48"/>
      <c r="AB128" s="48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</row>
    <row r="129" spans="2:54">
      <c r="B129" s="1243" t="s">
        <v>559</v>
      </c>
      <c r="C129" s="1244"/>
      <c r="D129" s="1244"/>
      <c r="E129" s="1244"/>
      <c r="F129" s="1244"/>
      <c r="G129" s="1245"/>
      <c r="H129" s="420">
        <v>3283</v>
      </c>
      <c r="I129" s="52"/>
      <c r="J129" s="53"/>
      <c r="K129" s="53"/>
      <c r="L129" s="54"/>
      <c r="M129" s="32"/>
      <c r="N129" s="201"/>
      <c r="O129" s="32"/>
      <c r="P129" s="32"/>
      <c r="Q129" s="32"/>
      <c r="R129" s="32"/>
      <c r="S129" s="32"/>
      <c r="T129" s="48"/>
      <c r="U129" s="48"/>
      <c r="V129" s="48"/>
      <c r="W129" s="48"/>
      <c r="X129" s="48"/>
      <c r="Y129" s="48"/>
      <c r="Z129" s="48"/>
      <c r="AA129" s="48"/>
      <c r="AB129" s="48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</row>
    <row r="130" spans="2:54">
      <c r="B130" s="1243" t="s">
        <v>560</v>
      </c>
      <c r="C130" s="1244"/>
      <c r="D130" s="1244"/>
      <c r="E130" s="1244"/>
      <c r="F130" s="1244"/>
      <c r="G130" s="1245"/>
      <c r="H130" s="421">
        <f>H129-3453.854</f>
        <v>-170.85399999999981</v>
      </c>
      <c r="I130" s="52"/>
      <c r="J130" s="53"/>
      <c r="K130" s="53"/>
      <c r="L130" s="54"/>
      <c r="M130" s="32"/>
      <c r="N130" s="32"/>
      <c r="O130" s="32"/>
      <c r="P130" s="32"/>
      <c r="Q130" s="32"/>
      <c r="R130" s="32"/>
      <c r="S130" s="48"/>
      <c r="T130" s="48"/>
      <c r="U130" s="48"/>
      <c r="V130" s="48"/>
      <c r="W130" s="48"/>
      <c r="X130" s="48"/>
      <c r="Y130" s="48"/>
      <c r="Z130" s="48"/>
      <c r="AA130" s="48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2:54">
      <c r="B131" s="201"/>
      <c r="C131" s="201"/>
      <c r="D131" s="201"/>
      <c r="E131" s="201"/>
      <c r="F131" s="201"/>
      <c r="G131" s="201"/>
      <c r="H131" s="201"/>
      <c r="I131" s="213"/>
      <c r="J131" s="209"/>
      <c r="K131" s="209"/>
      <c r="L131" s="203"/>
      <c r="M131" s="201"/>
      <c r="N131" s="201"/>
      <c r="O131" s="209"/>
      <c r="P131" s="32"/>
      <c r="Q131" s="32"/>
      <c r="R131" s="32"/>
      <c r="S131" s="32"/>
      <c r="T131" s="48"/>
      <c r="U131" s="48"/>
      <c r="V131" s="48"/>
      <c r="W131" s="48"/>
      <c r="X131" s="48"/>
      <c r="Y131" s="48"/>
      <c r="Z131" s="48"/>
      <c r="AA131" s="48"/>
      <c r="AB131" s="48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</row>
    <row r="132" spans="2:54">
      <c r="B132" s="40" t="s">
        <v>561</v>
      </c>
      <c r="C132" s="40"/>
      <c r="D132" s="32"/>
      <c r="E132" s="32"/>
      <c r="F132" s="32"/>
      <c r="G132" s="32"/>
      <c r="H132" s="32"/>
      <c r="I132" s="32"/>
      <c r="J132" s="52"/>
      <c r="K132" s="52"/>
      <c r="L132" s="55"/>
      <c r="M132" s="32"/>
      <c r="N132" s="201"/>
      <c r="O132" s="5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1"/>
      <c r="AC132" s="201"/>
      <c r="AD132" s="201"/>
      <c r="AE132" s="201"/>
      <c r="AF132" s="201"/>
      <c r="AG132" s="201"/>
      <c r="AH132" s="201"/>
      <c r="AI132" s="201"/>
      <c r="AJ132" s="201"/>
      <c r="AK132" s="201"/>
      <c r="AL132" s="201"/>
      <c r="AM132" s="201"/>
      <c r="AN132" s="201"/>
      <c r="AO132" s="201"/>
      <c r="AP132" s="201"/>
      <c r="AQ132" s="201"/>
      <c r="AR132" s="201"/>
      <c r="AS132" s="201"/>
      <c r="AT132" s="201"/>
      <c r="AU132" s="201"/>
      <c r="BB132" s="201"/>
    </row>
    <row r="133" spans="2:54">
      <c r="B133" s="422">
        <v>1</v>
      </c>
      <c r="C133" s="1249" t="s">
        <v>2007</v>
      </c>
      <c r="D133" s="1249"/>
      <c r="E133" s="1249"/>
      <c r="F133" s="1249"/>
      <c r="G133" s="1249"/>
      <c r="H133" s="1249"/>
      <c r="I133" s="1249"/>
      <c r="J133" s="1249"/>
      <c r="K133" s="1249"/>
      <c r="L133" s="203"/>
      <c r="M133" s="203"/>
      <c r="N133" s="201"/>
      <c r="O133" s="209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  <c r="AQ133" s="201"/>
      <c r="AR133" s="201"/>
      <c r="AS133" s="201"/>
      <c r="AT133" s="201"/>
      <c r="AU133" s="201"/>
      <c r="AV133" s="201"/>
      <c r="AW133" s="201"/>
      <c r="AX133" s="201"/>
      <c r="AY133" s="201"/>
      <c r="AZ133" s="201"/>
      <c r="BA133" s="201"/>
      <c r="BB133" s="201"/>
    </row>
    <row r="134" spans="2:54"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3"/>
      <c r="M134" s="203"/>
      <c r="N134" s="201"/>
      <c r="O134" s="209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1"/>
      <c r="AC134" s="201"/>
      <c r="AD134" s="201"/>
      <c r="AE134" s="201"/>
      <c r="AF134" s="201"/>
      <c r="AG134" s="201"/>
      <c r="AH134" s="201"/>
      <c r="AI134" s="201"/>
      <c r="AJ134" s="201"/>
      <c r="AK134" s="201"/>
      <c r="AL134" s="201"/>
      <c r="AM134" s="201"/>
      <c r="AN134" s="201"/>
      <c r="AO134" s="201"/>
      <c r="AP134" s="201"/>
      <c r="AQ134" s="201"/>
      <c r="AR134" s="201"/>
      <c r="AS134" s="201"/>
      <c r="AT134" s="201"/>
      <c r="AU134" s="201"/>
      <c r="AV134" s="201"/>
      <c r="AW134" s="201"/>
      <c r="AX134" s="201"/>
      <c r="AY134" s="201"/>
      <c r="AZ134" s="201"/>
      <c r="BA134" s="201"/>
      <c r="BB134" s="201"/>
    </row>
    <row r="135" spans="2:54">
      <c r="B135" s="28" t="s">
        <v>126</v>
      </c>
      <c r="C135" s="28"/>
      <c r="D135" s="29"/>
      <c r="E135" s="30" t="s">
        <v>511</v>
      </c>
      <c r="F135" s="31" t="s">
        <v>1548</v>
      </c>
      <c r="G135" s="32"/>
      <c r="H135" s="33"/>
      <c r="I135" s="34"/>
      <c r="J135" s="35" t="s">
        <v>513</v>
      </c>
      <c r="K135" s="36" t="s">
        <v>511</v>
      </c>
      <c r="L135" s="306">
        <f>'VLU 2023 &amp; 2024'!$M$105</f>
        <v>45087.034722222219</v>
      </c>
      <c r="M135" s="32"/>
      <c r="N135" s="32"/>
      <c r="O135" s="206"/>
      <c r="P135" s="205"/>
      <c r="Q135" s="202"/>
      <c r="R135" s="204"/>
      <c r="S135" s="38"/>
      <c r="T135" s="201"/>
      <c r="U135" s="201"/>
      <c r="V135" s="201"/>
      <c r="W135" s="201"/>
      <c r="X135" s="201"/>
      <c r="Y135" s="201"/>
      <c r="Z135" s="201"/>
      <c r="AA135" s="201"/>
      <c r="AB135" s="202"/>
      <c r="AC135" s="202"/>
      <c r="AD135" s="202"/>
      <c r="AE135" s="202"/>
      <c r="AF135" s="202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</row>
    <row r="136" spans="2:54">
      <c r="B136" s="35" t="s">
        <v>514</v>
      </c>
      <c r="C136" s="35"/>
      <c r="D136" s="32"/>
      <c r="E136" s="36" t="s">
        <v>511</v>
      </c>
      <c r="F136" s="37" t="s">
        <v>2008</v>
      </c>
      <c r="G136" s="59" t="s">
        <v>647</v>
      </c>
      <c r="H136" s="33"/>
      <c r="I136" s="34"/>
      <c r="J136" s="35" t="s">
        <v>516</v>
      </c>
      <c r="K136" s="36" t="s">
        <v>511</v>
      </c>
      <c r="L136" s="37">
        <v>45089.173611111109</v>
      </c>
      <c r="M136" s="32"/>
      <c r="N136" s="32"/>
      <c r="O136" s="206"/>
      <c r="P136" s="205"/>
      <c r="Q136" s="202"/>
      <c r="R136" s="204"/>
      <c r="S136" s="38"/>
      <c r="T136" s="201"/>
      <c r="U136" s="201"/>
      <c r="V136" s="201"/>
      <c r="W136" s="201"/>
      <c r="X136" s="201"/>
      <c r="Y136" s="201"/>
      <c r="Z136" s="201"/>
      <c r="AA136" s="201"/>
      <c r="AB136" s="202"/>
      <c r="AC136" s="202"/>
      <c r="AD136" s="202"/>
      <c r="AE136" s="202"/>
      <c r="AF136" s="202"/>
      <c r="AG136" s="201"/>
      <c r="AH136" s="201"/>
      <c r="AI136" s="201"/>
      <c r="AJ136" s="201"/>
      <c r="AK136" s="201"/>
      <c r="AL136" s="201"/>
      <c r="AM136" s="201"/>
      <c r="AN136" s="201"/>
      <c r="AO136" s="201"/>
      <c r="AP136" s="201"/>
      <c r="AQ136" s="201"/>
      <c r="AR136" s="201"/>
      <c r="AS136" s="201"/>
      <c r="AT136" s="201"/>
      <c r="AU136" s="201"/>
      <c r="AV136" s="201"/>
      <c r="AW136" s="201"/>
      <c r="AX136" s="201"/>
      <c r="AY136" s="201"/>
      <c r="AZ136" s="201"/>
      <c r="BA136" s="201"/>
      <c r="BB136" s="201"/>
    </row>
    <row r="137" spans="2:54">
      <c r="B137" s="35" t="s">
        <v>517</v>
      </c>
      <c r="C137" s="35"/>
      <c r="D137" s="32"/>
      <c r="E137" s="36" t="s">
        <v>511</v>
      </c>
      <c r="F137" s="37">
        <v>45078.916666666664</v>
      </c>
      <c r="G137" s="60">
        <v>45079</v>
      </c>
      <c r="H137" s="33"/>
      <c r="I137" s="34"/>
      <c r="J137" s="35" t="s">
        <v>518</v>
      </c>
      <c r="K137" s="36" t="s">
        <v>511</v>
      </c>
      <c r="L137" s="50">
        <v>74140</v>
      </c>
      <c r="M137" s="40" t="s">
        <v>519</v>
      </c>
      <c r="N137" s="40"/>
      <c r="O137" s="206"/>
      <c r="P137" s="205"/>
      <c r="Q137" s="202"/>
      <c r="R137" s="204"/>
      <c r="S137" s="38"/>
      <c r="T137" s="201"/>
      <c r="U137" s="201"/>
      <c r="V137" s="201"/>
      <c r="W137" s="201"/>
      <c r="X137" s="201"/>
      <c r="Y137" s="201"/>
      <c r="Z137" s="201"/>
      <c r="AA137" s="201"/>
      <c r="AB137" s="202"/>
      <c r="AC137" s="202"/>
      <c r="AD137" s="202"/>
      <c r="AE137" s="202"/>
      <c r="AF137" s="202"/>
      <c r="AG137" s="201"/>
      <c r="AH137" s="201"/>
      <c r="AI137" s="201"/>
      <c r="AJ137" s="201"/>
      <c r="AK137" s="201"/>
      <c r="AL137" s="201"/>
      <c r="AM137" s="201"/>
      <c r="AN137" s="201"/>
      <c r="AO137" s="201"/>
      <c r="AP137" s="201"/>
      <c r="AQ137" s="201"/>
      <c r="AR137" s="201"/>
      <c r="AS137" s="201"/>
      <c r="AT137" s="201"/>
      <c r="AU137" s="201"/>
      <c r="AV137" s="201"/>
      <c r="AW137" s="201"/>
      <c r="AX137" s="201"/>
      <c r="AY137" s="201"/>
      <c r="AZ137" s="201"/>
      <c r="BA137" s="201"/>
      <c r="BB137" s="201"/>
    </row>
    <row r="138" spans="2:54">
      <c r="B138" s="35" t="s">
        <v>520</v>
      </c>
      <c r="C138" s="35"/>
      <c r="D138" s="32"/>
      <c r="E138" s="36" t="s">
        <v>511</v>
      </c>
      <c r="F138" s="37" t="s">
        <v>4</v>
      </c>
      <c r="G138" s="32"/>
      <c r="H138" s="33"/>
      <c r="I138" s="34"/>
      <c r="J138" s="35" t="s">
        <v>521</v>
      </c>
      <c r="K138" s="36" t="s">
        <v>511</v>
      </c>
      <c r="L138" s="41" t="s">
        <v>2009</v>
      </c>
      <c r="M138" s="32"/>
      <c r="N138" s="32"/>
      <c r="O138" s="206"/>
      <c r="P138" s="202"/>
      <c r="Q138" s="202"/>
      <c r="R138" s="204"/>
      <c r="S138" s="38"/>
      <c r="T138" s="201"/>
      <c r="U138" s="201"/>
      <c r="V138" s="201"/>
      <c r="W138" s="201"/>
      <c r="X138" s="201"/>
      <c r="Y138" s="201"/>
      <c r="Z138" s="201"/>
      <c r="AA138" s="201"/>
      <c r="AB138" s="202"/>
      <c r="AC138" s="202"/>
      <c r="AD138" s="202"/>
      <c r="AE138" s="202"/>
      <c r="AF138" s="202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</row>
    <row r="139" spans="2:54">
      <c r="B139" s="35" t="s">
        <v>523</v>
      </c>
      <c r="C139" s="35"/>
      <c r="D139" s="32"/>
      <c r="E139" s="36" t="s">
        <v>511</v>
      </c>
      <c r="F139" s="37" t="s">
        <v>5</v>
      </c>
      <c r="G139" s="32"/>
      <c r="H139" s="33"/>
      <c r="I139" s="34"/>
      <c r="J139" s="42" t="s">
        <v>524</v>
      </c>
      <c r="K139" s="36" t="s">
        <v>511</v>
      </c>
      <c r="L139" s="43" t="s">
        <v>15</v>
      </c>
      <c r="M139" s="44"/>
      <c r="N139" s="44"/>
      <c r="O139" s="206"/>
      <c r="P139" s="205"/>
      <c r="Q139" s="202"/>
      <c r="R139" s="204"/>
      <c r="S139" s="38"/>
      <c r="T139" s="201"/>
      <c r="U139" s="201"/>
      <c r="V139" s="201"/>
      <c r="W139" s="201"/>
      <c r="X139" s="201"/>
      <c r="Y139" s="201"/>
      <c r="Z139" s="201"/>
      <c r="AA139" s="201"/>
      <c r="AB139" s="202"/>
      <c r="AC139" s="202"/>
      <c r="AD139" s="202"/>
      <c r="AE139" s="202"/>
      <c r="AF139" s="202"/>
      <c r="AG139" s="201"/>
      <c r="AH139" s="201"/>
      <c r="AI139" s="201"/>
      <c r="AJ139" s="201"/>
      <c r="AK139" s="201"/>
      <c r="AL139" s="201"/>
      <c r="AM139" s="201"/>
      <c r="AN139" s="201"/>
      <c r="AO139" s="201"/>
      <c r="AP139" s="201"/>
      <c r="AQ139" s="201"/>
      <c r="AR139" s="201"/>
      <c r="AS139" s="201"/>
      <c r="AT139" s="201"/>
      <c r="AU139" s="201"/>
      <c r="AV139" s="201"/>
      <c r="AW139" s="201"/>
      <c r="AX139" s="201"/>
      <c r="AY139" s="201"/>
      <c r="AZ139" s="201"/>
      <c r="BA139" s="201"/>
      <c r="BB139" s="201"/>
    </row>
    <row r="140" spans="2:54">
      <c r="B140" s="35" t="s">
        <v>2</v>
      </c>
      <c r="C140" s="35"/>
      <c r="D140" s="32"/>
      <c r="E140" s="36" t="s">
        <v>511</v>
      </c>
      <c r="F140" s="37" t="s">
        <v>6</v>
      </c>
      <c r="G140" s="32"/>
      <c r="H140" s="33"/>
      <c r="I140" s="45"/>
      <c r="J140" s="42"/>
      <c r="K140" s="36"/>
      <c r="L140" s="211"/>
      <c r="M140" s="201"/>
      <c r="N140" s="201"/>
      <c r="O140" s="42"/>
      <c r="P140" s="44"/>
      <c r="Q140" s="44"/>
      <c r="R140" s="44"/>
      <c r="S140" s="34"/>
      <c r="T140" s="201"/>
      <c r="U140" s="201"/>
      <c r="V140" s="201"/>
      <c r="W140" s="201"/>
      <c r="X140" s="201"/>
      <c r="Y140" s="201"/>
      <c r="Z140" s="201"/>
      <c r="AA140" s="201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201"/>
      <c r="AP140" s="201"/>
      <c r="AQ140" s="201"/>
      <c r="AR140" s="201"/>
      <c r="AS140" s="201"/>
      <c r="AT140" s="201"/>
      <c r="AU140" s="201"/>
      <c r="AV140" s="201"/>
      <c r="AW140" s="201"/>
      <c r="AX140" s="201"/>
      <c r="AY140" s="201"/>
      <c r="AZ140" s="201"/>
      <c r="BA140" s="201"/>
      <c r="BB140" s="201"/>
    </row>
    <row r="141" spans="2:54">
      <c r="B141" s="201"/>
      <c r="C141" s="201"/>
      <c r="D141" s="201"/>
      <c r="E141" s="201"/>
      <c r="F141" s="201"/>
      <c r="G141" s="201"/>
      <c r="H141" s="201"/>
      <c r="I141" s="45"/>
      <c r="J141" s="42"/>
      <c r="K141" s="42"/>
      <c r="L141" s="43"/>
      <c r="M141" s="44"/>
      <c r="N141" s="44"/>
      <c r="O141" s="42"/>
      <c r="P141" s="44"/>
      <c r="Q141" s="44"/>
      <c r="R141" s="44"/>
      <c r="S141" s="34"/>
      <c r="T141" s="1265" t="s">
        <v>87</v>
      </c>
      <c r="U141" s="1265"/>
      <c r="V141" s="1265"/>
      <c r="W141" s="1265"/>
      <c r="X141" s="1265"/>
      <c r="Y141" s="1265" t="s">
        <v>73</v>
      </c>
      <c r="Z141" s="1265"/>
      <c r="AA141" s="1265"/>
      <c r="AB141" s="1265" t="s">
        <v>74</v>
      </c>
      <c r="AC141" s="1265"/>
      <c r="AD141" s="423" t="s">
        <v>85</v>
      </c>
      <c r="AE141" s="423" t="s">
        <v>77</v>
      </c>
      <c r="AF141" s="1265" t="s">
        <v>525</v>
      </c>
      <c r="AG141" s="1265"/>
      <c r="AH141" s="1265"/>
      <c r="AI141" s="1265"/>
      <c r="AJ141" s="1265"/>
      <c r="AK141" s="1265"/>
      <c r="AL141" s="1265"/>
      <c r="AM141" s="1265"/>
      <c r="AN141" s="1265"/>
      <c r="AO141" s="1265"/>
      <c r="AP141" s="1265"/>
      <c r="AQ141" s="1265"/>
      <c r="AR141" s="1265"/>
      <c r="AS141" s="1265"/>
      <c r="AT141" s="1265"/>
      <c r="AU141" s="1265"/>
      <c r="AV141" s="1265"/>
      <c r="AW141" s="1265"/>
      <c r="AX141" s="1265"/>
      <c r="AY141" s="1265"/>
      <c r="AZ141" s="1265"/>
      <c r="BA141" s="1265"/>
      <c r="BB141" s="201"/>
    </row>
    <row r="142" spans="2:54">
      <c r="B142" s="1266" t="s">
        <v>526</v>
      </c>
      <c r="C142" s="1267"/>
      <c r="D142" s="570" t="s">
        <v>527</v>
      </c>
      <c r="E142" s="570"/>
      <c r="F142" s="570" t="s">
        <v>528</v>
      </c>
      <c r="G142" s="570" t="s">
        <v>529</v>
      </c>
      <c r="H142" s="570" t="s">
        <v>530</v>
      </c>
      <c r="I142" s="570" t="s">
        <v>531</v>
      </c>
      <c r="J142" s="570" t="s">
        <v>532</v>
      </c>
      <c r="K142" s="570"/>
      <c r="L142" s="570" t="s">
        <v>130</v>
      </c>
      <c r="M142" s="570" t="s">
        <v>533</v>
      </c>
      <c r="N142" s="408" t="str">
        <f>"On time - "&amp;COUNTIF(N143:N165,"On time")&amp;" from "&amp;ROWS(N143:N165)-COUNTIF(N143:N165," ")</f>
        <v>On time - 0 from 11</v>
      </c>
      <c r="O142" s="46"/>
      <c r="P142" s="409" t="s">
        <v>534</v>
      </c>
      <c r="Q142" s="409" t="s">
        <v>535</v>
      </c>
      <c r="R142" s="409" t="s">
        <v>536</v>
      </c>
      <c r="S142" s="32"/>
      <c r="T142" s="424" t="s">
        <v>537</v>
      </c>
      <c r="U142" s="424" t="s">
        <v>538</v>
      </c>
      <c r="V142" s="424" t="s">
        <v>539</v>
      </c>
      <c r="W142" s="424" t="s">
        <v>540</v>
      </c>
      <c r="X142" s="424" t="s">
        <v>541</v>
      </c>
      <c r="Y142" s="424" t="s">
        <v>167</v>
      </c>
      <c r="Z142" s="424" t="s">
        <v>168</v>
      </c>
      <c r="AA142" s="424" t="s">
        <v>169</v>
      </c>
      <c r="AB142" s="424" t="s">
        <v>235</v>
      </c>
      <c r="AC142" s="424" t="s">
        <v>240</v>
      </c>
      <c r="AD142" s="423" t="s">
        <v>85</v>
      </c>
      <c r="AE142" s="424" t="s">
        <v>139</v>
      </c>
      <c r="AF142" s="424" t="s">
        <v>72</v>
      </c>
      <c r="AG142" s="424" t="s">
        <v>88</v>
      </c>
      <c r="AH142" s="424" t="s">
        <v>75</v>
      </c>
      <c r="AI142" s="424" t="s">
        <v>543</v>
      </c>
      <c r="AJ142" s="424" t="s">
        <v>78</v>
      </c>
      <c r="AK142" s="424" t="s">
        <v>76</v>
      </c>
      <c r="AL142" s="424" t="s">
        <v>544</v>
      </c>
      <c r="AM142" s="424" t="s">
        <v>545</v>
      </c>
      <c r="AN142" s="424" t="s">
        <v>86</v>
      </c>
      <c r="AO142" s="424" t="s">
        <v>83</v>
      </c>
      <c r="AP142" s="424" t="s">
        <v>84</v>
      </c>
      <c r="AQ142" s="424" t="s">
        <v>546</v>
      </c>
      <c r="AR142" s="424" t="s">
        <v>81</v>
      </c>
      <c r="AS142" s="424" t="s">
        <v>80</v>
      </c>
      <c r="AT142" s="424" t="s">
        <v>82</v>
      </c>
      <c r="AU142" s="424" t="s">
        <v>181</v>
      </c>
      <c r="AV142" s="424" t="s">
        <v>183</v>
      </c>
      <c r="AW142" s="424" t="s">
        <v>547</v>
      </c>
      <c r="AX142" s="424" t="s">
        <v>182</v>
      </c>
      <c r="AY142" s="424" t="s">
        <v>172</v>
      </c>
      <c r="AZ142" s="424" t="s">
        <v>173</v>
      </c>
      <c r="BA142" s="424" t="s">
        <v>184</v>
      </c>
      <c r="BB142" s="201"/>
    </row>
    <row r="143" spans="2:54">
      <c r="B143" s="1256" t="s">
        <v>616</v>
      </c>
      <c r="C143" s="1257"/>
      <c r="D143" s="411" t="s">
        <v>2010</v>
      </c>
      <c r="E143" s="411"/>
      <c r="F143" s="411" t="s">
        <v>284</v>
      </c>
      <c r="G143" s="411" t="s">
        <v>285</v>
      </c>
      <c r="H143" s="412">
        <v>549.94500000000005</v>
      </c>
      <c r="I143" s="413" t="s">
        <v>235</v>
      </c>
      <c r="J143" s="414">
        <v>45080.8125</v>
      </c>
      <c r="K143" s="414"/>
      <c r="L143" s="414" t="s">
        <v>192</v>
      </c>
      <c r="M143" s="414" t="s">
        <v>192</v>
      </c>
      <c r="N143" s="413" t="str">
        <f>IF(ISBLANK(J143)," ",IF(J143&lt;$G$137,"On time",(IF(DAY(J143-$G$137)&lt;1,"On time",(IF(J143&gt;$G$137,"DELAY ( "&amp;DAY(J143-$G$137)&amp;" day "&amp;HOUR(J143-$G$137)&amp;" hour "&amp;MINUTE(J143-$G$137)&amp;" minute )","xxx"))))))</f>
        <v>DELAY ( 1 day 19 hour 30 minute )</v>
      </c>
      <c r="O143" s="51"/>
      <c r="P143" s="415" t="s">
        <v>551</v>
      </c>
      <c r="Q143" s="415" t="s">
        <v>551</v>
      </c>
      <c r="R143" s="415" t="s">
        <v>551</v>
      </c>
      <c r="S143" s="32"/>
      <c r="T143" s="416"/>
      <c r="U143" s="416"/>
      <c r="V143" s="416"/>
      <c r="W143" s="416"/>
      <c r="X143" s="416"/>
      <c r="Y143" s="416"/>
      <c r="Z143" s="416"/>
      <c r="AA143" s="416"/>
      <c r="AB143" s="434">
        <f>H143</f>
        <v>549.94500000000005</v>
      </c>
      <c r="AC143" s="416"/>
      <c r="AD143" s="416"/>
      <c r="AE143" s="416"/>
      <c r="AF143" s="416"/>
      <c r="AG143" s="416"/>
      <c r="AH143" s="416"/>
      <c r="AI143" s="416"/>
      <c r="AJ143" s="416"/>
      <c r="AK143" s="416"/>
      <c r="AL143" s="416"/>
      <c r="AM143" s="416"/>
      <c r="AN143" s="416"/>
      <c r="AO143" s="416"/>
      <c r="AP143" s="416"/>
      <c r="AQ143" s="416"/>
      <c r="AR143" s="416"/>
      <c r="AS143" s="416"/>
      <c r="AT143" s="416"/>
      <c r="AU143" s="416"/>
      <c r="AV143" s="416"/>
      <c r="AW143" s="416"/>
      <c r="AX143" s="416"/>
      <c r="AY143" s="416"/>
      <c r="AZ143" s="416"/>
      <c r="BA143" s="416"/>
      <c r="BB143" s="32"/>
    </row>
    <row r="144" spans="2:54">
      <c r="B144" s="1256" t="s">
        <v>616</v>
      </c>
      <c r="C144" s="1257"/>
      <c r="D144" s="411" t="s">
        <v>1878</v>
      </c>
      <c r="E144" s="411"/>
      <c r="F144" s="411" t="s">
        <v>1392</v>
      </c>
      <c r="G144" s="411" t="s">
        <v>365</v>
      </c>
      <c r="H144" s="412">
        <v>7536.4870000000001</v>
      </c>
      <c r="I144" s="413" t="s">
        <v>611</v>
      </c>
      <c r="J144" s="414">
        <v>45080.25</v>
      </c>
      <c r="K144" s="414"/>
      <c r="L144" s="414" t="s">
        <v>192</v>
      </c>
      <c r="M144" s="414" t="s">
        <v>192</v>
      </c>
      <c r="N144" s="413" t="str">
        <f t="shared" ref="N144:N168" si="16">IF(ISBLANK(J144)," ",IF(J144&lt;$G$137,"On time",(IF(DAY(J144-$G$137)&lt;1,"On time",(IF(J144&gt;$G$137,"DELAY ( "&amp;DAY(J144-$G$137)&amp;" day "&amp;HOUR(J144-$G$137)&amp;" hour "&amp;MINUTE(J144-$G$137)&amp;" minute )","xxx"))))))</f>
        <v>DELAY ( 1 day 6 hour 0 minute )</v>
      </c>
      <c r="O144" s="51"/>
      <c r="P144" s="415" t="s">
        <v>551</v>
      </c>
      <c r="Q144" s="415" t="s">
        <v>551</v>
      </c>
      <c r="R144" s="415" t="s">
        <v>551</v>
      </c>
      <c r="S144" s="32"/>
      <c r="T144" s="416">
        <f>H144</f>
        <v>7536.4870000000001</v>
      </c>
      <c r="U144" s="416"/>
      <c r="V144" s="416"/>
      <c r="W144" s="416"/>
      <c r="X144" s="416"/>
      <c r="Y144" s="416"/>
      <c r="Z144" s="416"/>
      <c r="AA144" s="416"/>
      <c r="AB144" s="416"/>
      <c r="AC144" s="416"/>
      <c r="AD144" s="416"/>
      <c r="AE144" s="416"/>
      <c r="AF144" s="416"/>
      <c r="AG144" s="416"/>
      <c r="AH144" s="416"/>
      <c r="AI144" s="416"/>
      <c r="AJ144" s="416"/>
      <c r="AK144" s="416"/>
      <c r="AL144" s="416"/>
      <c r="AM144" s="416"/>
      <c r="AN144" s="416"/>
      <c r="AO144" s="416"/>
      <c r="AP144" s="416"/>
      <c r="AQ144" s="416"/>
      <c r="AR144" s="416"/>
      <c r="AS144" s="416"/>
      <c r="AT144" s="416"/>
      <c r="AU144" s="416"/>
      <c r="AV144" s="416"/>
      <c r="AW144" s="416"/>
      <c r="AX144" s="416"/>
      <c r="AY144" s="416"/>
      <c r="AZ144" s="416"/>
      <c r="BA144" s="416"/>
      <c r="BB144" s="32"/>
    </row>
    <row r="145" spans="2:54">
      <c r="B145" s="1294" t="s">
        <v>668</v>
      </c>
      <c r="C145" s="1295"/>
      <c r="D145" s="436" t="s">
        <v>1615</v>
      </c>
      <c r="E145" s="436"/>
      <c r="F145" s="436" t="s">
        <v>292</v>
      </c>
      <c r="G145" s="436" t="s">
        <v>293</v>
      </c>
      <c r="H145" s="437">
        <v>7613.5519999999997</v>
      </c>
      <c r="I145" s="438" t="s">
        <v>172</v>
      </c>
      <c r="J145" s="439">
        <v>45081.1875</v>
      </c>
      <c r="K145" s="439"/>
      <c r="L145" s="414" t="s">
        <v>192</v>
      </c>
      <c r="M145" s="414" t="s">
        <v>192</v>
      </c>
      <c r="N145" s="413" t="str">
        <f t="shared" si="16"/>
        <v>DELAY ( 2 day 4 hour 30 minute )</v>
      </c>
      <c r="O145" s="308"/>
      <c r="P145" s="440" t="s">
        <v>551</v>
      </c>
      <c r="Q145" s="440" t="s">
        <v>551</v>
      </c>
      <c r="R145" s="440" t="s">
        <v>551</v>
      </c>
      <c r="S145" s="201"/>
      <c r="T145" s="441"/>
      <c r="U145" s="441"/>
      <c r="V145" s="441"/>
      <c r="W145" s="441"/>
      <c r="X145" s="441"/>
      <c r="Y145" s="441"/>
      <c r="Z145" s="441"/>
      <c r="AA145" s="441"/>
      <c r="AB145" s="441"/>
      <c r="AC145" s="441"/>
      <c r="AD145" s="441"/>
      <c r="AE145" s="441"/>
      <c r="AF145" s="441"/>
      <c r="AG145" s="441"/>
      <c r="AH145" s="441"/>
      <c r="AI145" s="441"/>
      <c r="AJ145" s="441"/>
      <c r="AK145" s="441"/>
      <c r="AL145" s="441"/>
      <c r="AM145" s="441"/>
      <c r="AN145" s="441"/>
      <c r="AO145" s="441"/>
      <c r="AP145" s="441"/>
      <c r="AQ145" s="441"/>
      <c r="AR145" s="441"/>
      <c r="AS145" s="441"/>
      <c r="AT145" s="441"/>
      <c r="AU145" s="441"/>
      <c r="AV145" s="441"/>
      <c r="AW145" s="441"/>
      <c r="AX145" s="441"/>
      <c r="AY145" s="441">
        <f>H145</f>
        <v>7613.5519999999997</v>
      </c>
      <c r="AZ145" s="441"/>
      <c r="BA145" s="441"/>
      <c r="BB145" s="201"/>
    </row>
    <row r="146" spans="2:54">
      <c r="B146" s="1294" t="s">
        <v>616</v>
      </c>
      <c r="C146" s="1295"/>
      <c r="D146" s="436" t="s">
        <v>1879</v>
      </c>
      <c r="E146" s="436"/>
      <c r="F146" s="436" t="s">
        <v>403</v>
      </c>
      <c r="G146" s="436" t="s">
        <v>404</v>
      </c>
      <c r="H146" s="437">
        <v>7516.5280000000002</v>
      </c>
      <c r="I146" s="438" t="s">
        <v>611</v>
      </c>
      <c r="J146" s="439">
        <v>45081.1875</v>
      </c>
      <c r="K146" s="439"/>
      <c r="L146" s="414" t="s">
        <v>192</v>
      </c>
      <c r="M146" s="414" t="s">
        <v>192</v>
      </c>
      <c r="N146" s="413" t="str">
        <f t="shared" si="16"/>
        <v>DELAY ( 2 day 4 hour 30 minute )</v>
      </c>
      <c r="O146" s="308"/>
      <c r="P146" s="440" t="s">
        <v>551</v>
      </c>
      <c r="Q146" s="440" t="s">
        <v>551</v>
      </c>
      <c r="R146" s="440" t="s">
        <v>551</v>
      </c>
      <c r="S146" s="201"/>
      <c r="T146" s="441">
        <f>H146</f>
        <v>7516.5280000000002</v>
      </c>
      <c r="U146" s="441"/>
      <c r="V146" s="441"/>
      <c r="W146" s="441"/>
      <c r="X146" s="441"/>
      <c r="Y146" s="441"/>
      <c r="Z146" s="441"/>
      <c r="AA146" s="441"/>
      <c r="AB146" s="441"/>
      <c r="AC146" s="441"/>
      <c r="AD146" s="441"/>
      <c r="AE146" s="441"/>
      <c r="AF146" s="441"/>
      <c r="AG146" s="441"/>
      <c r="AH146" s="441"/>
      <c r="AI146" s="441"/>
      <c r="AJ146" s="441"/>
      <c r="AK146" s="441"/>
      <c r="AL146" s="441"/>
      <c r="AM146" s="441"/>
      <c r="AN146" s="441"/>
      <c r="AO146" s="441"/>
      <c r="AP146" s="441"/>
      <c r="AQ146" s="441"/>
      <c r="AR146" s="441"/>
      <c r="AS146" s="441"/>
      <c r="AT146" s="441"/>
      <c r="AU146" s="441"/>
      <c r="AV146" s="441"/>
      <c r="AW146" s="441"/>
      <c r="AX146" s="441"/>
      <c r="AY146" s="441"/>
      <c r="AZ146" s="441"/>
      <c r="BA146" s="441"/>
      <c r="BB146" s="201"/>
    </row>
    <row r="147" spans="2:54">
      <c r="B147" s="1258" t="s">
        <v>1721</v>
      </c>
      <c r="C147" s="1259"/>
      <c r="D147" s="1259"/>
      <c r="E147" s="1259"/>
      <c r="F147" s="1259"/>
      <c r="G147" s="1260"/>
      <c r="H147" s="417">
        <f>SUM(H143:H146)</f>
        <v>23216.512000000002</v>
      </c>
      <c r="I147" s="388"/>
      <c r="J147" s="293"/>
      <c r="K147" s="293"/>
      <c r="L147" s="293"/>
      <c r="M147" s="389"/>
      <c r="N147" s="413" t="str">
        <f t="shared" si="16"/>
        <v xml:space="preserve"> </v>
      </c>
      <c r="O147" s="212"/>
      <c r="P147" s="418"/>
      <c r="Q147" s="418"/>
      <c r="R147" s="418"/>
      <c r="S147" s="207"/>
      <c r="T147" s="428"/>
      <c r="U147" s="428"/>
      <c r="V147" s="428"/>
      <c r="W147" s="428"/>
      <c r="X147" s="428"/>
      <c r="Y147" s="428"/>
      <c r="Z147" s="428"/>
      <c r="AA147" s="428"/>
      <c r="AB147" s="428"/>
      <c r="AC147" s="428"/>
      <c r="AD147" s="428"/>
      <c r="AE147" s="428"/>
      <c r="AF147" s="428"/>
      <c r="AG147" s="428"/>
      <c r="AH147" s="428"/>
      <c r="AI147" s="428"/>
      <c r="AJ147" s="428"/>
      <c r="AK147" s="428"/>
      <c r="AL147" s="428"/>
      <c r="AM147" s="428"/>
      <c r="AN147" s="428"/>
      <c r="AO147" s="428"/>
      <c r="AP147" s="428"/>
      <c r="AQ147" s="428"/>
      <c r="AR147" s="428"/>
      <c r="AS147" s="428"/>
      <c r="AT147" s="428"/>
      <c r="AU147" s="428"/>
      <c r="AV147" s="416"/>
      <c r="AW147" s="416"/>
      <c r="AX147" s="416"/>
      <c r="AY147" s="416"/>
      <c r="AZ147" s="416"/>
      <c r="BA147" s="416"/>
    </row>
    <row r="148" spans="2:54">
      <c r="B148" s="1250" t="s">
        <v>619</v>
      </c>
      <c r="C148" s="1251"/>
      <c r="D148" s="411" t="s">
        <v>1773</v>
      </c>
      <c r="E148" s="411"/>
      <c r="F148" s="411" t="s">
        <v>721</v>
      </c>
      <c r="G148" s="411" t="s">
        <v>1349</v>
      </c>
      <c r="H148" s="412">
        <v>7462.8149999999996</v>
      </c>
      <c r="I148" s="413" t="s">
        <v>1455</v>
      </c>
      <c r="J148" s="414">
        <v>45082.291666666664</v>
      </c>
      <c r="K148" s="414"/>
      <c r="L148" s="414" t="s">
        <v>192</v>
      </c>
      <c r="M148" s="414" t="s">
        <v>192</v>
      </c>
      <c r="N148" s="413" t="str">
        <f t="shared" si="16"/>
        <v>DELAY ( 3 day 7 hour 0 minute )</v>
      </c>
      <c r="O148" s="51"/>
      <c r="P148" s="415" t="s">
        <v>551</v>
      </c>
      <c r="Q148" s="415" t="s">
        <v>551</v>
      </c>
      <c r="R148" s="415" t="s">
        <v>551</v>
      </c>
      <c r="S148" s="32"/>
      <c r="T148" s="416"/>
      <c r="U148" s="416"/>
      <c r="V148" s="416"/>
      <c r="W148" s="416"/>
      <c r="X148" s="416"/>
      <c r="Y148" s="416"/>
      <c r="Z148" s="416"/>
      <c r="AA148" s="416"/>
      <c r="AB148" s="416">
        <f>H148*0.65</f>
        <v>4850.8297499999999</v>
      </c>
      <c r="AC148" s="416">
        <f>H148*0.35</f>
        <v>2611.9852499999997</v>
      </c>
      <c r="AD148" s="416"/>
      <c r="AE148" s="416"/>
      <c r="AF148" s="416"/>
      <c r="AG148" s="416"/>
      <c r="AH148" s="416"/>
      <c r="AI148" s="416"/>
      <c r="AJ148" s="416"/>
      <c r="AK148" s="416"/>
      <c r="AL148" s="416"/>
      <c r="AM148" s="416"/>
      <c r="AN148" s="416"/>
      <c r="AO148" s="416"/>
      <c r="AP148" s="416"/>
      <c r="AQ148" s="416"/>
      <c r="AR148" s="416"/>
      <c r="AS148" s="416"/>
      <c r="AT148" s="416"/>
      <c r="AU148" s="416"/>
      <c r="AV148" s="416"/>
      <c r="AW148" s="416"/>
      <c r="AX148" s="416"/>
      <c r="AY148" s="416"/>
      <c r="AZ148" s="416"/>
      <c r="BA148" s="416"/>
      <c r="BB148" s="32"/>
    </row>
    <row r="149" spans="2:54">
      <c r="B149" s="1252"/>
      <c r="C149" s="1253"/>
      <c r="D149" s="411"/>
      <c r="E149" s="411"/>
      <c r="F149" s="1256" t="s">
        <v>668</v>
      </c>
      <c r="G149" s="1257"/>
      <c r="H149" s="412">
        <v>1000</v>
      </c>
      <c r="I149" s="413"/>
      <c r="J149" s="414"/>
      <c r="K149" s="414"/>
      <c r="L149" s="414"/>
      <c r="M149" s="414"/>
      <c r="N149" s="413" t="str">
        <f t="shared" si="16"/>
        <v xml:space="preserve"> </v>
      </c>
      <c r="O149" s="51"/>
      <c r="P149" s="415"/>
      <c r="Q149" s="415"/>
      <c r="R149" s="415"/>
      <c r="S149" s="32"/>
      <c r="T149" s="416"/>
      <c r="U149" s="416"/>
      <c r="V149" s="416"/>
      <c r="W149" s="416"/>
      <c r="X149" s="416"/>
      <c r="Y149" s="416"/>
      <c r="Z149" s="416"/>
      <c r="AA149" s="416"/>
      <c r="AB149" s="416"/>
      <c r="AC149" s="416"/>
      <c r="AD149" s="416"/>
      <c r="AE149" s="416"/>
      <c r="AF149" s="416"/>
      <c r="AG149" s="416"/>
      <c r="AH149" s="416"/>
      <c r="AI149" s="416"/>
      <c r="AJ149" s="416"/>
      <c r="AK149" s="416"/>
      <c r="AL149" s="416"/>
      <c r="AM149" s="416"/>
      <c r="AN149" s="416"/>
      <c r="AO149" s="416"/>
      <c r="AP149" s="416"/>
      <c r="AQ149" s="416"/>
      <c r="AR149" s="416"/>
      <c r="AS149" s="416"/>
      <c r="AT149" s="416"/>
      <c r="AU149" s="416"/>
      <c r="AV149" s="416"/>
      <c r="AW149" s="416"/>
      <c r="AX149" s="416"/>
      <c r="AY149" s="416"/>
      <c r="AZ149" s="416"/>
      <c r="BA149" s="416"/>
      <c r="BB149" s="32"/>
    </row>
    <row r="150" spans="2:54">
      <c r="B150" s="1254"/>
      <c r="C150" s="1255"/>
      <c r="D150" s="411"/>
      <c r="E150" s="411"/>
      <c r="F150" s="1256" t="s">
        <v>616</v>
      </c>
      <c r="G150" s="1257"/>
      <c r="H150" s="412">
        <v>2000</v>
      </c>
      <c r="I150" s="413"/>
      <c r="J150" s="414"/>
      <c r="K150" s="414"/>
      <c r="L150" s="414"/>
      <c r="M150" s="414"/>
      <c r="N150" s="413" t="str">
        <f t="shared" si="16"/>
        <v xml:space="preserve"> </v>
      </c>
      <c r="O150" s="51"/>
      <c r="P150" s="415"/>
      <c r="Q150" s="415"/>
      <c r="R150" s="415"/>
      <c r="S150" s="32"/>
      <c r="T150" s="416"/>
      <c r="U150" s="416"/>
      <c r="V150" s="416"/>
      <c r="W150" s="416"/>
      <c r="X150" s="416"/>
      <c r="Y150" s="416"/>
      <c r="Z150" s="416"/>
      <c r="AA150" s="416"/>
      <c r="AB150" s="416"/>
      <c r="AC150" s="416"/>
      <c r="AD150" s="416"/>
      <c r="AE150" s="416"/>
      <c r="AF150" s="416"/>
      <c r="AG150" s="416"/>
      <c r="AH150" s="416"/>
      <c r="AI150" s="416"/>
      <c r="AJ150" s="416"/>
      <c r="AK150" s="416"/>
      <c r="AL150" s="416"/>
      <c r="AM150" s="416"/>
      <c r="AN150" s="416"/>
      <c r="AO150" s="416"/>
      <c r="AP150" s="416"/>
      <c r="AQ150" s="416"/>
      <c r="AR150" s="416"/>
      <c r="AS150" s="416"/>
      <c r="AT150" s="416"/>
      <c r="AU150" s="416"/>
      <c r="AV150" s="416"/>
      <c r="AW150" s="416"/>
      <c r="AX150" s="416"/>
      <c r="AY150" s="416"/>
      <c r="AZ150" s="416"/>
      <c r="BA150" s="416"/>
      <c r="BB150" s="32"/>
    </row>
    <row r="151" spans="2:54">
      <c r="B151" s="1250" t="s">
        <v>621</v>
      </c>
      <c r="C151" s="1251"/>
      <c r="D151" s="411" t="s">
        <v>1947</v>
      </c>
      <c r="E151" s="411"/>
      <c r="F151" s="411" t="s">
        <v>263</v>
      </c>
      <c r="G151" s="411" t="s">
        <v>264</v>
      </c>
      <c r="H151" s="412">
        <v>7711.4920000000002</v>
      </c>
      <c r="I151" s="413" t="s">
        <v>494</v>
      </c>
      <c r="J151" s="414">
        <v>45082.3125</v>
      </c>
      <c r="K151" s="414"/>
      <c r="L151" s="414" t="s">
        <v>192</v>
      </c>
      <c r="M151" s="414" t="s">
        <v>192</v>
      </c>
      <c r="N151" s="413" t="str">
        <f t="shared" si="16"/>
        <v>DELAY ( 3 day 7 hour 30 minute )</v>
      </c>
      <c r="O151" s="51"/>
      <c r="P151" s="415" t="s">
        <v>551</v>
      </c>
      <c r="Q151" s="415" t="s">
        <v>551</v>
      </c>
      <c r="R151" s="415" t="s">
        <v>551</v>
      </c>
      <c r="S151" s="32"/>
      <c r="T151" s="416"/>
      <c r="U151" s="416"/>
      <c r="V151" s="416"/>
      <c r="W151" s="416"/>
      <c r="X151" s="416"/>
      <c r="Y151" s="416">
        <f>H151</f>
        <v>7711.4920000000002</v>
      </c>
      <c r="Z151" s="416"/>
      <c r="AA151" s="416"/>
      <c r="AB151" s="416"/>
      <c r="AC151" s="416"/>
      <c r="AD151" s="416"/>
      <c r="AE151" s="416"/>
      <c r="AF151" s="416"/>
      <c r="AG151" s="416"/>
      <c r="AH151" s="416"/>
      <c r="AI151" s="416"/>
      <c r="AJ151" s="416"/>
      <c r="AK151" s="416"/>
      <c r="AL151" s="416"/>
      <c r="AM151" s="416"/>
      <c r="AN151" s="416"/>
      <c r="AO151" s="416"/>
      <c r="AP151" s="416"/>
      <c r="AQ151" s="416"/>
      <c r="AR151" s="416"/>
      <c r="AS151" s="416"/>
      <c r="AT151" s="416"/>
      <c r="AU151" s="416"/>
      <c r="AV151" s="416"/>
      <c r="AW151" s="416"/>
      <c r="AX151" s="416"/>
      <c r="AY151" s="416"/>
      <c r="AZ151" s="416"/>
      <c r="BA151" s="416"/>
      <c r="BB151" s="32"/>
    </row>
    <row r="152" spans="2:54">
      <c r="B152" s="1252"/>
      <c r="C152" s="1253"/>
      <c r="D152" s="411"/>
      <c r="E152" s="411"/>
      <c r="F152" s="1256" t="s">
        <v>668</v>
      </c>
      <c r="G152" s="1257"/>
      <c r="H152" s="412">
        <v>4000</v>
      </c>
      <c r="I152" s="413"/>
      <c r="J152" s="414"/>
      <c r="K152" s="414"/>
      <c r="L152" s="414"/>
      <c r="M152" s="414"/>
      <c r="N152" s="413" t="str">
        <f t="shared" si="16"/>
        <v xml:space="preserve"> </v>
      </c>
      <c r="O152" s="51"/>
      <c r="P152" s="415"/>
      <c r="Q152" s="415"/>
      <c r="R152" s="415"/>
      <c r="S152" s="32"/>
      <c r="T152" s="416"/>
      <c r="U152" s="416"/>
      <c r="V152" s="416"/>
      <c r="W152" s="416"/>
      <c r="X152" s="416"/>
      <c r="Y152" s="416"/>
      <c r="Z152" s="416"/>
      <c r="AA152" s="416"/>
      <c r="AB152" s="416"/>
      <c r="AC152" s="416"/>
      <c r="AD152" s="416"/>
      <c r="AE152" s="416"/>
      <c r="AF152" s="416"/>
      <c r="AG152" s="416"/>
      <c r="AH152" s="416"/>
      <c r="AI152" s="416"/>
      <c r="AJ152" s="416"/>
      <c r="AK152" s="416"/>
      <c r="AL152" s="416"/>
      <c r="AM152" s="416"/>
      <c r="AN152" s="416"/>
      <c r="AO152" s="416"/>
      <c r="AP152" s="416"/>
      <c r="AQ152" s="416"/>
      <c r="AR152" s="416"/>
      <c r="AS152" s="416"/>
      <c r="AT152" s="416"/>
      <c r="AU152" s="416"/>
      <c r="AV152" s="416"/>
      <c r="AW152" s="416"/>
      <c r="AX152" s="416"/>
      <c r="AY152" s="416"/>
      <c r="AZ152" s="416"/>
      <c r="BA152" s="416"/>
      <c r="BB152" s="32"/>
    </row>
    <row r="153" spans="2:54">
      <c r="B153" s="1254"/>
      <c r="C153" s="1255"/>
      <c r="D153" s="411"/>
      <c r="E153" s="411"/>
      <c r="F153" s="1256" t="s">
        <v>616</v>
      </c>
      <c r="G153" s="1257"/>
      <c r="H153" s="412">
        <v>1000</v>
      </c>
      <c r="I153" s="413"/>
      <c r="J153" s="414"/>
      <c r="K153" s="414"/>
      <c r="L153" s="414"/>
      <c r="M153" s="414"/>
      <c r="N153" s="413" t="str">
        <f t="shared" si="16"/>
        <v xml:space="preserve"> </v>
      </c>
      <c r="O153" s="51"/>
      <c r="P153" s="415"/>
      <c r="Q153" s="415"/>
      <c r="R153" s="415"/>
      <c r="S153" s="32"/>
      <c r="T153" s="416"/>
      <c r="U153" s="416"/>
      <c r="V153" s="416"/>
      <c r="W153" s="416"/>
      <c r="X153" s="416"/>
      <c r="Y153" s="416"/>
      <c r="Z153" s="416"/>
      <c r="AA153" s="416"/>
      <c r="AB153" s="416"/>
      <c r="AC153" s="416"/>
      <c r="AD153" s="416"/>
      <c r="AE153" s="416"/>
      <c r="AF153" s="416"/>
      <c r="AG153" s="416"/>
      <c r="AH153" s="416"/>
      <c r="AI153" s="416"/>
      <c r="AJ153" s="416"/>
      <c r="AK153" s="416"/>
      <c r="AL153" s="416"/>
      <c r="AM153" s="416"/>
      <c r="AN153" s="416"/>
      <c r="AO153" s="416"/>
      <c r="AP153" s="416"/>
      <c r="AQ153" s="416"/>
      <c r="AR153" s="416"/>
      <c r="AS153" s="416"/>
      <c r="AT153" s="416"/>
      <c r="AU153" s="416"/>
      <c r="AV153" s="416"/>
      <c r="AW153" s="416"/>
      <c r="AX153" s="416"/>
      <c r="AY153" s="416"/>
      <c r="AZ153" s="416"/>
      <c r="BA153" s="416"/>
      <c r="BB153" s="32"/>
    </row>
    <row r="154" spans="2:54">
      <c r="B154" s="1250" t="s">
        <v>622</v>
      </c>
      <c r="C154" s="1251"/>
      <c r="D154" s="411" t="s">
        <v>1770</v>
      </c>
      <c r="E154" s="411"/>
      <c r="F154" s="411" t="s">
        <v>695</v>
      </c>
      <c r="G154" s="411" t="s">
        <v>281</v>
      </c>
      <c r="H154" s="412">
        <v>7485.2659999999996</v>
      </c>
      <c r="I154" s="413" t="s">
        <v>1455</v>
      </c>
      <c r="J154" s="414">
        <v>45082.520833333336</v>
      </c>
      <c r="K154" s="414"/>
      <c r="L154" s="414" t="s">
        <v>192</v>
      </c>
      <c r="M154" s="414" t="s">
        <v>192</v>
      </c>
      <c r="N154" s="413" t="str">
        <f t="shared" si="16"/>
        <v>DELAY ( 3 day 12 hour 30 minute )</v>
      </c>
      <c r="O154" s="51"/>
      <c r="P154" s="415" t="s">
        <v>551</v>
      </c>
      <c r="Q154" s="415" t="s">
        <v>551</v>
      </c>
      <c r="R154" s="415" t="s">
        <v>551</v>
      </c>
      <c r="S154" s="32"/>
      <c r="T154" s="416"/>
      <c r="U154" s="416"/>
      <c r="V154" s="416"/>
      <c r="W154" s="416"/>
      <c r="X154" s="416"/>
      <c r="Y154" s="416"/>
      <c r="Z154" s="416"/>
      <c r="AA154" s="416"/>
      <c r="AB154" s="416">
        <f>H154*0.5</f>
        <v>3742.6329999999998</v>
      </c>
      <c r="AC154" s="416">
        <f t="shared" ref="AC154" si="17">H154*0.5</f>
        <v>3742.6329999999998</v>
      </c>
      <c r="AD154" s="416"/>
      <c r="AE154" s="416"/>
      <c r="AF154" s="416"/>
      <c r="AG154" s="416"/>
      <c r="AH154" s="416"/>
      <c r="AI154" s="416"/>
      <c r="AJ154" s="416"/>
      <c r="AK154" s="416"/>
      <c r="AL154" s="416"/>
      <c r="AM154" s="416"/>
      <c r="AN154" s="416"/>
      <c r="AO154" s="416"/>
      <c r="AP154" s="416"/>
      <c r="AQ154" s="416"/>
      <c r="AR154" s="416"/>
      <c r="AS154" s="416"/>
      <c r="AT154" s="416"/>
      <c r="AU154" s="416"/>
      <c r="AV154" s="416"/>
      <c r="AW154" s="416"/>
      <c r="AX154" s="416"/>
      <c r="AY154" s="416"/>
      <c r="AZ154" s="416"/>
      <c r="BA154" s="416"/>
      <c r="BB154" s="32"/>
    </row>
    <row r="155" spans="2:54">
      <c r="B155" s="1254"/>
      <c r="C155" s="1255"/>
      <c r="D155" s="411"/>
      <c r="E155" s="411"/>
      <c r="F155" s="1256" t="s">
        <v>616</v>
      </c>
      <c r="G155" s="1257"/>
      <c r="H155" s="412">
        <v>4000</v>
      </c>
      <c r="I155" s="413"/>
      <c r="J155" s="414"/>
      <c r="K155" s="414"/>
      <c r="L155" s="414"/>
      <c r="M155" s="414"/>
      <c r="N155" s="413" t="str">
        <f t="shared" si="16"/>
        <v xml:space="preserve"> </v>
      </c>
      <c r="O155" s="51"/>
      <c r="P155" s="415"/>
      <c r="Q155" s="415"/>
      <c r="R155" s="415"/>
      <c r="S155" s="32"/>
      <c r="T155" s="416"/>
      <c r="U155" s="416"/>
      <c r="V155" s="416"/>
      <c r="W155" s="416"/>
      <c r="X155" s="416"/>
      <c r="Y155" s="416"/>
      <c r="Z155" s="416"/>
      <c r="AA155" s="416"/>
      <c r="AB155" s="416"/>
      <c r="AC155" s="416"/>
      <c r="AD155" s="416"/>
      <c r="AE155" s="416"/>
      <c r="AF155" s="416"/>
      <c r="AG155" s="416"/>
      <c r="AH155" s="416"/>
      <c r="AI155" s="416"/>
      <c r="AJ155" s="416"/>
      <c r="AK155" s="416"/>
      <c r="AL155" s="416"/>
      <c r="AM155" s="416"/>
      <c r="AN155" s="416"/>
      <c r="AO155" s="416"/>
      <c r="AP155" s="416"/>
      <c r="AQ155" s="416"/>
      <c r="AR155" s="416"/>
      <c r="AS155" s="416"/>
      <c r="AT155" s="416"/>
      <c r="AU155" s="416"/>
      <c r="AV155" s="416"/>
      <c r="AW155" s="416"/>
      <c r="AX155" s="416"/>
      <c r="AY155" s="416"/>
      <c r="AZ155" s="416"/>
      <c r="BA155" s="416"/>
      <c r="BB155" s="32"/>
    </row>
    <row r="156" spans="2:54">
      <c r="B156" s="1250" t="s">
        <v>623</v>
      </c>
      <c r="C156" s="1251"/>
      <c r="D156" s="411" t="s">
        <v>1766</v>
      </c>
      <c r="E156" s="411"/>
      <c r="F156" s="411" t="s">
        <v>1767</v>
      </c>
      <c r="G156" s="411" t="s">
        <v>1768</v>
      </c>
      <c r="H156" s="412">
        <v>7474.0940000000001</v>
      </c>
      <c r="I156" s="413" t="s">
        <v>1455</v>
      </c>
      <c r="J156" s="414">
        <v>45082.881944444445</v>
      </c>
      <c r="K156" s="414"/>
      <c r="L156" s="414" t="s">
        <v>192</v>
      </c>
      <c r="M156" s="414" t="s">
        <v>192</v>
      </c>
      <c r="N156" s="413" t="str">
        <f t="shared" si="16"/>
        <v>DELAY ( 3 day 21 hour 10 minute )</v>
      </c>
      <c r="O156" s="51"/>
      <c r="P156" s="415" t="s">
        <v>551</v>
      </c>
      <c r="Q156" s="415" t="s">
        <v>551</v>
      </c>
      <c r="R156" s="415" t="s">
        <v>551</v>
      </c>
      <c r="S156" s="32"/>
      <c r="T156" s="416"/>
      <c r="U156" s="416"/>
      <c r="V156" s="416"/>
      <c r="W156" s="416"/>
      <c r="X156" s="416"/>
      <c r="Y156" s="416"/>
      <c r="Z156" s="416"/>
      <c r="AA156" s="416"/>
      <c r="AB156" s="416">
        <f>H156*0.5</f>
        <v>3737.047</v>
      </c>
      <c r="AC156" s="416">
        <f>H156*0.5</f>
        <v>3737.047</v>
      </c>
      <c r="AD156" s="416"/>
      <c r="AE156" s="416"/>
      <c r="AF156" s="416"/>
      <c r="AG156" s="416"/>
      <c r="AH156" s="416"/>
      <c r="AI156" s="416"/>
      <c r="AJ156" s="416"/>
      <c r="AK156" s="416"/>
      <c r="AL156" s="416"/>
      <c r="AM156" s="416"/>
      <c r="AN156" s="416"/>
      <c r="AO156" s="416"/>
      <c r="AP156" s="416"/>
      <c r="AQ156" s="416"/>
      <c r="AR156" s="416"/>
      <c r="AS156" s="416"/>
      <c r="AT156" s="416"/>
      <c r="AU156" s="416"/>
      <c r="AV156" s="416"/>
      <c r="AW156" s="416"/>
      <c r="AX156" s="416"/>
      <c r="AY156" s="416"/>
      <c r="AZ156" s="416"/>
      <c r="BA156" s="416"/>
      <c r="BB156" s="32"/>
    </row>
    <row r="157" spans="2:54">
      <c r="B157" s="1252"/>
      <c r="C157" s="1253"/>
      <c r="D157" s="411"/>
      <c r="E157" s="411"/>
      <c r="F157" s="1256" t="s">
        <v>668</v>
      </c>
      <c r="G157" s="1257"/>
      <c r="H157" s="412">
        <v>1000</v>
      </c>
      <c r="I157" s="413"/>
      <c r="J157" s="414"/>
      <c r="K157" s="414"/>
      <c r="L157" s="414"/>
      <c r="M157" s="414"/>
      <c r="N157" s="413" t="str">
        <f t="shared" si="16"/>
        <v xml:space="preserve"> </v>
      </c>
      <c r="O157" s="51"/>
      <c r="P157" s="415"/>
      <c r="Q157" s="415"/>
      <c r="R157" s="415"/>
      <c r="S157" s="32"/>
      <c r="T157" s="416"/>
      <c r="U157" s="416"/>
      <c r="V157" s="416"/>
      <c r="W157" s="416"/>
      <c r="X157" s="416"/>
      <c r="Y157" s="416"/>
      <c r="Z157" s="416"/>
      <c r="AA157" s="416"/>
      <c r="AB157" s="416"/>
      <c r="AC157" s="416"/>
      <c r="AD157" s="416"/>
      <c r="AE157" s="416"/>
      <c r="AF157" s="416"/>
      <c r="AG157" s="416"/>
      <c r="AH157" s="416"/>
      <c r="AI157" s="416"/>
      <c r="AJ157" s="416"/>
      <c r="AK157" s="416"/>
      <c r="AL157" s="416"/>
      <c r="AM157" s="416"/>
      <c r="AN157" s="416"/>
      <c r="AO157" s="416"/>
      <c r="AP157" s="416"/>
      <c r="AQ157" s="416"/>
      <c r="AR157" s="416"/>
      <c r="AS157" s="416"/>
      <c r="AT157" s="416"/>
      <c r="AU157" s="416"/>
      <c r="AV157" s="416"/>
      <c r="AW157" s="416"/>
      <c r="AX157" s="416"/>
      <c r="AY157" s="416"/>
      <c r="AZ157" s="416"/>
      <c r="BA157" s="416"/>
      <c r="BB157" s="32"/>
    </row>
    <row r="158" spans="2:54">
      <c r="B158" s="1254"/>
      <c r="C158" s="1255"/>
      <c r="D158" s="411"/>
      <c r="E158" s="411"/>
      <c r="F158" s="1256" t="s">
        <v>616</v>
      </c>
      <c r="G158" s="1257"/>
      <c r="H158" s="412">
        <v>3000</v>
      </c>
      <c r="I158" s="413"/>
      <c r="J158" s="414"/>
      <c r="K158" s="414"/>
      <c r="L158" s="414"/>
      <c r="M158" s="414"/>
      <c r="N158" s="413" t="str">
        <f t="shared" si="16"/>
        <v xml:space="preserve"> </v>
      </c>
      <c r="O158" s="51"/>
      <c r="P158" s="415"/>
      <c r="Q158" s="415"/>
      <c r="R158" s="415"/>
      <c r="S158" s="32"/>
      <c r="T158" s="416"/>
      <c r="U158" s="416"/>
      <c r="V158" s="416"/>
      <c r="W158" s="416"/>
      <c r="X158" s="416"/>
      <c r="Y158" s="416"/>
      <c r="Z158" s="416"/>
      <c r="AA158" s="416"/>
      <c r="AB158" s="416"/>
      <c r="AC158" s="416"/>
      <c r="AD158" s="416"/>
      <c r="AE158" s="416"/>
      <c r="AF158" s="416"/>
      <c r="AG158" s="416"/>
      <c r="AH158" s="416"/>
      <c r="AI158" s="416"/>
      <c r="AJ158" s="416"/>
      <c r="AK158" s="416"/>
      <c r="AL158" s="416"/>
      <c r="AM158" s="416"/>
      <c r="AN158" s="416"/>
      <c r="AO158" s="416"/>
      <c r="AP158" s="416"/>
      <c r="AQ158" s="416"/>
      <c r="AR158" s="416"/>
      <c r="AS158" s="416"/>
      <c r="AT158" s="416"/>
      <c r="AU158" s="416"/>
      <c r="AV158" s="416"/>
      <c r="AW158" s="416"/>
      <c r="AX158" s="416"/>
      <c r="AY158" s="416"/>
      <c r="AZ158" s="416"/>
      <c r="BA158" s="416"/>
      <c r="BB158" s="32"/>
    </row>
    <row r="159" spans="2:54">
      <c r="B159" s="1250" t="s">
        <v>624</v>
      </c>
      <c r="C159" s="1251"/>
      <c r="D159" s="411" t="s">
        <v>1771</v>
      </c>
      <c r="E159" s="411"/>
      <c r="F159" s="411" t="s">
        <v>805</v>
      </c>
      <c r="G159" s="411" t="s">
        <v>335</v>
      </c>
      <c r="H159" s="412">
        <v>7722.8760000000002</v>
      </c>
      <c r="I159" s="413" t="s">
        <v>1455</v>
      </c>
      <c r="J159" s="414">
        <v>45082.958333333336</v>
      </c>
      <c r="K159" s="414"/>
      <c r="L159" s="414" t="s">
        <v>192</v>
      </c>
      <c r="M159" s="414" t="s">
        <v>192</v>
      </c>
      <c r="N159" s="413" t="str">
        <f t="shared" si="16"/>
        <v>DELAY ( 3 day 23 hour 0 minute )</v>
      </c>
      <c r="O159" s="51"/>
      <c r="P159" s="415" t="s">
        <v>551</v>
      </c>
      <c r="Q159" s="415" t="s">
        <v>551</v>
      </c>
      <c r="R159" s="415" t="s">
        <v>551</v>
      </c>
      <c r="S159" s="32"/>
      <c r="T159" s="416"/>
      <c r="U159" s="416"/>
      <c r="V159" s="416"/>
      <c r="W159" s="416"/>
      <c r="X159" s="416"/>
      <c r="Y159" s="416"/>
      <c r="Z159" s="416"/>
      <c r="AA159" s="416"/>
      <c r="AB159" s="416">
        <f t="shared" ref="AB159" si="18">H159*0.5</f>
        <v>3861.4380000000001</v>
      </c>
      <c r="AC159" s="416">
        <f t="shared" ref="AC159" si="19">H159*0.5</f>
        <v>3861.4380000000001</v>
      </c>
      <c r="AD159" s="416"/>
      <c r="AE159" s="416"/>
      <c r="AF159" s="416"/>
      <c r="AG159" s="416"/>
      <c r="AH159" s="416"/>
      <c r="AI159" s="416"/>
      <c r="AJ159" s="416"/>
      <c r="AK159" s="416"/>
      <c r="AL159" s="416"/>
      <c r="AM159" s="416"/>
      <c r="AN159" s="416"/>
      <c r="AO159" s="416"/>
      <c r="AP159" s="416"/>
      <c r="AQ159" s="416"/>
      <c r="AR159" s="416"/>
      <c r="AS159" s="416"/>
      <c r="AT159" s="416"/>
      <c r="AU159" s="416"/>
      <c r="AV159" s="416"/>
      <c r="AW159" s="416"/>
      <c r="AX159" s="416"/>
      <c r="AY159" s="416"/>
      <c r="AZ159" s="416"/>
      <c r="BA159" s="416"/>
      <c r="BB159" s="32"/>
    </row>
    <row r="160" spans="2:54">
      <c r="B160" s="1254"/>
      <c r="C160" s="1255"/>
      <c r="D160" s="411"/>
      <c r="E160" s="411"/>
      <c r="F160" s="1256" t="s">
        <v>616</v>
      </c>
      <c r="G160" s="1257"/>
      <c r="H160" s="412">
        <v>3000</v>
      </c>
      <c r="I160" s="413"/>
      <c r="J160" s="414"/>
      <c r="K160" s="414"/>
      <c r="L160" s="414"/>
      <c r="M160" s="414"/>
      <c r="N160" s="413" t="str">
        <f t="shared" si="16"/>
        <v xml:space="preserve"> </v>
      </c>
      <c r="O160" s="51"/>
      <c r="P160" s="415"/>
      <c r="Q160" s="415"/>
      <c r="R160" s="415"/>
      <c r="S160" s="32"/>
      <c r="T160" s="416"/>
      <c r="U160" s="416"/>
      <c r="V160" s="416"/>
      <c r="W160" s="416"/>
      <c r="X160" s="416"/>
      <c r="Y160" s="416"/>
      <c r="Z160" s="416"/>
      <c r="AA160" s="416"/>
      <c r="AB160" s="416"/>
      <c r="AC160" s="416"/>
      <c r="AD160" s="416"/>
      <c r="AE160" s="416"/>
      <c r="AF160" s="416"/>
      <c r="AG160" s="416"/>
      <c r="AH160" s="416"/>
      <c r="AI160" s="416"/>
      <c r="AJ160" s="416"/>
      <c r="AK160" s="416"/>
      <c r="AL160" s="416"/>
      <c r="AM160" s="416"/>
      <c r="AN160" s="416"/>
      <c r="AO160" s="416"/>
      <c r="AP160" s="416"/>
      <c r="AQ160" s="416"/>
      <c r="AR160" s="416"/>
      <c r="AS160" s="416"/>
      <c r="AT160" s="416"/>
      <c r="AU160" s="416"/>
      <c r="AV160" s="416"/>
      <c r="AW160" s="416"/>
      <c r="AX160" s="416"/>
      <c r="AY160" s="416"/>
      <c r="AZ160" s="416"/>
      <c r="BA160" s="416"/>
      <c r="BB160" s="32"/>
    </row>
    <row r="161" spans="2:56">
      <c r="B161" s="1250" t="s">
        <v>625</v>
      </c>
      <c r="C161" s="1251"/>
      <c r="D161" s="411" t="s">
        <v>1775</v>
      </c>
      <c r="E161" s="411"/>
      <c r="F161" s="411" t="s">
        <v>1512</v>
      </c>
      <c r="G161" s="411" t="s">
        <v>1513</v>
      </c>
      <c r="H161" s="412">
        <v>7146.3</v>
      </c>
      <c r="I161" s="413" t="s">
        <v>1455</v>
      </c>
      <c r="J161" s="414">
        <v>45083.59375</v>
      </c>
      <c r="K161" s="414"/>
      <c r="L161" s="414" t="s">
        <v>192</v>
      </c>
      <c r="M161" s="414" t="s">
        <v>192</v>
      </c>
      <c r="N161" s="413" t="str">
        <f t="shared" si="16"/>
        <v>DELAY ( 4 day 14 hour 15 minute )</v>
      </c>
      <c r="O161" s="51"/>
      <c r="P161" s="415" t="s">
        <v>551</v>
      </c>
      <c r="Q161" s="415" t="s">
        <v>551</v>
      </c>
      <c r="R161" s="415" t="s">
        <v>551</v>
      </c>
      <c r="S161" s="32"/>
      <c r="T161" s="416"/>
      <c r="U161" s="416"/>
      <c r="V161" s="416"/>
      <c r="W161" s="416"/>
      <c r="X161" s="416"/>
      <c r="Y161" s="416"/>
      <c r="Z161" s="416"/>
      <c r="AA161" s="416"/>
      <c r="AB161" s="416">
        <f>(H161*0.65)</f>
        <v>4645.0950000000003</v>
      </c>
      <c r="AC161" s="416">
        <f>(H161*0.35)</f>
        <v>2501.2049999999999</v>
      </c>
      <c r="AD161" s="416"/>
      <c r="AE161" s="416"/>
      <c r="AF161" s="416"/>
      <c r="AG161" s="416"/>
      <c r="AH161" s="416"/>
      <c r="AI161" s="416"/>
      <c r="AJ161" s="416"/>
      <c r="AK161" s="416"/>
      <c r="AL161" s="416"/>
      <c r="AM161" s="416"/>
      <c r="AN161" s="416"/>
      <c r="AO161" s="416"/>
      <c r="AP161" s="416"/>
      <c r="AQ161" s="416"/>
      <c r="AR161" s="416"/>
      <c r="AS161" s="416"/>
      <c r="AT161" s="416"/>
      <c r="AU161" s="416"/>
      <c r="AV161" s="416"/>
      <c r="AW161" s="416"/>
      <c r="AX161" s="416"/>
      <c r="AY161" s="416"/>
      <c r="AZ161" s="416"/>
      <c r="BA161" s="416"/>
      <c r="BB161" s="32"/>
    </row>
    <row r="162" spans="2:56">
      <c r="B162" s="1252"/>
      <c r="C162" s="1253"/>
      <c r="D162" s="411"/>
      <c r="E162" s="411"/>
      <c r="F162" s="1256" t="s">
        <v>668</v>
      </c>
      <c r="G162" s="1257"/>
      <c r="H162" s="412">
        <f>1614-0.448</f>
        <v>1613.5519999999999</v>
      </c>
      <c r="I162" s="413"/>
      <c r="J162" s="414"/>
      <c r="K162" s="414"/>
      <c r="L162" s="414"/>
      <c r="M162" s="414"/>
      <c r="N162" s="413" t="str">
        <f t="shared" si="16"/>
        <v xml:space="preserve"> </v>
      </c>
      <c r="O162" s="51"/>
      <c r="P162" s="415"/>
      <c r="Q162" s="415"/>
      <c r="R162" s="415"/>
      <c r="S162" s="32"/>
      <c r="T162" s="416"/>
      <c r="U162" s="416"/>
      <c r="V162" s="416"/>
      <c r="W162" s="416"/>
      <c r="X162" s="416"/>
      <c r="Y162" s="416"/>
      <c r="Z162" s="416"/>
      <c r="AA162" s="416"/>
      <c r="AB162" s="416"/>
      <c r="AC162" s="416"/>
      <c r="AD162" s="416"/>
      <c r="AE162" s="416"/>
      <c r="AF162" s="416"/>
      <c r="AG162" s="416"/>
      <c r="AH162" s="416"/>
      <c r="AI162" s="416"/>
      <c r="AJ162" s="416"/>
      <c r="AK162" s="416"/>
      <c r="AL162" s="416"/>
      <c r="AM162" s="416"/>
      <c r="AN162" s="416"/>
      <c r="AO162" s="416"/>
      <c r="AP162" s="416"/>
      <c r="AQ162" s="416"/>
      <c r="AR162" s="416"/>
      <c r="AS162" s="416"/>
      <c r="AT162" s="416"/>
      <c r="AU162" s="416"/>
      <c r="AV162" s="416"/>
      <c r="AW162" s="416"/>
      <c r="AX162" s="416"/>
      <c r="AY162" s="416"/>
      <c r="AZ162" s="416"/>
      <c r="BA162" s="416"/>
      <c r="BB162" s="32"/>
    </row>
    <row r="163" spans="2:56">
      <c r="B163" s="1254"/>
      <c r="C163" s="1255"/>
      <c r="D163" s="411"/>
      <c r="E163" s="411"/>
      <c r="F163" s="1256" t="s">
        <v>616</v>
      </c>
      <c r="G163" s="1257"/>
      <c r="H163" s="412">
        <f>1000-0.04</f>
        <v>999.96</v>
      </c>
      <c r="I163" s="413"/>
      <c r="J163" s="414"/>
      <c r="K163" s="414"/>
      <c r="L163" s="414"/>
      <c r="M163" s="414"/>
      <c r="N163" s="413" t="str">
        <f t="shared" si="16"/>
        <v xml:space="preserve"> </v>
      </c>
      <c r="O163" s="51"/>
      <c r="P163" s="415"/>
      <c r="Q163" s="415"/>
      <c r="R163" s="415"/>
      <c r="S163" s="32"/>
      <c r="T163" s="416"/>
      <c r="U163" s="416"/>
      <c r="V163" s="416"/>
      <c r="W163" s="416"/>
      <c r="X163" s="416"/>
      <c r="Y163" s="416"/>
      <c r="Z163" s="416"/>
      <c r="AA163" s="416"/>
      <c r="AB163" s="416"/>
      <c r="AC163" s="416"/>
      <c r="AD163" s="416"/>
      <c r="AE163" s="416"/>
      <c r="AF163" s="416"/>
      <c r="AG163" s="416"/>
      <c r="AH163" s="416"/>
      <c r="AI163" s="416"/>
      <c r="AJ163" s="416"/>
      <c r="AK163" s="416"/>
      <c r="AL163" s="416"/>
      <c r="AM163" s="416"/>
      <c r="AN163" s="416"/>
      <c r="AO163" s="416"/>
      <c r="AP163" s="416"/>
      <c r="AQ163" s="416"/>
      <c r="AR163" s="416"/>
      <c r="AS163" s="416"/>
      <c r="AT163" s="416"/>
      <c r="AU163" s="416"/>
      <c r="AV163" s="416"/>
      <c r="AW163" s="416"/>
      <c r="AX163" s="416"/>
      <c r="AY163" s="416"/>
      <c r="AZ163" s="416"/>
      <c r="BA163" s="416"/>
      <c r="BB163" s="32"/>
    </row>
    <row r="164" spans="2:56">
      <c r="B164" s="1250" t="s">
        <v>669</v>
      </c>
      <c r="C164" s="1251"/>
      <c r="D164" s="411" t="s">
        <v>1774</v>
      </c>
      <c r="E164" s="411"/>
      <c r="F164" s="411" t="s">
        <v>252</v>
      </c>
      <c r="G164" s="411" t="s">
        <v>253</v>
      </c>
      <c r="H164" s="412">
        <f>7466.174-1545.529</f>
        <v>5920.6450000000004</v>
      </c>
      <c r="I164" s="413" t="s">
        <v>1455</v>
      </c>
      <c r="J164" s="414">
        <v>45085.333333333336</v>
      </c>
      <c r="K164" s="414"/>
      <c r="L164" s="414" t="s">
        <v>192</v>
      </c>
      <c r="M164" s="414" t="s">
        <v>192</v>
      </c>
      <c r="N164" s="413" t="str">
        <f t="shared" si="16"/>
        <v>DELAY ( 6 day 8 hour 0 minute )</v>
      </c>
      <c r="O164" s="51"/>
      <c r="P164" s="415" t="s">
        <v>551</v>
      </c>
      <c r="Q164" s="415" t="s">
        <v>551</v>
      </c>
      <c r="R164" s="415" t="s">
        <v>551</v>
      </c>
      <c r="S164" s="32"/>
      <c r="T164" s="416"/>
      <c r="U164" s="416"/>
      <c r="V164" s="416"/>
      <c r="W164" s="416"/>
      <c r="X164" s="416"/>
      <c r="Y164" s="416"/>
      <c r="Z164" s="416"/>
      <c r="AA164" s="416"/>
      <c r="AB164" s="416">
        <f>H164*0.65</f>
        <v>3848.4192500000004</v>
      </c>
      <c r="AC164" s="416">
        <f>H164*0.35</f>
        <v>2072.2257500000001</v>
      </c>
      <c r="AD164" s="416"/>
      <c r="AE164" s="416"/>
      <c r="AF164" s="416"/>
      <c r="AG164" s="416"/>
      <c r="AH164" s="416"/>
      <c r="AI164" s="416"/>
      <c r="AJ164" s="416"/>
      <c r="AK164" s="416"/>
      <c r="AL164" s="416"/>
      <c r="AM164" s="416"/>
      <c r="AN164" s="416"/>
      <c r="AO164" s="416"/>
      <c r="AP164" s="416"/>
      <c r="AQ164" s="416"/>
      <c r="AR164" s="416"/>
      <c r="AS164" s="416"/>
      <c r="AT164" s="416"/>
      <c r="AU164" s="416"/>
      <c r="AV164" s="416"/>
      <c r="AW164" s="416"/>
      <c r="AX164" s="416"/>
      <c r="AY164" s="416"/>
      <c r="AZ164" s="416"/>
      <c r="BA164" s="416"/>
      <c r="BB164" s="32"/>
    </row>
    <row r="165" spans="2:56">
      <c r="B165" s="1254"/>
      <c r="C165" s="1255"/>
      <c r="D165" s="411"/>
      <c r="E165" s="411"/>
      <c r="F165" s="1256" t="s">
        <v>616</v>
      </c>
      <c r="G165" s="1257"/>
      <c r="H165" s="412">
        <v>1603</v>
      </c>
      <c r="I165" s="413"/>
      <c r="J165" s="414"/>
      <c r="K165" s="414"/>
      <c r="L165" s="414"/>
      <c r="M165" s="414"/>
      <c r="N165" s="413" t="str">
        <f t="shared" si="16"/>
        <v xml:space="preserve"> </v>
      </c>
      <c r="O165" s="51"/>
      <c r="P165" s="415"/>
      <c r="Q165" s="415"/>
      <c r="R165" s="415"/>
      <c r="S165" s="32"/>
      <c r="T165" s="416"/>
      <c r="U165" s="416"/>
      <c r="V165" s="416"/>
      <c r="W165" s="416"/>
      <c r="X165" s="416"/>
      <c r="Y165" s="416"/>
      <c r="Z165" s="416"/>
      <c r="AA165" s="416"/>
      <c r="AB165" s="416"/>
      <c r="AC165" s="416"/>
      <c r="AD165" s="416"/>
      <c r="AE165" s="416"/>
      <c r="AF165" s="416"/>
      <c r="AG165" s="416"/>
      <c r="AH165" s="416"/>
      <c r="AI165" s="416"/>
      <c r="AJ165" s="416"/>
      <c r="AK165" s="416"/>
      <c r="AL165" s="416"/>
      <c r="AM165" s="416"/>
      <c r="AN165" s="416"/>
      <c r="AO165" s="416"/>
      <c r="AP165" s="416"/>
      <c r="AQ165" s="416"/>
      <c r="AR165" s="416"/>
      <c r="AS165" s="416"/>
      <c r="AT165" s="416"/>
      <c r="AU165" s="416"/>
      <c r="AV165" s="416"/>
      <c r="AW165" s="416"/>
      <c r="AX165" s="416"/>
      <c r="AY165" s="416"/>
      <c r="AZ165" s="416"/>
      <c r="BA165" s="416"/>
      <c r="BB165" s="32"/>
    </row>
    <row r="166" spans="2:56">
      <c r="B166" s="1258" t="s">
        <v>626</v>
      </c>
      <c r="C166" s="1259"/>
      <c r="D166" s="1259"/>
      <c r="E166" s="1259"/>
      <c r="F166" s="1259"/>
      <c r="G166" s="1260"/>
      <c r="H166" s="417">
        <f>H156+H154+H151+H159+H164+H161+H148</f>
        <v>50923.488000000005</v>
      </c>
      <c r="I166" s="388"/>
      <c r="J166" s="293"/>
      <c r="K166" s="293"/>
      <c r="L166" s="293"/>
      <c r="M166" s="389"/>
      <c r="N166" s="413" t="str">
        <f t="shared" si="16"/>
        <v xml:space="preserve"> </v>
      </c>
      <c r="O166" s="47"/>
      <c r="P166" s="418"/>
      <c r="Q166" s="418"/>
      <c r="R166" s="418"/>
      <c r="S166" s="32"/>
      <c r="T166" s="1261"/>
      <c r="U166" s="1261"/>
      <c r="V166" s="1261"/>
      <c r="W166" s="1261"/>
      <c r="X166" s="1261"/>
      <c r="Y166" s="1261"/>
      <c r="Z166" s="1261"/>
      <c r="AA166" s="1261"/>
      <c r="AB166" s="1261"/>
      <c r="AC166" s="1261"/>
      <c r="AD166" s="1261"/>
      <c r="AE166" s="1261"/>
      <c r="AF166" s="1261"/>
      <c r="AG166" s="1261"/>
      <c r="AH166" s="1261"/>
      <c r="AI166" s="1261"/>
      <c r="AJ166" s="1261"/>
      <c r="AK166" s="1261"/>
      <c r="AL166" s="1261"/>
      <c r="AM166" s="1261"/>
      <c r="AN166" s="1261"/>
      <c r="AO166" s="1261"/>
      <c r="AP166" s="1261"/>
      <c r="AQ166" s="1261"/>
      <c r="AR166" s="1261"/>
      <c r="AS166" s="1261"/>
      <c r="AT166" s="1261"/>
      <c r="AU166" s="1261"/>
      <c r="AV166" s="1261"/>
      <c r="AW166" s="1261"/>
      <c r="AX166" s="1261"/>
      <c r="AY166" s="1261"/>
      <c r="AZ166" s="1261"/>
      <c r="BA166" s="1261"/>
    </row>
    <row r="167" spans="2:56">
      <c r="B167" s="1258" t="s">
        <v>556</v>
      </c>
      <c r="C167" s="1259"/>
      <c r="D167" s="1259"/>
      <c r="E167" s="1259"/>
      <c r="F167" s="1259"/>
      <c r="G167" s="1260"/>
      <c r="H167" s="417">
        <f>H147+H166</f>
        <v>74140</v>
      </c>
      <c r="I167" s="388"/>
      <c r="J167" s="293"/>
      <c r="K167" s="293"/>
      <c r="L167" s="293"/>
      <c r="M167" s="389"/>
      <c r="N167" s="413" t="str">
        <f t="shared" si="16"/>
        <v xml:space="preserve"> </v>
      </c>
      <c r="O167" s="212"/>
      <c r="P167" s="418"/>
      <c r="Q167" s="418"/>
      <c r="R167" s="418"/>
      <c r="S167" s="207"/>
      <c r="T167" s="1262"/>
      <c r="U167" s="1263"/>
      <c r="V167" s="1263"/>
      <c r="W167" s="1263"/>
      <c r="X167" s="1263"/>
      <c r="Y167" s="1263"/>
      <c r="Z167" s="1263"/>
      <c r="AA167" s="1263"/>
      <c r="AB167" s="1263"/>
      <c r="AC167" s="1263"/>
      <c r="AD167" s="1263"/>
      <c r="AE167" s="1263"/>
      <c r="AF167" s="1263"/>
      <c r="AG167" s="1263"/>
      <c r="AH167" s="1263"/>
      <c r="AI167" s="1263"/>
      <c r="AJ167" s="1263"/>
      <c r="AK167" s="1263"/>
      <c r="AL167" s="1263"/>
      <c r="AM167" s="1263"/>
      <c r="AN167" s="1263"/>
      <c r="AO167" s="1263"/>
      <c r="AP167" s="1263"/>
      <c r="AQ167" s="1263"/>
      <c r="AR167" s="1263"/>
      <c r="AS167" s="1263"/>
      <c r="AT167" s="1263"/>
      <c r="AU167" s="1263"/>
      <c r="AV167" s="1263"/>
      <c r="AW167" s="1263"/>
      <c r="AX167" s="1263"/>
      <c r="AY167" s="1263"/>
      <c r="AZ167" s="1263"/>
      <c r="BA167" s="1264"/>
    </row>
    <row r="168" spans="2:56">
      <c r="B168" s="1243" t="s">
        <v>557</v>
      </c>
      <c r="C168" s="1244"/>
      <c r="D168" s="1244"/>
      <c r="E168" s="1244"/>
      <c r="F168" s="1244"/>
      <c r="G168" s="1245"/>
      <c r="H168" s="419">
        <v>74140</v>
      </c>
      <c r="I168" s="1273"/>
      <c r="J168" s="1274"/>
      <c r="K168" s="1274"/>
      <c r="L168" s="1274"/>
      <c r="M168" s="1275"/>
      <c r="N168" s="413" t="str">
        <f t="shared" si="16"/>
        <v xml:space="preserve"> </v>
      </c>
      <c r="O168" s="32"/>
      <c r="P168" s="415"/>
      <c r="Q168" s="415"/>
      <c r="R168" s="415"/>
      <c r="S168" s="63"/>
      <c r="T168" s="416">
        <f>SUM(T143:T165)</f>
        <v>15053.014999999999</v>
      </c>
      <c r="U168" s="416">
        <f t="shared" ref="U168:BA168" si="20">SUM(U143:U165)</f>
        <v>0</v>
      </c>
      <c r="V168" s="416">
        <f t="shared" si="20"/>
        <v>0</v>
      </c>
      <c r="W168" s="416">
        <f t="shared" si="20"/>
        <v>0</v>
      </c>
      <c r="X168" s="416">
        <f t="shared" si="20"/>
        <v>0</v>
      </c>
      <c r="Y168" s="416">
        <f t="shared" si="20"/>
        <v>7711.4920000000002</v>
      </c>
      <c r="Z168" s="416">
        <f t="shared" si="20"/>
        <v>0</v>
      </c>
      <c r="AA168" s="416">
        <f t="shared" si="20"/>
        <v>0</v>
      </c>
      <c r="AB168" s="416">
        <f t="shared" si="20"/>
        <v>25235.406999999999</v>
      </c>
      <c r="AC168" s="416">
        <f t="shared" si="20"/>
        <v>18526.534000000003</v>
      </c>
      <c r="AD168" s="416">
        <f t="shared" si="20"/>
        <v>0</v>
      </c>
      <c r="AE168" s="416">
        <f t="shared" si="20"/>
        <v>0</v>
      </c>
      <c r="AF168" s="416">
        <f t="shared" si="20"/>
        <v>0</v>
      </c>
      <c r="AG168" s="416">
        <f t="shared" si="20"/>
        <v>0</v>
      </c>
      <c r="AH168" s="416">
        <f t="shared" si="20"/>
        <v>0</v>
      </c>
      <c r="AI168" s="416">
        <f t="shared" si="20"/>
        <v>0</v>
      </c>
      <c r="AJ168" s="416">
        <f t="shared" si="20"/>
        <v>0</v>
      </c>
      <c r="AK168" s="416">
        <f t="shared" si="20"/>
        <v>0</v>
      </c>
      <c r="AL168" s="416">
        <f t="shared" si="20"/>
        <v>0</v>
      </c>
      <c r="AM168" s="416">
        <f t="shared" si="20"/>
        <v>0</v>
      </c>
      <c r="AN168" s="416">
        <f t="shared" si="20"/>
        <v>0</v>
      </c>
      <c r="AO168" s="416">
        <f t="shared" si="20"/>
        <v>0</v>
      </c>
      <c r="AP168" s="416">
        <f t="shared" si="20"/>
        <v>0</v>
      </c>
      <c r="AQ168" s="416">
        <f t="shared" si="20"/>
        <v>0</v>
      </c>
      <c r="AR168" s="416">
        <f t="shared" si="20"/>
        <v>0</v>
      </c>
      <c r="AS168" s="416">
        <f t="shared" si="20"/>
        <v>0</v>
      </c>
      <c r="AT168" s="416">
        <f t="shared" si="20"/>
        <v>0</v>
      </c>
      <c r="AU168" s="416">
        <f t="shared" si="20"/>
        <v>0</v>
      </c>
      <c r="AV168" s="416">
        <f t="shared" si="20"/>
        <v>0</v>
      </c>
      <c r="AW168" s="416">
        <f t="shared" si="20"/>
        <v>0</v>
      </c>
      <c r="AX168" s="416">
        <f t="shared" si="20"/>
        <v>0</v>
      </c>
      <c r="AY168" s="416">
        <f t="shared" si="20"/>
        <v>7613.5519999999997</v>
      </c>
      <c r="AZ168" s="416">
        <f t="shared" si="20"/>
        <v>0</v>
      </c>
      <c r="BA168" s="416">
        <f t="shared" si="20"/>
        <v>0</v>
      </c>
      <c r="BB168" s="416">
        <f>SUM(T168:BA168)</f>
        <v>74140</v>
      </c>
    </row>
    <row r="169" spans="2:56">
      <c r="B169" s="1243" t="s">
        <v>558</v>
      </c>
      <c r="C169" s="1244"/>
      <c r="D169" s="1244"/>
      <c r="E169" s="1244"/>
      <c r="F169" s="1244"/>
      <c r="G169" s="1245"/>
      <c r="H169" s="420">
        <f>H168-L137</f>
        <v>0</v>
      </c>
      <c r="I169" s="294"/>
      <c r="J169" s="295"/>
      <c r="K169" s="295"/>
      <c r="L169" s="296"/>
      <c r="M169" s="32"/>
      <c r="N169" s="32"/>
      <c r="O169" s="32"/>
      <c r="P169" s="32"/>
      <c r="Q169" s="297"/>
      <c r="R169" s="297"/>
      <c r="S169" s="32"/>
      <c r="T169" s="48"/>
      <c r="U169" s="48"/>
      <c r="V169" s="48"/>
      <c r="W169" s="48"/>
      <c r="X169" s="48"/>
      <c r="Y169" s="48"/>
      <c r="Z169" s="48"/>
      <c r="AA169" s="48"/>
      <c r="AB169" s="48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</row>
    <row r="170" spans="2:56">
      <c r="B170" s="1243" t="s">
        <v>559</v>
      </c>
      <c r="C170" s="1244"/>
      <c r="D170" s="1244"/>
      <c r="E170" s="1244"/>
      <c r="F170" s="1244"/>
      <c r="G170" s="1245"/>
      <c r="H170" s="420">
        <v>203</v>
      </c>
      <c r="I170" s="52"/>
      <c r="J170" s="53"/>
      <c r="K170" s="53"/>
      <c r="L170" s="54"/>
      <c r="M170" s="32"/>
      <c r="N170" s="201"/>
      <c r="O170" s="32"/>
      <c r="P170" s="32"/>
      <c r="Q170" s="32"/>
      <c r="R170" s="32"/>
      <c r="S170" s="32"/>
      <c r="T170" s="48"/>
      <c r="U170" s="48"/>
      <c r="V170" s="48"/>
      <c r="W170" s="48"/>
      <c r="X170" s="48"/>
      <c r="Y170" s="48"/>
      <c r="Z170" s="48"/>
      <c r="AA170" s="48"/>
      <c r="AB170" s="48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</row>
    <row r="171" spans="2:56">
      <c r="B171" s="1243" t="s">
        <v>560</v>
      </c>
      <c r="C171" s="1244"/>
      <c r="D171" s="1244"/>
      <c r="E171" s="1244"/>
      <c r="F171" s="1244"/>
      <c r="G171" s="1245"/>
      <c r="H171" s="421">
        <f>H170-1545.529</f>
        <v>-1342.529</v>
      </c>
      <c r="I171" s="52"/>
      <c r="J171" s="53"/>
      <c r="K171" s="53"/>
      <c r="L171" s="54"/>
      <c r="M171" s="32"/>
      <c r="N171" s="32"/>
      <c r="O171" s="32"/>
      <c r="P171" s="32"/>
      <c r="Q171" s="32"/>
      <c r="R171" s="32"/>
      <c r="S171" s="48"/>
      <c r="T171" s="48"/>
      <c r="U171" s="48"/>
      <c r="V171" s="48"/>
      <c r="W171" s="48"/>
      <c r="X171" s="48"/>
      <c r="Y171" s="48"/>
      <c r="Z171" s="48"/>
      <c r="AA171" s="48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56">
      <c r="B172" s="201"/>
      <c r="C172" s="201"/>
      <c r="D172" s="201"/>
      <c r="E172" s="201"/>
      <c r="F172" s="201"/>
      <c r="G172" s="201"/>
      <c r="H172" s="201"/>
      <c r="I172" s="213"/>
      <c r="J172" s="209"/>
      <c r="K172" s="209"/>
      <c r="L172" s="203"/>
      <c r="M172" s="201"/>
      <c r="N172" s="201"/>
      <c r="O172" s="209"/>
      <c r="P172" s="32"/>
      <c r="Q172" s="32"/>
      <c r="R172" s="32"/>
      <c r="S172" s="32"/>
      <c r="T172" s="48"/>
      <c r="U172" s="48"/>
      <c r="V172" s="48"/>
      <c r="W172" s="48"/>
      <c r="X172" s="48"/>
      <c r="Y172" s="48"/>
      <c r="Z172" s="48"/>
      <c r="AA172" s="48"/>
      <c r="AB172" s="48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</row>
    <row r="173" spans="2:56">
      <c r="B173" s="40" t="s">
        <v>561</v>
      </c>
      <c r="C173" s="40"/>
      <c r="D173" s="32"/>
      <c r="E173" s="32"/>
      <c r="F173" s="32"/>
      <c r="G173" s="32"/>
      <c r="H173" s="32"/>
      <c r="I173" s="32"/>
      <c r="J173" s="52"/>
      <c r="K173" s="52"/>
      <c r="L173" s="55"/>
      <c r="M173" s="32"/>
      <c r="N173" s="201"/>
      <c r="O173" s="5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1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201"/>
      <c r="AQ173" s="201"/>
      <c r="AR173" s="201"/>
      <c r="AS173" s="201"/>
      <c r="AT173" s="201"/>
      <c r="AU173" s="201"/>
      <c r="BB173" s="201"/>
    </row>
    <row r="174" spans="2:56">
      <c r="B174" s="422">
        <v>1</v>
      </c>
      <c r="C174" s="1249" t="s">
        <v>2011</v>
      </c>
      <c r="D174" s="1249"/>
      <c r="E174" s="1249"/>
      <c r="F174" s="1249"/>
      <c r="G174" s="1249"/>
      <c r="H174" s="1249"/>
      <c r="I174" s="1249"/>
      <c r="J174" s="1249"/>
      <c r="K174" s="1249"/>
      <c r="L174" s="203"/>
      <c r="M174" s="203"/>
      <c r="N174" s="201"/>
      <c r="O174" s="209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1"/>
      <c r="AC174" s="201"/>
      <c r="AD174" s="201"/>
      <c r="AE174" s="201"/>
      <c r="AF174" s="201"/>
      <c r="AG174" s="201"/>
      <c r="AH174" s="201"/>
      <c r="AI174" s="201"/>
      <c r="AJ174" s="201"/>
      <c r="AK174" s="201"/>
      <c r="AL174" s="201"/>
      <c r="AM174" s="201"/>
      <c r="AN174" s="201"/>
      <c r="AO174" s="201"/>
      <c r="AP174" s="201"/>
      <c r="AQ174" s="201"/>
      <c r="AR174" s="201"/>
      <c r="AS174" s="201"/>
      <c r="AT174" s="201"/>
      <c r="AU174" s="201"/>
      <c r="AV174" s="201"/>
      <c r="AW174" s="201"/>
      <c r="AX174" s="201"/>
      <c r="AY174" s="201"/>
      <c r="AZ174" s="201"/>
      <c r="BA174" s="201"/>
      <c r="BB174" s="201"/>
    </row>
    <row r="176" spans="2:56">
      <c r="B176" s="28" t="s">
        <v>126</v>
      </c>
      <c r="C176" s="28"/>
      <c r="D176" s="29"/>
      <c r="E176" s="30" t="s">
        <v>511</v>
      </c>
      <c r="F176" s="31" t="s">
        <v>1689</v>
      </c>
      <c r="G176" s="32"/>
      <c r="H176" s="33"/>
      <c r="I176" s="34"/>
      <c r="J176" s="35" t="s">
        <v>513</v>
      </c>
      <c r="K176" s="36" t="s">
        <v>511</v>
      </c>
      <c r="L176" s="37">
        <v>45090.143055555556</v>
      </c>
      <c r="M176" s="32"/>
      <c r="N176" s="32"/>
      <c r="O176" s="206"/>
      <c r="P176" s="205"/>
      <c r="Q176" s="202"/>
      <c r="R176" s="204"/>
      <c r="S176" s="38"/>
      <c r="T176" s="201"/>
      <c r="U176" s="201"/>
      <c r="V176" s="201"/>
      <c r="W176" s="201"/>
      <c r="X176" s="201"/>
      <c r="Y176" s="201"/>
      <c r="Z176" s="201"/>
      <c r="AA176" s="201"/>
      <c r="AB176" s="202"/>
      <c r="AC176" s="202"/>
      <c r="AD176" s="202"/>
      <c r="AE176" s="202"/>
      <c r="AF176" s="202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  <c r="AQ176" s="201"/>
      <c r="AR176" s="201"/>
      <c r="AS176" s="201"/>
      <c r="AT176" s="201"/>
      <c r="AU176" s="201"/>
      <c r="AV176" s="201"/>
      <c r="AW176" s="201"/>
      <c r="AX176" s="201"/>
      <c r="AY176" s="201"/>
      <c r="AZ176" s="201"/>
      <c r="BA176" s="201"/>
      <c r="BB176" s="201"/>
      <c r="BC176" s="201"/>
      <c r="BD176" s="201"/>
    </row>
    <row r="177" spans="2:56">
      <c r="B177" s="35" t="s">
        <v>514</v>
      </c>
      <c r="C177" s="35"/>
      <c r="D177" s="32"/>
      <c r="E177" s="36" t="s">
        <v>511</v>
      </c>
      <c r="F177" s="37" t="s">
        <v>2012</v>
      </c>
      <c r="G177" s="59" t="s">
        <v>647</v>
      </c>
      <c r="H177" s="33"/>
      <c r="I177" s="34"/>
      <c r="J177" s="35" t="s">
        <v>516</v>
      </c>
      <c r="K177" s="36" t="s">
        <v>511</v>
      </c>
      <c r="L177" s="37">
        <v>45091.447916666664</v>
      </c>
      <c r="M177" s="32"/>
      <c r="N177" s="32"/>
      <c r="O177" s="206"/>
      <c r="P177" s="205"/>
      <c r="Q177" s="202"/>
      <c r="R177" s="204"/>
      <c r="S177" s="38"/>
      <c r="T177" s="201"/>
      <c r="U177" s="201"/>
      <c r="V177" s="201"/>
      <c r="W177" s="201"/>
      <c r="X177" s="201"/>
      <c r="Y177" s="201"/>
      <c r="Z177" s="201"/>
      <c r="AA177" s="201"/>
      <c r="AB177" s="202"/>
      <c r="AC177" s="202"/>
      <c r="AD177" s="202"/>
      <c r="AE177" s="202"/>
      <c r="AF177" s="202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  <c r="AQ177" s="201"/>
      <c r="AR177" s="201"/>
      <c r="AS177" s="201"/>
      <c r="AT177" s="201"/>
      <c r="AU177" s="201"/>
      <c r="AV177" s="201"/>
      <c r="AW177" s="201"/>
      <c r="AX177" s="201"/>
      <c r="AY177" s="201"/>
      <c r="AZ177" s="201"/>
      <c r="BA177" s="201"/>
      <c r="BB177" s="201"/>
      <c r="BC177" s="201"/>
      <c r="BD177" s="201"/>
    </row>
    <row r="178" spans="2:56">
      <c r="B178" s="35" t="s">
        <v>517</v>
      </c>
      <c r="C178" s="35"/>
      <c r="D178" s="32"/>
      <c r="E178" s="36" t="s">
        <v>511</v>
      </c>
      <c r="F178" s="37">
        <v>45085.895833333336</v>
      </c>
      <c r="G178" s="60">
        <v>45086</v>
      </c>
      <c r="H178" s="33"/>
      <c r="I178" s="34"/>
      <c r="J178" s="35" t="s">
        <v>518</v>
      </c>
      <c r="K178" s="36" t="s">
        <v>511</v>
      </c>
      <c r="L178" s="50">
        <v>71925</v>
      </c>
      <c r="M178" s="40" t="s">
        <v>519</v>
      </c>
      <c r="N178" s="40"/>
      <c r="O178" s="206"/>
      <c r="P178" s="205"/>
      <c r="Q178" s="202"/>
      <c r="R178" s="204"/>
      <c r="S178" s="38"/>
      <c r="T178" s="201"/>
      <c r="U178" s="201"/>
      <c r="V178" s="201"/>
      <c r="W178" s="201"/>
      <c r="X178" s="201"/>
      <c r="Y178" s="201"/>
      <c r="Z178" s="201"/>
      <c r="AA178" s="201"/>
      <c r="AB178" s="202"/>
      <c r="AC178" s="202"/>
      <c r="AD178" s="202"/>
      <c r="AE178" s="202"/>
      <c r="AF178" s="202"/>
      <c r="AG178" s="201"/>
      <c r="AH178" s="201"/>
      <c r="AI178" s="201"/>
      <c r="AJ178" s="201"/>
      <c r="AK178" s="201"/>
      <c r="AL178" s="201"/>
      <c r="AM178" s="201"/>
      <c r="AN178" s="201"/>
      <c r="AO178" s="201"/>
      <c r="AP178" s="201"/>
      <c r="AQ178" s="201"/>
      <c r="AR178" s="201"/>
      <c r="AS178" s="201"/>
      <c r="AT178" s="201"/>
      <c r="AU178" s="201"/>
      <c r="AV178" s="201"/>
      <c r="AW178" s="201"/>
      <c r="AX178" s="201"/>
      <c r="AY178" s="201"/>
      <c r="AZ178" s="201"/>
      <c r="BA178" s="201"/>
      <c r="BB178" s="201"/>
      <c r="BC178" s="201"/>
      <c r="BD178" s="201"/>
    </row>
    <row r="179" spans="2:56">
      <c r="B179" s="35" t="s">
        <v>520</v>
      </c>
      <c r="C179" s="35"/>
      <c r="D179" s="32"/>
      <c r="E179" s="36" t="s">
        <v>511</v>
      </c>
      <c r="F179" s="37" t="s">
        <v>20</v>
      </c>
      <c r="G179" s="32"/>
      <c r="H179" s="33"/>
      <c r="I179" s="34"/>
      <c r="J179" s="35" t="s">
        <v>521</v>
      </c>
      <c r="K179" s="36" t="s">
        <v>511</v>
      </c>
      <c r="L179" s="41" t="s">
        <v>2013</v>
      </c>
      <c r="M179" s="32"/>
      <c r="N179" s="32"/>
      <c r="O179" s="206"/>
      <c r="P179" s="202"/>
      <c r="Q179" s="202"/>
      <c r="R179" s="204"/>
      <c r="S179" s="38"/>
      <c r="T179" s="201"/>
      <c r="U179" s="201"/>
      <c r="V179" s="201"/>
      <c r="W179" s="201"/>
      <c r="X179" s="201"/>
      <c r="Y179" s="201"/>
      <c r="Z179" s="201"/>
      <c r="AA179" s="201"/>
      <c r="AB179" s="202"/>
      <c r="AC179" s="202"/>
      <c r="AD179" s="202"/>
      <c r="AE179" s="202"/>
      <c r="AF179" s="202"/>
      <c r="AG179" s="201"/>
      <c r="AH179" s="201"/>
      <c r="AI179" s="201"/>
      <c r="AJ179" s="201"/>
      <c r="AK179" s="201"/>
      <c r="AL179" s="201"/>
      <c r="AM179" s="201"/>
      <c r="AN179" s="201"/>
      <c r="AO179" s="201"/>
      <c r="AP179" s="201"/>
      <c r="AQ179" s="201"/>
      <c r="AR179" s="201"/>
      <c r="AS179" s="201"/>
      <c r="AT179" s="201"/>
      <c r="AU179" s="201"/>
      <c r="AV179" s="201"/>
      <c r="AW179" s="201"/>
      <c r="AX179" s="201"/>
      <c r="AY179" s="201"/>
      <c r="AZ179" s="201"/>
      <c r="BA179" s="201"/>
      <c r="BB179" s="201"/>
      <c r="BC179" s="201"/>
      <c r="BD179" s="201"/>
    </row>
    <row r="180" spans="2:56">
      <c r="B180" s="35" t="s">
        <v>523</v>
      </c>
      <c r="C180" s="35"/>
      <c r="D180" s="32"/>
      <c r="E180" s="36" t="s">
        <v>511</v>
      </c>
      <c r="F180" s="37" t="s">
        <v>47</v>
      </c>
      <c r="G180" s="32"/>
      <c r="H180" s="33"/>
      <c r="I180" s="34"/>
      <c r="J180" s="42" t="s">
        <v>524</v>
      </c>
      <c r="K180" s="36" t="s">
        <v>511</v>
      </c>
      <c r="L180" s="43" t="s">
        <v>11</v>
      </c>
      <c r="M180" s="44"/>
      <c r="N180" s="44"/>
      <c r="O180" s="206"/>
      <c r="P180" s="205"/>
      <c r="Q180" s="202"/>
      <c r="R180" s="204"/>
      <c r="S180" s="38"/>
      <c r="T180" s="201"/>
      <c r="U180" s="201"/>
      <c r="V180" s="201"/>
      <c r="W180" s="201"/>
      <c r="X180" s="201"/>
      <c r="Y180" s="201"/>
      <c r="Z180" s="201"/>
      <c r="AA180" s="201"/>
      <c r="AB180" s="202"/>
      <c r="AC180" s="202"/>
      <c r="AD180" s="202"/>
      <c r="AE180" s="202"/>
      <c r="AF180" s="202"/>
      <c r="AG180" s="201"/>
      <c r="AH180" s="201"/>
      <c r="AI180" s="201"/>
      <c r="AJ180" s="201"/>
      <c r="AK180" s="201"/>
      <c r="AL180" s="201"/>
      <c r="AM180" s="201"/>
      <c r="AN180" s="201"/>
      <c r="AO180" s="201"/>
      <c r="AP180" s="201"/>
      <c r="AQ180" s="201"/>
      <c r="AR180" s="201"/>
      <c r="AS180" s="201"/>
      <c r="AT180" s="201"/>
      <c r="AU180" s="201"/>
      <c r="AV180" s="201"/>
      <c r="AW180" s="201"/>
      <c r="AX180" s="201"/>
      <c r="AY180" s="201"/>
      <c r="AZ180" s="201"/>
      <c r="BA180" s="201"/>
      <c r="BB180" s="201"/>
      <c r="BC180" s="201"/>
      <c r="BD180" s="201"/>
    </row>
    <row r="181" spans="2:56">
      <c r="B181" s="35" t="s">
        <v>2</v>
      </c>
      <c r="C181" s="35"/>
      <c r="D181" s="32"/>
      <c r="E181" s="36" t="s">
        <v>511</v>
      </c>
      <c r="F181" s="37" t="s">
        <v>14</v>
      </c>
      <c r="G181" s="32"/>
      <c r="H181" s="33"/>
      <c r="I181" s="45"/>
      <c r="J181" s="42"/>
      <c r="K181" s="36"/>
      <c r="L181" s="211"/>
      <c r="M181" s="201"/>
      <c r="N181" s="201"/>
      <c r="O181" s="42"/>
      <c r="P181" s="44"/>
      <c r="Q181" s="44"/>
      <c r="R181" s="44"/>
      <c r="S181" s="34"/>
      <c r="T181" s="201"/>
      <c r="U181" s="201"/>
      <c r="V181" s="201"/>
      <c r="W181" s="201"/>
      <c r="X181" s="201"/>
      <c r="Y181" s="201"/>
      <c r="Z181" s="201"/>
      <c r="AA181" s="201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201"/>
      <c r="AP181" s="201"/>
      <c r="AQ181" s="201"/>
      <c r="AR181" s="201"/>
      <c r="AS181" s="201"/>
      <c r="AT181" s="201"/>
      <c r="AU181" s="201"/>
      <c r="AV181" s="201"/>
      <c r="AW181" s="201"/>
      <c r="AX181" s="201"/>
      <c r="AY181" s="201"/>
      <c r="AZ181" s="201"/>
      <c r="BA181" s="201"/>
      <c r="BB181" s="201"/>
      <c r="BC181" s="201"/>
      <c r="BD181" s="201"/>
    </row>
    <row r="182" spans="2:56">
      <c r="B182" s="201"/>
      <c r="C182" s="201"/>
      <c r="D182" s="201"/>
      <c r="E182" s="201"/>
      <c r="F182" s="201"/>
      <c r="G182" s="201"/>
      <c r="H182" s="201"/>
      <c r="I182" s="45"/>
      <c r="J182" s="42"/>
      <c r="K182" s="42"/>
      <c r="L182" s="43"/>
      <c r="M182" s="44"/>
      <c r="N182" s="44"/>
      <c r="O182" s="42"/>
      <c r="P182" s="44"/>
      <c r="Q182" s="44"/>
      <c r="R182" s="44"/>
      <c r="S182" s="34"/>
      <c r="T182" s="1265" t="s">
        <v>87</v>
      </c>
      <c r="U182" s="1265"/>
      <c r="V182" s="1265"/>
      <c r="W182" s="1265"/>
      <c r="X182" s="1265"/>
      <c r="Y182" s="1265" t="s">
        <v>73</v>
      </c>
      <c r="Z182" s="1265"/>
      <c r="AA182" s="1265"/>
      <c r="AB182" s="1265" t="s">
        <v>74</v>
      </c>
      <c r="AC182" s="1265"/>
      <c r="AD182" s="423" t="s">
        <v>85</v>
      </c>
      <c r="AE182" s="423" t="s">
        <v>77</v>
      </c>
      <c r="AF182" s="1265" t="s">
        <v>525</v>
      </c>
      <c r="AG182" s="1265"/>
      <c r="AH182" s="1265"/>
      <c r="AI182" s="1265"/>
      <c r="AJ182" s="1265"/>
      <c r="AK182" s="1265"/>
      <c r="AL182" s="1265"/>
      <c r="AM182" s="1265"/>
      <c r="AN182" s="1265"/>
      <c r="AO182" s="1265"/>
      <c r="AP182" s="1265"/>
      <c r="AQ182" s="1265"/>
      <c r="AR182" s="1265"/>
      <c r="AS182" s="1265"/>
      <c r="AT182" s="1265"/>
      <c r="AU182" s="1265"/>
      <c r="AV182" s="1265"/>
      <c r="AW182" s="1265"/>
      <c r="AX182" s="1265"/>
      <c r="AY182" s="1265"/>
      <c r="AZ182" s="1265"/>
      <c r="BA182" s="1265"/>
      <c r="BB182" s="1265"/>
      <c r="BC182" s="1265"/>
      <c r="BD182" s="201"/>
    </row>
    <row r="183" spans="2:56">
      <c r="B183" s="1266" t="s">
        <v>526</v>
      </c>
      <c r="C183" s="1267"/>
      <c r="D183" s="570" t="s">
        <v>527</v>
      </c>
      <c r="E183" s="570"/>
      <c r="F183" s="570" t="s">
        <v>528</v>
      </c>
      <c r="G183" s="570" t="s">
        <v>529</v>
      </c>
      <c r="H183" s="570" t="s">
        <v>530</v>
      </c>
      <c r="I183" s="570" t="s">
        <v>531</v>
      </c>
      <c r="J183" s="570" t="s">
        <v>532</v>
      </c>
      <c r="K183" s="570"/>
      <c r="L183" s="570" t="s">
        <v>130</v>
      </c>
      <c r="M183" s="570" t="s">
        <v>533</v>
      </c>
      <c r="N183" s="408" t="str">
        <f>"On time - "&amp;COUNTIF(N184:N193,"On time")&amp;" from "&amp;ROWS(N184:N193)-COUNTIF(N184:N193," ")</f>
        <v>On time - 9 from 9</v>
      </c>
      <c r="O183" s="46"/>
      <c r="P183" s="409" t="s">
        <v>534</v>
      </c>
      <c r="Q183" s="409" t="s">
        <v>535</v>
      </c>
      <c r="R183" s="409" t="s">
        <v>536</v>
      </c>
      <c r="S183" s="32"/>
      <c r="T183" s="424" t="s">
        <v>537</v>
      </c>
      <c r="U183" s="424" t="s">
        <v>538</v>
      </c>
      <c r="V183" s="424" t="s">
        <v>539</v>
      </c>
      <c r="W183" s="424" t="s">
        <v>540</v>
      </c>
      <c r="X183" s="424" t="s">
        <v>541</v>
      </c>
      <c r="Y183" s="424" t="s">
        <v>167</v>
      </c>
      <c r="Z183" s="424" t="s">
        <v>168</v>
      </c>
      <c r="AA183" s="424" t="s">
        <v>169</v>
      </c>
      <c r="AB183" s="424" t="s">
        <v>235</v>
      </c>
      <c r="AC183" s="424" t="s">
        <v>240</v>
      </c>
      <c r="AD183" s="423" t="s">
        <v>85</v>
      </c>
      <c r="AE183" s="424" t="s">
        <v>139</v>
      </c>
      <c r="AF183" s="424" t="s">
        <v>72</v>
      </c>
      <c r="AG183" s="424" t="s">
        <v>88</v>
      </c>
      <c r="AH183" s="424" t="s">
        <v>75</v>
      </c>
      <c r="AI183" s="424" t="s">
        <v>543</v>
      </c>
      <c r="AJ183" s="424" t="s">
        <v>78</v>
      </c>
      <c r="AK183" s="424" t="s">
        <v>76</v>
      </c>
      <c r="AL183" s="424" t="s">
        <v>544</v>
      </c>
      <c r="AM183" s="424" t="s">
        <v>545</v>
      </c>
      <c r="AN183" s="424" t="s">
        <v>86</v>
      </c>
      <c r="AO183" s="424" t="s">
        <v>83</v>
      </c>
      <c r="AP183" s="424" t="s">
        <v>84</v>
      </c>
      <c r="AQ183" s="424" t="s">
        <v>546</v>
      </c>
      <c r="AR183" s="424" t="s">
        <v>81</v>
      </c>
      <c r="AS183" s="424" t="s">
        <v>80</v>
      </c>
      <c r="AT183" s="424" t="s">
        <v>82</v>
      </c>
      <c r="AU183" s="424" t="s">
        <v>181</v>
      </c>
      <c r="AV183" s="424" t="s">
        <v>183</v>
      </c>
      <c r="AW183" s="424" t="s">
        <v>547</v>
      </c>
      <c r="AX183" s="424" t="s">
        <v>182</v>
      </c>
      <c r="AY183" s="424" t="s">
        <v>172</v>
      </c>
      <c r="AZ183" s="424" t="s">
        <v>173</v>
      </c>
      <c r="BA183" s="424" t="s">
        <v>184</v>
      </c>
      <c r="BB183" s="424" t="s">
        <v>100</v>
      </c>
      <c r="BC183" s="424" t="s">
        <v>913</v>
      </c>
      <c r="BD183" s="201"/>
    </row>
    <row r="184" spans="2:56">
      <c r="B184" s="1294">
        <v>1</v>
      </c>
      <c r="C184" s="1295"/>
      <c r="D184" s="436" t="s">
        <v>1871</v>
      </c>
      <c r="E184" s="436"/>
      <c r="F184" s="436" t="s">
        <v>1307</v>
      </c>
      <c r="G184" s="436" t="s">
        <v>1308</v>
      </c>
      <c r="H184" s="437">
        <v>5339</v>
      </c>
      <c r="I184" s="438" t="s">
        <v>81</v>
      </c>
      <c r="J184" s="439">
        <v>45082.569444444445</v>
      </c>
      <c r="K184" s="439"/>
      <c r="L184" s="439" t="s">
        <v>192</v>
      </c>
      <c r="M184" s="439" t="s">
        <v>192</v>
      </c>
      <c r="N184" s="438" t="str">
        <f>IF(ISBLANK(J184)," ",IF(J184&lt;$G$178,"On time",(IF(DAY(J184-$G$178)&lt;1,"On time",(IF(J184&gt;$G$178,"DELAY ( "&amp;DAY(J184-$G$178)&amp;" day "&amp;HOUR(J184-$G$178)&amp;" hour "&amp;MINUTE(J184-$G$178)&amp;" minute )","xxx"))))))</f>
        <v>On time</v>
      </c>
      <c r="O184" s="308"/>
      <c r="P184" s="440" t="s">
        <v>551</v>
      </c>
      <c r="Q184" s="440" t="s">
        <v>551</v>
      </c>
      <c r="R184" s="440" t="s">
        <v>551</v>
      </c>
      <c r="S184" s="201"/>
      <c r="T184" s="441"/>
      <c r="U184" s="441"/>
      <c r="V184" s="441"/>
      <c r="W184" s="441"/>
      <c r="X184" s="441"/>
      <c r="Y184" s="441"/>
      <c r="Z184" s="441"/>
      <c r="AA184" s="441"/>
      <c r="AB184" s="441"/>
      <c r="AC184" s="441"/>
      <c r="AD184" s="441"/>
      <c r="AE184" s="441"/>
      <c r="AF184" s="441"/>
      <c r="AG184" s="441"/>
      <c r="AH184" s="441"/>
      <c r="AI184" s="441"/>
      <c r="AJ184" s="441"/>
      <c r="AK184" s="441"/>
      <c r="AL184" s="441"/>
      <c r="AM184" s="441"/>
      <c r="AN184" s="441"/>
      <c r="AO184" s="441"/>
      <c r="AP184" s="441"/>
      <c r="AQ184" s="441"/>
      <c r="AR184" s="441">
        <f>H184</f>
        <v>5339</v>
      </c>
      <c r="AS184" s="441"/>
      <c r="AT184" s="441"/>
      <c r="AU184" s="441"/>
      <c r="AV184" s="441"/>
      <c r="AW184" s="441"/>
      <c r="AX184" s="441"/>
      <c r="AY184" s="441"/>
      <c r="AZ184" s="441"/>
      <c r="BA184" s="441"/>
      <c r="BB184" s="441"/>
      <c r="BC184" s="441"/>
      <c r="BD184" s="201"/>
    </row>
    <row r="185" spans="2:56">
      <c r="B185" s="1294">
        <v>2</v>
      </c>
      <c r="C185" s="1295"/>
      <c r="D185" s="436" t="s">
        <v>1690</v>
      </c>
      <c r="E185" s="436"/>
      <c r="F185" s="436" t="s">
        <v>343</v>
      </c>
      <c r="G185" s="436" t="s">
        <v>344</v>
      </c>
      <c r="H185" s="437">
        <v>7461.3450000000003</v>
      </c>
      <c r="I185" s="438" t="s">
        <v>1677</v>
      </c>
      <c r="J185" s="439">
        <v>45080.125</v>
      </c>
      <c r="K185" s="439"/>
      <c r="L185" s="439" t="s">
        <v>192</v>
      </c>
      <c r="M185" s="439" t="s">
        <v>192</v>
      </c>
      <c r="N185" s="438" t="str">
        <f t="shared" ref="N185:N195" si="21">IF(ISBLANK(J185)," ",IF(J185&lt;$G$178,"On time",(IF(DAY(J185-$G$178)&lt;1,"On time",(IF(J185&gt;$G$178,"DELAY ( "&amp;DAY(J185-$G$178)&amp;" day "&amp;HOUR(J185-$G$178)&amp;" hour "&amp;MINUTE(J185-$G$178)&amp;" minute )","xxx"))))))</f>
        <v>On time</v>
      </c>
      <c r="O185" s="308"/>
      <c r="P185" s="440" t="s">
        <v>551</v>
      </c>
      <c r="Q185" s="440" t="s">
        <v>551</v>
      </c>
      <c r="R185" s="440" t="s">
        <v>551</v>
      </c>
      <c r="S185" s="201"/>
      <c r="T185" s="441"/>
      <c r="U185" s="441"/>
      <c r="V185" s="441"/>
      <c r="W185" s="441"/>
      <c r="X185" s="441"/>
      <c r="Y185" s="441">
        <f>H185*0.65</f>
        <v>4849.8742500000008</v>
      </c>
      <c r="Z185" s="441">
        <f>H185*0.35</f>
        <v>2611.47075</v>
      </c>
      <c r="AA185" s="441"/>
      <c r="AB185" s="441"/>
      <c r="AC185" s="441"/>
      <c r="AD185" s="441"/>
      <c r="AE185" s="441"/>
      <c r="AF185" s="441"/>
      <c r="AG185" s="441"/>
      <c r="AH185" s="441"/>
      <c r="AI185" s="441"/>
      <c r="AJ185" s="441"/>
      <c r="AK185" s="441"/>
      <c r="AL185" s="441"/>
      <c r="AM185" s="441"/>
      <c r="AN185" s="441"/>
      <c r="AO185" s="441"/>
      <c r="AP185" s="441"/>
      <c r="AQ185" s="441"/>
      <c r="AR185" s="441"/>
      <c r="AS185" s="441"/>
      <c r="AT185" s="441"/>
      <c r="AU185" s="441"/>
      <c r="AV185" s="441"/>
      <c r="AW185" s="441"/>
      <c r="AX185" s="441"/>
      <c r="AY185" s="310"/>
      <c r="AZ185" s="441"/>
      <c r="BA185" s="441"/>
      <c r="BB185" s="441"/>
      <c r="BC185" s="441"/>
      <c r="BD185" s="201"/>
    </row>
    <row r="186" spans="2:56">
      <c r="B186" s="1294">
        <v>3</v>
      </c>
      <c r="C186" s="1295"/>
      <c r="D186" s="436" t="s">
        <v>1691</v>
      </c>
      <c r="E186" s="436"/>
      <c r="F186" s="436" t="s">
        <v>295</v>
      </c>
      <c r="G186" s="436" t="s">
        <v>296</v>
      </c>
      <c r="H186" s="437">
        <v>9821.1479999999992</v>
      </c>
      <c r="I186" s="438" t="s">
        <v>1677</v>
      </c>
      <c r="J186" s="439">
        <v>45080.75</v>
      </c>
      <c r="K186" s="439"/>
      <c r="L186" s="439" t="s">
        <v>192</v>
      </c>
      <c r="M186" s="439" t="s">
        <v>192</v>
      </c>
      <c r="N186" s="438" t="str">
        <f t="shared" si="21"/>
        <v>On time</v>
      </c>
      <c r="O186" s="308"/>
      <c r="P186" s="440" t="s">
        <v>551</v>
      </c>
      <c r="Q186" s="440" t="s">
        <v>551</v>
      </c>
      <c r="R186" s="440" t="s">
        <v>551</v>
      </c>
      <c r="S186" s="201"/>
      <c r="T186" s="441"/>
      <c r="U186" s="441"/>
      <c r="V186" s="441"/>
      <c r="W186" s="441"/>
      <c r="X186" s="441"/>
      <c r="Y186" s="441">
        <f t="shared" ref="Y186:Y191" si="22">H186*0.65</f>
        <v>6383.7461999999996</v>
      </c>
      <c r="Z186" s="441">
        <f t="shared" ref="Z186:Z191" si="23">H186*0.35</f>
        <v>3437.4017999999996</v>
      </c>
      <c r="AA186" s="441"/>
      <c r="AB186" s="441"/>
      <c r="AC186" s="441"/>
      <c r="AD186" s="441"/>
      <c r="AE186" s="441"/>
      <c r="AF186" s="441"/>
      <c r="AG186" s="441"/>
      <c r="AH186" s="441"/>
      <c r="AI186" s="441"/>
      <c r="AJ186" s="441"/>
      <c r="AK186" s="441"/>
      <c r="AL186" s="441"/>
      <c r="AM186" s="441"/>
      <c r="AN186" s="441"/>
      <c r="AO186" s="441"/>
      <c r="AP186" s="441"/>
      <c r="AQ186" s="441"/>
      <c r="AR186" s="441"/>
      <c r="AS186" s="441"/>
      <c r="AT186" s="441"/>
      <c r="AU186" s="201"/>
      <c r="AV186" s="441"/>
      <c r="AW186" s="441"/>
      <c r="AX186" s="441"/>
      <c r="AY186" s="443"/>
      <c r="AZ186" s="441"/>
      <c r="BA186" s="441"/>
      <c r="BB186" s="441"/>
      <c r="BC186" s="441"/>
      <c r="BD186" s="201"/>
    </row>
    <row r="187" spans="2:56">
      <c r="B187" s="1294">
        <v>4</v>
      </c>
      <c r="C187" s="1295"/>
      <c r="D187" s="436" t="s">
        <v>1696</v>
      </c>
      <c r="E187" s="436"/>
      <c r="F187" s="436" t="s">
        <v>422</v>
      </c>
      <c r="G187" s="436" t="s">
        <v>275</v>
      </c>
      <c r="H187" s="437">
        <v>7561.0879999999997</v>
      </c>
      <c r="I187" s="438" t="s">
        <v>1677</v>
      </c>
      <c r="J187" s="439">
        <v>45080.770833333336</v>
      </c>
      <c r="K187" s="439"/>
      <c r="L187" s="439" t="s">
        <v>192</v>
      </c>
      <c r="M187" s="439" t="s">
        <v>192</v>
      </c>
      <c r="N187" s="438" t="str">
        <f t="shared" si="21"/>
        <v>On time</v>
      </c>
      <c r="O187" s="308"/>
      <c r="P187" s="440" t="s">
        <v>551</v>
      </c>
      <c r="Q187" s="440" t="s">
        <v>551</v>
      </c>
      <c r="R187" s="440" t="s">
        <v>551</v>
      </c>
      <c r="S187" s="201"/>
      <c r="T187" s="441"/>
      <c r="U187" s="441"/>
      <c r="V187" s="441"/>
      <c r="W187" s="441"/>
      <c r="X187" s="441"/>
      <c r="Y187" s="441">
        <f>H187*0.65</f>
        <v>4914.7071999999998</v>
      </c>
      <c r="Z187" s="441">
        <f>H187*0.35</f>
        <v>2646.3807999999999</v>
      </c>
      <c r="AA187" s="441"/>
      <c r="AB187" s="441"/>
      <c r="AC187" s="441"/>
      <c r="AD187" s="441"/>
      <c r="AE187" s="441"/>
      <c r="AF187" s="441"/>
      <c r="AG187" s="441"/>
      <c r="AH187" s="441"/>
      <c r="AI187" s="441"/>
      <c r="AJ187" s="441"/>
      <c r="AK187" s="441"/>
      <c r="AL187" s="441"/>
      <c r="AM187" s="441"/>
      <c r="AN187" s="441"/>
      <c r="AO187" s="441"/>
      <c r="AP187" s="441"/>
      <c r="AQ187" s="441"/>
      <c r="AR187" s="441"/>
      <c r="AS187" s="441"/>
      <c r="AT187" s="441"/>
      <c r="AU187" s="441"/>
      <c r="AV187" s="441"/>
      <c r="AW187" s="441"/>
      <c r="AX187" s="441"/>
      <c r="AY187" s="441"/>
      <c r="AZ187" s="441"/>
      <c r="BA187" s="441"/>
      <c r="BB187" s="441"/>
      <c r="BC187" s="441"/>
      <c r="BD187" s="201"/>
    </row>
    <row r="188" spans="2:56">
      <c r="B188" s="1256">
        <v>5</v>
      </c>
      <c r="C188" s="1257"/>
      <c r="D188" s="411" t="s">
        <v>1694</v>
      </c>
      <c r="E188" s="411"/>
      <c r="F188" s="411" t="s">
        <v>406</v>
      </c>
      <c r="G188" s="411" t="s">
        <v>407</v>
      </c>
      <c r="H188" s="412">
        <v>7439.1480000000001</v>
      </c>
      <c r="I188" s="413" t="s">
        <v>1677</v>
      </c>
      <c r="J188" s="414">
        <v>45080.940972222219</v>
      </c>
      <c r="K188" s="414"/>
      <c r="L188" s="439" t="s">
        <v>192</v>
      </c>
      <c r="M188" s="439" t="s">
        <v>192</v>
      </c>
      <c r="N188" s="438" t="str">
        <f t="shared" si="21"/>
        <v>On time</v>
      </c>
      <c r="O188" s="51"/>
      <c r="P188" s="415" t="s">
        <v>551</v>
      </c>
      <c r="Q188" s="415" t="s">
        <v>551</v>
      </c>
      <c r="R188" s="415" t="s">
        <v>551</v>
      </c>
      <c r="S188" s="32"/>
      <c r="T188" s="416"/>
      <c r="U188" s="416"/>
      <c r="V188" s="416"/>
      <c r="W188" s="416"/>
      <c r="X188" s="416"/>
      <c r="Y188" s="416">
        <f>H188*0.65</f>
        <v>4835.4462000000003</v>
      </c>
      <c r="Z188" s="416">
        <f>H188*0.35</f>
        <v>2603.7017999999998</v>
      </c>
      <c r="AA188" s="416"/>
      <c r="AB188" s="416"/>
      <c r="AC188" s="416"/>
      <c r="AD188" s="416"/>
      <c r="AE188" s="416"/>
      <c r="AF188" s="416"/>
      <c r="AG188" s="416"/>
      <c r="AH188" s="416"/>
      <c r="AI188" s="416"/>
      <c r="AJ188" s="416"/>
      <c r="AK188" s="416"/>
      <c r="AL188" s="416"/>
      <c r="AM188" s="416"/>
      <c r="AN188" s="416"/>
      <c r="AO188" s="416"/>
      <c r="AP188" s="416"/>
      <c r="AQ188" s="416"/>
      <c r="AR188" s="416"/>
      <c r="AS188" s="416"/>
      <c r="AT188" s="416"/>
      <c r="AU188" s="416"/>
      <c r="AV188" s="416"/>
      <c r="AW188" s="416"/>
      <c r="AX188" s="416"/>
      <c r="AY188" s="416"/>
      <c r="AZ188" s="416"/>
      <c r="BA188" s="416"/>
      <c r="BB188" s="416"/>
      <c r="BC188" s="416"/>
      <c r="BD188" s="32"/>
    </row>
    <row r="189" spans="2:56">
      <c r="B189" s="1256">
        <v>6</v>
      </c>
      <c r="C189" s="1257"/>
      <c r="D189" s="411" t="s">
        <v>1693</v>
      </c>
      <c r="E189" s="411"/>
      <c r="F189" s="411" t="s">
        <v>260</v>
      </c>
      <c r="G189" s="411" t="s">
        <v>261</v>
      </c>
      <c r="H189" s="412">
        <v>7691.0219999999999</v>
      </c>
      <c r="I189" s="413" t="s">
        <v>1677</v>
      </c>
      <c r="J189" s="414">
        <v>45081.118055555555</v>
      </c>
      <c r="K189" s="414"/>
      <c r="L189" s="439" t="s">
        <v>192</v>
      </c>
      <c r="M189" s="439" t="s">
        <v>192</v>
      </c>
      <c r="N189" s="438" t="str">
        <f t="shared" si="21"/>
        <v>On time</v>
      </c>
      <c r="O189" s="51"/>
      <c r="P189" s="415" t="s">
        <v>551</v>
      </c>
      <c r="Q189" s="415" t="s">
        <v>551</v>
      </c>
      <c r="R189" s="415" t="s">
        <v>551</v>
      </c>
      <c r="S189" s="32"/>
      <c r="T189" s="416"/>
      <c r="U189" s="416"/>
      <c r="V189" s="416"/>
      <c r="W189" s="416"/>
      <c r="X189" s="416"/>
      <c r="Y189" s="416">
        <f>H189*0.65</f>
        <v>4999.1643000000004</v>
      </c>
      <c r="Z189" s="416">
        <f>H189*0.35</f>
        <v>2691.8577</v>
      </c>
      <c r="AA189" s="416"/>
      <c r="AB189" s="416"/>
      <c r="AC189" s="416"/>
      <c r="AD189" s="416"/>
      <c r="AE189" s="416"/>
      <c r="AF189" s="416"/>
      <c r="AG189" s="416"/>
      <c r="AH189" s="416"/>
      <c r="AI189" s="416"/>
      <c r="AJ189" s="416"/>
      <c r="AK189" s="416"/>
      <c r="AL189" s="416"/>
      <c r="AM189" s="416"/>
      <c r="AN189" s="416"/>
      <c r="AO189" s="416"/>
      <c r="AP189" s="416"/>
      <c r="AQ189" s="416"/>
      <c r="AR189" s="416"/>
      <c r="AS189" s="416"/>
      <c r="AT189" s="416"/>
      <c r="AU189" s="416"/>
      <c r="AV189" s="416"/>
      <c r="AW189" s="416"/>
      <c r="AX189" s="416"/>
      <c r="AY189" s="416"/>
      <c r="AZ189" s="416"/>
      <c r="BA189" s="416"/>
      <c r="BB189" s="416"/>
      <c r="BC189" s="416"/>
      <c r="BD189" s="32"/>
    </row>
    <row r="190" spans="2:56">
      <c r="B190" s="1256">
        <v>7</v>
      </c>
      <c r="C190" s="1257"/>
      <c r="D190" s="411" t="s">
        <v>1692</v>
      </c>
      <c r="E190" s="411"/>
      <c r="F190" s="411" t="s">
        <v>233</v>
      </c>
      <c r="G190" s="411" t="s">
        <v>234</v>
      </c>
      <c r="H190" s="412">
        <v>7560.0630000000001</v>
      </c>
      <c r="I190" s="413" t="s">
        <v>1677</v>
      </c>
      <c r="J190" s="414">
        <v>45081.229166666664</v>
      </c>
      <c r="K190" s="414"/>
      <c r="L190" s="439" t="s">
        <v>192</v>
      </c>
      <c r="M190" s="439" t="s">
        <v>192</v>
      </c>
      <c r="N190" s="438" t="str">
        <f t="shared" si="21"/>
        <v>On time</v>
      </c>
      <c r="O190" s="51"/>
      <c r="P190" s="415" t="s">
        <v>551</v>
      </c>
      <c r="Q190" s="415" t="s">
        <v>551</v>
      </c>
      <c r="R190" s="415" t="s">
        <v>551</v>
      </c>
      <c r="S190" s="32"/>
      <c r="T190" s="416"/>
      <c r="U190" s="416"/>
      <c r="V190" s="416"/>
      <c r="W190" s="416"/>
      <c r="X190" s="416"/>
      <c r="Y190" s="416">
        <f t="shared" si="22"/>
        <v>4914.0409500000005</v>
      </c>
      <c r="Z190" s="416">
        <f t="shared" si="23"/>
        <v>2646.02205</v>
      </c>
      <c r="AA190" s="416"/>
      <c r="AB190" s="416"/>
      <c r="AC190" s="416"/>
      <c r="AD190" s="416"/>
      <c r="AE190" s="416"/>
      <c r="AF190" s="416"/>
      <c r="AG190" s="416"/>
      <c r="AH190" s="416"/>
      <c r="AI190" s="416"/>
      <c r="AJ190" s="416"/>
      <c r="AK190" s="416"/>
      <c r="AL190" s="416"/>
      <c r="AM190" s="416"/>
      <c r="AN190" s="416"/>
      <c r="AO190" s="416"/>
      <c r="AP190" s="416"/>
      <c r="AQ190" s="416"/>
      <c r="AR190" s="416"/>
      <c r="AS190" s="416"/>
      <c r="AT190" s="416"/>
      <c r="AU190" s="416"/>
      <c r="AV190" s="416"/>
      <c r="AW190" s="416"/>
      <c r="AX190" s="416"/>
      <c r="AY190" s="416"/>
      <c r="AZ190" s="416"/>
      <c r="BA190" s="416"/>
      <c r="BB190" s="416"/>
      <c r="BC190" s="416"/>
      <c r="BD190" s="32"/>
    </row>
    <row r="191" spans="2:56">
      <c r="B191" s="1256">
        <v>8</v>
      </c>
      <c r="C191" s="1257"/>
      <c r="D191" s="411" t="s">
        <v>1695</v>
      </c>
      <c r="E191" s="411"/>
      <c r="F191" s="411" t="s">
        <v>367</v>
      </c>
      <c r="G191" s="411" t="s">
        <v>368</v>
      </c>
      <c r="H191" s="412">
        <v>9995.0709999999999</v>
      </c>
      <c r="I191" s="413" t="s">
        <v>1677</v>
      </c>
      <c r="J191" s="414">
        <v>45081.486111111109</v>
      </c>
      <c r="K191" s="414"/>
      <c r="L191" s="439" t="s">
        <v>192</v>
      </c>
      <c r="M191" s="439" t="s">
        <v>192</v>
      </c>
      <c r="N191" s="438" t="str">
        <f t="shared" si="21"/>
        <v>On time</v>
      </c>
      <c r="O191" s="51"/>
      <c r="P191" s="415" t="s">
        <v>551</v>
      </c>
      <c r="Q191" s="415" t="s">
        <v>551</v>
      </c>
      <c r="R191" s="415" t="s">
        <v>551</v>
      </c>
      <c r="S191" s="32"/>
      <c r="T191" s="416"/>
      <c r="U191" s="416"/>
      <c r="V191" s="416"/>
      <c r="W191" s="416"/>
      <c r="X191" s="416"/>
      <c r="Y191" s="416">
        <f t="shared" si="22"/>
        <v>6496.7961500000001</v>
      </c>
      <c r="Z191" s="416">
        <f t="shared" si="23"/>
        <v>3498.2748499999998</v>
      </c>
      <c r="AA191" s="416"/>
      <c r="AB191" s="416"/>
      <c r="AC191" s="416"/>
      <c r="AD191" s="416"/>
      <c r="AE191" s="416"/>
      <c r="AF191" s="416"/>
      <c r="AG191" s="416"/>
      <c r="AH191" s="416"/>
      <c r="AI191" s="416"/>
      <c r="AJ191" s="416"/>
      <c r="AK191" s="416"/>
      <c r="AL191" s="416"/>
      <c r="AM191" s="416"/>
      <c r="AN191" s="416"/>
      <c r="AO191" s="416"/>
      <c r="AP191" s="416"/>
      <c r="AQ191" s="416"/>
      <c r="AR191" s="416"/>
      <c r="AS191" s="416"/>
      <c r="AT191" s="416"/>
      <c r="AU191" s="416"/>
      <c r="AV191" s="416"/>
      <c r="AW191" s="416"/>
      <c r="AX191" s="416"/>
      <c r="AY191" s="416"/>
      <c r="AZ191" s="416"/>
      <c r="BA191" s="416"/>
      <c r="BB191" s="416"/>
      <c r="BC191" s="416"/>
      <c r="BD191" s="32"/>
    </row>
    <row r="192" spans="2:56">
      <c r="B192" s="1256">
        <v>9</v>
      </c>
      <c r="C192" s="1257"/>
      <c r="D192" s="411" t="s">
        <v>1899</v>
      </c>
      <c r="E192" s="411"/>
      <c r="F192" s="411" t="s">
        <v>208</v>
      </c>
      <c r="G192" s="411" t="s">
        <v>328</v>
      </c>
      <c r="H192" s="412">
        <v>7551.2120000000004</v>
      </c>
      <c r="I192" s="413" t="s">
        <v>84</v>
      </c>
      <c r="J192" s="414">
        <v>45085.34375</v>
      </c>
      <c r="K192" s="414"/>
      <c r="L192" s="439" t="s">
        <v>192</v>
      </c>
      <c r="M192" s="439" t="s">
        <v>192</v>
      </c>
      <c r="N192" s="438" t="str">
        <f t="shared" si="21"/>
        <v>On time</v>
      </c>
      <c r="O192" s="51"/>
      <c r="P192" s="415" t="s">
        <v>551</v>
      </c>
      <c r="Q192" s="415" t="s">
        <v>551</v>
      </c>
      <c r="R192" s="415" t="s">
        <v>551</v>
      </c>
      <c r="S192" s="32"/>
      <c r="T192" s="416"/>
      <c r="U192" s="416"/>
      <c r="V192" s="416"/>
      <c r="W192" s="416"/>
      <c r="X192" s="416"/>
      <c r="Y192" s="416"/>
      <c r="Z192" s="416"/>
      <c r="AA192" s="416"/>
      <c r="AB192" s="416"/>
      <c r="AC192" s="416"/>
      <c r="AD192" s="416"/>
      <c r="AE192" s="416"/>
      <c r="AF192" s="416"/>
      <c r="AG192" s="416"/>
      <c r="AH192" s="416"/>
      <c r="AI192" s="416"/>
      <c r="AJ192" s="416"/>
      <c r="AK192" s="416"/>
      <c r="AL192" s="416"/>
      <c r="AM192" s="416"/>
      <c r="AN192" s="416"/>
      <c r="AO192" s="416"/>
      <c r="AP192" s="416">
        <f>H192</f>
        <v>7551.2120000000004</v>
      </c>
      <c r="AQ192" s="416"/>
      <c r="AR192" s="416"/>
      <c r="AS192" s="416"/>
      <c r="AT192" s="416"/>
      <c r="AU192" s="416"/>
      <c r="AV192" s="416"/>
      <c r="AW192" s="416"/>
      <c r="AX192" s="416"/>
      <c r="AY192" s="416"/>
      <c r="AZ192" s="416"/>
      <c r="BA192" s="416"/>
      <c r="BB192" s="416"/>
      <c r="BC192" s="416"/>
      <c r="BD192" s="32"/>
    </row>
    <row r="193" spans="2:56">
      <c r="B193" s="1256" t="s">
        <v>610</v>
      </c>
      <c r="C193" s="1276"/>
      <c r="D193" s="1276"/>
      <c r="E193" s="1276"/>
      <c r="F193" s="1276"/>
      <c r="G193" s="1257"/>
      <c r="H193" s="412">
        <f>H195-SUM(H184:H192)</f>
        <v>1505.9030000000057</v>
      </c>
      <c r="I193" s="413" t="s">
        <v>1164</v>
      </c>
      <c r="J193" s="414"/>
      <c r="K193" s="414"/>
      <c r="L193" s="414"/>
      <c r="M193" s="414"/>
      <c r="N193" s="438" t="str">
        <f t="shared" si="21"/>
        <v xml:space="preserve"> </v>
      </c>
      <c r="O193" s="265"/>
      <c r="P193" s="432" t="s">
        <v>551</v>
      </c>
      <c r="Q193" s="432"/>
      <c r="R193" s="432"/>
      <c r="S193" s="32"/>
      <c r="T193" s="428"/>
      <c r="U193" s="428"/>
      <c r="V193" s="428"/>
      <c r="W193" s="428"/>
      <c r="X193" s="429">
        <f>H193</f>
        <v>1505.9030000000057</v>
      </c>
      <c r="Y193" s="428"/>
      <c r="Z193" s="428"/>
      <c r="AA193" s="428"/>
      <c r="AB193" s="428"/>
      <c r="AC193" s="428"/>
      <c r="AD193" s="428"/>
      <c r="AE193" s="428"/>
      <c r="AF193" s="428"/>
      <c r="AG193" s="428"/>
      <c r="AH193" s="428"/>
      <c r="AI193" s="428"/>
      <c r="AJ193" s="428"/>
      <c r="AK193" s="428"/>
      <c r="AL193" s="428"/>
      <c r="AM193" s="428"/>
      <c r="AN193" s="428"/>
      <c r="AO193" s="428"/>
      <c r="AP193" s="428"/>
      <c r="AQ193" s="428"/>
      <c r="AR193" s="428"/>
      <c r="AS193" s="428"/>
      <c r="AT193" s="428"/>
      <c r="AU193" s="428"/>
      <c r="AV193" s="428"/>
      <c r="AW193" s="428"/>
      <c r="AX193" s="428"/>
      <c r="AY193" s="428"/>
      <c r="AZ193" s="428"/>
      <c r="BA193" s="428"/>
      <c r="BB193" s="428"/>
      <c r="BC193" s="428"/>
      <c r="BD193" s="207"/>
    </row>
    <row r="194" spans="2:56">
      <c r="B194" s="1258" t="s">
        <v>556</v>
      </c>
      <c r="C194" s="1259"/>
      <c r="D194" s="1259"/>
      <c r="E194" s="1259"/>
      <c r="F194" s="1259"/>
      <c r="G194" s="1260"/>
      <c r="H194" s="417">
        <f>SUM(H184:H193)</f>
        <v>71925</v>
      </c>
      <c r="I194" s="388"/>
      <c r="J194" s="293"/>
      <c r="K194" s="293"/>
      <c r="L194" s="293"/>
      <c r="M194" s="389"/>
      <c r="N194" s="438" t="str">
        <f t="shared" si="21"/>
        <v xml:space="preserve"> </v>
      </c>
      <c r="O194" s="212"/>
      <c r="P194" s="418"/>
      <c r="Q194" s="418"/>
      <c r="R194" s="418"/>
      <c r="S194" s="207"/>
      <c r="T194" s="1262"/>
      <c r="U194" s="1263"/>
      <c r="V194" s="1263"/>
      <c r="W194" s="1263"/>
      <c r="X194" s="1263"/>
      <c r="Y194" s="1263"/>
      <c r="Z194" s="1263"/>
      <c r="AA194" s="1263"/>
      <c r="AB194" s="1263"/>
      <c r="AC194" s="1263"/>
      <c r="AD194" s="1263"/>
      <c r="AE194" s="1263"/>
      <c r="AF194" s="1263"/>
      <c r="AG194" s="1263"/>
      <c r="AH194" s="1263"/>
      <c r="AI194" s="1263"/>
      <c r="AJ194" s="1263"/>
      <c r="AK194" s="1263"/>
      <c r="AL194" s="1263"/>
      <c r="AM194" s="1263"/>
      <c r="AN194" s="1263"/>
      <c r="AO194" s="1263"/>
      <c r="AP194" s="1263"/>
      <c r="AQ194" s="1263"/>
      <c r="AR194" s="1263"/>
      <c r="AS194" s="1263"/>
      <c r="AT194" s="1263"/>
      <c r="AU194" s="1263"/>
      <c r="AV194" s="1263"/>
      <c r="AW194" s="1263"/>
      <c r="AX194" s="1263"/>
      <c r="AY194" s="1263"/>
      <c r="AZ194" s="1263"/>
      <c r="BA194" s="1263"/>
      <c r="BB194" s="1263"/>
      <c r="BC194" s="1264"/>
    </row>
    <row r="195" spans="2:56">
      <c r="B195" s="1243" t="s">
        <v>557</v>
      </c>
      <c r="C195" s="1244"/>
      <c r="D195" s="1244"/>
      <c r="E195" s="1244"/>
      <c r="F195" s="1244"/>
      <c r="G195" s="1245"/>
      <c r="H195" s="419">
        <v>71925</v>
      </c>
      <c r="I195" s="1246"/>
      <c r="J195" s="1247"/>
      <c r="K195" s="1247"/>
      <c r="L195" s="1247"/>
      <c r="M195" s="1248"/>
      <c r="N195" s="438" t="str">
        <f t="shared" si="21"/>
        <v xml:space="preserve"> </v>
      </c>
      <c r="O195" s="32"/>
      <c r="P195" s="415"/>
      <c r="Q195" s="415"/>
      <c r="R195" s="415"/>
      <c r="S195" s="63"/>
      <c r="T195" s="416">
        <f>SUM(T184:T193)</f>
        <v>0</v>
      </c>
      <c r="U195" s="416">
        <f t="shared" ref="U195:BC195" si="24">SUM(U184:U193)</f>
        <v>0</v>
      </c>
      <c r="V195" s="416">
        <f t="shared" si="24"/>
        <v>0</v>
      </c>
      <c r="W195" s="416">
        <f t="shared" si="24"/>
        <v>0</v>
      </c>
      <c r="X195" s="416">
        <f t="shared" si="24"/>
        <v>1505.9030000000057</v>
      </c>
      <c r="Y195" s="416">
        <f t="shared" si="24"/>
        <v>37393.775249999999</v>
      </c>
      <c r="Z195" s="416">
        <f t="shared" si="24"/>
        <v>20135.109749999996</v>
      </c>
      <c r="AA195" s="416">
        <f t="shared" si="24"/>
        <v>0</v>
      </c>
      <c r="AB195" s="416">
        <f t="shared" si="24"/>
        <v>0</v>
      </c>
      <c r="AC195" s="416">
        <f t="shared" si="24"/>
        <v>0</v>
      </c>
      <c r="AD195" s="416">
        <f t="shared" si="24"/>
        <v>0</v>
      </c>
      <c r="AE195" s="416">
        <f t="shared" si="24"/>
        <v>0</v>
      </c>
      <c r="AF195" s="416">
        <f t="shared" si="24"/>
        <v>0</v>
      </c>
      <c r="AG195" s="416">
        <f t="shared" si="24"/>
        <v>0</v>
      </c>
      <c r="AH195" s="416">
        <f t="shared" si="24"/>
        <v>0</v>
      </c>
      <c r="AI195" s="416">
        <f t="shared" si="24"/>
        <v>0</v>
      </c>
      <c r="AJ195" s="416">
        <f t="shared" si="24"/>
        <v>0</v>
      </c>
      <c r="AK195" s="416">
        <f t="shared" si="24"/>
        <v>0</v>
      </c>
      <c r="AL195" s="416">
        <f t="shared" si="24"/>
        <v>0</v>
      </c>
      <c r="AM195" s="416">
        <f t="shared" si="24"/>
        <v>0</v>
      </c>
      <c r="AN195" s="416">
        <f t="shared" si="24"/>
        <v>0</v>
      </c>
      <c r="AO195" s="416">
        <f t="shared" si="24"/>
        <v>0</v>
      </c>
      <c r="AP195" s="416">
        <f t="shared" si="24"/>
        <v>7551.2120000000004</v>
      </c>
      <c r="AQ195" s="416">
        <f t="shared" si="24"/>
        <v>0</v>
      </c>
      <c r="AR195" s="416">
        <f t="shared" si="24"/>
        <v>5339</v>
      </c>
      <c r="AS195" s="416">
        <f t="shared" si="24"/>
        <v>0</v>
      </c>
      <c r="AT195" s="416">
        <f t="shared" si="24"/>
        <v>0</v>
      </c>
      <c r="AU195" s="416">
        <f t="shared" si="24"/>
        <v>0</v>
      </c>
      <c r="AV195" s="416">
        <f t="shared" si="24"/>
        <v>0</v>
      </c>
      <c r="AW195" s="416">
        <f t="shared" si="24"/>
        <v>0</v>
      </c>
      <c r="AX195" s="416">
        <f t="shared" si="24"/>
        <v>0</v>
      </c>
      <c r="AY195" s="416">
        <f t="shared" si="24"/>
        <v>0</v>
      </c>
      <c r="AZ195" s="416">
        <f t="shared" si="24"/>
        <v>0</v>
      </c>
      <c r="BA195" s="416">
        <f t="shared" si="24"/>
        <v>0</v>
      </c>
      <c r="BB195" s="416">
        <f t="shared" si="24"/>
        <v>0</v>
      </c>
      <c r="BC195" s="416">
        <f t="shared" si="24"/>
        <v>0</v>
      </c>
      <c r="BD195" s="416">
        <f>SUM(T195:BC195)</f>
        <v>71925</v>
      </c>
    </row>
    <row r="196" spans="2:56">
      <c r="B196" s="1243" t="s">
        <v>558</v>
      </c>
      <c r="C196" s="1244"/>
      <c r="D196" s="1244"/>
      <c r="E196" s="1244"/>
      <c r="F196" s="1244"/>
      <c r="G196" s="1245"/>
      <c r="H196" s="420">
        <f>H195-L178</f>
        <v>0</v>
      </c>
      <c r="I196" s="294"/>
      <c r="J196" s="295"/>
      <c r="K196" s="295"/>
      <c r="L196" s="296"/>
      <c r="M196" s="32"/>
      <c r="N196" s="32"/>
      <c r="O196" s="32"/>
      <c r="P196" s="32"/>
      <c r="Q196" s="297"/>
      <c r="R196" s="297"/>
      <c r="S196" s="32"/>
      <c r="T196" s="48"/>
      <c r="U196" s="48"/>
      <c r="V196" s="48"/>
      <c r="W196" s="48"/>
      <c r="X196" s="48"/>
      <c r="Y196" s="48"/>
      <c r="Z196" s="48"/>
      <c r="AA196" s="48"/>
      <c r="AB196" s="48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</row>
    <row r="197" spans="2:56">
      <c r="B197" s="1243" t="s">
        <v>559</v>
      </c>
      <c r="C197" s="1244"/>
      <c r="D197" s="1244"/>
      <c r="E197" s="1244"/>
      <c r="F197" s="1244"/>
      <c r="G197" s="1245"/>
      <c r="H197" s="420">
        <f>H194-H195</f>
        <v>0</v>
      </c>
      <c r="I197" s="52"/>
      <c r="J197" s="53"/>
      <c r="K197" s="53"/>
      <c r="L197" s="54"/>
      <c r="M197" s="32"/>
      <c r="N197" s="201"/>
      <c r="O197" s="32"/>
      <c r="P197" s="32"/>
      <c r="Q197" s="32"/>
      <c r="R197" s="32"/>
      <c r="S197" s="32"/>
      <c r="T197" s="48"/>
      <c r="U197" s="48"/>
      <c r="V197" s="48"/>
      <c r="W197" s="48"/>
      <c r="X197" s="48"/>
      <c r="Y197" s="48"/>
      <c r="Z197" s="48"/>
      <c r="AA197" s="48"/>
      <c r="AB197" s="48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</row>
    <row r="198" spans="2:56">
      <c r="B198" s="201"/>
      <c r="C198" s="201"/>
      <c r="D198" s="201"/>
      <c r="E198" s="201"/>
      <c r="F198" s="201"/>
      <c r="G198" s="201"/>
      <c r="H198" s="201"/>
      <c r="I198" s="213"/>
      <c r="J198" s="209"/>
      <c r="K198" s="209"/>
      <c r="L198" s="203"/>
      <c r="M198" s="201"/>
      <c r="N198" s="201"/>
      <c r="O198" s="209"/>
      <c r="P198" s="32"/>
      <c r="Q198" s="32"/>
      <c r="R198" s="32"/>
      <c r="S198" s="32"/>
      <c r="T198" s="48"/>
      <c r="U198" s="48"/>
      <c r="V198" s="48"/>
      <c r="W198" s="48"/>
      <c r="X198" s="48"/>
      <c r="Y198" s="48"/>
      <c r="Z198" s="48"/>
      <c r="AA198" s="48"/>
      <c r="AB198" s="48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</row>
    <row r="199" spans="2:56">
      <c r="B199" s="40" t="s">
        <v>561</v>
      </c>
      <c r="C199" s="40"/>
      <c r="D199" s="32"/>
      <c r="E199" s="32"/>
      <c r="F199" s="32"/>
      <c r="G199" s="32"/>
      <c r="H199" s="32"/>
      <c r="I199" s="32"/>
      <c r="J199" s="52"/>
      <c r="K199" s="52"/>
      <c r="L199" s="55"/>
      <c r="M199" s="32"/>
      <c r="N199" s="201"/>
      <c r="O199" s="5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1"/>
      <c r="AC199" s="201"/>
      <c r="AD199" s="201"/>
      <c r="AE199" s="201"/>
      <c r="AF199" s="201"/>
      <c r="AG199" s="201"/>
      <c r="AH199" s="201"/>
      <c r="AI199" s="201"/>
      <c r="AJ199" s="201"/>
      <c r="AK199" s="201"/>
      <c r="AL199" s="201"/>
      <c r="AM199" s="201"/>
      <c r="AN199" s="201"/>
      <c r="AO199" s="201"/>
      <c r="AP199" s="201"/>
      <c r="AQ199" s="201"/>
      <c r="AR199" s="201"/>
      <c r="AS199" s="201"/>
      <c r="AT199" s="201"/>
      <c r="AU199" s="201"/>
      <c r="BD199" s="201"/>
    </row>
    <row r="200" spans="2:56">
      <c r="B200" s="422"/>
      <c r="C200" s="1249"/>
      <c r="D200" s="1249"/>
      <c r="E200" s="1249"/>
      <c r="F200" s="1249"/>
      <c r="G200" s="1249"/>
      <c r="H200" s="1249"/>
      <c r="I200" s="1249"/>
      <c r="J200" s="1249"/>
      <c r="K200" s="1249"/>
      <c r="L200" s="203"/>
      <c r="M200" s="203"/>
      <c r="N200" s="201"/>
      <c r="O200" s="209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1"/>
      <c r="AC200" s="201"/>
      <c r="AD200" s="201"/>
      <c r="AE200" s="201"/>
      <c r="AF200" s="201"/>
      <c r="AG200" s="201"/>
      <c r="AH200" s="201"/>
      <c r="AI200" s="201"/>
      <c r="AJ200" s="201"/>
      <c r="AK200" s="201"/>
      <c r="AL200" s="201"/>
      <c r="AM200" s="201"/>
      <c r="AN200" s="201"/>
      <c r="AO200" s="201"/>
      <c r="AP200" s="201"/>
      <c r="AQ200" s="201"/>
      <c r="AR200" s="201"/>
      <c r="AS200" s="201"/>
      <c r="AT200" s="201"/>
      <c r="AU200" s="201"/>
      <c r="AV200" s="201"/>
      <c r="AW200" s="201"/>
      <c r="AX200" s="201"/>
      <c r="AY200" s="201"/>
      <c r="AZ200" s="201"/>
      <c r="BA200" s="201"/>
      <c r="BB200" s="201"/>
      <c r="BC200" s="201"/>
      <c r="BD200" s="201"/>
    </row>
    <row r="202" spans="2:56">
      <c r="B202" s="28" t="s">
        <v>126</v>
      </c>
      <c r="C202" s="28"/>
      <c r="D202" s="29"/>
      <c r="E202" s="30" t="s">
        <v>511</v>
      </c>
      <c r="F202" s="31" t="s">
        <v>1781</v>
      </c>
      <c r="G202" s="32"/>
      <c r="H202" s="33"/>
      <c r="I202" s="34"/>
      <c r="J202" s="35" t="s">
        <v>513</v>
      </c>
      <c r="K202" s="36" t="s">
        <v>511</v>
      </c>
      <c r="L202" s="37">
        <v>45090.215277777781</v>
      </c>
      <c r="M202" s="32"/>
      <c r="N202" s="32"/>
      <c r="O202" s="206"/>
      <c r="P202" s="205"/>
      <c r="Q202" s="202"/>
      <c r="R202" s="204"/>
      <c r="S202" s="38"/>
      <c r="T202" s="201"/>
      <c r="U202" s="201"/>
      <c r="V202" s="201"/>
      <c r="W202" s="201"/>
      <c r="X202" s="201"/>
      <c r="Y202" s="201"/>
      <c r="Z202" s="201"/>
      <c r="AA202" s="201"/>
      <c r="AB202" s="202"/>
      <c r="AC202" s="202"/>
      <c r="AD202" s="202"/>
      <c r="AE202" s="202"/>
      <c r="AF202" s="202"/>
      <c r="AG202" s="201"/>
      <c r="AH202" s="201"/>
      <c r="AI202" s="201"/>
      <c r="AJ202" s="201"/>
      <c r="AK202" s="201"/>
      <c r="AL202" s="201"/>
      <c r="AM202" s="201"/>
      <c r="AN202" s="201"/>
      <c r="AO202" s="201"/>
      <c r="AP202" s="201"/>
      <c r="AQ202" s="201"/>
      <c r="AR202" s="201"/>
      <c r="AS202" s="201"/>
      <c r="AT202" s="201"/>
      <c r="AU202" s="201"/>
      <c r="AV202" s="201"/>
      <c r="AW202" s="201"/>
      <c r="AX202" s="201"/>
      <c r="AY202" s="201"/>
      <c r="AZ202" s="201"/>
      <c r="BA202" s="201"/>
      <c r="BB202" s="201"/>
    </row>
    <row r="203" spans="2:56">
      <c r="B203" s="35" t="s">
        <v>514</v>
      </c>
      <c r="C203" s="35"/>
      <c r="D203" s="32"/>
      <c r="E203" s="36" t="s">
        <v>511</v>
      </c>
      <c r="F203" s="37" t="s">
        <v>2014</v>
      </c>
      <c r="G203" s="32"/>
      <c r="H203" s="33"/>
      <c r="I203" s="34"/>
      <c r="J203" s="35" t="s">
        <v>516</v>
      </c>
      <c r="K203" s="36" t="s">
        <v>511</v>
      </c>
      <c r="L203" s="37">
        <v>45093.072916666664</v>
      </c>
      <c r="M203" s="32"/>
      <c r="N203" s="32"/>
      <c r="O203" s="206"/>
      <c r="P203" s="205"/>
      <c r="Q203" s="202"/>
      <c r="R203" s="204"/>
      <c r="S203" s="38"/>
      <c r="T203" s="201"/>
      <c r="U203" s="201"/>
      <c r="V203" s="201"/>
      <c r="W203" s="201"/>
      <c r="X203" s="201"/>
      <c r="Y203" s="201"/>
      <c r="Z203" s="201"/>
      <c r="AA203" s="201"/>
      <c r="AB203" s="202"/>
      <c r="AC203" s="202"/>
      <c r="AD203" s="202"/>
      <c r="AE203" s="202"/>
      <c r="AF203" s="202"/>
      <c r="AG203" s="201"/>
      <c r="AH203" s="201"/>
      <c r="AI203" s="201"/>
      <c r="AJ203" s="201"/>
      <c r="AK203" s="201"/>
      <c r="AL203" s="201"/>
      <c r="AM203" s="201"/>
      <c r="AN203" s="201"/>
      <c r="AO203" s="201"/>
      <c r="AP203" s="201"/>
      <c r="AQ203" s="201"/>
      <c r="AR203" s="201"/>
      <c r="AS203" s="201"/>
      <c r="AT203" s="201"/>
      <c r="AU203" s="201"/>
      <c r="AV203" s="201"/>
      <c r="AW203" s="201"/>
      <c r="AX203" s="201"/>
      <c r="AY203" s="201"/>
      <c r="AZ203" s="201"/>
      <c r="BA203" s="201"/>
      <c r="BB203" s="201"/>
    </row>
    <row r="204" spans="2:56">
      <c r="B204" s="35" t="s">
        <v>517</v>
      </c>
      <c r="C204" s="35"/>
      <c r="D204" s="32"/>
      <c r="E204" s="36" t="s">
        <v>511</v>
      </c>
      <c r="F204" s="306">
        <f>'VLU 2023 &amp; 2024'!$L$107</f>
        <v>45086.431944444441</v>
      </c>
      <c r="G204" s="32"/>
      <c r="H204" s="33"/>
      <c r="I204" s="34"/>
      <c r="J204" s="35" t="s">
        <v>518</v>
      </c>
      <c r="K204" s="36" t="s">
        <v>511</v>
      </c>
      <c r="L204" s="50">
        <v>88000</v>
      </c>
      <c r="M204" s="40" t="s">
        <v>519</v>
      </c>
      <c r="N204" s="40"/>
      <c r="O204" s="206"/>
      <c r="P204" s="205"/>
      <c r="Q204" s="202"/>
      <c r="R204" s="204"/>
      <c r="S204" s="38"/>
      <c r="T204" s="201"/>
      <c r="U204" s="201"/>
      <c r="V204" s="201"/>
      <c r="W204" s="201"/>
      <c r="X204" s="201"/>
      <c r="Y204" s="201"/>
      <c r="Z204" s="201"/>
      <c r="AA204" s="201"/>
      <c r="AB204" s="202"/>
      <c r="AC204" s="202"/>
      <c r="AD204" s="202"/>
      <c r="AE204" s="202"/>
      <c r="AF204" s="202"/>
      <c r="AG204" s="201"/>
      <c r="AH204" s="201"/>
      <c r="AI204" s="201"/>
      <c r="AJ204" s="201"/>
      <c r="AK204" s="201"/>
      <c r="AL204" s="201"/>
      <c r="AM204" s="201"/>
      <c r="AN204" s="201"/>
      <c r="AO204" s="201"/>
      <c r="AP204" s="201"/>
      <c r="AQ204" s="201"/>
      <c r="AR204" s="201"/>
      <c r="AS204" s="201"/>
      <c r="AT204" s="201"/>
      <c r="AU204" s="201"/>
      <c r="AV204" s="201"/>
      <c r="AW204" s="201"/>
      <c r="AX204" s="201"/>
      <c r="AY204" s="201"/>
      <c r="AZ204" s="201"/>
      <c r="BA204" s="201"/>
      <c r="BB204" s="201"/>
    </row>
    <row r="205" spans="2:56">
      <c r="B205" s="35" t="s">
        <v>520</v>
      </c>
      <c r="C205" s="35"/>
      <c r="D205" s="32"/>
      <c r="E205" s="36" t="s">
        <v>511</v>
      </c>
      <c r="F205" s="37" t="s">
        <v>4</v>
      </c>
      <c r="G205" s="32"/>
      <c r="H205" s="33"/>
      <c r="I205" s="34"/>
      <c r="J205" s="35" t="s">
        <v>521</v>
      </c>
      <c r="K205" s="36" t="s">
        <v>511</v>
      </c>
      <c r="L205" s="41" t="s">
        <v>2015</v>
      </c>
      <c r="M205" s="32"/>
      <c r="N205" s="32"/>
      <c r="O205" s="206"/>
      <c r="P205" s="202"/>
      <c r="Q205" s="202"/>
      <c r="R205" s="204"/>
      <c r="S205" s="38"/>
      <c r="T205" s="201"/>
      <c r="U205" s="201"/>
      <c r="V205" s="201"/>
      <c r="W205" s="201"/>
      <c r="X205" s="201"/>
      <c r="Y205" s="201"/>
      <c r="Z205" s="201"/>
      <c r="AA205" s="201"/>
      <c r="AB205" s="202"/>
      <c r="AC205" s="202"/>
      <c r="AD205" s="202"/>
      <c r="AE205" s="202"/>
      <c r="AF205" s="202"/>
      <c r="AG205" s="201"/>
      <c r="AH205" s="201"/>
      <c r="AI205" s="201"/>
      <c r="AJ205" s="201"/>
      <c r="AK205" s="201"/>
      <c r="AL205" s="201"/>
      <c r="AM205" s="201"/>
      <c r="AN205" s="201"/>
      <c r="AO205" s="201"/>
      <c r="AP205" s="201"/>
      <c r="AQ205" s="201"/>
      <c r="AR205" s="201"/>
      <c r="AS205" s="201"/>
      <c r="AT205" s="201"/>
      <c r="AU205" s="201"/>
      <c r="AV205" s="201"/>
      <c r="AW205" s="201"/>
      <c r="AX205" s="201"/>
      <c r="AY205" s="201"/>
      <c r="AZ205" s="201"/>
      <c r="BA205" s="201"/>
      <c r="BB205" s="201"/>
    </row>
    <row r="206" spans="2:56">
      <c r="B206" s="35" t="s">
        <v>523</v>
      </c>
      <c r="C206" s="35"/>
      <c r="D206" s="32"/>
      <c r="E206" s="36" t="s">
        <v>511</v>
      </c>
      <c r="F206" s="37" t="s">
        <v>5</v>
      </c>
      <c r="G206" s="32"/>
      <c r="H206" s="33"/>
      <c r="I206" s="34"/>
      <c r="J206" s="42" t="s">
        <v>524</v>
      </c>
      <c r="K206" s="36" t="s">
        <v>511</v>
      </c>
      <c r="L206" s="43" t="s">
        <v>11</v>
      </c>
      <c r="M206" s="44"/>
      <c r="N206" s="44"/>
      <c r="O206" s="206"/>
      <c r="P206" s="205"/>
      <c r="Q206" s="202"/>
      <c r="R206" s="204"/>
      <c r="S206" s="38"/>
      <c r="T206" s="201"/>
      <c r="U206" s="201"/>
      <c r="V206" s="201"/>
      <c r="W206" s="201"/>
      <c r="X206" s="201"/>
      <c r="Y206" s="201"/>
      <c r="Z206" s="201"/>
      <c r="AA206" s="201"/>
      <c r="AB206" s="202"/>
      <c r="AC206" s="202"/>
      <c r="AD206" s="202"/>
      <c r="AE206" s="202"/>
      <c r="AF206" s="202"/>
      <c r="AG206" s="201"/>
      <c r="AH206" s="201"/>
      <c r="AI206" s="201"/>
      <c r="AJ206" s="201"/>
      <c r="AK206" s="201"/>
      <c r="AL206" s="201"/>
      <c r="AM206" s="201"/>
      <c r="AN206" s="201"/>
      <c r="AO206" s="201"/>
      <c r="AP206" s="201"/>
      <c r="AQ206" s="201"/>
      <c r="AR206" s="201"/>
      <c r="AS206" s="201"/>
      <c r="AT206" s="201"/>
      <c r="AU206" s="201"/>
      <c r="AV206" s="201"/>
      <c r="AW206" s="201"/>
      <c r="AX206" s="201"/>
      <c r="AY206" s="201"/>
      <c r="AZ206" s="201"/>
      <c r="BA206" s="201"/>
      <c r="BB206" s="201"/>
    </row>
    <row r="207" spans="2:56">
      <c r="B207" s="35" t="s">
        <v>2</v>
      </c>
      <c r="C207" s="35"/>
      <c r="D207" s="32"/>
      <c r="E207" s="36" t="s">
        <v>511</v>
      </c>
      <c r="F207" s="37" t="s">
        <v>6</v>
      </c>
      <c r="G207" s="32"/>
      <c r="H207" s="33"/>
      <c r="I207" s="45"/>
      <c r="J207" s="42"/>
      <c r="K207" s="36"/>
      <c r="L207" s="211"/>
      <c r="M207" s="201"/>
      <c r="N207" s="201"/>
      <c r="O207" s="42"/>
      <c r="P207" s="44"/>
      <c r="Q207" s="44"/>
      <c r="R207" s="44"/>
      <c r="S207" s="34"/>
      <c r="T207" s="201"/>
      <c r="U207" s="201"/>
      <c r="V207" s="201"/>
      <c r="W207" s="201"/>
      <c r="X207" s="201"/>
      <c r="Y207" s="201"/>
      <c r="Z207" s="201"/>
      <c r="AA207" s="201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201"/>
      <c r="AP207" s="201"/>
      <c r="AQ207" s="201"/>
      <c r="AR207" s="201"/>
      <c r="AS207" s="201"/>
      <c r="AT207" s="201"/>
      <c r="AU207" s="201"/>
      <c r="AV207" s="201"/>
      <c r="AW207" s="201"/>
      <c r="AX207" s="201"/>
      <c r="AY207" s="201"/>
      <c r="AZ207" s="201"/>
      <c r="BA207" s="201"/>
      <c r="BB207" s="201"/>
    </row>
    <row r="208" spans="2:56">
      <c r="B208" s="201"/>
      <c r="C208" s="201"/>
      <c r="D208" s="201"/>
      <c r="E208" s="201"/>
      <c r="F208" s="201"/>
      <c r="G208" s="201"/>
      <c r="H208" s="201"/>
      <c r="I208" s="45"/>
      <c r="J208" s="42"/>
      <c r="K208" s="42"/>
      <c r="L208" s="43"/>
      <c r="M208" s="44"/>
      <c r="N208" s="44"/>
      <c r="O208" s="42"/>
      <c r="P208" s="44"/>
      <c r="Q208" s="44"/>
      <c r="R208" s="44"/>
      <c r="S208" s="34"/>
      <c r="T208" s="1265" t="s">
        <v>87</v>
      </c>
      <c r="U208" s="1265"/>
      <c r="V208" s="1265"/>
      <c r="W208" s="1265"/>
      <c r="X208" s="1265"/>
      <c r="Y208" s="1265" t="s">
        <v>73</v>
      </c>
      <c r="Z208" s="1265"/>
      <c r="AA208" s="1265"/>
      <c r="AB208" s="1265" t="s">
        <v>74</v>
      </c>
      <c r="AC208" s="1265"/>
      <c r="AD208" s="423" t="s">
        <v>85</v>
      </c>
      <c r="AE208" s="423" t="s">
        <v>77</v>
      </c>
      <c r="AF208" s="1265" t="s">
        <v>525</v>
      </c>
      <c r="AG208" s="1265"/>
      <c r="AH208" s="1265"/>
      <c r="AI208" s="1265"/>
      <c r="AJ208" s="1265"/>
      <c r="AK208" s="1265"/>
      <c r="AL208" s="1265"/>
      <c r="AM208" s="1265"/>
      <c r="AN208" s="1265"/>
      <c r="AO208" s="1265"/>
      <c r="AP208" s="1265"/>
      <c r="AQ208" s="1265"/>
      <c r="AR208" s="1265"/>
      <c r="AS208" s="1265"/>
      <c r="AT208" s="1265"/>
      <c r="AU208" s="1265"/>
      <c r="AV208" s="1265"/>
      <c r="AW208" s="1265"/>
      <c r="AX208" s="1265"/>
      <c r="AY208" s="1265"/>
      <c r="AZ208" s="1265"/>
      <c r="BA208" s="1265"/>
      <c r="BB208" s="201"/>
    </row>
    <row r="209" spans="2:54">
      <c r="B209" s="1266" t="s">
        <v>526</v>
      </c>
      <c r="C209" s="1267"/>
      <c r="D209" s="570" t="s">
        <v>527</v>
      </c>
      <c r="E209" s="570"/>
      <c r="F209" s="570" t="s">
        <v>528</v>
      </c>
      <c r="G209" s="570" t="s">
        <v>529</v>
      </c>
      <c r="H209" s="570" t="s">
        <v>530</v>
      </c>
      <c r="I209" s="570" t="s">
        <v>531</v>
      </c>
      <c r="J209" s="570" t="s">
        <v>532</v>
      </c>
      <c r="K209" s="570"/>
      <c r="L209" s="570" t="s">
        <v>130</v>
      </c>
      <c r="M209" s="570" t="s">
        <v>533</v>
      </c>
      <c r="N209" s="408" t="str">
        <f>"On time - "&amp;COUNTIF(N210:N234,"On time")&amp;" from "&amp;ROWS(N210:N234)-COUNTIF(N210:N234," ")</f>
        <v>On time - 10 from 12</v>
      </c>
      <c r="O209" s="46"/>
      <c r="P209" s="409" t="s">
        <v>534</v>
      </c>
      <c r="Q209" s="409" t="s">
        <v>535</v>
      </c>
      <c r="R209" s="409" t="s">
        <v>536</v>
      </c>
      <c r="S209" s="32"/>
      <c r="T209" s="424" t="s">
        <v>537</v>
      </c>
      <c r="U209" s="424" t="s">
        <v>538</v>
      </c>
      <c r="V209" s="424" t="s">
        <v>539</v>
      </c>
      <c r="W209" s="424" t="s">
        <v>540</v>
      </c>
      <c r="X209" s="424" t="s">
        <v>541</v>
      </c>
      <c r="Y209" s="424" t="s">
        <v>167</v>
      </c>
      <c r="Z209" s="424" t="s">
        <v>168</v>
      </c>
      <c r="AA209" s="424" t="s">
        <v>169</v>
      </c>
      <c r="AB209" s="424" t="s">
        <v>235</v>
      </c>
      <c r="AC209" s="424" t="s">
        <v>240</v>
      </c>
      <c r="AD209" s="423" t="s">
        <v>85</v>
      </c>
      <c r="AE209" s="424" t="s">
        <v>139</v>
      </c>
      <c r="AF209" s="424" t="s">
        <v>72</v>
      </c>
      <c r="AG209" s="424" t="s">
        <v>88</v>
      </c>
      <c r="AH209" s="424" t="s">
        <v>75</v>
      </c>
      <c r="AI209" s="424" t="s">
        <v>543</v>
      </c>
      <c r="AJ209" s="424" t="s">
        <v>78</v>
      </c>
      <c r="AK209" s="424" t="s">
        <v>76</v>
      </c>
      <c r="AL209" s="424" t="s">
        <v>544</v>
      </c>
      <c r="AM209" s="424" t="s">
        <v>545</v>
      </c>
      <c r="AN209" s="424" t="s">
        <v>86</v>
      </c>
      <c r="AO209" s="424" t="s">
        <v>83</v>
      </c>
      <c r="AP209" s="424" t="s">
        <v>84</v>
      </c>
      <c r="AQ209" s="424" t="s">
        <v>546</v>
      </c>
      <c r="AR209" s="424" t="s">
        <v>81</v>
      </c>
      <c r="AS209" s="424" t="s">
        <v>80</v>
      </c>
      <c r="AT209" s="424" t="s">
        <v>82</v>
      </c>
      <c r="AU209" s="424" t="s">
        <v>181</v>
      </c>
      <c r="AV209" s="424" t="s">
        <v>183</v>
      </c>
      <c r="AW209" s="424" t="s">
        <v>547</v>
      </c>
      <c r="AX209" s="424" t="s">
        <v>182</v>
      </c>
      <c r="AY209" s="424" t="s">
        <v>172</v>
      </c>
      <c r="AZ209" s="424" t="s">
        <v>173</v>
      </c>
      <c r="BA209" s="424" t="s">
        <v>184</v>
      </c>
      <c r="BB209" s="201"/>
    </row>
    <row r="210" spans="2:54">
      <c r="B210" s="1256" t="s">
        <v>616</v>
      </c>
      <c r="C210" s="1257"/>
      <c r="D210" s="411" t="s">
        <v>1872</v>
      </c>
      <c r="E210" s="444"/>
      <c r="F210" s="411" t="s">
        <v>383</v>
      </c>
      <c r="G210" s="411" t="s">
        <v>384</v>
      </c>
      <c r="H210" s="412">
        <v>5184</v>
      </c>
      <c r="I210" s="413" t="s">
        <v>81</v>
      </c>
      <c r="J210" s="414">
        <v>45084.229166666664</v>
      </c>
      <c r="K210" s="414"/>
      <c r="L210" s="439" t="s">
        <v>192</v>
      </c>
      <c r="M210" s="439" t="s">
        <v>192</v>
      </c>
      <c r="N210" s="413" t="str">
        <f>IF(ISBLANK(J210)," ",IF(J210&lt;$F$204,"On time",(IF(DAY(J210-$F$204)&lt;1,"On time",(IF(J210&gt;$F$204,"DELAY ( "&amp;DAY(J210-$F$204)&amp;" day "&amp;HOUR(J210-$F$204)&amp;" hour "&amp;MINUTE(J210-$F$204)&amp;" minute )","xxx"))))))</f>
        <v>On time</v>
      </c>
      <c r="O210" s="51"/>
      <c r="P210" s="415" t="s">
        <v>551</v>
      </c>
      <c r="Q210" s="415" t="s">
        <v>551</v>
      </c>
      <c r="R210" s="415" t="s">
        <v>551</v>
      </c>
      <c r="S210" s="32"/>
      <c r="T210" s="416"/>
      <c r="U210" s="416"/>
      <c r="V210" s="416"/>
      <c r="W210" s="416"/>
      <c r="X210" s="416"/>
      <c r="Y210" s="416"/>
      <c r="Z210" s="416"/>
      <c r="AA210" s="416"/>
      <c r="AB210" s="416"/>
      <c r="AC210" s="416"/>
      <c r="AD210" s="416"/>
      <c r="AE210" s="416"/>
      <c r="AF210" s="416"/>
      <c r="AG210" s="416"/>
      <c r="AH210" s="416"/>
      <c r="AI210" s="416"/>
      <c r="AJ210" s="416"/>
      <c r="AK210" s="416"/>
      <c r="AL210" s="416"/>
      <c r="AM210" s="416"/>
      <c r="AN210" s="416"/>
      <c r="AO210" s="416"/>
      <c r="AP210" s="416"/>
      <c r="AQ210" s="416"/>
      <c r="AR210" s="416">
        <f>H210</f>
        <v>5184</v>
      </c>
      <c r="AS210" s="416"/>
      <c r="AT210" s="32"/>
      <c r="AU210" s="416"/>
      <c r="AV210" s="416"/>
      <c r="AW210" s="416"/>
      <c r="AX210" s="416"/>
      <c r="AY210" s="416"/>
      <c r="AZ210" s="416"/>
      <c r="BA210" s="416"/>
      <c r="BB210" s="32"/>
    </row>
    <row r="211" spans="2:54">
      <c r="B211" s="1256" t="s">
        <v>668</v>
      </c>
      <c r="C211" s="1257"/>
      <c r="D211" s="411" t="s">
        <v>1905</v>
      </c>
      <c r="E211" s="444"/>
      <c r="F211" s="411" t="s">
        <v>437</v>
      </c>
      <c r="G211" s="411" t="s">
        <v>320</v>
      </c>
      <c r="H211" s="412">
        <v>7500</v>
      </c>
      <c r="I211" s="413" t="s">
        <v>76</v>
      </c>
      <c r="J211" s="414">
        <v>45086.125</v>
      </c>
      <c r="K211" s="414"/>
      <c r="L211" s="439" t="s">
        <v>192</v>
      </c>
      <c r="M211" s="439" t="s">
        <v>192</v>
      </c>
      <c r="N211" s="413" t="str">
        <f t="shared" ref="N211:N237" si="25">IF(ISBLANK(J211)," ",IF(J211&lt;$F$204,"On time",(IF(DAY(J211-$F$204)&lt;1,"On time",(IF(J211&gt;$F$204,"DELAY ( "&amp;DAY(J211-$F$204)&amp;" day "&amp;HOUR(J211-$F$204)&amp;" hour "&amp;MINUTE(J211-$F$204)&amp;" minute )","xxx"))))))</f>
        <v>On time</v>
      </c>
      <c r="O211" s="51"/>
      <c r="P211" s="415" t="s">
        <v>551</v>
      </c>
      <c r="Q211" s="415" t="s">
        <v>551</v>
      </c>
      <c r="R211" s="415" t="s">
        <v>551</v>
      </c>
      <c r="S211" s="32"/>
      <c r="T211" s="416"/>
      <c r="U211" s="416"/>
      <c r="V211" s="416"/>
      <c r="W211" s="416"/>
      <c r="X211" s="416"/>
      <c r="Y211" s="416"/>
      <c r="Z211" s="416"/>
      <c r="AA211" s="416"/>
      <c r="AB211" s="416"/>
      <c r="AC211" s="416"/>
      <c r="AD211" s="416"/>
      <c r="AE211" s="416"/>
      <c r="AF211" s="416"/>
      <c r="AG211" s="416"/>
      <c r="AH211" s="416"/>
      <c r="AI211" s="416"/>
      <c r="AJ211" s="32"/>
      <c r="AK211" s="416">
        <f>H211</f>
        <v>7500</v>
      </c>
      <c r="AL211" s="416"/>
      <c r="AM211" s="416"/>
      <c r="AN211" s="416"/>
      <c r="AO211" s="416"/>
      <c r="AP211" s="416"/>
      <c r="AQ211" s="416"/>
      <c r="AR211" s="416"/>
      <c r="AS211" s="416"/>
      <c r="AT211" s="416"/>
      <c r="AU211" s="416"/>
      <c r="AV211" s="416"/>
      <c r="AW211" s="416"/>
      <c r="AX211" s="416"/>
      <c r="AY211" s="416"/>
      <c r="AZ211" s="416"/>
      <c r="BA211" s="416"/>
      <c r="BB211" s="32"/>
    </row>
    <row r="212" spans="2:54">
      <c r="B212" s="1256" t="s">
        <v>616</v>
      </c>
      <c r="C212" s="1257"/>
      <c r="D212" s="411" t="s">
        <v>1873</v>
      </c>
      <c r="E212" s="444"/>
      <c r="F212" s="411" t="s">
        <v>1874</v>
      </c>
      <c r="G212" s="411" t="s">
        <v>1875</v>
      </c>
      <c r="H212" s="412">
        <v>5150</v>
      </c>
      <c r="I212" s="413" t="s">
        <v>81</v>
      </c>
      <c r="J212" s="414">
        <v>45087.395833333336</v>
      </c>
      <c r="K212" s="414"/>
      <c r="L212" s="439" t="s">
        <v>192</v>
      </c>
      <c r="M212" s="439" t="s">
        <v>192</v>
      </c>
      <c r="N212" s="413" t="str">
        <f t="shared" si="25"/>
        <v>On time</v>
      </c>
      <c r="O212" s="51"/>
      <c r="P212" s="415" t="s">
        <v>551</v>
      </c>
      <c r="Q212" s="415" t="s">
        <v>551</v>
      </c>
      <c r="R212" s="415" t="s">
        <v>551</v>
      </c>
      <c r="S212" s="32"/>
      <c r="T212" s="416"/>
      <c r="U212" s="416"/>
      <c r="V212" s="416"/>
      <c r="W212" s="416"/>
      <c r="X212" s="416"/>
      <c r="Y212" s="416"/>
      <c r="Z212" s="416"/>
      <c r="AA212" s="416"/>
      <c r="AB212" s="416"/>
      <c r="AC212" s="416"/>
      <c r="AD212" s="416"/>
      <c r="AE212" s="416"/>
      <c r="AF212" s="416"/>
      <c r="AG212" s="416"/>
      <c r="AH212" s="416"/>
      <c r="AI212" s="416"/>
      <c r="AJ212" s="416"/>
      <c r="AK212" s="416"/>
      <c r="AL212" s="416"/>
      <c r="AM212" s="416"/>
      <c r="AN212" s="416"/>
      <c r="AO212" s="416"/>
      <c r="AP212" s="416"/>
      <c r="AQ212" s="416"/>
      <c r="AR212" s="416">
        <f>H212</f>
        <v>5150</v>
      </c>
      <c r="AS212" s="416"/>
      <c r="AT212" s="416"/>
      <c r="AU212" s="416"/>
      <c r="AV212" s="416"/>
      <c r="AW212" s="416"/>
      <c r="AX212" s="416"/>
      <c r="AY212" s="416"/>
      <c r="AZ212" s="416"/>
      <c r="BA212" s="416"/>
      <c r="BB212" s="32"/>
    </row>
    <row r="213" spans="2:54">
      <c r="B213" s="1258" t="s">
        <v>1721</v>
      </c>
      <c r="C213" s="1259"/>
      <c r="D213" s="1259"/>
      <c r="E213" s="1259"/>
      <c r="F213" s="1259"/>
      <c r="G213" s="1260"/>
      <c r="H213" s="417">
        <f>SUM(H210:H212)</f>
        <v>17834</v>
      </c>
      <c r="I213" s="388"/>
      <c r="J213" s="293"/>
      <c r="K213" s="293"/>
      <c r="L213" s="293"/>
      <c r="M213" s="389"/>
      <c r="N213" s="413" t="str">
        <f t="shared" si="25"/>
        <v xml:space="preserve"> </v>
      </c>
      <c r="O213" s="212"/>
      <c r="P213" s="418"/>
      <c r="Q213" s="418"/>
      <c r="R213" s="418"/>
      <c r="S213" s="207"/>
      <c r="T213" s="428"/>
      <c r="U213" s="428"/>
      <c r="V213" s="428"/>
      <c r="W213" s="428"/>
      <c r="X213" s="428"/>
      <c r="Y213" s="428"/>
      <c r="Z213" s="428"/>
      <c r="AA213" s="428"/>
      <c r="AB213" s="428"/>
      <c r="AC213" s="428"/>
      <c r="AD213" s="428"/>
      <c r="AE213" s="428"/>
      <c r="AF213" s="428"/>
      <c r="AG213" s="428"/>
      <c r="AH213" s="428"/>
      <c r="AI213" s="428"/>
      <c r="AJ213" s="428"/>
      <c r="AK213" s="428"/>
      <c r="AL213" s="428"/>
      <c r="AM213" s="428"/>
      <c r="AN213" s="428"/>
      <c r="AO213" s="428"/>
      <c r="AP213" s="428"/>
      <c r="AQ213" s="428"/>
      <c r="AR213" s="428"/>
      <c r="AS213" s="428"/>
      <c r="AT213" s="428"/>
      <c r="AU213" s="428"/>
      <c r="AV213" s="416"/>
      <c r="AW213" s="416"/>
      <c r="AX213" s="416"/>
      <c r="AY213" s="416"/>
      <c r="AZ213" s="416"/>
      <c r="BA213" s="416"/>
    </row>
    <row r="214" spans="2:54">
      <c r="B214" s="1250" t="s">
        <v>619</v>
      </c>
      <c r="C214" s="1251"/>
      <c r="D214" s="411" t="s">
        <v>1950</v>
      </c>
      <c r="E214" s="411"/>
      <c r="F214" s="411" t="s">
        <v>361</v>
      </c>
      <c r="G214" s="411" t="s">
        <v>362</v>
      </c>
      <c r="H214" s="412">
        <v>7296.6719999999996</v>
      </c>
      <c r="I214" s="413" t="s">
        <v>1949</v>
      </c>
      <c r="J214" s="414">
        <v>45086.21875</v>
      </c>
      <c r="K214" s="414"/>
      <c r="L214" s="439" t="s">
        <v>192</v>
      </c>
      <c r="M214" s="439" t="s">
        <v>192</v>
      </c>
      <c r="N214" s="413" t="str">
        <f t="shared" si="25"/>
        <v>On time</v>
      </c>
      <c r="O214" s="51"/>
      <c r="P214" s="415" t="s">
        <v>551</v>
      </c>
      <c r="Q214" s="415" t="s">
        <v>551</v>
      </c>
      <c r="R214" s="415" t="s">
        <v>551</v>
      </c>
      <c r="S214" s="32"/>
      <c r="T214" s="416"/>
      <c r="U214" s="416"/>
      <c r="V214" s="416"/>
      <c r="W214" s="416"/>
      <c r="X214" s="416"/>
      <c r="Y214" s="416">
        <f>H214*0.45</f>
        <v>3283.5023999999999</v>
      </c>
      <c r="Z214" s="416">
        <f>H214*0.55</f>
        <v>4013.1696000000002</v>
      </c>
      <c r="AA214" s="416"/>
      <c r="AB214" s="416"/>
      <c r="AC214" s="416"/>
      <c r="AD214" s="416"/>
      <c r="AE214" s="416"/>
      <c r="AF214" s="416"/>
      <c r="AG214" s="416"/>
      <c r="AH214" s="416"/>
      <c r="AI214" s="416"/>
      <c r="AJ214" s="416"/>
      <c r="AK214" s="416"/>
      <c r="AL214" s="416"/>
      <c r="AM214" s="416"/>
      <c r="AN214" s="416"/>
      <c r="AO214" s="416"/>
      <c r="AP214" s="416"/>
      <c r="AQ214" s="416"/>
      <c r="AR214" s="416"/>
      <c r="AS214" s="416"/>
      <c r="AT214" s="416"/>
      <c r="AU214" s="416"/>
      <c r="AV214" s="416"/>
      <c r="AW214" s="416"/>
      <c r="AX214" s="416"/>
      <c r="AY214" s="416"/>
      <c r="AZ214" s="416"/>
      <c r="BA214" s="416"/>
      <c r="BB214" s="32"/>
    </row>
    <row r="215" spans="2:54">
      <c r="B215" s="1252"/>
      <c r="C215" s="1253"/>
      <c r="D215" s="411"/>
      <c r="E215" s="411"/>
      <c r="F215" s="1256" t="s">
        <v>616</v>
      </c>
      <c r="G215" s="1257"/>
      <c r="H215" s="412">
        <v>1200</v>
      </c>
      <c r="I215" s="413"/>
      <c r="J215" s="414"/>
      <c r="K215" s="414"/>
      <c r="L215" s="414"/>
      <c r="M215" s="414"/>
      <c r="N215" s="413" t="str">
        <f t="shared" si="25"/>
        <v xml:space="preserve"> </v>
      </c>
      <c r="O215" s="51"/>
      <c r="P215" s="415"/>
      <c r="Q215" s="415"/>
      <c r="R215" s="415"/>
      <c r="S215" s="32"/>
      <c r="T215" s="416"/>
      <c r="U215" s="416"/>
      <c r="V215" s="416"/>
      <c r="W215" s="416"/>
      <c r="X215" s="416"/>
      <c r="Y215" s="416"/>
      <c r="Z215" s="416"/>
      <c r="AA215" s="416"/>
      <c r="AB215" s="416"/>
      <c r="AC215" s="416"/>
      <c r="AD215" s="416"/>
      <c r="AE215" s="416"/>
      <c r="AF215" s="416"/>
      <c r="AG215" s="416"/>
      <c r="AH215" s="416"/>
      <c r="AI215" s="416"/>
      <c r="AJ215" s="416"/>
      <c r="AK215" s="416"/>
      <c r="AL215" s="416"/>
      <c r="AM215" s="416"/>
      <c r="AN215" s="416"/>
      <c r="AO215" s="416"/>
      <c r="AP215" s="416"/>
      <c r="AQ215" s="416"/>
      <c r="AR215" s="416"/>
      <c r="AS215" s="416"/>
      <c r="AT215" s="416"/>
      <c r="AU215" s="416"/>
      <c r="AV215" s="416"/>
      <c r="AW215" s="416"/>
      <c r="AX215" s="416"/>
      <c r="AY215" s="416"/>
      <c r="AZ215" s="416"/>
      <c r="BA215" s="416"/>
      <c r="BB215" s="32"/>
    </row>
    <row r="216" spans="2:54">
      <c r="B216" s="1254"/>
      <c r="C216" s="1255"/>
      <c r="D216" s="411"/>
      <c r="E216" s="411"/>
      <c r="F216" s="1256" t="s">
        <v>668</v>
      </c>
      <c r="G216" s="1257"/>
      <c r="H216" s="412">
        <v>1000</v>
      </c>
      <c r="I216" s="413"/>
      <c r="J216" s="414"/>
      <c r="K216" s="414"/>
      <c r="L216" s="414"/>
      <c r="M216" s="414"/>
      <c r="N216" s="413" t="str">
        <f t="shared" si="25"/>
        <v xml:space="preserve"> </v>
      </c>
      <c r="O216" s="51"/>
      <c r="P216" s="415"/>
      <c r="Q216" s="415"/>
      <c r="R216" s="415"/>
      <c r="S216" s="32"/>
      <c r="T216" s="416"/>
      <c r="U216" s="416"/>
      <c r="V216" s="416"/>
      <c r="W216" s="416"/>
      <c r="X216" s="416"/>
      <c r="Y216" s="416"/>
      <c r="Z216" s="416"/>
      <c r="AA216" s="416"/>
      <c r="AB216" s="416"/>
      <c r="AC216" s="416"/>
      <c r="AD216" s="416"/>
      <c r="AE216" s="416"/>
      <c r="AF216" s="416"/>
      <c r="AG216" s="416"/>
      <c r="AH216" s="416"/>
      <c r="AI216" s="416"/>
      <c r="AJ216" s="416"/>
      <c r="AK216" s="416"/>
      <c r="AL216" s="416"/>
      <c r="AM216" s="416"/>
      <c r="AN216" s="416"/>
      <c r="AO216" s="416"/>
      <c r="AP216" s="416"/>
      <c r="AQ216" s="416"/>
      <c r="AR216" s="416"/>
      <c r="AS216" s="416"/>
      <c r="AT216" s="416"/>
      <c r="AU216" s="416"/>
      <c r="AV216" s="416"/>
      <c r="AW216" s="416"/>
      <c r="AX216" s="416"/>
      <c r="AY216" s="416"/>
      <c r="AZ216" s="416"/>
      <c r="BA216" s="416"/>
      <c r="BB216" s="32"/>
    </row>
    <row r="217" spans="2:54">
      <c r="B217" s="1250" t="s">
        <v>621</v>
      </c>
      <c r="C217" s="1251"/>
      <c r="D217" s="411" t="s">
        <v>1952</v>
      </c>
      <c r="E217" s="411"/>
      <c r="F217" s="411" t="s">
        <v>330</v>
      </c>
      <c r="G217" s="411" t="s">
        <v>331</v>
      </c>
      <c r="H217" s="412">
        <v>7605.5780000000004</v>
      </c>
      <c r="I217" s="413" t="s">
        <v>1949</v>
      </c>
      <c r="J217" s="414">
        <v>45086.236111111109</v>
      </c>
      <c r="K217" s="414"/>
      <c r="L217" s="439" t="s">
        <v>192</v>
      </c>
      <c r="M217" s="439" t="s">
        <v>192</v>
      </c>
      <c r="N217" s="413" t="str">
        <f t="shared" si="25"/>
        <v>On time</v>
      </c>
      <c r="O217" s="51"/>
      <c r="P217" s="415" t="s">
        <v>551</v>
      </c>
      <c r="Q217" s="415" t="s">
        <v>551</v>
      </c>
      <c r="R217" s="415" t="s">
        <v>551</v>
      </c>
      <c r="S217" s="32"/>
      <c r="T217" s="416"/>
      <c r="U217" s="416"/>
      <c r="V217" s="416"/>
      <c r="W217" s="416"/>
      <c r="X217" s="416"/>
      <c r="Y217" s="416">
        <f>H217*0.45</f>
        <v>3422.5101000000004</v>
      </c>
      <c r="Z217" s="416">
        <f>H217*0.55</f>
        <v>4183.0679000000009</v>
      </c>
      <c r="AA217" s="416"/>
      <c r="AB217" s="416"/>
      <c r="AC217" s="416"/>
      <c r="AD217" s="416"/>
      <c r="AE217" s="416"/>
      <c r="AF217" s="416"/>
      <c r="AG217" s="416"/>
      <c r="AH217" s="416"/>
      <c r="AI217" s="416"/>
      <c r="AJ217" s="416"/>
      <c r="AK217" s="416"/>
      <c r="AL217" s="416"/>
      <c r="AM217" s="416"/>
      <c r="AN217" s="416"/>
      <c r="AO217" s="416"/>
      <c r="AP217" s="416"/>
      <c r="AQ217" s="416"/>
      <c r="AR217" s="416"/>
      <c r="AS217" s="416"/>
      <c r="AT217" s="416"/>
      <c r="AU217" s="416"/>
      <c r="AV217" s="416"/>
      <c r="AW217" s="416"/>
      <c r="AX217" s="416"/>
      <c r="AY217" s="416"/>
      <c r="AZ217" s="416"/>
      <c r="BA217" s="416"/>
      <c r="BB217" s="32"/>
    </row>
    <row r="218" spans="2:54">
      <c r="B218" s="1252"/>
      <c r="C218" s="1253"/>
      <c r="D218" s="411"/>
      <c r="E218" s="411"/>
      <c r="F218" s="1256" t="s">
        <v>616</v>
      </c>
      <c r="G218" s="1257"/>
      <c r="H218" s="412">
        <v>2000</v>
      </c>
      <c r="I218" s="413"/>
      <c r="J218" s="414"/>
      <c r="K218" s="414"/>
      <c r="L218" s="414"/>
      <c r="M218" s="414"/>
      <c r="N218" s="413" t="str">
        <f t="shared" si="25"/>
        <v xml:space="preserve"> </v>
      </c>
      <c r="O218" s="51"/>
      <c r="P218" s="415"/>
      <c r="Q218" s="415"/>
      <c r="R218" s="415"/>
      <c r="S218" s="32"/>
      <c r="T218" s="416"/>
      <c r="U218" s="416"/>
      <c r="V218" s="416"/>
      <c r="W218" s="416"/>
      <c r="X218" s="416"/>
      <c r="Y218" s="416"/>
      <c r="Z218" s="416"/>
      <c r="AA218" s="416"/>
      <c r="AB218" s="416"/>
      <c r="AC218" s="416"/>
      <c r="AD218" s="416"/>
      <c r="AE218" s="416"/>
      <c r="AF218" s="416"/>
      <c r="AG218" s="416"/>
      <c r="AH218" s="416"/>
      <c r="AI218" s="416"/>
      <c r="AJ218" s="416"/>
      <c r="AK218" s="416"/>
      <c r="AL218" s="416"/>
      <c r="AM218" s="416"/>
      <c r="AN218" s="416"/>
      <c r="AO218" s="416"/>
      <c r="AP218" s="416"/>
      <c r="AQ218" s="416"/>
      <c r="AR218" s="416"/>
      <c r="AS218" s="416"/>
      <c r="AT218" s="416"/>
      <c r="AU218" s="416"/>
      <c r="AV218" s="416"/>
      <c r="AW218" s="416"/>
      <c r="AX218" s="416"/>
      <c r="AY218" s="416"/>
      <c r="AZ218" s="416"/>
      <c r="BA218" s="416"/>
      <c r="BB218" s="32"/>
    </row>
    <row r="219" spans="2:54">
      <c r="B219" s="1254"/>
      <c r="C219" s="1255"/>
      <c r="D219" s="411"/>
      <c r="E219" s="411"/>
      <c r="F219" s="1256" t="s">
        <v>668</v>
      </c>
      <c r="G219" s="1257"/>
      <c r="H219" s="412">
        <v>1000</v>
      </c>
      <c r="I219" s="413"/>
      <c r="J219" s="414"/>
      <c r="K219" s="414"/>
      <c r="L219" s="414"/>
      <c r="M219" s="414"/>
      <c r="N219" s="413" t="str">
        <f t="shared" si="25"/>
        <v xml:space="preserve"> </v>
      </c>
      <c r="O219" s="51"/>
      <c r="P219" s="415"/>
      <c r="Q219" s="415"/>
      <c r="R219" s="415"/>
      <c r="S219" s="32"/>
      <c r="T219" s="416"/>
      <c r="U219" s="416"/>
      <c r="V219" s="416"/>
      <c r="W219" s="416"/>
      <c r="X219" s="416"/>
      <c r="Y219" s="416"/>
      <c r="Z219" s="416"/>
      <c r="AA219" s="416"/>
      <c r="AB219" s="416"/>
      <c r="AC219" s="416"/>
      <c r="AD219" s="416"/>
      <c r="AE219" s="416"/>
      <c r="AF219" s="416"/>
      <c r="AG219" s="416"/>
      <c r="AH219" s="416"/>
      <c r="AI219" s="416"/>
      <c r="AJ219" s="416"/>
      <c r="AK219" s="416"/>
      <c r="AL219" s="416"/>
      <c r="AM219" s="416"/>
      <c r="AN219" s="416"/>
      <c r="AO219" s="416"/>
      <c r="AP219" s="416"/>
      <c r="AQ219" s="416"/>
      <c r="AR219" s="416"/>
      <c r="AS219" s="416"/>
      <c r="AT219" s="416"/>
      <c r="AU219" s="416"/>
      <c r="AV219" s="416"/>
      <c r="AW219" s="416"/>
      <c r="AX219" s="416"/>
      <c r="AY219" s="416"/>
      <c r="AZ219" s="416"/>
      <c r="BA219" s="416"/>
      <c r="BB219" s="32"/>
    </row>
    <row r="220" spans="2:54">
      <c r="B220" s="1250" t="s">
        <v>622</v>
      </c>
      <c r="C220" s="1251"/>
      <c r="D220" s="411" t="s">
        <v>1948</v>
      </c>
      <c r="E220" s="411"/>
      <c r="F220" s="411" t="s">
        <v>298</v>
      </c>
      <c r="G220" s="411" t="s">
        <v>299</v>
      </c>
      <c r="H220" s="412">
        <v>10368.142</v>
      </c>
      <c r="I220" s="413" t="s">
        <v>1949</v>
      </c>
      <c r="J220" s="414">
        <v>45086.25</v>
      </c>
      <c r="K220" s="414"/>
      <c r="L220" s="439" t="s">
        <v>192</v>
      </c>
      <c r="M220" s="439" t="s">
        <v>192</v>
      </c>
      <c r="N220" s="413" t="str">
        <f t="shared" si="25"/>
        <v>On time</v>
      </c>
      <c r="O220" s="51"/>
      <c r="P220" s="415" t="s">
        <v>551</v>
      </c>
      <c r="Q220" s="415" t="s">
        <v>551</v>
      </c>
      <c r="R220" s="415" t="s">
        <v>551</v>
      </c>
      <c r="S220" s="32"/>
      <c r="T220" s="416"/>
      <c r="U220" s="416"/>
      <c r="V220" s="416"/>
      <c r="W220" s="416"/>
      <c r="X220" s="416"/>
      <c r="Y220" s="416">
        <f>H220*0.45</f>
        <v>4665.6639000000005</v>
      </c>
      <c r="Z220" s="416">
        <f>H220*0.55</f>
        <v>5702.4781000000003</v>
      </c>
      <c r="AA220" s="416"/>
      <c r="AB220" s="416"/>
      <c r="AC220" s="416"/>
      <c r="AD220" s="416"/>
      <c r="AE220" s="416"/>
      <c r="AF220" s="416"/>
      <c r="AG220" s="416"/>
      <c r="AH220" s="416"/>
      <c r="AI220" s="416"/>
      <c r="AJ220" s="416"/>
      <c r="AK220" s="416"/>
      <c r="AL220" s="416"/>
      <c r="AM220" s="416"/>
      <c r="AN220" s="416"/>
      <c r="AO220" s="416"/>
      <c r="AP220" s="416"/>
      <c r="AQ220" s="416"/>
      <c r="AR220" s="416"/>
      <c r="AS220" s="416"/>
      <c r="AT220" s="416"/>
      <c r="AU220" s="416"/>
      <c r="AV220" s="416"/>
      <c r="AW220" s="416"/>
      <c r="AX220" s="416"/>
      <c r="AY220" s="416"/>
      <c r="AZ220" s="416"/>
      <c r="BA220" s="416"/>
      <c r="BB220" s="32"/>
    </row>
    <row r="221" spans="2:54">
      <c r="B221" s="1252"/>
      <c r="C221" s="1253"/>
      <c r="D221" s="411"/>
      <c r="E221" s="411"/>
      <c r="F221" s="1256" t="s">
        <v>616</v>
      </c>
      <c r="G221" s="1257"/>
      <c r="H221" s="412">
        <v>2000</v>
      </c>
      <c r="I221" s="413"/>
      <c r="J221" s="414"/>
      <c r="K221" s="414"/>
      <c r="L221" s="414"/>
      <c r="M221" s="414"/>
      <c r="N221" s="413" t="str">
        <f t="shared" si="25"/>
        <v xml:space="preserve"> </v>
      </c>
      <c r="O221" s="51"/>
      <c r="P221" s="415"/>
      <c r="Q221" s="415"/>
      <c r="R221" s="415"/>
      <c r="S221" s="32"/>
      <c r="T221" s="416"/>
      <c r="U221" s="416"/>
      <c r="V221" s="416"/>
      <c r="W221" s="416"/>
      <c r="X221" s="416"/>
      <c r="Y221" s="416"/>
      <c r="Z221" s="416"/>
      <c r="AA221" s="416"/>
      <c r="AB221" s="416"/>
      <c r="AC221" s="416"/>
      <c r="AD221" s="416"/>
      <c r="AE221" s="416"/>
      <c r="AF221" s="416"/>
      <c r="AG221" s="416"/>
      <c r="AH221" s="416"/>
      <c r="AI221" s="416"/>
      <c r="AJ221" s="416"/>
      <c r="AK221" s="416"/>
      <c r="AL221" s="416"/>
      <c r="AM221" s="416"/>
      <c r="AN221" s="416"/>
      <c r="AO221" s="416"/>
      <c r="AP221" s="416"/>
      <c r="AQ221" s="416"/>
      <c r="AR221" s="416"/>
      <c r="AS221" s="416"/>
      <c r="AT221" s="416"/>
      <c r="AU221" s="416"/>
      <c r="AV221" s="416"/>
      <c r="AW221" s="416"/>
      <c r="AX221" s="416"/>
      <c r="AY221" s="416"/>
      <c r="AZ221" s="416"/>
      <c r="BA221" s="416"/>
      <c r="BB221" s="32"/>
    </row>
    <row r="222" spans="2:54">
      <c r="B222" s="1254"/>
      <c r="C222" s="1255"/>
      <c r="D222" s="411"/>
      <c r="E222" s="411"/>
      <c r="F222" s="1256" t="s">
        <v>668</v>
      </c>
      <c r="G222" s="1257"/>
      <c r="H222" s="412">
        <v>1300</v>
      </c>
      <c r="I222" s="413"/>
      <c r="J222" s="414"/>
      <c r="K222" s="414"/>
      <c r="L222" s="414"/>
      <c r="M222" s="414"/>
      <c r="N222" s="413" t="str">
        <f t="shared" si="25"/>
        <v xml:space="preserve"> </v>
      </c>
      <c r="O222" s="51"/>
      <c r="P222" s="415"/>
      <c r="Q222" s="415"/>
      <c r="R222" s="415"/>
      <c r="S222" s="32"/>
      <c r="T222" s="416"/>
      <c r="U222" s="416"/>
      <c r="V222" s="416"/>
      <c r="W222" s="416"/>
      <c r="X222" s="416"/>
      <c r="Y222" s="416"/>
      <c r="Z222" s="416"/>
      <c r="AA222" s="416"/>
      <c r="AB222" s="416"/>
      <c r="AC222" s="416"/>
      <c r="AD222" s="416"/>
      <c r="AE222" s="416"/>
      <c r="AF222" s="416"/>
      <c r="AG222" s="416"/>
      <c r="AH222" s="416"/>
      <c r="AI222" s="416"/>
      <c r="AJ222" s="416"/>
      <c r="AK222" s="416"/>
      <c r="AL222" s="416"/>
      <c r="AM222" s="416"/>
      <c r="AN222" s="416"/>
      <c r="AO222" s="416"/>
      <c r="AP222" s="416"/>
      <c r="AQ222" s="416"/>
      <c r="AR222" s="416"/>
      <c r="AS222" s="416"/>
      <c r="AT222" s="416"/>
      <c r="AU222" s="416"/>
      <c r="AV222" s="416"/>
      <c r="AW222" s="416"/>
      <c r="AX222" s="416"/>
      <c r="AY222" s="416"/>
      <c r="AZ222" s="416"/>
      <c r="BA222" s="416"/>
      <c r="BB222" s="32"/>
    </row>
    <row r="223" spans="2:54">
      <c r="B223" s="1250" t="s">
        <v>623</v>
      </c>
      <c r="C223" s="1251"/>
      <c r="D223" s="411" t="s">
        <v>1953</v>
      </c>
      <c r="E223" s="411"/>
      <c r="F223" s="411" t="s">
        <v>274</v>
      </c>
      <c r="G223" s="411" t="s">
        <v>1093</v>
      </c>
      <c r="H223" s="412">
        <v>7413.808</v>
      </c>
      <c r="I223" s="413" t="s">
        <v>1949</v>
      </c>
      <c r="J223" s="414">
        <v>45086.447916666664</v>
      </c>
      <c r="K223" s="414"/>
      <c r="L223" s="439" t="s">
        <v>192</v>
      </c>
      <c r="M223" s="439" t="s">
        <v>192</v>
      </c>
      <c r="N223" s="413" t="str">
        <f t="shared" si="25"/>
        <v>On time</v>
      </c>
      <c r="O223" s="51"/>
      <c r="P223" s="415" t="s">
        <v>551</v>
      </c>
      <c r="Q223" s="415" t="s">
        <v>551</v>
      </c>
      <c r="R223" s="415" t="s">
        <v>551</v>
      </c>
      <c r="S223" s="32"/>
      <c r="T223" s="416"/>
      <c r="U223" s="416"/>
      <c r="V223" s="416"/>
      <c r="W223" s="416"/>
      <c r="X223" s="416"/>
      <c r="Y223" s="416">
        <f>H223*0.45</f>
        <v>3336.2136</v>
      </c>
      <c r="Z223" s="416">
        <f>H223*0.55</f>
        <v>4077.5944000000004</v>
      </c>
      <c r="AA223" s="416"/>
      <c r="AB223" s="416"/>
      <c r="AC223" s="416"/>
      <c r="AD223" s="416"/>
      <c r="AE223" s="416"/>
      <c r="AF223" s="416"/>
      <c r="AG223" s="416"/>
      <c r="AH223" s="416"/>
      <c r="AI223" s="416"/>
      <c r="AJ223" s="416"/>
      <c r="AK223" s="416"/>
      <c r="AL223" s="416"/>
      <c r="AM223" s="416"/>
      <c r="AN223" s="416"/>
      <c r="AO223" s="416"/>
      <c r="AP223" s="416"/>
      <c r="AQ223" s="416"/>
      <c r="AR223" s="416"/>
      <c r="AS223" s="416"/>
      <c r="AT223" s="416"/>
      <c r="AU223" s="416"/>
      <c r="AV223" s="416"/>
      <c r="AW223" s="416"/>
      <c r="AX223" s="416"/>
      <c r="AY223" s="416"/>
      <c r="AZ223" s="416"/>
      <c r="BA223" s="416"/>
      <c r="BB223" s="32"/>
    </row>
    <row r="224" spans="2:54">
      <c r="B224" s="1252"/>
      <c r="C224" s="1253"/>
      <c r="D224" s="411"/>
      <c r="E224" s="411"/>
      <c r="F224" s="1256" t="s">
        <v>616</v>
      </c>
      <c r="G224" s="1257"/>
      <c r="H224" s="412">
        <v>1000</v>
      </c>
      <c r="I224" s="413"/>
      <c r="J224" s="414"/>
      <c r="K224" s="414"/>
      <c r="L224" s="414"/>
      <c r="M224" s="414"/>
      <c r="N224" s="413" t="str">
        <f t="shared" si="25"/>
        <v xml:space="preserve"> </v>
      </c>
      <c r="O224" s="51"/>
      <c r="P224" s="415"/>
      <c r="Q224" s="415"/>
      <c r="R224" s="415"/>
      <c r="S224" s="32"/>
      <c r="T224" s="416"/>
      <c r="U224" s="416"/>
      <c r="V224" s="416"/>
      <c r="W224" s="416"/>
      <c r="X224" s="416"/>
      <c r="Y224" s="416"/>
      <c r="Z224" s="416"/>
      <c r="AA224" s="416"/>
      <c r="AB224" s="416"/>
      <c r="AC224" s="416"/>
      <c r="AD224" s="416"/>
      <c r="AE224" s="416"/>
      <c r="AF224" s="416"/>
      <c r="AG224" s="416"/>
      <c r="AH224" s="416"/>
      <c r="AI224" s="416"/>
      <c r="AJ224" s="416"/>
      <c r="AK224" s="416"/>
      <c r="AL224" s="416"/>
      <c r="AM224" s="416"/>
      <c r="AN224" s="416"/>
      <c r="AO224" s="416"/>
      <c r="AP224" s="416"/>
      <c r="AQ224" s="416"/>
      <c r="AR224" s="416"/>
      <c r="AS224" s="416"/>
      <c r="AT224" s="416"/>
      <c r="AU224" s="416"/>
      <c r="AV224" s="416"/>
      <c r="AW224" s="416"/>
      <c r="AX224" s="416"/>
      <c r="AY224" s="416"/>
      <c r="AZ224" s="416"/>
      <c r="BA224" s="416"/>
      <c r="BB224" s="32"/>
    </row>
    <row r="225" spans="2:54">
      <c r="B225" s="1254"/>
      <c r="C225" s="1255"/>
      <c r="D225" s="411"/>
      <c r="E225" s="411"/>
      <c r="F225" s="1256" t="s">
        <v>668</v>
      </c>
      <c r="G225" s="1257"/>
      <c r="H225" s="412">
        <v>1000</v>
      </c>
      <c r="I225" s="413"/>
      <c r="J225" s="414"/>
      <c r="K225" s="414"/>
      <c r="L225" s="414"/>
      <c r="M225" s="414"/>
      <c r="N225" s="413" t="str">
        <f t="shared" si="25"/>
        <v xml:space="preserve"> </v>
      </c>
      <c r="O225" s="51"/>
      <c r="P225" s="415"/>
      <c r="Q225" s="415"/>
      <c r="R225" s="415"/>
      <c r="S225" s="32"/>
      <c r="T225" s="416"/>
      <c r="U225" s="416"/>
      <c r="V225" s="416"/>
      <c r="W225" s="416"/>
      <c r="X225" s="416"/>
      <c r="Y225" s="416"/>
      <c r="Z225" s="416"/>
      <c r="AA225" s="416"/>
      <c r="AB225" s="416"/>
      <c r="AC225" s="416"/>
      <c r="AD225" s="416"/>
      <c r="AE225" s="416"/>
      <c r="AF225" s="416"/>
      <c r="AG225" s="416"/>
      <c r="AH225" s="416"/>
      <c r="AI225" s="416"/>
      <c r="AJ225" s="416"/>
      <c r="AK225" s="416"/>
      <c r="AL225" s="416"/>
      <c r="AM225" s="416"/>
      <c r="AN225" s="416"/>
      <c r="AO225" s="416"/>
      <c r="AP225" s="416"/>
      <c r="AQ225" s="416"/>
      <c r="AR225" s="416"/>
      <c r="AS225" s="416"/>
      <c r="AT225" s="416"/>
      <c r="AU225" s="416"/>
      <c r="AV225" s="416"/>
      <c r="AW225" s="416"/>
      <c r="AX225" s="416"/>
      <c r="AY225" s="416"/>
      <c r="AZ225" s="416"/>
      <c r="BA225" s="416"/>
      <c r="BB225" s="32"/>
    </row>
    <row r="226" spans="2:54">
      <c r="B226" s="1250" t="s">
        <v>624</v>
      </c>
      <c r="C226" s="1251"/>
      <c r="D226" s="411" t="s">
        <v>1955</v>
      </c>
      <c r="E226" s="411"/>
      <c r="F226" s="411" t="s">
        <v>205</v>
      </c>
      <c r="G226" s="411" t="s">
        <v>206</v>
      </c>
      <c r="H226" s="412">
        <v>7565.1790000000001</v>
      </c>
      <c r="I226" s="413" t="s">
        <v>494</v>
      </c>
      <c r="J226" s="414">
        <v>45086.541666666664</v>
      </c>
      <c r="K226" s="414"/>
      <c r="L226" s="439" t="s">
        <v>192</v>
      </c>
      <c r="M226" s="439" t="s">
        <v>192</v>
      </c>
      <c r="N226" s="413" t="str">
        <f t="shared" si="25"/>
        <v>On time</v>
      </c>
      <c r="O226" s="51"/>
      <c r="P226" s="415" t="s">
        <v>551</v>
      </c>
      <c r="Q226" s="415" t="s">
        <v>551</v>
      </c>
      <c r="R226" s="415" t="s">
        <v>551</v>
      </c>
      <c r="S226" s="32"/>
      <c r="T226" s="416"/>
      <c r="U226" s="416"/>
      <c r="V226" s="416"/>
      <c r="W226" s="416"/>
      <c r="X226" s="416"/>
      <c r="Y226" s="416">
        <f>H226</f>
        <v>7565.1790000000001</v>
      </c>
      <c r="Z226" s="416"/>
      <c r="AA226" s="416"/>
      <c r="AB226" s="416"/>
      <c r="AC226" s="416"/>
      <c r="AD226" s="416"/>
      <c r="AE226" s="416"/>
      <c r="AF226" s="416"/>
      <c r="AG226" s="416"/>
      <c r="AH226" s="416"/>
      <c r="AI226" s="416"/>
      <c r="AJ226" s="416"/>
      <c r="AK226" s="416"/>
      <c r="AL226" s="416"/>
      <c r="AM226" s="416"/>
      <c r="AN226" s="416"/>
      <c r="AO226" s="416"/>
      <c r="AP226" s="416"/>
      <c r="AQ226" s="416"/>
      <c r="AR226" s="416"/>
      <c r="AS226" s="416"/>
      <c r="AT226" s="416"/>
      <c r="AU226" s="416"/>
      <c r="AV226" s="416"/>
      <c r="AW226" s="416"/>
      <c r="AX226" s="416"/>
      <c r="AY226" s="416"/>
      <c r="AZ226" s="416"/>
      <c r="BA226" s="416"/>
      <c r="BB226" s="32"/>
    </row>
    <row r="227" spans="2:54">
      <c r="B227" s="1254"/>
      <c r="C227" s="1255"/>
      <c r="D227" s="411"/>
      <c r="E227" s="411"/>
      <c r="F227" s="1256" t="s">
        <v>616</v>
      </c>
      <c r="G227" s="1257"/>
      <c r="H227" s="412">
        <v>1000</v>
      </c>
      <c r="I227" s="413"/>
      <c r="J227" s="414"/>
      <c r="K227" s="414"/>
      <c r="L227" s="414"/>
      <c r="M227" s="414"/>
      <c r="N227" s="413" t="str">
        <f t="shared" si="25"/>
        <v xml:space="preserve"> </v>
      </c>
      <c r="O227" s="51"/>
      <c r="P227" s="415"/>
      <c r="Q227" s="415"/>
      <c r="R227" s="415"/>
      <c r="S227" s="32"/>
      <c r="T227" s="416"/>
      <c r="U227" s="416"/>
      <c r="V227" s="416"/>
      <c r="W227" s="416"/>
      <c r="X227" s="416"/>
      <c r="Y227" s="416"/>
      <c r="Z227" s="416"/>
      <c r="AA227" s="416"/>
      <c r="AB227" s="416"/>
      <c r="AC227" s="416"/>
      <c r="AD227" s="416"/>
      <c r="AE227" s="416"/>
      <c r="AF227" s="416"/>
      <c r="AG227" s="416"/>
      <c r="AH227" s="416"/>
      <c r="AI227" s="416"/>
      <c r="AJ227" s="416"/>
      <c r="AK227" s="416"/>
      <c r="AL227" s="416"/>
      <c r="AM227" s="416"/>
      <c r="AN227" s="416"/>
      <c r="AO227" s="416"/>
      <c r="AP227" s="416"/>
      <c r="AQ227" s="416"/>
      <c r="AR227" s="416"/>
      <c r="AS227" s="416"/>
      <c r="AT227" s="416"/>
      <c r="AU227" s="416"/>
      <c r="AV227" s="416"/>
      <c r="AW227" s="416"/>
      <c r="AX227" s="416"/>
      <c r="AY227" s="416"/>
      <c r="AZ227" s="416"/>
      <c r="BA227" s="416"/>
      <c r="BB227" s="32"/>
    </row>
    <row r="228" spans="2:54">
      <c r="B228" s="1256" t="s">
        <v>625</v>
      </c>
      <c r="C228" s="1257"/>
      <c r="D228" s="411" t="s">
        <v>1783</v>
      </c>
      <c r="E228" s="411"/>
      <c r="F228" s="411" t="s">
        <v>1255</v>
      </c>
      <c r="G228" s="411" t="s">
        <v>268</v>
      </c>
      <c r="H228" s="412">
        <v>7544.0370000000003</v>
      </c>
      <c r="I228" s="413" t="s">
        <v>418</v>
      </c>
      <c r="J228" s="414">
        <v>45087.5</v>
      </c>
      <c r="K228" s="414"/>
      <c r="L228" s="439" t="s">
        <v>192</v>
      </c>
      <c r="M228" s="439" t="s">
        <v>192</v>
      </c>
      <c r="N228" s="413" t="str">
        <f t="shared" si="25"/>
        <v>DELAY ( 1 day 1 hour 38 minute )</v>
      </c>
      <c r="O228" s="51"/>
      <c r="P228" s="415" t="s">
        <v>551</v>
      </c>
      <c r="Q228" s="415" t="s">
        <v>551</v>
      </c>
      <c r="R228" s="415" t="s">
        <v>551</v>
      </c>
      <c r="S228" s="32"/>
      <c r="T228" s="416"/>
      <c r="U228" s="416"/>
      <c r="V228" s="416"/>
      <c r="W228" s="416"/>
      <c r="X228" s="416"/>
      <c r="Y228" s="32"/>
      <c r="Z228" s="416"/>
      <c r="AA228" s="416"/>
      <c r="AB228" s="416">
        <f>H228*0.65</f>
        <v>4903.6240500000004</v>
      </c>
      <c r="AC228" s="416">
        <f>H228*0.35</f>
        <v>2640.4129499999999</v>
      </c>
      <c r="AD228" s="416"/>
      <c r="AE228" s="416"/>
      <c r="AF228" s="416"/>
      <c r="AG228" s="416"/>
      <c r="AH228" s="416"/>
      <c r="AI228" s="416"/>
      <c r="AJ228" s="416"/>
      <c r="AK228" s="416"/>
      <c r="AL228" s="416"/>
      <c r="AM228" s="416"/>
      <c r="AN228" s="416"/>
      <c r="AO228" s="416"/>
      <c r="AP228" s="416"/>
      <c r="AQ228" s="416"/>
      <c r="AR228" s="416"/>
      <c r="AS228" s="416"/>
      <c r="AT228" s="416"/>
      <c r="AU228" s="416"/>
      <c r="AV228" s="416"/>
      <c r="AW228" s="416"/>
      <c r="AX228" s="416"/>
      <c r="AY228" s="416"/>
      <c r="AZ228" s="416"/>
      <c r="BA228" s="416"/>
      <c r="BB228" s="32"/>
    </row>
    <row r="229" spans="2:54">
      <c r="B229" s="1250" t="s">
        <v>669</v>
      </c>
      <c r="C229" s="1251"/>
      <c r="D229" s="411" t="s">
        <v>1956</v>
      </c>
      <c r="E229" s="411"/>
      <c r="F229" s="411" t="s">
        <v>371</v>
      </c>
      <c r="G229" s="411" t="s">
        <v>372</v>
      </c>
      <c r="H229" s="412">
        <v>7180.31</v>
      </c>
      <c r="I229" s="413" t="s">
        <v>494</v>
      </c>
      <c r="J229" s="414">
        <v>45086.39166666667</v>
      </c>
      <c r="K229" s="414"/>
      <c r="L229" s="439" t="s">
        <v>192</v>
      </c>
      <c r="M229" s="439" t="s">
        <v>192</v>
      </c>
      <c r="N229" s="413" t="str">
        <f t="shared" si="25"/>
        <v>On time</v>
      </c>
      <c r="O229" s="51"/>
      <c r="P229" s="415" t="s">
        <v>551</v>
      </c>
      <c r="Q229" s="415" t="s">
        <v>551</v>
      </c>
      <c r="R229" s="415" t="s">
        <v>551</v>
      </c>
      <c r="S229" s="32"/>
      <c r="T229" s="416"/>
      <c r="U229" s="416"/>
      <c r="V229" s="416"/>
      <c r="W229" s="416"/>
      <c r="X229" s="416"/>
      <c r="Y229" s="416">
        <f>H229</f>
        <v>7180.31</v>
      </c>
      <c r="Z229" s="416"/>
      <c r="AA229" s="416"/>
      <c r="AB229" s="416"/>
      <c r="AC229" s="416"/>
      <c r="AD229" s="416"/>
      <c r="AE229" s="416"/>
      <c r="AF229" s="416"/>
      <c r="AG229" s="416"/>
      <c r="AH229" s="416"/>
      <c r="AI229" s="416"/>
      <c r="AJ229" s="416"/>
      <c r="AK229" s="416"/>
      <c r="AL229" s="416"/>
      <c r="AM229" s="416"/>
      <c r="AN229" s="416"/>
      <c r="AO229" s="416"/>
      <c r="AP229" s="416"/>
      <c r="AQ229" s="416"/>
      <c r="AR229" s="416"/>
      <c r="AS229" s="416"/>
      <c r="AT229" s="416"/>
      <c r="AU229" s="416"/>
      <c r="AV229" s="416"/>
      <c r="AW229" s="416"/>
      <c r="AX229" s="416"/>
      <c r="AY229" s="416"/>
      <c r="AZ229" s="416"/>
      <c r="BA229" s="416"/>
      <c r="BB229" s="32"/>
    </row>
    <row r="230" spans="2:54">
      <c r="B230" s="1254"/>
      <c r="C230" s="1255"/>
      <c r="D230" s="411"/>
      <c r="E230" s="411"/>
      <c r="F230" s="1256" t="s">
        <v>616</v>
      </c>
      <c r="G230" s="1257"/>
      <c r="H230" s="412">
        <v>1134</v>
      </c>
      <c r="I230" s="413"/>
      <c r="J230" s="414"/>
      <c r="K230" s="414"/>
      <c r="L230" s="414"/>
      <c r="M230" s="414"/>
      <c r="N230" s="413" t="str">
        <f t="shared" si="25"/>
        <v xml:space="preserve"> </v>
      </c>
      <c r="O230" s="51"/>
      <c r="P230" s="415"/>
      <c r="Q230" s="415"/>
      <c r="R230" s="415"/>
      <c r="S230" s="32"/>
      <c r="T230" s="416"/>
      <c r="U230" s="416"/>
      <c r="V230" s="416"/>
      <c r="W230" s="416"/>
      <c r="X230" s="416"/>
      <c r="Y230" s="416"/>
      <c r="Z230" s="416"/>
      <c r="AA230" s="416"/>
      <c r="AB230" s="416"/>
      <c r="AC230" s="416"/>
      <c r="AD230" s="416"/>
      <c r="AE230" s="416"/>
      <c r="AF230" s="416"/>
      <c r="AG230" s="416"/>
      <c r="AH230" s="416"/>
      <c r="AI230" s="416"/>
      <c r="AJ230" s="416"/>
      <c r="AK230" s="416"/>
      <c r="AL230" s="416"/>
      <c r="AM230" s="416"/>
      <c r="AN230" s="416"/>
      <c r="AO230" s="416"/>
      <c r="AP230" s="416"/>
      <c r="AQ230" s="416"/>
      <c r="AR230" s="416"/>
      <c r="AS230" s="416"/>
      <c r="AT230" s="416"/>
      <c r="AU230" s="416"/>
      <c r="AV230" s="416"/>
      <c r="AW230" s="416"/>
      <c r="AX230" s="416"/>
      <c r="AY230" s="416"/>
      <c r="AZ230" s="416"/>
      <c r="BA230" s="416"/>
      <c r="BB230" s="32"/>
    </row>
    <row r="231" spans="2:54">
      <c r="B231" s="1250" t="s">
        <v>670</v>
      </c>
      <c r="C231" s="1251"/>
      <c r="D231" s="411" t="s">
        <v>1951</v>
      </c>
      <c r="E231" s="411"/>
      <c r="F231" s="411" t="s">
        <v>352</v>
      </c>
      <c r="G231" s="411" t="s">
        <v>353</v>
      </c>
      <c r="H231" s="412">
        <v>9028.2469999999994</v>
      </c>
      <c r="I231" s="413" t="s">
        <v>1949</v>
      </c>
      <c r="J231" s="414">
        <v>45087.25</v>
      </c>
      <c r="K231" s="414"/>
      <c r="L231" s="439" t="s">
        <v>192</v>
      </c>
      <c r="M231" s="439" t="s">
        <v>192</v>
      </c>
      <c r="N231" s="413" t="str">
        <f t="shared" si="25"/>
        <v>On time</v>
      </c>
      <c r="O231" s="51"/>
      <c r="P231" s="415" t="s">
        <v>551</v>
      </c>
      <c r="Q231" s="415" t="s">
        <v>551</v>
      </c>
      <c r="R231" s="415" t="s">
        <v>551</v>
      </c>
      <c r="S231" s="32"/>
      <c r="T231" s="416"/>
      <c r="U231" s="416"/>
      <c r="V231" s="416"/>
      <c r="W231" s="416"/>
      <c r="X231" s="416"/>
      <c r="Y231" s="416">
        <f>H231*0.45</f>
        <v>4062.7111499999996</v>
      </c>
      <c r="Z231" s="416">
        <f>H231*0.55</f>
        <v>4965.5358500000002</v>
      </c>
      <c r="AA231" s="416"/>
      <c r="AB231" s="416"/>
      <c r="AC231" s="416"/>
      <c r="AD231" s="416"/>
      <c r="AE231" s="416"/>
      <c r="AF231" s="416"/>
      <c r="AG231" s="416"/>
      <c r="AH231" s="416"/>
      <c r="AI231" s="416"/>
      <c r="AJ231" s="416"/>
      <c r="AK231" s="416"/>
      <c r="AL231" s="416"/>
      <c r="AM231" s="416"/>
      <c r="AN231" s="416"/>
      <c r="AO231" s="416"/>
      <c r="AP231" s="416"/>
      <c r="AQ231" s="416"/>
      <c r="AR231" s="416"/>
      <c r="AS231" s="416"/>
      <c r="AT231" s="416"/>
      <c r="AU231" s="416"/>
      <c r="AV231" s="416"/>
      <c r="AW231" s="416"/>
      <c r="AX231" s="416"/>
      <c r="AY231" s="416"/>
      <c r="AZ231" s="416"/>
      <c r="BA231" s="416"/>
      <c r="BB231" s="32"/>
    </row>
    <row r="232" spans="2:54">
      <c r="B232" s="1252"/>
      <c r="C232" s="1253"/>
      <c r="D232" s="411"/>
      <c r="E232" s="411"/>
      <c r="F232" s="1256" t="s">
        <v>616</v>
      </c>
      <c r="G232" s="1257"/>
      <c r="H232" s="412">
        <v>2000</v>
      </c>
      <c r="I232" s="413"/>
      <c r="J232" s="414"/>
      <c r="K232" s="414"/>
      <c r="L232" s="414"/>
      <c r="M232" s="414"/>
      <c r="N232" s="413" t="str">
        <f t="shared" si="25"/>
        <v xml:space="preserve"> </v>
      </c>
      <c r="O232" s="51"/>
      <c r="P232" s="415"/>
      <c r="Q232" s="415"/>
      <c r="R232" s="415"/>
      <c r="S232" s="32"/>
      <c r="T232" s="416"/>
      <c r="U232" s="416"/>
      <c r="V232" s="416"/>
      <c r="W232" s="416"/>
      <c r="X232" s="416"/>
      <c r="Y232" s="416"/>
      <c r="Z232" s="416"/>
      <c r="AA232" s="416"/>
      <c r="AB232" s="416"/>
      <c r="AC232" s="416"/>
      <c r="AD232" s="416"/>
      <c r="AE232" s="416"/>
      <c r="AF232" s="416"/>
      <c r="AG232" s="416"/>
      <c r="AH232" s="416"/>
      <c r="AI232" s="416"/>
      <c r="AJ232" s="416"/>
      <c r="AK232" s="416"/>
      <c r="AL232" s="416"/>
      <c r="AM232" s="416"/>
      <c r="AN232" s="416"/>
      <c r="AO232" s="416"/>
      <c r="AP232" s="416"/>
      <c r="AQ232" s="416"/>
      <c r="AR232" s="416"/>
      <c r="AS232" s="416"/>
      <c r="AT232" s="416"/>
      <c r="AU232" s="416"/>
      <c r="AV232" s="416"/>
      <c r="AW232" s="416"/>
      <c r="AX232" s="416"/>
      <c r="AY232" s="416"/>
      <c r="AZ232" s="416"/>
      <c r="BA232" s="416"/>
      <c r="BB232" s="32"/>
    </row>
    <row r="233" spans="2:54">
      <c r="B233" s="1254"/>
      <c r="C233" s="1255"/>
      <c r="D233" s="411"/>
      <c r="E233" s="411"/>
      <c r="F233" s="1256" t="s">
        <v>668</v>
      </c>
      <c r="G233" s="1257"/>
      <c r="H233" s="412">
        <v>3200</v>
      </c>
      <c r="I233" s="413"/>
      <c r="J233" s="414"/>
      <c r="K233" s="414"/>
      <c r="L233" s="414"/>
      <c r="M233" s="414"/>
      <c r="N233" s="413" t="str">
        <f t="shared" si="25"/>
        <v xml:space="preserve"> </v>
      </c>
      <c r="O233" s="51"/>
      <c r="P233" s="415"/>
      <c r="Q233" s="415"/>
      <c r="R233" s="415"/>
      <c r="S233" s="32"/>
      <c r="T233" s="416"/>
      <c r="U233" s="416"/>
      <c r="V233" s="416"/>
      <c r="W233" s="416"/>
      <c r="X233" s="416"/>
      <c r="Y233" s="289"/>
      <c r="Z233" s="416"/>
      <c r="AA233" s="416"/>
      <c r="AB233" s="416"/>
      <c r="AC233" s="416"/>
      <c r="AD233" s="416"/>
      <c r="AE233" s="416"/>
      <c r="AF233" s="416"/>
      <c r="AG233" s="416"/>
      <c r="AH233" s="416"/>
      <c r="AI233" s="416"/>
      <c r="AJ233" s="416"/>
      <c r="AK233" s="416"/>
      <c r="AL233" s="416"/>
      <c r="AM233" s="416"/>
      <c r="AN233" s="416"/>
      <c r="AO233" s="416"/>
      <c r="AP233" s="416"/>
      <c r="AQ233" s="416"/>
      <c r="AR233" s="416"/>
      <c r="AS233" s="416"/>
      <c r="AT233" s="416"/>
      <c r="AU233" s="416"/>
      <c r="AV233" s="416"/>
      <c r="AW233" s="416"/>
      <c r="AX233" s="416"/>
      <c r="AY233" s="416"/>
      <c r="AZ233" s="416"/>
      <c r="BA233" s="416"/>
      <c r="BB233" s="32"/>
    </row>
    <row r="234" spans="2:54">
      <c r="B234" s="1256" t="s">
        <v>867</v>
      </c>
      <c r="C234" s="1257"/>
      <c r="D234" s="411" t="s">
        <v>1957</v>
      </c>
      <c r="E234" s="411"/>
      <c r="F234" s="411" t="s">
        <v>1240</v>
      </c>
      <c r="G234" s="411" t="s">
        <v>1241</v>
      </c>
      <c r="H234" s="412">
        <f>7672.139-1508.112</f>
        <v>6164.027</v>
      </c>
      <c r="I234" s="413" t="s">
        <v>494</v>
      </c>
      <c r="J234" s="414">
        <v>45088.972222222219</v>
      </c>
      <c r="K234" s="414"/>
      <c r="L234" s="439" t="s">
        <v>192</v>
      </c>
      <c r="M234" s="439" t="s">
        <v>192</v>
      </c>
      <c r="N234" s="413" t="str">
        <f t="shared" si="25"/>
        <v>DELAY ( 2 day 12 hour 58 minute )</v>
      </c>
      <c r="O234" s="51"/>
      <c r="P234" s="415" t="s">
        <v>551</v>
      </c>
      <c r="Q234" s="415" t="s">
        <v>551</v>
      </c>
      <c r="R234" s="415" t="s">
        <v>551</v>
      </c>
      <c r="S234" s="32"/>
      <c r="T234" s="416"/>
      <c r="U234" s="416"/>
      <c r="V234" s="416"/>
      <c r="W234" s="416"/>
      <c r="X234" s="416"/>
      <c r="Y234" s="416">
        <f>H234</f>
        <v>6164.027</v>
      </c>
      <c r="Z234" s="416"/>
      <c r="AA234" s="416"/>
      <c r="AB234" s="416"/>
      <c r="AC234" s="416"/>
      <c r="AD234" s="416"/>
      <c r="AE234" s="416"/>
      <c r="AF234" s="416"/>
      <c r="AG234" s="416"/>
      <c r="AH234" s="416"/>
      <c r="AI234" s="416"/>
      <c r="AJ234" s="416"/>
      <c r="AK234" s="416"/>
      <c r="AL234" s="416"/>
      <c r="AM234" s="416"/>
      <c r="AN234" s="416"/>
      <c r="AO234" s="416"/>
      <c r="AP234" s="416"/>
      <c r="AQ234" s="416"/>
      <c r="AR234" s="416"/>
      <c r="AS234" s="416"/>
      <c r="AT234" s="416"/>
      <c r="AU234" s="416"/>
      <c r="AV234" s="416"/>
      <c r="AW234" s="416"/>
      <c r="AX234" s="416"/>
      <c r="AY234" s="416"/>
      <c r="AZ234" s="416"/>
      <c r="BA234" s="416"/>
      <c r="BB234" s="32"/>
    </row>
    <row r="235" spans="2:54">
      <c r="B235" s="1258" t="s">
        <v>626</v>
      </c>
      <c r="C235" s="1259"/>
      <c r="D235" s="1259"/>
      <c r="E235" s="1259"/>
      <c r="F235" s="1259"/>
      <c r="G235" s="1260"/>
      <c r="H235" s="417">
        <f>H220+H214+H231+H217+H223+H226+H229+H234+H228</f>
        <v>70165.999999999985</v>
      </c>
      <c r="I235" s="388"/>
      <c r="J235" s="293"/>
      <c r="K235" s="293"/>
      <c r="L235" s="293"/>
      <c r="M235" s="389"/>
      <c r="N235" s="413" t="str">
        <f t="shared" si="25"/>
        <v xml:space="preserve"> </v>
      </c>
      <c r="O235" s="47"/>
      <c r="P235" s="418"/>
      <c r="Q235" s="418"/>
      <c r="R235" s="418"/>
      <c r="S235" s="32"/>
      <c r="T235" s="1261"/>
      <c r="U235" s="1261"/>
      <c r="V235" s="1261"/>
      <c r="W235" s="1261"/>
      <c r="X235" s="1261"/>
      <c r="Y235" s="1261"/>
      <c r="Z235" s="1261"/>
      <c r="AA235" s="1261"/>
      <c r="AB235" s="1261"/>
      <c r="AC235" s="1261"/>
      <c r="AD235" s="1261"/>
      <c r="AE235" s="1261"/>
      <c r="AF235" s="1261"/>
      <c r="AG235" s="1261"/>
      <c r="AH235" s="1261"/>
      <c r="AI235" s="1261"/>
      <c r="AJ235" s="1261"/>
      <c r="AK235" s="1261"/>
      <c r="AL235" s="1261"/>
      <c r="AM235" s="1261"/>
      <c r="AN235" s="1261"/>
      <c r="AO235" s="1261"/>
      <c r="AP235" s="1261"/>
      <c r="AQ235" s="1261"/>
      <c r="AR235" s="1261"/>
      <c r="AS235" s="1261"/>
      <c r="AT235" s="1261"/>
      <c r="AU235" s="1261"/>
      <c r="AV235" s="1261"/>
      <c r="AW235" s="1261"/>
      <c r="AX235" s="1261"/>
      <c r="AY235" s="1261"/>
      <c r="AZ235" s="1261"/>
      <c r="BA235" s="1261"/>
    </row>
    <row r="236" spans="2:54">
      <c r="B236" s="1258" t="s">
        <v>556</v>
      </c>
      <c r="C236" s="1259"/>
      <c r="D236" s="1259"/>
      <c r="E236" s="1259"/>
      <c r="F236" s="1259"/>
      <c r="G236" s="1260"/>
      <c r="H236" s="417">
        <f>H213+H235</f>
        <v>87999.999999999985</v>
      </c>
      <c r="I236" s="388"/>
      <c r="J236" s="293"/>
      <c r="K236" s="293"/>
      <c r="L236" s="293"/>
      <c r="M236" s="389"/>
      <c r="N236" s="413" t="str">
        <f t="shared" si="25"/>
        <v xml:space="preserve"> </v>
      </c>
      <c r="O236" s="212"/>
      <c r="P236" s="418"/>
      <c r="Q236" s="418"/>
      <c r="R236" s="418"/>
      <c r="S236" s="207"/>
      <c r="T236" s="1262"/>
      <c r="U236" s="1263"/>
      <c r="V236" s="1263"/>
      <c r="W236" s="1263"/>
      <c r="X236" s="1263"/>
      <c r="Y236" s="1263"/>
      <c r="Z236" s="1263"/>
      <c r="AA236" s="1263"/>
      <c r="AB236" s="1263"/>
      <c r="AC236" s="1263"/>
      <c r="AD236" s="1263"/>
      <c r="AE236" s="1263"/>
      <c r="AF236" s="1263"/>
      <c r="AG236" s="1263"/>
      <c r="AH236" s="1263"/>
      <c r="AI236" s="1263"/>
      <c r="AJ236" s="1263"/>
      <c r="AK236" s="1263"/>
      <c r="AL236" s="1263"/>
      <c r="AM236" s="1263"/>
      <c r="AN236" s="1263"/>
      <c r="AO236" s="1263"/>
      <c r="AP236" s="1263"/>
      <c r="AQ236" s="1263"/>
      <c r="AR236" s="1263"/>
      <c r="AS236" s="1263"/>
      <c r="AT236" s="1263"/>
      <c r="AU236" s="1263"/>
      <c r="AV236" s="1263"/>
      <c r="AW236" s="1263"/>
      <c r="AX236" s="1263"/>
      <c r="AY236" s="1263"/>
      <c r="AZ236" s="1263"/>
      <c r="BA236" s="1263"/>
    </row>
    <row r="237" spans="2:54">
      <c r="B237" s="1243" t="s">
        <v>557</v>
      </c>
      <c r="C237" s="1244"/>
      <c r="D237" s="1244"/>
      <c r="E237" s="1244"/>
      <c r="F237" s="1244"/>
      <c r="G237" s="1245"/>
      <c r="H237" s="419">
        <v>88000</v>
      </c>
      <c r="I237" s="1246"/>
      <c r="J237" s="1247"/>
      <c r="K237" s="1247"/>
      <c r="L237" s="1247"/>
      <c r="M237" s="1248"/>
      <c r="N237" s="413" t="str">
        <f t="shared" si="25"/>
        <v xml:space="preserve"> </v>
      </c>
      <c r="O237" s="32"/>
      <c r="P237" s="415"/>
      <c r="Q237" s="415"/>
      <c r="R237" s="415"/>
      <c r="S237" s="63"/>
      <c r="T237" s="416">
        <f t="shared" ref="T237:BA237" si="26">SUM(T210:T234)</f>
        <v>0</v>
      </c>
      <c r="U237" s="416">
        <f t="shared" si="26"/>
        <v>0</v>
      </c>
      <c r="V237" s="416">
        <f t="shared" si="26"/>
        <v>0</v>
      </c>
      <c r="W237" s="416">
        <f t="shared" si="26"/>
        <v>0</v>
      </c>
      <c r="X237" s="416">
        <f t="shared" si="26"/>
        <v>0</v>
      </c>
      <c r="Y237" s="416">
        <f t="shared" si="26"/>
        <v>39680.117150000005</v>
      </c>
      <c r="Z237" s="416">
        <f t="shared" si="26"/>
        <v>22941.845850000002</v>
      </c>
      <c r="AA237" s="416">
        <f t="shared" si="26"/>
        <v>0</v>
      </c>
      <c r="AB237" s="416">
        <f t="shared" si="26"/>
        <v>4903.6240500000004</v>
      </c>
      <c r="AC237" s="416">
        <f t="shared" si="26"/>
        <v>2640.4129499999999</v>
      </c>
      <c r="AD237" s="416">
        <f t="shared" si="26"/>
        <v>0</v>
      </c>
      <c r="AE237" s="416">
        <f t="shared" si="26"/>
        <v>0</v>
      </c>
      <c r="AF237" s="416">
        <f t="shared" si="26"/>
        <v>0</v>
      </c>
      <c r="AG237" s="416">
        <f t="shared" si="26"/>
        <v>0</v>
      </c>
      <c r="AH237" s="416">
        <f t="shared" si="26"/>
        <v>0</v>
      </c>
      <c r="AI237" s="416">
        <f t="shared" si="26"/>
        <v>0</v>
      </c>
      <c r="AJ237" s="416">
        <f t="shared" si="26"/>
        <v>0</v>
      </c>
      <c r="AK237" s="416">
        <f t="shared" si="26"/>
        <v>7500</v>
      </c>
      <c r="AL237" s="416">
        <f t="shared" si="26"/>
        <v>0</v>
      </c>
      <c r="AM237" s="416">
        <f t="shared" si="26"/>
        <v>0</v>
      </c>
      <c r="AN237" s="416">
        <f t="shared" si="26"/>
        <v>0</v>
      </c>
      <c r="AO237" s="416">
        <f t="shared" si="26"/>
        <v>0</v>
      </c>
      <c r="AP237" s="416">
        <f t="shared" si="26"/>
        <v>0</v>
      </c>
      <c r="AQ237" s="416">
        <f t="shared" si="26"/>
        <v>0</v>
      </c>
      <c r="AR237" s="416">
        <f t="shared" si="26"/>
        <v>10334</v>
      </c>
      <c r="AS237" s="416">
        <f t="shared" si="26"/>
        <v>0</v>
      </c>
      <c r="AT237" s="416">
        <f t="shared" si="26"/>
        <v>0</v>
      </c>
      <c r="AU237" s="416">
        <f t="shared" si="26"/>
        <v>0</v>
      </c>
      <c r="AV237" s="416">
        <f t="shared" si="26"/>
        <v>0</v>
      </c>
      <c r="AW237" s="416">
        <f t="shared" si="26"/>
        <v>0</v>
      </c>
      <c r="AX237" s="416">
        <f t="shared" si="26"/>
        <v>0</v>
      </c>
      <c r="AY237" s="416">
        <f t="shared" si="26"/>
        <v>0</v>
      </c>
      <c r="AZ237" s="416">
        <f t="shared" si="26"/>
        <v>0</v>
      </c>
      <c r="BA237" s="416">
        <f t="shared" si="26"/>
        <v>0</v>
      </c>
      <c r="BB237" s="416">
        <f>SUM(T237:BA237)</f>
        <v>88000</v>
      </c>
    </row>
    <row r="238" spans="2:54">
      <c r="B238" s="1243" t="s">
        <v>558</v>
      </c>
      <c r="C238" s="1244"/>
      <c r="D238" s="1244"/>
      <c r="E238" s="1244"/>
      <c r="F238" s="1244"/>
      <c r="G238" s="1245"/>
      <c r="H238" s="420">
        <f>H237-L204</f>
        <v>0</v>
      </c>
      <c r="I238" s="294"/>
      <c r="J238" s="295"/>
      <c r="K238" s="295"/>
      <c r="L238" s="296"/>
      <c r="M238" s="32"/>
      <c r="N238" s="32"/>
      <c r="O238" s="32"/>
      <c r="P238" s="32"/>
      <c r="Q238" s="297"/>
      <c r="R238" s="297"/>
      <c r="S238" s="32"/>
      <c r="T238" s="48"/>
      <c r="U238" s="48"/>
      <c r="V238" s="48"/>
      <c r="W238" s="48"/>
      <c r="X238" s="48"/>
      <c r="Y238" s="48"/>
      <c r="Z238" s="48"/>
      <c r="AA238" s="48"/>
      <c r="AB238" s="48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</row>
    <row r="239" spans="2:54">
      <c r="B239" s="1243" t="s">
        <v>559</v>
      </c>
      <c r="C239" s="1244"/>
      <c r="D239" s="1244"/>
      <c r="E239" s="1244"/>
      <c r="F239" s="1244"/>
      <c r="G239" s="1245"/>
      <c r="H239" s="420">
        <f>672.184</f>
        <v>672.18399999999997</v>
      </c>
      <c r="I239" s="52"/>
      <c r="J239" s="53"/>
      <c r="K239" s="53"/>
      <c r="L239" s="54"/>
      <c r="M239" s="32"/>
      <c r="N239" s="201"/>
      <c r="O239" s="32"/>
      <c r="P239" s="32"/>
      <c r="Q239" s="32"/>
      <c r="R239" s="32"/>
      <c r="S239" s="32"/>
      <c r="T239" s="48"/>
      <c r="U239" s="48"/>
      <c r="V239" s="48"/>
      <c r="W239" s="48"/>
      <c r="X239" s="48"/>
      <c r="Y239" s="48"/>
      <c r="Z239" s="48"/>
      <c r="AA239" s="48"/>
      <c r="AB239" s="48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</row>
    <row r="240" spans="2:54">
      <c r="B240" s="1243" t="s">
        <v>560</v>
      </c>
      <c r="C240" s="1244"/>
      <c r="D240" s="1244"/>
      <c r="E240" s="1244"/>
      <c r="F240" s="1244"/>
      <c r="G240" s="1245"/>
      <c r="H240" s="421">
        <f>H239-1508.112</f>
        <v>-835.92800000000011</v>
      </c>
      <c r="I240" s="52"/>
      <c r="J240" s="53"/>
      <c r="K240" s="53"/>
      <c r="L240" s="54"/>
      <c r="M240" s="32"/>
      <c r="N240" s="32"/>
      <c r="O240" s="32"/>
      <c r="P240" s="32"/>
      <c r="Q240" s="32"/>
      <c r="R240" s="32"/>
      <c r="S240" s="48"/>
      <c r="T240" s="48"/>
      <c r="U240" s="48"/>
      <c r="V240" s="48"/>
      <c r="W240" s="48"/>
      <c r="X240" s="48"/>
      <c r="Y240" s="48"/>
      <c r="Z240" s="48"/>
      <c r="AA240" s="48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</row>
    <row r="241" spans="2:54">
      <c r="B241" s="201"/>
      <c r="C241" s="201"/>
      <c r="D241" s="201"/>
      <c r="E241" s="201"/>
      <c r="F241" s="201"/>
      <c r="G241" s="201"/>
      <c r="H241" s="201"/>
      <c r="I241" s="213"/>
      <c r="J241" s="209"/>
      <c r="K241" s="209"/>
      <c r="L241" s="203"/>
      <c r="M241" s="201"/>
      <c r="N241" s="201"/>
      <c r="O241" s="209"/>
      <c r="P241" s="32"/>
      <c r="Q241" s="32"/>
      <c r="R241" s="32"/>
      <c r="S241" s="32"/>
      <c r="T241" s="48"/>
      <c r="U241" s="48"/>
      <c r="V241" s="48"/>
      <c r="W241" s="48"/>
      <c r="X241" s="48"/>
      <c r="Y241" s="48"/>
      <c r="Z241" s="48"/>
      <c r="AA241" s="48"/>
      <c r="AB241" s="48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</row>
    <row r="242" spans="2:54">
      <c r="B242" s="40" t="s">
        <v>561</v>
      </c>
      <c r="C242" s="40"/>
      <c r="D242" s="32"/>
      <c r="E242" s="32"/>
      <c r="F242" s="32"/>
      <c r="G242" s="32"/>
      <c r="H242" s="32"/>
      <c r="I242" s="32"/>
      <c r="J242" s="52"/>
      <c r="K242" s="52"/>
      <c r="L242" s="55"/>
      <c r="M242" s="32"/>
      <c r="N242" s="201"/>
      <c r="O242" s="5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  <c r="AA242" s="202"/>
      <c r="AB242" s="201"/>
      <c r="AC242" s="201"/>
      <c r="AD242" s="201"/>
      <c r="AE242" s="201"/>
      <c r="AF242" s="201"/>
      <c r="AG242" s="201"/>
      <c r="AH242" s="201"/>
      <c r="AI242" s="201"/>
      <c r="AJ242" s="201"/>
      <c r="AK242" s="201"/>
      <c r="AL242" s="201"/>
      <c r="AM242" s="201"/>
      <c r="AN242" s="201"/>
      <c r="AO242" s="201"/>
      <c r="AP242" s="201"/>
      <c r="AQ242" s="201"/>
      <c r="AR242" s="201"/>
      <c r="AS242" s="201"/>
      <c r="AT242" s="201"/>
      <c r="AU242" s="201"/>
      <c r="BB242" s="201"/>
    </row>
    <row r="243" spans="2:54">
      <c r="B243" s="422">
        <v>1</v>
      </c>
      <c r="C243" s="1249" t="s">
        <v>2007</v>
      </c>
      <c r="D243" s="1249"/>
      <c r="E243" s="1249"/>
      <c r="F243" s="1249"/>
      <c r="G243" s="1249"/>
      <c r="H243" s="1249"/>
      <c r="I243" s="1249"/>
      <c r="J243" s="1249"/>
      <c r="K243" s="1249"/>
      <c r="L243" s="203"/>
      <c r="M243" s="203"/>
      <c r="N243" s="201"/>
      <c r="O243" s="209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  <c r="AA243" s="202"/>
      <c r="AB243" s="201"/>
      <c r="AC243" s="201"/>
      <c r="AD243" s="201"/>
      <c r="AE243" s="201"/>
      <c r="AF243" s="201"/>
      <c r="AG243" s="201"/>
      <c r="AH243" s="201"/>
      <c r="AI243" s="201"/>
      <c r="AJ243" s="201"/>
      <c r="AK243" s="201"/>
      <c r="AL243" s="201"/>
      <c r="AM243" s="201"/>
      <c r="AN243" s="201"/>
      <c r="AO243" s="201"/>
      <c r="AP243" s="201"/>
      <c r="AQ243" s="201"/>
      <c r="AR243" s="201"/>
      <c r="AS243" s="201"/>
      <c r="AT243" s="201"/>
      <c r="AU243" s="201"/>
      <c r="AV243" s="201"/>
      <c r="AW243" s="201"/>
      <c r="AX243" s="201"/>
      <c r="AY243" s="201"/>
      <c r="AZ243" s="201"/>
      <c r="BA243" s="201"/>
      <c r="BB243" s="201"/>
    </row>
    <row r="245" spans="2:54">
      <c r="B245" s="28" t="s">
        <v>126</v>
      </c>
      <c r="C245" s="28"/>
      <c r="D245" s="29"/>
      <c r="E245" s="30" t="s">
        <v>511</v>
      </c>
      <c r="F245" s="31" t="s">
        <v>1785</v>
      </c>
      <c r="G245" s="32"/>
      <c r="H245" s="33"/>
      <c r="I245" s="34"/>
      <c r="J245" s="35" t="s">
        <v>513</v>
      </c>
      <c r="K245" s="36" t="s">
        <v>511</v>
      </c>
      <c r="L245" s="37">
        <v>45092.083333333336</v>
      </c>
      <c r="M245" s="32"/>
      <c r="N245" s="32"/>
      <c r="O245" s="206"/>
      <c r="P245" s="205"/>
      <c r="Q245" s="202"/>
      <c r="R245" s="204"/>
      <c r="S245" s="38"/>
      <c r="T245" s="201"/>
      <c r="U245" s="201"/>
      <c r="V245" s="201"/>
      <c r="W245" s="201"/>
      <c r="X245" s="201"/>
      <c r="Y245" s="201"/>
      <c r="Z245" s="201"/>
      <c r="AA245" s="201"/>
      <c r="AB245" s="202"/>
      <c r="AC245" s="202"/>
      <c r="AD245" s="202"/>
      <c r="AE245" s="202"/>
      <c r="AF245" s="202"/>
      <c r="AG245" s="201"/>
      <c r="AH245" s="201"/>
      <c r="AI245" s="201"/>
      <c r="AJ245" s="201"/>
      <c r="AK245" s="201"/>
      <c r="AL245" s="201"/>
      <c r="AM245" s="201"/>
      <c r="AN245" s="201"/>
      <c r="AO245" s="201"/>
      <c r="AP245" s="201"/>
      <c r="AQ245" s="201"/>
      <c r="AR245" s="201"/>
      <c r="AS245" s="201"/>
      <c r="AT245" s="201"/>
      <c r="AU245" s="201"/>
      <c r="AV245" s="201"/>
      <c r="AW245" s="201"/>
      <c r="AX245" s="201"/>
      <c r="AY245" s="201"/>
      <c r="AZ245" s="201"/>
      <c r="BA245" s="201"/>
      <c r="BB245" s="201"/>
    </row>
    <row r="246" spans="2:54">
      <c r="B246" s="35" t="s">
        <v>514</v>
      </c>
      <c r="C246" s="35"/>
      <c r="D246" s="32"/>
      <c r="E246" s="36" t="s">
        <v>511</v>
      </c>
      <c r="F246" s="311" t="s">
        <v>2016</v>
      </c>
      <c r="G246" s="59" t="s">
        <v>647</v>
      </c>
      <c r="H246" s="33"/>
      <c r="I246" s="34"/>
      <c r="J246" s="35" t="s">
        <v>516</v>
      </c>
      <c r="K246" s="36" t="s">
        <v>511</v>
      </c>
      <c r="L246" s="37">
        <v>45095.631944444445</v>
      </c>
      <c r="M246" s="32"/>
      <c r="N246" s="32"/>
      <c r="O246" s="206"/>
      <c r="P246" s="205"/>
      <c r="Q246" s="202"/>
      <c r="R246" s="204"/>
      <c r="S246" s="38"/>
      <c r="T246" s="201"/>
      <c r="U246" s="201"/>
      <c r="V246" s="201"/>
      <c r="W246" s="201"/>
      <c r="X246" s="201"/>
      <c r="Y246" s="201"/>
      <c r="Z246" s="201"/>
      <c r="AA246" s="201"/>
      <c r="AB246" s="202"/>
      <c r="AC246" s="202"/>
      <c r="AD246" s="202"/>
      <c r="AE246" s="202"/>
      <c r="AF246" s="202"/>
      <c r="AG246" s="201"/>
      <c r="AH246" s="201"/>
      <c r="AI246" s="201"/>
      <c r="AJ246" s="201"/>
      <c r="AK246" s="201"/>
      <c r="AL246" s="201"/>
      <c r="AM246" s="201"/>
      <c r="AN246" s="201"/>
      <c r="AO246" s="201"/>
      <c r="AP246" s="201"/>
      <c r="AQ246" s="201"/>
      <c r="AR246" s="201"/>
      <c r="AS246" s="201"/>
      <c r="AT246" s="201"/>
      <c r="AU246" s="201"/>
      <c r="AV246" s="201"/>
      <c r="AW246" s="201"/>
      <c r="AX246" s="201"/>
      <c r="AY246" s="201"/>
      <c r="AZ246" s="201"/>
      <c r="BA246" s="201"/>
      <c r="BB246" s="201"/>
    </row>
    <row r="247" spans="2:54">
      <c r="B247" s="35" t="s">
        <v>517</v>
      </c>
      <c r="C247" s="35"/>
      <c r="D247" s="32"/>
      <c r="E247" s="36" t="s">
        <v>511</v>
      </c>
      <c r="F247" s="37">
        <v>45084.925000000003</v>
      </c>
      <c r="G247" s="60">
        <v>45090</v>
      </c>
      <c r="H247" s="33"/>
      <c r="I247" s="34"/>
      <c r="J247" s="35" t="s">
        <v>518</v>
      </c>
      <c r="K247" s="36" t="s">
        <v>511</v>
      </c>
      <c r="L247" s="50">
        <v>99777</v>
      </c>
      <c r="M247" s="40" t="s">
        <v>519</v>
      </c>
      <c r="N247" s="40"/>
      <c r="O247" s="206"/>
      <c r="P247" s="205"/>
      <c r="Q247" s="202"/>
      <c r="R247" s="204"/>
      <c r="S247" s="38"/>
      <c r="T247" s="201"/>
      <c r="U247" s="201"/>
      <c r="V247" s="201"/>
      <c r="W247" s="201"/>
      <c r="X247" s="201"/>
      <c r="Y247" s="201"/>
      <c r="Z247" s="201"/>
      <c r="AA247" s="201"/>
      <c r="AB247" s="202"/>
      <c r="AC247" s="202"/>
      <c r="AD247" s="202"/>
      <c r="AE247" s="202"/>
      <c r="AF247" s="202"/>
      <c r="AG247" s="201"/>
      <c r="AH247" s="201"/>
      <c r="AI247" s="201"/>
      <c r="AJ247" s="201"/>
      <c r="AK247" s="201"/>
      <c r="AL247" s="201"/>
      <c r="AM247" s="201"/>
      <c r="AN247" s="201"/>
      <c r="AO247" s="201"/>
      <c r="AP247" s="201"/>
      <c r="AQ247" s="201"/>
      <c r="AR247" s="201"/>
      <c r="AS247" s="201"/>
      <c r="AT247" s="201"/>
      <c r="AU247" s="201"/>
      <c r="AV247" s="201"/>
      <c r="AW247" s="201"/>
      <c r="AX247" s="201"/>
      <c r="AY247" s="201"/>
      <c r="AZ247" s="201"/>
      <c r="BA247" s="201"/>
      <c r="BB247" s="201"/>
    </row>
    <row r="248" spans="2:54">
      <c r="B248" s="35" t="s">
        <v>520</v>
      </c>
      <c r="C248" s="35"/>
      <c r="D248" s="32"/>
      <c r="E248" s="36" t="s">
        <v>511</v>
      </c>
      <c r="F248" s="37" t="s">
        <v>12</v>
      </c>
      <c r="G248" s="32"/>
      <c r="H248" s="33"/>
      <c r="I248" s="34"/>
      <c r="J248" s="35" t="s">
        <v>521</v>
      </c>
      <c r="K248" s="36" t="s">
        <v>511</v>
      </c>
      <c r="L248" s="41" t="s">
        <v>2017</v>
      </c>
      <c r="M248" s="32"/>
      <c r="N248" s="32"/>
      <c r="O248" s="206"/>
      <c r="P248" s="202"/>
      <c r="Q248" s="202"/>
      <c r="R248" s="204"/>
      <c r="S248" s="38"/>
      <c r="T248" s="201"/>
      <c r="U248" s="201"/>
      <c r="V248" s="201"/>
      <c r="W248" s="201"/>
      <c r="X248" s="201"/>
      <c r="Y248" s="201"/>
      <c r="Z248" s="201"/>
      <c r="AA248" s="201"/>
      <c r="AB248" s="202"/>
      <c r="AC248" s="202"/>
      <c r="AD248" s="202"/>
      <c r="AE248" s="202"/>
      <c r="AF248" s="202"/>
      <c r="AG248" s="201"/>
      <c r="AH248" s="201"/>
      <c r="AI248" s="201"/>
      <c r="AJ248" s="201"/>
      <c r="AK248" s="201"/>
      <c r="AL248" s="201"/>
      <c r="AM248" s="201"/>
      <c r="AN248" s="201"/>
      <c r="AO248" s="201"/>
      <c r="AP248" s="201"/>
      <c r="AQ248" s="201"/>
      <c r="AR248" s="201"/>
      <c r="AS248" s="201"/>
      <c r="AT248" s="201"/>
      <c r="AU248" s="201"/>
      <c r="AV248" s="201"/>
      <c r="AW248" s="201"/>
      <c r="AX248" s="201"/>
      <c r="AY248" s="201"/>
      <c r="AZ248" s="201"/>
      <c r="BA248" s="201"/>
      <c r="BB248" s="201"/>
    </row>
    <row r="249" spans="2:54">
      <c r="B249" s="35" t="s">
        <v>523</v>
      </c>
      <c r="C249" s="35"/>
      <c r="D249" s="32"/>
      <c r="E249" s="36" t="s">
        <v>511</v>
      </c>
      <c r="F249" s="37" t="s">
        <v>41</v>
      </c>
      <c r="G249" s="32"/>
      <c r="H249" s="33"/>
      <c r="I249" s="34"/>
      <c r="J249" s="42" t="s">
        <v>524</v>
      </c>
      <c r="K249" s="36" t="s">
        <v>511</v>
      </c>
      <c r="L249" s="43" t="s">
        <v>15</v>
      </c>
      <c r="M249" s="44"/>
      <c r="N249" s="44"/>
      <c r="O249" s="206"/>
      <c r="P249" s="205"/>
      <c r="Q249" s="202"/>
      <c r="R249" s="204"/>
      <c r="S249" s="38"/>
      <c r="T249" s="201"/>
      <c r="U249" s="201"/>
      <c r="V249" s="201"/>
      <c r="W249" s="201"/>
      <c r="X249" s="201"/>
      <c r="Y249" s="201"/>
      <c r="Z249" s="201"/>
      <c r="AA249" s="201"/>
      <c r="AB249" s="202"/>
      <c r="AC249" s="202"/>
      <c r="AD249" s="202"/>
      <c r="AE249" s="202"/>
      <c r="AF249" s="202"/>
      <c r="AG249" s="201"/>
      <c r="AH249" s="201"/>
      <c r="AI249" s="201"/>
      <c r="AJ249" s="201"/>
      <c r="AK249" s="201"/>
      <c r="AL249" s="201"/>
      <c r="AM249" s="201"/>
      <c r="AN249" s="201"/>
      <c r="AO249" s="201"/>
      <c r="AP249" s="201"/>
      <c r="AQ249" s="201"/>
      <c r="AR249" s="201"/>
      <c r="AS249" s="201"/>
      <c r="AT249" s="201"/>
      <c r="AU249" s="201"/>
      <c r="AV249" s="201"/>
      <c r="AW249" s="201"/>
      <c r="AX249" s="201"/>
      <c r="AY249" s="201"/>
      <c r="AZ249" s="201"/>
      <c r="BA249" s="201"/>
      <c r="BB249" s="201"/>
    </row>
    <row r="250" spans="2:54">
      <c r="B250" s="35" t="s">
        <v>2</v>
      </c>
      <c r="C250" s="35"/>
      <c r="D250" s="32"/>
      <c r="E250" s="36" t="s">
        <v>511</v>
      </c>
      <c r="F250" s="37" t="s">
        <v>44</v>
      </c>
      <c r="G250" s="32"/>
      <c r="H250" s="33"/>
      <c r="I250" s="45"/>
      <c r="J250" s="42"/>
      <c r="K250" s="36"/>
      <c r="L250" s="211"/>
      <c r="M250" s="201"/>
      <c r="N250" s="201"/>
      <c r="O250" s="42"/>
      <c r="P250" s="44"/>
      <c r="Q250" s="44"/>
      <c r="R250" s="44"/>
      <c r="S250" s="34"/>
      <c r="T250" s="201"/>
      <c r="U250" s="201"/>
      <c r="V250" s="201"/>
      <c r="W250" s="201"/>
      <c r="X250" s="201"/>
      <c r="Y250" s="201"/>
      <c r="Z250" s="201"/>
      <c r="AA250" s="201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201"/>
      <c r="AP250" s="201"/>
      <c r="AQ250" s="201"/>
      <c r="AR250" s="201"/>
      <c r="AS250" s="201"/>
      <c r="AT250" s="201"/>
      <c r="AU250" s="201"/>
      <c r="AV250" s="201"/>
      <c r="AW250" s="201"/>
      <c r="AX250" s="201"/>
      <c r="AY250" s="201"/>
      <c r="AZ250" s="201"/>
      <c r="BA250" s="201"/>
      <c r="BB250" s="201"/>
    </row>
    <row r="251" spans="2:54">
      <c r="B251" s="201"/>
      <c r="C251" s="201"/>
      <c r="D251" s="201"/>
      <c r="E251" s="201"/>
      <c r="F251" s="201"/>
      <c r="G251" s="201"/>
      <c r="H251" s="201"/>
      <c r="I251" s="45"/>
      <c r="J251" s="42"/>
      <c r="K251" s="42"/>
      <c r="L251" s="43"/>
      <c r="M251" s="44"/>
      <c r="N251" s="44"/>
      <c r="O251" s="42"/>
      <c r="P251" s="44"/>
      <c r="Q251" s="44"/>
      <c r="R251" s="44"/>
      <c r="S251" s="34"/>
      <c r="T251" s="1265" t="s">
        <v>87</v>
      </c>
      <c r="U251" s="1265"/>
      <c r="V251" s="1265"/>
      <c r="W251" s="1265"/>
      <c r="X251" s="1265"/>
      <c r="Y251" s="1265" t="s">
        <v>73</v>
      </c>
      <c r="Z251" s="1265"/>
      <c r="AA251" s="1265"/>
      <c r="AB251" s="1265" t="s">
        <v>74</v>
      </c>
      <c r="AC251" s="1265"/>
      <c r="AD251" s="423" t="s">
        <v>85</v>
      </c>
      <c r="AE251" s="423" t="s">
        <v>77</v>
      </c>
      <c r="AF251" s="1265" t="s">
        <v>525</v>
      </c>
      <c r="AG251" s="1265"/>
      <c r="AH251" s="1265"/>
      <c r="AI251" s="1265"/>
      <c r="AJ251" s="1265"/>
      <c r="AK251" s="1265"/>
      <c r="AL251" s="1265"/>
      <c r="AM251" s="1265"/>
      <c r="AN251" s="1265"/>
      <c r="AO251" s="1265"/>
      <c r="AP251" s="1265"/>
      <c r="AQ251" s="1265"/>
      <c r="AR251" s="1265"/>
      <c r="AS251" s="1265"/>
      <c r="AT251" s="1265"/>
      <c r="AU251" s="1265"/>
      <c r="AV251" s="1265"/>
      <c r="AW251" s="1265"/>
      <c r="AX251" s="1265"/>
      <c r="AY251" s="1265"/>
      <c r="AZ251" s="1265"/>
      <c r="BA251" s="1265"/>
      <c r="BB251" s="201"/>
    </row>
    <row r="252" spans="2:54">
      <c r="B252" s="1266" t="s">
        <v>526</v>
      </c>
      <c r="C252" s="1267"/>
      <c r="D252" s="570" t="s">
        <v>527</v>
      </c>
      <c r="E252" s="570"/>
      <c r="F252" s="570" t="s">
        <v>528</v>
      </c>
      <c r="G252" s="570" t="s">
        <v>529</v>
      </c>
      <c r="H252" s="570" t="s">
        <v>530</v>
      </c>
      <c r="I252" s="570" t="s">
        <v>531</v>
      </c>
      <c r="J252" s="570" t="s">
        <v>532</v>
      </c>
      <c r="K252" s="570"/>
      <c r="L252" s="570" t="s">
        <v>130</v>
      </c>
      <c r="M252" s="570" t="s">
        <v>533</v>
      </c>
      <c r="N252" s="408" t="str">
        <f>"On time - "&amp;COUNTIF(N253:N271,"On time")&amp;" from "&amp;ROWS(N253:N271)-COUNTIF(N253:N271," ")</f>
        <v>On time - 7 from 13</v>
      </c>
      <c r="O252" s="46"/>
      <c r="P252" s="409" t="s">
        <v>534</v>
      </c>
      <c r="Q252" s="409" t="s">
        <v>535</v>
      </c>
      <c r="R252" s="409" t="s">
        <v>536</v>
      </c>
      <c r="S252" s="32"/>
      <c r="T252" s="424" t="s">
        <v>537</v>
      </c>
      <c r="U252" s="424" t="s">
        <v>538</v>
      </c>
      <c r="V252" s="424" t="s">
        <v>539</v>
      </c>
      <c r="W252" s="424" t="s">
        <v>540</v>
      </c>
      <c r="X252" s="424" t="s">
        <v>541</v>
      </c>
      <c r="Y252" s="424" t="s">
        <v>167</v>
      </c>
      <c r="Z252" s="424" t="s">
        <v>168</v>
      </c>
      <c r="AA252" s="424" t="s">
        <v>169</v>
      </c>
      <c r="AB252" s="424" t="s">
        <v>235</v>
      </c>
      <c r="AC252" s="424" t="s">
        <v>240</v>
      </c>
      <c r="AD252" s="423" t="s">
        <v>85</v>
      </c>
      <c r="AE252" s="424" t="s">
        <v>139</v>
      </c>
      <c r="AF252" s="424" t="s">
        <v>72</v>
      </c>
      <c r="AG252" s="424" t="s">
        <v>88</v>
      </c>
      <c r="AH252" s="424" t="s">
        <v>75</v>
      </c>
      <c r="AI252" s="424" t="s">
        <v>543</v>
      </c>
      <c r="AJ252" s="424" t="s">
        <v>78</v>
      </c>
      <c r="AK252" s="424" t="s">
        <v>76</v>
      </c>
      <c r="AL252" s="424" t="s">
        <v>544</v>
      </c>
      <c r="AM252" s="424" t="s">
        <v>545</v>
      </c>
      <c r="AN252" s="424" t="s">
        <v>86</v>
      </c>
      <c r="AO252" s="424" t="s">
        <v>83</v>
      </c>
      <c r="AP252" s="424" t="s">
        <v>84</v>
      </c>
      <c r="AQ252" s="424" t="s">
        <v>546</v>
      </c>
      <c r="AR252" s="424" t="s">
        <v>81</v>
      </c>
      <c r="AS252" s="424" t="s">
        <v>80</v>
      </c>
      <c r="AT252" s="424" t="s">
        <v>82</v>
      </c>
      <c r="AU252" s="424" t="s">
        <v>181</v>
      </c>
      <c r="AV252" s="424" t="s">
        <v>183</v>
      </c>
      <c r="AW252" s="424" t="s">
        <v>547</v>
      </c>
      <c r="AX252" s="424" t="s">
        <v>182</v>
      </c>
      <c r="AY252" s="424" t="s">
        <v>172</v>
      </c>
      <c r="AZ252" s="424" t="s">
        <v>173</v>
      </c>
      <c r="BA252" s="424" t="s">
        <v>184</v>
      </c>
      <c r="BB252" s="201"/>
    </row>
    <row r="253" spans="2:54">
      <c r="B253" s="1250" t="s">
        <v>911</v>
      </c>
      <c r="C253" s="1251"/>
      <c r="D253" s="411" t="s">
        <v>1913</v>
      </c>
      <c r="E253" s="425"/>
      <c r="F253" s="411" t="s">
        <v>473</v>
      </c>
      <c r="G253" s="411" t="s">
        <v>474</v>
      </c>
      <c r="H253" s="412">
        <f>7598.583/4</f>
        <v>1899.6457499999999</v>
      </c>
      <c r="I253" s="413" t="s">
        <v>182</v>
      </c>
      <c r="J253" s="414">
        <v>45092.055555555555</v>
      </c>
      <c r="K253" s="414"/>
      <c r="L253" s="414" t="s">
        <v>192</v>
      </c>
      <c r="M253" s="414" t="s">
        <v>192</v>
      </c>
      <c r="N253" s="413" t="str">
        <f t="shared" ref="N253:N273" si="27">IF(ISBLANK(J253)," ",IF(J253&lt;$G$247,"On time",(IF(DAY(J253-$G$247)&lt;1,"On time",(IF(J253&gt;$G$247,"DELAY ( "&amp;DAY(J253-$G$247)&amp;" day "&amp;HOUR(J253-$G$247)&amp;" hour "&amp;MINUTE(J253-$G$247)&amp;" minute )","xxx"))))))</f>
        <v>DELAY ( 2 day 1 hour 20 minute )</v>
      </c>
      <c r="O253" s="51"/>
      <c r="P253" s="415" t="s">
        <v>551</v>
      </c>
      <c r="Q253" s="415" t="s">
        <v>551</v>
      </c>
      <c r="R253" s="415" t="s">
        <v>551</v>
      </c>
      <c r="S253" s="32"/>
      <c r="T253" s="416"/>
      <c r="U253" s="416"/>
      <c r="V253" s="416"/>
      <c r="W253" s="416"/>
      <c r="X253" s="416"/>
      <c r="Y253" s="416"/>
      <c r="Z253" s="416"/>
      <c r="AA253" s="416"/>
      <c r="AB253" s="416"/>
      <c r="AC253" s="416"/>
      <c r="AD253" s="416"/>
      <c r="AE253" s="416"/>
      <c r="AF253" s="416"/>
      <c r="AG253" s="416"/>
      <c r="AH253" s="416"/>
      <c r="AI253" s="416"/>
      <c r="AJ253" s="32"/>
      <c r="AK253" s="416"/>
      <c r="AL253" s="416"/>
      <c r="AM253" s="416"/>
      <c r="AN253" s="416"/>
      <c r="AO253" s="416"/>
      <c r="AP253" s="416"/>
      <c r="AQ253" s="416"/>
      <c r="AR253" s="416"/>
      <c r="AS253" s="416"/>
      <c r="AT253" s="416"/>
      <c r="AU253" s="416"/>
      <c r="AV253" s="416"/>
      <c r="AW253" s="416"/>
      <c r="AX253" s="416">
        <f>H253</f>
        <v>1899.6457499999999</v>
      </c>
      <c r="AY253" s="416"/>
      <c r="AZ253" s="416"/>
      <c r="BA253" s="416"/>
      <c r="BB253" s="32"/>
    </row>
    <row r="254" spans="2:54">
      <c r="B254" s="1254"/>
      <c r="C254" s="1255"/>
      <c r="D254" s="411" t="s">
        <v>1786</v>
      </c>
      <c r="E254" s="411"/>
      <c r="F254" s="411" t="s">
        <v>355</v>
      </c>
      <c r="G254" s="411" t="s">
        <v>356</v>
      </c>
      <c r="H254" s="412">
        <v>7510.8339999999998</v>
      </c>
      <c r="I254" s="413" t="s">
        <v>240</v>
      </c>
      <c r="J254" s="414">
        <v>45089.0625</v>
      </c>
      <c r="K254" s="414"/>
      <c r="L254" s="414" t="s">
        <v>192</v>
      </c>
      <c r="M254" s="414" t="s">
        <v>192</v>
      </c>
      <c r="N254" s="413" t="str">
        <f t="shared" si="27"/>
        <v>On time</v>
      </c>
      <c r="O254" s="51"/>
      <c r="P254" s="415" t="s">
        <v>551</v>
      </c>
      <c r="Q254" s="415" t="s">
        <v>551</v>
      </c>
      <c r="R254" s="415" t="s">
        <v>551</v>
      </c>
      <c r="S254" s="32"/>
      <c r="T254" s="416"/>
      <c r="U254" s="416"/>
      <c r="V254" s="416"/>
      <c r="W254" s="416"/>
      <c r="X254" s="416"/>
      <c r="Y254" s="416"/>
      <c r="Z254" s="416"/>
      <c r="AA254" s="416"/>
      <c r="AB254" s="416"/>
      <c r="AC254" s="416">
        <f>H254</f>
        <v>7510.8339999999998</v>
      </c>
      <c r="AD254" s="416"/>
      <c r="AE254" s="416"/>
      <c r="AF254" s="416"/>
      <c r="AG254" s="416"/>
      <c r="AH254" s="416"/>
      <c r="AI254" s="416"/>
      <c r="AJ254" s="416"/>
      <c r="AK254" s="416"/>
      <c r="AL254" s="416"/>
      <c r="AM254" s="416"/>
      <c r="AN254" s="416"/>
      <c r="AO254" s="416"/>
      <c r="AP254" s="416"/>
      <c r="AQ254" s="416"/>
      <c r="AR254" s="416"/>
      <c r="AS254" s="416"/>
      <c r="AT254" s="416"/>
      <c r="AU254" s="416"/>
      <c r="AV254" s="416"/>
      <c r="AW254" s="416"/>
      <c r="AX254" s="416"/>
      <c r="AY254" s="416"/>
      <c r="AZ254" s="416"/>
      <c r="BA254" s="416"/>
      <c r="BB254" s="32"/>
    </row>
    <row r="255" spans="2:54">
      <c r="B255" s="1250" t="s">
        <v>911</v>
      </c>
      <c r="C255" s="1251"/>
      <c r="D255" s="411" t="s">
        <v>1913</v>
      </c>
      <c r="E255" s="425"/>
      <c r="F255" s="411" t="s">
        <v>473</v>
      </c>
      <c r="G255" s="411" t="s">
        <v>474</v>
      </c>
      <c r="H255" s="412">
        <f>H253</f>
        <v>1899.6457499999999</v>
      </c>
      <c r="I255" s="413" t="s">
        <v>182</v>
      </c>
      <c r="J255" s="414"/>
      <c r="K255" s="414"/>
      <c r="L255" s="414" t="s">
        <v>192</v>
      </c>
      <c r="M255" s="414" t="s">
        <v>192</v>
      </c>
      <c r="N255" s="413" t="str">
        <f t="shared" si="27"/>
        <v xml:space="preserve"> </v>
      </c>
      <c r="O255" s="51"/>
      <c r="P255" s="415" t="s">
        <v>551</v>
      </c>
      <c r="Q255" s="415" t="s">
        <v>551</v>
      </c>
      <c r="R255" s="415" t="s">
        <v>551</v>
      </c>
      <c r="S255" s="32"/>
      <c r="T255" s="416"/>
      <c r="U255" s="416"/>
      <c r="V255" s="416"/>
      <c r="W255" s="416"/>
      <c r="X255" s="416"/>
      <c r="Y255" s="416"/>
      <c r="Z255" s="416"/>
      <c r="AA255" s="416"/>
      <c r="AB255" s="416"/>
      <c r="AC255" s="416"/>
      <c r="AD255" s="416"/>
      <c r="AE255" s="416"/>
      <c r="AF255" s="416"/>
      <c r="AG255" s="416"/>
      <c r="AH255" s="416"/>
      <c r="AI255" s="416"/>
      <c r="AJ255" s="32"/>
      <c r="AK255" s="416"/>
      <c r="AL255" s="416"/>
      <c r="AM255" s="416"/>
      <c r="AN255" s="416"/>
      <c r="AO255" s="416"/>
      <c r="AP255" s="416"/>
      <c r="AQ255" s="416"/>
      <c r="AR255" s="416"/>
      <c r="AS255" s="416"/>
      <c r="AT255" s="416"/>
      <c r="AU255" s="416"/>
      <c r="AV255" s="416"/>
      <c r="AW255" s="416"/>
      <c r="AX255" s="416">
        <f>H255</f>
        <v>1899.6457499999999</v>
      </c>
      <c r="AY255" s="416"/>
      <c r="AZ255" s="416"/>
      <c r="BA255" s="416"/>
      <c r="BB255" s="32"/>
    </row>
    <row r="256" spans="2:54">
      <c r="B256" s="1254"/>
      <c r="C256" s="1255"/>
      <c r="D256" s="411" t="s">
        <v>1787</v>
      </c>
      <c r="E256" s="411"/>
      <c r="F256" s="411" t="s">
        <v>492</v>
      </c>
      <c r="G256" s="411" t="s">
        <v>493</v>
      </c>
      <c r="H256" s="412">
        <v>7654.442</v>
      </c>
      <c r="I256" s="413" t="s">
        <v>240</v>
      </c>
      <c r="J256" s="414">
        <v>45089.416666666664</v>
      </c>
      <c r="K256" s="414"/>
      <c r="L256" s="414" t="s">
        <v>192</v>
      </c>
      <c r="M256" s="414" t="s">
        <v>192</v>
      </c>
      <c r="N256" s="413" t="str">
        <f t="shared" si="27"/>
        <v>On time</v>
      </c>
      <c r="O256" s="51"/>
      <c r="P256" s="415" t="s">
        <v>551</v>
      </c>
      <c r="Q256" s="415" t="s">
        <v>551</v>
      </c>
      <c r="R256" s="415" t="s">
        <v>551</v>
      </c>
      <c r="S256" s="32"/>
      <c r="T256" s="416"/>
      <c r="U256" s="416"/>
      <c r="V256" s="416"/>
      <c r="W256" s="416"/>
      <c r="X256" s="416"/>
      <c r="Y256" s="416"/>
      <c r="Z256" s="416"/>
      <c r="AA256" s="416"/>
      <c r="AB256" s="416"/>
      <c r="AC256" s="416">
        <f>H256</f>
        <v>7654.442</v>
      </c>
      <c r="AD256" s="416"/>
      <c r="AE256" s="416"/>
      <c r="AF256" s="416"/>
      <c r="AG256" s="416"/>
      <c r="AH256" s="416"/>
      <c r="AI256" s="416"/>
      <c r="AJ256" s="416"/>
      <c r="AK256" s="416"/>
      <c r="AL256" s="416"/>
      <c r="AM256" s="416"/>
      <c r="AN256" s="416"/>
      <c r="AO256" s="416"/>
      <c r="AP256" s="416"/>
      <c r="AQ256" s="416"/>
      <c r="AR256" s="416"/>
      <c r="AS256" s="416"/>
      <c r="AT256" s="416"/>
      <c r="AU256" s="416"/>
      <c r="AV256" s="416"/>
      <c r="AW256" s="416"/>
      <c r="AX256" s="416"/>
      <c r="AY256" s="416"/>
      <c r="AZ256" s="416"/>
      <c r="BA256" s="416"/>
      <c r="BB256" s="32"/>
    </row>
    <row r="257" spans="2:54">
      <c r="B257" s="1250" t="s">
        <v>911</v>
      </c>
      <c r="C257" s="1251"/>
      <c r="D257" s="411" t="s">
        <v>1913</v>
      </c>
      <c r="E257" s="425"/>
      <c r="F257" s="411" t="s">
        <v>473</v>
      </c>
      <c r="G257" s="411" t="s">
        <v>474</v>
      </c>
      <c r="H257" s="412">
        <f>H255</f>
        <v>1899.6457499999999</v>
      </c>
      <c r="I257" s="413" t="s">
        <v>182</v>
      </c>
      <c r="J257" s="414"/>
      <c r="K257" s="414"/>
      <c r="L257" s="414" t="s">
        <v>192</v>
      </c>
      <c r="M257" s="414" t="s">
        <v>192</v>
      </c>
      <c r="N257" s="413" t="str">
        <f t="shared" si="27"/>
        <v xml:space="preserve"> </v>
      </c>
      <c r="O257" s="51"/>
      <c r="P257" s="415" t="s">
        <v>551</v>
      </c>
      <c r="Q257" s="415" t="s">
        <v>551</v>
      </c>
      <c r="R257" s="415" t="s">
        <v>551</v>
      </c>
      <c r="S257" s="32"/>
      <c r="T257" s="416"/>
      <c r="U257" s="416"/>
      <c r="V257" s="416"/>
      <c r="W257" s="416"/>
      <c r="X257" s="416"/>
      <c r="Y257" s="416"/>
      <c r="Z257" s="416"/>
      <c r="AA257" s="416"/>
      <c r="AB257" s="416"/>
      <c r="AC257" s="416"/>
      <c r="AD257" s="416"/>
      <c r="AE257" s="416"/>
      <c r="AF257" s="416"/>
      <c r="AG257" s="416"/>
      <c r="AH257" s="416"/>
      <c r="AI257" s="416"/>
      <c r="AJ257" s="32"/>
      <c r="AK257" s="416"/>
      <c r="AL257" s="416"/>
      <c r="AM257" s="416"/>
      <c r="AN257" s="416"/>
      <c r="AO257" s="416"/>
      <c r="AP257" s="416"/>
      <c r="AQ257" s="416"/>
      <c r="AR257" s="416"/>
      <c r="AS257" s="416"/>
      <c r="AT257" s="416"/>
      <c r="AU257" s="416"/>
      <c r="AV257" s="416"/>
      <c r="AW257" s="416"/>
      <c r="AX257" s="416">
        <f>H257</f>
        <v>1899.6457499999999</v>
      </c>
      <c r="AY257" s="416"/>
      <c r="AZ257" s="416"/>
      <c r="BA257" s="416"/>
      <c r="BB257" s="32"/>
    </row>
    <row r="258" spans="2:54">
      <c r="B258" s="1254"/>
      <c r="C258" s="1255"/>
      <c r="D258" s="411" t="s">
        <v>1788</v>
      </c>
      <c r="E258" s="411"/>
      <c r="F258" s="411" t="s">
        <v>686</v>
      </c>
      <c r="G258" s="411" t="s">
        <v>1186</v>
      </c>
      <c r="H258" s="412">
        <v>7401.0159999999996</v>
      </c>
      <c r="I258" s="413" t="s">
        <v>240</v>
      </c>
      <c r="J258" s="414">
        <v>45089.833333333336</v>
      </c>
      <c r="K258" s="414"/>
      <c r="L258" s="414" t="s">
        <v>192</v>
      </c>
      <c r="M258" s="414" t="s">
        <v>192</v>
      </c>
      <c r="N258" s="413" t="str">
        <f t="shared" si="27"/>
        <v>On time</v>
      </c>
      <c r="O258" s="51"/>
      <c r="P258" s="415" t="s">
        <v>551</v>
      </c>
      <c r="Q258" s="415" t="s">
        <v>551</v>
      </c>
      <c r="R258" s="415" t="s">
        <v>551</v>
      </c>
      <c r="S258" s="32"/>
      <c r="T258" s="416"/>
      <c r="U258" s="416"/>
      <c r="V258" s="416"/>
      <c r="W258" s="416"/>
      <c r="X258" s="416"/>
      <c r="Y258" s="416"/>
      <c r="Z258" s="416"/>
      <c r="AA258" s="416"/>
      <c r="AB258" s="416"/>
      <c r="AC258" s="416">
        <f>H258</f>
        <v>7401.0159999999996</v>
      </c>
      <c r="AD258" s="416"/>
      <c r="AE258" s="416"/>
      <c r="AF258" s="416"/>
      <c r="AG258" s="416"/>
      <c r="AH258" s="416"/>
      <c r="AI258" s="416"/>
      <c r="AJ258" s="416"/>
      <c r="AK258" s="416"/>
      <c r="AL258" s="416"/>
      <c r="AM258" s="416"/>
      <c r="AN258" s="416"/>
      <c r="AO258" s="416"/>
      <c r="AP258" s="416"/>
      <c r="AQ258" s="416"/>
      <c r="AR258" s="416"/>
      <c r="AS258" s="416"/>
      <c r="AT258" s="416"/>
      <c r="AU258" s="416"/>
      <c r="AV258" s="416"/>
      <c r="AW258" s="416"/>
      <c r="AX258" s="416"/>
      <c r="AY258" s="416"/>
      <c r="AZ258" s="416"/>
      <c r="BA258" s="416"/>
      <c r="BB258" s="32"/>
    </row>
    <row r="259" spans="2:54">
      <c r="B259" s="1250" t="s">
        <v>911</v>
      </c>
      <c r="C259" s="1251"/>
      <c r="D259" s="411" t="s">
        <v>1913</v>
      </c>
      <c r="E259" s="425"/>
      <c r="F259" s="411" t="s">
        <v>473</v>
      </c>
      <c r="G259" s="411" t="s">
        <v>474</v>
      </c>
      <c r="H259" s="412">
        <f>H257</f>
        <v>1899.6457499999999</v>
      </c>
      <c r="I259" s="413" t="s">
        <v>182</v>
      </c>
      <c r="J259" s="414"/>
      <c r="K259" s="414"/>
      <c r="L259" s="414" t="s">
        <v>192</v>
      </c>
      <c r="M259" s="414" t="s">
        <v>192</v>
      </c>
      <c r="N259" s="413" t="str">
        <f t="shared" si="27"/>
        <v xml:space="preserve"> </v>
      </c>
      <c r="O259" s="51"/>
      <c r="P259" s="415" t="s">
        <v>551</v>
      </c>
      <c r="Q259" s="415" t="s">
        <v>551</v>
      </c>
      <c r="R259" s="415" t="s">
        <v>551</v>
      </c>
      <c r="S259" s="32"/>
      <c r="T259" s="416"/>
      <c r="U259" s="416"/>
      <c r="V259" s="416"/>
      <c r="W259" s="416"/>
      <c r="X259" s="416"/>
      <c r="Y259" s="416"/>
      <c r="Z259" s="416"/>
      <c r="AA259" s="416"/>
      <c r="AB259" s="416"/>
      <c r="AC259" s="416"/>
      <c r="AD259" s="416"/>
      <c r="AE259" s="416"/>
      <c r="AF259" s="416"/>
      <c r="AG259" s="416"/>
      <c r="AH259" s="416"/>
      <c r="AI259" s="416"/>
      <c r="AJ259" s="32"/>
      <c r="AK259" s="416"/>
      <c r="AL259" s="416"/>
      <c r="AM259" s="416"/>
      <c r="AN259" s="416"/>
      <c r="AO259" s="416"/>
      <c r="AP259" s="416"/>
      <c r="AQ259" s="416"/>
      <c r="AR259" s="416"/>
      <c r="AS259" s="416"/>
      <c r="AT259" s="416"/>
      <c r="AU259" s="416"/>
      <c r="AV259" s="416"/>
      <c r="AW259" s="416"/>
      <c r="AX259" s="416">
        <f>H259</f>
        <v>1899.6457499999999</v>
      </c>
      <c r="AY259" s="416"/>
      <c r="AZ259" s="416"/>
      <c r="BA259" s="416"/>
      <c r="BB259" s="32"/>
    </row>
    <row r="260" spans="2:54">
      <c r="B260" s="1254"/>
      <c r="C260" s="1255"/>
      <c r="D260" s="411" t="s">
        <v>1792</v>
      </c>
      <c r="E260" s="411"/>
      <c r="F260" s="411" t="s">
        <v>1483</v>
      </c>
      <c r="G260" s="411" t="s">
        <v>378</v>
      </c>
      <c r="H260" s="412">
        <v>7704.4369999999999</v>
      </c>
      <c r="I260" s="413" t="s">
        <v>240</v>
      </c>
      <c r="J260" s="414">
        <v>45090.875</v>
      </c>
      <c r="K260" s="414"/>
      <c r="L260" s="414" t="s">
        <v>192</v>
      </c>
      <c r="M260" s="414" t="s">
        <v>192</v>
      </c>
      <c r="N260" s="413" t="str">
        <f t="shared" si="27"/>
        <v>On time</v>
      </c>
      <c r="O260" s="51"/>
      <c r="P260" s="415" t="s">
        <v>551</v>
      </c>
      <c r="Q260" s="415" t="s">
        <v>551</v>
      </c>
      <c r="R260" s="415" t="s">
        <v>551</v>
      </c>
      <c r="S260" s="32"/>
      <c r="T260" s="416"/>
      <c r="U260" s="416"/>
      <c r="V260" s="416"/>
      <c r="W260" s="416"/>
      <c r="X260" s="416"/>
      <c r="Y260" s="416"/>
      <c r="Z260" s="416"/>
      <c r="AA260" s="416"/>
      <c r="AB260" s="416"/>
      <c r="AC260" s="416">
        <f>H260</f>
        <v>7704.4369999999999</v>
      </c>
      <c r="AD260" s="416"/>
      <c r="AE260" s="416"/>
      <c r="AF260" s="416"/>
      <c r="AG260" s="416"/>
      <c r="AH260" s="416"/>
      <c r="AI260" s="416"/>
      <c r="AJ260" s="416"/>
      <c r="AK260" s="416"/>
      <c r="AL260" s="416"/>
      <c r="AM260" s="416"/>
      <c r="AN260" s="416"/>
      <c r="AO260" s="416"/>
      <c r="AP260" s="416"/>
      <c r="AQ260" s="416"/>
      <c r="AR260" s="416"/>
      <c r="AS260" s="416"/>
      <c r="AT260" s="416"/>
      <c r="AU260" s="416"/>
      <c r="AV260" s="416"/>
      <c r="AW260" s="416"/>
      <c r="AX260" s="416"/>
      <c r="AY260" s="416"/>
      <c r="AZ260" s="416"/>
      <c r="BA260" s="416"/>
      <c r="BB260" s="32"/>
    </row>
    <row r="261" spans="2:54">
      <c r="B261" s="1250" t="s">
        <v>911</v>
      </c>
      <c r="C261" s="1251"/>
      <c r="D261" s="411" t="s">
        <v>1900</v>
      </c>
      <c r="E261" s="425"/>
      <c r="F261" s="411" t="s">
        <v>1848</v>
      </c>
      <c r="G261" s="411" t="s">
        <v>350</v>
      </c>
      <c r="H261" s="412">
        <f>7501/4</f>
        <v>1875.25</v>
      </c>
      <c r="I261" s="413" t="s">
        <v>84</v>
      </c>
      <c r="J261" s="414">
        <v>45092.1875</v>
      </c>
      <c r="K261" s="414"/>
      <c r="L261" s="414" t="s">
        <v>192</v>
      </c>
      <c r="M261" s="414" t="s">
        <v>192</v>
      </c>
      <c r="N261" s="413" t="str">
        <f t="shared" si="27"/>
        <v>DELAY ( 2 day 4 hour 30 minute )</v>
      </c>
      <c r="O261" s="51"/>
      <c r="P261" s="415" t="s">
        <v>551</v>
      </c>
      <c r="Q261" s="415" t="s">
        <v>551</v>
      </c>
      <c r="R261" s="415" t="s">
        <v>551</v>
      </c>
      <c r="S261" s="32"/>
      <c r="T261" s="416"/>
      <c r="U261" s="416"/>
      <c r="V261" s="416"/>
      <c r="W261" s="416"/>
      <c r="X261" s="416"/>
      <c r="Y261" s="416"/>
      <c r="Z261" s="416"/>
      <c r="AA261" s="416"/>
      <c r="AB261" s="416"/>
      <c r="AC261" s="416"/>
      <c r="AD261" s="416"/>
      <c r="AE261" s="416"/>
      <c r="AF261" s="416"/>
      <c r="AG261" s="416"/>
      <c r="AH261" s="416"/>
      <c r="AI261" s="416"/>
      <c r="AJ261" s="416"/>
      <c r="AK261" s="416"/>
      <c r="AL261" s="416"/>
      <c r="AM261" s="416"/>
      <c r="AN261" s="416"/>
      <c r="AO261" s="416"/>
      <c r="AP261" s="416">
        <f>H261</f>
        <v>1875.25</v>
      </c>
      <c r="AQ261" s="416"/>
      <c r="AR261" s="416"/>
      <c r="AS261" s="416"/>
      <c r="AT261" s="32"/>
      <c r="AU261" s="416"/>
      <c r="AV261" s="416"/>
      <c r="AW261" s="416"/>
      <c r="AX261" s="32"/>
      <c r="AY261" s="416"/>
      <c r="AZ261" s="416"/>
      <c r="BA261" s="416"/>
      <c r="BB261" s="32"/>
    </row>
    <row r="262" spans="2:54">
      <c r="B262" s="1254"/>
      <c r="C262" s="1255"/>
      <c r="D262" s="411" t="s">
        <v>1881</v>
      </c>
      <c r="E262" s="411"/>
      <c r="F262" s="411" t="s">
        <v>343</v>
      </c>
      <c r="G262" s="411" t="s">
        <v>344</v>
      </c>
      <c r="H262" s="412">
        <v>7516.3379999999997</v>
      </c>
      <c r="I262" s="413" t="s">
        <v>1164</v>
      </c>
      <c r="J262" s="414">
        <v>45090.395833333336</v>
      </c>
      <c r="K262" s="414"/>
      <c r="L262" s="414" t="s">
        <v>192</v>
      </c>
      <c r="M262" s="414" t="s">
        <v>192</v>
      </c>
      <c r="N262" s="413" t="str">
        <f t="shared" si="27"/>
        <v>On time</v>
      </c>
      <c r="O262" s="51"/>
      <c r="P262" s="415" t="s">
        <v>551</v>
      </c>
      <c r="Q262" s="415" t="s">
        <v>551</v>
      </c>
      <c r="R262" s="415" t="s">
        <v>551</v>
      </c>
      <c r="S262" s="32"/>
      <c r="T262" s="416"/>
      <c r="U262" s="416"/>
      <c r="V262" s="416"/>
      <c r="W262" s="416"/>
      <c r="X262" s="416">
        <f>H262</f>
        <v>7516.3379999999997</v>
      </c>
      <c r="Y262" s="416"/>
      <c r="Z262" s="416"/>
      <c r="AA262" s="416"/>
      <c r="AB262" s="32"/>
      <c r="AC262" s="416"/>
      <c r="AD262" s="416"/>
      <c r="AE262" s="416"/>
      <c r="AF262" s="416"/>
      <c r="AG262" s="416"/>
      <c r="AH262" s="416"/>
      <c r="AI262" s="416"/>
      <c r="AJ262" s="416"/>
      <c r="AK262" s="416"/>
      <c r="AL262" s="416"/>
      <c r="AM262" s="416"/>
      <c r="AN262" s="416"/>
      <c r="AO262" s="416"/>
      <c r="AP262" s="416"/>
      <c r="AQ262" s="416"/>
      <c r="AR262" s="416"/>
      <c r="AS262" s="416"/>
      <c r="AT262" s="416"/>
      <c r="AU262" s="416"/>
      <c r="AV262" s="416"/>
      <c r="AW262" s="416"/>
      <c r="AX262" s="416"/>
      <c r="AY262" s="416"/>
      <c r="AZ262" s="416"/>
      <c r="BA262" s="416"/>
      <c r="BB262" s="32"/>
    </row>
    <row r="263" spans="2:54">
      <c r="B263" s="1250" t="s">
        <v>911</v>
      </c>
      <c r="C263" s="1251"/>
      <c r="D263" s="411" t="s">
        <v>1900</v>
      </c>
      <c r="E263" s="425"/>
      <c r="F263" s="411" t="s">
        <v>1848</v>
      </c>
      <c r="G263" s="411" t="s">
        <v>350</v>
      </c>
      <c r="H263" s="412">
        <f>H261</f>
        <v>1875.25</v>
      </c>
      <c r="I263" s="413" t="s">
        <v>84</v>
      </c>
      <c r="J263" s="414"/>
      <c r="K263" s="414"/>
      <c r="L263" s="414" t="s">
        <v>192</v>
      </c>
      <c r="M263" s="414" t="s">
        <v>192</v>
      </c>
      <c r="N263" s="413" t="str">
        <f t="shared" si="27"/>
        <v xml:space="preserve"> </v>
      </c>
      <c r="O263" s="51"/>
      <c r="P263" s="415" t="s">
        <v>551</v>
      </c>
      <c r="Q263" s="415" t="s">
        <v>551</v>
      </c>
      <c r="R263" s="415" t="s">
        <v>551</v>
      </c>
      <c r="S263" s="32"/>
      <c r="T263" s="416"/>
      <c r="U263" s="416"/>
      <c r="V263" s="416"/>
      <c r="W263" s="416"/>
      <c r="X263" s="416"/>
      <c r="Y263" s="416"/>
      <c r="Z263" s="416"/>
      <c r="AA263" s="416"/>
      <c r="AB263" s="416"/>
      <c r="AC263" s="416"/>
      <c r="AD263" s="416"/>
      <c r="AE263" s="416"/>
      <c r="AF263" s="416"/>
      <c r="AG263" s="416"/>
      <c r="AH263" s="416"/>
      <c r="AI263" s="416"/>
      <c r="AJ263" s="416"/>
      <c r="AK263" s="416"/>
      <c r="AL263" s="416"/>
      <c r="AM263" s="416"/>
      <c r="AN263" s="416"/>
      <c r="AO263" s="416"/>
      <c r="AP263" s="416">
        <f>H263</f>
        <v>1875.25</v>
      </c>
      <c r="AQ263" s="416"/>
      <c r="AR263" s="416"/>
      <c r="AS263" s="416"/>
      <c r="AT263" s="32"/>
      <c r="AU263" s="416"/>
      <c r="AV263" s="416"/>
      <c r="AW263" s="416"/>
      <c r="AX263" s="32"/>
      <c r="AY263" s="416"/>
      <c r="AZ263" s="416"/>
      <c r="BA263" s="416"/>
      <c r="BB263" s="32"/>
    </row>
    <row r="264" spans="2:54">
      <c r="B264" s="1254"/>
      <c r="C264" s="1255"/>
      <c r="D264" s="411" t="s">
        <v>1882</v>
      </c>
      <c r="E264" s="411"/>
      <c r="F264" s="411" t="s">
        <v>422</v>
      </c>
      <c r="G264" s="411" t="s">
        <v>275</v>
      </c>
      <c r="H264" s="412">
        <v>7511.32</v>
      </c>
      <c r="I264" s="413" t="s">
        <v>1164</v>
      </c>
      <c r="J264" s="414">
        <v>45091.138888888891</v>
      </c>
      <c r="K264" s="414"/>
      <c r="L264" s="414" t="s">
        <v>192</v>
      </c>
      <c r="M264" s="414" t="s">
        <v>192</v>
      </c>
      <c r="N264" s="413" t="str">
        <f t="shared" si="27"/>
        <v>DELAY ( 1 day 3 hour 20 minute )</v>
      </c>
      <c r="O264" s="51"/>
      <c r="P264" s="415" t="s">
        <v>551</v>
      </c>
      <c r="Q264" s="415" t="s">
        <v>551</v>
      </c>
      <c r="R264" s="415" t="s">
        <v>551</v>
      </c>
      <c r="S264" s="32"/>
      <c r="T264" s="416"/>
      <c r="U264" s="416"/>
      <c r="V264" s="416"/>
      <c r="W264" s="416"/>
      <c r="X264" s="416">
        <f>H264</f>
        <v>7511.32</v>
      </c>
      <c r="Y264" s="416"/>
      <c r="Z264" s="416"/>
      <c r="AA264" s="416"/>
      <c r="AB264" s="416"/>
      <c r="AC264" s="416"/>
      <c r="AD264" s="416"/>
      <c r="AE264" s="416"/>
      <c r="AF264" s="416"/>
      <c r="AG264" s="416"/>
      <c r="AH264" s="416"/>
      <c r="AI264" s="416"/>
      <c r="AJ264" s="416"/>
      <c r="AK264" s="416"/>
      <c r="AL264" s="416"/>
      <c r="AM264" s="416"/>
      <c r="AN264" s="416"/>
      <c r="AO264" s="416"/>
      <c r="AP264" s="416"/>
      <c r="AQ264" s="416"/>
      <c r="AR264" s="416"/>
      <c r="AS264" s="416"/>
      <c r="AT264" s="416"/>
      <c r="AU264" s="416"/>
      <c r="AV264" s="416"/>
      <c r="AW264" s="416"/>
      <c r="AX264" s="416"/>
      <c r="AY264" s="416"/>
      <c r="AZ264" s="416"/>
      <c r="BA264" s="416"/>
      <c r="BB264" s="32"/>
    </row>
    <row r="265" spans="2:54">
      <c r="B265" s="1250" t="s">
        <v>911</v>
      </c>
      <c r="C265" s="1251"/>
      <c r="D265" s="411" t="s">
        <v>1900</v>
      </c>
      <c r="E265" s="425"/>
      <c r="F265" s="411" t="s">
        <v>1848</v>
      </c>
      <c r="G265" s="411" t="s">
        <v>350</v>
      </c>
      <c r="H265" s="412">
        <f>H263</f>
        <v>1875.25</v>
      </c>
      <c r="I265" s="413" t="s">
        <v>84</v>
      </c>
      <c r="J265" s="414"/>
      <c r="K265" s="414"/>
      <c r="L265" s="414" t="s">
        <v>192</v>
      </c>
      <c r="M265" s="414" t="s">
        <v>192</v>
      </c>
      <c r="N265" s="413" t="str">
        <f t="shared" si="27"/>
        <v xml:space="preserve"> </v>
      </c>
      <c r="O265" s="51"/>
      <c r="P265" s="415" t="s">
        <v>551</v>
      </c>
      <c r="Q265" s="415" t="s">
        <v>551</v>
      </c>
      <c r="R265" s="415" t="s">
        <v>551</v>
      </c>
      <c r="S265" s="32"/>
      <c r="T265" s="416"/>
      <c r="U265" s="416"/>
      <c r="V265" s="416"/>
      <c r="W265" s="416"/>
      <c r="X265" s="416"/>
      <c r="Y265" s="416"/>
      <c r="Z265" s="416"/>
      <c r="AA265" s="416"/>
      <c r="AB265" s="416"/>
      <c r="AC265" s="416"/>
      <c r="AD265" s="416"/>
      <c r="AE265" s="416"/>
      <c r="AF265" s="416"/>
      <c r="AG265" s="416"/>
      <c r="AH265" s="416"/>
      <c r="AI265" s="416"/>
      <c r="AJ265" s="416"/>
      <c r="AK265" s="416"/>
      <c r="AL265" s="416"/>
      <c r="AM265" s="416"/>
      <c r="AN265" s="416"/>
      <c r="AO265" s="416"/>
      <c r="AP265" s="416">
        <f>H265</f>
        <v>1875.25</v>
      </c>
      <c r="AQ265" s="416"/>
      <c r="AR265" s="416"/>
      <c r="AS265" s="416"/>
      <c r="AT265" s="32"/>
      <c r="AU265" s="416"/>
      <c r="AV265" s="416"/>
      <c r="AW265" s="416"/>
      <c r="AX265" s="32"/>
      <c r="AY265" s="416"/>
      <c r="AZ265" s="416"/>
      <c r="BA265" s="416"/>
      <c r="BB265" s="32"/>
    </row>
    <row r="266" spans="2:54">
      <c r="B266" s="1254"/>
      <c r="C266" s="1255"/>
      <c r="D266" s="411" t="s">
        <v>1795</v>
      </c>
      <c r="E266" s="411"/>
      <c r="F266" s="411" t="s">
        <v>323</v>
      </c>
      <c r="G266" s="411" t="s">
        <v>324</v>
      </c>
      <c r="H266" s="412">
        <v>7524.4279999999999</v>
      </c>
      <c r="I266" s="413" t="s">
        <v>240</v>
      </c>
      <c r="J266" s="414">
        <v>45090.416666666664</v>
      </c>
      <c r="K266" s="414"/>
      <c r="L266" s="414" t="s">
        <v>192</v>
      </c>
      <c r="M266" s="414" t="s">
        <v>192</v>
      </c>
      <c r="N266" s="413" t="str">
        <f t="shared" si="27"/>
        <v>On time</v>
      </c>
      <c r="O266" s="51"/>
      <c r="P266" s="415" t="s">
        <v>551</v>
      </c>
      <c r="Q266" s="415" t="s">
        <v>551</v>
      </c>
      <c r="R266" s="415" t="s">
        <v>551</v>
      </c>
      <c r="S266" s="32"/>
      <c r="T266" s="416"/>
      <c r="U266" s="416"/>
      <c r="V266" s="416"/>
      <c r="W266" s="416"/>
      <c r="X266" s="416"/>
      <c r="Y266" s="416"/>
      <c r="Z266" s="416"/>
      <c r="AA266" s="416"/>
      <c r="AB266" s="416"/>
      <c r="AC266" s="416">
        <f t="shared" ref="AC266" si="28">H266</f>
        <v>7524.4279999999999</v>
      </c>
      <c r="AD266" s="416"/>
      <c r="AE266" s="416"/>
      <c r="AF266" s="416"/>
      <c r="AG266" s="416"/>
      <c r="AH266" s="416"/>
      <c r="AI266" s="416"/>
      <c r="AJ266" s="416"/>
      <c r="AK266" s="416"/>
      <c r="AL266" s="416"/>
      <c r="AM266" s="416"/>
      <c r="AN266" s="416"/>
      <c r="AO266" s="416"/>
      <c r="AP266" s="416"/>
      <c r="AQ266" s="416"/>
      <c r="AR266" s="416"/>
      <c r="AS266" s="416"/>
      <c r="AT266" s="416"/>
      <c r="AU266" s="416"/>
      <c r="AV266" s="416"/>
      <c r="AW266" s="416"/>
      <c r="AX266" s="416"/>
      <c r="AY266" s="416"/>
      <c r="AZ266" s="416"/>
      <c r="BA266" s="416"/>
      <c r="BB266" s="32"/>
    </row>
    <row r="267" spans="2:54">
      <c r="B267" s="1250" t="s">
        <v>911</v>
      </c>
      <c r="C267" s="1251"/>
      <c r="D267" s="411" t="s">
        <v>1900</v>
      </c>
      <c r="E267" s="425"/>
      <c r="F267" s="411" t="s">
        <v>1848</v>
      </c>
      <c r="G267" s="411" t="s">
        <v>350</v>
      </c>
      <c r="H267" s="412">
        <f>H265</f>
        <v>1875.25</v>
      </c>
      <c r="I267" s="413" t="s">
        <v>84</v>
      </c>
      <c r="J267" s="414"/>
      <c r="K267" s="414"/>
      <c r="L267" s="414" t="s">
        <v>192</v>
      </c>
      <c r="M267" s="414" t="s">
        <v>192</v>
      </c>
      <c r="N267" s="413" t="str">
        <f t="shared" si="27"/>
        <v xml:space="preserve"> </v>
      </c>
      <c r="O267" s="51"/>
      <c r="P267" s="415" t="s">
        <v>551</v>
      </c>
      <c r="Q267" s="415" t="s">
        <v>551</v>
      </c>
      <c r="R267" s="415" t="s">
        <v>551</v>
      </c>
      <c r="S267" s="32"/>
      <c r="T267" s="416"/>
      <c r="U267" s="416"/>
      <c r="V267" s="416"/>
      <c r="W267" s="416"/>
      <c r="X267" s="416"/>
      <c r="Y267" s="416"/>
      <c r="Z267" s="416"/>
      <c r="AA267" s="416"/>
      <c r="AB267" s="416"/>
      <c r="AC267" s="416"/>
      <c r="AD267" s="416"/>
      <c r="AE267" s="416"/>
      <c r="AF267" s="416"/>
      <c r="AG267" s="416"/>
      <c r="AH267" s="416"/>
      <c r="AI267" s="416"/>
      <c r="AJ267" s="416"/>
      <c r="AK267" s="416"/>
      <c r="AL267" s="416"/>
      <c r="AM267" s="416"/>
      <c r="AN267" s="416"/>
      <c r="AO267" s="416"/>
      <c r="AP267" s="416">
        <f>H267</f>
        <v>1875.25</v>
      </c>
      <c r="AQ267" s="416"/>
      <c r="AR267" s="416"/>
      <c r="AS267" s="416"/>
      <c r="AT267" s="32"/>
      <c r="AU267" s="416"/>
      <c r="AV267" s="416"/>
      <c r="AW267" s="416"/>
      <c r="AX267" s="32"/>
      <c r="AY267" s="416"/>
      <c r="AZ267" s="416"/>
      <c r="BA267" s="416"/>
      <c r="BB267" s="32"/>
    </row>
    <row r="268" spans="2:54">
      <c r="B268" s="1254"/>
      <c r="C268" s="1255"/>
      <c r="D268" s="411" t="s">
        <v>1796</v>
      </c>
      <c r="E268" s="411"/>
      <c r="F268" s="411" t="s">
        <v>249</v>
      </c>
      <c r="G268" s="411" t="s">
        <v>250</v>
      </c>
      <c r="H268" s="412">
        <v>7553.3109999999997</v>
      </c>
      <c r="I268" s="413" t="s">
        <v>240</v>
      </c>
      <c r="J268" s="414">
        <v>45090.583333333336</v>
      </c>
      <c r="K268" s="414"/>
      <c r="L268" s="414" t="s">
        <v>192</v>
      </c>
      <c r="M268" s="414" t="s">
        <v>192</v>
      </c>
      <c r="N268" s="413" t="str">
        <f t="shared" si="27"/>
        <v>On time</v>
      </c>
      <c r="O268" s="51"/>
      <c r="P268" s="415" t="s">
        <v>551</v>
      </c>
      <c r="Q268" s="415" t="s">
        <v>551</v>
      </c>
      <c r="R268" s="415" t="s">
        <v>551</v>
      </c>
      <c r="S268" s="32"/>
      <c r="T268" s="416"/>
      <c r="U268" s="416"/>
      <c r="V268" s="416"/>
      <c r="W268" s="416"/>
      <c r="X268" s="416"/>
      <c r="Y268" s="416"/>
      <c r="Z268" s="416"/>
      <c r="AA268" s="416"/>
      <c r="AB268" s="416"/>
      <c r="AC268" s="416">
        <f t="shared" ref="AC268" si="29">H268</f>
        <v>7553.3109999999997</v>
      </c>
      <c r="AD268" s="416"/>
      <c r="AE268" s="416"/>
      <c r="AF268" s="416"/>
      <c r="AG268" s="416"/>
      <c r="AH268" s="416"/>
      <c r="AI268" s="416"/>
      <c r="AJ268" s="416"/>
      <c r="AK268" s="416"/>
      <c r="AL268" s="416"/>
      <c r="AM268" s="416"/>
      <c r="AN268" s="416"/>
      <c r="AO268" s="416"/>
      <c r="AP268" s="416"/>
      <c r="AQ268" s="416"/>
      <c r="AR268" s="416"/>
      <c r="AS268" s="416"/>
      <c r="AT268" s="416"/>
      <c r="AU268" s="416"/>
      <c r="AV268" s="416"/>
      <c r="AW268" s="416"/>
      <c r="AX268" s="416"/>
      <c r="AY268" s="416"/>
      <c r="AZ268" s="416"/>
      <c r="BA268" s="416"/>
      <c r="BB268" s="32"/>
    </row>
    <row r="269" spans="2:54">
      <c r="B269" s="1256" t="s">
        <v>548</v>
      </c>
      <c r="C269" s="1257"/>
      <c r="D269" s="411" t="s">
        <v>1794</v>
      </c>
      <c r="E269" s="411"/>
      <c r="F269" s="411" t="s">
        <v>301</v>
      </c>
      <c r="G269" s="411" t="s">
        <v>359</v>
      </c>
      <c r="H269" s="412">
        <v>9126.4879999999994</v>
      </c>
      <c r="I269" s="413" t="s">
        <v>418</v>
      </c>
      <c r="J269" s="414">
        <v>45091.84375</v>
      </c>
      <c r="K269" s="414"/>
      <c r="L269" s="414" t="s">
        <v>192</v>
      </c>
      <c r="M269" s="414" t="s">
        <v>192</v>
      </c>
      <c r="N269" s="413" t="str">
        <f t="shared" si="27"/>
        <v>DELAY ( 1 day 20 hour 15 minute )</v>
      </c>
      <c r="O269" s="51"/>
      <c r="P269" s="415" t="s">
        <v>551</v>
      </c>
      <c r="Q269" s="415" t="s">
        <v>551</v>
      </c>
      <c r="R269" s="415" t="s">
        <v>551</v>
      </c>
      <c r="S269" s="32"/>
      <c r="T269" s="416"/>
      <c r="U269" s="416"/>
      <c r="V269" s="416"/>
      <c r="W269" s="416"/>
      <c r="X269" s="416"/>
      <c r="Y269" s="416"/>
      <c r="Z269" s="416"/>
      <c r="AA269" s="416"/>
      <c r="AB269" s="416">
        <f>(H269*0.65)</f>
        <v>5932.2172</v>
      </c>
      <c r="AC269" s="416">
        <f>(H269*0.35)</f>
        <v>3194.2707999999998</v>
      </c>
      <c r="AD269" s="416"/>
      <c r="AE269" s="416"/>
      <c r="AF269" s="416"/>
      <c r="AG269" s="416"/>
      <c r="AH269" s="416"/>
      <c r="AI269" s="416"/>
      <c r="AJ269" s="416"/>
      <c r="AK269" s="416"/>
      <c r="AL269" s="416"/>
      <c r="AM269" s="416"/>
      <c r="AN269" s="416"/>
      <c r="AO269" s="416"/>
      <c r="AP269" s="416"/>
      <c r="AQ269" s="416"/>
      <c r="AR269" s="416"/>
      <c r="AS269" s="416"/>
      <c r="AT269" s="416"/>
      <c r="AU269" s="416"/>
      <c r="AV269" s="416"/>
      <c r="AW269" s="416"/>
      <c r="AX269" s="416"/>
      <c r="AY269" s="416"/>
      <c r="AZ269" s="416"/>
      <c r="BA269" s="416"/>
      <c r="BB269" s="32"/>
    </row>
    <row r="270" spans="2:54">
      <c r="B270" s="1256" t="s">
        <v>548</v>
      </c>
      <c r="C270" s="1257"/>
      <c r="D270" s="411" t="s">
        <v>1802</v>
      </c>
      <c r="E270" s="411"/>
      <c r="F270" s="411" t="s">
        <v>271</v>
      </c>
      <c r="G270" s="411" t="s">
        <v>272</v>
      </c>
      <c r="H270" s="412">
        <v>9256.9089999999997</v>
      </c>
      <c r="I270" s="413" t="s">
        <v>418</v>
      </c>
      <c r="J270" s="414">
        <v>45091.625</v>
      </c>
      <c r="K270" s="414"/>
      <c r="L270" s="414" t="s">
        <v>192</v>
      </c>
      <c r="M270" s="414" t="s">
        <v>192</v>
      </c>
      <c r="N270" s="413" t="str">
        <f t="shared" si="27"/>
        <v>DELAY ( 1 day 15 hour 0 minute )</v>
      </c>
      <c r="O270" s="51"/>
      <c r="P270" s="415" t="s">
        <v>551</v>
      </c>
      <c r="Q270" s="415" t="s">
        <v>551</v>
      </c>
      <c r="R270" s="415" t="s">
        <v>551</v>
      </c>
      <c r="S270" s="32"/>
      <c r="T270" s="416"/>
      <c r="U270" s="416"/>
      <c r="V270" s="416"/>
      <c r="W270" s="416"/>
      <c r="X270" s="416"/>
      <c r="Y270" s="416"/>
      <c r="Z270" s="416"/>
      <c r="AA270" s="416"/>
      <c r="AB270" s="416">
        <f>H270*0.65</f>
        <v>6016.9908500000001</v>
      </c>
      <c r="AC270" s="416">
        <f>H270*0.35</f>
        <v>3239.9181499999995</v>
      </c>
      <c r="AD270" s="416"/>
      <c r="AE270" s="416"/>
      <c r="AF270" s="416"/>
      <c r="AG270" s="416"/>
      <c r="AH270" s="416"/>
      <c r="AI270" s="416"/>
      <c r="AJ270" s="416"/>
      <c r="AK270" s="416"/>
      <c r="AL270" s="416"/>
      <c r="AM270" s="416"/>
      <c r="AN270" s="416"/>
      <c r="AO270" s="416"/>
      <c r="AP270" s="416"/>
      <c r="AQ270" s="416"/>
      <c r="AR270" s="416"/>
      <c r="AS270" s="416"/>
      <c r="AT270" s="416"/>
      <c r="AU270" s="416"/>
      <c r="AV270" s="416"/>
      <c r="AW270" s="416"/>
      <c r="AX270" s="416"/>
      <c r="AY270" s="416"/>
      <c r="AZ270" s="416"/>
      <c r="BA270" s="416"/>
      <c r="BB270" s="32"/>
    </row>
    <row r="271" spans="2:54">
      <c r="B271" s="1256" t="s">
        <v>548</v>
      </c>
      <c r="C271" s="1257"/>
      <c r="D271" s="411" t="s">
        <v>1798</v>
      </c>
      <c r="E271" s="411"/>
      <c r="F271" s="411" t="s">
        <v>1799</v>
      </c>
      <c r="G271" s="411" t="s">
        <v>340</v>
      </c>
      <c r="H271" s="412">
        <f>7669.363-1751.469</f>
        <v>5917.8940000000002</v>
      </c>
      <c r="I271" s="413" t="s">
        <v>418</v>
      </c>
      <c r="J271" s="414">
        <v>45091.90625</v>
      </c>
      <c r="K271" s="414"/>
      <c r="L271" s="414" t="s">
        <v>192</v>
      </c>
      <c r="M271" s="414" t="s">
        <v>192</v>
      </c>
      <c r="N271" s="413" t="str">
        <f t="shared" si="27"/>
        <v>DELAY ( 1 day 21 hour 45 minute )</v>
      </c>
      <c r="O271" s="51"/>
      <c r="P271" s="415" t="s">
        <v>551</v>
      </c>
      <c r="Q271" s="415" t="s">
        <v>551</v>
      </c>
      <c r="R271" s="415" t="s">
        <v>551</v>
      </c>
      <c r="S271" s="32"/>
      <c r="T271" s="416"/>
      <c r="U271" s="416"/>
      <c r="V271" s="416"/>
      <c r="W271" s="416"/>
      <c r="X271" s="416"/>
      <c r="Y271" s="416"/>
      <c r="Z271" s="416"/>
      <c r="AA271" s="416"/>
      <c r="AB271" s="416">
        <f>(H271*0.65)</f>
        <v>3846.6311000000001</v>
      </c>
      <c r="AC271" s="416">
        <f>(H271*0.35)</f>
        <v>2071.2629000000002</v>
      </c>
      <c r="AD271" s="416"/>
      <c r="AE271" s="416"/>
      <c r="AF271" s="416"/>
      <c r="AG271" s="416"/>
      <c r="AH271" s="416"/>
      <c r="AI271" s="416"/>
      <c r="AJ271" s="416"/>
      <c r="AK271" s="416"/>
      <c r="AL271" s="416"/>
      <c r="AM271" s="416"/>
      <c r="AN271" s="416"/>
      <c r="AO271" s="416"/>
      <c r="AP271" s="416"/>
      <c r="AQ271" s="416"/>
      <c r="AR271" s="416"/>
      <c r="AS271" s="416"/>
      <c r="AT271" s="416"/>
      <c r="AU271" s="416"/>
      <c r="AV271" s="416"/>
      <c r="AW271" s="416"/>
      <c r="AX271" s="416"/>
      <c r="AY271" s="416"/>
      <c r="AZ271" s="416"/>
      <c r="BA271" s="416"/>
      <c r="BB271" s="32"/>
    </row>
    <row r="272" spans="2:54">
      <c r="B272" s="1258" t="s">
        <v>556</v>
      </c>
      <c r="C272" s="1259"/>
      <c r="D272" s="1259"/>
      <c r="E272" s="1259"/>
      <c r="F272" s="1259"/>
      <c r="G272" s="1260"/>
      <c r="H272" s="417">
        <f>SUM(H253:H271)</f>
        <v>99776.999999999985</v>
      </c>
      <c r="I272" s="388"/>
      <c r="J272" s="293"/>
      <c r="K272" s="293"/>
      <c r="L272" s="293"/>
      <c r="M272" s="389"/>
      <c r="N272" s="413" t="str">
        <f t="shared" si="27"/>
        <v xml:space="preserve"> </v>
      </c>
      <c r="O272" s="212"/>
      <c r="P272" s="418"/>
      <c r="Q272" s="418"/>
      <c r="R272" s="418"/>
      <c r="S272" s="207"/>
      <c r="T272" s="1262"/>
      <c r="U272" s="1263"/>
      <c r="V272" s="1263"/>
      <c r="W272" s="1263"/>
      <c r="X272" s="1263"/>
      <c r="Y272" s="1263"/>
      <c r="Z272" s="1263"/>
      <c r="AA272" s="1263"/>
      <c r="AB272" s="1263"/>
      <c r="AC272" s="1263"/>
      <c r="AD272" s="1263"/>
      <c r="AE272" s="1263"/>
      <c r="AF272" s="1263"/>
      <c r="AG272" s="1263"/>
      <c r="AH272" s="1263"/>
      <c r="AI272" s="1263"/>
      <c r="AJ272" s="1263"/>
      <c r="AK272" s="1263"/>
      <c r="AL272" s="1263"/>
      <c r="AM272" s="1263"/>
      <c r="AN272" s="1263"/>
      <c r="AO272" s="1263"/>
      <c r="AP272" s="1263"/>
      <c r="AQ272" s="1263"/>
      <c r="AR272" s="1263"/>
      <c r="AS272" s="1263"/>
      <c r="AT272" s="1263"/>
      <c r="AU272" s="1263"/>
      <c r="AV272" s="1263"/>
      <c r="AW272" s="1263"/>
      <c r="AX272" s="1263"/>
      <c r="AY272" s="1263"/>
      <c r="AZ272" s="1263"/>
      <c r="BA272" s="1263"/>
    </row>
    <row r="273" spans="2:54">
      <c r="B273" s="1243" t="s">
        <v>557</v>
      </c>
      <c r="C273" s="1244"/>
      <c r="D273" s="1244"/>
      <c r="E273" s="1244"/>
      <c r="F273" s="1244"/>
      <c r="G273" s="1245"/>
      <c r="H273" s="419">
        <v>99777</v>
      </c>
      <c r="I273" s="1273"/>
      <c r="J273" s="1274"/>
      <c r="K273" s="1274"/>
      <c r="L273" s="1274"/>
      <c r="M273" s="1275"/>
      <c r="N273" s="413" t="str">
        <f t="shared" si="27"/>
        <v xml:space="preserve"> </v>
      </c>
      <c r="O273" s="32"/>
      <c r="P273" s="415"/>
      <c r="Q273" s="415"/>
      <c r="R273" s="415"/>
      <c r="S273" s="63"/>
      <c r="T273" s="416">
        <f t="shared" ref="T273:BA273" si="30">SUM(T253:T271)</f>
        <v>0</v>
      </c>
      <c r="U273" s="416">
        <f t="shared" si="30"/>
        <v>0</v>
      </c>
      <c r="V273" s="416">
        <f t="shared" si="30"/>
        <v>0</v>
      </c>
      <c r="W273" s="416">
        <f t="shared" si="30"/>
        <v>0</v>
      </c>
      <c r="X273" s="416">
        <f t="shared" si="30"/>
        <v>15027.657999999999</v>
      </c>
      <c r="Y273" s="416">
        <f t="shared" si="30"/>
        <v>0</v>
      </c>
      <c r="Z273" s="416">
        <f t="shared" si="30"/>
        <v>0</v>
      </c>
      <c r="AA273" s="416">
        <f t="shared" si="30"/>
        <v>0</v>
      </c>
      <c r="AB273" s="416">
        <f t="shared" si="30"/>
        <v>15795.839150000002</v>
      </c>
      <c r="AC273" s="416">
        <f t="shared" si="30"/>
        <v>53853.919849999998</v>
      </c>
      <c r="AD273" s="416">
        <f t="shared" si="30"/>
        <v>0</v>
      </c>
      <c r="AE273" s="416">
        <f t="shared" si="30"/>
        <v>0</v>
      </c>
      <c r="AF273" s="416">
        <f t="shared" si="30"/>
        <v>0</v>
      </c>
      <c r="AG273" s="416">
        <f t="shared" si="30"/>
        <v>0</v>
      </c>
      <c r="AH273" s="416">
        <f t="shared" si="30"/>
        <v>0</v>
      </c>
      <c r="AI273" s="416">
        <f t="shared" si="30"/>
        <v>0</v>
      </c>
      <c r="AJ273" s="416">
        <f t="shared" si="30"/>
        <v>0</v>
      </c>
      <c r="AK273" s="416">
        <f t="shared" si="30"/>
        <v>0</v>
      </c>
      <c r="AL273" s="416">
        <f t="shared" si="30"/>
        <v>0</v>
      </c>
      <c r="AM273" s="416">
        <f t="shared" si="30"/>
        <v>0</v>
      </c>
      <c r="AN273" s="416">
        <f t="shared" si="30"/>
        <v>0</v>
      </c>
      <c r="AO273" s="416">
        <f t="shared" si="30"/>
        <v>0</v>
      </c>
      <c r="AP273" s="416">
        <f t="shared" si="30"/>
        <v>7501</v>
      </c>
      <c r="AQ273" s="416">
        <f t="shared" si="30"/>
        <v>0</v>
      </c>
      <c r="AR273" s="416">
        <f t="shared" si="30"/>
        <v>0</v>
      </c>
      <c r="AS273" s="416">
        <f t="shared" si="30"/>
        <v>0</v>
      </c>
      <c r="AT273" s="416">
        <f t="shared" si="30"/>
        <v>0</v>
      </c>
      <c r="AU273" s="416">
        <f t="shared" si="30"/>
        <v>0</v>
      </c>
      <c r="AV273" s="416">
        <f t="shared" si="30"/>
        <v>0</v>
      </c>
      <c r="AW273" s="416">
        <f t="shared" si="30"/>
        <v>0</v>
      </c>
      <c r="AX273" s="416">
        <f t="shared" si="30"/>
        <v>7598.5829999999996</v>
      </c>
      <c r="AY273" s="416">
        <f t="shared" si="30"/>
        <v>0</v>
      </c>
      <c r="AZ273" s="416">
        <f t="shared" si="30"/>
        <v>0</v>
      </c>
      <c r="BA273" s="416">
        <f t="shared" si="30"/>
        <v>0</v>
      </c>
      <c r="BB273" s="416">
        <f>SUM(T273:BA273)</f>
        <v>99777</v>
      </c>
    </row>
    <row r="274" spans="2:54">
      <c r="B274" s="1243" t="s">
        <v>558</v>
      </c>
      <c r="C274" s="1244"/>
      <c r="D274" s="1244"/>
      <c r="E274" s="1244"/>
      <c r="F274" s="1244"/>
      <c r="G274" s="1245"/>
      <c r="H274" s="420">
        <f>H273-L247</f>
        <v>0</v>
      </c>
      <c r="I274" s="294"/>
      <c r="J274" s="295"/>
      <c r="K274" s="295"/>
      <c r="L274" s="296"/>
      <c r="M274" s="32"/>
      <c r="N274" s="32"/>
      <c r="O274" s="32"/>
      <c r="P274" s="32"/>
      <c r="Q274" s="297"/>
      <c r="R274" s="297"/>
      <c r="S274" s="32"/>
      <c r="T274" s="48"/>
      <c r="U274" s="48"/>
      <c r="V274" s="48"/>
      <c r="W274" s="48"/>
      <c r="X274" s="48"/>
      <c r="Y274" s="48"/>
      <c r="Z274" s="48"/>
      <c r="AA274" s="48"/>
      <c r="AB274" s="48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</row>
    <row r="275" spans="2:54">
      <c r="B275" s="1243" t="s">
        <v>559</v>
      </c>
      <c r="C275" s="1244"/>
      <c r="D275" s="1244"/>
      <c r="E275" s="1244"/>
      <c r="F275" s="1244"/>
      <c r="G275" s="1245"/>
      <c r="H275" s="420">
        <v>733.78399999999999</v>
      </c>
      <c r="I275" s="52"/>
      <c r="J275" s="53"/>
      <c r="K275" s="53"/>
      <c r="L275" s="54"/>
      <c r="M275" s="32"/>
      <c r="N275" s="201"/>
      <c r="O275" s="32"/>
      <c r="P275" s="32"/>
      <c r="Q275" s="32"/>
      <c r="R275" s="32"/>
      <c r="S275" s="32"/>
      <c r="T275" s="48"/>
      <c r="U275" s="48"/>
      <c r="V275" s="48"/>
      <c r="W275" s="48"/>
      <c r="X275" s="48"/>
      <c r="Y275" s="48"/>
      <c r="Z275" s="48"/>
      <c r="AA275" s="48"/>
      <c r="AB275" s="48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</row>
    <row r="276" spans="2:54">
      <c r="B276" s="1243" t="s">
        <v>560</v>
      </c>
      <c r="C276" s="1244"/>
      <c r="D276" s="1244"/>
      <c r="E276" s="1244"/>
      <c r="F276" s="1244"/>
      <c r="G276" s="1245"/>
      <c r="H276" s="421">
        <f>H275-1751.469</f>
        <v>-1017.6850000000001</v>
      </c>
      <c r="I276" s="52"/>
      <c r="J276" s="53"/>
      <c r="K276" s="53"/>
      <c r="L276" s="54"/>
      <c r="M276" s="32"/>
      <c r="N276" s="32"/>
      <c r="O276" s="32"/>
      <c r="P276" s="32"/>
      <c r="Q276" s="32"/>
      <c r="R276" s="32"/>
      <c r="S276" s="48"/>
      <c r="T276" s="48"/>
      <c r="U276" s="48"/>
      <c r="V276" s="48"/>
      <c r="W276" s="48"/>
      <c r="X276" s="48"/>
      <c r="Y276" s="48"/>
      <c r="Z276" s="48"/>
      <c r="AA276" s="48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</row>
    <row r="277" spans="2:54">
      <c r="B277" s="201"/>
      <c r="C277" s="201"/>
      <c r="D277" s="201"/>
      <c r="E277" s="201"/>
      <c r="F277" s="201"/>
      <c r="G277" s="201"/>
      <c r="H277" s="201"/>
      <c r="I277" s="213"/>
      <c r="J277" s="209"/>
      <c r="K277" s="209"/>
      <c r="L277" s="203"/>
      <c r="M277" s="201"/>
      <c r="N277" s="201"/>
      <c r="O277" s="209"/>
      <c r="P277" s="32"/>
      <c r="Q277" s="32"/>
      <c r="R277" s="32"/>
      <c r="S277" s="32"/>
      <c r="T277" s="48"/>
      <c r="U277" s="48"/>
      <c r="V277" s="48"/>
      <c r="W277" s="48"/>
      <c r="X277" s="48"/>
      <c r="Y277" s="48"/>
      <c r="Z277" s="48"/>
      <c r="AA277" s="48"/>
      <c r="AB277" s="48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</row>
    <row r="278" spans="2:54">
      <c r="B278" s="40" t="s">
        <v>561</v>
      </c>
      <c r="C278" s="40"/>
      <c r="D278" s="32"/>
      <c r="E278" s="32"/>
      <c r="F278" s="32"/>
      <c r="G278" s="32"/>
      <c r="H278" s="32"/>
      <c r="I278" s="32"/>
      <c r="J278" s="52"/>
      <c r="K278" s="52"/>
      <c r="L278" s="55"/>
      <c r="M278" s="32"/>
      <c r="N278" s="201"/>
      <c r="O278" s="5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  <c r="AA278" s="202"/>
      <c r="AB278" s="201"/>
      <c r="AC278" s="201"/>
      <c r="AD278" s="201"/>
      <c r="AE278" s="201"/>
      <c r="AF278" s="201"/>
      <c r="AG278" s="201"/>
      <c r="AH278" s="201"/>
      <c r="AI278" s="201"/>
      <c r="AJ278" s="201"/>
      <c r="AK278" s="201"/>
      <c r="AL278" s="201"/>
      <c r="AM278" s="201"/>
      <c r="AN278" s="201"/>
      <c r="AO278" s="201"/>
      <c r="AP278" s="201"/>
      <c r="AQ278" s="201"/>
      <c r="AR278" s="201"/>
      <c r="AS278" s="201"/>
      <c r="AT278" s="201"/>
      <c r="AU278" s="201"/>
      <c r="BB278" s="201"/>
    </row>
    <row r="279" spans="2:54">
      <c r="B279" s="422">
        <v>1</v>
      </c>
      <c r="C279" s="1291" t="s">
        <v>2018</v>
      </c>
      <c r="D279" s="1292"/>
      <c r="E279" s="1292"/>
      <c r="F279" s="1292"/>
      <c r="G279" s="1292"/>
      <c r="H279" s="1292"/>
      <c r="I279" s="1292"/>
      <c r="J279" s="1292"/>
      <c r="K279" s="1293"/>
      <c r="L279" s="203"/>
      <c r="M279" s="203"/>
      <c r="N279" s="201"/>
      <c r="O279" s="209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  <c r="AA279" s="202"/>
      <c r="AB279" s="201"/>
      <c r="AC279" s="201"/>
      <c r="AD279" s="201"/>
      <c r="AE279" s="201"/>
      <c r="AF279" s="201"/>
      <c r="AG279" s="201"/>
      <c r="AH279" s="201"/>
      <c r="AI279" s="201"/>
      <c r="AJ279" s="201"/>
      <c r="AK279" s="201"/>
      <c r="AL279" s="201"/>
      <c r="AM279" s="201"/>
      <c r="AN279" s="201"/>
      <c r="AO279" s="201"/>
      <c r="AP279" s="201"/>
      <c r="AQ279" s="201"/>
      <c r="AR279" s="201"/>
      <c r="AS279" s="201"/>
      <c r="AT279" s="201"/>
      <c r="AU279" s="201"/>
      <c r="AV279" s="201"/>
      <c r="AW279" s="201"/>
      <c r="AX279" s="201"/>
      <c r="AY279" s="201"/>
      <c r="AZ279" s="201"/>
      <c r="BA279" s="201"/>
      <c r="BB279" s="201"/>
    </row>
    <row r="281" spans="2:54">
      <c r="B281" s="28" t="s">
        <v>126</v>
      </c>
      <c r="C281" s="28"/>
      <c r="D281" s="29"/>
      <c r="E281" s="30" t="s">
        <v>511</v>
      </c>
      <c r="F281" s="31" t="s">
        <v>1184</v>
      </c>
      <c r="G281" s="32"/>
      <c r="H281" s="33"/>
      <c r="I281" s="34"/>
      <c r="J281" s="35" t="s">
        <v>513</v>
      </c>
      <c r="K281" s="36" t="s">
        <v>511</v>
      </c>
      <c r="L281" s="37">
        <v>45094.319444444445</v>
      </c>
      <c r="M281" s="32"/>
      <c r="N281" s="32"/>
      <c r="O281" s="206"/>
      <c r="P281" s="205"/>
      <c r="Q281" s="202"/>
      <c r="R281" s="204"/>
      <c r="S281" s="38"/>
      <c r="T281" s="201"/>
      <c r="U281" s="201"/>
      <c r="V281" s="201"/>
      <c r="W281" s="201"/>
      <c r="X281" s="201"/>
      <c r="Y281" s="201"/>
      <c r="Z281" s="201"/>
      <c r="AA281" s="201"/>
      <c r="AB281" s="202"/>
      <c r="AC281" s="202"/>
      <c r="AD281" s="202"/>
      <c r="AE281" s="202"/>
      <c r="AF281" s="202"/>
      <c r="AG281" s="201"/>
      <c r="AH281" s="201"/>
      <c r="AI281" s="201"/>
      <c r="AJ281" s="201"/>
      <c r="AK281" s="201"/>
      <c r="AL281" s="201"/>
      <c r="AM281" s="201"/>
      <c r="AN281" s="201"/>
      <c r="AO281" s="201"/>
      <c r="AP281" s="201"/>
      <c r="AQ281" s="201"/>
      <c r="AR281" s="201"/>
      <c r="AS281" s="201"/>
      <c r="AT281" s="201"/>
      <c r="AU281" s="201"/>
      <c r="AV281" s="201"/>
      <c r="AW281" s="201"/>
      <c r="AX281" s="201"/>
      <c r="AY281" s="201"/>
      <c r="AZ281" s="201"/>
      <c r="BA281" s="201"/>
      <c r="BB281" s="201"/>
    </row>
    <row r="282" spans="2:54">
      <c r="B282" s="35" t="s">
        <v>514</v>
      </c>
      <c r="C282" s="35"/>
      <c r="D282" s="32"/>
      <c r="E282" s="36" t="s">
        <v>511</v>
      </c>
      <c r="F282" s="311" t="s">
        <v>2019</v>
      </c>
      <c r="G282" s="32"/>
      <c r="H282" s="33"/>
      <c r="I282" s="34"/>
      <c r="J282" s="35" t="s">
        <v>516</v>
      </c>
      <c r="K282" s="36" t="s">
        <v>511</v>
      </c>
      <c r="L282" s="37">
        <v>45096.270833333336</v>
      </c>
      <c r="M282" s="32"/>
      <c r="N282" s="32"/>
      <c r="O282" s="206"/>
      <c r="P282" s="205"/>
      <c r="Q282" s="202"/>
      <c r="R282" s="204"/>
      <c r="S282" s="38"/>
      <c r="T282" s="201"/>
      <c r="U282" s="201"/>
      <c r="V282" s="201"/>
      <c r="W282" s="201"/>
      <c r="X282" s="201"/>
      <c r="Y282" s="201"/>
      <c r="Z282" s="201"/>
      <c r="AA282" s="201"/>
      <c r="AB282" s="202"/>
      <c r="AC282" s="202"/>
      <c r="AD282" s="202"/>
      <c r="AE282" s="202"/>
      <c r="AF282" s="202"/>
      <c r="AG282" s="201"/>
      <c r="AH282" s="201"/>
      <c r="AI282" s="201"/>
      <c r="AJ282" s="201"/>
      <c r="AK282" s="201"/>
      <c r="AL282" s="201"/>
      <c r="AM282" s="201"/>
      <c r="AN282" s="201"/>
      <c r="AO282" s="201"/>
      <c r="AP282" s="201"/>
      <c r="AQ282" s="201"/>
      <c r="AR282" s="201"/>
      <c r="AS282" s="201"/>
      <c r="AT282" s="201"/>
      <c r="AU282" s="201"/>
      <c r="AV282" s="201"/>
      <c r="AW282" s="201"/>
      <c r="AX282" s="201"/>
      <c r="AY282" s="201"/>
      <c r="AZ282" s="201"/>
      <c r="BA282" s="201"/>
      <c r="BB282" s="201"/>
    </row>
    <row r="283" spans="2:54">
      <c r="B283" s="35" t="s">
        <v>517</v>
      </c>
      <c r="C283" s="35"/>
      <c r="D283" s="32"/>
      <c r="E283" s="36" t="s">
        <v>511</v>
      </c>
      <c r="F283" s="37">
        <v>45090.440972222219</v>
      </c>
      <c r="G283" s="32"/>
      <c r="H283" s="33"/>
      <c r="I283" s="34"/>
      <c r="J283" s="35" t="s">
        <v>518</v>
      </c>
      <c r="K283" s="36" t="s">
        <v>511</v>
      </c>
      <c r="L283" s="50">
        <v>58500</v>
      </c>
      <c r="M283" s="40" t="s">
        <v>519</v>
      </c>
      <c r="N283" s="40"/>
      <c r="O283" s="206"/>
      <c r="P283" s="205"/>
      <c r="Q283" s="202"/>
      <c r="R283" s="204"/>
      <c r="S283" s="38"/>
      <c r="T283" s="201"/>
      <c r="U283" s="201"/>
      <c r="V283" s="201"/>
      <c r="W283" s="201"/>
      <c r="X283" s="201"/>
      <c r="Y283" s="201"/>
      <c r="Z283" s="201"/>
      <c r="AA283" s="201"/>
      <c r="AB283" s="202"/>
      <c r="AC283" s="202"/>
      <c r="AD283" s="202"/>
      <c r="AE283" s="202"/>
      <c r="AF283" s="202"/>
      <c r="AG283" s="201"/>
      <c r="AH283" s="201"/>
      <c r="AI283" s="201"/>
      <c r="AJ283" s="201"/>
      <c r="AK283" s="201"/>
      <c r="AL283" s="201"/>
      <c r="AM283" s="201"/>
      <c r="AN283" s="201"/>
      <c r="AO283" s="201"/>
      <c r="AP283" s="201"/>
      <c r="AQ283" s="201"/>
      <c r="AR283" s="201"/>
      <c r="AS283" s="201"/>
      <c r="AT283" s="201"/>
      <c r="AU283" s="201"/>
      <c r="AV283" s="201"/>
      <c r="AW283" s="201"/>
      <c r="AX283" s="201"/>
      <c r="AY283" s="201"/>
      <c r="AZ283" s="201"/>
      <c r="BA283" s="201"/>
      <c r="BB283" s="201"/>
    </row>
    <row r="284" spans="2:54">
      <c r="B284" s="35" t="s">
        <v>520</v>
      </c>
      <c r="C284" s="35"/>
      <c r="D284" s="32"/>
      <c r="E284" s="36" t="s">
        <v>511</v>
      </c>
      <c r="F284" s="37" t="s">
        <v>12</v>
      </c>
      <c r="G284" s="32"/>
      <c r="H284" s="33"/>
      <c r="I284" s="34"/>
      <c r="J284" s="35" t="s">
        <v>521</v>
      </c>
      <c r="K284" s="36" t="s">
        <v>511</v>
      </c>
      <c r="L284" s="41" t="s">
        <v>2020</v>
      </c>
      <c r="M284" s="32"/>
      <c r="N284" s="32"/>
      <c r="O284" s="206"/>
      <c r="P284" s="202"/>
      <c r="Q284" s="202"/>
      <c r="R284" s="204"/>
      <c r="S284" s="38"/>
      <c r="T284" s="201"/>
      <c r="U284" s="201"/>
      <c r="V284" s="201"/>
      <c r="W284" s="201"/>
      <c r="X284" s="201"/>
      <c r="Y284" s="201"/>
      <c r="Z284" s="201"/>
      <c r="AA284" s="201"/>
      <c r="AB284" s="202"/>
      <c r="AC284" s="202"/>
      <c r="AD284" s="202"/>
      <c r="AE284" s="202"/>
      <c r="AF284" s="202"/>
      <c r="AG284" s="201"/>
      <c r="AH284" s="201"/>
      <c r="AI284" s="201"/>
      <c r="AJ284" s="201"/>
      <c r="AK284" s="201"/>
      <c r="AL284" s="201"/>
      <c r="AM284" s="201"/>
      <c r="AN284" s="201"/>
      <c r="AO284" s="201"/>
      <c r="AP284" s="201"/>
      <c r="AQ284" s="201"/>
      <c r="AR284" s="201"/>
      <c r="AS284" s="201"/>
      <c r="AT284" s="201"/>
      <c r="AU284" s="201"/>
      <c r="AV284" s="201"/>
      <c r="AW284" s="201"/>
      <c r="AX284" s="201"/>
      <c r="AY284" s="201"/>
      <c r="AZ284" s="201"/>
      <c r="BA284" s="201"/>
      <c r="BB284" s="201"/>
    </row>
    <row r="285" spans="2:54">
      <c r="B285" s="35" t="s">
        <v>523</v>
      </c>
      <c r="C285" s="35"/>
      <c r="D285" s="32"/>
      <c r="E285" s="36" t="s">
        <v>511</v>
      </c>
      <c r="F285" s="37" t="s">
        <v>32</v>
      </c>
      <c r="G285" s="32"/>
      <c r="H285" s="33"/>
      <c r="I285" s="34"/>
      <c r="J285" s="42" t="s">
        <v>524</v>
      </c>
      <c r="K285" s="36" t="s">
        <v>511</v>
      </c>
      <c r="L285" s="43" t="s">
        <v>15</v>
      </c>
      <c r="M285" s="44"/>
      <c r="N285" s="44"/>
      <c r="O285" s="206"/>
      <c r="P285" s="205"/>
      <c r="Q285" s="202"/>
      <c r="R285" s="204"/>
      <c r="S285" s="38"/>
      <c r="T285" s="201"/>
      <c r="U285" s="201"/>
      <c r="V285" s="201"/>
      <c r="W285" s="201"/>
      <c r="X285" s="201"/>
      <c r="Y285" s="201"/>
      <c r="Z285" s="201"/>
      <c r="AA285" s="201"/>
      <c r="AB285" s="202"/>
      <c r="AC285" s="202"/>
      <c r="AD285" s="202"/>
      <c r="AE285" s="202"/>
      <c r="AF285" s="202"/>
      <c r="AG285" s="201"/>
      <c r="AH285" s="201"/>
      <c r="AI285" s="201"/>
      <c r="AJ285" s="201"/>
      <c r="AK285" s="201"/>
      <c r="AL285" s="201"/>
      <c r="AM285" s="201"/>
      <c r="AN285" s="201"/>
      <c r="AO285" s="201"/>
      <c r="AP285" s="201"/>
      <c r="AQ285" s="201"/>
      <c r="AR285" s="201"/>
      <c r="AS285" s="201"/>
      <c r="AT285" s="201"/>
      <c r="AU285" s="201"/>
      <c r="AV285" s="201"/>
      <c r="AW285" s="201"/>
      <c r="AX285" s="201"/>
      <c r="AY285" s="201"/>
      <c r="AZ285" s="201"/>
      <c r="BA285" s="201"/>
      <c r="BB285" s="201"/>
    </row>
    <row r="286" spans="2:54">
      <c r="B286" s="35" t="s">
        <v>2</v>
      </c>
      <c r="C286" s="35"/>
      <c r="D286" s="32"/>
      <c r="E286" s="36" t="s">
        <v>511</v>
      </c>
      <c r="F286" s="37" t="s">
        <v>6</v>
      </c>
      <c r="G286" s="32"/>
      <c r="H286" s="33"/>
      <c r="I286" s="45"/>
      <c r="J286" s="42"/>
      <c r="K286" s="36"/>
      <c r="L286" s="211"/>
      <c r="M286" s="201"/>
      <c r="N286" s="201"/>
      <c r="O286" s="42"/>
      <c r="P286" s="44"/>
      <c r="Q286" s="44"/>
      <c r="R286" s="44"/>
      <c r="S286" s="34"/>
      <c r="T286" s="201"/>
      <c r="U286" s="201"/>
      <c r="V286" s="201"/>
      <c r="W286" s="201"/>
      <c r="X286" s="201"/>
      <c r="Y286" s="201"/>
      <c r="Z286" s="201"/>
      <c r="AA286" s="201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201"/>
      <c r="AP286" s="201"/>
      <c r="AQ286" s="201"/>
      <c r="AR286" s="201"/>
      <c r="AS286" s="201"/>
      <c r="AT286" s="201"/>
      <c r="AU286" s="201"/>
      <c r="AV286" s="201"/>
      <c r="AW286" s="201"/>
      <c r="AX286" s="201"/>
      <c r="AY286" s="201"/>
      <c r="AZ286" s="201"/>
      <c r="BA286" s="201"/>
      <c r="BB286" s="201"/>
    </row>
    <row r="287" spans="2:54">
      <c r="B287" s="201"/>
      <c r="C287" s="201"/>
      <c r="D287" s="201"/>
      <c r="E287" s="201"/>
      <c r="F287" s="201"/>
      <c r="G287" s="201"/>
      <c r="H287" s="201"/>
      <c r="I287" s="45"/>
      <c r="J287" s="42"/>
      <c r="K287" s="42"/>
      <c r="L287" s="43"/>
      <c r="M287" s="44"/>
      <c r="N287" s="44"/>
      <c r="O287" s="42"/>
      <c r="P287" s="44"/>
      <c r="Q287" s="44"/>
      <c r="R287" s="44"/>
      <c r="S287" s="34"/>
      <c r="T287" s="1265" t="s">
        <v>87</v>
      </c>
      <c r="U287" s="1265"/>
      <c r="V287" s="1265"/>
      <c r="W287" s="1265"/>
      <c r="X287" s="1265"/>
      <c r="Y287" s="1265" t="s">
        <v>73</v>
      </c>
      <c r="Z287" s="1265"/>
      <c r="AA287" s="1265"/>
      <c r="AB287" s="1265" t="s">
        <v>74</v>
      </c>
      <c r="AC287" s="1265"/>
      <c r="AD287" s="423" t="s">
        <v>85</v>
      </c>
      <c r="AE287" s="423" t="s">
        <v>77</v>
      </c>
      <c r="AF287" s="1265" t="s">
        <v>525</v>
      </c>
      <c r="AG287" s="1265"/>
      <c r="AH287" s="1265"/>
      <c r="AI287" s="1265"/>
      <c r="AJ287" s="1265"/>
      <c r="AK287" s="1265"/>
      <c r="AL287" s="1265"/>
      <c r="AM287" s="1265"/>
      <c r="AN287" s="1265"/>
      <c r="AO287" s="1265"/>
      <c r="AP287" s="1265"/>
      <c r="AQ287" s="1265"/>
      <c r="AR287" s="1265"/>
      <c r="AS287" s="1265"/>
      <c r="AT287" s="1265"/>
      <c r="AU287" s="1265"/>
      <c r="AV287" s="1265"/>
      <c r="AW287" s="1265"/>
      <c r="AX287" s="1265"/>
      <c r="AY287" s="1265"/>
      <c r="AZ287" s="1265"/>
      <c r="BA287" s="1265"/>
      <c r="BB287" s="201"/>
    </row>
    <row r="288" spans="2:54">
      <c r="B288" s="1266" t="s">
        <v>526</v>
      </c>
      <c r="C288" s="1267"/>
      <c r="D288" s="570" t="s">
        <v>527</v>
      </c>
      <c r="E288" s="570"/>
      <c r="F288" s="570" t="s">
        <v>528</v>
      </c>
      <c r="G288" s="570" t="s">
        <v>529</v>
      </c>
      <c r="H288" s="570" t="s">
        <v>530</v>
      </c>
      <c r="I288" s="570" t="s">
        <v>531</v>
      </c>
      <c r="J288" s="570" t="s">
        <v>532</v>
      </c>
      <c r="K288" s="570"/>
      <c r="L288" s="570" t="s">
        <v>130</v>
      </c>
      <c r="M288" s="570" t="s">
        <v>533</v>
      </c>
      <c r="N288" s="408" t="str">
        <f>"On time - "&amp;COUNTIF(N289:N299,"On time")&amp;" from "&amp;ROWS(N289:N299)-COUNTIF(N289:N299," ")</f>
        <v>On time - 1 from 10</v>
      </c>
      <c r="O288" s="46"/>
      <c r="P288" s="409" t="s">
        <v>534</v>
      </c>
      <c r="Q288" s="409" t="s">
        <v>535</v>
      </c>
      <c r="R288" s="409" t="s">
        <v>536</v>
      </c>
      <c r="S288" s="32"/>
      <c r="T288" s="424" t="s">
        <v>537</v>
      </c>
      <c r="U288" s="424" t="s">
        <v>538</v>
      </c>
      <c r="V288" s="424" t="s">
        <v>539</v>
      </c>
      <c r="W288" s="424" t="s">
        <v>540</v>
      </c>
      <c r="X288" s="424" t="s">
        <v>541</v>
      </c>
      <c r="Y288" s="424" t="s">
        <v>167</v>
      </c>
      <c r="Z288" s="424" t="s">
        <v>168</v>
      </c>
      <c r="AA288" s="424" t="s">
        <v>169</v>
      </c>
      <c r="AB288" s="424" t="s">
        <v>235</v>
      </c>
      <c r="AC288" s="424" t="s">
        <v>240</v>
      </c>
      <c r="AD288" s="423" t="s">
        <v>85</v>
      </c>
      <c r="AE288" s="424" t="s">
        <v>139</v>
      </c>
      <c r="AF288" s="424" t="s">
        <v>72</v>
      </c>
      <c r="AG288" s="424" t="s">
        <v>88</v>
      </c>
      <c r="AH288" s="424" t="s">
        <v>75</v>
      </c>
      <c r="AI288" s="424" t="s">
        <v>543</v>
      </c>
      <c r="AJ288" s="424" t="s">
        <v>78</v>
      </c>
      <c r="AK288" s="424" t="s">
        <v>76</v>
      </c>
      <c r="AL288" s="424" t="s">
        <v>544</v>
      </c>
      <c r="AM288" s="424" t="s">
        <v>545</v>
      </c>
      <c r="AN288" s="424" t="s">
        <v>86</v>
      </c>
      <c r="AO288" s="424" t="s">
        <v>83</v>
      </c>
      <c r="AP288" s="424" t="s">
        <v>84</v>
      </c>
      <c r="AQ288" s="424" t="s">
        <v>546</v>
      </c>
      <c r="AR288" s="424" t="s">
        <v>81</v>
      </c>
      <c r="AS288" s="424" t="s">
        <v>80</v>
      </c>
      <c r="AT288" s="424" t="s">
        <v>82</v>
      </c>
      <c r="AU288" s="424" t="s">
        <v>181</v>
      </c>
      <c r="AV288" s="424" t="s">
        <v>183</v>
      </c>
      <c r="AW288" s="424" t="s">
        <v>547</v>
      </c>
      <c r="AX288" s="424" t="s">
        <v>182</v>
      </c>
      <c r="AY288" s="424" t="s">
        <v>172</v>
      </c>
      <c r="AZ288" s="424" t="s">
        <v>173</v>
      </c>
      <c r="BA288" s="424" t="s">
        <v>184</v>
      </c>
      <c r="BB288" s="201"/>
    </row>
    <row r="289" spans="2:54">
      <c r="B289" s="1256" t="s">
        <v>548</v>
      </c>
      <c r="C289" s="1257"/>
      <c r="D289" s="411" t="s">
        <v>1803</v>
      </c>
      <c r="E289" s="411"/>
      <c r="F289" s="411" t="s">
        <v>1303</v>
      </c>
      <c r="G289" s="411" t="s">
        <v>1304</v>
      </c>
      <c r="H289" s="412">
        <v>5228.2709999999997</v>
      </c>
      <c r="I289" s="413" t="s">
        <v>418</v>
      </c>
      <c r="J289" s="414">
        <v>45093.104166666664</v>
      </c>
      <c r="K289" s="414"/>
      <c r="L289" s="414" t="s">
        <v>192</v>
      </c>
      <c r="M289" s="414" t="s">
        <v>192</v>
      </c>
      <c r="N289" s="413" t="str">
        <f t="shared" ref="N289:N299" si="31">IF(ISBLANK(J289)," ",IF(J289&lt;$F$283,"On time",(IF(DAY(J289-$F$283)&lt;1,"On time",(IF(J289&gt;$F$283,"DELAY ( "&amp;DAY(J289-$F$283)&amp;" day "&amp;HOUR(J289-$F$283)&amp;" hour "&amp;MINUTE(J289-$F$283)&amp;" minute )","xxx"))))))</f>
        <v>DELAY ( 2 day 15 hour 55 minute )</v>
      </c>
      <c r="O289" s="51"/>
      <c r="P289" s="415" t="s">
        <v>551</v>
      </c>
      <c r="Q289" s="415" t="s">
        <v>551</v>
      </c>
      <c r="R289" s="415" t="s">
        <v>551</v>
      </c>
      <c r="S289" s="32"/>
      <c r="T289" s="416"/>
      <c r="U289" s="416"/>
      <c r="V289" s="416"/>
      <c r="W289" s="416"/>
      <c r="X289" s="416"/>
      <c r="Y289" s="416"/>
      <c r="Z289" s="416"/>
      <c r="AA289" s="416"/>
      <c r="AB289" s="416">
        <f>H289*0.65</f>
        <v>3398.3761500000001</v>
      </c>
      <c r="AC289" s="416">
        <f>H289*0.35</f>
        <v>1829.8948499999997</v>
      </c>
      <c r="AD289" s="416"/>
      <c r="AE289" s="416"/>
      <c r="AF289" s="416"/>
      <c r="AG289" s="416"/>
      <c r="AH289" s="416"/>
      <c r="AI289" s="416"/>
      <c r="AJ289" s="416"/>
      <c r="AK289" s="416"/>
      <c r="AL289" s="416"/>
      <c r="AM289" s="416"/>
      <c r="AN289" s="416"/>
      <c r="AO289" s="416"/>
      <c r="AP289" s="416"/>
      <c r="AQ289" s="416"/>
      <c r="AR289" s="416"/>
      <c r="AS289" s="416"/>
      <c r="AT289" s="416"/>
      <c r="AU289" s="416"/>
      <c r="AV289" s="416"/>
      <c r="AW289" s="416"/>
      <c r="AX289" s="416"/>
      <c r="AY289" s="416"/>
      <c r="AZ289" s="416"/>
      <c r="BA289" s="416"/>
      <c r="BB289" s="32"/>
    </row>
    <row r="290" spans="2:54">
      <c r="B290" s="1256" t="s">
        <v>548</v>
      </c>
      <c r="C290" s="1257"/>
      <c r="D290" s="411" t="s">
        <v>1805</v>
      </c>
      <c r="E290" s="411"/>
      <c r="F290" s="411" t="s">
        <v>292</v>
      </c>
      <c r="G290" s="411" t="s">
        <v>293</v>
      </c>
      <c r="H290" s="412">
        <v>7574.9579999999996</v>
      </c>
      <c r="I290" s="413" t="s">
        <v>418</v>
      </c>
      <c r="J290" s="414">
        <v>45092.6875</v>
      </c>
      <c r="K290" s="414"/>
      <c r="L290" s="414" t="s">
        <v>192</v>
      </c>
      <c r="M290" s="414" t="s">
        <v>192</v>
      </c>
      <c r="N290" s="413" t="str">
        <f t="shared" si="31"/>
        <v>DELAY ( 2 day 5 hour 55 minute )</v>
      </c>
      <c r="O290" s="51"/>
      <c r="P290" s="415" t="s">
        <v>551</v>
      </c>
      <c r="Q290" s="415" t="s">
        <v>551</v>
      </c>
      <c r="R290" s="415" t="s">
        <v>551</v>
      </c>
      <c r="S290" s="32"/>
      <c r="T290" s="416"/>
      <c r="U290" s="416"/>
      <c r="V290" s="416"/>
      <c r="W290" s="416"/>
      <c r="X290" s="416"/>
      <c r="Y290" s="416"/>
      <c r="Z290" s="416"/>
      <c r="AA290" s="416"/>
      <c r="AB290" s="416">
        <f>H290*0.65</f>
        <v>4923.7227000000003</v>
      </c>
      <c r="AC290" s="416">
        <f>H290*0.35</f>
        <v>2651.2352999999998</v>
      </c>
      <c r="AD290" s="416"/>
      <c r="AE290" s="416"/>
      <c r="AF290" s="416"/>
      <c r="AG290" s="416"/>
      <c r="AH290" s="416"/>
      <c r="AI290" s="416"/>
      <c r="AJ290" s="416"/>
      <c r="AK290" s="416"/>
      <c r="AL290" s="416"/>
      <c r="AM290" s="416"/>
      <c r="AN290" s="416"/>
      <c r="AO290" s="416"/>
      <c r="AP290" s="416"/>
      <c r="AQ290" s="416"/>
      <c r="AR290" s="416"/>
      <c r="AS290" s="416"/>
      <c r="AT290" s="416"/>
      <c r="AU290" s="416"/>
      <c r="AV290" s="416"/>
      <c r="AW290" s="416"/>
      <c r="AX290" s="416"/>
      <c r="AY290" s="416"/>
      <c r="AZ290" s="416"/>
      <c r="BA290" s="416"/>
      <c r="BB290" s="32"/>
    </row>
    <row r="291" spans="2:54">
      <c r="B291" s="1256" t="s">
        <v>548</v>
      </c>
      <c r="C291" s="1257"/>
      <c r="D291" s="411" t="s">
        <v>1804</v>
      </c>
      <c r="E291" s="411"/>
      <c r="F291" s="411" t="s">
        <v>277</v>
      </c>
      <c r="G291" s="411" t="s">
        <v>278</v>
      </c>
      <c r="H291" s="412">
        <v>7551.2960000000003</v>
      </c>
      <c r="I291" s="413" t="s">
        <v>418</v>
      </c>
      <c r="J291" s="414">
        <v>45092.923611111109</v>
      </c>
      <c r="K291" s="414"/>
      <c r="L291" s="414" t="s">
        <v>192</v>
      </c>
      <c r="M291" s="414" t="s">
        <v>192</v>
      </c>
      <c r="N291" s="413" t="str">
        <f t="shared" si="31"/>
        <v>DELAY ( 2 day 11 hour 35 minute )</v>
      </c>
      <c r="O291" s="51"/>
      <c r="P291" s="415" t="s">
        <v>551</v>
      </c>
      <c r="Q291" s="415" t="s">
        <v>551</v>
      </c>
      <c r="R291" s="415" t="s">
        <v>551</v>
      </c>
      <c r="S291" s="32"/>
      <c r="T291" s="416"/>
      <c r="U291" s="416"/>
      <c r="V291" s="416"/>
      <c r="W291" s="416"/>
      <c r="X291" s="416"/>
      <c r="Y291" s="416"/>
      <c r="Z291" s="416"/>
      <c r="AA291" s="416"/>
      <c r="AB291" s="416">
        <f t="shared" ref="AB291:AB292" si="32">H291*0.65</f>
        <v>4908.3424000000005</v>
      </c>
      <c r="AC291" s="416">
        <f t="shared" ref="AC291:AC292" si="33">H291*0.35</f>
        <v>2642.9535999999998</v>
      </c>
      <c r="AD291" s="416"/>
      <c r="AE291" s="416"/>
      <c r="AF291" s="416"/>
      <c r="AG291" s="416"/>
      <c r="AH291" s="416"/>
      <c r="AI291" s="416"/>
      <c r="AJ291" s="416"/>
      <c r="AK291" s="416"/>
      <c r="AL291" s="416"/>
      <c r="AM291" s="416"/>
      <c r="AN291" s="416"/>
      <c r="AO291" s="416"/>
      <c r="AP291" s="416"/>
      <c r="AQ291" s="416"/>
      <c r="AR291" s="416"/>
      <c r="AS291" s="416"/>
      <c r="AT291" s="416"/>
      <c r="AU291" s="416"/>
      <c r="AV291" s="416"/>
      <c r="AW291" s="416"/>
      <c r="AX291" s="416"/>
      <c r="AY291" s="416"/>
      <c r="AZ291" s="416"/>
      <c r="BA291" s="416"/>
      <c r="BB291" s="32"/>
    </row>
    <row r="292" spans="2:54">
      <c r="B292" s="1256" t="s">
        <v>548</v>
      </c>
      <c r="C292" s="1257"/>
      <c r="D292" s="411" t="s">
        <v>1807</v>
      </c>
      <c r="E292" s="411"/>
      <c r="F292" s="411" t="s">
        <v>721</v>
      </c>
      <c r="G292" s="411" t="s">
        <v>1349</v>
      </c>
      <c r="H292" s="412">
        <v>7424.6170000000002</v>
      </c>
      <c r="I292" s="413" t="s">
        <v>418</v>
      </c>
      <c r="J292" s="414">
        <v>45093.597222222219</v>
      </c>
      <c r="K292" s="414"/>
      <c r="L292" s="414" t="s">
        <v>192</v>
      </c>
      <c r="M292" s="414" t="s">
        <v>192</v>
      </c>
      <c r="N292" s="413" t="str">
        <f t="shared" si="31"/>
        <v>DELAY ( 3 day 3 hour 45 minute )</v>
      </c>
      <c r="O292" s="51"/>
      <c r="P292" s="415" t="s">
        <v>551</v>
      </c>
      <c r="Q292" s="415" t="s">
        <v>551</v>
      </c>
      <c r="R292" s="415" t="s">
        <v>551</v>
      </c>
      <c r="S292" s="32"/>
      <c r="T292" s="416"/>
      <c r="U292" s="416"/>
      <c r="V292" s="416"/>
      <c r="W292" s="416"/>
      <c r="X292" s="416"/>
      <c r="Y292" s="416"/>
      <c r="Z292" s="416"/>
      <c r="AA292" s="416"/>
      <c r="AB292" s="416">
        <f t="shared" si="32"/>
        <v>4826.0010499999999</v>
      </c>
      <c r="AC292" s="416">
        <f t="shared" si="33"/>
        <v>2598.6159499999999</v>
      </c>
      <c r="AD292" s="416"/>
      <c r="AE292" s="416"/>
      <c r="AF292" s="416"/>
      <c r="AG292" s="416"/>
      <c r="AH292" s="416"/>
      <c r="AI292" s="416"/>
      <c r="AJ292" s="416"/>
      <c r="AK292" s="416"/>
      <c r="AL292" s="416"/>
      <c r="AM292" s="416"/>
      <c r="AN292" s="416"/>
      <c r="AO292" s="416"/>
      <c r="AP292" s="416"/>
      <c r="AQ292" s="416"/>
      <c r="AR292" s="416"/>
      <c r="AS292" s="416"/>
      <c r="AT292" s="416"/>
      <c r="AU292" s="416"/>
      <c r="AV292" s="416"/>
      <c r="AW292" s="416"/>
      <c r="AX292" s="416"/>
      <c r="AY292" s="416"/>
      <c r="AZ292" s="416"/>
      <c r="BA292" s="416"/>
      <c r="BB292" s="32"/>
    </row>
    <row r="293" spans="2:54">
      <c r="B293" s="1250" t="s">
        <v>653</v>
      </c>
      <c r="C293" s="1251"/>
      <c r="D293" s="411" t="s">
        <v>1958</v>
      </c>
      <c r="E293" s="411"/>
      <c r="F293" s="411" t="s">
        <v>1240</v>
      </c>
      <c r="G293" s="411" t="s">
        <v>1241</v>
      </c>
      <c r="H293" s="412">
        <f>672.184</f>
        <v>672.18399999999997</v>
      </c>
      <c r="I293" s="413" t="s">
        <v>494</v>
      </c>
      <c r="J293" s="414">
        <v>45093.180555555555</v>
      </c>
      <c r="K293" s="414"/>
      <c r="L293" s="414" t="s">
        <v>192</v>
      </c>
      <c r="M293" s="414" t="s">
        <v>192</v>
      </c>
      <c r="N293" s="413" t="str">
        <f t="shared" si="31"/>
        <v>DELAY ( 2 day 17 hour 45 minute )</v>
      </c>
      <c r="O293" s="51"/>
      <c r="P293" s="415" t="s">
        <v>551</v>
      </c>
      <c r="Q293" s="415" t="s">
        <v>551</v>
      </c>
      <c r="R293" s="415" t="s">
        <v>551</v>
      </c>
      <c r="S293" s="32"/>
      <c r="T293" s="416"/>
      <c r="U293" s="416"/>
      <c r="V293" s="416"/>
      <c r="W293" s="416"/>
      <c r="X293" s="416"/>
      <c r="Y293" s="416">
        <f>H293</f>
        <v>672.18399999999997</v>
      </c>
      <c r="Z293" s="416"/>
      <c r="AA293" s="416"/>
      <c r="AB293" s="416"/>
      <c r="AC293" s="416"/>
      <c r="AD293" s="416"/>
      <c r="AE293" s="416"/>
      <c r="AF293" s="416"/>
      <c r="AG293" s="416"/>
      <c r="AH293" s="416"/>
      <c r="AI293" s="416"/>
      <c r="AJ293" s="416"/>
      <c r="AK293" s="416"/>
      <c r="AL293" s="416"/>
      <c r="AM293" s="416"/>
      <c r="AN293" s="416"/>
      <c r="AO293" s="416"/>
      <c r="AP293" s="416"/>
      <c r="AQ293" s="416"/>
      <c r="AR293" s="416"/>
      <c r="AS293" s="416"/>
      <c r="AT293" s="416"/>
      <c r="AU293" s="416"/>
      <c r="AV293" s="416"/>
      <c r="AW293" s="416"/>
      <c r="AX293" s="416"/>
      <c r="AY293" s="416"/>
      <c r="AZ293" s="416"/>
      <c r="BA293" s="416"/>
      <c r="BB293" s="32"/>
    </row>
    <row r="294" spans="2:54">
      <c r="B294" s="1254"/>
      <c r="C294" s="1255"/>
      <c r="D294" s="411" t="s">
        <v>1780</v>
      </c>
      <c r="E294" s="425"/>
      <c r="F294" s="411" t="s">
        <v>390</v>
      </c>
      <c r="G294" s="411" t="s">
        <v>391</v>
      </c>
      <c r="H294" s="412">
        <f>672.184</f>
        <v>672.18399999999997</v>
      </c>
      <c r="I294" s="413" t="s">
        <v>240</v>
      </c>
      <c r="J294" s="1268">
        <v>45088.388888888891</v>
      </c>
      <c r="K294" s="414"/>
      <c r="L294" s="414" t="s">
        <v>192</v>
      </c>
      <c r="M294" s="414" t="s">
        <v>192</v>
      </c>
      <c r="N294" s="413" t="str">
        <f t="shared" si="31"/>
        <v>On time</v>
      </c>
      <c r="O294" s="51"/>
      <c r="P294" s="415" t="s">
        <v>551</v>
      </c>
      <c r="Q294" s="415" t="s">
        <v>551</v>
      </c>
      <c r="R294" s="415" t="s">
        <v>551</v>
      </c>
      <c r="S294" s="32"/>
      <c r="T294" s="416"/>
      <c r="U294" s="416"/>
      <c r="V294" s="416"/>
      <c r="W294" s="416"/>
      <c r="X294" s="416"/>
      <c r="Y294" s="416"/>
      <c r="Z294" s="416"/>
      <c r="AA294" s="416"/>
      <c r="AB294" s="416"/>
      <c r="AC294" s="416">
        <f>H294</f>
        <v>672.18399999999997</v>
      </c>
      <c r="AD294" s="416"/>
      <c r="AE294" s="416"/>
      <c r="AF294" s="416"/>
      <c r="AG294" s="416"/>
      <c r="AH294" s="416"/>
      <c r="AI294" s="416"/>
      <c r="AJ294" s="416"/>
      <c r="AK294" s="416"/>
      <c r="AL294" s="416"/>
      <c r="AM294" s="416"/>
      <c r="AN294" s="416"/>
      <c r="AO294" s="416"/>
      <c r="AP294" s="416"/>
      <c r="AQ294" s="416"/>
      <c r="AR294" s="416"/>
      <c r="AS294" s="416"/>
      <c r="AT294" s="416"/>
      <c r="AU294" s="416"/>
      <c r="AV294" s="416"/>
      <c r="AW294" s="416"/>
      <c r="AX294" s="416"/>
      <c r="AY294" s="416"/>
      <c r="AZ294" s="416"/>
      <c r="BA294" s="416"/>
      <c r="BB294" s="32"/>
    </row>
    <row r="295" spans="2:54">
      <c r="B295" s="1250" t="s">
        <v>2021</v>
      </c>
      <c r="C295" s="1251"/>
      <c r="D295" s="411" t="s">
        <v>1780</v>
      </c>
      <c r="E295" s="425"/>
      <c r="F295" s="411" t="s">
        <v>390</v>
      </c>
      <c r="G295" s="411" t="s">
        <v>391</v>
      </c>
      <c r="H295" s="412">
        <f>3283-672.184</f>
        <v>2610.8159999999998</v>
      </c>
      <c r="I295" s="413" t="s">
        <v>240</v>
      </c>
      <c r="J295" s="1269"/>
      <c r="K295" s="414"/>
      <c r="L295" s="414" t="s">
        <v>192</v>
      </c>
      <c r="M295" s="414" t="s">
        <v>192</v>
      </c>
      <c r="N295" s="413" t="str">
        <f t="shared" si="31"/>
        <v xml:space="preserve"> </v>
      </c>
      <c r="O295" s="51"/>
      <c r="P295" s="415" t="s">
        <v>551</v>
      </c>
      <c r="Q295" s="415" t="s">
        <v>551</v>
      </c>
      <c r="R295" s="415" t="s">
        <v>551</v>
      </c>
      <c r="S295" s="32"/>
      <c r="T295" s="416"/>
      <c r="U295" s="416"/>
      <c r="V295" s="416"/>
      <c r="W295" s="416"/>
      <c r="X295" s="416"/>
      <c r="Y295" s="416"/>
      <c r="Z295" s="416"/>
      <c r="AA295" s="416"/>
      <c r="AB295" s="32"/>
      <c r="AC295" s="416">
        <f>H295</f>
        <v>2610.8159999999998</v>
      </c>
      <c r="AD295" s="416"/>
      <c r="AE295" s="416"/>
      <c r="AF295" s="416"/>
      <c r="AG295" s="416"/>
      <c r="AH295" s="416"/>
      <c r="AI295" s="416"/>
      <c r="AJ295" s="416"/>
      <c r="AK295" s="416"/>
      <c r="AL295" s="416"/>
      <c r="AM295" s="416"/>
      <c r="AN295" s="416"/>
      <c r="AO295" s="416"/>
      <c r="AP295" s="416"/>
      <c r="AQ295" s="416"/>
      <c r="AR295" s="416"/>
      <c r="AS295" s="416"/>
      <c r="AT295" s="416"/>
      <c r="AU295" s="416"/>
      <c r="AV295" s="416"/>
      <c r="AW295" s="416"/>
      <c r="AX295" s="416"/>
      <c r="AY295" s="416"/>
      <c r="AZ295" s="416"/>
      <c r="BA295" s="416"/>
      <c r="BB295" s="32"/>
    </row>
    <row r="296" spans="2:54">
      <c r="B296" s="1254"/>
      <c r="C296" s="1255"/>
      <c r="D296" s="411" t="s">
        <v>1883</v>
      </c>
      <c r="E296" s="411"/>
      <c r="F296" s="411" t="s">
        <v>226</v>
      </c>
      <c r="G296" s="411" t="s">
        <v>227</v>
      </c>
      <c r="H296" s="412">
        <v>7504.2610000000004</v>
      </c>
      <c r="I296" s="413" t="s">
        <v>611</v>
      </c>
      <c r="J296" s="414">
        <v>45093.125</v>
      </c>
      <c r="K296" s="414"/>
      <c r="L296" s="414" t="s">
        <v>192</v>
      </c>
      <c r="M296" s="414" t="s">
        <v>192</v>
      </c>
      <c r="N296" s="413" t="str">
        <f t="shared" si="31"/>
        <v>DELAY ( 2 day 16 hour 25 minute )</v>
      </c>
      <c r="O296" s="51"/>
      <c r="P296" s="415" t="s">
        <v>551</v>
      </c>
      <c r="Q296" s="415" t="s">
        <v>551</v>
      </c>
      <c r="R296" s="415" t="s">
        <v>551</v>
      </c>
      <c r="S296" s="32"/>
      <c r="T296" s="416">
        <f>H296</f>
        <v>7504.2610000000004</v>
      </c>
      <c r="U296" s="416"/>
      <c r="V296" s="416"/>
      <c r="W296" s="416"/>
      <c r="X296" s="416"/>
      <c r="Y296" s="416"/>
      <c r="Z296" s="416"/>
      <c r="AA296" s="416"/>
      <c r="AB296" s="416"/>
      <c r="AC296" s="416"/>
      <c r="AD296" s="416"/>
      <c r="AE296" s="416"/>
      <c r="AF296" s="416"/>
      <c r="AG296" s="416"/>
      <c r="AH296" s="416"/>
      <c r="AI296" s="416"/>
      <c r="AJ296" s="32"/>
      <c r="AK296" s="416"/>
      <c r="AL296" s="416"/>
      <c r="AM296" s="416"/>
      <c r="AN296" s="416"/>
      <c r="AO296" s="416"/>
      <c r="AP296" s="416"/>
      <c r="AQ296" s="416"/>
      <c r="AR296" s="416"/>
      <c r="AS296" s="416"/>
      <c r="AT296" s="416"/>
      <c r="AU296" s="416"/>
      <c r="AV296" s="416"/>
      <c r="AW296" s="416"/>
      <c r="AX296" s="416"/>
      <c r="AY296" s="416"/>
      <c r="AZ296" s="416"/>
      <c r="BA296" s="416"/>
      <c r="BB296" s="32"/>
    </row>
    <row r="297" spans="2:54">
      <c r="B297" s="1250" t="s">
        <v>653</v>
      </c>
      <c r="C297" s="1251"/>
      <c r="D297" s="411" t="s">
        <v>1806</v>
      </c>
      <c r="E297" s="411"/>
      <c r="F297" s="411" t="s">
        <v>257</v>
      </c>
      <c r="G297" s="411" t="s">
        <v>258</v>
      </c>
      <c r="H297" s="412">
        <v>7453.3109999999997</v>
      </c>
      <c r="I297" s="413" t="s">
        <v>418</v>
      </c>
      <c r="J297" s="414">
        <v>45093.791666666664</v>
      </c>
      <c r="K297" s="414"/>
      <c r="L297" s="414" t="s">
        <v>192</v>
      </c>
      <c r="M297" s="414" t="s">
        <v>192</v>
      </c>
      <c r="N297" s="413" t="str">
        <f t="shared" si="31"/>
        <v>DELAY ( 3 day 8 hour 25 minute )</v>
      </c>
      <c r="O297" s="51"/>
      <c r="P297" s="415" t="s">
        <v>551</v>
      </c>
      <c r="Q297" s="415" t="s">
        <v>551</v>
      </c>
      <c r="R297" s="415" t="s">
        <v>551</v>
      </c>
      <c r="S297" s="32"/>
      <c r="T297" s="416"/>
      <c r="U297" s="416"/>
      <c r="V297" s="416"/>
      <c r="W297" s="416"/>
      <c r="X297" s="416"/>
      <c r="Y297" s="416"/>
      <c r="Z297" s="416"/>
      <c r="AA297" s="416"/>
      <c r="AB297" s="416">
        <f>H297*0.65</f>
        <v>4844.6521499999999</v>
      </c>
      <c r="AC297" s="416">
        <f>H297*0.35</f>
        <v>2608.6588499999998</v>
      </c>
      <c r="AD297" s="416"/>
      <c r="AE297" s="416"/>
      <c r="AF297" s="416"/>
      <c r="AG297" s="416"/>
      <c r="AH297" s="416"/>
      <c r="AI297" s="416"/>
      <c r="AJ297" s="416"/>
      <c r="AK297" s="416"/>
      <c r="AL297" s="416"/>
      <c r="AM297" s="416"/>
      <c r="AN297" s="416"/>
      <c r="AO297" s="416"/>
      <c r="AP297" s="416"/>
      <c r="AQ297" s="416"/>
      <c r="AR297" s="416"/>
      <c r="AS297" s="416"/>
      <c r="AT297" s="416"/>
      <c r="AU297" s="416"/>
      <c r="AV297" s="416"/>
      <c r="AW297" s="416"/>
      <c r="AX297" s="416"/>
      <c r="AY297" s="416"/>
      <c r="AZ297" s="416"/>
      <c r="BA297" s="416"/>
      <c r="BB297" s="32"/>
    </row>
    <row r="298" spans="2:54">
      <c r="B298" s="1254"/>
      <c r="C298" s="1255"/>
      <c r="D298" s="411" t="s">
        <v>1884</v>
      </c>
      <c r="E298" s="411"/>
      <c r="F298" s="411" t="s">
        <v>1230</v>
      </c>
      <c r="G298" s="411" t="s">
        <v>1231</v>
      </c>
      <c r="H298" s="412">
        <v>7507.9970000000003</v>
      </c>
      <c r="I298" s="413" t="s">
        <v>611</v>
      </c>
      <c r="J298" s="414">
        <v>45093.135416666664</v>
      </c>
      <c r="K298" s="414"/>
      <c r="L298" s="414" t="s">
        <v>192</v>
      </c>
      <c r="M298" s="414" t="s">
        <v>192</v>
      </c>
      <c r="N298" s="413" t="str">
        <f t="shared" si="31"/>
        <v>DELAY ( 2 day 16 hour 40 minute )</v>
      </c>
      <c r="O298" s="51"/>
      <c r="P298" s="415" t="s">
        <v>551</v>
      </c>
      <c r="Q298" s="415" t="s">
        <v>551</v>
      </c>
      <c r="R298" s="415" t="s">
        <v>551</v>
      </c>
      <c r="S298" s="32"/>
      <c r="T298" s="416">
        <f>H298</f>
        <v>7507.9970000000003</v>
      </c>
      <c r="U298" s="416"/>
      <c r="V298" s="416"/>
      <c r="W298" s="416"/>
      <c r="X298" s="416"/>
      <c r="Y298" s="416"/>
      <c r="Z298" s="416"/>
      <c r="AA298" s="416"/>
      <c r="AB298" s="416"/>
      <c r="AC298" s="416"/>
      <c r="AD298" s="416"/>
      <c r="AE298" s="416"/>
      <c r="AF298" s="416"/>
      <c r="AG298" s="416"/>
      <c r="AH298" s="416"/>
      <c r="AI298" s="416"/>
      <c r="AJ298" s="416"/>
      <c r="AK298" s="416"/>
      <c r="AL298" s="416"/>
      <c r="AM298" s="416"/>
      <c r="AN298" s="416"/>
      <c r="AO298" s="416"/>
      <c r="AP298" s="416"/>
      <c r="AQ298" s="416"/>
      <c r="AR298" s="416"/>
      <c r="AS298" s="416"/>
      <c r="AT298" s="32"/>
      <c r="AU298" s="416"/>
      <c r="AV298" s="416"/>
      <c r="AW298" s="416"/>
      <c r="AX298" s="416"/>
      <c r="AY298" s="416"/>
      <c r="AZ298" s="416"/>
      <c r="BA298" s="416"/>
      <c r="BB298" s="32"/>
    </row>
    <row r="299" spans="2:54">
      <c r="B299" s="1256" t="s">
        <v>548</v>
      </c>
      <c r="C299" s="1257"/>
      <c r="D299" s="411" t="s">
        <v>1808</v>
      </c>
      <c r="E299" s="411"/>
      <c r="F299" s="411" t="s">
        <v>263</v>
      </c>
      <c r="G299" s="411" t="s">
        <v>264</v>
      </c>
      <c r="H299" s="412">
        <f>7484.33-3184.225</f>
        <v>4300.1049999999996</v>
      </c>
      <c r="I299" s="413" t="s">
        <v>418</v>
      </c>
      <c r="J299" s="414">
        <v>45093.625</v>
      </c>
      <c r="K299" s="414"/>
      <c r="L299" s="414" t="s">
        <v>192</v>
      </c>
      <c r="M299" s="414" t="s">
        <v>192</v>
      </c>
      <c r="N299" s="413" t="str">
        <f t="shared" si="31"/>
        <v>DELAY ( 3 day 4 hour 25 minute )</v>
      </c>
      <c r="O299" s="51"/>
      <c r="P299" s="415" t="s">
        <v>551</v>
      </c>
      <c r="Q299" s="415" t="s">
        <v>551</v>
      </c>
      <c r="R299" s="415" t="s">
        <v>551</v>
      </c>
      <c r="S299" s="32"/>
      <c r="T299" s="416"/>
      <c r="U299" s="416"/>
      <c r="V299" s="416"/>
      <c r="W299" s="416"/>
      <c r="X299" s="416"/>
      <c r="Y299" s="416"/>
      <c r="Z299" s="416"/>
      <c r="AA299" s="416"/>
      <c r="AB299" s="416">
        <f>(H299*0.65)</f>
        <v>2795.0682499999998</v>
      </c>
      <c r="AC299" s="416">
        <f>(H299*0.35)</f>
        <v>1505.0367499999998</v>
      </c>
      <c r="AD299" s="416"/>
      <c r="AE299" s="416"/>
      <c r="AF299" s="416"/>
      <c r="AG299" s="416"/>
      <c r="AH299" s="416"/>
      <c r="AI299" s="416"/>
      <c r="AJ299" s="416"/>
      <c r="AK299" s="416"/>
      <c r="AL299" s="416"/>
      <c r="AM299" s="416"/>
      <c r="AN299" s="416"/>
      <c r="AO299" s="416"/>
      <c r="AP299" s="416"/>
      <c r="AQ299" s="416"/>
      <c r="AR299" s="416"/>
      <c r="AS299" s="416"/>
      <c r="AT299" s="416"/>
      <c r="AU299" s="416"/>
      <c r="AV299" s="416"/>
      <c r="AW299" s="416"/>
      <c r="AX299" s="416"/>
      <c r="AY299" s="416"/>
      <c r="AZ299" s="416"/>
      <c r="BA299" s="416"/>
      <c r="BB299" s="32"/>
    </row>
    <row r="300" spans="2:54">
      <c r="B300" s="1258" t="s">
        <v>556</v>
      </c>
      <c r="C300" s="1259"/>
      <c r="D300" s="1259"/>
      <c r="E300" s="1259"/>
      <c r="F300" s="1259"/>
      <c r="G300" s="1260"/>
      <c r="H300" s="417">
        <f>SUM(H289:H299)</f>
        <v>58500</v>
      </c>
      <c r="I300" s="388"/>
      <c r="J300" s="293"/>
      <c r="K300" s="293"/>
      <c r="L300" s="293"/>
      <c r="M300" s="389"/>
      <c r="N300" s="413" t="str">
        <f>IF(ISBLANK(J300)," ",IF(J300&lt;$F$4,"On time",(IF(DAY(J300-$F$4)&lt;1,"On time",(IF(J300&gt;$F$4,"DELAY ( "&amp;DAY(J300-$F$4)&amp;" day "&amp;HOUR(J300-$F$4)&amp;" hour "&amp;MINUTE(J300-$F$4)&amp;" minute )","xxx"))))))</f>
        <v xml:space="preserve"> </v>
      </c>
      <c r="O300" s="212"/>
      <c r="P300" s="418"/>
      <c r="Q300" s="418"/>
      <c r="R300" s="418"/>
      <c r="S300" s="207"/>
      <c r="T300" s="1262"/>
      <c r="U300" s="1263"/>
      <c r="V300" s="1263"/>
      <c r="W300" s="1263"/>
      <c r="X300" s="1263"/>
      <c r="Y300" s="1263"/>
      <c r="Z300" s="1263"/>
      <c r="AA300" s="1263"/>
      <c r="AB300" s="1263"/>
      <c r="AC300" s="1263"/>
      <c r="AD300" s="1263"/>
      <c r="AE300" s="1263"/>
      <c r="AF300" s="1263"/>
      <c r="AG300" s="1263"/>
      <c r="AH300" s="1263"/>
      <c r="AI300" s="1263"/>
      <c r="AJ300" s="1263"/>
      <c r="AK300" s="1263"/>
      <c r="AL300" s="1263"/>
      <c r="AM300" s="1263"/>
      <c r="AN300" s="1263"/>
      <c r="AO300" s="1263"/>
      <c r="AP300" s="1263"/>
      <c r="AQ300" s="1263"/>
      <c r="AR300" s="1263"/>
      <c r="AS300" s="1263"/>
      <c r="AT300" s="1263"/>
      <c r="AU300" s="1263"/>
      <c r="AV300" s="1263"/>
      <c r="AW300" s="1263"/>
      <c r="AX300" s="1263"/>
      <c r="AY300" s="1263"/>
      <c r="AZ300" s="1263"/>
      <c r="BA300" s="1263"/>
    </row>
    <row r="301" spans="2:54">
      <c r="B301" s="1243" t="s">
        <v>557</v>
      </c>
      <c r="C301" s="1244"/>
      <c r="D301" s="1244"/>
      <c r="E301" s="1244"/>
      <c r="F301" s="1244"/>
      <c r="G301" s="1245"/>
      <c r="H301" s="419">
        <v>58500</v>
      </c>
      <c r="I301" s="1273"/>
      <c r="J301" s="1274"/>
      <c r="K301" s="1274"/>
      <c r="L301" s="1274"/>
      <c r="M301" s="1275"/>
      <c r="N301" s="413" t="str">
        <f>IF(ISBLANK(J301)," ",IF(J301&lt;$F$4,"On time",(IF(DAY(J301-$F$4)&lt;1,"On time",(IF(J301&gt;$F$4,"DELAY ( "&amp;DAY(J301-$F$4)&amp;" day "&amp;HOUR(J301-$F$4)&amp;" hour "&amp;MINUTE(J301-$F$4)&amp;" minute )","xxx"))))))</f>
        <v xml:space="preserve"> </v>
      </c>
      <c r="O301" s="32"/>
      <c r="P301" s="415"/>
      <c r="Q301" s="415"/>
      <c r="R301" s="415"/>
      <c r="S301" s="63"/>
      <c r="T301" s="416">
        <f t="shared" ref="T301:BA301" si="34">SUM(T289:T299)</f>
        <v>15012.258000000002</v>
      </c>
      <c r="U301" s="416">
        <f t="shared" si="34"/>
        <v>0</v>
      </c>
      <c r="V301" s="416">
        <f t="shared" si="34"/>
        <v>0</v>
      </c>
      <c r="W301" s="416">
        <f t="shared" si="34"/>
        <v>0</v>
      </c>
      <c r="X301" s="416">
        <f t="shared" si="34"/>
        <v>0</v>
      </c>
      <c r="Y301" s="416">
        <f t="shared" si="34"/>
        <v>672.18399999999997</v>
      </c>
      <c r="Z301" s="416">
        <f t="shared" si="34"/>
        <v>0</v>
      </c>
      <c r="AA301" s="416">
        <f t="shared" si="34"/>
        <v>0</v>
      </c>
      <c r="AB301" s="416">
        <f t="shared" si="34"/>
        <v>25696.162699999997</v>
      </c>
      <c r="AC301" s="416">
        <f t="shared" si="34"/>
        <v>17119.395299999996</v>
      </c>
      <c r="AD301" s="416">
        <f t="shared" si="34"/>
        <v>0</v>
      </c>
      <c r="AE301" s="416">
        <f t="shared" si="34"/>
        <v>0</v>
      </c>
      <c r="AF301" s="416">
        <f t="shared" si="34"/>
        <v>0</v>
      </c>
      <c r="AG301" s="416">
        <f t="shared" si="34"/>
        <v>0</v>
      </c>
      <c r="AH301" s="416">
        <f t="shared" si="34"/>
        <v>0</v>
      </c>
      <c r="AI301" s="416">
        <f t="shared" si="34"/>
        <v>0</v>
      </c>
      <c r="AJ301" s="416">
        <f t="shared" si="34"/>
        <v>0</v>
      </c>
      <c r="AK301" s="416">
        <f t="shared" si="34"/>
        <v>0</v>
      </c>
      <c r="AL301" s="416">
        <f t="shared" si="34"/>
        <v>0</v>
      </c>
      <c r="AM301" s="416">
        <f t="shared" si="34"/>
        <v>0</v>
      </c>
      <c r="AN301" s="416">
        <f t="shared" si="34"/>
        <v>0</v>
      </c>
      <c r="AO301" s="416">
        <f t="shared" si="34"/>
        <v>0</v>
      </c>
      <c r="AP301" s="416">
        <f t="shared" si="34"/>
        <v>0</v>
      </c>
      <c r="AQ301" s="416">
        <f t="shared" si="34"/>
        <v>0</v>
      </c>
      <c r="AR301" s="416">
        <f t="shared" si="34"/>
        <v>0</v>
      </c>
      <c r="AS301" s="416">
        <f t="shared" si="34"/>
        <v>0</v>
      </c>
      <c r="AT301" s="416">
        <f t="shared" si="34"/>
        <v>0</v>
      </c>
      <c r="AU301" s="416">
        <f t="shared" si="34"/>
        <v>0</v>
      </c>
      <c r="AV301" s="416">
        <f t="shared" si="34"/>
        <v>0</v>
      </c>
      <c r="AW301" s="416">
        <f t="shared" si="34"/>
        <v>0</v>
      </c>
      <c r="AX301" s="416">
        <f t="shared" si="34"/>
        <v>0</v>
      </c>
      <c r="AY301" s="416">
        <f t="shared" si="34"/>
        <v>0</v>
      </c>
      <c r="AZ301" s="416">
        <f t="shared" si="34"/>
        <v>0</v>
      </c>
      <c r="BA301" s="416">
        <f t="shared" si="34"/>
        <v>0</v>
      </c>
      <c r="BB301" s="416">
        <f>SUM(T301:BA301)</f>
        <v>58499.999999999993</v>
      </c>
    </row>
    <row r="302" spans="2:54">
      <c r="B302" s="1243" t="s">
        <v>558</v>
      </c>
      <c r="C302" s="1244"/>
      <c r="D302" s="1244"/>
      <c r="E302" s="1244"/>
      <c r="F302" s="1244"/>
      <c r="G302" s="1245"/>
      <c r="H302" s="420">
        <f>H301-L283</f>
        <v>0</v>
      </c>
      <c r="I302" s="294"/>
      <c r="J302" s="295"/>
      <c r="K302" s="295"/>
      <c r="L302" s="296"/>
      <c r="M302" s="32"/>
      <c r="N302" s="32"/>
      <c r="O302" s="32"/>
      <c r="P302" s="32"/>
      <c r="Q302" s="297"/>
      <c r="R302" s="297"/>
      <c r="S302" s="32"/>
      <c r="T302" s="48"/>
      <c r="U302" s="48"/>
      <c r="V302" s="48"/>
      <c r="W302" s="48"/>
      <c r="X302" s="48"/>
      <c r="Y302" s="48"/>
      <c r="Z302" s="48"/>
      <c r="AA302" s="48"/>
      <c r="AB302" s="48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</row>
    <row r="303" spans="2:54">
      <c r="B303" s="1243" t="s">
        <v>559</v>
      </c>
      <c r="C303" s="1244"/>
      <c r="D303" s="1244"/>
      <c r="E303" s="1244"/>
      <c r="F303" s="1244"/>
      <c r="G303" s="1245"/>
      <c r="H303" s="420">
        <v>3157</v>
      </c>
      <c r="I303" s="52"/>
      <c r="J303" s="53"/>
      <c r="K303" s="53"/>
      <c r="L303" s="54"/>
      <c r="M303" s="32"/>
      <c r="N303" s="201"/>
      <c r="O303" s="32"/>
      <c r="P303" s="32"/>
      <c r="Q303" s="32"/>
      <c r="R303" s="32"/>
      <c r="S303" s="32"/>
      <c r="T303" s="48"/>
      <c r="U303" s="48"/>
      <c r="V303" s="48"/>
      <c r="W303" s="48"/>
      <c r="X303" s="48"/>
      <c r="Y303" s="48"/>
      <c r="Z303" s="48"/>
      <c r="AA303" s="48"/>
      <c r="AB303" s="48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</row>
    <row r="304" spans="2:54">
      <c r="B304" s="1243" t="s">
        <v>560</v>
      </c>
      <c r="C304" s="1244"/>
      <c r="D304" s="1244"/>
      <c r="E304" s="1244"/>
      <c r="F304" s="1244"/>
      <c r="G304" s="1245"/>
      <c r="H304" s="421">
        <f>H303-3184.225</f>
        <v>-27.224999999999909</v>
      </c>
      <c r="I304" s="52"/>
      <c r="J304" s="53"/>
      <c r="K304" s="53"/>
      <c r="L304" s="54"/>
      <c r="M304" s="32"/>
      <c r="N304" s="32"/>
      <c r="O304" s="32"/>
      <c r="P304" s="32"/>
      <c r="Q304" s="32"/>
      <c r="R304" s="32"/>
      <c r="S304" s="48"/>
      <c r="T304" s="48"/>
      <c r="U304" s="48"/>
      <c r="V304" s="48"/>
      <c r="W304" s="48"/>
      <c r="X304" s="48"/>
      <c r="Y304" s="48"/>
      <c r="Z304" s="48"/>
      <c r="AA304" s="48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</row>
    <row r="305" spans="2:54">
      <c r="B305" s="201"/>
      <c r="C305" s="201"/>
      <c r="D305" s="201"/>
      <c r="E305" s="201"/>
      <c r="F305" s="201"/>
      <c r="G305" s="201"/>
      <c r="H305" s="201"/>
      <c r="I305" s="213"/>
      <c r="J305" s="209"/>
      <c r="K305" s="209"/>
      <c r="L305" s="203"/>
      <c r="M305" s="201"/>
      <c r="N305" s="201"/>
      <c r="O305" s="209"/>
      <c r="P305" s="32"/>
      <c r="Q305" s="32"/>
      <c r="R305" s="32"/>
      <c r="S305" s="32"/>
      <c r="T305" s="48"/>
      <c r="U305" s="48"/>
      <c r="V305" s="48"/>
      <c r="W305" s="48"/>
      <c r="X305" s="48"/>
      <c r="Y305" s="48"/>
      <c r="Z305" s="48"/>
      <c r="AA305" s="48"/>
      <c r="AB305" s="48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</row>
    <row r="306" spans="2:54">
      <c r="B306" s="40" t="s">
        <v>561</v>
      </c>
      <c r="C306" s="40"/>
      <c r="D306" s="32"/>
      <c r="E306" s="32"/>
      <c r="F306" s="32"/>
      <c r="G306" s="32"/>
      <c r="H306" s="32"/>
      <c r="I306" s="32"/>
      <c r="J306" s="52"/>
      <c r="K306" s="52"/>
      <c r="L306" s="55"/>
      <c r="M306" s="32"/>
      <c r="N306" s="201"/>
      <c r="O306" s="5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  <c r="AA306" s="202"/>
      <c r="AB306" s="201"/>
      <c r="AC306" s="201"/>
      <c r="AD306" s="201"/>
      <c r="AE306" s="201"/>
      <c r="AF306" s="201"/>
      <c r="AG306" s="201"/>
      <c r="AH306" s="201"/>
      <c r="AI306" s="201"/>
      <c r="AJ306" s="201"/>
      <c r="AK306" s="201"/>
      <c r="AL306" s="201"/>
      <c r="AM306" s="201"/>
      <c r="AN306" s="201"/>
      <c r="AO306" s="201"/>
      <c r="AP306" s="201"/>
      <c r="AQ306" s="201"/>
      <c r="AR306" s="201"/>
      <c r="AS306" s="201"/>
      <c r="AT306" s="201"/>
      <c r="AU306" s="201"/>
      <c r="BB306" s="201"/>
    </row>
    <row r="307" spans="2:54">
      <c r="B307" s="422">
        <v>1</v>
      </c>
      <c r="C307" s="1291" t="s">
        <v>2018</v>
      </c>
      <c r="D307" s="1292"/>
      <c r="E307" s="1292"/>
      <c r="F307" s="1292"/>
      <c r="G307" s="1292"/>
      <c r="H307" s="1292"/>
      <c r="I307" s="1292"/>
      <c r="J307" s="1292"/>
      <c r="K307" s="1293"/>
      <c r="L307" s="203"/>
      <c r="M307" s="203"/>
      <c r="N307" s="201"/>
      <c r="O307" s="209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  <c r="AA307" s="202"/>
      <c r="AB307" s="201"/>
      <c r="AC307" s="201"/>
      <c r="AD307" s="201"/>
      <c r="AE307" s="201"/>
      <c r="AF307" s="201"/>
      <c r="AG307" s="201"/>
      <c r="AH307" s="201"/>
      <c r="AI307" s="201"/>
      <c r="AJ307" s="201"/>
      <c r="AK307" s="201"/>
      <c r="AL307" s="201"/>
      <c r="AM307" s="201"/>
      <c r="AN307" s="201"/>
      <c r="AO307" s="201"/>
      <c r="AP307" s="201"/>
      <c r="AQ307" s="201"/>
      <c r="AR307" s="201"/>
      <c r="AS307" s="201"/>
      <c r="AT307" s="201"/>
      <c r="AU307" s="201"/>
      <c r="AV307" s="201"/>
      <c r="AW307" s="201"/>
      <c r="AX307" s="201"/>
      <c r="AY307" s="201"/>
      <c r="AZ307" s="201"/>
      <c r="BA307" s="201"/>
      <c r="BB307" s="201"/>
    </row>
    <row r="309" spans="2:54">
      <c r="B309" s="28" t="s">
        <v>126</v>
      </c>
      <c r="C309" s="28"/>
      <c r="D309" s="29"/>
      <c r="E309" s="30" t="s">
        <v>511</v>
      </c>
      <c r="F309" s="31" t="s">
        <v>1891</v>
      </c>
      <c r="G309" s="32"/>
      <c r="H309" s="33"/>
      <c r="I309" s="34"/>
      <c r="J309" s="35" t="s">
        <v>513</v>
      </c>
      <c r="K309" s="36" t="s">
        <v>511</v>
      </c>
      <c r="L309" s="37">
        <v>45094.722222222219</v>
      </c>
      <c r="M309" s="32"/>
      <c r="N309" s="32"/>
      <c r="O309" s="206"/>
      <c r="P309" s="205"/>
      <c r="Q309" s="202"/>
      <c r="R309" s="204"/>
      <c r="S309" s="38"/>
      <c r="T309" s="201"/>
      <c r="U309" s="201"/>
      <c r="V309" s="201"/>
      <c r="W309" s="201"/>
      <c r="X309" s="201"/>
      <c r="Y309" s="201"/>
      <c r="Z309" s="201"/>
      <c r="AA309" s="201"/>
      <c r="AB309" s="202"/>
      <c r="AC309" s="202"/>
      <c r="AD309" s="202"/>
      <c r="AE309" s="202"/>
      <c r="AF309" s="202"/>
      <c r="AG309" s="201"/>
      <c r="AH309" s="201"/>
      <c r="AI309" s="201"/>
      <c r="AJ309" s="201"/>
      <c r="AK309" s="201"/>
      <c r="AL309" s="201"/>
      <c r="AM309" s="201"/>
      <c r="AN309" s="201"/>
      <c r="AO309" s="201"/>
      <c r="AP309" s="201"/>
      <c r="AQ309" s="201"/>
      <c r="AR309" s="201"/>
      <c r="AS309" s="201"/>
      <c r="AT309" s="201"/>
      <c r="AU309" s="201"/>
      <c r="AV309" s="201"/>
      <c r="AW309" s="201"/>
      <c r="AX309" s="201"/>
      <c r="AY309" s="201"/>
      <c r="AZ309" s="201"/>
      <c r="BA309" s="201"/>
      <c r="BB309" s="201"/>
    </row>
    <row r="310" spans="2:54">
      <c r="B310" s="35" t="s">
        <v>514</v>
      </c>
      <c r="C310" s="35"/>
      <c r="D310" s="32"/>
      <c r="E310" s="36" t="s">
        <v>511</v>
      </c>
      <c r="F310" s="37" t="s">
        <v>2022</v>
      </c>
      <c r="G310" s="59" t="s">
        <v>647</v>
      </c>
      <c r="H310" s="33"/>
      <c r="I310" s="34"/>
      <c r="J310" s="35" t="s">
        <v>516</v>
      </c>
      <c r="K310" s="36" t="s">
        <v>511</v>
      </c>
      <c r="L310" s="37">
        <v>45096.635416666664</v>
      </c>
      <c r="M310" s="32"/>
      <c r="N310" s="32"/>
      <c r="O310" s="206"/>
      <c r="P310" s="205"/>
      <c r="Q310" s="202"/>
      <c r="R310" s="204"/>
      <c r="S310" s="38"/>
      <c r="T310" s="201"/>
      <c r="U310" s="201"/>
      <c r="V310" s="201"/>
      <c r="W310" s="201"/>
      <c r="X310" s="201"/>
      <c r="Y310" s="201"/>
      <c r="Z310" s="201"/>
      <c r="AA310" s="201"/>
      <c r="AB310" s="202"/>
      <c r="AC310" s="202"/>
      <c r="AD310" s="202"/>
      <c r="AE310" s="202"/>
      <c r="AF310" s="202"/>
      <c r="AG310" s="201"/>
      <c r="AH310" s="201"/>
      <c r="AI310" s="201"/>
      <c r="AJ310" s="201"/>
      <c r="AK310" s="201"/>
      <c r="AL310" s="201"/>
      <c r="AM310" s="201"/>
      <c r="AN310" s="201"/>
      <c r="AO310" s="201"/>
      <c r="AP310" s="201"/>
      <c r="AQ310" s="201"/>
      <c r="AR310" s="201"/>
      <c r="AS310" s="201"/>
      <c r="AT310" s="201"/>
      <c r="AU310" s="201"/>
      <c r="AV310" s="201"/>
      <c r="AW310" s="201"/>
      <c r="AX310" s="201"/>
      <c r="AY310" s="201"/>
      <c r="AZ310" s="201"/>
      <c r="BA310" s="201"/>
      <c r="BB310" s="201"/>
    </row>
    <row r="311" spans="2:54">
      <c r="B311" s="35" t="s">
        <v>517</v>
      </c>
      <c r="C311" s="35"/>
      <c r="D311" s="32"/>
      <c r="E311" s="36" t="s">
        <v>511</v>
      </c>
      <c r="F311" s="37">
        <v>45084.708333333336</v>
      </c>
      <c r="G311" s="60">
        <v>45088</v>
      </c>
      <c r="H311" s="33"/>
      <c r="I311" s="34"/>
      <c r="J311" s="35" t="s">
        <v>518</v>
      </c>
      <c r="K311" s="36" t="s">
        <v>511</v>
      </c>
      <c r="L311" s="50">
        <v>71800</v>
      </c>
      <c r="M311" s="40" t="s">
        <v>519</v>
      </c>
      <c r="N311" s="40"/>
      <c r="O311" s="206"/>
      <c r="P311" s="205"/>
      <c r="Q311" s="202"/>
      <c r="R311" s="204"/>
      <c r="S311" s="38"/>
      <c r="T311" s="201"/>
      <c r="U311" s="201"/>
      <c r="V311" s="201"/>
      <c r="W311" s="201"/>
      <c r="X311" s="201"/>
      <c r="Y311" s="201"/>
      <c r="Z311" s="201"/>
      <c r="AA311" s="201"/>
      <c r="AB311" s="202"/>
      <c r="AC311" s="202"/>
      <c r="AD311" s="202"/>
      <c r="AE311" s="202"/>
      <c r="AF311" s="202"/>
      <c r="AG311" s="201"/>
      <c r="AH311" s="201"/>
      <c r="AI311" s="201"/>
      <c r="AJ311" s="201"/>
      <c r="AK311" s="201"/>
      <c r="AL311" s="201"/>
      <c r="AM311" s="201"/>
      <c r="AN311" s="201"/>
      <c r="AO311" s="201"/>
      <c r="AP311" s="201"/>
      <c r="AQ311" s="201"/>
      <c r="AR311" s="201"/>
      <c r="AS311" s="201"/>
      <c r="AT311" s="201"/>
      <c r="AU311" s="201"/>
      <c r="AV311" s="201"/>
      <c r="AW311" s="201"/>
      <c r="AX311" s="201"/>
      <c r="AY311" s="201"/>
      <c r="AZ311" s="201"/>
      <c r="BA311" s="201"/>
      <c r="BB311" s="201"/>
    </row>
    <row r="312" spans="2:54">
      <c r="B312" s="35" t="s">
        <v>520</v>
      </c>
      <c r="C312" s="35"/>
      <c r="D312" s="32"/>
      <c r="E312" s="36" t="s">
        <v>511</v>
      </c>
      <c r="F312" s="37" t="s">
        <v>4</v>
      </c>
      <c r="G312" s="32"/>
      <c r="H312" s="33"/>
      <c r="I312" s="34"/>
      <c r="J312" s="35" t="s">
        <v>521</v>
      </c>
      <c r="K312" s="36" t="s">
        <v>511</v>
      </c>
      <c r="L312" s="41" t="s">
        <v>2023</v>
      </c>
      <c r="M312" s="32"/>
      <c r="N312" s="32"/>
      <c r="O312" s="206"/>
      <c r="P312" s="202"/>
      <c r="Q312" s="202"/>
      <c r="R312" s="204"/>
      <c r="S312" s="38"/>
      <c r="T312" s="201"/>
      <c r="U312" s="201"/>
      <c r="V312" s="201"/>
      <c r="W312" s="201"/>
      <c r="X312" s="201"/>
      <c r="Y312" s="201"/>
      <c r="Z312" s="201"/>
      <c r="AA312" s="201"/>
      <c r="AB312" s="202"/>
      <c r="AC312" s="202"/>
      <c r="AD312" s="202"/>
      <c r="AE312" s="202"/>
      <c r="AF312" s="202"/>
      <c r="AG312" s="201"/>
      <c r="AH312" s="201"/>
      <c r="AI312" s="201"/>
      <c r="AJ312" s="201"/>
      <c r="AK312" s="201"/>
      <c r="AL312" s="201"/>
      <c r="AM312" s="201"/>
      <c r="AN312" s="201"/>
      <c r="AO312" s="201"/>
      <c r="AP312" s="201"/>
      <c r="AQ312" s="201"/>
      <c r="AR312" s="201"/>
      <c r="AS312" s="201"/>
      <c r="AT312" s="201"/>
      <c r="AU312" s="201"/>
      <c r="AV312" s="201"/>
      <c r="AW312" s="201"/>
      <c r="AX312" s="201"/>
      <c r="AY312" s="201"/>
      <c r="AZ312" s="201"/>
      <c r="BA312" s="201"/>
      <c r="BB312" s="201"/>
    </row>
    <row r="313" spans="2:54">
      <c r="B313" s="35" t="s">
        <v>523</v>
      </c>
      <c r="C313" s="35"/>
      <c r="D313" s="32"/>
      <c r="E313" s="36" t="s">
        <v>511</v>
      </c>
      <c r="F313" s="37" t="s">
        <v>5</v>
      </c>
      <c r="G313" s="32"/>
      <c r="H313" s="33"/>
      <c r="I313" s="34"/>
      <c r="J313" s="42" t="s">
        <v>524</v>
      </c>
      <c r="K313" s="36" t="s">
        <v>511</v>
      </c>
      <c r="L313" s="43" t="s">
        <v>11</v>
      </c>
      <c r="M313" s="44"/>
      <c r="N313" s="44"/>
      <c r="O313" s="206"/>
      <c r="P313" s="205"/>
      <c r="Q313" s="202"/>
      <c r="R313" s="204"/>
      <c r="S313" s="38"/>
      <c r="T313" s="201"/>
      <c r="U313" s="201"/>
      <c r="V313" s="201"/>
      <c r="W313" s="201"/>
      <c r="X313" s="201"/>
      <c r="Y313" s="201"/>
      <c r="Z313" s="201"/>
      <c r="AA313" s="201"/>
      <c r="AB313" s="202"/>
      <c r="AC313" s="202"/>
      <c r="AD313" s="202"/>
      <c r="AE313" s="202"/>
      <c r="AF313" s="202"/>
      <c r="AG313" s="201"/>
      <c r="AH313" s="201"/>
      <c r="AI313" s="201"/>
      <c r="AJ313" s="201"/>
      <c r="AK313" s="201"/>
      <c r="AL313" s="201"/>
      <c r="AM313" s="201"/>
      <c r="AN313" s="201"/>
      <c r="AO313" s="201"/>
      <c r="AP313" s="201"/>
      <c r="AQ313" s="201"/>
      <c r="AR313" s="201"/>
      <c r="AS313" s="201"/>
      <c r="AT313" s="201"/>
      <c r="AU313" s="201"/>
      <c r="AV313" s="201"/>
      <c r="AW313" s="201"/>
      <c r="AX313" s="201"/>
      <c r="AY313" s="201"/>
      <c r="AZ313" s="201"/>
      <c r="BA313" s="201"/>
      <c r="BB313" s="201"/>
    </row>
    <row r="314" spans="2:54">
      <c r="B314" s="35" t="s">
        <v>2</v>
      </c>
      <c r="C314" s="35"/>
      <c r="D314" s="32"/>
      <c r="E314" s="36" t="s">
        <v>511</v>
      </c>
      <c r="F314" s="37" t="s">
        <v>58</v>
      </c>
      <c r="G314" s="32"/>
      <c r="H314" s="33"/>
      <c r="I314" s="45"/>
      <c r="J314" s="42"/>
      <c r="K314" s="36"/>
      <c r="L314" s="211"/>
      <c r="M314" s="201"/>
      <c r="N314" s="201"/>
      <c r="O314" s="42"/>
      <c r="P314" s="44"/>
      <c r="Q314" s="44"/>
      <c r="R314" s="44"/>
      <c r="S314" s="34"/>
      <c r="T314" s="201"/>
      <c r="U314" s="201"/>
      <c r="V314" s="201"/>
      <c r="W314" s="201"/>
      <c r="X314" s="201"/>
      <c r="Y314" s="201"/>
      <c r="Z314" s="201"/>
      <c r="AA314" s="201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201"/>
      <c r="AP314" s="201"/>
      <c r="AQ314" s="201"/>
      <c r="AR314" s="201"/>
      <c r="AS314" s="201"/>
      <c r="AT314" s="201"/>
      <c r="AU314" s="201"/>
      <c r="AV314" s="201"/>
      <c r="AW314" s="201"/>
      <c r="AX314" s="201"/>
      <c r="AY314" s="201"/>
      <c r="AZ314" s="201"/>
      <c r="BA314" s="201"/>
      <c r="BB314" s="201"/>
    </row>
    <row r="315" spans="2:54">
      <c r="B315" s="201"/>
      <c r="C315" s="201"/>
      <c r="D315" s="201"/>
      <c r="E315" s="201"/>
      <c r="F315" s="201"/>
      <c r="G315" s="201"/>
      <c r="H315" s="201"/>
      <c r="I315" s="45"/>
      <c r="J315" s="42"/>
      <c r="K315" s="42"/>
      <c r="L315" s="43"/>
      <c r="M315" s="44"/>
      <c r="N315" s="44"/>
      <c r="O315" s="42"/>
      <c r="P315" s="44"/>
      <c r="Q315" s="44"/>
      <c r="R315" s="44"/>
      <c r="S315" s="34"/>
      <c r="T315" s="1265" t="s">
        <v>87</v>
      </c>
      <c r="U315" s="1265"/>
      <c r="V315" s="1265"/>
      <c r="W315" s="1265"/>
      <c r="X315" s="1265"/>
      <c r="Y315" s="1265" t="s">
        <v>73</v>
      </c>
      <c r="Z315" s="1265"/>
      <c r="AA315" s="1265"/>
      <c r="AB315" s="1265" t="s">
        <v>74</v>
      </c>
      <c r="AC315" s="1265"/>
      <c r="AD315" s="423" t="s">
        <v>85</v>
      </c>
      <c r="AE315" s="423" t="s">
        <v>77</v>
      </c>
      <c r="AF315" s="1265" t="s">
        <v>525</v>
      </c>
      <c r="AG315" s="1265"/>
      <c r="AH315" s="1265"/>
      <c r="AI315" s="1265"/>
      <c r="AJ315" s="1265"/>
      <c r="AK315" s="1265"/>
      <c r="AL315" s="1265"/>
      <c r="AM315" s="1265"/>
      <c r="AN315" s="1265"/>
      <c r="AO315" s="1265"/>
      <c r="AP315" s="1265"/>
      <c r="AQ315" s="1265"/>
      <c r="AR315" s="1265"/>
      <c r="AS315" s="1265"/>
      <c r="AT315" s="1265"/>
      <c r="AU315" s="1265"/>
      <c r="AV315" s="1265"/>
      <c r="AW315" s="1265"/>
      <c r="AX315" s="1265"/>
      <c r="AY315" s="1265"/>
      <c r="AZ315" s="1265"/>
      <c r="BA315" s="1265"/>
      <c r="BB315" s="201"/>
    </row>
    <row r="316" spans="2:54">
      <c r="B316" s="1266" t="s">
        <v>526</v>
      </c>
      <c r="C316" s="1267"/>
      <c r="D316" s="570" t="s">
        <v>527</v>
      </c>
      <c r="E316" s="570"/>
      <c r="F316" s="570" t="s">
        <v>528</v>
      </c>
      <c r="G316" s="570" t="s">
        <v>529</v>
      </c>
      <c r="H316" s="570" t="s">
        <v>530</v>
      </c>
      <c r="I316" s="570" t="s">
        <v>531</v>
      </c>
      <c r="J316" s="570" t="s">
        <v>532</v>
      </c>
      <c r="K316" s="570"/>
      <c r="L316" s="570" t="s">
        <v>130</v>
      </c>
      <c r="M316" s="570" t="s">
        <v>533</v>
      </c>
      <c r="N316" s="408" t="str">
        <f>"On time - "&amp;COUNTIF(N317:N338,"On time")&amp;" from "&amp;ROWS(N317:N338)-COUNTIF(N317:N338," ")</f>
        <v>On time - 0 from 10</v>
      </c>
      <c r="O316" s="46"/>
      <c r="P316" s="409" t="s">
        <v>534</v>
      </c>
      <c r="Q316" s="409" t="s">
        <v>535</v>
      </c>
      <c r="R316" s="409" t="s">
        <v>536</v>
      </c>
      <c r="S316" s="32"/>
      <c r="T316" s="424" t="s">
        <v>537</v>
      </c>
      <c r="U316" s="424" t="s">
        <v>538</v>
      </c>
      <c r="V316" s="424" t="s">
        <v>539</v>
      </c>
      <c r="W316" s="424" t="s">
        <v>540</v>
      </c>
      <c r="X316" s="424" t="s">
        <v>541</v>
      </c>
      <c r="Y316" s="424" t="s">
        <v>167</v>
      </c>
      <c r="Z316" s="424" t="s">
        <v>168</v>
      </c>
      <c r="AA316" s="424" t="s">
        <v>169</v>
      </c>
      <c r="AB316" s="424" t="s">
        <v>235</v>
      </c>
      <c r="AC316" s="424" t="s">
        <v>240</v>
      </c>
      <c r="AD316" s="423" t="s">
        <v>85</v>
      </c>
      <c r="AE316" s="424" t="s">
        <v>139</v>
      </c>
      <c r="AF316" s="424" t="s">
        <v>72</v>
      </c>
      <c r="AG316" s="424" t="s">
        <v>88</v>
      </c>
      <c r="AH316" s="424" t="s">
        <v>75</v>
      </c>
      <c r="AI316" s="424" t="s">
        <v>543</v>
      </c>
      <c r="AJ316" s="424" t="s">
        <v>78</v>
      </c>
      <c r="AK316" s="424" t="s">
        <v>76</v>
      </c>
      <c r="AL316" s="424" t="s">
        <v>544</v>
      </c>
      <c r="AM316" s="424" t="s">
        <v>545</v>
      </c>
      <c r="AN316" s="424" t="s">
        <v>86</v>
      </c>
      <c r="AO316" s="424" t="s">
        <v>83</v>
      </c>
      <c r="AP316" s="424" t="s">
        <v>84</v>
      </c>
      <c r="AQ316" s="424" t="s">
        <v>546</v>
      </c>
      <c r="AR316" s="424" t="s">
        <v>81</v>
      </c>
      <c r="AS316" s="424" t="s">
        <v>80</v>
      </c>
      <c r="AT316" s="424" t="s">
        <v>82</v>
      </c>
      <c r="AU316" s="424" t="s">
        <v>181</v>
      </c>
      <c r="AV316" s="424" t="s">
        <v>183</v>
      </c>
      <c r="AW316" s="424" t="s">
        <v>547</v>
      </c>
      <c r="AX316" s="424" t="s">
        <v>182</v>
      </c>
      <c r="AY316" s="424" t="s">
        <v>172</v>
      </c>
      <c r="AZ316" s="424" t="s">
        <v>173</v>
      </c>
      <c r="BA316" s="424" t="s">
        <v>184</v>
      </c>
      <c r="BB316" s="201"/>
    </row>
    <row r="317" spans="2:54">
      <c r="B317" s="1256" t="s">
        <v>616</v>
      </c>
      <c r="C317" s="1257"/>
      <c r="D317" s="411" t="s">
        <v>1930</v>
      </c>
      <c r="E317" s="444"/>
      <c r="F317" s="411" t="s">
        <v>1623</v>
      </c>
      <c r="G317" s="411" t="s">
        <v>1624</v>
      </c>
      <c r="H317" s="412">
        <v>4966.0209999999997</v>
      </c>
      <c r="I317" s="413" t="s">
        <v>183</v>
      </c>
      <c r="J317" s="414">
        <v>45091.885416666664</v>
      </c>
      <c r="K317" s="414"/>
      <c r="L317" s="414" t="s">
        <v>192</v>
      </c>
      <c r="M317" s="414" t="s">
        <v>192</v>
      </c>
      <c r="N317" s="413" t="str">
        <f>IF(ISBLANK(J317)," ",IF(J317&lt;$G$311,"On time",(IF(DAY(J317-$G$311)&lt;1,"On time",(IF(J317&gt;$G$311,"DELAY ( "&amp;DAY(J317-$G$311)&amp;" day "&amp;HOUR(J317-$G$311)&amp;" hour "&amp;MINUTE(J317-$G$311)&amp;" minute )","xxx"))))))</f>
        <v>DELAY ( 3 day 21 hour 15 minute )</v>
      </c>
      <c r="O317" s="51"/>
      <c r="P317" s="415" t="s">
        <v>551</v>
      </c>
      <c r="Q317" s="415" t="s">
        <v>551</v>
      </c>
      <c r="R317" s="415" t="s">
        <v>551</v>
      </c>
      <c r="S317" s="32"/>
      <c r="T317" s="416"/>
      <c r="U317" s="416"/>
      <c r="V317" s="416"/>
      <c r="W317" s="416"/>
      <c r="X317" s="416"/>
      <c r="Y317" s="416"/>
      <c r="Z317" s="416"/>
      <c r="AA317" s="416"/>
      <c r="AB317" s="416"/>
      <c r="AC317" s="416"/>
      <c r="AD317" s="416"/>
      <c r="AE317" s="416"/>
      <c r="AF317" s="416"/>
      <c r="AG317" s="416"/>
      <c r="AH317" s="416"/>
      <c r="AI317" s="416"/>
      <c r="AJ317" s="416"/>
      <c r="AK317" s="416"/>
      <c r="AL317" s="416"/>
      <c r="AM317" s="416"/>
      <c r="AN317" s="416"/>
      <c r="AO317" s="416"/>
      <c r="AP317" s="416"/>
      <c r="AQ317" s="416"/>
      <c r="AR317" s="416"/>
      <c r="AS317" s="416"/>
      <c r="AT317" s="416"/>
      <c r="AU317" s="416"/>
      <c r="AV317" s="416">
        <f>H317</f>
        <v>4966.0209999999997</v>
      </c>
      <c r="AW317" s="416"/>
      <c r="AX317" s="416"/>
      <c r="AY317" s="416"/>
      <c r="AZ317" s="416"/>
      <c r="BA317" s="416"/>
      <c r="BB317" s="32"/>
    </row>
    <row r="318" spans="2:54">
      <c r="B318" s="1256" t="s">
        <v>668</v>
      </c>
      <c r="C318" s="1257"/>
      <c r="D318" s="411" t="s">
        <v>1938</v>
      </c>
      <c r="E318" s="444"/>
      <c r="F318" s="411" t="s">
        <v>1367</v>
      </c>
      <c r="G318" s="411" t="s">
        <v>1939</v>
      </c>
      <c r="H318" s="412">
        <f>7558.104</f>
        <v>7558.1040000000003</v>
      </c>
      <c r="I318" s="413" t="s">
        <v>184</v>
      </c>
      <c r="J318" s="414">
        <v>45092.694444444445</v>
      </c>
      <c r="K318" s="414"/>
      <c r="L318" s="414" t="s">
        <v>192</v>
      </c>
      <c r="M318" s="414" t="s">
        <v>192</v>
      </c>
      <c r="N318" s="413" t="str">
        <f t="shared" ref="N318:N341" si="35">IF(ISBLANK(J318)," ",IF(J318&lt;$G$311,"On time",(IF(DAY(J318-$G$311)&lt;1,"On time",(IF(J318&gt;$G$311,"DELAY ( "&amp;DAY(J318-$G$311)&amp;" day "&amp;HOUR(J318-$G$311)&amp;" hour "&amp;MINUTE(J318-$G$311)&amp;" minute )","xxx"))))))</f>
        <v>DELAY ( 4 day 16 hour 40 minute )</v>
      </c>
      <c r="O318" s="51"/>
      <c r="P318" s="415" t="s">
        <v>551</v>
      </c>
      <c r="Q318" s="415" t="s">
        <v>551</v>
      </c>
      <c r="R318" s="415" t="s">
        <v>551</v>
      </c>
      <c r="S318" s="32"/>
      <c r="T318" s="416"/>
      <c r="U318" s="416"/>
      <c r="V318" s="416"/>
      <c r="W318" s="416"/>
      <c r="X318" s="416"/>
      <c r="Y318" s="416"/>
      <c r="Z318" s="416"/>
      <c r="AA318" s="416"/>
      <c r="AB318" s="416"/>
      <c r="AC318" s="416"/>
      <c r="AD318" s="416"/>
      <c r="AE318" s="416"/>
      <c r="AF318" s="416"/>
      <c r="AG318" s="416"/>
      <c r="AH318" s="416"/>
      <c r="AI318" s="416"/>
      <c r="AJ318" s="416"/>
      <c r="AK318" s="416"/>
      <c r="AL318" s="416"/>
      <c r="AM318" s="416"/>
      <c r="AN318" s="416"/>
      <c r="AO318" s="416"/>
      <c r="AP318" s="416"/>
      <c r="AQ318" s="416"/>
      <c r="AR318" s="416"/>
      <c r="AS318" s="416"/>
      <c r="AT318" s="32"/>
      <c r="AU318" s="416"/>
      <c r="AV318" s="416"/>
      <c r="AW318" s="416"/>
      <c r="AX318" s="416"/>
      <c r="AY318" s="416"/>
      <c r="AZ318" s="416"/>
      <c r="BA318" s="416">
        <f>H318</f>
        <v>7558.1040000000003</v>
      </c>
      <c r="BB318" s="32"/>
    </row>
    <row r="319" spans="2:54">
      <c r="B319" s="1256" t="s">
        <v>616</v>
      </c>
      <c r="C319" s="1257"/>
      <c r="D319" s="411" t="s">
        <v>1892</v>
      </c>
      <c r="E319" s="444"/>
      <c r="F319" s="411" t="s">
        <v>1893</v>
      </c>
      <c r="G319" s="411" t="s">
        <v>1894</v>
      </c>
      <c r="H319" s="412">
        <f>7331.531</f>
        <v>7331.5309999999999</v>
      </c>
      <c r="I319" s="413" t="s">
        <v>181</v>
      </c>
      <c r="J319" s="571">
        <v>45092.541666666664</v>
      </c>
      <c r="K319" s="414"/>
      <c r="L319" s="414" t="s">
        <v>192</v>
      </c>
      <c r="M319" s="414" t="s">
        <v>192</v>
      </c>
      <c r="N319" s="413" t="str">
        <f t="shared" si="35"/>
        <v>DELAY ( 4 day 13 hour 0 minute )</v>
      </c>
      <c r="O319" s="51"/>
      <c r="P319" s="572" t="s">
        <v>551</v>
      </c>
      <c r="Q319" s="572" t="s">
        <v>551</v>
      </c>
      <c r="R319" s="572" t="s">
        <v>551</v>
      </c>
      <c r="S319" s="32"/>
      <c r="T319" s="416"/>
      <c r="U319" s="416"/>
      <c r="V319" s="416"/>
      <c r="W319" s="416"/>
      <c r="X319" s="416"/>
      <c r="Y319" s="416"/>
      <c r="Z319" s="416"/>
      <c r="AA319" s="416"/>
      <c r="AB319" s="416"/>
      <c r="AC319" s="416"/>
      <c r="AD319" s="416"/>
      <c r="AE319" s="416"/>
      <c r="AF319" s="416"/>
      <c r="AG319" s="416"/>
      <c r="AH319" s="416"/>
      <c r="AI319" s="416"/>
      <c r="AJ319" s="32"/>
      <c r="AK319" s="416"/>
      <c r="AL319" s="416"/>
      <c r="AM319" s="416"/>
      <c r="AN319" s="416"/>
      <c r="AO319" s="416"/>
      <c r="AP319" s="416"/>
      <c r="AQ319" s="416"/>
      <c r="AR319" s="416"/>
      <c r="AS319" s="416"/>
      <c r="AT319" s="416"/>
      <c r="AU319" s="416">
        <f>H319</f>
        <v>7331.5309999999999</v>
      </c>
      <c r="AV319" s="416"/>
      <c r="AW319" s="416"/>
      <c r="AX319" s="416"/>
      <c r="AY319" s="416"/>
      <c r="AZ319" s="416"/>
      <c r="BA319" s="416"/>
      <c r="BB319" s="32"/>
    </row>
    <row r="320" spans="2:54">
      <c r="B320" s="1258" t="s">
        <v>1721</v>
      </c>
      <c r="C320" s="1259"/>
      <c r="D320" s="1259"/>
      <c r="E320" s="1259"/>
      <c r="F320" s="1259"/>
      <c r="G320" s="1260"/>
      <c r="H320" s="417">
        <f>SUM(H317:H319)</f>
        <v>19855.655999999999</v>
      </c>
      <c r="I320" s="388"/>
      <c r="J320" s="293"/>
      <c r="K320" s="293"/>
      <c r="L320" s="293"/>
      <c r="M320" s="389"/>
      <c r="N320" s="413" t="str">
        <f t="shared" si="35"/>
        <v xml:space="preserve"> </v>
      </c>
      <c r="O320" s="212"/>
      <c r="P320" s="418"/>
      <c r="Q320" s="418"/>
      <c r="R320" s="418"/>
      <c r="S320" s="207"/>
      <c r="T320" s="428"/>
      <c r="U320" s="428"/>
      <c r="V320" s="428"/>
      <c r="W320" s="428"/>
      <c r="X320" s="428"/>
      <c r="Y320" s="428"/>
      <c r="Z320" s="428"/>
      <c r="AA320" s="428"/>
      <c r="AB320" s="428"/>
      <c r="AC320" s="428"/>
      <c r="AD320" s="428"/>
      <c r="AE320" s="428"/>
      <c r="AF320" s="428"/>
      <c r="AG320" s="428"/>
      <c r="AH320" s="428"/>
      <c r="AI320" s="428"/>
      <c r="AJ320" s="428"/>
      <c r="AK320" s="428"/>
      <c r="AL320" s="428"/>
      <c r="AM320" s="428"/>
      <c r="AN320" s="428"/>
      <c r="AO320" s="428"/>
      <c r="AP320" s="428"/>
      <c r="AQ320" s="428"/>
      <c r="AR320" s="428"/>
      <c r="AS320" s="428"/>
      <c r="AT320" s="428"/>
      <c r="AU320" s="428"/>
      <c r="AV320" s="416"/>
      <c r="AW320" s="416"/>
      <c r="AX320" s="416"/>
      <c r="AY320" s="416"/>
      <c r="AZ320" s="416"/>
      <c r="BA320" s="416"/>
    </row>
    <row r="321" spans="2:54">
      <c r="B321" s="1250" t="s">
        <v>619</v>
      </c>
      <c r="C321" s="1251"/>
      <c r="D321" s="411" t="s">
        <v>1961</v>
      </c>
      <c r="E321" s="411"/>
      <c r="F321" s="411" t="s">
        <v>222</v>
      </c>
      <c r="G321" s="411" t="s">
        <v>223</v>
      </c>
      <c r="H321" s="412">
        <v>7503.0690000000004</v>
      </c>
      <c r="I321" s="413" t="s">
        <v>1959</v>
      </c>
      <c r="J321" s="414">
        <v>45089.354166666664</v>
      </c>
      <c r="K321" s="414"/>
      <c r="L321" s="414" t="s">
        <v>192</v>
      </c>
      <c r="M321" s="414" t="s">
        <v>192</v>
      </c>
      <c r="N321" s="413" t="str">
        <f t="shared" si="35"/>
        <v>DELAY ( 1 day 8 hour 30 minute )</v>
      </c>
      <c r="O321" s="51"/>
      <c r="P321" s="415" t="s">
        <v>551</v>
      </c>
      <c r="Q321" s="415" t="s">
        <v>551</v>
      </c>
      <c r="R321" s="415" t="s">
        <v>551</v>
      </c>
      <c r="S321" s="32"/>
      <c r="T321" s="416"/>
      <c r="U321" s="416"/>
      <c r="V321" s="416"/>
      <c r="W321" s="416"/>
      <c r="X321" s="416"/>
      <c r="Y321" s="416"/>
      <c r="Z321" s="416">
        <f t="shared" ref="Z321" si="36">H321</f>
        <v>7503.0690000000004</v>
      </c>
      <c r="AA321" s="416"/>
      <c r="AB321" s="416"/>
      <c r="AC321" s="416"/>
      <c r="AD321" s="416"/>
      <c r="AE321" s="416"/>
      <c r="AF321" s="416"/>
      <c r="AG321" s="416"/>
      <c r="AH321" s="416"/>
      <c r="AI321" s="416"/>
      <c r="AJ321" s="416"/>
      <c r="AK321" s="416"/>
      <c r="AL321" s="416"/>
      <c r="AM321" s="416"/>
      <c r="AN321" s="416"/>
      <c r="AO321" s="416"/>
      <c r="AP321" s="416"/>
      <c r="AQ321" s="416"/>
      <c r="AR321" s="416"/>
      <c r="AS321" s="416"/>
      <c r="AT321" s="416"/>
      <c r="AU321" s="416"/>
      <c r="AV321" s="416"/>
      <c r="AW321" s="416"/>
      <c r="AX321" s="416"/>
      <c r="AY321" s="416"/>
      <c r="AZ321" s="416"/>
      <c r="BA321" s="416"/>
      <c r="BB321" s="32"/>
    </row>
    <row r="322" spans="2:54">
      <c r="B322" s="1252"/>
      <c r="C322" s="1253"/>
      <c r="D322" s="411"/>
      <c r="E322" s="411"/>
      <c r="F322" s="1256" t="s">
        <v>668</v>
      </c>
      <c r="G322" s="1257"/>
      <c r="H322" s="412">
        <v>2200</v>
      </c>
      <c r="I322" s="413"/>
      <c r="J322" s="414"/>
      <c r="K322" s="414"/>
      <c r="L322" s="414"/>
      <c r="M322" s="414"/>
      <c r="N322" s="413" t="str">
        <f t="shared" si="35"/>
        <v xml:space="preserve"> </v>
      </c>
      <c r="O322" s="51"/>
      <c r="P322" s="415"/>
      <c r="Q322" s="415"/>
      <c r="R322" s="415"/>
      <c r="S322" s="32"/>
      <c r="T322" s="416"/>
      <c r="U322" s="416"/>
      <c r="V322" s="416"/>
      <c r="W322" s="416"/>
      <c r="X322" s="416"/>
      <c r="Y322" s="416"/>
      <c r="Z322" s="416"/>
      <c r="AA322" s="416"/>
      <c r="AB322" s="416"/>
      <c r="AC322" s="416"/>
      <c r="AD322" s="416"/>
      <c r="AE322" s="416"/>
      <c r="AF322" s="416"/>
      <c r="AG322" s="416"/>
      <c r="AH322" s="416"/>
      <c r="AI322" s="416"/>
      <c r="AJ322" s="416"/>
      <c r="AK322" s="416"/>
      <c r="AL322" s="416"/>
      <c r="AM322" s="416"/>
      <c r="AN322" s="416"/>
      <c r="AO322" s="416"/>
      <c r="AP322" s="416"/>
      <c r="AQ322" s="416"/>
      <c r="AR322" s="416"/>
      <c r="AS322" s="416"/>
      <c r="AT322" s="416"/>
      <c r="AU322" s="416"/>
      <c r="AV322" s="416"/>
      <c r="AW322" s="416"/>
      <c r="AX322" s="416"/>
      <c r="AY322" s="416"/>
      <c r="AZ322" s="416"/>
      <c r="BA322" s="416"/>
      <c r="BB322" s="32"/>
    </row>
    <row r="323" spans="2:54">
      <c r="B323" s="1254"/>
      <c r="C323" s="1255"/>
      <c r="D323" s="411"/>
      <c r="E323" s="411"/>
      <c r="F323" s="1256" t="s">
        <v>616</v>
      </c>
      <c r="G323" s="1257"/>
      <c r="H323" s="412">
        <v>1500</v>
      </c>
      <c r="I323" s="413"/>
      <c r="J323" s="414"/>
      <c r="K323" s="414"/>
      <c r="L323" s="414"/>
      <c r="M323" s="414"/>
      <c r="N323" s="413" t="str">
        <f t="shared" si="35"/>
        <v xml:space="preserve"> </v>
      </c>
      <c r="O323" s="51"/>
      <c r="P323" s="415"/>
      <c r="Q323" s="415"/>
      <c r="R323" s="415"/>
      <c r="S323" s="32"/>
      <c r="T323" s="416"/>
      <c r="U323" s="416"/>
      <c r="V323" s="416"/>
      <c r="W323" s="416"/>
      <c r="X323" s="416"/>
      <c r="Y323" s="416"/>
      <c r="Z323" s="416"/>
      <c r="AA323" s="416"/>
      <c r="AB323" s="416"/>
      <c r="AC323" s="416"/>
      <c r="AD323" s="416"/>
      <c r="AE323" s="416"/>
      <c r="AF323" s="416"/>
      <c r="AG323" s="416"/>
      <c r="AH323" s="416"/>
      <c r="AI323" s="416"/>
      <c r="AJ323" s="416"/>
      <c r="AK323" s="416"/>
      <c r="AL323" s="416"/>
      <c r="AM323" s="416"/>
      <c r="AN323" s="416"/>
      <c r="AO323" s="416"/>
      <c r="AP323" s="416"/>
      <c r="AQ323" s="416"/>
      <c r="AR323" s="416"/>
      <c r="AS323" s="416"/>
      <c r="AT323" s="416"/>
      <c r="AU323" s="416"/>
      <c r="AV323" s="416"/>
      <c r="AW323" s="416"/>
      <c r="AX323" s="416"/>
      <c r="AY323" s="416"/>
      <c r="AZ323" s="416"/>
      <c r="BA323" s="416"/>
      <c r="BB323" s="32"/>
    </row>
    <row r="324" spans="2:54">
      <c r="B324" s="1250" t="s">
        <v>621</v>
      </c>
      <c r="C324" s="1251"/>
      <c r="D324" s="411" t="s">
        <v>1960</v>
      </c>
      <c r="E324" s="411"/>
      <c r="F324" s="411" t="s">
        <v>246</v>
      </c>
      <c r="G324" s="411" t="s">
        <v>247</v>
      </c>
      <c r="H324" s="412">
        <v>7492.3890000000001</v>
      </c>
      <c r="I324" s="413" t="s">
        <v>1959</v>
      </c>
      <c r="J324" s="414">
        <v>45089.4375</v>
      </c>
      <c r="K324" s="414"/>
      <c r="L324" s="414" t="s">
        <v>192</v>
      </c>
      <c r="M324" s="414" t="s">
        <v>192</v>
      </c>
      <c r="N324" s="413" t="str">
        <f t="shared" si="35"/>
        <v>DELAY ( 1 day 10 hour 30 minute )</v>
      </c>
      <c r="O324" s="51"/>
      <c r="P324" s="415" t="s">
        <v>551</v>
      </c>
      <c r="Q324" s="415" t="s">
        <v>551</v>
      </c>
      <c r="R324" s="415" t="s">
        <v>551</v>
      </c>
      <c r="S324" s="32"/>
      <c r="T324" s="416"/>
      <c r="U324" s="416"/>
      <c r="V324" s="416"/>
      <c r="W324" s="416"/>
      <c r="X324" s="416"/>
      <c r="Y324" s="416"/>
      <c r="Z324" s="416">
        <f>H324</f>
        <v>7492.3890000000001</v>
      </c>
      <c r="AA324" s="416"/>
      <c r="AB324" s="416"/>
      <c r="AC324" s="416"/>
      <c r="AD324" s="416"/>
      <c r="AE324" s="416"/>
      <c r="AF324" s="416"/>
      <c r="AG324" s="416"/>
      <c r="AH324" s="416"/>
      <c r="AI324" s="416"/>
      <c r="AJ324" s="416"/>
      <c r="AK324" s="416"/>
      <c r="AL324" s="416"/>
      <c r="AM324" s="416"/>
      <c r="AN324" s="416"/>
      <c r="AO324" s="416"/>
      <c r="AP324" s="416"/>
      <c r="AQ324" s="416"/>
      <c r="AR324" s="416"/>
      <c r="AS324" s="416"/>
      <c r="AT324" s="416"/>
      <c r="AU324" s="416"/>
      <c r="AV324" s="416"/>
      <c r="AW324" s="416"/>
      <c r="AX324" s="416"/>
      <c r="AY324" s="416"/>
      <c r="AZ324" s="416"/>
      <c r="BA324" s="416"/>
      <c r="BB324" s="32"/>
    </row>
    <row r="325" spans="2:54">
      <c r="B325" s="1252"/>
      <c r="C325" s="1253"/>
      <c r="D325" s="411"/>
      <c r="E325" s="411"/>
      <c r="F325" s="1256" t="s">
        <v>668</v>
      </c>
      <c r="G325" s="1257"/>
      <c r="H325" s="412">
        <v>2300</v>
      </c>
      <c r="I325" s="413"/>
      <c r="J325" s="414"/>
      <c r="K325" s="414"/>
      <c r="L325" s="414"/>
      <c r="M325" s="414"/>
      <c r="N325" s="413" t="str">
        <f t="shared" si="35"/>
        <v xml:space="preserve"> </v>
      </c>
      <c r="O325" s="51"/>
      <c r="P325" s="415"/>
      <c r="Q325" s="415"/>
      <c r="R325" s="415"/>
      <c r="S325" s="32"/>
      <c r="T325" s="416"/>
      <c r="U325" s="416"/>
      <c r="V325" s="416"/>
      <c r="W325" s="416"/>
      <c r="X325" s="416"/>
      <c r="Y325" s="416"/>
      <c r="Z325" s="416"/>
      <c r="AA325" s="416"/>
      <c r="AB325" s="416"/>
      <c r="AC325" s="416"/>
      <c r="AD325" s="416"/>
      <c r="AE325" s="416"/>
      <c r="AF325" s="416"/>
      <c r="AG325" s="416"/>
      <c r="AH325" s="416"/>
      <c r="AI325" s="416"/>
      <c r="AJ325" s="416"/>
      <c r="AK325" s="416"/>
      <c r="AL325" s="416"/>
      <c r="AM325" s="416"/>
      <c r="AN325" s="416"/>
      <c r="AO325" s="416"/>
      <c r="AP325" s="416"/>
      <c r="AQ325" s="416"/>
      <c r="AR325" s="416"/>
      <c r="AS325" s="416"/>
      <c r="AT325" s="416"/>
      <c r="AU325" s="416"/>
      <c r="AV325" s="416"/>
      <c r="AW325" s="416"/>
      <c r="AX325" s="416"/>
      <c r="AY325" s="416"/>
      <c r="AZ325" s="416"/>
      <c r="BA325" s="416"/>
      <c r="BB325" s="32"/>
    </row>
    <row r="326" spans="2:54">
      <c r="B326" s="1254"/>
      <c r="C326" s="1255"/>
      <c r="D326" s="411"/>
      <c r="E326" s="411"/>
      <c r="F326" s="1256" t="s">
        <v>616</v>
      </c>
      <c r="G326" s="1257"/>
      <c r="H326" s="412">
        <v>1500</v>
      </c>
      <c r="I326" s="413"/>
      <c r="J326" s="414"/>
      <c r="K326" s="414"/>
      <c r="L326" s="414"/>
      <c r="M326" s="414"/>
      <c r="N326" s="413" t="str">
        <f t="shared" si="35"/>
        <v xml:space="preserve"> </v>
      </c>
      <c r="O326" s="51"/>
      <c r="P326" s="415"/>
      <c r="Q326" s="415"/>
      <c r="R326" s="415"/>
      <c r="S326" s="32"/>
      <c r="T326" s="416"/>
      <c r="U326" s="416"/>
      <c r="V326" s="416"/>
      <c r="W326" s="416"/>
      <c r="X326" s="416"/>
      <c r="Y326" s="416"/>
      <c r="Z326" s="416"/>
      <c r="AA326" s="416"/>
      <c r="AB326" s="416"/>
      <c r="AC326" s="416"/>
      <c r="AD326" s="416"/>
      <c r="AE326" s="416"/>
      <c r="AF326" s="416"/>
      <c r="AG326" s="416"/>
      <c r="AH326" s="416"/>
      <c r="AI326" s="416"/>
      <c r="AJ326" s="416"/>
      <c r="AK326" s="416"/>
      <c r="AL326" s="416"/>
      <c r="AM326" s="416"/>
      <c r="AN326" s="416"/>
      <c r="AO326" s="416"/>
      <c r="AP326" s="416"/>
      <c r="AQ326" s="416"/>
      <c r="AR326" s="416"/>
      <c r="AS326" s="416"/>
      <c r="AT326" s="416"/>
      <c r="AU326" s="416"/>
      <c r="AV326" s="416"/>
      <c r="AW326" s="416"/>
      <c r="AX326" s="416"/>
      <c r="AY326" s="416"/>
      <c r="AZ326" s="416"/>
      <c r="BA326" s="416"/>
      <c r="BB326" s="32"/>
    </row>
    <row r="327" spans="2:54">
      <c r="B327" s="1250" t="s">
        <v>622</v>
      </c>
      <c r="C327" s="1251"/>
      <c r="D327" s="411" t="s">
        <v>1958</v>
      </c>
      <c r="E327" s="411"/>
      <c r="F327" s="411" t="s">
        <v>70</v>
      </c>
      <c r="G327" s="411" t="s">
        <v>255</v>
      </c>
      <c r="H327" s="412">
        <v>7459.6760000000004</v>
      </c>
      <c r="I327" s="413" t="s">
        <v>1959</v>
      </c>
      <c r="J327" s="414">
        <v>45090.270833333336</v>
      </c>
      <c r="K327" s="414"/>
      <c r="L327" s="414" t="s">
        <v>192</v>
      </c>
      <c r="M327" s="414" t="s">
        <v>192</v>
      </c>
      <c r="N327" s="413" t="str">
        <f t="shared" si="35"/>
        <v>DELAY ( 2 day 6 hour 30 minute )</v>
      </c>
      <c r="O327" s="51"/>
      <c r="P327" s="415" t="s">
        <v>551</v>
      </c>
      <c r="Q327" s="415" t="s">
        <v>551</v>
      </c>
      <c r="R327" s="415" t="s">
        <v>551</v>
      </c>
      <c r="S327" s="32"/>
      <c r="T327" s="416"/>
      <c r="U327" s="416"/>
      <c r="V327" s="416"/>
      <c r="W327" s="416"/>
      <c r="X327" s="416"/>
      <c r="Y327" s="416">
        <f>H327*0.2</f>
        <v>1491.9352000000001</v>
      </c>
      <c r="Z327" s="416">
        <f>H327*0.8</f>
        <v>5967.7408000000005</v>
      </c>
      <c r="AA327" s="32"/>
      <c r="AB327" s="416"/>
      <c r="AC327" s="416"/>
      <c r="AD327" s="416"/>
      <c r="AE327" s="416"/>
      <c r="AF327" s="416"/>
      <c r="AG327" s="416"/>
      <c r="AH327" s="416"/>
      <c r="AI327" s="416"/>
      <c r="AJ327" s="416"/>
      <c r="AK327" s="416"/>
      <c r="AL327" s="416"/>
      <c r="AM327" s="416"/>
      <c r="AN327" s="416"/>
      <c r="AO327" s="416"/>
      <c r="AP327" s="416"/>
      <c r="AQ327" s="416"/>
      <c r="AR327" s="416"/>
      <c r="AS327" s="416"/>
      <c r="AT327" s="416"/>
      <c r="AU327" s="416"/>
      <c r="AV327" s="416"/>
      <c r="AW327" s="416"/>
      <c r="AX327" s="416"/>
      <c r="AY327" s="416"/>
      <c r="AZ327" s="416"/>
      <c r="BA327" s="416"/>
      <c r="BB327" s="32"/>
    </row>
    <row r="328" spans="2:54">
      <c r="B328" s="1252"/>
      <c r="C328" s="1253"/>
      <c r="D328" s="411"/>
      <c r="E328" s="411"/>
      <c r="F328" s="1256" t="s">
        <v>668</v>
      </c>
      <c r="G328" s="1257"/>
      <c r="H328" s="412">
        <v>2000</v>
      </c>
      <c r="I328" s="413"/>
      <c r="J328" s="414"/>
      <c r="K328" s="414"/>
      <c r="L328" s="414"/>
      <c r="M328" s="414"/>
      <c r="N328" s="413" t="str">
        <f t="shared" si="35"/>
        <v xml:space="preserve"> </v>
      </c>
      <c r="O328" s="51"/>
      <c r="P328" s="415"/>
      <c r="Q328" s="415"/>
      <c r="R328" s="415"/>
      <c r="S328" s="32"/>
      <c r="T328" s="416"/>
      <c r="U328" s="416"/>
      <c r="V328" s="416"/>
      <c r="W328" s="416"/>
      <c r="X328" s="416"/>
      <c r="Y328" s="416"/>
      <c r="Z328" s="416"/>
      <c r="AA328" s="416"/>
      <c r="AB328" s="416"/>
      <c r="AC328" s="416"/>
      <c r="AD328" s="416"/>
      <c r="AE328" s="416"/>
      <c r="AF328" s="416"/>
      <c r="AG328" s="416"/>
      <c r="AH328" s="416"/>
      <c r="AI328" s="416"/>
      <c r="AJ328" s="416"/>
      <c r="AK328" s="416"/>
      <c r="AL328" s="416"/>
      <c r="AM328" s="416"/>
      <c r="AN328" s="416"/>
      <c r="AO328" s="416"/>
      <c r="AP328" s="416"/>
      <c r="AQ328" s="416"/>
      <c r="AR328" s="416"/>
      <c r="AS328" s="416"/>
      <c r="AT328" s="416"/>
      <c r="AU328" s="416"/>
      <c r="AV328" s="416"/>
      <c r="AW328" s="416"/>
      <c r="AX328" s="416"/>
      <c r="AY328" s="416"/>
      <c r="AZ328" s="416"/>
      <c r="BA328" s="416"/>
      <c r="BB328" s="32"/>
    </row>
    <row r="329" spans="2:54">
      <c r="B329" s="1254"/>
      <c r="C329" s="1255"/>
      <c r="D329" s="411"/>
      <c r="E329" s="411"/>
      <c r="F329" s="1256" t="s">
        <v>616</v>
      </c>
      <c r="G329" s="1257"/>
      <c r="H329" s="412">
        <v>1300</v>
      </c>
      <c r="I329" s="413"/>
      <c r="J329" s="414"/>
      <c r="K329" s="414"/>
      <c r="L329" s="414"/>
      <c r="M329" s="414"/>
      <c r="N329" s="413" t="str">
        <f t="shared" si="35"/>
        <v xml:space="preserve"> </v>
      </c>
      <c r="O329" s="51"/>
      <c r="P329" s="415"/>
      <c r="Q329" s="415"/>
      <c r="R329" s="415"/>
      <c r="S329" s="32"/>
      <c r="T329" s="416"/>
      <c r="U329" s="416"/>
      <c r="V329" s="416"/>
      <c r="W329" s="416"/>
      <c r="X329" s="416"/>
      <c r="Y329" s="416"/>
      <c r="Z329" s="416"/>
      <c r="AA329" s="416"/>
      <c r="AB329" s="416"/>
      <c r="AC329" s="416"/>
      <c r="AD329" s="416"/>
      <c r="AE329" s="416"/>
      <c r="AF329" s="416"/>
      <c r="AG329" s="416"/>
      <c r="AH329" s="416"/>
      <c r="AI329" s="416"/>
      <c r="AJ329" s="416"/>
      <c r="AK329" s="416"/>
      <c r="AL329" s="416"/>
      <c r="AM329" s="416"/>
      <c r="AN329" s="416"/>
      <c r="AO329" s="416"/>
      <c r="AP329" s="416"/>
      <c r="AQ329" s="416"/>
      <c r="AR329" s="416"/>
      <c r="AS329" s="416"/>
      <c r="AT329" s="416"/>
      <c r="AU329" s="416"/>
      <c r="AV329" s="416"/>
      <c r="AW329" s="416"/>
      <c r="AX329" s="416"/>
      <c r="AY329" s="416"/>
      <c r="AZ329" s="416"/>
      <c r="BA329" s="416"/>
      <c r="BB329" s="32"/>
    </row>
    <row r="330" spans="2:54">
      <c r="B330" s="1250" t="s">
        <v>623</v>
      </c>
      <c r="C330" s="1251"/>
      <c r="D330" s="411" t="s">
        <v>1962</v>
      </c>
      <c r="E330" s="411"/>
      <c r="F330" s="411" t="s">
        <v>505</v>
      </c>
      <c r="G330" s="411" t="s">
        <v>506</v>
      </c>
      <c r="H330" s="412">
        <v>7648.7460000000001</v>
      </c>
      <c r="I330" s="413" t="s">
        <v>1963</v>
      </c>
      <c r="J330" s="414">
        <v>45091.888888888891</v>
      </c>
      <c r="K330" s="414"/>
      <c r="L330" s="414" t="s">
        <v>192</v>
      </c>
      <c r="M330" s="414" t="s">
        <v>192</v>
      </c>
      <c r="N330" s="413" t="str">
        <f t="shared" si="35"/>
        <v>DELAY ( 3 day 21 hour 20 minute )</v>
      </c>
      <c r="O330" s="51"/>
      <c r="P330" s="415" t="s">
        <v>551</v>
      </c>
      <c r="Q330" s="415" t="s">
        <v>551</v>
      </c>
      <c r="R330" s="415" t="s">
        <v>551</v>
      </c>
      <c r="S330" s="32"/>
      <c r="T330" s="416"/>
      <c r="U330" s="416"/>
      <c r="V330" s="416"/>
      <c r="W330" s="416"/>
      <c r="X330" s="416"/>
      <c r="Y330" s="416">
        <f>H330</f>
        <v>7648.7460000000001</v>
      </c>
      <c r="Z330" s="416"/>
      <c r="AA330" s="416"/>
      <c r="AB330" s="416"/>
      <c r="AC330" s="416"/>
      <c r="AD330" s="416"/>
      <c r="AE330" s="416"/>
      <c r="AF330" s="416"/>
      <c r="AG330" s="416"/>
      <c r="AH330" s="416"/>
      <c r="AI330" s="416"/>
      <c r="AJ330" s="416"/>
      <c r="AK330" s="416"/>
      <c r="AL330" s="416"/>
      <c r="AM330" s="416"/>
      <c r="AN330" s="416"/>
      <c r="AO330" s="416"/>
      <c r="AP330" s="416"/>
      <c r="AQ330" s="416"/>
      <c r="AR330" s="416"/>
      <c r="AS330" s="416"/>
      <c r="AT330" s="416"/>
      <c r="AU330" s="416"/>
      <c r="AV330" s="416"/>
      <c r="AW330" s="416"/>
      <c r="AX330" s="416"/>
      <c r="AY330" s="416"/>
      <c r="AZ330" s="416"/>
      <c r="BA330" s="416"/>
      <c r="BB330" s="32"/>
    </row>
    <row r="331" spans="2:54">
      <c r="B331" s="1252"/>
      <c r="C331" s="1253"/>
      <c r="D331" s="411"/>
      <c r="E331" s="411"/>
      <c r="F331" s="1256" t="s">
        <v>668</v>
      </c>
      <c r="G331" s="1257"/>
      <c r="H331" s="412">
        <f>1058+0.104</f>
        <v>1058.104</v>
      </c>
      <c r="I331" s="413"/>
      <c r="J331" s="414"/>
      <c r="K331" s="414"/>
      <c r="L331" s="414"/>
      <c r="M331" s="414"/>
      <c r="N331" s="413" t="str">
        <f t="shared" si="35"/>
        <v xml:space="preserve"> </v>
      </c>
      <c r="O331" s="51"/>
      <c r="P331" s="415"/>
      <c r="Q331" s="415"/>
      <c r="R331" s="415"/>
      <c r="S331" s="32"/>
      <c r="T331" s="416"/>
      <c r="U331" s="416"/>
      <c r="V331" s="416"/>
      <c r="W331" s="416"/>
      <c r="X331" s="416"/>
      <c r="Y331" s="416"/>
      <c r="Z331" s="416"/>
      <c r="AA331" s="416"/>
      <c r="AB331" s="416"/>
      <c r="AC331" s="416"/>
      <c r="AD331" s="416"/>
      <c r="AE331" s="416"/>
      <c r="AF331" s="416"/>
      <c r="AG331" s="416"/>
      <c r="AH331" s="416"/>
      <c r="AI331" s="416"/>
      <c r="AJ331" s="416"/>
      <c r="AK331" s="416"/>
      <c r="AL331" s="416"/>
      <c r="AM331" s="416"/>
      <c r="AN331" s="416"/>
      <c r="AO331" s="416"/>
      <c r="AP331" s="416"/>
      <c r="AQ331" s="416"/>
      <c r="AR331" s="416"/>
      <c r="AS331" s="416"/>
      <c r="AT331" s="416"/>
      <c r="AU331" s="416"/>
      <c r="AV331" s="416"/>
      <c r="AW331" s="416"/>
      <c r="AX331" s="416"/>
      <c r="AY331" s="416"/>
      <c r="AZ331" s="416"/>
      <c r="BA331" s="416"/>
      <c r="BB331" s="32"/>
    </row>
    <row r="332" spans="2:54">
      <c r="B332" s="1254"/>
      <c r="C332" s="1255"/>
      <c r="D332" s="411"/>
      <c r="E332" s="411"/>
      <c r="F332" s="1256" t="s">
        <v>616</v>
      </c>
      <c r="G332" s="1257"/>
      <c r="H332" s="412">
        <v>1000</v>
      </c>
      <c r="I332" s="413"/>
      <c r="J332" s="414"/>
      <c r="K332" s="414"/>
      <c r="L332" s="414"/>
      <c r="M332" s="414"/>
      <c r="N332" s="413" t="str">
        <f t="shared" si="35"/>
        <v xml:space="preserve"> </v>
      </c>
      <c r="O332" s="51"/>
      <c r="P332" s="415"/>
      <c r="Q332" s="415"/>
      <c r="R332" s="415"/>
      <c r="S332" s="32"/>
      <c r="T332" s="416"/>
      <c r="U332" s="416"/>
      <c r="V332" s="416"/>
      <c r="W332" s="416"/>
      <c r="X332" s="416"/>
      <c r="Y332" s="416"/>
      <c r="Z332" s="416"/>
      <c r="AA332" s="416"/>
      <c r="AB332" s="416"/>
      <c r="AC332" s="416"/>
      <c r="AD332" s="416"/>
      <c r="AE332" s="416"/>
      <c r="AF332" s="416"/>
      <c r="AG332" s="416"/>
      <c r="AH332" s="416"/>
      <c r="AI332" s="416"/>
      <c r="AJ332" s="416"/>
      <c r="AK332" s="416"/>
      <c r="AL332" s="416"/>
      <c r="AM332" s="416"/>
      <c r="AN332" s="416"/>
      <c r="AO332" s="416"/>
      <c r="AP332" s="416"/>
      <c r="AQ332" s="416"/>
      <c r="AR332" s="416"/>
      <c r="AS332" s="416"/>
      <c r="AT332" s="416"/>
      <c r="AU332" s="416"/>
      <c r="AV332" s="416"/>
      <c r="AW332" s="416"/>
      <c r="AX332" s="416"/>
      <c r="AY332" s="416"/>
      <c r="AZ332" s="416"/>
      <c r="BA332" s="416"/>
      <c r="BB332" s="32"/>
    </row>
    <row r="333" spans="2:54">
      <c r="B333" s="1250" t="s">
        <v>624</v>
      </c>
      <c r="C333" s="1251"/>
      <c r="D333" s="411" t="s">
        <v>1964</v>
      </c>
      <c r="E333" s="411"/>
      <c r="F333" s="411" t="s">
        <v>429</v>
      </c>
      <c r="G333" s="411" t="s">
        <v>430</v>
      </c>
      <c r="H333" s="412">
        <v>7631.067</v>
      </c>
      <c r="I333" s="413" t="s">
        <v>1963</v>
      </c>
      <c r="J333" s="414">
        <v>45092.083333333336</v>
      </c>
      <c r="K333" s="414"/>
      <c r="L333" s="414" t="s">
        <v>192</v>
      </c>
      <c r="M333" s="414" t="s">
        <v>192</v>
      </c>
      <c r="N333" s="413" t="str">
        <f t="shared" si="35"/>
        <v>DELAY ( 4 day 2 hour 0 minute )</v>
      </c>
      <c r="O333" s="51"/>
      <c r="P333" s="415" t="s">
        <v>551</v>
      </c>
      <c r="Q333" s="415" t="s">
        <v>551</v>
      </c>
      <c r="R333" s="415" t="s">
        <v>551</v>
      </c>
      <c r="S333" s="32"/>
      <c r="T333" s="416"/>
      <c r="U333" s="416"/>
      <c r="V333" s="416"/>
      <c r="W333" s="416"/>
      <c r="X333" s="416"/>
      <c r="Y333" s="416">
        <f>H333</f>
        <v>7631.067</v>
      </c>
      <c r="Z333" s="416"/>
      <c r="AA333" s="416"/>
      <c r="AB333" s="416"/>
      <c r="AC333" s="416"/>
      <c r="AD333" s="416"/>
      <c r="AE333" s="416"/>
      <c r="AF333" s="416"/>
      <c r="AG333" s="416"/>
      <c r="AH333" s="416"/>
      <c r="AI333" s="416"/>
      <c r="AJ333" s="416"/>
      <c r="AK333" s="416"/>
      <c r="AL333" s="416"/>
      <c r="AM333" s="416"/>
      <c r="AN333" s="416"/>
      <c r="AO333" s="416"/>
      <c r="AP333" s="416"/>
      <c r="AQ333" s="416"/>
      <c r="AR333" s="416"/>
      <c r="AS333" s="416"/>
      <c r="AT333" s="416"/>
      <c r="AU333" s="416"/>
      <c r="AV333" s="416"/>
      <c r="AW333" s="416"/>
      <c r="AX333" s="416"/>
      <c r="AY333" s="416"/>
      <c r="AZ333" s="416"/>
      <c r="BA333" s="416"/>
      <c r="BB333" s="32"/>
    </row>
    <row r="334" spans="2:54">
      <c r="B334" s="1254"/>
      <c r="C334" s="1255"/>
      <c r="D334" s="411"/>
      <c r="E334" s="411"/>
      <c r="F334" s="1256" t="s">
        <v>616</v>
      </c>
      <c r="G334" s="1257"/>
      <c r="H334" s="412">
        <v>2500</v>
      </c>
      <c r="I334" s="413"/>
      <c r="J334" s="414"/>
      <c r="K334" s="414"/>
      <c r="L334" s="414"/>
      <c r="M334" s="414"/>
      <c r="N334" s="413" t="str">
        <f t="shared" si="35"/>
        <v xml:space="preserve"> </v>
      </c>
      <c r="O334" s="51"/>
      <c r="P334" s="415"/>
      <c r="Q334" s="415"/>
      <c r="R334" s="415"/>
      <c r="S334" s="32"/>
      <c r="T334" s="416"/>
      <c r="U334" s="416"/>
      <c r="V334" s="416"/>
      <c r="W334" s="416"/>
      <c r="X334" s="416"/>
      <c r="Y334" s="416"/>
      <c r="Z334" s="416"/>
      <c r="AA334" s="416"/>
      <c r="AB334" s="416"/>
      <c r="AC334" s="416"/>
      <c r="AD334" s="416"/>
      <c r="AE334" s="416"/>
      <c r="AF334" s="416"/>
      <c r="AG334" s="416"/>
      <c r="AH334" s="416"/>
      <c r="AI334" s="416"/>
      <c r="AJ334" s="416"/>
      <c r="AK334" s="416"/>
      <c r="AL334" s="416"/>
      <c r="AM334" s="416"/>
      <c r="AN334" s="416"/>
      <c r="AO334" s="416"/>
      <c r="AP334" s="416"/>
      <c r="AQ334" s="416"/>
      <c r="AR334" s="416"/>
      <c r="AS334" s="416"/>
      <c r="AT334" s="416"/>
      <c r="AU334" s="416"/>
      <c r="AV334" s="416"/>
      <c r="AW334" s="416"/>
      <c r="AX334" s="416"/>
      <c r="AY334" s="416"/>
      <c r="AZ334" s="416"/>
      <c r="BA334" s="416"/>
      <c r="BB334" s="32"/>
    </row>
    <row r="335" spans="2:54">
      <c r="B335" s="1250" t="s">
        <v>625</v>
      </c>
      <c r="C335" s="1251"/>
      <c r="D335" s="411" t="s">
        <v>1966</v>
      </c>
      <c r="E335" s="411"/>
      <c r="F335" s="411" t="s">
        <v>284</v>
      </c>
      <c r="G335" s="411" t="s">
        <v>285</v>
      </c>
      <c r="H335" s="412">
        <v>9012.8050000000003</v>
      </c>
      <c r="I335" s="413" t="s">
        <v>1963</v>
      </c>
      <c r="J335" s="414">
        <v>45092.854166666664</v>
      </c>
      <c r="K335" s="414"/>
      <c r="L335" s="414" t="s">
        <v>192</v>
      </c>
      <c r="M335" s="414" t="s">
        <v>192</v>
      </c>
      <c r="N335" s="413" t="str">
        <f t="shared" si="35"/>
        <v>DELAY ( 4 day 20 hour 30 minute )</v>
      </c>
      <c r="O335" s="51"/>
      <c r="P335" s="415" t="s">
        <v>551</v>
      </c>
      <c r="Q335" s="415" t="s">
        <v>551</v>
      </c>
      <c r="R335" s="415" t="s">
        <v>551</v>
      </c>
      <c r="S335" s="32"/>
      <c r="T335" s="416"/>
      <c r="U335" s="416"/>
      <c r="V335" s="416"/>
      <c r="W335" s="416"/>
      <c r="X335" s="416"/>
      <c r="Y335" s="416">
        <f>H335</f>
        <v>9012.8050000000003</v>
      </c>
      <c r="Z335" s="416"/>
      <c r="AA335" s="416"/>
      <c r="AB335" s="416"/>
      <c r="AC335" s="416"/>
      <c r="AD335" s="416"/>
      <c r="AE335" s="416"/>
      <c r="AF335" s="416"/>
      <c r="AG335" s="416"/>
      <c r="AH335" s="416"/>
      <c r="AI335" s="416"/>
      <c r="AJ335" s="416"/>
      <c r="AK335" s="416"/>
      <c r="AL335" s="416"/>
      <c r="AM335" s="416"/>
      <c r="AN335" s="416"/>
      <c r="AO335" s="416"/>
      <c r="AP335" s="416"/>
      <c r="AQ335" s="416"/>
      <c r="AR335" s="416"/>
      <c r="AS335" s="416"/>
      <c r="AT335" s="416"/>
      <c r="AU335" s="416"/>
      <c r="AV335" s="416"/>
      <c r="AW335" s="416"/>
      <c r="AX335" s="416"/>
      <c r="AY335" s="416"/>
      <c r="AZ335" s="416"/>
      <c r="BA335" s="416"/>
      <c r="BB335" s="32"/>
    </row>
    <row r="336" spans="2:54">
      <c r="B336" s="1254"/>
      <c r="C336" s="1255"/>
      <c r="D336" s="411"/>
      <c r="E336" s="411"/>
      <c r="F336" s="1256" t="s">
        <v>616</v>
      </c>
      <c r="G336" s="1257"/>
      <c r="H336" s="412">
        <v>3200</v>
      </c>
      <c r="I336" s="413"/>
      <c r="J336" s="414"/>
      <c r="K336" s="414"/>
      <c r="L336" s="414"/>
      <c r="M336" s="414"/>
      <c r="N336" s="413" t="str">
        <f t="shared" si="35"/>
        <v xml:space="preserve"> </v>
      </c>
      <c r="O336" s="51"/>
      <c r="P336" s="415"/>
      <c r="Q336" s="415"/>
      <c r="R336" s="415"/>
      <c r="S336" s="32"/>
      <c r="T336" s="416"/>
      <c r="U336" s="416"/>
      <c r="V336" s="416"/>
      <c r="W336" s="416"/>
      <c r="X336" s="416"/>
      <c r="Y336" s="416"/>
      <c r="Z336" s="416"/>
      <c r="AA336" s="416"/>
      <c r="AB336" s="416"/>
      <c r="AC336" s="416"/>
      <c r="AD336" s="416"/>
      <c r="AE336" s="416"/>
      <c r="AF336" s="416"/>
      <c r="AG336" s="416"/>
      <c r="AH336" s="416"/>
      <c r="AI336" s="416"/>
      <c r="AJ336" s="416"/>
      <c r="AK336" s="416"/>
      <c r="AL336" s="416"/>
      <c r="AM336" s="416"/>
      <c r="AN336" s="416"/>
      <c r="AO336" s="416"/>
      <c r="AP336" s="416"/>
      <c r="AQ336" s="416"/>
      <c r="AR336" s="416"/>
      <c r="AS336" s="416"/>
      <c r="AT336" s="416"/>
      <c r="AU336" s="416"/>
      <c r="AV336" s="416"/>
      <c r="AW336" s="416"/>
      <c r="AX336" s="416"/>
      <c r="AY336" s="416"/>
      <c r="AZ336" s="416"/>
      <c r="BA336" s="416"/>
      <c r="BB336" s="32"/>
    </row>
    <row r="337" spans="2:54">
      <c r="B337" s="1250" t="s">
        <v>669</v>
      </c>
      <c r="C337" s="1251"/>
      <c r="D337" s="411" t="s">
        <v>1965</v>
      </c>
      <c r="E337" s="411"/>
      <c r="F337" s="411" t="s">
        <v>1392</v>
      </c>
      <c r="G337" s="411" t="s">
        <v>365</v>
      </c>
      <c r="H337" s="412">
        <f>7518.311-2321.719</f>
        <v>5196.5919999999996</v>
      </c>
      <c r="I337" s="413" t="s">
        <v>1963</v>
      </c>
      <c r="J337" s="414">
        <v>45092.840277777781</v>
      </c>
      <c r="K337" s="414"/>
      <c r="L337" s="414" t="s">
        <v>192</v>
      </c>
      <c r="M337" s="414" t="s">
        <v>192</v>
      </c>
      <c r="N337" s="413" t="str">
        <f t="shared" si="35"/>
        <v>DELAY ( 4 day 20 hour 10 minute )</v>
      </c>
      <c r="O337" s="51"/>
      <c r="P337" s="415" t="s">
        <v>551</v>
      </c>
      <c r="Q337" s="415" t="s">
        <v>551</v>
      </c>
      <c r="R337" s="415" t="s">
        <v>551</v>
      </c>
      <c r="S337" s="32"/>
      <c r="T337" s="416"/>
      <c r="U337" s="416"/>
      <c r="V337" s="416"/>
      <c r="W337" s="416"/>
      <c r="X337" s="416"/>
      <c r="Y337" s="416">
        <f>H337</f>
        <v>5196.5919999999996</v>
      </c>
      <c r="Z337" s="416"/>
      <c r="AA337" s="416"/>
      <c r="AB337" s="416"/>
      <c r="AC337" s="416"/>
      <c r="AD337" s="416"/>
      <c r="AE337" s="416"/>
      <c r="AF337" s="416"/>
      <c r="AG337" s="416"/>
      <c r="AH337" s="416"/>
      <c r="AI337" s="416"/>
      <c r="AJ337" s="416"/>
      <c r="AK337" s="416"/>
      <c r="AL337" s="416"/>
      <c r="AM337" s="416"/>
      <c r="AN337" s="416"/>
      <c r="AO337" s="416"/>
      <c r="AP337" s="416"/>
      <c r="AQ337" s="416"/>
      <c r="AR337" s="416"/>
      <c r="AS337" s="416"/>
      <c r="AT337" s="416"/>
      <c r="AU337" s="416"/>
      <c r="AV337" s="416"/>
      <c r="AW337" s="416"/>
      <c r="AX337" s="416"/>
      <c r="AY337" s="416"/>
      <c r="AZ337" s="416"/>
      <c r="BA337" s="416"/>
      <c r="BB337" s="32"/>
    </row>
    <row r="338" spans="2:54">
      <c r="B338" s="1254"/>
      <c r="C338" s="1255"/>
      <c r="D338" s="411"/>
      <c r="E338" s="411"/>
      <c r="F338" s="1256" t="s">
        <v>616</v>
      </c>
      <c r="G338" s="1257"/>
      <c r="H338" s="412">
        <f>1298-0.448</f>
        <v>1297.5519999999999</v>
      </c>
      <c r="I338" s="413"/>
      <c r="J338" s="414"/>
      <c r="K338" s="414"/>
      <c r="L338" s="414"/>
      <c r="M338" s="414"/>
      <c r="N338" s="413" t="str">
        <f t="shared" si="35"/>
        <v xml:space="preserve"> </v>
      </c>
      <c r="O338" s="51"/>
      <c r="P338" s="415"/>
      <c r="Q338" s="415"/>
      <c r="R338" s="415"/>
      <c r="S338" s="32"/>
      <c r="T338" s="416"/>
      <c r="U338" s="416"/>
      <c r="V338" s="416"/>
      <c r="W338" s="416"/>
      <c r="X338" s="416"/>
      <c r="Y338" s="416"/>
      <c r="Z338" s="416"/>
      <c r="AA338" s="416"/>
      <c r="AB338" s="416"/>
      <c r="AC338" s="416"/>
      <c r="AD338" s="416"/>
      <c r="AE338" s="416"/>
      <c r="AF338" s="416"/>
      <c r="AG338" s="416"/>
      <c r="AH338" s="416"/>
      <c r="AI338" s="416"/>
      <c r="AJ338" s="416"/>
      <c r="AK338" s="416"/>
      <c r="AL338" s="416"/>
      <c r="AM338" s="416"/>
      <c r="AN338" s="416"/>
      <c r="AO338" s="416"/>
      <c r="AP338" s="416"/>
      <c r="AQ338" s="416"/>
      <c r="AR338" s="416"/>
      <c r="AS338" s="416"/>
      <c r="AT338" s="416"/>
      <c r="AU338" s="416"/>
      <c r="AV338" s="416"/>
      <c r="AW338" s="416"/>
      <c r="AX338" s="416"/>
      <c r="AY338" s="416"/>
      <c r="AZ338" s="416"/>
      <c r="BA338" s="416"/>
      <c r="BB338" s="32"/>
    </row>
    <row r="339" spans="2:54">
      <c r="B339" s="1258" t="s">
        <v>626</v>
      </c>
      <c r="C339" s="1259"/>
      <c r="D339" s="1259"/>
      <c r="E339" s="1259"/>
      <c r="F339" s="1259"/>
      <c r="G339" s="1260"/>
      <c r="H339" s="417">
        <f>H321+H324+H327+H330+H333+H335+H337</f>
        <v>51944.343999999997</v>
      </c>
      <c r="I339" s="388"/>
      <c r="J339" s="293"/>
      <c r="K339" s="293"/>
      <c r="L339" s="293"/>
      <c r="M339" s="389"/>
      <c r="N339" s="413" t="str">
        <f t="shared" si="35"/>
        <v xml:space="preserve"> </v>
      </c>
      <c r="O339" s="47"/>
      <c r="P339" s="418"/>
      <c r="Q339" s="418"/>
      <c r="R339" s="418"/>
      <c r="S339" s="32"/>
      <c r="T339" s="1261"/>
      <c r="U339" s="1261"/>
      <c r="V339" s="1261"/>
      <c r="W339" s="1261"/>
      <c r="X339" s="1261"/>
      <c r="Y339" s="1261"/>
      <c r="Z339" s="1261"/>
      <c r="AA339" s="1261"/>
      <c r="AB339" s="1261"/>
      <c r="AC339" s="1261"/>
      <c r="AD339" s="1261"/>
      <c r="AE339" s="1261"/>
      <c r="AF339" s="1261"/>
      <c r="AG339" s="1261"/>
      <c r="AH339" s="1261"/>
      <c r="AI339" s="1261"/>
      <c r="AJ339" s="1261"/>
      <c r="AK339" s="1261"/>
      <c r="AL339" s="1261"/>
      <c r="AM339" s="1261"/>
      <c r="AN339" s="1261"/>
      <c r="AO339" s="1261"/>
      <c r="AP339" s="1261"/>
      <c r="AQ339" s="1261"/>
      <c r="AR339" s="1261"/>
      <c r="AS339" s="1261"/>
      <c r="AT339" s="1261"/>
      <c r="AU339" s="1261"/>
      <c r="AV339" s="1261"/>
      <c r="AW339" s="1261"/>
      <c r="AX339" s="1261"/>
      <c r="AY339" s="1261"/>
      <c r="AZ339" s="1261"/>
      <c r="BA339" s="1261"/>
    </row>
    <row r="340" spans="2:54">
      <c r="B340" s="1258" t="s">
        <v>556</v>
      </c>
      <c r="C340" s="1259"/>
      <c r="D340" s="1259"/>
      <c r="E340" s="1259"/>
      <c r="F340" s="1259"/>
      <c r="G340" s="1260"/>
      <c r="H340" s="417">
        <f>H320+H339</f>
        <v>71800</v>
      </c>
      <c r="I340" s="388"/>
      <c r="J340" s="293"/>
      <c r="K340" s="293"/>
      <c r="L340" s="293"/>
      <c r="M340" s="389"/>
      <c r="N340" s="413" t="str">
        <f t="shared" si="35"/>
        <v xml:space="preserve"> </v>
      </c>
      <c r="O340" s="212"/>
      <c r="P340" s="418"/>
      <c r="Q340" s="418"/>
      <c r="R340" s="418"/>
      <c r="S340" s="207"/>
      <c r="T340" s="1262"/>
      <c r="U340" s="1263"/>
      <c r="V340" s="1263"/>
      <c r="W340" s="1263"/>
      <c r="X340" s="1263"/>
      <c r="Y340" s="1263"/>
      <c r="Z340" s="1263"/>
      <c r="AA340" s="1263"/>
      <c r="AB340" s="1263"/>
      <c r="AC340" s="1263"/>
      <c r="AD340" s="1263"/>
      <c r="AE340" s="1263"/>
      <c r="AF340" s="1263"/>
      <c r="AG340" s="1263"/>
      <c r="AH340" s="1263"/>
      <c r="AI340" s="1263"/>
      <c r="AJ340" s="1263"/>
      <c r="AK340" s="1263"/>
      <c r="AL340" s="1263"/>
      <c r="AM340" s="1263"/>
      <c r="AN340" s="1263"/>
      <c r="AO340" s="1263"/>
      <c r="AP340" s="1263"/>
      <c r="AQ340" s="1263"/>
      <c r="AR340" s="1263"/>
      <c r="AS340" s="1263"/>
      <c r="AT340" s="1263"/>
      <c r="AU340" s="1263"/>
      <c r="AV340" s="1263"/>
      <c r="AW340" s="1263"/>
      <c r="AX340" s="1263"/>
      <c r="AY340" s="1263"/>
      <c r="AZ340" s="1263"/>
      <c r="BA340" s="1263"/>
    </row>
    <row r="341" spans="2:54">
      <c r="B341" s="1243" t="s">
        <v>557</v>
      </c>
      <c r="C341" s="1244"/>
      <c r="D341" s="1244"/>
      <c r="E341" s="1244"/>
      <c r="F341" s="1244"/>
      <c r="G341" s="1245"/>
      <c r="H341" s="419">
        <v>71800</v>
      </c>
      <c r="I341" s="1273"/>
      <c r="J341" s="1274"/>
      <c r="K341" s="1274"/>
      <c r="L341" s="1274"/>
      <c r="M341" s="1275"/>
      <c r="N341" s="413" t="str">
        <f t="shared" si="35"/>
        <v xml:space="preserve"> </v>
      </c>
      <c r="O341" s="32"/>
      <c r="P341" s="415"/>
      <c r="Q341" s="415"/>
      <c r="R341" s="415"/>
      <c r="S341" s="63"/>
      <c r="T341" s="416">
        <f>SUM(T317:T338)</f>
        <v>0</v>
      </c>
      <c r="U341" s="416">
        <f t="shared" ref="U341:BA341" si="37">SUM(U317:U338)</f>
        <v>0</v>
      </c>
      <c r="V341" s="416">
        <f t="shared" si="37"/>
        <v>0</v>
      </c>
      <c r="W341" s="416">
        <f t="shared" si="37"/>
        <v>0</v>
      </c>
      <c r="X341" s="416">
        <f t="shared" si="37"/>
        <v>0</v>
      </c>
      <c r="Y341" s="416">
        <f t="shared" si="37"/>
        <v>30981.145200000003</v>
      </c>
      <c r="Z341" s="416">
        <f t="shared" si="37"/>
        <v>20963.198800000002</v>
      </c>
      <c r="AA341" s="416">
        <f t="shared" si="37"/>
        <v>0</v>
      </c>
      <c r="AB341" s="416">
        <f t="shared" si="37"/>
        <v>0</v>
      </c>
      <c r="AC341" s="416">
        <f t="shared" si="37"/>
        <v>0</v>
      </c>
      <c r="AD341" s="416">
        <f t="shared" si="37"/>
        <v>0</v>
      </c>
      <c r="AE341" s="416">
        <f t="shared" si="37"/>
        <v>0</v>
      </c>
      <c r="AF341" s="416">
        <f t="shared" si="37"/>
        <v>0</v>
      </c>
      <c r="AG341" s="416">
        <f t="shared" si="37"/>
        <v>0</v>
      </c>
      <c r="AH341" s="416">
        <f t="shared" si="37"/>
        <v>0</v>
      </c>
      <c r="AI341" s="416">
        <f t="shared" si="37"/>
        <v>0</v>
      </c>
      <c r="AJ341" s="416">
        <f t="shared" si="37"/>
        <v>0</v>
      </c>
      <c r="AK341" s="416">
        <f t="shared" si="37"/>
        <v>0</v>
      </c>
      <c r="AL341" s="416">
        <f t="shared" si="37"/>
        <v>0</v>
      </c>
      <c r="AM341" s="416">
        <f t="shared" si="37"/>
        <v>0</v>
      </c>
      <c r="AN341" s="416">
        <f t="shared" si="37"/>
        <v>0</v>
      </c>
      <c r="AO341" s="416">
        <f t="shared" si="37"/>
        <v>0</v>
      </c>
      <c r="AP341" s="416">
        <f t="shared" si="37"/>
        <v>0</v>
      </c>
      <c r="AQ341" s="416">
        <f t="shared" si="37"/>
        <v>0</v>
      </c>
      <c r="AR341" s="416">
        <f t="shared" si="37"/>
        <v>0</v>
      </c>
      <c r="AS341" s="416">
        <f t="shared" si="37"/>
        <v>0</v>
      </c>
      <c r="AT341" s="416">
        <f t="shared" si="37"/>
        <v>0</v>
      </c>
      <c r="AU341" s="416">
        <f t="shared" si="37"/>
        <v>7331.5309999999999</v>
      </c>
      <c r="AV341" s="416">
        <f t="shared" si="37"/>
        <v>4966.0209999999997</v>
      </c>
      <c r="AW341" s="416">
        <f t="shared" si="37"/>
        <v>0</v>
      </c>
      <c r="AX341" s="416">
        <f t="shared" si="37"/>
        <v>0</v>
      </c>
      <c r="AY341" s="416">
        <f t="shared" si="37"/>
        <v>0</v>
      </c>
      <c r="AZ341" s="416">
        <f t="shared" si="37"/>
        <v>0</v>
      </c>
      <c r="BA341" s="416">
        <f t="shared" si="37"/>
        <v>7558.1040000000003</v>
      </c>
      <c r="BB341" s="416">
        <f>SUM(T341:BA341)</f>
        <v>71800.000000000015</v>
      </c>
    </row>
    <row r="342" spans="2:54">
      <c r="B342" s="1243" t="s">
        <v>558</v>
      </c>
      <c r="C342" s="1244"/>
      <c r="D342" s="1244"/>
      <c r="E342" s="1244"/>
      <c r="F342" s="1244"/>
      <c r="G342" s="1245"/>
      <c r="H342" s="420">
        <f>H341-L311</f>
        <v>0</v>
      </c>
      <c r="I342" s="294"/>
      <c r="J342" s="295"/>
      <c r="K342" s="295"/>
      <c r="L342" s="296"/>
      <c r="M342" s="32"/>
      <c r="N342" s="32"/>
      <c r="O342" s="32"/>
      <c r="P342" s="32"/>
      <c r="Q342" s="297"/>
      <c r="R342" s="297"/>
      <c r="S342" s="32"/>
      <c r="T342" s="48"/>
      <c r="U342" s="48"/>
      <c r="V342" s="48"/>
      <c r="W342" s="48"/>
      <c r="X342" s="48"/>
      <c r="Y342" s="48"/>
      <c r="Z342" s="48"/>
      <c r="AA342" s="48"/>
      <c r="AB342" s="48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</row>
    <row r="343" spans="2:54">
      <c r="B343" s="1243" t="s">
        <v>559</v>
      </c>
      <c r="C343" s="1244"/>
      <c r="D343" s="1244"/>
      <c r="E343" s="1244"/>
      <c r="F343" s="1244"/>
      <c r="G343" s="1245"/>
      <c r="H343" s="420">
        <v>2219.1640000000002</v>
      </c>
      <c r="I343" s="52"/>
      <c r="J343" s="53"/>
      <c r="K343" s="53"/>
      <c r="L343" s="54"/>
      <c r="M343" s="32"/>
      <c r="N343" s="201"/>
      <c r="O343" s="32"/>
      <c r="P343" s="32"/>
      <c r="Q343" s="32"/>
      <c r="R343" s="32"/>
      <c r="S343" s="32"/>
      <c r="T343" s="48"/>
      <c r="U343" s="48"/>
      <c r="V343" s="48"/>
      <c r="W343" s="48"/>
      <c r="X343" s="48"/>
      <c r="Y343" s="48"/>
      <c r="Z343" s="48"/>
      <c r="AA343" s="48"/>
      <c r="AB343" s="48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</row>
    <row r="344" spans="2:54">
      <c r="B344" s="1243" t="s">
        <v>560</v>
      </c>
      <c r="C344" s="1244"/>
      <c r="D344" s="1244"/>
      <c r="E344" s="1244"/>
      <c r="F344" s="1244"/>
      <c r="G344" s="1245"/>
      <c r="H344" s="421">
        <f>H343-2321.719</f>
        <v>-102.55499999999984</v>
      </c>
      <c r="I344" s="52"/>
      <c r="J344" s="53"/>
      <c r="K344" s="53"/>
      <c r="L344" s="54"/>
      <c r="M344" s="32"/>
      <c r="N344" s="32"/>
      <c r="O344" s="32"/>
      <c r="P344" s="32"/>
      <c r="Q344" s="32"/>
      <c r="R344" s="32"/>
      <c r="S344" s="48"/>
      <c r="T344" s="48"/>
      <c r="U344" s="48"/>
      <c r="V344" s="48"/>
      <c r="W344" s="48"/>
      <c r="X344" s="48"/>
      <c r="Y344" s="48"/>
      <c r="Z344" s="48"/>
      <c r="AA344" s="48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</row>
    <row r="345" spans="2:54">
      <c r="B345" s="201"/>
      <c r="C345" s="201"/>
      <c r="D345" s="201"/>
      <c r="E345" s="201"/>
      <c r="F345" s="201"/>
      <c r="G345" s="201"/>
      <c r="H345" s="201"/>
      <c r="I345" s="213"/>
      <c r="J345" s="209"/>
      <c r="K345" s="209"/>
      <c r="L345" s="203"/>
      <c r="M345" s="201"/>
      <c r="N345" s="201"/>
      <c r="O345" s="209"/>
      <c r="P345" s="32"/>
      <c r="Q345" s="32"/>
      <c r="R345" s="32"/>
      <c r="S345" s="32"/>
      <c r="T345" s="48"/>
      <c r="U345" s="48"/>
      <c r="V345" s="48"/>
      <c r="W345" s="48"/>
      <c r="X345" s="48"/>
      <c r="Y345" s="48"/>
      <c r="Z345" s="48"/>
      <c r="AA345" s="48"/>
      <c r="AB345" s="48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</row>
    <row r="346" spans="2:54">
      <c r="B346" s="40" t="s">
        <v>561</v>
      </c>
      <c r="C346" s="40"/>
      <c r="D346" s="32"/>
      <c r="E346" s="32"/>
      <c r="F346" s="32"/>
      <c r="G346" s="32"/>
      <c r="H346" s="32"/>
      <c r="I346" s="32"/>
      <c r="J346" s="52"/>
      <c r="K346" s="52"/>
      <c r="L346" s="55"/>
      <c r="M346" s="32"/>
      <c r="N346" s="201"/>
      <c r="O346" s="5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  <c r="AA346" s="202"/>
      <c r="AB346" s="201"/>
      <c r="AC346" s="201"/>
      <c r="AD346" s="201"/>
      <c r="AE346" s="201"/>
      <c r="AF346" s="201"/>
      <c r="AG346" s="201"/>
      <c r="AH346" s="201"/>
      <c r="AI346" s="201"/>
      <c r="AJ346" s="201"/>
      <c r="AK346" s="201"/>
      <c r="AL346" s="201"/>
      <c r="AM346" s="201"/>
      <c r="AN346" s="201"/>
      <c r="AO346" s="201"/>
      <c r="AP346" s="201"/>
      <c r="AQ346" s="201"/>
      <c r="AR346" s="201"/>
      <c r="AS346" s="201"/>
      <c r="AT346" s="201"/>
      <c r="AU346" s="201"/>
      <c r="BB346" s="201"/>
    </row>
    <row r="347" spans="2:54">
      <c r="B347" s="422">
        <v>1</v>
      </c>
      <c r="C347" s="1291" t="s">
        <v>2024</v>
      </c>
      <c r="D347" s="1292"/>
      <c r="E347" s="1292"/>
      <c r="F347" s="1292"/>
      <c r="G347" s="1292"/>
      <c r="H347" s="1292"/>
      <c r="I347" s="1292"/>
      <c r="J347" s="1292"/>
      <c r="K347" s="1293"/>
      <c r="L347" s="203"/>
      <c r="M347" s="203"/>
      <c r="N347" s="201"/>
      <c r="O347" s="209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  <c r="AA347" s="202"/>
      <c r="AB347" s="201"/>
      <c r="AC347" s="201"/>
      <c r="AD347" s="201"/>
      <c r="AE347" s="201"/>
      <c r="AF347" s="201"/>
      <c r="AG347" s="201"/>
      <c r="AH347" s="201"/>
      <c r="AI347" s="201"/>
      <c r="AJ347" s="201"/>
      <c r="AK347" s="201"/>
      <c r="AL347" s="20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201"/>
    </row>
    <row r="349" spans="2:54">
      <c r="B349" s="28" t="s">
        <v>126</v>
      </c>
      <c r="C349" s="28"/>
      <c r="D349" s="29"/>
      <c r="E349" s="30" t="s">
        <v>511</v>
      </c>
      <c r="F349" s="31" t="s">
        <v>1801</v>
      </c>
      <c r="G349" s="32"/>
      <c r="H349" s="33"/>
      <c r="I349" s="34"/>
      <c r="J349" s="35" t="s">
        <v>513</v>
      </c>
      <c r="K349" s="36" t="s">
        <v>511</v>
      </c>
      <c r="L349" s="37">
        <v>45097.583333333336</v>
      </c>
      <c r="M349" s="32"/>
      <c r="N349" s="32"/>
      <c r="O349" s="206"/>
      <c r="P349" s="205"/>
      <c r="Q349" s="202"/>
      <c r="R349" s="204"/>
      <c r="S349" s="38"/>
      <c r="T349" s="201"/>
      <c r="U349" s="201"/>
      <c r="V349" s="201"/>
      <c r="W349" s="201"/>
      <c r="X349" s="201"/>
      <c r="Y349" s="201"/>
      <c r="Z349" s="201"/>
      <c r="AA349" s="201"/>
      <c r="AB349" s="202"/>
      <c r="AC349" s="202"/>
      <c r="AD349" s="202"/>
      <c r="AE349" s="202"/>
      <c r="AF349" s="202"/>
      <c r="AG349" s="201"/>
      <c r="AH349" s="201"/>
      <c r="AI349" s="201"/>
      <c r="AJ349" s="201"/>
      <c r="AK349" s="201"/>
      <c r="AL349" s="201"/>
      <c r="AM349" s="201"/>
      <c r="AN349" s="201"/>
      <c r="AO349" s="201"/>
      <c r="AP349" s="201"/>
      <c r="AQ349" s="201"/>
      <c r="AR349" s="201"/>
      <c r="AS349" s="201"/>
      <c r="AT349" s="201"/>
      <c r="AU349" s="201"/>
      <c r="AV349" s="201"/>
      <c r="AW349" s="201"/>
      <c r="AX349" s="201"/>
      <c r="AY349" s="201"/>
      <c r="AZ349" s="201"/>
      <c r="BA349" s="201"/>
      <c r="BB349" s="201"/>
    </row>
    <row r="350" spans="2:54">
      <c r="B350" s="35" t="s">
        <v>514</v>
      </c>
      <c r="C350" s="35"/>
      <c r="D350" s="32"/>
      <c r="E350" s="36" t="s">
        <v>511</v>
      </c>
      <c r="F350" s="311" t="s">
        <v>2025</v>
      </c>
      <c r="G350" s="32"/>
      <c r="H350" s="33"/>
      <c r="I350" s="34"/>
      <c r="J350" s="35" t="s">
        <v>516</v>
      </c>
      <c r="K350" s="36" t="s">
        <v>511</v>
      </c>
      <c r="L350" s="37">
        <v>45099.5625</v>
      </c>
      <c r="M350" s="32"/>
      <c r="N350" s="32"/>
      <c r="O350" s="206"/>
      <c r="P350" s="205"/>
      <c r="Q350" s="202"/>
      <c r="R350" s="204"/>
      <c r="S350" s="38"/>
      <c r="T350" s="201"/>
      <c r="U350" s="201"/>
      <c r="V350" s="201"/>
      <c r="W350" s="201"/>
      <c r="X350" s="201"/>
      <c r="Y350" s="201"/>
      <c r="Z350" s="201"/>
      <c r="AA350" s="201"/>
      <c r="AB350" s="202"/>
      <c r="AC350" s="202"/>
      <c r="AD350" s="202"/>
      <c r="AE350" s="202"/>
      <c r="AF350" s="202"/>
      <c r="AG350" s="201"/>
      <c r="AH350" s="201"/>
      <c r="AI350" s="201"/>
      <c r="AJ350" s="201"/>
      <c r="AK350" s="201"/>
      <c r="AL350" s="201"/>
      <c r="AM350" s="201"/>
      <c r="AN350" s="201"/>
      <c r="AO350" s="201"/>
      <c r="AP350" s="201"/>
      <c r="AQ350" s="201"/>
      <c r="AR350" s="201"/>
      <c r="AS350" s="201"/>
      <c r="AT350" s="201"/>
      <c r="AU350" s="201"/>
      <c r="AV350" s="201"/>
      <c r="AW350" s="201"/>
      <c r="AX350" s="201"/>
      <c r="AY350" s="201"/>
      <c r="AZ350" s="201"/>
      <c r="BA350" s="201"/>
      <c r="BB350" s="201"/>
    </row>
    <row r="351" spans="2:54">
      <c r="B351" s="35" t="s">
        <v>517</v>
      </c>
      <c r="C351" s="35"/>
      <c r="D351" s="32"/>
      <c r="E351" s="36" t="s">
        <v>511</v>
      </c>
      <c r="F351" s="37">
        <v>45095.275000000001</v>
      </c>
      <c r="G351" s="32"/>
      <c r="H351" s="33"/>
      <c r="I351" s="34"/>
      <c r="J351" s="35" t="s">
        <v>518</v>
      </c>
      <c r="K351" s="36" t="s">
        <v>511</v>
      </c>
      <c r="L351" s="50">
        <v>65900</v>
      </c>
      <c r="M351" s="40" t="s">
        <v>519</v>
      </c>
      <c r="N351" s="40"/>
      <c r="O351" s="206"/>
      <c r="P351" s="205"/>
      <c r="Q351" s="202"/>
      <c r="R351" s="204"/>
      <c r="S351" s="38"/>
      <c r="T351" s="201"/>
      <c r="U351" s="201"/>
      <c r="V351" s="201"/>
      <c r="W351" s="201"/>
      <c r="X351" s="201"/>
      <c r="Y351" s="201"/>
      <c r="Z351" s="201"/>
      <c r="AA351" s="201"/>
      <c r="AB351" s="202"/>
      <c r="AC351" s="202"/>
      <c r="AD351" s="202"/>
      <c r="AE351" s="202"/>
      <c r="AF351" s="202"/>
      <c r="AG351" s="201"/>
      <c r="AH351" s="201"/>
      <c r="AI351" s="201"/>
      <c r="AJ351" s="201"/>
      <c r="AK351" s="201"/>
      <c r="AL351" s="201"/>
      <c r="AM351" s="201"/>
      <c r="AN351" s="201"/>
      <c r="AO351" s="201"/>
      <c r="AP351" s="201"/>
      <c r="AQ351" s="201"/>
      <c r="AR351" s="201"/>
      <c r="AS351" s="201"/>
      <c r="AT351" s="201"/>
      <c r="AU351" s="201"/>
      <c r="AV351" s="201"/>
      <c r="AW351" s="201"/>
      <c r="AX351" s="201"/>
      <c r="AY351" s="201"/>
      <c r="AZ351" s="201"/>
      <c r="BA351" s="201"/>
      <c r="BB351" s="201"/>
    </row>
    <row r="352" spans="2:54">
      <c r="B352" s="35" t="s">
        <v>520</v>
      </c>
      <c r="C352" s="35"/>
      <c r="D352" s="32"/>
      <c r="E352" s="36" t="s">
        <v>511</v>
      </c>
      <c r="F352" s="37" t="s">
        <v>12</v>
      </c>
      <c r="G352" s="32"/>
      <c r="H352" s="33"/>
      <c r="I352" s="34"/>
      <c r="J352" s="35" t="s">
        <v>521</v>
      </c>
      <c r="K352" s="36" t="s">
        <v>511</v>
      </c>
      <c r="L352" s="41" t="s">
        <v>2026</v>
      </c>
      <c r="M352" s="32"/>
      <c r="N352" s="32"/>
      <c r="O352" s="206"/>
      <c r="P352" s="202"/>
      <c r="Q352" s="202"/>
      <c r="R352" s="204"/>
      <c r="S352" s="38"/>
      <c r="T352" s="201"/>
      <c r="U352" s="201"/>
      <c r="V352" s="201"/>
      <c r="W352" s="201"/>
      <c r="X352" s="201"/>
      <c r="Y352" s="201"/>
      <c r="Z352" s="201"/>
      <c r="AA352" s="201"/>
      <c r="AB352" s="202"/>
      <c r="AC352" s="202"/>
      <c r="AD352" s="202"/>
      <c r="AE352" s="202"/>
      <c r="AF352" s="202"/>
      <c r="AG352" s="201"/>
      <c r="AH352" s="201"/>
      <c r="AI352" s="201"/>
      <c r="AJ352" s="201"/>
      <c r="AK352" s="201"/>
      <c r="AL352" s="201"/>
      <c r="AM352" s="201"/>
      <c r="AN352" s="201"/>
      <c r="AO352" s="201"/>
      <c r="AP352" s="201"/>
      <c r="AQ352" s="201"/>
      <c r="AR352" s="201"/>
      <c r="AS352" s="201"/>
      <c r="AT352" s="201"/>
      <c r="AU352" s="201"/>
      <c r="AV352" s="201"/>
      <c r="AW352" s="201"/>
      <c r="AX352" s="201"/>
      <c r="AY352" s="201"/>
      <c r="AZ352" s="201"/>
      <c r="BA352" s="201"/>
      <c r="BB352" s="201"/>
    </row>
    <row r="353" spans="2:54">
      <c r="B353" s="35" t="s">
        <v>523</v>
      </c>
      <c r="C353" s="35"/>
      <c r="D353" s="32"/>
      <c r="E353" s="36" t="s">
        <v>511</v>
      </c>
      <c r="F353" s="37" t="s">
        <v>32</v>
      </c>
      <c r="G353" s="32"/>
      <c r="H353" s="33"/>
      <c r="I353" s="34"/>
      <c r="J353" s="42" t="s">
        <v>524</v>
      </c>
      <c r="K353" s="36" t="s">
        <v>511</v>
      </c>
      <c r="L353" s="43" t="s">
        <v>15</v>
      </c>
      <c r="M353" s="44"/>
      <c r="N353" s="44"/>
      <c r="O353" s="206"/>
      <c r="P353" s="205"/>
      <c r="Q353" s="202"/>
      <c r="R353" s="204"/>
      <c r="S353" s="38"/>
      <c r="T353" s="201"/>
      <c r="U353" s="201"/>
      <c r="V353" s="201"/>
      <c r="W353" s="201"/>
      <c r="X353" s="201"/>
      <c r="Y353" s="201"/>
      <c r="Z353" s="201"/>
      <c r="AA353" s="201"/>
      <c r="AB353" s="202"/>
      <c r="AC353" s="202"/>
      <c r="AD353" s="202"/>
      <c r="AE353" s="202"/>
      <c r="AF353" s="202"/>
      <c r="AG353" s="201"/>
      <c r="AH353" s="201"/>
      <c r="AI353" s="201"/>
      <c r="AJ353" s="201"/>
      <c r="AK353" s="201"/>
      <c r="AL353" s="201"/>
      <c r="AM353" s="201"/>
      <c r="AN353" s="201"/>
      <c r="AO353" s="201"/>
      <c r="AP353" s="201"/>
      <c r="AQ353" s="201"/>
      <c r="AR353" s="201"/>
      <c r="AS353" s="201"/>
      <c r="AT353" s="201"/>
      <c r="AU353" s="201"/>
      <c r="AV353" s="201"/>
      <c r="AW353" s="201"/>
      <c r="AX353" s="201"/>
      <c r="AY353" s="201"/>
      <c r="AZ353" s="201"/>
      <c r="BA353" s="201"/>
      <c r="BB353" s="201"/>
    </row>
    <row r="354" spans="2:54">
      <c r="B354" s="35" t="s">
        <v>2</v>
      </c>
      <c r="C354" s="35"/>
      <c r="D354" s="32"/>
      <c r="E354" s="36" t="s">
        <v>511</v>
      </c>
      <c r="F354" s="37" t="s">
        <v>6</v>
      </c>
      <c r="G354" s="32"/>
      <c r="H354" s="33"/>
      <c r="I354" s="45"/>
      <c r="J354" s="42"/>
      <c r="K354" s="36"/>
      <c r="L354" s="211"/>
      <c r="M354" s="201"/>
      <c r="N354" s="201"/>
      <c r="O354" s="42"/>
      <c r="P354" s="44"/>
      <c r="Q354" s="44"/>
      <c r="R354" s="44"/>
      <c r="S354" s="34"/>
      <c r="T354" s="201"/>
      <c r="U354" s="201"/>
      <c r="V354" s="201"/>
      <c r="W354" s="201"/>
      <c r="X354" s="201"/>
      <c r="Y354" s="201"/>
      <c r="Z354" s="201"/>
      <c r="AA354" s="201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201"/>
      <c r="AP354" s="201"/>
      <c r="AQ354" s="201"/>
      <c r="AR354" s="201"/>
      <c r="AS354" s="201"/>
      <c r="AT354" s="201"/>
      <c r="AU354" s="201"/>
      <c r="AV354" s="201"/>
      <c r="AW354" s="201"/>
      <c r="AX354" s="201"/>
      <c r="AY354" s="201"/>
      <c r="AZ354" s="201"/>
      <c r="BA354" s="201"/>
      <c r="BB354" s="201"/>
    </row>
    <row r="355" spans="2:54">
      <c r="B355" s="201"/>
      <c r="C355" s="201"/>
      <c r="D355" s="201"/>
      <c r="E355" s="201"/>
      <c r="F355" s="201"/>
      <c r="G355" s="201"/>
      <c r="H355" s="201"/>
      <c r="I355" s="45"/>
      <c r="J355" s="42"/>
      <c r="K355" s="42"/>
      <c r="L355" s="43"/>
      <c r="M355" s="44"/>
      <c r="N355" s="44"/>
      <c r="O355" s="42"/>
      <c r="P355" s="44"/>
      <c r="Q355" s="44"/>
      <c r="R355" s="44"/>
      <c r="S355" s="34"/>
      <c r="T355" s="1265" t="s">
        <v>87</v>
      </c>
      <c r="U355" s="1265"/>
      <c r="V355" s="1265"/>
      <c r="W355" s="1265"/>
      <c r="X355" s="1265"/>
      <c r="Y355" s="1265" t="s">
        <v>73</v>
      </c>
      <c r="Z355" s="1265"/>
      <c r="AA355" s="1265"/>
      <c r="AB355" s="1265" t="s">
        <v>74</v>
      </c>
      <c r="AC355" s="1265"/>
      <c r="AD355" s="423" t="s">
        <v>85</v>
      </c>
      <c r="AE355" s="423" t="s">
        <v>77</v>
      </c>
      <c r="AF355" s="1265" t="s">
        <v>525</v>
      </c>
      <c r="AG355" s="1265"/>
      <c r="AH355" s="1265"/>
      <c r="AI355" s="1265"/>
      <c r="AJ355" s="1265"/>
      <c r="AK355" s="1265"/>
      <c r="AL355" s="1265"/>
      <c r="AM355" s="1265"/>
      <c r="AN355" s="1265"/>
      <c r="AO355" s="1265"/>
      <c r="AP355" s="1265"/>
      <c r="AQ355" s="1265"/>
      <c r="AR355" s="1265"/>
      <c r="AS355" s="1265"/>
      <c r="AT355" s="1265"/>
      <c r="AU355" s="1265"/>
      <c r="AV355" s="1265"/>
      <c r="AW355" s="1265"/>
      <c r="AX355" s="1265"/>
      <c r="AY355" s="1265"/>
      <c r="AZ355" s="1265"/>
      <c r="BA355" s="1265"/>
      <c r="BB355" s="201"/>
    </row>
    <row r="356" spans="2:54">
      <c r="B356" s="1266" t="s">
        <v>526</v>
      </c>
      <c r="C356" s="1267"/>
      <c r="D356" s="570" t="s">
        <v>527</v>
      </c>
      <c r="E356" s="570"/>
      <c r="F356" s="570" t="s">
        <v>528</v>
      </c>
      <c r="G356" s="570" t="s">
        <v>529</v>
      </c>
      <c r="H356" s="570" t="s">
        <v>530</v>
      </c>
      <c r="I356" s="570" t="s">
        <v>531</v>
      </c>
      <c r="J356" s="570" t="s">
        <v>532</v>
      </c>
      <c r="K356" s="570"/>
      <c r="L356" s="570" t="s">
        <v>130</v>
      </c>
      <c r="M356" s="570" t="s">
        <v>533</v>
      </c>
      <c r="N356" s="408" t="str">
        <f>"On time - "&amp;COUNTIF(N357:N366,"On time")&amp;" from "&amp;ROWS(N357:N366)-COUNTIF(N357:N366," ")</f>
        <v>On time - 1 from 10</v>
      </c>
      <c r="O356" s="46"/>
      <c r="P356" s="409" t="s">
        <v>534</v>
      </c>
      <c r="Q356" s="409" t="s">
        <v>535</v>
      </c>
      <c r="R356" s="409" t="s">
        <v>536</v>
      </c>
      <c r="S356" s="32"/>
      <c r="T356" s="424" t="s">
        <v>537</v>
      </c>
      <c r="U356" s="424" t="s">
        <v>538</v>
      </c>
      <c r="V356" s="424" t="s">
        <v>539</v>
      </c>
      <c r="W356" s="424" t="s">
        <v>540</v>
      </c>
      <c r="X356" s="424" t="s">
        <v>541</v>
      </c>
      <c r="Y356" s="424" t="s">
        <v>167</v>
      </c>
      <c r="Z356" s="424" t="s">
        <v>168</v>
      </c>
      <c r="AA356" s="424" t="s">
        <v>169</v>
      </c>
      <c r="AB356" s="424" t="s">
        <v>235</v>
      </c>
      <c r="AC356" s="424" t="s">
        <v>240</v>
      </c>
      <c r="AD356" s="423" t="s">
        <v>85</v>
      </c>
      <c r="AE356" s="424" t="s">
        <v>139</v>
      </c>
      <c r="AF356" s="424" t="s">
        <v>72</v>
      </c>
      <c r="AG356" s="424" t="s">
        <v>88</v>
      </c>
      <c r="AH356" s="424" t="s">
        <v>75</v>
      </c>
      <c r="AI356" s="424" t="s">
        <v>543</v>
      </c>
      <c r="AJ356" s="424" t="s">
        <v>78</v>
      </c>
      <c r="AK356" s="424" t="s">
        <v>76</v>
      </c>
      <c r="AL356" s="424" t="s">
        <v>544</v>
      </c>
      <c r="AM356" s="424" t="s">
        <v>545</v>
      </c>
      <c r="AN356" s="424" t="s">
        <v>86</v>
      </c>
      <c r="AO356" s="424" t="s">
        <v>83</v>
      </c>
      <c r="AP356" s="424" t="s">
        <v>84</v>
      </c>
      <c r="AQ356" s="424" t="s">
        <v>546</v>
      </c>
      <c r="AR356" s="424" t="s">
        <v>81</v>
      </c>
      <c r="AS356" s="424" t="s">
        <v>80</v>
      </c>
      <c r="AT356" s="424" t="s">
        <v>82</v>
      </c>
      <c r="AU356" s="424" t="s">
        <v>181</v>
      </c>
      <c r="AV356" s="424" t="s">
        <v>183</v>
      </c>
      <c r="AW356" s="424" t="s">
        <v>547</v>
      </c>
      <c r="AX356" s="424" t="s">
        <v>182</v>
      </c>
      <c r="AY356" s="424" t="s">
        <v>172</v>
      </c>
      <c r="AZ356" s="424" t="s">
        <v>173</v>
      </c>
      <c r="BA356" s="424" t="s">
        <v>184</v>
      </c>
      <c r="BB356" s="201"/>
    </row>
    <row r="357" spans="2:54">
      <c r="B357" s="1256" t="s">
        <v>548</v>
      </c>
      <c r="C357" s="1257"/>
      <c r="D357" s="411" t="s">
        <v>1808</v>
      </c>
      <c r="E357" s="411"/>
      <c r="F357" s="411" t="s">
        <v>263</v>
      </c>
      <c r="G357" s="411" t="s">
        <v>264</v>
      </c>
      <c r="H357" s="412">
        <v>3157</v>
      </c>
      <c r="I357" s="413" t="s">
        <v>418</v>
      </c>
      <c r="J357" s="414">
        <v>45096.326388888891</v>
      </c>
      <c r="K357" s="414"/>
      <c r="L357" s="414" t="s">
        <v>192</v>
      </c>
      <c r="M357" s="414" t="s">
        <v>192</v>
      </c>
      <c r="N357" s="413" t="str">
        <f t="shared" ref="N357:N368" si="38">IF(ISBLANK(J357)," ",IF(J357&lt;$F$351,"On time",(IF(DAY(J357-$F$351)&lt;1,"On time",(IF(J357&gt;$F$351,"DELAY ( "&amp;DAY(J357-$F$351)&amp;" day "&amp;HOUR(J357-$F$351)&amp;" hour "&amp;MINUTE(J357-$F$351)&amp;" minute )","xxx"))))))</f>
        <v>DELAY ( 1 day 1 hour 14 minute )</v>
      </c>
      <c r="O357" s="51"/>
      <c r="P357" s="415" t="s">
        <v>551</v>
      </c>
      <c r="Q357" s="415" t="s">
        <v>551</v>
      </c>
      <c r="R357" s="415" t="s">
        <v>551</v>
      </c>
      <c r="S357" s="32"/>
      <c r="T357" s="416"/>
      <c r="U357" s="416"/>
      <c r="V357" s="416"/>
      <c r="W357" s="416"/>
      <c r="X357" s="416"/>
      <c r="Y357" s="416"/>
      <c r="Z357" s="416"/>
      <c r="AA357" s="416"/>
      <c r="AB357" s="416">
        <f>(H357*0.65)</f>
        <v>2052.0500000000002</v>
      </c>
      <c r="AC357" s="416">
        <f>(H357*0.35)</f>
        <v>1104.9499999999998</v>
      </c>
      <c r="AD357" s="416"/>
      <c r="AE357" s="416"/>
      <c r="AF357" s="416"/>
      <c r="AG357" s="416"/>
      <c r="AH357" s="416"/>
      <c r="AI357" s="416"/>
      <c r="AJ357" s="416"/>
      <c r="AK357" s="416"/>
      <c r="AL357" s="416"/>
      <c r="AM357" s="416"/>
      <c r="AN357" s="416"/>
      <c r="AO357" s="416"/>
      <c r="AP357" s="416"/>
      <c r="AQ357" s="416"/>
      <c r="AR357" s="416"/>
      <c r="AS357" s="416"/>
      <c r="AT357" s="416"/>
      <c r="AU357" s="416"/>
      <c r="AV357" s="416"/>
      <c r="AW357" s="416"/>
      <c r="AX357" s="416"/>
      <c r="AY357" s="416"/>
      <c r="AZ357" s="416"/>
      <c r="BA357" s="416"/>
      <c r="BB357" s="32"/>
    </row>
    <row r="358" spans="2:54">
      <c r="B358" s="1256" t="s">
        <v>548</v>
      </c>
      <c r="C358" s="1257"/>
      <c r="D358" s="411" t="s">
        <v>1798</v>
      </c>
      <c r="E358" s="411"/>
      <c r="F358" s="411" t="s">
        <v>1799</v>
      </c>
      <c r="G358" s="411" t="s">
        <v>340</v>
      </c>
      <c r="H358" s="412">
        <v>733.78399999999999</v>
      </c>
      <c r="I358" s="413" t="s">
        <v>418</v>
      </c>
      <c r="J358" s="414">
        <v>45095.680555555555</v>
      </c>
      <c r="K358" s="414"/>
      <c r="L358" s="414" t="s">
        <v>192</v>
      </c>
      <c r="M358" s="414" t="s">
        <v>192</v>
      </c>
      <c r="N358" s="413" t="str">
        <f t="shared" si="38"/>
        <v>On time</v>
      </c>
      <c r="O358" s="51"/>
      <c r="P358" s="415" t="s">
        <v>551</v>
      </c>
      <c r="Q358" s="415" t="s">
        <v>551</v>
      </c>
      <c r="R358" s="415" t="s">
        <v>551</v>
      </c>
      <c r="S358" s="32"/>
      <c r="T358" s="416"/>
      <c r="U358" s="416"/>
      <c r="V358" s="416"/>
      <c r="W358" s="416"/>
      <c r="X358" s="416"/>
      <c r="Y358" s="416"/>
      <c r="Z358" s="416"/>
      <c r="AA358" s="416"/>
      <c r="AB358" s="416">
        <f>(H358*0.65)</f>
        <v>476.95960000000002</v>
      </c>
      <c r="AC358" s="416">
        <f>(H358*0.35)</f>
        <v>256.82439999999997</v>
      </c>
      <c r="AD358" s="416"/>
      <c r="AE358" s="416"/>
      <c r="AF358" s="416"/>
      <c r="AG358" s="416"/>
      <c r="AH358" s="416"/>
      <c r="AI358" s="416"/>
      <c r="AJ358" s="416"/>
      <c r="AK358" s="416"/>
      <c r="AL358" s="416"/>
      <c r="AM358" s="416"/>
      <c r="AN358" s="416"/>
      <c r="AO358" s="416"/>
      <c r="AP358" s="416"/>
      <c r="AQ358" s="416"/>
      <c r="AR358" s="416"/>
      <c r="AS358" s="416"/>
      <c r="AT358" s="416"/>
      <c r="AU358" s="416"/>
      <c r="AV358" s="416"/>
      <c r="AW358" s="416"/>
      <c r="AX358" s="416"/>
      <c r="AY358" s="416"/>
      <c r="AZ358" s="416"/>
      <c r="BA358" s="416"/>
      <c r="BB358" s="32"/>
    </row>
    <row r="359" spans="2:54">
      <c r="B359" s="1250" t="s">
        <v>653</v>
      </c>
      <c r="C359" s="1251"/>
      <c r="D359" s="411" t="s">
        <v>1920</v>
      </c>
      <c r="E359" s="411"/>
      <c r="F359" s="411" t="s">
        <v>437</v>
      </c>
      <c r="G359" s="411" t="s">
        <v>320</v>
      </c>
      <c r="H359" s="412">
        <v>7515.8220000000001</v>
      </c>
      <c r="I359" s="413" t="s">
        <v>172</v>
      </c>
      <c r="J359" s="414">
        <v>45096.888888888891</v>
      </c>
      <c r="K359" s="414"/>
      <c r="L359" s="414" t="s">
        <v>192</v>
      </c>
      <c r="M359" s="414" t="s">
        <v>192</v>
      </c>
      <c r="N359" s="413" t="str">
        <f t="shared" si="38"/>
        <v>DELAY ( 1 day 14 hour 44 minute )</v>
      </c>
      <c r="O359" s="51"/>
      <c r="P359" s="415" t="s">
        <v>551</v>
      </c>
      <c r="Q359" s="415" t="s">
        <v>551</v>
      </c>
      <c r="R359" s="415" t="s">
        <v>551</v>
      </c>
      <c r="S359" s="32"/>
      <c r="T359" s="416"/>
      <c r="U359" s="416"/>
      <c r="V359" s="416"/>
      <c r="W359" s="416"/>
      <c r="X359" s="416"/>
      <c r="Y359" s="416"/>
      <c r="Z359" s="416"/>
      <c r="AA359" s="416"/>
      <c r="AB359" s="416"/>
      <c r="AC359" s="416"/>
      <c r="AD359" s="416"/>
      <c r="AE359" s="416"/>
      <c r="AF359" s="416"/>
      <c r="AG359" s="416"/>
      <c r="AH359" s="416"/>
      <c r="AI359" s="416"/>
      <c r="AJ359" s="286"/>
      <c r="AK359" s="416"/>
      <c r="AL359" s="416"/>
      <c r="AM359" s="416"/>
      <c r="AN359" s="416"/>
      <c r="AO359" s="416"/>
      <c r="AP359" s="416"/>
      <c r="AQ359" s="416"/>
      <c r="AR359" s="416"/>
      <c r="AS359" s="416"/>
      <c r="AT359" s="416"/>
      <c r="AU359" s="416"/>
      <c r="AV359" s="416"/>
      <c r="AW359" s="416"/>
      <c r="AX359" s="416"/>
      <c r="AY359" s="416">
        <f>H359</f>
        <v>7515.8220000000001</v>
      </c>
      <c r="AZ359" s="416"/>
      <c r="BA359" s="416"/>
      <c r="BB359" s="32"/>
    </row>
    <row r="360" spans="2:54">
      <c r="B360" s="1254"/>
      <c r="C360" s="1255"/>
      <c r="D360" s="411" t="s">
        <v>1821</v>
      </c>
      <c r="E360" s="411"/>
      <c r="F360" s="411" t="s">
        <v>252</v>
      </c>
      <c r="G360" s="411" t="s">
        <v>253</v>
      </c>
      <c r="H360" s="412">
        <v>7451.2330000000002</v>
      </c>
      <c r="I360" s="413" t="s">
        <v>235</v>
      </c>
      <c r="J360" s="414">
        <v>45096.708333333336</v>
      </c>
      <c r="K360" s="414"/>
      <c r="L360" s="414" t="s">
        <v>192</v>
      </c>
      <c r="M360" s="414" t="s">
        <v>192</v>
      </c>
      <c r="N360" s="413" t="str">
        <f t="shared" si="38"/>
        <v>DELAY ( 1 day 10 hour 24 minute )</v>
      </c>
      <c r="O360" s="51"/>
      <c r="P360" s="415" t="s">
        <v>551</v>
      </c>
      <c r="Q360" s="415" t="s">
        <v>551</v>
      </c>
      <c r="R360" s="415" t="s">
        <v>551</v>
      </c>
      <c r="S360" s="32"/>
      <c r="T360" s="416"/>
      <c r="U360" s="416"/>
      <c r="V360" s="416"/>
      <c r="W360" s="416"/>
      <c r="X360" s="416"/>
      <c r="Y360" s="416"/>
      <c r="Z360" s="416"/>
      <c r="AA360" s="416"/>
      <c r="AB360" s="416">
        <f>H360</f>
        <v>7451.2330000000002</v>
      </c>
      <c r="AC360" s="416"/>
      <c r="AD360" s="416"/>
      <c r="AE360" s="416"/>
      <c r="AF360" s="416"/>
      <c r="AG360" s="416"/>
      <c r="AH360" s="416"/>
      <c r="AI360" s="416"/>
      <c r="AJ360" s="416"/>
      <c r="AK360" s="416"/>
      <c r="AL360" s="416"/>
      <c r="AM360" s="416"/>
      <c r="AN360" s="416"/>
      <c r="AO360" s="416"/>
      <c r="AP360" s="416"/>
      <c r="AQ360" s="416"/>
      <c r="AR360" s="416"/>
      <c r="AS360" s="416"/>
      <c r="AT360" s="416"/>
      <c r="AU360" s="416"/>
      <c r="AV360" s="416"/>
      <c r="AW360" s="416"/>
      <c r="AX360" s="416"/>
      <c r="AY360" s="416"/>
      <c r="AZ360" s="416"/>
      <c r="BA360" s="416"/>
      <c r="BB360" s="32"/>
    </row>
    <row r="361" spans="2:54">
      <c r="B361" s="1250" t="s">
        <v>653</v>
      </c>
      <c r="C361" s="1251"/>
      <c r="D361" s="411" t="s">
        <v>1921</v>
      </c>
      <c r="E361" s="411"/>
      <c r="F361" s="411" t="s">
        <v>1767</v>
      </c>
      <c r="G361" s="411" t="s">
        <v>1768</v>
      </c>
      <c r="H361" s="412">
        <v>7558.9059999999999</v>
      </c>
      <c r="I361" s="413" t="s">
        <v>172</v>
      </c>
      <c r="J361" s="414">
        <v>45097.875</v>
      </c>
      <c r="K361" s="414"/>
      <c r="L361" s="414" t="s">
        <v>192</v>
      </c>
      <c r="M361" s="414" t="s">
        <v>192</v>
      </c>
      <c r="N361" s="413" t="str">
        <f t="shared" si="38"/>
        <v>DELAY ( 2 day 14 hour 24 minute )</v>
      </c>
      <c r="O361" s="51"/>
      <c r="P361" s="415" t="s">
        <v>551</v>
      </c>
      <c r="Q361" s="415" t="s">
        <v>551</v>
      </c>
      <c r="R361" s="415" t="s">
        <v>551</v>
      </c>
      <c r="S361" s="32"/>
      <c r="T361" s="416"/>
      <c r="U361" s="416"/>
      <c r="V361" s="416"/>
      <c r="W361" s="416"/>
      <c r="X361" s="416"/>
      <c r="Y361" s="416"/>
      <c r="Z361" s="416"/>
      <c r="AA361" s="416"/>
      <c r="AB361" s="416"/>
      <c r="AC361" s="416"/>
      <c r="AD361" s="416"/>
      <c r="AE361" s="416"/>
      <c r="AF361" s="416"/>
      <c r="AG361" s="416"/>
      <c r="AH361" s="416"/>
      <c r="AI361" s="416"/>
      <c r="AJ361" s="416"/>
      <c r="AK361" s="416"/>
      <c r="AL361" s="416"/>
      <c r="AM361" s="416"/>
      <c r="AN361" s="416"/>
      <c r="AO361" s="416"/>
      <c r="AP361" s="416"/>
      <c r="AQ361" s="416"/>
      <c r="AR361" s="416"/>
      <c r="AS361" s="416"/>
      <c r="AT361" s="32"/>
      <c r="AU361" s="416"/>
      <c r="AV361" s="416"/>
      <c r="AW361" s="416"/>
      <c r="AX361" s="416"/>
      <c r="AY361" s="416">
        <f>H361</f>
        <v>7558.9059999999999</v>
      </c>
      <c r="AZ361" s="416"/>
      <c r="BA361" s="416"/>
      <c r="BB361" s="32"/>
    </row>
    <row r="362" spans="2:54">
      <c r="B362" s="1254"/>
      <c r="C362" s="1255"/>
      <c r="D362" s="411" t="s">
        <v>1822</v>
      </c>
      <c r="E362" s="411"/>
      <c r="F362" s="411" t="s">
        <v>334</v>
      </c>
      <c r="G362" s="411" t="s">
        <v>335</v>
      </c>
      <c r="H362" s="412">
        <v>7876.6360000000004</v>
      </c>
      <c r="I362" s="413" t="s">
        <v>235</v>
      </c>
      <c r="J362" s="414">
        <v>45097.625</v>
      </c>
      <c r="K362" s="414"/>
      <c r="L362" s="414" t="s">
        <v>192</v>
      </c>
      <c r="M362" s="414" t="s">
        <v>192</v>
      </c>
      <c r="N362" s="413" t="str">
        <f t="shared" si="38"/>
        <v>DELAY ( 2 day 8 hour 24 minute )</v>
      </c>
      <c r="O362" s="51"/>
      <c r="P362" s="415" t="s">
        <v>551</v>
      </c>
      <c r="Q362" s="415" t="s">
        <v>551</v>
      </c>
      <c r="R362" s="415" t="s">
        <v>551</v>
      </c>
      <c r="S362" s="32"/>
      <c r="T362" s="416"/>
      <c r="U362" s="416"/>
      <c r="V362" s="416"/>
      <c r="W362" s="416"/>
      <c r="X362" s="416"/>
      <c r="Y362" s="416"/>
      <c r="Z362" s="416"/>
      <c r="AA362" s="416"/>
      <c r="AB362" s="416">
        <f>H362</f>
        <v>7876.6360000000004</v>
      </c>
      <c r="AC362" s="416"/>
      <c r="AD362" s="416"/>
      <c r="AE362" s="416"/>
      <c r="AF362" s="416"/>
      <c r="AG362" s="416"/>
      <c r="AH362" s="416"/>
      <c r="AI362" s="416"/>
      <c r="AJ362" s="416"/>
      <c r="AK362" s="416"/>
      <c r="AL362" s="416"/>
      <c r="AM362" s="416"/>
      <c r="AN362" s="416"/>
      <c r="AO362" s="416"/>
      <c r="AP362" s="416"/>
      <c r="AQ362" s="416"/>
      <c r="AR362" s="416"/>
      <c r="AS362" s="416"/>
      <c r="AT362" s="416"/>
      <c r="AU362" s="416"/>
      <c r="AV362" s="416"/>
      <c r="AW362" s="416"/>
      <c r="AX362" s="416"/>
      <c r="AY362" s="416"/>
      <c r="AZ362" s="416"/>
      <c r="BA362" s="416"/>
      <c r="BB362" s="32"/>
    </row>
    <row r="363" spans="2:54">
      <c r="B363" s="1250" t="s">
        <v>653</v>
      </c>
      <c r="C363" s="1251"/>
      <c r="D363" s="411" t="s">
        <v>1824</v>
      </c>
      <c r="E363" s="411"/>
      <c r="F363" s="411" t="s">
        <v>367</v>
      </c>
      <c r="G363" s="411" t="s">
        <v>368</v>
      </c>
      <c r="H363" s="412">
        <v>9987.777</v>
      </c>
      <c r="I363" s="413" t="s">
        <v>235</v>
      </c>
      <c r="J363" s="414">
        <v>45097.638888888891</v>
      </c>
      <c r="K363" s="414"/>
      <c r="L363" s="414" t="s">
        <v>192</v>
      </c>
      <c r="M363" s="414" t="s">
        <v>192</v>
      </c>
      <c r="N363" s="413" t="str">
        <f t="shared" si="38"/>
        <v>DELAY ( 2 day 8 hour 44 minute )</v>
      </c>
      <c r="O363" s="51"/>
      <c r="P363" s="415" t="s">
        <v>551</v>
      </c>
      <c r="Q363" s="415" t="s">
        <v>551</v>
      </c>
      <c r="R363" s="415" t="s">
        <v>551</v>
      </c>
      <c r="S363" s="32"/>
      <c r="T363" s="416"/>
      <c r="U363" s="416"/>
      <c r="V363" s="416"/>
      <c r="W363" s="416"/>
      <c r="X363" s="416"/>
      <c r="Y363" s="416"/>
      <c r="Z363" s="416"/>
      <c r="AA363" s="416"/>
      <c r="AB363" s="416">
        <f>H363</f>
        <v>9987.777</v>
      </c>
      <c r="AC363" s="416"/>
      <c r="AD363" s="416"/>
      <c r="AE363" s="416"/>
      <c r="AF363" s="416"/>
      <c r="AG363" s="416"/>
      <c r="AH363" s="416"/>
      <c r="AI363" s="416"/>
      <c r="AJ363" s="416"/>
      <c r="AK363" s="416"/>
      <c r="AL363" s="416"/>
      <c r="AM363" s="416"/>
      <c r="AN363" s="416"/>
      <c r="AO363" s="416"/>
      <c r="AP363" s="416"/>
      <c r="AQ363" s="416"/>
      <c r="AR363" s="416"/>
      <c r="AS363" s="416"/>
      <c r="AT363" s="416"/>
      <c r="AU363" s="416"/>
      <c r="AV363" s="416"/>
      <c r="AW363" s="416"/>
      <c r="AX363" s="416"/>
      <c r="AY363" s="416"/>
      <c r="AZ363" s="416"/>
      <c r="BA363" s="416"/>
      <c r="BB363" s="32"/>
    </row>
    <row r="364" spans="2:54">
      <c r="B364" s="1254"/>
      <c r="C364" s="1255"/>
      <c r="D364" s="411" t="s">
        <v>1869</v>
      </c>
      <c r="E364" s="411"/>
      <c r="F364" s="411" t="s">
        <v>208</v>
      </c>
      <c r="G364" s="411" t="s">
        <v>328</v>
      </c>
      <c r="H364" s="412">
        <v>7504.348</v>
      </c>
      <c r="I364" s="413" t="s">
        <v>173</v>
      </c>
      <c r="J364" s="414">
        <v>45098.604166666664</v>
      </c>
      <c r="K364" s="414"/>
      <c r="L364" s="414" t="s">
        <v>192</v>
      </c>
      <c r="M364" s="414" t="s">
        <v>192</v>
      </c>
      <c r="N364" s="413" t="str">
        <f t="shared" si="38"/>
        <v>DELAY ( 3 day 7 hour 54 minute )</v>
      </c>
      <c r="O364" s="51"/>
      <c r="P364" s="415" t="s">
        <v>551</v>
      </c>
      <c r="Q364" s="415" t="s">
        <v>551</v>
      </c>
      <c r="R364" s="415" t="s">
        <v>551</v>
      </c>
      <c r="S364" s="32"/>
      <c r="T364" s="416"/>
      <c r="U364" s="416"/>
      <c r="V364" s="416"/>
      <c r="W364" s="416"/>
      <c r="X364" s="416"/>
      <c r="Y364" s="416"/>
      <c r="Z364" s="416"/>
      <c r="AA364" s="416"/>
      <c r="AB364" s="32"/>
      <c r="AC364" s="416"/>
      <c r="AD364" s="416"/>
      <c r="AE364" s="416"/>
      <c r="AF364" s="416"/>
      <c r="AG364" s="416"/>
      <c r="AH364" s="416"/>
      <c r="AI364" s="416"/>
      <c r="AJ364" s="416"/>
      <c r="AK364" s="416"/>
      <c r="AL364" s="416"/>
      <c r="AM364" s="416"/>
      <c r="AN364" s="416"/>
      <c r="AO364" s="416"/>
      <c r="AP364" s="416"/>
      <c r="AQ364" s="416"/>
      <c r="AR364" s="416"/>
      <c r="AS364" s="416"/>
      <c r="AT364" s="416"/>
      <c r="AU364" s="416"/>
      <c r="AV364" s="416"/>
      <c r="AW364" s="416"/>
      <c r="AX364" s="416"/>
      <c r="AY364" s="416"/>
      <c r="AZ364" s="416">
        <f>H364</f>
        <v>7504.348</v>
      </c>
      <c r="BA364" s="416"/>
      <c r="BB364" s="32"/>
    </row>
    <row r="365" spans="2:54">
      <c r="B365" s="1256" t="s">
        <v>548</v>
      </c>
      <c r="C365" s="1257"/>
      <c r="D365" s="411" t="s">
        <v>1825</v>
      </c>
      <c r="E365" s="411"/>
      <c r="F365" s="411" t="s">
        <v>361</v>
      </c>
      <c r="G365" s="411" t="s">
        <v>362</v>
      </c>
      <c r="H365" s="412">
        <v>7366.5129999999999</v>
      </c>
      <c r="I365" s="413" t="s">
        <v>235</v>
      </c>
      <c r="J365" s="414">
        <v>45097.416666666664</v>
      </c>
      <c r="K365" s="414"/>
      <c r="L365" s="414" t="s">
        <v>192</v>
      </c>
      <c r="M365" s="414" t="s">
        <v>192</v>
      </c>
      <c r="N365" s="413" t="str">
        <f t="shared" si="38"/>
        <v>DELAY ( 2 day 3 hour 24 minute )</v>
      </c>
      <c r="O365" s="51"/>
      <c r="P365" s="415" t="s">
        <v>551</v>
      </c>
      <c r="Q365" s="415" t="s">
        <v>551</v>
      </c>
      <c r="R365" s="415" t="s">
        <v>551</v>
      </c>
      <c r="S365" s="32"/>
      <c r="T365" s="416"/>
      <c r="U365" s="416"/>
      <c r="V365" s="416"/>
      <c r="W365" s="416"/>
      <c r="X365" s="416"/>
      <c r="Y365" s="416"/>
      <c r="Z365" s="416"/>
      <c r="AA365" s="416"/>
      <c r="AB365" s="416">
        <f t="shared" ref="AB365" si="39">H365</f>
        <v>7366.5129999999999</v>
      </c>
      <c r="AC365" s="416"/>
      <c r="AD365" s="416"/>
      <c r="AE365" s="416"/>
      <c r="AF365" s="416"/>
      <c r="AG365" s="416"/>
      <c r="AH365" s="416"/>
      <c r="AI365" s="416"/>
      <c r="AJ365" s="416"/>
      <c r="AK365" s="416"/>
      <c r="AL365" s="416"/>
      <c r="AM365" s="416"/>
      <c r="AN365" s="416"/>
      <c r="AO365" s="416"/>
      <c r="AP365" s="416"/>
      <c r="AQ365" s="416"/>
      <c r="AR365" s="416"/>
      <c r="AS365" s="416"/>
      <c r="AT365" s="416"/>
      <c r="AU365" s="416"/>
      <c r="AV365" s="416"/>
      <c r="AW365" s="416"/>
      <c r="AX365" s="416"/>
      <c r="AY365" s="416"/>
      <c r="AZ365" s="416"/>
      <c r="BA365" s="416"/>
      <c r="BB365" s="32"/>
    </row>
    <row r="366" spans="2:54">
      <c r="B366" s="1256" t="s">
        <v>548</v>
      </c>
      <c r="C366" s="1257"/>
      <c r="D366" s="411" t="s">
        <v>1830</v>
      </c>
      <c r="E366" s="411"/>
      <c r="F366" s="411" t="s">
        <v>233</v>
      </c>
      <c r="G366" s="411" t="s">
        <v>234</v>
      </c>
      <c r="H366" s="412">
        <f>7618.846-870.865</f>
        <v>6747.9809999999998</v>
      </c>
      <c r="I366" s="413" t="s">
        <v>235</v>
      </c>
      <c r="J366" s="414">
        <v>45098.416666666664</v>
      </c>
      <c r="K366" s="414"/>
      <c r="L366" s="414" t="s">
        <v>192</v>
      </c>
      <c r="M366" s="414" t="s">
        <v>192</v>
      </c>
      <c r="N366" s="413" t="str">
        <f t="shared" si="38"/>
        <v>DELAY ( 3 day 3 hour 24 minute )</v>
      </c>
      <c r="O366" s="51"/>
      <c r="P366" s="415" t="s">
        <v>551</v>
      </c>
      <c r="Q366" s="415" t="s">
        <v>551</v>
      </c>
      <c r="R366" s="415" t="s">
        <v>551</v>
      </c>
      <c r="S366" s="32"/>
      <c r="T366" s="416"/>
      <c r="U366" s="416"/>
      <c r="V366" s="416"/>
      <c r="W366" s="416"/>
      <c r="X366" s="416"/>
      <c r="Y366" s="416"/>
      <c r="Z366" s="416"/>
      <c r="AA366" s="416"/>
      <c r="AB366" s="416">
        <f>H366</f>
        <v>6747.9809999999998</v>
      </c>
      <c r="AC366" s="416"/>
      <c r="AD366" s="416"/>
      <c r="AE366" s="416"/>
      <c r="AF366" s="416"/>
      <c r="AG366" s="416"/>
      <c r="AH366" s="416"/>
      <c r="AI366" s="416"/>
      <c r="AJ366" s="416"/>
      <c r="AK366" s="416"/>
      <c r="AL366" s="416"/>
      <c r="AM366" s="416"/>
      <c r="AN366" s="416"/>
      <c r="AO366" s="416"/>
      <c r="AP366" s="416"/>
      <c r="AQ366" s="416"/>
      <c r="AR366" s="416"/>
      <c r="AS366" s="416"/>
      <c r="AT366" s="416"/>
      <c r="AU366" s="416"/>
      <c r="AV366" s="416"/>
      <c r="AW366" s="416"/>
      <c r="AX366" s="416"/>
      <c r="AY366" s="416"/>
      <c r="AZ366" s="416"/>
      <c r="BA366" s="416"/>
      <c r="BB366" s="32"/>
    </row>
    <row r="367" spans="2:54">
      <c r="B367" s="1258" t="s">
        <v>556</v>
      </c>
      <c r="C367" s="1259"/>
      <c r="D367" s="1259"/>
      <c r="E367" s="1259"/>
      <c r="F367" s="1259"/>
      <c r="G367" s="1260"/>
      <c r="H367" s="417">
        <f>SUM(H357:H366)</f>
        <v>65900</v>
      </c>
      <c r="I367" s="388"/>
      <c r="J367" s="293"/>
      <c r="K367" s="293"/>
      <c r="L367" s="293"/>
      <c r="M367" s="389"/>
      <c r="N367" s="413" t="str">
        <f t="shared" si="38"/>
        <v xml:space="preserve"> </v>
      </c>
      <c r="O367" s="212"/>
      <c r="P367" s="418"/>
      <c r="Q367" s="418"/>
      <c r="R367" s="418"/>
      <c r="S367" s="207"/>
      <c r="T367" s="1262"/>
      <c r="U367" s="1263"/>
      <c r="V367" s="1263"/>
      <c r="W367" s="1263"/>
      <c r="X367" s="1263"/>
      <c r="Y367" s="1263"/>
      <c r="Z367" s="1263"/>
      <c r="AA367" s="1263"/>
      <c r="AB367" s="1263"/>
      <c r="AC367" s="1263"/>
      <c r="AD367" s="1263"/>
      <c r="AE367" s="1263"/>
      <c r="AF367" s="1263"/>
      <c r="AG367" s="1263"/>
      <c r="AH367" s="1263"/>
      <c r="AI367" s="1263"/>
      <c r="AJ367" s="1263"/>
      <c r="AK367" s="1263"/>
      <c r="AL367" s="1263"/>
      <c r="AM367" s="1263"/>
      <c r="AN367" s="1263"/>
      <c r="AO367" s="1263"/>
      <c r="AP367" s="1263"/>
      <c r="AQ367" s="1263"/>
      <c r="AR367" s="1263"/>
      <c r="AS367" s="1263"/>
      <c r="AT367" s="1263"/>
      <c r="AU367" s="1263"/>
      <c r="AV367" s="1263"/>
      <c r="AW367" s="1263"/>
      <c r="AX367" s="1263"/>
      <c r="AY367" s="1263"/>
      <c r="AZ367" s="1263"/>
      <c r="BA367" s="1263"/>
    </row>
    <row r="368" spans="2:54">
      <c r="B368" s="1243" t="s">
        <v>557</v>
      </c>
      <c r="C368" s="1244"/>
      <c r="D368" s="1244"/>
      <c r="E368" s="1244"/>
      <c r="F368" s="1244"/>
      <c r="G368" s="1245"/>
      <c r="H368" s="419">
        <v>65900</v>
      </c>
      <c r="I368" s="1273"/>
      <c r="J368" s="1274"/>
      <c r="K368" s="1274"/>
      <c r="L368" s="1274"/>
      <c r="M368" s="1275"/>
      <c r="N368" s="413" t="str">
        <f t="shared" si="38"/>
        <v xml:space="preserve"> </v>
      </c>
      <c r="O368" s="32"/>
      <c r="P368" s="415"/>
      <c r="Q368" s="415"/>
      <c r="R368" s="415"/>
      <c r="S368" s="63"/>
      <c r="T368" s="416">
        <f>SUM(T357:T366)</f>
        <v>0</v>
      </c>
      <c r="U368" s="416">
        <f t="shared" ref="U368:BA368" si="40">SUM(U357:U366)</f>
        <v>0</v>
      </c>
      <c r="V368" s="416">
        <f t="shared" si="40"/>
        <v>0</v>
      </c>
      <c r="W368" s="416">
        <f t="shared" si="40"/>
        <v>0</v>
      </c>
      <c r="X368" s="416">
        <f t="shared" si="40"/>
        <v>0</v>
      </c>
      <c r="Y368" s="416">
        <f t="shared" si="40"/>
        <v>0</v>
      </c>
      <c r="Z368" s="416">
        <f t="shared" si="40"/>
        <v>0</v>
      </c>
      <c r="AA368" s="416">
        <f t="shared" si="40"/>
        <v>0</v>
      </c>
      <c r="AB368" s="416">
        <f t="shared" si="40"/>
        <v>41959.149600000004</v>
      </c>
      <c r="AC368" s="416">
        <f t="shared" si="40"/>
        <v>1361.7743999999998</v>
      </c>
      <c r="AD368" s="416">
        <f t="shared" si="40"/>
        <v>0</v>
      </c>
      <c r="AE368" s="416">
        <f t="shared" si="40"/>
        <v>0</v>
      </c>
      <c r="AF368" s="416">
        <f t="shared" si="40"/>
        <v>0</v>
      </c>
      <c r="AG368" s="416">
        <f t="shared" si="40"/>
        <v>0</v>
      </c>
      <c r="AH368" s="416">
        <f t="shared" si="40"/>
        <v>0</v>
      </c>
      <c r="AI368" s="416">
        <f t="shared" si="40"/>
        <v>0</v>
      </c>
      <c r="AJ368" s="416">
        <f t="shared" si="40"/>
        <v>0</v>
      </c>
      <c r="AK368" s="416">
        <f t="shared" si="40"/>
        <v>0</v>
      </c>
      <c r="AL368" s="416">
        <f t="shared" si="40"/>
        <v>0</v>
      </c>
      <c r="AM368" s="416">
        <f t="shared" si="40"/>
        <v>0</v>
      </c>
      <c r="AN368" s="416">
        <f t="shared" si="40"/>
        <v>0</v>
      </c>
      <c r="AO368" s="416">
        <f t="shared" si="40"/>
        <v>0</v>
      </c>
      <c r="AP368" s="416">
        <f t="shared" si="40"/>
        <v>0</v>
      </c>
      <c r="AQ368" s="416">
        <f t="shared" si="40"/>
        <v>0</v>
      </c>
      <c r="AR368" s="416">
        <f t="shared" si="40"/>
        <v>0</v>
      </c>
      <c r="AS368" s="416">
        <f t="shared" si="40"/>
        <v>0</v>
      </c>
      <c r="AT368" s="416">
        <f t="shared" si="40"/>
        <v>0</v>
      </c>
      <c r="AU368" s="416">
        <f t="shared" si="40"/>
        <v>0</v>
      </c>
      <c r="AV368" s="416">
        <f t="shared" si="40"/>
        <v>0</v>
      </c>
      <c r="AW368" s="416">
        <f t="shared" si="40"/>
        <v>0</v>
      </c>
      <c r="AX368" s="416">
        <f t="shared" si="40"/>
        <v>0</v>
      </c>
      <c r="AY368" s="416">
        <f t="shared" si="40"/>
        <v>15074.727999999999</v>
      </c>
      <c r="AZ368" s="416">
        <f t="shared" si="40"/>
        <v>7504.348</v>
      </c>
      <c r="BA368" s="416">
        <f t="shared" si="40"/>
        <v>0</v>
      </c>
      <c r="BB368" s="416">
        <f>SUM(T368:BA368)</f>
        <v>65900</v>
      </c>
    </row>
    <row r="369" spans="2:56">
      <c r="B369" s="1243" t="s">
        <v>558</v>
      </c>
      <c r="C369" s="1244"/>
      <c r="D369" s="1244"/>
      <c r="E369" s="1244"/>
      <c r="F369" s="1244"/>
      <c r="G369" s="1245"/>
      <c r="H369" s="420">
        <f>H368-L351</f>
        <v>0</v>
      </c>
      <c r="I369" s="294"/>
      <c r="J369" s="295"/>
      <c r="K369" s="295"/>
      <c r="L369" s="296"/>
      <c r="M369" s="32"/>
      <c r="N369" s="32"/>
      <c r="O369" s="32"/>
      <c r="P369" s="32"/>
      <c r="Q369" s="297"/>
      <c r="R369" s="297"/>
      <c r="S369" s="32"/>
      <c r="T369" s="48"/>
      <c r="U369" s="48"/>
      <c r="V369" s="48"/>
      <c r="W369" s="48"/>
      <c r="X369" s="48"/>
      <c r="Y369" s="48"/>
      <c r="Z369" s="48"/>
      <c r="AA369" s="48"/>
      <c r="AB369" s="48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</row>
    <row r="370" spans="2:56">
      <c r="B370" s="1243" t="s">
        <v>559</v>
      </c>
      <c r="C370" s="1244"/>
      <c r="D370" s="1244"/>
      <c r="E370" s="1244"/>
      <c r="F370" s="1244"/>
      <c r="G370" s="1245"/>
      <c r="H370" s="420">
        <v>1552.0650000000001</v>
      </c>
      <c r="I370" s="52"/>
      <c r="J370" s="53"/>
      <c r="K370" s="53"/>
      <c r="L370" s="54"/>
      <c r="M370" s="32"/>
      <c r="N370" s="201"/>
      <c r="O370" s="32"/>
      <c r="P370" s="32"/>
      <c r="Q370" s="32"/>
      <c r="R370" s="32"/>
      <c r="S370" s="32"/>
      <c r="T370" s="48"/>
      <c r="U370" s="48"/>
      <c r="V370" s="48"/>
      <c r="W370" s="48"/>
      <c r="X370" s="48"/>
      <c r="Y370" s="48"/>
      <c r="Z370" s="48"/>
      <c r="AA370" s="48"/>
      <c r="AB370" s="48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</row>
    <row r="371" spans="2:56">
      <c r="B371" s="1243" t="s">
        <v>560</v>
      </c>
      <c r="C371" s="1244"/>
      <c r="D371" s="1244"/>
      <c r="E371" s="1244"/>
      <c r="F371" s="1244"/>
      <c r="G371" s="1245"/>
      <c r="H371" s="420">
        <f>H370-870.865</f>
        <v>681.2</v>
      </c>
      <c r="I371" s="52"/>
      <c r="J371" s="53"/>
      <c r="K371" s="53"/>
      <c r="L371" s="54"/>
      <c r="M371" s="32"/>
      <c r="N371" s="32"/>
      <c r="O371" s="32"/>
      <c r="P371" s="32"/>
      <c r="Q371" s="32"/>
      <c r="R371" s="32"/>
      <c r="S371" s="48"/>
      <c r="T371" s="48"/>
      <c r="U371" s="48"/>
      <c r="V371" s="48"/>
      <c r="W371" s="48"/>
      <c r="X371" s="48"/>
      <c r="Y371" s="48"/>
      <c r="Z371" s="48"/>
      <c r="AA371" s="48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</row>
    <row r="372" spans="2:56">
      <c r="B372" s="201"/>
      <c r="C372" s="201"/>
      <c r="D372" s="201"/>
      <c r="E372" s="201"/>
      <c r="F372" s="201"/>
      <c r="G372" s="201"/>
      <c r="H372" s="201"/>
      <c r="I372" s="213"/>
      <c r="J372" s="209"/>
      <c r="K372" s="209"/>
      <c r="L372" s="203"/>
      <c r="M372" s="201"/>
      <c r="N372" s="201"/>
      <c r="O372" s="209"/>
      <c r="P372" s="32"/>
      <c r="Q372" s="32"/>
      <c r="R372" s="32"/>
      <c r="S372" s="32"/>
      <c r="T372" s="48"/>
      <c r="U372" s="48"/>
      <c r="V372" s="48"/>
      <c r="W372" s="48"/>
      <c r="X372" s="48"/>
      <c r="Y372" s="48"/>
      <c r="Z372" s="48"/>
      <c r="AA372" s="48"/>
      <c r="AB372" s="48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</row>
    <row r="373" spans="2:56">
      <c r="B373" s="40" t="s">
        <v>561</v>
      </c>
      <c r="C373" s="40"/>
      <c r="D373" s="32"/>
      <c r="E373" s="32"/>
      <c r="F373" s="32"/>
      <c r="G373" s="32"/>
      <c r="H373" s="32"/>
      <c r="I373" s="32"/>
      <c r="J373" s="52"/>
      <c r="K373" s="52"/>
      <c r="L373" s="55"/>
      <c r="M373" s="32"/>
      <c r="N373" s="201"/>
      <c r="O373" s="5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  <c r="AA373" s="202"/>
      <c r="AB373" s="201"/>
      <c r="AC373" s="201"/>
      <c r="AD373" s="201"/>
      <c r="AE373" s="201"/>
      <c r="AF373" s="201"/>
      <c r="AG373" s="201"/>
      <c r="AH373" s="201"/>
      <c r="AI373" s="201"/>
      <c r="AJ373" s="201"/>
      <c r="AK373" s="201"/>
      <c r="AL373" s="201"/>
      <c r="AM373" s="201"/>
      <c r="AN373" s="201"/>
      <c r="AO373" s="201"/>
      <c r="AP373" s="201"/>
      <c r="AQ373" s="201"/>
      <c r="AR373" s="201"/>
      <c r="AS373" s="201"/>
      <c r="AT373" s="201"/>
      <c r="AU373" s="201"/>
      <c r="BB373" s="201"/>
    </row>
    <row r="374" spans="2:56">
      <c r="B374" s="422">
        <v>1</v>
      </c>
      <c r="C374" s="1291" t="s">
        <v>2027</v>
      </c>
      <c r="D374" s="1292"/>
      <c r="E374" s="1292"/>
      <c r="F374" s="1292"/>
      <c r="G374" s="1292"/>
      <c r="H374" s="1292"/>
      <c r="I374" s="1292"/>
      <c r="J374" s="1292"/>
      <c r="K374" s="1293"/>
      <c r="L374" s="203"/>
      <c r="M374" s="203"/>
      <c r="N374" s="201"/>
      <c r="O374" s="209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  <c r="AA374" s="202"/>
      <c r="AB374" s="201"/>
      <c r="AC374" s="201"/>
      <c r="AD374" s="201"/>
      <c r="AE374" s="201"/>
      <c r="AF374" s="201"/>
      <c r="AG374" s="201"/>
      <c r="AH374" s="201"/>
      <c r="AI374" s="201"/>
      <c r="AJ374" s="201"/>
      <c r="AK374" s="201"/>
      <c r="AL374" s="201"/>
      <c r="AM374" s="201"/>
      <c r="AN374" s="201"/>
      <c r="AO374" s="201"/>
      <c r="AP374" s="201"/>
      <c r="AQ374" s="201"/>
      <c r="AR374" s="201"/>
      <c r="AS374" s="201"/>
      <c r="AT374" s="201"/>
      <c r="AU374" s="201"/>
      <c r="AV374" s="201"/>
      <c r="AW374" s="201"/>
      <c r="AX374" s="201"/>
      <c r="AY374" s="201"/>
      <c r="AZ374" s="201"/>
      <c r="BA374" s="201"/>
      <c r="BB374" s="201"/>
    </row>
    <row r="376" spans="2:56">
      <c r="B376" s="28" t="s">
        <v>126</v>
      </c>
      <c r="C376" s="28"/>
      <c r="D376" s="29"/>
      <c r="E376" s="30" t="s">
        <v>511</v>
      </c>
      <c r="F376" s="31" t="s">
        <v>2028</v>
      </c>
      <c r="G376" s="32"/>
      <c r="H376" s="33"/>
      <c r="I376" s="34"/>
      <c r="J376" s="35" t="s">
        <v>513</v>
      </c>
      <c r="K376" s="36" t="s">
        <v>511</v>
      </c>
      <c r="L376" s="37">
        <v>45098.645833333336</v>
      </c>
      <c r="M376" s="32"/>
      <c r="N376" s="32"/>
      <c r="O376" s="206"/>
      <c r="P376" s="205"/>
      <c r="Q376" s="202"/>
      <c r="R376" s="204"/>
      <c r="S376" s="38"/>
      <c r="T376" s="201"/>
      <c r="U376" s="201"/>
      <c r="V376" s="201"/>
      <c r="W376" s="201"/>
      <c r="X376" s="201"/>
      <c r="Y376" s="201"/>
      <c r="Z376" s="201"/>
      <c r="AA376" s="201"/>
      <c r="AB376" s="202"/>
      <c r="AC376" s="202"/>
      <c r="AD376" s="202"/>
      <c r="AE376" s="202"/>
      <c r="AF376" s="202"/>
      <c r="AG376" s="201"/>
      <c r="AH376" s="201"/>
      <c r="AI376" s="201"/>
      <c r="AJ376" s="201"/>
      <c r="AK376" s="201"/>
      <c r="AL376" s="201"/>
      <c r="AM376" s="201"/>
      <c r="AN376" s="201"/>
      <c r="AO376" s="201"/>
      <c r="AP376" s="201"/>
      <c r="AQ376" s="201"/>
      <c r="AR376" s="201"/>
      <c r="AS376" s="201"/>
      <c r="AT376" s="201"/>
      <c r="AU376" s="201"/>
      <c r="AV376" s="201"/>
      <c r="AW376" s="201"/>
      <c r="AX376" s="201"/>
      <c r="AY376" s="201"/>
      <c r="AZ376" s="201"/>
      <c r="BA376" s="201"/>
      <c r="BB376" s="201"/>
      <c r="BC376" s="201"/>
      <c r="BD376" s="201"/>
    </row>
    <row r="377" spans="2:56">
      <c r="B377" s="35" t="s">
        <v>514</v>
      </c>
      <c r="C377" s="35"/>
      <c r="D377" s="32"/>
      <c r="E377" s="36" t="s">
        <v>511</v>
      </c>
      <c r="F377" s="37" t="s">
        <v>2029</v>
      </c>
      <c r="G377" s="32"/>
      <c r="H377" s="33"/>
      <c r="I377" s="34"/>
      <c r="J377" s="35" t="s">
        <v>516</v>
      </c>
      <c r="K377" s="36" t="s">
        <v>511</v>
      </c>
      <c r="L377" s="37">
        <v>45099.850694444445</v>
      </c>
      <c r="M377" s="32"/>
      <c r="N377" s="32"/>
      <c r="O377" s="206"/>
      <c r="P377" s="205"/>
      <c r="Q377" s="202"/>
      <c r="R377" s="204"/>
      <c r="S377" s="38"/>
      <c r="T377" s="201"/>
      <c r="U377" s="201"/>
      <c r="V377" s="201"/>
      <c r="W377" s="201"/>
      <c r="X377" s="201"/>
      <c r="Y377" s="201"/>
      <c r="Z377" s="201"/>
      <c r="AA377" s="201"/>
      <c r="AB377" s="202"/>
      <c r="AC377" s="202"/>
      <c r="AD377" s="202"/>
      <c r="AE377" s="202"/>
      <c r="AF377" s="202"/>
      <c r="AG377" s="201"/>
      <c r="AH377" s="201"/>
      <c r="AI377" s="201"/>
      <c r="AJ377" s="201"/>
      <c r="AK377" s="201"/>
      <c r="AL377" s="201"/>
      <c r="AM377" s="201"/>
      <c r="AN377" s="201"/>
      <c r="AO377" s="201"/>
      <c r="AP377" s="201"/>
      <c r="AQ377" s="201"/>
      <c r="AR377" s="201"/>
      <c r="AS377" s="201"/>
      <c r="AT377" s="201"/>
      <c r="AU377" s="201"/>
      <c r="AV377" s="201"/>
      <c r="AW377" s="201"/>
      <c r="AX377" s="201"/>
      <c r="AY377" s="201"/>
      <c r="AZ377" s="201"/>
      <c r="BA377" s="201"/>
      <c r="BB377" s="201"/>
      <c r="BC377" s="201"/>
      <c r="BD377" s="201"/>
    </row>
    <row r="378" spans="2:56">
      <c r="B378" s="35" t="s">
        <v>517</v>
      </c>
      <c r="C378" s="35"/>
      <c r="D378" s="32"/>
      <c r="E378" s="36" t="s">
        <v>511</v>
      </c>
      <c r="F378" s="37">
        <v>45095.041666666664</v>
      </c>
      <c r="G378" s="32"/>
      <c r="H378" s="33"/>
      <c r="I378" s="34"/>
      <c r="J378" s="35" t="s">
        <v>518</v>
      </c>
      <c r="K378" s="36" t="s">
        <v>511</v>
      </c>
      <c r="L378" s="50">
        <v>66450</v>
      </c>
      <c r="M378" s="40" t="s">
        <v>519</v>
      </c>
      <c r="N378" s="40"/>
      <c r="O378" s="206"/>
      <c r="P378" s="205"/>
      <c r="Q378" s="202"/>
      <c r="R378" s="204"/>
      <c r="S378" s="38"/>
      <c r="T378" s="201"/>
      <c r="U378" s="201"/>
      <c r="V378" s="201"/>
      <c r="W378" s="201"/>
      <c r="X378" s="201"/>
      <c r="Y378" s="201"/>
      <c r="Z378" s="201"/>
      <c r="AA378" s="201"/>
      <c r="AB378" s="202"/>
      <c r="AC378" s="202"/>
      <c r="AD378" s="202"/>
      <c r="AE378" s="202"/>
      <c r="AF378" s="202"/>
      <c r="AG378" s="201"/>
      <c r="AH378" s="201"/>
      <c r="AI378" s="201"/>
      <c r="AJ378" s="201"/>
      <c r="AK378" s="201"/>
      <c r="AL378" s="201"/>
      <c r="AM378" s="201"/>
      <c r="AN378" s="201"/>
      <c r="AO378" s="201"/>
      <c r="AP378" s="201"/>
      <c r="AQ378" s="201"/>
      <c r="AR378" s="201"/>
      <c r="AS378" s="201"/>
      <c r="AT378" s="201"/>
      <c r="AU378" s="201"/>
      <c r="AV378" s="201"/>
      <c r="AW378" s="201"/>
      <c r="AX378" s="201"/>
      <c r="AY378" s="201"/>
      <c r="AZ378" s="201"/>
      <c r="BA378" s="201"/>
      <c r="BB378" s="201"/>
      <c r="BC378" s="201"/>
      <c r="BD378" s="201"/>
    </row>
    <row r="379" spans="2:56">
      <c r="B379" s="35" t="s">
        <v>520</v>
      </c>
      <c r="C379" s="35"/>
      <c r="D379" s="32"/>
      <c r="E379" s="36" t="s">
        <v>511</v>
      </c>
      <c r="F379" s="37" t="s">
        <v>20</v>
      </c>
      <c r="G379" s="32"/>
      <c r="H379" s="33"/>
      <c r="I379" s="34"/>
      <c r="J379" s="35" t="s">
        <v>521</v>
      </c>
      <c r="K379" s="36" t="s">
        <v>511</v>
      </c>
      <c r="L379" s="41" t="s">
        <v>2030</v>
      </c>
      <c r="M379" s="32"/>
      <c r="N379" s="32"/>
      <c r="O379" s="206"/>
      <c r="P379" s="202"/>
      <c r="Q379" s="202"/>
      <c r="R379" s="204"/>
      <c r="S379" s="38"/>
      <c r="T379" s="201"/>
      <c r="U379" s="201"/>
      <c r="V379" s="201"/>
      <c r="W379" s="201"/>
      <c r="X379" s="201"/>
      <c r="Y379" s="201"/>
      <c r="Z379" s="201"/>
      <c r="AA379" s="201"/>
      <c r="AB379" s="202"/>
      <c r="AC379" s="202"/>
      <c r="AD379" s="202"/>
      <c r="AE379" s="202"/>
      <c r="AF379" s="202"/>
      <c r="AG379" s="201"/>
      <c r="AH379" s="201"/>
      <c r="AI379" s="201"/>
      <c r="AJ379" s="201"/>
      <c r="AK379" s="201"/>
      <c r="AL379" s="201"/>
      <c r="AM379" s="201"/>
      <c r="AN379" s="201"/>
      <c r="AO379" s="201"/>
      <c r="AP379" s="201"/>
      <c r="AQ379" s="201"/>
      <c r="AR379" s="201"/>
      <c r="AS379" s="201"/>
      <c r="AT379" s="201"/>
      <c r="AU379" s="201"/>
      <c r="AV379" s="201"/>
      <c r="AW379" s="201"/>
      <c r="AX379" s="201"/>
      <c r="AY379" s="201"/>
      <c r="AZ379" s="201"/>
      <c r="BA379" s="201"/>
      <c r="BB379" s="201"/>
      <c r="BC379" s="201"/>
      <c r="BD379" s="201"/>
    </row>
    <row r="380" spans="2:56">
      <c r="B380" s="35" t="s">
        <v>523</v>
      </c>
      <c r="C380" s="35"/>
      <c r="D380" s="32"/>
      <c r="E380" s="36" t="s">
        <v>511</v>
      </c>
      <c r="F380" s="37" t="s">
        <v>47</v>
      </c>
      <c r="G380" s="32"/>
      <c r="H380" s="33"/>
      <c r="I380" s="34"/>
      <c r="J380" s="42" t="s">
        <v>524</v>
      </c>
      <c r="K380" s="36" t="s">
        <v>511</v>
      </c>
      <c r="L380" s="43" t="s">
        <v>15</v>
      </c>
      <c r="M380" s="44"/>
      <c r="N380" s="44"/>
      <c r="O380" s="206"/>
      <c r="P380" s="205"/>
      <c r="Q380" s="202"/>
      <c r="R380" s="204"/>
      <c r="S380" s="38"/>
      <c r="T380" s="201"/>
      <c r="U380" s="201"/>
      <c r="V380" s="201"/>
      <c r="W380" s="201"/>
      <c r="X380" s="201"/>
      <c r="Y380" s="201"/>
      <c r="Z380" s="201"/>
      <c r="AA380" s="201"/>
      <c r="AB380" s="202"/>
      <c r="AC380" s="202"/>
      <c r="AD380" s="202"/>
      <c r="AE380" s="202"/>
      <c r="AF380" s="202"/>
      <c r="AG380" s="201"/>
      <c r="AH380" s="201"/>
      <c r="AI380" s="201"/>
      <c r="AJ380" s="201"/>
      <c r="AK380" s="201"/>
      <c r="AL380" s="201"/>
      <c r="AM380" s="201"/>
      <c r="AN380" s="201"/>
      <c r="AO380" s="201"/>
      <c r="AP380" s="201"/>
      <c r="AQ380" s="201"/>
      <c r="AR380" s="201"/>
      <c r="AS380" s="201"/>
      <c r="AT380" s="201"/>
      <c r="AU380" s="201"/>
      <c r="AV380" s="201"/>
      <c r="AW380" s="201"/>
      <c r="AX380" s="201"/>
      <c r="AY380" s="201"/>
      <c r="AZ380" s="201"/>
      <c r="BA380" s="201"/>
      <c r="BB380" s="201"/>
      <c r="BC380" s="201"/>
      <c r="BD380" s="201"/>
    </row>
    <row r="381" spans="2:56">
      <c r="B381" s="35" t="s">
        <v>2</v>
      </c>
      <c r="C381" s="35"/>
      <c r="D381" s="32"/>
      <c r="E381" s="36" t="s">
        <v>511</v>
      </c>
      <c r="F381" s="37" t="s">
        <v>14</v>
      </c>
      <c r="G381" s="32"/>
      <c r="H381" s="33"/>
      <c r="I381" s="45"/>
      <c r="J381" s="42"/>
      <c r="K381" s="36"/>
      <c r="L381" s="211"/>
      <c r="M381" s="201"/>
      <c r="N381" s="201"/>
      <c r="O381" s="42"/>
      <c r="P381" s="44"/>
      <c r="Q381" s="44"/>
      <c r="R381" s="44"/>
      <c r="S381" s="34"/>
      <c r="T381" s="201"/>
      <c r="U381" s="201"/>
      <c r="V381" s="201"/>
      <c r="W381" s="201"/>
      <c r="X381" s="201"/>
      <c r="Y381" s="201"/>
      <c r="Z381" s="201"/>
      <c r="AA381" s="201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201"/>
      <c r="AP381" s="201"/>
      <c r="AQ381" s="201"/>
      <c r="AR381" s="201"/>
      <c r="AS381" s="201"/>
      <c r="AT381" s="201"/>
      <c r="AU381" s="201"/>
      <c r="AV381" s="201"/>
      <c r="AW381" s="201"/>
      <c r="AX381" s="201"/>
      <c r="AY381" s="201"/>
      <c r="AZ381" s="201"/>
      <c r="BA381" s="201"/>
      <c r="BB381" s="201"/>
      <c r="BC381" s="201"/>
      <c r="BD381" s="201"/>
    </row>
    <row r="382" spans="2:56">
      <c r="B382" s="201"/>
      <c r="C382" s="201"/>
      <c r="D382" s="201"/>
      <c r="E382" s="201"/>
      <c r="F382" s="201"/>
      <c r="G382" s="201"/>
      <c r="H382" s="201"/>
      <c r="I382" s="45"/>
      <c r="J382" s="42"/>
      <c r="K382" s="42"/>
      <c r="L382" s="43"/>
      <c r="M382" s="44"/>
      <c r="N382" s="44"/>
      <c r="O382" s="42"/>
      <c r="P382" s="44"/>
      <c r="Q382" s="44"/>
      <c r="R382" s="44"/>
      <c r="S382" s="34"/>
      <c r="T382" s="1265" t="s">
        <v>87</v>
      </c>
      <c r="U382" s="1265"/>
      <c r="V382" s="1265"/>
      <c r="W382" s="1265"/>
      <c r="X382" s="1265"/>
      <c r="Y382" s="1265" t="s">
        <v>73</v>
      </c>
      <c r="Z382" s="1265"/>
      <c r="AA382" s="1265"/>
      <c r="AB382" s="1265" t="s">
        <v>74</v>
      </c>
      <c r="AC382" s="1265"/>
      <c r="AD382" s="423" t="s">
        <v>85</v>
      </c>
      <c r="AE382" s="423" t="s">
        <v>77</v>
      </c>
      <c r="AF382" s="1265" t="s">
        <v>525</v>
      </c>
      <c r="AG382" s="1265"/>
      <c r="AH382" s="1265"/>
      <c r="AI382" s="1265"/>
      <c r="AJ382" s="1265"/>
      <c r="AK382" s="1265"/>
      <c r="AL382" s="1265"/>
      <c r="AM382" s="1265"/>
      <c r="AN382" s="1265"/>
      <c r="AO382" s="1265"/>
      <c r="AP382" s="1265"/>
      <c r="AQ382" s="1265"/>
      <c r="AR382" s="1265"/>
      <c r="AS382" s="1265"/>
      <c r="AT382" s="1265"/>
      <c r="AU382" s="1265"/>
      <c r="AV382" s="1265"/>
      <c r="AW382" s="1265"/>
      <c r="AX382" s="1265"/>
      <c r="AY382" s="1265"/>
      <c r="AZ382" s="1265"/>
      <c r="BA382" s="1265"/>
      <c r="BB382" s="1265"/>
      <c r="BC382" s="1265"/>
      <c r="BD382" s="201"/>
    </row>
    <row r="383" spans="2:56">
      <c r="B383" s="1266" t="s">
        <v>526</v>
      </c>
      <c r="C383" s="1267"/>
      <c r="D383" s="570" t="s">
        <v>527</v>
      </c>
      <c r="E383" s="570"/>
      <c r="F383" s="570" t="s">
        <v>528</v>
      </c>
      <c r="G383" s="570" t="s">
        <v>529</v>
      </c>
      <c r="H383" s="570" t="s">
        <v>530</v>
      </c>
      <c r="I383" s="570" t="s">
        <v>531</v>
      </c>
      <c r="J383" s="570" t="s">
        <v>532</v>
      </c>
      <c r="K383" s="570"/>
      <c r="L383" s="570" t="s">
        <v>130</v>
      </c>
      <c r="M383" s="570" t="s">
        <v>533</v>
      </c>
      <c r="N383" s="408" t="str">
        <f>"On time - "&amp;COUNTIF(N384:N393,"On time")&amp;" from "&amp;ROWS(N384:N393)-COUNTIF(N384:N393," ")</f>
        <v>On time - 6 from 7</v>
      </c>
      <c r="O383" s="46"/>
      <c r="P383" s="409" t="s">
        <v>534</v>
      </c>
      <c r="Q383" s="409" t="s">
        <v>535</v>
      </c>
      <c r="R383" s="409" t="s">
        <v>536</v>
      </c>
      <c r="S383" s="32"/>
      <c r="T383" s="424" t="s">
        <v>537</v>
      </c>
      <c r="U383" s="424" t="s">
        <v>538</v>
      </c>
      <c r="V383" s="424" t="s">
        <v>539</v>
      </c>
      <c r="W383" s="424" t="s">
        <v>540</v>
      </c>
      <c r="X383" s="424" t="s">
        <v>541</v>
      </c>
      <c r="Y383" s="424" t="s">
        <v>167</v>
      </c>
      <c r="Z383" s="424" t="s">
        <v>168</v>
      </c>
      <c r="AA383" s="424" t="s">
        <v>169</v>
      </c>
      <c r="AB383" s="424" t="s">
        <v>235</v>
      </c>
      <c r="AC383" s="424" t="s">
        <v>240</v>
      </c>
      <c r="AD383" s="423" t="s">
        <v>85</v>
      </c>
      <c r="AE383" s="424" t="s">
        <v>139</v>
      </c>
      <c r="AF383" s="424" t="s">
        <v>72</v>
      </c>
      <c r="AG383" s="424" t="s">
        <v>88</v>
      </c>
      <c r="AH383" s="424" t="s">
        <v>75</v>
      </c>
      <c r="AI383" s="424" t="s">
        <v>543</v>
      </c>
      <c r="AJ383" s="424" t="s">
        <v>78</v>
      </c>
      <c r="AK383" s="424" t="s">
        <v>76</v>
      </c>
      <c r="AL383" s="424" t="s">
        <v>544</v>
      </c>
      <c r="AM383" s="424" t="s">
        <v>545</v>
      </c>
      <c r="AN383" s="424" t="s">
        <v>86</v>
      </c>
      <c r="AO383" s="424" t="s">
        <v>83</v>
      </c>
      <c r="AP383" s="424" t="s">
        <v>84</v>
      </c>
      <c r="AQ383" s="424" t="s">
        <v>546</v>
      </c>
      <c r="AR383" s="424" t="s">
        <v>81</v>
      </c>
      <c r="AS383" s="424" t="s">
        <v>80</v>
      </c>
      <c r="AT383" s="424" t="s">
        <v>82</v>
      </c>
      <c r="AU383" s="424" t="s">
        <v>181</v>
      </c>
      <c r="AV383" s="424" t="s">
        <v>183</v>
      </c>
      <c r="AW383" s="424" t="s">
        <v>547</v>
      </c>
      <c r="AX383" s="424" t="s">
        <v>182</v>
      </c>
      <c r="AY383" s="424" t="s">
        <v>172</v>
      </c>
      <c r="AZ383" s="424" t="s">
        <v>173</v>
      </c>
      <c r="BA383" s="424" t="s">
        <v>184</v>
      </c>
      <c r="BB383" s="424" t="s">
        <v>100</v>
      </c>
      <c r="BC383" s="424" t="s">
        <v>913</v>
      </c>
      <c r="BD383" s="201"/>
    </row>
    <row r="384" spans="2:56">
      <c r="B384" s="1256">
        <v>1</v>
      </c>
      <c r="C384" s="1257"/>
      <c r="D384" s="411" t="s">
        <v>1811</v>
      </c>
      <c r="E384" s="411"/>
      <c r="F384" s="411" t="s">
        <v>774</v>
      </c>
      <c r="G384" s="411" t="s">
        <v>423</v>
      </c>
      <c r="H384" s="412">
        <v>7582.4970000000003</v>
      </c>
      <c r="I384" s="413" t="s">
        <v>240</v>
      </c>
      <c r="J384" s="414">
        <v>45094.1875</v>
      </c>
      <c r="K384" s="414"/>
      <c r="L384" s="414" t="s">
        <v>192</v>
      </c>
      <c r="M384" s="414" t="s">
        <v>192</v>
      </c>
      <c r="N384" s="413" t="str">
        <f t="shared" ref="N384:N393" si="41">IF(ISBLANK(J384)," ",IF(J384&lt;$F$378,"On time",(IF(DAY(J384-$F$378)&lt;1,"On time",(IF(J384&gt;$F$378,"DELAY ( "&amp;DAY(J384-$F$378)&amp;" day "&amp;HOUR(J384-$F$378)&amp;" hour "&amp;MINUTE(J384-$F$378)&amp;" minute )","xxx"))))))</f>
        <v>On time</v>
      </c>
      <c r="O384" s="51"/>
      <c r="P384" s="415" t="s">
        <v>551</v>
      </c>
      <c r="Q384" s="415" t="s">
        <v>551</v>
      </c>
      <c r="R384" s="415" t="s">
        <v>551</v>
      </c>
      <c r="S384" s="32"/>
      <c r="T384" s="416"/>
      <c r="U384" s="416"/>
      <c r="V384" s="416"/>
      <c r="W384" s="416"/>
      <c r="X384" s="416"/>
      <c r="Y384" s="416"/>
      <c r="Z384" s="416"/>
      <c r="AA384" s="416"/>
      <c r="AB384" s="416"/>
      <c r="AC384" s="416">
        <f>H384</f>
        <v>7582.4970000000003</v>
      </c>
      <c r="AD384" s="416"/>
      <c r="AE384" s="416"/>
      <c r="AF384" s="416"/>
      <c r="AG384" s="416"/>
      <c r="AH384" s="416"/>
      <c r="AI384" s="416"/>
      <c r="AJ384" s="416"/>
      <c r="AK384" s="416"/>
      <c r="AL384" s="416"/>
      <c r="AM384" s="416"/>
      <c r="AN384" s="416"/>
      <c r="AO384" s="416"/>
      <c r="AP384" s="416"/>
      <c r="AQ384" s="416"/>
      <c r="AR384" s="416"/>
      <c r="AS384" s="416"/>
      <c r="AT384" s="416"/>
      <c r="AU384" s="32"/>
      <c r="AV384" s="416"/>
      <c r="AW384" s="416"/>
      <c r="AX384" s="416"/>
      <c r="AY384" s="434"/>
      <c r="AZ384" s="416"/>
      <c r="BA384" s="416"/>
      <c r="BB384" s="416"/>
      <c r="BC384" s="416"/>
      <c r="BD384" s="32"/>
    </row>
    <row r="385" spans="2:56">
      <c r="B385" s="1256">
        <v>2</v>
      </c>
      <c r="C385" s="1257"/>
      <c r="D385" s="411" t="s">
        <v>1812</v>
      </c>
      <c r="E385" s="411"/>
      <c r="F385" s="411" t="s">
        <v>201</v>
      </c>
      <c r="G385" s="411" t="s">
        <v>202</v>
      </c>
      <c r="H385" s="412">
        <v>7706.4260000000004</v>
      </c>
      <c r="I385" s="413" t="s">
        <v>240</v>
      </c>
      <c r="J385" s="414">
        <v>45094.319444444445</v>
      </c>
      <c r="K385" s="414"/>
      <c r="L385" s="414" t="s">
        <v>192</v>
      </c>
      <c r="M385" s="414" t="s">
        <v>192</v>
      </c>
      <c r="N385" s="413" t="str">
        <f t="shared" si="41"/>
        <v>On time</v>
      </c>
      <c r="O385" s="51"/>
      <c r="P385" s="415" t="s">
        <v>551</v>
      </c>
      <c r="Q385" s="415" t="s">
        <v>551</v>
      </c>
      <c r="R385" s="415" t="s">
        <v>551</v>
      </c>
      <c r="S385" s="32"/>
      <c r="T385" s="416"/>
      <c r="U385" s="416"/>
      <c r="V385" s="416"/>
      <c r="W385" s="416"/>
      <c r="X385" s="416"/>
      <c r="Y385" s="416"/>
      <c r="Z385" s="416"/>
      <c r="AA385" s="416"/>
      <c r="AB385" s="416"/>
      <c r="AC385" s="416">
        <f>H385</f>
        <v>7706.4260000000004</v>
      </c>
      <c r="AD385" s="416"/>
      <c r="AE385" s="416"/>
      <c r="AF385" s="416"/>
      <c r="AG385" s="416"/>
      <c r="AH385" s="416"/>
      <c r="AI385" s="416"/>
      <c r="AJ385" s="416"/>
      <c r="AK385" s="416"/>
      <c r="AL385" s="416"/>
      <c r="AM385" s="416"/>
      <c r="AN385" s="416"/>
      <c r="AO385" s="416"/>
      <c r="AP385" s="416"/>
      <c r="AQ385" s="416"/>
      <c r="AR385" s="416"/>
      <c r="AS385" s="416"/>
      <c r="AT385" s="416"/>
      <c r="AU385" s="416"/>
      <c r="AV385" s="416"/>
      <c r="AW385" s="416"/>
      <c r="AX385" s="416"/>
      <c r="AY385" s="286"/>
      <c r="AZ385" s="416"/>
      <c r="BA385" s="416"/>
      <c r="BB385" s="416"/>
      <c r="BC385" s="416"/>
      <c r="BD385" s="32"/>
    </row>
    <row r="386" spans="2:56">
      <c r="B386" s="1256">
        <v>3</v>
      </c>
      <c r="C386" s="1257"/>
      <c r="D386" s="411" t="s">
        <v>1813</v>
      </c>
      <c r="E386" s="411"/>
      <c r="F386" s="411" t="s">
        <v>380</v>
      </c>
      <c r="G386" s="411" t="s">
        <v>381</v>
      </c>
      <c r="H386" s="412">
        <v>7800.9269999999997</v>
      </c>
      <c r="I386" s="413" t="s">
        <v>240</v>
      </c>
      <c r="J386" s="414">
        <v>45095.236111111109</v>
      </c>
      <c r="K386" s="414"/>
      <c r="L386" s="414" t="s">
        <v>192</v>
      </c>
      <c r="M386" s="414" t="s">
        <v>192</v>
      </c>
      <c r="N386" s="413" t="str">
        <f t="shared" si="41"/>
        <v>On time</v>
      </c>
      <c r="O386" s="51"/>
      <c r="P386" s="415" t="s">
        <v>551</v>
      </c>
      <c r="Q386" s="415" t="s">
        <v>551</v>
      </c>
      <c r="R386" s="415" t="s">
        <v>551</v>
      </c>
      <c r="S386" s="32"/>
      <c r="T386" s="416"/>
      <c r="U386" s="416"/>
      <c r="V386" s="416"/>
      <c r="W386" s="416"/>
      <c r="X386" s="416"/>
      <c r="Y386" s="416"/>
      <c r="Z386" s="416"/>
      <c r="AA386" s="416"/>
      <c r="AB386" s="416"/>
      <c r="AC386" s="416">
        <f>H386</f>
        <v>7800.9269999999997</v>
      </c>
      <c r="AD386" s="416"/>
      <c r="AE386" s="416"/>
      <c r="AF386" s="416"/>
      <c r="AG386" s="416"/>
      <c r="AH386" s="416"/>
      <c r="AI386" s="416"/>
      <c r="AJ386" s="416"/>
      <c r="AK386" s="416"/>
      <c r="AL386" s="416"/>
      <c r="AM386" s="416"/>
      <c r="AN386" s="416"/>
      <c r="AO386" s="416"/>
      <c r="AP386" s="416"/>
      <c r="AQ386" s="416"/>
      <c r="AR386" s="416"/>
      <c r="AS386" s="416"/>
      <c r="AT386" s="416"/>
      <c r="AU386" s="416"/>
      <c r="AV386" s="416"/>
      <c r="AW386" s="416"/>
      <c r="AX386" s="416"/>
      <c r="AY386" s="416"/>
      <c r="AZ386" s="416"/>
      <c r="BA386" s="416"/>
      <c r="BB386" s="416"/>
      <c r="BC386" s="416"/>
      <c r="BD386" s="32"/>
    </row>
    <row r="387" spans="2:56">
      <c r="B387" s="1256">
        <v>4</v>
      </c>
      <c r="C387" s="1257"/>
      <c r="D387" s="411" t="s">
        <v>1810</v>
      </c>
      <c r="E387" s="411"/>
      <c r="F387" s="411" t="s">
        <v>403</v>
      </c>
      <c r="G387" s="411" t="s">
        <v>404</v>
      </c>
      <c r="H387" s="412">
        <v>7412.8509999999997</v>
      </c>
      <c r="I387" s="413" t="s">
        <v>240</v>
      </c>
      <c r="J387" s="414">
        <v>45095.159722222219</v>
      </c>
      <c r="K387" s="414"/>
      <c r="L387" s="414" t="s">
        <v>192</v>
      </c>
      <c r="M387" s="414" t="s">
        <v>192</v>
      </c>
      <c r="N387" s="413" t="str">
        <f t="shared" si="41"/>
        <v>On time</v>
      </c>
      <c r="O387" s="51"/>
      <c r="P387" s="415" t="s">
        <v>551</v>
      </c>
      <c r="Q387" s="415" t="s">
        <v>551</v>
      </c>
      <c r="R387" s="415" t="s">
        <v>551</v>
      </c>
      <c r="S387" s="32"/>
      <c r="T387" s="416"/>
      <c r="U387" s="416"/>
      <c r="V387" s="416"/>
      <c r="W387" s="416"/>
      <c r="X387" s="416"/>
      <c r="Y387" s="416"/>
      <c r="Z387" s="416"/>
      <c r="AA387" s="416"/>
      <c r="AB387" s="416"/>
      <c r="AC387" s="416">
        <f>H387</f>
        <v>7412.8509999999997</v>
      </c>
      <c r="AD387" s="416"/>
      <c r="AE387" s="416"/>
      <c r="AF387" s="416"/>
      <c r="AG387" s="416"/>
      <c r="AH387" s="416"/>
      <c r="AI387" s="416"/>
      <c r="AJ387" s="416"/>
      <c r="AK387" s="416"/>
      <c r="AL387" s="416"/>
      <c r="AM387" s="416"/>
      <c r="AN387" s="416"/>
      <c r="AO387" s="416"/>
      <c r="AP387" s="416"/>
      <c r="AQ387" s="416"/>
      <c r="AR387" s="416"/>
      <c r="AS387" s="416"/>
      <c r="AT387" s="416"/>
      <c r="AU387" s="416"/>
      <c r="AV387" s="416"/>
      <c r="AW387" s="416"/>
      <c r="AX387" s="416"/>
      <c r="AY387" s="416"/>
      <c r="AZ387" s="416"/>
      <c r="BA387" s="416"/>
      <c r="BB387" s="416"/>
      <c r="BC387" s="416"/>
      <c r="BD387" s="32"/>
    </row>
    <row r="388" spans="2:56">
      <c r="B388" s="1256">
        <v>5</v>
      </c>
      <c r="C388" s="1257"/>
      <c r="D388" s="411" t="s">
        <v>1816</v>
      </c>
      <c r="E388" s="411"/>
      <c r="F388" s="411" t="s">
        <v>213</v>
      </c>
      <c r="G388" s="411" t="s">
        <v>214</v>
      </c>
      <c r="H388" s="412">
        <v>7561.9129999999996</v>
      </c>
      <c r="I388" s="413" t="s">
        <v>235</v>
      </c>
      <c r="J388" s="414">
        <v>45096.274305555555</v>
      </c>
      <c r="K388" s="414"/>
      <c r="L388" s="414" t="s">
        <v>192</v>
      </c>
      <c r="M388" s="414" t="s">
        <v>192</v>
      </c>
      <c r="N388" s="413" t="str">
        <f t="shared" si="41"/>
        <v>DELAY ( 1 day 5 hour 35 minute )</v>
      </c>
      <c r="O388" s="51"/>
      <c r="P388" s="415" t="s">
        <v>551</v>
      </c>
      <c r="Q388" s="415" t="s">
        <v>551</v>
      </c>
      <c r="R388" s="415" t="s">
        <v>551</v>
      </c>
      <c r="S388" s="32"/>
      <c r="T388" s="416"/>
      <c r="U388" s="416"/>
      <c r="V388" s="416"/>
      <c r="W388" s="416"/>
      <c r="X388" s="416"/>
      <c r="Y388" s="416"/>
      <c r="Z388" s="416"/>
      <c r="AA388" s="416"/>
      <c r="AB388" s="416">
        <f>H388</f>
        <v>7561.9129999999996</v>
      </c>
      <c r="AC388" s="416"/>
      <c r="AD388" s="416"/>
      <c r="AE388" s="416"/>
      <c r="AF388" s="416"/>
      <c r="AG388" s="416"/>
      <c r="AH388" s="416"/>
      <c r="AI388" s="416"/>
      <c r="AJ388" s="416"/>
      <c r="AK388" s="416"/>
      <c r="AL388" s="416"/>
      <c r="AM388" s="416"/>
      <c r="AN388" s="416"/>
      <c r="AO388" s="416"/>
      <c r="AP388" s="416"/>
      <c r="AQ388" s="416"/>
      <c r="AR388" s="416"/>
      <c r="AS388" s="416"/>
      <c r="AT388" s="416"/>
      <c r="AU388" s="416"/>
      <c r="AV388" s="416"/>
      <c r="AW388" s="416"/>
      <c r="AX388" s="416"/>
      <c r="AY388" s="416"/>
      <c r="AZ388" s="416"/>
      <c r="BA388" s="416"/>
      <c r="BB388" s="416"/>
      <c r="BC388" s="416"/>
      <c r="BD388" s="32"/>
    </row>
    <row r="389" spans="2:56">
      <c r="B389" s="1256">
        <v>6</v>
      </c>
      <c r="C389" s="1257"/>
      <c r="D389" s="411" t="s">
        <v>1814</v>
      </c>
      <c r="E389" s="411"/>
      <c r="F389" s="411" t="s">
        <v>295</v>
      </c>
      <c r="G389" s="411" t="s">
        <v>296</v>
      </c>
      <c r="H389" s="412">
        <v>9900.3160000000007</v>
      </c>
      <c r="I389" s="413" t="s">
        <v>240</v>
      </c>
      <c r="J389" s="414">
        <v>45095.211805555555</v>
      </c>
      <c r="K389" s="414"/>
      <c r="L389" s="414" t="s">
        <v>192</v>
      </c>
      <c r="M389" s="414" t="s">
        <v>192</v>
      </c>
      <c r="N389" s="413" t="str">
        <f t="shared" si="41"/>
        <v>On time</v>
      </c>
      <c r="O389" s="51"/>
      <c r="P389" s="415" t="s">
        <v>551</v>
      </c>
      <c r="Q389" s="415" t="s">
        <v>551</v>
      </c>
      <c r="R389" s="415" t="s">
        <v>551</v>
      </c>
      <c r="S389" s="32"/>
      <c r="T389" s="416"/>
      <c r="U389" s="416"/>
      <c r="V389" s="416"/>
      <c r="W389" s="416"/>
      <c r="X389" s="416"/>
      <c r="Y389" s="416"/>
      <c r="Z389" s="416"/>
      <c r="AA389" s="416"/>
      <c r="AB389" s="416"/>
      <c r="AC389" s="416">
        <f>H389</f>
        <v>9900.3160000000007</v>
      </c>
      <c r="AD389" s="416"/>
      <c r="AE389" s="416"/>
      <c r="AF389" s="416"/>
      <c r="AG389" s="416"/>
      <c r="AH389" s="416"/>
      <c r="AI389" s="416"/>
      <c r="AJ389" s="416"/>
      <c r="AK389" s="416"/>
      <c r="AL389" s="416"/>
      <c r="AM389" s="416"/>
      <c r="AN389" s="416"/>
      <c r="AO389" s="416"/>
      <c r="AP389" s="416"/>
      <c r="AQ389" s="416"/>
      <c r="AR389" s="416"/>
      <c r="AS389" s="416"/>
      <c r="AT389" s="416"/>
      <c r="AU389" s="416"/>
      <c r="AV389" s="416"/>
      <c r="AW389" s="416"/>
      <c r="AX389" s="416"/>
      <c r="AY389" s="416"/>
      <c r="AZ389" s="416"/>
      <c r="BA389" s="416"/>
      <c r="BB389" s="416"/>
      <c r="BC389" s="416"/>
      <c r="BD389" s="32"/>
    </row>
    <row r="390" spans="2:56">
      <c r="B390" s="1256">
        <v>7</v>
      </c>
      <c r="C390" s="1257"/>
      <c r="D390" s="411" t="s">
        <v>1815</v>
      </c>
      <c r="E390" s="411"/>
      <c r="F390" s="411" t="s">
        <v>238</v>
      </c>
      <c r="G390" s="411" t="s">
        <v>239</v>
      </c>
      <c r="H390" s="412">
        <v>7314.5219999999999</v>
      </c>
      <c r="I390" s="413" t="s">
        <v>240</v>
      </c>
      <c r="J390" s="414">
        <v>45095.8125</v>
      </c>
      <c r="K390" s="414"/>
      <c r="L390" s="414" t="s">
        <v>192</v>
      </c>
      <c r="M390" s="414" t="s">
        <v>192</v>
      </c>
      <c r="N390" s="413" t="str">
        <f t="shared" si="41"/>
        <v>On time</v>
      </c>
      <c r="O390" s="51"/>
      <c r="P390" s="415" t="s">
        <v>551</v>
      </c>
      <c r="Q390" s="415" t="s">
        <v>551</v>
      </c>
      <c r="R390" s="415" t="s">
        <v>551</v>
      </c>
      <c r="S390" s="32"/>
      <c r="T390" s="416"/>
      <c r="U390" s="416"/>
      <c r="V390" s="416"/>
      <c r="W390" s="416"/>
      <c r="X390" s="416"/>
      <c r="Y390" s="416"/>
      <c r="Z390" s="416"/>
      <c r="AA390" s="416"/>
      <c r="AB390" s="416"/>
      <c r="AC390" s="416">
        <f t="shared" ref="AC390" si="42">H390</f>
        <v>7314.5219999999999</v>
      </c>
      <c r="AD390" s="416"/>
      <c r="AE390" s="416"/>
      <c r="AF390" s="416"/>
      <c r="AG390" s="416"/>
      <c r="AH390" s="416"/>
      <c r="AI390" s="416"/>
      <c r="AJ390" s="416"/>
      <c r="AK390" s="416"/>
      <c r="AL390" s="416"/>
      <c r="AM390" s="416"/>
      <c r="AN390" s="416"/>
      <c r="AO390" s="416"/>
      <c r="AP390" s="416"/>
      <c r="AQ390" s="416"/>
      <c r="AR390" s="416"/>
      <c r="AS390" s="416"/>
      <c r="AT390" s="416"/>
      <c r="AU390" s="416"/>
      <c r="AV390" s="416"/>
      <c r="AW390" s="416"/>
      <c r="AX390" s="416"/>
      <c r="AY390" s="416"/>
      <c r="AZ390" s="416"/>
      <c r="BA390" s="416"/>
      <c r="BB390" s="416"/>
      <c r="BC390" s="416"/>
      <c r="BD390" s="32"/>
    </row>
    <row r="391" spans="2:56">
      <c r="B391" s="1256" t="s">
        <v>610</v>
      </c>
      <c r="C391" s="1276"/>
      <c r="D391" s="1276"/>
      <c r="E391" s="1276"/>
      <c r="F391" s="1276"/>
      <c r="G391" s="1257"/>
      <c r="H391" s="412">
        <f>H393-SUM(H384:H390)</f>
        <v>11170.54800000001</v>
      </c>
      <c r="I391" s="413" t="s">
        <v>611</v>
      </c>
      <c r="J391" s="414"/>
      <c r="K391" s="414"/>
      <c r="L391" s="414"/>
      <c r="M391" s="414"/>
      <c r="N391" s="413" t="str">
        <f t="shared" si="41"/>
        <v xml:space="preserve"> </v>
      </c>
      <c r="O391" s="51"/>
      <c r="P391" s="415" t="s">
        <v>551</v>
      </c>
      <c r="Q391" s="415"/>
      <c r="R391" s="415"/>
      <c r="S391" s="32"/>
      <c r="T391" s="416">
        <f>H391</f>
        <v>11170.54800000001</v>
      </c>
      <c r="U391" s="416"/>
      <c r="V391" s="416"/>
      <c r="W391" s="416"/>
      <c r="X391" s="416"/>
      <c r="Y391" s="416"/>
      <c r="Z391" s="416"/>
      <c r="AA391" s="416"/>
      <c r="AB391" s="416"/>
      <c r="AC391" s="416"/>
      <c r="AD391" s="416"/>
      <c r="AE391" s="416"/>
      <c r="AF391" s="416"/>
      <c r="AG391" s="416"/>
      <c r="AH391" s="416"/>
      <c r="AI391" s="416"/>
      <c r="AJ391" s="416"/>
      <c r="AK391" s="416"/>
      <c r="AL391" s="416"/>
      <c r="AM391" s="416"/>
      <c r="AN391" s="416"/>
      <c r="AO391" s="416"/>
      <c r="AP391" s="416"/>
      <c r="AQ391" s="416"/>
      <c r="AR391" s="416"/>
      <c r="AS391" s="416"/>
      <c r="AT391" s="416"/>
      <c r="AU391" s="416"/>
      <c r="AV391" s="416"/>
      <c r="AW391" s="416"/>
      <c r="AX391" s="416"/>
      <c r="AY391" s="416"/>
      <c r="AZ391" s="416"/>
      <c r="BA391" s="416"/>
      <c r="BB391" s="416"/>
      <c r="BC391" s="416"/>
      <c r="BD391" s="32"/>
    </row>
    <row r="392" spans="2:56">
      <c r="B392" s="1258" t="s">
        <v>556</v>
      </c>
      <c r="C392" s="1259"/>
      <c r="D392" s="1259"/>
      <c r="E392" s="1259"/>
      <c r="F392" s="1259"/>
      <c r="G392" s="1260"/>
      <c r="H392" s="417">
        <f>SUM(H384:H391)</f>
        <v>66450</v>
      </c>
      <c r="I392" s="388"/>
      <c r="J392" s="293"/>
      <c r="K392" s="293"/>
      <c r="L392" s="293"/>
      <c r="M392" s="389"/>
      <c r="N392" s="413" t="str">
        <f t="shared" si="41"/>
        <v xml:space="preserve"> </v>
      </c>
      <c r="O392" s="212"/>
      <c r="P392" s="418"/>
      <c r="Q392" s="418"/>
      <c r="R392" s="418"/>
      <c r="S392" s="207"/>
      <c r="T392" s="1262"/>
      <c r="U392" s="1263"/>
      <c r="V392" s="1263"/>
      <c r="W392" s="1263"/>
      <c r="X392" s="1263"/>
      <c r="Y392" s="1263"/>
      <c r="Z392" s="1263"/>
      <c r="AA392" s="1263"/>
      <c r="AB392" s="1263"/>
      <c r="AC392" s="1263"/>
      <c r="AD392" s="1263"/>
      <c r="AE392" s="1263"/>
      <c r="AF392" s="1263"/>
      <c r="AG392" s="1263"/>
      <c r="AH392" s="1263"/>
      <c r="AI392" s="1263"/>
      <c r="AJ392" s="1263"/>
      <c r="AK392" s="1263"/>
      <c r="AL392" s="1263"/>
      <c r="AM392" s="1263"/>
      <c r="AN392" s="1263"/>
      <c r="AO392" s="1263"/>
      <c r="AP392" s="1263"/>
      <c r="AQ392" s="1263"/>
      <c r="AR392" s="1263"/>
      <c r="AS392" s="1263"/>
      <c r="AT392" s="1263"/>
      <c r="AU392" s="1263"/>
      <c r="AV392" s="1263"/>
      <c r="AW392" s="1263"/>
      <c r="AX392" s="1263"/>
      <c r="AY392" s="1263"/>
      <c r="AZ392" s="1263"/>
      <c r="BA392" s="1263"/>
      <c r="BB392" s="1263"/>
      <c r="BC392" s="1264"/>
    </row>
    <row r="393" spans="2:56">
      <c r="B393" s="1243" t="s">
        <v>557</v>
      </c>
      <c r="C393" s="1244"/>
      <c r="D393" s="1244"/>
      <c r="E393" s="1244"/>
      <c r="F393" s="1244"/>
      <c r="G393" s="1245"/>
      <c r="H393" s="419">
        <v>66450</v>
      </c>
      <c r="I393" s="1273"/>
      <c r="J393" s="1274"/>
      <c r="K393" s="1274"/>
      <c r="L393" s="1274"/>
      <c r="M393" s="1275"/>
      <c r="N393" s="413" t="str">
        <f t="shared" si="41"/>
        <v xml:space="preserve"> </v>
      </c>
      <c r="O393" s="32"/>
      <c r="P393" s="415"/>
      <c r="Q393" s="415"/>
      <c r="R393" s="415"/>
      <c r="S393" s="63"/>
      <c r="T393" s="416">
        <f t="shared" ref="T393:BC393" si="43">SUM(T384:T391)</f>
        <v>11170.54800000001</v>
      </c>
      <c r="U393" s="416">
        <f t="shared" si="43"/>
        <v>0</v>
      </c>
      <c r="V393" s="416">
        <f t="shared" si="43"/>
        <v>0</v>
      </c>
      <c r="W393" s="416">
        <f t="shared" si="43"/>
        <v>0</v>
      </c>
      <c r="X393" s="416">
        <f t="shared" si="43"/>
        <v>0</v>
      </c>
      <c r="Y393" s="416">
        <f t="shared" si="43"/>
        <v>0</v>
      </c>
      <c r="Z393" s="416">
        <f t="shared" si="43"/>
        <v>0</v>
      </c>
      <c r="AA393" s="416">
        <f t="shared" si="43"/>
        <v>0</v>
      </c>
      <c r="AB393" s="416">
        <f t="shared" si="43"/>
        <v>7561.9129999999996</v>
      </c>
      <c r="AC393" s="416">
        <f t="shared" si="43"/>
        <v>47717.538999999997</v>
      </c>
      <c r="AD393" s="416">
        <f t="shared" si="43"/>
        <v>0</v>
      </c>
      <c r="AE393" s="416">
        <f t="shared" si="43"/>
        <v>0</v>
      </c>
      <c r="AF393" s="416">
        <f t="shared" si="43"/>
        <v>0</v>
      </c>
      <c r="AG393" s="416">
        <f t="shared" si="43"/>
        <v>0</v>
      </c>
      <c r="AH393" s="416">
        <f t="shared" si="43"/>
        <v>0</v>
      </c>
      <c r="AI393" s="416">
        <f t="shared" si="43"/>
        <v>0</v>
      </c>
      <c r="AJ393" s="416">
        <f t="shared" si="43"/>
        <v>0</v>
      </c>
      <c r="AK393" s="416">
        <f t="shared" si="43"/>
        <v>0</v>
      </c>
      <c r="AL393" s="416">
        <f t="shared" si="43"/>
        <v>0</v>
      </c>
      <c r="AM393" s="416">
        <f t="shared" si="43"/>
        <v>0</v>
      </c>
      <c r="AN393" s="416">
        <f t="shared" si="43"/>
        <v>0</v>
      </c>
      <c r="AO393" s="416">
        <f t="shared" si="43"/>
        <v>0</v>
      </c>
      <c r="AP393" s="416">
        <f t="shared" si="43"/>
        <v>0</v>
      </c>
      <c r="AQ393" s="416">
        <f t="shared" si="43"/>
        <v>0</v>
      </c>
      <c r="AR393" s="416">
        <f t="shared" si="43"/>
        <v>0</v>
      </c>
      <c r="AS393" s="416">
        <f t="shared" si="43"/>
        <v>0</v>
      </c>
      <c r="AT393" s="416">
        <f t="shared" si="43"/>
        <v>0</v>
      </c>
      <c r="AU393" s="416">
        <f t="shared" si="43"/>
        <v>0</v>
      </c>
      <c r="AV393" s="416">
        <f t="shared" si="43"/>
        <v>0</v>
      </c>
      <c r="AW393" s="416">
        <f t="shared" si="43"/>
        <v>0</v>
      </c>
      <c r="AX393" s="416">
        <f t="shared" si="43"/>
        <v>0</v>
      </c>
      <c r="AY393" s="416">
        <f t="shared" si="43"/>
        <v>0</v>
      </c>
      <c r="AZ393" s="416">
        <f t="shared" si="43"/>
        <v>0</v>
      </c>
      <c r="BA393" s="416">
        <f t="shared" si="43"/>
        <v>0</v>
      </c>
      <c r="BB393" s="416">
        <f t="shared" si="43"/>
        <v>0</v>
      </c>
      <c r="BC393" s="416">
        <f t="shared" si="43"/>
        <v>0</v>
      </c>
      <c r="BD393" s="416">
        <f>SUM(T393:BC393)</f>
        <v>66450</v>
      </c>
    </row>
    <row r="394" spans="2:56">
      <c r="B394" s="1243" t="s">
        <v>558</v>
      </c>
      <c r="C394" s="1244"/>
      <c r="D394" s="1244"/>
      <c r="E394" s="1244"/>
      <c r="F394" s="1244"/>
      <c r="G394" s="1245"/>
      <c r="H394" s="420">
        <f>H393-L378</f>
        <v>0</v>
      </c>
      <c r="I394" s="294"/>
      <c r="J394" s="295"/>
      <c r="K394" s="295"/>
      <c r="L394" s="296"/>
      <c r="M394" s="32"/>
      <c r="N394" s="32"/>
      <c r="O394" s="32"/>
      <c r="P394" s="32"/>
      <c r="Q394" s="297"/>
      <c r="R394" s="297"/>
      <c r="S394" s="32"/>
      <c r="T394" s="48"/>
      <c r="U394" s="48"/>
      <c r="V394" s="48"/>
      <c r="W394" s="48"/>
      <c r="X394" s="48"/>
      <c r="Y394" s="48"/>
      <c r="Z394" s="48"/>
      <c r="AA394" s="48"/>
      <c r="AB394" s="48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</row>
    <row r="395" spans="2:56">
      <c r="B395" s="1243" t="s">
        <v>559</v>
      </c>
      <c r="C395" s="1244"/>
      <c r="D395" s="1244"/>
      <c r="E395" s="1244"/>
      <c r="F395" s="1244"/>
      <c r="G395" s="1245"/>
      <c r="H395" s="420">
        <f>H392-H393</f>
        <v>0</v>
      </c>
      <c r="I395" s="52"/>
      <c r="J395" s="53"/>
      <c r="K395" s="53"/>
      <c r="L395" s="54"/>
      <c r="M395" s="32"/>
      <c r="N395" s="201"/>
      <c r="O395" s="32"/>
      <c r="P395" s="32"/>
      <c r="Q395" s="32"/>
      <c r="R395" s="32"/>
      <c r="S395" s="32"/>
      <c r="T395" s="48"/>
      <c r="U395" s="48"/>
      <c r="V395" s="48"/>
      <c r="W395" s="48"/>
      <c r="X395" s="48"/>
      <c r="Y395" s="48"/>
      <c r="Z395" s="48"/>
      <c r="AA395" s="48"/>
      <c r="AB395" s="48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</row>
    <row r="396" spans="2:56">
      <c r="B396" s="32"/>
      <c r="C396" s="32"/>
      <c r="D396" s="32"/>
      <c r="E396" s="32"/>
      <c r="F396" s="32"/>
      <c r="G396" s="32"/>
      <c r="H396" s="32"/>
      <c r="I396" s="213"/>
      <c r="J396" s="209"/>
      <c r="K396" s="209"/>
      <c r="L396" s="203"/>
      <c r="M396" s="201"/>
      <c r="N396" s="201"/>
      <c r="O396" s="209"/>
      <c r="P396" s="32"/>
      <c r="Q396" s="32"/>
      <c r="R396" s="32"/>
      <c r="S396" s="32"/>
      <c r="T396" s="48"/>
      <c r="U396" s="48"/>
      <c r="V396" s="48"/>
      <c r="W396" s="48"/>
      <c r="X396" s="48"/>
      <c r="Y396" s="48"/>
      <c r="Z396" s="48"/>
      <c r="AA396" s="48"/>
      <c r="AB396" s="48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</row>
    <row r="397" spans="2:56">
      <c r="B397" s="40" t="s">
        <v>561</v>
      </c>
      <c r="C397" s="40"/>
      <c r="D397" s="32"/>
      <c r="E397" s="32"/>
      <c r="F397" s="32"/>
      <c r="G397" s="32"/>
      <c r="H397" s="32"/>
      <c r="I397" s="32"/>
      <c r="J397" s="52"/>
      <c r="K397" s="52"/>
      <c r="L397" s="55"/>
      <c r="M397" s="32"/>
      <c r="N397" s="201"/>
      <c r="O397" s="5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  <c r="AA397" s="202"/>
      <c r="AB397" s="201"/>
      <c r="AC397" s="201"/>
      <c r="AD397" s="201"/>
      <c r="AE397" s="201"/>
      <c r="AF397" s="201"/>
      <c r="AG397" s="201"/>
      <c r="AH397" s="201"/>
      <c r="AI397" s="201"/>
      <c r="AJ397" s="201"/>
      <c r="AK397" s="201"/>
      <c r="AL397" s="201"/>
      <c r="AM397" s="201"/>
      <c r="AN397" s="201"/>
      <c r="AO397" s="201"/>
      <c r="AP397" s="201"/>
      <c r="AQ397" s="201"/>
      <c r="AR397" s="201"/>
      <c r="AS397" s="201"/>
      <c r="AT397" s="201"/>
      <c r="AU397" s="201"/>
      <c r="BD397" s="201"/>
    </row>
    <row r="398" spans="2:56">
      <c r="B398" s="422">
        <v>1</v>
      </c>
      <c r="C398" s="1249" t="s">
        <v>1435</v>
      </c>
      <c r="D398" s="1249"/>
      <c r="E398" s="1249"/>
      <c r="F398" s="1249"/>
      <c r="G398" s="1249"/>
      <c r="H398" s="1249"/>
      <c r="I398" s="1249"/>
      <c r="J398" s="1249"/>
      <c r="K398" s="1249"/>
      <c r="L398" s="203"/>
      <c r="M398" s="203"/>
      <c r="N398" s="201"/>
      <c r="O398" s="209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  <c r="AA398" s="202"/>
      <c r="AB398" s="201"/>
      <c r="AC398" s="201"/>
      <c r="AD398" s="201"/>
      <c r="AE398" s="201"/>
      <c r="AF398" s="201"/>
      <c r="AG398" s="201"/>
      <c r="AH398" s="201"/>
      <c r="AI398" s="201"/>
      <c r="AJ398" s="201"/>
      <c r="AK398" s="201"/>
      <c r="AL398" s="201"/>
      <c r="AM398" s="201"/>
      <c r="AN398" s="201"/>
      <c r="AO398" s="201"/>
      <c r="AP398" s="201"/>
      <c r="AQ398" s="201"/>
      <c r="AR398" s="201"/>
      <c r="AS398" s="201"/>
      <c r="AT398" s="201"/>
      <c r="AU398" s="201"/>
      <c r="AV398" s="201"/>
      <c r="AW398" s="201"/>
      <c r="AX398" s="201"/>
      <c r="AY398" s="201"/>
      <c r="AZ398" s="201"/>
      <c r="BA398" s="201"/>
      <c r="BB398" s="201"/>
      <c r="BC398" s="201"/>
      <c r="BD398" s="201"/>
    </row>
    <row r="400" spans="2:56">
      <c r="B400" s="28" t="s">
        <v>126</v>
      </c>
      <c r="C400" s="28"/>
      <c r="D400" s="29"/>
      <c r="E400" s="30" t="s">
        <v>511</v>
      </c>
      <c r="F400" s="31" t="s">
        <v>1827</v>
      </c>
      <c r="G400" s="32"/>
      <c r="H400" s="33"/>
      <c r="I400" s="34"/>
      <c r="J400" s="35" t="s">
        <v>513</v>
      </c>
      <c r="K400" s="36" t="s">
        <v>511</v>
      </c>
      <c r="L400" s="37">
        <v>45099.770833333336</v>
      </c>
      <c r="M400" s="32"/>
      <c r="N400" s="32"/>
      <c r="O400" s="206"/>
      <c r="P400" s="205"/>
      <c r="Q400" s="202"/>
      <c r="R400" s="204"/>
      <c r="S400" s="38"/>
      <c r="T400" s="201"/>
      <c r="U400" s="201"/>
      <c r="V400" s="201"/>
      <c r="W400" s="201"/>
      <c r="X400" s="201"/>
      <c r="Y400" s="201"/>
      <c r="Z400" s="201"/>
      <c r="AA400" s="201"/>
      <c r="AB400" s="202"/>
      <c r="AC400" s="202"/>
      <c r="AD400" s="202"/>
      <c r="AE400" s="202"/>
      <c r="AF400" s="202"/>
      <c r="AG400" s="201"/>
      <c r="AH400" s="201"/>
      <c r="AI400" s="201"/>
      <c r="AJ400" s="201"/>
      <c r="AK400" s="201"/>
      <c r="AL400" s="201"/>
      <c r="AM400" s="201"/>
      <c r="AN400" s="201"/>
      <c r="AO400" s="201"/>
      <c r="AP400" s="201"/>
      <c r="AQ400" s="201"/>
      <c r="AR400" s="201"/>
      <c r="AS400" s="201"/>
      <c r="AT400" s="201"/>
      <c r="AU400" s="201"/>
      <c r="AV400" s="201"/>
      <c r="AW400" s="201"/>
      <c r="AX400" s="201"/>
      <c r="AY400" s="201"/>
      <c r="AZ400" s="201"/>
      <c r="BA400" s="201"/>
      <c r="BB400" s="201"/>
    </row>
    <row r="401" spans="2:54">
      <c r="B401" s="35" t="s">
        <v>514</v>
      </c>
      <c r="C401" s="35"/>
      <c r="D401" s="32"/>
      <c r="E401" s="36" t="s">
        <v>511</v>
      </c>
      <c r="F401" s="311" t="s">
        <v>2031</v>
      </c>
      <c r="G401" s="59" t="s">
        <v>647</v>
      </c>
      <c r="H401" s="33"/>
      <c r="I401" s="34"/>
      <c r="J401" s="35" t="s">
        <v>516</v>
      </c>
      <c r="K401" s="36" t="s">
        <v>511</v>
      </c>
      <c r="L401" s="37">
        <v>45102.458333333336</v>
      </c>
      <c r="M401" s="32"/>
      <c r="N401" s="32"/>
      <c r="O401" s="206"/>
      <c r="P401" s="205"/>
      <c r="Q401" s="202"/>
      <c r="R401" s="204"/>
      <c r="S401" s="38"/>
      <c r="T401" s="201"/>
      <c r="U401" s="201"/>
      <c r="V401" s="201"/>
      <c r="W401" s="201"/>
      <c r="X401" s="201"/>
      <c r="Y401" s="201"/>
      <c r="Z401" s="201"/>
      <c r="AA401" s="201"/>
      <c r="AB401" s="202"/>
      <c r="AC401" s="202"/>
      <c r="AD401" s="202"/>
      <c r="AE401" s="202"/>
      <c r="AF401" s="202"/>
      <c r="AG401" s="201"/>
      <c r="AH401" s="201"/>
      <c r="AI401" s="201"/>
      <c r="AJ401" s="201"/>
      <c r="AK401" s="201"/>
      <c r="AL401" s="201"/>
      <c r="AM401" s="201"/>
      <c r="AN401" s="201"/>
      <c r="AO401" s="201"/>
      <c r="AP401" s="201"/>
      <c r="AQ401" s="201"/>
      <c r="AR401" s="201"/>
      <c r="AS401" s="201"/>
      <c r="AT401" s="201"/>
      <c r="AU401" s="201"/>
      <c r="AV401" s="201"/>
      <c r="AW401" s="201"/>
      <c r="AX401" s="201"/>
      <c r="AY401" s="201"/>
      <c r="AZ401" s="201"/>
      <c r="BA401" s="201"/>
      <c r="BB401" s="201"/>
    </row>
    <row r="402" spans="2:54">
      <c r="B402" s="35" t="s">
        <v>517</v>
      </c>
      <c r="C402" s="35"/>
      <c r="D402" s="32"/>
      <c r="E402" s="36" t="s">
        <v>511</v>
      </c>
      <c r="F402" s="37">
        <v>45097.324999999997</v>
      </c>
      <c r="G402" s="60">
        <v>45098</v>
      </c>
      <c r="H402" s="33"/>
      <c r="I402" s="34"/>
      <c r="J402" s="35" t="s">
        <v>518</v>
      </c>
      <c r="K402" s="36" t="s">
        <v>511</v>
      </c>
      <c r="L402" s="50">
        <v>67000</v>
      </c>
      <c r="M402" s="40" t="s">
        <v>519</v>
      </c>
      <c r="N402" s="40"/>
      <c r="O402" s="206"/>
      <c r="P402" s="205"/>
      <c r="Q402" s="202"/>
      <c r="R402" s="204"/>
      <c r="S402" s="38"/>
      <c r="T402" s="201"/>
      <c r="U402" s="201"/>
      <c r="V402" s="201"/>
      <c r="W402" s="201"/>
      <c r="X402" s="201"/>
      <c r="Y402" s="201"/>
      <c r="Z402" s="201"/>
      <c r="AA402" s="201"/>
      <c r="AB402" s="202"/>
      <c r="AC402" s="202"/>
      <c r="AD402" s="202"/>
      <c r="AE402" s="202"/>
      <c r="AF402" s="202"/>
      <c r="AG402" s="201"/>
      <c r="AH402" s="201"/>
      <c r="AI402" s="201"/>
      <c r="AJ402" s="201"/>
      <c r="AK402" s="201"/>
      <c r="AL402" s="201"/>
      <c r="AM402" s="201"/>
      <c r="AN402" s="201"/>
      <c r="AO402" s="201"/>
      <c r="AP402" s="201"/>
      <c r="AQ402" s="201"/>
      <c r="AR402" s="201"/>
      <c r="AS402" s="201"/>
      <c r="AT402" s="201"/>
      <c r="AU402" s="201"/>
      <c r="AV402" s="201"/>
      <c r="AW402" s="201"/>
      <c r="AX402" s="201"/>
      <c r="AY402" s="201"/>
      <c r="AZ402" s="201"/>
      <c r="BA402" s="201"/>
      <c r="BB402" s="201"/>
    </row>
    <row r="403" spans="2:54">
      <c r="B403" s="35" t="s">
        <v>520</v>
      </c>
      <c r="C403" s="35"/>
      <c r="D403" s="32"/>
      <c r="E403" s="36" t="s">
        <v>511</v>
      </c>
      <c r="F403" s="37" t="s">
        <v>12</v>
      </c>
      <c r="G403" s="32"/>
      <c r="H403" s="33"/>
      <c r="I403" s="34"/>
      <c r="J403" s="35" t="s">
        <v>521</v>
      </c>
      <c r="K403" s="36" t="s">
        <v>511</v>
      </c>
      <c r="L403" s="41" t="s">
        <v>2032</v>
      </c>
      <c r="M403" s="32"/>
      <c r="N403" s="32"/>
      <c r="O403" s="206"/>
      <c r="P403" s="202"/>
      <c r="Q403" s="202"/>
      <c r="R403" s="204"/>
      <c r="S403" s="38"/>
      <c r="T403" s="201"/>
      <c r="U403" s="201"/>
      <c r="V403" s="201"/>
      <c r="W403" s="201"/>
      <c r="X403" s="201"/>
      <c r="Y403" s="201"/>
      <c r="Z403" s="201"/>
      <c r="AA403" s="201"/>
      <c r="AB403" s="202"/>
      <c r="AC403" s="202"/>
      <c r="AD403" s="202"/>
      <c r="AE403" s="202"/>
      <c r="AF403" s="202"/>
      <c r="AG403" s="201"/>
      <c r="AH403" s="201"/>
      <c r="AI403" s="201"/>
      <c r="AJ403" s="201"/>
      <c r="AK403" s="201"/>
      <c r="AL403" s="201"/>
      <c r="AM403" s="201"/>
      <c r="AN403" s="201"/>
      <c r="AO403" s="201"/>
      <c r="AP403" s="201"/>
      <c r="AQ403" s="201"/>
      <c r="AR403" s="201"/>
      <c r="AS403" s="201"/>
      <c r="AT403" s="201"/>
      <c r="AU403" s="201"/>
      <c r="AV403" s="201"/>
      <c r="AW403" s="201"/>
      <c r="AX403" s="201"/>
      <c r="AY403" s="201"/>
      <c r="AZ403" s="201"/>
      <c r="BA403" s="201"/>
      <c r="BB403" s="201"/>
    </row>
    <row r="404" spans="2:54">
      <c r="B404" s="35" t="s">
        <v>523</v>
      </c>
      <c r="C404" s="35"/>
      <c r="D404" s="32"/>
      <c r="E404" s="36" t="s">
        <v>511</v>
      </c>
      <c r="F404" s="37" t="s">
        <v>32</v>
      </c>
      <c r="G404" s="32"/>
      <c r="H404" s="33"/>
      <c r="I404" s="34"/>
      <c r="J404" s="42" t="s">
        <v>524</v>
      </c>
      <c r="K404" s="36" t="s">
        <v>511</v>
      </c>
      <c r="L404" s="43" t="s">
        <v>15</v>
      </c>
      <c r="M404" s="44"/>
      <c r="N404" s="44"/>
      <c r="O404" s="206"/>
      <c r="P404" s="205"/>
      <c r="Q404" s="202"/>
      <c r="R404" s="204"/>
      <c r="S404" s="38"/>
      <c r="T404" s="201"/>
      <c r="U404" s="201"/>
      <c r="V404" s="201"/>
      <c r="W404" s="201"/>
      <c r="X404" s="201"/>
      <c r="Y404" s="201"/>
      <c r="Z404" s="201"/>
      <c r="AA404" s="201"/>
      <c r="AB404" s="202"/>
      <c r="AC404" s="202"/>
      <c r="AD404" s="202"/>
      <c r="AE404" s="202"/>
      <c r="AF404" s="202"/>
      <c r="AG404" s="201"/>
      <c r="AH404" s="201"/>
      <c r="AI404" s="201"/>
      <c r="AJ404" s="201"/>
      <c r="AK404" s="201"/>
      <c r="AL404" s="201"/>
      <c r="AM404" s="201"/>
      <c r="AN404" s="201"/>
      <c r="AO404" s="201"/>
      <c r="AP404" s="201"/>
      <c r="AQ404" s="201"/>
      <c r="AR404" s="201"/>
      <c r="AS404" s="201"/>
      <c r="AT404" s="201"/>
      <c r="AU404" s="201"/>
      <c r="AV404" s="201"/>
      <c r="AW404" s="201"/>
      <c r="AX404" s="201"/>
      <c r="AY404" s="201"/>
      <c r="AZ404" s="201"/>
      <c r="BA404" s="201"/>
      <c r="BB404" s="201"/>
    </row>
    <row r="405" spans="2:54">
      <c r="B405" s="35" t="s">
        <v>2</v>
      </c>
      <c r="C405" s="35"/>
      <c r="D405" s="32"/>
      <c r="E405" s="36" t="s">
        <v>511</v>
      </c>
      <c r="F405" s="37" t="s">
        <v>42</v>
      </c>
      <c r="G405" s="32"/>
      <c r="H405" s="33"/>
      <c r="I405" s="45"/>
      <c r="J405" s="42"/>
      <c r="K405" s="36"/>
      <c r="L405" s="211"/>
      <c r="M405" s="201"/>
      <c r="N405" s="201"/>
      <c r="O405" s="42"/>
      <c r="P405" s="44"/>
      <c r="Q405" s="44"/>
      <c r="R405" s="44"/>
      <c r="S405" s="34"/>
      <c r="T405" s="201"/>
      <c r="U405" s="201"/>
      <c r="V405" s="201"/>
      <c r="W405" s="201"/>
      <c r="X405" s="201"/>
      <c r="Y405" s="201"/>
      <c r="Z405" s="201"/>
      <c r="AA405" s="201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201"/>
      <c r="AP405" s="201"/>
      <c r="AQ405" s="201"/>
      <c r="AR405" s="201"/>
      <c r="AS405" s="201"/>
      <c r="AT405" s="201"/>
      <c r="AU405" s="201"/>
      <c r="AV405" s="201"/>
      <c r="AW405" s="201"/>
      <c r="AX405" s="201"/>
      <c r="AY405" s="201"/>
      <c r="AZ405" s="201"/>
      <c r="BA405" s="201"/>
      <c r="BB405" s="201"/>
    </row>
    <row r="406" spans="2:54">
      <c r="B406" s="201"/>
      <c r="C406" s="201"/>
      <c r="D406" s="201"/>
      <c r="E406" s="201"/>
      <c r="F406" s="201"/>
      <c r="G406" s="201"/>
      <c r="H406" s="201"/>
      <c r="I406" s="45"/>
      <c r="J406" s="42"/>
      <c r="K406" s="42"/>
      <c r="L406" s="43"/>
      <c r="M406" s="44"/>
      <c r="N406" s="44"/>
      <c r="O406" s="42"/>
      <c r="P406" s="44"/>
      <c r="Q406" s="44"/>
      <c r="R406" s="44"/>
      <c r="S406" s="34"/>
      <c r="T406" s="1265" t="s">
        <v>87</v>
      </c>
      <c r="U406" s="1265"/>
      <c r="V406" s="1265"/>
      <c r="W406" s="1265"/>
      <c r="X406" s="1265"/>
      <c r="Y406" s="1265" t="s">
        <v>73</v>
      </c>
      <c r="Z406" s="1265"/>
      <c r="AA406" s="1265"/>
      <c r="AB406" s="1265" t="s">
        <v>74</v>
      </c>
      <c r="AC406" s="1265"/>
      <c r="AD406" s="423" t="s">
        <v>85</v>
      </c>
      <c r="AE406" s="423" t="s">
        <v>77</v>
      </c>
      <c r="AF406" s="1265" t="s">
        <v>525</v>
      </c>
      <c r="AG406" s="1265"/>
      <c r="AH406" s="1265"/>
      <c r="AI406" s="1265"/>
      <c r="AJ406" s="1265"/>
      <c r="AK406" s="1265"/>
      <c r="AL406" s="1265"/>
      <c r="AM406" s="1265"/>
      <c r="AN406" s="1265"/>
      <c r="AO406" s="1265"/>
      <c r="AP406" s="1265"/>
      <c r="AQ406" s="1265"/>
      <c r="AR406" s="1265"/>
      <c r="AS406" s="1265"/>
      <c r="AT406" s="1265"/>
      <c r="AU406" s="1265"/>
      <c r="AV406" s="1265"/>
      <c r="AW406" s="1265"/>
      <c r="AX406" s="1265"/>
      <c r="AY406" s="1265"/>
      <c r="AZ406" s="1265"/>
      <c r="BA406" s="1265"/>
      <c r="BB406" s="201"/>
    </row>
    <row r="407" spans="2:54">
      <c r="B407" s="1266" t="s">
        <v>526</v>
      </c>
      <c r="C407" s="1267"/>
      <c r="D407" s="570" t="s">
        <v>527</v>
      </c>
      <c r="E407" s="570"/>
      <c r="F407" s="570" t="s">
        <v>528</v>
      </c>
      <c r="G407" s="570" t="s">
        <v>529</v>
      </c>
      <c r="H407" s="570" t="s">
        <v>530</v>
      </c>
      <c r="I407" s="570" t="s">
        <v>531</v>
      </c>
      <c r="J407" s="570" t="s">
        <v>532</v>
      </c>
      <c r="K407" s="570"/>
      <c r="L407" s="570" t="s">
        <v>130</v>
      </c>
      <c r="M407" s="570" t="s">
        <v>533</v>
      </c>
      <c r="N407" s="408" t="str">
        <f>"On time - "&amp;COUNTIF(N408:N420,"On time")&amp;" from "&amp;ROWS(N408:N420)-COUNTIF(N408:N420," ")</f>
        <v>On time - 3 from 10</v>
      </c>
      <c r="O407" s="46"/>
      <c r="P407" s="409" t="s">
        <v>534</v>
      </c>
      <c r="Q407" s="409" t="s">
        <v>535</v>
      </c>
      <c r="R407" s="409" t="s">
        <v>536</v>
      </c>
      <c r="S407" s="32"/>
      <c r="T407" s="424" t="s">
        <v>537</v>
      </c>
      <c r="U407" s="424" t="s">
        <v>538</v>
      </c>
      <c r="V407" s="424" t="s">
        <v>539</v>
      </c>
      <c r="W407" s="424" t="s">
        <v>540</v>
      </c>
      <c r="X407" s="424" t="s">
        <v>541</v>
      </c>
      <c r="Y407" s="424" t="s">
        <v>167</v>
      </c>
      <c r="Z407" s="424" t="s">
        <v>168</v>
      </c>
      <c r="AA407" s="424" t="s">
        <v>169</v>
      </c>
      <c r="AB407" s="424" t="s">
        <v>235</v>
      </c>
      <c r="AC407" s="424" t="s">
        <v>240</v>
      </c>
      <c r="AD407" s="423" t="s">
        <v>85</v>
      </c>
      <c r="AE407" s="424" t="s">
        <v>139</v>
      </c>
      <c r="AF407" s="424" t="s">
        <v>72</v>
      </c>
      <c r="AG407" s="424" t="s">
        <v>88</v>
      </c>
      <c r="AH407" s="424" t="s">
        <v>75</v>
      </c>
      <c r="AI407" s="424" t="s">
        <v>543</v>
      </c>
      <c r="AJ407" s="424" t="s">
        <v>78</v>
      </c>
      <c r="AK407" s="424" t="s">
        <v>76</v>
      </c>
      <c r="AL407" s="424" t="s">
        <v>544</v>
      </c>
      <c r="AM407" s="424" t="s">
        <v>545</v>
      </c>
      <c r="AN407" s="424" t="s">
        <v>86</v>
      </c>
      <c r="AO407" s="424" t="s">
        <v>83</v>
      </c>
      <c r="AP407" s="424" t="s">
        <v>84</v>
      </c>
      <c r="AQ407" s="424" t="s">
        <v>546</v>
      </c>
      <c r="AR407" s="424" t="s">
        <v>81</v>
      </c>
      <c r="AS407" s="424" t="s">
        <v>80</v>
      </c>
      <c r="AT407" s="424" t="s">
        <v>82</v>
      </c>
      <c r="AU407" s="424" t="s">
        <v>181</v>
      </c>
      <c r="AV407" s="424" t="s">
        <v>183</v>
      </c>
      <c r="AW407" s="424" t="s">
        <v>547</v>
      </c>
      <c r="AX407" s="424" t="s">
        <v>182</v>
      </c>
      <c r="AY407" s="424" t="s">
        <v>172</v>
      </c>
      <c r="AZ407" s="424" t="s">
        <v>173</v>
      </c>
      <c r="BA407" s="424" t="s">
        <v>184</v>
      </c>
      <c r="BB407" s="201"/>
    </row>
    <row r="408" spans="2:54">
      <c r="B408" s="1250" t="s">
        <v>653</v>
      </c>
      <c r="C408" s="1251"/>
      <c r="D408" s="411" t="s">
        <v>1886</v>
      </c>
      <c r="E408" s="411"/>
      <c r="F408" s="411" t="s">
        <v>380</v>
      </c>
      <c r="G408" s="411" t="s">
        <v>381</v>
      </c>
      <c r="H408" s="426">
        <v>7515.4610000000002</v>
      </c>
      <c r="I408" s="413" t="s">
        <v>1164</v>
      </c>
      <c r="J408" s="414">
        <v>45097.229166666664</v>
      </c>
      <c r="K408" s="414"/>
      <c r="L408" s="414" t="s">
        <v>192</v>
      </c>
      <c r="M408" s="414" t="s">
        <v>192</v>
      </c>
      <c r="N408" s="413" t="str">
        <f t="shared" ref="N408:N422" si="44">IF(ISBLANK(J408)," ",IF(J408&lt;$G$402,"On time",(IF(DAY(J408-$G$402)&lt;1,"On time",(IF(J408&gt;$G$402,"DELAY ( "&amp;DAY(J408-$G$402)&amp;" day "&amp;HOUR(J408-$G$402)&amp;" hour "&amp;MINUTE(J408-$G$402)&amp;" minute )","xxx"))))))</f>
        <v>On time</v>
      </c>
      <c r="O408" s="51"/>
      <c r="P408" s="415" t="s">
        <v>551</v>
      </c>
      <c r="Q408" s="415" t="s">
        <v>551</v>
      </c>
      <c r="R408" s="415" t="s">
        <v>551</v>
      </c>
      <c r="S408" s="32"/>
      <c r="T408" s="416"/>
      <c r="U408" s="416"/>
      <c r="V408" s="416"/>
      <c r="W408" s="416"/>
      <c r="X408" s="416">
        <f>H408</f>
        <v>7515.4610000000002</v>
      </c>
      <c r="Y408" s="416"/>
      <c r="Z408" s="416"/>
      <c r="AA408" s="416"/>
      <c r="AB408" s="32"/>
      <c r="AC408" s="416"/>
      <c r="AD408" s="416"/>
      <c r="AE408" s="416"/>
      <c r="AF408" s="416"/>
      <c r="AG408" s="416"/>
      <c r="AH408" s="416"/>
      <c r="AI408" s="416"/>
      <c r="AJ408" s="416"/>
      <c r="AK408" s="416"/>
      <c r="AL408" s="416"/>
      <c r="AM408" s="416"/>
      <c r="AN408" s="416"/>
      <c r="AO408" s="416"/>
      <c r="AP408" s="416"/>
      <c r="AQ408" s="416"/>
      <c r="AR408" s="416"/>
      <c r="AS408" s="416"/>
      <c r="AT408" s="416"/>
      <c r="AU408" s="416"/>
      <c r="AV408" s="416"/>
      <c r="AW408" s="416"/>
      <c r="AX408" s="416"/>
      <c r="AY408" s="416"/>
      <c r="AZ408" s="416"/>
      <c r="BA408" s="416"/>
      <c r="BB408" s="32"/>
    </row>
    <row r="409" spans="2:54">
      <c r="B409" s="1254"/>
      <c r="C409" s="1255"/>
      <c r="D409" s="411" t="s">
        <v>1831</v>
      </c>
      <c r="E409" s="411"/>
      <c r="F409" s="411" t="s">
        <v>330</v>
      </c>
      <c r="G409" s="411" t="s">
        <v>331</v>
      </c>
      <c r="H409" s="426">
        <v>7519.0010000000002</v>
      </c>
      <c r="I409" s="413" t="s">
        <v>235</v>
      </c>
      <c r="J409" s="414">
        <v>45099.333333333336</v>
      </c>
      <c r="K409" s="414"/>
      <c r="L409" s="414" t="s">
        <v>192</v>
      </c>
      <c r="M409" s="414" t="s">
        <v>192</v>
      </c>
      <c r="N409" s="413" t="str">
        <f t="shared" si="44"/>
        <v>DELAY ( 1 day 8 hour 0 minute )</v>
      </c>
      <c r="O409" s="51"/>
      <c r="P409" s="415" t="s">
        <v>551</v>
      </c>
      <c r="Q409" s="415" t="s">
        <v>551</v>
      </c>
      <c r="R409" s="415" t="s">
        <v>551</v>
      </c>
      <c r="S409" s="32"/>
      <c r="T409" s="416"/>
      <c r="U409" s="416"/>
      <c r="V409" s="416"/>
      <c r="W409" s="416"/>
      <c r="X409" s="416"/>
      <c r="Y409" s="416"/>
      <c r="Z409" s="416"/>
      <c r="AA409" s="416"/>
      <c r="AB409" s="416">
        <f>H409</f>
        <v>7519.0010000000002</v>
      </c>
      <c r="AC409" s="416"/>
      <c r="AD409" s="416"/>
      <c r="AE409" s="416"/>
      <c r="AF409" s="416"/>
      <c r="AG409" s="416"/>
      <c r="AH409" s="416"/>
      <c r="AI409" s="416"/>
      <c r="AJ409" s="416"/>
      <c r="AK409" s="416"/>
      <c r="AL409" s="416"/>
      <c r="AM409" s="416"/>
      <c r="AN409" s="416"/>
      <c r="AO409" s="416"/>
      <c r="AP409" s="416"/>
      <c r="AQ409" s="416"/>
      <c r="AR409" s="416"/>
      <c r="AS409" s="416"/>
      <c r="AT409" s="416"/>
      <c r="AU409" s="416"/>
      <c r="AV409" s="416"/>
      <c r="AW409" s="416"/>
      <c r="AX409" s="416"/>
      <c r="AY409" s="416"/>
      <c r="AZ409" s="416"/>
      <c r="BA409" s="416"/>
      <c r="BB409" s="32"/>
    </row>
    <row r="410" spans="2:54">
      <c r="B410" s="1250" t="s">
        <v>1995</v>
      </c>
      <c r="C410" s="1251"/>
      <c r="D410" s="411" t="s">
        <v>1915</v>
      </c>
      <c r="E410" s="425"/>
      <c r="F410" s="411" t="s">
        <v>1874</v>
      </c>
      <c r="G410" s="411" t="s">
        <v>1875</v>
      </c>
      <c r="H410" s="426">
        <f>5302.307</f>
        <v>5302.3069999999998</v>
      </c>
      <c r="I410" s="413" t="s">
        <v>182</v>
      </c>
      <c r="J410" s="414">
        <v>45099.711805555555</v>
      </c>
      <c r="K410" s="414"/>
      <c r="L410" s="414" t="s">
        <v>192</v>
      </c>
      <c r="M410" s="414" t="s">
        <v>192</v>
      </c>
      <c r="N410" s="413" t="str">
        <f t="shared" si="44"/>
        <v>DELAY ( 1 day 17 hour 5 minute )</v>
      </c>
      <c r="O410" s="51"/>
      <c r="P410" s="415" t="s">
        <v>551</v>
      </c>
      <c r="Q410" s="415" t="s">
        <v>551</v>
      </c>
      <c r="R410" s="415" t="s">
        <v>551</v>
      </c>
      <c r="S410" s="32"/>
      <c r="T410" s="416"/>
      <c r="U410" s="416"/>
      <c r="V410" s="416"/>
      <c r="W410" s="416"/>
      <c r="X410" s="416"/>
      <c r="Y410" s="416"/>
      <c r="Z410" s="416"/>
      <c r="AA410" s="416"/>
      <c r="AB410" s="416"/>
      <c r="AC410" s="416"/>
      <c r="AD410" s="416"/>
      <c r="AE410" s="416"/>
      <c r="AF410" s="416"/>
      <c r="AG410" s="416"/>
      <c r="AH410" s="416"/>
      <c r="AI410" s="416"/>
      <c r="AJ410" s="286"/>
      <c r="AK410" s="416"/>
      <c r="AL410" s="416"/>
      <c r="AM410" s="416"/>
      <c r="AN410" s="416"/>
      <c r="AO410" s="416"/>
      <c r="AP410" s="416"/>
      <c r="AQ410" s="416"/>
      <c r="AR410" s="416"/>
      <c r="AS410" s="416"/>
      <c r="AT410" s="416"/>
      <c r="AU410" s="416"/>
      <c r="AV410" s="416"/>
      <c r="AW410" s="416"/>
      <c r="AX410" s="416">
        <f>H410</f>
        <v>5302.3069999999998</v>
      </c>
      <c r="AY410" s="416"/>
      <c r="AZ410" s="416"/>
      <c r="BA410" s="416"/>
      <c r="BB410" s="32"/>
    </row>
    <row r="411" spans="2:54">
      <c r="B411" s="1254"/>
      <c r="C411" s="1255"/>
      <c r="D411" s="411" t="s">
        <v>1885</v>
      </c>
      <c r="E411" s="411"/>
      <c r="F411" s="411" t="s">
        <v>774</v>
      </c>
      <c r="G411" s="411" t="s">
        <v>423</v>
      </c>
      <c r="H411" s="426">
        <v>7529.3549999999996</v>
      </c>
      <c r="I411" s="413" t="s">
        <v>1164</v>
      </c>
      <c r="J411" s="414">
        <v>45097.291666666664</v>
      </c>
      <c r="K411" s="414"/>
      <c r="L411" s="414" t="s">
        <v>192</v>
      </c>
      <c r="M411" s="414" t="s">
        <v>192</v>
      </c>
      <c r="N411" s="413" t="str">
        <f t="shared" si="44"/>
        <v>On time</v>
      </c>
      <c r="O411" s="51"/>
      <c r="P411" s="415" t="s">
        <v>551</v>
      </c>
      <c r="Q411" s="415" t="s">
        <v>551</v>
      </c>
      <c r="R411" s="415" t="s">
        <v>551</v>
      </c>
      <c r="S411" s="32"/>
      <c r="T411" s="416"/>
      <c r="U411" s="416"/>
      <c r="V411" s="416"/>
      <c r="W411" s="416"/>
      <c r="X411" s="416">
        <f>H411</f>
        <v>7529.3549999999996</v>
      </c>
      <c r="Y411" s="416"/>
      <c r="Z411" s="416"/>
      <c r="AA411" s="416"/>
      <c r="AB411" s="416"/>
      <c r="AC411" s="416"/>
      <c r="AD411" s="416"/>
      <c r="AE411" s="416"/>
      <c r="AF411" s="416"/>
      <c r="AG411" s="416"/>
      <c r="AH411" s="416"/>
      <c r="AI411" s="416"/>
      <c r="AJ411" s="416"/>
      <c r="AK411" s="416"/>
      <c r="AL411" s="416"/>
      <c r="AM411" s="416"/>
      <c r="AN411" s="416"/>
      <c r="AO411" s="416"/>
      <c r="AP411" s="416"/>
      <c r="AQ411" s="416"/>
      <c r="AR411" s="416"/>
      <c r="AS411" s="416"/>
      <c r="AT411" s="32"/>
      <c r="AU411" s="416"/>
      <c r="AV411" s="416"/>
      <c r="AW411" s="416"/>
      <c r="AX411" s="416"/>
      <c r="AY411" s="416"/>
      <c r="AZ411" s="416"/>
      <c r="BA411" s="416"/>
      <c r="BB411" s="32"/>
    </row>
    <row r="412" spans="2:54">
      <c r="B412" s="1250" t="s">
        <v>1995</v>
      </c>
      <c r="C412" s="1251"/>
      <c r="D412" s="411" t="s">
        <v>1915</v>
      </c>
      <c r="E412" s="425"/>
      <c r="F412" s="411" t="s">
        <v>1874</v>
      </c>
      <c r="G412" s="411" t="s">
        <v>1875</v>
      </c>
      <c r="H412" s="412"/>
      <c r="I412" s="413" t="s">
        <v>182</v>
      </c>
      <c r="J412" s="414"/>
      <c r="K412" s="414"/>
      <c r="L412" s="414" t="s">
        <v>192</v>
      </c>
      <c r="M412" s="414" t="s">
        <v>192</v>
      </c>
      <c r="N412" s="413" t="str">
        <f t="shared" si="44"/>
        <v xml:space="preserve"> </v>
      </c>
      <c r="O412" s="51"/>
      <c r="P412" s="415"/>
      <c r="Q412" s="415"/>
      <c r="R412" s="415"/>
      <c r="S412" s="32"/>
      <c r="T412" s="416"/>
      <c r="U412" s="416"/>
      <c r="V412" s="416"/>
      <c r="W412" s="416"/>
      <c r="X412" s="416"/>
      <c r="Y412" s="416"/>
      <c r="Z412" s="416"/>
      <c r="AA412" s="416"/>
      <c r="AB412" s="416"/>
      <c r="AC412" s="416"/>
      <c r="AD412" s="416"/>
      <c r="AE412" s="416"/>
      <c r="AF412" s="416"/>
      <c r="AG412" s="416"/>
      <c r="AH412" s="416"/>
      <c r="AI412" s="416"/>
      <c r="AJ412" s="286"/>
      <c r="AK412" s="416"/>
      <c r="AL412" s="416"/>
      <c r="AM412" s="416"/>
      <c r="AN412" s="416"/>
      <c r="AO412" s="416"/>
      <c r="AP412" s="416"/>
      <c r="AQ412" s="416"/>
      <c r="AR412" s="416"/>
      <c r="AS412" s="416"/>
      <c r="AT412" s="416"/>
      <c r="AU412" s="416"/>
      <c r="AV412" s="416"/>
      <c r="AW412" s="416"/>
      <c r="AX412" s="416">
        <f>H412</f>
        <v>0</v>
      </c>
      <c r="AY412" s="416"/>
      <c r="AZ412" s="416"/>
      <c r="BA412" s="416"/>
      <c r="BB412" s="32"/>
    </row>
    <row r="413" spans="2:54">
      <c r="B413" s="1254"/>
      <c r="C413" s="1255"/>
      <c r="D413" s="411" t="s">
        <v>1832</v>
      </c>
      <c r="E413" s="411"/>
      <c r="F413" s="411" t="s">
        <v>274</v>
      </c>
      <c r="G413" s="411" t="s">
        <v>1093</v>
      </c>
      <c r="H413" s="426">
        <v>7513.9719999999998</v>
      </c>
      <c r="I413" s="413" t="s">
        <v>240</v>
      </c>
      <c r="J413" s="414">
        <v>45098.354166666664</v>
      </c>
      <c r="K413" s="414"/>
      <c r="L413" s="414" t="s">
        <v>192</v>
      </c>
      <c r="M413" s="414" t="s">
        <v>192</v>
      </c>
      <c r="N413" s="413" t="str">
        <f t="shared" si="44"/>
        <v>On time</v>
      </c>
      <c r="O413" s="51"/>
      <c r="P413" s="415" t="s">
        <v>551</v>
      </c>
      <c r="Q413" s="415" t="s">
        <v>551</v>
      </c>
      <c r="R413" s="415" t="s">
        <v>551</v>
      </c>
      <c r="S413" s="32"/>
      <c r="T413" s="416"/>
      <c r="U413" s="416"/>
      <c r="V413" s="416"/>
      <c r="W413" s="416"/>
      <c r="X413" s="416"/>
      <c r="Y413" s="416"/>
      <c r="Z413" s="416"/>
      <c r="AA413" s="416"/>
      <c r="AB413" s="416"/>
      <c r="AC413" s="416">
        <f>H413</f>
        <v>7513.9719999999998</v>
      </c>
      <c r="AD413" s="416"/>
      <c r="AE413" s="416"/>
      <c r="AF413" s="416"/>
      <c r="AG413" s="416"/>
      <c r="AH413" s="416"/>
      <c r="AI413" s="416"/>
      <c r="AJ413" s="416"/>
      <c r="AK413" s="416"/>
      <c r="AL413" s="416"/>
      <c r="AM413" s="416"/>
      <c r="AN413" s="416"/>
      <c r="AO413" s="416"/>
      <c r="AP413" s="416"/>
      <c r="AQ413" s="416"/>
      <c r="AR413" s="416"/>
      <c r="AS413" s="416"/>
      <c r="AT413" s="416"/>
      <c r="AU413" s="416"/>
      <c r="AV413" s="416"/>
      <c r="AW413" s="416"/>
      <c r="AX413" s="416"/>
      <c r="AY413" s="416"/>
      <c r="AZ413" s="416"/>
      <c r="BA413" s="416"/>
      <c r="BB413" s="32"/>
    </row>
    <row r="414" spans="2:54">
      <c r="B414" s="1250" t="s">
        <v>1995</v>
      </c>
      <c r="C414" s="1251"/>
      <c r="D414" s="411" t="s">
        <v>1915</v>
      </c>
      <c r="E414" s="425"/>
      <c r="F414" s="411" t="s">
        <v>1874</v>
      </c>
      <c r="G414" s="411" t="s">
        <v>1875</v>
      </c>
      <c r="H414" s="412"/>
      <c r="I414" s="413" t="s">
        <v>182</v>
      </c>
      <c r="J414" s="414"/>
      <c r="K414" s="414"/>
      <c r="L414" s="414" t="s">
        <v>192</v>
      </c>
      <c r="M414" s="414" t="s">
        <v>192</v>
      </c>
      <c r="N414" s="413" t="str">
        <f t="shared" si="44"/>
        <v xml:space="preserve"> </v>
      </c>
      <c r="O414" s="51"/>
      <c r="P414" s="415"/>
      <c r="Q414" s="415"/>
      <c r="R414" s="415"/>
      <c r="S414" s="32"/>
      <c r="T414" s="416"/>
      <c r="U414" s="416"/>
      <c r="V414" s="416"/>
      <c r="W414" s="416"/>
      <c r="X414" s="416"/>
      <c r="Y414" s="416"/>
      <c r="Z414" s="416"/>
      <c r="AA414" s="416"/>
      <c r="AB414" s="416"/>
      <c r="AC414" s="416"/>
      <c r="AD414" s="416"/>
      <c r="AE414" s="416"/>
      <c r="AF414" s="416"/>
      <c r="AG414" s="416"/>
      <c r="AH414" s="416"/>
      <c r="AI414" s="416"/>
      <c r="AJ414" s="286"/>
      <c r="AK414" s="416"/>
      <c r="AL414" s="416"/>
      <c r="AM414" s="416"/>
      <c r="AN414" s="416"/>
      <c r="AO414" s="416"/>
      <c r="AP414" s="416"/>
      <c r="AQ414" s="416"/>
      <c r="AR414" s="416"/>
      <c r="AS414" s="416"/>
      <c r="AT414" s="416"/>
      <c r="AU414" s="416"/>
      <c r="AV414" s="416"/>
      <c r="AW414" s="416"/>
      <c r="AX414" s="416">
        <f>H414</f>
        <v>0</v>
      </c>
      <c r="AY414" s="416"/>
      <c r="AZ414" s="416"/>
      <c r="BA414" s="416"/>
      <c r="BB414" s="32"/>
    </row>
    <row r="415" spans="2:54">
      <c r="B415" s="1254"/>
      <c r="C415" s="1255"/>
      <c r="D415" s="411" t="s">
        <v>1838</v>
      </c>
      <c r="E415" s="411"/>
      <c r="F415" s="411" t="s">
        <v>355</v>
      </c>
      <c r="G415" s="411" t="s">
        <v>356</v>
      </c>
      <c r="H415" s="426">
        <v>7602.3360000000002</v>
      </c>
      <c r="I415" s="413" t="s">
        <v>240</v>
      </c>
      <c r="J415" s="414">
        <v>45099.416666666664</v>
      </c>
      <c r="K415" s="414"/>
      <c r="L415" s="414" t="s">
        <v>192</v>
      </c>
      <c r="M415" s="414" t="s">
        <v>192</v>
      </c>
      <c r="N415" s="413" t="str">
        <f t="shared" si="44"/>
        <v>DELAY ( 1 day 10 hour 0 minute )</v>
      </c>
      <c r="O415" s="51"/>
      <c r="P415" s="415" t="s">
        <v>551</v>
      </c>
      <c r="Q415" s="415" t="s">
        <v>551</v>
      </c>
      <c r="R415" s="415" t="s">
        <v>551</v>
      </c>
      <c r="S415" s="32"/>
      <c r="T415" s="416"/>
      <c r="U415" s="416"/>
      <c r="V415" s="416"/>
      <c r="W415" s="416"/>
      <c r="X415" s="416"/>
      <c r="Y415" s="416"/>
      <c r="Z415" s="416"/>
      <c r="AA415" s="416"/>
      <c r="AB415" s="416"/>
      <c r="AC415" s="416">
        <f>H415</f>
        <v>7602.3360000000002</v>
      </c>
      <c r="AD415" s="416"/>
      <c r="AE415" s="416"/>
      <c r="AF415" s="416"/>
      <c r="AG415" s="416"/>
      <c r="AH415" s="416"/>
      <c r="AI415" s="416"/>
      <c r="AJ415" s="416"/>
      <c r="AK415" s="416"/>
      <c r="AL415" s="416"/>
      <c r="AM415" s="416"/>
      <c r="AN415" s="416"/>
      <c r="AO415" s="416"/>
      <c r="AP415" s="416"/>
      <c r="AQ415" s="416"/>
      <c r="AR415" s="416"/>
      <c r="AS415" s="416"/>
      <c r="AT415" s="416"/>
      <c r="AU415" s="416"/>
      <c r="AV415" s="416"/>
      <c r="AW415" s="416"/>
      <c r="AX415" s="416"/>
      <c r="AY415" s="416"/>
      <c r="AZ415" s="416"/>
      <c r="BA415" s="416"/>
      <c r="BB415" s="32"/>
    </row>
    <row r="416" spans="2:54">
      <c r="B416" s="1250" t="s">
        <v>1995</v>
      </c>
      <c r="C416" s="1251"/>
      <c r="D416" s="411" t="s">
        <v>1915</v>
      </c>
      <c r="E416" s="425"/>
      <c r="F416" s="411" t="s">
        <v>1874</v>
      </c>
      <c r="G416" s="411" t="s">
        <v>1875</v>
      </c>
      <c r="H416" s="412"/>
      <c r="I416" s="413" t="s">
        <v>182</v>
      </c>
      <c r="J416" s="414"/>
      <c r="K416" s="414"/>
      <c r="L416" s="414" t="s">
        <v>192</v>
      </c>
      <c r="M416" s="414" t="s">
        <v>192</v>
      </c>
      <c r="N416" s="413" t="str">
        <f t="shared" si="44"/>
        <v xml:space="preserve"> </v>
      </c>
      <c r="O416" s="51"/>
      <c r="P416" s="415"/>
      <c r="Q416" s="415"/>
      <c r="R416" s="415"/>
      <c r="S416" s="32"/>
      <c r="T416" s="416"/>
      <c r="U416" s="416"/>
      <c r="V416" s="416"/>
      <c r="W416" s="416"/>
      <c r="X416" s="416"/>
      <c r="Y416" s="416"/>
      <c r="Z416" s="416"/>
      <c r="AA416" s="416"/>
      <c r="AB416" s="416"/>
      <c r="AC416" s="416"/>
      <c r="AD416" s="416"/>
      <c r="AE416" s="416"/>
      <c r="AF416" s="416"/>
      <c r="AG416" s="416"/>
      <c r="AH416" s="416"/>
      <c r="AI416" s="416"/>
      <c r="AJ416" s="286"/>
      <c r="AK416" s="416"/>
      <c r="AL416" s="416"/>
      <c r="AM416" s="416"/>
      <c r="AN416" s="416"/>
      <c r="AO416" s="416"/>
      <c r="AP416" s="416"/>
      <c r="AQ416" s="416"/>
      <c r="AR416" s="416"/>
      <c r="AS416" s="416"/>
      <c r="AT416" s="416"/>
      <c r="AU416" s="416"/>
      <c r="AV416" s="416"/>
      <c r="AW416" s="416"/>
      <c r="AX416" s="416">
        <f>H416</f>
        <v>0</v>
      </c>
      <c r="AY416" s="416"/>
      <c r="AZ416" s="416"/>
      <c r="BA416" s="416"/>
      <c r="BB416" s="32"/>
    </row>
    <row r="417" spans="2:54">
      <c r="B417" s="1254"/>
      <c r="C417" s="1255"/>
      <c r="D417" s="411" t="s">
        <v>1837</v>
      </c>
      <c r="E417" s="411"/>
      <c r="F417" s="411" t="s">
        <v>492</v>
      </c>
      <c r="G417" s="411" t="s">
        <v>493</v>
      </c>
      <c r="H417" s="412">
        <v>7472.7939999999999</v>
      </c>
      <c r="I417" s="413" t="s">
        <v>240</v>
      </c>
      <c r="J417" s="414">
        <v>45099.4375</v>
      </c>
      <c r="K417" s="414"/>
      <c r="L417" s="414" t="s">
        <v>192</v>
      </c>
      <c r="M417" s="414" t="s">
        <v>192</v>
      </c>
      <c r="N417" s="413" t="str">
        <f t="shared" si="44"/>
        <v>DELAY ( 1 day 10 hour 30 minute )</v>
      </c>
      <c r="O417" s="51"/>
      <c r="P417" s="415" t="s">
        <v>551</v>
      </c>
      <c r="Q417" s="415" t="s">
        <v>551</v>
      </c>
      <c r="R417" s="415" t="s">
        <v>551</v>
      </c>
      <c r="S417" s="32"/>
      <c r="T417" s="416"/>
      <c r="U417" s="416"/>
      <c r="V417" s="416"/>
      <c r="W417" s="416"/>
      <c r="X417" s="416"/>
      <c r="Y417" s="416"/>
      <c r="Z417" s="416"/>
      <c r="AA417" s="416"/>
      <c r="AB417" s="416"/>
      <c r="AC417" s="416">
        <f>H417</f>
        <v>7472.7939999999999</v>
      </c>
      <c r="AD417" s="416"/>
      <c r="AE417" s="416"/>
      <c r="AF417" s="416"/>
      <c r="AG417" s="416"/>
      <c r="AH417" s="416"/>
      <c r="AI417" s="416"/>
      <c r="AJ417" s="416"/>
      <c r="AK417" s="416"/>
      <c r="AL417" s="416"/>
      <c r="AM417" s="416"/>
      <c r="AN417" s="416"/>
      <c r="AO417" s="416"/>
      <c r="AP417" s="416"/>
      <c r="AQ417" s="416"/>
      <c r="AR417" s="416"/>
      <c r="AS417" s="416"/>
      <c r="AT417" s="416"/>
      <c r="AU417" s="416"/>
      <c r="AV417" s="416"/>
      <c r="AW417" s="416"/>
      <c r="AX417" s="416"/>
      <c r="AY417" s="416"/>
      <c r="AZ417" s="416"/>
      <c r="BA417" s="416"/>
      <c r="BB417" s="32"/>
    </row>
    <row r="418" spans="2:54">
      <c r="B418" s="1256" t="s">
        <v>548</v>
      </c>
      <c r="C418" s="1257"/>
      <c r="D418" s="411" t="s">
        <v>1830</v>
      </c>
      <c r="E418" s="411"/>
      <c r="F418" s="411" t="s">
        <v>233</v>
      </c>
      <c r="G418" s="411" t="s">
        <v>234</v>
      </c>
      <c r="H418" s="412">
        <v>1552.0650000000001</v>
      </c>
      <c r="I418" s="413" t="s">
        <v>235</v>
      </c>
      <c r="J418" s="414">
        <v>45099.611111111109</v>
      </c>
      <c r="K418" s="414"/>
      <c r="L418" s="414" t="s">
        <v>192</v>
      </c>
      <c r="M418" s="414" t="s">
        <v>192</v>
      </c>
      <c r="N418" s="413" t="str">
        <f t="shared" si="44"/>
        <v>DELAY ( 1 day 14 hour 40 minute )</v>
      </c>
      <c r="O418" s="51"/>
      <c r="P418" s="415" t="s">
        <v>551</v>
      </c>
      <c r="Q418" s="415" t="s">
        <v>551</v>
      </c>
      <c r="R418" s="415" t="s">
        <v>551</v>
      </c>
      <c r="S418" s="32"/>
      <c r="T418" s="416"/>
      <c r="U418" s="416"/>
      <c r="V418" s="416"/>
      <c r="W418" s="416"/>
      <c r="X418" s="416"/>
      <c r="Y418" s="416"/>
      <c r="Z418" s="416"/>
      <c r="AA418" s="416"/>
      <c r="AB418" s="416">
        <f>H418</f>
        <v>1552.0650000000001</v>
      </c>
      <c r="AC418" s="416"/>
      <c r="AD418" s="416"/>
      <c r="AE418" s="416"/>
      <c r="AF418" s="416"/>
      <c r="AG418" s="416"/>
      <c r="AH418" s="416"/>
      <c r="AI418" s="416"/>
      <c r="AJ418" s="416"/>
      <c r="AK418" s="416"/>
      <c r="AL418" s="416"/>
      <c r="AM418" s="416"/>
      <c r="AN418" s="416"/>
      <c r="AO418" s="416"/>
      <c r="AP418" s="416"/>
      <c r="AQ418" s="416"/>
      <c r="AR418" s="416"/>
      <c r="AS418" s="416"/>
      <c r="AT418" s="416"/>
      <c r="AU418" s="416"/>
      <c r="AV418" s="416"/>
      <c r="AW418" s="416"/>
      <c r="AX418" s="416"/>
      <c r="AY418" s="416"/>
      <c r="AZ418" s="416"/>
      <c r="BA418" s="416"/>
      <c r="BB418" s="32"/>
    </row>
    <row r="419" spans="2:54">
      <c r="B419" s="1256" t="s">
        <v>548</v>
      </c>
      <c r="C419" s="1257"/>
      <c r="D419" s="411" t="s">
        <v>1839</v>
      </c>
      <c r="E419" s="411"/>
      <c r="F419" s="411" t="s">
        <v>352</v>
      </c>
      <c r="G419" s="411" t="s">
        <v>353</v>
      </c>
      <c r="H419" s="412">
        <v>9285.8230000000003</v>
      </c>
      <c r="I419" s="413" t="s">
        <v>240</v>
      </c>
      <c r="J419" s="414">
        <v>45100.409722222219</v>
      </c>
      <c r="K419" s="414"/>
      <c r="L419" s="414" t="s">
        <v>192</v>
      </c>
      <c r="M419" s="414" t="s">
        <v>192</v>
      </c>
      <c r="N419" s="413" t="str">
        <f t="shared" si="44"/>
        <v>DELAY ( 2 day 9 hour 50 minute )</v>
      </c>
      <c r="O419" s="51"/>
      <c r="P419" s="415" t="s">
        <v>551</v>
      </c>
      <c r="Q419" s="415" t="s">
        <v>551</v>
      </c>
      <c r="R419" s="415" t="s">
        <v>551</v>
      </c>
      <c r="S419" s="32"/>
      <c r="T419" s="416"/>
      <c r="U419" s="416"/>
      <c r="V419" s="416"/>
      <c r="W419" s="416"/>
      <c r="X419" s="416"/>
      <c r="Y419" s="416"/>
      <c r="Z419" s="416"/>
      <c r="AA419" s="416"/>
      <c r="AB419" s="32"/>
      <c r="AC419" s="416">
        <f>H419</f>
        <v>9285.8230000000003</v>
      </c>
      <c r="AD419" s="416"/>
      <c r="AE419" s="416"/>
      <c r="AF419" s="416"/>
      <c r="AG419" s="416"/>
      <c r="AH419" s="416"/>
      <c r="AI419" s="416"/>
      <c r="AJ419" s="416"/>
      <c r="AK419" s="416"/>
      <c r="AL419" s="416"/>
      <c r="AM419" s="416"/>
      <c r="AN419" s="416"/>
      <c r="AO419" s="416"/>
      <c r="AP419" s="416"/>
      <c r="AQ419" s="416"/>
      <c r="AR419" s="416"/>
      <c r="AS419" s="416"/>
      <c r="AT419" s="416"/>
      <c r="AU419" s="416"/>
      <c r="AV419" s="416"/>
      <c r="AW419" s="416"/>
      <c r="AX419" s="416"/>
      <c r="AY419" s="416"/>
      <c r="AZ419" s="416"/>
      <c r="BA419" s="416"/>
      <c r="BB419" s="32"/>
    </row>
    <row r="420" spans="2:54">
      <c r="B420" s="1256" t="s">
        <v>548</v>
      </c>
      <c r="C420" s="1257"/>
      <c r="D420" s="411" t="s">
        <v>1833</v>
      </c>
      <c r="E420" s="411"/>
      <c r="F420" s="411" t="s">
        <v>1834</v>
      </c>
      <c r="G420" s="411" t="s">
        <v>1835</v>
      </c>
      <c r="H420" s="412">
        <f>7502.577-1795.691</f>
        <v>5706.8860000000004</v>
      </c>
      <c r="I420" s="413" t="s">
        <v>240</v>
      </c>
      <c r="J420" s="414">
        <v>45100.416666666664</v>
      </c>
      <c r="K420" s="414"/>
      <c r="L420" s="414" t="s">
        <v>192</v>
      </c>
      <c r="M420" s="414" t="s">
        <v>192</v>
      </c>
      <c r="N420" s="413" t="str">
        <f t="shared" si="44"/>
        <v>DELAY ( 2 day 10 hour 0 minute )</v>
      </c>
      <c r="O420" s="51"/>
      <c r="P420" s="415" t="s">
        <v>551</v>
      </c>
      <c r="Q420" s="415" t="s">
        <v>551</v>
      </c>
      <c r="R420" s="415" t="s">
        <v>551</v>
      </c>
      <c r="S420" s="32"/>
      <c r="T420" s="416"/>
      <c r="U420" s="416"/>
      <c r="V420" s="416"/>
      <c r="W420" s="416"/>
      <c r="X420" s="416"/>
      <c r="Y420" s="416"/>
      <c r="Z420" s="416"/>
      <c r="AA420" s="416"/>
      <c r="AB420" s="416"/>
      <c r="AC420" s="416">
        <f>H420</f>
        <v>5706.8860000000004</v>
      </c>
      <c r="AD420" s="416"/>
      <c r="AE420" s="416"/>
      <c r="AF420" s="416"/>
      <c r="AG420" s="416"/>
      <c r="AH420" s="416"/>
      <c r="AI420" s="416"/>
      <c r="AJ420" s="416"/>
      <c r="AK420" s="416"/>
      <c r="AL420" s="416"/>
      <c r="AM420" s="416"/>
      <c r="AN420" s="416"/>
      <c r="AO420" s="416"/>
      <c r="AP420" s="416"/>
      <c r="AQ420" s="416"/>
      <c r="AR420" s="416"/>
      <c r="AS420" s="416"/>
      <c r="AT420" s="416"/>
      <c r="AU420" s="416"/>
      <c r="AV420" s="416"/>
      <c r="AW420" s="416"/>
      <c r="AX420" s="416"/>
      <c r="AY420" s="416"/>
      <c r="AZ420" s="416"/>
      <c r="BA420" s="416"/>
      <c r="BB420" s="32"/>
    </row>
    <row r="421" spans="2:54">
      <c r="B421" s="1258" t="s">
        <v>556</v>
      </c>
      <c r="C421" s="1259"/>
      <c r="D421" s="1259"/>
      <c r="E421" s="1259"/>
      <c r="F421" s="1259"/>
      <c r="G421" s="1260"/>
      <c r="H421" s="417">
        <f>SUM(H408:H420)</f>
        <v>67000</v>
      </c>
      <c r="I421" s="388"/>
      <c r="J421" s="293"/>
      <c r="K421" s="293"/>
      <c r="L421" s="293"/>
      <c r="M421" s="389"/>
      <c r="N421" s="413" t="str">
        <f t="shared" si="44"/>
        <v xml:space="preserve"> </v>
      </c>
      <c r="O421" s="212"/>
      <c r="P421" s="418"/>
      <c r="Q421" s="418"/>
      <c r="R421" s="418"/>
      <c r="S421" s="207"/>
      <c r="T421" s="1262"/>
      <c r="U421" s="1263"/>
      <c r="V421" s="1263"/>
      <c r="W421" s="1263"/>
      <c r="X421" s="1263"/>
      <c r="Y421" s="1263"/>
      <c r="Z421" s="1263"/>
      <c r="AA421" s="1263"/>
      <c r="AB421" s="1263"/>
      <c r="AC421" s="1263"/>
      <c r="AD421" s="1263"/>
      <c r="AE421" s="1263"/>
      <c r="AF421" s="1263"/>
      <c r="AG421" s="1263"/>
      <c r="AH421" s="1263"/>
      <c r="AI421" s="1263"/>
      <c r="AJ421" s="1263"/>
      <c r="AK421" s="1263"/>
      <c r="AL421" s="1263"/>
      <c r="AM421" s="1263"/>
      <c r="AN421" s="1263"/>
      <c r="AO421" s="1263"/>
      <c r="AP421" s="1263"/>
      <c r="AQ421" s="1263"/>
      <c r="AR421" s="1263"/>
      <c r="AS421" s="1263"/>
      <c r="AT421" s="1263"/>
      <c r="AU421" s="1263"/>
      <c r="AV421" s="1263"/>
      <c r="AW421" s="1263"/>
      <c r="AX421" s="1263"/>
      <c r="AY421" s="1263"/>
      <c r="AZ421" s="1263"/>
      <c r="BA421" s="1263"/>
    </row>
    <row r="422" spans="2:54">
      <c r="B422" s="1243" t="s">
        <v>557</v>
      </c>
      <c r="C422" s="1244"/>
      <c r="D422" s="1244"/>
      <c r="E422" s="1244"/>
      <c r="F422" s="1244"/>
      <c r="G422" s="1245"/>
      <c r="H422" s="419">
        <v>67000</v>
      </c>
      <c r="I422" s="1273"/>
      <c r="J422" s="1274"/>
      <c r="K422" s="1274"/>
      <c r="L422" s="1274"/>
      <c r="M422" s="1275"/>
      <c r="N422" s="413" t="str">
        <f t="shared" si="44"/>
        <v xml:space="preserve"> </v>
      </c>
      <c r="O422" s="32"/>
      <c r="P422" s="415"/>
      <c r="Q422" s="415"/>
      <c r="R422" s="415"/>
      <c r="S422" s="63"/>
      <c r="T422" s="416">
        <f t="shared" ref="T422:BA422" si="45">SUM(T408:T420)</f>
        <v>0</v>
      </c>
      <c r="U422" s="416">
        <f t="shared" si="45"/>
        <v>0</v>
      </c>
      <c r="V422" s="416">
        <f t="shared" si="45"/>
        <v>0</v>
      </c>
      <c r="W422" s="416">
        <f t="shared" si="45"/>
        <v>0</v>
      </c>
      <c r="X422" s="416">
        <f t="shared" si="45"/>
        <v>15044.815999999999</v>
      </c>
      <c r="Y422" s="416">
        <f t="shared" si="45"/>
        <v>0</v>
      </c>
      <c r="Z422" s="416">
        <f t="shared" si="45"/>
        <v>0</v>
      </c>
      <c r="AA422" s="416">
        <f t="shared" si="45"/>
        <v>0</v>
      </c>
      <c r="AB422" s="416">
        <f t="shared" si="45"/>
        <v>9071.0660000000007</v>
      </c>
      <c r="AC422" s="416">
        <f t="shared" si="45"/>
        <v>37581.811000000002</v>
      </c>
      <c r="AD422" s="416">
        <f t="shared" si="45"/>
        <v>0</v>
      </c>
      <c r="AE422" s="416">
        <f t="shared" si="45"/>
        <v>0</v>
      </c>
      <c r="AF422" s="416">
        <f t="shared" si="45"/>
        <v>0</v>
      </c>
      <c r="AG422" s="416">
        <f t="shared" si="45"/>
        <v>0</v>
      </c>
      <c r="AH422" s="416">
        <f t="shared" si="45"/>
        <v>0</v>
      </c>
      <c r="AI422" s="416">
        <f t="shared" si="45"/>
        <v>0</v>
      </c>
      <c r="AJ422" s="416">
        <f t="shared" si="45"/>
        <v>0</v>
      </c>
      <c r="AK422" s="416">
        <f t="shared" si="45"/>
        <v>0</v>
      </c>
      <c r="AL422" s="416">
        <f t="shared" si="45"/>
        <v>0</v>
      </c>
      <c r="AM422" s="416">
        <f t="shared" si="45"/>
        <v>0</v>
      </c>
      <c r="AN422" s="416">
        <f t="shared" si="45"/>
        <v>0</v>
      </c>
      <c r="AO422" s="416">
        <f t="shared" si="45"/>
        <v>0</v>
      </c>
      <c r="AP422" s="416">
        <f t="shared" si="45"/>
        <v>0</v>
      </c>
      <c r="AQ422" s="416">
        <f t="shared" si="45"/>
        <v>0</v>
      </c>
      <c r="AR422" s="416">
        <f t="shared" si="45"/>
        <v>0</v>
      </c>
      <c r="AS422" s="416">
        <f t="shared" si="45"/>
        <v>0</v>
      </c>
      <c r="AT422" s="416">
        <f t="shared" si="45"/>
        <v>0</v>
      </c>
      <c r="AU422" s="416">
        <f t="shared" si="45"/>
        <v>0</v>
      </c>
      <c r="AV422" s="416">
        <f t="shared" si="45"/>
        <v>0</v>
      </c>
      <c r="AW422" s="416">
        <f t="shared" si="45"/>
        <v>0</v>
      </c>
      <c r="AX422" s="416">
        <f t="shared" si="45"/>
        <v>5302.3069999999998</v>
      </c>
      <c r="AY422" s="416">
        <f t="shared" si="45"/>
        <v>0</v>
      </c>
      <c r="AZ422" s="416">
        <f t="shared" si="45"/>
        <v>0</v>
      </c>
      <c r="BA422" s="416">
        <f t="shared" si="45"/>
        <v>0</v>
      </c>
      <c r="BB422" s="416">
        <f>SUM(T422:BA422)</f>
        <v>67000</v>
      </c>
    </row>
    <row r="423" spans="2:54">
      <c r="B423" s="1243" t="s">
        <v>558</v>
      </c>
      <c r="C423" s="1244"/>
      <c r="D423" s="1244"/>
      <c r="E423" s="1244"/>
      <c r="F423" s="1244"/>
      <c r="G423" s="1245"/>
      <c r="H423" s="420">
        <f>H422-L402</f>
        <v>0</v>
      </c>
      <c r="I423" s="294"/>
      <c r="J423" s="295"/>
      <c r="K423" s="295"/>
      <c r="L423" s="296"/>
      <c r="M423" s="32"/>
      <c r="N423" s="32"/>
      <c r="O423" s="32"/>
      <c r="P423" s="32"/>
      <c r="Q423" s="297"/>
      <c r="R423" s="297"/>
      <c r="S423" s="32"/>
      <c r="T423" s="48"/>
      <c r="U423" s="48"/>
      <c r="V423" s="48"/>
      <c r="W423" s="48"/>
      <c r="X423" s="48"/>
      <c r="Y423" s="48"/>
      <c r="Z423" s="48"/>
      <c r="AA423" s="48"/>
      <c r="AB423" s="48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</row>
    <row r="424" spans="2:54">
      <c r="B424" s="1243" t="s">
        <v>559</v>
      </c>
      <c r="C424" s="1244"/>
      <c r="D424" s="1244"/>
      <c r="E424" s="1244"/>
      <c r="F424" s="1244"/>
      <c r="G424" s="1245"/>
      <c r="H424" s="420">
        <v>2067</v>
      </c>
      <c r="I424" s="52"/>
      <c r="J424" s="53"/>
      <c r="K424" s="53"/>
      <c r="L424" s="54"/>
      <c r="M424" s="32"/>
      <c r="N424" s="201"/>
      <c r="O424" s="32"/>
      <c r="P424" s="32"/>
      <c r="Q424" s="32"/>
      <c r="R424" s="32"/>
      <c r="S424" s="32"/>
      <c r="T424" s="48"/>
      <c r="U424" s="48"/>
      <c r="V424" s="48"/>
      <c r="W424" s="48"/>
      <c r="X424" s="48"/>
      <c r="Y424" s="48"/>
      <c r="Z424" s="48"/>
      <c r="AA424" s="48"/>
      <c r="AB424" s="48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</row>
    <row r="425" spans="2:54">
      <c r="B425" s="1243" t="s">
        <v>560</v>
      </c>
      <c r="C425" s="1244"/>
      <c r="D425" s="1244"/>
      <c r="E425" s="1244"/>
      <c r="F425" s="1244"/>
      <c r="G425" s="1245"/>
      <c r="H425" s="420">
        <f>H424-1795.691</f>
        <v>271.30899999999997</v>
      </c>
      <c r="I425" s="314"/>
      <c r="J425" s="53"/>
      <c r="K425" s="53"/>
      <c r="L425" s="54"/>
      <c r="M425" s="32"/>
      <c r="N425" s="32"/>
      <c r="O425" s="32"/>
      <c r="P425" s="32"/>
      <c r="Q425" s="32"/>
      <c r="R425" s="32"/>
      <c r="S425" s="48"/>
      <c r="T425" s="48"/>
      <c r="U425" s="48"/>
      <c r="V425" s="48"/>
      <c r="W425" s="48"/>
      <c r="X425" s="48"/>
      <c r="Y425" s="48"/>
      <c r="Z425" s="48"/>
      <c r="AA425" s="48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</row>
    <row r="426" spans="2:54">
      <c r="B426" s="201"/>
      <c r="C426" s="201"/>
      <c r="D426" s="201"/>
      <c r="E426" s="201"/>
      <c r="F426" s="201"/>
      <c r="G426" s="201"/>
      <c r="H426" s="201"/>
      <c r="I426" s="213"/>
      <c r="J426" s="209"/>
      <c r="K426" s="209"/>
      <c r="L426" s="203"/>
      <c r="M426" s="201"/>
      <c r="N426" s="201"/>
      <c r="O426" s="209"/>
      <c r="P426" s="32"/>
      <c r="Q426" s="32"/>
      <c r="R426" s="32"/>
      <c r="S426" s="32"/>
      <c r="T426" s="48"/>
      <c r="U426" s="48"/>
      <c r="V426" s="48"/>
      <c r="W426" s="48"/>
      <c r="X426" s="48"/>
      <c r="Y426" s="48"/>
      <c r="Z426" s="48"/>
      <c r="AA426" s="48"/>
      <c r="AB426" s="48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</row>
    <row r="427" spans="2:54">
      <c r="B427" s="40" t="s">
        <v>561</v>
      </c>
      <c r="C427" s="40"/>
      <c r="D427" s="32"/>
      <c r="E427" s="32"/>
      <c r="F427" s="32"/>
      <c r="G427" s="32"/>
      <c r="H427" s="32"/>
      <c r="I427" s="32"/>
      <c r="J427" s="52"/>
      <c r="K427" s="52"/>
      <c r="L427" s="55"/>
      <c r="M427" s="32"/>
      <c r="N427" s="201"/>
      <c r="O427" s="5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  <c r="AA427" s="202"/>
      <c r="AB427" s="201"/>
      <c r="AC427" s="201"/>
      <c r="AD427" s="201"/>
      <c r="AE427" s="201"/>
      <c r="AF427" s="201"/>
      <c r="AG427" s="201"/>
      <c r="AH427" s="201"/>
      <c r="AI427" s="201"/>
      <c r="AJ427" s="201"/>
      <c r="AK427" s="201"/>
      <c r="AL427" s="201"/>
      <c r="AM427" s="201"/>
      <c r="AN427" s="201"/>
      <c r="AO427" s="201"/>
      <c r="AP427" s="201"/>
      <c r="AQ427" s="201"/>
      <c r="AR427" s="201"/>
      <c r="AS427" s="201"/>
      <c r="AT427" s="201"/>
      <c r="AU427" s="201"/>
      <c r="BB427" s="201"/>
    </row>
    <row r="428" spans="2:54">
      <c r="B428" s="422">
        <v>1</v>
      </c>
      <c r="C428" s="1249" t="s">
        <v>2033</v>
      </c>
      <c r="D428" s="1249"/>
      <c r="E428" s="1249"/>
      <c r="F428" s="1249"/>
      <c r="G428" s="1249"/>
      <c r="H428" s="1249"/>
      <c r="I428" s="1249"/>
      <c r="J428" s="1249"/>
      <c r="K428" s="1249"/>
      <c r="L428" s="203"/>
      <c r="M428" s="203"/>
      <c r="N428" s="201"/>
      <c r="O428" s="209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  <c r="AA428" s="202"/>
      <c r="AB428" s="201"/>
      <c r="AC428" s="201"/>
      <c r="AD428" s="201"/>
      <c r="AE428" s="201"/>
      <c r="AF428" s="201"/>
      <c r="AG428" s="201"/>
      <c r="AH428" s="201"/>
      <c r="AI428" s="201"/>
      <c r="AJ428" s="201"/>
      <c r="AK428" s="201"/>
      <c r="AL428" s="201"/>
      <c r="AM428" s="201"/>
      <c r="AN428" s="201"/>
      <c r="AO428" s="201"/>
      <c r="AP428" s="201"/>
      <c r="AQ428" s="201"/>
      <c r="AR428" s="201"/>
      <c r="AS428" s="201"/>
      <c r="AT428" s="201"/>
      <c r="AU428" s="201"/>
      <c r="AV428" s="201"/>
      <c r="AW428" s="201"/>
      <c r="AX428" s="201"/>
      <c r="AY428" s="201"/>
      <c r="AZ428" s="201"/>
      <c r="BA428" s="201"/>
      <c r="BB428" s="201"/>
    </row>
    <row r="430" spans="2:54">
      <c r="B430" s="28" t="s">
        <v>126</v>
      </c>
      <c r="C430" s="28"/>
      <c r="D430" s="29"/>
      <c r="E430" s="30" t="s">
        <v>511</v>
      </c>
      <c r="F430" s="31" t="s">
        <v>1922</v>
      </c>
      <c r="G430" s="32"/>
      <c r="H430" s="33"/>
      <c r="I430" s="34"/>
      <c r="J430" s="35" t="s">
        <v>513</v>
      </c>
      <c r="K430" s="36" t="s">
        <v>511</v>
      </c>
      <c r="L430" s="37">
        <v>45100.885416666664</v>
      </c>
      <c r="M430" s="32"/>
      <c r="N430" s="32"/>
      <c r="O430" s="206"/>
      <c r="P430" s="205"/>
      <c r="Q430" s="202"/>
      <c r="R430" s="204"/>
      <c r="S430" s="38"/>
      <c r="T430" s="201"/>
      <c r="U430" s="201"/>
      <c r="V430" s="201"/>
      <c r="W430" s="201"/>
      <c r="X430" s="201"/>
      <c r="Y430" s="201"/>
      <c r="Z430" s="201"/>
      <c r="AA430" s="201"/>
      <c r="AB430" s="202"/>
      <c r="AC430" s="202"/>
      <c r="AD430" s="202"/>
      <c r="AE430" s="202"/>
      <c r="AF430" s="202"/>
      <c r="AG430" s="201"/>
      <c r="AH430" s="201"/>
      <c r="AI430" s="201"/>
      <c r="AJ430" s="201"/>
      <c r="AK430" s="201"/>
      <c r="AL430" s="201"/>
      <c r="AM430" s="201"/>
      <c r="AN430" s="201"/>
      <c r="AO430" s="201"/>
      <c r="AP430" s="201"/>
      <c r="AQ430" s="201"/>
      <c r="AR430" s="201"/>
      <c r="AS430" s="201"/>
      <c r="AT430" s="201"/>
      <c r="AU430" s="201"/>
      <c r="AV430" s="201"/>
      <c r="AW430" s="201"/>
      <c r="AX430" s="201"/>
      <c r="AY430" s="201"/>
      <c r="AZ430" s="201"/>
      <c r="BA430" s="201"/>
      <c r="BB430" s="201"/>
    </row>
    <row r="431" spans="2:54">
      <c r="B431" s="35" t="s">
        <v>514</v>
      </c>
      <c r="C431" s="35"/>
      <c r="D431" s="32"/>
      <c r="E431" s="36" t="s">
        <v>511</v>
      </c>
      <c r="F431" s="311" t="s">
        <v>2029</v>
      </c>
      <c r="G431" s="32"/>
      <c r="H431" s="33"/>
      <c r="I431" s="34"/>
      <c r="J431" s="35" t="s">
        <v>516</v>
      </c>
      <c r="K431" s="36" t="s">
        <v>511</v>
      </c>
      <c r="L431" s="37">
        <v>45102.680555555555</v>
      </c>
      <c r="M431" s="32"/>
      <c r="N431" s="32"/>
      <c r="O431" s="206"/>
      <c r="P431" s="205"/>
      <c r="Q431" s="202"/>
      <c r="R431" s="204"/>
      <c r="S431" s="38"/>
      <c r="T431" s="201"/>
      <c r="U431" s="201"/>
      <c r="V431" s="201"/>
      <c r="W431" s="201"/>
      <c r="X431" s="201"/>
      <c r="Y431" s="201"/>
      <c r="Z431" s="201"/>
      <c r="AA431" s="201"/>
      <c r="AB431" s="202"/>
      <c r="AC431" s="202"/>
      <c r="AD431" s="202"/>
      <c r="AE431" s="202"/>
      <c r="AF431" s="202"/>
      <c r="AG431" s="201"/>
      <c r="AH431" s="201"/>
      <c r="AI431" s="201"/>
      <c r="AJ431" s="201"/>
      <c r="AK431" s="201"/>
      <c r="AL431" s="201"/>
      <c r="AM431" s="201"/>
      <c r="AN431" s="201"/>
      <c r="AO431" s="201"/>
      <c r="AP431" s="201"/>
      <c r="AQ431" s="201"/>
      <c r="AR431" s="201"/>
      <c r="AS431" s="201"/>
      <c r="AT431" s="201"/>
      <c r="AU431" s="201"/>
      <c r="AV431" s="201"/>
      <c r="AW431" s="201"/>
      <c r="AX431" s="201"/>
      <c r="AY431" s="201"/>
      <c r="AZ431" s="201"/>
      <c r="BA431" s="201"/>
      <c r="BB431" s="201"/>
    </row>
    <row r="432" spans="2:54">
      <c r="B432" s="35" t="s">
        <v>517</v>
      </c>
      <c r="C432" s="35"/>
      <c r="D432" s="32"/>
      <c r="E432" s="36" t="s">
        <v>511</v>
      </c>
      <c r="F432" s="37">
        <v>45098.695833333331</v>
      </c>
      <c r="G432" s="32"/>
      <c r="H432" s="33"/>
      <c r="I432" s="34"/>
      <c r="J432" s="35" t="s">
        <v>518</v>
      </c>
      <c r="K432" s="36" t="s">
        <v>511</v>
      </c>
      <c r="L432" s="50">
        <v>54000</v>
      </c>
      <c r="M432" s="40" t="s">
        <v>519</v>
      </c>
      <c r="N432" s="40"/>
      <c r="O432" s="206"/>
      <c r="P432" s="205"/>
      <c r="Q432" s="202"/>
      <c r="R432" s="204"/>
      <c r="S432" s="38"/>
      <c r="T432" s="201"/>
      <c r="U432" s="201"/>
      <c r="V432" s="201"/>
      <c r="W432" s="201"/>
      <c r="X432" s="201"/>
      <c r="Y432" s="201"/>
      <c r="Z432" s="201"/>
      <c r="AA432" s="201"/>
      <c r="AB432" s="202"/>
      <c r="AC432" s="202"/>
      <c r="AD432" s="202"/>
      <c r="AE432" s="202"/>
      <c r="AF432" s="202"/>
      <c r="AG432" s="201"/>
      <c r="AH432" s="201"/>
      <c r="AI432" s="201"/>
      <c r="AJ432" s="201"/>
      <c r="AK432" s="201"/>
      <c r="AL432" s="201"/>
      <c r="AM432" s="201"/>
      <c r="AN432" s="201"/>
      <c r="AO432" s="201"/>
      <c r="AP432" s="201"/>
      <c r="AQ432" s="201"/>
      <c r="AR432" s="201"/>
      <c r="AS432" s="201"/>
      <c r="AT432" s="201"/>
      <c r="AU432" s="201"/>
      <c r="AV432" s="201"/>
      <c r="AW432" s="201"/>
      <c r="AX432" s="201"/>
      <c r="AY432" s="201"/>
      <c r="AZ432" s="201"/>
      <c r="BA432" s="201"/>
      <c r="BB432" s="201"/>
    </row>
    <row r="433" spans="2:54">
      <c r="B433" s="35" t="s">
        <v>520</v>
      </c>
      <c r="C433" s="35"/>
      <c r="D433" s="32"/>
      <c r="E433" s="36" t="s">
        <v>511</v>
      </c>
      <c r="F433" s="37" t="s">
        <v>12</v>
      </c>
      <c r="G433" s="32"/>
      <c r="H433" s="33"/>
      <c r="I433" s="34"/>
      <c r="J433" s="35" t="s">
        <v>521</v>
      </c>
      <c r="K433" s="36" t="s">
        <v>511</v>
      </c>
      <c r="L433" s="41" t="s">
        <v>2034</v>
      </c>
      <c r="M433" s="32"/>
      <c r="N433" s="32"/>
      <c r="O433" s="206"/>
      <c r="P433" s="202"/>
      <c r="Q433" s="202"/>
      <c r="R433" s="204"/>
      <c r="S433" s="38"/>
      <c r="T433" s="201"/>
      <c r="U433" s="201"/>
      <c r="V433" s="201"/>
      <c r="W433" s="201"/>
      <c r="X433" s="201"/>
      <c r="Y433" s="201"/>
      <c r="Z433" s="201"/>
      <c r="AA433" s="201"/>
      <c r="AB433" s="202"/>
      <c r="AC433" s="202"/>
      <c r="AD433" s="202"/>
      <c r="AE433" s="202"/>
      <c r="AF433" s="202"/>
      <c r="AG433" s="201"/>
      <c r="AH433" s="201"/>
      <c r="AI433" s="201"/>
      <c r="AJ433" s="201"/>
      <c r="AK433" s="201"/>
      <c r="AL433" s="201"/>
      <c r="AM433" s="201"/>
      <c r="AN433" s="201"/>
      <c r="AO433" s="201"/>
      <c r="AP433" s="201"/>
      <c r="AQ433" s="201"/>
      <c r="AR433" s="201"/>
      <c r="AS433" s="201"/>
      <c r="AT433" s="201"/>
      <c r="AU433" s="201"/>
      <c r="AV433" s="201"/>
      <c r="AW433" s="201"/>
      <c r="AX433" s="201"/>
      <c r="AY433" s="201"/>
      <c r="AZ433" s="201"/>
      <c r="BA433" s="201"/>
      <c r="BB433" s="201"/>
    </row>
    <row r="434" spans="2:54">
      <c r="B434" s="35" t="s">
        <v>523</v>
      </c>
      <c r="C434" s="35"/>
      <c r="D434" s="32"/>
      <c r="E434" s="36" t="s">
        <v>511</v>
      </c>
      <c r="F434" s="37" t="s">
        <v>37</v>
      </c>
      <c r="G434" s="32"/>
      <c r="H434" s="33"/>
      <c r="I434" s="34"/>
      <c r="J434" s="42" t="s">
        <v>524</v>
      </c>
      <c r="K434" s="36" t="s">
        <v>511</v>
      </c>
      <c r="L434" s="43" t="s">
        <v>11</v>
      </c>
      <c r="M434" s="44"/>
      <c r="N434" s="44"/>
      <c r="O434" s="206"/>
      <c r="P434" s="205"/>
      <c r="Q434" s="202"/>
      <c r="R434" s="204"/>
      <c r="S434" s="38"/>
      <c r="T434" s="201"/>
      <c r="U434" s="201"/>
      <c r="V434" s="201"/>
      <c r="W434" s="201"/>
      <c r="X434" s="201"/>
      <c r="Y434" s="201"/>
      <c r="Z434" s="201"/>
      <c r="AA434" s="201"/>
      <c r="AB434" s="202"/>
      <c r="AC434" s="202"/>
      <c r="AD434" s="202"/>
      <c r="AE434" s="202"/>
      <c r="AF434" s="202"/>
      <c r="AG434" s="201"/>
      <c r="AH434" s="201"/>
      <c r="AI434" s="201"/>
      <c r="AJ434" s="201"/>
      <c r="AK434" s="201"/>
      <c r="AL434" s="201"/>
      <c r="AM434" s="201"/>
      <c r="AN434" s="201"/>
      <c r="AO434" s="201"/>
      <c r="AP434" s="201"/>
      <c r="AQ434" s="201"/>
      <c r="AR434" s="201"/>
      <c r="AS434" s="201"/>
      <c r="AT434" s="201"/>
      <c r="AU434" s="201"/>
      <c r="AV434" s="201"/>
      <c r="AW434" s="201"/>
      <c r="AX434" s="201"/>
      <c r="AY434" s="201"/>
      <c r="AZ434" s="201"/>
      <c r="BA434" s="201"/>
      <c r="BB434" s="201"/>
    </row>
    <row r="435" spans="2:54">
      <c r="B435" s="35" t="s">
        <v>2</v>
      </c>
      <c r="C435" s="35"/>
      <c r="D435" s="32"/>
      <c r="E435" s="36" t="s">
        <v>511</v>
      </c>
      <c r="F435" s="37" t="s">
        <v>14</v>
      </c>
      <c r="G435" s="32"/>
      <c r="H435" s="33"/>
      <c r="I435" s="45"/>
      <c r="J435" s="42"/>
      <c r="K435" s="36"/>
      <c r="L435" s="211"/>
      <c r="M435" s="201"/>
      <c r="N435" s="201"/>
      <c r="O435" s="42"/>
      <c r="P435" s="44"/>
      <c r="Q435" s="44"/>
      <c r="R435" s="44"/>
      <c r="S435" s="34"/>
      <c r="T435" s="201"/>
      <c r="U435" s="201"/>
      <c r="V435" s="201"/>
      <c r="W435" s="201"/>
      <c r="X435" s="201"/>
      <c r="Y435" s="201"/>
      <c r="Z435" s="201"/>
      <c r="AA435" s="201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201"/>
      <c r="AP435" s="201"/>
      <c r="AQ435" s="201"/>
      <c r="AR435" s="201"/>
      <c r="AS435" s="201"/>
      <c r="AT435" s="201"/>
      <c r="AU435" s="201"/>
      <c r="AV435" s="201"/>
      <c r="AW435" s="201"/>
      <c r="AX435" s="201"/>
      <c r="AY435" s="201"/>
      <c r="AZ435" s="201"/>
      <c r="BA435" s="201"/>
      <c r="BB435" s="201"/>
    </row>
    <row r="436" spans="2:54">
      <c r="B436" s="201"/>
      <c r="C436" s="201"/>
      <c r="D436" s="201"/>
      <c r="E436" s="201"/>
      <c r="F436" s="201"/>
      <c r="G436" s="201"/>
      <c r="H436" s="201"/>
      <c r="I436" s="45"/>
      <c r="J436" s="42"/>
      <c r="K436" s="42"/>
      <c r="L436" s="43"/>
      <c r="M436" s="44"/>
      <c r="N436" s="44"/>
      <c r="O436" s="42"/>
      <c r="P436" s="44"/>
      <c r="Q436" s="44"/>
      <c r="R436" s="44"/>
      <c r="S436" s="34"/>
      <c r="T436" s="1265" t="s">
        <v>87</v>
      </c>
      <c r="U436" s="1265"/>
      <c r="V436" s="1265"/>
      <c r="W436" s="1265"/>
      <c r="X436" s="1265"/>
      <c r="Y436" s="1265" t="s">
        <v>73</v>
      </c>
      <c r="Z436" s="1265"/>
      <c r="AA436" s="1265"/>
      <c r="AB436" s="1265" t="s">
        <v>74</v>
      </c>
      <c r="AC436" s="1265"/>
      <c r="AD436" s="423" t="s">
        <v>85</v>
      </c>
      <c r="AE436" s="423" t="s">
        <v>77</v>
      </c>
      <c r="AF436" s="1265" t="s">
        <v>525</v>
      </c>
      <c r="AG436" s="1265"/>
      <c r="AH436" s="1265"/>
      <c r="AI436" s="1265"/>
      <c r="AJ436" s="1265"/>
      <c r="AK436" s="1265"/>
      <c r="AL436" s="1265"/>
      <c r="AM436" s="1265"/>
      <c r="AN436" s="1265"/>
      <c r="AO436" s="1265"/>
      <c r="AP436" s="1265"/>
      <c r="AQ436" s="1265"/>
      <c r="AR436" s="1265"/>
      <c r="AS436" s="1265"/>
      <c r="AT436" s="1265"/>
      <c r="AU436" s="1265"/>
      <c r="AV436" s="1265"/>
      <c r="AW436" s="1265"/>
      <c r="AX436" s="1265"/>
      <c r="AY436" s="1265"/>
      <c r="AZ436" s="1265"/>
      <c r="BA436" s="1265"/>
      <c r="BB436" s="201"/>
    </row>
    <row r="437" spans="2:54">
      <c r="B437" s="1266" t="s">
        <v>526</v>
      </c>
      <c r="C437" s="1267"/>
      <c r="D437" s="570" t="s">
        <v>527</v>
      </c>
      <c r="E437" s="570"/>
      <c r="F437" s="570" t="s">
        <v>528</v>
      </c>
      <c r="G437" s="570" t="s">
        <v>529</v>
      </c>
      <c r="H437" s="570" t="s">
        <v>530</v>
      </c>
      <c r="I437" s="570" t="s">
        <v>531</v>
      </c>
      <c r="J437" s="570" t="s">
        <v>532</v>
      </c>
      <c r="K437" s="570"/>
      <c r="L437" s="570" t="s">
        <v>130</v>
      </c>
      <c r="M437" s="570" t="s">
        <v>533</v>
      </c>
      <c r="N437" s="408" t="str">
        <f>"On time - "&amp;COUNTIF(N438:N447,"On time")&amp;" from "&amp;ROWS(N438:N447)-COUNTIF(N438:N447," ")</f>
        <v>On time - 1 from 8</v>
      </c>
      <c r="O437" s="46"/>
      <c r="P437" s="409" t="s">
        <v>534</v>
      </c>
      <c r="Q437" s="409" t="s">
        <v>535</v>
      </c>
      <c r="R437" s="409" t="s">
        <v>536</v>
      </c>
      <c r="S437" s="32"/>
      <c r="T437" s="424" t="s">
        <v>537</v>
      </c>
      <c r="U437" s="424" t="s">
        <v>538</v>
      </c>
      <c r="V437" s="424" t="s">
        <v>539</v>
      </c>
      <c r="W437" s="424" t="s">
        <v>540</v>
      </c>
      <c r="X437" s="424" t="s">
        <v>541</v>
      </c>
      <c r="Y437" s="424" t="s">
        <v>167</v>
      </c>
      <c r="Z437" s="424" t="s">
        <v>168</v>
      </c>
      <c r="AA437" s="424" t="s">
        <v>169</v>
      </c>
      <c r="AB437" s="424" t="s">
        <v>235</v>
      </c>
      <c r="AC437" s="424" t="s">
        <v>240</v>
      </c>
      <c r="AD437" s="423" t="s">
        <v>85</v>
      </c>
      <c r="AE437" s="424" t="s">
        <v>139</v>
      </c>
      <c r="AF437" s="424" t="s">
        <v>72</v>
      </c>
      <c r="AG437" s="424" t="s">
        <v>88</v>
      </c>
      <c r="AH437" s="424" t="s">
        <v>75</v>
      </c>
      <c r="AI437" s="424" t="s">
        <v>543</v>
      </c>
      <c r="AJ437" s="424" t="s">
        <v>78</v>
      </c>
      <c r="AK437" s="424" t="s">
        <v>76</v>
      </c>
      <c r="AL437" s="424" t="s">
        <v>544</v>
      </c>
      <c r="AM437" s="424" t="s">
        <v>545</v>
      </c>
      <c r="AN437" s="424" t="s">
        <v>86</v>
      </c>
      <c r="AO437" s="424" t="s">
        <v>83</v>
      </c>
      <c r="AP437" s="424" t="s">
        <v>84</v>
      </c>
      <c r="AQ437" s="424" t="s">
        <v>546</v>
      </c>
      <c r="AR437" s="424" t="s">
        <v>81</v>
      </c>
      <c r="AS437" s="424" t="s">
        <v>80</v>
      </c>
      <c r="AT437" s="424" t="s">
        <v>82</v>
      </c>
      <c r="AU437" s="424" t="s">
        <v>181</v>
      </c>
      <c r="AV437" s="424" t="s">
        <v>183</v>
      </c>
      <c r="AW437" s="424" t="s">
        <v>547</v>
      </c>
      <c r="AX437" s="424" t="s">
        <v>182</v>
      </c>
      <c r="AY437" s="424" t="s">
        <v>172</v>
      </c>
      <c r="AZ437" s="424" t="s">
        <v>173</v>
      </c>
      <c r="BA437" s="424" t="s">
        <v>184</v>
      </c>
      <c r="BB437" s="201"/>
    </row>
    <row r="438" spans="2:54">
      <c r="B438" s="1256" t="s">
        <v>548</v>
      </c>
      <c r="C438" s="1257"/>
      <c r="D438" s="411" t="s">
        <v>1965</v>
      </c>
      <c r="E438" s="411"/>
      <c r="F438" s="411" t="s">
        <v>1392</v>
      </c>
      <c r="G438" s="411" t="s">
        <v>365</v>
      </c>
      <c r="H438" s="412">
        <v>2219.1640000000002</v>
      </c>
      <c r="I438" s="413" t="s">
        <v>1963</v>
      </c>
      <c r="J438" s="414">
        <v>45096.708333333336</v>
      </c>
      <c r="K438" s="414"/>
      <c r="L438" s="414" t="s">
        <v>192</v>
      </c>
      <c r="M438" s="414" t="s">
        <v>192</v>
      </c>
      <c r="N438" s="413" t="str">
        <f>IF(ISBLANK(J438)," ",IF(J438&lt;$F$432,"On time",(IF(DAY(J438-$F$432)&lt;1,"On time",(IF(J438&gt;$F$432,"DELAY ( "&amp;DAY(J438-$F$432)&amp;" day "&amp;HOUR(J438-$F$432)&amp;" hour "&amp;MINUTE(J438-$F$432)&amp;" minute )","xxx"))))))</f>
        <v>On time</v>
      </c>
      <c r="O438" s="51"/>
      <c r="P438" s="415" t="s">
        <v>551</v>
      </c>
      <c r="Q438" s="415" t="s">
        <v>551</v>
      </c>
      <c r="R438" s="415" t="s">
        <v>551</v>
      </c>
      <c r="S438" s="32"/>
      <c r="T438" s="416"/>
      <c r="U438" s="416"/>
      <c r="V438" s="416"/>
      <c r="W438" s="416"/>
      <c r="X438" s="416"/>
      <c r="Y438" s="416">
        <f>H438</f>
        <v>2219.1640000000002</v>
      </c>
      <c r="Z438" s="416"/>
      <c r="AA438" s="416"/>
      <c r="AB438" s="416"/>
      <c r="AC438" s="416"/>
      <c r="AD438" s="416"/>
      <c r="AE438" s="416"/>
      <c r="AF438" s="416"/>
      <c r="AG438" s="416"/>
      <c r="AH438" s="416"/>
      <c r="AI438" s="416"/>
      <c r="AJ438" s="416"/>
      <c r="AK438" s="416"/>
      <c r="AL438" s="416"/>
      <c r="AM438" s="416"/>
      <c r="AN438" s="416"/>
      <c r="AO438" s="416"/>
      <c r="AP438" s="416"/>
      <c r="AQ438" s="416"/>
      <c r="AR438" s="416"/>
      <c r="AS438" s="416"/>
      <c r="AT438" s="416"/>
      <c r="AU438" s="416"/>
      <c r="AV438" s="416"/>
      <c r="AW438" s="416"/>
      <c r="AX438" s="416"/>
      <c r="AY438" s="416"/>
      <c r="AZ438" s="416"/>
      <c r="BA438" s="416"/>
      <c r="BB438" s="32"/>
    </row>
    <row r="439" spans="2:54">
      <c r="B439" s="1250" t="s">
        <v>650</v>
      </c>
      <c r="C439" s="1251"/>
      <c r="D439" s="411" t="s">
        <v>1923</v>
      </c>
      <c r="E439" s="425"/>
      <c r="F439" s="411" t="s">
        <v>686</v>
      </c>
      <c r="G439" s="411" t="s">
        <v>1186</v>
      </c>
      <c r="H439" s="412">
        <f>7542.394/3</f>
        <v>2514.1313333333333</v>
      </c>
      <c r="I439" s="413" t="s">
        <v>172</v>
      </c>
      <c r="J439" s="414">
        <v>45100.416666666664</v>
      </c>
      <c r="K439" s="414"/>
      <c r="L439" s="414" t="s">
        <v>192</v>
      </c>
      <c r="M439" s="414" t="s">
        <v>192</v>
      </c>
      <c r="N439" s="413" t="str">
        <f>IF(ISBLANK(J439)," ",IF(J439&lt;$F$432,"On time",(IF(DAY(J439-$F$432)&lt;1,"On time",(IF(J439&gt;$F$432,"DELAY ( "&amp;DAY(J439-$F$432)&amp;" day "&amp;HOUR(J439-$F$432)&amp;" hour "&amp;MINUTE(J439-$F$432)&amp;" minute )","xxx"))))))</f>
        <v>DELAY ( 1 day 17 hour 18 minute )</v>
      </c>
      <c r="O439" s="51"/>
      <c r="P439" s="415" t="s">
        <v>551</v>
      </c>
      <c r="Q439" s="415" t="s">
        <v>551</v>
      </c>
      <c r="R439" s="415" t="s">
        <v>551</v>
      </c>
      <c r="S439" s="32"/>
      <c r="T439" s="416"/>
      <c r="U439" s="416"/>
      <c r="V439" s="416"/>
      <c r="W439" s="416"/>
      <c r="X439" s="416"/>
      <c r="Y439" s="416"/>
      <c r="Z439" s="416"/>
      <c r="AA439" s="416"/>
      <c r="AB439" s="416"/>
      <c r="AC439" s="416"/>
      <c r="AD439" s="416"/>
      <c r="AE439" s="416"/>
      <c r="AF439" s="416"/>
      <c r="AG439" s="416"/>
      <c r="AH439" s="416"/>
      <c r="AI439" s="416"/>
      <c r="AJ439" s="32"/>
      <c r="AK439" s="416"/>
      <c r="AL439" s="416"/>
      <c r="AM439" s="416"/>
      <c r="AN439" s="416"/>
      <c r="AO439" s="416"/>
      <c r="AP439" s="416"/>
      <c r="AQ439" s="416"/>
      <c r="AR439" s="416"/>
      <c r="AS439" s="416"/>
      <c r="AT439" s="416"/>
      <c r="AU439" s="416"/>
      <c r="AV439" s="416"/>
      <c r="AW439" s="416"/>
      <c r="AX439" s="416"/>
      <c r="AY439" s="286">
        <f>H439</f>
        <v>2514.1313333333333</v>
      </c>
      <c r="AZ439" s="416"/>
      <c r="BA439" s="416"/>
      <c r="BB439" s="32"/>
    </row>
    <row r="440" spans="2:54">
      <c r="B440" s="1254"/>
      <c r="C440" s="1255"/>
      <c r="D440" s="411" t="s">
        <v>1967</v>
      </c>
      <c r="E440" s="411"/>
      <c r="F440" s="411" t="s">
        <v>346</v>
      </c>
      <c r="G440" s="411" t="s">
        <v>347</v>
      </c>
      <c r="H440" s="412">
        <v>7722.1390000000001</v>
      </c>
      <c r="I440" s="413" t="s">
        <v>1968</v>
      </c>
      <c r="J440" s="414">
        <v>45100.625</v>
      </c>
      <c r="K440" s="414"/>
      <c r="L440" s="414" t="s">
        <v>192</v>
      </c>
      <c r="M440" s="414" t="s">
        <v>192</v>
      </c>
      <c r="N440" s="413" t="str">
        <f t="shared" ref="N440:N449" si="46">IF(ISBLANK(J440)," ",IF(J440&lt;$F$432,"On time",(IF(DAY(J440-$F$432)&lt;1,"On time",(IF(J440&gt;$F$432,"DELAY ( "&amp;DAY(J440-$F$432)&amp;" day "&amp;HOUR(J440-$F$432)&amp;" hour "&amp;MINUTE(J440-$F$432)&amp;" minute )","xxx"))))))</f>
        <v>DELAY ( 1 day 22 hour 18 minute )</v>
      </c>
      <c r="O440" s="51"/>
      <c r="P440" s="415" t="s">
        <v>551</v>
      </c>
      <c r="Q440" s="415" t="s">
        <v>551</v>
      </c>
      <c r="R440" s="415" t="s">
        <v>551</v>
      </c>
      <c r="S440" s="32"/>
      <c r="T440" s="416"/>
      <c r="U440" s="416"/>
      <c r="V440" s="416"/>
      <c r="W440" s="416"/>
      <c r="X440" s="416"/>
      <c r="Y440" s="416">
        <f>H440*0.55</f>
        <v>4247.1764500000008</v>
      </c>
      <c r="Z440" s="416">
        <f>H440*0.45</f>
        <v>3474.9625500000002</v>
      </c>
      <c r="AA440" s="416"/>
      <c r="AB440" s="416"/>
      <c r="AC440" s="416"/>
      <c r="AD440" s="416"/>
      <c r="AE440" s="416"/>
      <c r="AF440" s="416"/>
      <c r="AG440" s="416"/>
      <c r="AH440" s="416"/>
      <c r="AI440" s="416"/>
      <c r="AJ440" s="416"/>
      <c r="AK440" s="416"/>
      <c r="AL440" s="416"/>
      <c r="AM440" s="416"/>
      <c r="AN440" s="416"/>
      <c r="AO440" s="416"/>
      <c r="AP440" s="416"/>
      <c r="AQ440" s="416"/>
      <c r="AR440" s="416"/>
      <c r="AS440" s="416"/>
      <c r="AT440" s="32"/>
      <c r="AU440" s="416"/>
      <c r="AV440" s="416"/>
      <c r="AW440" s="416"/>
      <c r="AX440" s="416"/>
      <c r="AY440" s="416"/>
      <c r="AZ440" s="416"/>
      <c r="BA440" s="416"/>
      <c r="BB440" s="32"/>
    </row>
    <row r="441" spans="2:54">
      <c r="B441" s="1250" t="s">
        <v>650</v>
      </c>
      <c r="C441" s="1251"/>
      <c r="D441" s="411" t="s">
        <v>1923</v>
      </c>
      <c r="E441" s="425"/>
      <c r="F441" s="411" t="s">
        <v>686</v>
      </c>
      <c r="G441" s="411" t="s">
        <v>1186</v>
      </c>
      <c r="H441" s="412">
        <v>2514.1313333333333</v>
      </c>
      <c r="I441" s="413" t="s">
        <v>172</v>
      </c>
      <c r="J441" s="414"/>
      <c r="K441" s="414"/>
      <c r="L441" s="414" t="s">
        <v>192</v>
      </c>
      <c r="M441" s="414" t="s">
        <v>192</v>
      </c>
      <c r="N441" s="413" t="str">
        <f t="shared" si="46"/>
        <v xml:space="preserve"> </v>
      </c>
      <c r="O441" s="51"/>
      <c r="P441" s="415"/>
      <c r="Q441" s="415"/>
      <c r="R441" s="415"/>
      <c r="S441" s="32"/>
      <c r="T441" s="416"/>
      <c r="U441" s="416"/>
      <c r="V441" s="416"/>
      <c r="W441" s="416"/>
      <c r="X441" s="416"/>
      <c r="Y441" s="416"/>
      <c r="Z441" s="416"/>
      <c r="AA441" s="416"/>
      <c r="AB441" s="416"/>
      <c r="AC441" s="416"/>
      <c r="AD441" s="416"/>
      <c r="AE441" s="416"/>
      <c r="AF441" s="416"/>
      <c r="AG441" s="416"/>
      <c r="AH441" s="416"/>
      <c r="AI441" s="416"/>
      <c r="AJ441" s="32"/>
      <c r="AK441" s="416"/>
      <c r="AL441" s="416"/>
      <c r="AM441" s="416"/>
      <c r="AN441" s="416"/>
      <c r="AO441" s="416"/>
      <c r="AP441" s="416"/>
      <c r="AQ441" s="416"/>
      <c r="AR441" s="416"/>
      <c r="AS441" s="416"/>
      <c r="AT441" s="416"/>
      <c r="AU441" s="416"/>
      <c r="AV441" s="416"/>
      <c r="AW441" s="416"/>
      <c r="AX441" s="416"/>
      <c r="AY441" s="286">
        <f>H441</f>
        <v>2514.1313333333333</v>
      </c>
      <c r="AZ441" s="416"/>
      <c r="BA441" s="416"/>
      <c r="BB441" s="32"/>
    </row>
    <row r="442" spans="2:54">
      <c r="B442" s="1254"/>
      <c r="C442" s="1255"/>
      <c r="D442" s="411" t="s">
        <v>1970</v>
      </c>
      <c r="E442" s="411"/>
      <c r="F442" s="411" t="s">
        <v>288</v>
      </c>
      <c r="G442" s="411" t="s">
        <v>289</v>
      </c>
      <c r="H442" s="412">
        <v>7548.723</v>
      </c>
      <c r="I442" s="413" t="s">
        <v>1968</v>
      </c>
      <c r="J442" s="414">
        <v>45100.4375</v>
      </c>
      <c r="K442" s="414"/>
      <c r="L442" s="414" t="s">
        <v>192</v>
      </c>
      <c r="M442" s="414" t="s">
        <v>192</v>
      </c>
      <c r="N442" s="413" t="str">
        <f t="shared" si="46"/>
        <v>DELAY ( 1 day 17 hour 48 minute )</v>
      </c>
      <c r="O442" s="51"/>
      <c r="P442" s="415" t="s">
        <v>551</v>
      </c>
      <c r="Q442" s="415" t="s">
        <v>551</v>
      </c>
      <c r="R442" s="415" t="s">
        <v>551</v>
      </c>
      <c r="S442" s="32"/>
      <c r="T442" s="416"/>
      <c r="U442" s="416"/>
      <c r="V442" s="416"/>
      <c r="W442" s="416"/>
      <c r="X442" s="416"/>
      <c r="Y442" s="416">
        <f t="shared" ref="Y442:Y444" si="47">H442*0.55</f>
        <v>4151.7976500000004</v>
      </c>
      <c r="Z442" s="416">
        <f t="shared" ref="Z442:Z444" si="48">H442*0.45</f>
        <v>3396.92535</v>
      </c>
      <c r="AA442" s="416"/>
      <c r="AB442" s="32"/>
      <c r="AC442" s="416"/>
      <c r="AD442" s="416"/>
      <c r="AE442" s="416"/>
      <c r="AF442" s="416"/>
      <c r="AG442" s="416"/>
      <c r="AH442" s="416"/>
      <c r="AI442" s="416"/>
      <c r="AJ442" s="416"/>
      <c r="AK442" s="416"/>
      <c r="AL442" s="416"/>
      <c r="AM442" s="416"/>
      <c r="AN442" s="416"/>
      <c r="AO442" s="416"/>
      <c r="AP442" s="416"/>
      <c r="AQ442" s="416"/>
      <c r="AR442" s="416"/>
      <c r="AS442" s="416"/>
      <c r="AT442" s="416"/>
      <c r="AU442" s="416"/>
      <c r="AV442" s="416"/>
      <c r="AW442" s="416"/>
      <c r="AX442" s="416"/>
      <c r="AY442" s="416"/>
      <c r="AZ442" s="416"/>
      <c r="BA442" s="416"/>
      <c r="BB442" s="32"/>
    </row>
    <row r="443" spans="2:54">
      <c r="B443" s="1250" t="s">
        <v>650</v>
      </c>
      <c r="C443" s="1251"/>
      <c r="D443" s="411" t="s">
        <v>1923</v>
      </c>
      <c r="E443" s="425"/>
      <c r="F443" s="411" t="s">
        <v>686</v>
      </c>
      <c r="G443" s="411" t="s">
        <v>1186</v>
      </c>
      <c r="H443" s="412">
        <v>2514.1313333333333</v>
      </c>
      <c r="I443" s="413" t="s">
        <v>172</v>
      </c>
      <c r="J443" s="414"/>
      <c r="K443" s="414"/>
      <c r="L443" s="414" t="s">
        <v>192</v>
      </c>
      <c r="M443" s="414" t="s">
        <v>192</v>
      </c>
      <c r="N443" s="413" t="str">
        <f t="shared" si="46"/>
        <v xml:space="preserve"> </v>
      </c>
      <c r="O443" s="51"/>
      <c r="P443" s="415"/>
      <c r="Q443" s="415"/>
      <c r="R443" s="415"/>
      <c r="S443" s="32"/>
      <c r="T443" s="416"/>
      <c r="U443" s="416"/>
      <c r="V443" s="416"/>
      <c r="W443" s="416"/>
      <c r="X443" s="416"/>
      <c r="Y443" s="416"/>
      <c r="Z443" s="416"/>
      <c r="AA443" s="416"/>
      <c r="AB443" s="416"/>
      <c r="AC443" s="416"/>
      <c r="AD443" s="416"/>
      <c r="AE443" s="416"/>
      <c r="AF443" s="416"/>
      <c r="AG443" s="416"/>
      <c r="AH443" s="416"/>
      <c r="AI443" s="416"/>
      <c r="AJ443" s="32"/>
      <c r="AK443" s="416"/>
      <c r="AL443" s="416"/>
      <c r="AM443" s="416"/>
      <c r="AN443" s="416"/>
      <c r="AO443" s="416"/>
      <c r="AP443" s="416"/>
      <c r="AQ443" s="416"/>
      <c r="AR443" s="416"/>
      <c r="AS443" s="416"/>
      <c r="AT443" s="416"/>
      <c r="AU443" s="416"/>
      <c r="AV443" s="416"/>
      <c r="AW443" s="416"/>
      <c r="AX443" s="416"/>
      <c r="AY443" s="286">
        <f>H443</f>
        <v>2514.1313333333333</v>
      </c>
      <c r="AZ443" s="416"/>
      <c r="BA443" s="416"/>
      <c r="BB443" s="32"/>
    </row>
    <row r="444" spans="2:54">
      <c r="B444" s="1254"/>
      <c r="C444" s="1255"/>
      <c r="D444" s="411" t="s">
        <v>1971</v>
      </c>
      <c r="E444" s="411"/>
      <c r="F444" s="411" t="s">
        <v>1972</v>
      </c>
      <c r="G444" s="411" t="s">
        <v>1973</v>
      </c>
      <c r="H444" s="412">
        <v>7535.9459999999999</v>
      </c>
      <c r="I444" s="413" t="s">
        <v>1968</v>
      </c>
      <c r="J444" s="414">
        <v>45100.590277777781</v>
      </c>
      <c r="K444" s="414"/>
      <c r="L444" s="414" t="s">
        <v>192</v>
      </c>
      <c r="M444" s="414" t="s">
        <v>192</v>
      </c>
      <c r="N444" s="413" t="str">
        <f t="shared" si="46"/>
        <v>DELAY ( 1 day 21 hour 28 minute )</v>
      </c>
      <c r="O444" s="51"/>
      <c r="P444" s="415" t="s">
        <v>551</v>
      </c>
      <c r="Q444" s="415" t="s">
        <v>551</v>
      </c>
      <c r="R444" s="415" t="s">
        <v>551</v>
      </c>
      <c r="S444" s="32"/>
      <c r="T444" s="416"/>
      <c r="U444" s="416"/>
      <c r="V444" s="416"/>
      <c r="W444" s="416"/>
      <c r="X444" s="416"/>
      <c r="Y444" s="416">
        <f t="shared" si="47"/>
        <v>4144.7703000000001</v>
      </c>
      <c r="Z444" s="416">
        <f t="shared" si="48"/>
        <v>3391.1757000000002</v>
      </c>
      <c r="AA444" s="416"/>
      <c r="AB444" s="416"/>
      <c r="AC444" s="416"/>
      <c r="AD444" s="416"/>
      <c r="AE444" s="416"/>
      <c r="AF444" s="416"/>
      <c r="AG444" s="416"/>
      <c r="AH444" s="416"/>
      <c r="AI444" s="416"/>
      <c r="AJ444" s="416"/>
      <c r="AK444" s="416"/>
      <c r="AL444" s="416"/>
      <c r="AM444" s="416"/>
      <c r="AN444" s="416"/>
      <c r="AO444" s="416"/>
      <c r="AP444" s="416"/>
      <c r="AQ444" s="416"/>
      <c r="AR444" s="416"/>
      <c r="AS444" s="416"/>
      <c r="AT444" s="416"/>
      <c r="AU444" s="416"/>
      <c r="AV444" s="416"/>
      <c r="AW444" s="416"/>
      <c r="AX444" s="416"/>
      <c r="AY444" s="416"/>
      <c r="AZ444" s="416"/>
      <c r="BA444" s="416"/>
      <c r="BB444" s="32"/>
    </row>
    <row r="445" spans="2:54">
      <c r="B445" s="1256" t="s">
        <v>548</v>
      </c>
      <c r="C445" s="1257"/>
      <c r="D445" s="411" t="s">
        <v>1975</v>
      </c>
      <c r="E445" s="411"/>
      <c r="F445" s="411" t="s">
        <v>277</v>
      </c>
      <c r="G445" s="411" t="s">
        <v>278</v>
      </c>
      <c r="H445" s="412">
        <v>7509.1109999999999</v>
      </c>
      <c r="I445" s="413" t="s">
        <v>494</v>
      </c>
      <c r="J445" s="414">
        <v>45100.583333333336</v>
      </c>
      <c r="K445" s="414"/>
      <c r="L445" s="414" t="s">
        <v>192</v>
      </c>
      <c r="M445" s="414" t="s">
        <v>192</v>
      </c>
      <c r="N445" s="413" t="str">
        <f t="shared" si="46"/>
        <v>DELAY ( 1 day 21 hour 18 minute )</v>
      </c>
      <c r="O445" s="51"/>
      <c r="P445" s="415" t="s">
        <v>551</v>
      </c>
      <c r="Q445" s="415" t="s">
        <v>551</v>
      </c>
      <c r="R445" s="415" t="s">
        <v>551</v>
      </c>
      <c r="S445" s="32"/>
      <c r="T445" s="416"/>
      <c r="U445" s="416"/>
      <c r="V445" s="416"/>
      <c r="W445" s="416"/>
      <c r="X445" s="416"/>
      <c r="Y445" s="416">
        <f>H445</f>
        <v>7509.1109999999999</v>
      </c>
      <c r="Z445" s="416"/>
      <c r="AA445" s="416"/>
      <c r="AB445" s="416"/>
      <c r="AC445" s="416"/>
      <c r="AD445" s="416"/>
      <c r="AE445" s="416"/>
      <c r="AF445" s="416"/>
      <c r="AG445" s="416"/>
      <c r="AH445" s="416"/>
      <c r="AI445" s="416"/>
      <c r="AJ445" s="416"/>
      <c r="AK445" s="416"/>
      <c r="AL445" s="416"/>
      <c r="AM445" s="416"/>
      <c r="AN445" s="416"/>
      <c r="AO445" s="416"/>
      <c r="AP445" s="416"/>
      <c r="AQ445" s="416"/>
      <c r="AR445" s="416"/>
      <c r="AS445" s="416"/>
      <c r="AT445" s="416"/>
      <c r="AU445" s="416"/>
      <c r="AV445" s="416"/>
      <c r="AW445" s="416"/>
      <c r="AX445" s="416"/>
      <c r="AY445" s="416"/>
      <c r="AZ445" s="416"/>
      <c r="BA445" s="416"/>
      <c r="BB445" s="32"/>
    </row>
    <row r="446" spans="2:54">
      <c r="B446" s="1256" t="s">
        <v>548</v>
      </c>
      <c r="C446" s="1257"/>
      <c r="D446" s="411" t="s">
        <v>1976</v>
      </c>
      <c r="E446" s="411"/>
      <c r="F446" s="411" t="s">
        <v>374</v>
      </c>
      <c r="G446" s="411" t="s">
        <v>275</v>
      </c>
      <c r="H446" s="412">
        <v>7547.2640000000001</v>
      </c>
      <c r="I446" s="413" t="s">
        <v>494</v>
      </c>
      <c r="J446" s="414">
        <v>45101.381944444445</v>
      </c>
      <c r="K446" s="414"/>
      <c r="L446" s="414" t="s">
        <v>192</v>
      </c>
      <c r="M446" s="414" t="s">
        <v>192</v>
      </c>
      <c r="N446" s="413" t="str">
        <f t="shared" si="46"/>
        <v>DELAY ( 2 day 16 hour 28 minute )</v>
      </c>
      <c r="O446" s="51"/>
      <c r="P446" s="415" t="s">
        <v>551</v>
      </c>
      <c r="Q446" s="415" t="s">
        <v>551</v>
      </c>
      <c r="R446" s="415" t="s">
        <v>551</v>
      </c>
      <c r="S446" s="32"/>
      <c r="T446" s="416"/>
      <c r="U446" s="416"/>
      <c r="V446" s="416"/>
      <c r="W446" s="416"/>
      <c r="X446" s="416"/>
      <c r="Y446" s="416">
        <f t="shared" ref="Y446" si="49">H446</f>
        <v>7547.2640000000001</v>
      </c>
      <c r="Z446" s="416"/>
      <c r="AA446" s="416"/>
      <c r="AB446" s="416"/>
      <c r="AC446" s="416"/>
      <c r="AD446" s="416"/>
      <c r="AE446" s="416"/>
      <c r="AF446" s="416"/>
      <c r="AG446" s="416"/>
      <c r="AH446" s="416"/>
      <c r="AI446" s="416"/>
      <c r="AJ446" s="416"/>
      <c r="AK446" s="416"/>
      <c r="AL446" s="416"/>
      <c r="AM446" s="416"/>
      <c r="AN446" s="416"/>
      <c r="AO446" s="416"/>
      <c r="AP446" s="416"/>
      <c r="AQ446" s="416"/>
      <c r="AR446" s="416"/>
      <c r="AS446" s="416"/>
      <c r="AT446" s="416"/>
      <c r="AU446" s="416"/>
      <c r="AV446" s="416"/>
      <c r="AW446" s="416"/>
      <c r="AX446" s="416"/>
      <c r="AY446" s="416"/>
      <c r="AZ446" s="416"/>
      <c r="BA446" s="416"/>
      <c r="BB446" s="32"/>
    </row>
    <row r="447" spans="2:54">
      <c r="B447" s="1256" t="s">
        <v>548</v>
      </c>
      <c r="C447" s="1257"/>
      <c r="D447" s="411" t="s">
        <v>1977</v>
      </c>
      <c r="E447" s="411"/>
      <c r="F447" s="411" t="s">
        <v>249</v>
      </c>
      <c r="G447" s="411" t="s">
        <v>250</v>
      </c>
      <c r="H447" s="412">
        <f>7620.305-1245.046</f>
        <v>6375.259</v>
      </c>
      <c r="I447" s="413" t="s">
        <v>494</v>
      </c>
      <c r="J447" s="414">
        <v>45101.458333333336</v>
      </c>
      <c r="K447" s="414"/>
      <c r="L447" s="414" t="s">
        <v>192</v>
      </c>
      <c r="M447" s="414" t="s">
        <v>192</v>
      </c>
      <c r="N447" s="413" t="str">
        <f t="shared" si="46"/>
        <v>DELAY ( 2 day 18 hour 18 minute )</v>
      </c>
      <c r="O447" s="51"/>
      <c r="P447" s="415" t="s">
        <v>551</v>
      </c>
      <c r="Q447" s="415" t="s">
        <v>551</v>
      </c>
      <c r="R447" s="415" t="s">
        <v>551</v>
      </c>
      <c r="S447" s="32"/>
      <c r="T447" s="416"/>
      <c r="U447" s="416"/>
      <c r="V447" s="416"/>
      <c r="W447" s="416"/>
      <c r="X447" s="416"/>
      <c r="Y447" s="416">
        <f>H447</f>
        <v>6375.259</v>
      </c>
      <c r="Z447" s="416"/>
      <c r="AA447" s="416"/>
      <c r="AB447" s="416"/>
      <c r="AC447" s="416"/>
      <c r="AD447" s="416"/>
      <c r="AE447" s="416"/>
      <c r="AF447" s="416"/>
      <c r="AG447" s="416"/>
      <c r="AH447" s="416"/>
      <c r="AI447" s="416"/>
      <c r="AJ447" s="416"/>
      <c r="AK447" s="416"/>
      <c r="AL447" s="416"/>
      <c r="AM447" s="416"/>
      <c r="AN447" s="416"/>
      <c r="AO447" s="416"/>
      <c r="AP447" s="416"/>
      <c r="AQ447" s="416"/>
      <c r="AR447" s="416"/>
      <c r="AS447" s="416"/>
      <c r="AT447" s="416"/>
      <c r="AU447" s="416"/>
      <c r="AV447" s="416"/>
      <c r="AW447" s="416"/>
      <c r="AX447" s="416"/>
      <c r="AY447" s="416"/>
      <c r="AZ447" s="416"/>
      <c r="BA447" s="416"/>
      <c r="BB447" s="32"/>
    </row>
    <row r="448" spans="2:54">
      <c r="B448" s="1258" t="s">
        <v>556</v>
      </c>
      <c r="C448" s="1259"/>
      <c r="D448" s="1259"/>
      <c r="E448" s="1259"/>
      <c r="F448" s="1259"/>
      <c r="G448" s="1260"/>
      <c r="H448" s="417">
        <f>SUM(H438:H447)</f>
        <v>54000</v>
      </c>
      <c r="I448" s="388"/>
      <c r="J448" s="293"/>
      <c r="K448" s="293"/>
      <c r="L448" s="293"/>
      <c r="M448" s="389"/>
      <c r="N448" s="413" t="str">
        <f t="shared" si="46"/>
        <v xml:space="preserve"> </v>
      </c>
      <c r="O448" s="212"/>
      <c r="P448" s="418"/>
      <c r="Q448" s="418"/>
      <c r="R448" s="418"/>
      <c r="S448" s="207"/>
      <c r="T448" s="1262"/>
      <c r="U448" s="1263"/>
      <c r="V448" s="1263"/>
      <c r="W448" s="1263"/>
      <c r="X448" s="1263"/>
      <c r="Y448" s="1263"/>
      <c r="Z448" s="1263"/>
      <c r="AA448" s="1263"/>
      <c r="AB448" s="1263"/>
      <c r="AC448" s="1263"/>
      <c r="AD448" s="1263"/>
      <c r="AE448" s="1263"/>
      <c r="AF448" s="1263"/>
      <c r="AG448" s="1263"/>
      <c r="AH448" s="1263"/>
      <c r="AI448" s="1263"/>
      <c r="AJ448" s="1263"/>
      <c r="AK448" s="1263"/>
      <c r="AL448" s="1263"/>
      <c r="AM448" s="1263"/>
      <c r="AN448" s="1263"/>
      <c r="AO448" s="1263"/>
      <c r="AP448" s="1263"/>
      <c r="AQ448" s="1263"/>
      <c r="AR448" s="1263"/>
      <c r="AS448" s="1263"/>
      <c r="AT448" s="1263"/>
      <c r="AU448" s="1263"/>
      <c r="AV448" s="1263"/>
      <c r="AW448" s="1263"/>
      <c r="AX448" s="1263"/>
      <c r="AY448" s="1263"/>
      <c r="AZ448" s="1263"/>
      <c r="BA448" s="1263"/>
    </row>
    <row r="449" spans="2:54">
      <c r="B449" s="1243" t="s">
        <v>557</v>
      </c>
      <c r="C449" s="1244"/>
      <c r="D449" s="1244"/>
      <c r="E449" s="1244"/>
      <c r="F449" s="1244"/>
      <c r="G449" s="1245"/>
      <c r="H449" s="419">
        <v>54000</v>
      </c>
      <c r="I449" s="1273"/>
      <c r="J449" s="1274"/>
      <c r="K449" s="1274"/>
      <c r="L449" s="1274"/>
      <c r="M449" s="1275"/>
      <c r="N449" s="413" t="str">
        <f t="shared" si="46"/>
        <v xml:space="preserve"> </v>
      </c>
      <c r="O449" s="32"/>
      <c r="P449" s="415"/>
      <c r="Q449" s="415"/>
      <c r="R449" s="415"/>
      <c r="S449" s="63"/>
      <c r="T449" s="416">
        <f t="shared" ref="T449:BA449" si="50">SUM(T438:T447)</f>
        <v>0</v>
      </c>
      <c r="U449" s="416">
        <f t="shared" si="50"/>
        <v>0</v>
      </c>
      <c r="V449" s="416">
        <f t="shared" si="50"/>
        <v>0</v>
      </c>
      <c r="W449" s="416">
        <f t="shared" si="50"/>
        <v>0</v>
      </c>
      <c r="X449" s="416">
        <f t="shared" si="50"/>
        <v>0</v>
      </c>
      <c r="Y449" s="416">
        <f t="shared" si="50"/>
        <v>36194.542399999998</v>
      </c>
      <c r="Z449" s="416">
        <f t="shared" si="50"/>
        <v>10263.063599999999</v>
      </c>
      <c r="AA449" s="416">
        <f t="shared" si="50"/>
        <v>0</v>
      </c>
      <c r="AB449" s="416">
        <f t="shared" si="50"/>
        <v>0</v>
      </c>
      <c r="AC449" s="416">
        <f t="shared" si="50"/>
        <v>0</v>
      </c>
      <c r="AD449" s="416">
        <f t="shared" si="50"/>
        <v>0</v>
      </c>
      <c r="AE449" s="416">
        <f t="shared" si="50"/>
        <v>0</v>
      </c>
      <c r="AF449" s="416">
        <f t="shared" si="50"/>
        <v>0</v>
      </c>
      <c r="AG449" s="416">
        <f t="shared" si="50"/>
        <v>0</v>
      </c>
      <c r="AH449" s="416">
        <f t="shared" si="50"/>
        <v>0</v>
      </c>
      <c r="AI449" s="416">
        <f t="shared" si="50"/>
        <v>0</v>
      </c>
      <c r="AJ449" s="416">
        <f t="shared" si="50"/>
        <v>0</v>
      </c>
      <c r="AK449" s="416">
        <f t="shared" si="50"/>
        <v>0</v>
      </c>
      <c r="AL449" s="416">
        <f t="shared" si="50"/>
        <v>0</v>
      </c>
      <c r="AM449" s="416">
        <f t="shared" si="50"/>
        <v>0</v>
      </c>
      <c r="AN449" s="416">
        <f t="shared" si="50"/>
        <v>0</v>
      </c>
      <c r="AO449" s="416">
        <f t="shared" si="50"/>
        <v>0</v>
      </c>
      <c r="AP449" s="416">
        <f t="shared" si="50"/>
        <v>0</v>
      </c>
      <c r="AQ449" s="416">
        <f t="shared" si="50"/>
        <v>0</v>
      </c>
      <c r="AR449" s="416">
        <f t="shared" si="50"/>
        <v>0</v>
      </c>
      <c r="AS449" s="416">
        <f t="shared" si="50"/>
        <v>0</v>
      </c>
      <c r="AT449" s="416">
        <f t="shared" si="50"/>
        <v>0</v>
      </c>
      <c r="AU449" s="416">
        <f t="shared" si="50"/>
        <v>0</v>
      </c>
      <c r="AV449" s="416">
        <f t="shared" si="50"/>
        <v>0</v>
      </c>
      <c r="AW449" s="416">
        <f t="shared" si="50"/>
        <v>0</v>
      </c>
      <c r="AX449" s="416">
        <f t="shared" si="50"/>
        <v>0</v>
      </c>
      <c r="AY449" s="416">
        <f t="shared" si="50"/>
        <v>7542.3940000000002</v>
      </c>
      <c r="AZ449" s="416">
        <f t="shared" si="50"/>
        <v>0</v>
      </c>
      <c r="BA449" s="416">
        <f t="shared" si="50"/>
        <v>0</v>
      </c>
      <c r="BB449" s="416">
        <f>SUM(T449:BA449)</f>
        <v>54000</v>
      </c>
    </row>
    <row r="450" spans="2:54">
      <c r="B450" s="1243" t="s">
        <v>558</v>
      </c>
      <c r="C450" s="1244"/>
      <c r="D450" s="1244"/>
      <c r="E450" s="1244"/>
      <c r="F450" s="1244"/>
      <c r="G450" s="1245"/>
      <c r="H450" s="420">
        <f>H449-L432</f>
        <v>0</v>
      </c>
      <c r="I450" s="294"/>
      <c r="J450" s="295"/>
      <c r="K450" s="295"/>
      <c r="L450" s="296"/>
      <c r="M450" s="32"/>
      <c r="N450" s="32"/>
      <c r="O450" s="32"/>
      <c r="P450" s="32"/>
      <c r="Q450" s="297"/>
      <c r="R450" s="297"/>
      <c r="S450" s="32"/>
      <c r="T450" s="48"/>
      <c r="U450" s="48"/>
      <c r="V450" s="48"/>
      <c r="W450" s="48"/>
      <c r="X450" s="48"/>
      <c r="Y450" s="48"/>
      <c r="Z450" s="48"/>
      <c r="AA450" s="48"/>
      <c r="AB450" s="48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</row>
    <row r="451" spans="2:54">
      <c r="B451" s="1243" t="s">
        <v>559</v>
      </c>
      <c r="C451" s="1244"/>
      <c r="D451" s="1244"/>
      <c r="E451" s="1244"/>
      <c r="F451" s="1244"/>
      <c r="G451" s="1245"/>
      <c r="H451" s="445">
        <v>431.63900000000001</v>
      </c>
      <c r="I451" s="52"/>
      <c r="J451" s="53"/>
      <c r="K451" s="53"/>
      <c r="L451" s="54"/>
      <c r="M451" s="32"/>
      <c r="N451" s="201"/>
      <c r="O451" s="32"/>
      <c r="P451" s="32"/>
      <c r="Q451" s="32"/>
      <c r="R451" s="32"/>
      <c r="S451" s="32"/>
      <c r="T451" s="48"/>
      <c r="U451" s="48"/>
      <c r="V451" s="48"/>
      <c r="W451" s="48"/>
      <c r="X451" s="48"/>
      <c r="Y451" s="48"/>
      <c r="Z451" s="48"/>
      <c r="AA451" s="48"/>
      <c r="AB451" s="48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</row>
    <row r="452" spans="2:54">
      <c r="B452" s="1243" t="s">
        <v>560</v>
      </c>
      <c r="C452" s="1244"/>
      <c r="D452" s="1244"/>
      <c r="E452" s="1244"/>
      <c r="F452" s="1244"/>
      <c r="G452" s="1245"/>
      <c r="H452" s="421">
        <f>H451-1245.046</f>
        <v>-813.40700000000004</v>
      </c>
      <c r="I452" s="52"/>
      <c r="J452" s="53"/>
      <c r="K452" s="53"/>
      <c r="L452" s="54"/>
      <c r="M452" s="32"/>
      <c r="N452" s="32"/>
      <c r="O452" s="32"/>
      <c r="P452" s="32"/>
      <c r="Q452" s="32"/>
      <c r="R452" s="32"/>
      <c r="S452" s="48"/>
      <c r="T452" s="48"/>
      <c r="U452" s="48"/>
      <c r="V452" s="48"/>
      <c r="W452" s="48"/>
      <c r="X452" s="48"/>
      <c r="Y452" s="48"/>
      <c r="Z452" s="48"/>
      <c r="AA452" s="48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 spans="2:54">
      <c r="B453" s="201"/>
      <c r="C453" s="201"/>
      <c r="D453" s="201"/>
      <c r="E453" s="201"/>
      <c r="F453" s="201"/>
      <c r="G453" s="201"/>
      <c r="H453" s="201"/>
      <c r="I453" s="213"/>
      <c r="J453" s="209"/>
      <c r="K453" s="209"/>
      <c r="L453" s="203"/>
      <c r="M453" s="201"/>
      <c r="N453" s="201"/>
      <c r="O453" s="209"/>
      <c r="P453" s="32"/>
      <c r="Q453" s="32"/>
      <c r="R453" s="32"/>
      <c r="S453" s="32"/>
      <c r="T453" s="48"/>
      <c r="U453" s="48"/>
      <c r="V453" s="48"/>
      <c r="W453" s="48"/>
      <c r="X453" s="48"/>
      <c r="Y453" s="48"/>
      <c r="Z453" s="48"/>
      <c r="AA453" s="48"/>
      <c r="AB453" s="48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</row>
    <row r="454" spans="2:54">
      <c r="B454" s="40" t="s">
        <v>561</v>
      </c>
      <c r="C454" s="40"/>
      <c r="D454" s="32"/>
      <c r="E454" s="32"/>
      <c r="F454" s="32"/>
      <c r="G454" s="32"/>
      <c r="H454" s="32"/>
      <c r="I454" s="32"/>
      <c r="J454" s="52"/>
      <c r="K454" s="52"/>
      <c r="L454" s="55"/>
      <c r="M454" s="32"/>
      <c r="N454" s="201"/>
      <c r="O454" s="5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  <c r="AA454" s="202"/>
      <c r="AB454" s="201"/>
      <c r="AC454" s="201"/>
      <c r="AD454" s="201"/>
      <c r="AE454" s="201"/>
      <c r="AF454" s="201"/>
      <c r="AG454" s="201"/>
      <c r="AH454" s="201"/>
      <c r="AI454" s="201"/>
      <c r="AJ454" s="201"/>
      <c r="AK454" s="201"/>
      <c r="AL454" s="201"/>
      <c r="AM454" s="201"/>
      <c r="AN454" s="201"/>
      <c r="AO454" s="201"/>
      <c r="AP454" s="201"/>
      <c r="AQ454" s="201"/>
      <c r="AR454" s="201"/>
      <c r="AS454" s="201"/>
      <c r="AT454" s="201"/>
      <c r="AU454" s="201"/>
      <c r="BB454" s="201"/>
    </row>
    <row r="455" spans="2:54">
      <c r="B455" s="422">
        <v>1</v>
      </c>
      <c r="C455" s="1249" t="s">
        <v>2035</v>
      </c>
      <c r="D455" s="1249"/>
      <c r="E455" s="1249"/>
      <c r="F455" s="1249"/>
      <c r="G455" s="1249"/>
      <c r="H455" s="1249"/>
      <c r="I455" s="1249"/>
      <c r="J455" s="1249"/>
      <c r="K455" s="1249"/>
      <c r="L455" s="203"/>
      <c r="M455" s="203"/>
      <c r="N455" s="201"/>
      <c r="O455" s="209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  <c r="AA455" s="202"/>
      <c r="AB455" s="201"/>
      <c r="AC455" s="201"/>
      <c r="AD455" s="201"/>
      <c r="AE455" s="201"/>
      <c r="AF455" s="201"/>
      <c r="AG455" s="201"/>
      <c r="AH455" s="201"/>
      <c r="AI455" s="201"/>
      <c r="AJ455" s="201"/>
      <c r="AK455" s="201"/>
      <c r="AL455" s="201"/>
      <c r="AM455" s="201"/>
      <c r="AN455" s="201"/>
      <c r="AO455" s="201"/>
      <c r="AP455" s="201"/>
      <c r="AQ455" s="201"/>
      <c r="AR455" s="201"/>
      <c r="AS455" s="201"/>
      <c r="AT455" s="201"/>
      <c r="AU455" s="201"/>
      <c r="AV455" s="201"/>
      <c r="AW455" s="201"/>
      <c r="AX455" s="201"/>
      <c r="AY455" s="201"/>
      <c r="AZ455" s="201"/>
      <c r="BA455" s="201"/>
      <c r="BB455" s="201"/>
    </row>
    <row r="457" spans="2:54">
      <c r="B457" s="28" t="s">
        <v>126</v>
      </c>
      <c r="C457" s="28"/>
      <c r="D457" s="29"/>
      <c r="E457" s="30" t="s">
        <v>511</v>
      </c>
      <c r="F457" s="31" t="s">
        <v>1207</v>
      </c>
      <c r="G457" s="32"/>
      <c r="H457" s="33"/>
      <c r="I457" s="34"/>
      <c r="J457" s="35" t="s">
        <v>513</v>
      </c>
      <c r="K457" s="36" t="s">
        <v>511</v>
      </c>
      <c r="L457" s="37">
        <v>45104.284722222219</v>
      </c>
      <c r="M457" s="32"/>
      <c r="N457" s="32"/>
      <c r="O457" s="206"/>
      <c r="P457" s="205"/>
      <c r="Q457" s="202"/>
      <c r="R457" s="204"/>
      <c r="S457" s="38"/>
      <c r="T457" s="201"/>
      <c r="U457" s="201"/>
      <c r="V457" s="201"/>
      <c r="W457" s="201"/>
      <c r="X457" s="201"/>
      <c r="Y457" s="201"/>
      <c r="Z457" s="201"/>
      <c r="AA457" s="201"/>
      <c r="AB457" s="202"/>
      <c r="AC457" s="202"/>
      <c r="AD457" s="202"/>
      <c r="AE457" s="202"/>
      <c r="AF457" s="202"/>
      <c r="AG457" s="201"/>
      <c r="AH457" s="201"/>
      <c r="AI457" s="201"/>
      <c r="AJ457" s="201"/>
      <c r="AK457" s="201"/>
      <c r="AL457" s="201"/>
      <c r="AM457" s="201"/>
      <c r="AN457" s="201"/>
      <c r="AO457" s="201"/>
      <c r="AP457" s="201"/>
      <c r="AQ457" s="201"/>
      <c r="AR457" s="201"/>
      <c r="AS457" s="201"/>
      <c r="AT457" s="201"/>
      <c r="AU457" s="201"/>
      <c r="AV457" s="201"/>
      <c r="AW457" s="201"/>
      <c r="AX457" s="201"/>
      <c r="AY457" s="201"/>
      <c r="AZ457" s="201"/>
      <c r="BA457" s="201"/>
      <c r="BB457" s="201"/>
    </row>
    <row r="458" spans="2:54">
      <c r="B458" s="35" t="s">
        <v>514</v>
      </c>
      <c r="C458" s="35"/>
      <c r="D458" s="32"/>
      <c r="E458" s="36" t="s">
        <v>511</v>
      </c>
      <c r="F458" s="311" t="s">
        <v>2036</v>
      </c>
      <c r="G458" s="59" t="s">
        <v>647</v>
      </c>
      <c r="H458" s="33"/>
      <c r="I458" s="34"/>
      <c r="J458" s="35" t="s">
        <v>516</v>
      </c>
      <c r="K458" s="36" t="s">
        <v>511</v>
      </c>
      <c r="L458" s="37">
        <v>45106.447916666664</v>
      </c>
      <c r="M458" s="32"/>
      <c r="N458" s="32"/>
      <c r="O458" s="206"/>
      <c r="P458" s="205"/>
      <c r="Q458" s="202"/>
      <c r="R458" s="204"/>
      <c r="S458" s="38"/>
      <c r="T458" s="201"/>
      <c r="U458" s="201"/>
      <c r="V458" s="201"/>
      <c r="W458" s="201"/>
      <c r="X458" s="201"/>
      <c r="Y458" s="201"/>
      <c r="Z458" s="201"/>
      <c r="AA458" s="201"/>
      <c r="AB458" s="202"/>
      <c r="AC458" s="202"/>
      <c r="AD458" s="202"/>
      <c r="AE458" s="202"/>
      <c r="AF458" s="202"/>
      <c r="AG458" s="201"/>
      <c r="AH458" s="201"/>
      <c r="AI458" s="201"/>
      <c r="AJ458" s="201"/>
      <c r="AK458" s="201"/>
      <c r="AL458" s="201"/>
      <c r="AM458" s="201"/>
      <c r="AN458" s="201"/>
      <c r="AO458" s="201"/>
      <c r="AP458" s="201"/>
      <c r="AQ458" s="201"/>
      <c r="AR458" s="201"/>
      <c r="AS458" s="201"/>
      <c r="AT458" s="201"/>
      <c r="AU458" s="201"/>
      <c r="AV458" s="201"/>
      <c r="AW458" s="201"/>
      <c r="AX458" s="201"/>
      <c r="AY458" s="201"/>
      <c r="AZ458" s="201"/>
      <c r="BA458" s="201"/>
      <c r="BB458" s="201"/>
    </row>
    <row r="459" spans="2:54">
      <c r="B459" s="35" t="s">
        <v>517</v>
      </c>
      <c r="C459" s="35"/>
      <c r="D459" s="32"/>
      <c r="E459" s="36" t="s">
        <v>511</v>
      </c>
      <c r="F459" s="37">
        <v>45103.354166666664</v>
      </c>
      <c r="G459" s="60">
        <v>45110</v>
      </c>
      <c r="H459" s="33"/>
      <c r="I459" s="34"/>
      <c r="J459" s="35" t="s">
        <v>518</v>
      </c>
      <c r="K459" s="36" t="s">
        <v>511</v>
      </c>
      <c r="L459" s="50">
        <v>67000</v>
      </c>
      <c r="M459" s="40" t="s">
        <v>519</v>
      </c>
      <c r="N459" s="40"/>
      <c r="O459" s="206"/>
      <c r="P459" s="205"/>
      <c r="Q459" s="202"/>
      <c r="R459" s="204"/>
      <c r="S459" s="38"/>
      <c r="T459" s="201"/>
      <c r="U459" s="201"/>
      <c r="V459" s="201"/>
      <c r="W459" s="201"/>
      <c r="X459" s="201"/>
      <c r="Y459" s="201"/>
      <c r="Z459" s="201"/>
      <c r="AA459" s="201"/>
      <c r="AB459" s="202"/>
      <c r="AC459" s="202"/>
      <c r="AD459" s="202"/>
      <c r="AE459" s="202"/>
      <c r="AF459" s="202"/>
      <c r="AG459" s="201"/>
      <c r="AH459" s="201"/>
      <c r="AI459" s="201"/>
      <c r="AJ459" s="201"/>
      <c r="AK459" s="201"/>
      <c r="AL459" s="201"/>
      <c r="AM459" s="201"/>
      <c r="AN459" s="201"/>
      <c r="AO459" s="201"/>
      <c r="AP459" s="201"/>
      <c r="AQ459" s="201"/>
      <c r="AR459" s="201"/>
      <c r="AS459" s="201"/>
      <c r="AT459" s="201"/>
      <c r="AU459" s="201"/>
      <c r="AV459" s="201"/>
      <c r="AW459" s="201"/>
      <c r="AX459" s="201"/>
      <c r="AY459" s="201"/>
      <c r="AZ459" s="201"/>
      <c r="BA459" s="201"/>
      <c r="BB459" s="201"/>
    </row>
    <row r="460" spans="2:54">
      <c r="B460" s="35" t="s">
        <v>520</v>
      </c>
      <c r="C460" s="35"/>
      <c r="D460" s="32"/>
      <c r="E460" s="36" t="s">
        <v>511</v>
      </c>
      <c r="F460" s="37" t="s">
        <v>12</v>
      </c>
      <c r="G460" s="32"/>
      <c r="H460" s="33"/>
      <c r="I460" s="34"/>
      <c r="J460" s="35" t="s">
        <v>521</v>
      </c>
      <c r="K460" s="36" t="s">
        <v>511</v>
      </c>
      <c r="L460" s="41" t="s">
        <v>2037</v>
      </c>
      <c r="M460" s="32"/>
      <c r="N460" s="32"/>
      <c r="O460" s="206"/>
      <c r="P460" s="202"/>
      <c r="Q460" s="202"/>
      <c r="R460" s="204"/>
      <c r="S460" s="38"/>
      <c r="T460" s="201"/>
      <c r="U460" s="201"/>
      <c r="V460" s="201"/>
      <c r="W460" s="201"/>
      <c r="X460" s="201"/>
      <c r="Y460" s="201"/>
      <c r="Z460" s="201"/>
      <c r="AA460" s="201"/>
      <c r="AB460" s="202"/>
      <c r="AC460" s="202"/>
      <c r="AD460" s="202"/>
      <c r="AE460" s="202"/>
      <c r="AF460" s="202"/>
      <c r="AG460" s="201"/>
      <c r="AH460" s="201"/>
      <c r="AI460" s="201"/>
      <c r="AJ460" s="201"/>
      <c r="AK460" s="201"/>
      <c r="AL460" s="201"/>
      <c r="AM460" s="201"/>
      <c r="AN460" s="201"/>
      <c r="AO460" s="201"/>
      <c r="AP460" s="201"/>
      <c r="AQ460" s="201"/>
      <c r="AR460" s="201"/>
      <c r="AS460" s="201"/>
      <c r="AT460" s="201"/>
      <c r="AU460" s="201"/>
      <c r="AV460" s="201"/>
      <c r="AW460" s="201"/>
      <c r="AX460" s="201"/>
      <c r="AY460" s="201"/>
      <c r="AZ460" s="201"/>
      <c r="BA460" s="201"/>
      <c r="BB460" s="201"/>
    </row>
    <row r="461" spans="2:54">
      <c r="B461" s="35" t="s">
        <v>523</v>
      </c>
      <c r="C461" s="35"/>
      <c r="D461" s="32"/>
      <c r="E461" s="36" t="s">
        <v>511</v>
      </c>
      <c r="F461" s="37" t="s">
        <v>41</v>
      </c>
      <c r="G461" s="32"/>
      <c r="H461" s="33"/>
      <c r="I461" s="34"/>
      <c r="J461" s="42" t="s">
        <v>524</v>
      </c>
      <c r="K461" s="36" t="s">
        <v>511</v>
      </c>
      <c r="L461" s="43" t="s">
        <v>15</v>
      </c>
      <c r="M461" s="44"/>
      <c r="N461" s="44"/>
      <c r="O461" s="206"/>
      <c r="P461" s="205"/>
      <c r="Q461" s="202"/>
      <c r="R461" s="204"/>
      <c r="S461" s="38"/>
      <c r="T461" s="201"/>
      <c r="U461" s="201"/>
      <c r="V461" s="201"/>
      <c r="W461" s="201"/>
      <c r="X461" s="201"/>
      <c r="Y461" s="201"/>
      <c r="Z461" s="201"/>
      <c r="AA461" s="201"/>
      <c r="AB461" s="202"/>
      <c r="AC461" s="202"/>
      <c r="AD461" s="202"/>
      <c r="AE461" s="202"/>
      <c r="AF461" s="202"/>
      <c r="AG461" s="201"/>
      <c r="AH461" s="201"/>
      <c r="AI461" s="201"/>
      <c r="AJ461" s="201"/>
      <c r="AK461" s="201"/>
      <c r="AL461" s="201"/>
      <c r="AM461" s="201"/>
      <c r="AN461" s="201"/>
      <c r="AO461" s="201"/>
      <c r="AP461" s="201"/>
      <c r="AQ461" s="201"/>
      <c r="AR461" s="201"/>
      <c r="AS461" s="201"/>
      <c r="AT461" s="201"/>
      <c r="AU461" s="201"/>
      <c r="AV461" s="201"/>
      <c r="AW461" s="201"/>
      <c r="AX461" s="201"/>
      <c r="AY461" s="201"/>
      <c r="AZ461" s="201"/>
      <c r="BA461" s="201"/>
      <c r="BB461" s="201"/>
    </row>
    <row r="462" spans="2:54">
      <c r="B462" s="35" t="s">
        <v>2</v>
      </c>
      <c r="C462" s="35"/>
      <c r="D462" s="32"/>
      <c r="E462" s="36" t="s">
        <v>511</v>
      </c>
      <c r="F462" s="37" t="s">
        <v>42</v>
      </c>
      <c r="G462" s="32"/>
      <c r="H462" s="33"/>
      <c r="I462" s="45"/>
      <c r="J462" s="42"/>
      <c r="K462" s="36"/>
      <c r="L462" s="211"/>
      <c r="M462" s="201"/>
      <c r="N462" s="201"/>
      <c r="O462" s="42"/>
      <c r="P462" s="44"/>
      <c r="Q462" s="44"/>
      <c r="R462" s="44"/>
      <c r="S462" s="34"/>
      <c r="T462" s="201"/>
      <c r="U462" s="201"/>
      <c r="V462" s="201"/>
      <c r="W462" s="201"/>
      <c r="X462" s="201"/>
      <c r="Y462" s="201"/>
      <c r="Z462" s="201"/>
      <c r="AA462" s="201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201"/>
      <c r="AP462" s="201"/>
      <c r="AQ462" s="201"/>
      <c r="AR462" s="201"/>
      <c r="AS462" s="201"/>
      <c r="AT462" s="201"/>
      <c r="AU462" s="201"/>
      <c r="AV462" s="201"/>
      <c r="AW462" s="201"/>
      <c r="AX462" s="201"/>
      <c r="AY462" s="201"/>
      <c r="AZ462" s="201"/>
      <c r="BA462" s="201"/>
      <c r="BB462" s="201"/>
    </row>
    <row r="463" spans="2:54">
      <c r="B463" s="201"/>
      <c r="C463" s="201"/>
      <c r="D463" s="201"/>
      <c r="E463" s="201"/>
      <c r="F463" s="201"/>
      <c r="G463" s="201"/>
      <c r="H463" s="201"/>
      <c r="I463" s="45"/>
      <c r="J463" s="42"/>
      <c r="K463" s="42"/>
      <c r="L463" s="43"/>
      <c r="M463" s="44"/>
      <c r="N463" s="44"/>
      <c r="O463" s="42"/>
      <c r="P463" s="44"/>
      <c r="Q463" s="44"/>
      <c r="R463" s="44"/>
      <c r="S463" s="34"/>
      <c r="T463" s="1265" t="s">
        <v>87</v>
      </c>
      <c r="U463" s="1265"/>
      <c r="V463" s="1265"/>
      <c r="W463" s="1265"/>
      <c r="X463" s="1265"/>
      <c r="Y463" s="1265" t="s">
        <v>73</v>
      </c>
      <c r="Z463" s="1265"/>
      <c r="AA463" s="1265"/>
      <c r="AB463" s="1265" t="s">
        <v>74</v>
      </c>
      <c r="AC463" s="1265"/>
      <c r="AD463" s="423" t="s">
        <v>85</v>
      </c>
      <c r="AE463" s="423" t="s">
        <v>77</v>
      </c>
      <c r="AF463" s="1265" t="s">
        <v>525</v>
      </c>
      <c r="AG463" s="1265"/>
      <c r="AH463" s="1265"/>
      <c r="AI463" s="1265"/>
      <c r="AJ463" s="1265"/>
      <c r="AK463" s="1265"/>
      <c r="AL463" s="1265"/>
      <c r="AM463" s="1265"/>
      <c r="AN463" s="1265"/>
      <c r="AO463" s="1265"/>
      <c r="AP463" s="1265"/>
      <c r="AQ463" s="1265"/>
      <c r="AR463" s="1265"/>
      <c r="AS463" s="1265"/>
      <c r="AT463" s="1265"/>
      <c r="AU463" s="1265"/>
      <c r="AV463" s="1265"/>
      <c r="AW463" s="1265"/>
      <c r="AX463" s="1265"/>
      <c r="AY463" s="1265"/>
      <c r="AZ463" s="1265"/>
      <c r="BA463" s="1265"/>
      <c r="BB463" s="201"/>
    </row>
    <row r="464" spans="2:54">
      <c r="B464" s="1266" t="s">
        <v>526</v>
      </c>
      <c r="C464" s="1267"/>
      <c r="D464" s="570" t="s">
        <v>527</v>
      </c>
      <c r="E464" s="570"/>
      <c r="F464" s="570" t="s">
        <v>528</v>
      </c>
      <c r="G464" s="570" t="s">
        <v>529</v>
      </c>
      <c r="H464" s="570" t="s">
        <v>530</v>
      </c>
      <c r="I464" s="570" t="s">
        <v>531</v>
      </c>
      <c r="J464" s="570" t="s">
        <v>532</v>
      </c>
      <c r="K464" s="570"/>
      <c r="L464" s="570" t="s">
        <v>130</v>
      </c>
      <c r="M464" s="570" t="s">
        <v>533</v>
      </c>
      <c r="N464" s="408" t="str">
        <f>"On time - "&amp;COUNTIF(N465:N479,"On time")&amp;" from "&amp;ROWS(N465:N479)-COUNTIF(N465:N479," ")</f>
        <v>On time - 11 from 11</v>
      </c>
      <c r="O464" s="46"/>
      <c r="P464" s="409" t="s">
        <v>534</v>
      </c>
      <c r="Q464" s="409" t="s">
        <v>535</v>
      </c>
      <c r="R464" s="409" t="s">
        <v>536</v>
      </c>
      <c r="S464" s="32"/>
      <c r="T464" s="424" t="s">
        <v>537</v>
      </c>
      <c r="U464" s="424" t="s">
        <v>538</v>
      </c>
      <c r="V464" s="424" t="s">
        <v>539</v>
      </c>
      <c r="W464" s="424" t="s">
        <v>540</v>
      </c>
      <c r="X464" s="424" t="s">
        <v>541</v>
      </c>
      <c r="Y464" s="424" t="s">
        <v>167</v>
      </c>
      <c r="Z464" s="424" t="s">
        <v>168</v>
      </c>
      <c r="AA464" s="424" t="s">
        <v>169</v>
      </c>
      <c r="AB464" s="424" t="s">
        <v>235</v>
      </c>
      <c r="AC464" s="424" t="s">
        <v>240</v>
      </c>
      <c r="AD464" s="423" t="s">
        <v>85</v>
      </c>
      <c r="AE464" s="424" t="s">
        <v>139</v>
      </c>
      <c r="AF464" s="424" t="s">
        <v>72</v>
      </c>
      <c r="AG464" s="424" t="s">
        <v>88</v>
      </c>
      <c r="AH464" s="424" t="s">
        <v>75</v>
      </c>
      <c r="AI464" s="424" t="s">
        <v>543</v>
      </c>
      <c r="AJ464" s="424" t="s">
        <v>78</v>
      </c>
      <c r="AK464" s="424" t="s">
        <v>76</v>
      </c>
      <c r="AL464" s="424" t="s">
        <v>544</v>
      </c>
      <c r="AM464" s="424" t="s">
        <v>545</v>
      </c>
      <c r="AN464" s="424" t="s">
        <v>86</v>
      </c>
      <c r="AO464" s="424" t="s">
        <v>83</v>
      </c>
      <c r="AP464" s="424" t="s">
        <v>84</v>
      </c>
      <c r="AQ464" s="424" t="s">
        <v>546</v>
      </c>
      <c r="AR464" s="424" t="s">
        <v>81</v>
      </c>
      <c r="AS464" s="424" t="s">
        <v>80</v>
      </c>
      <c r="AT464" s="424" t="s">
        <v>82</v>
      </c>
      <c r="AU464" s="424" t="s">
        <v>181</v>
      </c>
      <c r="AV464" s="424" t="s">
        <v>183</v>
      </c>
      <c r="AW464" s="424" t="s">
        <v>547</v>
      </c>
      <c r="AX464" s="424" t="s">
        <v>182</v>
      </c>
      <c r="AY464" s="424" t="s">
        <v>172</v>
      </c>
      <c r="AZ464" s="424" t="s">
        <v>173</v>
      </c>
      <c r="BA464" s="424" t="s">
        <v>184</v>
      </c>
      <c r="BB464" s="201"/>
    </row>
    <row r="465" spans="2:54">
      <c r="B465" s="1256" t="s">
        <v>548</v>
      </c>
      <c r="C465" s="1257"/>
      <c r="D465" s="411" t="s">
        <v>1833</v>
      </c>
      <c r="E465" s="411"/>
      <c r="F465" s="411" t="s">
        <v>1834</v>
      </c>
      <c r="G465" s="411" t="s">
        <v>1835</v>
      </c>
      <c r="H465" s="412">
        <v>2067</v>
      </c>
      <c r="I465" s="413" t="s">
        <v>240</v>
      </c>
      <c r="J465" s="414">
        <v>45102.5</v>
      </c>
      <c r="K465" s="414"/>
      <c r="L465" s="414" t="s">
        <v>192</v>
      </c>
      <c r="M465" s="414" t="s">
        <v>192</v>
      </c>
      <c r="N465" s="413" t="str">
        <f t="shared" ref="N465:N481" si="51">IF(ISBLANK(J465)," ",IF(J465&lt;$G$459,"On time",(IF(DAY(J465-$G$459)&lt;1,"On time",(IF(J465&gt;$G$459,"DELAY ( "&amp;DAY(J465-$G$459)&amp;" day "&amp;HOUR(J465-$G$459)&amp;" hour "&amp;MINUTE(J465-$G$459)&amp;" minute )","xxx"))))))</f>
        <v>On time</v>
      </c>
      <c r="O465" s="51"/>
      <c r="P465" s="415" t="s">
        <v>551</v>
      </c>
      <c r="Q465" s="415" t="s">
        <v>551</v>
      </c>
      <c r="R465" s="415" t="s">
        <v>551</v>
      </c>
      <c r="S465" s="32"/>
      <c r="T465" s="416"/>
      <c r="U465" s="416"/>
      <c r="V465" s="416"/>
      <c r="W465" s="416"/>
      <c r="X465" s="416"/>
      <c r="Y465" s="416"/>
      <c r="Z465" s="416"/>
      <c r="AA465" s="416"/>
      <c r="AB465" s="416"/>
      <c r="AC465" s="416">
        <f>H465</f>
        <v>2067</v>
      </c>
      <c r="AD465" s="416"/>
      <c r="AE465" s="416"/>
      <c r="AF465" s="416"/>
      <c r="AG465" s="416"/>
      <c r="AH465" s="416"/>
      <c r="AI465" s="416"/>
      <c r="AJ465" s="416"/>
      <c r="AK465" s="416"/>
      <c r="AL465" s="416"/>
      <c r="AM465" s="416"/>
      <c r="AN465" s="416"/>
      <c r="AO465" s="416"/>
      <c r="AP465" s="416"/>
      <c r="AQ465" s="416"/>
      <c r="AR465" s="416"/>
      <c r="AS465" s="416"/>
      <c r="AT465" s="416"/>
      <c r="AU465" s="416"/>
      <c r="AV465" s="416"/>
      <c r="AW465" s="416"/>
      <c r="AX465" s="416"/>
      <c r="AY465" s="416"/>
      <c r="AZ465" s="416"/>
      <c r="BA465" s="416"/>
      <c r="BB465" s="32"/>
    </row>
    <row r="466" spans="2:54">
      <c r="B466" s="1250" t="s">
        <v>651</v>
      </c>
      <c r="C466" s="1251"/>
      <c r="D466" s="411" t="s">
        <v>1846</v>
      </c>
      <c r="E466" s="411"/>
      <c r="F466" s="411" t="s">
        <v>505</v>
      </c>
      <c r="G466" s="411" t="s">
        <v>506</v>
      </c>
      <c r="H466" s="412">
        <v>7606.8220000000001</v>
      </c>
      <c r="I466" s="413" t="s">
        <v>240</v>
      </c>
      <c r="J466" s="414">
        <v>45103.194444444445</v>
      </c>
      <c r="K466" s="414"/>
      <c r="L466" s="414" t="s">
        <v>192</v>
      </c>
      <c r="M466" s="414" t="s">
        <v>192</v>
      </c>
      <c r="N466" s="413" t="str">
        <f t="shared" si="51"/>
        <v>On time</v>
      </c>
      <c r="O466" s="51"/>
      <c r="P466" s="415" t="s">
        <v>551</v>
      </c>
      <c r="Q466" s="415" t="s">
        <v>551</v>
      </c>
      <c r="R466" s="415" t="s">
        <v>551</v>
      </c>
      <c r="S466" s="32"/>
      <c r="T466" s="416"/>
      <c r="U466" s="416"/>
      <c r="V466" s="416"/>
      <c r="W466" s="416"/>
      <c r="X466" s="416"/>
      <c r="Y466" s="416"/>
      <c r="Z466" s="416"/>
      <c r="AA466" s="416"/>
      <c r="AB466" s="416"/>
      <c r="AC466" s="416">
        <f>H466</f>
        <v>7606.8220000000001</v>
      </c>
      <c r="AD466" s="416"/>
      <c r="AE466" s="416"/>
      <c r="AF466" s="416"/>
      <c r="AG466" s="416"/>
      <c r="AH466" s="416"/>
      <c r="AI466" s="416"/>
      <c r="AJ466" s="416"/>
      <c r="AK466" s="416"/>
      <c r="AL466" s="416"/>
      <c r="AM466" s="416"/>
      <c r="AN466" s="416"/>
      <c r="AO466" s="416"/>
      <c r="AP466" s="416"/>
      <c r="AQ466" s="416"/>
      <c r="AR466" s="416"/>
      <c r="AS466" s="416"/>
      <c r="AT466" s="416"/>
      <c r="AU466" s="416"/>
      <c r="AV466" s="416"/>
      <c r="AW466" s="416"/>
      <c r="AX466" s="416"/>
      <c r="AY466" s="416"/>
      <c r="AZ466" s="416"/>
      <c r="BA466" s="416"/>
      <c r="BB466" s="32"/>
    </row>
    <row r="467" spans="2:54">
      <c r="B467" s="1254"/>
      <c r="C467" s="1255"/>
      <c r="D467" s="411" t="s">
        <v>1898</v>
      </c>
      <c r="E467" s="425"/>
      <c r="F467" s="411" t="s">
        <v>1307</v>
      </c>
      <c r="G467" s="411" t="s">
        <v>1308</v>
      </c>
      <c r="H467" s="412">
        <f>5389/2</f>
        <v>2694.5</v>
      </c>
      <c r="I467" s="413" t="s">
        <v>82</v>
      </c>
      <c r="J467" s="1268">
        <v>45101.895833333336</v>
      </c>
      <c r="K467" s="414"/>
      <c r="L467" s="1268" t="s">
        <v>192</v>
      </c>
      <c r="M467" s="1268" t="s">
        <v>192</v>
      </c>
      <c r="N467" s="413" t="str">
        <f t="shared" si="51"/>
        <v>On time</v>
      </c>
      <c r="O467" s="51"/>
      <c r="P467" s="415" t="s">
        <v>551</v>
      </c>
      <c r="Q467" s="415" t="s">
        <v>551</v>
      </c>
      <c r="R467" s="415" t="s">
        <v>551</v>
      </c>
      <c r="S467" s="32"/>
      <c r="T467" s="416"/>
      <c r="U467" s="416"/>
      <c r="V467" s="416"/>
      <c r="W467" s="416"/>
      <c r="X467" s="416"/>
      <c r="Y467" s="416"/>
      <c r="Z467" s="416"/>
      <c r="AA467" s="416"/>
      <c r="AB467" s="32"/>
      <c r="AC467" s="416"/>
      <c r="AD467" s="416"/>
      <c r="AE467" s="416"/>
      <c r="AF467" s="416"/>
      <c r="AG467" s="416"/>
      <c r="AH467" s="416"/>
      <c r="AI467" s="416"/>
      <c r="AJ467" s="416"/>
      <c r="AK467" s="416"/>
      <c r="AL467" s="416"/>
      <c r="AM467" s="416"/>
      <c r="AN467" s="416"/>
      <c r="AO467" s="416"/>
      <c r="AP467" s="416"/>
      <c r="AQ467" s="416"/>
      <c r="AR467" s="416"/>
      <c r="AS467" s="416"/>
      <c r="AT467" s="416">
        <f>H467</f>
        <v>2694.5</v>
      </c>
      <c r="AU467" s="416"/>
      <c r="AV467" s="416"/>
      <c r="AW467" s="416"/>
      <c r="AX467" s="416"/>
      <c r="AY467" s="416"/>
      <c r="AZ467" s="416"/>
      <c r="BA467" s="416"/>
      <c r="BB467" s="32"/>
    </row>
    <row r="468" spans="2:54">
      <c r="B468" s="1250" t="s">
        <v>2021</v>
      </c>
      <c r="C468" s="1251"/>
      <c r="D468" s="411" t="s">
        <v>1898</v>
      </c>
      <c r="E468" s="425"/>
      <c r="F468" s="411" t="s">
        <v>1307</v>
      </c>
      <c r="G468" s="411" t="s">
        <v>1308</v>
      </c>
      <c r="H468" s="412">
        <f>H467</f>
        <v>2694.5</v>
      </c>
      <c r="I468" s="413" t="s">
        <v>82</v>
      </c>
      <c r="J468" s="1269"/>
      <c r="K468" s="414"/>
      <c r="L468" s="1269"/>
      <c r="M468" s="1269"/>
      <c r="N468" s="413" t="str">
        <f t="shared" si="51"/>
        <v xml:space="preserve"> </v>
      </c>
      <c r="O468" s="51"/>
      <c r="P468" s="415" t="s">
        <v>551</v>
      </c>
      <c r="Q468" s="415" t="s">
        <v>551</v>
      </c>
      <c r="R468" s="415" t="s">
        <v>551</v>
      </c>
      <c r="S468" s="32"/>
      <c r="T468" s="416"/>
      <c r="U468" s="416"/>
      <c r="V468" s="416"/>
      <c r="W468" s="416"/>
      <c r="X468" s="416"/>
      <c r="Y468" s="416"/>
      <c r="Z468" s="416"/>
      <c r="AA468" s="416"/>
      <c r="AB468" s="32"/>
      <c r="AC468" s="416"/>
      <c r="AD468" s="416"/>
      <c r="AE468" s="416"/>
      <c r="AF468" s="416"/>
      <c r="AG468" s="416"/>
      <c r="AH468" s="416"/>
      <c r="AI468" s="416"/>
      <c r="AJ468" s="416"/>
      <c r="AK468" s="416"/>
      <c r="AL468" s="416"/>
      <c r="AM468" s="416"/>
      <c r="AN468" s="416"/>
      <c r="AO468" s="416"/>
      <c r="AP468" s="416"/>
      <c r="AQ468" s="416"/>
      <c r="AR468" s="416"/>
      <c r="AS468" s="416"/>
      <c r="AT468" s="416">
        <f>H468</f>
        <v>2694.5</v>
      </c>
      <c r="AU468" s="416"/>
      <c r="AV468" s="416"/>
      <c r="AW468" s="416"/>
      <c r="AX468" s="416"/>
      <c r="AY468" s="416"/>
      <c r="AZ468" s="416"/>
      <c r="BA468" s="416"/>
      <c r="BB468" s="32"/>
    </row>
    <row r="469" spans="2:54">
      <c r="B469" s="1254"/>
      <c r="C469" s="1255"/>
      <c r="D469" s="411" t="s">
        <v>1849</v>
      </c>
      <c r="E469" s="411"/>
      <c r="F469" s="411" t="s">
        <v>218</v>
      </c>
      <c r="G469" s="411" t="s">
        <v>219</v>
      </c>
      <c r="H469" s="412">
        <v>7439.7179999999998</v>
      </c>
      <c r="I469" s="413" t="s">
        <v>240</v>
      </c>
      <c r="J469" s="414">
        <v>45103.479166666664</v>
      </c>
      <c r="K469" s="414"/>
      <c r="L469" s="414" t="s">
        <v>192</v>
      </c>
      <c r="M469" s="414" t="s">
        <v>192</v>
      </c>
      <c r="N469" s="413" t="str">
        <f t="shared" si="51"/>
        <v>On time</v>
      </c>
      <c r="O469" s="51"/>
      <c r="P469" s="415" t="s">
        <v>551</v>
      </c>
      <c r="Q469" s="415" t="s">
        <v>551</v>
      </c>
      <c r="R469" s="415" t="s">
        <v>551</v>
      </c>
      <c r="S469" s="32"/>
      <c r="T469" s="416"/>
      <c r="U469" s="416"/>
      <c r="V469" s="416"/>
      <c r="W469" s="416"/>
      <c r="X469" s="416"/>
      <c r="Y469" s="416"/>
      <c r="Z469" s="416"/>
      <c r="AA469" s="416"/>
      <c r="AB469" s="416"/>
      <c r="AC469" s="416">
        <f>H469</f>
        <v>7439.7179999999998</v>
      </c>
      <c r="AD469" s="416"/>
      <c r="AE469" s="416"/>
      <c r="AF469" s="416"/>
      <c r="AG469" s="416"/>
      <c r="AH469" s="416"/>
      <c r="AI469" s="416"/>
      <c r="AJ469" s="416"/>
      <c r="AK469" s="416"/>
      <c r="AL469" s="416"/>
      <c r="AM469" s="416"/>
      <c r="AN469" s="416"/>
      <c r="AO469" s="416"/>
      <c r="AP469" s="416"/>
      <c r="AQ469" s="416"/>
      <c r="AR469" s="416"/>
      <c r="AS469" s="416"/>
      <c r="AT469" s="416"/>
      <c r="AU469" s="416"/>
      <c r="AV469" s="416"/>
      <c r="AW469" s="416"/>
      <c r="AX469" s="416"/>
      <c r="AY469" s="416"/>
      <c r="AZ469" s="416"/>
      <c r="BA469" s="416"/>
      <c r="BB469" s="32"/>
    </row>
    <row r="470" spans="2:54">
      <c r="B470" s="1250" t="s">
        <v>1401</v>
      </c>
      <c r="C470" s="1251"/>
      <c r="D470" s="411" t="s">
        <v>1895</v>
      </c>
      <c r="E470" s="425"/>
      <c r="F470" s="411" t="s">
        <v>453</v>
      </c>
      <c r="G470" s="411" t="s">
        <v>454</v>
      </c>
      <c r="H470" s="412">
        <f>7834.326/4</f>
        <v>1958.5815</v>
      </c>
      <c r="I470" s="413" t="s">
        <v>181</v>
      </c>
      <c r="J470" s="414">
        <v>45103.9375</v>
      </c>
      <c r="K470" s="414"/>
      <c r="L470" s="414" t="s">
        <v>192</v>
      </c>
      <c r="M470" s="414" t="s">
        <v>192</v>
      </c>
      <c r="N470" s="413" t="str">
        <f t="shared" si="51"/>
        <v>On time</v>
      </c>
      <c r="O470" s="51"/>
      <c r="P470" s="415" t="s">
        <v>551</v>
      </c>
      <c r="Q470" s="415" t="s">
        <v>551</v>
      </c>
      <c r="R470" s="415" t="s">
        <v>551</v>
      </c>
      <c r="S470" s="32"/>
      <c r="T470" s="416"/>
      <c r="U470" s="416"/>
      <c r="V470" s="416"/>
      <c r="W470" s="416"/>
      <c r="X470" s="416"/>
      <c r="Y470" s="416"/>
      <c r="Z470" s="416"/>
      <c r="AA470" s="416"/>
      <c r="AB470" s="416"/>
      <c r="AC470" s="416"/>
      <c r="AD470" s="416"/>
      <c r="AE470" s="416"/>
      <c r="AF470" s="416"/>
      <c r="AG470" s="416"/>
      <c r="AH470" s="416"/>
      <c r="AI470" s="416"/>
      <c r="AJ470" s="416"/>
      <c r="AK470" s="416"/>
      <c r="AL470" s="416"/>
      <c r="AM470" s="416"/>
      <c r="AN470" s="416"/>
      <c r="AO470" s="416"/>
      <c r="AP470" s="416"/>
      <c r="AQ470" s="416"/>
      <c r="AR470" s="416"/>
      <c r="AS470" s="416"/>
      <c r="AT470" s="416"/>
      <c r="AU470" s="416">
        <f>H470</f>
        <v>1958.5815</v>
      </c>
      <c r="AV470" s="416"/>
      <c r="AW470" s="416"/>
      <c r="AX470" s="416"/>
      <c r="AY470" s="416"/>
      <c r="AZ470" s="416"/>
      <c r="BA470" s="416"/>
      <c r="BB470" s="32"/>
    </row>
    <row r="471" spans="2:54">
      <c r="B471" s="1254"/>
      <c r="C471" s="1255"/>
      <c r="D471" s="411" t="s">
        <v>1887</v>
      </c>
      <c r="E471" s="411"/>
      <c r="F471" s="411" t="s">
        <v>371</v>
      </c>
      <c r="G471" s="411" t="s">
        <v>372</v>
      </c>
      <c r="H471" s="412">
        <v>7526.6819999999998</v>
      </c>
      <c r="I471" s="413" t="s">
        <v>1164</v>
      </c>
      <c r="J471" s="414">
        <v>45102.0625</v>
      </c>
      <c r="K471" s="414"/>
      <c r="L471" s="414" t="s">
        <v>192</v>
      </c>
      <c r="M471" s="414" t="s">
        <v>192</v>
      </c>
      <c r="N471" s="413" t="str">
        <f t="shared" si="51"/>
        <v>On time</v>
      </c>
      <c r="O471" s="51"/>
      <c r="P471" s="415" t="s">
        <v>551</v>
      </c>
      <c r="Q471" s="415" t="s">
        <v>551</v>
      </c>
      <c r="R471" s="415" t="s">
        <v>551</v>
      </c>
      <c r="S471" s="32"/>
      <c r="T471" s="416"/>
      <c r="U471" s="416"/>
      <c r="V471" s="416"/>
      <c r="W471" s="416"/>
      <c r="X471" s="416">
        <f>H471</f>
        <v>7526.6819999999998</v>
      </c>
      <c r="Y471" s="416"/>
      <c r="Z471" s="416"/>
      <c r="AA471" s="416"/>
      <c r="AB471" s="416"/>
      <c r="AC471" s="416"/>
      <c r="AD471" s="416"/>
      <c r="AE471" s="416"/>
      <c r="AF471" s="416"/>
      <c r="AG471" s="416"/>
      <c r="AH471" s="416"/>
      <c r="AI471" s="416"/>
      <c r="AJ471" s="32"/>
      <c r="AK471" s="416"/>
      <c r="AL471" s="416"/>
      <c r="AM471" s="416"/>
      <c r="AN471" s="416"/>
      <c r="AO471" s="416"/>
      <c r="AP471" s="416"/>
      <c r="AQ471" s="416"/>
      <c r="AR471" s="416"/>
      <c r="AS471" s="416"/>
      <c r="AT471" s="416"/>
      <c r="AU471" s="416"/>
      <c r="AV471" s="416"/>
      <c r="AW471" s="416"/>
      <c r="AX471" s="416"/>
      <c r="AY471" s="286"/>
      <c r="AZ471" s="416"/>
      <c r="BA471" s="416"/>
      <c r="BB471" s="32"/>
    </row>
    <row r="472" spans="2:54">
      <c r="B472" s="1250" t="s">
        <v>1401</v>
      </c>
      <c r="C472" s="1251"/>
      <c r="D472" s="411" t="s">
        <v>1895</v>
      </c>
      <c r="E472" s="425"/>
      <c r="F472" s="411" t="s">
        <v>453</v>
      </c>
      <c r="G472" s="411" t="s">
        <v>454</v>
      </c>
      <c r="H472" s="412">
        <f>H470</f>
        <v>1958.5815</v>
      </c>
      <c r="I472" s="413" t="s">
        <v>181</v>
      </c>
      <c r="J472" s="414"/>
      <c r="K472" s="414"/>
      <c r="L472" s="414"/>
      <c r="M472" s="414"/>
      <c r="N472" s="413" t="str">
        <f t="shared" si="51"/>
        <v xml:space="preserve"> </v>
      </c>
      <c r="O472" s="51"/>
      <c r="P472" s="415" t="s">
        <v>551</v>
      </c>
      <c r="Q472" s="415" t="s">
        <v>551</v>
      </c>
      <c r="R472" s="415" t="s">
        <v>551</v>
      </c>
      <c r="S472" s="32"/>
      <c r="T472" s="416"/>
      <c r="U472" s="416"/>
      <c r="V472" s="416"/>
      <c r="W472" s="416"/>
      <c r="X472" s="416"/>
      <c r="Y472" s="416"/>
      <c r="Z472" s="416"/>
      <c r="AA472" s="416"/>
      <c r="AB472" s="416"/>
      <c r="AC472" s="416"/>
      <c r="AD472" s="416"/>
      <c r="AE472" s="416"/>
      <c r="AF472" s="416"/>
      <c r="AG472" s="416"/>
      <c r="AH472" s="416"/>
      <c r="AI472" s="416"/>
      <c r="AJ472" s="416"/>
      <c r="AK472" s="416"/>
      <c r="AL472" s="416"/>
      <c r="AM472" s="416"/>
      <c r="AN472" s="416"/>
      <c r="AO472" s="416"/>
      <c r="AP472" s="416"/>
      <c r="AQ472" s="416"/>
      <c r="AR472" s="416"/>
      <c r="AS472" s="416"/>
      <c r="AT472" s="416"/>
      <c r="AU472" s="416">
        <f>H472</f>
        <v>1958.5815</v>
      </c>
      <c r="AV472" s="416"/>
      <c r="AW472" s="416"/>
      <c r="AX472" s="416"/>
      <c r="AY472" s="416"/>
      <c r="AZ472" s="416"/>
      <c r="BA472" s="416"/>
      <c r="BB472" s="32"/>
    </row>
    <row r="473" spans="2:54">
      <c r="B473" s="1254"/>
      <c r="C473" s="1255"/>
      <c r="D473" s="411" t="s">
        <v>1888</v>
      </c>
      <c r="E473" s="411"/>
      <c r="F473" s="411" t="s">
        <v>695</v>
      </c>
      <c r="G473" s="411" t="s">
        <v>281</v>
      </c>
      <c r="H473" s="412">
        <v>7533.9390000000003</v>
      </c>
      <c r="I473" s="413" t="s">
        <v>1164</v>
      </c>
      <c r="J473" s="414">
        <v>45103.166666666664</v>
      </c>
      <c r="K473" s="414"/>
      <c r="L473" s="414" t="s">
        <v>192</v>
      </c>
      <c r="M473" s="414" t="s">
        <v>192</v>
      </c>
      <c r="N473" s="413" t="str">
        <f t="shared" si="51"/>
        <v>On time</v>
      </c>
      <c r="O473" s="51"/>
      <c r="P473" s="415" t="s">
        <v>551</v>
      </c>
      <c r="Q473" s="415" t="s">
        <v>551</v>
      </c>
      <c r="R473" s="415" t="s">
        <v>551</v>
      </c>
      <c r="S473" s="32"/>
      <c r="T473" s="416"/>
      <c r="U473" s="416"/>
      <c r="V473" s="416"/>
      <c r="W473" s="416"/>
      <c r="X473" s="416">
        <f>H473</f>
        <v>7533.9390000000003</v>
      </c>
      <c r="Y473" s="416"/>
      <c r="Z473" s="416"/>
      <c r="AA473" s="416"/>
      <c r="AB473" s="416"/>
      <c r="AC473" s="416"/>
      <c r="AD473" s="416"/>
      <c r="AE473" s="416"/>
      <c r="AF473" s="416"/>
      <c r="AG473" s="416"/>
      <c r="AH473" s="416"/>
      <c r="AI473" s="416"/>
      <c r="AJ473" s="416"/>
      <c r="AK473" s="416"/>
      <c r="AL473" s="416"/>
      <c r="AM473" s="416"/>
      <c r="AN473" s="416"/>
      <c r="AO473" s="416"/>
      <c r="AP473" s="416"/>
      <c r="AQ473" s="416"/>
      <c r="AR473" s="416"/>
      <c r="AS473" s="416"/>
      <c r="AT473" s="32"/>
      <c r="AU473" s="416"/>
      <c r="AV473" s="416"/>
      <c r="AW473" s="416"/>
      <c r="AX473" s="416"/>
      <c r="AY473" s="416"/>
      <c r="AZ473" s="416"/>
      <c r="BA473" s="416"/>
      <c r="BB473" s="32"/>
    </row>
    <row r="474" spans="2:54">
      <c r="B474" s="1250" t="s">
        <v>1401</v>
      </c>
      <c r="C474" s="1251"/>
      <c r="D474" s="411" t="s">
        <v>1895</v>
      </c>
      <c r="E474" s="425"/>
      <c r="F474" s="411" t="s">
        <v>453</v>
      </c>
      <c r="G474" s="411" t="s">
        <v>454</v>
      </c>
      <c r="H474" s="412">
        <f>H472</f>
        <v>1958.5815</v>
      </c>
      <c r="I474" s="413" t="s">
        <v>181</v>
      </c>
      <c r="J474" s="414"/>
      <c r="K474" s="414"/>
      <c r="L474" s="414"/>
      <c r="M474" s="414"/>
      <c r="N474" s="413" t="str">
        <f t="shared" si="51"/>
        <v xml:space="preserve"> </v>
      </c>
      <c r="O474" s="51"/>
      <c r="P474" s="415" t="s">
        <v>551</v>
      </c>
      <c r="Q474" s="415" t="s">
        <v>551</v>
      </c>
      <c r="R474" s="415" t="s">
        <v>551</v>
      </c>
      <c r="S474" s="32"/>
      <c r="T474" s="416"/>
      <c r="U474" s="416"/>
      <c r="V474" s="416"/>
      <c r="W474" s="416"/>
      <c r="X474" s="416"/>
      <c r="Y474" s="416"/>
      <c r="Z474" s="416"/>
      <c r="AA474" s="416"/>
      <c r="AB474" s="416"/>
      <c r="AC474" s="416"/>
      <c r="AD474" s="416"/>
      <c r="AE474" s="416"/>
      <c r="AF474" s="416"/>
      <c r="AG474" s="416"/>
      <c r="AH474" s="416"/>
      <c r="AI474" s="416"/>
      <c r="AJ474" s="416"/>
      <c r="AK474" s="416"/>
      <c r="AL474" s="416"/>
      <c r="AM474" s="416"/>
      <c r="AN474" s="416"/>
      <c r="AO474" s="416"/>
      <c r="AP474" s="416"/>
      <c r="AQ474" s="416"/>
      <c r="AR474" s="416"/>
      <c r="AS474" s="416"/>
      <c r="AT474" s="416"/>
      <c r="AU474" s="416">
        <f>H474</f>
        <v>1958.5815</v>
      </c>
      <c r="AV474" s="416"/>
      <c r="AW474" s="416"/>
      <c r="AX474" s="416"/>
      <c r="AY474" s="416"/>
      <c r="AZ474" s="416"/>
      <c r="BA474" s="416"/>
      <c r="BB474" s="32"/>
    </row>
    <row r="475" spans="2:54">
      <c r="B475" s="1254"/>
      <c r="C475" s="1255"/>
      <c r="D475" s="411" t="s">
        <v>1850</v>
      </c>
      <c r="E475" s="411"/>
      <c r="F475" s="411" t="s">
        <v>343</v>
      </c>
      <c r="G475" s="411" t="s">
        <v>344</v>
      </c>
      <c r="H475" s="412">
        <v>7507.1009999999997</v>
      </c>
      <c r="I475" s="413" t="s">
        <v>240</v>
      </c>
      <c r="J475" s="414">
        <v>45103.430555555555</v>
      </c>
      <c r="K475" s="414"/>
      <c r="L475" s="414" t="s">
        <v>192</v>
      </c>
      <c r="M475" s="414" t="s">
        <v>192</v>
      </c>
      <c r="N475" s="413" t="str">
        <f t="shared" si="51"/>
        <v>On time</v>
      </c>
      <c r="O475" s="51"/>
      <c r="P475" s="415" t="s">
        <v>551</v>
      </c>
      <c r="Q475" s="415" t="s">
        <v>551</v>
      </c>
      <c r="R475" s="415" t="s">
        <v>551</v>
      </c>
      <c r="S475" s="32"/>
      <c r="T475" s="416"/>
      <c r="U475" s="416"/>
      <c r="V475" s="416"/>
      <c r="W475" s="416"/>
      <c r="X475" s="416"/>
      <c r="Y475" s="416"/>
      <c r="Z475" s="416"/>
      <c r="AA475" s="416"/>
      <c r="AB475" s="416"/>
      <c r="AC475" s="416">
        <f t="shared" ref="AC475" si="52">H475</f>
        <v>7507.1009999999997</v>
      </c>
      <c r="AD475" s="416"/>
      <c r="AE475" s="416"/>
      <c r="AF475" s="416"/>
      <c r="AG475" s="416"/>
      <c r="AH475" s="416"/>
      <c r="AI475" s="416"/>
      <c r="AJ475" s="416"/>
      <c r="AK475" s="416"/>
      <c r="AL475" s="416"/>
      <c r="AM475" s="416"/>
      <c r="AN475" s="416"/>
      <c r="AO475" s="416"/>
      <c r="AP475" s="416"/>
      <c r="AQ475" s="416"/>
      <c r="AR475" s="416"/>
      <c r="AS475" s="416"/>
      <c r="AT475" s="416"/>
      <c r="AU475" s="416"/>
      <c r="AV475" s="416"/>
      <c r="AW475" s="416"/>
      <c r="AX475" s="416"/>
      <c r="AY475" s="416"/>
      <c r="AZ475" s="416"/>
      <c r="BA475" s="416"/>
      <c r="BB475" s="32"/>
    </row>
    <row r="476" spans="2:54">
      <c r="B476" s="1250" t="s">
        <v>1401</v>
      </c>
      <c r="C476" s="1251"/>
      <c r="D476" s="411" t="s">
        <v>1895</v>
      </c>
      <c r="E476" s="425"/>
      <c r="F476" s="411" t="s">
        <v>453</v>
      </c>
      <c r="G476" s="411" t="s">
        <v>454</v>
      </c>
      <c r="H476" s="412">
        <f>H474</f>
        <v>1958.5815</v>
      </c>
      <c r="I476" s="413" t="s">
        <v>181</v>
      </c>
      <c r="J476" s="414"/>
      <c r="K476" s="414"/>
      <c r="L476" s="414"/>
      <c r="M476" s="414"/>
      <c r="N476" s="413" t="str">
        <f t="shared" si="51"/>
        <v xml:space="preserve"> </v>
      </c>
      <c r="O476" s="51"/>
      <c r="P476" s="415" t="s">
        <v>551</v>
      </c>
      <c r="Q476" s="415" t="s">
        <v>551</v>
      </c>
      <c r="R476" s="415" t="s">
        <v>551</v>
      </c>
      <c r="S476" s="32"/>
      <c r="T476" s="416"/>
      <c r="U476" s="416"/>
      <c r="V476" s="416"/>
      <c r="W476" s="416"/>
      <c r="X476" s="416"/>
      <c r="Y476" s="416"/>
      <c r="Z476" s="416"/>
      <c r="AA476" s="416"/>
      <c r="AB476" s="416"/>
      <c r="AC476" s="416"/>
      <c r="AD476" s="416"/>
      <c r="AE476" s="416"/>
      <c r="AF476" s="416"/>
      <c r="AG476" s="416"/>
      <c r="AH476" s="416"/>
      <c r="AI476" s="416"/>
      <c r="AJ476" s="416"/>
      <c r="AK476" s="416"/>
      <c r="AL476" s="416"/>
      <c r="AM476" s="416"/>
      <c r="AN476" s="416"/>
      <c r="AO476" s="416"/>
      <c r="AP476" s="416"/>
      <c r="AQ476" s="416"/>
      <c r="AR476" s="416"/>
      <c r="AS476" s="416"/>
      <c r="AT476" s="416"/>
      <c r="AU476" s="416">
        <f>H476</f>
        <v>1958.5815</v>
      </c>
      <c r="AV476" s="416"/>
      <c r="AW476" s="416"/>
      <c r="AX476" s="416"/>
      <c r="AY476" s="416"/>
      <c r="AZ476" s="416"/>
      <c r="BA476" s="416"/>
      <c r="BB476" s="32"/>
    </row>
    <row r="477" spans="2:54">
      <c r="B477" s="1254"/>
      <c r="C477" s="1255"/>
      <c r="D477" s="411" t="s">
        <v>1847</v>
      </c>
      <c r="E477" s="411"/>
      <c r="F477" s="411" t="s">
        <v>1848</v>
      </c>
      <c r="G477" s="411" t="s">
        <v>350</v>
      </c>
      <c r="H477" s="412">
        <v>7639.4840000000004</v>
      </c>
      <c r="I477" s="413" t="s">
        <v>240</v>
      </c>
      <c r="J477" s="414">
        <v>45103.458333333336</v>
      </c>
      <c r="K477" s="414"/>
      <c r="L477" s="414" t="s">
        <v>192</v>
      </c>
      <c r="M477" s="414" t="s">
        <v>192</v>
      </c>
      <c r="N477" s="413" t="str">
        <f t="shared" si="51"/>
        <v>On time</v>
      </c>
      <c r="O477" s="51"/>
      <c r="P477" s="415" t="s">
        <v>551</v>
      </c>
      <c r="Q477" s="415" t="s">
        <v>551</v>
      </c>
      <c r="R477" s="415" t="s">
        <v>551</v>
      </c>
      <c r="S477" s="32"/>
      <c r="T477" s="416"/>
      <c r="U477" s="416"/>
      <c r="V477" s="416"/>
      <c r="W477" s="416"/>
      <c r="X477" s="416"/>
      <c r="Y477" s="416"/>
      <c r="Z477" s="416"/>
      <c r="AA477" s="416"/>
      <c r="AB477" s="416"/>
      <c r="AC477" s="416">
        <f>H477</f>
        <v>7639.4840000000004</v>
      </c>
      <c r="AD477" s="416"/>
      <c r="AE477" s="416"/>
      <c r="AF477" s="416"/>
      <c r="AG477" s="416"/>
      <c r="AH477" s="416"/>
      <c r="AI477" s="416"/>
      <c r="AJ477" s="416"/>
      <c r="AK477" s="416"/>
      <c r="AL477" s="416"/>
      <c r="AM477" s="416"/>
      <c r="AN477" s="416"/>
      <c r="AO477" s="416"/>
      <c r="AP477" s="416"/>
      <c r="AQ477" s="416"/>
      <c r="AR477" s="416"/>
      <c r="AS477" s="416"/>
      <c r="AT477" s="416"/>
      <c r="AU477" s="416"/>
      <c r="AV477" s="416"/>
      <c r="AW477" s="416"/>
      <c r="AX477" s="416"/>
      <c r="AY477" s="416"/>
      <c r="AZ477" s="416"/>
      <c r="BA477" s="416"/>
      <c r="BB477" s="32"/>
    </row>
    <row r="478" spans="2:54">
      <c r="B478" s="1256" t="s">
        <v>548</v>
      </c>
      <c r="C478" s="1257"/>
      <c r="D478" s="411" t="s">
        <v>1853</v>
      </c>
      <c r="E478" s="411"/>
      <c r="F478" s="411" t="s">
        <v>1303</v>
      </c>
      <c r="G478" s="411" t="s">
        <v>1304</v>
      </c>
      <c r="H478" s="412">
        <v>5285.5290000000005</v>
      </c>
      <c r="I478" s="413" t="s">
        <v>240</v>
      </c>
      <c r="J478" s="414">
        <v>45104.666666666664</v>
      </c>
      <c r="K478" s="414"/>
      <c r="L478" s="414" t="s">
        <v>192</v>
      </c>
      <c r="M478" s="414" t="s">
        <v>192</v>
      </c>
      <c r="N478" s="413" t="str">
        <f t="shared" si="51"/>
        <v>On time</v>
      </c>
      <c r="O478" s="51"/>
      <c r="P478" s="415" t="s">
        <v>551</v>
      </c>
      <c r="Q478" s="415" t="s">
        <v>551</v>
      </c>
      <c r="R478" s="415" t="s">
        <v>551</v>
      </c>
      <c r="S478" s="32"/>
      <c r="T478" s="416"/>
      <c r="U478" s="416"/>
      <c r="V478" s="416"/>
      <c r="W478" s="416"/>
      <c r="X478" s="416"/>
      <c r="Y478" s="416"/>
      <c r="Z478" s="416"/>
      <c r="AA478" s="416"/>
      <c r="AB478" s="416"/>
      <c r="AC478" s="416">
        <f>H478</f>
        <v>5285.5290000000005</v>
      </c>
      <c r="AD478" s="416"/>
      <c r="AE478" s="416"/>
      <c r="AF478" s="416"/>
      <c r="AG478" s="416"/>
      <c r="AH478" s="416"/>
      <c r="AI478" s="416"/>
      <c r="AJ478" s="416"/>
      <c r="AK478" s="416"/>
      <c r="AL478" s="416"/>
      <c r="AM478" s="416"/>
      <c r="AN478" s="416"/>
      <c r="AO478" s="416"/>
      <c r="AP478" s="416"/>
      <c r="AQ478" s="416"/>
      <c r="AR478" s="416"/>
      <c r="AS478" s="416"/>
      <c r="AT478" s="416"/>
      <c r="AU478" s="416"/>
      <c r="AV478" s="416"/>
      <c r="AW478" s="416"/>
      <c r="AX478" s="416"/>
      <c r="AY478" s="416"/>
      <c r="AZ478" s="416"/>
      <c r="BA478" s="416"/>
      <c r="BB478" s="32"/>
    </row>
    <row r="479" spans="2:54">
      <c r="B479" s="1256" t="s">
        <v>548</v>
      </c>
      <c r="C479" s="1257"/>
      <c r="D479" s="411" t="s">
        <v>1851</v>
      </c>
      <c r="E479" s="411"/>
      <c r="F479" s="411" t="s">
        <v>323</v>
      </c>
      <c r="G479" s="411" t="s">
        <v>324</v>
      </c>
      <c r="H479" s="412">
        <f>7504.398-6333.999</f>
        <v>1170.3990000000003</v>
      </c>
      <c r="I479" s="413" t="s">
        <v>240</v>
      </c>
      <c r="J479" s="414">
        <v>45105.416666666664</v>
      </c>
      <c r="K479" s="414"/>
      <c r="L479" s="414" t="s">
        <v>192</v>
      </c>
      <c r="M479" s="414" t="s">
        <v>192</v>
      </c>
      <c r="N479" s="413" t="str">
        <f t="shared" si="51"/>
        <v>On time</v>
      </c>
      <c r="O479" s="51"/>
      <c r="P479" s="415" t="s">
        <v>551</v>
      </c>
      <c r="Q479" s="415" t="s">
        <v>551</v>
      </c>
      <c r="R479" s="415" t="s">
        <v>551</v>
      </c>
      <c r="S479" s="32"/>
      <c r="T479" s="416"/>
      <c r="U479" s="416"/>
      <c r="V479" s="416"/>
      <c r="W479" s="416"/>
      <c r="X479" s="416"/>
      <c r="Y479" s="416"/>
      <c r="Z479" s="416"/>
      <c r="AA479" s="416"/>
      <c r="AB479" s="416"/>
      <c r="AC479" s="416">
        <f>H479-H483</f>
        <v>-4806.6009999999997</v>
      </c>
      <c r="AD479" s="416"/>
      <c r="AE479" s="416"/>
      <c r="AF479" s="416"/>
      <c r="AG479" s="416"/>
      <c r="AH479" s="416"/>
      <c r="AI479" s="416"/>
      <c r="AJ479" s="416"/>
      <c r="AK479" s="416"/>
      <c r="AL479" s="416"/>
      <c r="AM479" s="416"/>
      <c r="AN479" s="416"/>
      <c r="AO479" s="416"/>
      <c r="AP479" s="416"/>
      <c r="AQ479" s="416"/>
      <c r="AR479" s="416"/>
      <c r="AS479" s="416"/>
      <c r="AT479" s="416"/>
      <c r="AU479" s="416"/>
      <c r="AV479" s="416"/>
      <c r="AW479" s="416"/>
      <c r="AX479" s="416"/>
      <c r="AY479" s="416"/>
      <c r="AZ479" s="416"/>
      <c r="BA479" s="416"/>
      <c r="BB479" s="32"/>
    </row>
    <row r="480" spans="2:54">
      <c r="B480" s="1258" t="s">
        <v>556</v>
      </c>
      <c r="C480" s="1259"/>
      <c r="D480" s="1259"/>
      <c r="E480" s="1259"/>
      <c r="F480" s="1259"/>
      <c r="G480" s="1260"/>
      <c r="H480" s="417">
        <f>SUM(H465:H479)</f>
        <v>67000</v>
      </c>
      <c r="I480" s="388"/>
      <c r="J480" s="293"/>
      <c r="K480" s="293"/>
      <c r="L480" s="293"/>
      <c r="M480" s="389"/>
      <c r="N480" s="413" t="str">
        <f t="shared" si="51"/>
        <v xml:space="preserve"> </v>
      </c>
      <c r="O480" s="212"/>
      <c r="P480" s="418"/>
      <c r="Q480" s="418"/>
      <c r="R480" s="418"/>
      <c r="S480" s="207"/>
      <c r="T480" s="1262"/>
      <c r="U480" s="1263"/>
      <c r="V480" s="1263"/>
      <c r="W480" s="1263"/>
      <c r="X480" s="1263"/>
      <c r="Y480" s="1263"/>
      <c r="Z480" s="1263"/>
      <c r="AA480" s="1263"/>
      <c r="AB480" s="1263"/>
      <c r="AC480" s="1263"/>
      <c r="AD480" s="1263"/>
      <c r="AE480" s="1263"/>
      <c r="AF480" s="1263"/>
      <c r="AG480" s="1263"/>
      <c r="AH480" s="1263"/>
      <c r="AI480" s="1263"/>
      <c r="AJ480" s="1263"/>
      <c r="AK480" s="1263"/>
      <c r="AL480" s="1263"/>
      <c r="AM480" s="1263"/>
      <c r="AN480" s="1263"/>
      <c r="AO480" s="1263"/>
      <c r="AP480" s="1263"/>
      <c r="AQ480" s="1263"/>
      <c r="AR480" s="1263"/>
      <c r="AS480" s="1263"/>
      <c r="AT480" s="1263"/>
      <c r="AU480" s="1263"/>
      <c r="AV480" s="1263"/>
      <c r="AW480" s="1263"/>
      <c r="AX480" s="1263"/>
      <c r="AY480" s="1263"/>
      <c r="AZ480" s="1263"/>
      <c r="BA480" s="1263"/>
    </row>
    <row r="481" spans="2:56">
      <c r="B481" s="1243" t="s">
        <v>557</v>
      </c>
      <c r="C481" s="1244"/>
      <c r="D481" s="1244"/>
      <c r="E481" s="1244"/>
      <c r="F481" s="1244"/>
      <c r="G481" s="1245"/>
      <c r="H481" s="419">
        <v>67000</v>
      </c>
      <c r="I481" s="1273"/>
      <c r="J481" s="1274"/>
      <c r="K481" s="1274"/>
      <c r="L481" s="1274"/>
      <c r="M481" s="1275"/>
      <c r="N481" s="413" t="str">
        <f t="shared" si="51"/>
        <v xml:space="preserve"> </v>
      </c>
      <c r="O481" s="32"/>
      <c r="P481" s="415"/>
      <c r="Q481" s="415"/>
      <c r="R481" s="415"/>
      <c r="S481" s="63"/>
      <c r="T481" s="416">
        <f>SUM(T465:T479)</f>
        <v>0</v>
      </c>
      <c r="U481" s="416">
        <f t="shared" ref="U481:BA481" si="53">SUM(U465:U479)</f>
        <v>0</v>
      </c>
      <c r="V481" s="416">
        <f t="shared" si="53"/>
        <v>0</v>
      </c>
      <c r="W481" s="416">
        <f t="shared" si="53"/>
        <v>0</v>
      </c>
      <c r="X481" s="416">
        <f t="shared" si="53"/>
        <v>15060.620999999999</v>
      </c>
      <c r="Y481" s="416">
        <f t="shared" si="53"/>
        <v>0</v>
      </c>
      <c r="Z481" s="416">
        <f t="shared" si="53"/>
        <v>0</v>
      </c>
      <c r="AA481" s="416">
        <f t="shared" si="53"/>
        <v>0</v>
      </c>
      <c r="AB481" s="416">
        <f t="shared" si="53"/>
        <v>0</v>
      </c>
      <c r="AC481" s="416">
        <f t="shared" si="53"/>
        <v>32739.053000000004</v>
      </c>
      <c r="AD481" s="416">
        <f t="shared" si="53"/>
        <v>0</v>
      </c>
      <c r="AE481" s="416">
        <f t="shared" si="53"/>
        <v>0</v>
      </c>
      <c r="AF481" s="416">
        <f t="shared" si="53"/>
        <v>0</v>
      </c>
      <c r="AG481" s="416">
        <f t="shared" si="53"/>
        <v>0</v>
      </c>
      <c r="AH481" s="416">
        <f t="shared" si="53"/>
        <v>0</v>
      </c>
      <c r="AI481" s="416">
        <f t="shared" si="53"/>
        <v>0</v>
      </c>
      <c r="AJ481" s="416">
        <f t="shared" si="53"/>
        <v>0</v>
      </c>
      <c r="AK481" s="416">
        <f t="shared" si="53"/>
        <v>0</v>
      </c>
      <c r="AL481" s="416">
        <f t="shared" si="53"/>
        <v>0</v>
      </c>
      <c r="AM481" s="416">
        <f t="shared" si="53"/>
        <v>0</v>
      </c>
      <c r="AN481" s="416">
        <f t="shared" si="53"/>
        <v>0</v>
      </c>
      <c r="AO481" s="416">
        <f t="shared" si="53"/>
        <v>0</v>
      </c>
      <c r="AP481" s="416">
        <f t="shared" si="53"/>
        <v>0</v>
      </c>
      <c r="AQ481" s="416">
        <f t="shared" si="53"/>
        <v>0</v>
      </c>
      <c r="AR481" s="416">
        <f t="shared" si="53"/>
        <v>0</v>
      </c>
      <c r="AS481" s="416">
        <f t="shared" si="53"/>
        <v>0</v>
      </c>
      <c r="AT481" s="416">
        <f t="shared" si="53"/>
        <v>5389</v>
      </c>
      <c r="AU481" s="416">
        <f t="shared" si="53"/>
        <v>7834.326</v>
      </c>
      <c r="AV481" s="416">
        <f t="shared" si="53"/>
        <v>0</v>
      </c>
      <c r="AW481" s="416">
        <f t="shared" si="53"/>
        <v>0</v>
      </c>
      <c r="AX481" s="416">
        <f t="shared" si="53"/>
        <v>0</v>
      </c>
      <c r="AY481" s="416">
        <f t="shared" si="53"/>
        <v>0</v>
      </c>
      <c r="AZ481" s="416">
        <f t="shared" si="53"/>
        <v>0</v>
      </c>
      <c r="BA481" s="416">
        <f t="shared" si="53"/>
        <v>0</v>
      </c>
      <c r="BB481" s="416">
        <f>SUM(T481:BA481)</f>
        <v>61023</v>
      </c>
    </row>
    <row r="482" spans="2:56">
      <c r="B482" s="1243" t="s">
        <v>558</v>
      </c>
      <c r="C482" s="1244"/>
      <c r="D482" s="1244"/>
      <c r="E482" s="1244"/>
      <c r="F482" s="1244"/>
      <c r="G482" s="1245"/>
      <c r="H482" s="420">
        <f>H481-L459</f>
        <v>0</v>
      </c>
      <c r="I482" s="294"/>
      <c r="J482" s="295"/>
      <c r="K482" s="295"/>
      <c r="L482" s="296"/>
      <c r="M482" s="32"/>
      <c r="N482" s="32"/>
      <c r="O482" s="32"/>
      <c r="P482" s="32"/>
      <c r="Q482" s="297"/>
      <c r="R482" s="297"/>
      <c r="S482" s="32"/>
      <c r="T482" s="48"/>
      <c r="U482" s="48"/>
      <c r="V482" s="48"/>
      <c r="W482" s="48"/>
      <c r="X482" s="48"/>
      <c r="Y482" s="48"/>
      <c r="Z482" s="48"/>
      <c r="AA482" s="48"/>
      <c r="AB482" s="48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</row>
    <row r="483" spans="2:56">
      <c r="B483" s="1243" t="s">
        <v>559</v>
      </c>
      <c r="C483" s="1244"/>
      <c r="D483" s="1244"/>
      <c r="E483" s="1244"/>
      <c r="F483" s="1244"/>
      <c r="G483" s="1245"/>
      <c r="H483" s="446">
        <v>5977</v>
      </c>
      <c r="I483" s="52"/>
      <c r="J483" s="53">
        <f>7834.326/4</f>
        <v>1958.5815</v>
      </c>
      <c r="K483" s="53"/>
      <c r="L483" s="54">
        <v>1958.5815</v>
      </c>
      <c r="M483" s="32"/>
      <c r="N483" s="201"/>
      <c r="O483" s="32"/>
      <c r="P483" s="32"/>
      <c r="Q483" s="32"/>
      <c r="R483" s="32"/>
      <c r="S483" s="32"/>
      <c r="T483" s="48"/>
      <c r="U483" s="48"/>
      <c r="V483" s="48"/>
      <c r="W483" s="48"/>
      <c r="X483" s="48"/>
      <c r="Y483" s="48"/>
      <c r="Z483" s="48"/>
      <c r="AA483" s="48"/>
      <c r="AB483" s="48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</row>
    <row r="484" spans="2:56">
      <c r="B484" s="1243" t="s">
        <v>560</v>
      </c>
      <c r="C484" s="1244"/>
      <c r="D484" s="1244"/>
      <c r="E484" s="1244"/>
      <c r="F484" s="1244"/>
      <c r="G484" s="1245"/>
      <c r="H484" s="421">
        <f>H483-6333.999</f>
        <v>-356.9989999999998</v>
      </c>
      <c r="I484" s="52"/>
      <c r="J484" s="53"/>
      <c r="K484" s="53"/>
      <c r="L484" s="54"/>
      <c r="M484" s="32"/>
      <c r="N484" s="32"/>
      <c r="O484" s="32"/>
      <c r="P484" s="32"/>
      <c r="Q484" s="32"/>
      <c r="R484" s="32"/>
      <c r="S484" s="48"/>
      <c r="T484" s="48"/>
      <c r="U484" s="48"/>
      <c r="V484" s="48"/>
      <c r="W484" s="48"/>
      <c r="X484" s="48"/>
      <c r="Y484" s="48"/>
      <c r="Z484" s="48"/>
      <c r="AA484" s="48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 spans="2:56">
      <c r="B485" s="201"/>
      <c r="C485" s="201"/>
      <c r="D485" s="201"/>
      <c r="E485" s="201"/>
      <c r="F485" s="201"/>
      <c r="G485" s="201"/>
      <c r="H485" s="201"/>
      <c r="I485" s="213"/>
      <c r="J485" s="209"/>
      <c r="K485" s="209"/>
      <c r="L485" s="203"/>
      <c r="M485" s="201"/>
      <c r="N485" s="201"/>
      <c r="O485" s="209"/>
      <c r="P485" s="32"/>
      <c r="Q485" s="32"/>
      <c r="R485" s="32"/>
      <c r="S485" s="32"/>
      <c r="T485" s="48"/>
      <c r="U485" s="48"/>
      <c r="V485" s="48"/>
      <c r="W485" s="48"/>
      <c r="X485" s="48"/>
      <c r="Y485" s="48"/>
      <c r="Z485" s="48"/>
      <c r="AA485" s="48"/>
      <c r="AB485" s="48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</row>
    <row r="486" spans="2:56">
      <c r="B486" s="40" t="s">
        <v>561</v>
      </c>
      <c r="C486" s="40"/>
      <c r="D486" s="32"/>
      <c r="E486" s="32"/>
      <c r="F486" s="32"/>
      <c r="G486" s="32"/>
      <c r="H486" s="32"/>
      <c r="I486" s="32"/>
      <c r="J486" s="52"/>
      <c r="K486" s="52"/>
      <c r="L486" s="55"/>
      <c r="M486" s="32"/>
      <c r="N486" s="201"/>
      <c r="O486" s="5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  <c r="AA486" s="202"/>
      <c r="AB486" s="201"/>
      <c r="AC486" s="201"/>
      <c r="AD486" s="201"/>
      <c r="AE486" s="201"/>
      <c r="AF486" s="201"/>
      <c r="AG486" s="201"/>
      <c r="AH486" s="201"/>
      <c r="AI486" s="201"/>
      <c r="AJ486" s="201"/>
      <c r="AK486" s="201"/>
      <c r="AL486" s="201"/>
      <c r="AM486" s="201"/>
      <c r="AN486" s="201"/>
      <c r="AO486" s="201"/>
      <c r="AP486" s="201"/>
      <c r="AQ486" s="201"/>
      <c r="AR486" s="201"/>
      <c r="AS486" s="201"/>
      <c r="AT486" s="201"/>
      <c r="AU486" s="201"/>
      <c r="BB486" s="201"/>
    </row>
    <row r="487" spans="2:56">
      <c r="B487" s="422">
        <v>1</v>
      </c>
      <c r="C487" s="1249" t="s">
        <v>2038</v>
      </c>
      <c r="D487" s="1249"/>
      <c r="E487" s="1249"/>
      <c r="F487" s="1249"/>
      <c r="G487" s="1249"/>
      <c r="H487" s="1249"/>
      <c r="I487" s="1249"/>
      <c r="J487" s="1249"/>
      <c r="K487" s="1249"/>
      <c r="L487" s="203"/>
      <c r="M487" s="203"/>
      <c r="N487" s="201"/>
      <c r="O487" s="209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  <c r="AA487" s="202"/>
      <c r="AB487" s="201"/>
      <c r="AC487" s="201"/>
      <c r="AD487" s="201"/>
      <c r="AE487" s="201"/>
      <c r="AF487" s="201"/>
      <c r="AG487" s="201"/>
      <c r="AH487" s="201"/>
      <c r="AI487" s="201"/>
      <c r="AJ487" s="201"/>
      <c r="AK487" s="201"/>
      <c r="AL487" s="201"/>
      <c r="AM487" s="201"/>
      <c r="AN487" s="201"/>
      <c r="AO487" s="201"/>
      <c r="AP487" s="201"/>
      <c r="AQ487" s="201"/>
      <c r="AR487" s="201"/>
      <c r="AS487" s="201"/>
      <c r="AT487" s="201"/>
      <c r="AU487" s="201"/>
      <c r="AV487" s="201"/>
      <c r="AW487" s="201"/>
      <c r="AX487" s="201"/>
      <c r="AY487" s="201"/>
      <c r="AZ487" s="201"/>
      <c r="BA487" s="201"/>
      <c r="BB487" s="201"/>
    </row>
    <row r="489" spans="2:56">
      <c r="B489" s="28" t="s">
        <v>126</v>
      </c>
      <c r="C489" s="28"/>
      <c r="D489" s="29"/>
      <c r="E489" s="30" t="s">
        <v>511</v>
      </c>
      <c r="F489" s="31" t="s">
        <v>1345</v>
      </c>
      <c r="G489" s="32"/>
      <c r="H489" s="33"/>
      <c r="I489" s="34"/>
      <c r="J489" s="35" t="s">
        <v>513</v>
      </c>
      <c r="K489" s="36" t="s">
        <v>511</v>
      </c>
      <c r="L489" s="37">
        <v>45105.802083333336</v>
      </c>
      <c r="M489" s="32"/>
      <c r="N489" s="32"/>
      <c r="O489" s="206"/>
      <c r="P489" s="205"/>
      <c r="Q489" s="202"/>
      <c r="R489" s="204"/>
      <c r="S489" s="38"/>
      <c r="T489" s="201"/>
      <c r="U489" s="201"/>
      <c r="V489" s="201"/>
      <c r="W489" s="201"/>
      <c r="X489" s="201"/>
      <c r="Y489" s="201"/>
      <c r="Z489" s="201"/>
      <c r="AA489" s="201"/>
      <c r="AB489" s="202"/>
      <c r="AC489" s="202"/>
      <c r="AD489" s="202"/>
      <c r="AE489" s="202"/>
      <c r="AF489" s="202"/>
      <c r="AG489" s="201"/>
      <c r="AH489" s="201"/>
      <c r="AI489" s="201"/>
      <c r="AJ489" s="201"/>
      <c r="AK489" s="201"/>
      <c r="AL489" s="201"/>
      <c r="AM489" s="201"/>
      <c r="AN489" s="201"/>
      <c r="AO489" s="201"/>
      <c r="AP489" s="201"/>
      <c r="AQ489" s="201"/>
      <c r="AR489" s="201"/>
      <c r="AS489" s="201"/>
      <c r="AT489" s="201"/>
      <c r="AU489" s="201"/>
      <c r="AV489" s="201"/>
      <c r="AW489" s="201"/>
      <c r="AX489" s="201"/>
      <c r="AY489" s="201"/>
      <c r="AZ489" s="201"/>
      <c r="BA489" s="201"/>
      <c r="BB489" s="201"/>
      <c r="BC489" s="201"/>
      <c r="BD489" s="201"/>
    </row>
    <row r="490" spans="2:56">
      <c r="B490" s="35" t="s">
        <v>514</v>
      </c>
      <c r="C490" s="35"/>
      <c r="D490" s="32"/>
      <c r="E490" s="36" t="s">
        <v>511</v>
      </c>
      <c r="F490" s="37" t="s">
        <v>2039</v>
      </c>
      <c r="G490" s="32"/>
      <c r="H490" s="33"/>
      <c r="I490" s="34"/>
      <c r="J490" s="35" t="s">
        <v>516</v>
      </c>
      <c r="K490" s="36" t="s">
        <v>511</v>
      </c>
      <c r="L490" s="37" t="s">
        <v>2040</v>
      </c>
      <c r="M490" s="32"/>
      <c r="N490" s="32"/>
      <c r="O490" s="206"/>
      <c r="P490" s="205"/>
      <c r="Q490" s="202"/>
      <c r="R490" s="204"/>
      <c r="S490" s="38"/>
      <c r="T490" s="201"/>
      <c r="U490" s="201"/>
      <c r="V490" s="201"/>
      <c r="W490" s="201"/>
      <c r="X490" s="201"/>
      <c r="Y490" s="201"/>
      <c r="Z490" s="201"/>
      <c r="AA490" s="201"/>
      <c r="AB490" s="202"/>
      <c r="AC490" s="202"/>
      <c r="AD490" s="202"/>
      <c r="AE490" s="202"/>
      <c r="AF490" s="202"/>
      <c r="AG490" s="201"/>
      <c r="AH490" s="201"/>
      <c r="AI490" s="201"/>
      <c r="AJ490" s="201"/>
      <c r="AK490" s="201"/>
      <c r="AL490" s="201"/>
      <c r="AM490" s="201"/>
      <c r="AN490" s="201"/>
      <c r="AO490" s="201"/>
      <c r="AP490" s="201"/>
      <c r="AQ490" s="201"/>
      <c r="AR490" s="201"/>
      <c r="AS490" s="201"/>
      <c r="AT490" s="201"/>
      <c r="AU490" s="201"/>
      <c r="AV490" s="201"/>
      <c r="AW490" s="201"/>
      <c r="AX490" s="201"/>
      <c r="AY490" s="201"/>
      <c r="AZ490" s="201"/>
      <c r="BA490" s="201"/>
      <c r="BB490" s="201"/>
      <c r="BC490" s="201"/>
      <c r="BD490" s="201"/>
    </row>
    <row r="491" spans="2:56">
      <c r="B491" s="35" t="s">
        <v>517</v>
      </c>
      <c r="C491" s="35"/>
      <c r="D491" s="32"/>
      <c r="E491" s="36" t="s">
        <v>511</v>
      </c>
      <c r="F491" s="37">
        <v>45105.616666666669</v>
      </c>
      <c r="G491" s="32"/>
      <c r="H491" s="33"/>
      <c r="I491" s="34"/>
      <c r="J491" s="35" t="s">
        <v>518</v>
      </c>
      <c r="K491" s="36" t="s">
        <v>511</v>
      </c>
      <c r="L491" s="50">
        <v>65600</v>
      </c>
      <c r="M491" s="40" t="s">
        <v>519</v>
      </c>
      <c r="N491" s="40"/>
      <c r="O491" s="206"/>
      <c r="P491" s="205"/>
      <c r="Q491" s="202"/>
      <c r="R491" s="204"/>
      <c r="S491" s="38"/>
      <c r="T491" s="201"/>
      <c r="U491" s="201"/>
      <c r="V491" s="201"/>
      <c r="W491" s="201"/>
      <c r="X491" s="201"/>
      <c r="Y491" s="201"/>
      <c r="Z491" s="201"/>
      <c r="AA491" s="201"/>
      <c r="AB491" s="202"/>
      <c r="AC491" s="202"/>
      <c r="AD491" s="202"/>
      <c r="AE491" s="202"/>
      <c r="AF491" s="202"/>
      <c r="AG491" s="201"/>
      <c r="AH491" s="201"/>
      <c r="AI491" s="201"/>
      <c r="AJ491" s="201"/>
      <c r="AK491" s="201"/>
      <c r="AL491" s="201"/>
      <c r="AM491" s="201"/>
      <c r="AN491" s="201"/>
      <c r="AO491" s="201"/>
      <c r="AP491" s="201"/>
      <c r="AQ491" s="201"/>
      <c r="AR491" s="201"/>
      <c r="AS491" s="201"/>
      <c r="AT491" s="201"/>
      <c r="AU491" s="201"/>
      <c r="AV491" s="201"/>
      <c r="AW491" s="201"/>
      <c r="AX491" s="201"/>
      <c r="AY491" s="201"/>
      <c r="AZ491" s="201"/>
      <c r="BA491" s="201"/>
      <c r="BB491" s="201"/>
      <c r="BC491" s="201"/>
      <c r="BD491" s="201"/>
    </row>
    <row r="492" spans="2:56">
      <c r="B492" s="35" t="s">
        <v>520</v>
      </c>
      <c r="C492" s="35"/>
      <c r="D492" s="32"/>
      <c r="E492" s="36" t="s">
        <v>511</v>
      </c>
      <c r="F492" s="37" t="s">
        <v>20</v>
      </c>
      <c r="G492" s="32"/>
      <c r="H492" s="33"/>
      <c r="I492" s="34"/>
      <c r="J492" s="35" t="s">
        <v>521</v>
      </c>
      <c r="K492" s="36" t="s">
        <v>511</v>
      </c>
      <c r="L492" s="41" t="s">
        <v>2041</v>
      </c>
      <c r="M492" s="32"/>
      <c r="N492" s="32"/>
      <c r="O492" s="206"/>
      <c r="P492" s="202"/>
      <c r="Q492" s="202"/>
      <c r="R492" s="204"/>
      <c r="S492" s="38"/>
      <c r="T492" s="201"/>
      <c r="U492" s="201"/>
      <c r="V492" s="201"/>
      <c r="W492" s="201"/>
      <c r="X492" s="201"/>
      <c r="Y492" s="201"/>
      <c r="Z492" s="201"/>
      <c r="AA492" s="201"/>
      <c r="AB492" s="202"/>
      <c r="AC492" s="202"/>
      <c r="AD492" s="202"/>
      <c r="AE492" s="202"/>
      <c r="AF492" s="202"/>
      <c r="AG492" s="201"/>
      <c r="AH492" s="201"/>
      <c r="AI492" s="201"/>
      <c r="AJ492" s="201"/>
      <c r="AK492" s="201"/>
      <c r="AL492" s="201"/>
      <c r="AM492" s="201"/>
      <c r="AN492" s="201"/>
      <c r="AO492" s="201"/>
      <c r="AP492" s="201"/>
      <c r="AQ492" s="201"/>
      <c r="AR492" s="201"/>
      <c r="AS492" s="201"/>
      <c r="AT492" s="201"/>
      <c r="AU492" s="201"/>
      <c r="AV492" s="201"/>
      <c r="AW492" s="201"/>
      <c r="AX492" s="201"/>
      <c r="AY492" s="201"/>
      <c r="AZ492" s="201"/>
      <c r="BA492" s="201"/>
      <c r="BB492" s="201"/>
      <c r="BC492" s="201"/>
      <c r="BD492" s="201"/>
    </row>
    <row r="493" spans="2:56">
      <c r="B493" s="35" t="s">
        <v>523</v>
      </c>
      <c r="C493" s="35"/>
      <c r="D493" s="32"/>
      <c r="E493" s="36" t="s">
        <v>511</v>
      </c>
      <c r="F493" s="37" t="s">
        <v>47</v>
      </c>
      <c r="G493" s="32"/>
      <c r="H493" s="33"/>
      <c r="I493" s="34"/>
      <c r="J493" s="42" t="s">
        <v>524</v>
      </c>
      <c r="K493" s="36" t="s">
        <v>511</v>
      </c>
      <c r="L493" s="43" t="s">
        <v>15</v>
      </c>
      <c r="M493" s="44"/>
      <c r="N493" s="44"/>
      <c r="O493" s="206"/>
      <c r="P493" s="205"/>
      <c r="Q493" s="202"/>
      <c r="R493" s="204"/>
      <c r="S493" s="38"/>
      <c r="T493" s="201"/>
      <c r="U493" s="201"/>
      <c r="V493" s="201"/>
      <c r="W493" s="201"/>
      <c r="X493" s="201"/>
      <c r="Y493" s="201"/>
      <c r="Z493" s="201"/>
      <c r="AA493" s="201"/>
      <c r="AB493" s="202"/>
      <c r="AC493" s="202"/>
      <c r="AD493" s="202"/>
      <c r="AE493" s="202"/>
      <c r="AF493" s="202"/>
      <c r="AG493" s="201"/>
      <c r="AH493" s="201"/>
      <c r="AI493" s="201"/>
      <c r="AJ493" s="201"/>
      <c r="AK493" s="201"/>
      <c r="AL493" s="201"/>
      <c r="AM493" s="201"/>
      <c r="AN493" s="201"/>
      <c r="AO493" s="201"/>
      <c r="AP493" s="201"/>
      <c r="AQ493" s="201"/>
      <c r="AR493" s="201"/>
      <c r="AS493" s="201"/>
      <c r="AT493" s="201"/>
      <c r="AU493" s="201"/>
      <c r="AV493" s="201"/>
      <c r="AW493" s="201"/>
      <c r="AX493" s="201"/>
      <c r="AY493" s="201"/>
      <c r="AZ493" s="201"/>
      <c r="BA493" s="201"/>
      <c r="BB493" s="201"/>
      <c r="BC493" s="201"/>
      <c r="BD493" s="201"/>
    </row>
    <row r="494" spans="2:56">
      <c r="B494" s="35" t="s">
        <v>2</v>
      </c>
      <c r="C494" s="35"/>
      <c r="D494" s="32"/>
      <c r="E494" s="36" t="s">
        <v>511</v>
      </c>
      <c r="F494" s="37" t="s">
        <v>14</v>
      </c>
      <c r="G494" s="32"/>
      <c r="H494" s="33"/>
      <c r="I494" s="45"/>
      <c r="J494" s="42"/>
      <c r="K494" s="36"/>
      <c r="L494" s="211"/>
      <c r="M494" s="201"/>
      <c r="N494" s="201"/>
      <c r="O494" s="42"/>
      <c r="P494" s="44"/>
      <c r="Q494" s="44"/>
      <c r="R494" s="44"/>
      <c r="S494" s="34"/>
      <c r="T494" s="201"/>
      <c r="U494" s="201"/>
      <c r="V494" s="201"/>
      <c r="W494" s="201"/>
      <c r="X494" s="201"/>
      <c r="Y494" s="201"/>
      <c r="Z494" s="201"/>
      <c r="AA494" s="201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201"/>
      <c r="AP494" s="201"/>
      <c r="AQ494" s="201"/>
      <c r="AR494" s="201"/>
      <c r="AS494" s="201"/>
      <c r="AT494" s="201"/>
      <c r="AU494" s="201"/>
      <c r="AV494" s="201"/>
      <c r="AW494" s="201"/>
      <c r="AX494" s="201"/>
      <c r="AY494" s="201"/>
      <c r="AZ494" s="201"/>
      <c r="BA494" s="201"/>
      <c r="BB494" s="201"/>
      <c r="BC494" s="201"/>
      <c r="BD494" s="201"/>
    </row>
    <row r="495" spans="2:56">
      <c r="B495" s="201"/>
      <c r="C495" s="201"/>
      <c r="D495" s="201"/>
      <c r="E495" s="201"/>
      <c r="F495" s="201"/>
      <c r="G495" s="201"/>
      <c r="H495" s="201"/>
      <c r="I495" s="45"/>
      <c r="J495" s="42"/>
      <c r="K495" s="42"/>
      <c r="L495" s="43"/>
      <c r="M495" s="44"/>
      <c r="N495" s="44"/>
      <c r="O495" s="42"/>
      <c r="P495" s="44"/>
      <c r="Q495" s="44"/>
      <c r="R495" s="44"/>
      <c r="S495" s="34"/>
      <c r="T495" s="1265" t="s">
        <v>87</v>
      </c>
      <c r="U495" s="1265"/>
      <c r="V495" s="1265"/>
      <c r="W495" s="1265"/>
      <c r="X495" s="1265"/>
      <c r="Y495" s="1265" t="s">
        <v>73</v>
      </c>
      <c r="Z495" s="1265"/>
      <c r="AA495" s="1265"/>
      <c r="AB495" s="1265" t="s">
        <v>74</v>
      </c>
      <c r="AC495" s="1265"/>
      <c r="AD495" s="423" t="s">
        <v>85</v>
      </c>
      <c r="AE495" s="423" t="s">
        <v>77</v>
      </c>
      <c r="AF495" s="1265" t="s">
        <v>525</v>
      </c>
      <c r="AG495" s="1265"/>
      <c r="AH495" s="1265"/>
      <c r="AI495" s="1265"/>
      <c r="AJ495" s="1265"/>
      <c r="AK495" s="1265"/>
      <c r="AL495" s="1265"/>
      <c r="AM495" s="1265"/>
      <c r="AN495" s="1265"/>
      <c r="AO495" s="1265"/>
      <c r="AP495" s="1265"/>
      <c r="AQ495" s="1265"/>
      <c r="AR495" s="1265"/>
      <c r="AS495" s="1265"/>
      <c r="AT495" s="1265"/>
      <c r="AU495" s="1265"/>
      <c r="AV495" s="1265"/>
      <c r="AW495" s="1265"/>
      <c r="AX495" s="1265"/>
      <c r="AY495" s="1265"/>
      <c r="AZ495" s="1265"/>
      <c r="BA495" s="1265"/>
      <c r="BB495" s="1265"/>
      <c r="BC495" s="1265"/>
      <c r="BD495" s="201"/>
    </row>
    <row r="496" spans="2:56">
      <c r="B496" s="1266" t="s">
        <v>526</v>
      </c>
      <c r="C496" s="1267"/>
      <c r="D496" s="570" t="s">
        <v>527</v>
      </c>
      <c r="E496" s="570"/>
      <c r="F496" s="570" t="s">
        <v>528</v>
      </c>
      <c r="G496" s="570" t="s">
        <v>529</v>
      </c>
      <c r="H496" s="570" t="s">
        <v>530</v>
      </c>
      <c r="I496" s="570" t="s">
        <v>531</v>
      </c>
      <c r="J496" s="570" t="s">
        <v>532</v>
      </c>
      <c r="K496" s="570"/>
      <c r="L496" s="570" t="s">
        <v>130</v>
      </c>
      <c r="M496" s="570" t="s">
        <v>533</v>
      </c>
      <c r="N496" s="408" t="str">
        <f>"On time - "&amp;COUNTIF(N497:N506,"On time")&amp;" from "&amp;ROWS(N497:N506)-COUNTIF(N497:N506," ")</f>
        <v>On time - 7 from 7</v>
      </c>
      <c r="O496" s="46"/>
      <c r="P496" s="409" t="s">
        <v>534</v>
      </c>
      <c r="Q496" s="409" t="s">
        <v>535</v>
      </c>
      <c r="R496" s="409" t="s">
        <v>536</v>
      </c>
      <c r="S496" s="32"/>
      <c r="T496" s="424" t="s">
        <v>537</v>
      </c>
      <c r="U496" s="424" t="s">
        <v>538</v>
      </c>
      <c r="V496" s="424" t="s">
        <v>539</v>
      </c>
      <c r="W496" s="424" t="s">
        <v>540</v>
      </c>
      <c r="X496" s="424" t="s">
        <v>541</v>
      </c>
      <c r="Y496" s="424" t="s">
        <v>167</v>
      </c>
      <c r="Z496" s="424" t="s">
        <v>168</v>
      </c>
      <c r="AA496" s="424" t="s">
        <v>169</v>
      </c>
      <c r="AB496" s="424" t="s">
        <v>235</v>
      </c>
      <c r="AC496" s="424" t="s">
        <v>240</v>
      </c>
      <c r="AD496" s="423" t="s">
        <v>85</v>
      </c>
      <c r="AE496" s="424" t="s">
        <v>139</v>
      </c>
      <c r="AF496" s="424" t="s">
        <v>72</v>
      </c>
      <c r="AG496" s="424" t="s">
        <v>88</v>
      </c>
      <c r="AH496" s="424" t="s">
        <v>75</v>
      </c>
      <c r="AI496" s="424" t="s">
        <v>543</v>
      </c>
      <c r="AJ496" s="424" t="s">
        <v>78</v>
      </c>
      <c r="AK496" s="424" t="s">
        <v>76</v>
      </c>
      <c r="AL496" s="424" t="s">
        <v>544</v>
      </c>
      <c r="AM496" s="424" t="s">
        <v>545</v>
      </c>
      <c r="AN496" s="424" t="s">
        <v>86</v>
      </c>
      <c r="AO496" s="424" t="s">
        <v>83</v>
      </c>
      <c r="AP496" s="424" t="s">
        <v>84</v>
      </c>
      <c r="AQ496" s="424" t="s">
        <v>546</v>
      </c>
      <c r="AR496" s="424" t="s">
        <v>81</v>
      </c>
      <c r="AS496" s="424" t="s">
        <v>80</v>
      </c>
      <c r="AT496" s="424" t="s">
        <v>82</v>
      </c>
      <c r="AU496" s="424" t="s">
        <v>181</v>
      </c>
      <c r="AV496" s="424" t="s">
        <v>183</v>
      </c>
      <c r="AW496" s="424" t="s">
        <v>547</v>
      </c>
      <c r="AX496" s="424" t="s">
        <v>182</v>
      </c>
      <c r="AY496" s="424" t="s">
        <v>172</v>
      </c>
      <c r="AZ496" s="424" t="s">
        <v>173</v>
      </c>
      <c r="BA496" s="424" t="s">
        <v>184</v>
      </c>
      <c r="BB496" s="424" t="s">
        <v>100</v>
      </c>
      <c r="BC496" s="424" t="s">
        <v>913</v>
      </c>
      <c r="BD496" s="201"/>
    </row>
    <row r="497" spans="2:56">
      <c r="B497" s="1256">
        <v>1</v>
      </c>
      <c r="C497" s="1257"/>
      <c r="D497" s="411" t="s">
        <v>1841</v>
      </c>
      <c r="E497" s="411"/>
      <c r="F497" s="411" t="s">
        <v>222</v>
      </c>
      <c r="G497" s="411" t="s">
        <v>223</v>
      </c>
      <c r="H497" s="412">
        <v>7476.3440000000001</v>
      </c>
      <c r="I497" s="413" t="s">
        <v>235</v>
      </c>
      <c r="J497" s="414">
        <v>45101.739583333336</v>
      </c>
      <c r="K497" s="414"/>
      <c r="L497" s="414" t="s">
        <v>192</v>
      </c>
      <c r="M497" s="414" t="s">
        <v>192</v>
      </c>
      <c r="N497" s="413" t="str">
        <f t="shared" ref="N497:N507" si="54">IF(ISBLANK(J497)," ",IF(J497&lt;$F$491,"On time",(IF(DAY(J497-$F$491)&lt;1,"On time",(IF(J497&gt;$F$491,"DELAY ( "&amp;DAY(J497-$F$491)&amp;" day "&amp;HOUR(J497-$F$491)&amp;" hour "&amp;MINUTE(J497-$F$491)&amp;" minute )","xxx"))))))</f>
        <v>On time</v>
      </c>
      <c r="O497" s="51"/>
      <c r="P497" s="415" t="s">
        <v>551</v>
      </c>
      <c r="Q497" s="415" t="s">
        <v>551</v>
      </c>
      <c r="R497" s="415" t="s">
        <v>551</v>
      </c>
      <c r="S497" s="32"/>
      <c r="T497" s="416"/>
      <c r="U497" s="416"/>
      <c r="V497" s="416"/>
      <c r="W497" s="416"/>
      <c r="X497" s="416"/>
      <c r="Y497" s="416"/>
      <c r="Z497" s="416"/>
      <c r="AA497" s="416"/>
      <c r="AB497" s="416">
        <f>H497</f>
        <v>7476.3440000000001</v>
      </c>
      <c r="AC497" s="416"/>
      <c r="AD497" s="416"/>
      <c r="AE497" s="416"/>
      <c r="AF497" s="416"/>
      <c r="AG497" s="416"/>
      <c r="AH497" s="416"/>
      <c r="AI497" s="416"/>
      <c r="AJ497" s="416"/>
      <c r="AK497" s="416"/>
      <c r="AL497" s="416"/>
      <c r="AM497" s="416"/>
      <c r="AN497" s="416"/>
      <c r="AO497" s="416"/>
      <c r="AP497" s="416"/>
      <c r="AQ497" s="416"/>
      <c r="AR497" s="416"/>
      <c r="AS497" s="416"/>
      <c r="AT497" s="416"/>
      <c r="AU497" s="416"/>
      <c r="AV497" s="416"/>
      <c r="AW497" s="416"/>
      <c r="AX497" s="416"/>
      <c r="AY497" s="416"/>
      <c r="AZ497" s="416"/>
      <c r="BA497" s="416"/>
      <c r="BB497" s="416"/>
      <c r="BC497" s="416"/>
      <c r="BD497" s="32"/>
    </row>
    <row r="498" spans="2:56">
      <c r="B498" s="1256">
        <v>2</v>
      </c>
      <c r="C498" s="1257"/>
      <c r="D498" s="411" t="s">
        <v>1840</v>
      </c>
      <c r="E498" s="411"/>
      <c r="F498" s="411" t="s">
        <v>721</v>
      </c>
      <c r="G498" s="411" t="s">
        <v>1349</v>
      </c>
      <c r="H498" s="412">
        <v>7513.82</v>
      </c>
      <c r="I498" s="413" t="s">
        <v>235</v>
      </c>
      <c r="J498" s="414">
        <v>45101.888888888891</v>
      </c>
      <c r="K498" s="414"/>
      <c r="L498" s="414" t="s">
        <v>192</v>
      </c>
      <c r="M498" s="414" t="s">
        <v>192</v>
      </c>
      <c r="N498" s="413" t="str">
        <f t="shared" si="54"/>
        <v>On time</v>
      </c>
      <c r="O498" s="51"/>
      <c r="P498" s="415" t="s">
        <v>551</v>
      </c>
      <c r="Q498" s="415" t="s">
        <v>551</v>
      </c>
      <c r="R498" s="415" t="s">
        <v>551</v>
      </c>
      <c r="S498" s="32"/>
      <c r="T498" s="416"/>
      <c r="U498" s="416"/>
      <c r="V498" s="416"/>
      <c r="W498" s="416"/>
      <c r="X498" s="416"/>
      <c r="Y498" s="416"/>
      <c r="Z498" s="416"/>
      <c r="AA498" s="416"/>
      <c r="AB498" s="416">
        <f>H498</f>
        <v>7513.82</v>
      </c>
      <c r="AC498" s="416"/>
      <c r="AD498" s="416"/>
      <c r="AE498" s="416"/>
      <c r="AF498" s="416"/>
      <c r="AG498" s="416"/>
      <c r="AH498" s="416"/>
      <c r="AI498" s="416"/>
      <c r="AJ498" s="416"/>
      <c r="AK498" s="416"/>
      <c r="AL498" s="416"/>
      <c r="AM498" s="416"/>
      <c r="AN498" s="416"/>
      <c r="AO498" s="416"/>
      <c r="AP498" s="416"/>
      <c r="AQ498" s="416"/>
      <c r="AR498" s="416"/>
      <c r="AS498" s="416"/>
      <c r="AT498" s="416"/>
      <c r="AU498" s="416"/>
      <c r="AV498" s="416"/>
      <c r="AW498" s="416"/>
      <c r="AX498" s="416"/>
      <c r="AY498" s="286"/>
      <c r="AZ498" s="416"/>
      <c r="BA498" s="416"/>
      <c r="BB498" s="416"/>
      <c r="BC498" s="416"/>
      <c r="BD498" s="32"/>
    </row>
    <row r="499" spans="2:56">
      <c r="B499" s="1256">
        <v>3</v>
      </c>
      <c r="C499" s="1257"/>
      <c r="D499" s="411" t="s">
        <v>1844</v>
      </c>
      <c r="E499" s="411"/>
      <c r="F499" s="411" t="s">
        <v>271</v>
      </c>
      <c r="G499" s="411" t="s">
        <v>272</v>
      </c>
      <c r="H499" s="412">
        <v>9340.4150000000009</v>
      </c>
      <c r="I499" s="413" t="s">
        <v>235</v>
      </c>
      <c r="J499" s="414">
        <v>45102.5625</v>
      </c>
      <c r="K499" s="414"/>
      <c r="L499" s="414" t="s">
        <v>192</v>
      </c>
      <c r="M499" s="414" t="s">
        <v>192</v>
      </c>
      <c r="N499" s="413" t="str">
        <f t="shared" si="54"/>
        <v>On time</v>
      </c>
      <c r="O499" s="51"/>
      <c r="P499" s="415" t="s">
        <v>551</v>
      </c>
      <c r="Q499" s="415" t="s">
        <v>551</v>
      </c>
      <c r="R499" s="415" t="s">
        <v>551</v>
      </c>
      <c r="S499" s="32"/>
      <c r="T499" s="416"/>
      <c r="U499" s="416"/>
      <c r="V499" s="416"/>
      <c r="W499" s="416"/>
      <c r="X499" s="416"/>
      <c r="Y499" s="416"/>
      <c r="Z499" s="416"/>
      <c r="AA499" s="416"/>
      <c r="AB499" s="416">
        <f t="shared" ref="AB499:AB502" si="55">H499</f>
        <v>9340.4150000000009</v>
      </c>
      <c r="AC499" s="416"/>
      <c r="AD499" s="416"/>
      <c r="AE499" s="416"/>
      <c r="AF499" s="416"/>
      <c r="AG499" s="416"/>
      <c r="AH499" s="416"/>
      <c r="AI499" s="416"/>
      <c r="AJ499" s="416"/>
      <c r="AK499" s="416"/>
      <c r="AL499" s="416"/>
      <c r="AM499" s="416"/>
      <c r="AN499" s="416"/>
      <c r="AO499" s="416"/>
      <c r="AP499" s="416"/>
      <c r="AQ499" s="416"/>
      <c r="AR499" s="416"/>
      <c r="AS499" s="416"/>
      <c r="AT499" s="416"/>
      <c r="AU499" s="416"/>
      <c r="AV499" s="416"/>
      <c r="AW499" s="416"/>
      <c r="AX499" s="416"/>
      <c r="AY499" s="416"/>
      <c r="AZ499" s="416"/>
      <c r="BA499" s="416"/>
      <c r="BB499" s="416"/>
      <c r="BC499" s="416"/>
      <c r="BD499" s="32"/>
    </row>
    <row r="500" spans="2:56">
      <c r="B500" s="1256">
        <v>4</v>
      </c>
      <c r="C500" s="1257"/>
      <c r="D500" s="411" t="s">
        <v>1843</v>
      </c>
      <c r="E500" s="411"/>
      <c r="F500" s="411" t="s">
        <v>292</v>
      </c>
      <c r="G500" s="411" t="s">
        <v>293</v>
      </c>
      <c r="H500" s="412">
        <v>7664.4179999999997</v>
      </c>
      <c r="I500" s="413" t="s">
        <v>235</v>
      </c>
      <c r="J500" s="414">
        <v>45102.875</v>
      </c>
      <c r="K500" s="414"/>
      <c r="L500" s="414" t="s">
        <v>192</v>
      </c>
      <c r="M500" s="414" t="s">
        <v>192</v>
      </c>
      <c r="N500" s="413" t="str">
        <f t="shared" si="54"/>
        <v>On time</v>
      </c>
      <c r="O500" s="51"/>
      <c r="P500" s="415" t="s">
        <v>551</v>
      </c>
      <c r="Q500" s="415" t="s">
        <v>551</v>
      </c>
      <c r="R500" s="415" t="s">
        <v>551</v>
      </c>
      <c r="S500" s="32"/>
      <c r="T500" s="416"/>
      <c r="U500" s="416"/>
      <c r="V500" s="416"/>
      <c r="W500" s="416"/>
      <c r="X500" s="416"/>
      <c r="Y500" s="416"/>
      <c r="Z500" s="416"/>
      <c r="AA500" s="416"/>
      <c r="AB500" s="416">
        <f>H500</f>
        <v>7664.4179999999997</v>
      </c>
      <c r="AC500" s="416"/>
      <c r="AD500" s="416"/>
      <c r="AE500" s="416"/>
      <c r="AF500" s="416"/>
      <c r="AG500" s="416"/>
      <c r="AH500" s="416"/>
      <c r="AI500" s="416"/>
      <c r="AJ500" s="416"/>
      <c r="AK500" s="416"/>
      <c r="AL500" s="416"/>
      <c r="AM500" s="416"/>
      <c r="AN500" s="416"/>
      <c r="AO500" s="416"/>
      <c r="AP500" s="416"/>
      <c r="AQ500" s="416"/>
      <c r="AR500" s="416"/>
      <c r="AS500" s="416"/>
      <c r="AT500" s="416"/>
      <c r="AU500" s="416"/>
      <c r="AV500" s="416"/>
      <c r="AW500" s="416"/>
      <c r="AX500" s="416"/>
      <c r="AY500" s="416"/>
      <c r="AZ500" s="416"/>
      <c r="BA500" s="416"/>
      <c r="BB500" s="416"/>
      <c r="BC500" s="416"/>
      <c r="BD500" s="32"/>
    </row>
    <row r="501" spans="2:56">
      <c r="B501" s="1256">
        <v>5</v>
      </c>
      <c r="C501" s="1257"/>
      <c r="D501" s="411" t="s">
        <v>1845</v>
      </c>
      <c r="E501" s="411"/>
      <c r="F501" s="411" t="s">
        <v>489</v>
      </c>
      <c r="G501" s="411" t="s">
        <v>483</v>
      </c>
      <c r="H501" s="412">
        <v>7501.1549999999997</v>
      </c>
      <c r="I501" s="413" t="s">
        <v>235</v>
      </c>
      <c r="J501" s="414">
        <v>45102.704861111109</v>
      </c>
      <c r="K501" s="414"/>
      <c r="L501" s="414" t="s">
        <v>192</v>
      </c>
      <c r="M501" s="414" t="s">
        <v>192</v>
      </c>
      <c r="N501" s="413" t="str">
        <f t="shared" si="54"/>
        <v>On time</v>
      </c>
      <c r="O501" s="51"/>
      <c r="P501" s="415" t="s">
        <v>551</v>
      </c>
      <c r="Q501" s="415" t="s">
        <v>551</v>
      </c>
      <c r="R501" s="415" t="s">
        <v>551</v>
      </c>
      <c r="S501" s="32"/>
      <c r="T501" s="416"/>
      <c r="U501" s="416"/>
      <c r="V501" s="416"/>
      <c r="W501" s="416"/>
      <c r="X501" s="416"/>
      <c r="Y501" s="416"/>
      <c r="Z501" s="416"/>
      <c r="AA501" s="416"/>
      <c r="AB501" s="416">
        <f t="shared" si="55"/>
        <v>7501.1549999999997</v>
      </c>
      <c r="AC501" s="416"/>
      <c r="AD501" s="416"/>
      <c r="AE501" s="416"/>
      <c r="AF501" s="416"/>
      <c r="AG501" s="416"/>
      <c r="AH501" s="416"/>
      <c r="AI501" s="416"/>
      <c r="AJ501" s="416"/>
      <c r="AK501" s="416"/>
      <c r="AL501" s="416"/>
      <c r="AM501" s="416"/>
      <c r="AN501" s="416"/>
      <c r="AO501" s="416"/>
      <c r="AP501" s="416"/>
      <c r="AQ501" s="416"/>
      <c r="AR501" s="416"/>
      <c r="AS501" s="416"/>
      <c r="AT501" s="416"/>
      <c r="AU501" s="416"/>
      <c r="AV501" s="416"/>
      <c r="AW501" s="416"/>
      <c r="AX501" s="416"/>
      <c r="AY501" s="416"/>
      <c r="AZ501" s="416"/>
      <c r="BA501" s="416"/>
      <c r="BB501" s="416"/>
      <c r="BC501" s="416"/>
      <c r="BD501" s="32"/>
    </row>
    <row r="502" spans="2:56">
      <c r="B502" s="1256">
        <v>6</v>
      </c>
      <c r="C502" s="1257"/>
      <c r="D502" s="411" t="s">
        <v>1842</v>
      </c>
      <c r="E502" s="411"/>
      <c r="F502" s="411" t="s">
        <v>1483</v>
      </c>
      <c r="G502" s="411" t="s">
        <v>378</v>
      </c>
      <c r="H502" s="412">
        <v>7972.3050000000003</v>
      </c>
      <c r="I502" s="413" t="s">
        <v>235</v>
      </c>
      <c r="J502" s="414">
        <v>45103.006944444445</v>
      </c>
      <c r="K502" s="414"/>
      <c r="L502" s="414" t="s">
        <v>192</v>
      </c>
      <c r="M502" s="414" t="s">
        <v>192</v>
      </c>
      <c r="N502" s="413" t="str">
        <f t="shared" si="54"/>
        <v>On time</v>
      </c>
      <c r="O502" s="51"/>
      <c r="P502" s="415" t="s">
        <v>551</v>
      </c>
      <c r="Q502" s="415" t="s">
        <v>551</v>
      </c>
      <c r="R502" s="415" t="s">
        <v>551</v>
      </c>
      <c r="S502" s="32"/>
      <c r="T502" s="416"/>
      <c r="U502" s="416"/>
      <c r="V502" s="416"/>
      <c r="W502" s="416"/>
      <c r="X502" s="416"/>
      <c r="Y502" s="416"/>
      <c r="Z502" s="416"/>
      <c r="AA502" s="416"/>
      <c r="AB502" s="416">
        <f t="shared" si="55"/>
        <v>7972.3050000000003</v>
      </c>
      <c r="AC502" s="416"/>
      <c r="AD502" s="416"/>
      <c r="AE502" s="416"/>
      <c r="AF502" s="416"/>
      <c r="AG502" s="416"/>
      <c r="AH502" s="416"/>
      <c r="AI502" s="416"/>
      <c r="AJ502" s="416"/>
      <c r="AK502" s="416"/>
      <c r="AL502" s="416"/>
      <c r="AM502" s="416"/>
      <c r="AN502" s="416"/>
      <c r="AO502" s="416"/>
      <c r="AP502" s="416"/>
      <c r="AQ502" s="416"/>
      <c r="AR502" s="416"/>
      <c r="AS502" s="416"/>
      <c r="AT502" s="416"/>
      <c r="AU502" s="416"/>
      <c r="AV502" s="416"/>
      <c r="AW502" s="416"/>
      <c r="AX502" s="416"/>
      <c r="AY502" s="416"/>
      <c r="AZ502" s="416"/>
      <c r="BA502" s="416"/>
      <c r="BB502" s="416"/>
      <c r="BC502" s="416"/>
      <c r="BD502" s="32"/>
    </row>
    <row r="503" spans="2:56">
      <c r="B503" s="1256">
        <v>7</v>
      </c>
      <c r="C503" s="1257"/>
      <c r="D503" s="411" t="s">
        <v>1924</v>
      </c>
      <c r="E503" s="411"/>
      <c r="F503" s="411" t="s">
        <v>403</v>
      </c>
      <c r="G503" s="411" t="s">
        <v>404</v>
      </c>
      <c r="H503" s="412">
        <v>7550.8950000000004</v>
      </c>
      <c r="I503" s="413" t="s">
        <v>172</v>
      </c>
      <c r="J503" s="414">
        <v>45105.149305555555</v>
      </c>
      <c r="K503" s="414"/>
      <c r="L503" s="414" t="s">
        <v>192</v>
      </c>
      <c r="M503" s="414" t="s">
        <v>192</v>
      </c>
      <c r="N503" s="413" t="str">
        <f t="shared" si="54"/>
        <v>On time</v>
      </c>
      <c r="O503" s="51"/>
      <c r="P503" s="415" t="s">
        <v>551</v>
      </c>
      <c r="Q503" s="415" t="s">
        <v>551</v>
      </c>
      <c r="R503" s="415" t="s">
        <v>551</v>
      </c>
      <c r="S503" s="32"/>
      <c r="T503" s="416"/>
      <c r="U503" s="416"/>
      <c r="V503" s="416"/>
      <c r="W503" s="416"/>
      <c r="X503" s="416"/>
      <c r="Y503" s="416"/>
      <c r="Z503" s="416"/>
      <c r="AA503" s="416"/>
      <c r="AB503" s="416"/>
      <c r="AC503" s="416"/>
      <c r="AD503" s="416"/>
      <c r="AE503" s="416"/>
      <c r="AF503" s="416"/>
      <c r="AG503" s="416"/>
      <c r="AH503" s="416"/>
      <c r="AI503" s="416"/>
      <c r="AJ503" s="416"/>
      <c r="AK503" s="416"/>
      <c r="AL503" s="416"/>
      <c r="AM503" s="416"/>
      <c r="AN503" s="416"/>
      <c r="AO503" s="416"/>
      <c r="AP503" s="416"/>
      <c r="AQ503" s="416"/>
      <c r="AR503" s="32"/>
      <c r="AS503" s="416"/>
      <c r="AT503" s="416"/>
      <c r="AU503" s="416"/>
      <c r="AV503" s="416"/>
      <c r="AW503" s="416"/>
      <c r="AX503" s="416"/>
      <c r="AY503" s="416">
        <f>H503</f>
        <v>7550.8950000000004</v>
      </c>
      <c r="AZ503" s="416"/>
      <c r="BA503" s="416"/>
      <c r="BB503" s="416"/>
      <c r="BC503" s="416"/>
      <c r="BD503" s="32"/>
    </row>
    <row r="504" spans="2:56">
      <c r="B504" s="1256" t="s">
        <v>610</v>
      </c>
      <c r="C504" s="1276"/>
      <c r="D504" s="1276"/>
      <c r="E504" s="1276"/>
      <c r="F504" s="1276"/>
      <c r="G504" s="1257"/>
      <c r="H504" s="412">
        <v>5015.2635264103783</v>
      </c>
      <c r="I504" s="413" t="s">
        <v>611</v>
      </c>
      <c r="J504" s="414"/>
      <c r="K504" s="414"/>
      <c r="L504" s="414"/>
      <c r="M504" s="414"/>
      <c r="N504" s="447" t="str">
        <f t="shared" si="54"/>
        <v xml:space="preserve"> </v>
      </c>
      <c r="O504" s="265"/>
      <c r="P504" s="415" t="s">
        <v>551</v>
      </c>
      <c r="Q504" s="415"/>
      <c r="R504" s="415"/>
      <c r="S504" s="32"/>
      <c r="T504" s="416">
        <f>H504</f>
        <v>5015.2635264103783</v>
      </c>
      <c r="U504" s="416"/>
      <c r="V504" s="416"/>
      <c r="W504" s="416"/>
      <c r="X504" s="416"/>
      <c r="Y504" s="416"/>
      <c r="Z504" s="416"/>
      <c r="AA504" s="416"/>
      <c r="AB504" s="416"/>
      <c r="AC504" s="428"/>
      <c r="AD504" s="428"/>
      <c r="AE504" s="428"/>
      <c r="AF504" s="428"/>
      <c r="AG504" s="428"/>
      <c r="AH504" s="428"/>
      <c r="AI504" s="428"/>
      <c r="AJ504" s="428"/>
      <c r="AK504" s="428"/>
      <c r="AL504" s="428"/>
      <c r="AM504" s="428"/>
      <c r="AN504" s="428"/>
      <c r="AO504" s="428"/>
      <c r="AP504" s="428"/>
      <c r="AQ504" s="428"/>
      <c r="AR504" s="428"/>
      <c r="AS504" s="428"/>
      <c r="AT504" s="428"/>
      <c r="AU504" s="207"/>
      <c r="AV504" s="428"/>
      <c r="AW504" s="428"/>
      <c r="AX504" s="428"/>
      <c r="AY504" s="428"/>
      <c r="AZ504" s="428"/>
      <c r="BA504" s="428"/>
      <c r="BB504" s="428"/>
      <c r="BC504" s="428"/>
      <c r="BD504" s="32"/>
    </row>
    <row r="505" spans="2:56">
      <c r="B505" s="1256" t="s">
        <v>610</v>
      </c>
      <c r="C505" s="1276"/>
      <c r="D505" s="1276"/>
      <c r="E505" s="1276"/>
      <c r="F505" s="1276"/>
      <c r="G505" s="1257"/>
      <c r="H505" s="412">
        <f>H507-SUM(H497:H504)</f>
        <v>5565.38447358962</v>
      </c>
      <c r="I505" s="413" t="s">
        <v>1164</v>
      </c>
      <c r="J505" s="414"/>
      <c r="K505" s="414"/>
      <c r="L505" s="414"/>
      <c r="M505" s="414"/>
      <c r="N505" s="447" t="str">
        <f t="shared" si="54"/>
        <v xml:space="preserve"> </v>
      </c>
      <c r="O505" s="265"/>
      <c r="P505" s="415" t="s">
        <v>551</v>
      </c>
      <c r="Q505" s="415"/>
      <c r="R505" s="415"/>
      <c r="S505" s="32"/>
      <c r="T505" s="416"/>
      <c r="U505" s="416"/>
      <c r="V505" s="416"/>
      <c r="W505" s="416"/>
      <c r="X505" s="416">
        <f>H505</f>
        <v>5565.38447358962</v>
      </c>
      <c r="Y505" s="416"/>
      <c r="Z505" s="416"/>
      <c r="AA505" s="416"/>
      <c r="AB505" s="416"/>
      <c r="AC505" s="428"/>
      <c r="AD505" s="428"/>
      <c r="AE505" s="428"/>
      <c r="AF505" s="428"/>
      <c r="AG505" s="428"/>
      <c r="AH505" s="428"/>
      <c r="AI505" s="428"/>
      <c r="AJ505" s="428"/>
      <c r="AK505" s="428"/>
      <c r="AL505" s="428"/>
      <c r="AM505" s="428"/>
      <c r="AN505" s="428"/>
      <c r="AO505" s="428"/>
      <c r="AP505" s="428"/>
      <c r="AQ505" s="428"/>
      <c r="AR505" s="428"/>
      <c r="AS505" s="428"/>
      <c r="AT505" s="428"/>
      <c r="AU505" s="428"/>
      <c r="AV505" s="428"/>
      <c r="AW505" s="428"/>
      <c r="AX505" s="428"/>
      <c r="AY505" s="428"/>
      <c r="AZ505" s="428"/>
      <c r="BA505" s="428"/>
      <c r="BB505" s="428"/>
      <c r="BC505" s="428"/>
      <c r="BD505" s="207"/>
    </row>
    <row r="506" spans="2:56">
      <c r="B506" s="1258" t="s">
        <v>556</v>
      </c>
      <c r="C506" s="1259"/>
      <c r="D506" s="1259"/>
      <c r="E506" s="1259"/>
      <c r="F506" s="1259"/>
      <c r="G506" s="1260"/>
      <c r="H506" s="417">
        <f>SUM(H497:H505)</f>
        <v>65600</v>
      </c>
      <c r="I506" s="388"/>
      <c r="J506" s="293"/>
      <c r="K506" s="293"/>
      <c r="L506" s="293"/>
      <c r="M506" s="389"/>
      <c r="N506" s="413" t="str">
        <f t="shared" si="54"/>
        <v xml:space="preserve"> </v>
      </c>
      <c r="O506" s="212"/>
      <c r="P506" s="418"/>
      <c r="Q506" s="418"/>
      <c r="R506" s="418"/>
      <c r="S506" s="207"/>
      <c r="T506" s="1262"/>
      <c r="U506" s="1263"/>
      <c r="V506" s="1263"/>
      <c r="W506" s="1263"/>
      <c r="X506" s="1263"/>
      <c r="Y506" s="1263"/>
      <c r="Z506" s="1263"/>
      <c r="AA506" s="1263"/>
      <c r="AB506" s="1263"/>
      <c r="AC506" s="1263"/>
      <c r="AD506" s="1263"/>
      <c r="AE506" s="1263"/>
      <c r="AF506" s="1263"/>
      <c r="AG506" s="1263"/>
      <c r="AH506" s="1263"/>
      <c r="AI506" s="1263"/>
      <c r="AJ506" s="1263"/>
      <c r="AK506" s="1263"/>
      <c r="AL506" s="1263"/>
      <c r="AM506" s="1263"/>
      <c r="AN506" s="1263"/>
      <c r="AO506" s="1263"/>
      <c r="AP506" s="1263"/>
      <c r="AQ506" s="1263"/>
      <c r="AR506" s="1263"/>
      <c r="AS506" s="1263"/>
      <c r="AT506" s="1263"/>
      <c r="AU506" s="1263"/>
      <c r="AV506" s="1263"/>
      <c r="AW506" s="1263"/>
      <c r="AX506" s="1263"/>
      <c r="AY506" s="1263"/>
      <c r="AZ506" s="1263"/>
      <c r="BA506" s="1263"/>
      <c r="BB506" s="1263"/>
      <c r="BC506" s="1264"/>
    </row>
    <row r="507" spans="2:56">
      <c r="B507" s="1243" t="s">
        <v>557</v>
      </c>
      <c r="C507" s="1244"/>
      <c r="D507" s="1244"/>
      <c r="E507" s="1244"/>
      <c r="F507" s="1244"/>
      <c r="G507" s="1245"/>
      <c r="H507" s="419">
        <v>65600</v>
      </c>
      <c r="I507" s="1246"/>
      <c r="J507" s="1247"/>
      <c r="K507" s="1247"/>
      <c r="L507" s="1247"/>
      <c r="M507" s="1248"/>
      <c r="N507" s="413" t="str">
        <f t="shared" si="54"/>
        <v xml:space="preserve"> </v>
      </c>
      <c r="O507" s="32"/>
      <c r="P507" s="415"/>
      <c r="Q507" s="415"/>
      <c r="R507" s="415"/>
      <c r="S507" s="63"/>
      <c r="T507" s="416">
        <f>SUM(T497:T505)</f>
        <v>5015.2635264103783</v>
      </c>
      <c r="U507" s="416">
        <f t="shared" ref="U507:BC507" si="56">SUM(U497:U505)</f>
        <v>0</v>
      </c>
      <c r="V507" s="416">
        <f t="shared" si="56"/>
        <v>0</v>
      </c>
      <c r="W507" s="416">
        <f t="shared" si="56"/>
        <v>0</v>
      </c>
      <c r="X507" s="416">
        <f t="shared" si="56"/>
        <v>5565.38447358962</v>
      </c>
      <c r="Y507" s="416">
        <f t="shared" si="56"/>
        <v>0</v>
      </c>
      <c r="Z507" s="416">
        <f t="shared" si="56"/>
        <v>0</v>
      </c>
      <c r="AA507" s="416">
        <f t="shared" si="56"/>
        <v>0</v>
      </c>
      <c r="AB507" s="416">
        <f t="shared" si="56"/>
        <v>47468.457000000002</v>
      </c>
      <c r="AC507" s="416">
        <f t="shared" si="56"/>
        <v>0</v>
      </c>
      <c r="AD507" s="416">
        <f t="shared" si="56"/>
        <v>0</v>
      </c>
      <c r="AE507" s="416">
        <f t="shared" si="56"/>
        <v>0</v>
      </c>
      <c r="AF507" s="416">
        <f t="shared" si="56"/>
        <v>0</v>
      </c>
      <c r="AG507" s="416">
        <f t="shared" si="56"/>
        <v>0</v>
      </c>
      <c r="AH507" s="416">
        <f t="shared" si="56"/>
        <v>0</v>
      </c>
      <c r="AI507" s="416">
        <f t="shared" si="56"/>
        <v>0</v>
      </c>
      <c r="AJ507" s="416">
        <f t="shared" si="56"/>
        <v>0</v>
      </c>
      <c r="AK507" s="416">
        <f t="shared" si="56"/>
        <v>0</v>
      </c>
      <c r="AL507" s="416">
        <f t="shared" si="56"/>
        <v>0</v>
      </c>
      <c r="AM507" s="416">
        <f t="shared" si="56"/>
        <v>0</v>
      </c>
      <c r="AN507" s="416">
        <f t="shared" si="56"/>
        <v>0</v>
      </c>
      <c r="AO507" s="416">
        <f t="shared" si="56"/>
        <v>0</v>
      </c>
      <c r="AP507" s="416">
        <f t="shared" si="56"/>
        <v>0</v>
      </c>
      <c r="AQ507" s="416">
        <f t="shared" si="56"/>
        <v>0</v>
      </c>
      <c r="AR507" s="416">
        <f t="shared" si="56"/>
        <v>0</v>
      </c>
      <c r="AS507" s="416">
        <f t="shared" si="56"/>
        <v>0</v>
      </c>
      <c r="AT507" s="416">
        <f t="shared" si="56"/>
        <v>0</v>
      </c>
      <c r="AU507" s="416">
        <f t="shared" si="56"/>
        <v>0</v>
      </c>
      <c r="AV507" s="416">
        <f t="shared" si="56"/>
        <v>0</v>
      </c>
      <c r="AW507" s="416">
        <f t="shared" si="56"/>
        <v>0</v>
      </c>
      <c r="AX507" s="416">
        <f t="shared" si="56"/>
        <v>0</v>
      </c>
      <c r="AY507" s="416">
        <f t="shared" si="56"/>
        <v>7550.8950000000004</v>
      </c>
      <c r="AZ507" s="416">
        <f t="shared" si="56"/>
        <v>0</v>
      </c>
      <c r="BA507" s="416">
        <f t="shared" si="56"/>
        <v>0</v>
      </c>
      <c r="BB507" s="416">
        <f t="shared" si="56"/>
        <v>0</v>
      </c>
      <c r="BC507" s="416">
        <f t="shared" si="56"/>
        <v>0</v>
      </c>
      <c r="BD507" s="416">
        <f>SUM(T507:BC507)</f>
        <v>65600</v>
      </c>
    </row>
    <row r="508" spans="2:56">
      <c r="B508" s="1243" t="s">
        <v>558</v>
      </c>
      <c r="C508" s="1244"/>
      <c r="D508" s="1244"/>
      <c r="E508" s="1244"/>
      <c r="F508" s="1244"/>
      <c r="G508" s="1245"/>
      <c r="H508" s="420">
        <f>H507-L491</f>
        <v>0</v>
      </c>
      <c r="I508" s="294"/>
      <c r="J508" s="295"/>
      <c r="K508" s="295"/>
      <c r="L508" s="296"/>
      <c r="M508" s="32"/>
      <c r="N508" s="32"/>
      <c r="O508" s="32"/>
      <c r="P508" s="32"/>
      <c r="Q508" s="297"/>
      <c r="R508" s="297"/>
      <c r="S508" s="32"/>
      <c r="T508" s="48"/>
      <c r="U508" s="48"/>
      <c r="V508" s="48"/>
      <c r="W508" s="48"/>
      <c r="X508" s="48"/>
      <c r="Y508" s="48"/>
      <c r="Z508" s="48"/>
      <c r="AA508" s="48"/>
      <c r="AB508" s="48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</row>
    <row r="509" spans="2:56">
      <c r="B509" s="1243" t="s">
        <v>559</v>
      </c>
      <c r="C509" s="1244"/>
      <c r="D509" s="1244"/>
      <c r="E509" s="1244"/>
      <c r="F509" s="1244"/>
      <c r="G509" s="1245"/>
      <c r="H509" s="420">
        <f>H506-H507</f>
        <v>0</v>
      </c>
      <c r="I509" s="52"/>
      <c r="J509" s="53"/>
      <c r="K509" s="53"/>
      <c r="L509" s="54"/>
      <c r="M509" s="32"/>
      <c r="N509" s="201"/>
      <c r="O509" s="32"/>
      <c r="P509" s="32"/>
      <c r="Q509" s="32"/>
      <c r="R509" s="32"/>
      <c r="S509" s="32"/>
      <c r="T509" s="48"/>
      <c r="U509" s="48"/>
      <c r="V509" s="48"/>
      <c r="W509" s="48"/>
      <c r="X509" s="48"/>
      <c r="Y509" s="48"/>
      <c r="Z509" s="48"/>
      <c r="AA509" s="48"/>
      <c r="AB509" s="48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</row>
    <row r="510" spans="2:56">
      <c r="B510" s="201"/>
      <c r="C510" s="201"/>
      <c r="D510" s="201"/>
      <c r="E510" s="201"/>
      <c r="F510" s="201"/>
      <c r="G510" s="201"/>
      <c r="H510" s="201"/>
      <c r="I510" s="213"/>
      <c r="J510" s="209"/>
      <c r="K510" s="209"/>
      <c r="L510" s="203"/>
      <c r="M510" s="201"/>
      <c r="N510" s="201"/>
      <c r="O510" s="209"/>
      <c r="P510" s="32"/>
      <c r="Q510" s="32"/>
      <c r="R510" s="32"/>
      <c r="S510" s="32"/>
      <c r="T510" s="48"/>
      <c r="U510" s="48"/>
      <c r="V510" s="48"/>
      <c r="W510" s="48"/>
      <c r="X510" s="48"/>
      <c r="Y510" s="48"/>
      <c r="Z510" s="48"/>
      <c r="AA510" s="48"/>
      <c r="AB510" s="48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</row>
    <row r="511" spans="2:56">
      <c r="B511" s="40" t="s">
        <v>561</v>
      </c>
      <c r="C511" s="40"/>
      <c r="D511" s="32"/>
      <c r="E511" s="32"/>
      <c r="F511" s="32"/>
      <c r="G511" s="32"/>
      <c r="H511" s="32"/>
      <c r="I511" s="32"/>
      <c r="J511" s="52"/>
      <c r="K511" s="52"/>
      <c r="L511" s="55"/>
      <c r="M511" s="32"/>
      <c r="N511" s="201"/>
      <c r="O511" s="5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  <c r="AA511" s="202"/>
      <c r="AB511" s="201"/>
      <c r="AC511" s="201"/>
      <c r="AD511" s="201"/>
      <c r="AE511" s="201"/>
      <c r="AF511" s="201"/>
      <c r="AG511" s="201"/>
      <c r="AH511" s="201"/>
      <c r="AI511" s="201"/>
      <c r="AJ511" s="201"/>
      <c r="AK511" s="201"/>
      <c r="AL511" s="201"/>
      <c r="AM511" s="201"/>
      <c r="AN511" s="201"/>
      <c r="AO511" s="201"/>
      <c r="AP511" s="201"/>
      <c r="AQ511" s="201"/>
      <c r="AR511" s="201"/>
      <c r="AS511" s="201"/>
      <c r="AT511" s="201"/>
      <c r="AU511" s="201"/>
      <c r="BD511" s="201"/>
    </row>
    <row r="512" spans="2:56">
      <c r="B512" s="422"/>
      <c r="C512" s="1249"/>
      <c r="D512" s="1249"/>
      <c r="E512" s="1249"/>
      <c r="F512" s="1249"/>
      <c r="G512" s="1249"/>
      <c r="H512" s="1249"/>
      <c r="I512" s="1249"/>
      <c r="J512" s="1249"/>
      <c r="K512" s="1249"/>
      <c r="L512" s="203"/>
      <c r="M512" s="203"/>
      <c r="N512" s="201"/>
      <c r="O512" s="209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  <c r="AA512" s="202"/>
      <c r="AB512" s="201"/>
      <c r="AC512" s="201"/>
      <c r="AD512" s="201"/>
      <c r="AE512" s="201"/>
      <c r="AF512" s="201"/>
      <c r="AG512" s="201"/>
      <c r="AH512" s="201"/>
      <c r="AI512" s="201"/>
      <c r="AJ512" s="201"/>
      <c r="AK512" s="201"/>
      <c r="AL512" s="201"/>
      <c r="AM512" s="201"/>
      <c r="AN512" s="201"/>
      <c r="AO512" s="201"/>
      <c r="AP512" s="201"/>
      <c r="AQ512" s="201"/>
      <c r="AR512" s="201"/>
      <c r="AS512" s="201"/>
      <c r="AT512" s="201"/>
      <c r="AU512" s="201"/>
      <c r="AV512" s="201"/>
      <c r="AW512" s="201"/>
      <c r="AX512" s="201"/>
      <c r="AY512" s="201"/>
      <c r="AZ512" s="201"/>
      <c r="BA512" s="201"/>
      <c r="BB512" s="201"/>
      <c r="BC512" s="201"/>
      <c r="BD512" s="201"/>
    </row>
  </sheetData>
  <mergeCells count="414">
    <mergeCell ref="B482:G482"/>
    <mergeCell ref="B483:G483"/>
    <mergeCell ref="C487:K487"/>
    <mergeCell ref="B484:G484"/>
    <mergeCell ref="B470:C471"/>
    <mergeCell ref="B472:C473"/>
    <mergeCell ref="B474:C475"/>
    <mergeCell ref="B476:C477"/>
    <mergeCell ref="B478:C478"/>
    <mergeCell ref="B479:C479"/>
    <mergeCell ref="B480:G480"/>
    <mergeCell ref="T480:BA480"/>
    <mergeCell ref="B481:G481"/>
    <mergeCell ref="I481:M481"/>
    <mergeCell ref="T463:X463"/>
    <mergeCell ref="Y463:AA463"/>
    <mergeCell ref="AB463:AC463"/>
    <mergeCell ref="AF463:BA463"/>
    <mergeCell ref="B464:C464"/>
    <mergeCell ref="B465:C465"/>
    <mergeCell ref="B466:C467"/>
    <mergeCell ref="J467:J468"/>
    <mergeCell ref="L467:L468"/>
    <mergeCell ref="M467:M468"/>
    <mergeCell ref="B468:C469"/>
    <mergeCell ref="B394:G394"/>
    <mergeCell ref="B395:G395"/>
    <mergeCell ref="C398:K398"/>
    <mergeCell ref="B386:C386"/>
    <mergeCell ref="B387:C387"/>
    <mergeCell ref="B388:C388"/>
    <mergeCell ref="B389:C389"/>
    <mergeCell ref="B390:C390"/>
    <mergeCell ref="B391:G391"/>
    <mergeCell ref="B392:G392"/>
    <mergeCell ref="T392:BC392"/>
    <mergeCell ref="B393:G393"/>
    <mergeCell ref="I393:M393"/>
    <mergeCell ref="C374:K374"/>
    <mergeCell ref="B371:G371"/>
    <mergeCell ref="T382:X382"/>
    <mergeCell ref="Y382:AA382"/>
    <mergeCell ref="AB382:AC382"/>
    <mergeCell ref="AF382:BC382"/>
    <mergeCell ref="B383:C383"/>
    <mergeCell ref="B384:C384"/>
    <mergeCell ref="B385:C385"/>
    <mergeCell ref="B363:C364"/>
    <mergeCell ref="B365:C365"/>
    <mergeCell ref="B366:C366"/>
    <mergeCell ref="B367:G367"/>
    <mergeCell ref="T367:BA367"/>
    <mergeCell ref="B368:G368"/>
    <mergeCell ref="I368:M368"/>
    <mergeCell ref="B369:G369"/>
    <mergeCell ref="B370:G370"/>
    <mergeCell ref="T355:X355"/>
    <mergeCell ref="Y355:AA355"/>
    <mergeCell ref="AB355:AC355"/>
    <mergeCell ref="AF355:BA355"/>
    <mergeCell ref="B356:C356"/>
    <mergeCell ref="B357:C357"/>
    <mergeCell ref="B358:C358"/>
    <mergeCell ref="B359:C360"/>
    <mergeCell ref="B361:C362"/>
    <mergeCell ref="B303:G303"/>
    <mergeCell ref="C307:K307"/>
    <mergeCell ref="B304:G304"/>
    <mergeCell ref="J294:J295"/>
    <mergeCell ref="B293:C294"/>
    <mergeCell ref="B295:C296"/>
    <mergeCell ref="B297:C298"/>
    <mergeCell ref="B299:C299"/>
    <mergeCell ref="B300:G300"/>
    <mergeCell ref="T300:BA300"/>
    <mergeCell ref="B301:G301"/>
    <mergeCell ref="I301:M301"/>
    <mergeCell ref="B302:G302"/>
    <mergeCell ref="T287:X287"/>
    <mergeCell ref="Y287:AA287"/>
    <mergeCell ref="AB287:AC287"/>
    <mergeCell ref="AF287:BA287"/>
    <mergeCell ref="B288:C288"/>
    <mergeCell ref="B289:C289"/>
    <mergeCell ref="B290:C290"/>
    <mergeCell ref="B291:C291"/>
    <mergeCell ref="B292:C292"/>
    <mergeCell ref="B237:G237"/>
    <mergeCell ref="I237:M237"/>
    <mergeCell ref="B238:G238"/>
    <mergeCell ref="B239:G239"/>
    <mergeCell ref="C243:K243"/>
    <mergeCell ref="B240:G240"/>
    <mergeCell ref="B229:C230"/>
    <mergeCell ref="F230:G230"/>
    <mergeCell ref="B231:C233"/>
    <mergeCell ref="F232:G232"/>
    <mergeCell ref="F233:G233"/>
    <mergeCell ref="B234:C234"/>
    <mergeCell ref="B235:G235"/>
    <mergeCell ref="T235:BA235"/>
    <mergeCell ref="B236:G236"/>
    <mergeCell ref="T236:BA236"/>
    <mergeCell ref="B220:C222"/>
    <mergeCell ref="F221:G221"/>
    <mergeCell ref="F222:G222"/>
    <mergeCell ref="B223:C225"/>
    <mergeCell ref="F224:G224"/>
    <mergeCell ref="F225:G225"/>
    <mergeCell ref="B226:C227"/>
    <mergeCell ref="F227:G227"/>
    <mergeCell ref="B228:C228"/>
    <mergeCell ref="B209:C209"/>
    <mergeCell ref="B210:C210"/>
    <mergeCell ref="B211:C211"/>
    <mergeCell ref="B212:C212"/>
    <mergeCell ref="B213:G213"/>
    <mergeCell ref="B214:C216"/>
    <mergeCell ref="F215:G215"/>
    <mergeCell ref="F216:G216"/>
    <mergeCell ref="B217:C219"/>
    <mergeCell ref="F218:G218"/>
    <mergeCell ref="F219:G219"/>
    <mergeCell ref="B195:G195"/>
    <mergeCell ref="I195:M195"/>
    <mergeCell ref="B196:G196"/>
    <mergeCell ref="B197:G197"/>
    <mergeCell ref="C200:K200"/>
    <mergeCell ref="T208:X208"/>
    <mergeCell ref="Y208:AA208"/>
    <mergeCell ref="AB208:AC208"/>
    <mergeCell ref="AF208:BA208"/>
    <mergeCell ref="B187:C187"/>
    <mergeCell ref="B188:C188"/>
    <mergeCell ref="B189:C189"/>
    <mergeCell ref="B190:C190"/>
    <mergeCell ref="B191:C191"/>
    <mergeCell ref="B192:C192"/>
    <mergeCell ref="B193:G193"/>
    <mergeCell ref="B194:G194"/>
    <mergeCell ref="T194:BC194"/>
    <mergeCell ref="B45:C46"/>
    <mergeCell ref="T182:X182"/>
    <mergeCell ref="Y182:AA182"/>
    <mergeCell ref="AB182:AC182"/>
    <mergeCell ref="AF182:BC182"/>
    <mergeCell ref="B183:C183"/>
    <mergeCell ref="B184:C184"/>
    <mergeCell ref="B185:C185"/>
    <mergeCell ref="B186:C186"/>
    <mergeCell ref="B73:C73"/>
    <mergeCell ref="B74:G74"/>
    <mergeCell ref="T68:X68"/>
    <mergeCell ref="Y68:AA68"/>
    <mergeCell ref="AB68:AC68"/>
    <mergeCell ref="AF68:BC68"/>
    <mergeCell ref="B69:C69"/>
    <mergeCell ref="T90:X90"/>
    <mergeCell ref="Y90:AA90"/>
    <mergeCell ref="AB90:AC90"/>
    <mergeCell ref="AF90:BC90"/>
    <mergeCell ref="B91:C91"/>
    <mergeCell ref="B78:G78"/>
    <mergeCell ref="B79:G79"/>
    <mergeCell ref="C82:K82"/>
    <mergeCell ref="AF8:BC8"/>
    <mergeCell ref="B9:C9"/>
    <mergeCell ref="B10:C10"/>
    <mergeCell ref="B11:C11"/>
    <mergeCell ref="B12:C12"/>
    <mergeCell ref="B41:C42"/>
    <mergeCell ref="T19:BC19"/>
    <mergeCell ref="B20:G20"/>
    <mergeCell ref="I20:M20"/>
    <mergeCell ref="B21:G21"/>
    <mergeCell ref="B22:G22"/>
    <mergeCell ref="C25:K25"/>
    <mergeCell ref="B19:G19"/>
    <mergeCell ref="AF33:BA33"/>
    <mergeCell ref="B34:C34"/>
    <mergeCell ref="B35:C36"/>
    <mergeCell ref="B37:C38"/>
    <mergeCell ref="B39:C40"/>
    <mergeCell ref="B13:C13"/>
    <mergeCell ref="T8:X8"/>
    <mergeCell ref="Y8:AA8"/>
    <mergeCell ref="AB8:AC8"/>
    <mergeCell ref="T33:X33"/>
    <mergeCell ref="Y33:AA33"/>
    <mergeCell ref="AB33:AC33"/>
    <mergeCell ref="B14:C14"/>
    <mergeCell ref="B15:C15"/>
    <mergeCell ref="B16:C16"/>
    <mergeCell ref="B17:G17"/>
    <mergeCell ref="B18:G18"/>
    <mergeCell ref="B70:C70"/>
    <mergeCell ref="B71:C71"/>
    <mergeCell ref="B72:C72"/>
    <mergeCell ref="T53:BA53"/>
    <mergeCell ref="B54:G54"/>
    <mergeCell ref="I54:M54"/>
    <mergeCell ref="B55:G55"/>
    <mergeCell ref="B56:G56"/>
    <mergeCell ref="C60:K60"/>
    <mergeCell ref="J44:J45"/>
    <mergeCell ref="J48:J49"/>
    <mergeCell ref="B57:G57"/>
    <mergeCell ref="B53:G53"/>
    <mergeCell ref="B43:C44"/>
    <mergeCell ref="B47:C48"/>
    <mergeCell ref="B49:C50"/>
    <mergeCell ref="B51:C51"/>
    <mergeCell ref="B52:C52"/>
    <mergeCell ref="B92:C92"/>
    <mergeCell ref="B93:C93"/>
    <mergeCell ref="B94:C94"/>
    <mergeCell ref="B95:C95"/>
    <mergeCell ref="B96:C96"/>
    <mergeCell ref="T115:X115"/>
    <mergeCell ref="Y115:AA115"/>
    <mergeCell ref="AB115:AC115"/>
    <mergeCell ref="B75:G75"/>
    <mergeCell ref="B76:G76"/>
    <mergeCell ref="T76:BC76"/>
    <mergeCell ref="B77:G77"/>
    <mergeCell ref="I77:M77"/>
    <mergeCell ref="B97:C97"/>
    <mergeCell ref="B98:C98"/>
    <mergeCell ref="B99:C99"/>
    <mergeCell ref="B100:G100"/>
    <mergeCell ref="AF115:BA115"/>
    <mergeCell ref="B116:C116"/>
    <mergeCell ref="C107:K107"/>
    <mergeCell ref="T101:BC101"/>
    <mergeCell ref="B102:G102"/>
    <mergeCell ref="I102:M102"/>
    <mergeCell ref="B103:G103"/>
    <mergeCell ref="B104:G104"/>
    <mergeCell ref="B125:C125"/>
    <mergeCell ref="B101:G101"/>
    <mergeCell ref="B126:G126"/>
    <mergeCell ref="T126:BA126"/>
    <mergeCell ref="B127:G127"/>
    <mergeCell ref="I127:M127"/>
    <mergeCell ref="B117:C117"/>
    <mergeCell ref="B118:C118"/>
    <mergeCell ref="B119:C120"/>
    <mergeCell ref="B121:C122"/>
    <mergeCell ref="B123:C124"/>
    <mergeCell ref="Y141:AA141"/>
    <mergeCell ref="AB141:AC141"/>
    <mergeCell ref="AF141:BA141"/>
    <mergeCell ref="B142:C142"/>
    <mergeCell ref="B143:C143"/>
    <mergeCell ref="B128:G128"/>
    <mergeCell ref="B129:G129"/>
    <mergeCell ref="C133:K133"/>
    <mergeCell ref="B130:G130"/>
    <mergeCell ref="T141:X141"/>
    <mergeCell ref="B151:C153"/>
    <mergeCell ref="F152:G152"/>
    <mergeCell ref="F153:G153"/>
    <mergeCell ref="B154:C155"/>
    <mergeCell ref="F155:G155"/>
    <mergeCell ref="B144:C144"/>
    <mergeCell ref="B145:C145"/>
    <mergeCell ref="B146:C146"/>
    <mergeCell ref="B147:G147"/>
    <mergeCell ref="B148:C150"/>
    <mergeCell ref="F149:G149"/>
    <mergeCell ref="F150:G150"/>
    <mergeCell ref="B161:C163"/>
    <mergeCell ref="F162:G162"/>
    <mergeCell ref="F163:G163"/>
    <mergeCell ref="B164:C165"/>
    <mergeCell ref="F165:G165"/>
    <mergeCell ref="B156:C158"/>
    <mergeCell ref="F157:G157"/>
    <mergeCell ref="F158:G158"/>
    <mergeCell ref="B159:C160"/>
    <mergeCell ref="F160:G160"/>
    <mergeCell ref="B169:G169"/>
    <mergeCell ref="B170:G170"/>
    <mergeCell ref="C174:K174"/>
    <mergeCell ref="B171:G171"/>
    <mergeCell ref="B166:G166"/>
    <mergeCell ref="T166:BA166"/>
    <mergeCell ref="B167:G167"/>
    <mergeCell ref="T167:BA167"/>
    <mergeCell ref="B168:G168"/>
    <mergeCell ref="I168:M168"/>
    <mergeCell ref="T272:BA272"/>
    <mergeCell ref="T251:X251"/>
    <mergeCell ref="Y251:AA251"/>
    <mergeCell ref="AB251:AC251"/>
    <mergeCell ref="AF251:BA251"/>
    <mergeCell ref="B252:C252"/>
    <mergeCell ref="B253:C254"/>
    <mergeCell ref="B255:C256"/>
    <mergeCell ref="B257:C258"/>
    <mergeCell ref="B259:C260"/>
    <mergeCell ref="B273:G273"/>
    <mergeCell ref="I273:M273"/>
    <mergeCell ref="B274:G274"/>
    <mergeCell ref="B275:G275"/>
    <mergeCell ref="C279:K279"/>
    <mergeCell ref="B276:G276"/>
    <mergeCell ref="B261:C262"/>
    <mergeCell ref="B263:C264"/>
    <mergeCell ref="B265:C266"/>
    <mergeCell ref="B267:C268"/>
    <mergeCell ref="B269:C269"/>
    <mergeCell ref="B270:C270"/>
    <mergeCell ref="B271:C271"/>
    <mergeCell ref="B272:G272"/>
    <mergeCell ref="T315:X315"/>
    <mergeCell ref="Y315:AA315"/>
    <mergeCell ref="AB315:AC315"/>
    <mergeCell ref="AF315:BA315"/>
    <mergeCell ref="B316:C316"/>
    <mergeCell ref="B317:C317"/>
    <mergeCell ref="B318:C318"/>
    <mergeCell ref="B319:C319"/>
    <mergeCell ref="B320:G320"/>
    <mergeCell ref="B321:C323"/>
    <mergeCell ref="F322:G322"/>
    <mergeCell ref="F323:G323"/>
    <mergeCell ref="B324:C326"/>
    <mergeCell ref="F325:G325"/>
    <mergeCell ref="F326:G326"/>
    <mergeCell ref="B327:C329"/>
    <mergeCell ref="F328:G328"/>
    <mergeCell ref="F329:G329"/>
    <mergeCell ref="B330:C332"/>
    <mergeCell ref="F331:G331"/>
    <mergeCell ref="F332:G332"/>
    <mergeCell ref="B333:C334"/>
    <mergeCell ref="F334:G334"/>
    <mergeCell ref="B335:C336"/>
    <mergeCell ref="F336:G336"/>
    <mergeCell ref="B337:C338"/>
    <mergeCell ref="F338:G338"/>
    <mergeCell ref="B339:G339"/>
    <mergeCell ref="T339:BA339"/>
    <mergeCell ref="B340:G340"/>
    <mergeCell ref="T340:BA340"/>
    <mergeCell ref="B341:G341"/>
    <mergeCell ref="I341:M341"/>
    <mergeCell ref="B342:G342"/>
    <mergeCell ref="B343:G343"/>
    <mergeCell ref="C347:K347"/>
    <mergeCell ref="B344:G344"/>
    <mergeCell ref="T406:X406"/>
    <mergeCell ref="Y406:AA406"/>
    <mergeCell ref="AB406:AC406"/>
    <mergeCell ref="AF406:BA406"/>
    <mergeCell ref="B407:C407"/>
    <mergeCell ref="B408:C409"/>
    <mergeCell ref="B410:C411"/>
    <mergeCell ref="B412:C413"/>
    <mergeCell ref="B414:C415"/>
    <mergeCell ref="B416:C417"/>
    <mergeCell ref="B418:C418"/>
    <mergeCell ref="B419:C419"/>
    <mergeCell ref="B420:C420"/>
    <mergeCell ref="B421:G421"/>
    <mergeCell ref="T421:BA421"/>
    <mergeCell ref="B422:G422"/>
    <mergeCell ref="I422:M422"/>
    <mergeCell ref="B423:G423"/>
    <mergeCell ref="T448:BA448"/>
    <mergeCell ref="B449:G449"/>
    <mergeCell ref="I449:M449"/>
    <mergeCell ref="B424:G424"/>
    <mergeCell ref="C428:K428"/>
    <mergeCell ref="B425:G425"/>
    <mergeCell ref="T436:X436"/>
    <mergeCell ref="Y436:AA436"/>
    <mergeCell ref="AB436:AC436"/>
    <mergeCell ref="AF436:BA436"/>
    <mergeCell ref="B437:C437"/>
    <mergeCell ref="B438:C438"/>
    <mergeCell ref="B450:G450"/>
    <mergeCell ref="B451:G451"/>
    <mergeCell ref="C455:K455"/>
    <mergeCell ref="B452:G452"/>
    <mergeCell ref="B439:C440"/>
    <mergeCell ref="B441:C442"/>
    <mergeCell ref="B443:C444"/>
    <mergeCell ref="B445:C445"/>
    <mergeCell ref="B446:C446"/>
    <mergeCell ref="B447:C447"/>
    <mergeCell ref="B448:G448"/>
    <mergeCell ref="T506:BC506"/>
    <mergeCell ref="B507:G507"/>
    <mergeCell ref="I507:M507"/>
    <mergeCell ref="T495:X495"/>
    <mergeCell ref="Y495:AA495"/>
    <mergeCell ref="AB495:AC495"/>
    <mergeCell ref="AF495:BC495"/>
    <mergeCell ref="B496:C496"/>
    <mergeCell ref="B497:C497"/>
    <mergeCell ref="B498:C498"/>
    <mergeCell ref="B499:C499"/>
    <mergeCell ref="B500:C500"/>
    <mergeCell ref="B508:G508"/>
    <mergeCell ref="B509:G509"/>
    <mergeCell ref="C512:K512"/>
    <mergeCell ref="B501:C501"/>
    <mergeCell ref="B502:C502"/>
    <mergeCell ref="B503:C503"/>
    <mergeCell ref="B504:G504"/>
    <mergeCell ref="B505:G505"/>
    <mergeCell ref="B506:G506"/>
  </mergeCells>
  <dataValidations count="12">
    <dataValidation type="list" allowBlank="1" showInputMessage="1" showErrorMessage="1" sqref="L30" xr:uid="{00000000-0002-0000-0D00-000000000000}">
      <formula1>$I$148:$I$169</formula1>
    </dataValidation>
    <dataValidation type="list" allowBlank="1" showInputMessage="1" showErrorMessage="1" sqref="F27" xr:uid="{00000000-0002-0000-0D00-000001000000}">
      <formula1>$H$148:$H$169</formula1>
    </dataValidation>
    <dataValidation type="list" allowBlank="1" showInputMessage="1" showErrorMessage="1" sqref="L65 L87" xr:uid="{00000000-0002-0000-0D00-000002000000}">
      <formula1>$I$148:$I$168</formula1>
    </dataValidation>
    <dataValidation type="list" allowBlank="1" showInputMessage="1" showErrorMessage="1" sqref="F62 F84" xr:uid="{00000000-0002-0000-0D00-000003000000}">
      <formula1>$H$148:$H$168</formula1>
    </dataValidation>
    <dataValidation type="list" allowBlank="1" showInputMessage="1" showErrorMessage="1" sqref="L112 L138 L205 L179" xr:uid="{00000000-0002-0000-0D00-000004000000}">
      <formula1>$I$147:$I$167</formula1>
    </dataValidation>
    <dataValidation type="list" allowBlank="1" showInputMessage="1" showErrorMessage="1" sqref="F109 F135 F202 F176" xr:uid="{00000000-0002-0000-0D00-000005000000}">
      <formula1>$H$147:$H$167</formula1>
    </dataValidation>
    <dataValidation type="list" allowBlank="1" showInputMessage="1" showErrorMessage="1" sqref="L248 L312 L284" xr:uid="{00000000-0002-0000-0D00-000006000000}">
      <formula1>$I$147:$I$166</formula1>
    </dataValidation>
    <dataValidation type="list" allowBlank="1" showInputMessage="1" showErrorMessage="1" sqref="F245 F309 F281" xr:uid="{00000000-0002-0000-0D00-000007000000}">
      <formula1>$H$147:$H$166</formula1>
    </dataValidation>
    <dataValidation type="list" allowBlank="1" showInputMessage="1" showErrorMessage="1" sqref="L403 L433 L352 L379" xr:uid="{00000000-0002-0000-0D00-000008000000}">
      <formula1>$I$147:$I$169</formula1>
    </dataValidation>
    <dataValidation type="list" allowBlank="1" showInputMessage="1" showErrorMessage="1" sqref="F400 F430 F349 F376" xr:uid="{00000000-0002-0000-0D00-000009000000}">
      <formula1>$H$147:$H$169</formula1>
    </dataValidation>
    <dataValidation type="list" allowBlank="1" showInputMessage="1" showErrorMessage="1" sqref="L460 L492" xr:uid="{00000000-0002-0000-0D00-00000A000000}">
      <formula1>$I$147:$I$178</formula1>
    </dataValidation>
    <dataValidation type="list" allowBlank="1" showInputMessage="1" showErrorMessage="1" sqref="F457 F489" xr:uid="{00000000-0002-0000-0D00-00000B000000}">
      <formula1>$H$147:$H$178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D00-00000C000000}">
          <x14:formula1>
            <xm:f>'FLF &amp; AGENT INFO'!$H$3:$H$7</xm:f>
          </x14:formula1>
          <xm:sqref>L6 L66 L88 L113 L139 L180 L206 L249 L285 L313 L353 L380 L404 L434 L461 L493</xm:sqref>
        </x14:dataValidation>
        <x14:dataValidation type="list" allowBlank="1" showInputMessage="1" showErrorMessage="1" xr:uid="{00000000-0002-0000-0D00-00000D000000}">
          <x14:formula1>
            <xm:f>'FLF &amp; AGENT INFO'!$B$3:$B$20</xm:f>
          </x14:formula1>
          <xm:sqref>F5 F30 F65 F87 F112 F138 F179 F205 F248 F284 F312 F352 F379 F403 F433 F460 F492</xm:sqref>
        </x14:dataValidation>
        <x14:dataValidation type="list" allowBlank="1" showInputMessage="1" showErrorMessage="1" xr:uid="{00000000-0002-0000-0D00-00000E000000}">
          <x14:formula1>
            <xm:f>'D:\File download\Barge Line Up\[Barge Line Up 2023-240523.xlsx]FLF &amp; AGENT INFO'!#REF!</xm:f>
          </x14:formula1>
          <xm:sqref>L31</xm:sqref>
        </x14:dataValidation>
        <x14:dataValidation type="list" allowBlank="1" showInputMessage="1" showErrorMessage="1" xr:uid="{00000000-0002-0000-0D00-00000F000000}">
          <x14:formula1>
            <xm:f>'FLF &amp; AGENT INFO'!$F$3:$F$27</xm:f>
          </x14:formula1>
          <xm:sqref>F7 F286 F250 F207 F181 F140 F114 F89 F67 F32</xm:sqref>
        </x14:dataValidation>
        <x14:dataValidation type="list" allowBlank="1" showInputMessage="1" showErrorMessage="1" xr:uid="{00000000-0002-0000-0D00-000010000000}">
          <x14:formula1>
            <xm:f>'FLF &amp; AGENT INFO'!$F$3:$F$28</xm:f>
          </x14:formula1>
          <xm:sqref>F314 F494 F462 F435 F405 F381 F354</xm:sqref>
        </x14:dataValidation>
        <x14:dataValidation type="list" allowBlank="1" showInputMessage="1" showErrorMessage="1" xr:uid="{00000000-0002-0000-0D00-000011000000}">
          <x14:formula1>
            <xm:f>'FLF &amp; AGENT INFO'!$D$3:$D$31</xm:f>
          </x14:formula1>
          <xm:sqref>F6 F493 F461 F434 F404 F380 F353 F313 F285 F249 F206 F180 F139 F113 F88 F66 F31</xm:sqref>
        </x14:dataValidation>
        <x14:dataValidation type="list" allowBlank="1" showInputMessage="1" showErrorMessage="1" xr:uid="{00000000-0002-0000-0D00-000012000000}">
          <x14:formula1>
            <xm:f>'VLU 2023 &amp; 2024'!$I$100:$I$125</xm:f>
          </x14:formula1>
          <xm:sqref>L5</xm:sqref>
        </x14:dataValidation>
        <x14:dataValidation type="list" allowBlank="1" showInputMessage="1" showErrorMessage="1" xr:uid="{00000000-0002-0000-0D00-000013000000}">
          <x14:formula1>
            <xm:f>'VLU 2023 &amp; 2024'!$H$100:$H$125</xm:f>
          </x14:formula1>
          <xm:sqref>F2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B2:BD479"/>
  <sheetViews>
    <sheetView topLeftCell="A464" zoomScaleNormal="100" workbookViewId="0">
      <selection activeCell="B410" sqref="B410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1.44140625" style="56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16384" width="9.33203125" style="39"/>
  </cols>
  <sheetData>
    <row r="2" spans="2:54">
      <c r="B2" s="28" t="s">
        <v>126</v>
      </c>
      <c r="C2" s="28"/>
      <c r="D2" s="29"/>
      <c r="E2" s="30" t="s">
        <v>511</v>
      </c>
      <c r="F2" s="31" t="s">
        <v>1852</v>
      </c>
      <c r="G2" s="32"/>
      <c r="H2" s="33"/>
      <c r="I2" s="34"/>
      <c r="J2" s="35" t="s">
        <v>513</v>
      </c>
      <c r="K2" s="36" t="s">
        <v>511</v>
      </c>
      <c r="L2" s="37">
        <v>45109.708333333336</v>
      </c>
      <c r="M2" s="32"/>
      <c r="N2" s="32"/>
      <c r="O2" s="206"/>
      <c r="P2" s="205"/>
      <c r="Q2" s="202"/>
      <c r="R2" s="204"/>
      <c r="S2" s="38"/>
      <c r="T2" s="201"/>
      <c r="U2" s="201"/>
      <c r="V2" s="201"/>
      <c r="W2" s="201"/>
      <c r="X2" s="201"/>
      <c r="Y2" s="201"/>
      <c r="Z2" s="201"/>
      <c r="AA2" s="201"/>
      <c r="AB2" s="202"/>
      <c r="AC2" s="202"/>
      <c r="AD2" s="202"/>
      <c r="AE2" s="202"/>
      <c r="AF2" s="202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</row>
    <row r="3" spans="2:54">
      <c r="B3" s="35" t="s">
        <v>514</v>
      </c>
      <c r="C3" s="35"/>
      <c r="D3" s="32"/>
      <c r="E3" s="36" t="s">
        <v>511</v>
      </c>
      <c r="F3" s="311" t="s">
        <v>2042</v>
      </c>
      <c r="G3" s="32"/>
      <c r="H3" s="33"/>
      <c r="I3" s="34"/>
      <c r="J3" s="35" t="s">
        <v>516</v>
      </c>
      <c r="K3" s="36" t="s">
        <v>511</v>
      </c>
      <c r="L3" s="37">
        <v>45112.083333333336</v>
      </c>
      <c r="M3" s="32"/>
      <c r="N3" s="32"/>
      <c r="O3" s="206"/>
      <c r="P3" s="205"/>
      <c r="Q3" s="202"/>
      <c r="R3" s="204"/>
      <c r="S3" s="38"/>
      <c r="T3" s="201"/>
      <c r="U3" s="201"/>
      <c r="V3" s="201"/>
      <c r="W3" s="201"/>
      <c r="X3" s="201"/>
      <c r="Y3" s="201"/>
      <c r="Z3" s="201"/>
      <c r="AA3" s="201"/>
      <c r="AB3" s="202"/>
      <c r="AC3" s="202"/>
      <c r="AD3" s="202"/>
      <c r="AE3" s="202"/>
      <c r="AF3" s="202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</row>
    <row r="4" spans="2:54">
      <c r="B4" s="35" t="s">
        <v>517</v>
      </c>
      <c r="C4" s="35"/>
      <c r="D4" s="32"/>
      <c r="E4" s="36" t="s">
        <v>511</v>
      </c>
      <c r="F4" s="37">
        <v>45107.256944444445</v>
      </c>
      <c r="G4" s="32"/>
      <c r="H4" s="33"/>
      <c r="I4" s="34"/>
      <c r="J4" s="35" t="s">
        <v>518</v>
      </c>
      <c r="K4" s="36" t="s">
        <v>511</v>
      </c>
      <c r="L4" s="50">
        <v>75600</v>
      </c>
      <c r="M4" s="40" t="s">
        <v>519</v>
      </c>
      <c r="N4" s="40"/>
      <c r="O4" s="206"/>
      <c r="P4" s="205"/>
      <c r="Q4" s="202"/>
      <c r="R4" s="204"/>
      <c r="S4" s="38"/>
      <c r="T4" s="201"/>
      <c r="U4" s="201"/>
      <c r="V4" s="201"/>
      <c r="W4" s="201"/>
      <c r="X4" s="201"/>
      <c r="Y4" s="201"/>
      <c r="Z4" s="201"/>
      <c r="AA4" s="201"/>
      <c r="AB4" s="202"/>
      <c r="AC4" s="202"/>
      <c r="AD4" s="202"/>
      <c r="AE4" s="202"/>
      <c r="AF4" s="202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</row>
    <row r="5" spans="2:54">
      <c r="B5" s="35" t="s">
        <v>520</v>
      </c>
      <c r="C5" s="35"/>
      <c r="D5" s="32"/>
      <c r="E5" s="36" t="s">
        <v>511</v>
      </c>
      <c r="F5" s="37" t="s">
        <v>12</v>
      </c>
      <c r="G5" s="32"/>
      <c r="H5" s="33"/>
      <c r="I5" s="34"/>
      <c r="J5" s="35" t="s">
        <v>521</v>
      </c>
      <c r="K5" s="36" t="s">
        <v>511</v>
      </c>
      <c r="L5" s="41" t="s">
        <v>1166</v>
      </c>
      <c r="M5" s="32"/>
      <c r="N5" s="32"/>
      <c r="O5" s="206"/>
      <c r="P5" s="202"/>
      <c r="Q5" s="202"/>
      <c r="R5" s="204"/>
      <c r="S5" s="38"/>
      <c r="T5" s="201"/>
      <c r="U5" s="201"/>
      <c r="V5" s="201"/>
      <c r="W5" s="201"/>
      <c r="X5" s="201"/>
      <c r="Y5" s="201"/>
      <c r="Z5" s="201"/>
      <c r="AA5" s="201"/>
      <c r="AB5" s="202"/>
      <c r="AC5" s="202"/>
      <c r="AD5" s="202"/>
      <c r="AE5" s="202"/>
      <c r="AF5" s="202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</row>
    <row r="6" spans="2:54">
      <c r="B6" s="35" t="s">
        <v>523</v>
      </c>
      <c r="C6" s="35"/>
      <c r="D6" s="32"/>
      <c r="E6" s="36" t="s">
        <v>511</v>
      </c>
      <c r="F6" s="37" t="s">
        <v>32</v>
      </c>
      <c r="G6" s="32"/>
      <c r="H6" s="33"/>
      <c r="I6" s="34"/>
      <c r="J6" s="42" t="s">
        <v>524</v>
      </c>
      <c r="K6" s="36" t="s">
        <v>511</v>
      </c>
      <c r="L6" s="43" t="s">
        <v>15</v>
      </c>
      <c r="M6" s="44"/>
      <c r="N6" s="44"/>
      <c r="O6" s="206"/>
      <c r="P6" s="205"/>
      <c r="Q6" s="202"/>
      <c r="R6" s="204"/>
      <c r="S6" s="38"/>
      <c r="T6" s="201"/>
      <c r="U6" s="201"/>
      <c r="V6" s="201"/>
      <c r="W6" s="201"/>
      <c r="X6" s="201"/>
      <c r="Y6" s="201"/>
      <c r="Z6" s="201"/>
      <c r="AA6" s="201"/>
      <c r="AB6" s="202"/>
      <c r="AC6" s="202"/>
      <c r="AD6" s="202"/>
      <c r="AE6" s="202"/>
      <c r="AF6" s="202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</row>
    <row r="7" spans="2:54">
      <c r="B7" s="35" t="s">
        <v>2</v>
      </c>
      <c r="C7" s="35"/>
      <c r="D7" s="32"/>
      <c r="E7" s="36" t="s">
        <v>511</v>
      </c>
      <c r="F7" s="37" t="s">
        <v>6</v>
      </c>
      <c r="G7" s="32"/>
      <c r="H7" s="33"/>
      <c r="I7" s="45"/>
      <c r="J7" s="42"/>
      <c r="K7" s="36"/>
      <c r="L7" s="211"/>
      <c r="M7" s="201"/>
      <c r="N7" s="201"/>
      <c r="O7" s="42"/>
      <c r="P7" s="44"/>
      <c r="Q7" s="44"/>
      <c r="R7" s="44"/>
      <c r="S7" s="34"/>
      <c r="T7" s="201"/>
      <c r="U7" s="201"/>
      <c r="V7" s="201"/>
      <c r="W7" s="201"/>
      <c r="X7" s="201"/>
      <c r="Y7" s="201"/>
      <c r="Z7" s="201"/>
      <c r="AA7" s="201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</row>
    <row r="8" spans="2:54">
      <c r="B8" s="201"/>
      <c r="C8" s="201"/>
      <c r="D8" s="201"/>
      <c r="E8" s="201"/>
      <c r="F8" s="201"/>
      <c r="G8" s="201"/>
      <c r="H8" s="201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65" t="s">
        <v>87</v>
      </c>
      <c r="U8" s="1265"/>
      <c r="V8" s="1265"/>
      <c r="W8" s="1265"/>
      <c r="X8" s="1265"/>
      <c r="Y8" s="1265" t="s">
        <v>73</v>
      </c>
      <c r="Z8" s="1265"/>
      <c r="AA8" s="1265"/>
      <c r="AB8" s="1265" t="s">
        <v>74</v>
      </c>
      <c r="AC8" s="1265"/>
      <c r="AD8" s="423" t="s">
        <v>85</v>
      </c>
      <c r="AE8" s="423" t="s">
        <v>77</v>
      </c>
      <c r="AF8" s="1265" t="s">
        <v>525</v>
      </c>
      <c r="AG8" s="1265"/>
      <c r="AH8" s="1265"/>
      <c r="AI8" s="1265"/>
      <c r="AJ8" s="1265"/>
      <c r="AK8" s="1265"/>
      <c r="AL8" s="1265"/>
      <c r="AM8" s="1265"/>
      <c r="AN8" s="1265"/>
      <c r="AO8" s="1265"/>
      <c r="AP8" s="1265"/>
      <c r="AQ8" s="1265"/>
      <c r="AR8" s="1265"/>
      <c r="AS8" s="1265"/>
      <c r="AT8" s="1265"/>
      <c r="AU8" s="1265"/>
      <c r="AV8" s="1265"/>
      <c r="AW8" s="1265"/>
      <c r="AX8" s="1265"/>
      <c r="AY8" s="1265"/>
      <c r="AZ8" s="1265"/>
      <c r="BA8" s="1265"/>
      <c r="BB8" s="201"/>
    </row>
    <row r="9" spans="2:54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408" t="str">
        <f>"On time - "&amp;COUNTIF(N10:N22,"On time")&amp;" from "&amp;ROWS(N10:N22)-COUNTIF(N10:N22," ")</f>
        <v>On time - 6 from 10</v>
      </c>
      <c r="O9" s="46"/>
      <c r="P9" s="409" t="s">
        <v>534</v>
      </c>
      <c r="Q9" s="409" t="s">
        <v>535</v>
      </c>
      <c r="R9" s="409" t="s">
        <v>536</v>
      </c>
      <c r="S9" s="32"/>
      <c r="T9" s="424" t="s">
        <v>537</v>
      </c>
      <c r="U9" s="424" t="s">
        <v>538</v>
      </c>
      <c r="V9" s="424" t="s">
        <v>539</v>
      </c>
      <c r="W9" s="424" t="s">
        <v>540</v>
      </c>
      <c r="X9" s="424" t="s">
        <v>541</v>
      </c>
      <c r="Y9" s="424" t="s">
        <v>167</v>
      </c>
      <c r="Z9" s="424" t="s">
        <v>168</v>
      </c>
      <c r="AA9" s="424" t="s">
        <v>169</v>
      </c>
      <c r="AB9" s="424" t="s">
        <v>235</v>
      </c>
      <c r="AC9" s="424" t="s">
        <v>240</v>
      </c>
      <c r="AD9" s="423" t="s">
        <v>85</v>
      </c>
      <c r="AE9" s="424" t="s">
        <v>139</v>
      </c>
      <c r="AF9" s="424" t="s">
        <v>72</v>
      </c>
      <c r="AG9" s="424" t="s">
        <v>88</v>
      </c>
      <c r="AH9" s="424" t="s">
        <v>75</v>
      </c>
      <c r="AI9" s="424" t="s">
        <v>543</v>
      </c>
      <c r="AJ9" s="424" t="s">
        <v>78</v>
      </c>
      <c r="AK9" s="424" t="s">
        <v>76</v>
      </c>
      <c r="AL9" s="424" t="s">
        <v>544</v>
      </c>
      <c r="AM9" s="424" t="s">
        <v>545</v>
      </c>
      <c r="AN9" s="424" t="s">
        <v>86</v>
      </c>
      <c r="AO9" s="424" t="s">
        <v>83</v>
      </c>
      <c r="AP9" s="424" t="s">
        <v>84</v>
      </c>
      <c r="AQ9" s="424" t="s">
        <v>546</v>
      </c>
      <c r="AR9" s="424" t="s">
        <v>81</v>
      </c>
      <c r="AS9" s="424" t="s">
        <v>80</v>
      </c>
      <c r="AT9" s="424" t="s">
        <v>82</v>
      </c>
      <c r="AU9" s="424" t="s">
        <v>181</v>
      </c>
      <c r="AV9" s="424" t="s">
        <v>183</v>
      </c>
      <c r="AW9" s="424" t="s">
        <v>547</v>
      </c>
      <c r="AX9" s="424" t="s">
        <v>182</v>
      </c>
      <c r="AY9" s="424" t="s">
        <v>172</v>
      </c>
      <c r="AZ9" s="424" t="s">
        <v>173</v>
      </c>
      <c r="BA9" s="424" t="s">
        <v>184</v>
      </c>
      <c r="BB9" s="201"/>
    </row>
    <row r="10" spans="2:54">
      <c r="B10" s="1256" t="s">
        <v>548</v>
      </c>
      <c r="C10" s="1257"/>
      <c r="D10" s="411" t="s">
        <v>1851</v>
      </c>
      <c r="E10" s="411"/>
      <c r="F10" s="411" t="s">
        <v>323</v>
      </c>
      <c r="G10" s="411" t="s">
        <v>324</v>
      </c>
      <c r="H10" s="412">
        <v>5977.21</v>
      </c>
      <c r="I10" s="413" t="s">
        <v>240</v>
      </c>
      <c r="J10" s="414">
        <v>45106.493055555555</v>
      </c>
      <c r="K10" s="414"/>
      <c r="L10" s="414" t="s">
        <v>192</v>
      </c>
      <c r="M10" s="414" t="s">
        <v>192</v>
      </c>
      <c r="N10" s="413" t="str">
        <f t="shared" ref="N10:N24" si="0">IF(ISBLANK(J10)," ",IF(J10&lt;$F$4,"On time",(IF(DAY(J10-$F$4)&lt;1,"On time",(IF(J10&gt;$F$4,"DELAY ( "&amp;DAY(J10-$F$4)&amp;" day "&amp;HOUR(J10-$F$4)&amp;" hour "&amp;MINUTE(J10-$F$4)&amp;" minute )","xxx"))))))</f>
        <v>On time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/>
      <c r="AC10" s="416">
        <f>H10</f>
        <v>5977.21</v>
      </c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/>
      <c r="AQ10" s="416"/>
      <c r="AR10" s="416"/>
      <c r="AS10" s="416"/>
      <c r="AT10" s="416"/>
      <c r="AU10" s="416"/>
      <c r="AV10" s="416"/>
      <c r="AW10" s="416"/>
      <c r="AX10" s="416"/>
      <c r="AY10" s="416"/>
      <c r="AZ10" s="416"/>
      <c r="BA10" s="416"/>
      <c r="BB10" s="32"/>
    </row>
    <row r="11" spans="2:54">
      <c r="B11" s="1256" t="s">
        <v>548</v>
      </c>
      <c r="C11" s="1257"/>
      <c r="D11" s="411" t="s">
        <v>1856</v>
      </c>
      <c r="E11" s="411"/>
      <c r="F11" s="411" t="s">
        <v>437</v>
      </c>
      <c r="G11" s="411" t="s">
        <v>320</v>
      </c>
      <c r="H11" s="412">
        <v>7636.9229999999998</v>
      </c>
      <c r="I11" s="413" t="s">
        <v>240</v>
      </c>
      <c r="J11" s="414">
        <v>45107.510416666664</v>
      </c>
      <c r="K11" s="414"/>
      <c r="L11" s="414" t="s">
        <v>192</v>
      </c>
      <c r="M11" s="414" t="s">
        <v>192</v>
      </c>
      <c r="N11" s="413" t="str">
        <f t="shared" si="0"/>
        <v>On time</v>
      </c>
      <c r="O11" s="51"/>
      <c r="P11" s="415" t="s">
        <v>551</v>
      </c>
      <c r="Q11" s="415" t="s">
        <v>551</v>
      </c>
      <c r="R11" s="415" t="s">
        <v>551</v>
      </c>
      <c r="S11" s="32"/>
      <c r="T11" s="416"/>
      <c r="U11" s="416"/>
      <c r="V11" s="416"/>
      <c r="W11" s="416"/>
      <c r="X11" s="416"/>
      <c r="Y11" s="416"/>
      <c r="Z11" s="416"/>
      <c r="AA11" s="416"/>
      <c r="AB11" s="32"/>
      <c r="AC11" s="416">
        <f>H11</f>
        <v>7636.9229999999998</v>
      </c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6"/>
      <c r="AQ11" s="416"/>
      <c r="AR11" s="416"/>
      <c r="AS11" s="416"/>
      <c r="AT11" s="416"/>
      <c r="AU11" s="416"/>
      <c r="AV11" s="416"/>
      <c r="AW11" s="416"/>
      <c r="AX11" s="416"/>
      <c r="AY11" s="416"/>
      <c r="AZ11" s="416"/>
      <c r="BA11" s="416"/>
      <c r="BB11" s="32"/>
    </row>
    <row r="12" spans="2:54">
      <c r="B12" s="1250" t="s">
        <v>911</v>
      </c>
      <c r="C12" s="1251"/>
      <c r="D12" s="411" t="s">
        <v>1903</v>
      </c>
      <c r="E12" s="425"/>
      <c r="F12" s="411" t="s">
        <v>205</v>
      </c>
      <c r="G12" s="411" t="s">
        <v>206</v>
      </c>
      <c r="H12" s="412">
        <f>7574/4</f>
        <v>1893.5</v>
      </c>
      <c r="I12" s="413" t="s">
        <v>84</v>
      </c>
      <c r="J12" s="414">
        <v>45105.25</v>
      </c>
      <c r="K12" s="414"/>
      <c r="L12" s="414" t="s">
        <v>192</v>
      </c>
      <c r="M12" s="414" t="s">
        <v>192</v>
      </c>
      <c r="N12" s="413" t="str">
        <f t="shared" si="0"/>
        <v>On time</v>
      </c>
      <c r="O12" s="51"/>
      <c r="P12" s="415"/>
      <c r="Q12" s="415"/>
      <c r="R12" s="415"/>
      <c r="S12" s="32"/>
      <c r="T12" s="416"/>
      <c r="U12" s="416"/>
      <c r="V12" s="416"/>
      <c r="W12" s="416"/>
      <c r="X12" s="416"/>
      <c r="Y12" s="416"/>
      <c r="Z12" s="416"/>
      <c r="AA12" s="416"/>
      <c r="AB12" s="416"/>
      <c r="AC12" s="416"/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>
        <f>H12</f>
        <v>1893.5</v>
      </c>
      <c r="AQ12" s="416"/>
      <c r="AR12" s="416"/>
      <c r="AS12" s="416"/>
      <c r="AT12" s="416"/>
      <c r="AU12" s="416"/>
      <c r="AV12" s="416"/>
      <c r="AW12" s="416"/>
      <c r="AX12" s="416"/>
      <c r="AY12" s="416"/>
      <c r="AZ12" s="416"/>
      <c r="BA12" s="416"/>
      <c r="BB12" s="32"/>
    </row>
    <row r="13" spans="2:54">
      <c r="B13" s="1254"/>
      <c r="C13" s="1255"/>
      <c r="D13" s="411" t="s">
        <v>1889</v>
      </c>
      <c r="E13" s="411"/>
      <c r="F13" s="411" t="s">
        <v>473</v>
      </c>
      <c r="G13" s="411" t="s">
        <v>474</v>
      </c>
      <c r="H13" s="412">
        <v>7528.8270000000002</v>
      </c>
      <c r="I13" s="413" t="s">
        <v>1164</v>
      </c>
      <c r="J13" s="414">
        <v>45108.416666666664</v>
      </c>
      <c r="K13" s="414"/>
      <c r="L13" s="414" t="s">
        <v>192</v>
      </c>
      <c r="M13" s="414" t="s">
        <v>192</v>
      </c>
      <c r="N13" s="413" t="str">
        <f t="shared" si="0"/>
        <v>DELAY ( 1 day 3 hour 50 minute )</v>
      </c>
      <c r="O13" s="51"/>
      <c r="P13" s="415" t="s">
        <v>551</v>
      </c>
      <c r="Q13" s="415" t="s">
        <v>551</v>
      </c>
      <c r="R13" s="415" t="s">
        <v>551</v>
      </c>
      <c r="S13" s="32"/>
      <c r="T13" s="416"/>
      <c r="U13" s="416"/>
      <c r="V13" s="416"/>
      <c r="W13" s="416"/>
      <c r="X13" s="416">
        <f>H13</f>
        <v>7528.8270000000002</v>
      </c>
      <c r="Y13" s="416"/>
      <c r="Z13" s="416"/>
      <c r="AA13" s="416"/>
      <c r="AB13" s="416"/>
      <c r="AC13" s="416"/>
      <c r="AD13" s="416"/>
      <c r="AE13" s="416"/>
      <c r="AF13" s="416"/>
      <c r="AG13" s="416"/>
      <c r="AH13" s="416"/>
      <c r="AI13" s="416"/>
      <c r="AJ13" s="32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286"/>
      <c r="AZ13" s="416"/>
      <c r="BA13" s="416"/>
      <c r="BB13" s="32"/>
    </row>
    <row r="14" spans="2:54">
      <c r="B14" s="1250" t="s">
        <v>1997</v>
      </c>
      <c r="C14" s="1251"/>
      <c r="D14" s="411" t="s">
        <v>1903</v>
      </c>
      <c r="E14" s="425"/>
      <c r="F14" s="411" t="s">
        <v>205</v>
      </c>
      <c r="G14" s="411" t="s">
        <v>206</v>
      </c>
      <c r="H14" s="412">
        <f>H12</f>
        <v>1893.5</v>
      </c>
      <c r="I14" s="413" t="s">
        <v>84</v>
      </c>
      <c r="J14" s="414"/>
      <c r="K14" s="414"/>
      <c r="L14" s="414"/>
      <c r="M14" s="414"/>
      <c r="N14" s="413" t="str">
        <f t="shared" si="0"/>
        <v xml:space="preserve"> </v>
      </c>
      <c r="O14" s="51"/>
      <c r="P14" s="415"/>
      <c r="Q14" s="415"/>
      <c r="R14" s="415"/>
      <c r="S14" s="32"/>
      <c r="T14" s="416"/>
      <c r="U14" s="416"/>
      <c r="V14" s="416"/>
      <c r="W14" s="416"/>
      <c r="X14" s="416"/>
      <c r="Y14" s="416"/>
      <c r="Z14" s="416"/>
      <c r="AA14" s="416"/>
      <c r="AB14" s="416"/>
      <c r="AC14" s="416"/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>
        <f>H14</f>
        <v>1893.5</v>
      </c>
      <c r="AQ14" s="416"/>
      <c r="AR14" s="416"/>
      <c r="AS14" s="416"/>
      <c r="AT14" s="416"/>
      <c r="AU14" s="416"/>
      <c r="AV14" s="416"/>
      <c r="AW14" s="416"/>
      <c r="AX14" s="416"/>
      <c r="AY14" s="416"/>
      <c r="AZ14" s="416"/>
      <c r="BA14" s="416"/>
      <c r="BB14" s="32"/>
    </row>
    <row r="15" spans="2:54">
      <c r="B15" s="1254"/>
      <c r="C15" s="1255"/>
      <c r="D15" s="411" t="s">
        <v>1857</v>
      </c>
      <c r="E15" s="411"/>
      <c r="F15" s="411" t="s">
        <v>284</v>
      </c>
      <c r="G15" s="411" t="s">
        <v>285</v>
      </c>
      <c r="H15" s="412">
        <v>9296.19</v>
      </c>
      <c r="I15" s="413" t="s">
        <v>240</v>
      </c>
      <c r="J15" s="414">
        <v>45107.958333333336</v>
      </c>
      <c r="K15" s="414"/>
      <c r="L15" s="414" t="s">
        <v>192</v>
      </c>
      <c r="M15" s="414" t="s">
        <v>192</v>
      </c>
      <c r="N15" s="413" t="str">
        <f t="shared" si="0"/>
        <v>On time</v>
      </c>
      <c r="O15" s="51"/>
      <c r="P15" s="415" t="s">
        <v>551</v>
      </c>
      <c r="Q15" s="415" t="s">
        <v>551</v>
      </c>
      <c r="R15" s="415" t="s">
        <v>551</v>
      </c>
      <c r="S15" s="32"/>
      <c r="T15" s="416"/>
      <c r="U15" s="416"/>
      <c r="V15" s="416"/>
      <c r="W15" s="416"/>
      <c r="X15" s="416"/>
      <c r="Y15" s="416"/>
      <c r="Z15" s="416"/>
      <c r="AA15" s="416"/>
      <c r="AB15" s="416"/>
      <c r="AC15" s="416">
        <f>H15</f>
        <v>9296.19</v>
      </c>
      <c r="AD15" s="416"/>
      <c r="AE15" s="416"/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6"/>
      <c r="AS15" s="416"/>
      <c r="AT15" s="416"/>
      <c r="AU15" s="416"/>
      <c r="AV15" s="416"/>
      <c r="AW15" s="416"/>
      <c r="AX15" s="416"/>
      <c r="AY15" s="416"/>
      <c r="AZ15" s="416"/>
      <c r="BA15" s="416"/>
      <c r="BB15" s="32"/>
    </row>
    <row r="16" spans="2:54">
      <c r="B16" s="1250" t="s">
        <v>911</v>
      </c>
      <c r="C16" s="1251"/>
      <c r="D16" s="411" t="s">
        <v>1903</v>
      </c>
      <c r="E16" s="425"/>
      <c r="F16" s="411" t="s">
        <v>205</v>
      </c>
      <c r="G16" s="411" t="s">
        <v>206</v>
      </c>
      <c r="H16" s="412">
        <f>H14</f>
        <v>1893.5</v>
      </c>
      <c r="I16" s="413" t="s">
        <v>84</v>
      </c>
      <c r="J16" s="414"/>
      <c r="K16" s="414"/>
      <c r="L16" s="414"/>
      <c r="M16" s="414"/>
      <c r="N16" s="413" t="str">
        <f t="shared" si="0"/>
        <v xml:space="preserve"> </v>
      </c>
      <c r="O16" s="51"/>
      <c r="P16" s="415"/>
      <c r="Q16" s="415"/>
      <c r="R16" s="415"/>
      <c r="S16" s="32"/>
      <c r="T16" s="416"/>
      <c r="U16" s="416"/>
      <c r="V16" s="416"/>
      <c r="W16" s="416"/>
      <c r="X16" s="416"/>
      <c r="Y16" s="416"/>
      <c r="Z16" s="416"/>
      <c r="AA16" s="416"/>
      <c r="AB16" s="416"/>
      <c r="AC16" s="416"/>
      <c r="AD16" s="416"/>
      <c r="AE16" s="416"/>
      <c r="AF16" s="416"/>
      <c r="AG16" s="416"/>
      <c r="AH16" s="416"/>
      <c r="AI16" s="416"/>
      <c r="AJ16" s="416"/>
      <c r="AK16" s="416"/>
      <c r="AL16" s="416"/>
      <c r="AM16" s="416"/>
      <c r="AN16" s="416"/>
      <c r="AO16" s="416"/>
      <c r="AP16" s="416">
        <f>H16</f>
        <v>1893.5</v>
      </c>
      <c r="AQ16" s="416"/>
      <c r="AR16" s="416"/>
      <c r="AS16" s="416"/>
      <c r="AT16" s="416"/>
      <c r="AU16" s="416"/>
      <c r="AV16" s="416"/>
      <c r="AW16" s="416"/>
      <c r="AX16" s="416"/>
      <c r="AY16" s="416"/>
      <c r="AZ16" s="416"/>
      <c r="BA16" s="416"/>
      <c r="BB16" s="32"/>
    </row>
    <row r="17" spans="2:54">
      <c r="B17" s="1254"/>
      <c r="C17" s="1255"/>
      <c r="D17" s="411" t="s">
        <v>1858</v>
      </c>
      <c r="E17" s="411"/>
      <c r="F17" s="411" t="s">
        <v>252</v>
      </c>
      <c r="G17" s="411" t="s">
        <v>253</v>
      </c>
      <c r="H17" s="412">
        <v>7541.6629999999996</v>
      </c>
      <c r="I17" s="413" t="s">
        <v>240</v>
      </c>
      <c r="J17" s="414">
        <v>45108.097222222219</v>
      </c>
      <c r="K17" s="414"/>
      <c r="L17" s="414" t="s">
        <v>192</v>
      </c>
      <c r="M17" s="414" t="s">
        <v>192</v>
      </c>
      <c r="N17" s="413" t="str">
        <f t="shared" si="0"/>
        <v>On time</v>
      </c>
      <c r="O17" s="51"/>
      <c r="P17" s="415" t="s">
        <v>551</v>
      </c>
      <c r="Q17" s="415" t="s">
        <v>551</v>
      </c>
      <c r="R17" s="415" t="s">
        <v>551</v>
      </c>
      <c r="S17" s="32"/>
      <c r="T17" s="416"/>
      <c r="U17" s="416"/>
      <c r="V17" s="416"/>
      <c r="W17" s="416"/>
      <c r="X17" s="416"/>
      <c r="Y17" s="416"/>
      <c r="Z17" s="416"/>
      <c r="AA17" s="416"/>
      <c r="AB17" s="416"/>
      <c r="AC17" s="416">
        <f>H17</f>
        <v>7541.6629999999996</v>
      </c>
      <c r="AD17" s="416"/>
      <c r="AE17" s="416"/>
      <c r="AF17" s="416"/>
      <c r="AG17" s="416"/>
      <c r="AH17" s="416"/>
      <c r="AI17" s="416"/>
      <c r="AJ17" s="416"/>
      <c r="AK17" s="416"/>
      <c r="AL17" s="416"/>
      <c r="AM17" s="416"/>
      <c r="AN17" s="416"/>
      <c r="AO17" s="416"/>
      <c r="AP17" s="416"/>
      <c r="AQ17" s="416"/>
      <c r="AR17" s="416"/>
      <c r="AS17" s="416"/>
      <c r="AT17" s="416"/>
      <c r="AU17" s="416"/>
      <c r="AV17" s="416"/>
      <c r="AW17" s="416"/>
      <c r="AX17" s="416"/>
      <c r="AY17" s="416"/>
      <c r="AZ17" s="416"/>
      <c r="BA17" s="416"/>
      <c r="BB17" s="32"/>
    </row>
    <row r="18" spans="2:54">
      <c r="B18" s="1250" t="s">
        <v>911</v>
      </c>
      <c r="C18" s="1251"/>
      <c r="D18" s="411" t="s">
        <v>1903</v>
      </c>
      <c r="E18" s="425"/>
      <c r="F18" s="411" t="s">
        <v>205</v>
      </c>
      <c r="G18" s="411" t="s">
        <v>206</v>
      </c>
      <c r="H18" s="412">
        <f>H16</f>
        <v>1893.5</v>
      </c>
      <c r="I18" s="413" t="s">
        <v>84</v>
      </c>
      <c r="J18" s="414"/>
      <c r="K18" s="414"/>
      <c r="L18" s="414"/>
      <c r="M18" s="414"/>
      <c r="N18" s="413" t="str">
        <f t="shared" si="0"/>
        <v xml:space="preserve"> </v>
      </c>
      <c r="O18" s="51"/>
      <c r="P18" s="415" t="s">
        <v>551</v>
      </c>
      <c r="Q18" s="415" t="s">
        <v>551</v>
      </c>
      <c r="R18" s="415" t="s">
        <v>551</v>
      </c>
      <c r="S18" s="32"/>
      <c r="T18" s="416"/>
      <c r="U18" s="416"/>
      <c r="V18" s="416"/>
      <c r="W18" s="416"/>
      <c r="X18" s="416"/>
      <c r="Y18" s="416"/>
      <c r="Z18" s="416"/>
      <c r="AA18" s="416"/>
      <c r="AB18" s="416"/>
      <c r="AC18" s="416"/>
      <c r="AD18" s="416"/>
      <c r="AE18" s="416"/>
      <c r="AF18" s="416"/>
      <c r="AG18" s="416"/>
      <c r="AH18" s="416"/>
      <c r="AI18" s="416"/>
      <c r="AJ18" s="416"/>
      <c r="AK18" s="416"/>
      <c r="AL18" s="416"/>
      <c r="AM18" s="416"/>
      <c r="AN18" s="416"/>
      <c r="AO18" s="416"/>
      <c r="AP18" s="416">
        <f>H18</f>
        <v>1893.5</v>
      </c>
      <c r="AQ18" s="416"/>
      <c r="AR18" s="416"/>
      <c r="AS18" s="416"/>
      <c r="AT18" s="416"/>
      <c r="AU18" s="416"/>
      <c r="AV18" s="416"/>
      <c r="AW18" s="416"/>
      <c r="AX18" s="416"/>
      <c r="AY18" s="416"/>
      <c r="AZ18" s="416"/>
      <c r="BA18" s="416"/>
      <c r="BB18" s="32"/>
    </row>
    <row r="19" spans="2:54">
      <c r="B19" s="1254"/>
      <c r="C19" s="1255"/>
      <c r="D19" s="411" t="s">
        <v>1855</v>
      </c>
      <c r="E19" s="411"/>
      <c r="F19" s="411" t="s">
        <v>246</v>
      </c>
      <c r="G19" s="411" t="s">
        <v>247</v>
      </c>
      <c r="H19" s="412">
        <v>7529.9669999999996</v>
      </c>
      <c r="I19" s="413" t="s">
        <v>240</v>
      </c>
      <c r="J19" s="414">
        <v>45108.166666666664</v>
      </c>
      <c r="K19" s="414"/>
      <c r="L19" s="414" t="s">
        <v>192</v>
      </c>
      <c r="M19" s="414" t="s">
        <v>192</v>
      </c>
      <c r="N19" s="413" t="str">
        <f t="shared" si="0"/>
        <v>On time</v>
      </c>
      <c r="O19" s="51"/>
      <c r="P19" s="415" t="s">
        <v>551</v>
      </c>
      <c r="Q19" s="415" t="s">
        <v>551</v>
      </c>
      <c r="R19" s="415" t="s">
        <v>551</v>
      </c>
      <c r="S19" s="32"/>
      <c r="T19" s="416"/>
      <c r="U19" s="416"/>
      <c r="V19" s="416"/>
      <c r="W19" s="416"/>
      <c r="X19" s="416"/>
      <c r="Y19" s="416"/>
      <c r="Z19" s="416"/>
      <c r="AA19" s="416"/>
      <c r="AB19" s="416"/>
      <c r="AC19" s="416">
        <f>H19</f>
        <v>7529.9669999999996</v>
      </c>
      <c r="AD19" s="416"/>
      <c r="AE19" s="416"/>
      <c r="AF19" s="416"/>
      <c r="AG19" s="416"/>
      <c r="AH19" s="416"/>
      <c r="AI19" s="416"/>
      <c r="AJ19" s="416"/>
      <c r="AK19" s="416"/>
      <c r="AL19" s="416"/>
      <c r="AM19" s="416"/>
      <c r="AN19" s="416"/>
      <c r="AO19" s="416"/>
      <c r="AP19" s="416"/>
      <c r="AQ19" s="416"/>
      <c r="AR19" s="416"/>
      <c r="AS19" s="416"/>
      <c r="AT19" s="32"/>
      <c r="AU19" s="416"/>
      <c r="AV19" s="416"/>
      <c r="AW19" s="416"/>
      <c r="AX19" s="416"/>
      <c r="AY19" s="416"/>
      <c r="AZ19" s="416"/>
      <c r="BA19" s="416"/>
      <c r="BB19" s="32"/>
    </row>
    <row r="20" spans="2:54">
      <c r="B20" s="1256" t="s">
        <v>548</v>
      </c>
      <c r="C20" s="1257"/>
      <c r="D20" s="411" t="s">
        <v>1859</v>
      </c>
      <c r="E20" s="411"/>
      <c r="F20" s="411" t="s">
        <v>238</v>
      </c>
      <c r="G20" s="411" t="s">
        <v>239</v>
      </c>
      <c r="H20" s="412">
        <v>7498.442</v>
      </c>
      <c r="I20" s="413" t="s">
        <v>240</v>
      </c>
      <c r="J20" s="414">
        <v>45108.833333333336</v>
      </c>
      <c r="K20" s="414"/>
      <c r="L20" s="414" t="s">
        <v>192</v>
      </c>
      <c r="M20" s="414" t="s">
        <v>192</v>
      </c>
      <c r="N20" s="413" t="str">
        <f t="shared" si="0"/>
        <v>DELAY ( 1 day 13 hour 50 minute )</v>
      </c>
      <c r="O20" s="51"/>
      <c r="P20" s="415" t="s">
        <v>551</v>
      </c>
      <c r="Q20" s="415" t="s">
        <v>551</v>
      </c>
      <c r="R20" s="415" t="s">
        <v>551</v>
      </c>
      <c r="S20" s="32"/>
      <c r="T20" s="416"/>
      <c r="U20" s="416"/>
      <c r="V20" s="416"/>
      <c r="W20" s="416"/>
      <c r="X20" s="416"/>
      <c r="Y20" s="416"/>
      <c r="Z20" s="416"/>
      <c r="AA20" s="416"/>
      <c r="AB20" s="416"/>
      <c r="AC20" s="416">
        <f t="shared" ref="AC20" si="1">H20</f>
        <v>7498.442</v>
      </c>
      <c r="AD20" s="416"/>
      <c r="AE20" s="416"/>
      <c r="AF20" s="416"/>
      <c r="AG20" s="416"/>
      <c r="AH20" s="416"/>
      <c r="AI20" s="416"/>
      <c r="AJ20" s="416"/>
      <c r="AK20" s="416"/>
      <c r="AL20" s="416"/>
      <c r="AM20" s="416"/>
      <c r="AN20" s="416"/>
      <c r="AO20" s="416"/>
      <c r="AP20" s="416"/>
      <c r="AQ20" s="416"/>
      <c r="AR20" s="416"/>
      <c r="AS20" s="416"/>
      <c r="AT20" s="416"/>
      <c r="AU20" s="416"/>
      <c r="AV20" s="416"/>
      <c r="AW20" s="416"/>
      <c r="AX20" s="416"/>
      <c r="AY20" s="416"/>
      <c r="AZ20" s="416"/>
      <c r="BA20" s="416"/>
      <c r="BB20" s="32"/>
    </row>
    <row r="21" spans="2:54">
      <c r="B21" s="1256" t="s">
        <v>548</v>
      </c>
      <c r="C21" s="1257"/>
      <c r="D21" s="411" t="s">
        <v>1860</v>
      </c>
      <c r="E21" s="411"/>
      <c r="F21" s="411" t="s">
        <v>295</v>
      </c>
      <c r="G21" s="411" t="s">
        <v>296</v>
      </c>
      <c r="H21" s="412">
        <v>9963.3040000000001</v>
      </c>
      <c r="I21" s="413" t="s">
        <v>1861</v>
      </c>
      <c r="J21" s="414">
        <v>45109.041666666664</v>
      </c>
      <c r="K21" s="414"/>
      <c r="L21" s="414" t="s">
        <v>192</v>
      </c>
      <c r="M21" s="414" t="s">
        <v>192</v>
      </c>
      <c r="N21" s="413" t="str">
        <f t="shared" si="0"/>
        <v>DELAY ( 1 day 18 hour 50 minute )</v>
      </c>
      <c r="O21" s="51"/>
      <c r="P21" s="415" t="s">
        <v>551</v>
      </c>
      <c r="Q21" s="415" t="s">
        <v>551</v>
      </c>
      <c r="R21" s="415" t="s">
        <v>551</v>
      </c>
      <c r="S21" s="32"/>
      <c r="T21" s="416"/>
      <c r="U21" s="416"/>
      <c r="V21" s="416"/>
      <c r="W21" s="416"/>
      <c r="X21" s="416"/>
      <c r="Y21" s="416"/>
      <c r="Z21" s="416"/>
      <c r="AA21" s="416"/>
      <c r="AB21" s="416">
        <f>H21*0.5</f>
        <v>4981.652</v>
      </c>
      <c r="AC21" s="416">
        <f>H21*0.5</f>
        <v>4981.652</v>
      </c>
      <c r="AD21" s="416"/>
      <c r="AE21" s="416"/>
      <c r="AF21" s="416"/>
      <c r="AG21" s="416"/>
      <c r="AH21" s="416"/>
      <c r="AI21" s="416"/>
      <c r="AJ21" s="416"/>
      <c r="AK21" s="416"/>
      <c r="AL21" s="416"/>
      <c r="AM21" s="416"/>
      <c r="AN21" s="416"/>
      <c r="AO21" s="416"/>
      <c r="AP21" s="416"/>
      <c r="AQ21" s="416"/>
      <c r="AR21" s="416"/>
      <c r="AS21" s="416"/>
      <c r="AT21" s="416"/>
      <c r="AU21" s="416"/>
      <c r="AV21" s="416"/>
      <c r="AW21" s="416"/>
      <c r="AX21" s="416"/>
      <c r="AY21" s="416"/>
      <c r="AZ21" s="416"/>
      <c r="BA21" s="416"/>
      <c r="BB21" s="32"/>
    </row>
    <row r="22" spans="2:54">
      <c r="B22" s="1256" t="s">
        <v>548</v>
      </c>
      <c r="C22" s="1257"/>
      <c r="D22" s="411" t="s">
        <v>1862</v>
      </c>
      <c r="E22" s="411"/>
      <c r="F22" s="411" t="s">
        <v>422</v>
      </c>
      <c r="G22" s="411" t="s">
        <v>375</v>
      </c>
      <c r="H22" s="412">
        <f>7504.48-2451.006</f>
        <v>5053.4740000000002</v>
      </c>
      <c r="I22" s="413" t="s">
        <v>235</v>
      </c>
      <c r="J22" s="414">
        <v>45108.975694444445</v>
      </c>
      <c r="K22" s="414"/>
      <c r="L22" s="414" t="s">
        <v>192</v>
      </c>
      <c r="M22" s="414" t="s">
        <v>192</v>
      </c>
      <c r="N22" s="413" t="str">
        <f t="shared" si="0"/>
        <v>DELAY ( 1 day 17 hour 15 minute )</v>
      </c>
      <c r="O22" s="51"/>
      <c r="P22" s="415" t="s">
        <v>551</v>
      </c>
      <c r="Q22" s="415" t="s">
        <v>551</v>
      </c>
      <c r="R22" s="415" t="s">
        <v>551</v>
      </c>
      <c r="S22" s="32"/>
      <c r="T22" s="416"/>
      <c r="U22" s="416"/>
      <c r="V22" s="416"/>
      <c r="W22" s="416"/>
      <c r="X22" s="416"/>
      <c r="Y22" s="416"/>
      <c r="Z22" s="416"/>
      <c r="AA22" s="416"/>
      <c r="AB22" s="416">
        <f>H22</f>
        <v>5053.4740000000002</v>
      </c>
      <c r="AC22" s="416"/>
      <c r="AD22" s="416"/>
      <c r="AE22" s="416"/>
      <c r="AF22" s="416"/>
      <c r="AG22" s="416"/>
      <c r="AH22" s="416"/>
      <c r="AI22" s="416"/>
      <c r="AJ22" s="416"/>
      <c r="AK22" s="416"/>
      <c r="AL22" s="416"/>
      <c r="AM22" s="416"/>
      <c r="AN22" s="416"/>
      <c r="AO22" s="416"/>
      <c r="AP22" s="416"/>
      <c r="AQ22" s="416"/>
      <c r="AR22" s="416"/>
      <c r="AS22" s="416"/>
      <c r="AT22" s="416"/>
      <c r="AU22" s="416"/>
      <c r="AV22" s="416"/>
      <c r="AW22" s="416"/>
      <c r="AX22" s="416"/>
      <c r="AY22" s="416"/>
      <c r="AZ22" s="416"/>
      <c r="BA22" s="416"/>
      <c r="BB22" s="32"/>
    </row>
    <row r="23" spans="2:54">
      <c r="B23" s="1258" t="s">
        <v>556</v>
      </c>
      <c r="C23" s="1259"/>
      <c r="D23" s="1259"/>
      <c r="E23" s="1259"/>
      <c r="F23" s="1259"/>
      <c r="G23" s="1260"/>
      <c r="H23" s="417">
        <f>SUM(H10:I22)</f>
        <v>75600</v>
      </c>
      <c r="I23" s="388"/>
      <c r="J23" s="293"/>
      <c r="K23" s="293"/>
      <c r="L23" s="293"/>
      <c r="M23" s="389"/>
      <c r="N23" s="413" t="str">
        <f t="shared" si="0"/>
        <v xml:space="preserve"> </v>
      </c>
      <c r="O23" s="212"/>
      <c r="P23" s="418"/>
      <c r="Q23" s="418"/>
      <c r="R23" s="418"/>
      <c r="S23" s="207"/>
      <c r="T23" s="1262"/>
      <c r="U23" s="1263"/>
      <c r="V23" s="1263"/>
      <c r="W23" s="1263"/>
      <c r="X23" s="1263"/>
      <c r="Y23" s="1263"/>
      <c r="Z23" s="1263"/>
      <c r="AA23" s="1263"/>
      <c r="AB23" s="1263"/>
      <c r="AC23" s="1263"/>
      <c r="AD23" s="1263"/>
      <c r="AE23" s="1263"/>
      <c r="AF23" s="1263"/>
      <c r="AG23" s="1263"/>
      <c r="AH23" s="1263"/>
      <c r="AI23" s="1263"/>
      <c r="AJ23" s="1263"/>
      <c r="AK23" s="1263"/>
      <c r="AL23" s="1263"/>
      <c r="AM23" s="1263"/>
      <c r="AN23" s="1263"/>
      <c r="AO23" s="1263"/>
      <c r="AP23" s="1263"/>
      <c r="AQ23" s="1263"/>
      <c r="AR23" s="1263"/>
      <c r="AS23" s="1263"/>
      <c r="AT23" s="1263"/>
      <c r="AU23" s="1263"/>
      <c r="AV23" s="1263"/>
      <c r="AW23" s="1263"/>
      <c r="AX23" s="1263"/>
      <c r="AY23" s="1263"/>
      <c r="AZ23" s="1263"/>
      <c r="BA23" s="1263"/>
    </row>
    <row r="24" spans="2:54">
      <c r="B24" s="1243" t="s">
        <v>557</v>
      </c>
      <c r="C24" s="1244"/>
      <c r="D24" s="1244"/>
      <c r="E24" s="1244"/>
      <c r="F24" s="1244"/>
      <c r="G24" s="1245"/>
      <c r="H24" s="419">
        <v>75600</v>
      </c>
      <c r="I24" s="1273"/>
      <c r="J24" s="1274"/>
      <c r="K24" s="1274"/>
      <c r="L24" s="1274"/>
      <c r="M24" s="1275"/>
      <c r="N24" s="413" t="str">
        <f t="shared" si="0"/>
        <v xml:space="preserve"> </v>
      </c>
      <c r="O24" s="32"/>
      <c r="P24" s="415"/>
      <c r="Q24" s="415"/>
      <c r="R24" s="415"/>
      <c r="S24" s="63"/>
      <c r="T24" s="416">
        <f t="shared" ref="T24:BA24" si="2">SUM(T10:T22)</f>
        <v>0</v>
      </c>
      <c r="U24" s="416">
        <f t="shared" si="2"/>
        <v>0</v>
      </c>
      <c r="V24" s="416">
        <f t="shared" si="2"/>
        <v>0</v>
      </c>
      <c r="W24" s="416">
        <f t="shared" si="2"/>
        <v>0</v>
      </c>
      <c r="X24" s="416">
        <f t="shared" si="2"/>
        <v>7528.8270000000002</v>
      </c>
      <c r="Y24" s="416">
        <f t="shared" si="2"/>
        <v>0</v>
      </c>
      <c r="Z24" s="416">
        <f t="shared" si="2"/>
        <v>0</v>
      </c>
      <c r="AA24" s="416">
        <f t="shared" si="2"/>
        <v>0</v>
      </c>
      <c r="AB24" s="416">
        <f t="shared" si="2"/>
        <v>10035.126</v>
      </c>
      <c r="AC24" s="416">
        <f t="shared" si="2"/>
        <v>50462.047000000006</v>
      </c>
      <c r="AD24" s="416">
        <f t="shared" si="2"/>
        <v>0</v>
      </c>
      <c r="AE24" s="416">
        <f t="shared" si="2"/>
        <v>0</v>
      </c>
      <c r="AF24" s="416">
        <f t="shared" si="2"/>
        <v>0</v>
      </c>
      <c r="AG24" s="416">
        <f t="shared" si="2"/>
        <v>0</v>
      </c>
      <c r="AH24" s="416">
        <f t="shared" si="2"/>
        <v>0</v>
      </c>
      <c r="AI24" s="416">
        <f t="shared" si="2"/>
        <v>0</v>
      </c>
      <c r="AJ24" s="416">
        <f t="shared" si="2"/>
        <v>0</v>
      </c>
      <c r="AK24" s="416">
        <f t="shared" si="2"/>
        <v>0</v>
      </c>
      <c r="AL24" s="416">
        <f t="shared" si="2"/>
        <v>0</v>
      </c>
      <c r="AM24" s="416">
        <f t="shared" si="2"/>
        <v>0</v>
      </c>
      <c r="AN24" s="416">
        <f t="shared" si="2"/>
        <v>0</v>
      </c>
      <c r="AO24" s="416">
        <f t="shared" si="2"/>
        <v>0</v>
      </c>
      <c r="AP24" s="416">
        <f t="shared" si="2"/>
        <v>7574</v>
      </c>
      <c r="AQ24" s="416">
        <f t="shared" si="2"/>
        <v>0</v>
      </c>
      <c r="AR24" s="416">
        <f t="shared" si="2"/>
        <v>0</v>
      </c>
      <c r="AS24" s="416">
        <f t="shared" si="2"/>
        <v>0</v>
      </c>
      <c r="AT24" s="416">
        <f t="shared" si="2"/>
        <v>0</v>
      </c>
      <c r="AU24" s="416">
        <f t="shared" si="2"/>
        <v>0</v>
      </c>
      <c r="AV24" s="416">
        <f t="shared" si="2"/>
        <v>0</v>
      </c>
      <c r="AW24" s="416">
        <f t="shared" si="2"/>
        <v>0</v>
      </c>
      <c r="AX24" s="416">
        <f t="shared" si="2"/>
        <v>0</v>
      </c>
      <c r="AY24" s="416">
        <f t="shared" si="2"/>
        <v>0</v>
      </c>
      <c r="AZ24" s="416">
        <f t="shared" si="2"/>
        <v>0</v>
      </c>
      <c r="BA24" s="416">
        <f t="shared" si="2"/>
        <v>0</v>
      </c>
      <c r="BB24" s="416">
        <f>SUM(T24:BA24)</f>
        <v>75600</v>
      </c>
    </row>
    <row r="25" spans="2:54">
      <c r="B25" s="1243" t="s">
        <v>558</v>
      </c>
      <c r="C25" s="1244"/>
      <c r="D25" s="1244"/>
      <c r="E25" s="1244"/>
      <c r="F25" s="1244"/>
      <c r="G25" s="1245"/>
      <c r="H25" s="420">
        <f>H24-L4</f>
        <v>0</v>
      </c>
      <c r="I25" s="294"/>
      <c r="J25" s="295"/>
      <c r="K25" s="295"/>
      <c r="L25" s="296"/>
      <c r="M25" s="32"/>
      <c r="N25" s="32"/>
      <c r="O25" s="32"/>
      <c r="P25" s="32"/>
      <c r="Q25" s="297"/>
      <c r="R25" s="297"/>
      <c r="S25" s="32"/>
      <c r="T25" s="48"/>
      <c r="U25" s="48"/>
      <c r="V25" s="48"/>
      <c r="W25" s="48"/>
      <c r="X25" s="48"/>
      <c r="Y25" s="48"/>
      <c r="Z25" s="48"/>
      <c r="AA25" s="48"/>
      <c r="AB25" s="48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</row>
    <row r="26" spans="2:54">
      <c r="B26" s="1243" t="s">
        <v>559</v>
      </c>
      <c r="C26" s="1244"/>
      <c r="D26" s="1244"/>
      <c r="E26" s="1244"/>
      <c r="F26" s="1244"/>
      <c r="G26" s="1245"/>
      <c r="H26" s="446">
        <v>2442</v>
      </c>
      <c r="I26" s="52"/>
      <c r="J26" s="53"/>
      <c r="K26" s="53"/>
      <c r="L26" s="54"/>
      <c r="M26" s="32"/>
      <c r="N26" s="201"/>
      <c r="O26" s="32"/>
      <c r="P26" s="32"/>
      <c r="Q26" s="32"/>
      <c r="R26" s="32"/>
      <c r="S26" s="32"/>
      <c r="T26" s="48"/>
      <c r="U26" s="48"/>
      <c r="V26" s="48"/>
      <c r="W26" s="48"/>
      <c r="X26" s="48"/>
      <c r="Y26" s="48"/>
      <c r="Z26" s="48"/>
      <c r="AA26" s="48"/>
      <c r="AB26" s="48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</row>
    <row r="27" spans="2:54">
      <c r="B27" s="1243" t="s">
        <v>560</v>
      </c>
      <c r="C27" s="1244"/>
      <c r="D27" s="1244"/>
      <c r="E27" s="1244"/>
      <c r="F27" s="1244"/>
      <c r="G27" s="1245"/>
      <c r="H27" s="421">
        <f>H26-2450.796</f>
        <v>-8.7959999999998217</v>
      </c>
      <c r="I27" s="52"/>
      <c r="J27" s="53"/>
      <c r="K27" s="53"/>
      <c r="L27" s="54"/>
      <c r="M27" s="32"/>
      <c r="N27" s="32"/>
      <c r="O27" s="32"/>
      <c r="P27" s="32"/>
      <c r="Q27" s="32"/>
      <c r="R27" s="32"/>
      <c r="S27" s="48"/>
      <c r="T27" s="48"/>
      <c r="U27" s="48"/>
      <c r="V27" s="48"/>
      <c r="W27" s="48"/>
      <c r="X27" s="48"/>
      <c r="Y27" s="48"/>
      <c r="Z27" s="48"/>
      <c r="AA27" s="48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</row>
    <row r="28" spans="2:54">
      <c r="B28" s="201"/>
      <c r="C28" s="201"/>
      <c r="D28" s="201"/>
      <c r="E28" s="201"/>
      <c r="F28" s="201"/>
      <c r="G28" s="201"/>
      <c r="H28" s="201"/>
      <c r="I28" s="213"/>
      <c r="J28" s="209"/>
      <c r="K28" s="209"/>
      <c r="L28" s="203"/>
      <c r="M28" s="201"/>
      <c r="N28" s="201"/>
      <c r="O28" s="209"/>
      <c r="P28" s="32"/>
      <c r="Q28" s="32"/>
      <c r="R28" s="32"/>
      <c r="S28" s="32"/>
      <c r="T28" s="48"/>
      <c r="U28" s="48"/>
      <c r="V28" s="48"/>
      <c r="W28" s="48"/>
      <c r="X28" s="48"/>
      <c r="Y28" s="48"/>
      <c r="Z28" s="48"/>
      <c r="AA28" s="48"/>
      <c r="AB28" s="48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</row>
    <row r="29" spans="2:54">
      <c r="B29" s="40" t="s">
        <v>561</v>
      </c>
      <c r="C29" s="40"/>
      <c r="D29" s="32"/>
      <c r="E29" s="32"/>
      <c r="F29" s="32"/>
      <c r="G29" s="32"/>
      <c r="H29" s="32"/>
      <c r="I29" s="32"/>
      <c r="J29" s="52"/>
      <c r="K29" s="52"/>
      <c r="L29" s="55"/>
      <c r="M29" s="32"/>
      <c r="N29" s="201"/>
      <c r="O29" s="5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BB29" s="201"/>
    </row>
    <row r="30" spans="2:54">
      <c r="B30" s="422">
        <v>1</v>
      </c>
      <c r="C30" s="1249" t="s">
        <v>2043</v>
      </c>
      <c r="D30" s="1249"/>
      <c r="E30" s="1249"/>
      <c r="F30" s="1249"/>
      <c r="G30" s="1249"/>
      <c r="H30" s="1249"/>
      <c r="I30" s="1249"/>
      <c r="J30" s="1249"/>
      <c r="K30" s="1249"/>
      <c r="L30" s="203"/>
      <c r="M30" s="203"/>
      <c r="N30" s="201"/>
      <c r="O30" s="209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</row>
    <row r="32" spans="2:54">
      <c r="B32" s="28" t="s">
        <v>126</v>
      </c>
      <c r="C32" s="28"/>
      <c r="D32" s="29"/>
      <c r="E32" s="30" t="s">
        <v>511</v>
      </c>
      <c r="F32" s="31" t="s">
        <v>1763</v>
      </c>
      <c r="G32" s="32"/>
      <c r="H32" s="33"/>
      <c r="I32" s="34"/>
      <c r="J32" s="35" t="s">
        <v>513</v>
      </c>
      <c r="K32" s="36" t="s">
        <v>511</v>
      </c>
      <c r="L32" s="37">
        <v>45110.729166666664</v>
      </c>
      <c r="M32" s="32"/>
      <c r="N32" s="32"/>
      <c r="O32" s="36"/>
      <c r="P32" s="33"/>
      <c r="Q32" s="48"/>
      <c r="R32" s="49"/>
      <c r="S32" s="38"/>
      <c r="T32" s="32"/>
      <c r="U32" s="32"/>
      <c r="V32" s="32"/>
      <c r="W32" s="32"/>
      <c r="X32" s="32"/>
      <c r="Y32" s="32"/>
      <c r="Z32" s="32"/>
      <c r="AA32" s="32"/>
      <c r="AB32" s="48"/>
      <c r="AC32" s="48"/>
      <c r="AD32" s="48"/>
      <c r="AE32" s="48"/>
      <c r="AF32" s="48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</row>
    <row r="33" spans="2:54">
      <c r="B33" s="35" t="s">
        <v>514</v>
      </c>
      <c r="C33" s="35"/>
      <c r="D33" s="32"/>
      <c r="E33" s="36" t="s">
        <v>511</v>
      </c>
      <c r="F33" s="311" t="s">
        <v>2044</v>
      </c>
      <c r="G33" s="32"/>
      <c r="H33" s="33"/>
      <c r="I33" s="34"/>
      <c r="J33" s="35" t="s">
        <v>516</v>
      </c>
      <c r="K33" s="36" t="s">
        <v>511</v>
      </c>
      <c r="L33" s="37">
        <f>'VLU 2023 &amp; 2024'!$N$123</f>
        <v>45113.069444444445</v>
      </c>
      <c r="M33" s="32"/>
      <c r="N33" s="32"/>
      <c r="O33" s="36"/>
      <c r="P33" s="33"/>
      <c r="Q33" s="48"/>
      <c r="R33" s="49"/>
      <c r="S33" s="38"/>
      <c r="T33" s="32"/>
      <c r="U33" s="32"/>
      <c r="V33" s="32"/>
      <c r="W33" s="32"/>
      <c r="X33" s="32"/>
      <c r="Y33" s="32"/>
      <c r="Z33" s="32"/>
      <c r="AA33" s="32"/>
      <c r="AB33" s="48"/>
      <c r="AC33" s="48"/>
      <c r="AD33" s="48"/>
      <c r="AE33" s="48"/>
      <c r="AF33" s="48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</row>
    <row r="34" spans="2:54">
      <c r="B34" s="35" t="s">
        <v>517</v>
      </c>
      <c r="C34" s="35"/>
      <c r="D34" s="32"/>
      <c r="E34" s="36" t="s">
        <v>511</v>
      </c>
      <c r="F34" s="37">
        <v>45106.1</v>
      </c>
      <c r="G34" s="32"/>
      <c r="H34" s="33"/>
      <c r="I34" s="34"/>
      <c r="J34" s="35" t="s">
        <v>518</v>
      </c>
      <c r="K34" s="36" t="s">
        <v>511</v>
      </c>
      <c r="L34" s="50">
        <v>77984.999999999985</v>
      </c>
      <c r="M34" s="40" t="s">
        <v>519</v>
      </c>
      <c r="N34" s="40"/>
      <c r="O34" s="36"/>
      <c r="P34" s="33"/>
      <c r="Q34" s="48"/>
      <c r="R34" s="49"/>
      <c r="S34" s="38"/>
      <c r="T34" s="32"/>
      <c r="U34" s="32"/>
      <c r="V34" s="32"/>
      <c r="W34" s="32"/>
      <c r="X34" s="32"/>
      <c r="Y34" s="32"/>
      <c r="Z34" s="32"/>
      <c r="AA34" s="32"/>
      <c r="AB34" s="48"/>
      <c r="AC34" s="48"/>
      <c r="AD34" s="48"/>
      <c r="AE34" s="48"/>
      <c r="AF34" s="48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</row>
    <row r="35" spans="2:54">
      <c r="B35" s="35" t="s">
        <v>520</v>
      </c>
      <c r="C35" s="35"/>
      <c r="D35" s="32"/>
      <c r="E35" s="36" t="s">
        <v>511</v>
      </c>
      <c r="F35" s="37" t="s">
        <v>4</v>
      </c>
      <c r="G35" s="32"/>
      <c r="H35" s="33"/>
      <c r="I35" s="34"/>
      <c r="J35" s="35" t="s">
        <v>521</v>
      </c>
      <c r="K35" s="36" t="s">
        <v>511</v>
      </c>
      <c r="L35" s="41" t="s">
        <v>2045</v>
      </c>
      <c r="M35" s="32"/>
      <c r="N35" s="32"/>
      <c r="O35" s="36"/>
      <c r="P35" s="48"/>
      <c r="Q35" s="48"/>
      <c r="R35" s="49"/>
      <c r="S35" s="38"/>
      <c r="T35" s="32"/>
      <c r="U35" s="32"/>
      <c r="V35" s="32"/>
      <c r="W35" s="32"/>
      <c r="X35" s="32"/>
      <c r="Y35" s="32"/>
      <c r="Z35" s="32"/>
      <c r="AA35" s="32"/>
      <c r="AB35" s="48"/>
      <c r="AC35" s="48"/>
      <c r="AD35" s="48"/>
      <c r="AE35" s="48"/>
      <c r="AF35" s="48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</row>
    <row r="36" spans="2:54">
      <c r="B36" s="35" t="s">
        <v>523</v>
      </c>
      <c r="C36" s="35"/>
      <c r="D36" s="32"/>
      <c r="E36" s="36" t="s">
        <v>511</v>
      </c>
      <c r="F36" s="37" t="s">
        <v>5</v>
      </c>
      <c r="G36" s="32"/>
      <c r="H36" s="33"/>
      <c r="I36" s="34"/>
      <c r="J36" s="42" t="s">
        <v>524</v>
      </c>
      <c r="K36" s="36" t="s">
        <v>511</v>
      </c>
      <c r="L36" s="43" t="s">
        <v>11</v>
      </c>
      <c r="M36" s="44"/>
      <c r="N36" s="44"/>
      <c r="O36" s="36"/>
      <c r="P36" s="33"/>
      <c r="Q36" s="48"/>
      <c r="R36" s="49"/>
      <c r="S36" s="38"/>
      <c r="T36" s="32"/>
      <c r="U36" s="32"/>
      <c r="V36" s="32"/>
      <c r="W36" s="32"/>
      <c r="X36" s="32"/>
      <c r="Y36" s="32"/>
      <c r="Z36" s="32"/>
      <c r="AA36" s="32"/>
      <c r="AB36" s="48"/>
      <c r="AC36" s="48"/>
      <c r="AD36" s="48"/>
      <c r="AE36" s="48"/>
      <c r="AF36" s="48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</row>
    <row r="37" spans="2:54">
      <c r="B37" s="35" t="s">
        <v>2</v>
      </c>
      <c r="C37" s="35"/>
      <c r="D37" s="32"/>
      <c r="E37" s="36" t="s">
        <v>511</v>
      </c>
      <c r="F37" s="37" t="s">
        <v>14</v>
      </c>
      <c r="G37" s="32"/>
      <c r="H37" s="33"/>
      <c r="I37" s="45"/>
      <c r="J37" s="42"/>
      <c r="K37" s="36"/>
      <c r="L37" s="37"/>
      <c r="M37" s="32"/>
      <c r="N37" s="32"/>
      <c r="O37" s="42"/>
      <c r="P37" s="44"/>
      <c r="Q37" s="44"/>
      <c r="R37" s="44"/>
      <c r="S37" s="34"/>
      <c r="T37" s="32"/>
      <c r="U37" s="32"/>
      <c r="V37" s="32"/>
      <c r="W37" s="32"/>
      <c r="X37" s="32"/>
      <c r="Y37" s="32"/>
      <c r="Z37" s="32"/>
      <c r="AA37" s="32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</row>
    <row r="38" spans="2:54">
      <c r="B38" s="32"/>
      <c r="C38" s="32"/>
      <c r="D38" s="32"/>
      <c r="E38" s="32"/>
      <c r="F38" s="32"/>
      <c r="G38" s="32"/>
      <c r="H38" s="32"/>
      <c r="I38" s="45"/>
      <c r="J38" s="42"/>
      <c r="K38" s="42"/>
      <c r="L38" s="43"/>
      <c r="M38" s="44"/>
      <c r="N38" s="44"/>
      <c r="O38" s="42"/>
      <c r="P38" s="44"/>
      <c r="Q38" s="44"/>
      <c r="R38" s="44"/>
      <c r="S38" s="34"/>
      <c r="T38" s="1270" t="s">
        <v>87</v>
      </c>
      <c r="U38" s="1270"/>
      <c r="V38" s="1270"/>
      <c r="W38" s="1270"/>
      <c r="X38" s="1270"/>
      <c r="Y38" s="1270" t="s">
        <v>73</v>
      </c>
      <c r="Z38" s="1270"/>
      <c r="AA38" s="1270"/>
      <c r="AB38" s="1270" t="s">
        <v>74</v>
      </c>
      <c r="AC38" s="1270"/>
      <c r="AD38" s="407" t="s">
        <v>85</v>
      </c>
      <c r="AE38" s="407" t="s">
        <v>77</v>
      </c>
      <c r="AF38" s="1270" t="s">
        <v>525</v>
      </c>
      <c r="AG38" s="1270"/>
      <c r="AH38" s="1270"/>
      <c r="AI38" s="1270"/>
      <c r="AJ38" s="1270"/>
      <c r="AK38" s="1270"/>
      <c r="AL38" s="1270"/>
      <c r="AM38" s="1270"/>
      <c r="AN38" s="1270"/>
      <c r="AO38" s="1270"/>
      <c r="AP38" s="1270"/>
      <c r="AQ38" s="1270"/>
      <c r="AR38" s="1270"/>
      <c r="AS38" s="1270"/>
      <c r="AT38" s="1270"/>
      <c r="AU38" s="1270"/>
      <c r="AV38" s="1270"/>
      <c r="AW38" s="1270"/>
      <c r="AX38" s="1270"/>
      <c r="AY38" s="1270"/>
      <c r="AZ38" s="1270"/>
      <c r="BA38" s="1270"/>
      <c r="BB38" s="32"/>
    </row>
    <row r="39" spans="2:54">
      <c r="B39" s="1266" t="s">
        <v>526</v>
      </c>
      <c r="C39" s="1267"/>
      <c r="D39" s="570" t="s">
        <v>527</v>
      </c>
      <c r="E39" s="570"/>
      <c r="F39" s="570" t="s">
        <v>528</v>
      </c>
      <c r="G39" s="570" t="s">
        <v>529</v>
      </c>
      <c r="H39" s="570" t="s">
        <v>530</v>
      </c>
      <c r="I39" s="570" t="s">
        <v>531</v>
      </c>
      <c r="J39" s="570" t="s">
        <v>532</v>
      </c>
      <c r="K39" s="570"/>
      <c r="L39" s="570" t="s">
        <v>130</v>
      </c>
      <c r="M39" s="570" t="s">
        <v>533</v>
      </c>
      <c r="N39" s="408" t="str">
        <f>"On time - "&amp;COUNTIF(N40:N66,"On time")&amp;" from "&amp;ROWS(N40:N66)-COUNTIF(N40:N66," ")</f>
        <v>On time - 12 from 12</v>
      </c>
      <c r="O39" s="46"/>
      <c r="P39" s="409" t="s">
        <v>534</v>
      </c>
      <c r="Q39" s="409" t="s">
        <v>535</v>
      </c>
      <c r="R39" s="409" t="s">
        <v>536</v>
      </c>
      <c r="S39" s="32"/>
      <c r="T39" s="410" t="s">
        <v>537</v>
      </c>
      <c r="U39" s="410" t="s">
        <v>538</v>
      </c>
      <c r="V39" s="410" t="s">
        <v>539</v>
      </c>
      <c r="W39" s="410" t="s">
        <v>540</v>
      </c>
      <c r="X39" s="410" t="s">
        <v>541</v>
      </c>
      <c r="Y39" s="410" t="s">
        <v>167</v>
      </c>
      <c r="Z39" s="410" t="s">
        <v>168</v>
      </c>
      <c r="AA39" s="410" t="s">
        <v>169</v>
      </c>
      <c r="AB39" s="410" t="s">
        <v>235</v>
      </c>
      <c r="AC39" s="410" t="s">
        <v>240</v>
      </c>
      <c r="AD39" s="407" t="s">
        <v>85</v>
      </c>
      <c r="AE39" s="410" t="s">
        <v>139</v>
      </c>
      <c r="AF39" s="410" t="s">
        <v>72</v>
      </c>
      <c r="AG39" s="410" t="s">
        <v>88</v>
      </c>
      <c r="AH39" s="410" t="s">
        <v>75</v>
      </c>
      <c r="AI39" s="410" t="s">
        <v>543</v>
      </c>
      <c r="AJ39" s="410" t="s">
        <v>78</v>
      </c>
      <c r="AK39" s="410" t="s">
        <v>76</v>
      </c>
      <c r="AL39" s="410" t="s">
        <v>544</v>
      </c>
      <c r="AM39" s="410" t="s">
        <v>545</v>
      </c>
      <c r="AN39" s="410" t="s">
        <v>86</v>
      </c>
      <c r="AO39" s="410" t="s">
        <v>83</v>
      </c>
      <c r="AP39" s="410" t="s">
        <v>84</v>
      </c>
      <c r="AQ39" s="410" t="s">
        <v>546</v>
      </c>
      <c r="AR39" s="410" t="s">
        <v>81</v>
      </c>
      <c r="AS39" s="410" t="s">
        <v>80</v>
      </c>
      <c r="AT39" s="410" t="s">
        <v>82</v>
      </c>
      <c r="AU39" s="410" t="s">
        <v>181</v>
      </c>
      <c r="AV39" s="410" t="s">
        <v>183</v>
      </c>
      <c r="AW39" s="410" t="s">
        <v>547</v>
      </c>
      <c r="AX39" s="410" t="s">
        <v>182</v>
      </c>
      <c r="AY39" s="410" t="s">
        <v>172</v>
      </c>
      <c r="AZ39" s="410" t="s">
        <v>173</v>
      </c>
      <c r="BA39" s="410" t="s">
        <v>184</v>
      </c>
      <c r="BB39" s="32"/>
    </row>
    <row r="40" spans="2:54">
      <c r="B40" s="1256" t="s">
        <v>616</v>
      </c>
      <c r="C40" s="1257"/>
      <c r="D40" s="411" t="s">
        <v>1977</v>
      </c>
      <c r="E40" s="444"/>
      <c r="F40" s="411" t="s">
        <v>249</v>
      </c>
      <c r="G40" s="411" t="s">
        <v>250</v>
      </c>
      <c r="H40" s="412">
        <v>431.63900000000001</v>
      </c>
      <c r="I40" s="413" t="s">
        <v>494</v>
      </c>
      <c r="J40" s="414">
        <v>45102.78125</v>
      </c>
      <c r="K40" s="414"/>
      <c r="L40" s="414" t="s">
        <v>192</v>
      </c>
      <c r="M40" s="414" t="s">
        <v>192</v>
      </c>
      <c r="N40" s="413" t="str">
        <f>IF(ISBLANK(J40)," ",IF(J40&lt;$F$34,"On time",(IF(DAY(J40-$F$34)&lt;1,"On time",(IF(J40&gt;$F$34,"DELAY ( "&amp;DAY(J40-$F$34)&amp;" day "&amp;HOUR(J40-$F$34)&amp;" hour "&amp;MINUTE(J40-$F$34)&amp;" minute )","xxx"))))))</f>
        <v>On time</v>
      </c>
      <c r="O40" s="51"/>
      <c r="P40" s="415" t="s">
        <v>551</v>
      </c>
      <c r="Q40" s="415" t="s">
        <v>551</v>
      </c>
      <c r="R40" s="415" t="s">
        <v>551</v>
      </c>
      <c r="S40" s="32"/>
      <c r="T40" s="416"/>
      <c r="U40" s="416"/>
      <c r="V40" s="416"/>
      <c r="W40" s="416"/>
      <c r="X40" s="416"/>
      <c r="Y40" s="416">
        <f>H40</f>
        <v>431.63900000000001</v>
      </c>
      <c r="Z40" s="416"/>
      <c r="AA40" s="416"/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/>
      <c r="AR40" s="416"/>
      <c r="AS40" s="416"/>
      <c r="AT40" s="416"/>
      <c r="AU40" s="416"/>
      <c r="AV40" s="416"/>
      <c r="AW40" s="416"/>
      <c r="AX40" s="416"/>
      <c r="AY40" s="416"/>
      <c r="AZ40" s="416"/>
      <c r="BA40" s="416"/>
      <c r="BB40" s="32"/>
    </row>
    <row r="41" spans="2:54">
      <c r="B41" s="1256" t="s">
        <v>668</v>
      </c>
      <c r="C41" s="1257"/>
      <c r="D41" s="411" t="s">
        <v>1876</v>
      </c>
      <c r="E41" s="444"/>
      <c r="F41" s="411" t="s">
        <v>383</v>
      </c>
      <c r="G41" s="411" t="s">
        <v>384</v>
      </c>
      <c r="H41" s="412">
        <v>5111</v>
      </c>
      <c r="I41" s="413" t="s">
        <v>81</v>
      </c>
      <c r="J41" s="414">
        <v>45106.645833333336</v>
      </c>
      <c r="K41" s="414"/>
      <c r="L41" s="414" t="s">
        <v>192</v>
      </c>
      <c r="M41" s="414" t="s">
        <v>192</v>
      </c>
      <c r="N41" s="413" t="str">
        <f t="shared" ref="N41:N66" si="3">IF(ISBLANK(J41)," ",IF(J41&lt;$F$34,"On time",(IF(DAY(J41-$F$34)&lt;1,"On time",(IF(J41&gt;$F$34,"DELAY ( "&amp;DAY(J41-$F$34)&amp;" day "&amp;HOUR(J41-$F$34)&amp;" hour "&amp;MINUTE(J41-$F$34)&amp;" minute )","xxx"))))))</f>
        <v>On time</v>
      </c>
      <c r="O41" s="51"/>
      <c r="P41" s="415" t="s">
        <v>551</v>
      </c>
      <c r="Q41" s="415" t="s">
        <v>551</v>
      </c>
      <c r="R41" s="415" t="s">
        <v>551</v>
      </c>
      <c r="S41" s="32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416"/>
      <c r="AG41" s="416"/>
      <c r="AH41" s="416"/>
      <c r="AI41" s="416"/>
      <c r="AJ41" s="32"/>
      <c r="AK41" s="416"/>
      <c r="AL41" s="416"/>
      <c r="AM41" s="416"/>
      <c r="AN41" s="416"/>
      <c r="AO41" s="416"/>
      <c r="AP41" s="416"/>
      <c r="AQ41" s="416"/>
      <c r="AR41" s="416">
        <f>H41</f>
        <v>5111</v>
      </c>
      <c r="AS41" s="416"/>
      <c r="AT41" s="416"/>
      <c r="AU41" s="416"/>
      <c r="AV41" s="416"/>
      <c r="AW41" s="416"/>
      <c r="AX41" s="416"/>
      <c r="AY41" s="286"/>
      <c r="AZ41" s="416"/>
      <c r="BA41" s="416"/>
      <c r="BB41" s="32"/>
    </row>
    <row r="42" spans="2:54">
      <c r="B42" s="1256" t="s">
        <v>616</v>
      </c>
      <c r="C42" s="1257"/>
      <c r="D42" s="411" t="s">
        <v>1764</v>
      </c>
      <c r="E42" s="444"/>
      <c r="F42" s="411" t="s">
        <v>274</v>
      </c>
      <c r="G42" s="411" t="s">
        <v>1093</v>
      </c>
      <c r="H42" s="412">
        <v>7500</v>
      </c>
      <c r="I42" s="413" t="s">
        <v>78</v>
      </c>
      <c r="J42" s="414">
        <v>45106.642361111109</v>
      </c>
      <c r="K42" s="414"/>
      <c r="L42" s="414" t="s">
        <v>192</v>
      </c>
      <c r="M42" s="414" t="s">
        <v>192</v>
      </c>
      <c r="N42" s="413" t="str">
        <f t="shared" si="3"/>
        <v>On time</v>
      </c>
      <c r="O42" s="51"/>
      <c r="P42" s="415" t="s">
        <v>551</v>
      </c>
      <c r="Q42" s="415" t="s">
        <v>551</v>
      </c>
      <c r="R42" s="415" t="s">
        <v>551</v>
      </c>
      <c r="S42" s="32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>
        <f>H42</f>
        <v>7500</v>
      </c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6"/>
      <c r="AZ42" s="416"/>
      <c r="BA42" s="416"/>
      <c r="BB42" s="32"/>
    </row>
    <row r="43" spans="2:54">
      <c r="B43" s="1258" t="s">
        <v>1721</v>
      </c>
      <c r="C43" s="1259"/>
      <c r="D43" s="1259"/>
      <c r="E43" s="1259"/>
      <c r="F43" s="1259"/>
      <c r="G43" s="1260"/>
      <c r="H43" s="417">
        <f>SUM(H40:H42)</f>
        <v>13042.638999999999</v>
      </c>
      <c r="I43" s="388"/>
      <c r="J43" s="293"/>
      <c r="K43" s="293"/>
      <c r="L43" s="293"/>
      <c r="M43" s="389"/>
      <c r="N43" s="413" t="str">
        <f t="shared" si="3"/>
        <v xml:space="preserve"> </v>
      </c>
      <c r="O43" s="47"/>
      <c r="P43" s="418"/>
      <c r="Q43" s="418"/>
      <c r="R43" s="418"/>
      <c r="S43" s="32"/>
      <c r="T43" s="416"/>
      <c r="U43" s="416"/>
      <c r="V43" s="416"/>
      <c r="W43" s="416"/>
      <c r="X43" s="416"/>
      <c r="Y43" s="416"/>
      <c r="Z43" s="416"/>
      <c r="AA43" s="416"/>
      <c r="AB43" s="416"/>
      <c r="AC43" s="416"/>
      <c r="AD43" s="416"/>
      <c r="AE43" s="416"/>
      <c r="AF43" s="416"/>
      <c r="AG43" s="416"/>
      <c r="AH43" s="416"/>
      <c r="AI43" s="416"/>
      <c r="AJ43" s="416"/>
      <c r="AK43" s="416"/>
      <c r="AL43" s="416"/>
      <c r="AM43" s="416"/>
      <c r="AN43" s="416"/>
      <c r="AO43" s="416"/>
      <c r="AP43" s="416"/>
      <c r="AQ43" s="416"/>
      <c r="AR43" s="416"/>
      <c r="AS43" s="416"/>
      <c r="AT43" s="416"/>
      <c r="AU43" s="416"/>
      <c r="AV43" s="416"/>
      <c r="AW43" s="416"/>
      <c r="AX43" s="416"/>
      <c r="AY43" s="416"/>
      <c r="AZ43" s="416"/>
      <c r="BA43" s="416"/>
    </row>
    <row r="44" spans="2:54">
      <c r="B44" s="1250" t="s">
        <v>619</v>
      </c>
      <c r="C44" s="1251"/>
      <c r="D44" s="411" t="s">
        <v>1978</v>
      </c>
      <c r="E44" s="411"/>
      <c r="F44" s="411" t="s">
        <v>257</v>
      </c>
      <c r="G44" s="411" t="s">
        <v>258</v>
      </c>
      <c r="H44" s="412">
        <v>7553.75</v>
      </c>
      <c r="I44" s="413" t="s">
        <v>494</v>
      </c>
      <c r="J44" s="414">
        <v>45105.458333333336</v>
      </c>
      <c r="K44" s="414"/>
      <c r="L44" s="414" t="s">
        <v>192</v>
      </c>
      <c r="M44" s="414" t="s">
        <v>192</v>
      </c>
      <c r="N44" s="413" t="str">
        <f t="shared" si="3"/>
        <v>On time</v>
      </c>
      <c r="O44" s="51"/>
      <c r="P44" s="415" t="s">
        <v>551</v>
      </c>
      <c r="Q44" s="415" t="s">
        <v>551</v>
      </c>
      <c r="R44" s="415" t="s">
        <v>551</v>
      </c>
      <c r="S44" s="32"/>
      <c r="T44" s="416"/>
      <c r="U44" s="416"/>
      <c r="V44" s="416"/>
      <c r="W44" s="416"/>
      <c r="X44" s="416"/>
      <c r="Y44" s="416">
        <f>H44</f>
        <v>7553.75</v>
      </c>
      <c r="Z44" s="416"/>
      <c r="AA44" s="416"/>
      <c r="AB44" s="32"/>
      <c r="AC44" s="416"/>
      <c r="AD44" s="416"/>
      <c r="AE44" s="416"/>
      <c r="AF44" s="416"/>
      <c r="AG44" s="416"/>
      <c r="AH44" s="416"/>
      <c r="AI44" s="416"/>
      <c r="AJ44" s="416"/>
      <c r="AK44" s="416"/>
      <c r="AL44" s="416"/>
      <c r="AM44" s="416"/>
      <c r="AN44" s="416"/>
      <c r="AO44" s="416"/>
      <c r="AP44" s="416"/>
      <c r="AQ44" s="416"/>
      <c r="AR44" s="416"/>
      <c r="AS44" s="416"/>
      <c r="AT44" s="416"/>
      <c r="AU44" s="416"/>
      <c r="AV44" s="416"/>
      <c r="AW44" s="416"/>
      <c r="AX44" s="416"/>
      <c r="AY44" s="416"/>
      <c r="AZ44" s="416"/>
      <c r="BA44" s="416"/>
      <c r="BB44" s="32"/>
    </row>
    <row r="45" spans="2:54">
      <c r="B45" s="1254"/>
      <c r="C45" s="1255"/>
      <c r="D45" s="411"/>
      <c r="E45" s="411"/>
      <c r="F45" s="1256" t="s">
        <v>616</v>
      </c>
      <c r="G45" s="1257"/>
      <c r="H45" s="412">
        <v>1000</v>
      </c>
      <c r="I45" s="413"/>
      <c r="J45" s="414"/>
      <c r="K45" s="414"/>
      <c r="L45" s="414"/>
      <c r="M45" s="414"/>
      <c r="N45" s="413" t="str">
        <f t="shared" si="3"/>
        <v xml:space="preserve"> </v>
      </c>
      <c r="O45" s="320"/>
      <c r="P45" s="415"/>
      <c r="Q45" s="415"/>
      <c r="R45" s="415"/>
      <c r="S45" s="321"/>
      <c r="T45" s="435"/>
      <c r="U45" s="435"/>
      <c r="V45" s="435"/>
      <c r="W45" s="435"/>
      <c r="X45" s="435"/>
      <c r="Y45" s="435"/>
      <c r="Z45" s="435"/>
      <c r="AA45" s="435"/>
      <c r="AB45" s="322"/>
      <c r="AC45" s="435"/>
      <c r="AD45" s="435"/>
      <c r="AE45" s="435"/>
      <c r="AF45" s="435"/>
      <c r="AG45" s="435"/>
      <c r="AH45" s="435"/>
      <c r="AI45" s="435"/>
      <c r="AJ45" s="435"/>
      <c r="AK45" s="435"/>
      <c r="AL45" s="435"/>
      <c r="AM45" s="435"/>
      <c r="AN45" s="435"/>
      <c r="AO45" s="435"/>
      <c r="AP45" s="435"/>
      <c r="AQ45" s="435"/>
      <c r="AR45" s="435"/>
      <c r="AS45" s="435"/>
      <c r="AT45" s="321"/>
      <c r="AU45" s="435"/>
      <c r="AV45" s="435"/>
      <c r="AW45" s="435"/>
      <c r="AX45" s="435"/>
      <c r="AY45" s="435"/>
      <c r="AZ45" s="435"/>
      <c r="BA45" s="435"/>
      <c r="BB45" s="321"/>
    </row>
    <row r="46" spans="2:54">
      <c r="B46" s="1256" t="s">
        <v>621</v>
      </c>
      <c r="C46" s="1257"/>
      <c r="D46" s="411" t="s">
        <v>1854</v>
      </c>
      <c r="E46" s="411"/>
      <c r="F46" s="411" t="s">
        <v>260</v>
      </c>
      <c r="G46" s="411" t="s">
        <v>261</v>
      </c>
      <c r="H46" s="412">
        <v>7639.6959999999999</v>
      </c>
      <c r="I46" s="413" t="s">
        <v>235</v>
      </c>
      <c r="J46" s="414">
        <v>45105.5</v>
      </c>
      <c r="K46" s="414"/>
      <c r="L46" s="414" t="s">
        <v>192</v>
      </c>
      <c r="M46" s="414" t="s">
        <v>192</v>
      </c>
      <c r="N46" s="413" t="str">
        <f t="shared" si="3"/>
        <v>On time</v>
      </c>
      <c r="O46" s="51"/>
      <c r="P46" s="415" t="s">
        <v>551</v>
      </c>
      <c r="Q46" s="415" t="s">
        <v>551</v>
      </c>
      <c r="R46" s="415" t="s">
        <v>551</v>
      </c>
      <c r="S46" s="32"/>
      <c r="T46" s="416"/>
      <c r="U46" s="416"/>
      <c r="V46" s="416"/>
      <c r="W46" s="416"/>
      <c r="X46" s="416"/>
      <c r="Y46" s="416"/>
      <c r="Z46" s="416"/>
      <c r="AA46" s="416"/>
      <c r="AB46" s="416">
        <f>H46</f>
        <v>7639.6959999999999</v>
      </c>
      <c r="AC46" s="416"/>
      <c r="AD46" s="416"/>
      <c r="AE46" s="416"/>
      <c r="AF46" s="416"/>
      <c r="AG46" s="416"/>
      <c r="AH46" s="416"/>
      <c r="AI46" s="416"/>
      <c r="AJ46" s="416"/>
      <c r="AK46" s="416"/>
      <c r="AL46" s="416"/>
      <c r="AM46" s="416"/>
      <c r="AN46" s="416"/>
      <c r="AO46" s="416"/>
      <c r="AP46" s="416"/>
      <c r="AQ46" s="416"/>
      <c r="AR46" s="416"/>
      <c r="AS46" s="416"/>
      <c r="AT46" s="32"/>
      <c r="AU46" s="416"/>
      <c r="AV46" s="416"/>
      <c r="AW46" s="416"/>
      <c r="AX46" s="416"/>
      <c r="AY46" s="416"/>
      <c r="AZ46" s="416"/>
      <c r="BA46" s="416"/>
      <c r="BB46" s="32"/>
    </row>
    <row r="47" spans="2:54">
      <c r="B47" s="1250" t="s">
        <v>622</v>
      </c>
      <c r="C47" s="1251"/>
      <c r="D47" s="411" t="s">
        <v>1979</v>
      </c>
      <c r="E47" s="411"/>
      <c r="F47" s="411" t="s">
        <v>226</v>
      </c>
      <c r="G47" s="411" t="s">
        <v>227</v>
      </c>
      <c r="H47" s="412">
        <v>7601.3149999999996</v>
      </c>
      <c r="I47" s="413" t="s">
        <v>494</v>
      </c>
      <c r="J47" s="414">
        <v>45105.583333333336</v>
      </c>
      <c r="K47" s="414"/>
      <c r="L47" s="414" t="s">
        <v>192</v>
      </c>
      <c r="M47" s="414" t="s">
        <v>192</v>
      </c>
      <c r="N47" s="413" t="str">
        <f t="shared" si="3"/>
        <v>On time</v>
      </c>
      <c r="O47" s="51"/>
      <c r="P47" s="415" t="s">
        <v>551</v>
      </c>
      <c r="Q47" s="415" t="s">
        <v>551</v>
      </c>
      <c r="R47" s="415" t="s">
        <v>551</v>
      </c>
      <c r="S47" s="32"/>
      <c r="T47" s="416"/>
      <c r="U47" s="416"/>
      <c r="V47" s="416"/>
      <c r="W47" s="416"/>
      <c r="X47" s="416"/>
      <c r="Y47" s="416">
        <f t="shared" ref="Y47" si="4">H47</f>
        <v>7601.3149999999996</v>
      </c>
      <c r="Z47" s="416"/>
      <c r="AA47" s="416"/>
      <c r="AB47" s="416"/>
      <c r="AC47" s="416"/>
      <c r="AD47" s="416"/>
      <c r="AE47" s="416"/>
      <c r="AF47" s="416"/>
      <c r="AG47" s="416"/>
      <c r="AH47" s="416"/>
      <c r="AI47" s="416"/>
      <c r="AJ47" s="416"/>
      <c r="AK47" s="416"/>
      <c r="AL47" s="416"/>
      <c r="AM47" s="416"/>
      <c r="AN47" s="416"/>
      <c r="AO47" s="416"/>
      <c r="AP47" s="416"/>
      <c r="AQ47" s="416"/>
      <c r="AR47" s="416"/>
      <c r="AS47" s="416"/>
      <c r="AT47" s="416"/>
      <c r="AU47" s="416"/>
      <c r="AV47" s="416"/>
      <c r="AW47" s="416"/>
      <c r="AX47" s="416"/>
      <c r="AY47" s="416"/>
      <c r="AZ47" s="416"/>
      <c r="BA47" s="416"/>
      <c r="BB47" s="32"/>
    </row>
    <row r="48" spans="2:54">
      <c r="B48" s="1254"/>
      <c r="C48" s="1255"/>
      <c r="D48" s="411"/>
      <c r="E48" s="411"/>
      <c r="F48" s="1256" t="s">
        <v>616</v>
      </c>
      <c r="G48" s="1257"/>
      <c r="H48" s="412">
        <v>1000</v>
      </c>
      <c r="I48" s="413"/>
      <c r="J48" s="414"/>
      <c r="K48" s="414"/>
      <c r="L48" s="414"/>
      <c r="M48" s="414"/>
      <c r="N48" s="413" t="str">
        <f t="shared" si="3"/>
        <v xml:space="preserve"> </v>
      </c>
      <c r="O48" s="320"/>
      <c r="P48" s="415"/>
      <c r="Q48" s="415"/>
      <c r="R48" s="415"/>
      <c r="S48" s="321"/>
      <c r="T48" s="435"/>
      <c r="U48" s="435"/>
      <c r="V48" s="435"/>
      <c r="W48" s="435"/>
      <c r="X48" s="435"/>
      <c r="Y48" s="435"/>
      <c r="Z48" s="435"/>
      <c r="AA48" s="435"/>
      <c r="AB48" s="322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5"/>
      <c r="AP48" s="435"/>
      <c r="AQ48" s="435"/>
      <c r="AR48" s="435"/>
      <c r="AS48" s="435"/>
      <c r="AT48" s="321"/>
      <c r="AU48" s="435"/>
      <c r="AV48" s="435"/>
      <c r="AW48" s="435"/>
      <c r="AX48" s="435"/>
      <c r="AY48" s="435"/>
      <c r="AZ48" s="435"/>
      <c r="BA48" s="435"/>
      <c r="BB48" s="321"/>
    </row>
    <row r="49" spans="2:54">
      <c r="B49" s="1250" t="s">
        <v>623</v>
      </c>
      <c r="C49" s="1251"/>
      <c r="D49" s="411" t="s">
        <v>1980</v>
      </c>
      <c r="E49" s="411"/>
      <c r="F49" s="411" t="s">
        <v>1240</v>
      </c>
      <c r="G49" s="411" t="s">
        <v>1241</v>
      </c>
      <c r="H49" s="412">
        <v>7983.42</v>
      </c>
      <c r="I49" s="413" t="s">
        <v>1968</v>
      </c>
      <c r="J49" s="414">
        <v>45105.604166666664</v>
      </c>
      <c r="K49" s="414"/>
      <c r="L49" s="414" t="s">
        <v>192</v>
      </c>
      <c r="M49" s="414" t="s">
        <v>192</v>
      </c>
      <c r="N49" s="413" t="str">
        <f t="shared" si="3"/>
        <v>On time</v>
      </c>
      <c r="O49" s="51"/>
      <c r="P49" s="415" t="s">
        <v>551</v>
      </c>
      <c r="Q49" s="415" t="s">
        <v>551</v>
      </c>
      <c r="R49" s="415" t="s">
        <v>551</v>
      </c>
      <c r="S49" s="32"/>
      <c r="T49" s="416"/>
      <c r="U49" s="416"/>
      <c r="V49" s="416"/>
      <c r="W49" s="416"/>
      <c r="X49" s="416"/>
      <c r="Y49" s="416">
        <f>H49*0.7</f>
        <v>5588.3939999999993</v>
      </c>
      <c r="Z49" s="416">
        <f>H49*0.3</f>
        <v>2395.0259999999998</v>
      </c>
      <c r="AA49" s="416"/>
      <c r="AB49" s="416"/>
      <c r="AC49" s="416"/>
      <c r="AD49" s="416"/>
      <c r="AE49" s="416"/>
      <c r="AF49" s="416"/>
      <c r="AG49" s="416"/>
      <c r="AH49" s="416"/>
      <c r="AI49" s="416"/>
      <c r="AJ49" s="416"/>
      <c r="AK49" s="416"/>
      <c r="AL49" s="416"/>
      <c r="AM49" s="416"/>
      <c r="AN49" s="416"/>
      <c r="AO49" s="416"/>
      <c r="AP49" s="416"/>
      <c r="AQ49" s="416"/>
      <c r="AR49" s="416"/>
      <c r="AS49" s="416"/>
      <c r="AT49" s="416"/>
      <c r="AU49" s="416"/>
      <c r="AV49" s="416"/>
      <c r="AW49" s="416"/>
      <c r="AX49" s="416"/>
      <c r="AY49" s="416"/>
      <c r="AZ49" s="416"/>
      <c r="BA49" s="416"/>
      <c r="BB49" s="32"/>
    </row>
    <row r="50" spans="2:54">
      <c r="B50" s="1252"/>
      <c r="C50" s="1253"/>
      <c r="D50" s="411"/>
      <c r="E50" s="411"/>
      <c r="F50" s="1256" t="s">
        <v>668</v>
      </c>
      <c r="G50" s="1257"/>
      <c r="H50" s="412">
        <v>1000</v>
      </c>
      <c r="I50" s="413"/>
      <c r="J50" s="414"/>
      <c r="K50" s="414"/>
      <c r="L50" s="414"/>
      <c r="M50" s="414"/>
      <c r="N50" s="413" t="str">
        <f t="shared" si="3"/>
        <v xml:space="preserve"> </v>
      </c>
      <c r="O50" s="320"/>
      <c r="P50" s="415"/>
      <c r="Q50" s="415"/>
      <c r="R50" s="415"/>
      <c r="S50" s="321"/>
      <c r="T50" s="435"/>
      <c r="U50" s="435"/>
      <c r="V50" s="435"/>
      <c r="W50" s="435"/>
      <c r="X50" s="435"/>
      <c r="Y50" s="435"/>
      <c r="Z50" s="435"/>
      <c r="AA50" s="435"/>
      <c r="AB50" s="322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5"/>
      <c r="AP50" s="435"/>
      <c r="AQ50" s="435"/>
      <c r="AR50" s="435"/>
      <c r="AS50" s="435"/>
      <c r="AT50" s="321"/>
      <c r="AU50" s="435"/>
      <c r="AV50" s="435"/>
      <c r="AW50" s="435"/>
      <c r="AX50" s="435"/>
      <c r="AY50" s="435"/>
      <c r="AZ50" s="435"/>
      <c r="BA50" s="435"/>
      <c r="BB50" s="321"/>
    </row>
    <row r="51" spans="2:54">
      <c r="B51" s="1254"/>
      <c r="C51" s="1255"/>
      <c r="D51" s="411"/>
      <c r="E51" s="411"/>
      <c r="F51" s="1256" t="s">
        <v>616</v>
      </c>
      <c r="G51" s="1257"/>
      <c r="H51" s="412">
        <v>1500</v>
      </c>
      <c r="I51" s="413"/>
      <c r="J51" s="414"/>
      <c r="K51" s="414"/>
      <c r="L51" s="414"/>
      <c r="M51" s="414"/>
      <c r="N51" s="413" t="str">
        <f t="shared" si="3"/>
        <v xml:space="preserve"> </v>
      </c>
      <c r="O51" s="320"/>
      <c r="P51" s="415"/>
      <c r="Q51" s="415"/>
      <c r="R51" s="415"/>
      <c r="S51" s="321"/>
      <c r="T51" s="435"/>
      <c r="U51" s="435"/>
      <c r="V51" s="435"/>
      <c r="W51" s="435"/>
      <c r="X51" s="435"/>
      <c r="Y51" s="435"/>
      <c r="Z51" s="435"/>
      <c r="AA51" s="435"/>
      <c r="AB51" s="322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5"/>
      <c r="AP51" s="435"/>
      <c r="AQ51" s="435"/>
      <c r="AR51" s="435"/>
      <c r="AS51" s="435"/>
      <c r="AT51" s="321"/>
      <c r="AU51" s="435"/>
      <c r="AV51" s="435"/>
      <c r="AW51" s="435"/>
      <c r="AX51" s="435"/>
      <c r="AY51" s="435"/>
      <c r="AZ51" s="435"/>
      <c r="BA51" s="435"/>
      <c r="BB51" s="321"/>
    </row>
    <row r="52" spans="2:54">
      <c r="B52" s="1250" t="s">
        <v>624</v>
      </c>
      <c r="C52" s="1251"/>
      <c r="D52" s="411" t="s">
        <v>1981</v>
      </c>
      <c r="E52" s="411"/>
      <c r="F52" s="411" t="s">
        <v>70</v>
      </c>
      <c r="G52" s="411" t="s">
        <v>1982</v>
      </c>
      <c r="H52" s="412">
        <v>7488.7380000000003</v>
      </c>
      <c r="I52" s="413" t="s">
        <v>1968</v>
      </c>
      <c r="J52" s="414">
        <v>45105.760416666664</v>
      </c>
      <c r="K52" s="414"/>
      <c r="L52" s="414" t="s">
        <v>192</v>
      </c>
      <c r="M52" s="414" t="s">
        <v>192</v>
      </c>
      <c r="N52" s="413" t="str">
        <f t="shared" si="3"/>
        <v>On time</v>
      </c>
      <c r="O52" s="51"/>
      <c r="P52" s="415" t="s">
        <v>551</v>
      </c>
      <c r="Q52" s="415" t="s">
        <v>551</v>
      </c>
      <c r="R52" s="415" t="s">
        <v>551</v>
      </c>
      <c r="S52" s="32"/>
      <c r="T52" s="416"/>
      <c r="U52" s="416"/>
      <c r="V52" s="416"/>
      <c r="W52" s="416"/>
      <c r="X52" s="416"/>
      <c r="Y52" s="416">
        <f>H52*0.7</f>
        <v>5242.1166000000003</v>
      </c>
      <c r="Z52" s="416">
        <f>H52*0.3</f>
        <v>2246.6214</v>
      </c>
      <c r="AA52" s="416"/>
      <c r="AB52" s="416"/>
      <c r="AC52" s="416"/>
      <c r="AD52" s="416"/>
      <c r="AE52" s="416"/>
      <c r="AF52" s="416"/>
      <c r="AG52" s="416"/>
      <c r="AH52" s="416"/>
      <c r="AI52" s="416"/>
      <c r="AJ52" s="416"/>
      <c r="AK52" s="416"/>
      <c r="AL52" s="416"/>
      <c r="AM52" s="416"/>
      <c r="AN52" s="416"/>
      <c r="AO52" s="416"/>
      <c r="AP52" s="416"/>
      <c r="AQ52" s="416"/>
      <c r="AR52" s="416"/>
      <c r="AS52" s="416"/>
      <c r="AT52" s="32"/>
      <c r="AU52" s="416"/>
      <c r="AV52" s="416"/>
      <c r="AW52" s="416"/>
      <c r="AX52" s="416"/>
      <c r="AY52" s="416"/>
      <c r="AZ52" s="416"/>
      <c r="BA52" s="416"/>
      <c r="BB52" s="32"/>
    </row>
    <row r="53" spans="2:54">
      <c r="B53" s="1252"/>
      <c r="C53" s="1253"/>
      <c r="D53" s="411"/>
      <c r="E53" s="411"/>
      <c r="F53" s="1256" t="s">
        <v>668</v>
      </c>
      <c r="G53" s="1257"/>
      <c r="H53" s="412">
        <v>1000</v>
      </c>
      <c r="I53" s="413"/>
      <c r="J53" s="414"/>
      <c r="K53" s="414"/>
      <c r="L53" s="414"/>
      <c r="M53" s="414"/>
      <c r="N53" s="413" t="str">
        <f t="shared" si="3"/>
        <v xml:space="preserve"> </v>
      </c>
      <c r="O53" s="320"/>
      <c r="P53" s="415"/>
      <c r="Q53" s="415"/>
      <c r="R53" s="415"/>
      <c r="S53" s="321"/>
      <c r="T53" s="435"/>
      <c r="U53" s="435"/>
      <c r="V53" s="435"/>
      <c r="W53" s="435"/>
      <c r="X53" s="435"/>
      <c r="Y53" s="435"/>
      <c r="Z53" s="435"/>
      <c r="AA53" s="435"/>
      <c r="AB53" s="322"/>
      <c r="AC53" s="435"/>
      <c r="AD53" s="435"/>
      <c r="AE53" s="435"/>
      <c r="AF53" s="435"/>
      <c r="AG53" s="435"/>
      <c r="AH53" s="435"/>
      <c r="AI53" s="435"/>
      <c r="AJ53" s="435"/>
      <c r="AK53" s="435"/>
      <c r="AL53" s="435"/>
      <c r="AM53" s="435"/>
      <c r="AN53" s="435"/>
      <c r="AO53" s="435"/>
      <c r="AP53" s="435"/>
      <c r="AQ53" s="435"/>
      <c r="AR53" s="435"/>
      <c r="AS53" s="435"/>
      <c r="AT53" s="321"/>
      <c r="AU53" s="435"/>
      <c r="AV53" s="435"/>
      <c r="AW53" s="435"/>
      <c r="AX53" s="435"/>
      <c r="AY53" s="435"/>
      <c r="AZ53" s="435"/>
      <c r="BA53" s="435"/>
      <c r="BB53" s="321"/>
    </row>
    <row r="54" spans="2:54">
      <c r="B54" s="1254"/>
      <c r="C54" s="1255"/>
      <c r="D54" s="411"/>
      <c r="E54" s="411"/>
      <c r="F54" s="1256" t="s">
        <v>616</v>
      </c>
      <c r="G54" s="1257"/>
      <c r="H54" s="412">
        <v>1500</v>
      </c>
      <c r="I54" s="413"/>
      <c r="J54" s="414"/>
      <c r="K54" s="414"/>
      <c r="L54" s="414"/>
      <c r="M54" s="414"/>
      <c r="N54" s="413" t="str">
        <f t="shared" si="3"/>
        <v xml:space="preserve"> </v>
      </c>
      <c r="O54" s="320"/>
      <c r="P54" s="415"/>
      <c r="Q54" s="415"/>
      <c r="R54" s="415"/>
      <c r="S54" s="321"/>
      <c r="T54" s="435"/>
      <c r="U54" s="435"/>
      <c r="V54" s="435"/>
      <c r="W54" s="435"/>
      <c r="X54" s="435"/>
      <c r="Y54" s="435"/>
      <c r="Z54" s="435"/>
      <c r="AA54" s="435"/>
      <c r="AB54" s="322"/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435"/>
      <c r="AN54" s="435"/>
      <c r="AO54" s="435"/>
      <c r="AP54" s="435"/>
      <c r="AQ54" s="435"/>
      <c r="AR54" s="435"/>
      <c r="AS54" s="435"/>
      <c r="AT54" s="321"/>
      <c r="AU54" s="435"/>
      <c r="AV54" s="435"/>
      <c r="AW54" s="435"/>
      <c r="AX54" s="435"/>
      <c r="AY54" s="435"/>
      <c r="AZ54" s="435"/>
      <c r="BA54" s="435"/>
      <c r="BB54" s="321"/>
    </row>
    <row r="55" spans="2:54">
      <c r="B55" s="1250" t="s">
        <v>625</v>
      </c>
      <c r="C55" s="1251"/>
      <c r="D55" s="411" t="s">
        <v>1986</v>
      </c>
      <c r="E55" s="411"/>
      <c r="F55" s="411" t="s">
        <v>201</v>
      </c>
      <c r="G55" s="411" t="s">
        <v>202</v>
      </c>
      <c r="H55" s="412">
        <v>7654.393</v>
      </c>
      <c r="I55" s="413" t="s">
        <v>494</v>
      </c>
      <c r="J55" s="414">
        <v>45106.590277777781</v>
      </c>
      <c r="K55" s="414"/>
      <c r="L55" s="414" t="s">
        <v>192</v>
      </c>
      <c r="M55" s="414" t="s">
        <v>192</v>
      </c>
      <c r="N55" s="413" t="str">
        <f t="shared" si="3"/>
        <v>On time</v>
      </c>
      <c r="O55" s="51"/>
      <c r="P55" s="415" t="s">
        <v>551</v>
      </c>
      <c r="Q55" s="415" t="s">
        <v>551</v>
      </c>
      <c r="R55" s="415" t="s">
        <v>551</v>
      </c>
      <c r="S55" s="32"/>
      <c r="T55" s="416"/>
      <c r="U55" s="416"/>
      <c r="V55" s="416"/>
      <c r="W55" s="416"/>
      <c r="X55" s="416"/>
      <c r="Y55" s="416">
        <f>H55</f>
        <v>7654.393</v>
      </c>
      <c r="Z55" s="416"/>
      <c r="AA55" s="416"/>
      <c r="AB55" s="416"/>
      <c r="AC55" s="416"/>
      <c r="AD55" s="416"/>
      <c r="AE55" s="416"/>
      <c r="AF55" s="416"/>
      <c r="AG55" s="416"/>
      <c r="AH55" s="416"/>
      <c r="AI55" s="416"/>
      <c r="AJ55" s="416"/>
      <c r="AK55" s="416"/>
      <c r="AL55" s="416"/>
      <c r="AM55" s="416"/>
      <c r="AN55" s="416"/>
      <c r="AO55" s="416"/>
      <c r="AP55" s="416"/>
      <c r="AQ55" s="416"/>
      <c r="AR55" s="416"/>
      <c r="AS55" s="416"/>
      <c r="AT55" s="416"/>
      <c r="AU55" s="416"/>
      <c r="AV55" s="416"/>
      <c r="AW55" s="416"/>
      <c r="AX55" s="416"/>
      <c r="AY55" s="416"/>
      <c r="AZ55" s="416"/>
      <c r="BA55" s="416"/>
      <c r="BB55" s="32"/>
    </row>
    <row r="56" spans="2:54">
      <c r="B56" s="1254"/>
      <c r="C56" s="1255"/>
      <c r="D56" s="411"/>
      <c r="E56" s="411"/>
      <c r="F56" s="1256" t="s">
        <v>668</v>
      </c>
      <c r="G56" s="1257"/>
      <c r="H56" s="412">
        <v>1000</v>
      </c>
      <c r="I56" s="413"/>
      <c r="J56" s="414"/>
      <c r="K56" s="414"/>
      <c r="L56" s="414"/>
      <c r="M56" s="414"/>
      <c r="N56" s="413" t="str">
        <f t="shared" si="3"/>
        <v xml:space="preserve"> </v>
      </c>
      <c r="O56" s="320"/>
      <c r="P56" s="415"/>
      <c r="Q56" s="415"/>
      <c r="R56" s="415"/>
      <c r="S56" s="321"/>
      <c r="T56" s="435"/>
      <c r="U56" s="435"/>
      <c r="V56" s="435"/>
      <c r="W56" s="435"/>
      <c r="X56" s="435"/>
      <c r="Y56" s="435"/>
      <c r="Z56" s="435"/>
      <c r="AA56" s="435"/>
      <c r="AB56" s="322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5"/>
      <c r="AP56" s="435"/>
      <c r="AQ56" s="435"/>
      <c r="AR56" s="435"/>
      <c r="AS56" s="435"/>
      <c r="AT56" s="321"/>
      <c r="AU56" s="435"/>
      <c r="AV56" s="435"/>
      <c r="AW56" s="435"/>
      <c r="AX56" s="435"/>
      <c r="AY56" s="435"/>
      <c r="AZ56" s="435"/>
      <c r="BA56" s="435"/>
      <c r="BB56" s="321"/>
    </row>
    <row r="57" spans="2:54">
      <c r="B57" s="1250" t="s">
        <v>669</v>
      </c>
      <c r="C57" s="1251"/>
      <c r="D57" s="411" t="s">
        <v>1987</v>
      </c>
      <c r="E57" s="411"/>
      <c r="F57" s="411" t="s">
        <v>390</v>
      </c>
      <c r="G57" s="411" t="s">
        <v>391</v>
      </c>
      <c r="H57" s="412">
        <v>7357.23</v>
      </c>
      <c r="I57" s="413" t="s">
        <v>1372</v>
      </c>
      <c r="J57" s="414">
        <v>45106.604166666664</v>
      </c>
      <c r="K57" s="414"/>
      <c r="L57" s="414" t="s">
        <v>192</v>
      </c>
      <c r="M57" s="414" t="s">
        <v>192</v>
      </c>
      <c r="N57" s="413" t="str">
        <f t="shared" si="3"/>
        <v>On time</v>
      </c>
      <c r="O57" s="51"/>
      <c r="P57" s="415" t="s">
        <v>551</v>
      </c>
      <c r="Q57" s="415" t="s">
        <v>551</v>
      </c>
      <c r="R57" s="415" t="s">
        <v>551</v>
      </c>
      <c r="S57" s="32"/>
      <c r="T57" s="416"/>
      <c r="U57" s="416"/>
      <c r="V57" s="416"/>
      <c r="W57" s="416"/>
      <c r="X57" s="416"/>
      <c r="Y57" s="416">
        <f>H57*0.6</f>
        <v>4414.3379999999997</v>
      </c>
      <c r="Z57" s="416">
        <f>H57*0.4</f>
        <v>2942.8919999999998</v>
      </c>
      <c r="AA57" s="416"/>
      <c r="AB57" s="416"/>
      <c r="AC57" s="416"/>
      <c r="AD57" s="416"/>
      <c r="AE57" s="416"/>
      <c r="AF57" s="416"/>
      <c r="AG57" s="416"/>
      <c r="AH57" s="416"/>
      <c r="AI57" s="416"/>
      <c r="AJ57" s="416"/>
      <c r="AK57" s="416"/>
      <c r="AL57" s="416"/>
      <c r="AM57" s="416"/>
      <c r="AN57" s="416"/>
      <c r="AO57" s="416"/>
      <c r="AP57" s="416"/>
      <c r="AQ57" s="416"/>
      <c r="AR57" s="416"/>
      <c r="AS57" s="416"/>
      <c r="AT57" s="416"/>
      <c r="AU57" s="416"/>
      <c r="AV57" s="416"/>
      <c r="AW57" s="416"/>
      <c r="AX57" s="416"/>
      <c r="AY57" s="416"/>
      <c r="AZ57" s="416"/>
      <c r="BA57" s="416"/>
      <c r="BB57" s="32"/>
    </row>
    <row r="58" spans="2:54">
      <c r="B58" s="1252"/>
      <c r="C58" s="1253"/>
      <c r="D58" s="411"/>
      <c r="E58" s="411"/>
      <c r="F58" s="1256" t="s">
        <v>668</v>
      </c>
      <c r="G58" s="1257"/>
      <c r="H58" s="412">
        <v>1111</v>
      </c>
      <c r="I58" s="413"/>
      <c r="J58" s="414"/>
      <c r="K58" s="414"/>
      <c r="L58" s="414"/>
      <c r="M58" s="414"/>
      <c r="N58" s="413" t="str">
        <f t="shared" si="3"/>
        <v xml:space="preserve"> </v>
      </c>
      <c r="O58" s="320"/>
      <c r="P58" s="415"/>
      <c r="Q58" s="415"/>
      <c r="R58" s="415"/>
      <c r="S58" s="321"/>
      <c r="T58" s="435"/>
      <c r="U58" s="435"/>
      <c r="V58" s="435"/>
      <c r="W58" s="435"/>
      <c r="X58" s="435"/>
      <c r="Y58" s="435"/>
      <c r="Z58" s="435"/>
      <c r="AA58" s="435"/>
      <c r="AB58" s="322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5"/>
      <c r="AP58" s="435"/>
      <c r="AQ58" s="435"/>
      <c r="AR58" s="435"/>
      <c r="AS58" s="435"/>
      <c r="AT58" s="321"/>
      <c r="AU58" s="435"/>
      <c r="AV58" s="435"/>
      <c r="AW58" s="435"/>
      <c r="AX58" s="435"/>
      <c r="AY58" s="435"/>
      <c r="AZ58" s="435"/>
      <c r="BA58" s="435"/>
      <c r="BB58" s="321"/>
    </row>
    <row r="59" spans="2:54">
      <c r="B59" s="1254"/>
      <c r="C59" s="1255"/>
      <c r="D59" s="411"/>
      <c r="E59" s="411"/>
      <c r="F59" s="1256" t="s">
        <v>616</v>
      </c>
      <c r="G59" s="1257"/>
      <c r="H59" s="412">
        <f>1932-0.43</f>
        <v>1931.57</v>
      </c>
      <c r="I59" s="413"/>
      <c r="J59" s="414"/>
      <c r="K59" s="414"/>
      <c r="L59" s="414"/>
      <c r="M59" s="414"/>
      <c r="N59" s="413" t="str">
        <f t="shared" si="3"/>
        <v xml:space="preserve"> </v>
      </c>
      <c r="O59" s="320"/>
      <c r="P59" s="415"/>
      <c r="Q59" s="415"/>
      <c r="R59" s="415"/>
      <c r="S59" s="321"/>
      <c r="T59" s="435"/>
      <c r="U59" s="435"/>
      <c r="V59" s="435"/>
      <c r="W59" s="435"/>
      <c r="X59" s="435"/>
      <c r="Y59" s="435"/>
      <c r="Z59" s="435"/>
      <c r="AA59" s="435"/>
      <c r="AB59" s="322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5"/>
      <c r="AP59" s="435"/>
      <c r="AQ59" s="435"/>
      <c r="AR59" s="435"/>
      <c r="AS59" s="435"/>
      <c r="AT59" s="321"/>
      <c r="AU59" s="435"/>
      <c r="AV59" s="435"/>
      <c r="AW59" s="435"/>
      <c r="AX59" s="435"/>
      <c r="AY59" s="435"/>
      <c r="AZ59" s="435"/>
      <c r="BA59" s="435"/>
      <c r="BB59" s="321"/>
    </row>
    <row r="60" spans="2:54">
      <c r="B60" s="1250" t="s">
        <v>670</v>
      </c>
      <c r="C60" s="1251"/>
      <c r="D60" s="411" t="s">
        <v>1984</v>
      </c>
      <c r="E60" s="411"/>
      <c r="F60" s="411" t="s">
        <v>301</v>
      </c>
      <c r="G60" s="411" t="s">
        <v>359</v>
      </c>
      <c r="H60" s="412">
        <v>9033.1509999999998</v>
      </c>
      <c r="I60" s="413" t="s">
        <v>494</v>
      </c>
      <c r="J60" s="414">
        <v>45106.645833333336</v>
      </c>
      <c r="K60" s="414"/>
      <c r="L60" s="414" t="s">
        <v>192</v>
      </c>
      <c r="M60" s="414" t="s">
        <v>192</v>
      </c>
      <c r="N60" s="413" t="str">
        <f t="shared" si="3"/>
        <v>On time</v>
      </c>
      <c r="O60" s="51"/>
      <c r="P60" s="415" t="s">
        <v>551</v>
      </c>
      <c r="Q60" s="415" t="s">
        <v>551</v>
      </c>
      <c r="R60" s="415" t="s">
        <v>551</v>
      </c>
      <c r="S60" s="32"/>
      <c r="T60" s="416"/>
      <c r="U60" s="416"/>
      <c r="V60" s="416"/>
      <c r="W60" s="416"/>
      <c r="X60" s="416"/>
      <c r="Y60" s="416">
        <f>H60</f>
        <v>9033.1509999999998</v>
      </c>
      <c r="Z60" s="416"/>
      <c r="AA60" s="416"/>
      <c r="AB60" s="32"/>
      <c r="AC60" s="416"/>
      <c r="AD60" s="416"/>
      <c r="AE60" s="416"/>
      <c r="AF60" s="416"/>
      <c r="AG60" s="416"/>
      <c r="AH60" s="416"/>
      <c r="AI60" s="416"/>
      <c r="AJ60" s="416"/>
      <c r="AK60" s="416"/>
      <c r="AL60" s="416"/>
      <c r="AM60" s="416"/>
      <c r="AN60" s="416"/>
      <c r="AO60" s="416"/>
      <c r="AP60" s="416"/>
      <c r="AQ60" s="416"/>
      <c r="AR60" s="416"/>
      <c r="AS60" s="416"/>
      <c r="AT60" s="416"/>
      <c r="AU60" s="416"/>
      <c r="AV60" s="416"/>
      <c r="AW60" s="416"/>
      <c r="AX60" s="416"/>
      <c r="AY60" s="416"/>
      <c r="AZ60" s="416"/>
      <c r="BA60" s="416"/>
      <c r="BB60" s="32"/>
    </row>
    <row r="61" spans="2:54">
      <c r="B61" s="1252"/>
      <c r="C61" s="1253"/>
      <c r="D61" s="411"/>
      <c r="E61" s="411"/>
      <c r="F61" s="1256" t="s">
        <v>668</v>
      </c>
      <c r="G61" s="1257"/>
      <c r="H61" s="412">
        <v>1000</v>
      </c>
      <c r="I61" s="413"/>
      <c r="J61" s="414"/>
      <c r="K61" s="414"/>
      <c r="L61" s="414"/>
      <c r="M61" s="414"/>
      <c r="N61" s="413" t="str">
        <f t="shared" si="3"/>
        <v xml:space="preserve"> </v>
      </c>
      <c r="O61" s="320"/>
      <c r="P61" s="415"/>
      <c r="Q61" s="415"/>
      <c r="R61" s="415"/>
      <c r="S61" s="321"/>
      <c r="T61" s="435"/>
      <c r="U61" s="435"/>
      <c r="V61" s="435"/>
      <c r="W61" s="435"/>
      <c r="X61" s="435"/>
      <c r="Y61" s="435"/>
      <c r="Z61" s="435"/>
      <c r="AA61" s="435"/>
      <c r="AB61" s="322"/>
      <c r="AC61" s="435"/>
      <c r="AD61" s="435"/>
      <c r="AE61" s="435"/>
      <c r="AF61" s="435"/>
      <c r="AG61" s="435"/>
      <c r="AH61" s="435"/>
      <c r="AI61" s="435"/>
      <c r="AJ61" s="435"/>
      <c r="AK61" s="435"/>
      <c r="AL61" s="435"/>
      <c r="AM61" s="435"/>
      <c r="AN61" s="435"/>
      <c r="AO61" s="435"/>
      <c r="AP61" s="435"/>
      <c r="AQ61" s="435"/>
      <c r="AR61" s="435"/>
      <c r="AS61" s="435"/>
      <c r="AT61" s="321"/>
      <c r="AU61" s="435"/>
      <c r="AV61" s="435"/>
      <c r="AW61" s="435"/>
      <c r="AX61" s="435"/>
      <c r="AY61" s="435"/>
      <c r="AZ61" s="435"/>
      <c r="BA61" s="435"/>
      <c r="BB61" s="321"/>
    </row>
    <row r="62" spans="2:54">
      <c r="B62" s="1254"/>
      <c r="C62" s="1255"/>
      <c r="D62" s="411"/>
      <c r="E62" s="411"/>
      <c r="F62" s="1256" t="s">
        <v>616</v>
      </c>
      <c r="G62" s="1257"/>
      <c r="H62" s="412">
        <v>1000</v>
      </c>
      <c r="I62" s="413"/>
      <c r="J62" s="414"/>
      <c r="K62" s="414"/>
      <c r="L62" s="414"/>
      <c r="M62" s="414"/>
      <c r="N62" s="413" t="str">
        <f t="shared" si="3"/>
        <v xml:space="preserve"> </v>
      </c>
      <c r="O62" s="320"/>
      <c r="P62" s="415"/>
      <c r="Q62" s="415"/>
      <c r="R62" s="415"/>
      <c r="S62" s="321"/>
      <c r="T62" s="435"/>
      <c r="U62" s="435"/>
      <c r="V62" s="435"/>
      <c r="W62" s="435"/>
      <c r="X62" s="435"/>
      <c r="Y62" s="435"/>
      <c r="Z62" s="435"/>
      <c r="AA62" s="435"/>
      <c r="AB62" s="322"/>
      <c r="AC62" s="435"/>
      <c r="AD62" s="435"/>
      <c r="AE62" s="435"/>
      <c r="AF62" s="435"/>
      <c r="AG62" s="435"/>
      <c r="AH62" s="435"/>
      <c r="AI62" s="435"/>
      <c r="AJ62" s="435"/>
      <c r="AK62" s="435"/>
      <c r="AL62" s="435"/>
      <c r="AM62" s="435"/>
      <c r="AN62" s="435"/>
      <c r="AO62" s="435"/>
      <c r="AP62" s="435"/>
      <c r="AQ62" s="435"/>
      <c r="AR62" s="435"/>
      <c r="AS62" s="435"/>
      <c r="AT62" s="321"/>
      <c r="AU62" s="435"/>
      <c r="AV62" s="435"/>
      <c r="AW62" s="435"/>
      <c r="AX62" s="435"/>
      <c r="AY62" s="435"/>
      <c r="AZ62" s="435"/>
      <c r="BA62" s="435"/>
      <c r="BB62" s="321"/>
    </row>
    <row r="63" spans="2:54">
      <c r="B63" s="1256" t="s">
        <v>867</v>
      </c>
      <c r="C63" s="1257"/>
      <c r="D63" s="411" t="s">
        <v>1985</v>
      </c>
      <c r="E63" s="411"/>
      <c r="F63" s="411" t="s">
        <v>429</v>
      </c>
      <c r="G63" s="411" t="s">
        <v>430</v>
      </c>
      <c r="H63" s="412">
        <f>7632.334-5001.666</f>
        <v>2630.6679999999997</v>
      </c>
      <c r="I63" s="413" t="s">
        <v>494</v>
      </c>
      <c r="J63" s="414">
        <v>45106.645833333336</v>
      </c>
      <c r="K63" s="414"/>
      <c r="L63" s="414" t="s">
        <v>192</v>
      </c>
      <c r="M63" s="414" t="s">
        <v>192</v>
      </c>
      <c r="N63" s="413" t="str">
        <f t="shared" si="3"/>
        <v>On time</v>
      </c>
      <c r="O63" s="51"/>
      <c r="P63" s="415" t="s">
        <v>551</v>
      </c>
      <c r="Q63" s="415" t="s">
        <v>551</v>
      </c>
      <c r="R63" s="415" t="s">
        <v>551</v>
      </c>
      <c r="S63" s="32"/>
      <c r="T63" s="416"/>
      <c r="U63" s="416"/>
      <c r="V63" s="416"/>
      <c r="W63" s="416"/>
      <c r="X63" s="416"/>
      <c r="Y63" s="416">
        <f>H63</f>
        <v>2630.6679999999997</v>
      </c>
      <c r="Z63" s="416"/>
      <c r="AA63" s="416"/>
      <c r="AB63" s="416"/>
      <c r="AC63" s="416"/>
      <c r="AD63" s="416"/>
      <c r="AE63" s="416"/>
      <c r="AF63" s="416"/>
      <c r="AG63" s="416"/>
      <c r="AH63" s="416"/>
      <c r="AI63" s="416"/>
      <c r="AJ63" s="416"/>
      <c r="AK63" s="416"/>
      <c r="AL63" s="416"/>
      <c r="AM63" s="416"/>
      <c r="AN63" s="416"/>
      <c r="AO63" s="416"/>
      <c r="AP63" s="416"/>
      <c r="AQ63" s="416"/>
      <c r="AR63" s="416"/>
      <c r="AS63" s="416"/>
      <c r="AT63" s="416"/>
      <c r="AU63" s="416"/>
      <c r="AV63" s="416"/>
      <c r="AW63" s="416"/>
      <c r="AX63" s="416"/>
      <c r="AY63" s="416"/>
      <c r="AZ63" s="416"/>
      <c r="BA63" s="416"/>
      <c r="BB63" s="32"/>
    </row>
    <row r="64" spans="2:54">
      <c r="B64" s="1258" t="s">
        <v>626</v>
      </c>
      <c r="C64" s="1259"/>
      <c r="D64" s="1259"/>
      <c r="E64" s="1259"/>
      <c r="F64" s="1259"/>
      <c r="G64" s="1260"/>
      <c r="H64" s="417">
        <f>H46+H44+H47+H49+H52+H60+H63+H55+H57</f>
        <v>64942.36099999999</v>
      </c>
      <c r="I64" s="388"/>
      <c r="J64" s="293"/>
      <c r="K64" s="293"/>
      <c r="L64" s="293"/>
      <c r="M64" s="389"/>
      <c r="N64" s="413" t="str">
        <f t="shared" si="3"/>
        <v xml:space="preserve"> </v>
      </c>
      <c r="O64" s="47"/>
      <c r="P64" s="418"/>
      <c r="Q64" s="418"/>
      <c r="R64" s="418"/>
      <c r="S64" s="32"/>
      <c r="T64" s="1261"/>
      <c r="U64" s="1261"/>
      <c r="V64" s="1261"/>
      <c r="W64" s="1261"/>
      <c r="X64" s="1261"/>
      <c r="Y64" s="1261"/>
      <c r="Z64" s="1261"/>
      <c r="AA64" s="1261"/>
      <c r="AB64" s="1261"/>
      <c r="AC64" s="1261"/>
      <c r="AD64" s="1261"/>
      <c r="AE64" s="1261"/>
      <c r="AF64" s="1261"/>
      <c r="AG64" s="1261"/>
      <c r="AH64" s="1261"/>
      <c r="AI64" s="1261"/>
      <c r="AJ64" s="1261"/>
      <c r="AK64" s="1261"/>
      <c r="AL64" s="1261"/>
      <c r="AM64" s="1261"/>
      <c r="AN64" s="1261"/>
      <c r="AO64" s="1261"/>
      <c r="AP64" s="1261"/>
      <c r="AQ64" s="1261"/>
      <c r="AR64" s="1261"/>
      <c r="AS64" s="1261"/>
      <c r="AT64" s="1261"/>
      <c r="AU64" s="1261"/>
      <c r="AV64" s="1261"/>
      <c r="AW64" s="1261"/>
      <c r="AX64" s="1261"/>
      <c r="AY64" s="1261"/>
      <c r="AZ64" s="1261"/>
      <c r="BA64" s="1261"/>
    </row>
    <row r="65" spans="2:54">
      <c r="B65" s="1258" t="s">
        <v>556</v>
      </c>
      <c r="C65" s="1259"/>
      <c r="D65" s="1259"/>
      <c r="E65" s="1259"/>
      <c r="F65" s="1259"/>
      <c r="G65" s="1260"/>
      <c r="H65" s="417">
        <f>H43+H64</f>
        <v>77984.999999999985</v>
      </c>
      <c r="I65" s="388"/>
      <c r="J65" s="293"/>
      <c r="K65" s="293"/>
      <c r="L65" s="293"/>
      <c r="M65" s="389"/>
      <c r="N65" s="413" t="str">
        <f t="shared" si="3"/>
        <v xml:space="preserve"> </v>
      </c>
      <c r="O65" s="47"/>
      <c r="P65" s="418"/>
      <c r="Q65" s="418"/>
      <c r="R65" s="418"/>
      <c r="S65" s="32"/>
      <c r="T65" s="1262"/>
      <c r="U65" s="1263"/>
      <c r="V65" s="1263"/>
      <c r="W65" s="1263"/>
      <c r="X65" s="1263"/>
      <c r="Y65" s="1263"/>
      <c r="Z65" s="1263"/>
      <c r="AA65" s="1263"/>
      <c r="AB65" s="1263"/>
      <c r="AC65" s="1263"/>
      <c r="AD65" s="1263"/>
      <c r="AE65" s="1263"/>
      <c r="AF65" s="1263"/>
      <c r="AG65" s="1263"/>
      <c r="AH65" s="1263"/>
      <c r="AI65" s="1263"/>
      <c r="AJ65" s="1263"/>
      <c r="AK65" s="1263"/>
      <c r="AL65" s="1263"/>
      <c r="AM65" s="1263"/>
      <c r="AN65" s="1263"/>
      <c r="AO65" s="1263"/>
      <c r="AP65" s="1263"/>
      <c r="AQ65" s="1263"/>
      <c r="AR65" s="1263"/>
      <c r="AS65" s="1263"/>
      <c r="AT65" s="1263"/>
      <c r="AU65" s="1263"/>
      <c r="AV65" s="1263"/>
      <c r="AW65" s="1263"/>
      <c r="AX65" s="1263"/>
      <c r="AY65" s="1263"/>
      <c r="AZ65" s="1263"/>
      <c r="BA65" s="1263"/>
    </row>
    <row r="66" spans="2:54">
      <c r="B66" s="1243" t="s">
        <v>557</v>
      </c>
      <c r="C66" s="1244"/>
      <c r="D66" s="1244"/>
      <c r="E66" s="1244"/>
      <c r="F66" s="1244"/>
      <c r="G66" s="1245"/>
      <c r="H66" s="419">
        <v>77985</v>
      </c>
      <c r="I66" s="1246"/>
      <c r="J66" s="1247"/>
      <c r="K66" s="1247"/>
      <c r="L66" s="1247"/>
      <c r="M66" s="1248"/>
      <c r="N66" s="413" t="str">
        <f t="shared" si="3"/>
        <v xml:space="preserve"> </v>
      </c>
      <c r="O66" s="32"/>
      <c r="P66" s="415"/>
      <c r="Q66" s="415"/>
      <c r="R66" s="415"/>
      <c r="S66" s="63"/>
      <c r="T66" s="416">
        <f>SUM(T40:T63)</f>
        <v>0</v>
      </c>
      <c r="U66" s="416">
        <f t="shared" ref="U66:BA66" si="5">SUM(U40:U63)</f>
        <v>0</v>
      </c>
      <c r="V66" s="416">
        <f t="shared" si="5"/>
        <v>0</v>
      </c>
      <c r="W66" s="416">
        <f t="shared" si="5"/>
        <v>0</v>
      </c>
      <c r="X66" s="416">
        <f t="shared" si="5"/>
        <v>0</v>
      </c>
      <c r="Y66" s="416">
        <f>SUM(Y40:Y63)</f>
        <v>50149.764600000002</v>
      </c>
      <c r="Z66" s="416">
        <f t="shared" si="5"/>
        <v>7584.5393999999997</v>
      </c>
      <c r="AA66" s="416">
        <f t="shared" si="5"/>
        <v>0</v>
      </c>
      <c r="AB66" s="416">
        <f t="shared" si="5"/>
        <v>7639.6959999999999</v>
      </c>
      <c r="AC66" s="416">
        <f t="shared" si="5"/>
        <v>0</v>
      </c>
      <c r="AD66" s="416">
        <f t="shared" si="5"/>
        <v>0</v>
      </c>
      <c r="AE66" s="416">
        <f t="shared" si="5"/>
        <v>0</v>
      </c>
      <c r="AF66" s="416">
        <f t="shared" si="5"/>
        <v>0</v>
      </c>
      <c r="AG66" s="416">
        <f t="shared" si="5"/>
        <v>0</v>
      </c>
      <c r="AH66" s="416">
        <f t="shared" si="5"/>
        <v>0</v>
      </c>
      <c r="AI66" s="416">
        <f t="shared" si="5"/>
        <v>0</v>
      </c>
      <c r="AJ66" s="416">
        <f t="shared" si="5"/>
        <v>7500</v>
      </c>
      <c r="AK66" s="416">
        <f t="shared" si="5"/>
        <v>0</v>
      </c>
      <c r="AL66" s="416">
        <f t="shared" si="5"/>
        <v>0</v>
      </c>
      <c r="AM66" s="416">
        <f t="shared" si="5"/>
        <v>0</v>
      </c>
      <c r="AN66" s="416">
        <f t="shared" si="5"/>
        <v>0</v>
      </c>
      <c r="AO66" s="416">
        <f t="shared" si="5"/>
        <v>0</v>
      </c>
      <c r="AP66" s="416">
        <f t="shared" si="5"/>
        <v>0</v>
      </c>
      <c r="AQ66" s="416">
        <f t="shared" si="5"/>
        <v>0</v>
      </c>
      <c r="AR66" s="416">
        <f t="shared" si="5"/>
        <v>5111</v>
      </c>
      <c r="AS66" s="416">
        <f t="shared" si="5"/>
        <v>0</v>
      </c>
      <c r="AT66" s="416">
        <f t="shared" si="5"/>
        <v>0</v>
      </c>
      <c r="AU66" s="416">
        <f t="shared" si="5"/>
        <v>0</v>
      </c>
      <c r="AV66" s="416">
        <f t="shared" si="5"/>
        <v>0</v>
      </c>
      <c r="AW66" s="416">
        <f t="shared" si="5"/>
        <v>0</v>
      </c>
      <c r="AX66" s="416">
        <f t="shared" si="5"/>
        <v>0</v>
      </c>
      <c r="AY66" s="416">
        <f t="shared" si="5"/>
        <v>0</v>
      </c>
      <c r="AZ66" s="416">
        <f t="shared" si="5"/>
        <v>0</v>
      </c>
      <c r="BA66" s="416">
        <f t="shared" si="5"/>
        <v>0</v>
      </c>
      <c r="BB66" s="416">
        <f>SUM(T66:BA66)</f>
        <v>77985</v>
      </c>
    </row>
    <row r="67" spans="2:54">
      <c r="B67" s="1243" t="s">
        <v>558</v>
      </c>
      <c r="C67" s="1244"/>
      <c r="D67" s="1244"/>
      <c r="E67" s="1244"/>
      <c r="F67" s="1244"/>
      <c r="G67" s="1245"/>
      <c r="H67" s="420">
        <f>H66-L34</f>
        <v>0</v>
      </c>
      <c r="I67" s="294"/>
      <c r="J67" s="295"/>
      <c r="K67" s="295"/>
      <c r="L67" s="296"/>
      <c r="M67" s="32"/>
      <c r="N67" s="32"/>
      <c r="O67" s="32"/>
      <c r="P67" s="32"/>
      <c r="Q67" s="297"/>
      <c r="R67" s="297"/>
      <c r="S67" s="32"/>
      <c r="T67" s="48"/>
      <c r="U67" s="48"/>
      <c r="V67" s="48"/>
      <c r="W67" s="48"/>
      <c r="X67" s="48"/>
      <c r="Y67" s="48"/>
      <c r="Z67" s="48"/>
      <c r="AA67" s="48"/>
      <c r="AB67" s="48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</row>
    <row r="68" spans="2:54">
      <c r="B68" s="1243" t="s">
        <v>559</v>
      </c>
      <c r="C68" s="1244"/>
      <c r="D68" s="1244"/>
      <c r="E68" s="1244"/>
      <c r="F68" s="1244"/>
      <c r="G68" s="1245"/>
      <c r="H68" s="446">
        <v>4275.0519999999997</v>
      </c>
      <c r="I68" s="52"/>
      <c r="J68" s="53"/>
      <c r="K68" s="53"/>
      <c r="L68" s="54"/>
      <c r="M68" s="32"/>
      <c r="N68" s="32"/>
      <c r="O68" s="32"/>
      <c r="P68" s="32"/>
      <c r="Q68" s="32"/>
      <c r="R68" s="32"/>
      <c r="S68" s="32"/>
      <c r="T68" s="48"/>
      <c r="U68" s="48"/>
      <c r="V68" s="48"/>
      <c r="W68" s="48"/>
      <c r="X68" s="48"/>
      <c r="Y68" s="48"/>
      <c r="Z68" s="48"/>
      <c r="AA68" s="48"/>
      <c r="AB68" s="48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</row>
    <row r="69" spans="2:54">
      <c r="B69" s="1243" t="s">
        <v>560</v>
      </c>
      <c r="C69" s="1244"/>
      <c r="D69" s="1244"/>
      <c r="E69" s="1244"/>
      <c r="F69" s="1244"/>
      <c r="G69" s="1245"/>
      <c r="H69" s="421">
        <f>H68-5001.666</f>
        <v>-726.61400000000049</v>
      </c>
      <c r="I69" s="52"/>
      <c r="J69" s="53"/>
      <c r="K69" s="53"/>
      <c r="L69" s="54"/>
      <c r="M69" s="32"/>
      <c r="N69" s="32"/>
      <c r="O69" s="32"/>
      <c r="P69" s="32"/>
      <c r="Q69" s="32"/>
      <c r="R69" s="32"/>
      <c r="S69" s="48"/>
      <c r="T69" s="48"/>
      <c r="U69" s="48"/>
      <c r="V69" s="48"/>
      <c r="W69" s="48"/>
      <c r="X69" s="48"/>
      <c r="Y69" s="48"/>
      <c r="Z69" s="48"/>
      <c r="AA69" s="48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</row>
    <row r="70" spans="2:54">
      <c r="B70" s="32"/>
      <c r="C70" s="32"/>
      <c r="D70" s="32"/>
      <c r="E70" s="32"/>
      <c r="F70" s="32"/>
      <c r="G70" s="32"/>
      <c r="H70" s="32"/>
      <c r="I70" s="57"/>
      <c r="J70" s="52"/>
      <c r="K70" s="52"/>
      <c r="L70" s="55"/>
      <c r="M70" s="32"/>
      <c r="N70" s="32"/>
      <c r="O70" s="52"/>
      <c r="P70" s="32"/>
      <c r="Q70" s="32"/>
      <c r="R70" s="32"/>
      <c r="S70" s="32"/>
      <c r="T70" s="48"/>
      <c r="U70" s="48"/>
      <c r="V70" s="48"/>
      <c r="W70" s="48"/>
      <c r="X70" s="48"/>
      <c r="Y70" s="48"/>
      <c r="Z70" s="48"/>
      <c r="AA70" s="48"/>
      <c r="AB70" s="48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</row>
    <row r="71" spans="2:54">
      <c r="B71" s="40" t="s">
        <v>561</v>
      </c>
      <c r="C71" s="40"/>
      <c r="D71" s="32"/>
      <c r="E71" s="32"/>
      <c r="F71" s="32"/>
      <c r="G71" s="32"/>
      <c r="H71" s="32"/>
      <c r="I71" s="32"/>
      <c r="J71" s="52"/>
      <c r="K71" s="52"/>
      <c r="L71" s="55"/>
      <c r="M71" s="32"/>
      <c r="N71" s="32"/>
      <c r="O71" s="52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BB71" s="32"/>
    </row>
    <row r="72" spans="2:54">
      <c r="B72" s="422">
        <v>1</v>
      </c>
      <c r="C72" s="1249" t="s">
        <v>1728</v>
      </c>
      <c r="D72" s="1249"/>
      <c r="E72" s="1249"/>
      <c r="F72" s="1249"/>
      <c r="G72" s="1249"/>
      <c r="H72" s="1249"/>
      <c r="I72" s="1249"/>
      <c r="J72" s="1249"/>
      <c r="K72" s="1249"/>
      <c r="L72" s="55"/>
      <c r="M72" s="55"/>
      <c r="N72" s="32"/>
      <c r="O72" s="52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</row>
    <row r="74" spans="2:54">
      <c r="B74" s="28" t="s">
        <v>126</v>
      </c>
      <c r="C74" s="28"/>
      <c r="D74" s="29"/>
      <c r="E74" s="30" t="s">
        <v>511</v>
      </c>
      <c r="F74" s="31" t="s">
        <v>1817</v>
      </c>
      <c r="G74" s="32"/>
      <c r="H74" s="33"/>
      <c r="I74" s="34"/>
      <c r="J74" s="35" t="s">
        <v>513</v>
      </c>
      <c r="K74" s="36" t="s">
        <v>511</v>
      </c>
      <c r="L74" s="37">
        <v>45103.8125</v>
      </c>
      <c r="M74" s="32"/>
      <c r="N74" s="32"/>
      <c r="O74" s="36"/>
      <c r="P74" s="33"/>
      <c r="Q74" s="48"/>
      <c r="R74" s="49"/>
      <c r="S74" s="38"/>
      <c r="T74" s="32"/>
      <c r="U74" s="32"/>
      <c r="V74" s="32"/>
      <c r="W74" s="32"/>
      <c r="X74" s="32"/>
      <c r="Y74" s="32"/>
      <c r="Z74" s="32"/>
      <c r="AA74" s="32"/>
      <c r="AB74" s="48"/>
      <c r="AC74" s="48"/>
      <c r="AD74" s="48"/>
      <c r="AE74" s="48"/>
      <c r="AF74" s="48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</row>
    <row r="75" spans="2:54">
      <c r="B75" s="35" t="s">
        <v>514</v>
      </c>
      <c r="C75" s="35"/>
      <c r="D75" s="32"/>
      <c r="E75" s="36" t="s">
        <v>511</v>
      </c>
      <c r="F75" s="311" t="s">
        <v>2046</v>
      </c>
      <c r="G75" s="32"/>
      <c r="H75" s="33"/>
      <c r="I75" s="34"/>
      <c r="J75" s="35" t="s">
        <v>516</v>
      </c>
      <c r="K75" s="36" t="s">
        <v>511</v>
      </c>
      <c r="L75" s="37">
        <f>'VLU 2023 &amp; 2024'!$N$124</f>
        <v>45113.854166666664</v>
      </c>
      <c r="M75" s="32"/>
      <c r="N75" s="32"/>
      <c r="O75" s="36"/>
      <c r="P75" s="33"/>
      <c r="Q75" s="48"/>
      <c r="R75" s="49"/>
      <c r="S75" s="38"/>
      <c r="T75" s="32"/>
      <c r="U75" s="32"/>
      <c r="V75" s="32"/>
      <c r="W75" s="32"/>
      <c r="X75" s="32"/>
      <c r="Y75" s="32"/>
      <c r="Z75" s="32"/>
      <c r="AA75" s="32"/>
      <c r="AB75" s="48"/>
      <c r="AC75" s="48"/>
      <c r="AD75" s="48"/>
      <c r="AE75" s="48"/>
      <c r="AF75" s="48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</row>
    <row r="76" spans="2:54">
      <c r="B76" s="35" t="s">
        <v>517</v>
      </c>
      <c r="C76" s="35"/>
      <c r="D76" s="32"/>
      <c r="E76" s="36" t="s">
        <v>511</v>
      </c>
      <c r="F76" s="37">
        <v>45103.425000000003</v>
      </c>
      <c r="G76" s="32"/>
      <c r="H76" s="33"/>
      <c r="I76" s="34"/>
      <c r="J76" s="35" t="s">
        <v>521</v>
      </c>
      <c r="K76" s="36" t="s">
        <v>511</v>
      </c>
      <c r="L76" s="41" t="s">
        <v>2047</v>
      </c>
      <c r="M76" s="40"/>
      <c r="N76" s="40"/>
      <c r="O76" s="36"/>
      <c r="P76" s="33"/>
      <c r="Q76" s="48"/>
      <c r="R76" s="49"/>
      <c r="S76" s="38"/>
      <c r="T76" s="32"/>
      <c r="U76" s="32"/>
      <c r="V76" s="32"/>
      <c r="W76" s="32"/>
      <c r="X76" s="32"/>
      <c r="Y76" s="32"/>
      <c r="Z76" s="32"/>
      <c r="AA76" s="32"/>
      <c r="AB76" s="48"/>
      <c r="AC76" s="48"/>
      <c r="AD76" s="48"/>
      <c r="AE76" s="48"/>
      <c r="AF76" s="48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</row>
    <row r="77" spans="2:54">
      <c r="B77" s="35" t="s">
        <v>520</v>
      </c>
      <c r="C77" s="35"/>
      <c r="D77" s="32"/>
      <c r="E77" s="36" t="s">
        <v>511</v>
      </c>
      <c r="F77" s="37" t="s">
        <v>16</v>
      </c>
      <c r="G77" s="32"/>
      <c r="H77" s="33"/>
      <c r="I77" s="34"/>
      <c r="J77" s="42" t="s">
        <v>524</v>
      </c>
      <c r="K77" s="36" t="s">
        <v>511</v>
      </c>
      <c r="L77" s="43" t="s">
        <v>23</v>
      </c>
      <c r="M77" s="32"/>
      <c r="N77" s="32"/>
      <c r="O77" s="36"/>
      <c r="P77" s="48"/>
      <c r="Q77" s="48"/>
      <c r="R77" s="49"/>
      <c r="S77" s="38"/>
      <c r="T77" s="32"/>
      <c r="U77" s="32"/>
      <c r="V77" s="32"/>
      <c r="W77" s="32"/>
      <c r="X77" s="32"/>
      <c r="Y77" s="32"/>
      <c r="Z77" s="32"/>
      <c r="AA77" s="32"/>
      <c r="AB77" s="48"/>
      <c r="AC77" s="48"/>
      <c r="AD77" s="48"/>
      <c r="AE77" s="48"/>
      <c r="AF77" s="48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</row>
    <row r="78" spans="2:54">
      <c r="B78" s="35" t="s">
        <v>523</v>
      </c>
      <c r="C78" s="35"/>
      <c r="D78" s="32"/>
      <c r="E78" s="36" t="s">
        <v>511</v>
      </c>
      <c r="F78" s="37" t="s">
        <v>45</v>
      </c>
      <c r="G78" s="32"/>
      <c r="H78" s="33"/>
      <c r="I78" s="34"/>
      <c r="J78" s="52"/>
      <c r="K78" s="52"/>
      <c r="L78" s="55"/>
      <c r="M78" s="44"/>
      <c r="N78" s="44"/>
      <c r="O78" s="36"/>
      <c r="P78" s="33"/>
      <c r="Q78" s="48"/>
      <c r="R78" s="49"/>
      <c r="S78" s="38"/>
      <c r="T78" s="32"/>
      <c r="U78" s="32"/>
      <c r="V78" s="32"/>
      <c r="W78" s="32"/>
      <c r="X78" s="32"/>
      <c r="Y78" s="32"/>
      <c r="Z78" s="32"/>
      <c r="AA78" s="32"/>
      <c r="AB78" s="48"/>
      <c r="AC78" s="48"/>
      <c r="AD78" s="48"/>
      <c r="AE78" s="48"/>
      <c r="AF78" s="48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</row>
    <row r="79" spans="2:54">
      <c r="B79" s="35" t="s">
        <v>2</v>
      </c>
      <c r="C79" s="35"/>
      <c r="D79" s="32"/>
      <c r="E79" s="36" t="s">
        <v>511</v>
      </c>
      <c r="F79" s="37" t="s">
        <v>29</v>
      </c>
      <c r="G79" s="32"/>
      <c r="H79" s="33"/>
      <c r="I79" s="45"/>
      <c r="J79" s="42"/>
      <c r="K79" s="36"/>
      <c r="L79" s="37"/>
      <c r="M79" s="32"/>
      <c r="N79" s="32"/>
      <c r="O79" s="42"/>
      <c r="P79" s="44"/>
      <c r="Q79" s="44"/>
      <c r="R79" s="44"/>
      <c r="S79" s="34"/>
      <c r="T79" s="32"/>
      <c r="U79" s="32"/>
      <c r="V79" s="32"/>
      <c r="W79" s="32"/>
      <c r="X79" s="32"/>
      <c r="Y79" s="32"/>
      <c r="Z79" s="32"/>
      <c r="AA79" s="32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</row>
    <row r="80" spans="2:54">
      <c r="B80" s="32"/>
      <c r="C80" s="32"/>
      <c r="D80" s="32"/>
      <c r="E80" s="32"/>
      <c r="F80" s="32"/>
      <c r="G80" s="32"/>
      <c r="H80" s="32"/>
      <c r="I80" s="45"/>
      <c r="J80" s="42"/>
      <c r="K80" s="42"/>
      <c r="L80" s="43"/>
      <c r="M80" s="44"/>
      <c r="N80" s="44"/>
      <c r="O80" s="42"/>
      <c r="P80" s="44"/>
      <c r="Q80" s="44"/>
      <c r="R80" s="44"/>
      <c r="S80" s="34"/>
      <c r="T80" s="1270" t="s">
        <v>87</v>
      </c>
      <c r="U80" s="1270"/>
      <c r="V80" s="1270"/>
      <c r="W80" s="1270"/>
      <c r="X80" s="1270"/>
      <c r="Y80" s="1270" t="s">
        <v>73</v>
      </c>
      <c r="Z80" s="1270"/>
      <c r="AA80" s="1270"/>
      <c r="AB80" s="1270" t="s">
        <v>74</v>
      </c>
      <c r="AC80" s="1270"/>
      <c r="AD80" s="407" t="s">
        <v>85</v>
      </c>
      <c r="AE80" s="407" t="s">
        <v>77</v>
      </c>
      <c r="AF80" s="1270" t="s">
        <v>525</v>
      </c>
      <c r="AG80" s="1270"/>
      <c r="AH80" s="1270"/>
      <c r="AI80" s="1270"/>
      <c r="AJ80" s="1270"/>
      <c r="AK80" s="1270"/>
      <c r="AL80" s="1270"/>
      <c r="AM80" s="1270"/>
      <c r="AN80" s="1270"/>
      <c r="AO80" s="1270"/>
      <c r="AP80" s="1270"/>
      <c r="AQ80" s="1270"/>
      <c r="AR80" s="1270"/>
      <c r="AS80" s="1270"/>
      <c r="AT80" s="1270"/>
      <c r="AU80" s="1270"/>
      <c r="AV80" s="1270"/>
      <c r="AW80" s="1270"/>
      <c r="AX80" s="1270"/>
      <c r="AY80" s="1270"/>
      <c r="AZ80" s="1270"/>
      <c r="BA80" s="1270"/>
      <c r="BB80" s="32"/>
    </row>
    <row r="81" spans="2:54">
      <c r="B81" s="1266" t="s">
        <v>526</v>
      </c>
      <c r="C81" s="1267"/>
      <c r="D81" s="570" t="s">
        <v>527</v>
      </c>
      <c r="E81" s="570"/>
      <c r="F81" s="570" t="s">
        <v>528</v>
      </c>
      <c r="G81" s="570" t="s">
        <v>529</v>
      </c>
      <c r="H81" s="570" t="s">
        <v>530</v>
      </c>
      <c r="I81" s="570" t="s">
        <v>531</v>
      </c>
      <c r="J81" s="570" t="s">
        <v>532</v>
      </c>
      <c r="K81" s="570"/>
      <c r="L81" s="570" t="s">
        <v>130</v>
      </c>
      <c r="M81" s="570" t="s">
        <v>533</v>
      </c>
      <c r="N81" s="408" t="str">
        <f>"On time - "&amp;COUNTIF(N82:N84,"On time")&amp;" from "&amp;ROWS(N82:N84)-COUNTIF(N82:N84," ")</f>
        <v>On time - 3 from 3</v>
      </c>
      <c r="O81" s="46"/>
      <c r="P81" s="409" t="s">
        <v>534</v>
      </c>
      <c r="Q81" s="409" t="s">
        <v>535</v>
      </c>
      <c r="R81" s="409" t="s">
        <v>536</v>
      </c>
      <c r="S81" s="32"/>
      <c r="T81" s="410" t="s">
        <v>537</v>
      </c>
      <c r="U81" s="410" t="s">
        <v>538</v>
      </c>
      <c r="V81" s="410" t="s">
        <v>539</v>
      </c>
      <c r="W81" s="410" t="s">
        <v>540</v>
      </c>
      <c r="X81" s="410" t="s">
        <v>541</v>
      </c>
      <c r="Y81" s="410" t="s">
        <v>167</v>
      </c>
      <c r="Z81" s="410" t="s">
        <v>168</v>
      </c>
      <c r="AA81" s="410" t="s">
        <v>169</v>
      </c>
      <c r="AB81" s="410" t="s">
        <v>235</v>
      </c>
      <c r="AC81" s="410" t="s">
        <v>240</v>
      </c>
      <c r="AD81" s="407" t="s">
        <v>85</v>
      </c>
      <c r="AE81" s="410" t="s">
        <v>139</v>
      </c>
      <c r="AF81" s="410" t="s">
        <v>72</v>
      </c>
      <c r="AG81" s="410" t="s">
        <v>88</v>
      </c>
      <c r="AH81" s="410" t="s">
        <v>75</v>
      </c>
      <c r="AI81" s="410" t="s">
        <v>543</v>
      </c>
      <c r="AJ81" s="410" t="s">
        <v>78</v>
      </c>
      <c r="AK81" s="410" t="s">
        <v>76</v>
      </c>
      <c r="AL81" s="410" t="s">
        <v>544</v>
      </c>
      <c r="AM81" s="410" t="s">
        <v>545</v>
      </c>
      <c r="AN81" s="410" t="s">
        <v>86</v>
      </c>
      <c r="AO81" s="410" t="s">
        <v>83</v>
      </c>
      <c r="AP81" s="410" t="s">
        <v>84</v>
      </c>
      <c r="AQ81" s="410" t="s">
        <v>546</v>
      </c>
      <c r="AR81" s="410" t="s">
        <v>81</v>
      </c>
      <c r="AS81" s="410" t="s">
        <v>80</v>
      </c>
      <c r="AT81" s="410" t="s">
        <v>82</v>
      </c>
      <c r="AU81" s="410" t="s">
        <v>181</v>
      </c>
      <c r="AV81" s="410" t="s">
        <v>183</v>
      </c>
      <c r="AW81" s="410" t="s">
        <v>547</v>
      </c>
      <c r="AX81" s="410" t="s">
        <v>182</v>
      </c>
      <c r="AY81" s="410" t="s">
        <v>172</v>
      </c>
      <c r="AZ81" s="410" t="s">
        <v>173</v>
      </c>
      <c r="BA81" s="410" t="s">
        <v>184</v>
      </c>
      <c r="BB81" s="32"/>
    </row>
    <row r="82" spans="2:54">
      <c r="B82" s="1256" t="s">
        <v>548</v>
      </c>
      <c r="C82" s="1257"/>
      <c r="D82" s="411" t="s">
        <v>1818</v>
      </c>
      <c r="E82" s="411"/>
      <c r="F82" s="411" t="s">
        <v>406</v>
      </c>
      <c r="G82" s="411" t="s">
        <v>407</v>
      </c>
      <c r="H82" s="412">
        <v>7586.6049999999996</v>
      </c>
      <c r="I82" s="413" t="s">
        <v>240</v>
      </c>
      <c r="J82" s="414">
        <v>45098.465277777781</v>
      </c>
      <c r="K82" s="414"/>
      <c r="L82" s="414" t="s">
        <v>192</v>
      </c>
      <c r="M82" s="414" t="s">
        <v>192</v>
      </c>
      <c r="N82" s="413" t="str">
        <f>IF(ISBLANK(J82)," ",IF(J82&lt;$F$76,"On time",(IF(DAY(J82-$F$76)&lt;1,"On time",(IF(J82&gt;$F$76,"DELAY ( "&amp;DAY(J82-$F$76)&amp;" day "&amp;HOUR(J82-$F$76)&amp;" hour "&amp;MINUTE(J82-$F$76)&amp;" minute )","xxx"))))))</f>
        <v>On time</v>
      </c>
      <c r="O82" s="51"/>
      <c r="P82" s="415" t="s">
        <v>551</v>
      </c>
      <c r="Q82" s="415" t="s">
        <v>551</v>
      </c>
      <c r="R82" s="415" t="s">
        <v>551</v>
      </c>
      <c r="S82" s="32"/>
      <c r="T82" s="416"/>
      <c r="U82" s="416"/>
      <c r="V82" s="416"/>
      <c r="W82" s="416"/>
      <c r="X82" s="416"/>
      <c r="Y82" s="416"/>
      <c r="Z82" s="416"/>
      <c r="AA82" s="416"/>
      <c r="AB82" s="416"/>
      <c r="AC82" s="416">
        <f t="shared" ref="AC82:AC84" si="6">H82</f>
        <v>7586.6049999999996</v>
      </c>
      <c r="AD82" s="416"/>
      <c r="AE82" s="416"/>
      <c r="AF82" s="416"/>
      <c r="AG82" s="416"/>
      <c r="AH82" s="416"/>
      <c r="AI82" s="416"/>
      <c r="AJ82" s="416"/>
      <c r="AK82" s="416"/>
      <c r="AL82" s="416"/>
      <c r="AM82" s="416"/>
      <c r="AN82" s="416"/>
      <c r="AO82" s="416"/>
      <c r="AP82" s="416"/>
      <c r="AQ82" s="416"/>
      <c r="AR82" s="416"/>
      <c r="AS82" s="416"/>
      <c r="AT82" s="416"/>
      <c r="AU82" s="416"/>
      <c r="AV82" s="416"/>
      <c r="AW82" s="416"/>
      <c r="AX82" s="416"/>
      <c r="AY82" s="416"/>
      <c r="AZ82" s="416"/>
      <c r="BA82" s="416"/>
      <c r="BB82" s="32"/>
    </row>
    <row r="83" spans="2:54">
      <c r="B83" s="1256" t="s">
        <v>548</v>
      </c>
      <c r="C83" s="1257"/>
      <c r="D83" s="411" t="s">
        <v>1820</v>
      </c>
      <c r="E83" s="411"/>
      <c r="F83" s="411" t="s">
        <v>1313</v>
      </c>
      <c r="G83" s="411" t="s">
        <v>438</v>
      </c>
      <c r="H83" s="412">
        <v>7649.924</v>
      </c>
      <c r="I83" s="413" t="s">
        <v>240</v>
      </c>
      <c r="J83" s="414">
        <v>45098.708333333336</v>
      </c>
      <c r="K83" s="414"/>
      <c r="L83" s="414" t="s">
        <v>192</v>
      </c>
      <c r="M83" s="414" t="s">
        <v>192</v>
      </c>
      <c r="N83" s="413" t="str">
        <f>IF(ISBLANK(J83)," ",IF(J83&lt;$F$76,"On time",(IF(DAY(J83-$F$76)&lt;1,"On time",(IF(J83&gt;$F$76,"DELAY ( "&amp;DAY(J83-$F$76)&amp;" day "&amp;HOUR(J83-$F$76)&amp;" hour "&amp;MINUTE(J83-$F$76)&amp;" minute )","xxx"))))))</f>
        <v>On time</v>
      </c>
      <c r="O83" s="51"/>
      <c r="P83" s="415" t="s">
        <v>551</v>
      </c>
      <c r="Q83" s="415" t="s">
        <v>551</v>
      </c>
      <c r="R83" s="415" t="s">
        <v>551</v>
      </c>
      <c r="S83" s="32"/>
      <c r="T83" s="416"/>
      <c r="U83" s="416"/>
      <c r="V83" s="416"/>
      <c r="W83" s="416"/>
      <c r="X83" s="416"/>
      <c r="Y83" s="416"/>
      <c r="Z83" s="416"/>
      <c r="AA83" s="416"/>
      <c r="AB83" s="416"/>
      <c r="AC83" s="416">
        <f t="shared" si="6"/>
        <v>7649.924</v>
      </c>
      <c r="AD83" s="416"/>
      <c r="AE83" s="416"/>
      <c r="AF83" s="416"/>
      <c r="AG83" s="416"/>
      <c r="AH83" s="416"/>
      <c r="AI83" s="416"/>
      <c r="AJ83" s="416"/>
      <c r="AK83" s="416"/>
      <c r="AL83" s="416"/>
      <c r="AM83" s="416"/>
      <c r="AN83" s="416"/>
      <c r="AO83" s="416"/>
      <c r="AP83" s="416"/>
      <c r="AQ83" s="416"/>
      <c r="AR83" s="416"/>
      <c r="AS83" s="416"/>
      <c r="AT83" s="416"/>
      <c r="AU83" s="416"/>
      <c r="AV83" s="416"/>
      <c r="AW83" s="416"/>
      <c r="AX83" s="416"/>
      <c r="AY83" s="416"/>
      <c r="AZ83" s="416"/>
      <c r="BA83" s="416"/>
      <c r="BB83" s="32"/>
    </row>
    <row r="84" spans="2:54">
      <c r="B84" s="1256" t="s">
        <v>548</v>
      </c>
      <c r="C84" s="1257"/>
      <c r="D84" s="411" t="s">
        <v>1819</v>
      </c>
      <c r="E84" s="411"/>
      <c r="F84" s="411" t="s">
        <v>1512</v>
      </c>
      <c r="G84" s="411" t="s">
        <v>1513</v>
      </c>
      <c r="H84" s="412">
        <v>7290.72</v>
      </c>
      <c r="I84" s="413" t="s">
        <v>240</v>
      </c>
      <c r="J84" s="414">
        <v>45099.277777777781</v>
      </c>
      <c r="K84" s="414"/>
      <c r="L84" s="414" t="s">
        <v>192</v>
      </c>
      <c r="M84" s="414" t="s">
        <v>192</v>
      </c>
      <c r="N84" s="413" t="str">
        <f>IF(ISBLANK(J84)," ",IF(J84&lt;$F$76,"On time",(IF(DAY(J84-$F$76)&lt;1,"On time",(IF(J84&gt;$F$76,"DELAY ( "&amp;DAY(J84-$F$76)&amp;" day "&amp;HOUR(J84-$F$76)&amp;" hour "&amp;MINUTE(J84-$F$76)&amp;" minute )","xxx"))))))</f>
        <v>On time</v>
      </c>
      <c r="O84" s="51"/>
      <c r="P84" s="415" t="s">
        <v>551</v>
      </c>
      <c r="Q84" s="415" t="s">
        <v>551</v>
      </c>
      <c r="R84" s="415" t="s">
        <v>551</v>
      </c>
      <c r="S84" s="32"/>
      <c r="T84" s="416"/>
      <c r="U84" s="416"/>
      <c r="V84" s="416"/>
      <c r="W84" s="416"/>
      <c r="X84" s="416"/>
      <c r="Y84" s="416"/>
      <c r="Z84" s="416"/>
      <c r="AA84" s="416"/>
      <c r="AB84" s="416"/>
      <c r="AC84" s="416">
        <f t="shared" si="6"/>
        <v>7290.72</v>
      </c>
      <c r="AD84" s="416"/>
      <c r="AE84" s="416"/>
      <c r="AF84" s="416"/>
      <c r="AG84" s="416"/>
      <c r="AH84" s="416"/>
      <c r="AI84" s="416"/>
      <c r="AJ84" s="416"/>
      <c r="AK84" s="416"/>
      <c r="AL84" s="416"/>
      <c r="AM84" s="416"/>
      <c r="AN84" s="416"/>
      <c r="AO84" s="416"/>
      <c r="AP84" s="416"/>
      <c r="AQ84" s="416"/>
      <c r="AR84" s="416"/>
      <c r="AS84" s="416"/>
      <c r="AT84" s="416"/>
      <c r="AU84" s="416"/>
      <c r="AV84" s="416"/>
      <c r="AW84" s="416"/>
      <c r="AX84" s="416"/>
      <c r="AY84" s="416"/>
      <c r="AZ84" s="416"/>
      <c r="BA84" s="416"/>
      <c r="BB84" s="32"/>
    </row>
    <row r="85" spans="2:54">
      <c r="B85" s="1258" t="s">
        <v>556</v>
      </c>
      <c r="C85" s="1259"/>
      <c r="D85" s="1259"/>
      <c r="E85" s="1259"/>
      <c r="F85" s="1259"/>
      <c r="G85" s="1260"/>
      <c r="H85" s="417">
        <f>SUM(H82:H84)</f>
        <v>22527.249</v>
      </c>
      <c r="I85" s="388"/>
      <c r="J85" s="293"/>
      <c r="K85" s="293"/>
      <c r="L85" s="293"/>
      <c r="M85" s="389"/>
      <c r="N85" s="413" t="str">
        <f>IF(ISBLANK(J85)," ",IF(J85&lt;$F$76,"On time",(IF(DAY(J85-$F$76)&lt;1,"On time",(IF(J85&gt;$F$76,"DELAY ( "&amp;DAY(J85-$F$76)&amp;" day "&amp;HOUR(J85-$F$76)&amp;" hour "&amp;MINUTE(J85-$F$76)&amp;" minute )","xxx"))))))</f>
        <v xml:space="preserve"> </v>
      </c>
      <c r="O85" s="47"/>
      <c r="P85" s="418"/>
      <c r="Q85" s="418"/>
      <c r="R85" s="418"/>
      <c r="S85" s="32"/>
      <c r="T85" s="1262"/>
      <c r="U85" s="1263"/>
      <c r="V85" s="1263"/>
      <c r="W85" s="1263"/>
      <c r="X85" s="1263"/>
      <c r="Y85" s="1263"/>
      <c r="Z85" s="1263"/>
      <c r="AA85" s="1263"/>
      <c r="AB85" s="1263"/>
      <c r="AC85" s="1263"/>
      <c r="AD85" s="1263"/>
      <c r="AE85" s="1263"/>
      <c r="AF85" s="1263"/>
      <c r="AG85" s="1263"/>
      <c r="AH85" s="1263"/>
      <c r="AI85" s="1263"/>
      <c r="AJ85" s="1263"/>
      <c r="AK85" s="1263"/>
      <c r="AL85" s="1263"/>
      <c r="AM85" s="1263"/>
      <c r="AN85" s="1263"/>
      <c r="AO85" s="1263"/>
      <c r="AP85" s="1263"/>
      <c r="AQ85" s="1263"/>
      <c r="AR85" s="1263"/>
      <c r="AS85" s="1263"/>
      <c r="AT85" s="1263"/>
      <c r="AU85" s="1263"/>
      <c r="AV85" s="1263"/>
      <c r="AW85" s="1263"/>
      <c r="AX85" s="1263"/>
      <c r="AY85" s="1263"/>
      <c r="AZ85" s="1263"/>
      <c r="BA85" s="1263"/>
    </row>
    <row r="86" spans="2:54">
      <c r="B86" s="1243"/>
      <c r="C86" s="1244"/>
      <c r="D86" s="1244"/>
      <c r="E86" s="1244"/>
      <c r="F86" s="1244"/>
      <c r="G86" s="1245"/>
      <c r="H86" s="419"/>
      <c r="I86" s="1246"/>
      <c r="J86" s="1247"/>
      <c r="K86" s="1247"/>
      <c r="L86" s="1247"/>
      <c r="M86" s="1248"/>
      <c r="N86" s="413" t="str">
        <f>IF(ISBLANK(J86)," ",IF(J86&lt;$F$76,"On time",(IF(DAY(J86-$F$76)&lt;1,"On time",(IF(J86&gt;$F$76,"DELAY ( "&amp;DAY(J86-$F$76)&amp;" day "&amp;HOUR(J86-$F$76)&amp;" hour "&amp;MINUTE(J86-$F$76)&amp;" minute )","xxx"))))))</f>
        <v xml:space="preserve"> </v>
      </c>
      <c r="O86" s="32"/>
      <c r="P86" s="415"/>
      <c r="Q86" s="415"/>
      <c r="R86" s="415"/>
      <c r="S86" s="63"/>
      <c r="T86" s="416">
        <f t="shared" ref="T86:BA86" si="7">SUM(T82:T84)</f>
        <v>0</v>
      </c>
      <c r="U86" s="416">
        <f t="shared" si="7"/>
        <v>0</v>
      </c>
      <c r="V86" s="416">
        <f t="shared" si="7"/>
        <v>0</v>
      </c>
      <c r="W86" s="416">
        <f t="shared" si="7"/>
        <v>0</v>
      </c>
      <c r="X86" s="416">
        <f t="shared" si="7"/>
        <v>0</v>
      </c>
      <c r="Y86" s="416">
        <f t="shared" si="7"/>
        <v>0</v>
      </c>
      <c r="Z86" s="416">
        <f t="shared" si="7"/>
        <v>0</v>
      </c>
      <c r="AA86" s="416">
        <f t="shared" si="7"/>
        <v>0</v>
      </c>
      <c r="AB86" s="416">
        <f t="shared" si="7"/>
        <v>0</v>
      </c>
      <c r="AC86" s="416">
        <f t="shared" si="7"/>
        <v>22527.249</v>
      </c>
      <c r="AD86" s="416">
        <f t="shared" si="7"/>
        <v>0</v>
      </c>
      <c r="AE86" s="416">
        <f t="shared" si="7"/>
        <v>0</v>
      </c>
      <c r="AF86" s="416">
        <f t="shared" si="7"/>
        <v>0</v>
      </c>
      <c r="AG86" s="416">
        <f t="shared" si="7"/>
        <v>0</v>
      </c>
      <c r="AH86" s="416">
        <f t="shared" si="7"/>
        <v>0</v>
      </c>
      <c r="AI86" s="416">
        <f t="shared" si="7"/>
        <v>0</v>
      </c>
      <c r="AJ86" s="416">
        <f t="shared" si="7"/>
        <v>0</v>
      </c>
      <c r="AK86" s="416">
        <f t="shared" si="7"/>
        <v>0</v>
      </c>
      <c r="AL86" s="416">
        <f t="shared" si="7"/>
        <v>0</v>
      </c>
      <c r="AM86" s="416">
        <f t="shared" si="7"/>
        <v>0</v>
      </c>
      <c r="AN86" s="416">
        <f t="shared" si="7"/>
        <v>0</v>
      </c>
      <c r="AO86" s="416">
        <f t="shared" si="7"/>
        <v>0</v>
      </c>
      <c r="AP86" s="416">
        <f t="shared" si="7"/>
        <v>0</v>
      </c>
      <c r="AQ86" s="416">
        <f t="shared" si="7"/>
        <v>0</v>
      </c>
      <c r="AR86" s="416">
        <f t="shared" si="7"/>
        <v>0</v>
      </c>
      <c r="AS86" s="416">
        <f t="shared" si="7"/>
        <v>0</v>
      </c>
      <c r="AT86" s="416">
        <f t="shared" si="7"/>
        <v>0</v>
      </c>
      <c r="AU86" s="416">
        <f t="shared" si="7"/>
        <v>0</v>
      </c>
      <c r="AV86" s="416">
        <f t="shared" si="7"/>
        <v>0</v>
      </c>
      <c r="AW86" s="416">
        <f t="shared" si="7"/>
        <v>0</v>
      </c>
      <c r="AX86" s="416">
        <f t="shared" si="7"/>
        <v>0</v>
      </c>
      <c r="AY86" s="416">
        <f t="shared" si="7"/>
        <v>0</v>
      </c>
      <c r="AZ86" s="416">
        <f t="shared" si="7"/>
        <v>0</v>
      </c>
      <c r="BA86" s="416">
        <f t="shared" si="7"/>
        <v>0</v>
      </c>
      <c r="BB86" s="416">
        <f>SUM(T86:BA86)</f>
        <v>22527.249</v>
      </c>
    </row>
    <row r="87" spans="2:54">
      <c r="B87" s="32"/>
      <c r="C87" s="32"/>
      <c r="D87" s="32"/>
      <c r="E87" s="32"/>
      <c r="F87" s="32"/>
      <c r="G87" s="32"/>
      <c r="H87" s="32"/>
      <c r="I87" s="57"/>
      <c r="J87" s="52"/>
      <c r="K87" s="52"/>
      <c r="L87" s="55"/>
      <c r="M87" s="32"/>
      <c r="N87" s="32"/>
      <c r="O87" s="52"/>
      <c r="P87" s="32"/>
      <c r="Q87" s="32"/>
      <c r="R87" s="32"/>
      <c r="S87" s="32"/>
      <c r="T87" s="48"/>
      <c r="U87" s="48"/>
      <c r="V87" s="48"/>
      <c r="W87" s="48"/>
      <c r="X87" s="48"/>
      <c r="Y87" s="48"/>
      <c r="Z87" s="48"/>
      <c r="AA87" s="48"/>
      <c r="AB87" s="48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</row>
    <row r="88" spans="2:54">
      <c r="B88" s="40" t="s">
        <v>561</v>
      </c>
      <c r="C88" s="40"/>
      <c r="D88" s="32"/>
      <c r="E88" s="32"/>
      <c r="F88" s="32"/>
      <c r="G88" s="32"/>
      <c r="H88" s="32"/>
      <c r="I88" s="32"/>
      <c r="J88" s="52"/>
      <c r="K88" s="52"/>
      <c r="L88" s="55"/>
      <c r="M88" s="32"/>
      <c r="N88" s="32"/>
      <c r="O88" s="52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BB88" s="32"/>
    </row>
    <row r="89" spans="2:54">
      <c r="B89" s="422"/>
      <c r="C89" s="1249"/>
      <c r="D89" s="1249"/>
      <c r="E89" s="1249"/>
      <c r="F89" s="1249"/>
      <c r="G89" s="1249"/>
      <c r="H89" s="1249"/>
      <c r="I89" s="1249"/>
      <c r="J89" s="1249"/>
      <c r="K89" s="1249"/>
      <c r="L89" s="55"/>
      <c r="M89" s="55"/>
      <c r="N89" s="32"/>
      <c r="O89" s="52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</row>
    <row r="91" spans="2:54">
      <c r="B91" s="28" t="s">
        <v>126</v>
      </c>
      <c r="C91" s="28"/>
      <c r="D91" s="29"/>
      <c r="E91" s="30" t="s">
        <v>511</v>
      </c>
      <c r="F91" s="31" t="s">
        <v>944</v>
      </c>
      <c r="G91" s="32"/>
      <c r="H91" s="33"/>
      <c r="I91" s="34"/>
      <c r="J91" s="35" t="s">
        <v>513</v>
      </c>
      <c r="K91" s="36" t="s">
        <v>511</v>
      </c>
      <c r="L91" s="37">
        <v>45113.194444444445</v>
      </c>
      <c r="M91" s="32"/>
      <c r="N91" s="32"/>
      <c r="O91" s="36"/>
      <c r="P91" s="33"/>
      <c r="Q91" s="48"/>
      <c r="R91" s="49"/>
      <c r="S91" s="38"/>
      <c r="T91" s="32"/>
      <c r="U91" s="32"/>
      <c r="V91" s="32"/>
      <c r="W91" s="32"/>
      <c r="X91" s="32"/>
      <c r="Y91" s="32"/>
      <c r="Z91" s="32"/>
      <c r="AA91" s="32"/>
      <c r="AB91" s="48"/>
      <c r="AC91" s="48"/>
      <c r="AD91" s="48"/>
      <c r="AE91" s="48"/>
      <c r="AF91" s="48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</row>
    <row r="92" spans="2:54">
      <c r="B92" s="35" t="s">
        <v>514</v>
      </c>
      <c r="C92" s="35"/>
      <c r="D92" s="32"/>
      <c r="E92" s="36" t="s">
        <v>511</v>
      </c>
      <c r="F92" s="311" t="s">
        <v>2048</v>
      </c>
      <c r="G92" s="32"/>
      <c r="H92" s="33"/>
      <c r="I92" s="34"/>
      <c r="J92" s="35" t="s">
        <v>516</v>
      </c>
      <c r="K92" s="36" t="s">
        <v>511</v>
      </c>
      <c r="L92" s="37">
        <v>45115.826388888891</v>
      </c>
      <c r="M92" s="32"/>
      <c r="N92" s="32"/>
      <c r="O92" s="36"/>
      <c r="P92" s="33"/>
      <c r="Q92" s="48"/>
      <c r="R92" s="49"/>
      <c r="S92" s="38"/>
      <c r="T92" s="32"/>
      <c r="U92" s="32"/>
      <c r="V92" s="32"/>
      <c r="W92" s="32"/>
      <c r="X92" s="32"/>
      <c r="Y92" s="32"/>
      <c r="Z92" s="32"/>
      <c r="AA92" s="32"/>
      <c r="AB92" s="48"/>
      <c r="AC92" s="48"/>
      <c r="AD92" s="48"/>
      <c r="AE92" s="48"/>
      <c r="AF92" s="48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</row>
    <row r="93" spans="2:54">
      <c r="B93" s="35" t="s">
        <v>517</v>
      </c>
      <c r="C93" s="35"/>
      <c r="D93" s="32"/>
      <c r="E93" s="36" t="s">
        <v>511</v>
      </c>
      <c r="F93" s="37">
        <v>45111.458333333336</v>
      </c>
      <c r="G93" s="32"/>
      <c r="H93" s="33"/>
      <c r="I93" s="34"/>
      <c r="J93" s="35" t="s">
        <v>518</v>
      </c>
      <c r="K93" s="36" t="s">
        <v>511</v>
      </c>
      <c r="L93" s="50">
        <v>52150</v>
      </c>
      <c r="M93" s="40" t="s">
        <v>519</v>
      </c>
      <c r="N93" s="40"/>
      <c r="O93" s="36"/>
      <c r="P93" s="33"/>
      <c r="Q93" s="48"/>
      <c r="R93" s="49"/>
      <c r="S93" s="38"/>
      <c r="T93" s="32"/>
      <c r="U93" s="32"/>
      <c r="V93" s="32"/>
      <c r="W93" s="32"/>
      <c r="X93" s="32"/>
      <c r="Y93" s="32"/>
      <c r="Z93" s="32"/>
      <c r="AA93" s="32"/>
      <c r="AB93" s="48"/>
      <c r="AC93" s="48"/>
      <c r="AD93" s="48"/>
      <c r="AE93" s="48"/>
      <c r="AF93" s="48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</row>
    <row r="94" spans="2:54">
      <c r="B94" s="35" t="s">
        <v>520</v>
      </c>
      <c r="C94" s="35"/>
      <c r="D94" s="32"/>
      <c r="E94" s="36" t="s">
        <v>511</v>
      </c>
      <c r="F94" s="37" t="s">
        <v>8</v>
      </c>
      <c r="G94" s="32"/>
      <c r="H94" s="33"/>
      <c r="I94" s="34"/>
      <c r="J94" s="35" t="s">
        <v>521</v>
      </c>
      <c r="K94" s="36" t="s">
        <v>511</v>
      </c>
      <c r="L94" s="41" t="s">
        <v>2049</v>
      </c>
      <c r="M94" s="32"/>
      <c r="N94" s="32"/>
      <c r="O94" s="36"/>
      <c r="P94" s="48"/>
      <c r="Q94" s="48"/>
      <c r="R94" s="49"/>
      <c r="S94" s="38"/>
      <c r="T94" s="32"/>
      <c r="U94" s="32"/>
      <c r="V94" s="32"/>
      <c r="W94" s="32"/>
      <c r="X94" s="32"/>
      <c r="Y94" s="32"/>
      <c r="Z94" s="32"/>
      <c r="AA94" s="32"/>
      <c r="AB94" s="48"/>
      <c r="AC94" s="48"/>
      <c r="AD94" s="48"/>
      <c r="AE94" s="48"/>
      <c r="AF94" s="48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</row>
    <row r="95" spans="2:54">
      <c r="B95" s="35" t="s">
        <v>523</v>
      </c>
      <c r="C95" s="35"/>
      <c r="D95" s="32"/>
      <c r="E95" s="36" t="s">
        <v>511</v>
      </c>
      <c r="F95" s="37" t="s">
        <v>13</v>
      </c>
      <c r="G95" s="32"/>
      <c r="H95" s="33"/>
      <c r="I95" s="34"/>
      <c r="J95" s="42" t="s">
        <v>524</v>
      </c>
      <c r="K95" s="36" t="s">
        <v>511</v>
      </c>
      <c r="L95" s="43" t="s">
        <v>11</v>
      </c>
      <c r="M95" s="44"/>
      <c r="N95" s="44"/>
      <c r="O95" s="36"/>
      <c r="P95" s="33"/>
      <c r="Q95" s="48"/>
      <c r="R95" s="49"/>
      <c r="S95" s="38"/>
      <c r="T95" s="32"/>
      <c r="U95" s="32"/>
      <c r="V95" s="32"/>
      <c r="W95" s="32"/>
      <c r="X95" s="32"/>
      <c r="Y95" s="32"/>
      <c r="Z95" s="32"/>
      <c r="AA95" s="32"/>
      <c r="AB95" s="48"/>
      <c r="AC95" s="48"/>
      <c r="AD95" s="48"/>
      <c r="AE95" s="48"/>
      <c r="AF95" s="48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</row>
    <row r="96" spans="2:54">
      <c r="B96" s="35" t="s">
        <v>2</v>
      </c>
      <c r="C96" s="35"/>
      <c r="D96" s="32"/>
      <c r="E96" s="36" t="s">
        <v>511</v>
      </c>
      <c r="F96" s="37" t="s">
        <v>18</v>
      </c>
      <c r="G96" s="32"/>
      <c r="H96" s="33"/>
      <c r="I96" s="45"/>
      <c r="J96" s="42"/>
      <c r="K96" s="36"/>
      <c r="L96" s="37"/>
      <c r="M96" s="32"/>
      <c r="N96" s="32"/>
      <c r="O96" s="42"/>
      <c r="P96" s="44"/>
      <c r="Q96" s="44"/>
      <c r="R96" s="44"/>
      <c r="S96" s="34"/>
      <c r="T96" s="32"/>
      <c r="U96" s="32"/>
      <c r="V96" s="32"/>
      <c r="W96" s="32"/>
      <c r="X96" s="32"/>
      <c r="Y96" s="32"/>
      <c r="Z96" s="32"/>
      <c r="AA96" s="32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</row>
    <row r="97" spans="2:54">
      <c r="B97" s="32"/>
      <c r="C97" s="32"/>
      <c r="D97" s="32"/>
      <c r="E97" s="32"/>
      <c r="F97" s="32"/>
      <c r="G97" s="32"/>
      <c r="H97" s="32"/>
      <c r="I97" s="45"/>
      <c r="J97" s="42"/>
      <c r="K97" s="42"/>
      <c r="L97" s="43"/>
      <c r="M97" s="44"/>
      <c r="N97" s="44"/>
      <c r="O97" s="42"/>
      <c r="P97" s="44"/>
      <c r="Q97" s="44"/>
      <c r="R97" s="44"/>
      <c r="S97" s="34"/>
      <c r="T97" s="1270" t="s">
        <v>87</v>
      </c>
      <c r="U97" s="1270"/>
      <c r="V97" s="1270"/>
      <c r="W97" s="1270"/>
      <c r="X97" s="1270"/>
      <c r="Y97" s="1270" t="s">
        <v>73</v>
      </c>
      <c r="Z97" s="1270"/>
      <c r="AA97" s="1270"/>
      <c r="AB97" s="1270" t="s">
        <v>74</v>
      </c>
      <c r="AC97" s="1270"/>
      <c r="AD97" s="407" t="s">
        <v>85</v>
      </c>
      <c r="AE97" s="407" t="s">
        <v>77</v>
      </c>
      <c r="AF97" s="1270" t="s">
        <v>525</v>
      </c>
      <c r="AG97" s="1270"/>
      <c r="AH97" s="1270"/>
      <c r="AI97" s="1270"/>
      <c r="AJ97" s="1270"/>
      <c r="AK97" s="1270"/>
      <c r="AL97" s="1270"/>
      <c r="AM97" s="1270"/>
      <c r="AN97" s="1270"/>
      <c r="AO97" s="1270"/>
      <c r="AP97" s="1270"/>
      <c r="AQ97" s="1270"/>
      <c r="AR97" s="1270"/>
      <c r="AS97" s="1270"/>
      <c r="AT97" s="1270"/>
      <c r="AU97" s="1270"/>
      <c r="AV97" s="1270"/>
      <c r="AW97" s="1270"/>
      <c r="AX97" s="1270"/>
      <c r="AY97" s="1270"/>
      <c r="AZ97" s="1270"/>
      <c r="BA97" s="1270"/>
      <c r="BB97" s="32"/>
    </row>
    <row r="98" spans="2:54">
      <c r="B98" s="1266" t="s">
        <v>526</v>
      </c>
      <c r="C98" s="1267"/>
      <c r="D98" s="570" t="s">
        <v>527</v>
      </c>
      <c r="E98" s="570"/>
      <c r="F98" s="570" t="s">
        <v>528</v>
      </c>
      <c r="G98" s="570" t="s">
        <v>529</v>
      </c>
      <c r="H98" s="570" t="s">
        <v>530</v>
      </c>
      <c r="I98" s="570" t="s">
        <v>531</v>
      </c>
      <c r="J98" s="570" t="s">
        <v>532</v>
      </c>
      <c r="K98" s="570"/>
      <c r="L98" s="570" t="s">
        <v>130</v>
      </c>
      <c r="M98" s="570" t="s">
        <v>533</v>
      </c>
      <c r="N98" s="408" t="str">
        <f>"On time - "&amp;COUNTIF(N99:N105,"On time")&amp;" from "&amp;ROWS(N99:N105)-COUNTIF(N99:N105," ")</f>
        <v>On time - 4 from 7</v>
      </c>
      <c r="O98" s="46"/>
      <c r="P98" s="409" t="s">
        <v>534</v>
      </c>
      <c r="Q98" s="409" t="s">
        <v>535</v>
      </c>
      <c r="R98" s="409" t="s">
        <v>536</v>
      </c>
      <c r="S98" s="32"/>
      <c r="T98" s="410" t="s">
        <v>537</v>
      </c>
      <c r="U98" s="410" t="s">
        <v>538</v>
      </c>
      <c r="V98" s="410" t="s">
        <v>539</v>
      </c>
      <c r="W98" s="410" t="s">
        <v>540</v>
      </c>
      <c r="X98" s="410" t="s">
        <v>541</v>
      </c>
      <c r="Y98" s="410" t="s">
        <v>167</v>
      </c>
      <c r="Z98" s="410" t="s">
        <v>168</v>
      </c>
      <c r="AA98" s="410" t="s">
        <v>169</v>
      </c>
      <c r="AB98" s="410" t="s">
        <v>235</v>
      </c>
      <c r="AC98" s="410" t="s">
        <v>240</v>
      </c>
      <c r="AD98" s="407" t="s">
        <v>85</v>
      </c>
      <c r="AE98" s="410" t="s">
        <v>139</v>
      </c>
      <c r="AF98" s="410" t="s">
        <v>72</v>
      </c>
      <c r="AG98" s="410" t="s">
        <v>88</v>
      </c>
      <c r="AH98" s="410" t="s">
        <v>75</v>
      </c>
      <c r="AI98" s="410" t="s">
        <v>543</v>
      </c>
      <c r="AJ98" s="410" t="s">
        <v>78</v>
      </c>
      <c r="AK98" s="410" t="s">
        <v>76</v>
      </c>
      <c r="AL98" s="410" t="s">
        <v>544</v>
      </c>
      <c r="AM98" s="410" t="s">
        <v>545</v>
      </c>
      <c r="AN98" s="410" t="s">
        <v>86</v>
      </c>
      <c r="AO98" s="410" t="s">
        <v>83</v>
      </c>
      <c r="AP98" s="410" t="s">
        <v>84</v>
      </c>
      <c r="AQ98" s="410" t="s">
        <v>546</v>
      </c>
      <c r="AR98" s="410" t="s">
        <v>81</v>
      </c>
      <c r="AS98" s="410" t="s">
        <v>80</v>
      </c>
      <c r="AT98" s="410" t="s">
        <v>82</v>
      </c>
      <c r="AU98" s="410" t="s">
        <v>181</v>
      </c>
      <c r="AV98" s="410" t="s">
        <v>183</v>
      </c>
      <c r="AW98" s="410" t="s">
        <v>547</v>
      </c>
      <c r="AX98" s="410" t="s">
        <v>182</v>
      </c>
      <c r="AY98" s="410" t="s">
        <v>172</v>
      </c>
      <c r="AZ98" s="410" t="s">
        <v>173</v>
      </c>
      <c r="BA98" s="410" t="s">
        <v>184</v>
      </c>
      <c r="BB98" s="32"/>
    </row>
    <row r="99" spans="2:54">
      <c r="B99" s="1256" t="s">
        <v>1416</v>
      </c>
      <c r="C99" s="1257"/>
      <c r="D99" s="411" t="s">
        <v>1988</v>
      </c>
      <c r="E99" s="425"/>
      <c r="F99" s="411" t="s">
        <v>367</v>
      </c>
      <c r="G99" s="411" t="s">
        <v>368</v>
      </c>
      <c r="H99" s="412">
        <v>9861.4009999999998</v>
      </c>
      <c r="I99" s="413" t="s">
        <v>494</v>
      </c>
      <c r="J99" s="414">
        <v>45111.649305555555</v>
      </c>
      <c r="K99" s="414"/>
      <c r="L99" s="414" t="s">
        <v>192</v>
      </c>
      <c r="M99" s="414" t="s">
        <v>192</v>
      </c>
      <c r="N99" s="413" t="str">
        <f>IF(ISBLANK(J99)," ",IF(J99&lt;$F$93,"On time",(IF(DAY(J99-$F$93)&lt;1,"On time",(IF(J99&gt;$F$93,"DELAY ( "&amp;DAY(J99-$F$93)&amp;" day "&amp;HOUR(J99-$F$93)&amp;" hour "&amp;MINUTE(J99-$F$93)&amp;" minute )","xxx"))))))</f>
        <v>On time</v>
      </c>
      <c r="O99" s="51"/>
      <c r="P99" s="415" t="s">
        <v>551</v>
      </c>
      <c r="Q99" s="415" t="s">
        <v>551</v>
      </c>
      <c r="R99" s="415" t="s">
        <v>551</v>
      </c>
      <c r="S99" s="32"/>
      <c r="T99" s="416"/>
      <c r="U99" s="416"/>
      <c r="V99" s="416"/>
      <c r="W99" s="416"/>
      <c r="X99" s="416"/>
      <c r="Y99" s="416">
        <f>H99</f>
        <v>9861.4009999999998</v>
      </c>
      <c r="Z99" s="416"/>
      <c r="AA99" s="32"/>
      <c r="AB99" s="416"/>
      <c r="AC99" s="416"/>
      <c r="AD99" s="416"/>
      <c r="AE99" s="416"/>
      <c r="AF99" s="416"/>
      <c r="AG99" s="416"/>
      <c r="AH99" s="416"/>
      <c r="AI99" s="416"/>
      <c r="AJ99" s="416"/>
      <c r="AK99" s="416"/>
      <c r="AL99" s="416"/>
      <c r="AM99" s="416"/>
      <c r="AN99" s="416"/>
      <c r="AO99" s="416"/>
      <c r="AP99" s="416"/>
      <c r="AQ99" s="416"/>
      <c r="AR99" s="416"/>
      <c r="AS99" s="416"/>
      <c r="AT99" s="32"/>
      <c r="AU99" s="416"/>
      <c r="AV99" s="416"/>
      <c r="AW99" s="416"/>
      <c r="AX99" s="416"/>
      <c r="AY99" s="416"/>
      <c r="AZ99" s="416"/>
      <c r="BA99" s="416"/>
      <c r="BB99" s="32"/>
    </row>
    <row r="100" spans="2:54">
      <c r="B100" s="1256" t="s">
        <v>1416</v>
      </c>
      <c r="C100" s="1257"/>
      <c r="D100" s="411" t="s">
        <v>2050</v>
      </c>
      <c r="E100" s="425"/>
      <c r="F100" s="411" t="s">
        <v>1799</v>
      </c>
      <c r="G100" s="411" t="s">
        <v>340</v>
      </c>
      <c r="H100" s="412">
        <v>7571.7079999999996</v>
      </c>
      <c r="I100" s="413" t="s">
        <v>172</v>
      </c>
      <c r="J100" s="414">
        <v>45112.96875</v>
      </c>
      <c r="K100" s="414"/>
      <c r="L100" s="414" t="s">
        <v>192</v>
      </c>
      <c r="M100" s="414" t="s">
        <v>192</v>
      </c>
      <c r="N100" s="413" t="str">
        <f t="shared" ref="N100:N107" si="8">IF(ISBLANK(J100)," ",IF(J100&lt;$F$93,"On time",(IF(DAY(J100-$F$93)&lt;1,"On time",(IF(J100&gt;$F$93,"DELAY ( "&amp;DAY(J100-$F$93)&amp;" day "&amp;HOUR(J100-$F$93)&amp;" hour "&amp;MINUTE(J100-$F$93)&amp;" minute )","xxx"))))))</f>
        <v>DELAY ( 1 day 12 hour 15 minute )</v>
      </c>
      <c r="O100" s="51"/>
      <c r="P100" s="415" t="s">
        <v>551</v>
      </c>
      <c r="Q100" s="415" t="s">
        <v>551</v>
      </c>
      <c r="R100" s="415" t="s">
        <v>551</v>
      </c>
      <c r="S100" s="32"/>
      <c r="T100" s="416"/>
      <c r="U100" s="416"/>
      <c r="V100" s="416"/>
      <c r="W100" s="416"/>
      <c r="X100" s="416"/>
      <c r="Y100" s="416"/>
      <c r="Z100" s="416"/>
      <c r="AA100" s="416"/>
      <c r="AB100" s="416"/>
      <c r="AC100" s="416"/>
      <c r="AD100" s="416"/>
      <c r="AE100" s="416"/>
      <c r="AF100" s="416"/>
      <c r="AG100" s="416"/>
      <c r="AH100" s="416"/>
      <c r="AI100" s="416"/>
      <c r="AJ100" s="416"/>
      <c r="AK100" s="416"/>
      <c r="AL100" s="416"/>
      <c r="AM100" s="416"/>
      <c r="AN100" s="416"/>
      <c r="AO100" s="416"/>
      <c r="AP100" s="416"/>
      <c r="AQ100" s="416"/>
      <c r="AR100" s="416"/>
      <c r="AS100" s="416"/>
      <c r="AT100" s="416"/>
      <c r="AU100" s="416"/>
      <c r="AV100" s="416"/>
      <c r="AW100" s="416"/>
      <c r="AX100" s="416"/>
      <c r="AY100" s="416">
        <f>H100</f>
        <v>7571.7079999999996</v>
      </c>
      <c r="AZ100" s="416"/>
      <c r="BA100" s="416"/>
      <c r="BB100" s="32"/>
    </row>
    <row r="101" spans="2:54">
      <c r="B101" s="1256" t="s">
        <v>548</v>
      </c>
      <c r="C101" s="1257"/>
      <c r="D101" s="411" t="s">
        <v>1989</v>
      </c>
      <c r="E101" s="411"/>
      <c r="F101" s="411" t="s">
        <v>334</v>
      </c>
      <c r="G101" s="411" t="s">
        <v>335</v>
      </c>
      <c r="H101" s="412">
        <v>7895.8019999999997</v>
      </c>
      <c r="I101" s="413" t="s">
        <v>494</v>
      </c>
      <c r="J101" s="414">
        <v>45111.166666666664</v>
      </c>
      <c r="K101" s="414"/>
      <c r="L101" s="414" t="s">
        <v>192</v>
      </c>
      <c r="M101" s="414" t="s">
        <v>192</v>
      </c>
      <c r="N101" s="413" t="str">
        <f t="shared" si="8"/>
        <v>On time</v>
      </c>
      <c r="O101" s="51"/>
      <c r="P101" s="415" t="s">
        <v>551</v>
      </c>
      <c r="Q101" s="415" t="s">
        <v>551</v>
      </c>
      <c r="R101" s="415" t="s">
        <v>551</v>
      </c>
      <c r="S101" s="32"/>
      <c r="T101" s="416"/>
      <c r="U101" s="416"/>
      <c r="V101" s="416"/>
      <c r="W101" s="416"/>
      <c r="X101" s="416"/>
      <c r="Y101" s="416">
        <f>H101</f>
        <v>7895.8019999999997</v>
      </c>
      <c r="Z101" s="416"/>
      <c r="AA101" s="416"/>
      <c r="AB101" s="416"/>
      <c r="AC101" s="416"/>
      <c r="AD101" s="416"/>
      <c r="AE101" s="416"/>
      <c r="AF101" s="416"/>
      <c r="AG101" s="416"/>
      <c r="AH101" s="416"/>
      <c r="AI101" s="416"/>
      <c r="AJ101" s="416"/>
      <c r="AK101" s="416"/>
      <c r="AL101" s="416"/>
      <c r="AM101" s="416"/>
      <c r="AN101" s="416"/>
      <c r="AO101" s="416"/>
      <c r="AP101" s="416"/>
      <c r="AQ101" s="416"/>
      <c r="AR101" s="416"/>
      <c r="AS101" s="416"/>
      <c r="AT101" s="416"/>
      <c r="AU101" s="416"/>
      <c r="AV101" s="416"/>
      <c r="AW101" s="416"/>
      <c r="AX101" s="416"/>
      <c r="AY101" s="416"/>
      <c r="AZ101" s="416"/>
      <c r="BA101" s="416"/>
      <c r="BB101" s="32"/>
    </row>
    <row r="102" spans="2:54">
      <c r="B102" s="1256" t="s">
        <v>548</v>
      </c>
      <c r="C102" s="1257"/>
      <c r="D102" s="411" t="s">
        <v>1990</v>
      </c>
      <c r="E102" s="411"/>
      <c r="F102" s="411" t="s">
        <v>263</v>
      </c>
      <c r="G102" s="411" t="s">
        <v>264</v>
      </c>
      <c r="H102" s="412">
        <v>7629.6850000000004</v>
      </c>
      <c r="I102" s="413" t="s">
        <v>494</v>
      </c>
      <c r="J102" s="414">
        <v>45111.125</v>
      </c>
      <c r="K102" s="414"/>
      <c r="L102" s="414" t="s">
        <v>192</v>
      </c>
      <c r="M102" s="414" t="s">
        <v>192</v>
      </c>
      <c r="N102" s="413" t="str">
        <f t="shared" si="8"/>
        <v>On time</v>
      </c>
      <c r="O102" s="51"/>
      <c r="P102" s="415" t="s">
        <v>551</v>
      </c>
      <c r="Q102" s="415" t="s">
        <v>551</v>
      </c>
      <c r="R102" s="415" t="s">
        <v>551</v>
      </c>
      <c r="S102" s="32"/>
      <c r="T102" s="416"/>
      <c r="U102" s="416"/>
      <c r="V102" s="416"/>
      <c r="W102" s="416"/>
      <c r="X102" s="416"/>
      <c r="Y102" s="416">
        <f>H102</f>
        <v>7629.6850000000004</v>
      </c>
      <c r="Z102" s="416"/>
      <c r="AA102" s="416"/>
      <c r="AB102" s="416"/>
      <c r="AC102" s="416"/>
      <c r="AD102" s="416"/>
      <c r="AE102" s="416"/>
      <c r="AF102" s="416"/>
      <c r="AG102" s="416"/>
      <c r="AH102" s="416"/>
      <c r="AI102" s="416"/>
      <c r="AJ102" s="32"/>
      <c r="AK102" s="416"/>
      <c r="AL102" s="416"/>
      <c r="AM102" s="416"/>
      <c r="AN102" s="416"/>
      <c r="AO102" s="416"/>
      <c r="AP102" s="416"/>
      <c r="AQ102" s="416"/>
      <c r="AR102" s="416"/>
      <c r="AS102" s="416"/>
      <c r="AT102" s="416"/>
      <c r="AU102" s="416"/>
      <c r="AV102" s="416"/>
      <c r="AW102" s="416"/>
      <c r="AX102" s="416"/>
      <c r="AY102" s="286"/>
      <c r="AZ102" s="416"/>
      <c r="BA102" s="416"/>
      <c r="BB102" s="32"/>
    </row>
    <row r="103" spans="2:54">
      <c r="B103" s="1256" t="s">
        <v>548</v>
      </c>
      <c r="C103" s="1257"/>
      <c r="D103" s="411" t="s">
        <v>1991</v>
      </c>
      <c r="E103" s="411"/>
      <c r="F103" s="411" t="s">
        <v>1767</v>
      </c>
      <c r="G103" s="411" t="s">
        <v>1768</v>
      </c>
      <c r="H103" s="412">
        <v>7530.3909999999996</v>
      </c>
      <c r="I103" s="413" t="s">
        <v>494</v>
      </c>
      <c r="J103" s="414">
        <v>45111.777777777781</v>
      </c>
      <c r="K103" s="414"/>
      <c r="L103" s="414" t="s">
        <v>192</v>
      </c>
      <c r="M103" s="414" t="s">
        <v>192</v>
      </c>
      <c r="N103" s="413" t="str">
        <f t="shared" si="8"/>
        <v>On time</v>
      </c>
      <c r="O103" s="51"/>
      <c r="P103" s="415" t="s">
        <v>551</v>
      </c>
      <c r="Q103" s="415" t="s">
        <v>551</v>
      </c>
      <c r="R103" s="415" t="s">
        <v>551</v>
      </c>
      <c r="S103" s="32"/>
      <c r="T103" s="416"/>
      <c r="U103" s="416"/>
      <c r="V103" s="416"/>
      <c r="W103" s="416"/>
      <c r="X103" s="416"/>
      <c r="Y103" s="416">
        <f>H103</f>
        <v>7530.3909999999996</v>
      </c>
      <c r="Z103" s="416"/>
      <c r="AA103" s="416"/>
      <c r="AB103" s="32"/>
      <c r="AC103" s="416"/>
      <c r="AD103" s="416"/>
      <c r="AE103" s="416"/>
      <c r="AF103" s="416"/>
      <c r="AG103" s="416"/>
      <c r="AH103" s="416"/>
      <c r="AI103" s="416"/>
      <c r="AJ103" s="416"/>
      <c r="AK103" s="416"/>
      <c r="AL103" s="416"/>
      <c r="AM103" s="416"/>
      <c r="AN103" s="416"/>
      <c r="AO103" s="416"/>
      <c r="AP103" s="416"/>
      <c r="AQ103" s="416"/>
      <c r="AR103" s="416"/>
      <c r="AS103" s="416"/>
      <c r="AT103" s="416"/>
      <c r="AU103" s="416"/>
      <c r="AV103" s="416"/>
      <c r="AW103" s="416"/>
      <c r="AX103" s="416"/>
      <c r="AY103" s="416"/>
      <c r="AZ103" s="416"/>
      <c r="BA103" s="416"/>
      <c r="BB103" s="32"/>
    </row>
    <row r="104" spans="2:54">
      <c r="B104" s="1256" t="s">
        <v>548</v>
      </c>
      <c r="C104" s="1257"/>
      <c r="D104" s="411" t="s">
        <v>1985</v>
      </c>
      <c r="E104" s="411"/>
      <c r="F104" s="411" t="s">
        <v>429</v>
      </c>
      <c r="G104" s="411" t="s">
        <v>430</v>
      </c>
      <c r="H104" s="412">
        <v>4275.0519999999997</v>
      </c>
      <c r="I104" s="413" t="s">
        <v>494</v>
      </c>
      <c r="J104" s="414">
        <v>45113.201388888891</v>
      </c>
      <c r="K104" s="414"/>
      <c r="L104" s="414" t="s">
        <v>192</v>
      </c>
      <c r="M104" s="414" t="s">
        <v>192</v>
      </c>
      <c r="N104" s="413" t="str">
        <f t="shared" si="8"/>
        <v>DELAY ( 1 day 17 hour 50 minute )</v>
      </c>
      <c r="O104" s="51"/>
      <c r="P104" s="415" t="s">
        <v>551</v>
      </c>
      <c r="Q104" s="415" t="s">
        <v>551</v>
      </c>
      <c r="R104" s="415" t="s">
        <v>551</v>
      </c>
      <c r="S104" s="32"/>
      <c r="T104" s="416"/>
      <c r="U104" s="416"/>
      <c r="V104" s="416"/>
      <c r="W104" s="416"/>
      <c r="X104" s="416"/>
      <c r="Y104" s="416">
        <f>H104</f>
        <v>4275.0519999999997</v>
      </c>
      <c r="Z104" s="416"/>
      <c r="AA104" s="416"/>
      <c r="AB104" s="416"/>
      <c r="AC104" s="416"/>
      <c r="AD104" s="416"/>
      <c r="AE104" s="416"/>
      <c r="AF104" s="416"/>
      <c r="AG104" s="416"/>
      <c r="AH104" s="416"/>
      <c r="AI104" s="416"/>
      <c r="AJ104" s="416"/>
      <c r="AK104" s="416"/>
      <c r="AL104" s="416"/>
      <c r="AM104" s="416"/>
      <c r="AN104" s="416"/>
      <c r="AO104" s="416"/>
      <c r="AP104" s="416"/>
      <c r="AQ104" s="416"/>
      <c r="AR104" s="416"/>
      <c r="AS104" s="416"/>
      <c r="AT104" s="416"/>
      <c r="AU104" s="416"/>
      <c r="AV104" s="416"/>
      <c r="AW104" s="416"/>
      <c r="AX104" s="416"/>
      <c r="AY104" s="416"/>
      <c r="AZ104" s="416"/>
      <c r="BA104" s="416"/>
      <c r="BB104" s="32"/>
    </row>
    <row r="105" spans="2:54">
      <c r="B105" s="1256" t="s">
        <v>548</v>
      </c>
      <c r="C105" s="1257"/>
      <c r="D105" s="411" t="s">
        <v>2051</v>
      </c>
      <c r="E105" s="411"/>
      <c r="F105" s="411" t="s">
        <v>380</v>
      </c>
      <c r="G105" s="411" t="s">
        <v>381</v>
      </c>
      <c r="H105" s="412">
        <f>7855.804-469.843</f>
        <v>7385.9610000000002</v>
      </c>
      <c r="I105" s="413" t="s">
        <v>494</v>
      </c>
      <c r="J105" s="414">
        <v>45112.458333333336</v>
      </c>
      <c r="K105" s="414"/>
      <c r="L105" s="414" t="s">
        <v>192</v>
      </c>
      <c r="M105" s="414" t="s">
        <v>192</v>
      </c>
      <c r="N105" s="413" t="str">
        <f t="shared" si="8"/>
        <v>DELAY ( 1 day 0 hour 0 minute )</v>
      </c>
      <c r="O105" s="51"/>
      <c r="P105" s="415" t="s">
        <v>551</v>
      </c>
      <c r="Q105" s="415" t="s">
        <v>551</v>
      </c>
      <c r="R105" s="415" t="s">
        <v>551</v>
      </c>
      <c r="S105" s="32"/>
      <c r="T105" s="416"/>
      <c r="U105" s="416"/>
      <c r="V105" s="416"/>
      <c r="W105" s="416"/>
      <c r="X105" s="416"/>
      <c r="Y105" s="416">
        <f>H105-H109</f>
        <v>6470.38</v>
      </c>
      <c r="Z105" s="416"/>
      <c r="AA105" s="416"/>
      <c r="AB105" s="416"/>
      <c r="AC105" s="416"/>
      <c r="AD105" s="416"/>
      <c r="AE105" s="416"/>
      <c r="AF105" s="416"/>
      <c r="AG105" s="416"/>
      <c r="AH105" s="416"/>
      <c r="AI105" s="416"/>
      <c r="AJ105" s="416"/>
      <c r="AK105" s="416"/>
      <c r="AL105" s="416"/>
      <c r="AM105" s="416"/>
      <c r="AN105" s="416"/>
      <c r="AO105" s="416"/>
      <c r="AP105" s="416"/>
      <c r="AQ105" s="416"/>
      <c r="AR105" s="416"/>
      <c r="AS105" s="416"/>
      <c r="AT105" s="416"/>
      <c r="AU105" s="416"/>
      <c r="AV105" s="416"/>
      <c r="AW105" s="416"/>
      <c r="AX105" s="416"/>
      <c r="AY105" s="416"/>
      <c r="AZ105" s="416"/>
      <c r="BA105" s="416"/>
      <c r="BB105" s="32"/>
    </row>
    <row r="106" spans="2:54">
      <c r="B106" s="1258" t="s">
        <v>556</v>
      </c>
      <c r="C106" s="1259"/>
      <c r="D106" s="1259"/>
      <c r="E106" s="1259"/>
      <c r="F106" s="1259"/>
      <c r="G106" s="1260"/>
      <c r="H106" s="417">
        <f>SUM(H99:H105)</f>
        <v>52149.999999999993</v>
      </c>
      <c r="I106" s="388"/>
      <c r="J106" s="293"/>
      <c r="K106" s="293"/>
      <c r="L106" s="293"/>
      <c r="M106" s="389"/>
      <c r="N106" s="413" t="str">
        <f t="shared" si="8"/>
        <v xml:space="preserve"> </v>
      </c>
      <c r="O106" s="47"/>
      <c r="P106" s="418"/>
      <c r="Q106" s="418"/>
      <c r="R106" s="418"/>
      <c r="S106" s="32"/>
      <c r="T106" s="1262"/>
      <c r="U106" s="1263"/>
      <c r="V106" s="1263"/>
      <c r="W106" s="1263"/>
      <c r="X106" s="1263"/>
      <c r="Y106" s="1263"/>
      <c r="Z106" s="1263"/>
      <c r="AA106" s="1263"/>
      <c r="AB106" s="1263"/>
      <c r="AC106" s="1263"/>
      <c r="AD106" s="1263"/>
      <c r="AE106" s="1263"/>
      <c r="AF106" s="1263"/>
      <c r="AG106" s="1263"/>
      <c r="AH106" s="1263"/>
      <c r="AI106" s="1263"/>
      <c r="AJ106" s="1263"/>
      <c r="AK106" s="1263"/>
      <c r="AL106" s="1263"/>
      <c r="AM106" s="1263"/>
      <c r="AN106" s="1263"/>
      <c r="AO106" s="1263"/>
      <c r="AP106" s="1263"/>
      <c r="AQ106" s="1263"/>
      <c r="AR106" s="1263"/>
      <c r="AS106" s="1263"/>
      <c r="AT106" s="1263"/>
      <c r="AU106" s="1263"/>
      <c r="AV106" s="1263"/>
      <c r="AW106" s="1263"/>
      <c r="AX106" s="1263"/>
      <c r="AY106" s="1263"/>
      <c r="AZ106" s="1263"/>
      <c r="BA106" s="1263"/>
    </row>
    <row r="107" spans="2:54">
      <c r="B107" s="1243" t="s">
        <v>557</v>
      </c>
      <c r="C107" s="1244"/>
      <c r="D107" s="1244"/>
      <c r="E107" s="1244"/>
      <c r="F107" s="1244"/>
      <c r="G107" s="1245"/>
      <c r="H107" s="419">
        <v>52150</v>
      </c>
      <c r="I107" s="1246"/>
      <c r="J107" s="1247"/>
      <c r="K107" s="1247"/>
      <c r="L107" s="1247"/>
      <c r="M107" s="1248"/>
      <c r="N107" s="413" t="str">
        <f t="shared" si="8"/>
        <v xml:space="preserve"> </v>
      </c>
      <c r="O107" s="32"/>
      <c r="P107" s="415"/>
      <c r="Q107" s="415"/>
      <c r="R107" s="415"/>
      <c r="S107" s="63"/>
      <c r="T107" s="416">
        <f t="shared" ref="T107:BA107" si="9">SUM(T99:T105)</f>
        <v>0</v>
      </c>
      <c r="U107" s="416">
        <f t="shared" si="9"/>
        <v>0</v>
      </c>
      <c r="V107" s="416">
        <f t="shared" si="9"/>
        <v>0</v>
      </c>
      <c r="W107" s="416">
        <f t="shared" si="9"/>
        <v>0</v>
      </c>
      <c r="X107" s="416">
        <f t="shared" si="9"/>
        <v>0</v>
      </c>
      <c r="Y107" s="416">
        <f t="shared" si="9"/>
        <v>43662.711000000003</v>
      </c>
      <c r="Z107" s="416">
        <f t="shared" si="9"/>
        <v>0</v>
      </c>
      <c r="AA107" s="416">
        <f t="shared" si="9"/>
        <v>0</v>
      </c>
      <c r="AB107" s="416">
        <f t="shared" si="9"/>
        <v>0</v>
      </c>
      <c r="AC107" s="416">
        <f t="shared" si="9"/>
        <v>0</v>
      </c>
      <c r="AD107" s="416">
        <f t="shared" si="9"/>
        <v>0</v>
      </c>
      <c r="AE107" s="416">
        <f t="shared" si="9"/>
        <v>0</v>
      </c>
      <c r="AF107" s="416">
        <f t="shared" si="9"/>
        <v>0</v>
      </c>
      <c r="AG107" s="416">
        <f t="shared" si="9"/>
        <v>0</v>
      </c>
      <c r="AH107" s="416">
        <f t="shared" si="9"/>
        <v>0</v>
      </c>
      <c r="AI107" s="416">
        <f t="shared" si="9"/>
        <v>0</v>
      </c>
      <c r="AJ107" s="416">
        <f t="shared" si="9"/>
        <v>0</v>
      </c>
      <c r="AK107" s="416">
        <f t="shared" si="9"/>
        <v>0</v>
      </c>
      <c r="AL107" s="416">
        <f t="shared" si="9"/>
        <v>0</v>
      </c>
      <c r="AM107" s="416">
        <f t="shared" si="9"/>
        <v>0</v>
      </c>
      <c r="AN107" s="416">
        <f t="shared" si="9"/>
        <v>0</v>
      </c>
      <c r="AO107" s="416">
        <f t="shared" si="9"/>
        <v>0</v>
      </c>
      <c r="AP107" s="416">
        <f t="shared" si="9"/>
        <v>0</v>
      </c>
      <c r="AQ107" s="416">
        <f t="shared" si="9"/>
        <v>0</v>
      </c>
      <c r="AR107" s="416">
        <f t="shared" si="9"/>
        <v>0</v>
      </c>
      <c r="AS107" s="416">
        <f t="shared" si="9"/>
        <v>0</v>
      </c>
      <c r="AT107" s="416">
        <f t="shared" si="9"/>
        <v>0</v>
      </c>
      <c r="AU107" s="416">
        <f t="shared" si="9"/>
        <v>0</v>
      </c>
      <c r="AV107" s="416">
        <f t="shared" si="9"/>
        <v>0</v>
      </c>
      <c r="AW107" s="416">
        <f t="shared" si="9"/>
        <v>0</v>
      </c>
      <c r="AX107" s="416">
        <f t="shared" si="9"/>
        <v>0</v>
      </c>
      <c r="AY107" s="416">
        <f t="shared" si="9"/>
        <v>7571.7079999999996</v>
      </c>
      <c r="AZ107" s="416">
        <f t="shared" si="9"/>
        <v>0</v>
      </c>
      <c r="BA107" s="416">
        <f t="shared" si="9"/>
        <v>0</v>
      </c>
      <c r="BB107" s="416">
        <f>SUM(T107:BA107)</f>
        <v>51234.419000000002</v>
      </c>
    </row>
    <row r="108" spans="2:54">
      <c r="B108" s="1243" t="s">
        <v>558</v>
      </c>
      <c r="C108" s="1244"/>
      <c r="D108" s="1244"/>
      <c r="E108" s="1244"/>
      <c r="F108" s="1244"/>
      <c r="G108" s="1245"/>
      <c r="H108" s="420">
        <f>H107-L93</f>
        <v>0</v>
      </c>
      <c r="I108" s="294"/>
      <c r="J108" s="295"/>
      <c r="K108" s="295"/>
      <c r="L108" s="296"/>
      <c r="M108" s="32"/>
      <c r="N108" s="32"/>
      <c r="O108" s="32"/>
      <c r="P108" s="32"/>
      <c r="Q108" s="297"/>
      <c r="R108" s="297"/>
      <c r="S108" s="32"/>
      <c r="T108" s="48"/>
      <c r="U108" s="48"/>
      <c r="V108" s="48"/>
      <c r="W108" s="48"/>
      <c r="X108" s="48"/>
      <c r="Y108" s="48"/>
      <c r="Z108" s="48"/>
      <c r="AA108" s="48"/>
      <c r="AB108" s="48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</row>
    <row r="109" spans="2:54">
      <c r="B109" s="1243" t="s">
        <v>559</v>
      </c>
      <c r="C109" s="1244"/>
      <c r="D109" s="1244"/>
      <c r="E109" s="1244"/>
      <c r="F109" s="1244"/>
      <c r="G109" s="1245"/>
      <c r="H109" s="446">
        <v>915.58100000000002</v>
      </c>
      <c r="I109" s="52"/>
      <c r="J109" s="53"/>
      <c r="K109" s="53"/>
      <c r="L109" s="54"/>
      <c r="M109" s="32"/>
      <c r="N109" s="32"/>
      <c r="O109" s="32"/>
      <c r="P109" s="32"/>
      <c r="Q109" s="32"/>
      <c r="R109" s="32"/>
      <c r="S109" s="32"/>
      <c r="T109" s="48"/>
      <c r="U109" s="48"/>
      <c r="V109" s="48"/>
      <c r="W109" s="48"/>
      <c r="X109" s="48"/>
      <c r="Y109" s="48"/>
      <c r="Z109" s="48"/>
      <c r="AA109" s="48"/>
      <c r="AB109" s="48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</row>
    <row r="110" spans="2:54">
      <c r="B110" s="1243" t="s">
        <v>560</v>
      </c>
      <c r="C110" s="1244"/>
      <c r="D110" s="1244"/>
      <c r="E110" s="1244"/>
      <c r="F110" s="1244"/>
      <c r="G110" s="1245"/>
      <c r="H110" s="420">
        <f>H109-469.843</f>
        <v>445.738</v>
      </c>
      <c r="I110" s="52"/>
      <c r="J110" s="53"/>
      <c r="K110" s="53"/>
      <c r="L110" s="54"/>
      <c r="M110" s="32"/>
      <c r="N110" s="32"/>
      <c r="O110" s="32"/>
      <c r="P110" s="32"/>
      <c r="Q110" s="32"/>
      <c r="R110" s="32"/>
      <c r="S110" s="48"/>
      <c r="T110" s="48"/>
      <c r="U110" s="48"/>
      <c r="V110" s="48"/>
      <c r="W110" s="48"/>
      <c r="X110" s="48"/>
      <c r="Y110" s="48"/>
      <c r="Z110" s="48"/>
      <c r="AA110" s="48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2:54">
      <c r="B111" s="32"/>
      <c r="C111" s="32"/>
      <c r="D111" s="32"/>
      <c r="E111" s="32"/>
      <c r="F111" s="32"/>
      <c r="G111" s="32"/>
      <c r="H111" s="32"/>
      <c r="I111" s="57"/>
      <c r="J111" s="52"/>
      <c r="K111" s="52"/>
      <c r="L111" s="55"/>
      <c r="M111" s="32"/>
      <c r="N111" s="32"/>
      <c r="O111" s="52"/>
      <c r="P111" s="32"/>
      <c r="Q111" s="32"/>
      <c r="R111" s="32"/>
      <c r="S111" s="32"/>
      <c r="T111" s="48"/>
      <c r="U111" s="48"/>
      <c r="V111" s="48"/>
      <c r="W111" s="48"/>
      <c r="X111" s="48"/>
      <c r="Y111" s="48"/>
      <c r="Z111" s="48"/>
      <c r="AA111" s="48"/>
      <c r="AB111" s="48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</row>
    <row r="112" spans="2:54">
      <c r="B112" s="40" t="s">
        <v>561</v>
      </c>
      <c r="C112" s="40"/>
      <c r="D112" s="32"/>
      <c r="E112" s="32"/>
      <c r="F112" s="32"/>
      <c r="G112" s="32"/>
      <c r="H112" s="32"/>
      <c r="I112" s="32"/>
      <c r="J112" s="52"/>
      <c r="K112" s="52"/>
      <c r="L112" s="55"/>
      <c r="M112" s="32"/>
      <c r="N112" s="32"/>
      <c r="O112" s="52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BB112" s="32"/>
    </row>
    <row r="113" spans="2:56">
      <c r="B113" s="422">
        <v>1</v>
      </c>
      <c r="C113" s="1249" t="s">
        <v>2052</v>
      </c>
      <c r="D113" s="1249"/>
      <c r="E113" s="1249"/>
      <c r="F113" s="1249"/>
      <c r="G113" s="1249"/>
      <c r="H113" s="1249"/>
      <c r="I113" s="1249"/>
      <c r="J113" s="1249"/>
      <c r="K113" s="1249"/>
      <c r="L113" s="55"/>
      <c r="M113" s="55"/>
      <c r="N113" s="32"/>
      <c r="O113" s="52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</row>
    <row r="115" spans="2:56">
      <c r="B115" s="28" t="s">
        <v>126</v>
      </c>
      <c r="C115" s="28"/>
      <c r="D115" s="29"/>
      <c r="E115" s="30" t="s">
        <v>511</v>
      </c>
      <c r="F115" s="31" t="s">
        <v>1751</v>
      </c>
      <c r="G115" s="32"/>
      <c r="H115" s="33"/>
      <c r="I115" s="34"/>
      <c r="J115" s="35" t="s">
        <v>513</v>
      </c>
      <c r="K115" s="36" t="s">
        <v>511</v>
      </c>
      <c r="L115" s="37">
        <v>45116.024305555555</v>
      </c>
      <c r="M115" s="32"/>
      <c r="N115" s="32"/>
      <c r="O115" s="36"/>
      <c r="P115" s="33"/>
      <c r="Q115" s="48"/>
      <c r="R115" s="49"/>
      <c r="S115" s="38"/>
      <c r="T115" s="32"/>
      <c r="U115" s="32"/>
      <c r="V115" s="32"/>
      <c r="W115" s="32"/>
      <c r="X115" s="32"/>
      <c r="Y115" s="32"/>
      <c r="Z115" s="32"/>
      <c r="AA115" s="32"/>
      <c r="AB115" s="48"/>
      <c r="AC115" s="48"/>
      <c r="AD115" s="48"/>
      <c r="AE115" s="48"/>
      <c r="AF115" s="48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</row>
    <row r="116" spans="2:56">
      <c r="B116" s="35" t="s">
        <v>514</v>
      </c>
      <c r="C116" s="35"/>
      <c r="D116" s="32"/>
      <c r="E116" s="36" t="s">
        <v>511</v>
      </c>
      <c r="F116" s="37" t="s">
        <v>2053</v>
      </c>
      <c r="G116" s="32"/>
      <c r="H116" s="33"/>
      <c r="I116" s="34"/>
      <c r="J116" s="35" t="s">
        <v>516</v>
      </c>
      <c r="K116" s="36" t="s">
        <v>511</v>
      </c>
      <c r="L116" s="37">
        <v>45117.51666666667</v>
      </c>
      <c r="M116" s="32"/>
      <c r="N116" s="32"/>
      <c r="O116" s="36"/>
      <c r="P116" s="33"/>
      <c r="Q116" s="48"/>
      <c r="R116" s="49"/>
      <c r="S116" s="38"/>
      <c r="T116" s="32"/>
      <c r="U116" s="32"/>
      <c r="V116" s="32"/>
      <c r="W116" s="32"/>
      <c r="X116" s="32"/>
      <c r="Y116" s="32"/>
      <c r="Z116" s="32"/>
      <c r="AA116" s="32"/>
      <c r="AB116" s="48"/>
      <c r="AC116" s="48"/>
      <c r="AD116" s="48"/>
      <c r="AE116" s="48"/>
      <c r="AF116" s="48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</row>
    <row r="117" spans="2:56">
      <c r="B117" s="35" t="s">
        <v>517</v>
      </c>
      <c r="C117" s="35"/>
      <c r="D117" s="32"/>
      <c r="E117" s="36" t="s">
        <v>511</v>
      </c>
      <c r="F117" s="37">
        <v>45115.041666666664</v>
      </c>
      <c r="G117" s="32"/>
      <c r="H117" s="33"/>
      <c r="I117" s="34"/>
      <c r="J117" s="35" t="s">
        <v>518</v>
      </c>
      <c r="K117" s="36" t="s">
        <v>511</v>
      </c>
      <c r="L117" s="50">
        <v>82500</v>
      </c>
      <c r="M117" s="40" t="s">
        <v>519</v>
      </c>
      <c r="N117" s="40"/>
      <c r="O117" s="36"/>
      <c r="P117" s="33"/>
      <c r="Q117" s="48"/>
      <c r="R117" s="49"/>
      <c r="S117" s="38"/>
      <c r="T117" s="32"/>
      <c r="U117" s="32"/>
      <c r="V117" s="32"/>
      <c r="W117" s="32"/>
      <c r="X117" s="32"/>
      <c r="Y117" s="32"/>
      <c r="Z117" s="32"/>
      <c r="AA117" s="32"/>
      <c r="AB117" s="48"/>
      <c r="AC117" s="48"/>
      <c r="AD117" s="48"/>
      <c r="AE117" s="48"/>
      <c r="AF117" s="48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</row>
    <row r="118" spans="2:56">
      <c r="B118" s="35" t="s">
        <v>520</v>
      </c>
      <c r="C118" s="35"/>
      <c r="D118" s="32"/>
      <c r="E118" s="36" t="s">
        <v>511</v>
      </c>
      <c r="F118" s="37" t="s">
        <v>20</v>
      </c>
      <c r="G118" s="32"/>
      <c r="H118" s="33"/>
      <c r="I118" s="34"/>
      <c r="J118" s="35" t="s">
        <v>521</v>
      </c>
      <c r="K118" s="36" t="s">
        <v>511</v>
      </c>
      <c r="L118" s="41" t="s">
        <v>2054</v>
      </c>
      <c r="M118" s="32"/>
      <c r="N118" s="32"/>
      <c r="O118" s="36"/>
      <c r="P118" s="48"/>
      <c r="Q118" s="48"/>
      <c r="R118" s="49"/>
      <c r="S118" s="38"/>
      <c r="T118" s="32"/>
      <c r="U118" s="32"/>
      <c r="V118" s="32"/>
      <c r="W118" s="32"/>
      <c r="X118" s="32"/>
      <c r="Y118" s="32"/>
      <c r="Z118" s="32"/>
      <c r="AA118" s="32"/>
      <c r="AB118" s="48"/>
      <c r="AC118" s="48"/>
      <c r="AD118" s="48"/>
      <c r="AE118" s="48"/>
      <c r="AF118" s="48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</row>
    <row r="119" spans="2:56">
      <c r="B119" s="35" t="s">
        <v>523</v>
      </c>
      <c r="C119" s="35"/>
      <c r="D119" s="32"/>
      <c r="E119" s="36" t="s">
        <v>511</v>
      </c>
      <c r="F119" s="37" t="s">
        <v>47</v>
      </c>
      <c r="G119" s="32"/>
      <c r="H119" s="33"/>
      <c r="I119" s="34"/>
      <c r="J119" s="42" t="s">
        <v>524</v>
      </c>
      <c r="K119" s="36" t="s">
        <v>511</v>
      </c>
      <c r="L119" s="43" t="s">
        <v>15</v>
      </c>
      <c r="M119" s="44"/>
      <c r="N119" s="44"/>
      <c r="O119" s="36"/>
      <c r="P119" s="33"/>
      <c r="Q119" s="48"/>
      <c r="R119" s="49"/>
      <c r="S119" s="38"/>
      <c r="T119" s="32"/>
      <c r="U119" s="32"/>
      <c r="V119" s="32"/>
      <c r="W119" s="32"/>
      <c r="X119" s="32"/>
      <c r="Y119" s="32"/>
      <c r="Z119" s="32"/>
      <c r="AA119" s="32"/>
      <c r="AB119" s="48"/>
      <c r="AC119" s="48"/>
      <c r="AD119" s="48"/>
      <c r="AE119" s="48"/>
      <c r="AF119" s="48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</row>
    <row r="120" spans="2:56">
      <c r="B120" s="35" t="s">
        <v>2</v>
      </c>
      <c r="C120" s="35"/>
      <c r="D120" s="32"/>
      <c r="E120" s="36" t="s">
        <v>511</v>
      </c>
      <c r="F120" s="37" t="s">
        <v>14</v>
      </c>
      <c r="G120" s="32"/>
      <c r="H120" s="33"/>
      <c r="I120" s="45"/>
      <c r="J120" s="42"/>
      <c r="K120" s="36"/>
      <c r="L120" s="37"/>
      <c r="M120" s="32"/>
      <c r="N120" s="32"/>
      <c r="O120" s="42"/>
      <c r="P120" s="44"/>
      <c r="Q120" s="44"/>
      <c r="R120" s="44"/>
      <c r="S120" s="34"/>
      <c r="T120" s="32"/>
      <c r="U120" s="32"/>
      <c r="V120" s="32"/>
      <c r="W120" s="32"/>
      <c r="X120" s="32"/>
      <c r="Y120" s="32"/>
      <c r="Z120" s="32"/>
      <c r="AA120" s="32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</row>
    <row r="121" spans="2:56">
      <c r="B121" s="32"/>
      <c r="C121" s="32"/>
      <c r="D121" s="32"/>
      <c r="E121" s="32"/>
      <c r="F121" s="32"/>
      <c r="G121" s="32"/>
      <c r="H121" s="32"/>
      <c r="I121" s="45"/>
      <c r="J121" s="42"/>
      <c r="K121" s="42"/>
      <c r="L121" s="43"/>
      <c r="M121" s="44"/>
      <c r="N121" s="44"/>
      <c r="O121" s="42"/>
      <c r="P121" s="44"/>
      <c r="Q121" s="44"/>
      <c r="R121" s="44"/>
      <c r="S121" s="34"/>
      <c r="T121" s="1270" t="s">
        <v>87</v>
      </c>
      <c r="U121" s="1270"/>
      <c r="V121" s="1270"/>
      <c r="W121" s="1270"/>
      <c r="X121" s="1270"/>
      <c r="Y121" s="1270" t="s">
        <v>73</v>
      </c>
      <c r="Z121" s="1270"/>
      <c r="AA121" s="1270"/>
      <c r="AB121" s="1270" t="s">
        <v>74</v>
      </c>
      <c r="AC121" s="1270"/>
      <c r="AD121" s="407" t="s">
        <v>85</v>
      </c>
      <c r="AE121" s="407" t="s">
        <v>77</v>
      </c>
      <c r="AF121" s="1270" t="s">
        <v>525</v>
      </c>
      <c r="AG121" s="1270"/>
      <c r="AH121" s="1270"/>
      <c r="AI121" s="1270"/>
      <c r="AJ121" s="1270"/>
      <c r="AK121" s="1270"/>
      <c r="AL121" s="1270"/>
      <c r="AM121" s="1270"/>
      <c r="AN121" s="1270"/>
      <c r="AO121" s="1270"/>
      <c r="AP121" s="1270"/>
      <c r="AQ121" s="1270"/>
      <c r="AR121" s="1270"/>
      <c r="AS121" s="1270"/>
      <c r="AT121" s="1270"/>
      <c r="AU121" s="1270"/>
      <c r="AV121" s="1270"/>
      <c r="AW121" s="1270"/>
      <c r="AX121" s="1270"/>
      <c r="AY121" s="1270"/>
      <c r="AZ121" s="1270"/>
      <c r="BA121" s="1270"/>
      <c r="BB121" s="1270"/>
      <c r="BC121" s="1270"/>
      <c r="BD121" s="32"/>
    </row>
    <row r="122" spans="2:56">
      <c r="B122" s="1266" t="s">
        <v>526</v>
      </c>
      <c r="C122" s="1267"/>
      <c r="D122" s="570" t="s">
        <v>527</v>
      </c>
      <c r="E122" s="570"/>
      <c r="F122" s="570" t="s">
        <v>528</v>
      </c>
      <c r="G122" s="570" t="s">
        <v>529</v>
      </c>
      <c r="H122" s="570" t="s">
        <v>530</v>
      </c>
      <c r="I122" s="570" t="s">
        <v>531</v>
      </c>
      <c r="J122" s="570" t="s">
        <v>532</v>
      </c>
      <c r="K122" s="570"/>
      <c r="L122" s="570" t="s">
        <v>130</v>
      </c>
      <c r="M122" s="570" t="s">
        <v>533</v>
      </c>
      <c r="N122" s="408" t="str">
        <f>"On time - "&amp;COUNTIF(N123:N132,"On time")&amp;" from "&amp;ROWS(N123:N132)-COUNTIF(N123:N132," ")</f>
        <v>On time - 10 from 10</v>
      </c>
      <c r="O122" s="46"/>
      <c r="P122" s="409" t="s">
        <v>534</v>
      </c>
      <c r="Q122" s="409" t="s">
        <v>535</v>
      </c>
      <c r="R122" s="409" t="s">
        <v>536</v>
      </c>
      <c r="S122" s="32"/>
      <c r="T122" s="410" t="s">
        <v>537</v>
      </c>
      <c r="U122" s="410" t="s">
        <v>538</v>
      </c>
      <c r="V122" s="410" t="s">
        <v>539</v>
      </c>
      <c r="W122" s="410" t="s">
        <v>540</v>
      </c>
      <c r="X122" s="410" t="s">
        <v>541</v>
      </c>
      <c r="Y122" s="410" t="s">
        <v>167</v>
      </c>
      <c r="Z122" s="410" t="s">
        <v>168</v>
      </c>
      <c r="AA122" s="410" t="s">
        <v>169</v>
      </c>
      <c r="AB122" s="410" t="s">
        <v>235</v>
      </c>
      <c r="AC122" s="410" t="s">
        <v>240</v>
      </c>
      <c r="AD122" s="407" t="s">
        <v>85</v>
      </c>
      <c r="AE122" s="410" t="s">
        <v>139</v>
      </c>
      <c r="AF122" s="410" t="s">
        <v>72</v>
      </c>
      <c r="AG122" s="410" t="s">
        <v>88</v>
      </c>
      <c r="AH122" s="410" t="s">
        <v>75</v>
      </c>
      <c r="AI122" s="410" t="s">
        <v>543</v>
      </c>
      <c r="AJ122" s="410" t="s">
        <v>78</v>
      </c>
      <c r="AK122" s="410" t="s">
        <v>76</v>
      </c>
      <c r="AL122" s="410" t="s">
        <v>544</v>
      </c>
      <c r="AM122" s="410" t="s">
        <v>545</v>
      </c>
      <c r="AN122" s="410" t="s">
        <v>86</v>
      </c>
      <c r="AO122" s="410" t="s">
        <v>83</v>
      </c>
      <c r="AP122" s="410" t="s">
        <v>84</v>
      </c>
      <c r="AQ122" s="410" t="s">
        <v>546</v>
      </c>
      <c r="AR122" s="410" t="s">
        <v>81</v>
      </c>
      <c r="AS122" s="410" t="s">
        <v>80</v>
      </c>
      <c r="AT122" s="410" t="s">
        <v>82</v>
      </c>
      <c r="AU122" s="410" t="s">
        <v>181</v>
      </c>
      <c r="AV122" s="410" t="s">
        <v>183</v>
      </c>
      <c r="AW122" s="410" t="s">
        <v>547</v>
      </c>
      <c r="AX122" s="410" t="s">
        <v>182</v>
      </c>
      <c r="AY122" s="410" t="s">
        <v>172</v>
      </c>
      <c r="AZ122" s="410" t="s">
        <v>173</v>
      </c>
      <c r="BA122" s="410" t="s">
        <v>184</v>
      </c>
      <c r="BB122" s="410" t="s">
        <v>100</v>
      </c>
      <c r="BC122" s="410" t="s">
        <v>913</v>
      </c>
      <c r="BD122" s="32"/>
    </row>
    <row r="123" spans="2:56">
      <c r="B123" s="1256">
        <v>1</v>
      </c>
      <c r="C123" s="1257"/>
      <c r="D123" s="411" t="s">
        <v>1870</v>
      </c>
      <c r="E123" s="411"/>
      <c r="F123" s="411" t="s">
        <v>304</v>
      </c>
      <c r="G123" s="411" t="s">
        <v>305</v>
      </c>
      <c r="H123" s="412">
        <v>7694.7070000000003</v>
      </c>
      <c r="I123" s="413" t="s">
        <v>173</v>
      </c>
      <c r="J123" s="414">
        <v>45105.229166666664</v>
      </c>
      <c r="K123" s="414"/>
      <c r="L123" s="414" t="s">
        <v>2055</v>
      </c>
      <c r="M123" s="414" t="s">
        <v>2055</v>
      </c>
      <c r="N123" s="413" t="str">
        <f>IF(ISBLANK(J123)," ",IF(J123&lt;$F$117,"On time",(IF(DAY(J123-$F$117)&lt;1,"On time",(IF(J123&gt;$F$117,"DELAY ( "&amp;DAY(J123-$F$117)&amp;" day "&amp;HOUR(J123-$F$117)&amp;" hour "&amp;MINUTE(J123-$F$117)&amp;" minute )","xxx"))))))</f>
        <v>On time</v>
      </c>
      <c r="O123" s="51"/>
      <c r="P123" s="415" t="s">
        <v>551</v>
      </c>
      <c r="Q123" s="415" t="s">
        <v>551</v>
      </c>
      <c r="R123" s="415" t="s">
        <v>551</v>
      </c>
      <c r="S123" s="32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/>
      <c r="AD123" s="416"/>
      <c r="AE123" s="416"/>
      <c r="AF123" s="416"/>
      <c r="AG123" s="416"/>
      <c r="AH123" s="416"/>
      <c r="AI123" s="416"/>
      <c r="AJ123" s="416"/>
      <c r="AK123" s="416"/>
      <c r="AL123" s="416"/>
      <c r="AM123" s="416"/>
      <c r="AN123" s="416"/>
      <c r="AO123" s="416"/>
      <c r="AP123" s="416"/>
      <c r="AQ123" s="416"/>
      <c r="AR123" s="416"/>
      <c r="AS123" s="416"/>
      <c r="AT123" s="416"/>
      <c r="AU123" s="416"/>
      <c r="AV123" s="416"/>
      <c r="AW123" s="416"/>
      <c r="AX123" s="416"/>
      <c r="AY123" s="416"/>
      <c r="AZ123" s="416">
        <f>H123</f>
        <v>7694.7070000000003</v>
      </c>
      <c r="BA123" s="416"/>
      <c r="BB123" s="416"/>
      <c r="BC123" s="416"/>
      <c r="BD123" s="32"/>
    </row>
    <row r="124" spans="2:56">
      <c r="B124" s="1256">
        <v>2</v>
      </c>
      <c r="C124" s="1257"/>
      <c r="D124" s="411" t="s">
        <v>1752</v>
      </c>
      <c r="E124" s="411"/>
      <c r="F124" s="411" t="s">
        <v>1753</v>
      </c>
      <c r="G124" s="411" t="s">
        <v>1754</v>
      </c>
      <c r="H124" s="412">
        <v>5009.8490000000002</v>
      </c>
      <c r="I124" s="413" t="s">
        <v>88</v>
      </c>
      <c r="J124" s="414">
        <v>45111.423611111109</v>
      </c>
      <c r="K124" s="414"/>
      <c r="L124" s="414" t="s">
        <v>2055</v>
      </c>
      <c r="M124" s="414" t="s">
        <v>2055</v>
      </c>
      <c r="N124" s="413" t="str">
        <f t="shared" ref="N124:N135" si="10">IF(ISBLANK(J124)," ",IF(J124&lt;$F$117,"On time",(IF(DAY(J124-$F$117)&lt;1,"On time",(IF(J124&gt;$F$117,"DELAY ( "&amp;DAY(J124-$F$117)&amp;" day "&amp;HOUR(J124-$F$117)&amp;" hour "&amp;MINUTE(J124-$F$117)&amp;" minute )","xxx"))))))</f>
        <v>On time</v>
      </c>
      <c r="O124" s="51"/>
      <c r="P124" s="415" t="s">
        <v>551</v>
      </c>
      <c r="Q124" s="415" t="s">
        <v>551</v>
      </c>
      <c r="R124" s="415" t="s">
        <v>551</v>
      </c>
      <c r="S124" s="32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  <c r="AE124" s="416"/>
      <c r="AF124" s="416"/>
      <c r="AG124" s="416">
        <f>H124</f>
        <v>5009.8490000000002</v>
      </c>
      <c r="AH124" s="416"/>
      <c r="AI124" s="416"/>
      <c r="AJ124" s="416"/>
      <c r="AK124" s="416"/>
      <c r="AL124" s="416"/>
      <c r="AM124" s="416"/>
      <c r="AN124" s="416"/>
      <c r="AO124" s="416"/>
      <c r="AP124" s="416"/>
      <c r="AQ124" s="416"/>
      <c r="AR124" s="416"/>
      <c r="AS124" s="416"/>
      <c r="AT124" s="416"/>
      <c r="AU124" s="416"/>
      <c r="AV124" s="416"/>
      <c r="AW124" s="416"/>
      <c r="AX124" s="416"/>
      <c r="AY124" s="286"/>
      <c r="AZ124" s="416"/>
      <c r="BA124" s="416"/>
      <c r="BB124" s="416"/>
      <c r="BC124" s="416"/>
      <c r="BD124" s="32"/>
    </row>
    <row r="125" spans="2:56">
      <c r="B125" s="1256">
        <v>3</v>
      </c>
      <c r="C125" s="1257"/>
      <c r="D125" s="411" t="s">
        <v>1868</v>
      </c>
      <c r="E125" s="411"/>
      <c r="F125" s="411" t="s">
        <v>774</v>
      </c>
      <c r="G125" s="411" t="s">
        <v>423</v>
      </c>
      <c r="H125" s="412">
        <v>7696.7380000000003</v>
      </c>
      <c r="I125" s="413" t="s">
        <v>235</v>
      </c>
      <c r="J125" s="414">
        <v>45111.8125</v>
      </c>
      <c r="K125" s="414"/>
      <c r="L125" s="414" t="s">
        <v>2055</v>
      </c>
      <c r="M125" s="414" t="s">
        <v>2055</v>
      </c>
      <c r="N125" s="413" t="str">
        <f t="shared" si="10"/>
        <v>On time</v>
      </c>
      <c r="O125" s="51"/>
      <c r="P125" s="415" t="s">
        <v>551</v>
      </c>
      <c r="Q125" s="415" t="s">
        <v>551</v>
      </c>
      <c r="R125" s="415" t="s">
        <v>551</v>
      </c>
      <c r="S125" s="32"/>
      <c r="T125" s="416"/>
      <c r="U125" s="416"/>
      <c r="V125" s="416"/>
      <c r="W125" s="416"/>
      <c r="X125" s="416"/>
      <c r="Y125" s="416"/>
      <c r="Z125" s="416"/>
      <c r="AA125" s="416"/>
      <c r="AB125" s="416">
        <f>H125</f>
        <v>7696.7380000000003</v>
      </c>
      <c r="AC125" s="416"/>
      <c r="AD125" s="416"/>
      <c r="AE125" s="416"/>
      <c r="AF125" s="416"/>
      <c r="AG125" s="416"/>
      <c r="AH125" s="416"/>
      <c r="AI125" s="416"/>
      <c r="AJ125" s="416"/>
      <c r="AK125" s="416"/>
      <c r="AL125" s="416"/>
      <c r="AM125" s="416"/>
      <c r="AN125" s="416"/>
      <c r="AO125" s="416"/>
      <c r="AP125" s="416"/>
      <c r="AQ125" s="416"/>
      <c r="AR125" s="416"/>
      <c r="AS125" s="416"/>
      <c r="AT125" s="416"/>
      <c r="AU125" s="416"/>
      <c r="AV125" s="416"/>
      <c r="AW125" s="416"/>
      <c r="AX125" s="416"/>
      <c r="AY125" s="416"/>
      <c r="AZ125" s="416"/>
      <c r="BA125" s="416"/>
      <c r="BB125" s="416"/>
      <c r="BC125" s="416"/>
      <c r="BD125" s="32"/>
    </row>
    <row r="126" spans="2:56">
      <c r="B126" s="1256">
        <v>4</v>
      </c>
      <c r="C126" s="1257"/>
      <c r="D126" s="411" t="s">
        <v>1865</v>
      </c>
      <c r="E126" s="411"/>
      <c r="F126" s="411" t="s">
        <v>361</v>
      </c>
      <c r="G126" s="411" t="s">
        <v>362</v>
      </c>
      <c r="H126" s="412">
        <v>7522.1080000000002</v>
      </c>
      <c r="I126" s="413" t="s">
        <v>235</v>
      </c>
      <c r="J126" s="414">
        <v>45112.052083333336</v>
      </c>
      <c r="K126" s="414"/>
      <c r="L126" s="414" t="s">
        <v>2055</v>
      </c>
      <c r="M126" s="414" t="s">
        <v>2055</v>
      </c>
      <c r="N126" s="413" t="str">
        <f t="shared" si="10"/>
        <v>On time</v>
      </c>
      <c r="O126" s="51"/>
      <c r="P126" s="415" t="s">
        <v>551</v>
      </c>
      <c r="Q126" s="415" t="s">
        <v>551</v>
      </c>
      <c r="R126" s="415" t="s">
        <v>551</v>
      </c>
      <c r="S126" s="32"/>
      <c r="T126" s="416"/>
      <c r="U126" s="416"/>
      <c r="V126" s="416"/>
      <c r="W126" s="416"/>
      <c r="X126" s="416"/>
      <c r="Y126" s="416"/>
      <c r="Z126" s="416"/>
      <c r="AA126" s="416"/>
      <c r="AB126" s="416">
        <f>H126</f>
        <v>7522.1080000000002</v>
      </c>
      <c r="AC126" s="32"/>
      <c r="AD126" s="416"/>
      <c r="AE126" s="416"/>
      <c r="AF126" s="416"/>
      <c r="AG126" s="416"/>
      <c r="AH126" s="416"/>
      <c r="AI126" s="416"/>
      <c r="AJ126" s="416"/>
      <c r="AK126" s="416"/>
      <c r="AL126" s="416"/>
      <c r="AM126" s="416"/>
      <c r="AN126" s="416"/>
      <c r="AO126" s="416"/>
      <c r="AP126" s="416"/>
      <c r="AQ126" s="416"/>
      <c r="AR126" s="416"/>
      <c r="AS126" s="416"/>
      <c r="AT126" s="416"/>
      <c r="AU126" s="416"/>
      <c r="AV126" s="416"/>
      <c r="AW126" s="416"/>
      <c r="AX126" s="416"/>
      <c r="AY126" s="416"/>
      <c r="AZ126" s="416"/>
      <c r="BA126" s="416"/>
      <c r="BB126" s="416"/>
      <c r="BC126" s="416"/>
      <c r="BD126" s="32"/>
    </row>
    <row r="127" spans="2:56">
      <c r="B127" s="1256">
        <v>5</v>
      </c>
      <c r="C127" s="1257"/>
      <c r="D127" s="411" t="s">
        <v>2056</v>
      </c>
      <c r="E127" s="411"/>
      <c r="F127" s="411" t="s">
        <v>492</v>
      </c>
      <c r="G127" s="411" t="s">
        <v>493</v>
      </c>
      <c r="H127" s="412">
        <v>7467.45</v>
      </c>
      <c r="I127" s="413" t="s">
        <v>240</v>
      </c>
      <c r="J127" s="414">
        <v>45112.302083333336</v>
      </c>
      <c r="K127" s="414"/>
      <c r="L127" s="414" t="s">
        <v>2055</v>
      </c>
      <c r="M127" s="414" t="s">
        <v>2055</v>
      </c>
      <c r="N127" s="413" t="str">
        <f t="shared" si="10"/>
        <v>On time</v>
      </c>
      <c r="O127" s="51"/>
      <c r="P127" s="415" t="s">
        <v>551</v>
      </c>
      <c r="Q127" s="415" t="s">
        <v>551</v>
      </c>
      <c r="R127" s="415" t="s">
        <v>551</v>
      </c>
      <c r="S127" s="32"/>
      <c r="T127" s="416"/>
      <c r="U127" s="416"/>
      <c r="V127" s="416"/>
      <c r="W127" s="416"/>
      <c r="X127" s="416"/>
      <c r="Y127" s="416"/>
      <c r="Z127" s="416"/>
      <c r="AA127" s="416"/>
      <c r="AB127" s="416"/>
      <c r="AC127" s="416">
        <f>H127</f>
        <v>7467.45</v>
      </c>
      <c r="AD127" s="416"/>
      <c r="AE127" s="416"/>
      <c r="AF127" s="416"/>
      <c r="AG127" s="416"/>
      <c r="AH127" s="416"/>
      <c r="AI127" s="416"/>
      <c r="AJ127" s="416"/>
      <c r="AK127" s="416"/>
      <c r="AL127" s="416"/>
      <c r="AM127" s="416"/>
      <c r="AN127" s="416"/>
      <c r="AO127" s="416"/>
      <c r="AP127" s="416"/>
      <c r="AQ127" s="416"/>
      <c r="AR127" s="416"/>
      <c r="AS127" s="416"/>
      <c r="AT127" s="416"/>
      <c r="AU127" s="416"/>
      <c r="AV127" s="416"/>
      <c r="AW127" s="416"/>
      <c r="AX127" s="416"/>
      <c r="AY127" s="416"/>
      <c r="AZ127" s="416"/>
      <c r="BA127" s="416"/>
      <c r="BB127" s="416"/>
      <c r="BC127" s="416"/>
      <c r="BD127" s="32"/>
    </row>
    <row r="128" spans="2:56">
      <c r="B128" s="1256">
        <v>6</v>
      </c>
      <c r="C128" s="1257"/>
      <c r="D128" s="411" t="s">
        <v>1867</v>
      </c>
      <c r="E128" s="411"/>
      <c r="F128" s="411" t="s">
        <v>288</v>
      </c>
      <c r="G128" s="411" t="s">
        <v>289</v>
      </c>
      <c r="H128" s="412">
        <v>7513.3010000000004</v>
      </c>
      <c r="I128" s="413" t="s">
        <v>235</v>
      </c>
      <c r="J128" s="414">
        <v>45112.097222222219</v>
      </c>
      <c r="K128" s="414"/>
      <c r="L128" s="414" t="s">
        <v>2055</v>
      </c>
      <c r="M128" s="414" t="s">
        <v>2055</v>
      </c>
      <c r="N128" s="413" t="str">
        <f t="shared" si="10"/>
        <v>On time</v>
      </c>
      <c r="O128" s="51"/>
      <c r="P128" s="415" t="s">
        <v>551</v>
      </c>
      <c r="Q128" s="415" t="s">
        <v>551</v>
      </c>
      <c r="R128" s="415" t="s">
        <v>551</v>
      </c>
      <c r="S128" s="32"/>
      <c r="T128" s="416"/>
      <c r="U128" s="416"/>
      <c r="V128" s="416"/>
      <c r="W128" s="416"/>
      <c r="X128" s="416"/>
      <c r="Y128" s="416"/>
      <c r="Z128" s="416"/>
      <c r="AA128" s="416"/>
      <c r="AB128" s="416">
        <f>H128</f>
        <v>7513.3010000000004</v>
      </c>
      <c r="AC128" s="416"/>
      <c r="AD128" s="416"/>
      <c r="AE128" s="416"/>
      <c r="AF128" s="416"/>
      <c r="AG128" s="416"/>
      <c r="AH128" s="416"/>
      <c r="AI128" s="416"/>
      <c r="AJ128" s="416"/>
      <c r="AK128" s="416"/>
      <c r="AL128" s="416"/>
      <c r="AM128" s="416"/>
      <c r="AN128" s="416"/>
      <c r="AO128" s="416"/>
      <c r="AP128" s="416"/>
      <c r="AQ128" s="416"/>
      <c r="AR128" s="416"/>
      <c r="AS128" s="416"/>
      <c r="AT128" s="416"/>
      <c r="AU128" s="416"/>
      <c r="AV128" s="416"/>
      <c r="AW128" s="416"/>
      <c r="AX128" s="416"/>
      <c r="AY128" s="416"/>
      <c r="AZ128" s="416"/>
      <c r="BA128" s="416"/>
      <c r="BB128" s="416"/>
      <c r="BC128" s="416"/>
      <c r="BD128" s="32"/>
    </row>
    <row r="129" spans="2:56">
      <c r="B129" s="1256">
        <v>7</v>
      </c>
      <c r="C129" s="1257"/>
      <c r="D129" s="411" t="s">
        <v>1866</v>
      </c>
      <c r="E129" s="411"/>
      <c r="F129" s="411" t="s">
        <v>1230</v>
      </c>
      <c r="G129" s="411" t="s">
        <v>1231</v>
      </c>
      <c r="H129" s="412">
        <v>7520.4319999999998</v>
      </c>
      <c r="I129" s="413" t="s">
        <v>240</v>
      </c>
      <c r="J129" s="414">
        <v>45112.368055555555</v>
      </c>
      <c r="K129" s="414"/>
      <c r="L129" s="414" t="s">
        <v>2055</v>
      </c>
      <c r="M129" s="414" t="s">
        <v>2055</v>
      </c>
      <c r="N129" s="413" t="str">
        <f t="shared" si="10"/>
        <v>On time</v>
      </c>
      <c r="O129" s="51"/>
      <c r="P129" s="415" t="s">
        <v>551</v>
      </c>
      <c r="Q129" s="415" t="s">
        <v>551</v>
      </c>
      <c r="R129" s="415" t="s">
        <v>551</v>
      </c>
      <c r="S129" s="32"/>
      <c r="T129" s="416"/>
      <c r="U129" s="416"/>
      <c r="V129" s="416"/>
      <c r="W129" s="416"/>
      <c r="X129" s="416"/>
      <c r="Y129" s="416"/>
      <c r="Z129" s="416"/>
      <c r="AA129" s="416"/>
      <c r="AB129" s="32"/>
      <c r="AC129" s="416">
        <f>H129</f>
        <v>7520.4319999999998</v>
      </c>
      <c r="AD129" s="416"/>
      <c r="AE129" s="416"/>
      <c r="AF129" s="416"/>
      <c r="AG129" s="416"/>
      <c r="AH129" s="416"/>
      <c r="AI129" s="416"/>
      <c r="AJ129" s="416"/>
      <c r="AK129" s="416"/>
      <c r="AL129" s="416"/>
      <c r="AM129" s="416"/>
      <c r="AN129" s="416"/>
      <c r="AO129" s="416"/>
      <c r="AP129" s="416"/>
      <c r="AQ129" s="416"/>
      <c r="AR129" s="416"/>
      <c r="AS129" s="416"/>
      <c r="AT129" s="416"/>
      <c r="AU129" s="416"/>
      <c r="AV129" s="416"/>
      <c r="AW129" s="416"/>
      <c r="AX129" s="416"/>
      <c r="AY129" s="416"/>
      <c r="AZ129" s="416"/>
      <c r="BA129" s="416"/>
      <c r="BB129" s="416"/>
      <c r="BC129" s="416"/>
      <c r="BD129" s="32"/>
    </row>
    <row r="130" spans="2:56">
      <c r="B130" s="1256">
        <v>8</v>
      </c>
      <c r="C130" s="1257"/>
      <c r="D130" s="411" t="s">
        <v>2057</v>
      </c>
      <c r="E130" s="411"/>
      <c r="F130" s="411" t="s">
        <v>298</v>
      </c>
      <c r="G130" s="411" t="s">
        <v>299</v>
      </c>
      <c r="H130" s="412">
        <v>10340.727999999999</v>
      </c>
      <c r="I130" s="413" t="s">
        <v>235</v>
      </c>
      <c r="J130" s="414">
        <v>45113.395833333336</v>
      </c>
      <c r="K130" s="414"/>
      <c r="L130" s="414" t="s">
        <v>2055</v>
      </c>
      <c r="M130" s="414" t="s">
        <v>2055</v>
      </c>
      <c r="N130" s="413" t="str">
        <f t="shared" si="10"/>
        <v>On time</v>
      </c>
      <c r="O130" s="51"/>
      <c r="P130" s="415" t="s">
        <v>551</v>
      </c>
      <c r="Q130" s="415" t="s">
        <v>551</v>
      </c>
      <c r="R130" s="415" t="s">
        <v>551</v>
      </c>
      <c r="S130" s="32"/>
      <c r="T130" s="416"/>
      <c r="U130" s="416"/>
      <c r="V130" s="416"/>
      <c r="W130" s="416"/>
      <c r="X130" s="416"/>
      <c r="Y130" s="416"/>
      <c r="Z130" s="416"/>
      <c r="AA130" s="416"/>
      <c r="AB130" s="416">
        <f>H130</f>
        <v>10340.727999999999</v>
      </c>
      <c r="AC130" s="416"/>
      <c r="AD130" s="416"/>
      <c r="AE130" s="416"/>
      <c r="AF130" s="416"/>
      <c r="AG130" s="416"/>
      <c r="AH130" s="416"/>
      <c r="AI130" s="416"/>
      <c r="AJ130" s="416"/>
      <c r="AK130" s="416"/>
      <c r="AL130" s="416"/>
      <c r="AM130" s="416"/>
      <c r="AN130" s="416"/>
      <c r="AO130" s="416"/>
      <c r="AP130" s="416"/>
      <c r="AQ130" s="416"/>
      <c r="AR130" s="416"/>
      <c r="AS130" s="416"/>
      <c r="AT130" s="416"/>
      <c r="AU130" s="416"/>
      <c r="AV130" s="416"/>
      <c r="AW130" s="416"/>
      <c r="AX130" s="416"/>
      <c r="AY130" s="416"/>
      <c r="AZ130" s="416"/>
      <c r="BA130" s="416"/>
      <c r="BB130" s="416"/>
      <c r="BC130" s="416"/>
      <c r="BD130" s="32"/>
    </row>
    <row r="131" spans="2:56">
      <c r="B131" s="1256">
        <v>9</v>
      </c>
      <c r="C131" s="1257"/>
      <c r="D131" s="411" t="s">
        <v>2058</v>
      </c>
      <c r="E131" s="411"/>
      <c r="F131" s="411" t="s">
        <v>271</v>
      </c>
      <c r="G131" s="411" t="s">
        <v>272</v>
      </c>
      <c r="H131" s="412">
        <v>9322.2559999999994</v>
      </c>
      <c r="I131" s="413" t="s">
        <v>235</v>
      </c>
      <c r="J131" s="414">
        <v>45113.809027777781</v>
      </c>
      <c r="K131" s="414"/>
      <c r="L131" s="414" t="s">
        <v>2055</v>
      </c>
      <c r="M131" s="414" t="s">
        <v>2055</v>
      </c>
      <c r="N131" s="413" t="str">
        <f t="shared" si="10"/>
        <v>On time</v>
      </c>
      <c r="O131" s="51"/>
      <c r="P131" s="415" t="s">
        <v>551</v>
      </c>
      <c r="Q131" s="415" t="s">
        <v>551</v>
      </c>
      <c r="R131" s="415" t="s">
        <v>551</v>
      </c>
      <c r="S131" s="32"/>
      <c r="T131" s="416"/>
      <c r="U131" s="416"/>
      <c r="V131" s="416"/>
      <c r="W131" s="416"/>
      <c r="X131" s="416"/>
      <c r="Y131" s="416"/>
      <c r="Z131" s="416"/>
      <c r="AA131" s="416"/>
      <c r="AB131" s="416">
        <f>H131</f>
        <v>9322.2559999999994</v>
      </c>
      <c r="AC131" s="416"/>
      <c r="AD131" s="416"/>
      <c r="AE131" s="416"/>
      <c r="AF131" s="416"/>
      <c r="AG131" s="416"/>
      <c r="AH131" s="416"/>
      <c r="AI131" s="416"/>
      <c r="AJ131" s="416"/>
      <c r="AK131" s="416"/>
      <c r="AL131" s="416"/>
      <c r="AM131" s="416"/>
      <c r="AN131" s="416"/>
      <c r="AO131" s="416"/>
      <c r="AP131" s="416"/>
      <c r="AQ131" s="416"/>
      <c r="AR131" s="32"/>
      <c r="AS131" s="416"/>
      <c r="AT131" s="416"/>
      <c r="AU131" s="416"/>
      <c r="AV131" s="416"/>
      <c r="AW131" s="416"/>
      <c r="AX131" s="416"/>
      <c r="AY131" s="416"/>
      <c r="AZ131" s="416"/>
      <c r="BA131" s="416"/>
      <c r="BB131" s="416"/>
      <c r="BC131" s="416"/>
      <c r="BD131" s="32"/>
    </row>
    <row r="132" spans="2:56">
      <c r="B132" s="1256">
        <v>10</v>
      </c>
      <c r="C132" s="1257"/>
      <c r="D132" s="411" t="s">
        <v>2059</v>
      </c>
      <c r="E132" s="411"/>
      <c r="F132" s="411" t="s">
        <v>352</v>
      </c>
      <c r="G132" s="411" t="s">
        <v>353</v>
      </c>
      <c r="H132" s="412">
        <v>9392.7350000000006</v>
      </c>
      <c r="I132" s="413" t="s">
        <v>240</v>
      </c>
      <c r="J132" s="414">
        <v>45116.003472222219</v>
      </c>
      <c r="K132" s="414"/>
      <c r="L132" s="414" t="s">
        <v>2055</v>
      </c>
      <c r="M132" s="414" t="s">
        <v>2055</v>
      </c>
      <c r="N132" s="413" t="str">
        <f t="shared" si="10"/>
        <v>On time</v>
      </c>
      <c r="O132" s="51"/>
      <c r="P132" s="415" t="s">
        <v>551</v>
      </c>
      <c r="Q132" s="415" t="s">
        <v>551</v>
      </c>
      <c r="R132" s="415" t="s">
        <v>551</v>
      </c>
      <c r="S132" s="32"/>
      <c r="T132" s="416"/>
      <c r="U132" s="416"/>
      <c r="V132" s="416"/>
      <c r="W132" s="416"/>
      <c r="X132" s="416"/>
      <c r="Y132" s="416"/>
      <c r="Z132" s="416"/>
      <c r="AA132" s="416"/>
      <c r="AB132" s="32"/>
      <c r="AC132" s="416">
        <f>H132</f>
        <v>9392.7350000000006</v>
      </c>
      <c r="AD132" s="416"/>
      <c r="AE132" s="416"/>
      <c r="AF132" s="416"/>
      <c r="AG132" s="416"/>
      <c r="AH132" s="416"/>
      <c r="AI132" s="416"/>
      <c r="AJ132" s="416"/>
      <c r="AK132" s="416"/>
      <c r="AL132" s="416"/>
      <c r="AM132" s="416"/>
      <c r="AN132" s="416"/>
      <c r="AO132" s="416"/>
      <c r="AP132" s="416"/>
      <c r="AQ132" s="416"/>
      <c r="AR132" s="416"/>
      <c r="AS132" s="416"/>
      <c r="AT132" s="416"/>
      <c r="AU132" s="416"/>
      <c r="AV132" s="416"/>
      <c r="AW132" s="416"/>
      <c r="AX132" s="416"/>
      <c r="AY132" s="416"/>
      <c r="AZ132" s="416"/>
      <c r="BA132" s="416"/>
      <c r="BB132" s="416"/>
      <c r="BC132" s="416"/>
      <c r="BD132" s="32"/>
    </row>
    <row r="133" spans="2:56">
      <c r="B133" s="1256" t="s">
        <v>610</v>
      </c>
      <c r="C133" s="1276"/>
      <c r="D133" s="1276"/>
      <c r="E133" s="1276"/>
      <c r="F133" s="1276"/>
      <c r="G133" s="1257"/>
      <c r="H133" s="412">
        <f>H135-SUM(H123:H132)</f>
        <v>3019.6960000000108</v>
      </c>
      <c r="I133" s="413" t="s">
        <v>1164</v>
      </c>
      <c r="J133" s="414"/>
      <c r="K133" s="414"/>
      <c r="L133" s="414"/>
      <c r="M133" s="414"/>
      <c r="N133" s="413" t="str">
        <f t="shared" si="10"/>
        <v xml:space="preserve"> </v>
      </c>
      <c r="O133" s="51"/>
      <c r="P133" s="415" t="s">
        <v>551</v>
      </c>
      <c r="Q133" s="415"/>
      <c r="R133" s="415"/>
      <c r="S133" s="32"/>
      <c r="T133" s="416"/>
      <c r="U133" s="416"/>
      <c r="V133" s="416"/>
      <c r="W133" s="416"/>
      <c r="X133" s="416">
        <f>H133</f>
        <v>3019.6960000000108</v>
      </c>
      <c r="Y133" s="416"/>
      <c r="Z133" s="416"/>
      <c r="AA133" s="416"/>
      <c r="AB133" s="416"/>
      <c r="AC133" s="416"/>
      <c r="AD133" s="416"/>
      <c r="AE133" s="416"/>
      <c r="AF133" s="416"/>
      <c r="AG133" s="416"/>
      <c r="AH133" s="416"/>
      <c r="AI133" s="416"/>
      <c r="AJ133" s="416"/>
      <c r="AK133" s="416"/>
      <c r="AL133" s="416"/>
      <c r="AM133" s="416"/>
      <c r="AN133" s="416"/>
      <c r="AO133" s="416"/>
      <c r="AP133" s="416"/>
      <c r="AQ133" s="416"/>
      <c r="AR133" s="416"/>
      <c r="AS133" s="416"/>
      <c r="AT133" s="416"/>
      <c r="AU133" s="416"/>
      <c r="AV133" s="416"/>
      <c r="AW133" s="416"/>
      <c r="AX133" s="416"/>
      <c r="AY133" s="416"/>
      <c r="AZ133" s="416"/>
      <c r="BA133" s="416"/>
      <c r="BB133" s="416"/>
      <c r="BC133" s="416"/>
      <c r="BD133" s="32"/>
    </row>
    <row r="134" spans="2:56">
      <c r="B134" s="1258" t="s">
        <v>556</v>
      </c>
      <c r="C134" s="1259"/>
      <c r="D134" s="1259"/>
      <c r="E134" s="1259"/>
      <c r="F134" s="1259"/>
      <c r="G134" s="1260"/>
      <c r="H134" s="417">
        <f>SUM(H123:H133)</f>
        <v>82500</v>
      </c>
      <c r="I134" s="388"/>
      <c r="J134" s="293"/>
      <c r="K134" s="293"/>
      <c r="L134" s="293"/>
      <c r="M134" s="389"/>
      <c r="N134" s="413" t="str">
        <f t="shared" si="10"/>
        <v xml:space="preserve"> </v>
      </c>
      <c r="O134" s="47"/>
      <c r="P134" s="418"/>
      <c r="Q134" s="418"/>
      <c r="R134" s="418"/>
      <c r="S134" s="32"/>
      <c r="T134" s="1262"/>
      <c r="U134" s="1263"/>
      <c r="V134" s="1263"/>
      <c r="W134" s="1263"/>
      <c r="X134" s="1263"/>
      <c r="Y134" s="1263"/>
      <c r="Z134" s="1263"/>
      <c r="AA134" s="1263"/>
      <c r="AB134" s="1263"/>
      <c r="AC134" s="1263"/>
      <c r="AD134" s="1263"/>
      <c r="AE134" s="1263"/>
      <c r="AF134" s="1263"/>
      <c r="AG134" s="1263"/>
      <c r="AH134" s="1263"/>
      <c r="AI134" s="1263"/>
      <c r="AJ134" s="1263"/>
      <c r="AK134" s="1263"/>
      <c r="AL134" s="1263"/>
      <c r="AM134" s="1263"/>
      <c r="AN134" s="1263"/>
      <c r="AO134" s="1263"/>
      <c r="AP134" s="1263"/>
      <c r="AQ134" s="1263"/>
      <c r="AR134" s="1263"/>
      <c r="AS134" s="1263"/>
      <c r="AT134" s="1263"/>
      <c r="AU134" s="1263"/>
      <c r="AV134" s="1263"/>
      <c r="AW134" s="1263"/>
      <c r="AX134" s="1263"/>
      <c r="AY134" s="1263"/>
      <c r="AZ134" s="1263"/>
      <c r="BA134" s="1263"/>
      <c r="BB134" s="1263"/>
      <c r="BC134" s="1264"/>
    </row>
    <row r="135" spans="2:56">
      <c r="B135" s="1243" t="s">
        <v>557</v>
      </c>
      <c r="C135" s="1244"/>
      <c r="D135" s="1244"/>
      <c r="E135" s="1244"/>
      <c r="F135" s="1244"/>
      <c r="G135" s="1245"/>
      <c r="H135" s="419">
        <v>82500</v>
      </c>
      <c r="I135" s="1246"/>
      <c r="J135" s="1247"/>
      <c r="K135" s="1247"/>
      <c r="L135" s="1247"/>
      <c r="M135" s="1248"/>
      <c r="N135" s="413" t="str">
        <f t="shared" si="10"/>
        <v xml:space="preserve"> </v>
      </c>
      <c r="O135" s="32"/>
      <c r="P135" s="415"/>
      <c r="Q135" s="415"/>
      <c r="R135" s="415"/>
      <c r="S135" s="63"/>
      <c r="T135" s="416">
        <f t="shared" ref="T135:BC135" si="11">SUM(T123:T133)</f>
        <v>0</v>
      </c>
      <c r="U135" s="416">
        <f t="shared" si="11"/>
        <v>0</v>
      </c>
      <c r="V135" s="416">
        <f t="shared" si="11"/>
        <v>0</v>
      </c>
      <c r="W135" s="416">
        <f t="shared" si="11"/>
        <v>0</v>
      </c>
      <c r="X135" s="416">
        <f t="shared" si="11"/>
        <v>3019.6960000000108</v>
      </c>
      <c r="Y135" s="416">
        <f t="shared" si="11"/>
        <v>0</v>
      </c>
      <c r="Z135" s="416">
        <f t="shared" si="11"/>
        <v>0</v>
      </c>
      <c r="AA135" s="416">
        <f t="shared" si="11"/>
        <v>0</v>
      </c>
      <c r="AB135" s="416">
        <f t="shared" si="11"/>
        <v>42395.131000000001</v>
      </c>
      <c r="AC135" s="416">
        <f t="shared" si="11"/>
        <v>24380.616999999998</v>
      </c>
      <c r="AD135" s="416">
        <f t="shared" si="11"/>
        <v>0</v>
      </c>
      <c r="AE135" s="416">
        <f t="shared" si="11"/>
        <v>0</v>
      </c>
      <c r="AF135" s="416">
        <f t="shared" si="11"/>
        <v>0</v>
      </c>
      <c r="AG135" s="416">
        <f t="shared" si="11"/>
        <v>5009.8490000000002</v>
      </c>
      <c r="AH135" s="416">
        <f t="shared" si="11"/>
        <v>0</v>
      </c>
      <c r="AI135" s="416">
        <f t="shared" si="11"/>
        <v>0</v>
      </c>
      <c r="AJ135" s="416">
        <f t="shared" si="11"/>
        <v>0</v>
      </c>
      <c r="AK135" s="416">
        <f t="shared" si="11"/>
        <v>0</v>
      </c>
      <c r="AL135" s="416">
        <f t="shared" si="11"/>
        <v>0</v>
      </c>
      <c r="AM135" s="416">
        <f t="shared" si="11"/>
        <v>0</v>
      </c>
      <c r="AN135" s="416">
        <f t="shared" si="11"/>
        <v>0</v>
      </c>
      <c r="AO135" s="416">
        <f t="shared" si="11"/>
        <v>0</v>
      </c>
      <c r="AP135" s="416">
        <f t="shared" si="11"/>
        <v>0</v>
      </c>
      <c r="AQ135" s="416">
        <f t="shared" si="11"/>
        <v>0</v>
      </c>
      <c r="AR135" s="416">
        <f t="shared" si="11"/>
        <v>0</v>
      </c>
      <c r="AS135" s="416">
        <f t="shared" si="11"/>
        <v>0</v>
      </c>
      <c r="AT135" s="416">
        <f t="shared" si="11"/>
        <v>0</v>
      </c>
      <c r="AU135" s="416">
        <f t="shared" si="11"/>
        <v>0</v>
      </c>
      <c r="AV135" s="416">
        <f t="shared" si="11"/>
        <v>0</v>
      </c>
      <c r="AW135" s="416">
        <f t="shared" si="11"/>
        <v>0</v>
      </c>
      <c r="AX135" s="416">
        <f t="shared" si="11"/>
        <v>0</v>
      </c>
      <c r="AY135" s="416">
        <f t="shared" si="11"/>
        <v>0</v>
      </c>
      <c r="AZ135" s="416">
        <f t="shared" si="11"/>
        <v>7694.7070000000003</v>
      </c>
      <c r="BA135" s="416">
        <f t="shared" si="11"/>
        <v>0</v>
      </c>
      <c r="BB135" s="416">
        <f t="shared" si="11"/>
        <v>0</v>
      </c>
      <c r="BC135" s="416">
        <f t="shared" si="11"/>
        <v>0</v>
      </c>
      <c r="BD135" s="416">
        <f>SUM(T135:BC135)</f>
        <v>82500.000000000015</v>
      </c>
    </row>
    <row r="136" spans="2:56">
      <c r="B136" s="1243" t="s">
        <v>558</v>
      </c>
      <c r="C136" s="1244"/>
      <c r="D136" s="1244"/>
      <c r="E136" s="1244"/>
      <c r="F136" s="1244"/>
      <c r="G136" s="1245"/>
      <c r="H136" s="420">
        <f>H135-L117</f>
        <v>0</v>
      </c>
      <c r="I136" s="294"/>
      <c r="J136" s="295"/>
      <c r="K136" s="295"/>
      <c r="L136" s="296"/>
      <c r="M136" s="32"/>
      <c r="N136" s="32"/>
      <c r="O136" s="32"/>
      <c r="P136" s="32"/>
      <c r="Q136" s="297"/>
      <c r="R136" s="297"/>
      <c r="S136" s="32"/>
      <c r="T136" s="48"/>
      <c r="U136" s="48"/>
      <c r="V136" s="48"/>
      <c r="W136" s="48"/>
      <c r="X136" s="48"/>
      <c r="Y136" s="48"/>
      <c r="Z136" s="48"/>
      <c r="AA136" s="48"/>
      <c r="AB136" s="48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</row>
    <row r="137" spans="2:56">
      <c r="B137" s="1243" t="s">
        <v>559</v>
      </c>
      <c r="C137" s="1244"/>
      <c r="D137" s="1244"/>
      <c r="E137" s="1244"/>
      <c r="F137" s="1244"/>
      <c r="G137" s="1245"/>
      <c r="H137" s="420">
        <f>H134-H135</f>
        <v>0</v>
      </c>
      <c r="I137" s="52"/>
      <c r="J137" s="53"/>
      <c r="K137" s="53"/>
      <c r="L137" s="54"/>
      <c r="M137" s="32"/>
      <c r="N137" s="32"/>
      <c r="O137" s="32"/>
      <c r="P137" s="32"/>
      <c r="Q137" s="32"/>
      <c r="R137" s="32"/>
      <c r="S137" s="32"/>
      <c r="T137" s="48"/>
      <c r="U137" s="48"/>
      <c r="V137" s="48"/>
      <c r="W137" s="48"/>
      <c r="X137" s="48"/>
      <c r="Y137" s="48"/>
      <c r="Z137" s="48"/>
      <c r="AA137" s="48"/>
      <c r="AB137" s="48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</row>
    <row r="138" spans="2:56">
      <c r="B138" s="32"/>
      <c r="C138" s="32"/>
      <c r="D138" s="32"/>
      <c r="E138" s="32"/>
      <c r="F138" s="32"/>
      <c r="G138" s="32"/>
      <c r="H138" s="32"/>
      <c r="I138" s="57"/>
      <c r="J138" s="52"/>
      <c r="K138" s="52"/>
      <c r="L138" s="55"/>
      <c r="M138" s="32"/>
      <c r="N138" s="32"/>
      <c r="O138" s="52"/>
      <c r="P138" s="32"/>
      <c r="Q138" s="32"/>
      <c r="R138" s="32"/>
      <c r="S138" s="32"/>
      <c r="T138" s="48"/>
      <c r="U138" s="48"/>
      <c r="V138" s="48"/>
      <c r="W138" s="48"/>
      <c r="X138" s="48"/>
      <c r="Y138" s="48"/>
      <c r="Z138" s="48"/>
      <c r="AA138" s="48"/>
      <c r="AB138" s="48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</row>
    <row r="139" spans="2:56">
      <c r="B139" s="40" t="s">
        <v>561</v>
      </c>
      <c r="C139" s="40"/>
      <c r="D139" s="32"/>
      <c r="E139" s="32"/>
      <c r="F139" s="32"/>
      <c r="G139" s="32"/>
      <c r="H139" s="32"/>
      <c r="I139" s="32"/>
      <c r="J139" s="52"/>
      <c r="K139" s="52"/>
      <c r="L139" s="55"/>
      <c r="M139" s="32"/>
      <c r="N139" s="32"/>
      <c r="O139" s="52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BD139" s="32"/>
    </row>
    <row r="140" spans="2:56">
      <c r="B140" s="422"/>
      <c r="C140" s="1249"/>
      <c r="D140" s="1249"/>
      <c r="E140" s="1249"/>
      <c r="F140" s="1249"/>
      <c r="G140" s="1249"/>
      <c r="H140" s="1249"/>
      <c r="I140" s="1249"/>
      <c r="J140" s="1249"/>
      <c r="K140" s="1249"/>
      <c r="L140" s="55"/>
      <c r="M140" s="32"/>
      <c r="N140" s="32"/>
      <c r="O140" s="52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</row>
    <row r="142" spans="2:56">
      <c r="B142" s="28" t="s">
        <v>126</v>
      </c>
      <c r="C142" s="28"/>
      <c r="D142" s="29"/>
      <c r="E142" s="30" t="s">
        <v>511</v>
      </c>
      <c r="F142" s="31" t="s">
        <v>2060</v>
      </c>
      <c r="G142" s="32"/>
      <c r="H142" s="33"/>
      <c r="I142" s="34"/>
      <c r="J142" s="35" t="s">
        <v>513</v>
      </c>
      <c r="K142" s="36" t="s">
        <v>511</v>
      </c>
      <c r="L142" s="37">
        <v>45120.447916666664</v>
      </c>
      <c r="M142" s="32"/>
      <c r="N142" s="32"/>
      <c r="O142" s="206"/>
      <c r="P142" s="205"/>
      <c r="Q142" s="202"/>
      <c r="R142" s="204"/>
      <c r="S142" s="38"/>
      <c r="T142" s="201"/>
      <c r="U142" s="201"/>
      <c r="V142" s="201"/>
      <c r="W142" s="201"/>
      <c r="X142" s="201"/>
      <c r="Y142" s="201"/>
      <c r="Z142" s="201"/>
      <c r="AA142" s="201"/>
      <c r="AB142" s="202"/>
      <c r="AC142" s="202"/>
      <c r="AD142" s="202"/>
      <c r="AE142" s="202"/>
      <c r="AF142" s="202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201"/>
      <c r="AU142" s="201"/>
      <c r="AV142" s="201"/>
      <c r="AW142" s="201"/>
      <c r="AX142" s="201"/>
      <c r="AY142" s="201"/>
      <c r="AZ142" s="201"/>
      <c r="BA142" s="201"/>
      <c r="BB142" s="201"/>
    </row>
    <row r="143" spans="2:56">
      <c r="B143" s="35" t="s">
        <v>514</v>
      </c>
      <c r="C143" s="35"/>
      <c r="D143" s="32"/>
      <c r="E143" s="36" t="s">
        <v>511</v>
      </c>
      <c r="F143" s="311" t="s">
        <v>2061</v>
      </c>
      <c r="G143" s="32"/>
      <c r="H143" s="33"/>
      <c r="I143" s="34"/>
      <c r="J143" s="35" t="s">
        <v>516</v>
      </c>
      <c r="K143" s="36" t="s">
        <v>511</v>
      </c>
      <c r="L143" s="37">
        <v>45121.645833333336</v>
      </c>
      <c r="M143" s="32"/>
      <c r="N143" s="32"/>
      <c r="O143" s="206"/>
      <c r="P143" s="205"/>
      <c r="Q143" s="202"/>
      <c r="R143" s="204"/>
      <c r="S143" s="38"/>
      <c r="T143" s="201"/>
      <c r="U143" s="201"/>
      <c r="V143" s="201"/>
      <c r="W143" s="201"/>
      <c r="X143" s="201"/>
      <c r="Y143" s="201"/>
      <c r="Z143" s="201"/>
      <c r="AA143" s="201"/>
      <c r="AB143" s="202"/>
      <c r="AC143" s="202"/>
      <c r="AD143" s="202"/>
      <c r="AE143" s="202"/>
      <c r="AF143" s="202"/>
      <c r="AG143" s="201"/>
      <c r="AH143" s="201"/>
      <c r="AI143" s="201"/>
      <c r="AJ143" s="201"/>
      <c r="AK143" s="201"/>
      <c r="AL143" s="201"/>
      <c r="AM143" s="201"/>
      <c r="AN143" s="201"/>
      <c r="AO143" s="201"/>
      <c r="AP143" s="201"/>
      <c r="AQ143" s="201"/>
      <c r="AR143" s="201"/>
      <c r="AS143" s="201"/>
      <c r="AT143" s="201"/>
      <c r="AU143" s="201"/>
      <c r="AV143" s="201"/>
      <c r="AW143" s="201"/>
      <c r="AX143" s="201"/>
      <c r="AY143" s="201"/>
      <c r="AZ143" s="201"/>
      <c r="BA143" s="201"/>
      <c r="BB143" s="201"/>
    </row>
    <row r="144" spans="2:56">
      <c r="B144" s="35" t="s">
        <v>517</v>
      </c>
      <c r="C144" s="35"/>
      <c r="D144" s="32"/>
      <c r="E144" s="36" t="s">
        <v>511</v>
      </c>
      <c r="F144" s="37">
        <v>45118.384722222225</v>
      </c>
      <c r="G144" s="32"/>
      <c r="H144" s="33"/>
      <c r="I144" s="34"/>
      <c r="J144" s="35" t="s">
        <v>518</v>
      </c>
      <c r="K144" s="36" t="s">
        <v>511</v>
      </c>
      <c r="L144" s="50">
        <v>43498</v>
      </c>
      <c r="M144" s="40" t="s">
        <v>519</v>
      </c>
      <c r="N144" s="40"/>
      <c r="O144" s="206"/>
      <c r="P144" s="205"/>
      <c r="Q144" s="202"/>
      <c r="R144" s="204"/>
      <c r="S144" s="38"/>
      <c r="T144" s="201"/>
      <c r="U144" s="201"/>
      <c r="V144" s="201"/>
      <c r="W144" s="201"/>
      <c r="X144" s="201"/>
      <c r="Y144" s="201"/>
      <c r="Z144" s="201"/>
      <c r="AA144" s="201"/>
      <c r="AB144" s="202"/>
      <c r="AC144" s="202"/>
      <c r="AD144" s="202"/>
      <c r="AE144" s="202"/>
      <c r="AF144" s="202"/>
      <c r="AG144" s="201"/>
      <c r="AH144" s="201"/>
      <c r="AI144" s="201"/>
      <c r="AJ144" s="201"/>
      <c r="AK144" s="201"/>
      <c r="AL144" s="201"/>
      <c r="AM144" s="201"/>
      <c r="AN144" s="201"/>
      <c r="AO144" s="201"/>
      <c r="AP144" s="201"/>
      <c r="AQ144" s="201"/>
      <c r="AR144" s="201"/>
      <c r="AS144" s="201"/>
      <c r="AT144" s="201"/>
      <c r="AU144" s="201"/>
      <c r="AV144" s="201"/>
      <c r="AW144" s="201"/>
      <c r="AX144" s="201"/>
      <c r="AY144" s="201"/>
      <c r="AZ144" s="201"/>
      <c r="BA144" s="201"/>
      <c r="BB144" s="201"/>
    </row>
    <row r="145" spans="2:54">
      <c r="B145" s="35" t="s">
        <v>520</v>
      </c>
      <c r="C145" s="35"/>
      <c r="D145" s="32"/>
      <c r="E145" s="36" t="s">
        <v>511</v>
      </c>
      <c r="F145" s="37" t="s">
        <v>4</v>
      </c>
      <c r="G145" s="32"/>
      <c r="H145" s="33"/>
      <c r="I145" s="34"/>
      <c r="J145" s="35" t="s">
        <v>521</v>
      </c>
      <c r="K145" s="36" t="s">
        <v>511</v>
      </c>
      <c r="L145" s="41" t="s">
        <v>2062</v>
      </c>
      <c r="M145" s="32"/>
      <c r="N145" s="32"/>
      <c r="O145" s="206"/>
      <c r="P145" s="202"/>
      <c r="Q145" s="202"/>
      <c r="R145" s="204"/>
      <c r="S145" s="38"/>
      <c r="T145" s="201"/>
      <c r="U145" s="201"/>
      <c r="V145" s="201"/>
      <c r="W145" s="201"/>
      <c r="X145" s="201"/>
      <c r="Y145" s="201"/>
      <c r="Z145" s="201"/>
      <c r="AA145" s="201"/>
      <c r="AB145" s="202"/>
      <c r="AC145" s="202"/>
      <c r="AD145" s="202"/>
      <c r="AE145" s="202"/>
      <c r="AF145" s="202"/>
      <c r="AG145" s="201"/>
      <c r="AH145" s="201"/>
      <c r="AI145" s="201"/>
      <c r="AJ145" s="201"/>
      <c r="AK145" s="201"/>
      <c r="AL145" s="201"/>
      <c r="AM145" s="201"/>
      <c r="AN145" s="201"/>
      <c r="AO145" s="201"/>
      <c r="AP145" s="201"/>
      <c r="AQ145" s="201"/>
      <c r="AR145" s="201"/>
      <c r="AS145" s="201"/>
      <c r="AT145" s="201"/>
      <c r="AU145" s="201"/>
      <c r="AV145" s="201"/>
      <c r="AW145" s="201"/>
      <c r="AX145" s="201"/>
      <c r="AY145" s="201"/>
      <c r="AZ145" s="201"/>
      <c r="BA145" s="201"/>
      <c r="BB145" s="201"/>
    </row>
    <row r="146" spans="2:54">
      <c r="B146" s="35" t="s">
        <v>523</v>
      </c>
      <c r="C146" s="35"/>
      <c r="D146" s="32"/>
      <c r="E146" s="36" t="s">
        <v>511</v>
      </c>
      <c r="F146" s="37" t="s">
        <v>5</v>
      </c>
      <c r="G146" s="32"/>
      <c r="H146" s="33"/>
      <c r="I146" s="34"/>
      <c r="J146" s="42" t="s">
        <v>524</v>
      </c>
      <c r="K146" s="36" t="s">
        <v>511</v>
      </c>
      <c r="L146" s="43" t="s">
        <v>15</v>
      </c>
      <c r="M146" s="44"/>
      <c r="N146" s="44"/>
      <c r="O146" s="206"/>
      <c r="P146" s="205"/>
      <c r="Q146" s="202"/>
      <c r="R146" s="204"/>
      <c r="S146" s="38"/>
      <c r="T146" s="201"/>
      <c r="U146" s="201"/>
      <c r="V146" s="201"/>
      <c r="W146" s="201"/>
      <c r="X146" s="201"/>
      <c r="Y146" s="201"/>
      <c r="Z146" s="201"/>
      <c r="AA146" s="201"/>
      <c r="AB146" s="202"/>
      <c r="AC146" s="202"/>
      <c r="AD146" s="202"/>
      <c r="AE146" s="202"/>
      <c r="AF146" s="202"/>
      <c r="AG146" s="201"/>
      <c r="AH146" s="201"/>
      <c r="AI146" s="201"/>
      <c r="AJ146" s="201"/>
      <c r="AK146" s="201"/>
      <c r="AL146" s="201"/>
      <c r="AM146" s="201"/>
      <c r="AN146" s="201"/>
      <c r="AO146" s="201"/>
      <c r="AP146" s="201"/>
      <c r="AQ146" s="201"/>
      <c r="AR146" s="201"/>
      <c r="AS146" s="201"/>
      <c r="AT146" s="201"/>
      <c r="AU146" s="201"/>
      <c r="AV146" s="201"/>
      <c r="AW146" s="201"/>
      <c r="AX146" s="201"/>
      <c r="AY146" s="201"/>
      <c r="AZ146" s="201"/>
      <c r="BA146" s="201"/>
      <c r="BB146" s="201"/>
    </row>
    <row r="147" spans="2:54">
      <c r="B147" s="35" t="s">
        <v>2</v>
      </c>
      <c r="C147" s="35"/>
      <c r="D147" s="32"/>
      <c r="E147" s="36" t="s">
        <v>511</v>
      </c>
      <c r="F147" s="37" t="s">
        <v>6</v>
      </c>
      <c r="G147" s="32"/>
      <c r="H147" s="33"/>
      <c r="I147" s="45"/>
      <c r="J147" s="42"/>
      <c r="K147" s="36"/>
      <c r="L147" s="211"/>
      <c r="M147" s="201"/>
      <c r="N147" s="201"/>
      <c r="O147" s="42"/>
      <c r="P147" s="44"/>
      <c r="Q147" s="44"/>
      <c r="R147" s="44"/>
      <c r="S147" s="34"/>
      <c r="T147" s="201"/>
      <c r="U147" s="201"/>
      <c r="V147" s="201"/>
      <c r="W147" s="201"/>
      <c r="X147" s="201"/>
      <c r="Y147" s="201"/>
      <c r="Z147" s="201"/>
      <c r="AA147" s="201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201"/>
      <c r="AP147" s="201"/>
      <c r="AQ147" s="201"/>
      <c r="AR147" s="201"/>
      <c r="AS147" s="201"/>
      <c r="AT147" s="201"/>
      <c r="AU147" s="201"/>
      <c r="AV147" s="201"/>
      <c r="AW147" s="201"/>
      <c r="AX147" s="201"/>
      <c r="AY147" s="201"/>
      <c r="AZ147" s="201"/>
      <c r="BA147" s="201"/>
      <c r="BB147" s="201"/>
    </row>
    <row r="148" spans="2:54">
      <c r="B148" s="201"/>
      <c r="C148" s="201"/>
      <c r="D148" s="201"/>
      <c r="E148" s="201"/>
      <c r="F148" s="201"/>
      <c r="G148" s="201"/>
      <c r="H148" s="201"/>
      <c r="I148" s="45"/>
      <c r="J148" s="42"/>
      <c r="K148" s="42"/>
      <c r="L148" s="43"/>
      <c r="M148" s="44"/>
      <c r="N148" s="44"/>
      <c r="O148" s="42"/>
      <c r="P148" s="44"/>
      <c r="Q148" s="44"/>
      <c r="R148" s="44"/>
      <c r="S148" s="34"/>
      <c r="T148" s="1265" t="s">
        <v>87</v>
      </c>
      <c r="U148" s="1265"/>
      <c r="V148" s="1265"/>
      <c r="W148" s="1265"/>
      <c r="X148" s="1265"/>
      <c r="Y148" s="1265" t="s">
        <v>73</v>
      </c>
      <c r="Z148" s="1265"/>
      <c r="AA148" s="1265"/>
      <c r="AB148" s="1265" t="s">
        <v>74</v>
      </c>
      <c r="AC148" s="1265"/>
      <c r="AD148" s="423" t="s">
        <v>85</v>
      </c>
      <c r="AE148" s="423" t="s">
        <v>77</v>
      </c>
      <c r="AF148" s="1265" t="s">
        <v>525</v>
      </c>
      <c r="AG148" s="1265"/>
      <c r="AH148" s="1265"/>
      <c r="AI148" s="1265"/>
      <c r="AJ148" s="1265"/>
      <c r="AK148" s="1265"/>
      <c r="AL148" s="1265"/>
      <c r="AM148" s="1265"/>
      <c r="AN148" s="1265"/>
      <c r="AO148" s="1265"/>
      <c r="AP148" s="1265"/>
      <c r="AQ148" s="1265"/>
      <c r="AR148" s="1265"/>
      <c r="AS148" s="1265"/>
      <c r="AT148" s="1265"/>
      <c r="AU148" s="1265"/>
      <c r="AV148" s="1265"/>
      <c r="AW148" s="1265"/>
      <c r="AX148" s="1265"/>
      <c r="AY148" s="1265"/>
      <c r="AZ148" s="1265"/>
      <c r="BA148" s="1265"/>
      <c r="BB148" s="201"/>
    </row>
    <row r="149" spans="2:54">
      <c r="B149" s="1266" t="s">
        <v>526</v>
      </c>
      <c r="C149" s="1267"/>
      <c r="D149" s="570" t="s">
        <v>527</v>
      </c>
      <c r="E149" s="570"/>
      <c r="F149" s="570" t="s">
        <v>528</v>
      </c>
      <c r="G149" s="570" t="s">
        <v>529</v>
      </c>
      <c r="H149" s="570" t="s">
        <v>530</v>
      </c>
      <c r="I149" s="570" t="s">
        <v>531</v>
      </c>
      <c r="J149" s="570" t="s">
        <v>532</v>
      </c>
      <c r="K149" s="570"/>
      <c r="L149" s="570" t="s">
        <v>130</v>
      </c>
      <c r="M149" s="570" t="s">
        <v>533</v>
      </c>
      <c r="N149" s="408" t="str">
        <f>"On time - "&amp;COUNTIF(N150:N165,"On time")&amp;" from "&amp;ROWS(N150:N165)-COUNTIF(N150:N165," ")</f>
        <v>On time - 7 from 7</v>
      </c>
      <c r="O149" s="46"/>
      <c r="P149" s="409" t="s">
        <v>534</v>
      </c>
      <c r="Q149" s="409" t="s">
        <v>535</v>
      </c>
      <c r="R149" s="409" t="s">
        <v>536</v>
      </c>
      <c r="S149" s="32"/>
      <c r="T149" s="424" t="s">
        <v>537</v>
      </c>
      <c r="U149" s="424" t="s">
        <v>538</v>
      </c>
      <c r="V149" s="424" t="s">
        <v>539</v>
      </c>
      <c r="W149" s="424" t="s">
        <v>540</v>
      </c>
      <c r="X149" s="424" t="s">
        <v>541</v>
      </c>
      <c r="Y149" s="424" t="s">
        <v>167</v>
      </c>
      <c r="Z149" s="424" t="s">
        <v>168</v>
      </c>
      <c r="AA149" s="424" t="s">
        <v>169</v>
      </c>
      <c r="AB149" s="424" t="s">
        <v>235</v>
      </c>
      <c r="AC149" s="424" t="s">
        <v>240</v>
      </c>
      <c r="AD149" s="423" t="s">
        <v>85</v>
      </c>
      <c r="AE149" s="424" t="s">
        <v>139</v>
      </c>
      <c r="AF149" s="424" t="s">
        <v>72</v>
      </c>
      <c r="AG149" s="424" t="s">
        <v>88</v>
      </c>
      <c r="AH149" s="424" t="s">
        <v>75</v>
      </c>
      <c r="AI149" s="424" t="s">
        <v>543</v>
      </c>
      <c r="AJ149" s="424" t="s">
        <v>78</v>
      </c>
      <c r="AK149" s="424" t="s">
        <v>76</v>
      </c>
      <c r="AL149" s="424" t="s">
        <v>544</v>
      </c>
      <c r="AM149" s="424" t="s">
        <v>545</v>
      </c>
      <c r="AN149" s="424" t="s">
        <v>86</v>
      </c>
      <c r="AO149" s="424" t="s">
        <v>83</v>
      </c>
      <c r="AP149" s="424" t="s">
        <v>84</v>
      </c>
      <c r="AQ149" s="424" t="s">
        <v>546</v>
      </c>
      <c r="AR149" s="424" t="s">
        <v>81</v>
      </c>
      <c r="AS149" s="424" t="s">
        <v>80</v>
      </c>
      <c r="AT149" s="424" t="s">
        <v>82</v>
      </c>
      <c r="AU149" s="424" t="s">
        <v>181</v>
      </c>
      <c r="AV149" s="424" t="s">
        <v>183</v>
      </c>
      <c r="AW149" s="424" t="s">
        <v>547</v>
      </c>
      <c r="AX149" s="424" t="s">
        <v>182</v>
      </c>
      <c r="AY149" s="424" t="s">
        <v>172</v>
      </c>
      <c r="AZ149" s="424" t="s">
        <v>173</v>
      </c>
      <c r="BA149" s="424" t="s">
        <v>184</v>
      </c>
      <c r="BB149" s="201"/>
    </row>
    <row r="150" spans="2:54">
      <c r="B150" s="1256" t="s">
        <v>668</v>
      </c>
      <c r="C150" s="1257"/>
      <c r="D150" s="411" t="s">
        <v>2063</v>
      </c>
      <c r="E150" s="444"/>
      <c r="F150" s="411" t="s">
        <v>1307</v>
      </c>
      <c r="G150" s="411" t="s">
        <v>1308</v>
      </c>
      <c r="H150" s="412">
        <v>5182</v>
      </c>
      <c r="I150" s="413" t="s">
        <v>81</v>
      </c>
      <c r="J150" s="414">
        <v>45116.541666666664</v>
      </c>
      <c r="K150" s="414"/>
      <c r="L150" s="414" t="s">
        <v>192</v>
      </c>
      <c r="M150" s="414" t="s">
        <v>192</v>
      </c>
      <c r="N150" s="413" t="str">
        <f>IF(ISBLANK(J150)," ",IF(J150&lt;$F$144,"On time",(IF(DAY(J150-$F$144)&lt;1,"On time",(IF(J150&gt;$F$144,"DELAY ( "&amp;DAY(J150-$F$144)&amp;" day "&amp;HOUR(J150-$F$144)&amp;" hour "&amp;MINUTE(J150-$F$144)&amp;" minute )","xxx"))))))</f>
        <v>On time</v>
      </c>
      <c r="O150" s="51"/>
      <c r="P150" s="415" t="s">
        <v>551</v>
      </c>
      <c r="Q150" s="415" t="s">
        <v>551</v>
      </c>
      <c r="R150" s="415" t="s">
        <v>551</v>
      </c>
      <c r="S150" s="32"/>
      <c r="T150" s="416"/>
      <c r="U150" s="416"/>
      <c r="V150" s="416"/>
      <c r="W150" s="416"/>
      <c r="X150" s="416"/>
      <c r="Y150" s="416"/>
      <c r="Z150" s="416"/>
      <c r="AA150" s="32"/>
      <c r="AB150" s="416"/>
      <c r="AC150" s="416"/>
      <c r="AD150" s="416"/>
      <c r="AE150" s="416"/>
      <c r="AF150" s="416"/>
      <c r="AG150" s="416"/>
      <c r="AH150" s="416"/>
      <c r="AI150" s="416"/>
      <c r="AJ150" s="416"/>
      <c r="AK150" s="416"/>
      <c r="AL150" s="416"/>
      <c r="AM150" s="416"/>
      <c r="AN150" s="416"/>
      <c r="AO150" s="416"/>
      <c r="AP150" s="416"/>
      <c r="AQ150" s="416"/>
      <c r="AR150" s="416">
        <f>H150</f>
        <v>5182</v>
      </c>
      <c r="AS150" s="416"/>
      <c r="AT150" s="32"/>
      <c r="AU150" s="416"/>
      <c r="AV150" s="416"/>
      <c r="AW150" s="416"/>
      <c r="AX150" s="416"/>
      <c r="AY150" s="416"/>
      <c r="AZ150" s="416"/>
      <c r="BA150" s="416"/>
      <c r="BB150" s="32"/>
    </row>
    <row r="151" spans="2:54">
      <c r="B151" s="1256" t="s">
        <v>616</v>
      </c>
      <c r="C151" s="1257"/>
      <c r="D151" s="411" t="s">
        <v>2064</v>
      </c>
      <c r="E151" s="444"/>
      <c r="F151" s="411" t="s">
        <v>330</v>
      </c>
      <c r="G151" s="411" t="s">
        <v>331</v>
      </c>
      <c r="H151" s="412">
        <v>7500</v>
      </c>
      <c r="I151" s="413" t="s">
        <v>76</v>
      </c>
      <c r="J151" s="414">
        <v>45117.625</v>
      </c>
      <c r="K151" s="414"/>
      <c r="L151" s="414" t="s">
        <v>192</v>
      </c>
      <c r="M151" s="414" t="s">
        <v>192</v>
      </c>
      <c r="N151" s="413" t="str">
        <f t="shared" ref="N151:N168" si="12">IF(ISBLANK(J151)," ",IF(J151&lt;$F$144,"On time",(IF(DAY(J151-$F$144)&lt;1,"On time",(IF(J151&gt;$F$144,"DELAY ( "&amp;DAY(J151-$F$144)&amp;" day "&amp;HOUR(J151-$F$144)&amp;" hour "&amp;MINUTE(J151-$F$144)&amp;" minute )","xxx"))))))</f>
        <v>On time</v>
      </c>
      <c r="O151" s="51"/>
      <c r="P151" s="415" t="s">
        <v>551</v>
      </c>
      <c r="Q151" s="415" t="s">
        <v>551</v>
      </c>
      <c r="R151" s="415" t="s">
        <v>551</v>
      </c>
      <c r="S151" s="32"/>
      <c r="T151" s="416"/>
      <c r="U151" s="416"/>
      <c r="V151" s="416"/>
      <c r="W151" s="416"/>
      <c r="X151" s="416"/>
      <c r="Y151" s="416"/>
      <c r="Z151" s="416"/>
      <c r="AA151" s="416"/>
      <c r="AB151" s="416"/>
      <c r="AC151" s="416"/>
      <c r="AD151" s="416"/>
      <c r="AE151" s="416"/>
      <c r="AF151" s="416"/>
      <c r="AG151" s="416"/>
      <c r="AH151" s="416"/>
      <c r="AI151" s="416"/>
      <c r="AJ151" s="416"/>
      <c r="AK151" s="416">
        <f>H151</f>
        <v>7500</v>
      </c>
      <c r="AL151" s="416"/>
      <c r="AM151" s="416"/>
      <c r="AN151" s="416"/>
      <c r="AO151" s="416"/>
      <c r="AP151" s="416"/>
      <c r="AQ151" s="416"/>
      <c r="AR151" s="416"/>
      <c r="AS151" s="416"/>
      <c r="AT151" s="416"/>
      <c r="AU151" s="416"/>
      <c r="AV151" s="416"/>
      <c r="AW151" s="416"/>
      <c r="AX151" s="416"/>
      <c r="AY151" s="416"/>
      <c r="AZ151" s="416"/>
      <c r="BA151" s="416"/>
      <c r="BB151" s="32"/>
    </row>
    <row r="152" spans="2:54">
      <c r="B152" s="1258" t="s">
        <v>1721</v>
      </c>
      <c r="C152" s="1259"/>
      <c r="D152" s="1259"/>
      <c r="E152" s="1259"/>
      <c r="F152" s="1259"/>
      <c r="G152" s="1260"/>
      <c r="H152" s="417">
        <f>SUM(H150:H151)</f>
        <v>12682</v>
      </c>
      <c r="I152" s="388"/>
      <c r="J152" s="293"/>
      <c r="K152" s="293"/>
      <c r="L152" s="293"/>
      <c r="M152" s="389"/>
      <c r="N152" s="413" t="str">
        <f t="shared" si="12"/>
        <v xml:space="preserve"> </v>
      </c>
      <c r="O152" s="47"/>
      <c r="P152" s="418"/>
      <c r="Q152" s="418"/>
      <c r="R152" s="418"/>
      <c r="S152" s="32"/>
      <c r="T152" s="416"/>
      <c r="U152" s="416"/>
      <c r="V152" s="416"/>
      <c r="W152" s="416"/>
      <c r="X152" s="416"/>
      <c r="Y152" s="416"/>
      <c r="Z152" s="416"/>
      <c r="AA152" s="416"/>
      <c r="AB152" s="416"/>
      <c r="AC152" s="416"/>
      <c r="AD152" s="416"/>
      <c r="AE152" s="416"/>
      <c r="AF152" s="416"/>
      <c r="AG152" s="416"/>
      <c r="AH152" s="416"/>
      <c r="AI152" s="416"/>
      <c r="AJ152" s="416"/>
      <c r="AK152" s="416"/>
      <c r="AL152" s="416"/>
      <c r="AM152" s="416"/>
      <c r="AN152" s="416"/>
      <c r="AO152" s="416"/>
      <c r="AP152" s="416"/>
      <c r="AQ152" s="416"/>
      <c r="AR152" s="416"/>
      <c r="AS152" s="416"/>
      <c r="AT152" s="416"/>
      <c r="AU152" s="416"/>
      <c r="AV152" s="416"/>
      <c r="AW152" s="416"/>
      <c r="AX152" s="416"/>
      <c r="AY152" s="416"/>
      <c r="AZ152" s="416"/>
      <c r="BA152" s="416"/>
    </row>
    <row r="153" spans="2:54">
      <c r="B153" s="1250" t="s">
        <v>619</v>
      </c>
      <c r="C153" s="1251"/>
      <c r="D153" s="411" t="s">
        <v>1862</v>
      </c>
      <c r="E153" s="411"/>
      <c r="F153" s="411" t="s">
        <v>422</v>
      </c>
      <c r="G153" s="411" t="s">
        <v>375</v>
      </c>
      <c r="H153" s="412">
        <v>2442</v>
      </c>
      <c r="I153" s="413" t="s">
        <v>235</v>
      </c>
      <c r="J153" s="414">
        <v>45112.159722222219</v>
      </c>
      <c r="K153" s="414"/>
      <c r="L153" s="414" t="s">
        <v>192</v>
      </c>
      <c r="M153" s="414" t="s">
        <v>192</v>
      </c>
      <c r="N153" s="413" t="str">
        <f t="shared" si="12"/>
        <v>On time</v>
      </c>
      <c r="O153" s="51"/>
      <c r="P153" s="415" t="s">
        <v>551</v>
      </c>
      <c r="Q153" s="415" t="s">
        <v>551</v>
      </c>
      <c r="R153" s="415" t="s">
        <v>551</v>
      </c>
      <c r="S153" s="32"/>
      <c r="T153" s="416"/>
      <c r="U153" s="416"/>
      <c r="V153" s="416"/>
      <c r="W153" s="416"/>
      <c r="X153" s="416"/>
      <c r="Y153" s="416"/>
      <c r="Z153" s="416"/>
      <c r="AA153" s="416"/>
      <c r="AB153" s="416">
        <f>H153</f>
        <v>2442</v>
      </c>
      <c r="AC153" s="416"/>
      <c r="AD153" s="416"/>
      <c r="AE153" s="416"/>
      <c r="AF153" s="416"/>
      <c r="AG153" s="416"/>
      <c r="AH153" s="416"/>
      <c r="AI153" s="416"/>
      <c r="AJ153" s="416"/>
      <c r="AK153" s="416"/>
      <c r="AL153" s="416"/>
      <c r="AM153" s="416"/>
      <c r="AN153" s="416"/>
      <c r="AO153" s="416"/>
      <c r="AP153" s="416"/>
      <c r="AQ153" s="416"/>
      <c r="AR153" s="416"/>
      <c r="AS153" s="416"/>
      <c r="AT153" s="416"/>
      <c r="AU153" s="416"/>
      <c r="AV153" s="416"/>
      <c r="AW153" s="416"/>
      <c r="AX153" s="416"/>
      <c r="AY153" s="416"/>
      <c r="AZ153" s="416"/>
      <c r="BA153" s="416"/>
      <c r="BB153" s="32"/>
    </row>
    <row r="154" spans="2:54">
      <c r="B154" s="1254"/>
      <c r="C154" s="1255"/>
      <c r="D154" s="411"/>
      <c r="E154" s="411"/>
      <c r="F154" s="1256" t="s">
        <v>616</v>
      </c>
      <c r="G154" s="1257"/>
      <c r="H154" s="412">
        <v>1000</v>
      </c>
      <c r="I154" s="413"/>
      <c r="J154" s="414"/>
      <c r="K154" s="414"/>
      <c r="L154" s="414"/>
      <c r="M154" s="414"/>
      <c r="N154" s="413" t="str">
        <f t="shared" si="12"/>
        <v xml:space="preserve"> </v>
      </c>
      <c r="O154" s="51"/>
      <c r="P154" s="415"/>
      <c r="Q154" s="415"/>
      <c r="R154" s="415"/>
      <c r="S154" s="32"/>
      <c r="T154" s="416"/>
      <c r="U154" s="416"/>
      <c r="V154" s="416"/>
      <c r="W154" s="416"/>
      <c r="X154" s="416"/>
      <c r="Y154" s="416"/>
      <c r="Z154" s="416"/>
      <c r="AA154" s="416"/>
      <c r="AB154" s="416"/>
      <c r="AC154" s="416"/>
      <c r="AD154" s="416"/>
      <c r="AE154" s="416"/>
      <c r="AF154" s="416"/>
      <c r="AG154" s="416"/>
      <c r="AH154" s="416"/>
      <c r="AI154" s="416"/>
      <c r="AJ154" s="416"/>
      <c r="AK154" s="416"/>
      <c r="AL154" s="416"/>
      <c r="AM154" s="416"/>
      <c r="AN154" s="416"/>
      <c r="AO154" s="416"/>
      <c r="AP154" s="416"/>
      <c r="AQ154" s="416"/>
      <c r="AR154" s="416"/>
      <c r="AS154" s="416"/>
      <c r="AT154" s="416"/>
      <c r="AU154" s="416"/>
      <c r="AV154" s="416"/>
      <c r="AW154" s="416"/>
      <c r="AX154" s="416"/>
      <c r="AY154" s="416"/>
      <c r="AZ154" s="416"/>
      <c r="BA154" s="416"/>
      <c r="BB154" s="32"/>
    </row>
    <row r="155" spans="2:54">
      <c r="B155" s="1250" t="s">
        <v>621</v>
      </c>
      <c r="C155" s="1251"/>
      <c r="D155" s="411" t="s">
        <v>2065</v>
      </c>
      <c r="E155" s="411"/>
      <c r="F155" s="411" t="s">
        <v>489</v>
      </c>
      <c r="G155" s="411" t="s">
        <v>483</v>
      </c>
      <c r="H155" s="412">
        <v>7628.9949999999999</v>
      </c>
      <c r="I155" s="413" t="s">
        <v>235</v>
      </c>
      <c r="J155" s="414">
        <v>45117.417361111111</v>
      </c>
      <c r="K155" s="414"/>
      <c r="L155" s="414" t="s">
        <v>192</v>
      </c>
      <c r="M155" s="414" t="s">
        <v>192</v>
      </c>
      <c r="N155" s="413" t="str">
        <f t="shared" si="12"/>
        <v>On time</v>
      </c>
      <c r="O155" s="51"/>
      <c r="P155" s="415" t="s">
        <v>551</v>
      </c>
      <c r="Q155" s="415" t="s">
        <v>551</v>
      </c>
      <c r="R155" s="415" t="s">
        <v>551</v>
      </c>
      <c r="S155" s="32"/>
      <c r="T155" s="416"/>
      <c r="U155" s="416"/>
      <c r="V155" s="416"/>
      <c r="W155" s="416"/>
      <c r="X155" s="416"/>
      <c r="Y155" s="416"/>
      <c r="Z155" s="416"/>
      <c r="AA155" s="416"/>
      <c r="AB155" s="416">
        <f>H155-H170</f>
        <v>6480.2569999999996</v>
      </c>
      <c r="AC155" s="416"/>
      <c r="AD155" s="416"/>
      <c r="AE155" s="416"/>
      <c r="AF155" s="416"/>
      <c r="AG155" s="416"/>
      <c r="AH155" s="416"/>
      <c r="AI155" s="416"/>
      <c r="AJ155" s="416"/>
      <c r="AK155" s="416"/>
      <c r="AL155" s="416"/>
      <c r="AM155" s="416"/>
      <c r="AN155" s="416"/>
      <c r="AO155" s="416"/>
      <c r="AP155" s="416"/>
      <c r="AQ155" s="416"/>
      <c r="AR155" s="416"/>
      <c r="AS155" s="416"/>
      <c r="AT155" s="416"/>
      <c r="AU155" s="416"/>
      <c r="AV155" s="416"/>
      <c r="AW155" s="416"/>
      <c r="AX155" s="416"/>
      <c r="AY155" s="416"/>
      <c r="AZ155" s="416"/>
      <c r="BA155" s="416"/>
      <c r="BB155" s="32"/>
    </row>
    <row r="156" spans="2:54">
      <c r="B156" s="1252"/>
      <c r="C156" s="1253"/>
      <c r="D156" s="411"/>
      <c r="E156" s="411"/>
      <c r="F156" s="1256" t="s">
        <v>668</v>
      </c>
      <c r="G156" s="1257"/>
      <c r="H156" s="412">
        <v>1182</v>
      </c>
      <c r="I156" s="413"/>
      <c r="J156" s="414"/>
      <c r="K156" s="414"/>
      <c r="L156" s="414"/>
      <c r="M156" s="414"/>
      <c r="N156" s="413" t="str">
        <f t="shared" si="12"/>
        <v xml:space="preserve"> </v>
      </c>
      <c r="O156" s="51"/>
      <c r="P156" s="415"/>
      <c r="Q156" s="415"/>
      <c r="R156" s="415"/>
      <c r="S156" s="32"/>
      <c r="T156" s="416"/>
      <c r="U156" s="416"/>
      <c r="V156" s="416"/>
      <c r="W156" s="416"/>
      <c r="X156" s="416"/>
      <c r="Y156" s="416"/>
      <c r="Z156" s="416"/>
      <c r="AA156" s="416"/>
      <c r="AB156" s="416"/>
      <c r="AC156" s="416"/>
      <c r="AD156" s="416"/>
      <c r="AE156" s="416"/>
      <c r="AF156" s="416"/>
      <c r="AG156" s="416"/>
      <c r="AH156" s="416"/>
      <c r="AI156" s="416"/>
      <c r="AJ156" s="416"/>
      <c r="AK156" s="416"/>
      <c r="AL156" s="416"/>
      <c r="AM156" s="416"/>
      <c r="AN156" s="416"/>
      <c r="AO156" s="416"/>
      <c r="AP156" s="416"/>
      <c r="AQ156" s="416"/>
      <c r="AR156" s="416"/>
      <c r="AS156" s="416"/>
      <c r="AT156" s="416"/>
      <c r="AU156" s="416"/>
      <c r="AV156" s="416"/>
      <c r="AW156" s="416"/>
      <c r="AX156" s="416"/>
      <c r="AY156" s="416"/>
      <c r="AZ156" s="416"/>
      <c r="BA156" s="416"/>
      <c r="BB156" s="32"/>
    </row>
    <row r="157" spans="2:54">
      <c r="B157" s="1254"/>
      <c r="C157" s="1255"/>
      <c r="D157" s="411"/>
      <c r="E157" s="411"/>
      <c r="F157" s="1256" t="s">
        <v>616</v>
      </c>
      <c r="G157" s="1257"/>
      <c r="H157" s="412">
        <v>1000</v>
      </c>
      <c r="I157" s="413"/>
      <c r="J157" s="414"/>
      <c r="K157" s="414"/>
      <c r="L157" s="414"/>
      <c r="M157" s="414"/>
      <c r="N157" s="413" t="str">
        <f t="shared" si="12"/>
        <v xml:space="preserve"> </v>
      </c>
      <c r="O157" s="51"/>
      <c r="P157" s="415"/>
      <c r="Q157" s="415"/>
      <c r="R157" s="415"/>
      <c r="S157" s="32"/>
      <c r="T157" s="416"/>
      <c r="U157" s="416"/>
      <c r="V157" s="416"/>
      <c r="W157" s="416"/>
      <c r="X157" s="416"/>
      <c r="Y157" s="416"/>
      <c r="Z157" s="416"/>
      <c r="AA157" s="416"/>
      <c r="AB157" s="416"/>
      <c r="AC157" s="416"/>
      <c r="AD157" s="416"/>
      <c r="AE157" s="416"/>
      <c r="AF157" s="416"/>
      <c r="AG157" s="416"/>
      <c r="AH157" s="416"/>
      <c r="AI157" s="416"/>
      <c r="AJ157" s="416"/>
      <c r="AK157" s="416"/>
      <c r="AL157" s="416"/>
      <c r="AM157" s="416"/>
      <c r="AN157" s="416"/>
      <c r="AO157" s="416"/>
      <c r="AP157" s="416"/>
      <c r="AQ157" s="416"/>
      <c r="AR157" s="416"/>
      <c r="AS157" s="416"/>
      <c r="AT157" s="416"/>
      <c r="AU157" s="416"/>
      <c r="AV157" s="416"/>
      <c r="AW157" s="416"/>
      <c r="AX157" s="416"/>
      <c r="AY157" s="416"/>
      <c r="AZ157" s="416"/>
      <c r="BA157" s="416"/>
      <c r="BB157" s="32"/>
    </row>
    <row r="158" spans="2:54">
      <c r="B158" s="1250" t="s">
        <v>622</v>
      </c>
      <c r="C158" s="1251"/>
      <c r="D158" s="411" t="s">
        <v>2066</v>
      </c>
      <c r="E158" s="411"/>
      <c r="F158" s="411" t="s">
        <v>277</v>
      </c>
      <c r="G158" s="411" t="s">
        <v>278</v>
      </c>
      <c r="H158" s="412">
        <v>7481.3689999999997</v>
      </c>
      <c r="I158" s="413" t="s">
        <v>235</v>
      </c>
      <c r="J158" s="414">
        <v>45117.454861111109</v>
      </c>
      <c r="K158" s="414"/>
      <c r="L158" s="414" t="s">
        <v>192</v>
      </c>
      <c r="M158" s="414" t="s">
        <v>192</v>
      </c>
      <c r="N158" s="413" t="str">
        <f t="shared" si="12"/>
        <v>On time</v>
      </c>
      <c r="O158" s="51"/>
      <c r="P158" s="415" t="s">
        <v>551</v>
      </c>
      <c r="Q158" s="415" t="s">
        <v>551</v>
      </c>
      <c r="R158" s="415" t="s">
        <v>551</v>
      </c>
      <c r="S158" s="32"/>
      <c r="T158" s="416"/>
      <c r="U158" s="416"/>
      <c r="V158" s="416"/>
      <c r="W158" s="416"/>
      <c r="X158" s="416"/>
      <c r="Y158" s="416"/>
      <c r="Z158" s="416"/>
      <c r="AA158" s="416"/>
      <c r="AB158" s="416">
        <f>H158</f>
        <v>7481.3689999999997</v>
      </c>
      <c r="AC158" s="416"/>
      <c r="AD158" s="416"/>
      <c r="AE158" s="416"/>
      <c r="AF158" s="416"/>
      <c r="AG158" s="416"/>
      <c r="AH158" s="416"/>
      <c r="AI158" s="416"/>
      <c r="AJ158" s="416"/>
      <c r="AK158" s="416"/>
      <c r="AL158" s="416"/>
      <c r="AM158" s="416"/>
      <c r="AN158" s="416"/>
      <c r="AO158" s="416"/>
      <c r="AP158" s="416"/>
      <c r="AQ158" s="416"/>
      <c r="AR158" s="416"/>
      <c r="AS158" s="416"/>
      <c r="AT158" s="416"/>
      <c r="AU158" s="416"/>
      <c r="AV158" s="416"/>
      <c r="AW158" s="416"/>
      <c r="AX158" s="416"/>
      <c r="AY158" s="416"/>
      <c r="AZ158" s="416"/>
      <c r="BA158" s="416"/>
      <c r="BB158" s="32"/>
    </row>
    <row r="159" spans="2:54">
      <c r="B159" s="1252"/>
      <c r="C159" s="1253"/>
      <c r="D159" s="411"/>
      <c r="E159" s="411"/>
      <c r="F159" s="1256" t="s">
        <v>668</v>
      </c>
      <c r="G159" s="1257"/>
      <c r="H159" s="412">
        <v>2000</v>
      </c>
      <c r="I159" s="413"/>
      <c r="J159" s="414"/>
      <c r="K159" s="414"/>
      <c r="L159" s="414"/>
      <c r="M159" s="414"/>
      <c r="N159" s="413" t="str">
        <f t="shared" si="12"/>
        <v xml:space="preserve"> </v>
      </c>
      <c r="O159" s="51"/>
      <c r="P159" s="415"/>
      <c r="Q159" s="415"/>
      <c r="R159" s="415"/>
      <c r="S159" s="32"/>
      <c r="T159" s="416"/>
      <c r="U159" s="416"/>
      <c r="V159" s="416"/>
      <c r="W159" s="416"/>
      <c r="X159" s="416"/>
      <c r="Y159" s="416"/>
      <c r="Z159" s="416"/>
      <c r="AA159" s="416"/>
      <c r="AB159" s="416"/>
      <c r="AC159" s="416"/>
      <c r="AD159" s="416"/>
      <c r="AE159" s="416"/>
      <c r="AF159" s="416"/>
      <c r="AG159" s="416"/>
      <c r="AH159" s="416"/>
      <c r="AI159" s="416"/>
      <c r="AJ159" s="416"/>
      <c r="AK159" s="416"/>
      <c r="AL159" s="416"/>
      <c r="AM159" s="416"/>
      <c r="AN159" s="416"/>
      <c r="AO159" s="416"/>
      <c r="AP159" s="416"/>
      <c r="AQ159" s="416"/>
      <c r="AR159" s="416"/>
      <c r="AS159" s="416"/>
      <c r="AT159" s="416"/>
      <c r="AU159" s="416"/>
      <c r="AV159" s="416"/>
      <c r="AW159" s="416"/>
      <c r="AX159" s="416"/>
      <c r="AY159" s="416"/>
      <c r="AZ159" s="416"/>
      <c r="BA159" s="416"/>
      <c r="BB159" s="32"/>
    </row>
    <row r="160" spans="2:54">
      <c r="B160" s="1254"/>
      <c r="C160" s="1255"/>
      <c r="D160" s="411"/>
      <c r="E160" s="411"/>
      <c r="F160" s="1256" t="s">
        <v>616</v>
      </c>
      <c r="G160" s="1257"/>
      <c r="H160" s="412">
        <v>1000</v>
      </c>
      <c r="I160" s="413"/>
      <c r="J160" s="414"/>
      <c r="K160" s="414"/>
      <c r="L160" s="414"/>
      <c r="M160" s="414"/>
      <c r="N160" s="413" t="str">
        <f t="shared" si="12"/>
        <v xml:space="preserve"> </v>
      </c>
      <c r="O160" s="51"/>
      <c r="P160" s="415"/>
      <c r="Q160" s="415"/>
      <c r="R160" s="415"/>
      <c r="S160" s="32"/>
      <c r="T160" s="416"/>
      <c r="U160" s="416"/>
      <c r="V160" s="416"/>
      <c r="W160" s="416"/>
      <c r="X160" s="416"/>
      <c r="Y160" s="416"/>
      <c r="Z160" s="416"/>
      <c r="AA160" s="416"/>
      <c r="AB160" s="416"/>
      <c r="AC160" s="416"/>
      <c r="AD160" s="416"/>
      <c r="AE160" s="416"/>
      <c r="AF160" s="416"/>
      <c r="AG160" s="416"/>
      <c r="AH160" s="416"/>
      <c r="AI160" s="416"/>
      <c r="AJ160" s="416"/>
      <c r="AK160" s="416"/>
      <c r="AL160" s="416"/>
      <c r="AM160" s="416"/>
      <c r="AN160" s="416"/>
      <c r="AO160" s="416"/>
      <c r="AP160" s="416"/>
      <c r="AQ160" s="416"/>
      <c r="AR160" s="416"/>
      <c r="AS160" s="416"/>
      <c r="AT160" s="416"/>
      <c r="AU160" s="416"/>
      <c r="AV160" s="416"/>
      <c r="AW160" s="416"/>
      <c r="AX160" s="416"/>
      <c r="AY160" s="416"/>
      <c r="AZ160" s="416"/>
      <c r="BA160" s="416"/>
      <c r="BB160" s="32"/>
    </row>
    <row r="161" spans="2:54">
      <c r="B161" s="1250" t="s">
        <v>623</v>
      </c>
      <c r="C161" s="1251"/>
      <c r="D161" s="411" t="s">
        <v>2067</v>
      </c>
      <c r="E161" s="411"/>
      <c r="F161" s="411" t="s">
        <v>1834</v>
      </c>
      <c r="G161" s="411" t="s">
        <v>1835</v>
      </c>
      <c r="H161" s="412">
        <f>'BLU DEC''23 &amp; JAN''24'!S406</f>
        <v>7550</v>
      </c>
      <c r="I161" s="413" t="s">
        <v>2068</v>
      </c>
      <c r="J161" s="414">
        <v>45117.5</v>
      </c>
      <c r="K161" s="414"/>
      <c r="L161" s="414" t="s">
        <v>192</v>
      </c>
      <c r="M161" s="414" t="s">
        <v>192</v>
      </c>
      <c r="N161" s="413" t="str">
        <f t="shared" si="12"/>
        <v>On time</v>
      </c>
      <c r="O161" s="51"/>
      <c r="P161" s="415" t="s">
        <v>551</v>
      </c>
      <c r="Q161" s="415" t="s">
        <v>551</v>
      </c>
      <c r="R161" s="415" t="s">
        <v>551</v>
      </c>
      <c r="S161" s="32"/>
      <c r="T161" s="416"/>
      <c r="U161" s="416"/>
      <c r="V161" s="416"/>
      <c r="W161" s="416"/>
      <c r="X161" s="416"/>
      <c r="Y161" s="416"/>
      <c r="Z161" s="416"/>
      <c r="AA161" s="416"/>
      <c r="AB161" s="416">
        <f>H161*0.5</f>
        <v>3775</v>
      </c>
      <c r="AC161" s="416">
        <f>H161*0.5</f>
        <v>3775</v>
      </c>
      <c r="AD161" s="416"/>
      <c r="AE161" s="416"/>
      <c r="AF161" s="416"/>
      <c r="AG161" s="416"/>
      <c r="AH161" s="416"/>
      <c r="AI161" s="416"/>
      <c r="AJ161" s="416"/>
      <c r="AK161" s="416"/>
      <c r="AL161" s="416"/>
      <c r="AM161" s="416"/>
      <c r="AN161" s="416"/>
      <c r="AO161" s="416"/>
      <c r="AP161" s="416"/>
      <c r="AQ161" s="416"/>
      <c r="AR161" s="416"/>
      <c r="AS161" s="416"/>
      <c r="AT161" s="416"/>
      <c r="AU161" s="416"/>
      <c r="AV161" s="416"/>
      <c r="AW161" s="416"/>
      <c r="AX161" s="416"/>
      <c r="AY161" s="416"/>
      <c r="AZ161" s="416"/>
      <c r="BA161" s="416"/>
      <c r="BB161" s="32"/>
    </row>
    <row r="162" spans="2:54">
      <c r="B162" s="1252"/>
      <c r="C162" s="1253"/>
      <c r="D162" s="411"/>
      <c r="E162" s="411"/>
      <c r="F162" s="1256" t="s">
        <v>668</v>
      </c>
      <c r="G162" s="1257"/>
      <c r="H162" s="412">
        <v>2000</v>
      </c>
      <c r="I162" s="413"/>
      <c r="J162" s="414"/>
      <c r="K162" s="414"/>
      <c r="L162" s="414"/>
      <c r="M162" s="414"/>
      <c r="N162" s="413" t="str">
        <f t="shared" si="12"/>
        <v xml:space="preserve"> </v>
      </c>
      <c r="O162" s="51"/>
      <c r="P162" s="415"/>
      <c r="Q162" s="415"/>
      <c r="R162" s="415"/>
      <c r="S162" s="32"/>
      <c r="T162" s="416"/>
      <c r="U162" s="416"/>
      <c r="V162" s="416"/>
      <c r="W162" s="416"/>
      <c r="X162" s="416"/>
      <c r="Y162" s="416"/>
      <c r="Z162" s="416"/>
      <c r="AA162" s="416"/>
      <c r="AB162" s="416"/>
      <c r="AC162" s="416"/>
      <c r="AD162" s="416"/>
      <c r="AE162" s="416"/>
      <c r="AF162" s="416"/>
      <c r="AG162" s="416"/>
      <c r="AH162" s="416"/>
      <c r="AI162" s="416"/>
      <c r="AJ162" s="416"/>
      <c r="AK162" s="416"/>
      <c r="AL162" s="416"/>
      <c r="AM162" s="416"/>
      <c r="AN162" s="416"/>
      <c r="AO162" s="416"/>
      <c r="AP162" s="416"/>
      <c r="AQ162" s="416"/>
      <c r="AR162" s="416"/>
      <c r="AS162" s="416"/>
      <c r="AT162" s="416"/>
      <c r="AU162" s="416"/>
      <c r="AV162" s="416"/>
      <c r="AW162" s="416"/>
      <c r="AX162" s="416"/>
      <c r="AY162" s="416"/>
      <c r="AZ162" s="416"/>
      <c r="BA162" s="416"/>
      <c r="BB162" s="32"/>
    </row>
    <row r="163" spans="2:54">
      <c r="B163" s="1254"/>
      <c r="C163" s="1255"/>
      <c r="D163" s="411"/>
      <c r="E163" s="411"/>
      <c r="F163" s="1256" t="s">
        <v>616</v>
      </c>
      <c r="G163" s="1257"/>
      <c r="H163" s="412">
        <v>2000</v>
      </c>
      <c r="I163" s="413"/>
      <c r="J163" s="414"/>
      <c r="K163" s="414"/>
      <c r="L163" s="414"/>
      <c r="M163" s="414"/>
      <c r="N163" s="413" t="str">
        <f t="shared" si="12"/>
        <v xml:space="preserve"> </v>
      </c>
      <c r="O163" s="51"/>
      <c r="P163" s="415"/>
      <c r="Q163" s="415"/>
      <c r="R163" s="415"/>
      <c r="S163" s="32"/>
      <c r="T163" s="416"/>
      <c r="U163" s="416"/>
      <c r="V163" s="416"/>
      <c r="W163" s="416"/>
      <c r="X163" s="416"/>
      <c r="Y163" s="416"/>
      <c r="Z163" s="416"/>
      <c r="AA163" s="416"/>
      <c r="AB163" s="416"/>
      <c r="AC163" s="416"/>
      <c r="AD163" s="416"/>
      <c r="AE163" s="416"/>
      <c r="AF163" s="416"/>
      <c r="AG163" s="416"/>
      <c r="AH163" s="416"/>
      <c r="AI163" s="416"/>
      <c r="AJ163" s="416"/>
      <c r="AK163" s="416"/>
      <c r="AL163" s="416"/>
      <c r="AM163" s="416"/>
      <c r="AN163" s="416"/>
      <c r="AO163" s="416"/>
      <c r="AP163" s="416"/>
      <c r="AQ163" s="416"/>
      <c r="AR163" s="416"/>
      <c r="AS163" s="416"/>
      <c r="AT163" s="416"/>
      <c r="AU163" s="416"/>
      <c r="AV163" s="416"/>
      <c r="AW163" s="416"/>
      <c r="AX163" s="416"/>
      <c r="AY163" s="416"/>
      <c r="AZ163" s="416"/>
      <c r="BA163" s="416"/>
      <c r="BB163" s="32"/>
    </row>
    <row r="164" spans="2:54">
      <c r="B164" s="1250" t="s">
        <v>624</v>
      </c>
      <c r="C164" s="1251"/>
      <c r="D164" s="411" t="s">
        <v>2069</v>
      </c>
      <c r="E164" s="411"/>
      <c r="F164" s="411" t="s">
        <v>374</v>
      </c>
      <c r="G164" s="411" t="s">
        <v>275</v>
      </c>
      <c r="H164" s="412">
        <f>7615.054-1798.759</f>
        <v>5816.2950000000001</v>
      </c>
      <c r="I164" s="413" t="s">
        <v>235</v>
      </c>
      <c r="J164" s="414">
        <v>45117.434027777781</v>
      </c>
      <c r="K164" s="414"/>
      <c r="L164" s="414" t="s">
        <v>192</v>
      </c>
      <c r="M164" s="414" t="s">
        <v>192</v>
      </c>
      <c r="N164" s="413" t="str">
        <f t="shared" si="12"/>
        <v>On time</v>
      </c>
      <c r="O164" s="51"/>
      <c r="P164" s="415" t="s">
        <v>551</v>
      </c>
      <c r="Q164" s="415" t="s">
        <v>551</v>
      </c>
      <c r="R164" s="415" t="s">
        <v>551</v>
      </c>
      <c r="S164" s="32"/>
      <c r="T164" s="416"/>
      <c r="U164" s="416"/>
      <c r="V164" s="416"/>
      <c r="W164" s="416"/>
      <c r="X164" s="416"/>
      <c r="Y164" s="416"/>
      <c r="Z164" s="416"/>
      <c r="AA164" s="416"/>
      <c r="AB164" s="416">
        <f>H164</f>
        <v>5816.2950000000001</v>
      </c>
      <c r="AC164" s="416"/>
      <c r="AD164" s="416"/>
      <c r="AE164" s="416"/>
      <c r="AF164" s="416"/>
      <c r="AG164" s="416"/>
      <c r="AH164" s="416"/>
      <c r="AI164" s="416"/>
      <c r="AJ164" s="32"/>
      <c r="AK164" s="416"/>
      <c r="AL164" s="416"/>
      <c r="AM164" s="416"/>
      <c r="AN164" s="416"/>
      <c r="AO164" s="416"/>
      <c r="AP164" s="416"/>
      <c r="AQ164" s="416"/>
      <c r="AR164" s="416"/>
      <c r="AS164" s="416"/>
      <c r="AT164" s="416"/>
      <c r="AU164" s="416"/>
      <c r="AV164" s="416"/>
      <c r="AW164" s="416"/>
      <c r="AX164" s="416"/>
      <c r="AY164" s="286"/>
      <c r="AZ164" s="416"/>
      <c r="BA164" s="416"/>
      <c r="BB164" s="32"/>
    </row>
    <row r="165" spans="2:54">
      <c r="B165" s="1254"/>
      <c r="C165" s="1255"/>
      <c r="D165" s="411"/>
      <c r="E165" s="411"/>
      <c r="F165" s="1256" t="s">
        <v>616</v>
      </c>
      <c r="G165" s="1257"/>
      <c r="H165" s="412">
        <v>2500</v>
      </c>
      <c r="I165" s="413"/>
      <c r="J165" s="414"/>
      <c r="K165" s="414"/>
      <c r="L165" s="414"/>
      <c r="M165" s="414"/>
      <c r="N165" s="413" t="str">
        <f t="shared" si="12"/>
        <v xml:space="preserve"> </v>
      </c>
      <c r="O165" s="51"/>
      <c r="P165" s="415"/>
      <c r="Q165" s="415"/>
      <c r="R165" s="415"/>
      <c r="S165" s="32"/>
      <c r="T165" s="416"/>
      <c r="U165" s="416"/>
      <c r="V165" s="416"/>
      <c r="W165" s="416"/>
      <c r="X165" s="416"/>
      <c r="Y165" s="416"/>
      <c r="Z165" s="416"/>
      <c r="AA165" s="416"/>
      <c r="AB165" s="416"/>
      <c r="AC165" s="416"/>
      <c r="AD165" s="416"/>
      <c r="AE165" s="416"/>
      <c r="AF165" s="416"/>
      <c r="AG165" s="416"/>
      <c r="AH165" s="416"/>
      <c r="AI165" s="416"/>
      <c r="AJ165" s="416"/>
      <c r="AK165" s="416"/>
      <c r="AL165" s="416"/>
      <c r="AM165" s="416"/>
      <c r="AN165" s="416"/>
      <c r="AO165" s="416"/>
      <c r="AP165" s="416"/>
      <c r="AQ165" s="416"/>
      <c r="AR165" s="416"/>
      <c r="AS165" s="416"/>
      <c r="AT165" s="416"/>
      <c r="AU165" s="416"/>
      <c r="AV165" s="416"/>
      <c r="AW165" s="416"/>
      <c r="AX165" s="416"/>
      <c r="AY165" s="416"/>
      <c r="AZ165" s="416"/>
      <c r="BA165" s="416"/>
      <c r="BB165" s="32"/>
    </row>
    <row r="166" spans="2:54">
      <c r="B166" s="1258" t="s">
        <v>626</v>
      </c>
      <c r="C166" s="1259"/>
      <c r="D166" s="1259"/>
      <c r="E166" s="1259"/>
      <c r="F166" s="1259"/>
      <c r="G166" s="1260"/>
      <c r="H166" s="417">
        <f>H153+H161+H158+H164+H155</f>
        <v>30918.658999999996</v>
      </c>
      <c r="I166" s="388"/>
      <c r="J166" s="293"/>
      <c r="K166" s="293"/>
      <c r="L166" s="293"/>
      <c r="M166" s="389"/>
      <c r="N166" s="413" t="str">
        <f t="shared" si="12"/>
        <v xml:space="preserve"> </v>
      </c>
      <c r="O166" s="47"/>
      <c r="P166" s="418"/>
      <c r="Q166" s="418"/>
      <c r="R166" s="418"/>
      <c r="S166" s="32"/>
      <c r="T166" s="1261"/>
      <c r="U166" s="1261"/>
      <c r="V166" s="1261"/>
      <c r="W166" s="1261"/>
      <c r="X166" s="1261"/>
      <c r="Y166" s="1261"/>
      <c r="Z166" s="1261"/>
      <c r="AA166" s="1261"/>
      <c r="AB166" s="1261"/>
      <c r="AC166" s="1261"/>
      <c r="AD166" s="1261"/>
      <c r="AE166" s="1261"/>
      <c r="AF166" s="1261"/>
      <c r="AG166" s="1261"/>
      <c r="AH166" s="1261"/>
      <c r="AI166" s="1261"/>
      <c r="AJ166" s="1261"/>
      <c r="AK166" s="1261"/>
      <c r="AL166" s="1261"/>
      <c r="AM166" s="1261"/>
      <c r="AN166" s="1261"/>
      <c r="AO166" s="1261"/>
      <c r="AP166" s="1261"/>
      <c r="AQ166" s="1261"/>
      <c r="AR166" s="1261"/>
      <c r="AS166" s="1261"/>
      <c r="AT166" s="1261"/>
      <c r="AU166" s="1261"/>
      <c r="AV166" s="1261"/>
      <c r="AW166" s="1261"/>
      <c r="AX166" s="1261"/>
      <c r="AY166" s="1261"/>
      <c r="AZ166" s="1261"/>
      <c r="BA166" s="1261"/>
    </row>
    <row r="167" spans="2:54">
      <c r="B167" s="1258" t="s">
        <v>556</v>
      </c>
      <c r="C167" s="1259"/>
      <c r="D167" s="1259"/>
      <c r="E167" s="1259"/>
      <c r="F167" s="1259"/>
      <c r="G167" s="1260"/>
      <c r="H167" s="417">
        <f>H152+H166</f>
        <v>43600.659</v>
      </c>
      <c r="I167" s="388"/>
      <c r="J167" s="293"/>
      <c r="K167" s="293"/>
      <c r="L167" s="293"/>
      <c r="M167" s="389"/>
      <c r="N167" s="413" t="str">
        <f t="shared" si="12"/>
        <v xml:space="preserve"> </v>
      </c>
      <c r="O167" s="212"/>
      <c r="P167" s="418"/>
      <c r="Q167" s="418"/>
      <c r="R167" s="418"/>
      <c r="S167" s="207"/>
      <c r="T167" s="1300"/>
      <c r="U167" s="1301"/>
      <c r="V167" s="1301"/>
      <c r="W167" s="1301"/>
      <c r="X167" s="1301"/>
      <c r="Y167" s="1301"/>
      <c r="Z167" s="1301"/>
      <c r="AA167" s="1301"/>
      <c r="AB167" s="1301"/>
      <c r="AC167" s="1301"/>
      <c r="AD167" s="1301"/>
      <c r="AE167" s="1301"/>
      <c r="AF167" s="1301"/>
      <c r="AG167" s="1301"/>
      <c r="AH167" s="1301"/>
      <c r="AI167" s="1301"/>
      <c r="AJ167" s="1301"/>
      <c r="AK167" s="1301"/>
      <c r="AL167" s="1301"/>
      <c r="AM167" s="1301"/>
      <c r="AN167" s="1301"/>
      <c r="AO167" s="1301"/>
      <c r="AP167" s="1301"/>
      <c r="AQ167" s="1301"/>
      <c r="AR167" s="1301"/>
      <c r="AS167" s="1301"/>
      <c r="AT167" s="1301"/>
      <c r="AU167" s="1301"/>
      <c r="AV167" s="1301"/>
      <c r="AW167" s="1301"/>
      <c r="AX167" s="1301"/>
      <c r="AY167" s="1301"/>
      <c r="AZ167" s="1301"/>
      <c r="BA167" s="1301"/>
    </row>
    <row r="168" spans="2:54">
      <c r="B168" s="1243" t="s">
        <v>557</v>
      </c>
      <c r="C168" s="1244"/>
      <c r="D168" s="1244"/>
      <c r="E168" s="1244"/>
      <c r="F168" s="1244"/>
      <c r="G168" s="1245"/>
      <c r="H168" s="461">
        <v>43498</v>
      </c>
      <c r="I168" s="1273"/>
      <c r="J168" s="1274"/>
      <c r="K168" s="1274"/>
      <c r="L168" s="1274"/>
      <c r="M168" s="1275"/>
      <c r="N168" s="413" t="str">
        <f t="shared" si="12"/>
        <v xml:space="preserve"> </v>
      </c>
      <c r="O168" s="32"/>
      <c r="P168" s="415"/>
      <c r="Q168" s="415"/>
      <c r="R168" s="415"/>
      <c r="S168" s="63"/>
      <c r="T168" s="416">
        <f t="shared" ref="T168:BA168" si="13">SUM(T150:T164)</f>
        <v>0</v>
      </c>
      <c r="U168" s="416">
        <f t="shared" si="13"/>
        <v>0</v>
      </c>
      <c r="V168" s="416">
        <f t="shared" si="13"/>
        <v>0</v>
      </c>
      <c r="W168" s="416">
        <f t="shared" si="13"/>
        <v>0</v>
      </c>
      <c r="X168" s="416">
        <f t="shared" si="13"/>
        <v>0</v>
      </c>
      <c r="Y168" s="416">
        <f t="shared" si="13"/>
        <v>0</v>
      </c>
      <c r="Z168" s="416">
        <f t="shared" si="13"/>
        <v>0</v>
      </c>
      <c r="AA168" s="416">
        <f t="shared" si="13"/>
        <v>0</v>
      </c>
      <c r="AB168" s="416">
        <f t="shared" si="13"/>
        <v>25994.921000000002</v>
      </c>
      <c r="AC168" s="416">
        <f t="shared" si="13"/>
        <v>3775</v>
      </c>
      <c r="AD168" s="416">
        <f t="shared" si="13"/>
        <v>0</v>
      </c>
      <c r="AE168" s="416">
        <f t="shared" si="13"/>
        <v>0</v>
      </c>
      <c r="AF168" s="416">
        <f t="shared" si="13"/>
        <v>0</v>
      </c>
      <c r="AG168" s="416">
        <f t="shared" si="13"/>
        <v>0</v>
      </c>
      <c r="AH168" s="416">
        <f t="shared" si="13"/>
        <v>0</v>
      </c>
      <c r="AI168" s="416">
        <f t="shared" si="13"/>
        <v>0</v>
      </c>
      <c r="AJ168" s="416">
        <f t="shared" si="13"/>
        <v>0</v>
      </c>
      <c r="AK168" s="416">
        <f t="shared" si="13"/>
        <v>7500</v>
      </c>
      <c r="AL168" s="416">
        <f t="shared" si="13"/>
        <v>0</v>
      </c>
      <c r="AM168" s="416">
        <f t="shared" si="13"/>
        <v>0</v>
      </c>
      <c r="AN168" s="416">
        <f t="shared" si="13"/>
        <v>0</v>
      </c>
      <c r="AO168" s="416">
        <f t="shared" si="13"/>
        <v>0</v>
      </c>
      <c r="AP168" s="416">
        <f t="shared" si="13"/>
        <v>0</v>
      </c>
      <c r="AQ168" s="416">
        <f t="shared" si="13"/>
        <v>0</v>
      </c>
      <c r="AR168" s="416">
        <f t="shared" si="13"/>
        <v>5182</v>
      </c>
      <c r="AS168" s="416">
        <f t="shared" si="13"/>
        <v>0</v>
      </c>
      <c r="AT168" s="416">
        <f t="shared" si="13"/>
        <v>0</v>
      </c>
      <c r="AU168" s="416">
        <f t="shared" si="13"/>
        <v>0</v>
      </c>
      <c r="AV168" s="416">
        <f t="shared" si="13"/>
        <v>0</v>
      </c>
      <c r="AW168" s="416">
        <f t="shared" si="13"/>
        <v>0</v>
      </c>
      <c r="AX168" s="416">
        <f t="shared" si="13"/>
        <v>0</v>
      </c>
      <c r="AY168" s="416">
        <f t="shared" si="13"/>
        <v>0</v>
      </c>
      <c r="AZ168" s="416">
        <f t="shared" si="13"/>
        <v>0</v>
      </c>
      <c r="BA168" s="416">
        <f t="shared" si="13"/>
        <v>0</v>
      </c>
      <c r="BB168" s="416">
        <f>SUM(T168:BA168)</f>
        <v>42451.921000000002</v>
      </c>
    </row>
    <row r="169" spans="2:54">
      <c r="B169" s="1243" t="s">
        <v>558</v>
      </c>
      <c r="C169" s="1244"/>
      <c r="D169" s="1244"/>
      <c r="E169" s="1244"/>
      <c r="F169" s="1244"/>
      <c r="G169" s="1245"/>
      <c r="H169" s="446">
        <f>H168-L144</f>
        <v>0</v>
      </c>
      <c r="I169" s="294"/>
      <c r="J169" s="295"/>
      <c r="K169" s="295"/>
      <c r="L169" s="296"/>
      <c r="M169" s="32"/>
      <c r="N169" s="32"/>
      <c r="O169" s="32"/>
      <c r="P169" s="32"/>
      <c r="Q169" s="297"/>
      <c r="R169" s="297"/>
      <c r="S169" s="32"/>
      <c r="T169" s="48"/>
      <c r="U169" s="48"/>
      <c r="V169" s="48"/>
      <c r="W169" s="48"/>
      <c r="X169" s="48"/>
      <c r="Y169" s="48"/>
      <c r="Z169" s="48"/>
      <c r="AA169" s="48"/>
      <c r="AB169" s="48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</row>
    <row r="170" spans="2:54">
      <c r="B170" s="1243" t="s">
        <v>559</v>
      </c>
      <c r="C170" s="1244"/>
      <c r="D170" s="1244"/>
      <c r="E170" s="1244"/>
      <c r="F170" s="1244"/>
      <c r="G170" s="1245"/>
      <c r="H170" s="446">
        <v>1148.7380000000001</v>
      </c>
      <c r="I170" s="52"/>
      <c r="J170" s="53"/>
      <c r="K170" s="53"/>
      <c r="L170" s="54"/>
      <c r="M170" s="32"/>
      <c r="N170" s="201"/>
      <c r="O170" s="32"/>
      <c r="P170" s="32"/>
      <c r="Q170" s="32"/>
      <c r="R170" s="32"/>
      <c r="S170" s="32"/>
      <c r="T170" s="48"/>
      <c r="U170" s="48"/>
      <c r="V170" s="48"/>
      <c r="W170" s="48"/>
      <c r="X170" s="48"/>
      <c r="Y170" s="48"/>
      <c r="Z170" s="48"/>
      <c r="AA170" s="48"/>
      <c r="AB170" s="48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</row>
    <row r="171" spans="2:54">
      <c r="B171" s="1243" t="s">
        <v>560</v>
      </c>
      <c r="C171" s="1244"/>
      <c r="D171" s="1244"/>
      <c r="E171" s="1244"/>
      <c r="F171" s="1244"/>
      <c r="G171" s="1245"/>
      <c r="H171" s="421">
        <f>H170-1798.759</f>
        <v>-650.02099999999996</v>
      </c>
      <c r="I171" s="52"/>
      <c r="J171" s="53"/>
      <c r="K171" s="53"/>
      <c r="L171" s="54"/>
      <c r="M171" s="32"/>
      <c r="N171" s="32"/>
      <c r="O171" s="32"/>
      <c r="P171" s="32"/>
      <c r="Q171" s="32"/>
      <c r="R171" s="32"/>
      <c r="S171" s="48"/>
      <c r="T171" s="48"/>
      <c r="U171" s="48"/>
      <c r="V171" s="48"/>
      <c r="W171" s="48"/>
      <c r="X171" s="48"/>
      <c r="Y171" s="48"/>
      <c r="Z171" s="48"/>
      <c r="AA171" s="48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54">
      <c r="B172" s="201"/>
      <c r="C172" s="201"/>
      <c r="D172" s="201"/>
      <c r="E172" s="201"/>
      <c r="F172" s="201"/>
      <c r="G172" s="201"/>
      <c r="H172" s="201"/>
      <c r="I172" s="213"/>
      <c r="J172" s="209"/>
      <c r="K172" s="209"/>
      <c r="L172" s="203"/>
      <c r="M172" s="201"/>
      <c r="N172" s="201"/>
      <c r="O172" s="209"/>
      <c r="P172" s="32"/>
      <c r="Q172" s="32"/>
      <c r="R172" s="32"/>
      <c r="S172" s="32"/>
      <c r="T172" s="48"/>
      <c r="U172" s="48"/>
      <c r="V172" s="48"/>
      <c r="W172" s="48"/>
      <c r="X172" s="48"/>
      <c r="Y172" s="48"/>
      <c r="Z172" s="48"/>
      <c r="AA172" s="48"/>
      <c r="AB172" s="48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</row>
    <row r="173" spans="2:54">
      <c r="B173" s="40" t="s">
        <v>561</v>
      </c>
      <c r="C173" s="40"/>
      <c r="D173" s="32"/>
      <c r="E173" s="32"/>
      <c r="F173" s="32"/>
      <c r="G173" s="32"/>
      <c r="H173" s="32"/>
      <c r="I173" s="32"/>
      <c r="J173" s="52"/>
      <c r="K173" s="52"/>
      <c r="L173" s="55"/>
      <c r="M173" s="32"/>
      <c r="N173" s="201"/>
      <c r="O173" s="5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1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201"/>
      <c r="AQ173" s="201"/>
      <c r="AR173" s="201"/>
      <c r="AS173" s="201"/>
      <c r="AT173" s="201"/>
      <c r="AU173" s="201"/>
      <c r="BB173" s="201"/>
    </row>
    <row r="174" spans="2:54">
      <c r="B174" s="422">
        <v>1</v>
      </c>
      <c r="C174" s="1249" t="s">
        <v>2070</v>
      </c>
      <c r="D174" s="1249"/>
      <c r="E174" s="1249"/>
      <c r="F174" s="1249"/>
      <c r="G174" s="1249"/>
      <c r="H174" s="1249"/>
      <c r="I174" s="1249"/>
      <c r="J174" s="1249"/>
      <c r="K174" s="1249"/>
      <c r="L174" s="203"/>
      <c r="M174" s="203"/>
      <c r="N174" s="201"/>
      <c r="O174" s="209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1"/>
      <c r="AC174" s="201"/>
      <c r="AD174" s="201"/>
      <c r="AE174" s="201"/>
      <c r="AF174" s="201"/>
      <c r="AG174" s="201"/>
      <c r="AH174" s="201"/>
      <c r="AI174" s="201"/>
      <c r="AJ174" s="201"/>
      <c r="AK174" s="201"/>
      <c r="AL174" s="201"/>
      <c r="AM174" s="201"/>
      <c r="AN174" s="201"/>
      <c r="AO174" s="201"/>
      <c r="AP174" s="201"/>
      <c r="AQ174" s="201"/>
      <c r="AR174" s="201"/>
      <c r="AS174" s="201"/>
      <c r="AT174" s="201"/>
      <c r="AU174" s="201"/>
      <c r="AV174" s="201"/>
      <c r="AW174" s="201"/>
      <c r="AX174" s="201"/>
      <c r="AY174" s="201"/>
      <c r="AZ174" s="201"/>
      <c r="BA174" s="201"/>
      <c r="BB174" s="201"/>
    </row>
    <row r="176" spans="2:54">
      <c r="B176" s="28" t="s">
        <v>126</v>
      </c>
      <c r="C176" s="28"/>
      <c r="D176" s="29"/>
      <c r="E176" s="30" t="s">
        <v>511</v>
      </c>
      <c r="F176" s="31" t="s">
        <v>2071</v>
      </c>
      <c r="G176" s="32"/>
      <c r="H176" s="33"/>
      <c r="I176" s="34"/>
      <c r="J176" s="35" t="s">
        <v>513</v>
      </c>
      <c r="K176" s="36" t="s">
        <v>511</v>
      </c>
      <c r="L176" s="37">
        <v>45122.572916666664</v>
      </c>
      <c r="M176" s="32"/>
      <c r="N176" s="32"/>
      <c r="O176" s="206"/>
      <c r="P176" s="205"/>
      <c r="Q176" s="202"/>
      <c r="R176" s="204"/>
      <c r="S176" s="38"/>
      <c r="T176" s="201"/>
      <c r="U176" s="201"/>
      <c r="V176" s="201"/>
      <c r="W176" s="201"/>
      <c r="X176" s="201"/>
      <c r="Y176" s="201"/>
      <c r="Z176" s="201"/>
      <c r="AA176" s="201"/>
      <c r="AB176" s="202"/>
      <c r="AC176" s="202"/>
      <c r="AD176" s="202"/>
      <c r="AE176" s="202"/>
      <c r="AF176" s="202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  <c r="AQ176" s="201"/>
      <c r="AR176" s="201"/>
      <c r="AS176" s="201"/>
      <c r="AT176" s="201"/>
      <c r="AU176" s="201"/>
      <c r="AV176" s="201"/>
      <c r="AW176" s="201"/>
      <c r="AX176" s="201"/>
      <c r="AY176" s="201"/>
      <c r="AZ176" s="201"/>
      <c r="BA176" s="201"/>
      <c r="BB176" s="201"/>
    </row>
    <row r="177" spans="2:54">
      <c r="B177" s="35" t="s">
        <v>514</v>
      </c>
      <c r="C177" s="35"/>
      <c r="D177" s="32"/>
      <c r="E177" s="36" t="s">
        <v>511</v>
      </c>
      <c r="F177" s="311" t="s">
        <v>2072</v>
      </c>
      <c r="G177" s="32"/>
      <c r="H177" s="33"/>
      <c r="I177" s="34"/>
      <c r="J177" s="35" t="s">
        <v>516</v>
      </c>
      <c r="K177" s="36" t="s">
        <v>511</v>
      </c>
      <c r="L177" s="37">
        <v>45124.15625</v>
      </c>
      <c r="M177" s="32"/>
      <c r="N177" s="32"/>
      <c r="O177" s="206"/>
      <c r="P177" s="205"/>
      <c r="Q177" s="202"/>
      <c r="R177" s="204"/>
      <c r="S177" s="38"/>
      <c r="T177" s="201"/>
      <c r="U177" s="201"/>
      <c r="V177" s="201"/>
      <c r="W177" s="201"/>
      <c r="X177" s="201"/>
      <c r="Y177" s="201"/>
      <c r="Z177" s="201"/>
      <c r="AA177" s="201"/>
      <c r="AB177" s="202"/>
      <c r="AC177" s="202"/>
      <c r="AD177" s="202"/>
      <c r="AE177" s="202"/>
      <c r="AF177" s="202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  <c r="AQ177" s="201"/>
      <c r="AR177" s="201"/>
      <c r="AS177" s="201"/>
      <c r="AT177" s="201"/>
      <c r="AU177" s="201"/>
      <c r="AV177" s="201"/>
      <c r="AW177" s="201"/>
      <c r="AX177" s="201"/>
      <c r="AY177" s="201"/>
      <c r="AZ177" s="201"/>
      <c r="BA177" s="201"/>
      <c r="BB177" s="201"/>
    </row>
    <row r="178" spans="2:54">
      <c r="B178" s="35" t="s">
        <v>517</v>
      </c>
      <c r="C178" s="35"/>
      <c r="D178" s="32"/>
      <c r="E178" s="36" t="s">
        <v>511</v>
      </c>
      <c r="F178" s="37">
        <v>45122.338194444441</v>
      </c>
      <c r="G178" s="32"/>
      <c r="H178" s="33"/>
      <c r="I178" s="34"/>
      <c r="J178" s="35" t="s">
        <v>518</v>
      </c>
      <c r="K178" s="36" t="s">
        <v>511</v>
      </c>
      <c r="L178" s="50">
        <v>59720</v>
      </c>
      <c r="M178" s="40" t="s">
        <v>519</v>
      </c>
      <c r="N178" s="40"/>
      <c r="O178" s="206"/>
      <c r="P178" s="205"/>
      <c r="Q178" s="202"/>
      <c r="R178" s="204"/>
      <c r="S178" s="38"/>
      <c r="T178" s="201"/>
      <c r="U178" s="201"/>
      <c r="V178" s="201"/>
      <c r="W178" s="201"/>
      <c r="X178" s="201"/>
      <c r="Y178" s="201"/>
      <c r="Z178" s="201"/>
      <c r="AA178" s="201"/>
      <c r="AB178" s="202"/>
      <c r="AC178" s="202"/>
      <c r="AD178" s="202"/>
      <c r="AE178" s="202"/>
      <c r="AF178" s="202"/>
      <c r="AG178" s="201"/>
      <c r="AH178" s="201"/>
      <c r="AI178" s="201"/>
      <c r="AJ178" s="201"/>
      <c r="AK178" s="201"/>
      <c r="AL178" s="201"/>
      <c r="AM178" s="201"/>
      <c r="AN178" s="201"/>
      <c r="AO178" s="201"/>
      <c r="AP178" s="201"/>
      <c r="AQ178" s="201"/>
      <c r="AR178" s="201"/>
      <c r="AS178" s="201"/>
      <c r="AT178" s="201"/>
      <c r="AU178" s="201"/>
      <c r="AV178" s="201"/>
      <c r="AW178" s="201"/>
      <c r="AX178" s="201"/>
      <c r="AY178" s="201"/>
      <c r="AZ178" s="201"/>
      <c r="BA178" s="201"/>
      <c r="BB178" s="201"/>
    </row>
    <row r="179" spans="2:54">
      <c r="B179" s="35" t="s">
        <v>520</v>
      </c>
      <c r="C179" s="35"/>
      <c r="D179" s="32"/>
      <c r="E179" s="36" t="s">
        <v>511</v>
      </c>
      <c r="F179" s="37" t="s">
        <v>4</v>
      </c>
      <c r="G179" s="32"/>
      <c r="H179" s="33"/>
      <c r="I179" s="34"/>
      <c r="J179" s="35" t="s">
        <v>521</v>
      </c>
      <c r="K179" s="36" t="s">
        <v>511</v>
      </c>
      <c r="L179" s="41" t="s">
        <v>2073</v>
      </c>
      <c r="M179" s="32"/>
      <c r="N179" s="32"/>
      <c r="O179" s="206"/>
      <c r="P179" s="202"/>
      <c r="Q179" s="202"/>
      <c r="R179" s="204"/>
      <c r="S179" s="38"/>
      <c r="T179" s="201"/>
      <c r="U179" s="201"/>
      <c r="V179" s="201"/>
      <c r="W179" s="201"/>
      <c r="X179" s="201"/>
      <c r="Y179" s="201"/>
      <c r="Z179" s="201"/>
      <c r="AA179" s="201"/>
      <c r="AB179" s="202"/>
      <c r="AC179" s="202"/>
      <c r="AD179" s="202"/>
      <c r="AE179" s="202"/>
      <c r="AF179" s="202"/>
      <c r="AG179" s="201"/>
      <c r="AH179" s="201"/>
      <c r="AI179" s="201"/>
      <c r="AJ179" s="201"/>
      <c r="AK179" s="201"/>
      <c r="AL179" s="201"/>
      <c r="AM179" s="201"/>
      <c r="AN179" s="201"/>
      <c r="AO179" s="201"/>
      <c r="AP179" s="201"/>
      <c r="AQ179" s="201"/>
      <c r="AR179" s="201"/>
      <c r="AS179" s="201"/>
      <c r="AT179" s="201"/>
      <c r="AU179" s="201"/>
      <c r="AV179" s="201"/>
      <c r="AW179" s="201"/>
      <c r="AX179" s="201"/>
      <c r="AY179" s="201"/>
      <c r="AZ179" s="201"/>
      <c r="BA179" s="201"/>
      <c r="BB179" s="201"/>
    </row>
    <row r="180" spans="2:54">
      <c r="B180" s="35" t="s">
        <v>523</v>
      </c>
      <c r="C180" s="35"/>
      <c r="D180" s="32"/>
      <c r="E180" s="36" t="s">
        <v>511</v>
      </c>
      <c r="F180" s="37" t="s">
        <v>5</v>
      </c>
      <c r="G180" s="32"/>
      <c r="H180" s="33"/>
      <c r="I180" s="34"/>
      <c r="J180" s="42" t="s">
        <v>524</v>
      </c>
      <c r="K180" s="36" t="s">
        <v>511</v>
      </c>
      <c r="L180" s="43" t="s">
        <v>11</v>
      </c>
      <c r="M180" s="44"/>
      <c r="N180" s="44"/>
      <c r="O180" s="206"/>
      <c r="P180" s="205"/>
      <c r="Q180" s="202"/>
      <c r="R180" s="204"/>
      <c r="S180" s="38"/>
      <c r="T180" s="201"/>
      <c r="U180" s="201"/>
      <c r="V180" s="201"/>
      <c r="W180" s="201"/>
      <c r="X180" s="201"/>
      <c r="Y180" s="201"/>
      <c r="Z180" s="201"/>
      <c r="AA180" s="201"/>
      <c r="AB180" s="202"/>
      <c r="AC180" s="202"/>
      <c r="AD180" s="202"/>
      <c r="AE180" s="202"/>
      <c r="AF180" s="202"/>
      <c r="AG180" s="201"/>
      <c r="AH180" s="201"/>
      <c r="AI180" s="201"/>
      <c r="AJ180" s="201"/>
      <c r="AK180" s="201"/>
      <c r="AL180" s="201"/>
      <c r="AM180" s="201"/>
      <c r="AN180" s="201"/>
      <c r="AO180" s="201"/>
      <c r="AP180" s="201"/>
      <c r="AQ180" s="201"/>
      <c r="AR180" s="201"/>
      <c r="AS180" s="201"/>
      <c r="AT180" s="201"/>
      <c r="AU180" s="201"/>
      <c r="AV180" s="201"/>
      <c r="AW180" s="201"/>
      <c r="AX180" s="201"/>
      <c r="AY180" s="201"/>
      <c r="AZ180" s="201"/>
      <c r="BA180" s="201"/>
      <c r="BB180" s="201"/>
    </row>
    <row r="181" spans="2:54">
      <c r="B181" s="35" t="s">
        <v>2</v>
      </c>
      <c r="C181" s="35"/>
      <c r="D181" s="32"/>
      <c r="E181" s="36" t="s">
        <v>511</v>
      </c>
      <c r="F181" s="37" t="s">
        <v>40</v>
      </c>
      <c r="G181" s="32"/>
      <c r="H181" s="33"/>
      <c r="I181" s="45"/>
      <c r="J181" s="42"/>
      <c r="K181" s="36"/>
      <c r="L181" s="211"/>
      <c r="M181" s="201"/>
      <c r="N181" s="201"/>
      <c r="O181" s="42"/>
      <c r="P181" s="44"/>
      <c r="Q181" s="44"/>
      <c r="R181" s="44"/>
      <c r="S181" s="34"/>
      <c r="T181" s="201"/>
      <c r="U181" s="201"/>
      <c r="V181" s="201"/>
      <c r="W181" s="201"/>
      <c r="X181" s="201"/>
      <c r="Y181" s="201"/>
      <c r="Z181" s="201"/>
      <c r="AA181" s="201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201"/>
      <c r="AP181" s="201"/>
      <c r="AQ181" s="201"/>
      <c r="AR181" s="201"/>
      <c r="AS181" s="201"/>
      <c r="AT181" s="201"/>
      <c r="AU181" s="201"/>
      <c r="AV181" s="201"/>
      <c r="AW181" s="201"/>
      <c r="AX181" s="201"/>
      <c r="AY181" s="201"/>
      <c r="AZ181" s="201"/>
      <c r="BA181" s="201"/>
      <c r="BB181" s="201"/>
    </row>
    <row r="182" spans="2:54">
      <c r="B182" s="201"/>
      <c r="C182" s="201"/>
      <c r="D182" s="201"/>
      <c r="E182" s="201"/>
      <c r="F182" s="201"/>
      <c r="G182" s="201"/>
      <c r="H182" s="201"/>
      <c r="I182" s="45"/>
      <c r="J182" s="42"/>
      <c r="K182" s="42"/>
      <c r="L182" s="43"/>
      <c r="M182" s="44"/>
      <c r="N182" s="44"/>
      <c r="O182" s="42"/>
      <c r="P182" s="44"/>
      <c r="Q182" s="44"/>
      <c r="R182" s="44"/>
      <c r="S182" s="34"/>
      <c r="T182" s="1265" t="s">
        <v>87</v>
      </c>
      <c r="U182" s="1265"/>
      <c r="V182" s="1265"/>
      <c r="W182" s="1265"/>
      <c r="X182" s="1265"/>
      <c r="Y182" s="1265" t="s">
        <v>73</v>
      </c>
      <c r="Z182" s="1265"/>
      <c r="AA182" s="1265"/>
      <c r="AB182" s="1265" t="s">
        <v>74</v>
      </c>
      <c r="AC182" s="1265"/>
      <c r="AD182" s="423" t="s">
        <v>85</v>
      </c>
      <c r="AE182" s="423" t="s">
        <v>77</v>
      </c>
      <c r="AF182" s="1265" t="s">
        <v>525</v>
      </c>
      <c r="AG182" s="1265"/>
      <c r="AH182" s="1265"/>
      <c r="AI182" s="1265"/>
      <c r="AJ182" s="1265"/>
      <c r="AK182" s="1265"/>
      <c r="AL182" s="1265"/>
      <c r="AM182" s="1265"/>
      <c r="AN182" s="1265"/>
      <c r="AO182" s="1265"/>
      <c r="AP182" s="1265"/>
      <c r="AQ182" s="1265"/>
      <c r="AR182" s="1265"/>
      <c r="AS182" s="1265"/>
      <c r="AT182" s="1265"/>
      <c r="AU182" s="1265"/>
      <c r="AV182" s="1265"/>
      <c r="AW182" s="1265"/>
      <c r="AX182" s="1265"/>
      <c r="AY182" s="1265"/>
      <c r="AZ182" s="1265"/>
      <c r="BA182" s="1265"/>
      <c r="BB182" s="201"/>
    </row>
    <row r="183" spans="2:54">
      <c r="B183" s="1266" t="s">
        <v>526</v>
      </c>
      <c r="C183" s="1267"/>
      <c r="D183" s="570" t="s">
        <v>527</v>
      </c>
      <c r="E183" s="570"/>
      <c r="F183" s="570" t="s">
        <v>528</v>
      </c>
      <c r="G183" s="570" t="s">
        <v>529</v>
      </c>
      <c r="H183" s="570" t="s">
        <v>530</v>
      </c>
      <c r="I183" s="570" t="s">
        <v>531</v>
      </c>
      <c r="J183" s="570" t="s">
        <v>532</v>
      </c>
      <c r="K183" s="570"/>
      <c r="L183" s="570" t="s">
        <v>130</v>
      </c>
      <c r="M183" s="570" t="s">
        <v>533</v>
      </c>
      <c r="N183" s="408" t="str">
        <f>"On time - "&amp;COUNTIF(N184:N202,"On time")&amp;" from "&amp;ROWS(N184:N202)-COUNTIF(N184:N202," ")</f>
        <v>On time - 8 from 8</v>
      </c>
      <c r="O183" s="46"/>
      <c r="P183" s="409" t="s">
        <v>534</v>
      </c>
      <c r="Q183" s="409" t="s">
        <v>535</v>
      </c>
      <c r="R183" s="409" t="s">
        <v>536</v>
      </c>
      <c r="S183" s="32"/>
      <c r="T183" s="424" t="s">
        <v>537</v>
      </c>
      <c r="U183" s="424" t="s">
        <v>538</v>
      </c>
      <c r="V183" s="424" t="s">
        <v>539</v>
      </c>
      <c r="W183" s="424" t="s">
        <v>540</v>
      </c>
      <c r="X183" s="424" t="s">
        <v>541</v>
      </c>
      <c r="Y183" s="424" t="s">
        <v>167</v>
      </c>
      <c r="Z183" s="424" t="s">
        <v>168</v>
      </c>
      <c r="AA183" s="424" t="s">
        <v>169</v>
      </c>
      <c r="AB183" s="424" t="s">
        <v>235</v>
      </c>
      <c r="AC183" s="424" t="s">
        <v>240</v>
      </c>
      <c r="AD183" s="423" t="s">
        <v>85</v>
      </c>
      <c r="AE183" s="424" t="s">
        <v>139</v>
      </c>
      <c r="AF183" s="424" t="s">
        <v>72</v>
      </c>
      <c r="AG183" s="424" t="s">
        <v>88</v>
      </c>
      <c r="AH183" s="424" t="s">
        <v>75</v>
      </c>
      <c r="AI183" s="424" t="s">
        <v>543</v>
      </c>
      <c r="AJ183" s="424" t="s">
        <v>78</v>
      </c>
      <c r="AK183" s="424" t="s">
        <v>76</v>
      </c>
      <c r="AL183" s="424" t="s">
        <v>544</v>
      </c>
      <c r="AM183" s="424" t="s">
        <v>545</v>
      </c>
      <c r="AN183" s="424" t="s">
        <v>86</v>
      </c>
      <c r="AO183" s="424" t="s">
        <v>83</v>
      </c>
      <c r="AP183" s="424" t="s">
        <v>84</v>
      </c>
      <c r="AQ183" s="424" t="s">
        <v>546</v>
      </c>
      <c r="AR183" s="424" t="s">
        <v>81</v>
      </c>
      <c r="AS183" s="424" t="s">
        <v>80</v>
      </c>
      <c r="AT183" s="424" t="s">
        <v>82</v>
      </c>
      <c r="AU183" s="424" t="s">
        <v>181</v>
      </c>
      <c r="AV183" s="424" t="s">
        <v>183</v>
      </c>
      <c r="AW183" s="424" t="s">
        <v>547</v>
      </c>
      <c r="AX183" s="424" t="s">
        <v>182</v>
      </c>
      <c r="AY183" s="424" t="s">
        <v>172</v>
      </c>
      <c r="AZ183" s="424" t="s">
        <v>173</v>
      </c>
      <c r="BA183" s="424" t="s">
        <v>184</v>
      </c>
      <c r="BB183" s="201"/>
    </row>
    <row r="184" spans="2:54">
      <c r="B184" s="1256" t="s">
        <v>616</v>
      </c>
      <c r="C184" s="1257"/>
      <c r="D184" s="411" t="s">
        <v>2074</v>
      </c>
      <c r="E184" s="444"/>
      <c r="F184" s="411" t="s">
        <v>70</v>
      </c>
      <c r="G184" s="411" t="s">
        <v>1982</v>
      </c>
      <c r="H184" s="412">
        <v>7500</v>
      </c>
      <c r="I184" s="413" t="s">
        <v>76</v>
      </c>
      <c r="J184" s="414">
        <v>45120.375</v>
      </c>
      <c r="K184" s="414"/>
      <c r="L184" s="414" t="s">
        <v>192</v>
      </c>
      <c r="M184" s="414" t="s">
        <v>192</v>
      </c>
      <c r="N184" s="413" t="str">
        <f>IF(ISBLANK(J184)," ",IF(J184&lt;$F$178,"On time",(IF(DAY(J184-$F$178)&lt;1,"On time",(IF(J184&gt;$F$178,"DELAY ( "&amp;DAY(J184-$F$178)&amp;" day "&amp;HOUR(J184-$F$178)&amp;" hour "&amp;MINUTE(J184-$F$178)&amp;" minute )","xxx"))))))</f>
        <v>On time</v>
      </c>
      <c r="O184" s="51"/>
      <c r="P184" s="415" t="s">
        <v>551</v>
      </c>
      <c r="Q184" s="415" t="s">
        <v>551</v>
      </c>
      <c r="R184" s="415" t="s">
        <v>551</v>
      </c>
      <c r="S184" s="32"/>
      <c r="T184" s="416"/>
      <c r="U184" s="416"/>
      <c r="V184" s="416"/>
      <c r="W184" s="416"/>
      <c r="X184" s="416"/>
      <c r="Y184" s="416"/>
      <c r="Z184" s="416"/>
      <c r="AA184" s="416"/>
      <c r="AB184" s="416"/>
      <c r="AC184" s="416"/>
      <c r="AD184" s="416"/>
      <c r="AE184" s="416"/>
      <c r="AF184" s="416"/>
      <c r="AG184" s="416"/>
      <c r="AH184" s="416"/>
      <c r="AI184" s="416"/>
      <c r="AJ184" s="416"/>
      <c r="AK184" s="416">
        <f>H184</f>
        <v>7500</v>
      </c>
      <c r="AL184" s="416"/>
      <c r="AM184" s="416"/>
      <c r="AN184" s="416"/>
      <c r="AO184" s="416"/>
      <c r="AP184" s="416"/>
      <c r="AQ184" s="416"/>
      <c r="AR184" s="416"/>
      <c r="AS184" s="416"/>
      <c r="AT184" s="416"/>
      <c r="AU184" s="416"/>
      <c r="AV184" s="416"/>
      <c r="AW184" s="416"/>
      <c r="AX184" s="416"/>
      <c r="AY184" s="416"/>
      <c r="AZ184" s="416"/>
      <c r="BA184" s="416"/>
      <c r="BB184" s="32"/>
    </row>
    <row r="185" spans="2:54">
      <c r="B185" s="1256" t="s">
        <v>668</v>
      </c>
      <c r="C185" s="1257"/>
      <c r="D185" s="411" t="s">
        <v>2075</v>
      </c>
      <c r="E185" s="444"/>
      <c r="F185" s="411" t="s">
        <v>249</v>
      </c>
      <c r="G185" s="411" t="s">
        <v>250</v>
      </c>
      <c r="H185" s="412">
        <v>7573.19</v>
      </c>
      <c r="I185" s="413" t="s">
        <v>172</v>
      </c>
      <c r="J185" s="414">
        <v>45120.506944444445</v>
      </c>
      <c r="K185" s="414"/>
      <c r="L185" s="414" t="s">
        <v>192</v>
      </c>
      <c r="M185" s="414" t="s">
        <v>192</v>
      </c>
      <c r="N185" s="413" t="str">
        <f t="shared" ref="N185:N205" si="14">IF(ISBLANK(J185)," ",IF(J185&lt;$F$178,"On time",(IF(DAY(J185-$F$178)&lt;1,"On time",(IF(J185&gt;$F$178,"DELAY ( "&amp;DAY(J185-$F$178)&amp;" day "&amp;HOUR(J185-$F$178)&amp;" hour "&amp;MINUTE(J185-$F$178)&amp;" minute )","xxx"))))))</f>
        <v>On time</v>
      </c>
      <c r="O185" s="51"/>
      <c r="P185" s="415" t="s">
        <v>551</v>
      </c>
      <c r="Q185" s="415" t="s">
        <v>551</v>
      </c>
      <c r="R185" s="415" t="s">
        <v>551</v>
      </c>
      <c r="S185" s="32"/>
      <c r="T185" s="416"/>
      <c r="U185" s="416"/>
      <c r="V185" s="416"/>
      <c r="W185" s="416"/>
      <c r="X185" s="416"/>
      <c r="Y185" s="416"/>
      <c r="Z185" s="416"/>
      <c r="AA185" s="416"/>
      <c r="AB185" s="416"/>
      <c r="AC185" s="416"/>
      <c r="AD185" s="416"/>
      <c r="AE185" s="416"/>
      <c r="AF185" s="416"/>
      <c r="AG185" s="416"/>
      <c r="AH185" s="416"/>
      <c r="AI185" s="416"/>
      <c r="AJ185" s="416"/>
      <c r="AK185" s="416"/>
      <c r="AL185" s="416"/>
      <c r="AM185" s="416"/>
      <c r="AN185" s="416"/>
      <c r="AO185" s="416"/>
      <c r="AP185" s="416"/>
      <c r="AQ185" s="416"/>
      <c r="AR185" s="416"/>
      <c r="AS185" s="416"/>
      <c r="AT185" s="416"/>
      <c r="AU185" s="416"/>
      <c r="AV185" s="416"/>
      <c r="AW185" s="416"/>
      <c r="AX185" s="416"/>
      <c r="AY185" s="416">
        <f>H185</f>
        <v>7573.19</v>
      </c>
      <c r="AZ185" s="416"/>
      <c r="BA185" s="416"/>
      <c r="BB185" s="32"/>
    </row>
    <row r="186" spans="2:54">
      <c r="B186" s="1258" t="s">
        <v>1721</v>
      </c>
      <c r="C186" s="1259"/>
      <c r="D186" s="1259"/>
      <c r="E186" s="1259"/>
      <c r="F186" s="1259"/>
      <c r="G186" s="1260"/>
      <c r="H186" s="417">
        <f>SUM(H184:H185)</f>
        <v>15073.189999999999</v>
      </c>
      <c r="I186" s="388"/>
      <c r="J186" s="367"/>
      <c r="K186" s="293"/>
      <c r="L186" s="293"/>
      <c r="M186" s="389"/>
      <c r="N186" s="413" t="str">
        <f t="shared" si="14"/>
        <v xml:space="preserve"> </v>
      </c>
      <c r="O186" s="47"/>
      <c r="P186" s="418"/>
      <c r="Q186" s="418"/>
      <c r="R186" s="418"/>
      <c r="S186" s="32"/>
      <c r="T186" s="416"/>
      <c r="U186" s="416"/>
      <c r="V186" s="416"/>
      <c r="W186" s="416"/>
      <c r="X186" s="416"/>
      <c r="Y186" s="416"/>
      <c r="Z186" s="416"/>
      <c r="AA186" s="416"/>
      <c r="AB186" s="416"/>
      <c r="AC186" s="416"/>
      <c r="AD186" s="416"/>
      <c r="AE186" s="416"/>
      <c r="AF186" s="416"/>
      <c r="AG186" s="416"/>
      <c r="AH186" s="416"/>
      <c r="AI186" s="416"/>
      <c r="AJ186" s="416"/>
      <c r="AK186" s="416"/>
      <c r="AL186" s="416"/>
      <c r="AM186" s="416"/>
      <c r="AN186" s="416"/>
      <c r="AO186" s="416"/>
      <c r="AP186" s="416"/>
      <c r="AQ186" s="416"/>
      <c r="AR186" s="416"/>
      <c r="AS186" s="416"/>
      <c r="AT186" s="416"/>
      <c r="AU186" s="416"/>
      <c r="AV186" s="416"/>
      <c r="AW186" s="416"/>
      <c r="AX186" s="416"/>
      <c r="AY186" s="416"/>
      <c r="AZ186" s="416"/>
      <c r="BA186" s="416"/>
    </row>
    <row r="187" spans="2:54">
      <c r="B187" s="1250" t="s">
        <v>619</v>
      </c>
      <c r="C187" s="1251"/>
      <c r="D187" s="411" t="s">
        <v>2076</v>
      </c>
      <c r="E187" s="411"/>
      <c r="F187" s="411" t="s">
        <v>406</v>
      </c>
      <c r="G187" s="411" t="s">
        <v>407</v>
      </c>
      <c r="H187" s="412">
        <v>7552.473</v>
      </c>
      <c r="I187" s="413" t="s">
        <v>494</v>
      </c>
      <c r="J187" s="414">
        <v>45120.354166666664</v>
      </c>
      <c r="K187" s="414"/>
      <c r="L187" s="414" t="s">
        <v>192</v>
      </c>
      <c r="M187" s="414" t="s">
        <v>192</v>
      </c>
      <c r="N187" s="413" t="str">
        <f t="shared" si="14"/>
        <v>On time</v>
      </c>
      <c r="O187" s="51"/>
      <c r="P187" s="415" t="s">
        <v>551</v>
      </c>
      <c r="Q187" s="415" t="s">
        <v>551</v>
      </c>
      <c r="R187" s="415" t="s">
        <v>551</v>
      </c>
      <c r="S187" s="32"/>
      <c r="T187" s="416"/>
      <c r="U187" s="416"/>
      <c r="V187" s="416"/>
      <c r="W187" s="416"/>
      <c r="X187" s="416"/>
      <c r="Y187" s="416">
        <f>H187</f>
        <v>7552.473</v>
      </c>
      <c r="Z187" s="416"/>
      <c r="AA187" s="32"/>
      <c r="AB187" s="416"/>
      <c r="AC187" s="416"/>
      <c r="AD187" s="416"/>
      <c r="AE187" s="416"/>
      <c r="AF187" s="416"/>
      <c r="AG187" s="416"/>
      <c r="AH187" s="416"/>
      <c r="AI187" s="416"/>
      <c r="AJ187" s="416"/>
      <c r="AK187" s="416"/>
      <c r="AL187" s="416"/>
      <c r="AM187" s="416"/>
      <c r="AN187" s="416"/>
      <c r="AO187" s="416"/>
      <c r="AP187" s="416"/>
      <c r="AQ187" s="416"/>
      <c r="AR187" s="416"/>
      <c r="AS187" s="416"/>
      <c r="AT187" s="32"/>
      <c r="AU187" s="416"/>
      <c r="AV187" s="416"/>
      <c r="AW187" s="416"/>
      <c r="AX187" s="416"/>
      <c r="AY187" s="416"/>
      <c r="AZ187" s="416"/>
      <c r="BA187" s="416"/>
      <c r="BB187" s="32"/>
    </row>
    <row r="188" spans="2:54">
      <c r="B188" s="1252"/>
      <c r="C188" s="1253"/>
      <c r="D188" s="411"/>
      <c r="E188" s="411"/>
      <c r="F188" s="1256" t="s">
        <v>668</v>
      </c>
      <c r="G188" s="1257"/>
      <c r="H188" s="412">
        <v>2000</v>
      </c>
      <c r="I188" s="413"/>
      <c r="J188" s="414"/>
      <c r="K188" s="414"/>
      <c r="L188" s="414"/>
      <c r="M188" s="414"/>
      <c r="N188" s="413" t="str">
        <f t="shared" si="14"/>
        <v xml:space="preserve"> </v>
      </c>
      <c r="O188" s="51"/>
      <c r="P188" s="415"/>
      <c r="Q188" s="415"/>
      <c r="R188" s="415"/>
      <c r="S188" s="32"/>
      <c r="T188" s="416"/>
      <c r="U188" s="416"/>
      <c r="V188" s="416"/>
      <c r="W188" s="416"/>
      <c r="X188" s="416"/>
      <c r="Y188" s="416"/>
      <c r="Z188" s="416"/>
      <c r="AA188" s="32"/>
      <c r="AB188" s="416"/>
      <c r="AC188" s="416"/>
      <c r="AD188" s="416"/>
      <c r="AE188" s="416"/>
      <c r="AF188" s="416"/>
      <c r="AG188" s="416"/>
      <c r="AH188" s="416"/>
      <c r="AI188" s="416"/>
      <c r="AJ188" s="416"/>
      <c r="AK188" s="416"/>
      <c r="AL188" s="416"/>
      <c r="AM188" s="416"/>
      <c r="AN188" s="416"/>
      <c r="AO188" s="416"/>
      <c r="AP188" s="416"/>
      <c r="AQ188" s="416"/>
      <c r="AR188" s="416"/>
      <c r="AS188" s="416"/>
      <c r="AT188" s="32"/>
      <c r="AU188" s="416"/>
      <c r="AV188" s="416"/>
      <c r="AW188" s="416"/>
      <c r="AX188" s="416"/>
      <c r="AY188" s="416"/>
      <c r="AZ188" s="416"/>
      <c r="BA188" s="416"/>
      <c r="BB188" s="32"/>
    </row>
    <row r="189" spans="2:54">
      <c r="B189" s="1254"/>
      <c r="C189" s="1255"/>
      <c r="D189" s="411"/>
      <c r="E189" s="411"/>
      <c r="F189" s="1256" t="s">
        <v>616</v>
      </c>
      <c r="G189" s="1257"/>
      <c r="H189" s="412">
        <v>2000</v>
      </c>
      <c r="I189" s="413"/>
      <c r="J189" s="414"/>
      <c r="K189" s="414"/>
      <c r="L189" s="414"/>
      <c r="M189" s="414"/>
      <c r="N189" s="413" t="str">
        <f t="shared" si="14"/>
        <v xml:space="preserve"> </v>
      </c>
      <c r="O189" s="51"/>
      <c r="P189" s="415"/>
      <c r="Q189" s="415"/>
      <c r="R189" s="415"/>
      <c r="S189" s="32"/>
      <c r="T189" s="416"/>
      <c r="U189" s="416"/>
      <c r="V189" s="416"/>
      <c r="W189" s="416"/>
      <c r="X189" s="416"/>
      <c r="Y189" s="416"/>
      <c r="Z189" s="416"/>
      <c r="AA189" s="32"/>
      <c r="AB189" s="416"/>
      <c r="AC189" s="416"/>
      <c r="AD189" s="416"/>
      <c r="AE189" s="416"/>
      <c r="AF189" s="416"/>
      <c r="AG189" s="416"/>
      <c r="AH189" s="416"/>
      <c r="AI189" s="416"/>
      <c r="AJ189" s="416"/>
      <c r="AK189" s="416"/>
      <c r="AL189" s="416"/>
      <c r="AM189" s="416"/>
      <c r="AN189" s="416"/>
      <c r="AO189" s="416"/>
      <c r="AP189" s="416"/>
      <c r="AQ189" s="416"/>
      <c r="AR189" s="416"/>
      <c r="AS189" s="416"/>
      <c r="AT189" s="32"/>
      <c r="AU189" s="416"/>
      <c r="AV189" s="416"/>
      <c r="AW189" s="416"/>
      <c r="AX189" s="416"/>
      <c r="AY189" s="416"/>
      <c r="AZ189" s="416"/>
      <c r="BA189" s="416"/>
      <c r="BB189" s="32"/>
    </row>
    <row r="190" spans="2:54">
      <c r="B190" s="1250" t="s">
        <v>621</v>
      </c>
      <c r="C190" s="1251"/>
      <c r="D190" s="411" t="s">
        <v>2077</v>
      </c>
      <c r="E190" s="411"/>
      <c r="F190" s="411" t="s">
        <v>437</v>
      </c>
      <c r="G190" s="411" t="s">
        <v>320</v>
      </c>
      <c r="H190" s="412">
        <v>7443.2290000000003</v>
      </c>
      <c r="I190" s="413" t="s">
        <v>494</v>
      </c>
      <c r="J190" s="414">
        <v>45120.458333333336</v>
      </c>
      <c r="K190" s="414"/>
      <c r="L190" s="414" t="s">
        <v>192</v>
      </c>
      <c r="M190" s="414" t="s">
        <v>192</v>
      </c>
      <c r="N190" s="413" t="str">
        <f t="shared" si="14"/>
        <v>On time</v>
      </c>
      <c r="O190" s="51"/>
      <c r="P190" s="415" t="s">
        <v>551</v>
      </c>
      <c r="Q190" s="415" t="s">
        <v>551</v>
      </c>
      <c r="R190" s="415" t="s">
        <v>551</v>
      </c>
      <c r="S190" s="32"/>
      <c r="T190" s="416"/>
      <c r="U190" s="416"/>
      <c r="V190" s="416"/>
      <c r="W190" s="416"/>
      <c r="X190" s="416"/>
      <c r="Y190" s="416">
        <f>H190</f>
        <v>7443.2290000000003</v>
      </c>
      <c r="Z190" s="416"/>
      <c r="AA190" s="416"/>
      <c r="AB190" s="416"/>
      <c r="AC190" s="416"/>
      <c r="AD190" s="416"/>
      <c r="AE190" s="416"/>
      <c r="AF190" s="416"/>
      <c r="AG190" s="416"/>
      <c r="AH190" s="416"/>
      <c r="AI190" s="416"/>
      <c r="AJ190" s="416"/>
      <c r="AK190" s="416"/>
      <c r="AL190" s="416"/>
      <c r="AM190" s="416"/>
      <c r="AN190" s="416"/>
      <c r="AO190" s="416"/>
      <c r="AP190" s="416"/>
      <c r="AQ190" s="416"/>
      <c r="AR190" s="416"/>
      <c r="AS190" s="416"/>
      <c r="AT190" s="416"/>
      <c r="AU190" s="416"/>
      <c r="AV190" s="416"/>
      <c r="AW190" s="416"/>
      <c r="AX190" s="416"/>
      <c r="AY190" s="416"/>
      <c r="AZ190" s="416"/>
      <c r="BA190" s="416"/>
      <c r="BB190" s="32"/>
    </row>
    <row r="191" spans="2:54">
      <c r="B191" s="1254"/>
      <c r="C191" s="1255"/>
      <c r="D191" s="411"/>
      <c r="E191" s="411"/>
      <c r="F191" s="1256" t="s">
        <v>668</v>
      </c>
      <c r="G191" s="1257"/>
      <c r="H191" s="412">
        <v>1400</v>
      </c>
      <c r="I191" s="413"/>
      <c r="J191" s="414"/>
      <c r="K191" s="414"/>
      <c r="L191" s="414"/>
      <c r="M191" s="414"/>
      <c r="N191" s="413" t="str">
        <f t="shared" si="14"/>
        <v xml:space="preserve"> </v>
      </c>
      <c r="O191" s="51"/>
      <c r="P191" s="415"/>
      <c r="Q191" s="415"/>
      <c r="R191" s="415"/>
      <c r="S191" s="32"/>
      <c r="T191" s="416"/>
      <c r="U191" s="416"/>
      <c r="V191" s="416"/>
      <c r="W191" s="416"/>
      <c r="X191" s="416"/>
      <c r="Y191" s="416"/>
      <c r="Z191" s="416"/>
      <c r="AA191" s="32"/>
      <c r="AB191" s="416"/>
      <c r="AC191" s="416"/>
      <c r="AD191" s="416"/>
      <c r="AE191" s="416"/>
      <c r="AF191" s="416"/>
      <c r="AG191" s="416"/>
      <c r="AH191" s="416"/>
      <c r="AI191" s="416"/>
      <c r="AJ191" s="416"/>
      <c r="AK191" s="416"/>
      <c r="AL191" s="416"/>
      <c r="AM191" s="416"/>
      <c r="AN191" s="416"/>
      <c r="AO191" s="416"/>
      <c r="AP191" s="416"/>
      <c r="AQ191" s="416"/>
      <c r="AR191" s="416"/>
      <c r="AS191" s="416"/>
      <c r="AT191" s="32"/>
      <c r="AU191" s="416"/>
      <c r="AV191" s="416"/>
      <c r="AW191" s="416"/>
      <c r="AX191" s="416"/>
      <c r="AY191" s="416"/>
      <c r="AZ191" s="416"/>
      <c r="BA191" s="416"/>
      <c r="BB191" s="32"/>
    </row>
    <row r="192" spans="2:54">
      <c r="B192" s="1250" t="s">
        <v>622</v>
      </c>
      <c r="C192" s="1251"/>
      <c r="D192" s="411" t="s">
        <v>2078</v>
      </c>
      <c r="E192" s="411"/>
      <c r="F192" s="411" t="s">
        <v>274</v>
      </c>
      <c r="G192" s="411" t="s">
        <v>1093</v>
      </c>
      <c r="H192" s="412">
        <v>7472.8040000000001</v>
      </c>
      <c r="I192" s="413" t="s">
        <v>494</v>
      </c>
      <c r="J192" s="414">
        <v>45120.5</v>
      </c>
      <c r="K192" s="414"/>
      <c r="L192" s="414" t="s">
        <v>192</v>
      </c>
      <c r="M192" s="414" t="s">
        <v>192</v>
      </c>
      <c r="N192" s="413" t="str">
        <f t="shared" si="14"/>
        <v>On time</v>
      </c>
      <c r="O192" s="51"/>
      <c r="P192" s="415" t="s">
        <v>551</v>
      </c>
      <c r="Q192" s="415" t="s">
        <v>551</v>
      </c>
      <c r="R192" s="415" t="s">
        <v>551</v>
      </c>
      <c r="S192" s="32"/>
      <c r="T192" s="416"/>
      <c r="U192" s="416"/>
      <c r="V192" s="416"/>
      <c r="W192" s="416"/>
      <c r="X192" s="416"/>
      <c r="Y192" s="416">
        <f>H192</f>
        <v>7472.8040000000001</v>
      </c>
      <c r="Z192" s="416"/>
      <c r="AA192" s="416"/>
      <c r="AB192" s="416"/>
      <c r="AC192" s="416"/>
      <c r="AD192" s="416"/>
      <c r="AE192" s="416"/>
      <c r="AF192" s="416"/>
      <c r="AG192" s="416"/>
      <c r="AH192" s="416"/>
      <c r="AI192" s="416"/>
      <c r="AJ192" s="416"/>
      <c r="AK192" s="416"/>
      <c r="AL192" s="416"/>
      <c r="AM192" s="416"/>
      <c r="AN192" s="416"/>
      <c r="AO192" s="416"/>
      <c r="AP192" s="416"/>
      <c r="AQ192" s="416"/>
      <c r="AR192" s="416"/>
      <c r="AS192" s="416"/>
      <c r="AT192" s="416"/>
      <c r="AU192" s="416"/>
      <c r="AV192" s="416"/>
      <c r="AW192" s="416"/>
      <c r="AX192" s="416"/>
      <c r="AY192" s="286"/>
      <c r="AZ192" s="416"/>
      <c r="BA192" s="416"/>
      <c r="BB192" s="32"/>
    </row>
    <row r="193" spans="2:54">
      <c r="B193" s="1252"/>
      <c r="C193" s="1253"/>
      <c r="D193" s="411"/>
      <c r="E193" s="411"/>
      <c r="F193" s="1256" t="s">
        <v>668</v>
      </c>
      <c r="G193" s="1257"/>
      <c r="H193" s="412">
        <v>1173</v>
      </c>
      <c r="I193" s="413"/>
      <c r="J193" s="414"/>
      <c r="K193" s="414"/>
      <c r="L193" s="414"/>
      <c r="M193" s="414"/>
      <c r="N193" s="413" t="str">
        <f t="shared" si="14"/>
        <v xml:space="preserve"> </v>
      </c>
      <c r="O193" s="51"/>
      <c r="P193" s="415"/>
      <c r="Q193" s="415"/>
      <c r="R193" s="415"/>
      <c r="S193" s="32"/>
      <c r="T193" s="416"/>
      <c r="U193" s="416"/>
      <c r="V193" s="416"/>
      <c r="W193" s="416"/>
      <c r="X193" s="416"/>
      <c r="Y193" s="416"/>
      <c r="Z193" s="416"/>
      <c r="AA193" s="32"/>
      <c r="AB193" s="416"/>
      <c r="AC193" s="416"/>
      <c r="AD193" s="416"/>
      <c r="AE193" s="416"/>
      <c r="AF193" s="416"/>
      <c r="AG193" s="416"/>
      <c r="AH193" s="416"/>
      <c r="AI193" s="416"/>
      <c r="AJ193" s="416"/>
      <c r="AK193" s="416"/>
      <c r="AL193" s="416"/>
      <c r="AM193" s="416"/>
      <c r="AN193" s="416"/>
      <c r="AO193" s="416"/>
      <c r="AP193" s="416"/>
      <c r="AQ193" s="416"/>
      <c r="AR193" s="416"/>
      <c r="AS193" s="416"/>
      <c r="AT193" s="32"/>
      <c r="AU193" s="416"/>
      <c r="AV193" s="416"/>
      <c r="AW193" s="416"/>
      <c r="AX193" s="416"/>
      <c r="AY193" s="416"/>
      <c r="AZ193" s="416"/>
      <c r="BA193" s="416"/>
      <c r="BB193" s="32"/>
    </row>
    <row r="194" spans="2:54">
      <c r="B194" s="1254"/>
      <c r="C194" s="1255"/>
      <c r="D194" s="411"/>
      <c r="E194" s="411"/>
      <c r="F194" s="1256" t="s">
        <v>616</v>
      </c>
      <c r="G194" s="1257"/>
      <c r="H194" s="412">
        <v>2100</v>
      </c>
      <c r="I194" s="413"/>
      <c r="J194" s="414"/>
      <c r="K194" s="414"/>
      <c r="L194" s="414"/>
      <c r="M194" s="414"/>
      <c r="N194" s="413" t="str">
        <f t="shared" si="14"/>
        <v xml:space="preserve"> </v>
      </c>
      <c r="O194" s="51"/>
      <c r="P194" s="415"/>
      <c r="Q194" s="415"/>
      <c r="R194" s="415"/>
      <c r="S194" s="32"/>
      <c r="T194" s="416"/>
      <c r="U194" s="416"/>
      <c r="V194" s="416"/>
      <c r="W194" s="416"/>
      <c r="X194" s="416"/>
      <c r="Y194" s="416"/>
      <c r="Z194" s="416"/>
      <c r="AA194" s="32"/>
      <c r="AB194" s="416"/>
      <c r="AC194" s="416"/>
      <c r="AD194" s="416"/>
      <c r="AE194" s="416"/>
      <c r="AF194" s="416"/>
      <c r="AG194" s="416"/>
      <c r="AH194" s="416"/>
      <c r="AI194" s="416"/>
      <c r="AJ194" s="416"/>
      <c r="AK194" s="416"/>
      <c r="AL194" s="416"/>
      <c r="AM194" s="416"/>
      <c r="AN194" s="416"/>
      <c r="AO194" s="416"/>
      <c r="AP194" s="416"/>
      <c r="AQ194" s="416"/>
      <c r="AR194" s="416"/>
      <c r="AS194" s="416"/>
      <c r="AT194" s="32"/>
      <c r="AU194" s="416"/>
      <c r="AV194" s="416"/>
      <c r="AW194" s="416"/>
      <c r="AX194" s="416"/>
      <c r="AY194" s="416"/>
      <c r="AZ194" s="416"/>
      <c r="BA194" s="416"/>
      <c r="BB194" s="32"/>
    </row>
    <row r="195" spans="2:54">
      <c r="B195" s="1250" t="s">
        <v>623</v>
      </c>
      <c r="C195" s="1251"/>
      <c r="D195" s="411" t="s">
        <v>2079</v>
      </c>
      <c r="E195" s="411"/>
      <c r="F195" s="411" t="s">
        <v>284</v>
      </c>
      <c r="G195" s="411" t="s">
        <v>285</v>
      </c>
      <c r="H195" s="412">
        <v>9135.482</v>
      </c>
      <c r="I195" s="413" t="s">
        <v>494</v>
      </c>
      <c r="J195" s="414">
        <v>45121.569444444445</v>
      </c>
      <c r="K195" s="414"/>
      <c r="L195" s="414" t="s">
        <v>192</v>
      </c>
      <c r="M195" s="414" t="s">
        <v>192</v>
      </c>
      <c r="N195" s="413" t="str">
        <f t="shared" si="14"/>
        <v>On time</v>
      </c>
      <c r="O195" s="51"/>
      <c r="P195" s="415" t="s">
        <v>551</v>
      </c>
      <c r="Q195" s="415" t="s">
        <v>551</v>
      </c>
      <c r="R195" s="415" t="s">
        <v>551</v>
      </c>
      <c r="S195" s="32"/>
      <c r="T195" s="416"/>
      <c r="U195" s="416"/>
      <c r="V195" s="416"/>
      <c r="W195" s="416"/>
      <c r="X195" s="416"/>
      <c r="Y195" s="416">
        <f>H195-H207</f>
        <v>7335.3009999999995</v>
      </c>
      <c r="Z195" s="416"/>
      <c r="AA195" s="416"/>
      <c r="AB195" s="416"/>
      <c r="AC195" s="416"/>
      <c r="AD195" s="416"/>
      <c r="AE195" s="416"/>
      <c r="AF195" s="416"/>
      <c r="AG195" s="416"/>
      <c r="AH195" s="416"/>
      <c r="AI195" s="416"/>
      <c r="AJ195" s="416"/>
      <c r="AK195" s="416"/>
      <c r="AL195" s="416"/>
      <c r="AM195" s="416"/>
      <c r="AN195" s="416"/>
      <c r="AO195" s="416"/>
      <c r="AP195" s="416"/>
      <c r="AQ195" s="416"/>
      <c r="AR195" s="416"/>
      <c r="AS195" s="416"/>
      <c r="AT195" s="416"/>
      <c r="AU195" s="416"/>
      <c r="AV195" s="416"/>
      <c r="AW195" s="416"/>
      <c r="AX195" s="416"/>
      <c r="AY195" s="416"/>
      <c r="AZ195" s="416"/>
      <c r="BA195" s="416"/>
      <c r="BB195" s="32"/>
    </row>
    <row r="196" spans="2:54">
      <c r="B196" s="1252"/>
      <c r="C196" s="1253"/>
      <c r="D196" s="411"/>
      <c r="E196" s="411"/>
      <c r="F196" s="1256" t="s">
        <v>668</v>
      </c>
      <c r="G196" s="1257"/>
      <c r="H196" s="412">
        <v>1000</v>
      </c>
      <c r="I196" s="413"/>
      <c r="J196" s="414"/>
      <c r="K196" s="414"/>
      <c r="L196" s="414"/>
      <c r="M196" s="414"/>
      <c r="N196" s="413" t="str">
        <f t="shared" si="14"/>
        <v xml:space="preserve"> </v>
      </c>
      <c r="O196" s="51"/>
      <c r="P196" s="415"/>
      <c r="Q196" s="415"/>
      <c r="R196" s="415"/>
      <c r="S196" s="32"/>
      <c r="T196" s="416"/>
      <c r="U196" s="416"/>
      <c r="V196" s="416"/>
      <c r="W196" s="416"/>
      <c r="X196" s="416"/>
      <c r="Y196" s="416"/>
      <c r="Z196" s="416"/>
      <c r="AA196" s="32"/>
      <c r="AB196" s="416"/>
      <c r="AC196" s="416"/>
      <c r="AD196" s="416"/>
      <c r="AE196" s="416"/>
      <c r="AF196" s="416"/>
      <c r="AG196" s="416"/>
      <c r="AH196" s="416"/>
      <c r="AI196" s="416"/>
      <c r="AJ196" s="416"/>
      <c r="AK196" s="416"/>
      <c r="AL196" s="416"/>
      <c r="AM196" s="416"/>
      <c r="AN196" s="416"/>
      <c r="AO196" s="416"/>
      <c r="AP196" s="416"/>
      <c r="AQ196" s="416"/>
      <c r="AR196" s="416"/>
      <c r="AS196" s="416"/>
      <c r="AT196" s="32"/>
      <c r="AU196" s="416"/>
      <c r="AV196" s="416"/>
      <c r="AW196" s="416"/>
      <c r="AX196" s="416"/>
      <c r="AY196" s="416"/>
      <c r="AZ196" s="416"/>
      <c r="BA196" s="416"/>
      <c r="BB196" s="32"/>
    </row>
    <row r="197" spans="2:54">
      <c r="B197" s="1254"/>
      <c r="C197" s="1255"/>
      <c r="D197" s="411"/>
      <c r="E197" s="411"/>
      <c r="F197" s="1256" t="s">
        <v>616</v>
      </c>
      <c r="G197" s="1257"/>
      <c r="H197" s="412">
        <v>1400</v>
      </c>
      <c r="I197" s="413"/>
      <c r="J197" s="414"/>
      <c r="K197" s="414"/>
      <c r="L197" s="414"/>
      <c r="M197" s="414"/>
      <c r="N197" s="413" t="str">
        <f t="shared" si="14"/>
        <v xml:space="preserve"> </v>
      </c>
      <c r="O197" s="51"/>
      <c r="P197" s="415"/>
      <c r="Q197" s="415"/>
      <c r="R197" s="415"/>
      <c r="S197" s="32"/>
      <c r="T197" s="416"/>
      <c r="U197" s="416"/>
      <c r="V197" s="416"/>
      <c r="W197" s="416"/>
      <c r="X197" s="416"/>
      <c r="Y197" s="416"/>
      <c r="Z197" s="416"/>
      <c r="AA197" s="32"/>
      <c r="AB197" s="416"/>
      <c r="AC197" s="416"/>
      <c r="AD197" s="416"/>
      <c r="AE197" s="416"/>
      <c r="AF197" s="416"/>
      <c r="AG197" s="416"/>
      <c r="AH197" s="416"/>
      <c r="AI197" s="416"/>
      <c r="AJ197" s="416"/>
      <c r="AK197" s="416"/>
      <c r="AL197" s="416"/>
      <c r="AM197" s="416"/>
      <c r="AN197" s="416"/>
      <c r="AO197" s="416"/>
      <c r="AP197" s="416"/>
      <c r="AQ197" s="416"/>
      <c r="AR197" s="416"/>
      <c r="AS197" s="416"/>
      <c r="AT197" s="32"/>
      <c r="AU197" s="416"/>
      <c r="AV197" s="416"/>
      <c r="AW197" s="416"/>
      <c r="AX197" s="416"/>
      <c r="AY197" s="416"/>
      <c r="AZ197" s="416"/>
      <c r="BA197" s="416"/>
      <c r="BB197" s="32"/>
    </row>
    <row r="198" spans="2:54">
      <c r="B198" s="1250" t="s">
        <v>624</v>
      </c>
      <c r="C198" s="1251"/>
      <c r="D198" s="411" t="s">
        <v>2080</v>
      </c>
      <c r="E198" s="411"/>
      <c r="F198" s="411" t="s">
        <v>252</v>
      </c>
      <c r="G198" s="411" t="s">
        <v>253</v>
      </c>
      <c r="H198" s="412">
        <v>7545.55</v>
      </c>
      <c r="I198" s="413" t="s">
        <v>494</v>
      </c>
      <c r="J198" s="414">
        <v>45121.753472222219</v>
      </c>
      <c r="K198" s="414"/>
      <c r="L198" s="414" t="s">
        <v>192</v>
      </c>
      <c r="M198" s="414" t="s">
        <v>192</v>
      </c>
      <c r="N198" s="413" t="str">
        <f t="shared" si="14"/>
        <v>On time</v>
      </c>
      <c r="O198" s="51"/>
      <c r="P198" s="415" t="s">
        <v>551</v>
      </c>
      <c r="Q198" s="415" t="s">
        <v>551</v>
      </c>
      <c r="R198" s="415" t="s">
        <v>551</v>
      </c>
      <c r="S198" s="32"/>
      <c r="T198" s="416"/>
      <c r="U198" s="416"/>
      <c r="V198" s="416"/>
      <c r="W198" s="416"/>
      <c r="X198" s="416"/>
      <c r="Y198" s="416">
        <f>H198</f>
        <v>7545.55</v>
      </c>
      <c r="Z198" s="416"/>
      <c r="AA198" s="416"/>
      <c r="AB198" s="416"/>
      <c r="AC198" s="416"/>
      <c r="AD198" s="416"/>
      <c r="AE198" s="416"/>
      <c r="AF198" s="416"/>
      <c r="AG198" s="416"/>
      <c r="AH198" s="416"/>
      <c r="AI198" s="416"/>
      <c r="AJ198" s="416"/>
      <c r="AK198" s="416"/>
      <c r="AL198" s="416"/>
      <c r="AM198" s="416"/>
      <c r="AN198" s="416"/>
      <c r="AO198" s="416"/>
      <c r="AP198" s="416"/>
      <c r="AQ198" s="416"/>
      <c r="AR198" s="416"/>
      <c r="AS198" s="416"/>
      <c r="AT198" s="416"/>
      <c r="AU198" s="416"/>
      <c r="AV198" s="416"/>
      <c r="AW198" s="416"/>
      <c r="AX198" s="416"/>
      <c r="AY198" s="416"/>
      <c r="AZ198" s="416"/>
      <c r="BA198" s="416"/>
      <c r="BB198" s="32"/>
    </row>
    <row r="199" spans="2:54">
      <c r="B199" s="1252"/>
      <c r="C199" s="1253"/>
      <c r="D199" s="411"/>
      <c r="E199" s="411"/>
      <c r="F199" s="1256" t="s">
        <v>668</v>
      </c>
      <c r="G199" s="1257"/>
      <c r="H199" s="412">
        <f>2000+0.19</f>
        <v>2000.19</v>
      </c>
      <c r="I199" s="413"/>
      <c r="J199" s="414"/>
      <c r="K199" s="414"/>
      <c r="L199" s="414"/>
      <c r="M199" s="414"/>
      <c r="N199" s="413" t="str">
        <f t="shared" si="14"/>
        <v xml:space="preserve"> </v>
      </c>
      <c r="O199" s="51"/>
      <c r="P199" s="415"/>
      <c r="Q199" s="415"/>
      <c r="R199" s="415"/>
      <c r="S199" s="32"/>
      <c r="T199" s="416"/>
      <c r="U199" s="416"/>
      <c r="V199" s="416"/>
      <c r="W199" s="416"/>
      <c r="X199" s="416"/>
      <c r="Y199" s="416"/>
      <c r="Z199" s="416"/>
      <c r="AA199" s="32"/>
      <c r="AB199" s="416"/>
      <c r="AC199" s="416"/>
      <c r="AD199" s="416"/>
      <c r="AE199" s="416"/>
      <c r="AF199" s="416"/>
      <c r="AG199" s="416"/>
      <c r="AH199" s="416"/>
      <c r="AI199" s="416"/>
      <c r="AJ199" s="416"/>
      <c r="AK199" s="416"/>
      <c r="AL199" s="416"/>
      <c r="AM199" s="416"/>
      <c r="AN199" s="416"/>
      <c r="AO199" s="416"/>
      <c r="AP199" s="416"/>
      <c r="AQ199" s="416"/>
      <c r="AR199" s="416"/>
      <c r="AS199" s="416"/>
      <c r="AT199" s="32"/>
      <c r="AU199" s="416"/>
      <c r="AV199" s="416"/>
      <c r="AW199" s="416"/>
      <c r="AX199" s="416"/>
      <c r="AY199" s="416"/>
      <c r="AZ199" s="416"/>
      <c r="BA199" s="416"/>
      <c r="BB199" s="32"/>
    </row>
    <row r="200" spans="2:54">
      <c r="B200" s="1254"/>
      <c r="C200" s="1255"/>
      <c r="D200" s="411"/>
      <c r="E200" s="411"/>
      <c r="F200" s="1256" t="s">
        <v>616</v>
      </c>
      <c r="G200" s="1257"/>
      <c r="H200" s="412">
        <v>1000</v>
      </c>
      <c r="I200" s="413"/>
      <c r="J200" s="414"/>
      <c r="K200" s="414"/>
      <c r="L200" s="414"/>
      <c r="M200" s="414"/>
      <c r="N200" s="413" t="str">
        <f t="shared" si="14"/>
        <v xml:space="preserve"> </v>
      </c>
      <c r="O200" s="51"/>
      <c r="P200" s="415"/>
      <c r="Q200" s="415"/>
      <c r="R200" s="415"/>
      <c r="S200" s="32"/>
      <c r="T200" s="416"/>
      <c r="U200" s="416"/>
      <c r="V200" s="416"/>
      <c r="W200" s="416"/>
      <c r="X200" s="416"/>
      <c r="Y200" s="416"/>
      <c r="Z200" s="416"/>
      <c r="AA200" s="32"/>
      <c r="AB200" s="416"/>
      <c r="AC200" s="416"/>
      <c r="AD200" s="416"/>
      <c r="AE200" s="416"/>
      <c r="AF200" s="416"/>
      <c r="AG200" s="416"/>
      <c r="AH200" s="416"/>
      <c r="AI200" s="416"/>
      <c r="AJ200" s="416"/>
      <c r="AK200" s="416"/>
      <c r="AL200" s="416"/>
      <c r="AM200" s="416"/>
      <c r="AN200" s="416"/>
      <c r="AO200" s="416"/>
      <c r="AP200" s="416"/>
      <c r="AQ200" s="416"/>
      <c r="AR200" s="416"/>
      <c r="AS200" s="416"/>
      <c r="AT200" s="32"/>
      <c r="AU200" s="416"/>
      <c r="AV200" s="416"/>
      <c r="AW200" s="416"/>
      <c r="AX200" s="416"/>
      <c r="AY200" s="416"/>
      <c r="AZ200" s="416"/>
      <c r="BA200" s="416"/>
      <c r="BB200" s="32"/>
    </row>
    <row r="201" spans="2:54">
      <c r="B201" s="1250" t="s">
        <v>625</v>
      </c>
      <c r="C201" s="1251"/>
      <c r="D201" s="411" t="s">
        <v>2081</v>
      </c>
      <c r="E201" s="411"/>
      <c r="F201" s="411" t="s">
        <v>403</v>
      </c>
      <c r="G201" s="411" t="s">
        <v>404</v>
      </c>
      <c r="H201" s="412">
        <f>7441.456-1944.184</f>
        <v>5497.2719999999999</v>
      </c>
      <c r="I201" s="413" t="s">
        <v>494</v>
      </c>
      <c r="J201" s="414">
        <v>45120.577777777777</v>
      </c>
      <c r="K201" s="414"/>
      <c r="L201" s="414" t="s">
        <v>192</v>
      </c>
      <c r="M201" s="414" t="s">
        <v>192</v>
      </c>
      <c r="N201" s="413" t="str">
        <f t="shared" si="14"/>
        <v>On time</v>
      </c>
      <c r="O201" s="51"/>
      <c r="P201" s="415" t="s">
        <v>551</v>
      </c>
      <c r="Q201" s="415" t="s">
        <v>551</v>
      </c>
      <c r="R201" s="415" t="s">
        <v>551</v>
      </c>
      <c r="S201" s="32"/>
      <c r="T201" s="416"/>
      <c r="U201" s="416"/>
      <c r="V201" s="416"/>
      <c r="W201" s="416"/>
      <c r="X201" s="416"/>
      <c r="Y201" s="416">
        <f>H201</f>
        <v>5497.2719999999999</v>
      </c>
      <c r="Z201" s="416"/>
      <c r="AA201" s="416"/>
      <c r="AB201" s="416"/>
      <c r="AC201" s="416"/>
      <c r="AD201" s="416"/>
      <c r="AE201" s="416"/>
      <c r="AF201" s="416"/>
      <c r="AG201" s="416"/>
      <c r="AH201" s="416"/>
      <c r="AI201" s="416"/>
      <c r="AJ201" s="416"/>
      <c r="AK201" s="416"/>
      <c r="AL201" s="416"/>
      <c r="AM201" s="416"/>
      <c r="AN201" s="416"/>
      <c r="AO201" s="416"/>
      <c r="AP201" s="416"/>
      <c r="AQ201" s="416"/>
      <c r="AR201" s="416"/>
      <c r="AS201" s="416"/>
      <c r="AT201" s="416"/>
      <c r="AU201" s="416"/>
      <c r="AV201" s="416"/>
      <c r="AW201" s="416"/>
      <c r="AX201" s="416"/>
      <c r="AY201" s="416"/>
      <c r="AZ201" s="416"/>
      <c r="BA201" s="416"/>
      <c r="BB201" s="32"/>
    </row>
    <row r="202" spans="2:54">
      <c r="B202" s="1254"/>
      <c r="C202" s="1255"/>
      <c r="D202" s="411"/>
      <c r="E202" s="411"/>
      <c r="F202" s="1256" t="s">
        <v>616</v>
      </c>
      <c r="G202" s="1257"/>
      <c r="H202" s="412">
        <v>1000</v>
      </c>
      <c r="I202" s="413"/>
      <c r="J202" s="414"/>
      <c r="K202" s="414"/>
      <c r="L202" s="414"/>
      <c r="M202" s="414"/>
      <c r="N202" s="413" t="str">
        <f t="shared" si="14"/>
        <v xml:space="preserve"> </v>
      </c>
      <c r="O202" s="51"/>
      <c r="P202" s="415"/>
      <c r="Q202" s="415"/>
      <c r="R202" s="415"/>
      <c r="S202" s="32"/>
      <c r="T202" s="416"/>
      <c r="U202" s="416"/>
      <c r="V202" s="416"/>
      <c r="W202" s="416"/>
      <c r="X202" s="416"/>
      <c r="Y202" s="416"/>
      <c r="Z202" s="416"/>
      <c r="AA202" s="32"/>
      <c r="AB202" s="416"/>
      <c r="AC202" s="416"/>
      <c r="AD202" s="416"/>
      <c r="AE202" s="416"/>
      <c r="AF202" s="416"/>
      <c r="AG202" s="416"/>
      <c r="AH202" s="416"/>
      <c r="AI202" s="416"/>
      <c r="AJ202" s="416"/>
      <c r="AK202" s="416"/>
      <c r="AL202" s="416"/>
      <c r="AM202" s="416"/>
      <c r="AN202" s="416"/>
      <c r="AO202" s="416"/>
      <c r="AP202" s="416"/>
      <c r="AQ202" s="416"/>
      <c r="AR202" s="416"/>
      <c r="AS202" s="416"/>
      <c r="AT202" s="32"/>
      <c r="AU202" s="416"/>
      <c r="AV202" s="416"/>
      <c r="AW202" s="416"/>
      <c r="AX202" s="416"/>
      <c r="AY202" s="416"/>
      <c r="AZ202" s="416"/>
      <c r="BA202" s="416"/>
      <c r="BB202" s="32"/>
    </row>
    <row r="203" spans="2:54">
      <c r="B203" s="1258" t="s">
        <v>626</v>
      </c>
      <c r="C203" s="1259"/>
      <c r="D203" s="1259"/>
      <c r="E203" s="1259"/>
      <c r="F203" s="1259"/>
      <c r="G203" s="1260"/>
      <c r="H203" s="417">
        <f>H201+H195+H190+H192+H198+H187</f>
        <v>44646.81</v>
      </c>
      <c r="I203" s="388"/>
      <c r="J203" s="293"/>
      <c r="K203" s="293"/>
      <c r="L203" s="293"/>
      <c r="M203" s="389"/>
      <c r="N203" s="413" t="str">
        <f t="shared" si="14"/>
        <v xml:space="preserve"> </v>
      </c>
      <c r="O203" s="47"/>
      <c r="P203" s="418"/>
      <c r="Q203" s="418"/>
      <c r="R203" s="418"/>
      <c r="S203" s="32"/>
      <c r="T203" s="1261"/>
      <c r="U203" s="1261"/>
      <c r="V203" s="1261"/>
      <c r="W203" s="1261"/>
      <c r="X203" s="1261"/>
      <c r="Y203" s="1261"/>
      <c r="Z203" s="1261"/>
      <c r="AA203" s="1261"/>
      <c r="AB203" s="1261"/>
      <c r="AC203" s="1261"/>
      <c r="AD203" s="1261"/>
      <c r="AE203" s="1261"/>
      <c r="AF203" s="1261"/>
      <c r="AG203" s="1261"/>
      <c r="AH203" s="1261"/>
      <c r="AI203" s="1261"/>
      <c r="AJ203" s="1261"/>
      <c r="AK203" s="1261"/>
      <c r="AL203" s="1261"/>
      <c r="AM203" s="1261"/>
      <c r="AN203" s="1261"/>
      <c r="AO203" s="1261"/>
      <c r="AP203" s="1261"/>
      <c r="AQ203" s="1261"/>
      <c r="AR203" s="1261"/>
      <c r="AS203" s="1261"/>
      <c r="AT203" s="1261"/>
      <c r="AU203" s="1261"/>
      <c r="AV203" s="1261"/>
      <c r="AW203" s="1261"/>
      <c r="AX203" s="1261"/>
      <c r="AY203" s="1261"/>
      <c r="AZ203" s="1261"/>
      <c r="BA203" s="1261"/>
    </row>
    <row r="204" spans="2:54">
      <c r="B204" s="1258" t="s">
        <v>556</v>
      </c>
      <c r="C204" s="1259"/>
      <c r="D204" s="1259"/>
      <c r="E204" s="1259"/>
      <c r="F204" s="1259"/>
      <c r="G204" s="1260"/>
      <c r="H204" s="417">
        <f>H186+H203</f>
        <v>59720</v>
      </c>
      <c r="I204" s="388"/>
      <c r="J204" s="293"/>
      <c r="K204" s="293"/>
      <c r="L204" s="293"/>
      <c r="M204" s="389"/>
      <c r="N204" s="413" t="str">
        <f t="shared" si="14"/>
        <v xml:space="preserve"> </v>
      </c>
      <c r="O204" s="212"/>
      <c r="P204" s="418"/>
      <c r="Q204" s="418"/>
      <c r="R204" s="418"/>
      <c r="S204" s="207"/>
      <c r="T204" s="1300"/>
      <c r="U204" s="1301"/>
      <c r="V204" s="1301"/>
      <c r="W204" s="1301"/>
      <c r="X204" s="1301"/>
      <c r="Y204" s="1301"/>
      <c r="Z204" s="1301"/>
      <c r="AA204" s="1301"/>
      <c r="AB204" s="1301"/>
      <c r="AC204" s="1301"/>
      <c r="AD204" s="1301"/>
      <c r="AE204" s="1301"/>
      <c r="AF204" s="1301"/>
      <c r="AG204" s="1301"/>
      <c r="AH204" s="1301"/>
      <c r="AI204" s="1301"/>
      <c r="AJ204" s="1301"/>
      <c r="AK204" s="1301"/>
      <c r="AL204" s="1301"/>
      <c r="AM204" s="1301"/>
      <c r="AN204" s="1301"/>
      <c r="AO204" s="1301"/>
      <c r="AP204" s="1301"/>
      <c r="AQ204" s="1301"/>
      <c r="AR204" s="1301"/>
      <c r="AS204" s="1301"/>
      <c r="AT204" s="1301"/>
      <c r="AU204" s="1301"/>
      <c r="AV204" s="1301"/>
      <c r="AW204" s="1301"/>
      <c r="AX204" s="1301"/>
      <c r="AY204" s="1301"/>
      <c r="AZ204" s="1301"/>
      <c r="BA204" s="1301"/>
    </row>
    <row r="205" spans="2:54">
      <c r="B205" s="1243" t="s">
        <v>557</v>
      </c>
      <c r="C205" s="1244"/>
      <c r="D205" s="1244"/>
      <c r="E205" s="1244"/>
      <c r="F205" s="1244"/>
      <c r="G205" s="1245"/>
      <c r="H205" s="419">
        <v>59720</v>
      </c>
      <c r="I205" s="1246"/>
      <c r="J205" s="1247"/>
      <c r="K205" s="1247"/>
      <c r="L205" s="1247"/>
      <c r="M205" s="1248"/>
      <c r="N205" s="413" t="str">
        <f t="shared" si="14"/>
        <v xml:space="preserve"> </v>
      </c>
      <c r="O205" s="32"/>
      <c r="P205" s="415"/>
      <c r="Q205" s="415"/>
      <c r="R205" s="415"/>
      <c r="S205" s="63"/>
      <c r="T205" s="416">
        <f>SUM(T184:T202)</f>
        <v>0</v>
      </c>
      <c r="U205" s="416">
        <f t="shared" ref="U205:BA205" si="15">SUM(U184:U202)</f>
        <v>0</v>
      </c>
      <c r="V205" s="416">
        <f t="shared" si="15"/>
        <v>0</v>
      </c>
      <c r="W205" s="416">
        <f t="shared" si="15"/>
        <v>0</v>
      </c>
      <c r="X205" s="416">
        <f t="shared" si="15"/>
        <v>0</v>
      </c>
      <c r="Y205" s="416">
        <f t="shared" si="15"/>
        <v>42846.629000000001</v>
      </c>
      <c r="Z205" s="416">
        <f t="shared" si="15"/>
        <v>0</v>
      </c>
      <c r="AA205" s="416">
        <f t="shared" si="15"/>
        <v>0</v>
      </c>
      <c r="AB205" s="416">
        <f t="shared" si="15"/>
        <v>0</v>
      </c>
      <c r="AC205" s="416">
        <f t="shared" si="15"/>
        <v>0</v>
      </c>
      <c r="AD205" s="416">
        <f t="shared" si="15"/>
        <v>0</v>
      </c>
      <c r="AE205" s="416">
        <f t="shared" si="15"/>
        <v>0</v>
      </c>
      <c r="AF205" s="416">
        <f t="shared" si="15"/>
        <v>0</v>
      </c>
      <c r="AG205" s="416">
        <f t="shared" si="15"/>
        <v>0</v>
      </c>
      <c r="AH205" s="416">
        <f t="shared" si="15"/>
        <v>0</v>
      </c>
      <c r="AI205" s="416">
        <f t="shared" si="15"/>
        <v>0</v>
      </c>
      <c r="AJ205" s="416">
        <f t="shared" si="15"/>
        <v>0</v>
      </c>
      <c r="AK205" s="416">
        <f t="shared" si="15"/>
        <v>7500</v>
      </c>
      <c r="AL205" s="416">
        <f t="shared" si="15"/>
        <v>0</v>
      </c>
      <c r="AM205" s="416">
        <f t="shared" si="15"/>
        <v>0</v>
      </c>
      <c r="AN205" s="416">
        <f t="shared" si="15"/>
        <v>0</v>
      </c>
      <c r="AO205" s="416">
        <f t="shared" si="15"/>
        <v>0</v>
      </c>
      <c r="AP205" s="416">
        <f t="shared" si="15"/>
        <v>0</v>
      </c>
      <c r="AQ205" s="416">
        <f t="shared" si="15"/>
        <v>0</v>
      </c>
      <c r="AR205" s="416">
        <f t="shared" si="15"/>
        <v>0</v>
      </c>
      <c r="AS205" s="416">
        <f t="shared" si="15"/>
        <v>0</v>
      </c>
      <c r="AT205" s="416">
        <f t="shared" si="15"/>
        <v>0</v>
      </c>
      <c r="AU205" s="416">
        <f t="shared" si="15"/>
        <v>0</v>
      </c>
      <c r="AV205" s="416">
        <f t="shared" si="15"/>
        <v>0</v>
      </c>
      <c r="AW205" s="416">
        <f t="shared" si="15"/>
        <v>0</v>
      </c>
      <c r="AX205" s="416">
        <f t="shared" si="15"/>
        <v>0</v>
      </c>
      <c r="AY205" s="416">
        <f t="shared" si="15"/>
        <v>7573.19</v>
      </c>
      <c r="AZ205" s="416">
        <f t="shared" si="15"/>
        <v>0</v>
      </c>
      <c r="BA205" s="416">
        <f t="shared" si="15"/>
        <v>0</v>
      </c>
      <c r="BB205" s="416">
        <f>SUM(T205:BA205)</f>
        <v>57919.819000000003</v>
      </c>
    </row>
    <row r="206" spans="2:54">
      <c r="B206" s="1243" t="s">
        <v>558</v>
      </c>
      <c r="C206" s="1244"/>
      <c r="D206" s="1244"/>
      <c r="E206" s="1244"/>
      <c r="F206" s="1244"/>
      <c r="G206" s="1245"/>
      <c r="H206" s="420">
        <f>H205-L178</f>
        <v>0</v>
      </c>
      <c r="I206" s="294"/>
      <c r="J206" s="295"/>
      <c r="K206" s="295"/>
      <c r="L206" s="296"/>
      <c r="M206" s="32"/>
      <c r="N206" s="32"/>
      <c r="O206" s="32"/>
      <c r="P206" s="32"/>
      <c r="Q206" s="297"/>
      <c r="R206" s="297"/>
      <c r="S206" s="32"/>
      <c r="T206" s="48"/>
      <c r="U206" s="48"/>
      <c r="V206" s="48"/>
      <c r="W206" s="48"/>
      <c r="X206" s="48"/>
      <c r="Y206" s="48"/>
      <c r="Z206" s="48"/>
      <c r="AA206" s="48"/>
      <c r="AB206" s="48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</row>
    <row r="207" spans="2:54">
      <c r="B207" s="1243" t="s">
        <v>559</v>
      </c>
      <c r="C207" s="1244"/>
      <c r="D207" s="1244"/>
      <c r="E207" s="1244"/>
      <c r="F207" s="1244"/>
      <c r="G207" s="1245"/>
      <c r="H207" s="446">
        <v>1800.181</v>
      </c>
      <c r="I207" s="52"/>
      <c r="J207" s="53"/>
      <c r="K207" s="53"/>
      <c r="L207" s="54"/>
      <c r="M207" s="32"/>
      <c r="N207" s="201"/>
      <c r="O207" s="32"/>
      <c r="P207" s="32"/>
      <c r="Q207" s="32"/>
      <c r="R207" s="32"/>
      <c r="S207" s="32"/>
      <c r="T207" s="48"/>
      <c r="U207" s="48"/>
      <c r="V207" s="48"/>
      <c r="W207" s="48"/>
      <c r="X207" s="48"/>
      <c r="Y207" s="48"/>
      <c r="Z207" s="48"/>
      <c r="AA207" s="48"/>
      <c r="AB207" s="48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</row>
    <row r="208" spans="2:54">
      <c r="B208" s="1243" t="s">
        <v>560</v>
      </c>
      <c r="C208" s="1244"/>
      <c r="D208" s="1244"/>
      <c r="E208" s="1244"/>
      <c r="F208" s="1244"/>
      <c r="G208" s="1245"/>
      <c r="H208" s="421">
        <f>H207-1944.184</f>
        <v>-144.00299999999993</v>
      </c>
      <c r="I208" s="52"/>
      <c r="J208" s="53"/>
      <c r="K208" s="53"/>
      <c r="L208" s="54"/>
      <c r="M208" s="32"/>
      <c r="N208" s="32"/>
      <c r="O208" s="32"/>
      <c r="P208" s="32"/>
      <c r="Q208" s="32"/>
      <c r="R208" s="32"/>
      <c r="S208" s="48"/>
      <c r="T208" s="48"/>
      <c r="U208" s="48"/>
      <c r="V208" s="48"/>
      <c r="W208" s="48"/>
      <c r="X208" s="48"/>
      <c r="Y208" s="48"/>
      <c r="Z208" s="48"/>
      <c r="AA208" s="48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2:56">
      <c r="B209" s="201"/>
      <c r="C209" s="201"/>
      <c r="D209" s="201"/>
      <c r="E209" s="201"/>
      <c r="F209" s="201"/>
      <c r="G209" s="201"/>
      <c r="H209" s="201"/>
      <c r="I209" s="213"/>
      <c r="J209" s="209"/>
      <c r="K209" s="209"/>
      <c r="L209" s="203"/>
      <c r="M209" s="201"/>
      <c r="N209" s="201"/>
      <c r="O209" s="209"/>
      <c r="P209" s="32"/>
      <c r="Q209" s="32"/>
      <c r="R209" s="32"/>
      <c r="S209" s="32"/>
      <c r="T209" s="48"/>
      <c r="U209" s="48"/>
      <c r="V209" s="48"/>
      <c r="W209" s="48"/>
      <c r="X209" s="48"/>
      <c r="Y209" s="48"/>
      <c r="Z209" s="48"/>
      <c r="AA209" s="48"/>
      <c r="AB209" s="48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</row>
    <row r="210" spans="2:56">
      <c r="B210" s="40" t="s">
        <v>561</v>
      </c>
      <c r="C210" s="40"/>
      <c r="D210" s="32"/>
      <c r="E210" s="32"/>
      <c r="F210" s="32"/>
      <c r="G210" s="32"/>
      <c r="H210" s="32"/>
      <c r="I210" s="32"/>
      <c r="J210" s="52"/>
      <c r="K210" s="52"/>
      <c r="L210" s="55"/>
      <c r="M210" s="32"/>
      <c r="N210" s="201"/>
      <c r="O210" s="5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1"/>
      <c r="AC210" s="201"/>
      <c r="AD210" s="201"/>
      <c r="AE210" s="201"/>
      <c r="AF210" s="201"/>
      <c r="AG210" s="201"/>
      <c r="AH210" s="201"/>
      <c r="AI210" s="201"/>
      <c r="AJ210" s="201"/>
      <c r="AK210" s="201"/>
      <c r="AL210" s="201"/>
      <c r="AM210" s="201"/>
      <c r="AN210" s="201"/>
      <c r="AO210" s="201"/>
      <c r="AP210" s="201"/>
      <c r="AQ210" s="201"/>
      <c r="AR210" s="201"/>
      <c r="AS210" s="201"/>
      <c r="AT210" s="201"/>
      <c r="AU210" s="201"/>
      <c r="BB210" s="201"/>
    </row>
    <row r="211" spans="2:56">
      <c r="B211" s="422">
        <v>1</v>
      </c>
      <c r="C211" s="1249" t="s">
        <v>2082</v>
      </c>
      <c r="D211" s="1249"/>
      <c r="E211" s="1249"/>
      <c r="F211" s="1249"/>
      <c r="G211" s="1249"/>
      <c r="H211" s="1249"/>
      <c r="I211" s="1249"/>
      <c r="J211" s="1249"/>
      <c r="K211" s="1249"/>
      <c r="L211" s="203"/>
      <c r="M211" s="203"/>
      <c r="N211" s="201"/>
      <c r="O211" s="209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1"/>
      <c r="AC211" s="201"/>
      <c r="AD211" s="201"/>
      <c r="AE211" s="201"/>
      <c r="AF211" s="201"/>
      <c r="AG211" s="201"/>
      <c r="AH211" s="201"/>
      <c r="AI211" s="201"/>
      <c r="AJ211" s="201"/>
      <c r="AK211" s="201"/>
      <c r="AL211" s="201"/>
      <c r="AM211" s="201"/>
      <c r="AN211" s="201"/>
      <c r="AO211" s="201"/>
      <c r="AP211" s="201"/>
      <c r="AQ211" s="201"/>
      <c r="AR211" s="201"/>
      <c r="AS211" s="201"/>
      <c r="AT211" s="201"/>
      <c r="AU211" s="201"/>
      <c r="AV211" s="201"/>
      <c r="AW211" s="201"/>
      <c r="AX211" s="201"/>
      <c r="AY211" s="201"/>
      <c r="AZ211" s="201"/>
      <c r="BA211" s="201"/>
      <c r="BB211" s="201"/>
    </row>
    <row r="213" spans="2:56">
      <c r="B213" s="28" t="s">
        <v>126</v>
      </c>
      <c r="C213" s="28"/>
      <c r="D213" s="29"/>
      <c r="E213" s="30" t="s">
        <v>511</v>
      </c>
      <c r="F213" s="31" t="s">
        <v>2083</v>
      </c>
      <c r="G213" s="32"/>
      <c r="H213" s="33"/>
      <c r="I213" s="34"/>
      <c r="J213" s="35" t="s">
        <v>513</v>
      </c>
      <c r="K213" s="36" t="s">
        <v>511</v>
      </c>
      <c r="L213" s="37">
        <v>45123.25</v>
      </c>
      <c r="M213" s="32"/>
      <c r="N213" s="32"/>
      <c r="O213" s="36"/>
      <c r="P213" s="33"/>
      <c r="Q213" s="48"/>
      <c r="R213" s="49"/>
      <c r="S213" s="38"/>
      <c r="T213" s="32"/>
      <c r="U213" s="32"/>
      <c r="V213" s="32"/>
      <c r="W213" s="32"/>
      <c r="X213" s="32"/>
      <c r="Y213" s="32"/>
      <c r="Z213" s="32"/>
      <c r="AA213" s="32"/>
      <c r="AB213" s="48"/>
      <c r="AC213" s="48"/>
      <c r="AD213" s="48"/>
      <c r="AE213" s="48"/>
      <c r="AF213" s="48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</row>
    <row r="214" spans="2:56">
      <c r="B214" s="35" t="s">
        <v>514</v>
      </c>
      <c r="C214" s="35"/>
      <c r="D214" s="32"/>
      <c r="E214" s="36" t="s">
        <v>511</v>
      </c>
      <c r="F214" s="37" t="s">
        <v>2072</v>
      </c>
      <c r="G214" s="32"/>
      <c r="H214" s="33"/>
      <c r="I214" s="34"/>
      <c r="J214" s="35" t="s">
        <v>516</v>
      </c>
      <c r="K214" s="36" t="s">
        <v>511</v>
      </c>
      <c r="L214" s="37">
        <v>45124.190972222219</v>
      </c>
      <c r="M214" s="32"/>
      <c r="N214" s="32"/>
      <c r="O214" s="36"/>
      <c r="P214" s="33"/>
      <c r="Q214" s="48"/>
      <c r="R214" s="49"/>
      <c r="S214" s="38"/>
      <c r="T214" s="32"/>
      <c r="U214" s="32"/>
      <c r="V214" s="32"/>
      <c r="W214" s="32"/>
      <c r="X214" s="32"/>
      <c r="Y214" s="32"/>
      <c r="Z214" s="32"/>
      <c r="AA214" s="32"/>
      <c r="AB214" s="48"/>
      <c r="AC214" s="48"/>
      <c r="AD214" s="48"/>
      <c r="AE214" s="48"/>
      <c r="AF214" s="48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</row>
    <row r="215" spans="2:56">
      <c r="B215" s="35" t="s">
        <v>517</v>
      </c>
      <c r="C215" s="35"/>
      <c r="D215" s="32"/>
      <c r="E215" s="36" t="s">
        <v>511</v>
      </c>
      <c r="F215" s="37">
        <v>45121.616666666669</v>
      </c>
      <c r="G215" s="32"/>
      <c r="H215" s="33"/>
      <c r="I215" s="34"/>
      <c r="J215" s="35" t="s">
        <v>518</v>
      </c>
      <c r="K215" s="36" t="s">
        <v>511</v>
      </c>
      <c r="L215" s="50">
        <v>31500</v>
      </c>
      <c r="M215" s="40" t="s">
        <v>519</v>
      </c>
      <c r="N215" s="40"/>
      <c r="O215" s="36"/>
      <c r="P215" s="33"/>
      <c r="Q215" s="48"/>
      <c r="R215" s="49"/>
      <c r="S215" s="38"/>
      <c r="T215" s="32"/>
      <c r="U215" s="32"/>
      <c r="V215" s="32"/>
      <c r="W215" s="32"/>
      <c r="X215" s="32"/>
      <c r="Y215" s="32"/>
      <c r="Z215" s="32"/>
      <c r="AA215" s="32"/>
      <c r="AB215" s="48"/>
      <c r="AC215" s="48"/>
      <c r="AD215" s="48"/>
      <c r="AE215" s="48"/>
      <c r="AF215" s="48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</row>
    <row r="216" spans="2:56">
      <c r="B216" s="35" t="s">
        <v>520</v>
      </c>
      <c r="C216" s="35"/>
      <c r="D216" s="32"/>
      <c r="E216" s="36" t="s">
        <v>511</v>
      </c>
      <c r="F216" s="37" t="s">
        <v>20</v>
      </c>
      <c r="G216" s="32"/>
      <c r="H216" s="33"/>
      <c r="I216" s="34"/>
      <c r="J216" s="35" t="s">
        <v>521</v>
      </c>
      <c r="K216" s="36" t="s">
        <v>511</v>
      </c>
      <c r="L216" s="41" t="s">
        <v>2001</v>
      </c>
      <c r="M216" s="32"/>
      <c r="N216" s="32"/>
      <c r="O216" s="36"/>
      <c r="P216" s="48"/>
      <c r="Q216" s="48"/>
      <c r="R216" s="49"/>
      <c r="S216" s="38"/>
      <c r="T216" s="32"/>
      <c r="U216" s="32"/>
      <c r="V216" s="32"/>
      <c r="W216" s="32"/>
      <c r="X216" s="32"/>
      <c r="Y216" s="32"/>
      <c r="Z216" s="32"/>
      <c r="AA216" s="32"/>
      <c r="AB216" s="48"/>
      <c r="AC216" s="48"/>
      <c r="AD216" s="48"/>
      <c r="AE216" s="48"/>
      <c r="AF216" s="48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</row>
    <row r="217" spans="2:56">
      <c r="B217" s="35" t="s">
        <v>523</v>
      </c>
      <c r="C217" s="35"/>
      <c r="D217" s="32"/>
      <c r="E217" s="36" t="s">
        <v>511</v>
      </c>
      <c r="F217" s="37" t="s">
        <v>47</v>
      </c>
      <c r="G217" s="32"/>
      <c r="H217" s="33"/>
      <c r="I217" s="34"/>
      <c r="J217" s="42" t="s">
        <v>524</v>
      </c>
      <c r="K217" s="36" t="s">
        <v>511</v>
      </c>
      <c r="L217" s="43" t="s">
        <v>15</v>
      </c>
      <c r="M217" s="44"/>
      <c r="N217" s="44"/>
      <c r="O217" s="36"/>
      <c r="P217" s="33"/>
      <c r="Q217" s="48"/>
      <c r="R217" s="49"/>
      <c r="S217" s="38"/>
      <c r="T217" s="32"/>
      <c r="U217" s="32"/>
      <c r="V217" s="32"/>
      <c r="W217" s="32"/>
      <c r="X217" s="32"/>
      <c r="Y217" s="32"/>
      <c r="Z217" s="32"/>
      <c r="AA217" s="32"/>
      <c r="AB217" s="48"/>
      <c r="AC217" s="48"/>
      <c r="AD217" s="48"/>
      <c r="AE217" s="48"/>
      <c r="AF217" s="48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</row>
    <row r="218" spans="2:56">
      <c r="B218" s="35" t="s">
        <v>2</v>
      </c>
      <c r="C218" s="35"/>
      <c r="D218" s="32"/>
      <c r="E218" s="36" t="s">
        <v>511</v>
      </c>
      <c r="F218" s="37" t="s">
        <v>18</v>
      </c>
      <c r="G218" s="32"/>
      <c r="H218" s="33"/>
      <c r="I218" s="45"/>
      <c r="J218" s="42"/>
      <c r="K218" s="36"/>
      <c r="L218" s="37"/>
      <c r="M218" s="32"/>
      <c r="N218" s="32"/>
      <c r="O218" s="42"/>
      <c r="P218" s="44"/>
      <c r="Q218" s="44"/>
      <c r="R218" s="44"/>
      <c r="S218" s="34"/>
      <c r="T218" s="32"/>
      <c r="U218" s="32"/>
      <c r="V218" s="32"/>
      <c r="W218" s="32"/>
      <c r="X218" s="32"/>
      <c r="Y218" s="32"/>
      <c r="Z218" s="32"/>
      <c r="AA218" s="32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</row>
    <row r="219" spans="2:56">
      <c r="B219" s="32"/>
      <c r="C219" s="32"/>
      <c r="D219" s="32"/>
      <c r="E219" s="32"/>
      <c r="F219" s="32"/>
      <c r="G219" s="32"/>
      <c r="H219" s="32"/>
      <c r="I219" s="45"/>
      <c r="J219" s="42"/>
      <c r="K219" s="42"/>
      <c r="L219" s="43"/>
      <c r="M219" s="44"/>
      <c r="N219" s="44"/>
      <c r="O219" s="42"/>
      <c r="P219" s="44"/>
      <c r="Q219" s="44"/>
      <c r="R219" s="44"/>
      <c r="S219" s="34"/>
      <c r="T219" s="1270" t="s">
        <v>87</v>
      </c>
      <c r="U219" s="1270"/>
      <c r="V219" s="1270"/>
      <c r="W219" s="1270"/>
      <c r="X219" s="1270"/>
      <c r="Y219" s="1270" t="s">
        <v>73</v>
      </c>
      <c r="Z219" s="1270"/>
      <c r="AA219" s="1270"/>
      <c r="AB219" s="1270" t="s">
        <v>74</v>
      </c>
      <c r="AC219" s="1270"/>
      <c r="AD219" s="407" t="s">
        <v>85</v>
      </c>
      <c r="AE219" s="407" t="s">
        <v>77</v>
      </c>
      <c r="AF219" s="1270" t="s">
        <v>525</v>
      </c>
      <c r="AG219" s="1270"/>
      <c r="AH219" s="1270"/>
      <c r="AI219" s="1270"/>
      <c r="AJ219" s="1270"/>
      <c r="AK219" s="1270"/>
      <c r="AL219" s="1270"/>
      <c r="AM219" s="1270"/>
      <c r="AN219" s="1270"/>
      <c r="AO219" s="1270"/>
      <c r="AP219" s="1270"/>
      <c r="AQ219" s="1270"/>
      <c r="AR219" s="1270"/>
      <c r="AS219" s="1270"/>
      <c r="AT219" s="1270"/>
      <c r="AU219" s="1270"/>
      <c r="AV219" s="1270"/>
      <c r="AW219" s="1270"/>
      <c r="AX219" s="1270"/>
      <c r="AY219" s="1270"/>
      <c r="AZ219" s="1270"/>
      <c r="BA219" s="1270"/>
      <c r="BB219" s="1270"/>
      <c r="BC219" s="1270"/>
      <c r="BD219" s="32"/>
    </row>
    <row r="220" spans="2:56">
      <c r="B220" s="1266" t="s">
        <v>526</v>
      </c>
      <c r="C220" s="1267"/>
      <c r="D220" s="570" t="s">
        <v>527</v>
      </c>
      <c r="E220" s="570"/>
      <c r="F220" s="570" t="s">
        <v>528</v>
      </c>
      <c r="G220" s="570" t="s">
        <v>529</v>
      </c>
      <c r="H220" s="570" t="s">
        <v>530</v>
      </c>
      <c r="I220" s="570" t="s">
        <v>531</v>
      </c>
      <c r="J220" s="570" t="s">
        <v>532</v>
      </c>
      <c r="K220" s="570"/>
      <c r="L220" s="570" t="s">
        <v>130</v>
      </c>
      <c r="M220" s="570" t="s">
        <v>533</v>
      </c>
      <c r="N220" s="408" t="str">
        <f>"On time - "&amp;COUNTIF(N221:N225,"On time")&amp;" from "&amp;ROWS(N221:N225)-COUNTIF(N221:N225," ")</f>
        <v>On time - 4 from 4</v>
      </c>
      <c r="O220" s="46"/>
      <c r="P220" s="409" t="s">
        <v>534</v>
      </c>
      <c r="Q220" s="409" t="s">
        <v>535</v>
      </c>
      <c r="R220" s="409" t="s">
        <v>536</v>
      </c>
      <c r="S220" s="32"/>
      <c r="T220" s="410" t="s">
        <v>537</v>
      </c>
      <c r="U220" s="410" t="s">
        <v>538</v>
      </c>
      <c r="V220" s="410" t="s">
        <v>539</v>
      </c>
      <c r="W220" s="410" t="s">
        <v>540</v>
      </c>
      <c r="X220" s="410" t="s">
        <v>541</v>
      </c>
      <c r="Y220" s="410" t="s">
        <v>167</v>
      </c>
      <c r="Z220" s="410" t="s">
        <v>168</v>
      </c>
      <c r="AA220" s="410" t="s">
        <v>169</v>
      </c>
      <c r="AB220" s="410" t="s">
        <v>235</v>
      </c>
      <c r="AC220" s="410" t="s">
        <v>240</v>
      </c>
      <c r="AD220" s="407" t="s">
        <v>85</v>
      </c>
      <c r="AE220" s="410" t="s">
        <v>139</v>
      </c>
      <c r="AF220" s="410" t="s">
        <v>72</v>
      </c>
      <c r="AG220" s="410" t="s">
        <v>88</v>
      </c>
      <c r="AH220" s="410" t="s">
        <v>75</v>
      </c>
      <c r="AI220" s="410" t="s">
        <v>543</v>
      </c>
      <c r="AJ220" s="410" t="s">
        <v>78</v>
      </c>
      <c r="AK220" s="410" t="s">
        <v>76</v>
      </c>
      <c r="AL220" s="410" t="s">
        <v>544</v>
      </c>
      <c r="AM220" s="410" t="s">
        <v>545</v>
      </c>
      <c r="AN220" s="410" t="s">
        <v>86</v>
      </c>
      <c r="AO220" s="410" t="s">
        <v>83</v>
      </c>
      <c r="AP220" s="410" t="s">
        <v>84</v>
      </c>
      <c r="AQ220" s="410" t="s">
        <v>546</v>
      </c>
      <c r="AR220" s="410" t="s">
        <v>81</v>
      </c>
      <c r="AS220" s="410" t="s">
        <v>80</v>
      </c>
      <c r="AT220" s="410" t="s">
        <v>82</v>
      </c>
      <c r="AU220" s="410" t="s">
        <v>181</v>
      </c>
      <c r="AV220" s="410" t="s">
        <v>183</v>
      </c>
      <c r="AW220" s="410" t="s">
        <v>547</v>
      </c>
      <c r="AX220" s="410" t="s">
        <v>182</v>
      </c>
      <c r="AY220" s="410" t="s">
        <v>172</v>
      </c>
      <c r="AZ220" s="410" t="s">
        <v>173</v>
      </c>
      <c r="BA220" s="410" t="s">
        <v>184</v>
      </c>
      <c r="BB220" s="410" t="s">
        <v>100</v>
      </c>
      <c r="BC220" s="410" t="s">
        <v>913</v>
      </c>
      <c r="BD220" s="32"/>
    </row>
    <row r="221" spans="2:56">
      <c r="B221" s="1256">
        <v>1</v>
      </c>
      <c r="C221" s="1257"/>
      <c r="D221" s="411" t="s">
        <v>2084</v>
      </c>
      <c r="E221" s="411"/>
      <c r="F221" s="411" t="s">
        <v>383</v>
      </c>
      <c r="G221" s="411" t="s">
        <v>384</v>
      </c>
      <c r="H221" s="412">
        <v>5116</v>
      </c>
      <c r="I221" s="413" t="s">
        <v>81</v>
      </c>
      <c r="J221" s="414">
        <v>45115.583333333336</v>
      </c>
      <c r="K221" s="414"/>
      <c r="L221" s="414" t="s">
        <v>192</v>
      </c>
      <c r="M221" s="414" t="s">
        <v>192</v>
      </c>
      <c r="N221" s="413" t="str">
        <f>IF(ISBLANK(J221)," ",IF(J221&lt;$F$215,"On time",(IF(DAY(J221-$F$215)&lt;1,"On time",(IF(J221&gt;$F$215,"DELAY ( "&amp;DAY(J221-$F$215)&amp;" day "&amp;HOUR(J221-$F$215)&amp;" hour "&amp;MINUTE(J221-$F$215)&amp;" minute )","xxx"))))))</f>
        <v>On time</v>
      </c>
      <c r="O221" s="51"/>
      <c r="P221" s="415" t="s">
        <v>551</v>
      </c>
      <c r="Q221" s="415" t="s">
        <v>551</v>
      </c>
      <c r="R221" s="415" t="s">
        <v>551</v>
      </c>
      <c r="S221" s="32"/>
      <c r="T221" s="416"/>
      <c r="U221" s="416"/>
      <c r="V221" s="416"/>
      <c r="W221" s="416"/>
      <c r="X221" s="416"/>
      <c r="Y221" s="416"/>
      <c r="Z221" s="416"/>
      <c r="AA221" s="416"/>
      <c r="AB221" s="32"/>
      <c r="AC221" s="32"/>
      <c r="AD221" s="416"/>
      <c r="AE221" s="416"/>
      <c r="AF221" s="416"/>
      <c r="AG221" s="416"/>
      <c r="AH221" s="416"/>
      <c r="AI221" s="416"/>
      <c r="AJ221" s="416"/>
      <c r="AK221" s="416"/>
      <c r="AL221" s="416"/>
      <c r="AM221" s="416"/>
      <c r="AN221" s="416"/>
      <c r="AO221" s="416"/>
      <c r="AP221" s="416"/>
      <c r="AQ221" s="416"/>
      <c r="AR221" s="416">
        <f>H221</f>
        <v>5116</v>
      </c>
      <c r="AS221" s="416"/>
      <c r="AT221" s="416"/>
      <c r="AU221" s="416"/>
      <c r="AV221" s="416"/>
      <c r="AW221" s="416"/>
      <c r="AX221" s="416"/>
      <c r="AY221" s="416"/>
      <c r="AZ221" s="416"/>
      <c r="BA221" s="416"/>
      <c r="BB221" s="416"/>
      <c r="BC221" s="416"/>
      <c r="BD221" s="32"/>
    </row>
    <row r="222" spans="2:56">
      <c r="B222" s="1256">
        <v>2</v>
      </c>
      <c r="C222" s="1257"/>
      <c r="D222" s="411" t="s">
        <v>2085</v>
      </c>
      <c r="E222" s="411"/>
      <c r="F222" s="411" t="s">
        <v>1255</v>
      </c>
      <c r="G222" s="411" t="s">
        <v>268</v>
      </c>
      <c r="H222" s="412">
        <v>7596.62</v>
      </c>
      <c r="I222" s="413" t="s">
        <v>235</v>
      </c>
      <c r="J222" s="414">
        <v>45116.284722222219</v>
      </c>
      <c r="K222" s="414"/>
      <c r="L222" s="414" t="s">
        <v>192</v>
      </c>
      <c r="M222" s="414" t="s">
        <v>192</v>
      </c>
      <c r="N222" s="413" t="str">
        <f t="shared" ref="N222:N227" si="16">IF(ISBLANK(J222)," ",IF(J222&lt;$F$215,"On time",(IF(DAY(J222-$F$215)&lt;1,"On time",(IF(J222&gt;$F$215,"DELAY ( "&amp;DAY(J222-$F$215)&amp;" day "&amp;HOUR(J222-$F$215)&amp;" hour "&amp;MINUTE(J222-$F$215)&amp;" minute )","xxx"))))))</f>
        <v>On time</v>
      </c>
      <c r="O222" s="51"/>
      <c r="P222" s="415" t="s">
        <v>551</v>
      </c>
      <c r="Q222" s="415" t="s">
        <v>551</v>
      </c>
      <c r="R222" s="415" t="s">
        <v>551</v>
      </c>
      <c r="S222" s="32"/>
      <c r="T222" s="416"/>
      <c r="U222" s="416"/>
      <c r="V222" s="416"/>
      <c r="W222" s="416"/>
      <c r="X222" s="416"/>
      <c r="Y222" s="416"/>
      <c r="Z222" s="416"/>
      <c r="AA222" s="416"/>
      <c r="AB222" s="416">
        <f t="shared" ref="AB222" si="17">H222</f>
        <v>7596.62</v>
      </c>
      <c r="AC222" s="416"/>
      <c r="AD222" s="416"/>
      <c r="AE222" s="416"/>
      <c r="AF222" s="416"/>
      <c r="AG222" s="416"/>
      <c r="AH222" s="416"/>
      <c r="AI222" s="416"/>
      <c r="AJ222" s="416"/>
      <c r="AK222" s="416"/>
      <c r="AL222" s="416"/>
      <c r="AM222" s="416"/>
      <c r="AN222" s="416"/>
      <c r="AO222" s="416"/>
      <c r="AP222" s="416"/>
      <c r="AQ222" s="416"/>
      <c r="AR222" s="416"/>
      <c r="AS222" s="416"/>
      <c r="AT222" s="416"/>
      <c r="AU222" s="416"/>
      <c r="AV222" s="416"/>
      <c r="AW222" s="416"/>
      <c r="AX222" s="416"/>
      <c r="AY222" s="416"/>
      <c r="AZ222" s="416"/>
      <c r="BA222" s="416"/>
      <c r="BB222" s="416"/>
      <c r="BC222" s="416"/>
      <c r="BD222" s="32"/>
    </row>
    <row r="223" spans="2:56">
      <c r="B223" s="1256">
        <v>3</v>
      </c>
      <c r="C223" s="1257"/>
      <c r="D223" s="411" t="s">
        <v>2086</v>
      </c>
      <c r="E223" s="411"/>
      <c r="F223" s="411" t="s">
        <v>1972</v>
      </c>
      <c r="G223" s="411" t="s">
        <v>1973</v>
      </c>
      <c r="H223" s="412">
        <v>7633.6289999999999</v>
      </c>
      <c r="I223" s="413" t="s">
        <v>235</v>
      </c>
      <c r="J223" s="414">
        <v>45116.104166666664</v>
      </c>
      <c r="K223" s="414"/>
      <c r="L223" s="414" t="s">
        <v>192</v>
      </c>
      <c r="M223" s="414" t="s">
        <v>192</v>
      </c>
      <c r="N223" s="413" t="str">
        <f t="shared" si="16"/>
        <v>On time</v>
      </c>
      <c r="O223" s="51"/>
      <c r="P223" s="415" t="s">
        <v>551</v>
      </c>
      <c r="Q223" s="415" t="s">
        <v>551</v>
      </c>
      <c r="R223" s="415" t="s">
        <v>551</v>
      </c>
      <c r="S223" s="32"/>
      <c r="T223" s="416"/>
      <c r="U223" s="416"/>
      <c r="V223" s="416"/>
      <c r="W223" s="416"/>
      <c r="X223" s="416"/>
      <c r="Y223" s="416"/>
      <c r="Z223" s="416"/>
      <c r="AA223" s="416"/>
      <c r="AB223" s="416">
        <f>H223</f>
        <v>7633.6289999999999</v>
      </c>
      <c r="AC223" s="416"/>
      <c r="AD223" s="416"/>
      <c r="AE223" s="416"/>
      <c r="AF223" s="416"/>
      <c r="AG223" s="416"/>
      <c r="AH223" s="416"/>
      <c r="AI223" s="416"/>
      <c r="AJ223" s="416"/>
      <c r="AK223" s="416"/>
      <c r="AL223" s="416"/>
      <c r="AM223" s="416"/>
      <c r="AN223" s="416"/>
      <c r="AO223" s="416"/>
      <c r="AP223" s="416"/>
      <c r="AQ223" s="416"/>
      <c r="AR223" s="416"/>
      <c r="AS223" s="416"/>
      <c r="AT223" s="416"/>
      <c r="AU223" s="416"/>
      <c r="AV223" s="416"/>
      <c r="AW223" s="416"/>
      <c r="AX223" s="416"/>
      <c r="AY223" s="416"/>
      <c r="AZ223" s="416"/>
      <c r="BA223" s="416"/>
      <c r="BB223" s="416"/>
      <c r="BC223" s="416"/>
      <c r="BD223" s="32"/>
    </row>
    <row r="224" spans="2:56">
      <c r="B224" s="1256">
        <v>4</v>
      </c>
      <c r="C224" s="1257"/>
      <c r="D224" s="411" t="s">
        <v>2087</v>
      </c>
      <c r="E224" s="411"/>
      <c r="F224" s="411" t="s">
        <v>346</v>
      </c>
      <c r="G224" s="411" t="s">
        <v>347</v>
      </c>
      <c r="H224" s="412">
        <v>7624.308</v>
      </c>
      <c r="I224" s="413" t="s">
        <v>235</v>
      </c>
      <c r="J224" s="414">
        <v>45116.416666666664</v>
      </c>
      <c r="K224" s="414"/>
      <c r="L224" s="414" t="s">
        <v>192</v>
      </c>
      <c r="M224" s="414" t="s">
        <v>192</v>
      </c>
      <c r="N224" s="413" t="str">
        <f t="shared" si="16"/>
        <v>On time</v>
      </c>
      <c r="O224" s="51"/>
      <c r="P224" s="415" t="s">
        <v>551</v>
      </c>
      <c r="Q224" s="415" t="s">
        <v>551</v>
      </c>
      <c r="R224" s="415" t="s">
        <v>551</v>
      </c>
      <c r="S224" s="32"/>
      <c r="T224" s="416"/>
      <c r="U224" s="416"/>
      <c r="V224" s="416"/>
      <c r="W224" s="416"/>
      <c r="X224" s="416"/>
      <c r="Y224" s="416"/>
      <c r="Z224" s="416"/>
      <c r="AA224" s="416"/>
      <c r="AB224" s="416">
        <f>H224</f>
        <v>7624.308</v>
      </c>
      <c r="AC224" s="416"/>
      <c r="AD224" s="416"/>
      <c r="AE224" s="416"/>
      <c r="AF224" s="416"/>
      <c r="AG224" s="416"/>
      <c r="AH224" s="416"/>
      <c r="AI224" s="416"/>
      <c r="AJ224" s="416"/>
      <c r="AK224" s="416"/>
      <c r="AL224" s="416"/>
      <c r="AM224" s="416"/>
      <c r="AN224" s="416"/>
      <c r="AO224" s="416"/>
      <c r="AP224" s="416"/>
      <c r="AQ224" s="416"/>
      <c r="AR224" s="416"/>
      <c r="AS224" s="416"/>
      <c r="AT224" s="416"/>
      <c r="AU224" s="416"/>
      <c r="AV224" s="416"/>
      <c r="AW224" s="416"/>
      <c r="AX224" s="416"/>
      <c r="AY224" s="416"/>
      <c r="AZ224" s="416"/>
      <c r="BA224" s="416"/>
      <c r="BB224" s="416"/>
      <c r="BC224" s="416"/>
      <c r="BD224" s="32"/>
    </row>
    <row r="225" spans="2:56">
      <c r="B225" s="1256" t="s">
        <v>610</v>
      </c>
      <c r="C225" s="1276"/>
      <c r="D225" s="1276"/>
      <c r="E225" s="1276"/>
      <c r="F225" s="1276"/>
      <c r="G225" s="1257"/>
      <c r="H225" s="412">
        <f>H227-SUM(H221:H224)</f>
        <v>3529.4429999999993</v>
      </c>
      <c r="I225" s="413" t="s">
        <v>1164</v>
      </c>
      <c r="J225" s="414"/>
      <c r="K225" s="414"/>
      <c r="L225" s="414"/>
      <c r="M225" s="414"/>
      <c r="N225" s="413" t="str">
        <f t="shared" si="16"/>
        <v xml:space="preserve"> </v>
      </c>
      <c r="O225" s="51"/>
      <c r="P225" s="415" t="s">
        <v>551</v>
      </c>
      <c r="Q225" s="415"/>
      <c r="R225" s="415"/>
      <c r="S225" s="32"/>
      <c r="T225" s="416"/>
      <c r="U225" s="416"/>
      <c r="V225" s="416"/>
      <c r="W225" s="416"/>
      <c r="X225" s="416">
        <f>H225</f>
        <v>3529.4429999999993</v>
      </c>
      <c r="Y225" s="416"/>
      <c r="Z225" s="416"/>
      <c r="AA225" s="416"/>
      <c r="AB225" s="416"/>
      <c r="AC225" s="416"/>
      <c r="AD225" s="416"/>
      <c r="AE225" s="416"/>
      <c r="AF225" s="416"/>
      <c r="AG225" s="416"/>
      <c r="AH225" s="416"/>
      <c r="AI225" s="416"/>
      <c r="AJ225" s="416"/>
      <c r="AK225" s="416"/>
      <c r="AL225" s="416"/>
      <c r="AM225" s="416"/>
      <c r="AN225" s="416"/>
      <c r="AO225" s="416"/>
      <c r="AP225" s="416"/>
      <c r="AQ225" s="416"/>
      <c r="AR225" s="416"/>
      <c r="AS225" s="416"/>
      <c r="AT225" s="416"/>
      <c r="AU225" s="416"/>
      <c r="AV225" s="416"/>
      <c r="AW225" s="416"/>
      <c r="AX225" s="416"/>
      <c r="AY225" s="416"/>
      <c r="AZ225" s="416"/>
      <c r="BA225" s="416"/>
      <c r="BB225" s="416"/>
      <c r="BC225" s="416"/>
      <c r="BD225" s="32"/>
    </row>
    <row r="226" spans="2:56">
      <c r="B226" s="1258" t="s">
        <v>556</v>
      </c>
      <c r="C226" s="1259"/>
      <c r="D226" s="1259"/>
      <c r="E226" s="1259"/>
      <c r="F226" s="1259"/>
      <c r="G226" s="1260"/>
      <c r="H226" s="417">
        <f>SUM(H221:H225)</f>
        <v>31500</v>
      </c>
      <c r="I226" s="388"/>
      <c r="J226" s="293"/>
      <c r="K226" s="293"/>
      <c r="L226" s="293"/>
      <c r="M226" s="389"/>
      <c r="N226" s="413" t="str">
        <f t="shared" si="16"/>
        <v xml:space="preserve"> </v>
      </c>
      <c r="O226" s="47"/>
      <c r="P226" s="418"/>
      <c r="Q226" s="418"/>
      <c r="R226" s="418"/>
      <c r="S226" s="32"/>
      <c r="T226" s="1262"/>
      <c r="U226" s="1263"/>
      <c r="V226" s="1263"/>
      <c r="W226" s="1263"/>
      <c r="X226" s="1263"/>
      <c r="Y226" s="1263"/>
      <c r="Z226" s="1263"/>
      <c r="AA226" s="1263"/>
      <c r="AB226" s="1263"/>
      <c r="AC226" s="1263"/>
      <c r="AD226" s="1263"/>
      <c r="AE226" s="1263"/>
      <c r="AF226" s="1263"/>
      <c r="AG226" s="1263"/>
      <c r="AH226" s="1263"/>
      <c r="AI226" s="1263"/>
      <c r="AJ226" s="1263"/>
      <c r="AK226" s="1263"/>
      <c r="AL226" s="1263"/>
      <c r="AM226" s="1263"/>
      <c r="AN226" s="1263"/>
      <c r="AO226" s="1263"/>
      <c r="AP226" s="1263"/>
      <c r="AQ226" s="1263"/>
      <c r="AR226" s="1263"/>
      <c r="AS226" s="1263"/>
      <c r="AT226" s="1263"/>
      <c r="AU226" s="1263"/>
      <c r="AV226" s="1263"/>
      <c r="AW226" s="1263"/>
      <c r="AX226" s="1263"/>
      <c r="AY226" s="1263"/>
      <c r="AZ226" s="1263"/>
      <c r="BA226" s="1263"/>
      <c r="BB226" s="1263"/>
      <c r="BC226" s="1264"/>
    </row>
    <row r="227" spans="2:56">
      <c r="B227" s="1243" t="s">
        <v>557</v>
      </c>
      <c r="C227" s="1244"/>
      <c r="D227" s="1244"/>
      <c r="E227" s="1244"/>
      <c r="F227" s="1244"/>
      <c r="G227" s="1245"/>
      <c r="H227" s="419">
        <v>31500</v>
      </c>
      <c r="I227" s="1246"/>
      <c r="J227" s="1247"/>
      <c r="K227" s="1247"/>
      <c r="L227" s="1247"/>
      <c r="M227" s="1248"/>
      <c r="N227" s="413" t="str">
        <f t="shared" si="16"/>
        <v xml:space="preserve"> </v>
      </c>
      <c r="O227" s="32"/>
      <c r="P227" s="415"/>
      <c r="Q227" s="415"/>
      <c r="R227" s="415"/>
      <c r="S227" s="63"/>
      <c r="T227" s="416">
        <f t="shared" ref="T227:BC227" si="18">SUM(T221:T225)</f>
        <v>0</v>
      </c>
      <c r="U227" s="416">
        <f t="shared" si="18"/>
        <v>0</v>
      </c>
      <c r="V227" s="416">
        <f t="shared" si="18"/>
        <v>0</v>
      </c>
      <c r="W227" s="416">
        <f t="shared" si="18"/>
        <v>0</v>
      </c>
      <c r="X227" s="416">
        <f t="shared" si="18"/>
        <v>3529.4429999999993</v>
      </c>
      <c r="Y227" s="416">
        <f t="shared" si="18"/>
        <v>0</v>
      </c>
      <c r="Z227" s="416">
        <f t="shared" si="18"/>
        <v>0</v>
      </c>
      <c r="AA227" s="416">
        <f t="shared" si="18"/>
        <v>0</v>
      </c>
      <c r="AB227" s="416">
        <f t="shared" si="18"/>
        <v>22854.557000000001</v>
      </c>
      <c r="AC227" s="416">
        <f t="shared" si="18"/>
        <v>0</v>
      </c>
      <c r="AD227" s="416">
        <f t="shared" si="18"/>
        <v>0</v>
      </c>
      <c r="AE227" s="416">
        <f t="shared" si="18"/>
        <v>0</v>
      </c>
      <c r="AF227" s="416">
        <f t="shared" si="18"/>
        <v>0</v>
      </c>
      <c r="AG227" s="416">
        <f t="shared" si="18"/>
        <v>0</v>
      </c>
      <c r="AH227" s="416">
        <f t="shared" si="18"/>
        <v>0</v>
      </c>
      <c r="AI227" s="416">
        <f t="shared" si="18"/>
        <v>0</v>
      </c>
      <c r="AJ227" s="416">
        <f t="shared" si="18"/>
        <v>0</v>
      </c>
      <c r="AK227" s="416">
        <f t="shared" si="18"/>
        <v>0</v>
      </c>
      <c r="AL227" s="416">
        <f t="shared" si="18"/>
        <v>0</v>
      </c>
      <c r="AM227" s="416">
        <f t="shared" si="18"/>
        <v>0</v>
      </c>
      <c r="AN227" s="416">
        <f t="shared" si="18"/>
        <v>0</v>
      </c>
      <c r="AO227" s="416">
        <f t="shared" si="18"/>
        <v>0</v>
      </c>
      <c r="AP227" s="416">
        <f t="shared" si="18"/>
        <v>0</v>
      </c>
      <c r="AQ227" s="416">
        <f t="shared" si="18"/>
        <v>0</v>
      </c>
      <c r="AR227" s="416">
        <f t="shared" si="18"/>
        <v>5116</v>
      </c>
      <c r="AS227" s="416">
        <f t="shared" si="18"/>
        <v>0</v>
      </c>
      <c r="AT227" s="416">
        <f t="shared" si="18"/>
        <v>0</v>
      </c>
      <c r="AU227" s="416">
        <f t="shared" si="18"/>
        <v>0</v>
      </c>
      <c r="AV227" s="416">
        <f t="shared" si="18"/>
        <v>0</v>
      </c>
      <c r="AW227" s="416">
        <f t="shared" si="18"/>
        <v>0</v>
      </c>
      <c r="AX227" s="416">
        <f t="shared" si="18"/>
        <v>0</v>
      </c>
      <c r="AY227" s="416">
        <f t="shared" si="18"/>
        <v>0</v>
      </c>
      <c r="AZ227" s="416">
        <f t="shared" si="18"/>
        <v>0</v>
      </c>
      <c r="BA227" s="416">
        <f t="shared" si="18"/>
        <v>0</v>
      </c>
      <c r="BB227" s="416">
        <f t="shared" si="18"/>
        <v>0</v>
      </c>
      <c r="BC227" s="416">
        <f t="shared" si="18"/>
        <v>0</v>
      </c>
      <c r="BD227" s="416">
        <f>SUM(T227:BC227)</f>
        <v>31500</v>
      </c>
    </row>
    <row r="228" spans="2:56">
      <c r="B228" s="1243" t="s">
        <v>558</v>
      </c>
      <c r="C228" s="1244"/>
      <c r="D228" s="1244"/>
      <c r="E228" s="1244"/>
      <c r="F228" s="1244"/>
      <c r="G228" s="1245"/>
      <c r="H228" s="420">
        <f>H227-L215</f>
        <v>0</v>
      </c>
      <c r="I228" s="294"/>
      <c r="J228" s="295"/>
      <c r="K228" s="295"/>
      <c r="L228" s="296"/>
      <c r="M228" s="32"/>
      <c r="N228" s="32"/>
      <c r="O228" s="32"/>
      <c r="P228" s="32"/>
      <c r="Q228" s="297"/>
      <c r="R228" s="297"/>
      <c r="S228" s="32"/>
      <c r="T228" s="48"/>
      <c r="U228" s="48"/>
      <c r="V228" s="48"/>
      <c r="W228" s="48"/>
      <c r="X228" s="48"/>
      <c r="Y228" s="48"/>
      <c r="Z228" s="48"/>
      <c r="AA228" s="48"/>
      <c r="AB228" s="48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</row>
    <row r="229" spans="2:56">
      <c r="B229" s="1243" t="s">
        <v>559</v>
      </c>
      <c r="C229" s="1244"/>
      <c r="D229" s="1244"/>
      <c r="E229" s="1244"/>
      <c r="F229" s="1244"/>
      <c r="G229" s="1245"/>
      <c r="H229" s="420">
        <f>H226-H227</f>
        <v>0</v>
      </c>
      <c r="I229" s="52"/>
      <c r="J229" s="53"/>
      <c r="K229" s="53"/>
      <c r="L229" s="54"/>
      <c r="M229" s="32"/>
      <c r="N229" s="32"/>
      <c r="O229" s="32"/>
      <c r="P229" s="32"/>
      <c r="Q229" s="32"/>
      <c r="R229" s="32"/>
      <c r="S229" s="32"/>
      <c r="T229" s="48"/>
      <c r="U229" s="48"/>
      <c r="V229" s="48"/>
      <c r="W229" s="48"/>
      <c r="X229" s="48"/>
      <c r="Y229" s="48"/>
      <c r="Z229" s="48"/>
      <c r="AA229" s="48"/>
      <c r="AB229" s="48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</row>
    <row r="230" spans="2:56">
      <c r="B230" s="32"/>
      <c r="C230" s="32"/>
      <c r="D230" s="32"/>
      <c r="E230" s="32"/>
      <c r="F230" s="32"/>
      <c r="G230" s="32"/>
      <c r="H230" s="32"/>
      <c r="I230" s="57"/>
      <c r="J230" s="52"/>
      <c r="K230" s="52"/>
      <c r="L230" s="55"/>
      <c r="M230" s="32"/>
      <c r="N230" s="32"/>
      <c r="O230" s="52"/>
      <c r="P230" s="32"/>
      <c r="Q230" s="32"/>
      <c r="R230" s="32"/>
      <c r="S230" s="32"/>
      <c r="T230" s="48"/>
      <c r="U230" s="48"/>
      <c r="V230" s="48"/>
      <c r="W230" s="48"/>
      <c r="X230" s="48"/>
      <c r="Y230" s="48"/>
      <c r="Z230" s="48"/>
      <c r="AA230" s="48"/>
      <c r="AB230" s="48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</row>
    <row r="231" spans="2:56">
      <c r="B231" s="40" t="s">
        <v>561</v>
      </c>
      <c r="C231" s="40"/>
      <c r="D231" s="32"/>
      <c r="E231" s="32"/>
      <c r="F231" s="32"/>
      <c r="G231" s="32"/>
      <c r="H231" s="32"/>
      <c r="I231" s="32"/>
      <c r="J231" s="52"/>
      <c r="K231" s="52"/>
      <c r="L231" s="55"/>
      <c r="M231" s="32"/>
      <c r="N231" s="32"/>
      <c r="O231" s="52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BD231" s="32"/>
    </row>
    <row r="232" spans="2:56">
      <c r="B232" s="422"/>
      <c r="C232" s="1249"/>
      <c r="D232" s="1249"/>
      <c r="E232" s="1249"/>
      <c r="F232" s="1249"/>
      <c r="G232" s="1249"/>
      <c r="H232" s="1249"/>
      <c r="I232" s="1249"/>
      <c r="J232" s="1249"/>
      <c r="K232" s="1249"/>
      <c r="L232" s="55"/>
      <c r="M232" s="32"/>
      <c r="N232" s="32"/>
      <c r="O232" s="52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</row>
    <row r="234" spans="2:56">
      <c r="B234" s="28" t="s">
        <v>126</v>
      </c>
      <c r="C234" s="28"/>
      <c r="D234" s="29"/>
      <c r="E234" s="30" t="s">
        <v>511</v>
      </c>
      <c r="F234" s="31" t="s">
        <v>2088</v>
      </c>
      <c r="G234" s="32"/>
      <c r="H234" s="33"/>
      <c r="I234" s="34"/>
      <c r="J234" s="35" t="s">
        <v>513</v>
      </c>
      <c r="K234" s="36" t="s">
        <v>511</v>
      </c>
      <c r="L234" s="37">
        <v>45124.375</v>
      </c>
      <c r="M234" s="32"/>
      <c r="N234" s="32"/>
      <c r="O234" s="206"/>
      <c r="P234" s="205"/>
      <c r="Q234" s="202"/>
      <c r="R234" s="204"/>
      <c r="S234" s="38"/>
      <c r="T234" s="201"/>
      <c r="U234" s="201"/>
      <c r="V234" s="201"/>
      <c r="W234" s="201"/>
      <c r="X234" s="201"/>
      <c r="Y234" s="201"/>
      <c r="Z234" s="201"/>
      <c r="AA234" s="201"/>
      <c r="AB234" s="202"/>
      <c r="AC234" s="202"/>
      <c r="AD234" s="202"/>
      <c r="AE234" s="202"/>
      <c r="AF234" s="202"/>
      <c r="AG234" s="201"/>
      <c r="AH234" s="201"/>
      <c r="AI234" s="201"/>
      <c r="AJ234" s="201"/>
      <c r="AK234" s="201"/>
      <c r="AL234" s="201"/>
      <c r="AM234" s="201"/>
      <c r="AN234" s="201"/>
      <c r="AO234" s="201"/>
      <c r="AP234" s="201"/>
      <c r="AQ234" s="201"/>
      <c r="AR234" s="201"/>
      <c r="AS234" s="201"/>
      <c r="AT234" s="201"/>
      <c r="AU234" s="201"/>
      <c r="AV234" s="201"/>
      <c r="AW234" s="201"/>
      <c r="AX234" s="201"/>
      <c r="AY234" s="201"/>
      <c r="AZ234" s="201"/>
      <c r="BA234" s="201"/>
      <c r="BB234" s="201"/>
    </row>
    <row r="235" spans="2:56">
      <c r="B235" s="35" t="s">
        <v>514</v>
      </c>
      <c r="C235" s="35"/>
      <c r="D235" s="32"/>
      <c r="E235" s="36" t="s">
        <v>511</v>
      </c>
      <c r="F235" s="311" t="s">
        <v>2072</v>
      </c>
      <c r="G235" s="32"/>
      <c r="H235" s="33"/>
      <c r="I235" s="34"/>
      <c r="J235" s="35" t="s">
        <v>516</v>
      </c>
      <c r="K235" s="36" t="s">
        <v>511</v>
      </c>
      <c r="L235" s="37">
        <v>45126.729166666664</v>
      </c>
      <c r="M235" s="32"/>
      <c r="N235" s="32"/>
      <c r="O235" s="206"/>
      <c r="P235" s="205"/>
      <c r="Q235" s="202"/>
      <c r="R235" s="204"/>
      <c r="S235" s="38"/>
      <c r="T235" s="201"/>
      <c r="U235" s="201"/>
      <c r="V235" s="201"/>
      <c r="W235" s="201"/>
      <c r="X235" s="201"/>
      <c r="Y235" s="201"/>
      <c r="Z235" s="201"/>
      <c r="AA235" s="201"/>
      <c r="AB235" s="202"/>
      <c r="AC235" s="202"/>
      <c r="AD235" s="202"/>
      <c r="AE235" s="202"/>
      <c r="AF235" s="202"/>
      <c r="AG235" s="201"/>
      <c r="AH235" s="201"/>
      <c r="AI235" s="201"/>
      <c r="AJ235" s="201"/>
      <c r="AK235" s="201"/>
      <c r="AL235" s="201"/>
      <c r="AM235" s="201"/>
      <c r="AN235" s="201"/>
      <c r="AO235" s="201"/>
      <c r="AP235" s="201"/>
      <c r="AQ235" s="201"/>
      <c r="AR235" s="201"/>
      <c r="AS235" s="201"/>
      <c r="AT235" s="201"/>
      <c r="AU235" s="201"/>
      <c r="AV235" s="201"/>
      <c r="AW235" s="201"/>
      <c r="AX235" s="201"/>
      <c r="AY235" s="201"/>
      <c r="AZ235" s="201"/>
      <c r="BA235" s="201"/>
      <c r="BB235" s="201"/>
    </row>
    <row r="236" spans="2:56">
      <c r="B236" s="35" t="s">
        <v>517</v>
      </c>
      <c r="C236" s="35"/>
      <c r="D236" s="32"/>
      <c r="E236" s="36" t="s">
        <v>511</v>
      </c>
      <c r="F236" s="37">
        <v>45123.574999999997</v>
      </c>
      <c r="G236" s="32"/>
      <c r="H236" s="33"/>
      <c r="I236" s="34"/>
      <c r="J236" s="35" t="s">
        <v>518</v>
      </c>
      <c r="K236" s="36" t="s">
        <v>511</v>
      </c>
      <c r="L236" s="50">
        <v>67150</v>
      </c>
      <c r="M236" s="40" t="s">
        <v>519</v>
      </c>
      <c r="N236" s="40"/>
      <c r="O236" s="206"/>
      <c r="P236" s="205"/>
      <c r="Q236" s="202"/>
      <c r="R236" s="204"/>
      <c r="S236" s="38"/>
      <c r="T236" s="201"/>
      <c r="U236" s="201"/>
      <c r="V236" s="201"/>
      <c r="W236" s="201"/>
      <c r="X236" s="201"/>
      <c r="Y236" s="201"/>
      <c r="Z236" s="201"/>
      <c r="AA236" s="201"/>
      <c r="AB236" s="202"/>
      <c r="AC236" s="202"/>
      <c r="AD236" s="202"/>
      <c r="AE236" s="202"/>
      <c r="AF236" s="202"/>
      <c r="AG236" s="201"/>
      <c r="AH236" s="201"/>
      <c r="AI236" s="201"/>
      <c r="AJ236" s="201"/>
      <c r="AK236" s="201"/>
      <c r="AL236" s="201"/>
      <c r="AM236" s="201"/>
      <c r="AN236" s="201"/>
      <c r="AO236" s="201"/>
      <c r="AP236" s="201"/>
      <c r="AQ236" s="201"/>
      <c r="AR236" s="201"/>
      <c r="AS236" s="201"/>
      <c r="AT236" s="201"/>
      <c r="AU236" s="201"/>
      <c r="AV236" s="201"/>
      <c r="AW236" s="201"/>
      <c r="AX236" s="201"/>
      <c r="AY236" s="201"/>
      <c r="AZ236" s="201"/>
      <c r="BA236" s="201"/>
      <c r="BB236" s="201"/>
    </row>
    <row r="237" spans="2:56">
      <c r="B237" s="35" t="s">
        <v>520</v>
      </c>
      <c r="C237" s="35"/>
      <c r="D237" s="32"/>
      <c r="E237" s="36" t="s">
        <v>511</v>
      </c>
      <c r="F237" s="37" t="s">
        <v>12</v>
      </c>
      <c r="G237" s="32"/>
      <c r="H237" s="33"/>
      <c r="I237" s="34"/>
      <c r="J237" s="35" t="s">
        <v>521</v>
      </c>
      <c r="K237" s="36" t="s">
        <v>511</v>
      </c>
      <c r="L237" s="41" t="s">
        <v>2089</v>
      </c>
      <c r="M237" s="32"/>
      <c r="N237" s="32"/>
      <c r="O237" s="206"/>
      <c r="P237" s="202"/>
      <c r="Q237" s="202"/>
      <c r="R237" s="204"/>
      <c r="S237" s="38"/>
      <c r="T237" s="201"/>
      <c r="U237" s="201"/>
      <c r="V237" s="201"/>
      <c r="W237" s="201"/>
      <c r="X237" s="201"/>
      <c r="Y237" s="201"/>
      <c r="Z237" s="201"/>
      <c r="AA237" s="201"/>
      <c r="AB237" s="202"/>
      <c r="AC237" s="202"/>
      <c r="AD237" s="202"/>
      <c r="AE237" s="202"/>
      <c r="AF237" s="202"/>
      <c r="AG237" s="201"/>
      <c r="AH237" s="201"/>
      <c r="AI237" s="201"/>
      <c r="AJ237" s="201"/>
      <c r="AK237" s="201"/>
      <c r="AL237" s="201"/>
      <c r="AM237" s="201"/>
      <c r="AN237" s="201"/>
      <c r="AO237" s="201"/>
      <c r="AP237" s="201"/>
      <c r="AQ237" s="201"/>
      <c r="AR237" s="201"/>
      <c r="AS237" s="201"/>
      <c r="AT237" s="201"/>
      <c r="AU237" s="201"/>
      <c r="AV237" s="201"/>
      <c r="AW237" s="201"/>
      <c r="AX237" s="201"/>
      <c r="AY237" s="201"/>
      <c r="AZ237" s="201"/>
      <c r="BA237" s="201"/>
      <c r="BB237" s="201"/>
    </row>
    <row r="238" spans="2:56">
      <c r="B238" s="35" t="s">
        <v>523</v>
      </c>
      <c r="C238" s="35"/>
      <c r="D238" s="32"/>
      <c r="E238" s="36" t="s">
        <v>511</v>
      </c>
      <c r="F238" s="37" t="s">
        <v>37</v>
      </c>
      <c r="G238" s="32"/>
      <c r="H238" s="33"/>
      <c r="I238" s="34"/>
      <c r="J238" s="42" t="s">
        <v>524</v>
      </c>
      <c r="K238" s="36" t="s">
        <v>511</v>
      </c>
      <c r="L238" s="43" t="s">
        <v>11</v>
      </c>
      <c r="M238" s="44"/>
      <c r="N238" s="44"/>
      <c r="O238" s="206"/>
      <c r="P238" s="205"/>
      <c r="Q238" s="202"/>
      <c r="R238" s="204"/>
      <c r="S238" s="38"/>
      <c r="T238" s="201"/>
      <c r="U238" s="201"/>
      <c r="V238" s="201"/>
      <c r="W238" s="201"/>
      <c r="X238" s="201"/>
      <c r="Y238" s="201"/>
      <c r="Z238" s="201"/>
      <c r="AA238" s="201"/>
      <c r="AB238" s="202"/>
      <c r="AC238" s="202"/>
      <c r="AD238" s="202"/>
      <c r="AE238" s="202"/>
      <c r="AF238" s="202"/>
      <c r="AG238" s="201"/>
      <c r="AH238" s="201"/>
      <c r="AI238" s="201"/>
      <c r="AJ238" s="201"/>
      <c r="AK238" s="201"/>
      <c r="AL238" s="201"/>
      <c r="AM238" s="201"/>
      <c r="AN238" s="201"/>
      <c r="AO238" s="201"/>
      <c r="AP238" s="201"/>
      <c r="AQ238" s="201"/>
      <c r="AR238" s="201"/>
      <c r="AS238" s="201"/>
      <c r="AT238" s="201"/>
      <c r="AU238" s="201"/>
      <c r="AV238" s="201"/>
      <c r="AW238" s="201"/>
      <c r="AX238" s="201"/>
      <c r="AY238" s="201"/>
      <c r="AZ238" s="201"/>
      <c r="BA238" s="201"/>
      <c r="BB238" s="201"/>
    </row>
    <row r="239" spans="2:56">
      <c r="B239" s="35" t="s">
        <v>2</v>
      </c>
      <c r="C239" s="35"/>
      <c r="D239" s="32"/>
      <c r="E239" s="36" t="s">
        <v>511</v>
      </c>
      <c r="F239" s="37" t="s">
        <v>6</v>
      </c>
      <c r="G239" s="32"/>
      <c r="H239" s="33"/>
      <c r="I239" s="45"/>
      <c r="J239" s="42"/>
      <c r="K239" s="36"/>
      <c r="L239" s="211"/>
      <c r="M239" s="201"/>
      <c r="N239" s="201"/>
      <c r="O239" s="42"/>
      <c r="P239" s="44"/>
      <c r="Q239" s="44"/>
      <c r="R239" s="44"/>
      <c r="S239" s="34"/>
      <c r="T239" s="201"/>
      <c r="U239" s="201"/>
      <c r="V239" s="201"/>
      <c r="W239" s="201"/>
      <c r="X239" s="201"/>
      <c r="Y239" s="201"/>
      <c r="Z239" s="201"/>
      <c r="AA239" s="201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201"/>
      <c r="AP239" s="201"/>
      <c r="AQ239" s="201"/>
      <c r="AR239" s="201"/>
      <c r="AS239" s="201"/>
      <c r="AT239" s="201"/>
      <c r="AU239" s="201"/>
      <c r="AV239" s="201"/>
      <c r="AW239" s="201"/>
      <c r="AX239" s="201"/>
      <c r="AY239" s="201"/>
      <c r="AZ239" s="201"/>
      <c r="BA239" s="201"/>
      <c r="BB239" s="201"/>
    </row>
    <row r="240" spans="2:56">
      <c r="B240" s="201"/>
      <c r="C240" s="201"/>
      <c r="D240" s="201"/>
      <c r="E240" s="201"/>
      <c r="F240" s="201"/>
      <c r="G240" s="201"/>
      <c r="H240" s="201"/>
      <c r="I240" s="45"/>
      <c r="J240" s="42"/>
      <c r="K240" s="42"/>
      <c r="L240" s="43"/>
      <c r="M240" s="44"/>
      <c r="N240" s="44"/>
      <c r="O240" s="42"/>
      <c r="P240" s="44"/>
      <c r="Q240" s="44"/>
      <c r="R240" s="44"/>
      <c r="S240" s="34"/>
      <c r="T240" s="1265" t="s">
        <v>87</v>
      </c>
      <c r="U240" s="1265"/>
      <c r="V240" s="1265"/>
      <c r="W240" s="1265"/>
      <c r="X240" s="1265"/>
      <c r="Y240" s="1265" t="s">
        <v>73</v>
      </c>
      <c r="Z240" s="1265"/>
      <c r="AA240" s="1265"/>
      <c r="AB240" s="1265" t="s">
        <v>74</v>
      </c>
      <c r="AC240" s="1265"/>
      <c r="AD240" s="423" t="s">
        <v>85</v>
      </c>
      <c r="AE240" s="423" t="s">
        <v>77</v>
      </c>
      <c r="AF240" s="1265" t="s">
        <v>525</v>
      </c>
      <c r="AG240" s="1265"/>
      <c r="AH240" s="1265"/>
      <c r="AI240" s="1265"/>
      <c r="AJ240" s="1265"/>
      <c r="AK240" s="1265"/>
      <c r="AL240" s="1265"/>
      <c r="AM240" s="1265"/>
      <c r="AN240" s="1265"/>
      <c r="AO240" s="1265"/>
      <c r="AP240" s="1265"/>
      <c r="AQ240" s="1265"/>
      <c r="AR240" s="1265"/>
      <c r="AS240" s="1265"/>
      <c r="AT240" s="1265"/>
      <c r="AU240" s="1265"/>
      <c r="AV240" s="1265"/>
      <c r="AW240" s="1265"/>
      <c r="AX240" s="1265"/>
      <c r="AY240" s="1265"/>
      <c r="AZ240" s="1265"/>
      <c r="BA240" s="1265"/>
      <c r="BB240" s="201"/>
    </row>
    <row r="241" spans="2:54">
      <c r="B241" s="1266" t="s">
        <v>526</v>
      </c>
      <c r="C241" s="1267"/>
      <c r="D241" s="570" t="s">
        <v>527</v>
      </c>
      <c r="E241" s="570"/>
      <c r="F241" s="570" t="s">
        <v>528</v>
      </c>
      <c r="G241" s="570" t="s">
        <v>529</v>
      </c>
      <c r="H241" s="570" t="s">
        <v>530</v>
      </c>
      <c r="I241" s="570" t="s">
        <v>531</v>
      </c>
      <c r="J241" s="570" t="s">
        <v>532</v>
      </c>
      <c r="K241" s="570"/>
      <c r="L241" s="570" t="s">
        <v>130</v>
      </c>
      <c r="M241" s="570" t="s">
        <v>533</v>
      </c>
      <c r="N241" s="408" t="str">
        <f>"On time - "&amp;COUNTIF(N242:N254,"On time")&amp;" from "&amp;ROWS(N242:N254)-COUNTIF(N242:N254," ")</f>
        <v>On time - 11 from 11</v>
      </c>
      <c r="O241" s="46"/>
      <c r="P241" s="409" t="s">
        <v>534</v>
      </c>
      <c r="Q241" s="409" t="s">
        <v>535</v>
      </c>
      <c r="R241" s="409" t="s">
        <v>536</v>
      </c>
      <c r="S241" s="32"/>
      <c r="T241" s="424" t="s">
        <v>537</v>
      </c>
      <c r="U241" s="424" t="s">
        <v>538</v>
      </c>
      <c r="V241" s="424" t="s">
        <v>539</v>
      </c>
      <c r="W241" s="424" t="s">
        <v>540</v>
      </c>
      <c r="X241" s="424" t="s">
        <v>541</v>
      </c>
      <c r="Y241" s="424" t="s">
        <v>167</v>
      </c>
      <c r="Z241" s="424" t="s">
        <v>168</v>
      </c>
      <c r="AA241" s="424" t="s">
        <v>169</v>
      </c>
      <c r="AB241" s="424" t="s">
        <v>235</v>
      </c>
      <c r="AC241" s="424" t="s">
        <v>240</v>
      </c>
      <c r="AD241" s="423" t="s">
        <v>85</v>
      </c>
      <c r="AE241" s="424" t="s">
        <v>139</v>
      </c>
      <c r="AF241" s="424" t="s">
        <v>72</v>
      </c>
      <c r="AG241" s="424" t="s">
        <v>88</v>
      </c>
      <c r="AH241" s="424" t="s">
        <v>75</v>
      </c>
      <c r="AI241" s="424" t="s">
        <v>543</v>
      </c>
      <c r="AJ241" s="424" t="s">
        <v>78</v>
      </c>
      <c r="AK241" s="424" t="s">
        <v>76</v>
      </c>
      <c r="AL241" s="424" t="s">
        <v>544</v>
      </c>
      <c r="AM241" s="424" t="s">
        <v>545</v>
      </c>
      <c r="AN241" s="424" t="s">
        <v>86</v>
      </c>
      <c r="AO241" s="424" t="s">
        <v>83</v>
      </c>
      <c r="AP241" s="424" t="s">
        <v>84</v>
      </c>
      <c r="AQ241" s="424" t="s">
        <v>546</v>
      </c>
      <c r="AR241" s="424" t="s">
        <v>81</v>
      </c>
      <c r="AS241" s="424" t="s">
        <v>80</v>
      </c>
      <c r="AT241" s="424" t="s">
        <v>82</v>
      </c>
      <c r="AU241" s="424" t="s">
        <v>181</v>
      </c>
      <c r="AV241" s="424" t="s">
        <v>183</v>
      </c>
      <c r="AW241" s="424" t="s">
        <v>547</v>
      </c>
      <c r="AX241" s="424" t="s">
        <v>182</v>
      </c>
      <c r="AY241" s="424" t="s">
        <v>172</v>
      </c>
      <c r="AZ241" s="424" t="s">
        <v>173</v>
      </c>
      <c r="BA241" s="424" t="s">
        <v>184</v>
      </c>
      <c r="BB241" s="201"/>
    </row>
    <row r="242" spans="2:54">
      <c r="B242" s="1256" t="s">
        <v>548</v>
      </c>
      <c r="C242" s="1257"/>
      <c r="D242" s="411" t="s">
        <v>2051</v>
      </c>
      <c r="E242" s="411"/>
      <c r="F242" s="411" t="s">
        <v>380</v>
      </c>
      <c r="G242" s="411" t="s">
        <v>381</v>
      </c>
      <c r="H242" s="412">
        <v>915.58100000000002</v>
      </c>
      <c r="I242" s="413" t="s">
        <v>494</v>
      </c>
      <c r="J242" s="414">
        <v>45115.902777777781</v>
      </c>
      <c r="K242" s="414"/>
      <c r="L242" s="414" t="s">
        <v>192</v>
      </c>
      <c r="M242" s="414" t="s">
        <v>192</v>
      </c>
      <c r="N242" s="413" t="str">
        <f t="shared" ref="N242:N254" si="19">IF(ISBLANK(J242)," ",IF(J242&lt;$F$236,"On time",(IF(DAY(J242-$F$236)&lt;1,"On time",(IF(J242&gt;$F$236,"DELAY ( "&amp;DAY(J242-$F$236)&amp;" day "&amp;HOUR(J242-$F$236)&amp;" hour "&amp;MINUTE(J242-$F$236)&amp;" minute )","xxx"))))))</f>
        <v>On time</v>
      </c>
      <c r="O242" s="51"/>
      <c r="P242" s="415" t="s">
        <v>551</v>
      </c>
      <c r="Q242" s="415" t="s">
        <v>551</v>
      </c>
      <c r="R242" s="415" t="s">
        <v>551</v>
      </c>
      <c r="S242" s="32"/>
      <c r="T242" s="416"/>
      <c r="U242" s="416"/>
      <c r="V242" s="416"/>
      <c r="W242" s="416"/>
      <c r="X242" s="416"/>
      <c r="Y242" s="416">
        <f>H242</f>
        <v>915.58100000000002</v>
      </c>
      <c r="Z242" s="416"/>
      <c r="AA242" s="416"/>
      <c r="AB242" s="416"/>
      <c r="AC242" s="416"/>
      <c r="AD242" s="416"/>
      <c r="AE242" s="416"/>
      <c r="AF242" s="416"/>
      <c r="AG242" s="416"/>
      <c r="AH242" s="416"/>
      <c r="AI242" s="416"/>
      <c r="AJ242" s="416"/>
      <c r="AK242" s="416"/>
      <c r="AL242" s="416"/>
      <c r="AM242" s="416"/>
      <c r="AN242" s="416"/>
      <c r="AO242" s="416"/>
      <c r="AP242" s="416"/>
      <c r="AQ242" s="416"/>
      <c r="AR242" s="416"/>
      <c r="AS242" s="416"/>
      <c r="AT242" s="416"/>
      <c r="AU242" s="416"/>
      <c r="AV242" s="416"/>
      <c r="AW242" s="416"/>
      <c r="AX242" s="416"/>
      <c r="AY242" s="416"/>
      <c r="AZ242" s="416"/>
      <c r="BA242" s="416"/>
      <c r="BB242" s="32"/>
    </row>
    <row r="243" spans="2:54">
      <c r="B243" s="1250" t="s">
        <v>1122</v>
      </c>
      <c r="C243" s="1251"/>
      <c r="D243" s="411" t="s">
        <v>2090</v>
      </c>
      <c r="E243" s="411"/>
      <c r="F243" s="411" t="s">
        <v>1303</v>
      </c>
      <c r="G243" s="411" t="s">
        <v>1304</v>
      </c>
      <c r="H243" s="412">
        <v>5299.5640000000003</v>
      </c>
      <c r="I243" s="413" t="s">
        <v>240</v>
      </c>
      <c r="J243" s="414">
        <v>45120.875</v>
      </c>
      <c r="K243" s="414"/>
      <c r="L243" s="414" t="s">
        <v>192</v>
      </c>
      <c r="M243" s="414" t="s">
        <v>192</v>
      </c>
      <c r="N243" s="413" t="str">
        <f t="shared" si="19"/>
        <v>On time</v>
      </c>
      <c r="O243" s="51"/>
      <c r="P243" s="415" t="s">
        <v>551</v>
      </c>
      <c r="Q243" s="415" t="s">
        <v>551</v>
      </c>
      <c r="R243" s="415" t="s">
        <v>551</v>
      </c>
      <c r="S243" s="32"/>
      <c r="T243" s="416"/>
      <c r="U243" s="416"/>
      <c r="V243" s="416"/>
      <c r="W243" s="416"/>
      <c r="X243" s="416"/>
      <c r="Y243" s="416"/>
      <c r="Z243" s="416"/>
      <c r="AA243" s="416"/>
      <c r="AB243" s="416"/>
      <c r="AC243" s="416">
        <f>H243</f>
        <v>5299.5640000000003</v>
      </c>
      <c r="AD243" s="416"/>
      <c r="AE243" s="416"/>
      <c r="AF243" s="416"/>
      <c r="AG243" s="416"/>
      <c r="AH243" s="416"/>
      <c r="AI243" s="416"/>
      <c r="AJ243" s="32"/>
      <c r="AK243" s="416"/>
      <c r="AL243" s="416"/>
      <c r="AM243" s="416"/>
      <c r="AN243" s="416"/>
      <c r="AO243" s="416"/>
      <c r="AP243" s="416"/>
      <c r="AQ243" s="416"/>
      <c r="AR243" s="416"/>
      <c r="AS243" s="416"/>
      <c r="AT243" s="416"/>
      <c r="AU243" s="416"/>
      <c r="AV243" s="416"/>
      <c r="AW243" s="416"/>
      <c r="AX243" s="416"/>
      <c r="AY243" s="286"/>
      <c r="AZ243" s="416"/>
      <c r="BA243" s="416"/>
      <c r="BB243" s="32"/>
    </row>
    <row r="244" spans="2:54">
      <c r="B244" s="1254"/>
      <c r="C244" s="1255"/>
      <c r="D244" s="411" t="s">
        <v>2091</v>
      </c>
      <c r="E244" s="411"/>
      <c r="F244" s="411" t="s">
        <v>377</v>
      </c>
      <c r="G244" s="411" t="s">
        <v>378</v>
      </c>
      <c r="H244" s="412">
        <v>7851.5230000000001</v>
      </c>
      <c r="I244" s="413" t="s">
        <v>494</v>
      </c>
      <c r="J244" s="414">
        <v>45120.722222222219</v>
      </c>
      <c r="K244" s="414"/>
      <c r="L244" s="414" t="s">
        <v>192</v>
      </c>
      <c r="M244" s="414" t="s">
        <v>192</v>
      </c>
      <c r="N244" s="413" t="str">
        <f t="shared" si="19"/>
        <v>On time</v>
      </c>
      <c r="O244" s="51"/>
      <c r="P244" s="415" t="s">
        <v>551</v>
      </c>
      <c r="Q244" s="415" t="s">
        <v>551</v>
      </c>
      <c r="R244" s="415" t="s">
        <v>551</v>
      </c>
      <c r="S244" s="32"/>
      <c r="T244" s="416"/>
      <c r="U244" s="416"/>
      <c r="V244" s="416"/>
      <c r="W244" s="416"/>
      <c r="X244" s="416"/>
      <c r="Y244" s="416">
        <f t="shared" ref="Y244" si="20">H244</f>
        <v>7851.5230000000001</v>
      </c>
      <c r="Z244" s="416"/>
      <c r="AA244" s="32"/>
      <c r="AB244" s="416"/>
      <c r="AC244" s="416"/>
      <c r="AD244" s="416"/>
      <c r="AE244" s="416"/>
      <c r="AF244" s="416"/>
      <c r="AG244" s="416"/>
      <c r="AH244" s="416"/>
      <c r="AI244" s="416"/>
      <c r="AJ244" s="416"/>
      <c r="AK244" s="416"/>
      <c r="AL244" s="416"/>
      <c r="AM244" s="416"/>
      <c r="AN244" s="416"/>
      <c r="AO244" s="416"/>
      <c r="AP244" s="416"/>
      <c r="AQ244" s="416"/>
      <c r="AR244" s="416"/>
      <c r="AS244" s="416"/>
      <c r="AT244" s="32"/>
      <c r="AU244" s="416"/>
      <c r="AV244" s="416"/>
      <c r="AW244" s="416"/>
      <c r="AX244" s="416"/>
      <c r="AY244" s="416"/>
      <c r="AZ244" s="416"/>
      <c r="BA244" s="416"/>
      <c r="BB244" s="32"/>
    </row>
    <row r="245" spans="2:54">
      <c r="B245" s="1250" t="s">
        <v>653</v>
      </c>
      <c r="C245" s="1251"/>
      <c r="D245" s="411" t="s">
        <v>2092</v>
      </c>
      <c r="E245" s="411"/>
      <c r="F245" s="411" t="s">
        <v>371</v>
      </c>
      <c r="G245" s="411" t="s">
        <v>372</v>
      </c>
      <c r="H245" s="412">
        <v>7526.8450000000003</v>
      </c>
      <c r="I245" s="413" t="s">
        <v>494</v>
      </c>
      <c r="J245" s="414">
        <v>45120.690972222219</v>
      </c>
      <c r="K245" s="414"/>
      <c r="L245" s="414" t="s">
        <v>192</v>
      </c>
      <c r="M245" s="414" t="s">
        <v>192</v>
      </c>
      <c r="N245" s="413" t="str">
        <f t="shared" si="19"/>
        <v>On time</v>
      </c>
      <c r="O245" s="51"/>
      <c r="P245" s="415" t="s">
        <v>551</v>
      </c>
      <c r="Q245" s="415" t="s">
        <v>551</v>
      </c>
      <c r="R245" s="415" t="s">
        <v>551</v>
      </c>
      <c r="S245" s="32"/>
      <c r="T245" s="416"/>
      <c r="U245" s="416"/>
      <c r="V245" s="416"/>
      <c r="W245" s="416"/>
      <c r="X245" s="416"/>
      <c r="Y245" s="416">
        <f>H245</f>
        <v>7526.8450000000003</v>
      </c>
      <c r="Z245" s="416"/>
      <c r="AA245" s="416"/>
      <c r="AB245" s="416"/>
      <c r="AC245" s="416"/>
      <c r="AD245" s="416"/>
      <c r="AE245" s="416"/>
      <c r="AF245" s="416"/>
      <c r="AG245" s="416"/>
      <c r="AH245" s="416"/>
      <c r="AI245" s="416"/>
      <c r="AJ245" s="416"/>
      <c r="AK245" s="416"/>
      <c r="AL245" s="416"/>
      <c r="AM245" s="416"/>
      <c r="AN245" s="416"/>
      <c r="AO245" s="416"/>
      <c r="AP245" s="416"/>
      <c r="AQ245" s="416"/>
      <c r="AR245" s="416"/>
      <c r="AS245" s="416"/>
      <c r="AT245" s="416"/>
      <c r="AU245" s="416"/>
      <c r="AV245" s="416"/>
      <c r="AW245" s="416"/>
      <c r="AX245" s="416"/>
      <c r="AY245" s="416"/>
      <c r="AZ245" s="416"/>
      <c r="BA245" s="416"/>
      <c r="BB245" s="32"/>
    </row>
    <row r="246" spans="2:54">
      <c r="B246" s="1254"/>
      <c r="C246" s="1255"/>
      <c r="D246" s="411" t="s">
        <v>2093</v>
      </c>
      <c r="E246" s="411"/>
      <c r="F246" s="411" t="s">
        <v>721</v>
      </c>
      <c r="G246" s="411" t="s">
        <v>1349</v>
      </c>
      <c r="H246" s="412">
        <v>7555.0060000000003</v>
      </c>
      <c r="I246" s="413" t="s">
        <v>240</v>
      </c>
      <c r="J246" s="414">
        <v>45121.25</v>
      </c>
      <c r="K246" s="414"/>
      <c r="L246" s="414" t="s">
        <v>192</v>
      </c>
      <c r="M246" s="414" t="s">
        <v>192</v>
      </c>
      <c r="N246" s="413" t="str">
        <f t="shared" si="19"/>
        <v>On time</v>
      </c>
      <c r="O246" s="51"/>
      <c r="P246" s="415" t="s">
        <v>551</v>
      </c>
      <c r="Q246" s="415" t="s">
        <v>551</v>
      </c>
      <c r="R246" s="415" t="s">
        <v>551</v>
      </c>
      <c r="S246" s="32"/>
      <c r="T246" s="416"/>
      <c r="U246" s="416"/>
      <c r="V246" s="416"/>
      <c r="W246" s="416"/>
      <c r="X246" s="416"/>
      <c r="Y246" s="416"/>
      <c r="Z246" s="416"/>
      <c r="AA246" s="416"/>
      <c r="AB246" s="416"/>
      <c r="AC246" s="416">
        <f t="shared" ref="AC246:AC249" si="21">H246</f>
        <v>7555.0060000000003</v>
      </c>
      <c r="AD246" s="416"/>
      <c r="AE246" s="416"/>
      <c r="AF246" s="416"/>
      <c r="AG246" s="416"/>
      <c r="AH246" s="416"/>
      <c r="AI246" s="416"/>
      <c r="AJ246" s="416"/>
      <c r="AK246" s="416"/>
      <c r="AL246" s="416"/>
      <c r="AM246" s="416"/>
      <c r="AN246" s="416"/>
      <c r="AO246" s="416"/>
      <c r="AP246" s="416"/>
      <c r="AQ246" s="416"/>
      <c r="AR246" s="416"/>
      <c r="AS246" s="416"/>
      <c r="AT246" s="416"/>
      <c r="AU246" s="416"/>
      <c r="AV246" s="416"/>
      <c r="AW246" s="416"/>
      <c r="AX246" s="416"/>
      <c r="AY246" s="416"/>
      <c r="AZ246" s="416"/>
      <c r="BA246" s="416"/>
      <c r="BB246" s="32"/>
    </row>
    <row r="247" spans="2:54">
      <c r="B247" s="1250" t="s">
        <v>653</v>
      </c>
      <c r="C247" s="1251"/>
      <c r="D247" s="411" t="s">
        <v>2094</v>
      </c>
      <c r="E247" s="411"/>
      <c r="F247" s="411" t="s">
        <v>218</v>
      </c>
      <c r="G247" s="411" t="s">
        <v>219</v>
      </c>
      <c r="H247" s="412">
        <v>7454.9210000000003</v>
      </c>
      <c r="I247" s="413" t="s">
        <v>240</v>
      </c>
      <c r="J247" s="414">
        <v>45121.597222222219</v>
      </c>
      <c r="K247" s="414"/>
      <c r="L247" s="414" t="s">
        <v>192</v>
      </c>
      <c r="M247" s="414" t="s">
        <v>192</v>
      </c>
      <c r="N247" s="413" t="str">
        <f t="shared" si="19"/>
        <v>On time</v>
      </c>
      <c r="O247" s="51"/>
      <c r="P247" s="415" t="s">
        <v>551</v>
      </c>
      <c r="Q247" s="415" t="s">
        <v>551</v>
      </c>
      <c r="R247" s="415" t="s">
        <v>551</v>
      </c>
      <c r="S247" s="32"/>
      <c r="T247" s="416"/>
      <c r="U247" s="416"/>
      <c r="V247" s="416"/>
      <c r="W247" s="416"/>
      <c r="X247" s="416"/>
      <c r="Y247" s="416"/>
      <c r="Z247" s="416"/>
      <c r="AA247" s="416"/>
      <c r="AB247" s="416"/>
      <c r="AC247" s="416">
        <f t="shared" si="21"/>
        <v>7454.9210000000003</v>
      </c>
      <c r="AD247" s="416"/>
      <c r="AE247" s="416"/>
      <c r="AF247" s="416"/>
      <c r="AG247" s="416"/>
      <c r="AH247" s="416"/>
      <c r="AI247" s="416"/>
      <c r="AJ247" s="416"/>
      <c r="AK247" s="416"/>
      <c r="AL247" s="416"/>
      <c r="AM247" s="416"/>
      <c r="AN247" s="416"/>
      <c r="AO247" s="416"/>
      <c r="AP247" s="416"/>
      <c r="AQ247" s="416"/>
      <c r="AR247" s="416"/>
      <c r="AS247" s="416"/>
      <c r="AT247" s="416"/>
      <c r="AU247" s="416"/>
      <c r="AV247" s="416"/>
      <c r="AW247" s="416"/>
      <c r="AX247" s="416"/>
      <c r="AY247" s="416"/>
      <c r="AZ247" s="416"/>
      <c r="BA247" s="416"/>
      <c r="BB247" s="32"/>
    </row>
    <row r="248" spans="2:54">
      <c r="B248" s="1254"/>
      <c r="C248" s="1255"/>
      <c r="D248" s="411" t="s">
        <v>2095</v>
      </c>
      <c r="E248" s="411"/>
      <c r="F248" s="411" t="s">
        <v>222</v>
      </c>
      <c r="G248" s="411" t="s">
        <v>223</v>
      </c>
      <c r="H248" s="412">
        <v>7506.0780000000004</v>
      </c>
      <c r="I248" s="413" t="s">
        <v>2096</v>
      </c>
      <c r="J248" s="414">
        <v>45121.34375</v>
      </c>
      <c r="K248" s="414"/>
      <c r="L248" s="414" t="s">
        <v>192</v>
      </c>
      <c r="M248" s="414" t="s">
        <v>192</v>
      </c>
      <c r="N248" s="413" t="str">
        <f t="shared" si="19"/>
        <v>On time</v>
      </c>
      <c r="O248" s="51"/>
      <c r="P248" s="415" t="s">
        <v>551</v>
      </c>
      <c r="Q248" s="415" t="s">
        <v>551</v>
      </c>
      <c r="R248" s="415" t="s">
        <v>551</v>
      </c>
      <c r="S248" s="32"/>
      <c r="T248" s="416"/>
      <c r="U248" s="416"/>
      <c r="V248" s="416"/>
      <c r="W248" s="416"/>
      <c r="X248" s="416"/>
      <c r="Y248" s="416">
        <f>H248*0.2</f>
        <v>1501.2156000000002</v>
      </c>
      <c r="Z248" s="416">
        <f>H248*0.8</f>
        <v>6004.8624000000009</v>
      </c>
      <c r="AA248" s="416"/>
      <c r="AB248" s="416"/>
      <c r="AC248" s="416"/>
      <c r="AD248" s="416"/>
      <c r="AE248" s="416"/>
      <c r="AF248" s="416"/>
      <c r="AG248" s="416"/>
      <c r="AH248" s="416"/>
      <c r="AI248" s="416"/>
      <c r="AJ248" s="32"/>
      <c r="AK248" s="416"/>
      <c r="AL248" s="416"/>
      <c r="AM248" s="416"/>
      <c r="AN248" s="416"/>
      <c r="AO248" s="416"/>
      <c r="AP248" s="416"/>
      <c r="AQ248" s="416"/>
      <c r="AR248" s="416"/>
      <c r="AS248" s="416"/>
      <c r="AT248" s="416"/>
      <c r="AU248" s="416"/>
      <c r="AV248" s="416"/>
      <c r="AW248" s="416"/>
      <c r="AX248" s="416"/>
      <c r="AY248" s="286"/>
      <c r="AZ248" s="416"/>
      <c r="BA248" s="416"/>
      <c r="BB248" s="32"/>
    </row>
    <row r="249" spans="2:54">
      <c r="B249" s="1250" t="s">
        <v>653</v>
      </c>
      <c r="C249" s="1251"/>
      <c r="D249" s="411" t="s">
        <v>2097</v>
      </c>
      <c r="E249" s="411"/>
      <c r="F249" s="411" t="s">
        <v>292</v>
      </c>
      <c r="G249" s="411" t="s">
        <v>293</v>
      </c>
      <c r="H249" s="412">
        <v>7554.8370000000004</v>
      </c>
      <c r="I249" s="413" t="s">
        <v>240</v>
      </c>
      <c r="J249" s="414">
        <v>45121.229166666664</v>
      </c>
      <c r="K249" s="414"/>
      <c r="L249" s="414" t="s">
        <v>192</v>
      </c>
      <c r="M249" s="414" t="s">
        <v>192</v>
      </c>
      <c r="N249" s="413" t="str">
        <f t="shared" si="19"/>
        <v>On time</v>
      </c>
      <c r="O249" s="51"/>
      <c r="P249" s="415" t="s">
        <v>551</v>
      </c>
      <c r="Q249" s="415" t="s">
        <v>551</v>
      </c>
      <c r="R249" s="415" t="s">
        <v>551</v>
      </c>
      <c r="S249" s="32"/>
      <c r="T249" s="416"/>
      <c r="U249" s="416"/>
      <c r="V249" s="416"/>
      <c r="W249" s="416"/>
      <c r="X249" s="416"/>
      <c r="Y249" s="416"/>
      <c r="Z249" s="416"/>
      <c r="AA249" s="416"/>
      <c r="AB249" s="416"/>
      <c r="AC249" s="416">
        <f t="shared" si="21"/>
        <v>7554.8370000000004</v>
      </c>
      <c r="AD249" s="416"/>
      <c r="AE249" s="416"/>
      <c r="AF249" s="416"/>
      <c r="AG249" s="416"/>
      <c r="AH249" s="416"/>
      <c r="AI249" s="416"/>
      <c r="AJ249" s="416"/>
      <c r="AK249" s="416"/>
      <c r="AL249" s="416"/>
      <c r="AM249" s="416"/>
      <c r="AN249" s="416"/>
      <c r="AO249" s="416"/>
      <c r="AP249" s="416"/>
      <c r="AQ249" s="416"/>
      <c r="AR249" s="416"/>
      <c r="AS249" s="416"/>
      <c r="AT249" s="416"/>
      <c r="AU249" s="416"/>
      <c r="AV249" s="416"/>
      <c r="AW249" s="416"/>
      <c r="AX249" s="416"/>
      <c r="AY249" s="416"/>
      <c r="AZ249" s="416"/>
      <c r="BA249" s="416"/>
      <c r="BB249" s="32"/>
    </row>
    <row r="250" spans="2:54">
      <c r="B250" s="1254"/>
      <c r="C250" s="1255"/>
      <c r="D250" s="411" t="s">
        <v>2098</v>
      </c>
      <c r="E250" s="411"/>
      <c r="F250" s="411" t="s">
        <v>1848</v>
      </c>
      <c r="G250" s="411" t="s">
        <v>350</v>
      </c>
      <c r="H250" s="412">
        <v>7482.4920000000002</v>
      </c>
      <c r="I250" s="413" t="s">
        <v>494</v>
      </c>
      <c r="J250" s="414">
        <v>45120.840277777781</v>
      </c>
      <c r="K250" s="414"/>
      <c r="L250" s="414" t="s">
        <v>192</v>
      </c>
      <c r="M250" s="414" t="s">
        <v>192</v>
      </c>
      <c r="N250" s="413" t="str">
        <f t="shared" si="19"/>
        <v>On time</v>
      </c>
      <c r="O250" s="51"/>
      <c r="P250" s="415" t="s">
        <v>551</v>
      </c>
      <c r="Q250" s="415" t="s">
        <v>551</v>
      </c>
      <c r="R250" s="415" t="s">
        <v>551</v>
      </c>
      <c r="S250" s="32"/>
      <c r="T250" s="416"/>
      <c r="U250" s="416"/>
      <c r="V250" s="416"/>
      <c r="W250" s="416"/>
      <c r="X250" s="416"/>
      <c r="Y250" s="416">
        <f>H250</f>
        <v>7482.4920000000002</v>
      </c>
      <c r="Z250" s="416"/>
      <c r="AA250" s="416"/>
      <c r="AB250" s="416"/>
      <c r="AC250" s="416"/>
      <c r="AD250" s="416"/>
      <c r="AE250" s="416"/>
      <c r="AF250" s="416"/>
      <c r="AG250" s="416"/>
      <c r="AH250" s="416"/>
      <c r="AI250" s="416"/>
      <c r="AJ250" s="416"/>
      <c r="AK250" s="416"/>
      <c r="AL250" s="416"/>
      <c r="AM250" s="416"/>
      <c r="AN250" s="416"/>
      <c r="AO250" s="416"/>
      <c r="AP250" s="416"/>
      <c r="AQ250" s="416"/>
      <c r="AR250" s="416"/>
      <c r="AS250" s="416"/>
      <c r="AT250" s="416"/>
      <c r="AU250" s="416"/>
      <c r="AV250" s="416"/>
      <c r="AW250" s="416"/>
      <c r="AX250" s="416"/>
      <c r="AY250" s="416"/>
      <c r="AZ250" s="416"/>
      <c r="BA250" s="416"/>
      <c r="BB250" s="32"/>
    </row>
    <row r="251" spans="2:54">
      <c r="B251" s="1250" t="s">
        <v>653</v>
      </c>
      <c r="C251" s="1251"/>
      <c r="D251" s="411" t="s">
        <v>2099</v>
      </c>
      <c r="E251" s="411"/>
      <c r="F251" s="411" t="s">
        <v>1307</v>
      </c>
      <c r="G251" s="411" t="s">
        <v>1308</v>
      </c>
      <c r="H251" s="412">
        <v>2933.8809999999999</v>
      </c>
      <c r="I251" s="413" t="s">
        <v>1164</v>
      </c>
      <c r="J251" s="414">
        <v>45122.4375</v>
      </c>
      <c r="K251" s="414"/>
      <c r="L251" s="414" t="s">
        <v>192</v>
      </c>
      <c r="M251" s="414" t="s">
        <v>192</v>
      </c>
      <c r="N251" s="413" t="str">
        <f t="shared" si="19"/>
        <v>On time</v>
      </c>
      <c r="O251" s="51"/>
      <c r="P251" s="415" t="s">
        <v>551</v>
      </c>
      <c r="Q251" s="415" t="s">
        <v>551</v>
      </c>
      <c r="R251" s="415" t="s">
        <v>551</v>
      </c>
      <c r="S251" s="32"/>
      <c r="T251" s="416"/>
      <c r="U251" s="416"/>
      <c r="V251" s="416"/>
      <c r="W251" s="416"/>
      <c r="X251" s="416">
        <f>H251</f>
        <v>2933.8809999999999</v>
      </c>
      <c r="Y251" s="416"/>
      <c r="Z251" s="416"/>
      <c r="AA251" s="416"/>
      <c r="AB251" s="416"/>
      <c r="AC251" s="416"/>
      <c r="AD251" s="416"/>
      <c r="AE251" s="416"/>
      <c r="AF251" s="416"/>
      <c r="AG251" s="416"/>
      <c r="AH251" s="416"/>
      <c r="AI251" s="416"/>
      <c r="AJ251" s="416"/>
      <c r="AK251" s="416"/>
      <c r="AL251" s="416"/>
      <c r="AM251" s="416"/>
      <c r="AN251" s="416"/>
      <c r="AO251" s="416"/>
      <c r="AP251" s="416"/>
      <c r="AQ251" s="416"/>
      <c r="AR251" s="416"/>
      <c r="AS251" s="416"/>
      <c r="AT251" s="416"/>
      <c r="AU251" s="416"/>
      <c r="AV251" s="416"/>
      <c r="AW251" s="416"/>
      <c r="AX251" s="416"/>
      <c r="AY251" s="416"/>
      <c r="AZ251" s="416"/>
      <c r="BA251" s="416"/>
      <c r="BB251" s="32"/>
    </row>
    <row r="252" spans="2:54">
      <c r="B252" s="1254"/>
      <c r="C252" s="1255"/>
      <c r="D252" s="411" t="s">
        <v>2100</v>
      </c>
      <c r="E252" s="411"/>
      <c r="F252" s="411" t="s">
        <v>233</v>
      </c>
      <c r="G252" s="411" t="s">
        <v>234</v>
      </c>
      <c r="H252" s="412">
        <f>7754.512-2685.24</f>
        <v>5069.2719999999999</v>
      </c>
      <c r="I252" s="413" t="s">
        <v>494</v>
      </c>
      <c r="J252" s="571">
        <v>45121.333333333336</v>
      </c>
      <c r="K252" s="414"/>
      <c r="L252" s="414" t="s">
        <v>192</v>
      </c>
      <c r="M252" s="414" t="s">
        <v>192</v>
      </c>
      <c r="N252" s="413" t="str">
        <f t="shared" si="19"/>
        <v>On time</v>
      </c>
      <c r="O252" s="51"/>
      <c r="P252" s="415" t="s">
        <v>551</v>
      </c>
      <c r="Q252" s="415" t="s">
        <v>551</v>
      </c>
      <c r="R252" s="415" t="s">
        <v>551</v>
      </c>
      <c r="S252" s="32"/>
      <c r="T252" s="416"/>
      <c r="U252" s="416"/>
      <c r="V252" s="416"/>
      <c r="W252" s="416"/>
      <c r="X252" s="416"/>
      <c r="Y252" s="416">
        <f>H252</f>
        <v>5069.2719999999999</v>
      </c>
      <c r="Z252" s="416"/>
      <c r="AA252" s="416"/>
      <c r="AB252" s="416"/>
      <c r="AC252" s="416"/>
      <c r="AD252" s="416"/>
      <c r="AE252" s="416"/>
      <c r="AF252" s="416"/>
      <c r="AG252" s="416"/>
      <c r="AH252" s="416"/>
      <c r="AI252" s="416"/>
      <c r="AJ252" s="416"/>
      <c r="AK252" s="416"/>
      <c r="AL252" s="416"/>
      <c r="AM252" s="416"/>
      <c r="AN252" s="416"/>
      <c r="AO252" s="416"/>
      <c r="AP252" s="416"/>
      <c r="AQ252" s="416"/>
      <c r="AR252" s="416"/>
      <c r="AS252" s="416"/>
      <c r="AT252" s="416"/>
      <c r="AU252" s="416"/>
      <c r="AV252" s="416"/>
      <c r="AW252" s="416"/>
      <c r="AX252" s="416"/>
      <c r="AY252" s="416"/>
      <c r="AZ252" s="416"/>
      <c r="BA252" s="416"/>
      <c r="BB252" s="32"/>
    </row>
    <row r="253" spans="2:54">
      <c r="B253" s="1258" t="s">
        <v>556</v>
      </c>
      <c r="C253" s="1259"/>
      <c r="D253" s="1259"/>
      <c r="E253" s="1259"/>
      <c r="F253" s="1259"/>
      <c r="G253" s="1260"/>
      <c r="H253" s="417">
        <f>SUM(H242:H252)</f>
        <v>67150</v>
      </c>
      <c r="I253" s="388"/>
      <c r="J253" s="293"/>
      <c r="K253" s="293"/>
      <c r="L253" s="293"/>
      <c r="M253" s="389"/>
      <c r="N253" s="413" t="str">
        <f t="shared" si="19"/>
        <v xml:space="preserve"> </v>
      </c>
      <c r="O253" s="212"/>
      <c r="P253" s="418"/>
      <c r="Q253" s="418"/>
      <c r="R253" s="418"/>
      <c r="S253" s="207"/>
      <c r="T253" s="1300"/>
      <c r="U253" s="1301"/>
      <c r="V253" s="1301"/>
      <c r="W253" s="1301"/>
      <c r="X253" s="1301"/>
      <c r="Y253" s="1301"/>
      <c r="Z253" s="1301"/>
      <c r="AA253" s="1301"/>
      <c r="AB253" s="1301"/>
      <c r="AC253" s="1301"/>
      <c r="AD253" s="1301"/>
      <c r="AE253" s="1301"/>
      <c r="AF253" s="1301"/>
      <c r="AG253" s="1301"/>
      <c r="AH253" s="1301"/>
      <c r="AI253" s="1301"/>
      <c r="AJ253" s="1301"/>
      <c r="AK253" s="1301"/>
      <c r="AL253" s="1301"/>
      <c r="AM253" s="1301"/>
      <c r="AN253" s="1301"/>
      <c r="AO253" s="1301"/>
      <c r="AP253" s="1301"/>
      <c r="AQ253" s="1301"/>
      <c r="AR253" s="1301"/>
      <c r="AS253" s="1301"/>
      <c r="AT253" s="1301"/>
      <c r="AU253" s="1301"/>
      <c r="AV253" s="1301"/>
      <c r="AW253" s="1301"/>
      <c r="AX253" s="1301"/>
      <c r="AY253" s="1301"/>
      <c r="AZ253" s="1301"/>
      <c r="BA253" s="1301"/>
    </row>
    <row r="254" spans="2:54">
      <c r="B254" s="1243" t="s">
        <v>557</v>
      </c>
      <c r="C254" s="1244"/>
      <c r="D254" s="1244"/>
      <c r="E254" s="1244"/>
      <c r="F254" s="1244"/>
      <c r="G254" s="1245"/>
      <c r="H254" s="419">
        <v>67150</v>
      </c>
      <c r="I254" s="1273"/>
      <c r="J254" s="1274"/>
      <c r="K254" s="1274"/>
      <c r="L254" s="1274"/>
      <c r="M254" s="1275"/>
      <c r="N254" s="413" t="str">
        <f t="shared" si="19"/>
        <v xml:space="preserve"> </v>
      </c>
      <c r="O254" s="32"/>
      <c r="P254" s="415"/>
      <c r="Q254" s="415"/>
      <c r="R254" s="415"/>
      <c r="S254" s="63"/>
      <c r="T254" s="416">
        <f t="shared" ref="T254:BA254" si="22">SUM(T242:T252)</f>
        <v>0</v>
      </c>
      <c r="U254" s="416">
        <f t="shared" si="22"/>
        <v>0</v>
      </c>
      <c r="V254" s="416">
        <f t="shared" si="22"/>
        <v>0</v>
      </c>
      <c r="W254" s="416">
        <f t="shared" si="22"/>
        <v>0</v>
      </c>
      <c r="X254" s="416">
        <f t="shared" si="22"/>
        <v>2933.8809999999999</v>
      </c>
      <c r="Y254" s="416">
        <f t="shared" si="22"/>
        <v>30346.928600000003</v>
      </c>
      <c r="Z254" s="416">
        <f t="shared" si="22"/>
        <v>6004.8624000000009</v>
      </c>
      <c r="AA254" s="416">
        <f t="shared" si="22"/>
        <v>0</v>
      </c>
      <c r="AB254" s="416">
        <f t="shared" si="22"/>
        <v>0</v>
      </c>
      <c r="AC254" s="416">
        <f t="shared" si="22"/>
        <v>27864.328000000001</v>
      </c>
      <c r="AD254" s="416">
        <f t="shared" si="22"/>
        <v>0</v>
      </c>
      <c r="AE254" s="416">
        <f t="shared" si="22"/>
        <v>0</v>
      </c>
      <c r="AF254" s="416">
        <f t="shared" si="22"/>
        <v>0</v>
      </c>
      <c r="AG254" s="416">
        <f t="shared" si="22"/>
        <v>0</v>
      </c>
      <c r="AH254" s="416">
        <f t="shared" si="22"/>
        <v>0</v>
      </c>
      <c r="AI254" s="416">
        <f t="shared" si="22"/>
        <v>0</v>
      </c>
      <c r="AJ254" s="416">
        <f t="shared" si="22"/>
        <v>0</v>
      </c>
      <c r="AK254" s="416">
        <f t="shared" si="22"/>
        <v>0</v>
      </c>
      <c r="AL254" s="416">
        <f t="shared" si="22"/>
        <v>0</v>
      </c>
      <c r="AM254" s="416">
        <f t="shared" si="22"/>
        <v>0</v>
      </c>
      <c r="AN254" s="416">
        <f t="shared" si="22"/>
        <v>0</v>
      </c>
      <c r="AO254" s="416">
        <f t="shared" si="22"/>
        <v>0</v>
      </c>
      <c r="AP254" s="416">
        <f t="shared" si="22"/>
        <v>0</v>
      </c>
      <c r="AQ254" s="416">
        <f t="shared" si="22"/>
        <v>0</v>
      </c>
      <c r="AR254" s="416">
        <f t="shared" si="22"/>
        <v>0</v>
      </c>
      <c r="AS254" s="416">
        <f t="shared" si="22"/>
        <v>0</v>
      </c>
      <c r="AT254" s="416">
        <f t="shared" si="22"/>
        <v>0</v>
      </c>
      <c r="AU254" s="416">
        <f t="shared" si="22"/>
        <v>0</v>
      </c>
      <c r="AV254" s="416">
        <f t="shared" si="22"/>
        <v>0</v>
      </c>
      <c r="AW254" s="416">
        <f t="shared" si="22"/>
        <v>0</v>
      </c>
      <c r="AX254" s="416">
        <f t="shared" si="22"/>
        <v>0</v>
      </c>
      <c r="AY254" s="416">
        <f t="shared" si="22"/>
        <v>0</v>
      </c>
      <c r="AZ254" s="416">
        <f t="shared" si="22"/>
        <v>0</v>
      </c>
      <c r="BA254" s="416">
        <f t="shared" si="22"/>
        <v>0</v>
      </c>
      <c r="BB254" s="416">
        <f>SUM(T254:BA254)</f>
        <v>67150</v>
      </c>
    </row>
    <row r="255" spans="2:54">
      <c r="B255" s="1243" t="s">
        <v>558</v>
      </c>
      <c r="C255" s="1244"/>
      <c r="D255" s="1244"/>
      <c r="E255" s="1244"/>
      <c r="F255" s="1244"/>
      <c r="G255" s="1245"/>
      <c r="H255" s="420">
        <f>H254-L236</f>
        <v>0</v>
      </c>
      <c r="I255" s="294"/>
      <c r="J255" s="295"/>
      <c r="K255" s="295"/>
      <c r="L255" s="296"/>
      <c r="M255" s="32"/>
      <c r="N255" s="32"/>
      <c r="O255" s="32"/>
      <c r="P255" s="32"/>
      <c r="Q255" s="297"/>
      <c r="R255" s="297"/>
      <c r="S255" s="32"/>
      <c r="T255" s="48"/>
      <c r="U255" s="48"/>
      <c r="V255" s="48"/>
      <c r="W255" s="48"/>
      <c r="X255" s="48"/>
      <c r="Y255" s="48"/>
      <c r="Z255" s="48"/>
      <c r="AA255" s="48"/>
      <c r="AB255" s="48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</row>
    <row r="256" spans="2:54">
      <c r="B256" s="1243" t="s">
        <v>559</v>
      </c>
      <c r="C256" s="1244"/>
      <c r="D256" s="1244"/>
      <c r="E256" s="1244"/>
      <c r="F256" s="1244"/>
      <c r="G256" s="1245"/>
      <c r="H256" s="446">
        <v>2486.2399999999998</v>
      </c>
      <c r="I256" s="52"/>
      <c r="J256" s="53"/>
      <c r="K256" s="53"/>
      <c r="L256" s="54"/>
      <c r="M256" s="32"/>
      <c r="N256" s="201"/>
      <c r="O256" s="32"/>
      <c r="P256" s="32"/>
      <c r="Q256" s="32"/>
      <c r="R256" s="32"/>
      <c r="S256" s="32"/>
      <c r="T256" s="48"/>
      <c r="U256" s="48"/>
      <c r="V256" s="48"/>
      <c r="W256" s="48"/>
      <c r="X256" s="48"/>
      <c r="Y256" s="48"/>
      <c r="Z256" s="48"/>
      <c r="AA256" s="48"/>
      <c r="AB256" s="48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</row>
    <row r="257" spans="2:54">
      <c r="B257" s="1243" t="s">
        <v>560</v>
      </c>
      <c r="C257" s="1244"/>
      <c r="D257" s="1244"/>
      <c r="E257" s="1244"/>
      <c r="F257" s="1244"/>
      <c r="G257" s="1245"/>
      <c r="H257" s="421">
        <f>H256-2685.24</f>
        <v>-199</v>
      </c>
      <c r="I257" s="52"/>
      <c r="J257" s="53"/>
      <c r="K257" s="53"/>
      <c r="L257" s="54"/>
      <c r="M257" s="32"/>
      <c r="N257" s="32"/>
      <c r="O257" s="32"/>
      <c r="P257" s="32"/>
      <c r="Q257" s="32"/>
      <c r="R257" s="32"/>
      <c r="S257" s="48"/>
      <c r="T257" s="48"/>
      <c r="U257" s="48"/>
      <c r="V257" s="48"/>
      <c r="W257" s="48"/>
      <c r="X257" s="48"/>
      <c r="Y257" s="48"/>
      <c r="Z257" s="48"/>
      <c r="AA257" s="48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</row>
    <row r="258" spans="2:54">
      <c r="B258" s="201"/>
      <c r="C258" s="201"/>
      <c r="D258" s="201"/>
      <c r="E258" s="201"/>
      <c r="F258" s="201"/>
      <c r="G258" s="201"/>
      <c r="H258" s="201"/>
      <c r="I258" s="213"/>
      <c r="J258" s="209"/>
      <c r="K258" s="209"/>
      <c r="L258" s="203"/>
      <c r="M258" s="201"/>
      <c r="N258" s="201"/>
      <c r="O258" s="209"/>
      <c r="P258" s="32"/>
      <c r="Q258" s="32"/>
      <c r="R258" s="32"/>
      <c r="S258" s="32"/>
      <c r="T258" s="48"/>
      <c r="U258" s="48"/>
      <c r="V258" s="48"/>
      <c r="W258" s="48"/>
      <c r="X258" s="48"/>
      <c r="Y258" s="48"/>
      <c r="Z258" s="48"/>
      <c r="AA258" s="48"/>
      <c r="AB258" s="48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</row>
    <row r="259" spans="2:54">
      <c r="B259" s="40" t="s">
        <v>561</v>
      </c>
      <c r="C259" s="40"/>
      <c r="D259" s="32"/>
      <c r="E259" s="32"/>
      <c r="F259" s="32"/>
      <c r="G259" s="32"/>
      <c r="H259" s="32"/>
      <c r="I259" s="32"/>
      <c r="J259" s="52"/>
      <c r="K259" s="52"/>
      <c r="L259" s="55"/>
      <c r="M259" s="32"/>
      <c r="N259" s="201"/>
      <c r="O259" s="5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  <c r="AA259" s="202"/>
      <c r="AB259" s="201"/>
      <c r="AC259" s="201"/>
      <c r="AD259" s="201"/>
      <c r="AE259" s="201"/>
      <c r="AF259" s="201"/>
      <c r="AG259" s="201"/>
      <c r="AH259" s="201"/>
      <c r="AI259" s="201"/>
      <c r="AJ259" s="201"/>
      <c r="AK259" s="201"/>
      <c r="AL259" s="201"/>
      <c r="AM259" s="201"/>
      <c r="AN259" s="201"/>
      <c r="AO259" s="201"/>
      <c r="AP259" s="201"/>
      <c r="AQ259" s="201"/>
      <c r="AR259" s="201"/>
      <c r="AS259" s="201"/>
      <c r="AT259" s="201"/>
      <c r="AU259" s="201"/>
      <c r="BB259" s="201"/>
    </row>
    <row r="260" spans="2:54">
      <c r="B260" s="422">
        <v>1</v>
      </c>
      <c r="C260" s="1249" t="s">
        <v>2101</v>
      </c>
      <c r="D260" s="1249"/>
      <c r="E260" s="1249"/>
      <c r="F260" s="1249"/>
      <c r="G260" s="1249"/>
      <c r="H260" s="1249"/>
      <c r="I260" s="1249"/>
      <c r="J260" s="1249"/>
      <c r="K260" s="1249"/>
      <c r="L260" s="203"/>
      <c r="M260" s="203"/>
      <c r="N260" s="201"/>
      <c r="O260" s="209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  <c r="AA260" s="202"/>
      <c r="AB260" s="201"/>
      <c r="AC260" s="201"/>
      <c r="AD260" s="201"/>
      <c r="AE260" s="201"/>
      <c r="AF260" s="201"/>
      <c r="AG260" s="201"/>
      <c r="AH260" s="201"/>
      <c r="AI260" s="201"/>
      <c r="AJ260" s="201"/>
      <c r="AK260" s="201"/>
      <c r="AL260" s="201"/>
      <c r="AM260" s="201"/>
      <c r="AN260" s="201"/>
      <c r="AO260" s="201"/>
      <c r="AP260" s="201"/>
      <c r="AQ260" s="201"/>
      <c r="AR260" s="201"/>
      <c r="AS260" s="201"/>
      <c r="AT260" s="201"/>
      <c r="AU260" s="201"/>
      <c r="AV260" s="201"/>
      <c r="AW260" s="201"/>
      <c r="AX260" s="201"/>
      <c r="AY260" s="201"/>
      <c r="AZ260" s="201"/>
      <c r="BA260" s="201"/>
      <c r="BB260" s="201"/>
    </row>
    <row r="262" spans="2:54">
      <c r="B262" s="28" t="s">
        <v>126</v>
      </c>
      <c r="C262" s="28"/>
      <c r="D262" s="29"/>
      <c r="E262" s="30" t="s">
        <v>511</v>
      </c>
      <c r="F262" s="31" t="s">
        <v>2102</v>
      </c>
      <c r="G262" s="32"/>
      <c r="H262" s="33"/>
      <c r="I262" s="34"/>
      <c r="J262" s="35" t="s">
        <v>513</v>
      </c>
      <c r="K262" s="36" t="s">
        <v>511</v>
      </c>
      <c r="L262" s="37">
        <v>45123.537499999999</v>
      </c>
      <c r="M262" s="32"/>
      <c r="N262" s="32"/>
      <c r="O262" s="36"/>
      <c r="P262" s="33"/>
      <c r="Q262" s="48"/>
      <c r="R262" s="49"/>
      <c r="S262" s="38"/>
      <c r="T262" s="32"/>
      <c r="U262" s="32"/>
      <c r="V262" s="32"/>
      <c r="W262" s="32"/>
      <c r="X262" s="32"/>
      <c r="Y262" s="32"/>
      <c r="Z262" s="32"/>
      <c r="AA262" s="32"/>
      <c r="AB262" s="48"/>
      <c r="AC262" s="48"/>
      <c r="AD262" s="48"/>
      <c r="AE262" s="48"/>
      <c r="AF262" s="48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</row>
    <row r="263" spans="2:54">
      <c r="B263" s="35" t="s">
        <v>514</v>
      </c>
      <c r="C263" s="35"/>
      <c r="D263" s="32"/>
      <c r="E263" s="36" t="s">
        <v>511</v>
      </c>
      <c r="F263" s="311" t="s">
        <v>2061</v>
      </c>
      <c r="G263" s="60" t="s">
        <v>647</v>
      </c>
      <c r="H263" s="33"/>
      <c r="I263" s="34"/>
      <c r="J263" s="35" t="s">
        <v>516</v>
      </c>
      <c r="K263" s="36" t="s">
        <v>511</v>
      </c>
      <c r="L263" s="37">
        <v>45127.041666666664</v>
      </c>
      <c r="M263" s="32"/>
      <c r="N263" s="32"/>
      <c r="O263" s="36"/>
      <c r="P263" s="33"/>
      <c r="Q263" s="48"/>
      <c r="R263" s="49"/>
      <c r="S263" s="38"/>
      <c r="T263" s="32"/>
      <c r="U263" s="32"/>
      <c r="V263" s="32"/>
      <c r="W263" s="32"/>
      <c r="X263" s="32"/>
      <c r="Y263" s="32"/>
      <c r="Z263" s="32"/>
      <c r="AA263" s="32"/>
      <c r="AB263" s="48"/>
      <c r="AC263" s="48"/>
      <c r="AD263" s="48"/>
      <c r="AE263" s="48"/>
      <c r="AF263" s="48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</row>
    <row r="264" spans="2:54">
      <c r="B264" s="35" t="s">
        <v>517</v>
      </c>
      <c r="C264" s="35"/>
      <c r="D264" s="32"/>
      <c r="E264" s="36" t="s">
        <v>511</v>
      </c>
      <c r="F264" s="37">
        <v>45117.520833333336</v>
      </c>
      <c r="G264" s="60">
        <v>45118</v>
      </c>
      <c r="H264" s="33"/>
      <c r="I264" s="34"/>
      <c r="J264" s="35" t="s">
        <v>518</v>
      </c>
      <c r="K264" s="36" t="s">
        <v>511</v>
      </c>
      <c r="L264" s="50">
        <v>105300</v>
      </c>
      <c r="M264" s="40" t="s">
        <v>519</v>
      </c>
      <c r="N264" s="40"/>
      <c r="O264" s="36"/>
      <c r="P264" s="33"/>
      <c r="Q264" s="48"/>
      <c r="R264" s="49"/>
      <c r="S264" s="38"/>
      <c r="T264" s="32"/>
      <c r="U264" s="32"/>
      <c r="V264" s="32"/>
      <c r="W264" s="32"/>
      <c r="X264" s="32"/>
      <c r="Y264" s="32"/>
      <c r="Z264" s="32"/>
      <c r="AA264" s="32"/>
      <c r="AB264" s="48"/>
      <c r="AC264" s="48"/>
      <c r="AD264" s="48"/>
      <c r="AE264" s="48"/>
      <c r="AF264" s="48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</row>
    <row r="265" spans="2:54">
      <c r="B265" s="35" t="s">
        <v>520</v>
      </c>
      <c r="C265" s="35"/>
      <c r="D265" s="32"/>
      <c r="E265" s="36" t="s">
        <v>511</v>
      </c>
      <c r="F265" s="37" t="s">
        <v>12</v>
      </c>
      <c r="G265" s="32"/>
      <c r="H265" s="33"/>
      <c r="I265" s="34"/>
      <c r="J265" s="35" t="s">
        <v>521</v>
      </c>
      <c r="K265" s="36" t="s">
        <v>511</v>
      </c>
      <c r="L265" s="41" t="s">
        <v>2103</v>
      </c>
      <c r="M265" s="32"/>
      <c r="N265" s="32"/>
      <c r="O265" s="36"/>
      <c r="P265" s="48"/>
      <c r="Q265" s="48"/>
      <c r="R265" s="49"/>
      <c r="S265" s="38"/>
      <c r="T265" s="32"/>
      <c r="U265" s="32"/>
      <c r="V265" s="32"/>
      <c r="W265" s="32"/>
      <c r="X265" s="32"/>
      <c r="Y265" s="32"/>
      <c r="Z265" s="32"/>
      <c r="AA265" s="32"/>
      <c r="AB265" s="48"/>
      <c r="AC265" s="48"/>
      <c r="AD265" s="48"/>
      <c r="AE265" s="48"/>
      <c r="AF265" s="48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</row>
    <row r="266" spans="2:54">
      <c r="B266" s="35" t="s">
        <v>523</v>
      </c>
      <c r="C266" s="35"/>
      <c r="D266" s="32"/>
      <c r="E266" s="36" t="s">
        <v>511</v>
      </c>
      <c r="F266" s="37" t="s">
        <v>41</v>
      </c>
      <c r="G266" s="32"/>
      <c r="H266" s="33"/>
      <c r="I266" s="34"/>
      <c r="J266" s="42" t="s">
        <v>524</v>
      </c>
      <c r="K266" s="36" t="s">
        <v>511</v>
      </c>
      <c r="L266" s="43" t="s">
        <v>15</v>
      </c>
      <c r="M266" s="44"/>
      <c r="N266" s="44"/>
      <c r="O266" s="36"/>
      <c r="P266" s="33"/>
      <c r="Q266" s="48"/>
      <c r="R266" s="49"/>
      <c r="S266" s="38"/>
      <c r="T266" s="32"/>
      <c r="U266" s="32"/>
      <c r="V266" s="32"/>
      <c r="W266" s="32"/>
      <c r="X266" s="32"/>
      <c r="Y266" s="32"/>
      <c r="Z266" s="32"/>
      <c r="AA266" s="32"/>
      <c r="AB266" s="48"/>
      <c r="AC266" s="48"/>
      <c r="AD266" s="48"/>
      <c r="AE266" s="48"/>
      <c r="AF266" s="48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</row>
    <row r="267" spans="2:54">
      <c r="B267" s="35" t="s">
        <v>2</v>
      </c>
      <c r="C267" s="35"/>
      <c r="D267" s="32"/>
      <c r="E267" s="36" t="s">
        <v>511</v>
      </c>
      <c r="F267" s="37" t="s">
        <v>44</v>
      </c>
      <c r="G267" s="32"/>
      <c r="H267" s="33"/>
      <c r="I267" s="45"/>
      <c r="J267" s="42"/>
      <c r="K267" s="36"/>
      <c r="L267" s="37"/>
      <c r="M267" s="32"/>
      <c r="N267" s="32"/>
      <c r="O267" s="42"/>
      <c r="P267" s="44"/>
      <c r="Q267" s="44"/>
      <c r="R267" s="44"/>
      <c r="S267" s="34"/>
      <c r="T267" s="32"/>
      <c r="U267" s="32"/>
      <c r="V267" s="32"/>
      <c r="W267" s="32"/>
      <c r="X267" s="32"/>
      <c r="Y267" s="32"/>
      <c r="Z267" s="32"/>
      <c r="AA267" s="32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</row>
    <row r="268" spans="2:54">
      <c r="B268" s="32"/>
      <c r="C268" s="32"/>
      <c r="D268" s="32"/>
      <c r="E268" s="32"/>
      <c r="F268" s="32"/>
      <c r="G268" s="32"/>
      <c r="H268" s="32"/>
      <c r="I268" s="45"/>
      <c r="J268" s="42"/>
      <c r="K268" s="42"/>
      <c r="L268" s="43"/>
      <c r="M268" s="44"/>
      <c r="N268" s="44"/>
      <c r="O268" s="42"/>
      <c r="P268" s="44"/>
      <c r="Q268" s="44"/>
      <c r="R268" s="44"/>
      <c r="S268" s="34"/>
      <c r="T268" s="1270" t="s">
        <v>87</v>
      </c>
      <c r="U268" s="1270"/>
      <c r="V268" s="1270"/>
      <c r="W268" s="1270"/>
      <c r="X268" s="1270"/>
      <c r="Y268" s="1270" t="s">
        <v>73</v>
      </c>
      <c r="Z268" s="1270"/>
      <c r="AA268" s="1270"/>
      <c r="AB268" s="1270" t="s">
        <v>74</v>
      </c>
      <c r="AC268" s="1270"/>
      <c r="AD268" s="407" t="s">
        <v>85</v>
      </c>
      <c r="AE268" s="407" t="s">
        <v>77</v>
      </c>
      <c r="AF268" s="1270" t="s">
        <v>525</v>
      </c>
      <c r="AG268" s="1270"/>
      <c r="AH268" s="1270"/>
      <c r="AI268" s="1270"/>
      <c r="AJ268" s="1270"/>
      <c r="AK268" s="1270"/>
      <c r="AL268" s="1270"/>
      <c r="AM268" s="1270"/>
      <c r="AN268" s="1270"/>
      <c r="AO268" s="1270"/>
      <c r="AP268" s="1270"/>
      <c r="AQ268" s="1270"/>
      <c r="AR268" s="1270"/>
      <c r="AS268" s="1270"/>
      <c r="AT268" s="1270"/>
      <c r="AU268" s="1270"/>
      <c r="AV268" s="1270"/>
      <c r="AW268" s="1270"/>
      <c r="AX268" s="1270"/>
      <c r="AY268" s="1270"/>
      <c r="AZ268" s="1270"/>
      <c r="BA268" s="1270"/>
      <c r="BB268" s="32"/>
    </row>
    <row r="269" spans="2:54">
      <c r="B269" s="1266" t="s">
        <v>526</v>
      </c>
      <c r="C269" s="1267"/>
      <c r="D269" s="570" t="s">
        <v>527</v>
      </c>
      <c r="E269" s="570"/>
      <c r="F269" s="570" t="s">
        <v>528</v>
      </c>
      <c r="G269" s="570" t="s">
        <v>529</v>
      </c>
      <c r="H269" s="570" t="s">
        <v>530</v>
      </c>
      <c r="I269" s="570" t="s">
        <v>531</v>
      </c>
      <c r="J269" s="570" t="s">
        <v>532</v>
      </c>
      <c r="K269" s="570"/>
      <c r="L269" s="570" t="s">
        <v>130</v>
      </c>
      <c r="M269" s="570" t="s">
        <v>533</v>
      </c>
      <c r="N269" s="408" t="str">
        <f>"On time - "&amp;COUNTIF(N270:N291,"On time")&amp;" from "&amp;ROWS(N270:N291)-COUNTIF(N270:N291," ")</f>
        <v>On time - 0 from 15</v>
      </c>
      <c r="O269" s="46"/>
      <c r="P269" s="409" t="s">
        <v>534</v>
      </c>
      <c r="Q269" s="409" t="s">
        <v>535</v>
      </c>
      <c r="R269" s="409" t="s">
        <v>536</v>
      </c>
      <c r="S269" s="32"/>
      <c r="T269" s="410" t="s">
        <v>537</v>
      </c>
      <c r="U269" s="410" t="s">
        <v>538</v>
      </c>
      <c r="V269" s="410" t="s">
        <v>539</v>
      </c>
      <c r="W269" s="410" t="s">
        <v>540</v>
      </c>
      <c r="X269" s="410" t="s">
        <v>541</v>
      </c>
      <c r="Y269" s="410" t="s">
        <v>167</v>
      </c>
      <c r="Z269" s="410" t="s">
        <v>168</v>
      </c>
      <c r="AA269" s="410" t="s">
        <v>169</v>
      </c>
      <c r="AB269" s="410" t="s">
        <v>235</v>
      </c>
      <c r="AC269" s="410" t="s">
        <v>240</v>
      </c>
      <c r="AD269" s="407" t="s">
        <v>85</v>
      </c>
      <c r="AE269" s="410" t="s">
        <v>139</v>
      </c>
      <c r="AF269" s="410" t="s">
        <v>72</v>
      </c>
      <c r="AG269" s="410" t="s">
        <v>88</v>
      </c>
      <c r="AH269" s="410" t="s">
        <v>75</v>
      </c>
      <c r="AI269" s="410" t="s">
        <v>543</v>
      </c>
      <c r="AJ269" s="410" t="s">
        <v>78</v>
      </c>
      <c r="AK269" s="410" t="s">
        <v>76</v>
      </c>
      <c r="AL269" s="410" t="s">
        <v>544</v>
      </c>
      <c r="AM269" s="410" t="s">
        <v>545</v>
      </c>
      <c r="AN269" s="410" t="s">
        <v>86</v>
      </c>
      <c r="AO269" s="410" t="s">
        <v>83</v>
      </c>
      <c r="AP269" s="410" t="s">
        <v>84</v>
      </c>
      <c r="AQ269" s="410" t="s">
        <v>546</v>
      </c>
      <c r="AR269" s="410" t="s">
        <v>81</v>
      </c>
      <c r="AS269" s="410" t="s">
        <v>80</v>
      </c>
      <c r="AT269" s="410" t="s">
        <v>82</v>
      </c>
      <c r="AU269" s="410" t="s">
        <v>181</v>
      </c>
      <c r="AV269" s="410" t="s">
        <v>183</v>
      </c>
      <c r="AW269" s="410" t="s">
        <v>547</v>
      </c>
      <c r="AX269" s="410" t="s">
        <v>182</v>
      </c>
      <c r="AY269" s="410" t="s">
        <v>172</v>
      </c>
      <c r="AZ269" s="410" t="s">
        <v>173</v>
      </c>
      <c r="BA269" s="410" t="s">
        <v>184</v>
      </c>
      <c r="BB269" s="32"/>
    </row>
    <row r="270" spans="2:54">
      <c r="B270" s="1256" t="s">
        <v>548</v>
      </c>
      <c r="C270" s="1257"/>
      <c r="D270" s="411" t="s">
        <v>2069</v>
      </c>
      <c r="E270" s="411"/>
      <c r="F270" s="411" t="s">
        <v>374</v>
      </c>
      <c r="G270" s="411" t="s">
        <v>275</v>
      </c>
      <c r="H270" s="412">
        <v>1148.7380000000001</v>
      </c>
      <c r="I270" s="413" t="s">
        <v>235</v>
      </c>
      <c r="J270" s="414">
        <v>45121.729166666664</v>
      </c>
      <c r="K270" s="414"/>
      <c r="L270" s="414" t="s">
        <v>192</v>
      </c>
      <c r="M270" s="414" t="s">
        <v>192</v>
      </c>
      <c r="N270" s="413" t="str">
        <f>IF(ISBLANK(J270)," ",IF(J270&lt;$G$264,"On time",(IF(DAY(J270-$G$264)&lt;1,"On time",(IF(J270&gt;$G$264,"DELAY ( "&amp;DAY(J270-$G$264)&amp;" day "&amp;HOUR(J270-$G$264)&amp;" hour "&amp;MINUTE(J270-$G$264)&amp;" minute )","xxx"))))))</f>
        <v>DELAY ( 3 day 17 hour 30 minute )</v>
      </c>
      <c r="O270" s="51"/>
      <c r="P270" s="415" t="s">
        <v>551</v>
      </c>
      <c r="Q270" s="415" t="s">
        <v>551</v>
      </c>
      <c r="R270" s="415" t="s">
        <v>551</v>
      </c>
      <c r="S270" s="32"/>
      <c r="T270" s="416"/>
      <c r="U270" s="416"/>
      <c r="V270" s="416"/>
      <c r="W270" s="416"/>
      <c r="X270" s="416"/>
      <c r="Y270" s="416"/>
      <c r="Z270" s="416"/>
      <c r="AA270" s="416"/>
      <c r="AB270" s="416">
        <f>H270</f>
        <v>1148.7380000000001</v>
      </c>
      <c r="AC270" s="416"/>
      <c r="AD270" s="416"/>
      <c r="AE270" s="416"/>
      <c r="AF270" s="416"/>
      <c r="AG270" s="416"/>
      <c r="AH270" s="416"/>
      <c r="AI270" s="416"/>
      <c r="AJ270" s="416"/>
      <c r="AK270" s="416"/>
      <c r="AL270" s="416"/>
      <c r="AM270" s="416"/>
      <c r="AN270" s="416"/>
      <c r="AO270" s="416"/>
      <c r="AP270" s="416"/>
      <c r="AQ270" s="416"/>
      <c r="AR270" s="416"/>
      <c r="AS270" s="416"/>
      <c r="AT270" s="416"/>
      <c r="AU270" s="416"/>
      <c r="AV270" s="416"/>
      <c r="AW270" s="416"/>
      <c r="AX270" s="416"/>
      <c r="AY270" s="416"/>
      <c r="AZ270" s="416"/>
      <c r="BA270" s="416"/>
      <c r="BB270" s="32"/>
    </row>
    <row r="271" spans="2:54">
      <c r="B271" s="1250" t="s">
        <v>1122</v>
      </c>
      <c r="C271" s="1251"/>
      <c r="D271" s="411" t="s">
        <v>2104</v>
      </c>
      <c r="E271" s="425"/>
      <c r="F271" s="411" t="s">
        <v>383</v>
      </c>
      <c r="G271" s="411" t="s">
        <v>384</v>
      </c>
      <c r="H271" s="412">
        <f>5116</f>
        <v>5116</v>
      </c>
      <c r="I271" s="413" t="s">
        <v>82</v>
      </c>
      <c r="J271" s="414">
        <v>45121.9375</v>
      </c>
      <c r="K271" s="414"/>
      <c r="L271" s="414" t="s">
        <v>192</v>
      </c>
      <c r="M271" s="414" t="s">
        <v>192</v>
      </c>
      <c r="N271" s="413" t="str">
        <f t="shared" ref="N271:N291" si="23">IF(ISBLANK(J271)," ",IF(J271&lt;$G$264,"On time",(IF(DAY(J271-$G$264)&lt;1,"On time",(IF(J271&gt;$G$264,"DELAY ( "&amp;DAY(J271-$G$264)&amp;" day "&amp;HOUR(J271-$G$264)&amp;" hour "&amp;MINUTE(J271-$G$264)&amp;" minute )","xxx"))))))</f>
        <v>DELAY ( 3 day 22 hour 30 minute )</v>
      </c>
      <c r="O271" s="51"/>
      <c r="P271" s="415" t="s">
        <v>551</v>
      </c>
      <c r="Q271" s="415" t="s">
        <v>551</v>
      </c>
      <c r="R271" s="415" t="s">
        <v>551</v>
      </c>
      <c r="S271" s="32"/>
      <c r="T271" s="416"/>
      <c r="U271" s="416"/>
      <c r="V271" s="416"/>
      <c r="W271" s="416"/>
      <c r="X271" s="416"/>
      <c r="Y271" s="416"/>
      <c r="Z271" s="416"/>
      <c r="AA271" s="32"/>
      <c r="AB271" s="416"/>
      <c r="AC271" s="416"/>
      <c r="AD271" s="416"/>
      <c r="AE271" s="416"/>
      <c r="AF271" s="416"/>
      <c r="AG271" s="416"/>
      <c r="AH271" s="416"/>
      <c r="AI271" s="416"/>
      <c r="AJ271" s="416"/>
      <c r="AK271" s="416"/>
      <c r="AL271" s="416"/>
      <c r="AM271" s="416"/>
      <c r="AN271" s="416"/>
      <c r="AO271" s="416"/>
      <c r="AP271" s="416"/>
      <c r="AQ271" s="416"/>
      <c r="AR271" s="416"/>
      <c r="AS271" s="416"/>
      <c r="AT271" s="416">
        <f>H271</f>
        <v>5116</v>
      </c>
      <c r="AU271" s="416"/>
      <c r="AV271" s="416"/>
      <c r="AW271" s="416"/>
      <c r="AX271" s="32"/>
      <c r="AY271" s="416"/>
      <c r="AZ271" s="416"/>
      <c r="BA271" s="416"/>
      <c r="BB271" s="32"/>
    </row>
    <row r="272" spans="2:54">
      <c r="B272" s="1254"/>
      <c r="C272" s="1255"/>
      <c r="D272" s="411" t="s">
        <v>2105</v>
      </c>
      <c r="E272" s="411"/>
      <c r="F272" s="411" t="s">
        <v>208</v>
      </c>
      <c r="G272" s="411" t="s">
        <v>328</v>
      </c>
      <c r="H272" s="412">
        <v>7515.6779999999999</v>
      </c>
      <c r="I272" s="413" t="s">
        <v>240</v>
      </c>
      <c r="J272" s="414">
        <v>45121.166666666664</v>
      </c>
      <c r="K272" s="414"/>
      <c r="L272" s="414" t="s">
        <v>192</v>
      </c>
      <c r="M272" s="414" t="s">
        <v>192</v>
      </c>
      <c r="N272" s="413" t="str">
        <f t="shared" si="23"/>
        <v>DELAY ( 3 day 4 hour 0 minute )</v>
      </c>
      <c r="O272" s="51"/>
      <c r="P272" s="415" t="s">
        <v>551</v>
      </c>
      <c r="Q272" s="415" t="s">
        <v>551</v>
      </c>
      <c r="R272" s="415" t="s">
        <v>551</v>
      </c>
      <c r="S272" s="32"/>
      <c r="T272" s="416"/>
      <c r="U272" s="416"/>
      <c r="V272" s="416"/>
      <c r="W272" s="416"/>
      <c r="X272" s="416"/>
      <c r="Y272" s="416"/>
      <c r="Z272" s="416"/>
      <c r="AA272" s="416"/>
      <c r="AB272" s="416"/>
      <c r="AC272" s="416">
        <f>H272</f>
        <v>7515.6779999999999</v>
      </c>
      <c r="AD272" s="416"/>
      <c r="AE272" s="416"/>
      <c r="AF272" s="416"/>
      <c r="AG272" s="416"/>
      <c r="AH272" s="416"/>
      <c r="AI272" s="416"/>
      <c r="AJ272" s="32"/>
      <c r="AK272" s="416"/>
      <c r="AL272" s="416"/>
      <c r="AM272" s="416"/>
      <c r="AN272" s="416"/>
      <c r="AO272" s="416"/>
      <c r="AP272" s="416"/>
      <c r="AQ272" s="416"/>
      <c r="AR272" s="416"/>
      <c r="AS272" s="416"/>
      <c r="AT272" s="416"/>
      <c r="AU272" s="416"/>
      <c r="AV272" s="416"/>
      <c r="AW272" s="416"/>
      <c r="AX272" s="416"/>
      <c r="AY272" s="286"/>
      <c r="AZ272" s="416"/>
      <c r="BA272" s="416"/>
      <c r="BB272" s="32"/>
    </row>
    <row r="273" spans="2:54">
      <c r="B273" s="1250" t="s">
        <v>911</v>
      </c>
      <c r="C273" s="1251"/>
      <c r="D273" s="411" t="s">
        <v>2106</v>
      </c>
      <c r="E273" s="425"/>
      <c r="F273" s="411" t="s">
        <v>823</v>
      </c>
      <c r="G273" s="411" t="s">
        <v>824</v>
      </c>
      <c r="H273" s="412">
        <f>7501.875/4</f>
        <v>1875.46875</v>
      </c>
      <c r="I273" s="413" t="s">
        <v>184</v>
      </c>
      <c r="J273" s="414">
        <v>45122.965277777781</v>
      </c>
      <c r="K273" s="414"/>
      <c r="L273" s="414" t="s">
        <v>192</v>
      </c>
      <c r="M273" s="414" t="s">
        <v>192</v>
      </c>
      <c r="N273" s="413" t="str">
        <f t="shared" si="23"/>
        <v>DELAY ( 4 day 23 hour 10 minute )</v>
      </c>
      <c r="O273" s="51"/>
      <c r="P273" s="415" t="s">
        <v>551</v>
      </c>
      <c r="Q273" s="415" t="s">
        <v>551</v>
      </c>
      <c r="R273" s="415" t="s">
        <v>551</v>
      </c>
      <c r="S273" s="32"/>
      <c r="T273" s="416"/>
      <c r="U273" s="416"/>
      <c r="V273" s="416"/>
      <c r="W273" s="416"/>
      <c r="X273" s="416"/>
      <c r="Y273" s="416"/>
      <c r="Z273" s="416"/>
      <c r="AA273" s="416"/>
      <c r="AB273" s="416"/>
      <c r="AC273" s="416"/>
      <c r="AD273" s="416"/>
      <c r="AE273" s="416"/>
      <c r="AF273" s="416"/>
      <c r="AG273" s="416"/>
      <c r="AH273" s="416"/>
      <c r="AI273" s="416"/>
      <c r="AJ273" s="416"/>
      <c r="AK273" s="416"/>
      <c r="AL273" s="416"/>
      <c r="AM273" s="416"/>
      <c r="AN273" s="416"/>
      <c r="AO273" s="416"/>
      <c r="AP273" s="416"/>
      <c r="AQ273" s="416"/>
      <c r="AR273" s="416"/>
      <c r="AS273" s="416"/>
      <c r="AT273" s="416"/>
      <c r="AU273" s="416"/>
      <c r="AV273" s="416"/>
      <c r="AW273" s="416"/>
      <c r="AX273" s="416"/>
      <c r="AY273" s="416"/>
      <c r="AZ273" s="416"/>
      <c r="BA273" s="416">
        <f>H273</f>
        <v>1875.46875</v>
      </c>
      <c r="BB273" s="32"/>
    </row>
    <row r="274" spans="2:54">
      <c r="B274" s="1254"/>
      <c r="C274" s="1255"/>
      <c r="D274" s="411" t="s">
        <v>2107</v>
      </c>
      <c r="E274" s="411"/>
      <c r="F274" s="411" t="s">
        <v>201</v>
      </c>
      <c r="G274" s="411" t="s">
        <v>202</v>
      </c>
      <c r="H274" s="412">
        <v>7460.8760000000002</v>
      </c>
      <c r="I274" s="413" t="s">
        <v>240</v>
      </c>
      <c r="J274" s="414">
        <v>45121.527777777781</v>
      </c>
      <c r="K274" s="414"/>
      <c r="L274" s="414" t="s">
        <v>192</v>
      </c>
      <c r="M274" s="414" t="s">
        <v>192</v>
      </c>
      <c r="N274" s="413" t="str">
        <f t="shared" si="23"/>
        <v>DELAY ( 3 day 12 hour 40 minute )</v>
      </c>
      <c r="O274" s="51"/>
      <c r="P274" s="415" t="s">
        <v>551</v>
      </c>
      <c r="Q274" s="415" t="s">
        <v>551</v>
      </c>
      <c r="R274" s="415" t="s">
        <v>551</v>
      </c>
      <c r="S274" s="32"/>
      <c r="T274" s="416"/>
      <c r="U274" s="416"/>
      <c r="V274" s="416"/>
      <c r="W274" s="416"/>
      <c r="X274" s="416"/>
      <c r="Y274" s="416"/>
      <c r="Z274" s="416"/>
      <c r="AA274" s="416"/>
      <c r="AB274" s="416"/>
      <c r="AC274" s="416">
        <f>H274</f>
        <v>7460.8760000000002</v>
      </c>
      <c r="AD274" s="416"/>
      <c r="AE274" s="416"/>
      <c r="AF274" s="416"/>
      <c r="AG274" s="416"/>
      <c r="AH274" s="416"/>
      <c r="AI274" s="416"/>
      <c r="AJ274" s="32"/>
      <c r="AK274" s="416"/>
      <c r="AL274" s="416"/>
      <c r="AM274" s="416"/>
      <c r="AN274" s="416"/>
      <c r="AO274" s="416"/>
      <c r="AP274" s="416"/>
      <c r="AQ274" s="416"/>
      <c r="AR274" s="416"/>
      <c r="AS274" s="416"/>
      <c r="AT274" s="416"/>
      <c r="AU274" s="416"/>
      <c r="AV274" s="416"/>
      <c r="AW274" s="416"/>
      <c r="AX274" s="416"/>
      <c r="AY274" s="286"/>
      <c r="AZ274" s="416"/>
      <c r="BA274" s="416"/>
      <c r="BB274" s="32"/>
    </row>
    <row r="275" spans="2:54">
      <c r="B275" s="1250" t="s">
        <v>911</v>
      </c>
      <c r="C275" s="1251"/>
      <c r="D275" s="411" t="s">
        <v>2106</v>
      </c>
      <c r="E275" s="425"/>
      <c r="F275" s="411" t="s">
        <v>823</v>
      </c>
      <c r="G275" s="411" t="s">
        <v>824</v>
      </c>
      <c r="H275" s="412">
        <f>H273</f>
        <v>1875.46875</v>
      </c>
      <c r="I275" s="413" t="s">
        <v>184</v>
      </c>
      <c r="J275" s="414"/>
      <c r="K275" s="414"/>
      <c r="L275" s="414"/>
      <c r="M275" s="414"/>
      <c r="N275" s="413" t="str">
        <f t="shared" si="23"/>
        <v xml:space="preserve"> </v>
      </c>
      <c r="O275" s="51"/>
      <c r="P275" s="415"/>
      <c r="Q275" s="415"/>
      <c r="R275" s="415"/>
      <c r="S275" s="32"/>
      <c r="T275" s="416"/>
      <c r="U275" s="416"/>
      <c r="V275" s="416"/>
      <c r="W275" s="416"/>
      <c r="X275" s="416"/>
      <c r="Y275" s="416"/>
      <c r="Z275" s="416"/>
      <c r="AA275" s="416"/>
      <c r="AB275" s="416"/>
      <c r="AC275" s="416"/>
      <c r="AD275" s="416"/>
      <c r="AE275" s="416"/>
      <c r="AF275" s="416"/>
      <c r="AG275" s="416"/>
      <c r="AH275" s="416"/>
      <c r="AI275" s="416"/>
      <c r="AJ275" s="416"/>
      <c r="AK275" s="416"/>
      <c r="AL275" s="416"/>
      <c r="AM275" s="416"/>
      <c r="AN275" s="416"/>
      <c r="AO275" s="416"/>
      <c r="AP275" s="416"/>
      <c r="AQ275" s="416"/>
      <c r="AR275" s="416"/>
      <c r="AS275" s="416"/>
      <c r="AT275" s="416"/>
      <c r="AU275" s="416"/>
      <c r="AV275" s="416"/>
      <c r="AW275" s="416"/>
      <c r="AX275" s="416"/>
      <c r="AY275" s="416"/>
      <c r="AZ275" s="416"/>
      <c r="BA275" s="416">
        <f>H275</f>
        <v>1875.46875</v>
      </c>
      <c r="BB275" s="32"/>
    </row>
    <row r="276" spans="2:54">
      <c r="B276" s="1254"/>
      <c r="C276" s="1255"/>
      <c r="D276" s="411" t="s">
        <v>2108</v>
      </c>
      <c r="E276" s="411"/>
      <c r="F276" s="411" t="s">
        <v>1392</v>
      </c>
      <c r="G276" s="411" t="s">
        <v>365</v>
      </c>
      <c r="H276" s="412">
        <v>7409.69</v>
      </c>
      <c r="I276" s="413" t="s">
        <v>240</v>
      </c>
      <c r="J276" s="414">
        <v>45121.697916666664</v>
      </c>
      <c r="K276" s="414"/>
      <c r="L276" s="414" t="s">
        <v>192</v>
      </c>
      <c r="M276" s="414" t="s">
        <v>192</v>
      </c>
      <c r="N276" s="413" t="str">
        <f t="shared" si="23"/>
        <v>DELAY ( 3 day 16 hour 45 minute )</v>
      </c>
      <c r="O276" s="51"/>
      <c r="P276" s="415" t="s">
        <v>551</v>
      </c>
      <c r="Q276" s="415" t="s">
        <v>551</v>
      </c>
      <c r="R276" s="415" t="s">
        <v>551</v>
      </c>
      <c r="S276" s="32"/>
      <c r="T276" s="416"/>
      <c r="U276" s="416"/>
      <c r="V276" s="416"/>
      <c r="W276" s="416"/>
      <c r="X276" s="416"/>
      <c r="Y276" s="416"/>
      <c r="Z276" s="416"/>
      <c r="AA276" s="416"/>
      <c r="AB276" s="416"/>
      <c r="AC276" s="416">
        <f>H276</f>
        <v>7409.69</v>
      </c>
      <c r="AD276" s="416"/>
      <c r="AE276" s="416"/>
      <c r="AF276" s="416"/>
      <c r="AG276" s="416"/>
      <c r="AH276" s="416"/>
      <c r="AI276" s="416"/>
      <c r="AJ276" s="416"/>
      <c r="AK276" s="416"/>
      <c r="AL276" s="416"/>
      <c r="AM276" s="416"/>
      <c r="AN276" s="416"/>
      <c r="AO276" s="416"/>
      <c r="AP276" s="416"/>
      <c r="AQ276" s="416"/>
      <c r="AR276" s="416"/>
      <c r="AS276" s="416"/>
      <c r="AT276" s="416"/>
      <c r="AU276" s="416"/>
      <c r="AV276" s="416"/>
      <c r="AW276" s="416"/>
      <c r="AX276" s="416"/>
      <c r="AY276" s="416"/>
      <c r="AZ276" s="416"/>
      <c r="BA276" s="416"/>
      <c r="BB276" s="32"/>
    </row>
    <row r="277" spans="2:54">
      <c r="B277" s="1250" t="s">
        <v>911</v>
      </c>
      <c r="C277" s="1251"/>
      <c r="D277" s="411" t="s">
        <v>2106</v>
      </c>
      <c r="E277" s="425"/>
      <c r="F277" s="411" t="s">
        <v>823</v>
      </c>
      <c r="G277" s="411" t="s">
        <v>824</v>
      </c>
      <c r="H277" s="412">
        <f>H275</f>
        <v>1875.46875</v>
      </c>
      <c r="I277" s="413" t="s">
        <v>184</v>
      </c>
      <c r="J277" s="414"/>
      <c r="K277" s="414"/>
      <c r="L277" s="414"/>
      <c r="M277" s="414"/>
      <c r="N277" s="413" t="str">
        <f t="shared" si="23"/>
        <v xml:space="preserve"> </v>
      </c>
      <c r="O277" s="51"/>
      <c r="P277" s="415"/>
      <c r="Q277" s="415"/>
      <c r="R277" s="415"/>
      <c r="S277" s="32"/>
      <c r="T277" s="416"/>
      <c r="U277" s="416"/>
      <c r="V277" s="416"/>
      <c r="W277" s="416"/>
      <c r="X277" s="416"/>
      <c r="Y277" s="416"/>
      <c r="Z277" s="416"/>
      <c r="AA277" s="416"/>
      <c r="AB277" s="416"/>
      <c r="AC277" s="416"/>
      <c r="AD277" s="416"/>
      <c r="AE277" s="416"/>
      <c r="AF277" s="416"/>
      <c r="AG277" s="416"/>
      <c r="AH277" s="416"/>
      <c r="AI277" s="416"/>
      <c r="AJ277" s="416"/>
      <c r="AK277" s="416"/>
      <c r="AL277" s="416"/>
      <c r="AM277" s="416"/>
      <c r="AN277" s="416"/>
      <c r="AO277" s="416"/>
      <c r="AP277" s="416"/>
      <c r="AQ277" s="416"/>
      <c r="AR277" s="416"/>
      <c r="AS277" s="416"/>
      <c r="AT277" s="416"/>
      <c r="AU277" s="416"/>
      <c r="AV277" s="416"/>
      <c r="AW277" s="416"/>
      <c r="AX277" s="416"/>
      <c r="AY277" s="416"/>
      <c r="AZ277" s="416"/>
      <c r="BA277" s="416">
        <f>H277</f>
        <v>1875.46875</v>
      </c>
      <c r="BB277" s="32"/>
    </row>
    <row r="278" spans="2:54">
      <c r="B278" s="1254"/>
      <c r="C278" s="1255"/>
      <c r="D278" s="411" t="s">
        <v>2109</v>
      </c>
      <c r="E278" s="411"/>
      <c r="F278" s="411" t="s">
        <v>323</v>
      </c>
      <c r="G278" s="411" t="s">
        <v>324</v>
      </c>
      <c r="H278" s="412">
        <v>7528.6670000000004</v>
      </c>
      <c r="I278" s="413" t="s">
        <v>240</v>
      </c>
      <c r="J278" s="414">
        <v>45121.6875</v>
      </c>
      <c r="K278" s="414"/>
      <c r="L278" s="414" t="s">
        <v>192</v>
      </c>
      <c r="M278" s="414" t="s">
        <v>192</v>
      </c>
      <c r="N278" s="413" t="str">
        <f t="shared" si="23"/>
        <v>DELAY ( 3 day 16 hour 30 minute )</v>
      </c>
      <c r="O278" s="51"/>
      <c r="P278" s="415" t="s">
        <v>551</v>
      </c>
      <c r="Q278" s="415" t="s">
        <v>551</v>
      </c>
      <c r="R278" s="415" t="s">
        <v>551</v>
      </c>
      <c r="S278" s="32"/>
      <c r="T278" s="416"/>
      <c r="U278" s="416"/>
      <c r="V278" s="416"/>
      <c r="W278" s="416"/>
      <c r="X278" s="416"/>
      <c r="Y278" s="416"/>
      <c r="Z278" s="416"/>
      <c r="AA278" s="416"/>
      <c r="AB278" s="416"/>
      <c r="AC278" s="416">
        <f>H278</f>
        <v>7528.6670000000004</v>
      </c>
      <c r="AD278" s="416"/>
      <c r="AE278" s="416"/>
      <c r="AF278" s="416"/>
      <c r="AG278" s="416"/>
      <c r="AH278" s="416"/>
      <c r="AI278" s="416"/>
      <c r="AJ278" s="32"/>
      <c r="AK278" s="416"/>
      <c r="AL278" s="416"/>
      <c r="AM278" s="416"/>
      <c r="AN278" s="416"/>
      <c r="AO278" s="416"/>
      <c r="AP278" s="416"/>
      <c r="AQ278" s="416"/>
      <c r="AR278" s="416"/>
      <c r="AS278" s="416"/>
      <c r="AT278" s="416"/>
      <c r="AU278" s="416"/>
      <c r="AV278" s="416"/>
      <c r="AW278" s="416"/>
      <c r="AX278" s="416"/>
      <c r="AY278" s="286"/>
      <c r="AZ278" s="416"/>
      <c r="BA278" s="416"/>
      <c r="BB278" s="32"/>
    </row>
    <row r="279" spans="2:54">
      <c r="B279" s="1250" t="s">
        <v>911</v>
      </c>
      <c r="C279" s="1251"/>
      <c r="D279" s="411" t="s">
        <v>2106</v>
      </c>
      <c r="E279" s="425"/>
      <c r="F279" s="411" t="s">
        <v>823</v>
      </c>
      <c r="G279" s="411" t="s">
        <v>824</v>
      </c>
      <c r="H279" s="412">
        <f>H277</f>
        <v>1875.46875</v>
      </c>
      <c r="I279" s="413" t="s">
        <v>184</v>
      </c>
      <c r="J279" s="414"/>
      <c r="K279" s="414"/>
      <c r="L279" s="414"/>
      <c r="M279" s="414"/>
      <c r="N279" s="413" t="str">
        <f t="shared" si="23"/>
        <v xml:space="preserve"> </v>
      </c>
      <c r="O279" s="51"/>
      <c r="P279" s="415"/>
      <c r="Q279" s="415"/>
      <c r="R279" s="415"/>
      <c r="S279" s="32"/>
      <c r="T279" s="416"/>
      <c r="U279" s="416"/>
      <c r="V279" s="416"/>
      <c r="W279" s="416"/>
      <c r="X279" s="416"/>
      <c r="Y279" s="416"/>
      <c r="Z279" s="416"/>
      <c r="AA279" s="416"/>
      <c r="AB279" s="416"/>
      <c r="AC279" s="416"/>
      <c r="AD279" s="416"/>
      <c r="AE279" s="416"/>
      <c r="AF279" s="416"/>
      <c r="AG279" s="416"/>
      <c r="AH279" s="416"/>
      <c r="AI279" s="416"/>
      <c r="AJ279" s="416"/>
      <c r="AK279" s="416"/>
      <c r="AL279" s="416"/>
      <c r="AM279" s="416"/>
      <c r="AN279" s="416"/>
      <c r="AO279" s="416"/>
      <c r="AP279" s="416"/>
      <c r="AQ279" s="416"/>
      <c r="AR279" s="416"/>
      <c r="AS279" s="416"/>
      <c r="AT279" s="416"/>
      <c r="AU279" s="416"/>
      <c r="AV279" s="416"/>
      <c r="AW279" s="416"/>
      <c r="AX279" s="416"/>
      <c r="AY279" s="416"/>
      <c r="AZ279" s="416"/>
      <c r="BA279" s="416">
        <f>H279</f>
        <v>1875.46875</v>
      </c>
      <c r="BB279" s="32"/>
    </row>
    <row r="280" spans="2:54">
      <c r="B280" s="1254"/>
      <c r="C280" s="1255"/>
      <c r="D280" s="411" t="s">
        <v>2110</v>
      </c>
      <c r="E280" s="411"/>
      <c r="F280" s="411" t="s">
        <v>1483</v>
      </c>
      <c r="G280" s="411" t="s">
        <v>258</v>
      </c>
      <c r="H280" s="412">
        <v>7505.1030000000001</v>
      </c>
      <c r="I280" s="413" t="s">
        <v>240</v>
      </c>
      <c r="J280" s="414">
        <v>45122.4375</v>
      </c>
      <c r="K280" s="414"/>
      <c r="L280" s="414" t="s">
        <v>192</v>
      </c>
      <c r="M280" s="414" t="s">
        <v>192</v>
      </c>
      <c r="N280" s="413" t="str">
        <f t="shared" si="23"/>
        <v>DELAY ( 4 day 10 hour 30 minute )</v>
      </c>
      <c r="O280" s="51"/>
      <c r="P280" s="415" t="s">
        <v>551</v>
      </c>
      <c r="Q280" s="415" t="s">
        <v>551</v>
      </c>
      <c r="R280" s="415" t="s">
        <v>551</v>
      </c>
      <c r="S280" s="32"/>
      <c r="T280" s="416"/>
      <c r="U280" s="416"/>
      <c r="V280" s="416"/>
      <c r="W280" s="416"/>
      <c r="X280" s="416"/>
      <c r="Y280" s="416"/>
      <c r="Z280" s="416"/>
      <c r="AA280" s="416"/>
      <c r="AB280" s="416"/>
      <c r="AC280" s="416">
        <f t="shared" ref="AC280:AC286" si="24">H280</f>
        <v>7505.1030000000001</v>
      </c>
      <c r="AD280" s="416"/>
      <c r="AE280" s="416"/>
      <c r="AF280" s="416"/>
      <c r="AG280" s="416"/>
      <c r="AH280" s="416"/>
      <c r="AI280" s="416"/>
      <c r="AJ280" s="416"/>
      <c r="AK280" s="416"/>
      <c r="AL280" s="416"/>
      <c r="AM280" s="416"/>
      <c r="AN280" s="416"/>
      <c r="AO280" s="416"/>
      <c r="AP280" s="416"/>
      <c r="AQ280" s="416"/>
      <c r="AR280" s="416"/>
      <c r="AS280" s="416"/>
      <c r="AT280" s="416"/>
      <c r="AU280" s="416"/>
      <c r="AV280" s="416"/>
      <c r="AW280" s="416"/>
      <c r="AX280" s="416"/>
      <c r="AY280" s="416"/>
      <c r="AZ280" s="416"/>
      <c r="BA280" s="416"/>
      <c r="BB280" s="32"/>
    </row>
    <row r="281" spans="2:54">
      <c r="B281" s="1250" t="s">
        <v>653</v>
      </c>
      <c r="C281" s="1251"/>
      <c r="D281" s="411" t="s">
        <v>2111</v>
      </c>
      <c r="E281" s="411"/>
      <c r="F281" s="411" t="s">
        <v>1240</v>
      </c>
      <c r="G281" s="411" t="s">
        <v>1241</v>
      </c>
      <c r="H281" s="412">
        <v>7727.982</v>
      </c>
      <c r="I281" s="413" t="s">
        <v>235</v>
      </c>
      <c r="J281" s="414">
        <v>45123.041666666664</v>
      </c>
      <c r="K281" s="414"/>
      <c r="L281" s="414" t="s">
        <v>192</v>
      </c>
      <c r="M281" s="414" t="s">
        <v>192</v>
      </c>
      <c r="N281" s="413" t="str">
        <f t="shared" si="23"/>
        <v>DELAY ( 5 day 1 hour 0 minute )</v>
      </c>
      <c r="O281" s="51"/>
      <c r="P281" s="415" t="s">
        <v>551</v>
      </c>
      <c r="Q281" s="415" t="s">
        <v>551</v>
      </c>
      <c r="R281" s="415" t="s">
        <v>551</v>
      </c>
      <c r="S281" s="32"/>
      <c r="T281" s="416"/>
      <c r="U281" s="416"/>
      <c r="V281" s="416"/>
      <c r="W281" s="416"/>
      <c r="X281" s="416"/>
      <c r="Y281" s="416"/>
      <c r="Z281" s="416"/>
      <c r="AA281" s="416"/>
      <c r="AB281" s="416">
        <f>H281</f>
        <v>7727.982</v>
      </c>
      <c r="AC281" s="416"/>
      <c r="AD281" s="416"/>
      <c r="AE281" s="416"/>
      <c r="AF281" s="416"/>
      <c r="AG281" s="416"/>
      <c r="AH281" s="416"/>
      <c r="AI281" s="416"/>
      <c r="AJ281" s="416"/>
      <c r="AK281" s="416"/>
      <c r="AL281" s="416"/>
      <c r="AM281" s="416"/>
      <c r="AN281" s="416"/>
      <c r="AO281" s="416"/>
      <c r="AP281" s="416"/>
      <c r="AQ281" s="416"/>
      <c r="AR281" s="416"/>
      <c r="AS281" s="416"/>
      <c r="AT281" s="416"/>
      <c r="AU281" s="416"/>
      <c r="AV281" s="416"/>
      <c r="AW281" s="416"/>
      <c r="AX281" s="416"/>
      <c r="AY281" s="416"/>
      <c r="AZ281" s="416"/>
      <c r="BA281" s="416"/>
      <c r="BB281" s="32"/>
    </row>
    <row r="282" spans="2:54">
      <c r="B282" s="1254"/>
      <c r="C282" s="1255"/>
      <c r="D282" s="411" t="s">
        <v>2112</v>
      </c>
      <c r="E282" s="411"/>
      <c r="F282" s="411" t="s">
        <v>695</v>
      </c>
      <c r="G282" s="411" t="s">
        <v>281</v>
      </c>
      <c r="H282" s="412">
        <v>7594.4939999999997</v>
      </c>
      <c r="I282" s="413" t="s">
        <v>1164</v>
      </c>
      <c r="J282" s="414">
        <v>45122.979166666664</v>
      </c>
      <c r="K282" s="414"/>
      <c r="L282" s="414" t="s">
        <v>192</v>
      </c>
      <c r="M282" s="414" t="s">
        <v>192</v>
      </c>
      <c r="N282" s="413" t="str">
        <f t="shared" si="23"/>
        <v>DELAY ( 4 day 23 hour 30 minute )</v>
      </c>
      <c r="O282" s="51"/>
      <c r="P282" s="415" t="s">
        <v>551</v>
      </c>
      <c r="Q282" s="415" t="s">
        <v>551</v>
      </c>
      <c r="R282" s="415" t="s">
        <v>551</v>
      </c>
      <c r="S282" s="32"/>
      <c r="T282" s="416"/>
      <c r="U282" s="416"/>
      <c r="V282" s="416"/>
      <c r="W282" s="416"/>
      <c r="X282" s="416">
        <f>H282</f>
        <v>7594.4939999999997</v>
      </c>
      <c r="Y282" s="416"/>
      <c r="Z282" s="416"/>
      <c r="AA282" s="416"/>
      <c r="AB282" s="416"/>
      <c r="AC282" s="416"/>
      <c r="AD282" s="416"/>
      <c r="AE282" s="416"/>
      <c r="AF282" s="416"/>
      <c r="AG282" s="416"/>
      <c r="AH282" s="416"/>
      <c r="AI282" s="416"/>
      <c r="AJ282" s="416"/>
      <c r="AK282" s="416"/>
      <c r="AL282" s="416"/>
      <c r="AM282" s="416"/>
      <c r="AN282" s="416"/>
      <c r="AO282" s="416"/>
      <c r="AP282" s="416"/>
      <c r="AQ282" s="416"/>
      <c r="AR282" s="416"/>
      <c r="AS282" s="416"/>
      <c r="AT282" s="416"/>
      <c r="AU282" s="416"/>
      <c r="AV282" s="416"/>
      <c r="AW282" s="416"/>
      <c r="AX282" s="416"/>
      <c r="AY282" s="416"/>
      <c r="AZ282" s="416"/>
      <c r="BA282" s="416"/>
      <c r="BB282" s="32"/>
    </row>
    <row r="283" spans="2:54">
      <c r="B283" s="1250" t="s">
        <v>1401</v>
      </c>
      <c r="C283" s="1251"/>
      <c r="D283" s="411" t="s">
        <v>2113</v>
      </c>
      <c r="E283" s="425"/>
      <c r="F283" s="411" t="s">
        <v>453</v>
      </c>
      <c r="G283" s="411" t="s">
        <v>454</v>
      </c>
      <c r="H283" s="412">
        <f>7443.167/3</f>
        <v>2481.0556666666666</v>
      </c>
      <c r="I283" s="413" t="s">
        <v>181</v>
      </c>
      <c r="J283" s="414">
        <v>45123.4375</v>
      </c>
      <c r="K283" s="414"/>
      <c r="L283" s="414" t="s">
        <v>192</v>
      </c>
      <c r="M283" s="414" t="s">
        <v>192</v>
      </c>
      <c r="N283" s="413" t="str">
        <f t="shared" si="23"/>
        <v>DELAY ( 5 day 10 hour 30 minute )</v>
      </c>
      <c r="O283" s="51"/>
      <c r="P283" s="415" t="s">
        <v>551</v>
      </c>
      <c r="Q283" s="415" t="s">
        <v>551</v>
      </c>
      <c r="R283" s="415" t="s">
        <v>551</v>
      </c>
      <c r="S283" s="32"/>
      <c r="T283" s="416"/>
      <c r="U283" s="416"/>
      <c r="V283" s="416"/>
      <c r="W283" s="416"/>
      <c r="X283" s="416"/>
      <c r="Y283" s="416"/>
      <c r="Z283" s="416"/>
      <c r="AA283" s="416"/>
      <c r="AB283" s="416"/>
      <c r="AC283" s="416"/>
      <c r="AD283" s="416"/>
      <c r="AE283" s="416"/>
      <c r="AF283" s="416"/>
      <c r="AG283" s="416"/>
      <c r="AH283" s="416"/>
      <c r="AI283" s="416"/>
      <c r="AJ283" s="416"/>
      <c r="AK283" s="416"/>
      <c r="AL283" s="416"/>
      <c r="AM283" s="416"/>
      <c r="AN283" s="416"/>
      <c r="AO283" s="416"/>
      <c r="AP283" s="416"/>
      <c r="AQ283" s="416"/>
      <c r="AR283" s="416"/>
      <c r="AS283" s="416"/>
      <c r="AT283" s="416"/>
      <c r="AU283" s="416">
        <f>H283</f>
        <v>2481.0556666666666</v>
      </c>
      <c r="AV283" s="416"/>
      <c r="AW283" s="416"/>
      <c r="AX283" s="416"/>
      <c r="AY283" s="416"/>
      <c r="AZ283" s="416"/>
      <c r="BA283" s="416"/>
      <c r="BB283" s="32"/>
    </row>
    <row r="284" spans="2:54">
      <c r="B284" s="1254"/>
      <c r="C284" s="1255"/>
      <c r="D284" s="411" t="s">
        <v>2114</v>
      </c>
      <c r="E284" s="411"/>
      <c r="F284" s="411" t="s">
        <v>301</v>
      </c>
      <c r="G284" s="411" t="s">
        <v>359</v>
      </c>
      <c r="H284" s="412">
        <v>9216.5120000000006</v>
      </c>
      <c r="I284" s="413" t="s">
        <v>240</v>
      </c>
      <c r="J284" s="414">
        <v>45122.703472222223</v>
      </c>
      <c r="K284" s="414"/>
      <c r="L284" s="414" t="s">
        <v>192</v>
      </c>
      <c r="M284" s="414" t="s">
        <v>192</v>
      </c>
      <c r="N284" s="413" t="str">
        <f t="shared" si="23"/>
        <v>DELAY ( 4 day 16 hour 53 minute )</v>
      </c>
      <c r="O284" s="51"/>
      <c r="P284" s="415" t="s">
        <v>551</v>
      </c>
      <c r="Q284" s="415" t="s">
        <v>551</v>
      </c>
      <c r="R284" s="415" t="s">
        <v>551</v>
      </c>
      <c r="S284" s="32"/>
      <c r="T284" s="416"/>
      <c r="U284" s="416"/>
      <c r="V284" s="416"/>
      <c r="W284" s="416"/>
      <c r="X284" s="416"/>
      <c r="Y284" s="416"/>
      <c r="Z284" s="416"/>
      <c r="AA284" s="416"/>
      <c r="AB284" s="416"/>
      <c r="AC284" s="416">
        <f t="shared" si="24"/>
        <v>9216.5120000000006</v>
      </c>
      <c r="AD284" s="416"/>
      <c r="AE284" s="416"/>
      <c r="AF284" s="416"/>
      <c r="AG284" s="416"/>
      <c r="AH284" s="416"/>
      <c r="AI284" s="416"/>
      <c r="AJ284" s="32"/>
      <c r="AK284" s="416"/>
      <c r="AL284" s="416"/>
      <c r="AM284" s="416"/>
      <c r="AN284" s="416"/>
      <c r="AO284" s="416"/>
      <c r="AP284" s="416"/>
      <c r="AQ284" s="416"/>
      <c r="AR284" s="416"/>
      <c r="AS284" s="416"/>
      <c r="AT284" s="416"/>
      <c r="AU284" s="416"/>
      <c r="AV284" s="416"/>
      <c r="AW284" s="416"/>
      <c r="AX284" s="416"/>
      <c r="AY284" s="286"/>
      <c r="AZ284" s="416"/>
      <c r="BA284" s="416"/>
      <c r="BB284" s="32"/>
    </row>
    <row r="285" spans="2:54">
      <c r="B285" s="1250" t="s">
        <v>650</v>
      </c>
      <c r="C285" s="1251"/>
      <c r="D285" s="411" t="s">
        <v>2113</v>
      </c>
      <c r="E285" s="425"/>
      <c r="F285" s="411" t="s">
        <v>453</v>
      </c>
      <c r="G285" s="411" t="s">
        <v>454</v>
      </c>
      <c r="H285" s="412">
        <f>H283</f>
        <v>2481.0556666666666</v>
      </c>
      <c r="I285" s="413" t="s">
        <v>181</v>
      </c>
      <c r="J285" s="414"/>
      <c r="K285" s="414"/>
      <c r="L285" s="414"/>
      <c r="M285" s="414"/>
      <c r="N285" s="413" t="str">
        <f t="shared" si="23"/>
        <v xml:space="preserve"> </v>
      </c>
      <c r="O285" s="51"/>
      <c r="P285" s="415"/>
      <c r="Q285" s="415"/>
      <c r="R285" s="415"/>
      <c r="S285" s="32"/>
      <c r="T285" s="416"/>
      <c r="U285" s="416"/>
      <c r="V285" s="416"/>
      <c r="W285" s="416"/>
      <c r="X285" s="416"/>
      <c r="Y285" s="416"/>
      <c r="Z285" s="416"/>
      <c r="AA285" s="416"/>
      <c r="AB285" s="416"/>
      <c r="AC285" s="416"/>
      <c r="AD285" s="416"/>
      <c r="AE285" s="416"/>
      <c r="AF285" s="416"/>
      <c r="AG285" s="416"/>
      <c r="AH285" s="416"/>
      <c r="AI285" s="416"/>
      <c r="AJ285" s="416"/>
      <c r="AK285" s="416"/>
      <c r="AL285" s="416"/>
      <c r="AM285" s="416"/>
      <c r="AN285" s="416"/>
      <c r="AO285" s="416"/>
      <c r="AP285" s="416"/>
      <c r="AQ285" s="416"/>
      <c r="AR285" s="416"/>
      <c r="AS285" s="416"/>
      <c r="AT285" s="416"/>
      <c r="AU285" s="416">
        <f>H285</f>
        <v>2481.0556666666666</v>
      </c>
      <c r="AV285" s="416"/>
      <c r="AW285" s="416"/>
      <c r="AX285" s="416"/>
      <c r="AY285" s="416"/>
      <c r="AZ285" s="416"/>
      <c r="BA285" s="416"/>
      <c r="BB285" s="32"/>
    </row>
    <row r="286" spans="2:54">
      <c r="B286" s="1254"/>
      <c r="C286" s="1255"/>
      <c r="D286" s="411" t="s">
        <v>2115</v>
      </c>
      <c r="E286" s="411"/>
      <c r="F286" s="411" t="s">
        <v>774</v>
      </c>
      <c r="G286" s="411" t="s">
        <v>423</v>
      </c>
      <c r="H286" s="412">
        <v>7598.5379999999996</v>
      </c>
      <c r="I286" s="413" t="s">
        <v>240</v>
      </c>
      <c r="J286" s="414">
        <v>45123.666666666664</v>
      </c>
      <c r="K286" s="414"/>
      <c r="L286" s="414" t="s">
        <v>192</v>
      </c>
      <c r="M286" s="414" t="s">
        <v>192</v>
      </c>
      <c r="N286" s="413" t="str">
        <f t="shared" si="23"/>
        <v>DELAY ( 5 day 16 hour 0 minute )</v>
      </c>
      <c r="O286" s="51"/>
      <c r="P286" s="415" t="s">
        <v>551</v>
      </c>
      <c r="Q286" s="415" t="s">
        <v>551</v>
      </c>
      <c r="R286" s="415" t="s">
        <v>551</v>
      </c>
      <c r="S286" s="32"/>
      <c r="T286" s="416"/>
      <c r="U286" s="416"/>
      <c r="V286" s="416"/>
      <c r="W286" s="416"/>
      <c r="X286" s="416"/>
      <c r="Y286" s="416"/>
      <c r="Z286" s="416"/>
      <c r="AA286" s="416"/>
      <c r="AB286" s="416"/>
      <c r="AC286" s="416">
        <f t="shared" si="24"/>
        <v>7598.5379999999996</v>
      </c>
      <c r="AD286" s="416"/>
      <c r="AE286" s="416"/>
      <c r="AF286" s="416"/>
      <c r="AG286" s="416"/>
      <c r="AH286" s="416"/>
      <c r="AI286" s="416"/>
      <c r="AJ286" s="416"/>
      <c r="AK286" s="416"/>
      <c r="AL286" s="416"/>
      <c r="AM286" s="416"/>
      <c r="AN286" s="416"/>
      <c r="AO286" s="416"/>
      <c r="AP286" s="416"/>
      <c r="AQ286" s="416"/>
      <c r="AR286" s="416"/>
      <c r="AS286" s="416"/>
      <c r="AT286" s="416"/>
      <c r="AU286" s="416"/>
      <c r="AV286" s="416"/>
      <c r="AW286" s="416"/>
      <c r="AX286" s="416"/>
      <c r="AY286" s="416"/>
      <c r="AZ286" s="416"/>
      <c r="BA286" s="416"/>
      <c r="BB286" s="32"/>
    </row>
    <row r="287" spans="2:54">
      <c r="B287" s="1250" t="s">
        <v>650</v>
      </c>
      <c r="C287" s="1251"/>
      <c r="D287" s="411" t="s">
        <v>2113</v>
      </c>
      <c r="E287" s="425"/>
      <c r="F287" s="411" t="s">
        <v>453</v>
      </c>
      <c r="G287" s="411" t="s">
        <v>454</v>
      </c>
      <c r="H287" s="412">
        <f>H285</f>
        <v>2481.0556666666666</v>
      </c>
      <c r="I287" s="413" t="s">
        <v>181</v>
      </c>
      <c r="J287" s="414"/>
      <c r="K287" s="414"/>
      <c r="L287" s="414"/>
      <c r="M287" s="414"/>
      <c r="N287" s="413" t="str">
        <f t="shared" si="23"/>
        <v xml:space="preserve"> </v>
      </c>
      <c r="O287" s="51"/>
      <c r="P287" s="415"/>
      <c r="Q287" s="415"/>
      <c r="R287" s="415"/>
      <c r="S287" s="32"/>
      <c r="T287" s="416"/>
      <c r="U287" s="416"/>
      <c r="V287" s="416"/>
      <c r="W287" s="416"/>
      <c r="X287" s="416"/>
      <c r="Y287" s="416"/>
      <c r="Z287" s="416"/>
      <c r="AA287" s="416"/>
      <c r="AB287" s="416"/>
      <c r="AC287" s="416"/>
      <c r="AD287" s="416"/>
      <c r="AE287" s="416"/>
      <c r="AF287" s="416"/>
      <c r="AG287" s="416"/>
      <c r="AH287" s="416"/>
      <c r="AI287" s="416"/>
      <c r="AJ287" s="416"/>
      <c r="AK287" s="416"/>
      <c r="AL287" s="416"/>
      <c r="AM287" s="416"/>
      <c r="AN287" s="416"/>
      <c r="AO287" s="416"/>
      <c r="AP287" s="416"/>
      <c r="AQ287" s="416"/>
      <c r="AR287" s="416"/>
      <c r="AS287" s="416"/>
      <c r="AT287" s="416"/>
      <c r="AU287" s="416">
        <f>H287</f>
        <v>2481.0556666666666</v>
      </c>
      <c r="AV287" s="416"/>
      <c r="AW287" s="416"/>
      <c r="AX287" s="416"/>
      <c r="AY287" s="416"/>
      <c r="AZ287" s="416"/>
      <c r="BA287" s="416"/>
      <c r="BB287" s="32"/>
    </row>
    <row r="288" spans="2:54">
      <c r="B288" s="1254"/>
      <c r="C288" s="1255"/>
      <c r="D288" s="411" t="s">
        <v>2116</v>
      </c>
      <c r="E288" s="411"/>
      <c r="F288" s="411" t="s">
        <v>390</v>
      </c>
      <c r="G288" s="411" t="s">
        <v>391</v>
      </c>
      <c r="H288" s="412">
        <v>7360.0240000000003</v>
      </c>
      <c r="I288" s="413" t="s">
        <v>2117</v>
      </c>
      <c r="J288" s="414">
        <v>45124.402777777781</v>
      </c>
      <c r="K288" s="414"/>
      <c r="L288" s="414" t="s">
        <v>192</v>
      </c>
      <c r="M288" s="414" t="s">
        <v>192</v>
      </c>
      <c r="N288" s="413" t="str">
        <f t="shared" si="23"/>
        <v>DELAY ( 6 day 9 hour 40 minute )</v>
      </c>
      <c r="O288" s="51"/>
      <c r="P288" s="415" t="s">
        <v>551</v>
      </c>
      <c r="Q288" s="415" t="s">
        <v>551</v>
      </c>
      <c r="R288" s="415" t="s">
        <v>551</v>
      </c>
      <c r="S288" s="32"/>
      <c r="T288" s="416"/>
      <c r="U288" s="416"/>
      <c r="V288" s="416"/>
      <c r="W288" s="416"/>
      <c r="X288" s="416"/>
      <c r="Y288" s="416"/>
      <c r="Z288" s="416"/>
      <c r="AA288" s="416"/>
      <c r="AB288" s="416">
        <f>H288*0.6</f>
        <v>4416.0144</v>
      </c>
      <c r="AC288" s="416">
        <f>H288*0.4</f>
        <v>2944.0096000000003</v>
      </c>
      <c r="AD288" s="416"/>
      <c r="AE288" s="416"/>
      <c r="AF288" s="416"/>
      <c r="AG288" s="416"/>
      <c r="AH288" s="416"/>
      <c r="AI288" s="416"/>
      <c r="AJ288" s="32"/>
      <c r="AK288" s="416"/>
      <c r="AL288" s="416"/>
      <c r="AM288" s="416"/>
      <c r="AN288" s="416"/>
      <c r="AO288" s="416"/>
      <c r="AP288" s="416"/>
      <c r="AQ288" s="416"/>
      <c r="AR288" s="416"/>
      <c r="AS288" s="416"/>
      <c r="AT288" s="416"/>
      <c r="AU288" s="416"/>
      <c r="AV288" s="416"/>
      <c r="AW288" s="416"/>
      <c r="AX288" s="416"/>
      <c r="AY288" s="286"/>
      <c r="AZ288" s="416"/>
      <c r="BA288" s="416"/>
      <c r="BB288" s="32"/>
    </row>
    <row r="289" spans="2:54">
      <c r="B289" s="1256" t="s">
        <v>548</v>
      </c>
      <c r="C289" s="1257"/>
      <c r="D289" s="411" t="s">
        <v>2118</v>
      </c>
      <c r="E289" s="411"/>
      <c r="F289" s="411" t="s">
        <v>295</v>
      </c>
      <c r="G289" s="411" t="s">
        <v>296</v>
      </c>
      <c r="H289" s="412">
        <f>9987.583-2814.927</f>
        <v>7172.6560000000009</v>
      </c>
      <c r="I289" s="413" t="s">
        <v>235</v>
      </c>
      <c r="J289" s="414">
        <v>45123.375</v>
      </c>
      <c r="K289" s="414"/>
      <c r="L289" s="414" t="s">
        <v>192</v>
      </c>
      <c r="M289" s="414" t="s">
        <v>192</v>
      </c>
      <c r="N289" s="413" t="str">
        <f t="shared" si="23"/>
        <v>DELAY ( 5 day 9 hour 0 minute )</v>
      </c>
      <c r="O289" s="51"/>
      <c r="P289" s="415" t="s">
        <v>551</v>
      </c>
      <c r="Q289" s="415" t="s">
        <v>551</v>
      </c>
      <c r="R289" s="415" t="s">
        <v>551</v>
      </c>
      <c r="S289" s="32"/>
      <c r="T289" s="416"/>
      <c r="U289" s="416"/>
      <c r="V289" s="416"/>
      <c r="W289" s="416"/>
      <c r="X289" s="416"/>
      <c r="Y289" s="416"/>
      <c r="Z289" s="416"/>
      <c r="AA289" s="416"/>
      <c r="AB289" s="416">
        <f>H289-H293</f>
        <v>5086.9050000000007</v>
      </c>
      <c r="AC289" s="416"/>
      <c r="AD289" s="416"/>
      <c r="AE289" s="416"/>
      <c r="AF289" s="416"/>
      <c r="AG289" s="416"/>
      <c r="AH289" s="416"/>
      <c r="AI289" s="416"/>
      <c r="AJ289" s="416"/>
      <c r="AK289" s="416"/>
      <c r="AL289" s="416"/>
      <c r="AM289" s="416"/>
      <c r="AN289" s="416"/>
      <c r="AO289" s="416"/>
      <c r="AP289" s="416"/>
      <c r="AQ289" s="416"/>
      <c r="AR289" s="416"/>
      <c r="AS289" s="416"/>
      <c r="AT289" s="416"/>
      <c r="AU289" s="416"/>
      <c r="AV289" s="416"/>
      <c r="AW289" s="416"/>
      <c r="AX289" s="416"/>
      <c r="AY289" s="416"/>
      <c r="AZ289" s="416"/>
      <c r="BA289" s="416"/>
      <c r="BB289" s="32"/>
    </row>
    <row r="290" spans="2:54">
      <c r="B290" s="1258" t="s">
        <v>556</v>
      </c>
      <c r="C290" s="1259"/>
      <c r="D290" s="1259"/>
      <c r="E290" s="1259"/>
      <c r="F290" s="1259"/>
      <c r="G290" s="1260"/>
      <c r="H290" s="417">
        <f>SUM(H270:H289)</f>
        <v>105300.00000000003</v>
      </c>
      <c r="I290" s="388"/>
      <c r="J290" s="293"/>
      <c r="K290" s="293"/>
      <c r="L290" s="293"/>
      <c r="M290" s="389"/>
      <c r="N290" s="413" t="str">
        <f t="shared" si="23"/>
        <v xml:space="preserve"> </v>
      </c>
      <c r="O290" s="47"/>
      <c r="P290" s="418"/>
      <c r="Q290" s="418"/>
      <c r="R290" s="418"/>
      <c r="S290" s="32"/>
      <c r="T290" s="1262"/>
      <c r="U290" s="1263"/>
      <c r="V290" s="1263"/>
      <c r="W290" s="1263"/>
      <c r="X290" s="1263"/>
      <c r="Y290" s="1263"/>
      <c r="Z290" s="1263"/>
      <c r="AA290" s="1263"/>
      <c r="AB290" s="1263"/>
      <c r="AC290" s="1263"/>
      <c r="AD290" s="1263"/>
      <c r="AE290" s="1263"/>
      <c r="AF290" s="1263"/>
      <c r="AG290" s="1263"/>
      <c r="AH290" s="1263"/>
      <c r="AI290" s="1263"/>
      <c r="AJ290" s="1263"/>
      <c r="AK290" s="1263"/>
      <c r="AL290" s="1263"/>
      <c r="AM290" s="1263"/>
      <c r="AN290" s="1263"/>
      <c r="AO290" s="1263"/>
      <c r="AP290" s="1263"/>
      <c r="AQ290" s="1263"/>
      <c r="AR290" s="1263"/>
      <c r="AS290" s="1263"/>
      <c r="AT290" s="1263"/>
      <c r="AU290" s="1263"/>
      <c r="AV290" s="1263"/>
      <c r="AW290" s="1263"/>
      <c r="AX290" s="1263"/>
      <c r="AY290" s="1263"/>
      <c r="AZ290" s="1263"/>
      <c r="BA290" s="1263"/>
    </row>
    <row r="291" spans="2:54">
      <c r="B291" s="1243" t="s">
        <v>557</v>
      </c>
      <c r="C291" s="1244"/>
      <c r="D291" s="1244"/>
      <c r="E291" s="1244"/>
      <c r="F291" s="1244"/>
      <c r="G291" s="1245"/>
      <c r="H291" s="419">
        <v>105300</v>
      </c>
      <c r="I291" s="1246"/>
      <c r="J291" s="1247"/>
      <c r="K291" s="1247"/>
      <c r="L291" s="1247"/>
      <c r="M291" s="1248"/>
      <c r="N291" s="413" t="str">
        <f t="shared" si="23"/>
        <v xml:space="preserve"> </v>
      </c>
      <c r="O291" s="32"/>
      <c r="P291" s="415"/>
      <c r="Q291" s="415"/>
      <c r="R291" s="415"/>
      <c r="S291" s="63"/>
      <c r="T291" s="416">
        <f t="shared" ref="T291:BA291" si="25">SUM(T270:T289)</f>
        <v>0</v>
      </c>
      <c r="U291" s="416">
        <f t="shared" si="25"/>
        <v>0</v>
      </c>
      <c r="V291" s="416">
        <f t="shared" si="25"/>
        <v>0</v>
      </c>
      <c r="W291" s="416">
        <f t="shared" si="25"/>
        <v>0</v>
      </c>
      <c r="X291" s="416">
        <f t="shared" si="25"/>
        <v>7594.4939999999997</v>
      </c>
      <c r="Y291" s="416">
        <f t="shared" si="25"/>
        <v>0</v>
      </c>
      <c r="Z291" s="416">
        <f t="shared" si="25"/>
        <v>0</v>
      </c>
      <c r="AA291" s="416">
        <f t="shared" si="25"/>
        <v>0</v>
      </c>
      <c r="AB291" s="416">
        <f t="shared" si="25"/>
        <v>18379.6394</v>
      </c>
      <c r="AC291" s="416">
        <f t="shared" si="25"/>
        <v>57179.073600000003</v>
      </c>
      <c r="AD291" s="416">
        <f t="shared" si="25"/>
        <v>0</v>
      </c>
      <c r="AE291" s="416">
        <f t="shared" si="25"/>
        <v>0</v>
      </c>
      <c r="AF291" s="416">
        <f t="shared" si="25"/>
        <v>0</v>
      </c>
      <c r="AG291" s="416">
        <f t="shared" si="25"/>
        <v>0</v>
      </c>
      <c r="AH291" s="416">
        <f t="shared" si="25"/>
        <v>0</v>
      </c>
      <c r="AI291" s="416">
        <f t="shared" si="25"/>
        <v>0</v>
      </c>
      <c r="AJ291" s="416">
        <f t="shared" si="25"/>
        <v>0</v>
      </c>
      <c r="AK291" s="416">
        <f t="shared" si="25"/>
        <v>0</v>
      </c>
      <c r="AL291" s="416">
        <f t="shared" si="25"/>
        <v>0</v>
      </c>
      <c r="AM291" s="416">
        <f t="shared" si="25"/>
        <v>0</v>
      </c>
      <c r="AN291" s="416">
        <f t="shared" si="25"/>
        <v>0</v>
      </c>
      <c r="AO291" s="416">
        <f t="shared" si="25"/>
        <v>0</v>
      </c>
      <c r="AP291" s="416">
        <f t="shared" si="25"/>
        <v>0</v>
      </c>
      <c r="AQ291" s="416">
        <f t="shared" si="25"/>
        <v>0</v>
      </c>
      <c r="AR291" s="416">
        <f t="shared" si="25"/>
        <v>0</v>
      </c>
      <c r="AS291" s="416">
        <f t="shared" si="25"/>
        <v>0</v>
      </c>
      <c r="AT291" s="416">
        <f t="shared" si="25"/>
        <v>5116</v>
      </c>
      <c r="AU291" s="416">
        <f t="shared" si="25"/>
        <v>7443.1669999999995</v>
      </c>
      <c r="AV291" s="416">
        <f t="shared" si="25"/>
        <v>0</v>
      </c>
      <c r="AW291" s="416">
        <f t="shared" si="25"/>
        <v>0</v>
      </c>
      <c r="AX291" s="416">
        <f t="shared" si="25"/>
        <v>0</v>
      </c>
      <c r="AY291" s="416">
        <f t="shared" si="25"/>
        <v>0</v>
      </c>
      <c r="AZ291" s="416">
        <f t="shared" si="25"/>
        <v>0</v>
      </c>
      <c r="BA291" s="416">
        <f t="shared" si="25"/>
        <v>7501.875</v>
      </c>
      <c r="BB291" s="416">
        <f>SUM(T291:BA291)</f>
        <v>103214.249</v>
      </c>
    </row>
    <row r="292" spans="2:54">
      <c r="B292" s="1243" t="s">
        <v>558</v>
      </c>
      <c r="C292" s="1244"/>
      <c r="D292" s="1244"/>
      <c r="E292" s="1244"/>
      <c r="F292" s="1244"/>
      <c r="G292" s="1245"/>
      <c r="H292" s="420">
        <f>H291-L264</f>
        <v>0</v>
      </c>
      <c r="I292" s="294"/>
      <c r="J292" s="295"/>
      <c r="K292" s="295"/>
      <c r="L292" s="296"/>
      <c r="M292" s="32"/>
      <c r="N292" s="32"/>
      <c r="O292" s="32"/>
      <c r="P292" s="32"/>
      <c r="Q292" s="297"/>
      <c r="R292" s="297"/>
      <c r="S292" s="32"/>
      <c r="T292" s="48"/>
      <c r="U292" s="48"/>
      <c r="V292" s="48"/>
      <c r="W292" s="48"/>
      <c r="X292" s="48"/>
      <c r="Y292" s="48"/>
      <c r="Z292" s="48"/>
      <c r="AA292" s="48"/>
      <c r="AB292" s="48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</row>
    <row r="293" spans="2:54">
      <c r="B293" s="1243" t="s">
        <v>559</v>
      </c>
      <c r="C293" s="1244"/>
      <c r="D293" s="1244"/>
      <c r="E293" s="1244"/>
      <c r="F293" s="1244"/>
      <c r="G293" s="1245"/>
      <c r="H293" s="446">
        <v>2085.7510000000002</v>
      </c>
      <c r="I293" s="52"/>
      <c r="J293" s="53"/>
      <c r="K293" s="53"/>
      <c r="L293" s="54"/>
      <c r="M293" s="32"/>
      <c r="N293" s="32"/>
      <c r="O293" s="32"/>
      <c r="P293" s="32"/>
      <c r="Q293" s="32"/>
      <c r="R293" s="32"/>
      <c r="S293" s="32"/>
      <c r="T293" s="48"/>
      <c r="U293" s="48"/>
      <c r="V293" s="48"/>
      <c r="W293" s="48"/>
      <c r="X293" s="48"/>
      <c r="Y293" s="48"/>
      <c r="Z293" s="48"/>
      <c r="AA293" s="48"/>
      <c r="AB293" s="48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</row>
    <row r="294" spans="2:54">
      <c r="B294" s="1243" t="s">
        <v>560</v>
      </c>
      <c r="C294" s="1244"/>
      <c r="D294" s="1244"/>
      <c r="E294" s="1244"/>
      <c r="F294" s="1244"/>
      <c r="G294" s="1245"/>
      <c r="H294" s="421">
        <f>H293-2814.927</f>
        <v>-729.17599999999993</v>
      </c>
      <c r="I294" s="52"/>
      <c r="J294" s="53"/>
      <c r="K294" s="53"/>
      <c r="L294" s="54"/>
      <c r="M294" s="32"/>
      <c r="N294" s="32"/>
      <c r="O294" s="32"/>
      <c r="P294" s="32"/>
      <c r="Q294" s="32"/>
      <c r="R294" s="32"/>
      <c r="S294" s="48"/>
      <c r="T294" s="48"/>
      <c r="U294" s="48"/>
      <c r="V294" s="48"/>
      <c r="W294" s="48"/>
      <c r="X294" s="48"/>
      <c r="Y294" s="48"/>
      <c r="Z294" s="48"/>
      <c r="AA294" s="48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</row>
    <row r="295" spans="2:54">
      <c r="B295" s="201"/>
      <c r="C295" s="201"/>
      <c r="D295" s="201"/>
      <c r="E295" s="201"/>
      <c r="F295" s="201"/>
      <c r="G295" s="201"/>
      <c r="H295" s="201"/>
      <c r="I295" s="213"/>
      <c r="J295" s="209"/>
      <c r="K295" s="209"/>
      <c r="L295" s="203"/>
      <c r="M295" s="201"/>
      <c r="N295" s="201"/>
      <c r="O295" s="209"/>
      <c r="P295" s="32"/>
      <c r="Q295" s="32"/>
      <c r="R295" s="32"/>
      <c r="S295" s="32"/>
      <c r="T295" s="48"/>
      <c r="U295" s="48"/>
      <c r="V295" s="48"/>
      <c r="W295" s="48"/>
      <c r="X295" s="48"/>
      <c r="Y295" s="48"/>
      <c r="Z295" s="48"/>
      <c r="AA295" s="48"/>
      <c r="AB295" s="48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</row>
    <row r="296" spans="2:54">
      <c r="B296" s="40" t="s">
        <v>561</v>
      </c>
      <c r="C296" s="40"/>
      <c r="D296" s="32"/>
      <c r="E296" s="32"/>
      <c r="F296" s="32"/>
      <c r="G296" s="32"/>
      <c r="H296" s="32"/>
      <c r="I296" s="32"/>
      <c r="J296" s="52"/>
      <c r="K296" s="52"/>
      <c r="L296" s="55"/>
      <c r="M296" s="32"/>
      <c r="N296" s="201"/>
      <c r="O296" s="5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  <c r="AA296" s="202"/>
      <c r="AB296" s="201"/>
      <c r="AC296" s="201"/>
      <c r="AD296" s="201"/>
      <c r="AE296" s="201"/>
      <c r="AF296" s="201"/>
      <c r="AG296" s="201"/>
      <c r="AH296" s="201"/>
      <c r="AI296" s="201"/>
      <c r="AJ296" s="201"/>
      <c r="AK296" s="201"/>
      <c r="AL296" s="201"/>
      <c r="AM296" s="201"/>
      <c r="AN296" s="201"/>
      <c r="AO296" s="201"/>
      <c r="AP296" s="201"/>
      <c r="AQ296" s="201"/>
      <c r="AR296" s="201"/>
      <c r="AS296" s="201"/>
      <c r="AT296" s="201"/>
      <c r="AU296" s="201"/>
      <c r="BB296" s="201"/>
    </row>
    <row r="297" spans="2:54">
      <c r="B297" s="422">
        <v>1</v>
      </c>
      <c r="C297" s="1249" t="s">
        <v>2119</v>
      </c>
      <c r="D297" s="1249"/>
      <c r="E297" s="1249"/>
      <c r="F297" s="1249"/>
      <c r="G297" s="1249"/>
      <c r="H297" s="1249"/>
      <c r="I297" s="1249"/>
      <c r="J297" s="1249"/>
      <c r="K297" s="1249"/>
      <c r="L297" s="203"/>
      <c r="M297" s="203"/>
      <c r="N297" s="201"/>
      <c r="O297" s="209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  <c r="AA297" s="202"/>
      <c r="AB297" s="201"/>
      <c r="AC297" s="201"/>
      <c r="AD297" s="201"/>
      <c r="AE297" s="201"/>
      <c r="AF297" s="201"/>
      <c r="AG297" s="201"/>
      <c r="AH297" s="201"/>
      <c r="AI297" s="201"/>
      <c r="AJ297" s="201"/>
      <c r="AK297" s="201"/>
      <c r="AL297" s="201"/>
      <c r="AM297" s="201"/>
      <c r="AN297" s="201"/>
      <c r="AO297" s="201"/>
      <c r="AP297" s="201"/>
      <c r="AQ297" s="201"/>
      <c r="AR297" s="201"/>
      <c r="AS297" s="201"/>
      <c r="AT297" s="201"/>
      <c r="AU297" s="201"/>
      <c r="AV297" s="201"/>
      <c r="AW297" s="201"/>
      <c r="AX297" s="201"/>
      <c r="AY297" s="201"/>
      <c r="AZ297" s="201"/>
      <c r="BA297" s="201"/>
      <c r="BB297" s="201"/>
    </row>
    <row r="299" spans="2:54">
      <c r="B299" s="28" t="s">
        <v>126</v>
      </c>
      <c r="C299" s="28"/>
      <c r="D299" s="29"/>
      <c r="E299" s="30" t="s">
        <v>511</v>
      </c>
      <c r="F299" s="31" t="s">
        <v>2120</v>
      </c>
      <c r="G299" s="32"/>
      <c r="H299" s="33"/>
      <c r="I299" s="34"/>
      <c r="J299" s="35" t="s">
        <v>513</v>
      </c>
      <c r="K299" s="36" t="s">
        <v>511</v>
      </c>
      <c r="L299" s="37">
        <v>45125.090277777781</v>
      </c>
      <c r="M299" s="32"/>
      <c r="N299" s="32"/>
      <c r="O299" s="36"/>
      <c r="P299" s="33"/>
      <c r="Q299" s="48"/>
      <c r="R299" s="49"/>
      <c r="S299" s="38"/>
      <c r="T299" s="32"/>
      <c r="U299" s="32"/>
      <c r="V299" s="32"/>
      <c r="W299" s="32"/>
      <c r="X299" s="32"/>
      <c r="Y299" s="32"/>
      <c r="Z299" s="32"/>
      <c r="AA299" s="32"/>
      <c r="AB299" s="48"/>
      <c r="AC299" s="48"/>
      <c r="AD299" s="48"/>
      <c r="AE299" s="48"/>
      <c r="AF299" s="48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</row>
    <row r="300" spans="2:54">
      <c r="B300" s="35" t="s">
        <v>514</v>
      </c>
      <c r="C300" s="35"/>
      <c r="D300" s="32"/>
      <c r="E300" s="36" t="s">
        <v>511</v>
      </c>
      <c r="F300" s="311" t="s">
        <v>2121</v>
      </c>
      <c r="G300" s="60" t="s">
        <v>647</v>
      </c>
      <c r="H300" s="33"/>
      <c r="I300" s="34"/>
      <c r="J300" s="35" t="s">
        <v>516</v>
      </c>
      <c r="K300" s="36" t="s">
        <v>511</v>
      </c>
      <c r="L300" s="37">
        <v>45127.270833333336</v>
      </c>
      <c r="M300" s="32"/>
      <c r="N300" s="32"/>
      <c r="O300" s="36"/>
      <c r="P300" s="33"/>
      <c r="Q300" s="48"/>
      <c r="R300" s="49"/>
      <c r="S300" s="38"/>
      <c r="T300" s="32"/>
      <c r="U300" s="32"/>
      <c r="V300" s="32"/>
      <c r="W300" s="32"/>
      <c r="X300" s="32"/>
      <c r="Y300" s="32"/>
      <c r="Z300" s="32"/>
      <c r="AA300" s="32"/>
      <c r="AB300" s="48"/>
      <c r="AC300" s="48"/>
      <c r="AD300" s="48"/>
      <c r="AE300" s="48"/>
      <c r="AF300" s="48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</row>
    <row r="301" spans="2:54">
      <c r="B301" s="35" t="s">
        <v>517</v>
      </c>
      <c r="C301" s="35"/>
      <c r="D301" s="32"/>
      <c r="E301" s="36" t="s">
        <v>511</v>
      </c>
      <c r="F301" s="37">
        <v>45123.729166666664</v>
      </c>
      <c r="G301" s="60">
        <v>45124</v>
      </c>
      <c r="H301" s="33"/>
      <c r="I301" s="34"/>
      <c r="J301" s="35" t="s">
        <v>518</v>
      </c>
      <c r="K301" s="36" t="s">
        <v>511</v>
      </c>
      <c r="L301" s="50">
        <v>66000</v>
      </c>
      <c r="M301" s="40" t="s">
        <v>519</v>
      </c>
      <c r="N301" s="40"/>
      <c r="O301" s="36"/>
      <c r="P301" s="33"/>
      <c r="Q301" s="48"/>
      <c r="R301" s="49"/>
      <c r="S301" s="38"/>
      <c r="T301" s="32"/>
      <c r="U301" s="32"/>
      <c r="V301" s="32"/>
      <c r="W301" s="32"/>
      <c r="X301" s="32"/>
      <c r="Y301" s="32"/>
      <c r="Z301" s="32"/>
      <c r="AA301" s="32"/>
      <c r="AB301" s="48"/>
      <c r="AC301" s="48"/>
      <c r="AD301" s="48"/>
      <c r="AE301" s="48"/>
      <c r="AF301" s="48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</row>
    <row r="302" spans="2:54">
      <c r="B302" s="35" t="s">
        <v>520</v>
      </c>
      <c r="C302" s="35"/>
      <c r="D302" s="32"/>
      <c r="E302" s="36" t="s">
        <v>511</v>
      </c>
      <c r="F302" s="37" t="s">
        <v>12</v>
      </c>
      <c r="G302" s="32"/>
      <c r="H302" s="33"/>
      <c r="I302" s="34"/>
      <c r="J302" s="35" t="s">
        <v>521</v>
      </c>
      <c r="K302" s="36" t="s">
        <v>511</v>
      </c>
      <c r="L302" s="41" t="s">
        <v>2122</v>
      </c>
      <c r="M302" s="32"/>
      <c r="N302" s="32"/>
      <c r="O302" s="36"/>
      <c r="P302" s="48"/>
      <c r="Q302" s="48"/>
      <c r="R302" s="49"/>
      <c r="S302" s="38"/>
      <c r="T302" s="32"/>
      <c r="U302" s="32"/>
      <c r="V302" s="32"/>
      <c r="W302" s="32"/>
      <c r="X302" s="32"/>
      <c r="Y302" s="32"/>
      <c r="Z302" s="32"/>
      <c r="AA302" s="32"/>
      <c r="AB302" s="48"/>
      <c r="AC302" s="48"/>
      <c r="AD302" s="48"/>
      <c r="AE302" s="48"/>
      <c r="AF302" s="48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</row>
    <row r="303" spans="2:54">
      <c r="B303" s="35" t="s">
        <v>523</v>
      </c>
      <c r="C303" s="35"/>
      <c r="D303" s="32"/>
      <c r="E303" s="36" t="s">
        <v>511</v>
      </c>
      <c r="F303" s="37" t="s">
        <v>32</v>
      </c>
      <c r="G303" s="32"/>
      <c r="H303" s="33"/>
      <c r="I303" s="34"/>
      <c r="J303" s="42" t="s">
        <v>524</v>
      </c>
      <c r="K303" s="36" t="s">
        <v>511</v>
      </c>
      <c r="L303" s="43" t="s">
        <v>11</v>
      </c>
      <c r="M303" s="44"/>
      <c r="N303" s="44"/>
      <c r="O303" s="36"/>
      <c r="P303" s="33"/>
      <c r="Q303" s="48"/>
      <c r="R303" s="49"/>
      <c r="S303" s="38"/>
      <c r="T303" s="32"/>
      <c r="U303" s="32"/>
      <c r="V303" s="32"/>
      <c r="W303" s="32"/>
      <c r="X303" s="32"/>
      <c r="Y303" s="32"/>
      <c r="Z303" s="32"/>
      <c r="AA303" s="32"/>
      <c r="AB303" s="48"/>
      <c r="AC303" s="48"/>
      <c r="AD303" s="48"/>
      <c r="AE303" s="48"/>
      <c r="AF303" s="48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</row>
    <row r="304" spans="2:54">
      <c r="B304" s="35" t="s">
        <v>2</v>
      </c>
      <c r="C304" s="35"/>
      <c r="D304" s="32"/>
      <c r="E304" s="36" t="s">
        <v>511</v>
      </c>
      <c r="F304" s="37" t="s">
        <v>14</v>
      </c>
      <c r="G304" s="32"/>
      <c r="H304" s="33"/>
      <c r="I304" s="45"/>
      <c r="J304" s="42"/>
      <c r="K304" s="36"/>
      <c r="L304" s="37"/>
      <c r="M304" s="32"/>
      <c r="N304" s="32"/>
      <c r="O304" s="42"/>
      <c r="P304" s="44"/>
      <c r="Q304" s="44"/>
      <c r="R304" s="44"/>
      <c r="S304" s="34"/>
      <c r="T304" s="32"/>
      <c r="U304" s="32"/>
      <c r="V304" s="32"/>
      <c r="W304" s="32"/>
      <c r="X304" s="32"/>
      <c r="Y304" s="32"/>
      <c r="Z304" s="32"/>
      <c r="AA304" s="32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</row>
    <row r="305" spans="2:54">
      <c r="B305" s="32"/>
      <c r="C305" s="32"/>
      <c r="D305" s="32"/>
      <c r="E305" s="32"/>
      <c r="F305" s="32"/>
      <c r="G305" s="32"/>
      <c r="H305" s="32"/>
      <c r="I305" s="45"/>
      <c r="J305" s="42"/>
      <c r="K305" s="42"/>
      <c r="L305" s="43"/>
      <c r="M305" s="44"/>
      <c r="N305" s="44"/>
      <c r="O305" s="42"/>
      <c r="P305" s="44"/>
      <c r="Q305" s="44"/>
      <c r="R305" s="44"/>
      <c r="S305" s="34"/>
      <c r="T305" s="1270" t="s">
        <v>87</v>
      </c>
      <c r="U305" s="1270"/>
      <c r="V305" s="1270"/>
      <c r="W305" s="1270"/>
      <c r="X305" s="1270"/>
      <c r="Y305" s="1270" t="s">
        <v>73</v>
      </c>
      <c r="Z305" s="1270"/>
      <c r="AA305" s="1270"/>
      <c r="AB305" s="1270" t="s">
        <v>74</v>
      </c>
      <c r="AC305" s="1270"/>
      <c r="AD305" s="407" t="s">
        <v>85</v>
      </c>
      <c r="AE305" s="407" t="s">
        <v>77</v>
      </c>
      <c r="AF305" s="1270" t="s">
        <v>525</v>
      </c>
      <c r="AG305" s="1270"/>
      <c r="AH305" s="1270"/>
      <c r="AI305" s="1270"/>
      <c r="AJ305" s="1270"/>
      <c r="AK305" s="1270"/>
      <c r="AL305" s="1270"/>
      <c r="AM305" s="1270"/>
      <c r="AN305" s="1270"/>
      <c r="AO305" s="1270"/>
      <c r="AP305" s="1270"/>
      <c r="AQ305" s="1270"/>
      <c r="AR305" s="1270"/>
      <c r="AS305" s="1270"/>
      <c r="AT305" s="1270"/>
      <c r="AU305" s="1270"/>
      <c r="AV305" s="1270"/>
      <c r="AW305" s="1270"/>
      <c r="AX305" s="1270"/>
      <c r="AY305" s="1270"/>
      <c r="AZ305" s="1270"/>
      <c r="BA305" s="1270"/>
      <c r="BB305" s="32"/>
    </row>
    <row r="306" spans="2:54">
      <c r="B306" s="1266" t="s">
        <v>526</v>
      </c>
      <c r="C306" s="1267"/>
      <c r="D306" s="570" t="s">
        <v>527</v>
      </c>
      <c r="E306" s="570"/>
      <c r="F306" s="570" t="s">
        <v>528</v>
      </c>
      <c r="G306" s="570" t="s">
        <v>529</v>
      </c>
      <c r="H306" s="570" t="s">
        <v>530</v>
      </c>
      <c r="I306" s="570" t="s">
        <v>531</v>
      </c>
      <c r="J306" s="570" t="s">
        <v>532</v>
      </c>
      <c r="K306" s="570"/>
      <c r="L306" s="570" t="s">
        <v>130</v>
      </c>
      <c r="M306" s="570" t="s">
        <v>533</v>
      </c>
      <c r="N306" s="408" t="str">
        <f>"On time - "&amp;COUNTIF(N307:N322,"On time")&amp;" from "&amp;ROWS(N307:N322)-COUNTIF(N307:N322," ")</f>
        <v>On time - 5 from 11</v>
      </c>
      <c r="O306" s="46"/>
      <c r="P306" s="409" t="s">
        <v>534</v>
      </c>
      <c r="Q306" s="409" t="s">
        <v>535</v>
      </c>
      <c r="R306" s="409" t="s">
        <v>536</v>
      </c>
      <c r="S306" s="32"/>
      <c r="T306" s="410" t="s">
        <v>537</v>
      </c>
      <c r="U306" s="410" t="s">
        <v>538</v>
      </c>
      <c r="V306" s="410" t="s">
        <v>539</v>
      </c>
      <c r="W306" s="410" t="s">
        <v>540</v>
      </c>
      <c r="X306" s="410" t="s">
        <v>541</v>
      </c>
      <c r="Y306" s="410" t="s">
        <v>167</v>
      </c>
      <c r="Z306" s="410" t="s">
        <v>168</v>
      </c>
      <c r="AA306" s="410" t="s">
        <v>169</v>
      </c>
      <c r="AB306" s="410" t="s">
        <v>235</v>
      </c>
      <c r="AC306" s="410" t="s">
        <v>240</v>
      </c>
      <c r="AD306" s="407" t="s">
        <v>85</v>
      </c>
      <c r="AE306" s="410" t="s">
        <v>139</v>
      </c>
      <c r="AF306" s="410" t="s">
        <v>72</v>
      </c>
      <c r="AG306" s="410" t="s">
        <v>88</v>
      </c>
      <c r="AH306" s="410" t="s">
        <v>75</v>
      </c>
      <c r="AI306" s="410" t="s">
        <v>543</v>
      </c>
      <c r="AJ306" s="410" t="s">
        <v>78</v>
      </c>
      <c r="AK306" s="410" t="s">
        <v>76</v>
      </c>
      <c r="AL306" s="410" t="s">
        <v>544</v>
      </c>
      <c r="AM306" s="410" t="s">
        <v>545</v>
      </c>
      <c r="AN306" s="410" t="s">
        <v>86</v>
      </c>
      <c r="AO306" s="410" t="s">
        <v>83</v>
      </c>
      <c r="AP306" s="410" t="s">
        <v>84</v>
      </c>
      <c r="AQ306" s="410" t="s">
        <v>546</v>
      </c>
      <c r="AR306" s="410" t="s">
        <v>81</v>
      </c>
      <c r="AS306" s="410" t="s">
        <v>80</v>
      </c>
      <c r="AT306" s="410" t="s">
        <v>82</v>
      </c>
      <c r="AU306" s="410" t="s">
        <v>181</v>
      </c>
      <c r="AV306" s="410" t="s">
        <v>183</v>
      </c>
      <c r="AW306" s="410" t="s">
        <v>547</v>
      </c>
      <c r="AX306" s="410" t="s">
        <v>182</v>
      </c>
      <c r="AY306" s="410" t="s">
        <v>172</v>
      </c>
      <c r="AZ306" s="410" t="s">
        <v>173</v>
      </c>
      <c r="BA306" s="410" t="s">
        <v>184</v>
      </c>
      <c r="BB306" s="32"/>
    </row>
    <row r="307" spans="2:54">
      <c r="B307" s="1250" t="s">
        <v>2123</v>
      </c>
      <c r="C307" s="1251"/>
      <c r="D307" s="411" t="s">
        <v>2124</v>
      </c>
      <c r="E307" s="411"/>
      <c r="F307" s="411" t="s">
        <v>367</v>
      </c>
      <c r="G307" s="411" t="s">
        <v>368</v>
      </c>
      <c r="H307" s="412">
        <v>9913.7710000000006</v>
      </c>
      <c r="I307" s="413" t="s">
        <v>494</v>
      </c>
      <c r="J307" s="414">
        <v>45123.840277777781</v>
      </c>
      <c r="K307" s="414"/>
      <c r="L307" s="414" t="s">
        <v>192</v>
      </c>
      <c r="M307" s="414" t="s">
        <v>192</v>
      </c>
      <c r="N307" s="413" t="str">
        <f>IF(ISBLANK(J307)," ",IF(J307&lt;$G$301,"On time",(IF(DAY(J307-$G$301)&lt;1,"On time",(IF(J307&gt;$G$301,"DELAY ( "&amp;DAY(J307-$G$301)&amp;" day "&amp;HOUR(J307-$G$301)&amp;" hour "&amp;MINUTE(J307-$G$301)&amp;" minute )","xxx"))))))</f>
        <v>On time</v>
      </c>
      <c r="O307" s="51"/>
      <c r="P307" s="415" t="s">
        <v>551</v>
      </c>
      <c r="Q307" s="415" t="s">
        <v>551</v>
      </c>
      <c r="R307" s="415" t="s">
        <v>551</v>
      </c>
      <c r="S307" s="32"/>
      <c r="T307" s="416"/>
      <c r="U307" s="416"/>
      <c r="V307" s="416"/>
      <c r="W307" s="416"/>
      <c r="X307" s="416"/>
      <c r="Y307" s="416">
        <f>H307</f>
        <v>9913.7710000000006</v>
      </c>
      <c r="Z307" s="416"/>
      <c r="AA307" s="32"/>
      <c r="AB307" s="416"/>
      <c r="AC307" s="416"/>
      <c r="AD307" s="416"/>
      <c r="AE307" s="416"/>
      <c r="AF307" s="416"/>
      <c r="AG307" s="416"/>
      <c r="AH307" s="416"/>
      <c r="AI307" s="416"/>
      <c r="AJ307" s="416"/>
      <c r="AK307" s="416"/>
      <c r="AL307" s="416"/>
      <c r="AM307" s="416"/>
      <c r="AN307" s="416"/>
      <c r="AO307" s="416"/>
      <c r="AP307" s="416"/>
      <c r="AQ307" s="416"/>
      <c r="AR307" s="416"/>
      <c r="AS307" s="416"/>
      <c r="AT307" s="32"/>
      <c r="AU307" s="416"/>
      <c r="AV307" s="416"/>
      <c r="AW307" s="416"/>
      <c r="AX307" s="416"/>
      <c r="AY307" s="416"/>
      <c r="AZ307" s="416"/>
      <c r="BA307" s="416"/>
      <c r="BB307" s="32"/>
    </row>
    <row r="308" spans="2:54">
      <c r="B308" s="1254"/>
      <c r="C308" s="1255"/>
      <c r="D308" s="411" t="s">
        <v>2125</v>
      </c>
      <c r="E308" s="425"/>
      <c r="F308" s="411" t="s">
        <v>1255</v>
      </c>
      <c r="G308" s="411" t="s">
        <v>268</v>
      </c>
      <c r="H308" s="412">
        <f>7500/2</f>
        <v>3750</v>
      </c>
      <c r="I308" s="573" t="s">
        <v>78</v>
      </c>
      <c r="J308" s="571">
        <v>45123.020833333336</v>
      </c>
      <c r="K308" s="414"/>
      <c r="L308" s="414" t="s">
        <v>192</v>
      </c>
      <c r="M308" s="414" t="s">
        <v>192</v>
      </c>
      <c r="N308" s="413" t="str">
        <f t="shared" ref="N308:N322" si="26">IF(ISBLANK(J308)," ",IF(J308&lt;$G$301,"On time",(IF(DAY(J308-$G$301)&lt;1,"On time",(IF(J308&gt;$G$301,"DELAY ( "&amp;DAY(J308-$G$301)&amp;" day "&amp;HOUR(J308-$G$301)&amp;" hour "&amp;MINUTE(J308-$G$301)&amp;" minute )","xxx"))))))</f>
        <v>On time</v>
      </c>
      <c r="O308" s="51"/>
      <c r="P308" s="415" t="s">
        <v>551</v>
      </c>
      <c r="Q308" s="415" t="s">
        <v>551</v>
      </c>
      <c r="R308" s="415" t="s">
        <v>551</v>
      </c>
      <c r="S308" s="32"/>
      <c r="T308" s="416"/>
      <c r="U308" s="416"/>
      <c r="V308" s="416"/>
      <c r="W308" s="416"/>
      <c r="X308" s="416"/>
      <c r="Y308" s="416"/>
      <c r="Z308" s="416"/>
      <c r="AA308" s="416"/>
      <c r="AB308" s="416"/>
      <c r="AC308" s="416"/>
      <c r="AD308" s="416"/>
      <c r="AE308" s="416"/>
      <c r="AF308" s="416"/>
      <c r="AG308" s="416"/>
      <c r="AH308" s="416"/>
      <c r="AI308" s="416"/>
      <c r="AJ308" s="416">
        <f>H308</f>
        <v>3750</v>
      </c>
      <c r="AK308" s="416"/>
      <c r="AL308" s="416"/>
      <c r="AM308" s="416"/>
      <c r="AN308" s="416"/>
      <c r="AO308" s="416"/>
      <c r="AP308" s="416"/>
      <c r="AQ308" s="416"/>
      <c r="AR308" s="416"/>
      <c r="AS308" s="416"/>
      <c r="AT308" s="416"/>
      <c r="AU308" s="416"/>
      <c r="AV308" s="416"/>
      <c r="AW308" s="416"/>
      <c r="AX308" s="416"/>
      <c r="AY308" s="416"/>
      <c r="AZ308" s="416"/>
      <c r="BA308" s="416"/>
      <c r="BB308" s="32"/>
    </row>
    <row r="309" spans="2:54">
      <c r="B309" s="1256" t="s">
        <v>548</v>
      </c>
      <c r="C309" s="1257"/>
      <c r="D309" s="411" t="s">
        <v>2081</v>
      </c>
      <c r="E309" s="411"/>
      <c r="F309" s="411" t="s">
        <v>403</v>
      </c>
      <c r="G309" s="411" t="s">
        <v>404</v>
      </c>
      <c r="H309" s="412">
        <v>1800.181</v>
      </c>
      <c r="I309" s="413" t="s">
        <v>494</v>
      </c>
      <c r="J309" s="414">
        <v>45124.225694444445</v>
      </c>
      <c r="K309" s="414"/>
      <c r="L309" s="414" t="s">
        <v>192</v>
      </c>
      <c r="M309" s="414" t="s">
        <v>192</v>
      </c>
      <c r="N309" s="413" t="str">
        <f t="shared" si="26"/>
        <v>On time</v>
      </c>
      <c r="O309" s="51"/>
      <c r="P309" s="415" t="s">
        <v>551</v>
      </c>
      <c r="Q309" s="415" t="s">
        <v>551</v>
      </c>
      <c r="R309" s="415" t="s">
        <v>551</v>
      </c>
      <c r="S309" s="32"/>
      <c r="T309" s="416"/>
      <c r="U309" s="416"/>
      <c r="V309" s="416"/>
      <c r="W309" s="416"/>
      <c r="X309" s="416"/>
      <c r="Y309" s="416">
        <f>H309</f>
        <v>1800.181</v>
      </c>
      <c r="Z309" s="416"/>
      <c r="AA309" s="416"/>
      <c r="AB309" s="416"/>
      <c r="AC309" s="416"/>
      <c r="AD309" s="416"/>
      <c r="AE309" s="416"/>
      <c r="AF309" s="416"/>
      <c r="AG309" s="416"/>
      <c r="AH309" s="416"/>
      <c r="AI309" s="416"/>
      <c r="AJ309" s="416"/>
      <c r="AK309" s="416"/>
      <c r="AL309" s="416"/>
      <c r="AM309" s="416"/>
      <c r="AN309" s="416"/>
      <c r="AO309" s="416"/>
      <c r="AP309" s="416"/>
      <c r="AQ309" s="416"/>
      <c r="AR309" s="416"/>
      <c r="AS309" s="416"/>
      <c r="AT309" s="416"/>
      <c r="AU309" s="416"/>
      <c r="AV309" s="416"/>
      <c r="AW309" s="416"/>
      <c r="AX309" s="416"/>
      <c r="AY309" s="416"/>
      <c r="AZ309" s="416"/>
      <c r="BA309" s="416"/>
      <c r="BB309" s="32"/>
    </row>
    <row r="310" spans="2:54">
      <c r="B310" s="1250" t="s">
        <v>644</v>
      </c>
      <c r="C310" s="1251"/>
      <c r="D310" s="411" t="s">
        <v>2125</v>
      </c>
      <c r="E310" s="425"/>
      <c r="F310" s="411" t="s">
        <v>1255</v>
      </c>
      <c r="G310" s="411" t="s">
        <v>268</v>
      </c>
      <c r="H310" s="412">
        <f>H308</f>
        <v>3750</v>
      </c>
      <c r="I310" s="573" t="s">
        <v>78</v>
      </c>
      <c r="J310" s="571"/>
      <c r="K310" s="414"/>
      <c r="L310" s="414" t="s">
        <v>192</v>
      </c>
      <c r="M310" s="414" t="s">
        <v>192</v>
      </c>
      <c r="N310" s="413" t="str">
        <f t="shared" si="26"/>
        <v xml:space="preserve"> </v>
      </c>
      <c r="O310" s="51"/>
      <c r="P310" s="415" t="s">
        <v>551</v>
      </c>
      <c r="Q310" s="415" t="s">
        <v>551</v>
      </c>
      <c r="R310" s="415" t="s">
        <v>551</v>
      </c>
      <c r="S310" s="32"/>
      <c r="T310" s="416"/>
      <c r="U310" s="416"/>
      <c r="V310" s="416"/>
      <c r="W310" s="416"/>
      <c r="X310" s="416"/>
      <c r="Y310" s="416"/>
      <c r="Z310" s="416"/>
      <c r="AA310" s="416"/>
      <c r="AB310" s="416"/>
      <c r="AC310" s="416"/>
      <c r="AD310" s="416"/>
      <c r="AE310" s="416"/>
      <c r="AF310" s="416"/>
      <c r="AG310" s="416"/>
      <c r="AH310" s="416"/>
      <c r="AI310" s="416"/>
      <c r="AJ310" s="416">
        <f>H310</f>
        <v>3750</v>
      </c>
      <c r="AK310" s="416"/>
      <c r="AL310" s="416"/>
      <c r="AM310" s="416"/>
      <c r="AN310" s="416"/>
      <c r="AO310" s="416"/>
      <c r="AP310" s="416"/>
      <c r="AQ310" s="416"/>
      <c r="AR310" s="416"/>
      <c r="AS310" s="416"/>
      <c r="AT310" s="416"/>
      <c r="AU310" s="416"/>
      <c r="AV310" s="416"/>
      <c r="AW310" s="416"/>
      <c r="AX310" s="416"/>
      <c r="AY310" s="416"/>
      <c r="AZ310" s="416"/>
      <c r="BA310" s="416"/>
      <c r="BB310" s="32"/>
    </row>
    <row r="311" spans="2:54">
      <c r="B311" s="1254"/>
      <c r="C311" s="1255"/>
      <c r="D311" s="411" t="s">
        <v>2126</v>
      </c>
      <c r="E311" s="411"/>
      <c r="F311" s="411" t="s">
        <v>473</v>
      </c>
      <c r="G311" s="411" t="s">
        <v>474</v>
      </c>
      <c r="H311" s="412">
        <v>7490.9129999999996</v>
      </c>
      <c r="I311" s="413" t="s">
        <v>494</v>
      </c>
      <c r="J311" s="414">
        <v>45125.520833333336</v>
      </c>
      <c r="K311" s="414"/>
      <c r="L311" s="414" t="s">
        <v>192</v>
      </c>
      <c r="M311" s="414" t="s">
        <v>192</v>
      </c>
      <c r="N311" s="413" t="str">
        <f t="shared" si="26"/>
        <v>DELAY ( 1 day 12 hour 30 minute )</v>
      </c>
      <c r="O311" s="51"/>
      <c r="P311" s="415" t="s">
        <v>551</v>
      </c>
      <c r="Q311" s="415" t="s">
        <v>551</v>
      </c>
      <c r="R311" s="415" t="s">
        <v>551</v>
      </c>
      <c r="S311" s="32"/>
      <c r="T311" s="416"/>
      <c r="U311" s="416"/>
      <c r="V311" s="416"/>
      <c r="W311" s="416"/>
      <c r="X311" s="416"/>
      <c r="Y311" s="416">
        <f>H311</f>
        <v>7490.9129999999996</v>
      </c>
      <c r="Z311" s="416"/>
      <c r="AA311" s="416"/>
      <c r="AB311" s="416"/>
      <c r="AC311" s="416"/>
      <c r="AD311" s="416"/>
      <c r="AE311" s="416"/>
      <c r="AF311" s="416"/>
      <c r="AG311" s="416"/>
      <c r="AH311" s="416"/>
      <c r="AI311" s="416"/>
      <c r="AJ311" s="416"/>
      <c r="AK311" s="416"/>
      <c r="AL311" s="416"/>
      <c r="AM311" s="416"/>
      <c r="AN311" s="416"/>
      <c r="AO311" s="416"/>
      <c r="AP311" s="416"/>
      <c r="AQ311" s="416"/>
      <c r="AR311" s="416"/>
      <c r="AS311" s="416"/>
      <c r="AT311" s="416"/>
      <c r="AU311" s="416"/>
      <c r="AV311" s="416"/>
      <c r="AW311" s="416"/>
      <c r="AX311" s="416"/>
      <c r="AY311" s="416"/>
      <c r="AZ311" s="416"/>
      <c r="BA311" s="416"/>
      <c r="BB311" s="32"/>
    </row>
    <row r="312" spans="2:54">
      <c r="B312" s="1250" t="s">
        <v>2127</v>
      </c>
      <c r="C312" s="1251"/>
      <c r="D312" s="411" t="s">
        <v>2128</v>
      </c>
      <c r="E312" s="411"/>
      <c r="F312" s="411" t="s">
        <v>492</v>
      </c>
      <c r="G312" s="411" t="s">
        <v>493</v>
      </c>
      <c r="H312" s="412">
        <v>7584.692</v>
      </c>
      <c r="I312" s="413" t="s">
        <v>494</v>
      </c>
      <c r="J312" s="414">
        <v>45125.541666666664</v>
      </c>
      <c r="K312" s="414"/>
      <c r="L312" s="414" t="s">
        <v>192</v>
      </c>
      <c r="M312" s="414" t="s">
        <v>192</v>
      </c>
      <c r="N312" s="413" t="str">
        <f t="shared" si="26"/>
        <v>DELAY ( 1 day 13 hour 0 minute )</v>
      </c>
      <c r="O312" s="51"/>
      <c r="P312" s="415" t="s">
        <v>551</v>
      </c>
      <c r="Q312" s="415" t="s">
        <v>551</v>
      </c>
      <c r="R312" s="415" t="s">
        <v>551</v>
      </c>
      <c r="S312" s="32"/>
      <c r="T312" s="416"/>
      <c r="U312" s="416"/>
      <c r="V312" s="416"/>
      <c r="W312" s="416"/>
      <c r="X312" s="416"/>
      <c r="Y312" s="416">
        <f>H312</f>
        <v>7584.692</v>
      </c>
      <c r="Z312" s="416"/>
      <c r="AA312" s="416"/>
      <c r="AB312" s="416"/>
      <c r="AC312" s="416"/>
      <c r="AD312" s="416"/>
      <c r="AE312" s="416"/>
      <c r="AF312" s="416"/>
      <c r="AG312" s="416"/>
      <c r="AH312" s="416"/>
      <c r="AI312" s="416"/>
      <c r="AJ312" s="416"/>
      <c r="AK312" s="416"/>
      <c r="AL312" s="416"/>
      <c r="AM312" s="416"/>
      <c r="AN312" s="416"/>
      <c r="AO312" s="416"/>
      <c r="AP312" s="416"/>
      <c r="AQ312" s="416"/>
      <c r="AR312" s="416"/>
      <c r="AS312" s="416"/>
      <c r="AT312" s="416"/>
      <c r="AU312" s="416"/>
      <c r="AV312" s="416"/>
      <c r="AW312" s="416"/>
      <c r="AX312" s="416"/>
      <c r="AY312" s="286"/>
      <c r="AZ312" s="416"/>
      <c r="BA312" s="416"/>
      <c r="BB312" s="32"/>
    </row>
    <row r="313" spans="2:54">
      <c r="B313" s="1254"/>
      <c r="C313" s="1255"/>
      <c r="D313" s="411" t="s">
        <v>2129</v>
      </c>
      <c r="E313" s="425"/>
      <c r="F313" s="411" t="s">
        <v>246</v>
      </c>
      <c r="G313" s="411" t="s">
        <v>247</v>
      </c>
      <c r="H313" s="412">
        <f>7540.797/2</f>
        <v>3770.3984999999998</v>
      </c>
      <c r="I313" s="1282" t="s">
        <v>172</v>
      </c>
      <c r="J313" s="1268">
        <v>45124.520833333336</v>
      </c>
      <c r="K313" s="414"/>
      <c r="L313" s="414" t="s">
        <v>192</v>
      </c>
      <c r="M313" s="414" t="s">
        <v>192</v>
      </c>
      <c r="N313" s="413" t="str">
        <f t="shared" si="26"/>
        <v>On time</v>
      </c>
      <c r="O313" s="51"/>
      <c r="P313" s="415" t="s">
        <v>551</v>
      </c>
      <c r="Q313" s="415" t="s">
        <v>551</v>
      </c>
      <c r="R313" s="415" t="s">
        <v>551</v>
      </c>
      <c r="S313" s="32"/>
      <c r="T313" s="416"/>
      <c r="U313" s="416"/>
      <c r="V313" s="416"/>
      <c r="W313" s="416"/>
      <c r="X313" s="416"/>
      <c r="Y313" s="416"/>
      <c r="Z313" s="416"/>
      <c r="AA313" s="416"/>
      <c r="AB313" s="416"/>
      <c r="AC313" s="416"/>
      <c r="AD313" s="416"/>
      <c r="AE313" s="416"/>
      <c r="AF313" s="416"/>
      <c r="AG313" s="416"/>
      <c r="AH313" s="416"/>
      <c r="AI313" s="416"/>
      <c r="AJ313" s="416"/>
      <c r="AK313" s="416"/>
      <c r="AL313" s="416"/>
      <c r="AM313" s="416"/>
      <c r="AN313" s="416"/>
      <c r="AO313" s="416"/>
      <c r="AP313" s="416"/>
      <c r="AQ313" s="416"/>
      <c r="AR313" s="416"/>
      <c r="AS313" s="416"/>
      <c r="AT313" s="416"/>
      <c r="AU313" s="416"/>
      <c r="AV313" s="416"/>
      <c r="AW313" s="416"/>
      <c r="AX313" s="416"/>
      <c r="AY313" s="416">
        <f>H313</f>
        <v>3770.3984999999998</v>
      </c>
      <c r="AZ313" s="416"/>
      <c r="BA313" s="416"/>
      <c r="BB313" s="32"/>
    </row>
    <row r="314" spans="2:54">
      <c r="B314" s="1250" t="s">
        <v>644</v>
      </c>
      <c r="C314" s="1251"/>
      <c r="D314" s="411" t="s">
        <v>2129</v>
      </c>
      <c r="E314" s="425"/>
      <c r="F314" s="411" t="s">
        <v>246</v>
      </c>
      <c r="G314" s="411" t="s">
        <v>247</v>
      </c>
      <c r="H314" s="412">
        <f>H313</f>
        <v>3770.3984999999998</v>
      </c>
      <c r="I314" s="1283"/>
      <c r="J314" s="1269"/>
      <c r="K314" s="273"/>
      <c r="L314" s="414" t="s">
        <v>192</v>
      </c>
      <c r="M314" s="414" t="s">
        <v>192</v>
      </c>
      <c r="N314" s="413" t="str">
        <f t="shared" si="26"/>
        <v xml:space="preserve"> </v>
      </c>
      <c r="O314" s="51"/>
      <c r="P314" s="415" t="s">
        <v>551</v>
      </c>
      <c r="Q314" s="415" t="s">
        <v>551</v>
      </c>
      <c r="R314" s="415" t="s">
        <v>551</v>
      </c>
      <c r="S314" s="32"/>
      <c r="T314" s="416"/>
      <c r="U314" s="416"/>
      <c r="V314" s="416"/>
      <c r="W314" s="416"/>
      <c r="X314" s="416"/>
      <c r="Y314" s="416"/>
      <c r="Z314" s="416"/>
      <c r="AA314" s="416"/>
      <c r="AB314" s="416"/>
      <c r="AC314" s="416"/>
      <c r="AD314" s="416"/>
      <c r="AE314" s="416"/>
      <c r="AF314" s="416"/>
      <c r="AG314" s="416"/>
      <c r="AH314" s="416"/>
      <c r="AI314" s="416"/>
      <c r="AJ314" s="416"/>
      <c r="AK314" s="416"/>
      <c r="AL314" s="416"/>
      <c r="AM314" s="416"/>
      <c r="AN314" s="416"/>
      <c r="AO314" s="416"/>
      <c r="AP314" s="416"/>
      <c r="AQ314" s="416"/>
      <c r="AR314" s="416"/>
      <c r="AS314" s="416"/>
      <c r="AT314" s="416"/>
      <c r="AU314" s="416"/>
      <c r="AV314" s="416"/>
      <c r="AW314" s="416"/>
      <c r="AX314" s="416"/>
      <c r="AY314" s="416">
        <f>H314</f>
        <v>3770.3984999999998</v>
      </c>
      <c r="AZ314" s="416"/>
      <c r="BA314" s="416"/>
      <c r="BB314" s="32"/>
    </row>
    <row r="315" spans="2:54">
      <c r="B315" s="1254"/>
      <c r="C315" s="1255"/>
      <c r="D315" s="411" t="s">
        <v>2130</v>
      </c>
      <c r="E315" s="411"/>
      <c r="F315" s="411" t="s">
        <v>1313</v>
      </c>
      <c r="G315" s="411" t="s">
        <v>438</v>
      </c>
      <c r="H315" s="412">
        <v>7590.942</v>
      </c>
      <c r="I315" s="413" t="s">
        <v>494</v>
      </c>
      <c r="J315" s="414">
        <v>45125.902777777781</v>
      </c>
      <c r="K315" s="414"/>
      <c r="L315" s="414" t="s">
        <v>192</v>
      </c>
      <c r="M315" s="414" t="s">
        <v>192</v>
      </c>
      <c r="N315" s="413" t="str">
        <f t="shared" si="26"/>
        <v>DELAY ( 1 day 21 hour 40 minute )</v>
      </c>
      <c r="O315" s="51"/>
      <c r="P315" s="415" t="s">
        <v>551</v>
      </c>
      <c r="Q315" s="415" t="s">
        <v>551</v>
      </c>
      <c r="R315" s="415" t="s">
        <v>551</v>
      </c>
      <c r="S315" s="32"/>
      <c r="T315" s="416"/>
      <c r="U315" s="416"/>
      <c r="V315" s="416"/>
      <c r="W315" s="416"/>
      <c r="X315" s="416"/>
      <c r="Y315" s="416">
        <f t="shared" ref="Y315" si="27">H315</f>
        <v>7590.942</v>
      </c>
      <c r="Z315" s="416"/>
      <c r="AA315" s="416"/>
      <c r="AB315" s="416"/>
      <c r="AC315" s="416"/>
      <c r="AD315" s="416"/>
      <c r="AE315" s="416"/>
      <c r="AF315" s="416"/>
      <c r="AG315" s="416"/>
      <c r="AH315" s="416"/>
      <c r="AI315" s="416"/>
      <c r="AJ315" s="416"/>
      <c r="AK315" s="416"/>
      <c r="AL315" s="416"/>
      <c r="AM315" s="416"/>
      <c r="AN315" s="416"/>
      <c r="AO315" s="416"/>
      <c r="AP315" s="416"/>
      <c r="AQ315" s="416"/>
      <c r="AR315" s="416"/>
      <c r="AS315" s="416"/>
      <c r="AT315" s="416"/>
      <c r="AU315" s="416"/>
      <c r="AV315" s="416"/>
      <c r="AW315" s="416"/>
      <c r="AX315" s="416"/>
      <c r="AY315" s="416"/>
      <c r="AZ315" s="416"/>
      <c r="BA315" s="416"/>
      <c r="BB315" s="32"/>
    </row>
    <row r="316" spans="2:54">
      <c r="B316" s="1250" t="s">
        <v>653</v>
      </c>
      <c r="C316" s="1251"/>
      <c r="D316" s="411" t="s">
        <v>2131</v>
      </c>
      <c r="E316" s="411"/>
      <c r="F316" s="411" t="s">
        <v>288</v>
      </c>
      <c r="G316" s="411" t="s">
        <v>289</v>
      </c>
      <c r="H316" s="412">
        <f>7665.313-3014.648-1650.665</f>
        <v>3000</v>
      </c>
      <c r="I316" s="413" t="s">
        <v>494</v>
      </c>
      <c r="J316" s="571">
        <v>45125.493055555555</v>
      </c>
      <c r="K316" s="414"/>
      <c r="L316" s="414" t="s">
        <v>192</v>
      </c>
      <c r="M316" s="414" t="s">
        <v>192</v>
      </c>
      <c r="N316" s="413" t="str">
        <f t="shared" si="26"/>
        <v>DELAY ( 1 day 11 hour 50 minute )</v>
      </c>
      <c r="O316" s="51"/>
      <c r="P316" s="415" t="s">
        <v>551</v>
      </c>
      <c r="Q316" s="415" t="s">
        <v>551</v>
      </c>
      <c r="R316" s="415" t="s">
        <v>551</v>
      </c>
      <c r="S316" s="32"/>
      <c r="T316" s="416"/>
      <c r="U316" s="416"/>
      <c r="V316" s="416"/>
      <c r="W316" s="416"/>
      <c r="X316" s="416"/>
      <c r="Y316" s="416">
        <f>H316</f>
        <v>3000</v>
      </c>
      <c r="Z316" s="416"/>
      <c r="AA316" s="416"/>
      <c r="AB316" s="416"/>
      <c r="AC316" s="416"/>
      <c r="AD316" s="416"/>
      <c r="AE316" s="416"/>
      <c r="AF316" s="416"/>
      <c r="AG316" s="416"/>
      <c r="AH316" s="416"/>
      <c r="AI316" s="416"/>
      <c r="AJ316" s="416"/>
      <c r="AK316" s="416"/>
      <c r="AL316" s="416"/>
      <c r="AM316" s="416"/>
      <c r="AN316" s="416"/>
      <c r="AO316" s="416"/>
      <c r="AP316" s="416"/>
      <c r="AQ316" s="416"/>
      <c r="AR316" s="416"/>
      <c r="AS316" s="416"/>
      <c r="AT316" s="416"/>
      <c r="AU316" s="416"/>
      <c r="AV316" s="416"/>
      <c r="AW316" s="416"/>
      <c r="AX316" s="416"/>
      <c r="AY316" s="416"/>
      <c r="AZ316" s="416"/>
      <c r="BA316" s="416"/>
      <c r="BB316" s="32"/>
    </row>
    <row r="317" spans="2:54">
      <c r="B317" s="1254"/>
      <c r="C317" s="1255"/>
      <c r="D317" s="411" t="s">
        <v>2132</v>
      </c>
      <c r="E317" s="425"/>
      <c r="F317" s="411" t="s">
        <v>361</v>
      </c>
      <c r="G317" s="411" t="s">
        <v>362</v>
      </c>
      <c r="H317" s="412">
        <f>7335.905-2685.24</f>
        <v>4650.665</v>
      </c>
      <c r="I317" s="573" t="s">
        <v>235</v>
      </c>
      <c r="J317" s="1268">
        <v>45124.395833333336</v>
      </c>
      <c r="K317" s="414"/>
      <c r="L317" s="414" t="s">
        <v>192</v>
      </c>
      <c r="M317" s="414" t="s">
        <v>192</v>
      </c>
      <c r="N317" s="413" t="str">
        <f t="shared" si="26"/>
        <v>On time</v>
      </c>
      <c r="O317" s="51"/>
      <c r="P317" s="415" t="s">
        <v>551</v>
      </c>
      <c r="Q317" s="415" t="s">
        <v>551</v>
      </c>
      <c r="R317" s="415" t="s">
        <v>551</v>
      </c>
      <c r="S317" s="32"/>
      <c r="T317" s="416"/>
      <c r="U317" s="416"/>
      <c r="V317" s="416"/>
      <c r="W317" s="416"/>
      <c r="X317" s="416"/>
      <c r="Y317" s="416"/>
      <c r="Z317" s="416"/>
      <c r="AA317" s="416"/>
      <c r="AB317" s="416">
        <f>H317</f>
        <v>4650.665</v>
      </c>
      <c r="AC317" s="416"/>
      <c r="AD317" s="416"/>
      <c r="AE317" s="416"/>
      <c r="AF317" s="416"/>
      <c r="AG317" s="416"/>
      <c r="AH317" s="416"/>
      <c r="AI317" s="416"/>
      <c r="AJ317" s="416"/>
      <c r="AK317" s="416"/>
      <c r="AL317" s="416"/>
      <c r="AM317" s="416"/>
      <c r="AN317" s="416"/>
      <c r="AO317" s="416"/>
      <c r="AP317" s="416"/>
      <c r="AQ317" s="416"/>
      <c r="AR317" s="416"/>
      <c r="AS317" s="416"/>
      <c r="AT317" s="416"/>
      <c r="AU317" s="416"/>
      <c r="AV317" s="416"/>
      <c r="AW317" s="416"/>
      <c r="AX317" s="416"/>
      <c r="AY317" s="416"/>
      <c r="AZ317" s="32"/>
      <c r="BA317" s="416"/>
      <c r="BB317" s="32"/>
    </row>
    <row r="318" spans="2:54">
      <c r="B318" s="1250" t="s">
        <v>653</v>
      </c>
      <c r="C318" s="1251"/>
      <c r="D318" s="411" t="s">
        <v>2132</v>
      </c>
      <c r="E318" s="425"/>
      <c r="F318" s="411" t="s">
        <v>361</v>
      </c>
      <c r="G318" s="411" t="s">
        <v>362</v>
      </c>
      <c r="H318" s="412">
        <f>7335.905-H317</f>
        <v>2685.24</v>
      </c>
      <c r="I318" s="573" t="s">
        <v>235</v>
      </c>
      <c r="J318" s="1269"/>
      <c r="K318" s="414"/>
      <c r="L318" s="414" t="s">
        <v>192</v>
      </c>
      <c r="M318" s="414" t="s">
        <v>192</v>
      </c>
      <c r="N318" s="413" t="str">
        <f t="shared" si="26"/>
        <v xml:space="preserve"> </v>
      </c>
      <c r="O318" s="51"/>
      <c r="P318" s="415" t="s">
        <v>551</v>
      </c>
      <c r="Q318" s="415" t="s">
        <v>551</v>
      </c>
      <c r="R318" s="415" t="s">
        <v>551</v>
      </c>
      <c r="S318" s="32"/>
      <c r="T318" s="416"/>
      <c r="U318" s="416"/>
      <c r="V318" s="416"/>
      <c r="W318" s="416"/>
      <c r="X318" s="416"/>
      <c r="Y318" s="416"/>
      <c r="Z318" s="416"/>
      <c r="AA318" s="416"/>
      <c r="AB318" s="416">
        <f>H318</f>
        <v>2685.24</v>
      </c>
      <c r="AC318" s="416"/>
      <c r="AD318" s="416"/>
      <c r="AE318" s="416"/>
      <c r="AF318" s="416"/>
      <c r="AG318" s="416"/>
      <c r="AH318" s="416"/>
      <c r="AI318" s="416"/>
      <c r="AJ318" s="416"/>
      <c r="AK318" s="416"/>
      <c r="AL318" s="416"/>
      <c r="AM318" s="416"/>
      <c r="AN318" s="416"/>
      <c r="AO318" s="416"/>
      <c r="AP318" s="416"/>
      <c r="AQ318" s="416"/>
      <c r="AR318" s="416"/>
      <c r="AS318" s="416"/>
      <c r="AT318" s="416"/>
      <c r="AU318" s="416"/>
      <c r="AV318" s="416"/>
      <c r="AW318" s="416"/>
      <c r="AX318" s="416"/>
      <c r="AY318" s="416"/>
      <c r="AZ318" s="32"/>
      <c r="BA318" s="416"/>
      <c r="BB318" s="32"/>
    </row>
    <row r="319" spans="2:54">
      <c r="B319" s="1254"/>
      <c r="C319" s="1255"/>
      <c r="D319" s="411" t="s">
        <v>2100</v>
      </c>
      <c r="E319" s="411"/>
      <c r="F319" s="411" t="s">
        <v>233</v>
      </c>
      <c r="G319" s="411" t="s">
        <v>234</v>
      </c>
      <c r="H319" s="412">
        <v>2486.2399999999998</v>
      </c>
      <c r="I319" s="413" t="s">
        <v>494</v>
      </c>
      <c r="J319" s="414">
        <v>45126.791666666664</v>
      </c>
      <c r="K319" s="414"/>
      <c r="L319" s="414" t="s">
        <v>192</v>
      </c>
      <c r="M319" s="414" t="s">
        <v>192</v>
      </c>
      <c r="N319" s="413" t="str">
        <f t="shared" si="26"/>
        <v>DELAY ( 2 day 19 hour 0 minute )</v>
      </c>
      <c r="O319" s="51"/>
      <c r="P319" s="415" t="s">
        <v>551</v>
      </c>
      <c r="Q319" s="415" t="s">
        <v>551</v>
      </c>
      <c r="R319" s="415" t="s">
        <v>551</v>
      </c>
      <c r="S319" s="32"/>
      <c r="T319" s="416"/>
      <c r="U319" s="416"/>
      <c r="V319" s="416"/>
      <c r="W319" s="416"/>
      <c r="X319" s="416"/>
      <c r="Y319" s="416">
        <f>H319</f>
        <v>2486.2399999999998</v>
      </c>
      <c r="Z319" s="416"/>
      <c r="AA319" s="416"/>
      <c r="AB319" s="416"/>
      <c r="AC319" s="416"/>
      <c r="AD319" s="416"/>
      <c r="AE319" s="416"/>
      <c r="AF319" s="416"/>
      <c r="AG319" s="416"/>
      <c r="AH319" s="416"/>
      <c r="AI319" s="416"/>
      <c r="AJ319" s="416"/>
      <c r="AK319" s="416"/>
      <c r="AL319" s="416"/>
      <c r="AM319" s="416"/>
      <c r="AN319" s="416"/>
      <c r="AO319" s="416"/>
      <c r="AP319" s="416"/>
      <c r="AQ319" s="416"/>
      <c r="AR319" s="416"/>
      <c r="AS319" s="416"/>
      <c r="AT319" s="416"/>
      <c r="AU319" s="416"/>
      <c r="AV319" s="416"/>
      <c r="AW319" s="416"/>
      <c r="AX319" s="416"/>
      <c r="AY319" s="416"/>
      <c r="AZ319" s="416"/>
      <c r="BA319" s="416"/>
      <c r="BB319" s="32"/>
    </row>
    <row r="320" spans="2:54">
      <c r="B320" s="1256" t="s">
        <v>548</v>
      </c>
      <c r="C320" s="1257"/>
      <c r="D320" s="411" t="s">
        <v>2131</v>
      </c>
      <c r="E320" s="411"/>
      <c r="F320" s="411" t="s">
        <v>288</v>
      </c>
      <c r="G320" s="411" t="s">
        <v>289</v>
      </c>
      <c r="H320" s="412">
        <f>7665.313-3000-908.754</f>
        <v>3756.5590000000002</v>
      </c>
      <c r="I320" s="413" t="s">
        <v>494</v>
      </c>
      <c r="J320" s="273">
        <v>45125.493055555555</v>
      </c>
      <c r="K320" s="414"/>
      <c r="L320" s="414" t="s">
        <v>192</v>
      </c>
      <c r="M320" s="414" t="s">
        <v>192</v>
      </c>
      <c r="N320" s="413" t="str">
        <f t="shared" si="26"/>
        <v>DELAY ( 1 day 11 hour 50 minute )</v>
      </c>
      <c r="O320" s="51"/>
      <c r="P320" s="415" t="s">
        <v>551</v>
      </c>
      <c r="Q320" s="415" t="s">
        <v>551</v>
      </c>
      <c r="R320" s="415" t="s">
        <v>551</v>
      </c>
      <c r="S320" s="32"/>
      <c r="T320" s="416"/>
      <c r="U320" s="416"/>
      <c r="V320" s="416"/>
      <c r="W320" s="416"/>
      <c r="X320" s="416"/>
      <c r="Y320" s="416">
        <f>H320-H324</f>
        <v>2658.7040000000002</v>
      </c>
      <c r="Z320" s="416"/>
      <c r="AA320" s="416"/>
      <c r="AB320" s="416"/>
      <c r="AC320" s="416"/>
      <c r="AD320" s="416"/>
      <c r="AE320" s="416"/>
      <c r="AF320" s="416"/>
      <c r="AG320" s="416"/>
      <c r="AH320" s="416"/>
      <c r="AI320" s="416"/>
      <c r="AJ320" s="416"/>
      <c r="AK320" s="416"/>
      <c r="AL320" s="416"/>
      <c r="AM320" s="416"/>
      <c r="AN320" s="416"/>
      <c r="AO320" s="416"/>
      <c r="AP320" s="416"/>
      <c r="AQ320" s="416"/>
      <c r="AR320" s="416"/>
      <c r="AS320" s="416"/>
      <c r="AT320" s="416"/>
      <c r="AU320" s="416"/>
      <c r="AV320" s="416"/>
      <c r="AW320" s="416"/>
      <c r="AX320" s="416"/>
      <c r="AY320" s="416"/>
      <c r="AZ320" s="416"/>
      <c r="BA320" s="416"/>
      <c r="BB320" s="32"/>
    </row>
    <row r="321" spans="2:56">
      <c r="B321" s="1258" t="s">
        <v>556</v>
      </c>
      <c r="C321" s="1259"/>
      <c r="D321" s="1259"/>
      <c r="E321" s="1259"/>
      <c r="F321" s="1259"/>
      <c r="G321" s="1260"/>
      <c r="H321" s="417">
        <f>SUM(H307:H320)</f>
        <v>66000</v>
      </c>
      <c r="I321" s="388"/>
      <c r="J321" s="293"/>
      <c r="K321" s="293"/>
      <c r="L321" s="293"/>
      <c r="M321" s="389"/>
      <c r="N321" s="413" t="str">
        <f t="shared" si="26"/>
        <v xml:space="preserve"> </v>
      </c>
      <c r="O321" s="47"/>
      <c r="P321" s="418"/>
      <c r="Q321" s="418"/>
      <c r="R321" s="418"/>
      <c r="S321" s="32"/>
      <c r="T321" s="1262"/>
      <c r="U321" s="1263"/>
      <c r="V321" s="1263"/>
      <c r="W321" s="1263"/>
      <c r="X321" s="1263"/>
      <c r="Y321" s="1263"/>
      <c r="Z321" s="1263"/>
      <c r="AA321" s="1263"/>
      <c r="AB321" s="1263"/>
      <c r="AC321" s="1263"/>
      <c r="AD321" s="1263"/>
      <c r="AE321" s="1263"/>
      <c r="AF321" s="1263"/>
      <c r="AG321" s="1263"/>
      <c r="AH321" s="1263"/>
      <c r="AI321" s="1263"/>
      <c r="AJ321" s="1263"/>
      <c r="AK321" s="1263"/>
      <c r="AL321" s="1263"/>
      <c r="AM321" s="1263"/>
      <c r="AN321" s="1263"/>
      <c r="AO321" s="1263"/>
      <c r="AP321" s="1263"/>
      <c r="AQ321" s="1263"/>
      <c r="AR321" s="1263"/>
      <c r="AS321" s="1263"/>
      <c r="AT321" s="1263"/>
      <c r="AU321" s="1263"/>
      <c r="AV321" s="1263"/>
      <c r="AW321" s="1263"/>
      <c r="AX321" s="1263"/>
      <c r="AY321" s="1263"/>
      <c r="AZ321" s="1263"/>
      <c r="BA321" s="1263"/>
    </row>
    <row r="322" spans="2:56">
      <c r="B322" s="1243" t="s">
        <v>557</v>
      </c>
      <c r="C322" s="1244"/>
      <c r="D322" s="1244"/>
      <c r="E322" s="1244"/>
      <c r="F322" s="1244"/>
      <c r="G322" s="1245"/>
      <c r="H322" s="419">
        <v>66000</v>
      </c>
      <c r="I322" s="1246"/>
      <c r="J322" s="1247"/>
      <c r="K322" s="1247"/>
      <c r="L322" s="1247"/>
      <c r="M322" s="1248"/>
      <c r="N322" s="413" t="str">
        <f t="shared" si="26"/>
        <v xml:space="preserve"> </v>
      </c>
      <c r="O322" s="32"/>
      <c r="P322" s="415"/>
      <c r="Q322" s="415"/>
      <c r="R322" s="415"/>
      <c r="S322" s="63"/>
      <c r="T322" s="416">
        <f t="shared" ref="T322:BA322" si="28">SUM(T307:T320)</f>
        <v>0</v>
      </c>
      <c r="U322" s="416">
        <f t="shared" si="28"/>
        <v>0</v>
      </c>
      <c r="V322" s="416">
        <f t="shared" si="28"/>
        <v>0</v>
      </c>
      <c r="W322" s="416">
        <f t="shared" si="28"/>
        <v>0</v>
      </c>
      <c r="X322" s="416">
        <f t="shared" si="28"/>
        <v>0</v>
      </c>
      <c r="Y322" s="416">
        <f t="shared" si="28"/>
        <v>42525.442999999999</v>
      </c>
      <c r="Z322" s="416">
        <f t="shared" si="28"/>
        <v>0</v>
      </c>
      <c r="AA322" s="416">
        <f t="shared" si="28"/>
        <v>0</v>
      </c>
      <c r="AB322" s="416">
        <f t="shared" si="28"/>
        <v>7335.9049999999997</v>
      </c>
      <c r="AC322" s="416">
        <f t="shared" si="28"/>
        <v>0</v>
      </c>
      <c r="AD322" s="416">
        <f t="shared" si="28"/>
        <v>0</v>
      </c>
      <c r="AE322" s="416">
        <f t="shared" si="28"/>
        <v>0</v>
      </c>
      <c r="AF322" s="416">
        <f t="shared" si="28"/>
        <v>0</v>
      </c>
      <c r="AG322" s="416">
        <f t="shared" si="28"/>
        <v>0</v>
      </c>
      <c r="AH322" s="416">
        <f t="shared" si="28"/>
        <v>0</v>
      </c>
      <c r="AI322" s="416">
        <f t="shared" si="28"/>
        <v>0</v>
      </c>
      <c r="AJ322" s="416">
        <f t="shared" si="28"/>
        <v>7500</v>
      </c>
      <c r="AK322" s="416">
        <f t="shared" si="28"/>
        <v>0</v>
      </c>
      <c r="AL322" s="416">
        <f t="shared" si="28"/>
        <v>0</v>
      </c>
      <c r="AM322" s="416">
        <f t="shared" si="28"/>
        <v>0</v>
      </c>
      <c r="AN322" s="416">
        <f t="shared" si="28"/>
        <v>0</v>
      </c>
      <c r="AO322" s="416">
        <f t="shared" si="28"/>
        <v>0</v>
      </c>
      <c r="AP322" s="416">
        <f t="shared" si="28"/>
        <v>0</v>
      </c>
      <c r="AQ322" s="416">
        <f t="shared" si="28"/>
        <v>0</v>
      </c>
      <c r="AR322" s="416">
        <f t="shared" si="28"/>
        <v>0</v>
      </c>
      <c r="AS322" s="416">
        <f t="shared" si="28"/>
        <v>0</v>
      </c>
      <c r="AT322" s="416">
        <f t="shared" si="28"/>
        <v>0</v>
      </c>
      <c r="AU322" s="416">
        <f t="shared" si="28"/>
        <v>0</v>
      </c>
      <c r="AV322" s="416">
        <f t="shared" si="28"/>
        <v>0</v>
      </c>
      <c r="AW322" s="416">
        <f t="shared" si="28"/>
        <v>0</v>
      </c>
      <c r="AX322" s="416">
        <f t="shared" si="28"/>
        <v>0</v>
      </c>
      <c r="AY322" s="416">
        <f t="shared" si="28"/>
        <v>7540.7969999999996</v>
      </c>
      <c r="AZ322" s="416">
        <f t="shared" si="28"/>
        <v>0</v>
      </c>
      <c r="BA322" s="416">
        <f t="shared" si="28"/>
        <v>0</v>
      </c>
      <c r="BB322" s="416">
        <f>SUM(T322:BA322)</f>
        <v>64902.144999999997</v>
      </c>
    </row>
    <row r="323" spans="2:56">
      <c r="B323" s="1243" t="s">
        <v>558</v>
      </c>
      <c r="C323" s="1244"/>
      <c r="D323" s="1244"/>
      <c r="E323" s="1244"/>
      <c r="F323" s="1244"/>
      <c r="G323" s="1245"/>
      <c r="H323" s="420">
        <f>H322-L301</f>
        <v>0</v>
      </c>
      <c r="I323" s="294"/>
      <c r="J323" s="295"/>
      <c r="K323" s="295"/>
      <c r="L323" s="296"/>
      <c r="M323" s="32"/>
      <c r="N323" s="32"/>
      <c r="O323" s="32"/>
      <c r="P323" s="32"/>
      <c r="Q323" s="297"/>
      <c r="R323" s="297"/>
      <c r="S323" s="32"/>
      <c r="T323" s="48"/>
      <c r="U323" s="48"/>
      <c r="V323" s="48"/>
      <c r="W323" s="48"/>
      <c r="X323" s="48"/>
      <c r="Y323" s="48"/>
      <c r="Z323" s="48"/>
      <c r="AA323" s="48"/>
      <c r="AB323" s="48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</row>
    <row r="324" spans="2:56">
      <c r="B324" s="1243" t="s">
        <v>559</v>
      </c>
      <c r="C324" s="1244"/>
      <c r="D324" s="1244"/>
      <c r="E324" s="1244"/>
      <c r="F324" s="1244"/>
      <c r="G324" s="1245"/>
      <c r="H324" s="446">
        <v>1097.855</v>
      </c>
      <c r="I324" s="52"/>
      <c r="J324" s="53"/>
      <c r="K324" s="53"/>
      <c r="L324" s="54"/>
      <c r="M324" s="32"/>
      <c r="N324" s="32"/>
      <c r="O324" s="32"/>
      <c r="P324" s="32"/>
      <c r="Q324" s="32"/>
      <c r="R324" s="32"/>
      <c r="S324" s="32"/>
      <c r="T324" s="48"/>
      <c r="U324" s="48"/>
      <c r="V324" s="48"/>
      <c r="W324" s="48"/>
      <c r="X324" s="48"/>
      <c r="Y324" s="48"/>
      <c r="Z324" s="48"/>
      <c r="AA324" s="48"/>
      <c r="AB324" s="48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</row>
    <row r="325" spans="2:56">
      <c r="B325" s="1243" t="s">
        <v>560</v>
      </c>
      <c r="C325" s="1244"/>
      <c r="D325" s="1244"/>
      <c r="E325" s="1244"/>
      <c r="F325" s="1244"/>
      <c r="G325" s="1245"/>
      <c r="H325" s="420">
        <f>H324-908.754</f>
        <v>189.101</v>
      </c>
      <c r="I325" s="52"/>
      <c r="J325" s="53"/>
      <c r="K325" s="53"/>
      <c r="L325" s="54"/>
      <c r="M325" s="32"/>
      <c r="N325" s="32"/>
      <c r="O325" s="32"/>
      <c r="P325" s="32"/>
      <c r="Q325" s="32"/>
      <c r="R325" s="32"/>
      <c r="S325" s="48"/>
      <c r="T325" s="48"/>
      <c r="U325" s="48"/>
      <c r="V325" s="48"/>
      <c r="W325" s="48"/>
      <c r="X325" s="48"/>
      <c r="Y325" s="48"/>
      <c r="Z325" s="48"/>
      <c r="AA325" s="48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</row>
    <row r="326" spans="2:56">
      <c r="B326" s="32"/>
      <c r="C326" s="32"/>
      <c r="D326" s="32"/>
      <c r="E326" s="32"/>
      <c r="F326" s="32"/>
      <c r="G326" s="32"/>
      <c r="H326" s="32"/>
      <c r="I326" s="57"/>
      <c r="J326" s="52"/>
      <c r="K326" s="52"/>
      <c r="L326" s="55"/>
      <c r="M326" s="32"/>
      <c r="N326" s="32"/>
      <c r="O326" s="52"/>
      <c r="P326" s="32"/>
      <c r="Q326" s="32"/>
      <c r="R326" s="32"/>
      <c r="S326" s="32"/>
      <c r="T326" s="48"/>
      <c r="U326" s="48"/>
      <c r="V326" s="48"/>
      <c r="W326" s="48"/>
      <c r="X326" s="48"/>
      <c r="Y326" s="48"/>
      <c r="Z326" s="48"/>
      <c r="AA326" s="48"/>
      <c r="AB326" s="48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</row>
    <row r="327" spans="2:56">
      <c r="B327" s="40" t="s">
        <v>561</v>
      </c>
      <c r="C327" s="40"/>
      <c r="D327" s="32"/>
      <c r="E327" s="32"/>
      <c r="F327" s="32"/>
      <c r="G327" s="32"/>
      <c r="H327" s="32"/>
      <c r="I327" s="32"/>
      <c r="J327" s="52"/>
      <c r="K327" s="52"/>
      <c r="L327" s="55"/>
      <c r="M327" s="32"/>
      <c r="N327" s="32"/>
      <c r="O327" s="52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BB327" s="32"/>
    </row>
    <row r="328" spans="2:56">
      <c r="B328" s="422">
        <v>1</v>
      </c>
      <c r="C328" s="1249" t="s">
        <v>2133</v>
      </c>
      <c r="D328" s="1249"/>
      <c r="E328" s="1249"/>
      <c r="F328" s="1249"/>
      <c r="G328" s="1249"/>
      <c r="H328" s="1249"/>
      <c r="I328" s="1249"/>
      <c r="J328" s="1249"/>
      <c r="K328" s="1249"/>
      <c r="L328" s="55"/>
      <c r="M328" s="55"/>
      <c r="N328" s="32"/>
      <c r="O328" s="52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</row>
    <row r="330" spans="2:56">
      <c r="B330" s="28" t="s">
        <v>126</v>
      </c>
      <c r="C330" s="28"/>
      <c r="D330" s="29"/>
      <c r="E330" s="30" t="s">
        <v>511</v>
      </c>
      <c r="F330" s="31" t="s">
        <v>2134</v>
      </c>
      <c r="G330" s="32"/>
      <c r="H330" s="33"/>
      <c r="I330" s="34"/>
      <c r="J330" s="35" t="s">
        <v>513</v>
      </c>
      <c r="K330" s="36" t="s">
        <v>511</v>
      </c>
      <c r="L330" s="37">
        <v>45131.505555555559</v>
      </c>
      <c r="M330" s="32"/>
      <c r="N330" s="32"/>
      <c r="O330" s="36"/>
      <c r="P330" s="33"/>
      <c r="Q330" s="48"/>
      <c r="R330" s="49"/>
      <c r="S330" s="38"/>
      <c r="T330" s="32"/>
      <c r="U330" s="32"/>
      <c r="V330" s="32"/>
      <c r="W330" s="32"/>
      <c r="X330" s="32"/>
      <c r="Y330" s="32"/>
      <c r="Z330" s="32"/>
      <c r="AA330" s="32"/>
      <c r="AB330" s="48"/>
      <c r="AC330" s="48"/>
      <c r="AD330" s="48"/>
      <c r="AE330" s="48"/>
      <c r="AF330" s="48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</row>
    <row r="331" spans="2:56">
      <c r="B331" s="35" t="s">
        <v>514</v>
      </c>
      <c r="C331" s="35"/>
      <c r="D331" s="32"/>
      <c r="E331" s="36" t="s">
        <v>511</v>
      </c>
      <c r="F331" s="37" t="s">
        <v>2121</v>
      </c>
      <c r="G331" s="32"/>
      <c r="H331" s="33"/>
      <c r="I331" s="34"/>
      <c r="J331" s="35" t="s">
        <v>516</v>
      </c>
      <c r="K331" s="36" t="s">
        <v>511</v>
      </c>
      <c r="L331" s="37">
        <v>45132.90902777778</v>
      </c>
      <c r="M331" s="32"/>
      <c r="N331" s="32"/>
      <c r="O331" s="36"/>
      <c r="P331" s="33"/>
      <c r="Q331" s="48"/>
      <c r="R331" s="49"/>
      <c r="S331" s="38"/>
      <c r="T331" s="32"/>
      <c r="U331" s="32"/>
      <c r="V331" s="32"/>
      <c r="W331" s="32"/>
      <c r="X331" s="32"/>
      <c r="Y331" s="32"/>
      <c r="Z331" s="32"/>
      <c r="AA331" s="32"/>
      <c r="AB331" s="48"/>
      <c r="AC331" s="48"/>
      <c r="AD331" s="48"/>
      <c r="AE331" s="48"/>
      <c r="AF331" s="48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</row>
    <row r="332" spans="2:56">
      <c r="B332" s="35" t="s">
        <v>517</v>
      </c>
      <c r="C332" s="35"/>
      <c r="D332" s="32"/>
      <c r="E332" s="36" t="s">
        <v>511</v>
      </c>
      <c r="F332" s="37">
        <v>45131.025000000001</v>
      </c>
      <c r="G332" s="32"/>
      <c r="H332" s="33"/>
      <c r="I332" s="34"/>
      <c r="J332" s="35" t="s">
        <v>518</v>
      </c>
      <c r="K332" s="36" t="s">
        <v>511</v>
      </c>
      <c r="L332" s="50">
        <v>67003</v>
      </c>
      <c r="M332" s="40" t="s">
        <v>519</v>
      </c>
      <c r="N332" s="40"/>
      <c r="O332" s="36"/>
      <c r="P332" s="33"/>
      <c r="Q332" s="48"/>
      <c r="R332" s="49"/>
      <c r="S332" s="38"/>
      <c r="T332" s="32"/>
      <c r="U332" s="32"/>
      <c r="V332" s="32"/>
      <c r="W332" s="32"/>
      <c r="X332" s="32"/>
      <c r="Y332" s="32"/>
      <c r="Z332" s="32"/>
      <c r="AA332" s="32"/>
      <c r="AB332" s="48"/>
      <c r="AC332" s="48"/>
      <c r="AD332" s="48"/>
      <c r="AE332" s="48"/>
      <c r="AF332" s="48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</row>
    <row r="333" spans="2:56">
      <c r="B333" s="35" t="s">
        <v>520</v>
      </c>
      <c r="C333" s="35"/>
      <c r="D333" s="32"/>
      <c r="E333" s="36" t="s">
        <v>511</v>
      </c>
      <c r="F333" s="37" t="s">
        <v>20</v>
      </c>
      <c r="G333" s="32"/>
      <c r="H333" s="33"/>
      <c r="I333" s="34"/>
      <c r="J333" s="35" t="s">
        <v>521</v>
      </c>
      <c r="K333" s="36" t="s">
        <v>511</v>
      </c>
      <c r="L333" s="41" t="s">
        <v>2135</v>
      </c>
      <c r="M333" s="32"/>
      <c r="N333" s="32"/>
      <c r="O333" s="36"/>
      <c r="P333" s="48"/>
      <c r="Q333" s="48"/>
      <c r="R333" s="49"/>
      <c r="S333" s="38"/>
      <c r="T333" s="32"/>
      <c r="U333" s="32"/>
      <c r="V333" s="32"/>
      <c r="W333" s="32"/>
      <c r="X333" s="32"/>
      <c r="Y333" s="32"/>
      <c r="Z333" s="32"/>
      <c r="AA333" s="32"/>
      <c r="AB333" s="48"/>
      <c r="AC333" s="48"/>
      <c r="AD333" s="48"/>
      <c r="AE333" s="48"/>
      <c r="AF333" s="48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</row>
    <row r="334" spans="2:56">
      <c r="B334" s="35" t="s">
        <v>523</v>
      </c>
      <c r="C334" s="35"/>
      <c r="D334" s="32"/>
      <c r="E334" s="36" t="s">
        <v>511</v>
      </c>
      <c r="F334" s="37" t="s">
        <v>47</v>
      </c>
      <c r="G334" s="32"/>
      <c r="H334" s="33"/>
      <c r="I334" s="34"/>
      <c r="J334" s="42" t="s">
        <v>524</v>
      </c>
      <c r="K334" s="36" t="s">
        <v>511</v>
      </c>
      <c r="L334" s="43" t="s">
        <v>15</v>
      </c>
      <c r="M334" s="44"/>
      <c r="N334" s="44"/>
      <c r="O334" s="36"/>
      <c r="P334" s="33"/>
      <c r="Q334" s="48"/>
      <c r="R334" s="49"/>
      <c r="S334" s="38"/>
      <c r="T334" s="32"/>
      <c r="U334" s="32"/>
      <c r="V334" s="32"/>
      <c r="W334" s="32"/>
      <c r="X334" s="32"/>
      <c r="Y334" s="32"/>
      <c r="Z334" s="32"/>
      <c r="AA334" s="32"/>
      <c r="AB334" s="48"/>
      <c r="AC334" s="48"/>
      <c r="AD334" s="48"/>
      <c r="AE334" s="48"/>
      <c r="AF334" s="48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</row>
    <row r="335" spans="2:56">
      <c r="B335" s="35" t="s">
        <v>2</v>
      </c>
      <c r="C335" s="35"/>
      <c r="D335" s="32"/>
      <c r="E335" s="36" t="s">
        <v>511</v>
      </c>
      <c r="F335" s="37" t="s">
        <v>14</v>
      </c>
      <c r="G335" s="32"/>
      <c r="H335" s="33"/>
      <c r="I335" s="45"/>
      <c r="J335" s="42"/>
      <c r="K335" s="36"/>
      <c r="L335" s="37"/>
      <c r="M335" s="32"/>
      <c r="N335" s="32"/>
      <c r="O335" s="42"/>
      <c r="P335" s="44"/>
      <c r="Q335" s="44"/>
      <c r="R335" s="44"/>
      <c r="S335" s="34"/>
      <c r="T335" s="32"/>
      <c r="U335" s="32"/>
      <c r="V335" s="32"/>
      <c r="W335" s="32"/>
      <c r="X335" s="32"/>
      <c r="Y335" s="32"/>
      <c r="Z335" s="32"/>
      <c r="AA335" s="32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</row>
    <row r="336" spans="2:56">
      <c r="B336" s="32"/>
      <c r="C336" s="32"/>
      <c r="D336" s="32"/>
      <c r="E336" s="32"/>
      <c r="F336" s="32"/>
      <c r="G336" s="32"/>
      <c r="H336" s="32"/>
      <c r="I336" s="45"/>
      <c r="J336" s="42"/>
      <c r="K336" s="42"/>
      <c r="L336" s="43"/>
      <c r="M336" s="44"/>
      <c r="N336" s="44"/>
      <c r="O336" s="42"/>
      <c r="P336" s="44"/>
      <c r="Q336" s="44"/>
      <c r="R336" s="44"/>
      <c r="S336" s="34"/>
      <c r="T336" s="1270" t="s">
        <v>87</v>
      </c>
      <c r="U336" s="1270"/>
      <c r="V336" s="1270"/>
      <c r="W336" s="1270"/>
      <c r="X336" s="1270"/>
      <c r="Y336" s="1270" t="s">
        <v>73</v>
      </c>
      <c r="Z336" s="1270"/>
      <c r="AA336" s="1270"/>
      <c r="AB336" s="1270" t="s">
        <v>74</v>
      </c>
      <c r="AC336" s="1270"/>
      <c r="AD336" s="407" t="s">
        <v>85</v>
      </c>
      <c r="AE336" s="407" t="s">
        <v>77</v>
      </c>
      <c r="AF336" s="1270" t="s">
        <v>525</v>
      </c>
      <c r="AG336" s="1270"/>
      <c r="AH336" s="1270"/>
      <c r="AI336" s="1270"/>
      <c r="AJ336" s="1270"/>
      <c r="AK336" s="1270"/>
      <c r="AL336" s="1270"/>
      <c r="AM336" s="1270"/>
      <c r="AN336" s="1270"/>
      <c r="AO336" s="1270"/>
      <c r="AP336" s="1270"/>
      <c r="AQ336" s="1270"/>
      <c r="AR336" s="1270"/>
      <c r="AS336" s="1270"/>
      <c r="AT336" s="1270"/>
      <c r="AU336" s="1270"/>
      <c r="AV336" s="1270"/>
      <c r="AW336" s="1270"/>
      <c r="AX336" s="1270"/>
      <c r="AY336" s="1270"/>
      <c r="AZ336" s="1270"/>
      <c r="BA336" s="1270"/>
      <c r="BB336" s="1270"/>
      <c r="BC336" s="1270"/>
      <c r="BD336" s="32"/>
    </row>
    <row r="337" spans="2:56">
      <c r="B337" s="1266" t="s">
        <v>526</v>
      </c>
      <c r="C337" s="1267"/>
      <c r="D337" s="570" t="s">
        <v>527</v>
      </c>
      <c r="E337" s="570"/>
      <c r="F337" s="570" t="s">
        <v>528</v>
      </c>
      <c r="G337" s="570" t="s">
        <v>529</v>
      </c>
      <c r="H337" s="570" t="s">
        <v>530</v>
      </c>
      <c r="I337" s="570" t="s">
        <v>531</v>
      </c>
      <c r="J337" s="570" t="s">
        <v>532</v>
      </c>
      <c r="K337" s="570"/>
      <c r="L337" s="570" t="s">
        <v>130</v>
      </c>
      <c r="M337" s="570" t="s">
        <v>533</v>
      </c>
      <c r="N337" s="408" t="str">
        <f>"On time - "&amp;COUNTIF(N338:N347,"On time")&amp;" from "&amp;ROWS(N338:N347)-COUNTIF(N338:N347," ")</f>
        <v>On time - 8 from 8</v>
      </c>
      <c r="O337" s="46"/>
      <c r="P337" s="409" t="s">
        <v>534</v>
      </c>
      <c r="Q337" s="409" t="s">
        <v>535</v>
      </c>
      <c r="R337" s="409" t="s">
        <v>536</v>
      </c>
      <c r="S337" s="32"/>
      <c r="T337" s="410" t="s">
        <v>537</v>
      </c>
      <c r="U337" s="410" t="s">
        <v>538</v>
      </c>
      <c r="V337" s="410" t="s">
        <v>539</v>
      </c>
      <c r="W337" s="410" t="s">
        <v>540</v>
      </c>
      <c r="X337" s="410" t="s">
        <v>541</v>
      </c>
      <c r="Y337" s="410" t="s">
        <v>167</v>
      </c>
      <c r="Z337" s="410" t="s">
        <v>168</v>
      </c>
      <c r="AA337" s="410" t="s">
        <v>169</v>
      </c>
      <c r="AB337" s="410" t="s">
        <v>235</v>
      </c>
      <c r="AC337" s="410" t="s">
        <v>240</v>
      </c>
      <c r="AD337" s="407" t="s">
        <v>85</v>
      </c>
      <c r="AE337" s="410" t="s">
        <v>139</v>
      </c>
      <c r="AF337" s="410" t="s">
        <v>72</v>
      </c>
      <c r="AG337" s="410" t="s">
        <v>88</v>
      </c>
      <c r="AH337" s="410" t="s">
        <v>75</v>
      </c>
      <c r="AI337" s="410" t="s">
        <v>543</v>
      </c>
      <c r="AJ337" s="410" t="s">
        <v>78</v>
      </c>
      <c r="AK337" s="410" t="s">
        <v>76</v>
      </c>
      <c r="AL337" s="410" t="s">
        <v>544</v>
      </c>
      <c r="AM337" s="410" t="s">
        <v>545</v>
      </c>
      <c r="AN337" s="410" t="s">
        <v>86</v>
      </c>
      <c r="AO337" s="410" t="s">
        <v>83</v>
      </c>
      <c r="AP337" s="410" t="s">
        <v>84</v>
      </c>
      <c r="AQ337" s="410" t="s">
        <v>546</v>
      </c>
      <c r="AR337" s="410" t="s">
        <v>81</v>
      </c>
      <c r="AS337" s="410" t="s">
        <v>80</v>
      </c>
      <c r="AT337" s="410" t="s">
        <v>82</v>
      </c>
      <c r="AU337" s="410" t="s">
        <v>181</v>
      </c>
      <c r="AV337" s="410" t="s">
        <v>183</v>
      </c>
      <c r="AW337" s="410" t="s">
        <v>547</v>
      </c>
      <c r="AX337" s="410" t="s">
        <v>182</v>
      </c>
      <c r="AY337" s="410" t="s">
        <v>172</v>
      </c>
      <c r="AZ337" s="410" t="s">
        <v>173</v>
      </c>
      <c r="BA337" s="410" t="s">
        <v>184</v>
      </c>
      <c r="BB337" s="410" t="s">
        <v>100</v>
      </c>
      <c r="BC337" s="410" t="s">
        <v>913</v>
      </c>
      <c r="BD337" s="32"/>
    </row>
    <row r="338" spans="2:56">
      <c r="B338" s="1256">
        <v>1</v>
      </c>
      <c r="C338" s="1257"/>
      <c r="D338" s="411" t="s">
        <v>2136</v>
      </c>
      <c r="E338" s="411"/>
      <c r="F338" s="411" t="s">
        <v>2137</v>
      </c>
      <c r="G338" s="411" t="s">
        <v>2138</v>
      </c>
      <c r="H338" s="412">
        <v>5049.3050000000003</v>
      </c>
      <c r="I338" s="413" t="s">
        <v>88</v>
      </c>
      <c r="J338" s="414">
        <v>45122.902777777781</v>
      </c>
      <c r="K338" s="414"/>
      <c r="L338" s="414" t="s">
        <v>192</v>
      </c>
      <c r="M338" s="414" t="s">
        <v>192</v>
      </c>
      <c r="N338" s="413" t="str">
        <f>IF(ISBLANK(J338)," ",IF(J338&lt;$F$332,"On time",(IF(DAY(J338-$F$332)&lt;1,"On time",(IF(J338&gt;$F$332,"DELAY ( "&amp;DAY(J338-$F$332)&amp;" day "&amp;HOUR(J338-$F$332)&amp;" hour "&amp;MINUTE(J338-$F$332)&amp;" minute )","xxx"))))))</f>
        <v>On time</v>
      </c>
      <c r="O338" s="51"/>
      <c r="P338" s="415" t="s">
        <v>551</v>
      </c>
      <c r="Q338" s="415" t="s">
        <v>551</v>
      </c>
      <c r="R338" s="415" t="s">
        <v>551</v>
      </c>
      <c r="S338" s="32"/>
      <c r="T338" s="416"/>
      <c r="U338" s="416"/>
      <c r="V338" s="416"/>
      <c r="W338" s="416"/>
      <c r="X338" s="416"/>
      <c r="Y338" s="416"/>
      <c r="Z338" s="416"/>
      <c r="AA338" s="416"/>
      <c r="AB338" s="416"/>
      <c r="AC338" s="416"/>
      <c r="AD338" s="416"/>
      <c r="AE338" s="416"/>
      <c r="AF338" s="416"/>
      <c r="AG338" s="416">
        <f>H338</f>
        <v>5049.3050000000003</v>
      </c>
      <c r="AH338" s="416"/>
      <c r="AI338" s="416"/>
      <c r="AJ338" s="416"/>
      <c r="AK338" s="416"/>
      <c r="AL338" s="416"/>
      <c r="AM338" s="416"/>
      <c r="AN338" s="416"/>
      <c r="AO338" s="416"/>
      <c r="AP338" s="416"/>
      <c r="AQ338" s="416"/>
      <c r="AR338" s="416"/>
      <c r="AS338" s="416"/>
      <c r="AT338" s="416"/>
      <c r="AU338" s="416"/>
      <c r="AV338" s="416"/>
      <c r="AW338" s="416"/>
      <c r="AX338" s="416"/>
      <c r="AY338" s="416"/>
      <c r="AZ338" s="416"/>
      <c r="BA338" s="416"/>
      <c r="BB338" s="416"/>
      <c r="BC338" s="416"/>
      <c r="BD338" s="32"/>
    </row>
    <row r="339" spans="2:56">
      <c r="B339" s="1256">
        <v>2</v>
      </c>
      <c r="C339" s="1257"/>
      <c r="D339" s="411" t="s">
        <v>2139</v>
      </c>
      <c r="E339" s="411"/>
      <c r="F339" s="411" t="s">
        <v>330</v>
      </c>
      <c r="G339" s="411" t="s">
        <v>331</v>
      </c>
      <c r="H339" s="412">
        <v>7500</v>
      </c>
      <c r="I339" s="413" t="s">
        <v>76</v>
      </c>
      <c r="J339" s="414">
        <v>45125.083333333336</v>
      </c>
      <c r="K339" s="414"/>
      <c r="L339" s="414" t="s">
        <v>192</v>
      </c>
      <c r="M339" s="414" t="s">
        <v>192</v>
      </c>
      <c r="N339" s="413" t="str">
        <f t="shared" ref="N339:N348" si="29">IF(ISBLANK(J339)," ",IF(J339&lt;$F$332,"On time",(IF(DAY(J339-$F$332)&lt;1,"On time",(IF(J339&gt;$F$332,"DELAY ( "&amp;DAY(J339-$F$332)&amp;" day "&amp;HOUR(J339-$F$332)&amp;" hour "&amp;MINUTE(J339-$F$332)&amp;" minute )","xxx"))))))</f>
        <v>On time</v>
      </c>
      <c r="O339" s="51"/>
      <c r="P339" s="415" t="s">
        <v>551</v>
      </c>
      <c r="Q339" s="415" t="s">
        <v>551</v>
      </c>
      <c r="R339" s="415" t="s">
        <v>551</v>
      </c>
      <c r="S339" s="32"/>
      <c r="T339" s="416"/>
      <c r="U339" s="416"/>
      <c r="V339" s="416"/>
      <c r="W339" s="416"/>
      <c r="X339" s="416"/>
      <c r="Y339" s="416"/>
      <c r="Z339" s="416"/>
      <c r="AA339" s="416"/>
      <c r="AB339" s="416"/>
      <c r="AC339" s="32"/>
      <c r="AD339" s="416"/>
      <c r="AE339" s="416"/>
      <c r="AF339" s="416"/>
      <c r="AG339" s="416"/>
      <c r="AH339" s="416"/>
      <c r="AI339" s="416"/>
      <c r="AJ339" s="416"/>
      <c r="AK339" s="416">
        <f>H339</f>
        <v>7500</v>
      </c>
      <c r="AL339" s="416"/>
      <c r="AM339" s="416"/>
      <c r="AN339" s="416"/>
      <c r="AO339" s="416"/>
      <c r="AP339" s="416"/>
      <c r="AQ339" s="416"/>
      <c r="AR339" s="416"/>
      <c r="AS339" s="416"/>
      <c r="AT339" s="32"/>
      <c r="AU339" s="416"/>
      <c r="AV339" s="416"/>
      <c r="AW339" s="416"/>
      <c r="AX339" s="416"/>
      <c r="AY339" s="416"/>
      <c r="AZ339" s="416"/>
      <c r="BA339" s="416"/>
      <c r="BB339" s="416"/>
      <c r="BC339" s="416"/>
      <c r="BD339" s="32"/>
    </row>
    <row r="340" spans="2:56">
      <c r="B340" s="1256">
        <v>3</v>
      </c>
      <c r="C340" s="1257"/>
      <c r="D340" s="411" t="s">
        <v>2140</v>
      </c>
      <c r="E340" s="411"/>
      <c r="F340" s="411" t="s">
        <v>429</v>
      </c>
      <c r="G340" s="411" t="s">
        <v>430</v>
      </c>
      <c r="H340" s="412">
        <v>7589.5320000000002</v>
      </c>
      <c r="I340" s="413" t="s">
        <v>240</v>
      </c>
      <c r="J340" s="414">
        <v>45126.486111111109</v>
      </c>
      <c r="K340" s="414"/>
      <c r="L340" s="414" t="s">
        <v>192</v>
      </c>
      <c r="M340" s="414" t="s">
        <v>192</v>
      </c>
      <c r="N340" s="413" t="str">
        <f t="shared" si="29"/>
        <v>On time</v>
      </c>
      <c r="O340" s="51"/>
      <c r="P340" s="415" t="s">
        <v>551</v>
      </c>
      <c r="Q340" s="415" t="s">
        <v>551</v>
      </c>
      <c r="R340" s="415" t="s">
        <v>551</v>
      </c>
      <c r="S340" s="32"/>
      <c r="T340" s="416"/>
      <c r="U340" s="416"/>
      <c r="V340" s="416"/>
      <c r="W340" s="416"/>
      <c r="X340" s="416"/>
      <c r="Y340" s="416"/>
      <c r="Z340" s="416"/>
      <c r="AA340" s="416"/>
      <c r="AB340" s="416"/>
      <c r="AC340" s="416">
        <f>H340</f>
        <v>7589.5320000000002</v>
      </c>
      <c r="AD340" s="416"/>
      <c r="AE340" s="416"/>
      <c r="AF340" s="416"/>
      <c r="AG340" s="416"/>
      <c r="AH340" s="416"/>
      <c r="AI340" s="416"/>
      <c r="AJ340" s="416"/>
      <c r="AK340" s="416"/>
      <c r="AL340" s="416"/>
      <c r="AM340" s="416"/>
      <c r="AN340" s="416"/>
      <c r="AO340" s="416"/>
      <c r="AP340" s="416"/>
      <c r="AQ340" s="416"/>
      <c r="AR340" s="416"/>
      <c r="AS340" s="416"/>
      <c r="AT340" s="416"/>
      <c r="AU340" s="416"/>
      <c r="AV340" s="416"/>
      <c r="AW340" s="416"/>
      <c r="AX340" s="416"/>
      <c r="AY340" s="416"/>
      <c r="AZ340" s="416"/>
      <c r="BA340" s="416"/>
      <c r="BB340" s="416"/>
      <c r="BC340" s="416"/>
      <c r="BD340" s="32"/>
    </row>
    <row r="341" spans="2:56">
      <c r="B341" s="1256">
        <v>4</v>
      </c>
      <c r="C341" s="1257"/>
      <c r="D341" s="411" t="s">
        <v>2141</v>
      </c>
      <c r="E341" s="411"/>
      <c r="F341" s="411" t="s">
        <v>298</v>
      </c>
      <c r="G341" s="411" t="s">
        <v>299</v>
      </c>
      <c r="H341" s="412">
        <v>10202.246999999999</v>
      </c>
      <c r="I341" s="413" t="s">
        <v>240</v>
      </c>
      <c r="J341" s="414">
        <v>45127.434027777781</v>
      </c>
      <c r="K341" s="414"/>
      <c r="L341" s="414" t="s">
        <v>192</v>
      </c>
      <c r="M341" s="414" t="s">
        <v>192</v>
      </c>
      <c r="N341" s="413" t="str">
        <f t="shared" si="29"/>
        <v>On time</v>
      </c>
      <c r="O341" s="51"/>
      <c r="P341" s="415" t="s">
        <v>551</v>
      </c>
      <c r="Q341" s="415" t="s">
        <v>551</v>
      </c>
      <c r="R341" s="415" t="s">
        <v>551</v>
      </c>
      <c r="S341" s="32"/>
      <c r="T341" s="416"/>
      <c r="U341" s="416"/>
      <c r="V341" s="416"/>
      <c r="W341" s="416"/>
      <c r="X341" s="416"/>
      <c r="Y341" s="416"/>
      <c r="Z341" s="416"/>
      <c r="AA341" s="416"/>
      <c r="AB341" s="416"/>
      <c r="AC341" s="416">
        <f>H341</f>
        <v>10202.246999999999</v>
      </c>
      <c r="AD341" s="416"/>
      <c r="AE341" s="416"/>
      <c r="AF341" s="416"/>
      <c r="AG341" s="416"/>
      <c r="AH341" s="416"/>
      <c r="AI341" s="416"/>
      <c r="AJ341" s="416"/>
      <c r="AK341" s="416"/>
      <c r="AL341" s="416"/>
      <c r="AM341" s="416"/>
      <c r="AN341" s="416"/>
      <c r="AO341" s="416"/>
      <c r="AP341" s="416"/>
      <c r="AQ341" s="416"/>
      <c r="AR341" s="416"/>
      <c r="AS341" s="416"/>
      <c r="AT341" s="416"/>
      <c r="AU341" s="416"/>
      <c r="AV341" s="416"/>
      <c r="AW341" s="416"/>
      <c r="AX341" s="416"/>
      <c r="AY341" s="416"/>
      <c r="AZ341" s="416"/>
      <c r="BA341" s="416"/>
      <c r="BB341" s="416"/>
      <c r="BC341" s="416"/>
      <c r="BD341" s="32"/>
    </row>
    <row r="342" spans="2:56">
      <c r="B342" s="1256">
        <v>5</v>
      </c>
      <c r="C342" s="1257"/>
      <c r="D342" s="411" t="s">
        <v>2142</v>
      </c>
      <c r="E342" s="411"/>
      <c r="F342" s="411" t="s">
        <v>271</v>
      </c>
      <c r="G342" s="411" t="s">
        <v>272</v>
      </c>
      <c r="H342" s="412">
        <v>9183.5450000000001</v>
      </c>
      <c r="I342" s="413" t="s">
        <v>235</v>
      </c>
      <c r="J342" s="414">
        <v>45126.680555555555</v>
      </c>
      <c r="K342" s="414"/>
      <c r="L342" s="414" t="s">
        <v>192</v>
      </c>
      <c r="M342" s="414" t="s">
        <v>192</v>
      </c>
      <c r="N342" s="413" t="str">
        <f t="shared" si="29"/>
        <v>On time</v>
      </c>
      <c r="O342" s="51"/>
      <c r="P342" s="415" t="s">
        <v>551</v>
      </c>
      <c r="Q342" s="415" t="s">
        <v>551</v>
      </c>
      <c r="R342" s="415" t="s">
        <v>551</v>
      </c>
      <c r="S342" s="32"/>
      <c r="T342" s="416"/>
      <c r="U342" s="416"/>
      <c r="V342" s="416"/>
      <c r="W342" s="416"/>
      <c r="X342" s="416"/>
      <c r="Y342" s="416"/>
      <c r="Z342" s="416"/>
      <c r="AA342" s="416"/>
      <c r="AB342" s="416">
        <f>H342</f>
        <v>9183.5450000000001</v>
      </c>
      <c r="AC342" s="416"/>
      <c r="AD342" s="416"/>
      <c r="AE342" s="416"/>
      <c r="AF342" s="416"/>
      <c r="AG342" s="416"/>
      <c r="AH342" s="416"/>
      <c r="AI342" s="416"/>
      <c r="AJ342" s="416"/>
      <c r="AK342" s="416"/>
      <c r="AL342" s="416"/>
      <c r="AM342" s="416"/>
      <c r="AN342" s="416"/>
      <c r="AO342" s="416"/>
      <c r="AP342" s="416"/>
      <c r="AQ342" s="416"/>
      <c r="AR342" s="416"/>
      <c r="AS342" s="416"/>
      <c r="AT342" s="416"/>
      <c r="AU342" s="416"/>
      <c r="AV342" s="416"/>
      <c r="AW342" s="416"/>
      <c r="AX342" s="416"/>
      <c r="AY342" s="416"/>
      <c r="AZ342" s="416"/>
      <c r="BA342" s="416"/>
      <c r="BB342" s="416"/>
      <c r="BC342" s="416"/>
      <c r="BD342" s="32"/>
    </row>
    <row r="343" spans="2:56">
      <c r="B343" s="1256">
        <v>6</v>
      </c>
      <c r="C343" s="1257"/>
      <c r="D343" s="411" t="s">
        <v>2143</v>
      </c>
      <c r="E343" s="411"/>
      <c r="F343" s="411" t="s">
        <v>334</v>
      </c>
      <c r="G343" s="411" t="s">
        <v>335</v>
      </c>
      <c r="H343" s="412">
        <v>7885.4290000000001</v>
      </c>
      <c r="I343" s="413" t="s">
        <v>240</v>
      </c>
      <c r="J343" s="414">
        <v>45126.854166666664</v>
      </c>
      <c r="K343" s="414"/>
      <c r="L343" s="414" t="s">
        <v>192</v>
      </c>
      <c r="M343" s="414" t="s">
        <v>192</v>
      </c>
      <c r="N343" s="413" t="str">
        <f t="shared" si="29"/>
        <v>On time</v>
      </c>
      <c r="O343" s="51"/>
      <c r="P343" s="415" t="s">
        <v>551</v>
      </c>
      <c r="Q343" s="415" t="s">
        <v>551</v>
      </c>
      <c r="R343" s="415" t="s">
        <v>551</v>
      </c>
      <c r="S343" s="32"/>
      <c r="T343" s="416"/>
      <c r="U343" s="416"/>
      <c r="V343" s="416"/>
      <c r="W343" s="416"/>
      <c r="X343" s="416"/>
      <c r="Y343" s="416"/>
      <c r="Z343" s="416"/>
      <c r="AA343" s="416"/>
      <c r="AB343" s="416"/>
      <c r="AC343" s="416">
        <f t="shared" ref="AC343" si="30">H343</f>
        <v>7885.4290000000001</v>
      </c>
      <c r="AD343" s="416"/>
      <c r="AE343" s="416"/>
      <c r="AF343" s="416"/>
      <c r="AG343" s="416"/>
      <c r="AH343" s="416"/>
      <c r="AI343" s="416"/>
      <c r="AJ343" s="416"/>
      <c r="AK343" s="416"/>
      <c r="AL343" s="416"/>
      <c r="AM343" s="416"/>
      <c r="AN343" s="416"/>
      <c r="AO343" s="416"/>
      <c r="AP343" s="416"/>
      <c r="AQ343" s="416"/>
      <c r="AR343" s="416"/>
      <c r="AS343" s="416"/>
      <c r="AT343" s="416"/>
      <c r="AU343" s="416"/>
      <c r="AV343" s="416"/>
      <c r="AW343" s="416"/>
      <c r="AX343" s="416"/>
      <c r="AY343" s="416"/>
      <c r="AZ343" s="416"/>
      <c r="BA343" s="416"/>
      <c r="BB343" s="416"/>
      <c r="BC343" s="416"/>
      <c r="BD343" s="32"/>
    </row>
    <row r="344" spans="2:56">
      <c r="B344" s="1256">
        <v>7</v>
      </c>
      <c r="C344" s="1257"/>
      <c r="D344" s="411" t="s">
        <v>2144</v>
      </c>
      <c r="E344" s="411"/>
      <c r="F344" s="411" t="s">
        <v>1767</v>
      </c>
      <c r="G344" s="411" t="s">
        <v>1768</v>
      </c>
      <c r="H344" s="412">
        <v>7562.4570000000003</v>
      </c>
      <c r="I344" s="413" t="s">
        <v>240</v>
      </c>
      <c r="J344" s="414">
        <v>45127.072916666664</v>
      </c>
      <c r="K344" s="414"/>
      <c r="L344" s="414" t="s">
        <v>192</v>
      </c>
      <c r="M344" s="414" t="s">
        <v>192</v>
      </c>
      <c r="N344" s="413" t="str">
        <f t="shared" si="29"/>
        <v>On time</v>
      </c>
      <c r="O344" s="51"/>
      <c r="P344" s="415" t="s">
        <v>551</v>
      </c>
      <c r="Q344" s="415" t="s">
        <v>551</v>
      </c>
      <c r="R344" s="415" t="s">
        <v>551</v>
      </c>
      <c r="S344" s="32"/>
      <c r="T344" s="416"/>
      <c r="U344" s="416"/>
      <c r="V344" s="416"/>
      <c r="W344" s="416"/>
      <c r="X344" s="416"/>
      <c r="Y344" s="416"/>
      <c r="Z344" s="416"/>
      <c r="AA344" s="416"/>
      <c r="AB344" s="416"/>
      <c r="AC344" s="416">
        <f>H344</f>
        <v>7562.4570000000003</v>
      </c>
      <c r="AD344" s="416"/>
      <c r="AE344" s="416"/>
      <c r="AF344" s="416"/>
      <c r="AG344" s="416"/>
      <c r="AH344" s="416"/>
      <c r="AI344" s="416"/>
      <c r="AJ344" s="416"/>
      <c r="AK344" s="416"/>
      <c r="AL344" s="416"/>
      <c r="AM344" s="416"/>
      <c r="AN344" s="416"/>
      <c r="AO344" s="416"/>
      <c r="AP344" s="416"/>
      <c r="AQ344" s="416"/>
      <c r="AR344" s="416"/>
      <c r="AS344" s="416"/>
      <c r="AT344" s="416"/>
      <c r="AU344" s="416"/>
      <c r="AV344" s="416"/>
      <c r="AW344" s="416"/>
      <c r="AX344" s="416"/>
      <c r="AY344" s="416"/>
      <c r="AZ344" s="416"/>
      <c r="BA344" s="416"/>
      <c r="BB344" s="416"/>
      <c r="BC344" s="416"/>
      <c r="BD344" s="32"/>
    </row>
    <row r="345" spans="2:56">
      <c r="B345" s="1256">
        <v>8</v>
      </c>
      <c r="C345" s="1257"/>
      <c r="D345" s="411" t="s">
        <v>2145</v>
      </c>
      <c r="E345" s="411"/>
      <c r="F345" s="411" t="s">
        <v>307</v>
      </c>
      <c r="G345" s="411" t="s">
        <v>1513</v>
      </c>
      <c r="H345" s="412">
        <v>7301.3490000000002</v>
      </c>
      <c r="I345" s="413" t="s">
        <v>235</v>
      </c>
      <c r="J345" s="414">
        <v>45127.395833333336</v>
      </c>
      <c r="K345" s="414"/>
      <c r="L345" s="414" t="s">
        <v>192</v>
      </c>
      <c r="M345" s="414" t="s">
        <v>192</v>
      </c>
      <c r="N345" s="413" t="str">
        <f t="shared" si="29"/>
        <v>On time</v>
      </c>
      <c r="O345" s="51"/>
      <c r="P345" s="415" t="s">
        <v>551</v>
      </c>
      <c r="Q345" s="415" t="s">
        <v>551</v>
      </c>
      <c r="R345" s="415" t="s">
        <v>551</v>
      </c>
      <c r="S345" s="32"/>
      <c r="T345" s="416"/>
      <c r="U345" s="416"/>
      <c r="V345" s="416"/>
      <c r="W345" s="416"/>
      <c r="X345" s="416"/>
      <c r="Y345" s="416"/>
      <c r="Z345" s="416"/>
      <c r="AA345" s="416"/>
      <c r="AB345" s="416">
        <f>H345</f>
        <v>7301.3490000000002</v>
      </c>
      <c r="AC345" s="416"/>
      <c r="AD345" s="416"/>
      <c r="AE345" s="416"/>
      <c r="AF345" s="416"/>
      <c r="AG345" s="416"/>
      <c r="AH345" s="416"/>
      <c r="AI345" s="416"/>
      <c r="AJ345" s="416"/>
      <c r="AK345" s="416"/>
      <c r="AL345" s="416"/>
      <c r="AM345" s="416"/>
      <c r="AN345" s="416"/>
      <c r="AO345" s="416"/>
      <c r="AP345" s="416"/>
      <c r="AQ345" s="416"/>
      <c r="AR345" s="416"/>
      <c r="AS345" s="416"/>
      <c r="AT345" s="416"/>
      <c r="AU345" s="416"/>
      <c r="AV345" s="416"/>
      <c r="AW345" s="416"/>
      <c r="AX345" s="416"/>
      <c r="AY345" s="416"/>
      <c r="AZ345" s="416"/>
      <c r="BA345" s="416"/>
      <c r="BB345" s="416"/>
      <c r="BC345" s="416"/>
      <c r="BD345" s="32"/>
    </row>
    <row r="346" spans="2:56">
      <c r="B346" s="1256" t="s">
        <v>610</v>
      </c>
      <c r="C346" s="1276"/>
      <c r="D346" s="1276"/>
      <c r="E346" s="1276"/>
      <c r="F346" s="1276"/>
      <c r="G346" s="1257"/>
      <c r="H346" s="412">
        <f>H348-SUM(H338:H345)</f>
        <v>4729.1359999999913</v>
      </c>
      <c r="I346" s="413" t="s">
        <v>1164</v>
      </c>
      <c r="J346" s="414"/>
      <c r="K346" s="414"/>
      <c r="L346" s="414"/>
      <c r="M346" s="414"/>
      <c r="N346" s="413" t="str">
        <f t="shared" si="29"/>
        <v xml:space="preserve"> </v>
      </c>
      <c r="O346" s="51"/>
      <c r="P346" s="415" t="s">
        <v>551</v>
      </c>
      <c r="Q346" s="415"/>
      <c r="R346" s="415"/>
      <c r="S346" s="32"/>
      <c r="T346" s="416"/>
      <c r="U346" s="416"/>
      <c r="V346" s="416"/>
      <c r="W346" s="416"/>
      <c r="X346" s="416">
        <f>H346</f>
        <v>4729.1359999999913</v>
      </c>
      <c r="Y346" s="416"/>
      <c r="Z346" s="416"/>
      <c r="AA346" s="416"/>
      <c r="AB346" s="416"/>
      <c r="AC346" s="416"/>
      <c r="AD346" s="416"/>
      <c r="AE346" s="416"/>
      <c r="AF346" s="416"/>
      <c r="AG346" s="416"/>
      <c r="AH346" s="416"/>
      <c r="AI346" s="416"/>
      <c r="AJ346" s="416"/>
      <c r="AK346" s="416"/>
      <c r="AL346" s="416"/>
      <c r="AM346" s="416"/>
      <c r="AN346" s="416"/>
      <c r="AO346" s="416"/>
      <c r="AP346" s="416"/>
      <c r="AQ346" s="416"/>
      <c r="AR346" s="416"/>
      <c r="AS346" s="416"/>
      <c r="AT346" s="416"/>
      <c r="AU346" s="416"/>
      <c r="AV346" s="416"/>
      <c r="AW346" s="416"/>
      <c r="AX346" s="416"/>
      <c r="AY346" s="416"/>
      <c r="AZ346" s="416"/>
      <c r="BA346" s="416"/>
      <c r="BB346" s="416"/>
      <c r="BC346" s="416"/>
      <c r="BD346" s="32"/>
    </row>
    <row r="347" spans="2:56">
      <c r="B347" s="1258" t="s">
        <v>556</v>
      </c>
      <c r="C347" s="1259"/>
      <c r="D347" s="1259"/>
      <c r="E347" s="1259"/>
      <c r="F347" s="1259"/>
      <c r="G347" s="1260"/>
      <c r="H347" s="417">
        <f>SUM(H338:H346)</f>
        <v>67003</v>
      </c>
      <c r="I347" s="388"/>
      <c r="J347" s="293"/>
      <c r="K347" s="293"/>
      <c r="L347" s="293"/>
      <c r="M347" s="389"/>
      <c r="N347" s="413" t="str">
        <f t="shared" si="29"/>
        <v xml:space="preserve"> </v>
      </c>
      <c r="O347" s="47"/>
      <c r="P347" s="418"/>
      <c r="Q347" s="418"/>
      <c r="R347" s="418"/>
      <c r="S347" s="32"/>
      <c r="T347" s="1262"/>
      <c r="U347" s="1263"/>
      <c r="V347" s="1263"/>
      <c r="W347" s="1263"/>
      <c r="X347" s="1263"/>
      <c r="Y347" s="1263"/>
      <c r="Z347" s="1263"/>
      <c r="AA347" s="1263"/>
      <c r="AB347" s="1263"/>
      <c r="AC347" s="1263"/>
      <c r="AD347" s="1263"/>
      <c r="AE347" s="1263"/>
      <c r="AF347" s="1263"/>
      <c r="AG347" s="1263"/>
      <c r="AH347" s="1263"/>
      <c r="AI347" s="1263"/>
      <c r="AJ347" s="1263"/>
      <c r="AK347" s="1263"/>
      <c r="AL347" s="1263"/>
      <c r="AM347" s="1263"/>
      <c r="AN347" s="1263"/>
      <c r="AO347" s="1263"/>
      <c r="AP347" s="1263"/>
      <c r="AQ347" s="1263"/>
      <c r="AR347" s="1263"/>
      <c r="AS347" s="1263"/>
      <c r="AT347" s="1263"/>
      <c r="AU347" s="1263"/>
      <c r="AV347" s="1263"/>
      <c r="AW347" s="1263"/>
      <c r="AX347" s="1263"/>
      <c r="AY347" s="1263"/>
      <c r="AZ347" s="1263"/>
      <c r="BA347" s="1263"/>
      <c r="BB347" s="1263"/>
      <c r="BC347" s="1264"/>
    </row>
    <row r="348" spans="2:56">
      <c r="B348" s="1243" t="s">
        <v>557</v>
      </c>
      <c r="C348" s="1244"/>
      <c r="D348" s="1244"/>
      <c r="E348" s="1244"/>
      <c r="F348" s="1244"/>
      <c r="G348" s="1245"/>
      <c r="H348" s="419">
        <v>67003</v>
      </c>
      <c r="I348" s="1246"/>
      <c r="J348" s="1247"/>
      <c r="K348" s="1247"/>
      <c r="L348" s="1247"/>
      <c r="M348" s="1248"/>
      <c r="N348" s="413" t="str">
        <f t="shared" si="29"/>
        <v xml:space="preserve"> </v>
      </c>
      <c r="O348" s="32"/>
      <c r="P348" s="415"/>
      <c r="Q348" s="415"/>
      <c r="R348" s="415"/>
      <c r="S348" s="63"/>
      <c r="T348" s="416">
        <f t="shared" ref="T348:BC348" si="31">SUM(T338:T346)</f>
        <v>0</v>
      </c>
      <c r="U348" s="416">
        <f t="shared" si="31"/>
        <v>0</v>
      </c>
      <c r="V348" s="416">
        <f t="shared" si="31"/>
        <v>0</v>
      </c>
      <c r="W348" s="416">
        <f t="shared" si="31"/>
        <v>0</v>
      </c>
      <c r="X348" s="416">
        <f t="shared" si="31"/>
        <v>4729.1359999999913</v>
      </c>
      <c r="Y348" s="416">
        <f t="shared" si="31"/>
        <v>0</v>
      </c>
      <c r="Z348" s="416">
        <f t="shared" si="31"/>
        <v>0</v>
      </c>
      <c r="AA348" s="416">
        <f t="shared" si="31"/>
        <v>0</v>
      </c>
      <c r="AB348" s="416">
        <f t="shared" si="31"/>
        <v>16484.894</v>
      </c>
      <c r="AC348" s="416">
        <f t="shared" si="31"/>
        <v>33239.665000000001</v>
      </c>
      <c r="AD348" s="416">
        <f t="shared" si="31"/>
        <v>0</v>
      </c>
      <c r="AE348" s="416">
        <f t="shared" si="31"/>
        <v>0</v>
      </c>
      <c r="AF348" s="416">
        <f t="shared" si="31"/>
        <v>0</v>
      </c>
      <c r="AG348" s="416">
        <f t="shared" si="31"/>
        <v>5049.3050000000003</v>
      </c>
      <c r="AH348" s="416">
        <f t="shared" si="31"/>
        <v>0</v>
      </c>
      <c r="AI348" s="416">
        <f t="shared" si="31"/>
        <v>0</v>
      </c>
      <c r="AJ348" s="416">
        <f t="shared" si="31"/>
        <v>0</v>
      </c>
      <c r="AK348" s="416">
        <f t="shared" si="31"/>
        <v>7500</v>
      </c>
      <c r="AL348" s="416">
        <f t="shared" si="31"/>
        <v>0</v>
      </c>
      <c r="AM348" s="416">
        <f t="shared" si="31"/>
        <v>0</v>
      </c>
      <c r="AN348" s="416">
        <f t="shared" si="31"/>
        <v>0</v>
      </c>
      <c r="AO348" s="416">
        <f t="shared" si="31"/>
        <v>0</v>
      </c>
      <c r="AP348" s="416">
        <f t="shared" si="31"/>
        <v>0</v>
      </c>
      <c r="AQ348" s="416">
        <f t="shared" si="31"/>
        <v>0</v>
      </c>
      <c r="AR348" s="416">
        <f t="shared" si="31"/>
        <v>0</v>
      </c>
      <c r="AS348" s="416">
        <f t="shared" si="31"/>
        <v>0</v>
      </c>
      <c r="AT348" s="416">
        <f t="shared" si="31"/>
        <v>0</v>
      </c>
      <c r="AU348" s="416">
        <f t="shared" si="31"/>
        <v>0</v>
      </c>
      <c r="AV348" s="416">
        <f t="shared" si="31"/>
        <v>0</v>
      </c>
      <c r="AW348" s="416">
        <f t="shared" si="31"/>
        <v>0</v>
      </c>
      <c r="AX348" s="416">
        <f t="shared" si="31"/>
        <v>0</v>
      </c>
      <c r="AY348" s="416">
        <f t="shared" si="31"/>
        <v>0</v>
      </c>
      <c r="AZ348" s="416">
        <f t="shared" si="31"/>
        <v>0</v>
      </c>
      <c r="BA348" s="416">
        <f t="shared" si="31"/>
        <v>0</v>
      </c>
      <c r="BB348" s="416">
        <f t="shared" si="31"/>
        <v>0</v>
      </c>
      <c r="BC348" s="416">
        <f t="shared" si="31"/>
        <v>0</v>
      </c>
      <c r="BD348" s="416">
        <f>SUM(T348:BC348)</f>
        <v>67003</v>
      </c>
    </row>
    <row r="349" spans="2:56">
      <c r="B349" s="1243" t="s">
        <v>558</v>
      </c>
      <c r="C349" s="1244"/>
      <c r="D349" s="1244"/>
      <c r="E349" s="1244"/>
      <c r="F349" s="1244"/>
      <c r="G349" s="1245"/>
      <c r="H349" s="420">
        <f>H348-L332</f>
        <v>0</v>
      </c>
      <c r="I349" s="294"/>
      <c r="J349" s="295"/>
      <c r="K349" s="295"/>
      <c r="L349" s="296"/>
      <c r="M349" s="32"/>
      <c r="N349" s="32"/>
      <c r="O349" s="32"/>
      <c r="P349" s="32"/>
      <c r="Q349" s="297"/>
      <c r="R349" s="297"/>
      <c r="S349" s="32"/>
      <c r="T349" s="48"/>
      <c r="U349" s="48"/>
      <c r="V349" s="48"/>
      <c r="W349" s="48"/>
      <c r="X349" s="48"/>
      <c r="Y349" s="48"/>
      <c r="Z349" s="48"/>
      <c r="AA349" s="48"/>
      <c r="AB349" s="48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</row>
    <row r="350" spans="2:56">
      <c r="B350" s="1243" t="s">
        <v>559</v>
      </c>
      <c r="C350" s="1244"/>
      <c r="D350" s="1244"/>
      <c r="E350" s="1244"/>
      <c r="F350" s="1244"/>
      <c r="G350" s="1245"/>
      <c r="H350" s="420">
        <f>H347-H348</f>
        <v>0</v>
      </c>
      <c r="I350" s="52"/>
      <c r="J350" s="53"/>
      <c r="K350" s="53"/>
      <c r="L350" s="54"/>
      <c r="M350" s="32"/>
      <c r="N350" s="32"/>
      <c r="O350" s="32"/>
      <c r="P350" s="32"/>
      <c r="Q350" s="32"/>
      <c r="R350" s="32"/>
      <c r="S350" s="32"/>
      <c r="T350" s="48"/>
      <c r="U350" s="48"/>
      <c r="V350" s="48"/>
      <c r="W350" s="48"/>
      <c r="X350" s="48"/>
      <c r="Y350" s="48"/>
      <c r="Z350" s="48"/>
      <c r="AA350" s="48"/>
      <c r="AB350" s="48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</row>
    <row r="351" spans="2:56">
      <c r="B351" s="32"/>
      <c r="C351" s="32"/>
      <c r="D351" s="32"/>
      <c r="E351" s="32"/>
      <c r="F351" s="32"/>
      <c r="G351" s="32"/>
      <c r="H351" s="32"/>
      <c r="I351" s="57"/>
      <c r="J351" s="52"/>
      <c r="K351" s="52"/>
      <c r="L351" s="55"/>
      <c r="M351" s="32"/>
      <c r="N351" s="32"/>
      <c r="O351" s="52"/>
      <c r="P351" s="32"/>
      <c r="Q351" s="32"/>
      <c r="R351" s="32"/>
      <c r="S351" s="32"/>
      <c r="T351" s="48"/>
      <c r="U351" s="48"/>
      <c r="V351" s="48"/>
      <c r="W351" s="48"/>
      <c r="X351" s="48"/>
      <c r="Y351" s="48"/>
      <c r="Z351" s="48"/>
      <c r="AA351" s="48"/>
      <c r="AB351" s="48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</row>
    <row r="352" spans="2:56">
      <c r="B352" s="40" t="s">
        <v>561</v>
      </c>
      <c r="C352" s="40"/>
      <c r="D352" s="32"/>
      <c r="E352" s="32"/>
      <c r="F352" s="32"/>
      <c r="G352" s="32"/>
      <c r="H352" s="32"/>
      <c r="I352" s="32"/>
      <c r="J352" s="52"/>
      <c r="K352" s="52"/>
      <c r="L352" s="55"/>
      <c r="M352" s="32"/>
      <c r="N352" s="32"/>
      <c r="O352" s="52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BD352" s="32"/>
    </row>
    <row r="353" spans="2:56">
      <c r="B353" s="422"/>
      <c r="C353" s="1249"/>
      <c r="D353" s="1249"/>
      <c r="E353" s="1249"/>
      <c r="F353" s="1249"/>
      <c r="G353" s="1249"/>
      <c r="H353" s="1249"/>
      <c r="I353" s="1249"/>
      <c r="J353" s="1249"/>
      <c r="K353" s="1249"/>
      <c r="L353" s="55"/>
      <c r="M353" s="32"/>
      <c r="N353" s="32"/>
      <c r="O353" s="52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</row>
    <row r="355" spans="2:56">
      <c r="B355" s="28" t="s">
        <v>126</v>
      </c>
      <c r="C355" s="28"/>
      <c r="D355" s="29"/>
      <c r="E355" s="30" t="s">
        <v>511</v>
      </c>
      <c r="F355" s="31" t="s">
        <v>2146</v>
      </c>
      <c r="G355" s="32"/>
      <c r="H355" s="33"/>
      <c r="I355" s="34"/>
      <c r="J355" s="35" t="s">
        <v>513</v>
      </c>
      <c r="K355" s="36" t="s">
        <v>511</v>
      </c>
      <c r="L355" s="37">
        <v>45132.048611111109</v>
      </c>
      <c r="M355" s="32"/>
      <c r="N355" s="32"/>
      <c r="O355" s="206"/>
      <c r="P355" s="205"/>
      <c r="Q355" s="202"/>
      <c r="R355" s="204"/>
      <c r="S355" s="38"/>
      <c r="T355" s="201"/>
      <c r="U355" s="201"/>
      <c r="V355" s="201"/>
      <c r="W355" s="201"/>
      <c r="X355" s="201"/>
      <c r="Y355" s="201"/>
      <c r="Z355" s="201"/>
      <c r="AA355" s="201"/>
      <c r="AB355" s="202"/>
      <c r="AC355" s="202"/>
      <c r="AD355" s="202"/>
      <c r="AE355" s="202"/>
      <c r="AF355" s="202"/>
      <c r="AG355" s="201"/>
      <c r="AH355" s="201"/>
      <c r="AI355" s="201"/>
      <c r="AJ355" s="201"/>
      <c r="AK355" s="201"/>
      <c r="AL355" s="201"/>
      <c r="AM355" s="201"/>
      <c r="AN355" s="201"/>
      <c r="AO355" s="201"/>
      <c r="AP355" s="201"/>
      <c r="AQ355" s="201"/>
      <c r="AR355" s="201"/>
      <c r="AS355" s="201"/>
      <c r="AT355" s="201"/>
      <c r="AU355" s="201"/>
      <c r="AV355" s="201"/>
      <c r="AW355" s="201"/>
      <c r="AX355" s="201"/>
      <c r="AY355" s="201"/>
      <c r="AZ355" s="201"/>
      <c r="BA355" s="201"/>
      <c r="BB355" s="201"/>
    </row>
    <row r="356" spans="2:56">
      <c r="B356" s="35" t="s">
        <v>514</v>
      </c>
      <c r="C356" s="35"/>
      <c r="D356" s="32"/>
      <c r="E356" s="36" t="s">
        <v>511</v>
      </c>
      <c r="F356" s="311" t="s">
        <v>2147</v>
      </c>
      <c r="G356" s="32"/>
      <c r="H356" s="33"/>
      <c r="I356" s="34"/>
      <c r="J356" s="35" t="s">
        <v>516</v>
      </c>
      <c r="K356" s="36" t="s">
        <v>511</v>
      </c>
      <c r="L356" s="37">
        <v>45133.75</v>
      </c>
      <c r="M356" s="32"/>
      <c r="N356" s="32"/>
      <c r="O356" s="206"/>
      <c r="P356" s="205"/>
      <c r="Q356" s="202"/>
      <c r="R356" s="204"/>
      <c r="S356" s="38"/>
      <c r="T356" s="201"/>
      <c r="U356" s="201"/>
      <c r="V356" s="201"/>
      <c r="W356" s="201"/>
      <c r="X356" s="201"/>
      <c r="Y356" s="201"/>
      <c r="Z356" s="201"/>
      <c r="AA356" s="201"/>
      <c r="AB356" s="202"/>
      <c r="AC356" s="202"/>
      <c r="AD356" s="202"/>
      <c r="AE356" s="202"/>
      <c r="AF356" s="202"/>
      <c r="AG356" s="201"/>
      <c r="AH356" s="201"/>
      <c r="AI356" s="201"/>
      <c r="AJ356" s="201"/>
      <c r="AK356" s="201"/>
      <c r="AL356" s="201"/>
      <c r="AM356" s="201"/>
      <c r="AN356" s="201"/>
      <c r="AO356" s="201"/>
      <c r="AP356" s="201"/>
      <c r="AQ356" s="201"/>
      <c r="AR356" s="201"/>
      <c r="AS356" s="201"/>
      <c r="AT356" s="201"/>
      <c r="AU356" s="201"/>
      <c r="AV356" s="201"/>
      <c r="AW356" s="201"/>
      <c r="AX356" s="201"/>
      <c r="AY356" s="201"/>
      <c r="AZ356" s="201"/>
      <c r="BA356" s="201"/>
      <c r="BB356" s="201"/>
    </row>
    <row r="357" spans="2:56">
      <c r="B357" s="35" t="s">
        <v>517</v>
      </c>
      <c r="C357" s="35"/>
      <c r="D357" s="32"/>
      <c r="E357" s="36" t="s">
        <v>511</v>
      </c>
      <c r="F357" s="37">
        <v>45130.8125</v>
      </c>
      <c r="G357" s="32"/>
      <c r="H357" s="33"/>
      <c r="I357" s="34"/>
      <c r="J357" s="35" t="s">
        <v>518</v>
      </c>
      <c r="K357" s="36" t="s">
        <v>511</v>
      </c>
      <c r="L357" s="50">
        <v>53200</v>
      </c>
      <c r="M357" s="40" t="s">
        <v>519</v>
      </c>
      <c r="N357" s="40"/>
      <c r="O357" s="206"/>
      <c r="P357" s="205"/>
      <c r="Q357" s="202"/>
      <c r="R357" s="204"/>
      <c r="S357" s="38"/>
      <c r="T357" s="201"/>
      <c r="U357" s="201"/>
      <c r="V357" s="201"/>
      <c r="W357" s="201"/>
      <c r="X357" s="201"/>
      <c r="Y357" s="201"/>
      <c r="Z357" s="201"/>
      <c r="AA357" s="201"/>
      <c r="AB357" s="202"/>
      <c r="AC357" s="202"/>
      <c r="AD357" s="202"/>
      <c r="AE357" s="202"/>
      <c r="AF357" s="202"/>
      <c r="AG357" s="201"/>
      <c r="AH357" s="201"/>
      <c r="AI357" s="201"/>
      <c r="AJ357" s="201"/>
      <c r="AK357" s="201"/>
      <c r="AL357" s="201"/>
      <c r="AM357" s="201"/>
      <c r="AN357" s="201"/>
      <c r="AO357" s="201"/>
      <c r="AP357" s="201"/>
      <c r="AQ357" s="201"/>
      <c r="AR357" s="201"/>
      <c r="AS357" s="201"/>
      <c r="AT357" s="201"/>
      <c r="AU357" s="201"/>
      <c r="AV357" s="201"/>
      <c r="AW357" s="201"/>
      <c r="AX357" s="201"/>
      <c r="AY357" s="201"/>
      <c r="AZ357" s="201"/>
      <c r="BA357" s="201"/>
      <c r="BB357" s="201"/>
    </row>
    <row r="358" spans="2:56">
      <c r="B358" s="35" t="s">
        <v>520</v>
      </c>
      <c r="C358" s="35"/>
      <c r="D358" s="32"/>
      <c r="E358" s="36" t="s">
        <v>511</v>
      </c>
      <c r="F358" s="37" t="s">
        <v>12</v>
      </c>
      <c r="G358" s="32"/>
      <c r="H358" s="33"/>
      <c r="I358" s="34"/>
      <c r="J358" s="35" t="s">
        <v>521</v>
      </c>
      <c r="K358" s="36" t="s">
        <v>511</v>
      </c>
      <c r="L358" s="41" t="s">
        <v>2148</v>
      </c>
      <c r="M358" s="32"/>
      <c r="N358" s="32"/>
      <c r="O358" s="206"/>
      <c r="P358" s="202"/>
      <c r="Q358" s="202"/>
      <c r="R358" s="204"/>
      <c r="S358" s="38"/>
      <c r="T358" s="201"/>
      <c r="U358" s="201"/>
      <c r="V358" s="201"/>
      <c r="W358" s="201"/>
      <c r="X358" s="201"/>
      <c r="Y358" s="201"/>
      <c r="Z358" s="201"/>
      <c r="AA358" s="201"/>
      <c r="AB358" s="202"/>
      <c r="AC358" s="202"/>
      <c r="AD358" s="202"/>
      <c r="AE358" s="202"/>
      <c r="AF358" s="202"/>
      <c r="AG358" s="201"/>
      <c r="AH358" s="201"/>
      <c r="AI358" s="201"/>
      <c r="AJ358" s="201"/>
      <c r="AK358" s="201"/>
      <c r="AL358" s="201"/>
      <c r="AM358" s="201"/>
      <c r="AN358" s="201"/>
      <c r="AO358" s="201"/>
      <c r="AP358" s="201"/>
      <c r="AQ358" s="201"/>
      <c r="AR358" s="201"/>
      <c r="AS358" s="201"/>
      <c r="AT358" s="201"/>
      <c r="AU358" s="201"/>
      <c r="AV358" s="201"/>
      <c r="AW358" s="201"/>
      <c r="AX358" s="201"/>
      <c r="AY358" s="201"/>
      <c r="AZ358" s="201"/>
      <c r="BA358" s="201"/>
      <c r="BB358" s="201"/>
    </row>
    <row r="359" spans="2:56">
      <c r="B359" s="35" t="s">
        <v>523</v>
      </c>
      <c r="C359" s="35"/>
      <c r="D359" s="32"/>
      <c r="E359" s="36" t="s">
        <v>511</v>
      </c>
      <c r="F359" s="37" t="s">
        <v>32</v>
      </c>
      <c r="G359" s="32"/>
      <c r="H359" s="33"/>
      <c r="I359" s="34"/>
      <c r="J359" s="42" t="s">
        <v>524</v>
      </c>
      <c r="K359" s="36" t="s">
        <v>511</v>
      </c>
      <c r="L359" s="43" t="s">
        <v>11</v>
      </c>
      <c r="M359" s="44"/>
      <c r="N359" s="44"/>
      <c r="O359" s="206"/>
      <c r="P359" s="205"/>
      <c r="Q359" s="202"/>
      <c r="R359" s="204"/>
      <c r="S359" s="38"/>
      <c r="T359" s="201"/>
      <c r="U359" s="201"/>
      <c r="V359" s="201"/>
      <c r="W359" s="201"/>
      <c r="X359" s="201"/>
      <c r="Y359" s="201"/>
      <c r="Z359" s="201"/>
      <c r="AA359" s="201"/>
      <c r="AB359" s="202"/>
      <c r="AC359" s="202"/>
      <c r="AD359" s="202"/>
      <c r="AE359" s="202"/>
      <c r="AF359" s="202"/>
      <c r="AG359" s="201"/>
      <c r="AH359" s="201"/>
      <c r="AI359" s="201"/>
      <c r="AJ359" s="201"/>
      <c r="AK359" s="201"/>
      <c r="AL359" s="201"/>
      <c r="AM359" s="201"/>
      <c r="AN359" s="201"/>
      <c r="AO359" s="201"/>
      <c r="AP359" s="201"/>
      <c r="AQ359" s="201"/>
      <c r="AR359" s="201"/>
      <c r="AS359" s="201"/>
      <c r="AT359" s="201"/>
      <c r="AU359" s="201"/>
      <c r="AV359" s="201"/>
      <c r="AW359" s="201"/>
      <c r="AX359" s="201"/>
      <c r="AY359" s="201"/>
      <c r="AZ359" s="201"/>
      <c r="BA359" s="201"/>
      <c r="BB359" s="201"/>
    </row>
    <row r="360" spans="2:56">
      <c r="B360" s="35" t="s">
        <v>2</v>
      </c>
      <c r="C360" s="35"/>
      <c r="D360" s="32"/>
      <c r="E360" s="36" t="s">
        <v>511</v>
      </c>
      <c r="F360" s="37" t="s">
        <v>14</v>
      </c>
      <c r="G360" s="32"/>
      <c r="H360" s="33"/>
      <c r="I360" s="45"/>
      <c r="J360" s="42"/>
      <c r="K360" s="36"/>
      <c r="L360" s="211"/>
      <c r="M360" s="201"/>
      <c r="N360" s="201"/>
      <c r="O360" s="42"/>
      <c r="P360" s="44"/>
      <c r="Q360" s="44"/>
      <c r="R360" s="44"/>
      <c r="S360" s="34"/>
      <c r="T360" s="201"/>
      <c r="U360" s="201"/>
      <c r="V360" s="201"/>
      <c r="W360" s="201"/>
      <c r="X360" s="201"/>
      <c r="Y360" s="201"/>
      <c r="Z360" s="201"/>
      <c r="AA360" s="201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201"/>
      <c r="AP360" s="201"/>
      <c r="AQ360" s="201"/>
      <c r="AR360" s="201"/>
      <c r="AS360" s="201"/>
      <c r="AT360" s="201"/>
      <c r="AU360" s="201"/>
      <c r="AV360" s="201"/>
      <c r="AW360" s="201"/>
      <c r="AX360" s="201"/>
      <c r="AY360" s="201"/>
      <c r="AZ360" s="201"/>
      <c r="BA360" s="201"/>
      <c r="BB360" s="201"/>
    </row>
    <row r="361" spans="2:56">
      <c r="B361" s="201"/>
      <c r="C361" s="201"/>
      <c r="D361" s="201"/>
      <c r="E361" s="201"/>
      <c r="F361" s="201"/>
      <c r="G361" s="201"/>
      <c r="H361" s="201"/>
      <c r="I361" s="45"/>
      <c r="J361" s="42"/>
      <c r="K361" s="42"/>
      <c r="L361" s="43"/>
      <c r="M361" s="44"/>
      <c r="N361" s="44"/>
      <c r="O361" s="42"/>
      <c r="P361" s="44"/>
      <c r="Q361" s="44"/>
      <c r="R361" s="44"/>
      <c r="S361" s="34"/>
      <c r="T361" s="1265" t="s">
        <v>87</v>
      </c>
      <c r="U361" s="1265"/>
      <c r="V361" s="1265"/>
      <c r="W361" s="1265"/>
      <c r="X361" s="1265"/>
      <c r="Y361" s="1265" t="s">
        <v>73</v>
      </c>
      <c r="Z361" s="1265"/>
      <c r="AA361" s="1265"/>
      <c r="AB361" s="1265" t="s">
        <v>74</v>
      </c>
      <c r="AC361" s="1265"/>
      <c r="AD361" s="423" t="s">
        <v>85</v>
      </c>
      <c r="AE361" s="423" t="s">
        <v>77</v>
      </c>
      <c r="AF361" s="1265" t="s">
        <v>525</v>
      </c>
      <c r="AG361" s="1265"/>
      <c r="AH361" s="1265"/>
      <c r="AI361" s="1265"/>
      <c r="AJ361" s="1265"/>
      <c r="AK361" s="1265"/>
      <c r="AL361" s="1265"/>
      <c r="AM361" s="1265"/>
      <c r="AN361" s="1265"/>
      <c r="AO361" s="1265"/>
      <c r="AP361" s="1265"/>
      <c r="AQ361" s="1265"/>
      <c r="AR361" s="1265"/>
      <c r="AS361" s="1265"/>
      <c r="AT361" s="1265"/>
      <c r="AU361" s="1265"/>
      <c r="AV361" s="1265"/>
      <c r="AW361" s="1265"/>
      <c r="AX361" s="1265"/>
      <c r="AY361" s="1265"/>
      <c r="AZ361" s="1265"/>
      <c r="BA361" s="1265"/>
      <c r="BB361" s="201"/>
    </row>
    <row r="362" spans="2:56">
      <c r="B362" s="1266" t="s">
        <v>526</v>
      </c>
      <c r="C362" s="1267"/>
      <c r="D362" s="570" t="s">
        <v>527</v>
      </c>
      <c r="E362" s="570"/>
      <c r="F362" s="570" t="s">
        <v>528</v>
      </c>
      <c r="G362" s="570" t="s">
        <v>529</v>
      </c>
      <c r="H362" s="570" t="s">
        <v>530</v>
      </c>
      <c r="I362" s="570" t="s">
        <v>531</v>
      </c>
      <c r="J362" s="570" t="s">
        <v>532</v>
      </c>
      <c r="K362" s="570"/>
      <c r="L362" s="570" t="s">
        <v>130</v>
      </c>
      <c r="M362" s="570" t="s">
        <v>533</v>
      </c>
      <c r="N362" s="408" t="str">
        <f>"On time - "&amp;COUNTIF(N363:N372,"On time")&amp;" from "&amp;ROWS(N363:N372)-COUNTIF(N363:N372," ")</f>
        <v>On time - 8 from 8</v>
      </c>
      <c r="O362" s="46"/>
      <c r="P362" s="409" t="s">
        <v>534</v>
      </c>
      <c r="Q362" s="409" t="s">
        <v>535</v>
      </c>
      <c r="R362" s="409" t="s">
        <v>536</v>
      </c>
      <c r="S362" s="32"/>
      <c r="T362" s="424" t="s">
        <v>537</v>
      </c>
      <c r="U362" s="424" t="s">
        <v>538</v>
      </c>
      <c r="V362" s="424" t="s">
        <v>539</v>
      </c>
      <c r="W362" s="424" t="s">
        <v>540</v>
      </c>
      <c r="X362" s="424" t="s">
        <v>541</v>
      </c>
      <c r="Y362" s="424" t="s">
        <v>167</v>
      </c>
      <c r="Z362" s="424" t="s">
        <v>168</v>
      </c>
      <c r="AA362" s="424" t="s">
        <v>169</v>
      </c>
      <c r="AB362" s="424" t="s">
        <v>235</v>
      </c>
      <c r="AC362" s="424" t="s">
        <v>240</v>
      </c>
      <c r="AD362" s="423" t="s">
        <v>85</v>
      </c>
      <c r="AE362" s="424" t="s">
        <v>139</v>
      </c>
      <c r="AF362" s="424" t="s">
        <v>72</v>
      </c>
      <c r="AG362" s="424" t="s">
        <v>88</v>
      </c>
      <c r="AH362" s="424" t="s">
        <v>75</v>
      </c>
      <c r="AI362" s="424" t="s">
        <v>543</v>
      </c>
      <c r="AJ362" s="424" t="s">
        <v>78</v>
      </c>
      <c r="AK362" s="424" t="s">
        <v>76</v>
      </c>
      <c r="AL362" s="424" t="s">
        <v>544</v>
      </c>
      <c r="AM362" s="424" t="s">
        <v>545</v>
      </c>
      <c r="AN362" s="424" t="s">
        <v>86</v>
      </c>
      <c r="AO362" s="424" t="s">
        <v>83</v>
      </c>
      <c r="AP362" s="424" t="s">
        <v>84</v>
      </c>
      <c r="AQ362" s="424" t="s">
        <v>546</v>
      </c>
      <c r="AR362" s="424" t="s">
        <v>81</v>
      </c>
      <c r="AS362" s="424" t="s">
        <v>80</v>
      </c>
      <c r="AT362" s="424" t="s">
        <v>82</v>
      </c>
      <c r="AU362" s="424" t="s">
        <v>181</v>
      </c>
      <c r="AV362" s="424" t="s">
        <v>183</v>
      </c>
      <c r="AW362" s="424" t="s">
        <v>547</v>
      </c>
      <c r="AX362" s="424" t="s">
        <v>182</v>
      </c>
      <c r="AY362" s="424" t="s">
        <v>172</v>
      </c>
      <c r="AZ362" s="424" t="s">
        <v>173</v>
      </c>
      <c r="BA362" s="424" t="s">
        <v>184</v>
      </c>
      <c r="BB362" s="201"/>
    </row>
    <row r="363" spans="2:56">
      <c r="B363" s="1256" t="s">
        <v>548</v>
      </c>
      <c r="C363" s="1257"/>
      <c r="D363" s="411" t="s">
        <v>2131</v>
      </c>
      <c r="E363" s="411"/>
      <c r="F363" s="411" t="s">
        <v>288</v>
      </c>
      <c r="G363" s="411" t="s">
        <v>289</v>
      </c>
      <c r="H363" s="412">
        <v>1097.855</v>
      </c>
      <c r="I363" s="413" t="s">
        <v>494</v>
      </c>
      <c r="J363" s="414">
        <v>45127.3125</v>
      </c>
      <c r="K363" s="414"/>
      <c r="L363" s="414" t="s">
        <v>192</v>
      </c>
      <c r="M363" s="414" t="s">
        <v>192</v>
      </c>
      <c r="N363" s="413" t="str">
        <f>IF(ISBLANK(J363)," ",IF(J363&lt;$F$357,"On time",(IF(DAY(J363-$F$357)&lt;1,"On time",(IF(J363&gt;$F$357,"DELAY ( "&amp;DAY(J363-$F$357)&amp;" day "&amp;HOUR(J363-$F$357)&amp;" hour "&amp;MINUTE(J363-$F$357)&amp;" minute )","xxx"))))))</f>
        <v>On time</v>
      </c>
      <c r="O363" s="51"/>
      <c r="P363" s="415" t="s">
        <v>551</v>
      </c>
      <c r="Q363" s="415" t="s">
        <v>551</v>
      </c>
      <c r="R363" s="415" t="s">
        <v>551</v>
      </c>
      <c r="S363" s="32"/>
      <c r="T363" s="416"/>
      <c r="U363" s="416"/>
      <c r="V363" s="416"/>
      <c r="W363" s="416"/>
      <c r="X363" s="416"/>
      <c r="Y363" s="416">
        <f>H363</f>
        <v>1097.855</v>
      </c>
      <c r="Z363" s="416"/>
      <c r="AA363" s="416"/>
      <c r="AB363" s="416"/>
      <c r="AC363" s="416"/>
      <c r="AD363" s="416"/>
      <c r="AE363" s="416"/>
      <c r="AF363" s="416"/>
      <c r="AG363" s="416"/>
      <c r="AH363" s="416"/>
      <c r="AI363" s="416"/>
      <c r="AJ363" s="416"/>
      <c r="AK363" s="416"/>
      <c r="AL363" s="416"/>
      <c r="AM363" s="416"/>
      <c r="AN363" s="416"/>
      <c r="AO363" s="416"/>
      <c r="AP363" s="416"/>
      <c r="AQ363" s="416"/>
      <c r="AR363" s="416"/>
      <c r="AS363" s="416"/>
      <c r="AT363" s="416"/>
      <c r="AU363" s="416"/>
      <c r="AV363" s="416"/>
      <c r="AW363" s="416"/>
      <c r="AX363" s="416"/>
      <c r="AY363" s="416"/>
      <c r="AZ363" s="416"/>
      <c r="BA363" s="416"/>
      <c r="BB363" s="32"/>
    </row>
    <row r="364" spans="2:56">
      <c r="B364" s="1250" t="s">
        <v>884</v>
      </c>
      <c r="C364" s="1251"/>
      <c r="D364" s="411" t="s">
        <v>2149</v>
      </c>
      <c r="E364" s="411"/>
      <c r="F364" s="411" t="s">
        <v>422</v>
      </c>
      <c r="G364" s="411" t="s">
        <v>375</v>
      </c>
      <c r="H364" s="412">
        <v>7401.116</v>
      </c>
      <c r="I364" s="413" t="s">
        <v>494</v>
      </c>
      <c r="J364" s="414">
        <v>45128.524305555555</v>
      </c>
      <c r="K364" s="414"/>
      <c r="L364" s="414" t="s">
        <v>192</v>
      </c>
      <c r="M364" s="414" t="s">
        <v>192</v>
      </c>
      <c r="N364" s="413" t="str">
        <f t="shared" ref="N364:N374" si="32">IF(ISBLANK(J364)," ",IF(J364&lt;$F$357,"On time",(IF(DAY(J364-$F$357)&lt;1,"On time",(IF(J364&gt;$F$357,"DELAY ( "&amp;DAY(J364-$F$357)&amp;" day "&amp;HOUR(J364-$F$357)&amp;" hour "&amp;MINUTE(J364-$F$357)&amp;" minute )","xxx"))))))</f>
        <v>On time</v>
      </c>
      <c r="O364" s="51"/>
      <c r="P364" s="415" t="s">
        <v>551</v>
      </c>
      <c r="Q364" s="415" t="s">
        <v>551</v>
      </c>
      <c r="R364" s="415" t="s">
        <v>551</v>
      </c>
      <c r="S364" s="32"/>
      <c r="T364" s="416"/>
      <c r="U364" s="416"/>
      <c r="V364" s="416"/>
      <c r="W364" s="416"/>
      <c r="X364" s="416"/>
      <c r="Y364" s="416">
        <f>H364</f>
        <v>7401.116</v>
      </c>
      <c r="Z364" s="416"/>
      <c r="AA364" s="416"/>
      <c r="AB364" s="416"/>
      <c r="AC364" s="416"/>
      <c r="AD364" s="416"/>
      <c r="AE364" s="416"/>
      <c r="AF364" s="416"/>
      <c r="AG364" s="416"/>
      <c r="AH364" s="416"/>
      <c r="AI364" s="416"/>
      <c r="AJ364" s="416"/>
      <c r="AK364" s="416"/>
      <c r="AL364" s="416"/>
      <c r="AM364" s="416"/>
      <c r="AN364" s="416"/>
      <c r="AO364" s="416"/>
      <c r="AP364" s="416"/>
      <c r="AQ364" s="416"/>
      <c r="AR364" s="416"/>
      <c r="AS364" s="416"/>
      <c r="AT364" s="416"/>
      <c r="AU364" s="416"/>
      <c r="AV364" s="416"/>
      <c r="AW364" s="416"/>
      <c r="AX364" s="416"/>
      <c r="AY364" s="416"/>
      <c r="AZ364" s="416"/>
      <c r="BA364" s="416"/>
      <c r="BB364" s="32"/>
    </row>
    <row r="365" spans="2:56">
      <c r="B365" s="1254"/>
      <c r="C365" s="1255"/>
      <c r="D365" s="411" t="s">
        <v>2150</v>
      </c>
      <c r="E365" s="425"/>
      <c r="F365" s="411" t="s">
        <v>1392</v>
      </c>
      <c r="G365" s="411" t="s">
        <v>365</v>
      </c>
      <c r="H365" s="412">
        <f>7500/2</f>
        <v>3750</v>
      </c>
      <c r="I365" s="413" t="s">
        <v>76</v>
      </c>
      <c r="J365" s="1268">
        <v>45130.59375</v>
      </c>
      <c r="K365" s="414"/>
      <c r="L365" s="414" t="s">
        <v>192</v>
      </c>
      <c r="M365" s="414" t="s">
        <v>192</v>
      </c>
      <c r="N365" s="413" t="str">
        <f t="shared" si="32"/>
        <v>On time</v>
      </c>
      <c r="O365" s="51"/>
      <c r="P365" s="1280" t="s">
        <v>551</v>
      </c>
      <c r="Q365" s="1280" t="s">
        <v>551</v>
      </c>
      <c r="R365" s="1280" t="s">
        <v>551</v>
      </c>
      <c r="S365" s="32"/>
      <c r="T365" s="416"/>
      <c r="U365" s="416"/>
      <c r="V365" s="416"/>
      <c r="W365" s="416"/>
      <c r="X365" s="416"/>
      <c r="Y365" s="416"/>
      <c r="Z365" s="416"/>
      <c r="AA365" s="416"/>
      <c r="AB365" s="416"/>
      <c r="AC365" s="416"/>
      <c r="AD365" s="416"/>
      <c r="AE365" s="416"/>
      <c r="AF365" s="416"/>
      <c r="AG365" s="416"/>
      <c r="AH365" s="416"/>
      <c r="AI365" s="416"/>
      <c r="AJ365" s="416"/>
      <c r="AK365" s="416">
        <f>H365</f>
        <v>3750</v>
      </c>
      <c r="AL365" s="416"/>
      <c r="AM365" s="416"/>
      <c r="AN365" s="416"/>
      <c r="AO365" s="416"/>
      <c r="AP365" s="416"/>
      <c r="AQ365" s="416"/>
      <c r="AR365" s="416"/>
      <c r="AS365" s="416"/>
      <c r="AT365" s="416"/>
      <c r="AU365" s="416"/>
      <c r="AV365" s="416"/>
      <c r="AW365" s="416"/>
      <c r="AX365" s="416"/>
      <c r="AY365" s="286"/>
      <c r="AZ365" s="416"/>
      <c r="BA365" s="416"/>
      <c r="BB365" s="32"/>
    </row>
    <row r="366" spans="2:56">
      <c r="B366" s="1250" t="s">
        <v>644</v>
      </c>
      <c r="C366" s="1251"/>
      <c r="D366" s="411" t="s">
        <v>2150</v>
      </c>
      <c r="E366" s="425"/>
      <c r="F366" s="411" t="s">
        <v>1392</v>
      </c>
      <c r="G366" s="411" t="s">
        <v>365</v>
      </c>
      <c r="H366" s="412">
        <f>H365</f>
        <v>3750</v>
      </c>
      <c r="I366" s="413" t="s">
        <v>76</v>
      </c>
      <c r="J366" s="1269"/>
      <c r="K366" s="414"/>
      <c r="L366" s="414" t="s">
        <v>192</v>
      </c>
      <c r="M366" s="414" t="s">
        <v>192</v>
      </c>
      <c r="N366" s="413" t="str">
        <f t="shared" si="32"/>
        <v xml:space="preserve"> </v>
      </c>
      <c r="O366" s="51"/>
      <c r="P366" s="1281"/>
      <c r="Q366" s="1281"/>
      <c r="R366" s="1281"/>
      <c r="S366" s="32"/>
      <c r="T366" s="416"/>
      <c r="U366" s="416"/>
      <c r="V366" s="416"/>
      <c r="W366" s="416"/>
      <c r="X366" s="416"/>
      <c r="Y366" s="416"/>
      <c r="Z366" s="416"/>
      <c r="AA366" s="416"/>
      <c r="AB366" s="416"/>
      <c r="AC366" s="416"/>
      <c r="AD366" s="416"/>
      <c r="AE366" s="416"/>
      <c r="AF366" s="416"/>
      <c r="AG366" s="416"/>
      <c r="AH366" s="416"/>
      <c r="AI366" s="416"/>
      <c r="AJ366" s="416"/>
      <c r="AK366" s="416">
        <f>H366</f>
        <v>3750</v>
      </c>
      <c r="AL366" s="416"/>
      <c r="AM366" s="416"/>
      <c r="AN366" s="416"/>
      <c r="AO366" s="416"/>
      <c r="AP366" s="416"/>
      <c r="AQ366" s="416"/>
      <c r="AR366" s="416"/>
      <c r="AS366" s="416"/>
      <c r="AT366" s="416"/>
      <c r="AU366" s="416"/>
      <c r="AV366" s="416"/>
      <c r="AW366" s="416"/>
      <c r="AX366" s="416"/>
      <c r="AY366" s="286"/>
      <c r="AZ366" s="416"/>
      <c r="BA366" s="416"/>
      <c r="BB366" s="32"/>
    </row>
    <row r="367" spans="2:56">
      <c r="B367" s="1254"/>
      <c r="C367" s="1255"/>
      <c r="D367" s="411" t="s">
        <v>2151</v>
      </c>
      <c r="E367" s="411"/>
      <c r="F367" s="411" t="s">
        <v>505</v>
      </c>
      <c r="G367" s="411" t="s">
        <v>506</v>
      </c>
      <c r="H367" s="412">
        <v>7475.3509999999997</v>
      </c>
      <c r="I367" s="413" t="s">
        <v>494</v>
      </c>
      <c r="J367" s="414">
        <v>45129.479166666664</v>
      </c>
      <c r="K367" s="414"/>
      <c r="L367" s="414" t="s">
        <v>192</v>
      </c>
      <c r="M367" s="414" t="s">
        <v>192</v>
      </c>
      <c r="N367" s="413" t="str">
        <f t="shared" si="32"/>
        <v>On time</v>
      </c>
      <c r="O367" s="51"/>
      <c r="P367" s="415" t="s">
        <v>551</v>
      </c>
      <c r="Q367" s="415" t="s">
        <v>551</v>
      </c>
      <c r="R367" s="415" t="s">
        <v>551</v>
      </c>
      <c r="S367" s="32"/>
      <c r="T367" s="416"/>
      <c r="U367" s="416"/>
      <c r="V367" s="416"/>
      <c r="W367" s="416"/>
      <c r="X367" s="416"/>
      <c r="Y367" s="416">
        <f>H367</f>
        <v>7475.3509999999997</v>
      </c>
      <c r="Z367" s="416"/>
      <c r="AA367" s="416"/>
      <c r="AB367" s="416"/>
      <c r="AC367" s="416"/>
      <c r="AD367" s="416"/>
      <c r="AE367" s="416"/>
      <c r="AF367" s="416"/>
      <c r="AG367" s="416"/>
      <c r="AH367" s="416"/>
      <c r="AI367" s="416"/>
      <c r="AJ367" s="416"/>
      <c r="AK367" s="416"/>
      <c r="AL367" s="416"/>
      <c r="AM367" s="416"/>
      <c r="AN367" s="416"/>
      <c r="AO367" s="416"/>
      <c r="AP367" s="416"/>
      <c r="AQ367" s="416"/>
      <c r="AR367" s="416"/>
      <c r="AS367" s="416"/>
      <c r="AT367" s="416"/>
      <c r="AU367" s="416"/>
      <c r="AV367" s="416"/>
      <c r="AW367" s="416"/>
      <c r="AX367" s="416"/>
      <c r="AY367" s="416"/>
      <c r="AZ367" s="416"/>
      <c r="BA367" s="416"/>
      <c r="BB367" s="32"/>
    </row>
    <row r="368" spans="2:56">
      <c r="B368" s="1250" t="s">
        <v>643</v>
      </c>
      <c r="C368" s="1251"/>
      <c r="D368" s="411" t="s">
        <v>2152</v>
      </c>
      <c r="E368" s="411"/>
      <c r="F368" s="411" t="s">
        <v>374</v>
      </c>
      <c r="G368" s="411" t="s">
        <v>275</v>
      </c>
      <c r="H368" s="412">
        <v>7649.7539999999999</v>
      </c>
      <c r="I368" s="413" t="s">
        <v>494</v>
      </c>
      <c r="J368" s="414">
        <v>45130.458333333336</v>
      </c>
      <c r="K368" s="414"/>
      <c r="L368" s="414" t="s">
        <v>192</v>
      </c>
      <c r="M368" s="414" t="s">
        <v>192</v>
      </c>
      <c r="N368" s="413" t="str">
        <f t="shared" si="32"/>
        <v>On time</v>
      </c>
      <c r="O368" s="51"/>
      <c r="P368" s="415" t="s">
        <v>551</v>
      </c>
      <c r="Q368" s="415" t="s">
        <v>551</v>
      </c>
      <c r="R368" s="415" t="s">
        <v>551</v>
      </c>
      <c r="S368" s="32"/>
      <c r="T368" s="416"/>
      <c r="U368" s="416"/>
      <c r="V368" s="416"/>
      <c r="W368" s="416"/>
      <c r="X368" s="416"/>
      <c r="Y368" s="416">
        <f>H368</f>
        <v>7649.7539999999999</v>
      </c>
      <c r="Z368" s="416"/>
      <c r="AA368" s="416"/>
      <c r="AB368" s="416"/>
      <c r="AC368" s="416"/>
      <c r="AD368" s="416"/>
      <c r="AE368" s="416"/>
      <c r="AF368" s="416"/>
      <c r="AG368" s="416"/>
      <c r="AH368" s="416"/>
      <c r="AI368" s="416"/>
      <c r="AJ368" s="416"/>
      <c r="AK368" s="416"/>
      <c r="AL368" s="416"/>
      <c r="AM368" s="416"/>
      <c r="AN368" s="416"/>
      <c r="AO368" s="416"/>
      <c r="AP368" s="416"/>
      <c r="AQ368" s="416"/>
      <c r="AR368" s="416"/>
      <c r="AS368" s="416"/>
      <c r="AT368" s="416"/>
      <c r="AU368" s="416"/>
      <c r="AV368" s="416"/>
      <c r="AW368" s="416"/>
      <c r="AX368" s="416"/>
      <c r="AY368" s="416"/>
      <c r="AZ368" s="416"/>
      <c r="BA368" s="416"/>
      <c r="BB368" s="32"/>
    </row>
    <row r="369" spans="2:54">
      <c r="B369" s="1254"/>
      <c r="C369" s="1255"/>
      <c r="D369" s="411" t="s">
        <v>2153</v>
      </c>
      <c r="E369" s="425"/>
      <c r="F369" s="411" t="s">
        <v>201</v>
      </c>
      <c r="G369" s="411" t="s">
        <v>202</v>
      </c>
      <c r="H369" s="412">
        <f>7500/2</f>
        <v>3750</v>
      </c>
      <c r="I369" s="413" t="s">
        <v>76</v>
      </c>
      <c r="J369" s="1268">
        <v>45129.371527777781</v>
      </c>
      <c r="K369" s="414"/>
      <c r="L369" s="414" t="s">
        <v>192</v>
      </c>
      <c r="M369" s="414" t="s">
        <v>192</v>
      </c>
      <c r="N369" s="413" t="str">
        <f t="shared" si="32"/>
        <v>On time</v>
      </c>
      <c r="O369" s="51"/>
      <c r="P369" s="1303" t="s">
        <v>551</v>
      </c>
      <c r="Q369" s="1303" t="s">
        <v>551</v>
      </c>
      <c r="R369" s="1303" t="s">
        <v>551</v>
      </c>
      <c r="S369" s="32"/>
      <c r="T369" s="416"/>
      <c r="U369" s="416"/>
      <c r="V369" s="416"/>
      <c r="W369" s="416"/>
      <c r="X369" s="416"/>
      <c r="Y369" s="416"/>
      <c r="Z369" s="416"/>
      <c r="AA369" s="416"/>
      <c r="AB369" s="416"/>
      <c r="AC369" s="416"/>
      <c r="AD369" s="416"/>
      <c r="AE369" s="416"/>
      <c r="AF369" s="416"/>
      <c r="AG369" s="416"/>
      <c r="AH369" s="416"/>
      <c r="AI369" s="416"/>
      <c r="AJ369" s="32"/>
      <c r="AK369" s="416">
        <f>H369</f>
        <v>3750</v>
      </c>
      <c r="AL369" s="416"/>
      <c r="AM369" s="416"/>
      <c r="AN369" s="416"/>
      <c r="AO369" s="416"/>
      <c r="AP369" s="416"/>
      <c r="AQ369" s="416"/>
      <c r="AR369" s="416"/>
      <c r="AS369" s="416"/>
      <c r="AT369" s="416"/>
      <c r="AU369" s="416"/>
      <c r="AV369" s="416"/>
      <c r="AW369" s="416"/>
      <c r="AX369" s="416"/>
      <c r="AY369" s="286"/>
      <c r="AZ369" s="416"/>
      <c r="BA369" s="416"/>
      <c r="BB369" s="32"/>
    </row>
    <row r="370" spans="2:54">
      <c r="B370" s="1250" t="s">
        <v>885</v>
      </c>
      <c r="C370" s="1251"/>
      <c r="D370" s="411" t="s">
        <v>2153</v>
      </c>
      <c r="E370" s="425"/>
      <c r="F370" s="411" t="s">
        <v>201</v>
      </c>
      <c r="G370" s="411" t="s">
        <v>202</v>
      </c>
      <c r="H370" s="412">
        <f>H369</f>
        <v>3750</v>
      </c>
      <c r="I370" s="413" t="s">
        <v>76</v>
      </c>
      <c r="J370" s="1269"/>
      <c r="K370" s="414"/>
      <c r="L370" s="414" t="s">
        <v>192</v>
      </c>
      <c r="M370" s="414" t="s">
        <v>192</v>
      </c>
      <c r="N370" s="413" t="str">
        <f t="shared" si="32"/>
        <v xml:space="preserve"> </v>
      </c>
      <c r="O370" s="51"/>
      <c r="P370" s="1304"/>
      <c r="Q370" s="1304"/>
      <c r="R370" s="1304"/>
      <c r="S370" s="32"/>
      <c r="T370" s="416"/>
      <c r="U370" s="416"/>
      <c r="V370" s="416"/>
      <c r="W370" s="416"/>
      <c r="X370" s="416"/>
      <c r="Y370" s="416"/>
      <c r="Z370" s="416"/>
      <c r="AA370" s="416"/>
      <c r="AB370" s="416"/>
      <c r="AC370" s="416"/>
      <c r="AD370" s="416"/>
      <c r="AE370" s="416"/>
      <c r="AF370" s="416"/>
      <c r="AG370" s="416"/>
      <c r="AH370" s="416"/>
      <c r="AI370" s="416"/>
      <c r="AJ370" s="32"/>
      <c r="AK370" s="416">
        <f>H370</f>
        <v>3750</v>
      </c>
      <c r="AL370" s="416"/>
      <c r="AM370" s="416"/>
      <c r="AN370" s="416"/>
      <c r="AO370" s="416"/>
      <c r="AP370" s="416"/>
      <c r="AQ370" s="416"/>
      <c r="AR370" s="416"/>
      <c r="AS370" s="416"/>
      <c r="AT370" s="416"/>
      <c r="AU370" s="416"/>
      <c r="AV370" s="416"/>
      <c r="AW370" s="416"/>
      <c r="AX370" s="416"/>
      <c r="AY370" s="286"/>
      <c r="AZ370" s="416"/>
      <c r="BA370" s="416"/>
      <c r="BB370" s="32"/>
    </row>
    <row r="371" spans="2:54">
      <c r="B371" s="1254"/>
      <c r="C371" s="1255"/>
      <c r="D371" s="411" t="s">
        <v>2154</v>
      </c>
      <c r="E371" s="411"/>
      <c r="F371" s="411" t="s">
        <v>284</v>
      </c>
      <c r="G371" s="411" t="s">
        <v>285</v>
      </c>
      <c r="H371" s="412">
        <v>9221.741</v>
      </c>
      <c r="I371" s="413" t="s">
        <v>494</v>
      </c>
      <c r="J371" s="414">
        <v>45130.5</v>
      </c>
      <c r="K371" s="414"/>
      <c r="L371" s="414" t="s">
        <v>192</v>
      </c>
      <c r="M371" s="414" t="s">
        <v>192</v>
      </c>
      <c r="N371" s="413" t="str">
        <f t="shared" si="32"/>
        <v>On time</v>
      </c>
      <c r="O371" s="51"/>
      <c r="P371" s="415" t="s">
        <v>551</v>
      </c>
      <c r="Q371" s="415" t="s">
        <v>551</v>
      </c>
      <c r="R371" s="415" t="s">
        <v>551</v>
      </c>
      <c r="S371" s="32"/>
      <c r="T371" s="416"/>
      <c r="U371" s="416"/>
      <c r="V371" s="416"/>
      <c r="W371" s="416"/>
      <c r="X371" s="416"/>
      <c r="Y371" s="416">
        <f>H371</f>
        <v>9221.741</v>
      </c>
      <c r="Z371" s="416"/>
      <c r="AA371" s="416"/>
      <c r="AB371" s="416"/>
      <c r="AC371" s="416"/>
      <c r="AD371" s="416"/>
      <c r="AE371" s="416"/>
      <c r="AF371" s="416"/>
      <c r="AG371" s="416"/>
      <c r="AH371" s="416"/>
      <c r="AI371" s="416"/>
      <c r="AJ371" s="416"/>
      <c r="AK371" s="416"/>
      <c r="AL371" s="416"/>
      <c r="AM371" s="416"/>
      <c r="AN371" s="416"/>
      <c r="AO371" s="416"/>
      <c r="AP371" s="416"/>
      <c r="AQ371" s="416"/>
      <c r="AR371" s="416"/>
      <c r="AS371" s="416"/>
      <c r="AT371" s="416"/>
      <c r="AU371" s="416"/>
      <c r="AV371" s="416"/>
      <c r="AW371" s="416"/>
      <c r="AX371" s="416"/>
      <c r="AY371" s="416"/>
      <c r="AZ371" s="416"/>
      <c r="BA371" s="416"/>
      <c r="BB371" s="32"/>
    </row>
    <row r="372" spans="2:54">
      <c r="B372" s="1256" t="s">
        <v>548</v>
      </c>
      <c r="C372" s="1257"/>
      <c r="D372" s="411" t="s">
        <v>2155</v>
      </c>
      <c r="E372" s="411"/>
      <c r="F372" s="411" t="s">
        <v>2156</v>
      </c>
      <c r="G372" s="411" t="s">
        <v>1835</v>
      </c>
      <c r="H372" s="412">
        <f>7553.925-2199.742</f>
        <v>5354.183</v>
      </c>
      <c r="I372" s="413" t="s">
        <v>494</v>
      </c>
      <c r="J372" s="414">
        <v>45131.302083333336</v>
      </c>
      <c r="K372" s="414"/>
      <c r="L372" s="414" t="s">
        <v>192</v>
      </c>
      <c r="M372" s="414" t="s">
        <v>192</v>
      </c>
      <c r="N372" s="413" t="str">
        <f t="shared" si="32"/>
        <v>On time</v>
      </c>
      <c r="O372" s="51"/>
      <c r="P372" s="415" t="s">
        <v>551</v>
      </c>
      <c r="Q372" s="415" t="s">
        <v>551</v>
      </c>
      <c r="R372" s="415" t="s">
        <v>551</v>
      </c>
      <c r="S372" s="32"/>
      <c r="T372" s="416"/>
      <c r="U372" s="416"/>
      <c r="V372" s="416"/>
      <c r="W372" s="416"/>
      <c r="X372" s="416"/>
      <c r="Y372" s="416">
        <f>H372-H376</f>
        <v>3158.61</v>
      </c>
      <c r="Z372" s="416"/>
      <c r="AA372" s="416"/>
      <c r="AB372" s="416"/>
      <c r="AC372" s="416"/>
      <c r="AD372" s="416"/>
      <c r="AE372" s="416"/>
      <c r="AF372" s="416"/>
      <c r="AG372" s="416"/>
      <c r="AH372" s="416"/>
      <c r="AI372" s="416"/>
      <c r="AJ372" s="416"/>
      <c r="AK372" s="416"/>
      <c r="AL372" s="416"/>
      <c r="AM372" s="416"/>
      <c r="AN372" s="416"/>
      <c r="AO372" s="416"/>
      <c r="AP372" s="416"/>
      <c r="AQ372" s="416"/>
      <c r="AR372" s="416"/>
      <c r="AS372" s="416"/>
      <c r="AT372" s="416"/>
      <c r="AU372" s="416"/>
      <c r="AV372" s="416"/>
      <c r="AW372" s="416"/>
      <c r="AX372" s="416"/>
      <c r="AY372" s="416"/>
      <c r="AZ372" s="416"/>
      <c r="BA372" s="416"/>
      <c r="BB372" s="32"/>
    </row>
    <row r="373" spans="2:54">
      <c r="B373" s="1258" t="s">
        <v>556</v>
      </c>
      <c r="C373" s="1259"/>
      <c r="D373" s="1259"/>
      <c r="E373" s="1259"/>
      <c r="F373" s="1259"/>
      <c r="G373" s="1260"/>
      <c r="H373" s="417">
        <f>SUM(H363:H372)</f>
        <v>53200</v>
      </c>
      <c r="I373" s="388"/>
      <c r="J373" s="293"/>
      <c r="K373" s="293"/>
      <c r="L373" s="293"/>
      <c r="M373" s="389"/>
      <c r="N373" s="413" t="str">
        <f t="shared" si="32"/>
        <v xml:space="preserve"> </v>
      </c>
      <c r="O373" s="212"/>
      <c r="P373" s="418"/>
      <c r="Q373" s="418"/>
      <c r="R373" s="418"/>
      <c r="S373" s="207"/>
      <c r="T373" s="1300"/>
      <c r="U373" s="1301"/>
      <c r="V373" s="1301"/>
      <c r="W373" s="1301"/>
      <c r="X373" s="1301"/>
      <c r="Y373" s="1301"/>
      <c r="Z373" s="1301"/>
      <c r="AA373" s="1301"/>
      <c r="AB373" s="1301"/>
      <c r="AC373" s="1301"/>
      <c r="AD373" s="1301"/>
      <c r="AE373" s="1301"/>
      <c r="AF373" s="1301"/>
      <c r="AG373" s="1301"/>
      <c r="AH373" s="1301"/>
      <c r="AI373" s="1301"/>
      <c r="AJ373" s="1301"/>
      <c r="AK373" s="1301"/>
      <c r="AL373" s="1301"/>
      <c r="AM373" s="1301"/>
      <c r="AN373" s="1301"/>
      <c r="AO373" s="1301"/>
      <c r="AP373" s="1301"/>
      <c r="AQ373" s="1301"/>
      <c r="AR373" s="1301"/>
      <c r="AS373" s="1301"/>
      <c r="AT373" s="1301"/>
      <c r="AU373" s="1301"/>
      <c r="AV373" s="1301"/>
      <c r="AW373" s="1301"/>
      <c r="AX373" s="1301"/>
      <c r="AY373" s="1301"/>
      <c r="AZ373" s="1301"/>
      <c r="BA373" s="1301"/>
    </row>
    <row r="374" spans="2:54">
      <c r="B374" s="1243" t="s">
        <v>557</v>
      </c>
      <c r="C374" s="1244"/>
      <c r="D374" s="1244"/>
      <c r="E374" s="1244"/>
      <c r="F374" s="1244"/>
      <c r="G374" s="1245"/>
      <c r="H374" s="419">
        <v>53200</v>
      </c>
      <c r="I374" s="1273"/>
      <c r="J374" s="1274"/>
      <c r="K374" s="1274"/>
      <c r="L374" s="1274"/>
      <c r="M374" s="1275"/>
      <c r="N374" s="413" t="str">
        <f t="shared" si="32"/>
        <v xml:space="preserve"> </v>
      </c>
      <c r="O374" s="32"/>
      <c r="P374" s="415"/>
      <c r="Q374" s="415"/>
      <c r="R374" s="415"/>
      <c r="S374" s="63"/>
      <c r="T374" s="416">
        <f t="shared" ref="T374:BA374" si="33">SUM(T363:T372)</f>
        <v>0</v>
      </c>
      <c r="U374" s="416">
        <f t="shared" si="33"/>
        <v>0</v>
      </c>
      <c r="V374" s="416">
        <f t="shared" si="33"/>
        <v>0</v>
      </c>
      <c r="W374" s="416">
        <f t="shared" si="33"/>
        <v>0</v>
      </c>
      <c r="X374" s="416">
        <f t="shared" si="33"/>
        <v>0</v>
      </c>
      <c r="Y374" s="416">
        <f t="shared" si="33"/>
        <v>36004.427000000003</v>
      </c>
      <c r="Z374" s="416">
        <f t="shared" si="33"/>
        <v>0</v>
      </c>
      <c r="AA374" s="416">
        <f t="shared" si="33"/>
        <v>0</v>
      </c>
      <c r="AB374" s="416">
        <f t="shared" si="33"/>
        <v>0</v>
      </c>
      <c r="AC374" s="416">
        <f t="shared" si="33"/>
        <v>0</v>
      </c>
      <c r="AD374" s="416">
        <f t="shared" si="33"/>
        <v>0</v>
      </c>
      <c r="AE374" s="416">
        <f t="shared" si="33"/>
        <v>0</v>
      </c>
      <c r="AF374" s="416">
        <f t="shared" si="33"/>
        <v>0</v>
      </c>
      <c r="AG374" s="416">
        <f t="shared" si="33"/>
        <v>0</v>
      </c>
      <c r="AH374" s="416">
        <f t="shared" si="33"/>
        <v>0</v>
      </c>
      <c r="AI374" s="416">
        <f t="shared" si="33"/>
        <v>0</v>
      </c>
      <c r="AJ374" s="416">
        <f t="shared" si="33"/>
        <v>0</v>
      </c>
      <c r="AK374" s="416">
        <f t="shared" si="33"/>
        <v>15000</v>
      </c>
      <c r="AL374" s="416">
        <f t="shared" si="33"/>
        <v>0</v>
      </c>
      <c r="AM374" s="416">
        <f t="shared" si="33"/>
        <v>0</v>
      </c>
      <c r="AN374" s="416">
        <f t="shared" si="33"/>
        <v>0</v>
      </c>
      <c r="AO374" s="416">
        <f t="shared" si="33"/>
        <v>0</v>
      </c>
      <c r="AP374" s="416">
        <f t="shared" si="33"/>
        <v>0</v>
      </c>
      <c r="AQ374" s="416">
        <f t="shared" si="33"/>
        <v>0</v>
      </c>
      <c r="AR374" s="416">
        <f t="shared" si="33"/>
        <v>0</v>
      </c>
      <c r="AS374" s="416">
        <f t="shared" si="33"/>
        <v>0</v>
      </c>
      <c r="AT374" s="416">
        <f t="shared" si="33"/>
        <v>0</v>
      </c>
      <c r="AU374" s="416">
        <f t="shared" si="33"/>
        <v>0</v>
      </c>
      <c r="AV374" s="416">
        <f t="shared" si="33"/>
        <v>0</v>
      </c>
      <c r="AW374" s="416">
        <f t="shared" si="33"/>
        <v>0</v>
      </c>
      <c r="AX374" s="416">
        <f t="shared" si="33"/>
        <v>0</v>
      </c>
      <c r="AY374" s="416">
        <f t="shared" si="33"/>
        <v>0</v>
      </c>
      <c r="AZ374" s="416">
        <f t="shared" si="33"/>
        <v>0</v>
      </c>
      <c r="BA374" s="416">
        <f t="shared" si="33"/>
        <v>0</v>
      </c>
      <c r="BB374" s="416">
        <f>SUM(T374:BA374)</f>
        <v>51004.427000000003</v>
      </c>
    </row>
    <row r="375" spans="2:54">
      <c r="B375" s="1243" t="s">
        <v>558</v>
      </c>
      <c r="C375" s="1244"/>
      <c r="D375" s="1244"/>
      <c r="E375" s="1244"/>
      <c r="F375" s="1244"/>
      <c r="G375" s="1245"/>
      <c r="H375" s="420">
        <f>H374-L357</f>
        <v>0</v>
      </c>
      <c r="I375" s="294"/>
      <c r="J375" s="295"/>
      <c r="K375" s="295"/>
      <c r="L375" s="296"/>
      <c r="M375" s="32"/>
      <c r="N375" s="32"/>
      <c r="O375" s="32"/>
      <c r="P375" s="32"/>
      <c r="Q375" s="297"/>
      <c r="R375" s="297"/>
      <c r="S375" s="32"/>
      <c r="T375" s="48"/>
      <c r="U375" s="48"/>
      <c r="V375" s="48"/>
      <c r="W375" s="48"/>
      <c r="X375" s="48"/>
      <c r="Y375" s="48"/>
      <c r="Z375" s="48"/>
      <c r="AA375" s="48"/>
      <c r="AB375" s="48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</row>
    <row r="376" spans="2:54">
      <c r="B376" s="1243" t="s">
        <v>559</v>
      </c>
      <c r="C376" s="1244"/>
      <c r="D376" s="1244"/>
      <c r="E376" s="1244"/>
      <c r="F376" s="1244"/>
      <c r="G376" s="1245"/>
      <c r="H376" s="446">
        <v>2195.5729999999999</v>
      </c>
      <c r="I376" s="52"/>
      <c r="J376" s="53"/>
      <c r="K376" s="53"/>
      <c r="L376" s="54"/>
      <c r="M376" s="32"/>
      <c r="N376" s="201"/>
      <c r="O376" s="32"/>
      <c r="P376" s="32"/>
      <c r="Q376" s="32"/>
      <c r="R376" s="32"/>
      <c r="S376" s="32"/>
      <c r="T376" s="48"/>
      <c r="U376" s="48"/>
      <c r="V376" s="48"/>
      <c r="W376" s="48"/>
      <c r="X376" s="48"/>
      <c r="Y376" s="48"/>
      <c r="Z376" s="48"/>
      <c r="AA376" s="48"/>
      <c r="AB376" s="48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</row>
    <row r="377" spans="2:54">
      <c r="B377" s="1243" t="s">
        <v>560</v>
      </c>
      <c r="C377" s="1244"/>
      <c r="D377" s="1244"/>
      <c r="E377" s="1244"/>
      <c r="F377" s="1244"/>
      <c r="G377" s="1245"/>
      <c r="H377" s="421">
        <f>H376-2199.742</f>
        <v>-4.1690000000003238</v>
      </c>
      <c r="I377" s="52"/>
      <c r="J377" s="53"/>
      <c r="K377" s="53"/>
      <c r="L377" s="54"/>
      <c r="M377" s="32"/>
      <c r="N377" s="32"/>
      <c r="O377" s="32"/>
      <c r="P377" s="32"/>
      <c r="Q377" s="32"/>
      <c r="R377" s="32"/>
      <c r="S377" s="48"/>
      <c r="T377" s="48"/>
      <c r="U377" s="48"/>
      <c r="V377" s="48"/>
      <c r="W377" s="48"/>
      <c r="X377" s="48"/>
      <c r="Y377" s="48"/>
      <c r="Z377" s="48"/>
      <c r="AA377" s="48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</row>
    <row r="378" spans="2:54">
      <c r="B378" s="201"/>
      <c r="C378" s="201"/>
      <c r="D378" s="201"/>
      <c r="E378" s="201"/>
      <c r="F378" s="201"/>
      <c r="G378" s="201"/>
      <c r="H378" s="201"/>
      <c r="I378" s="213"/>
      <c r="J378" s="209"/>
      <c r="K378" s="209"/>
      <c r="L378" s="203"/>
      <c r="M378" s="201"/>
      <c r="N378" s="201"/>
      <c r="O378" s="209"/>
      <c r="P378" s="32"/>
      <c r="Q378" s="32"/>
      <c r="R378" s="32"/>
      <c r="S378" s="32"/>
      <c r="T378" s="48"/>
      <c r="U378" s="48"/>
      <c r="V378" s="48"/>
      <c r="W378" s="48"/>
      <c r="X378" s="48"/>
      <c r="Y378" s="48"/>
      <c r="Z378" s="48"/>
      <c r="AA378" s="48"/>
      <c r="AB378" s="48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</row>
    <row r="379" spans="2:54">
      <c r="B379" s="40" t="s">
        <v>561</v>
      </c>
      <c r="C379" s="40"/>
      <c r="D379" s="32"/>
      <c r="E379" s="32"/>
      <c r="F379" s="32"/>
      <c r="G379" s="32"/>
      <c r="H379" s="32"/>
      <c r="I379" s="32"/>
      <c r="J379" s="52"/>
      <c r="K379" s="52"/>
      <c r="L379" s="55"/>
      <c r="M379" s="32"/>
      <c r="N379" s="201"/>
      <c r="O379" s="5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  <c r="AA379" s="202"/>
      <c r="AB379" s="201"/>
      <c r="AC379" s="201"/>
      <c r="AD379" s="201"/>
      <c r="AE379" s="201"/>
      <c r="AF379" s="201"/>
      <c r="AG379" s="201"/>
      <c r="AH379" s="201"/>
      <c r="AI379" s="201"/>
      <c r="AJ379" s="201"/>
      <c r="AK379" s="201"/>
      <c r="AL379" s="201"/>
      <c r="AM379" s="201"/>
      <c r="AN379" s="201"/>
      <c r="AO379" s="201"/>
      <c r="AP379" s="201"/>
      <c r="AQ379" s="201"/>
      <c r="AR379" s="201"/>
      <c r="AS379" s="201"/>
      <c r="AT379" s="201"/>
      <c r="AU379" s="201"/>
      <c r="BB379" s="201"/>
    </row>
    <row r="380" spans="2:54">
      <c r="B380" s="422">
        <v>1</v>
      </c>
      <c r="C380" s="1249" t="s">
        <v>2157</v>
      </c>
      <c r="D380" s="1249"/>
      <c r="E380" s="1249"/>
      <c r="F380" s="1249"/>
      <c r="G380" s="1249"/>
      <c r="H380" s="1249"/>
      <c r="I380" s="1249"/>
      <c r="J380" s="1249"/>
      <c r="K380" s="1249"/>
      <c r="L380" s="203"/>
      <c r="M380" s="203"/>
      <c r="N380" s="201"/>
      <c r="O380" s="209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  <c r="AA380" s="202"/>
      <c r="AB380" s="201"/>
      <c r="AC380" s="201"/>
      <c r="AD380" s="201"/>
      <c r="AE380" s="201"/>
      <c r="AF380" s="201"/>
      <c r="AG380" s="201"/>
      <c r="AH380" s="201"/>
      <c r="AI380" s="201"/>
      <c r="AJ380" s="201"/>
      <c r="AK380" s="201"/>
      <c r="AL380" s="201"/>
      <c r="AM380" s="201"/>
      <c r="AN380" s="201"/>
      <c r="AO380" s="201"/>
      <c r="AP380" s="201"/>
      <c r="AQ380" s="201"/>
      <c r="AR380" s="201"/>
      <c r="AS380" s="201"/>
      <c r="AT380" s="201"/>
      <c r="AU380" s="201"/>
      <c r="AV380" s="201"/>
      <c r="AW380" s="201"/>
      <c r="AX380" s="201"/>
      <c r="AY380" s="201"/>
      <c r="AZ380" s="201"/>
      <c r="BA380" s="201"/>
      <c r="BB380" s="201"/>
    </row>
    <row r="382" spans="2:54">
      <c r="B382" s="28" t="s">
        <v>126</v>
      </c>
      <c r="C382" s="28"/>
      <c r="D382" s="29"/>
      <c r="E382" s="30" t="s">
        <v>511</v>
      </c>
      <c r="F382" s="31" t="s">
        <v>2158</v>
      </c>
      <c r="G382" s="32"/>
      <c r="H382" s="33"/>
      <c r="I382" s="34"/>
      <c r="J382" s="35" t="s">
        <v>513</v>
      </c>
      <c r="K382" s="36" t="s">
        <v>511</v>
      </c>
      <c r="L382" s="37">
        <v>45134.041666666664</v>
      </c>
      <c r="M382" s="32"/>
      <c r="N382" s="32"/>
      <c r="O382" s="206"/>
      <c r="P382" s="205"/>
      <c r="Q382" s="202"/>
      <c r="R382" s="204"/>
      <c r="S382" s="38"/>
      <c r="T382" s="201"/>
      <c r="U382" s="201"/>
      <c r="V382" s="201"/>
      <c r="W382" s="201"/>
      <c r="X382" s="201"/>
      <c r="Y382" s="201"/>
      <c r="Z382" s="201"/>
      <c r="AA382" s="201"/>
      <c r="AB382" s="202"/>
      <c r="AC382" s="202"/>
      <c r="AD382" s="202"/>
      <c r="AE382" s="202"/>
      <c r="AF382" s="202"/>
      <c r="AG382" s="201"/>
      <c r="AH382" s="201"/>
      <c r="AI382" s="201"/>
      <c r="AJ382" s="201"/>
      <c r="AK382" s="201"/>
      <c r="AL382" s="201"/>
      <c r="AM382" s="201"/>
      <c r="AN382" s="201"/>
      <c r="AO382" s="201"/>
      <c r="AP382" s="201"/>
      <c r="AQ382" s="201"/>
      <c r="AR382" s="201"/>
      <c r="AS382" s="201"/>
      <c r="AT382" s="201"/>
      <c r="AU382" s="201"/>
      <c r="AV382" s="201"/>
      <c r="AW382" s="201"/>
      <c r="AX382" s="201"/>
      <c r="AY382" s="201"/>
      <c r="AZ382" s="201"/>
      <c r="BA382" s="201"/>
      <c r="BB382" s="201"/>
    </row>
    <row r="383" spans="2:54">
      <c r="B383" s="35" t="s">
        <v>514</v>
      </c>
      <c r="C383" s="35"/>
      <c r="D383" s="32"/>
      <c r="E383" s="36" t="s">
        <v>511</v>
      </c>
      <c r="F383" s="311" t="s">
        <v>2159</v>
      </c>
      <c r="G383" s="32"/>
      <c r="H383" s="33"/>
      <c r="I383" s="34"/>
      <c r="J383" s="35" t="s">
        <v>516</v>
      </c>
      <c r="K383" s="36" t="s">
        <v>511</v>
      </c>
      <c r="L383" s="37">
        <v>45135.916666666664</v>
      </c>
      <c r="M383" s="32"/>
      <c r="N383" s="32"/>
      <c r="O383" s="206"/>
      <c r="P383" s="205"/>
      <c r="Q383" s="202"/>
      <c r="R383" s="204"/>
      <c r="S383" s="38"/>
      <c r="T383" s="201"/>
      <c r="U383" s="201"/>
      <c r="V383" s="201"/>
      <c r="W383" s="201"/>
      <c r="X383" s="201"/>
      <c r="Y383" s="201"/>
      <c r="Z383" s="201"/>
      <c r="AA383" s="201"/>
      <c r="AB383" s="202"/>
      <c r="AC383" s="202"/>
      <c r="AD383" s="202"/>
      <c r="AE383" s="202"/>
      <c r="AF383" s="202"/>
      <c r="AG383" s="201"/>
      <c r="AH383" s="201"/>
      <c r="AI383" s="201"/>
      <c r="AJ383" s="201"/>
      <c r="AK383" s="201"/>
      <c r="AL383" s="201"/>
      <c r="AM383" s="201"/>
      <c r="AN383" s="201"/>
      <c r="AO383" s="201"/>
      <c r="AP383" s="201"/>
      <c r="AQ383" s="201"/>
      <c r="AR383" s="201"/>
      <c r="AS383" s="201"/>
      <c r="AT383" s="201"/>
      <c r="AU383" s="201"/>
      <c r="AV383" s="201"/>
      <c r="AW383" s="201"/>
      <c r="AX383" s="201"/>
      <c r="AY383" s="201"/>
      <c r="AZ383" s="201"/>
      <c r="BA383" s="201"/>
      <c r="BB383" s="201"/>
    </row>
    <row r="384" spans="2:54">
      <c r="B384" s="35" t="s">
        <v>517</v>
      </c>
      <c r="C384" s="35"/>
      <c r="D384" s="32"/>
      <c r="E384" s="36" t="s">
        <v>511</v>
      </c>
      <c r="F384" s="37">
        <v>45127.416666666664</v>
      </c>
      <c r="G384" s="32"/>
      <c r="H384" s="33"/>
      <c r="I384" s="34"/>
      <c r="J384" s="35" t="s">
        <v>518</v>
      </c>
      <c r="K384" s="36" t="s">
        <v>511</v>
      </c>
      <c r="L384" s="50">
        <v>57500</v>
      </c>
      <c r="M384" s="40" t="s">
        <v>519</v>
      </c>
      <c r="N384" s="40"/>
      <c r="O384" s="206"/>
      <c r="P384" s="205"/>
      <c r="Q384" s="202"/>
      <c r="R384" s="204"/>
      <c r="S384" s="38"/>
      <c r="T384" s="201"/>
      <c r="U384" s="201"/>
      <c r="V384" s="201"/>
      <c r="W384" s="201"/>
      <c r="X384" s="201"/>
      <c r="Y384" s="201"/>
      <c r="Z384" s="201"/>
      <c r="AA384" s="201"/>
      <c r="AB384" s="202"/>
      <c r="AC384" s="202"/>
      <c r="AD384" s="202"/>
      <c r="AE384" s="202"/>
      <c r="AF384" s="202"/>
      <c r="AG384" s="201"/>
      <c r="AH384" s="201"/>
      <c r="AI384" s="201"/>
      <c r="AJ384" s="201"/>
      <c r="AK384" s="201"/>
      <c r="AL384" s="201"/>
      <c r="AM384" s="201"/>
      <c r="AN384" s="201"/>
      <c r="AO384" s="201"/>
      <c r="AP384" s="201"/>
      <c r="AQ384" s="201"/>
      <c r="AR384" s="201"/>
      <c r="AS384" s="201"/>
      <c r="AT384" s="201"/>
      <c r="AU384" s="201"/>
      <c r="AV384" s="201"/>
      <c r="AW384" s="201"/>
      <c r="AX384" s="201"/>
      <c r="AY384" s="201"/>
      <c r="AZ384" s="201"/>
      <c r="BA384" s="201"/>
      <c r="BB384" s="201"/>
    </row>
    <row r="385" spans="2:54">
      <c r="B385" s="35" t="s">
        <v>520</v>
      </c>
      <c r="C385" s="35"/>
      <c r="D385" s="32"/>
      <c r="E385" s="36" t="s">
        <v>511</v>
      </c>
      <c r="F385" s="37" t="s">
        <v>12</v>
      </c>
      <c r="G385" s="32"/>
      <c r="H385" s="33"/>
      <c r="I385" s="34"/>
      <c r="J385" s="35" t="s">
        <v>521</v>
      </c>
      <c r="K385" s="36" t="s">
        <v>511</v>
      </c>
      <c r="L385" s="41" t="s">
        <v>2160</v>
      </c>
      <c r="M385" s="32"/>
      <c r="N385" s="32"/>
      <c r="O385" s="206"/>
      <c r="P385" s="202"/>
      <c r="Q385" s="202"/>
      <c r="R385" s="204"/>
      <c r="S385" s="38"/>
      <c r="T385" s="201"/>
      <c r="U385" s="201"/>
      <c r="V385" s="201"/>
      <c r="W385" s="201"/>
      <c r="X385" s="201"/>
      <c r="Y385" s="201"/>
      <c r="Z385" s="201"/>
      <c r="AA385" s="201"/>
      <c r="AB385" s="202"/>
      <c r="AC385" s="202"/>
      <c r="AD385" s="202"/>
      <c r="AE385" s="202"/>
      <c r="AF385" s="202"/>
      <c r="AG385" s="201"/>
      <c r="AH385" s="201"/>
      <c r="AI385" s="201"/>
      <c r="AJ385" s="201"/>
      <c r="AK385" s="201"/>
      <c r="AL385" s="201"/>
      <c r="AM385" s="201"/>
      <c r="AN385" s="201"/>
      <c r="AO385" s="201"/>
      <c r="AP385" s="201"/>
      <c r="AQ385" s="201"/>
      <c r="AR385" s="201"/>
      <c r="AS385" s="201"/>
      <c r="AT385" s="201"/>
      <c r="AU385" s="201"/>
      <c r="AV385" s="201"/>
      <c r="AW385" s="201"/>
      <c r="AX385" s="201"/>
      <c r="AY385" s="201"/>
      <c r="AZ385" s="201"/>
      <c r="BA385" s="201"/>
      <c r="BB385" s="201"/>
    </row>
    <row r="386" spans="2:54">
      <c r="B386" s="35" t="s">
        <v>523</v>
      </c>
      <c r="C386" s="35"/>
      <c r="D386" s="32"/>
      <c r="E386" s="36" t="s">
        <v>511</v>
      </c>
      <c r="F386" s="37" t="s">
        <v>32</v>
      </c>
      <c r="G386" s="32"/>
      <c r="H386" s="33"/>
      <c r="I386" s="34"/>
      <c r="J386" s="42" t="s">
        <v>524</v>
      </c>
      <c r="K386" s="36" t="s">
        <v>511</v>
      </c>
      <c r="L386" s="43" t="s">
        <v>15</v>
      </c>
      <c r="M386" s="44"/>
      <c r="N386" s="44"/>
      <c r="O386" s="206"/>
      <c r="P386" s="205"/>
      <c r="Q386" s="202"/>
      <c r="R386" s="204"/>
      <c r="S386" s="38"/>
      <c r="T386" s="201"/>
      <c r="U386" s="201"/>
      <c r="V386" s="201"/>
      <c r="W386" s="201"/>
      <c r="X386" s="201"/>
      <c r="Y386" s="201"/>
      <c r="Z386" s="201"/>
      <c r="AA386" s="201"/>
      <c r="AB386" s="202"/>
      <c r="AC386" s="202"/>
      <c r="AD386" s="202"/>
      <c r="AE386" s="202"/>
      <c r="AF386" s="202"/>
      <c r="AG386" s="201"/>
      <c r="AH386" s="201"/>
      <c r="AI386" s="201"/>
      <c r="AJ386" s="201"/>
      <c r="AK386" s="201"/>
      <c r="AL386" s="201"/>
      <c r="AM386" s="201"/>
      <c r="AN386" s="201"/>
      <c r="AO386" s="201"/>
      <c r="AP386" s="201"/>
      <c r="AQ386" s="201"/>
      <c r="AR386" s="201"/>
      <c r="AS386" s="201"/>
      <c r="AT386" s="201"/>
      <c r="AU386" s="201"/>
      <c r="AV386" s="201"/>
      <c r="AW386" s="201"/>
      <c r="AX386" s="201"/>
      <c r="AY386" s="201"/>
      <c r="AZ386" s="201"/>
      <c r="BA386" s="201"/>
      <c r="BB386" s="201"/>
    </row>
    <row r="387" spans="2:54">
      <c r="B387" s="35" t="s">
        <v>2</v>
      </c>
      <c r="C387" s="35"/>
      <c r="D387" s="32"/>
      <c r="E387" s="36" t="s">
        <v>511</v>
      </c>
      <c r="F387" s="37" t="s">
        <v>58</v>
      </c>
      <c r="G387" s="32"/>
      <c r="H387" s="33"/>
      <c r="I387" s="45"/>
      <c r="J387" s="42"/>
      <c r="K387" s="36"/>
      <c r="L387" s="211"/>
      <c r="M387" s="201"/>
      <c r="N387" s="201"/>
      <c r="O387" s="42"/>
      <c r="P387" s="44"/>
      <c r="Q387" s="44"/>
      <c r="R387" s="44"/>
      <c r="S387" s="34"/>
      <c r="T387" s="201"/>
      <c r="U387" s="201"/>
      <c r="V387" s="201"/>
      <c r="W387" s="201"/>
      <c r="X387" s="201"/>
      <c r="Y387" s="201"/>
      <c r="Z387" s="201"/>
      <c r="AA387" s="201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201"/>
      <c r="AP387" s="201"/>
      <c r="AQ387" s="201"/>
      <c r="AR387" s="201"/>
      <c r="AS387" s="201"/>
      <c r="AT387" s="201"/>
      <c r="AU387" s="201"/>
      <c r="AV387" s="201"/>
      <c r="AW387" s="201"/>
      <c r="AX387" s="201"/>
      <c r="AY387" s="201"/>
      <c r="AZ387" s="201"/>
      <c r="BA387" s="201"/>
      <c r="BB387" s="201"/>
    </row>
    <row r="388" spans="2:54">
      <c r="B388" s="201"/>
      <c r="C388" s="201"/>
      <c r="D388" s="201"/>
      <c r="E388" s="201"/>
      <c r="F388" s="201"/>
      <c r="G388" s="201"/>
      <c r="H388" s="201"/>
      <c r="I388" s="45"/>
      <c r="J388" s="42"/>
      <c r="K388" s="42"/>
      <c r="L388" s="43"/>
      <c r="M388" s="44"/>
      <c r="N388" s="44"/>
      <c r="O388" s="42"/>
      <c r="P388" s="44"/>
      <c r="Q388" s="44"/>
      <c r="R388" s="44"/>
      <c r="S388" s="34"/>
      <c r="T388" s="1265" t="s">
        <v>87</v>
      </c>
      <c r="U388" s="1265"/>
      <c r="V388" s="1265"/>
      <c r="W388" s="1265"/>
      <c r="X388" s="1265"/>
      <c r="Y388" s="1265" t="s">
        <v>73</v>
      </c>
      <c r="Z388" s="1265"/>
      <c r="AA388" s="1265"/>
      <c r="AB388" s="1265" t="s">
        <v>74</v>
      </c>
      <c r="AC388" s="1265"/>
      <c r="AD388" s="423" t="s">
        <v>85</v>
      </c>
      <c r="AE388" s="423" t="s">
        <v>77</v>
      </c>
      <c r="AF388" s="1265" t="s">
        <v>525</v>
      </c>
      <c r="AG388" s="1265"/>
      <c r="AH388" s="1265"/>
      <c r="AI388" s="1265"/>
      <c r="AJ388" s="1265"/>
      <c r="AK388" s="1265"/>
      <c r="AL388" s="1265"/>
      <c r="AM388" s="1265"/>
      <c r="AN388" s="1265"/>
      <c r="AO388" s="1265"/>
      <c r="AP388" s="1265"/>
      <c r="AQ388" s="1265"/>
      <c r="AR388" s="1265"/>
      <c r="AS388" s="1265"/>
      <c r="AT388" s="1265"/>
      <c r="AU388" s="1265"/>
      <c r="AV388" s="1265"/>
      <c r="AW388" s="1265"/>
      <c r="AX388" s="1265"/>
      <c r="AY388" s="1265"/>
      <c r="AZ388" s="1265"/>
      <c r="BA388" s="1265"/>
      <c r="BB388" s="201"/>
    </row>
    <row r="389" spans="2:54">
      <c r="B389" s="1266" t="s">
        <v>526</v>
      </c>
      <c r="C389" s="1267"/>
      <c r="D389" s="570" t="s">
        <v>527</v>
      </c>
      <c r="E389" s="570"/>
      <c r="F389" s="570" t="s">
        <v>528</v>
      </c>
      <c r="G389" s="570" t="s">
        <v>529</v>
      </c>
      <c r="H389" s="570" t="s">
        <v>530</v>
      </c>
      <c r="I389" s="570" t="s">
        <v>531</v>
      </c>
      <c r="J389" s="570" t="s">
        <v>532</v>
      </c>
      <c r="K389" s="570"/>
      <c r="L389" s="570" t="s">
        <v>130</v>
      </c>
      <c r="M389" s="570" t="s">
        <v>533</v>
      </c>
      <c r="N389" s="408" t="str">
        <f>"On time - "&amp;COUNTIF(N390:N399,"On time")&amp;" from "&amp;ROWS(N390:N399)-COUNTIF(N390:N399," ")</f>
        <v>On time - 0 from 8</v>
      </c>
      <c r="O389" s="46"/>
      <c r="P389" s="409" t="s">
        <v>534</v>
      </c>
      <c r="Q389" s="409" t="s">
        <v>535</v>
      </c>
      <c r="R389" s="409" t="s">
        <v>536</v>
      </c>
      <c r="S389" s="32"/>
      <c r="T389" s="424" t="s">
        <v>537</v>
      </c>
      <c r="U389" s="424" t="s">
        <v>538</v>
      </c>
      <c r="V389" s="424" t="s">
        <v>539</v>
      </c>
      <c r="W389" s="424" t="s">
        <v>540</v>
      </c>
      <c r="X389" s="424" t="s">
        <v>541</v>
      </c>
      <c r="Y389" s="424" t="s">
        <v>167</v>
      </c>
      <c r="Z389" s="424" t="s">
        <v>168</v>
      </c>
      <c r="AA389" s="424" t="s">
        <v>169</v>
      </c>
      <c r="AB389" s="424" t="s">
        <v>235</v>
      </c>
      <c r="AC389" s="424" t="s">
        <v>240</v>
      </c>
      <c r="AD389" s="423" t="s">
        <v>85</v>
      </c>
      <c r="AE389" s="424" t="s">
        <v>139</v>
      </c>
      <c r="AF389" s="424" t="s">
        <v>72</v>
      </c>
      <c r="AG389" s="424" t="s">
        <v>88</v>
      </c>
      <c r="AH389" s="424" t="s">
        <v>75</v>
      </c>
      <c r="AI389" s="424" t="s">
        <v>543</v>
      </c>
      <c r="AJ389" s="424" t="s">
        <v>78</v>
      </c>
      <c r="AK389" s="424" t="s">
        <v>76</v>
      </c>
      <c r="AL389" s="424" t="s">
        <v>544</v>
      </c>
      <c r="AM389" s="424" t="s">
        <v>545</v>
      </c>
      <c r="AN389" s="424" t="s">
        <v>86</v>
      </c>
      <c r="AO389" s="424" t="s">
        <v>83</v>
      </c>
      <c r="AP389" s="424" t="s">
        <v>84</v>
      </c>
      <c r="AQ389" s="424" t="s">
        <v>546</v>
      </c>
      <c r="AR389" s="424" t="s">
        <v>81</v>
      </c>
      <c r="AS389" s="424" t="s">
        <v>80</v>
      </c>
      <c r="AT389" s="424" t="s">
        <v>82</v>
      </c>
      <c r="AU389" s="424" t="s">
        <v>181</v>
      </c>
      <c r="AV389" s="424" t="s">
        <v>183</v>
      </c>
      <c r="AW389" s="424" t="s">
        <v>547</v>
      </c>
      <c r="AX389" s="424" t="s">
        <v>182</v>
      </c>
      <c r="AY389" s="424" t="s">
        <v>172</v>
      </c>
      <c r="AZ389" s="424" t="s">
        <v>173</v>
      </c>
      <c r="BA389" s="424" t="s">
        <v>184</v>
      </c>
      <c r="BB389" s="201"/>
    </row>
    <row r="390" spans="2:54">
      <c r="B390" s="1250" t="s">
        <v>884</v>
      </c>
      <c r="C390" s="1251"/>
      <c r="D390" s="411" t="s">
        <v>2161</v>
      </c>
      <c r="E390" s="411"/>
      <c r="F390" s="411" t="s">
        <v>205</v>
      </c>
      <c r="G390" s="411" t="s">
        <v>206</v>
      </c>
      <c r="H390" s="412">
        <v>7527.2820000000002</v>
      </c>
      <c r="I390" s="413" t="s">
        <v>336</v>
      </c>
      <c r="J390" s="414">
        <v>45131.375</v>
      </c>
      <c r="K390" s="414"/>
      <c r="L390" s="414" t="s">
        <v>192</v>
      </c>
      <c r="M390" s="414" t="s">
        <v>192</v>
      </c>
      <c r="N390" s="413" t="str">
        <f>IF(ISBLANK(J390)," ",IF(J390&lt;$F$384,"On time",(IF(DAY(J390-$F$384)&lt;1,"On time",(IF(J390&gt;$F$384,"DELAY ( "&amp;DAY(J390-$F$384)&amp;" day "&amp;HOUR(J390-$F$384)&amp;" hour "&amp;MINUTE(J390-$F$384)&amp;" minute )","xxx"))))))</f>
        <v>DELAY ( 3 day 23 hour 0 minute )</v>
      </c>
      <c r="O390" s="51"/>
      <c r="P390" s="415" t="s">
        <v>551</v>
      </c>
      <c r="Q390" s="415" t="s">
        <v>551</v>
      </c>
      <c r="R390" s="415" t="s">
        <v>551</v>
      </c>
      <c r="S390" s="32"/>
      <c r="T390" s="416"/>
      <c r="U390" s="416"/>
      <c r="V390" s="416"/>
      <c r="W390" s="416"/>
      <c r="X390" s="416"/>
      <c r="Y390" s="416"/>
      <c r="Z390" s="416"/>
      <c r="AA390" s="416"/>
      <c r="AB390" s="416">
        <f>H390*0.35</f>
        <v>2634.5486999999998</v>
      </c>
      <c r="AC390" s="416">
        <f>H390*0.65</f>
        <v>4892.7332999999999</v>
      </c>
      <c r="AD390" s="416"/>
      <c r="AE390" s="416"/>
      <c r="AF390" s="416"/>
      <c r="AG390" s="416"/>
      <c r="AH390" s="416"/>
      <c r="AI390" s="416"/>
      <c r="AJ390" s="416"/>
      <c r="AK390" s="416"/>
      <c r="AL390" s="416"/>
      <c r="AM390" s="416"/>
      <c r="AN390" s="416"/>
      <c r="AO390" s="416"/>
      <c r="AP390" s="416"/>
      <c r="AQ390" s="416"/>
      <c r="AR390" s="416"/>
      <c r="AS390" s="416"/>
      <c r="AT390" s="416"/>
      <c r="AU390" s="416"/>
      <c r="AV390" s="416"/>
      <c r="AW390" s="416"/>
      <c r="AX390" s="416"/>
      <c r="AY390" s="416"/>
      <c r="AZ390" s="416"/>
      <c r="BA390" s="416"/>
      <c r="BB390" s="32"/>
    </row>
    <row r="391" spans="2:54">
      <c r="B391" s="1254"/>
      <c r="C391" s="1255"/>
      <c r="D391" s="411" t="s">
        <v>2162</v>
      </c>
      <c r="E391" s="425"/>
      <c r="F391" s="411" t="s">
        <v>274</v>
      </c>
      <c r="G391" s="411" t="s">
        <v>1093</v>
      </c>
      <c r="H391" s="412">
        <f>7565.156/2</f>
        <v>3782.578</v>
      </c>
      <c r="I391" s="413" t="s">
        <v>173</v>
      </c>
      <c r="J391" s="1268">
        <v>45131.5</v>
      </c>
      <c r="K391" s="414"/>
      <c r="L391" s="414" t="s">
        <v>192</v>
      </c>
      <c r="M391" s="414" t="s">
        <v>192</v>
      </c>
      <c r="N391" s="413" t="str">
        <f t="shared" ref="N391:N401" si="34">IF(ISBLANK(J391)," ",IF(J391&lt;$F$384,"On time",(IF(DAY(J391-$F$384)&lt;1,"On time",(IF(J391&gt;$F$384,"DELAY ( "&amp;DAY(J391-$F$384)&amp;" day "&amp;HOUR(J391-$F$384)&amp;" hour "&amp;MINUTE(J391-$F$384)&amp;" minute )","xxx"))))))</f>
        <v>DELAY ( 4 day 2 hour 0 minute )</v>
      </c>
      <c r="O391" s="51"/>
      <c r="P391" s="415" t="s">
        <v>551</v>
      </c>
      <c r="Q391" s="415" t="s">
        <v>551</v>
      </c>
      <c r="R391" s="415" t="s">
        <v>551</v>
      </c>
      <c r="S391" s="32"/>
      <c r="T391" s="416"/>
      <c r="U391" s="416"/>
      <c r="V391" s="416"/>
      <c r="W391" s="416"/>
      <c r="X391" s="416"/>
      <c r="Y391" s="416"/>
      <c r="Z391" s="416"/>
      <c r="AA391" s="416"/>
      <c r="AB391" s="416"/>
      <c r="AC391" s="416"/>
      <c r="AD391" s="416"/>
      <c r="AE391" s="416"/>
      <c r="AF391" s="416"/>
      <c r="AG391" s="416"/>
      <c r="AH391" s="416"/>
      <c r="AI391" s="416"/>
      <c r="AJ391" s="32"/>
      <c r="AK391" s="416"/>
      <c r="AL391" s="416"/>
      <c r="AM391" s="416"/>
      <c r="AN391" s="416"/>
      <c r="AO391" s="416"/>
      <c r="AP391" s="416"/>
      <c r="AQ391" s="416"/>
      <c r="AR391" s="416"/>
      <c r="AS391" s="416"/>
      <c r="AT391" s="416"/>
      <c r="AU391" s="416"/>
      <c r="AV391" s="416"/>
      <c r="AW391" s="416"/>
      <c r="AX391" s="416"/>
      <c r="AY391" s="416"/>
      <c r="AZ391" s="416">
        <f>H391</f>
        <v>3782.578</v>
      </c>
      <c r="BA391" s="416"/>
      <c r="BB391" s="32"/>
    </row>
    <row r="392" spans="2:54">
      <c r="B392" s="1250" t="s">
        <v>644</v>
      </c>
      <c r="C392" s="1251"/>
      <c r="D392" s="411" t="s">
        <v>2162</v>
      </c>
      <c r="E392" s="425"/>
      <c r="F392" s="411" t="s">
        <v>274</v>
      </c>
      <c r="G392" s="411" t="s">
        <v>1093</v>
      </c>
      <c r="H392" s="412">
        <f>H391</f>
        <v>3782.578</v>
      </c>
      <c r="I392" s="413" t="s">
        <v>173</v>
      </c>
      <c r="J392" s="1269"/>
      <c r="K392" s="414"/>
      <c r="L392" s="414" t="s">
        <v>192</v>
      </c>
      <c r="M392" s="414" t="s">
        <v>192</v>
      </c>
      <c r="N392" s="413" t="str">
        <f t="shared" si="34"/>
        <v xml:space="preserve"> </v>
      </c>
      <c r="O392" s="51"/>
      <c r="P392" s="415" t="s">
        <v>551</v>
      </c>
      <c r="Q392" s="415" t="s">
        <v>551</v>
      </c>
      <c r="R392" s="415" t="s">
        <v>551</v>
      </c>
      <c r="S392" s="32"/>
      <c r="T392" s="416"/>
      <c r="U392" s="416"/>
      <c r="V392" s="416"/>
      <c r="W392" s="416"/>
      <c r="X392" s="416"/>
      <c r="Y392" s="416"/>
      <c r="Z392" s="416"/>
      <c r="AA392" s="416"/>
      <c r="AB392" s="416"/>
      <c r="AC392" s="416"/>
      <c r="AD392" s="416"/>
      <c r="AE392" s="416"/>
      <c r="AF392" s="416"/>
      <c r="AG392" s="416"/>
      <c r="AH392" s="416"/>
      <c r="AI392" s="416"/>
      <c r="AJ392" s="32"/>
      <c r="AK392" s="416"/>
      <c r="AL392" s="416"/>
      <c r="AM392" s="416"/>
      <c r="AN392" s="416"/>
      <c r="AO392" s="416"/>
      <c r="AP392" s="416"/>
      <c r="AQ392" s="416"/>
      <c r="AR392" s="416"/>
      <c r="AS392" s="416"/>
      <c r="AT392" s="416"/>
      <c r="AU392" s="416"/>
      <c r="AV392" s="416"/>
      <c r="AW392" s="416"/>
      <c r="AX392" s="416"/>
      <c r="AY392" s="416"/>
      <c r="AZ392" s="416">
        <f>H392</f>
        <v>3782.578</v>
      </c>
      <c r="BA392" s="416"/>
      <c r="BB392" s="32"/>
    </row>
    <row r="393" spans="2:54">
      <c r="B393" s="1254"/>
      <c r="C393" s="1255"/>
      <c r="D393" s="411" t="s">
        <v>2163</v>
      </c>
      <c r="E393" s="411"/>
      <c r="F393" s="411" t="s">
        <v>238</v>
      </c>
      <c r="G393" s="411" t="s">
        <v>239</v>
      </c>
      <c r="H393" s="412">
        <v>7438.0309999999999</v>
      </c>
      <c r="I393" s="413" t="s">
        <v>336</v>
      </c>
      <c r="J393" s="414">
        <v>45131.392361111109</v>
      </c>
      <c r="K393" s="414"/>
      <c r="L393" s="414" t="s">
        <v>192</v>
      </c>
      <c r="M393" s="414" t="s">
        <v>192</v>
      </c>
      <c r="N393" s="413" t="str">
        <f t="shared" si="34"/>
        <v>DELAY ( 3 day 23 hour 25 minute )</v>
      </c>
      <c r="O393" s="51"/>
      <c r="P393" s="415" t="s">
        <v>551</v>
      </c>
      <c r="Q393" s="415" t="s">
        <v>551</v>
      </c>
      <c r="R393" s="415" t="s">
        <v>551</v>
      </c>
      <c r="S393" s="32"/>
      <c r="T393" s="416"/>
      <c r="U393" s="416"/>
      <c r="V393" s="416"/>
      <c r="W393" s="416"/>
      <c r="X393" s="416"/>
      <c r="Y393" s="416"/>
      <c r="Z393" s="416"/>
      <c r="AA393" s="416"/>
      <c r="AB393" s="416">
        <f>H393*0.35</f>
        <v>2603.3108499999998</v>
      </c>
      <c r="AC393" s="416">
        <f>H393*0.65</f>
        <v>4834.7201500000001</v>
      </c>
      <c r="AD393" s="416"/>
      <c r="AE393" s="416"/>
      <c r="AF393" s="416"/>
      <c r="AG393" s="416"/>
      <c r="AH393" s="416"/>
      <c r="AI393" s="416"/>
      <c r="AJ393" s="32"/>
      <c r="AK393" s="416"/>
      <c r="AL393" s="416"/>
      <c r="AM393" s="416"/>
      <c r="AN393" s="416"/>
      <c r="AO393" s="416"/>
      <c r="AP393" s="416"/>
      <c r="AQ393" s="416"/>
      <c r="AR393" s="416"/>
      <c r="AS393" s="416"/>
      <c r="AT393" s="416"/>
      <c r="AU393" s="416"/>
      <c r="AV393" s="416"/>
      <c r="AW393" s="416"/>
      <c r="AX393" s="416"/>
      <c r="AY393" s="286"/>
      <c r="AZ393" s="416"/>
      <c r="BA393" s="416"/>
      <c r="BB393" s="32"/>
    </row>
    <row r="394" spans="2:54">
      <c r="B394" s="1302" t="s">
        <v>548</v>
      </c>
      <c r="C394" s="1302"/>
      <c r="D394" s="411" t="s">
        <v>2164</v>
      </c>
      <c r="E394" s="411"/>
      <c r="F394" s="411" t="s">
        <v>343</v>
      </c>
      <c r="G394" s="411" t="s">
        <v>344</v>
      </c>
      <c r="H394" s="412">
        <v>7527.2610000000004</v>
      </c>
      <c r="I394" s="413" t="s">
        <v>336</v>
      </c>
      <c r="J394" s="414">
        <v>45131.541666666664</v>
      </c>
      <c r="K394" s="414"/>
      <c r="L394" s="414" t="s">
        <v>192</v>
      </c>
      <c r="M394" s="414" t="s">
        <v>192</v>
      </c>
      <c r="N394" s="413" t="str">
        <f t="shared" si="34"/>
        <v>DELAY ( 4 day 3 hour 0 minute )</v>
      </c>
      <c r="O394" s="51"/>
      <c r="P394" s="415" t="s">
        <v>551</v>
      </c>
      <c r="Q394" s="415" t="s">
        <v>551</v>
      </c>
      <c r="R394" s="415" t="s">
        <v>551</v>
      </c>
      <c r="S394" s="32"/>
      <c r="T394" s="416"/>
      <c r="U394" s="416"/>
      <c r="V394" s="416"/>
      <c r="W394" s="416"/>
      <c r="X394" s="416"/>
      <c r="Y394" s="416"/>
      <c r="Z394" s="416"/>
      <c r="AA394" s="416"/>
      <c r="AB394" s="416">
        <f>H394*0.45</f>
        <v>3387.2674500000003</v>
      </c>
      <c r="AC394" s="416">
        <f>H394*0.55</f>
        <v>4139.9935500000001</v>
      </c>
      <c r="AD394" s="416"/>
      <c r="AE394" s="416"/>
      <c r="AF394" s="416"/>
      <c r="AG394" s="416"/>
      <c r="AH394" s="416"/>
      <c r="AI394" s="416"/>
      <c r="AJ394" s="416"/>
      <c r="AK394" s="416"/>
      <c r="AL394" s="416"/>
      <c r="AM394" s="416"/>
      <c r="AN394" s="416"/>
      <c r="AO394" s="416"/>
      <c r="AP394" s="416"/>
      <c r="AQ394" s="416"/>
      <c r="AR394" s="416"/>
      <c r="AS394" s="416"/>
      <c r="AT394" s="416"/>
      <c r="AU394" s="416"/>
      <c r="AV394" s="416"/>
      <c r="AW394" s="416"/>
      <c r="AX394" s="416"/>
      <c r="AY394" s="416"/>
      <c r="AZ394" s="416"/>
      <c r="BA394" s="416"/>
      <c r="BB394" s="32"/>
    </row>
    <row r="395" spans="2:54">
      <c r="B395" s="1302" t="s">
        <v>548</v>
      </c>
      <c r="C395" s="1302"/>
      <c r="D395" s="411" t="s">
        <v>2165</v>
      </c>
      <c r="E395" s="411"/>
      <c r="F395" s="411" t="s">
        <v>226</v>
      </c>
      <c r="G395" s="411" t="s">
        <v>227</v>
      </c>
      <c r="H395" s="412">
        <v>7402.69</v>
      </c>
      <c r="I395" s="413" t="s">
        <v>418</v>
      </c>
      <c r="J395" s="414">
        <v>45131.548611111109</v>
      </c>
      <c r="K395" s="414"/>
      <c r="L395" s="414" t="s">
        <v>192</v>
      </c>
      <c r="M395" s="414" t="s">
        <v>192</v>
      </c>
      <c r="N395" s="413" t="str">
        <f t="shared" si="34"/>
        <v>DELAY ( 4 day 3 hour 10 minute )</v>
      </c>
      <c r="O395" s="51"/>
      <c r="P395" s="415" t="s">
        <v>551</v>
      </c>
      <c r="Q395" s="415" t="s">
        <v>551</v>
      </c>
      <c r="R395" s="415" t="s">
        <v>551</v>
      </c>
      <c r="S395" s="32"/>
      <c r="T395" s="416"/>
      <c r="U395" s="416"/>
      <c r="V395" s="416"/>
      <c r="W395" s="416"/>
      <c r="X395" s="416"/>
      <c r="Y395" s="416"/>
      <c r="Z395" s="416"/>
      <c r="AA395" s="416"/>
      <c r="AB395" s="416">
        <f>H395*0.6</f>
        <v>4441.6139999999996</v>
      </c>
      <c r="AC395" s="416">
        <f>H395*0.4</f>
        <v>2961.076</v>
      </c>
      <c r="AD395" s="416"/>
      <c r="AE395" s="416"/>
      <c r="AF395" s="416"/>
      <c r="AG395" s="416"/>
      <c r="AH395" s="416"/>
      <c r="AI395" s="416"/>
      <c r="AJ395" s="416"/>
      <c r="AK395" s="416"/>
      <c r="AL395" s="416"/>
      <c r="AM395" s="416"/>
      <c r="AN395" s="416"/>
      <c r="AO395" s="416"/>
      <c r="AP395" s="416"/>
      <c r="AQ395" s="416"/>
      <c r="AR395" s="416"/>
      <c r="AS395" s="416"/>
      <c r="AT395" s="416"/>
      <c r="AU395" s="416"/>
      <c r="AV395" s="416"/>
      <c r="AW395" s="416"/>
      <c r="AX395" s="416"/>
      <c r="AY395" s="416"/>
      <c r="AZ395" s="416"/>
      <c r="BA395" s="416"/>
      <c r="BB395" s="32"/>
    </row>
    <row r="396" spans="2:54">
      <c r="B396" s="1250" t="s">
        <v>650</v>
      </c>
      <c r="C396" s="1251"/>
      <c r="D396" s="411" t="s">
        <v>2166</v>
      </c>
      <c r="E396" s="411"/>
      <c r="F396" s="411" t="s">
        <v>377</v>
      </c>
      <c r="G396" s="411" t="s">
        <v>378</v>
      </c>
      <c r="H396" s="412">
        <v>7845.54</v>
      </c>
      <c r="I396" s="413" t="s">
        <v>418</v>
      </c>
      <c r="J396" s="414">
        <v>45132.458333333336</v>
      </c>
      <c r="K396" s="414"/>
      <c r="L396" s="414" t="s">
        <v>192</v>
      </c>
      <c r="M396" s="414" t="s">
        <v>192</v>
      </c>
      <c r="N396" s="413" t="str">
        <f>IF(ISBLANK(J396)," ",IF(J396&lt;$F$384,"On time",(IF(DAY(J396-$F$384)&lt;1,"On time",(IF(J396&gt;$F$384,"DELAY ( "&amp;DAY(J396-$F$384)&amp;" day "&amp;HOUR(J396-$F$384)&amp;" hour "&amp;MINUTE(J396-$F$384)&amp;" minute )","xxx"))))))</f>
        <v>DELAY ( 5 day 1 hour 0 minute )</v>
      </c>
      <c r="O396" s="51"/>
      <c r="P396" s="415" t="s">
        <v>551</v>
      </c>
      <c r="Q396" s="415" t="s">
        <v>551</v>
      </c>
      <c r="R396" s="415" t="s">
        <v>551</v>
      </c>
      <c r="S396" s="32"/>
      <c r="T396" s="416"/>
      <c r="U396" s="416"/>
      <c r="V396" s="416"/>
      <c r="W396" s="416"/>
      <c r="X396" s="416"/>
      <c r="Y396" s="416"/>
      <c r="Z396" s="416"/>
      <c r="AA396" s="416"/>
      <c r="AB396" s="416">
        <f>H396*0.6</f>
        <v>4707.3239999999996</v>
      </c>
      <c r="AC396" s="416">
        <f>H396*0.4</f>
        <v>3138.2160000000003</v>
      </c>
      <c r="AD396" s="416"/>
      <c r="AE396" s="416"/>
      <c r="AF396" s="416"/>
      <c r="AG396" s="416"/>
      <c r="AH396" s="416"/>
      <c r="AI396" s="416"/>
      <c r="AJ396" s="416"/>
      <c r="AK396" s="416"/>
      <c r="AL396" s="416"/>
      <c r="AM396" s="416"/>
      <c r="AN396" s="416"/>
      <c r="AO396" s="416"/>
      <c r="AP396" s="416"/>
      <c r="AQ396" s="416"/>
      <c r="AR396" s="416"/>
      <c r="AS396" s="416"/>
      <c r="AT396" s="416"/>
      <c r="AU396" s="416"/>
      <c r="AV396" s="416"/>
      <c r="AW396" s="416"/>
      <c r="AX396" s="416"/>
      <c r="AY396" s="416"/>
      <c r="AZ396" s="416"/>
      <c r="BA396" s="416"/>
      <c r="BB396" s="32"/>
    </row>
    <row r="397" spans="2:54">
      <c r="B397" s="1254"/>
      <c r="C397" s="1255"/>
      <c r="D397" s="411" t="s">
        <v>2167</v>
      </c>
      <c r="E397" s="425"/>
      <c r="F397" s="411" t="s">
        <v>2168</v>
      </c>
      <c r="G397" s="411" t="s">
        <v>810</v>
      </c>
      <c r="H397" s="412">
        <f>5250.469/2</f>
        <v>2625.2345</v>
      </c>
      <c r="I397" s="413" t="s">
        <v>183</v>
      </c>
      <c r="J397" s="1268">
        <v>45134.916666666664</v>
      </c>
      <c r="K397" s="414"/>
      <c r="L397" s="414" t="s">
        <v>192</v>
      </c>
      <c r="M397" s="414" t="s">
        <v>192</v>
      </c>
      <c r="N397" s="413" t="str">
        <f t="shared" si="34"/>
        <v>DELAY ( 7 day 12 hour 0 minute )</v>
      </c>
      <c r="O397" s="51"/>
      <c r="P397" s="415" t="s">
        <v>551</v>
      </c>
      <c r="Q397" s="415" t="s">
        <v>551</v>
      </c>
      <c r="R397" s="415" t="s">
        <v>551</v>
      </c>
      <c r="S397" s="32"/>
      <c r="T397" s="416"/>
      <c r="U397" s="416"/>
      <c r="V397" s="416"/>
      <c r="W397" s="416"/>
      <c r="X397" s="416"/>
      <c r="Y397" s="416"/>
      <c r="Z397" s="416"/>
      <c r="AA397" s="416"/>
      <c r="AB397" s="416"/>
      <c r="AC397" s="416"/>
      <c r="AD397" s="416"/>
      <c r="AE397" s="416"/>
      <c r="AF397" s="416"/>
      <c r="AG397" s="416"/>
      <c r="AH397" s="416"/>
      <c r="AI397" s="416"/>
      <c r="AJ397" s="32"/>
      <c r="AK397" s="416"/>
      <c r="AL397" s="416"/>
      <c r="AM397" s="416"/>
      <c r="AN397" s="416"/>
      <c r="AO397" s="416"/>
      <c r="AP397" s="416"/>
      <c r="AQ397" s="416"/>
      <c r="AR397" s="32"/>
      <c r="AS397" s="416"/>
      <c r="AT397" s="416"/>
      <c r="AU397" s="416"/>
      <c r="AV397" s="416">
        <f>H397</f>
        <v>2625.2345</v>
      </c>
      <c r="AW397" s="416"/>
      <c r="AX397" s="416"/>
      <c r="AY397" s="32"/>
      <c r="AZ397" s="416"/>
      <c r="BA397" s="416"/>
      <c r="BB397" s="32"/>
    </row>
    <row r="398" spans="2:54">
      <c r="B398" s="1250" t="s">
        <v>2169</v>
      </c>
      <c r="C398" s="1251"/>
      <c r="D398" s="411" t="s">
        <v>2167</v>
      </c>
      <c r="E398" s="425"/>
      <c r="F398" s="411" t="s">
        <v>2168</v>
      </c>
      <c r="G398" s="411" t="s">
        <v>810</v>
      </c>
      <c r="H398" s="412">
        <f>H397</f>
        <v>2625.2345</v>
      </c>
      <c r="I398" s="413" t="s">
        <v>183</v>
      </c>
      <c r="J398" s="1269"/>
      <c r="K398" s="414"/>
      <c r="L398" s="414" t="s">
        <v>192</v>
      </c>
      <c r="M398" s="414" t="s">
        <v>192</v>
      </c>
      <c r="N398" s="413" t="str">
        <f t="shared" si="34"/>
        <v xml:space="preserve"> </v>
      </c>
      <c r="O398" s="51"/>
      <c r="P398" s="415" t="s">
        <v>551</v>
      </c>
      <c r="Q398" s="415" t="s">
        <v>551</v>
      </c>
      <c r="R398" s="415" t="s">
        <v>551</v>
      </c>
      <c r="S398" s="32"/>
      <c r="T398" s="416"/>
      <c r="U398" s="416"/>
      <c r="V398" s="416"/>
      <c r="W398" s="416"/>
      <c r="X398" s="416"/>
      <c r="Y398" s="416"/>
      <c r="Z398" s="416"/>
      <c r="AA398" s="416"/>
      <c r="AB398" s="416"/>
      <c r="AC398" s="416"/>
      <c r="AD398" s="416"/>
      <c r="AE398" s="416"/>
      <c r="AF398" s="416"/>
      <c r="AG398" s="416"/>
      <c r="AH398" s="416"/>
      <c r="AI398" s="416"/>
      <c r="AJ398" s="32"/>
      <c r="AK398" s="416"/>
      <c r="AL398" s="416"/>
      <c r="AM398" s="416"/>
      <c r="AN398" s="416"/>
      <c r="AO398" s="416"/>
      <c r="AP398" s="416"/>
      <c r="AQ398" s="416"/>
      <c r="AR398" s="32"/>
      <c r="AS398" s="416"/>
      <c r="AT398" s="416"/>
      <c r="AU398" s="416"/>
      <c r="AV398" s="416">
        <f>H398</f>
        <v>2625.2345</v>
      </c>
      <c r="AW398" s="416"/>
      <c r="AX398" s="416"/>
      <c r="AY398" s="32"/>
      <c r="AZ398" s="416"/>
      <c r="BA398" s="416"/>
      <c r="BB398" s="32"/>
    </row>
    <row r="399" spans="2:54">
      <c r="B399" s="1254"/>
      <c r="C399" s="1255"/>
      <c r="D399" s="411" t="s">
        <v>2170</v>
      </c>
      <c r="E399" s="411"/>
      <c r="F399" s="411" t="s">
        <v>380</v>
      </c>
      <c r="G399" s="411" t="s">
        <v>381</v>
      </c>
      <c r="H399" s="412">
        <f>7876.429-932.858</f>
        <v>6943.5709999999999</v>
      </c>
      <c r="I399" s="413" t="s">
        <v>418</v>
      </c>
      <c r="J399" s="571">
        <v>45133.625</v>
      </c>
      <c r="K399" s="414"/>
      <c r="L399" s="571" t="s">
        <v>192</v>
      </c>
      <c r="M399" s="571" t="s">
        <v>192</v>
      </c>
      <c r="N399" s="413" t="str">
        <f t="shared" si="34"/>
        <v>DELAY ( 6 day 5 hour 0 minute )</v>
      </c>
      <c r="O399" s="51"/>
      <c r="P399" s="415" t="s">
        <v>551</v>
      </c>
      <c r="Q399" s="415" t="s">
        <v>551</v>
      </c>
      <c r="R399" s="415" t="s">
        <v>551</v>
      </c>
      <c r="S399" s="32"/>
      <c r="T399" s="416"/>
      <c r="U399" s="416"/>
      <c r="V399" s="416"/>
      <c r="W399" s="416"/>
      <c r="X399" s="416"/>
      <c r="Y399" s="416"/>
      <c r="Z399" s="416"/>
      <c r="AA399" s="416"/>
      <c r="AB399" s="416">
        <f>(H399*0.6)</f>
        <v>4166.1426000000001</v>
      </c>
      <c r="AC399" s="416">
        <f>(H399*0.4)</f>
        <v>2777.4284000000002</v>
      </c>
      <c r="AD399" s="416"/>
      <c r="AE399" s="416"/>
      <c r="AF399" s="416"/>
      <c r="AG399" s="416"/>
      <c r="AH399" s="416"/>
      <c r="AI399" s="416"/>
      <c r="AJ399" s="416"/>
      <c r="AK399" s="416"/>
      <c r="AL399" s="416"/>
      <c r="AM399" s="416"/>
      <c r="AN399" s="416"/>
      <c r="AO399" s="416"/>
      <c r="AP399" s="416"/>
      <c r="AQ399" s="416"/>
      <c r="AR399" s="416"/>
      <c r="AS399" s="416"/>
      <c r="AT399" s="416"/>
      <c r="AU399" s="416"/>
      <c r="AV399" s="416"/>
      <c r="AW399" s="416"/>
      <c r="AX399" s="416"/>
      <c r="AY399" s="416"/>
      <c r="AZ399" s="416"/>
      <c r="BA399" s="416"/>
      <c r="BB399" s="32"/>
    </row>
    <row r="400" spans="2:54">
      <c r="B400" s="1258" t="s">
        <v>556</v>
      </c>
      <c r="C400" s="1259"/>
      <c r="D400" s="1259"/>
      <c r="E400" s="1259"/>
      <c r="F400" s="1259"/>
      <c r="G400" s="1260"/>
      <c r="H400" s="417">
        <f>SUM(H390:H399)</f>
        <v>57500</v>
      </c>
      <c r="I400" s="388"/>
      <c r="J400" s="293"/>
      <c r="K400" s="293"/>
      <c r="L400" s="293"/>
      <c r="M400" s="389"/>
      <c r="N400" s="413" t="str">
        <f t="shared" si="34"/>
        <v xml:space="preserve"> </v>
      </c>
      <c r="O400" s="212"/>
      <c r="P400" s="418"/>
      <c r="Q400" s="418"/>
      <c r="R400" s="418"/>
      <c r="S400" s="207"/>
      <c r="T400" s="1300"/>
      <c r="U400" s="1301"/>
      <c r="V400" s="1301"/>
      <c r="W400" s="1301"/>
      <c r="X400" s="1301"/>
      <c r="Y400" s="1301"/>
      <c r="Z400" s="1301"/>
      <c r="AA400" s="1301"/>
      <c r="AB400" s="1301"/>
      <c r="AC400" s="1301"/>
      <c r="AD400" s="1301"/>
      <c r="AE400" s="1301"/>
      <c r="AF400" s="1301"/>
      <c r="AG400" s="1301"/>
      <c r="AH400" s="1301"/>
      <c r="AI400" s="1301"/>
      <c r="AJ400" s="1301"/>
      <c r="AK400" s="1301"/>
      <c r="AL400" s="1301"/>
      <c r="AM400" s="1301"/>
      <c r="AN400" s="1301"/>
      <c r="AO400" s="1301"/>
      <c r="AP400" s="1301"/>
      <c r="AQ400" s="1301"/>
      <c r="AR400" s="1301"/>
      <c r="AS400" s="1301"/>
      <c r="AT400" s="1301"/>
      <c r="AU400" s="1301"/>
      <c r="AV400" s="1301"/>
      <c r="AW400" s="1301"/>
      <c r="AX400" s="1301"/>
      <c r="AY400" s="1301"/>
      <c r="AZ400" s="1301"/>
      <c r="BA400" s="1301"/>
    </row>
    <row r="401" spans="2:54">
      <c r="B401" s="1243" t="s">
        <v>557</v>
      </c>
      <c r="C401" s="1244"/>
      <c r="D401" s="1244"/>
      <c r="E401" s="1244"/>
      <c r="F401" s="1244"/>
      <c r="G401" s="1245"/>
      <c r="H401" s="419">
        <v>57500</v>
      </c>
      <c r="I401" s="1273"/>
      <c r="J401" s="1274"/>
      <c r="K401" s="1274"/>
      <c r="L401" s="1274"/>
      <c r="M401" s="1275"/>
      <c r="N401" s="413" t="str">
        <f t="shared" si="34"/>
        <v xml:space="preserve"> </v>
      </c>
      <c r="O401" s="32"/>
      <c r="P401" s="415"/>
      <c r="Q401" s="415"/>
      <c r="R401" s="415"/>
      <c r="S401" s="63"/>
      <c r="T401" s="416">
        <f t="shared" ref="T401:BA401" si="35">SUM(T390:T399)</f>
        <v>0</v>
      </c>
      <c r="U401" s="416">
        <f t="shared" si="35"/>
        <v>0</v>
      </c>
      <c r="V401" s="416">
        <f t="shared" si="35"/>
        <v>0</v>
      </c>
      <c r="W401" s="416">
        <f t="shared" si="35"/>
        <v>0</v>
      </c>
      <c r="X401" s="416">
        <f t="shared" si="35"/>
        <v>0</v>
      </c>
      <c r="Y401" s="416">
        <f t="shared" si="35"/>
        <v>0</v>
      </c>
      <c r="Z401" s="416">
        <f t="shared" si="35"/>
        <v>0</v>
      </c>
      <c r="AA401" s="416">
        <f t="shared" si="35"/>
        <v>0</v>
      </c>
      <c r="AB401" s="416">
        <f t="shared" si="35"/>
        <v>21940.207599999998</v>
      </c>
      <c r="AC401" s="416">
        <f t="shared" si="35"/>
        <v>22744.167400000002</v>
      </c>
      <c r="AD401" s="416">
        <f t="shared" si="35"/>
        <v>0</v>
      </c>
      <c r="AE401" s="416">
        <f t="shared" si="35"/>
        <v>0</v>
      </c>
      <c r="AF401" s="416">
        <f t="shared" si="35"/>
        <v>0</v>
      </c>
      <c r="AG401" s="416">
        <f t="shared" si="35"/>
        <v>0</v>
      </c>
      <c r="AH401" s="416">
        <f t="shared" si="35"/>
        <v>0</v>
      </c>
      <c r="AI401" s="416">
        <f t="shared" si="35"/>
        <v>0</v>
      </c>
      <c r="AJ401" s="416">
        <f t="shared" si="35"/>
        <v>0</v>
      </c>
      <c r="AK401" s="416">
        <f t="shared" si="35"/>
        <v>0</v>
      </c>
      <c r="AL401" s="416">
        <f t="shared" si="35"/>
        <v>0</v>
      </c>
      <c r="AM401" s="416">
        <f t="shared" si="35"/>
        <v>0</v>
      </c>
      <c r="AN401" s="416">
        <f t="shared" si="35"/>
        <v>0</v>
      </c>
      <c r="AO401" s="416">
        <f t="shared" si="35"/>
        <v>0</v>
      </c>
      <c r="AP401" s="416">
        <f t="shared" si="35"/>
        <v>0</v>
      </c>
      <c r="AQ401" s="416">
        <f t="shared" si="35"/>
        <v>0</v>
      </c>
      <c r="AR401" s="416">
        <f t="shared" si="35"/>
        <v>0</v>
      </c>
      <c r="AS401" s="416">
        <f t="shared" si="35"/>
        <v>0</v>
      </c>
      <c r="AT401" s="416">
        <f t="shared" si="35"/>
        <v>0</v>
      </c>
      <c r="AU401" s="416">
        <f t="shared" si="35"/>
        <v>0</v>
      </c>
      <c r="AV401" s="416">
        <f t="shared" si="35"/>
        <v>5250.4690000000001</v>
      </c>
      <c r="AW401" s="416">
        <f t="shared" si="35"/>
        <v>0</v>
      </c>
      <c r="AX401" s="416">
        <f t="shared" si="35"/>
        <v>0</v>
      </c>
      <c r="AY401" s="416">
        <f t="shared" si="35"/>
        <v>0</v>
      </c>
      <c r="AZ401" s="416">
        <f t="shared" si="35"/>
        <v>7565.1559999999999</v>
      </c>
      <c r="BA401" s="416">
        <f t="shared" si="35"/>
        <v>0</v>
      </c>
      <c r="BB401" s="416">
        <f>SUM(T401:BA401)</f>
        <v>57500</v>
      </c>
    </row>
    <row r="402" spans="2:54">
      <c r="B402" s="1243" t="s">
        <v>558</v>
      </c>
      <c r="C402" s="1244"/>
      <c r="D402" s="1244"/>
      <c r="E402" s="1244"/>
      <c r="F402" s="1244"/>
      <c r="G402" s="1245"/>
      <c r="H402" s="420">
        <f>H401-L384</f>
        <v>0</v>
      </c>
      <c r="I402" s="294"/>
      <c r="J402" s="295"/>
      <c r="K402" s="295"/>
      <c r="L402" s="296"/>
      <c r="M402" s="32"/>
      <c r="N402" s="32"/>
      <c r="O402" s="32"/>
      <c r="P402" s="32"/>
      <c r="Q402" s="297"/>
      <c r="R402" s="297"/>
      <c r="S402" s="32"/>
      <c r="T402" s="48"/>
      <c r="U402" s="48"/>
      <c r="V402" s="48"/>
      <c r="W402" s="48"/>
      <c r="X402" s="48"/>
      <c r="Y402" s="48"/>
      <c r="Z402" s="48"/>
      <c r="AA402" s="48"/>
      <c r="AB402" s="48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</row>
    <row r="403" spans="2:54">
      <c r="B403" s="1243" t="s">
        <v>559</v>
      </c>
      <c r="C403" s="1244"/>
      <c r="D403" s="1244"/>
      <c r="E403" s="1244"/>
      <c r="F403" s="1244"/>
      <c r="G403" s="1245"/>
      <c r="H403" s="446">
        <v>928.23500000000001</v>
      </c>
      <c r="I403" s="52"/>
      <c r="J403" s="53"/>
      <c r="K403" s="53"/>
      <c r="L403" s="54"/>
      <c r="M403" s="32"/>
      <c r="N403" s="201"/>
      <c r="O403" s="32"/>
      <c r="P403" s="32"/>
      <c r="Q403" s="32"/>
      <c r="R403" s="32"/>
      <c r="S403" s="32"/>
      <c r="T403" s="48"/>
      <c r="U403" s="48"/>
      <c r="V403" s="48"/>
      <c r="W403" s="48"/>
      <c r="X403" s="48"/>
      <c r="Y403" s="48"/>
      <c r="Z403" s="48"/>
      <c r="AA403" s="48"/>
      <c r="AB403" s="48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</row>
    <row r="404" spans="2:54">
      <c r="B404" s="1243" t="s">
        <v>560</v>
      </c>
      <c r="C404" s="1244"/>
      <c r="D404" s="1244"/>
      <c r="E404" s="1244"/>
      <c r="F404" s="1244"/>
      <c r="G404" s="1245"/>
      <c r="H404" s="421">
        <f>H403-932.858</f>
        <v>-4.6229999999999336</v>
      </c>
      <c r="I404" s="52"/>
      <c r="J404" s="53"/>
      <c r="K404" s="53"/>
      <c r="L404" s="54"/>
      <c r="M404" s="32"/>
      <c r="N404" s="32"/>
      <c r="O404" s="32"/>
      <c r="P404" s="32"/>
      <c r="Q404" s="32"/>
      <c r="R404" s="32"/>
      <c r="S404" s="48"/>
      <c r="T404" s="48"/>
      <c r="U404" s="48"/>
      <c r="V404" s="48"/>
      <c r="W404" s="48"/>
      <c r="X404" s="48"/>
      <c r="Y404" s="48"/>
      <c r="Z404" s="48"/>
      <c r="AA404" s="48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</row>
    <row r="405" spans="2:54">
      <c r="B405" s="201"/>
      <c r="C405" s="201"/>
      <c r="D405" s="201"/>
      <c r="E405" s="201"/>
      <c r="F405" s="201"/>
      <c r="G405" s="201"/>
      <c r="H405" s="201"/>
      <c r="I405" s="213"/>
      <c r="J405" s="209"/>
      <c r="K405" s="209"/>
      <c r="L405" s="203"/>
      <c r="M405" s="201"/>
      <c r="N405" s="201"/>
      <c r="O405" s="209"/>
      <c r="P405" s="32"/>
      <c r="Q405" s="32"/>
      <c r="R405" s="32"/>
      <c r="S405" s="32"/>
      <c r="T405" s="48"/>
      <c r="U405" s="48"/>
      <c r="V405" s="48"/>
      <c r="W405" s="48"/>
      <c r="X405" s="48"/>
      <c r="Y405" s="48"/>
      <c r="Z405" s="48"/>
      <c r="AA405" s="48"/>
      <c r="AB405" s="48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</row>
    <row r="406" spans="2:54">
      <c r="B406" s="40" t="s">
        <v>561</v>
      </c>
      <c r="C406" s="40"/>
      <c r="D406" s="32"/>
      <c r="E406" s="32"/>
      <c r="F406" s="32"/>
      <c r="G406" s="32"/>
      <c r="H406" s="32"/>
      <c r="I406" s="32"/>
      <c r="J406" s="52"/>
      <c r="K406" s="52"/>
      <c r="L406" s="55"/>
      <c r="M406" s="32"/>
      <c r="N406" s="201"/>
      <c r="O406" s="5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  <c r="AA406" s="202"/>
      <c r="AB406" s="201"/>
      <c r="AC406" s="201"/>
      <c r="AD406" s="201"/>
      <c r="AE406" s="201"/>
      <c r="AF406" s="201"/>
      <c r="AG406" s="201"/>
      <c r="AH406" s="201"/>
      <c r="AI406" s="201"/>
      <c r="AJ406" s="201"/>
      <c r="AK406" s="201"/>
      <c r="AL406" s="201"/>
      <c r="AM406" s="201"/>
      <c r="AN406" s="201"/>
      <c r="AO406" s="201"/>
      <c r="AP406" s="201"/>
      <c r="AQ406" s="201"/>
      <c r="AR406" s="201"/>
      <c r="AS406" s="201"/>
      <c r="AT406" s="201"/>
      <c r="AU406" s="201"/>
      <c r="BB406" s="201"/>
    </row>
    <row r="407" spans="2:54">
      <c r="B407" s="422">
        <v>1</v>
      </c>
      <c r="C407" s="1249" t="s">
        <v>2171</v>
      </c>
      <c r="D407" s="1249"/>
      <c r="E407" s="1249"/>
      <c r="F407" s="1249"/>
      <c r="G407" s="1249"/>
      <c r="H407" s="1249"/>
      <c r="I407" s="1249"/>
      <c r="J407" s="1249"/>
      <c r="K407" s="1249"/>
      <c r="L407" s="203"/>
      <c r="M407" s="203"/>
      <c r="N407" s="201"/>
      <c r="O407" s="209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  <c r="AA407" s="202"/>
      <c r="AB407" s="201"/>
      <c r="AC407" s="201"/>
      <c r="AD407" s="201"/>
      <c r="AE407" s="201"/>
      <c r="AF407" s="201"/>
      <c r="AG407" s="201"/>
      <c r="AH407" s="201"/>
      <c r="AI407" s="201"/>
      <c r="AJ407" s="201"/>
      <c r="AK407" s="201"/>
      <c r="AL407" s="201"/>
      <c r="AM407" s="201"/>
      <c r="AN407" s="201"/>
      <c r="AO407" s="201"/>
      <c r="AP407" s="201"/>
      <c r="AQ407" s="201"/>
      <c r="AR407" s="201"/>
      <c r="AS407" s="201"/>
      <c r="AT407" s="201"/>
      <c r="AU407" s="201"/>
      <c r="AV407" s="201"/>
      <c r="AW407" s="201"/>
      <c r="AX407" s="201"/>
      <c r="AY407" s="201"/>
      <c r="AZ407" s="201"/>
      <c r="BA407" s="201"/>
      <c r="BB407" s="201"/>
    </row>
    <row r="409" spans="2:54">
      <c r="B409" s="28" t="s">
        <v>126</v>
      </c>
      <c r="C409" s="28"/>
      <c r="D409" s="29"/>
      <c r="E409" s="30" t="s">
        <v>511</v>
      </c>
      <c r="F409" s="31" t="s">
        <v>2172</v>
      </c>
      <c r="G409" s="32"/>
      <c r="H409" s="33"/>
      <c r="I409" s="34"/>
      <c r="J409" s="35" t="s">
        <v>513</v>
      </c>
      <c r="K409" s="36" t="s">
        <v>511</v>
      </c>
      <c r="L409" s="37">
        <v>45132.607638888891</v>
      </c>
      <c r="M409" s="32"/>
      <c r="N409" s="32"/>
      <c r="O409" s="206"/>
      <c r="P409" s="205"/>
      <c r="Q409" s="202"/>
      <c r="R409" s="204"/>
      <c r="S409" s="38"/>
      <c r="T409" s="201"/>
      <c r="U409" s="201"/>
      <c r="V409" s="201"/>
      <c r="W409" s="201"/>
      <c r="X409" s="201"/>
      <c r="Y409" s="201"/>
      <c r="Z409" s="201"/>
      <c r="AA409" s="201"/>
      <c r="AB409" s="202"/>
      <c r="AC409" s="202"/>
      <c r="AD409" s="202"/>
      <c r="AE409" s="202"/>
      <c r="AF409" s="202"/>
      <c r="AG409" s="201"/>
      <c r="AH409" s="201"/>
      <c r="AI409" s="201"/>
      <c r="AJ409" s="201"/>
      <c r="AK409" s="201"/>
      <c r="AL409" s="201"/>
      <c r="AM409" s="201"/>
      <c r="AN409" s="201"/>
      <c r="AO409" s="201"/>
      <c r="AP409" s="201"/>
      <c r="AQ409" s="201"/>
      <c r="AR409" s="201"/>
      <c r="AS409" s="201"/>
      <c r="AT409" s="201"/>
      <c r="AU409" s="201"/>
      <c r="AV409" s="201"/>
      <c r="AW409" s="201"/>
      <c r="AX409" s="201"/>
      <c r="AY409" s="201"/>
      <c r="AZ409" s="201"/>
      <c r="BA409" s="201"/>
      <c r="BB409" s="201"/>
    </row>
    <row r="410" spans="2:54">
      <c r="B410" s="35" t="s">
        <v>514</v>
      </c>
      <c r="C410" s="35"/>
      <c r="D410" s="32"/>
      <c r="E410" s="36" t="s">
        <v>511</v>
      </c>
      <c r="F410" s="311" t="s">
        <v>2173</v>
      </c>
      <c r="G410" s="32"/>
      <c r="H410" s="33"/>
      <c r="I410" s="34"/>
      <c r="J410" s="35" t="s">
        <v>516</v>
      </c>
      <c r="K410" s="36" t="s">
        <v>511</v>
      </c>
      <c r="L410" s="37">
        <v>45136.166666666664</v>
      </c>
      <c r="M410" s="32"/>
      <c r="N410" s="32"/>
      <c r="O410" s="206"/>
      <c r="P410" s="205"/>
      <c r="Q410" s="202"/>
      <c r="R410" s="204"/>
      <c r="S410" s="38"/>
      <c r="T410" s="201"/>
      <c r="U410" s="201"/>
      <c r="V410" s="201"/>
      <c r="W410" s="201"/>
      <c r="X410" s="201"/>
      <c r="Y410" s="201"/>
      <c r="Z410" s="201"/>
      <c r="AA410" s="201"/>
      <c r="AB410" s="202"/>
      <c r="AC410" s="202"/>
      <c r="AD410" s="202"/>
      <c r="AE410" s="202"/>
      <c r="AF410" s="202"/>
      <c r="AG410" s="201"/>
      <c r="AH410" s="201"/>
      <c r="AI410" s="201"/>
      <c r="AJ410" s="201"/>
      <c r="AK410" s="201"/>
      <c r="AL410" s="201"/>
      <c r="AM410" s="201"/>
      <c r="AN410" s="201"/>
      <c r="AO410" s="201"/>
      <c r="AP410" s="201"/>
      <c r="AQ410" s="201"/>
      <c r="AR410" s="201"/>
      <c r="AS410" s="201"/>
      <c r="AT410" s="201"/>
      <c r="AU410" s="201"/>
      <c r="AV410" s="201"/>
      <c r="AW410" s="201"/>
      <c r="AX410" s="201"/>
      <c r="AY410" s="201"/>
      <c r="AZ410" s="201"/>
      <c r="BA410" s="201"/>
      <c r="BB410" s="201"/>
    </row>
    <row r="411" spans="2:54">
      <c r="B411" s="35" t="s">
        <v>517</v>
      </c>
      <c r="C411" s="35"/>
      <c r="D411" s="32"/>
      <c r="E411" s="36" t="s">
        <v>511</v>
      </c>
      <c r="F411" s="37">
        <v>45129.291666666664</v>
      </c>
      <c r="G411" s="32"/>
      <c r="H411" s="33"/>
      <c r="I411" s="34"/>
      <c r="J411" s="35" t="s">
        <v>518</v>
      </c>
      <c r="K411" s="36" t="s">
        <v>511</v>
      </c>
      <c r="L411" s="50">
        <v>88000</v>
      </c>
      <c r="M411" s="40" t="s">
        <v>519</v>
      </c>
      <c r="N411" s="40"/>
      <c r="O411" s="206"/>
      <c r="P411" s="205"/>
      <c r="Q411" s="202"/>
      <c r="R411" s="204"/>
      <c r="S411" s="38"/>
      <c r="T411" s="201"/>
      <c r="U411" s="201"/>
      <c r="V411" s="201"/>
      <c r="W411" s="201"/>
      <c r="X411" s="201"/>
      <c r="Y411" s="201"/>
      <c r="Z411" s="201"/>
      <c r="AA411" s="201"/>
      <c r="AB411" s="202"/>
      <c r="AC411" s="202"/>
      <c r="AD411" s="202"/>
      <c r="AE411" s="202"/>
      <c r="AF411" s="202"/>
      <c r="AG411" s="201"/>
      <c r="AH411" s="201"/>
      <c r="AI411" s="201"/>
      <c r="AJ411" s="201"/>
      <c r="AK411" s="201"/>
      <c r="AL411" s="201"/>
      <c r="AM411" s="201"/>
      <c r="AN411" s="201"/>
      <c r="AO411" s="201"/>
      <c r="AP411" s="201"/>
      <c r="AQ411" s="201"/>
      <c r="AR411" s="201"/>
      <c r="AS411" s="201"/>
      <c r="AT411" s="201"/>
      <c r="AU411" s="201"/>
      <c r="AV411" s="201"/>
      <c r="AW411" s="201"/>
      <c r="AX411" s="201"/>
      <c r="AY411" s="201"/>
      <c r="AZ411" s="201"/>
      <c r="BA411" s="201"/>
      <c r="BB411" s="201"/>
    </row>
    <row r="412" spans="2:54">
      <c r="B412" s="35" t="s">
        <v>520</v>
      </c>
      <c r="C412" s="35"/>
      <c r="D412" s="32"/>
      <c r="E412" s="36" t="s">
        <v>511</v>
      </c>
      <c r="F412" s="37" t="s">
        <v>4</v>
      </c>
      <c r="G412" s="32"/>
      <c r="H412" s="33"/>
      <c r="I412" s="34"/>
      <c r="J412" s="35" t="s">
        <v>521</v>
      </c>
      <c r="K412" s="36" t="s">
        <v>511</v>
      </c>
      <c r="L412" s="41" t="s">
        <v>2174</v>
      </c>
      <c r="M412" s="32"/>
      <c r="N412" s="32"/>
      <c r="O412" s="206"/>
      <c r="P412" s="202"/>
      <c r="Q412" s="202"/>
      <c r="R412" s="204"/>
      <c r="S412" s="38"/>
      <c r="T412" s="201"/>
      <c r="U412" s="201"/>
      <c r="V412" s="201"/>
      <c r="W412" s="201"/>
      <c r="X412" s="201"/>
      <c r="Y412" s="201"/>
      <c r="Z412" s="201"/>
      <c r="AA412" s="201"/>
      <c r="AB412" s="202"/>
      <c r="AC412" s="202"/>
      <c r="AD412" s="202"/>
      <c r="AE412" s="202"/>
      <c r="AF412" s="202"/>
      <c r="AG412" s="201"/>
      <c r="AH412" s="201"/>
      <c r="AI412" s="201"/>
      <c r="AJ412" s="201"/>
      <c r="AK412" s="201"/>
      <c r="AL412" s="201"/>
      <c r="AM412" s="201"/>
      <c r="AN412" s="201"/>
      <c r="AO412" s="201"/>
      <c r="AP412" s="201"/>
      <c r="AQ412" s="201"/>
      <c r="AR412" s="201"/>
      <c r="AS412" s="201"/>
      <c r="AT412" s="201"/>
      <c r="AU412" s="201"/>
      <c r="AV412" s="201"/>
      <c r="AW412" s="201"/>
      <c r="AX412" s="201"/>
      <c r="AY412" s="201"/>
      <c r="AZ412" s="201"/>
      <c r="BA412" s="201"/>
      <c r="BB412" s="201"/>
    </row>
    <row r="413" spans="2:54">
      <c r="B413" s="35" t="s">
        <v>523</v>
      </c>
      <c r="C413" s="35"/>
      <c r="D413" s="32"/>
      <c r="E413" s="36" t="s">
        <v>511</v>
      </c>
      <c r="F413" s="37" t="s">
        <v>5</v>
      </c>
      <c r="G413" s="32"/>
      <c r="H413" s="33"/>
      <c r="I413" s="34"/>
      <c r="J413" s="42" t="s">
        <v>524</v>
      </c>
      <c r="K413" s="36" t="s">
        <v>511</v>
      </c>
      <c r="L413" s="43" t="s">
        <v>15</v>
      </c>
      <c r="M413" s="44"/>
      <c r="N413" s="44"/>
      <c r="O413" s="206"/>
      <c r="P413" s="205"/>
      <c r="Q413" s="202"/>
      <c r="R413" s="204"/>
      <c r="S413" s="38"/>
      <c r="T413" s="201"/>
      <c r="U413" s="201"/>
      <c r="V413" s="201"/>
      <c r="W413" s="201"/>
      <c r="X413" s="201"/>
      <c r="Y413" s="201"/>
      <c r="Z413" s="201"/>
      <c r="AA413" s="201"/>
      <c r="AB413" s="202"/>
      <c r="AC413" s="202"/>
      <c r="AD413" s="202"/>
      <c r="AE413" s="202"/>
      <c r="AF413" s="202"/>
      <c r="AG413" s="201"/>
      <c r="AH413" s="201"/>
      <c r="AI413" s="201"/>
      <c r="AJ413" s="201"/>
      <c r="AK413" s="201"/>
      <c r="AL413" s="201"/>
      <c r="AM413" s="201"/>
      <c r="AN413" s="201"/>
      <c r="AO413" s="201"/>
      <c r="AP413" s="201"/>
      <c r="AQ413" s="201"/>
      <c r="AR413" s="201"/>
      <c r="AS413" s="201"/>
      <c r="AT413" s="201"/>
      <c r="AU413" s="201"/>
      <c r="AV413" s="201"/>
      <c r="AW413" s="201"/>
      <c r="AX413" s="201"/>
      <c r="AY413" s="201"/>
      <c r="AZ413" s="201"/>
      <c r="BA413" s="201"/>
      <c r="BB413" s="201"/>
    </row>
    <row r="414" spans="2:54">
      <c r="B414" s="35" t="s">
        <v>2</v>
      </c>
      <c r="C414" s="35"/>
      <c r="D414" s="32"/>
      <c r="E414" s="36" t="s">
        <v>511</v>
      </c>
      <c r="F414" s="37" t="s">
        <v>6</v>
      </c>
      <c r="G414" s="32"/>
      <c r="H414" s="33"/>
      <c r="I414" s="45"/>
      <c r="J414" s="42"/>
      <c r="K414" s="36"/>
      <c r="L414" s="211"/>
      <c r="M414" s="201"/>
      <c r="N414" s="201"/>
      <c r="O414" s="42"/>
      <c r="P414" s="44"/>
      <c r="Q414" s="44"/>
      <c r="R414" s="44"/>
      <c r="S414" s="34"/>
      <c r="T414" s="201"/>
      <c r="U414" s="201"/>
      <c r="V414" s="201"/>
      <c r="W414" s="201"/>
      <c r="X414" s="201"/>
      <c r="Y414" s="201"/>
      <c r="Z414" s="201"/>
      <c r="AA414" s="201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201"/>
      <c r="AP414" s="201"/>
      <c r="AQ414" s="201"/>
      <c r="AR414" s="201"/>
      <c r="AS414" s="201"/>
      <c r="AT414" s="201"/>
      <c r="AU414" s="201"/>
      <c r="AV414" s="201"/>
      <c r="AW414" s="201"/>
      <c r="AX414" s="201"/>
      <c r="AY414" s="201"/>
      <c r="AZ414" s="201"/>
      <c r="BA414" s="201"/>
      <c r="BB414" s="201"/>
    </row>
    <row r="415" spans="2:54">
      <c r="B415" s="201"/>
      <c r="C415" s="201"/>
      <c r="D415" s="201"/>
      <c r="E415" s="201"/>
      <c r="F415" s="201"/>
      <c r="G415" s="201"/>
      <c r="H415" s="201"/>
      <c r="I415" s="45"/>
      <c r="J415" s="42"/>
      <c r="K415" s="42"/>
      <c r="L415" s="43"/>
      <c r="M415" s="44"/>
      <c r="N415" s="44"/>
      <c r="O415" s="42"/>
      <c r="P415" s="44"/>
      <c r="Q415" s="44"/>
      <c r="R415" s="44"/>
      <c r="S415" s="34"/>
      <c r="T415" s="1265" t="s">
        <v>87</v>
      </c>
      <c r="U415" s="1265"/>
      <c r="V415" s="1265"/>
      <c r="W415" s="1265"/>
      <c r="X415" s="1265"/>
      <c r="Y415" s="1265" t="s">
        <v>73</v>
      </c>
      <c r="Z415" s="1265"/>
      <c r="AA415" s="1265"/>
      <c r="AB415" s="1265" t="s">
        <v>74</v>
      </c>
      <c r="AC415" s="1265"/>
      <c r="AD415" s="423" t="s">
        <v>85</v>
      </c>
      <c r="AE415" s="423" t="s">
        <v>77</v>
      </c>
      <c r="AF415" s="1265" t="s">
        <v>525</v>
      </c>
      <c r="AG415" s="1265"/>
      <c r="AH415" s="1265"/>
      <c r="AI415" s="1265"/>
      <c r="AJ415" s="1265"/>
      <c r="AK415" s="1265"/>
      <c r="AL415" s="1265"/>
      <c r="AM415" s="1265"/>
      <c r="AN415" s="1265"/>
      <c r="AO415" s="1265"/>
      <c r="AP415" s="1265"/>
      <c r="AQ415" s="1265"/>
      <c r="AR415" s="1265"/>
      <c r="AS415" s="1265"/>
      <c r="AT415" s="1265"/>
      <c r="AU415" s="1265"/>
      <c r="AV415" s="1265"/>
      <c r="AW415" s="1265"/>
      <c r="AX415" s="1265"/>
      <c r="AY415" s="1265"/>
      <c r="AZ415" s="1265"/>
      <c r="BA415" s="1265"/>
      <c r="BB415" s="201"/>
    </row>
    <row r="416" spans="2:54">
      <c r="B416" s="1266" t="s">
        <v>526</v>
      </c>
      <c r="C416" s="1267"/>
      <c r="D416" s="570" t="s">
        <v>527</v>
      </c>
      <c r="E416" s="570"/>
      <c r="F416" s="570" t="s">
        <v>528</v>
      </c>
      <c r="G416" s="570" t="s">
        <v>529</v>
      </c>
      <c r="H416" s="570" t="s">
        <v>530</v>
      </c>
      <c r="I416" s="570" t="s">
        <v>531</v>
      </c>
      <c r="J416" s="570" t="s">
        <v>532</v>
      </c>
      <c r="K416" s="570"/>
      <c r="L416" s="570" t="s">
        <v>130</v>
      </c>
      <c r="M416" s="570" t="s">
        <v>533</v>
      </c>
      <c r="N416" s="408" t="str">
        <f>"On time - "&amp;COUNTIF(N417:N449,"On time")&amp;" from "&amp;ROWS(N417:N449)-COUNTIF(N417:N449," ")</f>
        <v>On time - 12 from 14</v>
      </c>
      <c r="O416" s="46"/>
      <c r="P416" s="409" t="s">
        <v>534</v>
      </c>
      <c r="Q416" s="409" t="s">
        <v>535</v>
      </c>
      <c r="R416" s="409" t="s">
        <v>536</v>
      </c>
      <c r="S416" s="32"/>
      <c r="T416" s="424" t="s">
        <v>537</v>
      </c>
      <c r="U416" s="424" t="s">
        <v>538</v>
      </c>
      <c r="V416" s="424" t="s">
        <v>539</v>
      </c>
      <c r="W416" s="424" t="s">
        <v>540</v>
      </c>
      <c r="X416" s="424" t="s">
        <v>541</v>
      </c>
      <c r="Y416" s="424" t="s">
        <v>167</v>
      </c>
      <c r="Z416" s="424" t="s">
        <v>168</v>
      </c>
      <c r="AA416" s="424" t="s">
        <v>169</v>
      </c>
      <c r="AB416" s="424" t="s">
        <v>235</v>
      </c>
      <c r="AC416" s="424" t="s">
        <v>240</v>
      </c>
      <c r="AD416" s="423" t="s">
        <v>85</v>
      </c>
      <c r="AE416" s="424" t="s">
        <v>139</v>
      </c>
      <c r="AF416" s="424" t="s">
        <v>72</v>
      </c>
      <c r="AG416" s="424" t="s">
        <v>88</v>
      </c>
      <c r="AH416" s="424" t="s">
        <v>75</v>
      </c>
      <c r="AI416" s="424" t="s">
        <v>543</v>
      </c>
      <c r="AJ416" s="424" t="s">
        <v>78</v>
      </c>
      <c r="AK416" s="424" t="s">
        <v>76</v>
      </c>
      <c r="AL416" s="424" t="s">
        <v>544</v>
      </c>
      <c r="AM416" s="424" t="s">
        <v>545</v>
      </c>
      <c r="AN416" s="424" t="s">
        <v>86</v>
      </c>
      <c r="AO416" s="424" t="s">
        <v>83</v>
      </c>
      <c r="AP416" s="424" t="s">
        <v>84</v>
      </c>
      <c r="AQ416" s="424" t="s">
        <v>546</v>
      </c>
      <c r="AR416" s="424" t="s">
        <v>81</v>
      </c>
      <c r="AS416" s="424" t="s">
        <v>80</v>
      </c>
      <c r="AT416" s="424" t="s">
        <v>82</v>
      </c>
      <c r="AU416" s="424" t="s">
        <v>181</v>
      </c>
      <c r="AV416" s="424" t="s">
        <v>183</v>
      </c>
      <c r="AW416" s="424" t="s">
        <v>547</v>
      </c>
      <c r="AX416" s="424" t="s">
        <v>182</v>
      </c>
      <c r="AY416" s="424" t="s">
        <v>172</v>
      </c>
      <c r="AZ416" s="424" t="s">
        <v>173</v>
      </c>
      <c r="BA416" s="424" t="s">
        <v>184</v>
      </c>
      <c r="BB416" s="201"/>
    </row>
    <row r="417" spans="2:54">
      <c r="B417" s="1256" t="s">
        <v>616</v>
      </c>
      <c r="C417" s="1257"/>
      <c r="D417" s="411" t="s">
        <v>2175</v>
      </c>
      <c r="E417" s="444"/>
      <c r="F417" s="411" t="s">
        <v>355</v>
      </c>
      <c r="G417" s="411" t="s">
        <v>356</v>
      </c>
      <c r="H417" s="412">
        <v>7519.2950000000001</v>
      </c>
      <c r="I417" s="413" t="s">
        <v>2176</v>
      </c>
      <c r="J417" s="414">
        <v>45126.65625</v>
      </c>
      <c r="K417" s="414"/>
      <c r="L417" s="414" t="s">
        <v>192</v>
      </c>
      <c r="M417" s="414" t="s">
        <v>192</v>
      </c>
      <c r="N417" s="413" t="str">
        <f>IF(ISBLANK(J417)," ",IF(J417&lt;$F$411,"On time",(IF(DAY(J417-$F$411)&lt;1,"On time",(IF(J417&gt;$F$411,"DELAY ( "&amp;DAY(J417-$F$411)&amp;" day "&amp;HOUR(J417-$F$411)&amp;" hour "&amp;MINUTE(J417-$F$411)&amp;" minute )","xxx"))))))</f>
        <v>On time</v>
      </c>
      <c r="O417" s="51"/>
      <c r="P417" s="415" t="s">
        <v>551</v>
      </c>
      <c r="Q417" s="415" t="s">
        <v>551</v>
      </c>
      <c r="R417" s="415" t="s">
        <v>551</v>
      </c>
      <c r="S417" s="32"/>
      <c r="T417" s="416"/>
      <c r="U417" s="416">
        <v>5066.6540000000005</v>
      </c>
      <c r="V417" s="416"/>
      <c r="W417" s="416">
        <v>2452.6410000000001</v>
      </c>
      <c r="X417" s="416"/>
      <c r="Y417" s="416"/>
      <c r="Z417" s="416"/>
      <c r="AA417" s="416"/>
      <c r="AB417" s="416"/>
      <c r="AC417" s="416"/>
      <c r="AD417" s="416"/>
      <c r="AE417" s="416"/>
      <c r="AF417" s="416"/>
      <c r="AG417" s="416"/>
      <c r="AH417" s="416"/>
      <c r="AI417" s="416"/>
      <c r="AJ417" s="416"/>
      <c r="AK417" s="416"/>
      <c r="AL417" s="416"/>
      <c r="AM417" s="416"/>
      <c r="AN417" s="416"/>
      <c r="AO417" s="416"/>
      <c r="AP417" s="416"/>
      <c r="AQ417" s="416"/>
      <c r="AR417" s="416"/>
      <c r="AS417" s="416"/>
      <c r="AT417" s="416"/>
      <c r="AU417" s="416"/>
      <c r="AV417" s="416"/>
      <c r="AW417" s="416"/>
      <c r="AX417" s="416"/>
      <c r="AY417" s="416"/>
      <c r="AZ417" s="416"/>
      <c r="BA417" s="416"/>
      <c r="BB417" s="32"/>
    </row>
    <row r="418" spans="2:54">
      <c r="B418" s="1256" t="s">
        <v>668</v>
      </c>
      <c r="C418" s="1257"/>
      <c r="D418" s="411" t="s">
        <v>2177</v>
      </c>
      <c r="E418" s="444"/>
      <c r="F418" s="411" t="s">
        <v>1303</v>
      </c>
      <c r="G418" s="411" t="s">
        <v>1304</v>
      </c>
      <c r="H418" s="412">
        <v>5051</v>
      </c>
      <c r="I418" s="413" t="s">
        <v>81</v>
      </c>
      <c r="J418" s="414">
        <v>45128.909722222219</v>
      </c>
      <c r="K418" s="414"/>
      <c r="L418" s="414" t="s">
        <v>192</v>
      </c>
      <c r="M418" s="414" t="s">
        <v>192</v>
      </c>
      <c r="N418" s="413" t="str">
        <f t="shared" ref="N418:N449" si="36">IF(ISBLANK(J418)," ",IF(J418&lt;$F$411,"On time",(IF(DAY(J418-$F$411)&lt;1,"On time",(IF(J418&gt;$F$411,"DELAY ( "&amp;DAY(J418-$F$411)&amp;" day "&amp;HOUR(J418-$F$411)&amp;" hour "&amp;MINUTE(J418-$F$411)&amp;" minute )","xxx"))))))</f>
        <v>On time</v>
      </c>
      <c r="O418" s="51"/>
      <c r="P418" s="415" t="s">
        <v>551</v>
      </c>
      <c r="Q418" s="415" t="s">
        <v>551</v>
      </c>
      <c r="R418" s="415" t="s">
        <v>551</v>
      </c>
      <c r="S418" s="32"/>
      <c r="T418" s="416"/>
      <c r="U418" s="416"/>
      <c r="V418" s="416"/>
      <c r="W418" s="416"/>
      <c r="X418" s="416"/>
      <c r="Y418" s="416"/>
      <c r="Z418" s="416"/>
      <c r="AA418" s="416"/>
      <c r="AB418" s="416"/>
      <c r="AC418" s="416"/>
      <c r="AD418" s="416"/>
      <c r="AE418" s="416"/>
      <c r="AF418" s="416"/>
      <c r="AG418" s="416"/>
      <c r="AH418" s="416"/>
      <c r="AI418" s="416"/>
      <c r="AJ418" s="416"/>
      <c r="AK418" s="416"/>
      <c r="AL418" s="416"/>
      <c r="AM418" s="416"/>
      <c r="AN418" s="416"/>
      <c r="AO418" s="416"/>
      <c r="AP418" s="416"/>
      <c r="AQ418" s="416"/>
      <c r="AR418" s="416">
        <f>H418</f>
        <v>5051</v>
      </c>
      <c r="AS418" s="416"/>
      <c r="AT418" s="416"/>
      <c r="AU418" s="416"/>
      <c r="AV418" s="416"/>
      <c r="AW418" s="416"/>
      <c r="AX418" s="416"/>
      <c r="AY418" s="416"/>
      <c r="AZ418" s="32"/>
      <c r="BA418" s="416"/>
      <c r="BB418" s="32"/>
    </row>
    <row r="419" spans="2:54">
      <c r="B419" s="1258" t="s">
        <v>1721</v>
      </c>
      <c r="C419" s="1259"/>
      <c r="D419" s="1259"/>
      <c r="E419" s="1259"/>
      <c r="F419" s="1259"/>
      <c r="G419" s="1260"/>
      <c r="H419" s="417">
        <f>SUM(H417:H418)</f>
        <v>12570.295</v>
      </c>
      <c r="I419" s="388"/>
      <c r="J419" s="367"/>
      <c r="K419" s="293"/>
      <c r="L419" s="293"/>
      <c r="M419" s="389"/>
      <c r="N419" s="413" t="str">
        <f t="shared" si="36"/>
        <v xml:space="preserve"> </v>
      </c>
      <c r="O419" s="47"/>
      <c r="P419" s="418"/>
      <c r="Q419" s="418"/>
      <c r="R419" s="418"/>
      <c r="S419" s="32"/>
      <c r="T419" s="416"/>
      <c r="U419" s="416"/>
      <c r="V419" s="416"/>
      <c r="W419" s="416"/>
      <c r="X419" s="416"/>
      <c r="Y419" s="416"/>
      <c r="Z419" s="416"/>
      <c r="AA419" s="416"/>
      <c r="AB419" s="416"/>
      <c r="AC419" s="416"/>
      <c r="AD419" s="416"/>
      <c r="AE419" s="416"/>
      <c r="AF419" s="416"/>
      <c r="AG419" s="416"/>
      <c r="AH419" s="416"/>
      <c r="AI419" s="416"/>
      <c r="AJ419" s="416"/>
      <c r="AK419" s="416"/>
      <c r="AL419" s="416"/>
      <c r="AM419" s="416"/>
      <c r="AN419" s="416"/>
      <c r="AO419" s="416"/>
      <c r="AP419" s="416"/>
      <c r="AQ419" s="416"/>
      <c r="AR419" s="416"/>
      <c r="AS419" s="416"/>
      <c r="AT419" s="416"/>
      <c r="AU419" s="416"/>
      <c r="AV419" s="416"/>
      <c r="AW419" s="416"/>
      <c r="AX419" s="416"/>
      <c r="AY419" s="416"/>
      <c r="AZ419" s="416"/>
      <c r="BA419" s="416"/>
    </row>
    <row r="420" spans="2:54">
      <c r="B420" s="1250" t="s">
        <v>619</v>
      </c>
      <c r="C420" s="1251"/>
      <c r="D420" s="411" t="s">
        <v>2178</v>
      </c>
      <c r="E420" s="411"/>
      <c r="F420" s="411" t="s">
        <v>1972</v>
      </c>
      <c r="G420" s="411" t="s">
        <v>1973</v>
      </c>
      <c r="H420" s="412">
        <v>7535.6120000000001</v>
      </c>
      <c r="I420" s="413" t="s">
        <v>611</v>
      </c>
      <c r="J420" s="414">
        <v>45126.0625</v>
      </c>
      <c r="K420" s="414"/>
      <c r="L420" s="414" t="s">
        <v>192</v>
      </c>
      <c r="M420" s="414" t="s">
        <v>192</v>
      </c>
      <c r="N420" s="413" t="str">
        <f t="shared" si="36"/>
        <v>On time</v>
      </c>
      <c r="O420" s="51"/>
      <c r="P420" s="415" t="s">
        <v>551</v>
      </c>
      <c r="Q420" s="415" t="s">
        <v>551</v>
      </c>
      <c r="R420" s="415" t="s">
        <v>551</v>
      </c>
      <c r="S420" s="32"/>
      <c r="T420" s="416">
        <f>H420</f>
        <v>7535.6120000000001</v>
      </c>
      <c r="U420" s="416"/>
      <c r="V420" s="416"/>
      <c r="W420" s="416"/>
      <c r="X420" s="416"/>
      <c r="Y420" s="416"/>
      <c r="Z420" s="416"/>
      <c r="AA420" s="416"/>
      <c r="AB420" s="416"/>
      <c r="AC420" s="416"/>
      <c r="AD420" s="416"/>
      <c r="AE420" s="416"/>
      <c r="AF420" s="416"/>
      <c r="AG420" s="416"/>
      <c r="AH420" s="416"/>
      <c r="AI420" s="416"/>
      <c r="AJ420" s="416"/>
      <c r="AK420" s="416"/>
      <c r="AL420" s="416"/>
      <c r="AM420" s="416"/>
      <c r="AN420" s="416"/>
      <c r="AO420" s="416"/>
      <c r="AP420" s="416"/>
      <c r="AQ420" s="416"/>
      <c r="AR420" s="416"/>
      <c r="AS420" s="416"/>
      <c r="AT420" s="416"/>
      <c r="AU420" s="416"/>
      <c r="AV420" s="416"/>
      <c r="AW420" s="416"/>
      <c r="AX420" s="416"/>
      <c r="AY420" s="416"/>
      <c r="AZ420" s="416"/>
      <c r="BA420" s="416"/>
      <c r="BB420" s="32"/>
    </row>
    <row r="421" spans="2:54">
      <c r="B421" s="1252"/>
      <c r="C421" s="1253"/>
      <c r="D421" s="411"/>
      <c r="E421" s="411"/>
      <c r="F421" s="1256" t="s">
        <v>668</v>
      </c>
      <c r="G421" s="1257"/>
      <c r="H421" s="412">
        <v>1500</v>
      </c>
      <c r="I421" s="413"/>
      <c r="J421" s="414"/>
      <c r="K421" s="414"/>
      <c r="L421" s="414"/>
      <c r="M421" s="414"/>
      <c r="N421" s="413" t="str">
        <f t="shared" si="36"/>
        <v xml:space="preserve"> </v>
      </c>
      <c r="O421" s="51"/>
      <c r="P421" s="415"/>
      <c r="Q421" s="415"/>
      <c r="R421" s="415"/>
      <c r="S421" s="32"/>
      <c r="T421" s="416"/>
      <c r="U421" s="416"/>
      <c r="V421" s="416"/>
      <c r="W421" s="416"/>
      <c r="X421" s="416"/>
      <c r="Y421" s="416"/>
      <c r="Z421" s="416"/>
      <c r="AA421" s="416"/>
      <c r="AB421" s="416"/>
      <c r="AC421" s="416"/>
      <c r="AD421" s="416"/>
      <c r="AE421" s="416"/>
      <c r="AF421" s="416"/>
      <c r="AG421" s="416"/>
      <c r="AH421" s="416"/>
      <c r="AI421" s="416"/>
      <c r="AJ421" s="416"/>
      <c r="AK421" s="416"/>
      <c r="AL421" s="416"/>
      <c r="AM421" s="416"/>
      <c r="AN421" s="416"/>
      <c r="AO421" s="416"/>
      <c r="AP421" s="416"/>
      <c r="AQ421" s="416"/>
      <c r="AR421" s="416"/>
      <c r="AS421" s="416"/>
      <c r="AT421" s="416"/>
      <c r="AU421" s="416"/>
      <c r="AV421" s="416"/>
      <c r="AW421" s="416"/>
      <c r="AX421" s="416"/>
      <c r="AY421" s="416"/>
      <c r="AZ421" s="416"/>
      <c r="BA421" s="416"/>
      <c r="BB421" s="32"/>
    </row>
    <row r="422" spans="2:54">
      <c r="B422" s="1254"/>
      <c r="C422" s="1255"/>
      <c r="D422" s="411"/>
      <c r="E422" s="411"/>
      <c r="F422" s="1256" t="s">
        <v>616</v>
      </c>
      <c r="G422" s="1257"/>
      <c r="H422" s="412">
        <v>1000</v>
      </c>
      <c r="I422" s="413"/>
      <c r="J422" s="414"/>
      <c r="K422" s="414"/>
      <c r="L422" s="414"/>
      <c r="M422" s="414"/>
      <c r="N422" s="413" t="str">
        <f t="shared" si="36"/>
        <v xml:space="preserve"> </v>
      </c>
      <c r="O422" s="51"/>
      <c r="P422" s="415"/>
      <c r="Q422" s="415"/>
      <c r="R422" s="415"/>
      <c r="S422" s="32"/>
      <c r="T422" s="416"/>
      <c r="U422" s="416"/>
      <c r="V422" s="416"/>
      <c r="W422" s="416"/>
      <c r="X422" s="416"/>
      <c r="Y422" s="416"/>
      <c r="Z422" s="416"/>
      <c r="AA422" s="416"/>
      <c r="AB422" s="416"/>
      <c r="AC422" s="416"/>
      <c r="AD422" s="416"/>
      <c r="AE422" s="416"/>
      <c r="AF422" s="416"/>
      <c r="AG422" s="416"/>
      <c r="AH422" s="416"/>
      <c r="AI422" s="416"/>
      <c r="AJ422" s="416"/>
      <c r="AK422" s="416"/>
      <c r="AL422" s="416"/>
      <c r="AM422" s="416"/>
      <c r="AN422" s="416"/>
      <c r="AO422" s="416"/>
      <c r="AP422" s="416"/>
      <c r="AQ422" s="416"/>
      <c r="AR422" s="416"/>
      <c r="AS422" s="416"/>
      <c r="AT422" s="416"/>
      <c r="AU422" s="416"/>
      <c r="AV422" s="416"/>
      <c r="AW422" s="416"/>
      <c r="AX422" s="416"/>
      <c r="AY422" s="416"/>
      <c r="AZ422" s="416"/>
      <c r="BA422" s="416"/>
      <c r="BB422" s="32"/>
    </row>
    <row r="423" spans="2:54">
      <c r="B423" s="1250" t="s">
        <v>621</v>
      </c>
      <c r="C423" s="1251"/>
      <c r="D423" s="411" t="s">
        <v>2118</v>
      </c>
      <c r="E423" s="411"/>
      <c r="F423" s="411" t="s">
        <v>295</v>
      </c>
      <c r="G423" s="411" t="s">
        <v>296</v>
      </c>
      <c r="H423" s="412">
        <v>2085.7510000000002</v>
      </c>
      <c r="I423" s="413" t="s">
        <v>235</v>
      </c>
      <c r="J423" s="414">
        <v>45127.138888888891</v>
      </c>
      <c r="K423" s="414"/>
      <c r="L423" s="414" t="s">
        <v>192</v>
      </c>
      <c r="M423" s="414" t="s">
        <v>192</v>
      </c>
      <c r="N423" s="413" t="str">
        <f t="shared" si="36"/>
        <v>On time</v>
      </c>
      <c r="O423" s="51"/>
      <c r="P423" s="415" t="s">
        <v>551</v>
      </c>
      <c r="Q423" s="415" t="s">
        <v>551</v>
      </c>
      <c r="R423" s="415" t="s">
        <v>551</v>
      </c>
      <c r="S423" s="32"/>
      <c r="T423" s="416"/>
      <c r="U423" s="416"/>
      <c r="V423" s="416"/>
      <c r="W423" s="416"/>
      <c r="X423" s="416"/>
      <c r="Y423" s="416"/>
      <c r="Z423" s="416"/>
      <c r="AA423" s="416"/>
      <c r="AB423" s="416">
        <f>H423</f>
        <v>2085.7510000000002</v>
      </c>
      <c r="AC423" s="416"/>
      <c r="AD423" s="416"/>
      <c r="AE423" s="416"/>
      <c r="AF423" s="416"/>
      <c r="AG423" s="416"/>
      <c r="AH423" s="416"/>
      <c r="AI423" s="416"/>
      <c r="AJ423" s="416"/>
      <c r="AK423" s="416"/>
      <c r="AL423" s="416"/>
      <c r="AM423" s="416"/>
      <c r="AN423" s="416"/>
      <c r="AO423" s="416"/>
      <c r="AP423" s="416"/>
      <c r="AQ423" s="416"/>
      <c r="AR423" s="416"/>
      <c r="AS423" s="416"/>
      <c r="AT423" s="416"/>
      <c r="AU423" s="416"/>
      <c r="AV423" s="416"/>
      <c r="AW423" s="416"/>
      <c r="AX423" s="416"/>
      <c r="AY423" s="416"/>
      <c r="AZ423" s="416"/>
      <c r="BA423" s="416"/>
      <c r="BB423" s="32"/>
    </row>
    <row r="424" spans="2:54">
      <c r="B424" s="1254"/>
      <c r="C424" s="1255"/>
      <c r="D424" s="411"/>
      <c r="E424" s="411"/>
      <c r="F424" s="1256" t="s">
        <v>616</v>
      </c>
      <c r="G424" s="1257"/>
      <c r="H424" s="412">
        <v>1000</v>
      </c>
      <c r="I424" s="413"/>
      <c r="J424" s="414"/>
      <c r="K424" s="414"/>
      <c r="L424" s="414"/>
      <c r="M424" s="414"/>
      <c r="N424" s="413" t="str">
        <f t="shared" si="36"/>
        <v xml:space="preserve"> </v>
      </c>
      <c r="O424" s="51"/>
      <c r="P424" s="415"/>
      <c r="Q424" s="415"/>
      <c r="R424" s="415"/>
      <c r="S424" s="32"/>
      <c r="T424" s="416"/>
      <c r="U424" s="416"/>
      <c r="V424" s="416"/>
      <c r="W424" s="416"/>
      <c r="X424" s="416"/>
      <c r="Y424" s="416"/>
      <c r="Z424" s="416"/>
      <c r="AA424" s="416"/>
      <c r="AB424" s="416"/>
      <c r="AC424" s="416"/>
      <c r="AD424" s="416"/>
      <c r="AE424" s="416"/>
      <c r="AF424" s="416"/>
      <c r="AG424" s="416"/>
      <c r="AH424" s="416"/>
      <c r="AI424" s="416"/>
      <c r="AJ424" s="416"/>
      <c r="AK424" s="416"/>
      <c r="AL424" s="416"/>
      <c r="AM424" s="416"/>
      <c r="AN424" s="416"/>
      <c r="AO424" s="416"/>
      <c r="AP424" s="416"/>
      <c r="AQ424" s="416"/>
      <c r="AR424" s="416"/>
      <c r="AS424" s="416"/>
      <c r="AT424" s="416"/>
      <c r="AU424" s="416"/>
      <c r="AV424" s="416"/>
      <c r="AW424" s="416"/>
      <c r="AX424" s="416"/>
      <c r="AY424" s="416"/>
      <c r="AZ424" s="416"/>
      <c r="BA424" s="416"/>
      <c r="BB424" s="32"/>
    </row>
    <row r="425" spans="2:54">
      <c r="B425" s="1250" t="s">
        <v>622</v>
      </c>
      <c r="C425" s="1251"/>
      <c r="D425" s="411" t="s">
        <v>2179</v>
      </c>
      <c r="E425" s="411"/>
      <c r="F425" s="411" t="s">
        <v>352</v>
      </c>
      <c r="G425" s="411" t="s">
        <v>353</v>
      </c>
      <c r="H425" s="412">
        <v>9128.4500000000007</v>
      </c>
      <c r="I425" s="413" t="s">
        <v>418</v>
      </c>
      <c r="J425" s="414">
        <v>45127.475694444445</v>
      </c>
      <c r="K425" s="414"/>
      <c r="L425" s="414" t="s">
        <v>192</v>
      </c>
      <c r="M425" s="414" t="s">
        <v>192</v>
      </c>
      <c r="N425" s="413" t="str">
        <f t="shared" si="36"/>
        <v>On time</v>
      </c>
      <c r="O425" s="51"/>
      <c r="P425" s="415" t="s">
        <v>551</v>
      </c>
      <c r="Q425" s="415" t="s">
        <v>551</v>
      </c>
      <c r="R425" s="415" t="s">
        <v>551</v>
      </c>
      <c r="S425" s="32"/>
      <c r="T425" s="416"/>
      <c r="U425" s="416"/>
      <c r="V425" s="416"/>
      <c r="W425" s="416"/>
      <c r="X425" s="416"/>
      <c r="Y425" s="416"/>
      <c r="Z425" s="416"/>
      <c r="AA425" s="416"/>
      <c r="AB425" s="416">
        <f>H425*0.6</f>
        <v>5477.0700000000006</v>
      </c>
      <c r="AC425" s="416">
        <f t="shared" ref="AC425" si="37">H425*0.4</f>
        <v>3651.3800000000006</v>
      </c>
      <c r="AD425" s="416"/>
      <c r="AE425" s="416"/>
      <c r="AF425" s="416"/>
      <c r="AG425" s="416"/>
      <c r="AH425" s="416"/>
      <c r="AI425" s="416"/>
      <c r="AJ425" s="416"/>
      <c r="AK425" s="416"/>
      <c r="AL425" s="416"/>
      <c r="AM425" s="416"/>
      <c r="AN425" s="416"/>
      <c r="AO425" s="416"/>
      <c r="AP425" s="416"/>
      <c r="AQ425" s="416"/>
      <c r="AR425" s="416"/>
      <c r="AS425" s="416"/>
      <c r="AT425" s="416"/>
      <c r="AU425" s="416"/>
      <c r="AV425" s="416"/>
      <c r="AW425" s="416"/>
      <c r="AX425" s="416"/>
      <c r="AY425" s="416"/>
      <c r="AZ425" s="416"/>
      <c r="BA425" s="416"/>
      <c r="BB425" s="32"/>
    </row>
    <row r="426" spans="2:54">
      <c r="B426" s="1254"/>
      <c r="C426" s="1255"/>
      <c r="D426" s="411"/>
      <c r="E426" s="411"/>
      <c r="F426" s="1256" t="s">
        <v>668</v>
      </c>
      <c r="G426" s="1257"/>
      <c r="H426" s="412">
        <v>2000</v>
      </c>
      <c r="I426" s="413"/>
      <c r="J426" s="414"/>
      <c r="K426" s="414"/>
      <c r="L426" s="414"/>
      <c r="M426" s="414"/>
      <c r="N426" s="413" t="str">
        <f t="shared" si="36"/>
        <v xml:space="preserve"> </v>
      </c>
      <c r="O426" s="51"/>
      <c r="P426" s="415"/>
      <c r="Q426" s="415"/>
      <c r="R426" s="415"/>
      <c r="S426" s="32"/>
      <c r="T426" s="416"/>
      <c r="U426" s="416"/>
      <c r="V426" s="416"/>
      <c r="W426" s="416"/>
      <c r="X426" s="416"/>
      <c r="Y426" s="416"/>
      <c r="Z426" s="416"/>
      <c r="AA426" s="416"/>
      <c r="AB426" s="416"/>
      <c r="AC426" s="416"/>
      <c r="AD426" s="416"/>
      <c r="AE426" s="416"/>
      <c r="AF426" s="416"/>
      <c r="AG426" s="416"/>
      <c r="AH426" s="416"/>
      <c r="AI426" s="416"/>
      <c r="AJ426" s="416"/>
      <c r="AK426" s="416"/>
      <c r="AL426" s="416"/>
      <c r="AM426" s="416"/>
      <c r="AN426" s="416"/>
      <c r="AO426" s="416"/>
      <c r="AP426" s="416"/>
      <c r="AQ426" s="416"/>
      <c r="AR426" s="416"/>
      <c r="AS426" s="416"/>
      <c r="AT426" s="416"/>
      <c r="AU426" s="416"/>
      <c r="AV426" s="416"/>
      <c r="AW426" s="416"/>
      <c r="AX426" s="416"/>
      <c r="AY426" s="416"/>
      <c r="AZ426" s="416"/>
      <c r="BA426" s="416"/>
      <c r="BB426" s="32"/>
    </row>
    <row r="427" spans="2:54">
      <c r="B427" s="1250" t="s">
        <v>623</v>
      </c>
      <c r="C427" s="1251"/>
      <c r="D427" s="411" t="s">
        <v>2180</v>
      </c>
      <c r="E427" s="411"/>
      <c r="F427" s="411" t="s">
        <v>489</v>
      </c>
      <c r="G427" s="411" t="s">
        <v>483</v>
      </c>
      <c r="H427" s="412">
        <v>7515.7910000000002</v>
      </c>
      <c r="I427" s="413" t="s">
        <v>418</v>
      </c>
      <c r="J427" s="414">
        <v>45127.5</v>
      </c>
      <c r="K427" s="414"/>
      <c r="L427" s="414" t="s">
        <v>192</v>
      </c>
      <c r="M427" s="414" t="s">
        <v>192</v>
      </c>
      <c r="N427" s="413" t="str">
        <f t="shared" si="36"/>
        <v>On time</v>
      </c>
      <c r="O427" s="51"/>
      <c r="P427" s="415" t="s">
        <v>551</v>
      </c>
      <c r="Q427" s="415" t="s">
        <v>551</v>
      </c>
      <c r="R427" s="415" t="s">
        <v>551</v>
      </c>
      <c r="S427" s="32"/>
      <c r="T427" s="416"/>
      <c r="U427" s="416"/>
      <c r="V427" s="416"/>
      <c r="W427" s="416"/>
      <c r="X427" s="416"/>
      <c r="Y427" s="416"/>
      <c r="Z427" s="416"/>
      <c r="AA427" s="416"/>
      <c r="AB427" s="416">
        <f>H427*0.6</f>
        <v>4509.4745999999996</v>
      </c>
      <c r="AC427" s="416">
        <f>H427*0.4</f>
        <v>3006.3164000000002</v>
      </c>
      <c r="AD427" s="416"/>
      <c r="AE427" s="416"/>
      <c r="AF427" s="416"/>
      <c r="AG427" s="416"/>
      <c r="AH427" s="416"/>
      <c r="AI427" s="416"/>
      <c r="AJ427" s="416"/>
      <c r="AK427" s="416"/>
      <c r="AL427" s="416"/>
      <c r="AM427" s="416"/>
      <c r="AN427" s="416"/>
      <c r="AO427" s="416"/>
      <c r="AP427" s="416"/>
      <c r="AQ427" s="416"/>
      <c r="AR427" s="416"/>
      <c r="AS427" s="416"/>
      <c r="AT427" s="416"/>
      <c r="AU427" s="416"/>
      <c r="AV427" s="416"/>
      <c r="AW427" s="416"/>
      <c r="AX427" s="416"/>
      <c r="AY427" s="286"/>
      <c r="AZ427" s="416"/>
      <c r="BA427" s="416"/>
      <c r="BB427" s="32"/>
    </row>
    <row r="428" spans="2:54">
      <c r="B428" s="1254"/>
      <c r="C428" s="1255"/>
      <c r="D428" s="411"/>
      <c r="E428" s="411"/>
      <c r="F428" s="1256" t="s">
        <v>668</v>
      </c>
      <c r="G428" s="1257"/>
      <c r="H428" s="412">
        <v>1551</v>
      </c>
      <c r="I428" s="413"/>
      <c r="J428" s="414"/>
      <c r="K428" s="414"/>
      <c r="L428" s="414"/>
      <c r="M428" s="414"/>
      <c r="N428" s="413" t="str">
        <f t="shared" si="36"/>
        <v xml:space="preserve"> </v>
      </c>
      <c r="O428" s="51"/>
      <c r="P428" s="415"/>
      <c r="Q428" s="415"/>
      <c r="R428" s="415"/>
      <c r="S428" s="32"/>
      <c r="T428" s="416"/>
      <c r="U428" s="416"/>
      <c r="V428" s="416"/>
      <c r="W428" s="416"/>
      <c r="X428" s="416"/>
      <c r="Y428" s="416"/>
      <c r="Z428" s="416"/>
      <c r="AA428" s="416"/>
      <c r="AB428" s="416"/>
      <c r="AC428" s="416"/>
      <c r="AD428" s="416"/>
      <c r="AE428" s="416"/>
      <c r="AF428" s="416"/>
      <c r="AG428" s="416"/>
      <c r="AH428" s="416"/>
      <c r="AI428" s="416"/>
      <c r="AJ428" s="416"/>
      <c r="AK428" s="416"/>
      <c r="AL428" s="416"/>
      <c r="AM428" s="416"/>
      <c r="AN428" s="416"/>
      <c r="AO428" s="416"/>
      <c r="AP428" s="416"/>
      <c r="AQ428" s="416"/>
      <c r="AR428" s="416"/>
      <c r="AS428" s="416"/>
      <c r="AT428" s="416"/>
      <c r="AU428" s="416"/>
      <c r="AV428" s="416"/>
      <c r="AW428" s="416"/>
      <c r="AX428" s="416"/>
      <c r="AY428" s="416"/>
      <c r="AZ428" s="416"/>
      <c r="BA428" s="416"/>
      <c r="BB428" s="32"/>
    </row>
    <row r="429" spans="2:54">
      <c r="B429" s="1266" t="s">
        <v>526</v>
      </c>
      <c r="C429" s="1267"/>
      <c r="D429" s="570" t="s">
        <v>527</v>
      </c>
      <c r="E429" s="570"/>
      <c r="F429" s="570" t="s">
        <v>528</v>
      </c>
      <c r="G429" s="570" t="s">
        <v>529</v>
      </c>
      <c r="H429" s="570" t="s">
        <v>530</v>
      </c>
      <c r="I429" s="570" t="s">
        <v>531</v>
      </c>
      <c r="J429" s="570" t="s">
        <v>532</v>
      </c>
      <c r="K429" s="570"/>
      <c r="L429" s="570" t="s">
        <v>130</v>
      </c>
      <c r="M429" s="570" t="s">
        <v>533</v>
      </c>
      <c r="N429" s="413"/>
      <c r="O429" s="46"/>
      <c r="P429" s="409" t="s">
        <v>534</v>
      </c>
      <c r="Q429" s="409" t="s">
        <v>535</v>
      </c>
      <c r="R429" s="409" t="s">
        <v>536</v>
      </c>
      <c r="S429" s="32"/>
      <c r="T429" s="424"/>
      <c r="U429" s="424"/>
      <c r="V429" s="424"/>
      <c r="W429" s="424"/>
      <c r="X429" s="424"/>
      <c r="Y429" s="424"/>
      <c r="Z429" s="424"/>
      <c r="AA429" s="424"/>
      <c r="AB429" s="424"/>
      <c r="AC429" s="424"/>
      <c r="AD429" s="423"/>
      <c r="AE429" s="424"/>
      <c r="AF429" s="424"/>
      <c r="AG429" s="424"/>
      <c r="AH429" s="424"/>
      <c r="AI429" s="424"/>
      <c r="AJ429" s="424"/>
      <c r="AK429" s="424"/>
      <c r="AL429" s="424"/>
      <c r="AM429" s="424"/>
      <c r="AN429" s="424"/>
      <c r="AO429" s="424"/>
      <c r="AP429" s="424"/>
      <c r="AQ429" s="424"/>
      <c r="AR429" s="424"/>
      <c r="AS429" s="424"/>
      <c r="AT429" s="424"/>
      <c r="AU429" s="424"/>
      <c r="AV429" s="424"/>
      <c r="AW429" s="424"/>
      <c r="AX429" s="424"/>
      <c r="AY429" s="424"/>
      <c r="AZ429" s="424"/>
      <c r="BA429" s="424"/>
      <c r="BB429" s="201"/>
    </row>
    <row r="430" spans="2:54">
      <c r="B430" s="1256" t="s">
        <v>668</v>
      </c>
      <c r="C430" s="1257"/>
      <c r="D430" s="411" t="s">
        <v>2181</v>
      </c>
      <c r="E430" s="411"/>
      <c r="F430" s="411" t="s">
        <v>1307</v>
      </c>
      <c r="G430" s="411" t="s">
        <v>1308</v>
      </c>
      <c r="H430" s="412">
        <v>5052</v>
      </c>
      <c r="I430" s="413" t="s">
        <v>81</v>
      </c>
      <c r="J430" s="414">
        <v>45132.416666666664</v>
      </c>
      <c r="K430" s="414"/>
      <c r="L430" s="414" t="s">
        <v>192</v>
      </c>
      <c r="M430" s="414" t="s">
        <v>192</v>
      </c>
      <c r="N430" s="413" t="str">
        <f t="shared" si="36"/>
        <v>DELAY ( 3 day 3 hour 0 minute )</v>
      </c>
      <c r="O430" s="51"/>
      <c r="P430" s="415" t="s">
        <v>551</v>
      </c>
      <c r="Q430" s="415" t="s">
        <v>551</v>
      </c>
      <c r="R430" s="415" t="s">
        <v>551</v>
      </c>
      <c r="S430" s="32"/>
      <c r="T430" s="416"/>
      <c r="U430" s="416"/>
      <c r="V430" s="416"/>
      <c r="W430" s="416"/>
      <c r="X430" s="416"/>
      <c r="Y430" s="416"/>
      <c r="Z430" s="416"/>
      <c r="AA430" s="416"/>
      <c r="AB430" s="416"/>
      <c r="AC430" s="416"/>
      <c r="AD430" s="416"/>
      <c r="AE430" s="416"/>
      <c r="AF430" s="416"/>
      <c r="AG430" s="416"/>
      <c r="AH430" s="416"/>
      <c r="AI430" s="416"/>
      <c r="AJ430" s="416"/>
      <c r="AK430" s="416"/>
      <c r="AL430" s="416"/>
      <c r="AM430" s="416"/>
      <c r="AN430" s="416"/>
      <c r="AO430" s="416"/>
      <c r="AP430" s="416"/>
      <c r="AQ430" s="416"/>
      <c r="AR430" s="416">
        <f>H430</f>
        <v>5052</v>
      </c>
      <c r="AS430" s="416"/>
      <c r="AT430" s="416"/>
      <c r="AU430" s="416"/>
      <c r="AV430" s="32"/>
      <c r="AW430" s="416"/>
      <c r="AX430" s="416"/>
      <c r="AY430" s="416"/>
      <c r="AZ430" s="416"/>
      <c r="BA430" s="416"/>
      <c r="BB430" s="32"/>
    </row>
    <row r="431" spans="2:54">
      <c r="B431" s="1258" t="s">
        <v>2182</v>
      </c>
      <c r="C431" s="1259"/>
      <c r="D431" s="1259"/>
      <c r="E431" s="1259"/>
      <c r="F431" s="1259"/>
      <c r="G431" s="1260"/>
      <c r="H431" s="417">
        <f>SUM(H429:H430)</f>
        <v>5052</v>
      </c>
      <c r="I431" s="388"/>
      <c r="J431" s="367"/>
      <c r="K431" s="293"/>
      <c r="L431" s="293"/>
      <c r="M431" s="389"/>
      <c r="N431" s="413" t="str">
        <f t="shared" si="36"/>
        <v xml:space="preserve"> </v>
      </c>
      <c r="O431" s="47"/>
      <c r="P431" s="418"/>
      <c r="Q431" s="418"/>
      <c r="R431" s="418"/>
      <c r="S431" s="32"/>
      <c r="T431" s="416"/>
      <c r="U431" s="416"/>
      <c r="V431" s="416"/>
      <c r="W431" s="416"/>
      <c r="X431" s="416"/>
      <c r="Y431" s="416"/>
      <c r="Z431" s="416"/>
      <c r="AA431" s="416"/>
      <c r="AB431" s="416"/>
      <c r="AC431" s="416"/>
      <c r="AD431" s="416"/>
      <c r="AE431" s="416"/>
      <c r="AF431" s="416"/>
      <c r="AG431" s="416"/>
      <c r="AH431" s="416"/>
      <c r="AI431" s="416"/>
      <c r="AJ431" s="416"/>
      <c r="AK431" s="416"/>
      <c r="AL431" s="416"/>
      <c r="AM431" s="416"/>
      <c r="AN431" s="416"/>
      <c r="AO431" s="416"/>
      <c r="AP431" s="416"/>
      <c r="AQ431" s="416"/>
      <c r="AR431" s="416"/>
      <c r="AS431" s="416"/>
      <c r="AT431" s="416"/>
      <c r="AU431" s="416"/>
      <c r="AV431" s="416"/>
      <c r="AW431" s="416"/>
      <c r="AX431" s="416"/>
      <c r="AY431" s="416"/>
      <c r="AZ431" s="416"/>
      <c r="BA431" s="416"/>
    </row>
    <row r="432" spans="2:54">
      <c r="B432" s="1250" t="s">
        <v>624</v>
      </c>
      <c r="C432" s="1251"/>
      <c r="D432" s="411" t="s">
        <v>2183</v>
      </c>
      <c r="E432" s="411"/>
      <c r="F432" s="411" t="s">
        <v>1230</v>
      </c>
      <c r="G432" s="411" t="s">
        <v>1231</v>
      </c>
      <c r="H432" s="412">
        <f>'BLU DEC''23 &amp; JAN''24'!S546</f>
        <v>7500</v>
      </c>
      <c r="I432" s="413" t="s">
        <v>235</v>
      </c>
      <c r="J432" s="414">
        <v>45127.506944444445</v>
      </c>
      <c r="K432" s="414"/>
      <c r="L432" s="414" t="s">
        <v>192</v>
      </c>
      <c r="M432" s="414" t="s">
        <v>192</v>
      </c>
      <c r="N432" s="413" t="str">
        <f t="shared" si="36"/>
        <v>On time</v>
      </c>
      <c r="O432" s="51"/>
      <c r="P432" s="415" t="s">
        <v>551</v>
      </c>
      <c r="Q432" s="415" t="s">
        <v>551</v>
      </c>
      <c r="R432" s="415" t="s">
        <v>551</v>
      </c>
      <c r="S432" s="32"/>
      <c r="T432" s="416"/>
      <c r="U432" s="416"/>
      <c r="V432" s="416"/>
      <c r="W432" s="416"/>
      <c r="X432" s="416"/>
      <c r="Y432" s="416"/>
      <c r="Z432" s="416"/>
      <c r="AA432" s="416"/>
      <c r="AB432" s="416">
        <f t="shared" ref="AB432" si="38">H432</f>
        <v>7500</v>
      </c>
      <c r="AC432" s="416"/>
      <c r="AD432" s="416"/>
      <c r="AE432" s="416"/>
      <c r="AF432" s="416"/>
      <c r="AG432" s="416"/>
      <c r="AH432" s="416"/>
      <c r="AI432" s="416"/>
      <c r="AJ432" s="416"/>
      <c r="AK432" s="416"/>
      <c r="AL432" s="416"/>
      <c r="AM432" s="416"/>
      <c r="AN432" s="416"/>
      <c r="AO432" s="416"/>
      <c r="AP432" s="416"/>
      <c r="AQ432" s="416"/>
      <c r="AR432" s="416"/>
      <c r="AS432" s="416"/>
      <c r="AT432" s="416"/>
      <c r="AU432" s="416"/>
      <c r="AV432" s="416"/>
      <c r="AW432" s="416"/>
      <c r="AX432" s="416"/>
      <c r="AY432" s="416"/>
      <c r="AZ432" s="416"/>
      <c r="BA432" s="416"/>
      <c r="BB432" s="32"/>
    </row>
    <row r="433" spans="2:54">
      <c r="B433" s="1252"/>
      <c r="C433" s="1253"/>
      <c r="D433" s="411"/>
      <c r="E433" s="411"/>
      <c r="F433" s="1256" t="s">
        <v>668</v>
      </c>
      <c r="G433" s="1257"/>
      <c r="H433" s="412">
        <v>1000</v>
      </c>
      <c r="I433" s="413"/>
      <c r="J433" s="414"/>
      <c r="K433" s="414"/>
      <c r="L433" s="414"/>
      <c r="M433" s="414"/>
      <c r="N433" s="413" t="str">
        <f t="shared" si="36"/>
        <v xml:space="preserve"> </v>
      </c>
      <c r="O433" s="51"/>
      <c r="P433" s="415"/>
      <c r="Q433" s="415"/>
      <c r="R433" s="415"/>
      <c r="S433" s="32"/>
      <c r="T433" s="416"/>
      <c r="U433" s="416"/>
      <c r="V433" s="416"/>
      <c r="W433" s="416"/>
      <c r="X433" s="416"/>
      <c r="Y433" s="416"/>
      <c r="Z433" s="416"/>
      <c r="AA433" s="416"/>
      <c r="AB433" s="416"/>
      <c r="AC433" s="416"/>
      <c r="AD433" s="416"/>
      <c r="AE433" s="416"/>
      <c r="AF433" s="416"/>
      <c r="AG433" s="416"/>
      <c r="AH433" s="416"/>
      <c r="AI433" s="416"/>
      <c r="AJ433" s="416"/>
      <c r="AK433" s="416"/>
      <c r="AL433" s="416"/>
      <c r="AM433" s="416"/>
      <c r="AN433" s="416"/>
      <c r="AO433" s="416"/>
      <c r="AP433" s="416"/>
      <c r="AQ433" s="416"/>
      <c r="AR433" s="416"/>
      <c r="AS433" s="416"/>
      <c r="AT433" s="416"/>
      <c r="AU433" s="416"/>
      <c r="AV433" s="416"/>
      <c r="AW433" s="416"/>
      <c r="AX433" s="416"/>
      <c r="AY433" s="416"/>
      <c r="AZ433" s="416"/>
      <c r="BA433" s="416"/>
      <c r="BB433" s="32"/>
    </row>
    <row r="434" spans="2:54">
      <c r="B434" s="1254"/>
      <c r="C434" s="1255"/>
      <c r="D434" s="411"/>
      <c r="E434" s="411"/>
      <c r="F434" s="1256" t="s">
        <v>616</v>
      </c>
      <c r="G434" s="1257"/>
      <c r="H434" s="412">
        <v>1000</v>
      </c>
      <c r="I434" s="413"/>
      <c r="J434" s="414"/>
      <c r="K434" s="414"/>
      <c r="L434" s="414"/>
      <c r="M434" s="414"/>
      <c r="N434" s="413" t="str">
        <f t="shared" si="36"/>
        <v xml:space="preserve"> </v>
      </c>
      <c r="O434" s="51"/>
      <c r="P434" s="415"/>
      <c r="Q434" s="415"/>
      <c r="R434" s="415"/>
      <c r="S434" s="32"/>
      <c r="T434" s="416"/>
      <c r="U434" s="416"/>
      <c r="V434" s="416"/>
      <c r="W434" s="416"/>
      <c r="X434" s="416"/>
      <c r="Y434" s="416"/>
      <c r="Z434" s="416"/>
      <c r="AA434" s="416"/>
      <c r="AB434" s="416"/>
      <c r="AC434" s="416"/>
      <c r="AD434" s="416"/>
      <c r="AE434" s="416"/>
      <c r="AF434" s="416"/>
      <c r="AG434" s="416"/>
      <c r="AH434" s="416"/>
      <c r="AI434" s="416"/>
      <c r="AJ434" s="416"/>
      <c r="AK434" s="416"/>
      <c r="AL434" s="416"/>
      <c r="AM434" s="416"/>
      <c r="AN434" s="416"/>
      <c r="AO434" s="416"/>
      <c r="AP434" s="416"/>
      <c r="AQ434" s="416"/>
      <c r="AR434" s="416"/>
      <c r="AS434" s="416"/>
      <c r="AT434" s="416"/>
      <c r="AU434" s="416"/>
      <c r="AV434" s="416"/>
      <c r="AW434" s="416"/>
      <c r="AX434" s="416"/>
      <c r="AY434" s="416"/>
      <c r="AZ434" s="416"/>
      <c r="BA434" s="416"/>
      <c r="BB434" s="32"/>
    </row>
    <row r="435" spans="2:54">
      <c r="B435" s="1250" t="s">
        <v>625</v>
      </c>
      <c r="C435" s="1251"/>
      <c r="D435" s="411" t="s">
        <v>2184</v>
      </c>
      <c r="E435" s="411"/>
      <c r="F435" s="411" t="s">
        <v>263</v>
      </c>
      <c r="G435" s="411" t="s">
        <v>264</v>
      </c>
      <c r="H435" s="412">
        <v>7504.6729999999998</v>
      </c>
      <c r="I435" s="413" t="s">
        <v>235</v>
      </c>
      <c r="J435" s="414">
        <v>45128.041666666664</v>
      </c>
      <c r="K435" s="414"/>
      <c r="L435" s="414" t="s">
        <v>192</v>
      </c>
      <c r="M435" s="414" t="s">
        <v>192</v>
      </c>
      <c r="N435" s="413" t="str">
        <f t="shared" si="36"/>
        <v>On time</v>
      </c>
      <c r="O435" s="51"/>
      <c r="P435" s="415" t="s">
        <v>551</v>
      </c>
      <c r="Q435" s="415" t="s">
        <v>551</v>
      </c>
      <c r="R435" s="415" t="s">
        <v>551</v>
      </c>
      <c r="S435" s="32"/>
      <c r="T435" s="416"/>
      <c r="U435" s="416"/>
      <c r="V435" s="416"/>
      <c r="W435" s="416"/>
      <c r="X435" s="416"/>
      <c r="Y435" s="416"/>
      <c r="Z435" s="416"/>
      <c r="AA435" s="32"/>
      <c r="AB435" s="416">
        <f>H435</f>
        <v>7504.6729999999998</v>
      </c>
      <c r="AC435" s="416"/>
      <c r="AD435" s="416"/>
      <c r="AE435" s="416"/>
      <c r="AF435" s="416"/>
      <c r="AG435" s="416"/>
      <c r="AH435" s="416"/>
      <c r="AI435" s="416"/>
      <c r="AJ435" s="416"/>
      <c r="AK435" s="416"/>
      <c r="AL435" s="416"/>
      <c r="AM435" s="416"/>
      <c r="AN435" s="416"/>
      <c r="AO435" s="416"/>
      <c r="AP435" s="416"/>
      <c r="AQ435" s="416"/>
      <c r="AR435" s="416"/>
      <c r="AS435" s="416"/>
      <c r="AT435" s="32"/>
      <c r="AU435" s="416"/>
      <c r="AV435" s="416"/>
      <c r="AW435" s="416"/>
      <c r="AX435" s="416"/>
      <c r="AY435" s="416"/>
      <c r="AZ435" s="416"/>
      <c r="BA435" s="416"/>
      <c r="BB435" s="32"/>
    </row>
    <row r="436" spans="2:54">
      <c r="B436" s="1254"/>
      <c r="C436" s="1255"/>
      <c r="D436" s="411"/>
      <c r="E436" s="411"/>
      <c r="F436" s="1256" t="s">
        <v>616</v>
      </c>
      <c r="G436" s="1257"/>
      <c r="H436" s="412">
        <v>1000</v>
      </c>
      <c r="I436" s="413"/>
      <c r="J436" s="414"/>
      <c r="K436" s="414"/>
      <c r="L436" s="414"/>
      <c r="M436" s="414"/>
      <c r="N436" s="413" t="str">
        <f t="shared" si="36"/>
        <v xml:space="preserve"> </v>
      </c>
      <c r="O436" s="51"/>
      <c r="P436" s="415"/>
      <c r="Q436" s="415"/>
      <c r="R436" s="415"/>
      <c r="S436" s="32"/>
      <c r="T436" s="416"/>
      <c r="U436" s="416"/>
      <c r="V436" s="416"/>
      <c r="W436" s="416"/>
      <c r="X436" s="416"/>
      <c r="Y436" s="416"/>
      <c r="Z436" s="416"/>
      <c r="AA436" s="416"/>
      <c r="AB436" s="416"/>
      <c r="AC436" s="416"/>
      <c r="AD436" s="416"/>
      <c r="AE436" s="416"/>
      <c r="AF436" s="416"/>
      <c r="AG436" s="416"/>
      <c r="AH436" s="416"/>
      <c r="AI436" s="416"/>
      <c r="AJ436" s="416"/>
      <c r="AK436" s="416"/>
      <c r="AL436" s="416"/>
      <c r="AM436" s="416"/>
      <c r="AN436" s="416"/>
      <c r="AO436" s="416"/>
      <c r="AP436" s="416"/>
      <c r="AQ436" s="416"/>
      <c r="AR436" s="416"/>
      <c r="AS436" s="416"/>
      <c r="AT436" s="416"/>
      <c r="AU436" s="416"/>
      <c r="AV436" s="416"/>
      <c r="AW436" s="416"/>
      <c r="AX436" s="416"/>
      <c r="AY436" s="416"/>
      <c r="AZ436" s="416"/>
      <c r="BA436" s="416"/>
      <c r="BB436" s="32"/>
    </row>
    <row r="437" spans="2:54">
      <c r="B437" s="1250" t="s">
        <v>669</v>
      </c>
      <c r="C437" s="1251"/>
      <c r="D437" s="411" t="s">
        <v>2185</v>
      </c>
      <c r="E437" s="411"/>
      <c r="F437" s="411" t="s">
        <v>346</v>
      </c>
      <c r="G437" s="411" t="s">
        <v>347</v>
      </c>
      <c r="H437" s="412">
        <v>7594.3389999999999</v>
      </c>
      <c r="I437" s="413" t="s">
        <v>235</v>
      </c>
      <c r="J437" s="414">
        <v>45128.583333333336</v>
      </c>
      <c r="K437" s="414"/>
      <c r="L437" s="414" t="s">
        <v>192</v>
      </c>
      <c r="M437" s="414" t="s">
        <v>192</v>
      </c>
      <c r="N437" s="413" t="str">
        <f t="shared" si="36"/>
        <v>On time</v>
      </c>
      <c r="O437" s="51"/>
      <c r="P437" s="415" t="s">
        <v>551</v>
      </c>
      <c r="Q437" s="415" t="s">
        <v>551</v>
      </c>
      <c r="R437" s="415" t="s">
        <v>551</v>
      </c>
      <c r="S437" s="32"/>
      <c r="T437" s="416"/>
      <c r="U437" s="416"/>
      <c r="V437" s="416"/>
      <c r="W437" s="416"/>
      <c r="X437" s="416"/>
      <c r="Y437" s="416"/>
      <c r="Z437" s="416"/>
      <c r="AA437" s="416"/>
      <c r="AB437" s="416">
        <f>H437</f>
        <v>7594.3389999999999</v>
      </c>
      <c r="AC437" s="416"/>
      <c r="AD437" s="416"/>
      <c r="AE437" s="416"/>
      <c r="AF437" s="416"/>
      <c r="AG437" s="416"/>
      <c r="AH437" s="416"/>
      <c r="AI437" s="416"/>
      <c r="AJ437" s="416"/>
      <c r="AK437" s="416"/>
      <c r="AL437" s="416"/>
      <c r="AM437" s="416"/>
      <c r="AN437" s="416"/>
      <c r="AO437" s="416"/>
      <c r="AP437" s="416"/>
      <c r="AQ437" s="416"/>
      <c r="AR437" s="416"/>
      <c r="AS437" s="416"/>
      <c r="AT437" s="416"/>
      <c r="AU437" s="416"/>
      <c r="AV437" s="416"/>
      <c r="AW437" s="416"/>
      <c r="AX437" s="416"/>
      <c r="AY437" s="416"/>
      <c r="AZ437" s="416"/>
      <c r="BA437" s="416"/>
      <c r="BB437" s="32"/>
    </row>
    <row r="438" spans="2:54">
      <c r="B438" s="1252"/>
      <c r="C438" s="1253"/>
      <c r="D438" s="411"/>
      <c r="E438" s="411"/>
      <c r="F438" s="1256" t="s">
        <v>668</v>
      </c>
      <c r="G438" s="1257"/>
      <c r="H438" s="412">
        <v>1000</v>
      </c>
      <c r="I438" s="413"/>
      <c r="J438" s="414"/>
      <c r="K438" s="414"/>
      <c r="L438" s="414"/>
      <c r="M438" s="414"/>
      <c r="N438" s="413" t="str">
        <f t="shared" si="36"/>
        <v xml:space="preserve"> </v>
      </c>
      <c r="O438" s="51"/>
      <c r="P438" s="415"/>
      <c r="Q438" s="415"/>
      <c r="R438" s="415"/>
      <c r="S438" s="32"/>
      <c r="T438" s="416"/>
      <c r="U438" s="416"/>
      <c r="V438" s="416"/>
      <c r="W438" s="416"/>
      <c r="X438" s="416"/>
      <c r="Y438" s="416"/>
      <c r="Z438" s="416"/>
      <c r="AA438" s="416"/>
      <c r="AB438" s="416"/>
      <c r="AC438" s="416"/>
      <c r="AD438" s="416"/>
      <c r="AE438" s="416"/>
      <c r="AF438" s="416"/>
      <c r="AG438" s="416"/>
      <c r="AH438" s="416"/>
      <c r="AI438" s="416"/>
      <c r="AJ438" s="416"/>
      <c r="AK438" s="416"/>
      <c r="AL438" s="416"/>
      <c r="AM438" s="416"/>
      <c r="AN438" s="416"/>
      <c r="AO438" s="416"/>
      <c r="AP438" s="416"/>
      <c r="AQ438" s="416"/>
      <c r="AR438" s="416"/>
      <c r="AS438" s="416"/>
      <c r="AT438" s="416"/>
      <c r="AU438" s="416"/>
      <c r="AV438" s="416"/>
      <c r="AW438" s="416"/>
      <c r="AX438" s="416"/>
      <c r="AY438" s="416"/>
      <c r="AZ438" s="416"/>
      <c r="BA438" s="416"/>
      <c r="BB438" s="32"/>
    </row>
    <row r="439" spans="2:54">
      <c r="B439" s="1254"/>
      <c r="C439" s="1255"/>
      <c r="D439" s="411"/>
      <c r="E439" s="411"/>
      <c r="F439" s="1256" t="s">
        <v>616</v>
      </c>
      <c r="G439" s="1257"/>
      <c r="H439" s="412">
        <v>2000</v>
      </c>
      <c r="I439" s="413"/>
      <c r="J439" s="414"/>
      <c r="K439" s="414"/>
      <c r="L439" s="414"/>
      <c r="M439" s="414"/>
      <c r="N439" s="413" t="str">
        <f t="shared" si="36"/>
        <v xml:space="preserve"> </v>
      </c>
      <c r="O439" s="51"/>
      <c r="P439" s="415"/>
      <c r="Q439" s="415"/>
      <c r="R439" s="415"/>
      <c r="S439" s="32"/>
      <c r="T439" s="416"/>
      <c r="U439" s="416"/>
      <c r="V439" s="416"/>
      <c r="W439" s="416"/>
      <c r="X439" s="416"/>
      <c r="Y439" s="416"/>
      <c r="Z439" s="416"/>
      <c r="AA439" s="416"/>
      <c r="AB439" s="416"/>
      <c r="AC439" s="416"/>
      <c r="AD439" s="416"/>
      <c r="AE439" s="416"/>
      <c r="AF439" s="416"/>
      <c r="AG439" s="416"/>
      <c r="AH439" s="416"/>
      <c r="AI439" s="416"/>
      <c r="AJ439" s="416"/>
      <c r="AK439" s="416"/>
      <c r="AL439" s="416"/>
      <c r="AM439" s="416"/>
      <c r="AN439" s="416"/>
      <c r="AO439" s="416"/>
      <c r="AP439" s="416"/>
      <c r="AQ439" s="416"/>
      <c r="AR439" s="416"/>
      <c r="AS439" s="416"/>
      <c r="AT439" s="416"/>
      <c r="AU439" s="416"/>
      <c r="AV439" s="416"/>
      <c r="AW439" s="416"/>
      <c r="AX439" s="416"/>
      <c r="AY439" s="416"/>
      <c r="AZ439" s="416"/>
      <c r="BA439" s="416"/>
      <c r="BB439" s="32"/>
    </row>
    <row r="440" spans="2:54">
      <c r="B440" s="1250" t="s">
        <v>670</v>
      </c>
      <c r="C440" s="1251"/>
      <c r="D440" s="411" t="s">
        <v>2186</v>
      </c>
      <c r="E440" s="411"/>
      <c r="F440" s="411" t="s">
        <v>277</v>
      </c>
      <c r="G440" s="411" t="s">
        <v>278</v>
      </c>
      <c r="H440" s="412">
        <v>7511.4679999999998</v>
      </c>
      <c r="I440" s="413" t="s">
        <v>418</v>
      </c>
      <c r="J440" s="414">
        <v>45128.59375</v>
      </c>
      <c r="K440" s="414"/>
      <c r="L440" s="414" t="s">
        <v>192</v>
      </c>
      <c r="M440" s="414" t="s">
        <v>192</v>
      </c>
      <c r="N440" s="413" t="str">
        <f t="shared" si="36"/>
        <v>On time</v>
      </c>
      <c r="O440" s="51"/>
      <c r="P440" s="415" t="s">
        <v>551</v>
      </c>
      <c r="Q440" s="415" t="s">
        <v>551</v>
      </c>
      <c r="R440" s="415" t="s">
        <v>551</v>
      </c>
      <c r="S440" s="32"/>
      <c r="T440" s="416"/>
      <c r="U440" s="416"/>
      <c r="V440" s="416"/>
      <c r="W440" s="416"/>
      <c r="X440" s="416"/>
      <c r="Y440" s="416"/>
      <c r="Z440" s="416"/>
      <c r="AA440" s="416"/>
      <c r="AB440" s="416">
        <f>H440*0.6</f>
        <v>4506.8807999999999</v>
      </c>
      <c r="AC440" s="416">
        <f t="shared" ref="AC440" si="39">H440*0.4</f>
        <v>3004.5871999999999</v>
      </c>
      <c r="AD440" s="416"/>
      <c r="AE440" s="416"/>
      <c r="AF440" s="416"/>
      <c r="AG440" s="416"/>
      <c r="AH440" s="416"/>
      <c r="AI440" s="416"/>
      <c r="AJ440" s="416"/>
      <c r="AK440" s="416"/>
      <c r="AL440" s="416"/>
      <c r="AM440" s="416"/>
      <c r="AN440" s="416"/>
      <c r="AO440" s="416"/>
      <c r="AP440" s="416"/>
      <c r="AQ440" s="416"/>
      <c r="AR440" s="416"/>
      <c r="AS440" s="416"/>
      <c r="AT440" s="416"/>
      <c r="AU440" s="416"/>
      <c r="AV440" s="416"/>
      <c r="AW440" s="416"/>
      <c r="AX440" s="416"/>
      <c r="AY440" s="416"/>
      <c r="AZ440" s="416"/>
      <c r="BA440" s="416"/>
      <c r="BB440" s="32"/>
    </row>
    <row r="441" spans="2:54">
      <c r="B441" s="1254"/>
      <c r="C441" s="1255"/>
      <c r="D441" s="411"/>
      <c r="E441" s="411"/>
      <c r="F441" s="1256" t="s">
        <v>668</v>
      </c>
      <c r="G441" s="1257"/>
      <c r="H441" s="412">
        <v>1000</v>
      </c>
      <c r="I441" s="413"/>
      <c r="J441" s="414"/>
      <c r="K441" s="414"/>
      <c r="L441" s="414"/>
      <c r="M441" s="414"/>
      <c r="N441" s="413" t="str">
        <f t="shared" si="36"/>
        <v xml:space="preserve"> </v>
      </c>
      <c r="O441" s="51"/>
      <c r="P441" s="415"/>
      <c r="Q441" s="415"/>
      <c r="R441" s="415"/>
      <c r="S441" s="32"/>
      <c r="T441" s="416"/>
      <c r="U441" s="416"/>
      <c r="V441" s="416"/>
      <c r="W441" s="416"/>
      <c r="X441" s="416"/>
      <c r="Y441" s="416"/>
      <c r="Z441" s="416"/>
      <c r="AA441" s="416"/>
      <c r="AB441" s="416"/>
      <c r="AC441" s="416"/>
      <c r="AD441" s="416"/>
      <c r="AE441" s="416"/>
      <c r="AF441" s="416"/>
      <c r="AG441" s="416"/>
      <c r="AH441" s="416"/>
      <c r="AI441" s="416"/>
      <c r="AJ441" s="416"/>
      <c r="AK441" s="416"/>
      <c r="AL441" s="416"/>
      <c r="AM441" s="416"/>
      <c r="AN441" s="416"/>
      <c r="AO441" s="416"/>
      <c r="AP441" s="416"/>
      <c r="AQ441" s="416"/>
      <c r="AR441" s="416"/>
      <c r="AS441" s="416"/>
      <c r="AT441" s="416"/>
      <c r="AU441" s="416"/>
      <c r="AV441" s="416"/>
      <c r="AW441" s="416"/>
      <c r="AX441" s="416"/>
      <c r="AY441" s="416"/>
      <c r="AZ441" s="416"/>
      <c r="BA441" s="416"/>
      <c r="BB441" s="32"/>
    </row>
    <row r="442" spans="2:54">
      <c r="B442" s="1250" t="s">
        <v>867</v>
      </c>
      <c r="C442" s="1251"/>
      <c r="D442" s="411" t="s">
        <v>2187</v>
      </c>
      <c r="E442" s="411"/>
      <c r="F442" s="411" t="s">
        <v>406</v>
      </c>
      <c r="G442" s="411" t="s">
        <v>407</v>
      </c>
      <c r="H442" s="412">
        <v>7601.1210000000001</v>
      </c>
      <c r="I442" s="413" t="s">
        <v>235</v>
      </c>
      <c r="J442" s="414">
        <v>45129.375</v>
      </c>
      <c r="K442" s="414"/>
      <c r="L442" s="414" t="s">
        <v>192</v>
      </c>
      <c r="M442" s="414" t="s">
        <v>192</v>
      </c>
      <c r="N442" s="413" t="str">
        <f t="shared" si="36"/>
        <v>On time</v>
      </c>
      <c r="O442" s="51"/>
      <c r="P442" s="415" t="s">
        <v>551</v>
      </c>
      <c r="Q442" s="415" t="s">
        <v>551</v>
      </c>
      <c r="R442" s="415" t="s">
        <v>551</v>
      </c>
      <c r="S442" s="32"/>
      <c r="T442" s="416"/>
      <c r="U442" s="416"/>
      <c r="V442" s="416"/>
      <c r="W442" s="416"/>
      <c r="X442" s="416"/>
      <c r="Y442" s="416"/>
      <c r="Z442" s="416"/>
      <c r="AA442" s="416"/>
      <c r="AB442" s="416">
        <f>H442</f>
        <v>7601.1210000000001</v>
      </c>
      <c r="AC442" s="416"/>
      <c r="AD442" s="416"/>
      <c r="AE442" s="416"/>
      <c r="AF442" s="416"/>
      <c r="AG442" s="416"/>
      <c r="AH442" s="416"/>
      <c r="AI442" s="416"/>
      <c r="AJ442" s="416"/>
      <c r="AK442" s="416"/>
      <c r="AL442" s="416"/>
      <c r="AM442" s="416"/>
      <c r="AN442" s="416"/>
      <c r="AO442" s="416"/>
      <c r="AP442" s="416"/>
      <c r="AQ442" s="416"/>
      <c r="AR442" s="416"/>
      <c r="AS442" s="416"/>
      <c r="AT442" s="416"/>
      <c r="AU442" s="416"/>
      <c r="AV442" s="416"/>
      <c r="AW442" s="416"/>
      <c r="AX442" s="416"/>
      <c r="AY442" s="416"/>
      <c r="AZ442" s="416"/>
      <c r="BA442" s="416"/>
      <c r="BB442" s="32"/>
    </row>
    <row r="443" spans="2:54">
      <c r="B443" s="1252"/>
      <c r="C443" s="1253"/>
      <c r="D443" s="411"/>
      <c r="E443" s="411"/>
      <c r="F443" s="1256" t="s">
        <v>668</v>
      </c>
      <c r="G443" s="1257"/>
      <c r="H443" s="412">
        <f>1000</f>
        <v>1000</v>
      </c>
      <c r="I443" s="413"/>
      <c r="J443" s="414"/>
      <c r="K443" s="414"/>
      <c r="L443" s="414"/>
      <c r="M443" s="414"/>
      <c r="N443" s="413" t="str">
        <f t="shared" si="36"/>
        <v xml:space="preserve"> </v>
      </c>
      <c r="O443" s="51"/>
      <c r="P443" s="415"/>
      <c r="Q443" s="415"/>
      <c r="R443" s="415"/>
      <c r="S443" s="32"/>
      <c r="T443" s="416"/>
      <c r="U443" s="416"/>
      <c r="V443" s="416"/>
      <c r="W443" s="416"/>
      <c r="X443" s="416"/>
      <c r="Y443" s="416"/>
      <c r="Z443" s="416"/>
      <c r="AA443" s="416"/>
      <c r="AB443" s="416"/>
      <c r="AC443" s="416"/>
      <c r="AD443" s="416"/>
      <c r="AE443" s="416"/>
      <c r="AF443" s="416"/>
      <c r="AG443" s="416"/>
      <c r="AH443" s="416"/>
      <c r="AI443" s="416"/>
      <c r="AJ443" s="416"/>
      <c r="AK443" s="416"/>
      <c r="AL443" s="416"/>
      <c r="AM443" s="416"/>
      <c r="AN443" s="416"/>
      <c r="AO443" s="416"/>
      <c r="AP443" s="416"/>
      <c r="AQ443" s="416"/>
      <c r="AR443" s="416"/>
      <c r="AS443" s="416"/>
      <c r="AT443" s="416"/>
      <c r="AU443" s="416"/>
      <c r="AV443" s="416"/>
      <c r="AW443" s="416"/>
      <c r="AX443" s="416"/>
      <c r="AY443" s="416"/>
      <c r="AZ443" s="416"/>
      <c r="BA443" s="416"/>
      <c r="BB443" s="32"/>
    </row>
    <row r="444" spans="2:54">
      <c r="B444" s="1254"/>
      <c r="C444" s="1255"/>
      <c r="D444" s="411"/>
      <c r="E444" s="411"/>
      <c r="F444" s="1256" t="s">
        <v>616</v>
      </c>
      <c r="G444" s="1257"/>
      <c r="H444" s="412">
        <f>1519+0.295</f>
        <v>1519.2950000000001</v>
      </c>
      <c r="I444" s="413"/>
      <c r="J444" s="414"/>
      <c r="K444" s="414"/>
      <c r="L444" s="414"/>
      <c r="M444" s="414"/>
      <c r="N444" s="413" t="str">
        <f t="shared" si="36"/>
        <v xml:space="preserve"> </v>
      </c>
      <c r="O444" s="51"/>
      <c r="P444" s="415"/>
      <c r="Q444" s="415"/>
      <c r="R444" s="415"/>
      <c r="S444" s="32"/>
      <c r="T444" s="416"/>
      <c r="U444" s="416"/>
      <c r="V444" s="416"/>
      <c r="W444" s="416"/>
      <c r="X444" s="416"/>
      <c r="Y444" s="416"/>
      <c r="Z444" s="416"/>
      <c r="AA444" s="416"/>
      <c r="AB444" s="416"/>
      <c r="AC444" s="416"/>
      <c r="AD444" s="416"/>
      <c r="AE444" s="416"/>
      <c r="AF444" s="416"/>
      <c r="AG444" s="416"/>
      <c r="AH444" s="416"/>
      <c r="AI444" s="416"/>
      <c r="AJ444" s="416"/>
      <c r="AK444" s="416"/>
      <c r="AL444" s="416"/>
      <c r="AM444" s="416"/>
      <c r="AN444" s="416"/>
      <c r="AO444" s="416"/>
      <c r="AP444" s="416"/>
      <c r="AQ444" s="416"/>
      <c r="AR444" s="416"/>
      <c r="AS444" s="416"/>
      <c r="AT444" s="416"/>
      <c r="AU444" s="416"/>
      <c r="AV444" s="416"/>
      <c r="AW444" s="416"/>
      <c r="AX444" s="416"/>
      <c r="AY444" s="416"/>
      <c r="AZ444" s="416"/>
      <c r="BA444" s="416"/>
      <c r="BB444" s="32"/>
    </row>
    <row r="445" spans="2:54">
      <c r="B445" s="1250" t="s">
        <v>868</v>
      </c>
      <c r="C445" s="1251"/>
      <c r="D445" s="411" t="s">
        <v>2188</v>
      </c>
      <c r="E445" s="411"/>
      <c r="F445" s="411" t="s">
        <v>249</v>
      </c>
      <c r="G445" s="411" t="s">
        <v>250</v>
      </c>
      <c r="H445" s="412">
        <f>7505.978-1105.478</f>
        <v>6400.5</v>
      </c>
      <c r="I445" s="413" t="s">
        <v>235</v>
      </c>
      <c r="J445" s="414">
        <v>45129.583333333336</v>
      </c>
      <c r="K445" s="414"/>
      <c r="L445" s="414" t="s">
        <v>192</v>
      </c>
      <c r="M445" s="414" t="s">
        <v>192</v>
      </c>
      <c r="N445" s="413" t="str">
        <f t="shared" si="36"/>
        <v>On time</v>
      </c>
      <c r="O445" s="51"/>
      <c r="P445" s="415" t="s">
        <v>551</v>
      </c>
      <c r="Q445" s="415" t="s">
        <v>551</v>
      </c>
      <c r="R445" s="415" t="s">
        <v>551</v>
      </c>
      <c r="S445" s="32"/>
      <c r="T445" s="416"/>
      <c r="U445" s="416"/>
      <c r="V445" s="416"/>
      <c r="W445" s="416"/>
      <c r="X445" s="416"/>
      <c r="Y445" s="416"/>
      <c r="Z445" s="416"/>
      <c r="AA445" s="416"/>
      <c r="AB445" s="416">
        <f>H445-H451</f>
        <v>5865.4049999999997</v>
      </c>
      <c r="AC445" s="416"/>
      <c r="AD445" s="416"/>
      <c r="AE445" s="416"/>
      <c r="AF445" s="416"/>
      <c r="AG445" s="416"/>
      <c r="AH445" s="416"/>
      <c r="AI445" s="416"/>
      <c r="AJ445" s="416"/>
      <c r="AK445" s="416"/>
      <c r="AL445" s="416"/>
      <c r="AM445" s="416"/>
      <c r="AN445" s="416"/>
      <c r="AO445" s="416"/>
      <c r="AP445" s="416"/>
      <c r="AQ445" s="416"/>
      <c r="AR445" s="416"/>
      <c r="AS445" s="416"/>
      <c r="AT445" s="416"/>
      <c r="AU445" s="416"/>
      <c r="AV445" s="416"/>
      <c r="AW445" s="416"/>
      <c r="AX445" s="416"/>
      <c r="AY445" s="286"/>
      <c r="AZ445" s="416"/>
      <c r="BA445" s="416"/>
      <c r="BB445" s="32"/>
    </row>
    <row r="446" spans="2:54">
      <c r="B446" s="1254"/>
      <c r="C446" s="1255"/>
      <c r="D446" s="411"/>
      <c r="E446" s="411"/>
      <c r="F446" s="1256" t="s">
        <v>668</v>
      </c>
      <c r="G446" s="1257"/>
      <c r="H446" s="412">
        <f>1052</f>
        <v>1052</v>
      </c>
      <c r="I446" s="413"/>
      <c r="J446" s="414"/>
      <c r="K446" s="414"/>
      <c r="L446" s="414"/>
      <c r="M446" s="414"/>
      <c r="N446" s="413" t="str">
        <f t="shared" si="36"/>
        <v xml:space="preserve"> </v>
      </c>
      <c r="O446" s="51"/>
      <c r="P446" s="415"/>
      <c r="Q446" s="415"/>
      <c r="R446" s="415"/>
      <c r="S446" s="32"/>
      <c r="T446" s="416"/>
      <c r="U446" s="416"/>
      <c r="V446" s="416"/>
      <c r="W446" s="416"/>
      <c r="X446" s="416"/>
      <c r="Y446" s="416"/>
      <c r="Z446" s="416"/>
      <c r="AA446" s="416"/>
      <c r="AB446" s="416"/>
      <c r="AC446" s="416"/>
      <c r="AD446" s="416"/>
      <c r="AE446" s="416"/>
      <c r="AF446" s="416"/>
      <c r="AG446" s="416"/>
      <c r="AH446" s="416"/>
      <c r="AI446" s="416"/>
      <c r="AJ446" s="416"/>
      <c r="AK446" s="416"/>
      <c r="AL446" s="416"/>
      <c r="AM446" s="416"/>
      <c r="AN446" s="416"/>
      <c r="AO446" s="416"/>
      <c r="AP446" s="416"/>
      <c r="AQ446" s="416"/>
      <c r="AR446" s="416"/>
      <c r="AS446" s="416"/>
      <c r="AT446" s="416"/>
      <c r="AU446" s="416"/>
      <c r="AV446" s="416"/>
      <c r="AW446" s="416"/>
      <c r="AX446" s="416"/>
      <c r="AY446" s="416"/>
      <c r="AZ446" s="416"/>
      <c r="BA446" s="416"/>
      <c r="BB446" s="32"/>
    </row>
    <row r="447" spans="2:54">
      <c r="B447" s="1258" t="s">
        <v>626</v>
      </c>
      <c r="C447" s="1259"/>
      <c r="D447" s="1259"/>
      <c r="E447" s="1259"/>
      <c r="F447" s="1259"/>
      <c r="G447" s="1260"/>
      <c r="H447" s="417">
        <f>H420+H423+H425+H427+H432+H435+H437+H440+H442+H445</f>
        <v>70377.705000000016</v>
      </c>
      <c r="I447" s="388"/>
      <c r="J447" s="293"/>
      <c r="K447" s="293"/>
      <c r="L447" s="293"/>
      <c r="M447" s="389"/>
      <c r="N447" s="413" t="str">
        <f t="shared" si="36"/>
        <v xml:space="preserve"> </v>
      </c>
      <c r="O447" s="47"/>
      <c r="P447" s="418"/>
      <c r="Q447" s="418"/>
      <c r="R447" s="418"/>
      <c r="S447" s="32"/>
      <c r="T447" s="1261"/>
      <c r="U447" s="1261"/>
      <c r="V447" s="1261"/>
      <c r="W447" s="1261"/>
      <c r="X447" s="1261"/>
      <c r="Y447" s="1261"/>
      <c r="Z447" s="1261"/>
      <c r="AA447" s="1261"/>
      <c r="AB447" s="1261"/>
      <c r="AC447" s="1261"/>
      <c r="AD447" s="1261"/>
      <c r="AE447" s="1261"/>
      <c r="AF447" s="1261"/>
      <c r="AG447" s="1261"/>
      <c r="AH447" s="1261"/>
      <c r="AI447" s="1261"/>
      <c r="AJ447" s="1261"/>
      <c r="AK447" s="1261"/>
      <c r="AL447" s="1261"/>
      <c r="AM447" s="1261"/>
      <c r="AN447" s="1261"/>
      <c r="AO447" s="1261"/>
      <c r="AP447" s="1261"/>
      <c r="AQ447" s="1261"/>
      <c r="AR447" s="1261"/>
      <c r="AS447" s="1261"/>
      <c r="AT447" s="1261"/>
      <c r="AU447" s="1261"/>
      <c r="AV447" s="1261"/>
      <c r="AW447" s="1261"/>
      <c r="AX447" s="1261"/>
      <c r="AY447" s="1261"/>
      <c r="AZ447" s="1261"/>
      <c r="BA447" s="1261"/>
    </row>
    <row r="448" spans="2:54">
      <c r="B448" s="1258" t="s">
        <v>556</v>
      </c>
      <c r="C448" s="1259"/>
      <c r="D448" s="1259"/>
      <c r="E448" s="1259"/>
      <c r="F448" s="1259"/>
      <c r="G448" s="1260"/>
      <c r="H448" s="417">
        <f>H419+H447+H431</f>
        <v>88000.000000000015</v>
      </c>
      <c r="I448" s="388"/>
      <c r="J448" s="293"/>
      <c r="K448" s="293"/>
      <c r="L448" s="293"/>
      <c r="M448" s="389"/>
      <c r="N448" s="413" t="str">
        <f t="shared" si="36"/>
        <v xml:space="preserve"> </v>
      </c>
      <c r="O448" s="212"/>
      <c r="P448" s="418"/>
      <c r="Q448" s="418"/>
      <c r="R448" s="418"/>
      <c r="S448" s="207"/>
      <c r="T448" s="1300"/>
      <c r="U448" s="1301"/>
      <c r="V448" s="1301"/>
      <c r="W448" s="1301"/>
      <c r="X448" s="1301"/>
      <c r="Y448" s="1301"/>
      <c r="Z448" s="1301"/>
      <c r="AA448" s="1301"/>
      <c r="AB448" s="1301"/>
      <c r="AC448" s="1301"/>
      <c r="AD448" s="1301"/>
      <c r="AE448" s="1301"/>
      <c r="AF448" s="1301"/>
      <c r="AG448" s="1301"/>
      <c r="AH448" s="1301"/>
      <c r="AI448" s="1301"/>
      <c r="AJ448" s="1301"/>
      <c r="AK448" s="1301"/>
      <c r="AL448" s="1301"/>
      <c r="AM448" s="1301"/>
      <c r="AN448" s="1301"/>
      <c r="AO448" s="1301"/>
      <c r="AP448" s="1301"/>
      <c r="AQ448" s="1301"/>
      <c r="AR448" s="1301"/>
      <c r="AS448" s="1301"/>
      <c r="AT448" s="1301"/>
      <c r="AU448" s="1301"/>
      <c r="AV448" s="1301"/>
      <c r="AW448" s="1301"/>
      <c r="AX448" s="1301"/>
      <c r="AY448" s="1301"/>
      <c r="AZ448" s="1301"/>
      <c r="BA448" s="1301"/>
    </row>
    <row r="449" spans="2:54">
      <c r="B449" s="1243" t="s">
        <v>557</v>
      </c>
      <c r="C449" s="1244"/>
      <c r="D449" s="1244"/>
      <c r="E449" s="1244"/>
      <c r="F449" s="1244"/>
      <c r="G449" s="1245"/>
      <c r="H449" s="419">
        <v>88000</v>
      </c>
      <c r="I449" s="1273"/>
      <c r="J449" s="1274"/>
      <c r="K449" s="1274"/>
      <c r="L449" s="1274"/>
      <c r="M449" s="1275"/>
      <c r="N449" s="413" t="str">
        <f t="shared" si="36"/>
        <v xml:space="preserve"> </v>
      </c>
      <c r="O449" s="32"/>
      <c r="P449" s="415"/>
      <c r="Q449" s="415"/>
      <c r="R449" s="415"/>
      <c r="S449" s="63"/>
      <c r="T449" s="416">
        <f>SUM(T417:T446)</f>
        <v>7535.6120000000001</v>
      </c>
      <c r="U449" s="416">
        <f t="shared" ref="U449:BA449" si="40">SUM(U417:U446)</f>
        <v>5066.6540000000005</v>
      </c>
      <c r="V449" s="416">
        <f t="shared" si="40"/>
        <v>0</v>
      </c>
      <c r="W449" s="416">
        <f t="shared" si="40"/>
        <v>2452.6410000000001</v>
      </c>
      <c r="X449" s="416">
        <f t="shared" si="40"/>
        <v>0</v>
      </c>
      <c r="Y449" s="416">
        <f t="shared" si="40"/>
        <v>0</v>
      </c>
      <c r="Z449" s="416">
        <f t="shared" si="40"/>
        <v>0</v>
      </c>
      <c r="AA449" s="416">
        <f t="shared" si="40"/>
        <v>0</v>
      </c>
      <c r="AB449" s="416">
        <f t="shared" si="40"/>
        <v>52644.714399999997</v>
      </c>
      <c r="AC449" s="416">
        <f t="shared" si="40"/>
        <v>9662.2836000000007</v>
      </c>
      <c r="AD449" s="416">
        <f t="shared" si="40"/>
        <v>0</v>
      </c>
      <c r="AE449" s="416">
        <f t="shared" si="40"/>
        <v>0</v>
      </c>
      <c r="AF449" s="416">
        <f t="shared" si="40"/>
        <v>0</v>
      </c>
      <c r="AG449" s="416">
        <f t="shared" si="40"/>
        <v>0</v>
      </c>
      <c r="AH449" s="416">
        <f t="shared" si="40"/>
        <v>0</v>
      </c>
      <c r="AI449" s="416">
        <f t="shared" si="40"/>
        <v>0</v>
      </c>
      <c r="AJ449" s="416">
        <f t="shared" si="40"/>
        <v>0</v>
      </c>
      <c r="AK449" s="416">
        <f t="shared" si="40"/>
        <v>0</v>
      </c>
      <c r="AL449" s="416">
        <f t="shared" si="40"/>
        <v>0</v>
      </c>
      <c r="AM449" s="416">
        <f t="shared" si="40"/>
        <v>0</v>
      </c>
      <c r="AN449" s="416">
        <f t="shared" si="40"/>
        <v>0</v>
      </c>
      <c r="AO449" s="416">
        <f t="shared" si="40"/>
        <v>0</v>
      </c>
      <c r="AP449" s="416">
        <f t="shared" si="40"/>
        <v>0</v>
      </c>
      <c r="AQ449" s="416">
        <f t="shared" si="40"/>
        <v>0</v>
      </c>
      <c r="AR449" s="416">
        <f t="shared" si="40"/>
        <v>10103</v>
      </c>
      <c r="AS449" s="416">
        <f t="shared" si="40"/>
        <v>0</v>
      </c>
      <c r="AT449" s="416">
        <f t="shared" si="40"/>
        <v>0</v>
      </c>
      <c r="AU449" s="416">
        <f t="shared" si="40"/>
        <v>0</v>
      </c>
      <c r="AV449" s="416">
        <f t="shared" si="40"/>
        <v>0</v>
      </c>
      <c r="AW449" s="416">
        <f t="shared" si="40"/>
        <v>0</v>
      </c>
      <c r="AX449" s="416">
        <f t="shared" si="40"/>
        <v>0</v>
      </c>
      <c r="AY449" s="416">
        <f t="shared" si="40"/>
        <v>0</v>
      </c>
      <c r="AZ449" s="416">
        <f t="shared" si="40"/>
        <v>0</v>
      </c>
      <c r="BA449" s="416">
        <f t="shared" si="40"/>
        <v>0</v>
      </c>
      <c r="BB449" s="416">
        <f>SUM(T449:BA449)</f>
        <v>87464.904999999999</v>
      </c>
    </row>
    <row r="450" spans="2:54">
      <c r="B450" s="1243" t="s">
        <v>558</v>
      </c>
      <c r="C450" s="1244"/>
      <c r="D450" s="1244"/>
      <c r="E450" s="1244"/>
      <c r="F450" s="1244"/>
      <c r="G450" s="1245"/>
      <c r="H450" s="420">
        <f>H449-L411</f>
        <v>0</v>
      </c>
      <c r="I450" s="294"/>
      <c r="J450" s="295"/>
      <c r="K450" s="295"/>
      <c r="L450" s="296"/>
      <c r="M450" s="32"/>
      <c r="N450" s="32"/>
      <c r="O450" s="32"/>
      <c r="P450" s="32"/>
      <c r="Q450" s="297"/>
      <c r="R450" s="297"/>
      <c r="S450" s="32"/>
      <c r="T450" s="48"/>
      <c r="U450" s="48"/>
      <c r="V450" s="48"/>
      <c r="W450" s="48"/>
      <c r="X450" s="48"/>
      <c r="Y450" s="48"/>
      <c r="Z450" s="48"/>
      <c r="AA450" s="48"/>
      <c r="AB450" s="48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</row>
    <row r="451" spans="2:54">
      <c r="B451" s="1243" t="s">
        <v>559</v>
      </c>
      <c r="C451" s="1244"/>
      <c r="D451" s="1244"/>
      <c r="E451" s="1244"/>
      <c r="F451" s="1244"/>
      <c r="G451" s="1245"/>
      <c r="H451" s="446">
        <v>535.09500000000003</v>
      </c>
      <c r="I451" s="52"/>
      <c r="J451" s="53"/>
      <c r="K451" s="53"/>
      <c r="L451" s="54"/>
      <c r="M451" s="32"/>
      <c r="N451" s="201"/>
      <c r="O451" s="32"/>
      <c r="P451" s="32"/>
      <c r="Q451" s="32"/>
      <c r="R451" s="32"/>
      <c r="S451" s="32"/>
      <c r="T451" s="48"/>
      <c r="U451" s="48"/>
      <c r="V451" s="48"/>
      <c r="W451" s="48"/>
      <c r="X451" s="48"/>
      <c r="Y451" s="48"/>
      <c r="Z451" s="48"/>
      <c r="AA451" s="48"/>
      <c r="AB451" s="48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</row>
    <row r="452" spans="2:54">
      <c r="B452" s="1243" t="s">
        <v>560</v>
      </c>
      <c r="C452" s="1244"/>
      <c r="D452" s="1244"/>
      <c r="E452" s="1244"/>
      <c r="F452" s="1244"/>
      <c r="G452" s="1245"/>
      <c r="H452" s="421">
        <f>H451-1105.478</f>
        <v>-570.38300000000004</v>
      </c>
      <c r="I452" s="52"/>
      <c r="J452" s="53"/>
      <c r="K452" s="53"/>
      <c r="L452" s="54"/>
      <c r="M452" s="32"/>
      <c r="N452" s="32"/>
      <c r="O452" s="32"/>
      <c r="P452" s="32"/>
      <c r="Q452" s="32"/>
      <c r="R452" s="32"/>
      <c r="S452" s="48"/>
      <c r="T452" s="48"/>
      <c r="U452" s="48"/>
      <c r="V452" s="48"/>
      <c r="W452" s="48"/>
      <c r="X452" s="48"/>
      <c r="Y452" s="48"/>
      <c r="Z452" s="48"/>
      <c r="AA452" s="48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 spans="2:54">
      <c r="B453" s="201"/>
      <c r="C453" s="201"/>
      <c r="D453" s="201"/>
      <c r="E453" s="201"/>
      <c r="F453" s="201"/>
      <c r="G453" s="201"/>
      <c r="H453" s="201"/>
      <c r="I453" s="213"/>
      <c r="J453" s="209"/>
      <c r="K453" s="209"/>
      <c r="L453" s="203"/>
      <c r="M453" s="201"/>
      <c r="N453" s="201"/>
      <c r="O453" s="209"/>
      <c r="P453" s="32"/>
      <c r="Q453" s="32"/>
      <c r="R453" s="32"/>
      <c r="S453" s="32"/>
      <c r="T453" s="48"/>
      <c r="U453" s="48"/>
      <c r="V453" s="48"/>
      <c r="W453" s="48"/>
      <c r="X453" s="48"/>
      <c r="Y453" s="48"/>
      <c r="Z453" s="48"/>
      <c r="AA453" s="48"/>
      <c r="AB453" s="48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</row>
    <row r="454" spans="2:54">
      <c r="B454" s="40" t="s">
        <v>561</v>
      </c>
      <c r="C454" s="40"/>
      <c r="D454" s="32"/>
      <c r="E454" s="32"/>
      <c r="F454" s="32"/>
      <c r="G454" s="32"/>
      <c r="H454" s="32"/>
      <c r="I454" s="32"/>
      <c r="J454" s="52"/>
      <c r="K454" s="52"/>
      <c r="L454" s="55"/>
      <c r="M454" s="32"/>
      <c r="N454" s="201"/>
      <c r="O454" s="5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  <c r="AA454" s="202"/>
      <c r="AB454" s="201"/>
      <c r="AC454" s="201"/>
      <c r="AD454" s="201"/>
      <c r="AE454" s="201"/>
      <c r="AF454" s="201"/>
      <c r="AG454" s="201"/>
      <c r="AH454" s="201"/>
      <c r="AI454" s="201"/>
      <c r="AJ454" s="201"/>
      <c r="AK454" s="201"/>
      <c r="AL454" s="201"/>
      <c r="AM454" s="201"/>
      <c r="AN454" s="201"/>
      <c r="AO454" s="201"/>
      <c r="AP454" s="201"/>
      <c r="AQ454" s="201"/>
      <c r="AR454" s="201"/>
      <c r="AS454" s="201"/>
      <c r="AT454" s="201"/>
      <c r="AU454" s="201"/>
      <c r="BB454" s="201"/>
    </row>
    <row r="455" spans="2:54">
      <c r="B455" s="422">
        <v>1</v>
      </c>
      <c r="C455" s="1249" t="s">
        <v>2171</v>
      </c>
      <c r="D455" s="1249"/>
      <c r="E455" s="1249"/>
      <c r="F455" s="1249"/>
      <c r="G455" s="1249"/>
      <c r="H455" s="1249"/>
      <c r="I455" s="1249"/>
      <c r="J455" s="1249"/>
      <c r="K455" s="1249"/>
      <c r="L455" s="203"/>
      <c r="M455" s="203"/>
      <c r="N455" s="201"/>
      <c r="O455" s="209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  <c r="AA455" s="202"/>
      <c r="AB455" s="201"/>
      <c r="AC455" s="201"/>
      <c r="AD455" s="201"/>
      <c r="AE455" s="201"/>
      <c r="AF455" s="201"/>
      <c r="AG455" s="201"/>
      <c r="AH455" s="201"/>
      <c r="AI455" s="201"/>
      <c r="AJ455" s="201"/>
      <c r="AK455" s="201"/>
      <c r="AL455" s="201"/>
      <c r="AM455" s="201"/>
      <c r="AN455" s="201"/>
      <c r="AO455" s="201"/>
      <c r="AP455" s="201"/>
      <c r="AQ455" s="201"/>
      <c r="AR455" s="201"/>
      <c r="AS455" s="201"/>
      <c r="AT455" s="201"/>
      <c r="AU455" s="201"/>
      <c r="AV455" s="201"/>
      <c r="AW455" s="201"/>
      <c r="AX455" s="201"/>
      <c r="AY455" s="201"/>
      <c r="AZ455" s="201"/>
      <c r="BA455" s="201"/>
      <c r="BB455" s="201"/>
    </row>
    <row r="457" spans="2:54">
      <c r="B457" s="28" t="s">
        <v>126</v>
      </c>
      <c r="C457" s="28"/>
      <c r="D457" s="29"/>
      <c r="E457" s="30" t="s">
        <v>511</v>
      </c>
      <c r="F457" s="31" t="s">
        <v>2189</v>
      </c>
      <c r="G457" s="32"/>
      <c r="H457" s="33"/>
      <c r="I457" s="34"/>
      <c r="J457" s="35" t="s">
        <v>513</v>
      </c>
      <c r="K457" s="36" t="s">
        <v>511</v>
      </c>
      <c r="L457" s="37">
        <v>45136.256944444445</v>
      </c>
      <c r="M457" s="32"/>
      <c r="N457" s="32"/>
      <c r="O457" s="206"/>
      <c r="P457" s="205"/>
      <c r="Q457" s="202"/>
      <c r="R457" s="204"/>
      <c r="S457" s="38"/>
      <c r="T457" s="201"/>
      <c r="U457" s="201"/>
      <c r="V457" s="201"/>
      <c r="W457" s="201"/>
      <c r="X457" s="201"/>
      <c r="Y457" s="201"/>
      <c r="Z457" s="201"/>
      <c r="AA457" s="201"/>
      <c r="AB457" s="202"/>
      <c r="AC457" s="202"/>
      <c r="AD457" s="202"/>
      <c r="AE457" s="202"/>
      <c r="AF457" s="202"/>
      <c r="AG457" s="201"/>
      <c r="AH457" s="201"/>
      <c r="AI457" s="201"/>
      <c r="AJ457" s="201"/>
      <c r="AK457" s="201"/>
      <c r="AL457" s="201"/>
      <c r="AM457" s="201"/>
      <c r="AN457" s="201"/>
      <c r="AO457" s="201"/>
      <c r="AP457" s="201"/>
      <c r="AQ457" s="201"/>
      <c r="AR457" s="201"/>
      <c r="AS457" s="201"/>
      <c r="AT457" s="201"/>
      <c r="AU457" s="201"/>
      <c r="AV457" s="201"/>
      <c r="AW457" s="201"/>
      <c r="AX457" s="201"/>
      <c r="AY457" s="201"/>
      <c r="AZ457" s="201"/>
      <c r="BA457" s="201"/>
      <c r="BB457" s="201"/>
    </row>
    <row r="458" spans="2:54">
      <c r="B458" s="35" t="s">
        <v>514</v>
      </c>
      <c r="C458" s="35"/>
      <c r="D458" s="32"/>
      <c r="E458" s="36" t="s">
        <v>511</v>
      </c>
      <c r="F458" s="311" t="s">
        <v>2173</v>
      </c>
      <c r="G458" s="32"/>
      <c r="H458" s="33"/>
      <c r="I458" s="34"/>
      <c r="J458" s="35" t="s">
        <v>516</v>
      </c>
      <c r="K458" s="36" t="s">
        <v>511</v>
      </c>
      <c r="L458" s="37">
        <v>45138.40625</v>
      </c>
      <c r="M458" s="32"/>
      <c r="N458" s="32"/>
      <c r="O458" s="206"/>
      <c r="P458" s="205"/>
      <c r="Q458" s="202"/>
      <c r="R458" s="204"/>
      <c r="S458" s="38"/>
      <c r="T458" s="201"/>
      <c r="U458" s="201"/>
      <c r="V458" s="201"/>
      <c r="W458" s="201"/>
      <c r="X458" s="201"/>
      <c r="Y458" s="201"/>
      <c r="Z458" s="201"/>
      <c r="AA458" s="201"/>
      <c r="AB458" s="202"/>
      <c r="AC458" s="202"/>
      <c r="AD458" s="202"/>
      <c r="AE458" s="202"/>
      <c r="AF458" s="202"/>
      <c r="AG458" s="201"/>
      <c r="AH458" s="201"/>
      <c r="AI458" s="201"/>
      <c r="AJ458" s="201"/>
      <c r="AK458" s="201"/>
      <c r="AL458" s="201"/>
      <c r="AM458" s="201"/>
      <c r="AN458" s="201"/>
      <c r="AO458" s="201"/>
      <c r="AP458" s="201"/>
      <c r="AQ458" s="201"/>
      <c r="AR458" s="201"/>
      <c r="AS458" s="201"/>
      <c r="AT458" s="201"/>
      <c r="AU458" s="201"/>
      <c r="AV458" s="201"/>
      <c r="AW458" s="201"/>
      <c r="AX458" s="201"/>
      <c r="AY458" s="201"/>
      <c r="AZ458" s="201"/>
      <c r="BA458" s="201"/>
      <c r="BB458" s="201"/>
    </row>
    <row r="459" spans="2:54">
      <c r="B459" s="35" t="s">
        <v>517</v>
      </c>
      <c r="C459" s="35"/>
      <c r="D459" s="32"/>
      <c r="E459" s="36" t="s">
        <v>511</v>
      </c>
      <c r="F459" s="37">
        <v>45135.775000000001</v>
      </c>
      <c r="G459" s="32"/>
      <c r="H459" s="33"/>
      <c r="I459" s="34"/>
      <c r="J459" s="35" t="s">
        <v>518</v>
      </c>
      <c r="K459" s="36" t="s">
        <v>511</v>
      </c>
      <c r="L459" s="50">
        <v>52500</v>
      </c>
      <c r="M459" s="40" t="s">
        <v>519</v>
      </c>
      <c r="N459" s="40"/>
      <c r="O459" s="206"/>
      <c r="P459" s="205"/>
      <c r="Q459" s="202"/>
      <c r="R459" s="204"/>
      <c r="S459" s="38"/>
      <c r="T459" s="201"/>
      <c r="U459" s="201"/>
      <c r="V459" s="201"/>
      <c r="W459" s="201"/>
      <c r="X459" s="201"/>
      <c r="Y459" s="201"/>
      <c r="Z459" s="201"/>
      <c r="AA459" s="201"/>
      <c r="AB459" s="202"/>
      <c r="AC459" s="202"/>
      <c r="AD459" s="202"/>
      <c r="AE459" s="202"/>
      <c r="AF459" s="202"/>
      <c r="AG459" s="201"/>
      <c r="AH459" s="201"/>
      <c r="AI459" s="201"/>
      <c r="AJ459" s="201"/>
      <c r="AK459" s="201"/>
      <c r="AL459" s="201"/>
      <c r="AM459" s="201"/>
      <c r="AN459" s="201"/>
      <c r="AO459" s="201"/>
      <c r="AP459" s="201"/>
      <c r="AQ459" s="201"/>
      <c r="AR459" s="201"/>
      <c r="AS459" s="201"/>
      <c r="AT459" s="201"/>
      <c r="AU459" s="201"/>
      <c r="AV459" s="201"/>
      <c r="AW459" s="201"/>
      <c r="AX459" s="201"/>
      <c r="AY459" s="201"/>
      <c r="AZ459" s="201"/>
      <c r="BA459" s="201"/>
      <c r="BB459" s="201"/>
    </row>
    <row r="460" spans="2:54">
      <c r="B460" s="35" t="s">
        <v>520</v>
      </c>
      <c r="C460" s="35"/>
      <c r="D460" s="32"/>
      <c r="E460" s="36" t="s">
        <v>511</v>
      </c>
      <c r="F460" s="37" t="s">
        <v>12</v>
      </c>
      <c r="G460" s="32"/>
      <c r="H460" s="33"/>
      <c r="I460" s="34"/>
      <c r="J460" s="35" t="s">
        <v>521</v>
      </c>
      <c r="K460" s="36" t="s">
        <v>511</v>
      </c>
      <c r="L460" s="41" t="s">
        <v>2190</v>
      </c>
      <c r="M460" s="32"/>
      <c r="N460" s="32"/>
      <c r="O460" s="206"/>
      <c r="P460" s="202"/>
      <c r="Q460" s="202"/>
      <c r="R460" s="204"/>
      <c r="S460" s="38"/>
      <c r="T460" s="201"/>
      <c r="U460" s="201"/>
      <c r="V460" s="201"/>
      <c r="W460" s="201"/>
      <c r="X460" s="201"/>
      <c r="Y460" s="201"/>
      <c r="Z460" s="201"/>
      <c r="AA460" s="201"/>
      <c r="AB460" s="202"/>
      <c r="AC460" s="202"/>
      <c r="AD460" s="202"/>
      <c r="AE460" s="202"/>
      <c r="AF460" s="202"/>
      <c r="AG460" s="201"/>
      <c r="AH460" s="201"/>
      <c r="AI460" s="201"/>
      <c r="AJ460" s="201"/>
      <c r="AK460" s="201"/>
      <c r="AL460" s="201"/>
      <c r="AM460" s="201"/>
      <c r="AN460" s="201"/>
      <c r="AO460" s="201"/>
      <c r="AP460" s="201"/>
      <c r="AQ460" s="201"/>
      <c r="AR460" s="201"/>
      <c r="AS460" s="201"/>
      <c r="AT460" s="201"/>
      <c r="AU460" s="201"/>
      <c r="AV460" s="201"/>
      <c r="AW460" s="201"/>
      <c r="AX460" s="201"/>
      <c r="AY460" s="201"/>
      <c r="AZ460" s="201"/>
      <c r="BA460" s="201"/>
      <c r="BB460" s="201"/>
    </row>
    <row r="461" spans="2:54">
      <c r="B461" s="35" t="s">
        <v>523</v>
      </c>
      <c r="C461" s="35"/>
      <c r="D461" s="32"/>
      <c r="E461" s="36" t="s">
        <v>511</v>
      </c>
      <c r="F461" s="37" t="s">
        <v>32</v>
      </c>
      <c r="G461" s="32"/>
      <c r="H461" s="33"/>
      <c r="I461" s="34"/>
      <c r="J461" s="42" t="s">
        <v>524</v>
      </c>
      <c r="K461" s="36" t="s">
        <v>511</v>
      </c>
      <c r="L461" s="43" t="s">
        <v>11</v>
      </c>
      <c r="M461" s="44"/>
      <c r="N461" s="44"/>
      <c r="O461" s="206"/>
      <c r="P461" s="205"/>
      <c r="Q461" s="202"/>
      <c r="R461" s="204"/>
      <c r="S461" s="38"/>
      <c r="T461" s="201"/>
      <c r="U461" s="201"/>
      <c r="V461" s="201"/>
      <c r="W461" s="201"/>
      <c r="X461" s="201"/>
      <c r="Y461" s="201"/>
      <c r="Z461" s="201"/>
      <c r="AA461" s="201"/>
      <c r="AB461" s="202"/>
      <c r="AC461" s="202"/>
      <c r="AD461" s="202"/>
      <c r="AE461" s="202"/>
      <c r="AF461" s="202"/>
      <c r="AG461" s="201"/>
      <c r="AH461" s="201"/>
      <c r="AI461" s="201"/>
      <c r="AJ461" s="201"/>
      <c r="AK461" s="201"/>
      <c r="AL461" s="201"/>
      <c r="AM461" s="201"/>
      <c r="AN461" s="201"/>
      <c r="AO461" s="201"/>
      <c r="AP461" s="201"/>
      <c r="AQ461" s="201"/>
      <c r="AR461" s="201"/>
      <c r="AS461" s="201"/>
      <c r="AT461" s="201"/>
      <c r="AU461" s="201"/>
      <c r="AV461" s="201"/>
      <c r="AW461" s="201"/>
      <c r="AX461" s="201"/>
      <c r="AY461" s="201"/>
      <c r="AZ461" s="201"/>
      <c r="BA461" s="201"/>
      <c r="BB461" s="201"/>
    </row>
    <row r="462" spans="2:54">
      <c r="B462" s="35" t="s">
        <v>2</v>
      </c>
      <c r="C462" s="35"/>
      <c r="D462" s="32"/>
      <c r="E462" s="36" t="s">
        <v>511</v>
      </c>
      <c r="F462" s="37" t="s">
        <v>42</v>
      </c>
      <c r="G462" s="32"/>
      <c r="H462" s="33"/>
      <c r="I462" s="45"/>
      <c r="J462" s="42"/>
      <c r="K462" s="36"/>
      <c r="L462" s="211"/>
      <c r="M462" s="201"/>
      <c r="N462" s="201"/>
      <c r="O462" s="42"/>
      <c r="P462" s="44"/>
      <c r="Q462" s="44"/>
      <c r="R462" s="44"/>
      <c r="S462" s="34"/>
      <c r="T462" s="201"/>
      <c r="U462" s="201"/>
      <c r="V462" s="201"/>
      <c r="W462" s="201"/>
      <c r="X462" s="201"/>
      <c r="Y462" s="201"/>
      <c r="Z462" s="201"/>
      <c r="AA462" s="201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201"/>
      <c r="AP462" s="201"/>
      <c r="AQ462" s="201"/>
      <c r="AR462" s="201"/>
      <c r="AS462" s="201"/>
      <c r="AT462" s="201"/>
      <c r="AU462" s="201"/>
      <c r="AV462" s="201"/>
      <c r="AW462" s="201"/>
      <c r="AX462" s="201"/>
      <c r="AY462" s="201"/>
      <c r="AZ462" s="201"/>
      <c r="BA462" s="201"/>
      <c r="BB462" s="201"/>
    </row>
    <row r="463" spans="2:54">
      <c r="B463" s="201"/>
      <c r="C463" s="201"/>
      <c r="D463" s="201"/>
      <c r="E463" s="201"/>
      <c r="F463" s="201"/>
      <c r="G463" s="201"/>
      <c r="H463" s="201"/>
      <c r="I463" s="45"/>
      <c r="J463" s="42"/>
      <c r="K463" s="42"/>
      <c r="L463" s="43"/>
      <c r="M463" s="44"/>
      <c r="N463" s="44"/>
      <c r="O463" s="42"/>
      <c r="P463" s="44"/>
      <c r="Q463" s="44"/>
      <c r="R463" s="44"/>
      <c r="S463" s="34"/>
      <c r="T463" s="1265" t="s">
        <v>87</v>
      </c>
      <c r="U463" s="1265"/>
      <c r="V463" s="1265"/>
      <c r="W463" s="1265"/>
      <c r="X463" s="1265"/>
      <c r="Y463" s="1265" t="s">
        <v>73</v>
      </c>
      <c r="Z463" s="1265"/>
      <c r="AA463" s="1265"/>
      <c r="AB463" s="1265" t="s">
        <v>74</v>
      </c>
      <c r="AC463" s="1265"/>
      <c r="AD463" s="423" t="s">
        <v>85</v>
      </c>
      <c r="AE463" s="423" t="s">
        <v>77</v>
      </c>
      <c r="AF463" s="1265" t="s">
        <v>525</v>
      </c>
      <c r="AG463" s="1265"/>
      <c r="AH463" s="1265"/>
      <c r="AI463" s="1265"/>
      <c r="AJ463" s="1265"/>
      <c r="AK463" s="1265"/>
      <c r="AL463" s="1265"/>
      <c r="AM463" s="1265"/>
      <c r="AN463" s="1265"/>
      <c r="AO463" s="1265"/>
      <c r="AP463" s="1265"/>
      <c r="AQ463" s="1265"/>
      <c r="AR463" s="1265"/>
      <c r="AS463" s="1265"/>
      <c r="AT463" s="1265"/>
      <c r="AU463" s="1265"/>
      <c r="AV463" s="1265"/>
      <c r="AW463" s="1265"/>
      <c r="AX463" s="1265"/>
      <c r="AY463" s="1265"/>
      <c r="AZ463" s="1265"/>
      <c r="BA463" s="1265"/>
      <c r="BB463" s="201"/>
    </row>
    <row r="464" spans="2:54">
      <c r="B464" s="1266" t="s">
        <v>526</v>
      </c>
      <c r="C464" s="1267"/>
      <c r="D464" s="570" t="s">
        <v>527</v>
      </c>
      <c r="E464" s="570"/>
      <c r="F464" s="570" t="s">
        <v>528</v>
      </c>
      <c r="G464" s="570" t="s">
        <v>529</v>
      </c>
      <c r="H464" s="570" t="s">
        <v>530</v>
      </c>
      <c r="I464" s="570" t="s">
        <v>531</v>
      </c>
      <c r="J464" s="570" t="s">
        <v>532</v>
      </c>
      <c r="K464" s="570"/>
      <c r="L464" s="570" t="s">
        <v>130</v>
      </c>
      <c r="M464" s="570" t="s">
        <v>533</v>
      </c>
      <c r="N464" s="408" t="str">
        <f>"On time - "&amp;COUNTIF(N465:N474,"On time")&amp;" from "&amp;ROWS(N465:N474)-COUNTIF(N465:N474," ")</f>
        <v>On time - 6 from 8</v>
      </c>
      <c r="O464" s="46"/>
      <c r="P464" s="409" t="s">
        <v>534</v>
      </c>
      <c r="Q464" s="409" t="s">
        <v>535</v>
      </c>
      <c r="R464" s="409" t="s">
        <v>536</v>
      </c>
      <c r="S464" s="32"/>
      <c r="T464" s="424" t="s">
        <v>537</v>
      </c>
      <c r="U464" s="424" t="s">
        <v>538</v>
      </c>
      <c r="V464" s="424" t="s">
        <v>539</v>
      </c>
      <c r="W464" s="424" t="s">
        <v>540</v>
      </c>
      <c r="X464" s="424" t="s">
        <v>541</v>
      </c>
      <c r="Y464" s="424" t="s">
        <v>167</v>
      </c>
      <c r="Z464" s="424" t="s">
        <v>168</v>
      </c>
      <c r="AA464" s="424" t="s">
        <v>169</v>
      </c>
      <c r="AB464" s="424" t="s">
        <v>235</v>
      </c>
      <c r="AC464" s="424" t="s">
        <v>240</v>
      </c>
      <c r="AD464" s="423" t="s">
        <v>85</v>
      </c>
      <c r="AE464" s="424" t="s">
        <v>139</v>
      </c>
      <c r="AF464" s="424" t="s">
        <v>72</v>
      </c>
      <c r="AG464" s="424" t="s">
        <v>88</v>
      </c>
      <c r="AH464" s="424" t="s">
        <v>75</v>
      </c>
      <c r="AI464" s="424" t="s">
        <v>543</v>
      </c>
      <c r="AJ464" s="424" t="s">
        <v>78</v>
      </c>
      <c r="AK464" s="424" t="s">
        <v>76</v>
      </c>
      <c r="AL464" s="424" t="s">
        <v>544</v>
      </c>
      <c r="AM464" s="424" t="s">
        <v>545</v>
      </c>
      <c r="AN464" s="424" t="s">
        <v>86</v>
      </c>
      <c r="AO464" s="424" t="s">
        <v>83</v>
      </c>
      <c r="AP464" s="424" t="s">
        <v>84</v>
      </c>
      <c r="AQ464" s="424" t="s">
        <v>546</v>
      </c>
      <c r="AR464" s="424" t="s">
        <v>81</v>
      </c>
      <c r="AS464" s="424" t="s">
        <v>80</v>
      </c>
      <c r="AT464" s="424" t="s">
        <v>82</v>
      </c>
      <c r="AU464" s="424" t="s">
        <v>181</v>
      </c>
      <c r="AV464" s="424" t="s">
        <v>183</v>
      </c>
      <c r="AW464" s="424" t="s">
        <v>547</v>
      </c>
      <c r="AX464" s="424" t="s">
        <v>182</v>
      </c>
      <c r="AY464" s="424" t="s">
        <v>172</v>
      </c>
      <c r="AZ464" s="424" t="s">
        <v>173</v>
      </c>
      <c r="BA464" s="424" t="s">
        <v>184</v>
      </c>
      <c r="BB464" s="201"/>
    </row>
    <row r="465" spans="2:54">
      <c r="B465" s="1256" t="s">
        <v>548</v>
      </c>
      <c r="C465" s="1257"/>
      <c r="D465" s="411" t="s">
        <v>2155</v>
      </c>
      <c r="E465" s="411"/>
      <c r="F465" s="411" t="s">
        <v>2156</v>
      </c>
      <c r="G465" s="411" t="s">
        <v>1835</v>
      </c>
      <c r="H465" s="412">
        <v>2195.5729999999999</v>
      </c>
      <c r="I465" s="413" t="s">
        <v>494</v>
      </c>
      <c r="J465" s="414">
        <v>45133.8125</v>
      </c>
      <c r="K465" s="414"/>
      <c r="L465" s="414" t="s">
        <v>192</v>
      </c>
      <c r="M465" s="414" t="s">
        <v>192</v>
      </c>
      <c r="N465" s="413" t="str">
        <f t="shared" ref="N465:N474" si="41">IF(ISBLANK(J465)," ",IF(J465&lt;$F$459,"On time",(IF(DAY(J465-$F$459)&lt;1,"On time",(IF(J465&gt;$F$459,"DELAY ( "&amp;DAY(J465-$F$459)&amp;" day "&amp;HOUR(J465-$F$459)&amp;" hour "&amp;MINUTE(J465-$F$459)&amp;" minute )","xxx"))))))</f>
        <v>On time</v>
      </c>
      <c r="O465" s="51"/>
      <c r="P465" s="415" t="s">
        <v>551</v>
      </c>
      <c r="Q465" s="415" t="s">
        <v>551</v>
      </c>
      <c r="R465" s="415" t="s">
        <v>551</v>
      </c>
      <c r="S465" s="32"/>
      <c r="T465" s="416"/>
      <c r="U465" s="416"/>
      <c r="V465" s="416"/>
      <c r="W465" s="416"/>
      <c r="X465" s="416"/>
      <c r="Y465" s="416">
        <f>H465</f>
        <v>2195.5729999999999</v>
      </c>
      <c r="Z465" s="416"/>
      <c r="AA465" s="416"/>
      <c r="AB465" s="416"/>
      <c r="AC465" s="416"/>
      <c r="AD465" s="416"/>
      <c r="AE465" s="416"/>
      <c r="AF465" s="416"/>
      <c r="AG465" s="416"/>
      <c r="AH465" s="416"/>
      <c r="AI465" s="416"/>
      <c r="AJ465" s="416"/>
      <c r="AK465" s="416"/>
      <c r="AL465" s="416"/>
      <c r="AM465" s="416"/>
      <c r="AN465" s="416"/>
      <c r="AO465" s="416"/>
      <c r="AP465" s="416"/>
      <c r="AQ465" s="416"/>
      <c r="AR465" s="416"/>
      <c r="AS465" s="416"/>
      <c r="AT465" s="416"/>
      <c r="AU465" s="416"/>
      <c r="AV465" s="416"/>
      <c r="AW465" s="416"/>
      <c r="AX465" s="416"/>
      <c r="AY465" s="416"/>
      <c r="AZ465" s="416"/>
      <c r="BA465" s="416"/>
      <c r="BB465" s="32"/>
    </row>
    <row r="466" spans="2:54">
      <c r="B466" s="1256" t="s">
        <v>548</v>
      </c>
      <c r="C466" s="1257"/>
      <c r="D466" s="411" t="s">
        <v>2191</v>
      </c>
      <c r="E466" s="411"/>
      <c r="F466" s="411" t="s">
        <v>390</v>
      </c>
      <c r="G466" s="411" t="s">
        <v>391</v>
      </c>
      <c r="H466" s="412">
        <v>7426.857</v>
      </c>
      <c r="I466" s="413" t="s">
        <v>494</v>
      </c>
      <c r="J466" s="414">
        <v>45136.479166666664</v>
      </c>
      <c r="K466" s="414"/>
      <c r="L466" s="414" t="s">
        <v>192</v>
      </c>
      <c r="M466" s="414" t="s">
        <v>192</v>
      </c>
      <c r="N466" s="413" t="str">
        <f t="shared" si="41"/>
        <v>On time</v>
      </c>
      <c r="O466" s="51"/>
      <c r="P466" s="415" t="s">
        <v>551</v>
      </c>
      <c r="Q466" s="415" t="s">
        <v>551</v>
      </c>
      <c r="R466" s="415" t="s">
        <v>551</v>
      </c>
      <c r="S466" s="32"/>
      <c r="T466" s="416"/>
      <c r="U466" s="416"/>
      <c r="V466" s="416"/>
      <c r="W466" s="416"/>
      <c r="X466" s="416"/>
      <c r="Y466" s="416">
        <f>H466</f>
        <v>7426.857</v>
      </c>
      <c r="Z466" s="416"/>
      <c r="AA466" s="32"/>
      <c r="AB466" s="416"/>
      <c r="AC466" s="416"/>
      <c r="AD466" s="416"/>
      <c r="AE466" s="416"/>
      <c r="AF466" s="416"/>
      <c r="AG466" s="416"/>
      <c r="AH466" s="416"/>
      <c r="AI466" s="416"/>
      <c r="AJ466" s="416"/>
      <c r="AK466" s="416"/>
      <c r="AL466" s="416"/>
      <c r="AM466" s="416"/>
      <c r="AN466" s="416"/>
      <c r="AO466" s="416"/>
      <c r="AP466" s="416"/>
      <c r="AQ466" s="416"/>
      <c r="AR466" s="416"/>
      <c r="AS466" s="416"/>
      <c r="AT466" s="32"/>
      <c r="AU466" s="416"/>
      <c r="AV466" s="416"/>
      <c r="AW466" s="416"/>
      <c r="AX466" s="416"/>
      <c r="AY466" s="416"/>
      <c r="AZ466" s="416"/>
      <c r="BA466" s="416"/>
      <c r="BB466" s="32"/>
    </row>
    <row r="467" spans="2:54">
      <c r="B467" s="1256" t="s">
        <v>548</v>
      </c>
      <c r="C467" s="1257"/>
      <c r="D467" s="411" t="s">
        <v>2192</v>
      </c>
      <c r="E467" s="411"/>
      <c r="F467" s="411" t="s">
        <v>1848</v>
      </c>
      <c r="G467" s="411" t="s">
        <v>350</v>
      </c>
      <c r="H467" s="412">
        <v>7300.4459999999999</v>
      </c>
      <c r="I467" s="413" t="s">
        <v>494</v>
      </c>
      <c r="J467" s="414">
        <v>45136.486111111109</v>
      </c>
      <c r="K467" s="414"/>
      <c r="L467" s="414" t="s">
        <v>192</v>
      </c>
      <c r="M467" s="414" t="s">
        <v>192</v>
      </c>
      <c r="N467" s="413" t="str">
        <f t="shared" si="41"/>
        <v>On time</v>
      </c>
      <c r="O467" s="51"/>
      <c r="P467" s="415" t="s">
        <v>551</v>
      </c>
      <c r="Q467" s="415" t="s">
        <v>551</v>
      </c>
      <c r="R467" s="415" t="s">
        <v>551</v>
      </c>
      <c r="S467" s="32"/>
      <c r="T467" s="416"/>
      <c r="U467" s="416"/>
      <c r="V467" s="416"/>
      <c r="W467" s="416"/>
      <c r="X467" s="416"/>
      <c r="Y467" s="416">
        <f>H467</f>
        <v>7300.4459999999999</v>
      </c>
      <c r="Z467" s="416"/>
      <c r="AA467" s="416"/>
      <c r="AB467" s="416"/>
      <c r="AC467" s="416"/>
      <c r="AD467" s="416"/>
      <c r="AE467" s="416"/>
      <c r="AF467" s="416"/>
      <c r="AG467" s="416"/>
      <c r="AH467" s="416"/>
      <c r="AI467" s="416"/>
      <c r="AJ467" s="32"/>
      <c r="AK467" s="416"/>
      <c r="AL467" s="416"/>
      <c r="AM467" s="416"/>
      <c r="AN467" s="416"/>
      <c r="AO467" s="416"/>
      <c r="AP467" s="416"/>
      <c r="AQ467" s="416"/>
      <c r="AR467" s="416"/>
      <c r="AS467" s="416"/>
      <c r="AT467" s="416"/>
      <c r="AU467" s="416"/>
      <c r="AV467" s="416"/>
      <c r="AW467" s="416"/>
      <c r="AX467" s="416"/>
      <c r="AY467" s="286"/>
      <c r="AZ467" s="416"/>
      <c r="BA467" s="416"/>
      <c r="BB467" s="32"/>
    </row>
    <row r="468" spans="2:54">
      <c r="B468" s="1256" t="s">
        <v>548</v>
      </c>
      <c r="C468" s="1257"/>
      <c r="D468" s="411" t="s">
        <v>2193</v>
      </c>
      <c r="E468" s="411"/>
      <c r="F468" s="411" t="s">
        <v>361</v>
      </c>
      <c r="G468" s="411" t="s">
        <v>362</v>
      </c>
      <c r="H468" s="412">
        <v>7302.38</v>
      </c>
      <c r="I468" s="413" t="s">
        <v>494</v>
      </c>
      <c r="J468" s="414">
        <v>45136.493055555555</v>
      </c>
      <c r="K468" s="414"/>
      <c r="L468" s="414" t="s">
        <v>192</v>
      </c>
      <c r="M468" s="414" t="s">
        <v>192</v>
      </c>
      <c r="N468" s="413" t="str">
        <f t="shared" si="41"/>
        <v>On time</v>
      </c>
      <c r="O468" s="51"/>
      <c r="P468" s="415" t="s">
        <v>551</v>
      </c>
      <c r="Q468" s="415" t="s">
        <v>551</v>
      </c>
      <c r="R468" s="415" t="s">
        <v>551</v>
      </c>
      <c r="S468" s="32"/>
      <c r="T468" s="416"/>
      <c r="U468" s="416"/>
      <c r="V468" s="416"/>
      <c r="W468" s="416"/>
      <c r="X468" s="416"/>
      <c r="Y468" s="416">
        <f t="shared" ref="Y468:Y469" si="42">H468</f>
        <v>7302.38</v>
      </c>
      <c r="Z468" s="416"/>
      <c r="AA468" s="416"/>
      <c r="AB468" s="416"/>
      <c r="AC468" s="416"/>
      <c r="AD468" s="416"/>
      <c r="AE468" s="416"/>
      <c r="AF468" s="416"/>
      <c r="AG468" s="416"/>
      <c r="AH468" s="416"/>
      <c r="AI468" s="416"/>
      <c r="AJ468" s="416"/>
      <c r="AK468" s="416"/>
      <c r="AL468" s="416"/>
      <c r="AM468" s="416"/>
      <c r="AN468" s="416"/>
      <c r="AO468" s="416"/>
      <c r="AP468" s="416"/>
      <c r="AQ468" s="416"/>
      <c r="AR468" s="416"/>
      <c r="AS468" s="416"/>
      <c r="AT468" s="416"/>
      <c r="AU468" s="416"/>
      <c r="AV468" s="416"/>
      <c r="AW468" s="416"/>
      <c r="AX468" s="416"/>
      <c r="AY468" s="416"/>
      <c r="AZ468" s="416"/>
      <c r="BA468" s="416"/>
      <c r="BB468" s="32"/>
    </row>
    <row r="469" spans="2:54">
      <c r="B469" s="1294" t="s">
        <v>548</v>
      </c>
      <c r="C469" s="1295"/>
      <c r="D469" s="436" t="s">
        <v>2194</v>
      </c>
      <c r="E469" s="436"/>
      <c r="F469" s="436" t="s">
        <v>330</v>
      </c>
      <c r="G469" s="436" t="s">
        <v>331</v>
      </c>
      <c r="H469" s="437">
        <v>7434.674</v>
      </c>
      <c r="I469" s="438" t="s">
        <v>494</v>
      </c>
      <c r="J469" s="439">
        <v>45136.583333333336</v>
      </c>
      <c r="K469" s="439"/>
      <c r="L469" s="414" t="s">
        <v>192</v>
      </c>
      <c r="M469" s="414" t="s">
        <v>192</v>
      </c>
      <c r="N469" s="438" t="str">
        <f t="shared" si="41"/>
        <v>On time</v>
      </c>
      <c r="O469" s="308"/>
      <c r="P469" s="440" t="s">
        <v>551</v>
      </c>
      <c r="Q469" s="440" t="s">
        <v>551</v>
      </c>
      <c r="R469" s="440" t="s">
        <v>551</v>
      </c>
      <c r="S469" s="201"/>
      <c r="T469" s="441"/>
      <c r="U469" s="441"/>
      <c r="V469" s="441"/>
      <c r="W469" s="441"/>
      <c r="X469" s="441"/>
      <c r="Y469" s="441">
        <f t="shared" si="42"/>
        <v>7434.674</v>
      </c>
      <c r="Z469" s="441"/>
      <c r="AA469" s="441"/>
      <c r="AB469" s="441"/>
      <c r="AC469" s="441"/>
      <c r="AD469" s="441"/>
      <c r="AE469" s="441"/>
      <c r="AF469" s="441"/>
      <c r="AG469" s="441"/>
      <c r="AH469" s="441"/>
      <c r="AI469" s="441"/>
      <c r="AJ469" s="201"/>
      <c r="AK469" s="441"/>
      <c r="AL469" s="441"/>
      <c r="AM469" s="441"/>
      <c r="AN469" s="441"/>
      <c r="AO469" s="441"/>
      <c r="AP469" s="441"/>
      <c r="AQ469" s="441"/>
      <c r="AR469" s="441"/>
      <c r="AS469" s="441"/>
      <c r="AT469" s="441"/>
      <c r="AU469" s="441"/>
      <c r="AV469" s="441"/>
      <c r="AW469" s="441"/>
      <c r="AX469" s="441"/>
      <c r="AY469" s="310"/>
      <c r="AZ469" s="441"/>
      <c r="BA469" s="441"/>
      <c r="BB469" s="201"/>
    </row>
    <row r="470" spans="2:54">
      <c r="B470" s="1294" t="s">
        <v>548</v>
      </c>
      <c r="C470" s="1295"/>
      <c r="D470" s="436" t="s">
        <v>2195</v>
      </c>
      <c r="E470" s="436"/>
      <c r="F470" s="436" t="s">
        <v>695</v>
      </c>
      <c r="G470" s="436" t="s">
        <v>281</v>
      </c>
      <c r="H470" s="437">
        <v>7324.2479999999996</v>
      </c>
      <c r="I470" s="438" t="s">
        <v>494</v>
      </c>
      <c r="J470" s="439">
        <v>45136.666666666664</v>
      </c>
      <c r="K470" s="439"/>
      <c r="L470" s="414" t="s">
        <v>192</v>
      </c>
      <c r="M470" s="414" t="s">
        <v>192</v>
      </c>
      <c r="N470" s="438" t="str">
        <f t="shared" si="41"/>
        <v>On time</v>
      </c>
      <c r="O470" s="308"/>
      <c r="P470" s="440" t="s">
        <v>551</v>
      </c>
      <c r="Q470" s="440" t="s">
        <v>551</v>
      </c>
      <c r="R470" s="440" t="s">
        <v>551</v>
      </c>
      <c r="S470" s="201"/>
      <c r="T470" s="441"/>
      <c r="U470" s="441"/>
      <c r="V470" s="441"/>
      <c r="W470" s="441"/>
      <c r="X470" s="441"/>
      <c r="Y470" s="441">
        <f>H470</f>
        <v>7324.2479999999996</v>
      </c>
      <c r="Z470" s="441"/>
      <c r="AA470" s="441"/>
      <c r="AB470" s="441"/>
      <c r="AC470" s="441"/>
      <c r="AD470" s="441"/>
      <c r="AE470" s="441"/>
      <c r="AF470" s="441"/>
      <c r="AG470" s="441"/>
      <c r="AH470" s="441"/>
      <c r="AI470" s="441"/>
      <c r="AJ470" s="441"/>
      <c r="AK470" s="441"/>
      <c r="AL470" s="441"/>
      <c r="AM470" s="441"/>
      <c r="AN470" s="441"/>
      <c r="AO470" s="441"/>
      <c r="AP470" s="441"/>
      <c r="AQ470" s="441"/>
      <c r="AR470" s="441"/>
      <c r="AS470" s="441"/>
      <c r="AT470" s="441"/>
      <c r="AU470" s="441"/>
      <c r="AV470" s="441"/>
      <c r="AW470" s="441"/>
      <c r="AX470" s="441"/>
      <c r="AY470" s="441"/>
      <c r="AZ470" s="441"/>
      <c r="BA470" s="441"/>
      <c r="BB470" s="201"/>
    </row>
    <row r="471" spans="2:54">
      <c r="B471" s="1294" t="s">
        <v>548</v>
      </c>
      <c r="C471" s="1295"/>
      <c r="D471" s="436" t="s">
        <v>2196</v>
      </c>
      <c r="E471" s="436"/>
      <c r="F471" s="436" t="s">
        <v>222</v>
      </c>
      <c r="G471" s="436" t="s">
        <v>223</v>
      </c>
      <c r="H471" s="437">
        <v>7585.8950000000004</v>
      </c>
      <c r="I471" s="438" t="s">
        <v>494</v>
      </c>
      <c r="J471" s="439">
        <v>45137.791666666664</v>
      </c>
      <c r="K471" s="439"/>
      <c r="L471" s="414" t="s">
        <v>192</v>
      </c>
      <c r="M471" s="414" t="s">
        <v>192</v>
      </c>
      <c r="N471" s="438" t="str">
        <f t="shared" si="41"/>
        <v>DELAY ( 2 day 0 hour 24 minute )</v>
      </c>
      <c r="O471" s="308"/>
      <c r="P471" s="440" t="s">
        <v>551</v>
      </c>
      <c r="Q471" s="440" t="s">
        <v>551</v>
      </c>
      <c r="R471" s="440" t="s">
        <v>551</v>
      </c>
      <c r="S471" s="201"/>
      <c r="T471" s="441"/>
      <c r="U471" s="441"/>
      <c r="V471" s="441"/>
      <c r="W471" s="441"/>
      <c r="X471" s="441"/>
      <c r="Y471" s="441">
        <f t="shared" ref="Y471" si="43">H471</f>
        <v>7585.8950000000004</v>
      </c>
      <c r="Z471" s="441"/>
      <c r="AA471" s="441"/>
      <c r="AB471" s="441"/>
      <c r="AC471" s="441"/>
      <c r="AD471" s="441"/>
      <c r="AE471" s="441"/>
      <c r="AF471" s="441"/>
      <c r="AG471" s="441"/>
      <c r="AH471" s="441"/>
      <c r="AI471" s="441"/>
      <c r="AJ471" s="441"/>
      <c r="AK471" s="441"/>
      <c r="AL471" s="441"/>
      <c r="AM471" s="441"/>
      <c r="AN471" s="441"/>
      <c r="AO471" s="441"/>
      <c r="AP471" s="441"/>
      <c r="AQ471" s="441"/>
      <c r="AR471" s="441"/>
      <c r="AS471" s="441"/>
      <c r="AT471" s="441"/>
      <c r="AU471" s="441"/>
      <c r="AV471" s="441"/>
      <c r="AW471" s="441"/>
      <c r="AX471" s="441"/>
      <c r="AY471" s="441"/>
      <c r="AZ471" s="441"/>
      <c r="BA471" s="441"/>
      <c r="BB471" s="201"/>
    </row>
    <row r="472" spans="2:54">
      <c r="B472" s="1256" t="s">
        <v>548</v>
      </c>
      <c r="C472" s="1257"/>
      <c r="D472" s="411" t="s">
        <v>2197</v>
      </c>
      <c r="E472" s="411"/>
      <c r="F472" s="411" t="s">
        <v>1313</v>
      </c>
      <c r="G472" s="411" t="s">
        <v>438</v>
      </c>
      <c r="H472" s="412">
        <f>7596.383-1666.456</f>
        <v>5929.9269999999997</v>
      </c>
      <c r="I472" s="413" t="s">
        <v>494</v>
      </c>
      <c r="J472" s="414">
        <v>45138</v>
      </c>
      <c r="K472" s="414"/>
      <c r="L472" s="414" t="s">
        <v>192</v>
      </c>
      <c r="M472" s="414" t="s">
        <v>192</v>
      </c>
      <c r="N472" s="413" t="str">
        <f t="shared" si="41"/>
        <v>DELAY ( 2 day 5 hour 24 minute )</v>
      </c>
      <c r="O472" s="51"/>
      <c r="P472" s="415" t="s">
        <v>551</v>
      </c>
      <c r="Q472" s="415" t="s">
        <v>551</v>
      </c>
      <c r="R472" s="415" t="s">
        <v>551</v>
      </c>
      <c r="S472" s="32"/>
      <c r="T472" s="416"/>
      <c r="U472" s="416"/>
      <c r="V472" s="416"/>
      <c r="W472" s="416"/>
      <c r="X472" s="416"/>
      <c r="Y472" s="416">
        <f>H472</f>
        <v>5929.9269999999997</v>
      </c>
      <c r="Z472" s="416"/>
      <c r="AA472" s="416"/>
      <c r="AB472" s="416"/>
      <c r="AC472" s="416"/>
      <c r="AD472" s="416"/>
      <c r="AE472" s="416"/>
      <c r="AF472" s="416"/>
      <c r="AG472" s="416"/>
      <c r="AH472" s="416"/>
      <c r="AI472" s="416"/>
      <c r="AJ472" s="416"/>
      <c r="AK472" s="416"/>
      <c r="AL472" s="416"/>
      <c r="AM472" s="416"/>
      <c r="AN472" s="416"/>
      <c r="AO472" s="416"/>
      <c r="AP472" s="416"/>
      <c r="AQ472" s="416"/>
      <c r="AR472" s="416"/>
      <c r="AS472" s="416"/>
      <c r="AT472" s="416"/>
      <c r="AU472" s="416"/>
      <c r="AV472" s="416"/>
      <c r="AW472" s="416"/>
      <c r="AX472" s="416"/>
      <c r="AY472" s="416"/>
      <c r="AZ472" s="416"/>
      <c r="BA472" s="416"/>
      <c r="BB472" s="32"/>
    </row>
    <row r="473" spans="2:54">
      <c r="B473" s="1258" t="s">
        <v>556</v>
      </c>
      <c r="C473" s="1259"/>
      <c r="D473" s="1259"/>
      <c r="E473" s="1259"/>
      <c r="F473" s="1259"/>
      <c r="G473" s="1260"/>
      <c r="H473" s="417">
        <f>SUM(H465:H472)</f>
        <v>52500</v>
      </c>
      <c r="I473" s="388"/>
      <c r="J473" s="293"/>
      <c r="K473" s="293"/>
      <c r="L473" s="293"/>
      <c r="M473" s="389"/>
      <c r="N473" s="413" t="str">
        <f t="shared" si="41"/>
        <v xml:space="preserve"> </v>
      </c>
      <c r="O473" s="212"/>
      <c r="P473" s="418"/>
      <c r="Q473" s="418"/>
      <c r="R473" s="418"/>
      <c r="S473" s="207"/>
      <c r="T473" s="1300"/>
      <c r="U473" s="1301"/>
      <c r="V473" s="1301"/>
      <c r="W473" s="1301"/>
      <c r="X473" s="1301"/>
      <c r="Y473" s="1301"/>
      <c r="Z473" s="1301"/>
      <c r="AA473" s="1301"/>
      <c r="AB473" s="1301"/>
      <c r="AC473" s="1301"/>
      <c r="AD473" s="1301"/>
      <c r="AE473" s="1301"/>
      <c r="AF473" s="1301"/>
      <c r="AG473" s="1301"/>
      <c r="AH473" s="1301"/>
      <c r="AI473" s="1301"/>
      <c r="AJ473" s="1301"/>
      <c r="AK473" s="1301"/>
      <c r="AL473" s="1301"/>
      <c r="AM473" s="1301"/>
      <c r="AN473" s="1301"/>
      <c r="AO473" s="1301"/>
      <c r="AP473" s="1301"/>
      <c r="AQ473" s="1301"/>
      <c r="AR473" s="1301"/>
      <c r="AS473" s="1301"/>
      <c r="AT473" s="1301"/>
      <c r="AU473" s="1301"/>
      <c r="AV473" s="1301"/>
      <c r="AW473" s="1301"/>
      <c r="AX473" s="1301"/>
      <c r="AY473" s="1301"/>
      <c r="AZ473" s="1301"/>
      <c r="BA473" s="1301"/>
    </row>
    <row r="474" spans="2:54">
      <c r="B474" s="1243" t="s">
        <v>557</v>
      </c>
      <c r="C474" s="1244"/>
      <c r="D474" s="1244"/>
      <c r="E474" s="1244"/>
      <c r="F474" s="1244"/>
      <c r="G474" s="1245"/>
      <c r="H474" s="419">
        <v>52500</v>
      </c>
      <c r="I474" s="1273"/>
      <c r="J474" s="1274"/>
      <c r="K474" s="1274"/>
      <c r="L474" s="1274"/>
      <c r="M474" s="1275"/>
      <c r="N474" s="413" t="str">
        <f t="shared" si="41"/>
        <v xml:space="preserve"> </v>
      </c>
      <c r="O474" s="32"/>
      <c r="P474" s="415"/>
      <c r="Q474" s="415"/>
      <c r="R474" s="415"/>
      <c r="S474" s="63"/>
      <c r="T474" s="416">
        <f t="shared" ref="T474:BA474" si="44">SUM(T465:T472)</f>
        <v>0</v>
      </c>
      <c r="U474" s="416">
        <f t="shared" si="44"/>
        <v>0</v>
      </c>
      <c r="V474" s="416">
        <f t="shared" si="44"/>
        <v>0</v>
      </c>
      <c r="W474" s="416">
        <f t="shared" si="44"/>
        <v>0</v>
      </c>
      <c r="X474" s="416">
        <f t="shared" si="44"/>
        <v>0</v>
      </c>
      <c r="Y474" s="416">
        <f t="shared" si="44"/>
        <v>52500</v>
      </c>
      <c r="Z474" s="416">
        <f t="shared" si="44"/>
        <v>0</v>
      </c>
      <c r="AA474" s="416">
        <f t="shared" si="44"/>
        <v>0</v>
      </c>
      <c r="AB474" s="416">
        <f t="shared" si="44"/>
        <v>0</v>
      </c>
      <c r="AC474" s="416">
        <f t="shared" si="44"/>
        <v>0</v>
      </c>
      <c r="AD474" s="416">
        <f t="shared" si="44"/>
        <v>0</v>
      </c>
      <c r="AE474" s="416">
        <f t="shared" si="44"/>
        <v>0</v>
      </c>
      <c r="AF474" s="416">
        <f t="shared" si="44"/>
        <v>0</v>
      </c>
      <c r="AG474" s="416">
        <f t="shared" si="44"/>
        <v>0</v>
      </c>
      <c r="AH474" s="416">
        <f t="shared" si="44"/>
        <v>0</v>
      </c>
      <c r="AI474" s="416">
        <f t="shared" si="44"/>
        <v>0</v>
      </c>
      <c r="AJ474" s="416">
        <f t="shared" si="44"/>
        <v>0</v>
      </c>
      <c r="AK474" s="416">
        <f t="shared" si="44"/>
        <v>0</v>
      </c>
      <c r="AL474" s="416">
        <f t="shared" si="44"/>
        <v>0</v>
      </c>
      <c r="AM474" s="416">
        <f t="shared" si="44"/>
        <v>0</v>
      </c>
      <c r="AN474" s="416">
        <f t="shared" si="44"/>
        <v>0</v>
      </c>
      <c r="AO474" s="416">
        <f t="shared" si="44"/>
        <v>0</v>
      </c>
      <c r="AP474" s="416">
        <f t="shared" si="44"/>
        <v>0</v>
      </c>
      <c r="AQ474" s="416">
        <f t="shared" si="44"/>
        <v>0</v>
      </c>
      <c r="AR474" s="416">
        <f t="shared" si="44"/>
        <v>0</v>
      </c>
      <c r="AS474" s="416">
        <f t="shared" si="44"/>
        <v>0</v>
      </c>
      <c r="AT474" s="416">
        <f t="shared" si="44"/>
        <v>0</v>
      </c>
      <c r="AU474" s="416">
        <f t="shared" si="44"/>
        <v>0</v>
      </c>
      <c r="AV474" s="416">
        <f t="shared" si="44"/>
        <v>0</v>
      </c>
      <c r="AW474" s="416">
        <f t="shared" si="44"/>
        <v>0</v>
      </c>
      <c r="AX474" s="416">
        <f t="shared" si="44"/>
        <v>0</v>
      </c>
      <c r="AY474" s="416">
        <f t="shared" si="44"/>
        <v>0</v>
      </c>
      <c r="AZ474" s="416">
        <f t="shared" si="44"/>
        <v>0</v>
      </c>
      <c r="BA474" s="416">
        <f t="shared" si="44"/>
        <v>0</v>
      </c>
      <c r="BB474" s="416">
        <f>SUM(T474:BA474)</f>
        <v>52500</v>
      </c>
    </row>
    <row r="475" spans="2:54">
      <c r="B475" s="1243" t="s">
        <v>558</v>
      </c>
      <c r="C475" s="1244"/>
      <c r="D475" s="1244"/>
      <c r="E475" s="1244"/>
      <c r="F475" s="1244"/>
      <c r="G475" s="1245"/>
      <c r="H475" s="420">
        <f>H474-L459</f>
        <v>0</v>
      </c>
      <c r="I475" s="294"/>
      <c r="J475" s="295"/>
      <c r="K475" s="295"/>
      <c r="L475" s="296"/>
      <c r="M475" s="32"/>
      <c r="N475" s="32"/>
      <c r="O475" s="32"/>
      <c r="P475" s="32"/>
      <c r="Q475" s="297"/>
      <c r="R475" s="297"/>
      <c r="S475" s="32"/>
      <c r="T475" s="48"/>
      <c r="U475" s="48"/>
      <c r="V475" s="48"/>
      <c r="W475" s="48"/>
      <c r="X475" s="48"/>
      <c r="Y475" s="48"/>
      <c r="Z475" s="48"/>
      <c r="AA475" s="48"/>
      <c r="AB475" s="48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</row>
    <row r="476" spans="2:54">
      <c r="B476" s="1243" t="s">
        <v>559</v>
      </c>
      <c r="C476" s="1244"/>
      <c r="D476" s="1244"/>
      <c r="E476" s="1244"/>
      <c r="F476" s="1244"/>
      <c r="G476" s="1245"/>
      <c r="H476" s="446">
        <v>602.125</v>
      </c>
      <c r="I476" s="52"/>
      <c r="J476" s="53"/>
      <c r="K476" s="53"/>
      <c r="L476" s="338"/>
      <c r="M476" s="32"/>
      <c r="N476" s="201"/>
      <c r="O476" s="32"/>
      <c r="P476" s="32"/>
      <c r="Q476" s="32"/>
      <c r="R476" s="32"/>
      <c r="S476" s="32"/>
      <c r="T476" s="48"/>
      <c r="U476" s="48"/>
      <c r="V476" s="48"/>
      <c r="W476" s="48"/>
      <c r="X476" s="48"/>
      <c r="Y476" s="48"/>
      <c r="Z476" s="48"/>
      <c r="AA476" s="48"/>
      <c r="AB476" s="48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</row>
    <row r="477" spans="2:54">
      <c r="B477" s="1243" t="s">
        <v>560</v>
      </c>
      <c r="C477" s="1244"/>
      <c r="D477" s="1244"/>
      <c r="E477" s="1244"/>
      <c r="F477" s="1244"/>
      <c r="G477" s="1245"/>
      <c r="H477" s="421">
        <f>H476-1666.456</f>
        <v>-1064.3309999999999</v>
      </c>
      <c r="I477" s="52"/>
      <c r="J477" s="53"/>
      <c r="K477" s="53"/>
      <c r="L477" s="54"/>
      <c r="M477" s="32"/>
      <c r="N477" s="32"/>
      <c r="O477" s="32"/>
      <c r="P477" s="32"/>
      <c r="Q477" s="32"/>
      <c r="R477" s="32"/>
      <c r="S477" s="48"/>
      <c r="T477" s="48"/>
      <c r="U477" s="48"/>
      <c r="V477" s="48"/>
      <c r="W477" s="48"/>
      <c r="X477" s="48"/>
      <c r="Y477" s="48"/>
      <c r="Z477" s="48"/>
      <c r="AA477" s="48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</row>
    <row r="478" spans="2:54">
      <c r="B478" s="40" t="s">
        <v>561</v>
      </c>
      <c r="C478" s="40"/>
      <c r="D478" s="32"/>
      <c r="E478" s="32"/>
      <c r="F478" s="32"/>
      <c r="G478" s="32"/>
      <c r="H478" s="32"/>
      <c r="I478" s="32"/>
      <c r="J478" s="52"/>
      <c r="K478" s="52"/>
      <c r="L478" s="55"/>
      <c r="M478" s="32"/>
      <c r="N478" s="201"/>
      <c r="O478" s="5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  <c r="AA478" s="202"/>
      <c r="AB478" s="201"/>
      <c r="AC478" s="201"/>
      <c r="AD478" s="201"/>
      <c r="AE478" s="201"/>
      <c r="AF478" s="201"/>
      <c r="AG478" s="201"/>
      <c r="AH478" s="201"/>
      <c r="AI478" s="201"/>
      <c r="AJ478" s="201"/>
      <c r="AK478" s="201"/>
      <c r="AL478" s="201"/>
      <c r="AM478" s="201"/>
      <c r="AN478" s="201"/>
      <c r="AO478" s="201"/>
      <c r="AP478" s="201"/>
      <c r="AQ478" s="201"/>
      <c r="AR478" s="201"/>
      <c r="AS478" s="201"/>
      <c r="AT478" s="201"/>
      <c r="AU478" s="201"/>
      <c r="BB478" s="201"/>
    </row>
    <row r="479" spans="2:54">
      <c r="B479" s="422">
        <v>1</v>
      </c>
      <c r="C479" s="1249" t="s">
        <v>2198</v>
      </c>
      <c r="D479" s="1249"/>
      <c r="E479" s="1249"/>
      <c r="F479" s="1249"/>
      <c r="G479" s="1249"/>
      <c r="H479" s="1249"/>
      <c r="I479" s="1249"/>
      <c r="J479" s="1249"/>
      <c r="K479" s="1249"/>
      <c r="L479" s="203"/>
      <c r="M479" s="203"/>
      <c r="N479" s="201"/>
      <c r="O479" s="209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  <c r="AA479" s="202"/>
      <c r="AB479" s="201"/>
      <c r="AC479" s="201"/>
      <c r="AD479" s="201"/>
      <c r="AE479" s="201"/>
      <c r="AF479" s="201"/>
      <c r="AG479" s="201"/>
      <c r="AH479" s="201"/>
      <c r="AI479" s="201"/>
      <c r="AJ479" s="201"/>
      <c r="AK479" s="201"/>
      <c r="AL479" s="201"/>
      <c r="AM479" s="201"/>
      <c r="AN479" s="201"/>
      <c r="AO479" s="201"/>
      <c r="AP479" s="201"/>
      <c r="AQ479" s="201"/>
      <c r="AR479" s="201"/>
      <c r="AS479" s="201"/>
      <c r="AT479" s="201"/>
      <c r="AU479" s="201"/>
      <c r="AV479" s="201"/>
      <c r="AW479" s="201"/>
      <c r="AX479" s="201"/>
      <c r="AY479" s="201"/>
      <c r="AZ479" s="201"/>
      <c r="BA479" s="201"/>
      <c r="BB479" s="201"/>
    </row>
  </sheetData>
  <mergeCells count="401">
    <mergeCell ref="B256:G256"/>
    <mergeCell ref="C260:K260"/>
    <mergeCell ref="B257:G257"/>
    <mergeCell ref="B249:C250"/>
    <mergeCell ref="B251:C252"/>
    <mergeCell ref="B253:G253"/>
    <mergeCell ref="T253:BA253"/>
    <mergeCell ref="B254:G254"/>
    <mergeCell ref="I254:M254"/>
    <mergeCell ref="B255:G255"/>
    <mergeCell ref="T240:X240"/>
    <mergeCell ref="Y240:AA240"/>
    <mergeCell ref="AB240:AC240"/>
    <mergeCell ref="AF240:BA240"/>
    <mergeCell ref="B241:C241"/>
    <mergeCell ref="B242:C242"/>
    <mergeCell ref="B243:C244"/>
    <mergeCell ref="B245:C246"/>
    <mergeCell ref="B247:C248"/>
    <mergeCell ref="B170:G170"/>
    <mergeCell ref="C174:K174"/>
    <mergeCell ref="B171:G171"/>
    <mergeCell ref="B164:C165"/>
    <mergeCell ref="F165:G165"/>
    <mergeCell ref="B166:G166"/>
    <mergeCell ref="T166:BA166"/>
    <mergeCell ref="B167:G167"/>
    <mergeCell ref="T167:BA167"/>
    <mergeCell ref="B168:G168"/>
    <mergeCell ref="I168:M168"/>
    <mergeCell ref="B169:G169"/>
    <mergeCell ref="B155:C157"/>
    <mergeCell ref="F156:G156"/>
    <mergeCell ref="F157:G157"/>
    <mergeCell ref="B158:C160"/>
    <mergeCell ref="F159:G159"/>
    <mergeCell ref="F160:G160"/>
    <mergeCell ref="B161:C163"/>
    <mergeCell ref="F162:G162"/>
    <mergeCell ref="F163:G163"/>
    <mergeCell ref="T148:X148"/>
    <mergeCell ref="Y148:AA148"/>
    <mergeCell ref="AB148:AC148"/>
    <mergeCell ref="AF148:BA148"/>
    <mergeCell ref="B149:C149"/>
    <mergeCell ref="B150:C150"/>
    <mergeCell ref="B151:C151"/>
    <mergeCell ref="B152:G152"/>
    <mergeCell ref="B153:C154"/>
    <mergeCell ref="F154:G154"/>
    <mergeCell ref="B23:G23"/>
    <mergeCell ref="B40:C40"/>
    <mergeCell ref="B41:C41"/>
    <mergeCell ref="B42:C42"/>
    <mergeCell ref="B43:G43"/>
    <mergeCell ref="B44:C45"/>
    <mergeCell ref="F45:G45"/>
    <mergeCell ref="B46:C46"/>
    <mergeCell ref="B47:C48"/>
    <mergeCell ref="F48:G48"/>
    <mergeCell ref="AB38:AC38"/>
    <mergeCell ref="AF38:BA38"/>
    <mergeCell ref="B39:C39"/>
    <mergeCell ref="B11:C11"/>
    <mergeCell ref="T8:X8"/>
    <mergeCell ref="Y8:AA8"/>
    <mergeCell ref="AB8:AC8"/>
    <mergeCell ref="AF8:BA8"/>
    <mergeCell ref="B9:C9"/>
    <mergeCell ref="B10:C10"/>
    <mergeCell ref="T23:BA23"/>
    <mergeCell ref="B24:G24"/>
    <mergeCell ref="I24:M24"/>
    <mergeCell ref="B25:G25"/>
    <mergeCell ref="B12:C13"/>
    <mergeCell ref="B14:C15"/>
    <mergeCell ref="B16:C17"/>
    <mergeCell ref="B18:C19"/>
    <mergeCell ref="B20:C20"/>
    <mergeCell ref="B21:C21"/>
    <mergeCell ref="B26:G26"/>
    <mergeCell ref="C30:K30"/>
    <mergeCell ref="B27:G27"/>
    <mergeCell ref="B22:C22"/>
    <mergeCell ref="F53:G53"/>
    <mergeCell ref="F54:G54"/>
    <mergeCell ref="B55:C56"/>
    <mergeCell ref="F56:G56"/>
    <mergeCell ref="B57:C59"/>
    <mergeCell ref="F58:G58"/>
    <mergeCell ref="F59:G59"/>
    <mergeCell ref="T38:X38"/>
    <mergeCell ref="Y38:AA38"/>
    <mergeCell ref="B49:C51"/>
    <mergeCell ref="F50:G50"/>
    <mergeCell ref="F51:G51"/>
    <mergeCell ref="B52:C54"/>
    <mergeCell ref="T64:BA64"/>
    <mergeCell ref="B65:G65"/>
    <mergeCell ref="T65:BA65"/>
    <mergeCell ref="B66:G66"/>
    <mergeCell ref="I66:M66"/>
    <mergeCell ref="B60:C62"/>
    <mergeCell ref="F61:G61"/>
    <mergeCell ref="F62:G62"/>
    <mergeCell ref="B63:C63"/>
    <mergeCell ref="B64:G64"/>
    <mergeCell ref="B67:G67"/>
    <mergeCell ref="B68:G68"/>
    <mergeCell ref="C72:K72"/>
    <mergeCell ref="B69:G69"/>
    <mergeCell ref="T97:X97"/>
    <mergeCell ref="B81:C81"/>
    <mergeCell ref="B86:G86"/>
    <mergeCell ref="I86:M86"/>
    <mergeCell ref="C89:K89"/>
    <mergeCell ref="T85:BA85"/>
    <mergeCell ref="T80:X80"/>
    <mergeCell ref="Y80:AA80"/>
    <mergeCell ref="AB80:AC80"/>
    <mergeCell ref="AF80:BA80"/>
    <mergeCell ref="B82:C82"/>
    <mergeCell ref="B83:C83"/>
    <mergeCell ref="B84:C84"/>
    <mergeCell ref="B85:G85"/>
    <mergeCell ref="B100:C100"/>
    <mergeCell ref="B101:C101"/>
    <mergeCell ref="B102:C102"/>
    <mergeCell ref="B103:C103"/>
    <mergeCell ref="B104:C104"/>
    <mergeCell ref="Y97:AA97"/>
    <mergeCell ref="AB97:AC97"/>
    <mergeCell ref="AF97:BA97"/>
    <mergeCell ref="B98:C98"/>
    <mergeCell ref="B99:C99"/>
    <mergeCell ref="B108:G108"/>
    <mergeCell ref="B109:G109"/>
    <mergeCell ref="C113:K113"/>
    <mergeCell ref="B110:G110"/>
    <mergeCell ref="B105:C105"/>
    <mergeCell ref="B106:G106"/>
    <mergeCell ref="T106:BA106"/>
    <mergeCell ref="B107:G107"/>
    <mergeCell ref="I107:M107"/>
    <mergeCell ref="B123:C123"/>
    <mergeCell ref="B124:C124"/>
    <mergeCell ref="B125:C125"/>
    <mergeCell ref="B126:C126"/>
    <mergeCell ref="B127:C127"/>
    <mergeCell ref="T121:X121"/>
    <mergeCell ref="Y121:AA121"/>
    <mergeCell ref="AB121:AC121"/>
    <mergeCell ref="AF121:BC121"/>
    <mergeCell ref="B122:C122"/>
    <mergeCell ref="B136:G136"/>
    <mergeCell ref="B137:G137"/>
    <mergeCell ref="C140:K140"/>
    <mergeCell ref="B133:G133"/>
    <mergeCell ref="B134:G134"/>
    <mergeCell ref="T134:BC134"/>
    <mergeCell ref="B135:G135"/>
    <mergeCell ref="I135:M135"/>
    <mergeCell ref="B128:C128"/>
    <mergeCell ref="B129:C129"/>
    <mergeCell ref="B130:C130"/>
    <mergeCell ref="B131:C131"/>
    <mergeCell ref="B132:C132"/>
    <mergeCell ref="T182:X182"/>
    <mergeCell ref="Y182:AA182"/>
    <mergeCell ref="AB182:AC182"/>
    <mergeCell ref="AF182:BA182"/>
    <mergeCell ref="B183:C183"/>
    <mergeCell ref="B184:C184"/>
    <mergeCell ref="B185:C185"/>
    <mergeCell ref="B186:G186"/>
    <mergeCell ref="B187:C189"/>
    <mergeCell ref="F188:G188"/>
    <mergeCell ref="F189:G189"/>
    <mergeCell ref="B190:C191"/>
    <mergeCell ref="F191:G191"/>
    <mergeCell ref="B192:C194"/>
    <mergeCell ref="F193:G193"/>
    <mergeCell ref="F194:G194"/>
    <mergeCell ref="B195:C197"/>
    <mergeCell ref="F196:G196"/>
    <mergeCell ref="F197:G197"/>
    <mergeCell ref="B198:C200"/>
    <mergeCell ref="F199:G199"/>
    <mergeCell ref="F200:G200"/>
    <mergeCell ref="B201:C202"/>
    <mergeCell ref="F202:G202"/>
    <mergeCell ref="B203:G203"/>
    <mergeCell ref="T203:BA203"/>
    <mergeCell ref="B204:G204"/>
    <mergeCell ref="T204:BA204"/>
    <mergeCell ref="B205:G205"/>
    <mergeCell ref="I205:M205"/>
    <mergeCell ref="B206:G206"/>
    <mergeCell ref="B207:G207"/>
    <mergeCell ref="C211:K211"/>
    <mergeCell ref="B208:G208"/>
    <mergeCell ref="T219:X219"/>
    <mergeCell ref="Y219:AA219"/>
    <mergeCell ref="AB219:AC219"/>
    <mergeCell ref="AF219:BC219"/>
    <mergeCell ref="B220:C220"/>
    <mergeCell ref="B221:C221"/>
    <mergeCell ref="B229:G229"/>
    <mergeCell ref="C232:K232"/>
    <mergeCell ref="B222:C222"/>
    <mergeCell ref="B223:C223"/>
    <mergeCell ref="B224:C224"/>
    <mergeCell ref="B225:G225"/>
    <mergeCell ref="B226:G226"/>
    <mergeCell ref="T226:BC226"/>
    <mergeCell ref="B227:G227"/>
    <mergeCell ref="I227:M227"/>
    <mergeCell ref="B228:G228"/>
    <mergeCell ref="T268:X268"/>
    <mergeCell ref="Y268:AA268"/>
    <mergeCell ref="AB268:AC268"/>
    <mergeCell ref="AF268:BA268"/>
    <mergeCell ref="B269:C269"/>
    <mergeCell ref="B270:C270"/>
    <mergeCell ref="B271:C272"/>
    <mergeCell ref="B273:C274"/>
    <mergeCell ref="B275:C276"/>
    <mergeCell ref="B277:C278"/>
    <mergeCell ref="B279:C280"/>
    <mergeCell ref="B281:C282"/>
    <mergeCell ref="B283:C284"/>
    <mergeCell ref="B285:C286"/>
    <mergeCell ref="B287:C288"/>
    <mergeCell ref="B289:C289"/>
    <mergeCell ref="B290:G290"/>
    <mergeCell ref="T290:BA290"/>
    <mergeCell ref="B291:G291"/>
    <mergeCell ref="I291:M291"/>
    <mergeCell ref="B292:G292"/>
    <mergeCell ref="B293:G293"/>
    <mergeCell ref="C297:K297"/>
    <mergeCell ref="B294:G294"/>
    <mergeCell ref="T305:X305"/>
    <mergeCell ref="Y305:AA305"/>
    <mergeCell ref="AB305:AC305"/>
    <mergeCell ref="AF305:BA305"/>
    <mergeCell ref="B306:C306"/>
    <mergeCell ref="B307:C308"/>
    <mergeCell ref="B309:C309"/>
    <mergeCell ref="B310:C311"/>
    <mergeCell ref="B312:C313"/>
    <mergeCell ref="I313:I314"/>
    <mergeCell ref="J313:J314"/>
    <mergeCell ref="B314:C315"/>
    <mergeCell ref="B324:G324"/>
    <mergeCell ref="C328:K328"/>
    <mergeCell ref="B325:G325"/>
    <mergeCell ref="B316:C317"/>
    <mergeCell ref="J317:J318"/>
    <mergeCell ref="B318:C319"/>
    <mergeCell ref="B320:C320"/>
    <mergeCell ref="B321:G321"/>
    <mergeCell ref="T321:BA321"/>
    <mergeCell ref="B322:G322"/>
    <mergeCell ref="I322:M322"/>
    <mergeCell ref="B323:G323"/>
    <mergeCell ref="T347:BC347"/>
    <mergeCell ref="B348:G348"/>
    <mergeCell ref="I348:M348"/>
    <mergeCell ref="T336:X336"/>
    <mergeCell ref="Y336:AA336"/>
    <mergeCell ref="AB336:AC336"/>
    <mergeCell ref="AF336:BC336"/>
    <mergeCell ref="B337:C337"/>
    <mergeCell ref="B338:C338"/>
    <mergeCell ref="B339:C339"/>
    <mergeCell ref="B340:C340"/>
    <mergeCell ref="B341:C341"/>
    <mergeCell ref="B349:G349"/>
    <mergeCell ref="B350:G350"/>
    <mergeCell ref="C353:K353"/>
    <mergeCell ref="B342:C342"/>
    <mergeCell ref="B343:C343"/>
    <mergeCell ref="B344:C344"/>
    <mergeCell ref="B345:C345"/>
    <mergeCell ref="B346:G346"/>
    <mergeCell ref="B347:G347"/>
    <mergeCell ref="T373:BA373"/>
    <mergeCell ref="B374:G374"/>
    <mergeCell ref="I374:M374"/>
    <mergeCell ref="T361:X361"/>
    <mergeCell ref="Y361:AA361"/>
    <mergeCell ref="AB361:AC361"/>
    <mergeCell ref="AF361:BA361"/>
    <mergeCell ref="B362:C362"/>
    <mergeCell ref="B363:C363"/>
    <mergeCell ref="B364:C365"/>
    <mergeCell ref="P365:P366"/>
    <mergeCell ref="Q365:Q366"/>
    <mergeCell ref="R365:R366"/>
    <mergeCell ref="B366:C367"/>
    <mergeCell ref="B375:G375"/>
    <mergeCell ref="B376:G376"/>
    <mergeCell ref="C380:K380"/>
    <mergeCell ref="J365:J366"/>
    <mergeCell ref="J369:J370"/>
    <mergeCell ref="B368:C369"/>
    <mergeCell ref="P369:P370"/>
    <mergeCell ref="Q369:Q370"/>
    <mergeCell ref="R369:R370"/>
    <mergeCell ref="B370:C371"/>
    <mergeCell ref="B372:C372"/>
    <mergeCell ref="B373:G373"/>
    <mergeCell ref="B377:G377"/>
    <mergeCell ref="T388:X388"/>
    <mergeCell ref="Y388:AA388"/>
    <mergeCell ref="AB388:AC388"/>
    <mergeCell ref="AF388:BA388"/>
    <mergeCell ref="B389:C389"/>
    <mergeCell ref="B390:C391"/>
    <mergeCell ref="J391:J392"/>
    <mergeCell ref="B392:C393"/>
    <mergeCell ref="B394:C394"/>
    <mergeCell ref="B402:G402"/>
    <mergeCell ref="B403:G403"/>
    <mergeCell ref="C407:K407"/>
    <mergeCell ref="B404:G404"/>
    <mergeCell ref="J397:J398"/>
    <mergeCell ref="T415:X415"/>
    <mergeCell ref="Y415:AA415"/>
    <mergeCell ref="B395:C395"/>
    <mergeCell ref="B396:C397"/>
    <mergeCell ref="B398:C399"/>
    <mergeCell ref="B400:G400"/>
    <mergeCell ref="T400:BA400"/>
    <mergeCell ref="B401:G401"/>
    <mergeCell ref="I401:M401"/>
    <mergeCell ref="AB415:AC415"/>
    <mergeCell ref="AF415:BA415"/>
    <mergeCell ref="B416:C416"/>
    <mergeCell ref="B417:C417"/>
    <mergeCell ref="B418:C418"/>
    <mergeCell ref="B419:G419"/>
    <mergeCell ref="B420:C422"/>
    <mergeCell ref="F421:G421"/>
    <mergeCell ref="F422:G422"/>
    <mergeCell ref="B423:C424"/>
    <mergeCell ref="F424:G424"/>
    <mergeCell ref="B425:C426"/>
    <mergeCell ref="F426:G426"/>
    <mergeCell ref="B427:C428"/>
    <mergeCell ref="F428:G428"/>
    <mergeCell ref="B429:C429"/>
    <mergeCell ref="B430:C430"/>
    <mergeCell ref="B431:G431"/>
    <mergeCell ref="T447:BA447"/>
    <mergeCell ref="B448:G448"/>
    <mergeCell ref="T448:BA448"/>
    <mergeCell ref="B432:C434"/>
    <mergeCell ref="F433:G433"/>
    <mergeCell ref="F434:G434"/>
    <mergeCell ref="B435:C436"/>
    <mergeCell ref="F436:G436"/>
    <mergeCell ref="B437:C439"/>
    <mergeCell ref="F438:G438"/>
    <mergeCell ref="F439:G439"/>
    <mergeCell ref="B440:C441"/>
    <mergeCell ref="F441:G441"/>
    <mergeCell ref="B449:G449"/>
    <mergeCell ref="I449:M449"/>
    <mergeCell ref="B450:G450"/>
    <mergeCell ref="B451:G451"/>
    <mergeCell ref="C455:K455"/>
    <mergeCell ref="B452:G452"/>
    <mergeCell ref="B442:C444"/>
    <mergeCell ref="F443:G443"/>
    <mergeCell ref="F444:G444"/>
    <mergeCell ref="B445:C446"/>
    <mergeCell ref="F446:G446"/>
    <mergeCell ref="B447:G447"/>
    <mergeCell ref="T463:X463"/>
    <mergeCell ref="Y463:AA463"/>
    <mergeCell ref="AB463:AC463"/>
    <mergeCell ref="AF463:BA463"/>
    <mergeCell ref="B464:C464"/>
    <mergeCell ref="B465:C465"/>
    <mergeCell ref="B466:C466"/>
    <mergeCell ref="B467:C467"/>
    <mergeCell ref="B468:C468"/>
    <mergeCell ref="B476:G476"/>
    <mergeCell ref="C479:K479"/>
    <mergeCell ref="B477:G477"/>
    <mergeCell ref="B469:C469"/>
    <mergeCell ref="B470:C470"/>
    <mergeCell ref="B471:C471"/>
    <mergeCell ref="B472:C472"/>
    <mergeCell ref="B473:G473"/>
    <mergeCell ref="T473:BA473"/>
    <mergeCell ref="B474:G474"/>
    <mergeCell ref="I474:M474"/>
    <mergeCell ref="B475:G475"/>
  </mergeCells>
  <dataValidations count="6">
    <dataValidation type="list" allowBlank="1" showInputMessage="1" showErrorMessage="1" sqref="F32 F74" xr:uid="{00000000-0002-0000-0E00-000000000000}">
      <formula1>$H$175:$H$197</formula1>
    </dataValidation>
    <dataValidation type="list" allowBlank="1" showInputMessage="1" showErrorMessage="1" sqref="L35 L76" xr:uid="{00000000-0002-0000-0E00-000001000000}">
      <formula1>$I$178:$I$197</formula1>
    </dataValidation>
    <dataValidation type="list" allowBlank="1" showInputMessage="1" showErrorMessage="1" sqref="F91 F115" xr:uid="{00000000-0002-0000-0E00-000002000000}">
      <formula1>$H$174:$H$196</formula1>
    </dataValidation>
    <dataValidation type="list" allowBlank="1" showInputMessage="1" showErrorMessage="1" sqref="L94 L118" xr:uid="{00000000-0002-0000-0E00-000003000000}">
      <formula1>$I$177:$I$196</formula1>
    </dataValidation>
    <dataValidation type="list" allowBlank="1" showInputMessage="1" showErrorMessage="1" sqref="F142 F213 F176 F355 F330 F299 F262 F234 F409 F382" xr:uid="{00000000-0002-0000-0E00-000004000000}">
      <formula1>$H$173:$H$195</formula1>
    </dataValidation>
    <dataValidation type="list" allowBlank="1" showInputMessage="1" showErrorMessage="1" sqref="L145 L216 L179 L358 L333 L302 L265 L237 L412 L385" xr:uid="{00000000-0002-0000-0E00-000005000000}">
      <formula1>$I$176:$I$195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E00-000006000000}">
          <x14:formula1>
            <xm:f>'FLF &amp; AGENT INFO'!$B$3:$B$20</xm:f>
          </x14:formula1>
          <xm:sqref>F5 F35 F77 F94 F118 F145 F179 F216 F237 F265 F302 F333 F358 F385 F412 F460</xm:sqref>
        </x14:dataValidation>
        <x14:dataValidation type="list" allowBlank="1" showInputMessage="1" showErrorMessage="1" xr:uid="{00000000-0002-0000-0E00-000007000000}">
          <x14:formula1>
            <xm:f>'FLF &amp; AGENT INFO'!$H$3:$H$7</xm:f>
          </x14:formula1>
          <xm:sqref>L6 L36 L77 L95 L119 L146 L180 L217 L238 L266 L303 L334 L359 L386 L413 L461</xm:sqref>
        </x14:dataValidation>
        <x14:dataValidation type="list" allowBlank="1" showInputMessage="1" showErrorMessage="1" xr:uid="{00000000-0002-0000-0E00-000008000000}">
          <x14:formula1>
            <xm:f>'FLF &amp; AGENT INFO'!$F$3:$F$28</xm:f>
          </x14:formula1>
          <xm:sqref>F7 F462 F414 F387 F360 F335 F304 F267 F239 F218 F181 F147 F120 F96 F79 F37</xm:sqref>
        </x14:dataValidation>
        <x14:dataValidation type="list" allowBlank="1" showInputMessage="1" showErrorMessage="1" xr:uid="{00000000-0002-0000-0E00-000009000000}">
          <x14:formula1>
            <xm:f>'FLF &amp; AGENT INFO'!$D$3:$D$31</xm:f>
          </x14:formula1>
          <xm:sqref>F6 F461 F413 F386 F359 F334 F303 F266 F238 F217 F180 F146 F119 F95 F78 F36</xm:sqref>
        </x14:dataValidation>
        <x14:dataValidation type="list" allowBlank="1" showInputMessage="1" showErrorMessage="1" xr:uid="{00000000-0002-0000-0E00-00000A000000}">
          <x14:formula1>
            <xm:f>'VLU 2023 &amp; 2024'!$H$121:$H$147</xm:f>
          </x14:formula1>
          <xm:sqref>F2 F457</xm:sqref>
        </x14:dataValidation>
        <x14:dataValidation type="list" allowBlank="1" showInputMessage="1" showErrorMessage="1" xr:uid="{00000000-0002-0000-0E00-00000B000000}">
          <x14:formula1>
            <xm:f>'VLU 2023 &amp; 2024'!$I$124:$I$147</xm:f>
          </x14:formula1>
          <xm:sqref>L5 L460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B2:BD508"/>
  <sheetViews>
    <sheetView topLeftCell="A253" zoomScaleNormal="100" workbookViewId="0">
      <selection activeCell="H297" sqref="H297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1.44140625" style="56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16384" width="9.33203125" style="39"/>
  </cols>
  <sheetData>
    <row r="2" spans="2:56">
      <c r="B2" s="28" t="s">
        <v>126</v>
      </c>
      <c r="C2" s="28"/>
      <c r="D2" s="29"/>
      <c r="E2" s="30" t="s">
        <v>511</v>
      </c>
      <c r="F2" s="31" t="s">
        <v>2199</v>
      </c>
      <c r="G2" s="32"/>
      <c r="H2" s="33"/>
      <c r="I2" s="34"/>
      <c r="J2" s="35" t="s">
        <v>513</v>
      </c>
      <c r="K2" s="36" t="s">
        <v>511</v>
      </c>
      <c r="L2" s="37">
        <v>45140.520138888889</v>
      </c>
      <c r="M2" s="32"/>
      <c r="N2" s="32"/>
      <c r="O2" s="36"/>
      <c r="P2" s="33"/>
      <c r="Q2" s="48"/>
      <c r="R2" s="49"/>
      <c r="S2" s="38"/>
      <c r="T2" s="32"/>
      <c r="U2" s="32"/>
      <c r="V2" s="32"/>
      <c r="W2" s="32"/>
      <c r="X2" s="32"/>
      <c r="Y2" s="32"/>
      <c r="Z2" s="32"/>
      <c r="AA2" s="32"/>
      <c r="AB2" s="48"/>
      <c r="AC2" s="48"/>
      <c r="AD2" s="48"/>
      <c r="AE2" s="48"/>
      <c r="AF2" s="48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</row>
    <row r="3" spans="2:56">
      <c r="B3" s="35" t="s">
        <v>514</v>
      </c>
      <c r="C3" s="35"/>
      <c r="D3" s="32"/>
      <c r="E3" s="36" t="s">
        <v>511</v>
      </c>
      <c r="F3" s="37" t="s">
        <v>2200</v>
      </c>
      <c r="G3" s="32"/>
      <c r="H3" s="33"/>
      <c r="I3" s="34"/>
      <c r="J3" s="35" t="s">
        <v>516</v>
      </c>
      <c r="K3" s="36" t="s">
        <v>511</v>
      </c>
      <c r="L3" s="37">
        <v>45141.711805555555</v>
      </c>
      <c r="M3" s="32"/>
      <c r="N3" s="32"/>
      <c r="O3" s="36"/>
      <c r="P3" s="33"/>
      <c r="Q3" s="48"/>
      <c r="R3" s="49"/>
      <c r="S3" s="38"/>
      <c r="T3" s="32"/>
      <c r="U3" s="32"/>
      <c r="V3" s="32"/>
      <c r="W3" s="32"/>
      <c r="X3" s="32"/>
      <c r="Y3" s="32"/>
      <c r="Z3" s="32"/>
      <c r="AA3" s="32"/>
      <c r="AB3" s="48"/>
      <c r="AC3" s="48"/>
      <c r="AD3" s="48"/>
      <c r="AE3" s="48"/>
      <c r="AF3" s="48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</row>
    <row r="4" spans="2:56">
      <c r="B4" s="35" t="s">
        <v>517</v>
      </c>
      <c r="C4" s="35"/>
      <c r="D4" s="32"/>
      <c r="E4" s="36" t="s">
        <v>511</v>
      </c>
      <c r="F4" s="37">
        <v>45131.3</v>
      </c>
      <c r="G4" s="32"/>
      <c r="H4" s="33"/>
      <c r="I4" s="34"/>
      <c r="J4" s="35" t="s">
        <v>518</v>
      </c>
      <c r="K4" s="36" t="s">
        <v>511</v>
      </c>
      <c r="L4" s="50">
        <v>58500</v>
      </c>
      <c r="M4" s="40" t="s">
        <v>519</v>
      </c>
      <c r="N4" s="40"/>
      <c r="O4" s="36"/>
      <c r="P4" s="33"/>
      <c r="Q4" s="48"/>
      <c r="R4" s="49"/>
      <c r="S4" s="38"/>
      <c r="T4" s="32"/>
      <c r="U4" s="32"/>
      <c r="V4" s="32"/>
      <c r="W4" s="32"/>
      <c r="X4" s="32"/>
      <c r="Y4" s="32"/>
      <c r="Z4" s="32"/>
      <c r="AA4" s="32"/>
      <c r="AB4" s="48"/>
      <c r="AC4" s="48"/>
      <c r="AD4" s="48"/>
      <c r="AE4" s="48"/>
      <c r="AF4" s="48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</row>
    <row r="5" spans="2:56">
      <c r="B5" s="35" t="s">
        <v>520</v>
      </c>
      <c r="C5" s="35"/>
      <c r="D5" s="32"/>
      <c r="E5" s="36" t="s">
        <v>511</v>
      </c>
      <c r="F5" s="37" t="s">
        <v>20</v>
      </c>
      <c r="G5" s="32"/>
      <c r="H5" s="33"/>
      <c r="I5" s="34"/>
      <c r="J5" s="35" t="s">
        <v>521</v>
      </c>
      <c r="K5" s="36" t="s">
        <v>511</v>
      </c>
      <c r="L5" s="41" t="s">
        <v>2201</v>
      </c>
      <c r="M5" s="32"/>
      <c r="N5" s="32"/>
      <c r="O5" s="36"/>
      <c r="P5" s="48"/>
      <c r="Q5" s="48"/>
      <c r="R5" s="49"/>
      <c r="S5" s="38"/>
      <c r="T5" s="32"/>
      <c r="U5" s="32"/>
      <c r="V5" s="32"/>
      <c r="W5" s="32"/>
      <c r="X5" s="32"/>
      <c r="Y5" s="32"/>
      <c r="Z5" s="32"/>
      <c r="AA5" s="32"/>
      <c r="AB5" s="48"/>
      <c r="AC5" s="48"/>
      <c r="AD5" s="48"/>
      <c r="AE5" s="48"/>
      <c r="AF5" s="48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</row>
    <row r="6" spans="2:56">
      <c r="B6" s="35" t="s">
        <v>523</v>
      </c>
      <c r="C6" s="35"/>
      <c r="D6" s="32"/>
      <c r="E6" s="36" t="s">
        <v>511</v>
      </c>
      <c r="F6" s="37" t="s">
        <v>47</v>
      </c>
      <c r="G6" s="32"/>
      <c r="H6" s="33"/>
      <c r="I6" s="34"/>
      <c r="J6" s="42" t="s">
        <v>524</v>
      </c>
      <c r="K6" s="36" t="s">
        <v>511</v>
      </c>
      <c r="L6" s="43" t="s">
        <v>15</v>
      </c>
      <c r="M6" s="44"/>
      <c r="N6" s="44"/>
      <c r="O6" s="36"/>
      <c r="P6" s="33"/>
      <c r="Q6" s="48"/>
      <c r="R6" s="49"/>
      <c r="S6" s="38"/>
      <c r="T6" s="32"/>
      <c r="U6" s="32"/>
      <c r="V6" s="32"/>
      <c r="W6" s="32"/>
      <c r="X6" s="32"/>
      <c r="Y6" s="32"/>
      <c r="Z6" s="32"/>
      <c r="AA6" s="32"/>
      <c r="AB6" s="48"/>
      <c r="AC6" s="48"/>
      <c r="AD6" s="48"/>
      <c r="AE6" s="48"/>
      <c r="AF6" s="48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</row>
    <row r="7" spans="2:56">
      <c r="B7" s="35" t="s">
        <v>2</v>
      </c>
      <c r="C7" s="35"/>
      <c r="D7" s="32"/>
      <c r="E7" s="36" t="s">
        <v>511</v>
      </c>
      <c r="F7" s="37" t="s">
        <v>18</v>
      </c>
      <c r="G7" s="32"/>
      <c r="H7" s="33"/>
      <c r="I7" s="45"/>
      <c r="J7" s="42"/>
      <c r="K7" s="36"/>
      <c r="L7" s="37"/>
      <c r="M7" s="32"/>
      <c r="N7" s="32"/>
      <c r="O7" s="42"/>
      <c r="P7" s="44"/>
      <c r="Q7" s="44"/>
      <c r="R7" s="44"/>
      <c r="S7" s="34"/>
      <c r="T7" s="32"/>
      <c r="U7" s="32"/>
      <c r="V7" s="32"/>
      <c r="W7" s="32"/>
      <c r="X7" s="32"/>
      <c r="Y7" s="32"/>
      <c r="Z7" s="32"/>
      <c r="AA7" s="32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</row>
    <row r="8" spans="2:56">
      <c r="B8" s="32"/>
      <c r="C8" s="32"/>
      <c r="D8" s="32"/>
      <c r="E8" s="32"/>
      <c r="F8" s="32"/>
      <c r="G8" s="32"/>
      <c r="H8" s="32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70" t="s">
        <v>87</v>
      </c>
      <c r="U8" s="1270"/>
      <c r="V8" s="1270"/>
      <c r="W8" s="1270"/>
      <c r="X8" s="1270"/>
      <c r="Y8" s="1270" t="s">
        <v>73</v>
      </c>
      <c r="Z8" s="1270"/>
      <c r="AA8" s="1270"/>
      <c r="AB8" s="1270" t="s">
        <v>74</v>
      </c>
      <c r="AC8" s="1270"/>
      <c r="AD8" s="407" t="s">
        <v>85</v>
      </c>
      <c r="AE8" s="407" t="s">
        <v>77</v>
      </c>
      <c r="AF8" s="1270" t="s">
        <v>525</v>
      </c>
      <c r="AG8" s="1270"/>
      <c r="AH8" s="1270"/>
      <c r="AI8" s="1270"/>
      <c r="AJ8" s="1270"/>
      <c r="AK8" s="1270"/>
      <c r="AL8" s="1270"/>
      <c r="AM8" s="1270"/>
      <c r="AN8" s="1270"/>
      <c r="AO8" s="1270"/>
      <c r="AP8" s="1270"/>
      <c r="AQ8" s="1270"/>
      <c r="AR8" s="1270"/>
      <c r="AS8" s="1270"/>
      <c r="AT8" s="1270"/>
      <c r="AU8" s="1270"/>
      <c r="AV8" s="1270"/>
      <c r="AW8" s="1270"/>
      <c r="AX8" s="1270"/>
      <c r="AY8" s="1270"/>
      <c r="AZ8" s="1270"/>
      <c r="BA8" s="1270"/>
      <c r="BB8" s="1270"/>
      <c r="BC8" s="1270"/>
      <c r="BD8" s="32"/>
    </row>
    <row r="9" spans="2:56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408" t="str">
        <f>"On time - "&amp;COUNTIF(N10:N18,"On time")&amp;" from "&amp;ROWS(N10:N18)-COUNTIF(N10:N18," ")</f>
        <v>On time - 0 from 6</v>
      </c>
      <c r="O9" s="46"/>
      <c r="P9" s="409" t="s">
        <v>534</v>
      </c>
      <c r="Q9" s="409" t="s">
        <v>535</v>
      </c>
      <c r="R9" s="409" t="s">
        <v>536</v>
      </c>
      <c r="S9" s="32"/>
      <c r="T9" s="410" t="s">
        <v>537</v>
      </c>
      <c r="U9" s="410" t="s">
        <v>538</v>
      </c>
      <c r="V9" s="410" t="s">
        <v>539</v>
      </c>
      <c r="W9" s="410" t="s">
        <v>540</v>
      </c>
      <c r="X9" s="410" t="s">
        <v>541</v>
      </c>
      <c r="Y9" s="410" t="s">
        <v>167</v>
      </c>
      <c r="Z9" s="410" t="s">
        <v>168</v>
      </c>
      <c r="AA9" s="410" t="s">
        <v>169</v>
      </c>
      <c r="AB9" s="410" t="s">
        <v>235</v>
      </c>
      <c r="AC9" s="410" t="s">
        <v>240</v>
      </c>
      <c r="AD9" s="407" t="s">
        <v>85</v>
      </c>
      <c r="AE9" s="410" t="s">
        <v>139</v>
      </c>
      <c r="AF9" s="410" t="s">
        <v>72</v>
      </c>
      <c r="AG9" s="410" t="s">
        <v>88</v>
      </c>
      <c r="AH9" s="410" t="s">
        <v>75</v>
      </c>
      <c r="AI9" s="410" t="s">
        <v>543</v>
      </c>
      <c r="AJ9" s="410" t="s">
        <v>78</v>
      </c>
      <c r="AK9" s="410" t="s">
        <v>76</v>
      </c>
      <c r="AL9" s="410" t="s">
        <v>544</v>
      </c>
      <c r="AM9" s="410" t="s">
        <v>545</v>
      </c>
      <c r="AN9" s="410" t="s">
        <v>86</v>
      </c>
      <c r="AO9" s="410" t="s">
        <v>83</v>
      </c>
      <c r="AP9" s="410" t="s">
        <v>84</v>
      </c>
      <c r="AQ9" s="410" t="s">
        <v>546</v>
      </c>
      <c r="AR9" s="410" t="s">
        <v>81</v>
      </c>
      <c r="AS9" s="410" t="s">
        <v>80</v>
      </c>
      <c r="AT9" s="410" t="s">
        <v>82</v>
      </c>
      <c r="AU9" s="410" t="s">
        <v>181</v>
      </c>
      <c r="AV9" s="410" t="s">
        <v>183</v>
      </c>
      <c r="AW9" s="410" t="s">
        <v>547</v>
      </c>
      <c r="AX9" s="410" t="s">
        <v>182</v>
      </c>
      <c r="AY9" s="410" t="s">
        <v>172</v>
      </c>
      <c r="AZ9" s="410" t="s">
        <v>173</v>
      </c>
      <c r="BA9" s="410" t="s">
        <v>184</v>
      </c>
      <c r="BB9" s="410" t="s">
        <v>100</v>
      </c>
      <c r="BC9" s="410" t="s">
        <v>913</v>
      </c>
      <c r="BD9" s="32"/>
    </row>
    <row r="10" spans="2:56">
      <c r="B10" s="1256">
        <v>1</v>
      </c>
      <c r="C10" s="1257"/>
      <c r="D10" s="411" t="s">
        <v>2202</v>
      </c>
      <c r="E10" s="411"/>
      <c r="F10" s="411" t="s">
        <v>721</v>
      </c>
      <c r="G10" s="411" t="s">
        <v>1349</v>
      </c>
      <c r="H10" s="412">
        <v>7530.0649999999996</v>
      </c>
      <c r="I10" s="413" t="s">
        <v>173</v>
      </c>
      <c r="J10" s="414">
        <v>45133.055555555555</v>
      </c>
      <c r="K10" s="414"/>
      <c r="L10" s="414" t="s">
        <v>192</v>
      </c>
      <c r="M10" s="414" t="s">
        <v>192</v>
      </c>
      <c r="N10" s="413" t="str">
        <f>IF(ISBLANK(J10)," ",IF(J10&lt;$F$4,"On time",(IF(DAY(J10-$F$4)&lt;1,"On time",(IF(J10&gt;$F$4,"DELAY ( "&amp;DAY(J10-$F$4)&amp;" day "&amp;HOUR(J10-$F$4)&amp;" hour "&amp;MINUTE(J10-$F$4)&amp;" minute )","xxx"))))))</f>
        <v>DELAY ( 1 day 18 hour 8 minute )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/>
      <c r="AC10" s="416"/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/>
      <c r="AQ10" s="416"/>
      <c r="AR10" s="416"/>
      <c r="AS10" s="416"/>
      <c r="AT10" s="416"/>
      <c r="AU10" s="416"/>
      <c r="AV10" s="416"/>
      <c r="AW10" s="416"/>
      <c r="AX10" s="416"/>
      <c r="AY10" s="416"/>
      <c r="AZ10" s="416">
        <f>H10</f>
        <v>7530.0649999999996</v>
      </c>
      <c r="BA10" s="416"/>
      <c r="BB10" s="416"/>
      <c r="BC10" s="416"/>
      <c r="BD10" s="32"/>
    </row>
    <row r="11" spans="2:56">
      <c r="B11" s="1256">
        <v>2</v>
      </c>
      <c r="C11" s="1257"/>
      <c r="D11" s="411" t="s">
        <v>2203</v>
      </c>
      <c r="E11" s="411"/>
      <c r="F11" s="411" t="s">
        <v>403</v>
      </c>
      <c r="G11" s="411" t="s">
        <v>404</v>
      </c>
      <c r="H11" s="412">
        <v>7401.3119999999999</v>
      </c>
      <c r="I11" s="413" t="s">
        <v>240</v>
      </c>
      <c r="J11" s="414">
        <v>45133.121527777781</v>
      </c>
      <c r="K11" s="414"/>
      <c r="L11" s="414" t="s">
        <v>192</v>
      </c>
      <c r="M11" s="414" t="s">
        <v>192</v>
      </c>
      <c r="N11" s="413" t="str">
        <f t="shared" ref="N11:N18" si="0">IF(ISBLANK(J11)," ",IF(J11&lt;$F$4,"On time",(IF(DAY(J11-$F$4)&lt;1,"On time",(IF(J11&gt;$F$4,"DELAY ( "&amp;DAY(J11-$F$4)&amp;" day "&amp;HOUR(J11-$F$4)&amp;" hour "&amp;MINUTE(J11-$F$4)&amp;" minute )","xxx"))))))</f>
        <v>DELAY ( 1 day 19 hour 43 minute )</v>
      </c>
      <c r="O11" s="51"/>
      <c r="P11" s="415" t="s">
        <v>551</v>
      </c>
      <c r="Q11" s="415" t="s">
        <v>551</v>
      </c>
      <c r="R11" s="415" t="s">
        <v>551</v>
      </c>
      <c r="S11" s="32"/>
      <c r="T11" s="416"/>
      <c r="U11" s="416"/>
      <c r="V11" s="416"/>
      <c r="W11" s="416"/>
      <c r="X11" s="416"/>
      <c r="Y11" s="416"/>
      <c r="Z11" s="416"/>
      <c r="AA11" s="416"/>
      <c r="AB11" s="416"/>
      <c r="AC11" s="416">
        <f>H11</f>
        <v>7401.3119999999999</v>
      </c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6"/>
      <c r="AQ11" s="416"/>
      <c r="AR11" s="416"/>
      <c r="AS11" s="416"/>
      <c r="AT11" s="32"/>
      <c r="AU11" s="416"/>
      <c r="AV11" s="416"/>
      <c r="AW11" s="416"/>
      <c r="AX11" s="416"/>
      <c r="AY11" s="416"/>
      <c r="AZ11" s="416"/>
      <c r="BA11" s="416"/>
      <c r="BB11" s="416"/>
      <c r="BC11" s="416"/>
      <c r="BD11" s="32"/>
    </row>
    <row r="12" spans="2:56">
      <c r="B12" s="1256">
        <v>3</v>
      </c>
      <c r="C12" s="1257"/>
      <c r="D12" s="411" t="s">
        <v>2204</v>
      </c>
      <c r="E12" s="411"/>
      <c r="F12" s="411" t="s">
        <v>1240</v>
      </c>
      <c r="G12" s="411" t="s">
        <v>1241</v>
      </c>
      <c r="H12" s="412">
        <v>7723.3410000000003</v>
      </c>
      <c r="I12" s="413" t="s">
        <v>235</v>
      </c>
      <c r="J12" s="414">
        <v>45134.979166666664</v>
      </c>
      <c r="K12" s="414"/>
      <c r="L12" s="414" t="s">
        <v>192</v>
      </c>
      <c r="M12" s="414" t="s">
        <v>192</v>
      </c>
      <c r="N12" s="413" t="str">
        <f t="shared" si="0"/>
        <v>DELAY ( 3 day 16 hour 18 minute )</v>
      </c>
      <c r="O12" s="51"/>
      <c r="P12" s="415" t="s">
        <v>551</v>
      </c>
      <c r="Q12" s="415" t="s">
        <v>551</v>
      </c>
      <c r="R12" s="415" t="s">
        <v>551</v>
      </c>
      <c r="S12" s="32"/>
      <c r="T12" s="416"/>
      <c r="U12" s="416"/>
      <c r="V12" s="416"/>
      <c r="W12" s="416"/>
      <c r="X12" s="416"/>
      <c r="Y12" s="416"/>
      <c r="Z12" s="416"/>
      <c r="AA12" s="416"/>
      <c r="AB12" s="416">
        <f>H12</f>
        <v>7723.3410000000003</v>
      </c>
      <c r="AC12" s="32"/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/>
      <c r="AQ12" s="416"/>
      <c r="AR12" s="416"/>
      <c r="AS12" s="416"/>
      <c r="AT12" s="416"/>
      <c r="AU12" s="416"/>
      <c r="AV12" s="416"/>
      <c r="AW12" s="416"/>
      <c r="AX12" s="416"/>
      <c r="AY12" s="416"/>
      <c r="AZ12" s="416"/>
      <c r="BA12" s="416"/>
      <c r="BB12" s="416"/>
      <c r="BC12" s="416"/>
      <c r="BD12" s="32"/>
    </row>
    <row r="13" spans="2:56">
      <c r="B13" s="1256">
        <v>4</v>
      </c>
      <c r="C13" s="1257"/>
      <c r="D13" s="411" t="s">
        <v>2205</v>
      </c>
      <c r="E13" s="411"/>
      <c r="F13" s="411" t="s">
        <v>358</v>
      </c>
      <c r="G13" s="411" t="s">
        <v>359</v>
      </c>
      <c r="H13" s="412">
        <v>9094.7530000000006</v>
      </c>
      <c r="I13" s="413" t="s">
        <v>240</v>
      </c>
      <c r="J13" s="414">
        <v>45137.177083333336</v>
      </c>
      <c r="K13" s="414"/>
      <c r="L13" s="414" t="s">
        <v>192</v>
      </c>
      <c r="M13" s="414" t="s">
        <v>192</v>
      </c>
      <c r="N13" s="413" t="str">
        <f t="shared" si="0"/>
        <v>DELAY ( 5 day 21 hour 3 minute )</v>
      </c>
      <c r="O13" s="51"/>
      <c r="P13" s="415" t="s">
        <v>551</v>
      </c>
      <c r="Q13" s="415" t="s">
        <v>551</v>
      </c>
      <c r="R13" s="415" t="s">
        <v>551</v>
      </c>
      <c r="S13" s="32"/>
      <c r="T13" s="416"/>
      <c r="U13" s="416"/>
      <c r="V13" s="416"/>
      <c r="W13" s="416"/>
      <c r="X13" s="416"/>
      <c r="Y13" s="416"/>
      <c r="Z13" s="416"/>
      <c r="AA13" s="416"/>
      <c r="AB13" s="416"/>
      <c r="AC13" s="416">
        <f>H13</f>
        <v>9094.7530000000006</v>
      </c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416"/>
      <c r="BA13" s="416"/>
      <c r="BB13" s="416"/>
      <c r="BC13" s="416"/>
      <c r="BD13" s="32"/>
    </row>
    <row r="14" spans="2:56">
      <c r="B14" s="1256">
        <v>5</v>
      </c>
      <c r="C14" s="1257"/>
      <c r="D14" s="411" t="s">
        <v>2206</v>
      </c>
      <c r="E14" s="411"/>
      <c r="F14" s="411" t="s">
        <v>2207</v>
      </c>
      <c r="G14" s="411" t="s">
        <v>2208</v>
      </c>
      <c r="H14" s="412">
        <v>7201.6629999999996</v>
      </c>
      <c r="I14" s="413" t="s">
        <v>235</v>
      </c>
      <c r="J14" s="414">
        <v>45135.381944444445</v>
      </c>
      <c r="K14" s="414"/>
      <c r="L14" s="414" t="s">
        <v>192</v>
      </c>
      <c r="M14" s="414" t="s">
        <v>192</v>
      </c>
      <c r="N14" s="413" t="str">
        <f t="shared" si="0"/>
        <v>DELAY ( 4 day 1 hour 58 minute )</v>
      </c>
      <c r="O14" s="51"/>
      <c r="P14" s="415" t="s">
        <v>551</v>
      </c>
      <c r="Q14" s="415" t="s">
        <v>551</v>
      </c>
      <c r="R14" s="415" t="s">
        <v>551</v>
      </c>
      <c r="S14" s="32"/>
      <c r="T14" s="416"/>
      <c r="U14" s="416"/>
      <c r="V14" s="416"/>
      <c r="W14" s="416"/>
      <c r="X14" s="416"/>
      <c r="Y14" s="416"/>
      <c r="Z14" s="416"/>
      <c r="AA14" s="416"/>
      <c r="AB14" s="416">
        <f>H14</f>
        <v>7201.6629999999996</v>
      </c>
      <c r="AC14" s="416"/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/>
      <c r="AQ14" s="416"/>
      <c r="AR14" s="416"/>
      <c r="AS14" s="416"/>
      <c r="AT14" s="416"/>
      <c r="AU14" s="416"/>
      <c r="AV14" s="416"/>
      <c r="AW14" s="416"/>
      <c r="AX14" s="416"/>
      <c r="AY14" s="416"/>
      <c r="AZ14" s="416"/>
      <c r="BA14" s="416"/>
      <c r="BB14" s="416"/>
      <c r="BC14" s="416"/>
      <c r="BD14" s="32"/>
    </row>
    <row r="15" spans="2:56">
      <c r="B15" s="1256">
        <v>6</v>
      </c>
      <c r="C15" s="1257"/>
      <c r="D15" s="411" t="s">
        <v>2209</v>
      </c>
      <c r="E15" s="411"/>
      <c r="F15" s="411" t="s">
        <v>2210</v>
      </c>
      <c r="G15" s="411" t="s">
        <v>324</v>
      </c>
      <c r="H15" s="412">
        <v>7504.3990000000003</v>
      </c>
      <c r="I15" s="413" t="s">
        <v>240</v>
      </c>
      <c r="J15" s="414">
        <v>45135.451388888891</v>
      </c>
      <c r="K15" s="414"/>
      <c r="L15" s="414" t="s">
        <v>192</v>
      </c>
      <c r="M15" s="414" t="s">
        <v>192</v>
      </c>
      <c r="N15" s="413" t="str">
        <f t="shared" si="0"/>
        <v>DELAY ( 4 day 3 hour 38 minute )</v>
      </c>
      <c r="O15" s="51"/>
      <c r="P15" s="415" t="s">
        <v>551</v>
      </c>
      <c r="Q15" s="415" t="s">
        <v>551</v>
      </c>
      <c r="R15" s="415" t="s">
        <v>551</v>
      </c>
      <c r="S15" s="32"/>
      <c r="T15" s="416"/>
      <c r="U15" s="416"/>
      <c r="V15" s="416"/>
      <c r="W15" s="416"/>
      <c r="X15" s="416"/>
      <c r="Y15" s="416"/>
      <c r="Z15" s="416"/>
      <c r="AA15" s="416"/>
      <c r="AB15" s="32"/>
      <c r="AC15" s="416">
        <f>H15</f>
        <v>7504.3990000000003</v>
      </c>
      <c r="AD15" s="416"/>
      <c r="AE15" s="416"/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6"/>
      <c r="AS15" s="416"/>
      <c r="AT15" s="416"/>
      <c r="AU15" s="416"/>
      <c r="AV15" s="416"/>
      <c r="AW15" s="416"/>
      <c r="AX15" s="416"/>
      <c r="AY15" s="416"/>
      <c r="AZ15" s="416"/>
      <c r="BA15" s="416"/>
      <c r="BB15" s="416"/>
      <c r="BC15" s="416"/>
      <c r="BD15" s="32"/>
    </row>
    <row r="16" spans="2:56">
      <c r="B16" s="1256" t="s">
        <v>610</v>
      </c>
      <c r="C16" s="1276"/>
      <c r="D16" s="1276"/>
      <c r="E16" s="1276"/>
      <c r="F16" s="1276"/>
      <c r="G16" s="1257"/>
      <c r="H16" s="412">
        <f>H18-SUM(H10:H15)</f>
        <v>12044.467000000004</v>
      </c>
      <c r="I16" s="413" t="s">
        <v>611</v>
      </c>
      <c r="J16" s="414"/>
      <c r="K16" s="414"/>
      <c r="L16" s="414"/>
      <c r="M16" s="414"/>
      <c r="N16" s="413" t="str">
        <f t="shared" si="0"/>
        <v xml:space="preserve"> </v>
      </c>
      <c r="O16" s="51"/>
      <c r="P16" s="415" t="s">
        <v>551</v>
      </c>
      <c r="Q16" s="415"/>
      <c r="R16" s="415"/>
      <c r="S16" s="32"/>
      <c r="T16" s="416">
        <f>H16</f>
        <v>12044.467000000004</v>
      </c>
      <c r="U16" s="416"/>
      <c r="V16" s="416"/>
      <c r="W16" s="416"/>
      <c r="X16" s="416"/>
      <c r="Y16" s="416"/>
      <c r="Z16" s="416"/>
      <c r="AA16" s="416"/>
      <c r="AB16" s="416"/>
      <c r="AC16" s="416"/>
      <c r="AD16" s="416"/>
      <c r="AE16" s="416"/>
      <c r="AF16" s="416"/>
      <c r="AG16" s="416"/>
      <c r="AH16" s="416"/>
      <c r="AI16" s="416"/>
      <c r="AJ16" s="416"/>
      <c r="AK16" s="416"/>
      <c r="AL16" s="416"/>
      <c r="AM16" s="416"/>
      <c r="AN16" s="416"/>
      <c r="AO16" s="416"/>
      <c r="AP16" s="416"/>
      <c r="AQ16" s="416"/>
      <c r="AR16" s="416"/>
      <c r="AS16" s="416"/>
      <c r="AT16" s="416"/>
      <c r="AU16" s="416"/>
      <c r="AV16" s="416"/>
      <c r="AW16" s="416"/>
      <c r="AX16" s="416"/>
      <c r="AY16" s="416"/>
      <c r="AZ16" s="416"/>
      <c r="BA16" s="416"/>
      <c r="BB16" s="416"/>
      <c r="BC16" s="416"/>
      <c r="BD16" s="32"/>
    </row>
    <row r="17" spans="2:56">
      <c r="B17" s="1258" t="s">
        <v>556</v>
      </c>
      <c r="C17" s="1259"/>
      <c r="D17" s="1259"/>
      <c r="E17" s="1259"/>
      <c r="F17" s="1259"/>
      <c r="G17" s="1260"/>
      <c r="H17" s="417">
        <f>SUM(H10:H16)</f>
        <v>58500</v>
      </c>
      <c r="I17" s="388"/>
      <c r="J17" s="293"/>
      <c r="K17" s="293"/>
      <c r="L17" s="293"/>
      <c r="M17" s="389"/>
      <c r="N17" s="413" t="str">
        <f t="shared" si="0"/>
        <v xml:space="preserve"> </v>
      </c>
      <c r="O17" s="47"/>
      <c r="P17" s="418"/>
      <c r="Q17" s="418"/>
      <c r="R17" s="418"/>
      <c r="S17" s="32"/>
      <c r="T17" s="1262"/>
      <c r="U17" s="1263"/>
      <c r="V17" s="1263"/>
      <c r="W17" s="1263"/>
      <c r="X17" s="1263"/>
      <c r="Y17" s="1263"/>
      <c r="Z17" s="1263"/>
      <c r="AA17" s="1263"/>
      <c r="AB17" s="1263"/>
      <c r="AC17" s="1263"/>
      <c r="AD17" s="1263"/>
      <c r="AE17" s="1263"/>
      <c r="AF17" s="1263"/>
      <c r="AG17" s="1263"/>
      <c r="AH17" s="1263"/>
      <c r="AI17" s="1263"/>
      <c r="AJ17" s="1263"/>
      <c r="AK17" s="1263"/>
      <c r="AL17" s="1263"/>
      <c r="AM17" s="1263"/>
      <c r="AN17" s="1263"/>
      <c r="AO17" s="1263"/>
      <c r="AP17" s="1263"/>
      <c r="AQ17" s="1263"/>
      <c r="AR17" s="1263"/>
      <c r="AS17" s="1263"/>
      <c r="AT17" s="1263"/>
      <c r="AU17" s="1263"/>
      <c r="AV17" s="1263"/>
      <c r="AW17" s="1263"/>
      <c r="AX17" s="1263"/>
      <c r="AY17" s="1263"/>
      <c r="AZ17" s="1263"/>
      <c r="BA17" s="1263"/>
      <c r="BB17" s="1263"/>
      <c r="BC17" s="1264"/>
    </row>
    <row r="18" spans="2:56">
      <c r="B18" s="1243" t="s">
        <v>557</v>
      </c>
      <c r="C18" s="1244"/>
      <c r="D18" s="1244"/>
      <c r="E18" s="1244"/>
      <c r="F18" s="1244"/>
      <c r="G18" s="1245"/>
      <c r="H18" s="419">
        <v>58500</v>
      </c>
      <c r="I18" s="1246"/>
      <c r="J18" s="1247"/>
      <c r="K18" s="1247"/>
      <c r="L18" s="1247"/>
      <c r="M18" s="1248"/>
      <c r="N18" s="413" t="str">
        <f t="shared" si="0"/>
        <v xml:space="preserve"> </v>
      </c>
      <c r="O18" s="32"/>
      <c r="P18" s="415"/>
      <c r="Q18" s="415"/>
      <c r="R18" s="415"/>
      <c r="S18" s="63"/>
      <c r="T18" s="416">
        <f t="shared" ref="T18:BC18" si="1">SUM(T10:T16)</f>
        <v>12044.467000000004</v>
      </c>
      <c r="U18" s="416">
        <f t="shared" si="1"/>
        <v>0</v>
      </c>
      <c r="V18" s="416">
        <f t="shared" si="1"/>
        <v>0</v>
      </c>
      <c r="W18" s="416">
        <f t="shared" si="1"/>
        <v>0</v>
      </c>
      <c r="X18" s="416">
        <f t="shared" si="1"/>
        <v>0</v>
      </c>
      <c r="Y18" s="416">
        <f t="shared" si="1"/>
        <v>0</v>
      </c>
      <c r="Z18" s="416">
        <f t="shared" si="1"/>
        <v>0</v>
      </c>
      <c r="AA18" s="416">
        <f t="shared" si="1"/>
        <v>0</v>
      </c>
      <c r="AB18" s="416">
        <f t="shared" si="1"/>
        <v>14925.004000000001</v>
      </c>
      <c r="AC18" s="416">
        <f t="shared" si="1"/>
        <v>24000.464000000004</v>
      </c>
      <c r="AD18" s="416">
        <f t="shared" si="1"/>
        <v>0</v>
      </c>
      <c r="AE18" s="416">
        <f t="shared" si="1"/>
        <v>0</v>
      </c>
      <c r="AF18" s="416">
        <f t="shared" si="1"/>
        <v>0</v>
      </c>
      <c r="AG18" s="416">
        <f t="shared" si="1"/>
        <v>0</v>
      </c>
      <c r="AH18" s="416">
        <f t="shared" si="1"/>
        <v>0</v>
      </c>
      <c r="AI18" s="416">
        <f t="shared" si="1"/>
        <v>0</v>
      </c>
      <c r="AJ18" s="416">
        <f t="shared" si="1"/>
        <v>0</v>
      </c>
      <c r="AK18" s="416">
        <f t="shared" si="1"/>
        <v>0</v>
      </c>
      <c r="AL18" s="416">
        <f t="shared" si="1"/>
        <v>0</v>
      </c>
      <c r="AM18" s="416">
        <f t="shared" si="1"/>
        <v>0</v>
      </c>
      <c r="AN18" s="416">
        <f t="shared" si="1"/>
        <v>0</v>
      </c>
      <c r="AO18" s="416">
        <f t="shared" si="1"/>
        <v>0</v>
      </c>
      <c r="AP18" s="416">
        <f t="shared" si="1"/>
        <v>0</v>
      </c>
      <c r="AQ18" s="416">
        <f t="shared" si="1"/>
        <v>0</v>
      </c>
      <c r="AR18" s="416">
        <f t="shared" si="1"/>
        <v>0</v>
      </c>
      <c r="AS18" s="416">
        <f t="shared" si="1"/>
        <v>0</v>
      </c>
      <c r="AT18" s="416">
        <f t="shared" si="1"/>
        <v>0</v>
      </c>
      <c r="AU18" s="416">
        <f t="shared" si="1"/>
        <v>0</v>
      </c>
      <c r="AV18" s="416">
        <f t="shared" si="1"/>
        <v>0</v>
      </c>
      <c r="AW18" s="416">
        <f t="shared" si="1"/>
        <v>0</v>
      </c>
      <c r="AX18" s="416">
        <f t="shared" si="1"/>
        <v>0</v>
      </c>
      <c r="AY18" s="416">
        <f t="shared" si="1"/>
        <v>0</v>
      </c>
      <c r="AZ18" s="416">
        <f t="shared" si="1"/>
        <v>7530.0649999999996</v>
      </c>
      <c r="BA18" s="416">
        <f t="shared" si="1"/>
        <v>0</v>
      </c>
      <c r="BB18" s="416">
        <f t="shared" si="1"/>
        <v>0</v>
      </c>
      <c r="BC18" s="416">
        <f t="shared" si="1"/>
        <v>0</v>
      </c>
      <c r="BD18" s="416">
        <f>SUM(T18:BC18)</f>
        <v>58500.000000000015</v>
      </c>
    </row>
    <row r="19" spans="2:56">
      <c r="B19" s="1243" t="s">
        <v>558</v>
      </c>
      <c r="C19" s="1244"/>
      <c r="D19" s="1244"/>
      <c r="E19" s="1244"/>
      <c r="F19" s="1244"/>
      <c r="G19" s="1245"/>
      <c r="H19" s="420">
        <f>H18-L4</f>
        <v>0</v>
      </c>
      <c r="I19" s="294"/>
      <c r="J19" s="295"/>
      <c r="K19" s="295"/>
      <c r="L19" s="296"/>
      <c r="M19" s="32"/>
      <c r="N19" s="32"/>
      <c r="O19" s="32"/>
      <c r="P19" s="32"/>
      <c r="Q19" s="297"/>
      <c r="R19" s="297"/>
      <c r="S19" s="32"/>
      <c r="T19" s="48"/>
      <c r="U19" s="48"/>
      <c r="V19" s="48"/>
      <c r="W19" s="48"/>
      <c r="X19" s="48"/>
      <c r="Y19" s="48"/>
      <c r="Z19" s="48"/>
      <c r="AA19" s="48"/>
      <c r="AB19" s="48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2:56">
      <c r="B20" s="1243" t="s">
        <v>559</v>
      </c>
      <c r="C20" s="1244"/>
      <c r="D20" s="1244"/>
      <c r="E20" s="1244"/>
      <c r="F20" s="1244"/>
      <c r="G20" s="1245"/>
      <c r="H20" s="420">
        <f>H17-H18</f>
        <v>0</v>
      </c>
      <c r="I20" s="52"/>
      <c r="J20" s="53"/>
      <c r="K20" s="53"/>
      <c r="L20" s="54"/>
      <c r="M20" s="32"/>
      <c r="N20" s="32"/>
      <c r="O20" s="32"/>
      <c r="P20" s="32"/>
      <c r="Q20" s="32"/>
      <c r="R20" s="32"/>
      <c r="S20" s="32"/>
      <c r="T20" s="48"/>
      <c r="U20" s="48"/>
      <c r="V20" s="48"/>
      <c r="W20" s="48"/>
      <c r="X20" s="48"/>
      <c r="Y20" s="48"/>
      <c r="Z20" s="48"/>
      <c r="AA20" s="48"/>
      <c r="AB20" s="48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2:56">
      <c r="B21" s="1243" t="s">
        <v>560</v>
      </c>
      <c r="C21" s="1244"/>
      <c r="D21" s="1244"/>
      <c r="E21" s="1244"/>
      <c r="F21" s="1244"/>
      <c r="G21" s="1245"/>
      <c r="H21" s="421">
        <f>H20</f>
        <v>0</v>
      </c>
      <c r="I21" s="52"/>
      <c r="J21" s="53"/>
      <c r="K21" s="53"/>
      <c r="L21" s="54"/>
      <c r="M21" s="32"/>
      <c r="N21" s="32"/>
      <c r="O21" s="32"/>
      <c r="P21" s="32"/>
      <c r="Q21" s="32"/>
      <c r="R21" s="32"/>
      <c r="S21" s="48"/>
      <c r="T21" s="48"/>
      <c r="U21" s="48"/>
      <c r="V21" s="48"/>
      <c r="W21" s="48"/>
      <c r="X21" s="48"/>
      <c r="Y21" s="48"/>
      <c r="Z21" s="48"/>
      <c r="AA21" s="48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2:56">
      <c r="B22" s="32"/>
      <c r="C22" s="32"/>
      <c r="D22" s="32"/>
      <c r="E22" s="32"/>
      <c r="F22" s="32"/>
      <c r="G22" s="32"/>
      <c r="H22" s="32"/>
      <c r="I22" s="57"/>
      <c r="J22" s="52"/>
      <c r="K22" s="52"/>
      <c r="L22" s="55"/>
      <c r="M22" s="32"/>
      <c r="N22" s="32"/>
      <c r="O22" s="52"/>
      <c r="P22" s="32"/>
      <c r="Q22" s="32"/>
      <c r="R22" s="32"/>
      <c r="S22" s="32"/>
      <c r="T22" s="48"/>
      <c r="U22" s="48"/>
      <c r="V22" s="48"/>
      <c r="W22" s="48"/>
      <c r="X22" s="48"/>
      <c r="Y22" s="48"/>
      <c r="Z22" s="48"/>
      <c r="AA22" s="48"/>
      <c r="AB22" s="48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</row>
    <row r="23" spans="2:56">
      <c r="B23" s="40" t="s">
        <v>561</v>
      </c>
      <c r="C23" s="40"/>
      <c r="D23" s="32"/>
      <c r="E23" s="32"/>
      <c r="F23" s="32"/>
      <c r="G23" s="32"/>
      <c r="H23" s="32"/>
      <c r="I23" s="32"/>
      <c r="J23" s="52"/>
      <c r="K23" s="52"/>
      <c r="L23" s="55"/>
      <c r="M23" s="32"/>
      <c r="N23" s="32"/>
      <c r="O23" s="52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BD23" s="32"/>
    </row>
    <row r="24" spans="2:56">
      <c r="B24" s="422"/>
      <c r="C24" s="1291"/>
      <c r="D24" s="1292"/>
      <c r="E24" s="1292"/>
      <c r="F24" s="1292"/>
      <c r="G24" s="1292"/>
      <c r="H24" s="1292"/>
      <c r="I24" s="1292"/>
      <c r="J24" s="1292"/>
      <c r="K24" s="1293"/>
      <c r="L24" s="55"/>
      <c r="M24" s="32"/>
      <c r="N24" s="32"/>
      <c r="O24" s="52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</row>
    <row r="26" spans="2:56">
      <c r="B26" s="28" t="s">
        <v>126</v>
      </c>
      <c r="C26" s="28"/>
      <c r="D26" s="29"/>
      <c r="E26" s="30" t="s">
        <v>511</v>
      </c>
      <c r="F26" s="31" t="s">
        <v>2211</v>
      </c>
      <c r="G26" s="32"/>
      <c r="H26" s="33"/>
      <c r="I26" s="34"/>
      <c r="J26" s="35" t="s">
        <v>513</v>
      </c>
      <c r="K26" s="36" t="s">
        <v>511</v>
      </c>
      <c r="L26" s="37">
        <v>45141.364583333336</v>
      </c>
      <c r="M26" s="32"/>
      <c r="N26" s="32"/>
      <c r="O26" s="206"/>
      <c r="P26" s="205"/>
      <c r="Q26" s="202"/>
      <c r="R26" s="204"/>
      <c r="S26" s="38"/>
      <c r="T26" s="201"/>
      <c r="U26" s="201"/>
      <c r="V26" s="201"/>
      <c r="W26" s="201"/>
      <c r="X26" s="201"/>
      <c r="Y26" s="201"/>
      <c r="Z26" s="201"/>
      <c r="AA26" s="201"/>
      <c r="AB26" s="202"/>
      <c r="AC26" s="202"/>
      <c r="AD26" s="202"/>
      <c r="AE26" s="202"/>
      <c r="AF26" s="202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</row>
    <row r="27" spans="2:56">
      <c r="B27" s="35" t="s">
        <v>514</v>
      </c>
      <c r="C27" s="35"/>
      <c r="D27" s="32"/>
      <c r="E27" s="36" t="s">
        <v>511</v>
      </c>
      <c r="F27" s="311" t="s">
        <v>2212</v>
      </c>
      <c r="G27" s="59" t="s">
        <v>647</v>
      </c>
      <c r="H27" s="33"/>
      <c r="I27" s="34"/>
      <c r="J27" s="35" t="s">
        <v>516</v>
      </c>
      <c r="K27" s="36" t="s">
        <v>511</v>
      </c>
      <c r="L27" s="37">
        <v>45145.847222222219</v>
      </c>
      <c r="M27" s="32"/>
      <c r="N27" s="32"/>
      <c r="O27" s="206"/>
      <c r="P27" s="205"/>
      <c r="Q27" s="202"/>
      <c r="R27" s="204"/>
      <c r="S27" s="38"/>
      <c r="T27" s="201"/>
      <c r="U27" s="201"/>
      <c r="V27" s="201"/>
      <c r="W27" s="201"/>
      <c r="X27" s="201"/>
      <c r="Y27" s="201"/>
      <c r="Z27" s="201"/>
      <c r="AA27" s="201"/>
      <c r="AB27" s="202"/>
      <c r="AC27" s="202"/>
      <c r="AD27" s="202"/>
      <c r="AE27" s="202"/>
      <c r="AF27" s="202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</row>
    <row r="28" spans="2:56">
      <c r="B28" s="35" t="s">
        <v>517</v>
      </c>
      <c r="C28" s="35"/>
      <c r="D28" s="32"/>
      <c r="E28" s="36" t="s">
        <v>511</v>
      </c>
      <c r="F28" s="37">
        <v>45129.125</v>
      </c>
      <c r="G28" s="60">
        <v>45130</v>
      </c>
      <c r="H28" s="33"/>
      <c r="I28" s="34"/>
      <c r="J28" s="35" t="s">
        <v>518</v>
      </c>
      <c r="K28" s="36" t="s">
        <v>511</v>
      </c>
      <c r="L28" s="50">
        <v>88000</v>
      </c>
      <c r="M28" s="40" t="s">
        <v>519</v>
      </c>
      <c r="N28" s="40"/>
      <c r="O28" s="206"/>
      <c r="P28" s="205"/>
      <c r="Q28" s="202"/>
      <c r="R28" s="204"/>
      <c r="S28" s="38"/>
      <c r="T28" s="201"/>
      <c r="U28" s="201"/>
      <c r="V28" s="201"/>
      <c r="W28" s="201"/>
      <c r="X28" s="201"/>
      <c r="Y28" s="201"/>
      <c r="Z28" s="201"/>
      <c r="AA28" s="201"/>
      <c r="AB28" s="202"/>
      <c r="AC28" s="202"/>
      <c r="AD28" s="202"/>
      <c r="AE28" s="202"/>
      <c r="AF28" s="202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  <c r="BB28" s="201"/>
    </row>
    <row r="29" spans="2:56">
      <c r="B29" s="35" t="s">
        <v>520</v>
      </c>
      <c r="C29" s="35"/>
      <c r="D29" s="32"/>
      <c r="E29" s="36" t="s">
        <v>511</v>
      </c>
      <c r="F29" s="37" t="s">
        <v>4</v>
      </c>
      <c r="G29" s="32"/>
      <c r="H29" s="33"/>
      <c r="I29" s="34"/>
      <c r="J29" s="35" t="s">
        <v>521</v>
      </c>
      <c r="K29" s="36" t="s">
        <v>511</v>
      </c>
      <c r="L29" s="41" t="s">
        <v>2213</v>
      </c>
      <c r="M29" s="32"/>
      <c r="N29" s="32"/>
      <c r="O29" s="206"/>
      <c r="P29" s="202"/>
      <c r="Q29" s="202"/>
      <c r="R29" s="204"/>
      <c r="S29" s="38"/>
      <c r="T29" s="201"/>
      <c r="U29" s="201"/>
      <c r="V29" s="201"/>
      <c r="W29" s="201"/>
      <c r="X29" s="201"/>
      <c r="Y29" s="201"/>
      <c r="Z29" s="201"/>
      <c r="AA29" s="201"/>
      <c r="AB29" s="202"/>
      <c r="AC29" s="202"/>
      <c r="AD29" s="202"/>
      <c r="AE29" s="202"/>
      <c r="AF29" s="202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</row>
    <row r="30" spans="2:56">
      <c r="B30" s="35" t="s">
        <v>523</v>
      </c>
      <c r="C30" s="35"/>
      <c r="D30" s="32"/>
      <c r="E30" s="36" t="s">
        <v>511</v>
      </c>
      <c r="F30" s="37" t="s">
        <v>5</v>
      </c>
      <c r="G30" s="32"/>
      <c r="H30" s="33"/>
      <c r="I30" s="34"/>
      <c r="J30" s="42" t="s">
        <v>524</v>
      </c>
      <c r="K30" s="36" t="s">
        <v>511</v>
      </c>
      <c r="L30" s="43" t="s">
        <v>15</v>
      </c>
      <c r="M30" s="44"/>
      <c r="N30" s="44"/>
      <c r="O30" s="206"/>
      <c r="P30" s="205"/>
      <c r="Q30" s="202"/>
      <c r="R30" s="204"/>
      <c r="S30" s="38"/>
      <c r="T30" s="201"/>
      <c r="U30" s="201"/>
      <c r="V30" s="201"/>
      <c r="W30" s="201"/>
      <c r="X30" s="201"/>
      <c r="Y30" s="201"/>
      <c r="Z30" s="201"/>
      <c r="AA30" s="201"/>
      <c r="AB30" s="202"/>
      <c r="AC30" s="202"/>
      <c r="AD30" s="202"/>
      <c r="AE30" s="202"/>
      <c r="AF30" s="202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</row>
    <row r="31" spans="2:56">
      <c r="B31" s="35" t="s">
        <v>2</v>
      </c>
      <c r="C31" s="35"/>
      <c r="D31" s="32"/>
      <c r="E31" s="36" t="s">
        <v>511</v>
      </c>
      <c r="F31" s="37" t="s">
        <v>14</v>
      </c>
      <c r="G31" s="32"/>
      <c r="H31" s="33"/>
      <c r="I31" s="45"/>
      <c r="J31" s="42"/>
      <c r="K31" s="36"/>
      <c r="L31" s="211"/>
      <c r="M31" s="201"/>
      <c r="N31" s="201"/>
      <c r="O31" s="42"/>
      <c r="P31" s="44"/>
      <c r="Q31" s="44"/>
      <c r="R31" s="44"/>
      <c r="S31" s="34"/>
      <c r="T31" s="201"/>
      <c r="U31" s="201"/>
      <c r="V31" s="201"/>
      <c r="W31" s="201"/>
      <c r="X31" s="201"/>
      <c r="Y31" s="201"/>
      <c r="Z31" s="201"/>
      <c r="AA31" s="201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</row>
    <row r="32" spans="2:56">
      <c r="B32" s="201"/>
      <c r="C32" s="201"/>
      <c r="D32" s="201"/>
      <c r="E32" s="201"/>
      <c r="F32" s="201"/>
      <c r="G32" s="201"/>
      <c r="H32" s="201"/>
      <c r="I32" s="45"/>
      <c r="J32" s="42"/>
      <c r="K32" s="42"/>
      <c r="L32" s="43"/>
      <c r="M32" s="44"/>
      <c r="N32" s="44"/>
      <c r="O32" s="42"/>
      <c r="P32" s="44"/>
      <c r="Q32" s="44"/>
      <c r="R32" s="44"/>
      <c r="S32" s="34"/>
      <c r="T32" s="1265" t="s">
        <v>87</v>
      </c>
      <c r="U32" s="1265"/>
      <c r="V32" s="1265"/>
      <c r="W32" s="1265"/>
      <c r="X32" s="1265"/>
      <c r="Y32" s="1265" t="s">
        <v>73</v>
      </c>
      <c r="Z32" s="1265"/>
      <c r="AA32" s="1265"/>
      <c r="AB32" s="1265" t="s">
        <v>74</v>
      </c>
      <c r="AC32" s="1265"/>
      <c r="AD32" s="423" t="s">
        <v>85</v>
      </c>
      <c r="AE32" s="423" t="s">
        <v>77</v>
      </c>
      <c r="AF32" s="1265" t="s">
        <v>525</v>
      </c>
      <c r="AG32" s="1265"/>
      <c r="AH32" s="1265"/>
      <c r="AI32" s="1265"/>
      <c r="AJ32" s="1265"/>
      <c r="AK32" s="1265"/>
      <c r="AL32" s="1265"/>
      <c r="AM32" s="1265"/>
      <c r="AN32" s="1265"/>
      <c r="AO32" s="1265"/>
      <c r="AP32" s="1265"/>
      <c r="AQ32" s="1265"/>
      <c r="AR32" s="1265"/>
      <c r="AS32" s="1265"/>
      <c r="AT32" s="1265"/>
      <c r="AU32" s="1265"/>
      <c r="AV32" s="1265"/>
      <c r="AW32" s="1265"/>
      <c r="AX32" s="1265"/>
      <c r="AY32" s="1265"/>
      <c r="AZ32" s="1265"/>
      <c r="BA32" s="1265"/>
      <c r="BB32" s="201"/>
    </row>
    <row r="33" spans="2:54">
      <c r="B33" s="1266" t="s">
        <v>526</v>
      </c>
      <c r="C33" s="1267"/>
      <c r="D33" s="570" t="s">
        <v>527</v>
      </c>
      <c r="E33" s="570"/>
      <c r="F33" s="570" t="s">
        <v>528</v>
      </c>
      <c r="G33" s="570" t="s">
        <v>529</v>
      </c>
      <c r="H33" s="570" t="s">
        <v>530</v>
      </c>
      <c r="I33" s="570" t="s">
        <v>531</v>
      </c>
      <c r="J33" s="570" t="s">
        <v>532</v>
      </c>
      <c r="K33" s="570"/>
      <c r="L33" s="570" t="s">
        <v>130</v>
      </c>
      <c r="M33" s="570" t="s">
        <v>533</v>
      </c>
      <c r="N33" s="408" t="str">
        <f>"On time - "&amp;COUNTIF(N34:N63,"On time")&amp;" from "&amp;ROWS(N34:N63)-COUNTIF(N34:N63," ")</f>
        <v>On time - 0 from 13</v>
      </c>
      <c r="O33" s="46"/>
      <c r="P33" s="409" t="s">
        <v>534</v>
      </c>
      <c r="Q33" s="409" t="s">
        <v>535</v>
      </c>
      <c r="R33" s="409" t="s">
        <v>536</v>
      </c>
      <c r="S33" s="32"/>
      <c r="T33" s="424" t="s">
        <v>537</v>
      </c>
      <c r="U33" s="424" t="s">
        <v>538</v>
      </c>
      <c r="V33" s="424" t="s">
        <v>539</v>
      </c>
      <c r="W33" s="424" t="s">
        <v>540</v>
      </c>
      <c r="X33" s="424" t="s">
        <v>541</v>
      </c>
      <c r="Y33" s="424" t="s">
        <v>167</v>
      </c>
      <c r="Z33" s="424" t="s">
        <v>168</v>
      </c>
      <c r="AA33" s="424" t="s">
        <v>169</v>
      </c>
      <c r="AB33" s="424" t="s">
        <v>235</v>
      </c>
      <c r="AC33" s="424" t="s">
        <v>240</v>
      </c>
      <c r="AD33" s="423" t="s">
        <v>85</v>
      </c>
      <c r="AE33" s="424" t="s">
        <v>139</v>
      </c>
      <c r="AF33" s="424" t="s">
        <v>72</v>
      </c>
      <c r="AG33" s="424" t="s">
        <v>88</v>
      </c>
      <c r="AH33" s="424" t="s">
        <v>75</v>
      </c>
      <c r="AI33" s="424" t="s">
        <v>543</v>
      </c>
      <c r="AJ33" s="424" t="s">
        <v>78</v>
      </c>
      <c r="AK33" s="424" t="s">
        <v>76</v>
      </c>
      <c r="AL33" s="424" t="s">
        <v>544</v>
      </c>
      <c r="AM33" s="424" t="s">
        <v>545</v>
      </c>
      <c r="AN33" s="424" t="s">
        <v>86</v>
      </c>
      <c r="AO33" s="424" t="s">
        <v>83</v>
      </c>
      <c r="AP33" s="424" t="s">
        <v>84</v>
      </c>
      <c r="AQ33" s="424" t="s">
        <v>546</v>
      </c>
      <c r="AR33" s="424" t="s">
        <v>81</v>
      </c>
      <c r="AS33" s="424" t="s">
        <v>80</v>
      </c>
      <c r="AT33" s="424" t="s">
        <v>82</v>
      </c>
      <c r="AU33" s="424" t="s">
        <v>181</v>
      </c>
      <c r="AV33" s="424" t="s">
        <v>183</v>
      </c>
      <c r="AW33" s="424" t="s">
        <v>547</v>
      </c>
      <c r="AX33" s="424" t="s">
        <v>182</v>
      </c>
      <c r="AY33" s="424" t="s">
        <v>172</v>
      </c>
      <c r="AZ33" s="424" t="s">
        <v>173</v>
      </c>
      <c r="BA33" s="424" t="s">
        <v>184</v>
      </c>
      <c r="BB33" s="201"/>
    </row>
    <row r="34" spans="2:54">
      <c r="B34" s="1256" t="s">
        <v>616</v>
      </c>
      <c r="C34" s="1257"/>
      <c r="D34" s="411" t="s">
        <v>2214</v>
      </c>
      <c r="E34" s="444"/>
      <c r="F34" s="411" t="s">
        <v>371</v>
      </c>
      <c r="G34" s="411" t="s">
        <v>372</v>
      </c>
      <c r="H34" s="412">
        <v>7500.3540000000003</v>
      </c>
      <c r="I34" s="413" t="s">
        <v>172</v>
      </c>
      <c r="J34" s="414">
        <v>45136.892361111109</v>
      </c>
      <c r="K34" s="414"/>
      <c r="L34" s="414" t="s">
        <v>192</v>
      </c>
      <c r="M34" s="414" t="s">
        <v>192</v>
      </c>
      <c r="N34" s="413" t="str">
        <f>IF(ISBLANK(J34)," ",IF(J34&lt;$G$28,"On time",(IF(DAY(J34-$G$28)&lt;1,"On time",(IF(J34&gt;$G$28,"DELAY ( "&amp;DAY(J34-$G$28)&amp;" day "&amp;HOUR(J34-$G$28)&amp;" hour "&amp;MINUTE(J34-$G$28)&amp;" minute )","xxx"))))))</f>
        <v>DELAY ( 6 day 21 hour 25 minute )</v>
      </c>
      <c r="O34" s="51"/>
      <c r="P34" s="415" t="s">
        <v>551</v>
      </c>
      <c r="Q34" s="415" t="s">
        <v>551</v>
      </c>
      <c r="R34" s="415" t="s">
        <v>551</v>
      </c>
      <c r="S34" s="32"/>
      <c r="T34" s="416"/>
      <c r="U34" s="416"/>
      <c r="V34" s="416"/>
      <c r="W34" s="416"/>
      <c r="X34" s="416"/>
      <c r="Y34" s="416"/>
      <c r="Z34" s="416"/>
      <c r="AA34" s="416"/>
      <c r="AB34" s="416"/>
      <c r="AC34" s="416"/>
      <c r="AD34" s="416"/>
      <c r="AE34" s="416"/>
      <c r="AF34" s="416"/>
      <c r="AG34" s="416"/>
      <c r="AH34" s="416"/>
      <c r="AI34" s="416"/>
      <c r="AJ34" s="32"/>
      <c r="AK34" s="416"/>
      <c r="AL34" s="416"/>
      <c r="AM34" s="416"/>
      <c r="AN34" s="416"/>
      <c r="AO34" s="416"/>
      <c r="AP34" s="416"/>
      <c r="AQ34" s="416"/>
      <c r="AR34" s="416"/>
      <c r="AS34" s="416"/>
      <c r="AT34" s="416"/>
      <c r="AU34" s="416"/>
      <c r="AV34" s="416"/>
      <c r="AW34" s="416"/>
      <c r="AX34" s="416"/>
      <c r="AY34" s="286">
        <f>H34</f>
        <v>7500.3540000000003</v>
      </c>
      <c r="AZ34" s="416"/>
      <c r="BA34" s="416"/>
      <c r="BB34" s="32"/>
    </row>
    <row r="35" spans="2:54">
      <c r="B35" s="1256" t="s">
        <v>616</v>
      </c>
      <c r="C35" s="1257"/>
      <c r="D35" s="411" t="s">
        <v>2215</v>
      </c>
      <c r="E35" s="444"/>
      <c r="F35" s="411" t="s">
        <v>70</v>
      </c>
      <c r="G35" s="411" t="s">
        <v>1982</v>
      </c>
      <c r="H35" s="412">
        <v>7500</v>
      </c>
      <c r="I35" s="413" t="s">
        <v>76</v>
      </c>
      <c r="J35" s="414">
        <v>45137.145833333336</v>
      </c>
      <c r="K35" s="414"/>
      <c r="L35" s="414" t="s">
        <v>192</v>
      </c>
      <c r="M35" s="414" t="s">
        <v>192</v>
      </c>
      <c r="N35" s="413" t="str">
        <f t="shared" ref="N35:N63" si="2">IF(ISBLANK(J35)," ",IF(J35&lt;$G$28,"On time",(IF(DAY(J35-$G$28)&lt;1,"On time",(IF(J35&gt;$G$28,"DELAY ( "&amp;DAY(J35-$G$28)&amp;" day "&amp;HOUR(J35-$G$28)&amp;" hour "&amp;MINUTE(J35-$G$28)&amp;" minute )","xxx"))))))</f>
        <v>DELAY ( 7 day 3 hour 30 minute )</v>
      </c>
      <c r="O35" s="51"/>
      <c r="P35" s="415" t="s">
        <v>551</v>
      </c>
      <c r="Q35" s="415" t="s">
        <v>551</v>
      </c>
      <c r="R35" s="415" t="s">
        <v>551</v>
      </c>
      <c r="S35" s="32"/>
      <c r="T35" s="416"/>
      <c r="U35" s="416"/>
      <c r="V35" s="416"/>
      <c r="W35" s="416"/>
      <c r="X35" s="416"/>
      <c r="Y35" s="416"/>
      <c r="Z35" s="416"/>
      <c r="AA35" s="416"/>
      <c r="AB35" s="416"/>
      <c r="AC35" s="416"/>
      <c r="AD35" s="416"/>
      <c r="AE35" s="416"/>
      <c r="AF35" s="416"/>
      <c r="AG35" s="416"/>
      <c r="AH35" s="416"/>
      <c r="AI35" s="416"/>
      <c r="AJ35" s="416"/>
      <c r="AK35" s="416">
        <f>H35</f>
        <v>7500</v>
      </c>
      <c r="AL35" s="416"/>
      <c r="AM35" s="416"/>
      <c r="AN35" s="416"/>
      <c r="AO35" s="416"/>
      <c r="AP35" s="416"/>
      <c r="AQ35" s="416"/>
      <c r="AR35" s="416"/>
      <c r="AS35" s="416"/>
      <c r="AT35" s="416"/>
      <c r="AU35" s="416"/>
      <c r="AV35" s="416"/>
      <c r="AW35" s="416"/>
      <c r="AX35" s="416"/>
      <c r="AY35" s="416"/>
      <c r="AZ35" s="416"/>
      <c r="BA35" s="416"/>
      <c r="BB35" s="32"/>
    </row>
    <row r="36" spans="2:54">
      <c r="B36" s="1256" t="s">
        <v>668</v>
      </c>
      <c r="C36" s="1257"/>
      <c r="D36" s="411" t="s">
        <v>2216</v>
      </c>
      <c r="E36" s="444"/>
      <c r="F36" s="411" t="s">
        <v>292</v>
      </c>
      <c r="G36" s="411" t="s">
        <v>293</v>
      </c>
      <c r="H36" s="412">
        <v>7591.9350000000004</v>
      </c>
      <c r="I36" s="413" t="s">
        <v>2217</v>
      </c>
      <c r="J36" s="414">
        <v>45137.166666666664</v>
      </c>
      <c r="K36" s="414"/>
      <c r="L36" s="414" t="s">
        <v>192</v>
      </c>
      <c r="M36" s="414" t="s">
        <v>192</v>
      </c>
      <c r="N36" s="413" t="str">
        <f t="shared" si="2"/>
        <v>DELAY ( 7 day 4 hour 0 minute )</v>
      </c>
      <c r="O36" s="51"/>
      <c r="P36" s="415" t="s">
        <v>551</v>
      </c>
      <c r="Q36" s="415" t="s">
        <v>551</v>
      </c>
      <c r="R36" s="415" t="s">
        <v>551</v>
      </c>
      <c r="S36" s="32"/>
      <c r="T36" s="416"/>
      <c r="U36" s="416"/>
      <c r="V36" s="416"/>
      <c r="W36" s="416"/>
      <c r="X36" s="416"/>
      <c r="Y36" s="416">
        <f>H36</f>
        <v>7591.9350000000004</v>
      </c>
      <c r="Z36" s="416"/>
      <c r="AA36" s="416"/>
      <c r="AB36" s="416"/>
      <c r="AC36" s="416"/>
      <c r="AD36" s="416"/>
      <c r="AE36" s="416"/>
      <c r="AF36" s="416"/>
      <c r="AG36" s="416"/>
      <c r="AH36" s="416"/>
      <c r="AI36" s="416"/>
      <c r="AJ36" s="416"/>
      <c r="AK36" s="416"/>
      <c r="AL36" s="416"/>
      <c r="AM36" s="416"/>
      <c r="AN36" s="416"/>
      <c r="AO36" s="416"/>
      <c r="AP36" s="416"/>
      <c r="AQ36" s="416"/>
      <c r="AR36" s="416"/>
      <c r="AS36" s="416"/>
      <c r="AT36" s="416"/>
      <c r="AU36" s="416"/>
      <c r="AV36" s="416"/>
      <c r="AW36" s="416"/>
      <c r="AX36" s="416"/>
      <c r="AY36" s="416"/>
      <c r="AZ36" s="416"/>
      <c r="BA36" s="416"/>
      <c r="BB36" s="32"/>
    </row>
    <row r="37" spans="2:54">
      <c r="B37" s="1256" t="s">
        <v>668</v>
      </c>
      <c r="C37" s="1257"/>
      <c r="D37" s="411" t="s">
        <v>2218</v>
      </c>
      <c r="E37" s="444"/>
      <c r="F37" s="411" t="s">
        <v>774</v>
      </c>
      <c r="G37" s="411" t="s">
        <v>423</v>
      </c>
      <c r="H37" s="412">
        <v>7634.8109999999997</v>
      </c>
      <c r="I37" s="413" t="s">
        <v>2217</v>
      </c>
      <c r="J37" s="414">
        <v>45137.333333333336</v>
      </c>
      <c r="K37" s="414"/>
      <c r="L37" s="414" t="s">
        <v>192</v>
      </c>
      <c r="M37" s="414" t="s">
        <v>192</v>
      </c>
      <c r="N37" s="413" t="str">
        <f t="shared" si="2"/>
        <v>DELAY ( 7 day 8 hour 0 minute )</v>
      </c>
      <c r="O37" s="51"/>
      <c r="P37" s="415" t="s">
        <v>551</v>
      </c>
      <c r="Q37" s="415" t="s">
        <v>551</v>
      </c>
      <c r="R37" s="415" t="s">
        <v>551</v>
      </c>
      <c r="S37" s="32"/>
      <c r="T37" s="416"/>
      <c r="U37" s="416"/>
      <c r="V37" s="416"/>
      <c r="W37" s="416"/>
      <c r="X37" s="416"/>
      <c r="Y37" s="416">
        <f>H37</f>
        <v>7634.8109999999997</v>
      </c>
      <c r="Z37" s="416"/>
      <c r="AA37" s="416"/>
      <c r="AB37" s="416"/>
      <c r="AC37" s="416"/>
      <c r="AD37" s="416"/>
      <c r="AE37" s="416"/>
      <c r="AF37" s="416"/>
      <c r="AG37" s="416"/>
      <c r="AH37" s="416"/>
      <c r="AI37" s="416"/>
      <c r="AJ37" s="416"/>
      <c r="AK37" s="416"/>
      <c r="AL37" s="416"/>
      <c r="AM37" s="416"/>
      <c r="AN37" s="416"/>
      <c r="AO37" s="416"/>
      <c r="AP37" s="416"/>
      <c r="AQ37" s="416"/>
      <c r="AR37" s="416"/>
      <c r="AS37" s="416"/>
      <c r="AT37" s="416"/>
      <c r="AU37" s="416"/>
      <c r="AV37" s="416"/>
      <c r="AW37" s="416"/>
      <c r="AX37" s="416"/>
      <c r="AY37" s="416"/>
      <c r="AZ37" s="416"/>
      <c r="BA37" s="416"/>
      <c r="BB37" s="32"/>
    </row>
    <row r="38" spans="2:54">
      <c r="B38" s="1258" t="s">
        <v>1721</v>
      </c>
      <c r="C38" s="1259"/>
      <c r="D38" s="1259"/>
      <c r="E38" s="1259"/>
      <c r="F38" s="1259"/>
      <c r="G38" s="1260"/>
      <c r="H38" s="417">
        <f>SUM(H34:H37)</f>
        <v>30227.1</v>
      </c>
      <c r="I38" s="388"/>
      <c r="J38" s="367"/>
      <c r="K38" s="293"/>
      <c r="L38" s="293"/>
      <c r="M38" s="389"/>
      <c r="N38" s="413" t="str">
        <f t="shared" si="2"/>
        <v xml:space="preserve"> </v>
      </c>
      <c r="O38" s="47"/>
      <c r="P38" s="418"/>
      <c r="Q38" s="418"/>
      <c r="R38" s="418"/>
      <c r="S38" s="32"/>
      <c r="T38" s="416"/>
      <c r="U38" s="416"/>
      <c r="V38" s="416"/>
      <c r="W38" s="416"/>
      <c r="X38" s="416"/>
      <c r="Y38" s="416"/>
      <c r="Z38" s="416"/>
      <c r="AA38" s="416"/>
      <c r="AB38" s="416"/>
      <c r="AC38" s="416"/>
      <c r="AD38" s="416"/>
      <c r="AE38" s="416"/>
      <c r="AF38" s="416"/>
      <c r="AG38" s="416"/>
      <c r="AH38" s="416"/>
      <c r="AI38" s="416"/>
      <c r="AJ38" s="416"/>
      <c r="AK38" s="416"/>
      <c r="AL38" s="416"/>
      <c r="AM38" s="416"/>
      <c r="AN38" s="416"/>
      <c r="AO38" s="416"/>
      <c r="AP38" s="416"/>
      <c r="AQ38" s="416"/>
      <c r="AR38" s="416"/>
      <c r="AS38" s="416"/>
      <c r="AT38" s="416"/>
      <c r="AU38" s="416"/>
      <c r="AV38" s="416"/>
      <c r="AW38" s="416"/>
      <c r="AX38" s="416"/>
      <c r="AY38" s="416"/>
      <c r="AZ38" s="416"/>
      <c r="BA38" s="416"/>
    </row>
    <row r="39" spans="2:54">
      <c r="B39" s="1256" t="s">
        <v>619</v>
      </c>
      <c r="C39" s="1257"/>
      <c r="D39" s="411" t="s">
        <v>2188</v>
      </c>
      <c r="E39" s="411"/>
      <c r="F39" s="411" t="s">
        <v>249</v>
      </c>
      <c r="G39" s="411" t="s">
        <v>250</v>
      </c>
      <c r="H39" s="412">
        <v>535.09500000000003</v>
      </c>
      <c r="I39" s="413" t="s">
        <v>235</v>
      </c>
      <c r="J39" s="414">
        <v>45136.21875</v>
      </c>
      <c r="K39" s="414"/>
      <c r="L39" s="414" t="s">
        <v>192</v>
      </c>
      <c r="M39" s="414" t="s">
        <v>192</v>
      </c>
      <c r="N39" s="413" t="str">
        <f t="shared" si="2"/>
        <v>DELAY ( 6 day 5 hour 15 minute )</v>
      </c>
      <c r="O39" s="51"/>
      <c r="P39" s="415" t="s">
        <v>551</v>
      </c>
      <c r="Q39" s="415" t="s">
        <v>551</v>
      </c>
      <c r="R39" s="415" t="s">
        <v>551</v>
      </c>
      <c r="S39" s="32"/>
      <c r="T39" s="416"/>
      <c r="U39" s="416"/>
      <c r="V39" s="416"/>
      <c r="W39" s="416"/>
      <c r="X39" s="416"/>
      <c r="Y39" s="416"/>
      <c r="Z39" s="416"/>
      <c r="AA39" s="416"/>
      <c r="AB39" s="416">
        <f>H39</f>
        <v>535.09500000000003</v>
      </c>
      <c r="AC39" s="416"/>
      <c r="AD39" s="416"/>
      <c r="AE39" s="416"/>
      <c r="AF39" s="416"/>
      <c r="AG39" s="416"/>
      <c r="AH39" s="416"/>
      <c r="AI39" s="416"/>
      <c r="AJ39" s="416"/>
      <c r="AK39" s="416"/>
      <c r="AL39" s="416"/>
      <c r="AM39" s="416"/>
      <c r="AN39" s="416"/>
      <c r="AO39" s="416"/>
      <c r="AP39" s="416"/>
      <c r="AQ39" s="416"/>
      <c r="AR39" s="416"/>
      <c r="AS39" s="416"/>
      <c r="AT39" s="416"/>
      <c r="AU39" s="416"/>
      <c r="AV39" s="416"/>
      <c r="AW39" s="416"/>
      <c r="AX39" s="416"/>
      <c r="AY39" s="286"/>
      <c r="AZ39" s="416"/>
      <c r="BA39" s="416"/>
      <c r="BB39" s="32"/>
    </row>
    <row r="40" spans="2:54">
      <c r="B40" s="1256" t="s">
        <v>621</v>
      </c>
      <c r="C40" s="1257"/>
      <c r="D40" s="411" t="s">
        <v>2170</v>
      </c>
      <c r="E40" s="411"/>
      <c r="F40" s="411" t="s">
        <v>380</v>
      </c>
      <c r="G40" s="411" t="s">
        <v>381</v>
      </c>
      <c r="H40" s="412">
        <v>928.23500000000001</v>
      </c>
      <c r="I40" s="413" t="s">
        <v>418</v>
      </c>
      <c r="J40" s="414">
        <v>45135.958333333336</v>
      </c>
      <c r="K40" s="414"/>
      <c r="L40" s="414" t="s">
        <v>192</v>
      </c>
      <c r="M40" s="414" t="s">
        <v>192</v>
      </c>
      <c r="N40" s="413" t="str">
        <f t="shared" si="2"/>
        <v>DELAY ( 5 day 23 hour 0 minute )</v>
      </c>
      <c r="O40" s="51"/>
      <c r="P40" s="415" t="s">
        <v>551</v>
      </c>
      <c r="Q40" s="415" t="s">
        <v>551</v>
      </c>
      <c r="R40" s="415" t="s">
        <v>551</v>
      </c>
      <c r="S40" s="32"/>
      <c r="T40" s="416"/>
      <c r="U40" s="416"/>
      <c r="V40" s="416"/>
      <c r="W40" s="416"/>
      <c r="X40" s="416"/>
      <c r="Y40" s="416"/>
      <c r="Z40" s="416"/>
      <c r="AA40" s="416"/>
      <c r="AB40" s="416">
        <f>(H40*0.6)</f>
        <v>556.94100000000003</v>
      </c>
      <c r="AC40" s="416">
        <f>(H40*0.4)</f>
        <v>371.29400000000004</v>
      </c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/>
      <c r="AR40" s="416"/>
      <c r="AS40" s="416"/>
      <c r="AT40" s="416"/>
      <c r="AU40" s="416"/>
      <c r="AV40" s="416"/>
      <c r="AW40" s="416"/>
      <c r="AX40" s="416"/>
      <c r="AY40" s="416"/>
      <c r="AZ40" s="416"/>
      <c r="BA40" s="416"/>
      <c r="BB40" s="32"/>
    </row>
    <row r="41" spans="2:54">
      <c r="B41" s="1250" t="s">
        <v>622</v>
      </c>
      <c r="C41" s="1251"/>
      <c r="D41" s="411" t="s">
        <v>2219</v>
      </c>
      <c r="E41" s="411"/>
      <c r="F41" s="411" t="s">
        <v>473</v>
      </c>
      <c r="G41" s="411" t="s">
        <v>474</v>
      </c>
      <c r="H41" s="412">
        <v>7400.2460000000001</v>
      </c>
      <c r="I41" s="413" t="s">
        <v>2068</v>
      </c>
      <c r="J41" s="414">
        <v>45138.354166666664</v>
      </c>
      <c r="K41" s="414"/>
      <c r="L41" s="414" t="s">
        <v>192</v>
      </c>
      <c r="M41" s="414" t="s">
        <v>192</v>
      </c>
      <c r="N41" s="413" t="str">
        <f t="shared" si="2"/>
        <v>DELAY ( 8 day 8 hour 30 minute )</v>
      </c>
      <c r="O41" s="51"/>
      <c r="P41" s="415" t="s">
        <v>551</v>
      </c>
      <c r="Q41" s="415" t="s">
        <v>551</v>
      </c>
      <c r="R41" s="415" t="s">
        <v>551</v>
      </c>
      <c r="S41" s="32"/>
      <c r="T41" s="416"/>
      <c r="U41" s="416"/>
      <c r="V41" s="416"/>
      <c r="W41" s="416"/>
      <c r="X41" s="416"/>
      <c r="Y41" s="416"/>
      <c r="Z41" s="416"/>
      <c r="AA41" s="32"/>
      <c r="AB41" s="416">
        <f>H41*0.55</f>
        <v>4070.1353000000004</v>
      </c>
      <c r="AC41" s="416">
        <f>H41*0.45</f>
        <v>3330.1107000000002</v>
      </c>
      <c r="AD41" s="416"/>
      <c r="AE41" s="416"/>
      <c r="AF41" s="416"/>
      <c r="AG41" s="416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32"/>
      <c r="AU41" s="416"/>
      <c r="AV41" s="416"/>
      <c r="AW41" s="416"/>
      <c r="AX41" s="416"/>
      <c r="AY41" s="416"/>
      <c r="AZ41" s="416"/>
      <c r="BA41" s="416"/>
      <c r="BB41" s="32"/>
    </row>
    <row r="42" spans="2:54">
      <c r="B42" s="1252"/>
      <c r="C42" s="1253"/>
      <c r="D42" s="411"/>
      <c r="E42" s="411"/>
      <c r="F42" s="1256" t="s">
        <v>668</v>
      </c>
      <c r="G42" s="1257"/>
      <c r="H42" s="412">
        <v>1000</v>
      </c>
      <c r="I42" s="413"/>
      <c r="J42" s="414"/>
      <c r="K42" s="414"/>
      <c r="L42" s="414"/>
      <c r="M42" s="414"/>
      <c r="N42" s="413" t="str">
        <f t="shared" si="2"/>
        <v xml:space="preserve"> </v>
      </c>
      <c r="O42" s="51"/>
      <c r="P42" s="415"/>
      <c r="Q42" s="415"/>
      <c r="R42" s="415"/>
      <c r="S42" s="32"/>
      <c r="T42" s="416"/>
      <c r="U42" s="416"/>
      <c r="V42" s="416"/>
      <c r="W42" s="416"/>
      <c r="X42" s="416"/>
      <c r="Y42" s="416"/>
      <c r="Z42" s="416"/>
      <c r="AA42" s="32"/>
      <c r="AB42" s="416"/>
      <c r="AC42" s="416"/>
      <c r="AD42" s="416"/>
      <c r="AE42" s="416"/>
      <c r="AF42" s="416"/>
      <c r="AG42" s="416"/>
      <c r="AH42" s="416"/>
      <c r="AI42" s="416"/>
      <c r="AJ42" s="289"/>
      <c r="AK42" s="416"/>
      <c r="AL42" s="416"/>
      <c r="AM42" s="416"/>
      <c r="AN42" s="416"/>
      <c r="AO42" s="416"/>
      <c r="AP42" s="416"/>
      <c r="AQ42" s="416"/>
      <c r="AR42" s="416"/>
      <c r="AS42" s="416"/>
      <c r="AT42" s="32"/>
      <c r="AU42" s="416"/>
      <c r="AV42" s="416"/>
      <c r="AW42" s="416"/>
      <c r="AX42" s="416"/>
      <c r="AY42" s="289"/>
      <c r="AZ42" s="416"/>
      <c r="BA42" s="416"/>
      <c r="BB42" s="32"/>
    </row>
    <row r="43" spans="2:54">
      <c r="B43" s="1254"/>
      <c r="C43" s="1255"/>
      <c r="D43" s="411"/>
      <c r="E43" s="411"/>
      <c r="F43" s="1256" t="s">
        <v>616</v>
      </c>
      <c r="G43" s="1257"/>
      <c r="H43" s="412">
        <v>3500</v>
      </c>
      <c r="I43" s="413"/>
      <c r="J43" s="414"/>
      <c r="K43" s="414"/>
      <c r="L43" s="414"/>
      <c r="M43" s="414"/>
      <c r="N43" s="413" t="str">
        <f t="shared" si="2"/>
        <v xml:space="preserve"> </v>
      </c>
      <c r="O43" s="51"/>
      <c r="P43" s="415"/>
      <c r="Q43" s="415"/>
      <c r="R43" s="415"/>
      <c r="S43" s="32"/>
      <c r="T43" s="416"/>
      <c r="U43" s="416"/>
      <c r="V43" s="416"/>
      <c r="W43" s="416"/>
      <c r="X43" s="416"/>
      <c r="Y43" s="416"/>
      <c r="Z43" s="416"/>
      <c r="AA43" s="32"/>
      <c r="AB43" s="416"/>
      <c r="AC43" s="416"/>
      <c r="AD43" s="416"/>
      <c r="AE43" s="416"/>
      <c r="AF43" s="416"/>
      <c r="AG43" s="416"/>
      <c r="AH43" s="416"/>
      <c r="AI43" s="416"/>
      <c r="AJ43" s="289"/>
      <c r="AK43" s="416"/>
      <c r="AL43" s="416"/>
      <c r="AM43" s="416"/>
      <c r="AN43" s="416"/>
      <c r="AO43" s="416"/>
      <c r="AP43" s="416"/>
      <c r="AQ43" s="416"/>
      <c r="AR43" s="416"/>
      <c r="AS43" s="416"/>
      <c r="AT43" s="32"/>
      <c r="AU43" s="416"/>
      <c r="AV43" s="416"/>
      <c r="AW43" s="416"/>
      <c r="AX43" s="416"/>
      <c r="AY43" s="289"/>
      <c r="AZ43" s="416"/>
      <c r="BA43" s="416"/>
      <c r="BB43" s="32"/>
    </row>
    <row r="44" spans="2:54">
      <c r="B44" s="1250" t="s">
        <v>623</v>
      </c>
      <c r="C44" s="1251"/>
      <c r="D44" s="411" t="s">
        <v>2220</v>
      </c>
      <c r="E44" s="411"/>
      <c r="F44" s="411" t="s">
        <v>301</v>
      </c>
      <c r="G44" s="411" t="s">
        <v>302</v>
      </c>
      <c r="H44" s="412">
        <v>9152.643</v>
      </c>
      <c r="I44" s="413" t="s">
        <v>2068</v>
      </c>
      <c r="J44" s="414">
        <v>45137.770833333336</v>
      </c>
      <c r="K44" s="414"/>
      <c r="L44" s="414" t="s">
        <v>192</v>
      </c>
      <c r="M44" s="414" t="s">
        <v>192</v>
      </c>
      <c r="N44" s="413" t="str">
        <f t="shared" si="2"/>
        <v>DELAY ( 7 day 18 hour 30 minute )</v>
      </c>
      <c r="O44" s="51"/>
      <c r="P44" s="415" t="s">
        <v>551</v>
      </c>
      <c r="Q44" s="415" t="s">
        <v>551</v>
      </c>
      <c r="R44" s="415" t="s">
        <v>551</v>
      </c>
      <c r="S44" s="32"/>
      <c r="T44" s="416"/>
      <c r="U44" s="416"/>
      <c r="V44" s="416"/>
      <c r="W44" s="416"/>
      <c r="X44" s="416"/>
      <c r="Y44" s="416"/>
      <c r="Z44" s="416"/>
      <c r="AA44" s="416"/>
      <c r="AB44" s="416">
        <f t="shared" ref="AB44:AB52" si="3">H44*0.55</f>
        <v>5033.9536500000004</v>
      </c>
      <c r="AC44" s="416">
        <f t="shared" ref="AC44:AC52" si="4">H44*0.45</f>
        <v>4118.6893500000006</v>
      </c>
      <c r="AD44" s="416"/>
      <c r="AE44" s="416"/>
      <c r="AF44" s="416"/>
      <c r="AG44" s="416"/>
      <c r="AH44" s="416"/>
      <c r="AI44" s="416"/>
      <c r="AJ44" s="32"/>
      <c r="AK44" s="416"/>
      <c r="AL44" s="416"/>
      <c r="AM44" s="416"/>
      <c r="AN44" s="416"/>
      <c r="AO44" s="416"/>
      <c r="AP44" s="416"/>
      <c r="AQ44" s="416"/>
      <c r="AR44" s="416"/>
      <c r="AS44" s="416"/>
      <c r="AT44" s="416"/>
      <c r="AU44" s="416"/>
      <c r="AV44" s="416"/>
      <c r="AW44" s="416"/>
      <c r="AX44" s="416"/>
      <c r="AY44" s="286"/>
      <c r="AZ44" s="416"/>
      <c r="BA44" s="416"/>
      <c r="BB44" s="32"/>
    </row>
    <row r="45" spans="2:54">
      <c r="B45" s="1254"/>
      <c r="C45" s="1255"/>
      <c r="D45" s="411"/>
      <c r="E45" s="411"/>
      <c r="F45" s="1256" t="s">
        <v>668</v>
      </c>
      <c r="G45" s="1257"/>
      <c r="H45" s="412">
        <v>4500</v>
      </c>
      <c r="I45" s="413"/>
      <c r="J45" s="414"/>
      <c r="K45" s="414"/>
      <c r="L45" s="414"/>
      <c r="M45" s="414"/>
      <c r="N45" s="413" t="str">
        <f t="shared" si="2"/>
        <v xml:space="preserve"> </v>
      </c>
      <c r="O45" s="51"/>
      <c r="P45" s="415"/>
      <c r="Q45" s="415"/>
      <c r="R45" s="415"/>
      <c r="S45" s="32"/>
      <c r="T45" s="416"/>
      <c r="U45" s="416"/>
      <c r="V45" s="416"/>
      <c r="W45" s="416"/>
      <c r="X45" s="416"/>
      <c r="Y45" s="416"/>
      <c r="Z45" s="416"/>
      <c r="AA45" s="32"/>
      <c r="AB45" s="416"/>
      <c r="AC45" s="416"/>
      <c r="AD45" s="416"/>
      <c r="AE45" s="416"/>
      <c r="AF45" s="416"/>
      <c r="AG45" s="416"/>
      <c r="AH45" s="416"/>
      <c r="AI45" s="416"/>
      <c r="AJ45" s="289"/>
      <c r="AK45" s="416"/>
      <c r="AL45" s="416"/>
      <c r="AM45" s="416"/>
      <c r="AN45" s="416"/>
      <c r="AO45" s="416"/>
      <c r="AP45" s="416"/>
      <c r="AQ45" s="416"/>
      <c r="AR45" s="416"/>
      <c r="AS45" s="416"/>
      <c r="AT45" s="32"/>
      <c r="AU45" s="416"/>
      <c r="AV45" s="416"/>
      <c r="AW45" s="416"/>
      <c r="AX45" s="416"/>
      <c r="AY45" s="289"/>
      <c r="AZ45" s="416"/>
      <c r="BA45" s="416"/>
      <c r="BB45" s="32"/>
    </row>
    <row r="46" spans="2:54">
      <c r="B46" s="1250" t="s">
        <v>624</v>
      </c>
      <c r="C46" s="1251"/>
      <c r="D46" s="411" t="s">
        <v>2221</v>
      </c>
      <c r="E46" s="411"/>
      <c r="F46" s="411" t="s">
        <v>233</v>
      </c>
      <c r="G46" s="411" t="s">
        <v>234</v>
      </c>
      <c r="H46" s="412">
        <v>7715.7330000000002</v>
      </c>
      <c r="I46" s="413" t="s">
        <v>2068</v>
      </c>
      <c r="J46" s="414">
        <v>45138.458333333336</v>
      </c>
      <c r="K46" s="414"/>
      <c r="L46" s="414" t="s">
        <v>192</v>
      </c>
      <c r="M46" s="414" t="s">
        <v>192</v>
      </c>
      <c r="N46" s="413" t="str">
        <f t="shared" si="2"/>
        <v>DELAY ( 8 day 11 hour 0 minute )</v>
      </c>
      <c r="O46" s="51"/>
      <c r="P46" s="415" t="s">
        <v>551</v>
      </c>
      <c r="Q46" s="415" t="s">
        <v>551</v>
      </c>
      <c r="R46" s="415" t="s">
        <v>551</v>
      </c>
      <c r="S46" s="32"/>
      <c r="T46" s="416"/>
      <c r="U46" s="416"/>
      <c r="V46" s="416"/>
      <c r="W46" s="416"/>
      <c r="X46" s="416"/>
      <c r="Y46" s="416"/>
      <c r="Z46" s="416"/>
      <c r="AA46" s="416"/>
      <c r="AB46" s="416">
        <f>H46*0.55</f>
        <v>4243.6531500000001</v>
      </c>
      <c r="AC46" s="416">
        <f>H46*0.45</f>
        <v>3472.0798500000001</v>
      </c>
      <c r="AD46" s="416"/>
      <c r="AE46" s="416"/>
      <c r="AF46" s="416"/>
      <c r="AG46" s="416"/>
      <c r="AH46" s="416"/>
      <c r="AI46" s="416"/>
      <c r="AJ46" s="416"/>
      <c r="AK46" s="416"/>
      <c r="AL46" s="416"/>
      <c r="AM46" s="416"/>
      <c r="AN46" s="416"/>
      <c r="AO46" s="416"/>
      <c r="AP46" s="416"/>
      <c r="AQ46" s="416"/>
      <c r="AR46" s="416"/>
      <c r="AS46" s="416"/>
      <c r="AT46" s="416"/>
      <c r="AU46" s="416"/>
      <c r="AV46" s="416"/>
      <c r="AW46" s="416"/>
      <c r="AX46" s="416"/>
      <c r="AY46" s="416"/>
      <c r="AZ46" s="416"/>
      <c r="BA46" s="416"/>
      <c r="BB46" s="32"/>
    </row>
    <row r="47" spans="2:54">
      <c r="B47" s="1252"/>
      <c r="C47" s="1253"/>
      <c r="D47" s="411"/>
      <c r="E47" s="411"/>
      <c r="F47" s="1256" t="s">
        <v>668</v>
      </c>
      <c r="G47" s="1257"/>
      <c r="H47" s="412">
        <v>2500</v>
      </c>
      <c r="I47" s="413"/>
      <c r="J47" s="414"/>
      <c r="K47" s="414"/>
      <c r="L47" s="414"/>
      <c r="M47" s="414"/>
      <c r="N47" s="413" t="str">
        <f t="shared" si="2"/>
        <v xml:space="preserve"> </v>
      </c>
      <c r="O47" s="51"/>
      <c r="P47" s="415"/>
      <c r="Q47" s="415"/>
      <c r="R47" s="415"/>
      <c r="S47" s="32"/>
      <c r="T47" s="416"/>
      <c r="U47" s="416"/>
      <c r="V47" s="416"/>
      <c r="W47" s="416"/>
      <c r="X47" s="416"/>
      <c r="Y47" s="416"/>
      <c r="Z47" s="416"/>
      <c r="AA47" s="32"/>
      <c r="AB47" s="416"/>
      <c r="AC47" s="416"/>
      <c r="AD47" s="416"/>
      <c r="AE47" s="416"/>
      <c r="AF47" s="416"/>
      <c r="AG47" s="416"/>
      <c r="AH47" s="416"/>
      <c r="AI47" s="416"/>
      <c r="AJ47" s="289"/>
      <c r="AK47" s="416"/>
      <c r="AL47" s="416"/>
      <c r="AM47" s="416"/>
      <c r="AN47" s="416"/>
      <c r="AO47" s="416"/>
      <c r="AP47" s="416"/>
      <c r="AQ47" s="416"/>
      <c r="AR47" s="416"/>
      <c r="AS47" s="416"/>
      <c r="AT47" s="32"/>
      <c r="AU47" s="416"/>
      <c r="AV47" s="416"/>
      <c r="AW47" s="416"/>
      <c r="AX47" s="416"/>
      <c r="AY47" s="289"/>
      <c r="AZ47" s="416"/>
      <c r="BA47" s="416"/>
      <c r="BB47" s="32"/>
    </row>
    <row r="48" spans="2:54">
      <c r="B48" s="1254"/>
      <c r="C48" s="1255"/>
      <c r="D48" s="411"/>
      <c r="E48" s="411"/>
      <c r="F48" s="1256" t="s">
        <v>616</v>
      </c>
      <c r="G48" s="1257"/>
      <c r="H48" s="412">
        <v>3000</v>
      </c>
      <c r="I48" s="413"/>
      <c r="J48" s="414"/>
      <c r="K48" s="414"/>
      <c r="L48" s="414"/>
      <c r="M48" s="414"/>
      <c r="N48" s="413" t="str">
        <f t="shared" si="2"/>
        <v xml:space="preserve"> </v>
      </c>
      <c r="O48" s="51"/>
      <c r="P48" s="415"/>
      <c r="Q48" s="415"/>
      <c r="R48" s="415"/>
      <c r="S48" s="32"/>
      <c r="T48" s="416"/>
      <c r="U48" s="416"/>
      <c r="V48" s="416"/>
      <c r="W48" s="416"/>
      <c r="X48" s="416"/>
      <c r="Y48" s="416"/>
      <c r="Z48" s="416"/>
      <c r="AA48" s="32"/>
      <c r="AB48" s="416"/>
      <c r="AC48" s="416"/>
      <c r="AD48" s="416"/>
      <c r="AE48" s="416"/>
      <c r="AF48" s="416"/>
      <c r="AG48" s="416"/>
      <c r="AH48" s="416"/>
      <c r="AI48" s="416"/>
      <c r="AJ48" s="289"/>
      <c r="AK48" s="416"/>
      <c r="AL48" s="416"/>
      <c r="AM48" s="416"/>
      <c r="AN48" s="416"/>
      <c r="AO48" s="416"/>
      <c r="AP48" s="416"/>
      <c r="AQ48" s="416"/>
      <c r="AR48" s="416"/>
      <c r="AS48" s="416"/>
      <c r="AT48" s="32"/>
      <c r="AU48" s="416"/>
      <c r="AV48" s="416"/>
      <c r="AW48" s="416"/>
      <c r="AX48" s="416"/>
      <c r="AY48" s="289"/>
      <c r="AZ48" s="416"/>
      <c r="BA48" s="416"/>
      <c r="BB48" s="32"/>
    </row>
    <row r="49" spans="2:54">
      <c r="B49" s="1250" t="s">
        <v>625</v>
      </c>
      <c r="C49" s="1251"/>
      <c r="D49" s="411" t="s">
        <v>2222</v>
      </c>
      <c r="E49" s="411"/>
      <c r="F49" s="411" t="s">
        <v>429</v>
      </c>
      <c r="G49" s="411" t="s">
        <v>430</v>
      </c>
      <c r="H49" s="412">
        <v>7688.4880000000003</v>
      </c>
      <c r="I49" s="413" t="s">
        <v>2068</v>
      </c>
      <c r="J49" s="414">
        <v>45138.5625</v>
      </c>
      <c r="K49" s="414"/>
      <c r="L49" s="414" t="s">
        <v>192</v>
      </c>
      <c r="M49" s="414" t="s">
        <v>192</v>
      </c>
      <c r="N49" s="413" t="str">
        <f t="shared" si="2"/>
        <v>DELAY ( 8 day 13 hour 30 minute )</v>
      </c>
      <c r="O49" s="51"/>
      <c r="P49" s="415" t="s">
        <v>551</v>
      </c>
      <c r="Q49" s="415" t="s">
        <v>551</v>
      </c>
      <c r="R49" s="415" t="s">
        <v>551</v>
      </c>
      <c r="S49" s="32"/>
      <c r="T49" s="416"/>
      <c r="U49" s="416"/>
      <c r="V49" s="416"/>
      <c r="W49" s="416"/>
      <c r="X49" s="416"/>
      <c r="Y49" s="416"/>
      <c r="Z49" s="416"/>
      <c r="AA49" s="416"/>
      <c r="AB49" s="416">
        <f t="shared" si="3"/>
        <v>4228.6684000000005</v>
      </c>
      <c r="AC49" s="416">
        <f t="shared" si="4"/>
        <v>3459.8196000000003</v>
      </c>
      <c r="AD49" s="416"/>
      <c r="AE49" s="416"/>
      <c r="AF49" s="416"/>
      <c r="AG49" s="416"/>
      <c r="AH49" s="416"/>
      <c r="AI49" s="416"/>
      <c r="AJ49" s="416"/>
      <c r="AK49" s="416"/>
      <c r="AL49" s="416"/>
      <c r="AM49" s="416"/>
      <c r="AN49" s="416"/>
      <c r="AO49" s="416"/>
      <c r="AP49" s="416"/>
      <c r="AQ49" s="416"/>
      <c r="AR49" s="416"/>
      <c r="AS49" s="416"/>
      <c r="AT49" s="416"/>
      <c r="AU49" s="416"/>
      <c r="AV49" s="416"/>
      <c r="AW49" s="416"/>
      <c r="AX49" s="416"/>
      <c r="AY49" s="416"/>
      <c r="AZ49" s="416"/>
      <c r="BA49" s="416"/>
      <c r="BB49" s="32"/>
    </row>
    <row r="50" spans="2:54">
      <c r="B50" s="1252"/>
      <c r="C50" s="1253"/>
      <c r="D50" s="411"/>
      <c r="E50" s="411"/>
      <c r="F50" s="1256" t="s">
        <v>668</v>
      </c>
      <c r="G50" s="1257"/>
      <c r="H50" s="412">
        <v>2000</v>
      </c>
      <c r="I50" s="413"/>
      <c r="J50" s="414"/>
      <c r="K50" s="414"/>
      <c r="L50" s="414"/>
      <c r="M50" s="414"/>
      <c r="N50" s="413" t="str">
        <f t="shared" si="2"/>
        <v xml:space="preserve"> </v>
      </c>
      <c r="O50" s="51"/>
      <c r="P50" s="415"/>
      <c r="Q50" s="415"/>
      <c r="R50" s="415"/>
      <c r="S50" s="32"/>
      <c r="T50" s="416"/>
      <c r="U50" s="416"/>
      <c r="V50" s="416"/>
      <c r="W50" s="416"/>
      <c r="X50" s="416"/>
      <c r="Y50" s="416"/>
      <c r="Z50" s="416"/>
      <c r="AA50" s="32"/>
      <c r="AB50" s="416"/>
      <c r="AC50" s="416"/>
      <c r="AD50" s="416"/>
      <c r="AE50" s="416"/>
      <c r="AF50" s="416"/>
      <c r="AG50" s="416"/>
      <c r="AH50" s="416"/>
      <c r="AI50" s="416"/>
      <c r="AJ50" s="289"/>
      <c r="AK50" s="416"/>
      <c r="AL50" s="416"/>
      <c r="AM50" s="416"/>
      <c r="AN50" s="416"/>
      <c r="AO50" s="416"/>
      <c r="AP50" s="416"/>
      <c r="AQ50" s="416"/>
      <c r="AR50" s="416"/>
      <c r="AS50" s="416"/>
      <c r="AT50" s="32"/>
      <c r="AU50" s="416"/>
      <c r="AV50" s="416"/>
      <c r="AW50" s="416"/>
      <c r="AX50" s="416"/>
      <c r="AY50" s="289"/>
      <c r="AZ50" s="416"/>
      <c r="BA50" s="416"/>
      <c r="BB50" s="32"/>
    </row>
    <row r="51" spans="2:54">
      <c r="B51" s="1254"/>
      <c r="C51" s="1255"/>
      <c r="D51" s="411"/>
      <c r="E51" s="411"/>
      <c r="F51" s="1256" t="s">
        <v>616</v>
      </c>
      <c r="G51" s="1257"/>
      <c r="H51" s="412">
        <v>2500</v>
      </c>
      <c r="I51" s="413"/>
      <c r="J51" s="414"/>
      <c r="K51" s="414"/>
      <c r="L51" s="414"/>
      <c r="M51" s="414"/>
      <c r="N51" s="413" t="str">
        <f t="shared" si="2"/>
        <v xml:space="preserve"> </v>
      </c>
      <c r="O51" s="51"/>
      <c r="P51" s="415"/>
      <c r="Q51" s="415"/>
      <c r="R51" s="415"/>
      <c r="S51" s="32"/>
      <c r="T51" s="416"/>
      <c r="U51" s="416"/>
      <c r="V51" s="416"/>
      <c r="W51" s="416"/>
      <c r="X51" s="416"/>
      <c r="Y51" s="416"/>
      <c r="Z51" s="416"/>
      <c r="AA51" s="32"/>
      <c r="AB51" s="416"/>
      <c r="AC51" s="416"/>
      <c r="AD51" s="416"/>
      <c r="AE51" s="416"/>
      <c r="AF51" s="416"/>
      <c r="AG51" s="416"/>
      <c r="AH51" s="416"/>
      <c r="AI51" s="416"/>
      <c r="AJ51" s="289"/>
      <c r="AK51" s="416"/>
      <c r="AL51" s="416"/>
      <c r="AM51" s="416"/>
      <c r="AN51" s="416"/>
      <c r="AO51" s="416"/>
      <c r="AP51" s="416"/>
      <c r="AQ51" s="416"/>
      <c r="AR51" s="416"/>
      <c r="AS51" s="416"/>
      <c r="AT51" s="32"/>
      <c r="AU51" s="416"/>
      <c r="AV51" s="416"/>
      <c r="AW51" s="416"/>
      <c r="AX51" s="416"/>
      <c r="AY51" s="289"/>
      <c r="AZ51" s="416"/>
      <c r="BA51" s="416"/>
      <c r="BB51" s="32"/>
    </row>
    <row r="52" spans="2:54">
      <c r="B52" s="1250" t="s">
        <v>669</v>
      </c>
      <c r="C52" s="1251"/>
      <c r="D52" s="411" t="s">
        <v>2223</v>
      </c>
      <c r="E52" s="411"/>
      <c r="F52" s="411" t="s">
        <v>298</v>
      </c>
      <c r="G52" s="411" t="s">
        <v>299</v>
      </c>
      <c r="H52" s="412">
        <v>10357.101000000001</v>
      </c>
      <c r="I52" s="413" t="s">
        <v>2068</v>
      </c>
      <c r="J52" s="414">
        <v>45138.770833333336</v>
      </c>
      <c r="K52" s="414"/>
      <c r="L52" s="414" t="s">
        <v>192</v>
      </c>
      <c r="M52" s="414" t="s">
        <v>192</v>
      </c>
      <c r="N52" s="413" t="str">
        <f t="shared" si="2"/>
        <v>DELAY ( 8 day 18 hour 30 minute )</v>
      </c>
      <c r="O52" s="51"/>
      <c r="P52" s="415" t="s">
        <v>551</v>
      </c>
      <c r="Q52" s="415" t="s">
        <v>551</v>
      </c>
      <c r="R52" s="415" t="s">
        <v>551</v>
      </c>
      <c r="S52" s="32"/>
      <c r="T52" s="416"/>
      <c r="U52" s="416"/>
      <c r="V52" s="416"/>
      <c r="W52" s="416"/>
      <c r="X52" s="416"/>
      <c r="Y52" s="416"/>
      <c r="Z52" s="416"/>
      <c r="AA52" s="416"/>
      <c r="AB52" s="416">
        <f t="shared" si="3"/>
        <v>5696.4055500000004</v>
      </c>
      <c r="AC52" s="416">
        <f t="shared" si="4"/>
        <v>4660.6954500000002</v>
      </c>
      <c r="AD52" s="416"/>
      <c r="AE52" s="416"/>
      <c r="AF52" s="416"/>
      <c r="AG52" s="416"/>
      <c r="AH52" s="416"/>
      <c r="AI52" s="416"/>
      <c r="AJ52" s="32"/>
      <c r="AK52" s="416"/>
      <c r="AL52" s="416"/>
      <c r="AM52" s="416"/>
      <c r="AN52" s="416"/>
      <c r="AO52" s="416"/>
      <c r="AP52" s="416"/>
      <c r="AQ52" s="416"/>
      <c r="AR52" s="416"/>
      <c r="AS52" s="416"/>
      <c r="AT52" s="416"/>
      <c r="AU52" s="416"/>
      <c r="AV52" s="416"/>
      <c r="AW52" s="416"/>
      <c r="AX52" s="416"/>
      <c r="AY52" s="286"/>
      <c r="AZ52" s="416"/>
      <c r="BA52" s="416"/>
      <c r="BB52" s="32"/>
    </row>
    <row r="53" spans="2:54">
      <c r="B53" s="1252"/>
      <c r="C53" s="1253"/>
      <c r="D53" s="411"/>
      <c r="E53" s="411"/>
      <c r="F53" s="1256" t="s">
        <v>668</v>
      </c>
      <c r="G53" s="1257"/>
      <c r="H53" s="412">
        <v>1000</v>
      </c>
      <c r="I53" s="413"/>
      <c r="J53" s="414"/>
      <c r="K53" s="414"/>
      <c r="L53" s="414"/>
      <c r="M53" s="414"/>
      <c r="N53" s="413" t="str">
        <f t="shared" si="2"/>
        <v xml:space="preserve"> </v>
      </c>
      <c r="O53" s="51"/>
      <c r="P53" s="415"/>
      <c r="Q53" s="415"/>
      <c r="R53" s="415"/>
      <c r="S53" s="32"/>
      <c r="T53" s="416"/>
      <c r="U53" s="416"/>
      <c r="V53" s="416"/>
      <c r="W53" s="416"/>
      <c r="X53" s="416"/>
      <c r="Y53" s="416"/>
      <c r="Z53" s="416"/>
      <c r="AA53" s="32"/>
      <c r="AB53" s="416"/>
      <c r="AC53" s="416"/>
      <c r="AD53" s="416"/>
      <c r="AE53" s="416"/>
      <c r="AF53" s="416"/>
      <c r="AG53" s="416"/>
      <c r="AH53" s="416"/>
      <c r="AI53" s="416"/>
      <c r="AJ53" s="289"/>
      <c r="AK53" s="416"/>
      <c r="AL53" s="416"/>
      <c r="AM53" s="416"/>
      <c r="AN53" s="416"/>
      <c r="AO53" s="416"/>
      <c r="AP53" s="416"/>
      <c r="AQ53" s="416"/>
      <c r="AR53" s="416"/>
      <c r="AS53" s="416"/>
      <c r="AT53" s="32"/>
      <c r="AU53" s="416"/>
      <c r="AV53" s="416"/>
      <c r="AW53" s="416"/>
      <c r="AX53" s="416"/>
      <c r="AY53" s="289"/>
      <c r="AZ53" s="416"/>
      <c r="BA53" s="416"/>
      <c r="BB53" s="32"/>
    </row>
    <row r="54" spans="2:54">
      <c r="B54" s="1254"/>
      <c r="C54" s="1255"/>
      <c r="D54" s="411"/>
      <c r="E54" s="411"/>
      <c r="F54" s="1256" t="s">
        <v>616</v>
      </c>
      <c r="G54" s="1257"/>
      <c r="H54" s="412">
        <v>3500</v>
      </c>
      <c r="I54" s="413"/>
      <c r="J54" s="414"/>
      <c r="K54" s="414"/>
      <c r="L54" s="414"/>
      <c r="M54" s="414"/>
      <c r="N54" s="413" t="str">
        <f t="shared" si="2"/>
        <v xml:space="preserve"> </v>
      </c>
      <c r="O54" s="51"/>
      <c r="P54" s="415"/>
      <c r="Q54" s="415"/>
      <c r="R54" s="415"/>
      <c r="S54" s="32"/>
      <c r="T54" s="416"/>
      <c r="U54" s="416"/>
      <c r="V54" s="416"/>
      <c r="W54" s="416"/>
      <c r="X54" s="416"/>
      <c r="Y54" s="416"/>
      <c r="Z54" s="416"/>
      <c r="AA54" s="32"/>
      <c r="AB54" s="416"/>
      <c r="AC54" s="416"/>
      <c r="AD54" s="416"/>
      <c r="AE54" s="416"/>
      <c r="AF54" s="416"/>
      <c r="AG54" s="416"/>
      <c r="AH54" s="416"/>
      <c r="AI54" s="416"/>
      <c r="AJ54" s="289"/>
      <c r="AK54" s="416"/>
      <c r="AL54" s="416"/>
      <c r="AM54" s="416"/>
      <c r="AN54" s="416"/>
      <c r="AO54" s="416"/>
      <c r="AP54" s="416"/>
      <c r="AQ54" s="416"/>
      <c r="AR54" s="416"/>
      <c r="AS54" s="416"/>
      <c r="AT54" s="32"/>
      <c r="AU54" s="416"/>
      <c r="AV54" s="416"/>
      <c r="AW54" s="416"/>
      <c r="AX54" s="416"/>
      <c r="AY54" s="289"/>
      <c r="AZ54" s="416"/>
      <c r="BA54" s="416"/>
      <c r="BB54" s="32"/>
    </row>
    <row r="55" spans="2:54">
      <c r="B55" s="1250" t="s">
        <v>670</v>
      </c>
      <c r="C55" s="1251"/>
      <c r="D55" s="411" t="s">
        <v>2224</v>
      </c>
      <c r="E55" s="411"/>
      <c r="F55" s="411" t="s">
        <v>686</v>
      </c>
      <c r="G55" s="411" t="s">
        <v>1186</v>
      </c>
      <c r="H55" s="412">
        <v>7311.8540000000003</v>
      </c>
      <c r="I55" s="413" t="s">
        <v>2068</v>
      </c>
      <c r="J55" s="414">
        <v>45139.520833333336</v>
      </c>
      <c r="K55" s="414"/>
      <c r="L55" s="414" t="s">
        <v>192</v>
      </c>
      <c r="M55" s="414" t="s">
        <v>192</v>
      </c>
      <c r="N55" s="413" t="str">
        <f t="shared" si="2"/>
        <v>DELAY ( 9 day 12 hour 30 minute )</v>
      </c>
      <c r="O55" s="51"/>
      <c r="P55" s="415" t="s">
        <v>551</v>
      </c>
      <c r="Q55" s="415" t="s">
        <v>551</v>
      </c>
      <c r="R55" s="415" t="s">
        <v>551</v>
      </c>
      <c r="S55" s="32"/>
      <c r="T55" s="416"/>
      <c r="U55" s="416"/>
      <c r="V55" s="416"/>
      <c r="W55" s="416"/>
      <c r="X55" s="416"/>
      <c r="Y55" s="416"/>
      <c r="Z55" s="416"/>
      <c r="AA55" s="416"/>
      <c r="AB55" s="416">
        <f>H55*0.55</f>
        <v>4021.5197000000003</v>
      </c>
      <c r="AC55" s="416">
        <f>H55*0.45</f>
        <v>3290.3343</v>
      </c>
      <c r="AD55" s="416"/>
      <c r="AE55" s="416"/>
      <c r="AF55" s="416"/>
      <c r="AG55" s="416"/>
      <c r="AH55" s="416"/>
      <c r="AI55" s="416"/>
      <c r="AJ55" s="416"/>
      <c r="AK55" s="416"/>
      <c r="AL55" s="416"/>
      <c r="AM55" s="416"/>
      <c r="AN55" s="416"/>
      <c r="AO55" s="416"/>
      <c r="AP55" s="416"/>
      <c r="AQ55" s="416"/>
      <c r="AR55" s="416"/>
      <c r="AS55" s="416"/>
      <c r="AT55" s="416"/>
      <c r="AU55" s="416"/>
      <c r="AV55" s="416"/>
      <c r="AW55" s="416"/>
      <c r="AX55" s="416"/>
      <c r="AY55" s="416"/>
      <c r="AZ55" s="416"/>
      <c r="BA55" s="416"/>
      <c r="BB55" s="32"/>
    </row>
    <row r="56" spans="2:54">
      <c r="B56" s="1252"/>
      <c r="C56" s="1253"/>
      <c r="D56" s="411"/>
      <c r="E56" s="411"/>
      <c r="F56" s="1256" t="s">
        <v>668</v>
      </c>
      <c r="G56" s="1257"/>
      <c r="H56" s="412">
        <v>2727</v>
      </c>
      <c r="I56" s="413"/>
      <c r="J56" s="414"/>
      <c r="K56" s="414"/>
      <c r="L56" s="414"/>
      <c r="M56" s="414"/>
      <c r="N56" s="413" t="str">
        <f t="shared" si="2"/>
        <v xml:space="preserve"> </v>
      </c>
      <c r="O56" s="51"/>
      <c r="P56" s="415"/>
      <c r="Q56" s="415"/>
      <c r="R56" s="415"/>
      <c r="S56" s="32"/>
      <c r="T56" s="416"/>
      <c r="U56" s="416"/>
      <c r="V56" s="416"/>
      <c r="W56" s="416"/>
      <c r="X56" s="416"/>
      <c r="Y56" s="416"/>
      <c r="Z56" s="416"/>
      <c r="AA56" s="32"/>
      <c r="AB56" s="416"/>
      <c r="AC56" s="416"/>
      <c r="AD56" s="416"/>
      <c r="AE56" s="416"/>
      <c r="AF56" s="416"/>
      <c r="AG56" s="416"/>
      <c r="AH56" s="416"/>
      <c r="AI56" s="416"/>
      <c r="AJ56" s="289"/>
      <c r="AK56" s="416"/>
      <c r="AL56" s="416"/>
      <c r="AM56" s="416"/>
      <c r="AN56" s="416"/>
      <c r="AO56" s="416"/>
      <c r="AP56" s="416"/>
      <c r="AQ56" s="416"/>
      <c r="AR56" s="416"/>
      <c r="AS56" s="416"/>
      <c r="AT56" s="32"/>
      <c r="AU56" s="416"/>
      <c r="AV56" s="416"/>
      <c r="AW56" s="416"/>
      <c r="AX56" s="416"/>
      <c r="AY56" s="289"/>
      <c r="AZ56" s="416"/>
      <c r="BA56" s="416"/>
      <c r="BB56" s="32"/>
    </row>
    <row r="57" spans="2:54">
      <c r="B57" s="1254"/>
      <c r="C57" s="1255"/>
      <c r="D57" s="411"/>
      <c r="E57" s="411"/>
      <c r="F57" s="1256" t="s">
        <v>616</v>
      </c>
      <c r="G57" s="1257"/>
      <c r="H57" s="412">
        <v>1500</v>
      </c>
      <c r="I57" s="413"/>
      <c r="J57" s="414"/>
      <c r="K57" s="414"/>
      <c r="L57" s="414"/>
      <c r="M57" s="414"/>
      <c r="N57" s="413" t="str">
        <f t="shared" si="2"/>
        <v xml:space="preserve"> </v>
      </c>
      <c r="O57" s="51"/>
      <c r="P57" s="415"/>
      <c r="Q57" s="415"/>
      <c r="R57" s="415"/>
      <c r="S57" s="32"/>
      <c r="T57" s="416"/>
      <c r="U57" s="416"/>
      <c r="V57" s="416"/>
      <c r="W57" s="416"/>
      <c r="X57" s="416"/>
      <c r="Y57" s="416"/>
      <c r="Z57" s="416"/>
      <c r="AA57" s="32"/>
      <c r="AB57" s="416"/>
      <c r="AC57" s="416"/>
      <c r="AD57" s="416"/>
      <c r="AE57" s="416"/>
      <c r="AF57" s="416"/>
      <c r="AG57" s="416"/>
      <c r="AH57" s="416"/>
      <c r="AI57" s="416"/>
      <c r="AJ57" s="289"/>
      <c r="AK57" s="416"/>
      <c r="AL57" s="416"/>
      <c r="AM57" s="416"/>
      <c r="AN57" s="416"/>
      <c r="AO57" s="416"/>
      <c r="AP57" s="416"/>
      <c r="AQ57" s="416"/>
      <c r="AR57" s="416"/>
      <c r="AS57" s="416"/>
      <c r="AT57" s="32"/>
      <c r="AU57" s="416"/>
      <c r="AV57" s="416"/>
      <c r="AW57" s="416"/>
      <c r="AX57" s="416"/>
      <c r="AY57" s="289"/>
      <c r="AZ57" s="416"/>
      <c r="BA57" s="416"/>
      <c r="BB57" s="32"/>
    </row>
    <row r="58" spans="2:54">
      <c r="B58" s="1250" t="s">
        <v>867</v>
      </c>
      <c r="C58" s="1251"/>
      <c r="D58" s="411" t="s">
        <v>2225</v>
      </c>
      <c r="E58" s="411"/>
      <c r="F58" s="411" t="s">
        <v>492</v>
      </c>
      <c r="G58" s="411" t="s">
        <v>493</v>
      </c>
      <c r="H58" s="412">
        <f>7613.327-929.822</f>
        <v>6683.5050000000001</v>
      </c>
      <c r="I58" s="413" t="s">
        <v>2068</v>
      </c>
      <c r="J58" s="414">
        <v>45139.770833333336</v>
      </c>
      <c r="K58" s="414"/>
      <c r="L58" s="414" t="s">
        <v>192</v>
      </c>
      <c r="M58" s="414" t="s">
        <v>192</v>
      </c>
      <c r="N58" s="413" t="str">
        <f t="shared" si="2"/>
        <v>DELAY ( 9 day 18 hour 30 minute )</v>
      </c>
      <c r="O58" s="51"/>
      <c r="P58" s="415" t="s">
        <v>551</v>
      </c>
      <c r="Q58" s="415" t="s">
        <v>551</v>
      </c>
      <c r="R58" s="415" t="s">
        <v>551</v>
      </c>
      <c r="S58" s="32"/>
      <c r="T58" s="416"/>
      <c r="U58" s="416"/>
      <c r="V58" s="416"/>
      <c r="W58" s="416"/>
      <c r="X58" s="416"/>
      <c r="Y58" s="416"/>
      <c r="Z58" s="416"/>
      <c r="AA58" s="32"/>
      <c r="AB58" s="416">
        <f>H58*0.55</f>
        <v>3675.9277500000003</v>
      </c>
      <c r="AC58" s="416">
        <f>H58*0.45</f>
        <v>3007.5772500000003</v>
      </c>
      <c r="AD58" s="416"/>
      <c r="AE58" s="416"/>
      <c r="AF58" s="416"/>
      <c r="AG58" s="416"/>
      <c r="AH58" s="416"/>
      <c r="AI58" s="416"/>
      <c r="AJ58" s="416"/>
      <c r="AK58" s="416"/>
      <c r="AL58" s="416"/>
      <c r="AM58" s="416"/>
      <c r="AN58" s="416"/>
      <c r="AO58" s="416"/>
      <c r="AP58" s="416"/>
      <c r="AQ58" s="416"/>
      <c r="AR58" s="416"/>
      <c r="AS58" s="416"/>
      <c r="AT58" s="32"/>
      <c r="AU58" s="416"/>
      <c r="AV58" s="416"/>
      <c r="AW58" s="416"/>
      <c r="AX58" s="416"/>
      <c r="AY58" s="416"/>
      <c r="AZ58" s="416"/>
      <c r="BA58" s="416"/>
      <c r="BB58" s="32"/>
    </row>
    <row r="59" spans="2:54">
      <c r="B59" s="1252"/>
      <c r="C59" s="1253"/>
      <c r="D59" s="411"/>
      <c r="E59" s="411"/>
      <c r="F59" s="1256" t="s">
        <v>668</v>
      </c>
      <c r="G59" s="1257"/>
      <c r="H59" s="412">
        <v>1499.7460000000001</v>
      </c>
      <c r="I59" s="413"/>
      <c r="J59" s="414"/>
      <c r="K59" s="414"/>
      <c r="L59" s="414"/>
      <c r="M59" s="414"/>
      <c r="N59" s="413" t="str">
        <f t="shared" si="2"/>
        <v xml:space="preserve"> </v>
      </c>
      <c r="O59" s="51"/>
      <c r="P59" s="415"/>
      <c r="Q59" s="415"/>
      <c r="R59" s="415"/>
      <c r="S59" s="32"/>
      <c r="T59" s="416"/>
      <c r="U59" s="416"/>
      <c r="V59" s="416"/>
      <c r="W59" s="416"/>
      <c r="X59" s="416"/>
      <c r="Y59" s="416"/>
      <c r="Z59" s="416"/>
      <c r="AA59" s="32"/>
      <c r="AB59" s="416"/>
      <c r="AC59" s="416"/>
      <c r="AD59" s="416"/>
      <c r="AE59" s="416"/>
      <c r="AF59" s="416"/>
      <c r="AG59" s="416"/>
      <c r="AH59" s="416"/>
      <c r="AI59" s="416"/>
      <c r="AJ59" s="289"/>
      <c r="AK59" s="416"/>
      <c r="AL59" s="416"/>
      <c r="AM59" s="416"/>
      <c r="AN59" s="416"/>
      <c r="AO59" s="416"/>
      <c r="AP59" s="416"/>
      <c r="AQ59" s="416"/>
      <c r="AR59" s="416"/>
      <c r="AS59" s="416"/>
      <c r="AT59" s="32"/>
      <c r="AU59" s="416"/>
      <c r="AV59" s="416"/>
      <c r="AW59" s="416"/>
      <c r="AX59" s="416"/>
      <c r="AY59" s="289"/>
      <c r="AZ59" s="416"/>
      <c r="BA59" s="416"/>
      <c r="BB59" s="32"/>
    </row>
    <row r="60" spans="2:54">
      <c r="B60" s="1254"/>
      <c r="C60" s="1255"/>
      <c r="D60" s="411"/>
      <c r="E60" s="411"/>
      <c r="F60" s="1256" t="s">
        <v>616</v>
      </c>
      <c r="G60" s="1257"/>
      <c r="H60" s="412">
        <v>1000.354</v>
      </c>
      <c r="I60" s="413"/>
      <c r="J60" s="414"/>
      <c r="K60" s="414"/>
      <c r="L60" s="414"/>
      <c r="M60" s="414"/>
      <c r="N60" s="413" t="str">
        <f t="shared" si="2"/>
        <v xml:space="preserve"> </v>
      </c>
      <c r="O60" s="51"/>
      <c r="P60" s="415"/>
      <c r="Q60" s="415"/>
      <c r="R60" s="415"/>
      <c r="S60" s="32"/>
      <c r="T60" s="416"/>
      <c r="U60" s="416"/>
      <c r="V60" s="416"/>
      <c r="W60" s="416"/>
      <c r="X60" s="416"/>
      <c r="Y60" s="416"/>
      <c r="Z60" s="416"/>
      <c r="AA60" s="32"/>
      <c r="AB60" s="416"/>
      <c r="AC60" s="416"/>
      <c r="AD60" s="416"/>
      <c r="AE60" s="416"/>
      <c r="AF60" s="416"/>
      <c r="AG60" s="416"/>
      <c r="AH60" s="416"/>
      <c r="AI60" s="416"/>
      <c r="AJ60" s="289"/>
      <c r="AK60" s="416"/>
      <c r="AL60" s="416"/>
      <c r="AM60" s="416"/>
      <c r="AN60" s="416"/>
      <c r="AO60" s="416"/>
      <c r="AP60" s="416"/>
      <c r="AQ60" s="416"/>
      <c r="AR60" s="416"/>
      <c r="AS60" s="416"/>
      <c r="AT60" s="32"/>
      <c r="AU60" s="416"/>
      <c r="AV60" s="416"/>
      <c r="AW60" s="416"/>
      <c r="AX60" s="416"/>
      <c r="AY60" s="289"/>
      <c r="AZ60" s="416"/>
      <c r="BA60" s="416"/>
      <c r="BB60" s="32"/>
    </row>
    <row r="61" spans="2:54">
      <c r="B61" s="1258" t="s">
        <v>626</v>
      </c>
      <c r="C61" s="1259"/>
      <c r="D61" s="1259"/>
      <c r="E61" s="1259"/>
      <c r="F61" s="1259"/>
      <c r="G61" s="1260"/>
      <c r="H61" s="417">
        <f>H39+H40+H58+H44+H49+H46+H41+H52+H55</f>
        <v>57772.9</v>
      </c>
      <c r="I61" s="388"/>
      <c r="J61" s="293"/>
      <c r="K61" s="293"/>
      <c r="L61" s="293"/>
      <c r="M61" s="389"/>
      <c r="N61" s="413" t="str">
        <f t="shared" si="2"/>
        <v xml:space="preserve"> </v>
      </c>
      <c r="O61" s="47"/>
      <c r="P61" s="418"/>
      <c r="Q61" s="418"/>
      <c r="R61" s="418"/>
      <c r="S61" s="32"/>
      <c r="T61" s="1261"/>
      <c r="U61" s="1261"/>
      <c r="V61" s="1261"/>
      <c r="W61" s="1261"/>
      <c r="X61" s="1261"/>
      <c r="Y61" s="1261"/>
      <c r="Z61" s="1261"/>
      <c r="AA61" s="1261"/>
      <c r="AB61" s="1261"/>
      <c r="AC61" s="1261"/>
      <c r="AD61" s="1261"/>
      <c r="AE61" s="1261"/>
      <c r="AF61" s="1261"/>
      <c r="AG61" s="1261"/>
      <c r="AH61" s="1261"/>
      <c r="AI61" s="1261"/>
      <c r="AJ61" s="1261"/>
      <c r="AK61" s="1261"/>
      <c r="AL61" s="1261"/>
      <c r="AM61" s="1261"/>
      <c r="AN61" s="1261"/>
      <c r="AO61" s="1261"/>
      <c r="AP61" s="1261"/>
      <c r="AQ61" s="1261"/>
      <c r="AR61" s="1261"/>
      <c r="AS61" s="1261"/>
      <c r="AT61" s="1261"/>
      <c r="AU61" s="1261"/>
      <c r="AV61" s="1261"/>
      <c r="AW61" s="1261"/>
      <c r="AX61" s="1261"/>
      <c r="AY61" s="1261"/>
      <c r="AZ61" s="1261"/>
      <c r="BA61" s="1261"/>
    </row>
    <row r="62" spans="2:54">
      <c r="B62" s="1258" t="s">
        <v>556</v>
      </c>
      <c r="C62" s="1259"/>
      <c r="D62" s="1259"/>
      <c r="E62" s="1259"/>
      <c r="F62" s="1259"/>
      <c r="G62" s="1260"/>
      <c r="H62" s="417">
        <f>H38+H61</f>
        <v>88000</v>
      </c>
      <c r="I62" s="388"/>
      <c r="J62" s="293"/>
      <c r="K62" s="293"/>
      <c r="L62" s="293"/>
      <c r="M62" s="389"/>
      <c r="N62" s="413" t="str">
        <f t="shared" si="2"/>
        <v xml:space="preserve"> </v>
      </c>
      <c r="O62" s="212"/>
      <c r="P62" s="418"/>
      <c r="Q62" s="418"/>
      <c r="R62" s="418"/>
      <c r="S62" s="207"/>
      <c r="T62" s="1300"/>
      <c r="U62" s="1301"/>
      <c r="V62" s="1301"/>
      <c r="W62" s="1301"/>
      <c r="X62" s="1301"/>
      <c r="Y62" s="1301"/>
      <c r="Z62" s="1301"/>
      <c r="AA62" s="1301"/>
      <c r="AB62" s="1301"/>
      <c r="AC62" s="1301"/>
      <c r="AD62" s="1301"/>
      <c r="AE62" s="1301"/>
      <c r="AF62" s="1301"/>
      <c r="AG62" s="1301"/>
      <c r="AH62" s="1301"/>
      <c r="AI62" s="1301"/>
      <c r="AJ62" s="1301"/>
      <c r="AK62" s="1301"/>
      <c r="AL62" s="1301"/>
      <c r="AM62" s="1301"/>
      <c r="AN62" s="1301"/>
      <c r="AO62" s="1301"/>
      <c r="AP62" s="1301"/>
      <c r="AQ62" s="1301"/>
      <c r="AR62" s="1301"/>
      <c r="AS62" s="1301"/>
      <c r="AT62" s="1301"/>
      <c r="AU62" s="1301"/>
      <c r="AV62" s="1301"/>
      <c r="AW62" s="1301"/>
      <c r="AX62" s="1301"/>
      <c r="AY62" s="1301"/>
      <c r="AZ62" s="1301"/>
      <c r="BA62" s="1301"/>
    </row>
    <row r="63" spans="2:54">
      <c r="B63" s="1243" t="s">
        <v>557</v>
      </c>
      <c r="C63" s="1244"/>
      <c r="D63" s="1244"/>
      <c r="E63" s="1244"/>
      <c r="F63" s="1244"/>
      <c r="G63" s="1245"/>
      <c r="H63" s="419">
        <v>88000</v>
      </c>
      <c r="I63" s="1273"/>
      <c r="J63" s="1274"/>
      <c r="K63" s="1274"/>
      <c r="L63" s="1274"/>
      <c r="M63" s="1275"/>
      <c r="N63" s="413" t="str">
        <f t="shared" si="2"/>
        <v xml:space="preserve"> </v>
      </c>
      <c r="O63" s="32"/>
      <c r="P63" s="415"/>
      <c r="Q63" s="415"/>
      <c r="R63" s="415"/>
      <c r="S63" s="63"/>
      <c r="T63" s="416">
        <f>SUM(T34:T58)</f>
        <v>0</v>
      </c>
      <c r="U63" s="416">
        <f t="shared" ref="U63:BA63" si="5">SUM(U34:U58)</f>
        <v>0</v>
      </c>
      <c r="V63" s="416">
        <f t="shared" si="5"/>
        <v>0</v>
      </c>
      <c r="W63" s="416">
        <f t="shared" si="5"/>
        <v>0</v>
      </c>
      <c r="X63" s="416">
        <f t="shared" si="5"/>
        <v>0</v>
      </c>
      <c r="Y63" s="416">
        <f t="shared" si="5"/>
        <v>15226.745999999999</v>
      </c>
      <c r="Z63" s="416">
        <f t="shared" si="5"/>
        <v>0</v>
      </c>
      <c r="AA63" s="416">
        <f t="shared" si="5"/>
        <v>0</v>
      </c>
      <c r="AB63" s="416">
        <f t="shared" si="5"/>
        <v>32062.299500000001</v>
      </c>
      <c r="AC63" s="416">
        <f t="shared" si="5"/>
        <v>25710.6005</v>
      </c>
      <c r="AD63" s="416">
        <f t="shared" si="5"/>
        <v>0</v>
      </c>
      <c r="AE63" s="416">
        <f t="shared" si="5"/>
        <v>0</v>
      </c>
      <c r="AF63" s="416">
        <f t="shared" si="5"/>
        <v>0</v>
      </c>
      <c r="AG63" s="416">
        <f t="shared" si="5"/>
        <v>0</v>
      </c>
      <c r="AH63" s="416">
        <f t="shared" si="5"/>
        <v>0</v>
      </c>
      <c r="AI63" s="416">
        <f t="shared" si="5"/>
        <v>0</v>
      </c>
      <c r="AJ63" s="416">
        <f t="shared" si="5"/>
        <v>0</v>
      </c>
      <c r="AK63" s="416">
        <f t="shared" si="5"/>
        <v>7500</v>
      </c>
      <c r="AL63" s="416">
        <f t="shared" si="5"/>
        <v>0</v>
      </c>
      <c r="AM63" s="416">
        <f t="shared" si="5"/>
        <v>0</v>
      </c>
      <c r="AN63" s="416">
        <f t="shared" si="5"/>
        <v>0</v>
      </c>
      <c r="AO63" s="416">
        <f t="shared" si="5"/>
        <v>0</v>
      </c>
      <c r="AP63" s="416">
        <f t="shared" si="5"/>
        <v>0</v>
      </c>
      <c r="AQ63" s="416">
        <f t="shared" si="5"/>
        <v>0</v>
      </c>
      <c r="AR63" s="416">
        <f t="shared" si="5"/>
        <v>0</v>
      </c>
      <c r="AS63" s="416">
        <f t="shared" si="5"/>
        <v>0</v>
      </c>
      <c r="AT63" s="416">
        <f t="shared" si="5"/>
        <v>0</v>
      </c>
      <c r="AU63" s="416">
        <f t="shared" si="5"/>
        <v>0</v>
      </c>
      <c r="AV63" s="416">
        <f t="shared" si="5"/>
        <v>0</v>
      </c>
      <c r="AW63" s="416">
        <f t="shared" si="5"/>
        <v>0</v>
      </c>
      <c r="AX63" s="416">
        <f t="shared" si="5"/>
        <v>0</v>
      </c>
      <c r="AY63" s="416">
        <f t="shared" si="5"/>
        <v>7500.3540000000003</v>
      </c>
      <c r="AZ63" s="416">
        <f t="shared" si="5"/>
        <v>0</v>
      </c>
      <c r="BA63" s="416">
        <f t="shared" si="5"/>
        <v>0</v>
      </c>
      <c r="BB63" s="416">
        <f>SUM(T63:BA63)</f>
        <v>88000.000000000015</v>
      </c>
    </row>
    <row r="64" spans="2:54">
      <c r="B64" s="1243" t="s">
        <v>558</v>
      </c>
      <c r="C64" s="1244"/>
      <c r="D64" s="1244"/>
      <c r="E64" s="1244"/>
      <c r="F64" s="1244"/>
      <c r="G64" s="1245"/>
      <c r="H64" s="420">
        <f>H63-L28</f>
        <v>0</v>
      </c>
      <c r="I64" s="294"/>
      <c r="J64" s="295"/>
      <c r="K64" s="295"/>
      <c r="L64" s="296"/>
      <c r="M64" s="32"/>
      <c r="N64" s="32"/>
      <c r="O64" s="32"/>
      <c r="P64" s="32"/>
      <c r="Q64" s="297"/>
      <c r="R64" s="297"/>
      <c r="S64" s="32"/>
      <c r="T64" s="48"/>
      <c r="U64" s="48"/>
      <c r="V64" s="48"/>
      <c r="W64" s="48"/>
      <c r="X64" s="48"/>
      <c r="Y64" s="48"/>
      <c r="Z64" s="48"/>
      <c r="AA64" s="48"/>
      <c r="AB64" s="48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</row>
    <row r="65" spans="2:56">
      <c r="B65" s="1243" t="s">
        <v>559</v>
      </c>
      <c r="C65" s="1244"/>
      <c r="D65" s="1244"/>
      <c r="E65" s="1244"/>
      <c r="F65" s="1244"/>
      <c r="G65" s="1245"/>
      <c r="H65" s="446">
        <v>160.03800000000001</v>
      </c>
      <c r="I65" s="52"/>
      <c r="J65" s="53"/>
      <c r="K65" s="53"/>
      <c r="L65" s="340"/>
      <c r="M65" s="286"/>
      <c r="N65" s="201"/>
      <c r="O65" s="32"/>
      <c r="P65" s="32"/>
      <c r="Q65" s="32"/>
      <c r="R65" s="32"/>
      <c r="S65" s="32"/>
      <c r="T65" s="48"/>
      <c r="U65" s="48"/>
      <c r="V65" s="48"/>
      <c r="W65" s="48"/>
      <c r="X65" s="48"/>
      <c r="Y65" s="48"/>
      <c r="Z65" s="48"/>
      <c r="AA65" s="48"/>
      <c r="AB65" s="48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</row>
    <row r="66" spans="2:56">
      <c r="B66" s="1243" t="s">
        <v>560</v>
      </c>
      <c r="C66" s="1244"/>
      <c r="D66" s="1244"/>
      <c r="E66" s="1244"/>
      <c r="F66" s="1244"/>
      <c r="G66" s="1245"/>
      <c r="H66" s="421">
        <f>H65-929.822</f>
        <v>-769.78399999999999</v>
      </c>
      <c r="I66" s="52"/>
      <c r="J66" s="53"/>
      <c r="K66" s="53"/>
      <c r="L66" s="54"/>
      <c r="M66" s="32"/>
      <c r="N66" s="32"/>
      <c r="O66" s="32"/>
      <c r="P66" s="32"/>
      <c r="Q66" s="32"/>
      <c r="R66" s="32"/>
      <c r="S66" s="48"/>
      <c r="T66" s="48"/>
      <c r="U66" s="48"/>
      <c r="V66" s="48"/>
      <c r="W66" s="48"/>
      <c r="X66" s="48"/>
      <c r="Y66" s="48"/>
      <c r="Z66" s="48"/>
      <c r="AA66" s="48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</row>
    <row r="67" spans="2:56">
      <c r="B67" s="201"/>
      <c r="C67" s="201"/>
      <c r="D67" s="201"/>
      <c r="E67" s="201"/>
      <c r="F67" s="201"/>
      <c r="G67" s="201"/>
      <c r="H67" s="201"/>
      <c r="I67" s="213"/>
      <c r="J67" s="209"/>
      <c r="K67" s="209"/>
      <c r="L67" s="203"/>
      <c r="M67" s="341"/>
      <c r="N67" s="201"/>
      <c r="O67" s="209"/>
      <c r="P67" s="32"/>
      <c r="Q67" s="32"/>
      <c r="R67" s="32"/>
      <c r="S67" s="32"/>
      <c r="T67" s="48"/>
      <c r="U67" s="48"/>
      <c r="V67" s="48"/>
      <c r="W67" s="48"/>
      <c r="X67" s="48"/>
      <c r="Y67" s="48"/>
      <c r="Z67" s="48"/>
      <c r="AA67" s="48"/>
      <c r="AB67" s="48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</row>
    <row r="68" spans="2:56">
      <c r="B68" s="40" t="s">
        <v>561</v>
      </c>
      <c r="C68" s="40"/>
      <c r="D68" s="32"/>
      <c r="E68" s="32"/>
      <c r="F68" s="32"/>
      <c r="G68" s="32"/>
      <c r="H68" s="32"/>
      <c r="I68" s="32"/>
      <c r="J68" s="52"/>
      <c r="K68" s="52"/>
      <c r="L68" s="55"/>
      <c r="M68" s="32"/>
      <c r="N68" s="201"/>
      <c r="O68" s="5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  <c r="AT68" s="201"/>
      <c r="AU68" s="201"/>
      <c r="BB68" s="201"/>
    </row>
    <row r="69" spans="2:56">
      <c r="B69" s="422"/>
      <c r="C69" s="1249"/>
      <c r="D69" s="1249"/>
      <c r="E69" s="1249"/>
      <c r="F69" s="1249"/>
      <c r="G69" s="1249"/>
      <c r="H69" s="1249"/>
      <c r="I69" s="1249"/>
      <c r="J69" s="1249"/>
      <c r="K69" s="1249"/>
      <c r="L69" s="341"/>
      <c r="M69" s="203"/>
      <c r="N69" s="201"/>
      <c r="O69" s="209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201"/>
      <c r="BB69" s="201"/>
    </row>
    <row r="71" spans="2:56">
      <c r="B71" s="28" t="s">
        <v>126</v>
      </c>
      <c r="C71" s="28"/>
      <c r="D71" s="29"/>
      <c r="E71" s="30" t="s">
        <v>511</v>
      </c>
      <c r="F71" s="31" t="s">
        <v>2226</v>
      </c>
      <c r="G71" s="32"/>
      <c r="H71" s="33"/>
      <c r="I71" s="34"/>
      <c r="J71" s="35" t="s">
        <v>513</v>
      </c>
      <c r="K71" s="36" t="s">
        <v>511</v>
      </c>
      <c r="L71" s="37">
        <v>45146.716666666667</v>
      </c>
      <c r="M71" s="32"/>
      <c r="N71" s="32"/>
      <c r="O71" s="206"/>
      <c r="P71" s="205"/>
      <c r="Q71" s="202"/>
      <c r="R71" s="204"/>
      <c r="S71" s="38"/>
      <c r="T71" s="201"/>
      <c r="U71" s="201"/>
      <c r="V71" s="201"/>
      <c r="W71" s="201"/>
      <c r="X71" s="201"/>
      <c r="Y71" s="201"/>
      <c r="Z71" s="201"/>
      <c r="AA71" s="201"/>
      <c r="AB71" s="202"/>
      <c r="AC71" s="202"/>
      <c r="AD71" s="202"/>
      <c r="AE71" s="202"/>
      <c r="AF71" s="202"/>
      <c r="AG71" s="201"/>
      <c r="AH71" s="201"/>
      <c r="AI71" s="201"/>
      <c r="AJ71" s="201"/>
      <c r="AK71" s="201"/>
      <c r="AL71" s="201"/>
      <c r="AM71" s="201"/>
      <c r="AN71" s="201"/>
      <c r="AO71" s="201"/>
      <c r="AP71" s="201"/>
      <c r="AQ71" s="201"/>
      <c r="AR71" s="201"/>
      <c r="AS71" s="201"/>
      <c r="AT71" s="201"/>
      <c r="AU71" s="201"/>
      <c r="AV71" s="201"/>
      <c r="AW71" s="201"/>
      <c r="AX71" s="201"/>
      <c r="AY71" s="201"/>
      <c r="AZ71" s="201"/>
      <c r="BA71" s="201"/>
      <c r="BB71" s="201"/>
      <c r="BC71" s="201"/>
      <c r="BD71" s="201"/>
    </row>
    <row r="72" spans="2:56">
      <c r="B72" s="35" t="s">
        <v>514</v>
      </c>
      <c r="C72" s="35"/>
      <c r="D72" s="32"/>
      <c r="E72" s="36" t="s">
        <v>511</v>
      </c>
      <c r="F72" s="37" t="s">
        <v>2227</v>
      </c>
      <c r="G72" s="59" t="s">
        <v>647</v>
      </c>
      <c r="H72" s="33"/>
      <c r="I72" s="34"/>
      <c r="J72" s="35" t="s">
        <v>516</v>
      </c>
      <c r="K72" s="36" t="s">
        <v>511</v>
      </c>
      <c r="L72" s="37">
        <v>45148.852083333331</v>
      </c>
      <c r="M72" s="32"/>
      <c r="N72" s="32"/>
      <c r="O72" s="206"/>
      <c r="P72" s="205"/>
      <c r="Q72" s="202"/>
      <c r="R72" s="204"/>
      <c r="S72" s="38"/>
      <c r="T72" s="201"/>
      <c r="U72" s="201"/>
      <c r="V72" s="201"/>
      <c r="W72" s="201"/>
      <c r="X72" s="201"/>
      <c r="Y72" s="201"/>
      <c r="Z72" s="201"/>
      <c r="AA72" s="201"/>
      <c r="AB72" s="202"/>
      <c r="AC72" s="202"/>
      <c r="AD72" s="202"/>
      <c r="AE72" s="202"/>
      <c r="AF72" s="202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1"/>
      <c r="AR72" s="201"/>
      <c r="AS72" s="201"/>
      <c r="AT72" s="201"/>
      <c r="AU72" s="201"/>
      <c r="AV72" s="201"/>
      <c r="AW72" s="201"/>
      <c r="AX72" s="201"/>
      <c r="AY72" s="201"/>
      <c r="AZ72" s="201"/>
      <c r="BA72" s="201"/>
      <c r="BB72" s="201"/>
      <c r="BC72" s="201"/>
      <c r="BD72" s="201"/>
    </row>
    <row r="73" spans="2:56">
      <c r="B73" s="35" t="s">
        <v>517</v>
      </c>
      <c r="C73" s="35"/>
      <c r="D73" s="32"/>
      <c r="E73" s="36" t="s">
        <v>511</v>
      </c>
      <c r="F73" s="37">
        <v>45140.872916666667</v>
      </c>
      <c r="G73" s="60">
        <v>45141</v>
      </c>
      <c r="H73" s="33"/>
      <c r="I73" s="34"/>
      <c r="J73" s="35" t="s">
        <v>518</v>
      </c>
      <c r="K73" s="36" t="s">
        <v>511</v>
      </c>
      <c r="L73" s="50">
        <v>73500</v>
      </c>
      <c r="M73" s="40" t="s">
        <v>519</v>
      </c>
      <c r="N73" s="40"/>
      <c r="O73" s="206"/>
      <c r="P73" s="205"/>
      <c r="Q73" s="202"/>
      <c r="R73" s="204"/>
      <c r="S73" s="38"/>
      <c r="T73" s="201"/>
      <c r="U73" s="201"/>
      <c r="V73" s="201"/>
      <c r="W73" s="201"/>
      <c r="X73" s="201"/>
      <c r="Y73" s="201"/>
      <c r="Z73" s="201"/>
      <c r="AA73" s="201"/>
      <c r="AB73" s="202"/>
      <c r="AC73" s="202"/>
      <c r="AD73" s="202"/>
      <c r="AE73" s="202"/>
      <c r="AF73" s="202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  <c r="AR73" s="201"/>
      <c r="AS73" s="201"/>
      <c r="AT73" s="201"/>
      <c r="AU73" s="201"/>
      <c r="AV73" s="201"/>
      <c r="AW73" s="201"/>
      <c r="AX73" s="201"/>
      <c r="AY73" s="201"/>
      <c r="AZ73" s="201"/>
      <c r="BA73" s="201"/>
      <c r="BB73" s="201"/>
      <c r="BC73" s="201"/>
      <c r="BD73" s="201"/>
    </row>
    <row r="74" spans="2:56">
      <c r="B74" s="35" t="s">
        <v>520</v>
      </c>
      <c r="C74" s="35"/>
      <c r="D74" s="32"/>
      <c r="E74" s="36" t="s">
        <v>511</v>
      </c>
      <c r="F74" s="37" t="s">
        <v>20</v>
      </c>
      <c r="G74" s="32"/>
      <c r="H74" s="33"/>
      <c r="I74" s="34"/>
      <c r="J74" s="35" t="s">
        <v>521</v>
      </c>
      <c r="K74" s="36" t="s">
        <v>511</v>
      </c>
      <c r="L74" s="41" t="s">
        <v>2228</v>
      </c>
      <c r="M74" s="32"/>
      <c r="N74" s="32"/>
      <c r="O74" s="206"/>
      <c r="P74" s="202"/>
      <c r="Q74" s="202"/>
      <c r="R74" s="204"/>
      <c r="S74" s="38"/>
      <c r="T74" s="201"/>
      <c r="U74" s="201"/>
      <c r="V74" s="201"/>
      <c r="W74" s="201"/>
      <c r="X74" s="201"/>
      <c r="Y74" s="201"/>
      <c r="Z74" s="201"/>
      <c r="AA74" s="201"/>
      <c r="AB74" s="202"/>
      <c r="AC74" s="202"/>
      <c r="AD74" s="202"/>
      <c r="AE74" s="202"/>
      <c r="AF74" s="202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</row>
    <row r="75" spans="2:56">
      <c r="B75" s="35" t="s">
        <v>523</v>
      </c>
      <c r="C75" s="35"/>
      <c r="D75" s="32"/>
      <c r="E75" s="36" t="s">
        <v>511</v>
      </c>
      <c r="F75" s="37" t="s">
        <v>47</v>
      </c>
      <c r="G75" s="32"/>
      <c r="H75" s="33"/>
      <c r="I75" s="34"/>
      <c r="J75" s="42" t="s">
        <v>524</v>
      </c>
      <c r="K75" s="36" t="s">
        <v>511</v>
      </c>
      <c r="L75" s="43" t="s">
        <v>15</v>
      </c>
      <c r="M75" s="44"/>
      <c r="N75" s="44"/>
      <c r="O75" s="206"/>
      <c r="P75" s="205"/>
      <c r="Q75" s="202"/>
      <c r="R75" s="204"/>
      <c r="S75" s="38"/>
      <c r="T75" s="201"/>
      <c r="U75" s="201"/>
      <c r="V75" s="201"/>
      <c r="W75" s="201"/>
      <c r="X75" s="201"/>
      <c r="Y75" s="201"/>
      <c r="Z75" s="201"/>
      <c r="AA75" s="201"/>
      <c r="AB75" s="202"/>
      <c r="AC75" s="202"/>
      <c r="AD75" s="202"/>
      <c r="AE75" s="202"/>
      <c r="AF75" s="202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  <c r="AR75" s="201"/>
      <c r="AS75" s="201"/>
      <c r="AT75" s="201"/>
      <c r="AU75" s="201"/>
      <c r="AV75" s="201"/>
      <c r="AW75" s="201"/>
      <c r="AX75" s="201"/>
      <c r="AY75" s="201"/>
      <c r="AZ75" s="201"/>
      <c r="BA75" s="201"/>
      <c r="BB75" s="201"/>
      <c r="BC75" s="201"/>
      <c r="BD75" s="201"/>
    </row>
    <row r="76" spans="2:56">
      <c r="B76" s="35" t="s">
        <v>2</v>
      </c>
      <c r="C76" s="35"/>
      <c r="D76" s="32"/>
      <c r="E76" s="36" t="s">
        <v>511</v>
      </c>
      <c r="F76" s="37" t="s">
        <v>14</v>
      </c>
      <c r="G76" s="32"/>
      <c r="H76" s="33"/>
      <c r="I76" s="45"/>
      <c r="J76" s="42"/>
      <c r="K76" s="36"/>
      <c r="L76" s="211"/>
      <c r="M76" s="201"/>
      <c r="N76" s="201"/>
      <c r="O76" s="42"/>
      <c r="P76" s="44"/>
      <c r="Q76" s="44"/>
      <c r="R76" s="44"/>
      <c r="S76" s="34"/>
      <c r="T76" s="201"/>
      <c r="U76" s="201"/>
      <c r="V76" s="201"/>
      <c r="W76" s="201"/>
      <c r="X76" s="201"/>
      <c r="Y76" s="201"/>
      <c r="Z76" s="201"/>
      <c r="AA76" s="201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201"/>
      <c r="AP76" s="201"/>
      <c r="AQ76" s="201"/>
      <c r="AR76" s="201"/>
      <c r="AS76" s="201"/>
      <c r="AT76" s="201"/>
      <c r="AU76" s="201"/>
      <c r="AV76" s="201"/>
      <c r="AW76" s="201"/>
      <c r="AX76" s="201"/>
      <c r="AY76" s="201"/>
      <c r="AZ76" s="201"/>
      <c r="BA76" s="201"/>
      <c r="BB76" s="201"/>
      <c r="BC76" s="201"/>
      <c r="BD76" s="201"/>
    </row>
    <row r="77" spans="2:56">
      <c r="B77" s="201"/>
      <c r="C77" s="201"/>
      <c r="D77" s="201"/>
      <c r="E77" s="201"/>
      <c r="F77" s="201"/>
      <c r="G77" s="201"/>
      <c r="H77" s="201"/>
      <c r="I77" s="45"/>
      <c r="J77" s="42"/>
      <c r="K77" s="42"/>
      <c r="L77" s="43"/>
      <c r="M77" s="44"/>
      <c r="N77" s="44"/>
      <c r="O77" s="42"/>
      <c r="P77" s="44"/>
      <c r="Q77" s="44"/>
      <c r="R77" s="44"/>
      <c r="S77" s="34"/>
      <c r="T77" s="1265" t="s">
        <v>87</v>
      </c>
      <c r="U77" s="1265"/>
      <c r="V77" s="1265"/>
      <c r="W77" s="1265"/>
      <c r="X77" s="1265"/>
      <c r="Y77" s="1265" t="s">
        <v>73</v>
      </c>
      <c r="Z77" s="1265"/>
      <c r="AA77" s="1265"/>
      <c r="AB77" s="1265" t="s">
        <v>74</v>
      </c>
      <c r="AC77" s="1265"/>
      <c r="AD77" s="423" t="s">
        <v>85</v>
      </c>
      <c r="AE77" s="423" t="s">
        <v>77</v>
      </c>
      <c r="AF77" s="1265" t="s">
        <v>525</v>
      </c>
      <c r="AG77" s="1265"/>
      <c r="AH77" s="1265"/>
      <c r="AI77" s="1265"/>
      <c r="AJ77" s="1265"/>
      <c r="AK77" s="1265"/>
      <c r="AL77" s="1265"/>
      <c r="AM77" s="1265"/>
      <c r="AN77" s="1265"/>
      <c r="AO77" s="1265"/>
      <c r="AP77" s="1265"/>
      <c r="AQ77" s="1265"/>
      <c r="AR77" s="1265"/>
      <c r="AS77" s="1265"/>
      <c r="AT77" s="1265"/>
      <c r="AU77" s="1265"/>
      <c r="AV77" s="1265"/>
      <c r="AW77" s="1265"/>
      <c r="AX77" s="1265"/>
      <c r="AY77" s="1265"/>
      <c r="AZ77" s="1265"/>
      <c r="BA77" s="1265"/>
      <c r="BB77" s="1265"/>
      <c r="BC77" s="1265"/>
      <c r="BD77" s="201"/>
    </row>
    <row r="78" spans="2:56">
      <c r="B78" s="1266" t="s">
        <v>526</v>
      </c>
      <c r="C78" s="1267"/>
      <c r="D78" s="570" t="s">
        <v>527</v>
      </c>
      <c r="E78" s="570"/>
      <c r="F78" s="570" t="s">
        <v>528</v>
      </c>
      <c r="G78" s="570" t="s">
        <v>529</v>
      </c>
      <c r="H78" s="570" t="s">
        <v>530</v>
      </c>
      <c r="I78" s="570" t="s">
        <v>531</v>
      </c>
      <c r="J78" s="570" t="s">
        <v>532</v>
      </c>
      <c r="K78" s="570"/>
      <c r="L78" s="570" t="s">
        <v>130</v>
      </c>
      <c r="M78" s="570" t="s">
        <v>533</v>
      </c>
      <c r="N78" s="408" t="str">
        <f>"On time - "&amp;COUNTIF(N79:N91,"On time")&amp;" from "&amp;ROWS(N79:N91)-COUNTIF(N79:N91," ")</f>
        <v>On time - 0 from 9</v>
      </c>
      <c r="O78" s="46"/>
      <c r="P78" s="409" t="s">
        <v>534</v>
      </c>
      <c r="Q78" s="409" t="s">
        <v>535</v>
      </c>
      <c r="R78" s="409" t="s">
        <v>536</v>
      </c>
      <c r="S78" s="32"/>
      <c r="T78" s="424" t="s">
        <v>537</v>
      </c>
      <c r="U78" s="424" t="s">
        <v>538</v>
      </c>
      <c r="V78" s="424" t="s">
        <v>539</v>
      </c>
      <c r="W78" s="424" t="s">
        <v>540</v>
      </c>
      <c r="X78" s="424" t="s">
        <v>541</v>
      </c>
      <c r="Y78" s="424" t="s">
        <v>167</v>
      </c>
      <c r="Z78" s="424" t="s">
        <v>168</v>
      </c>
      <c r="AA78" s="424" t="s">
        <v>169</v>
      </c>
      <c r="AB78" s="424" t="s">
        <v>235</v>
      </c>
      <c r="AC78" s="424" t="s">
        <v>240</v>
      </c>
      <c r="AD78" s="423" t="s">
        <v>85</v>
      </c>
      <c r="AE78" s="424" t="s">
        <v>139</v>
      </c>
      <c r="AF78" s="424" t="s">
        <v>72</v>
      </c>
      <c r="AG78" s="424" t="s">
        <v>88</v>
      </c>
      <c r="AH78" s="424" t="s">
        <v>75</v>
      </c>
      <c r="AI78" s="424" t="s">
        <v>543</v>
      </c>
      <c r="AJ78" s="424" t="s">
        <v>78</v>
      </c>
      <c r="AK78" s="424" t="s">
        <v>76</v>
      </c>
      <c r="AL78" s="424" t="s">
        <v>544</v>
      </c>
      <c r="AM78" s="424" t="s">
        <v>545</v>
      </c>
      <c r="AN78" s="424" t="s">
        <v>86</v>
      </c>
      <c r="AO78" s="424" t="s">
        <v>83</v>
      </c>
      <c r="AP78" s="424" t="s">
        <v>84</v>
      </c>
      <c r="AQ78" s="424" t="s">
        <v>546</v>
      </c>
      <c r="AR78" s="424" t="s">
        <v>81</v>
      </c>
      <c r="AS78" s="424" t="s">
        <v>80</v>
      </c>
      <c r="AT78" s="424" t="s">
        <v>82</v>
      </c>
      <c r="AU78" s="424" t="s">
        <v>181</v>
      </c>
      <c r="AV78" s="424" t="s">
        <v>183</v>
      </c>
      <c r="AW78" s="424" t="s">
        <v>547</v>
      </c>
      <c r="AX78" s="424" t="s">
        <v>182</v>
      </c>
      <c r="AY78" s="424" t="s">
        <v>172</v>
      </c>
      <c r="AZ78" s="424" t="s">
        <v>173</v>
      </c>
      <c r="BA78" s="424" t="s">
        <v>184</v>
      </c>
      <c r="BB78" s="424" t="s">
        <v>100</v>
      </c>
      <c r="BC78" s="424" t="s">
        <v>913</v>
      </c>
      <c r="BD78" s="201"/>
    </row>
    <row r="79" spans="2:56">
      <c r="B79" s="1256">
        <v>1</v>
      </c>
      <c r="C79" s="1257"/>
      <c r="D79" s="411" t="s">
        <v>2229</v>
      </c>
      <c r="E79" s="411"/>
      <c r="F79" s="411" t="s">
        <v>274</v>
      </c>
      <c r="G79" s="411" t="s">
        <v>1093</v>
      </c>
      <c r="H79" s="412">
        <v>6047.6009999999997</v>
      </c>
      <c r="I79" s="413" t="s">
        <v>235</v>
      </c>
      <c r="J79" s="414">
        <v>45143.666666666664</v>
      </c>
      <c r="K79" s="414"/>
      <c r="L79" s="414" t="s">
        <v>192</v>
      </c>
      <c r="M79" s="414" t="s">
        <v>192</v>
      </c>
      <c r="N79" s="413" t="str">
        <f>IF(ISBLANK(J79)," ",IF(J79&lt;$G$73,"On time",(IF(DAY(J79-$G$73)&lt;1,"On time",(IF(J79&gt;$G$73,"DELAY ( "&amp;DAY(J79-$G$73)&amp;" day "&amp;HOUR(J79-$G$73)&amp;" hour "&amp;MINUTE(J79-$G$73)&amp;" minute )","xxx"))))))</f>
        <v>DELAY ( 2 day 16 hour 0 minute )</v>
      </c>
      <c r="O79" s="51"/>
      <c r="P79" s="415" t="s">
        <v>551</v>
      </c>
      <c r="Q79" s="415" t="s">
        <v>551</v>
      </c>
      <c r="R79" s="415" t="s">
        <v>551</v>
      </c>
      <c r="S79" s="32"/>
      <c r="T79" s="416"/>
      <c r="U79" s="416"/>
      <c r="V79" s="416"/>
      <c r="W79" s="416"/>
      <c r="X79" s="416"/>
      <c r="Y79" s="416"/>
      <c r="Z79" s="416"/>
      <c r="AA79" s="416"/>
      <c r="AB79" s="416">
        <f>H79</f>
        <v>6047.6009999999997</v>
      </c>
      <c r="AC79" s="416"/>
      <c r="AD79" s="416"/>
      <c r="AE79" s="416"/>
      <c r="AF79" s="416"/>
      <c r="AG79" s="416"/>
      <c r="AH79" s="416"/>
      <c r="AI79" s="416"/>
      <c r="AJ79" s="416"/>
      <c r="AK79" s="416"/>
      <c r="AL79" s="416"/>
      <c r="AM79" s="416"/>
      <c r="AN79" s="416"/>
      <c r="AO79" s="416"/>
      <c r="AP79" s="416"/>
      <c r="AQ79" s="416"/>
      <c r="AR79" s="416"/>
      <c r="AS79" s="416"/>
      <c r="AT79" s="32"/>
      <c r="AU79" s="416"/>
      <c r="AV79" s="416"/>
      <c r="AW79" s="416"/>
      <c r="AX79" s="416"/>
      <c r="AY79" s="416"/>
      <c r="AZ79" s="416"/>
      <c r="BA79" s="416"/>
      <c r="BB79" s="416"/>
      <c r="BC79" s="416"/>
      <c r="BD79" s="32"/>
    </row>
    <row r="80" spans="2:56">
      <c r="B80" s="1256">
        <v>2</v>
      </c>
      <c r="C80" s="1257"/>
      <c r="D80" s="411" t="s">
        <v>2230</v>
      </c>
      <c r="E80" s="411"/>
      <c r="F80" s="411" t="s">
        <v>263</v>
      </c>
      <c r="G80" s="411" t="s">
        <v>264</v>
      </c>
      <c r="H80" s="412">
        <v>6029.4489999999996</v>
      </c>
      <c r="I80" s="413" t="s">
        <v>240</v>
      </c>
      <c r="J80" s="414">
        <v>45144.583333333336</v>
      </c>
      <c r="K80" s="414"/>
      <c r="L80" s="414" t="s">
        <v>192</v>
      </c>
      <c r="M80" s="414" t="s">
        <v>192</v>
      </c>
      <c r="N80" s="413" t="str">
        <f t="shared" ref="N80:N91" si="6">IF(ISBLANK(J80)," ",IF(J80&lt;$G$73,"On time",(IF(DAY(J80-$G$73)&lt;1,"On time",(IF(J80&gt;$G$73,"DELAY ( "&amp;DAY(J80-$G$73)&amp;" day "&amp;HOUR(J80-$G$73)&amp;" hour "&amp;MINUTE(J80-$G$73)&amp;" minute )","xxx"))))))</f>
        <v>DELAY ( 3 day 14 hour 0 minute )</v>
      </c>
      <c r="O80" s="51"/>
      <c r="P80" s="415" t="s">
        <v>551</v>
      </c>
      <c r="Q80" s="415" t="s">
        <v>551</v>
      </c>
      <c r="R80" s="415" t="s">
        <v>551</v>
      </c>
      <c r="S80" s="32"/>
      <c r="T80" s="416"/>
      <c r="U80" s="416"/>
      <c r="V80" s="416"/>
      <c r="W80" s="416"/>
      <c r="X80" s="416"/>
      <c r="Y80" s="416"/>
      <c r="Z80" s="416"/>
      <c r="AA80" s="416"/>
      <c r="AB80" s="416"/>
      <c r="AC80" s="416">
        <f>H80</f>
        <v>6029.4489999999996</v>
      </c>
      <c r="AD80" s="416"/>
      <c r="AE80" s="416"/>
      <c r="AF80" s="416"/>
      <c r="AG80" s="416"/>
      <c r="AH80" s="416"/>
      <c r="AI80" s="416"/>
      <c r="AJ80" s="416"/>
      <c r="AK80" s="416"/>
      <c r="AL80" s="416"/>
      <c r="AM80" s="416"/>
      <c r="AN80" s="416"/>
      <c r="AO80" s="416"/>
      <c r="AP80" s="416"/>
      <c r="AQ80" s="416"/>
      <c r="AR80" s="416"/>
      <c r="AS80" s="416"/>
      <c r="AT80" s="416"/>
      <c r="AU80" s="416"/>
      <c r="AV80" s="416"/>
      <c r="AW80" s="416"/>
      <c r="AX80" s="416"/>
      <c r="AY80" s="416"/>
      <c r="AZ80" s="416"/>
      <c r="BA80" s="416"/>
      <c r="BB80" s="416"/>
      <c r="BC80" s="416"/>
      <c r="BD80" s="32"/>
    </row>
    <row r="81" spans="2:56">
      <c r="B81" s="1256">
        <v>3</v>
      </c>
      <c r="C81" s="1257"/>
      <c r="D81" s="411" t="s">
        <v>2231</v>
      </c>
      <c r="E81" s="411"/>
      <c r="F81" s="411" t="s">
        <v>403</v>
      </c>
      <c r="G81" s="411" t="s">
        <v>404</v>
      </c>
      <c r="H81" s="412">
        <v>6108.8509999999997</v>
      </c>
      <c r="I81" s="413" t="s">
        <v>2217</v>
      </c>
      <c r="J81" s="414">
        <v>45144.600694444445</v>
      </c>
      <c r="K81" s="414"/>
      <c r="L81" s="414" t="s">
        <v>192</v>
      </c>
      <c r="M81" s="414" t="s">
        <v>192</v>
      </c>
      <c r="N81" s="413" t="str">
        <f t="shared" si="6"/>
        <v>DELAY ( 3 day 14 hour 25 minute )</v>
      </c>
      <c r="O81" s="51"/>
      <c r="P81" s="415" t="s">
        <v>551</v>
      </c>
      <c r="Q81" s="415" t="s">
        <v>551</v>
      </c>
      <c r="R81" s="415" t="s">
        <v>551</v>
      </c>
      <c r="S81" s="32"/>
      <c r="T81" s="416"/>
      <c r="U81" s="416"/>
      <c r="V81" s="416"/>
      <c r="W81" s="416"/>
      <c r="X81" s="416"/>
      <c r="Y81" s="416">
        <f>H81</f>
        <v>6108.8509999999997</v>
      </c>
      <c r="Z81" s="416"/>
      <c r="AA81" s="416"/>
      <c r="AB81" s="416"/>
      <c r="AC81" s="416"/>
      <c r="AD81" s="416"/>
      <c r="AE81" s="416"/>
      <c r="AF81" s="416"/>
      <c r="AG81" s="416"/>
      <c r="AH81" s="416"/>
      <c r="AI81" s="416"/>
      <c r="AJ81" s="416"/>
      <c r="AK81" s="416"/>
      <c r="AL81" s="416"/>
      <c r="AM81" s="416"/>
      <c r="AN81" s="416"/>
      <c r="AO81" s="416"/>
      <c r="AP81" s="416"/>
      <c r="AQ81" s="416"/>
      <c r="AR81" s="416"/>
      <c r="AS81" s="416"/>
      <c r="AT81" s="416"/>
      <c r="AU81" s="416"/>
      <c r="AV81" s="416"/>
      <c r="AW81" s="416"/>
      <c r="AX81" s="416"/>
      <c r="AY81" s="416"/>
      <c r="AZ81" s="416"/>
      <c r="BA81" s="416"/>
      <c r="BB81" s="416"/>
      <c r="BC81" s="416"/>
      <c r="BD81" s="32"/>
    </row>
    <row r="82" spans="2:56">
      <c r="B82" s="1256">
        <v>4</v>
      </c>
      <c r="C82" s="1257"/>
      <c r="D82" s="411" t="s">
        <v>2232</v>
      </c>
      <c r="E82" s="411"/>
      <c r="F82" s="411" t="s">
        <v>377</v>
      </c>
      <c r="G82" s="411" t="s">
        <v>378</v>
      </c>
      <c r="H82" s="412">
        <v>6073.049</v>
      </c>
      <c r="I82" s="413" t="s">
        <v>240</v>
      </c>
      <c r="J82" s="414">
        <v>45144.666666666664</v>
      </c>
      <c r="K82" s="414"/>
      <c r="L82" s="414" t="s">
        <v>192</v>
      </c>
      <c r="M82" s="414" t="s">
        <v>192</v>
      </c>
      <c r="N82" s="413" t="str">
        <f t="shared" si="6"/>
        <v>DELAY ( 3 day 16 hour 0 minute )</v>
      </c>
      <c r="O82" s="51"/>
      <c r="P82" s="415" t="s">
        <v>551</v>
      </c>
      <c r="Q82" s="415" t="s">
        <v>551</v>
      </c>
      <c r="R82" s="415" t="s">
        <v>551</v>
      </c>
      <c r="S82" s="32"/>
      <c r="T82" s="416"/>
      <c r="U82" s="416"/>
      <c r="V82" s="416"/>
      <c r="W82" s="416"/>
      <c r="X82" s="416"/>
      <c r="Y82" s="416"/>
      <c r="Z82" s="416"/>
      <c r="AA82" s="416"/>
      <c r="AB82" s="32"/>
      <c r="AC82" s="416">
        <f>H82</f>
        <v>6073.049</v>
      </c>
      <c r="AD82" s="416"/>
      <c r="AE82" s="416"/>
      <c r="AF82" s="416"/>
      <c r="AG82" s="416"/>
      <c r="AH82" s="416"/>
      <c r="AI82" s="416"/>
      <c r="AJ82" s="416"/>
      <c r="AK82" s="416"/>
      <c r="AL82" s="416"/>
      <c r="AM82" s="416"/>
      <c r="AN82" s="416"/>
      <c r="AO82" s="416"/>
      <c r="AP82" s="416"/>
      <c r="AQ82" s="416"/>
      <c r="AR82" s="416"/>
      <c r="AS82" s="416"/>
      <c r="AT82" s="416"/>
      <c r="AU82" s="416"/>
      <c r="AV82" s="416"/>
      <c r="AW82" s="416"/>
      <c r="AX82" s="416"/>
      <c r="AY82" s="416"/>
      <c r="AZ82" s="416"/>
      <c r="BA82" s="416"/>
      <c r="BB82" s="416"/>
      <c r="BC82" s="416"/>
      <c r="BD82" s="32"/>
    </row>
    <row r="83" spans="2:56">
      <c r="B83" s="1256">
        <v>5</v>
      </c>
      <c r="C83" s="1257"/>
      <c r="D83" s="411" t="s">
        <v>2233</v>
      </c>
      <c r="E83" s="411"/>
      <c r="F83" s="411" t="s">
        <v>238</v>
      </c>
      <c r="G83" s="411" t="s">
        <v>239</v>
      </c>
      <c r="H83" s="412">
        <v>6002.3410000000003</v>
      </c>
      <c r="I83" s="413" t="s">
        <v>235</v>
      </c>
      <c r="J83" s="414">
        <v>45144.625</v>
      </c>
      <c r="K83" s="414"/>
      <c r="L83" s="414" t="s">
        <v>192</v>
      </c>
      <c r="M83" s="414" t="s">
        <v>192</v>
      </c>
      <c r="N83" s="413" t="str">
        <f t="shared" si="6"/>
        <v>DELAY ( 3 day 15 hour 0 minute )</v>
      </c>
      <c r="O83" s="51"/>
      <c r="P83" s="415" t="s">
        <v>551</v>
      </c>
      <c r="Q83" s="415" t="s">
        <v>551</v>
      </c>
      <c r="R83" s="415" t="s">
        <v>551</v>
      </c>
      <c r="S83" s="32"/>
      <c r="T83" s="416"/>
      <c r="U83" s="416"/>
      <c r="V83" s="416"/>
      <c r="W83" s="416"/>
      <c r="X83" s="416"/>
      <c r="Y83" s="416"/>
      <c r="Z83" s="416"/>
      <c r="AA83" s="416"/>
      <c r="AB83" s="416">
        <f>H83</f>
        <v>6002.3410000000003</v>
      </c>
      <c r="AC83" s="416"/>
      <c r="AD83" s="416"/>
      <c r="AE83" s="416"/>
      <c r="AF83" s="416"/>
      <c r="AG83" s="416"/>
      <c r="AH83" s="416"/>
      <c r="AI83" s="416"/>
      <c r="AJ83" s="416"/>
      <c r="AK83" s="416"/>
      <c r="AL83" s="416"/>
      <c r="AM83" s="416"/>
      <c r="AN83" s="416"/>
      <c r="AO83" s="416"/>
      <c r="AP83" s="416"/>
      <c r="AQ83" s="416"/>
      <c r="AR83" s="416"/>
      <c r="AS83" s="416"/>
      <c r="AT83" s="416"/>
      <c r="AU83" s="416"/>
      <c r="AV83" s="416"/>
      <c r="AW83" s="416"/>
      <c r="AX83" s="416"/>
      <c r="AY83" s="416"/>
      <c r="AZ83" s="416"/>
      <c r="BA83" s="416"/>
      <c r="BB83" s="416"/>
      <c r="BC83" s="416"/>
      <c r="BD83" s="32"/>
    </row>
    <row r="84" spans="2:56">
      <c r="B84" s="1256">
        <v>6</v>
      </c>
      <c r="C84" s="1257"/>
      <c r="D84" s="411" t="s">
        <v>2234</v>
      </c>
      <c r="E84" s="411"/>
      <c r="F84" s="411" t="s">
        <v>205</v>
      </c>
      <c r="G84" s="411" t="s">
        <v>206</v>
      </c>
      <c r="H84" s="412">
        <v>5700.35</v>
      </c>
      <c r="I84" s="413" t="s">
        <v>235</v>
      </c>
      <c r="J84" s="414">
        <v>45144.635416666664</v>
      </c>
      <c r="K84" s="414"/>
      <c r="L84" s="414" t="s">
        <v>192</v>
      </c>
      <c r="M84" s="414" t="s">
        <v>192</v>
      </c>
      <c r="N84" s="413" t="str">
        <f t="shared" si="6"/>
        <v>DELAY ( 3 day 15 hour 15 minute )</v>
      </c>
      <c r="O84" s="51"/>
      <c r="P84" s="415" t="s">
        <v>551</v>
      </c>
      <c r="Q84" s="415" t="s">
        <v>551</v>
      </c>
      <c r="R84" s="415" t="s">
        <v>551</v>
      </c>
      <c r="S84" s="32"/>
      <c r="T84" s="416"/>
      <c r="U84" s="416"/>
      <c r="V84" s="416"/>
      <c r="W84" s="416"/>
      <c r="X84" s="416"/>
      <c r="Y84" s="416"/>
      <c r="Z84" s="416"/>
      <c r="AA84" s="416"/>
      <c r="AB84" s="416">
        <f t="shared" ref="AB84" si="7">H84</f>
        <v>5700.35</v>
      </c>
      <c r="AC84" s="32"/>
      <c r="AD84" s="416"/>
      <c r="AE84" s="416"/>
      <c r="AF84" s="416"/>
      <c r="AG84" s="416"/>
      <c r="AH84" s="416"/>
      <c r="AI84" s="416"/>
      <c r="AJ84" s="416"/>
      <c r="AK84" s="416"/>
      <c r="AL84" s="416"/>
      <c r="AM84" s="416"/>
      <c r="AN84" s="416"/>
      <c r="AO84" s="416"/>
      <c r="AP84" s="416"/>
      <c r="AQ84" s="416"/>
      <c r="AR84" s="416"/>
      <c r="AS84" s="416"/>
      <c r="AT84" s="416"/>
      <c r="AU84" s="416"/>
      <c r="AV84" s="416"/>
      <c r="AW84" s="416"/>
      <c r="AX84" s="416"/>
      <c r="AY84" s="416"/>
      <c r="AZ84" s="416"/>
      <c r="BA84" s="416"/>
      <c r="BB84" s="416"/>
      <c r="BC84" s="416"/>
      <c r="BD84" s="32"/>
    </row>
    <row r="85" spans="2:56">
      <c r="B85" s="1256">
        <v>7</v>
      </c>
      <c r="C85" s="1257"/>
      <c r="D85" s="411" t="s">
        <v>2235</v>
      </c>
      <c r="E85" s="411"/>
      <c r="F85" s="411" t="s">
        <v>226</v>
      </c>
      <c r="G85" s="411" t="s">
        <v>227</v>
      </c>
      <c r="H85" s="412">
        <v>5904.0820000000003</v>
      </c>
      <c r="I85" s="413" t="s">
        <v>240</v>
      </c>
      <c r="J85" s="414">
        <v>45145.791666666664</v>
      </c>
      <c r="K85" s="414"/>
      <c r="L85" s="414" t="s">
        <v>192</v>
      </c>
      <c r="M85" s="414" t="s">
        <v>192</v>
      </c>
      <c r="N85" s="413" t="str">
        <f t="shared" si="6"/>
        <v>DELAY ( 4 day 19 hour 0 minute )</v>
      </c>
      <c r="O85" s="51"/>
      <c r="P85" s="415" t="s">
        <v>551</v>
      </c>
      <c r="Q85" s="415" t="s">
        <v>551</v>
      </c>
      <c r="R85" s="415" t="s">
        <v>551</v>
      </c>
      <c r="S85" s="32"/>
      <c r="T85" s="416"/>
      <c r="U85" s="416"/>
      <c r="V85" s="416"/>
      <c r="W85" s="416"/>
      <c r="X85" s="416"/>
      <c r="Y85" s="416"/>
      <c r="Z85" s="416"/>
      <c r="AA85" s="416"/>
      <c r="AB85" s="416"/>
      <c r="AC85" s="416">
        <f t="shared" ref="AC85" si="8">H85</f>
        <v>5904.0820000000003</v>
      </c>
      <c r="AD85" s="416"/>
      <c r="AE85" s="416"/>
      <c r="AF85" s="416"/>
      <c r="AG85" s="416"/>
      <c r="AH85" s="416"/>
      <c r="AI85" s="416"/>
      <c r="AJ85" s="416"/>
      <c r="AK85" s="416"/>
      <c r="AL85" s="416"/>
      <c r="AM85" s="416"/>
      <c r="AN85" s="416"/>
      <c r="AO85" s="416"/>
      <c r="AP85" s="416"/>
      <c r="AQ85" s="416"/>
      <c r="AR85" s="416"/>
      <c r="AS85" s="416"/>
      <c r="AT85" s="416"/>
      <c r="AU85" s="416"/>
      <c r="AV85" s="416"/>
      <c r="AW85" s="416"/>
      <c r="AX85" s="416"/>
      <c r="AY85" s="416"/>
      <c r="AZ85" s="416"/>
      <c r="BA85" s="416"/>
      <c r="BB85" s="416"/>
      <c r="BC85" s="416"/>
      <c r="BD85" s="32"/>
    </row>
    <row r="86" spans="2:56">
      <c r="B86" s="1256">
        <v>8</v>
      </c>
      <c r="C86" s="1257"/>
      <c r="D86" s="411" t="s">
        <v>2236</v>
      </c>
      <c r="E86" s="411"/>
      <c r="F86" s="411" t="s">
        <v>1392</v>
      </c>
      <c r="G86" s="411" t="s">
        <v>365</v>
      </c>
      <c r="H86" s="412">
        <v>5956.1440000000002</v>
      </c>
      <c r="I86" s="413" t="s">
        <v>240</v>
      </c>
      <c r="J86" s="414">
        <v>45144.9375</v>
      </c>
      <c r="K86" s="414"/>
      <c r="L86" s="414" t="s">
        <v>192</v>
      </c>
      <c r="M86" s="414" t="s">
        <v>192</v>
      </c>
      <c r="N86" s="413" t="str">
        <f t="shared" si="6"/>
        <v>DELAY ( 3 day 22 hour 30 minute )</v>
      </c>
      <c r="O86" s="51"/>
      <c r="P86" s="415" t="s">
        <v>551</v>
      </c>
      <c r="Q86" s="415" t="s">
        <v>551</v>
      </c>
      <c r="R86" s="415" t="s">
        <v>551</v>
      </c>
      <c r="S86" s="32"/>
      <c r="T86" s="416"/>
      <c r="U86" s="416"/>
      <c r="V86" s="416"/>
      <c r="W86" s="416"/>
      <c r="X86" s="416"/>
      <c r="Y86" s="416"/>
      <c r="Z86" s="416"/>
      <c r="AA86" s="416"/>
      <c r="AB86" s="32"/>
      <c r="AC86" s="416">
        <f>H86</f>
        <v>5956.1440000000002</v>
      </c>
      <c r="AD86" s="416"/>
      <c r="AE86" s="416"/>
      <c r="AF86" s="416"/>
      <c r="AG86" s="416"/>
      <c r="AH86" s="416"/>
      <c r="AI86" s="416"/>
      <c r="AJ86" s="416"/>
      <c r="AK86" s="416"/>
      <c r="AL86" s="416"/>
      <c r="AM86" s="416"/>
      <c r="AN86" s="416"/>
      <c r="AO86" s="416"/>
      <c r="AP86" s="416"/>
      <c r="AQ86" s="416"/>
      <c r="AR86" s="416"/>
      <c r="AS86" s="416"/>
      <c r="AT86" s="416"/>
      <c r="AU86" s="416"/>
      <c r="AV86" s="416"/>
      <c r="AW86" s="416"/>
      <c r="AX86" s="416"/>
      <c r="AY86" s="416"/>
      <c r="AZ86" s="416"/>
      <c r="BA86" s="416"/>
      <c r="BB86" s="416"/>
      <c r="BC86" s="416"/>
      <c r="BD86" s="32"/>
    </row>
    <row r="87" spans="2:56">
      <c r="B87" s="1256">
        <v>9</v>
      </c>
      <c r="C87" s="1257"/>
      <c r="D87" s="411" t="s">
        <v>2237</v>
      </c>
      <c r="E87" s="411"/>
      <c r="F87" s="411" t="s">
        <v>406</v>
      </c>
      <c r="G87" s="411" t="s">
        <v>407</v>
      </c>
      <c r="H87" s="412">
        <v>6023.8559999999998</v>
      </c>
      <c r="I87" s="413" t="s">
        <v>240</v>
      </c>
      <c r="J87" s="414">
        <v>45145.625</v>
      </c>
      <c r="K87" s="414"/>
      <c r="L87" s="414" t="s">
        <v>192</v>
      </c>
      <c r="M87" s="414" t="s">
        <v>192</v>
      </c>
      <c r="N87" s="413" t="str">
        <f t="shared" si="6"/>
        <v>DELAY ( 4 day 15 hour 0 minute )</v>
      </c>
      <c r="O87" s="51"/>
      <c r="P87" s="415" t="s">
        <v>551</v>
      </c>
      <c r="Q87" s="415" t="s">
        <v>551</v>
      </c>
      <c r="R87" s="415" t="s">
        <v>551</v>
      </c>
      <c r="S87" s="32"/>
      <c r="T87" s="416"/>
      <c r="U87" s="416"/>
      <c r="V87" s="416"/>
      <c r="W87" s="416"/>
      <c r="X87" s="416"/>
      <c r="Y87" s="416"/>
      <c r="Z87" s="416"/>
      <c r="AA87" s="416"/>
      <c r="AB87" s="32"/>
      <c r="AC87" s="416">
        <f>H87</f>
        <v>6023.8559999999998</v>
      </c>
      <c r="AD87" s="416"/>
      <c r="AE87" s="416"/>
      <c r="AF87" s="416"/>
      <c r="AG87" s="416"/>
      <c r="AH87" s="416"/>
      <c r="AI87" s="416"/>
      <c r="AJ87" s="416"/>
      <c r="AK87" s="416"/>
      <c r="AL87" s="416"/>
      <c r="AM87" s="416"/>
      <c r="AN87" s="416"/>
      <c r="AO87" s="416"/>
      <c r="AP87" s="416"/>
      <c r="AQ87" s="416"/>
      <c r="AR87" s="416"/>
      <c r="AS87" s="416"/>
      <c r="AT87" s="416"/>
      <c r="AU87" s="416"/>
      <c r="AV87" s="416"/>
      <c r="AW87" s="416"/>
      <c r="AX87" s="416"/>
      <c r="AY87" s="416"/>
      <c r="AZ87" s="416"/>
      <c r="BA87" s="416"/>
      <c r="BB87" s="416"/>
      <c r="BC87" s="416"/>
      <c r="BD87" s="32"/>
    </row>
    <row r="88" spans="2:56">
      <c r="B88" s="1256" t="s">
        <v>610</v>
      </c>
      <c r="C88" s="1276"/>
      <c r="D88" s="1276"/>
      <c r="E88" s="1276"/>
      <c r="F88" s="1276"/>
      <c r="G88" s="1257"/>
      <c r="H88" s="412">
        <v>5000</v>
      </c>
      <c r="I88" s="413" t="s">
        <v>665</v>
      </c>
      <c r="J88" s="414"/>
      <c r="K88" s="414"/>
      <c r="L88" s="414"/>
      <c r="M88" s="414"/>
      <c r="N88" s="413" t="str">
        <f t="shared" si="6"/>
        <v xml:space="preserve"> </v>
      </c>
      <c r="O88" s="51"/>
      <c r="P88" s="415" t="s">
        <v>551</v>
      </c>
      <c r="Q88" s="415"/>
      <c r="R88" s="415"/>
      <c r="S88" s="32"/>
      <c r="T88" s="416"/>
      <c r="U88" s="416">
        <f>H88</f>
        <v>5000</v>
      </c>
      <c r="V88" s="416"/>
      <c r="W88" s="416"/>
      <c r="X88" s="416"/>
      <c r="Y88" s="416"/>
      <c r="Z88" s="416"/>
      <c r="AA88" s="416"/>
      <c r="AB88" s="416"/>
      <c r="AC88" s="416"/>
      <c r="AD88" s="416"/>
      <c r="AE88" s="416"/>
      <c r="AF88" s="416"/>
      <c r="AG88" s="416"/>
      <c r="AH88" s="416"/>
      <c r="AI88" s="416"/>
      <c r="AJ88" s="416"/>
      <c r="AK88" s="416"/>
      <c r="AL88" s="416"/>
      <c r="AM88" s="416"/>
      <c r="AN88" s="416"/>
      <c r="AO88" s="416"/>
      <c r="AP88" s="416"/>
      <c r="AQ88" s="416"/>
      <c r="AR88" s="416"/>
      <c r="AS88" s="416"/>
      <c r="AT88" s="416"/>
      <c r="AU88" s="416"/>
      <c r="AV88" s="416"/>
      <c r="AW88" s="416"/>
      <c r="AX88" s="416"/>
      <c r="AY88" s="416"/>
      <c r="AZ88" s="416"/>
      <c r="BA88" s="416"/>
      <c r="BB88" s="416"/>
      <c r="BC88" s="416"/>
      <c r="BD88" s="32"/>
    </row>
    <row r="89" spans="2:56">
      <c r="B89" s="1256" t="s">
        <v>610</v>
      </c>
      <c r="C89" s="1276"/>
      <c r="D89" s="1276"/>
      <c r="E89" s="1276"/>
      <c r="F89" s="1276"/>
      <c r="G89" s="1257"/>
      <c r="H89" s="412">
        <f>H91-SUM(H79:H88)</f>
        <v>14654.277000000002</v>
      </c>
      <c r="I89" s="413" t="s">
        <v>611</v>
      </c>
      <c r="J89" s="414"/>
      <c r="K89" s="414"/>
      <c r="L89" s="414"/>
      <c r="M89" s="414"/>
      <c r="N89" s="413" t="str">
        <f t="shared" si="6"/>
        <v xml:space="preserve"> </v>
      </c>
      <c r="O89" s="51"/>
      <c r="P89" s="415" t="s">
        <v>551</v>
      </c>
      <c r="Q89" s="415"/>
      <c r="R89" s="415"/>
      <c r="S89" s="32"/>
      <c r="T89" s="416">
        <f>H89</f>
        <v>14654.277000000002</v>
      </c>
      <c r="U89" s="416"/>
      <c r="V89" s="416"/>
      <c r="W89" s="416"/>
      <c r="X89" s="416"/>
      <c r="Y89" s="416"/>
      <c r="Z89" s="416"/>
      <c r="AA89" s="416"/>
      <c r="AB89" s="416"/>
      <c r="AC89" s="416"/>
      <c r="AD89" s="416"/>
      <c r="AE89" s="416"/>
      <c r="AF89" s="416"/>
      <c r="AG89" s="416"/>
      <c r="AH89" s="416"/>
      <c r="AI89" s="416"/>
      <c r="AJ89" s="416"/>
      <c r="AK89" s="416"/>
      <c r="AL89" s="416"/>
      <c r="AM89" s="416"/>
      <c r="AN89" s="416"/>
      <c r="AO89" s="416"/>
      <c r="AP89" s="416"/>
      <c r="AQ89" s="416"/>
      <c r="AR89" s="416"/>
      <c r="AS89" s="416"/>
      <c r="AT89" s="416"/>
      <c r="AU89" s="416"/>
      <c r="AV89" s="416"/>
      <c r="AW89" s="416"/>
      <c r="AX89" s="416"/>
      <c r="AY89" s="416"/>
      <c r="AZ89" s="416"/>
      <c r="BA89" s="416"/>
      <c r="BB89" s="416"/>
      <c r="BC89" s="416"/>
      <c r="BD89" s="32"/>
    </row>
    <row r="90" spans="2:56">
      <c r="B90" s="1258" t="s">
        <v>556</v>
      </c>
      <c r="C90" s="1259"/>
      <c r="D90" s="1259"/>
      <c r="E90" s="1259"/>
      <c r="F90" s="1259"/>
      <c r="G90" s="1260"/>
      <c r="H90" s="417">
        <f>SUM(H79:H89)</f>
        <v>73500</v>
      </c>
      <c r="I90" s="388"/>
      <c r="J90" s="293"/>
      <c r="K90" s="293"/>
      <c r="L90" s="293"/>
      <c r="M90" s="389"/>
      <c r="N90" s="413" t="str">
        <f t="shared" si="6"/>
        <v xml:space="preserve"> </v>
      </c>
      <c r="O90" s="212"/>
      <c r="P90" s="418"/>
      <c r="Q90" s="418"/>
      <c r="R90" s="418"/>
      <c r="S90" s="207"/>
      <c r="T90" s="1262"/>
      <c r="U90" s="1263"/>
      <c r="V90" s="1263"/>
      <c r="W90" s="1263"/>
      <c r="X90" s="1263"/>
      <c r="Y90" s="1263"/>
      <c r="Z90" s="1263"/>
      <c r="AA90" s="1263"/>
      <c r="AB90" s="1263"/>
      <c r="AC90" s="1263"/>
      <c r="AD90" s="1263"/>
      <c r="AE90" s="1263"/>
      <c r="AF90" s="1263"/>
      <c r="AG90" s="1263"/>
      <c r="AH90" s="1263"/>
      <c r="AI90" s="1263"/>
      <c r="AJ90" s="1263"/>
      <c r="AK90" s="1263"/>
      <c r="AL90" s="1263"/>
      <c r="AM90" s="1263"/>
      <c r="AN90" s="1263"/>
      <c r="AO90" s="1263"/>
      <c r="AP90" s="1263"/>
      <c r="AQ90" s="1263"/>
      <c r="AR90" s="1263"/>
      <c r="AS90" s="1263"/>
      <c r="AT90" s="1263"/>
      <c r="AU90" s="1263"/>
      <c r="AV90" s="1263"/>
      <c r="AW90" s="1263"/>
      <c r="AX90" s="1263"/>
      <c r="AY90" s="1263"/>
      <c r="AZ90" s="1263"/>
      <c r="BA90" s="1263"/>
      <c r="BB90" s="1263"/>
      <c r="BC90" s="1264"/>
    </row>
    <row r="91" spans="2:56">
      <c r="B91" s="1243" t="s">
        <v>557</v>
      </c>
      <c r="C91" s="1244"/>
      <c r="D91" s="1244"/>
      <c r="E91" s="1244"/>
      <c r="F91" s="1244"/>
      <c r="G91" s="1245"/>
      <c r="H91" s="419">
        <v>73500</v>
      </c>
      <c r="I91" s="1273"/>
      <c r="J91" s="1274"/>
      <c r="K91" s="1274"/>
      <c r="L91" s="1274"/>
      <c r="M91" s="1275"/>
      <c r="N91" s="413" t="str">
        <f t="shared" si="6"/>
        <v xml:space="preserve"> </v>
      </c>
      <c r="O91" s="32"/>
      <c r="P91" s="415"/>
      <c r="Q91" s="415"/>
      <c r="R91" s="415"/>
      <c r="S91" s="63"/>
      <c r="T91" s="416">
        <f t="shared" ref="T91:BC91" si="9">SUM(T79:T89)</f>
        <v>14654.277000000002</v>
      </c>
      <c r="U91" s="416">
        <f t="shared" si="9"/>
        <v>5000</v>
      </c>
      <c r="V91" s="416">
        <f t="shared" si="9"/>
        <v>0</v>
      </c>
      <c r="W91" s="416">
        <f t="shared" si="9"/>
        <v>0</v>
      </c>
      <c r="X91" s="416">
        <f t="shared" si="9"/>
        <v>0</v>
      </c>
      <c r="Y91" s="416">
        <f t="shared" si="9"/>
        <v>6108.8509999999997</v>
      </c>
      <c r="Z91" s="416">
        <f t="shared" si="9"/>
        <v>0</v>
      </c>
      <c r="AA91" s="416">
        <f t="shared" si="9"/>
        <v>0</v>
      </c>
      <c r="AB91" s="416">
        <f t="shared" si="9"/>
        <v>17750.292000000001</v>
      </c>
      <c r="AC91" s="416">
        <f t="shared" si="9"/>
        <v>29986.58</v>
      </c>
      <c r="AD91" s="416">
        <f t="shared" si="9"/>
        <v>0</v>
      </c>
      <c r="AE91" s="416">
        <f t="shared" si="9"/>
        <v>0</v>
      </c>
      <c r="AF91" s="416">
        <f t="shared" si="9"/>
        <v>0</v>
      </c>
      <c r="AG91" s="416">
        <f t="shared" si="9"/>
        <v>0</v>
      </c>
      <c r="AH91" s="416">
        <f t="shared" si="9"/>
        <v>0</v>
      </c>
      <c r="AI91" s="416">
        <f t="shared" si="9"/>
        <v>0</v>
      </c>
      <c r="AJ91" s="416">
        <f t="shared" si="9"/>
        <v>0</v>
      </c>
      <c r="AK91" s="416">
        <f t="shared" si="9"/>
        <v>0</v>
      </c>
      <c r="AL91" s="416">
        <f t="shared" si="9"/>
        <v>0</v>
      </c>
      <c r="AM91" s="416">
        <f t="shared" si="9"/>
        <v>0</v>
      </c>
      <c r="AN91" s="416">
        <f t="shared" si="9"/>
        <v>0</v>
      </c>
      <c r="AO91" s="416">
        <f t="shared" si="9"/>
        <v>0</v>
      </c>
      <c r="AP91" s="416">
        <f t="shared" si="9"/>
        <v>0</v>
      </c>
      <c r="AQ91" s="416">
        <f t="shared" si="9"/>
        <v>0</v>
      </c>
      <c r="AR91" s="416">
        <f t="shared" si="9"/>
        <v>0</v>
      </c>
      <c r="AS91" s="416">
        <f t="shared" si="9"/>
        <v>0</v>
      </c>
      <c r="AT91" s="416">
        <f t="shared" si="9"/>
        <v>0</v>
      </c>
      <c r="AU91" s="416">
        <f t="shared" si="9"/>
        <v>0</v>
      </c>
      <c r="AV91" s="416">
        <f t="shared" si="9"/>
        <v>0</v>
      </c>
      <c r="AW91" s="416">
        <f t="shared" si="9"/>
        <v>0</v>
      </c>
      <c r="AX91" s="416">
        <f t="shared" si="9"/>
        <v>0</v>
      </c>
      <c r="AY91" s="416">
        <f t="shared" si="9"/>
        <v>0</v>
      </c>
      <c r="AZ91" s="416">
        <f t="shared" si="9"/>
        <v>0</v>
      </c>
      <c r="BA91" s="416">
        <f t="shared" si="9"/>
        <v>0</v>
      </c>
      <c r="BB91" s="416">
        <f t="shared" si="9"/>
        <v>0</v>
      </c>
      <c r="BC91" s="416">
        <f t="shared" si="9"/>
        <v>0</v>
      </c>
      <c r="BD91" s="416">
        <f>SUM(T91:BC91)</f>
        <v>73500</v>
      </c>
    </row>
    <row r="92" spans="2:56">
      <c r="B92" s="1243" t="s">
        <v>558</v>
      </c>
      <c r="C92" s="1244"/>
      <c r="D92" s="1244"/>
      <c r="E92" s="1244"/>
      <c r="F92" s="1244"/>
      <c r="G92" s="1245"/>
      <c r="H92" s="420">
        <f>H91-L73</f>
        <v>0</v>
      </c>
      <c r="I92" s="294"/>
      <c r="J92" s="295"/>
      <c r="K92" s="295"/>
      <c r="L92" s="296"/>
      <c r="M92" s="32"/>
      <c r="N92" s="32"/>
      <c r="O92" s="32"/>
      <c r="P92" s="32"/>
      <c r="Q92" s="297"/>
      <c r="R92" s="297"/>
      <c r="S92" s="32"/>
      <c r="T92" s="48"/>
      <c r="U92" s="48"/>
      <c r="V92" s="48"/>
      <c r="W92" s="48"/>
      <c r="X92" s="48"/>
      <c r="Y92" s="48"/>
      <c r="Z92" s="48"/>
      <c r="AA92" s="48"/>
      <c r="AB92" s="48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</row>
    <row r="93" spans="2:56">
      <c r="B93" s="1243" t="s">
        <v>559</v>
      </c>
      <c r="C93" s="1244"/>
      <c r="D93" s="1244"/>
      <c r="E93" s="1244"/>
      <c r="F93" s="1244"/>
      <c r="G93" s="1245"/>
      <c r="H93" s="420">
        <f>H90-H91</f>
        <v>0</v>
      </c>
      <c r="I93" s="52"/>
      <c r="J93" s="53"/>
      <c r="K93" s="53"/>
      <c r="L93" s="54"/>
      <c r="M93" s="32"/>
      <c r="N93" s="201"/>
      <c r="O93" s="32"/>
      <c r="P93" s="32"/>
      <c r="Q93" s="32"/>
      <c r="R93" s="32"/>
      <c r="S93" s="32"/>
      <c r="T93" s="48"/>
      <c r="U93" s="48"/>
      <c r="V93" s="48"/>
      <c r="W93" s="48"/>
      <c r="X93" s="48"/>
      <c r="Y93" s="48"/>
      <c r="Z93" s="48"/>
      <c r="AA93" s="48"/>
      <c r="AB93" s="48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</row>
    <row r="94" spans="2:56">
      <c r="B94" s="1243" t="s">
        <v>560</v>
      </c>
      <c r="C94" s="1244"/>
      <c r="D94" s="1244"/>
      <c r="E94" s="1244"/>
      <c r="F94" s="1244"/>
      <c r="G94" s="1245"/>
      <c r="H94" s="420">
        <f>H93-0</f>
        <v>0</v>
      </c>
      <c r="I94" s="52"/>
      <c r="J94" s="53"/>
      <c r="K94" s="53"/>
      <c r="L94" s="54"/>
      <c r="M94" s="32"/>
      <c r="N94" s="32"/>
      <c r="O94" s="32"/>
      <c r="P94" s="32"/>
      <c r="Q94" s="32"/>
      <c r="R94" s="32"/>
      <c r="S94" s="48"/>
      <c r="T94" s="48"/>
      <c r="U94" s="48"/>
      <c r="V94" s="48"/>
      <c r="W94" s="48"/>
      <c r="X94" s="48"/>
      <c r="Y94" s="48"/>
      <c r="Z94" s="48"/>
      <c r="AA94" s="48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2:56">
      <c r="B95" s="201"/>
      <c r="C95" s="201"/>
      <c r="D95" s="201"/>
      <c r="E95" s="201"/>
      <c r="F95" s="201"/>
      <c r="G95" s="201"/>
      <c r="H95" s="201"/>
      <c r="I95" s="213"/>
      <c r="J95" s="209"/>
      <c r="K95" s="209"/>
      <c r="L95" s="203"/>
      <c r="M95" s="201"/>
      <c r="N95" s="201"/>
      <c r="O95" s="209"/>
      <c r="P95" s="32"/>
      <c r="Q95" s="32"/>
      <c r="R95" s="32"/>
      <c r="S95" s="32"/>
      <c r="T95" s="48"/>
      <c r="U95" s="48"/>
      <c r="V95" s="48"/>
      <c r="W95" s="48"/>
      <c r="X95" s="48"/>
      <c r="Y95" s="48"/>
      <c r="Z95" s="48"/>
      <c r="AA95" s="48"/>
      <c r="AB95" s="48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</row>
    <row r="96" spans="2:56">
      <c r="B96" s="40" t="s">
        <v>561</v>
      </c>
      <c r="C96" s="40"/>
      <c r="D96" s="32"/>
      <c r="E96" s="32"/>
      <c r="F96" s="32"/>
      <c r="G96" s="32"/>
      <c r="H96" s="32"/>
      <c r="I96" s="32"/>
      <c r="J96" s="52"/>
      <c r="K96" s="52"/>
      <c r="L96" s="55"/>
      <c r="M96" s="32"/>
      <c r="N96" s="201"/>
      <c r="O96" s="5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/>
      <c r="AO96" s="201"/>
      <c r="AP96" s="201"/>
      <c r="AQ96" s="201"/>
      <c r="AR96" s="201"/>
      <c r="AS96" s="201"/>
      <c r="AT96" s="201"/>
      <c r="AU96" s="201"/>
      <c r="BD96" s="201"/>
    </row>
    <row r="97" spans="2:56">
      <c r="B97" s="422"/>
      <c r="C97" s="1291"/>
      <c r="D97" s="1292"/>
      <c r="E97" s="1292"/>
      <c r="F97" s="1292"/>
      <c r="G97" s="1292"/>
      <c r="H97" s="1292"/>
      <c r="I97" s="1292"/>
      <c r="J97" s="1292"/>
      <c r="K97" s="1293"/>
      <c r="L97" s="203"/>
      <c r="M97" s="201"/>
      <c r="N97" s="201"/>
      <c r="O97" s="209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201"/>
      <c r="AM97" s="201"/>
      <c r="AN97" s="201"/>
      <c r="AO97" s="201"/>
      <c r="AP97" s="201"/>
      <c r="AQ97" s="201"/>
      <c r="AR97" s="201"/>
      <c r="AS97" s="201"/>
      <c r="AT97" s="201"/>
      <c r="AU97" s="201"/>
      <c r="AV97" s="201"/>
      <c r="AW97" s="201"/>
      <c r="AX97" s="201"/>
      <c r="AY97" s="201"/>
      <c r="AZ97" s="201"/>
      <c r="BA97" s="201"/>
      <c r="BB97" s="201"/>
      <c r="BC97" s="201"/>
      <c r="BD97" s="201"/>
    </row>
    <row r="99" spans="2:56">
      <c r="B99" s="28" t="s">
        <v>126</v>
      </c>
      <c r="C99" s="28"/>
      <c r="D99" s="29"/>
      <c r="E99" s="30" t="s">
        <v>511</v>
      </c>
      <c r="F99" s="31" t="s">
        <v>2134</v>
      </c>
      <c r="G99" s="32"/>
      <c r="H99" s="33"/>
      <c r="I99" s="34"/>
      <c r="J99" s="35" t="s">
        <v>513</v>
      </c>
      <c r="K99" s="36" t="s">
        <v>511</v>
      </c>
      <c r="L99" s="37">
        <v>45146.510416666664</v>
      </c>
      <c r="M99" s="32"/>
      <c r="N99" s="32"/>
      <c r="O99" s="206"/>
      <c r="P99" s="205"/>
      <c r="Q99" s="202"/>
      <c r="R99" s="204"/>
      <c r="S99" s="38"/>
      <c r="T99" s="201"/>
      <c r="U99" s="201"/>
      <c r="V99" s="201"/>
      <c r="W99" s="201"/>
      <c r="X99" s="201"/>
      <c r="Y99" s="201"/>
      <c r="Z99" s="201"/>
      <c r="AA99" s="201"/>
      <c r="AB99" s="202"/>
      <c r="AC99" s="202"/>
      <c r="AD99" s="202"/>
      <c r="AE99" s="202"/>
      <c r="AF99" s="202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  <c r="AT99" s="201"/>
      <c r="AU99" s="201"/>
      <c r="AV99" s="201"/>
      <c r="AW99" s="201"/>
      <c r="AX99" s="201"/>
      <c r="AY99" s="201"/>
      <c r="AZ99" s="201"/>
      <c r="BA99" s="201"/>
      <c r="BB99" s="201"/>
    </row>
    <row r="100" spans="2:56">
      <c r="B100" s="35" t="s">
        <v>514</v>
      </c>
      <c r="C100" s="35"/>
      <c r="D100" s="32"/>
      <c r="E100" s="36" t="s">
        <v>511</v>
      </c>
      <c r="F100" s="311" t="s">
        <v>2238</v>
      </c>
      <c r="G100" s="32"/>
      <c r="H100" s="33"/>
      <c r="I100" s="34"/>
      <c r="J100" s="35" t="s">
        <v>516</v>
      </c>
      <c r="K100" s="36" t="s">
        <v>511</v>
      </c>
      <c r="L100" s="37">
        <v>45148.9375</v>
      </c>
      <c r="M100" s="32"/>
      <c r="N100" s="32"/>
      <c r="O100" s="206"/>
      <c r="P100" s="205"/>
      <c r="Q100" s="202"/>
      <c r="R100" s="204"/>
      <c r="S100" s="38"/>
      <c r="T100" s="201"/>
      <c r="U100" s="201"/>
      <c r="V100" s="201"/>
      <c r="W100" s="201"/>
      <c r="X100" s="201"/>
      <c r="Y100" s="201"/>
      <c r="Z100" s="201"/>
      <c r="AA100" s="201"/>
      <c r="AB100" s="202"/>
      <c r="AC100" s="202"/>
      <c r="AD100" s="202"/>
      <c r="AE100" s="202"/>
      <c r="AF100" s="202"/>
      <c r="AG100" s="201"/>
      <c r="AH100" s="201"/>
      <c r="AI100" s="201"/>
      <c r="AJ100" s="201"/>
      <c r="AK100" s="201"/>
      <c r="AL100" s="201"/>
      <c r="AM100" s="201"/>
      <c r="AN100" s="201"/>
      <c r="AO100" s="201"/>
      <c r="AP100" s="201"/>
      <c r="AQ100" s="201"/>
      <c r="AR100" s="201"/>
      <c r="AS100" s="201"/>
      <c r="AT100" s="201"/>
      <c r="AU100" s="201"/>
      <c r="AV100" s="201"/>
      <c r="AW100" s="201"/>
      <c r="AX100" s="201"/>
      <c r="AY100" s="201"/>
      <c r="AZ100" s="201"/>
      <c r="BA100" s="201"/>
      <c r="BB100" s="201"/>
    </row>
    <row r="101" spans="2:56">
      <c r="B101" s="35" t="s">
        <v>517</v>
      </c>
      <c r="C101" s="35"/>
      <c r="D101" s="32"/>
      <c r="E101" s="36" t="s">
        <v>511</v>
      </c>
      <c r="F101" s="37">
        <v>45144.375</v>
      </c>
      <c r="G101" s="32"/>
      <c r="H101" s="33"/>
      <c r="I101" s="34"/>
      <c r="J101" s="35" t="s">
        <v>518</v>
      </c>
      <c r="K101" s="36" t="s">
        <v>511</v>
      </c>
      <c r="L101" s="50">
        <v>73800</v>
      </c>
      <c r="M101" s="40" t="s">
        <v>519</v>
      </c>
      <c r="N101" s="40"/>
      <c r="O101" s="206"/>
      <c r="P101" s="205"/>
      <c r="Q101" s="202"/>
      <c r="R101" s="204"/>
      <c r="S101" s="38"/>
      <c r="T101" s="201"/>
      <c r="U101" s="201"/>
      <c r="V101" s="201"/>
      <c r="W101" s="201"/>
      <c r="X101" s="201"/>
      <c r="Y101" s="201"/>
      <c r="Z101" s="201"/>
      <c r="AA101" s="201"/>
      <c r="AB101" s="202"/>
      <c r="AC101" s="202"/>
      <c r="AD101" s="202"/>
      <c r="AE101" s="202"/>
      <c r="AF101" s="202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  <c r="AV101" s="201"/>
      <c r="AW101" s="201"/>
      <c r="AX101" s="201"/>
      <c r="AY101" s="201"/>
      <c r="AZ101" s="201"/>
      <c r="BA101" s="201"/>
      <c r="BB101" s="201"/>
    </row>
    <row r="102" spans="2:56">
      <c r="B102" s="35" t="s">
        <v>520</v>
      </c>
      <c r="C102" s="35"/>
      <c r="D102" s="32"/>
      <c r="E102" s="36" t="s">
        <v>511</v>
      </c>
      <c r="F102" s="37" t="s">
        <v>12</v>
      </c>
      <c r="G102" s="32"/>
      <c r="H102" s="33"/>
      <c r="I102" s="34"/>
      <c r="J102" s="35" t="s">
        <v>521</v>
      </c>
      <c r="K102" s="36" t="s">
        <v>511</v>
      </c>
      <c r="L102" s="41" t="s">
        <v>2239</v>
      </c>
      <c r="M102" s="32"/>
      <c r="N102" s="32"/>
      <c r="O102" s="206"/>
      <c r="P102" s="202"/>
      <c r="Q102" s="202"/>
      <c r="R102" s="204"/>
      <c r="S102" s="38"/>
      <c r="T102" s="201"/>
      <c r="U102" s="201"/>
      <c r="V102" s="201"/>
      <c r="W102" s="201"/>
      <c r="X102" s="201"/>
      <c r="Y102" s="201"/>
      <c r="Z102" s="201"/>
      <c r="AA102" s="201"/>
      <c r="AB102" s="202"/>
      <c r="AC102" s="202"/>
      <c r="AD102" s="202"/>
      <c r="AE102" s="202"/>
      <c r="AF102" s="202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  <c r="AV102" s="201"/>
      <c r="AW102" s="201"/>
      <c r="AX102" s="201"/>
      <c r="AY102" s="201"/>
      <c r="AZ102" s="201"/>
      <c r="BA102" s="201"/>
      <c r="BB102" s="201"/>
    </row>
    <row r="103" spans="2:56">
      <c r="B103" s="35" t="s">
        <v>523</v>
      </c>
      <c r="C103" s="35"/>
      <c r="D103" s="32"/>
      <c r="E103" s="36" t="s">
        <v>511</v>
      </c>
      <c r="F103" s="37" t="s">
        <v>32</v>
      </c>
      <c r="G103" s="32"/>
      <c r="H103" s="33"/>
      <c r="I103" s="34"/>
      <c r="J103" s="42" t="s">
        <v>524</v>
      </c>
      <c r="K103" s="36" t="s">
        <v>511</v>
      </c>
      <c r="L103" s="43" t="s">
        <v>15</v>
      </c>
      <c r="M103" s="44"/>
      <c r="N103" s="44"/>
      <c r="O103" s="206"/>
      <c r="P103" s="205"/>
      <c r="Q103" s="202"/>
      <c r="R103" s="204"/>
      <c r="S103" s="38"/>
      <c r="T103" s="201"/>
      <c r="U103" s="201"/>
      <c r="V103" s="201"/>
      <c r="W103" s="201"/>
      <c r="X103" s="201"/>
      <c r="Y103" s="201"/>
      <c r="Z103" s="201"/>
      <c r="AA103" s="201"/>
      <c r="AB103" s="202"/>
      <c r="AC103" s="202"/>
      <c r="AD103" s="202"/>
      <c r="AE103" s="202"/>
      <c r="AF103" s="202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  <c r="AT103" s="201"/>
      <c r="AU103" s="201"/>
      <c r="AV103" s="201"/>
      <c r="AW103" s="201"/>
      <c r="AX103" s="201"/>
      <c r="AY103" s="201"/>
      <c r="AZ103" s="201"/>
      <c r="BA103" s="201"/>
      <c r="BB103" s="201"/>
    </row>
    <row r="104" spans="2:56">
      <c r="B104" s="35" t="s">
        <v>2</v>
      </c>
      <c r="C104" s="35"/>
      <c r="D104" s="32"/>
      <c r="E104" s="36" t="s">
        <v>511</v>
      </c>
      <c r="F104" s="37" t="s">
        <v>14</v>
      </c>
      <c r="G104" s="32"/>
      <c r="H104" s="33"/>
      <c r="I104" s="45"/>
      <c r="J104" s="42"/>
      <c r="K104" s="36"/>
      <c r="L104" s="211"/>
      <c r="M104" s="201"/>
      <c r="N104" s="201"/>
      <c r="O104" s="42"/>
      <c r="P104" s="44"/>
      <c r="Q104" s="44"/>
      <c r="R104" s="44"/>
      <c r="S104" s="34"/>
      <c r="T104" s="201"/>
      <c r="U104" s="201"/>
      <c r="V104" s="201"/>
      <c r="W104" s="201"/>
      <c r="X104" s="201"/>
      <c r="Y104" s="201"/>
      <c r="Z104" s="201"/>
      <c r="AA104" s="201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201"/>
      <c r="AP104" s="201"/>
      <c r="AQ104" s="201"/>
      <c r="AR104" s="201"/>
      <c r="AS104" s="201"/>
      <c r="AT104" s="201"/>
      <c r="AU104" s="201"/>
      <c r="AV104" s="201"/>
      <c r="AW104" s="201"/>
      <c r="AX104" s="201"/>
      <c r="AY104" s="201"/>
      <c r="AZ104" s="201"/>
      <c r="BA104" s="201"/>
      <c r="BB104" s="201"/>
    </row>
    <row r="105" spans="2:56">
      <c r="B105" s="201"/>
      <c r="C105" s="201"/>
      <c r="D105" s="201"/>
      <c r="E105" s="201"/>
      <c r="F105" s="201"/>
      <c r="G105" s="201"/>
      <c r="H105" s="201"/>
      <c r="I105" s="45"/>
      <c r="J105" s="42"/>
      <c r="K105" s="42"/>
      <c r="L105" s="43"/>
      <c r="M105" s="44"/>
      <c r="N105" s="44"/>
      <c r="O105" s="42"/>
      <c r="P105" s="44"/>
      <c r="Q105" s="44"/>
      <c r="R105" s="44"/>
      <c r="S105" s="34"/>
      <c r="T105" s="1265" t="s">
        <v>87</v>
      </c>
      <c r="U105" s="1265"/>
      <c r="V105" s="1265"/>
      <c r="W105" s="1265"/>
      <c r="X105" s="1265"/>
      <c r="Y105" s="1265" t="s">
        <v>73</v>
      </c>
      <c r="Z105" s="1265"/>
      <c r="AA105" s="1265"/>
      <c r="AB105" s="1265" t="s">
        <v>74</v>
      </c>
      <c r="AC105" s="1265"/>
      <c r="AD105" s="423" t="s">
        <v>85</v>
      </c>
      <c r="AE105" s="423" t="s">
        <v>77</v>
      </c>
      <c r="AF105" s="1265" t="s">
        <v>525</v>
      </c>
      <c r="AG105" s="1265"/>
      <c r="AH105" s="1265"/>
      <c r="AI105" s="1265"/>
      <c r="AJ105" s="1265"/>
      <c r="AK105" s="1265"/>
      <c r="AL105" s="1265"/>
      <c r="AM105" s="1265"/>
      <c r="AN105" s="1265"/>
      <c r="AO105" s="1265"/>
      <c r="AP105" s="1265"/>
      <c r="AQ105" s="1265"/>
      <c r="AR105" s="1265"/>
      <c r="AS105" s="1265"/>
      <c r="AT105" s="1265"/>
      <c r="AU105" s="1265"/>
      <c r="AV105" s="1265"/>
      <c r="AW105" s="1265"/>
      <c r="AX105" s="1265"/>
      <c r="AY105" s="1265"/>
      <c r="AZ105" s="1265"/>
      <c r="BA105" s="1265"/>
      <c r="BB105" s="201"/>
    </row>
    <row r="106" spans="2:56">
      <c r="B106" s="1266" t="s">
        <v>526</v>
      </c>
      <c r="C106" s="1267"/>
      <c r="D106" s="570" t="s">
        <v>527</v>
      </c>
      <c r="E106" s="570"/>
      <c r="F106" s="570" t="s">
        <v>528</v>
      </c>
      <c r="G106" s="570" t="s">
        <v>529</v>
      </c>
      <c r="H106" s="570" t="s">
        <v>530</v>
      </c>
      <c r="I106" s="570" t="s">
        <v>531</v>
      </c>
      <c r="J106" s="570" t="s">
        <v>532</v>
      </c>
      <c r="K106" s="570"/>
      <c r="L106" s="570" t="s">
        <v>130</v>
      </c>
      <c r="M106" s="570" t="s">
        <v>533</v>
      </c>
      <c r="N106" s="408" t="str">
        <f>"On time - "&amp;COUNTIF(N107:N121,"On time")&amp;" from "&amp;ROWS(N107:N121)-COUNTIF(N107:N121," ")</f>
        <v>On time - 11 from 11</v>
      </c>
      <c r="O106" s="46"/>
      <c r="P106" s="409" t="s">
        <v>534</v>
      </c>
      <c r="Q106" s="409" t="s">
        <v>535</v>
      </c>
      <c r="R106" s="409" t="s">
        <v>536</v>
      </c>
      <c r="S106" s="32"/>
      <c r="T106" s="424" t="s">
        <v>537</v>
      </c>
      <c r="U106" s="424" t="s">
        <v>538</v>
      </c>
      <c r="V106" s="424" t="s">
        <v>539</v>
      </c>
      <c r="W106" s="424" t="s">
        <v>540</v>
      </c>
      <c r="X106" s="424" t="s">
        <v>541</v>
      </c>
      <c r="Y106" s="424" t="s">
        <v>167</v>
      </c>
      <c r="Z106" s="424" t="s">
        <v>168</v>
      </c>
      <c r="AA106" s="424" t="s">
        <v>169</v>
      </c>
      <c r="AB106" s="424" t="s">
        <v>235</v>
      </c>
      <c r="AC106" s="424" t="s">
        <v>240</v>
      </c>
      <c r="AD106" s="423" t="s">
        <v>85</v>
      </c>
      <c r="AE106" s="424" t="s">
        <v>139</v>
      </c>
      <c r="AF106" s="424" t="s">
        <v>72</v>
      </c>
      <c r="AG106" s="424" t="s">
        <v>88</v>
      </c>
      <c r="AH106" s="424" t="s">
        <v>75</v>
      </c>
      <c r="AI106" s="424" t="s">
        <v>543</v>
      </c>
      <c r="AJ106" s="424" t="s">
        <v>78</v>
      </c>
      <c r="AK106" s="424" t="s">
        <v>76</v>
      </c>
      <c r="AL106" s="424" t="s">
        <v>544</v>
      </c>
      <c r="AM106" s="424" t="s">
        <v>545</v>
      </c>
      <c r="AN106" s="424" t="s">
        <v>86</v>
      </c>
      <c r="AO106" s="424" t="s">
        <v>83</v>
      </c>
      <c r="AP106" s="424" t="s">
        <v>84</v>
      </c>
      <c r="AQ106" s="424" t="s">
        <v>546</v>
      </c>
      <c r="AR106" s="424" t="s">
        <v>81</v>
      </c>
      <c r="AS106" s="424" t="s">
        <v>80</v>
      </c>
      <c r="AT106" s="424" t="s">
        <v>82</v>
      </c>
      <c r="AU106" s="424" t="s">
        <v>181</v>
      </c>
      <c r="AV106" s="424" t="s">
        <v>183</v>
      </c>
      <c r="AW106" s="424" t="s">
        <v>547</v>
      </c>
      <c r="AX106" s="424" t="s">
        <v>182</v>
      </c>
      <c r="AY106" s="424" t="s">
        <v>172</v>
      </c>
      <c r="AZ106" s="424" t="s">
        <v>173</v>
      </c>
      <c r="BA106" s="424" t="s">
        <v>184</v>
      </c>
      <c r="BB106" s="201"/>
    </row>
    <row r="107" spans="2:56">
      <c r="B107" s="1250" t="s">
        <v>2240</v>
      </c>
      <c r="C107" s="1251"/>
      <c r="D107" s="411" t="s">
        <v>2241</v>
      </c>
      <c r="E107" s="411"/>
      <c r="F107" s="411" t="s">
        <v>271</v>
      </c>
      <c r="G107" s="411" t="s">
        <v>272</v>
      </c>
      <c r="H107" s="412">
        <v>8824.3420000000006</v>
      </c>
      <c r="I107" s="413" t="s">
        <v>240</v>
      </c>
      <c r="J107" s="414">
        <v>45140.972222222219</v>
      </c>
      <c r="K107" s="414"/>
      <c r="L107" s="414" t="s">
        <v>192</v>
      </c>
      <c r="M107" s="414" t="s">
        <v>192</v>
      </c>
      <c r="N107" s="413" t="str">
        <f t="shared" ref="N107:N123" si="10">IF(ISBLANK(J107)," ",IF(J107&lt;$F$101,"On time",(IF(DAY(J107-$F$101)&lt;1,"On time",(IF(J107&gt;$F$101,"DELAY ( "&amp;DAY(J107-$F$101)&amp;" day "&amp;HOUR(J107-$F$101)&amp;" hour "&amp;MINUTE(J107-$F$101)&amp;" minute )","xxx"))))))</f>
        <v>On time</v>
      </c>
      <c r="O107" s="51"/>
      <c r="P107" s="415" t="s">
        <v>551</v>
      </c>
      <c r="Q107" s="415" t="s">
        <v>551</v>
      </c>
      <c r="R107" s="415" t="s">
        <v>551</v>
      </c>
      <c r="S107" s="32"/>
      <c r="T107" s="416"/>
      <c r="U107" s="416"/>
      <c r="V107" s="416"/>
      <c r="W107" s="416"/>
      <c r="X107" s="416"/>
      <c r="Y107" s="416"/>
      <c r="Z107" s="416"/>
      <c r="AA107" s="416"/>
      <c r="AB107" s="32"/>
      <c r="AC107" s="416">
        <f>H107</f>
        <v>8824.3420000000006</v>
      </c>
      <c r="AD107" s="416"/>
      <c r="AE107" s="416"/>
      <c r="AF107" s="416"/>
      <c r="AG107" s="416"/>
      <c r="AH107" s="416"/>
      <c r="AI107" s="416"/>
      <c r="AJ107" s="416"/>
      <c r="AK107" s="416"/>
      <c r="AL107" s="416"/>
      <c r="AM107" s="416"/>
      <c r="AN107" s="416"/>
      <c r="AO107" s="416"/>
      <c r="AP107" s="416"/>
      <c r="AQ107" s="416"/>
      <c r="AR107" s="416"/>
      <c r="AS107" s="416"/>
      <c r="AT107" s="416"/>
      <c r="AU107" s="416"/>
      <c r="AV107" s="416"/>
      <c r="AW107" s="416"/>
      <c r="AX107" s="416"/>
      <c r="AY107" s="416"/>
      <c r="AZ107" s="416"/>
      <c r="BA107" s="416"/>
      <c r="BB107" s="32"/>
    </row>
    <row r="108" spans="2:56">
      <c r="B108" s="1254"/>
      <c r="C108" s="1255"/>
      <c r="D108" s="411" t="s">
        <v>2242</v>
      </c>
      <c r="E108" s="425"/>
      <c r="F108" s="411" t="s">
        <v>201</v>
      </c>
      <c r="G108" s="411" t="s">
        <v>202</v>
      </c>
      <c r="H108" s="412">
        <f>7562/3</f>
        <v>2520.6666666666665</v>
      </c>
      <c r="I108" s="413" t="s">
        <v>84</v>
      </c>
      <c r="J108" s="1268">
        <v>45140.506944444445</v>
      </c>
      <c r="K108" s="414"/>
      <c r="L108" s="414" t="s">
        <v>192</v>
      </c>
      <c r="M108" s="414" t="s">
        <v>192</v>
      </c>
      <c r="N108" s="413" t="str">
        <f t="shared" si="10"/>
        <v>On time</v>
      </c>
      <c r="O108" s="51"/>
      <c r="P108" s="415" t="s">
        <v>551</v>
      </c>
      <c r="Q108" s="415" t="s">
        <v>551</v>
      </c>
      <c r="R108" s="415" t="s">
        <v>551</v>
      </c>
      <c r="S108" s="32"/>
      <c r="T108" s="416"/>
      <c r="U108" s="416"/>
      <c r="V108" s="416"/>
      <c r="W108" s="416"/>
      <c r="X108" s="416"/>
      <c r="Y108" s="416"/>
      <c r="Z108" s="416"/>
      <c r="AA108" s="416"/>
      <c r="AB108" s="416"/>
      <c r="AC108" s="416"/>
      <c r="AD108" s="416"/>
      <c r="AE108" s="416"/>
      <c r="AF108" s="416"/>
      <c r="AG108" s="416"/>
      <c r="AH108" s="416"/>
      <c r="AI108" s="416"/>
      <c r="AJ108" s="416"/>
      <c r="AK108" s="416"/>
      <c r="AL108" s="416"/>
      <c r="AM108" s="416"/>
      <c r="AN108" s="416"/>
      <c r="AO108" s="416"/>
      <c r="AP108" s="416">
        <f>H108</f>
        <v>2520.6666666666665</v>
      </c>
      <c r="AQ108" s="416"/>
      <c r="AR108" s="416"/>
      <c r="AS108" s="416"/>
      <c r="AT108" s="416"/>
      <c r="AU108" s="32"/>
      <c r="AV108" s="416"/>
      <c r="AW108" s="416"/>
      <c r="AX108" s="416"/>
      <c r="AY108" s="416"/>
      <c r="AZ108" s="416"/>
      <c r="BA108" s="416"/>
      <c r="BB108" s="32"/>
    </row>
    <row r="109" spans="2:56">
      <c r="B109" s="1250" t="s">
        <v>650</v>
      </c>
      <c r="C109" s="1251"/>
      <c r="D109" s="411" t="s">
        <v>2242</v>
      </c>
      <c r="E109" s="425"/>
      <c r="F109" s="411" t="s">
        <v>201</v>
      </c>
      <c r="G109" s="411" t="s">
        <v>202</v>
      </c>
      <c r="H109" s="412">
        <f>H108</f>
        <v>2520.6666666666665</v>
      </c>
      <c r="I109" s="413" t="s">
        <v>84</v>
      </c>
      <c r="J109" s="1269"/>
      <c r="K109" s="414"/>
      <c r="L109" s="414" t="s">
        <v>192</v>
      </c>
      <c r="M109" s="414" t="s">
        <v>192</v>
      </c>
      <c r="N109" s="413" t="str">
        <f t="shared" si="10"/>
        <v xml:space="preserve"> </v>
      </c>
      <c r="O109" s="51"/>
      <c r="P109" s="415" t="s">
        <v>551</v>
      </c>
      <c r="Q109" s="415" t="s">
        <v>551</v>
      </c>
      <c r="R109" s="415" t="s">
        <v>551</v>
      </c>
      <c r="S109" s="32"/>
      <c r="T109" s="416"/>
      <c r="U109" s="416"/>
      <c r="V109" s="416"/>
      <c r="W109" s="416"/>
      <c r="X109" s="416"/>
      <c r="Y109" s="416"/>
      <c r="Z109" s="416"/>
      <c r="AA109" s="416"/>
      <c r="AB109" s="416"/>
      <c r="AC109" s="416"/>
      <c r="AD109" s="416"/>
      <c r="AE109" s="416"/>
      <c r="AF109" s="416"/>
      <c r="AG109" s="416"/>
      <c r="AH109" s="416"/>
      <c r="AI109" s="416"/>
      <c r="AJ109" s="416"/>
      <c r="AK109" s="416"/>
      <c r="AL109" s="416"/>
      <c r="AM109" s="416"/>
      <c r="AN109" s="416"/>
      <c r="AO109" s="416"/>
      <c r="AP109" s="416">
        <f>H109</f>
        <v>2520.6666666666665</v>
      </c>
      <c r="AQ109" s="416"/>
      <c r="AR109" s="416"/>
      <c r="AS109" s="416"/>
      <c r="AT109" s="416"/>
      <c r="AU109" s="32"/>
      <c r="AV109" s="416"/>
      <c r="AW109" s="416"/>
      <c r="AX109" s="416"/>
      <c r="AY109" s="416"/>
      <c r="AZ109" s="416"/>
      <c r="BA109" s="416"/>
      <c r="BB109" s="32"/>
    </row>
    <row r="110" spans="2:56">
      <c r="B110" s="1254"/>
      <c r="C110" s="1255"/>
      <c r="D110" s="411" t="s">
        <v>2243</v>
      </c>
      <c r="E110" s="411"/>
      <c r="F110" s="411" t="s">
        <v>1767</v>
      </c>
      <c r="G110" s="411" t="s">
        <v>1768</v>
      </c>
      <c r="H110" s="412">
        <v>7388.6729999999998</v>
      </c>
      <c r="I110" s="413" t="s">
        <v>240</v>
      </c>
      <c r="J110" s="414">
        <v>45141.135416666664</v>
      </c>
      <c r="K110" s="414"/>
      <c r="L110" s="414" t="s">
        <v>192</v>
      </c>
      <c r="M110" s="414" t="s">
        <v>192</v>
      </c>
      <c r="N110" s="413" t="str">
        <f t="shared" si="10"/>
        <v>On time</v>
      </c>
      <c r="O110" s="51"/>
      <c r="P110" s="415" t="s">
        <v>551</v>
      </c>
      <c r="Q110" s="415" t="s">
        <v>551</v>
      </c>
      <c r="R110" s="415" t="s">
        <v>551</v>
      </c>
      <c r="S110" s="32"/>
      <c r="T110" s="416"/>
      <c r="U110" s="416"/>
      <c r="V110" s="416"/>
      <c r="W110" s="416"/>
      <c r="X110" s="416"/>
      <c r="Y110" s="416"/>
      <c r="Z110" s="416"/>
      <c r="AA110" s="416"/>
      <c r="AB110" s="32"/>
      <c r="AC110" s="416">
        <f>H110</f>
        <v>7388.6729999999998</v>
      </c>
      <c r="AD110" s="416"/>
      <c r="AE110" s="416"/>
      <c r="AF110" s="416"/>
      <c r="AG110" s="416"/>
      <c r="AH110" s="416"/>
      <c r="AI110" s="416"/>
      <c r="AJ110" s="32"/>
      <c r="AK110" s="416"/>
      <c r="AL110" s="416"/>
      <c r="AM110" s="416"/>
      <c r="AN110" s="416"/>
      <c r="AO110" s="416"/>
      <c r="AP110" s="416"/>
      <c r="AQ110" s="416"/>
      <c r="AR110" s="416"/>
      <c r="AS110" s="416"/>
      <c r="AT110" s="416"/>
      <c r="AU110" s="416"/>
      <c r="AV110" s="416"/>
      <c r="AW110" s="416"/>
      <c r="AX110" s="416"/>
      <c r="AY110" s="286"/>
      <c r="AZ110" s="416"/>
      <c r="BA110" s="416"/>
      <c r="BB110" s="32"/>
    </row>
    <row r="111" spans="2:56">
      <c r="B111" s="1250" t="s">
        <v>650</v>
      </c>
      <c r="C111" s="1251"/>
      <c r="D111" s="411" t="s">
        <v>2242</v>
      </c>
      <c r="E111" s="425"/>
      <c r="F111" s="411" t="s">
        <v>201</v>
      </c>
      <c r="G111" s="411" t="s">
        <v>202</v>
      </c>
      <c r="H111" s="412">
        <f>H109</f>
        <v>2520.6666666666665</v>
      </c>
      <c r="I111" s="413" t="s">
        <v>84</v>
      </c>
      <c r="J111" s="414"/>
      <c r="K111" s="414"/>
      <c r="L111" s="414" t="s">
        <v>192</v>
      </c>
      <c r="M111" s="414" t="s">
        <v>192</v>
      </c>
      <c r="N111" s="413" t="str">
        <f t="shared" si="10"/>
        <v xml:space="preserve"> </v>
      </c>
      <c r="O111" s="51"/>
      <c r="P111" s="415" t="s">
        <v>551</v>
      </c>
      <c r="Q111" s="415" t="s">
        <v>551</v>
      </c>
      <c r="R111" s="415" t="s">
        <v>551</v>
      </c>
      <c r="S111" s="32"/>
      <c r="T111" s="416"/>
      <c r="U111" s="416"/>
      <c r="V111" s="416"/>
      <c r="W111" s="416"/>
      <c r="X111" s="416"/>
      <c r="Y111" s="416"/>
      <c r="Z111" s="416"/>
      <c r="AA111" s="416"/>
      <c r="AB111" s="416"/>
      <c r="AC111" s="416"/>
      <c r="AD111" s="416"/>
      <c r="AE111" s="416"/>
      <c r="AF111" s="416"/>
      <c r="AG111" s="416"/>
      <c r="AH111" s="416"/>
      <c r="AI111" s="416"/>
      <c r="AJ111" s="416"/>
      <c r="AK111" s="416"/>
      <c r="AL111" s="416"/>
      <c r="AM111" s="416"/>
      <c r="AN111" s="416"/>
      <c r="AO111" s="416"/>
      <c r="AP111" s="416">
        <f>H111</f>
        <v>2520.6666666666665</v>
      </c>
      <c r="AQ111" s="416"/>
      <c r="AR111" s="416"/>
      <c r="AS111" s="416"/>
      <c r="AT111" s="416"/>
      <c r="AU111" s="32"/>
      <c r="AV111" s="416"/>
      <c r="AW111" s="416"/>
      <c r="AX111" s="416"/>
      <c r="AY111" s="416"/>
      <c r="AZ111" s="416"/>
      <c r="BA111" s="416"/>
      <c r="BB111" s="32"/>
    </row>
    <row r="112" spans="2:56">
      <c r="B112" s="1254"/>
      <c r="C112" s="1255"/>
      <c r="D112" s="411" t="s">
        <v>2244</v>
      </c>
      <c r="E112" s="411"/>
      <c r="F112" s="411" t="s">
        <v>355</v>
      </c>
      <c r="G112" s="411" t="s">
        <v>356</v>
      </c>
      <c r="H112" s="412">
        <v>7584.0569999999998</v>
      </c>
      <c r="I112" s="413" t="s">
        <v>240</v>
      </c>
      <c r="J112" s="414">
        <v>45141.111111111109</v>
      </c>
      <c r="K112" s="414"/>
      <c r="L112" s="414" t="s">
        <v>192</v>
      </c>
      <c r="M112" s="414" t="s">
        <v>192</v>
      </c>
      <c r="N112" s="413" t="str">
        <f t="shared" si="10"/>
        <v>On time</v>
      </c>
      <c r="O112" s="51"/>
      <c r="P112" s="415" t="s">
        <v>551</v>
      </c>
      <c r="Q112" s="415" t="s">
        <v>551</v>
      </c>
      <c r="R112" s="415" t="s">
        <v>551</v>
      </c>
      <c r="S112" s="32"/>
      <c r="T112" s="416"/>
      <c r="U112" s="416"/>
      <c r="V112" s="416"/>
      <c r="W112" s="416"/>
      <c r="X112" s="416"/>
      <c r="Y112" s="416"/>
      <c r="Z112" s="416"/>
      <c r="AA112" s="416"/>
      <c r="AB112" s="416"/>
      <c r="AC112" s="416">
        <f>H112</f>
        <v>7584.0569999999998</v>
      </c>
      <c r="AD112" s="416"/>
      <c r="AE112" s="416"/>
      <c r="AF112" s="416"/>
      <c r="AG112" s="416"/>
      <c r="AH112" s="416"/>
      <c r="AI112" s="416"/>
      <c r="AJ112" s="416"/>
      <c r="AK112" s="416"/>
      <c r="AL112" s="416"/>
      <c r="AM112" s="416"/>
      <c r="AN112" s="416"/>
      <c r="AO112" s="416"/>
      <c r="AP112" s="416"/>
      <c r="AQ112" s="416"/>
      <c r="AR112" s="416"/>
      <c r="AS112" s="416"/>
      <c r="AT112" s="416"/>
      <c r="AU112" s="416"/>
      <c r="AV112" s="416"/>
      <c r="AW112" s="416"/>
      <c r="AX112" s="416"/>
      <c r="AY112" s="416"/>
      <c r="AZ112" s="416"/>
      <c r="BA112" s="416"/>
      <c r="BB112" s="32"/>
    </row>
    <row r="113" spans="2:54">
      <c r="B113" s="1250" t="s">
        <v>650</v>
      </c>
      <c r="C113" s="1251"/>
      <c r="D113" s="411" t="s">
        <v>2245</v>
      </c>
      <c r="E113" s="411"/>
      <c r="F113" s="411" t="s">
        <v>437</v>
      </c>
      <c r="G113" s="411" t="s">
        <v>320</v>
      </c>
      <c r="H113" s="412">
        <v>7444.6239999999998</v>
      </c>
      <c r="I113" s="413" t="s">
        <v>240</v>
      </c>
      <c r="J113" s="414">
        <v>45141.097222222219</v>
      </c>
      <c r="K113" s="414"/>
      <c r="L113" s="414" t="s">
        <v>192</v>
      </c>
      <c r="M113" s="414" t="s">
        <v>192</v>
      </c>
      <c r="N113" s="413" t="str">
        <f t="shared" si="10"/>
        <v>On time</v>
      </c>
      <c r="O113" s="51"/>
      <c r="P113" s="415" t="s">
        <v>551</v>
      </c>
      <c r="Q113" s="415" t="s">
        <v>551</v>
      </c>
      <c r="R113" s="415" t="s">
        <v>551</v>
      </c>
      <c r="S113" s="32"/>
      <c r="T113" s="416"/>
      <c r="U113" s="416"/>
      <c r="V113" s="416"/>
      <c r="W113" s="416"/>
      <c r="X113" s="416"/>
      <c r="Y113" s="416"/>
      <c r="Z113" s="416"/>
      <c r="AA113" s="416"/>
      <c r="AB113" s="416"/>
      <c r="AC113" s="416">
        <f>H113</f>
        <v>7444.6239999999998</v>
      </c>
      <c r="AD113" s="416"/>
      <c r="AE113" s="416"/>
      <c r="AF113" s="416"/>
      <c r="AG113" s="416"/>
      <c r="AH113" s="416"/>
      <c r="AI113" s="416"/>
      <c r="AJ113" s="416"/>
      <c r="AK113" s="416"/>
      <c r="AL113" s="416"/>
      <c r="AM113" s="416"/>
      <c r="AN113" s="416"/>
      <c r="AO113" s="416"/>
      <c r="AP113" s="416"/>
      <c r="AQ113" s="416"/>
      <c r="AR113" s="416"/>
      <c r="AS113" s="416"/>
      <c r="AT113" s="416"/>
      <c r="AU113" s="416"/>
      <c r="AV113" s="416"/>
      <c r="AW113" s="416"/>
      <c r="AX113" s="416"/>
      <c r="AY113" s="416"/>
      <c r="AZ113" s="416"/>
      <c r="BA113" s="416"/>
      <c r="BB113" s="32"/>
    </row>
    <row r="114" spans="2:54">
      <c r="B114" s="1254"/>
      <c r="C114" s="1255"/>
      <c r="D114" s="411" t="s">
        <v>2246</v>
      </c>
      <c r="E114" s="425"/>
      <c r="F114" s="411" t="s">
        <v>383</v>
      </c>
      <c r="G114" s="411" t="s">
        <v>384</v>
      </c>
      <c r="H114" s="412">
        <f>5040/2</f>
        <v>2520</v>
      </c>
      <c r="I114" s="1282" t="s">
        <v>82</v>
      </c>
      <c r="J114" s="1268">
        <v>45141.1875</v>
      </c>
      <c r="K114" s="414"/>
      <c r="L114" s="414" t="s">
        <v>192</v>
      </c>
      <c r="M114" s="414" t="s">
        <v>192</v>
      </c>
      <c r="N114" s="413" t="str">
        <f t="shared" si="10"/>
        <v>On time</v>
      </c>
      <c r="O114" s="51"/>
      <c r="P114" s="415" t="s">
        <v>551</v>
      </c>
      <c r="Q114" s="415" t="s">
        <v>551</v>
      </c>
      <c r="R114" s="415" t="s">
        <v>551</v>
      </c>
      <c r="S114" s="32"/>
      <c r="T114" s="416"/>
      <c r="U114" s="416"/>
      <c r="V114" s="416"/>
      <c r="W114" s="416"/>
      <c r="X114" s="416"/>
      <c r="Y114" s="416"/>
      <c r="Z114" s="416"/>
      <c r="AA114" s="416"/>
      <c r="AB114" s="416"/>
      <c r="AC114" s="416"/>
      <c r="AD114" s="416"/>
      <c r="AE114" s="416"/>
      <c r="AF114" s="416"/>
      <c r="AG114" s="416"/>
      <c r="AH114" s="416"/>
      <c r="AI114" s="416"/>
      <c r="AJ114" s="32"/>
      <c r="AK114" s="416"/>
      <c r="AL114" s="416"/>
      <c r="AM114" s="416"/>
      <c r="AN114" s="416"/>
      <c r="AO114" s="416"/>
      <c r="AP114" s="416"/>
      <c r="AQ114" s="416"/>
      <c r="AR114" s="32"/>
      <c r="AS114" s="416"/>
      <c r="AT114" s="416">
        <f>H114</f>
        <v>2520</v>
      </c>
      <c r="AU114" s="416"/>
      <c r="AV114" s="416"/>
      <c r="AW114" s="416"/>
      <c r="AX114" s="416"/>
      <c r="AY114" s="286"/>
      <c r="AZ114" s="416"/>
      <c r="BA114" s="416"/>
      <c r="BB114" s="32"/>
    </row>
    <row r="115" spans="2:54">
      <c r="B115" s="1250" t="s">
        <v>650</v>
      </c>
      <c r="C115" s="1251"/>
      <c r="D115" s="411" t="s">
        <v>2246</v>
      </c>
      <c r="E115" s="425"/>
      <c r="F115" s="411" t="s">
        <v>383</v>
      </c>
      <c r="G115" s="411" t="s">
        <v>384</v>
      </c>
      <c r="H115" s="412">
        <f>H114</f>
        <v>2520</v>
      </c>
      <c r="I115" s="1283"/>
      <c r="J115" s="1269"/>
      <c r="K115" s="414"/>
      <c r="L115" s="414" t="s">
        <v>192</v>
      </c>
      <c r="M115" s="414" t="s">
        <v>192</v>
      </c>
      <c r="N115" s="413" t="str">
        <f t="shared" si="10"/>
        <v xml:space="preserve"> </v>
      </c>
      <c r="O115" s="51"/>
      <c r="P115" s="415" t="s">
        <v>551</v>
      </c>
      <c r="Q115" s="415" t="s">
        <v>551</v>
      </c>
      <c r="R115" s="415" t="s">
        <v>551</v>
      </c>
      <c r="S115" s="32"/>
      <c r="T115" s="416"/>
      <c r="U115" s="416"/>
      <c r="V115" s="416"/>
      <c r="W115" s="416"/>
      <c r="X115" s="416"/>
      <c r="Y115" s="416"/>
      <c r="Z115" s="416"/>
      <c r="AA115" s="416"/>
      <c r="AB115" s="416"/>
      <c r="AC115" s="416"/>
      <c r="AD115" s="416"/>
      <c r="AE115" s="416"/>
      <c r="AF115" s="416"/>
      <c r="AG115" s="416"/>
      <c r="AH115" s="416"/>
      <c r="AI115" s="416"/>
      <c r="AJ115" s="32"/>
      <c r="AK115" s="416"/>
      <c r="AL115" s="416"/>
      <c r="AM115" s="416"/>
      <c r="AN115" s="416"/>
      <c r="AO115" s="416"/>
      <c r="AP115" s="416"/>
      <c r="AQ115" s="416"/>
      <c r="AR115" s="32"/>
      <c r="AS115" s="416"/>
      <c r="AT115" s="416">
        <f>H115</f>
        <v>2520</v>
      </c>
      <c r="AU115" s="416"/>
      <c r="AV115" s="416"/>
      <c r="AW115" s="416"/>
      <c r="AX115" s="416"/>
      <c r="AY115" s="286"/>
      <c r="AZ115" s="416"/>
      <c r="BA115" s="416"/>
      <c r="BB115" s="32"/>
    </row>
    <row r="116" spans="2:54">
      <c r="B116" s="1254"/>
      <c r="C116" s="1255"/>
      <c r="D116" s="411" t="s">
        <v>2247</v>
      </c>
      <c r="E116" s="411"/>
      <c r="F116" s="411" t="s">
        <v>213</v>
      </c>
      <c r="G116" s="411" t="s">
        <v>214</v>
      </c>
      <c r="H116" s="412">
        <v>7140.4750000000004</v>
      </c>
      <c r="I116" s="413" t="s">
        <v>240</v>
      </c>
      <c r="J116" s="414">
        <v>45141.645833333336</v>
      </c>
      <c r="K116" s="414"/>
      <c r="L116" s="414" t="s">
        <v>192</v>
      </c>
      <c r="M116" s="414" t="s">
        <v>192</v>
      </c>
      <c r="N116" s="413" t="str">
        <f t="shared" si="10"/>
        <v>On time</v>
      </c>
      <c r="O116" s="51"/>
      <c r="P116" s="415" t="s">
        <v>551</v>
      </c>
      <c r="Q116" s="415" t="s">
        <v>551</v>
      </c>
      <c r="R116" s="415" t="s">
        <v>551</v>
      </c>
      <c r="S116" s="32"/>
      <c r="T116" s="416"/>
      <c r="U116" s="416"/>
      <c r="V116" s="416"/>
      <c r="W116" s="416"/>
      <c r="X116" s="416"/>
      <c r="Y116" s="416"/>
      <c r="Z116" s="416"/>
      <c r="AA116" s="416"/>
      <c r="AB116" s="416"/>
      <c r="AC116" s="416">
        <f>H116</f>
        <v>7140.4750000000004</v>
      </c>
      <c r="AD116" s="416"/>
      <c r="AE116" s="416"/>
      <c r="AF116" s="416"/>
      <c r="AG116" s="416"/>
      <c r="AH116" s="416"/>
      <c r="AI116" s="416"/>
      <c r="AJ116" s="416"/>
      <c r="AK116" s="416"/>
      <c r="AL116" s="416"/>
      <c r="AM116" s="416"/>
      <c r="AN116" s="416"/>
      <c r="AO116" s="416"/>
      <c r="AP116" s="416"/>
      <c r="AQ116" s="416"/>
      <c r="AR116" s="416"/>
      <c r="AS116" s="416"/>
      <c r="AT116" s="416"/>
      <c r="AU116" s="416"/>
      <c r="AV116" s="416"/>
      <c r="AW116" s="416"/>
      <c r="AX116" s="416"/>
      <c r="AY116" s="416"/>
      <c r="AZ116" s="416"/>
      <c r="BA116" s="416"/>
      <c r="BB116" s="32"/>
    </row>
    <row r="117" spans="2:54">
      <c r="B117" s="1250" t="s">
        <v>872</v>
      </c>
      <c r="C117" s="1251"/>
      <c r="D117" s="411" t="s">
        <v>2248</v>
      </c>
      <c r="E117" s="411"/>
      <c r="F117" s="411" t="s">
        <v>334</v>
      </c>
      <c r="G117" s="411" t="s">
        <v>335</v>
      </c>
      <c r="H117" s="412">
        <v>7865.4960000000001</v>
      </c>
      <c r="I117" s="413" t="s">
        <v>235</v>
      </c>
      <c r="J117" s="414">
        <v>45140.6875</v>
      </c>
      <c r="K117" s="414"/>
      <c r="L117" s="414" t="s">
        <v>192</v>
      </c>
      <c r="M117" s="414" t="s">
        <v>192</v>
      </c>
      <c r="N117" s="413" t="str">
        <f t="shared" si="10"/>
        <v>On time</v>
      </c>
      <c r="O117" s="51"/>
      <c r="P117" s="415" t="s">
        <v>551</v>
      </c>
      <c r="Q117" s="415" t="s">
        <v>551</v>
      </c>
      <c r="R117" s="415" t="s">
        <v>551</v>
      </c>
      <c r="S117" s="32"/>
      <c r="T117" s="416"/>
      <c r="U117" s="416"/>
      <c r="V117" s="416"/>
      <c r="W117" s="416"/>
      <c r="X117" s="416"/>
      <c r="Y117" s="416"/>
      <c r="Z117" s="416"/>
      <c r="AA117" s="32"/>
      <c r="AB117" s="416">
        <f>H117</f>
        <v>7865.4960000000001</v>
      </c>
      <c r="AC117" s="416"/>
      <c r="AD117" s="416"/>
      <c r="AE117" s="416"/>
      <c r="AF117" s="416"/>
      <c r="AG117" s="416"/>
      <c r="AH117" s="416"/>
      <c r="AI117" s="416"/>
      <c r="AJ117" s="416"/>
      <c r="AK117" s="416"/>
      <c r="AL117" s="416"/>
      <c r="AM117" s="416"/>
      <c r="AN117" s="416"/>
      <c r="AO117" s="416"/>
      <c r="AP117" s="416"/>
      <c r="AQ117" s="416"/>
      <c r="AR117" s="416"/>
      <c r="AS117" s="416"/>
      <c r="AT117" s="32"/>
      <c r="AU117" s="416"/>
      <c r="AV117" s="416"/>
      <c r="AW117" s="416"/>
      <c r="AX117" s="416"/>
      <c r="AY117" s="416"/>
      <c r="AZ117" s="416"/>
      <c r="BA117" s="416"/>
      <c r="BB117" s="32"/>
    </row>
    <row r="118" spans="2:54">
      <c r="B118" s="1254"/>
      <c r="C118" s="1255"/>
      <c r="D118" s="411" t="s">
        <v>2249</v>
      </c>
      <c r="E118" s="425"/>
      <c r="F118" s="411" t="s">
        <v>1240</v>
      </c>
      <c r="G118" s="411" t="s">
        <v>1241</v>
      </c>
      <c r="H118" s="412">
        <f>7513.826/2</f>
        <v>3756.913</v>
      </c>
      <c r="I118" s="1282" t="s">
        <v>1164</v>
      </c>
      <c r="J118" s="1268">
        <v>45140.270833333336</v>
      </c>
      <c r="K118" s="414"/>
      <c r="L118" s="414" t="s">
        <v>192</v>
      </c>
      <c r="M118" s="414" t="s">
        <v>192</v>
      </c>
      <c r="N118" s="413" t="str">
        <f t="shared" si="10"/>
        <v>On time</v>
      </c>
      <c r="O118" s="51"/>
      <c r="P118" s="415" t="s">
        <v>551</v>
      </c>
      <c r="Q118" s="415" t="s">
        <v>551</v>
      </c>
      <c r="R118" s="415" t="s">
        <v>551</v>
      </c>
      <c r="S118" s="32"/>
      <c r="T118" s="416"/>
      <c r="U118" s="416"/>
      <c r="V118" s="416"/>
      <c r="W118" s="416"/>
      <c r="X118" s="416">
        <f>H118</f>
        <v>3756.913</v>
      </c>
      <c r="Y118" s="416"/>
      <c r="Z118" s="416"/>
      <c r="AA118" s="416"/>
      <c r="AB118" s="416"/>
      <c r="AC118" s="416"/>
      <c r="AD118" s="416"/>
      <c r="AE118" s="416"/>
      <c r="AF118" s="416"/>
      <c r="AG118" s="416"/>
      <c r="AH118" s="416"/>
      <c r="AI118" s="416"/>
      <c r="AJ118" s="416"/>
      <c r="AK118" s="416"/>
      <c r="AL118" s="416"/>
      <c r="AM118" s="416"/>
      <c r="AN118" s="416"/>
      <c r="AO118" s="416"/>
      <c r="AP118" s="416"/>
      <c r="AQ118" s="416"/>
      <c r="AR118" s="416"/>
      <c r="AS118" s="416"/>
      <c r="AT118" s="416"/>
      <c r="AU118" s="416"/>
      <c r="AV118" s="416"/>
      <c r="AW118" s="416"/>
      <c r="AX118" s="416"/>
      <c r="AY118" s="416"/>
      <c r="AZ118" s="416"/>
      <c r="BA118" s="416"/>
      <c r="BB118" s="32"/>
    </row>
    <row r="119" spans="2:54">
      <c r="B119" s="1250" t="s">
        <v>656</v>
      </c>
      <c r="C119" s="1251"/>
      <c r="D119" s="411" t="s">
        <v>2249</v>
      </c>
      <c r="E119" s="425"/>
      <c r="F119" s="411" t="s">
        <v>1240</v>
      </c>
      <c r="G119" s="411" t="s">
        <v>1241</v>
      </c>
      <c r="H119" s="412">
        <f>H118</f>
        <v>3756.913</v>
      </c>
      <c r="I119" s="1283"/>
      <c r="J119" s="1269"/>
      <c r="K119" s="414"/>
      <c r="L119" s="414" t="s">
        <v>192</v>
      </c>
      <c r="M119" s="414" t="s">
        <v>192</v>
      </c>
      <c r="N119" s="413" t="str">
        <f t="shared" si="10"/>
        <v xml:space="preserve"> </v>
      </c>
      <c r="O119" s="51"/>
      <c r="P119" s="415" t="s">
        <v>551</v>
      </c>
      <c r="Q119" s="415" t="s">
        <v>551</v>
      </c>
      <c r="R119" s="415" t="s">
        <v>551</v>
      </c>
      <c r="S119" s="32"/>
      <c r="T119" s="416"/>
      <c r="U119" s="416"/>
      <c r="V119" s="416"/>
      <c r="W119" s="416"/>
      <c r="X119" s="416">
        <f>H119</f>
        <v>3756.913</v>
      </c>
      <c r="Y119" s="416"/>
      <c r="Z119" s="416"/>
      <c r="AA119" s="416"/>
      <c r="AB119" s="416"/>
      <c r="AC119" s="416"/>
      <c r="AD119" s="416"/>
      <c r="AE119" s="416"/>
      <c r="AF119" s="416"/>
      <c r="AG119" s="416"/>
      <c r="AH119" s="416"/>
      <c r="AI119" s="416"/>
      <c r="AJ119" s="416"/>
      <c r="AK119" s="416"/>
      <c r="AL119" s="416"/>
      <c r="AM119" s="416"/>
      <c r="AN119" s="416"/>
      <c r="AO119" s="416"/>
      <c r="AP119" s="416"/>
      <c r="AQ119" s="416"/>
      <c r="AR119" s="416"/>
      <c r="AS119" s="416"/>
      <c r="AT119" s="416"/>
      <c r="AU119" s="416"/>
      <c r="AV119" s="416"/>
      <c r="AW119" s="416"/>
      <c r="AX119" s="416"/>
      <c r="AY119" s="416"/>
      <c r="AZ119" s="416"/>
      <c r="BA119" s="416"/>
      <c r="BB119" s="32"/>
    </row>
    <row r="120" spans="2:54">
      <c r="B120" s="1254"/>
      <c r="C120" s="1255"/>
      <c r="D120" s="411" t="s">
        <v>2250</v>
      </c>
      <c r="E120" s="411"/>
      <c r="F120" s="411" t="s">
        <v>422</v>
      </c>
      <c r="G120" s="411" t="s">
        <v>375</v>
      </c>
      <c r="H120" s="412">
        <v>7138.2610000000004</v>
      </c>
      <c r="I120" s="413" t="s">
        <v>235</v>
      </c>
      <c r="J120" s="414">
        <v>45141.434027777781</v>
      </c>
      <c r="K120" s="414"/>
      <c r="L120" s="414" t="s">
        <v>192</v>
      </c>
      <c r="M120" s="414" t="s">
        <v>192</v>
      </c>
      <c r="N120" s="413" t="str">
        <f t="shared" si="10"/>
        <v>On time</v>
      </c>
      <c r="O120" s="51"/>
      <c r="P120" s="415" t="s">
        <v>551</v>
      </c>
      <c r="Q120" s="415" t="s">
        <v>551</v>
      </c>
      <c r="R120" s="415" t="s">
        <v>551</v>
      </c>
      <c r="S120" s="32"/>
      <c r="T120" s="416"/>
      <c r="U120" s="416"/>
      <c r="V120" s="416"/>
      <c r="W120" s="416"/>
      <c r="X120" s="416"/>
      <c r="Y120" s="416"/>
      <c r="Z120" s="416"/>
      <c r="AA120" s="32"/>
      <c r="AB120" s="416">
        <f>H120</f>
        <v>7138.2610000000004</v>
      </c>
      <c r="AC120" s="32"/>
      <c r="AD120" s="416"/>
      <c r="AE120" s="416"/>
      <c r="AF120" s="416"/>
      <c r="AG120" s="416"/>
      <c r="AH120" s="416"/>
      <c r="AI120" s="416"/>
      <c r="AJ120" s="416"/>
      <c r="AK120" s="416"/>
      <c r="AL120" s="416"/>
      <c r="AM120" s="416"/>
      <c r="AN120" s="416"/>
      <c r="AO120" s="416"/>
      <c r="AP120" s="416"/>
      <c r="AQ120" s="416"/>
      <c r="AR120" s="416"/>
      <c r="AS120" s="416"/>
      <c r="AT120" s="32"/>
      <c r="AU120" s="416"/>
      <c r="AV120" s="416"/>
      <c r="AW120" s="416"/>
      <c r="AX120" s="416"/>
      <c r="AY120" s="416"/>
      <c r="AZ120" s="416"/>
      <c r="BA120" s="416"/>
      <c r="BB120" s="32"/>
    </row>
    <row r="121" spans="2:54">
      <c r="B121" s="1256" t="s">
        <v>548</v>
      </c>
      <c r="C121" s="1257"/>
      <c r="D121" s="411" t="s">
        <v>2251</v>
      </c>
      <c r="E121" s="411"/>
      <c r="F121" s="411" t="s">
        <v>295</v>
      </c>
      <c r="G121" s="411" t="s">
        <v>296</v>
      </c>
      <c r="H121" s="412">
        <f>7879.648-7581.402</f>
        <v>298.24600000000009</v>
      </c>
      <c r="I121" s="413" t="s">
        <v>240</v>
      </c>
      <c r="J121" s="414">
        <v>45141.5625</v>
      </c>
      <c r="K121" s="414"/>
      <c r="L121" s="414" t="s">
        <v>192</v>
      </c>
      <c r="M121" s="414" t="s">
        <v>192</v>
      </c>
      <c r="N121" s="413" t="str">
        <f t="shared" si="10"/>
        <v>On time</v>
      </c>
      <c r="O121" s="51"/>
      <c r="P121" s="415" t="s">
        <v>551</v>
      </c>
      <c r="Q121" s="415" t="s">
        <v>551</v>
      </c>
      <c r="R121" s="415" t="s">
        <v>551</v>
      </c>
      <c r="S121" s="32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>
        <f>H121-H125</f>
        <v>-6722.1759999999995</v>
      </c>
      <c r="AD121" s="416"/>
      <c r="AE121" s="416"/>
      <c r="AF121" s="416"/>
      <c r="AG121" s="416"/>
      <c r="AH121" s="416"/>
      <c r="AI121" s="416"/>
      <c r="AJ121" s="32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286"/>
      <c r="AZ121" s="416"/>
      <c r="BA121" s="416"/>
      <c r="BB121" s="32"/>
    </row>
    <row r="122" spans="2:54">
      <c r="B122" s="1258" t="s">
        <v>556</v>
      </c>
      <c r="C122" s="1259"/>
      <c r="D122" s="1259"/>
      <c r="E122" s="1259"/>
      <c r="F122" s="1259"/>
      <c r="G122" s="1260"/>
      <c r="H122" s="417">
        <f>SUM(H107:H121)</f>
        <v>73799.999999999985</v>
      </c>
      <c r="I122" s="388"/>
      <c r="J122" s="293"/>
      <c r="K122" s="293"/>
      <c r="L122" s="293"/>
      <c r="M122" s="389"/>
      <c r="N122" s="413" t="str">
        <f t="shared" si="10"/>
        <v xml:space="preserve"> </v>
      </c>
      <c r="O122" s="212"/>
      <c r="P122" s="418"/>
      <c r="Q122" s="418"/>
      <c r="R122" s="418"/>
      <c r="S122" s="207"/>
      <c r="T122" s="1300"/>
      <c r="U122" s="1301"/>
      <c r="V122" s="1301"/>
      <c r="W122" s="1301"/>
      <c r="X122" s="1301"/>
      <c r="Y122" s="1301"/>
      <c r="Z122" s="1301"/>
      <c r="AA122" s="1301"/>
      <c r="AB122" s="1301"/>
      <c r="AC122" s="1301"/>
      <c r="AD122" s="1301"/>
      <c r="AE122" s="1301"/>
      <c r="AF122" s="1301"/>
      <c r="AG122" s="1301"/>
      <c r="AH122" s="1301"/>
      <c r="AI122" s="1301"/>
      <c r="AJ122" s="1301"/>
      <c r="AK122" s="1301"/>
      <c r="AL122" s="1301"/>
      <c r="AM122" s="1301"/>
      <c r="AN122" s="1301"/>
      <c r="AO122" s="1301"/>
      <c r="AP122" s="1301"/>
      <c r="AQ122" s="1301"/>
      <c r="AR122" s="1301"/>
      <c r="AS122" s="1301"/>
      <c r="AT122" s="1301"/>
      <c r="AU122" s="1301"/>
      <c r="AV122" s="1301"/>
      <c r="AW122" s="1301"/>
      <c r="AX122" s="1301"/>
      <c r="AY122" s="1301"/>
      <c r="AZ122" s="1301"/>
      <c r="BA122" s="1301"/>
    </row>
    <row r="123" spans="2:54">
      <c r="B123" s="1243" t="s">
        <v>557</v>
      </c>
      <c r="C123" s="1244"/>
      <c r="D123" s="1244"/>
      <c r="E123" s="1244"/>
      <c r="F123" s="1244"/>
      <c r="G123" s="1245"/>
      <c r="H123" s="419">
        <v>73800</v>
      </c>
      <c r="I123" s="1273"/>
      <c r="J123" s="1274"/>
      <c r="K123" s="1274"/>
      <c r="L123" s="1274"/>
      <c r="M123" s="1275"/>
      <c r="N123" s="413" t="str">
        <f t="shared" si="10"/>
        <v xml:space="preserve"> </v>
      </c>
      <c r="O123" s="32"/>
      <c r="P123" s="415"/>
      <c r="Q123" s="415"/>
      <c r="R123" s="415"/>
      <c r="S123" s="63"/>
      <c r="T123" s="416">
        <f>SUM(T107:T121)</f>
        <v>0</v>
      </c>
      <c r="U123" s="416">
        <f t="shared" ref="U123:BA123" si="11">SUM(U107:U121)</f>
        <v>0</v>
      </c>
      <c r="V123" s="416">
        <f t="shared" si="11"/>
        <v>0</v>
      </c>
      <c r="W123" s="416">
        <f t="shared" si="11"/>
        <v>0</v>
      </c>
      <c r="X123" s="416">
        <f t="shared" si="11"/>
        <v>7513.826</v>
      </c>
      <c r="Y123" s="416">
        <f t="shared" si="11"/>
        <v>0</v>
      </c>
      <c r="Z123" s="416">
        <f t="shared" si="11"/>
        <v>0</v>
      </c>
      <c r="AA123" s="416">
        <f t="shared" si="11"/>
        <v>0</v>
      </c>
      <c r="AB123" s="416">
        <f t="shared" si="11"/>
        <v>15003.757000000001</v>
      </c>
      <c r="AC123" s="416">
        <f t="shared" si="11"/>
        <v>31659.995000000003</v>
      </c>
      <c r="AD123" s="416">
        <f t="shared" si="11"/>
        <v>0</v>
      </c>
      <c r="AE123" s="416">
        <f t="shared" si="11"/>
        <v>0</v>
      </c>
      <c r="AF123" s="416">
        <f t="shared" si="11"/>
        <v>0</v>
      </c>
      <c r="AG123" s="416">
        <f t="shared" si="11"/>
        <v>0</v>
      </c>
      <c r="AH123" s="416">
        <f t="shared" si="11"/>
        <v>0</v>
      </c>
      <c r="AI123" s="416">
        <f t="shared" si="11"/>
        <v>0</v>
      </c>
      <c r="AJ123" s="416">
        <f t="shared" si="11"/>
        <v>0</v>
      </c>
      <c r="AK123" s="416">
        <f t="shared" si="11"/>
        <v>0</v>
      </c>
      <c r="AL123" s="416">
        <f t="shared" si="11"/>
        <v>0</v>
      </c>
      <c r="AM123" s="416">
        <f t="shared" si="11"/>
        <v>0</v>
      </c>
      <c r="AN123" s="416">
        <f t="shared" si="11"/>
        <v>0</v>
      </c>
      <c r="AO123" s="416">
        <f t="shared" si="11"/>
        <v>0</v>
      </c>
      <c r="AP123" s="416">
        <f t="shared" si="11"/>
        <v>7562</v>
      </c>
      <c r="AQ123" s="416">
        <f t="shared" si="11"/>
        <v>0</v>
      </c>
      <c r="AR123" s="416">
        <f t="shared" si="11"/>
        <v>0</v>
      </c>
      <c r="AS123" s="416">
        <f t="shared" si="11"/>
        <v>0</v>
      </c>
      <c r="AT123" s="416">
        <f t="shared" si="11"/>
        <v>5040</v>
      </c>
      <c r="AU123" s="416">
        <f t="shared" si="11"/>
        <v>0</v>
      </c>
      <c r="AV123" s="416">
        <f t="shared" si="11"/>
        <v>0</v>
      </c>
      <c r="AW123" s="416">
        <f t="shared" si="11"/>
        <v>0</v>
      </c>
      <c r="AX123" s="416">
        <f t="shared" si="11"/>
        <v>0</v>
      </c>
      <c r="AY123" s="416">
        <f t="shared" si="11"/>
        <v>0</v>
      </c>
      <c r="AZ123" s="416">
        <f t="shared" si="11"/>
        <v>0</v>
      </c>
      <c r="BA123" s="416">
        <f t="shared" si="11"/>
        <v>0</v>
      </c>
      <c r="BB123" s="416">
        <f>SUM(T123:BA123)</f>
        <v>66779.578000000009</v>
      </c>
    </row>
    <row r="124" spans="2:54">
      <c r="B124" s="1243" t="s">
        <v>558</v>
      </c>
      <c r="C124" s="1244"/>
      <c r="D124" s="1244"/>
      <c r="E124" s="1244"/>
      <c r="F124" s="1244"/>
      <c r="G124" s="1245"/>
      <c r="H124" s="420">
        <f>H123-L101</f>
        <v>0</v>
      </c>
      <c r="I124" s="294"/>
      <c r="J124" s="295"/>
      <c r="K124" s="295"/>
      <c r="L124" s="296"/>
      <c r="M124" s="32"/>
      <c r="N124" s="32"/>
      <c r="O124" s="32"/>
      <c r="P124" s="32"/>
      <c r="Q124" s="297"/>
      <c r="R124" s="297"/>
      <c r="S124" s="32"/>
      <c r="T124" s="48"/>
      <c r="U124" s="48"/>
      <c r="V124" s="48"/>
      <c r="W124" s="48"/>
      <c r="X124" s="48"/>
      <c r="Y124" s="48"/>
      <c r="Z124" s="48"/>
      <c r="AA124" s="48"/>
      <c r="AB124" s="48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</row>
    <row r="125" spans="2:54">
      <c r="B125" s="1243" t="s">
        <v>559</v>
      </c>
      <c r="C125" s="1244"/>
      <c r="D125" s="1244"/>
      <c r="E125" s="1244"/>
      <c r="F125" s="1244"/>
      <c r="G125" s="1245"/>
      <c r="H125" s="446">
        <v>7020.4219999999996</v>
      </c>
      <c r="I125" s="52"/>
      <c r="J125" s="53"/>
      <c r="K125" s="53"/>
      <c r="L125" s="54"/>
      <c r="M125" s="32"/>
      <c r="N125" s="201"/>
      <c r="O125" s="32"/>
      <c r="P125" s="32"/>
      <c r="Q125" s="32"/>
      <c r="R125" s="32"/>
      <c r="S125" s="32"/>
      <c r="T125" s="48"/>
      <c r="U125" s="48"/>
      <c r="V125" s="48"/>
      <c r="W125" s="48"/>
      <c r="X125" s="48"/>
      <c r="Y125" s="48"/>
      <c r="Z125" s="48"/>
      <c r="AA125" s="48"/>
      <c r="AB125" s="48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</row>
    <row r="126" spans="2:54">
      <c r="B126" s="1243" t="s">
        <v>560</v>
      </c>
      <c r="C126" s="1244"/>
      <c r="D126" s="1244"/>
      <c r="E126" s="1244"/>
      <c r="F126" s="1244"/>
      <c r="G126" s="1245"/>
      <c r="H126" s="421">
        <f>H125-7581.402</f>
        <v>-560.98000000000047</v>
      </c>
      <c r="I126" s="52"/>
      <c r="J126" s="53"/>
      <c r="K126" s="53"/>
      <c r="L126" s="54"/>
      <c r="M126" s="32"/>
      <c r="N126" s="32"/>
      <c r="O126" s="32"/>
      <c r="P126" s="32"/>
      <c r="Q126" s="32"/>
      <c r="R126" s="32"/>
      <c r="S126" s="48"/>
      <c r="T126" s="48"/>
      <c r="U126" s="48"/>
      <c r="V126" s="48"/>
      <c r="W126" s="48"/>
      <c r="X126" s="48"/>
      <c r="Y126" s="48"/>
      <c r="Z126" s="48"/>
      <c r="AA126" s="48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</row>
    <row r="127" spans="2:54">
      <c r="B127" s="201"/>
      <c r="C127" s="201"/>
      <c r="D127" s="201"/>
      <c r="E127" s="201"/>
      <c r="F127" s="201"/>
      <c r="G127" s="201"/>
      <c r="H127" s="201"/>
      <c r="I127" s="213"/>
      <c r="J127" s="209"/>
      <c r="K127" s="209"/>
      <c r="L127" s="203"/>
      <c r="M127" s="201"/>
      <c r="N127" s="201"/>
      <c r="O127" s="209"/>
      <c r="P127" s="32"/>
      <c r="Q127" s="32"/>
      <c r="R127" s="32"/>
      <c r="S127" s="32"/>
      <c r="T127" s="48"/>
      <c r="U127" s="48"/>
      <c r="V127" s="48"/>
      <c r="W127" s="48"/>
      <c r="X127" s="48"/>
      <c r="Y127" s="48"/>
      <c r="Z127" s="48"/>
      <c r="AA127" s="48"/>
      <c r="AB127" s="48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</row>
    <row r="128" spans="2:54">
      <c r="B128" s="40" t="s">
        <v>561</v>
      </c>
      <c r="C128" s="40"/>
      <c r="D128" s="32"/>
      <c r="E128" s="32"/>
      <c r="F128" s="32"/>
      <c r="G128" s="32"/>
      <c r="H128" s="32"/>
      <c r="I128" s="32"/>
      <c r="J128" s="52"/>
      <c r="K128" s="52"/>
      <c r="L128" s="55"/>
      <c r="M128" s="32"/>
      <c r="N128" s="201"/>
      <c r="O128" s="5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  <c r="AT128" s="201"/>
      <c r="AU128" s="201"/>
      <c r="BB128" s="201"/>
    </row>
    <row r="129" spans="2:54">
      <c r="B129" s="422">
        <v>1</v>
      </c>
      <c r="C129" s="1249" t="s">
        <v>2252</v>
      </c>
      <c r="D129" s="1249"/>
      <c r="E129" s="1249"/>
      <c r="F129" s="1249"/>
      <c r="G129" s="1249"/>
      <c r="H129" s="1249"/>
      <c r="I129" s="1249"/>
      <c r="J129" s="1249"/>
      <c r="K129" s="1249"/>
      <c r="L129" s="203"/>
      <c r="M129" s="203"/>
      <c r="N129" s="201"/>
      <c r="O129" s="209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  <c r="AT129" s="201"/>
      <c r="AU129" s="201"/>
      <c r="AV129" s="201"/>
      <c r="AW129" s="201"/>
      <c r="AX129" s="201"/>
      <c r="AY129" s="201"/>
      <c r="AZ129" s="201"/>
      <c r="BA129" s="201"/>
      <c r="BB129" s="201"/>
    </row>
    <row r="131" spans="2:54">
      <c r="B131" s="28" t="s">
        <v>126</v>
      </c>
      <c r="C131" s="28"/>
      <c r="D131" s="29"/>
      <c r="E131" s="30" t="s">
        <v>511</v>
      </c>
      <c r="F131" s="31" t="s">
        <v>2253</v>
      </c>
      <c r="G131" s="32"/>
      <c r="H131" s="33"/>
      <c r="I131" s="34"/>
      <c r="J131" s="35" t="s">
        <v>513</v>
      </c>
      <c r="K131" s="36" t="s">
        <v>511</v>
      </c>
      <c r="L131" s="37">
        <v>45147.798611111109</v>
      </c>
      <c r="M131" s="32"/>
      <c r="N131" s="32"/>
      <c r="O131" s="206"/>
      <c r="P131" s="205"/>
      <c r="Q131" s="202"/>
      <c r="R131" s="204"/>
      <c r="S131" s="38"/>
      <c r="T131" s="201"/>
      <c r="U131" s="201"/>
      <c r="V131" s="201"/>
      <c r="W131" s="201"/>
      <c r="X131" s="201"/>
      <c r="Y131" s="201"/>
      <c r="Z131" s="201"/>
      <c r="AA131" s="201"/>
      <c r="AB131" s="202"/>
      <c r="AC131" s="202"/>
      <c r="AD131" s="202"/>
      <c r="AE131" s="202"/>
      <c r="AF131" s="202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  <c r="AQ131" s="201"/>
      <c r="AR131" s="201"/>
      <c r="AS131" s="201"/>
      <c r="AT131" s="201"/>
      <c r="AU131" s="201"/>
      <c r="AV131" s="201"/>
      <c r="AW131" s="201"/>
      <c r="AX131" s="201"/>
      <c r="AY131" s="201"/>
      <c r="AZ131" s="201"/>
      <c r="BA131" s="201"/>
      <c r="BB131" s="201"/>
    </row>
    <row r="132" spans="2:54">
      <c r="B132" s="35" t="s">
        <v>514</v>
      </c>
      <c r="C132" s="35"/>
      <c r="D132" s="32"/>
      <c r="E132" s="36" t="s">
        <v>511</v>
      </c>
      <c r="F132" s="311" t="s">
        <v>2254</v>
      </c>
      <c r="G132" s="32"/>
      <c r="H132" s="33"/>
      <c r="I132" s="34"/>
      <c r="J132" s="35" t="s">
        <v>516</v>
      </c>
      <c r="K132" s="36" t="s">
        <v>511</v>
      </c>
      <c r="L132" s="37">
        <v>45150.298611111109</v>
      </c>
      <c r="M132" s="32"/>
      <c r="N132" s="32"/>
      <c r="O132" s="206"/>
      <c r="P132" s="205"/>
      <c r="Q132" s="202"/>
      <c r="R132" s="204"/>
      <c r="S132" s="38"/>
      <c r="T132" s="201"/>
      <c r="U132" s="201"/>
      <c r="V132" s="201"/>
      <c r="W132" s="201"/>
      <c r="X132" s="201"/>
      <c r="Y132" s="201"/>
      <c r="Z132" s="201"/>
      <c r="AA132" s="201"/>
      <c r="AB132" s="202"/>
      <c r="AC132" s="202"/>
      <c r="AD132" s="202"/>
      <c r="AE132" s="202"/>
      <c r="AF132" s="202"/>
      <c r="AG132" s="201"/>
      <c r="AH132" s="201"/>
      <c r="AI132" s="201"/>
      <c r="AJ132" s="201"/>
      <c r="AK132" s="201"/>
      <c r="AL132" s="201"/>
      <c r="AM132" s="201"/>
      <c r="AN132" s="201"/>
      <c r="AO132" s="201"/>
      <c r="AP132" s="201"/>
      <c r="AQ132" s="201"/>
      <c r="AR132" s="201"/>
      <c r="AS132" s="201"/>
      <c r="AT132" s="201"/>
      <c r="AU132" s="201"/>
      <c r="AV132" s="201"/>
      <c r="AW132" s="201"/>
      <c r="AX132" s="201"/>
      <c r="AY132" s="201"/>
      <c r="AZ132" s="201"/>
      <c r="BA132" s="201"/>
      <c r="BB132" s="201"/>
    </row>
    <row r="133" spans="2:54">
      <c r="B133" s="35" t="s">
        <v>517</v>
      </c>
      <c r="C133" s="35"/>
      <c r="D133" s="32"/>
      <c r="E133" s="36" t="s">
        <v>511</v>
      </c>
      <c r="F133" s="37">
        <v>45141.875</v>
      </c>
      <c r="G133" s="32"/>
      <c r="H133" s="33"/>
      <c r="I133" s="34"/>
      <c r="J133" s="35" t="s">
        <v>518</v>
      </c>
      <c r="K133" s="36" t="s">
        <v>511</v>
      </c>
      <c r="L133" s="50">
        <v>71270</v>
      </c>
      <c r="M133" s="40" t="s">
        <v>519</v>
      </c>
      <c r="N133" s="40"/>
      <c r="O133" s="206"/>
      <c r="P133" s="205"/>
      <c r="Q133" s="202"/>
      <c r="R133" s="204"/>
      <c r="S133" s="38"/>
      <c r="T133" s="201"/>
      <c r="U133" s="201"/>
      <c r="V133" s="201"/>
      <c r="W133" s="201"/>
      <c r="X133" s="201"/>
      <c r="Y133" s="201"/>
      <c r="Z133" s="201"/>
      <c r="AA133" s="201"/>
      <c r="AB133" s="202"/>
      <c r="AC133" s="202"/>
      <c r="AD133" s="202"/>
      <c r="AE133" s="202"/>
      <c r="AF133" s="202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  <c r="AQ133" s="201"/>
      <c r="AR133" s="201"/>
      <c r="AS133" s="201"/>
      <c r="AT133" s="201"/>
      <c r="AU133" s="201"/>
      <c r="AV133" s="201"/>
      <c r="AW133" s="201"/>
      <c r="AX133" s="201"/>
      <c r="AY133" s="201"/>
      <c r="AZ133" s="201"/>
      <c r="BA133" s="201"/>
      <c r="BB133" s="201"/>
    </row>
    <row r="134" spans="2:54">
      <c r="B134" s="35" t="s">
        <v>520</v>
      </c>
      <c r="C134" s="35"/>
      <c r="D134" s="32"/>
      <c r="E134" s="36" t="s">
        <v>511</v>
      </c>
      <c r="F134" s="37" t="s">
        <v>4</v>
      </c>
      <c r="G134" s="32"/>
      <c r="H134" s="33"/>
      <c r="I134" s="34"/>
      <c r="J134" s="35" t="s">
        <v>521</v>
      </c>
      <c r="K134" s="36" t="s">
        <v>511</v>
      </c>
      <c r="L134" s="41" t="s">
        <v>2255</v>
      </c>
      <c r="M134" s="32"/>
      <c r="N134" s="32"/>
      <c r="O134" s="206"/>
      <c r="P134" s="202"/>
      <c r="Q134" s="202"/>
      <c r="R134" s="204"/>
      <c r="S134" s="38"/>
      <c r="T134" s="201"/>
      <c r="U134" s="201"/>
      <c r="V134" s="201"/>
      <c r="W134" s="201"/>
      <c r="X134" s="201"/>
      <c r="Y134" s="201"/>
      <c r="Z134" s="201"/>
      <c r="AA134" s="201"/>
      <c r="AB134" s="202"/>
      <c r="AC134" s="202"/>
      <c r="AD134" s="202"/>
      <c r="AE134" s="202"/>
      <c r="AF134" s="202"/>
      <c r="AG134" s="201"/>
      <c r="AH134" s="201"/>
      <c r="AI134" s="201"/>
      <c r="AJ134" s="201"/>
      <c r="AK134" s="201"/>
      <c r="AL134" s="201"/>
      <c r="AM134" s="201"/>
      <c r="AN134" s="201"/>
      <c r="AO134" s="201"/>
      <c r="AP134" s="201"/>
      <c r="AQ134" s="201"/>
      <c r="AR134" s="201"/>
      <c r="AS134" s="201"/>
      <c r="AT134" s="201"/>
      <c r="AU134" s="201"/>
      <c r="AV134" s="201"/>
      <c r="AW134" s="201"/>
      <c r="AX134" s="201"/>
      <c r="AY134" s="201"/>
      <c r="AZ134" s="201"/>
      <c r="BA134" s="201"/>
      <c r="BB134" s="201"/>
    </row>
    <row r="135" spans="2:54">
      <c r="B135" s="35" t="s">
        <v>523</v>
      </c>
      <c r="C135" s="35"/>
      <c r="D135" s="32"/>
      <c r="E135" s="36" t="s">
        <v>511</v>
      </c>
      <c r="F135" s="37" t="s">
        <v>5</v>
      </c>
      <c r="G135" s="32"/>
      <c r="H135" s="33"/>
      <c r="I135" s="34"/>
      <c r="J135" s="42" t="s">
        <v>524</v>
      </c>
      <c r="K135" s="36" t="s">
        <v>511</v>
      </c>
      <c r="L135" s="43" t="s">
        <v>11</v>
      </c>
      <c r="M135" s="44"/>
      <c r="N135" s="44"/>
      <c r="O135" s="206"/>
      <c r="P135" s="205"/>
      <c r="Q135" s="202"/>
      <c r="R135" s="204"/>
      <c r="S135" s="38"/>
      <c r="T135" s="201"/>
      <c r="U135" s="201"/>
      <c r="V135" s="201"/>
      <c r="W135" s="201"/>
      <c r="X135" s="201"/>
      <c r="Y135" s="201"/>
      <c r="Z135" s="201"/>
      <c r="AA135" s="201"/>
      <c r="AB135" s="202"/>
      <c r="AC135" s="202"/>
      <c r="AD135" s="202"/>
      <c r="AE135" s="202"/>
      <c r="AF135" s="202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</row>
    <row r="136" spans="2:54">
      <c r="B136" s="35" t="s">
        <v>2</v>
      </c>
      <c r="C136" s="35"/>
      <c r="D136" s="32"/>
      <c r="E136" s="36" t="s">
        <v>511</v>
      </c>
      <c r="F136" s="37" t="s">
        <v>6</v>
      </c>
      <c r="G136" s="32"/>
      <c r="H136" s="33"/>
      <c r="I136" s="45"/>
      <c r="J136" s="42"/>
      <c r="K136" s="36"/>
      <c r="L136" s="211"/>
      <c r="M136" s="201"/>
      <c r="N136" s="201"/>
      <c r="O136" s="42"/>
      <c r="P136" s="44"/>
      <c r="Q136" s="44"/>
      <c r="R136" s="44"/>
      <c r="S136" s="34"/>
      <c r="T136" s="201"/>
      <c r="U136" s="201"/>
      <c r="V136" s="201"/>
      <c r="W136" s="201"/>
      <c r="X136" s="201"/>
      <c r="Y136" s="201"/>
      <c r="Z136" s="201"/>
      <c r="AA136" s="201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201"/>
      <c r="AP136" s="201"/>
      <c r="AQ136" s="201"/>
      <c r="AR136" s="201"/>
      <c r="AS136" s="201"/>
      <c r="AT136" s="201"/>
      <c r="AU136" s="201"/>
      <c r="AV136" s="201"/>
      <c r="AW136" s="201"/>
      <c r="AX136" s="201"/>
      <c r="AY136" s="201"/>
      <c r="AZ136" s="201"/>
      <c r="BA136" s="201"/>
      <c r="BB136" s="201"/>
    </row>
    <row r="137" spans="2:54">
      <c r="B137" s="201"/>
      <c r="C137" s="201"/>
      <c r="D137" s="201"/>
      <c r="E137" s="201"/>
      <c r="F137" s="201"/>
      <c r="G137" s="201"/>
      <c r="H137" s="201"/>
      <c r="I137" s="45"/>
      <c r="J137" s="42"/>
      <c r="K137" s="42"/>
      <c r="L137" s="43"/>
      <c r="M137" s="44"/>
      <c r="N137" s="44"/>
      <c r="O137" s="42"/>
      <c r="P137" s="44"/>
      <c r="Q137" s="44"/>
      <c r="R137" s="44"/>
      <c r="S137" s="34"/>
      <c r="T137" s="1265" t="s">
        <v>87</v>
      </c>
      <c r="U137" s="1265"/>
      <c r="V137" s="1265"/>
      <c r="W137" s="1265"/>
      <c r="X137" s="1265"/>
      <c r="Y137" s="1265" t="s">
        <v>73</v>
      </c>
      <c r="Z137" s="1265"/>
      <c r="AA137" s="1265"/>
      <c r="AB137" s="1265" t="s">
        <v>74</v>
      </c>
      <c r="AC137" s="1265"/>
      <c r="AD137" s="423" t="s">
        <v>85</v>
      </c>
      <c r="AE137" s="423" t="s">
        <v>77</v>
      </c>
      <c r="AF137" s="1265" t="s">
        <v>525</v>
      </c>
      <c r="AG137" s="1265"/>
      <c r="AH137" s="1265"/>
      <c r="AI137" s="1265"/>
      <c r="AJ137" s="1265"/>
      <c r="AK137" s="1265"/>
      <c r="AL137" s="1265"/>
      <c r="AM137" s="1265"/>
      <c r="AN137" s="1265"/>
      <c r="AO137" s="1265"/>
      <c r="AP137" s="1265"/>
      <c r="AQ137" s="1265"/>
      <c r="AR137" s="1265"/>
      <c r="AS137" s="1265"/>
      <c r="AT137" s="1265"/>
      <c r="AU137" s="1265"/>
      <c r="AV137" s="1265"/>
      <c r="AW137" s="1265"/>
      <c r="AX137" s="1265"/>
      <c r="AY137" s="1265"/>
      <c r="AZ137" s="1265"/>
      <c r="BA137" s="1265"/>
      <c r="BB137" s="201"/>
    </row>
    <row r="138" spans="2:54">
      <c r="B138" s="1266" t="s">
        <v>526</v>
      </c>
      <c r="C138" s="1267"/>
      <c r="D138" s="570" t="s">
        <v>527</v>
      </c>
      <c r="E138" s="570"/>
      <c r="F138" s="570" t="s">
        <v>528</v>
      </c>
      <c r="G138" s="570" t="s">
        <v>529</v>
      </c>
      <c r="H138" s="570" t="s">
        <v>530</v>
      </c>
      <c r="I138" s="570" t="s">
        <v>531</v>
      </c>
      <c r="J138" s="570" t="s">
        <v>532</v>
      </c>
      <c r="K138" s="570"/>
      <c r="L138" s="570" t="s">
        <v>130</v>
      </c>
      <c r="M138" s="570" t="s">
        <v>533</v>
      </c>
      <c r="N138" s="408" t="str">
        <f>"On time - "&amp;COUNTIF(N139:N168,"On time")&amp;" from "&amp;ROWS(N139:N168)-COUNTIF(N139:N168," ")</f>
        <v>On time - 10 from 12</v>
      </c>
      <c r="O138" s="46"/>
      <c r="P138" s="409" t="s">
        <v>534</v>
      </c>
      <c r="Q138" s="409" t="s">
        <v>535</v>
      </c>
      <c r="R138" s="409" t="s">
        <v>536</v>
      </c>
      <c r="S138" s="32"/>
      <c r="T138" s="424" t="s">
        <v>537</v>
      </c>
      <c r="U138" s="424" t="s">
        <v>538</v>
      </c>
      <c r="V138" s="424" t="s">
        <v>539</v>
      </c>
      <c r="W138" s="424" t="s">
        <v>540</v>
      </c>
      <c r="X138" s="424" t="s">
        <v>541</v>
      </c>
      <c r="Y138" s="424" t="s">
        <v>167</v>
      </c>
      <c r="Z138" s="424" t="s">
        <v>168</v>
      </c>
      <c r="AA138" s="424" t="s">
        <v>169</v>
      </c>
      <c r="AB138" s="424" t="s">
        <v>235</v>
      </c>
      <c r="AC138" s="424" t="s">
        <v>240</v>
      </c>
      <c r="AD138" s="423" t="s">
        <v>85</v>
      </c>
      <c r="AE138" s="424" t="s">
        <v>139</v>
      </c>
      <c r="AF138" s="424" t="s">
        <v>72</v>
      </c>
      <c r="AG138" s="424" t="s">
        <v>88</v>
      </c>
      <c r="AH138" s="424" t="s">
        <v>75</v>
      </c>
      <c r="AI138" s="424" t="s">
        <v>543</v>
      </c>
      <c r="AJ138" s="424" t="s">
        <v>78</v>
      </c>
      <c r="AK138" s="424" t="s">
        <v>76</v>
      </c>
      <c r="AL138" s="424" t="s">
        <v>544</v>
      </c>
      <c r="AM138" s="424" t="s">
        <v>545</v>
      </c>
      <c r="AN138" s="424" t="s">
        <v>86</v>
      </c>
      <c r="AO138" s="424" t="s">
        <v>83</v>
      </c>
      <c r="AP138" s="424" t="s">
        <v>84</v>
      </c>
      <c r="AQ138" s="424" t="s">
        <v>546</v>
      </c>
      <c r="AR138" s="424" t="s">
        <v>81</v>
      </c>
      <c r="AS138" s="424" t="s">
        <v>80</v>
      </c>
      <c r="AT138" s="424" t="s">
        <v>82</v>
      </c>
      <c r="AU138" s="424" t="s">
        <v>181</v>
      </c>
      <c r="AV138" s="424" t="s">
        <v>183</v>
      </c>
      <c r="AW138" s="424" t="s">
        <v>547</v>
      </c>
      <c r="AX138" s="424" t="s">
        <v>182</v>
      </c>
      <c r="AY138" s="424" t="s">
        <v>172</v>
      </c>
      <c r="AZ138" s="424" t="s">
        <v>173</v>
      </c>
      <c r="BA138" s="424" t="s">
        <v>184</v>
      </c>
      <c r="BB138" s="201"/>
    </row>
    <row r="139" spans="2:54">
      <c r="B139" s="1256" t="s">
        <v>616</v>
      </c>
      <c r="C139" s="1257"/>
      <c r="D139" s="411" t="s">
        <v>2256</v>
      </c>
      <c r="E139" s="444"/>
      <c r="F139" s="411" t="s">
        <v>721</v>
      </c>
      <c r="G139" s="411" t="s">
        <v>1349</v>
      </c>
      <c r="H139" s="412">
        <v>6139.3919999999998</v>
      </c>
      <c r="I139" s="413" t="s">
        <v>172</v>
      </c>
      <c r="J139" s="414">
        <v>45142.427083333336</v>
      </c>
      <c r="K139" s="414"/>
      <c r="L139" s="414" t="s">
        <v>192</v>
      </c>
      <c r="M139" s="414" t="s">
        <v>192</v>
      </c>
      <c r="N139" s="413" t="str">
        <f>IF(ISBLANK(J139)," ",IF(J139&lt;$F$133,"On time",(IF(DAY(J139-$F$133)&lt;1,"On time",(IF(J139&gt;$F$133,"DELAY ( "&amp;DAY(J139-$F$133)&amp;" day "&amp;HOUR(J139-$F$133)&amp;" hour "&amp;MINUTE(J139-$F$133)&amp;" minute )","xxx"))))))</f>
        <v>On time</v>
      </c>
      <c r="O139" s="51"/>
      <c r="P139" s="415" t="s">
        <v>551</v>
      </c>
      <c r="Q139" s="415" t="s">
        <v>551</v>
      </c>
      <c r="R139" s="415" t="s">
        <v>551</v>
      </c>
      <c r="S139" s="32"/>
      <c r="T139" s="416"/>
      <c r="U139" s="416"/>
      <c r="V139" s="416"/>
      <c r="W139" s="416"/>
      <c r="X139" s="416"/>
      <c r="Y139" s="32"/>
      <c r="Z139" s="416"/>
      <c r="AA139" s="416"/>
      <c r="AB139" s="416"/>
      <c r="AC139" s="416"/>
      <c r="AD139" s="416"/>
      <c r="AE139" s="416"/>
      <c r="AF139" s="416"/>
      <c r="AG139" s="416"/>
      <c r="AH139" s="416"/>
      <c r="AI139" s="416"/>
      <c r="AJ139" s="416"/>
      <c r="AK139" s="416"/>
      <c r="AL139" s="416"/>
      <c r="AM139" s="416"/>
      <c r="AN139" s="416"/>
      <c r="AO139" s="416"/>
      <c r="AP139" s="416"/>
      <c r="AQ139" s="416"/>
      <c r="AR139" s="416"/>
      <c r="AS139" s="416"/>
      <c r="AT139" s="416"/>
      <c r="AU139" s="416"/>
      <c r="AV139" s="416"/>
      <c r="AW139" s="416"/>
      <c r="AX139" s="416"/>
      <c r="AY139" s="416">
        <f>H139</f>
        <v>6139.3919999999998</v>
      </c>
      <c r="AZ139" s="416"/>
      <c r="BA139" s="416"/>
      <c r="BB139" s="32"/>
    </row>
    <row r="140" spans="2:54">
      <c r="B140" s="1256" t="s">
        <v>616</v>
      </c>
      <c r="C140" s="1257"/>
      <c r="D140" s="411" t="s">
        <v>2257</v>
      </c>
      <c r="E140" s="444"/>
      <c r="F140" s="411" t="s">
        <v>343</v>
      </c>
      <c r="G140" s="411" t="s">
        <v>344</v>
      </c>
      <c r="H140" s="412">
        <v>7500</v>
      </c>
      <c r="I140" s="413" t="s">
        <v>76</v>
      </c>
      <c r="J140" s="414">
        <v>45142.489583333336</v>
      </c>
      <c r="K140" s="414"/>
      <c r="L140" s="414" t="s">
        <v>192</v>
      </c>
      <c r="M140" s="414" t="s">
        <v>192</v>
      </c>
      <c r="N140" s="413" t="str">
        <f t="shared" ref="N140:N168" si="12">IF(ISBLANK(J140)," ",IF(J140&lt;$F$133,"On time",(IF(DAY(J140-$F$133)&lt;1,"On time",(IF(J140&gt;$F$133,"DELAY ( "&amp;DAY(J140-$F$133)&amp;" day "&amp;HOUR(J140-$F$133)&amp;" hour "&amp;MINUTE(J140-$F$133)&amp;" minute )","xxx"))))))</f>
        <v>On time</v>
      </c>
      <c r="O140" s="51"/>
      <c r="P140" s="415" t="s">
        <v>551</v>
      </c>
      <c r="Q140" s="415" t="s">
        <v>551</v>
      </c>
      <c r="R140" s="415" t="s">
        <v>551</v>
      </c>
      <c r="S140" s="32"/>
      <c r="T140" s="416"/>
      <c r="U140" s="416"/>
      <c r="V140" s="416"/>
      <c r="W140" s="416"/>
      <c r="X140" s="416"/>
      <c r="Y140" s="416"/>
      <c r="Z140" s="416"/>
      <c r="AA140" s="416"/>
      <c r="AB140" s="416"/>
      <c r="AC140" s="416"/>
      <c r="AD140" s="416"/>
      <c r="AE140" s="416"/>
      <c r="AF140" s="416"/>
      <c r="AG140" s="416"/>
      <c r="AH140" s="416"/>
      <c r="AI140" s="416"/>
      <c r="AJ140" s="416"/>
      <c r="AK140" s="416">
        <f>H140</f>
        <v>7500</v>
      </c>
      <c r="AL140" s="416"/>
      <c r="AM140" s="416"/>
      <c r="AN140" s="416"/>
      <c r="AO140" s="416"/>
      <c r="AP140" s="416"/>
      <c r="AQ140" s="416"/>
      <c r="AR140" s="416"/>
      <c r="AS140" s="416"/>
      <c r="AT140" s="416"/>
      <c r="AU140" s="416"/>
      <c r="AV140" s="416"/>
      <c r="AW140" s="416"/>
      <c r="AX140" s="416"/>
      <c r="AY140" s="416"/>
      <c r="AZ140" s="416"/>
      <c r="BA140" s="416"/>
      <c r="BB140" s="32"/>
    </row>
    <row r="141" spans="2:54">
      <c r="B141" s="1256" t="s">
        <v>668</v>
      </c>
      <c r="C141" s="1257"/>
      <c r="D141" s="411" t="s">
        <v>2258</v>
      </c>
      <c r="E141" s="444"/>
      <c r="F141" s="411" t="s">
        <v>277</v>
      </c>
      <c r="G141" s="411" t="s">
        <v>278</v>
      </c>
      <c r="H141" s="412">
        <v>7500</v>
      </c>
      <c r="I141" s="413" t="s">
        <v>78</v>
      </c>
      <c r="J141" s="414">
        <v>45142.614583333336</v>
      </c>
      <c r="K141" s="414"/>
      <c r="L141" s="414" t="s">
        <v>192</v>
      </c>
      <c r="M141" s="414" t="s">
        <v>192</v>
      </c>
      <c r="N141" s="413" t="str">
        <f t="shared" si="12"/>
        <v>On time</v>
      </c>
      <c r="O141" s="51"/>
      <c r="P141" s="415" t="s">
        <v>551</v>
      </c>
      <c r="Q141" s="415" t="s">
        <v>551</v>
      </c>
      <c r="R141" s="415" t="s">
        <v>551</v>
      </c>
      <c r="S141" s="32"/>
      <c r="T141" s="416"/>
      <c r="U141" s="416"/>
      <c r="V141" s="416"/>
      <c r="W141" s="416"/>
      <c r="X141" s="416"/>
      <c r="Y141" s="416"/>
      <c r="Z141" s="416"/>
      <c r="AA141" s="416"/>
      <c r="AB141" s="416"/>
      <c r="AC141" s="416"/>
      <c r="AD141" s="416"/>
      <c r="AE141" s="416"/>
      <c r="AF141" s="416"/>
      <c r="AG141" s="416"/>
      <c r="AH141" s="416"/>
      <c r="AI141" s="416"/>
      <c r="AJ141" s="416">
        <f>H141</f>
        <v>7500</v>
      </c>
      <c r="AK141" s="416"/>
      <c r="AL141" s="416"/>
      <c r="AM141" s="416"/>
      <c r="AN141" s="416"/>
      <c r="AO141" s="416"/>
      <c r="AP141" s="32"/>
      <c r="AQ141" s="416"/>
      <c r="AR141" s="416"/>
      <c r="AS141" s="416"/>
      <c r="AT141" s="416"/>
      <c r="AU141" s="416"/>
      <c r="AV141" s="416"/>
      <c r="AW141" s="416"/>
      <c r="AX141" s="416"/>
      <c r="AY141" s="416"/>
      <c r="AZ141" s="416"/>
      <c r="BA141" s="416"/>
      <c r="BB141" s="32"/>
    </row>
    <row r="142" spans="2:54">
      <c r="B142" s="1258" t="s">
        <v>1721</v>
      </c>
      <c r="C142" s="1259"/>
      <c r="D142" s="1259"/>
      <c r="E142" s="1259"/>
      <c r="F142" s="1259"/>
      <c r="G142" s="1260"/>
      <c r="H142" s="417">
        <f>SUM(H139:H141)</f>
        <v>21139.392</v>
      </c>
      <c r="I142" s="388"/>
      <c r="J142" s="293"/>
      <c r="K142" s="293"/>
      <c r="L142" s="293"/>
      <c r="M142" s="389"/>
      <c r="N142" s="413" t="str">
        <f t="shared" si="12"/>
        <v xml:space="preserve"> </v>
      </c>
      <c r="O142" s="47"/>
      <c r="P142" s="418"/>
      <c r="Q142" s="418"/>
      <c r="R142" s="418"/>
      <c r="S142" s="32"/>
      <c r="T142" s="416"/>
      <c r="U142" s="416"/>
      <c r="V142" s="416"/>
      <c r="W142" s="416"/>
      <c r="X142" s="416"/>
      <c r="Y142" s="416"/>
      <c r="Z142" s="416"/>
      <c r="AA142" s="416"/>
      <c r="AB142" s="416"/>
      <c r="AC142" s="416"/>
      <c r="AD142" s="416"/>
      <c r="AE142" s="416"/>
      <c r="AF142" s="416"/>
      <c r="AG142" s="416"/>
      <c r="AH142" s="416"/>
      <c r="AI142" s="416"/>
      <c r="AJ142" s="416"/>
      <c r="AK142" s="416"/>
      <c r="AL142" s="416"/>
      <c r="AM142" s="416"/>
      <c r="AN142" s="416"/>
      <c r="AO142" s="416"/>
      <c r="AP142" s="416"/>
      <c r="AQ142" s="416"/>
      <c r="AR142" s="416"/>
      <c r="AS142" s="416"/>
      <c r="AT142" s="416"/>
      <c r="AU142" s="416"/>
      <c r="AV142" s="416"/>
      <c r="AW142" s="416"/>
      <c r="AX142" s="416"/>
      <c r="AY142" s="416"/>
      <c r="AZ142" s="416"/>
      <c r="BA142" s="416"/>
    </row>
    <row r="143" spans="2:54">
      <c r="B143" s="1256" t="s">
        <v>619</v>
      </c>
      <c r="C143" s="1257"/>
      <c r="D143" s="411" t="s">
        <v>2197</v>
      </c>
      <c r="E143" s="411"/>
      <c r="F143" s="411" t="s">
        <v>1313</v>
      </c>
      <c r="G143" s="411" t="s">
        <v>438</v>
      </c>
      <c r="H143" s="412">
        <v>602.125</v>
      </c>
      <c r="I143" s="413" t="s">
        <v>494</v>
      </c>
      <c r="J143" s="414">
        <v>45138.447916666664</v>
      </c>
      <c r="K143" s="414"/>
      <c r="L143" s="414" t="s">
        <v>192</v>
      </c>
      <c r="M143" s="414" t="s">
        <v>192</v>
      </c>
      <c r="N143" s="413" t="str">
        <f t="shared" si="12"/>
        <v>On time</v>
      </c>
      <c r="O143" s="51"/>
      <c r="P143" s="415" t="s">
        <v>551</v>
      </c>
      <c r="Q143" s="415" t="s">
        <v>551</v>
      </c>
      <c r="R143" s="415" t="s">
        <v>551</v>
      </c>
      <c r="S143" s="32"/>
      <c r="T143" s="416"/>
      <c r="U143" s="416"/>
      <c r="V143" s="416"/>
      <c r="W143" s="416"/>
      <c r="X143" s="416"/>
      <c r="Y143" s="416">
        <f>H143</f>
        <v>602.125</v>
      </c>
      <c r="Z143" s="416"/>
      <c r="AA143" s="416"/>
      <c r="AB143" s="416"/>
      <c r="AC143" s="416"/>
      <c r="AD143" s="416"/>
      <c r="AE143" s="416"/>
      <c r="AF143" s="416"/>
      <c r="AG143" s="416"/>
      <c r="AH143" s="416"/>
      <c r="AI143" s="416"/>
      <c r="AJ143" s="416"/>
      <c r="AK143" s="416"/>
      <c r="AL143" s="416"/>
      <c r="AM143" s="416"/>
      <c r="AN143" s="416"/>
      <c r="AO143" s="416"/>
      <c r="AP143" s="416"/>
      <c r="AQ143" s="416"/>
      <c r="AR143" s="416"/>
      <c r="AS143" s="416"/>
      <c r="AT143" s="416"/>
      <c r="AU143" s="416"/>
      <c r="AV143" s="416"/>
      <c r="AW143" s="416"/>
      <c r="AX143" s="416"/>
      <c r="AY143" s="416"/>
      <c r="AZ143" s="416"/>
      <c r="BA143" s="416"/>
      <c r="BB143" s="32"/>
    </row>
    <row r="144" spans="2:54">
      <c r="B144" s="1250" t="s">
        <v>621</v>
      </c>
      <c r="C144" s="1251"/>
      <c r="D144" s="411" t="s">
        <v>2259</v>
      </c>
      <c r="E144" s="411"/>
      <c r="F144" s="411" t="s">
        <v>208</v>
      </c>
      <c r="G144" s="411" t="s">
        <v>328</v>
      </c>
      <c r="H144" s="412">
        <v>7175.4440000000004</v>
      </c>
      <c r="I144" s="413" t="s">
        <v>2217</v>
      </c>
      <c r="J144" s="414">
        <v>45142.104166666664</v>
      </c>
      <c r="K144" s="414"/>
      <c r="L144" s="414" t="s">
        <v>192</v>
      </c>
      <c r="M144" s="414" t="s">
        <v>192</v>
      </c>
      <c r="N144" s="413" t="str">
        <f t="shared" si="12"/>
        <v>On time</v>
      </c>
      <c r="O144" s="51"/>
      <c r="P144" s="415" t="s">
        <v>551</v>
      </c>
      <c r="Q144" s="415" t="s">
        <v>551</v>
      </c>
      <c r="R144" s="415" t="s">
        <v>551</v>
      </c>
      <c r="S144" s="32"/>
      <c r="T144" s="416"/>
      <c r="U144" s="416"/>
      <c r="V144" s="416"/>
      <c r="W144" s="416"/>
      <c r="X144" s="416"/>
      <c r="Y144" s="416">
        <f>H144</f>
        <v>7175.4440000000004</v>
      </c>
      <c r="Z144" s="416"/>
      <c r="AA144" s="416"/>
      <c r="AB144" s="416"/>
      <c r="AC144" s="416"/>
      <c r="AD144" s="416"/>
      <c r="AE144" s="416"/>
      <c r="AF144" s="416"/>
      <c r="AG144" s="416"/>
      <c r="AH144" s="416"/>
      <c r="AI144" s="416"/>
      <c r="AJ144" s="32"/>
      <c r="AK144" s="416"/>
      <c r="AL144" s="416"/>
      <c r="AM144" s="416"/>
      <c r="AN144" s="416"/>
      <c r="AO144" s="416"/>
      <c r="AP144" s="416"/>
      <c r="AQ144" s="416"/>
      <c r="AR144" s="416"/>
      <c r="AS144" s="416"/>
      <c r="AT144" s="416"/>
      <c r="AU144" s="416"/>
      <c r="AV144" s="416"/>
      <c r="AW144" s="416"/>
      <c r="AX144" s="416"/>
      <c r="AY144" s="286"/>
      <c r="AZ144" s="416"/>
      <c r="BA144" s="416"/>
      <c r="BB144" s="32"/>
    </row>
    <row r="145" spans="2:54">
      <c r="B145" s="1252"/>
      <c r="C145" s="1253"/>
      <c r="D145" s="411"/>
      <c r="E145" s="411"/>
      <c r="F145" s="1256" t="s">
        <v>668</v>
      </c>
      <c r="G145" s="1257"/>
      <c r="H145" s="412">
        <v>1000</v>
      </c>
      <c r="I145" s="413"/>
      <c r="J145" s="414"/>
      <c r="K145" s="414"/>
      <c r="L145" s="414"/>
      <c r="M145" s="414"/>
      <c r="N145" s="413" t="str">
        <f t="shared" si="12"/>
        <v xml:space="preserve"> </v>
      </c>
      <c r="O145" s="51"/>
      <c r="P145" s="415"/>
      <c r="Q145" s="415"/>
      <c r="R145" s="415"/>
      <c r="S145" s="32"/>
      <c r="T145" s="416"/>
      <c r="U145" s="416"/>
      <c r="V145" s="416"/>
      <c r="W145" s="416"/>
      <c r="X145" s="416"/>
      <c r="Y145" s="416"/>
      <c r="Z145" s="416"/>
      <c r="AA145" s="416"/>
      <c r="AB145" s="416"/>
      <c r="AC145" s="416"/>
      <c r="AD145" s="416"/>
      <c r="AE145" s="416"/>
      <c r="AF145" s="416"/>
      <c r="AG145" s="416"/>
      <c r="AH145" s="416"/>
      <c r="AI145" s="416"/>
      <c r="AJ145" s="32"/>
      <c r="AK145" s="416"/>
      <c r="AL145" s="416"/>
      <c r="AM145" s="416"/>
      <c r="AN145" s="416"/>
      <c r="AO145" s="416"/>
      <c r="AP145" s="416"/>
      <c r="AQ145" s="416"/>
      <c r="AR145" s="416"/>
      <c r="AS145" s="416"/>
      <c r="AT145" s="416"/>
      <c r="AU145" s="416"/>
      <c r="AV145" s="416"/>
      <c r="AW145" s="416"/>
      <c r="AX145" s="416"/>
      <c r="AY145" s="286"/>
      <c r="AZ145" s="416"/>
      <c r="BA145" s="416"/>
      <c r="BB145" s="32"/>
    </row>
    <row r="146" spans="2:54">
      <c r="B146" s="1254"/>
      <c r="C146" s="1255"/>
      <c r="D146" s="411"/>
      <c r="E146" s="411"/>
      <c r="F146" s="1256" t="s">
        <v>616</v>
      </c>
      <c r="G146" s="1257"/>
      <c r="H146" s="412">
        <v>1000</v>
      </c>
      <c r="I146" s="413"/>
      <c r="J146" s="414"/>
      <c r="K146" s="414"/>
      <c r="L146" s="414"/>
      <c r="M146" s="414"/>
      <c r="N146" s="413" t="str">
        <f t="shared" si="12"/>
        <v xml:space="preserve"> </v>
      </c>
      <c r="O146" s="51"/>
      <c r="P146" s="415"/>
      <c r="Q146" s="415"/>
      <c r="R146" s="415"/>
      <c r="S146" s="32"/>
      <c r="T146" s="416"/>
      <c r="U146" s="416"/>
      <c r="V146" s="416"/>
      <c r="W146" s="416"/>
      <c r="X146" s="416"/>
      <c r="Y146" s="416"/>
      <c r="Z146" s="416"/>
      <c r="AA146" s="416"/>
      <c r="AB146" s="416"/>
      <c r="AC146" s="416"/>
      <c r="AD146" s="416"/>
      <c r="AE146" s="416"/>
      <c r="AF146" s="416"/>
      <c r="AG146" s="416"/>
      <c r="AH146" s="416"/>
      <c r="AI146" s="416"/>
      <c r="AJ146" s="32"/>
      <c r="AK146" s="416"/>
      <c r="AL146" s="416"/>
      <c r="AM146" s="416"/>
      <c r="AN146" s="416"/>
      <c r="AO146" s="416"/>
      <c r="AP146" s="416"/>
      <c r="AQ146" s="416"/>
      <c r="AR146" s="416"/>
      <c r="AS146" s="416"/>
      <c r="AT146" s="416"/>
      <c r="AU146" s="416"/>
      <c r="AV146" s="416"/>
      <c r="AW146" s="416"/>
      <c r="AX146" s="416"/>
      <c r="AY146" s="286"/>
      <c r="AZ146" s="416"/>
      <c r="BA146" s="416"/>
      <c r="BB146" s="32"/>
    </row>
    <row r="147" spans="2:54">
      <c r="B147" s="1250" t="s">
        <v>622</v>
      </c>
      <c r="C147" s="1251"/>
      <c r="D147" s="411" t="s">
        <v>2260</v>
      </c>
      <c r="E147" s="411"/>
      <c r="F147" s="411" t="s">
        <v>374</v>
      </c>
      <c r="G147" s="411" t="s">
        <v>275</v>
      </c>
      <c r="H147" s="412">
        <v>6977.5749999999998</v>
      </c>
      <c r="I147" s="413" t="s">
        <v>2217</v>
      </c>
      <c r="J147" s="414">
        <v>45141.416666666664</v>
      </c>
      <c r="K147" s="414"/>
      <c r="L147" s="414" t="s">
        <v>192</v>
      </c>
      <c r="M147" s="414" t="s">
        <v>192</v>
      </c>
      <c r="N147" s="413" t="str">
        <f t="shared" si="12"/>
        <v>On time</v>
      </c>
      <c r="O147" s="51"/>
      <c r="P147" s="415" t="s">
        <v>551</v>
      </c>
      <c r="Q147" s="415" t="s">
        <v>551</v>
      </c>
      <c r="R147" s="415" t="s">
        <v>551</v>
      </c>
      <c r="S147" s="32"/>
      <c r="T147" s="416"/>
      <c r="U147" s="416"/>
      <c r="V147" s="416"/>
      <c r="W147" s="416"/>
      <c r="X147" s="416"/>
      <c r="Y147" s="416">
        <f>H147</f>
        <v>6977.5749999999998</v>
      </c>
      <c r="Z147" s="416"/>
      <c r="AA147" s="416"/>
      <c r="AB147" s="416"/>
      <c r="AC147" s="416"/>
      <c r="AD147" s="416"/>
      <c r="AE147" s="416"/>
      <c r="AF147" s="416"/>
      <c r="AG147" s="416"/>
      <c r="AH147" s="416"/>
      <c r="AI147" s="416"/>
      <c r="AJ147" s="416"/>
      <c r="AK147" s="416"/>
      <c r="AL147" s="416"/>
      <c r="AM147" s="416"/>
      <c r="AN147" s="416"/>
      <c r="AO147" s="416"/>
      <c r="AP147" s="416"/>
      <c r="AQ147" s="416"/>
      <c r="AR147" s="416"/>
      <c r="AS147" s="416"/>
      <c r="AT147" s="416"/>
      <c r="AU147" s="416"/>
      <c r="AV147" s="416"/>
      <c r="AW147" s="416"/>
      <c r="AX147" s="416"/>
      <c r="AY147" s="416"/>
      <c r="AZ147" s="416"/>
      <c r="BA147" s="416"/>
      <c r="BB147" s="32"/>
    </row>
    <row r="148" spans="2:54">
      <c r="B148" s="1252"/>
      <c r="C148" s="1253"/>
      <c r="D148" s="411"/>
      <c r="E148" s="411"/>
      <c r="F148" s="1256" t="s">
        <v>668</v>
      </c>
      <c r="G148" s="1257"/>
      <c r="H148" s="412">
        <v>1500</v>
      </c>
      <c r="I148" s="413"/>
      <c r="J148" s="414"/>
      <c r="K148" s="414"/>
      <c r="L148" s="414"/>
      <c r="M148" s="414"/>
      <c r="N148" s="413" t="str">
        <f t="shared" si="12"/>
        <v xml:space="preserve"> </v>
      </c>
      <c r="O148" s="51"/>
      <c r="P148" s="415"/>
      <c r="Q148" s="415"/>
      <c r="R148" s="415"/>
      <c r="S148" s="32"/>
      <c r="T148" s="416"/>
      <c r="U148" s="416"/>
      <c r="V148" s="416"/>
      <c r="W148" s="416"/>
      <c r="X148" s="416"/>
      <c r="Y148" s="416"/>
      <c r="Z148" s="416"/>
      <c r="AA148" s="416"/>
      <c r="AB148" s="416"/>
      <c r="AC148" s="416"/>
      <c r="AD148" s="416"/>
      <c r="AE148" s="416"/>
      <c r="AF148" s="416"/>
      <c r="AG148" s="416"/>
      <c r="AH148" s="416"/>
      <c r="AI148" s="416"/>
      <c r="AJ148" s="32"/>
      <c r="AK148" s="416"/>
      <c r="AL148" s="416"/>
      <c r="AM148" s="416"/>
      <c r="AN148" s="416"/>
      <c r="AO148" s="416"/>
      <c r="AP148" s="416"/>
      <c r="AQ148" s="416"/>
      <c r="AR148" s="416"/>
      <c r="AS148" s="416"/>
      <c r="AT148" s="416"/>
      <c r="AU148" s="416"/>
      <c r="AV148" s="416"/>
      <c r="AW148" s="416"/>
      <c r="AX148" s="416"/>
      <c r="AY148" s="286"/>
      <c r="AZ148" s="416"/>
      <c r="BA148" s="416"/>
      <c r="BB148" s="32"/>
    </row>
    <row r="149" spans="2:54">
      <c r="B149" s="1254"/>
      <c r="C149" s="1255"/>
      <c r="D149" s="411"/>
      <c r="E149" s="411"/>
      <c r="F149" s="1256" t="s">
        <v>616</v>
      </c>
      <c r="G149" s="1257"/>
      <c r="H149" s="412">
        <v>1000</v>
      </c>
      <c r="I149" s="413"/>
      <c r="J149" s="414"/>
      <c r="K149" s="414"/>
      <c r="L149" s="414"/>
      <c r="M149" s="414"/>
      <c r="N149" s="413" t="str">
        <f t="shared" si="12"/>
        <v xml:space="preserve"> </v>
      </c>
      <c r="O149" s="51"/>
      <c r="P149" s="415"/>
      <c r="Q149" s="415"/>
      <c r="R149" s="415"/>
      <c r="S149" s="32"/>
      <c r="T149" s="416"/>
      <c r="U149" s="416"/>
      <c r="V149" s="416"/>
      <c r="W149" s="416"/>
      <c r="X149" s="416"/>
      <c r="Y149" s="416"/>
      <c r="Z149" s="416"/>
      <c r="AA149" s="416"/>
      <c r="AB149" s="416"/>
      <c r="AC149" s="416"/>
      <c r="AD149" s="416"/>
      <c r="AE149" s="416"/>
      <c r="AF149" s="416"/>
      <c r="AG149" s="416"/>
      <c r="AH149" s="416"/>
      <c r="AI149" s="416"/>
      <c r="AJ149" s="32"/>
      <c r="AK149" s="416"/>
      <c r="AL149" s="416"/>
      <c r="AM149" s="416"/>
      <c r="AN149" s="416"/>
      <c r="AO149" s="416"/>
      <c r="AP149" s="416"/>
      <c r="AQ149" s="416"/>
      <c r="AR149" s="416"/>
      <c r="AS149" s="416"/>
      <c r="AT149" s="416"/>
      <c r="AU149" s="416"/>
      <c r="AV149" s="416"/>
      <c r="AW149" s="416"/>
      <c r="AX149" s="416"/>
      <c r="AY149" s="286"/>
      <c r="AZ149" s="416"/>
      <c r="BA149" s="416"/>
      <c r="BB149" s="32"/>
    </row>
    <row r="150" spans="2:54">
      <c r="B150" s="1256" t="s">
        <v>623</v>
      </c>
      <c r="C150" s="1257"/>
      <c r="D150" s="411" t="s">
        <v>2261</v>
      </c>
      <c r="E150" s="411"/>
      <c r="F150" s="411" t="s">
        <v>352</v>
      </c>
      <c r="G150" s="411" t="s">
        <v>353</v>
      </c>
      <c r="H150" s="412">
        <v>7690.8040000000001</v>
      </c>
      <c r="I150" s="413" t="s">
        <v>494</v>
      </c>
      <c r="J150" s="414">
        <v>45141.5</v>
      </c>
      <c r="K150" s="414"/>
      <c r="L150" s="414" t="s">
        <v>192</v>
      </c>
      <c r="M150" s="414" t="s">
        <v>192</v>
      </c>
      <c r="N150" s="413" t="str">
        <f t="shared" si="12"/>
        <v>On time</v>
      </c>
      <c r="O150" s="51"/>
      <c r="P150" s="415" t="s">
        <v>551</v>
      </c>
      <c r="Q150" s="415" t="s">
        <v>551</v>
      </c>
      <c r="R150" s="415" t="s">
        <v>551</v>
      </c>
      <c r="S150" s="32"/>
      <c r="T150" s="416"/>
      <c r="U150" s="416"/>
      <c r="V150" s="416"/>
      <c r="W150" s="416"/>
      <c r="X150" s="416"/>
      <c r="Y150" s="416">
        <f>H150</f>
        <v>7690.8040000000001</v>
      </c>
      <c r="Z150" s="416"/>
      <c r="AA150" s="416"/>
      <c r="AB150" s="416"/>
      <c r="AC150" s="416"/>
      <c r="AD150" s="416"/>
      <c r="AE150" s="416"/>
      <c r="AF150" s="416"/>
      <c r="AG150" s="416"/>
      <c r="AH150" s="416"/>
      <c r="AI150" s="416"/>
      <c r="AJ150" s="416"/>
      <c r="AK150" s="416"/>
      <c r="AL150" s="416"/>
      <c r="AM150" s="416"/>
      <c r="AN150" s="416"/>
      <c r="AO150" s="416"/>
      <c r="AP150" s="416"/>
      <c r="AQ150" s="416"/>
      <c r="AR150" s="416"/>
      <c r="AS150" s="416"/>
      <c r="AT150" s="416"/>
      <c r="AU150" s="416"/>
      <c r="AV150" s="416"/>
      <c r="AW150" s="416"/>
      <c r="AX150" s="416"/>
      <c r="AY150" s="416"/>
      <c r="AZ150" s="416"/>
      <c r="BA150" s="416"/>
      <c r="BB150" s="32"/>
    </row>
    <row r="151" spans="2:54">
      <c r="B151" s="1250" t="s">
        <v>624</v>
      </c>
      <c r="C151" s="1251"/>
      <c r="D151" s="411" t="s">
        <v>2262</v>
      </c>
      <c r="E151" s="411"/>
      <c r="F151" s="411" t="s">
        <v>489</v>
      </c>
      <c r="G151" s="411" t="s">
        <v>483</v>
      </c>
      <c r="H151" s="412">
        <v>6238.1779999999999</v>
      </c>
      <c r="I151" s="413" t="s">
        <v>2217</v>
      </c>
      <c r="J151" s="414">
        <v>45141.581250000003</v>
      </c>
      <c r="K151" s="414"/>
      <c r="L151" s="414" t="s">
        <v>192</v>
      </c>
      <c r="M151" s="414" t="s">
        <v>192</v>
      </c>
      <c r="N151" s="413" t="str">
        <f t="shared" si="12"/>
        <v>On time</v>
      </c>
      <c r="O151" s="51"/>
      <c r="P151" s="415" t="s">
        <v>551</v>
      </c>
      <c r="Q151" s="415" t="s">
        <v>551</v>
      </c>
      <c r="R151" s="415" t="s">
        <v>551</v>
      </c>
      <c r="S151" s="32"/>
      <c r="T151" s="416"/>
      <c r="U151" s="416"/>
      <c r="V151" s="416"/>
      <c r="W151" s="416"/>
      <c r="X151" s="416"/>
      <c r="Y151" s="416">
        <f>H151</f>
        <v>6238.1779999999999</v>
      </c>
      <c r="Z151" s="416"/>
      <c r="AA151" s="416"/>
      <c r="AB151" s="416"/>
      <c r="AC151" s="416"/>
      <c r="AD151" s="416"/>
      <c r="AE151" s="416"/>
      <c r="AF151" s="416"/>
      <c r="AG151" s="416"/>
      <c r="AH151" s="416"/>
      <c r="AI151" s="416"/>
      <c r="AJ151" s="32"/>
      <c r="AK151" s="416"/>
      <c r="AL151" s="416"/>
      <c r="AM151" s="416"/>
      <c r="AN151" s="416"/>
      <c r="AO151" s="416"/>
      <c r="AP151" s="416"/>
      <c r="AQ151" s="416"/>
      <c r="AR151" s="32"/>
      <c r="AS151" s="416"/>
      <c r="AT151" s="416"/>
      <c r="AU151" s="416"/>
      <c r="AV151" s="416"/>
      <c r="AW151" s="416"/>
      <c r="AX151" s="416"/>
      <c r="AY151" s="286"/>
      <c r="AZ151" s="416"/>
      <c r="BA151" s="416"/>
      <c r="BB151" s="32"/>
    </row>
    <row r="152" spans="2:54">
      <c r="B152" s="1252"/>
      <c r="C152" s="1253"/>
      <c r="D152" s="411"/>
      <c r="E152" s="411"/>
      <c r="F152" s="1256" t="s">
        <v>668</v>
      </c>
      <c r="G152" s="1257"/>
      <c r="H152" s="412">
        <v>1000</v>
      </c>
      <c r="I152" s="413"/>
      <c r="J152" s="414"/>
      <c r="K152" s="414"/>
      <c r="L152" s="414"/>
      <c r="M152" s="414"/>
      <c r="N152" s="413" t="str">
        <f t="shared" si="12"/>
        <v xml:space="preserve"> </v>
      </c>
      <c r="O152" s="51"/>
      <c r="P152" s="415"/>
      <c r="Q152" s="415"/>
      <c r="R152" s="415"/>
      <c r="S152" s="32"/>
      <c r="T152" s="416"/>
      <c r="U152" s="416"/>
      <c r="V152" s="416"/>
      <c r="W152" s="416"/>
      <c r="X152" s="416"/>
      <c r="Y152" s="416"/>
      <c r="Z152" s="416"/>
      <c r="AA152" s="416"/>
      <c r="AB152" s="416"/>
      <c r="AC152" s="416"/>
      <c r="AD152" s="416"/>
      <c r="AE152" s="416"/>
      <c r="AF152" s="416"/>
      <c r="AG152" s="416"/>
      <c r="AH152" s="416"/>
      <c r="AI152" s="416"/>
      <c r="AJ152" s="32"/>
      <c r="AK152" s="416"/>
      <c r="AL152" s="416"/>
      <c r="AM152" s="416"/>
      <c r="AN152" s="416"/>
      <c r="AO152" s="416"/>
      <c r="AP152" s="416"/>
      <c r="AQ152" s="416"/>
      <c r="AR152" s="416"/>
      <c r="AS152" s="416"/>
      <c r="AT152" s="416"/>
      <c r="AU152" s="416"/>
      <c r="AV152" s="416"/>
      <c r="AW152" s="416"/>
      <c r="AX152" s="416"/>
      <c r="AY152" s="286"/>
      <c r="AZ152" s="416"/>
      <c r="BA152" s="416"/>
      <c r="BB152" s="32"/>
    </row>
    <row r="153" spans="2:54">
      <c r="B153" s="1254"/>
      <c r="C153" s="1255"/>
      <c r="D153" s="411"/>
      <c r="E153" s="411"/>
      <c r="F153" s="1256" t="s">
        <v>616</v>
      </c>
      <c r="G153" s="1257"/>
      <c r="H153" s="412">
        <v>1000</v>
      </c>
      <c r="I153" s="413"/>
      <c r="J153" s="414"/>
      <c r="K153" s="414"/>
      <c r="L153" s="414"/>
      <c r="M153" s="414"/>
      <c r="N153" s="413" t="str">
        <f t="shared" si="12"/>
        <v xml:space="preserve"> </v>
      </c>
      <c r="O153" s="51"/>
      <c r="P153" s="415"/>
      <c r="Q153" s="415"/>
      <c r="R153" s="415"/>
      <c r="S153" s="32"/>
      <c r="T153" s="416"/>
      <c r="U153" s="416"/>
      <c r="V153" s="416"/>
      <c r="W153" s="416"/>
      <c r="X153" s="416"/>
      <c r="Y153" s="416"/>
      <c r="Z153" s="416"/>
      <c r="AA153" s="416"/>
      <c r="AB153" s="416"/>
      <c r="AC153" s="416"/>
      <c r="AD153" s="416"/>
      <c r="AE153" s="416"/>
      <c r="AF153" s="416"/>
      <c r="AG153" s="416"/>
      <c r="AH153" s="416"/>
      <c r="AI153" s="416"/>
      <c r="AJ153" s="32"/>
      <c r="AK153" s="416"/>
      <c r="AL153" s="416"/>
      <c r="AM153" s="416"/>
      <c r="AN153" s="416"/>
      <c r="AO153" s="416"/>
      <c r="AP153" s="416"/>
      <c r="AQ153" s="416"/>
      <c r="AR153" s="416"/>
      <c r="AS153" s="416"/>
      <c r="AT153" s="416"/>
      <c r="AU153" s="416"/>
      <c r="AV153" s="416"/>
      <c r="AW153" s="416"/>
      <c r="AX153" s="416"/>
      <c r="AY153" s="286"/>
      <c r="AZ153" s="416"/>
      <c r="BA153" s="416"/>
      <c r="BB153" s="32"/>
    </row>
    <row r="154" spans="2:54">
      <c r="B154" s="1250" t="s">
        <v>625</v>
      </c>
      <c r="C154" s="1251"/>
      <c r="D154" s="411" t="s">
        <v>2263</v>
      </c>
      <c r="E154" s="411"/>
      <c r="F154" s="411" t="s">
        <v>1483</v>
      </c>
      <c r="G154" s="411" t="s">
        <v>258</v>
      </c>
      <c r="H154" s="412">
        <v>6213.2780000000002</v>
      </c>
      <c r="I154" s="413" t="s">
        <v>494</v>
      </c>
      <c r="J154" s="414">
        <v>45142.416666666664</v>
      </c>
      <c r="K154" s="414"/>
      <c r="L154" s="414" t="s">
        <v>192</v>
      </c>
      <c r="M154" s="414" t="s">
        <v>192</v>
      </c>
      <c r="N154" s="413" t="str">
        <f t="shared" si="12"/>
        <v>On time</v>
      </c>
      <c r="O154" s="51"/>
      <c r="P154" s="415" t="s">
        <v>551</v>
      </c>
      <c r="Q154" s="415" t="s">
        <v>551</v>
      </c>
      <c r="R154" s="415" t="s">
        <v>551</v>
      </c>
      <c r="S154" s="32"/>
      <c r="T154" s="416"/>
      <c r="U154" s="416"/>
      <c r="V154" s="416"/>
      <c r="W154" s="416"/>
      <c r="X154" s="416"/>
      <c r="Y154" s="416">
        <f t="shared" ref="Y154" si="13">H154</f>
        <v>6213.2780000000002</v>
      </c>
      <c r="Z154" s="416"/>
      <c r="AA154" s="32"/>
      <c r="AB154" s="416"/>
      <c r="AC154" s="416"/>
      <c r="AD154" s="416"/>
      <c r="AE154" s="416"/>
      <c r="AF154" s="416"/>
      <c r="AG154" s="416"/>
      <c r="AH154" s="416"/>
      <c r="AI154" s="416"/>
      <c r="AJ154" s="416"/>
      <c r="AK154" s="416"/>
      <c r="AL154" s="416"/>
      <c r="AM154" s="416"/>
      <c r="AN154" s="416"/>
      <c r="AO154" s="416"/>
      <c r="AP154" s="416"/>
      <c r="AQ154" s="416"/>
      <c r="AR154" s="416"/>
      <c r="AS154" s="416"/>
      <c r="AT154" s="32"/>
      <c r="AU154" s="416"/>
      <c r="AV154" s="416"/>
      <c r="AW154" s="416"/>
      <c r="AX154" s="416"/>
      <c r="AY154" s="416"/>
      <c r="AZ154" s="416"/>
      <c r="BA154" s="416"/>
      <c r="BB154" s="32"/>
    </row>
    <row r="155" spans="2:54">
      <c r="B155" s="1252"/>
      <c r="C155" s="1253"/>
      <c r="D155" s="411"/>
      <c r="E155" s="411"/>
      <c r="F155" s="1256" t="s">
        <v>668</v>
      </c>
      <c r="G155" s="1257"/>
      <c r="H155" s="412">
        <v>1000</v>
      </c>
      <c r="I155" s="413"/>
      <c r="J155" s="414"/>
      <c r="K155" s="414"/>
      <c r="L155" s="414"/>
      <c r="M155" s="414"/>
      <c r="N155" s="413" t="str">
        <f t="shared" si="12"/>
        <v xml:space="preserve"> </v>
      </c>
      <c r="O155" s="51"/>
      <c r="P155" s="415"/>
      <c r="Q155" s="415"/>
      <c r="R155" s="415"/>
      <c r="S155" s="32"/>
      <c r="T155" s="416"/>
      <c r="U155" s="416"/>
      <c r="V155" s="416"/>
      <c r="W155" s="416"/>
      <c r="X155" s="416"/>
      <c r="Y155" s="416"/>
      <c r="Z155" s="416"/>
      <c r="AA155" s="416"/>
      <c r="AB155" s="416"/>
      <c r="AC155" s="416"/>
      <c r="AD155" s="416"/>
      <c r="AE155" s="416"/>
      <c r="AF155" s="416"/>
      <c r="AG155" s="416"/>
      <c r="AH155" s="416"/>
      <c r="AI155" s="416"/>
      <c r="AJ155" s="32"/>
      <c r="AK155" s="416"/>
      <c r="AL155" s="416"/>
      <c r="AM155" s="416"/>
      <c r="AN155" s="416"/>
      <c r="AO155" s="416"/>
      <c r="AP155" s="416"/>
      <c r="AQ155" s="416"/>
      <c r="AR155" s="416"/>
      <c r="AS155" s="416"/>
      <c r="AT155" s="416"/>
      <c r="AU155" s="416"/>
      <c r="AV155" s="416"/>
      <c r="AW155" s="416"/>
      <c r="AX155" s="416"/>
      <c r="AY155" s="286"/>
      <c r="AZ155" s="416"/>
      <c r="BA155" s="416"/>
      <c r="BB155" s="32"/>
    </row>
    <row r="156" spans="2:54">
      <c r="B156" s="1254"/>
      <c r="C156" s="1255"/>
      <c r="D156" s="411"/>
      <c r="E156" s="411"/>
      <c r="F156" s="1256" t="s">
        <v>616</v>
      </c>
      <c r="G156" s="1257"/>
      <c r="H156" s="412">
        <v>4639</v>
      </c>
      <c r="I156" s="413"/>
      <c r="J156" s="414"/>
      <c r="K156" s="414"/>
      <c r="L156" s="414"/>
      <c r="M156" s="414"/>
      <c r="N156" s="413" t="str">
        <f t="shared" si="12"/>
        <v xml:space="preserve"> </v>
      </c>
      <c r="O156" s="51"/>
      <c r="P156" s="415"/>
      <c r="Q156" s="415"/>
      <c r="R156" s="415"/>
      <c r="S156" s="32"/>
      <c r="T156" s="416"/>
      <c r="U156" s="416"/>
      <c r="V156" s="416"/>
      <c r="W156" s="416"/>
      <c r="X156" s="416"/>
      <c r="Y156" s="416"/>
      <c r="Z156" s="416"/>
      <c r="AA156" s="416"/>
      <c r="AB156" s="416"/>
      <c r="AC156" s="416"/>
      <c r="AD156" s="416"/>
      <c r="AE156" s="416"/>
      <c r="AF156" s="416"/>
      <c r="AG156" s="416"/>
      <c r="AH156" s="416"/>
      <c r="AI156" s="416"/>
      <c r="AJ156" s="32"/>
      <c r="AK156" s="416"/>
      <c r="AL156" s="416"/>
      <c r="AM156" s="416"/>
      <c r="AN156" s="416"/>
      <c r="AO156" s="416"/>
      <c r="AP156" s="416"/>
      <c r="AQ156" s="416"/>
      <c r="AR156" s="416"/>
      <c r="AS156" s="416"/>
      <c r="AT156" s="416"/>
      <c r="AU156" s="416"/>
      <c r="AV156" s="416"/>
      <c r="AW156" s="416"/>
      <c r="AX156" s="416"/>
      <c r="AY156" s="286"/>
      <c r="AZ156" s="416"/>
      <c r="BA156" s="416"/>
      <c r="BB156" s="32"/>
    </row>
    <row r="157" spans="2:54">
      <c r="B157" s="1250" t="s">
        <v>669</v>
      </c>
      <c r="C157" s="1251"/>
      <c r="D157" s="411" t="s">
        <v>2264</v>
      </c>
      <c r="E157" s="411"/>
      <c r="F157" s="411" t="s">
        <v>284</v>
      </c>
      <c r="G157" s="411" t="s">
        <v>285</v>
      </c>
      <c r="H157" s="412">
        <v>6657.38</v>
      </c>
      <c r="I157" s="413" t="s">
        <v>494</v>
      </c>
      <c r="J157" s="414">
        <v>45142.4375</v>
      </c>
      <c r="K157" s="414"/>
      <c r="L157" s="414" t="s">
        <v>192</v>
      </c>
      <c r="M157" s="414" t="s">
        <v>192</v>
      </c>
      <c r="N157" s="413" t="str">
        <f t="shared" si="12"/>
        <v>On time</v>
      </c>
      <c r="O157" s="51"/>
      <c r="P157" s="415" t="s">
        <v>551</v>
      </c>
      <c r="Q157" s="415" t="s">
        <v>551</v>
      </c>
      <c r="R157" s="415" t="s">
        <v>551</v>
      </c>
      <c r="S157" s="32"/>
      <c r="T157" s="416"/>
      <c r="U157" s="416"/>
      <c r="V157" s="416"/>
      <c r="W157" s="416"/>
      <c r="X157" s="416"/>
      <c r="Y157" s="416">
        <f>H157</f>
        <v>6657.38</v>
      </c>
      <c r="Z157" s="416"/>
      <c r="AA157" s="416"/>
      <c r="AB157" s="416"/>
      <c r="AC157" s="416"/>
      <c r="AD157" s="416"/>
      <c r="AE157" s="416"/>
      <c r="AF157" s="416"/>
      <c r="AG157" s="416"/>
      <c r="AH157" s="416"/>
      <c r="AI157" s="416"/>
      <c r="AJ157" s="416"/>
      <c r="AK157" s="416"/>
      <c r="AL157" s="416"/>
      <c r="AM157" s="416"/>
      <c r="AN157" s="416"/>
      <c r="AO157" s="416"/>
      <c r="AP157" s="416"/>
      <c r="AQ157" s="416"/>
      <c r="AR157" s="416"/>
      <c r="AS157" s="416"/>
      <c r="AT157" s="416"/>
      <c r="AU157" s="416"/>
      <c r="AV157" s="416"/>
      <c r="AW157" s="416"/>
      <c r="AX157" s="416"/>
      <c r="AY157" s="416"/>
      <c r="AZ157" s="416"/>
      <c r="BA157" s="416"/>
      <c r="BB157" s="32"/>
    </row>
    <row r="158" spans="2:54">
      <c r="B158" s="1252"/>
      <c r="C158" s="1253"/>
      <c r="D158" s="411"/>
      <c r="E158" s="411"/>
      <c r="F158" s="1256" t="s">
        <v>668</v>
      </c>
      <c r="G158" s="1257"/>
      <c r="H158" s="412">
        <v>1000</v>
      </c>
      <c r="I158" s="413"/>
      <c r="J158" s="414"/>
      <c r="K158" s="414"/>
      <c r="L158" s="414"/>
      <c r="M158" s="414"/>
      <c r="N158" s="413" t="str">
        <f t="shared" si="12"/>
        <v xml:space="preserve"> </v>
      </c>
      <c r="O158" s="51"/>
      <c r="P158" s="415"/>
      <c r="Q158" s="415"/>
      <c r="R158" s="415"/>
      <c r="S158" s="32"/>
      <c r="T158" s="416"/>
      <c r="U158" s="416"/>
      <c r="V158" s="416"/>
      <c r="W158" s="416"/>
      <c r="X158" s="416"/>
      <c r="Y158" s="416"/>
      <c r="Z158" s="416"/>
      <c r="AA158" s="416"/>
      <c r="AB158" s="416"/>
      <c r="AC158" s="416"/>
      <c r="AD158" s="416"/>
      <c r="AE158" s="416"/>
      <c r="AF158" s="416"/>
      <c r="AG158" s="416"/>
      <c r="AH158" s="416"/>
      <c r="AI158" s="416"/>
      <c r="AJ158" s="32"/>
      <c r="AK158" s="416"/>
      <c r="AL158" s="416"/>
      <c r="AM158" s="416"/>
      <c r="AN158" s="416"/>
      <c r="AO158" s="416"/>
      <c r="AP158" s="416"/>
      <c r="AQ158" s="416"/>
      <c r="AR158" s="416"/>
      <c r="AS158" s="416"/>
      <c r="AT158" s="416"/>
      <c r="AU158" s="416"/>
      <c r="AV158" s="416"/>
      <c r="AW158" s="416"/>
      <c r="AX158" s="416"/>
      <c r="AY158" s="286"/>
      <c r="AZ158" s="416"/>
      <c r="BA158" s="416"/>
      <c r="BB158" s="32"/>
    </row>
    <row r="159" spans="2:54">
      <c r="B159" s="1254"/>
      <c r="C159" s="1255"/>
      <c r="D159" s="411"/>
      <c r="E159" s="411"/>
      <c r="F159" s="1256" t="s">
        <v>616</v>
      </c>
      <c r="G159" s="1257"/>
      <c r="H159" s="412">
        <v>3500</v>
      </c>
      <c r="I159" s="413"/>
      <c r="J159" s="414"/>
      <c r="K159" s="414"/>
      <c r="L159" s="414"/>
      <c r="M159" s="414"/>
      <c r="N159" s="413" t="str">
        <f t="shared" si="12"/>
        <v xml:space="preserve"> </v>
      </c>
      <c r="O159" s="51"/>
      <c r="P159" s="415"/>
      <c r="Q159" s="415"/>
      <c r="R159" s="415"/>
      <c r="S159" s="32"/>
      <c r="T159" s="416"/>
      <c r="U159" s="416"/>
      <c r="V159" s="416"/>
      <c r="W159" s="416"/>
      <c r="X159" s="416"/>
      <c r="Y159" s="416"/>
      <c r="Z159" s="416"/>
      <c r="AA159" s="416"/>
      <c r="AB159" s="416"/>
      <c r="AC159" s="416"/>
      <c r="AD159" s="416"/>
      <c r="AE159" s="416"/>
      <c r="AF159" s="416"/>
      <c r="AG159" s="416"/>
      <c r="AH159" s="416"/>
      <c r="AI159" s="416"/>
      <c r="AJ159" s="32"/>
      <c r="AK159" s="416"/>
      <c r="AL159" s="416"/>
      <c r="AM159" s="416"/>
      <c r="AN159" s="416"/>
      <c r="AO159" s="416"/>
      <c r="AP159" s="416"/>
      <c r="AQ159" s="416"/>
      <c r="AR159" s="416"/>
      <c r="AS159" s="416"/>
      <c r="AT159" s="416"/>
      <c r="AU159" s="416"/>
      <c r="AV159" s="416"/>
      <c r="AW159" s="416"/>
      <c r="AX159" s="416"/>
      <c r="AY159" s="286"/>
      <c r="AZ159" s="416"/>
      <c r="BA159" s="416"/>
      <c r="BB159" s="32"/>
    </row>
    <row r="160" spans="2:54">
      <c r="B160" s="1250" t="s">
        <v>670</v>
      </c>
      <c r="C160" s="1251"/>
      <c r="D160" s="411" t="s">
        <v>2265</v>
      </c>
      <c r="E160" s="411"/>
      <c r="F160" s="411" t="s">
        <v>288</v>
      </c>
      <c r="G160" s="411" t="s">
        <v>289</v>
      </c>
      <c r="H160" s="412">
        <v>6069.1930000000002</v>
      </c>
      <c r="I160" s="413" t="s">
        <v>2217</v>
      </c>
      <c r="J160" s="414">
        <v>45143.5</v>
      </c>
      <c r="K160" s="414"/>
      <c r="L160" s="414" t="s">
        <v>192</v>
      </c>
      <c r="M160" s="414" t="s">
        <v>192</v>
      </c>
      <c r="N160" s="413" t="str">
        <f t="shared" si="12"/>
        <v>DELAY ( 1 day 15 hour 0 minute )</v>
      </c>
      <c r="O160" s="51"/>
      <c r="P160" s="415" t="s">
        <v>551</v>
      </c>
      <c r="Q160" s="415" t="s">
        <v>551</v>
      </c>
      <c r="R160" s="415" t="s">
        <v>551</v>
      </c>
      <c r="S160" s="32"/>
      <c r="T160" s="416"/>
      <c r="U160" s="416"/>
      <c r="V160" s="416"/>
      <c r="W160" s="416"/>
      <c r="X160" s="416"/>
      <c r="Y160" s="416">
        <f>H160</f>
        <v>6069.1930000000002</v>
      </c>
      <c r="Z160" s="416"/>
      <c r="AA160" s="32"/>
      <c r="AB160" s="416"/>
      <c r="AC160" s="416"/>
      <c r="AD160" s="416"/>
      <c r="AE160" s="416"/>
      <c r="AF160" s="416"/>
      <c r="AG160" s="416"/>
      <c r="AH160" s="416"/>
      <c r="AI160" s="416"/>
      <c r="AJ160" s="416"/>
      <c r="AK160" s="416"/>
      <c r="AL160" s="416"/>
      <c r="AM160" s="416"/>
      <c r="AN160" s="416"/>
      <c r="AO160" s="416"/>
      <c r="AP160" s="416"/>
      <c r="AQ160" s="416"/>
      <c r="AR160" s="416"/>
      <c r="AS160" s="416"/>
      <c r="AT160" s="32"/>
      <c r="AU160" s="416"/>
      <c r="AV160" s="416"/>
      <c r="AW160" s="416"/>
      <c r="AX160" s="416"/>
      <c r="AY160" s="416"/>
      <c r="AZ160" s="416"/>
      <c r="BA160" s="416"/>
      <c r="BB160" s="32"/>
    </row>
    <row r="161" spans="2:54">
      <c r="B161" s="1252"/>
      <c r="C161" s="1253"/>
      <c r="D161" s="411"/>
      <c r="E161" s="411"/>
      <c r="F161" s="1256" t="s">
        <v>668</v>
      </c>
      <c r="G161" s="1257"/>
      <c r="H161" s="412">
        <v>1000</v>
      </c>
      <c r="I161" s="413"/>
      <c r="J161" s="414"/>
      <c r="K161" s="414"/>
      <c r="L161" s="414"/>
      <c r="M161" s="414"/>
      <c r="N161" s="413" t="str">
        <f t="shared" si="12"/>
        <v xml:space="preserve"> </v>
      </c>
      <c r="O161" s="51"/>
      <c r="P161" s="415"/>
      <c r="Q161" s="415"/>
      <c r="R161" s="415"/>
      <c r="S161" s="32"/>
      <c r="T161" s="416"/>
      <c r="U161" s="416"/>
      <c r="V161" s="416"/>
      <c r="W161" s="416"/>
      <c r="X161" s="416"/>
      <c r="Y161" s="416"/>
      <c r="Z161" s="416"/>
      <c r="AA161" s="416"/>
      <c r="AB161" s="416"/>
      <c r="AC161" s="416"/>
      <c r="AD161" s="416"/>
      <c r="AE161" s="416"/>
      <c r="AF161" s="416"/>
      <c r="AG161" s="416"/>
      <c r="AH161" s="416"/>
      <c r="AI161" s="416"/>
      <c r="AJ161" s="32"/>
      <c r="AK161" s="416"/>
      <c r="AL161" s="416"/>
      <c r="AM161" s="416"/>
      <c r="AN161" s="416"/>
      <c r="AO161" s="416"/>
      <c r="AP161" s="416"/>
      <c r="AQ161" s="416"/>
      <c r="AR161" s="416"/>
      <c r="AS161" s="416"/>
      <c r="AT161" s="416"/>
      <c r="AU161" s="416"/>
      <c r="AV161" s="416"/>
      <c r="AW161" s="416"/>
      <c r="AX161" s="416"/>
      <c r="AY161" s="286"/>
      <c r="AZ161" s="416"/>
      <c r="BA161" s="416"/>
      <c r="BB161" s="32"/>
    </row>
    <row r="162" spans="2:54">
      <c r="B162" s="1254"/>
      <c r="C162" s="1255"/>
      <c r="D162" s="411"/>
      <c r="E162" s="411"/>
      <c r="F162" s="1256" t="s">
        <v>616</v>
      </c>
      <c r="G162" s="1257"/>
      <c r="H162" s="412">
        <v>1500</v>
      </c>
      <c r="I162" s="413"/>
      <c r="J162" s="414"/>
      <c r="K162" s="414"/>
      <c r="L162" s="414"/>
      <c r="M162" s="414"/>
      <c r="N162" s="413" t="str">
        <f t="shared" si="12"/>
        <v xml:space="preserve"> </v>
      </c>
      <c r="O162" s="51"/>
      <c r="P162" s="415"/>
      <c r="Q162" s="415"/>
      <c r="R162" s="415"/>
      <c r="S162" s="32"/>
      <c r="T162" s="416"/>
      <c r="U162" s="416"/>
      <c r="V162" s="416"/>
      <c r="W162" s="416"/>
      <c r="X162" s="416"/>
      <c r="Y162" s="416"/>
      <c r="Z162" s="416"/>
      <c r="AA162" s="416"/>
      <c r="AB162" s="416"/>
      <c r="AC162" s="416"/>
      <c r="AD162" s="416"/>
      <c r="AE162" s="416"/>
      <c r="AF162" s="416"/>
      <c r="AG162" s="416"/>
      <c r="AH162" s="416"/>
      <c r="AI162" s="416"/>
      <c r="AJ162" s="32"/>
      <c r="AK162" s="416"/>
      <c r="AL162" s="416"/>
      <c r="AM162" s="416"/>
      <c r="AN162" s="416"/>
      <c r="AO162" s="416"/>
      <c r="AP162" s="416"/>
      <c r="AQ162" s="416"/>
      <c r="AR162" s="416"/>
      <c r="AS162" s="416"/>
      <c r="AT162" s="416"/>
      <c r="AU162" s="416"/>
      <c r="AV162" s="416"/>
      <c r="AW162" s="416"/>
      <c r="AX162" s="416"/>
      <c r="AY162" s="286"/>
      <c r="AZ162" s="416"/>
      <c r="BA162" s="416"/>
      <c r="BB162" s="32"/>
    </row>
    <row r="163" spans="2:54">
      <c r="B163" s="1250" t="s">
        <v>867</v>
      </c>
      <c r="C163" s="1251"/>
      <c r="D163" s="411" t="s">
        <v>2266</v>
      </c>
      <c r="E163" s="411"/>
      <c r="F163" s="411" t="s">
        <v>1230</v>
      </c>
      <c r="G163" s="411" t="s">
        <v>1231</v>
      </c>
      <c r="H163" s="412">
        <f>5874.384-3367.753</f>
        <v>2506.6309999999999</v>
      </c>
      <c r="I163" s="413" t="s">
        <v>494</v>
      </c>
      <c r="J163" s="414">
        <v>45143.513888888891</v>
      </c>
      <c r="K163" s="414"/>
      <c r="L163" s="414" t="s">
        <v>192</v>
      </c>
      <c r="M163" s="414" t="s">
        <v>192</v>
      </c>
      <c r="N163" s="413" t="str">
        <f t="shared" si="12"/>
        <v>DELAY ( 1 day 15 hour 20 minute )</v>
      </c>
      <c r="O163" s="51"/>
      <c r="P163" s="415" t="s">
        <v>551</v>
      </c>
      <c r="Q163" s="415" t="s">
        <v>551</v>
      </c>
      <c r="R163" s="415" t="s">
        <v>551</v>
      </c>
      <c r="S163" s="32"/>
      <c r="T163" s="416"/>
      <c r="U163" s="416"/>
      <c r="V163" s="416"/>
      <c r="W163" s="416"/>
      <c r="X163" s="416"/>
      <c r="Y163" s="416">
        <f>H163</f>
        <v>2506.6309999999999</v>
      </c>
      <c r="Z163" s="416"/>
      <c r="AA163" s="289"/>
      <c r="AB163" s="416"/>
      <c r="AC163" s="416"/>
      <c r="AD163" s="416"/>
      <c r="AE163" s="416"/>
      <c r="AF163" s="416"/>
      <c r="AG163" s="416"/>
      <c r="AH163" s="416"/>
      <c r="AI163" s="416"/>
      <c r="AJ163" s="416"/>
      <c r="AK163" s="416"/>
      <c r="AL163" s="416"/>
      <c r="AM163" s="416"/>
      <c r="AN163" s="416"/>
      <c r="AO163" s="416"/>
      <c r="AP163" s="416"/>
      <c r="AQ163" s="416"/>
      <c r="AR163" s="416"/>
      <c r="AS163" s="416"/>
      <c r="AT163" s="289"/>
      <c r="AU163" s="416"/>
      <c r="AV163" s="416"/>
      <c r="AW163" s="416"/>
      <c r="AX163" s="416"/>
      <c r="AY163" s="416"/>
      <c r="AZ163" s="416"/>
      <c r="BA163" s="416"/>
      <c r="BB163" s="32"/>
    </row>
    <row r="164" spans="2:54">
      <c r="B164" s="1252"/>
      <c r="C164" s="1253"/>
      <c r="D164" s="411"/>
      <c r="E164" s="411"/>
      <c r="F164" s="1256" t="s">
        <v>668</v>
      </c>
      <c r="G164" s="1257"/>
      <c r="H164" s="412">
        <v>1000</v>
      </c>
      <c r="I164" s="413"/>
      <c r="J164" s="414"/>
      <c r="K164" s="414"/>
      <c r="L164" s="414"/>
      <c r="M164" s="414"/>
      <c r="N164" s="413" t="str">
        <f t="shared" si="12"/>
        <v xml:space="preserve"> </v>
      </c>
      <c r="O164" s="51"/>
      <c r="P164" s="415"/>
      <c r="Q164" s="415"/>
      <c r="R164" s="415"/>
      <c r="S164" s="32"/>
      <c r="T164" s="416"/>
      <c r="U164" s="416"/>
      <c r="V164" s="416"/>
      <c r="W164" s="416"/>
      <c r="X164" s="416"/>
      <c r="Y164" s="416"/>
      <c r="Z164" s="416"/>
      <c r="AA164" s="416"/>
      <c r="AB164" s="416"/>
      <c r="AC164" s="416"/>
      <c r="AD164" s="416"/>
      <c r="AE164" s="416"/>
      <c r="AF164" s="416"/>
      <c r="AG164" s="416"/>
      <c r="AH164" s="416"/>
      <c r="AI164" s="416"/>
      <c r="AJ164" s="32"/>
      <c r="AK164" s="416"/>
      <c r="AL164" s="416"/>
      <c r="AM164" s="416"/>
      <c r="AN164" s="416"/>
      <c r="AO164" s="416"/>
      <c r="AP164" s="416"/>
      <c r="AQ164" s="416"/>
      <c r="AR164" s="416"/>
      <c r="AS164" s="416"/>
      <c r="AT164" s="416"/>
      <c r="AU164" s="416"/>
      <c r="AV164" s="416"/>
      <c r="AW164" s="416"/>
      <c r="AX164" s="416"/>
      <c r="AY164" s="286"/>
      <c r="AZ164" s="416"/>
      <c r="BA164" s="416"/>
      <c r="BB164" s="32"/>
    </row>
    <row r="165" spans="2:54">
      <c r="B165" s="1254"/>
      <c r="C165" s="1255"/>
      <c r="D165" s="411"/>
      <c r="E165" s="411"/>
      <c r="F165" s="1256" t="s">
        <v>616</v>
      </c>
      <c r="G165" s="1257"/>
      <c r="H165" s="412">
        <f>1000.392</f>
        <v>1000.3920000000001</v>
      </c>
      <c r="I165" s="413"/>
      <c r="J165" s="414"/>
      <c r="K165" s="414"/>
      <c r="L165" s="414"/>
      <c r="M165" s="414"/>
      <c r="N165" s="413" t="str">
        <f t="shared" si="12"/>
        <v xml:space="preserve"> </v>
      </c>
      <c r="O165" s="51"/>
      <c r="P165" s="415"/>
      <c r="Q165" s="415"/>
      <c r="R165" s="415"/>
      <c r="S165" s="32"/>
      <c r="T165" s="416"/>
      <c r="U165" s="416"/>
      <c r="V165" s="416"/>
      <c r="W165" s="416"/>
      <c r="X165" s="416"/>
      <c r="Y165" s="416"/>
      <c r="Z165" s="416"/>
      <c r="AA165" s="416"/>
      <c r="AB165" s="416"/>
      <c r="AC165" s="416"/>
      <c r="AD165" s="416"/>
      <c r="AE165" s="416"/>
      <c r="AF165" s="416"/>
      <c r="AG165" s="416"/>
      <c r="AH165" s="416"/>
      <c r="AI165" s="416"/>
      <c r="AJ165" s="32"/>
      <c r="AK165" s="416"/>
      <c r="AL165" s="416"/>
      <c r="AM165" s="416"/>
      <c r="AN165" s="416"/>
      <c r="AO165" s="416"/>
      <c r="AP165" s="416"/>
      <c r="AQ165" s="416"/>
      <c r="AR165" s="416"/>
      <c r="AS165" s="416"/>
      <c r="AT165" s="416"/>
      <c r="AU165" s="416"/>
      <c r="AV165" s="416"/>
      <c r="AW165" s="416"/>
      <c r="AX165" s="416"/>
      <c r="AY165" s="286"/>
      <c r="AZ165" s="416"/>
      <c r="BA165" s="416"/>
      <c r="BB165" s="32"/>
    </row>
    <row r="166" spans="2:54">
      <c r="B166" s="1258" t="s">
        <v>626</v>
      </c>
      <c r="C166" s="1259"/>
      <c r="D166" s="1259"/>
      <c r="E166" s="1259"/>
      <c r="F166" s="1259"/>
      <c r="G166" s="1260"/>
      <c r="H166" s="417">
        <f>H143+H144+H147+H150+H151+H154+H157+H160+H163</f>
        <v>50130.608</v>
      </c>
      <c r="I166" s="388"/>
      <c r="J166" s="293"/>
      <c r="K166" s="293"/>
      <c r="L166" s="293"/>
      <c r="M166" s="389"/>
      <c r="N166" s="413" t="str">
        <f t="shared" si="12"/>
        <v xml:space="preserve"> </v>
      </c>
      <c r="O166" s="47"/>
      <c r="P166" s="418"/>
      <c r="Q166" s="418"/>
      <c r="R166" s="418"/>
      <c r="S166" s="32"/>
      <c r="T166" s="1261"/>
      <c r="U166" s="1261"/>
      <c r="V166" s="1261"/>
      <c r="W166" s="1261"/>
      <c r="X166" s="1261"/>
      <c r="Y166" s="1261"/>
      <c r="Z166" s="1261"/>
      <c r="AA166" s="1261"/>
      <c r="AB166" s="1261"/>
      <c r="AC166" s="1261"/>
      <c r="AD166" s="1261"/>
      <c r="AE166" s="1261"/>
      <c r="AF166" s="1261"/>
      <c r="AG166" s="1261"/>
      <c r="AH166" s="1261"/>
      <c r="AI166" s="1261"/>
      <c r="AJ166" s="1261"/>
      <c r="AK166" s="1261"/>
      <c r="AL166" s="1261"/>
      <c r="AM166" s="1261"/>
      <c r="AN166" s="1261"/>
      <c r="AO166" s="1261"/>
      <c r="AP166" s="1261"/>
      <c r="AQ166" s="1261"/>
      <c r="AR166" s="1261"/>
      <c r="AS166" s="1261"/>
      <c r="AT166" s="1261"/>
      <c r="AU166" s="1261"/>
      <c r="AV166" s="1261"/>
      <c r="AW166" s="1261"/>
      <c r="AX166" s="1261"/>
      <c r="AY166" s="1261"/>
      <c r="AZ166" s="1261"/>
      <c r="BA166" s="1261"/>
    </row>
    <row r="167" spans="2:54">
      <c r="B167" s="1258" t="s">
        <v>556</v>
      </c>
      <c r="C167" s="1259"/>
      <c r="D167" s="1259"/>
      <c r="E167" s="1259"/>
      <c r="F167" s="1259"/>
      <c r="G167" s="1260"/>
      <c r="H167" s="417">
        <f>H142+H166</f>
        <v>71270</v>
      </c>
      <c r="I167" s="388"/>
      <c r="J167" s="293"/>
      <c r="K167" s="293"/>
      <c r="L167" s="293"/>
      <c r="M167" s="389"/>
      <c r="N167" s="413" t="str">
        <f t="shared" si="12"/>
        <v xml:space="preserve"> </v>
      </c>
      <c r="O167" s="212"/>
      <c r="P167" s="418"/>
      <c r="Q167" s="418"/>
      <c r="R167" s="418"/>
      <c r="S167" s="207"/>
      <c r="T167" s="1300"/>
      <c r="U167" s="1301"/>
      <c r="V167" s="1301"/>
      <c r="W167" s="1301"/>
      <c r="X167" s="1301"/>
      <c r="Y167" s="1301"/>
      <c r="Z167" s="1301"/>
      <c r="AA167" s="1301"/>
      <c r="AB167" s="1301"/>
      <c r="AC167" s="1301"/>
      <c r="AD167" s="1301"/>
      <c r="AE167" s="1301"/>
      <c r="AF167" s="1301"/>
      <c r="AG167" s="1301"/>
      <c r="AH167" s="1301"/>
      <c r="AI167" s="1301"/>
      <c r="AJ167" s="1301"/>
      <c r="AK167" s="1301"/>
      <c r="AL167" s="1301"/>
      <c r="AM167" s="1301"/>
      <c r="AN167" s="1301"/>
      <c r="AO167" s="1301"/>
      <c r="AP167" s="1301"/>
      <c r="AQ167" s="1301"/>
      <c r="AR167" s="1301"/>
      <c r="AS167" s="1301"/>
      <c r="AT167" s="1301"/>
      <c r="AU167" s="1301"/>
      <c r="AV167" s="1301"/>
      <c r="AW167" s="1301"/>
      <c r="AX167" s="1301"/>
      <c r="AY167" s="1301"/>
      <c r="AZ167" s="1301"/>
      <c r="BA167" s="1301"/>
    </row>
    <row r="168" spans="2:54">
      <c r="B168" s="1243" t="s">
        <v>557</v>
      </c>
      <c r="C168" s="1244"/>
      <c r="D168" s="1244"/>
      <c r="E168" s="1244"/>
      <c r="F168" s="1244"/>
      <c r="G168" s="1245"/>
      <c r="H168" s="419">
        <v>71270</v>
      </c>
      <c r="I168" s="1273"/>
      <c r="J168" s="1274"/>
      <c r="K168" s="1274"/>
      <c r="L168" s="1274"/>
      <c r="M168" s="1275"/>
      <c r="N168" s="413" t="str">
        <f t="shared" si="12"/>
        <v xml:space="preserve"> </v>
      </c>
      <c r="O168" s="32"/>
      <c r="P168" s="415"/>
      <c r="Q168" s="415"/>
      <c r="R168" s="415"/>
      <c r="S168" s="63"/>
      <c r="T168" s="416">
        <f>SUM(T139:T165)</f>
        <v>0</v>
      </c>
      <c r="U168" s="416">
        <f t="shared" ref="U168:BA168" si="14">SUM(U139:U165)</f>
        <v>0</v>
      </c>
      <c r="V168" s="416">
        <f t="shared" si="14"/>
        <v>0</v>
      </c>
      <c r="W168" s="416">
        <f t="shared" si="14"/>
        <v>0</v>
      </c>
      <c r="X168" s="416">
        <f t="shared" si="14"/>
        <v>0</v>
      </c>
      <c r="Y168" s="416">
        <f t="shared" si="14"/>
        <v>50130.608</v>
      </c>
      <c r="Z168" s="416">
        <f t="shared" si="14"/>
        <v>0</v>
      </c>
      <c r="AA168" s="416">
        <f t="shared" si="14"/>
        <v>0</v>
      </c>
      <c r="AB168" s="416">
        <f t="shared" si="14"/>
        <v>0</v>
      </c>
      <c r="AC168" s="416">
        <f t="shared" si="14"/>
        <v>0</v>
      </c>
      <c r="AD168" s="416">
        <f t="shared" si="14"/>
        <v>0</v>
      </c>
      <c r="AE168" s="416">
        <f t="shared" si="14"/>
        <v>0</v>
      </c>
      <c r="AF168" s="416">
        <f t="shared" si="14"/>
        <v>0</v>
      </c>
      <c r="AG168" s="416">
        <f t="shared" si="14"/>
        <v>0</v>
      </c>
      <c r="AH168" s="416">
        <f t="shared" si="14"/>
        <v>0</v>
      </c>
      <c r="AI168" s="416">
        <f t="shared" si="14"/>
        <v>0</v>
      </c>
      <c r="AJ168" s="416">
        <f t="shared" si="14"/>
        <v>7500</v>
      </c>
      <c r="AK168" s="416">
        <f t="shared" si="14"/>
        <v>7500</v>
      </c>
      <c r="AL168" s="416">
        <f t="shared" si="14"/>
        <v>0</v>
      </c>
      <c r="AM168" s="416">
        <f t="shared" si="14"/>
        <v>0</v>
      </c>
      <c r="AN168" s="416">
        <f t="shared" si="14"/>
        <v>0</v>
      </c>
      <c r="AO168" s="416">
        <f t="shared" si="14"/>
        <v>0</v>
      </c>
      <c r="AP168" s="416">
        <f t="shared" si="14"/>
        <v>0</v>
      </c>
      <c r="AQ168" s="416">
        <f t="shared" si="14"/>
        <v>0</v>
      </c>
      <c r="AR168" s="416">
        <f t="shared" si="14"/>
        <v>0</v>
      </c>
      <c r="AS168" s="416">
        <f t="shared" si="14"/>
        <v>0</v>
      </c>
      <c r="AT168" s="416">
        <f t="shared" si="14"/>
        <v>0</v>
      </c>
      <c r="AU168" s="416">
        <f t="shared" si="14"/>
        <v>0</v>
      </c>
      <c r="AV168" s="416">
        <f t="shared" si="14"/>
        <v>0</v>
      </c>
      <c r="AW168" s="416">
        <f t="shared" si="14"/>
        <v>0</v>
      </c>
      <c r="AX168" s="416">
        <f t="shared" si="14"/>
        <v>0</v>
      </c>
      <c r="AY168" s="416">
        <f t="shared" si="14"/>
        <v>6139.3919999999998</v>
      </c>
      <c r="AZ168" s="416">
        <f t="shared" si="14"/>
        <v>0</v>
      </c>
      <c r="BA168" s="416">
        <f t="shared" si="14"/>
        <v>0</v>
      </c>
      <c r="BB168" s="416">
        <f>SUM(T168:BA168)</f>
        <v>71270</v>
      </c>
    </row>
    <row r="169" spans="2:54">
      <c r="B169" s="1243" t="s">
        <v>558</v>
      </c>
      <c r="C169" s="1244"/>
      <c r="D169" s="1244"/>
      <c r="E169" s="1244"/>
      <c r="F169" s="1244"/>
      <c r="G169" s="1245"/>
      <c r="H169" s="420">
        <f>H168-L133</f>
        <v>0</v>
      </c>
      <c r="I169" s="294"/>
      <c r="J169" s="295"/>
      <c r="K169" s="295"/>
      <c r="L169" s="296"/>
      <c r="M169" s="32"/>
      <c r="N169" s="32"/>
      <c r="O169" s="32"/>
      <c r="P169" s="32"/>
      <c r="Q169" s="297"/>
      <c r="R169" s="297"/>
      <c r="S169" s="32"/>
      <c r="T169" s="48"/>
      <c r="U169" s="48"/>
      <c r="V169" s="48"/>
      <c r="W169" s="48"/>
      <c r="X169" s="48"/>
      <c r="Y169" s="48"/>
      <c r="Z169" s="48"/>
      <c r="AA169" s="48"/>
      <c r="AB169" s="48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</row>
    <row r="170" spans="2:54">
      <c r="B170" s="1243" t="s">
        <v>559</v>
      </c>
      <c r="C170" s="1244"/>
      <c r="D170" s="1244"/>
      <c r="E170" s="1244"/>
      <c r="F170" s="1244"/>
      <c r="G170" s="1245"/>
      <c r="H170" s="446">
        <v>3018.2429999999999</v>
      </c>
      <c r="I170" s="52"/>
      <c r="J170" s="53"/>
      <c r="K170" s="53"/>
      <c r="L170" s="54"/>
      <c r="M170" s="32"/>
      <c r="N170" s="201"/>
      <c r="O170" s="32"/>
      <c r="P170" s="32"/>
      <c r="Q170" s="32"/>
      <c r="R170" s="32"/>
      <c r="S170" s="32"/>
      <c r="T170" s="48"/>
      <c r="U170" s="48"/>
      <c r="V170" s="48"/>
      <c r="W170" s="48"/>
      <c r="X170" s="48"/>
      <c r="Y170" s="48"/>
      <c r="Z170" s="48"/>
      <c r="AA170" s="48"/>
      <c r="AB170" s="48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</row>
    <row r="171" spans="2:54">
      <c r="B171" s="1243" t="s">
        <v>560</v>
      </c>
      <c r="C171" s="1244"/>
      <c r="D171" s="1244"/>
      <c r="E171" s="1244"/>
      <c r="F171" s="1244"/>
      <c r="G171" s="1245"/>
      <c r="H171" s="421">
        <f>H170-3367.753</f>
        <v>-349.51000000000022</v>
      </c>
      <c r="I171" s="52"/>
      <c r="J171" s="53"/>
      <c r="K171" s="53"/>
      <c r="L171" s="54"/>
      <c r="M171" s="32"/>
      <c r="N171" s="32"/>
      <c r="O171" s="32"/>
      <c r="P171" s="32"/>
      <c r="Q171" s="32"/>
      <c r="R171" s="32"/>
      <c r="S171" s="48"/>
      <c r="T171" s="48"/>
      <c r="U171" s="48"/>
      <c r="V171" s="48"/>
      <c r="W171" s="48"/>
      <c r="X171" s="48"/>
      <c r="Y171" s="48"/>
      <c r="Z171" s="48"/>
      <c r="AA171" s="48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2:54">
      <c r="B172" s="201"/>
      <c r="C172" s="201"/>
      <c r="D172" s="201"/>
      <c r="E172" s="201"/>
      <c r="F172" s="201"/>
      <c r="G172" s="201"/>
      <c r="H172" s="201"/>
      <c r="I172" s="213"/>
      <c r="J172" s="209"/>
      <c r="K172" s="209"/>
      <c r="L172" s="203"/>
      <c r="M172" s="201"/>
      <c r="N172" s="201"/>
      <c r="O172" s="209"/>
      <c r="P172" s="32"/>
      <c r="Q172" s="32"/>
      <c r="R172" s="32"/>
      <c r="S172" s="32"/>
      <c r="T172" s="48"/>
      <c r="U172" s="48"/>
      <c r="V172" s="48"/>
      <c r="W172" s="48"/>
      <c r="X172" s="48"/>
      <c r="Y172" s="48"/>
      <c r="Z172" s="48"/>
      <c r="AA172" s="48"/>
      <c r="AB172" s="48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</row>
    <row r="173" spans="2:54">
      <c r="B173" s="40" t="s">
        <v>561</v>
      </c>
      <c r="C173" s="40"/>
      <c r="D173" s="32"/>
      <c r="E173" s="32"/>
      <c r="F173" s="32"/>
      <c r="G173" s="32"/>
      <c r="H173" s="32"/>
      <c r="I173" s="32"/>
      <c r="J173" s="52"/>
      <c r="K173" s="52"/>
      <c r="L173" s="55"/>
      <c r="M173" s="32"/>
      <c r="N173" s="201"/>
      <c r="O173" s="5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1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201"/>
      <c r="AQ173" s="201"/>
      <c r="AR173" s="201"/>
      <c r="AS173" s="201"/>
      <c r="AT173" s="201"/>
      <c r="AU173" s="201"/>
      <c r="BB173" s="201"/>
    </row>
    <row r="174" spans="2:54">
      <c r="B174" s="422">
        <v>1</v>
      </c>
      <c r="C174" s="1291" t="s">
        <v>2267</v>
      </c>
      <c r="D174" s="1292"/>
      <c r="E174" s="1292"/>
      <c r="F174" s="1292"/>
      <c r="G174" s="1292"/>
      <c r="H174" s="1292"/>
      <c r="I174" s="1292"/>
      <c r="J174" s="1292"/>
      <c r="K174" s="1293"/>
      <c r="L174" s="203"/>
      <c r="M174" s="203"/>
      <c r="N174" s="201"/>
      <c r="O174" s="209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1"/>
      <c r="AC174" s="201"/>
      <c r="AD174" s="201"/>
      <c r="AE174" s="201"/>
      <c r="AF174" s="201"/>
      <c r="AG174" s="201"/>
      <c r="AH174" s="201"/>
      <c r="AI174" s="201"/>
      <c r="AJ174" s="201"/>
      <c r="AK174" s="201"/>
      <c r="AL174" s="201"/>
      <c r="AM174" s="201"/>
      <c r="AN174" s="201"/>
      <c r="AO174" s="201"/>
      <c r="AP174" s="201"/>
      <c r="AQ174" s="201"/>
      <c r="AR174" s="201"/>
      <c r="AS174" s="201"/>
      <c r="AT174" s="201"/>
      <c r="AU174" s="201"/>
      <c r="AV174" s="201"/>
      <c r="AW174" s="201"/>
      <c r="AX174" s="201"/>
      <c r="AY174" s="201"/>
      <c r="AZ174" s="201"/>
      <c r="BA174" s="201"/>
      <c r="BB174" s="201"/>
    </row>
    <row r="176" spans="2:54">
      <c r="B176" s="28" t="s">
        <v>126</v>
      </c>
      <c r="C176" s="28"/>
      <c r="D176" s="29"/>
      <c r="E176" s="30" t="s">
        <v>511</v>
      </c>
      <c r="F176" s="31" t="s">
        <v>745</v>
      </c>
      <c r="G176" s="32"/>
      <c r="H176" s="33"/>
      <c r="I176" s="34"/>
      <c r="J176" s="35" t="s">
        <v>513</v>
      </c>
      <c r="K176" s="36" t="s">
        <v>511</v>
      </c>
      <c r="L176" s="37">
        <v>45147.0625</v>
      </c>
      <c r="M176" s="32"/>
      <c r="N176" s="32"/>
      <c r="O176" s="206"/>
      <c r="P176" s="205"/>
      <c r="Q176" s="202"/>
      <c r="R176" s="204"/>
      <c r="S176" s="38"/>
      <c r="T176" s="201"/>
      <c r="U176" s="201"/>
      <c r="V176" s="201"/>
      <c r="W176" s="201"/>
      <c r="X176" s="201"/>
      <c r="Y176" s="201"/>
      <c r="Z176" s="201"/>
      <c r="AA176" s="201"/>
      <c r="AB176" s="202"/>
      <c r="AC176" s="202"/>
      <c r="AD176" s="202"/>
      <c r="AE176" s="202"/>
      <c r="AF176" s="202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  <c r="AQ176" s="201"/>
      <c r="AR176" s="201"/>
      <c r="AS176" s="201"/>
      <c r="AT176" s="201"/>
      <c r="AU176" s="201"/>
      <c r="AV176" s="201"/>
      <c r="AW176" s="201"/>
      <c r="AX176" s="201"/>
      <c r="AY176" s="201"/>
      <c r="AZ176" s="201"/>
      <c r="BA176" s="201"/>
      <c r="BB176" s="201"/>
    </row>
    <row r="177" spans="2:54">
      <c r="B177" s="35" t="s">
        <v>514</v>
      </c>
      <c r="C177" s="35"/>
      <c r="D177" s="32"/>
      <c r="E177" s="36" t="s">
        <v>511</v>
      </c>
      <c r="F177" s="311" t="s">
        <v>2268</v>
      </c>
      <c r="G177" s="32"/>
      <c r="H177" s="33"/>
      <c r="I177" s="34"/>
      <c r="J177" s="35" t="s">
        <v>516</v>
      </c>
      <c r="K177" s="36" t="s">
        <v>511</v>
      </c>
      <c r="L177" s="37">
        <v>45150.798611111109</v>
      </c>
      <c r="M177" s="32"/>
      <c r="N177" s="32"/>
      <c r="O177" s="206"/>
      <c r="P177" s="205"/>
      <c r="Q177" s="202"/>
      <c r="R177" s="204"/>
      <c r="S177" s="38"/>
      <c r="T177" s="201"/>
      <c r="U177" s="201"/>
      <c r="V177" s="201"/>
      <c r="W177" s="201"/>
      <c r="X177" s="201"/>
      <c r="Y177" s="201"/>
      <c r="Z177" s="201"/>
      <c r="AA177" s="201"/>
      <c r="AB177" s="202"/>
      <c r="AC177" s="202"/>
      <c r="AD177" s="202"/>
      <c r="AE177" s="202"/>
      <c r="AF177" s="202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  <c r="AQ177" s="201"/>
      <c r="AR177" s="201"/>
      <c r="AS177" s="201"/>
      <c r="AT177" s="201"/>
      <c r="AU177" s="201"/>
      <c r="AV177" s="201"/>
      <c r="AW177" s="201"/>
      <c r="AX177" s="201"/>
      <c r="AY177" s="201"/>
      <c r="AZ177" s="201"/>
      <c r="BA177" s="201"/>
      <c r="BB177" s="201"/>
    </row>
    <row r="178" spans="2:54">
      <c r="B178" s="35" t="s">
        <v>517</v>
      </c>
      <c r="C178" s="35"/>
      <c r="D178" s="32"/>
      <c r="E178" s="36" t="s">
        <v>511</v>
      </c>
      <c r="F178" s="37">
        <v>45146.677083333336</v>
      </c>
      <c r="G178" s="32"/>
      <c r="H178" s="33"/>
      <c r="I178" s="34"/>
      <c r="J178" s="35" t="s">
        <v>518</v>
      </c>
      <c r="K178" s="36" t="s">
        <v>511</v>
      </c>
      <c r="L178" s="50">
        <v>54000</v>
      </c>
      <c r="M178" s="40" t="s">
        <v>519</v>
      </c>
      <c r="N178" s="40"/>
      <c r="O178" s="206"/>
      <c r="P178" s="205"/>
      <c r="Q178" s="202"/>
      <c r="R178" s="204"/>
      <c r="S178" s="38"/>
      <c r="T178" s="201"/>
      <c r="U178" s="201"/>
      <c r="V178" s="201"/>
      <c r="W178" s="201"/>
      <c r="X178" s="201"/>
      <c r="Y178" s="201"/>
      <c r="Z178" s="201"/>
      <c r="AA178" s="201"/>
      <c r="AB178" s="202"/>
      <c r="AC178" s="202"/>
      <c r="AD178" s="202"/>
      <c r="AE178" s="202"/>
      <c r="AF178" s="202"/>
      <c r="AG178" s="201"/>
      <c r="AH178" s="201"/>
      <c r="AI178" s="201"/>
      <c r="AJ178" s="201"/>
      <c r="AK178" s="201"/>
      <c r="AL178" s="201"/>
      <c r="AM178" s="201"/>
      <c r="AN178" s="201"/>
      <c r="AO178" s="201"/>
      <c r="AP178" s="201"/>
      <c r="AQ178" s="201"/>
      <c r="AR178" s="201"/>
      <c r="AS178" s="201"/>
      <c r="AT178" s="201"/>
      <c r="AU178" s="201"/>
      <c r="AV178" s="201"/>
      <c r="AW178" s="201"/>
      <c r="AX178" s="201"/>
      <c r="AY178" s="201"/>
      <c r="AZ178" s="201"/>
      <c r="BA178" s="201"/>
      <c r="BB178" s="201"/>
    </row>
    <row r="179" spans="2:54">
      <c r="B179" s="35" t="s">
        <v>520</v>
      </c>
      <c r="C179" s="35"/>
      <c r="D179" s="32"/>
      <c r="E179" s="36" t="s">
        <v>511</v>
      </c>
      <c r="F179" s="37" t="s">
        <v>12</v>
      </c>
      <c r="G179" s="32"/>
      <c r="H179" s="33"/>
      <c r="I179" s="34"/>
      <c r="J179" s="35" t="s">
        <v>521</v>
      </c>
      <c r="K179" s="36" t="s">
        <v>511</v>
      </c>
      <c r="L179" s="41" t="s">
        <v>2269</v>
      </c>
      <c r="M179" s="32"/>
      <c r="N179" s="32"/>
      <c r="O179" s="206"/>
      <c r="P179" s="202"/>
      <c r="Q179" s="202"/>
      <c r="R179" s="204"/>
      <c r="S179" s="38"/>
      <c r="T179" s="201"/>
      <c r="U179" s="201"/>
      <c r="V179" s="201"/>
      <c r="W179" s="201"/>
      <c r="X179" s="201"/>
      <c r="Y179" s="201"/>
      <c r="Z179" s="201"/>
      <c r="AA179" s="201"/>
      <c r="AB179" s="202"/>
      <c r="AC179" s="202"/>
      <c r="AD179" s="202"/>
      <c r="AE179" s="202"/>
      <c r="AF179" s="202"/>
      <c r="AG179" s="201"/>
      <c r="AH179" s="201"/>
      <c r="AI179" s="201"/>
      <c r="AJ179" s="201"/>
      <c r="AK179" s="201"/>
      <c r="AL179" s="201"/>
      <c r="AM179" s="201"/>
      <c r="AN179" s="201"/>
      <c r="AO179" s="201"/>
      <c r="AP179" s="201"/>
      <c r="AQ179" s="201"/>
      <c r="AR179" s="201"/>
      <c r="AS179" s="201"/>
      <c r="AT179" s="201"/>
      <c r="AU179" s="201"/>
      <c r="AV179" s="201"/>
      <c r="AW179" s="201"/>
      <c r="AX179" s="201"/>
      <c r="AY179" s="201"/>
      <c r="AZ179" s="201"/>
      <c r="BA179" s="201"/>
      <c r="BB179" s="201"/>
    </row>
    <row r="180" spans="2:54">
      <c r="B180" s="35" t="s">
        <v>523</v>
      </c>
      <c r="C180" s="35"/>
      <c r="D180" s="32"/>
      <c r="E180" s="36" t="s">
        <v>511</v>
      </c>
      <c r="F180" s="37" t="s">
        <v>41</v>
      </c>
      <c r="G180" s="32"/>
      <c r="H180" s="33"/>
      <c r="I180" s="34"/>
      <c r="J180" s="42" t="s">
        <v>524</v>
      </c>
      <c r="K180" s="36" t="s">
        <v>511</v>
      </c>
      <c r="L180" s="43" t="s">
        <v>11</v>
      </c>
      <c r="M180" s="44"/>
      <c r="N180" s="44"/>
      <c r="O180" s="206"/>
      <c r="P180" s="205"/>
      <c r="Q180" s="202"/>
      <c r="R180" s="204"/>
      <c r="S180" s="38"/>
      <c r="T180" s="201"/>
      <c r="U180" s="201"/>
      <c r="V180" s="201"/>
      <c r="W180" s="201"/>
      <c r="X180" s="201"/>
      <c r="Y180" s="201"/>
      <c r="Z180" s="201"/>
      <c r="AA180" s="201"/>
      <c r="AB180" s="202"/>
      <c r="AC180" s="202"/>
      <c r="AD180" s="202"/>
      <c r="AE180" s="202"/>
      <c r="AF180" s="202"/>
      <c r="AG180" s="201"/>
      <c r="AH180" s="201"/>
      <c r="AI180" s="201"/>
      <c r="AJ180" s="201"/>
      <c r="AK180" s="201"/>
      <c r="AL180" s="201"/>
      <c r="AM180" s="201"/>
      <c r="AN180" s="201"/>
      <c r="AO180" s="201"/>
      <c r="AP180" s="201"/>
      <c r="AQ180" s="201"/>
      <c r="AR180" s="201"/>
      <c r="AS180" s="201"/>
      <c r="AT180" s="201"/>
      <c r="AU180" s="201"/>
      <c r="AV180" s="201"/>
      <c r="AW180" s="201"/>
      <c r="AX180" s="201"/>
      <c r="AY180" s="201"/>
      <c r="AZ180" s="201"/>
      <c r="BA180" s="201"/>
      <c r="BB180" s="201"/>
    </row>
    <row r="181" spans="2:54">
      <c r="B181" s="35" t="s">
        <v>2</v>
      </c>
      <c r="C181" s="35"/>
      <c r="D181" s="32"/>
      <c r="E181" s="36" t="s">
        <v>511</v>
      </c>
      <c r="F181" s="37" t="s">
        <v>14</v>
      </c>
      <c r="G181" s="32"/>
      <c r="H181" s="33"/>
      <c r="I181" s="45"/>
      <c r="J181" s="42"/>
      <c r="K181" s="36"/>
      <c r="L181" s="211"/>
      <c r="M181" s="201"/>
      <c r="N181" s="201"/>
      <c r="O181" s="42"/>
      <c r="P181" s="44"/>
      <c r="Q181" s="44"/>
      <c r="R181" s="44"/>
      <c r="S181" s="34"/>
      <c r="T181" s="201"/>
      <c r="U181" s="201"/>
      <c r="V181" s="201"/>
      <c r="W181" s="201"/>
      <c r="X181" s="201"/>
      <c r="Y181" s="201"/>
      <c r="Z181" s="201"/>
      <c r="AA181" s="201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201"/>
      <c r="AP181" s="201"/>
      <c r="AQ181" s="201"/>
      <c r="AR181" s="201"/>
      <c r="AS181" s="201"/>
      <c r="AT181" s="201"/>
      <c r="AU181" s="201"/>
      <c r="AV181" s="201"/>
      <c r="AW181" s="201"/>
      <c r="AX181" s="201"/>
      <c r="AY181" s="201"/>
      <c r="AZ181" s="201"/>
      <c r="BA181" s="201"/>
      <c r="BB181" s="201"/>
    </row>
    <row r="182" spans="2:54">
      <c r="B182" s="201"/>
      <c r="C182" s="201"/>
      <c r="D182" s="201"/>
      <c r="E182" s="201"/>
      <c r="F182" s="201"/>
      <c r="G182" s="201"/>
      <c r="H182" s="201"/>
      <c r="I182" s="45"/>
      <c r="J182" s="42"/>
      <c r="K182" s="42"/>
      <c r="L182" s="43"/>
      <c r="M182" s="44"/>
      <c r="N182" s="44"/>
      <c r="O182" s="42"/>
      <c r="P182" s="44"/>
      <c r="Q182" s="44"/>
      <c r="R182" s="44"/>
      <c r="S182" s="34"/>
      <c r="T182" s="1265" t="s">
        <v>87</v>
      </c>
      <c r="U182" s="1265"/>
      <c r="V182" s="1265"/>
      <c r="W182" s="1265"/>
      <c r="X182" s="1265"/>
      <c r="Y182" s="1265" t="s">
        <v>73</v>
      </c>
      <c r="Z182" s="1265"/>
      <c r="AA182" s="1265"/>
      <c r="AB182" s="1265" t="s">
        <v>74</v>
      </c>
      <c r="AC182" s="1265"/>
      <c r="AD182" s="423" t="s">
        <v>85</v>
      </c>
      <c r="AE182" s="423" t="s">
        <v>77</v>
      </c>
      <c r="AF182" s="1265" t="s">
        <v>525</v>
      </c>
      <c r="AG182" s="1265"/>
      <c r="AH182" s="1265"/>
      <c r="AI182" s="1265"/>
      <c r="AJ182" s="1265"/>
      <c r="AK182" s="1265"/>
      <c r="AL182" s="1265"/>
      <c r="AM182" s="1265"/>
      <c r="AN182" s="1265"/>
      <c r="AO182" s="1265"/>
      <c r="AP182" s="1265"/>
      <c r="AQ182" s="1265"/>
      <c r="AR182" s="1265"/>
      <c r="AS182" s="1265"/>
      <c r="AT182" s="1265"/>
      <c r="AU182" s="1265"/>
      <c r="AV182" s="1265"/>
      <c r="AW182" s="1265"/>
      <c r="AX182" s="1265"/>
      <c r="AY182" s="1265"/>
      <c r="AZ182" s="1265"/>
      <c r="BA182" s="1265"/>
      <c r="BB182" s="201"/>
    </row>
    <row r="183" spans="2:54">
      <c r="B183" s="1266" t="s">
        <v>526</v>
      </c>
      <c r="C183" s="1267"/>
      <c r="D183" s="570" t="s">
        <v>527</v>
      </c>
      <c r="E183" s="570"/>
      <c r="F183" s="570" t="s">
        <v>528</v>
      </c>
      <c r="G183" s="570" t="s">
        <v>529</v>
      </c>
      <c r="H183" s="570" t="s">
        <v>530</v>
      </c>
      <c r="I183" s="570" t="s">
        <v>531</v>
      </c>
      <c r="J183" s="570" t="s">
        <v>532</v>
      </c>
      <c r="K183" s="570"/>
      <c r="L183" s="570" t="s">
        <v>130</v>
      </c>
      <c r="M183" s="570" t="s">
        <v>533</v>
      </c>
      <c r="N183" s="408" t="str">
        <f>"On time - "&amp;COUNTIF(N184:N195,"On time")&amp;" from "&amp;ROWS(N184:N195)-COUNTIF(N184:N195," ")</f>
        <v>On time - 6 from 9</v>
      </c>
      <c r="O183" s="46"/>
      <c r="P183" s="409" t="s">
        <v>534</v>
      </c>
      <c r="Q183" s="409" t="s">
        <v>535</v>
      </c>
      <c r="R183" s="409" t="s">
        <v>536</v>
      </c>
      <c r="S183" s="32"/>
      <c r="T183" s="424" t="s">
        <v>537</v>
      </c>
      <c r="U183" s="424" t="s">
        <v>538</v>
      </c>
      <c r="V183" s="424" t="s">
        <v>539</v>
      </c>
      <c r="W183" s="424" t="s">
        <v>540</v>
      </c>
      <c r="X183" s="424" t="s">
        <v>541</v>
      </c>
      <c r="Y183" s="424" t="s">
        <v>167</v>
      </c>
      <c r="Z183" s="424" t="s">
        <v>168</v>
      </c>
      <c r="AA183" s="424" t="s">
        <v>169</v>
      </c>
      <c r="AB183" s="424" t="s">
        <v>235</v>
      </c>
      <c r="AC183" s="424" t="s">
        <v>240</v>
      </c>
      <c r="AD183" s="423" t="s">
        <v>85</v>
      </c>
      <c r="AE183" s="424" t="s">
        <v>139</v>
      </c>
      <c r="AF183" s="424" t="s">
        <v>72</v>
      </c>
      <c r="AG183" s="424" t="s">
        <v>88</v>
      </c>
      <c r="AH183" s="424" t="s">
        <v>75</v>
      </c>
      <c r="AI183" s="424" t="s">
        <v>543</v>
      </c>
      <c r="AJ183" s="424" t="s">
        <v>78</v>
      </c>
      <c r="AK183" s="424" t="s">
        <v>76</v>
      </c>
      <c r="AL183" s="424" t="s">
        <v>544</v>
      </c>
      <c r="AM183" s="424" t="s">
        <v>545</v>
      </c>
      <c r="AN183" s="424" t="s">
        <v>86</v>
      </c>
      <c r="AO183" s="424" t="s">
        <v>83</v>
      </c>
      <c r="AP183" s="424" t="s">
        <v>84</v>
      </c>
      <c r="AQ183" s="424" t="s">
        <v>546</v>
      </c>
      <c r="AR183" s="424" t="s">
        <v>81</v>
      </c>
      <c r="AS183" s="424" t="s">
        <v>80</v>
      </c>
      <c r="AT183" s="424" t="s">
        <v>82</v>
      </c>
      <c r="AU183" s="424" t="s">
        <v>181</v>
      </c>
      <c r="AV183" s="424" t="s">
        <v>183</v>
      </c>
      <c r="AW183" s="424" t="s">
        <v>547</v>
      </c>
      <c r="AX183" s="424" t="s">
        <v>182</v>
      </c>
      <c r="AY183" s="424" t="s">
        <v>172</v>
      </c>
      <c r="AZ183" s="424" t="s">
        <v>173</v>
      </c>
      <c r="BA183" s="424" t="s">
        <v>184</v>
      </c>
      <c r="BB183" s="201"/>
    </row>
    <row r="184" spans="2:54">
      <c r="B184" s="1250" t="s">
        <v>643</v>
      </c>
      <c r="C184" s="1251"/>
      <c r="D184" s="411" t="s">
        <v>2270</v>
      </c>
      <c r="E184" s="411"/>
      <c r="F184" s="411" t="s">
        <v>1848</v>
      </c>
      <c r="G184" s="411" t="s">
        <v>350</v>
      </c>
      <c r="H184" s="412">
        <v>6708.27</v>
      </c>
      <c r="I184" s="413" t="s">
        <v>494</v>
      </c>
      <c r="J184" s="414">
        <v>45146.416666666664</v>
      </c>
      <c r="K184" s="414"/>
      <c r="L184" s="414" t="s">
        <v>192</v>
      </c>
      <c r="M184" s="414" t="s">
        <v>192</v>
      </c>
      <c r="N184" s="413" t="str">
        <f>IF(ISBLANK(J184)," ",IF(J184&lt;$F$178,"On time",(IF(DAY(J184-$F$178)&lt;1,"On time",(IF(J184&gt;$F$178,"DELAY ( "&amp;DAY(J184-$F$178)&amp;" day "&amp;HOUR(J184-$F$178)&amp;" hour "&amp;MINUTE(J184-$F$178)&amp;" minute )","xxx"))))))</f>
        <v>On time</v>
      </c>
      <c r="O184" s="51"/>
      <c r="P184" s="415" t="s">
        <v>551</v>
      </c>
      <c r="Q184" s="415" t="s">
        <v>551</v>
      </c>
      <c r="R184" s="415" t="s">
        <v>551</v>
      </c>
      <c r="S184" s="32"/>
      <c r="T184" s="416"/>
      <c r="U184" s="416"/>
      <c r="V184" s="416"/>
      <c r="W184" s="416"/>
      <c r="X184" s="416"/>
      <c r="Y184" s="416">
        <f>H184</f>
        <v>6708.27</v>
      </c>
      <c r="Z184" s="416"/>
      <c r="AA184" s="416"/>
      <c r="AB184" s="416"/>
      <c r="AC184" s="416"/>
      <c r="AD184" s="416"/>
      <c r="AE184" s="416"/>
      <c r="AF184" s="416"/>
      <c r="AG184" s="416"/>
      <c r="AH184" s="416"/>
      <c r="AI184" s="416"/>
      <c r="AJ184" s="416"/>
      <c r="AK184" s="416"/>
      <c r="AL184" s="416"/>
      <c r="AM184" s="416"/>
      <c r="AN184" s="416"/>
      <c r="AO184" s="416"/>
      <c r="AP184" s="32"/>
      <c r="AQ184" s="416"/>
      <c r="AR184" s="416"/>
      <c r="AS184" s="416"/>
      <c r="AT184" s="416"/>
      <c r="AU184" s="416"/>
      <c r="AV184" s="416"/>
      <c r="AW184" s="416"/>
      <c r="AX184" s="416"/>
      <c r="AY184" s="416"/>
      <c r="AZ184" s="416"/>
      <c r="BA184" s="416"/>
      <c r="BB184" s="32"/>
    </row>
    <row r="185" spans="2:54">
      <c r="B185" s="1254"/>
      <c r="C185" s="1255"/>
      <c r="D185" s="411" t="s">
        <v>2271</v>
      </c>
      <c r="E185" s="425"/>
      <c r="F185" s="411" t="s">
        <v>2156</v>
      </c>
      <c r="G185" s="411" t="s">
        <v>1835</v>
      </c>
      <c r="H185" s="412">
        <f>6687.236/2</f>
        <v>3343.6179999999999</v>
      </c>
      <c r="I185" s="413" t="s">
        <v>173</v>
      </c>
      <c r="J185" s="1268">
        <v>45146.65625</v>
      </c>
      <c r="K185" s="414"/>
      <c r="L185" s="414" t="s">
        <v>192</v>
      </c>
      <c r="M185" s="414" t="s">
        <v>192</v>
      </c>
      <c r="N185" s="413" t="str">
        <f t="shared" ref="N185:N195" si="15">IF(ISBLANK(J185)," ",IF(J185&lt;$F$178,"On time",(IF(DAY(J185-$F$178)&lt;1,"On time",(IF(J185&gt;$F$178,"DELAY ( "&amp;DAY(J185-$F$178)&amp;" day "&amp;HOUR(J185-$F$178)&amp;" hour "&amp;MINUTE(J185-$F$178)&amp;" minute )","xxx"))))))</f>
        <v>On time</v>
      </c>
      <c r="O185" s="51"/>
      <c r="P185" s="415" t="s">
        <v>551</v>
      </c>
      <c r="Q185" s="415" t="s">
        <v>551</v>
      </c>
      <c r="R185" s="415" t="s">
        <v>551</v>
      </c>
      <c r="S185" s="32"/>
      <c r="T185" s="416"/>
      <c r="U185" s="416"/>
      <c r="V185" s="416"/>
      <c r="W185" s="416"/>
      <c r="X185" s="416"/>
      <c r="Y185" s="416"/>
      <c r="Z185" s="416"/>
      <c r="AA185" s="416"/>
      <c r="AB185" s="416"/>
      <c r="AC185" s="416"/>
      <c r="AD185" s="416"/>
      <c r="AE185" s="416"/>
      <c r="AF185" s="416"/>
      <c r="AG185" s="416"/>
      <c r="AH185" s="416"/>
      <c r="AI185" s="416"/>
      <c r="AJ185" s="416"/>
      <c r="AK185" s="416"/>
      <c r="AL185" s="416"/>
      <c r="AM185" s="416"/>
      <c r="AN185" s="416"/>
      <c r="AO185" s="416"/>
      <c r="AP185" s="416"/>
      <c r="AQ185" s="416"/>
      <c r="AR185" s="416"/>
      <c r="AS185" s="416"/>
      <c r="AT185" s="416"/>
      <c r="AU185" s="416"/>
      <c r="AV185" s="416"/>
      <c r="AW185" s="416"/>
      <c r="AX185" s="416"/>
      <c r="AY185" s="416"/>
      <c r="AZ185" s="416">
        <f>H185</f>
        <v>3343.6179999999999</v>
      </c>
      <c r="BA185" s="416"/>
      <c r="BB185" s="32"/>
    </row>
    <row r="186" spans="2:54">
      <c r="B186" s="1250" t="s">
        <v>652</v>
      </c>
      <c r="C186" s="1251"/>
      <c r="D186" s="411" t="s">
        <v>2271</v>
      </c>
      <c r="E186" s="425"/>
      <c r="F186" s="411" t="s">
        <v>2156</v>
      </c>
      <c r="G186" s="411" t="s">
        <v>1835</v>
      </c>
      <c r="H186" s="412">
        <f>H185</f>
        <v>3343.6179999999999</v>
      </c>
      <c r="I186" s="413" t="s">
        <v>173</v>
      </c>
      <c r="J186" s="1269"/>
      <c r="K186" s="414"/>
      <c r="L186" s="414" t="s">
        <v>192</v>
      </c>
      <c r="M186" s="414" t="s">
        <v>192</v>
      </c>
      <c r="N186" s="413" t="str">
        <f t="shared" si="15"/>
        <v xml:space="preserve"> </v>
      </c>
      <c r="O186" s="51"/>
      <c r="P186" s="415" t="s">
        <v>551</v>
      </c>
      <c r="Q186" s="415" t="s">
        <v>551</v>
      </c>
      <c r="R186" s="415" t="s">
        <v>551</v>
      </c>
      <c r="S186" s="32"/>
      <c r="T186" s="416"/>
      <c r="U186" s="416"/>
      <c r="V186" s="416"/>
      <c r="W186" s="416"/>
      <c r="X186" s="416"/>
      <c r="Y186" s="416"/>
      <c r="Z186" s="416"/>
      <c r="AA186" s="416"/>
      <c r="AB186" s="416"/>
      <c r="AC186" s="416"/>
      <c r="AD186" s="416"/>
      <c r="AE186" s="416"/>
      <c r="AF186" s="416"/>
      <c r="AG186" s="416"/>
      <c r="AH186" s="416"/>
      <c r="AI186" s="416"/>
      <c r="AJ186" s="416"/>
      <c r="AK186" s="416"/>
      <c r="AL186" s="416"/>
      <c r="AM186" s="416"/>
      <c r="AN186" s="416"/>
      <c r="AO186" s="416"/>
      <c r="AP186" s="416"/>
      <c r="AQ186" s="416"/>
      <c r="AR186" s="416"/>
      <c r="AS186" s="416"/>
      <c r="AT186" s="416"/>
      <c r="AU186" s="416"/>
      <c r="AV186" s="416"/>
      <c r="AW186" s="416"/>
      <c r="AX186" s="416"/>
      <c r="AY186" s="416"/>
      <c r="AZ186" s="416">
        <f>H186</f>
        <v>3343.6179999999999</v>
      </c>
      <c r="BA186" s="416"/>
      <c r="BB186" s="32"/>
    </row>
    <row r="187" spans="2:54">
      <c r="B187" s="1254"/>
      <c r="C187" s="1255"/>
      <c r="D187" s="411" t="s">
        <v>2272</v>
      </c>
      <c r="E187" s="411"/>
      <c r="F187" s="411" t="s">
        <v>367</v>
      </c>
      <c r="G187" s="411" t="s">
        <v>368</v>
      </c>
      <c r="H187" s="412">
        <v>7680.17</v>
      </c>
      <c r="I187" s="413" t="s">
        <v>494</v>
      </c>
      <c r="J187" s="414">
        <v>45146.666666666664</v>
      </c>
      <c r="K187" s="414"/>
      <c r="L187" s="414" t="s">
        <v>192</v>
      </c>
      <c r="M187" s="414" t="s">
        <v>192</v>
      </c>
      <c r="N187" s="413" t="str">
        <f t="shared" si="15"/>
        <v>On time</v>
      </c>
      <c r="O187" s="51"/>
      <c r="P187" s="415" t="s">
        <v>551</v>
      </c>
      <c r="Q187" s="415" t="s">
        <v>551</v>
      </c>
      <c r="R187" s="415" t="s">
        <v>551</v>
      </c>
      <c r="S187" s="32"/>
      <c r="T187" s="416"/>
      <c r="U187" s="416"/>
      <c r="V187" s="416"/>
      <c r="W187" s="416"/>
      <c r="X187" s="416"/>
      <c r="Y187" s="416">
        <f t="shared" ref="Y187" si="16">H187</f>
        <v>7680.17</v>
      </c>
      <c r="Z187" s="416"/>
      <c r="AA187" s="416"/>
      <c r="AB187" s="416"/>
      <c r="AC187" s="416"/>
      <c r="AD187" s="416"/>
      <c r="AE187" s="416"/>
      <c r="AF187" s="416"/>
      <c r="AG187" s="416"/>
      <c r="AH187" s="416"/>
      <c r="AI187" s="416"/>
      <c r="AJ187" s="416"/>
      <c r="AK187" s="416"/>
      <c r="AL187" s="416"/>
      <c r="AM187" s="416"/>
      <c r="AN187" s="416"/>
      <c r="AO187" s="416"/>
      <c r="AP187" s="416"/>
      <c r="AQ187" s="416"/>
      <c r="AR187" s="416"/>
      <c r="AS187" s="416"/>
      <c r="AT187" s="416"/>
      <c r="AU187" s="416"/>
      <c r="AV187" s="416"/>
      <c r="AW187" s="416"/>
      <c r="AX187" s="416"/>
      <c r="AY187" s="416"/>
      <c r="AZ187" s="416"/>
      <c r="BA187" s="416"/>
      <c r="BB187" s="32"/>
    </row>
    <row r="188" spans="2:54">
      <c r="B188" s="1250" t="s">
        <v>650</v>
      </c>
      <c r="C188" s="1251"/>
      <c r="D188" s="411" t="s">
        <v>2273</v>
      </c>
      <c r="E188" s="425"/>
      <c r="F188" s="411" t="s">
        <v>222</v>
      </c>
      <c r="G188" s="411" t="s">
        <v>223</v>
      </c>
      <c r="H188" s="412">
        <f>6350.524/3</f>
        <v>2116.8413333333333</v>
      </c>
      <c r="I188" s="413" t="s">
        <v>172</v>
      </c>
      <c r="J188" s="414">
        <v>45146.4375</v>
      </c>
      <c r="K188" s="414"/>
      <c r="L188" s="414" t="s">
        <v>192</v>
      </c>
      <c r="M188" s="414" t="s">
        <v>192</v>
      </c>
      <c r="N188" s="413" t="str">
        <f t="shared" si="15"/>
        <v>On time</v>
      </c>
      <c r="O188" s="51"/>
      <c r="P188" s="415" t="s">
        <v>551</v>
      </c>
      <c r="Q188" s="415" t="s">
        <v>551</v>
      </c>
      <c r="R188" s="415" t="s">
        <v>551</v>
      </c>
      <c r="S188" s="32"/>
      <c r="T188" s="416"/>
      <c r="U188" s="416"/>
      <c r="V188" s="416"/>
      <c r="W188" s="416"/>
      <c r="X188" s="416"/>
      <c r="Y188" s="416"/>
      <c r="Z188" s="416"/>
      <c r="AA188" s="416"/>
      <c r="AB188" s="416"/>
      <c r="AC188" s="416"/>
      <c r="AD188" s="416"/>
      <c r="AE188" s="416"/>
      <c r="AF188" s="416"/>
      <c r="AG188" s="416"/>
      <c r="AH188" s="416"/>
      <c r="AI188" s="416"/>
      <c r="AJ188" s="32"/>
      <c r="AK188" s="416"/>
      <c r="AL188" s="416"/>
      <c r="AM188" s="416"/>
      <c r="AN188" s="416"/>
      <c r="AO188" s="416"/>
      <c r="AP188" s="416"/>
      <c r="AQ188" s="416"/>
      <c r="AR188" s="416"/>
      <c r="AS188" s="416"/>
      <c r="AT188" s="416"/>
      <c r="AU188" s="416"/>
      <c r="AV188" s="416"/>
      <c r="AW188" s="416"/>
      <c r="AX188" s="416"/>
      <c r="AY188" s="286">
        <f>H188</f>
        <v>2116.8413333333333</v>
      </c>
      <c r="AZ188" s="416"/>
      <c r="BA188" s="416"/>
      <c r="BB188" s="32"/>
    </row>
    <row r="189" spans="2:54">
      <c r="B189" s="1254"/>
      <c r="C189" s="1255"/>
      <c r="D189" s="411" t="s">
        <v>2274</v>
      </c>
      <c r="E189" s="411"/>
      <c r="F189" s="411" t="s">
        <v>390</v>
      </c>
      <c r="G189" s="411" t="s">
        <v>391</v>
      </c>
      <c r="H189" s="412">
        <v>6481.0150000000003</v>
      </c>
      <c r="I189" s="413" t="s">
        <v>494</v>
      </c>
      <c r="J189" s="414">
        <v>45146.458333333336</v>
      </c>
      <c r="K189" s="414"/>
      <c r="L189" s="414" t="s">
        <v>192</v>
      </c>
      <c r="M189" s="414" t="s">
        <v>192</v>
      </c>
      <c r="N189" s="413" t="str">
        <f t="shared" si="15"/>
        <v>On time</v>
      </c>
      <c r="O189" s="51"/>
      <c r="P189" s="415" t="s">
        <v>551</v>
      </c>
      <c r="Q189" s="415" t="s">
        <v>551</v>
      </c>
      <c r="R189" s="415" t="s">
        <v>551</v>
      </c>
      <c r="S189" s="32"/>
      <c r="T189" s="416"/>
      <c r="U189" s="416"/>
      <c r="V189" s="416"/>
      <c r="W189" s="416"/>
      <c r="X189" s="416"/>
      <c r="Y189" s="416">
        <f>H189</f>
        <v>6481.0150000000003</v>
      </c>
      <c r="Z189" s="416"/>
      <c r="AA189" s="416"/>
      <c r="AB189" s="416"/>
      <c r="AC189" s="416"/>
      <c r="AD189" s="416"/>
      <c r="AE189" s="416"/>
      <c r="AF189" s="416"/>
      <c r="AG189" s="416"/>
      <c r="AH189" s="416"/>
      <c r="AI189" s="416"/>
      <c r="AJ189" s="32"/>
      <c r="AK189" s="416"/>
      <c r="AL189" s="416"/>
      <c r="AM189" s="416"/>
      <c r="AN189" s="416"/>
      <c r="AO189" s="416"/>
      <c r="AP189" s="416"/>
      <c r="AQ189" s="416"/>
      <c r="AR189" s="416"/>
      <c r="AS189" s="416"/>
      <c r="AT189" s="416"/>
      <c r="AU189" s="416"/>
      <c r="AV189" s="416"/>
      <c r="AW189" s="416"/>
      <c r="AX189" s="416"/>
      <c r="AY189" s="286"/>
      <c r="AZ189" s="416"/>
      <c r="BA189" s="416"/>
      <c r="BB189" s="32"/>
    </row>
    <row r="190" spans="2:54">
      <c r="B190" s="1250" t="s">
        <v>2275</v>
      </c>
      <c r="C190" s="1251"/>
      <c r="D190" s="411" t="s">
        <v>2273</v>
      </c>
      <c r="E190" s="425"/>
      <c r="F190" s="411" t="s">
        <v>222</v>
      </c>
      <c r="G190" s="411" t="s">
        <v>223</v>
      </c>
      <c r="H190" s="412">
        <f>H188</f>
        <v>2116.8413333333333</v>
      </c>
      <c r="I190" s="413" t="s">
        <v>172</v>
      </c>
      <c r="J190" s="414"/>
      <c r="K190" s="414"/>
      <c r="L190" s="414"/>
      <c r="M190" s="414"/>
      <c r="N190" s="413" t="str">
        <f t="shared" si="15"/>
        <v xml:space="preserve"> </v>
      </c>
      <c r="O190" s="51"/>
      <c r="P190" s="415" t="s">
        <v>551</v>
      </c>
      <c r="Q190" s="415" t="s">
        <v>551</v>
      </c>
      <c r="R190" s="415" t="s">
        <v>551</v>
      </c>
      <c r="S190" s="32"/>
      <c r="T190" s="416"/>
      <c r="U190" s="416"/>
      <c r="V190" s="416"/>
      <c r="W190" s="416"/>
      <c r="X190" s="416"/>
      <c r="Y190" s="416"/>
      <c r="Z190" s="416"/>
      <c r="AA190" s="416"/>
      <c r="AB190" s="416"/>
      <c r="AC190" s="416"/>
      <c r="AD190" s="416"/>
      <c r="AE190" s="416"/>
      <c r="AF190" s="416"/>
      <c r="AG190" s="416"/>
      <c r="AH190" s="416"/>
      <c r="AI190" s="416"/>
      <c r="AJ190" s="32"/>
      <c r="AK190" s="416"/>
      <c r="AL190" s="416"/>
      <c r="AM190" s="416"/>
      <c r="AN190" s="416"/>
      <c r="AO190" s="416"/>
      <c r="AP190" s="416"/>
      <c r="AQ190" s="416"/>
      <c r="AR190" s="416"/>
      <c r="AS190" s="416"/>
      <c r="AT190" s="416"/>
      <c r="AU190" s="416"/>
      <c r="AV190" s="416"/>
      <c r="AW190" s="416"/>
      <c r="AX190" s="416"/>
      <c r="AY190" s="286">
        <f>H190</f>
        <v>2116.8413333333333</v>
      </c>
      <c r="AZ190" s="416"/>
      <c r="BA190" s="416"/>
      <c r="BB190" s="32"/>
    </row>
    <row r="191" spans="2:54">
      <c r="B191" s="1254"/>
      <c r="C191" s="1255"/>
      <c r="D191" s="411" t="s">
        <v>2276</v>
      </c>
      <c r="E191" s="411"/>
      <c r="F191" s="411" t="s">
        <v>2277</v>
      </c>
      <c r="G191" s="411" t="s">
        <v>2278</v>
      </c>
      <c r="H191" s="412">
        <v>6581.2520000000004</v>
      </c>
      <c r="I191" s="413" t="s">
        <v>494</v>
      </c>
      <c r="J191" s="414">
        <v>45147.75</v>
      </c>
      <c r="K191" s="414"/>
      <c r="L191" s="414" t="s">
        <v>192</v>
      </c>
      <c r="M191" s="414" t="s">
        <v>192</v>
      </c>
      <c r="N191" s="413" t="str">
        <f t="shared" si="15"/>
        <v>DELAY ( 1 day 1 hour 45 minute )</v>
      </c>
      <c r="O191" s="51"/>
      <c r="P191" s="415" t="s">
        <v>551</v>
      </c>
      <c r="Q191" s="415" t="s">
        <v>551</v>
      </c>
      <c r="R191" s="415" t="s">
        <v>551</v>
      </c>
      <c r="S191" s="32"/>
      <c r="T191" s="416"/>
      <c r="U191" s="416"/>
      <c r="V191" s="416"/>
      <c r="W191" s="416"/>
      <c r="X191" s="416"/>
      <c r="Y191" s="416">
        <f>H191</f>
        <v>6581.2520000000004</v>
      </c>
      <c r="Z191" s="416"/>
      <c r="AA191" s="416"/>
      <c r="AB191" s="416"/>
      <c r="AC191" s="416"/>
      <c r="AD191" s="416"/>
      <c r="AE191" s="416"/>
      <c r="AF191" s="416"/>
      <c r="AG191" s="416"/>
      <c r="AH191" s="416"/>
      <c r="AI191" s="416"/>
      <c r="AJ191" s="416"/>
      <c r="AK191" s="416"/>
      <c r="AL191" s="416"/>
      <c r="AM191" s="416"/>
      <c r="AN191" s="416"/>
      <c r="AO191" s="416"/>
      <c r="AP191" s="416"/>
      <c r="AQ191" s="416"/>
      <c r="AR191" s="416"/>
      <c r="AS191" s="416"/>
      <c r="AT191" s="416"/>
      <c r="AU191" s="416"/>
      <c r="AV191" s="416"/>
      <c r="AW191" s="416"/>
      <c r="AX191" s="416"/>
      <c r="AY191" s="416"/>
      <c r="AZ191" s="416"/>
      <c r="BA191" s="416"/>
      <c r="BB191" s="32"/>
    </row>
    <row r="192" spans="2:54">
      <c r="B192" s="1250" t="s">
        <v>650</v>
      </c>
      <c r="C192" s="1251"/>
      <c r="D192" s="411" t="s">
        <v>2273</v>
      </c>
      <c r="E192" s="425"/>
      <c r="F192" s="411" t="s">
        <v>222</v>
      </c>
      <c r="G192" s="411" t="s">
        <v>223</v>
      </c>
      <c r="H192" s="412">
        <f>H190</f>
        <v>2116.8413333333333</v>
      </c>
      <c r="I192" s="413" t="s">
        <v>172</v>
      </c>
      <c r="J192" s="414"/>
      <c r="K192" s="414"/>
      <c r="L192" s="414"/>
      <c r="M192" s="414"/>
      <c r="N192" s="413" t="str">
        <f t="shared" si="15"/>
        <v xml:space="preserve"> </v>
      </c>
      <c r="O192" s="51"/>
      <c r="P192" s="415" t="s">
        <v>551</v>
      </c>
      <c r="Q192" s="415" t="s">
        <v>551</v>
      </c>
      <c r="R192" s="415" t="s">
        <v>551</v>
      </c>
      <c r="S192" s="32"/>
      <c r="T192" s="416"/>
      <c r="U192" s="416"/>
      <c r="V192" s="416"/>
      <c r="W192" s="416"/>
      <c r="X192" s="416"/>
      <c r="Y192" s="416"/>
      <c r="Z192" s="416"/>
      <c r="AA192" s="416"/>
      <c r="AB192" s="416"/>
      <c r="AC192" s="416"/>
      <c r="AD192" s="416"/>
      <c r="AE192" s="416"/>
      <c r="AF192" s="416"/>
      <c r="AG192" s="416"/>
      <c r="AH192" s="416"/>
      <c r="AI192" s="416"/>
      <c r="AJ192" s="32"/>
      <c r="AK192" s="416"/>
      <c r="AL192" s="416"/>
      <c r="AM192" s="416"/>
      <c r="AN192" s="416"/>
      <c r="AO192" s="416"/>
      <c r="AP192" s="416"/>
      <c r="AQ192" s="416"/>
      <c r="AR192" s="416"/>
      <c r="AS192" s="416"/>
      <c r="AT192" s="416"/>
      <c r="AU192" s="416"/>
      <c r="AV192" s="416"/>
      <c r="AW192" s="416"/>
      <c r="AX192" s="416"/>
      <c r="AY192" s="286">
        <f>H192</f>
        <v>2116.8413333333333</v>
      </c>
      <c r="AZ192" s="416"/>
      <c r="BA192" s="416"/>
      <c r="BB192" s="32"/>
    </row>
    <row r="193" spans="2:54">
      <c r="B193" s="1254"/>
      <c r="C193" s="1255"/>
      <c r="D193" s="411" t="s">
        <v>2279</v>
      </c>
      <c r="E193" s="411"/>
      <c r="F193" s="411" t="s">
        <v>2280</v>
      </c>
      <c r="G193" s="411" t="s">
        <v>1652</v>
      </c>
      <c r="H193" s="412">
        <v>5515.5810000000001</v>
      </c>
      <c r="I193" s="413" t="s">
        <v>494</v>
      </c>
      <c r="J193" s="414">
        <v>45149.333333333336</v>
      </c>
      <c r="K193" s="414"/>
      <c r="L193" s="414" t="s">
        <v>192</v>
      </c>
      <c r="M193" s="414" t="s">
        <v>192</v>
      </c>
      <c r="N193" s="413" t="str">
        <f t="shared" si="15"/>
        <v>DELAY ( 2 day 15 hour 45 minute )</v>
      </c>
      <c r="O193" s="51"/>
      <c r="P193" s="415" t="s">
        <v>551</v>
      </c>
      <c r="Q193" s="415" t="s">
        <v>551</v>
      </c>
      <c r="R193" s="415" t="s">
        <v>551</v>
      </c>
      <c r="S193" s="32"/>
      <c r="T193" s="416"/>
      <c r="U193" s="416"/>
      <c r="V193" s="416"/>
      <c r="W193" s="416"/>
      <c r="X193" s="416"/>
      <c r="Y193" s="416">
        <f>H193</f>
        <v>5515.5810000000001</v>
      </c>
      <c r="Z193" s="416"/>
      <c r="AA193" s="289"/>
      <c r="AB193" s="416"/>
      <c r="AC193" s="416"/>
      <c r="AD193" s="416"/>
      <c r="AE193" s="416"/>
      <c r="AF193" s="416"/>
      <c r="AG193" s="416"/>
      <c r="AH193" s="416"/>
      <c r="AI193" s="416"/>
      <c r="AJ193" s="416"/>
      <c r="AK193" s="416"/>
      <c r="AL193" s="416"/>
      <c r="AM193" s="416"/>
      <c r="AN193" s="416"/>
      <c r="AO193" s="416"/>
      <c r="AP193" s="416"/>
      <c r="AQ193" s="416"/>
      <c r="AR193" s="416"/>
      <c r="AS193" s="416"/>
      <c r="AT193" s="289"/>
      <c r="AU193" s="416"/>
      <c r="AV193" s="416"/>
      <c r="AW193" s="416"/>
      <c r="AX193" s="416"/>
      <c r="AY193" s="416"/>
      <c r="AZ193" s="416"/>
      <c r="BA193" s="416"/>
      <c r="BB193" s="32"/>
    </row>
    <row r="194" spans="2:54">
      <c r="B194" s="1256" t="s">
        <v>548</v>
      </c>
      <c r="C194" s="1257"/>
      <c r="D194" s="411" t="s">
        <v>2266</v>
      </c>
      <c r="E194" s="411"/>
      <c r="F194" s="411" t="s">
        <v>1230</v>
      </c>
      <c r="G194" s="411" t="s">
        <v>1231</v>
      </c>
      <c r="H194" s="412">
        <v>3018.2429999999999</v>
      </c>
      <c r="I194" s="413" t="s">
        <v>494</v>
      </c>
      <c r="J194" s="414">
        <v>45150.375</v>
      </c>
      <c r="K194" s="414"/>
      <c r="L194" s="414" t="s">
        <v>192</v>
      </c>
      <c r="M194" s="414" t="s">
        <v>192</v>
      </c>
      <c r="N194" s="413" t="str">
        <f t="shared" si="15"/>
        <v>DELAY ( 3 day 16 hour 45 minute )</v>
      </c>
      <c r="O194" s="51"/>
      <c r="P194" s="415" t="s">
        <v>551</v>
      </c>
      <c r="Q194" s="415" t="s">
        <v>551</v>
      </c>
      <c r="R194" s="415" t="s">
        <v>551</v>
      </c>
      <c r="S194" s="32"/>
      <c r="T194" s="416"/>
      <c r="U194" s="416"/>
      <c r="V194" s="416"/>
      <c r="W194" s="416"/>
      <c r="X194" s="416"/>
      <c r="Y194" s="416">
        <f>H194</f>
        <v>3018.2429999999999</v>
      </c>
      <c r="Z194" s="416"/>
      <c r="AA194" s="289"/>
      <c r="AB194" s="416"/>
      <c r="AC194" s="416"/>
      <c r="AD194" s="416"/>
      <c r="AE194" s="416"/>
      <c r="AF194" s="416"/>
      <c r="AG194" s="416"/>
      <c r="AH194" s="416"/>
      <c r="AI194" s="416"/>
      <c r="AJ194" s="416"/>
      <c r="AK194" s="416"/>
      <c r="AL194" s="416"/>
      <c r="AM194" s="416"/>
      <c r="AN194" s="416"/>
      <c r="AO194" s="416"/>
      <c r="AP194" s="416"/>
      <c r="AQ194" s="416"/>
      <c r="AR194" s="416"/>
      <c r="AS194" s="416"/>
      <c r="AT194" s="289"/>
      <c r="AU194" s="416"/>
      <c r="AV194" s="416"/>
      <c r="AW194" s="416"/>
      <c r="AX194" s="416"/>
      <c r="AY194" s="416"/>
      <c r="AZ194" s="416"/>
      <c r="BA194" s="416"/>
      <c r="BB194" s="32"/>
    </row>
    <row r="195" spans="2:54">
      <c r="B195" s="1256" t="s">
        <v>548</v>
      </c>
      <c r="C195" s="1257"/>
      <c r="D195" s="411" t="s">
        <v>2281</v>
      </c>
      <c r="E195" s="411"/>
      <c r="F195" s="411" t="s">
        <v>361</v>
      </c>
      <c r="G195" s="411" t="s">
        <v>362</v>
      </c>
      <c r="H195" s="412">
        <f>6404.037-1426.328</f>
        <v>4977.7090000000007</v>
      </c>
      <c r="I195" s="413" t="s">
        <v>494</v>
      </c>
      <c r="J195" s="414">
        <v>45146.625</v>
      </c>
      <c r="K195" s="414"/>
      <c r="L195" s="414" t="s">
        <v>192</v>
      </c>
      <c r="M195" s="414" t="s">
        <v>192</v>
      </c>
      <c r="N195" s="413" t="str">
        <f t="shared" si="15"/>
        <v>On time</v>
      </c>
      <c r="O195" s="51"/>
      <c r="P195" s="415" t="s">
        <v>551</v>
      </c>
      <c r="Q195" s="415" t="s">
        <v>551</v>
      </c>
      <c r="R195" s="415" t="s">
        <v>551</v>
      </c>
      <c r="S195" s="32"/>
      <c r="T195" s="416"/>
      <c r="U195" s="416"/>
      <c r="V195" s="416"/>
      <c r="W195" s="416"/>
      <c r="X195" s="416"/>
      <c r="Y195" s="416">
        <f>H195</f>
        <v>4977.7090000000007</v>
      </c>
      <c r="Z195" s="416"/>
      <c r="AA195" s="416"/>
      <c r="AB195" s="416"/>
      <c r="AC195" s="416"/>
      <c r="AD195" s="416"/>
      <c r="AE195" s="416"/>
      <c r="AF195" s="416"/>
      <c r="AG195" s="416"/>
      <c r="AH195" s="416"/>
      <c r="AI195" s="416"/>
      <c r="AJ195" s="416"/>
      <c r="AK195" s="416"/>
      <c r="AL195" s="416"/>
      <c r="AM195" s="416"/>
      <c r="AN195" s="416"/>
      <c r="AO195" s="416"/>
      <c r="AP195" s="416"/>
      <c r="AQ195" s="416"/>
      <c r="AR195" s="416"/>
      <c r="AS195" s="416"/>
      <c r="AT195" s="416"/>
      <c r="AU195" s="416"/>
      <c r="AV195" s="416"/>
      <c r="AW195" s="416"/>
      <c r="AX195" s="416"/>
      <c r="AY195" s="416"/>
      <c r="AZ195" s="416"/>
      <c r="BA195" s="416"/>
      <c r="BB195" s="32"/>
    </row>
    <row r="196" spans="2:54">
      <c r="B196" s="1258" t="s">
        <v>556</v>
      </c>
      <c r="C196" s="1259"/>
      <c r="D196" s="1259"/>
      <c r="E196" s="1259"/>
      <c r="F196" s="1259"/>
      <c r="G196" s="1260"/>
      <c r="H196" s="417">
        <f>SUM(H184:H195)</f>
        <v>54000</v>
      </c>
      <c r="I196" s="388"/>
      <c r="J196" s="293"/>
      <c r="K196" s="293"/>
      <c r="L196" s="293"/>
      <c r="M196" s="389"/>
      <c r="N196" s="413" t="str">
        <f>IF(ISBLANK(J196)," ",IF(J196&lt;$F$178,"On time",(IF(DAY(J196-$F$178)&lt;1,"On time",(IF(J196&gt;$F$178,"DELAY ( "&amp;DAY(J196-$F$178)&amp;" day "&amp;HOUR(J196-$F$178)&amp;" hour "&amp;MINUTE(J196-$F$178)&amp;" minute )","xxx"))))))</f>
        <v xml:space="preserve"> </v>
      </c>
      <c r="O196" s="212"/>
      <c r="P196" s="418"/>
      <c r="Q196" s="418"/>
      <c r="R196" s="418"/>
      <c r="S196" s="207"/>
      <c r="T196" s="1300"/>
      <c r="U196" s="1301"/>
      <c r="V196" s="1301"/>
      <c r="W196" s="1301"/>
      <c r="X196" s="1301"/>
      <c r="Y196" s="1301"/>
      <c r="Z196" s="1301"/>
      <c r="AA196" s="1301"/>
      <c r="AB196" s="1301"/>
      <c r="AC196" s="1301"/>
      <c r="AD196" s="1301"/>
      <c r="AE196" s="1301"/>
      <c r="AF196" s="1301"/>
      <c r="AG196" s="1301"/>
      <c r="AH196" s="1301"/>
      <c r="AI196" s="1301"/>
      <c r="AJ196" s="1301"/>
      <c r="AK196" s="1301"/>
      <c r="AL196" s="1301"/>
      <c r="AM196" s="1301"/>
      <c r="AN196" s="1301"/>
      <c r="AO196" s="1301"/>
      <c r="AP196" s="1301"/>
      <c r="AQ196" s="1301"/>
      <c r="AR196" s="1301"/>
      <c r="AS196" s="1301"/>
      <c r="AT196" s="1301"/>
      <c r="AU196" s="1301"/>
      <c r="AV196" s="1301"/>
      <c r="AW196" s="1301"/>
      <c r="AX196" s="1301"/>
      <c r="AY196" s="1301"/>
      <c r="AZ196" s="1301"/>
      <c r="BA196" s="1301"/>
    </row>
    <row r="197" spans="2:54">
      <c r="B197" s="1243" t="s">
        <v>557</v>
      </c>
      <c r="C197" s="1244"/>
      <c r="D197" s="1244"/>
      <c r="E197" s="1244"/>
      <c r="F197" s="1244"/>
      <c r="G197" s="1245"/>
      <c r="H197" s="419">
        <v>54000</v>
      </c>
      <c r="I197" s="1246"/>
      <c r="J197" s="1247"/>
      <c r="K197" s="1247"/>
      <c r="L197" s="1247"/>
      <c r="M197" s="1248"/>
      <c r="N197" s="413" t="str">
        <f>IF(ISBLANK(J197)," ",IF(J197&lt;$F$178,"On time",(IF(DAY(J197-$F$178)&lt;1,"On time",(IF(J197&gt;$F$178,"DELAY ( "&amp;DAY(J197-$F$178)&amp;" day "&amp;HOUR(J197-$F$178)&amp;" hour "&amp;MINUTE(J197-$F$178)&amp;" minute )","xxx"))))))</f>
        <v xml:space="preserve"> </v>
      </c>
      <c r="O197" s="32"/>
      <c r="P197" s="415"/>
      <c r="Q197" s="415"/>
      <c r="R197" s="415"/>
      <c r="S197" s="63"/>
      <c r="T197" s="416">
        <f t="shared" ref="T197:BA197" si="17">SUM(T184:T195)</f>
        <v>0</v>
      </c>
      <c r="U197" s="416">
        <f t="shared" si="17"/>
        <v>0</v>
      </c>
      <c r="V197" s="416">
        <f t="shared" si="17"/>
        <v>0</v>
      </c>
      <c r="W197" s="416">
        <f t="shared" si="17"/>
        <v>0</v>
      </c>
      <c r="X197" s="416">
        <f t="shared" si="17"/>
        <v>0</v>
      </c>
      <c r="Y197" s="416">
        <f t="shared" si="17"/>
        <v>40962.240000000005</v>
      </c>
      <c r="Z197" s="416">
        <f t="shared" si="17"/>
        <v>0</v>
      </c>
      <c r="AA197" s="416">
        <f t="shared" si="17"/>
        <v>0</v>
      </c>
      <c r="AB197" s="416">
        <f t="shared" si="17"/>
        <v>0</v>
      </c>
      <c r="AC197" s="416">
        <f t="shared" si="17"/>
        <v>0</v>
      </c>
      <c r="AD197" s="416">
        <f t="shared" si="17"/>
        <v>0</v>
      </c>
      <c r="AE197" s="416">
        <f t="shared" si="17"/>
        <v>0</v>
      </c>
      <c r="AF197" s="416">
        <f t="shared" si="17"/>
        <v>0</v>
      </c>
      <c r="AG197" s="416">
        <f t="shared" si="17"/>
        <v>0</v>
      </c>
      <c r="AH197" s="416">
        <f t="shared" si="17"/>
        <v>0</v>
      </c>
      <c r="AI197" s="416">
        <f t="shared" si="17"/>
        <v>0</v>
      </c>
      <c r="AJ197" s="416">
        <f t="shared" si="17"/>
        <v>0</v>
      </c>
      <c r="AK197" s="416">
        <f t="shared" si="17"/>
        <v>0</v>
      </c>
      <c r="AL197" s="416">
        <f t="shared" si="17"/>
        <v>0</v>
      </c>
      <c r="AM197" s="416">
        <f t="shared" si="17"/>
        <v>0</v>
      </c>
      <c r="AN197" s="416">
        <f t="shared" si="17"/>
        <v>0</v>
      </c>
      <c r="AO197" s="416">
        <f t="shared" si="17"/>
        <v>0</v>
      </c>
      <c r="AP197" s="416">
        <f t="shared" si="17"/>
        <v>0</v>
      </c>
      <c r="AQ197" s="416">
        <f t="shared" si="17"/>
        <v>0</v>
      </c>
      <c r="AR197" s="416">
        <f t="shared" si="17"/>
        <v>0</v>
      </c>
      <c r="AS197" s="416">
        <f t="shared" si="17"/>
        <v>0</v>
      </c>
      <c r="AT197" s="416">
        <f t="shared" si="17"/>
        <v>0</v>
      </c>
      <c r="AU197" s="416">
        <f t="shared" si="17"/>
        <v>0</v>
      </c>
      <c r="AV197" s="416">
        <f t="shared" si="17"/>
        <v>0</v>
      </c>
      <c r="AW197" s="416">
        <f t="shared" si="17"/>
        <v>0</v>
      </c>
      <c r="AX197" s="416">
        <f t="shared" si="17"/>
        <v>0</v>
      </c>
      <c r="AY197" s="416">
        <f t="shared" si="17"/>
        <v>6350.5239999999994</v>
      </c>
      <c r="AZ197" s="416">
        <f t="shared" si="17"/>
        <v>6687.2359999999999</v>
      </c>
      <c r="BA197" s="416">
        <f t="shared" si="17"/>
        <v>0</v>
      </c>
      <c r="BB197" s="416">
        <f>SUM(T197:BA197)</f>
        <v>54000</v>
      </c>
    </row>
    <row r="198" spans="2:54">
      <c r="B198" s="1243" t="s">
        <v>558</v>
      </c>
      <c r="C198" s="1244"/>
      <c r="D198" s="1244"/>
      <c r="E198" s="1244"/>
      <c r="F198" s="1244"/>
      <c r="G198" s="1245"/>
      <c r="H198" s="420">
        <f>H197-L178</f>
        <v>0</v>
      </c>
      <c r="I198" s="294"/>
      <c r="J198" s="295"/>
      <c r="K198" s="295"/>
      <c r="L198" s="296"/>
      <c r="M198" s="32"/>
      <c r="N198" s="32"/>
      <c r="O198" s="32"/>
      <c r="P198" s="32"/>
      <c r="Q198" s="297"/>
      <c r="R198" s="297"/>
      <c r="S198" s="32"/>
      <c r="T198" s="48"/>
      <c r="U198" s="48"/>
      <c r="V198" s="48"/>
      <c r="W198" s="48"/>
      <c r="X198" s="48"/>
      <c r="Y198" s="48"/>
      <c r="Z198" s="48"/>
      <c r="AA198" s="48"/>
      <c r="AB198" s="48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</row>
    <row r="199" spans="2:54">
      <c r="B199" s="1243" t="s">
        <v>559</v>
      </c>
      <c r="C199" s="1244"/>
      <c r="D199" s="1244"/>
      <c r="E199" s="1244"/>
      <c r="F199" s="1244"/>
      <c r="G199" s="1245"/>
      <c r="H199" s="446">
        <f>H196-H197</f>
        <v>0</v>
      </c>
      <c r="I199" s="52"/>
      <c r="J199" s="53"/>
      <c r="K199" s="53"/>
      <c r="L199" s="54"/>
      <c r="M199" s="32"/>
      <c r="N199" s="201"/>
      <c r="O199" s="32"/>
      <c r="P199" s="32"/>
      <c r="Q199" s="32"/>
      <c r="R199" s="32"/>
      <c r="S199" s="32"/>
      <c r="T199" s="48"/>
      <c r="U199" s="48"/>
      <c r="V199" s="48"/>
      <c r="W199" s="48"/>
      <c r="X199" s="48"/>
      <c r="Y199" s="48"/>
      <c r="Z199" s="48"/>
      <c r="AA199" s="48"/>
      <c r="AB199" s="48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</row>
    <row r="200" spans="2:54">
      <c r="B200" s="1243" t="s">
        <v>560</v>
      </c>
      <c r="C200" s="1244"/>
      <c r="D200" s="1244"/>
      <c r="E200" s="1244"/>
      <c r="F200" s="1244"/>
      <c r="G200" s="1245"/>
      <c r="H200" s="421">
        <f>H199-1426.328</f>
        <v>-1426.328</v>
      </c>
      <c r="I200" s="52"/>
      <c r="J200" s="53"/>
      <c r="K200" s="53"/>
      <c r="L200" s="54"/>
      <c r="M200" s="32"/>
      <c r="N200" s="32"/>
      <c r="O200" s="32"/>
      <c r="P200" s="32"/>
      <c r="Q200" s="32"/>
      <c r="R200" s="32"/>
      <c r="S200" s="48"/>
      <c r="T200" s="48"/>
      <c r="U200" s="48"/>
      <c r="V200" s="48"/>
      <c r="W200" s="48"/>
      <c r="X200" s="48"/>
      <c r="Y200" s="48"/>
      <c r="Z200" s="48"/>
      <c r="AA200" s="48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2:54">
      <c r="B201" s="201"/>
      <c r="C201" s="201"/>
      <c r="D201" s="201"/>
      <c r="E201" s="201"/>
      <c r="F201" s="201"/>
      <c r="G201" s="201"/>
      <c r="H201" s="201"/>
      <c r="I201" s="213"/>
      <c r="J201" s="209"/>
      <c r="K201" s="209"/>
      <c r="L201" s="203"/>
      <c r="M201" s="201"/>
      <c r="N201" s="201"/>
      <c r="O201" s="209"/>
      <c r="P201" s="32"/>
      <c r="Q201" s="32"/>
      <c r="R201" s="32"/>
      <c r="S201" s="32"/>
      <c r="T201" s="48"/>
      <c r="U201" s="48"/>
      <c r="V201" s="48"/>
      <c r="W201" s="48"/>
      <c r="X201" s="48"/>
      <c r="Y201" s="48"/>
      <c r="Z201" s="48"/>
      <c r="AA201" s="48"/>
      <c r="AB201" s="48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</row>
    <row r="202" spans="2:54">
      <c r="B202" s="40" t="s">
        <v>561</v>
      </c>
      <c r="C202" s="40"/>
      <c r="D202" s="32"/>
      <c r="E202" s="32"/>
      <c r="F202" s="32"/>
      <c r="G202" s="32"/>
      <c r="H202" s="32"/>
      <c r="I202" s="32"/>
      <c r="J202" s="52"/>
      <c r="K202" s="52"/>
      <c r="L202" s="55"/>
      <c r="M202" s="32"/>
      <c r="N202" s="201"/>
      <c r="O202" s="5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1"/>
      <c r="AC202" s="201"/>
      <c r="AD202" s="201"/>
      <c r="AE202" s="201"/>
      <c r="AF202" s="201"/>
      <c r="AG202" s="201"/>
      <c r="AH202" s="201"/>
      <c r="AI202" s="201"/>
      <c r="AJ202" s="201"/>
      <c r="AK202" s="201"/>
      <c r="AL202" s="201"/>
      <c r="AM202" s="201"/>
      <c r="AN202" s="201"/>
      <c r="AO202" s="201"/>
      <c r="AP202" s="201"/>
      <c r="AQ202" s="201"/>
      <c r="AR202" s="201"/>
      <c r="AS202" s="201"/>
      <c r="AT202" s="201"/>
      <c r="AU202" s="201"/>
      <c r="BB202" s="201"/>
    </row>
    <row r="203" spans="2:54">
      <c r="B203" s="422">
        <v>1</v>
      </c>
      <c r="C203" s="1249" t="s">
        <v>2282</v>
      </c>
      <c r="D203" s="1249"/>
      <c r="E203" s="1249"/>
      <c r="F203" s="1249"/>
      <c r="G203" s="1249"/>
      <c r="H203" s="1249"/>
      <c r="I203" s="1249"/>
      <c r="J203" s="1249"/>
      <c r="K203" s="1249"/>
      <c r="L203" s="203"/>
      <c r="M203" s="203"/>
      <c r="N203" s="201"/>
      <c r="O203" s="209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1"/>
      <c r="AC203" s="201"/>
      <c r="AD203" s="201"/>
      <c r="AE203" s="201"/>
      <c r="AF203" s="201"/>
      <c r="AG203" s="201"/>
      <c r="AH203" s="201"/>
      <c r="AI203" s="201"/>
      <c r="AJ203" s="201"/>
      <c r="AK203" s="201"/>
      <c r="AL203" s="201"/>
      <c r="AM203" s="201"/>
      <c r="AN203" s="201"/>
      <c r="AO203" s="201"/>
      <c r="AP203" s="201"/>
      <c r="AQ203" s="201"/>
      <c r="AR203" s="201"/>
      <c r="AS203" s="201"/>
      <c r="AT203" s="201"/>
      <c r="AU203" s="201"/>
      <c r="AV203" s="201"/>
      <c r="AW203" s="201"/>
      <c r="AX203" s="201"/>
      <c r="AY203" s="201"/>
      <c r="AZ203" s="201"/>
      <c r="BA203" s="201"/>
      <c r="BB203" s="201"/>
    </row>
    <row r="205" spans="2:54">
      <c r="B205" s="28" t="s">
        <v>126</v>
      </c>
      <c r="C205" s="28"/>
      <c r="D205" s="29"/>
      <c r="E205" s="30" t="s">
        <v>511</v>
      </c>
      <c r="F205" s="31" t="s">
        <v>2283</v>
      </c>
      <c r="G205" s="32"/>
      <c r="H205" s="33"/>
      <c r="I205" s="34"/>
      <c r="J205" s="35" t="s">
        <v>513</v>
      </c>
      <c r="K205" s="36" t="s">
        <v>511</v>
      </c>
      <c r="L205" s="37">
        <v>45152.722222222219</v>
      </c>
      <c r="M205" s="32"/>
      <c r="N205" s="32"/>
      <c r="O205" s="206"/>
      <c r="P205" s="205"/>
      <c r="Q205" s="202"/>
      <c r="R205" s="204"/>
      <c r="S205" s="38"/>
      <c r="T205" s="201"/>
      <c r="U205" s="201"/>
      <c r="V205" s="201"/>
      <c r="W205" s="201"/>
      <c r="X205" s="201"/>
      <c r="Y205" s="201"/>
      <c r="Z205" s="201"/>
      <c r="AA205" s="201"/>
      <c r="AB205" s="202"/>
      <c r="AC205" s="202"/>
      <c r="AD205" s="202"/>
      <c r="AE205" s="202"/>
      <c r="AF205" s="202"/>
      <c r="AG205" s="201"/>
      <c r="AH205" s="201"/>
      <c r="AI205" s="201"/>
      <c r="AJ205" s="201"/>
      <c r="AK205" s="201"/>
      <c r="AL205" s="201"/>
      <c r="AM205" s="201"/>
      <c r="AN205" s="201"/>
      <c r="AO205" s="201"/>
      <c r="AP205" s="201"/>
      <c r="AQ205" s="201"/>
      <c r="AR205" s="201"/>
      <c r="AS205" s="201"/>
      <c r="AT205" s="201"/>
      <c r="AU205" s="201"/>
      <c r="AV205" s="201"/>
      <c r="AW205" s="201"/>
      <c r="AX205" s="201"/>
      <c r="AY205" s="201"/>
      <c r="AZ205" s="201"/>
      <c r="BA205" s="201"/>
      <c r="BB205" s="201"/>
    </row>
    <row r="206" spans="2:54">
      <c r="B206" s="35" t="s">
        <v>514</v>
      </c>
      <c r="C206" s="35"/>
      <c r="D206" s="32"/>
      <c r="E206" s="36" t="s">
        <v>511</v>
      </c>
      <c r="F206" s="311" t="s">
        <v>2227</v>
      </c>
      <c r="G206" s="32"/>
      <c r="H206" s="33"/>
      <c r="I206" s="34"/>
      <c r="J206" s="35" t="s">
        <v>516</v>
      </c>
      <c r="K206" s="36" t="s">
        <v>511</v>
      </c>
      <c r="L206" s="37">
        <v>45155.020833333336</v>
      </c>
      <c r="M206" s="32"/>
      <c r="N206" s="32"/>
      <c r="O206" s="206"/>
      <c r="P206" s="205"/>
      <c r="Q206" s="202"/>
      <c r="R206" s="204"/>
      <c r="S206" s="38"/>
      <c r="T206" s="201"/>
      <c r="U206" s="201"/>
      <c r="V206" s="201"/>
      <c r="W206" s="201"/>
      <c r="X206" s="201"/>
      <c r="Y206" s="201"/>
      <c r="Z206" s="201"/>
      <c r="AA206" s="201"/>
      <c r="AB206" s="202"/>
      <c r="AC206" s="202"/>
      <c r="AD206" s="202"/>
      <c r="AE206" s="202"/>
      <c r="AF206" s="202"/>
      <c r="AG206" s="201"/>
      <c r="AH206" s="201"/>
      <c r="AI206" s="201"/>
      <c r="AJ206" s="201"/>
      <c r="AK206" s="201"/>
      <c r="AL206" s="201"/>
      <c r="AM206" s="201"/>
      <c r="AN206" s="201"/>
      <c r="AO206" s="201"/>
      <c r="AP206" s="201"/>
      <c r="AQ206" s="201"/>
      <c r="AR206" s="201"/>
      <c r="AS206" s="201"/>
      <c r="AT206" s="201"/>
      <c r="AU206" s="201"/>
      <c r="AV206" s="201"/>
      <c r="AW206" s="201"/>
      <c r="AX206" s="201"/>
      <c r="AY206" s="201"/>
      <c r="AZ206" s="201"/>
      <c r="BA206" s="201"/>
      <c r="BB206" s="201"/>
    </row>
    <row r="207" spans="2:54">
      <c r="B207" s="35" t="s">
        <v>517</v>
      </c>
      <c r="C207" s="35"/>
      <c r="D207" s="32"/>
      <c r="E207" s="36" t="s">
        <v>511</v>
      </c>
      <c r="F207" s="37">
        <v>45150.613888888889</v>
      </c>
      <c r="G207" s="32"/>
      <c r="H207" s="33"/>
      <c r="I207" s="34"/>
      <c r="J207" s="35" t="s">
        <v>518</v>
      </c>
      <c r="K207" s="36" t="s">
        <v>511</v>
      </c>
      <c r="L207" s="50">
        <v>63733</v>
      </c>
      <c r="M207" s="40" t="s">
        <v>519</v>
      </c>
      <c r="N207" s="40"/>
      <c r="O207" s="206"/>
      <c r="P207" s="205"/>
      <c r="Q207" s="202"/>
      <c r="R207" s="204"/>
      <c r="S207" s="38"/>
      <c r="T207" s="201"/>
      <c r="U207" s="201"/>
      <c r="V207" s="201"/>
      <c r="W207" s="201"/>
      <c r="X207" s="201"/>
      <c r="Y207" s="201"/>
      <c r="Z207" s="201"/>
      <c r="AA207" s="201"/>
      <c r="AB207" s="202"/>
      <c r="AC207" s="202"/>
      <c r="AD207" s="202"/>
      <c r="AE207" s="202"/>
      <c r="AF207" s="202"/>
      <c r="AG207" s="201"/>
      <c r="AH207" s="201"/>
      <c r="AI207" s="201"/>
      <c r="AJ207" s="201"/>
      <c r="AK207" s="201"/>
      <c r="AL207" s="201"/>
      <c r="AM207" s="201"/>
      <c r="AN207" s="201"/>
      <c r="AO207" s="201"/>
      <c r="AP207" s="201"/>
      <c r="AQ207" s="201"/>
      <c r="AR207" s="201"/>
      <c r="AS207" s="201"/>
      <c r="AT207" s="201"/>
      <c r="AU207" s="201"/>
      <c r="AV207" s="201"/>
      <c r="AW207" s="201"/>
      <c r="AX207" s="201"/>
      <c r="AY207" s="201"/>
      <c r="AZ207" s="201"/>
      <c r="BA207" s="201"/>
      <c r="BB207" s="201"/>
    </row>
    <row r="208" spans="2:54">
      <c r="B208" s="35" t="s">
        <v>520</v>
      </c>
      <c r="C208" s="35"/>
      <c r="D208" s="32"/>
      <c r="E208" s="36" t="s">
        <v>511</v>
      </c>
      <c r="F208" s="37" t="s">
        <v>12</v>
      </c>
      <c r="G208" s="32"/>
      <c r="H208" s="33"/>
      <c r="I208" s="34"/>
      <c r="J208" s="35" t="s">
        <v>521</v>
      </c>
      <c r="K208" s="36" t="s">
        <v>511</v>
      </c>
      <c r="L208" s="41" t="s">
        <v>2284</v>
      </c>
      <c r="M208" s="32"/>
      <c r="N208" s="32"/>
      <c r="O208" s="206"/>
      <c r="P208" s="202"/>
      <c r="Q208" s="202"/>
      <c r="R208" s="204"/>
      <c r="S208" s="38"/>
      <c r="T208" s="201"/>
      <c r="U208" s="201"/>
      <c r="V208" s="201"/>
      <c r="W208" s="201"/>
      <c r="X208" s="201"/>
      <c r="Y208" s="201"/>
      <c r="Z208" s="201"/>
      <c r="AA208" s="201"/>
      <c r="AB208" s="202"/>
      <c r="AC208" s="202"/>
      <c r="AD208" s="202"/>
      <c r="AE208" s="202"/>
      <c r="AF208" s="202"/>
      <c r="AG208" s="201"/>
      <c r="AH208" s="201"/>
      <c r="AI208" s="201"/>
      <c r="AJ208" s="201"/>
      <c r="AK208" s="201"/>
      <c r="AL208" s="201"/>
      <c r="AM208" s="201"/>
      <c r="AN208" s="201"/>
      <c r="AO208" s="201"/>
      <c r="AP208" s="201"/>
      <c r="AQ208" s="201"/>
      <c r="AR208" s="201"/>
      <c r="AS208" s="201"/>
      <c r="AT208" s="201"/>
      <c r="AU208" s="201"/>
      <c r="AV208" s="201"/>
      <c r="AW208" s="201"/>
      <c r="AX208" s="201"/>
      <c r="AY208" s="201"/>
      <c r="AZ208" s="201"/>
      <c r="BA208" s="201"/>
      <c r="BB208" s="201"/>
    </row>
    <row r="209" spans="2:54">
      <c r="B209" s="35" t="s">
        <v>523</v>
      </c>
      <c r="C209" s="35"/>
      <c r="D209" s="32"/>
      <c r="E209" s="36" t="s">
        <v>511</v>
      </c>
      <c r="F209" s="37" t="s">
        <v>32</v>
      </c>
      <c r="G209" s="32"/>
      <c r="H209" s="33"/>
      <c r="I209" s="34"/>
      <c r="J209" s="42" t="s">
        <v>524</v>
      </c>
      <c r="K209" s="36" t="s">
        <v>511</v>
      </c>
      <c r="L209" s="43" t="s">
        <v>15</v>
      </c>
      <c r="M209" s="44"/>
      <c r="N209" s="44"/>
      <c r="O209" s="206"/>
      <c r="P209" s="205"/>
      <c r="Q209" s="202"/>
      <c r="R209" s="204"/>
      <c r="S209" s="38"/>
      <c r="T209" s="201"/>
      <c r="U209" s="201"/>
      <c r="V209" s="201"/>
      <c r="W209" s="201"/>
      <c r="X209" s="201"/>
      <c r="Y209" s="201"/>
      <c r="Z209" s="201"/>
      <c r="AA209" s="201"/>
      <c r="AB209" s="202"/>
      <c r="AC209" s="202"/>
      <c r="AD209" s="202"/>
      <c r="AE209" s="202"/>
      <c r="AF209" s="202"/>
      <c r="AG209" s="201"/>
      <c r="AH209" s="201"/>
      <c r="AI209" s="201"/>
      <c r="AJ209" s="201"/>
      <c r="AK209" s="201"/>
      <c r="AL209" s="201"/>
      <c r="AM209" s="201"/>
      <c r="AN209" s="201"/>
      <c r="AO209" s="201"/>
      <c r="AP209" s="201"/>
      <c r="AQ209" s="201"/>
      <c r="AR209" s="201"/>
      <c r="AS209" s="201"/>
      <c r="AT209" s="201"/>
      <c r="AU209" s="201"/>
      <c r="AV209" s="201"/>
      <c r="AW209" s="201"/>
      <c r="AX209" s="201"/>
      <c r="AY209" s="201"/>
      <c r="AZ209" s="201"/>
      <c r="BA209" s="201"/>
      <c r="BB209" s="201"/>
    </row>
    <row r="210" spans="2:54">
      <c r="B210" s="35" t="s">
        <v>2</v>
      </c>
      <c r="C210" s="35"/>
      <c r="D210" s="32"/>
      <c r="E210" s="36" t="s">
        <v>511</v>
      </c>
      <c r="F210" s="37" t="s">
        <v>6</v>
      </c>
      <c r="G210" s="32"/>
      <c r="H210" s="33"/>
      <c r="I210" s="45"/>
      <c r="J210" s="42"/>
      <c r="K210" s="36"/>
      <c r="L210" s="211"/>
      <c r="M210" s="201"/>
      <c r="N210" s="201"/>
      <c r="O210" s="42"/>
      <c r="P210" s="44"/>
      <c r="Q210" s="44"/>
      <c r="R210" s="44"/>
      <c r="S210" s="34"/>
      <c r="T210" s="201"/>
      <c r="U210" s="201"/>
      <c r="V210" s="201"/>
      <c r="W210" s="201"/>
      <c r="X210" s="201"/>
      <c r="Y210" s="201"/>
      <c r="Z210" s="201"/>
      <c r="AA210" s="201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201"/>
      <c r="AP210" s="201"/>
      <c r="AQ210" s="201"/>
      <c r="AR210" s="201"/>
      <c r="AS210" s="201"/>
      <c r="AT210" s="201"/>
      <c r="AU210" s="201"/>
      <c r="AV210" s="201"/>
      <c r="AW210" s="201"/>
      <c r="AX210" s="201"/>
      <c r="AY210" s="201"/>
      <c r="AZ210" s="201"/>
      <c r="BA210" s="201"/>
      <c r="BB210" s="201"/>
    </row>
    <row r="211" spans="2:54">
      <c r="B211" s="201"/>
      <c r="C211" s="201"/>
      <c r="D211" s="201"/>
      <c r="E211" s="201"/>
      <c r="F211" s="201"/>
      <c r="G211" s="201"/>
      <c r="H211" s="201"/>
      <c r="I211" s="45"/>
      <c r="J211" s="42"/>
      <c r="K211" s="42"/>
      <c r="L211" s="43"/>
      <c r="M211" s="44"/>
      <c r="N211" s="44"/>
      <c r="O211" s="42"/>
      <c r="P211" s="44"/>
      <c r="Q211" s="44"/>
      <c r="R211" s="44"/>
      <c r="S211" s="34"/>
      <c r="T211" s="1265" t="s">
        <v>87</v>
      </c>
      <c r="U211" s="1265"/>
      <c r="V211" s="1265"/>
      <c r="W211" s="1265"/>
      <c r="X211" s="1265"/>
      <c r="Y211" s="1265" t="s">
        <v>73</v>
      </c>
      <c r="Z211" s="1265"/>
      <c r="AA211" s="1265"/>
      <c r="AB211" s="1265" t="s">
        <v>74</v>
      </c>
      <c r="AC211" s="1265"/>
      <c r="AD211" s="423" t="s">
        <v>85</v>
      </c>
      <c r="AE211" s="423" t="s">
        <v>77</v>
      </c>
      <c r="AF211" s="1265" t="s">
        <v>525</v>
      </c>
      <c r="AG211" s="1265"/>
      <c r="AH211" s="1265"/>
      <c r="AI211" s="1265"/>
      <c r="AJ211" s="1265"/>
      <c r="AK211" s="1265"/>
      <c r="AL211" s="1265"/>
      <c r="AM211" s="1265"/>
      <c r="AN211" s="1265"/>
      <c r="AO211" s="1265"/>
      <c r="AP211" s="1265"/>
      <c r="AQ211" s="1265"/>
      <c r="AR211" s="1265"/>
      <c r="AS211" s="1265"/>
      <c r="AT211" s="1265"/>
      <c r="AU211" s="1265"/>
      <c r="AV211" s="1265"/>
      <c r="AW211" s="1265"/>
      <c r="AX211" s="1265"/>
      <c r="AY211" s="1265"/>
      <c r="AZ211" s="1265"/>
      <c r="BA211" s="1265"/>
      <c r="BB211" s="201"/>
    </row>
    <row r="212" spans="2:54">
      <c r="B212" s="1266" t="s">
        <v>526</v>
      </c>
      <c r="C212" s="1267"/>
      <c r="D212" s="570" t="s">
        <v>527</v>
      </c>
      <c r="E212" s="570"/>
      <c r="F212" s="570" t="s">
        <v>528</v>
      </c>
      <c r="G212" s="570" t="s">
        <v>529</v>
      </c>
      <c r="H212" s="570" t="s">
        <v>530</v>
      </c>
      <c r="I212" s="570" t="s">
        <v>531</v>
      </c>
      <c r="J212" s="570" t="s">
        <v>532</v>
      </c>
      <c r="K212" s="570"/>
      <c r="L212" s="570" t="s">
        <v>130</v>
      </c>
      <c r="M212" s="570" t="s">
        <v>533</v>
      </c>
      <c r="N212" s="408" t="str">
        <f>"On time - "&amp;COUNTIF(N213:N226,"On time")&amp;" from "&amp;ROWS(N213:N226)-COUNTIF(N213:N226," ")</f>
        <v>On time - 3 from 9</v>
      </c>
      <c r="O212" s="46"/>
      <c r="P212" s="409" t="s">
        <v>534</v>
      </c>
      <c r="Q212" s="409" t="s">
        <v>535</v>
      </c>
      <c r="R212" s="409" t="s">
        <v>536</v>
      </c>
      <c r="S212" s="32"/>
      <c r="T212" s="424" t="s">
        <v>537</v>
      </c>
      <c r="U212" s="424" t="s">
        <v>538</v>
      </c>
      <c r="V212" s="424" t="s">
        <v>539</v>
      </c>
      <c r="W212" s="424" t="s">
        <v>540</v>
      </c>
      <c r="X212" s="424" t="s">
        <v>541</v>
      </c>
      <c r="Y212" s="424" t="s">
        <v>167</v>
      </c>
      <c r="Z212" s="424" t="s">
        <v>168</v>
      </c>
      <c r="AA212" s="424" t="s">
        <v>169</v>
      </c>
      <c r="AB212" s="424" t="s">
        <v>235</v>
      </c>
      <c r="AC212" s="424" t="s">
        <v>240</v>
      </c>
      <c r="AD212" s="423" t="s">
        <v>85</v>
      </c>
      <c r="AE212" s="424" t="s">
        <v>139</v>
      </c>
      <c r="AF212" s="424" t="s">
        <v>72</v>
      </c>
      <c r="AG212" s="424" t="s">
        <v>88</v>
      </c>
      <c r="AH212" s="424" t="s">
        <v>75</v>
      </c>
      <c r="AI212" s="424" t="s">
        <v>543</v>
      </c>
      <c r="AJ212" s="424" t="s">
        <v>78</v>
      </c>
      <c r="AK212" s="424" t="s">
        <v>76</v>
      </c>
      <c r="AL212" s="424" t="s">
        <v>544</v>
      </c>
      <c r="AM212" s="424" t="s">
        <v>545</v>
      </c>
      <c r="AN212" s="424" t="s">
        <v>86</v>
      </c>
      <c r="AO212" s="424" t="s">
        <v>83</v>
      </c>
      <c r="AP212" s="424" t="s">
        <v>84</v>
      </c>
      <c r="AQ212" s="424" t="s">
        <v>546</v>
      </c>
      <c r="AR212" s="424" t="s">
        <v>81</v>
      </c>
      <c r="AS212" s="424" t="s">
        <v>80</v>
      </c>
      <c r="AT212" s="424" t="s">
        <v>82</v>
      </c>
      <c r="AU212" s="424" t="s">
        <v>181</v>
      </c>
      <c r="AV212" s="424" t="s">
        <v>183</v>
      </c>
      <c r="AW212" s="424" t="s">
        <v>547</v>
      </c>
      <c r="AX212" s="424" t="s">
        <v>182</v>
      </c>
      <c r="AY212" s="424" t="s">
        <v>172</v>
      </c>
      <c r="AZ212" s="424" t="s">
        <v>173</v>
      </c>
      <c r="BA212" s="424" t="s">
        <v>184</v>
      </c>
      <c r="BB212" s="201"/>
    </row>
    <row r="213" spans="2:54">
      <c r="B213" s="1250" t="s">
        <v>1717</v>
      </c>
      <c r="C213" s="1251"/>
      <c r="D213" s="411" t="s">
        <v>2285</v>
      </c>
      <c r="E213" s="425"/>
      <c r="F213" s="411" t="s">
        <v>383</v>
      </c>
      <c r="G213" s="411" t="s">
        <v>384</v>
      </c>
      <c r="H213" s="412">
        <f>5101/3</f>
        <v>1700.3333333333333</v>
      </c>
      <c r="I213" s="413" t="s">
        <v>82</v>
      </c>
      <c r="J213" s="414">
        <v>45152.03125</v>
      </c>
      <c r="K213" s="414"/>
      <c r="L213" s="414" t="s">
        <v>192</v>
      </c>
      <c r="M213" s="414" t="s">
        <v>192</v>
      </c>
      <c r="N213" s="413" t="str">
        <f>IF(ISBLANK(J213)," ",IF(J213&lt;$F$207,"On time",(IF(DAY(J213-$F$207)&lt;1,"On time",(IF(J213&gt;$F$207,"DELAY ( "&amp;DAY(J213-$F$207)&amp;" day "&amp;HOUR(J213-$F$207)&amp;" hour "&amp;MINUTE(J213-$F$207)&amp;" minute )","xxx"))))))</f>
        <v>DELAY ( 1 day 10 hour 1 minute )</v>
      </c>
      <c r="O213" s="51"/>
      <c r="P213" s="415" t="s">
        <v>551</v>
      </c>
      <c r="Q213" s="415" t="s">
        <v>551</v>
      </c>
      <c r="R213" s="415" t="s">
        <v>551</v>
      </c>
      <c r="S213" s="32"/>
      <c r="T213" s="416"/>
      <c r="U213" s="416"/>
      <c r="V213" s="416"/>
      <c r="W213" s="416"/>
      <c r="X213" s="416"/>
      <c r="Y213" s="416"/>
      <c r="Z213" s="416"/>
      <c r="AA213" s="416"/>
      <c r="AB213" s="416"/>
      <c r="AC213" s="416"/>
      <c r="AD213" s="416"/>
      <c r="AE213" s="416"/>
      <c r="AF213" s="416"/>
      <c r="AG213" s="416"/>
      <c r="AH213" s="416"/>
      <c r="AI213" s="416"/>
      <c r="AJ213" s="416"/>
      <c r="AK213" s="416"/>
      <c r="AL213" s="416"/>
      <c r="AM213" s="416"/>
      <c r="AN213" s="416"/>
      <c r="AO213" s="416"/>
      <c r="AP213" s="416"/>
      <c r="AQ213" s="416"/>
      <c r="AR213" s="32"/>
      <c r="AS213" s="416"/>
      <c r="AT213" s="416">
        <f>H213</f>
        <v>1700.3333333333333</v>
      </c>
      <c r="AU213" s="416"/>
      <c r="AV213" s="416"/>
      <c r="AW213" s="416"/>
      <c r="AX213" s="416"/>
      <c r="AY213" s="416"/>
      <c r="AZ213" s="416"/>
      <c r="BA213" s="416"/>
      <c r="BB213" s="32"/>
    </row>
    <row r="214" spans="2:54">
      <c r="B214" s="1254"/>
      <c r="C214" s="1255"/>
      <c r="D214" s="411" t="s">
        <v>2286</v>
      </c>
      <c r="E214" s="411"/>
      <c r="F214" s="411" t="s">
        <v>429</v>
      </c>
      <c r="G214" s="411" t="s">
        <v>430</v>
      </c>
      <c r="H214" s="412">
        <v>7216.2150000000001</v>
      </c>
      <c r="I214" s="413" t="s">
        <v>240</v>
      </c>
      <c r="J214" s="414">
        <v>45151.319444444445</v>
      </c>
      <c r="K214" s="414"/>
      <c r="L214" s="414" t="s">
        <v>192</v>
      </c>
      <c r="M214" s="414" t="s">
        <v>192</v>
      </c>
      <c r="N214" s="413" t="str">
        <f t="shared" ref="N214:N226" si="18">IF(ISBLANK(J214)," ",IF(J214&lt;$F$207,"On time",(IF(DAY(J214-$F$207)&lt;1,"On time",(IF(J214&gt;$F$207,"DELAY ( "&amp;DAY(J214-$F$207)&amp;" day "&amp;HOUR(J214-$F$207)&amp;" hour "&amp;MINUTE(J214-$F$207)&amp;" minute )","xxx"))))))</f>
        <v>On time</v>
      </c>
      <c r="O214" s="51"/>
      <c r="P214" s="415" t="s">
        <v>551</v>
      </c>
      <c r="Q214" s="415" t="s">
        <v>551</v>
      </c>
      <c r="R214" s="415" t="s">
        <v>551</v>
      </c>
      <c r="S214" s="32"/>
      <c r="T214" s="416"/>
      <c r="U214" s="416"/>
      <c r="V214" s="416"/>
      <c r="W214" s="416"/>
      <c r="X214" s="416"/>
      <c r="Y214" s="416"/>
      <c r="Z214" s="416"/>
      <c r="AA214" s="416"/>
      <c r="AB214" s="416"/>
      <c r="AC214" s="416">
        <f>H214</f>
        <v>7216.2150000000001</v>
      </c>
      <c r="AD214" s="416"/>
      <c r="AE214" s="416"/>
      <c r="AF214" s="416"/>
      <c r="AG214" s="416"/>
      <c r="AH214" s="416"/>
      <c r="AI214" s="416"/>
      <c r="AJ214" s="32"/>
      <c r="AK214" s="416"/>
      <c r="AL214" s="416"/>
      <c r="AM214" s="416"/>
      <c r="AN214" s="416"/>
      <c r="AO214" s="416"/>
      <c r="AP214" s="416"/>
      <c r="AQ214" s="416"/>
      <c r="AR214" s="416"/>
      <c r="AS214" s="416"/>
      <c r="AT214" s="416"/>
      <c r="AU214" s="416"/>
      <c r="AV214" s="416"/>
      <c r="AW214" s="416"/>
      <c r="AX214" s="416"/>
      <c r="AY214" s="286"/>
      <c r="AZ214" s="416"/>
      <c r="BA214" s="416"/>
      <c r="BB214" s="32"/>
    </row>
    <row r="215" spans="2:54">
      <c r="B215" s="1250" t="s">
        <v>1717</v>
      </c>
      <c r="C215" s="1251"/>
      <c r="D215" s="411" t="s">
        <v>2285</v>
      </c>
      <c r="E215" s="425"/>
      <c r="F215" s="411" t="s">
        <v>383</v>
      </c>
      <c r="G215" s="411" t="s">
        <v>384</v>
      </c>
      <c r="H215" s="412">
        <f>H213</f>
        <v>1700.3333333333333</v>
      </c>
      <c r="I215" s="413" t="s">
        <v>82</v>
      </c>
      <c r="J215" s="414"/>
      <c r="K215" s="414"/>
      <c r="L215" s="414" t="s">
        <v>192</v>
      </c>
      <c r="M215" s="414" t="s">
        <v>192</v>
      </c>
      <c r="N215" s="413" t="str">
        <f t="shared" si="18"/>
        <v xml:space="preserve"> </v>
      </c>
      <c r="O215" s="51"/>
      <c r="P215" s="415" t="s">
        <v>551</v>
      </c>
      <c r="Q215" s="415" t="s">
        <v>551</v>
      </c>
      <c r="R215" s="415" t="s">
        <v>551</v>
      </c>
      <c r="S215" s="32"/>
      <c r="T215" s="416"/>
      <c r="U215" s="416"/>
      <c r="V215" s="416"/>
      <c r="W215" s="416"/>
      <c r="X215" s="416"/>
      <c r="Y215" s="416"/>
      <c r="Z215" s="416"/>
      <c r="AA215" s="416"/>
      <c r="AB215" s="416"/>
      <c r="AC215" s="416"/>
      <c r="AD215" s="416"/>
      <c r="AE215" s="416"/>
      <c r="AF215" s="416"/>
      <c r="AG215" s="416"/>
      <c r="AH215" s="416"/>
      <c r="AI215" s="416"/>
      <c r="AJ215" s="416"/>
      <c r="AK215" s="416"/>
      <c r="AL215" s="416"/>
      <c r="AM215" s="416"/>
      <c r="AN215" s="416"/>
      <c r="AO215" s="416"/>
      <c r="AP215" s="416"/>
      <c r="AQ215" s="416"/>
      <c r="AR215" s="32"/>
      <c r="AS215" s="416"/>
      <c r="AT215" s="416">
        <f>H215</f>
        <v>1700.3333333333333</v>
      </c>
      <c r="AU215" s="416"/>
      <c r="AV215" s="416"/>
      <c r="AW215" s="416"/>
      <c r="AX215" s="416"/>
      <c r="AY215" s="416"/>
      <c r="AZ215" s="416"/>
      <c r="BA215" s="416"/>
      <c r="BB215" s="32"/>
    </row>
    <row r="216" spans="2:54">
      <c r="B216" s="1254"/>
      <c r="C216" s="1255"/>
      <c r="D216" s="411" t="s">
        <v>2287</v>
      </c>
      <c r="E216" s="411"/>
      <c r="F216" s="411" t="s">
        <v>371</v>
      </c>
      <c r="G216" s="411" t="s">
        <v>372</v>
      </c>
      <c r="H216" s="412">
        <v>7506.6030000000001</v>
      </c>
      <c r="I216" s="413" t="s">
        <v>665</v>
      </c>
      <c r="J216" s="414">
        <v>45151.240277777775</v>
      </c>
      <c r="K216" s="414"/>
      <c r="L216" s="414" t="s">
        <v>192</v>
      </c>
      <c r="M216" s="414" t="s">
        <v>192</v>
      </c>
      <c r="N216" s="413" t="str">
        <f t="shared" si="18"/>
        <v>On time</v>
      </c>
      <c r="O216" s="51"/>
      <c r="P216" s="415" t="s">
        <v>551</v>
      </c>
      <c r="Q216" s="415" t="s">
        <v>551</v>
      </c>
      <c r="R216" s="415" t="s">
        <v>551</v>
      </c>
      <c r="S216" s="32"/>
      <c r="T216" s="416"/>
      <c r="U216" s="416">
        <f>H216</f>
        <v>7506.6030000000001</v>
      </c>
      <c r="V216" s="416"/>
      <c r="W216" s="416"/>
      <c r="X216" s="32"/>
      <c r="Y216" s="416"/>
      <c r="Z216" s="416"/>
      <c r="AA216" s="416"/>
      <c r="AB216" s="416"/>
      <c r="AC216" s="416"/>
      <c r="AD216" s="416"/>
      <c r="AE216" s="416"/>
      <c r="AF216" s="416"/>
      <c r="AG216" s="416"/>
      <c r="AH216" s="416"/>
      <c r="AI216" s="416"/>
      <c r="AJ216" s="416"/>
      <c r="AK216" s="416"/>
      <c r="AL216" s="416"/>
      <c r="AM216" s="416"/>
      <c r="AN216" s="416"/>
      <c r="AO216" s="416"/>
      <c r="AP216" s="32"/>
      <c r="AQ216" s="416"/>
      <c r="AR216" s="416"/>
      <c r="AS216" s="416"/>
      <c r="AT216" s="416"/>
      <c r="AU216" s="416"/>
      <c r="AV216" s="416"/>
      <c r="AW216" s="416"/>
      <c r="AX216" s="416"/>
      <c r="AY216" s="416"/>
      <c r="AZ216" s="416"/>
      <c r="BA216" s="416"/>
      <c r="BB216" s="32"/>
    </row>
    <row r="217" spans="2:54">
      <c r="B217" s="1250" t="s">
        <v>1161</v>
      </c>
      <c r="C217" s="1251"/>
      <c r="D217" s="411" t="s">
        <v>2285</v>
      </c>
      <c r="E217" s="425"/>
      <c r="F217" s="411" t="s">
        <v>383</v>
      </c>
      <c r="G217" s="411" t="s">
        <v>384</v>
      </c>
      <c r="H217" s="412">
        <f>H215</f>
        <v>1700.3333333333333</v>
      </c>
      <c r="I217" s="413" t="s">
        <v>82</v>
      </c>
      <c r="J217" s="414"/>
      <c r="K217" s="414"/>
      <c r="L217" s="414" t="s">
        <v>192</v>
      </c>
      <c r="M217" s="414" t="s">
        <v>192</v>
      </c>
      <c r="N217" s="413" t="str">
        <f t="shared" si="18"/>
        <v xml:space="preserve"> </v>
      </c>
      <c r="O217" s="51"/>
      <c r="P217" s="415" t="s">
        <v>551</v>
      </c>
      <c r="Q217" s="415" t="s">
        <v>551</v>
      </c>
      <c r="R217" s="415" t="s">
        <v>551</v>
      </c>
      <c r="S217" s="32"/>
      <c r="T217" s="416"/>
      <c r="U217" s="416"/>
      <c r="V217" s="416"/>
      <c r="W217" s="416"/>
      <c r="X217" s="416"/>
      <c r="Y217" s="416"/>
      <c r="Z217" s="416"/>
      <c r="AA217" s="416"/>
      <c r="AB217" s="416"/>
      <c r="AC217" s="416"/>
      <c r="AD217" s="416"/>
      <c r="AE217" s="416"/>
      <c r="AF217" s="416"/>
      <c r="AG217" s="416"/>
      <c r="AH217" s="416"/>
      <c r="AI217" s="416"/>
      <c r="AJ217" s="416"/>
      <c r="AK217" s="416"/>
      <c r="AL217" s="416"/>
      <c r="AM217" s="416"/>
      <c r="AN217" s="416"/>
      <c r="AO217" s="416"/>
      <c r="AP217" s="416"/>
      <c r="AQ217" s="416"/>
      <c r="AR217" s="32"/>
      <c r="AS217" s="416"/>
      <c r="AT217" s="416">
        <f>H217</f>
        <v>1700.3333333333333</v>
      </c>
      <c r="AU217" s="416"/>
      <c r="AV217" s="416"/>
      <c r="AW217" s="416"/>
      <c r="AX217" s="416"/>
      <c r="AY217" s="416"/>
      <c r="AZ217" s="416"/>
      <c r="BA217" s="416"/>
      <c r="BB217" s="32"/>
    </row>
    <row r="218" spans="2:54">
      <c r="B218" s="1254"/>
      <c r="C218" s="1255"/>
      <c r="D218" s="411" t="s">
        <v>2288</v>
      </c>
      <c r="E218" s="411"/>
      <c r="F218" s="411" t="s">
        <v>298</v>
      </c>
      <c r="G218" s="411" t="s">
        <v>299</v>
      </c>
      <c r="H218" s="412">
        <v>7924.5290000000005</v>
      </c>
      <c r="I218" s="413" t="s">
        <v>240</v>
      </c>
      <c r="J218" s="414">
        <v>45151.416666666664</v>
      </c>
      <c r="K218" s="414"/>
      <c r="L218" s="414" t="s">
        <v>192</v>
      </c>
      <c r="M218" s="414" t="s">
        <v>192</v>
      </c>
      <c r="N218" s="413" t="str">
        <f t="shared" si="18"/>
        <v>On time</v>
      </c>
      <c r="O218" s="51"/>
      <c r="P218" s="415" t="s">
        <v>551</v>
      </c>
      <c r="Q218" s="415" t="s">
        <v>551</v>
      </c>
      <c r="R218" s="415" t="s">
        <v>551</v>
      </c>
      <c r="S218" s="32"/>
      <c r="T218" s="416"/>
      <c r="U218" s="416"/>
      <c r="V218" s="416"/>
      <c r="W218" s="416"/>
      <c r="X218" s="416"/>
      <c r="Y218" s="416"/>
      <c r="Z218" s="416"/>
      <c r="AA218" s="416"/>
      <c r="AB218" s="416"/>
      <c r="AC218" s="416">
        <f>H218</f>
        <v>7924.5290000000005</v>
      </c>
      <c r="AD218" s="416"/>
      <c r="AE218" s="416"/>
      <c r="AF218" s="416"/>
      <c r="AG218" s="416"/>
      <c r="AH218" s="416"/>
      <c r="AI218" s="416"/>
      <c r="AJ218" s="416"/>
      <c r="AK218" s="416"/>
      <c r="AL218" s="416"/>
      <c r="AM218" s="416"/>
      <c r="AN218" s="416"/>
      <c r="AO218" s="416"/>
      <c r="AP218" s="416"/>
      <c r="AQ218" s="416"/>
      <c r="AR218" s="416"/>
      <c r="AS218" s="416"/>
      <c r="AT218" s="416"/>
      <c r="AU218" s="416"/>
      <c r="AV218" s="416"/>
      <c r="AW218" s="416"/>
      <c r="AX218" s="416"/>
      <c r="AY218" s="416"/>
      <c r="AZ218" s="416"/>
      <c r="BA218" s="416"/>
      <c r="BB218" s="32"/>
    </row>
    <row r="219" spans="2:54">
      <c r="B219" s="1256" t="s">
        <v>548</v>
      </c>
      <c r="C219" s="1257"/>
      <c r="D219" s="411" t="s">
        <v>2289</v>
      </c>
      <c r="E219" s="411"/>
      <c r="F219" s="411" t="s">
        <v>339</v>
      </c>
      <c r="G219" s="411" t="s">
        <v>506</v>
      </c>
      <c r="H219" s="412">
        <v>6969.0630000000001</v>
      </c>
      <c r="I219" s="413" t="s">
        <v>240</v>
      </c>
      <c r="J219" s="414">
        <v>45152.291666666664</v>
      </c>
      <c r="K219" s="414"/>
      <c r="L219" s="414" t="s">
        <v>192</v>
      </c>
      <c r="M219" s="414" t="s">
        <v>192</v>
      </c>
      <c r="N219" s="413" t="str">
        <f t="shared" si="18"/>
        <v>DELAY ( 1 day 16 hour 16 minute )</v>
      </c>
      <c r="O219" s="51"/>
      <c r="P219" s="415" t="s">
        <v>551</v>
      </c>
      <c r="Q219" s="415" t="s">
        <v>551</v>
      </c>
      <c r="R219" s="415" t="s">
        <v>551</v>
      </c>
      <c r="S219" s="32"/>
      <c r="T219" s="416"/>
      <c r="U219" s="416"/>
      <c r="V219" s="416"/>
      <c r="W219" s="416"/>
      <c r="X219" s="416"/>
      <c r="Y219" s="416"/>
      <c r="Z219" s="416"/>
      <c r="AA219" s="416"/>
      <c r="AB219" s="416"/>
      <c r="AC219" s="416">
        <f t="shared" ref="AC219" si="19">H219</f>
        <v>6969.0630000000001</v>
      </c>
      <c r="AD219" s="416"/>
      <c r="AE219" s="416"/>
      <c r="AF219" s="416"/>
      <c r="AG219" s="416"/>
      <c r="AH219" s="416"/>
      <c r="AI219" s="416"/>
      <c r="AJ219" s="32"/>
      <c r="AK219" s="416"/>
      <c r="AL219" s="416"/>
      <c r="AM219" s="416"/>
      <c r="AN219" s="416"/>
      <c r="AO219" s="416"/>
      <c r="AP219" s="416"/>
      <c r="AQ219" s="416"/>
      <c r="AR219" s="32"/>
      <c r="AS219" s="416"/>
      <c r="AT219" s="416"/>
      <c r="AU219" s="416"/>
      <c r="AV219" s="416"/>
      <c r="AW219" s="416"/>
      <c r="AX219" s="416"/>
      <c r="AY219" s="286"/>
      <c r="AZ219" s="416"/>
      <c r="BA219" s="416"/>
      <c r="BB219" s="32"/>
    </row>
    <row r="220" spans="2:54">
      <c r="B220" s="1250" t="s">
        <v>643</v>
      </c>
      <c r="C220" s="1251"/>
      <c r="D220" s="411" t="s">
        <v>2290</v>
      </c>
      <c r="E220" s="411"/>
      <c r="F220" s="411" t="s">
        <v>263</v>
      </c>
      <c r="G220" s="411" t="s">
        <v>264</v>
      </c>
      <c r="H220" s="412">
        <v>7502.7380000000003</v>
      </c>
      <c r="I220" s="413" t="s">
        <v>240</v>
      </c>
      <c r="J220" s="414">
        <v>45153.5</v>
      </c>
      <c r="K220" s="414"/>
      <c r="L220" s="414" t="s">
        <v>192</v>
      </c>
      <c r="M220" s="414" t="s">
        <v>192</v>
      </c>
      <c r="N220" s="413" t="str">
        <f t="shared" si="18"/>
        <v>DELAY ( 2 day 21 hour 16 minute )</v>
      </c>
      <c r="O220" s="51"/>
      <c r="P220" s="415" t="s">
        <v>551</v>
      </c>
      <c r="Q220" s="415" t="s">
        <v>551</v>
      </c>
      <c r="R220" s="415" t="s">
        <v>551</v>
      </c>
      <c r="S220" s="32"/>
      <c r="T220" s="416"/>
      <c r="U220" s="416"/>
      <c r="V220" s="416"/>
      <c r="W220" s="416"/>
      <c r="X220" s="416"/>
      <c r="Y220" s="416"/>
      <c r="Z220" s="416"/>
      <c r="AA220" s="416"/>
      <c r="AB220" s="416"/>
      <c r="AC220" s="416">
        <f>H220</f>
        <v>7502.7380000000003</v>
      </c>
      <c r="AD220" s="416"/>
      <c r="AE220" s="416"/>
      <c r="AF220" s="416"/>
      <c r="AG220" s="416"/>
      <c r="AH220" s="416"/>
      <c r="AI220" s="416"/>
      <c r="AJ220" s="416"/>
      <c r="AK220" s="416"/>
      <c r="AL220" s="416"/>
      <c r="AM220" s="416"/>
      <c r="AN220" s="416"/>
      <c r="AO220" s="416"/>
      <c r="AP220" s="416"/>
      <c r="AQ220" s="416"/>
      <c r="AR220" s="416"/>
      <c r="AS220" s="416"/>
      <c r="AT220" s="416"/>
      <c r="AU220" s="416"/>
      <c r="AV220" s="416"/>
      <c r="AW220" s="416"/>
      <c r="AX220" s="416"/>
      <c r="AY220" s="416"/>
      <c r="AZ220" s="416"/>
      <c r="BA220" s="416"/>
      <c r="BB220" s="32"/>
    </row>
    <row r="221" spans="2:54">
      <c r="B221" s="1254"/>
      <c r="C221" s="1255"/>
      <c r="D221" s="411" t="s">
        <v>2291</v>
      </c>
      <c r="E221" s="425"/>
      <c r="F221" s="411" t="s">
        <v>330</v>
      </c>
      <c r="G221" s="411" t="s">
        <v>331</v>
      </c>
      <c r="H221" s="412">
        <f>7507.148/2</f>
        <v>3753.5740000000001</v>
      </c>
      <c r="I221" s="413" t="s">
        <v>1164</v>
      </c>
      <c r="J221" s="1268">
        <v>45153.979166666664</v>
      </c>
      <c r="K221" s="414"/>
      <c r="L221" s="414" t="s">
        <v>192</v>
      </c>
      <c r="M221" s="414" t="s">
        <v>192</v>
      </c>
      <c r="N221" s="413" t="str">
        <f t="shared" si="18"/>
        <v>DELAY ( 3 day 8 hour 46 minute )</v>
      </c>
      <c r="O221" s="51"/>
      <c r="P221" s="415" t="s">
        <v>551</v>
      </c>
      <c r="Q221" s="415" t="s">
        <v>551</v>
      </c>
      <c r="R221" s="415" t="s">
        <v>551</v>
      </c>
      <c r="S221" s="32"/>
      <c r="T221" s="416"/>
      <c r="U221" s="416"/>
      <c r="V221" s="416"/>
      <c r="W221" s="416"/>
      <c r="X221" s="416">
        <f>H221</f>
        <v>3753.5740000000001</v>
      </c>
      <c r="Y221" s="416"/>
      <c r="Z221" s="416"/>
      <c r="AA221" s="416"/>
      <c r="AB221" s="416"/>
      <c r="AC221" s="416"/>
      <c r="AD221" s="416"/>
      <c r="AE221" s="416"/>
      <c r="AF221" s="416"/>
      <c r="AG221" s="416"/>
      <c r="AH221" s="416"/>
      <c r="AI221" s="416"/>
      <c r="AJ221" s="416"/>
      <c r="AK221" s="416"/>
      <c r="AL221" s="416"/>
      <c r="AM221" s="416"/>
      <c r="AN221" s="416"/>
      <c r="AO221" s="416"/>
      <c r="AP221" s="416"/>
      <c r="AQ221" s="416"/>
      <c r="AR221" s="416"/>
      <c r="AS221" s="416"/>
      <c r="AT221" s="416"/>
      <c r="AU221" s="416"/>
      <c r="AV221" s="416"/>
      <c r="AW221" s="416"/>
      <c r="AX221" s="416"/>
      <c r="AY221" s="416"/>
      <c r="AZ221" s="416"/>
      <c r="BA221" s="416"/>
      <c r="BB221" s="32"/>
    </row>
    <row r="222" spans="2:54">
      <c r="B222" s="1250" t="s">
        <v>2292</v>
      </c>
      <c r="C222" s="1251"/>
      <c r="D222" s="411" t="s">
        <v>2291</v>
      </c>
      <c r="E222" s="425"/>
      <c r="F222" s="411" t="s">
        <v>330</v>
      </c>
      <c r="G222" s="411" t="s">
        <v>331</v>
      </c>
      <c r="H222" s="412">
        <f>H221</f>
        <v>3753.5740000000001</v>
      </c>
      <c r="I222" s="413" t="s">
        <v>1164</v>
      </c>
      <c r="J222" s="1269"/>
      <c r="K222" s="414"/>
      <c r="L222" s="414" t="s">
        <v>192</v>
      </c>
      <c r="M222" s="414" t="s">
        <v>192</v>
      </c>
      <c r="N222" s="413" t="str">
        <f t="shared" si="18"/>
        <v xml:space="preserve"> </v>
      </c>
      <c r="O222" s="51"/>
      <c r="P222" s="415" t="s">
        <v>551</v>
      </c>
      <c r="Q222" s="415" t="s">
        <v>551</v>
      </c>
      <c r="R222" s="415" t="s">
        <v>551</v>
      </c>
      <c r="S222" s="32"/>
      <c r="T222" s="416"/>
      <c r="U222" s="416"/>
      <c r="V222" s="416"/>
      <c r="W222" s="416"/>
      <c r="X222" s="416">
        <f>H222</f>
        <v>3753.5740000000001</v>
      </c>
      <c r="Y222" s="416"/>
      <c r="Z222" s="416"/>
      <c r="AA222" s="416"/>
      <c r="AB222" s="416"/>
      <c r="AC222" s="416"/>
      <c r="AD222" s="416"/>
      <c r="AE222" s="416"/>
      <c r="AF222" s="416"/>
      <c r="AG222" s="416"/>
      <c r="AH222" s="416"/>
      <c r="AI222" s="416"/>
      <c r="AJ222" s="416"/>
      <c r="AK222" s="416"/>
      <c r="AL222" s="416"/>
      <c r="AM222" s="416"/>
      <c r="AN222" s="416"/>
      <c r="AO222" s="416"/>
      <c r="AP222" s="416"/>
      <c r="AQ222" s="416"/>
      <c r="AR222" s="416"/>
      <c r="AS222" s="416"/>
      <c r="AT222" s="416"/>
      <c r="AU222" s="416"/>
      <c r="AV222" s="416"/>
      <c r="AW222" s="416"/>
      <c r="AX222" s="416"/>
      <c r="AY222" s="416"/>
      <c r="AZ222" s="416"/>
      <c r="BA222" s="416"/>
      <c r="BB222" s="32"/>
    </row>
    <row r="223" spans="2:54">
      <c r="B223" s="1254"/>
      <c r="C223" s="1255"/>
      <c r="D223" s="411" t="s">
        <v>2293</v>
      </c>
      <c r="E223" s="411"/>
      <c r="F223" s="411" t="s">
        <v>473</v>
      </c>
      <c r="G223" s="411" t="s">
        <v>474</v>
      </c>
      <c r="H223" s="412">
        <v>7026.7929999999997</v>
      </c>
      <c r="I223" s="413" t="s">
        <v>240</v>
      </c>
      <c r="J223" s="414">
        <v>45153.444444444445</v>
      </c>
      <c r="K223" s="414"/>
      <c r="L223" s="414" t="s">
        <v>192</v>
      </c>
      <c r="M223" s="414" t="s">
        <v>192</v>
      </c>
      <c r="N223" s="413" t="str">
        <f t="shared" si="18"/>
        <v>DELAY ( 2 day 19 hour 56 minute )</v>
      </c>
      <c r="O223" s="51"/>
      <c r="P223" s="415" t="s">
        <v>551</v>
      </c>
      <c r="Q223" s="415" t="s">
        <v>551</v>
      </c>
      <c r="R223" s="415" t="s">
        <v>551</v>
      </c>
      <c r="S223" s="32"/>
      <c r="T223" s="416"/>
      <c r="U223" s="416"/>
      <c r="V223" s="416"/>
      <c r="W223" s="416"/>
      <c r="X223" s="416"/>
      <c r="Y223" s="416"/>
      <c r="Z223" s="416"/>
      <c r="AA223" s="416"/>
      <c r="AB223" s="416"/>
      <c r="AC223" s="416">
        <f>H223</f>
        <v>7026.7929999999997</v>
      </c>
      <c r="AD223" s="416"/>
      <c r="AE223" s="416"/>
      <c r="AF223" s="416"/>
      <c r="AG223" s="416"/>
      <c r="AH223" s="416"/>
      <c r="AI223" s="416"/>
      <c r="AJ223" s="416"/>
      <c r="AK223" s="416"/>
      <c r="AL223" s="416"/>
      <c r="AM223" s="416"/>
      <c r="AN223" s="416"/>
      <c r="AO223" s="416"/>
      <c r="AP223" s="416"/>
      <c r="AQ223" s="416"/>
      <c r="AR223" s="416"/>
      <c r="AS223" s="416"/>
      <c r="AT223" s="416"/>
      <c r="AU223" s="416"/>
      <c r="AV223" s="416"/>
      <c r="AW223" s="416"/>
      <c r="AX223" s="416"/>
      <c r="AY223" s="416"/>
      <c r="AZ223" s="416"/>
      <c r="BA223" s="416"/>
      <c r="BB223" s="32"/>
    </row>
    <row r="224" spans="2:54">
      <c r="B224" s="1256" t="s">
        <v>548</v>
      </c>
      <c r="C224" s="1257"/>
      <c r="D224" s="411" t="s">
        <v>2294</v>
      </c>
      <c r="E224" s="411"/>
      <c r="F224" s="411" t="s">
        <v>2295</v>
      </c>
      <c r="G224" s="411" t="s">
        <v>2296</v>
      </c>
      <c r="H224" s="412">
        <f>9107.669-2128.758</f>
        <v>6978.9110000000001</v>
      </c>
      <c r="I224" s="413" t="s">
        <v>235</v>
      </c>
      <c r="J224" s="414">
        <v>45153.791666666664</v>
      </c>
      <c r="K224" s="414"/>
      <c r="L224" s="414" t="s">
        <v>192</v>
      </c>
      <c r="M224" s="414" t="s">
        <v>192</v>
      </c>
      <c r="N224" s="413" t="str">
        <f t="shared" si="18"/>
        <v>DELAY ( 3 day 4 hour 16 minute )</v>
      </c>
      <c r="O224" s="51"/>
      <c r="P224" s="415" t="s">
        <v>551</v>
      </c>
      <c r="Q224" s="415" t="s">
        <v>551</v>
      </c>
      <c r="R224" s="415" t="s">
        <v>551</v>
      </c>
      <c r="S224" s="32"/>
      <c r="T224" s="416"/>
      <c r="U224" s="416"/>
      <c r="V224" s="416"/>
      <c r="W224" s="416"/>
      <c r="X224" s="416"/>
      <c r="Y224" s="416"/>
      <c r="Z224" s="416"/>
      <c r="AA224" s="289"/>
      <c r="AB224" s="416">
        <f>H224</f>
        <v>6978.9110000000001</v>
      </c>
      <c r="AC224" s="32"/>
      <c r="AD224" s="416"/>
      <c r="AE224" s="416"/>
      <c r="AF224" s="416"/>
      <c r="AG224" s="416"/>
      <c r="AH224" s="416"/>
      <c r="AI224" s="416"/>
      <c r="AJ224" s="416"/>
      <c r="AK224" s="416"/>
      <c r="AL224" s="416"/>
      <c r="AM224" s="416"/>
      <c r="AN224" s="416"/>
      <c r="AO224" s="416"/>
      <c r="AP224" s="416"/>
      <c r="AQ224" s="416"/>
      <c r="AR224" s="416"/>
      <c r="AS224" s="416"/>
      <c r="AT224" s="289"/>
      <c r="AU224" s="416"/>
      <c r="AV224" s="416"/>
      <c r="AW224" s="416"/>
      <c r="AX224" s="416"/>
      <c r="AY224" s="416"/>
      <c r="AZ224" s="416"/>
      <c r="BA224" s="416"/>
      <c r="BB224" s="32"/>
    </row>
    <row r="225" spans="2:56">
      <c r="B225" s="1258" t="s">
        <v>556</v>
      </c>
      <c r="C225" s="1259"/>
      <c r="D225" s="1259"/>
      <c r="E225" s="1259"/>
      <c r="F225" s="1259"/>
      <c r="G225" s="1260"/>
      <c r="H225" s="417">
        <f>SUM(H213:H224)</f>
        <v>63733</v>
      </c>
      <c r="I225" s="388"/>
      <c r="J225" s="293"/>
      <c r="K225" s="293"/>
      <c r="L225" s="293"/>
      <c r="M225" s="389"/>
      <c r="N225" s="413" t="str">
        <f t="shared" si="18"/>
        <v xml:space="preserve"> </v>
      </c>
      <c r="O225" s="212"/>
      <c r="P225" s="418"/>
      <c r="Q225" s="418"/>
      <c r="R225" s="418"/>
      <c r="S225" s="207"/>
      <c r="T225" s="1300"/>
      <c r="U225" s="1301"/>
      <c r="V225" s="1301"/>
      <c r="W225" s="1301"/>
      <c r="X225" s="1301"/>
      <c r="Y225" s="1301"/>
      <c r="Z225" s="1301"/>
      <c r="AA225" s="1301"/>
      <c r="AB225" s="1301"/>
      <c r="AC225" s="1301"/>
      <c r="AD225" s="1301"/>
      <c r="AE225" s="1301"/>
      <c r="AF225" s="1301"/>
      <c r="AG225" s="1301"/>
      <c r="AH225" s="1301"/>
      <c r="AI225" s="1301"/>
      <c r="AJ225" s="1301"/>
      <c r="AK225" s="1301"/>
      <c r="AL225" s="1301"/>
      <c r="AM225" s="1301"/>
      <c r="AN225" s="1301"/>
      <c r="AO225" s="1301"/>
      <c r="AP225" s="1301"/>
      <c r="AQ225" s="1301"/>
      <c r="AR225" s="1301"/>
      <c r="AS225" s="1301"/>
      <c r="AT225" s="1301"/>
      <c r="AU225" s="1301"/>
      <c r="AV225" s="1301"/>
      <c r="AW225" s="1301"/>
      <c r="AX225" s="1301"/>
      <c r="AY225" s="1301"/>
      <c r="AZ225" s="1301"/>
      <c r="BA225" s="1301"/>
    </row>
    <row r="226" spans="2:56">
      <c r="B226" s="1243" t="s">
        <v>557</v>
      </c>
      <c r="C226" s="1244"/>
      <c r="D226" s="1244"/>
      <c r="E226" s="1244"/>
      <c r="F226" s="1244"/>
      <c r="G226" s="1245"/>
      <c r="H226" s="419">
        <v>63733</v>
      </c>
      <c r="I226" s="1273"/>
      <c r="J226" s="1274"/>
      <c r="K226" s="1274"/>
      <c r="L226" s="1274"/>
      <c r="M226" s="1275"/>
      <c r="N226" s="413" t="str">
        <f t="shared" si="18"/>
        <v xml:space="preserve"> </v>
      </c>
      <c r="O226" s="32"/>
      <c r="P226" s="415"/>
      <c r="Q226" s="415"/>
      <c r="R226" s="415"/>
      <c r="S226" s="63"/>
      <c r="T226" s="416">
        <f t="shared" ref="T226:BA226" si="20">SUM(T213:T224)</f>
        <v>0</v>
      </c>
      <c r="U226" s="416">
        <f t="shared" si="20"/>
        <v>7506.6030000000001</v>
      </c>
      <c r="V226" s="416">
        <f t="shared" si="20"/>
        <v>0</v>
      </c>
      <c r="W226" s="416">
        <f t="shared" si="20"/>
        <v>0</v>
      </c>
      <c r="X226" s="416">
        <f t="shared" si="20"/>
        <v>7507.1480000000001</v>
      </c>
      <c r="Y226" s="416">
        <f t="shared" si="20"/>
        <v>0</v>
      </c>
      <c r="Z226" s="416">
        <f t="shared" si="20"/>
        <v>0</v>
      </c>
      <c r="AA226" s="416">
        <f t="shared" si="20"/>
        <v>0</v>
      </c>
      <c r="AB226" s="416">
        <f t="shared" si="20"/>
        <v>6978.9110000000001</v>
      </c>
      <c r="AC226" s="416">
        <f t="shared" si="20"/>
        <v>36639.338000000003</v>
      </c>
      <c r="AD226" s="416">
        <f t="shared" si="20"/>
        <v>0</v>
      </c>
      <c r="AE226" s="416">
        <f t="shared" si="20"/>
        <v>0</v>
      </c>
      <c r="AF226" s="416">
        <f t="shared" si="20"/>
        <v>0</v>
      </c>
      <c r="AG226" s="416">
        <f t="shared" si="20"/>
        <v>0</v>
      </c>
      <c r="AH226" s="416">
        <f t="shared" si="20"/>
        <v>0</v>
      </c>
      <c r="AI226" s="416">
        <f t="shared" si="20"/>
        <v>0</v>
      </c>
      <c r="AJ226" s="416">
        <f t="shared" si="20"/>
        <v>0</v>
      </c>
      <c r="AK226" s="416">
        <f t="shared" si="20"/>
        <v>0</v>
      </c>
      <c r="AL226" s="416">
        <f t="shared" si="20"/>
        <v>0</v>
      </c>
      <c r="AM226" s="416">
        <f t="shared" si="20"/>
        <v>0</v>
      </c>
      <c r="AN226" s="416">
        <f t="shared" si="20"/>
        <v>0</v>
      </c>
      <c r="AO226" s="416">
        <f t="shared" si="20"/>
        <v>0</v>
      </c>
      <c r="AP226" s="416">
        <f t="shared" si="20"/>
        <v>0</v>
      </c>
      <c r="AQ226" s="416">
        <f t="shared" si="20"/>
        <v>0</v>
      </c>
      <c r="AR226" s="416">
        <f t="shared" si="20"/>
        <v>0</v>
      </c>
      <c r="AS226" s="416">
        <f t="shared" si="20"/>
        <v>0</v>
      </c>
      <c r="AT226" s="416">
        <f t="shared" si="20"/>
        <v>5101</v>
      </c>
      <c r="AU226" s="416">
        <f t="shared" si="20"/>
        <v>0</v>
      </c>
      <c r="AV226" s="416">
        <f t="shared" si="20"/>
        <v>0</v>
      </c>
      <c r="AW226" s="416">
        <f t="shared" si="20"/>
        <v>0</v>
      </c>
      <c r="AX226" s="416">
        <f t="shared" si="20"/>
        <v>0</v>
      </c>
      <c r="AY226" s="416">
        <f t="shared" si="20"/>
        <v>0</v>
      </c>
      <c r="AZ226" s="416">
        <f t="shared" si="20"/>
        <v>0</v>
      </c>
      <c r="BA226" s="416">
        <f t="shared" si="20"/>
        <v>0</v>
      </c>
      <c r="BB226" s="416">
        <f>SUM(T226:BA226)</f>
        <v>63733</v>
      </c>
    </row>
    <row r="227" spans="2:56">
      <c r="B227" s="1243" t="s">
        <v>558</v>
      </c>
      <c r="C227" s="1244"/>
      <c r="D227" s="1244"/>
      <c r="E227" s="1244"/>
      <c r="F227" s="1244"/>
      <c r="G227" s="1245"/>
      <c r="H227" s="420">
        <f>H226-L207</f>
        <v>0</v>
      </c>
      <c r="I227" s="294"/>
      <c r="J227" s="295"/>
      <c r="K227" s="295"/>
      <c r="L227" s="296"/>
      <c r="M227" s="32"/>
      <c r="N227" s="32"/>
      <c r="O227" s="32"/>
      <c r="P227" s="32"/>
      <c r="Q227" s="297"/>
      <c r="R227" s="297"/>
      <c r="S227" s="32"/>
      <c r="T227" s="48"/>
      <c r="U227" s="48"/>
      <c r="V227" s="48"/>
      <c r="W227" s="48"/>
      <c r="X227" s="48"/>
      <c r="Y227" s="48"/>
      <c r="Z227" s="48"/>
      <c r="AA227" s="48"/>
      <c r="AB227" s="48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</row>
    <row r="228" spans="2:56">
      <c r="B228" s="1243" t="s">
        <v>559</v>
      </c>
      <c r="C228" s="1244"/>
      <c r="D228" s="1244"/>
      <c r="E228" s="1244"/>
      <c r="F228" s="1244"/>
      <c r="G228" s="1245"/>
      <c r="H228" s="446">
        <v>2118.3040000000001</v>
      </c>
      <c r="I228" s="52"/>
      <c r="J228" s="53"/>
      <c r="K228" s="53"/>
      <c r="L228" s="54"/>
      <c r="M228" s="32"/>
      <c r="N228" s="201"/>
      <c r="O228" s="32"/>
      <c r="P228" s="32"/>
      <c r="Q228" s="32"/>
      <c r="R228" s="32"/>
      <c r="S228" s="32"/>
      <c r="T228" s="48"/>
      <c r="U228" s="48"/>
      <c r="V228" s="48"/>
      <c r="W228" s="48"/>
      <c r="X228" s="48"/>
      <c r="Y228" s="48"/>
      <c r="Z228" s="48"/>
      <c r="AA228" s="48"/>
      <c r="AB228" s="48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</row>
    <row r="229" spans="2:56">
      <c r="B229" s="1243" t="s">
        <v>560</v>
      </c>
      <c r="C229" s="1244"/>
      <c r="D229" s="1244"/>
      <c r="E229" s="1244"/>
      <c r="F229" s="1244"/>
      <c r="G229" s="1245"/>
      <c r="H229" s="421">
        <f>H228-2128.758</f>
        <v>-10.453999999999724</v>
      </c>
      <c r="I229" s="52"/>
      <c r="J229" s="53"/>
      <c r="K229" s="53"/>
      <c r="L229" s="54"/>
      <c r="M229" s="32"/>
      <c r="N229" s="32"/>
      <c r="O229" s="32"/>
      <c r="P229" s="32"/>
      <c r="Q229" s="32"/>
      <c r="R229" s="32"/>
      <c r="S229" s="48"/>
      <c r="T229" s="48"/>
      <c r="U229" s="48"/>
      <c r="V229" s="48"/>
      <c r="W229" s="48"/>
      <c r="X229" s="48"/>
      <c r="Y229" s="48"/>
      <c r="Z229" s="48"/>
      <c r="AA229" s="48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</row>
    <row r="230" spans="2:56">
      <c r="B230" s="201"/>
      <c r="C230" s="201"/>
      <c r="D230" s="201"/>
      <c r="E230" s="201"/>
      <c r="F230" s="201"/>
      <c r="G230" s="201"/>
      <c r="H230" s="201"/>
      <c r="I230" s="213"/>
      <c r="J230" s="209"/>
      <c r="K230" s="209"/>
      <c r="L230" s="203"/>
      <c r="M230" s="201"/>
      <c r="N230" s="201"/>
      <c r="O230" s="209"/>
      <c r="P230" s="32"/>
      <c r="Q230" s="32"/>
      <c r="R230" s="32"/>
      <c r="S230" s="32"/>
      <c r="T230" s="48"/>
      <c r="U230" s="48"/>
      <c r="V230" s="48"/>
      <c r="W230" s="48"/>
      <c r="X230" s="48"/>
      <c r="Y230" s="48"/>
      <c r="Z230" s="48"/>
      <c r="AA230" s="48"/>
      <c r="AB230" s="48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</row>
    <row r="231" spans="2:56">
      <c r="B231" s="40" t="s">
        <v>561</v>
      </c>
      <c r="C231" s="40"/>
      <c r="D231" s="32"/>
      <c r="E231" s="32"/>
      <c r="F231" s="32"/>
      <c r="G231" s="32"/>
      <c r="H231" s="32"/>
      <c r="I231" s="32"/>
      <c r="J231" s="52"/>
      <c r="K231" s="52"/>
      <c r="L231" s="55"/>
      <c r="M231" s="32"/>
      <c r="N231" s="201"/>
      <c r="O231" s="5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  <c r="AB231" s="201"/>
      <c r="AC231" s="201"/>
      <c r="AD231" s="201"/>
      <c r="AE231" s="201"/>
      <c r="AF231" s="201"/>
      <c r="AG231" s="201"/>
      <c r="AH231" s="201"/>
      <c r="AI231" s="201"/>
      <c r="AJ231" s="201"/>
      <c r="AK231" s="201"/>
      <c r="AL231" s="201"/>
      <c r="AM231" s="201"/>
      <c r="AN231" s="201"/>
      <c r="AO231" s="201"/>
      <c r="AP231" s="201"/>
      <c r="AQ231" s="201"/>
      <c r="AR231" s="201"/>
      <c r="AS231" s="201"/>
      <c r="AT231" s="201"/>
      <c r="AU231" s="201"/>
      <c r="BB231" s="201"/>
    </row>
    <row r="232" spans="2:56">
      <c r="B232" s="422">
        <v>1</v>
      </c>
      <c r="C232" s="1249" t="s">
        <v>2297</v>
      </c>
      <c r="D232" s="1249"/>
      <c r="E232" s="1249"/>
      <c r="F232" s="1249"/>
      <c r="G232" s="1249"/>
      <c r="H232" s="1249"/>
      <c r="I232" s="1249"/>
      <c r="J232" s="1249"/>
      <c r="K232" s="1249"/>
      <c r="L232" s="203"/>
      <c r="M232" s="203"/>
      <c r="N232" s="201"/>
      <c r="O232" s="209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  <c r="AA232" s="202"/>
      <c r="AB232" s="201"/>
      <c r="AC232" s="201"/>
      <c r="AD232" s="201"/>
      <c r="AE232" s="201"/>
      <c r="AF232" s="201"/>
      <c r="AG232" s="201"/>
      <c r="AH232" s="201"/>
      <c r="AI232" s="201"/>
      <c r="AJ232" s="201"/>
      <c r="AK232" s="201"/>
      <c r="AL232" s="201"/>
      <c r="AM232" s="201"/>
      <c r="AN232" s="201"/>
      <c r="AO232" s="201"/>
      <c r="AP232" s="201"/>
      <c r="AQ232" s="201"/>
      <c r="AR232" s="201"/>
      <c r="AS232" s="201"/>
      <c r="AT232" s="201"/>
      <c r="AU232" s="201"/>
      <c r="AV232" s="201"/>
      <c r="AW232" s="201"/>
      <c r="AX232" s="201"/>
      <c r="AY232" s="201"/>
      <c r="AZ232" s="201"/>
      <c r="BA232" s="201"/>
      <c r="BB232" s="201"/>
    </row>
    <row r="234" spans="2:56">
      <c r="B234" s="28" t="s">
        <v>126</v>
      </c>
      <c r="C234" s="28"/>
      <c r="D234" s="29"/>
      <c r="E234" s="30" t="s">
        <v>511</v>
      </c>
      <c r="F234" s="31" t="s">
        <v>2298</v>
      </c>
      <c r="G234" s="32"/>
      <c r="H234" s="33"/>
      <c r="I234" s="34"/>
      <c r="J234" s="35" t="s">
        <v>513</v>
      </c>
      <c r="K234" s="36" t="s">
        <v>511</v>
      </c>
      <c r="L234" s="37">
        <v>45155.982638888891</v>
      </c>
      <c r="M234" s="32"/>
      <c r="N234" s="32"/>
      <c r="O234" s="206"/>
      <c r="P234" s="205"/>
      <c r="Q234" s="202"/>
      <c r="R234" s="204"/>
      <c r="S234" s="38"/>
      <c r="T234" s="201"/>
      <c r="U234" s="201"/>
      <c r="V234" s="201"/>
      <c r="W234" s="201"/>
      <c r="X234" s="201"/>
      <c r="Y234" s="201"/>
      <c r="Z234" s="201"/>
      <c r="AA234" s="201"/>
      <c r="AB234" s="202"/>
      <c r="AC234" s="202"/>
      <c r="AD234" s="202"/>
      <c r="AE234" s="202"/>
      <c r="AF234" s="202"/>
      <c r="AG234" s="201"/>
      <c r="AH234" s="201"/>
      <c r="AI234" s="201"/>
      <c r="AJ234" s="201"/>
      <c r="AK234" s="201"/>
      <c r="AL234" s="201"/>
      <c r="AM234" s="201"/>
      <c r="AN234" s="201"/>
      <c r="AO234" s="201"/>
      <c r="AP234" s="201"/>
      <c r="AQ234" s="201"/>
      <c r="AR234" s="201"/>
      <c r="AS234" s="201"/>
      <c r="AT234" s="201"/>
      <c r="AU234" s="201"/>
      <c r="AV234" s="201"/>
      <c r="AW234" s="201"/>
      <c r="AX234" s="201"/>
      <c r="AY234" s="201"/>
      <c r="AZ234" s="201"/>
      <c r="BA234" s="201"/>
      <c r="BB234" s="201"/>
      <c r="BC234" s="201"/>
      <c r="BD234" s="201"/>
    </row>
    <row r="235" spans="2:56">
      <c r="B235" s="35" t="s">
        <v>514</v>
      </c>
      <c r="C235" s="35"/>
      <c r="D235" s="32"/>
      <c r="E235" s="36" t="s">
        <v>511</v>
      </c>
      <c r="F235" s="37" t="s">
        <v>2299</v>
      </c>
      <c r="G235" s="59" t="s">
        <v>647</v>
      </c>
      <c r="H235" s="33"/>
      <c r="I235" s="34"/>
      <c r="J235" s="35" t="s">
        <v>516</v>
      </c>
      <c r="K235" s="36" t="s">
        <v>511</v>
      </c>
      <c r="L235" s="37">
        <v>45157.083333333336</v>
      </c>
      <c r="M235" s="32"/>
      <c r="N235" s="32"/>
      <c r="O235" s="206"/>
      <c r="P235" s="205"/>
      <c r="Q235" s="202"/>
      <c r="R235" s="204"/>
      <c r="S235" s="38"/>
      <c r="T235" s="201"/>
      <c r="U235" s="201"/>
      <c r="V235" s="201"/>
      <c r="W235" s="201"/>
      <c r="X235" s="201"/>
      <c r="Y235" s="201"/>
      <c r="Z235" s="201"/>
      <c r="AA235" s="201"/>
      <c r="AB235" s="202"/>
      <c r="AC235" s="202"/>
      <c r="AD235" s="202"/>
      <c r="AE235" s="202"/>
      <c r="AF235" s="202"/>
      <c r="AG235" s="201"/>
      <c r="AH235" s="201"/>
      <c r="AI235" s="201"/>
      <c r="AJ235" s="201"/>
      <c r="AK235" s="201"/>
      <c r="AL235" s="201"/>
      <c r="AM235" s="201"/>
      <c r="AN235" s="201"/>
      <c r="AO235" s="201"/>
      <c r="AP235" s="201"/>
      <c r="AQ235" s="201"/>
      <c r="AR235" s="201"/>
      <c r="AS235" s="201"/>
      <c r="AT235" s="201"/>
      <c r="AU235" s="201"/>
      <c r="AV235" s="201"/>
      <c r="AW235" s="201"/>
      <c r="AX235" s="201"/>
      <c r="AY235" s="201"/>
      <c r="AZ235" s="201"/>
      <c r="BA235" s="201"/>
      <c r="BB235" s="201"/>
      <c r="BC235" s="201"/>
      <c r="BD235" s="201"/>
    </row>
    <row r="236" spans="2:56">
      <c r="B236" s="35" t="s">
        <v>517</v>
      </c>
      <c r="C236" s="35"/>
      <c r="D236" s="32"/>
      <c r="E236" s="36" t="s">
        <v>511</v>
      </c>
      <c r="F236" s="37">
        <v>45147.245833333334</v>
      </c>
      <c r="G236" s="60">
        <v>45148</v>
      </c>
      <c r="H236" s="33"/>
      <c r="I236" s="34"/>
      <c r="J236" s="35" t="s">
        <v>518</v>
      </c>
      <c r="K236" s="36" t="s">
        <v>511</v>
      </c>
      <c r="L236" s="50">
        <v>58505</v>
      </c>
      <c r="M236" s="40" t="s">
        <v>519</v>
      </c>
      <c r="N236" s="40"/>
      <c r="O236" s="206"/>
      <c r="P236" s="205"/>
      <c r="Q236" s="202"/>
      <c r="R236" s="204"/>
      <c r="S236" s="38"/>
      <c r="T236" s="201"/>
      <c r="U236" s="201"/>
      <c r="V236" s="201"/>
      <c r="W236" s="201"/>
      <c r="X236" s="201"/>
      <c r="Y236" s="201"/>
      <c r="Z236" s="201"/>
      <c r="AA236" s="201"/>
      <c r="AB236" s="202"/>
      <c r="AC236" s="202"/>
      <c r="AD236" s="202"/>
      <c r="AE236" s="202"/>
      <c r="AF236" s="202"/>
      <c r="AG236" s="201"/>
      <c r="AH236" s="201"/>
      <c r="AI236" s="201"/>
      <c r="AJ236" s="201"/>
      <c r="AK236" s="201"/>
      <c r="AL236" s="201"/>
      <c r="AM236" s="201"/>
      <c r="AN236" s="201"/>
      <c r="AO236" s="201"/>
      <c r="AP236" s="201"/>
      <c r="AQ236" s="201"/>
      <c r="AR236" s="201"/>
      <c r="AS236" s="201"/>
      <c r="AT236" s="201"/>
      <c r="AU236" s="201"/>
      <c r="AV236" s="201"/>
      <c r="AW236" s="201"/>
      <c r="AX236" s="201"/>
      <c r="AY236" s="201"/>
      <c r="AZ236" s="201"/>
      <c r="BA236" s="201"/>
      <c r="BB236" s="201"/>
      <c r="BC236" s="201"/>
      <c r="BD236" s="201"/>
    </row>
    <row r="237" spans="2:56">
      <c r="B237" s="35" t="s">
        <v>520</v>
      </c>
      <c r="C237" s="35"/>
      <c r="D237" s="32"/>
      <c r="E237" s="36" t="s">
        <v>511</v>
      </c>
      <c r="F237" s="37" t="s">
        <v>20</v>
      </c>
      <c r="G237" s="32"/>
      <c r="H237" s="33"/>
      <c r="I237" s="34"/>
      <c r="J237" s="35" t="s">
        <v>521</v>
      </c>
      <c r="K237" s="36" t="s">
        <v>511</v>
      </c>
      <c r="L237" s="41" t="s">
        <v>2300</v>
      </c>
      <c r="M237" s="32"/>
      <c r="N237" s="32"/>
      <c r="O237" s="206"/>
      <c r="P237" s="202"/>
      <c r="Q237" s="202"/>
      <c r="R237" s="204"/>
      <c r="S237" s="38"/>
      <c r="T237" s="201"/>
      <c r="U237" s="201"/>
      <c r="V237" s="201"/>
      <c r="W237" s="201"/>
      <c r="X237" s="201"/>
      <c r="Y237" s="201"/>
      <c r="Z237" s="201"/>
      <c r="AA237" s="201"/>
      <c r="AB237" s="202"/>
      <c r="AC237" s="202"/>
      <c r="AD237" s="202"/>
      <c r="AE237" s="202"/>
      <c r="AF237" s="202"/>
      <c r="AG237" s="201"/>
      <c r="AH237" s="201"/>
      <c r="AI237" s="201"/>
      <c r="AJ237" s="201"/>
      <c r="AK237" s="201"/>
      <c r="AL237" s="201"/>
      <c r="AM237" s="201"/>
      <c r="AN237" s="201"/>
      <c r="AO237" s="201"/>
      <c r="AP237" s="201"/>
      <c r="AQ237" s="201"/>
      <c r="AR237" s="201"/>
      <c r="AS237" s="201"/>
      <c r="AT237" s="201"/>
      <c r="AU237" s="201"/>
      <c r="AV237" s="201"/>
      <c r="AW237" s="201"/>
      <c r="AX237" s="201"/>
      <c r="AY237" s="201"/>
      <c r="AZ237" s="201"/>
      <c r="BA237" s="201"/>
      <c r="BB237" s="201"/>
      <c r="BC237" s="201"/>
      <c r="BD237" s="201"/>
    </row>
    <row r="238" spans="2:56">
      <c r="B238" s="35" t="s">
        <v>523</v>
      </c>
      <c r="C238" s="35"/>
      <c r="D238" s="32"/>
      <c r="E238" s="36" t="s">
        <v>511</v>
      </c>
      <c r="F238" s="37" t="s">
        <v>47</v>
      </c>
      <c r="G238" s="32"/>
      <c r="H238" s="33"/>
      <c r="I238" s="34"/>
      <c r="J238" s="42" t="s">
        <v>524</v>
      </c>
      <c r="K238" s="36" t="s">
        <v>511</v>
      </c>
      <c r="L238" s="43" t="s">
        <v>11</v>
      </c>
      <c r="M238" s="44"/>
      <c r="N238" s="44"/>
      <c r="O238" s="206"/>
      <c r="P238" s="205"/>
      <c r="Q238" s="202"/>
      <c r="R238" s="204"/>
      <c r="S238" s="38"/>
      <c r="T238" s="201"/>
      <c r="U238" s="201"/>
      <c r="V238" s="201"/>
      <c r="W238" s="201"/>
      <c r="X238" s="201"/>
      <c r="Y238" s="201"/>
      <c r="Z238" s="201"/>
      <c r="AA238" s="201"/>
      <c r="AB238" s="202"/>
      <c r="AC238" s="202"/>
      <c r="AD238" s="202"/>
      <c r="AE238" s="202"/>
      <c r="AF238" s="202"/>
      <c r="AG238" s="201"/>
      <c r="AH238" s="201"/>
      <c r="AI238" s="201"/>
      <c r="AJ238" s="201"/>
      <c r="AK238" s="201"/>
      <c r="AL238" s="201"/>
      <c r="AM238" s="201"/>
      <c r="AN238" s="201"/>
      <c r="AO238" s="201"/>
      <c r="AP238" s="201"/>
      <c r="AQ238" s="201"/>
      <c r="AR238" s="201"/>
      <c r="AS238" s="201"/>
      <c r="AT238" s="201"/>
      <c r="AU238" s="201"/>
      <c r="AV238" s="201"/>
      <c r="AW238" s="201"/>
      <c r="AX238" s="201"/>
      <c r="AY238" s="201"/>
      <c r="AZ238" s="201"/>
      <c r="BA238" s="201"/>
      <c r="BB238" s="201"/>
      <c r="BC238" s="201"/>
      <c r="BD238" s="201"/>
    </row>
    <row r="239" spans="2:56">
      <c r="B239" s="35" t="s">
        <v>2</v>
      </c>
      <c r="C239" s="35"/>
      <c r="D239" s="32"/>
      <c r="E239" s="36" t="s">
        <v>511</v>
      </c>
      <c r="F239" s="37" t="s">
        <v>18</v>
      </c>
      <c r="G239" s="32"/>
      <c r="H239" s="33"/>
      <c r="I239" s="45"/>
      <c r="J239" s="42"/>
      <c r="K239" s="36"/>
      <c r="L239" s="211"/>
      <c r="M239" s="201"/>
      <c r="N239" s="201"/>
      <c r="O239" s="42"/>
      <c r="P239" s="44"/>
      <c r="Q239" s="44"/>
      <c r="R239" s="44"/>
      <c r="S239" s="34"/>
      <c r="T239" s="201"/>
      <c r="U239" s="201"/>
      <c r="V239" s="201"/>
      <c r="W239" s="201"/>
      <c r="X239" s="201"/>
      <c r="Y239" s="201"/>
      <c r="Z239" s="201"/>
      <c r="AA239" s="201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201"/>
      <c r="AP239" s="201"/>
      <c r="AQ239" s="201"/>
      <c r="AR239" s="201"/>
      <c r="AS239" s="201"/>
      <c r="AT239" s="201"/>
      <c r="AU239" s="201"/>
      <c r="AV239" s="201"/>
      <c r="AW239" s="201"/>
      <c r="AX239" s="201"/>
      <c r="AY239" s="201"/>
      <c r="AZ239" s="201"/>
      <c r="BA239" s="201"/>
      <c r="BB239" s="201"/>
      <c r="BC239" s="201"/>
      <c r="BD239" s="201"/>
    </row>
    <row r="240" spans="2:56">
      <c r="B240" s="201"/>
      <c r="C240" s="201"/>
      <c r="D240" s="201"/>
      <c r="E240" s="201"/>
      <c r="F240" s="201"/>
      <c r="G240" s="201"/>
      <c r="H240" s="201"/>
      <c r="I240" s="45"/>
      <c r="J240" s="42"/>
      <c r="K240" s="42"/>
      <c r="L240" s="43"/>
      <c r="M240" s="44"/>
      <c r="N240" s="44"/>
      <c r="O240" s="42"/>
      <c r="P240" s="44"/>
      <c r="Q240" s="44"/>
      <c r="R240" s="44"/>
      <c r="S240" s="34"/>
      <c r="T240" s="1265" t="s">
        <v>87</v>
      </c>
      <c r="U240" s="1265"/>
      <c r="V240" s="1265"/>
      <c r="W240" s="1265"/>
      <c r="X240" s="1265"/>
      <c r="Y240" s="1265" t="s">
        <v>73</v>
      </c>
      <c r="Z240" s="1265"/>
      <c r="AA240" s="1265"/>
      <c r="AB240" s="1265" t="s">
        <v>74</v>
      </c>
      <c r="AC240" s="1265"/>
      <c r="AD240" s="423" t="s">
        <v>85</v>
      </c>
      <c r="AE240" s="423" t="s">
        <v>77</v>
      </c>
      <c r="AF240" s="1265" t="s">
        <v>525</v>
      </c>
      <c r="AG240" s="1265"/>
      <c r="AH240" s="1265"/>
      <c r="AI240" s="1265"/>
      <c r="AJ240" s="1265"/>
      <c r="AK240" s="1265"/>
      <c r="AL240" s="1265"/>
      <c r="AM240" s="1265"/>
      <c r="AN240" s="1265"/>
      <c r="AO240" s="1265"/>
      <c r="AP240" s="1265"/>
      <c r="AQ240" s="1265"/>
      <c r="AR240" s="1265"/>
      <c r="AS240" s="1265"/>
      <c r="AT240" s="1265"/>
      <c r="AU240" s="1265"/>
      <c r="AV240" s="1265"/>
      <c r="AW240" s="1265"/>
      <c r="AX240" s="1265"/>
      <c r="AY240" s="1265"/>
      <c r="AZ240" s="1265"/>
      <c r="BA240" s="1265"/>
      <c r="BB240" s="1265"/>
      <c r="BC240" s="1265"/>
      <c r="BD240" s="201"/>
    </row>
    <row r="241" spans="2:56">
      <c r="B241" s="1266" t="s">
        <v>526</v>
      </c>
      <c r="C241" s="1267"/>
      <c r="D241" s="570" t="s">
        <v>527</v>
      </c>
      <c r="E241" s="570"/>
      <c r="F241" s="570" t="s">
        <v>528</v>
      </c>
      <c r="G241" s="570" t="s">
        <v>529</v>
      </c>
      <c r="H241" s="570" t="s">
        <v>530</v>
      </c>
      <c r="I241" s="570" t="s">
        <v>531</v>
      </c>
      <c r="J241" s="570" t="s">
        <v>532</v>
      </c>
      <c r="K241" s="570"/>
      <c r="L241" s="570" t="s">
        <v>130</v>
      </c>
      <c r="M241" s="570" t="s">
        <v>533</v>
      </c>
      <c r="N241" s="408" t="str">
        <f>"On time - "&amp;COUNTIF(N242:N251,"On time")&amp;" from "&amp;ROWS(N242:N251)-COUNTIF(N242:N251," ")</f>
        <v>On time - 0 from 8</v>
      </c>
      <c r="O241" s="46"/>
      <c r="P241" s="409" t="s">
        <v>534</v>
      </c>
      <c r="Q241" s="409" t="s">
        <v>535</v>
      </c>
      <c r="R241" s="409" t="s">
        <v>536</v>
      </c>
      <c r="S241" s="32"/>
      <c r="T241" s="424" t="s">
        <v>537</v>
      </c>
      <c r="U241" s="424" t="s">
        <v>538</v>
      </c>
      <c r="V241" s="424" t="s">
        <v>539</v>
      </c>
      <c r="W241" s="424" t="s">
        <v>540</v>
      </c>
      <c r="X241" s="424" t="s">
        <v>541</v>
      </c>
      <c r="Y241" s="424" t="s">
        <v>167</v>
      </c>
      <c r="Z241" s="424" t="s">
        <v>168</v>
      </c>
      <c r="AA241" s="424" t="s">
        <v>169</v>
      </c>
      <c r="AB241" s="424" t="s">
        <v>235</v>
      </c>
      <c r="AC241" s="424" t="s">
        <v>240</v>
      </c>
      <c r="AD241" s="423" t="s">
        <v>85</v>
      </c>
      <c r="AE241" s="424" t="s">
        <v>139</v>
      </c>
      <c r="AF241" s="424" t="s">
        <v>72</v>
      </c>
      <c r="AG241" s="424" t="s">
        <v>88</v>
      </c>
      <c r="AH241" s="424" t="s">
        <v>75</v>
      </c>
      <c r="AI241" s="424" t="s">
        <v>543</v>
      </c>
      <c r="AJ241" s="424" t="s">
        <v>78</v>
      </c>
      <c r="AK241" s="424" t="s">
        <v>76</v>
      </c>
      <c r="AL241" s="424" t="s">
        <v>544</v>
      </c>
      <c r="AM241" s="424" t="s">
        <v>545</v>
      </c>
      <c r="AN241" s="424" t="s">
        <v>86</v>
      </c>
      <c r="AO241" s="424" t="s">
        <v>83</v>
      </c>
      <c r="AP241" s="424" t="s">
        <v>84</v>
      </c>
      <c r="AQ241" s="424" t="s">
        <v>546</v>
      </c>
      <c r="AR241" s="424" t="s">
        <v>81</v>
      </c>
      <c r="AS241" s="424" t="s">
        <v>80</v>
      </c>
      <c r="AT241" s="424" t="s">
        <v>82</v>
      </c>
      <c r="AU241" s="424" t="s">
        <v>181</v>
      </c>
      <c r="AV241" s="424" t="s">
        <v>183</v>
      </c>
      <c r="AW241" s="424" t="s">
        <v>547</v>
      </c>
      <c r="AX241" s="424" t="s">
        <v>182</v>
      </c>
      <c r="AY241" s="424" t="s">
        <v>172</v>
      </c>
      <c r="AZ241" s="424" t="s">
        <v>173</v>
      </c>
      <c r="BA241" s="424" t="s">
        <v>184</v>
      </c>
      <c r="BB241" s="424" t="s">
        <v>100</v>
      </c>
      <c r="BC241" s="424" t="s">
        <v>913</v>
      </c>
      <c r="BD241" s="201"/>
    </row>
    <row r="242" spans="2:56">
      <c r="B242" s="1256">
        <v>1</v>
      </c>
      <c r="C242" s="1257"/>
      <c r="D242" s="411" t="s">
        <v>2301</v>
      </c>
      <c r="E242" s="411"/>
      <c r="F242" s="411" t="s">
        <v>330</v>
      </c>
      <c r="G242" s="411" t="s">
        <v>331</v>
      </c>
      <c r="H242" s="412">
        <v>6786.2129999999997</v>
      </c>
      <c r="I242" s="413" t="s">
        <v>173</v>
      </c>
      <c r="J242" s="414">
        <v>45151.583333333336</v>
      </c>
      <c r="K242" s="414"/>
      <c r="L242" s="414" t="s">
        <v>192</v>
      </c>
      <c r="M242" s="414" t="s">
        <v>192</v>
      </c>
      <c r="N242" s="413" t="str">
        <f t="shared" ref="N242:N251" si="21">IF(ISBLANK(J242)," ",IF(J242&lt;$G$261,"On time",(IF(DAY(J242-$G$261)&lt;1,"On time",(IF(J242&gt;$G$261,"DELAY ( "&amp;DAY(J242-$G$261)&amp;" day "&amp;HOUR(J242-$G$261)&amp;" hour "&amp;MINUTE(J242-$G$261)&amp;" minute )","xxx"))))))</f>
        <v>DELAY ( 5 day 14 hour 0 minute )</v>
      </c>
      <c r="O242" s="51"/>
      <c r="P242" s="415" t="s">
        <v>551</v>
      </c>
      <c r="Q242" s="415" t="s">
        <v>551</v>
      </c>
      <c r="R242" s="415" t="s">
        <v>551</v>
      </c>
      <c r="S242" s="32"/>
      <c r="T242" s="416"/>
      <c r="U242" s="416"/>
      <c r="V242" s="416"/>
      <c r="W242" s="416"/>
      <c r="X242" s="416"/>
      <c r="Y242" s="416"/>
      <c r="Z242" s="416"/>
      <c r="AA242" s="416"/>
      <c r="AB242" s="416"/>
      <c r="AC242" s="416"/>
      <c r="AD242" s="416"/>
      <c r="AE242" s="416"/>
      <c r="AF242" s="416"/>
      <c r="AG242" s="416"/>
      <c r="AH242" s="416"/>
      <c r="AI242" s="416"/>
      <c r="AJ242" s="416"/>
      <c r="AK242" s="416"/>
      <c r="AL242" s="416"/>
      <c r="AM242" s="416"/>
      <c r="AN242" s="416"/>
      <c r="AO242" s="416"/>
      <c r="AP242" s="416"/>
      <c r="AQ242" s="416"/>
      <c r="AR242" s="416"/>
      <c r="AS242" s="416"/>
      <c r="AT242" s="416"/>
      <c r="AU242" s="416"/>
      <c r="AV242" s="416"/>
      <c r="AW242" s="416"/>
      <c r="AX242" s="416"/>
      <c r="AY242" s="416"/>
      <c r="AZ242" s="416">
        <f>H242</f>
        <v>6786.2129999999997</v>
      </c>
      <c r="BA242" s="416"/>
      <c r="BB242" s="416"/>
      <c r="BC242" s="416"/>
      <c r="BD242" s="32"/>
    </row>
    <row r="243" spans="2:56">
      <c r="B243" s="1256">
        <v>2</v>
      </c>
      <c r="C243" s="1257"/>
      <c r="D243" s="411" t="s">
        <v>2302</v>
      </c>
      <c r="E243" s="411"/>
      <c r="F243" s="411" t="s">
        <v>343</v>
      </c>
      <c r="G243" s="411" t="s">
        <v>344</v>
      </c>
      <c r="H243" s="412">
        <v>7500</v>
      </c>
      <c r="I243" s="413" t="s">
        <v>78</v>
      </c>
      <c r="J243" s="414">
        <v>45152.013888888891</v>
      </c>
      <c r="K243" s="414"/>
      <c r="L243" s="414" t="s">
        <v>192</v>
      </c>
      <c r="M243" s="414" t="s">
        <v>192</v>
      </c>
      <c r="N243" s="413" t="str">
        <f t="shared" si="21"/>
        <v>DELAY ( 6 day 0 hour 20 minute )</v>
      </c>
      <c r="O243" s="51"/>
      <c r="P243" s="415" t="s">
        <v>551</v>
      </c>
      <c r="Q243" s="415" t="s">
        <v>551</v>
      </c>
      <c r="R243" s="415" t="s">
        <v>551</v>
      </c>
      <c r="S243" s="32"/>
      <c r="T243" s="416"/>
      <c r="U243" s="416"/>
      <c r="V243" s="416"/>
      <c r="W243" s="416"/>
      <c r="X243" s="416"/>
      <c r="Y243" s="416"/>
      <c r="Z243" s="416"/>
      <c r="AA243" s="416"/>
      <c r="AB243" s="416"/>
      <c r="AC243" s="416"/>
      <c r="AD243" s="416"/>
      <c r="AE243" s="416"/>
      <c r="AF243" s="416"/>
      <c r="AG243" s="416"/>
      <c r="AH243" s="416"/>
      <c r="AI243" s="416"/>
      <c r="AJ243" s="416">
        <f>H243</f>
        <v>7500</v>
      </c>
      <c r="AK243" s="32"/>
      <c r="AL243" s="416"/>
      <c r="AM243" s="416"/>
      <c r="AN243" s="416"/>
      <c r="AO243" s="416"/>
      <c r="AP243" s="416"/>
      <c r="AQ243" s="416"/>
      <c r="AR243" s="416"/>
      <c r="AS243" s="416"/>
      <c r="AT243" s="32"/>
      <c r="AU243" s="416"/>
      <c r="AV243" s="416"/>
      <c r="AW243" s="416"/>
      <c r="AX243" s="416"/>
      <c r="AY243" s="416"/>
      <c r="AZ243" s="416"/>
      <c r="BA243" s="416"/>
      <c r="BB243" s="416"/>
      <c r="BC243" s="416"/>
      <c r="BD243" s="32"/>
    </row>
    <row r="244" spans="2:56">
      <c r="B244" s="1256">
        <v>3</v>
      </c>
      <c r="C244" s="1257"/>
      <c r="D244" s="411" t="s">
        <v>2303</v>
      </c>
      <c r="E244" s="411"/>
      <c r="F244" s="411" t="s">
        <v>274</v>
      </c>
      <c r="G244" s="411" t="s">
        <v>1093</v>
      </c>
      <c r="H244" s="412">
        <v>7092.777</v>
      </c>
      <c r="I244" s="413" t="s">
        <v>494</v>
      </c>
      <c r="J244" s="414">
        <v>45153.690972222219</v>
      </c>
      <c r="K244" s="414"/>
      <c r="L244" s="414" t="s">
        <v>192</v>
      </c>
      <c r="M244" s="414" t="s">
        <v>192</v>
      </c>
      <c r="N244" s="413" t="str">
        <f t="shared" si="21"/>
        <v>DELAY ( 7 day 16 hour 35 minute )</v>
      </c>
      <c r="O244" s="51"/>
      <c r="P244" s="415" t="s">
        <v>551</v>
      </c>
      <c r="Q244" s="415" t="s">
        <v>551</v>
      </c>
      <c r="R244" s="415" t="s">
        <v>551</v>
      </c>
      <c r="S244" s="32"/>
      <c r="T244" s="416"/>
      <c r="U244" s="416"/>
      <c r="V244" s="416"/>
      <c r="W244" s="416"/>
      <c r="X244" s="416"/>
      <c r="Y244" s="416">
        <f>H244</f>
        <v>7092.777</v>
      </c>
      <c r="Z244" s="416"/>
      <c r="AA244" s="416"/>
      <c r="AB244" s="416"/>
      <c r="AC244" s="416"/>
      <c r="AD244" s="416"/>
      <c r="AE244" s="416"/>
      <c r="AF244" s="416"/>
      <c r="AG244" s="416"/>
      <c r="AH244" s="416"/>
      <c r="AI244" s="416"/>
      <c r="AJ244" s="416"/>
      <c r="AK244" s="416"/>
      <c r="AL244" s="416"/>
      <c r="AM244" s="416"/>
      <c r="AN244" s="416"/>
      <c r="AO244" s="416"/>
      <c r="AP244" s="416"/>
      <c r="AQ244" s="416"/>
      <c r="AR244" s="416"/>
      <c r="AS244" s="416"/>
      <c r="AT244" s="416"/>
      <c r="AU244" s="416"/>
      <c r="AV244" s="416"/>
      <c r="AW244" s="416"/>
      <c r="AX244" s="416"/>
      <c r="AY244" s="416"/>
      <c r="AZ244" s="416"/>
      <c r="BA244" s="416"/>
      <c r="BB244" s="416"/>
      <c r="BC244" s="416"/>
      <c r="BD244" s="32"/>
    </row>
    <row r="245" spans="2:56">
      <c r="B245" s="1256">
        <v>4</v>
      </c>
      <c r="C245" s="1257"/>
      <c r="D245" s="411" t="s">
        <v>2304</v>
      </c>
      <c r="E245" s="411"/>
      <c r="F245" s="411" t="s">
        <v>271</v>
      </c>
      <c r="G245" s="411" t="s">
        <v>272</v>
      </c>
      <c r="H245" s="412">
        <v>7328.8109999999997</v>
      </c>
      <c r="I245" s="413" t="s">
        <v>494</v>
      </c>
      <c r="J245" s="414">
        <v>45154.5625</v>
      </c>
      <c r="K245" s="414"/>
      <c r="L245" s="414" t="s">
        <v>192</v>
      </c>
      <c r="M245" s="414" t="s">
        <v>192</v>
      </c>
      <c r="N245" s="413" t="str">
        <f t="shared" si="21"/>
        <v>DELAY ( 8 day 13 hour 30 minute )</v>
      </c>
      <c r="O245" s="51"/>
      <c r="P245" s="415" t="s">
        <v>551</v>
      </c>
      <c r="Q245" s="415" t="s">
        <v>551</v>
      </c>
      <c r="R245" s="415" t="s">
        <v>551</v>
      </c>
      <c r="S245" s="32"/>
      <c r="T245" s="416"/>
      <c r="U245" s="416"/>
      <c r="V245" s="416"/>
      <c r="W245" s="416"/>
      <c r="X245" s="416"/>
      <c r="Y245" s="416">
        <f>H245</f>
        <v>7328.8109999999997</v>
      </c>
      <c r="Z245" s="416"/>
      <c r="AA245" s="416"/>
      <c r="AB245" s="416"/>
      <c r="AC245" s="416"/>
      <c r="AD245" s="416"/>
      <c r="AE245" s="416"/>
      <c r="AF245" s="416"/>
      <c r="AG245" s="416"/>
      <c r="AH245" s="416"/>
      <c r="AI245" s="416"/>
      <c r="AJ245" s="416"/>
      <c r="AK245" s="416"/>
      <c r="AL245" s="416"/>
      <c r="AM245" s="416"/>
      <c r="AN245" s="416"/>
      <c r="AO245" s="416"/>
      <c r="AP245" s="416"/>
      <c r="AQ245" s="416"/>
      <c r="AR245" s="416"/>
      <c r="AS245" s="416"/>
      <c r="AT245" s="416"/>
      <c r="AU245" s="416"/>
      <c r="AV245" s="416"/>
      <c r="AW245" s="416"/>
      <c r="AX245" s="416"/>
      <c r="AY245" s="416"/>
      <c r="AZ245" s="416"/>
      <c r="BA245" s="416"/>
      <c r="BB245" s="416"/>
      <c r="BC245" s="416"/>
      <c r="BD245" s="32"/>
    </row>
    <row r="246" spans="2:56">
      <c r="B246" s="1256">
        <v>5</v>
      </c>
      <c r="C246" s="1257"/>
      <c r="D246" s="411" t="s">
        <v>2305</v>
      </c>
      <c r="E246" s="411"/>
      <c r="F246" s="411" t="s">
        <v>492</v>
      </c>
      <c r="G246" s="411" t="s">
        <v>493</v>
      </c>
      <c r="H246" s="412">
        <v>7501.6409999999996</v>
      </c>
      <c r="I246" s="413" t="s">
        <v>494</v>
      </c>
      <c r="J246" s="414">
        <v>45154.815972222219</v>
      </c>
      <c r="K246" s="414"/>
      <c r="L246" s="414" t="s">
        <v>192</v>
      </c>
      <c r="M246" s="414" t="s">
        <v>192</v>
      </c>
      <c r="N246" s="413" t="str">
        <f t="shared" si="21"/>
        <v>DELAY ( 8 day 19 hour 35 minute )</v>
      </c>
      <c r="O246" s="51"/>
      <c r="P246" s="415" t="s">
        <v>551</v>
      </c>
      <c r="Q246" s="415" t="s">
        <v>551</v>
      </c>
      <c r="R246" s="415" t="s">
        <v>551</v>
      </c>
      <c r="S246" s="32"/>
      <c r="T246" s="416"/>
      <c r="U246" s="416"/>
      <c r="V246" s="416"/>
      <c r="W246" s="416"/>
      <c r="X246" s="416"/>
      <c r="Y246" s="416">
        <f>H246</f>
        <v>7501.6409999999996</v>
      </c>
      <c r="Z246" s="416"/>
      <c r="AA246" s="416"/>
      <c r="AB246" s="416"/>
      <c r="AC246" s="416"/>
      <c r="AD246" s="416"/>
      <c r="AE246" s="416"/>
      <c r="AF246" s="416"/>
      <c r="AG246" s="416"/>
      <c r="AH246" s="416"/>
      <c r="AI246" s="416"/>
      <c r="AJ246" s="416"/>
      <c r="AK246" s="416"/>
      <c r="AL246" s="416"/>
      <c r="AM246" s="416"/>
      <c r="AN246" s="416"/>
      <c r="AO246" s="416"/>
      <c r="AP246" s="416"/>
      <c r="AQ246" s="416"/>
      <c r="AR246" s="416"/>
      <c r="AS246" s="416"/>
      <c r="AT246" s="416"/>
      <c r="AU246" s="416"/>
      <c r="AV246" s="416"/>
      <c r="AW246" s="416"/>
      <c r="AX246" s="416"/>
      <c r="AY246" s="416"/>
      <c r="AZ246" s="416"/>
      <c r="BA246" s="416"/>
      <c r="BB246" s="416"/>
      <c r="BC246" s="416"/>
      <c r="BD246" s="32"/>
    </row>
    <row r="247" spans="2:56">
      <c r="B247" s="1256">
        <v>6</v>
      </c>
      <c r="C247" s="1257"/>
      <c r="D247" s="411" t="s">
        <v>2306</v>
      </c>
      <c r="E247" s="411"/>
      <c r="F247" s="411" t="s">
        <v>686</v>
      </c>
      <c r="G247" s="411" t="s">
        <v>1186</v>
      </c>
      <c r="H247" s="412">
        <v>7337.6030000000001</v>
      </c>
      <c r="I247" s="413" t="s">
        <v>235</v>
      </c>
      <c r="J247" s="414">
        <v>45155.274305555555</v>
      </c>
      <c r="K247" s="414"/>
      <c r="L247" s="414" t="s">
        <v>192</v>
      </c>
      <c r="M247" s="414" t="s">
        <v>192</v>
      </c>
      <c r="N247" s="413" t="str">
        <f t="shared" si="21"/>
        <v>DELAY ( 9 day 6 hour 35 minute )</v>
      </c>
      <c r="O247" s="51"/>
      <c r="P247" s="415" t="s">
        <v>551</v>
      </c>
      <c r="Q247" s="415" t="s">
        <v>551</v>
      </c>
      <c r="R247" s="415" t="s">
        <v>551</v>
      </c>
      <c r="S247" s="32"/>
      <c r="T247" s="416"/>
      <c r="U247" s="416"/>
      <c r="V247" s="416"/>
      <c r="W247" s="416"/>
      <c r="X247" s="416"/>
      <c r="Y247" s="416"/>
      <c r="Z247" s="416"/>
      <c r="AA247" s="416"/>
      <c r="AB247" s="416">
        <f>H247</f>
        <v>7337.6030000000001</v>
      </c>
      <c r="AC247" s="32"/>
      <c r="AD247" s="416"/>
      <c r="AE247" s="416"/>
      <c r="AF247" s="416"/>
      <c r="AG247" s="416"/>
      <c r="AH247" s="416"/>
      <c r="AI247" s="416"/>
      <c r="AJ247" s="416"/>
      <c r="AK247" s="416"/>
      <c r="AL247" s="416"/>
      <c r="AM247" s="416"/>
      <c r="AN247" s="416"/>
      <c r="AO247" s="416"/>
      <c r="AP247" s="416"/>
      <c r="AQ247" s="416"/>
      <c r="AR247" s="416"/>
      <c r="AS247" s="416"/>
      <c r="AT247" s="416"/>
      <c r="AU247" s="416"/>
      <c r="AV247" s="416"/>
      <c r="AW247" s="416"/>
      <c r="AX247" s="416"/>
      <c r="AY247" s="32"/>
      <c r="AZ247" s="416"/>
      <c r="BA247" s="416"/>
      <c r="BB247" s="416"/>
      <c r="BC247" s="416"/>
      <c r="BD247" s="32"/>
    </row>
    <row r="248" spans="2:56">
      <c r="B248" s="1256">
        <v>7</v>
      </c>
      <c r="C248" s="1257"/>
      <c r="D248" s="411" t="s">
        <v>2307</v>
      </c>
      <c r="E248" s="411"/>
      <c r="F248" s="411" t="s">
        <v>403</v>
      </c>
      <c r="G248" s="411" t="s">
        <v>404</v>
      </c>
      <c r="H248" s="412">
        <v>7526.1760000000004</v>
      </c>
      <c r="I248" s="413" t="s">
        <v>494</v>
      </c>
      <c r="J248" s="414">
        <v>45155.145833333336</v>
      </c>
      <c r="K248" s="414"/>
      <c r="L248" s="414" t="s">
        <v>192</v>
      </c>
      <c r="M248" s="414" t="s">
        <v>192</v>
      </c>
      <c r="N248" s="413" t="str">
        <f t="shared" si="21"/>
        <v>DELAY ( 9 day 3 hour 30 minute )</v>
      </c>
      <c r="O248" s="51"/>
      <c r="P248" s="415" t="s">
        <v>551</v>
      </c>
      <c r="Q248" s="415" t="s">
        <v>551</v>
      </c>
      <c r="R248" s="415" t="s">
        <v>551</v>
      </c>
      <c r="S248" s="32"/>
      <c r="T248" s="416"/>
      <c r="U248" s="416"/>
      <c r="V248" s="416"/>
      <c r="W248" s="416"/>
      <c r="X248" s="416"/>
      <c r="Y248" s="416">
        <f>H248</f>
        <v>7526.1760000000004</v>
      </c>
      <c r="Z248" s="416"/>
      <c r="AA248" s="416"/>
      <c r="AB248" s="416"/>
      <c r="AC248" s="416"/>
      <c r="AD248" s="416"/>
      <c r="AE248" s="416"/>
      <c r="AF248" s="416"/>
      <c r="AG248" s="416"/>
      <c r="AH248" s="416"/>
      <c r="AI248" s="416"/>
      <c r="AJ248" s="416"/>
      <c r="AK248" s="416"/>
      <c r="AL248" s="416"/>
      <c r="AM248" s="416"/>
      <c r="AN248" s="416"/>
      <c r="AO248" s="416"/>
      <c r="AP248" s="416"/>
      <c r="AQ248" s="416"/>
      <c r="AR248" s="416"/>
      <c r="AS248" s="416"/>
      <c r="AT248" s="416"/>
      <c r="AU248" s="416"/>
      <c r="AV248" s="416"/>
      <c r="AW248" s="416"/>
      <c r="AX248" s="416"/>
      <c r="AY248" s="416"/>
      <c r="AZ248" s="416"/>
      <c r="BA248" s="416"/>
      <c r="BB248" s="416"/>
      <c r="BC248" s="416"/>
      <c r="BD248" s="32"/>
    </row>
    <row r="249" spans="2:56">
      <c r="B249" s="1256">
        <v>8</v>
      </c>
      <c r="C249" s="1257"/>
      <c r="D249" s="411" t="s">
        <v>2308</v>
      </c>
      <c r="E249" s="411"/>
      <c r="F249" s="411" t="s">
        <v>377</v>
      </c>
      <c r="G249" s="411" t="s">
        <v>378</v>
      </c>
      <c r="H249" s="412">
        <v>7566.1319999999996</v>
      </c>
      <c r="I249" s="413" t="s">
        <v>494</v>
      </c>
      <c r="J249" s="414">
        <v>45154.611111111109</v>
      </c>
      <c r="K249" s="414"/>
      <c r="L249" s="414" t="s">
        <v>192</v>
      </c>
      <c r="M249" s="414" t="s">
        <v>192</v>
      </c>
      <c r="N249" s="413" t="str">
        <f t="shared" si="21"/>
        <v>DELAY ( 8 day 14 hour 40 minute )</v>
      </c>
      <c r="O249" s="51"/>
      <c r="P249" s="415" t="s">
        <v>551</v>
      </c>
      <c r="Q249" s="415" t="s">
        <v>551</v>
      </c>
      <c r="R249" s="415" t="s">
        <v>551</v>
      </c>
      <c r="S249" s="32"/>
      <c r="T249" s="416"/>
      <c r="U249" s="416"/>
      <c r="V249" s="416"/>
      <c r="W249" s="416"/>
      <c r="X249" s="416"/>
      <c r="Y249" s="416">
        <f>H249-H253</f>
        <v>7431.7790000000041</v>
      </c>
      <c r="Z249" s="416"/>
      <c r="AA249" s="416"/>
      <c r="AB249" s="32"/>
      <c r="AC249" s="416"/>
      <c r="AD249" s="416"/>
      <c r="AE249" s="416"/>
      <c r="AF249" s="416"/>
      <c r="AG249" s="416"/>
      <c r="AH249" s="416"/>
      <c r="AI249" s="416"/>
      <c r="AJ249" s="416"/>
      <c r="AK249" s="416"/>
      <c r="AL249" s="416"/>
      <c r="AM249" s="416"/>
      <c r="AN249" s="416"/>
      <c r="AO249" s="416"/>
      <c r="AP249" s="416"/>
      <c r="AQ249" s="416"/>
      <c r="AR249" s="416"/>
      <c r="AS249" s="416"/>
      <c r="AT249" s="416"/>
      <c r="AU249" s="416"/>
      <c r="AV249" s="416"/>
      <c r="AW249" s="416"/>
      <c r="AX249" s="416"/>
      <c r="AY249" s="416"/>
      <c r="AZ249" s="416"/>
      <c r="BA249" s="416"/>
      <c r="BB249" s="416"/>
      <c r="BC249" s="416"/>
      <c r="BD249" s="32"/>
    </row>
    <row r="250" spans="2:56">
      <c r="B250" s="1258" t="s">
        <v>556</v>
      </c>
      <c r="C250" s="1259"/>
      <c r="D250" s="1259"/>
      <c r="E250" s="1259"/>
      <c r="F250" s="1259"/>
      <c r="G250" s="1260"/>
      <c r="H250" s="417">
        <f>SUM(H242:H249)</f>
        <v>58639.352999999996</v>
      </c>
      <c r="I250" s="388"/>
      <c r="J250" s="293"/>
      <c r="K250" s="293"/>
      <c r="L250" s="293"/>
      <c r="M250" s="389"/>
      <c r="N250" s="413" t="str">
        <f t="shared" si="21"/>
        <v xml:space="preserve"> </v>
      </c>
      <c r="O250" s="212"/>
      <c r="P250" s="418"/>
      <c r="Q250" s="418"/>
      <c r="R250" s="418"/>
      <c r="S250" s="207"/>
      <c r="T250" s="1262"/>
      <c r="U250" s="1263"/>
      <c r="V250" s="1263"/>
      <c r="W250" s="1263"/>
      <c r="X250" s="1263"/>
      <c r="Y250" s="1263"/>
      <c r="Z250" s="1263"/>
      <c r="AA250" s="1263"/>
      <c r="AB250" s="1263"/>
      <c r="AC250" s="1263"/>
      <c r="AD250" s="1263"/>
      <c r="AE250" s="1263"/>
      <c r="AF250" s="1263"/>
      <c r="AG250" s="1263"/>
      <c r="AH250" s="1263"/>
      <c r="AI250" s="1263"/>
      <c r="AJ250" s="1263"/>
      <c r="AK250" s="1263"/>
      <c r="AL250" s="1263"/>
      <c r="AM250" s="1263"/>
      <c r="AN250" s="1263"/>
      <c r="AO250" s="1263"/>
      <c r="AP250" s="1263"/>
      <c r="AQ250" s="1263"/>
      <c r="AR250" s="1263"/>
      <c r="AS250" s="1263"/>
      <c r="AT250" s="1263"/>
      <c r="AU250" s="1263"/>
      <c r="AV250" s="1263"/>
      <c r="AW250" s="1263"/>
      <c r="AX250" s="1263"/>
      <c r="AY250" s="1263"/>
      <c r="AZ250" s="1263"/>
      <c r="BA250" s="1263"/>
      <c r="BB250" s="1263"/>
      <c r="BC250" s="1264"/>
    </row>
    <row r="251" spans="2:56">
      <c r="B251" s="1243" t="s">
        <v>557</v>
      </c>
      <c r="C251" s="1244"/>
      <c r="D251" s="1244"/>
      <c r="E251" s="1244"/>
      <c r="F251" s="1244"/>
      <c r="G251" s="1245"/>
      <c r="H251" s="419">
        <v>58505</v>
      </c>
      <c r="I251" s="1273"/>
      <c r="J251" s="1274"/>
      <c r="K251" s="1274"/>
      <c r="L251" s="1274"/>
      <c r="M251" s="1275"/>
      <c r="N251" s="413" t="str">
        <f t="shared" si="21"/>
        <v xml:space="preserve"> </v>
      </c>
      <c r="O251" s="32"/>
      <c r="P251" s="415"/>
      <c r="Q251" s="415"/>
      <c r="R251" s="415"/>
      <c r="S251" s="63"/>
      <c r="T251" s="416">
        <f t="shared" ref="T251:BC251" si="22">SUM(T242:T249)</f>
        <v>0</v>
      </c>
      <c r="U251" s="416">
        <f t="shared" si="22"/>
        <v>0</v>
      </c>
      <c r="V251" s="416">
        <f t="shared" si="22"/>
        <v>0</v>
      </c>
      <c r="W251" s="416">
        <f t="shared" si="22"/>
        <v>0</v>
      </c>
      <c r="X251" s="416">
        <f t="shared" si="22"/>
        <v>0</v>
      </c>
      <c r="Y251" s="416">
        <f t="shared" si="22"/>
        <v>36881.184000000001</v>
      </c>
      <c r="Z251" s="416">
        <f t="shared" si="22"/>
        <v>0</v>
      </c>
      <c r="AA251" s="416">
        <f t="shared" si="22"/>
        <v>0</v>
      </c>
      <c r="AB251" s="416">
        <f t="shared" si="22"/>
        <v>7337.6030000000001</v>
      </c>
      <c r="AC251" s="416">
        <f t="shared" si="22"/>
        <v>0</v>
      </c>
      <c r="AD251" s="416">
        <f t="shared" si="22"/>
        <v>0</v>
      </c>
      <c r="AE251" s="416">
        <f t="shared" si="22"/>
        <v>0</v>
      </c>
      <c r="AF251" s="416">
        <f t="shared" si="22"/>
        <v>0</v>
      </c>
      <c r="AG251" s="416">
        <f t="shared" si="22"/>
        <v>0</v>
      </c>
      <c r="AH251" s="416">
        <f t="shared" si="22"/>
        <v>0</v>
      </c>
      <c r="AI251" s="416">
        <f t="shared" si="22"/>
        <v>0</v>
      </c>
      <c r="AJ251" s="416">
        <f t="shared" si="22"/>
        <v>7500</v>
      </c>
      <c r="AK251" s="416">
        <f t="shared" si="22"/>
        <v>0</v>
      </c>
      <c r="AL251" s="416">
        <f t="shared" si="22"/>
        <v>0</v>
      </c>
      <c r="AM251" s="416">
        <f t="shared" si="22"/>
        <v>0</v>
      </c>
      <c r="AN251" s="416">
        <f t="shared" si="22"/>
        <v>0</v>
      </c>
      <c r="AO251" s="416">
        <f t="shared" si="22"/>
        <v>0</v>
      </c>
      <c r="AP251" s="416">
        <f t="shared" si="22"/>
        <v>0</v>
      </c>
      <c r="AQ251" s="416">
        <f t="shared" si="22"/>
        <v>0</v>
      </c>
      <c r="AR251" s="416">
        <f t="shared" si="22"/>
        <v>0</v>
      </c>
      <c r="AS251" s="416">
        <f t="shared" si="22"/>
        <v>0</v>
      </c>
      <c r="AT251" s="416">
        <f t="shared" si="22"/>
        <v>0</v>
      </c>
      <c r="AU251" s="416">
        <f t="shared" si="22"/>
        <v>0</v>
      </c>
      <c r="AV251" s="416">
        <f t="shared" si="22"/>
        <v>0</v>
      </c>
      <c r="AW251" s="416">
        <f t="shared" si="22"/>
        <v>0</v>
      </c>
      <c r="AX251" s="416">
        <f t="shared" si="22"/>
        <v>0</v>
      </c>
      <c r="AY251" s="416">
        <f t="shared" si="22"/>
        <v>0</v>
      </c>
      <c r="AZ251" s="416">
        <f t="shared" si="22"/>
        <v>6786.2129999999997</v>
      </c>
      <c r="BA251" s="416">
        <f t="shared" si="22"/>
        <v>0</v>
      </c>
      <c r="BB251" s="416">
        <f t="shared" si="22"/>
        <v>0</v>
      </c>
      <c r="BC251" s="416">
        <f t="shared" si="22"/>
        <v>0</v>
      </c>
      <c r="BD251" s="416">
        <f>SUM(T251:BC251)</f>
        <v>58505</v>
      </c>
    </row>
    <row r="252" spans="2:56">
      <c r="B252" s="1243" t="s">
        <v>558</v>
      </c>
      <c r="C252" s="1244"/>
      <c r="D252" s="1244"/>
      <c r="E252" s="1244"/>
      <c r="F252" s="1244"/>
      <c r="G252" s="1245"/>
      <c r="H252" s="420">
        <f>H251-L236</f>
        <v>0</v>
      </c>
      <c r="I252" s="294"/>
      <c r="J252" s="295"/>
      <c r="K252" s="295"/>
      <c r="L252" s="296"/>
      <c r="M252" s="32"/>
      <c r="N252" s="32"/>
      <c r="O252" s="32"/>
      <c r="P252" s="32"/>
      <c r="Q252" s="297"/>
      <c r="R252" s="297"/>
      <c r="S252" s="32"/>
      <c r="T252" s="48"/>
      <c r="U252" s="48"/>
      <c r="V252" s="48"/>
      <c r="W252" s="48"/>
      <c r="X252" s="48"/>
      <c r="Y252" s="48"/>
      <c r="Z252" s="48"/>
      <c r="AA252" s="48"/>
      <c r="AB252" s="48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</row>
    <row r="253" spans="2:56">
      <c r="B253" s="1243" t="s">
        <v>559</v>
      </c>
      <c r="C253" s="1244"/>
      <c r="D253" s="1244"/>
      <c r="E253" s="1244"/>
      <c r="F253" s="1244"/>
      <c r="G253" s="1245"/>
      <c r="H253" s="420">
        <f>H250-H251</f>
        <v>134.35299999999552</v>
      </c>
      <c r="I253" s="52"/>
      <c r="J253" s="53"/>
      <c r="K253" s="53"/>
      <c r="L253" s="54"/>
      <c r="M253" s="32"/>
      <c r="N253" s="201"/>
      <c r="O253" s="32"/>
      <c r="P253" s="32"/>
      <c r="Q253" s="32"/>
      <c r="R253" s="32"/>
      <c r="S253" s="32"/>
      <c r="T253" s="48"/>
      <c r="U253" s="48"/>
      <c r="V253" s="48"/>
      <c r="W253" s="48"/>
      <c r="X253" s="48"/>
      <c r="Y253" s="48"/>
      <c r="Z253" s="48"/>
      <c r="AA253" s="48"/>
      <c r="AB253" s="48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</row>
    <row r="254" spans="2:56">
      <c r="B254" s="1243" t="s">
        <v>560</v>
      </c>
      <c r="C254" s="1244"/>
      <c r="D254" s="1244"/>
      <c r="E254" s="1244"/>
      <c r="F254" s="1244"/>
      <c r="G254" s="1245"/>
      <c r="H254" s="421">
        <f>0-134.352999999996</f>
        <v>-134.352999999996</v>
      </c>
      <c r="I254" s="52"/>
      <c r="J254" s="53"/>
      <c r="K254" s="53"/>
      <c r="L254" s="54"/>
      <c r="M254" s="32"/>
      <c r="N254" s="32"/>
      <c r="O254" s="32"/>
      <c r="P254" s="32"/>
      <c r="Q254" s="32"/>
      <c r="R254" s="32"/>
      <c r="S254" s="48"/>
      <c r="T254" s="48"/>
      <c r="U254" s="48"/>
      <c r="V254" s="48"/>
      <c r="W254" s="48"/>
      <c r="X254" s="48"/>
      <c r="Y254" s="48"/>
      <c r="Z254" s="48"/>
      <c r="AA254" s="48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 spans="2:56">
      <c r="B255" s="201"/>
      <c r="C255" s="201"/>
      <c r="D255" s="201"/>
      <c r="E255" s="201"/>
      <c r="F255" s="201"/>
      <c r="G255" s="201"/>
      <c r="H255" s="201"/>
      <c r="I255" s="213"/>
      <c r="J255" s="209"/>
      <c r="K255" s="209"/>
      <c r="L255" s="203"/>
      <c r="M255" s="201"/>
      <c r="N255" s="201"/>
      <c r="O255" s="209"/>
      <c r="P255" s="32"/>
      <c r="Q255" s="32"/>
      <c r="R255" s="32"/>
      <c r="S255" s="32"/>
      <c r="T255" s="48"/>
      <c r="U255" s="48"/>
      <c r="V255" s="48"/>
      <c r="W255" s="48"/>
      <c r="X255" s="48"/>
      <c r="Y255" s="48"/>
      <c r="Z255" s="48"/>
      <c r="AA255" s="48"/>
      <c r="AB255" s="48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</row>
    <row r="256" spans="2:56">
      <c r="B256" s="40" t="s">
        <v>561</v>
      </c>
      <c r="C256" s="40"/>
      <c r="D256" s="32"/>
      <c r="E256" s="32"/>
      <c r="F256" s="32"/>
      <c r="G256" s="32"/>
      <c r="H256" s="32"/>
      <c r="I256" s="32"/>
      <c r="J256" s="52"/>
      <c r="K256" s="52"/>
      <c r="L256" s="55"/>
      <c r="M256" s="32"/>
      <c r="N256" s="201"/>
      <c r="O256" s="5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  <c r="AA256" s="202"/>
      <c r="AB256" s="201"/>
      <c r="AC256" s="201"/>
      <c r="AD256" s="201"/>
      <c r="AE256" s="201"/>
      <c r="AF256" s="201"/>
      <c r="AG256" s="201"/>
      <c r="AH256" s="201"/>
      <c r="AI256" s="201"/>
      <c r="AJ256" s="201"/>
      <c r="AK256" s="201"/>
      <c r="AL256" s="201"/>
      <c r="AM256" s="201"/>
      <c r="AN256" s="201"/>
      <c r="AO256" s="201"/>
      <c r="AP256" s="201"/>
      <c r="AQ256" s="201"/>
      <c r="AR256" s="201"/>
      <c r="AS256" s="201"/>
      <c r="AT256" s="201"/>
      <c r="AU256" s="201"/>
      <c r="BD256" s="201"/>
    </row>
    <row r="257" spans="2:56">
      <c r="B257" s="422"/>
      <c r="C257" s="1291"/>
      <c r="D257" s="1292"/>
      <c r="E257" s="1292"/>
      <c r="F257" s="1292"/>
      <c r="G257" s="1292"/>
      <c r="H257" s="1292"/>
      <c r="I257" s="1292"/>
      <c r="J257" s="1292"/>
      <c r="K257" s="1293"/>
      <c r="L257" s="203"/>
      <c r="M257" s="201"/>
      <c r="N257" s="201"/>
      <c r="O257" s="209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  <c r="AA257" s="202"/>
      <c r="AB257" s="201"/>
      <c r="AC257" s="201"/>
      <c r="AD257" s="201"/>
      <c r="AE257" s="201"/>
      <c r="AF257" s="201"/>
      <c r="AG257" s="201"/>
      <c r="AH257" s="201"/>
      <c r="AI257" s="201"/>
      <c r="AJ257" s="201"/>
      <c r="AK257" s="201"/>
      <c r="AL257" s="201"/>
      <c r="AM257" s="201"/>
      <c r="AN257" s="201"/>
      <c r="AO257" s="201"/>
      <c r="AP257" s="201"/>
      <c r="AQ257" s="201"/>
      <c r="AR257" s="201"/>
      <c r="AS257" s="201"/>
      <c r="AT257" s="201"/>
      <c r="AU257" s="201"/>
      <c r="AV257" s="201"/>
      <c r="AW257" s="201"/>
      <c r="AX257" s="201"/>
      <c r="AY257" s="201"/>
      <c r="AZ257" s="201"/>
      <c r="BA257" s="201"/>
      <c r="BB257" s="201"/>
      <c r="BC257" s="201"/>
      <c r="BD257" s="201"/>
    </row>
    <row r="259" spans="2:56">
      <c r="B259" s="28" t="s">
        <v>126</v>
      </c>
      <c r="C259" s="28"/>
      <c r="D259" s="29"/>
      <c r="E259" s="30" t="s">
        <v>511</v>
      </c>
      <c r="F259" s="31" t="s">
        <v>2309</v>
      </c>
      <c r="G259" s="32"/>
      <c r="H259" s="33"/>
      <c r="I259" s="34"/>
      <c r="J259" s="35" t="s">
        <v>513</v>
      </c>
      <c r="K259" s="36" t="s">
        <v>511</v>
      </c>
      <c r="L259" s="37">
        <v>45153.972222222219</v>
      </c>
      <c r="M259" s="32"/>
      <c r="N259" s="32"/>
      <c r="O259" s="206"/>
      <c r="P259" s="205"/>
      <c r="Q259" s="202"/>
      <c r="R259" s="204"/>
      <c r="S259" s="38"/>
      <c r="T259" s="201"/>
      <c r="U259" s="201"/>
      <c r="V259" s="201"/>
      <c r="W259" s="201"/>
      <c r="X259" s="201"/>
      <c r="Y259" s="201"/>
      <c r="Z259" s="201"/>
      <c r="AA259" s="201"/>
      <c r="AB259" s="202"/>
      <c r="AC259" s="202"/>
      <c r="AD259" s="202"/>
      <c r="AE259" s="202"/>
      <c r="AF259" s="202"/>
      <c r="AG259" s="201"/>
      <c r="AH259" s="201"/>
      <c r="AI259" s="201"/>
      <c r="AJ259" s="201"/>
      <c r="AK259" s="201"/>
      <c r="AL259" s="201"/>
      <c r="AM259" s="201"/>
      <c r="AN259" s="201"/>
      <c r="AO259" s="201"/>
      <c r="AP259" s="201"/>
      <c r="AQ259" s="201"/>
      <c r="AR259" s="201"/>
      <c r="AS259" s="201"/>
      <c r="AT259" s="201"/>
      <c r="AU259" s="201"/>
      <c r="AV259" s="201"/>
      <c r="AW259" s="201"/>
      <c r="AX259" s="201"/>
      <c r="AY259" s="201"/>
      <c r="AZ259" s="201"/>
      <c r="BA259" s="201"/>
      <c r="BB259" s="201"/>
    </row>
    <row r="260" spans="2:56">
      <c r="B260" s="35" t="s">
        <v>514</v>
      </c>
      <c r="C260" s="35"/>
      <c r="D260" s="32"/>
      <c r="E260" s="36" t="s">
        <v>511</v>
      </c>
      <c r="F260" s="311" t="s">
        <v>2310</v>
      </c>
      <c r="G260" s="59" t="s">
        <v>647</v>
      </c>
      <c r="H260" s="33"/>
      <c r="I260" s="34"/>
      <c r="J260" s="35" t="s">
        <v>516</v>
      </c>
      <c r="K260" s="36" t="s">
        <v>511</v>
      </c>
      <c r="L260" s="37">
        <v>45157.458333333336</v>
      </c>
      <c r="M260" s="32"/>
      <c r="N260" s="32"/>
      <c r="O260" s="206"/>
      <c r="P260" s="205"/>
      <c r="Q260" s="202"/>
      <c r="R260" s="204"/>
      <c r="S260" s="38"/>
      <c r="T260" s="201"/>
      <c r="U260" s="201"/>
      <c r="V260" s="201"/>
      <c r="W260" s="201"/>
      <c r="X260" s="201"/>
      <c r="Y260" s="201"/>
      <c r="Z260" s="201"/>
      <c r="AA260" s="201"/>
      <c r="AB260" s="202"/>
      <c r="AC260" s="202"/>
      <c r="AD260" s="202"/>
      <c r="AE260" s="202"/>
      <c r="AF260" s="202"/>
      <c r="AG260" s="201"/>
      <c r="AH260" s="201"/>
      <c r="AI260" s="201"/>
      <c r="AJ260" s="201"/>
      <c r="AK260" s="201"/>
      <c r="AL260" s="201"/>
      <c r="AM260" s="201"/>
      <c r="AN260" s="201"/>
      <c r="AO260" s="201"/>
      <c r="AP260" s="201"/>
      <c r="AQ260" s="201"/>
      <c r="AR260" s="201"/>
      <c r="AS260" s="201"/>
      <c r="AT260" s="201"/>
      <c r="AU260" s="201"/>
      <c r="AV260" s="201"/>
      <c r="AW260" s="201"/>
      <c r="AX260" s="201"/>
      <c r="AY260" s="201"/>
      <c r="AZ260" s="201"/>
      <c r="BA260" s="201"/>
      <c r="BB260" s="201"/>
    </row>
    <row r="261" spans="2:56">
      <c r="B261" s="35" t="s">
        <v>517</v>
      </c>
      <c r="C261" s="35"/>
      <c r="D261" s="32"/>
      <c r="E261" s="36" t="s">
        <v>511</v>
      </c>
      <c r="F261" s="37">
        <v>45142.716666666667</v>
      </c>
      <c r="G261" s="60">
        <v>45146</v>
      </c>
      <c r="H261" s="33"/>
      <c r="I261" s="34"/>
      <c r="J261" s="35" t="s">
        <v>518</v>
      </c>
      <c r="K261" s="36" t="s">
        <v>511</v>
      </c>
      <c r="L261" s="50">
        <v>104207</v>
      </c>
      <c r="M261" s="40" t="s">
        <v>519</v>
      </c>
      <c r="N261" s="40"/>
      <c r="O261" s="206"/>
      <c r="P261" s="205"/>
      <c r="Q261" s="202"/>
      <c r="R261" s="204"/>
      <c r="S261" s="38"/>
      <c r="T261" s="201"/>
      <c r="U261" s="201"/>
      <c r="V261" s="201"/>
      <c r="W261" s="201"/>
      <c r="X261" s="201"/>
      <c r="Y261" s="201"/>
      <c r="Z261" s="201"/>
      <c r="AA261" s="201"/>
      <c r="AB261" s="202"/>
      <c r="AC261" s="202"/>
      <c r="AD261" s="202"/>
      <c r="AE261" s="202"/>
      <c r="AF261" s="202"/>
      <c r="AG261" s="201"/>
      <c r="AH261" s="201"/>
      <c r="AI261" s="201"/>
      <c r="AJ261" s="201"/>
      <c r="AK261" s="201"/>
      <c r="AL261" s="201"/>
      <c r="AM261" s="201"/>
      <c r="AN261" s="201"/>
      <c r="AO261" s="201"/>
      <c r="AP261" s="201"/>
      <c r="AQ261" s="201"/>
      <c r="AR261" s="201"/>
      <c r="AS261" s="201"/>
      <c r="AT261" s="201"/>
      <c r="AU261" s="201"/>
      <c r="AV261" s="201"/>
      <c r="AW261" s="201"/>
      <c r="AX261" s="201"/>
      <c r="AY261" s="201"/>
      <c r="AZ261" s="201"/>
      <c r="BA261" s="201"/>
      <c r="BB261" s="201"/>
    </row>
    <row r="262" spans="2:56">
      <c r="B262" s="35" t="s">
        <v>520</v>
      </c>
      <c r="C262" s="35"/>
      <c r="D262" s="32"/>
      <c r="E262" s="36" t="s">
        <v>511</v>
      </c>
      <c r="F262" s="37" t="s">
        <v>4</v>
      </c>
      <c r="G262" s="32"/>
      <c r="H262" s="33"/>
      <c r="I262" s="34"/>
      <c r="J262" s="35" t="s">
        <v>521</v>
      </c>
      <c r="K262" s="36" t="s">
        <v>511</v>
      </c>
      <c r="L262" s="41" t="s">
        <v>2311</v>
      </c>
      <c r="M262" s="32"/>
      <c r="N262" s="32"/>
      <c r="O262" s="206"/>
      <c r="P262" s="202"/>
      <c r="Q262" s="202"/>
      <c r="R262" s="204"/>
      <c r="S262" s="38"/>
      <c r="T262" s="201"/>
      <c r="U262" s="201"/>
      <c r="V262" s="201"/>
      <c r="W262" s="201"/>
      <c r="X262" s="201"/>
      <c r="Y262" s="201"/>
      <c r="Z262" s="201"/>
      <c r="AA262" s="201"/>
      <c r="AB262" s="202"/>
      <c r="AC262" s="202"/>
      <c r="AD262" s="202"/>
      <c r="AE262" s="202"/>
      <c r="AF262" s="202"/>
      <c r="AG262" s="201"/>
      <c r="AH262" s="201"/>
      <c r="AI262" s="201"/>
      <c r="AJ262" s="201"/>
      <c r="AK262" s="201"/>
      <c r="AL262" s="201"/>
      <c r="AM262" s="201"/>
      <c r="AN262" s="201"/>
      <c r="AO262" s="201"/>
      <c r="AP262" s="201"/>
      <c r="AQ262" s="201"/>
      <c r="AR262" s="201"/>
      <c r="AS262" s="201"/>
      <c r="AT262" s="201"/>
      <c r="AU262" s="201"/>
      <c r="AV262" s="201"/>
      <c r="AW262" s="201"/>
      <c r="AX262" s="201"/>
      <c r="AY262" s="201"/>
      <c r="AZ262" s="201"/>
      <c r="BA262" s="201"/>
      <c r="BB262" s="201"/>
    </row>
    <row r="263" spans="2:56">
      <c r="B263" s="35" t="s">
        <v>523</v>
      </c>
      <c r="C263" s="35"/>
      <c r="D263" s="32"/>
      <c r="E263" s="36" t="s">
        <v>511</v>
      </c>
      <c r="F263" s="37" t="s">
        <v>5</v>
      </c>
      <c r="G263" s="32"/>
      <c r="H263" s="33"/>
      <c r="I263" s="34"/>
      <c r="J263" s="42" t="s">
        <v>524</v>
      </c>
      <c r="K263" s="36" t="s">
        <v>511</v>
      </c>
      <c r="L263" s="43" t="s">
        <v>15</v>
      </c>
      <c r="M263" s="44"/>
      <c r="N263" s="44"/>
      <c r="O263" s="206"/>
      <c r="P263" s="205"/>
      <c r="Q263" s="202"/>
      <c r="R263" s="204"/>
      <c r="S263" s="38"/>
      <c r="T263" s="201"/>
      <c r="U263" s="201"/>
      <c r="V263" s="201"/>
      <c r="W263" s="201"/>
      <c r="X263" s="201"/>
      <c r="Y263" s="201"/>
      <c r="Z263" s="201"/>
      <c r="AA263" s="201"/>
      <c r="AB263" s="202"/>
      <c r="AC263" s="202"/>
      <c r="AD263" s="202"/>
      <c r="AE263" s="202"/>
      <c r="AF263" s="202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  <c r="AQ263" s="201"/>
      <c r="AR263" s="201"/>
      <c r="AS263" s="201"/>
      <c r="AT263" s="201"/>
      <c r="AU263" s="201"/>
      <c r="AV263" s="201"/>
      <c r="AW263" s="201"/>
      <c r="AX263" s="201"/>
      <c r="AY263" s="201"/>
      <c r="AZ263" s="201"/>
      <c r="BA263" s="201"/>
      <c r="BB263" s="201"/>
    </row>
    <row r="264" spans="2:56">
      <c r="B264" s="35" t="s">
        <v>2</v>
      </c>
      <c r="C264" s="35"/>
      <c r="D264" s="32"/>
      <c r="E264" s="36" t="s">
        <v>511</v>
      </c>
      <c r="F264" s="37" t="s">
        <v>44</v>
      </c>
      <c r="G264" s="32"/>
      <c r="H264" s="33"/>
      <c r="I264" s="45"/>
      <c r="J264" s="42"/>
      <c r="K264" s="36"/>
      <c r="L264" s="211"/>
      <c r="M264" s="201"/>
      <c r="N264" s="201"/>
      <c r="O264" s="42"/>
      <c r="P264" s="44"/>
      <c r="Q264" s="44"/>
      <c r="R264" s="44"/>
      <c r="S264" s="34"/>
      <c r="T264" s="201"/>
      <c r="U264" s="201"/>
      <c r="V264" s="201"/>
      <c r="W264" s="201"/>
      <c r="X264" s="201"/>
      <c r="Y264" s="201"/>
      <c r="Z264" s="201"/>
      <c r="AA264" s="201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201"/>
      <c r="AP264" s="201"/>
      <c r="AQ264" s="201"/>
      <c r="AR264" s="201"/>
      <c r="AS264" s="201"/>
      <c r="AT264" s="201"/>
      <c r="AU264" s="201"/>
      <c r="AV264" s="201"/>
      <c r="AW264" s="201"/>
      <c r="AX264" s="201"/>
      <c r="AY264" s="201"/>
      <c r="AZ264" s="201"/>
      <c r="BA264" s="201"/>
      <c r="BB264" s="201"/>
    </row>
    <row r="265" spans="2:56">
      <c r="B265" s="201"/>
      <c r="C265" s="201"/>
      <c r="D265" s="201"/>
      <c r="E265" s="201"/>
      <c r="F265" s="201"/>
      <c r="G265" s="201"/>
      <c r="H265" s="201"/>
      <c r="I265" s="45"/>
      <c r="J265" s="42"/>
      <c r="K265" s="42"/>
      <c r="L265" s="43"/>
      <c r="M265" s="44"/>
      <c r="N265" s="44"/>
      <c r="O265" s="42"/>
      <c r="P265" s="44"/>
      <c r="Q265" s="44"/>
      <c r="R265" s="44"/>
      <c r="S265" s="34"/>
      <c r="T265" s="1265" t="s">
        <v>87</v>
      </c>
      <c r="U265" s="1265"/>
      <c r="V265" s="1265"/>
      <c r="W265" s="1265"/>
      <c r="X265" s="1265"/>
      <c r="Y265" s="1265" t="s">
        <v>73</v>
      </c>
      <c r="Z265" s="1265"/>
      <c r="AA265" s="1265"/>
      <c r="AB265" s="1265" t="s">
        <v>74</v>
      </c>
      <c r="AC265" s="1265"/>
      <c r="AD265" s="423" t="s">
        <v>85</v>
      </c>
      <c r="AE265" s="423" t="s">
        <v>77</v>
      </c>
      <c r="AF265" s="1265" t="s">
        <v>525</v>
      </c>
      <c r="AG265" s="1265"/>
      <c r="AH265" s="1265"/>
      <c r="AI265" s="1265"/>
      <c r="AJ265" s="1265"/>
      <c r="AK265" s="1265"/>
      <c r="AL265" s="1265"/>
      <c r="AM265" s="1265"/>
      <c r="AN265" s="1265"/>
      <c r="AO265" s="1265"/>
      <c r="AP265" s="1265"/>
      <c r="AQ265" s="1265"/>
      <c r="AR265" s="1265"/>
      <c r="AS265" s="1265"/>
      <c r="AT265" s="1265"/>
      <c r="AU265" s="1265"/>
      <c r="AV265" s="1265"/>
      <c r="AW265" s="1265"/>
      <c r="AX265" s="1265"/>
      <c r="AY265" s="1265"/>
      <c r="AZ265" s="1265"/>
      <c r="BA265" s="1265"/>
      <c r="BB265" s="201"/>
    </row>
    <row r="266" spans="2:56">
      <c r="B266" s="1266" t="s">
        <v>526</v>
      </c>
      <c r="C266" s="1267"/>
      <c r="D266" s="570" t="s">
        <v>527</v>
      </c>
      <c r="E266" s="570"/>
      <c r="F266" s="570" t="s">
        <v>528</v>
      </c>
      <c r="G266" s="570" t="s">
        <v>529</v>
      </c>
      <c r="H266" s="570" t="s">
        <v>530</v>
      </c>
      <c r="I266" s="570" t="s">
        <v>531</v>
      </c>
      <c r="J266" s="570" t="s">
        <v>532</v>
      </c>
      <c r="K266" s="570"/>
      <c r="L266" s="570" t="s">
        <v>130</v>
      </c>
      <c r="M266" s="570" t="s">
        <v>533</v>
      </c>
      <c r="N266" s="408" t="str">
        <f>"On time - "&amp;COUNTIF(N267:N308,"On time")&amp;" from "&amp;ROWS(N267:N308)-COUNTIF(N267:N308," ")</f>
        <v>On time - 0 from 17</v>
      </c>
      <c r="O266" s="46"/>
      <c r="P266" s="409" t="s">
        <v>534</v>
      </c>
      <c r="Q266" s="409" t="s">
        <v>535</v>
      </c>
      <c r="R266" s="409" t="s">
        <v>536</v>
      </c>
      <c r="S266" s="32"/>
      <c r="T266" s="424" t="s">
        <v>537</v>
      </c>
      <c r="U266" s="424" t="s">
        <v>538</v>
      </c>
      <c r="V266" s="424" t="s">
        <v>539</v>
      </c>
      <c r="W266" s="424" t="s">
        <v>540</v>
      </c>
      <c r="X266" s="424" t="s">
        <v>541</v>
      </c>
      <c r="Y266" s="424" t="s">
        <v>167</v>
      </c>
      <c r="Z266" s="424" t="s">
        <v>168</v>
      </c>
      <c r="AA266" s="424" t="s">
        <v>169</v>
      </c>
      <c r="AB266" s="424" t="s">
        <v>235</v>
      </c>
      <c r="AC266" s="424" t="s">
        <v>240</v>
      </c>
      <c r="AD266" s="423" t="s">
        <v>85</v>
      </c>
      <c r="AE266" s="424" t="s">
        <v>139</v>
      </c>
      <c r="AF266" s="424" t="s">
        <v>72</v>
      </c>
      <c r="AG266" s="424" t="s">
        <v>88</v>
      </c>
      <c r="AH266" s="424" t="s">
        <v>75</v>
      </c>
      <c r="AI266" s="424" t="s">
        <v>543</v>
      </c>
      <c r="AJ266" s="424" t="s">
        <v>78</v>
      </c>
      <c r="AK266" s="424" t="s">
        <v>76</v>
      </c>
      <c r="AL266" s="424" t="s">
        <v>544</v>
      </c>
      <c r="AM266" s="424" t="s">
        <v>545</v>
      </c>
      <c r="AN266" s="424" t="s">
        <v>86</v>
      </c>
      <c r="AO266" s="424" t="s">
        <v>83</v>
      </c>
      <c r="AP266" s="424" t="s">
        <v>84</v>
      </c>
      <c r="AQ266" s="424" t="s">
        <v>546</v>
      </c>
      <c r="AR266" s="424" t="s">
        <v>81</v>
      </c>
      <c r="AS266" s="424" t="s">
        <v>80</v>
      </c>
      <c r="AT266" s="424" t="s">
        <v>82</v>
      </c>
      <c r="AU266" s="424" t="s">
        <v>181</v>
      </c>
      <c r="AV266" s="424" t="s">
        <v>183</v>
      </c>
      <c r="AW266" s="424" t="s">
        <v>547</v>
      </c>
      <c r="AX266" s="424" t="s">
        <v>182</v>
      </c>
      <c r="AY266" s="424" t="s">
        <v>172</v>
      </c>
      <c r="AZ266" s="424" t="s">
        <v>173</v>
      </c>
      <c r="BA266" s="424" t="s">
        <v>184</v>
      </c>
      <c r="BB266" s="201"/>
    </row>
    <row r="267" spans="2:56">
      <c r="B267" s="1256" t="s">
        <v>668</v>
      </c>
      <c r="C267" s="1257"/>
      <c r="D267" s="411" t="s">
        <v>2312</v>
      </c>
      <c r="E267" s="444"/>
      <c r="F267" s="411" t="s">
        <v>358</v>
      </c>
      <c r="G267" s="411" t="s">
        <v>359</v>
      </c>
      <c r="H267" s="412">
        <v>6316.4859999999999</v>
      </c>
      <c r="I267" s="413" t="s">
        <v>172</v>
      </c>
      <c r="J267" s="414">
        <v>45149.291666666664</v>
      </c>
      <c r="K267" s="414"/>
      <c r="L267" s="414" t="s">
        <v>192</v>
      </c>
      <c r="M267" s="414" t="s">
        <v>192</v>
      </c>
      <c r="N267" s="413" t="str">
        <f>IF(ISBLANK(J267)," ",IF(J267&lt;$G$261,"On time",(IF(DAY(J267-$G$261)&lt;1,"On time",(IF(J267&gt;$G$261,"DELAY ( "&amp;DAY(J267-$G$261)&amp;" day "&amp;HOUR(J267-$G$261)&amp;" hour "&amp;MINUTE(J267-$G$261)&amp;" minute )","xxx"))))))</f>
        <v>DELAY ( 3 day 7 hour 0 minute )</v>
      </c>
      <c r="O267" s="51"/>
      <c r="P267" s="415" t="s">
        <v>551</v>
      </c>
      <c r="Q267" s="415" t="s">
        <v>551</v>
      </c>
      <c r="R267" s="415" t="s">
        <v>551</v>
      </c>
      <c r="S267" s="32"/>
      <c r="T267" s="416"/>
      <c r="U267" s="416"/>
      <c r="V267" s="416"/>
      <c r="W267" s="416"/>
      <c r="X267" s="416"/>
      <c r="Y267" s="416"/>
      <c r="Z267" s="416"/>
      <c r="AA267" s="416"/>
      <c r="AB267" s="416"/>
      <c r="AC267" s="416"/>
      <c r="AD267" s="416"/>
      <c r="AE267" s="416"/>
      <c r="AF267" s="416"/>
      <c r="AG267" s="416"/>
      <c r="AH267" s="416"/>
      <c r="AI267" s="416"/>
      <c r="AJ267" s="416"/>
      <c r="AK267" s="416"/>
      <c r="AL267" s="416"/>
      <c r="AM267" s="416"/>
      <c r="AN267" s="416"/>
      <c r="AO267" s="416"/>
      <c r="AP267" s="416"/>
      <c r="AQ267" s="416"/>
      <c r="AR267" s="416"/>
      <c r="AS267" s="416"/>
      <c r="AT267" s="416"/>
      <c r="AU267" s="416"/>
      <c r="AV267" s="416"/>
      <c r="AW267" s="416"/>
      <c r="AX267" s="416"/>
      <c r="AY267" s="416">
        <f>H267</f>
        <v>6316.4859999999999</v>
      </c>
      <c r="AZ267" s="416"/>
      <c r="BA267" s="416"/>
      <c r="BB267" s="32"/>
    </row>
    <row r="268" spans="2:56">
      <c r="B268" s="1256" t="s">
        <v>616</v>
      </c>
      <c r="C268" s="1257"/>
      <c r="D268" s="411" t="s">
        <v>2313</v>
      </c>
      <c r="E268" s="444"/>
      <c r="F268" s="411" t="s">
        <v>774</v>
      </c>
      <c r="G268" s="411" t="s">
        <v>423</v>
      </c>
      <c r="H268" s="412">
        <v>7333.0959999999995</v>
      </c>
      <c r="I268" s="413" t="s">
        <v>85</v>
      </c>
      <c r="J268" s="414">
        <v>45151.041666666664</v>
      </c>
      <c r="K268" s="414"/>
      <c r="L268" s="414" t="s">
        <v>192</v>
      </c>
      <c r="M268" s="414" t="s">
        <v>192</v>
      </c>
      <c r="N268" s="413" t="str">
        <f t="shared" ref="N268:N308" si="23">IF(ISBLANK(J268)," ",IF(J268&lt;$G$261,"On time",(IF(DAY(J268-$G$261)&lt;1,"On time",(IF(J268&gt;$G$261,"DELAY ( "&amp;DAY(J268-$G$261)&amp;" day "&amp;HOUR(J268-$G$261)&amp;" hour "&amp;MINUTE(J268-$G$261)&amp;" minute )","xxx"))))))</f>
        <v>DELAY ( 5 day 1 hour 0 minute )</v>
      </c>
      <c r="O268" s="51"/>
      <c r="P268" s="415" t="s">
        <v>551</v>
      </c>
      <c r="Q268" s="415" t="s">
        <v>551</v>
      </c>
      <c r="R268" s="415" t="s">
        <v>551</v>
      </c>
      <c r="S268" s="32"/>
      <c r="T268" s="416"/>
      <c r="U268" s="416"/>
      <c r="V268" s="416"/>
      <c r="W268" s="416"/>
      <c r="X268" s="416"/>
      <c r="Y268" s="416"/>
      <c r="Z268" s="416"/>
      <c r="AA268" s="416"/>
      <c r="AB268" s="416"/>
      <c r="AC268" s="416"/>
      <c r="AD268" s="416">
        <f>H268</f>
        <v>7333.0959999999995</v>
      </c>
      <c r="AE268" s="416"/>
      <c r="AF268" s="416"/>
      <c r="AG268" s="416"/>
      <c r="AH268" s="416"/>
      <c r="AI268" s="416"/>
      <c r="AJ268" s="416"/>
      <c r="AK268" s="416"/>
      <c r="AL268" s="416"/>
      <c r="AM268" s="416"/>
      <c r="AN268" s="416"/>
      <c r="AO268" s="416"/>
      <c r="AP268" s="416"/>
      <c r="AQ268" s="416"/>
      <c r="AR268" s="416"/>
      <c r="AS268" s="416"/>
      <c r="AT268" s="416"/>
      <c r="AU268" s="416"/>
      <c r="AV268" s="416"/>
      <c r="AW268" s="416"/>
      <c r="AX268" s="416"/>
      <c r="AY268" s="416"/>
      <c r="AZ268" s="416"/>
      <c r="BA268" s="416"/>
      <c r="BB268" s="32"/>
    </row>
    <row r="269" spans="2:56">
      <c r="B269" s="1256" t="s">
        <v>616</v>
      </c>
      <c r="C269" s="1257"/>
      <c r="D269" s="411" t="s">
        <v>2314</v>
      </c>
      <c r="E269" s="444"/>
      <c r="F269" s="411" t="s">
        <v>249</v>
      </c>
      <c r="G269" s="411" t="s">
        <v>2315</v>
      </c>
      <c r="H269" s="412">
        <v>7321.9870000000001</v>
      </c>
      <c r="I269" s="413" t="s">
        <v>85</v>
      </c>
      <c r="J269" s="414">
        <v>45153.229166666664</v>
      </c>
      <c r="K269" s="414"/>
      <c r="L269" s="414" t="s">
        <v>192</v>
      </c>
      <c r="M269" s="414" t="s">
        <v>192</v>
      </c>
      <c r="N269" s="413" t="str">
        <f t="shared" si="23"/>
        <v>DELAY ( 7 day 5 hour 30 minute )</v>
      </c>
      <c r="O269" s="51"/>
      <c r="P269" s="415" t="s">
        <v>551</v>
      </c>
      <c r="Q269" s="415" t="s">
        <v>551</v>
      </c>
      <c r="R269" s="415" t="s">
        <v>551</v>
      </c>
      <c r="S269" s="32"/>
      <c r="T269" s="416"/>
      <c r="U269" s="416"/>
      <c r="V269" s="416"/>
      <c r="W269" s="416"/>
      <c r="X269" s="416"/>
      <c r="Y269" s="416"/>
      <c r="Z269" s="416"/>
      <c r="AA269" s="416"/>
      <c r="AB269" s="416"/>
      <c r="AC269" s="416"/>
      <c r="AD269" s="416">
        <f>H269</f>
        <v>7321.9870000000001</v>
      </c>
      <c r="AE269" s="416"/>
      <c r="AF269" s="416"/>
      <c r="AG269" s="416"/>
      <c r="AH269" s="416"/>
      <c r="AI269" s="416"/>
      <c r="AJ269" s="416"/>
      <c r="AK269" s="416"/>
      <c r="AL269" s="416"/>
      <c r="AM269" s="416"/>
      <c r="AN269" s="416"/>
      <c r="AO269" s="416"/>
      <c r="AP269" s="32"/>
      <c r="AQ269" s="416"/>
      <c r="AR269" s="416"/>
      <c r="AS269" s="416"/>
      <c r="AT269" s="416"/>
      <c r="AU269" s="416"/>
      <c r="AV269" s="416"/>
      <c r="AW269" s="416"/>
      <c r="AX269" s="416"/>
      <c r="AY269" s="416"/>
      <c r="AZ269" s="416"/>
      <c r="BA269" s="416"/>
      <c r="BB269" s="32"/>
    </row>
    <row r="270" spans="2:56">
      <c r="B270" s="1256" t="s">
        <v>668</v>
      </c>
      <c r="C270" s="1257"/>
      <c r="D270" s="411" t="s">
        <v>2316</v>
      </c>
      <c r="E270" s="444"/>
      <c r="F270" s="411" t="s">
        <v>323</v>
      </c>
      <c r="G270" s="411" t="s">
        <v>324</v>
      </c>
      <c r="H270" s="412">
        <v>6781.3029999999999</v>
      </c>
      <c r="I270" s="413" t="s">
        <v>172</v>
      </c>
      <c r="J270" s="414">
        <v>45151.520833333336</v>
      </c>
      <c r="K270" s="414"/>
      <c r="L270" s="414" t="s">
        <v>192</v>
      </c>
      <c r="M270" s="414" t="s">
        <v>192</v>
      </c>
      <c r="N270" s="413" t="str">
        <f t="shared" si="23"/>
        <v>DELAY ( 5 day 12 hour 30 minute )</v>
      </c>
      <c r="O270" s="51"/>
      <c r="P270" s="415" t="s">
        <v>551</v>
      </c>
      <c r="Q270" s="415" t="s">
        <v>551</v>
      </c>
      <c r="R270" s="415" t="s">
        <v>551</v>
      </c>
      <c r="S270" s="32"/>
      <c r="T270" s="416"/>
      <c r="U270" s="416"/>
      <c r="V270" s="416"/>
      <c r="W270" s="416"/>
      <c r="X270" s="416"/>
      <c r="Y270" s="416"/>
      <c r="Z270" s="416"/>
      <c r="AA270" s="416"/>
      <c r="AB270" s="416"/>
      <c r="AC270" s="416"/>
      <c r="AD270" s="416"/>
      <c r="AE270" s="416"/>
      <c r="AF270" s="416"/>
      <c r="AG270" s="416"/>
      <c r="AH270" s="416"/>
      <c r="AI270" s="416"/>
      <c r="AJ270" s="416"/>
      <c r="AK270" s="416"/>
      <c r="AL270" s="416"/>
      <c r="AM270" s="416"/>
      <c r="AN270" s="416"/>
      <c r="AO270" s="416"/>
      <c r="AP270" s="416"/>
      <c r="AQ270" s="416"/>
      <c r="AR270" s="416"/>
      <c r="AS270" s="416"/>
      <c r="AT270" s="416"/>
      <c r="AU270" s="416"/>
      <c r="AV270" s="416"/>
      <c r="AW270" s="416"/>
      <c r="AX270" s="416"/>
      <c r="AY270" s="416">
        <f>H270</f>
        <v>6781.3029999999999</v>
      </c>
      <c r="AZ270" s="416"/>
      <c r="BA270" s="416"/>
      <c r="BB270" s="32"/>
    </row>
    <row r="271" spans="2:56">
      <c r="B271" s="1258" t="s">
        <v>2317</v>
      </c>
      <c r="C271" s="1259"/>
      <c r="D271" s="1259"/>
      <c r="E271" s="1259"/>
      <c r="F271" s="1259"/>
      <c r="G271" s="1260"/>
      <c r="H271" s="417">
        <f>SUM(H267:H270)</f>
        <v>27752.871999999999</v>
      </c>
      <c r="I271" s="388"/>
      <c r="J271" s="367"/>
      <c r="K271" s="293"/>
      <c r="L271" s="293"/>
      <c r="M271" s="389"/>
      <c r="N271" s="413" t="str">
        <f t="shared" si="23"/>
        <v xml:space="preserve"> </v>
      </c>
      <c r="O271" s="47"/>
      <c r="P271" s="418"/>
      <c r="Q271" s="418"/>
      <c r="R271" s="418"/>
      <c r="S271" s="32"/>
      <c r="T271" s="416"/>
      <c r="U271" s="416"/>
      <c r="V271" s="416"/>
      <c r="W271" s="416"/>
      <c r="X271" s="416"/>
      <c r="Y271" s="428"/>
      <c r="Z271" s="428"/>
      <c r="AA271" s="428"/>
      <c r="AB271" s="416"/>
      <c r="AC271" s="416"/>
      <c r="AD271" s="416"/>
      <c r="AE271" s="416"/>
      <c r="AF271" s="416"/>
      <c r="AG271" s="416"/>
      <c r="AH271" s="416"/>
      <c r="AI271" s="416"/>
      <c r="AJ271" s="416"/>
      <c r="AK271" s="416"/>
      <c r="AL271" s="416"/>
      <c r="AM271" s="416"/>
      <c r="AN271" s="416"/>
      <c r="AO271" s="416"/>
      <c r="AP271" s="416"/>
      <c r="AQ271" s="416"/>
      <c r="AR271" s="416"/>
      <c r="AS271" s="416"/>
      <c r="AT271" s="416"/>
      <c r="AU271" s="416"/>
      <c r="AV271" s="416"/>
      <c r="AW271" s="416"/>
      <c r="AX271" s="416"/>
      <c r="AY271" s="416"/>
      <c r="AZ271" s="416"/>
      <c r="BA271" s="416"/>
    </row>
    <row r="272" spans="2:56">
      <c r="B272" s="1250" t="s">
        <v>619</v>
      </c>
      <c r="C272" s="1251"/>
      <c r="D272" s="411" t="s">
        <v>2318</v>
      </c>
      <c r="E272" s="411"/>
      <c r="F272" s="411" t="s">
        <v>2319</v>
      </c>
      <c r="G272" s="411" t="s">
        <v>2320</v>
      </c>
      <c r="H272" s="412">
        <v>6054.7969999999996</v>
      </c>
      <c r="I272" s="413" t="s">
        <v>240</v>
      </c>
      <c r="J272" s="414">
        <v>45148.996527777781</v>
      </c>
      <c r="K272" s="414"/>
      <c r="L272" s="414" t="s">
        <v>192</v>
      </c>
      <c r="M272" s="414" t="s">
        <v>192</v>
      </c>
      <c r="N272" s="413" t="str">
        <f t="shared" si="23"/>
        <v>DELAY ( 2 day 23 hour 55 minute )</v>
      </c>
      <c r="O272" s="51"/>
      <c r="P272" s="415" t="s">
        <v>551</v>
      </c>
      <c r="Q272" s="415" t="s">
        <v>551</v>
      </c>
      <c r="R272" s="415" t="s">
        <v>551</v>
      </c>
      <c r="S272" s="32"/>
      <c r="T272" s="416"/>
      <c r="U272" s="416"/>
      <c r="V272" s="416"/>
      <c r="W272" s="416"/>
      <c r="X272" s="416"/>
      <c r="Y272" s="416"/>
      <c r="Z272" s="416"/>
      <c r="AA272" s="416"/>
      <c r="AB272" s="416"/>
      <c r="AC272" s="416">
        <f>H272</f>
        <v>6054.7969999999996</v>
      </c>
      <c r="AD272" s="416"/>
      <c r="AE272" s="416"/>
      <c r="AF272" s="416"/>
      <c r="AG272" s="416"/>
      <c r="AH272" s="416"/>
      <c r="AI272" s="416"/>
      <c r="AJ272" s="32"/>
      <c r="AK272" s="416"/>
      <c r="AL272" s="416"/>
      <c r="AM272" s="416"/>
      <c r="AN272" s="416"/>
      <c r="AO272" s="416"/>
      <c r="AP272" s="416"/>
      <c r="AQ272" s="416"/>
      <c r="AR272" s="32"/>
      <c r="AS272" s="416"/>
      <c r="AT272" s="416"/>
      <c r="AU272" s="416"/>
      <c r="AV272" s="416"/>
      <c r="AW272" s="416"/>
      <c r="AX272" s="416"/>
      <c r="AY272" s="286"/>
      <c r="AZ272" s="416"/>
      <c r="BA272" s="416"/>
      <c r="BB272" s="32"/>
    </row>
    <row r="273" spans="2:54">
      <c r="B273" s="1254"/>
      <c r="C273" s="1255"/>
      <c r="D273" s="411"/>
      <c r="E273" s="411"/>
      <c r="F273" s="1256" t="s">
        <v>616</v>
      </c>
      <c r="G273" s="1257"/>
      <c r="H273" s="412">
        <v>1500</v>
      </c>
      <c r="I273" s="413"/>
      <c r="J273" s="414"/>
      <c r="K273" s="414"/>
      <c r="L273" s="414"/>
      <c r="M273" s="414"/>
      <c r="N273" s="413" t="str">
        <f t="shared" si="23"/>
        <v xml:space="preserve"> </v>
      </c>
      <c r="O273" s="51"/>
      <c r="P273" s="415"/>
      <c r="Q273" s="415"/>
      <c r="R273" s="415"/>
      <c r="S273" s="32"/>
      <c r="T273" s="416"/>
      <c r="U273" s="416"/>
      <c r="V273" s="416"/>
      <c r="W273" s="416"/>
      <c r="X273" s="416"/>
      <c r="Y273" s="416"/>
      <c r="Z273" s="416"/>
      <c r="AA273" s="416"/>
      <c r="AB273" s="416"/>
      <c r="AC273" s="416"/>
      <c r="AD273" s="416"/>
      <c r="AE273" s="416"/>
      <c r="AF273" s="416"/>
      <c r="AG273" s="416"/>
      <c r="AH273" s="416"/>
      <c r="AI273" s="416"/>
      <c r="AJ273" s="32"/>
      <c r="AK273" s="416"/>
      <c r="AL273" s="416"/>
      <c r="AM273" s="416"/>
      <c r="AN273" s="416"/>
      <c r="AO273" s="416"/>
      <c r="AP273" s="416"/>
      <c r="AQ273" s="416"/>
      <c r="AR273" s="32"/>
      <c r="AS273" s="416"/>
      <c r="AT273" s="416"/>
      <c r="AU273" s="416"/>
      <c r="AV273" s="416"/>
      <c r="AW273" s="416"/>
      <c r="AX273" s="416"/>
      <c r="AY273" s="286"/>
      <c r="AZ273" s="416"/>
      <c r="BA273" s="416"/>
      <c r="BB273" s="32"/>
    </row>
    <row r="274" spans="2:54">
      <c r="B274" s="1250" t="s">
        <v>621</v>
      </c>
      <c r="C274" s="1251"/>
      <c r="D274" s="411" t="s">
        <v>2321</v>
      </c>
      <c r="E274" s="411"/>
      <c r="F274" s="411" t="s">
        <v>2322</v>
      </c>
      <c r="G274" s="411" t="s">
        <v>2323</v>
      </c>
      <c r="H274" s="412">
        <v>6001.1130000000003</v>
      </c>
      <c r="I274" s="413" t="s">
        <v>240</v>
      </c>
      <c r="J274" s="414">
        <v>45149.083333333336</v>
      </c>
      <c r="K274" s="414"/>
      <c r="L274" s="414" t="s">
        <v>192</v>
      </c>
      <c r="M274" s="414" t="s">
        <v>192</v>
      </c>
      <c r="N274" s="413" t="str">
        <f t="shared" si="23"/>
        <v>DELAY ( 3 day 2 hour 0 minute )</v>
      </c>
      <c r="O274" s="51"/>
      <c r="P274" s="415" t="s">
        <v>551</v>
      </c>
      <c r="Q274" s="415" t="s">
        <v>551</v>
      </c>
      <c r="R274" s="415" t="s">
        <v>551</v>
      </c>
      <c r="S274" s="32"/>
      <c r="T274" s="416"/>
      <c r="U274" s="416"/>
      <c r="V274" s="416"/>
      <c r="W274" s="416"/>
      <c r="X274" s="416"/>
      <c r="Y274" s="416"/>
      <c r="Z274" s="416"/>
      <c r="AA274" s="416"/>
      <c r="AB274" s="416"/>
      <c r="AC274" s="416">
        <f>H274</f>
        <v>6001.1130000000003</v>
      </c>
      <c r="AD274" s="416"/>
      <c r="AE274" s="416"/>
      <c r="AF274" s="416"/>
      <c r="AG274" s="416"/>
      <c r="AH274" s="416"/>
      <c r="AI274" s="416"/>
      <c r="AJ274" s="416"/>
      <c r="AK274" s="416"/>
      <c r="AL274" s="416"/>
      <c r="AM274" s="416"/>
      <c r="AN274" s="416"/>
      <c r="AO274" s="416"/>
      <c r="AP274" s="416"/>
      <c r="AQ274" s="416"/>
      <c r="AR274" s="416"/>
      <c r="AS274" s="416"/>
      <c r="AT274" s="416"/>
      <c r="AU274" s="416"/>
      <c r="AV274" s="416"/>
      <c r="AW274" s="416"/>
      <c r="AX274" s="416"/>
      <c r="AY274" s="416"/>
      <c r="AZ274" s="416"/>
      <c r="BA274" s="416"/>
      <c r="BB274" s="32"/>
    </row>
    <row r="275" spans="2:54">
      <c r="B275" s="1252"/>
      <c r="C275" s="1253"/>
      <c r="D275" s="411"/>
      <c r="E275" s="411"/>
      <c r="F275" s="1256" t="s">
        <v>668</v>
      </c>
      <c r="G275" s="1257"/>
      <c r="H275" s="412">
        <v>1000</v>
      </c>
      <c r="I275" s="413"/>
      <c r="J275" s="414"/>
      <c r="K275" s="414"/>
      <c r="L275" s="414"/>
      <c r="M275" s="414"/>
      <c r="N275" s="413" t="str">
        <f t="shared" si="23"/>
        <v xml:space="preserve"> </v>
      </c>
      <c r="O275" s="51"/>
      <c r="P275" s="415"/>
      <c r="Q275" s="415"/>
      <c r="R275" s="415"/>
      <c r="S275" s="32"/>
      <c r="T275" s="416"/>
      <c r="U275" s="416"/>
      <c r="V275" s="416"/>
      <c r="W275" s="416"/>
      <c r="X275" s="416"/>
      <c r="Y275" s="416"/>
      <c r="Z275" s="416"/>
      <c r="AA275" s="416"/>
      <c r="AB275" s="416"/>
      <c r="AC275" s="416"/>
      <c r="AD275" s="416"/>
      <c r="AE275" s="416"/>
      <c r="AF275" s="416"/>
      <c r="AG275" s="416"/>
      <c r="AH275" s="416"/>
      <c r="AI275" s="416"/>
      <c r="AJ275" s="32"/>
      <c r="AK275" s="416"/>
      <c r="AL275" s="416"/>
      <c r="AM275" s="416"/>
      <c r="AN275" s="416"/>
      <c r="AO275" s="416"/>
      <c r="AP275" s="416"/>
      <c r="AQ275" s="416"/>
      <c r="AR275" s="32"/>
      <c r="AS275" s="416"/>
      <c r="AT275" s="416"/>
      <c r="AU275" s="416"/>
      <c r="AV275" s="416"/>
      <c r="AW275" s="416"/>
      <c r="AX275" s="416"/>
      <c r="AY275" s="286"/>
      <c r="AZ275" s="416"/>
      <c r="BA275" s="416"/>
      <c r="BB275" s="32"/>
    </row>
    <row r="276" spans="2:54">
      <c r="B276" s="1254"/>
      <c r="C276" s="1255"/>
      <c r="D276" s="411"/>
      <c r="E276" s="411"/>
      <c r="F276" s="1256" t="s">
        <v>616</v>
      </c>
      <c r="G276" s="1257"/>
      <c r="H276" s="412">
        <v>1500</v>
      </c>
      <c r="I276" s="413"/>
      <c r="J276" s="414"/>
      <c r="K276" s="414"/>
      <c r="L276" s="414"/>
      <c r="M276" s="414"/>
      <c r="N276" s="413" t="str">
        <f t="shared" si="23"/>
        <v xml:space="preserve"> </v>
      </c>
      <c r="O276" s="51"/>
      <c r="P276" s="415"/>
      <c r="Q276" s="415"/>
      <c r="R276" s="415"/>
      <c r="S276" s="32"/>
      <c r="T276" s="416"/>
      <c r="U276" s="416"/>
      <c r="V276" s="416"/>
      <c r="W276" s="416"/>
      <c r="X276" s="416"/>
      <c r="Y276" s="416"/>
      <c r="Z276" s="416"/>
      <c r="AA276" s="416"/>
      <c r="AB276" s="416"/>
      <c r="AC276" s="416"/>
      <c r="AD276" s="416"/>
      <c r="AE276" s="416"/>
      <c r="AF276" s="416"/>
      <c r="AG276" s="416"/>
      <c r="AH276" s="416"/>
      <c r="AI276" s="416"/>
      <c r="AJ276" s="32"/>
      <c r="AK276" s="416"/>
      <c r="AL276" s="416"/>
      <c r="AM276" s="416"/>
      <c r="AN276" s="416"/>
      <c r="AO276" s="416"/>
      <c r="AP276" s="416"/>
      <c r="AQ276" s="416"/>
      <c r="AR276" s="32"/>
      <c r="AS276" s="416"/>
      <c r="AT276" s="416"/>
      <c r="AU276" s="416"/>
      <c r="AV276" s="416"/>
      <c r="AW276" s="416"/>
      <c r="AX276" s="416"/>
      <c r="AY276" s="286"/>
      <c r="AZ276" s="416"/>
      <c r="BA276" s="416"/>
      <c r="BB276" s="32"/>
    </row>
    <row r="277" spans="2:54">
      <c r="B277" s="1250" t="s">
        <v>622</v>
      </c>
      <c r="C277" s="1251"/>
      <c r="D277" s="411" t="s">
        <v>2324</v>
      </c>
      <c r="E277" s="411"/>
      <c r="F277" s="411" t="s">
        <v>2325</v>
      </c>
      <c r="G277" s="411" t="s">
        <v>2326</v>
      </c>
      <c r="H277" s="412">
        <v>5962.6090000000004</v>
      </c>
      <c r="I277" s="413" t="s">
        <v>240</v>
      </c>
      <c r="J277" s="414">
        <v>45149.229166666664</v>
      </c>
      <c r="K277" s="414"/>
      <c r="L277" s="414" t="s">
        <v>192</v>
      </c>
      <c r="M277" s="414" t="s">
        <v>192</v>
      </c>
      <c r="N277" s="413" t="str">
        <f t="shared" si="23"/>
        <v>DELAY ( 3 day 5 hour 30 minute )</v>
      </c>
      <c r="O277" s="51"/>
      <c r="P277" s="415" t="s">
        <v>551</v>
      </c>
      <c r="Q277" s="415" t="s">
        <v>551</v>
      </c>
      <c r="R277" s="415" t="s">
        <v>551</v>
      </c>
      <c r="S277" s="32"/>
      <c r="T277" s="416"/>
      <c r="U277" s="416"/>
      <c r="V277" s="416"/>
      <c r="W277" s="416"/>
      <c r="X277" s="416"/>
      <c r="Y277" s="416"/>
      <c r="Z277" s="416"/>
      <c r="AA277" s="416"/>
      <c r="AB277" s="416"/>
      <c r="AC277" s="416">
        <f>H277</f>
        <v>5962.6090000000004</v>
      </c>
      <c r="AD277" s="416"/>
      <c r="AE277" s="416"/>
      <c r="AF277" s="416"/>
      <c r="AG277" s="416"/>
      <c r="AH277" s="416"/>
      <c r="AI277" s="416"/>
      <c r="AJ277" s="416"/>
      <c r="AK277" s="416"/>
      <c r="AL277" s="416"/>
      <c r="AM277" s="416"/>
      <c r="AN277" s="416"/>
      <c r="AO277" s="416"/>
      <c r="AP277" s="416"/>
      <c r="AQ277" s="416"/>
      <c r="AR277" s="416"/>
      <c r="AS277" s="416"/>
      <c r="AT277" s="32"/>
      <c r="AU277" s="416"/>
      <c r="AV277" s="416"/>
      <c r="AW277" s="416"/>
      <c r="AX277" s="416"/>
      <c r="AY277" s="416"/>
      <c r="AZ277" s="416"/>
      <c r="BA277" s="416"/>
      <c r="BB277" s="32"/>
    </row>
    <row r="278" spans="2:54">
      <c r="B278" s="1252"/>
      <c r="C278" s="1253"/>
      <c r="D278" s="411"/>
      <c r="E278" s="411"/>
      <c r="F278" s="1256" t="s">
        <v>668</v>
      </c>
      <c r="G278" s="1257"/>
      <c r="H278" s="412">
        <v>1000</v>
      </c>
      <c r="I278" s="413"/>
      <c r="J278" s="414"/>
      <c r="K278" s="414"/>
      <c r="L278" s="414"/>
      <c r="M278" s="414"/>
      <c r="N278" s="413" t="str">
        <f t="shared" si="23"/>
        <v xml:space="preserve"> </v>
      </c>
      <c r="O278" s="51"/>
      <c r="P278" s="415"/>
      <c r="Q278" s="415"/>
      <c r="R278" s="415"/>
      <c r="S278" s="32"/>
      <c r="T278" s="416"/>
      <c r="U278" s="416"/>
      <c r="V278" s="416"/>
      <c r="W278" s="416"/>
      <c r="X278" s="416"/>
      <c r="Y278" s="416"/>
      <c r="Z278" s="416"/>
      <c r="AA278" s="416"/>
      <c r="AB278" s="416"/>
      <c r="AC278" s="416"/>
      <c r="AD278" s="416"/>
      <c r="AE278" s="416"/>
      <c r="AF278" s="416"/>
      <c r="AG278" s="416"/>
      <c r="AH278" s="416"/>
      <c r="AI278" s="416"/>
      <c r="AJ278" s="32"/>
      <c r="AK278" s="416"/>
      <c r="AL278" s="416"/>
      <c r="AM278" s="416"/>
      <c r="AN278" s="416"/>
      <c r="AO278" s="416"/>
      <c r="AP278" s="416"/>
      <c r="AQ278" s="416"/>
      <c r="AR278" s="32"/>
      <c r="AS278" s="416"/>
      <c r="AT278" s="416"/>
      <c r="AU278" s="416"/>
      <c r="AV278" s="416"/>
      <c r="AW278" s="416"/>
      <c r="AX278" s="416"/>
      <c r="AY278" s="286"/>
      <c r="AZ278" s="416"/>
      <c r="BA278" s="416"/>
      <c r="BB278" s="32"/>
    </row>
    <row r="279" spans="2:54">
      <c r="B279" s="1254"/>
      <c r="C279" s="1255"/>
      <c r="D279" s="411"/>
      <c r="E279" s="411"/>
      <c r="F279" s="1256" t="s">
        <v>616</v>
      </c>
      <c r="G279" s="1257"/>
      <c r="H279" s="412">
        <v>2200</v>
      </c>
      <c r="I279" s="413"/>
      <c r="J279" s="414"/>
      <c r="K279" s="414"/>
      <c r="L279" s="414"/>
      <c r="M279" s="414"/>
      <c r="N279" s="413" t="str">
        <f t="shared" si="23"/>
        <v xml:space="preserve"> </v>
      </c>
      <c r="O279" s="51"/>
      <c r="P279" s="415"/>
      <c r="Q279" s="415"/>
      <c r="R279" s="415"/>
      <c r="S279" s="32"/>
      <c r="T279" s="416"/>
      <c r="U279" s="416"/>
      <c r="V279" s="416"/>
      <c r="W279" s="416"/>
      <c r="X279" s="416"/>
      <c r="Y279" s="416"/>
      <c r="Z279" s="416"/>
      <c r="AA279" s="416"/>
      <c r="AB279" s="416"/>
      <c r="AC279" s="416"/>
      <c r="AD279" s="416"/>
      <c r="AE279" s="416"/>
      <c r="AF279" s="416"/>
      <c r="AG279" s="416"/>
      <c r="AH279" s="416"/>
      <c r="AI279" s="416"/>
      <c r="AJ279" s="32"/>
      <c r="AK279" s="416"/>
      <c r="AL279" s="416"/>
      <c r="AM279" s="416"/>
      <c r="AN279" s="416"/>
      <c r="AO279" s="416"/>
      <c r="AP279" s="416"/>
      <c r="AQ279" s="416"/>
      <c r="AR279" s="32"/>
      <c r="AS279" s="416"/>
      <c r="AT279" s="416"/>
      <c r="AU279" s="416"/>
      <c r="AV279" s="416"/>
      <c r="AW279" s="416"/>
      <c r="AX279" s="416"/>
      <c r="AY279" s="286"/>
      <c r="AZ279" s="416"/>
      <c r="BA279" s="416"/>
      <c r="BB279" s="32"/>
    </row>
    <row r="280" spans="2:54">
      <c r="B280" s="1250" t="s">
        <v>623</v>
      </c>
      <c r="C280" s="1251"/>
      <c r="D280" s="411" t="s">
        <v>2327</v>
      </c>
      <c r="E280" s="411"/>
      <c r="F280" s="411" t="s">
        <v>2328</v>
      </c>
      <c r="G280" s="411" t="s">
        <v>2329</v>
      </c>
      <c r="H280" s="412">
        <v>5965.7969999999996</v>
      </c>
      <c r="I280" s="413" t="s">
        <v>240</v>
      </c>
      <c r="J280" s="414">
        <v>45150.666666666664</v>
      </c>
      <c r="K280" s="414"/>
      <c r="L280" s="414" t="s">
        <v>192</v>
      </c>
      <c r="M280" s="414" t="s">
        <v>192</v>
      </c>
      <c r="N280" s="413" t="str">
        <f t="shared" si="23"/>
        <v>DELAY ( 4 day 16 hour 0 minute )</v>
      </c>
      <c r="O280" s="51"/>
      <c r="P280" s="415" t="s">
        <v>551</v>
      </c>
      <c r="Q280" s="415" t="s">
        <v>551</v>
      </c>
      <c r="R280" s="415" t="s">
        <v>551</v>
      </c>
      <c r="S280" s="32"/>
      <c r="T280" s="416"/>
      <c r="U280" s="416"/>
      <c r="V280" s="416"/>
      <c r="W280" s="416"/>
      <c r="X280" s="416"/>
      <c r="Y280" s="416"/>
      <c r="Z280" s="416"/>
      <c r="AA280" s="416"/>
      <c r="AB280" s="416"/>
      <c r="AC280" s="416">
        <f>H280</f>
        <v>5965.7969999999996</v>
      </c>
      <c r="AD280" s="416"/>
      <c r="AE280" s="416"/>
      <c r="AF280" s="416"/>
      <c r="AG280" s="416"/>
      <c r="AH280" s="416"/>
      <c r="AI280" s="416"/>
      <c r="AJ280" s="32"/>
      <c r="AK280" s="416"/>
      <c r="AL280" s="416"/>
      <c r="AM280" s="416"/>
      <c r="AN280" s="416"/>
      <c r="AO280" s="416"/>
      <c r="AP280" s="416"/>
      <c r="AQ280" s="416"/>
      <c r="AR280" s="32"/>
      <c r="AS280" s="416"/>
      <c r="AT280" s="416"/>
      <c r="AU280" s="416"/>
      <c r="AV280" s="416"/>
      <c r="AW280" s="416"/>
      <c r="AX280" s="416"/>
      <c r="AY280" s="286"/>
      <c r="AZ280" s="416"/>
      <c r="BA280" s="416"/>
      <c r="BB280" s="32"/>
    </row>
    <row r="281" spans="2:54">
      <c r="B281" s="1252"/>
      <c r="C281" s="1253"/>
      <c r="D281" s="411"/>
      <c r="E281" s="411"/>
      <c r="F281" s="1256" t="s">
        <v>668</v>
      </c>
      <c r="G281" s="1257"/>
      <c r="H281" s="412">
        <v>1000</v>
      </c>
      <c r="I281" s="413"/>
      <c r="J281" s="414"/>
      <c r="K281" s="414"/>
      <c r="L281" s="414"/>
      <c r="M281" s="414"/>
      <c r="N281" s="413" t="str">
        <f t="shared" si="23"/>
        <v xml:space="preserve"> </v>
      </c>
      <c r="O281" s="51"/>
      <c r="P281" s="415"/>
      <c r="Q281" s="415"/>
      <c r="R281" s="415"/>
      <c r="S281" s="32"/>
      <c r="T281" s="416"/>
      <c r="U281" s="416"/>
      <c r="V281" s="416"/>
      <c r="W281" s="416"/>
      <c r="X281" s="416"/>
      <c r="Y281" s="416"/>
      <c r="Z281" s="416"/>
      <c r="AA281" s="416"/>
      <c r="AB281" s="416"/>
      <c r="AC281" s="416"/>
      <c r="AD281" s="416"/>
      <c r="AE281" s="416"/>
      <c r="AF281" s="416"/>
      <c r="AG281" s="416"/>
      <c r="AH281" s="416"/>
      <c r="AI281" s="416"/>
      <c r="AJ281" s="32"/>
      <c r="AK281" s="416"/>
      <c r="AL281" s="416"/>
      <c r="AM281" s="416"/>
      <c r="AN281" s="416"/>
      <c r="AO281" s="416"/>
      <c r="AP281" s="416"/>
      <c r="AQ281" s="416"/>
      <c r="AR281" s="32"/>
      <c r="AS281" s="416"/>
      <c r="AT281" s="416"/>
      <c r="AU281" s="416"/>
      <c r="AV281" s="416"/>
      <c r="AW281" s="416"/>
      <c r="AX281" s="416"/>
      <c r="AY281" s="286"/>
      <c r="AZ281" s="416"/>
      <c r="BA281" s="416"/>
      <c r="BB281" s="32"/>
    </row>
    <row r="282" spans="2:54">
      <c r="B282" s="1254"/>
      <c r="C282" s="1255"/>
      <c r="D282" s="411"/>
      <c r="E282" s="411"/>
      <c r="F282" s="1256" t="s">
        <v>616</v>
      </c>
      <c r="G282" s="1257"/>
      <c r="H282" s="412">
        <v>2000</v>
      </c>
      <c r="I282" s="413"/>
      <c r="J282" s="414"/>
      <c r="K282" s="414"/>
      <c r="L282" s="414"/>
      <c r="M282" s="414"/>
      <c r="N282" s="413" t="str">
        <f t="shared" si="23"/>
        <v xml:space="preserve"> </v>
      </c>
      <c r="O282" s="51"/>
      <c r="P282" s="415"/>
      <c r="Q282" s="415"/>
      <c r="R282" s="415"/>
      <c r="S282" s="32"/>
      <c r="T282" s="416"/>
      <c r="U282" s="416"/>
      <c r="V282" s="416"/>
      <c r="W282" s="416"/>
      <c r="X282" s="416"/>
      <c r="Y282" s="416"/>
      <c r="Z282" s="416"/>
      <c r="AA282" s="416"/>
      <c r="AB282" s="416"/>
      <c r="AC282" s="416"/>
      <c r="AD282" s="416"/>
      <c r="AE282" s="416"/>
      <c r="AF282" s="416"/>
      <c r="AG282" s="416"/>
      <c r="AH282" s="416"/>
      <c r="AI282" s="416"/>
      <c r="AJ282" s="32"/>
      <c r="AK282" s="416"/>
      <c r="AL282" s="416"/>
      <c r="AM282" s="416"/>
      <c r="AN282" s="416"/>
      <c r="AO282" s="416"/>
      <c r="AP282" s="416"/>
      <c r="AQ282" s="416"/>
      <c r="AR282" s="32"/>
      <c r="AS282" s="416"/>
      <c r="AT282" s="416"/>
      <c r="AU282" s="416"/>
      <c r="AV282" s="416"/>
      <c r="AW282" s="416"/>
      <c r="AX282" s="416"/>
      <c r="AY282" s="286"/>
      <c r="AZ282" s="416"/>
      <c r="BA282" s="416"/>
      <c r="BB282" s="32"/>
    </row>
    <row r="283" spans="2:54">
      <c r="B283" s="1250" t="s">
        <v>624</v>
      </c>
      <c r="C283" s="1251"/>
      <c r="D283" s="411" t="s">
        <v>2330</v>
      </c>
      <c r="E283" s="411"/>
      <c r="F283" s="411" t="s">
        <v>2331</v>
      </c>
      <c r="G283" s="411" t="s">
        <v>1544</v>
      </c>
      <c r="H283" s="412">
        <v>6963.0739999999996</v>
      </c>
      <c r="I283" s="413" t="s">
        <v>240</v>
      </c>
      <c r="J283" s="414">
        <v>45152.645833333336</v>
      </c>
      <c r="K283" s="414"/>
      <c r="L283" s="414" t="s">
        <v>192</v>
      </c>
      <c r="M283" s="414" t="s">
        <v>192</v>
      </c>
      <c r="N283" s="413" t="str">
        <f t="shared" si="23"/>
        <v>DELAY ( 6 day 15 hour 30 minute )</v>
      </c>
      <c r="O283" s="51"/>
      <c r="P283" s="415" t="s">
        <v>551</v>
      </c>
      <c r="Q283" s="415" t="s">
        <v>551</v>
      </c>
      <c r="R283" s="415" t="s">
        <v>551</v>
      </c>
      <c r="S283" s="32"/>
      <c r="T283" s="416"/>
      <c r="U283" s="416"/>
      <c r="V283" s="416"/>
      <c r="W283" s="416"/>
      <c r="X283" s="416"/>
      <c r="Y283" s="416"/>
      <c r="Z283" s="416"/>
      <c r="AA283" s="416"/>
      <c r="AC283" s="416">
        <f>H283</f>
        <v>6963.0739999999996</v>
      </c>
      <c r="AD283" s="416"/>
      <c r="AE283" s="416"/>
      <c r="AF283" s="416"/>
      <c r="AG283" s="416"/>
      <c r="AH283" s="416"/>
      <c r="AI283" s="416"/>
      <c r="AJ283" s="416"/>
      <c r="AK283" s="416"/>
      <c r="AL283" s="416"/>
      <c r="AM283" s="416"/>
      <c r="AN283" s="416"/>
      <c r="AO283" s="416"/>
      <c r="AP283" s="416"/>
      <c r="AQ283" s="416"/>
      <c r="AR283" s="416"/>
      <c r="AS283" s="416"/>
      <c r="AT283" s="289"/>
      <c r="AU283" s="416"/>
      <c r="AV283" s="416"/>
      <c r="AW283" s="416"/>
      <c r="AX283" s="416"/>
      <c r="AY283" s="416"/>
      <c r="AZ283" s="416"/>
      <c r="BA283" s="416"/>
      <c r="BB283" s="32"/>
    </row>
    <row r="284" spans="2:54">
      <c r="B284" s="1252"/>
      <c r="C284" s="1253"/>
      <c r="D284" s="411"/>
      <c r="E284" s="411"/>
      <c r="F284" s="1256" t="s">
        <v>668</v>
      </c>
      <c r="G284" s="1257"/>
      <c r="H284" s="412">
        <v>1000</v>
      </c>
      <c r="I284" s="413"/>
      <c r="J284" s="414"/>
      <c r="K284" s="414"/>
      <c r="L284" s="414"/>
      <c r="M284" s="414"/>
      <c r="N284" s="413" t="str">
        <f t="shared" si="23"/>
        <v xml:space="preserve"> </v>
      </c>
      <c r="O284" s="51"/>
      <c r="P284" s="415"/>
      <c r="Q284" s="415"/>
      <c r="R284" s="415"/>
      <c r="S284" s="32"/>
      <c r="T284" s="416"/>
      <c r="U284" s="416"/>
      <c r="V284" s="416"/>
      <c r="W284" s="416"/>
      <c r="X284" s="416"/>
      <c r="Y284" s="416"/>
      <c r="Z284" s="416"/>
      <c r="AA284" s="416"/>
      <c r="AB284" s="416"/>
      <c r="AC284" s="416"/>
      <c r="AD284" s="416"/>
      <c r="AE284" s="416"/>
      <c r="AF284" s="416"/>
      <c r="AG284" s="416"/>
      <c r="AH284" s="416"/>
      <c r="AI284" s="416"/>
      <c r="AJ284" s="32"/>
      <c r="AK284" s="416"/>
      <c r="AL284" s="416"/>
      <c r="AM284" s="416"/>
      <c r="AN284" s="416"/>
      <c r="AO284" s="416"/>
      <c r="AP284" s="416"/>
      <c r="AQ284" s="416"/>
      <c r="AR284" s="32"/>
      <c r="AS284" s="416"/>
      <c r="AT284" s="416"/>
      <c r="AU284" s="416"/>
      <c r="AV284" s="416"/>
      <c r="AW284" s="416"/>
      <c r="AX284" s="416"/>
      <c r="AY284" s="286"/>
      <c r="AZ284" s="416"/>
      <c r="BA284" s="416"/>
      <c r="BB284" s="32"/>
    </row>
    <row r="285" spans="2:54">
      <c r="B285" s="1254"/>
      <c r="C285" s="1255"/>
      <c r="D285" s="411"/>
      <c r="E285" s="411"/>
      <c r="F285" s="1256" t="s">
        <v>616</v>
      </c>
      <c r="G285" s="1257"/>
      <c r="H285" s="412">
        <v>2000</v>
      </c>
      <c r="I285" s="413"/>
      <c r="J285" s="414"/>
      <c r="K285" s="414"/>
      <c r="L285" s="414"/>
      <c r="M285" s="414"/>
      <c r="N285" s="413" t="str">
        <f t="shared" si="23"/>
        <v xml:space="preserve"> </v>
      </c>
      <c r="O285" s="51"/>
      <c r="P285" s="415"/>
      <c r="Q285" s="415"/>
      <c r="R285" s="415"/>
      <c r="S285" s="32"/>
      <c r="T285" s="416"/>
      <c r="U285" s="416"/>
      <c r="V285" s="416"/>
      <c r="W285" s="416"/>
      <c r="X285" s="416"/>
      <c r="Y285" s="416"/>
      <c r="Z285" s="416"/>
      <c r="AA285" s="416"/>
      <c r="AB285" s="416"/>
      <c r="AC285" s="416"/>
      <c r="AD285" s="416"/>
      <c r="AE285" s="416"/>
      <c r="AF285" s="416"/>
      <c r="AG285" s="416"/>
      <c r="AH285" s="416"/>
      <c r="AI285" s="416"/>
      <c r="AJ285" s="32"/>
      <c r="AK285" s="416"/>
      <c r="AL285" s="416"/>
      <c r="AM285" s="416"/>
      <c r="AN285" s="416"/>
      <c r="AO285" s="416"/>
      <c r="AP285" s="416"/>
      <c r="AQ285" s="416"/>
      <c r="AR285" s="32"/>
      <c r="AS285" s="416"/>
      <c r="AT285" s="416"/>
      <c r="AU285" s="416"/>
      <c r="AV285" s="416"/>
      <c r="AW285" s="416"/>
      <c r="AX285" s="416"/>
      <c r="AY285" s="286"/>
      <c r="AZ285" s="416"/>
      <c r="BA285" s="416"/>
      <c r="BB285" s="32"/>
    </row>
    <row r="286" spans="2:54">
      <c r="B286" s="1250" t="s">
        <v>625</v>
      </c>
      <c r="C286" s="1251"/>
      <c r="D286" s="411" t="s">
        <v>2332</v>
      </c>
      <c r="E286" s="411"/>
      <c r="F286" s="411" t="s">
        <v>260</v>
      </c>
      <c r="G286" s="411" t="s">
        <v>261</v>
      </c>
      <c r="H286" s="412">
        <v>6163.9809999999998</v>
      </c>
      <c r="I286" s="413" t="s">
        <v>240</v>
      </c>
      <c r="J286" s="414">
        <v>45147.388888888891</v>
      </c>
      <c r="K286" s="414"/>
      <c r="L286" s="414" t="s">
        <v>192</v>
      </c>
      <c r="M286" s="414" t="s">
        <v>192</v>
      </c>
      <c r="N286" s="413" t="str">
        <f t="shared" si="23"/>
        <v>DELAY ( 1 day 9 hour 20 minute )</v>
      </c>
      <c r="O286" s="51"/>
      <c r="P286" s="415" t="s">
        <v>551</v>
      </c>
      <c r="Q286" s="415" t="s">
        <v>551</v>
      </c>
      <c r="R286" s="415" t="s">
        <v>551</v>
      </c>
      <c r="S286" s="32"/>
      <c r="T286" s="416"/>
      <c r="U286" s="416"/>
      <c r="V286" s="416"/>
      <c r="W286" s="416"/>
      <c r="X286" s="416"/>
      <c r="Y286" s="416"/>
      <c r="Z286" s="416"/>
      <c r="AA286" s="416"/>
      <c r="AB286" s="416"/>
      <c r="AC286" s="416">
        <f>H286</f>
        <v>6163.9809999999998</v>
      </c>
      <c r="AD286" s="416"/>
      <c r="AE286" s="416"/>
      <c r="AF286" s="416"/>
      <c r="AG286" s="416"/>
      <c r="AH286" s="416"/>
      <c r="AI286" s="416"/>
      <c r="AJ286" s="416"/>
      <c r="AK286" s="416"/>
      <c r="AL286" s="416"/>
      <c r="AM286" s="416"/>
      <c r="AN286" s="416"/>
      <c r="AO286" s="416"/>
      <c r="AP286" s="416"/>
      <c r="AQ286" s="416"/>
      <c r="AR286" s="416"/>
      <c r="AS286" s="416"/>
      <c r="AT286" s="416"/>
      <c r="AU286" s="416"/>
      <c r="AV286" s="416"/>
      <c r="AW286" s="416"/>
      <c r="AX286" s="416"/>
      <c r="AY286" s="416"/>
      <c r="AZ286" s="416"/>
      <c r="BA286" s="416"/>
      <c r="BB286" s="32"/>
    </row>
    <row r="287" spans="2:54">
      <c r="B287" s="1252"/>
      <c r="C287" s="1253"/>
      <c r="D287" s="411"/>
      <c r="E287" s="411"/>
      <c r="F287" s="1256" t="s">
        <v>668</v>
      </c>
      <c r="G287" s="1257"/>
      <c r="H287" s="412">
        <v>1000</v>
      </c>
      <c r="I287" s="413"/>
      <c r="J287" s="414"/>
      <c r="K287" s="414"/>
      <c r="L287" s="414"/>
      <c r="M287" s="414"/>
      <c r="N287" s="413" t="str">
        <f t="shared" si="23"/>
        <v xml:space="preserve"> </v>
      </c>
      <c r="O287" s="51"/>
      <c r="P287" s="415"/>
      <c r="Q287" s="415"/>
      <c r="R287" s="415"/>
      <c r="S287" s="32"/>
      <c r="T287" s="416"/>
      <c r="U287" s="416"/>
      <c r="V287" s="416"/>
      <c r="W287" s="416"/>
      <c r="X287" s="416"/>
      <c r="Y287" s="416"/>
      <c r="Z287" s="416"/>
      <c r="AA287" s="416"/>
      <c r="AB287" s="416"/>
      <c r="AC287" s="416"/>
      <c r="AD287" s="416"/>
      <c r="AE287" s="416"/>
      <c r="AF287" s="416"/>
      <c r="AG287" s="416"/>
      <c r="AH287" s="416"/>
      <c r="AI287" s="416"/>
      <c r="AJ287" s="32"/>
      <c r="AK287" s="416"/>
      <c r="AL287" s="416"/>
      <c r="AM287" s="416"/>
      <c r="AN287" s="416"/>
      <c r="AO287" s="416"/>
      <c r="AP287" s="416"/>
      <c r="AQ287" s="416"/>
      <c r="AR287" s="32"/>
      <c r="AS287" s="416"/>
      <c r="AT287" s="416"/>
      <c r="AU287" s="416"/>
      <c r="AV287" s="416"/>
      <c r="AW287" s="416"/>
      <c r="AX287" s="416"/>
      <c r="AY287" s="286"/>
      <c r="AZ287" s="416"/>
      <c r="BA287" s="416"/>
      <c r="BB287" s="32"/>
    </row>
    <row r="288" spans="2:54">
      <c r="B288" s="1254"/>
      <c r="C288" s="1255"/>
      <c r="D288" s="411"/>
      <c r="E288" s="411"/>
      <c r="F288" s="1256" t="s">
        <v>616</v>
      </c>
      <c r="G288" s="1257"/>
      <c r="H288" s="412">
        <v>2000</v>
      </c>
      <c r="I288" s="413"/>
      <c r="J288" s="414"/>
      <c r="K288" s="414"/>
      <c r="L288" s="414"/>
      <c r="M288" s="414"/>
      <c r="N288" s="413" t="str">
        <f t="shared" si="23"/>
        <v xml:space="preserve"> </v>
      </c>
      <c r="O288" s="51"/>
      <c r="P288" s="415"/>
      <c r="Q288" s="415"/>
      <c r="R288" s="415"/>
      <c r="S288" s="32"/>
      <c r="T288" s="416"/>
      <c r="U288" s="416"/>
      <c r="V288" s="416"/>
      <c r="W288" s="416"/>
      <c r="X288" s="416"/>
      <c r="Y288" s="416"/>
      <c r="Z288" s="416"/>
      <c r="AA288" s="416"/>
      <c r="AB288" s="416"/>
      <c r="AC288" s="416"/>
      <c r="AD288" s="416"/>
      <c r="AE288" s="416"/>
      <c r="AF288" s="416"/>
      <c r="AG288" s="416"/>
      <c r="AH288" s="416"/>
      <c r="AI288" s="416"/>
      <c r="AJ288" s="32"/>
      <c r="AK288" s="416"/>
      <c r="AL288" s="416"/>
      <c r="AM288" s="416"/>
      <c r="AN288" s="416"/>
      <c r="AO288" s="416"/>
      <c r="AP288" s="416"/>
      <c r="AQ288" s="416"/>
      <c r="AR288" s="32"/>
      <c r="AS288" s="416"/>
      <c r="AT288" s="416"/>
      <c r="AU288" s="416"/>
      <c r="AV288" s="416"/>
      <c r="AW288" s="416"/>
      <c r="AX288" s="416"/>
      <c r="AY288" s="286"/>
      <c r="AZ288" s="416"/>
      <c r="BA288" s="416"/>
      <c r="BB288" s="32"/>
    </row>
    <row r="289" spans="2:54">
      <c r="B289" s="1250" t="s">
        <v>669</v>
      </c>
      <c r="C289" s="1251"/>
      <c r="D289" s="411" t="s">
        <v>2333</v>
      </c>
      <c r="E289" s="411"/>
      <c r="F289" s="411" t="s">
        <v>218</v>
      </c>
      <c r="G289" s="411" t="s">
        <v>219</v>
      </c>
      <c r="H289" s="412">
        <v>5841.61</v>
      </c>
      <c r="I289" s="413" t="s">
        <v>240</v>
      </c>
      <c r="J289" s="414">
        <v>45147.5625</v>
      </c>
      <c r="K289" s="414"/>
      <c r="L289" s="414" t="s">
        <v>192</v>
      </c>
      <c r="M289" s="414" t="s">
        <v>192</v>
      </c>
      <c r="N289" s="413" t="str">
        <f t="shared" si="23"/>
        <v>DELAY ( 1 day 13 hour 30 minute )</v>
      </c>
      <c r="O289" s="51"/>
      <c r="P289" s="415" t="s">
        <v>551</v>
      </c>
      <c r="Q289" s="415" t="s">
        <v>551</v>
      </c>
      <c r="R289" s="415" t="s">
        <v>551</v>
      </c>
      <c r="S289" s="32"/>
      <c r="T289" s="416"/>
      <c r="U289" s="416"/>
      <c r="V289" s="416"/>
      <c r="W289" s="416"/>
      <c r="X289" s="416"/>
      <c r="Y289" s="416"/>
      <c r="Z289" s="416"/>
      <c r="AA289" s="416"/>
      <c r="AB289" s="416"/>
      <c r="AC289" s="416">
        <f>H289</f>
        <v>5841.61</v>
      </c>
      <c r="AD289" s="416"/>
      <c r="AE289" s="416"/>
      <c r="AF289" s="416"/>
      <c r="AG289" s="416"/>
      <c r="AH289" s="416"/>
      <c r="AI289" s="416"/>
      <c r="AJ289" s="416"/>
      <c r="AK289" s="416"/>
      <c r="AL289" s="416"/>
      <c r="AM289" s="416"/>
      <c r="AN289" s="416"/>
      <c r="AO289" s="416"/>
      <c r="AP289" s="416"/>
      <c r="AQ289" s="416"/>
      <c r="AR289" s="416"/>
      <c r="AS289" s="416"/>
      <c r="AT289" s="416"/>
      <c r="AU289" s="416"/>
      <c r="AV289" s="416"/>
      <c r="AW289" s="416"/>
      <c r="AX289" s="416"/>
      <c r="AY289" s="416"/>
      <c r="AZ289" s="416"/>
      <c r="BA289" s="416"/>
      <c r="BB289" s="32"/>
    </row>
    <row r="290" spans="2:54">
      <c r="B290" s="1252"/>
      <c r="C290" s="1253"/>
      <c r="D290" s="411"/>
      <c r="E290" s="411"/>
      <c r="F290" s="1256" t="s">
        <v>668</v>
      </c>
      <c r="G290" s="1257"/>
      <c r="H290" s="412">
        <v>1000</v>
      </c>
      <c r="I290" s="413"/>
      <c r="J290" s="414"/>
      <c r="K290" s="414"/>
      <c r="L290" s="414"/>
      <c r="M290" s="414"/>
      <c r="N290" s="413" t="str">
        <f t="shared" si="23"/>
        <v xml:space="preserve"> </v>
      </c>
      <c r="O290" s="51"/>
      <c r="P290" s="415"/>
      <c r="Q290" s="415"/>
      <c r="R290" s="415"/>
      <c r="S290" s="32"/>
      <c r="T290" s="416"/>
      <c r="U290" s="416"/>
      <c r="V290" s="416"/>
      <c r="W290" s="416"/>
      <c r="X290" s="416"/>
      <c r="Y290" s="416"/>
      <c r="Z290" s="416"/>
      <c r="AA290" s="416"/>
      <c r="AB290" s="416"/>
      <c r="AC290" s="416"/>
      <c r="AD290" s="416"/>
      <c r="AE290" s="416"/>
      <c r="AF290" s="416"/>
      <c r="AG290" s="416"/>
      <c r="AH290" s="416"/>
      <c r="AI290" s="416"/>
      <c r="AJ290" s="32"/>
      <c r="AK290" s="416"/>
      <c r="AL290" s="416"/>
      <c r="AM290" s="416"/>
      <c r="AN290" s="416"/>
      <c r="AO290" s="416"/>
      <c r="AP290" s="416"/>
      <c r="AQ290" s="416"/>
      <c r="AR290" s="32"/>
      <c r="AS290" s="416"/>
      <c r="AT290" s="416"/>
      <c r="AU290" s="416"/>
      <c r="AV290" s="416"/>
      <c r="AW290" s="416"/>
      <c r="AX290" s="416"/>
      <c r="AY290" s="286"/>
      <c r="AZ290" s="416"/>
      <c r="BA290" s="416"/>
      <c r="BB290" s="32"/>
    </row>
    <row r="291" spans="2:54">
      <c r="B291" s="1254"/>
      <c r="C291" s="1255"/>
      <c r="D291" s="411"/>
      <c r="E291" s="411"/>
      <c r="F291" s="1256" t="s">
        <v>616</v>
      </c>
      <c r="G291" s="1257"/>
      <c r="H291" s="412">
        <v>1700</v>
      </c>
      <c r="I291" s="413"/>
      <c r="J291" s="414"/>
      <c r="K291" s="414"/>
      <c r="L291" s="414"/>
      <c r="M291" s="414"/>
      <c r="N291" s="413" t="str">
        <f t="shared" si="23"/>
        <v xml:space="preserve"> </v>
      </c>
      <c r="O291" s="51"/>
      <c r="P291" s="415"/>
      <c r="Q291" s="415"/>
      <c r="R291" s="415"/>
      <c r="S291" s="32"/>
      <c r="T291" s="416"/>
      <c r="U291" s="416"/>
      <c r="V291" s="416"/>
      <c r="W291" s="416"/>
      <c r="X291" s="416"/>
      <c r="Y291" s="416"/>
      <c r="Z291" s="416"/>
      <c r="AA291" s="416"/>
      <c r="AB291" s="416"/>
      <c r="AC291" s="416"/>
      <c r="AD291" s="416"/>
      <c r="AE291" s="416"/>
      <c r="AF291" s="416"/>
      <c r="AG291" s="416"/>
      <c r="AH291" s="416"/>
      <c r="AI291" s="416"/>
      <c r="AJ291" s="32"/>
      <c r="AK291" s="416"/>
      <c r="AL291" s="416"/>
      <c r="AM291" s="416"/>
      <c r="AN291" s="416"/>
      <c r="AO291" s="416"/>
      <c r="AP291" s="416"/>
      <c r="AQ291" s="416"/>
      <c r="AR291" s="32"/>
      <c r="AS291" s="416"/>
      <c r="AT291" s="416"/>
      <c r="AU291" s="416"/>
      <c r="AV291" s="416"/>
      <c r="AW291" s="416"/>
      <c r="AX291" s="416"/>
      <c r="AY291" s="286"/>
      <c r="AZ291" s="416"/>
      <c r="BA291" s="416"/>
      <c r="BB291" s="32"/>
    </row>
    <row r="292" spans="2:54">
      <c r="B292" s="1250" t="s">
        <v>670</v>
      </c>
      <c r="C292" s="1251"/>
      <c r="D292" s="411" t="s">
        <v>2251</v>
      </c>
      <c r="E292" s="411"/>
      <c r="F292" s="411" t="s">
        <v>295</v>
      </c>
      <c r="G292" s="411" t="s">
        <v>296</v>
      </c>
      <c r="H292" s="412">
        <v>7020.4219999999996</v>
      </c>
      <c r="I292" s="413" t="s">
        <v>240</v>
      </c>
      <c r="J292" s="414">
        <v>45148.993055555555</v>
      </c>
      <c r="K292" s="414"/>
      <c r="L292" s="414" t="s">
        <v>192</v>
      </c>
      <c r="M292" s="414" t="s">
        <v>192</v>
      </c>
      <c r="N292" s="413" t="str">
        <f t="shared" si="23"/>
        <v>DELAY ( 2 day 23 hour 50 minute )</v>
      </c>
      <c r="O292" s="51"/>
      <c r="P292" s="415" t="s">
        <v>551</v>
      </c>
      <c r="Q292" s="415" t="s">
        <v>551</v>
      </c>
      <c r="R292" s="415" t="s">
        <v>551</v>
      </c>
      <c r="S292" s="32"/>
      <c r="T292" s="416"/>
      <c r="U292" s="416"/>
      <c r="V292" s="416"/>
      <c r="W292" s="416"/>
      <c r="X292" s="416"/>
      <c r="Y292" s="416"/>
      <c r="Z292" s="416"/>
      <c r="AA292" s="416"/>
      <c r="AB292" s="416"/>
      <c r="AC292" s="416">
        <f>H292</f>
        <v>7020.4219999999996</v>
      </c>
      <c r="AD292" s="416"/>
      <c r="AE292" s="416"/>
      <c r="AF292" s="416"/>
      <c r="AG292" s="416"/>
      <c r="AH292" s="416"/>
      <c r="AI292" s="416"/>
      <c r="AJ292" s="32"/>
      <c r="AK292" s="416"/>
      <c r="AL292" s="416"/>
      <c r="AM292" s="416"/>
      <c r="AN292" s="416"/>
      <c r="AO292" s="416"/>
      <c r="AP292" s="416"/>
      <c r="AQ292" s="416"/>
      <c r="AR292" s="416"/>
      <c r="AS292" s="416"/>
      <c r="AT292" s="416"/>
      <c r="AU292" s="416"/>
      <c r="AV292" s="416"/>
      <c r="AW292" s="416"/>
      <c r="AX292" s="416"/>
      <c r="AY292" s="286"/>
      <c r="AZ292" s="416"/>
      <c r="BA292" s="416"/>
      <c r="BB292" s="32"/>
    </row>
    <row r="293" spans="2:54">
      <c r="B293" s="1252"/>
      <c r="C293" s="1253"/>
      <c r="D293" s="411"/>
      <c r="E293" s="411"/>
      <c r="F293" s="1256" t="s">
        <v>668</v>
      </c>
      <c r="G293" s="1257"/>
      <c r="H293" s="412">
        <v>2500</v>
      </c>
      <c r="I293" s="413"/>
      <c r="J293" s="414"/>
      <c r="K293" s="414"/>
      <c r="L293" s="414"/>
      <c r="M293" s="414"/>
      <c r="N293" s="413" t="str">
        <f t="shared" si="23"/>
        <v xml:space="preserve"> </v>
      </c>
      <c r="O293" s="51"/>
      <c r="P293" s="415"/>
      <c r="Q293" s="415"/>
      <c r="R293" s="415"/>
      <c r="S293" s="32"/>
      <c r="T293" s="416"/>
      <c r="U293" s="416"/>
      <c r="V293" s="416"/>
      <c r="W293" s="416"/>
      <c r="X293" s="416"/>
      <c r="Y293" s="416"/>
      <c r="Z293" s="416"/>
      <c r="AA293" s="416"/>
      <c r="AB293" s="416"/>
      <c r="AC293" s="416"/>
      <c r="AD293" s="416"/>
      <c r="AE293" s="416"/>
      <c r="AF293" s="416"/>
      <c r="AG293" s="416"/>
      <c r="AH293" s="416"/>
      <c r="AI293" s="416"/>
      <c r="AJ293" s="32"/>
      <c r="AK293" s="416"/>
      <c r="AL293" s="416"/>
      <c r="AM293" s="416"/>
      <c r="AN293" s="416"/>
      <c r="AO293" s="416"/>
      <c r="AP293" s="416"/>
      <c r="AQ293" s="416"/>
      <c r="AR293" s="32"/>
      <c r="AS293" s="416"/>
      <c r="AT293" s="416"/>
      <c r="AU293" s="416"/>
      <c r="AV293" s="416"/>
      <c r="AW293" s="416"/>
      <c r="AX293" s="416"/>
      <c r="AY293" s="286"/>
      <c r="AZ293" s="416"/>
      <c r="BA293" s="416"/>
      <c r="BB293" s="32"/>
    </row>
    <row r="294" spans="2:54">
      <c r="B294" s="1254"/>
      <c r="C294" s="1255"/>
      <c r="D294" s="411"/>
      <c r="E294" s="411"/>
      <c r="F294" s="1256" t="s">
        <v>616</v>
      </c>
      <c r="G294" s="1257"/>
      <c r="H294" s="412">
        <f>1755.083</f>
        <v>1755.0830000000001</v>
      </c>
      <c r="I294" s="413"/>
      <c r="J294" s="414"/>
      <c r="K294" s="414"/>
      <c r="L294" s="414"/>
      <c r="M294" s="414"/>
      <c r="N294" s="413" t="str">
        <f t="shared" si="23"/>
        <v xml:space="preserve"> </v>
      </c>
      <c r="O294" s="51"/>
      <c r="P294" s="415"/>
      <c r="Q294" s="415"/>
      <c r="R294" s="415"/>
      <c r="S294" s="32"/>
      <c r="T294" s="416"/>
      <c r="U294" s="416"/>
      <c r="V294" s="416"/>
      <c r="W294" s="416"/>
      <c r="X294" s="416"/>
      <c r="Y294" s="416"/>
      <c r="Z294" s="416"/>
      <c r="AA294" s="416"/>
      <c r="AB294" s="416"/>
      <c r="AC294" s="416"/>
      <c r="AD294" s="416"/>
      <c r="AE294" s="416"/>
      <c r="AF294" s="416"/>
      <c r="AG294" s="416"/>
      <c r="AH294" s="416"/>
      <c r="AI294" s="416"/>
      <c r="AJ294" s="32"/>
      <c r="AK294" s="416"/>
      <c r="AL294" s="416"/>
      <c r="AM294" s="416"/>
      <c r="AN294" s="416"/>
      <c r="AO294" s="416"/>
      <c r="AP294" s="416"/>
      <c r="AQ294" s="416"/>
      <c r="AR294" s="32"/>
      <c r="AS294" s="416"/>
      <c r="AT294" s="416"/>
      <c r="AU294" s="416"/>
      <c r="AV294" s="416"/>
      <c r="AW294" s="416"/>
      <c r="AX294" s="416"/>
      <c r="AY294" s="286"/>
      <c r="AZ294" s="416"/>
      <c r="BA294" s="416"/>
      <c r="BB294" s="32"/>
    </row>
    <row r="295" spans="2:54">
      <c r="B295" s="1266"/>
      <c r="C295" s="1267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413" t="str">
        <f t="shared" si="23"/>
        <v xml:space="preserve"> </v>
      </c>
      <c r="O295" s="46"/>
      <c r="P295" s="409"/>
      <c r="Q295" s="409"/>
      <c r="R295" s="409"/>
      <c r="S295" s="32"/>
      <c r="T295" s="424"/>
      <c r="U295" s="424"/>
      <c r="V295" s="424"/>
      <c r="W295" s="424"/>
      <c r="X295" s="424"/>
      <c r="Y295" s="424"/>
      <c r="Z295" s="424"/>
      <c r="AA295" s="424"/>
      <c r="AB295" s="424"/>
      <c r="AC295" s="424"/>
      <c r="AD295" s="423"/>
      <c r="AE295" s="424"/>
      <c r="AF295" s="424"/>
      <c r="AG295" s="424"/>
      <c r="AH295" s="424"/>
      <c r="AI295" s="424"/>
      <c r="AJ295" s="424"/>
      <c r="AK295" s="424"/>
      <c r="AL295" s="424"/>
      <c r="AM295" s="424"/>
      <c r="AN295" s="424"/>
      <c r="AO295" s="424"/>
      <c r="AP295" s="424"/>
      <c r="AQ295" s="424"/>
      <c r="AR295" s="424"/>
      <c r="AS295" s="424"/>
      <c r="AT295" s="424"/>
      <c r="AU295" s="424"/>
      <c r="AV295" s="424"/>
      <c r="AW295" s="424"/>
      <c r="AX295" s="424"/>
      <c r="AY295" s="424"/>
      <c r="AZ295" s="424"/>
      <c r="BA295" s="424"/>
      <c r="BB295" s="201"/>
    </row>
    <row r="296" spans="2:54">
      <c r="B296" s="1256" t="s">
        <v>616</v>
      </c>
      <c r="C296" s="1257"/>
      <c r="D296" s="411" t="s">
        <v>2334</v>
      </c>
      <c r="E296" s="411"/>
      <c r="F296" s="411" t="s">
        <v>406</v>
      </c>
      <c r="G296" s="411" t="s">
        <v>407</v>
      </c>
      <c r="H296" s="412">
        <v>7506.2049999999999</v>
      </c>
      <c r="I296" s="413" t="s">
        <v>2335</v>
      </c>
      <c r="J296" s="414">
        <v>45150</v>
      </c>
      <c r="K296" s="414"/>
      <c r="L296" s="414" t="s">
        <v>192</v>
      </c>
      <c r="M296" s="414" t="s">
        <v>192</v>
      </c>
      <c r="N296" s="413" t="str">
        <f t="shared" si="23"/>
        <v>DELAY ( 4 day 0 hour 0 minute )</v>
      </c>
      <c r="O296" s="51"/>
      <c r="P296" s="415" t="s">
        <v>551</v>
      </c>
      <c r="Q296" s="415" t="s">
        <v>551</v>
      </c>
      <c r="R296" s="415" t="s">
        <v>551</v>
      </c>
      <c r="S296" s="32"/>
      <c r="T296" s="416"/>
      <c r="U296" s="416"/>
      <c r="V296" s="416"/>
      <c r="W296" s="416"/>
      <c r="X296" s="416">
        <f>H296</f>
        <v>7506.2049999999999</v>
      </c>
      <c r="Y296" s="416"/>
      <c r="Z296" s="416"/>
      <c r="AA296" s="416"/>
      <c r="AB296" s="416"/>
      <c r="AC296" s="416"/>
      <c r="AD296" s="416"/>
      <c r="AE296" s="416"/>
      <c r="AF296" s="416"/>
      <c r="AG296" s="416"/>
      <c r="AH296" s="416"/>
      <c r="AI296" s="416"/>
      <c r="AJ296" s="32"/>
      <c r="AK296" s="416"/>
      <c r="AL296" s="416"/>
      <c r="AM296" s="416"/>
      <c r="AN296" s="416"/>
      <c r="AO296" s="416"/>
      <c r="AP296" s="416"/>
      <c r="AQ296" s="416"/>
      <c r="AR296" s="416"/>
      <c r="AS296" s="416"/>
      <c r="AT296" s="416"/>
      <c r="AU296" s="416"/>
      <c r="AV296" s="416"/>
      <c r="AW296" s="416"/>
      <c r="AX296" s="416"/>
      <c r="AY296" s="286"/>
      <c r="AZ296" s="416"/>
      <c r="BA296" s="416"/>
      <c r="BB296" s="32"/>
    </row>
    <row r="297" spans="2:54">
      <c r="B297" s="1258" t="s">
        <v>2182</v>
      </c>
      <c r="C297" s="1259"/>
      <c r="D297" s="1259"/>
      <c r="E297" s="1259"/>
      <c r="F297" s="1259"/>
      <c r="G297" s="1260"/>
      <c r="H297" s="417">
        <f>SUM(H296)</f>
        <v>7506.2049999999999</v>
      </c>
      <c r="I297" s="388"/>
      <c r="J297" s="367"/>
      <c r="K297" s="293"/>
      <c r="L297" s="293"/>
      <c r="M297" s="389"/>
      <c r="N297" s="413" t="str">
        <f t="shared" si="23"/>
        <v xml:space="preserve"> </v>
      </c>
      <c r="O297" s="47"/>
      <c r="P297" s="418"/>
      <c r="Q297" s="418"/>
      <c r="R297" s="418"/>
      <c r="S297" s="32"/>
      <c r="T297" s="416"/>
      <c r="U297" s="416"/>
      <c r="V297" s="416"/>
      <c r="W297" s="416"/>
      <c r="X297" s="416"/>
      <c r="Y297" s="428"/>
      <c r="Z297" s="428"/>
      <c r="AA297" s="428"/>
      <c r="AB297" s="416"/>
      <c r="AC297" s="416"/>
      <c r="AD297" s="416"/>
      <c r="AE297" s="416"/>
      <c r="AF297" s="416"/>
      <c r="AG297" s="416"/>
      <c r="AH297" s="416"/>
      <c r="AI297" s="416"/>
      <c r="AJ297" s="416"/>
      <c r="AK297" s="416"/>
      <c r="AL297" s="416"/>
      <c r="AM297" s="416"/>
      <c r="AN297" s="416"/>
      <c r="AO297" s="416"/>
      <c r="AP297" s="416"/>
      <c r="AQ297" s="416"/>
      <c r="AR297" s="416"/>
      <c r="AS297" s="416"/>
      <c r="AT297" s="416"/>
      <c r="AU297" s="416"/>
      <c r="AV297" s="416"/>
      <c r="AW297" s="416"/>
      <c r="AX297" s="416"/>
      <c r="AY297" s="416"/>
      <c r="AZ297" s="416"/>
      <c r="BA297" s="416"/>
    </row>
    <row r="298" spans="2:54">
      <c r="B298" s="1250" t="s">
        <v>867</v>
      </c>
      <c r="C298" s="1251"/>
      <c r="D298" s="411" t="s">
        <v>2336</v>
      </c>
      <c r="E298" s="411"/>
      <c r="F298" s="411" t="s">
        <v>2337</v>
      </c>
      <c r="G298" s="411" t="s">
        <v>2338</v>
      </c>
      <c r="H298" s="412">
        <v>5697.3540000000003</v>
      </c>
      <c r="I298" s="413" t="s">
        <v>235</v>
      </c>
      <c r="J298" s="414">
        <v>45149.5625</v>
      </c>
      <c r="K298" s="414"/>
      <c r="L298" s="414" t="s">
        <v>192</v>
      </c>
      <c r="M298" s="414" t="s">
        <v>192</v>
      </c>
      <c r="N298" s="413" t="str">
        <f t="shared" si="23"/>
        <v>DELAY ( 3 day 13 hour 30 minute )</v>
      </c>
      <c r="O298" s="51"/>
      <c r="P298" s="415" t="s">
        <v>551</v>
      </c>
      <c r="Q298" s="415" t="s">
        <v>551</v>
      </c>
      <c r="R298" s="415" t="s">
        <v>551</v>
      </c>
      <c r="S298" s="32"/>
      <c r="T298" s="416"/>
      <c r="U298" s="416"/>
      <c r="V298" s="416"/>
      <c r="W298" s="416"/>
      <c r="X298" s="416"/>
      <c r="Y298" s="416"/>
      <c r="Z298" s="416"/>
      <c r="AA298" s="416"/>
      <c r="AB298" s="416">
        <f>H298</f>
        <v>5697.3540000000003</v>
      </c>
      <c r="AC298" s="416"/>
      <c r="AD298" s="416"/>
      <c r="AE298" s="416"/>
      <c r="AF298" s="416"/>
      <c r="AG298" s="416"/>
      <c r="AH298" s="416"/>
      <c r="AI298" s="416"/>
      <c r="AJ298" s="416"/>
      <c r="AK298" s="416"/>
      <c r="AL298" s="416"/>
      <c r="AM298" s="416"/>
      <c r="AN298" s="416"/>
      <c r="AO298" s="416"/>
      <c r="AP298" s="416"/>
      <c r="AQ298" s="416"/>
      <c r="AR298" s="416"/>
      <c r="AS298" s="416"/>
      <c r="AT298" s="416"/>
      <c r="AU298" s="416"/>
      <c r="AV298" s="416"/>
      <c r="AW298" s="416"/>
      <c r="AX298" s="416"/>
      <c r="AY298" s="416"/>
      <c r="AZ298" s="416"/>
      <c r="BA298" s="416"/>
      <c r="BB298" s="32"/>
    </row>
    <row r="299" spans="2:54">
      <c r="B299" s="1252"/>
      <c r="C299" s="1253"/>
      <c r="D299" s="411"/>
      <c r="E299" s="411"/>
      <c r="F299" s="1256" t="s">
        <v>668</v>
      </c>
      <c r="G299" s="1257"/>
      <c r="H299" s="412">
        <v>1598</v>
      </c>
      <c r="I299" s="413"/>
      <c r="J299" s="414"/>
      <c r="K299" s="414"/>
      <c r="L299" s="414"/>
      <c r="M299" s="414"/>
      <c r="N299" s="413" t="str">
        <f t="shared" si="23"/>
        <v xml:space="preserve"> </v>
      </c>
      <c r="O299" s="51"/>
      <c r="P299" s="415"/>
      <c r="Q299" s="415"/>
      <c r="R299" s="415"/>
      <c r="S299" s="32"/>
      <c r="T299" s="416"/>
      <c r="U299" s="416"/>
      <c r="V299" s="416"/>
      <c r="W299" s="416"/>
      <c r="X299" s="416"/>
      <c r="Y299" s="416"/>
      <c r="Z299" s="416"/>
      <c r="AA299" s="416"/>
      <c r="AB299" s="416"/>
      <c r="AC299" s="416"/>
      <c r="AD299" s="416"/>
      <c r="AE299" s="416"/>
      <c r="AF299" s="416"/>
      <c r="AG299" s="416"/>
      <c r="AH299" s="416"/>
      <c r="AI299" s="416"/>
      <c r="AJ299" s="32"/>
      <c r="AK299" s="416"/>
      <c r="AL299" s="416"/>
      <c r="AM299" s="416"/>
      <c r="AN299" s="416"/>
      <c r="AO299" s="416"/>
      <c r="AP299" s="416"/>
      <c r="AQ299" s="416"/>
      <c r="AR299" s="32"/>
      <c r="AS299" s="416"/>
      <c r="AT299" s="416"/>
      <c r="AU299" s="416"/>
      <c r="AV299" s="416"/>
      <c r="AW299" s="416"/>
      <c r="AX299" s="416"/>
      <c r="AY299" s="286"/>
      <c r="AZ299" s="416"/>
      <c r="BA299" s="416"/>
      <c r="BB299" s="32"/>
    </row>
    <row r="300" spans="2:54">
      <c r="B300" s="1254"/>
      <c r="C300" s="1255"/>
      <c r="D300" s="411"/>
      <c r="E300" s="411"/>
      <c r="F300" s="1256" t="s">
        <v>616</v>
      </c>
      <c r="G300" s="1257"/>
      <c r="H300" s="412">
        <v>3506</v>
      </c>
      <c r="I300" s="413"/>
      <c r="J300" s="414"/>
      <c r="K300" s="414"/>
      <c r="L300" s="414"/>
      <c r="M300" s="414"/>
      <c r="N300" s="413" t="str">
        <f t="shared" si="23"/>
        <v xml:space="preserve"> </v>
      </c>
      <c r="O300" s="51"/>
      <c r="P300" s="415"/>
      <c r="Q300" s="415"/>
      <c r="R300" s="415"/>
      <c r="S300" s="32"/>
      <c r="T300" s="416"/>
      <c r="U300" s="416"/>
      <c r="V300" s="416"/>
      <c r="W300" s="416"/>
      <c r="X300" s="416"/>
      <c r="Y300" s="416"/>
      <c r="Z300" s="416"/>
      <c r="AA300" s="416"/>
      <c r="AB300" s="416"/>
      <c r="AC300" s="416"/>
      <c r="AD300" s="416"/>
      <c r="AE300" s="416"/>
      <c r="AF300" s="416"/>
      <c r="AG300" s="416"/>
      <c r="AH300" s="416"/>
      <c r="AI300" s="416"/>
      <c r="AJ300" s="32"/>
      <c r="AK300" s="416"/>
      <c r="AL300" s="416"/>
      <c r="AM300" s="416"/>
      <c r="AN300" s="416"/>
      <c r="AO300" s="416"/>
      <c r="AP300" s="416"/>
      <c r="AQ300" s="416"/>
      <c r="AR300" s="32"/>
      <c r="AS300" s="416"/>
      <c r="AT300" s="416"/>
      <c r="AU300" s="416"/>
      <c r="AV300" s="416"/>
      <c r="AW300" s="416"/>
      <c r="AX300" s="416"/>
      <c r="AY300" s="286"/>
      <c r="AZ300" s="416"/>
      <c r="BA300" s="416"/>
      <c r="BB300" s="32"/>
    </row>
    <row r="301" spans="2:54">
      <c r="B301" s="1250" t="s">
        <v>868</v>
      </c>
      <c r="C301" s="1251"/>
      <c r="D301" s="411" t="s">
        <v>2339</v>
      </c>
      <c r="E301" s="411"/>
      <c r="F301" s="411" t="s">
        <v>505</v>
      </c>
      <c r="G301" s="411" t="s">
        <v>340</v>
      </c>
      <c r="H301" s="412">
        <v>7500</v>
      </c>
      <c r="I301" s="413" t="s">
        <v>76</v>
      </c>
      <c r="J301" s="414">
        <v>45148.440972222219</v>
      </c>
      <c r="K301" s="414"/>
      <c r="L301" s="414" t="s">
        <v>192</v>
      </c>
      <c r="M301" s="414" t="s">
        <v>192</v>
      </c>
      <c r="N301" s="413" t="str">
        <f t="shared" si="23"/>
        <v>DELAY ( 2 day 10 hour 35 minute )</v>
      </c>
      <c r="O301" s="51"/>
      <c r="P301" s="415" t="s">
        <v>551</v>
      </c>
      <c r="Q301" s="415" t="s">
        <v>551</v>
      </c>
      <c r="R301" s="415" t="s">
        <v>551</v>
      </c>
      <c r="S301" s="32"/>
      <c r="T301" s="416"/>
      <c r="U301" s="416"/>
      <c r="V301" s="416"/>
      <c r="W301" s="416"/>
      <c r="X301" s="416"/>
      <c r="Y301" s="416"/>
      <c r="Z301" s="416"/>
      <c r="AA301" s="416"/>
      <c r="AB301" s="416"/>
      <c r="AC301" s="416"/>
      <c r="AD301" s="416"/>
      <c r="AE301" s="416"/>
      <c r="AF301" s="416"/>
      <c r="AG301" s="416"/>
      <c r="AH301" s="416"/>
      <c r="AI301" s="416"/>
      <c r="AJ301" s="416"/>
      <c r="AK301" s="416">
        <f>H301</f>
        <v>7500</v>
      </c>
      <c r="AL301" s="416"/>
      <c r="AM301" s="416"/>
      <c r="AN301" s="416"/>
      <c r="AO301" s="416"/>
      <c r="AP301" s="416"/>
      <c r="AQ301" s="416"/>
      <c r="AR301" s="416"/>
      <c r="AS301" s="416"/>
      <c r="AT301" s="416"/>
      <c r="AU301" s="416"/>
      <c r="AV301" s="416"/>
      <c r="AW301" s="416"/>
      <c r="AX301" s="416"/>
      <c r="AY301" s="416"/>
      <c r="AZ301" s="416"/>
      <c r="BA301" s="416"/>
      <c r="BB301" s="32"/>
    </row>
    <row r="302" spans="2:54">
      <c r="B302" s="1254"/>
      <c r="C302" s="1255"/>
      <c r="D302" s="411"/>
      <c r="E302" s="411"/>
      <c r="F302" s="1256" t="s">
        <v>616</v>
      </c>
      <c r="G302" s="1257"/>
      <c r="H302" s="412">
        <v>4000.2049999999999</v>
      </c>
      <c r="I302" s="413"/>
      <c r="J302" s="414"/>
      <c r="K302" s="414"/>
      <c r="L302" s="414"/>
      <c r="M302" s="414"/>
      <c r="N302" s="413" t="str">
        <f t="shared" si="23"/>
        <v xml:space="preserve"> </v>
      </c>
      <c r="O302" s="51"/>
      <c r="P302" s="415"/>
      <c r="Q302" s="415"/>
      <c r="R302" s="415"/>
      <c r="S302" s="32"/>
      <c r="T302" s="416"/>
      <c r="U302" s="416"/>
      <c r="V302" s="416"/>
      <c r="W302" s="416"/>
      <c r="X302" s="416"/>
      <c r="Y302" s="416"/>
      <c r="Z302" s="416"/>
      <c r="AA302" s="416"/>
      <c r="AB302" s="416"/>
      <c r="AC302" s="416"/>
      <c r="AD302" s="416"/>
      <c r="AE302" s="416"/>
      <c r="AF302" s="416"/>
      <c r="AG302" s="416"/>
      <c r="AH302" s="416"/>
      <c r="AI302" s="416"/>
      <c r="AJ302" s="32"/>
      <c r="AK302" s="416"/>
      <c r="AL302" s="416"/>
      <c r="AM302" s="416"/>
      <c r="AN302" s="416"/>
      <c r="AO302" s="416"/>
      <c r="AP302" s="416"/>
      <c r="AQ302" s="416"/>
      <c r="AR302" s="32"/>
      <c r="AS302" s="416"/>
      <c r="AT302" s="416"/>
      <c r="AU302" s="416"/>
      <c r="AV302" s="416"/>
      <c r="AW302" s="416"/>
      <c r="AX302" s="416"/>
      <c r="AY302" s="286"/>
      <c r="AZ302" s="416"/>
      <c r="BA302" s="416"/>
      <c r="BB302" s="32"/>
    </row>
    <row r="303" spans="2:54">
      <c r="B303" s="1250" t="s">
        <v>869</v>
      </c>
      <c r="C303" s="1251"/>
      <c r="D303" s="411" t="s">
        <v>2340</v>
      </c>
      <c r="E303" s="411"/>
      <c r="F303" s="411" t="s">
        <v>380</v>
      </c>
      <c r="G303" s="411" t="s">
        <v>381</v>
      </c>
      <c r="H303" s="412">
        <f>5883.524-106.358-2100.594</f>
        <v>3676.5720000000001</v>
      </c>
      <c r="I303" s="413" t="s">
        <v>240</v>
      </c>
      <c r="J303" s="414">
        <v>45149.3</v>
      </c>
      <c r="K303" s="414"/>
      <c r="L303" s="414" t="s">
        <v>192</v>
      </c>
      <c r="M303" s="414" t="s">
        <v>192</v>
      </c>
      <c r="N303" s="413" t="str">
        <f t="shared" si="23"/>
        <v>DELAY ( 3 day 7 hour 12 minute )</v>
      </c>
      <c r="O303" s="51"/>
      <c r="P303" s="415" t="s">
        <v>551</v>
      </c>
      <c r="Q303" s="415" t="s">
        <v>551</v>
      </c>
      <c r="R303" s="415" t="s">
        <v>551</v>
      </c>
      <c r="S303" s="32"/>
      <c r="T303" s="416"/>
      <c r="U303" s="416"/>
      <c r="V303" s="416"/>
      <c r="W303" s="416"/>
      <c r="X303" s="416"/>
      <c r="Y303" s="416"/>
      <c r="Z303" s="416"/>
      <c r="AA303" s="416"/>
      <c r="AB303" s="416"/>
      <c r="AC303" s="416">
        <f t="shared" ref="AC303" si="24">H303</f>
        <v>3676.5720000000001</v>
      </c>
      <c r="AD303" s="416"/>
      <c r="AE303" s="416"/>
      <c r="AF303" s="416"/>
      <c r="AG303" s="416"/>
      <c r="AH303" s="416"/>
      <c r="AI303" s="416"/>
      <c r="AJ303" s="416"/>
      <c r="AK303" s="416"/>
      <c r="AL303" s="416"/>
      <c r="AM303" s="416"/>
      <c r="AN303" s="416"/>
      <c r="AO303" s="416"/>
      <c r="AP303" s="416"/>
      <c r="AQ303" s="416"/>
      <c r="AR303" s="416"/>
      <c r="AS303" s="416"/>
      <c r="AT303" s="32"/>
      <c r="AU303" s="416"/>
      <c r="AV303" s="416"/>
      <c r="AW303" s="416"/>
      <c r="AX303" s="416"/>
      <c r="AY303" s="416"/>
      <c r="AZ303" s="416"/>
      <c r="BA303" s="416"/>
      <c r="BB303" s="32"/>
    </row>
    <row r="304" spans="2:54">
      <c r="B304" s="1254"/>
      <c r="C304" s="1255"/>
      <c r="D304" s="411"/>
      <c r="E304" s="411"/>
      <c r="F304" s="1256" t="s">
        <v>668</v>
      </c>
      <c r="G304" s="1257"/>
      <c r="H304" s="412">
        <f>3000-0.211</f>
        <v>2999.7890000000002</v>
      </c>
      <c r="I304" s="413"/>
      <c r="J304" s="414"/>
      <c r="K304" s="414"/>
      <c r="L304" s="414"/>
      <c r="M304" s="414"/>
      <c r="N304" s="413" t="str">
        <f t="shared" si="23"/>
        <v xml:space="preserve"> </v>
      </c>
      <c r="O304" s="51"/>
      <c r="P304" s="415"/>
      <c r="Q304" s="415"/>
      <c r="R304" s="415"/>
      <c r="S304" s="32"/>
      <c r="T304" s="416"/>
      <c r="U304" s="416"/>
      <c r="V304" s="416"/>
      <c r="W304" s="416"/>
      <c r="X304" s="416"/>
      <c r="Y304" s="416"/>
      <c r="Z304" s="416"/>
      <c r="AA304" s="416"/>
      <c r="AB304" s="416"/>
      <c r="AC304" s="416"/>
      <c r="AD304" s="416"/>
      <c r="AE304" s="416"/>
      <c r="AF304" s="416"/>
      <c r="AG304" s="416"/>
      <c r="AH304" s="416"/>
      <c r="AI304" s="416"/>
      <c r="AJ304" s="32"/>
      <c r="AK304" s="416"/>
      <c r="AL304" s="416"/>
      <c r="AM304" s="416"/>
      <c r="AN304" s="416"/>
      <c r="AO304" s="416"/>
      <c r="AP304" s="416"/>
      <c r="AQ304" s="416"/>
      <c r="AR304" s="32"/>
      <c r="AS304" s="416"/>
      <c r="AT304" s="416"/>
      <c r="AU304" s="416"/>
      <c r="AV304" s="416"/>
      <c r="AW304" s="416"/>
      <c r="AX304" s="416"/>
      <c r="AY304" s="286"/>
      <c r="AZ304" s="416"/>
      <c r="BA304" s="416"/>
      <c r="BB304" s="32"/>
    </row>
    <row r="305" spans="2:54">
      <c r="B305" s="1256" t="s">
        <v>2341</v>
      </c>
      <c r="C305" s="1257"/>
      <c r="D305" s="411" t="s">
        <v>2342</v>
      </c>
      <c r="E305" s="411"/>
      <c r="F305" s="411" t="s">
        <v>301</v>
      </c>
      <c r="G305" s="411" t="s">
        <v>302</v>
      </c>
      <c r="H305" s="412">
        <f>6001.411-3900.817</f>
        <v>2100.5940000000001</v>
      </c>
      <c r="I305" s="413" t="s">
        <v>235</v>
      </c>
      <c r="J305" s="414">
        <v>45149.311111111114</v>
      </c>
      <c r="K305" s="414"/>
      <c r="L305" s="414" t="s">
        <v>192</v>
      </c>
      <c r="M305" s="414" t="s">
        <v>192</v>
      </c>
      <c r="N305" s="413" t="str">
        <f t="shared" si="23"/>
        <v>DELAY ( 3 day 7 hour 28 minute )</v>
      </c>
      <c r="O305" s="51"/>
      <c r="P305" s="415" t="s">
        <v>551</v>
      </c>
      <c r="Q305" s="415" t="s">
        <v>551</v>
      </c>
      <c r="R305" s="415" t="s">
        <v>551</v>
      </c>
      <c r="S305" s="32"/>
      <c r="T305" s="416"/>
      <c r="U305" s="416"/>
      <c r="V305" s="416"/>
      <c r="W305" s="416"/>
      <c r="X305" s="416"/>
      <c r="Y305" s="416"/>
      <c r="Z305" s="416"/>
      <c r="AA305" s="416"/>
      <c r="AB305" s="416">
        <f>H305-H310</f>
        <v>2100.5940000000001</v>
      </c>
      <c r="AC305" s="416"/>
      <c r="AD305" s="416"/>
      <c r="AE305" s="416"/>
      <c r="AF305" s="416"/>
      <c r="AG305" s="416"/>
      <c r="AH305" s="416"/>
      <c r="AI305" s="416"/>
      <c r="AJ305" s="416"/>
      <c r="AK305" s="416"/>
      <c r="AL305" s="416"/>
      <c r="AM305" s="416"/>
      <c r="AN305" s="416"/>
      <c r="AO305" s="416"/>
      <c r="AP305" s="416"/>
      <c r="AQ305" s="416"/>
      <c r="AR305" s="416"/>
      <c r="AS305" s="416"/>
      <c r="AT305" s="289"/>
      <c r="AU305" s="416"/>
      <c r="AV305" s="416"/>
      <c r="AW305" s="416"/>
      <c r="AX305" s="416"/>
      <c r="AY305" s="416"/>
      <c r="AZ305" s="416"/>
      <c r="BA305" s="416"/>
      <c r="BB305" s="32"/>
    </row>
    <row r="306" spans="2:54">
      <c r="B306" s="1258" t="s">
        <v>626</v>
      </c>
      <c r="C306" s="1259"/>
      <c r="D306" s="1259"/>
      <c r="E306" s="1259"/>
      <c r="F306" s="1259"/>
      <c r="G306" s="1260"/>
      <c r="H306" s="417">
        <f>H301+H296+H289+H274+H280+H303+H298+H305+H286+H272+H277+H292+H283</f>
        <v>76454.127999999997</v>
      </c>
      <c r="I306" s="388"/>
      <c r="J306" s="293"/>
      <c r="K306" s="293"/>
      <c r="L306" s="293"/>
      <c r="M306" s="389"/>
      <c r="N306" s="413" t="str">
        <f t="shared" si="23"/>
        <v xml:space="preserve"> </v>
      </c>
      <c r="O306" s="47"/>
      <c r="P306" s="418"/>
      <c r="Q306" s="418"/>
      <c r="R306" s="418"/>
      <c r="S306" s="32"/>
      <c r="T306" s="1261"/>
      <c r="U306" s="1261"/>
      <c r="V306" s="1261"/>
      <c r="W306" s="1261"/>
      <c r="X306" s="1261"/>
      <c r="Y306" s="1261"/>
      <c r="Z306" s="1261"/>
      <c r="AA306" s="1261"/>
      <c r="AB306" s="1261"/>
      <c r="AC306" s="1261"/>
      <c r="AD306" s="1261"/>
      <c r="AE306" s="1261"/>
      <c r="AF306" s="1261"/>
      <c r="AG306" s="1261"/>
      <c r="AH306" s="1261"/>
      <c r="AI306" s="1261"/>
      <c r="AJ306" s="1261"/>
      <c r="AK306" s="1261"/>
      <c r="AL306" s="1261"/>
      <c r="AM306" s="1261"/>
      <c r="AN306" s="1261"/>
      <c r="AO306" s="1261"/>
      <c r="AP306" s="1261"/>
      <c r="AQ306" s="1261"/>
      <c r="AR306" s="1261"/>
      <c r="AS306" s="1261"/>
      <c r="AT306" s="1261"/>
      <c r="AU306" s="1261"/>
      <c r="AV306" s="1261"/>
      <c r="AW306" s="1261"/>
      <c r="AX306" s="1261"/>
      <c r="AY306" s="1261"/>
      <c r="AZ306" s="1261"/>
      <c r="BA306" s="1261"/>
    </row>
    <row r="307" spans="2:54">
      <c r="B307" s="1258" t="s">
        <v>556</v>
      </c>
      <c r="C307" s="1259"/>
      <c r="D307" s="1259"/>
      <c r="E307" s="1259"/>
      <c r="F307" s="1259"/>
      <c r="G307" s="1260"/>
      <c r="H307" s="417">
        <f>H271+H306</f>
        <v>104207</v>
      </c>
      <c r="I307" s="388"/>
      <c r="J307" s="293"/>
      <c r="K307" s="293"/>
      <c r="L307" s="293"/>
      <c r="M307" s="389"/>
      <c r="N307" s="413" t="str">
        <f t="shared" si="23"/>
        <v xml:space="preserve"> </v>
      </c>
      <c r="O307" s="212"/>
      <c r="P307" s="418"/>
      <c r="Q307" s="418"/>
      <c r="R307" s="418"/>
      <c r="S307" s="207"/>
      <c r="T307" s="1300"/>
      <c r="U307" s="1301"/>
      <c r="V307" s="1301"/>
      <c r="W307" s="1301"/>
      <c r="X307" s="1301"/>
      <c r="Y307" s="1301"/>
      <c r="Z307" s="1301"/>
      <c r="AA307" s="1301"/>
      <c r="AB307" s="1301"/>
      <c r="AC307" s="1301"/>
      <c r="AD307" s="1301"/>
      <c r="AE307" s="1301"/>
      <c r="AF307" s="1301"/>
      <c r="AG307" s="1301"/>
      <c r="AH307" s="1301"/>
      <c r="AI307" s="1301"/>
      <c r="AJ307" s="1301"/>
      <c r="AK307" s="1301"/>
      <c r="AL307" s="1301"/>
      <c r="AM307" s="1301"/>
      <c r="AN307" s="1301"/>
      <c r="AO307" s="1301"/>
      <c r="AP307" s="1301"/>
      <c r="AQ307" s="1301"/>
      <c r="AR307" s="1301"/>
      <c r="AS307" s="1301"/>
      <c r="AT307" s="1301"/>
      <c r="AU307" s="1301"/>
      <c r="AV307" s="1301"/>
      <c r="AW307" s="1301"/>
      <c r="AX307" s="1301"/>
      <c r="AY307" s="1301"/>
      <c r="AZ307" s="1301"/>
      <c r="BA307" s="1301"/>
    </row>
    <row r="308" spans="2:54">
      <c r="B308" s="1243" t="s">
        <v>557</v>
      </c>
      <c r="C308" s="1244"/>
      <c r="D308" s="1244"/>
      <c r="E308" s="1244"/>
      <c r="F308" s="1244"/>
      <c r="G308" s="1245"/>
      <c r="H308" s="419">
        <v>104207</v>
      </c>
      <c r="I308" s="1273"/>
      <c r="J308" s="1274"/>
      <c r="K308" s="1274"/>
      <c r="L308" s="1274"/>
      <c r="M308" s="1275"/>
      <c r="N308" s="413" t="str">
        <f t="shared" si="23"/>
        <v xml:space="preserve"> </v>
      </c>
      <c r="O308" s="32"/>
      <c r="P308" s="415"/>
      <c r="Q308" s="415"/>
      <c r="R308" s="415"/>
      <c r="S308" s="63"/>
      <c r="T308" s="416">
        <f t="shared" ref="T308:BA308" si="25">SUM(T267:T305)</f>
        <v>0</v>
      </c>
      <c r="U308" s="416">
        <f t="shared" si="25"/>
        <v>0</v>
      </c>
      <c r="V308" s="416">
        <f t="shared" si="25"/>
        <v>0</v>
      </c>
      <c r="W308" s="416">
        <f t="shared" si="25"/>
        <v>0</v>
      </c>
      <c r="X308" s="416">
        <f t="shared" si="25"/>
        <v>7506.2049999999999</v>
      </c>
      <c r="Y308" s="416">
        <f t="shared" si="25"/>
        <v>0</v>
      </c>
      <c r="Z308" s="416">
        <f t="shared" si="25"/>
        <v>0</v>
      </c>
      <c r="AA308" s="416">
        <f t="shared" si="25"/>
        <v>0</v>
      </c>
      <c r="AB308" s="416">
        <f t="shared" si="25"/>
        <v>7797.9480000000003</v>
      </c>
      <c r="AC308" s="416">
        <f t="shared" si="25"/>
        <v>53649.974999999999</v>
      </c>
      <c r="AD308" s="416">
        <f t="shared" si="25"/>
        <v>14655.082999999999</v>
      </c>
      <c r="AE308" s="416">
        <f t="shared" si="25"/>
        <v>0</v>
      </c>
      <c r="AF308" s="416">
        <f t="shared" si="25"/>
        <v>0</v>
      </c>
      <c r="AG308" s="416">
        <f t="shared" si="25"/>
        <v>0</v>
      </c>
      <c r="AH308" s="416">
        <f t="shared" si="25"/>
        <v>0</v>
      </c>
      <c r="AI308" s="416">
        <f t="shared" si="25"/>
        <v>0</v>
      </c>
      <c r="AJ308" s="416">
        <f t="shared" si="25"/>
        <v>0</v>
      </c>
      <c r="AK308" s="416">
        <f t="shared" si="25"/>
        <v>7500</v>
      </c>
      <c r="AL308" s="416">
        <f t="shared" si="25"/>
        <v>0</v>
      </c>
      <c r="AM308" s="416">
        <f t="shared" si="25"/>
        <v>0</v>
      </c>
      <c r="AN308" s="416">
        <f t="shared" si="25"/>
        <v>0</v>
      </c>
      <c r="AO308" s="416">
        <f t="shared" si="25"/>
        <v>0</v>
      </c>
      <c r="AP308" s="416">
        <f t="shared" si="25"/>
        <v>0</v>
      </c>
      <c r="AQ308" s="416">
        <f t="shared" si="25"/>
        <v>0</v>
      </c>
      <c r="AR308" s="416">
        <f t="shared" si="25"/>
        <v>0</v>
      </c>
      <c r="AS308" s="416">
        <f t="shared" si="25"/>
        <v>0</v>
      </c>
      <c r="AT308" s="416">
        <f t="shared" si="25"/>
        <v>0</v>
      </c>
      <c r="AU308" s="416">
        <f t="shared" si="25"/>
        <v>0</v>
      </c>
      <c r="AV308" s="416">
        <f t="shared" si="25"/>
        <v>0</v>
      </c>
      <c r="AW308" s="416">
        <f t="shared" si="25"/>
        <v>0</v>
      </c>
      <c r="AX308" s="416">
        <f t="shared" si="25"/>
        <v>0</v>
      </c>
      <c r="AY308" s="416">
        <f t="shared" si="25"/>
        <v>13097.789000000001</v>
      </c>
      <c r="AZ308" s="416">
        <f t="shared" si="25"/>
        <v>0</v>
      </c>
      <c r="BA308" s="416">
        <f t="shared" si="25"/>
        <v>0</v>
      </c>
      <c r="BB308" s="416">
        <f>SUM(T308:BA308)</f>
        <v>104207</v>
      </c>
    </row>
    <row r="309" spans="2:54">
      <c r="B309" s="1243" t="s">
        <v>558</v>
      </c>
      <c r="C309" s="1244"/>
      <c r="D309" s="1244"/>
      <c r="E309" s="1244"/>
      <c r="F309" s="1244"/>
      <c r="G309" s="1245"/>
      <c r="H309" s="420">
        <f>H308-L261</f>
        <v>0</v>
      </c>
      <c r="I309" s="294"/>
      <c r="J309" s="295"/>
      <c r="K309" s="295"/>
      <c r="L309" s="296"/>
      <c r="M309" s="32"/>
      <c r="N309" s="32"/>
      <c r="O309" s="32"/>
      <c r="P309" s="32"/>
      <c r="Q309" s="297"/>
      <c r="R309" s="297"/>
      <c r="S309" s="32"/>
      <c r="T309" s="48"/>
      <c r="U309" s="48"/>
      <c r="V309" s="48"/>
      <c r="W309" s="48"/>
      <c r="X309" s="48"/>
      <c r="Y309" s="48"/>
      <c r="Z309" s="48"/>
      <c r="AA309" s="48"/>
      <c r="AB309" s="48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</row>
    <row r="310" spans="2:54">
      <c r="B310" s="1243" t="s">
        <v>559</v>
      </c>
      <c r="C310" s="1244"/>
      <c r="D310" s="1244"/>
      <c r="E310" s="1244"/>
      <c r="F310" s="1244"/>
      <c r="G310" s="1245"/>
      <c r="H310" s="446">
        <f>H307-H308</f>
        <v>0</v>
      </c>
      <c r="I310" s="52"/>
      <c r="J310" s="53"/>
      <c r="K310" s="53"/>
      <c r="L310" s="54"/>
      <c r="M310" s="32"/>
      <c r="N310" s="201"/>
      <c r="O310" s="32"/>
      <c r="P310" s="32"/>
      <c r="Q310" s="32"/>
      <c r="R310" s="32"/>
      <c r="S310" s="32"/>
      <c r="T310" s="48"/>
      <c r="U310" s="48"/>
      <c r="V310" s="48"/>
      <c r="W310" s="48"/>
      <c r="X310" s="48"/>
      <c r="Y310" s="48"/>
      <c r="Z310" s="48"/>
      <c r="AA310" s="48"/>
      <c r="AB310" s="48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</row>
    <row r="311" spans="2:54">
      <c r="B311" s="1243" t="s">
        <v>560</v>
      </c>
      <c r="C311" s="1244"/>
      <c r="D311" s="1244"/>
      <c r="E311" s="1244"/>
      <c r="F311" s="1244"/>
      <c r="G311" s="1245"/>
      <c r="H311" s="421">
        <f>-106.358-2100.594</f>
        <v>-2206.9520000000002</v>
      </c>
      <c r="I311" s="52"/>
      <c r="J311" s="53"/>
      <c r="K311" s="53"/>
      <c r="L311" s="54"/>
      <c r="M311" s="32"/>
      <c r="N311" s="32"/>
      <c r="O311" s="32"/>
      <c r="P311" s="32"/>
      <c r="Q311" s="32"/>
      <c r="R311" s="32"/>
      <c r="S311" s="48"/>
      <c r="T311" s="48"/>
      <c r="U311" s="48"/>
      <c r="V311" s="48"/>
      <c r="W311" s="48"/>
      <c r="X311" s="48"/>
      <c r="Y311" s="48"/>
      <c r="Z311" s="48"/>
      <c r="AA311" s="48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</row>
    <row r="312" spans="2:54">
      <c r="B312" s="201"/>
      <c r="C312" s="201"/>
      <c r="D312" s="201"/>
      <c r="E312" s="201"/>
      <c r="F312" s="201"/>
      <c r="G312" s="201"/>
      <c r="H312" s="201"/>
      <c r="I312" s="213"/>
      <c r="J312" s="209"/>
      <c r="K312" s="209"/>
      <c r="L312" s="203"/>
      <c r="M312" s="201"/>
      <c r="N312" s="201"/>
      <c r="O312" s="209"/>
      <c r="P312" s="32"/>
      <c r="Q312" s="32"/>
      <c r="R312" s="32"/>
      <c r="S312" s="32"/>
      <c r="T312" s="48"/>
      <c r="U312" s="48"/>
      <c r="V312" s="48"/>
      <c r="W312" s="48"/>
      <c r="X312" s="48"/>
      <c r="Y312" s="48"/>
      <c r="Z312" s="48"/>
      <c r="AA312" s="48"/>
      <c r="AB312" s="48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</row>
    <row r="313" spans="2:54">
      <c r="B313" s="40" t="s">
        <v>561</v>
      </c>
      <c r="C313" s="40"/>
      <c r="D313" s="32"/>
      <c r="E313" s="32"/>
      <c r="F313" s="32"/>
      <c r="G313" s="32"/>
      <c r="H313" s="32"/>
      <c r="I313" s="32"/>
      <c r="J313" s="52"/>
      <c r="K313" s="52"/>
      <c r="L313" s="55"/>
      <c r="M313" s="32"/>
      <c r="N313" s="201"/>
      <c r="O313" s="5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  <c r="AA313" s="202"/>
      <c r="AB313" s="201"/>
      <c r="AC313" s="201"/>
      <c r="AD313" s="201"/>
      <c r="AE313" s="201"/>
      <c r="AF313" s="201"/>
      <c r="AG313" s="201"/>
      <c r="AH313" s="201"/>
      <c r="AI313" s="201"/>
      <c r="AJ313" s="201"/>
      <c r="AK313" s="201"/>
      <c r="AL313" s="201"/>
      <c r="AM313" s="201"/>
      <c r="AN313" s="201"/>
      <c r="AO313" s="201"/>
      <c r="AP313" s="201"/>
      <c r="AQ313" s="201"/>
      <c r="AR313" s="201"/>
      <c r="AS313" s="201"/>
      <c r="AT313" s="201"/>
      <c r="AU313" s="201"/>
      <c r="BB313" s="201"/>
    </row>
    <row r="314" spans="2:54">
      <c r="B314" s="422">
        <v>1</v>
      </c>
      <c r="C314" s="1249" t="s">
        <v>2297</v>
      </c>
      <c r="D314" s="1249"/>
      <c r="E314" s="1249"/>
      <c r="F314" s="1249"/>
      <c r="G314" s="1249"/>
      <c r="H314" s="1249"/>
      <c r="I314" s="1249"/>
      <c r="J314" s="1249"/>
      <c r="K314" s="1249"/>
      <c r="L314" s="203"/>
      <c r="M314" s="203"/>
      <c r="N314" s="201"/>
      <c r="O314" s="209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  <c r="AA314" s="202"/>
      <c r="AB314" s="201"/>
      <c r="AC314" s="201"/>
      <c r="AD314" s="201"/>
      <c r="AE314" s="201"/>
      <c r="AF314" s="201"/>
      <c r="AG314" s="201"/>
      <c r="AH314" s="201"/>
      <c r="AI314" s="201"/>
      <c r="AJ314" s="201"/>
      <c r="AK314" s="201"/>
      <c r="AL314" s="201"/>
      <c r="AM314" s="201"/>
      <c r="AN314" s="201"/>
      <c r="AO314" s="201"/>
      <c r="AP314" s="201"/>
      <c r="AQ314" s="201"/>
      <c r="AR314" s="201"/>
      <c r="AS314" s="201"/>
      <c r="AT314" s="201"/>
      <c r="AU314" s="201"/>
      <c r="AV314" s="201"/>
      <c r="AW314" s="201"/>
      <c r="AX314" s="201"/>
      <c r="AY314" s="201"/>
      <c r="AZ314" s="201"/>
      <c r="BA314" s="201"/>
      <c r="BB314" s="201"/>
    </row>
    <row r="316" spans="2:54">
      <c r="B316" s="28" t="s">
        <v>126</v>
      </c>
      <c r="C316" s="28"/>
      <c r="D316" s="29"/>
      <c r="E316" s="30" t="s">
        <v>511</v>
      </c>
      <c r="F316" s="31" t="s">
        <v>628</v>
      </c>
      <c r="G316" s="32"/>
      <c r="H316" s="33"/>
      <c r="I316" s="34"/>
      <c r="J316" s="35" t="s">
        <v>513</v>
      </c>
      <c r="K316" s="36" t="s">
        <v>511</v>
      </c>
      <c r="L316" s="37">
        <v>45155.5</v>
      </c>
      <c r="M316" s="32"/>
      <c r="N316" s="32"/>
      <c r="O316" s="206"/>
      <c r="P316" s="205"/>
      <c r="Q316" s="202"/>
      <c r="R316" s="204"/>
      <c r="S316" s="38"/>
      <c r="T316" s="201"/>
      <c r="U316" s="201"/>
      <c r="V316" s="201"/>
      <c r="W316" s="201"/>
      <c r="X316" s="201"/>
      <c r="Y316" s="201"/>
      <c r="Z316" s="201"/>
      <c r="AA316" s="201"/>
      <c r="AB316" s="202"/>
      <c r="AC316" s="202"/>
      <c r="AD316" s="202"/>
      <c r="AE316" s="202"/>
      <c r="AF316" s="202"/>
      <c r="AG316" s="201"/>
      <c r="AH316" s="201"/>
      <c r="AI316" s="201"/>
      <c r="AJ316" s="201"/>
      <c r="AK316" s="201"/>
      <c r="AL316" s="201"/>
      <c r="AM316" s="201"/>
      <c r="AN316" s="201"/>
      <c r="AO316" s="201"/>
      <c r="AP316" s="201"/>
      <c r="AQ316" s="201"/>
      <c r="AR316" s="201"/>
      <c r="AS316" s="201"/>
      <c r="AT316" s="201"/>
      <c r="AU316" s="201"/>
      <c r="AV316" s="201"/>
      <c r="AW316" s="201"/>
      <c r="AX316" s="201"/>
      <c r="AY316" s="201"/>
      <c r="AZ316" s="201"/>
      <c r="BA316" s="201"/>
      <c r="BB316" s="201"/>
    </row>
    <row r="317" spans="2:54">
      <c r="B317" s="35" t="s">
        <v>514</v>
      </c>
      <c r="C317" s="35"/>
      <c r="D317" s="32"/>
      <c r="E317" s="36" t="s">
        <v>511</v>
      </c>
      <c r="F317" s="311" t="s">
        <v>2299</v>
      </c>
      <c r="G317" s="32"/>
      <c r="H317" s="33"/>
      <c r="I317" s="34"/>
      <c r="J317" s="35" t="s">
        <v>516</v>
      </c>
      <c r="K317" s="36" t="s">
        <v>511</v>
      </c>
      <c r="L317" s="37">
        <v>45158.486111111109</v>
      </c>
      <c r="M317" s="32"/>
      <c r="N317" s="32"/>
      <c r="O317" s="206"/>
      <c r="P317" s="205"/>
      <c r="Q317" s="202"/>
      <c r="R317" s="204"/>
      <c r="S317" s="38"/>
      <c r="T317" s="201"/>
      <c r="U317" s="201"/>
      <c r="V317" s="201"/>
      <c r="W317" s="201"/>
      <c r="X317" s="201"/>
      <c r="Y317" s="201"/>
      <c r="Z317" s="201"/>
      <c r="AA317" s="201"/>
      <c r="AB317" s="202"/>
      <c r="AC317" s="202"/>
      <c r="AD317" s="202"/>
      <c r="AE317" s="202"/>
      <c r="AF317" s="202"/>
      <c r="AG317" s="201"/>
      <c r="AH317" s="201"/>
      <c r="AI317" s="201"/>
      <c r="AJ317" s="201"/>
      <c r="AK317" s="201"/>
      <c r="AL317" s="201"/>
      <c r="AM317" s="201"/>
      <c r="AN317" s="201"/>
      <c r="AO317" s="201"/>
      <c r="AP317" s="201"/>
      <c r="AQ317" s="201"/>
      <c r="AR317" s="201"/>
      <c r="AS317" s="201"/>
      <c r="AT317" s="201"/>
      <c r="AU317" s="201"/>
      <c r="AV317" s="201"/>
      <c r="AW317" s="201"/>
      <c r="AX317" s="201"/>
      <c r="AY317" s="201"/>
      <c r="AZ317" s="201"/>
      <c r="BA317" s="201"/>
      <c r="BB317" s="201"/>
    </row>
    <row r="318" spans="2:54">
      <c r="B318" s="35" t="s">
        <v>517</v>
      </c>
      <c r="C318" s="35"/>
      <c r="D318" s="32"/>
      <c r="E318" s="36" t="s">
        <v>511</v>
      </c>
      <c r="F318" s="37">
        <v>45148.762499999997</v>
      </c>
      <c r="G318" s="32"/>
      <c r="H318" s="33"/>
      <c r="I318" s="34"/>
      <c r="J318" s="35" t="s">
        <v>518</v>
      </c>
      <c r="K318" s="36" t="s">
        <v>511</v>
      </c>
      <c r="L318" s="50">
        <v>71700</v>
      </c>
      <c r="M318" s="40" t="s">
        <v>519</v>
      </c>
      <c r="N318" s="40"/>
      <c r="O318" s="206"/>
      <c r="P318" s="205"/>
      <c r="Q318" s="202"/>
      <c r="R318" s="204"/>
      <c r="S318" s="38"/>
      <c r="T318" s="201"/>
      <c r="U318" s="201"/>
      <c r="V318" s="201"/>
      <c r="W318" s="201"/>
      <c r="X318" s="201"/>
      <c r="Y318" s="201"/>
      <c r="Z318" s="201"/>
      <c r="AA318" s="201"/>
      <c r="AB318" s="202"/>
      <c r="AC318" s="202"/>
      <c r="AD318" s="202"/>
      <c r="AE318" s="202"/>
      <c r="AF318" s="202"/>
      <c r="AG318" s="201"/>
      <c r="AH318" s="201"/>
      <c r="AI318" s="201"/>
      <c r="AJ318" s="201"/>
      <c r="AK318" s="201"/>
      <c r="AL318" s="201"/>
      <c r="AM318" s="201"/>
      <c r="AN318" s="201"/>
      <c r="AO318" s="201"/>
      <c r="AP318" s="201"/>
      <c r="AQ318" s="201"/>
      <c r="AR318" s="201"/>
      <c r="AS318" s="201"/>
      <c r="AT318" s="201"/>
      <c r="AU318" s="201"/>
      <c r="AV318" s="201"/>
      <c r="AW318" s="201"/>
      <c r="AX318" s="201"/>
      <c r="AY318" s="201"/>
      <c r="AZ318" s="201"/>
      <c r="BA318" s="201"/>
      <c r="BB318" s="201"/>
    </row>
    <row r="319" spans="2:54">
      <c r="B319" s="35" t="s">
        <v>520</v>
      </c>
      <c r="C319" s="35"/>
      <c r="D319" s="32"/>
      <c r="E319" s="36" t="s">
        <v>511</v>
      </c>
      <c r="F319" s="37" t="s">
        <v>12</v>
      </c>
      <c r="G319" s="32"/>
      <c r="H319" s="33"/>
      <c r="I319" s="34"/>
      <c r="J319" s="35" t="s">
        <v>521</v>
      </c>
      <c r="K319" s="36" t="s">
        <v>511</v>
      </c>
      <c r="L319" s="41" t="s">
        <v>2343</v>
      </c>
      <c r="M319" s="32"/>
      <c r="N319" s="32"/>
      <c r="O319" s="206"/>
      <c r="P319" s="202"/>
      <c r="Q319" s="202"/>
      <c r="R319" s="204"/>
      <c r="S319" s="38"/>
      <c r="T319" s="201"/>
      <c r="U319" s="201"/>
      <c r="V319" s="201"/>
      <c r="W319" s="201"/>
      <c r="X319" s="201"/>
      <c r="Y319" s="201"/>
      <c r="Z319" s="201"/>
      <c r="AA319" s="201"/>
      <c r="AB319" s="202"/>
      <c r="AC319" s="202"/>
      <c r="AD319" s="202"/>
      <c r="AE319" s="202"/>
      <c r="AF319" s="202"/>
      <c r="AG319" s="201"/>
      <c r="AH319" s="201"/>
      <c r="AI319" s="201"/>
      <c r="AJ319" s="201"/>
      <c r="AK319" s="201"/>
      <c r="AL319" s="201"/>
      <c r="AM319" s="201"/>
      <c r="AN319" s="201"/>
      <c r="AO319" s="201"/>
      <c r="AP319" s="201"/>
      <c r="AQ319" s="201"/>
      <c r="AR319" s="201"/>
      <c r="AS319" s="201"/>
      <c r="AT319" s="201"/>
      <c r="AU319" s="201"/>
      <c r="AV319" s="201"/>
      <c r="AW319" s="201"/>
      <c r="AX319" s="201"/>
      <c r="AY319" s="201"/>
      <c r="AZ319" s="201"/>
      <c r="BA319" s="201"/>
      <c r="BB319" s="201"/>
    </row>
    <row r="320" spans="2:54">
      <c r="B320" s="35" t="s">
        <v>523</v>
      </c>
      <c r="C320" s="35"/>
      <c r="D320" s="32"/>
      <c r="E320" s="36" t="s">
        <v>511</v>
      </c>
      <c r="F320" s="37" t="s">
        <v>32</v>
      </c>
      <c r="G320" s="32"/>
      <c r="H320" s="33"/>
      <c r="I320" s="34"/>
      <c r="J320" s="42" t="s">
        <v>524</v>
      </c>
      <c r="K320" s="36" t="s">
        <v>511</v>
      </c>
      <c r="L320" s="43" t="s">
        <v>15</v>
      </c>
      <c r="M320" s="44"/>
      <c r="N320" s="44"/>
      <c r="O320" s="206"/>
      <c r="P320" s="205"/>
      <c r="Q320" s="202"/>
      <c r="R320" s="204"/>
      <c r="S320" s="38"/>
      <c r="T320" s="201"/>
      <c r="U320" s="201"/>
      <c r="V320" s="201"/>
      <c r="W320" s="201"/>
      <c r="X320" s="201"/>
      <c r="Y320" s="201"/>
      <c r="Z320" s="201"/>
      <c r="AA320" s="201"/>
      <c r="AB320" s="202"/>
      <c r="AC320" s="202"/>
      <c r="AD320" s="202"/>
      <c r="AE320" s="202"/>
      <c r="AF320" s="202"/>
      <c r="AG320" s="201"/>
      <c r="AH320" s="201"/>
      <c r="AI320" s="201"/>
      <c r="AJ320" s="201"/>
      <c r="AK320" s="201"/>
      <c r="AL320" s="201"/>
      <c r="AM320" s="201"/>
      <c r="AN320" s="201"/>
      <c r="AO320" s="201"/>
      <c r="AP320" s="201"/>
      <c r="AQ320" s="201"/>
      <c r="AR320" s="201"/>
      <c r="AS320" s="201"/>
      <c r="AT320" s="201"/>
      <c r="AU320" s="201"/>
      <c r="AV320" s="201"/>
      <c r="AW320" s="201"/>
      <c r="AX320" s="201"/>
      <c r="AY320" s="201"/>
      <c r="AZ320" s="201"/>
      <c r="BA320" s="201"/>
      <c r="BB320" s="201"/>
    </row>
    <row r="321" spans="2:54">
      <c r="B321" s="35" t="s">
        <v>2</v>
      </c>
      <c r="C321" s="35"/>
      <c r="D321" s="32"/>
      <c r="E321" s="36" t="s">
        <v>511</v>
      </c>
      <c r="F321" s="37" t="s">
        <v>14</v>
      </c>
      <c r="G321" s="32"/>
      <c r="H321" s="33"/>
      <c r="I321" s="45"/>
      <c r="J321" s="42"/>
      <c r="K321" s="36"/>
      <c r="L321" s="211"/>
      <c r="M321" s="201"/>
      <c r="N321" s="201"/>
      <c r="O321" s="42"/>
      <c r="P321" s="44"/>
      <c r="Q321" s="44"/>
      <c r="R321" s="44"/>
      <c r="S321" s="34"/>
      <c r="T321" s="201"/>
      <c r="U321" s="201"/>
      <c r="V321" s="201"/>
      <c r="W321" s="201"/>
      <c r="X321" s="201"/>
      <c r="Y321" s="201"/>
      <c r="Z321" s="201"/>
      <c r="AA321" s="201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201"/>
      <c r="AP321" s="201"/>
      <c r="AQ321" s="201"/>
      <c r="AR321" s="201"/>
      <c r="AS321" s="201"/>
      <c r="AT321" s="201"/>
      <c r="AU321" s="201"/>
      <c r="AV321" s="201"/>
      <c r="AW321" s="201"/>
      <c r="AX321" s="201"/>
      <c r="AY321" s="201"/>
      <c r="AZ321" s="201"/>
      <c r="BA321" s="201"/>
      <c r="BB321" s="201"/>
    </row>
    <row r="322" spans="2:54">
      <c r="B322" s="201"/>
      <c r="C322" s="201"/>
      <c r="D322" s="201"/>
      <c r="E322" s="201"/>
      <c r="F322" s="201"/>
      <c r="G322" s="201"/>
      <c r="H322" s="201"/>
      <c r="I322" s="45"/>
      <c r="J322" s="42"/>
      <c r="K322" s="42"/>
      <c r="L322" s="43"/>
      <c r="M322" s="44"/>
      <c r="N322" s="44"/>
      <c r="O322" s="42"/>
      <c r="P322" s="44"/>
      <c r="Q322" s="44"/>
      <c r="R322" s="44"/>
      <c r="S322" s="34"/>
      <c r="T322" s="1265" t="s">
        <v>87</v>
      </c>
      <c r="U322" s="1265"/>
      <c r="V322" s="1265"/>
      <c r="W322" s="1265"/>
      <c r="X322" s="1265"/>
      <c r="Y322" s="1265" t="s">
        <v>73</v>
      </c>
      <c r="Z322" s="1265"/>
      <c r="AA322" s="1265"/>
      <c r="AB322" s="1265" t="s">
        <v>74</v>
      </c>
      <c r="AC322" s="1265"/>
      <c r="AD322" s="423" t="s">
        <v>85</v>
      </c>
      <c r="AE322" s="423" t="s">
        <v>77</v>
      </c>
      <c r="AF322" s="1265" t="s">
        <v>525</v>
      </c>
      <c r="AG322" s="1265"/>
      <c r="AH322" s="1265"/>
      <c r="AI322" s="1265"/>
      <c r="AJ322" s="1265"/>
      <c r="AK322" s="1265"/>
      <c r="AL322" s="1265"/>
      <c r="AM322" s="1265"/>
      <c r="AN322" s="1265"/>
      <c r="AO322" s="1265"/>
      <c r="AP322" s="1265"/>
      <c r="AQ322" s="1265"/>
      <c r="AR322" s="1265"/>
      <c r="AS322" s="1265"/>
      <c r="AT322" s="1265"/>
      <c r="AU322" s="1265"/>
      <c r="AV322" s="1265"/>
      <c r="AW322" s="1265"/>
      <c r="AX322" s="1265"/>
      <c r="AY322" s="1265"/>
      <c r="AZ322" s="1265"/>
      <c r="BA322" s="1265"/>
      <c r="BB322" s="201"/>
    </row>
    <row r="323" spans="2:54">
      <c r="B323" s="1266" t="s">
        <v>526</v>
      </c>
      <c r="C323" s="1267"/>
      <c r="D323" s="570" t="s">
        <v>527</v>
      </c>
      <c r="E323" s="570"/>
      <c r="F323" s="570" t="s">
        <v>528</v>
      </c>
      <c r="G323" s="570" t="s">
        <v>529</v>
      </c>
      <c r="H323" s="570" t="s">
        <v>530</v>
      </c>
      <c r="I323" s="570" t="s">
        <v>531</v>
      </c>
      <c r="J323" s="570" t="s">
        <v>532</v>
      </c>
      <c r="K323" s="570"/>
      <c r="L323" s="570" t="s">
        <v>130</v>
      </c>
      <c r="M323" s="570" t="s">
        <v>533</v>
      </c>
      <c r="N323" s="408" t="str">
        <f>"On time - "&amp;COUNTIF(N324:N336,"On time")&amp;" from "&amp;ROWS(N324:N336)-COUNTIF(N324:N336," ")</f>
        <v>On time - 0 from 11</v>
      </c>
      <c r="O323" s="46"/>
      <c r="P323" s="409" t="s">
        <v>534</v>
      </c>
      <c r="Q323" s="409" t="s">
        <v>535</v>
      </c>
      <c r="R323" s="409" t="s">
        <v>536</v>
      </c>
      <c r="S323" s="32"/>
      <c r="T323" s="424" t="s">
        <v>537</v>
      </c>
      <c r="U323" s="424" t="s">
        <v>538</v>
      </c>
      <c r="V323" s="424" t="s">
        <v>539</v>
      </c>
      <c r="W323" s="424" t="s">
        <v>540</v>
      </c>
      <c r="X323" s="424" t="s">
        <v>541</v>
      </c>
      <c r="Y323" s="424" t="s">
        <v>167</v>
      </c>
      <c r="Z323" s="424" t="s">
        <v>168</v>
      </c>
      <c r="AA323" s="424" t="s">
        <v>169</v>
      </c>
      <c r="AB323" s="424" t="s">
        <v>235</v>
      </c>
      <c r="AC323" s="424" t="s">
        <v>240</v>
      </c>
      <c r="AD323" s="423" t="s">
        <v>85</v>
      </c>
      <c r="AE323" s="424" t="s">
        <v>139</v>
      </c>
      <c r="AF323" s="424" t="s">
        <v>72</v>
      </c>
      <c r="AG323" s="424" t="s">
        <v>88</v>
      </c>
      <c r="AH323" s="424" t="s">
        <v>75</v>
      </c>
      <c r="AI323" s="424" t="s">
        <v>543</v>
      </c>
      <c r="AJ323" s="424" t="s">
        <v>78</v>
      </c>
      <c r="AK323" s="424" t="s">
        <v>76</v>
      </c>
      <c r="AL323" s="424" t="s">
        <v>544</v>
      </c>
      <c r="AM323" s="424" t="s">
        <v>545</v>
      </c>
      <c r="AN323" s="424" t="s">
        <v>86</v>
      </c>
      <c r="AO323" s="424" t="s">
        <v>83</v>
      </c>
      <c r="AP323" s="424" t="s">
        <v>84</v>
      </c>
      <c r="AQ323" s="424" t="s">
        <v>546</v>
      </c>
      <c r="AR323" s="424" t="s">
        <v>81</v>
      </c>
      <c r="AS323" s="424" t="s">
        <v>80</v>
      </c>
      <c r="AT323" s="424" t="s">
        <v>82</v>
      </c>
      <c r="AU323" s="424" t="s">
        <v>181</v>
      </c>
      <c r="AV323" s="424" t="s">
        <v>183</v>
      </c>
      <c r="AW323" s="424" t="s">
        <v>547</v>
      </c>
      <c r="AX323" s="424" t="s">
        <v>182</v>
      </c>
      <c r="AY323" s="424" t="s">
        <v>172</v>
      </c>
      <c r="AZ323" s="424" t="s">
        <v>173</v>
      </c>
      <c r="BA323" s="424" t="s">
        <v>184</v>
      </c>
      <c r="BB323" s="201"/>
    </row>
    <row r="324" spans="2:54">
      <c r="B324" s="1256" t="s">
        <v>548</v>
      </c>
      <c r="C324" s="1257"/>
      <c r="D324" s="411" t="s">
        <v>2344</v>
      </c>
      <c r="E324" s="411"/>
      <c r="F324" s="411" t="s">
        <v>1848</v>
      </c>
      <c r="G324" s="411" t="s">
        <v>350</v>
      </c>
      <c r="H324" s="412">
        <v>7437.7939999999999</v>
      </c>
      <c r="I324" s="413" t="s">
        <v>240</v>
      </c>
      <c r="J324" s="414">
        <v>45155.375</v>
      </c>
      <c r="K324" s="414"/>
      <c r="L324" s="414" t="s">
        <v>192</v>
      </c>
      <c r="M324" s="414" t="s">
        <v>192</v>
      </c>
      <c r="N324" s="413" t="str">
        <f>IF(ISBLANK(J324)," ",IF(J324&lt;$F$318,"On time",(IF(DAY(J324-$F$318)&lt;1,"On time",(IF(J324&gt;$F$318,"DELAY ( "&amp;DAY(J324-$F$318)&amp;" day "&amp;HOUR(J324-$F$318)&amp;" hour "&amp;MINUTE(J324-$F$318)&amp;" minute )","xxx"))))))</f>
        <v>DELAY ( 6 day 14 hour 42 minute )</v>
      </c>
      <c r="O324" s="51"/>
      <c r="P324" s="415" t="s">
        <v>551</v>
      </c>
      <c r="Q324" s="415" t="s">
        <v>551</v>
      </c>
      <c r="R324" s="415" t="s">
        <v>551</v>
      </c>
      <c r="S324" s="32"/>
      <c r="T324" s="416"/>
      <c r="U324" s="416"/>
      <c r="V324" s="416"/>
      <c r="W324" s="416"/>
      <c r="X324" s="416"/>
      <c r="Y324" s="416"/>
      <c r="Z324" s="416"/>
      <c r="AA324" s="416"/>
      <c r="AB324" s="416"/>
      <c r="AC324" s="416">
        <f>H324</f>
        <v>7437.7939999999999</v>
      </c>
      <c r="AD324" s="416"/>
      <c r="AE324" s="416"/>
      <c r="AF324" s="416"/>
      <c r="AG324" s="416"/>
      <c r="AH324" s="416"/>
      <c r="AI324" s="416"/>
      <c r="AJ324" s="416"/>
      <c r="AK324" s="416"/>
      <c r="AL324" s="416"/>
      <c r="AM324" s="416"/>
      <c r="AN324" s="416"/>
      <c r="AO324" s="416"/>
      <c r="AP324" s="416"/>
      <c r="AQ324" s="416"/>
      <c r="AR324" s="416"/>
      <c r="AS324" s="416"/>
      <c r="AT324" s="416"/>
      <c r="AU324" s="416"/>
      <c r="AV324" s="416"/>
      <c r="AW324" s="416"/>
      <c r="AX324" s="416"/>
      <c r="AY324" s="416"/>
      <c r="AZ324" s="416"/>
      <c r="BA324" s="416"/>
      <c r="BB324" s="32"/>
    </row>
    <row r="325" spans="2:54">
      <c r="B325" s="1256" t="s">
        <v>548</v>
      </c>
      <c r="C325" s="1257"/>
      <c r="D325" s="411" t="s">
        <v>2345</v>
      </c>
      <c r="E325" s="411"/>
      <c r="F325" s="411" t="s">
        <v>355</v>
      </c>
      <c r="G325" s="411" t="s">
        <v>356</v>
      </c>
      <c r="H325" s="412">
        <v>7570.3850000000002</v>
      </c>
      <c r="I325" s="413" t="s">
        <v>240</v>
      </c>
      <c r="J325" s="414">
        <v>45155.430555555555</v>
      </c>
      <c r="K325" s="414"/>
      <c r="L325" s="414" t="s">
        <v>192</v>
      </c>
      <c r="M325" s="414" t="s">
        <v>192</v>
      </c>
      <c r="N325" s="413" t="str">
        <f t="shared" ref="N325:N336" si="26">IF(ISBLANK(J325)," ",IF(J325&lt;$F$318,"On time",(IF(DAY(J325-$F$318)&lt;1,"On time",(IF(J325&gt;$F$318,"DELAY ( "&amp;DAY(J325-$F$318)&amp;" day "&amp;HOUR(J325-$F$318)&amp;" hour "&amp;MINUTE(J325-$F$318)&amp;" minute )","xxx"))))))</f>
        <v>DELAY ( 6 day 16 hour 2 minute )</v>
      </c>
      <c r="O325" s="51"/>
      <c r="P325" s="415" t="s">
        <v>551</v>
      </c>
      <c r="Q325" s="415" t="s">
        <v>551</v>
      </c>
      <c r="R325" s="415" t="s">
        <v>551</v>
      </c>
      <c r="S325" s="32"/>
      <c r="T325" s="416"/>
      <c r="U325" s="416"/>
      <c r="V325" s="416"/>
      <c r="W325" s="416"/>
      <c r="X325" s="416"/>
      <c r="Y325" s="416"/>
      <c r="Z325" s="416"/>
      <c r="AA325" s="416"/>
      <c r="AB325" s="416"/>
      <c r="AC325" s="416">
        <f>H325</f>
        <v>7570.3850000000002</v>
      </c>
      <c r="AD325" s="416"/>
      <c r="AE325" s="416"/>
      <c r="AF325" s="416"/>
      <c r="AG325" s="416"/>
      <c r="AH325" s="416"/>
      <c r="AI325" s="416"/>
      <c r="AJ325" s="416"/>
      <c r="AK325" s="416"/>
      <c r="AL325" s="416"/>
      <c r="AM325" s="416"/>
      <c r="AN325" s="416"/>
      <c r="AO325" s="416"/>
      <c r="AP325" s="32"/>
      <c r="AQ325" s="416"/>
      <c r="AR325" s="416"/>
      <c r="AS325" s="416"/>
      <c r="AT325" s="416"/>
      <c r="AU325" s="416"/>
      <c r="AV325" s="416"/>
      <c r="AW325" s="416"/>
      <c r="AX325" s="416"/>
      <c r="AY325" s="416"/>
      <c r="AZ325" s="416"/>
      <c r="BA325" s="416"/>
      <c r="BB325" s="32"/>
    </row>
    <row r="326" spans="2:54">
      <c r="B326" s="1256" t="s">
        <v>548</v>
      </c>
      <c r="C326" s="1257"/>
      <c r="D326" s="411" t="s">
        <v>2346</v>
      </c>
      <c r="E326" s="411"/>
      <c r="F326" s="411" t="s">
        <v>277</v>
      </c>
      <c r="G326" s="411" t="s">
        <v>278</v>
      </c>
      <c r="H326" s="412">
        <v>7443.8370000000004</v>
      </c>
      <c r="I326" s="413" t="s">
        <v>240</v>
      </c>
      <c r="J326" s="414">
        <v>45155.444444444445</v>
      </c>
      <c r="K326" s="414"/>
      <c r="L326" s="414" t="s">
        <v>192</v>
      </c>
      <c r="M326" s="414" t="s">
        <v>192</v>
      </c>
      <c r="N326" s="413" t="str">
        <f t="shared" si="26"/>
        <v>DELAY ( 6 day 16 hour 22 minute )</v>
      </c>
      <c r="O326" s="51"/>
      <c r="P326" s="415" t="s">
        <v>551</v>
      </c>
      <c r="Q326" s="415" t="s">
        <v>551</v>
      </c>
      <c r="R326" s="415" t="s">
        <v>551</v>
      </c>
      <c r="S326" s="32"/>
      <c r="T326" s="416"/>
      <c r="U326" s="416"/>
      <c r="V326" s="416"/>
      <c r="W326" s="416"/>
      <c r="X326" s="416"/>
      <c r="Y326" s="32"/>
      <c r="Z326" s="416"/>
      <c r="AA326" s="416"/>
      <c r="AB326" s="416"/>
      <c r="AC326" s="416">
        <f t="shared" ref="AC326" si="27">H326</f>
        <v>7443.8370000000004</v>
      </c>
      <c r="AD326" s="416"/>
      <c r="AE326" s="416"/>
      <c r="AF326" s="416"/>
      <c r="AG326" s="416"/>
      <c r="AH326" s="416"/>
      <c r="AI326" s="416"/>
      <c r="AJ326" s="416"/>
      <c r="AK326" s="416"/>
      <c r="AL326" s="416"/>
      <c r="AM326" s="416"/>
      <c r="AN326" s="416"/>
      <c r="AO326" s="416"/>
      <c r="AP326" s="416"/>
      <c r="AQ326" s="416"/>
      <c r="AR326" s="416"/>
      <c r="AS326" s="416"/>
      <c r="AT326" s="416"/>
      <c r="AU326" s="416"/>
      <c r="AV326" s="416"/>
      <c r="AW326" s="416"/>
      <c r="AX326" s="416"/>
      <c r="AY326" s="416"/>
      <c r="AZ326" s="416"/>
      <c r="BA326" s="416"/>
      <c r="BB326" s="32"/>
    </row>
    <row r="327" spans="2:54">
      <c r="B327" s="1256" t="s">
        <v>548</v>
      </c>
      <c r="C327" s="1257"/>
      <c r="D327" s="411" t="s">
        <v>2347</v>
      </c>
      <c r="E327" s="411"/>
      <c r="F327" s="411" t="s">
        <v>2156</v>
      </c>
      <c r="G327" s="411" t="s">
        <v>1835</v>
      </c>
      <c r="H327" s="412">
        <v>7609.3850000000002</v>
      </c>
      <c r="I327" s="413" t="s">
        <v>240</v>
      </c>
      <c r="J327" s="414">
        <v>45155.75</v>
      </c>
      <c r="K327" s="414"/>
      <c r="L327" s="414" t="s">
        <v>192</v>
      </c>
      <c r="M327" s="414" t="s">
        <v>192</v>
      </c>
      <c r="N327" s="413" t="str">
        <f t="shared" si="26"/>
        <v>DELAY ( 6 day 23 hour 42 minute )</v>
      </c>
      <c r="O327" s="51"/>
      <c r="P327" s="415" t="s">
        <v>551</v>
      </c>
      <c r="Q327" s="415" t="s">
        <v>551</v>
      </c>
      <c r="R327" s="415" t="s">
        <v>551</v>
      </c>
      <c r="S327" s="32"/>
      <c r="T327" s="416"/>
      <c r="U327" s="416"/>
      <c r="V327" s="416"/>
      <c r="W327" s="416"/>
      <c r="X327" s="416"/>
      <c r="Y327" s="416"/>
      <c r="Z327" s="416"/>
      <c r="AA327" s="416"/>
      <c r="AB327" s="416"/>
      <c r="AC327" s="416">
        <f>H327</f>
        <v>7609.3850000000002</v>
      </c>
      <c r="AD327" s="416"/>
      <c r="AE327" s="416"/>
      <c r="AF327" s="416"/>
      <c r="AG327" s="416"/>
      <c r="AH327" s="416"/>
      <c r="AI327" s="416"/>
      <c r="AJ327" s="32"/>
      <c r="AK327" s="416"/>
      <c r="AL327" s="416"/>
      <c r="AM327" s="416"/>
      <c r="AN327" s="416"/>
      <c r="AO327" s="416"/>
      <c r="AP327" s="416"/>
      <c r="AQ327" s="416"/>
      <c r="AR327" s="416"/>
      <c r="AS327" s="416"/>
      <c r="AT327" s="416"/>
      <c r="AU327" s="416"/>
      <c r="AV327" s="416"/>
      <c r="AW327" s="416"/>
      <c r="AX327" s="416"/>
      <c r="AY327" s="286"/>
      <c r="AZ327" s="416"/>
      <c r="BA327" s="416"/>
      <c r="BB327" s="32"/>
    </row>
    <row r="328" spans="2:54">
      <c r="B328" s="1302" t="s">
        <v>1717</v>
      </c>
      <c r="C328" s="1302"/>
      <c r="D328" s="411" t="s">
        <v>2294</v>
      </c>
      <c r="E328" s="411"/>
      <c r="F328" s="411" t="s">
        <v>2295</v>
      </c>
      <c r="G328" s="411" t="s">
        <v>2296</v>
      </c>
      <c r="H328" s="412">
        <v>2118.3040000000001</v>
      </c>
      <c r="I328" s="413" t="s">
        <v>235</v>
      </c>
      <c r="J328" s="414">
        <v>45155.111111111109</v>
      </c>
      <c r="K328" s="414"/>
      <c r="L328" s="414" t="s">
        <v>192</v>
      </c>
      <c r="M328" s="414" t="s">
        <v>192</v>
      </c>
      <c r="N328" s="413" t="str">
        <f t="shared" si="26"/>
        <v>DELAY ( 6 day 8 hour 22 minute )</v>
      </c>
      <c r="O328" s="51"/>
      <c r="P328" s="415" t="s">
        <v>551</v>
      </c>
      <c r="Q328" s="415" t="s">
        <v>551</v>
      </c>
      <c r="R328" s="415" t="s">
        <v>551</v>
      </c>
      <c r="S328" s="32"/>
      <c r="T328" s="416"/>
      <c r="U328" s="416"/>
      <c r="V328" s="416"/>
      <c r="W328" s="416"/>
      <c r="X328" s="416"/>
      <c r="Y328" s="416"/>
      <c r="Z328" s="416"/>
      <c r="AA328" s="289"/>
      <c r="AB328" s="416">
        <f>H328</f>
        <v>2118.3040000000001</v>
      </c>
      <c r="AC328" s="32"/>
      <c r="AD328" s="416"/>
      <c r="AE328" s="416"/>
      <c r="AF328" s="416"/>
      <c r="AG328" s="416"/>
      <c r="AH328" s="416"/>
      <c r="AI328" s="416"/>
      <c r="AJ328" s="416"/>
      <c r="AK328" s="416"/>
      <c r="AL328" s="416"/>
      <c r="AM328" s="416"/>
      <c r="AN328" s="416"/>
      <c r="AO328" s="416"/>
      <c r="AP328" s="416"/>
      <c r="AQ328" s="416"/>
      <c r="AR328" s="416"/>
      <c r="AS328" s="416"/>
      <c r="AT328" s="289"/>
      <c r="AU328" s="416"/>
      <c r="AV328" s="416"/>
      <c r="AW328" s="416"/>
      <c r="AX328" s="416"/>
      <c r="AY328" s="416"/>
      <c r="AZ328" s="416"/>
      <c r="BA328" s="416"/>
      <c r="BB328" s="32"/>
    </row>
    <row r="329" spans="2:54">
      <c r="B329" s="1302"/>
      <c r="C329" s="1302"/>
      <c r="D329" s="411" t="s">
        <v>2348</v>
      </c>
      <c r="E329" s="411"/>
      <c r="F329" s="411" t="s">
        <v>352</v>
      </c>
      <c r="G329" s="411" t="s">
        <v>353</v>
      </c>
      <c r="H329" s="412">
        <v>9277.8989999999994</v>
      </c>
      <c r="I329" s="413" t="s">
        <v>240</v>
      </c>
      <c r="J329" s="414">
        <v>45156.520833333336</v>
      </c>
      <c r="K329" s="414"/>
      <c r="L329" s="414" t="s">
        <v>192</v>
      </c>
      <c r="M329" s="414" t="s">
        <v>192</v>
      </c>
      <c r="N329" s="413" t="str">
        <f t="shared" si="26"/>
        <v>DELAY ( 7 day 18 hour 12 minute )</v>
      </c>
      <c r="O329" s="51"/>
      <c r="P329" s="415" t="s">
        <v>551</v>
      </c>
      <c r="Q329" s="415" t="s">
        <v>551</v>
      </c>
      <c r="R329" s="415" t="s">
        <v>551</v>
      </c>
      <c r="S329" s="32"/>
      <c r="T329" s="416"/>
      <c r="U329" s="416"/>
      <c r="V329" s="416"/>
      <c r="W329" s="416"/>
      <c r="X329" s="416"/>
      <c r="Y329" s="416"/>
      <c r="Z329" s="416"/>
      <c r="AA329" s="416"/>
      <c r="AB329" s="416"/>
      <c r="AC329" s="416">
        <f>H329</f>
        <v>9277.8989999999994</v>
      </c>
      <c r="AD329" s="416"/>
      <c r="AE329" s="416"/>
      <c r="AF329" s="416"/>
      <c r="AG329" s="416"/>
      <c r="AH329" s="416"/>
      <c r="AI329" s="416"/>
      <c r="AJ329" s="32"/>
      <c r="AK329" s="416"/>
      <c r="AL329" s="416"/>
      <c r="AM329" s="416"/>
      <c r="AN329" s="416"/>
      <c r="AO329" s="416"/>
      <c r="AP329" s="416"/>
      <c r="AQ329" s="416"/>
      <c r="AR329" s="32"/>
      <c r="AS329" s="416"/>
      <c r="AT329" s="416"/>
      <c r="AU329" s="416"/>
      <c r="AV329" s="416"/>
      <c r="AW329" s="416"/>
      <c r="AX329" s="416"/>
      <c r="AY329" s="286"/>
      <c r="AZ329" s="416"/>
      <c r="BA329" s="416"/>
      <c r="BB329" s="32"/>
    </row>
    <row r="330" spans="2:54">
      <c r="B330" s="1302" t="s">
        <v>1698</v>
      </c>
      <c r="C330" s="1302"/>
      <c r="D330" s="411" t="s">
        <v>2349</v>
      </c>
      <c r="E330" s="411"/>
      <c r="F330" s="411" t="s">
        <v>695</v>
      </c>
      <c r="G330" s="411" t="s">
        <v>281</v>
      </c>
      <c r="H330" s="412">
        <v>7314.884</v>
      </c>
      <c r="I330" s="413" t="s">
        <v>240</v>
      </c>
      <c r="J330" s="414">
        <v>45156.569444444445</v>
      </c>
      <c r="K330" s="414"/>
      <c r="L330" s="414" t="s">
        <v>192</v>
      </c>
      <c r="M330" s="414" t="s">
        <v>192</v>
      </c>
      <c r="N330" s="413" t="str">
        <f t="shared" si="26"/>
        <v>DELAY ( 7 day 19 hour 22 minute )</v>
      </c>
      <c r="O330" s="51"/>
      <c r="P330" s="415" t="s">
        <v>551</v>
      </c>
      <c r="Q330" s="415" t="s">
        <v>551</v>
      </c>
      <c r="R330" s="415" t="s">
        <v>551</v>
      </c>
      <c r="S330" s="32"/>
      <c r="T330" s="416"/>
      <c r="U330" s="416"/>
      <c r="V330" s="416"/>
      <c r="W330" s="416"/>
      <c r="X330" s="416"/>
      <c r="Y330" s="416"/>
      <c r="Z330" s="416"/>
      <c r="AA330" s="416"/>
      <c r="AB330" s="416"/>
      <c r="AC330" s="416">
        <f>H330</f>
        <v>7314.884</v>
      </c>
      <c r="AD330" s="416"/>
      <c r="AE330" s="416"/>
      <c r="AF330" s="416"/>
      <c r="AG330" s="416"/>
      <c r="AH330" s="416"/>
      <c r="AI330" s="416"/>
      <c r="AJ330" s="416"/>
      <c r="AK330" s="416"/>
      <c r="AL330" s="416"/>
      <c r="AM330" s="416"/>
      <c r="AN330" s="416"/>
      <c r="AO330" s="416"/>
      <c r="AP330" s="416"/>
      <c r="AQ330" s="416"/>
      <c r="AR330" s="416"/>
      <c r="AS330" s="416"/>
      <c r="AT330" s="416"/>
      <c r="AU330" s="416"/>
      <c r="AV330" s="416"/>
      <c r="AW330" s="416"/>
      <c r="AX330" s="416"/>
      <c r="AY330" s="416"/>
      <c r="AZ330" s="416"/>
      <c r="BA330" s="416"/>
      <c r="BB330" s="32"/>
    </row>
    <row r="331" spans="2:54">
      <c r="B331" s="1302"/>
      <c r="C331" s="1302"/>
      <c r="D331" s="411" t="s">
        <v>2350</v>
      </c>
      <c r="E331" s="411"/>
      <c r="F331" s="411" t="s">
        <v>208</v>
      </c>
      <c r="G331" s="411" t="s">
        <v>328</v>
      </c>
      <c r="H331" s="412">
        <v>7560.4549999999999</v>
      </c>
      <c r="I331" s="413" t="s">
        <v>172</v>
      </c>
      <c r="J331" s="414">
        <v>45157.375</v>
      </c>
      <c r="K331" s="414"/>
      <c r="L331" s="414" t="s">
        <v>192</v>
      </c>
      <c r="M331" s="414" t="s">
        <v>192</v>
      </c>
      <c r="N331" s="413" t="str">
        <f t="shared" si="26"/>
        <v>DELAY ( 8 day 14 hour 42 minute )</v>
      </c>
      <c r="O331" s="51"/>
      <c r="P331" s="415" t="s">
        <v>551</v>
      </c>
      <c r="Q331" s="415" t="s">
        <v>551</v>
      </c>
      <c r="R331" s="415" t="s">
        <v>551</v>
      </c>
      <c r="S331" s="32"/>
      <c r="T331" s="416"/>
      <c r="U331" s="416"/>
      <c r="V331" s="416"/>
      <c r="W331" s="416"/>
      <c r="X331" s="416"/>
      <c r="Y331" s="416"/>
      <c r="Z331" s="416"/>
      <c r="AA331" s="416"/>
      <c r="AB331" s="416"/>
      <c r="AC331" s="416"/>
      <c r="AD331" s="416"/>
      <c r="AE331" s="416"/>
      <c r="AF331" s="416"/>
      <c r="AG331" s="416"/>
      <c r="AH331" s="416"/>
      <c r="AI331" s="416"/>
      <c r="AJ331" s="416"/>
      <c r="AK331" s="416"/>
      <c r="AL331" s="416"/>
      <c r="AM331" s="416"/>
      <c r="AN331" s="416"/>
      <c r="AO331" s="416"/>
      <c r="AP331" s="416"/>
      <c r="AQ331" s="416"/>
      <c r="AR331" s="416"/>
      <c r="AS331" s="416"/>
      <c r="AT331" s="416"/>
      <c r="AU331" s="416"/>
      <c r="AV331" s="416"/>
      <c r="AW331" s="416"/>
      <c r="AX331" s="416"/>
      <c r="AY331" s="416">
        <f>H331</f>
        <v>7560.4549999999999</v>
      </c>
      <c r="AZ331" s="416"/>
      <c r="BA331" s="416"/>
      <c r="BB331" s="32"/>
    </row>
    <row r="332" spans="2:54">
      <c r="B332" s="1250" t="s">
        <v>1126</v>
      </c>
      <c r="C332" s="1251"/>
      <c r="D332" s="411" t="s">
        <v>2351</v>
      </c>
      <c r="E332" s="411"/>
      <c r="F332" s="411" t="s">
        <v>1767</v>
      </c>
      <c r="G332" s="411" t="s">
        <v>2352</v>
      </c>
      <c r="H332" s="412">
        <v>7553.1670000000004</v>
      </c>
      <c r="I332" s="413" t="s">
        <v>240</v>
      </c>
      <c r="J332" s="414">
        <v>45156.597222222219</v>
      </c>
      <c r="K332" s="414"/>
      <c r="L332" s="414" t="s">
        <v>192</v>
      </c>
      <c r="M332" s="414" t="s">
        <v>192</v>
      </c>
      <c r="N332" s="413" t="str">
        <f t="shared" si="26"/>
        <v>DELAY ( 7 day 20 hour 2 minute )</v>
      </c>
      <c r="O332" s="51"/>
      <c r="P332" s="415" t="s">
        <v>551</v>
      </c>
      <c r="Q332" s="415" t="s">
        <v>551</v>
      </c>
      <c r="R332" s="415" t="s">
        <v>551</v>
      </c>
      <c r="S332" s="32"/>
      <c r="T332" s="416"/>
      <c r="U332" s="416"/>
      <c r="V332" s="416"/>
      <c r="W332" s="416"/>
      <c r="X332" s="416"/>
      <c r="Y332" s="416"/>
      <c r="Z332" s="416"/>
      <c r="AA332" s="416"/>
      <c r="AB332" s="416"/>
      <c r="AC332" s="416">
        <f>H332</f>
        <v>7553.1670000000004</v>
      </c>
      <c r="AD332" s="416"/>
      <c r="AE332" s="416"/>
      <c r="AF332" s="416"/>
      <c r="AG332" s="416"/>
      <c r="AH332" s="416"/>
      <c r="AI332" s="416"/>
      <c r="AJ332" s="416"/>
      <c r="AK332" s="416"/>
      <c r="AL332" s="416"/>
      <c r="AM332" s="416"/>
      <c r="AN332" s="416"/>
      <c r="AO332" s="416"/>
      <c r="AP332" s="416"/>
      <c r="AQ332" s="416"/>
      <c r="AR332" s="416"/>
      <c r="AS332" s="416"/>
      <c r="AT332" s="416"/>
      <c r="AU332" s="416"/>
      <c r="AV332" s="416"/>
      <c r="AW332" s="416"/>
      <c r="AX332" s="416"/>
      <c r="AY332" s="416"/>
      <c r="AZ332" s="416"/>
      <c r="BA332" s="416"/>
      <c r="BB332" s="32"/>
    </row>
    <row r="333" spans="2:54">
      <c r="B333" s="1254"/>
      <c r="C333" s="1255"/>
      <c r="D333" s="411" t="s">
        <v>2342</v>
      </c>
      <c r="E333" s="411"/>
      <c r="F333" s="411" t="s">
        <v>301</v>
      </c>
      <c r="G333" s="411" t="s">
        <v>302</v>
      </c>
      <c r="H333" s="412">
        <f>3900.817</f>
        <v>3900.817</v>
      </c>
      <c r="I333" s="413" t="s">
        <v>235</v>
      </c>
      <c r="J333" s="414">
        <v>45157.527777777781</v>
      </c>
      <c r="K333" s="414"/>
      <c r="L333" s="414" t="s">
        <v>192</v>
      </c>
      <c r="M333" s="414" t="s">
        <v>192</v>
      </c>
      <c r="N333" s="413" t="str">
        <f t="shared" si="26"/>
        <v>DELAY ( 8 day 18 hour 22 minute )</v>
      </c>
      <c r="O333" s="51"/>
      <c r="P333" s="415" t="s">
        <v>551</v>
      </c>
      <c r="Q333" s="415" t="s">
        <v>551</v>
      </c>
      <c r="R333" s="415" t="s">
        <v>551</v>
      </c>
      <c r="S333" s="32"/>
      <c r="T333" s="416"/>
      <c r="U333" s="416"/>
      <c r="V333" s="416"/>
      <c r="W333" s="416"/>
      <c r="X333" s="416"/>
      <c r="Y333" s="416"/>
      <c r="Z333" s="416"/>
      <c r="AA333" s="416"/>
      <c r="AB333" s="416">
        <f>H333</f>
        <v>3900.817</v>
      </c>
      <c r="AC333" s="416"/>
      <c r="AD333" s="416"/>
      <c r="AE333" s="416"/>
      <c r="AF333" s="416"/>
      <c r="AG333" s="416"/>
      <c r="AH333" s="416"/>
      <c r="AI333" s="416"/>
      <c r="AJ333" s="416"/>
      <c r="AK333" s="416"/>
      <c r="AL333" s="416"/>
      <c r="AM333" s="416"/>
      <c r="AN333" s="416"/>
      <c r="AO333" s="416"/>
      <c r="AP333" s="416"/>
      <c r="AQ333" s="416"/>
      <c r="AR333" s="416"/>
      <c r="AS333" s="416"/>
      <c r="AT333" s="289"/>
      <c r="AU333" s="416"/>
      <c r="AV333" s="416"/>
      <c r="AW333" s="416"/>
      <c r="AX333" s="416"/>
      <c r="AY333" s="416"/>
      <c r="AZ333" s="416"/>
      <c r="BA333" s="416"/>
      <c r="BB333" s="32"/>
    </row>
    <row r="334" spans="2:54">
      <c r="B334" s="1256" t="s">
        <v>548</v>
      </c>
      <c r="C334" s="1257"/>
      <c r="D334" s="411" t="s">
        <v>2353</v>
      </c>
      <c r="E334" s="411"/>
      <c r="F334" s="411" t="s">
        <v>390</v>
      </c>
      <c r="G334" s="411" t="s">
        <v>391</v>
      </c>
      <c r="H334" s="412">
        <f>7416.346-3503.273</f>
        <v>3913.0729999999994</v>
      </c>
      <c r="I334" s="413" t="s">
        <v>235</v>
      </c>
      <c r="J334" s="414">
        <v>45156.458333333336</v>
      </c>
      <c r="K334" s="414"/>
      <c r="L334" s="414" t="s">
        <v>192</v>
      </c>
      <c r="M334" s="414" t="s">
        <v>192</v>
      </c>
      <c r="N334" s="413" t="str">
        <f t="shared" si="26"/>
        <v>DELAY ( 7 day 16 hour 42 minute )</v>
      </c>
      <c r="O334" s="51"/>
      <c r="P334" s="415" t="s">
        <v>551</v>
      </c>
      <c r="Q334" s="415" t="s">
        <v>551</v>
      </c>
      <c r="R334" s="415" t="s">
        <v>551</v>
      </c>
      <c r="S334" s="32"/>
      <c r="T334" s="416"/>
      <c r="U334" s="416"/>
      <c r="V334" s="416"/>
      <c r="W334" s="416"/>
      <c r="X334" s="416"/>
      <c r="Y334" s="416"/>
      <c r="Z334" s="416"/>
      <c r="AA334" s="289"/>
      <c r="AB334" s="416">
        <f>H334</f>
        <v>3913.0729999999994</v>
      </c>
      <c r="AC334" s="416"/>
      <c r="AD334" s="416"/>
      <c r="AE334" s="416"/>
      <c r="AF334" s="416"/>
      <c r="AG334" s="416"/>
      <c r="AH334" s="416"/>
      <c r="AI334" s="416"/>
      <c r="AJ334" s="416"/>
      <c r="AK334" s="416"/>
      <c r="AL334" s="416"/>
      <c r="AM334" s="416"/>
      <c r="AN334" s="416"/>
      <c r="AO334" s="416"/>
      <c r="AP334" s="416"/>
      <c r="AQ334" s="416"/>
      <c r="AR334" s="416"/>
      <c r="AS334" s="416"/>
      <c r="AT334" s="289"/>
      <c r="AU334" s="416"/>
      <c r="AV334" s="416"/>
      <c r="AW334" s="416"/>
      <c r="AX334" s="416"/>
      <c r="AY334" s="416"/>
      <c r="AZ334" s="416"/>
      <c r="BA334" s="416"/>
      <c r="BB334" s="32"/>
    </row>
    <row r="335" spans="2:54">
      <c r="B335" s="1258" t="s">
        <v>556</v>
      </c>
      <c r="C335" s="1259"/>
      <c r="D335" s="1259"/>
      <c r="E335" s="1259"/>
      <c r="F335" s="1259"/>
      <c r="G335" s="1260"/>
      <c r="H335" s="417">
        <f>SUM(H324:H334)</f>
        <v>71700</v>
      </c>
      <c r="I335" s="388"/>
      <c r="J335" s="293"/>
      <c r="K335" s="293"/>
      <c r="L335" s="293"/>
      <c r="M335" s="389"/>
      <c r="N335" s="413" t="str">
        <f t="shared" si="26"/>
        <v xml:space="preserve"> </v>
      </c>
      <c r="O335" s="212"/>
      <c r="P335" s="418"/>
      <c r="Q335" s="418"/>
      <c r="R335" s="418"/>
      <c r="S335" s="207"/>
      <c r="T335" s="1300"/>
      <c r="U335" s="1301"/>
      <c r="V335" s="1301"/>
      <c r="W335" s="1301"/>
      <c r="X335" s="1301"/>
      <c r="Y335" s="1301"/>
      <c r="Z335" s="1301"/>
      <c r="AA335" s="1301"/>
      <c r="AB335" s="1301"/>
      <c r="AC335" s="1301"/>
      <c r="AD335" s="1301"/>
      <c r="AE335" s="1301"/>
      <c r="AF335" s="1301"/>
      <c r="AG335" s="1301"/>
      <c r="AH335" s="1301"/>
      <c r="AI335" s="1301"/>
      <c r="AJ335" s="1301"/>
      <c r="AK335" s="1301"/>
      <c r="AL335" s="1301"/>
      <c r="AM335" s="1301"/>
      <c r="AN335" s="1301"/>
      <c r="AO335" s="1301"/>
      <c r="AP335" s="1301"/>
      <c r="AQ335" s="1301"/>
      <c r="AR335" s="1301"/>
      <c r="AS335" s="1301"/>
      <c r="AT335" s="1301"/>
      <c r="AU335" s="1301"/>
      <c r="AV335" s="1301"/>
      <c r="AW335" s="1301"/>
      <c r="AX335" s="1301"/>
      <c r="AY335" s="1301"/>
      <c r="AZ335" s="1301"/>
      <c r="BA335" s="1301"/>
    </row>
    <row r="336" spans="2:54">
      <c r="B336" s="1243" t="s">
        <v>557</v>
      </c>
      <c r="C336" s="1244"/>
      <c r="D336" s="1244"/>
      <c r="E336" s="1244"/>
      <c r="F336" s="1244"/>
      <c r="G336" s="1245"/>
      <c r="H336" s="419">
        <v>71700</v>
      </c>
      <c r="I336" s="1273"/>
      <c r="J336" s="1274"/>
      <c r="K336" s="1274"/>
      <c r="L336" s="1274"/>
      <c r="M336" s="1275"/>
      <c r="N336" s="413" t="str">
        <f t="shared" si="26"/>
        <v xml:space="preserve"> </v>
      </c>
      <c r="O336" s="32"/>
      <c r="P336" s="415"/>
      <c r="Q336" s="415"/>
      <c r="R336" s="415"/>
      <c r="S336" s="63"/>
      <c r="T336" s="416">
        <f>SUM(T324:T334)</f>
        <v>0</v>
      </c>
      <c r="U336" s="416">
        <f t="shared" ref="U336:BA336" si="28">SUM(U324:U334)</f>
        <v>0</v>
      </c>
      <c r="V336" s="416">
        <f t="shared" si="28"/>
        <v>0</v>
      </c>
      <c r="W336" s="416">
        <f t="shared" si="28"/>
        <v>0</v>
      </c>
      <c r="X336" s="416">
        <f t="shared" si="28"/>
        <v>0</v>
      </c>
      <c r="Y336" s="416">
        <f t="shared" si="28"/>
        <v>0</v>
      </c>
      <c r="Z336" s="416">
        <f t="shared" si="28"/>
        <v>0</v>
      </c>
      <c r="AA336" s="416">
        <f t="shared" si="28"/>
        <v>0</v>
      </c>
      <c r="AB336" s="416">
        <f t="shared" si="28"/>
        <v>9932.1939999999995</v>
      </c>
      <c r="AC336" s="416">
        <f t="shared" si="28"/>
        <v>54207.350999999995</v>
      </c>
      <c r="AD336" s="416">
        <f t="shared" si="28"/>
        <v>0</v>
      </c>
      <c r="AE336" s="416">
        <f t="shared" si="28"/>
        <v>0</v>
      </c>
      <c r="AF336" s="416">
        <f t="shared" si="28"/>
        <v>0</v>
      </c>
      <c r="AG336" s="416">
        <f t="shared" si="28"/>
        <v>0</v>
      </c>
      <c r="AH336" s="416">
        <f t="shared" si="28"/>
        <v>0</v>
      </c>
      <c r="AI336" s="416">
        <f t="shared" si="28"/>
        <v>0</v>
      </c>
      <c r="AJ336" s="416">
        <f t="shared" si="28"/>
        <v>0</v>
      </c>
      <c r="AK336" s="416">
        <f t="shared" si="28"/>
        <v>0</v>
      </c>
      <c r="AL336" s="416">
        <f t="shared" si="28"/>
        <v>0</v>
      </c>
      <c r="AM336" s="416">
        <f t="shared" si="28"/>
        <v>0</v>
      </c>
      <c r="AN336" s="416">
        <f t="shared" si="28"/>
        <v>0</v>
      </c>
      <c r="AO336" s="416">
        <f t="shared" si="28"/>
        <v>0</v>
      </c>
      <c r="AP336" s="416">
        <f t="shared" si="28"/>
        <v>0</v>
      </c>
      <c r="AQ336" s="416">
        <f t="shared" si="28"/>
        <v>0</v>
      </c>
      <c r="AR336" s="416">
        <f t="shared" si="28"/>
        <v>0</v>
      </c>
      <c r="AS336" s="416">
        <f t="shared" si="28"/>
        <v>0</v>
      </c>
      <c r="AT336" s="416">
        <f t="shared" si="28"/>
        <v>0</v>
      </c>
      <c r="AU336" s="416">
        <f t="shared" si="28"/>
        <v>0</v>
      </c>
      <c r="AV336" s="416">
        <f t="shared" si="28"/>
        <v>0</v>
      </c>
      <c r="AW336" s="416">
        <f t="shared" si="28"/>
        <v>0</v>
      </c>
      <c r="AX336" s="416">
        <f t="shared" si="28"/>
        <v>0</v>
      </c>
      <c r="AY336" s="416">
        <f t="shared" si="28"/>
        <v>7560.4549999999999</v>
      </c>
      <c r="AZ336" s="416">
        <f t="shared" si="28"/>
        <v>0</v>
      </c>
      <c r="BA336" s="416">
        <f t="shared" si="28"/>
        <v>0</v>
      </c>
      <c r="BB336" s="416">
        <f>SUM(T336:BA336)</f>
        <v>71700</v>
      </c>
    </row>
    <row r="337" spans="2:54">
      <c r="B337" s="1243" t="s">
        <v>558</v>
      </c>
      <c r="C337" s="1244"/>
      <c r="D337" s="1244"/>
      <c r="E337" s="1244"/>
      <c r="F337" s="1244"/>
      <c r="G337" s="1245"/>
      <c r="H337" s="420">
        <f>H336-L318</f>
        <v>0</v>
      </c>
      <c r="I337" s="294"/>
      <c r="J337" s="295"/>
      <c r="K337" s="295"/>
      <c r="L337" s="296"/>
      <c r="M337" s="32"/>
      <c r="N337" s="32"/>
      <c r="O337" s="32"/>
      <c r="P337" s="32"/>
      <c r="Q337" s="297"/>
      <c r="R337" s="297"/>
      <c r="S337" s="32"/>
      <c r="T337" s="48"/>
      <c r="U337" s="48"/>
      <c r="V337" s="48"/>
      <c r="W337" s="48"/>
      <c r="X337" s="48"/>
      <c r="Y337" s="48"/>
      <c r="Z337" s="48"/>
      <c r="AA337" s="48"/>
      <c r="AB337" s="48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</row>
    <row r="338" spans="2:54">
      <c r="B338" s="1243" t="s">
        <v>559</v>
      </c>
      <c r="C338" s="1244"/>
      <c r="D338" s="1244"/>
      <c r="E338" s="1244"/>
      <c r="F338" s="1244"/>
      <c r="G338" s="1245"/>
      <c r="H338" s="446">
        <v>2531.9630000000002</v>
      </c>
      <c r="I338" s="52"/>
      <c r="J338" s="53"/>
      <c r="K338" s="53"/>
      <c r="L338" s="54"/>
      <c r="M338" s="32"/>
      <c r="N338" s="201"/>
      <c r="O338" s="32"/>
      <c r="P338" s="32"/>
      <c r="Q338" s="32"/>
      <c r="R338" s="32"/>
      <c r="S338" s="32"/>
      <c r="T338" s="48"/>
      <c r="U338" s="48"/>
      <c r="V338" s="48"/>
      <c r="W338" s="48"/>
      <c r="X338" s="48"/>
      <c r="Y338" s="48"/>
      <c r="Z338" s="48"/>
      <c r="AA338" s="48"/>
      <c r="AB338" s="48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</row>
    <row r="339" spans="2:54">
      <c r="B339" s="1243" t="s">
        <v>560</v>
      </c>
      <c r="C339" s="1244"/>
      <c r="D339" s="1244"/>
      <c r="E339" s="1244"/>
      <c r="F339" s="1244"/>
      <c r="G339" s="1245"/>
      <c r="H339" s="421">
        <f>H338-3503.273</f>
        <v>-971.31</v>
      </c>
      <c r="I339" s="52"/>
      <c r="J339" s="53"/>
      <c r="K339" s="53"/>
      <c r="L339" s="54"/>
      <c r="M339" s="32"/>
      <c r="N339" s="32"/>
      <c r="O339" s="32"/>
      <c r="P339" s="32"/>
      <c r="Q339" s="32"/>
      <c r="R339" s="32"/>
      <c r="S339" s="48"/>
      <c r="T339" s="48"/>
      <c r="U339" s="48"/>
      <c r="V339" s="48"/>
      <c r="W339" s="48"/>
      <c r="X339" s="48"/>
      <c r="Y339" s="48"/>
      <c r="Z339" s="48"/>
      <c r="AA339" s="48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</row>
    <row r="340" spans="2:54">
      <c r="B340" s="201"/>
      <c r="C340" s="201"/>
      <c r="D340" s="201"/>
      <c r="E340" s="201"/>
      <c r="F340" s="201"/>
      <c r="G340" s="201"/>
      <c r="H340" s="201"/>
      <c r="I340" s="213"/>
      <c r="J340" s="209"/>
      <c r="K340" s="209"/>
      <c r="L340" s="203"/>
      <c r="M340" s="201"/>
      <c r="N340" s="201"/>
      <c r="O340" s="209"/>
      <c r="P340" s="32"/>
      <c r="Q340" s="32"/>
      <c r="R340" s="32"/>
      <c r="S340" s="32"/>
      <c r="T340" s="48"/>
      <c r="U340" s="48"/>
      <c r="V340" s="48"/>
      <c r="W340" s="48"/>
      <c r="X340" s="48"/>
      <c r="Y340" s="48"/>
      <c r="Z340" s="48"/>
      <c r="AA340" s="48"/>
      <c r="AB340" s="48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</row>
    <row r="341" spans="2:54">
      <c r="B341" s="40" t="s">
        <v>561</v>
      </c>
      <c r="C341" s="40"/>
      <c r="D341" s="32"/>
      <c r="E341" s="32"/>
      <c r="F341" s="32"/>
      <c r="G341" s="32"/>
      <c r="H341" s="32"/>
      <c r="I341" s="32"/>
      <c r="J341" s="52"/>
      <c r="K341" s="52"/>
      <c r="L341" s="55"/>
      <c r="M341" s="32"/>
      <c r="N341" s="201"/>
      <c r="O341" s="5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  <c r="AA341" s="202"/>
      <c r="AB341" s="201"/>
      <c r="AC341" s="201"/>
      <c r="AD341" s="201"/>
      <c r="AE341" s="201"/>
      <c r="AF341" s="201"/>
      <c r="AG341" s="201"/>
      <c r="AH341" s="201"/>
      <c r="AI341" s="201"/>
      <c r="AJ341" s="201"/>
      <c r="AK341" s="201"/>
      <c r="AL341" s="201"/>
      <c r="AM341" s="201"/>
      <c r="AN341" s="201"/>
      <c r="AO341" s="201"/>
      <c r="AP341" s="201"/>
      <c r="AQ341" s="201"/>
      <c r="AR341" s="201"/>
      <c r="AS341" s="201"/>
      <c r="AT341" s="201"/>
      <c r="AU341" s="201"/>
      <c r="BB341" s="201"/>
    </row>
    <row r="342" spans="2:54">
      <c r="B342" s="422">
        <v>1</v>
      </c>
      <c r="C342" s="1249" t="s">
        <v>2354</v>
      </c>
      <c r="D342" s="1249"/>
      <c r="E342" s="1249"/>
      <c r="F342" s="1249"/>
      <c r="G342" s="1249"/>
      <c r="H342" s="1249"/>
      <c r="I342" s="1249"/>
      <c r="J342" s="1249"/>
      <c r="K342" s="1249"/>
      <c r="L342" s="203"/>
      <c r="M342" s="203"/>
      <c r="N342" s="201"/>
      <c r="O342" s="209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  <c r="AA342" s="202"/>
      <c r="AB342" s="201"/>
      <c r="AC342" s="201"/>
      <c r="AD342" s="201"/>
      <c r="AE342" s="201"/>
      <c r="AF342" s="201"/>
      <c r="AG342" s="201"/>
      <c r="AH342" s="201"/>
      <c r="AI342" s="201"/>
      <c r="AJ342" s="201"/>
      <c r="AK342" s="201"/>
      <c r="AL342" s="201"/>
      <c r="AM342" s="201"/>
      <c r="AN342" s="201"/>
      <c r="AO342" s="201"/>
      <c r="AP342" s="201"/>
      <c r="AQ342" s="201"/>
      <c r="AR342" s="201"/>
      <c r="AS342" s="201"/>
      <c r="AT342" s="201"/>
      <c r="AU342" s="201"/>
      <c r="AV342" s="201"/>
      <c r="AW342" s="201"/>
      <c r="AX342" s="201"/>
      <c r="AY342" s="201"/>
      <c r="AZ342" s="201"/>
      <c r="BA342" s="201"/>
      <c r="BB342" s="201"/>
    </row>
    <row r="344" spans="2:54">
      <c r="B344" s="28" t="s">
        <v>126</v>
      </c>
      <c r="C344" s="28"/>
      <c r="D344" s="29"/>
      <c r="E344" s="30" t="s">
        <v>511</v>
      </c>
      <c r="F344" s="31" t="s">
        <v>2355</v>
      </c>
      <c r="G344" s="32"/>
      <c r="H344" s="33"/>
      <c r="I344" s="34"/>
      <c r="J344" s="35" t="s">
        <v>513</v>
      </c>
      <c r="K344" s="36" t="s">
        <v>511</v>
      </c>
      <c r="L344" s="37">
        <v>45153.833333333336</v>
      </c>
      <c r="M344" s="32"/>
      <c r="N344" s="32"/>
      <c r="O344" s="206"/>
      <c r="P344" s="205"/>
      <c r="Q344" s="202"/>
      <c r="R344" s="204"/>
      <c r="S344" s="38"/>
      <c r="T344" s="201"/>
      <c r="U344" s="201"/>
      <c r="V344" s="201"/>
      <c r="W344" s="201"/>
      <c r="X344" s="201"/>
      <c r="Y344" s="201"/>
      <c r="Z344" s="201"/>
      <c r="AA344" s="201"/>
      <c r="AB344" s="202"/>
      <c r="AC344" s="202"/>
      <c r="AD344" s="202"/>
      <c r="AE344" s="202"/>
      <c r="AF344" s="202"/>
      <c r="AG344" s="201"/>
      <c r="AH344" s="201"/>
      <c r="AI344" s="201"/>
      <c r="AJ344" s="201"/>
      <c r="AK344" s="201"/>
      <c r="AL344" s="201"/>
      <c r="AM344" s="201"/>
      <c r="AN344" s="201"/>
      <c r="AO344" s="201"/>
      <c r="AP344" s="201"/>
      <c r="AQ344" s="201"/>
      <c r="AR344" s="201"/>
      <c r="AS344" s="201"/>
      <c r="AT344" s="201"/>
      <c r="AU344" s="201"/>
      <c r="AV344" s="201"/>
      <c r="AW344" s="201"/>
      <c r="AX344" s="201"/>
      <c r="AY344" s="201"/>
      <c r="AZ344" s="201"/>
      <c r="BA344" s="201"/>
      <c r="BB344" s="201"/>
    </row>
    <row r="345" spans="2:54">
      <c r="B345" s="35" t="s">
        <v>514</v>
      </c>
      <c r="C345" s="35"/>
      <c r="D345" s="32"/>
      <c r="E345" s="36" t="s">
        <v>511</v>
      </c>
      <c r="F345" s="311" t="s">
        <v>2356</v>
      </c>
      <c r="G345" s="32"/>
      <c r="H345" s="33"/>
      <c r="I345" s="34"/>
      <c r="J345" s="35" t="s">
        <v>516</v>
      </c>
      <c r="K345" s="36" t="s">
        <v>511</v>
      </c>
      <c r="L345" s="37">
        <v>45159.458333333336</v>
      </c>
      <c r="M345" s="32"/>
      <c r="N345" s="32"/>
      <c r="O345" s="206"/>
      <c r="P345" s="205"/>
      <c r="Q345" s="202"/>
      <c r="R345" s="204"/>
      <c r="S345" s="38"/>
      <c r="T345" s="201"/>
      <c r="U345" s="201"/>
      <c r="V345" s="201"/>
      <c r="W345" s="201"/>
      <c r="X345" s="201"/>
      <c r="Y345" s="201"/>
      <c r="Z345" s="201"/>
      <c r="AA345" s="201"/>
      <c r="AB345" s="202"/>
      <c r="AC345" s="202"/>
      <c r="AD345" s="202"/>
      <c r="AE345" s="202"/>
      <c r="AF345" s="202"/>
      <c r="AG345" s="201"/>
      <c r="AH345" s="201"/>
      <c r="AI345" s="201"/>
      <c r="AJ345" s="201"/>
      <c r="AK345" s="201"/>
      <c r="AL345" s="201"/>
      <c r="AM345" s="201"/>
      <c r="AN345" s="201"/>
      <c r="AO345" s="201"/>
      <c r="AP345" s="201"/>
      <c r="AQ345" s="201"/>
      <c r="AR345" s="201"/>
      <c r="AS345" s="201"/>
      <c r="AT345" s="201"/>
      <c r="AU345" s="201"/>
      <c r="AV345" s="201"/>
      <c r="AW345" s="201"/>
      <c r="AX345" s="201"/>
      <c r="AY345" s="201"/>
      <c r="AZ345" s="201"/>
      <c r="BA345" s="201"/>
      <c r="BB345" s="201"/>
    </row>
    <row r="346" spans="2:54">
      <c r="B346" s="35" t="s">
        <v>517</v>
      </c>
      <c r="C346" s="35"/>
      <c r="D346" s="32"/>
      <c r="E346" s="36" t="s">
        <v>511</v>
      </c>
      <c r="F346" s="37">
        <v>45152.850694444445</v>
      </c>
      <c r="G346" s="32"/>
      <c r="H346" s="33"/>
      <c r="I346" s="34"/>
      <c r="J346" s="35" t="s">
        <v>521</v>
      </c>
      <c r="K346" s="36" t="s">
        <v>511</v>
      </c>
      <c r="L346" s="41" t="s">
        <v>2357</v>
      </c>
      <c r="M346" s="32"/>
      <c r="N346" s="40"/>
      <c r="O346" s="206"/>
      <c r="P346" s="205"/>
      <c r="Q346" s="202"/>
      <c r="R346" s="204"/>
      <c r="S346" s="38"/>
      <c r="T346" s="201"/>
      <c r="U346" s="201"/>
      <c r="V346" s="201"/>
      <c r="W346" s="201"/>
      <c r="X346" s="201"/>
      <c r="Y346" s="201"/>
      <c r="Z346" s="201"/>
      <c r="AA346" s="201"/>
      <c r="AB346" s="202"/>
      <c r="AC346" s="202"/>
      <c r="AD346" s="202"/>
      <c r="AE346" s="202"/>
      <c r="AF346" s="202"/>
      <c r="AG346" s="201"/>
      <c r="AH346" s="201"/>
      <c r="AI346" s="201"/>
      <c r="AJ346" s="201"/>
      <c r="AK346" s="201"/>
      <c r="AL346" s="201"/>
      <c r="AM346" s="201"/>
      <c r="AN346" s="201"/>
      <c r="AO346" s="201"/>
      <c r="AP346" s="201"/>
      <c r="AQ346" s="201"/>
      <c r="AR346" s="201"/>
      <c r="AS346" s="201"/>
      <c r="AT346" s="201"/>
      <c r="AU346" s="201"/>
      <c r="AV346" s="201"/>
      <c r="AW346" s="201"/>
      <c r="AX346" s="201"/>
      <c r="AY346" s="201"/>
      <c r="AZ346" s="201"/>
      <c r="BA346" s="201"/>
      <c r="BB346" s="201"/>
    </row>
    <row r="347" spans="2:54">
      <c r="B347" s="35" t="s">
        <v>520</v>
      </c>
      <c r="C347" s="35"/>
      <c r="D347" s="32"/>
      <c r="E347" s="36" t="s">
        <v>511</v>
      </c>
      <c r="F347" s="37" t="s">
        <v>16</v>
      </c>
      <c r="G347" s="32"/>
      <c r="H347" s="33"/>
      <c r="I347" s="34"/>
      <c r="J347" s="42" t="s">
        <v>524</v>
      </c>
      <c r="K347" s="36" t="s">
        <v>511</v>
      </c>
      <c r="L347" s="43" t="s">
        <v>23</v>
      </c>
      <c r="M347" s="44"/>
      <c r="N347" s="32"/>
      <c r="O347" s="206"/>
      <c r="P347" s="202"/>
      <c r="Q347" s="202"/>
      <c r="R347" s="204"/>
      <c r="S347" s="38"/>
      <c r="T347" s="201"/>
      <c r="U347" s="201"/>
      <c r="V347" s="201"/>
      <c r="W347" s="201"/>
      <c r="X347" s="201"/>
      <c r="Y347" s="201"/>
      <c r="Z347" s="201"/>
      <c r="AA347" s="201"/>
      <c r="AB347" s="202"/>
      <c r="AC347" s="202"/>
      <c r="AD347" s="202"/>
      <c r="AE347" s="202"/>
      <c r="AF347" s="202"/>
      <c r="AG347" s="201"/>
      <c r="AH347" s="201"/>
      <c r="AI347" s="201"/>
      <c r="AJ347" s="201"/>
      <c r="AK347" s="201"/>
      <c r="AL347" s="20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201"/>
    </row>
    <row r="348" spans="2:54">
      <c r="B348" s="35" t="s">
        <v>523</v>
      </c>
      <c r="C348" s="35"/>
      <c r="D348" s="32"/>
      <c r="E348" s="36" t="s">
        <v>511</v>
      </c>
      <c r="F348" s="37" t="s">
        <v>45</v>
      </c>
      <c r="G348" s="32"/>
      <c r="H348" s="33"/>
      <c r="I348" s="34"/>
      <c r="J348" s="42"/>
      <c r="K348" s="36"/>
      <c r="L348" s="43"/>
      <c r="M348" s="44"/>
      <c r="N348" s="44"/>
      <c r="O348" s="206"/>
      <c r="P348" s="205"/>
      <c r="Q348" s="202"/>
      <c r="R348" s="204"/>
      <c r="S348" s="38"/>
      <c r="T348" s="201"/>
      <c r="U348" s="201"/>
      <c r="V348" s="201"/>
      <c r="W348" s="201"/>
      <c r="X348" s="201"/>
      <c r="Y348" s="201"/>
      <c r="Z348" s="201"/>
      <c r="AA348" s="201"/>
      <c r="AB348" s="202"/>
      <c r="AC348" s="202"/>
      <c r="AD348" s="202"/>
      <c r="AE348" s="202"/>
      <c r="AF348" s="202"/>
      <c r="AG348" s="201"/>
      <c r="AH348" s="201"/>
      <c r="AI348" s="201"/>
      <c r="AJ348" s="201"/>
      <c r="AK348" s="201"/>
      <c r="AL348" s="201"/>
      <c r="AM348" s="201"/>
      <c r="AN348" s="201"/>
      <c r="AO348" s="201"/>
      <c r="AP348" s="201"/>
      <c r="AQ348" s="201"/>
      <c r="AR348" s="201"/>
      <c r="AS348" s="201"/>
      <c r="AT348" s="201"/>
      <c r="AU348" s="201"/>
      <c r="AV348" s="201"/>
      <c r="AW348" s="201"/>
      <c r="AX348" s="201"/>
      <c r="AY348" s="201"/>
      <c r="AZ348" s="201"/>
      <c r="BA348" s="201"/>
      <c r="BB348" s="201"/>
    </row>
    <row r="349" spans="2:54">
      <c r="B349" s="35" t="s">
        <v>2</v>
      </c>
      <c r="C349" s="35"/>
      <c r="D349" s="32"/>
      <c r="E349" s="36" t="s">
        <v>511</v>
      </c>
      <c r="F349" s="37" t="s">
        <v>29</v>
      </c>
      <c r="G349" s="32"/>
      <c r="H349" s="33"/>
      <c r="I349" s="45"/>
      <c r="J349" s="42"/>
      <c r="K349" s="36"/>
      <c r="L349" s="211"/>
      <c r="M349" s="201"/>
      <c r="N349" s="201"/>
      <c r="O349" s="42"/>
      <c r="P349" s="44"/>
      <c r="Q349" s="44"/>
      <c r="R349" s="44"/>
      <c r="S349" s="34"/>
      <c r="T349" s="201"/>
      <c r="U349" s="201"/>
      <c r="V349" s="201"/>
      <c r="W349" s="201"/>
      <c r="X349" s="201"/>
      <c r="Y349" s="201"/>
      <c r="Z349" s="201"/>
      <c r="AA349" s="201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201"/>
      <c r="AP349" s="201"/>
      <c r="AQ349" s="201"/>
      <c r="AR349" s="201"/>
      <c r="AS349" s="201"/>
      <c r="AT349" s="201"/>
      <c r="AU349" s="201"/>
      <c r="AV349" s="201"/>
      <c r="AW349" s="201"/>
      <c r="AX349" s="201"/>
      <c r="AY349" s="201"/>
      <c r="AZ349" s="201"/>
      <c r="BA349" s="201"/>
      <c r="BB349" s="201"/>
    </row>
    <row r="350" spans="2:54">
      <c r="B350" s="201"/>
      <c r="C350" s="201"/>
      <c r="D350" s="201"/>
      <c r="E350" s="201"/>
      <c r="F350" s="201"/>
      <c r="G350" s="201"/>
      <c r="H350" s="201"/>
      <c r="I350" s="45"/>
      <c r="J350" s="42"/>
      <c r="K350" s="42"/>
      <c r="L350" s="43"/>
      <c r="M350" s="44"/>
      <c r="N350" s="44"/>
      <c r="O350" s="42"/>
      <c r="P350" s="44"/>
      <c r="Q350" s="44"/>
      <c r="R350" s="44"/>
      <c r="S350" s="34"/>
      <c r="T350" s="1265" t="s">
        <v>87</v>
      </c>
      <c r="U350" s="1265"/>
      <c r="V350" s="1265"/>
      <c r="W350" s="1265"/>
      <c r="X350" s="1265"/>
      <c r="Y350" s="1265" t="s">
        <v>73</v>
      </c>
      <c r="Z350" s="1265"/>
      <c r="AA350" s="1265"/>
      <c r="AB350" s="1265" t="s">
        <v>74</v>
      </c>
      <c r="AC350" s="1265"/>
      <c r="AD350" s="423" t="s">
        <v>85</v>
      </c>
      <c r="AE350" s="423" t="s">
        <v>77</v>
      </c>
      <c r="AF350" s="1265" t="s">
        <v>525</v>
      </c>
      <c r="AG350" s="1265"/>
      <c r="AH350" s="1265"/>
      <c r="AI350" s="1265"/>
      <c r="AJ350" s="1265"/>
      <c r="AK350" s="1265"/>
      <c r="AL350" s="1265"/>
      <c r="AM350" s="1265"/>
      <c r="AN350" s="1265"/>
      <c r="AO350" s="1265"/>
      <c r="AP350" s="1265"/>
      <c r="AQ350" s="1265"/>
      <c r="AR350" s="1265"/>
      <c r="AS350" s="1265"/>
      <c r="AT350" s="1265"/>
      <c r="AU350" s="1265"/>
      <c r="AV350" s="1265"/>
      <c r="AW350" s="1265"/>
      <c r="AX350" s="1265"/>
      <c r="AY350" s="1265"/>
      <c r="AZ350" s="1265"/>
      <c r="BA350" s="1265"/>
      <c r="BB350" s="201"/>
    </row>
    <row r="351" spans="2:54">
      <c r="B351" s="1266" t="s">
        <v>526</v>
      </c>
      <c r="C351" s="1267"/>
      <c r="D351" s="570" t="s">
        <v>527</v>
      </c>
      <c r="E351" s="570"/>
      <c r="F351" s="570" t="s">
        <v>528</v>
      </c>
      <c r="G351" s="570" t="s">
        <v>529</v>
      </c>
      <c r="H351" s="570" t="s">
        <v>530</v>
      </c>
      <c r="I351" s="570" t="s">
        <v>531</v>
      </c>
      <c r="J351" s="570" t="s">
        <v>532</v>
      </c>
      <c r="K351" s="570"/>
      <c r="L351" s="570" t="s">
        <v>130</v>
      </c>
      <c r="M351" s="570" t="s">
        <v>533</v>
      </c>
      <c r="N351" s="408" t="str">
        <f>"On time - "&amp;COUNTIF(N352:N357,"On time")&amp;" from "&amp;ROWS(N352:N357)-COUNTIF(N352:N357," ")</f>
        <v>On time - 3 from 3</v>
      </c>
      <c r="O351" s="46"/>
      <c r="P351" s="409" t="s">
        <v>534</v>
      </c>
      <c r="Q351" s="409" t="s">
        <v>535</v>
      </c>
      <c r="R351" s="409" t="s">
        <v>536</v>
      </c>
      <c r="S351" s="32"/>
      <c r="T351" s="424" t="s">
        <v>537</v>
      </c>
      <c r="U351" s="424" t="s">
        <v>538</v>
      </c>
      <c r="V351" s="424" t="s">
        <v>539</v>
      </c>
      <c r="W351" s="424" t="s">
        <v>540</v>
      </c>
      <c r="X351" s="424" t="s">
        <v>541</v>
      </c>
      <c r="Y351" s="424" t="s">
        <v>167</v>
      </c>
      <c r="Z351" s="424" t="s">
        <v>168</v>
      </c>
      <c r="AA351" s="424" t="s">
        <v>169</v>
      </c>
      <c r="AB351" s="424" t="s">
        <v>235</v>
      </c>
      <c r="AC351" s="424" t="s">
        <v>240</v>
      </c>
      <c r="AD351" s="423" t="s">
        <v>85</v>
      </c>
      <c r="AE351" s="424" t="s">
        <v>139</v>
      </c>
      <c r="AF351" s="424" t="s">
        <v>72</v>
      </c>
      <c r="AG351" s="424" t="s">
        <v>88</v>
      </c>
      <c r="AH351" s="424" t="s">
        <v>75</v>
      </c>
      <c r="AI351" s="424" t="s">
        <v>543</v>
      </c>
      <c r="AJ351" s="424" t="s">
        <v>78</v>
      </c>
      <c r="AK351" s="424" t="s">
        <v>76</v>
      </c>
      <c r="AL351" s="424" t="s">
        <v>544</v>
      </c>
      <c r="AM351" s="424" t="s">
        <v>545</v>
      </c>
      <c r="AN351" s="424" t="s">
        <v>86</v>
      </c>
      <c r="AO351" s="424" t="s">
        <v>83</v>
      </c>
      <c r="AP351" s="424" t="s">
        <v>84</v>
      </c>
      <c r="AQ351" s="424" t="s">
        <v>546</v>
      </c>
      <c r="AR351" s="424" t="s">
        <v>81</v>
      </c>
      <c r="AS351" s="424" t="s">
        <v>80</v>
      </c>
      <c r="AT351" s="424" t="s">
        <v>82</v>
      </c>
      <c r="AU351" s="424" t="s">
        <v>181</v>
      </c>
      <c r="AV351" s="424" t="s">
        <v>183</v>
      </c>
      <c r="AW351" s="424" t="s">
        <v>547</v>
      </c>
      <c r="AX351" s="424" t="s">
        <v>182</v>
      </c>
      <c r="AY351" s="424" t="s">
        <v>172</v>
      </c>
      <c r="AZ351" s="424" t="s">
        <v>173</v>
      </c>
      <c r="BA351" s="424" t="s">
        <v>184</v>
      </c>
      <c r="BB351" s="201"/>
    </row>
    <row r="352" spans="2:54">
      <c r="B352" s="1256" t="s">
        <v>548</v>
      </c>
      <c r="C352" s="1257"/>
      <c r="D352" s="411" t="s">
        <v>2358</v>
      </c>
      <c r="E352" s="411"/>
      <c r="F352" s="411" t="s">
        <v>1972</v>
      </c>
      <c r="G352" s="411" t="s">
        <v>1973</v>
      </c>
      <c r="H352" s="412">
        <v>5967.7449999999999</v>
      </c>
      <c r="I352" s="413" t="s">
        <v>494</v>
      </c>
      <c r="J352" s="414">
        <v>45152.625</v>
      </c>
      <c r="K352" s="414"/>
      <c r="L352" s="414" t="s">
        <v>192</v>
      </c>
      <c r="M352" s="414" t="s">
        <v>192</v>
      </c>
      <c r="N352" s="413" t="str">
        <f t="shared" ref="N352:N357" si="29">IF(ISBLANK(J352)," ",IF(J352&lt;$F$346,"On time",(IF(DAY(J352-$F$346)&lt;1,"On time",(IF(J352&gt;$F$346,"DELAY ( "&amp;DAY(J352-$F$346)&amp;" day "&amp;HOUR(J352-$F$346)&amp;" hour "&amp;MINUTE(J352-$F$346)&amp;" minute )","xxx"))))))</f>
        <v>On time</v>
      </c>
      <c r="O352" s="51"/>
      <c r="P352" s="415" t="s">
        <v>551</v>
      </c>
      <c r="Q352" s="415" t="s">
        <v>551</v>
      </c>
      <c r="R352" s="415" t="s">
        <v>551</v>
      </c>
      <c r="S352" s="32"/>
      <c r="T352" s="416"/>
      <c r="U352" s="416"/>
      <c r="V352" s="416"/>
      <c r="W352" s="416"/>
      <c r="X352" s="416"/>
      <c r="Y352" s="416">
        <f>H352</f>
        <v>5967.7449999999999</v>
      </c>
      <c r="Z352" s="416"/>
      <c r="AA352" s="416"/>
      <c r="AB352" s="416"/>
      <c r="AC352" s="416"/>
      <c r="AD352" s="416"/>
      <c r="AE352" s="416"/>
      <c r="AF352" s="416"/>
      <c r="AG352" s="416"/>
      <c r="AH352" s="416"/>
      <c r="AI352" s="416"/>
      <c r="AJ352" s="32"/>
      <c r="AK352" s="416"/>
      <c r="AL352" s="416"/>
      <c r="AM352" s="416"/>
      <c r="AN352" s="416"/>
      <c r="AO352" s="416"/>
      <c r="AP352" s="416"/>
      <c r="AQ352" s="416"/>
      <c r="AR352" s="32"/>
      <c r="AS352" s="416"/>
      <c r="AT352" s="416"/>
      <c r="AU352" s="416"/>
      <c r="AV352" s="416"/>
      <c r="AW352" s="416"/>
      <c r="AX352" s="416"/>
      <c r="AY352" s="286"/>
      <c r="AZ352" s="416"/>
      <c r="BA352" s="416"/>
      <c r="BB352" s="32"/>
    </row>
    <row r="353" spans="2:54">
      <c r="B353" s="1256" t="s">
        <v>548</v>
      </c>
      <c r="C353" s="1257"/>
      <c r="D353" s="411" t="s">
        <v>2359</v>
      </c>
      <c r="E353" s="411"/>
      <c r="F353" s="411" t="s">
        <v>233</v>
      </c>
      <c r="G353" s="411" t="s">
        <v>234</v>
      </c>
      <c r="H353" s="412">
        <v>5857.5050000000001</v>
      </c>
      <c r="I353" s="413" t="s">
        <v>494</v>
      </c>
      <c r="J353" s="414">
        <v>45152.666666666664</v>
      </c>
      <c r="K353" s="414"/>
      <c r="L353" s="414" t="s">
        <v>192</v>
      </c>
      <c r="M353" s="414" t="s">
        <v>192</v>
      </c>
      <c r="N353" s="413" t="str">
        <f t="shared" si="29"/>
        <v>On time</v>
      </c>
      <c r="O353" s="51"/>
      <c r="P353" s="415" t="s">
        <v>551</v>
      </c>
      <c r="Q353" s="415" t="s">
        <v>551</v>
      </c>
      <c r="R353" s="415" t="s">
        <v>551</v>
      </c>
      <c r="S353" s="32"/>
      <c r="T353" s="416"/>
      <c r="U353" s="416"/>
      <c r="V353" s="416"/>
      <c r="W353" s="416"/>
      <c r="X353" s="416"/>
      <c r="Y353" s="416">
        <f>H353</f>
        <v>5857.5050000000001</v>
      </c>
      <c r="Z353" s="416"/>
      <c r="AA353" s="416"/>
      <c r="AB353" s="416"/>
      <c r="AC353" s="416"/>
      <c r="AD353" s="416"/>
      <c r="AE353" s="416"/>
      <c r="AF353" s="416"/>
      <c r="AG353" s="416"/>
      <c r="AH353" s="416"/>
      <c r="AI353" s="416"/>
      <c r="AJ353" s="416"/>
      <c r="AK353" s="416"/>
      <c r="AL353" s="416"/>
      <c r="AM353" s="416"/>
      <c r="AN353" s="416"/>
      <c r="AO353" s="416"/>
      <c r="AP353" s="416"/>
      <c r="AQ353" s="416"/>
      <c r="AR353" s="416"/>
      <c r="AS353" s="416"/>
      <c r="AT353" s="416"/>
      <c r="AU353" s="416"/>
      <c r="AV353" s="416"/>
      <c r="AW353" s="416"/>
      <c r="AX353" s="416"/>
      <c r="AY353" s="416"/>
      <c r="AZ353" s="416"/>
      <c r="BA353" s="416"/>
      <c r="BB353" s="32"/>
    </row>
    <row r="354" spans="2:54">
      <c r="B354" s="1256" t="s">
        <v>548</v>
      </c>
      <c r="C354" s="1257"/>
      <c r="D354" s="411" t="s">
        <v>2360</v>
      </c>
      <c r="E354" s="411"/>
      <c r="F354" s="411" t="s">
        <v>2207</v>
      </c>
      <c r="G354" s="411" t="s">
        <v>2208</v>
      </c>
      <c r="H354" s="412">
        <v>6003.3289999999997</v>
      </c>
      <c r="I354" s="413" t="s">
        <v>494</v>
      </c>
      <c r="J354" s="414">
        <v>45152.684027777781</v>
      </c>
      <c r="K354" s="414"/>
      <c r="L354" s="414" t="s">
        <v>192</v>
      </c>
      <c r="M354" s="414" t="s">
        <v>192</v>
      </c>
      <c r="N354" s="413" t="str">
        <f t="shared" si="29"/>
        <v>On time</v>
      </c>
      <c r="O354" s="51"/>
      <c r="P354" s="415" t="s">
        <v>551</v>
      </c>
      <c r="Q354" s="415" t="s">
        <v>551</v>
      </c>
      <c r="R354" s="415" t="s">
        <v>551</v>
      </c>
      <c r="S354" s="32"/>
      <c r="T354" s="416"/>
      <c r="U354" s="416"/>
      <c r="V354" s="416"/>
      <c r="W354" s="416"/>
      <c r="X354" s="416"/>
      <c r="Y354" s="416">
        <f>H354</f>
        <v>6003.3289999999997</v>
      </c>
      <c r="Z354" s="416"/>
      <c r="AA354" s="416"/>
      <c r="AB354" s="416"/>
      <c r="AC354" s="416"/>
      <c r="AD354" s="416"/>
      <c r="AE354" s="416"/>
      <c r="AF354" s="416"/>
      <c r="AG354" s="416"/>
      <c r="AH354" s="416"/>
      <c r="AI354" s="416"/>
      <c r="AJ354" s="416"/>
      <c r="AK354" s="416"/>
      <c r="AL354" s="416"/>
      <c r="AM354" s="416"/>
      <c r="AN354" s="416"/>
      <c r="AO354" s="416"/>
      <c r="AP354" s="416"/>
      <c r="AQ354" s="416"/>
      <c r="AR354" s="416"/>
      <c r="AS354" s="416"/>
      <c r="AT354" s="289"/>
      <c r="AU354" s="416"/>
      <c r="AV354" s="416"/>
      <c r="AW354" s="416"/>
      <c r="AX354" s="416"/>
      <c r="AY354" s="416"/>
      <c r="AZ354" s="416"/>
      <c r="BA354" s="416"/>
      <c r="BB354" s="32"/>
    </row>
    <row r="355" spans="2:54">
      <c r="B355" s="395"/>
      <c r="C355" s="356"/>
      <c r="D355" s="357"/>
      <c r="E355" s="357"/>
      <c r="F355" s="1305" t="s">
        <v>85</v>
      </c>
      <c r="G355" s="1306"/>
      <c r="H355" s="462">
        <f>H357-H353-H352-H354</f>
        <v>36921.421000000002</v>
      </c>
      <c r="I355" s="395"/>
      <c r="J355" s="358"/>
      <c r="K355" s="358"/>
      <c r="L355" s="358"/>
      <c r="M355" s="396"/>
      <c r="N355" s="413" t="str">
        <f t="shared" si="29"/>
        <v xml:space="preserve"> </v>
      </c>
      <c r="O355" s="265"/>
      <c r="P355" s="432"/>
      <c r="Q355" s="432"/>
      <c r="R355" s="432"/>
      <c r="S355" s="32"/>
      <c r="T355" s="428"/>
      <c r="U355" s="428"/>
      <c r="V355" s="428"/>
      <c r="W355" s="428"/>
      <c r="X355" s="428"/>
      <c r="Y355" s="207"/>
      <c r="Z355" s="428"/>
      <c r="AA355" s="355"/>
      <c r="AB355" s="428"/>
      <c r="AC355" s="428"/>
      <c r="AD355" s="428">
        <f>H355-H358</f>
        <v>36921.421000000002</v>
      </c>
      <c r="AE355" s="428"/>
      <c r="AF355" s="428"/>
      <c r="AG355" s="428"/>
      <c r="AH355" s="428"/>
      <c r="AI355" s="428"/>
      <c r="AJ355" s="428"/>
      <c r="AK355" s="428"/>
      <c r="AL355" s="428"/>
      <c r="AM355" s="428"/>
      <c r="AN355" s="428"/>
      <c r="AO355" s="428"/>
      <c r="AP355" s="428"/>
      <c r="AQ355" s="428"/>
      <c r="AR355" s="428"/>
      <c r="AS355" s="428"/>
      <c r="AT355" s="355"/>
      <c r="AU355" s="428"/>
      <c r="AV355" s="428"/>
      <c r="AW355" s="428"/>
      <c r="AX355" s="428"/>
      <c r="AY355" s="428"/>
      <c r="AZ355" s="428"/>
      <c r="BA355" s="428"/>
      <c r="BB355" s="207"/>
    </row>
    <row r="356" spans="2:54">
      <c r="B356" s="1258" t="s">
        <v>556</v>
      </c>
      <c r="C356" s="1259"/>
      <c r="D356" s="1259"/>
      <c r="E356" s="1259"/>
      <c r="F356" s="1259"/>
      <c r="G356" s="1260"/>
      <c r="H356" s="417">
        <f>SUM(H352:H355)</f>
        <v>54750</v>
      </c>
      <c r="I356" s="388"/>
      <c r="J356" s="293"/>
      <c r="K356" s="293"/>
      <c r="L356" s="293"/>
      <c r="M356" s="389"/>
      <c r="N356" s="413" t="str">
        <f t="shared" si="29"/>
        <v xml:space="preserve"> </v>
      </c>
      <c r="O356" s="212"/>
      <c r="P356" s="418"/>
      <c r="Q356" s="418"/>
      <c r="R356" s="418"/>
      <c r="S356" s="207"/>
      <c r="T356" s="1300"/>
      <c r="U356" s="1301"/>
      <c r="V356" s="1301"/>
      <c r="W356" s="1301"/>
      <c r="X356" s="1301"/>
      <c r="Y356" s="1301"/>
      <c r="Z356" s="1301"/>
      <c r="AA356" s="1301"/>
      <c r="AB356" s="1301"/>
      <c r="AC356" s="1301"/>
      <c r="AD356" s="1301"/>
      <c r="AE356" s="1301"/>
      <c r="AF356" s="1301"/>
      <c r="AG356" s="1301"/>
      <c r="AH356" s="1301"/>
      <c r="AI356" s="1301"/>
      <c r="AJ356" s="1301"/>
      <c r="AK356" s="1301"/>
      <c r="AL356" s="1301"/>
      <c r="AM356" s="1301"/>
      <c r="AN356" s="1301"/>
      <c r="AO356" s="1301"/>
      <c r="AP356" s="1301"/>
      <c r="AQ356" s="1301"/>
      <c r="AR356" s="1301"/>
      <c r="AS356" s="1301"/>
      <c r="AT356" s="1301"/>
      <c r="AU356" s="1301"/>
      <c r="AV356" s="1301"/>
      <c r="AW356" s="1301"/>
      <c r="AX356" s="1301"/>
      <c r="AY356" s="1301"/>
      <c r="AZ356" s="1301"/>
      <c r="BA356" s="1301"/>
    </row>
    <row r="357" spans="2:54">
      <c r="B357" s="1243" t="s">
        <v>557</v>
      </c>
      <c r="C357" s="1244"/>
      <c r="D357" s="1244"/>
      <c r="E357" s="1244"/>
      <c r="F357" s="1244"/>
      <c r="G357" s="1245"/>
      <c r="H357" s="419">
        <v>54750</v>
      </c>
      <c r="I357" s="1246"/>
      <c r="J357" s="1247"/>
      <c r="K357" s="1247"/>
      <c r="L357" s="1247"/>
      <c r="M357" s="1248"/>
      <c r="N357" s="413" t="str">
        <f t="shared" si="29"/>
        <v xml:space="preserve"> </v>
      </c>
      <c r="O357" s="32"/>
      <c r="P357" s="415"/>
      <c r="Q357" s="415"/>
      <c r="R357" s="415"/>
      <c r="S357" s="63"/>
      <c r="T357" s="416">
        <f t="shared" ref="T357:BA357" si="30">SUM(T352:T355)</f>
        <v>0</v>
      </c>
      <c r="U357" s="416">
        <f t="shared" si="30"/>
        <v>0</v>
      </c>
      <c r="V357" s="416">
        <f t="shared" si="30"/>
        <v>0</v>
      </c>
      <c r="W357" s="416">
        <f t="shared" si="30"/>
        <v>0</v>
      </c>
      <c r="X357" s="416">
        <f t="shared" si="30"/>
        <v>0</v>
      </c>
      <c r="Y357" s="416">
        <f t="shared" si="30"/>
        <v>17828.578999999998</v>
      </c>
      <c r="Z357" s="416">
        <f t="shared" si="30"/>
        <v>0</v>
      </c>
      <c r="AA357" s="416">
        <f t="shared" si="30"/>
        <v>0</v>
      </c>
      <c r="AB357" s="416">
        <f t="shared" si="30"/>
        <v>0</v>
      </c>
      <c r="AC357" s="416">
        <f t="shared" si="30"/>
        <v>0</v>
      </c>
      <c r="AD357" s="416">
        <f t="shared" si="30"/>
        <v>36921.421000000002</v>
      </c>
      <c r="AE357" s="416">
        <f t="shared" si="30"/>
        <v>0</v>
      </c>
      <c r="AF357" s="416">
        <f t="shared" si="30"/>
        <v>0</v>
      </c>
      <c r="AG357" s="416">
        <f t="shared" si="30"/>
        <v>0</v>
      </c>
      <c r="AH357" s="416">
        <f t="shared" si="30"/>
        <v>0</v>
      </c>
      <c r="AI357" s="416">
        <f t="shared" si="30"/>
        <v>0</v>
      </c>
      <c r="AJ357" s="416">
        <f t="shared" si="30"/>
        <v>0</v>
      </c>
      <c r="AK357" s="416">
        <f t="shared" si="30"/>
        <v>0</v>
      </c>
      <c r="AL357" s="416">
        <f t="shared" si="30"/>
        <v>0</v>
      </c>
      <c r="AM357" s="416">
        <f t="shared" si="30"/>
        <v>0</v>
      </c>
      <c r="AN357" s="416">
        <f t="shared" si="30"/>
        <v>0</v>
      </c>
      <c r="AO357" s="416">
        <f t="shared" si="30"/>
        <v>0</v>
      </c>
      <c r="AP357" s="416">
        <f t="shared" si="30"/>
        <v>0</v>
      </c>
      <c r="AQ357" s="416">
        <f t="shared" si="30"/>
        <v>0</v>
      </c>
      <c r="AR357" s="416">
        <f t="shared" si="30"/>
        <v>0</v>
      </c>
      <c r="AS357" s="416">
        <f t="shared" si="30"/>
        <v>0</v>
      </c>
      <c r="AT357" s="416">
        <f t="shared" si="30"/>
        <v>0</v>
      </c>
      <c r="AU357" s="416">
        <f t="shared" si="30"/>
        <v>0</v>
      </c>
      <c r="AV357" s="416">
        <f t="shared" si="30"/>
        <v>0</v>
      </c>
      <c r="AW357" s="416">
        <f t="shared" si="30"/>
        <v>0</v>
      </c>
      <c r="AX357" s="416">
        <f t="shared" si="30"/>
        <v>0</v>
      </c>
      <c r="AY357" s="416">
        <f t="shared" si="30"/>
        <v>0</v>
      </c>
      <c r="AZ357" s="416">
        <f t="shared" si="30"/>
        <v>0</v>
      </c>
      <c r="BA357" s="416">
        <f t="shared" si="30"/>
        <v>0</v>
      </c>
      <c r="BB357" s="416">
        <f>SUM(T357:BA357)</f>
        <v>54750</v>
      </c>
    </row>
    <row r="358" spans="2:54">
      <c r="B358" s="32"/>
      <c r="C358" s="32"/>
      <c r="D358" s="32"/>
      <c r="E358" s="32"/>
      <c r="F358" s="32"/>
      <c r="G358" s="32"/>
      <c r="H358" s="32"/>
      <c r="I358" s="57"/>
      <c r="J358" s="52"/>
      <c r="K358" s="52"/>
      <c r="L358" s="55"/>
      <c r="M358" s="32"/>
      <c r="N358" s="201"/>
      <c r="O358" s="209"/>
      <c r="P358" s="32"/>
      <c r="Q358" s="32"/>
      <c r="R358" s="32"/>
      <c r="S358" s="32"/>
      <c r="T358" s="48"/>
      <c r="U358" s="48"/>
      <c r="V358" s="48"/>
      <c r="W358" s="48"/>
      <c r="X358" s="48"/>
      <c r="Y358" s="48"/>
      <c r="Z358" s="48"/>
      <c r="AA358" s="48"/>
      <c r="AB358" s="48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</row>
    <row r="359" spans="2:54">
      <c r="B359" s="40" t="s">
        <v>561</v>
      </c>
      <c r="C359" s="40"/>
      <c r="D359" s="32"/>
      <c r="E359" s="32"/>
      <c r="F359" s="32"/>
      <c r="G359" s="32"/>
      <c r="H359" s="32"/>
      <c r="I359" s="32"/>
      <c r="J359" s="52"/>
      <c r="K359" s="52"/>
      <c r="L359" s="55"/>
      <c r="M359" s="32"/>
      <c r="N359" s="201"/>
      <c r="O359" s="5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  <c r="AA359" s="202"/>
      <c r="AB359" s="201"/>
      <c r="AC359" s="201"/>
      <c r="AD359" s="201"/>
      <c r="AE359" s="201"/>
      <c r="AF359" s="201"/>
      <c r="AG359" s="201"/>
      <c r="AH359" s="201"/>
      <c r="AI359" s="201"/>
      <c r="AJ359" s="201"/>
      <c r="AK359" s="201"/>
      <c r="AL359" s="201"/>
      <c r="AM359" s="201"/>
      <c r="AN359" s="201"/>
      <c r="AO359" s="201"/>
      <c r="AP359" s="201"/>
      <c r="AQ359" s="201"/>
      <c r="AR359" s="201"/>
      <c r="AS359" s="201"/>
      <c r="AT359" s="201"/>
      <c r="AU359" s="201"/>
      <c r="BB359" s="201"/>
    </row>
    <row r="360" spans="2:54">
      <c r="B360" s="422"/>
      <c r="C360" s="1249"/>
      <c r="D360" s="1249"/>
      <c r="E360" s="1249"/>
      <c r="F360" s="1249"/>
      <c r="G360" s="1249"/>
      <c r="H360" s="1249"/>
      <c r="I360" s="1249"/>
      <c r="J360" s="1249"/>
      <c r="K360" s="1249"/>
      <c r="L360" s="203"/>
      <c r="M360" s="203"/>
      <c r="N360" s="201"/>
      <c r="O360" s="209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  <c r="AA360" s="202"/>
      <c r="AB360" s="201"/>
      <c r="AC360" s="201"/>
      <c r="AD360" s="201"/>
      <c r="AE360" s="201"/>
      <c r="AF360" s="201"/>
      <c r="AG360" s="201"/>
      <c r="AH360" s="201"/>
      <c r="AI360" s="201"/>
      <c r="AJ360" s="201"/>
      <c r="AK360" s="201"/>
      <c r="AL360" s="201"/>
      <c r="AM360" s="201"/>
      <c r="AN360" s="201"/>
      <c r="AO360" s="201"/>
      <c r="AP360" s="201"/>
      <c r="AQ360" s="201"/>
      <c r="AR360" s="201"/>
      <c r="AS360" s="201"/>
      <c r="AT360" s="201"/>
      <c r="AU360" s="201"/>
      <c r="AV360" s="201"/>
      <c r="AW360" s="201"/>
      <c r="AX360" s="201"/>
      <c r="AY360" s="201"/>
      <c r="AZ360" s="201"/>
      <c r="BA360" s="201"/>
      <c r="BB360" s="201"/>
    </row>
    <row r="362" spans="2:54">
      <c r="B362" s="28" t="s">
        <v>126</v>
      </c>
      <c r="C362" s="28"/>
      <c r="D362" s="29"/>
      <c r="E362" s="30" t="s">
        <v>511</v>
      </c>
      <c r="F362" s="31" t="s">
        <v>2361</v>
      </c>
      <c r="G362" s="32"/>
      <c r="H362" s="33"/>
      <c r="I362" s="34"/>
      <c r="J362" s="35" t="s">
        <v>513</v>
      </c>
      <c r="K362" s="36" t="s">
        <v>511</v>
      </c>
      <c r="L362" s="37">
        <v>45158.763888888891</v>
      </c>
      <c r="M362" s="32"/>
      <c r="N362" s="32"/>
      <c r="O362" s="206"/>
      <c r="P362" s="205"/>
      <c r="Q362" s="202"/>
      <c r="R362" s="204"/>
      <c r="S362" s="38"/>
      <c r="T362" s="201"/>
      <c r="U362" s="201"/>
      <c r="V362" s="201"/>
      <c r="W362" s="201"/>
      <c r="X362" s="201"/>
      <c r="Y362" s="201"/>
      <c r="Z362" s="201"/>
      <c r="AA362" s="201"/>
      <c r="AB362" s="202"/>
      <c r="AC362" s="202"/>
      <c r="AD362" s="202"/>
      <c r="AE362" s="202"/>
      <c r="AF362" s="202"/>
      <c r="AG362" s="201"/>
      <c r="AH362" s="201"/>
      <c r="AI362" s="201"/>
      <c r="AJ362" s="201"/>
      <c r="AK362" s="201"/>
      <c r="AL362" s="201"/>
      <c r="AM362" s="201"/>
      <c r="AN362" s="201"/>
      <c r="AO362" s="201"/>
      <c r="AP362" s="201"/>
      <c r="AQ362" s="201"/>
      <c r="AR362" s="201"/>
      <c r="AS362" s="201"/>
      <c r="AT362" s="201"/>
      <c r="AU362" s="201"/>
      <c r="AV362" s="201"/>
      <c r="AW362" s="201"/>
      <c r="AX362" s="201"/>
      <c r="AY362" s="201"/>
      <c r="AZ362" s="201"/>
      <c r="BA362" s="201"/>
      <c r="BB362" s="201"/>
    </row>
    <row r="363" spans="2:54">
      <c r="B363" s="35" t="s">
        <v>514</v>
      </c>
      <c r="C363" s="35"/>
      <c r="D363" s="32"/>
      <c r="E363" s="36" t="s">
        <v>511</v>
      </c>
      <c r="F363" s="311" t="s">
        <v>2362</v>
      </c>
      <c r="G363" s="32"/>
      <c r="H363" s="33"/>
      <c r="I363" s="34"/>
      <c r="J363" s="35" t="s">
        <v>516</v>
      </c>
      <c r="K363" s="36" t="s">
        <v>511</v>
      </c>
      <c r="L363" s="37">
        <v>45160.361111111109</v>
      </c>
      <c r="M363" s="32"/>
      <c r="N363" s="32"/>
      <c r="O363" s="206"/>
      <c r="P363" s="205"/>
      <c r="Q363" s="202"/>
      <c r="R363" s="204"/>
      <c r="S363" s="38"/>
      <c r="T363" s="201"/>
      <c r="U363" s="201"/>
      <c r="V363" s="201"/>
      <c r="W363" s="201"/>
      <c r="X363" s="201"/>
      <c r="Y363" s="201"/>
      <c r="Z363" s="201"/>
      <c r="AA363" s="201"/>
      <c r="AB363" s="202"/>
      <c r="AC363" s="202"/>
      <c r="AD363" s="202"/>
      <c r="AE363" s="202"/>
      <c r="AF363" s="202"/>
      <c r="AG363" s="201"/>
      <c r="AH363" s="201"/>
      <c r="AI363" s="201"/>
      <c r="AJ363" s="201"/>
      <c r="AK363" s="201"/>
      <c r="AL363" s="201"/>
      <c r="AM363" s="201"/>
      <c r="AN363" s="201"/>
      <c r="AO363" s="201"/>
      <c r="AP363" s="201"/>
      <c r="AQ363" s="201"/>
      <c r="AR363" s="201"/>
      <c r="AS363" s="201"/>
      <c r="AT363" s="201"/>
      <c r="AU363" s="201"/>
      <c r="AV363" s="201"/>
      <c r="AW363" s="201"/>
      <c r="AX363" s="201"/>
      <c r="AY363" s="201"/>
      <c r="AZ363" s="201"/>
      <c r="BA363" s="201"/>
      <c r="BB363" s="201"/>
    </row>
    <row r="364" spans="2:54">
      <c r="B364" s="35" t="s">
        <v>517</v>
      </c>
      <c r="C364" s="35"/>
      <c r="D364" s="32"/>
      <c r="E364" s="36" t="s">
        <v>511</v>
      </c>
      <c r="F364" s="37">
        <v>45151.112500000003</v>
      </c>
      <c r="G364" s="32"/>
      <c r="H364" s="33"/>
      <c r="I364" s="34"/>
      <c r="J364" s="35" t="s">
        <v>518</v>
      </c>
      <c r="K364" s="36" t="s">
        <v>511</v>
      </c>
      <c r="L364" s="50">
        <v>52700</v>
      </c>
      <c r="M364" s="40" t="s">
        <v>519</v>
      </c>
      <c r="N364" s="40"/>
      <c r="O364" s="206"/>
      <c r="P364" s="205"/>
      <c r="Q364" s="202"/>
      <c r="R364" s="204"/>
      <c r="S364" s="38"/>
      <c r="T364" s="201"/>
      <c r="U364" s="201"/>
      <c r="V364" s="201"/>
      <c r="W364" s="201"/>
      <c r="X364" s="201"/>
      <c r="Y364" s="201"/>
      <c r="Z364" s="201"/>
      <c r="AA364" s="201"/>
      <c r="AB364" s="202"/>
      <c r="AC364" s="202"/>
      <c r="AD364" s="202"/>
      <c r="AE364" s="202"/>
      <c r="AF364" s="202"/>
      <c r="AG364" s="201"/>
      <c r="AH364" s="201"/>
      <c r="AI364" s="201"/>
      <c r="AJ364" s="201"/>
      <c r="AK364" s="201"/>
      <c r="AL364" s="201"/>
      <c r="AM364" s="201"/>
      <c r="AN364" s="201"/>
      <c r="AO364" s="201"/>
      <c r="AP364" s="201"/>
      <c r="AQ364" s="201"/>
      <c r="AR364" s="201"/>
      <c r="AS364" s="201"/>
      <c r="AT364" s="201"/>
      <c r="AU364" s="201"/>
      <c r="AV364" s="201"/>
      <c r="AW364" s="201"/>
      <c r="AX364" s="201"/>
      <c r="AY364" s="201"/>
      <c r="AZ364" s="201"/>
      <c r="BA364" s="201"/>
      <c r="BB364" s="201"/>
    </row>
    <row r="365" spans="2:54">
      <c r="B365" s="35" t="s">
        <v>520</v>
      </c>
      <c r="C365" s="35"/>
      <c r="D365" s="32"/>
      <c r="E365" s="36" t="s">
        <v>511</v>
      </c>
      <c r="F365" s="37" t="s">
        <v>12</v>
      </c>
      <c r="G365" s="32"/>
      <c r="H365" s="33"/>
      <c r="I365" s="34"/>
      <c r="J365" s="35" t="s">
        <v>521</v>
      </c>
      <c r="K365" s="36" t="s">
        <v>511</v>
      </c>
      <c r="L365" s="41" t="s">
        <v>2363</v>
      </c>
      <c r="M365" s="32"/>
      <c r="N365" s="32"/>
      <c r="O365" s="206"/>
      <c r="P365" s="202"/>
      <c r="Q365" s="202"/>
      <c r="R365" s="204"/>
      <c r="S365" s="38"/>
      <c r="T365" s="201"/>
      <c r="U365" s="201"/>
      <c r="V365" s="201"/>
      <c r="W365" s="201"/>
      <c r="X365" s="201"/>
      <c r="Y365" s="201"/>
      <c r="Z365" s="201"/>
      <c r="AA365" s="201"/>
      <c r="AB365" s="202"/>
      <c r="AC365" s="202"/>
      <c r="AD365" s="202"/>
      <c r="AE365" s="202"/>
      <c r="AF365" s="202"/>
      <c r="AG365" s="201"/>
      <c r="AH365" s="201"/>
      <c r="AI365" s="201"/>
      <c r="AJ365" s="201"/>
      <c r="AK365" s="201"/>
      <c r="AL365" s="201"/>
      <c r="AM365" s="201"/>
      <c r="AN365" s="201"/>
      <c r="AO365" s="201"/>
      <c r="AP365" s="201"/>
      <c r="AQ365" s="201"/>
      <c r="AR365" s="201"/>
      <c r="AS365" s="201"/>
      <c r="AT365" s="201"/>
      <c r="AU365" s="201"/>
      <c r="AV365" s="201"/>
      <c r="AW365" s="201"/>
      <c r="AX365" s="201"/>
      <c r="AY365" s="201"/>
      <c r="AZ365" s="201"/>
      <c r="BA365" s="201"/>
      <c r="BB365" s="201"/>
    </row>
    <row r="366" spans="2:54">
      <c r="B366" s="35" t="s">
        <v>523</v>
      </c>
      <c r="C366" s="35"/>
      <c r="D366" s="32"/>
      <c r="E366" s="36" t="s">
        <v>511</v>
      </c>
      <c r="F366" s="37" t="s">
        <v>32</v>
      </c>
      <c r="G366" s="32"/>
      <c r="H366" s="33"/>
      <c r="I366" s="34"/>
      <c r="J366" s="42" t="s">
        <v>524</v>
      </c>
      <c r="K366" s="36" t="s">
        <v>511</v>
      </c>
      <c r="L366" s="43" t="s">
        <v>15</v>
      </c>
      <c r="M366" s="44"/>
      <c r="N366" s="44"/>
      <c r="O366" s="206"/>
      <c r="P366" s="205"/>
      <c r="Q366" s="202"/>
      <c r="R366" s="204"/>
      <c r="S366" s="38"/>
      <c r="T366" s="201"/>
      <c r="U366" s="201"/>
      <c r="V366" s="201"/>
      <c r="W366" s="201"/>
      <c r="X366" s="201"/>
      <c r="Y366" s="201"/>
      <c r="Z366" s="201"/>
      <c r="AA366" s="201"/>
      <c r="AB366" s="202"/>
      <c r="AC366" s="202"/>
      <c r="AD366" s="202"/>
      <c r="AE366" s="202"/>
      <c r="AF366" s="202"/>
      <c r="AG366" s="201"/>
      <c r="AH366" s="201"/>
      <c r="AI366" s="201"/>
      <c r="AJ366" s="201"/>
      <c r="AK366" s="201"/>
      <c r="AL366" s="201"/>
      <c r="AM366" s="201"/>
      <c r="AN366" s="201"/>
      <c r="AO366" s="201"/>
      <c r="AP366" s="201"/>
      <c r="AQ366" s="201"/>
      <c r="AR366" s="201"/>
      <c r="AS366" s="201"/>
      <c r="AT366" s="201"/>
      <c r="AU366" s="201"/>
      <c r="AV366" s="201"/>
      <c r="AW366" s="201"/>
      <c r="AX366" s="201"/>
      <c r="AY366" s="201"/>
      <c r="AZ366" s="201"/>
      <c r="BA366" s="201"/>
      <c r="BB366" s="201"/>
    </row>
    <row r="367" spans="2:54">
      <c r="B367" s="35" t="s">
        <v>2</v>
      </c>
      <c r="C367" s="35"/>
      <c r="D367" s="32"/>
      <c r="E367" s="36" t="s">
        <v>511</v>
      </c>
      <c r="F367" s="37" t="s">
        <v>58</v>
      </c>
      <c r="G367" s="32"/>
      <c r="H367" s="33"/>
      <c r="I367" s="45"/>
      <c r="J367" s="42"/>
      <c r="K367" s="36"/>
      <c r="L367" s="211"/>
      <c r="M367" s="201"/>
      <c r="N367" s="201"/>
      <c r="O367" s="42"/>
      <c r="P367" s="44"/>
      <c r="Q367" s="44"/>
      <c r="R367" s="44"/>
      <c r="S367" s="34"/>
      <c r="T367" s="201"/>
      <c r="U367" s="201"/>
      <c r="V367" s="201"/>
      <c r="W367" s="201"/>
      <c r="X367" s="201"/>
      <c r="Y367" s="201"/>
      <c r="Z367" s="201"/>
      <c r="AA367" s="201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201"/>
      <c r="AP367" s="201"/>
      <c r="AQ367" s="201"/>
      <c r="AR367" s="201"/>
      <c r="AS367" s="201"/>
      <c r="AT367" s="201"/>
      <c r="AU367" s="201"/>
      <c r="AV367" s="201"/>
      <c r="AW367" s="201"/>
      <c r="AX367" s="201"/>
      <c r="AY367" s="201"/>
      <c r="AZ367" s="201"/>
      <c r="BA367" s="201"/>
      <c r="BB367" s="201"/>
    </row>
    <row r="368" spans="2:54">
      <c r="B368" s="201"/>
      <c r="C368" s="201"/>
      <c r="D368" s="201"/>
      <c r="E368" s="201"/>
      <c r="F368" s="201"/>
      <c r="G368" s="201"/>
      <c r="H368" s="201"/>
      <c r="I368" s="45"/>
      <c r="J368" s="42"/>
      <c r="K368" s="42"/>
      <c r="L368" s="43"/>
      <c r="M368" s="44"/>
      <c r="N368" s="44"/>
      <c r="O368" s="42"/>
      <c r="P368" s="44"/>
      <c r="Q368" s="44"/>
      <c r="R368" s="44"/>
      <c r="S368" s="34"/>
      <c r="T368" s="1265" t="s">
        <v>87</v>
      </c>
      <c r="U368" s="1265"/>
      <c r="V368" s="1265"/>
      <c r="W368" s="1265"/>
      <c r="X368" s="1265"/>
      <c r="Y368" s="1265" t="s">
        <v>73</v>
      </c>
      <c r="Z368" s="1265"/>
      <c r="AA368" s="1265"/>
      <c r="AB368" s="1265" t="s">
        <v>74</v>
      </c>
      <c r="AC368" s="1265"/>
      <c r="AD368" s="423" t="s">
        <v>85</v>
      </c>
      <c r="AE368" s="423" t="s">
        <v>77</v>
      </c>
      <c r="AF368" s="1265" t="s">
        <v>525</v>
      </c>
      <c r="AG368" s="1265"/>
      <c r="AH368" s="1265"/>
      <c r="AI368" s="1265"/>
      <c r="AJ368" s="1265"/>
      <c r="AK368" s="1265"/>
      <c r="AL368" s="1265"/>
      <c r="AM368" s="1265"/>
      <c r="AN368" s="1265"/>
      <c r="AO368" s="1265"/>
      <c r="AP368" s="1265"/>
      <c r="AQ368" s="1265"/>
      <c r="AR368" s="1265"/>
      <c r="AS368" s="1265"/>
      <c r="AT368" s="1265"/>
      <c r="AU368" s="1265"/>
      <c r="AV368" s="1265"/>
      <c r="AW368" s="1265"/>
      <c r="AX368" s="1265"/>
      <c r="AY368" s="1265"/>
      <c r="AZ368" s="1265"/>
      <c r="BA368" s="1265"/>
      <c r="BB368" s="201"/>
    </row>
    <row r="369" spans="2:54">
      <c r="B369" s="1266" t="s">
        <v>526</v>
      </c>
      <c r="C369" s="1267"/>
      <c r="D369" s="570" t="s">
        <v>527</v>
      </c>
      <c r="E369" s="570"/>
      <c r="F369" s="570" t="s">
        <v>528</v>
      </c>
      <c r="G369" s="570" t="s">
        <v>529</v>
      </c>
      <c r="H369" s="570" t="s">
        <v>530</v>
      </c>
      <c r="I369" s="570" t="s">
        <v>531</v>
      </c>
      <c r="J369" s="570" t="s">
        <v>532</v>
      </c>
      <c r="K369" s="570"/>
      <c r="L369" s="570" t="s">
        <v>130</v>
      </c>
      <c r="M369" s="570" t="s">
        <v>533</v>
      </c>
      <c r="N369" s="408" t="str">
        <f>"On time - "&amp;COUNTIF(N370:N378,"On time")&amp;" from "&amp;ROWS(N370:N378)-COUNTIF(N370:N378," ")</f>
        <v>On time - 0 from 7</v>
      </c>
      <c r="O369" s="46"/>
      <c r="P369" s="409" t="s">
        <v>534</v>
      </c>
      <c r="Q369" s="409" t="s">
        <v>535</v>
      </c>
      <c r="R369" s="409" t="s">
        <v>536</v>
      </c>
      <c r="S369" s="32"/>
      <c r="T369" s="424" t="s">
        <v>537</v>
      </c>
      <c r="U369" s="424" t="s">
        <v>538</v>
      </c>
      <c r="V369" s="424" t="s">
        <v>539</v>
      </c>
      <c r="W369" s="424" t="s">
        <v>540</v>
      </c>
      <c r="X369" s="424" t="s">
        <v>541</v>
      </c>
      <c r="Y369" s="424" t="s">
        <v>167</v>
      </c>
      <c r="Z369" s="424" t="s">
        <v>168</v>
      </c>
      <c r="AA369" s="424" t="s">
        <v>169</v>
      </c>
      <c r="AB369" s="424" t="s">
        <v>235</v>
      </c>
      <c r="AC369" s="424" t="s">
        <v>240</v>
      </c>
      <c r="AD369" s="423" t="s">
        <v>85</v>
      </c>
      <c r="AE369" s="424" t="s">
        <v>139</v>
      </c>
      <c r="AF369" s="424" t="s">
        <v>72</v>
      </c>
      <c r="AG369" s="424" t="s">
        <v>88</v>
      </c>
      <c r="AH369" s="424" t="s">
        <v>75</v>
      </c>
      <c r="AI369" s="424" t="s">
        <v>543</v>
      </c>
      <c r="AJ369" s="424" t="s">
        <v>78</v>
      </c>
      <c r="AK369" s="424" t="s">
        <v>76</v>
      </c>
      <c r="AL369" s="424" t="s">
        <v>544</v>
      </c>
      <c r="AM369" s="424" t="s">
        <v>545</v>
      </c>
      <c r="AN369" s="424" t="s">
        <v>86</v>
      </c>
      <c r="AO369" s="424" t="s">
        <v>83</v>
      </c>
      <c r="AP369" s="424" t="s">
        <v>84</v>
      </c>
      <c r="AQ369" s="424" t="s">
        <v>546</v>
      </c>
      <c r="AR369" s="424" t="s">
        <v>81</v>
      </c>
      <c r="AS369" s="424" t="s">
        <v>80</v>
      </c>
      <c r="AT369" s="424" t="s">
        <v>82</v>
      </c>
      <c r="AU369" s="424" t="s">
        <v>181</v>
      </c>
      <c r="AV369" s="424" t="s">
        <v>183</v>
      </c>
      <c r="AW369" s="424" t="s">
        <v>547</v>
      </c>
      <c r="AX369" s="424" t="s">
        <v>182</v>
      </c>
      <c r="AY369" s="424" t="s">
        <v>172</v>
      </c>
      <c r="AZ369" s="424" t="s">
        <v>173</v>
      </c>
      <c r="BA369" s="424" t="s">
        <v>184</v>
      </c>
      <c r="BB369" s="201"/>
    </row>
    <row r="370" spans="2:54">
      <c r="B370" s="1250" t="s">
        <v>653</v>
      </c>
      <c r="C370" s="1251"/>
      <c r="D370" s="411" t="s">
        <v>2364</v>
      </c>
      <c r="E370" s="411"/>
      <c r="F370" s="411" t="s">
        <v>205</v>
      </c>
      <c r="G370" s="411" t="s">
        <v>206</v>
      </c>
      <c r="H370" s="412">
        <v>7303.4250000000002</v>
      </c>
      <c r="I370" s="413" t="s">
        <v>494</v>
      </c>
      <c r="J370" s="414">
        <v>45157.4375</v>
      </c>
      <c r="K370" s="414"/>
      <c r="L370" s="414" t="s">
        <v>192</v>
      </c>
      <c r="M370" s="414" t="s">
        <v>192</v>
      </c>
      <c r="N370" s="413" t="str">
        <f>IF(ISBLANK(J370)," ",IF(J370&lt;$F$364,"On time",(IF(DAY(J370-$F$364)&lt;1,"On time",(IF(J370&gt;$F$364,"DELAY ( "&amp;DAY(J370-$F$364)&amp;" day "&amp;HOUR(J370-$F$364)&amp;" hour "&amp;MINUTE(J370-$F$364)&amp;" minute )","xxx"))))))</f>
        <v>DELAY ( 6 day 7 hour 48 minute )</v>
      </c>
      <c r="O370" s="51"/>
      <c r="P370" s="415" t="s">
        <v>551</v>
      </c>
      <c r="Q370" s="415" t="s">
        <v>551</v>
      </c>
      <c r="R370" s="415" t="s">
        <v>551</v>
      </c>
      <c r="S370" s="32"/>
      <c r="T370" s="416"/>
      <c r="U370" s="416"/>
      <c r="V370" s="416"/>
      <c r="W370" s="416"/>
      <c r="X370" s="416"/>
      <c r="Y370" s="416">
        <f>H370</f>
        <v>7303.4250000000002</v>
      </c>
      <c r="Z370" s="416"/>
      <c r="AA370" s="416"/>
      <c r="AB370" s="416"/>
      <c r="AC370" s="416"/>
      <c r="AD370" s="416"/>
      <c r="AE370" s="416"/>
      <c r="AF370" s="416"/>
      <c r="AG370" s="416"/>
      <c r="AH370" s="416"/>
      <c r="AI370" s="416"/>
      <c r="AJ370" s="416"/>
      <c r="AK370" s="416"/>
      <c r="AL370" s="416"/>
      <c r="AM370" s="416"/>
      <c r="AN370" s="416"/>
      <c r="AO370" s="416"/>
      <c r="AP370" s="416"/>
      <c r="AQ370" s="416"/>
      <c r="AR370" s="416"/>
      <c r="AS370" s="416"/>
      <c r="AT370" s="416"/>
      <c r="AU370" s="416"/>
      <c r="AV370" s="416"/>
      <c r="AW370" s="416"/>
      <c r="AX370" s="416"/>
      <c r="AY370" s="416"/>
      <c r="AZ370" s="416"/>
      <c r="BA370" s="416"/>
      <c r="BB370" s="32"/>
    </row>
    <row r="371" spans="2:54">
      <c r="B371" s="1254"/>
      <c r="C371" s="1255"/>
      <c r="D371" s="411" t="s">
        <v>2365</v>
      </c>
      <c r="E371" s="411"/>
      <c r="F371" s="411" t="s">
        <v>437</v>
      </c>
      <c r="G371" s="411" t="s">
        <v>320</v>
      </c>
      <c r="H371" s="412">
        <v>7317.37</v>
      </c>
      <c r="I371" s="413" t="s">
        <v>240</v>
      </c>
      <c r="J371" s="414">
        <v>45157.416666666664</v>
      </c>
      <c r="K371" s="414"/>
      <c r="L371" s="414" t="s">
        <v>192</v>
      </c>
      <c r="M371" s="414" t="s">
        <v>192</v>
      </c>
      <c r="N371" s="413" t="str">
        <f t="shared" ref="N371:N378" si="31">IF(ISBLANK(J371)," ",IF(J371&lt;$F$364,"On time",(IF(DAY(J371-$F$364)&lt;1,"On time",(IF(J371&gt;$F$364,"DELAY ( "&amp;DAY(J371-$F$364)&amp;" day "&amp;HOUR(J371-$F$364)&amp;" hour "&amp;MINUTE(J371-$F$364)&amp;" minute )","xxx"))))))</f>
        <v>DELAY ( 6 day 7 hour 18 minute )</v>
      </c>
      <c r="O371" s="51"/>
      <c r="P371" s="415" t="s">
        <v>551</v>
      </c>
      <c r="Q371" s="415" t="s">
        <v>551</v>
      </c>
      <c r="R371" s="415" t="s">
        <v>551</v>
      </c>
      <c r="S371" s="32"/>
      <c r="T371" s="416"/>
      <c r="U371" s="416"/>
      <c r="V371" s="416"/>
      <c r="W371" s="416"/>
      <c r="X371" s="416"/>
      <c r="Y371" s="416"/>
      <c r="Z371" s="416"/>
      <c r="AA371" s="416"/>
      <c r="AB371" s="416"/>
      <c r="AC371" s="434">
        <f>H371</f>
        <v>7317.37</v>
      </c>
      <c r="AD371" s="416"/>
      <c r="AE371" s="416"/>
      <c r="AF371" s="416"/>
      <c r="AG371" s="416"/>
      <c r="AH371" s="416"/>
      <c r="AI371" s="416"/>
      <c r="AJ371" s="416"/>
      <c r="AK371" s="416"/>
      <c r="AL371" s="416"/>
      <c r="AM371" s="416"/>
      <c r="AN371" s="416"/>
      <c r="AO371" s="416"/>
      <c r="AP371" s="416"/>
      <c r="AQ371" s="416"/>
      <c r="AR371" s="416"/>
      <c r="AS371" s="416"/>
      <c r="AT371" s="416"/>
      <c r="AU371" s="416"/>
      <c r="AV371" s="416"/>
      <c r="AW371" s="416"/>
      <c r="AX371" s="416"/>
      <c r="AY371" s="416"/>
      <c r="AZ371" s="416"/>
      <c r="BA371" s="416"/>
      <c r="BB371" s="32"/>
    </row>
    <row r="372" spans="2:54">
      <c r="B372" s="1256" t="s">
        <v>548</v>
      </c>
      <c r="C372" s="1257"/>
      <c r="D372" s="411" t="s">
        <v>2366</v>
      </c>
      <c r="E372" s="411"/>
      <c r="F372" s="411" t="s">
        <v>367</v>
      </c>
      <c r="G372" s="411" t="s">
        <v>368</v>
      </c>
      <c r="H372" s="412">
        <v>8286.9509999999991</v>
      </c>
      <c r="I372" s="413" t="s">
        <v>235</v>
      </c>
      <c r="J372" s="414">
        <v>45158.684027777781</v>
      </c>
      <c r="K372" s="414"/>
      <c r="L372" s="414" t="s">
        <v>192</v>
      </c>
      <c r="M372" s="414" t="s">
        <v>192</v>
      </c>
      <c r="N372" s="413" t="str">
        <f t="shared" si="31"/>
        <v>DELAY ( 7 day 13 hour 43 minute )</v>
      </c>
      <c r="O372" s="51"/>
      <c r="P372" s="415" t="s">
        <v>551</v>
      </c>
      <c r="Q372" s="415" t="s">
        <v>551</v>
      </c>
      <c r="R372" s="415" t="s">
        <v>551</v>
      </c>
      <c r="S372" s="32"/>
      <c r="T372" s="416"/>
      <c r="U372" s="416"/>
      <c r="V372" s="416"/>
      <c r="W372" s="416"/>
      <c r="X372" s="416"/>
      <c r="Y372" s="416"/>
      <c r="Z372" s="416"/>
      <c r="AA372" s="416"/>
      <c r="AB372" s="434">
        <f>H372</f>
        <v>8286.9509999999991</v>
      </c>
      <c r="AC372" s="32"/>
      <c r="AD372" s="416"/>
      <c r="AE372" s="416"/>
      <c r="AF372" s="416"/>
      <c r="AG372" s="416"/>
      <c r="AH372" s="416"/>
      <c r="AI372" s="416"/>
      <c r="AJ372" s="416"/>
      <c r="AK372" s="416"/>
      <c r="AL372" s="416"/>
      <c r="AM372" s="416"/>
      <c r="AN372" s="416"/>
      <c r="AO372" s="416"/>
      <c r="AP372" s="416"/>
      <c r="AQ372" s="416"/>
      <c r="AR372" s="416"/>
      <c r="AS372" s="416"/>
      <c r="AT372" s="416"/>
      <c r="AU372" s="416"/>
      <c r="AV372" s="416"/>
      <c r="AW372" s="416"/>
      <c r="AX372" s="416"/>
      <c r="AY372" s="416"/>
      <c r="AZ372" s="416"/>
      <c r="BA372" s="416"/>
      <c r="BB372" s="32"/>
    </row>
    <row r="373" spans="2:54">
      <c r="B373" s="1250" t="s">
        <v>653</v>
      </c>
      <c r="C373" s="1251"/>
      <c r="D373" s="411" t="s">
        <v>2367</v>
      </c>
      <c r="E373" s="411"/>
      <c r="F373" s="411" t="s">
        <v>1240</v>
      </c>
      <c r="G373" s="411" t="s">
        <v>1241</v>
      </c>
      <c r="H373" s="412">
        <v>7510.9160000000002</v>
      </c>
      <c r="I373" s="413" t="s">
        <v>173</v>
      </c>
      <c r="J373" s="414">
        <v>45157.690972222219</v>
      </c>
      <c r="K373" s="414"/>
      <c r="L373" s="414" t="s">
        <v>192</v>
      </c>
      <c r="M373" s="414" t="s">
        <v>192</v>
      </c>
      <c r="N373" s="413" t="str">
        <f t="shared" si="31"/>
        <v>DELAY ( 6 day 13 hour 53 minute )</v>
      </c>
      <c r="O373" s="51"/>
      <c r="P373" s="415" t="s">
        <v>551</v>
      </c>
      <c r="Q373" s="415" t="s">
        <v>551</v>
      </c>
      <c r="R373" s="415" t="s">
        <v>551</v>
      </c>
      <c r="S373" s="32"/>
      <c r="T373" s="416"/>
      <c r="U373" s="416"/>
      <c r="V373" s="416"/>
      <c r="W373" s="416"/>
      <c r="X373" s="416"/>
      <c r="Y373" s="416"/>
      <c r="Z373" s="416"/>
      <c r="AA373" s="416"/>
      <c r="AB373" s="416"/>
      <c r="AC373" s="416"/>
      <c r="AD373" s="416"/>
      <c r="AE373" s="416"/>
      <c r="AF373" s="416"/>
      <c r="AG373" s="416"/>
      <c r="AH373" s="416"/>
      <c r="AI373" s="416"/>
      <c r="AJ373" s="416"/>
      <c r="AK373" s="416"/>
      <c r="AL373" s="416"/>
      <c r="AM373" s="416"/>
      <c r="AN373" s="416"/>
      <c r="AO373" s="416"/>
      <c r="AP373" s="416"/>
      <c r="AQ373" s="416"/>
      <c r="AR373" s="416"/>
      <c r="AS373" s="416"/>
      <c r="AT373" s="416"/>
      <c r="AU373" s="416"/>
      <c r="AV373" s="416"/>
      <c r="AW373" s="416"/>
      <c r="AX373" s="416"/>
      <c r="AY373" s="416"/>
      <c r="AZ373" s="416">
        <f>H373</f>
        <v>7510.9160000000002</v>
      </c>
      <c r="BA373" s="416"/>
      <c r="BB373" s="32"/>
    </row>
    <row r="374" spans="2:54">
      <c r="B374" s="1254"/>
      <c r="C374" s="1255"/>
      <c r="D374" s="411" t="s">
        <v>2368</v>
      </c>
      <c r="E374" s="411"/>
      <c r="F374" s="411" t="s">
        <v>489</v>
      </c>
      <c r="G374" s="411" t="s">
        <v>483</v>
      </c>
      <c r="H374" s="412">
        <v>7353.6350000000002</v>
      </c>
      <c r="I374" s="413" t="s">
        <v>240</v>
      </c>
      <c r="J374" s="414">
        <v>45158.461805555555</v>
      </c>
      <c r="K374" s="414"/>
      <c r="L374" s="414" t="s">
        <v>192</v>
      </c>
      <c r="M374" s="414" t="s">
        <v>192</v>
      </c>
      <c r="N374" s="413" t="str">
        <f t="shared" si="31"/>
        <v>DELAY ( 7 day 8 hour 23 minute )</v>
      </c>
      <c r="O374" s="51"/>
      <c r="P374" s="415" t="s">
        <v>551</v>
      </c>
      <c r="Q374" s="415" t="s">
        <v>551</v>
      </c>
      <c r="R374" s="415" t="s">
        <v>551</v>
      </c>
      <c r="S374" s="32"/>
      <c r="T374" s="416"/>
      <c r="U374" s="416"/>
      <c r="V374" s="416"/>
      <c r="W374" s="416"/>
      <c r="X374" s="416"/>
      <c r="Y374" s="463"/>
      <c r="Z374" s="416"/>
      <c r="AA374" s="416"/>
      <c r="AB374" s="32"/>
      <c r="AC374" s="416">
        <f>H374</f>
        <v>7353.6350000000002</v>
      </c>
      <c r="AD374" s="416"/>
      <c r="AE374" s="416"/>
      <c r="AF374" s="416"/>
      <c r="AG374" s="416"/>
      <c r="AH374" s="416"/>
      <c r="AI374" s="416"/>
      <c r="AJ374" s="416"/>
      <c r="AK374" s="416"/>
      <c r="AL374" s="416"/>
      <c r="AM374" s="416"/>
      <c r="AN374" s="416"/>
      <c r="AO374" s="416"/>
      <c r="AP374" s="416"/>
      <c r="AQ374" s="416"/>
      <c r="AR374" s="416"/>
      <c r="AS374" s="416"/>
      <c r="AT374" s="416"/>
      <c r="AU374" s="416"/>
      <c r="AV374" s="416"/>
      <c r="AW374" s="416"/>
      <c r="AX374" s="416"/>
      <c r="AY374" s="416"/>
      <c r="AZ374" s="416"/>
      <c r="BA374" s="416"/>
      <c r="BB374" s="32"/>
    </row>
    <row r="375" spans="2:54">
      <c r="B375" s="1256" t="s">
        <v>548</v>
      </c>
      <c r="C375" s="1257"/>
      <c r="D375" s="411" t="s">
        <v>2369</v>
      </c>
      <c r="E375" s="411"/>
      <c r="F375" s="411" t="s">
        <v>422</v>
      </c>
      <c r="G375" s="411" t="s">
        <v>375</v>
      </c>
      <c r="H375" s="412">
        <v>7329.7610000000004</v>
      </c>
      <c r="I375" s="413" t="s">
        <v>235</v>
      </c>
      <c r="J375" s="414">
        <v>45158.677083333336</v>
      </c>
      <c r="K375" s="414"/>
      <c r="L375" s="414" t="s">
        <v>192</v>
      </c>
      <c r="M375" s="414" t="s">
        <v>192</v>
      </c>
      <c r="N375" s="413" t="str">
        <f t="shared" si="31"/>
        <v>DELAY ( 7 day 13 hour 33 minute )</v>
      </c>
      <c r="O375" s="51"/>
      <c r="P375" s="415" t="s">
        <v>551</v>
      </c>
      <c r="Q375" s="415" t="s">
        <v>551</v>
      </c>
      <c r="R375" s="415" t="s">
        <v>551</v>
      </c>
      <c r="S375" s="32"/>
      <c r="T375" s="416"/>
      <c r="U375" s="416"/>
      <c r="V375" s="416"/>
      <c r="W375" s="416"/>
      <c r="X375" s="416"/>
      <c r="Y375" s="416"/>
      <c r="Z375" s="416"/>
      <c r="AA375" s="416"/>
      <c r="AB375" s="416">
        <f>H375</f>
        <v>7329.7610000000004</v>
      </c>
      <c r="AC375" s="416"/>
      <c r="AD375" s="416"/>
      <c r="AE375" s="416"/>
      <c r="AF375" s="416"/>
      <c r="AG375" s="416"/>
      <c r="AH375" s="416"/>
      <c r="AI375" s="416"/>
      <c r="AJ375" s="416"/>
      <c r="AK375" s="416"/>
      <c r="AL375" s="416"/>
      <c r="AM375" s="416"/>
      <c r="AN375" s="416"/>
      <c r="AO375" s="416"/>
      <c r="AP375" s="463"/>
      <c r="AQ375" s="416"/>
      <c r="AR375" s="416"/>
      <c r="AS375" s="416"/>
      <c r="AT375" s="416"/>
      <c r="AU375" s="416"/>
      <c r="AV375" s="416"/>
      <c r="AW375" s="416"/>
      <c r="AX375" s="416"/>
      <c r="AY375" s="416"/>
      <c r="AZ375" s="416"/>
      <c r="BA375" s="416"/>
      <c r="BB375" s="32"/>
    </row>
    <row r="376" spans="2:54">
      <c r="B376" s="1256" t="s">
        <v>548</v>
      </c>
      <c r="C376" s="1257"/>
      <c r="D376" s="411" t="s">
        <v>2370</v>
      </c>
      <c r="E376" s="411"/>
      <c r="F376" s="411" t="s">
        <v>284</v>
      </c>
      <c r="G376" s="411" t="s">
        <v>285</v>
      </c>
      <c r="H376" s="412">
        <f>9179.852-1581.91</f>
        <v>7597.9420000000009</v>
      </c>
      <c r="I376" s="413" t="s">
        <v>235</v>
      </c>
      <c r="J376" s="414">
        <v>45159.666666666664</v>
      </c>
      <c r="K376" s="414"/>
      <c r="L376" s="414" t="s">
        <v>192</v>
      </c>
      <c r="M376" s="414" t="s">
        <v>192</v>
      </c>
      <c r="N376" s="413" t="str">
        <f t="shared" si="31"/>
        <v>DELAY ( 8 day 13 hour 18 minute )</v>
      </c>
      <c r="O376" s="51"/>
      <c r="P376" s="415" t="s">
        <v>551</v>
      </c>
      <c r="Q376" s="415" t="s">
        <v>551</v>
      </c>
      <c r="R376" s="415" t="s">
        <v>551</v>
      </c>
      <c r="S376" s="32"/>
      <c r="T376" s="416"/>
      <c r="U376" s="416"/>
      <c r="V376" s="416"/>
      <c r="W376" s="416"/>
      <c r="X376" s="416"/>
      <c r="Y376" s="416"/>
      <c r="Z376" s="416"/>
      <c r="AA376" s="416"/>
      <c r="AB376" s="416">
        <f>H376-H380</f>
        <v>6337.2320000000009</v>
      </c>
      <c r="AC376" s="416"/>
      <c r="AD376" s="416"/>
      <c r="AE376" s="416"/>
      <c r="AF376" s="416"/>
      <c r="AG376" s="416"/>
      <c r="AH376" s="416"/>
      <c r="AI376" s="416"/>
      <c r="AJ376" s="416"/>
      <c r="AK376" s="416"/>
      <c r="AL376" s="416"/>
      <c r="AM376" s="416"/>
      <c r="AN376" s="416"/>
      <c r="AO376" s="416"/>
      <c r="AP376" s="416"/>
      <c r="AQ376" s="416"/>
      <c r="AR376" s="416"/>
      <c r="AS376" s="416"/>
      <c r="AT376" s="416"/>
      <c r="AU376" s="416"/>
      <c r="AV376" s="416"/>
      <c r="AW376" s="416"/>
      <c r="AX376" s="416"/>
      <c r="AY376" s="416"/>
      <c r="AZ376" s="416"/>
      <c r="BA376" s="416"/>
      <c r="BB376" s="32"/>
    </row>
    <row r="377" spans="2:54">
      <c r="B377" s="1258" t="s">
        <v>556</v>
      </c>
      <c r="C377" s="1259"/>
      <c r="D377" s="1259"/>
      <c r="E377" s="1259"/>
      <c r="F377" s="1259"/>
      <c r="G377" s="1260"/>
      <c r="H377" s="417">
        <f>SUM(H370:H376)</f>
        <v>52700</v>
      </c>
      <c r="I377" s="388"/>
      <c r="J377" s="293"/>
      <c r="K377" s="293"/>
      <c r="L377" s="293"/>
      <c r="M377" s="389"/>
      <c r="N377" s="413" t="str">
        <f t="shared" si="31"/>
        <v xml:space="preserve"> </v>
      </c>
      <c r="O377" s="212"/>
      <c r="P377" s="418"/>
      <c r="Q377" s="418"/>
      <c r="R377" s="418"/>
      <c r="S377" s="207"/>
      <c r="T377" s="1300"/>
      <c r="U377" s="1301"/>
      <c r="V377" s="1301"/>
      <c r="W377" s="1301"/>
      <c r="X377" s="1301"/>
      <c r="Y377" s="1301"/>
      <c r="Z377" s="1301"/>
      <c r="AA377" s="1301"/>
      <c r="AB377" s="1301"/>
      <c r="AC377" s="1301"/>
      <c r="AD377" s="1301"/>
      <c r="AE377" s="1301"/>
      <c r="AF377" s="1301"/>
      <c r="AG377" s="1301"/>
      <c r="AH377" s="1301"/>
      <c r="AI377" s="1301"/>
      <c r="AJ377" s="1301"/>
      <c r="AK377" s="1301"/>
      <c r="AL377" s="1301"/>
      <c r="AM377" s="1301"/>
      <c r="AN377" s="1301"/>
      <c r="AO377" s="1301"/>
      <c r="AP377" s="1301"/>
      <c r="AQ377" s="1301"/>
      <c r="AR377" s="1301"/>
      <c r="AS377" s="1301"/>
      <c r="AT377" s="1301"/>
      <c r="AU377" s="1301"/>
      <c r="AV377" s="1301"/>
      <c r="AW377" s="1301"/>
      <c r="AX377" s="1301"/>
      <c r="AY377" s="1301"/>
      <c r="AZ377" s="1301"/>
      <c r="BA377" s="1301"/>
    </row>
    <row r="378" spans="2:54">
      <c r="B378" s="1243" t="s">
        <v>557</v>
      </c>
      <c r="C378" s="1244"/>
      <c r="D378" s="1244"/>
      <c r="E378" s="1244"/>
      <c r="F378" s="1244"/>
      <c r="G378" s="1245"/>
      <c r="H378" s="419">
        <v>52700</v>
      </c>
      <c r="I378" s="1273"/>
      <c r="J378" s="1274"/>
      <c r="K378" s="1274"/>
      <c r="L378" s="1274"/>
      <c r="M378" s="1275"/>
      <c r="N378" s="413" t="str">
        <f t="shared" si="31"/>
        <v xml:space="preserve"> </v>
      </c>
      <c r="O378" s="32"/>
      <c r="P378" s="415"/>
      <c r="Q378" s="415"/>
      <c r="R378" s="415"/>
      <c r="S378" s="63"/>
      <c r="T378" s="416">
        <f>SUM(T370:T376)</f>
        <v>0</v>
      </c>
      <c r="U378" s="416">
        <f t="shared" ref="U378:BA378" si="32">SUM(U370:U376)</f>
        <v>0</v>
      </c>
      <c r="V378" s="416">
        <f t="shared" si="32"/>
        <v>0</v>
      </c>
      <c r="W378" s="416">
        <f t="shared" si="32"/>
        <v>0</v>
      </c>
      <c r="X378" s="416">
        <f t="shared" si="32"/>
        <v>0</v>
      </c>
      <c r="Y378" s="416">
        <f t="shared" si="32"/>
        <v>7303.4250000000002</v>
      </c>
      <c r="Z378" s="416">
        <f t="shared" si="32"/>
        <v>0</v>
      </c>
      <c r="AA378" s="416">
        <f t="shared" si="32"/>
        <v>0</v>
      </c>
      <c r="AB378" s="416">
        <f t="shared" si="32"/>
        <v>21953.944</v>
      </c>
      <c r="AC378" s="416">
        <f t="shared" si="32"/>
        <v>14671.005000000001</v>
      </c>
      <c r="AD378" s="416">
        <f t="shared" si="32"/>
        <v>0</v>
      </c>
      <c r="AE378" s="416">
        <f t="shared" si="32"/>
        <v>0</v>
      </c>
      <c r="AF378" s="416">
        <f t="shared" si="32"/>
        <v>0</v>
      </c>
      <c r="AG378" s="416">
        <f t="shared" si="32"/>
        <v>0</v>
      </c>
      <c r="AH378" s="416">
        <f t="shared" si="32"/>
        <v>0</v>
      </c>
      <c r="AI378" s="416">
        <f t="shared" si="32"/>
        <v>0</v>
      </c>
      <c r="AJ378" s="416">
        <f t="shared" si="32"/>
        <v>0</v>
      </c>
      <c r="AK378" s="416">
        <f t="shared" si="32"/>
        <v>0</v>
      </c>
      <c r="AL378" s="416">
        <f t="shared" si="32"/>
        <v>0</v>
      </c>
      <c r="AM378" s="416">
        <f t="shared" si="32"/>
        <v>0</v>
      </c>
      <c r="AN378" s="416">
        <f t="shared" si="32"/>
        <v>0</v>
      </c>
      <c r="AO378" s="416">
        <f t="shared" si="32"/>
        <v>0</v>
      </c>
      <c r="AP378" s="416">
        <f t="shared" si="32"/>
        <v>0</v>
      </c>
      <c r="AQ378" s="416">
        <f t="shared" si="32"/>
        <v>0</v>
      </c>
      <c r="AR378" s="416">
        <f t="shared" si="32"/>
        <v>0</v>
      </c>
      <c r="AS378" s="416">
        <f t="shared" si="32"/>
        <v>0</v>
      </c>
      <c r="AT378" s="416">
        <f t="shared" si="32"/>
        <v>0</v>
      </c>
      <c r="AU378" s="416">
        <f t="shared" si="32"/>
        <v>0</v>
      </c>
      <c r="AV378" s="416">
        <f t="shared" si="32"/>
        <v>0</v>
      </c>
      <c r="AW378" s="416">
        <f t="shared" si="32"/>
        <v>0</v>
      </c>
      <c r="AX378" s="416">
        <f t="shared" si="32"/>
        <v>0</v>
      </c>
      <c r="AY378" s="416">
        <f t="shared" si="32"/>
        <v>0</v>
      </c>
      <c r="AZ378" s="416">
        <f t="shared" si="32"/>
        <v>7510.9160000000002</v>
      </c>
      <c r="BA378" s="416">
        <f t="shared" si="32"/>
        <v>0</v>
      </c>
      <c r="BB378" s="416">
        <f>SUM(T378:BA378)</f>
        <v>51439.289999999994</v>
      </c>
    </row>
    <row r="379" spans="2:54">
      <c r="B379" s="1243" t="s">
        <v>558</v>
      </c>
      <c r="C379" s="1244"/>
      <c r="D379" s="1244"/>
      <c r="E379" s="1244"/>
      <c r="F379" s="1244"/>
      <c r="G379" s="1245"/>
      <c r="H379" s="420">
        <f>H378-L364</f>
        <v>0</v>
      </c>
      <c r="I379" s="294"/>
      <c r="J379" s="295"/>
      <c r="K379" s="295"/>
      <c r="L379" s="296"/>
      <c r="M379" s="32"/>
      <c r="N379" s="32"/>
      <c r="O379" s="32"/>
      <c r="P379" s="32"/>
      <c r="Q379" s="297"/>
      <c r="R379" s="297"/>
      <c r="S379" s="32"/>
      <c r="T379" s="48"/>
      <c r="U379" s="48"/>
      <c r="V379" s="48"/>
      <c r="W379" s="48"/>
      <c r="X379" s="48"/>
      <c r="Y379" s="48"/>
      <c r="Z379" s="48"/>
      <c r="AA379" s="48"/>
      <c r="AB379" s="48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</row>
    <row r="380" spans="2:54">
      <c r="B380" s="1243" t="s">
        <v>559</v>
      </c>
      <c r="C380" s="1244"/>
      <c r="D380" s="1244"/>
      <c r="E380" s="1244"/>
      <c r="F380" s="1244"/>
      <c r="G380" s="1245"/>
      <c r="H380" s="446">
        <v>1260.71</v>
      </c>
      <c r="I380" s="52"/>
      <c r="J380" s="53"/>
      <c r="K380" s="53"/>
      <c r="L380" s="54"/>
      <c r="M380" s="32"/>
      <c r="N380" s="201"/>
      <c r="O380" s="32"/>
      <c r="P380" s="32"/>
      <c r="Q380" s="32"/>
      <c r="R380" s="32"/>
      <c r="S380" s="32"/>
      <c r="T380" s="48"/>
      <c r="U380" s="48"/>
      <c r="V380" s="48"/>
      <c r="W380" s="48"/>
      <c r="X380" s="48"/>
      <c r="Y380" s="48"/>
      <c r="Z380" s="48"/>
      <c r="AA380" s="48"/>
      <c r="AB380" s="48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</row>
    <row r="381" spans="2:54">
      <c r="B381" s="1243" t="s">
        <v>560</v>
      </c>
      <c r="C381" s="1244"/>
      <c r="D381" s="1244"/>
      <c r="E381" s="1244"/>
      <c r="F381" s="1244"/>
      <c r="G381" s="1245"/>
      <c r="H381" s="421">
        <f>H380-1581.91</f>
        <v>-321.20000000000005</v>
      </c>
      <c r="I381" s="52"/>
      <c r="J381" s="53"/>
      <c r="K381" s="53"/>
      <c r="L381" s="54"/>
      <c r="M381" s="32"/>
      <c r="N381" s="32"/>
      <c r="O381" s="32"/>
      <c r="P381" s="32"/>
      <c r="Q381" s="32"/>
      <c r="R381" s="32"/>
      <c r="S381" s="48"/>
      <c r="T381" s="48"/>
      <c r="U381" s="48"/>
      <c r="V381" s="48"/>
      <c r="W381" s="48"/>
      <c r="X381" s="48"/>
      <c r="Y381" s="48"/>
      <c r="Z381" s="48"/>
      <c r="AA381" s="48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</row>
    <row r="382" spans="2:54">
      <c r="B382" s="201"/>
      <c r="C382" s="201"/>
      <c r="D382" s="201"/>
      <c r="E382" s="201"/>
      <c r="F382" s="201"/>
      <c r="G382" s="201"/>
      <c r="H382" s="201"/>
      <c r="I382" s="213"/>
      <c r="J382" s="209"/>
      <c r="K382" s="209"/>
      <c r="L382" s="203"/>
      <c r="M382" s="201"/>
      <c r="N382" s="201"/>
      <c r="O382" s="209"/>
      <c r="P382" s="32"/>
      <c r="Q382" s="32"/>
      <c r="R382" s="32"/>
      <c r="S382" s="32"/>
      <c r="T382" s="48"/>
      <c r="U382" s="48"/>
      <c r="V382" s="48"/>
      <c r="W382" s="48"/>
      <c r="X382" s="48"/>
      <c r="Y382" s="48"/>
      <c r="Z382" s="48"/>
      <c r="AA382" s="48"/>
      <c r="AB382" s="48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</row>
    <row r="383" spans="2:54">
      <c r="B383" s="40" t="s">
        <v>561</v>
      </c>
      <c r="C383" s="40"/>
      <c r="D383" s="32"/>
      <c r="E383" s="32"/>
      <c r="F383" s="32"/>
      <c r="G383" s="32"/>
      <c r="H383" s="32"/>
      <c r="I383" s="32"/>
      <c r="J383" s="52"/>
      <c r="K383" s="52"/>
      <c r="L383" s="55"/>
      <c r="M383" s="32"/>
      <c r="N383" s="201"/>
      <c r="O383" s="5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  <c r="AA383" s="202"/>
      <c r="AB383" s="201"/>
      <c r="AC383" s="201"/>
      <c r="AD383" s="201"/>
      <c r="AE383" s="201"/>
      <c r="AF383" s="201"/>
      <c r="AG383" s="201"/>
      <c r="AH383" s="201"/>
      <c r="AI383" s="201"/>
      <c r="AJ383" s="201"/>
      <c r="AK383" s="201"/>
      <c r="AL383" s="201"/>
      <c r="AM383" s="201"/>
      <c r="AN383" s="201"/>
      <c r="AO383" s="201"/>
      <c r="AP383" s="201"/>
      <c r="AQ383" s="201"/>
      <c r="AR383" s="201"/>
      <c r="AS383" s="201"/>
      <c r="AT383" s="201"/>
      <c r="AU383" s="201"/>
      <c r="BB383" s="201"/>
    </row>
    <row r="384" spans="2:54">
      <c r="B384" s="422">
        <v>1</v>
      </c>
      <c r="C384" s="1249" t="s">
        <v>2354</v>
      </c>
      <c r="D384" s="1249"/>
      <c r="E384" s="1249"/>
      <c r="F384" s="1249"/>
      <c r="G384" s="1249"/>
      <c r="H384" s="1249"/>
      <c r="I384" s="1249"/>
      <c r="J384" s="1249"/>
      <c r="K384" s="1249"/>
      <c r="L384" s="203"/>
      <c r="M384" s="203"/>
      <c r="N384" s="201"/>
      <c r="O384" s="209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  <c r="AA384" s="202"/>
      <c r="AB384" s="201"/>
      <c r="AC384" s="201"/>
      <c r="AD384" s="201"/>
      <c r="AE384" s="201"/>
      <c r="AF384" s="201"/>
      <c r="AG384" s="201"/>
      <c r="AH384" s="201"/>
      <c r="AI384" s="201"/>
      <c r="AJ384" s="201"/>
      <c r="AK384" s="201"/>
      <c r="AL384" s="201"/>
      <c r="AM384" s="201"/>
      <c r="AN384" s="201"/>
      <c r="AO384" s="201"/>
      <c r="AP384" s="201"/>
      <c r="AQ384" s="201"/>
      <c r="AR384" s="201"/>
      <c r="AS384" s="201"/>
      <c r="AT384" s="201"/>
      <c r="AU384" s="201"/>
      <c r="AV384" s="201"/>
      <c r="AW384" s="201"/>
      <c r="AX384" s="201"/>
      <c r="AY384" s="201"/>
      <c r="AZ384" s="201"/>
      <c r="BA384" s="201"/>
      <c r="BB384" s="201"/>
    </row>
    <row r="386" spans="2:54">
      <c r="B386" s="28" t="s">
        <v>126</v>
      </c>
      <c r="C386" s="28"/>
      <c r="D386" s="29"/>
      <c r="E386" s="30" t="s">
        <v>511</v>
      </c>
      <c r="F386" s="31" t="s">
        <v>2371</v>
      </c>
      <c r="G386" s="32"/>
      <c r="H386" s="33"/>
      <c r="I386" s="34"/>
      <c r="J386" s="35" t="s">
        <v>513</v>
      </c>
      <c r="K386" s="36" t="s">
        <v>511</v>
      </c>
      <c r="L386" s="37">
        <v>45161.729166666664</v>
      </c>
      <c r="M386" s="32"/>
      <c r="N386" s="32"/>
      <c r="O386" s="36"/>
      <c r="P386" s="33"/>
      <c r="Q386" s="48"/>
      <c r="R386" s="49"/>
      <c r="S386" s="38"/>
      <c r="T386" s="32"/>
      <c r="U386" s="32"/>
      <c r="V386" s="32"/>
      <c r="W386" s="32"/>
      <c r="X386" s="32"/>
      <c r="Y386" s="32"/>
      <c r="Z386" s="32"/>
      <c r="AA386" s="32"/>
      <c r="AB386" s="48"/>
      <c r="AC386" s="48"/>
      <c r="AD386" s="48"/>
      <c r="AE386" s="48"/>
      <c r="AF386" s="48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</row>
    <row r="387" spans="2:54">
      <c r="B387" s="35" t="s">
        <v>514</v>
      </c>
      <c r="C387" s="35"/>
      <c r="D387" s="32"/>
      <c r="E387" s="36" t="s">
        <v>511</v>
      </c>
      <c r="F387" s="311" t="s">
        <v>2372</v>
      </c>
      <c r="G387" s="32"/>
      <c r="H387" s="33"/>
      <c r="I387" s="34"/>
      <c r="J387" s="35" t="s">
        <v>516</v>
      </c>
      <c r="K387" s="36" t="s">
        <v>511</v>
      </c>
      <c r="L387" s="37">
        <v>45163.489583333336</v>
      </c>
      <c r="M387" s="32"/>
      <c r="N387" s="32"/>
      <c r="O387" s="36"/>
      <c r="P387" s="33"/>
      <c r="Q387" s="48"/>
      <c r="R387" s="49"/>
      <c r="S387" s="38"/>
      <c r="T387" s="32"/>
      <c r="U387" s="32"/>
      <c r="V387" s="32"/>
      <c r="W387" s="32"/>
      <c r="X387" s="32"/>
      <c r="Y387" s="32"/>
      <c r="Z387" s="32"/>
      <c r="AA387" s="32"/>
      <c r="AB387" s="48"/>
      <c r="AC387" s="48"/>
      <c r="AD387" s="48"/>
      <c r="AE387" s="48"/>
      <c r="AF387" s="48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</row>
    <row r="388" spans="2:54">
      <c r="B388" s="35" t="s">
        <v>517</v>
      </c>
      <c r="C388" s="35"/>
      <c r="D388" s="32"/>
      <c r="E388" s="36" t="s">
        <v>511</v>
      </c>
      <c r="F388" s="37">
        <v>45160.04583333333</v>
      </c>
      <c r="G388" s="32"/>
      <c r="H388" s="33"/>
      <c r="I388" s="34"/>
      <c r="J388" s="35" t="s">
        <v>518</v>
      </c>
      <c r="K388" s="36" t="s">
        <v>511</v>
      </c>
      <c r="L388" s="50">
        <v>19530</v>
      </c>
      <c r="M388" s="40" t="s">
        <v>519</v>
      </c>
      <c r="N388" s="40"/>
      <c r="O388" s="36"/>
      <c r="P388" s="33"/>
      <c r="Q388" s="48"/>
      <c r="R388" s="49"/>
      <c r="S388" s="38"/>
      <c r="T388" s="32"/>
      <c r="U388" s="32"/>
      <c r="V388" s="32"/>
      <c r="W388" s="32"/>
      <c r="X388" s="32"/>
      <c r="Y388" s="32"/>
      <c r="Z388" s="32"/>
      <c r="AA388" s="32"/>
      <c r="AB388" s="48"/>
      <c r="AC388" s="48"/>
      <c r="AD388" s="48"/>
      <c r="AE388" s="48"/>
      <c r="AF388" s="48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</row>
    <row r="389" spans="2:54">
      <c r="B389" s="35" t="s">
        <v>520</v>
      </c>
      <c r="C389" s="35"/>
      <c r="D389" s="32"/>
      <c r="E389" s="36" t="s">
        <v>511</v>
      </c>
      <c r="F389" s="37" t="s">
        <v>16</v>
      </c>
      <c r="G389" s="32"/>
      <c r="H389" s="33"/>
      <c r="I389" s="34"/>
      <c r="J389" s="35" t="s">
        <v>521</v>
      </c>
      <c r="K389" s="36" t="s">
        <v>511</v>
      </c>
      <c r="L389" s="41" t="s">
        <v>2373</v>
      </c>
      <c r="M389" s="32"/>
      <c r="N389" s="32"/>
      <c r="O389" s="36"/>
      <c r="P389" s="48"/>
      <c r="Q389" s="48"/>
      <c r="R389" s="49"/>
      <c r="S389" s="38"/>
      <c r="T389" s="32"/>
      <c r="U389" s="32"/>
      <c r="V389" s="32"/>
      <c r="W389" s="32"/>
      <c r="X389" s="32"/>
      <c r="Y389" s="32"/>
      <c r="Z389" s="32"/>
      <c r="AA389" s="32"/>
      <c r="AB389" s="48"/>
      <c r="AC389" s="48"/>
      <c r="AD389" s="48"/>
      <c r="AE389" s="48"/>
      <c r="AF389" s="48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</row>
    <row r="390" spans="2:54">
      <c r="B390" s="35" t="s">
        <v>523</v>
      </c>
      <c r="C390" s="35"/>
      <c r="D390" s="32"/>
      <c r="E390" s="36" t="s">
        <v>511</v>
      </c>
      <c r="F390" s="37" t="s">
        <v>45</v>
      </c>
      <c r="G390" s="32"/>
      <c r="H390" s="33"/>
      <c r="I390" s="34"/>
      <c r="J390" s="42" t="s">
        <v>524</v>
      </c>
      <c r="K390" s="36" t="s">
        <v>511</v>
      </c>
      <c r="L390" s="43" t="s">
        <v>11</v>
      </c>
      <c r="M390" s="44"/>
      <c r="N390" s="44"/>
      <c r="O390" s="36"/>
      <c r="P390" s="33"/>
      <c r="Q390" s="48"/>
      <c r="R390" s="49"/>
      <c r="S390" s="38"/>
      <c r="T390" s="32"/>
      <c r="U390" s="32"/>
      <c r="V390" s="32"/>
      <c r="W390" s="32"/>
      <c r="X390" s="32"/>
      <c r="Y390" s="32"/>
      <c r="Z390" s="32"/>
      <c r="AA390" s="32"/>
      <c r="AB390" s="48"/>
      <c r="AC390" s="48"/>
      <c r="AD390" s="48"/>
      <c r="AE390" s="48"/>
      <c r="AF390" s="48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</row>
    <row r="391" spans="2:54">
      <c r="B391" s="35" t="s">
        <v>2</v>
      </c>
      <c r="C391" s="35"/>
      <c r="D391" s="32"/>
      <c r="E391" s="36" t="s">
        <v>511</v>
      </c>
      <c r="F391" s="37" t="s">
        <v>31</v>
      </c>
      <c r="G391" s="32"/>
      <c r="H391" s="33"/>
      <c r="I391" s="45"/>
      <c r="J391" s="42"/>
      <c r="K391" s="36"/>
      <c r="L391" s="37"/>
      <c r="M391" s="32"/>
      <c r="N391" s="32"/>
      <c r="O391" s="42"/>
      <c r="P391" s="44"/>
      <c r="Q391" s="44"/>
      <c r="R391" s="44"/>
      <c r="S391" s="34"/>
      <c r="T391" s="32"/>
      <c r="U391" s="32"/>
      <c r="V391" s="32"/>
      <c r="W391" s="32"/>
      <c r="X391" s="32"/>
      <c r="Y391" s="32"/>
      <c r="Z391" s="32"/>
      <c r="AA391" s="32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</row>
    <row r="392" spans="2:54">
      <c r="B392" s="32"/>
      <c r="C392" s="32"/>
      <c r="D392" s="32"/>
      <c r="E392" s="32"/>
      <c r="F392" s="32"/>
      <c r="G392" s="32"/>
      <c r="H392" s="32"/>
      <c r="I392" s="45"/>
      <c r="J392" s="42"/>
      <c r="K392" s="42"/>
      <c r="L392" s="43"/>
      <c r="M392" s="44"/>
      <c r="N392" s="44"/>
      <c r="O392" s="42"/>
      <c r="P392" s="44"/>
      <c r="Q392" s="44"/>
      <c r="R392" s="44"/>
      <c r="S392" s="34"/>
      <c r="T392" s="1270" t="s">
        <v>87</v>
      </c>
      <c r="U392" s="1270"/>
      <c r="V392" s="1270"/>
      <c r="W392" s="1270"/>
      <c r="X392" s="1270"/>
      <c r="Y392" s="1270" t="s">
        <v>73</v>
      </c>
      <c r="Z392" s="1270"/>
      <c r="AA392" s="1270"/>
      <c r="AB392" s="1270" t="s">
        <v>74</v>
      </c>
      <c r="AC392" s="1270"/>
      <c r="AD392" s="407" t="s">
        <v>85</v>
      </c>
      <c r="AE392" s="407" t="s">
        <v>77</v>
      </c>
      <c r="AF392" s="1270" t="s">
        <v>525</v>
      </c>
      <c r="AG392" s="1270"/>
      <c r="AH392" s="1270"/>
      <c r="AI392" s="1270"/>
      <c r="AJ392" s="1270"/>
      <c r="AK392" s="1270"/>
      <c r="AL392" s="1270"/>
      <c r="AM392" s="1270"/>
      <c r="AN392" s="1270"/>
      <c r="AO392" s="1270"/>
      <c r="AP392" s="1270"/>
      <c r="AQ392" s="1270"/>
      <c r="AR392" s="1270"/>
      <c r="AS392" s="1270"/>
      <c r="AT392" s="1270"/>
      <c r="AU392" s="1270"/>
      <c r="AV392" s="1270"/>
      <c r="AW392" s="1270"/>
      <c r="AX392" s="1270"/>
      <c r="AY392" s="1270"/>
      <c r="AZ392" s="1270"/>
      <c r="BA392" s="1270"/>
      <c r="BB392" s="32"/>
    </row>
    <row r="393" spans="2:54">
      <c r="B393" s="1266" t="s">
        <v>526</v>
      </c>
      <c r="C393" s="1267"/>
      <c r="D393" s="570" t="s">
        <v>527</v>
      </c>
      <c r="E393" s="570"/>
      <c r="F393" s="570" t="s">
        <v>528</v>
      </c>
      <c r="G393" s="570" t="s">
        <v>529</v>
      </c>
      <c r="H393" s="570" t="s">
        <v>530</v>
      </c>
      <c r="I393" s="570" t="s">
        <v>531</v>
      </c>
      <c r="J393" s="570" t="s">
        <v>532</v>
      </c>
      <c r="K393" s="570"/>
      <c r="L393" s="570" t="s">
        <v>130</v>
      </c>
      <c r="M393" s="570" t="s">
        <v>533</v>
      </c>
      <c r="N393" s="408" t="str">
        <f>"On time - "&amp;COUNTIF(N394:N398,"On time")&amp;" from "&amp;ROWS(N394:N398)-COUNTIF(N394:N398," ")</f>
        <v>On time - 0 from 3</v>
      </c>
      <c r="O393" s="46"/>
      <c r="P393" s="409" t="s">
        <v>534</v>
      </c>
      <c r="Q393" s="409" t="s">
        <v>535</v>
      </c>
      <c r="R393" s="409" t="s">
        <v>536</v>
      </c>
      <c r="S393" s="32"/>
      <c r="T393" s="410" t="s">
        <v>537</v>
      </c>
      <c r="U393" s="410" t="s">
        <v>538</v>
      </c>
      <c r="V393" s="410" t="s">
        <v>539</v>
      </c>
      <c r="W393" s="410" t="s">
        <v>540</v>
      </c>
      <c r="X393" s="410" t="s">
        <v>541</v>
      </c>
      <c r="Y393" s="410" t="s">
        <v>167</v>
      </c>
      <c r="Z393" s="410" t="s">
        <v>168</v>
      </c>
      <c r="AA393" s="410" t="s">
        <v>169</v>
      </c>
      <c r="AB393" s="410" t="s">
        <v>235</v>
      </c>
      <c r="AC393" s="410" t="s">
        <v>240</v>
      </c>
      <c r="AD393" s="407" t="s">
        <v>85</v>
      </c>
      <c r="AE393" s="410" t="s">
        <v>139</v>
      </c>
      <c r="AF393" s="410" t="s">
        <v>72</v>
      </c>
      <c r="AG393" s="410" t="s">
        <v>88</v>
      </c>
      <c r="AH393" s="410" t="s">
        <v>75</v>
      </c>
      <c r="AI393" s="410" t="s">
        <v>543</v>
      </c>
      <c r="AJ393" s="410" t="s">
        <v>78</v>
      </c>
      <c r="AK393" s="410" t="s">
        <v>76</v>
      </c>
      <c r="AL393" s="410" t="s">
        <v>544</v>
      </c>
      <c r="AM393" s="410" t="s">
        <v>545</v>
      </c>
      <c r="AN393" s="410" t="s">
        <v>86</v>
      </c>
      <c r="AO393" s="410" t="s">
        <v>83</v>
      </c>
      <c r="AP393" s="410" t="s">
        <v>84</v>
      </c>
      <c r="AQ393" s="410" t="s">
        <v>546</v>
      </c>
      <c r="AR393" s="410" t="s">
        <v>81</v>
      </c>
      <c r="AS393" s="410" t="s">
        <v>80</v>
      </c>
      <c r="AT393" s="410" t="s">
        <v>82</v>
      </c>
      <c r="AU393" s="410" t="s">
        <v>181</v>
      </c>
      <c r="AV393" s="410" t="s">
        <v>183</v>
      </c>
      <c r="AW393" s="410" t="s">
        <v>547</v>
      </c>
      <c r="AX393" s="410" t="s">
        <v>182</v>
      </c>
      <c r="AY393" s="410" t="s">
        <v>172</v>
      </c>
      <c r="AZ393" s="410" t="s">
        <v>173</v>
      </c>
      <c r="BA393" s="410" t="s">
        <v>184</v>
      </c>
      <c r="BB393" s="32"/>
    </row>
    <row r="394" spans="2:54">
      <c r="B394" s="1256" t="s">
        <v>548</v>
      </c>
      <c r="C394" s="1257"/>
      <c r="D394" s="411" t="s">
        <v>2374</v>
      </c>
      <c r="E394" s="411"/>
      <c r="F394" s="411" t="s">
        <v>361</v>
      </c>
      <c r="G394" s="411" t="s">
        <v>362</v>
      </c>
      <c r="H394" s="412">
        <v>7505.71</v>
      </c>
      <c r="I394" s="413" t="s">
        <v>494</v>
      </c>
      <c r="J394" s="414">
        <v>45161.541666666664</v>
      </c>
      <c r="K394" s="414"/>
      <c r="L394" s="414" t="s">
        <v>192</v>
      </c>
      <c r="M394" s="414" t="s">
        <v>192</v>
      </c>
      <c r="N394" s="413" t="str">
        <f>IF(ISBLANK(J394)," ",IF(J394&lt;$F$388,"On time",(IF(DAY(J394-$F$388)&lt;1,"On time",(IF(J394&gt;$F$388,"DELAY ( "&amp;DAY(J394-$F$388)&amp;" day "&amp;HOUR(J394-$F$388)&amp;" hour "&amp;MINUTE(J394-$F$388)&amp;" minute )","xxx"))))))</f>
        <v>DELAY ( 1 day 11 hour 54 minute )</v>
      </c>
      <c r="O394" s="51"/>
      <c r="P394" s="415" t="s">
        <v>551</v>
      </c>
      <c r="Q394" s="415" t="s">
        <v>551</v>
      </c>
      <c r="R394" s="415" t="s">
        <v>551</v>
      </c>
      <c r="S394" s="32"/>
      <c r="T394" s="416"/>
      <c r="U394" s="416"/>
      <c r="V394" s="416"/>
      <c r="W394" s="416"/>
      <c r="X394" s="416"/>
      <c r="Y394" s="416">
        <f t="shared" ref="Y394" si="33">H394</f>
        <v>7505.71</v>
      </c>
      <c r="Z394" s="416"/>
      <c r="AA394" s="416"/>
      <c r="AB394" s="416"/>
      <c r="AC394" s="416"/>
      <c r="AD394" s="416"/>
      <c r="AE394" s="416"/>
      <c r="AF394" s="416"/>
      <c r="AG394" s="416"/>
      <c r="AH394" s="416"/>
      <c r="AI394" s="416"/>
      <c r="AJ394" s="416"/>
      <c r="AK394" s="416"/>
      <c r="AL394" s="416"/>
      <c r="AM394" s="416"/>
      <c r="AN394" s="416"/>
      <c r="AO394" s="416"/>
      <c r="AP394" s="416"/>
      <c r="AQ394" s="416"/>
      <c r="AR394" s="416"/>
      <c r="AS394" s="416"/>
      <c r="AT394" s="416"/>
      <c r="AU394" s="416"/>
      <c r="AV394" s="416"/>
      <c r="AW394" s="416"/>
      <c r="AX394" s="416"/>
      <c r="AY394" s="416"/>
      <c r="AZ394" s="416"/>
      <c r="BA394" s="416"/>
      <c r="BB394" s="32"/>
    </row>
    <row r="395" spans="2:54">
      <c r="B395" s="1256" t="s">
        <v>548</v>
      </c>
      <c r="C395" s="1257"/>
      <c r="D395" s="411" t="s">
        <v>2375</v>
      </c>
      <c r="E395" s="411"/>
      <c r="F395" s="411" t="s">
        <v>371</v>
      </c>
      <c r="G395" s="411" t="s">
        <v>372</v>
      </c>
      <c r="H395" s="412">
        <v>7506.6220000000003</v>
      </c>
      <c r="I395" s="413" t="s">
        <v>494</v>
      </c>
      <c r="J395" s="414">
        <v>45161.833333333336</v>
      </c>
      <c r="K395" s="414"/>
      <c r="L395" s="414" t="s">
        <v>192</v>
      </c>
      <c r="M395" s="414" t="s">
        <v>192</v>
      </c>
      <c r="N395" s="413" t="str">
        <f t="shared" ref="N395:N398" si="34">IF(ISBLANK(J395)," ",IF(J395&lt;$F$388,"On time",(IF(DAY(J395-$F$388)&lt;1,"On time",(IF(J395&gt;$F$388,"DELAY ( "&amp;DAY(J395-$F$388)&amp;" day "&amp;HOUR(J395-$F$388)&amp;" hour "&amp;MINUTE(J395-$F$388)&amp;" minute )","xxx"))))))</f>
        <v>DELAY ( 1 day 18 hour 54 minute )</v>
      </c>
      <c r="O395" s="51"/>
      <c r="P395" s="415" t="s">
        <v>551</v>
      </c>
      <c r="Q395" s="415" t="s">
        <v>551</v>
      </c>
      <c r="R395" s="415" t="s">
        <v>551</v>
      </c>
      <c r="S395" s="32"/>
      <c r="T395" s="416"/>
      <c r="U395" s="416"/>
      <c r="V395" s="416"/>
      <c r="W395" s="416"/>
      <c r="X395" s="416"/>
      <c r="Y395" s="416">
        <f>H395</f>
        <v>7506.6220000000003</v>
      </c>
      <c r="Z395" s="416"/>
      <c r="AA395" s="416"/>
      <c r="AB395" s="416"/>
      <c r="AC395" s="416"/>
      <c r="AD395" s="416"/>
      <c r="AE395" s="416"/>
      <c r="AF395" s="416"/>
      <c r="AG395" s="416"/>
      <c r="AH395" s="416"/>
      <c r="AI395" s="416"/>
      <c r="AJ395" s="416"/>
      <c r="AK395" s="416"/>
      <c r="AL395" s="416"/>
      <c r="AM395" s="416"/>
      <c r="AN395" s="416"/>
      <c r="AO395" s="416"/>
      <c r="AP395" s="416"/>
      <c r="AQ395" s="416"/>
      <c r="AR395" s="416"/>
      <c r="AS395" s="416"/>
      <c r="AT395" s="416"/>
      <c r="AU395" s="416"/>
      <c r="AV395" s="416"/>
      <c r="AW395" s="416"/>
      <c r="AX395" s="416"/>
      <c r="AY395" s="416"/>
      <c r="AZ395" s="416"/>
      <c r="BA395" s="416"/>
      <c r="BB395" s="32"/>
    </row>
    <row r="396" spans="2:54">
      <c r="B396" s="1256" t="s">
        <v>548</v>
      </c>
      <c r="C396" s="1257"/>
      <c r="D396" s="411" t="s">
        <v>2376</v>
      </c>
      <c r="E396" s="411"/>
      <c r="F396" s="411" t="s">
        <v>774</v>
      </c>
      <c r="G396" s="411" t="s">
        <v>423</v>
      </c>
      <c r="H396" s="412">
        <f>7041.29-2523.622</f>
        <v>4517.6679999999997</v>
      </c>
      <c r="I396" s="413" t="s">
        <v>494</v>
      </c>
      <c r="J396" s="414">
        <v>45162.583333333336</v>
      </c>
      <c r="K396" s="414"/>
      <c r="L396" s="414" t="s">
        <v>192</v>
      </c>
      <c r="M396" s="414" t="s">
        <v>192</v>
      </c>
      <c r="N396" s="413" t="str">
        <f>IF(ISBLANK(J396)," ",IF(J396&lt;$F$388,"On time",(IF(DAY(J396-$F$388)&lt;1,"On time",(IF(J396&gt;$F$388,"DELAY ( "&amp;DAY(J396-$F$388)&amp;" day "&amp;HOUR(J396-$F$388)&amp;" hour "&amp;MINUTE(J396-$F$388)&amp;" minute )","xxx"))))))</f>
        <v>DELAY ( 2 day 12 hour 54 minute )</v>
      </c>
      <c r="O396" s="51"/>
      <c r="P396" s="415" t="s">
        <v>551</v>
      </c>
      <c r="Q396" s="415" t="s">
        <v>551</v>
      </c>
      <c r="R396" s="415" t="s">
        <v>551</v>
      </c>
      <c r="S396" s="32"/>
      <c r="T396" s="416"/>
      <c r="U396" s="416"/>
      <c r="V396" s="416"/>
      <c r="W396" s="416"/>
      <c r="X396" s="416"/>
      <c r="Y396" s="416">
        <f>H396</f>
        <v>4517.6679999999997</v>
      </c>
      <c r="Z396" s="416"/>
      <c r="AA396" s="416"/>
      <c r="AB396" s="416"/>
      <c r="AC396" s="416"/>
      <c r="AD396" s="416"/>
      <c r="AE396" s="416"/>
      <c r="AF396" s="416"/>
      <c r="AG396" s="416"/>
      <c r="AH396" s="416"/>
      <c r="AI396" s="416"/>
      <c r="AJ396" s="416"/>
      <c r="AK396" s="416"/>
      <c r="AL396" s="416"/>
      <c r="AM396" s="416"/>
      <c r="AN396" s="416"/>
      <c r="AO396" s="416"/>
      <c r="AP396" s="416"/>
      <c r="AQ396" s="416"/>
      <c r="AR396" s="416"/>
      <c r="AS396" s="416"/>
      <c r="AT396" s="416"/>
      <c r="AU396" s="416"/>
      <c r="AV396" s="416"/>
      <c r="AW396" s="416"/>
      <c r="AX396" s="416"/>
      <c r="AY396" s="416"/>
      <c r="AZ396" s="416"/>
      <c r="BA396" s="416"/>
      <c r="BB396" s="32"/>
    </row>
    <row r="397" spans="2:54">
      <c r="B397" s="1258" t="s">
        <v>556</v>
      </c>
      <c r="C397" s="1259"/>
      <c r="D397" s="1259"/>
      <c r="E397" s="1259"/>
      <c r="F397" s="1259"/>
      <c r="G397" s="1260"/>
      <c r="H397" s="417">
        <f>SUM(H394:H396)</f>
        <v>19530</v>
      </c>
      <c r="I397" s="388"/>
      <c r="J397" s="293"/>
      <c r="K397" s="293"/>
      <c r="L397" s="293"/>
      <c r="M397" s="389"/>
      <c r="N397" s="413" t="str">
        <f t="shared" si="34"/>
        <v xml:space="preserve"> </v>
      </c>
      <c r="O397" s="47"/>
      <c r="P397" s="418"/>
      <c r="Q397" s="418"/>
      <c r="R397" s="418"/>
      <c r="S397" s="32"/>
      <c r="T397" s="1262"/>
      <c r="U397" s="1263"/>
      <c r="V397" s="1263"/>
      <c r="W397" s="1263"/>
      <c r="X397" s="1263"/>
      <c r="Y397" s="1263"/>
      <c r="Z397" s="1263"/>
      <c r="AA397" s="1263"/>
      <c r="AB397" s="1263"/>
      <c r="AC397" s="1263"/>
      <c r="AD397" s="1263"/>
      <c r="AE397" s="1263"/>
      <c r="AF397" s="1263"/>
      <c r="AG397" s="1263"/>
      <c r="AH397" s="1263"/>
      <c r="AI397" s="1263"/>
      <c r="AJ397" s="1263"/>
      <c r="AK397" s="1263"/>
      <c r="AL397" s="1263"/>
      <c r="AM397" s="1263"/>
      <c r="AN397" s="1263"/>
      <c r="AO397" s="1263"/>
      <c r="AP397" s="1263"/>
      <c r="AQ397" s="1263"/>
      <c r="AR397" s="1263"/>
      <c r="AS397" s="1263"/>
      <c r="AT397" s="1263"/>
      <c r="AU397" s="1263"/>
      <c r="AV397" s="1263"/>
      <c r="AW397" s="1263"/>
      <c r="AX397" s="1263"/>
      <c r="AY397" s="1263"/>
      <c r="AZ397" s="1263"/>
      <c r="BA397" s="1263"/>
    </row>
    <row r="398" spans="2:54">
      <c r="B398" s="1243" t="s">
        <v>557</v>
      </c>
      <c r="C398" s="1244"/>
      <c r="D398" s="1244"/>
      <c r="E398" s="1244"/>
      <c r="F398" s="1244"/>
      <c r="G398" s="1245"/>
      <c r="H398" s="419">
        <v>19530</v>
      </c>
      <c r="I398" s="1246"/>
      <c r="J398" s="1247"/>
      <c r="K398" s="1247"/>
      <c r="L398" s="1247"/>
      <c r="M398" s="1248"/>
      <c r="N398" s="413" t="str">
        <f t="shared" si="34"/>
        <v xml:space="preserve"> </v>
      </c>
      <c r="O398" s="32"/>
      <c r="P398" s="415"/>
      <c r="Q398" s="415"/>
      <c r="R398" s="415"/>
      <c r="S398" s="63"/>
      <c r="T398" s="416">
        <f t="shared" ref="T398:BA398" si="35">SUM(T394:T396)</f>
        <v>0</v>
      </c>
      <c r="U398" s="416">
        <f t="shared" si="35"/>
        <v>0</v>
      </c>
      <c r="V398" s="416">
        <f t="shared" si="35"/>
        <v>0</v>
      </c>
      <c r="W398" s="416">
        <f t="shared" si="35"/>
        <v>0</v>
      </c>
      <c r="X398" s="416">
        <f t="shared" si="35"/>
        <v>0</v>
      </c>
      <c r="Y398" s="416">
        <f t="shared" si="35"/>
        <v>19530</v>
      </c>
      <c r="Z398" s="416">
        <f t="shared" si="35"/>
        <v>0</v>
      </c>
      <c r="AA398" s="416">
        <f t="shared" si="35"/>
        <v>0</v>
      </c>
      <c r="AB398" s="416">
        <f t="shared" si="35"/>
        <v>0</v>
      </c>
      <c r="AC398" s="416">
        <f t="shared" si="35"/>
        <v>0</v>
      </c>
      <c r="AD398" s="416">
        <f t="shared" si="35"/>
        <v>0</v>
      </c>
      <c r="AE398" s="416">
        <f t="shared" si="35"/>
        <v>0</v>
      </c>
      <c r="AF398" s="416">
        <f t="shared" si="35"/>
        <v>0</v>
      </c>
      <c r="AG398" s="416">
        <f t="shared" si="35"/>
        <v>0</v>
      </c>
      <c r="AH398" s="416">
        <f t="shared" si="35"/>
        <v>0</v>
      </c>
      <c r="AI398" s="416">
        <f t="shared" si="35"/>
        <v>0</v>
      </c>
      <c r="AJ398" s="416">
        <f t="shared" si="35"/>
        <v>0</v>
      </c>
      <c r="AK398" s="416">
        <f t="shared" si="35"/>
        <v>0</v>
      </c>
      <c r="AL398" s="416">
        <f t="shared" si="35"/>
        <v>0</v>
      </c>
      <c r="AM398" s="416">
        <f t="shared" si="35"/>
        <v>0</v>
      </c>
      <c r="AN398" s="416">
        <f t="shared" si="35"/>
        <v>0</v>
      </c>
      <c r="AO398" s="416">
        <f t="shared" si="35"/>
        <v>0</v>
      </c>
      <c r="AP398" s="416">
        <f t="shared" si="35"/>
        <v>0</v>
      </c>
      <c r="AQ398" s="416">
        <f t="shared" si="35"/>
        <v>0</v>
      </c>
      <c r="AR398" s="416">
        <f t="shared" si="35"/>
        <v>0</v>
      </c>
      <c r="AS398" s="416">
        <f t="shared" si="35"/>
        <v>0</v>
      </c>
      <c r="AT398" s="416">
        <f t="shared" si="35"/>
        <v>0</v>
      </c>
      <c r="AU398" s="416">
        <f t="shared" si="35"/>
        <v>0</v>
      </c>
      <c r="AV398" s="416">
        <f t="shared" si="35"/>
        <v>0</v>
      </c>
      <c r="AW398" s="416">
        <f t="shared" si="35"/>
        <v>0</v>
      </c>
      <c r="AX398" s="416">
        <f t="shared" si="35"/>
        <v>0</v>
      </c>
      <c r="AY398" s="416">
        <f t="shared" si="35"/>
        <v>0</v>
      </c>
      <c r="AZ398" s="416">
        <f t="shared" si="35"/>
        <v>0</v>
      </c>
      <c r="BA398" s="416">
        <f t="shared" si="35"/>
        <v>0</v>
      </c>
      <c r="BB398" s="416">
        <f>SUM(T398:BA398)</f>
        <v>19530</v>
      </c>
    </row>
    <row r="399" spans="2:54">
      <c r="B399" s="1243" t="s">
        <v>558</v>
      </c>
      <c r="C399" s="1244"/>
      <c r="D399" s="1244"/>
      <c r="E399" s="1244"/>
      <c r="F399" s="1244"/>
      <c r="G399" s="1245"/>
      <c r="H399" s="420">
        <f>H398-L388</f>
        <v>0</v>
      </c>
      <c r="I399" s="294"/>
      <c r="J399" s="295"/>
      <c r="K399" s="295"/>
      <c r="L399" s="296"/>
      <c r="M399" s="32"/>
      <c r="N399" s="32"/>
      <c r="O399" s="32"/>
      <c r="P399" s="32"/>
      <c r="Q399" s="297"/>
      <c r="R399" s="297"/>
      <c r="S399" s="32"/>
      <c r="T399" s="48"/>
      <c r="U399" s="48"/>
      <c r="V399" s="48"/>
      <c r="W399" s="48"/>
      <c r="X399" s="48"/>
      <c r="Y399" s="48"/>
      <c r="Z399" s="48"/>
      <c r="AA399" s="48"/>
      <c r="AB399" s="48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</row>
    <row r="400" spans="2:54">
      <c r="B400" s="1243" t="s">
        <v>559</v>
      </c>
      <c r="C400" s="1244"/>
      <c r="D400" s="1244"/>
      <c r="E400" s="1244"/>
      <c r="F400" s="1244"/>
      <c r="G400" s="1245"/>
      <c r="H400" s="446">
        <v>1840.454</v>
      </c>
      <c r="I400" s="52"/>
      <c r="J400" s="53"/>
      <c r="K400" s="53"/>
      <c r="L400" s="54"/>
      <c r="M400" s="32"/>
      <c r="N400" s="32"/>
      <c r="O400" s="32"/>
      <c r="P400" s="32"/>
      <c r="Q400" s="32"/>
      <c r="R400" s="32"/>
      <c r="S400" s="32"/>
      <c r="T400" s="48"/>
      <c r="U400" s="48"/>
      <c r="V400" s="48"/>
      <c r="W400" s="48"/>
      <c r="X400" s="48"/>
      <c r="Y400" s="48"/>
      <c r="Z400" s="48"/>
      <c r="AA400" s="48"/>
      <c r="AB400" s="48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</row>
    <row r="401" spans="2:54">
      <c r="B401" s="1243" t="s">
        <v>560</v>
      </c>
      <c r="C401" s="1244"/>
      <c r="D401" s="1244"/>
      <c r="E401" s="1244"/>
      <c r="F401" s="1244"/>
      <c r="G401" s="1245"/>
      <c r="H401" s="421">
        <f>H400-2523.622</f>
        <v>-683.16799999999989</v>
      </c>
      <c r="I401" s="52"/>
      <c r="J401" s="53"/>
      <c r="K401" s="53"/>
      <c r="L401" s="54"/>
      <c r="M401" s="32"/>
      <c r="N401" s="32"/>
      <c r="O401" s="32"/>
      <c r="P401" s="32"/>
      <c r="Q401" s="32"/>
      <c r="R401" s="32"/>
      <c r="S401" s="48"/>
      <c r="T401" s="48"/>
      <c r="U401" s="48"/>
      <c r="V401" s="48"/>
      <c r="W401" s="48"/>
      <c r="X401" s="48"/>
      <c r="Y401" s="48"/>
      <c r="Z401" s="48"/>
      <c r="AA401" s="48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</row>
    <row r="402" spans="2:54">
      <c r="B402" s="32"/>
      <c r="C402" s="32"/>
      <c r="D402" s="32"/>
      <c r="E402" s="32"/>
      <c r="F402" s="32"/>
      <c r="G402" s="32"/>
      <c r="H402" s="32"/>
      <c r="I402" s="57"/>
      <c r="J402" s="52"/>
      <c r="K402" s="52"/>
      <c r="L402" s="55"/>
      <c r="M402" s="32"/>
      <c r="N402" s="32"/>
      <c r="O402" s="52"/>
      <c r="P402" s="32"/>
      <c r="Q402" s="32"/>
      <c r="R402" s="32"/>
      <c r="S402" s="32"/>
      <c r="T402" s="48"/>
      <c r="U402" s="48"/>
      <c r="V402" s="48"/>
      <c r="W402" s="48"/>
      <c r="X402" s="48"/>
      <c r="Y402" s="48"/>
      <c r="Z402" s="48"/>
      <c r="AA402" s="48"/>
      <c r="AB402" s="48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</row>
    <row r="403" spans="2:54">
      <c r="B403" s="40" t="s">
        <v>561</v>
      </c>
      <c r="C403" s="40"/>
      <c r="D403" s="32"/>
      <c r="E403" s="32"/>
      <c r="F403" s="32"/>
      <c r="G403" s="32"/>
      <c r="H403" s="32"/>
      <c r="I403" s="32"/>
      <c r="J403" s="52"/>
      <c r="K403" s="52"/>
      <c r="L403" s="55"/>
      <c r="M403" s="32"/>
      <c r="N403" s="32"/>
      <c r="O403" s="52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BB403" s="32"/>
    </row>
    <row r="404" spans="2:54">
      <c r="B404" s="422">
        <v>1</v>
      </c>
      <c r="C404" s="1249" t="s">
        <v>2354</v>
      </c>
      <c r="D404" s="1249"/>
      <c r="E404" s="1249"/>
      <c r="F404" s="1249"/>
      <c r="G404" s="1249"/>
      <c r="H404" s="1249"/>
      <c r="I404" s="1249"/>
      <c r="J404" s="1249"/>
      <c r="K404" s="1249"/>
      <c r="L404" s="55"/>
      <c r="M404" s="55"/>
      <c r="N404" s="32"/>
      <c r="O404" s="52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</row>
    <row r="406" spans="2:54">
      <c r="B406" s="28" t="s">
        <v>126</v>
      </c>
      <c r="C406" s="28"/>
      <c r="D406" s="29"/>
      <c r="E406" s="30" t="s">
        <v>511</v>
      </c>
      <c r="F406" s="31" t="s">
        <v>2199</v>
      </c>
      <c r="G406" s="32"/>
      <c r="H406" s="33"/>
      <c r="I406" s="34"/>
      <c r="J406" s="35" t="s">
        <v>513</v>
      </c>
      <c r="K406" s="36" t="s">
        <v>511</v>
      </c>
      <c r="L406" s="37">
        <v>45160.465277777781</v>
      </c>
      <c r="M406" s="32"/>
      <c r="N406" s="32"/>
      <c r="O406" s="36"/>
      <c r="P406" s="33"/>
      <c r="Q406" s="48"/>
      <c r="R406" s="49"/>
      <c r="S406" s="38"/>
      <c r="T406" s="32"/>
      <c r="U406" s="32"/>
      <c r="V406" s="32"/>
      <c r="W406" s="32"/>
      <c r="X406" s="32"/>
      <c r="Y406" s="32"/>
      <c r="Z406" s="32"/>
      <c r="AA406" s="32"/>
      <c r="AB406" s="48"/>
      <c r="AC406" s="48"/>
      <c r="AD406" s="48"/>
      <c r="AE406" s="48"/>
      <c r="AF406" s="48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</row>
    <row r="407" spans="2:54">
      <c r="B407" s="35" t="s">
        <v>514</v>
      </c>
      <c r="C407" s="35"/>
      <c r="D407" s="32"/>
      <c r="E407" s="36" t="s">
        <v>511</v>
      </c>
      <c r="F407" s="311" t="s">
        <v>2377</v>
      </c>
      <c r="G407" s="32"/>
      <c r="H407" s="33"/>
      <c r="I407" s="34"/>
      <c r="J407" s="35" t="s">
        <v>516</v>
      </c>
      <c r="K407" s="36" t="s">
        <v>511</v>
      </c>
      <c r="L407" s="37">
        <v>45164.645833333336</v>
      </c>
      <c r="M407" s="32"/>
      <c r="N407" s="32"/>
      <c r="O407" s="36"/>
      <c r="P407" s="33"/>
      <c r="Q407" s="48"/>
      <c r="R407" s="49"/>
      <c r="S407" s="38"/>
      <c r="T407" s="32"/>
      <c r="U407" s="32"/>
      <c r="V407" s="32"/>
      <c r="W407" s="32"/>
      <c r="X407" s="32"/>
      <c r="Y407" s="32"/>
      <c r="Z407" s="32"/>
      <c r="AA407" s="32"/>
      <c r="AB407" s="48"/>
      <c r="AC407" s="48"/>
      <c r="AD407" s="48"/>
      <c r="AE407" s="48"/>
      <c r="AF407" s="48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</row>
    <row r="408" spans="2:54">
      <c r="B408" s="35" t="s">
        <v>517</v>
      </c>
      <c r="C408" s="35"/>
      <c r="D408" s="32"/>
      <c r="E408" s="36" t="s">
        <v>511</v>
      </c>
      <c r="F408" s="37">
        <v>45156.616666666669</v>
      </c>
      <c r="G408" s="32"/>
      <c r="H408" s="33"/>
      <c r="I408" s="34"/>
      <c r="J408" s="35" t="s">
        <v>518</v>
      </c>
      <c r="K408" s="36" t="s">
        <v>511</v>
      </c>
      <c r="L408" s="50">
        <v>80400</v>
      </c>
      <c r="M408" s="40" t="s">
        <v>519</v>
      </c>
      <c r="N408" s="40"/>
      <c r="O408" s="36"/>
      <c r="P408" s="33"/>
      <c r="Q408" s="48"/>
      <c r="R408" s="49"/>
      <c r="S408" s="38"/>
      <c r="T408" s="32"/>
      <c r="U408" s="32"/>
      <c r="V408" s="32"/>
      <c r="W408" s="32"/>
      <c r="X408" s="32"/>
      <c r="Y408" s="32"/>
      <c r="Z408" s="32"/>
      <c r="AA408" s="32"/>
      <c r="AB408" s="48"/>
      <c r="AC408" s="48"/>
      <c r="AD408" s="48"/>
      <c r="AE408" s="48"/>
      <c r="AF408" s="48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</row>
    <row r="409" spans="2:54">
      <c r="B409" s="35" t="s">
        <v>520</v>
      </c>
      <c r="C409" s="35"/>
      <c r="D409" s="32"/>
      <c r="E409" s="36" t="s">
        <v>511</v>
      </c>
      <c r="F409" s="37" t="s">
        <v>4</v>
      </c>
      <c r="G409" s="32"/>
      <c r="H409" s="33"/>
      <c r="I409" s="34"/>
      <c r="J409" s="35" t="s">
        <v>521</v>
      </c>
      <c r="K409" s="36" t="s">
        <v>511</v>
      </c>
      <c r="L409" s="41" t="s">
        <v>2378</v>
      </c>
      <c r="M409" s="32"/>
      <c r="N409" s="32"/>
      <c r="O409" s="36"/>
      <c r="P409" s="48"/>
      <c r="Q409" s="48"/>
      <c r="R409" s="49"/>
      <c r="S409" s="38"/>
      <c r="T409" s="32"/>
      <c r="U409" s="32"/>
      <c r="V409" s="32"/>
      <c r="W409" s="32"/>
      <c r="X409" s="32"/>
      <c r="Y409" s="32"/>
      <c r="Z409" s="32"/>
      <c r="AA409" s="32"/>
      <c r="AB409" s="48"/>
      <c r="AC409" s="48"/>
      <c r="AD409" s="48"/>
      <c r="AE409" s="48"/>
      <c r="AF409" s="48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</row>
    <row r="410" spans="2:54">
      <c r="B410" s="35" t="s">
        <v>523</v>
      </c>
      <c r="C410" s="35"/>
      <c r="D410" s="32"/>
      <c r="E410" s="36" t="s">
        <v>511</v>
      </c>
      <c r="F410" s="37" t="s">
        <v>5</v>
      </c>
      <c r="G410" s="32"/>
      <c r="H410" s="33"/>
      <c r="I410" s="34"/>
      <c r="J410" s="42" t="s">
        <v>524</v>
      </c>
      <c r="K410" s="36" t="s">
        <v>511</v>
      </c>
      <c r="L410" s="43" t="s">
        <v>15</v>
      </c>
      <c r="M410" s="44"/>
      <c r="N410" s="44"/>
      <c r="O410" s="36"/>
      <c r="P410" s="33"/>
      <c r="Q410" s="48"/>
      <c r="R410" s="49"/>
      <c r="S410" s="38"/>
      <c r="T410" s="32"/>
      <c r="U410" s="32"/>
      <c r="V410" s="32"/>
      <c r="W410" s="32"/>
      <c r="X410" s="32"/>
      <c r="Y410" s="32"/>
      <c r="Z410" s="32"/>
      <c r="AA410" s="32"/>
      <c r="AB410" s="48"/>
      <c r="AC410" s="48"/>
      <c r="AD410" s="48"/>
      <c r="AE410" s="48"/>
      <c r="AF410" s="48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</row>
    <row r="411" spans="2:54">
      <c r="B411" s="35" t="s">
        <v>2</v>
      </c>
      <c r="C411" s="35"/>
      <c r="D411" s="32"/>
      <c r="E411" s="36" t="s">
        <v>511</v>
      </c>
      <c r="F411" s="37" t="s">
        <v>6</v>
      </c>
      <c r="G411" s="32"/>
      <c r="H411" s="33"/>
      <c r="I411" s="45"/>
      <c r="J411" s="42"/>
      <c r="K411" s="36"/>
      <c r="L411" s="37"/>
      <c r="M411" s="32"/>
      <c r="N411" s="32"/>
      <c r="O411" s="42"/>
      <c r="P411" s="44"/>
      <c r="Q411" s="44"/>
      <c r="R411" s="44"/>
      <c r="S411" s="34"/>
      <c r="T411" s="32"/>
      <c r="U411" s="32"/>
      <c r="V411" s="32"/>
      <c r="W411" s="32"/>
      <c r="X411" s="32"/>
      <c r="Y411" s="32"/>
      <c r="Z411" s="32"/>
      <c r="AA411" s="32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</row>
    <row r="412" spans="2:54">
      <c r="B412" s="32"/>
      <c r="C412" s="32"/>
      <c r="D412" s="32"/>
      <c r="E412" s="32"/>
      <c r="F412" s="32"/>
      <c r="G412" s="32"/>
      <c r="H412" s="32"/>
      <c r="I412" s="45"/>
      <c r="J412" s="42"/>
      <c r="K412" s="42"/>
      <c r="L412" s="43"/>
      <c r="M412" s="44"/>
      <c r="N412" s="44"/>
      <c r="O412" s="42"/>
      <c r="P412" s="44"/>
      <c r="Q412" s="44"/>
      <c r="R412" s="44"/>
      <c r="S412" s="34"/>
      <c r="T412" s="1270" t="s">
        <v>87</v>
      </c>
      <c r="U412" s="1270"/>
      <c r="V412" s="1270"/>
      <c r="W412" s="1270"/>
      <c r="X412" s="1270"/>
      <c r="Y412" s="1270" t="s">
        <v>73</v>
      </c>
      <c r="Z412" s="1270"/>
      <c r="AA412" s="1270"/>
      <c r="AB412" s="1270" t="s">
        <v>74</v>
      </c>
      <c r="AC412" s="1270"/>
      <c r="AD412" s="407" t="s">
        <v>85</v>
      </c>
      <c r="AE412" s="407" t="s">
        <v>77</v>
      </c>
      <c r="AF412" s="1270" t="s">
        <v>525</v>
      </c>
      <c r="AG412" s="1270"/>
      <c r="AH412" s="1270"/>
      <c r="AI412" s="1270"/>
      <c r="AJ412" s="1270"/>
      <c r="AK412" s="1270"/>
      <c r="AL412" s="1270"/>
      <c r="AM412" s="1270"/>
      <c r="AN412" s="1270"/>
      <c r="AO412" s="1270"/>
      <c r="AP412" s="1270"/>
      <c r="AQ412" s="1270"/>
      <c r="AR412" s="1270"/>
      <c r="AS412" s="1270"/>
      <c r="AT412" s="1270"/>
      <c r="AU412" s="1270"/>
      <c r="AV412" s="1270"/>
      <c r="AW412" s="1270"/>
      <c r="AX412" s="1270"/>
      <c r="AY412" s="1270"/>
      <c r="AZ412" s="1270"/>
      <c r="BA412" s="1270"/>
      <c r="BB412" s="32"/>
    </row>
    <row r="413" spans="2:54">
      <c r="B413" s="1266" t="s">
        <v>526</v>
      </c>
      <c r="C413" s="1267"/>
      <c r="D413" s="570" t="s">
        <v>527</v>
      </c>
      <c r="E413" s="570"/>
      <c r="F413" s="570" t="s">
        <v>528</v>
      </c>
      <c r="G413" s="570" t="s">
        <v>529</v>
      </c>
      <c r="H413" s="570" t="s">
        <v>530</v>
      </c>
      <c r="I413" s="570" t="s">
        <v>531</v>
      </c>
      <c r="J413" s="570" t="s">
        <v>532</v>
      </c>
      <c r="K413" s="570"/>
      <c r="L413" s="570" t="s">
        <v>130</v>
      </c>
      <c r="M413" s="570" t="s">
        <v>533</v>
      </c>
      <c r="N413" s="408" t="str">
        <f>"On time - "&amp;COUNTIF(N414:N437,"On time")&amp;" from "&amp;ROWS(N414:N437)-COUNTIF(N414:N437," ")</f>
        <v>On time - 0 from 13</v>
      </c>
      <c r="O413" s="46"/>
      <c r="P413" s="409" t="s">
        <v>534</v>
      </c>
      <c r="Q413" s="409" t="s">
        <v>535</v>
      </c>
      <c r="R413" s="409" t="s">
        <v>536</v>
      </c>
      <c r="S413" s="32"/>
      <c r="T413" s="410" t="s">
        <v>537</v>
      </c>
      <c r="U413" s="410" t="s">
        <v>538</v>
      </c>
      <c r="V413" s="410" t="s">
        <v>539</v>
      </c>
      <c r="W413" s="410" t="s">
        <v>540</v>
      </c>
      <c r="X413" s="410" t="s">
        <v>541</v>
      </c>
      <c r="Y413" s="410" t="s">
        <v>167</v>
      </c>
      <c r="Z413" s="410" t="s">
        <v>168</v>
      </c>
      <c r="AA413" s="410" t="s">
        <v>169</v>
      </c>
      <c r="AB413" s="410" t="s">
        <v>235</v>
      </c>
      <c r="AC413" s="410" t="s">
        <v>240</v>
      </c>
      <c r="AD413" s="407" t="s">
        <v>85</v>
      </c>
      <c r="AE413" s="410" t="s">
        <v>139</v>
      </c>
      <c r="AF413" s="410" t="s">
        <v>72</v>
      </c>
      <c r="AG413" s="410" t="s">
        <v>88</v>
      </c>
      <c r="AH413" s="410" t="s">
        <v>75</v>
      </c>
      <c r="AI413" s="410" t="s">
        <v>543</v>
      </c>
      <c r="AJ413" s="410" t="s">
        <v>78</v>
      </c>
      <c r="AK413" s="410" t="s">
        <v>76</v>
      </c>
      <c r="AL413" s="410" t="s">
        <v>544</v>
      </c>
      <c r="AM413" s="410" t="s">
        <v>545</v>
      </c>
      <c r="AN413" s="410" t="s">
        <v>86</v>
      </c>
      <c r="AO413" s="410" t="s">
        <v>83</v>
      </c>
      <c r="AP413" s="410" t="s">
        <v>84</v>
      </c>
      <c r="AQ413" s="410" t="s">
        <v>546</v>
      </c>
      <c r="AR413" s="410" t="s">
        <v>81</v>
      </c>
      <c r="AS413" s="410" t="s">
        <v>80</v>
      </c>
      <c r="AT413" s="410" t="s">
        <v>82</v>
      </c>
      <c r="AU413" s="410" t="s">
        <v>181</v>
      </c>
      <c r="AV413" s="410" t="s">
        <v>183</v>
      </c>
      <c r="AW413" s="410" t="s">
        <v>547</v>
      </c>
      <c r="AX413" s="410" t="s">
        <v>182</v>
      </c>
      <c r="AY413" s="410" t="s">
        <v>172</v>
      </c>
      <c r="AZ413" s="410" t="s">
        <v>173</v>
      </c>
      <c r="BA413" s="410" t="s">
        <v>184</v>
      </c>
      <c r="BB413" s="32"/>
    </row>
    <row r="414" spans="2:54">
      <c r="B414" s="1256" t="s">
        <v>616</v>
      </c>
      <c r="C414" s="1257"/>
      <c r="D414" s="411" t="s">
        <v>2379</v>
      </c>
      <c r="E414" s="411"/>
      <c r="F414" s="411" t="s">
        <v>492</v>
      </c>
      <c r="G414" s="411" t="s">
        <v>493</v>
      </c>
      <c r="H414" s="412">
        <v>7017.3819999999996</v>
      </c>
      <c r="I414" s="413" t="s">
        <v>611</v>
      </c>
      <c r="J414" s="414">
        <v>45158.25</v>
      </c>
      <c r="K414" s="414"/>
      <c r="L414" s="414" t="s">
        <v>192</v>
      </c>
      <c r="M414" s="414" t="s">
        <v>192</v>
      </c>
      <c r="N414" s="413" t="str">
        <f t="shared" ref="N414:N437" si="36">IF(ISBLANK(J414)," ",IF(J414&lt;$F$408,"On time",(IF(DAY(J414-$F$408)&lt;1,"On time",(IF(J414&gt;$F$408,"DELAY ( "&amp;DAY(J414-$F$408)&amp;" day "&amp;HOUR(J414-$F$408)&amp;" hour "&amp;MINUTE(J414-$F$408)&amp;" minute )","xxx"))))))</f>
        <v>DELAY ( 1 day 15 hour 12 minute )</v>
      </c>
      <c r="O414" s="51"/>
      <c r="P414" s="415" t="s">
        <v>551</v>
      </c>
      <c r="Q414" s="415" t="s">
        <v>551</v>
      </c>
      <c r="R414" s="415" t="s">
        <v>551</v>
      </c>
      <c r="S414" s="32"/>
      <c r="T414" s="416">
        <f>H414</f>
        <v>7017.3819999999996</v>
      </c>
      <c r="U414" s="416"/>
      <c r="V414" s="416"/>
      <c r="W414" s="416"/>
      <c r="X414" s="416"/>
      <c r="Y414" s="416"/>
      <c r="Z414" s="416"/>
      <c r="AA414" s="416"/>
      <c r="AB414" s="416"/>
      <c r="AC414" s="416"/>
      <c r="AD414" s="416"/>
      <c r="AE414" s="416"/>
      <c r="AF414" s="416"/>
      <c r="AG414" s="416"/>
      <c r="AH414" s="416"/>
      <c r="AI414" s="416"/>
      <c r="AJ414" s="416"/>
      <c r="AK414" s="416"/>
      <c r="AL414" s="416"/>
      <c r="AM414" s="416"/>
      <c r="AN414" s="416"/>
      <c r="AO414" s="416"/>
      <c r="AP414" s="416"/>
      <c r="AQ414" s="416"/>
      <c r="AR414" s="416"/>
      <c r="AS414" s="416"/>
      <c r="AT414" s="416"/>
      <c r="AU414" s="416"/>
      <c r="AV414" s="416"/>
      <c r="AW414" s="416"/>
      <c r="AX414" s="416"/>
      <c r="AY414" s="416"/>
      <c r="AZ414" s="416"/>
      <c r="BA414" s="416"/>
      <c r="BB414" s="32"/>
    </row>
    <row r="415" spans="2:54">
      <c r="B415" s="1256" t="s">
        <v>668</v>
      </c>
      <c r="C415" s="1257"/>
      <c r="D415" s="411" t="s">
        <v>2353</v>
      </c>
      <c r="E415" s="411"/>
      <c r="F415" s="411" t="s">
        <v>390</v>
      </c>
      <c r="G415" s="411" t="s">
        <v>391</v>
      </c>
      <c r="H415" s="412">
        <v>2531.9630000000002</v>
      </c>
      <c r="I415" s="413" t="s">
        <v>235</v>
      </c>
      <c r="J415" s="414">
        <v>45158.53125</v>
      </c>
      <c r="K415" s="414"/>
      <c r="L415" s="414" t="s">
        <v>192</v>
      </c>
      <c r="M415" s="414" t="s">
        <v>192</v>
      </c>
      <c r="N415" s="413" t="str">
        <f t="shared" si="36"/>
        <v>DELAY ( 1 day 21 hour 57 minute )</v>
      </c>
      <c r="O415" s="51"/>
      <c r="P415" s="415" t="s">
        <v>551</v>
      </c>
      <c r="Q415" s="415" t="s">
        <v>551</v>
      </c>
      <c r="R415" s="415" t="s">
        <v>551</v>
      </c>
      <c r="S415" s="32"/>
      <c r="T415" s="416"/>
      <c r="U415" s="416"/>
      <c r="V415" s="416"/>
      <c r="W415" s="416"/>
      <c r="X415" s="416"/>
      <c r="Y415" s="416"/>
      <c r="Z415" s="416"/>
      <c r="AA415" s="289"/>
      <c r="AB415" s="416">
        <f>H415</f>
        <v>2531.9630000000002</v>
      </c>
      <c r="AC415" s="416"/>
      <c r="AD415" s="416"/>
      <c r="AE415" s="416"/>
      <c r="AF415" s="416"/>
      <c r="AG415" s="416"/>
      <c r="AH415" s="416"/>
      <c r="AI415" s="416"/>
      <c r="AJ415" s="416"/>
      <c r="AK415" s="416"/>
      <c r="AL415" s="416"/>
      <c r="AM415" s="416"/>
      <c r="AN415" s="416"/>
      <c r="AO415" s="416"/>
      <c r="AP415" s="416"/>
      <c r="AQ415" s="416"/>
      <c r="AR415" s="416"/>
      <c r="AS415" s="416"/>
      <c r="AT415" s="289"/>
      <c r="AU415" s="416"/>
      <c r="AV415" s="416"/>
      <c r="AW415" s="416"/>
      <c r="AX415" s="416"/>
      <c r="AY415" s="416"/>
      <c r="AZ415" s="416"/>
      <c r="BA415" s="416"/>
      <c r="BB415" s="32"/>
    </row>
    <row r="416" spans="2:54">
      <c r="B416" s="1258" t="s">
        <v>1721</v>
      </c>
      <c r="C416" s="1259"/>
      <c r="D416" s="1259"/>
      <c r="E416" s="1259"/>
      <c r="F416" s="1259"/>
      <c r="G416" s="1260"/>
      <c r="H416" s="417">
        <f>SUM(H414:H415)</f>
        <v>9549.3449999999993</v>
      </c>
      <c r="I416" s="388"/>
      <c r="J416" s="293"/>
      <c r="K416" s="293"/>
      <c r="L416" s="293"/>
      <c r="M416" s="389"/>
      <c r="N416" s="413" t="str">
        <f t="shared" si="36"/>
        <v xml:space="preserve"> </v>
      </c>
      <c r="O416" s="47"/>
      <c r="P416" s="418"/>
      <c r="Q416" s="418"/>
      <c r="R416" s="418"/>
      <c r="S416" s="32"/>
      <c r="T416" s="416"/>
      <c r="U416" s="416"/>
      <c r="V416" s="416"/>
      <c r="W416" s="416"/>
      <c r="X416" s="416"/>
      <c r="Y416" s="416"/>
      <c r="Z416" s="416"/>
      <c r="AA416" s="416"/>
      <c r="AB416" s="416"/>
      <c r="AC416" s="416"/>
      <c r="AD416" s="416"/>
      <c r="AE416" s="416"/>
      <c r="AF416" s="416"/>
      <c r="AG416" s="416"/>
      <c r="AH416" s="416"/>
      <c r="AI416" s="416"/>
      <c r="AJ416" s="416"/>
      <c r="AK416" s="416"/>
      <c r="AL416" s="416"/>
      <c r="AM416" s="416"/>
      <c r="AN416" s="416"/>
      <c r="AO416" s="416"/>
      <c r="AP416" s="416"/>
      <c r="AQ416" s="416"/>
      <c r="AR416" s="416"/>
      <c r="AS416" s="416"/>
      <c r="AT416" s="416"/>
      <c r="AU416" s="416"/>
      <c r="AV416" s="416"/>
      <c r="AW416" s="416"/>
      <c r="AX416" s="416"/>
      <c r="AY416" s="416"/>
      <c r="AZ416" s="416"/>
      <c r="BA416" s="416"/>
    </row>
    <row r="417" spans="2:54">
      <c r="B417" s="1250" t="s">
        <v>619</v>
      </c>
      <c r="C417" s="1251"/>
      <c r="D417" s="411" t="s">
        <v>2380</v>
      </c>
      <c r="E417" s="411"/>
      <c r="F417" s="411" t="s">
        <v>399</v>
      </c>
      <c r="G417" s="411" t="s">
        <v>275</v>
      </c>
      <c r="H417" s="412">
        <v>7627.4489999999996</v>
      </c>
      <c r="I417" s="413" t="s">
        <v>2381</v>
      </c>
      <c r="J417" s="414">
        <v>45159.8125</v>
      </c>
      <c r="K417" s="414"/>
      <c r="L417" s="414" t="s">
        <v>192</v>
      </c>
      <c r="M417" s="414" t="s">
        <v>192</v>
      </c>
      <c r="N417" s="413" t="str">
        <f t="shared" si="36"/>
        <v>DELAY ( 3 day 4 hour 42 minute )</v>
      </c>
      <c r="O417" s="51"/>
      <c r="P417" s="415" t="s">
        <v>551</v>
      </c>
      <c r="Q417" s="415" t="s">
        <v>551</v>
      </c>
      <c r="R417" s="415" t="s">
        <v>551</v>
      </c>
      <c r="S417" s="32"/>
      <c r="T417" s="416"/>
      <c r="U417" s="416"/>
      <c r="V417" s="416"/>
      <c r="W417" s="416"/>
      <c r="X417" s="416"/>
      <c r="Y417" s="416"/>
      <c r="Z417" s="416"/>
      <c r="AA417" s="416"/>
      <c r="AB417" s="416">
        <f>H417*0.7</f>
        <v>5339.2142999999996</v>
      </c>
      <c r="AC417" s="416">
        <f>H417*0.3</f>
        <v>2288.2347</v>
      </c>
      <c r="AD417" s="416"/>
      <c r="AE417" s="416"/>
      <c r="AF417" s="416"/>
      <c r="AG417" s="416"/>
      <c r="AH417" s="416"/>
      <c r="AI417" s="416"/>
      <c r="AJ417" s="416"/>
      <c r="AK417" s="416"/>
      <c r="AL417" s="416"/>
      <c r="AM417" s="416"/>
      <c r="AN417" s="416"/>
      <c r="AO417" s="416"/>
      <c r="AP417" s="416"/>
      <c r="AQ417" s="416"/>
      <c r="AR417" s="416"/>
      <c r="AS417" s="416"/>
      <c r="AT417" s="416"/>
      <c r="AU417" s="416"/>
      <c r="AV417" s="416"/>
      <c r="AW417" s="416"/>
      <c r="AX417" s="416"/>
      <c r="AY417" s="416"/>
      <c r="AZ417" s="416"/>
      <c r="BA417" s="416"/>
      <c r="BB417" s="32"/>
    </row>
    <row r="418" spans="2:54">
      <c r="B418" s="1250" t="s">
        <v>621</v>
      </c>
      <c r="C418" s="1251"/>
      <c r="D418" s="411" t="s">
        <v>2382</v>
      </c>
      <c r="E418" s="411"/>
      <c r="F418" s="411" t="s">
        <v>2277</v>
      </c>
      <c r="G418" s="411" t="s">
        <v>2278</v>
      </c>
      <c r="H418" s="412">
        <v>7522.4</v>
      </c>
      <c r="I418" s="413" t="s">
        <v>2381</v>
      </c>
      <c r="J418" s="414">
        <v>45159.75</v>
      </c>
      <c r="K418" s="414"/>
      <c r="L418" s="414" t="s">
        <v>192</v>
      </c>
      <c r="M418" s="414" t="s">
        <v>192</v>
      </c>
      <c r="N418" s="413" t="str">
        <f t="shared" si="36"/>
        <v>DELAY ( 3 day 3 hour 12 minute )</v>
      </c>
      <c r="O418" s="51"/>
      <c r="P418" s="415" t="s">
        <v>551</v>
      </c>
      <c r="Q418" s="415" t="s">
        <v>551</v>
      </c>
      <c r="R418" s="415" t="s">
        <v>551</v>
      </c>
      <c r="S418" s="32"/>
      <c r="T418" s="416"/>
      <c r="U418" s="416"/>
      <c r="V418" s="416"/>
      <c r="W418" s="416"/>
      <c r="X418" s="416"/>
      <c r="Y418" s="416"/>
      <c r="Z418" s="416"/>
      <c r="AA418" s="416"/>
      <c r="AB418" s="416">
        <f t="shared" ref="AB418:AB429" si="37">H418*0.7</f>
        <v>5265.6799999999994</v>
      </c>
      <c r="AC418" s="416">
        <f t="shared" ref="AC418:AC429" si="38">H418*0.3</f>
        <v>2256.7199999999998</v>
      </c>
      <c r="AD418" s="416"/>
      <c r="AE418" s="416"/>
      <c r="AF418" s="416"/>
      <c r="AG418" s="416"/>
      <c r="AH418" s="416"/>
      <c r="AI418" s="416"/>
      <c r="AJ418" s="416"/>
      <c r="AK418" s="416"/>
      <c r="AL418" s="416"/>
      <c r="AM418" s="416"/>
      <c r="AN418" s="416"/>
      <c r="AO418" s="416"/>
      <c r="AP418" s="416"/>
      <c r="AQ418" s="416"/>
      <c r="AR418" s="416"/>
      <c r="AS418" s="416"/>
      <c r="AT418" s="416"/>
      <c r="AU418" s="416"/>
      <c r="AV418" s="416"/>
      <c r="AW418" s="416"/>
      <c r="AX418" s="416"/>
      <c r="AY418" s="416"/>
      <c r="AZ418" s="416"/>
      <c r="BA418" s="416"/>
      <c r="BB418" s="32"/>
    </row>
    <row r="419" spans="2:54">
      <c r="B419" s="1252"/>
      <c r="C419" s="1253"/>
      <c r="D419" s="411"/>
      <c r="E419" s="411"/>
      <c r="F419" s="1256" t="s">
        <v>616</v>
      </c>
      <c r="G419" s="1257"/>
      <c r="H419" s="412">
        <v>2000</v>
      </c>
      <c r="I419" s="413"/>
      <c r="J419" s="414"/>
      <c r="K419" s="414"/>
      <c r="L419" s="414"/>
      <c r="M419" s="414"/>
      <c r="N419" s="413" t="str">
        <f t="shared" si="36"/>
        <v xml:space="preserve"> </v>
      </c>
      <c r="O419" s="51"/>
      <c r="P419" s="415"/>
      <c r="Q419" s="415"/>
      <c r="R419" s="415"/>
      <c r="S419" s="32"/>
      <c r="T419" s="416"/>
      <c r="U419" s="416"/>
      <c r="V419" s="416"/>
      <c r="W419" s="416"/>
      <c r="X419" s="416"/>
      <c r="Y419" s="416"/>
      <c r="Z419" s="416"/>
      <c r="AA419" s="416"/>
      <c r="AB419" s="416"/>
      <c r="AC419" s="416"/>
      <c r="AD419" s="416"/>
      <c r="AE419" s="416"/>
      <c r="AF419" s="416"/>
      <c r="AG419" s="416"/>
      <c r="AH419" s="416"/>
      <c r="AI419" s="416"/>
      <c r="AJ419" s="416"/>
      <c r="AK419" s="416"/>
      <c r="AL419" s="416"/>
      <c r="AM419" s="416"/>
      <c r="AN419" s="416"/>
      <c r="AO419" s="416"/>
      <c r="AP419" s="416"/>
      <c r="AQ419" s="416"/>
      <c r="AR419" s="416"/>
      <c r="AS419" s="416"/>
      <c r="AT419" s="416"/>
      <c r="AU419" s="416"/>
      <c r="AV419" s="416"/>
      <c r="AW419" s="416"/>
      <c r="AX419" s="416"/>
      <c r="AY419" s="416"/>
      <c r="AZ419" s="416"/>
      <c r="BA419" s="416"/>
      <c r="BB419" s="32"/>
    </row>
    <row r="420" spans="2:54">
      <c r="B420" s="1250" t="s">
        <v>622</v>
      </c>
      <c r="C420" s="1251"/>
      <c r="D420" s="411" t="s">
        <v>2383</v>
      </c>
      <c r="E420" s="411"/>
      <c r="F420" s="411" t="s">
        <v>334</v>
      </c>
      <c r="G420" s="411" t="s">
        <v>335</v>
      </c>
      <c r="H420" s="412">
        <v>7854.1620000000003</v>
      </c>
      <c r="I420" s="413" t="s">
        <v>2381</v>
      </c>
      <c r="J420" s="414">
        <v>45159.6875</v>
      </c>
      <c r="K420" s="414"/>
      <c r="L420" s="414" t="s">
        <v>192</v>
      </c>
      <c r="M420" s="414" t="s">
        <v>192</v>
      </c>
      <c r="N420" s="413" t="str">
        <f t="shared" si="36"/>
        <v>DELAY ( 3 day 1 hour 42 minute )</v>
      </c>
      <c r="O420" s="51"/>
      <c r="P420" s="415" t="s">
        <v>551</v>
      </c>
      <c r="Q420" s="415" t="s">
        <v>551</v>
      </c>
      <c r="R420" s="415" t="s">
        <v>551</v>
      </c>
      <c r="S420" s="32"/>
      <c r="T420" s="416"/>
      <c r="U420" s="416"/>
      <c r="V420" s="416"/>
      <c r="W420" s="416"/>
      <c r="X420" s="416"/>
      <c r="Y420" s="416"/>
      <c r="Z420" s="416"/>
      <c r="AA420" s="416"/>
      <c r="AB420" s="416">
        <f t="shared" si="37"/>
        <v>5497.9133999999995</v>
      </c>
      <c r="AC420" s="416">
        <f t="shared" si="38"/>
        <v>2356.2485999999999</v>
      </c>
      <c r="AD420" s="416"/>
      <c r="AE420" s="416"/>
      <c r="AF420" s="416"/>
      <c r="AG420" s="416"/>
      <c r="AH420" s="416"/>
      <c r="AI420" s="416"/>
      <c r="AJ420" s="416"/>
      <c r="AK420" s="416"/>
      <c r="AL420" s="416"/>
      <c r="AM420" s="416"/>
      <c r="AN420" s="416"/>
      <c r="AO420" s="416"/>
      <c r="AP420" s="416"/>
      <c r="AQ420" s="416"/>
      <c r="AR420" s="416"/>
      <c r="AS420" s="416"/>
      <c r="AT420" s="416"/>
      <c r="AU420" s="416"/>
      <c r="AV420" s="416"/>
      <c r="AW420" s="416"/>
      <c r="AX420" s="416"/>
      <c r="AY420" s="416"/>
      <c r="AZ420" s="416"/>
      <c r="BA420" s="416"/>
      <c r="BB420" s="32"/>
    </row>
    <row r="421" spans="2:54">
      <c r="B421" s="1254"/>
      <c r="C421" s="1255"/>
      <c r="D421" s="411"/>
      <c r="E421" s="411"/>
      <c r="F421" s="1256" t="s">
        <v>616</v>
      </c>
      <c r="G421" s="1257"/>
      <c r="H421" s="412">
        <v>1000</v>
      </c>
      <c r="I421" s="413"/>
      <c r="J421" s="414"/>
      <c r="K421" s="414"/>
      <c r="L421" s="414"/>
      <c r="M421" s="414"/>
      <c r="N421" s="413" t="str">
        <f t="shared" si="36"/>
        <v xml:space="preserve"> </v>
      </c>
      <c r="O421" s="51"/>
      <c r="P421" s="415"/>
      <c r="Q421" s="415"/>
      <c r="R421" s="415"/>
      <c r="S421" s="32"/>
      <c r="T421" s="416"/>
      <c r="U421" s="416"/>
      <c r="V421" s="416"/>
      <c r="W421" s="416"/>
      <c r="X421" s="416"/>
      <c r="Y421" s="416"/>
      <c r="Z421" s="416"/>
      <c r="AA421" s="416"/>
      <c r="AB421" s="416"/>
      <c r="AC421" s="416"/>
      <c r="AD421" s="416"/>
      <c r="AE421" s="416"/>
      <c r="AF421" s="416"/>
      <c r="AG421" s="416"/>
      <c r="AH421" s="416"/>
      <c r="AI421" s="416"/>
      <c r="AJ421" s="416"/>
      <c r="AK421" s="416"/>
      <c r="AL421" s="416"/>
      <c r="AM421" s="416"/>
      <c r="AN421" s="416"/>
      <c r="AO421" s="416"/>
      <c r="AP421" s="416"/>
      <c r="AQ421" s="416"/>
      <c r="AR421" s="416"/>
      <c r="AS421" s="416"/>
      <c r="AT421" s="416"/>
      <c r="AU421" s="416"/>
      <c r="AV421" s="416"/>
      <c r="AW421" s="416"/>
      <c r="AX421" s="416"/>
      <c r="AY421" s="416"/>
      <c r="AZ421" s="416"/>
      <c r="BA421" s="416"/>
      <c r="BB421" s="32"/>
    </row>
    <row r="422" spans="2:54">
      <c r="B422" s="1250" t="s">
        <v>623</v>
      </c>
      <c r="C422" s="1251"/>
      <c r="D422" s="411" t="s">
        <v>2384</v>
      </c>
      <c r="E422" s="411"/>
      <c r="F422" s="411" t="s">
        <v>213</v>
      </c>
      <c r="G422" s="411" t="s">
        <v>214</v>
      </c>
      <c r="H422" s="412">
        <v>7589.9889999999996</v>
      </c>
      <c r="I422" s="413" t="s">
        <v>2381</v>
      </c>
      <c r="J422" s="414">
        <v>45160.809027777781</v>
      </c>
      <c r="K422" s="414"/>
      <c r="L422" s="414" t="s">
        <v>192</v>
      </c>
      <c r="M422" s="414" t="s">
        <v>192</v>
      </c>
      <c r="N422" s="413" t="str">
        <f t="shared" si="36"/>
        <v>DELAY ( 4 day 4 hour 37 minute )</v>
      </c>
      <c r="O422" s="51"/>
      <c r="P422" s="415" t="s">
        <v>551</v>
      </c>
      <c r="Q422" s="415" t="s">
        <v>551</v>
      </c>
      <c r="R422" s="415" t="s">
        <v>551</v>
      </c>
      <c r="S422" s="32"/>
      <c r="T422" s="416"/>
      <c r="U422" s="416"/>
      <c r="V422" s="416"/>
      <c r="W422" s="416"/>
      <c r="X422" s="416"/>
      <c r="Y422" s="416"/>
      <c r="Z422" s="416"/>
      <c r="AA422" s="416"/>
      <c r="AB422" s="416">
        <f t="shared" si="37"/>
        <v>5312.992299999999</v>
      </c>
      <c r="AC422" s="416">
        <f t="shared" si="38"/>
        <v>2276.9966999999997</v>
      </c>
      <c r="AD422" s="416"/>
      <c r="AE422" s="416"/>
      <c r="AF422" s="416"/>
      <c r="AG422" s="416"/>
      <c r="AH422" s="416"/>
      <c r="AI422" s="416"/>
      <c r="AJ422" s="416"/>
      <c r="AK422" s="416"/>
      <c r="AL422" s="416"/>
      <c r="AM422" s="416"/>
      <c r="AN422" s="416"/>
      <c r="AO422" s="416"/>
      <c r="AP422" s="416"/>
      <c r="AQ422" s="416"/>
      <c r="AR422" s="416"/>
      <c r="AS422" s="416"/>
      <c r="AT422" s="416"/>
      <c r="AU422" s="416"/>
      <c r="AV422" s="416"/>
      <c r="AW422" s="416"/>
      <c r="AX422" s="416"/>
      <c r="AY422" s="416"/>
      <c r="AZ422" s="416"/>
      <c r="BA422" s="416"/>
      <c r="BB422" s="32"/>
    </row>
    <row r="423" spans="2:54">
      <c r="B423" s="1254"/>
      <c r="C423" s="1255"/>
      <c r="D423" s="411"/>
      <c r="E423" s="411"/>
      <c r="F423" s="1256" t="s">
        <v>616</v>
      </c>
      <c r="G423" s="1257"/>
      <c r="H423" s="412">
        <v>1000</v>
      </c>
      <c r="I423" s="413"/>
      <c r="J423" s="414"/>
      <c r="K423" s="414"/>
      <c r="L423" s="414"/>
      <c r="M423" s="414"/>
      <c r="N423" s="413" t="str">
        <f t="shared" si="36"/>
        <v xml:space="preserve"> </v>
      </c>
      <c r="O423" s="51"/>
      <c r="P423" s="415"/>
      <c r="Q423" s="415"/>
      <c r="R423" s="415"/>
      <c r="S423" s="32"/>
      <c r="T423" s="416"/>
      <c r="U423" s="416"/>
      <c r="V423" s="416"/>
      <c r="W423" s="416"/>
      <c r="X423" s="416"/>
      <c r="Y423" s="416"/>
      <c r="Z423" s="416"/>
      <c r="AA423" s="416"/>
      <c r="AB423" s="416"/>
      <c r="AC423" s="416"/>
      <c r="AD423" s="416"/>
      <c r="AE423" s="416"/>
      <c r="AF423" s="416"/>
      <c r="AG423" s="416"/>
      <c r="AH423" s="416"/>
      <c r="AI423" s="416"/>
      <c r="AJ423" s="416"/>
      <c r="AK423" s="416"/>
      <c r="AL423" s="416"/>
      <c r="AM423" s="416"/>
      <c r="AN423" s="416"/>
      <c r="AO423" s="416"/>
      <c r="AP423" s="416"/>
      <c r="AQ423" s="416"/>
      <c r="AR423" s="416"/>
      <c r="AS423" s="416"/>
      <c r="AT423" s="416"/>
      <c r="AU423" s="416"/>
      <c r="AV423" s="416"/>
      <c r="AW423" s="416"/>
      <c r="AX423" s="416"/>
      <c r="AY423" s="416"/>
      <c r="AZ423" s="416"/>
      <c r="BA423" s="416"/>
      <c r="BB423" s="32"/>
    </row>
    <row r="424" spans="2:54">
      <c r="B424" s="1250" t="s">
        <v>624</v>
      </c>
      <c r="C424" s="1251"/>
      <c r="D424" s="411" t="s">
        <v>2385</v>
      </c>
      <c r="E424" s="411"/>
      <c r="F424" s="411" t="s">
        <v>1483</v>
      </c>
      <c r="G424" s="411" t="s">
        <v>258</v>
      </c>
      <c r="H424" s="412">
        <v>7612.7439999999997</v>
      </c>
      <c r="I424" s="413" t="s">
        <v>2381</v>
      </c>
      <c r="J424" s="414">
        <v>45161.0625</v>
      </c>
      <c r="K424" s="414"/>
      <c r="L424" s="414" t="s">
        <v>192</v>
      </c>
      <c r="M424" s="414" t="s">
        <v>192</v>
      </c>
      <c r="N424" s="413" t="str">
        <f t="shared" si="36"/>
        <v>DELAY ( 4 day 10 hour 42 minute )</v>
      </c>
      <c r="O424" s="51"/>
      <c r="P424" s="415" t="s">
        <v>551</v>
      </c>
      <c r="Q424" s="415" t="s">
        <v>551</v>
      </c>
      <c r="R424" s="415" t="s">
        <v>551</v>
      </c>
      <c r="S424" s="32"/>
      <c r="T424" s="416"/>
      <c r="U424" s="416"/>
      <c r="V424" s="416"/>
      <c r="W424" s="416"/>
      <c r="X424" s="416"/>
      <c r="Y424" s="416"/>
      <c r="Z424" s="416"/>
      <c r="AA424" s="416"/>
      <c r="AB424" s="416">
        <f t="shared" si="37"/>
        <v>5328.9207999999999</v>
      </c>
      <c r="AC424" s="416">
        <f t="shared" si="38"/>
        <v>2283.8231999999998</v>
      </c>
      <c r="AD424" s="416"/>
      <c r="AE424" s="416"/>
      <c r="AF424" s="416"/>
      <c r="AG424" s="416"/>
      <c r="AH424" s="416"/>
      <c r="AI424" s="416"/>
      <c r="AJ424" s="416"/>
      <c r="AK424" s="416"/>
      <c r="AL424" s="416"/>
      <c r="AM424" s="416"/>
      <c r="AN424" s="416"/>
      <c r="AO424" s="416"/>
      <c r="AP424" s="416"/>
      <c r="AQ424" s="416"/>
      <c r="AR424" s="416"/>
      <c r="AS424" s="416"/>
      <c r="AT424" s="416"/>
      <c r="AU424" s="416"/>
      <c r="AV424" s="416"/>
      <c r="AW424" s="416"/>
      <c r="AX424" s="416"/>
      <c r="AY424" s="416"/>
      <c r="AZ424" s="416"/>
      <c r="BA424" s="416"/>
      <c r="BB424" s="32"/>
    </row>
    <row r="425" spans="2:54">
      <c r="B425" s="1252"/>
      <c r="C425" s="1253"/>
      <c r="D425" s="411"/>
      <c r="E425" s="411"/>
      <c r="F425" s="1256" t="s">
        <v>616</v>
      </c>
      <c r="G425" s="1257"/>
      <c r="H425" s="412">
        <v>1000</v>
      </c>
      <c r="I425" s="413"/>
      <c r="J425" s="414"/>
      <c r="K425" s="414"/>
      <c r="L425" s="414"/>
      <c r="M425" s="414"/>
      <c r="N425" s="413" t="str">
        <f t="shared" si="36"/>
        <v xml:space="preserve"> </v>
      </c>
      <c r="O425" s="51"/>
      <c r="P425" s="415"/>
      <c r="Q425" s="415"/>
      <c r="R425" s="415"/>
      <c r="S425" s="32"/>
      <c r="T425" s="416"/>
      <c r="U425" s="416"/>
      <c r="V425" s="416"/>
      <c r="W425" s="416"/>
      <c r="X425" s="416"/>
      <c r="Y425" s="416"/>
      <c r="Z425" s="416"/>
      <c r="AA425" s="416"/>
      <c r="AB425" s="416"/>
      <c r="AC425" s="416"/>
      <c r="AD425" s="416"/>
      <c r="AE425" s="416"/>
      <c r="AF425" s="416"/>
      <c r="AG425" s="416"/>
      <c r="AH425" s="416"/>
      <c r="AI425" s="416"/>
      <c r="AJ425" s="416"/>
      <c r="AK425" s="416"/>
      <c r="AL425" s="416"/>
      <c r="AM425" s="416"/>
      <c r="AN425" s="416"/>
      <c r="AO425" s="416"/>
      <c r="AP425" s="416"/>
      <c r="AQ425" s="416"/>
      <c r="AR425" s="416"/>
      <c r="AS425" s="416"/>
      <c r="AT425" s="416"/>
      <c r="AU425" s="416"/>
      <c r="AV425" s="416"/>
      <c r="AW425" s="416"/>
      <c r="AX425" s="416"/>
      <c r="AY425" s="416"/>
      <c r="AZ425" s="416"/>
      <c r="BA425" s="416"/>
      <c r="BB425" s="32"/>
    </row>
    <row r="426" spans="2:54">
      <c r="B426" s="1250" t="s">
        <v>625</v>
      </c>
      <c r="C426" s="1251"/>
      <c r="D426" s="411" t="s">
        <v>2386</v>
      </c>
      <c r="E426" s="411"/>
      <c r="F426" s="411" t="s">
        <v>1230</v>
      </c>
      <c r="G426" s="411" t="s">
        <v>1231</v>
      </c>
      <c r="H426" s="412">
        <v>7536.6589999999997</v>
      </c>
      <c r="I426" s="413" t="s">
        <v>2381</v>
      </c>
      <c r="J426" s="414">
        <v>45160.479166666664</v>
      </c>
      <c r="K426" s="414"/>
      <c r="L426" s="414" t="s">
        <v>192</v>
      </c>
      <c r="M426" s="414" t="s">
        <v>192</v>
      </c>
      <c r="N426" s="413" t="str">
        <f t="shared" si="36"/>
        <v>DELAY ( 3 day 20 hour 42 minute )</v>
      </c>
      <c r="O426" s="51"/>
      <c r="P426" s="415" t="s">
        <v>551</v>
      </c>
      <c r="Q426" s="415" t="s">
        <v>551</v>
      </c>
      <c r="R426" s="415" t="s">
        <v>551</v>
      </c>
      <c r="S426" s="32"/>
      <c r="T426" s="416"/>
      <c r="U426" s="416"/>
      <c r="V426" s="416"/>
      <c r="W426" s="416"/>
      <c r="X426" s="416"/>
      <c r="Y426" s="416"/>
      <c r="Z426" s="416"/>
      <c r="AA426" s="416"/>
      <c r="AB426" s="416">
        <f t="shared" si="37"/>
        <v>5275.6612999999998</v>
      </c>
      <c r="AC426" s="416">
        <f t="shared" si="38"/>
        <v>2260.9976999999999</v>
      </c>
      <c r="AD426" s="416"/>
      <c r="AE426" s="416"/>
      <c r="AF426" s="416"/>
      <c r="AG426" s="416"/>
      <c r="AH426" s="416"/>
      <c r="AI426" s="416"/>
      <c r="AJ426" s="416"/>
      <c r="AK426" s="416"/>
      <c r="AL426" s="416"/>
      <c r="AM426" s="416"/>
      <c r="AN426" s="416"/>
      <c r="AO426" s="416"/>
      <c r="AP426" s="416"/>
      <c r="AQ426" s="416"/>
      <c r="AR426" s="416"/>
      <c r="AS426" s="416"/>
      <c r="AT426" s="416"/>
      <c r="AU426" s="416"/>
      <c r="AV426" s="416"/>
      <c r="AW426" s="416"/>
      <c r="AX426" s="416"/>
      <c r="AY426" s="416"/>
      <c r="AZ426" s="416"/>
      <c r="BA426" s="416"/>
      <c r="BB426" s="32"/>
    </row>
    <row r="427" spans="2:54">
      <c r="B427" s="1254"/>
      <c r="C427" s="1255"/>
      <c r="D427" s="411"/>
      <c r="E427" s="411"/>
      <c r="F427" s="1256" t="s">
        <v>616</v>
      </c>
      <c r="G427" s="1257"/>
      <c r="H427" s="412">
        <v>1000</v>
      </c>
      <c r="I427" s="413"/>
      <c r="J427" s="414"/>
      <c r="K427" s="414"/>
      <c r="L427" s="414"/>
      <c r="M427" s="414"/>
      <c r="N427" s="413" t="str">
        <f t="shared" si="36"/>
        <v xml:space="preserve"> </v>
      </c>
      <c r="O427" s="51"/>
      <c r="P427" s="415"/>
      <c r="Q427" s="415"/>
      <c r="R427" s="415"/>
      <c r="S427" s="32"/>
      <c r="T427" s="416"/>
      <c r="U427" s="416"/>
      <c r="V427" s="416"/>
      <c r="W427" s="416"/>
      <c r="X427" s="416"/>
      <c r="Y427" s="416"/>
      <c r="Z427" s="416"/>
      <c r="AA427" s="416"/>
      <c r="AB427" s="416"/>
      <c r="AC427" s="416"/>
      <c r="AD427" s="416"/>
      <c r="AE427" s="416"/>
      <c r="AF427" s="416"/>
      <c r="AG427" s="416"/>
      <c r="AH427" s="416"/>
      <c r="AI427" s="416"/>
      <c r="AJ427" s="416"/>
      <c r="AK427" s="416"/>
      <c r="AL427" s="416"/>
      <c r="AM427" s="416"/>
      <c r="AN427" s="416"/>
      <c r="AO427" s="416"/>
      <c r="AP427" s="416"/>
      <c r="AQ427" s="416"/>
      <c r="AR427" s="416"/>
      <c r="AS427" s="416"/>
      <c r="AT427" s="416"/>
      <c r="AU427" s="416"/>
      <c r="AV427" s="416"/>
      <c r="AW427" s="416"/>
      <c r="AX427" s="416"/>
      <c r="AY427" s="416"/>
      <c r="AZ427" s="416"/>
      <c r="BA427" s="416"/>
      <c r="BB427" s="32"/>
    </row>
    <row r="428" spans="2:54">
      <c r="B428" s="1250" t="s">
        <v>669</v>
      </c>
      <c r="C428" s="1251"/>
      <c r="D428" s="411" t="s">
        <v>2387</v>
      </c>
      <c r="E428" s="411"/>
      <c r="F428" s="411" t="s">
        <v>2388</v>
      </c>
      <c r="G428" s="411" t="s">
        <v>289</v>
      </c>
      <c r="H428" s="412">
        <v>7257.3779999999997</v>
      </c>
      <c r="I428" s="413" t="s">
        <v>2381</v>
      </c>
      <c r="J428" s="414">
        <v>45160.416666666664</v>
      </c>
      <c r="K428" s="414"/>
      <c r="L428" s="414" t="s">
        <v>192</v>
      </c>
      <c r="M428" s="414" t="s">
        <v>192</v>
      </c>
      <c r="N428" s="413" t="str">
        <f t="shared" si="36"/>
        <v>DELAY ( 3 day 19 hour 12 minute )</v>
      </c>
      <c r="O428" s="51"/>
      <c r="P428" s="415" t="s">
        <v>551</v>
      </c>
      <c r="Q428" s="415" t="s">
        <v>551</v>
      </c>
      <c r="R428" s="415" t="s">
        <v>551</v>
      </c>
      <c r="S428" s="32"/>
      <c r="T428" s="416"/>
      <c r="U428" s="416"/>
      <c r="V428" s="416"/>
      <c r="W428" s="416"/>
      <c r="X428" s="416"/>
      <c r="Y428" s="416"/>
      <c r="Z428" s="416"/>
      <c r="AA428" s="416"/>
      <c r="AB428" s="416">
        <f t="shared" si="37"/>
        <v>5080.1645999999992</v>
      </c>
      <c r="AC428" s="416">
        <f t="shared" si="38"/>
        <v>2177.2133999999996</v>
      </c>
      <c r="AD428" s="416"/>
      <c r="AE428" s="416"/>
      <c r="AF428" s="416"/>
      <c r="AG428" s="416"/>
      <c r="AH428" s="416"/>
      <c r="AI428" s="416"/>
      <c r="AJ428" s="416"/>
      <c r="AK428" s="416"/>
      <c r="AL428" s="416"/>
      <c r="AM428" s="416"/>
      <c r="AN428" s="416"/>
      <c r="AO428" s="416"/>
      <c r="AP428" s="416"/>
      <c r="AQ428" s="416"/>
      <c r="AR428" s="416"/>
      <c r="AS428" s="416"/>
      <c r="AT428" s="416"/>
      <c r="AU428" s="416"/>
      <c r="AV428" s="416"/>
      <c r="AW428" s="416"/>
      <c r="AX428" s="416"/>
      <c r="AY428" s="416"/>
      <c r="AZ428" s="416"/>
      <c r="BA428" s="416"/>
      <c r="BB428" s="32"/>
    </row>
    <row r="429" spans="2:54">
      <c r="B429" s="1250" t="s">
        <v>670</v>
      </c>
      <c r="C429" s="1251"/>
      <c r="D429" s="411" t="s">
        <v>2389</v>
      </c>
      <c r="E429" s="411"/>
      <c r="F429" s="411" t="s">
        <v>1313</v>
      </c>
      <c r="G429" s="411" t="s">
        <v>438</v>
      </c>
      <c r="H429" s="412">
        <v>7524.8140000000003</v>
      </c>
      <c r="I429" s="413" t="s">
        <v>2381</v>
      </c>
      <c r="J429" s="414">
        <v>45161.708333333336</v>
      </c>
      <c r="K429" s="414"/>
      <c r="L429" s="414" t="s">
        <v>192</v>
      </c>
      <c r="M429" s="414" t="s">
        <v>192</v>
      </c>
      <c r="N429" s="413" t="str">
        <f t="shared" si="36"/>
        <v>DELAY ( 5 day 2 hour 12 minute )</v>
      </c>
      <c r="O429" s="51"/>
      <c r="P429" s="415" t="s">
        <v>551</v>
      </c>
      <c r="Q429" s="415" t="s">
        <v>551</v>
      </c>
      <c r="R429" s="415" t="s">
        <v>551</v>
      </c>
      <c r="S429" s="32"/>
      <c r="T429" s="416"/>
      <c r="U429" s="416"/>
      <c r="V429" s="416"/>
      <c r="W429" s="416"/>
      <c r="X429" s="416"/>
      <c r="Y429" s="416"/>
      <c r="Z429" s="416"/>
      <c r="AA429" s="416"/>
      <c r="AB429" s="416">
        <f t="shared" si="37"/>
        <v>5267.3697999999995</v>
      </c>
      <c r="AC429" s="416">
        <f t="shared" si="38"/>
        <v>2257.4441999999999</v>
      </c>
      <c r="AD429" s="416"/>
      <c r="AE429" s="416"/>
      <c r="AF429" s="416"/>
      <c r="AG429" s="416"/>
      <c r="AH429" s="416"/>
      <c r="AI429" s="416"/>
      <c r="AJ429" s="416"/>
      <c r="AK429" s="416"/>
      <c r="AL429" s="416"/>
      <c r="AM429" s="416"/>
      <c r="AN429" s="416"/>
      <c r="AO429" s="416"/>
      <c r="AP429" s="416"/>
      <c r="AQ429" s="416"/>
      <c r="AR429" s="416"/>
      <c r="AS429" s="416"/>
      <c r="AT429" s="416"/>
      <c r="AU429" s="416"/>
      <c r="AV429" s="416"/>
      <c r="AW429" s="416"/>
      <c r="AX429" s="416"/>
      <c r="AY429" s="416"/>
      <c r="AZ429" s="416"/>
      <c r="BA429" s="416"/>
      <c r="BB429" s="32"/>
    </row>
    <row r="430" spans="2:54">
      <c r="B430" s="1254"/>
      <c r="C430" s="1255"/>
      <c r="D430" s="411"/>
      <c r="E430" s="411"/>
      <c r="F430" s="1256" t="s">
        <v>616</v>
      </c>
      <c r="G430" s="1257"/>
      <c r="H430" s="412">
        <f>1017+0.382</f>
        <v>1017.3819999999999</v>
      </c>
      <c r="I430" s="413"/>
      <c r="J430" s="414"/>
      <c r="K430" s="414"/>
      <c r="L430" s="414"/>
      <c r="M430" s="414"/>
      <c r="N430" s="413" t="str">
        <f t="shared" si="36"/>
        <v xml:space="preserve"> </v>
      </c>
      <c r="O430" s="51"/>
      <c r="P430" s="415"/>
      <c r="Q430" s="415"/>
      <c r="R430" s="415"/>
      <c r="S430" s="32"/>
      <c r="T430" s="416"/>
      <c r="U430" s="416"/>
      <c r="V430" s="416"/>
      <c r="W430" s="416"/>
      <c r="X430" s="416"/>
      <c r="Y430" s="416"/>
      <c r="Z430" s="416"/>
      <c r="AA430" s="416"/>
      <c r="AB430" s="416"/>
      <c r="AC430" s="416"/>
      <c r="AD430" s="416"/>
      <c r="AE430" s="416"/>
      <c r="AF430" s="416"/>
      <c r="AG430" s="416"/>
      <c r="AH430" s="416"/>
      <c r="AI430" s="416"/>
      <c r="AJ430" s="416"/>
      <c r="AK430" s="416"/>
      <c r="AL430" s="416"/>
      <c r="AM430" s="416"/>
      <c r="AN430" s="416"/>
      <c r="AO430" s="416"/>
      <c r="AP430" s="416"/>
      <c r="AQ430" s="416"/>
      <c r="AR430" s="416"/>
      <c r="AS430" s="416"/>
      <c r="AT430" s="416"/>
      <c r="AU430" s="416"/>
      <c r="AV430" s="416"/>
      <c r="AW430" s="416"/>
      <c r="AX430" s="416"/>
      <c r="AY430" s="416"/>
      <c r="AZ430" s="416"/>
      <c r="BA430" s="416"/>
      <c r="BB430" s="32"/>
    </row>
    <row r="431" spans="2:54">
      <c r="B431" s="1256" t="s">
        <v>867</v>
      </c>
      <c r="C431" s="1257"/>
      <c r="D431" s="411" t="s">
        <v>2370</v>
      </c>
      <c r="E431" s="411"/>
      <c r="F431" s="411" t="s">
        <v>284</v>
      </c>
      <c r="G431" s="411" t="s">
        <v>285</v>
      </c>
      <c r="H431" s="412">
        <v>1260.71</v>
      </c>
      <c r="I431" s="413" t="s">
        <v>235</v>
      </c>
      <c r="J431" s="414">
        <v>45160.395833333336</v>
      </c>
      <c r="K431" s="414"/>
      <c r="L431" s="414" t="s">
        <v>192</v>
      </c>
      <c r="M431" s="414" t="s">
        <v>192</v>
      </c>
      <c r="N431" s="413" t="str">
        <f t="shared" si="36"/>
        <v>DELAY ( 3 day 18 hour 42 minute )</v>
      </c>
      <c r="O431" s="51"/>
      <c r="P431" s="415" t="s">
        <v>551</v>
      </c>
      <c r="Q431" s="415" t="s">
        <v>551</v>
      </c>
      <c r="R431" s="415" t="s">
        <v>551</v>
      </c>
      <c r="S431" s="32"/>
      <c r="T431" s="416"/>
      <c r="U431" s="416"/>
      <c r="V431" s="416"/>
      <c r="W431" s="416"/>
      <c r="X431" s="416"/>
      <c r="Y431" s="416"/>
      <c r="Z431" s="416"/>
      <c r="AA431" s="416"/>
      <c r="AB431" s="416">
        <f>H431</f>
        <v>1260.71</v>
      </c>
      <c r="AC431" s="416"/>
      <c r="AD431" s="416"/>
      <c r="AE431" s="416"/>
      <c r="AF431" s="416"/>
      <c r="AG431" s="416"/>
      <c r="AH431" s="416"/>
      <c r="AI431" s="416"/>
      <c r="AJ431" s="416"/>
      <c r="AK431" s="416"/>
      <c r="AL431" s="416"/>
      <c r="AM431" s="416"/>
      <c r="AN431" s="416"/>
      <c r="AO431" s="416"/>
      <c r="AP431" s="416"/>
      <c r="AQ431" s="416"/>
      <c r="AR431" s="416"/>
      <c r="AS431" s="416"/>
      <c r="AT431" s="416"/>
      <c r="AU431" s="416"/>
      <c r="AV431" s="416"/>
      <c r="AW431" s="416"/>
      <c r="AX431" s="416"/>
      <c r="AY431" s="416"/>
      <c r="AZ431" s="416"/>
      <c r="BA431" s="416"/>
      <c r="BB431" s="32"/>
    </row>
    <row r="432" spans="2:54">
      <c r="B432" s="1250" t="s">
        <v>868</v>
      </c>
      <c r="C432" s="1251"/>
      <c r="D432" s="411" t="s">
        <v>2376</v>
      </c>
      <c r="E432" s="411"/>
      <c r="F432" s="411" t="s">
        <v>774</v>
      </c>
      <c r="G432" s="411" t="s">
        <v>423</v>
      </c>
      <c r="H432" s="412">
        <v>1840.454</v>
      </c>
      <c r="I432" s="413" t="s">
        <v>494</v>
      </c>
      <c r="J432" s="414">
        <v>45163.555555555555</v>
      </c>
      <c r="K432" s="414"/>
      <c r="L432" s="414" t="s">
        <v>192</v>
      </c>
      <c r="M432" s="414" t="s">
        <v>192</v>
      </c>
      <c r="N432" s="413" t="str">
        <f t="shared" si="36"/>
        <v>DELAY ( 6 day 22 hour 32 minute )</v>
      </c>
      <c r="O432" s="51"/>
      <c r="P432" s="415" t="s">
        <v>551</v>
      </c>
      <c r="Q432" s="415" t="s">
        <v>551</v>
      </c>
      <c r="R432" s="415" t="s">
        <v>551</v>
      </c>
      <c r="S432" s="32"/>
      <c r="T432" s="416"/>
      <c r="U432" s="416"/>
      <c r="V432" s="416"/>
      <c r="W432" s="416"/>
      <c r="X432" s="416"/>
      <c r="Y432" s="416">
        <f>H432</f>
        <v>1840.454</v>
      </c>
      <c r="Z432" s="416"/>
      <c r="AA432" s="416"/>
      <c r="AB432" s="416"/>
      <c r="AC432" s="416"/>
      <c r="AD432" s="416"/>
      <c r="AE432" s="416"/>
      <c r="AF432" s="416"/>
      <c r="AG432" s="416"/>
      <c r="AH432" s="416"/>
      <c r="AI432" s="416"/>
      <c r="AJ432" s="416"/>
      <c r="AK432" s="416"/>
      <c r="AL432" s="416"/>
      <c r="AM432" s="416"/>
      <c r="AN432" s="416"/>
      <c r="AO432" s="416"/>
      <c r="AP432" s="416"/>
      <c r="AQ432" s="416"/>
      <c r="AR432" s="416"/>
      <c r="AS432" s="416"/>
      <c r="AT432" s="416"/>
      <c r="AU432" s="416"/>
      <c r="AV432" s="416"/>
      <c r="AW432" s="416"/>
      <c r="AX432" s="416"/>
      <c r="AY432" s="416"/>
      <c r="AZ432" s="416"/>
      <c r="BA432" s="416"/>
      <c r="BB432" s="32"/>
    </row>
    <row r="433" spans="2:54">
      <c r="B433" s="1254"/>
      <c r="C433" s="1255"/>
      <c r="D433" s="411"/>
      <c r="E433" s="411"/>
      <c r="F433" s="1256" t="s">
        <v>668</v>
      </c>
      <c r="G433" s="1257"/>
      <c r="H433" s="412">
        <f>2532-0.037</f>
        <v>2531.9630000000002</v>
      </c>
      <c r="I433" s="413"/>
      <c r="J433" s="414"/>
      <c r="K433" s="414"/>
      <c r="L433" s="414"/>
      <c r="M433" s="414"/>
      <c r="N433" s="413" t="str">
        <f t="shared" si="36"/>
        <v xml:space="preserve"> </v>
      </c>
      <c r="O433" s="51"/>
      <c r="P433" s="415"/>
      <c r="Q433" s="415"/>
      <c r="R433" s="415"/>
      <c r="S433" s="32"/>
      <c r="T433" s="416"/>
      <c r="U433" s="416"/>
      <c r="V433" s="416"/>
      <c r="W433" s="416"/>
      <c r="X433" s="416"/>
      <c r="Y433" s="416"/>
      <c r="Z433" s="416"/>
      <c r="AA433" s="416"/>
      <c r="AB433" s="416"/>
      <c r="AC433" s="416"/>
      <c r="AD433" s="416"/>
      <c r="AE433" s="416"/>
      <c r="AF433" s="416"/>
      <c r="AG433" s="416"/>
      <c r="AH433" s="416"/>
      <c r="AI433" s="416"/>
      <c r="AJ433" s="416"/>
      <c r="AK433" s="416"/>
      <c r="AL433" s="416"/>
      <c r="AM433" s="416"/>
      <c r="AN433" s="416"/>
      <c r="AO433" s="416"/>
      <c r="AP433" s="416"/>
      <c r="AQ433" s="416"/>
      <c r="AR433" s="416"/>
      <c r="AS433" s="416"/>
      <c r="AT433" s="416"/>
      <c r="AU433" s="416"/>
      <c r="AV433" s="416"/>
      <c r="AW433" s="416"/>
      <c r="AX433" s="416"/>
      <c r="AY433" s="416"/>
      <c r="AZ433" s="416"/>
      <c r="BA433" s="416"/>
      <c r="BB433" s="32"/>
    </row>
    <row r="434" spans="2:54">
      <c r="B434" s="1250" t="s">
        <v>869</v>
      </c>
      <c r="C434" s="1251"/>
      <c r="D434" s="411" t="s">
        <v>2390</v>
      </c>
      <c r="E434" s="411"/>
      <c r="F434" s="411" t="s">
        <v>346</v>
      </c>
      <c r="G434" s="411" t="s">
        <v>347</v>
      </c>
      <c r="H434" s="412">
        <f>7436.225-212.329</f>
        <v>7223.8960000000006</v>
      </c>
      <c r="I434" s="413" t="s">
        <v>235</v>
      </c>
      <c r="J434" s="414">
        <v>45161.625</v>
      </c>
      <c r="K434" s="414"/>
      <c r="L434" s="414" t="s">
        <v>192</v>
      </c>
      <c r="M434" s="414" t="s">
        <v>192</v>
      </c>
      <c r="N434" s="413" t="str">
        <f t="shared" si="36"/>
        <v>DELAY ( 5 day 0 hour 12 minute )</v>
      </c>
      <c r="O434" s="51"/>
      <c r="P434" s="415" t="s">
        <v>551</v>
      </c>
      <c r="Q434" s="415" t="s">
        <v>551</v>
      </c>
      <c r="R434" s="415" t="s">
        <v>551</v>
      </c>
      <c r="S434" s="32"/>
      <c r="T434" s="416"/>
      <c r="U434" s="416"/>
      <c r="V434" s="416"/>
      <c r="W434" s="416"/>
      <c r="X434" s="416"/>
      <c r="Y434" s="416"/>
      <c r="Z434" s="416"/>
      <c r="AA434" s="416"/>
      <c r="AB434" s="416">
        <f>H434</f>
        <v>7223.8960000000006</v>
      </c>
      <c r="AC434" s="416"/>
      <c r="AD434" s="416"/>
      <c r="AE434" s="416"/>
      <c r="AF434" s="416"/>
      <c r="AG434" s="416"/>
      <c r="AH434" s="416"/>
      <c r="AI434" s="416"/>
      <c r="AJ434" s="416"/>
      <c r="AK434" s="416"/>
      <c r="AL434" s="416"/>
      <c r="AM434" s="416"/>
      <c r="AN434" s="416"/>
      <c r="AO434" s="416"/>
      <c r="AP434" s="416"/>
      <c r="AQ434" s="416"/>
      <c r="AR434" s="416"/>
      <c r="AS434" s="416"/>
      <c r="AT434" s="416"/>
      <c r="AU434" s="416"/>
      <c r="AV434" s="416"/>
      <c r="AW434" s="416"/>
      <c r="AX434" s="416"/>
      <c r="AY434" s="416"/>
      <c r="AZ434" s="416"/>
      <c r="BA434" s="416"/>
      <c r="BB434" s="32"/>
    </row>
    <row r="435" spans="2:54">
      <c r="B435" s="1258" t="s">
        <v>626</v>
      </c>
      <c r="C435" s="1259"/>
      <c r="D435" s="1259"/>
      <c r="E435" s="1259"/>
      <c r="F435" s="1259"/>
      <c r="G435" s="1260"/>
      <c r="H435" s="417">
        <f>H417+H418+H420+H422+H424+H426+H428+H429+H434+H432+H431</f>
        <v>70850.654999999999</v>
      </c>
      <c r="I435" s="388"/>
      <c r="J435" s="293"/>
      <c r="K435" s="293"/>
      <c r="L435" s="293"/>
      <c r="M435" s="389"/>
      <c r="N435" s="413" t="str">
        <f t="shared" si="36"/>
        <v xml:space="preserve"> </v>
      </c>
      <c r="O435" s="47"/>
      <c r="P435" s="418"/>
      <c r="Q435" s="418"/>
      <c r="R435" s="418"/>
      <c r="S435" s="32"/>
      <c r="T435" s="1261"/>
      <c r="U435" s="1261"/>
      <c r="V435" s="1261"/>
      <c r="W435" s="1261"/>
      <c r="X435" s="1261"/>
      <c r="Y435" s="1261"/>
      <c r="Z435" s="1261"/>
      <c r="AA435" s="1261"/>
      <c r="AB435" s="1261"/>
      <c r="AC435" s="1261"/>
      <c r="AD435" s="1261"/>
      <c r="AE435" s="1261"/>
      <c r="AF435" s="1261"/>
      <c r="AG435" s="1261"/>
      <c r="AH435" s="1261"/>
      <c r="AI435" s="1261"/>
      <c r="AJ435" s="1261"/>
      <c r="AK435" s="1261"/>
      <c r="AL435" s="1261"/>
      <c r="AM435" s="1261"/>
      <c r="AN435" s="1261"/>
      <c r="AO435" s="1261"/>
      <c r="AP435" s="1261"/>
      <c r="AQ435" s="1261"/>
      <c r="AR435" s="1261"/>
      <c r="AS435" s="1261"/>
      <c r="AT435" s="1261"/>
      <c r="AU435" s="1261"/>
      <c r="AV435" s="1261"/>
      <c r="AW435" s="1261"/>
      <c r="AX435" s="1261"/>
      <c r="AY435" s="1261"/>
      <c r="AZ435" s="1261"/>
      <c r="BA435" s="1261"/>
    </row>
    <row r="436" spans="2:54">
      <c r="B436" s="1258" t="s">
        <v>556</v>
      </c>
      <c r="C436" s="1259"/>
      <c r="D436" s="1259"/>
      <c r="E436" s="1259"/>
      <c r="F436" s="1259"/>
      <c r="G436" s="1260"/>
      <c r="H436" s="417">
        <f>H416+H435</f>
        <v>80400</v>
      </c>
      <c r="I436" s="388"/>
      <c r="J436" s="293"/>
      <c r="K436" s="293"/>
      <c r="L436" s="293"/>
      <c r="M436" s="389"/>
      <c r="N436" s="413" t="str">
        <f t="shared" si="36"/>
        <v xml:space="preserve"> </v>
      </c>
      <c r="O436" s="47"/>
      <c r="P436" s="418"/>
      <c r="Q436" s="418"/>
      <c r="R436" s="418"/>
      <c r="S436" s="32"/>
      <c r="T436" s="1262"/>
      <c r="U436" s="1263"/>
      <c r="V436" s="1263"/>
      <c r="W436" s="1263"/>
      <c r="X436" s="1263"/>
      <c r="Y436" s="1263"/>
      <c r="Z436" s="1263"/>
      <c r="AA436" s="1263"/>
      <c r="AB436" s="1263"/>
      <c r="AC436" s="1263"/>
      <c r="AD436" s="1263"/>
      <c r="AE436" s="1263"/>
      <c r="AF436" s="1263"/>
      <c r="AG436" s="1263"/>
      <c r="AH436" s="1263"/>
      <c r="AI436" s="1263"/>
      <c r="AJ436" s="1263"/>
      <c r="AK436" s="1263"/>
      <c r="AL436" s="1263"/>
      <c r="AM436" s="1263"/>
      <c r="AN436" s="1263"/>
      <c r="AO436" s="1263"/>
      <c r="AP436" s="1263"/>
      <c r="AQ436" s="1263"/>
      <c r="AR436" s="1263"/>
      <c r="AS436" s="1263"/>
      <c r="AT436" s="1263"/>
      <c r="AU436" s="1263"/>
      <c r="AV436" s="1263"/>
      <c r="AW436" s="1263"/>
      <c r="AX436" s="1263"/>
      <c r="AY436" s="1263"/>
      <c r="AZ436" s="1263"/>
      <c r="BA436" s="1263"/>
    </row>
    <row r="437" spans="2:54">
      <c r="B437" s="1243" t="s">
        <v>557</v>
      </c>
      <c r="C437" s="1244"/>
      <c r="D437" s="1244"/>
      <c r="E437" s="1244"/>
      <c r="F437" s="1244"/>
      <c r="G437" s="1245"/>
      <c r="H437" s="419">
        <v>80400</v>
      </c>
      <c r="I437" s="1246"/>
      <c r="J437" s="1247"/>
      <c r="K437" s="1247"/>
      <c r="L437" s="1247"/>
      <c r="M437" s="1248"/>
      <c r="N437" s="413" t="str">
        <f t="shared" si="36"/>
        <v xml:space="preserve"> </v>
      </c>
      <c r="O437" s="32"/>
      <c r="P437" s="415"/>
      <c r="Q437" s="415"/>
      <c r="R437" s="415"/>
      <c r="S437" s="63"/>
      <c r="T437" s="416">
        <f t="shared" ref="T437:BA437" si="39">SUM(T414:T434)</f>
        <v>7017.3819999999996</v>
      </c>
      <c r="U437" s="416">
        <f t="shared" si="39"/>
        <v>0</v>
      </c>
      <c r="V437" s="416">
        <f t="shared" si="39"/>
        <v>0</v>
      </c>
      <c r="W437" s="416">
        <f t="shared" si="39"/>
        <v>0</v>
      </c>
      <c r="X437" s="416">
        <f t="shared" si="39"/>
        <v>0</v>
      </c>
      <c r="Y437" s="416">
        <f t="shared" si="39"/>
        <v>1840.454</v>
      </c>
      <c r="Z437" s="416">
        <f t="shared" si="39"/>
        <v>0</v>
      </c>
      <c r="AA437" s="416">
        <f t="shared" si="39"/>
        <v>0</v>
      </c>
      <c r="AB437" s="416">
        <f t="shared" si="39"/>
        <v>53384.485499999995</v>
      </c>
      <c r="AC437" s="416">
        <f t="shared" si="39"/>
        <v>18157.678500000002</v>
      </c>
      <c r="AD437" s="416">
        <f t="shared" si="39"/>
        <v>0</v>
      </c>
      <c r="AE437" s="416">
        <f t="shared" si="39"/>
        <v>0</v>
      </c>
      <c r="AF437" s="416">
        <f t="shared" si="39"/>
        <v>0</v>
      </c>
      <c r="AG437" s="416">
        <f t="shared" si="39"/>
        <v>0</v>
      </c>
      <c r="AH437" s="416">
        <f t="shared" si="39"/>
        <v>0</v>
      </c>
      <c r="AI437" s="416">
        <f t="shared" si="39"/>
        <v>0</v>
      </c>
      <c r="AJ437" s="416">
        <f t="shared" si="39"/>
        <v>0</v>
      </c>
      <c r="AK437" s="416">
        <f t="shared" si="39"/>
        <v>0</v>
      </c>
      <c r="AL437" s="416">
        <f t="shared" si="39"/>
        <v>0</v>
      </c>
      <c r="AM437" s="416">
        <f t="shared" si="39"/>
        <v>0</v>
      </c>
      <c r="AN437" s="416">
        <f t="shared" si="39"/>
        <v>0</v>
      </c>
      <c r="AO437" s="416">
        <f t="shared" si="39"/>
        <v>0</v>
      </c>
      <c r="AP437" s="416">
        <f t="shared" si="39"/>
        <v>0</v>
      </c>
      <c r="AQ437" s="416">
        <f t="shared" si="39"/>
        <v>0</v>
      </c>
      <c r="AR437" s="416">
        <f t="shared" si="39"/>
        <v>0</v>
      </c>
      <c r="AS437" s="416">
        <f t="shared" si="39"/>
        <v>0</v>
      </c>
      <c r="AT437" s="416">
        <f t="shared" si="39"/>
        <v>0</v>
      </c>
      <c r="AU437" s="416">
        <f t="shared" si="39"/>
        <v>0</v>
      </c>
      <c r="AV437" s="416">
        <f t="shared" si="39"/>
        <v>0</v>
      </c>
      <c r="AW437" s="416">
        <f t="shared" si="39"/>
        <v>0</v>
      </c>
      <c r="AX437" s="416">
        <f t="shared" si="39"/>
        <v>0</v>
      </c>
      <c r="AY437" s="416">
        <f t="shared" si="39"/>
        <v>0</v>
      </c>
      <c r="AZ437" s="416">
        <f t="shared" si="39"/>
        <v>0</v>
      </c>
      <c r="BA437" s="416">
        <f t="shared" si="39"/>
        <v>0</v>
      </c>
      <c r="BB437" s="416">
        <f>SUM(T437:BA437)</f>
        <v>80400</v>
      </c>
    </row>
    <row r="438" spans="2:54">
      <c r="B438" s="1243" t="s">
        <v>558</v>
      </c>
      <c r="C438" s="1244"/>
      <c r="D438" s="1244"/>
      <c r="E438" s="1244"/>
      <c r="F438" s="1244"/>
      <c r="G438" s="1245"/>
      <c r="H438" s="420">
        <f>H437-L408</f>
        <v>0</v>
      </c>
      <c r="I438" s="294"/>
      <c r="J438" s="295"/>
      <c r="K438" s="295"/>
      <c r="L438" s="296"/>
      <c r="M438" s="32"/>
      <c r="N438" s="32"/>
      <c r="O438" s="32"/>
      <c r="P438" s="32"/>
      <c r="Q438" s="297"/>
      <c r="R438" s="297"/>
      <c r="S438" s="32"/>
      <c r="T438" s="48"/>
      <c r="U438" s="48"/>
      <c r="V438" s="48"/>
      <c r="W438" s="48"/>
      <c r="X438" s="48"/>
      <c r="Y438" s="48"/>
      <c r="Z438" s="48"/>
      <c r="AA438" s="48"/>
      <c r="AB438" s="48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</row>
    <row r="439" spans="2:54">
      <c r="B439" s="1243" t="s">
        <v>559</v>
      </c>
      <c r="C439" s="1244"/>
      <c r="D439" s="1244"/>
      <c r="E439" s="1244"/>
      <c r="F439" s="1244"/>
      <c r="G439" s="1245"/>
      <c r="H439" s="446">
        <v>105.613</v>
      </c>
      <c r="I439" s="52"/>
      <c r="J439" s="53"/>
      <c r="K439" s="53"/>
      <c r="L439" s="54"/>
      <c r="M439" s="32"/>
      <c r="N439" s="32"/>
      <c r="O439" s="32"/>
      <c r="P439" s="32"/>
      <c r="Q439" s="32"/>
      <c r="R439" s="32"/>
      <c r="S439" s="32"/>
      <c r="T439" s="48"/>
      <c r="U439" s="48"/>
      <c r="V439" s="48"/>
      <c r="W439" s="48"/>
      <c r="X439" s="48"/>
      <c r="Y439" s="48"/>
      <c r="Z439" s="48"/>
      <c r="AA439" s="48"/>
      <c r="AB439" s="48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</row>
    <row r="440" spans="2:54">
      <c r="B440" s="1243" t="s">
        <v>560</v>
      </c>
      <c r="C440" s="1244"/>
      <c r="D440" s="1244"/>
      <c r="E440" s="1244"/>
      <c r="F440" s="1244"/>
      <c r="G440" s="1245"/>
      <c r="H440" s="421">
        <f>H439-212.329</f>
        <v>-106.71600000000001</v>
      </c>
      <c r="I440" s="52"/>
      <c r="J440" s="53"/>
      <c r="K440" s="53"/>
      <c r="L440" s="54"/>
      <c r="M440" s="32"/>
      <c r="N440" s="32"/>
      <c r="O440" s="32"/>
      <c r="P440" s="32"/>
      <c r="Q440" s="32"/>
      <c r="R440" s="32"/>
      <c r="S440" s="48"/>
      <c r="T440" s="48"/>
      <c r="U440" s="48"/>
      <c r="V440" s="48"/>
      <c r="W440" s="48"/>
      <c r="X440" s="48"/>
      <c r="Y440" s="48"/>
      <c r="Z440" s="48"/>
      <c r="AA440" s="48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</row>
    <row r="442" spans="2:54">
      <c r="B442" s="40" t="s">
        <v>561</v>
      </c>
      <c r="C442" s="40"/>
      <c r="D442" s="32"/>
      <c r="E442" s="32"/>
      <c r="F442" s="32"/>
      <c r="G442" s="32"/>
      <c r="H442" s="32"/>
      <c r="I442" s="32"/>
      <c r="J442" s="52"/>
      <c r="K442" s="52"/>
      <c r="L442" s="55"/>
      <c r="M442" s="32"/>
      <c r="N442" s="32"/>
      <c r="O442" s="52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BB442" s="32"/>
    </row>
    <row r="443" spans="2:54">
      <c r="B443" s="422">
        <v>1</v>
      </c>
      <c r="C443" s="1249" t="s">
        <v>2391</v>
      </c>
      <c r="D443" s="1249"/>
      <c r="E443" s="1249"/>
      <c r="F443" s="1249"/>
      <c r="G443" s="1249"/>
      <c r="H443" s="1249"/>
      <c r="I443" s="1249"/>
      <c r="J443" s="1249"/>
      <c r="K443" s="1249"/>
      <c r="L443" s="55"/>
      <c r="M443" s="55"/>
      <c r="N443" s="32"/>
      <c r="O443" s="52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</row>
    <row r="445" spans="2:54">
      <c r="B445" s="28" t="s">
        <v>126</v>
      </c>
      <c r="C445" s="28"/>
      <c r="D445" s="29"/>
      <c r="E445" s="30" t="s">
        <v>511</v>
      </c>
      <c r="F445" s="31" t="s">
        <v>2392</v>
      </c>
      <c r="G445" s="32"/>
      <c r="H445" s="33"/>
      <c r="I445" s="34"/>
      <c r="J445" s="35" t="s">
        <v>513</v>
      </c>
      <c r="K445" s="36" t="s">
        <v>511</v>
      </c>
      <c r="L445" s="37">
        <v>45165.96875</v>
      </c>
      <c r="M445" s="32"/>
      <c r="N445" s="32"/>
      <c r="O445" s="206"/>
      <c r="P445" s="205"/>
      <c r="Q445" s="202"/>
      <c r="R445" s="204"/>
      <c r="S445" s="38"/>
      <c r="T445" s="201"/>
      <c r="U445" s="201"/>
      <c r="V445" s="201"/>
      <c r="W445" s="201"/>
      <c r="X445" s="201"/>
      <c r="Y445" s="201"/>
      <c r="Z445" s="201"/>
      <c r="AA445" s="201"/>
      <c r="AB445" s="202"/>
      <c r="AC445" s="202"/>
      <c r="AD445" s="202"/>
      <c r="AE445" s="202"/>
      <c r="AF445" s="202"/>
      <c r="AG445" s="201"/>
      <c r="AH445" s="201"/>
      <c r="AI445" s="201"/>
      <c r="AJ445" s="201"/>
      <c r="AK445" s="201"/>
      <c r="AL445" s="201"/>
      <c r="AM445" s="201"/>
      <c r="AN445" s="201"/>
      <c r="AO445" s="201"/>
      <c r="AP445" s="201"/>
      <c r="AQ445" s="201"/>
      <c r="AR445" s="201"/>
      <c r="AS445" s="201"/>
      <c r="AT445" s="201"/>
      <c r="AU445" s="201"/>
      <c r="AV445" s="201"/>
      <c r="AW445" s="201"/>
      <c r="AX445" s="201"/>
      <c r="AY445" s="201"/>
      <c r="AZ445" s="201"/>
      <c r="BA445" s="201"/>
      <c r="BB445" s="201"/>
    </row>
    <row r="446" spans="2:54">
      <c r="B446" s="35" t="s">
        <v>514</v>
      </c>
      <c r="C446" s="35"/>
      <c r="D446" s="32"/>
      <c r="E446" s="36" t="s">
        <v>511</v>
      </c>
      <c r="F446" s="311" t="s">
        <v>2393</v>
      </c>
      <c r="G446" s="32"/>
      <c r="H446" s="33"/>
      <c r="I446" s="34"/>
      <c r="J446" s="35" t="s">
        <v>516</v>
      </c>
      <c r="K446" s="36" t="s">
        <v>511</v>
      </c>
      <c r="L446" s="37">
        <v>45167.722222222219</v>
      </c>
      <c r="M446" s="32"/>
      <c r="N446" s="32"/>
      <c r="O446" s="206"/>
      <c r="P446" s="205"/>
      <c r="Q446" s="202"/>
      <c r="R446" s="204"/>
      <c r="S446" s="38"/>
      <c r="T446" s="201"/>
      <c r="U446" s="201"/>
      <c r="V446" s="201"/>
      <c r="W446" s="201"/>
      <c r="X446" s="201"/>
      <c r="Y446" s="201"/>
      <c r="Z446" s="201"/>
      <c r="AA446" s="201"/>
      <c r="AB446" s="202"/>
      <c r="AC446" s="202"/>
      <c r="AD446" s="202"/>
      <c r="AE446" s="202"/>
      <c r="AF446" s="202"/>
      <c r="AG446" s="201"/>
      <c r="AH446" s="201"/>
      <c r="AI446" s="201"/>
      <c r="AJ446" s="201"/>
      <c r="AK446" s="201"/>
      <c r="AL446" s="201"/>
      <c r="AM446" s="201"/>
      <c r="AN446" s="201"/>
      <c r="AO446" s="201"/>
      <c r="AP446" s="201"/>
      <c r="AQ446" s="201"/>
      <c r="AR446" s="201"/>
      <c r="AS446" s="201"/>
      <c r="AT446" s="201"/>
      <c r="AU446" s="201"/>
      <c r="AV446" s="201"/>
      <c r="AW446" s="201"/>
      <c r="AX446" s="201"/>
      <c r="AY446" s="201"/>
      <c r="AZ446" s="201"/>
      <c r="BA446" s="201"/>
      <c r="BB446" s="201"/>
    </row>
    <row r="447" spans="2:54">
      <c r="B447" s="35" t="s">
        <v>517</v>
      </c>
      <c r="C447" s="35"/>
      <c r="D447" s="32"/>
      <c r="E447" s="36" t="s">
        <v>511</v>
      </c>
      <c r="F447" s="37">
        <v>45159.354166666664</v>
      </c>
      <c r="G447" s="32"/>
      <c r="H447" s="33"/>
      <c r="I447" s="34"/>
      <c r="J447" s="35" t="s">
        <v>518</v>
      </c>
      <c r="K447" s="36" t="s">
        <v>511</v>
      </c>
      <c r="L447" s="50">
        <v>59900</v>
      </c>
      <c r="M447" s="40" t="s">
        <v>519</v>
      </c>
      <c r="N447" s="40"/>
      <c r="O447" s="206"/>
      <c r="P447" s="205"/>
      <c r="Q447" s="202"/>
      <c r="R447" s="204"/>
      <c r="S447" s="38"/>
      <c r="T447" s="201"/>
      <c r="U447" s="201"/>
      <c r="V447" s="201"/>
      <c r="W447" s="201"/>
      <c r="X447" s="201"/>
      <c r="Y447" s="201"/>
      <c r="Z447" s="201"/>
      <c r="AA447" s="201"/>
      <c r="AB447" s="202"/>
      <c r="AC447" s="202"/>
      <c r="AD447" s="202"/>
      <c r="AE447" s="202"/>
      <c r="AF447" s="202"/>
      <c r="AG447" s="201"/>
      <c r="AH447" s="201"/>
      <c r="AI447" s="201"/>
      <c r="AJ447" s="201"/>
      <c r="AK447" s="201"/>
      <c r="AL447" s="201"/>
      <c r="AM447" s="201"/>
      <c r="AN447" s="201"/>
      <c r="AO447" s="201"/>
      <c r="AP447" s="201"/>
      <c r="AQ447" s="201"/>
      <c r="AR447" s="201"/>
      <c r="AS447" s="201"/>
      <c r="AT447" s="201"/>
      <c r="AU447" s="201"/>
      <c r="AV447" s="201"/>
      <c r="AW447" s="201"/>
      <c r="AX447" s="201"/>
      <c r="AY447" s="201"/>
      <c r="AZ447" s="201"/>
      <c r="BA447" s="201"/>
      <c r="BB447" s="201"/>
    </row>
    <row r="448" spans="2:54">
      <c r="B448" s="35" t="s">
        <v>520</v>
      </c>
      <c r="C448" s="35"/>
      <c r="D448" s="32"/>
      <c r="E448" s="36" t="s">
        <v>511</v>
      </c>
      <c r="F448" s="37" t="s">
        <v>4</v>
      </c>
      <c r="G448" s="32"/>
      <c r="H448" s="33"/>
      <c r="I448" s="34"/>
      <c r="J448" s="35" t="s">
        <v>521</v>
      </c>
      <c r="K448" s="36" t="s">
        <v>511</v>
      </c>
      <c r="L448" s="41" t="s">
        <v>2394</v>
      </c>
      <c r="M448" s="32"/>
      <c r="N448" s="32"/>
      <c r="O448" s="206"/>
      <c r="P448" s="202"/>
      <c r="Q448" s="202"/>
      <c r="R448" s="204"/>
      <c r="S448" s="38"/>
      <c r="T448" s="201"/>
      <c r="U448" s="201"/>
      <c r="V448" s="201"/>
      <c r="W448" s="201"/>
      <c r="X448" s="201"/>
      <c r="Y448" s="201"/>
      <c r="Z448" s="201"/>
      <c r="AA448" s="201"/>
      <c r="AB448" s="202"/>
      <c r="AC448" s="202"/>
      <c r="AD448" s="202"/>
      <c r="AE448" s="202"/>
      <c r="AF448" s="202"/>
      <c r="AG448" s="201"/>
      <c r="AH448" s="201"/>
      <c r="AI448" s="201"/>
      <c r="AJ448" s="201"/>
      <c r="AK448" s="201"/>
      <c r="AL448" s="201"/>
      <c r="AM448" s="201"/>
      <c r="AN448" s="201"/>
      <c r="AO448" s="201"/>
      <c r="AP448" s="201"/>
      <c r="AQ448" s="201"/>
      <c r="AR448" s="201"/>
      <c r="AS448" s="201"/>
      <c r="AT448" s="201"/>
      <c r="AU448" s="201"/>
      <c r="AV448" s="201"/>
      <c r="AW448" s="201"/>
      <c r="AX448" s="201"/>
      <c r="AY448" s="201"/>
      <c r="AZ448" s="201"/>
      <c r="BA448" s="201"/>
      <c r="BB448" s="201"/>
    </row>
    <row r="449" spans="2:54">
      <c r="B449" s="35" t="s">
        <v>523</v>
      </c>
      <c r="C449" s="35"/>
      <c r="D449" s="32"/>
      <c r="E449" s="36" t="s">
        <v>511</v>
      </c>
      <c r="F449" s="37" t="s">
        <v>5</v>
      </c>
      <c r="G449" s="32"/>
      <c r="H449" s="33"/>
      <c r="I449" s="34"/>
      <c r="J449" s="42" t="s">
        <v>524</v>
      </c>
      <c r="K449" s="36" t="s">
        <v>511</v>
      </c>
      <c r="L449" s="43" t="s">
        <v>11</v>
      </c>
      <c r="M449" s="44"/>
      <c r="N449" s="44"/>
      <c r="O449" s="206"/>
      <c r="P449" s="205"/>
      <c r="Q449" s="202"/>
      <c r="R449" s="204"/>
      <c r="S449" s="38"/>
      <c r="T449" s="201"/>
      <c r="U449" s="201"/>
      <c r="V449" s="201"/>
      <c r="W449" s="201"/>
      <c r="X449" s="201"/>
      <c r="Y449" s="201"/>
      <c r="Z449" s="201"/>
      <c r="AA449" s="201"/>
      <c r="AB449" s="202"/>
      <c r="AC449" s="202"/>
      <c r="AD449" s="202"/>
      <c r="AE449" s="202"/>
      <c r="AF449" s="202"/>
      <c r="AG449" s="201"/>
      <c r="AH449" s="201"/>
      <c r="AI449" s="201"/>
      <c r="AJ449" s="201"/>
      <c r="AK449" s="201"/>
      <c r="AL449" s="201"/>
      <c r="AM449" s="201"/>
      <c r="AN449" s="201"/>
      <c r="AO449" s="201"/>
      <c r="AP449" s="201"/>
      <c r="AQ449" s="201"/>
      <c r="AR449" s="201"/>
      <c r="AS449" s="201"/>
      <c r="AT449" s="201"/>
      <c r="AU449" s="201"/>
      <c r="AV449" s="201"/>
      <c r="AW449" s="201"/>
      <c r="AX449" s="201"/>
      <c r="AY449" s="201"/>
      <c r="AZ449" s="201"/>
      <c r="BA449" s="201"/>
      <c r="BB449" s="201"/>
    </row>
    <row r="450" spans="2:54">
      <c r="B450" s="35" t="s">
        <v>2</v>
      </c>
      <c r="C450" s="35"/>
      <c r="D450" s="32"/>
      <c r="E450" s="36" t="s">
        <v>511</v>
      </c>
      <c r="F450" s="37" t="s">
        <v>14</v>
      </c>
      <c r="G450" s="32"/>
      <c r="H450" s="33"/>
      <c r="I450" s="45"/>
      <c r="J450" s="42"/>
      <c r="K450" s="36"/>
      <c r="L450" s="211"/>
      <c r="M450" s="201"/>
      <c r="N450" s="201"/>
      <c r="O450" s="42"/>
      <c r="P450" s="44"/>
      <c r="Q450" s="44"/>
      <c r="R450" s="44"/>
      <c r="S450" s="34"/>
      <c r="T450" s="201"/>
      <c r="U450" s="201"/>
      <c r="V450" s="201"/>
      <c r="W450" s="201"/>
      <c r="X450" s="201"/>
      <c r="Y450" s="201"/>
      <c r="Z450" s="201"/>
      <c r="AA450" s="201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201"/>
      <c r="AP450" s="201"/>
      <c r="AQ450" s="201"/>
      <c r="AR450" s="201"/>
      <c r="AS450" s="201"/>
      <c r="AT450" s="201"/>
      <c r="AU450" s="201"/>
      <c r="AV450" s="201"/>
      <c r="AW450" s="201"/>
      <c r="AX450" s="201"/>
      <c r="AY450" s="201"/>
      <c r="AZ450" s="201"/>
      <c r="BA450" s="201"/>
      <c r="BB450" s="201"/>
    </row>
    <row r="451" spans="2:54">
      <c r="B451" s="201"/>
      <c r="C451" s="201"/>
      <c r="D451" s="201"/>
      <c r="E451" s="201"/>
      <c r="F451" s="201"/>
      <c r="G451" s="201"/>
      <c r="H451" s="201"/>
      <c r="I451" s="45"/>
      <c r="J451" s="42"/>
      <c r="K451" s="42"/>
      <c r="L451" s="43"/>
      <c r="M451" s="44"/>
      <c r="N451" s="44"/>
      <c r="O451" s="42"/>
      <c r="P451" s="44"/>
      <c r="Q451" s="44"/>
      <c r="R451" s="44"/>
      <c r="S451" s="34"/>
      <c r="T451" s="1265" t="s">
        <v>87</v>
      </c>
      <c r="U451" s="1265"/>
      <c r="V451" s="1265"/>
      <c r="W451" s="1265"/>
      <c r="X451" s="1265"/>
      <c r="Y451" s="1265" t="s">
        <v>73</v>
      </c>
      <c r="Z451" s="1265"/>
      <c r="AA451" s="1265"/>
      <c r="AB451" s="1265" t="s">
        <v>74</v>
      </c>
      <c r="AC451" s="1265"/>
      <c r="AD451" s="423" t="s">
        <v>85</v>
      </c>
      <c r="AE451" s="423" t="s">
        <v>77</v>
      </c>
      <c r="AF451" s="1265" t="s">
        <v>525</v>
      </c>
      <c r="AG451" s="1265"/>
      <c r="AH451" s="1265"/>
      <c r="AI451" s="1265"/>
      <c r="AJ451" s="1265"/>
      <c r="AK451" s="1265"/>
      <c r="AL451" s="1265"/>
      <c r="AM451" s="1265"/>
      <c r="AN451" s="1265"/>
      <c r="AO451" s="1265"/>
      <c r="AP451" s="1265"/>
      <c r="AQ451" s="1265"/>
      <c r="AR451" s="1265"/>
      <c r="AS451" s="1265"/>
      <c r="AT451" s="1265"/>
      <c r="AU451" s="1265"/>
      <c r="AV451" s="1265"/>
      <c r="AW451" s="1265"/>
      <c r="AX451" s="1265"/>
      <c r="AY451" s="1265"/>
      <c r="AZ451" s="1265"/>
      <c r="BA451" s="1265"/>
      <c r="BB451" s="201"/>
    </row>
    <row r="452" spans="2:54">
      <c r="B452" s="1266" t="s">
        <v>526</v>
      </c>
      <c r="C452" s="1267"/>
      <c r="D452" s="570" t="s">
        <v>527</v>
      </c>
      <c r="E452" s="570"/>
      <c r="F452" s="570" t="s">
        <v>528</v>
      </c>
      <c r="G452" s="570" t="s">
        <v>529</v>
      </c>
      <c r="H452" s="570" t="s">
        <v>530</v>
      </c>
      <c r="I452" s="570" t="s">
        <v>531</v>
      </c>
      <c r="J452" s="570" t="s">
        <v>532</v>
      </c>
      <c r="K452" s="570"/>
      <c r="L452" s="570" t="s">
        <v>130</v>
      </c>
      <c r="M452" s="570" t="s">
        <v>533</v>
      </c>
      <c r="N452" s="408" t="str">
        <f>"On time - "&amp;COUNTIF(N453:N472,"On time")&amp;" from "&amp;ROWS(N453:N472)-COUNTIF(N453:N472," ")</f>
        <v>On time - 0 from 8</v>
      </c>
      <c r="O452" s="46"/>
      <c r="P452" s="409" t="s">
        <v>534</v>
      </c>
      <c r="Q452" s="409" t="s">
        <v>535</v>
      </c>
      <c r="R452" s="409" t="s">
        <v>536</v>
      </c>
      <c r="S452" s="32"/>
      <c r="T452" s="424" t="s">
        <v>537</v>
      </c>
      <c r="U452" s="424" t="s">
        <v>538</v>
      </c>
      <c r="V452" s="424" t="s">
        <v>539</v>
      </c>
      <c r="W452" s="424" t="s">
        <v>540</v>
      </c>
      <c r="X452" s="424" t="s">
        <v>541</v>
      </c>
      <c r="Y452" s="424" t="s">
        <v>167</v>
      </c>
      <c r="Z452" s="424" t="s">
        <v>168</v>
      </c>
      <c r="AA452" s="424" t="s">
        <v>169</v>
      </c>
      <c r="AB452" s="424" t="s">
        <v>235</v>
      </c>
      <c r="AC452" s="424" t="s">
        <v>240</v>
      </c>
      <c r="AD452" s="423" t="s">
        <v>85</v>
      </c>
      <c r="AE452" s="424" t="s">
        <v>139</v>
      </c>
      <c r="AF452" s="424" t="s">
        <v>72</v>
      </c>
      <c r="AG452" s="424" t="s">
        <v>88</v>
      </c>
      <c r="AH452" s="424" t="s">
        <v>75</v>
      </c>
      <c r="AI452" s="424" t="s">
        <v>543</v>
      </c>
      <c r="AJ452" s="424" t="s">
        <v>78</v>
      </c>
      <c r="AK452" s="424" t="s">
        <v>76</v>
      </c>
      <c r="AL452" s="424" t="s">
        <v>544</v>
      </c>
      <c r="AM452" s="424" t="s">
        <v>545</v>
      </c>
      <c r="AN452" s="424" t="s">
        <v>86</v>
      </c>
      <c r="AO452" s="424" t="s">
        <v>83</v>
      </c>
      <c r="AP452" s="424" t="s">
        <v>84</v>
      </c>
      <c r="AQ452" s="424" t="s">
        <v>546</v>
      </c>
      <c r="AR452" s="424" t="s">
        <v>81</v>
      </c>
      <c r="AS452" s="424" t="s">
        <v>80</v>
      </c>
      <c r="AT452" s="424" t="s">
        <v>82</v>
      </c>
      <c r="AU452" s="424" t="s">
        <v>181</v>
      </c>
      <c r="AV452" s="424" t="s">
        <v>183</v>
      </c>
      <c r="AW452" s="424" t="s">
        <v>547</v>
      </c>
      <c r="AX452" s="424" t="s">
        <v>182</v>
      </c>
      <c r="AY452" s="424" t="s">
        <v>172</v>
      </c>
      <c r="AZ452" s="424" t="s">
        <v>173</v>
      </c>
      <c r="BA452" s="424" t="s">
        <v>184</v>
      </c>
      <c r="BB452" s="201"/>
    </row>
    <row r="453" spans="2:54">
      <c r="B453" s="1256" t="s">
        <v>616</v>
      </c>
      <c r="C453" s="1257"/>
      <c r="D453" s="411" t="s">
        <v>2395</v>
      </c>
      <c r="E453" s="444"/>
      <c r="F453" s="411" t="s">
        <v>358</v>
      </c>
      <c r="G453" s="411" t="s">
        <v>359</v>
      </c>
      <c r="H453" s="412">
        <v>7670.134</v>
      </c>
      <c r="I453" s="413" t="s">
        <v>494</v>
      </c>
      <c r="J453" s="414">
        <v>45162.260416666664</v>
      </c>
      <c r="K453" s="414"/>
      <c r="L453" s="414" t="s">
        <v>192</v>
      </c>
      <c r="M453" s="414" t="s">
        <v>192</v>
      </c>
      <c r="N453" s="413" t="str">
        <f>IF(ISBLANK(J453)," ",IF(J453&lt;$F$447,"On time",(IF(DAY(J453-$F$447)&lt;1,"On time",(IF(J453&gt;$F$447,"DELAY ( "&amp;DAY(J453-$F$447)&amp;" day "&amp;HOUR(J453-$F$447)&amp;" hour "&amp;MINUTE(J453-$F$447)&amp;" minute )","xxx"))))))</f>
        <v>DELAY ( 2 day 21 hour 45 minute )</v>
      </c>
      <c r="O453" s="51"/>
      <c r="P453" s="415" t="s">
        <v>551</v>
      </c>
      <c r="Q453" s="415" t="s">
        <v>551</v>
      </c>
      <c r="R453" s="415" t="s">
        <v>551</v>
      </c>
      <c r="S453" s="32"/>
      <c r="T453" s="416"/>
      <c r="U453" s="416"/>
      <c r="V453" s="416"/>
      <c r="W453" s="416"/>
      <c r="X453" s="416"/>
      <c r="Y453" s="416">
        <f>H453</f>
        <v>7670.134</v>
      </c>
      <c r="Z453" s="416"/>
      <c r="AA453" s="416"/>
      <c r="AB453" s="416"/>
      <c r="AC453" s="416"/>
      <c r="AD453" s="416"/>
      <c r="AE453" s="416"/>
      <c r="AF453" s="416"/>
      <c r="AG453" s="416"/>
      <c r="AH453" s="416"/>
      <c r="AI453" s="416"/>
      <c r="AJ453" s="416"/>
      <c r="AK453" s="416"/>
      <c r="AL453" s="416"/>
      <c r="AM453" s="416"/>
      <c r="AN453" s="416"/>
      <c r="AO453" s="416"/>
      <c r="AP453" s="416"/>
      <c r="AQ453" s="416"/>
      <c r="AR453" s="416"/>
      <c r="AS453" s="416"/>
      <c r="AT453" s="416"/>
      <c r="AU453" s="416"/>
      <c r="AV453" s="416"/>
      <c r="AW453" s="416"/>
      <c r="AX453" s="416"/>
      <c r="AY453" s="416"/>
      <c r="AZ453" s="416"/>
      <c r="BA453" s="416"/>
      <c r="BB453" s="32"/>
    </row>
    <row r="454" spans="2:54">
      <c r="B454" s="1256" t="s">
        <v>616</v>
      </c>
      <c r="C454" s="1257"/>
      <c r="D454" s="411" t="s">
        <v>2396</v>
      </c>
      <c r="E454" s="444"/>
      <c r="F454" s="411" t="s">
        <v>298</v>
      </c>
      <c r="G454" s="411" t="s">
        <v>299</v>
      </c>
      <c r="H454" s="412">
        <v>8304.8420000000006</v>
      </c>
      <c r="I454" s="413" t="s">
        <v>494</v>
      </c>
      <c r="J454" s="414">
        <v>45162.416666666664</v>
      </c>
      <c r="K454" s="414"/>
      <c r="L454" s="414" t="s">
        <v>192</v>
      </c>
      <c r="M454" s="414" t="s">
        <v>192</v>
      </c>
      <c r="N454" s="413" t="str">
        <f t="shared" ref="N454:N472" si="40">IF(ISBLANK(J454)," ",IF(J454&lt;$F$447,"On time",(IF(DAY(J454-$F$447)&lt;1,"On time",(IF(J454&gt;$F$447,"DELAY ( "&amp;DAY(J454-$F$447)&amp;" day "&amp;HOUR(J454-$F$447)&amp;" hour "&amp;MINUTE(J454-$F$447)&amp;" minute )","xxx"))))))</f>
        <v>DELAY ( 3 day 1 hour 30 minute )</v>
      </c>
      <c r="O454" s="51"/>
      <c r="P454" s="415" t="s">
        <v>551</v>
      </c>
      <c r="Q454" s="415" t="s">
        <v>551</v>
      </c>
      <c r="R454" s="415" t="s">
        <v>551</v>
      </c>
      <c r="S454" s="32"/>
      <c r="T454" s="416"/>
      <c r="U454" s="416"/>
      <c r="V454" s="416"/>
      <c r="W454" s="416"/>
      <c r="X454" s="416"/>
      <c r="Y454" s="416">
        <f>H454</f>
        <v>8304.8420000000006</v>
      </c>
      <c r="Z454" s="416"/>
      <c r="AA454" s="416"/>
      <c r="AB454" s="416"/>
      <c r="AC454" s="416"/>
      <c r="AD454" s="416"/>
      <c r="AE454" s="416"/>
      <c r="AF454" s="416"/>
      <c r="AG454" s="416"/>
      <c r="AH454" s="416"/>
      <c r="AI454" s="416"/>
      <c r="AJ454" s="416"/>
      <c r="AK454" s="416"/>
      <c r="AL454" s="416"/>
      <c r="AM454" s="416"/>
      <c r="AN454" s="416"/>
      <c r="AO454" s="416"/>
      <c r="AP454" s="416"/>
      <c r="AQ454" s="416"/>
      <c r="AR454" s="416"/>
      <c r="AS454" s="416"/>
      <c r="AT454" s="416"/>
      <c r="AU454" s="416"/>
      <c r="AV454" s="416"/>
      <c r="AW454" s="416"/>
      <c r="AX454" s="416"/>
      <c r="AY454" s="416"/>
      <c r="AZ454" s="416"/>
      <c r="BA454" s="416"/>
      <c r="BB454" s="32"/>
    </row>
    <row r="455" spans="2:54">
      <c r="B455" s="1256" t="s">
        <v>668</v>
      </c>
      <c r="C455" s="1257"/>
      <c r="D455" s="411" t="s">
        <v>2397</v>
      </c>
      <c r="E455" s="444"/>
      <c r="F455" s="411" t="s">
        <v>343</v>
      </c>
      <c r="G455" s="411" t="s">
        <v>344</v>
      </c>
      <c r="H455" s="412">
        <v>7545.1180000000004</v>
      </c>
      <c r="I455" s="413" t="s">
        <v>235</v>
      </c>
      <c r="J455" s="414">
        <v>45162.375</v>
      </c>
      <c r="K455" s="414"/>
      <c r="L455" s="414" t="s">
        <v>192</v>
      </c>
      <c r="M455" s="414" t="s">
        <v>192</v>
      </c>
      <c r="N455" s="413" t="str">
        <f t="shared" si="40"/>
        <v>DELAY ( 3 day 0 hour 30 minute )</v>
      </c>
      <c r="O455" s="51"/>
      <c r="P455" s="415" t="s">
        <v>551</v>
      </c>
      <c r="Q455" s="415" t="s">
        <v>551</v>
      </c>
      <c r="R455" s="415" t="s">
        <v>551</v>
      </c>
      <c r="S455" s="32"/>
      <c r="T455" s="416"/>
      <c r="U455" s="416"/>
      <c r="V455" s="416"/>
      <c r="W455" s="416"/>
      <c r="X455" s="416"/>
      <c r="Y455" s="416"/>
      <c r="Z455" s="416"/>
      <c r="AA455" s="416"/>
      <c r="AB455" s="416">
        <f>H455</f>
        <v>7545.1180000000004</v>
      </c>
      <c r="AC455" s="416"/>
      <c r="AD455" s="416"/>
      <c r="AE455" s="416"/>
      <c r="AF455" s="416"/>
      <c r="AG455" s="416"/>
      <c r="AH455" s="416"/>
      <c r="AI455" s="416"/>
      <c r="AJ455" s="416"/>
      <c r="AK455" s="416"/>
      <c r="AL455" s="416"/>
      <c r="AM455" s="416"/>
      <c r="AN455" s="416"/>
      <c r="AO455" s="416"/>
      <c r="AP455" s="416"/>
      <c r="AQ455" s="416"/>
      <c r="AR455" s="416"/>
      <c r="AS455" s="416"/>
      <c r="AT455" s="416"/>
      <c r="AU455" s="416"/>
      <c r="AV455" s="416"/>
      <c r="AW455" s="416"/>
      <c r="AX455" s="416"/>
      <c r="AY455" s="416"/>
      <c r="AZ455" s="416"/>
      <c r="BA455" s="416"/>
      <c r="BB455" s="32"/>
    </row>
    <row r="456" spans="2:54">
      <c r="B456" s="1258" t="s">
        <v>1721</v>
      </c>
      <c r="C456" s="1259"/>
      <c r="D456" s="1259"/>
      <c r="E456" s="1259"/>
      <c r="F456" s="1259"/>
      <c r="G456" s="1260"/>
      <c r="H456" s="417">
        <f>SUM(H453:H455)</f>
        <v>23520.094000000001</v>
      </c>
      <c r="I456" s="388"/>
      <c r="J456" s="367"/>
      <c r="K456" s="293"/>
      <c r="L456" s="293"/>
      <c r="M456" s="389"/>
      <c r="N456" s="413" t="str">
        <f t="shared" si="40"/>
        <v xml:space="preserve"> </v>
      </c>
      <c r="O456" s="47"/>
      <c r="P456" s="418"/>
      <c r="Q456" s="418"/>
      <c r="R456" s="418"/>
      <c r="S456" s="32"/>
      <c r="T456" s="416"/>
      <c r="U456" s="416"/>
      <c r="V456" s="416"/>
      <c r="W456" s="416"/>
      <c r="X456" s="416"/>
      <c r="Y456" s="429"/>
      <c r="Z456" s="429"/>
      <c r="AA456" s="429"/>
      <c r="AB456" s="429"/>
      <c r="AC456" s="429"/>
      <c r="AD456" s="416"/>
      <c r="AE456" s="416"/>
      <c r="AF456" s="416"/>
      <c r="AG456" s="416"/>
      <c r="AH456" s="416"/>
      <c r="AI456" s="416"/>
      <c r="AJ456" s="416"/>
      <c r="AK456" s="416"/>
      <c r="AL456" s="416"/>
      <c r="AM456" s="416"/>
      <c r="AN456" s="416"/>
      <c r="AO456" s="416"/>
      <c r="AP456" s="416"/>
      <c r="AQ456" s="416"/>
      <c r="AR456" s="416"/>
      <c r="AS456" s="416"/>
      <c r="AT456" s="416"/>
      <c r="AU456" s="416"/>
      <c r="AV456" s="416"/>
      <c r="AW456" s="416"/>
      <c r="AX456" s="416"/>
      <c r="AY456" s="416"/>
      <c r="AZ456" s="416"/>
      <c r="BA456" s="416"/>
    </row>
    <row r="457" spans="2:54">
      <c r="B457" s="1250" t="s">
        <v>619</v>
      </c>
      <c r="C457" s="1251"/>
      <c r="D457" s="411" t="s">
        <v>2398</v>
      </c>
      <c r="E457" s="411"/>
      <c r="F457" s="411" t="s">
        <v>429</v>
      </c>
      <c r="G457" s="411" t="s">
        <v>430</v>
      </c>
      <c r="H457" s="412">
        <v>7543.2209999999995</v>
      </c>
      <c r="I457" s="413" t="s">
        <v>494</v>
      </c>
      <c r="J457" s="414">
        <v>45163.638888888891</v>
      </c>
      <c r="K457" s="414"/>
      <c r="L457" s="414" t="s">
        <v>192</v>
      </c>
      <c r="M457" s="414" t="s">
        <v>192</v>
      </c>
      <c r="N457" s="413" t="str">
        <f t="shared" si="40"/>
        <v>DELAY ( 4 day 6 hour 50 minute )</v>
      </c>
      <c r="O457" s="51"/>
      <c r="P457" s="415" t="s">
        <v>551</v>
      </c>
      <c r="Q457" s="415" t="s">
        <v>551</v>
      </c>
      <c r="R457" s="415" t="s">
        <v>551</v>
      </c>
      <c r="S457" s="32"/>
      <c r="T457" s="416"/>
      <c r="U457" s="416"/>
      <c r="V457" s="416"/>
      <c r="W457" s="416"/>
      <c r="X457" s="416"/>
      <c r="Y457" s="416">
        <f t="shared" ref="Y457:Y459" si="41">H457</f>
        <v>7543.2209999999995</v>
      </c>
      <c r="Z457" s="416"/>
      <c r="AA457" s="416"/>
      <c r="AB457" s="416"/>
      <c r="AC457" s="416"/>
      <c r="AD457" s="416"/>
      <c r="AE457" s="416"/>
      <c r="AF457" s="416"/>
      <c r="AG457" s="416"/>
      <c r="AH457" s="416"/>
      <c r="AI457" s="416"/>
      <c r="AJ457" s="416"/>
      <c r="AK457" s="416"/>
      <c r="AL457" s="416"/>
      <c r="AM457" s="416"/>
      <c r="AN457" s="416"/>
      <c r="AO457" s="416"/>
      <c r="AP457" s="416"/>
      <c r="AQ457" s="416"/>
      <c r="AR457" s="416"/>
      <c r="AS457" s="416"/>
      <c r="AT457" s="416"/>
      <c r="AU457" s="416"/>
      <c r="AV457" s="416"/>
      <c r="AW457" s="416"/>
      <c r="AX457" s="416"/>
      <c r="AY457" s="416"/>
      <c r="AZ457" s="416"/>
      <c r="BA457" s="416"/>
      <c r="BB457" s="32"/>
    </row>
    <row r="458" spans="2:54">
      <c r="B458" s="1254"/>
      <c r="C458" s="1255"/>
      <c r="D458" s="411"/>
      <c r="E458" s="411"/>
      <c r="F458" s="1256" t="s">
        <v>616</v>
      </c>
      <c r="G458" s="1257"/>
      <c r="H458" s="412">
        <v>3195</v>
      </c>
      <c r="I458" s="413"/>
      <c r="J458" s="414"/>
      <c r="K458" s="414"/>
      <c r="L458" s="414"/>
      <c r="M458" s="414"/>
      <c r="N458" s="413" t="str">
        <f t="shared" si="40"/>
        <v xml:space="preserve"> </v>
      </c>
      <c r="O458" s="51"/>
      <c r="P458" s="415"/>
      <c r="Q458" s="415"/>
      <c r="R458" s="415"/>
      <c r="S458" s="32"/>
      <c r="T458" s="416"/>
      <c r="U458" s="416"/>
      <c r="V458" s="416"/>
      <c r="W458" s="416"/>
      <c r="X458" s="416"/>
      <c r="Y458" s="416"/>
      <c r="Z458" s="416"/>
      <c r="AA458" s="416"/>
      <c r="AB458" s="416"/>
      <c r="AC458" s="416"/>
      <c r="AD458" s="416"/>
      <c r="AE458" s="416"/>
      <c r="AF458" s="416"/>
      <c r="AG458" s="416"/>
      <c r="AH458" s="416"/>
      <c r="AI458" s="416"/>
      <c r="AJ458" s="416"/>
      <c r="AK458" s="416"/>
      <c r="AL458" s="416"/>
      <c r="AM458" s="416"/>
      <c r="AN458" s="416"/>
      <c r="AO458" s="416"/>
      <c r="AP458" s="416"/>
      <c r="AQ458" s="416"/>
      <c r="AR458" s="416"/>
      <c r="AS458" s="416"/>
      <c r="AT458" s="416"/>
      <c r="AU458" s="416"/>
      <c r="AV458" s="416"/>
      <c r="AW458" s="416"/>
      <c r="AX458" s="416"/>
      <c r="AY458" s="416"/>
      <c r="AZ458" s="416"/>
      <c r="BA458" s="416"/>
      <c r="BB458" s="32"/>
    </row>
    <row r="459" spans="2:54">
      <c r="B459" s="1250" t="s">
        <v>621</v>
      </c>
      <c r="C459" s="1251"/>
      <c r="D459" s="411" t="s">
        <v>2399</v>
      </c>
      <c r="E459" s="411"/>
      <c r="F459" s="411" t="s">
        <v>2322</v>
      </c>
      <c r="G459" s="411" t="s">
        <v>2323</v>
      </c>
      <c r="H459" s="412">
        <v>7554.3559999999998</v>
      </c>
      <c r="I459" s="413" t="s">
        <v>494</v>
      </c>
      <c r="J459" s="414">
        <v>45164.732638888891</v>
      </c>
      <c r="K459" s="414"/>
      <c r="L459" s="414" t="s">
        <v>192</v>
      </c>
      <c r="M459" s="414" t="s">
        <v>192</v>
      </c>
      <c r="N459" s="413" t="str">
        <f t="shared" si="40"/>
        <v>DELAY ( 5 day 9 hour 5 minute )</v>
      </c>
      <c r="O459" s="51"/>
      <c r="P459" s="415" t="s">
        <v>551</v>
      </c>
      <c r="Q459" s="415" t="s">
        <v>551</v>
      </c>
      <c r="R459" s="415" t="s">
        <v>551</v>
      </c>
      <c r="S459" s="32"/>
      <c r="T459" s="416"/>
      <c r="U459" s="416"/>
      <c r="V459" s="416"/>
      <c r="W459" s="416"/>
      <c r="X459" s="416"/>
      <c r="Y459" s="416">
        <f t="shared" si="41"/>
        <v>7554.3559999999998</v>
      </c>
      <c r="Z459" s="416"/>
      <c r="AA459" s="416"/>
      <c r="AB459" s="416"/>
      <c r="AC459" s="416"/>
      <c r="AD459" s="416"/>
      <c r="AE459" s="416"/>
      <c r="AF459" s="416"/>
      <c r="AG459" s="416"/>
      <c r="AH459" s="416"/>
      <c r="AI459" s="416"/>
      <c r="AJ459" s="416"/>
      <c r="AK459" s="416"/>
      <c r="AL459" s="416"/>
      <c r="AM459" s="416"/>
      <c r="AN459" s="416"/>
      <c r="AO459" s="416"/>
      <c r="AP459" s="416"/>
      <c r="AQ459" s="416"/>
      <c r="AR459" s="416"/>
      <c r="AS459" s="416"/>
      <c r="AT459" s="416"/>
      <c r="AU459" s="416"/>
      <c r="AV459" s="416"/>
      <c r="AW459" s="416"/>
      <c r="AX459" s="416"/>
      <c r="AY459" s="416"/>
      <c r="AZ459" s="416"/>
      <c r="BA459" s="416"/>
      <c r="BB459" s="32"/>
    </row>
    <row r="460" spans="2:54">
      <c r="B460" s="1252"/>
      <c r="C460" s="1253"/>
      <c r="D460" s="411"/>
      <c r="E460" s="411"/>
      <c r="F460" s="1256" t="s">
        <v>668</v>
      </c>
      <c r="G460" s="1257"/>
      <c r="H460" s="412">
        <v>2045</v>
      </c>
      <c r="I460" s="413"/>
      <c r="J460" s="414"/>
      <c r="K460" s="414"/>
      <c r="L460" s="414"/>
      <c r="M460" s="414"/>
      <c r="N460" s="413" t="str">
        <f t="shared" si="40"/>
        <v xml:space="preserve"> </v>
      </c>
      <c r="O460" s="51"/>
      <c r="P460" s="415"/>
      <c r="Q460" s="415"/>
      <c r="R460" s="415"/>
      <c r="S460" s="32"/>
      <c r="T460" s="416"/>
      <c r="U460" s="416"/>
      <c r="V460" s="416"/>
      <c r="W460" s="416"/>
      <c r="X460" s="416"/>
      <c r="Y460" s="416"/>
      <c r="Z460" s="416"/>
      <c r="AA460" s="416"/>
      <c r="AB460" s="416"/>
      <c r="AC460" s="416"/>
      <c r="AD460" s="416"/>
      <c r="AE460" s="416"/>
      <c r="AF460" s="416"/>
      <c r="AG460" s="416"/>
      <c r="AH460" s="416"/>
      <c r="AI460" s="416"/>
      <c r="AJ460" s="416"/>
      <c r="AK460" s="416"/>
      <c r="AL460" s="416"/>
      <c r="AM460" s="416"/>
      <c r="AN460" s="416"/>
      <c r="AO460" s="416"/>
      <c r="AP460" s="416"/>
      <c r="AQ460" s="416"/>
      <c r="AR460" s="416"/>
      <c r="AS460" s="416"/>
      <c r="AT460" s="416"/>
      <c r="AU460" s="416"/>
      <c r="AV460" s="416"/>
      <c r="AW460" s="416"/>
      <c r="AX460" s="416"/>
      <c r="AY460" s="416"/>
      <c r="AZ460" s="416"/>
      <c r="BA460" s="416"/>
      <c r="BB460" s="32"/>
    </row>
    <row r="461" spans="2:54">
      <c r="B461" s="1254"/>
      <c r="C461" s="1255"/>
      <c r="D461" s="411"/>
      <c r="E461" s="411"/>
      <c r="F461" s="1256" t="s">
        <v>616</v>
      </c>
      <c r="G461" s="1257"/>
      <c r="H461" s="412">
        <v>3195</v>
      </c>
      <c r="I461" s="413"/>
      <c r="J461" s="414"/>
      <c r="K461" s="414"/>
      <c r="L461" s="414"/>
      <c r="M461" s="414"/>
      <c r="N461" s="413" t="str">
        <f t="shared" si="40"/>
        <v xml:space="preserve"> </v>
      </c>
      <c r="O461" s="51"/>
      <c r="P461" s="415"/>
      <c r="Q461" s="415"/>
      <c r="R461" s="415"/>
      <c r="S461" s="32"/>
      <c r="T461" s="416"/>
      <c r="U461" s="416"/>
      <c r="V461" s="416"/>
      <c r="W461" s="416"/>
      <c r="X461" s="416"/>
      <c r="Y461" s="416"/>
      <c r="Z461" s="416"/>
      <c r="AA461" s="416"/>
      <c r="AB461" s="416"/>
      <c r="AC461" s="416"/>
      <c r="AD461" s="416"/>
      <c r="AE461" s="416"/>
      <c r="AF461" s="416"/>
      <c r="AG461" s="416"/>
      <c r="AH461" s="416"/>
      <c r="AI461" s="416"/>
      <c r="AJ461" s="416"/>
      <c r="AK461" s="416"/>
      <c r="AL461" s="416"/>
      <c r="AM461" s="416"/>
      <c r="AN461" s="416"/>
      <c r="AO461" s="416"/>
      <c r="AP461" s="416"/>
      <c r="AQ461" s="416"/>
      <c r="AR461" s="416"/>
      <c r="AS461" s="416"/>
      <c r="AT461" s="416"/>
      <c r="AU461" s="416"/>
      <c r="AV461" s="416"/>
      <c r="AW461" s="416"/>
      <c r="AX461" s="416"/>
      <c r="AY461" s="416"/>
      <c r="AZ461" s="416"/>
      <c r="BA461" s="416"/>
      <c r="BB461" s="32"/>
    </row>
    <row r="462" spans="2:54">
      <c r="B462" s="1250" t="s">
        <v>622</v>
      </c>
      <c r="C462" s="1251"/>
      <c r="D462" s="411" t="s">
        <v>2400</v>
      </c>
      <c r="E462" s="411"/>
      <c r="F462" s="411" t="s">
        <v>2328</v>
      </c>
      <c r="G462" s="411" t="s">
        <v>2329</v>
      </c>
      <c r="H462" s="412">
        <v>7304.87</v>
      </c>
      <c r="I462" s="413" t="s">
        <v>494</v>
      </c>
      <c r="J462" s="414">
        <v>45164.875</v>
      </c>
      <c r="K462" s="414"/>
      <c r="L462" s="414" t="s">
        <v>192</v>
      </c>
      <c r="M462" s="414" t="s">
        <v>192</v>
      </c>
      <c r="N462" s="413" t="str">
        <f t="shared" si="40"/>
        <v>DELAY ( 5 day 12 hour 30 minute )</v>
      </c>
      <c r="O462" s="51"/>
      <c r="P462" s="415" t="s">
        <v>551</v>
      </c>
      <c r="Q462" s="415" t="s">
        <v>551</v>
      </c>
      <c r="R462" s="415" t="s">
        <v>551</v>
      </c>
      <c r="S462" s="32"/>
      <c r="T462" s="416"/>
      <c r="U462" s="416"/>
      <c r="V462" s="416"/>
      <c r="W462" s="416"/>
      <c r="X462" s="416"/>
      <c r="Y462" s="416">
        <f>H462</f>
        <v>7304.87</v>
      </c>
      <c r="Z462" s="416"/>
      <c r="AA462" s="416"/>
      <c r="AB462" s="416"/>
      <c r="AC462" s="416"/>
      <c r="AD462" s="416"/>
      <c r="AE462" s="416"/>
      <c r="AF462" s="416"/>
      <c r="AG462" s="416"/>
      <c r="AH462" s="416"/>
      <c r="AI462" s="416"/>
      <c r="AJ462" s="416"/>
      <c r="AK462" s="416"/>
      <c r="AL462" s="416"/>
      <c r="AM462" s="416"/>
      <c r="AN462" s="416"/>
      <c r="AO462" s="416"/>
      <c r="AP462" s="416"/>
      <c r="AQ462" s="416"/>
      <c r="AR462" s="416"/>
      <c r="AS462" s="416"/>
      <c r="AT462" s="416"/>
      <c r="AU462" s="416"/>
      <c r="AV462" s="416"/>
      <c r="AW462" s="416"/>
      <c r="AX462" s="416"/>
      <c r="AY462" s="416"/>
      <c r="AZ462" s="416"/>
      <c r="BA462" s="416"/>
      <c r="BB462" s="32"/>
    </row>
    <row r="463" spans="2:54">
      <c r="B463" s="1252"/>
      <c r="C463" s="1253"/>
      <c r="D463" s="411"/>
      <c r="E463" s="411"/>
      <c r="F463" s="1256" t="s">
        <v>668</v>
      </c>
      <c r="G463" s="1257"/>
      <c r="H463" s="412">
        <v>4000</v>
      </c>
      <c r="I463" s="413"/>
      <c r="J463" s="414"/>
      <c r="K463" s="414"/>
      <c r="L463" s="414"/>
      <c r="M463" s="414"/>
      <c r="N463" s="413" t="str">
        <f t="shared" si="40"/>
        <v xml:space="preserve"> </v>
      </c>
      <c r="O463" s="51"/>
      <c r="P463" s="415"/>
      <c r="Q463" s="415"/>
      <c r="R463" s="415"/>
      <c r="S463" s="32"/>
      <c r="T463" s="416"/>
      <c r="U463" s="416"/>
      <c r="V463" s="416"/>
      <c r="W463" s="416"/>
      <c r="X463" s="416"/>
      <c r="Y463" s="416"/>
      <c r="Z463" s="416"/>
      <c r="AA463" s="416"/>
      <c r="AB463" s="416"/>
      <c r="AC463" s="416"/>
      <c r="AD463" s="416"/>
      <c r="AE463" s="416"/>
      <c r="AF463" s="416"/>
      <c r="AG463" s="416"/>
      <c r="AH463" s="416"/>
      <c r="AI463" s="416"/>
      <c r="AJ463" s="416"/>
      <c r="AK463" s="416"/>
      <c r="AL463" s="416"/>
      <c r="AM463" s="416"/>
      <c r="AN463" s="416"/>
      <c r="AO463" s="416"/>
      <c r="AP463" s="416"/>
      <c r="AQ463" s="416"/>
      <c r="AR463" s="416"/>
      <c r="AS463" s="416"/>
      <c r="AT463" s="416"/>
      <c r="AU463" s="416"/>
      <c r="AV463" s="416"/>
      <c r="AW463" s="416"/>
      <c r="AX463" s="416"/>
      <c r="AY463" s="416"/>
      <c r="AZ463" s="416"/>
      <c r="BA463" s="416"/>
      <c r="BB463" s="32"/>
    </row>
    <row r="464" spans="2:54">
      <c r="B464" s="1254"/>
      <c r="C464" s="1255"/>
      <c r="D464" s="411"/>
      <c r="E464" s="411"/>
      <c r="F464" s="1256" t="s">
        <v>616</v>
      </c>
      <c r="G464" s="1257"/>
      <c r="H464" s="412">
        <v>3195</v>
      </c>
      <c r="I464" s="413"/>
      <c r="J464" s="414"/>
      <c r="K464" s="414"/>
      <c r="L464" s="414"/>
      <c r="M464" s="414"/>
      <c r="N464" s="413" t="str">
        <f t="shared" si="40"/>
        <v xml:space="preserve"> </v>
      </c>
      <c r="O464" s="51"/>
      <c r="P464" s="415"/>
      <c r="Q464" s="415"/>
      <c r="R464" s="415"/>
      <c r="S464" s="32"/>
      <c r="T464" s="416"/>
      <c r="U464" s="416"/>
      <c r="V464" s="416"/>
      <c r="W464" s="416"/>
      <c r="X464" s="416"/>
      <c r="Y464" s="416"/>
      <c r="Z464" s="416"/>
      <c r="AA464" s="416"/>
      <c r="AB464" s="416"/>
      <c r="AC464" s="416"/>
      <c r="AD464" s="416"/>
      <c r="AE464" s="416"/>
      <c r="AF464" s="416"/>
      <c r="AG464" s="416"/>
      <c r="AH464" s="416"/>
      <c r="AI464" s="416"/>
      <c r="AJ464" s="416"/>
      <c r="AK464" s="416"/>
      <c r="AL464" s="416"/>
      <c r="AM464" s="416"/>
      <c r="AN464" s="416"/>
      <c r="AO464" s="416"/>
      <c r="AP464" s="416"/>
      <c r="AQ464" s="416"/>
      <c r="AR464" s="416"/>
      <c r="AS464" s="416"/>
      <c r="AT464" s="416"/>
      <c r="AU464" s="416"/>
      <c r="AV464" s="416"/>
      <c r="AW464" s="416"/>
      <c r="AX464" s="416"/>
      <c r="AY464" s="416"/>
      <c r="AZ464" s="416"/>
      <c r="BA464" s="416"/>
      <c r="BB464" s="32"/>
    </row>
    <row r="465" spans="2:54">
      <c r="B465" s="1250" t="s">
        <v>623</v>
      </c>
      <c r="C465" s="1251"/>
      <c r="D465" s="411" t="s">
        <v>2401</v>
      </c>
      <c r="E465" s="411"/>
      <c r="F465" s="411" t="s">
        <v>2319</v>
      </c>
      <c r="G465" s="411" t="s">
        <v>2402</v>
      </c>
      <c r="H465" s="412">
        <v>7470.91</v>
      </c>
      <c r="I465" s="413" t="s">
        <v>494</v>
      </c>
      <c r="J465" s="414">
        <v>45164.833333333336</v>
      </c>
      <c r="K465" s="414"/>
      <c r="L465" s="414" t="s">
        <v>192</v>
      </c>
      <c r="M465" s="414" t="s">
        <v>192</v>
      </c>
      <c r="N465" s="413" t="str">
        <f t="shared" si="40"/>
        <v>DELAY ( 5 day 11 hour 30 minute )</v>
      </c>
      <c r="O465" s="51"/>
      <c r="P465" s="415" t="s">
        <v>551</v>
      </c>
      <c r="Q465" s="415" t="s">
        <v>551</v>
      </c>
      <c r="R465" s="415" t="s">
        <v>551</v>
      </c>
      <c r="S465" s="32"/>
      <c r="T465" s="416"/>
      <c r="U465" s="416"/>
      <c r="V465" s="416"/>
      <c r="W465" s="416"/>
      <c r="X465" s="416"/>
      <c r="Y465" s="416">
        <f>H465</f>
        <v>7470.91</v>
      </c>
      <c r="Z465" s="416"/>
      <c r="AA465" s="416"/>
      <c r="AB465" s="416"/>
      <c r="AC465" s="416"/>
      <c r="AD465" s="416"/>
      <c r="AE465" s="416"/>
      <c r="AF465" s="416"/>
      <c r="AG465" s="416"/>
      <c r="AH465" s="416"/>
      <c r="AI465" s="416"/>
      <c r="AJ465" s="416"/>
      <c r="AK465" s="416"/>
      <c r="AL465" s="416"/>
      <c r="AM465" s="416"/>
      <c r="AN465" s="416"/>
      <c r="AO465" s="416"/>
      <c r="AP465" s="416"/>
      <c r="AQ465" s="416"/>
      <c r="AR465" s="416"/>
      <c r="AS465" s="416"/>
      <c r="AT465" s="416"/>
      <c r="AU465" s="416"/>
      <c r="AV465" s="416"/>
      <c r="AW465" s="416"/>
      <c r="AX465" s="416"/>
      <c r="AY465" s="416"/>
      <c r="AZ465" s="416"/>
      <c r="BA465" s="416"/>
      <c r="BB465" s="32"/>
    </row>
    <row r="466" spans="2:54">
      <c r="B466" s="1252"/>
      <c r="C466" s="1253"/>
      <c r="D466" s="411"/>
      <c r="E466" s="411"/>
      <c r="F466" s="1256" t="s">
        <v>668</v>
      </c>
      <c r="G466" s="1257"/>
      <c r="H466" s="412">
        <f>1500+0.118</f>
        <v>1500.1179999999999</v>
      </c>
      <c r="I466" s="413"/>
      <c r="J466" s="414"/>
      <c r="K466" s="414"/>
      <c r="L466" s="414"/>
      <c r="M466" s="414"/>
      <c r="N466" s="413" t="str">
        <f t="shared" si="40"/>
        <v xml:space="preserve"> </v>
      </c>
      <c r="O466" s="51"/>
      <c r="P466" s="415"/>
      <c r="Q466" s="415"/>
      <c r="R466" s="415"/>
      <c r="S466" s="32"/>
      <c r="T466" s="416"/>
      <c r="U466" s="416"/>
      <c r="V466" s="416"/>
      <c r="W466" s="416"/>
      <c r="X466" s="416"/>
      <c r="Y466" s="416"/>
      <c r="Z466" s="416"/>
      <c r="AA466" s="416"/>
      <c r="AB466" s="416"/>
      <c r="AC466" s="416"/>
      <c r="AD466" s="416"/>
      <c r="AE466" s="416"/>
      <c r="AF466" s="416"/>
      <c r="AG466" s="416"/>
      <c r="AH466" s="416"/>
      <c r="AI466" s="416"/>
      <c r="AJ466" s="416"/>
      <c r="AK466" s="416"/>
      <c r="AL466" s="416"/>
      <c r="AM466" s="416"/>
      <c r="AN466" s="416"/>
      <c r="AO466" s="416"/>
      <c r="AP466" s="416"/>
      <c r="AQ466" s="416"/>
      <c r="AR466" s="416"/>
      <c r="AS466" s="416"/>
      <c r="AT466" s="416"/>
      <c r="AU466" s="416"/>
      <c r="AV466" s="416"/>
      <c r="AW466" s="416"/>
      <c r="AX466" s="416"/>
      <c r="AY466" s="416"/>
      <c r="AZ466" s="416"/>
      <c r="BA466" s="416"/>
      <c r="BB466" s="32"/>
    </row>
    <row r="467" spans="2:54">
      <c r="B467" s="1254"/>
      <c r="C467" s="1255"/>
      <c r="D467" s="411"/>
      <c r="E467" s="411"/>
      <c r="F467" s="1256" t="s">
        <v>616</v>
      </c>
      <c r="G467" s="1257"/>
      <c r="H467" s="412">
        <v>3195</v>
      </c>
      <c r="I467" s="413"/>
      <c r="J467" s="414"/>
      <c r="K467" s="414"/>
      <c r="L467" s="414"/>
      <c r="M467" s="414"/>
      <c r="N467" s="413" t="str">
        <f t="shared" si="40"/>
        <v xml:space="preserve"> </v>
      </c>
      <c r="O467" s="51"/>
      <c r="P467" s="415"/>
      <c r="Q467" s="415"/>
      <c r="R467" s="415"/>
      <c r="S467" s="32"/>
      <c r="T467" s="416"/>
      <c r="U467" s="416"/>
      <c r="V467" s="416"/>
      <c r="W467" s="416"/>
      <c r="X467" s="416"/>
      <c r="Y467" s="416"/>
      <c r="Z467" s="416"/>
      <c r="AA467" s="416"/>
      <c r="AB467" s="416"/>
      <c r="AC467" s="416"/>
      <c r="AD467" s="416"/>
      <c r="AE467" s="416"/>
      <c r="AF467" s="416"/>
      <c r="AG467" s="416"/>
      <c r="AH467" s="416"/>
      <c r="AI467" s="416"/>
      <c r="AJ467" s="416"/>
      <c r="AK467" s="416"/>
      <c r="AL467" s="416"/>
      <c r="AM467" s="416"/>
      <c r="AN467" s="416"/>
      <c r="AO467" s="416"/>
      <c r="AP467" s="416"/>
      <c r="AQ467" s="416"/>
      <c r="AR467" s="416"/>
      <c r="AS467" s="416"/>
      <c r="AT467" s="416"/>
      <c r="AU467" s="416"/>
      <c r="AV467" s="416"/>
      <c r="AW467" s="416"/>
      <c r="AX467" s="416"/>
      <c r="AY467" s="416"/>
      <c r="AZ467" s="416"/>
      <c r="BA467" s="416"/>
      <c r="BB467" s="32"/>
    </row>
    <row r="468" spans="2:54">
      <c r="B468" s="1250" t="s">
        <v>624</v>
      </c>
      <c r="C468" s="1251"/>
      <c r="D468" s="411" t="s">
        <v>2403</v>
      </c>
      <c r="E468" s="411"/>
      <c r="F468" s="411" t="s">
        <v>2404</v>
      </c>
      <c r="G468" s="411" t="s">
        <v>2405</v>
      </c>
      <c r="H468" s="412">
        <f>8108.679-1602.13</f>
        <v>6506.549</v>
      </c>
      <c r="I468" s="413" t="s">
        <v>494</v>
      </c>
      <c r="J468" s="414">
        <v>45164.854166666664</v>
      </c>
      <c r="K468" s="414"/>
      <c r="L468" s="414" t="s">
        <v>192</v>
      </c>
      <c r="M468" s="414" t="s">
        <v>192</v>
      </c>
      <c r="N468" s="413" t="str">
        <f t="shared" si="40"/>
        <v>DELAY ( 5 day 12 hour 0 minute )</v>
      </c>
      <c r="O468" s="51"/>
      <c r="P468" s="415" t="s">
        <v>551</v>
      </c>
      <c r="Q468" s="415" t="s">
        <v>551</v>
      </c>
      <c r="R468" s="415" t="s">
        <v>551</v>
      </c>
      <c r="S468" s="32"/>
      <c r="T468" s="416"/>
      <c r="U468" s="416"/>
      <c r="V468" s="416"/>
      <c r="W468" s="416"/>
      <c r="X468" s="416"/>
      <c r="Y468" s="416">
        <f>H468</f>
        <v>6506.549</v>
      </c>
      <c r="Z468" s="416"/>
      <c r="AA468" s="416"/>
      <c r="AB468" s="416"/>
      <c r="AC468" s="416"/>
      <c r="AD468" s="416"/>
      <c r="AE468" s="416"/>
      <c r="AF468" s="416"/>
      <c r="AG468" s="416"/>
      <c r="AH468" s="416"/>
      <c r="AI468" s="416"/>
      <c r="AJ468" s="416"/>
      <c r="AK468" s="416"/>
      <c r="AL468" s="416"/>
      <c r="AM468" s="416"/>
      <c r="AN468" s="416"/>
      <c r="AO468" s="416"/>
      <c r="AP468" s="416"/>
      <c r="AQ468" s="416"/>
      <c r="AR468" s="416"/>
      <c r="AS468" s="416"/>
      <c r="AT468" s="416"/>
      <c r="AU468" s="416"/>
      <c r="AV468" s="416"/>
      <c r="AW468" s="416"/>
      <c r="AX468" s="416"/>
      <c r="AY468" s="416"/>
      <c r="AZ468" s="416"/>
      <c r="BA468" s="416"/>
      <c r="BB468" s="32"/>
    </row>
    <row r="469" spans="2:54">
      <c r="B469" s="1254"/>
      <c r="C469" s="1255"/>
      <c r="D469" s="411"/>
      <c r="E469" s="411"/>
      <c r="F469" s="1256" t="s">
        <v>616</v>
      </c>
      <c r="G469" s="1257"/>
      <c r="H469" s="412">
        <f>3195-0.024</f>
        <v>3194.9760000000001</v>
      </c>
      <c r="I469" s="413"/>
      <c r="J469" s="414"/>
      <c r="K469" s="414"/>
      <c r="L469" s="414"/>
      <c r="M469" s="414"/>
      <c r="N469" s="413" t="str">
        <f t="shared" si="40"/>
        <v xml:space="preserve"> </v>
      </c>
      <c r="O469" s="51"/>
      <c r="P469" s="415"/>
      <c r="Q469" s="415"/>
      <c r="R469" s="415"/>
      <c r="S469" s="32"/>
      <c r="T469" s="416"/>
      <c r="U469" s="416"/>
      <c r="V469" s="416"/>
      <c r="W469" s="416"/>
      <c r="X469" s="416"/>
      <c r="Y469" s="416"/>
      <c r="Z469" s="416"/>
      <c r="AA469" s="416"/>
      <c r="AB469" s="416"/>
      <c r="AC469" s="416"/>
      <c r="AD469" s="416"/>
      <c r="AE469" s="416"/>
      <c r="AF469" s="416"/>
      <c r="AG469" s="416"/>
      <c r="AH469" s="416"/>
      <c r="AI469" s="416"/>
      <c r="AJ469" s="416"/>
      <c r="AK469" s="416"/>
      <c r="AL469" s="416"/>
      <c r="AM469" s="416"/>
      <c r="AN469" s="416"/>
      <c r="AO469" s="416"/>
      <c r="AP469" s="416"/>
      <c r="AQ469" s="416"/>
      <c r="AR469" s="416"/>
      <c r="AS469" s="416"/>
      <c r="AT469" s="416"/>
      <c r="AU469" s="416"/>
      <c r="AV469" s="416"/>
      <c r="AW469" s="416"/>
      <c r="AX469" s="416"/>
      <c r="AY469" s="416"/>
      <c r="AZ469" s="416"/>
      <c r="BA469" s="416"/>
      <c r="BB469" s="32"/>
    </row>
    <row r="470" spans="2:54">
      <c r="B470" s="1258" t="s">
        <v>626</v>
      </c>
      <c r="C470" s="1259"/>
      <c r="D470" s="1259"/>
      <c r="E470" s="1259"/>
      <c r="F470" s="1259"/>
      <c r="G470" s="1260"/>
      <c r="H470" s="417">
        <f>H457+H459+H465+H462+H468</f>
        <v>36379.906000000003</v>
      </c>
      <c r="I470" s="388"/>
      <c r="J470" s="293"/>
      <c r="K470" s="293"/>
      <c r="L470" s="293"/>
      <c r="M470" s="389"/>
      <c r="N470" s="413" t="str">
        <f t="shared" si="40"/>
        <v xml:space="preserve"> </v>
      </c>
      <c r="O470" s="47"/>
      <c r="P470" s="418"/>
      <c r="Q470" s="418"/>
      <c r="R470" s="418"/>
      <c r="S470" s="32"/>
      <c r="T470" s="1261"/>
      <c r="U470" s="1261"/>
      <c r="V470" s="1261"/>
      <c r="W470" s="1261"/>
      <c r="X470" s="1261"/>
      <c r="Y470" s="1261"/>
      <c r="Z470" s="1261"/>
      <c r="AA470" s="1261"/>
      <c r="AB470" s="1261"/>
      <c r="AC470" s="1261"/>
      <c r="AD470" s="1261"/>
      <c r="AE470" s="1261"/>
      <c r="AF470" s="1261"/>
      <c r="AG470" s="1261"/>
      <c r="AH470" s="1261"/>
      <c r="AI470" s="1261"/>
      <c r="AJ470" s="1261"/>
      <c r="AK470" s="1261"/>
      <c r="AL470" s="1261"/>
      <c r="AM470" s="1261"/>
      <c r="AN470" s="1261"/>
      <c r="AO470" s="1261"/>
      <c r="AP470" s="1261"/>
      <c r="AQ470" s="1261"/>
      <c r="AR470" s="1261"/>
      <c r="AS470" s="1261"/>
      <c r="AT470" s="1261"/>
      <c r="AU470" s="1261"/>
      <c r="AV470" s="1261"/>
      <c r="AW470" s="1261"/>
      <c r="AX470" s="1261"/>
      <c r="AY470" s="1261"/>
      <c r="AZ470" s="1261"/>
      <c r="BA470" s="1261"/>
    </row>
    <row r="471" spans="2:54">
      <c r="B471" s="1258" t="s">
        <v>556</v>
      </c>
      <c r="C471" s="1259"/>
      <c r="D471" s="1259"/>
      <c r="E471" s="1259"/>
      <c r="F471" s="1259"/>
      <c r="G471" s="1260"/>
      <c r="H471" s="417">
        <f>H456+H470</f>
        <v>59900</v>
      </c>
      <c r="I471" s="388"/>
      <c r="J471" s="293"/>
      <c r="K471" s="293"/>
      <c r="L471" s="293"/>
      <c r="M471" s="389"/>
      <c r="N471" s="413" t="str">
        <f t="shared" si="40"/>
        <v xml:space="preserve"> </v>
      </c>
      <c r="O471" s="212"/>
      <c r="P471" s="418"/>
      <c r="Q471" s="418"/>
      <c r="R471" s="418"/>
      <c r="S471" s="207"/>
      <c r="T471" s="1300"/>
      <c r="U471" s="1301"/>
      <c r="V471" s="1301"/>
      <c r="W471" s="1301"/>
      <c r="X471" s="1301"/>
      <c r="Y471" s="1301"/>
      <c r="Z471" s="1301"/>
      <c r="AA471" s="1301"/>
      <c r="AB471" s="1301"/>
      <c r="AC471" s="1301"/>
      <c r="AD471" s="1301"/>
      <c r="AE471" s="1301"/>
      <c r="AF471" s="1301"/>
      <c r="AG471" s="1301"/>
      <c r="AH471" s="1301"/>
      <c r="AI471" s="1301"/>
      <c r="AJ471" s="1301"/>
      <c r="AK471" s="1301"/>
      <c r="AL471" s="1301"/>
      <c r="AM471" s="1301"/>
      <c r="AN471" s="1301"/>
      <c r="AO471" s="1301"/>
      <c r="AP471" s="1301"/>
      <c r="AQ471" s="1301"/>
      <c r="AR471" s="1301"/>
      <c r="AS471" s="1301"/>
      <c r="AT471" s="1301"/>
      <c r="AU471" s="1301"/>
      <c r="AV471" s="1301"/>
      <c r="AW471" s="1301"/>
      <c r="AX471" s="1301"/>
      <c r="AY471" s="1301"/>
      <c r="AZ471" s="1301"/>
      <c r="BA471" s="1301"/>
    </row>
    <row r="472" spans="2:54">
      <c r="B472" s="1243" t="s">
        <v>557</v>
      </c>
      <c r="C472" s="1244"/>
      <c r="D472" s="1244"/>
      <c r="E472" s="1244"/>
      <c r="F472" s="1244"/>
      <c r="G472" s="1245"/>
      <c r="H472" s="419">
        <v>59900</v>
      </c>
      <c r="I472" s="1273"/>
      <c r="J472" s="1274"/>
      <c r="K472" s="1274"/>
      <c r="L472" s="1274"/>
      <c r="M472" s="1275"/>
      <c r="N472" s="413" t="str">
        <f t="shared" si="40"/>
        <v xml:space="preserve"> </v>
      </c>
      <c r="O472" s="32"/>
      <c r="P472" s="415"/>
      <c r="Q472" s="415"/>
      <c r="R472" s="415"/>
      <c r="S472" s="63"/>
      <c r="T472" s="416">
        <f>SUM(T453:T469)</f>
        <v>0</v>
      </c>
      <c r="U472" s="416">
        <f t="shared" ref="U472:BA472" si="42">SUM(U453:U469)</f>
        <v>0</v>
      </c>
      <c r="V472" s="416">
        <f t="shared" si="42"/>
        <v>0</v>
      </c>
      <c r="W472" s="416">
        <f t="shared" si="42"/>
        <v>0</v>
      </c>
      <c r="X472" s="416">
        <f t="shared" si="42"/>
        <v>0</v>
      </c>
      <c r="Y472" s="416">
        <f t="shared" si="42"/>
        <v>52354.881999999998</v>
      </c>
      <c r="Z472" s="416">
        <f t="shared" si="42"/>
        <v>0</v>
      </c>
      <c r="AA472" s="416">
        <f t="shared" si="42"/>
        <v>0</v>
      </c>
      <c r="AB472" s="416">
        <f t="shared" si="42"/>
        <v>7545.1180000000004</v>
      </c>
      <c r="AC472" s="416">
        <f t="shared" si="42"/>
        <v>0</v>
      </c>
      <c r="AD472" s="416">
        <f t="shared" si="42"/>
        <v>0</v>
      </c>
      <c r="AE472" s="416">
        <f t="shared" si="42"/>
        <v>0</v>
      </c>
      <c r="AF472" s="416">
        <f t="shared" si="42"/>
        <v>0</v>
      </c>
      <c r="AG472" s="416">
        <f t="shared" si="42"/>
        <v>0</v>
      </c>
      <c r="AH472" s="416">
        <f t="shared" si="42"/>
        <v>0</v>
      </c>
      <c r="AI472" s="416">
        <f t="shared" si="42"/>
        <v>0</v>
      </c>
      <c r="AJ472" s="416">
        <f t="shared" si="42"/>
        <v>0</v>
      </c>
      <c r="AK472" s="416">
        <f t="shared" si="42"/>
        <v>0</v>
      </c>
      <c r="AL472" s="416">
        <f t="shared" si="42"/>
        <v>0</v>
      </c>
      <c r="AM472" s="416">
        <f t="shared" si="42"/>
        <v>0</v>
      </c>
      <c r="AN472" s="416">
        <f t="shared" si="42"/>
        <v>0</v>
      </c>
      <c r="AO472" s="416">
        <f t="shared" si="42"/>
        <v>0</v>
      </c>
      <c r="AP472" s="416">
        <f t="shared" si="42"/>
        <v>0</v>
      </c>
      <c r="AQ472" s="416">
        <f t="shared" si="42"/>
        <v>0</v>
      </c>
      <c r="AR472" s="416">
        <f t="shared" si="42"/>
        <v>0</v>
      </c>
      <c r="AS472" s="416">
        <f t="shared" si="42"/>
        <v>0</v>
      </c>
      <c r="AT472" s="416">
        <f t="shared" si="42"/>
        <v>0</v>
      </c>
      <c r="AU472" s="416">
        <f t="shared" si="42"/>
        <v>0</v>
      </c>
      <c r="AV472" s="416">
        <f t="shared" si="42"/>
        <v>0</v>
      </c>
      <c r="AW472" s="416">
        <f t="shared" si="42"/>
        <v>0</v>
      </c>
      <c r="AX472" s="416">
        <f t="shared" si="42"/>
        <v>0</v>
      </c>
      <c r="AY472" s="416">
        <f t="shared" si="42"/>
        <v>0</v>
      </c>
      <c r="AZ472" s="416">
        <f t="shared" si="42"/>
        <v>0</v>
      </c>
      <c r="BA472" s="416">
        <f t="shared" si="42"/>
        <v>0</v>
      </c>
      <c r="BB472" s="416">
        <f>SUM(T472:BA472)</f>
        <v>59900</v>
      </c>
    </row>
    <row r="473" spans="2:54">
      <c r="B473" s="1243" t="s">
        <v>558</v>
      </c>
      <c r="C473" s="1244"/>
      <c r="D473" s="1244"/>
      <c r="E473" s="1244"/>
      <c r="F473" s="1244"/>
      <c r="G473" s="1245"/>
      <c r="H473" s="420">
        <f>H472-L447</f>
        <v>0</v>
      </c>
      <c r="I473" s="294"/>
      <c r="J473" s="295"/>
      <c r="K473" s="295"/>
      <c r="L473" s="296"/>
      <c r="M473" s="32"/>
      <c r="N473" s="32"/>
      <c r="O473" s="32"/>
      <c r="P473" s="32"/>
      <c r="Q473" s="297"/>
      <c r="R473" s="297"/>
      <c r="S473" s="32"/>
      <c r="T473" s="48"/>
      <c r="U473" s="48"/>
      <c r="V473" s="48"/>
      <c r="W473" s="48"/>
      <c r="X473" s="48"/>
      <c r="Y473" s="48"/>
      <c r="Z473" s="48"/>
      <c r="AA473" s="48"/>
      <c r="AB473" s="48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</row>
    <row r="474" spans="2:54">
      <c r="B474" s="1243" t="s">
        <v>559</v>
      </c>
      <c r="C474" s="1244"/>
      <c r="D474" s="1244"/>
      <c r="E474" s="1244"/>
      <c r="F474" s="1244"/>
      <c r="G474" s="1245"/>
      <c r="H474" s="446">
        <v>1150.9570000000001</v>
      </c>
      <c r="I474" s="52"/>
      <c r="J474" s="53"/>
      <c r="K474" s="53"/>
      <c r="L474" s="54"/>
      <c r="M474" s="32"/>
      <c r="N474" s="201"/>
      <c r="O474" s="32"/>
      <c r="P474" s="32"/>
      <c r="Q474" s="32"/>
      <c r="R474" s="32"/>
      <c r="S474" s="32"/>
      <c r="T474" s="48"/>
      <c r="U474" s="48"/>
      <c r="V474" s="48"/>
      <c r="W474" s="48"/>
      <c r="X474" s="48"/>
      <c r="Y474" s="48"/>
      <c r="Z474" s="48"/>
      <c r="AA474" s="48"/>
      <c r="AB474" s="48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</row>
    <row r="475" spans="2:54">
      <c r="B475" s="1243" t="s">
        <v>560</v>
      </c>
      <c r="C475" s="1244"/>
      <c r="D475" s="1244"/>
      <c r="E475" s="1244"/>
      <c r="F475" s="1244"/>
      <c r="G475" s="1245"/>
      <c r="H475" s="421">
        <f>H474-1602.13</f>
        <v>-451.173</v>
      </c>
      <c r="I475" s="52"/>
      <c r="J475" s="53"/>
      <c r="K475" s="53"/>
      <c r="L475" s="54"/>
      <c r="M475" s="32"/>
      <c r="N475" s="32"/>
      <c r="O475" s="32"/>
      <c r="P475" s="32"/>
      <c r="Q475" s="32"/>
      <c r="R475" s="32"/>
      <c r="S475" s="48"/>
      <c r="T475" s="48"/>
      <c r="U475" s="48"/>
      <c r="V475" s="48"/>
      <c r="W475" s="48"/>
      <c r="X475" s="48"/>
      <c r="Y475" s="48"/>
      <c r="Z475" s="48"/>
      <c r="AA475" s="48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</row>
    <row r="476" spans="2:54">
      <c r="B476" s="201"/>
      <c r="C476" s="201"/>
      <c r="D476" s="201"/>
      <c r="E476" s="201"/>
      <c r="F476" s="201"/>
      <c r="G476" s="201"/>
      <c r="H476" s="201"/>
      <c r="I476" s="213"/>
      <c r="J476" s="209"/>
      <c r="K476" s="209"/>
      <c r="L476" s="203"/>
      <c r="M476" s="201"/>
      <c r="N476" s="201"/>
      <c r="O476" s="209"/>
      <c r="P476" s="32"/>
      <c r="Q476" s="32"/>
      <c r="R476" s="32"/>
      <c r="S476" s="32"/>
      <c r="T476" s="48"/>
      <c r="U476" s="48"/>
      <c r="V476" s="48"/>
      <c r="W476" s="48"/>
      <c r="X476" s="48"/>
      <c r="Y476" s="48"/>
      <c r="Z476" s="48"/>
      <c r="AA476" s="48"/>
      <c r="AB476" s="48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</row>
    <row r="477" spans="2:54">
      <c r="B477" s="40" t="s">
        <v>561</v>
      </c>
      <c r="C477" s="40"/>
      <c r="D477" s="32"/>
      <c r="E477" s="32"/>
      <c r="F477" s="32"/>
      <c r="G477" s="32"/>
      <c r="H477" s="32"/>
      <c r="I477" s="32"/>
      <c r="J477" s="52"/>
      <c r="K477" s="52"/>
      <c r="L477" s="55"/>
      <c r="M477" s="32"/>
      <c r="N477" s="201"/>
      <c r="O477" s="5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  <c r="AA477" s="202"/>
      <c r="AB477" s="201"/>
      <c r="AC477" s="201"/>
      <c r="AD477" s="201"/>
      <c r="AE477" s="201"/>
      <c r="AF477" s="201"/>
      <c r="AG477" s="201"/>
      <c r="AH477" s="201"/>
      <c r="AI477" s="201"/>
      <c r="AJ477" s="201"/>
      <c r="AK477" s="201"/>
      <c r="AL477" s="201"/>
      <c r="AM477" s="201"/>
      <c r="AN477" s="201"/>
      <c r="AO477" s="201"/>
      <c r="AP477" s="201"/>
      <c r="AQ477" s="201"/>
      <c r="AR477" s="201"/>
      <c r="AS477" s="201"/>
      <c r="AT477" s="201"/>
      <c r="AU477" s="201"/>
      <c r="BB477" s="201"/>
    </row>
    <row r="478" spans="2:54">
      <c r="B478" s="422">
        <v>1</v>
      </c>
      <c r="C478" s="1249" t="s">
        <v>2406</v>
      </c>
      <c r="D478" s="1249"/>
      <c r="E478" s="1249"/>
      <c r="F478" s="1249"/>
      <c r="G478" s="1249"/>
      <c r="H478" s="1249"/>
      <c r="I478" s="1249"/>
      <c r="J478" s="1249"/>
      <c r="K478" s="1249"/>
      <c r="L478" s="203"/>
      <c r="M478" s="203"/>
      <c r="N478" s="201"/>
      <c r="O478" s="209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  <c r="AA478" s="202"/>
      <c r="AB478" s="201"/>
      <c r="AC478" s="201"/>
      <c r="AD478" s="201"/>
      <c r="AE478" s="201"/>
      <c r="AF478" s="201"/>
      <c r="AG478" s="201"/>
      <c r="AH478" s="201"/>
      <c r="AI478" s="201"/>
      <c r="AJ478" s="201"/>
      <c r="AK478" s="201"/>
      <c r="AL478" s="201"/>
      <c r="AM478" s="201"/>
      <c r="AN478" s="201"/>
      <c r="AO478" s="201"/>
      <c r="AP478" s="201"/>
      <c r="AQ478" s="201"/>
      <c r="AR478" s="201"/>
      <c r="AS478" s="201"/>
      <c r="AT478" s="201"/>
      <c r="AU478" s="201"/>
      <c r="AV478" s="201"/>
      <c r="AW478" s="201"/>
      <c r="AX478" s="201"/>
      <c r="AY478" s="201"/>
      <c r="AZ478" s="201"/>
      <c r="BA478" s="201"/>
      <c r="BB478" s="201"/>
    </row>
    <row r="480" spans="2:54">
      <c r="B480" s="28" t="s">
        <v>126</v>
      </c>
      <c r="C480" s="28"/>
      <c r="D480" s="29"/>
      <c r="E480" s="30" t="s">
        <v>511</v>
      </c>
      <c r="F480" s="31" t="s">
        <v>1827</v>
      </c>
      <c r="G480" s="32"/>
      <c r="H480" s="33"/>
      <c r="I480" s="34"/>
      <c r="J480" s="35" t="s">
        <v>513</v>
      </c>
      <c r="K480" s="36" t="s">
        <v>511</v>
      </c>
      <c r="L480" s="37">
        <v>45166.770833333336</v>
      </c>
      <c r="M480" s="32"/>
      <c r="N480" s="32"/>
      <c r="O480" s="206"/>
      <c r="P480" s="205"/>
      <c r="Q480" s="202"/>
      <c r="R480" s="204"/>
      <c r="S480" s="38"/>
      <c r="T480" s="201"/>
      <c r="U480" s="201"/>
      <c r="V480" s="201"/>
      <c r="W480" s="201"/>
      <c r="X480" s="201"/>
      <c r="Y480" s="201"/>
      <c r="Z480" s="201"/>
      <c r="AA480" s="201"/>
      <c r="AB480" s="202"/>
      <c r="AC480" s="202"/>
      <c r="AD480" s="202"/>
      <c r="AE480" s="202"/>
      <c r="AF480" s="202"/>
      <c r="AG480" s="201"/>
      <c r="AH480" s="201"/>
      <c r="AI480" s="201"/>
      <c r="AJ480" s="201"/>
      <c r="AK480" s="201"/>
      <c r="AL480" s="201"/>
      <c r="AM480" s="201"/>
      <c r="AN480" s="201"/>
      <c r="AO480" s="201"/>
      <c r="AP480" s="201"/>
      <c r="AQ480" s="201"/>
      <c r="AR480" s="201"/>
      <c r="AS480" s="201"/>
      <c r="AT480" s="201"/>
      <c r="AU480" s="201"/>
      <c r="AV480" s="201"/>
      <c r="AW480" s="201"/>
      <c r="AX480" s="201"/>
      <c r="AY480" s="201"/>
      <c r="AZ480" s="201"/>
      <c r="BA480" s="201"/>
      <c r="BB480" s="201"/>
    </row>
    <row r="481" spans="2:54">
      <c r="B481" s="35" t="s">
        <v>514</v>
      </c>
      <c r="C481" s="35"/>
      <c r="D481" s="32"/>
      <c r="E481" s="36" t="s">
        <v>511</v>
      </c>
      <c r="F481" s="311" t="s">
        <v>2407</v>
      </c>
      <c r="G481" s="32"/>
      <c r="H481" s="33"/>
      <c r="I481" s="34"/>
      <c r="J481" s="35" t="s">
        <v>516</v>
      </c>
      <c r="K481" s="36" t="s">
        <v>511</v>
      </c>
      <c r="L481" s="37">
        <v>45169.104166666664</v>
      </c>
      <c r="M481" s="32"/>
      <c r="N481" s="32"/>
      <c r="O481" s="206"/>
      <c r="P481" s="205"/>
      <c r="Q481" s="202"/>
      <c r="R481" s="204"/>
      <c r="S481" s="38"/>
      <c r="T481" s="201"/>
      <c r="U481" s="201"/>
      <c r="V481" s="201"/>
      <c r="W481" s="201"/>
      <c r="X481" s="201"/>
      <c r="Y481" s="201"/>
      <c r="Z481" s="201"/>
      <c r="AA481" s="201"/>
      <c r="AB481" s="202"/>
      <c r="AC481" s="202"/>
      <c r="AD481" s="202"/>
      <c r="AE481" s="202"/>
      <c r="AF481" s="202"/>
      <c r="AG481" s="201"/>
      <c r="AH481" s="201"/>
      <c r="AI481" s="201"/>
      <c r="AJ481" s="201"/>
      <c r="AK481" s="201"/>
      <c r="AL481" s="201"/>
      <c r="AM481" s="201"/>
      <c r="AN481" s="201"/>
      <c r="AO481" s="201"/>
      <c r="AP481" s="201"/>
      <c r="AQ481" s="201"/>
      <c r="AR481" s="201"/>
      <c r="AS481" s="201"/>
      <c r="AT481" s="201"/>
      <c r="AU481" s="201"/>
      <c r="AV481" s="201"/>
      <c r="AW481" s="201"/>
      <c r="AX481" s="201"/>
      <c r="AY481" s="201"/>
      <c r="AZ481" s="201"/>
      <c r="BA481" s="201"/>
      <c r="BB481" s="201"/>
    </row>
    <row r="482" spans="2:54">
      <c r="B482" s="35" t="s">
        <v>517</v>
      </c>
      <c r="C482" s="35"/>
      <c r="D482" s="32"/>
      <c r="E482" s="36" t="s">
        <v>511</v>
      </c>
      <c r="F482" s="37">
        <v>45159.404166666667</v>
      </c>
      <c r="G482" s="32"/>
      <c r="H482" s="33"/>
      <c r="I482" s="34"/>
      <c r="J482" s="35" t="s">
        <v>518</v>
      </c>
      <c r="K482" s="36" t="s">
        <v>511</v>
      </c>
      <c r="L482" s="50">
        <v>67000</v>
      </c>
      <c r="M482" s="40" t="s">
        <v>519</v>
      </c>
      <c r="N482" s="40"/>
      <c r="O482" s="206"/>
      <c r="P482" s="205"/>
      <c r="Q482" s="202"/>
      <c r="R482" s="204"/>
      <c r="S482" s="38"/>
      <c r="T482" s="201"/>
      <c r="U482" s="201"/>
      <c r="V482" s="201"/>
      <c r="W482" s="201"/>
      <c r="X482" s="201"/>
      <c r="Y482" s="201"/>
      <c r="Z482" s="201"/>
      <c r="AA482" s="201"/>
      <c r="AB482" s="202"/>
      <c r="AC482" s="202"/>
      <c r="AD482" s="202"/>
      <c r="AE482" s="202"/>
      <c r="AF482" s="202"/>
      <c r="AG482" s="201"/>
      <c r="AH482" s="201"/>
      <c r="AI482" s="201"/>
      <c r="AJ482" s="201"/>
      <c r="AK482" s="201"/>
      <c r="AL482" s="201"/>
      <c r="AM482" s="201"/>
      <c r="AN482" s="201"/>
      <c r="AO482" s="201"/>
      <c r="AP482" s="201"/>
      <c r="AQ482" s="201"/>
      <c r="AR482" s="201"/>
      <c r="AS482" s="201"/>
      <c r="AT482" s="201"/>
      <c r="AU482" s="201"/>
      <c r="AV482" s="201"/>
      <c r="AW482" s="201"/>
      <c r="AX482" s="201"/>
      <c r="AY482" s="201"/>
      <c r="AZ482" s="201"/>
      <c r="BA482" s="201"/>
      <c r="BB482" s="201"/>
    </row>
    <row r="483" spans="2:54">
      <c r="B483" s="35" t="s">
        <v>520</v>
      </c>
      <c r="C483" s="35"/>
      <c r="D483" s="32"/>
      <c r="E483" s="36" t="s">
        <v>511</v>
      </c>
      <c r="F483" s="37" t="s">
        <v>12</v>
      </c>
      <c r="G483" s="32"/>
      <c r="H483" s="33"/>
      <c r="I483" s="34"/>
      <c r="J483" s="35" t="s">
        <v>521</v>
      </c>
      <c r="K483" s="36" t="s">
        <v>511</v>
      </c>
      <c r="L483" s="41" t="s">
        <v>2408</v>
      </c>
      <c r="M483" s="32"/>
      <c r="N483" s="32"/>
      <c r="O483" s="206"/>
      <c r="P483" s="202"/>
      <c r="Q483" s="202"/>
      <c r="R483" s="204"/>
      <c r="S483" s="38"/>
      <c r="T483" s="201"/>
      <c r="U483" s="201"/>
      <c r="V483" s="201"/>
      <c r="W483" s="201"/>
      <c r="X483" s="201"/>
      <c r="Y483" s="201"/>
      <c r="Z483" s="201"/>
      <c r="AA483" s="201"/>
      <c r="AB483" s="202"/>
      <c r="AC483" s="202"/>
      <c r="AD483" s="202"/>
      <c r="AE483" s="202"/>
      <c r="AF483" s="202"/>
      <c r="AG483" s="201"/>
      <c r="AH483" s="201"/>
      <c r="AI483" s="201"/>
      <c r="AJ483" s="201"/>
      <c r="AK483" s="201"/>
      <c r="AL483" s="201"/>
      <c r="AM483" s="201"/>
      <c r="AN483" s="201"/>
      <c r="AO483" s="201"/>
      <c r="AP483" s="201"/>
      <c r="AQ483" s="201"/>
      <c r="AR483" s="201"/>
      <c r="AS483" s="201"/>
      <c r="AT483" s="201"/>
      <c r="AU483" s="201"/>
      <c r="AV483" s="201"/>
      <c r="AW483" s="201"/>
      <c r="AX483" s="201"/>
      <c r="AY483" s="201"/>
      <c r="AZ483" s="201"/>
      <c r="BA483" s="201"/>
      <c r="BB483" s="201"/>
    </row>
    <row r="484" spans="2:54">
      <c r="B484" s="35" t="s">
        <v>523</v>
      </c>
      <c r="C484" s="35"/>
      <c r="D484" s="32"/>
      <c r="E484" s="36" t="s">
        <v>511</v>
      </c>
      <c r="F484" s="37" t="s">
        <v>41</v>
      </c>
      <c r="G484" s="32"/>
      <c r="H484" s="33"/>
      <c r="I484" s="34"/>
      <c r="J484" s="42" t="s">
        <v>524</v>
      </c>
      <c r="K484" s="36" t="s">
        <v>511</v>
      </c>
      <c r="L484" s="43" t="s">
        <v>15</v>
      </c>
      <c r="M484" s="44"/>
      <c r="N484" s="44"/>
      <c r="O484" s="206"/>
      <c r="P484" s="205"/>
      <c r="Q484" s="202"/>
      <c r="R484" s="204"/>
      <c r="S484" s="38"/>
      <c r="T484" s="201"/>
      <c r="U484" s="201"/>
      <c r="V484" s="201"/>
      <c r="W484" s="201"/>
      <c r="X484" s="201"/>
      <c r="Y484" s="201"/>
      <c r="Z484" s="201"/>
      <c r="AA484" s="201"/>
      <c r="AB484" s="202"/>
      <c r="AC484" s="202"/>
      <c r="AD484" s="202"/>
      <c r="AE484" s="202"/>
      <c r="AF484" s="202"/>
      <c r="AG484" s="201"/>
      <c r="AH484" s="201"/>
      <c r="AI484" s="201"/>
      <c r="AJ484" s="201"/>
      <c r="AK484" s="201"/>
      <c r="AL484" s="201"/>
      <c r="AM484" s="201"/>
      <c r="AN484" s="201"/>
      <c r="AO484" s="201"/>
      <c r="AP484" s="201"/>
      <c r="AQ484" s="201"/>
      <c r="AR484" s="201"/>
      <c r="AS484" s="201"/>
      <c r="AT484" s="201"/>
      <c r="AU484" s="201"/>
      <c r="AV484" s="201"/>
      <c r="AW484" s="201"/>
      <c r="AX484" s="201"/>
      <c r="AY484" s="201"/>
      <c r="AZ484" s="201"/>
      <c r="BA484" s="201"/>
      <c r="BB484" s="201"/>
    </row>
    <row r="485" spans="2:54">
      <c r="B485" s="35" t="s">
        <v>2</v>
      </c>
      <c r="C485" s="35"/>
      <c r="D485" s="32"/>
      <c r="E485" s="36" t="s">
        <v>511</v>
      </c>
      <c r="F485" s="37" t="s">
        <v>42</v>
      </c>
      <c r="G485" s="32"/>
      <c r="H485" s="33"/>
      <c r="I485" s="45"/>
      <c r="J485" s="42"/>
      <c r="K485" s="36"/>
      <c r="L485" s="211"/>
      <c r="M485" s="201"/>
      <c r="N485" s="201"/>
      <c r="O485" s="42"/>
      <c r="P485" s="44"/>
      <c r="Q485" s="44"/>
      <c r="R485" s="44"/>
      <c r="S485" s="34"/>
      <c r="T485" s="201"/>
      <c r="U485" s="201"/>
      <c r="V485" s="201"/>
      <c r="W485" s="201"/>
      <c r="X485" s="201"/>
      <c r="Y485" s="201"/>
      <c r="Z485" s="201"/>
      <c r="AA485" s="201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201"/>
      <c r="AP485" s="201"/>
      <c r="AQ485" s="201"/>
      <c r="AR485" s="201"/>
      <c r="AS485" s="201"/>
      <c r="AT485" s="201"/>
      <c r="AU485" s="201"/>
      <c r="AV485" s="201"/>
      <c r="AW485" s="201"/>
      <c r="AX485" s="201"/>
      <c r="AY485" s="201"/>
      <c r="AZ485" s="201"/>
      <c r="BA485" s="201"/>
      <c r="BB485" s="201"/>
    </row>
    <row r="486" spans="2:54">
      <c r="B486" s="201"/>
      <c r="C486" s="201"/>
      <c r="D486" s="201"/>
      <c r="E486" s="201"/>
      <c r="F486" s="201"/>
      <c r="G486" s="201"/>
      <c r="H486" s="201"/>
      <c r="I486" s="45"/>
      <c r="J486" s="42"/>
      <c r="K486" s="42"/>
      <c r="L486" s="43"/>
      <c r="M486" s="44"/>
      <c r="N486" s="44"/>
      <c r="O486" s="42"/>
      <c r="P486" s="44"/>
      <c r="Q486" s="44"/>
      <c r="R486" s="44"/>
      <c r="S486" s="34"/>
      <c r="T486" s="1265" t="s">
        <v>87</v>
      </c>
      <c r="U486" s="1265"/>
      <c r="V486" s="1265"/>
      <c r="W486" s="1265"/>
      <c r="X486" s="1265"/>
      <c r="Y486" s="1265" t="s">
        <v>73</v>
      </c>
      <c r="Z486" s="1265"/>
      <c r="AA486" s="1265"/>
      <c r="AB486" s="1265" t="s">
        <v>74</v>
      </c>
      <c r="AC486" s="1265"/>
      <c r="AD486" s="423" t="s">
        <v>85</v>
      </c>
      <c r="AE486" s="423" t="s">
        <v>77</v>
      </c>
      <c r="AF486" s="1265" t="s">
        <v>525</v>
      </c>
      <c r="AG486" s="1265"/>
      <c r="AH486" s="1265"/>
      <c r="AI486" s="1265"/>
      <c r="AJ486" s="1265"/>
      <c r="AK486" s="1265"/>
      <c r="AL486" s="1265"/>
      <c r="AM486" s="1265"/>
      <c r="AN486" s="1265"/>
      <c r="AO486" s="1265"/>
      <c r="AP486" s="1265"/>
      <c r="AQ486" s="1265"/>
      <c r="AR486" s="1265"/>
      <c r="AS486" s="1265"/>
      <c r="AT486" s="1265"/>
      <c r="AU486" s="1265"/>
      <c r="AV486" s="1265"/>
      <c r="AW486" s="1265"/>
      <c r="AX486" s="1265"/>
      <c r="AY486" s="1265"/>
      <c r="AZ486" s="1265"/>
      <c r="BA486" s="1265"/>
      <c r="BB486" s="201"/>
    </row>
    <row r="487" spans="2:54">
      <c r="B487" s="1266" t="s">
        <v>526</v>
      </c>
      <c r="C487" s="1267"/>
      <c r="D487" s="570" t="s">
        <v>527</v>
      </c>
      <c r="E487" s="570"/>
      <c r="F487" s="570" t="s">
        <v>528</v>
      </c>
      <c r="G487" s="570" t="s">
        <v>529</v>
      </c>
      <c r="H487" s="570" t="s">
        <v>530</v>
      </c>
      <c r="I487" s="570" t="s">
        <v>531</v>
      </c>
      <c r="J487" s="570" t="s">
        <v>532</v>
      </c>
      <c r="K487" s="570"/>
      <c r="L487" s="570" t="s">
        <v>130</v>
      </c>
      <c r="M487" s="570" t="s">
        <v>533</v>
      </c>
      <c r="N487" s="408" t="str">
        <f>"On time - "&amp;COUNTIF(N488:N502,"On time")&amp;" from "&amp;ROWS(N488:N502)-COUNTIF(N488:N502," ")</f>
        <v>On time - 0 from 9</v>
      </c>
      <c r="O487" s="46"/>
      <c r="P487" s="409" t="s">
        <v>534</v>
      </c>
      <c r="Q487" s="409" t="s">
        <v>535</v>
      </c>
      <c r="R487" s="409" t="s">
        <v>536</v>
      </c>
      <c r="S487" s="32"/>
      <c r="T487" s="424" t="s">
        <v>537</v>
      </c>
      <c r="U487" s="424" t="s">
        <v>538</v>
      </c>
      <c r="V487" s="424" t="s">
        <v>539</v>
      </c>
      <c r="W487" s="424" t="s">
        <v>540</v>
      </c>
      <c r="X487" s="424" t="s">
        <v>541</v>
      </c>
      <c r="Y487" s="424" t="s">
        <v>167</v>
      </c>
      <c r="Z487" s="424" t="s">
        <v>168</v>
      </c>
      <c r="AA487" s="424" t="s">
        <v>169</v>
      </c>
      <c r="AB487" s="424" t="s">
        <v>235</v>
      </c>
      <c r="AC487" s="424" t="s">
        <v>240</v>
      </c>
      <c r="AD487" s="423" t="s">
        <v>85</v>
      </c>
      <c r="AE487" s="424" t="s">
        <v>139</v>
      </c>
      <c r="AF487" s="424" t="s">
        <v>72</v>
      </c>
      <c r="AG487" s="424" t="s">
        <v>88</v>
      </c>
      <c r="AH487" s="424" t="s">
        <v>75</v>
      </c>
      <c r="AI487" s="424" t="s">
        <v>543</v>
      </c>
      <c r="AJ487" s="424" t="s">
        <v>78</v>
      </c>
      <c r="AK487" s="424" t="s">
        <v>76</v>
      </c>
      <c r="AL487" s="424" t="s">
        <v>544</v>
      </c>
      <c r="AM487" s="424" t="s">
        <v>545</v>
      </c>
      <c r="AN487" s="424" t="s">
        <v>86</v>
      </c>
      <c r="AO487" s="424" t="s">
        <v>83</v>
      </c>
      <c r="AP487" s="424" t="s">
        <v>84</v>
      </c>
      <c r="AQ487" s="424" t="s">
        <v>546</v>
      </c>
      <c r="AR487" s="424" t="s">
        <v>81</v>
      </c>
      <c r="AS487" s="424" t="s">
        <v>80</v>
      </c>
      <c r="AT487" s="424" t="s">
        <v>82</v>
      </c>
      <c r="AU487" s="424" t="s">
        <v>181</v>
      </c>
      <c r="AV487" s="424" t="s">
        <v>183</v>
      </c>
      <c r="AW487" s="424" t="s">
        <v>547</v>
      </c>
      <c r="AX487" s="424" t="s">
        <v>182</v>
      </c>
      <c r="AY487" s="424" t="s">
        <v>172</v>
      </c>
      <c r="AZ487" s="424" t="s">
        <v>173</v>
      </c>
      <c r="BA487" s="424" t="s">
        <v>184</v>
      </c>
      <c r="BB487" s="201"/>
    </row>
    <row r="488" spans="2:54">
      <c r="B488" s="1250" t="s">
        <v>1997</v>
      </c>
      <c r="C488" s="1251"/>
      <c r="D488" s="411" t="s">
        <v>2409</v>
      </c>
      <c r="E488" s="425"/>
      <c r="F488" s="411" t="s">
        <v>2207</v>
      </c>
      <c r="G488" s="411" t="s">
        <v>2208</v>
      </c>
      <c r="H488" s="412">
        <f>7304.756/5</f>
        <v>1460.9512</v>
      </c>
      <c r="I488" s="413" t="s">
        <v>85</v>
      </c>
      <c r="J488" s="414">
        <v>45165.638888888891</v>
      </c>
      <c r="K488" s="414"/>
      <c r="L488" s="414" t="s">
        <v>192</v>
      </c>
      <c r="M488" s="414" t="s">
        <v>192</v>
      </c>
      <c r="N488" s="413" t="str">
        <f>IF(ISBLANK(J488)," ",IF(J488&lt;$F$482,"On time",(IF(DAY(J488-$F$482)&lt;1,"On time",(IF(J488&gt;$F$482,"DELAY ( "&amp;DAY(J488-$F$482)&amp;" day "&amp;HOUR(J488-$F$482)&amp;" hour "&amp;MINUTE(J488-$F$482)&amp;" minute )","xxx"))))))</f>
        <v>DELAY ( 6 day 5 hour 38 minute )</v>
      </c>
      <c r="O488" s="51"/>
      <c r="P488" s="415" t="s">
        <v>551</v>
      </c>
      <c r="Q488" s="415" t="s">
        <v>551</v>
      </c>
      <c r="R488" s="415" t="s">
        <v>551</v>
      </c>
      <c r="S488" s="32"/>
      <c r="T488" s="416"/>
      <c r="U488" s="416"/>
      <c r="V488" s="416"/>
      <c r="W488" s="416"/>
      <c r="X488" s="416"/>
      <c r="Y488" s="416"/>
      <c r="Z488" s="416"/>
      <c r="AA488" s="416"/>
      <c r="AB488" s="416"/>
      <c r="AC488" s="416"/>
      <c r="AD488" s="416">
        <f>H488</f>
        <v>1460.9512</v>
      </c>
      <c r="AE488" s="416"/>
      <c r="AF488" s="416"/>
      <c r="AG488" s="416"/>
      <c r="AH488" s="416"/>
      <c r="AI488" s="416"/>
      <c r="AJ488" s="416"/>
      <c r="AK488" s="416"/>
      <c r="AL488" s="416"/>
      <c r="AM488" s="416"/>
      <c r="AN488" s="416"/>
      <c r="AO488" s="416"/>
      <c r="AP488" s="416"/>
      <c r="AQ488" s="416"/>
      <c r="AR488" s="416"/>
      <c r="AS488" s="416"/>
      <c r="AT488" s="416"/>
      <c r="AU488" s="416"/>
      <c r="AV488" s="416"/>
      <c r="AW488" s="416"/>
      <c r="AX488" s="416"/>
      <c r="AY488" s="416"/>
      <c r="AZ488" s="416"/>
      <c r="BA488" s="416"/>
      <c r="BB488" s="32"/>
    </row>
    <row r="489" spans="2:54">
      <c r="B489" s="1254"/>
      <c r="C489" s="1255"/>
      <c r="D489" s="411" t="s">
        <v>2410</v>
      </c>
      <c r="E489" s="411"/>
      <c r="F489" s="411" t="s">
        <v>2325</v>
      </c>
      <c r="G489" s="411" t="s">
        <v>2326</v>
      </c>
      <c r="H489" s="412">
        <v>7102.1480000000001</v>
      </c>
      <c r="I489" s="413" t="s">
        <v>240</v>
      </c>
      <c r="J489" s="414">
        <v>45166.083333333336</v>
      </c>
      <c r="K489" s="414"/>
      <c r="L489" s="414" t="s">
        <v>192</v>
      </c>
      <c r="M489" s="414" t="s">
        <v>192</v>
      </c>
      <c r="N489" s="413" t="str">
        <f t="shared" ref="N489:N502" si="43">IF(ISBLANK(J489)," ",IF(J489&lt;$F$482,"On time",(IF(DAY(J489-$F$482)&lt;1,"On time",(IF(J489&gt;$F$482,"DELAY ( "&amp;DAY(J489-$F$482)&amp;" day "&amp;HOUR(J489-$F$482)&amp;" hour "&amp;MINUTE(J489-$F$482)&amp;" minute )","xxx"))))))</f>
        <v>DELAY ( 6 day 16 hour 18 minute )</v>
      </c>
      <c r="O489" s="51"/>
      <c r="P489" s="415" t="s">
        <v>551</v>
      </c>
      <c r="Q489" s="415" t="s">
        <v>551</v>
      </c>
      <c r="R489" s="415" t="s">
        <v>551</v>
      </c>
      <c r="S489" s="32"/>
      <c r="T489" s="416"/>
      <c r="U489" s="416"/>
      <c r="V489" s="416"/>
      <c r="W489" s="416"/>
      <c r="X489" s="416"/>
      <c r="Y489" s="416"/>
      <c r="Z489" s="416"/>
      <c r="AA489" s="416"/>
      <c r="AB489" s="416"/>
      <c r="AC489" s="416">
        <f>H489</f>
        <v>7102.1480000000001</v>
      </c>
      <c r="AD489" s="416"/>
      <c r="AE489" s="416"/>
      <c r="AF489" s="416"/>
      <c r="AG489" s="416"/>
      <c r="AH489" s="416"/>
      <c r="AI489" s="416"/>
      <c r="AJ489" s="416"/>
      <c r="AK489" s="416"/>
      <c r="AL489" s="416"/>
      <c r="AM489" s="416"/>
      <c r="AN489" s="416"/>
      <c r="AO489" s="416"/>
      <c r="AP489" s="416"/>
      <c r="AQ489" s="416"/>
      <c r="AR489" s="416"/>
      <c r="AS489" s="416"/>
      <c r="AT489" s="416"/>
      <c r="AU489" s="416"/>
      <c r="AV489" s="416"/>
      <c r="AW489" s="416"/>
      <c r="AX489" s="416"/>
      <c r="AY489" s="416"/>
      <c r="AZ489" s="416"/>
      <c r="BA489" s="416"/>
      <c r="BB489" s="32"/>
    </row>
    <row r="490" spans="2:54">
      <c r="B490" s="1250" t="s">
        <v>1121</v>
      </c>
      <c r="C490" s="1251"/>
      <c r="D490" s="411" t="s">
        <v>2409</v>
      </c>
      <c r="E490" s="425"/>
      <c r="F490" s="411" t="s">
        <v>2207</v>
      </c>
      <c r="G490" s="411" t="s">
        <v>2208</v>
      </c>
      <c r="H490" s="412">
        <f>H488</f>
        <v>1460.9512</v>
      </c>
      <c r="I490" s="413" t="s">
        <v>85</v>
      </c>
      <c r="J490" s="414"/>
      <c r="K490" s="414"/>
      <c r="L490" s="414"/>
      <c r="M490" s="414"/>
      <c r="N490" s="413" t="str">
        <f t="shared" si="43"/>
        <v xml:space="preserve"> </v>
      </c>
      <c r="O490" s="51"/>
      <c r="P490" s="415"/>
      <c r="Q490" s="415"/>
      <c r="R490" s="415"/>
      <c r="S490" s="32"/>
      <c r="T490" s="416"/>
      <c r="U490" s="416"/>
      <c r="V490" s="416"/>
      <c r="W490" s="416"/>
      <c r="X490" s="416"/>
      <c r="Y490" s="416"/>
      <c r="Z490" s="416"/>
      <c r="AA490" s="416"/>
      <c r="AB490" s="416"/>
      <c r="AC490" s="416"/>
      <c r="AD490" s="416">
        <f>H490</f>
        <v>1460.9512</v>
      </c>
      <c r="AE490" s="416"/>
      <c r="AF490" s="416"/>
      <c r="AG490" s="416"/>
      <c r="AH490" s="416"/>
      <c r="AI490" s="416"/>
      <c r="AJ490" s="416"/>
      <c r="AK490" s="416"/>
      <c r="AL490" s="416"/>
      <c r="AM490" s="416"/>
      <c r="AN490" s="416"/>
      <c r="AO490" s="416"/>
      <c r="AP490" s="416"/>
      <c r="AQ490" s="416"/>
      <c r="AR490" s="416"/>
      <c r="AS490" s="416"/>
      <c r="AT490" s="416"/>
      <c r="AU490" s="416"/>
      <c r="AV490" s="416"/>
      <c r="AW490" s="416"/>
      <c r="AX490" s="416"/>
      <c r="AY490" s="416"/>
      <c r="AZ490" s="416"/>
      <c r="BA490" s="416"/>
      <c r="BB490" s="32"/>
    </row>
    <row r="491" spans="2:54">
      <c r="B491" s="1254"/>
      <c r="C491" s="1255"/>
      <c r="D491" s="411" t="s">
        <v>2411</v>
      </c>
      <c r="E491" s="411"/>
      <c r="F491" s="411" t="s">
        <v>323</v>
      </c>
      <c r="G491" s="411" t="s">
        <v>324</v>
      </c>
      <c r="H491" s="412">
        <v>7514.6260000000002</v>
      </c>
      <c r="I491" s="413" t="s">
        <v>240</v>
      </c>
      <c r="J491" s="414">
        <v>45165.59375</v>
      </c>
      <c r="K491" s="414"/>
      <c r="L491" s="414" t="s">
        <v>192</v>
      </c>
      <c r="M491" s="414" t="s">
        <v>192</v>
      </c>
      <c r="N491" s="413" t="str">
        <f t="shared" si="43"/>
        <v>DELAY ( 6 day 4 hour 33 minute )</v>
      </c>
      <c r="O491" s="51"/>
      <c r="P491" s="415" t="s">
        <v>551</v>
      </c>
      <c r="Q491" s="415" t="s">
        <v>551</v>
      </c>
      <c r="R491" s="415" t="s">
        <v>551</v>
      </c>
      <c r="S491" s="32"/>
      <c r="T491" s="416"/>
      <c r="U491" s="416"/>
      <c r="V491" s="416"/>
      <c r="W491" s="416"/>
      <c r="X491" s="416"/>
      <c r="Y491" s="416"/>
      <c r="Z491" s="416"/>
      <c r="AA491" s="416"/>
      <c r="AB491" s="416"/>
      <c r="AC491" s="416">
        <f t="shared" ref="AC491:AC497" si="44">H491</f>
        <v>7514.6260000000002</v>
      </c>
      <c r="AD491" s="416"/>
      <c r="AE491" s="416"/>
      <c r="AF491" s="416"/>
      <c r="AG491" s="416"/>
      <c r="AH491" s="416"/>
      <c r="AI491" s="416"/>
      <c r="AJ491" s="416"/>
      <c r="AK491" s="416"/>
      <c r="AL491" s="416"/>
      <c r="AM491" s="416"/>
      <c r="AN491" s="416"/>
      <c r="AO491" s="416"/>
      <c r="AP491" s="416"/>
      <c r="AQ491" s="416"/>
      <c r="AR491" s="416"/>
      <c r="AS491" s="416"/>
      <c r="AT491" s="416"/>
      <c r="AU491" s="416"/>
      <c r="AV491" s="416"/>
      <c r="AW491" s="416"/>
      <c r="AX491" s="416"/>
      <c r="AY491" s="416"/>
      <c r="AZ491" s="416"/>
      <c r="BA491" s="416"/>
      <c r="BB491" s="32"/>
    </row>
    <row r="492" spans="2:54">
      <c r="B492" s="1250" t="s">
        <v>1121</v>
      </c>
      <c r="C492" s="1251"/>
      <c r="D492" s="411" t="s">
        <v>2409</v>
      </c>
      <c r="E492" s="425"/>
      <c r="F492" s="411" t="s">
        <v>2207</v>
      </c>
      <c r="G492" s="411" t="s">
        <v>2208</v>
      </c>
      <c r="H492" s="412">
        <f>H490</f>
        <v>1460.9512</v>
      </c>
      <c r="I492" s="413" t="s">
        <v>85</v>
      </c>
      <c r="J492" s="414"/>
      <c r="K492" s="414"/>
      <c r="L492" s="414"/>
      <c r="M492" s="414"/>
      <c r="N492" s="413" t="str">
        <f t="shared" si="43"/>
        <v xml:space="preserve"> </v>
      </c>
      <c r="O492" s="51"/>
      <c r="P492" s="415"/>
      <c r="Q492" s="415"/>
      <c r="R492" s="415"/>
      <c r="S492" s="32"/>
      <c r="T492" s="416"/>
      <c r="U492" s="416"/>
      <c r="V492" s="416"/>
      <c r="W492" s="416"/>
      <c r="X492" s="416"/>
      <c r="Y492" s="416"/>
      <c r="Z492" s="416"/>
      <c r="AA492" s="416"/>
      <c r="AB492" s="416"/>
      <c r="AC492" s="416"/>
      <c r="AD492" s="416">
        <f>H492</f>
        <v>1460.9512</v>
      </c>
      <c r="AE492" s="416"/>
      <c r="AF492" s="416"/>
      <c r="AG492" s="416"/>
      <c r="AH492" s="416"/>
      <c r="AI492" s="416"/>
      <c r="AJ492" s="416"/>
      <c r="AK492" s="416"/>
      <c r="AL492" s="416"/>
      <c r="AM492" s="416"/>
      <c r="AN492" s="416"/>
      <c r="AO492" s="416"/>
      <c r="AP492" s="416"/>
      <c r="AQ492" s="416"/>
      <c r="AR492" s="416"/>
      <c r="AS492" s="416"/>
      <c r="AT492" s="416"/>
      <c r="AU492" s="416"/>
      <c r="AV492" s="416"/>
      <c r="AW492" s="416"/>
      <c r="AX492" s="416"/>
      <c r="AY492" s="416"/>
      <c r="AZ492" s="416"/>
      <c r="BA492" s="416"/>
      <c r="BB492" s="32"/>
    </row>
    <row r="493" spans="2:54">
      <c r="B493" s="1254"/>
      <c r="C493" s="1255"/>
      <c r="D493" s="411" t="s">
        <v>2412</v>
      </c>
      <c r="E493" s="411"/>
      <c r="F493" s="411" t="s">
        <v>263</v>
      </c>
      <c r="G493" s="411" t="s">
        <v>264</v>
      </c>
      <c r="H493" s="412">
        <v>7528.3720000000003</v>
      </c>
      <c r="I493" s="413" t="s">
        <v>240</v>
      </c>
      <c r="J493" s="414">
        <v>45165.708333333336</v>
      </c>
      <c r="K493" s="414"/>
      <c r="L493" s="414" t="s">
        <v>192</v>
      </c>
      <c r="M493" s="414" t="s">
        <v>192</v>
      </c>
      <c r="N493" s="413" t="str">
        <f t="shared" si="43"/>
        <v>DELAY ( 6 day 7 hour 18 minute )</v>
      </c>
      <c r="O493" s="51"/>
      <c r="P493" s="415" t="s">
        <v>551</v>
      </c>
      <c r="Q493" s="415" t="s">
        <v>551</v>
      </c>
      <c r="R493" s="415" t="s">
        <v>551</v>
      </c>
      <c r="S493" s="32"/>
      <c r="T493" s="416"/>
      <c r="U493" s="416"/>
      <c r="V493" s="416"/>
      <c r="W493" s="416"/>
      <c r="X493" s="416"/>
      <c r="Y493" s="416"/>
      <c r="Z493" s="416"/>
      <c r="AA493" s="416"/>
      <c r="AB493" s="416"/>
      <c r="AC493" s="416">
        <f t="shared" si="44"/>
        <v>7528.3720000000003</v>
      </c>
      <c r="AD493" s="416"/>
      <c r="AE493" s="416"/>
      <c r="AF493" s="416"/>
      <c r="AG493" s="416"/>
      <c r="AH493" s="416"/>
      <c r="AI493" s="416"/>
      <c r="AJ493" s="416"/>
      <c r="AK493" s="416"/>
      <c r="AL493" s="416"/>
      <c r="AM493" s="416"/>
      <c r="AN493" s="416"/>
      <c r="AO493" s="416"/>
      <c r="AP493" s="416"/>
      <c r="AQ493" s="416"/>
      <c r="AR493" s="416"/>
      <c r="AS493" s="416"/>
      <c r="AT493" s="416"/>
      <c r="AU493" s="416"/>
      <c r="AV493" s="416"/>
      <c r="AW493" s="416"/>
      <c r="AX493" s="416"/>
      <c r="AY493" s="416"/>
      <c r="AZ493" s="416"/>
      <c r="BA493" s="416"/>
      <c r="BB493" s="32"/>
    </row>
    <row r="494" spans="2:54">
      <c r="B494" s="1250" t="s">
        <v>2413</v>
      </c>
      <c r="C494" s="1251"/>
      <c r="D494" s="411" t="s">
        <v>2409</v>
      </c>
      <c r="E494" s="425"/>
      <c r="F494" s="411" t="s">
        <v>2207</v>
      </c>
      <c r="G494" s="411" t="s">
        <v>2208</v>
      </c>
      <c r="H494" s="412">
        <f>H492</f>
        <v>1460.9512</v>
      </c>
      <c r="I494" s="413" t="s">
        <v>85</v>
      </c>
      <c r="J494" s="414"/>
      <c r="K494" s="414"/>
      <c r="L494" s="414"/>
      <c r="M494" s="414"/>
      <c r="N494" s="413" t="str">
        <f t="shared" si="43"/>
        <v xml:space="preserve"> </v>
      </c>
      <c r="O494" s="51"/>
      <c r="P494" s="415"/>
      <c r="Q494" s="415"/>
      <c r="R494" s="415"/>
      <c r="S494" s="32"/>
      <c r="T494" s="416"/>
      <c r="U494" s="416"/>
      <c r="V494" s="416"/>
      <c r="W494" s="416"/>
      <c r="X494" s="416"/>
      <c r="Y494" s="416"/>
      <c r="Z494" s="416"/>
      <c r="AA494" s="416"/>
      <c r="AB494" s="416"/>
      <c r="AC494" s="416"/>
      <c r="AD494" s="416">
        <f>H494</f>
        <v>1460.9512</v>
      </c>
      <c r="AE494" s="416"/>
      <c r="AF494" s="416"/>
      <c r="AG494" s="416"/>
      <c r="AH494" s="416"/>
      <c r="AI494" s="416"/>
      <c r="AJ494" s="416"/>
      <c r="AK494" s="416"/>
      <c r="AL494" s="416"/>
      <c r="AM494" s="416"/>
      <c r="AN494" s="416"/>
      <c r="AO494" s="416"/>
      <c r="AP494" s="416"/>
      <c r="AQ494" s="416"/>
      <c r="AR494" s="416"/>
      <c r="AS494" s="416"/>
      <c r="AT494" s="416"/>
      <c r="AU494" s="416"/>
      <c r="AV494" s="416"/>
      <c r="AW494" s="416"/>
      <c r="AX494" s="416"/>
      <c r="AY494" s="416"/>
      <c r="AZ494" s="416"/>
      <c r="BA494" s="416"/>
      <c r="BB494" s="32"/>
    </row>
    <row r="495" spans="2:54">
      <c r="B495" s="1254"/>
      <c r="C495" s="1255"/>
      <c r="D495" s="411" t="s">
        <v>2414</v>
      </c>
      <c r="E495" s="411"/>
      <c r="F495" s="411" t="s">
        <v>295</v>
      </c>
      <c r="G495" s="411" t="s">
        <v>296</v>
      </c>
      <c r="H495" s="412">
        <v>9952.9989999999998</v>
      </c>
      <c r="I495" s="413" t="s">
        <v>240</v>
      </c>
      <c r="J495" s="414">
        <v>45166.597222222219</v>
      </c>
      <c r="K495" s="414"/>
      <c r="L495" s="414" t="s">
        <v>192</v>
      </c>
      <c r="M495" s="414" t="s">
        <v>192</v>
      </c>
      <c r="N495" s="413" t="str">
        <f t="shared" si="43"/>
        <v>DELAY ( 7 day 4 hour 38 minute )</v>
      </c>
      <c r="O495" s="51"/>
      <c r="P495" s="415" t="s">
        <v>551</v>
      </c>
      <c r="Q495" s="415" t="s">
        <v>551</v>
      </c>
      <c r="R495" s="415" t="s">
        <v>551</v>
      </c>
      <c r="S495" s="32"/>
      <c r="T495" s="416"/>
      <c r="U495" s="416"/>
      <c r="V495" s="416"/>
      <c r="W495" s="416"/>
      <c r="X495" s="416"/>
      <c r="Y495" s="416"/>
      <c r="Z495" s="416"/>
      <c r="AA495" s="416"/>
      <c r="AB495" s="416"/>
      <c r="AC495" s="416">
        <f t="shared" si="44"/>
        <v>9952.9989999999998</v>
      </c>
      <c r="AD495" s="416"/>
      <c r="AE495" s="416"/>
      <c r="AF495" s="416"/>
      <c r="AG495" s="416"/>
      <c r="AH495" s="416"/>
      <c r="AI495" s="416"/>
      <c r="AJ495" s="416"/>
      <c r="AK495" s="416"/>
      <c r="AL495" s="416"/>
      <c r="AM495" s="416"/>
      <c r="AN495" s="416"/>
      <c r="AO495" s="416"/>
      <c r="AP495" s="416"/>
      <c r="AQ495" s="416"/>
      <c r="AR495" s="416"/>
      <c r="AS495" s="416"/>
      <c r="AT495" s="416"/>
      <c r="AU495" s="416"/>
      <c r="AV495" s="416"/>
      <c r="AW495" s="416"/>
      <c r="AX495" s="416"/>
      <c r="AY495" s="416"/>
      <c r="AZ495" s="416"/>
      <c r="BA495" s="416"/>
      <c r="BB495" s="32"/>
    </row>
    <row r="496" spans="2:54">
      <c r="B496" s="1250" t="s">
        <v>1121</v>
      </c>
      <c r="C496" s="1251"/>
      <c r="D496" s="411" t="s">
        <v>2409</v>
      </c>
      <c r="E496" s="425"/>
      <c r="F496" s="411" t="s">
        <v>2207</v>
      </c>
      <c r="G496" s="411" t="s">
        <v>2208</v>
      </c>
      <c r="H496" s="412">
        <f>H494</f>
        <v>1460.9512</v>
      </c>
      <c r="I496" s="413" t="s">
        <v>85</v>
      </c>
      <c r="J496" s="414"/>
      <c r="K496" s="414"/>
      <c r="L496" s="414"/>
      <c r="M496" s="414"/>
      <c r="N496" s="413" t="str">
        <f t="shared" si="43"/>
        <v xml:space="preserve"> </v>
      </c>
      <c r="O496" s="51"/>
      <c r="P496" s="415"/>
      <c r="Q496" s="415"/>
      <c r="R496" s="415"/>
      <c r="S496" s="32"/>
      <c r="T496" s="416"/>
      <c r="U496" s="416"/>
      <c r="V496" s="416"/>
      <c r="W496" s="416"/>
      <c r="X496" s="416"/>
      <c r="Y496" s="416"/>
      <c r="Z496" s="416"/>
      <c r="AA496" s="416"/>
      <c r="AB496" s="416"/>
      <c r="AC496" s="416"/>
      <c r="AD496" s="416">
        <f>H496</f>
        <v>1460.9512</v>
      </c>
      <c r="AE496" s="416"/>
      <c r="AF496" s="416"/>
      <c r="AG496" s="416"/>
      <c r="AH496" s="416"/>
      <c r="AI496" s="416"/>
      <c r="AJ496" s="416"/>
      <c r="AK496" s="416"/>
      <c r="AL496" s="416"/>
      <c r="AM496" s="416"/>
      <c r="AN496" s="416"/>
      <c r="AO496" s="416"/>
      <c r="AP496" s="416"/>
      <c r="AQ496" s="416"/>
      <c r="AR496" s="416"/>
      <c r="AS496" s="416"/>
      <c r="AT496" s="416"/>
      <c r="AU496" s="416"/>
      <c r="AV496" s="416"/>
      <c r="AW496" s="416"/>
      <c r="AX496" s="416"/>
      <c r="AY496" s="416"/>
      <c r="AZ496" s="416"/>
      <c r="BA496" s="416"/>
      <c r="BB496" s="32"/>
    </row>
    <row r="497" spans="2:54">
      <c r="B497" s="1254"/>
      <c r="C497" s="1255"/>
      <c r="D497" s="411" t="s">
        <v>2415</v>
      </c>
      <c r="E497" s="411"/>
      <c r="F497" s="411" t="s">
        <v>1848</v>
      </c>
      <c r="G497" s="411" t="s">
        <v>350</v>
      </c>
      <c r="H497" s="412">
        <v>7406.8419999999996</v>
      </c>
      <c r="I497" s="413" t="s">
        <v>240</v>
      </c>
      <c r="J497" s="414">
        <v>45166.416666666664</v>
      </c>
      <c r="K497" s="414"/>
      <c r="L497" s="414" t="s">
        <v>192</v>
      </c>
      <c r="M497" s="414" t="s">
        <v>192</v>
      </c>
      <c r="N497" s="413" t="str">
        <f t="shared" si="43"/>
        <v>DELAY ( 7 day 0 hour 18 minute )</v>
      </c>
      <c r="O497" s="51"/>
      <c r="P497" s="415" t="s">
        <v>551</v>
      </c>
      <c r="Q497" s="415" t="s">
        <v>551</v>
      </c>
      <c r="R497" s="415" t="s">
        <v>551</v>
      </c>
      <c r="S497" s="32"/>
      <c r="T497" s="416"/>
      <c r="U497" s="416"/>
      <c r="V497" s="416"/>
      <c r="W497" s="416"/>
      <c r="X497" s="416"/>
      <c r="Y497" s="416"/>
      <c r="Z497" s="416"/>
      <c r="AA497" s="416"/>
      <c r="AB497" s="416"/>
      <c r="AC497" s="416">
        <f t="shared" si="44"/>
        <v>7406.8419999999996</v>
      </c>
      <c r="AD497" s="416"/>
      <c r="AE497" s="416"/>
      <c r="AF497" s="416"/>
      <c r="AG497" s="416"/>
      <c r="AH497" s="416"/>
      <c r="AI497" s="416"/>
      <c r="AJ497" s="416"/>
      <c r="AK497" s="416"/>
      <c r="AL497" s="416"/>
      <c r="AM497" s="416"/>
      <c r="AN497" s="416"/>
      <c r="AO497" s="416"/>
      <c r="AP497" s="416"/>
      <c r="AQ497" s="416"/>
      <c r="AR497" s="416"/>
      <c r="AS497" s="416"/>
      <c r="AT497" s="416"/>
      <c r="AU497" s="416"/>
      <c r="AV497" s="416"/>
      <c r="AW497" s="416"/>
      <c r="AX497" s="416"/>
      <c r="AY497" s="416"/>
      <c r="AZ497" s="416"/>
      <c r="BA497" s="416"/>
      <c r="BB497" s="32"/>
    </row>
    <row r="498" spans="2:54">
      <c r="B498" s="1256" t="s">
        <v>548</v>
      </c>
      <c r="C498" s="1257"/>
      <c r="D498" s="411" t="s">
        <v>2416</v>
      </c>
      <c r="E498" s="411"/>
      <c r="F498" s="411" t="s">
        <v>403</v>
      </c>
      <c r="G498" s="411" t="s">
        <v>404</v>
      </c>
      <c r="H498" s="412">
        <v>7504.3739999999998</v>
      </c>
      <c r="I498" s="413" t="s">
        <v>240</v>
      </c>
      <c r="J498" s="414">
        <v>45167.590277777781</v>
      </c>
      <c r="K498" s="414"/>
      <c r="L498" s="414" t="s">
        <v>192</v>
      </c>
      <c r="M498" s="414" t="s">
        <v>192</v>
      </c>
      <c r="N498" s="413" t="str">
        <f t="shared" si="43"/>
        <v>DELAY ( 8 day 4 hour 28 minute )</v>
      </c>
      <c r="O498" s="51"/>
      <c r="P498" s="415" t="s">
        <v>551</v>
      </c>
      <c r="Q498" s="415" t="s">
        <v>551</v>
      </c>
      <c r="R498" s="415" t="s">
        <v>551</v>
      </c>
      <c r="S498" s="32"/>
      <c r="T498" s="416"/>
      <c r="U498" s="416"/>
      <c r="V498" s="416"/>
      <c r="W498" s="416"/>
      <c r="X498" s="416"/>
      <c r="Y498" s="416"/>
      <c r="Z498" s="416"/>
      <c r="AA498" s="416"/>
      <c r="AB498" s="416"/>
      <c r="AC498" s="416">
        <f>H498</f>
        <v>7504.3739999999998</v>
      </c>
      <c r="AD498" s="416"/>
      <c r="AE498" s="416"/>
      <c r="AF498" s="416"/>
      <c r="AG498" s="416"/>
      <c r="AH498" s="416"/>
      <c r="AI498" s="416"/>
      <c r="AJ498" s="416"/>
      <c r="AK498" s="416"/>
      <c r="AL498" s="416"/>
      <c r="AM498" s="416"/>
      <c r="AN498" s="416"/>
      <c r="AO498" s="416"/>
      <c r="AP498" s="416"/>
      <c r="AQ498" s="416"/>
      <c r="AR498" s="416"/>
      <c r="AS498" s="416"/>
      <c r="AT498" s="416"/>
      <c r="AU498" s="416"/>
      <c r="AV498" s="416"/>
      <c r="AW498" s="416"/>
      <c r="AX498" s="416"/>
      <c r="AY498" s="416"/>
      <c r="AZ498" s="416"/>
      <c r="BA498" s="416"/>
      <c r="BB498" s="32"/>
    </row>
    <row r="499" spans="2:54">
      <c r="B499" s="1256" t="s">
        <v>548</v>
      </c>
      <c r="C499" s="1257"/>
      <c r="D499" s="411" t="s">
        <v>2417</v>
      </c>
      <c r="E499" s="411"/>
      <c r="F499" s="411" t="s">
        <v>406</v>
      </c>
      <c r="G499" s="411" t="s">
        <v>407</v>
      </c>
      <c r="H499" s="412">
        <v>7500.5479999999998</v>
      </c>
      <c r="I499" s="413" t="s">
        <v>240</v>
      </c>
      <c r="J499" s="414">
        <v>45167.399305555555</v>
      </c>
      <c r="K499" s="414"/>
      <c r="L499" s="414" t="s">
        <v>192</v>
      </c>
      <c r="M499" s="414" t="s">
        <v>192</v>
      </c>
      <c r="N499" s="413" t="str">
        <f t="shared" si="43"/>
        <v>DELAY ( 7 day 23 hour 53 minute )</v>
      </c>
      <c r="O499" s="51"/>
      <c r="P499" s="415" t="s">
        <v>551</v>
      </c>
      <c r="Q499" s="415" t="s">
        <v>551</v>
      </c>
      <c r="R499" s="415" t="s">
        <v>551</v>
      </c>
      <c r="S499" s="32"/>
      <c r="T499" s="416"/>
      <c r="U499" s="416"/>
      <c r="V499" s="416"/>
      <c r="W499" s="416"/>
      <c r="X499" s="416"/>
      <c r="Y499" s="416"/>
      <c r="Z499" s="416"/>
      <c r="AA499" s="416"/>
      <c r="AB499" s="32"/>
      <c r="AC499" s="416">
        <f>H499</f>
        <v>7500.5479999999998</v>
      </c>
      <c r="AD499" s="416"/>
      <c r="AE499" s="416"/>
      <c r="AF499" s="416"/>
      <c r="AG499" s="416"/>
      <c r="AH499" s="416"/>
      <c r="AI499" s="416"/>
      <c r="AJ499" s="416"/>
      <c r="AK499" s="416"/>
      <c r="AL499" s="416"/>
      <c r="AM499" s="416"/>
      <c r="AN499" s="416"/>
      <c r="AO499" s="416"/>
      <c r="AP499" s="416"/>
      <c r="AQ499" s="416"/>
      <c r="AR499" s="416"/>
      <c r="AS499" s="416"/>
      <c r="AT499" s="416"/>
      <c r="AU499" s="416"/>
      <c r="AV499" s="416"/>
      <c r="AW499" s="416"/>
      <c r="AX499" s="416"/>
      <c r="AY499" s="416"/>
      <c r="AZ499" s="416"/>
      <c r="BA499" s="416"/>
      <c r="BB499" s="32"/>
    </row>
    <row r="500" spans="2:54">
      <c r="B500" s="1256" t="s">
        <v>548</v>
      </c>
      <c r="C500" s="1257"/>
      <c r="D500" s="411" t="s">
        <v>2418</v>
      </c>
      <c r="E500" s="411"/>
      <c r="F500" s="411" t="s">
        <v>277</v>
      </c>
      <c r="G500" s="411" t="s">
        <v>278</v>
      </c>
      <c r="H500" s="412">
        <f>7413.094-2227.759</f>
        <v>5185.335</v>
      </c>
      <c r="I500" s="413" t="s">
        <v>240</v>
      </c>
      <c r="J500" s="414">
        <v>45166.402777777781</v>
      </c>
      <c r="K500" s="414"/>
      <c r="L500" s="414" t="s">
        <v>192</v>
      </c>
      <c r="M500" s="414" t="s">
        <v>192</v>
      </c>
      <c r="N500" s="413" t="str">
        <f t="shared" si="43"/>
        <v>DELAY ( 6 day 23 hour 58 minute )</v>
      </c>
      <c r="O500" s="51"/>
      <c r="P500" s="415" t="s">
        <v>551</v>
      </c>
      <c r="Q500" s="415" t="s">
        <v>551</v>
      </c>
      <c r="R500" s="415" t="s">
        <v>551</v>
      </c>
      <c r="S500" s="32"/>
      <c r="T500" s="416"/>
      <c r="U500" s="416"/>
      <c r="V500" s="416"/>
      <c r="W500" s="416"/>
      <c r="X500" s="416"/>
      <c r="Y500" s="416"/>
      <c r="Z500" s="416"/>
      <c r="AA500" s="416"/>
      <c r="AB500" s="416"/>
      <c r="AC500" s="416">
        <f>H500</f>
        <v>5185.335</v>
      </c>
      <c r="AD500" s="416"/>
      <c r="AE500" s="416"/>
      <c r="AF500" s="416"/>
      <c r="AG500" s="416"/>
      <c r="AH500" s="416"/>
      <c r="AI500" s="416"/>
      <c r="AJ500" s="416"/>
      <c r="AK500" s="416"/>
      <c r="AL500" s="416"/>
      <c r="AM500" s="416"/>
      <c r="AN500" s="416"/>
      <c r="AO500" s="416"/>
      <c r="AP500" s="416"/>
      <c r="AQ500" s="416"/>
      <c r="AR500" s="416"/>
      <c r="AS500" s="416"/>
      <c r="AT500" s="416"/>
      <c r="AU500" s="416"/>
      <c r="AV500" s="416"/>
      <c r="AW500" s="416"/>
      <c r="AX500" s="416"/>
      <c r="AY500" s="416"/>
      <c r="AZ500" s="416"/>
      <c r="BA500" s="416"/>
      <c r="BB500" s="32"/>
    </row>
    <row r="501" spans="2:54">
      <c r="B501" s="1258" t="s">
        <v>556</v>
      </c>
      <c r="C501" s="1259"/>
      <c r="D501" s="1259"/>
      <c r="E501" s="1259"/>
      <c r="F501" s="1259"/>
      <c r="G501" s="1260"/>
      <c r="H501" s="417">
        <f>SUM(H488:H500)</f>
        <v>67000</v>
      </c>
      <c r="I501" s="388"/>
      <c r="J501" s="293"/>
      <c r="K501" s="293"/>
      <c r="L501" s="293"/>
      <c r="M501" s="389"/>
      <c r="N501" s="413" t="str">
        <f t="shared" si="43"/>
        <v xml:space="preserve"> </v>
      </c>
      <c r="O501" s="212"/>
      <c r="P501" s="418"/>
      <c r="Q501" s="418"/>
      <c r="R501" s="418"/>
      <c r="S501" s="207"/>
      <c r="T501" s="1300"/>
      <c r="U501" s="1301"/>
      <c r="V501" s="1301"/>
      <c r="W501" s="1301"/>
      <c r="X501" s="1301"/>
      <c r="Y501" s="1301"/>
      <c r="Z501" s="1301"/>
      <c r="AA501" s="1301"/>
      <c r="AB501" s="1301"/>
      <c r="AC501" s="1301"/>
      <c r="AD501" s="1301"/>
      <c r="AE501" s="1301"/>
      <c r="AF501" s="1301"/>
      <c r="AG501" s="1301"/>
      <c r="AH501" s="1301"/>
      <c r="AI501" s="1301"/>
      <c r="AJ501" s="1301"/>
      <c r="AK501" s="1301"/>
      <c r="AL501" s="1301"/>
      <c r="AM501" s="1301"/>
      <c r="AN501" s="1301"/>
      <c r="AO501" s="1301"/>
      <c r="AP501" s="1301"/>
      <c r="AQ501" s="1301"/>
      <c r="AR501" s="1301"/>
      <c r="AS501" s="1301"/>
      <c r="AT501" s="1301"/>
      <c r="AU501" s="1301"/>
      <c r="AV501" s="1301"/>
      <c r="AW501" s="1301"/>
      <c r="AX501" s="1301"/>
      <c r="AY501" s="1301"/>
      <c r="AZ501" s="1301"/>
      <c r="BA501" s="1301"/>
    </row>
    <row r="502" spans="2:54">
      <c r="B502" s="1243" t="s">
        <v>557</v>
      </c>
      <c r="C502" s="1244"/>
      <c r="D502" s="1244"/>
      <c r="E502" s="1244"/>
      <c r="F502" s="1244"/>
      <c r="G502" s="1245"/>
      <c r="H502" s="419">
        <v>67000</v>
      </c>
      <c r="I502" s="1273"/>
      <c r="J502" s="1274"/>
      <c r="K502" s="1274"/>
      <c r="L502" s="1274"/>
      <c r="M502" s="1275"/>
      <c r="N502" s="413" t="str">
        <f t="shared" si="43"/>
        <v xml:space="preserve"> </v>
      </c>
      <c r="O502" s="32"/>
      <c r="P502" s="415"/>
      <c r="Q502" s="415"/>
      <c r="R502" s="415"/>
      <c r="S502" s="63"/>
      <c r="T502" s="416">
        <f t="shared" ref="T502:BA502" si="45">SUM(T488:T500)</f>
        <v>0</v>
      </c>
      <c r="U502" s="416">
        <f t="shared" si="45"/>
        <v>0</v>
      </c>
      <c r="V502" s="416">
        <f t="shared" si="45"/>
        <v>0</v>
      </c>
      <c r="W502" s="416">
        <f t="shared" si="45"/>
        <v>0</v>
      </c>
      <c r="X502" s="416">
        <f t="shared" si="45"/>
        <v>0</v>
      </c>
      <c r="Y502" s="416">
        <f t="shared" si="45"/>
        <v>0</v>
      </c>
      <c r="Z502" s="416">
        <f t="shared" si="45"/>
        <v>0</v>
      </c>
      <c r="AA502" s="416">
        <f t="shared" si="45"/>
        <v>0</v>
      </c>
      <c r="AB502" s="416">
        <f t="shared" si="45"/>
        <v>0</v>
      </c>
      <c r="AC502" s="416">
        <f t="shared" si="45"/>
        <v>59695.244000000006</v>
      </c>
      <c r="AD502" s="416">
        <f t="shared" si="45"/>
        <v>7304.7559999999994</v>
      </c>
      <c r="AE502" s="416">
        <f t="shared" si="45"/>
        <v>0</v>
      </c>
      <c r="AF502" s="416">
        <f t="shared" si="45"/>
        <v>0</v>
      </c>
      <c r="AG502" s="416">
        <f t="shared" si="45"/>
        <v>0</v>
      </c>
      <c r="AH502" s="416">
        <f t="shared" si="45"/>
        <v>0</v>
      </c>
      <c r="AI502" s="416">
        <f t="shared" si="45"/>
        <v>0</v>
      </c>
      <c r="AJ502" s="416">
        <f t="shared" si="45"/>
        <v>0</v>
      </c>
      <c r="AK502" s="416">
        <f t="shared" si="45"/>
        <v>0</v>
      </c>
      <c r="AL502" s="416">
        <f t="shared" si="45"/>
        <v>0</v>
      </c>
      <c r="AM502" s="416">
        <f t="shared" si="45"/>
        <v>0</v>
      </c>
      <c r="AN502" s="416">
        <f t="shared" si="45"/>
        <v>0</v>
      </c>
      <c r="AO502" s="416">
        <f t="shared" si="45"/>
        <v>0</v>
      </c>
      <c r="AP502" s="416">
        <f t="shared" si="45"/>
        <v>0</v>
      </c>
      <c r="AQ502" s="416">
        <f t="shared" si="45"/>
        <v>0</v>
      </c>
      <c r="AR502" s="416">
        <f t="shared" si="45"/>
        <v>0</v>
      </c>
      <c r="AS502" s="416">
        <f t="shared" si="45"/>
        <v>0</v>
      </c>
      <c r="AT502" s="416">
        <f t="shared" si="45"/>
        <v>0</v>
      </c>
      <c r="AU502" s="416">
        <f t="shared" si="45"/>
        <v>0</v>
      </c>
      <c r="AV502" s="416">
        <f t="shared" si="45"/>
        <v>0</v>
      </c>
      <c r="AW502" s="416">
        <f t="shared" si="45"/>
        <v>0</v>
      </c>
      <c r="AX502" s="416">
        <f t="shared" si="45"/>
        <v>0</v>
      </c>
      <c r="AY502" s="416">
        <f t="shared" si="45"/>
        <v>0</v>
      </c>
      <c r="AZ502" s="416">
        <f t="shared" si="45"/>
        <v>0</v>
      </c>
      <c r="BA502" s="416">
        <f t="shared" si="45"/>
        <v>0</v>
      </c>
      <c r="BB502" s="416">
        <f>SUM(T502:BA502)</f>
        <v>67000</v>
      </c>
    </row>
    <row r="503" spans="2:54">
      <c r="B503" s="1243" t="s">
        <v>558</v>
      </c>
      <c r="C503" s="1244"/>
      <c r="D503" s="1244"/>
      <c r="E503" s="1244"/>
      <c r="F503" s="1244"/>
      <c r="G503" s="1245"/>
      <c r="H503" s="420">
        <f>H502-L482</f>
        <v>0</v>
      </c>
      <c r="I503" s="294"/>
      <c r="J503" s="295"/>
      <c r="K503" s="295"/>
      <c r="L503" s="296"/>
      <c r="M503" s="32"/>
      <c r="N503" s="32"/>
      <c r="O503" s="32"/>
      <c r="P503" s="32"/>
      <c r="Q503" s="297"/>
      <c r="R503" s="297"/>
      <c r="S503" s="32"/>
      <c r="T503" s="48"/>
      <c r="U503" s="48"/>
      <c r="V503" s="48"/>
      <c r="W503" s="48"/>
      <c r="X503" s="48"/>
      <c r="Y503" s="48"/>
      <c r="Z503" s="48"/>
      <c r="AA503" s="48"/>
      <c r="AB503" s="48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</row>
    <row r="504" spans="2:54">
      <c r="B504" s="1243" t="s">
        <v>559</v>
      </c>
      <c r="C504" s="1244"/>
      <c r="D504" s="1244"/>
      <c r="E504" s="1244"/>
      <c r="F504" s="1244"/>
      <c r="G504" s="1245"/>
      <c r="H504" s="446">
        <v>1275.0519999999999</v>
      </c>
      <c r="I504" s="52"/>
      <c r="J504" s="53"/>
      <c r="K504" s="53"/>
      <c r="L504" s="54"/>
      <c r="M504" s="32"/>
      <c r="N504" s="201"/>
      <c r="O504" s="32"/>
      <c r="P504" s="32"/>
      <c r="Q504" s="32"/>
      <c r="R504" s="32"/>
      <c r="S504" s="32"/>
      <c r="T504" s="48"/>
      <c r="U504" s="48"/>
      <c r="V504" s="48"/>
      <c r="W504" s="48"/>
      <c r="X504" s="48"/>
      <c r="Y504" s="48"/>
      <c r="Z504" s="48"/>
      <c r="AA504" s="48"/>
      <c r="AB504" s="48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</row>
    <row r="505" spans="2:54">
      <c r="B505" s="1243" t="s">
        <v>560</v>
      </c>
      <c r="C505" s="1244"/>
      <c r="D505" s="1244"/>
      <c r="E505" s="1244"/>
      <c r="F505" s="1244"/>
      <c r="G505" s="1245"/>
      <c r="H505" s="421">
        <f>H504-2227.759</f>
        <v>-952.70700000000011</v>
      </c>
      <c r="I505" s="52"/>
      <c r="J505" s="53"/>
      <c r="K505" s="53"/>
      <c r="L505" s="54"/>
      <c r="M505" s="32"/>
      <c r="N505" s="32"/>
      <c r="O505" s="32"/>
      <c r="P505" s="32"/>
      <c r="Q505" s="32"/>
      <c r="R505" s="32"/>
      <c r="S505" s="48"/>
      <c r="T505" s="48"/>
      <c r="U505" s="48"/>
      <c r="V505" s="48"/>
      <c r="W505" s="48"/>
      <c r="X505" s="48"/>
      <c r="Y505" s="48"/>
      <c r="Z505" s="48"/>
      <c r="AA505" s="48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</row>
    <row r="506" spans="2:54">
      <c r="B506" s="201"/>
      <c r="C506" s="201"/>
      <c r="D506" s="201"/>
      <c r="E506" s="201"/>
      <c r="F506" s="201"/>
      <c r="G506" s="201"/>
      <c r="H506" s="201"/>
      <c r="I506" s="213"/>
      <c r="J506" s="209"/>
      <c r="K506" s="209"/>
      <c r="L506" s="203"/>
      <c r="M506" s="201"/>
      <c r="N506" s="201"/>
      <c r="O506" s="209"/>
      <c r="P506" s="32"/>
      <c r="Q506" s="32"/>
      <c r="R506" s="32"/>
      <c r="S506" s="32"/>
      <c r="T506" s="48"/>
      <c r="U506" s="48"/>
      <c r="V506" s="48"/>
      <c r="W506" s="48"/>
      <c r="X506" s="48"/>
      <c r="Y506" s="48"/>
      <c r="Z506" s="48"/>
      <c r="AA506" s="48"/>
      <c r="AB506" s="48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</row>
    <row r="507" spans="2:54">
      <c r="B507" s="40" t="s">
        <v>561</v>
      </c>
      <c r="C507" s="40"/>
      <c r="D507" s="32"/>
      <c r="E507" s="32"/>
      <c r="F507" s="32"/>
      <c r="G507" s="32"/>
      <c r="H507" s="32"/>
      <c r="I507" s="32"/>
      <c r="J507" s="52"/>
      <c r="K507" s="52"/>
      <c r="L507" s="55"/>
      <c r="M507" s="32"/>
      <c r="N507" s="201"/>
      <c r="O507" s="5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  <c r="AA507" s="202"/>
      <c r="AB507" s="201"/>
      <c r="AC507" s="201"/>
      <c r="AD507" s="201"/>
      <c r="AE507" s="201"/>
      <c r="AF507" s="201"/>
      <c r="AG507" s="201"/>
      <c r="AH507" s="201"/>
      <c r="AI507" s="201"/>
      <c r="AJ507" s="201"/>
      <c r="AK507" s="201"/>
      <c r="AL507" s="201"/>
      <c r="AM507" s="201"/>
      <c r="AN507" s="201"/>
      <c r="AO507" s="201"/>
      <c r="AP507" s="201"/>
      <c r="AQ507" s="201"/>
      <c r="AR507" s="201"/>
      <c r="AS507" s="201"/>
      <c r="AT507" s="201"/>
      <c r="AU507" s="201"/>
      <c r="BB507" s="201"/>
    </row>
    <row r="508" spans="2:54">
      <c r="B508" s="422">
        <v>1</v>
      </c>
      <c r="C508" s="1249" t="s">
        <v>2419</v>
      </c>
      <c r="D508" s="1249"/>
      <c r="E508" s="1249"/>
      <c r="F508" s="1249"/>
      <c r="G508" s="1249"/>
      <c r="H508" s="1249"/>
      <c r="I508" s="1249"/>
      <c r="J508" s="1249"/>
      <c r="K508" s="1249"/>
      <c r="L508" s="203"/>
      <c r="M508" s="203"/>
      <c r="N508" s="201"/>
      <c r="O508" s="209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  <c r="AA508" s="202"/>
      <c r="AB508" s="201"/>
      <c r="AC508" s="201"/>
      <c r="AD508" s="201"/>
      <c r="AE508" s="201"/>
      <c r="AF508" s="201"/>
      <c r="AG508" s="201"/>
      <c r="AH508" s="201"/>
      <c r="AI508" s="201"/>
      <c r="AJ508" s="201"/>
      <c r="AK508" s="201"/>
      <c r="AL508" s="201"/>
      <c r="AM508" s="201"/>
      <c r="AN508" s="201"/>
      <c r="AO508" s="201"/>
      <c r="AP508" s="201"/>
      <c r="AQ508" s="201"/>
      <c r="AR508" s="201"/>
      <c r="AS508" s="201"/>
      <c r="AT508" s="201"/>
      <c r="AU508" s="201"/>
      <c r="AV508" s="201"/>
      <c r="AW508" s="201"/>
      <c r="AX508" s="201"/>
      <c r="AY508" s="201"/>
      <c r="AZ508" s="201"/>
      <c r="BA508" s="201"/>
      <c r="BB508" s="201"/>
    </row>
  </sheetData>
  <mergeCells count="429">
    <mergeCell ref="B474:G474"/>
    <mergeCell ref="C478:K478"/>
    <mergeCell ref="B475:G475"/>
    <mergeCell ref="B468:C469"/>
    <mergeCell ref="F469:G469"/>
    <mergeCell ref="B470:G470"/>
    <mergeCell ref="T470:BA470"/>
    <mergeCell ref="B471:G471"/>
    <mergeCell ref="T471:BA471"/>
    <mergeCell ref="B472:G472"/>
    <mergeCell ref="I472:M472"/>
    <mergeCell ref="B473:G473"/>
    <mergeCell ref="B457:C458"/>
    <mergeCell ref="F458:G458"/>
    <mergeCell ref="B459:C461"/>
    <mergeCell ref="F460:G460"/>
    <mergeCell ref="F461:G461"/>
    <mergeCell ref="B462:C464"/>
    <mergeCell ref="F463:G463"/>
    <mergeCell ref="F464:G464"/>
    <mergeCell ref="B465:C467"/>
    <mergeCell ref="F466:G466"/>
    <mergeCell ref="F467:G467"/>
    <mergeCell ref="T451:X451"/>
    <mergeCell ref="Y451:AA451"/>
    <mergeCell ref="AB451:AC451"/>
    <mergeCell ref="AF451:BA451"/>
    <mergeCell ref="B452:C452"/>
    <mergeCell ref="B453:C453"/>
    <mergeCell ref="B454:C454"/>
    <mergeCell ref="B455:C455"/>
    <mergeCell ref="B456:G456"/>
    <mergeCell ref="B438:G438"/>
    <mergeCell ref="B439:G439"/>
    <mergeCell ref="B440:G440"/>
    <mergeCell ref="C443:K443"/>
    <mergeCell ref="B431:C431"/>
    <mergeCell ref="B432:C433"/>
    <mergeCell ref="F433:G433"/>
    <mergeCell ref="B434:C434"/>
    <mergeCell ref="B435:G435"/>
    <mergeCell ref="T435:BA435"/>
    <mergeCell ref="B436:G436"/>
    <mergeCell ref="T436:BA436"/>
    <mergeCell ref="B437:G437"/>
    <mergeCell ref="I437:M437"/>
    <mergeCell ref="B422:C423"/>
    <mergeCell ref="F423:G423"/>
    <mergeCell ref="B424:C425"/>
    <mergeCell ref="F425:G425"/>
    <mergeCell ref="B426:C427"/>
    <mergeCell ref="F427:G427"/>
    <mergeCell ref="B428:C428"/>
    <mergeCell ref="B429:C430"/>
    <mergeCell ref="F430:G430"/>
    <mergeCell ref="AF412:BA412"/>
    <mergeCell ref="B413:C413"/>
    <mergeCell ref="B414:C414"/>
    <mergeCell ref="B415:C415"/>
    <mergeCell ref="B416:G416"/>
    <mergeCell ref="B417:C417"/>
    <mergeCell ref="B418:C419"/>
    <mergeCell ref="F419:G419"/>
    <mergeCell ref="B420:C421"/>
    <mergeCell ref="F421:G421"/>
    <mergeCell ref="B398:G398"/>
    <mergeCell ref="I398:M398"/>
    <mergeCell ref="B399:G399"/>
    <mergeCell ref="B400:G400"/>
    <mergeCell ref="C404:K404"/>
    <mergeCell ref="B401:G401"/>
    <mergeCell ref="T412:X412"/>
    <mergeCell ref="Y412:AA412"/>
    <mergeCell ref="AB412:AC412"/>
    <mergeCell ref="T392:X392"/>
    <mergeCell ref="Y392:AA392"/>
    <mergeCell ref="AB392:AC392"/>
    <mergeCell ref="AF392:BA392"/>
    <mergeCell ref="B393:C393"/>
    <mergeCell ref="B394:C394"/>
    <mergeCell ref="B395:C395"/>
    <mergeCell ref="B396:C396"/>
    <mergeCell ref="B397:G397"/>
    <mergeCell ref="T397:BA397"/>
    <mergeCell ref="B356:G356"/>
    <mergeCell ref="T356:BA356"/>
    <mergeCell ref="B357:G357"/>
    <mergeCell ref="I357:M357"/>
    <mergeCell ref="C360:K360"/>
    <mergeCell ref="T350:X350"/>
    <mergeCell ref="Y350:AA350"/>
    <mergeCell ref="AB350:AC350"/>
    <mergeCell ref="AF350:BA350"/>
    <mergeCell ref="B351:C351"/>
    <mergeCell ref="B352:C352"/>
    <mergeCell ref="B353:C353"/>
    <mergeCell ref="B354:C354"/>
    <mergeCell ref="F355:G355"/>
    <mergeCell ref="C314:K314"/>
    <mergeCell ref="B311:G311"/>
    <mergeCell ref="B305:C305"/>
    <mergeCell ref="B306:G306"/>
    <mergeCell ref="T306:BA306"/>
    <mergeCell ref="B307:G307"/>
    <mergeCell ref="T307:BA307"/>
    <mergeCell ref="B308:G308"/>
    <mergeCell ref="I308:M308"/>
    <mergeCell ref="B309:G309"/>
    <mergeCell ref="B310:G310"/>
    <mergeCell ref="B295:C295"/>
    <mergeCell ref="B296:C296"/>
    <mergeCell ref="B297:G297"/>
    <mergeCell ref="B298:C300"/>
    <mergeCell ref="F299:G299"/>
    <mergeCell ref="F300:G300"/>
    <mergeCell ref="B301:C302"/>
    <mergeCell ref="F302:G302"/>
    <mergeCell ref="B303:C304"/>
    <mergeCell ref="F304:G304"/>
    <mergeCell ref="B286:C288"/>
    <mergeCell ref="F287:G287"/>
    <mergeCell ref="F288:G288"/>
    <mergeCell ref="B289:C291"/>
    <mergeCell ref="F290:G290"/>
    <mergeCell ref="F291:G291"/>
    <mergeCell ref="B292:C294"/>
    <mergeCell ref="F293:G293"/>
    <mergeCell ref="F294:G294"/>
    <mergeCell ref="B277:C279"/>
    <mergeCell ref="F278:G278"/>
    <mergeCell ref="F279:G279"/>
    <mergeCell ref="B280:C282"/>
    <mergeCell ref="F281:G281"/>
    <mergeCell ref="F282:G282"/>
    <mergeCell ref="B283:C285"/>
    <mergeCell ref="F284:G284"/>
    <mergeCell ref="F285:G285"/>
    <mergeCell ref="B268:C268"/>
    <mergeCell ref="B269:C269"/>
    <mergeCell ref="B270:C270"/>
    <mergeCell ref="B271:G271"/>
    <mergeCell ref="B272:C273"/>
    <mergeCell ref="F273:G273"/>
    <mergeCell ref="B274:C276"/>
    <mergeCell ref="F275:G275"/>
    <mergeCell ref="F276:G276"/>
    <mergeCell ref="B253:G253"/>
    <mergeCell ref="C257:K257"/>
    <mergeCell ref="B254:G254"/>
    <mergeCell ref="T265:X265"/>
    <mergeCell ref="Y265:AA265"/>
    <mergeCell ref="AB265:AC265"/>
    <mergeCell ref="AF265:BA265"/>
    <mergeCell ref="B266:C266"/>
    <mergeCell ref="B267:C267"/>
    <mergeCell ref="B246:C246"/>
    <mergeCell ref="B247:C247"/>
    <mergeCell ref="B248:C248"/>
    <mergeCell ref="B249:C249"/>
    <mergeCell ref="B250:G250"/>
    <mergeCell ref="T250:BC250"/>
    <mergeCell ref="B251:G251"/>
    <mergeCell ref="I251:M251"/>
    <mergeCell ref="B252:G252"/>
    <mergeCell ref="T240:X240"/>
    <mergeCell ref="Y240:AA240"/>
    <mergeCell ref="AB240:AC240"/>
    <mergeCell ref="AF240:BC240"/>
    <mergeCell ref="B241:C241"/>
    <mergeCell ref="B242:C242"/>
    <mergeCell ref="B243:C243"/>
    <mergeCell ref="B244:C244"/>
    <mergeCell ref="B245:C245"/>
    <mergeCell ref="B169:G169"/>
    <mergeCell ref="B170:G170"/>
    <mergeCell ref="C174:K174"/>
    <mergeCell ref="B171:G171"/>
    <mergeCell ref="B163:C165"/>
    <mergeCell ref="F164:G164"/>
    <mergeCell ref="F165:G165"/>
    <mergeCell ref="B166:G166"/>
    <mergeCell ref="T166:BA166"/>
    <mergeCell ref="B167:G167"/>
    <mergeCell ref="T167:BA167"/>
    <mergeCell ref="B168:G168"/>
    <mergeCell ref="I168:M168"/>
    <mergeCell ref="B154:C156"/>
    <mergeCell ref="F155:G155"/>
    <mergeCell ref="F156:G156"/>
    <mergeCell ref="B157:C159"/>
    <mergeCell ref="F158:G158"/>
    <mergeCell ref="F159:G159"/>
    <mergeCell ref="B160:C162"/>
    <mergeCell ref="F161:G161"/>
    <mergeCell ref="F162:G162"/>
    <mergeCell ref="B143:C143"/>
    <mergeCell ref="B144:C146"/>
    <mergeCell ref="F145:G145"/>
    <mergeCell ref="F146:G146"/>
    <mergeCell ref="B147:C149"/>
    <mergeCell ref="F148:G148"/>
    <mergeCell ref="F149:G149"/>
    <mergeCell ref="B150:C150"/>
    <mergeCell ref="B151:C153"/>
    <mergeCell ref="F152:G152"/>
    <mergeCell ref="F153:G153"/>
    <mergeCell ref="T137:X137"/>
    <mergeCell ref="Y137:AA137"/>
    <mergeCell ref="AB137:AC137"/>
    <mergeCell ref="AF137:BA137"/>
    <mergeCell ref="B138:C138"/>
    <mergeCell ref="B139:C139"/>
    <mergeCell ref="B140:C140"/>
    <mergeCell ref="B141:C141"/>
    <mergeCell ref="B142:G142"/>
    <mergeCell ref="B125:G125"/>
    <mergeCell ref="C129:K129"/>
    <mergeCell ref="B126:G126"/>
    <mergeCell ref="B122:G122"/>
    <mergeCell ref="T122:BA122"/>
    <mergeCell ref="B123:G123"/>
    <mergeCell ref="I123:M123"/>
    <mergeCell ref="B124:G124"/>
    <mergeCell ref="B117:C118"/>
    <mergeCell ref="I118:I119"/>
    <mergeCell ref="J118:J119"/>
    <mergeCell ref="B119:C120"/>
    <mergeCell ref="B121:C121"/>
    <mergeCell ref="B111:C112"/>
    <mergeCell ref="B113:C114"/>
    <mergeCell ref="I114:I115"/>
    <mergeCell ref="J114:J115"/>
    <mergeCell ref="B115:C116"/>
    <mergeCell ref="Y105:AA105"/>
    <mergeCell ref="AB105:AC105"/>
    <mergeCell ref="AF105:BA105"/>
    <mergeCell ref="B106:C106"/>
    <mergeCell ref="B107:C108"/>
    <mergeCell ref="J108:J109"/>
    <mergeCell ref="B109:C110"/>
    <mergeCell ref="B92:G92"/>
    <mergeCell ref="B93:G93"/>
    <mergeCell ref="C97:K97"/>
    <mergeCell ref="B94:G94"/>
    <mergeCell ref="T105:X105"/>
    <mergeCell ref="B89:G89"/>
    <mergeCell ref="B90:G90"/>
    <mergeCell ref="T90:BC90"/>
    <mergeCell ref="B91:G91"/>
    <mergeCell ref="I91:M91"/>
    <mergeCell ref="B84:C84"/>
    <mergeCell ref="B85:C85"/>
    <mergeCell ref="B86:C86"/>
    <mergeCell ref="B87:C87"/>
    <mergeCell ref="B88:G88"/>
    <mergeCell ref="B79:C79"/>
    <mergeCell ref="B80:C80"/>
    <mergeCell ref="B81:C81"/>
    <mergeCell ref="B82:C82"/>
    <mergeCell ref="B83:C83"/>
    <mergeCell ref="T77:X77"/>
    <mergeCell ref="Y77:AA77"/>
    <mergeCell ref="AB77:AC77"/>
    <mergeCell ref="AF77:BC77"/>
    <mergeCell ref="B78:C78"/>
    <mergeCell ref="T17:BC17"/>
    <mergeCell ref="B18:G18"/>
    <mergeCell ref="I18:M18"/>
    <mergeCell ref="AF8:BC8"/>
    <mergeCell ref="B9:C9"/>
    <mergeCell ref="B10:C10"/>
    <mergeCell ref="B11:C11"/>
    <mergeCell ref="B12:C12"/>
    <mergeCell ref="B13:C13"/>
    <mergeCell ref="T8:X8"/>
    <mergeCell ref="Y8:AA8"/>
    <mergeCell ref="AB8:AC8"/>
    <mergeCell ref="B19:G19"/>
    <mergeCell ref="B20:G20"/>
    <mergeCell ref="C24:K24"/>
    <mergeCell ref="B21:G21"/>
    <mergeCell ref="B14:C14"/>
    <mergeCell ref="B15:C15"/>
    <mergeCell ref="B16:G16"/>
    <mergeCell ref="B17:G17"/>
    <mergeCell ref="T32:X32"/>
    <mergeCell ref="Y32:AA32"/>
    <mergeCell ref="AB32:AC32"/>
    <mergeCell ref="AF32:BA32"/>
    <mergeCell ref="B33:C33"/>
    <mergeCell ref="B34:C34"/>
    <mergeCell ref="B35:C35"/>
    <mergeCell ref="B36:C36"/>
    <mergeCell ref="B37:C37"/>
    <mergeCell ref="B38:G38"/>
    <mergeCell ref="B39:C39"/>
    <mergeCell ref="B40:C40"/>
    <mergeCell ref="B41:C43"/>
    <mergeCell ref="F42:G42"/>
    <mergeCell ref="F43:G43"/>
    <mergeCell ref="B44:C45"/>
    <mergeCell ref="F45:G45"/>
    <mergeCell ref="T61:BA61"/>
    <mergeCell ref="B62:G62"/>
    <mergeCell ref="T62:BA62"/>
    <mergeCell ref="B46:C48"/>
    <mergeCell ref="F47:G47"/>
    <mergeCell ref="F48:G48"/>
    <mergeCell ref="B49:C51"/>
    <mergeCell ref="F50:G50"/>
    <mergeCell ref="F51:G51"/>
    <mergeCell ref="B52:C54"/>
    <mergeCell ref="F53:G53"/>
    <mergeCell ref="F54:G54"/>
    <mergeCell ref="B63:G63"/>
    <mergeCell ref="I63:M63"/>
    <mergeCell ref="B64:G64"/>
    <mergeCell ref="B65:G65"/>
    <mergeCell ref="C69:K69"/>
    <mergeCell ref="B66:G66"/>
    <mergeCell ref="B61:G61"/>
    <mergeCell ref="B55:C57"/>
    <mergeCell ref="F56:G56"/>
    <mergeCell ref="F57:G57"/>
    <mergeCell ref="B58:C60"/>
    <mergeCell ref="F59:G59"/>
    <mergeCell ref="F60:G60"/>
    <mergeCell ref="T182:X182"/>
    <mergeCell ref="Y182:AA182"/>
    <mergeCell ref="AB182:AC182"/>
    <mergeCell ref="AF182:BA182"/>
    <mergeCell ref="B183:C183"/>
    <mergeCell ref="B184:C185"/>
    <mergeCell ref="B186:C187"/>
    <mergeCell ref="B188:C189"/>
    <mergeCell ref="B190:C191"/>
    <mergeCell ref="C203:K203"/>
    <mergeCell ref="J185:J186"/>
    <mergeCell ref="B200:G200"/>
    <mergeCell ref="B192:C193"/>
    <mergeCell ref="B194:C194"/>
    <mergeCell ref="B195:C195"/>
    <mergeCell ref="B196:G196"/>
    <mergeCell ref="T196:BA196"/>
    <mergeCell ref="B197:G197"/>
    <mergeCell ref="I197:M197"/>
    <mergeCell ref="B198:G198"/>
    <mergeCell ref="B199:G199"/>
    <mergeCell ref="T211:X211"/>
    <mergeCell ref="Y211:AA211"/>
    <mergeCell ref="AB211:AC211"/>
    <mergeCell ref="AF211:BA211"/>
    <mergeCell ref="B212:C212"/>
    <mergeCell ref="B213:C214"/>
    <mergeCell ref="B215:C216"/>
    <mergeCell ref="B217:C218"/>
    <mergeCell ref="B219:C219"/>
    <mergeCell ref="B228:G228"/>
    <mergeCell ref="C232:K232"/>
    <mergeCell ref="B229:G229"/>
    <mergeCell ref="B220:C221"/>
    <mergeCell ref="J221:J222"/>
    <mergeCell ref="B222:C223"/>
    <mergeCell ref="B224:C224"/>
    <mergeCell ref="B225:G225"/>
    <mergeCell ref="T225:BA225"/>
    <mergeCell ref="B226:G226"/>
    <mergeCell ref="I226:M226"/>
    <mergeCell ref="B227:G227"/>
    <mergeCell ref="T322:X322"/>
    <mergeCell ref="Y322:AA322"/>
    <mergeCell ref="AB322:AC322"/>
    <mergeCell ref="AF322:BA322"/>
    <mergeCell ref="B323:C323"/>
    <mergeCell ref="B324:C324"/>
    <mergeCell ref="B325:C325"/>
    <mergeCell ref="B326:C326"/>
    <mergeCell ref="B327:C327"/>
    <mergeCell ref="B338:G338"/>
    <mergeCell ref="C342:K342"/>
    <mergeCell ref="B339:G339"/>
    <mergeCell ref="B328:C329"/>
    <mergeCell ref="B330:C331"/>
    <mergeCell ref="B332:C333"/>
    <mergeCell ref="B334:C334"/>
    <mergeCell ref="B335:G335"/>
    <mergeCell ref="T335:BA335"/>
    <mergeCell ref="B336:G336"/>
    <mergeCell ref="I336:M336"/>
    <mergeCell ref="B337:G337"/>
    <mergeCell ref="T368:X368"/>
    <mergeCell ref="Y368:AA368"/>
    <mergeCell ref="AB368:AC368"/>
    <mergeCell ref="AF368:BA368"/>
    <mergeCell ref="B369:C369"/>
    <mergeCell ref="B370:C371"/>
    <mergeCell ref="B372:C372"/>
    <mergeCell ref="B373:C374"/>
    <mergeCell ref="B375:C375"/>
    <mergeCell ref="B376:C376"/>
    <mergeCell ref="B377:G377"/>
    <mergeCell ref="T377:BA377"/>
    <mergeCell ref="B378:G378"/>
    <mergeCell ref="I378:M378"/>
    <mergeCell ref="B379:G379"/>
    <mergeCell ref="B380:G380"/>
    <mergeCell ref="C384:K384"/>
    <mergeCell ref="B381:G381"/>
    <mergeCell ref="T486:X486"/>
    <mergeCell ref="Y486:AA486"/>
    <mergeCell ref="AB486:AC486"/>
    <mergeCell ref="AF486:BA486"/>
    <mergeCell ref="B487:C487"/>
    <mergeCell ref="B488:C489"/>
    <mergeCell ref="B490:C491"/>
    <mergeCell ref="B492:C493"/>
    <mergeCell ref="B494:C495"/>
    <mergeCell ref="B504:G504"/>
    <mergeCell ref="C508:K508"/>
    <mergeCell ref="B505:G505"/>
    <mergeCell ref="B496:C497"/>
    <mergeCell ref="B498:C498"/>
    <mergeCell ref="B499:C499"/>
    <mergeCell ref="B500:C500"/>
    <mergeCell ref="B501:G501"/>
    <mergeCell ref="T501:BA501"/>
    <mergeCell ref="B502:G502"/>
    <mergeCell ref="I502:M502"/>
    <mergeCell ref="B503:G503"/>
  </mergeCells>
  <dataValidations count="8">
    <dataValidation type="list" allowBlank="1" showInputMessage="1" showErrorMessage="1" sqref="F71 F99 F26" xr:uid="{00000000-0002-0000-0F00-000000000000}">
      <formula1>$H$208:$H$230</formula1>
    </dataValidation>
    <dataValidation type="list" allowBlank="1" showInputMessage="1" showErrorMessage="1" sqref="L74 L102 L29" xr:uid="{00000000-0002-0000-0F00-000001000000}">
      <formula1>$I$208:$I$230</formula1>
    </dataValidation>
    <dataValidation type="list" allowBlank="1" showInputMessage="1" showErrorMessage="1" sqref="F131 F176" xr:uid="{00000000-0002-0000-0F00-000002000000}">
      <formula1>$H$206:$H$226</formula1>
    </dataValidation>
    <dataValidation type="list" allowBlank="1" showInputMessage="1" showErrorMessage="1" sqref="L134 L179" xr:uid="{00000000-0002-0000-0F00-000003000000}">
      <formula1>$I$206:$I$226</formula1>
    </dataValidation>
    <dataValidation type="list" allowBlank="1" showInputMessage="1" showErrorMessage="1" sqref="F205 F316 F259 F234" xr:uid="{00000000-0002-0000-0F00-000004000000}">
      <formula1>$H$206:$H$227</formula1>
    </dataValidation>
    <dataValidation type="list" allowBlank="1" showInputMessage="1" showErrorMessage="1" sqref="L208 L319 L262 L237" xr:uid="{00000000-0002-0000-0F00-000005000000}">
      <formula1>$I$206:$I$227</formula1>
    </dataValidation>
    <dataValidation type="list" allowBlank="1" showInputMessage="1" showErrorMessage="1" sqref="F386 F480 F445 F406 F344 F362" xr:uid="{00000000-0002-0000-0F00-000006000000}">
      <formula1>$H$206:$H$242</formula1>
    </dataValidation>
    <dataValidation type="list" allowBlank="1" showInputMessage="1" showErrorMessage="1" sqref="L389 L483 L448 L409 L346 L365" xr:uid="{00000000-0002-0000-0F00-000007000000}">
      <formula1>$I$206:$I$242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F00-000008000000}">
          <x14:formula1>
            <xm:f>'FLF &amp; AGENT INFO'!$H$3:$H$7</xm:f>
          </x14:formula1>
          <xm:sqref>L6 L30 L75 L103 L135 L180 L209 L238 L263 L320 L347:L348 L366 L390 L410 L449 L484</xm:sqref>
        </x14:dataValidation>
        <x14:dataValidation type="list" allowBlank="1" showInputMessage="1" showErrorMessage="1" xr:uid="{00000000-0002-0000-0F00-000009000000}">
          <x14:formula1>
            <xm:f>'FLF &amp; AGENT INFO'!$B$3:$B$20</xm:f>
          </x14:formula1>
          <xm:sqref>F5 F29 F74 F102 F134 F179 F208 F237 F262 F319 F347 F365 F389 F409 F448 F483</xm:sqref>
        </x14:dataValidation>
        <x14:dataValidation type="list" allowBlank="1" showInputMessage="1" showErrorMessage="1" xr:uid="{00000000-0002-0000-0F00-00000A000000}">
          <x14:formula1>
            <xm:f>'FLF &amp; AGENT INFO'!$F$3:$F$28</xm:f>
          </x14:formula1>
          <xm:sqref>F7 F485 F450 F411 F391 F367 F349 F321 F264 F239 F210 F181 F136 F104 F76 F31</xm:sqref>
        </x14:dataValidation>
        <x14:dataValidation type="list" allowBlank="1" showInputMessage="1" showErrorMessage="1" xr:uid="{00000000-0002-0000-0F00-00000B000000}">
          <x14:formula1>
            <xm:f>'FLF &amp; AGENT INFO'!$D$3:$D$31</xm:f>
          </x14:formula1>
          <xm:sqref>F6 F484 F449 F410 F390 F366 F348 F320 F263 F238 F209 F180 F135 F103 F75 F30</xm:sqref>
        </x14:dataValidation>
        <x14:dataValidation type="list" allowBlank="1" showInputMessage="1" showErrorMessage="1" xr:uid="{00000000-0002-0000-0F00-00000C000000}">
          <x14:formula1>
            <xm:f>'VLU 2023 &amp; 2024'!$H$144:$H$173</xm:f>
          </x14:formula1>
          <xm:sqref>F2</xm:sqref>
        </x14:dataValidation>
        <x14:dataValidation type="list" allowBlank="1" showInputMessage="1" showErrorMessage="1" xr:uid="{00000000-0002-0000-0F00-00000D000000}">
          <x14:formula1>
            <xm:f>'VLU 2023 &amp; 2024'!$I$144:$I$173</xm:f>
          </x14:formula1>
          <xm:sqref>L5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B2:BB420"/>
  <sheetViews>
    <sheetView topLeftCell="A94" zoomScaleNormal="100" workbookViewId="0">
      <selection activeCell="A417" sqref="A417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30.44140625" style="56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53" width="9.33203125" style="39"/>
    <col min="54" max="54" width="9.6640625" style="39" bestFit="1" customWidth="1"/>
    <col min="55" max="16384" width="9.33203125" style="39"/>
  </cols>
  <sheetData>
    <row r="2" spans="2:54">
      <c r="B2" s="28" t="s">
        <v>126</v>
      </c>
      <c r="C2" s="28"/>
      <c r="D2" s="29"/>
      <c r="E2" s="30" t="s">
        <v>511</v>
      </c>
      <c r="F2" s="31" t="s">
        <v>2420</v>
      </c>
      <c r="G2" s="32"/>
      <c r="H2" s="33"/>
      <c r="I2" s="34"/>
      <c r="J2" s="35" t="s">
        <v>513</v>
      </c>
      <c r="K2" s="36" t="s">
        <v>511</v>
      </c>
      <c r="L2" s="306">
        <f>'VLU 2023 &amp; 2024'!$M$165</f>
        <v>45171.989583333336</v>
      </c>
      <c r="M2" s="32"/>
      <c r="N2" s="32"/>
      <c r="O2" s="206"/>
      <c r="P2" s="205"/>
      <c r="Q2" s="202"/>
      <c r="R2" s="204"/>
      <c r="S2" s="38"/>
      <c r="T2" s="201"/>
      <c r="U2" s="201"/>
      <c r="V2" s="201"/>
      <c r="W2" s="201"/>
      <c r="X2" s="201"/>
      <c r="Y2" s="201"/>
      <c r="Z2" s="201"/>
      <c r="AA2" s="201"/>
      <c r="AB2" s="202"/>
      <c r="AC2" s="202"/>
      <c r="AD2" s="202"/>
      <c r="AE2" s="202"/>
      <c r="AF2" s="202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</row>
    <row r="3" spans="2:54">
      <c r="B3" s="35" t="s">
        <v>514</v>
      </c>
      <c r="C3" s="35"/>
      <c r="D3" s="32"/>
      <c r="E3" s="36" t="s">
        <v>511</v>
      </c>
      <c r="F3" s="311" t="s">
        <v>2407</v>
      </c>
      <c r="G3" s="32"/>
      <c r="H3" s="33"/>
      <c r="I3" s="34"/>
      <c r="J3" s="35" t="s">
        <v>516</v>
      </c>
      <c r="K3" s="36" t="s">
        <v>511</v>
      </c>
      <c r="L3" s="37">
        <f>'VLU 2023 &amp; 2024'!$N$165</f>
        <v>45173.445833333331</v>
      </c>
      <c r="M3" s="32"/>
      <c r="N3" s="32"/>
      <c r="O3" s="206"/>
      <c r="P3" s="205"/>
      <c r="Q3" s="202"/>
      <c r="R3" s="204"/>
      <c r="S3" s="38"/>
      <c r="T3" s="201"/>
      <c r="U3" s="201"/>
      <c r="V3" s="201"/>
      <c r="W3" s="201"/>
      <c r="X3" s="201"/>
      <c r="Y3" s="201"/>
      <c r="Z3" s="201"/>
      <c r="AA3" s="201"/>
      <c r="AB3" s="202"/>
      <c r="AC3" s="202"/>
      <c r="AD3" s="202"/>
      <c r="AE3" s="202"/>
      <c r="AF3" s="202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</row>
    <row r="4" spans="2:54">
      <c r="B4" s="35" t="s">
        <v>517</v>
      </c>
      <c r="C4" s="35"/>
      <c r="D4" s="32"/>
      <c r="E4" s="36" t="s">
        <v>511</v>
      </c>
      <c r="F4" s="37">
        <v>45157.375</v>
      </c>
      <c r="G4" s="32"/>
      <c r="H4" s="33"/>
      <c r="I4" s="34"/>
      <c r="J4" s="35" t="s">
        <v>518</v>
      </c>
      <c r="K4" s="36" t="s">
        <v>511</v>
      </c>
      <c r="L4" s="50">
        <v>73250</v>
      </c>
      <c r="M4" s="40" t="s">
        <v>519</v>
      </c>
      <c r="N4" s="40"/>
      <c r="O4" s="206"/>
      <c r="P4" s="205"/>
      <c r="Q4" s="202"/>
      <c r="R4" s="204"/>
      <c r="S4" s="38"/>
      <c r="T4" s="201"/>
      <c r="U4" s="201"/>
      <c r="V4" s="201"/>
      <c r="W4" s="201"/>
      <c r="X4" s="201"/>
      <c r="Y4" s="201"/>
      <c r="Z4" s="201"/>
      <c r="AA4" s="201"/>
      <c r="AB4" s="202"/>
      <c r="AC4" s="202"/>
      <c r="AD4" s="202"/>
      <c r="AE4" s="202"/>
      <c r="AF4" s="202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</row>
    <row r="5" spans="2:54">
      <c r="B5" s="35" t="s">
        <v>520</v>
      </c>
      <c r="C5" s="35"/>
      <c r="D5" s="32"/>
      <c r="E5" s="36" t="s">
        <v>511</v>
      </c>
      <c r="F5" s="37" t="s">
        <v>20</v>
      </c>
      <c r="G5" s="32"/>
      <c r="H5" s="33"/>
      <c r="I5" s="34"/>
      <c r="J5" s="35" t="s">
        <v>521</v>
      </c>
      <c r="K5" s="36" t="s">
        <v>511</v>
      </c>
      <c r="L5" s="41" t="s">
        <v>2421</v>
      </c>
      <c r="M5" s="32"/>
      <c r="N5" s="32"/>
      <c r="O5" s="206"/>
      <c r="P5" s="202"/>
      <c r="Q5" s="202"/>
      <c r="R5" s="204"/>
      <c r="S5" s="38"/>
      <c r="T5" s="201"/>
      <c r="U5" s="201"/>
      <c r="V5" s="201"/>
      <c r="W5" s="201"/>
      <c r="X5" s="201"/>
      <c r="Y5" s="201"/>
      <c r="Z5" s="201"/>
      <c r="AA5" s="201"/>
      <c r="AB5" s="202"/>
      <c r="AC5" s="202"/>
      <c r="AD5" s="202"/>
      <c r="AE5" s="202"/>
      <c r="AF5" s="202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</row>
    <row r="6" spans="2:54">
      <c r="B6" s="35" t="s">
        <v>523</v>
      </c>
      <c r="C6" s="35"/>
      <c r="D6" s="32"/>
      <c r="E6" s="36" t="s">
        <v>511</v>
      </c>
      <c r="F6" s="37" t="s">
        <v>47</v>
      </c>
      <c r="G6" s="32"/>
      <c r="H6" s="33"/>
      <c r="I6" s="34"/>
      <c r="J6" s="42" t="s">
        <v>524</v>
      </c>
      <c r="K6" s="36" t="s">
        <v>511</v>
      </c>
      <c r="L6" s="43" t="s">
        <v>11</v>
      </c>
      <c r="M6" s="44"/>
      <c r="N6" s="44"/>
      <c r="O6" s="206"/>
      <c r="P6" s="205"/>
      <c r="Q6" s="202"/>
      <c r="R6" s="204"/>
      <c r="S6" s="38"/>
      <c r="T6" s="201"/>
      <c r="U6" s="201"/>
      <c r="V6" s="201"/>
      <c r="W6" s="201"/>
      <c r="X6" s="201"/>
      <c r="Y6" s="201"/>
      <c r="Z6" s="201"/>
      <c r="AA6" s="201"/>
      <c r="AB6" s="202"/>
      <c r="AC6" s="202"/>
      <c r="AD6" s="202"/>
      <c r="AE6" s="202"/>
      <c r="AF6" s="202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</row>
    <row r="7" spans="2:54">
      <c r="B7" s="35" t="s">
        <v>2</v>
      </c>
      <c r="C7" s="35"/>
      <c r="D7" s="32"/>
      <c r="E7" s="36" t="s">
        <v>511</v>
      </c>
      <c r="F7" s="37" t="s">
        <v>14</v>
      </c>
      <c r="G7" s="32"/>
      <c r="H7" s="33"/>
      <c r="I7" s="45"/>
      <c r="J7" s="42"/>
      <c r="K7" s="36"/>
      <c r="L7" s="211"/>
      <c r="M7" s="201"/>
      <c r="N7" s="201"/>
      <c r="O7" s="42"/>
      <c r="P7" s="44"/>
      <c r="Q7" s="44"/>
      <c r="R7" s="44"/>
      <c r="S7" s="34"/>
      <c r="T7" s="201"/>
      <c r="U7" s="201"/>
      <c r="V7" s="201"/>
      <c r="W7" s="201"/>
      <c r="X7" s="201"/>
      <c r="Y7" s="201"/>
      <c r="Z7" s="201"/>
      <c r="AA7" s="201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</row>
    <row r="8" spans="2:54">
      <c r="B8" s="201"/>
      <c r="C8" s="201"/>
      <c r="D8" s="201"/>
      <c r="E8" s="201"/>
      <c r="F8" s="201"/>
      <c r="G8" s="201"/>
      <c r="H8" s="201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65" t="s">
        <v>87</v>
      </c>
      <c r="U8" s="1265"/>
      <c r="V8" s="1265"/>
      <c r="W8" s="1265"/>
      <c r="X8" s="1265"/>
      <c r="Y8" s="1265" t="s">
        <v>73</v>
      </c>
      <c r="Z8" s="1265"/>
      <c r="AA8" s="1265"/>
      <c r="AB8" s="1265" t="s">
        <v>74</v>
      </c>
      <c r="AC8" s="1265"/>
      <c r="AD8" s="423" t="s">
        <v>85</v>
      </c>
      <c r="AE8" s="423" t="s">
        <v>77</v>
      </c>
      <c r="AF8" s="1265" t="s">
        <v>525</v>
      </c>
      <c r="AG8" s="1265"/>
      <c r="AH8" s="1265"/>
      <c r="AI8" s="1265"/>
      <c r="AJ8" s="1265"/>
      <c r="AK8" s="1265"/>
      <c r="AL8" s="1265"/>
      <c r="AM8" s="1265"/>
      <c r="AN8" s="1265"/>
      <c r="AO8" s="1265"/>
      <c r="AP8" s="1265"/>
      <c r="AQ8" s="1265"/>
      <c r="AR8" s="1265"/>
      <c r="AS8" s="1265"/>
      <c r="AT8" s="1265"/>
      <c r="AU8" s="1265"/>
      <c r="AV8" s="1265"/>
      <c r="AW8" s="1265"/>
      <c r="AX8" s="1265"/>
      <c r="AY8" s="1265"/>
      <c r="AZ8" s="1265"/>
      <c r="BA8" s="1265"/>
      <c r="BB8" s="201"/>
    </row>
    <row r="9" spans="2:54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408" t="str">
        <f>"On time - "&amp;COUNTIF(N10:N20,"On time")&amp;" from "&amp;ROWS(N10:N20)-COUNTIF(N10:N20," ")</f>
        <v>On time - 0 from 9</v>
      </c>
      <c r="O9" s="46"/>
      <c r="P9" s="409" t="s">
        <v>534</v>
      </c>
      <c r="Q9" s="409" t="s">
        <v>535</v>
      </c>
      <c r="R9" s="409" t="s">
        <v>536</v>
      </c>
      <c r="S9" s="32"/>
      <c r="T9" s="424" t="s">
        <v>537</v>
      </c>
      <c r="U9" s="424" t="s">
        <v>538</v>
      </c>
      <c r="V9" s="424" t="s">
        <v>539</v>
      </c>
      <c r="W9" s="424" t="s">
        <v>540</v>
      </c>
      <c r="X9" s="424" t="s">
        <v>541</v>
      </c>
      <c r="Y9" s="424" t="s">
        <v>167</v>
      </c>
      <c r="Z9" s="424" t="s">
        <v>168</v>
      </c>
      <c r="AA9" s="424" t="s">
        <v>169</v>
      </c>
      <c r="AB9" s="424" t="s">
        <v>235</v>
      </c>
      <c r="AC9" s="424" t="s">
        <v>240</v>
      </c>
      <c r="AD9" s="423" t="s">
        <v>85</v>
      </c>
      <c r="AE9" s="424" t="s">
        <v>139</v>
      </c>
      <c r="AF9" s="424" t="s">
        <v>72</v>
      </c>
      <c r="AG9" s="424" t="s">
        <v>88</v>
      </c>
      <c r="AH9" s="424" t="s">
        <v>75</v>
      </c>
      <c r="AI9" s="424" t="s">
        <v>543</v>
      </c>
      <c r="AJ9" s="424" t="s">
        <v>78</v>
      </c>
      <c r="AK9" s="424" t="s">
        <v>76</v>
      </c>
      <c r="AL9" s="424" t="s">
        <v>544</v>
      </c>
      <c r="AM9" s="424" t="s">
        <v>545</v>
      </c>
      <c r="AN9" s="424" t="s">
        <v>86</v>
      </c>
      <c r="AO9" s="424" t="s">
        <v>83</v>
      </c>
      <c r="AP9" s="424" t="s">
        <v>84</v>
      </c>
      <c r="AQ9" s="424" t="s">
        <v>546</v>
      </c>
      <c r="AR9" s="424" t="s">
        <v>81</v>
      </c>
      <c r="AS9" s="424" t="s">
        <v>80</v>
      </c>
      <c r="AT9" s="424" t="s">
        <v>82</v>
      </c>
      <c r="AU9" s="424" t="s">
        <v>181</v>
      </c>
      <c r="AV9" s="424" t="s">
        <v>183</v>
      </c>
      <c r="AW9" s="424" t="s">
        <v>547</v>
      </c>
      <c r="AX9" s="424" t="s">
        <v>182</v>
      </c>
      <c r="AY9" s="424" t="s">
        <v>172</v>
      </c>
      <c r="AZ9" s="424" t="s">
        <v>173</v>
      </c>
      <c r="BA9" s="424" t="s">
        <v>184</v>
      </c>
      <c r="BB9" s="201"/>
    </row>
    <row r="10" spans="2:54">
      <c r="B10" s="1256" t="s">
        <v>548</v>
      </c>
      <c r="C10" s="1257"/>
      <c r="D10" s="411" t="s">
        <v>2422</v>
      </c>
      <c r="E10" s="411"/>
      <c r="F10" s="411" t="s">
        <v>686</v>
      </c>
      <c r="G10" s="411" t="s">
        <v>1186</v>
      </c>
      <c r="H10" s="412">
        <v>7446.2860000000001</v>
      </c>
      <c r="I10" s="413" t="s">
        <v>235</v>
      </c>
      <c r="J10" s="414">
        <v>45168.770833333336</v>
      </c>
      <c r="K10" s="414"/>
      <c r="L10" s="414" t="s">
        <v>192</v>
      </c>
      <c r="M10" s="414" t="s">
        <v>192</v>
      </c>
      <c r="N10" s="413" t="str">
        <f>IF(ISBLANK(J10)," ",IF(J10&lt;$F$4,"On time",(IF(DAY(J10-$F$4)&lt;1,"On time",(IF(J10&gt;$F$4,"DELAY ( "&amp;DAY(J10-$F$4)&amp;" day "&amp;HOUR(J10-$F$4)&amp;" hour "&amp;MINUTE(J10-$F$4)&amp;" minute )","xxx"))))))</f>
        <v>DELAY ( 11 day 9 hour 30 minute )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>
        <f>H10</f>
        <v>7446.2860000000001</v>
      </c>
      <c r="AC10" s="416"/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/>
      <c r="AQ10" s="416"/>
      <c r="AR10" s="416"/>
      <c r="AS10" s="416"/>
      <c r="AT10" s="416"/>
      <c r="AU10" s="416"/>
      <c r="AV10" s="416"/>
      <c r="AW10" s="416"/>
      <c r="AX10" s="416"/>
      <c r="AY10" s="416"/>
      <c r="AZ10" s="416"/>
      <c r="BA10" s="416"/>
      <c r="BB10" s="32"/>
    </row>
    <row r="11" spans="2:54">
      <c r="B11" s="1256" t="s">
        <v>548</v>
      </c>
      <c r="C11" s="1257"/>
      <c r="D11" s="411" t="s">
        <v>2423</v>
      </c>
      <c r="E11" s="411"/>
      <c r="F11" s="411" t="s">
        <v>271</v>
      </c>
      <c r="G11" s="411" t="s">
        <v>272</v>
      </c>
      <c r="H11" s="412">
        <v>8850.2860000000001</v>
      </c>
      <c r="I11" s="413" t="s">
        <v>235</v>
      </c>
      <c r="J11" s="414">
        <v>45168.034722222219</v>
      </c>
      <c r="K11" s="414"/>
      <c r="L11" s="414" t="s">
        <v>192</v>
      </c>
      <c r="M11" s="414" t="s">
        <v>192</v>
      </c>
      <c r="N11" s="413" t="str">
        <f t="shared" ref="N11:N20" si="0">IF(ISBLANK(J11)," ",IF(J11&lt;$F$4,"On time",(IF(DAY(J11-$F$4)&lt;1,"On time",(IF(J11&gt;$F$4,"DELAY ( "&amp;DAY(J11-$F$4)&amp;" day "&amp;HOUR(J11-$F$4)&amp;" hour "&amp;MINUTE(J11-$F$4)&amp;" minute )","xxx"))))))</f>
        <v>DELAY ( 10 day 15 hour 50 minute )</v>
      </c>
      <c r="O11" s="51"/>
      <c r="P11" s="415" t="s">
        <v>551</v>
      </c>
      <c r="Q11" s="415" t="s">
        <v>551</v>
      </c>
      <c r="R11" s="415" t="s">
        <v>551</v>
      </c>
      <c r="S11" s="32"/>
      <c r="T11" s="416"/>
      <c r="U11" s="416"/>
      <c r="V11" s="416"/>
      <c r="W11" s="416"/>
      <c r="X11" s="416"/>
      <c r="Y11" s="416"/>
      <c r="Z11" s="416"/>
      <c r="AA11" s="416"/>
      <c r="AB11" s="416">
        <f>H11</f>
        <v>8850.2860000000001</v>
      </c>
      <c r="AC11" s="416"/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6"/>
      <c r="AQ11" s="416"/>
      <c r="AR11" s="416"/>
      <c r="AS11" s="416"/>
      <c r="AT11" s="416"/>
      <c r="AU11" s="416"/>
      <c r="AV11" s="416"/>
      <c r="AW11" s="416"/>
      <c r="AX11" s="416"/>
      <c r="AY11" s="416"/>
      <c r="AZ11" s="416"/>
      <c r="BA11" s="416"/>
      <c r="BB11" s="32"/>
    </row>
    <row r="12" spans="2:54">
      <c r="B12" s="1256" t="s">
        <v>548</v>
      </c>
      <c r="C12" s="1257"/>
      <c r="D12" s="411" t="s">
        <v>2424</v>
      </c>
      <c r="E12" s="411"/>
      <c r="F12" s="411" t="s">
        <v>377</v>
      </c>
      <c r="G12" s="411" t="s">
        <v>378</v>
      </c>
      <c r="H12" s="412">
        <v>7532.7730000000001</v>
      </c>
      <c r="I12" s="413" t="s">
        <v>235</v>
      </c>
      <c r="J12" s="414">
        <v>45168.583333333336</v>
      </c>
      <c r="K12" s="414"/>
      <c r="L12" s="414" t="s">
        <v>192</v>
      </c>
      <c r="M12" s="414" t="s">
        <v>192</v>
      </c>
      <c r="N12" s="413" t="str">
        <f t="shared" si="0"/>
        <v>DELAY ( 11 day 5 hour 0 minute )</v>
      </c>
      <c r="O12" s="51"/>
      <c r="P12" s="415" t="s">
        <v>551</v>
      </c>
      <c r="Q12" s="415" t="s">
        <v>551</v>
      </c>
      <c r="R12" s="415" t="s">
        <v>551</v>
      </c>
      <c r="S12" s="32"/>
      <c r="T12" s="416"/>
      <c r="U12" s="416"/>
      <c r="V12" s="416"/>
      <c r="W12" s="416"/>
      <c r="X12" s="416"/>
      <c r="Y12" s="416"/>
      <c r="Z12" s="416"/>
      <c r="AA12" s="416"/>
      <c r="AB12" s="416">
        <f>H12</f>
        <v>7532.7730000000001</v>
      </c>
      <c r="AC12" s="416"/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/>
      <c r="AQ12" s="416"/>
      <c r="AR12" s="416"/>
      <c r="AS12" s="416"/>
      <c r="AT12" s="416"/>
      <c r="AU12" s="416"/>
      <c r="AV12" s="416"/>
      <c r="AW12" s="416"/>
      <c r="AX12" s="416"/>
      <c r="AY12" s="416"/>
      <c r="AZ12" s="416"/>
      <c r="BA12" s="416"/>
      <c r="BB12" s="32"/>
    </row>
    <row r="13" spans="2:54">
      <c r="B13" s="1256" t="s">
        <v>548</v>
      </c>
      <c r="C13" s="1257"/>
      <c r="D13" s="411" t="s">
        <v>2425</v>
      </c>
      <c r="E13" s="411"/>
      <c r="F13" s="411" t="s">
        <v>355</v>
      </c>
      <c r="G13" s="411" t="s">
        <v>356</v>
      </c>
      <c r="H13" s="412">
        <v>7481.1779999999999</v>
      </c>
      <c r="I13" s="413" t="s">
        <v>235</v>
      </c>
      <c r="J13" s="414">
        <v>45168.322916666664</v>
      </c>
      <c r="K13" s="414"/>
      <c r="L13" s="414" t="s">
        <v>192</v>
      </c>
      <c r="M13" s="414" t="s">
        <v>192</v>
      </c>
      <c r="N13" s="413" t="str">
        <f t="shared" si="0"/>
        <v>DELAY ( 10 day 22 hour 45 minute )</v>
      </c>
      <c r="O13" s="51"/>
      <c r="P13" s="415" t="s">
        <v>551</v>
      </c>
      <c r="Q13" s="415" t="s">
        <v>551</v>
      </c>
      <c r="R13" s="415" t="s">
        <v>551</v>
      </c>
      <c r="S13" s="32"/>
      <c r="T13" s="416"/>
      <c r="U13" s="416"/>
      <c r="V13" s="416"/>
      <c r="W13" s="416"/>
      <c r="X13" s="416"/>
      <c r="Y13" s="416"/>
      <c r="Z13" s="416"/>
      <c r="AA13" s="416"/>
      <c r="AB13" s="416">
        <f t="shared" ref="AB13" si="1">H13</f>
        <v>7481.1779999999999</v>
      </c>
      <c r="AC13" s="416"/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416"/>
      <c r="BA13" s="416"/>
      <c r="BB13" s="32"/>
    </row>
    <row r="14" spans="2:54">
      <c r="B14" s="1294" t="s">
        <v>548</v>
      </c>
      <c r="C14" s="1295"/>
      <c r="D14" s="436" t="s">
        <v>2426</v>
      </c>
      <c r="E14" s="436"/>
      <c r="F14" s="436" t="s">
        <v>352</v>
      </c>
      <c r="G14" s="436" t="s">
        <v>353</v>
      </c>
      <c r="H14" s="437">
        <v>9315.1170000000002</v>
      </c>
      <c r="I14" s="438" t="s">
        <v>494</v>
      </c>
      <c r="J14" s="439">
        <v>45168.659722222219</v>
      </c>
      <c r="K14" s="439"/>
      <c r="L14" s="439" t="s">
        <v>192</v>
      </c>
      <c r="M14" s="439" t="s">
        <v>192</v>
      </c>
      <c r="N14" s="413" t="str">
        <f t="shared" si="0"/>
        <v>DELAY ( 11 day 6 hour 50 minute )</v>
      </c>
      <c r="O14" s="308"/>
      <c r="P14" s="440" t="s">
        <v>551</v>
      </c>
      <c r="Q14" s="440" t="s">
        <v>551</v>
      </c>
      <c r="R14" s="440" t="s">
        <v>551</v>
      </c>
      <c r="S14" s="201"/>
      <c r="T14" s="441"/>
      <c r="U14" s="441"/>
      <c r="V14" s="441"/>
      <c r="W14" s="441"/>
      <c r="X14" s="441"/>
      <c r="Y14" s="441">
        <f>H14</f>
        <v>9315.1170000000002</v>
      </c>
      <c r="Z14" s="441"/>
      <c r="AA14" s="441"/>
      <c r="AB14" s="441"/>
      <c r="AC14" s="441"/>
      <c r="AD14" s="441"/>
      <c r="AE14" s="441"/>
      <c r="AF14" s="441"/>
      <c r="AG14" s="441"/>
      <c r="AH14" s="441"/>
      <c r="AI14" s="441"/>
      <c r="AJ14" s="441"/>
      <c r="AK14" s="441"/>
      <c r="AL14" s="441"/>
      <c r="AM14" s="441"/>
      <c r="AN14" s="441"/>
      <c r="AO14" s="441"/>
      <c r="AP14" s="441"/>
      <c r="AQ14" s="441"/>
      <c r="AR14" s="441"/>
      <c r="AS14" s="441"/>
      <c r="AT14" s="441"/>
      <c r="AU14" s="441"/>
      <c r="AV14" s="441"/>
      <c r="AW14" s="441"/>
      <c r="AX14" s="441"/>
      <c r="AY14" s="441"/>
      <c r="AZ14" s="441"/>
      <c r="BA14" s="441"/>
      <c r="BB14" s="201"/>
    </row>
    <row r="15" spans="2:54">
      <c r="B15" s="1294" t="s">
        <v>548</v>
      </c>
      <c r="C15" s="1295"/>
      <c r="D15" s="436" t="s">
        <v>2427</v>
      </c>
      <c r="E15" s="436"/>
      <c r="F15" s="436" t="s">
        <v>2295</v>
      </c>
      <c r="G15" s="436" t="s">
        <v>2296</v>
      </c>
      <c r="H15" s="437">
        <v>10233.325000000001</v>
      </c>
      <c r="I15" s="438" t="s">
        <v>494</v>
      </c>
      <c r="J15" s="439">
        <v>45169.263888888891</v>
      </c>
      <c r="K15" s="439"/>
      <c r="L15" s="439" t="s">
        <v>192</v>
      </c>
      <c r="M15" s="439" t="s">
        <v>192</v>
      </c>
      <c r="N15" s="413" t="str">
        <f t="shared" si="0"/>
        <v>DELAY ( 11 day 21 hour 20 minute )</v>
      </c>
      <c r="O15" s="308"/>
      <c r="P15" s="440" t="s">
        <v>551</v>
      </c>
      <c r="Q15" s="440" t="s">
        <v>551</v>
      </c>
      <c r="R15" s="440" t="s">
        <v>551</v>
      </c>
      <c r="S15" s="201"/>
      <c r="T15" s="441"/>
      <c r="U15" s="441"/>
      <c r="V15" s="441"/>
      <c r="W15" s="441"/>
      <c r="X15" s="441"/>
      <c r="Y15" s="441">
        <f t="shared" ref="Y15" si="2">H15</f>
        <v>10233.325000000001</v>
      </c>
      <c r="Z15" s="441"/>
      <c r="AA15" s="441"/>
      <c r="AB15" s="441"/>
      <c r="AC15" s="441"/>
      <c r="AD15" s="441"/>
      <c r="AE15" s="441"/>
      <c r="AF15" s="441"/>
      <c r="AG15" s="441"/>
      <c r="AH15" s="441"/>
      <c r="AI15" s="441"/>
      <c r="AJ15" s="441"/>
      <c r="AK15" s="441"/>
      <c r="AL15" s="441"/>
      <c r="AM15" s="441"/>
      <c r="AN15" s="441"/>
      <c r="AO15" s="441"/>
      <c r="AP15" s="441"/>
      <c r="AQ15" s="441"/>
      <c r="AR15" s="441"/>
      <c r="AS15" s="441"/>
      <c r="AT15" s="441"/>
      <c r="AU15" s="441"/>
      <c r="AV15" s="441"/>
      <c r="AW15" s="441"/>
      <c r="AX15" s="441"/>
      <c r="AY15" s="441"/>
      <c r="AZ15" s="441"/>
      <c r="BA15" s="441"/>
      <c r="BB15" s="201"/>
    </row>
    <row r="16" spans="2:54">
      <c r="B16" s="1294" t="s">
        <v>548</v>
      </c>
      <c r="C16" s="1295"/>
      <c r="D16" s="436" t="s">
        <v>2428</v>
      </c>
      <c r="E16" s="436"/>
      <c r="F16" s="436" t="s">
        <v>721</v>
      </c>
      <c r="G16" s="436" t="s">
        <v>1349</v>
      </c>
      <c r="H16" s="437">
        <v>7486.424</v>
      </c>
      <c r="I16" s="438" t="s">
        <v>494</v>
      </c>
      <c r="J16" s="439">
        <v>45169.572916666664</v>
      </c>
      <c r="K16" s="439"/>
      <c r="L16" s="439" t="s">
        <v>192</v>
      </c>
      <c r="M16" s="439" t="s">
        <v>192</v>
      </c>
      <c r="N16" s="413" t="str">
        <f t="shared" si="0"/>
        <v>DELAY ( 12 day 4 hour 45 minute )</v>
      </c>
      <c r="O16" s="308"/>
      <c r="P16" s="440" t="s">
        <v>551</v>
      </c>
      <c r="Q16" s="440" t="s">
        <v>551</v>
      </c>
      <c r="R16" s="440" t="s">
        <v>551</v>
      </c>
      <c r="S16" s="201"/>
      <c r="T16" s="441"/>
      <c r="U16" s="441"/>
      <c r="V16" s="441"/>
      <c r="W16" s="441"/>
      <c r="X16" s="441"/>
      <c r="Y16" s="441">
        <f>H16</f>
        <v>7486.424</v>
      </c>
      <c r="Z16" s="441"/>
      <c r="AA16" s="441"/>
      <c r="AB16" s="441"/>
      <c r="AC16" s="441"/>
      <c r="AD16" s="441"/>
      <c r="AE16" s="441"/>
      <c r="AF16" s="441"/>
      <c r="AG16" s="441"/>
      <c r="AH16" s="441"/>
      <c r="AI16" s="441"/>
      <c r="AJ16" s="441"/>
      <c r="AK16" s="441"/>
      <c r="AL16" s="441"/>
      <c r="AM16" s="441"/>
      <c r="AN16" s="441"/>
      <c r="AO16" s="441"/>
      <c r="AP16" s="441"/>
      <c r="AQ16" s="441"/>
      <c r="AR16" s="441"/>
      <c r="AS16" s="441"/>
      <c r="AT16" s="441"/>
      <c r="AU16" s="441"/>
      <c r="AV16" s="441"/>
      <c r="AW16" s="441"/>
      <c r="AX16" s="441"/>
      <c r="AY16" s="441"/>
      <c r="AZ16" s="441"/>
      <c r="BA16" s="441"/>
      <c r="BB16" s="201"/>
    </row>
    <row r="17" spans="2:54">
      <c r="B17" s="1294" t="s">
        <v>548</v>
      </c>
      <c r="C17" s="1295"/>
      <c r="D17" s="436" t="s">
        <v>2429</v>
      </c>
      <c r="E17" s="436"/>
      <c r="F17" s="436" t="s">
        <v>226</v>
      </c>
      <c r="G17" s="436" t="s">
        <v>227</v>
      </c>
      <c r="H17" s="437">
        <v>7537.0079999999998</v>
      </c>
      <c r="I17" s="438" t="s">
        <v>494</v>
      </c>
      <c r="J17" s="439">
        <v>45169.798611111109</v>
      </c>
      <c r="K17" s="439"/>
      <c r="L17" s="439" t="s">
        <v>192</v>
      </c>
      <c r="M17" s="439" t="s">
        <v>192</v>
      </c>
      <c r="N17" s="413" t="str">
        <f t="shared" si="0"/>
        <v>DELAY ( 12 day 10 hour 10 minute )</v>
      </c>
      <c r="O17" s="308"/>
      <c r="P17" s="440" t="s">
        <v>551</v>
      </c>
      <c r="Q17" s="440" t="s">
        <v>551</v>
      </c>
      <c r="R17" s="440" t="s">
        <v>551</v>
      </c>
      <c r="S17" s="201"/>
      <c r="T17" s="441"/>
      <c r="U17" s="441"/>
      <c r="V17" s="441"/>
      <c r="W17" s="441"/>
      <c r="X17" s="441"/>
      <c r="Y17" s="441">
        <f>H17</f>
        <v>7537.0079999999998</v>
      </c>
      <c r="Z17" s="441"/>
      <c r="AA17" s="441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201"/>
    </row>
    <row r="18" spans="2:54">
      <c r="B18" s="1256" t="s">
        <v>548</v>
      </c>
      <c r="C18" s="1257"/>
      <c r="D18" s="411" t="s">
        <v>2430</v>
      </c>
      <c r="E18" s="411"/>
      <c r="F18" s="411" t="s">
        <v>1767</v>
      </c>
      <c r="G18" s="411" t="s">
        <v>2352</v>
      </c>
      <c r="H18" s="412">
        <f>7667.298-299.694999999992</f>
        <v>7367.6030000000083</v>
      </c>
      <c r="I18" s="413" t="s">
        <v>494</v>
      </c>
      <c r="J18" s="414">
        <v>45170.899305555555</v>
      </c>
      <c r="K18" s="414"/>
      <c r="L18" s="439" t="s">
        <v>192</v>
      </c>
      <c r="M18" s="439" t="s">
        <v>192</v>
      </c>
      <c r="N18" s="413" t="str">
        <f t="shared" si="0"/>
        <v>DELAY ( 13 day 12 hour 35 minute )</v>
      </c>
      <c r="O18" s="51"/>
      <c r="P18" s="415" t="s">
        <v>551</v>
      </c>
      <c r="Q18" s="415" t="s">
        <v>551</v>
      </c>
      <c r="R18" s="415" t="s">
        <v>551</v>
      </c>
      <c r="S18" s="32"/>
      <c r="T18" s="416"/>
      <c r="U18" s="416"/>
      <c r="V18" s="416"/>
      <c r="W18" s="416"/>
      <c r="X18" s="416"/>
      <c r="Y18" s="416">
        <f>H18-H22</f>
        <v>7367.6030000000083</v>
      </c>
      <c r="Z18" s="416"/>
      <c r="AA18" s="416"/>
      <c r="AB18" s="416"/>
      <c r="AC18" s="416"/>
      <c r="AD18" s="416"/>
      <c r="AE18" s="416"/>
      <c r="AF18" s="416"/>
      <c r="AG18" s="416"/>
      <c r="AH18" s="416"/>
      <c r="AI18" s="416"/>
      <c r="AJ18" s="416"/>
      <c r="AK18" s="416"/>
      <c r="AL18" s="416"/>
      <c r="AM18" s="416"/>
      <c r="AN18" s="416"/>
      <c r="AO18" s="416"/>
      <c r="AP18" s="416"/>
      <c r="AQ18" s="416"/>
      <c r="AR18" s="416"/>
      <c r="AS18" s="416"/>
      <c r="AT18" s="416"/>
      <c r="AU18" s="416"/>
      <c r="AV18" s="416"/>
      <c r="AW18" s="416"/>
      <c r="AX18" s="416"/>
      <c r="AY18" s="416"/>
      <c r="AZ18" s="416"/>
      <c r="BA18" s="416"/>
      <c r="BB18" s="32"/>
    </row>
    <row r="19" spans="2:54">
      <c r="B19" s="1258" t="s">
        <v>556</v>
      </c>
      <c r="C19" s="1259"/>
      <c r="D19" s="1259"/>
      <c r="E19" s="1259"/>
      <c r="F19" s="1259"/>
      <c r="G19" s="1260"/>
      <c r="H19" s="417">
        <f>SUM(H10:H18)</f>
        <v>73250</v>
      </c>
      <c r="I19" s="388"/>
      <c r="J19" s="293"/>
      <c r="K19" s="293"/>
      <c r="L19" s="293"/>
      <c r="M19" s="389"/>
      <c r="N19" s="413" t="str">
        <f t="shared" si="0"/>
        <v xml:space="preserve"> </v>
      </c>
      <c r="O19" s="212"/>
      <c r="P19" s="418"/>
      <c r="Q19" s="418"/>
      <c r="R19" s="418"/>
      <c r="S19" s="207"/>
      <c r="T19" s="1300"/>
      <c r="U19" s="1301"/>
      <c r="V19" s="1301"/>
      <c r="W19" s="1301"/>
      <c r="X19" s="1301"/>
      <c r="Y19" s="1301"/>
      <c r="Z19" s="1301"/>
      <c r="AA19" s="1301"/>
      <c r="AB19" s="1301"/>
      <c r="AC19" s="1301"/>
      <c r="AD19" s="1301"/>
      <c r="AE19" s="1301"/>
      <c r="AF19" s="1301"/>
      <c r="AG19" s="1301"/>
      <c r="AH19" s="1301"/>
      <c r="AI19" s="1301"/>
      <c r="AJ19" s="1301"/>
      <c r="AK19" s="1301"/>
      <c r="AL19" s="1301"/>
      <c r="AM19" s="1301"/>
      <c r="AN19" s="1301"/>
      <c r="AO19" s="1301"/>
      <c r="AP19" s="1301"/>
      <c r="AQ19" s="1301"/>
      <c r="AR19" s="1301"/>
      <c r="AS19" s="1301"/>
      <c r="AT19" s="1301"/>
      <c r="AU19" s="1301"/>
      <c r="AV19" s="1301"/>
      <c r="AW19" s="1301"/>
      <c r="AX19" s="1301"/>
      <c r="AY19" s="1301"/>
      <c r="AZ19" s="1301"/>
      <c r="BA19" s="1301"/>
    </row>
    <row r="20" spans="2:54">
      <c r="B20" s="1243" t="s">
        <v>557</v>
      </c>
      <c r="C20" s="1244"/>
      <c r="D20" s="1244"/>
      <c r="E20" s="1244"/>
      <c r="F20" s="1244"/>
      <c r="G20" s="1245"/>
      <c r="H20" s="419">
        <v>73250</v>
      </c>
      <c r="I20" s="1273"/>
      <c r="J20" s="1274"/>
      <c r="K20" s="1274"/>
      <c r="L20" s="1274"/>
      <c r="M20" s="1275"/>
      <c r="N20" s="413" t="str">
        <f t="shared" si="0"/>
        <v xml:space="preserve"> </v>
      </c>
      <c r="O20" s="32"/>
      <c r="P20" s="415"/>
      <c r="Q20" s="415"/>
      <c r="R20" s="415"/>
      <c r="S20" s="63"/>
      <c r="T20" s="416">
        <f t="shared" ref="T20:BA20" si="3">SUM(T10:T18)</f>
        <v>0</v>
      </c>
      <c r="U20" s="416">
        <f t="shared" si="3"/>
        <v>0</v>
      </c>
      <c r="V20" s="416">
        <f t="shared" si="3"/>
        <v>0</v>
      </c>
      <c r="W20" s="416">
        <f t="shared" si="3"/>
        <v>0</v>
      </c>
      <c r="X20" s="416">
        <f t="shared" si="3"/>
        <v>0</v>
      </c>
      <c r="Y20" s="416">
        <f t="shared" si="3"/>
        <v>41939.477000000014</v>
      </c>
      <c r="Z20" s="416">
        <f t="shared" si="3"/>
        <v>0</v>
      </c>
      <c r="AA20" s="416">
        <f t="shared" si="3"/>
        <v>0</v>
      </c>
      <c r="AB20" s="416">
        <f t="shared" si="3"/>
        <v>31310.523000000001</v>
      </c>
      <c r="AC20" s="416">
        <f t="shared" si="3"/>
        <v>0</v>
      </c>
      <c r="AD20" s="416">
        <f t="shared" si="3"/>
        <v>0</v>
      </c>
      <c r="AE20" s="416">
        <f t="shared" si="3"/>
        <v>0</v>
      </c>
      <c r="AF20" s="416">
        <f t="shared" si="3"/>
        <v>0</v>
      </c>
      <c r="AG20" s="416">
        <f t="shared" si="3"/>
        <v>0</v>
      </c>
      <c r="AH20" s="416">
        <f t="shared" si="3"/>
        <v>0</v>
      </c>
      <c r="AI20" s="416">
        <f t="shared" si="3"/>
        <v>0</v>
      </c>
      <c r="AJ20" s="416">
        <f t="shared" si="3"/>
        <v>0</v>
      </c>
      <c r="AK20" s="416">
        <f t="shared" si="3"/>
        <v>0</v>
      </c>
      <c r="AL20" s="416">
        <f t="shared" si="3"/>
        <v>0</v>
      </c>
      <c r="AM20" s="416">
        <f t="shared" si="3"/>
        <v>0</v>
      </c>
      <c r="AN20" s="416">
        <f t="shared" si="3"/>
        <v>0</v>
      </c>
      <c r="AO20" s="416">
        <f t="shared" si="3"/>
        <v>0</v>
      </c>
      <c r="AP20" s="416">
        <f t="shared" si="3"/>
        <v>0</v>
      </c>
      <c r="AQ20" s="416">
        <f t="shared" si="3"/>
        <v>0</v>
      </c>
      <c r="AR20" s="416">
        <f t="shared" si="3"/>
        <v>0</v>
      </c>
      <c r="AS20" s="416">
        <f t="shared" si="3"/>
        <v>0</v>
      </c>
      <c r="AT20" s="416">
        <f t="shared" si="3"/>
        <v>0</v>
      </c>
      <c r="AU20" s="416">
        <f t="shared" si="3"/>
        <v>0</v>
      </c>
      <c r="AV20" s="416">
        <f t="shared" si="3"/>
        <v>0</v>
      </c>
      <c r="AW20" s="416">
        <f t="shared" si="3"/>
        <v>0</v>
      </c>
      <c r="AX20" s="416">
        <f t="shared" si="3"/>
        <v>0</v>
      </c>
      <c r="AY20" s="416">
        <f t="shared" si="3"/>
        <v>0</v>
      </c>
      <c r="AZ20" s="416">
        <f t="shared" si="3"/>
        <v>0</v>
      </c>
      <c r="BA20" s="416">
        <f t="shared" si="3"/>
        <v>0</v>
      </c>
      <c r="BB20" s="416">
        <f>SUM(T20:BA20)</f>
        <v>73250.000000000015</v>
      </c>
    </row>
    <row r="21" spans="2:54">
      <c r="B21" s="1243" t="s">
        <v>558</v>
      </c>
      <c r="C21" s="1244"/>
      <c r="D21" s="1244"/>
      <c r="E21" s="1244"/>
      <c r="F21" s="1244"/>
      <c r="G21" s="1245"/>
      <c r="H21" s="420">
        <f>H20-L4</f>
        <v>0</v>
      </c>
      <c r="I21" s="294"/>
      <c r="J21" s="295"/>
      <c r="K21" s="295"/>
      <c r="L21" s="296"/>
      <c r="M21" s="32"/>
      <c r="N21" s="32"/>
      <c r="O21" s="32"/>
      <c r="P21" s="32"/>
      <c r="Q21" s="297"/>
      <c r="R21" s="297"/>
      <c r="S21" s="32"/>
      <c r="T21" s="48"/>
      <c r="U21" s="48"/>
      <c r="V21" s="48"/>
      <c r="W21" s="48"/>
      <c r="X21" s="48"/>
      <c r="Y21" s="48"/>
      <c r="Z21" s="48"/>
      <c r="AA21" s="48"/>
      <c r="AB21" s="48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spans="2:54">
      <c r="B22" s="1243" t="s">
        <v>559</v>
      </c>
      <c r="C22" s="1244"/>
      <c r="D22" s="1244"/>
      <c r="E22" s="1244"/>
      <c r="F22" s="1244"/>
      <c r="G22" s="1245"/>
      <c r="H22" s="446">
        <v>0</v>
      </c>
      <c r="I22" s="52"/>
      <c r="J22" s="53"/>
      <c r="K22" s="53"/>
      <c r="L22" s="54"/>
      <c r="M22" s="32"/>
      <c r="N22" s="201"/>
      <c r="O22" s="32"/>
      <c r="P22" s="32"/>
      <c r="Q22" s="32"/>
      <c r="R22" s="32"/>
      <c r="S22" s="32"/>
      <c r="T22" s="48"/>
      <c r="U22" s="48"/>
      <c r="V22" s="48"/>
      <c r="W22" s="48"/>
      <c r="X22" s="48"/>
      <c r="Y22" s="48"/>
      <c r="Z22" s="48"/>
      <c r="AA22" s="48"/>
      <c r="AB22" s="48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</row>
    <row r="23" spans="2:54">
      <c r="B23" s="1243" t="s">
        <v>560</v>
      </c>
      <c r="C23" s="1244"/>
      <c r="D23" s="1244"/>
      <c r="E23" s="1244"/>
      <c r="F23" s="1244"/>
      <c r="G23" s="1245"/>
      <c r="H23" s="421">
        <f>H22-299.694999999992</f>
        <v>-299.69499999999198</v>
      </c>
      <c r="I23" s="52"/>
      <c r="J23" s="53"/>
      <c r="K23" s="53"/>
      <c r="L23" s="54"/>
      <c r="M23" s="32"/>
      <c r="N23" s="32"/>
      <c r="O23" s="32"/>
      <c r="P23" s="32"/>
      <c r="Q23" s="32"/>
      <c r="R23" s="32"/>
      <c r="S23" s="48"/>
      <c r="T23" s="48"/>
      <c r="U23" s="48"/>
      <c r="V23" s="48"/>
      <c r="W23" s="48"/>
      <c r="X23" s="48"/>
      <c r="Y23" s="48"/>
      <c r="Z23" s="48"/>
      <c r="AA23" s="48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</row>
    <row r="24" spans="2:54">
      <c r="B24" s="201"/>
      <c r="C24" s="201"/>
      <c r="D24" s="201"/>
      <c r="E24" s="201"/>
      <c r="F24" s="201"/>
      <c r="G24" s="201"/>
      <c r="H24" s="201"/>
      <c r="I24" s="213"/>
      <c r="J24" s="209"/>
      <c r="K24" s="209"/>
      <c r="L24" s="203"/>
      <c r="M24" s="201"/>
      <c r="N24" s="201"/>
      <c r="O24" s="209"/>
      <c r="P24" s="32"/>
      <c r="Q24" s="32"/>
      <c r="R24" s="32"/>
      <c r="S24" s="32"/>
      <c r="T24" s="48"/>
      <c r="U24" s="48"/>
      <c r="V24" s="48"/>
      <c r="W24" s="48"/>
      <c r="X24" s="48"/>
      <c r="Y24" s="48"/>
      <c r="Z24" s="48"/>
      <c r="AA24" s="48"/>
      <c r="AB24" s="48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</row>
    <row r="25" spans="2:54">
      <c r="B25" s="40" t="s">
        <v>561</v>
      </c>
      <c r="C25" s="40"/>
      <c r="D25" s="32"/>
      <c r="E25" s="32"/>
      <c r="F25" s="32"/>
      <c r="G25" s="32"/>
      <c r="H25" s="32"/>
      <c r="I25" s="32"/>
      <c r="J25" s="52"/>
      <c r="K25" s="52"/>
      <c r="L25" s="55"/>
      <c r="M25" s="32"/>
      <c r="N25" s="201"/>
      <c r="O25" s="5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  <c r="AT25" s="201"/>
      <c r="AU25" s="201"/>
      <c r="BB25" s="201"/>
    </row>
    <row r="26" spans="2:54">
      <c r="B26" s="422"/>
      <c r="C26" s="1249"/>
      <c r="D26" s="1249"/>
      <c r="E26" s="1249"/>
      <c r="F26" s="1249"/>
      <c r="G26" s="1249"/>
      <c r="H26" s="1249"/>
      <c r="I26" s="1249"/>
      <c r="J26" s="1249"/>
      <c r="K26" s="1249"/>
      <c r="L26" s="203"/>
      <c r="M26" s="203"/>
      <c r="N26" s="201"/>
      <c r="O26" s="209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</row>
    <row r="28" spans="2:54">
      <c r="B28" s="28" t="s">
        <v>126</v>
      </c>
      <c r="C28" s="28"/>
      <c r="D28" s="29"/>
      <c r="E28" s="30" t="s">
        <v>511</v>
      </c>
      <c r="F28" s="31" t="s">
        <v>2431</v>
      </c>
      <c r="G28" s="32"/>
      <c r="H28" s="33"/>
      <c r="I28" s="34"/>
      <c r="J28" s="35" t="s">
        <v>513</v>
      </c>
      <c r="K28" s="36" t="s">
        <v>511</v>
      </c>
      <c r="L28" s="306">
        <f>'VLU 2023 &amp; 2024'!$M$166</f>
        <v>45171.5625</v>
      </c>
      <c r="M28" s="32"/>
      <c r="N28" s="32"/>
      <c r="O28" s="206"/>
      <c r="P28" s="205"/>
      <c r="Q28" s="202"/>
      <c r="R28" s="204"/>
      <c r="S28" s="38"/>
      <c r="T28" s="201"/>
      <c r="U28" s="201"/>
      <c r="V28" s="201"/>
      <c r="W28" s="201"/>
      <c r="X28" s="201"/>
      <c r="Y28" s="201"/>
      <c r="Z28" s="201"/>
      <c r="AA28" s="201"/>
      <c r="AB28" s="202"/>
      <c r="AC28" s="202"/>
      <c r="AD28" s="202"/>
      <c r="AE28" s="202"/>
      <c r="AF28" s="202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  <c r="BB28" s="201"/>
    </row>
    <row r="29" spans="2:54">
      <c r="B29" s="35" t="s">
        <v>514</v>
      </c>
      <c r="C29" s="35"/>
      <c r="D29" s="32"/>
      <c r="E29" s="36" t="s">
        <v>511</v>
      </c>
      <c r="F29" s="311" t="s">
        <v>2432</v>
      </c>
      <c r="G29" s="32"/>
      <c r="H29" s="33"/>
      <c r="I29" s="34"/>
      <c r="J29" s="35" t="s">
        <v>516</v>
      </c>
      <c r="K29" s="36" t="s">
        <v>511</v>
      </c>
      <c r="L29" s="37">
        <v>45173.625</v>
      </c>
      <c r="M29" s="32"/>
      <c r="N29" s="32"/>
      <c r="O29" s="206"/>
      <c r="P29" s="205"/>
      <c r="Q29" s="202"/>
      <c r="R29" s="204"/>
      <c r="S29" s="38"/>
      <c r="T29" s="201"/>
      <c r="U29" s="201"/>
      <c r="V29" s="201"/>
      <c r="W29" s="201"/>
      <c r="X29" s="201"/>
      <c r="Y29" s="201"/>
      <c r="Z29" s="201"/>
      <c r="AA29" s="201"/>
      <c r="AB29" s="202"/>
      <c r="AC29" s="202"/>
      <c r="AD29" s="202"/>
      <c r="AE29" s="202"/>
      <c r="AF29" s="202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</row>
    <row r="30" spans="2:54">
      <c r="B30" s="35" t="s">
        <v>517</v>
      </c>
      <c r="C30" s="35"/>
      <c r="D30" s="32"/>
      <c r="E30" s="36" t="s">
        <v>511</v>
      </c>
      <c r="F30" s="37">
        <v>45158.4375</v>
      </c>
      <c r="G30" s="32"/>
      <c r="H30" s="33"/>
      <c r="I30" s="34"/>
      <c r="J30" s="35" t="s">
        <v>518</v>
      </c>
      <c r="K30" s="36" t="s">
        <v>511</v>
      </c>
      <c r="L30" s="50">
        <v>69400</v>
      </c>
      <c r="M30" s="40" t="s">
        <v>519</v>
      </c>
      <c r="N30" s="40"/>
      <c r="O30" s="206"/>
      <c r="P30" s="205"/>
      <c r="Q30" s="202"/>
      <c r="R30" s="204"/>
      <c r="S30" s="38"/>
      <c r="T30" s="201"/>
      <c r="U30" s="201"/>
      <c r="V30" s="201"/>
      <c r="W30" s="201"/>
      <c r="X30" s="201"/>
      <c r="Y30" s="201"/>
      <c r="Z30" s="201"/>
      <c r="AA30" s="201"/>
      <c r="AB30" s="202"/>
      <c r="AC30" s="202"/>
      <c r="AD30" s="202"/>
      <c r="AE30" s="202"/>
      <c r="AF30" s="202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</row>
    <row r="31" spans="2:54">
      <c r="B31" s="35" t="s">
        <v>520</v>
      </c>
      <c r="C31" s="35"/>
      <c r="D31" s="32"/>
      <c r="E31" s="36" t="s">
        <v>511</v>
      </c>
      <c r="F31" s="37" t="s">
        <v>12</v>
      </c>
      <c r="G31" s="32"/>
      <c r="H31" s="33"/>
      <c r="I31" s="34"/>
      <c r="J31" s="35" t="s">
        <v>521</v>
      </c>
      <c r="K31" s="36" t="s">
        <v>511</v>
      </c>
      <c r="L31" s="41" t="s">
        <v>2433</v>
      </c>
      <c r="M31" s="32"/>
      <c r="N31" s="32"/>
      <c r="O31" s="206"/>
      <c r="P31" s="202"/>
      <c r="Q31" s="202"/>
      <c r="R31" s="204"/>
      <c r="S31" s="38"/>
      <c r="T31" s="201"/>
      <c r="U31" s="201"/>
      <c r="V31" s="201"/>
      <c r="W31" s="201"/>
      <c r="X31" s="201"/>
      <c r="Y31" s="201"/>
      <c r="Z31" s="201"/>
      <c r="AA31" s="201"/>
      <c r="AB31" s="202"/>
      <c r="AC31" s="202"/>
      <c r="AD31" s="202"/>
      <c r="AE31" s="202"/>
      <c r="AF31" s="202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</row>
    <row r="32" spans="2:54">
      <c r="B32" s="35" t="s">
        <v>523</v>
      </c>
      <c r="C32" s="35"/>
      <c r="D32" s="32"/>
      <c r="E32" s="36" t="s">
        <v>511</v>
      </c>
      <c r="F32" s="37" t="s">
        <v>37</v>
      </c>
      <c r="G32" s="32"/>
      <c r="H32" s="33"/>
      <c r="I32" s="34"/>
      <c r="J32" s="42" t="s">
        <v>524</v>
      </c>
      <c r="K32" s="36" t="s">
        <v>511</v>
      </c>
      <c r="L32" s="43" t="s">
        <v>15</v>
      </c>
      <c r="M32" s="44"/>
      <c r="N32" s="44"/>
      <c r="O32" s="206"/>
      <c r="P32" s="205"/>
      <c r="Q32" s="202"/>
      <c r="R32" s="204"/>
      <c r="S32" s="38"/>
      <c r="T32" s="201"/>
      <c r="U32" s="201"/>
      <c r="V32" s="201"/>
      <c r="W32" s="201"/>
      <c r="X32" s="201"/>
      <c r="Y32" s="201"/>
      <c r="Z32" s="201"/>
      <c r="AA32" s="201"/>
      <c r="AB32" s="202"/>
      <c r="AC32" s="202"/>
      <c r="AD32" s="202"/>
      <c r="AE32" s="202"/>
      <c r="AF32" s="202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</row>
    <row r="33" spans="2:54">
      <c r="B33" s="35" t="s">
        <v>2</v>
      </c>
      <c r="C33" s="35"/>
      <c r="D33" s="32"/>
      <c r="E33" s="36" t="s">
        <v>511</v>
      </c>
      <c r="F33" s="37" t="s">
        <v>6</v>
      </c>
      <c r="G33" s="32"/>
      <c r="H33" s="33"/>
      <c r="I33" s="45"/>
      <c r="J33" s="42"/>
      <c r="K33" s="36"/>
      <c r="L33" s="211"/>
      <c r="M33" s="201"/>
      <c r="N33" s="201"/>
      <c r="O33" s="42"/>
      <c r="P33" s="44"/>
      <c r="Q33" s="44"/>
      <c r="R33" s="44"/>
      <c r="S33" s="34"/>
      <c r="T33" s="201"/>
      <c r="U33" s="201"/>
      <c r="V33" s="201"/>
      <c r="W33" s="201"/>
      <c r="X33" s="201"/>
      <c r="Y33" s="201"/>
      <c r="Z33" s="201"/>
      <c r="AA33" s="201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</row>
    <row r="34" spans="2:54">
      <c r="B34" s="201"/>
      <c r="C34" s="201"/>
      <c r="D34" s="201"/>
      <c r="E34" s="201"/>
      <c r="F34" s="201"/>
      <c r="G34" s="201"/>
      <c r="H34" s="201"/>
      <c r="I34" s="45"/>
      <c r="J34" s="42"/>
      <c r="K34" s="42"/>
      <c r="L34" s="43"/>
      <c r="M34" s="44"/>
      <c r="N34" s="44"/>
      <c r="O34" s="42"/>
      <c r="P34" s="44"/>
      <c r="Q34" s="44"/>
      <c r="R34" s="44"/>
      <c r="S34" s="34"/>
      <c r="T34" s="1265" t="s">
        <v>87</v>
      </c>
      <c r="U34" s="1265"/>
      <c r="V34" s="1265"/>
      <c r="W34" s="1265"/>
      <c r="X34" s="1265"/>
      <c r="Y34" s="1265" t="s">
        <v>73</v>
      </c>
      <c r="Z34" s="1265"/>
      <c r="AA34" s="1265"/>
      <c r="AB34" s="1265" t="s">
        <v>74</v>
      </c>
      <c r="AC34" s="1265"/>
      <c r="AD34" s="423" t="s">
        <v>85</v>
      </c>
      <c r="AE34" s="423" t="s">
        <v>77</v>
      </c>
      <c r="AF34" s="1265" t="s">
        <v>525</v>
      </c>
      <c r="AG34" s="1265"/>
      <c r="AH34" s="1265"/>
      <c r="AI34" s="1265"/>
      <c r="AJ34" s="1265"/>
      <c r="AK34" s="1265"/>
      <c r="AL34" s="1265"/>
      <c r="AM34" s="1265"/>
      <c r="AN34" s="1265"/>
      <c r="AO34" s="1265"/>
      <c r="AP34" s="1265"/>
      <c r="AQ34" s="1265"/>
      <c r="AR34" s="1265"/>
      <c r="AS34" s="1265"/>
      <c r="AT34" s="1265"/>
      <c r="AU34" s="1265"/>
      <c r="AV34" s="1265"/>
      <c r="AW34" s="1265"/>
      <c r="AX34" s="1265"/>
      <c r="AY34" s="1265"/>
      <c r="AZ34" s="1265"/>
      <c r="BA34" s="1265"/>
      <c r="BB34" s="201"/>
    </row>
    <row r="35" spans="2:54">
      <c r="B35" s="1266" t="s">
        <v>526</v>
      </c>
      <c r="C35" s="1267"/>
      <c r="D35" s="570" t="s">
        <v>527</v>
      </c>
      <c r="E35" s="570"/>
      <c r="F35" s="570" t="s">
        <v>528</v>
      </c>
      <c r="G35" s="570" t="s">
        <v>529</v>
      </c>
      <c r="H35" s="570" t="s">
        <v>530</v>
      </c>
      <c r="I35" s="570" t="s">
        <v>531</v>
      </c>
      <c r="J35" s="570" t="s">
        <v>532</v>
      </c>
      <c r="K35" s="570"/>
      <c r="L35" s="570" t="s">
        <v>130</v>
      </c>
      <c r="M35" s="570" t="s">
        <v>533</v>
      </c>
      <c r="N35" s="408" t="str">
        <f>"On time - "&amp;COUNTIF(N36:N50,"On time")&amp;" from "&amp;ROWS(N36:N50)-COUNTIF(N36:N50," ")</f>
        <v>On time - 0 from 11</v>
      </c>
      <c r="O35" s="46"/>
      <c r="P35" s="409" t="s">
        <v>534</v>
      </c>
      <c r="Q35" s="409" t="s">
        <v>535</v>
      </c>
      <c r="R35" s="409" t="s">
        <v>536</v>
      </c>
      <c r="S35" s="32"/>
      <c r="T35" s="424" t="s">
        <v>537</v>
      </c>
      <c r="U35" s="424" t="s">
        <v>538</v>
      </c>
      <c r="V35" s="424" t="s">
        <v>539</v>
      </c>
      <c r="W35" s="424" t="s">
        <v>540</v>
      </c>
      <c r="X35" s="424" t="s">
        <v>541</v>
      </c>
      <c r="Y35" s="424" t="s">
        <v>167</v>
      </c>
      <c r="Z35" s="424" t="s">
        <v>168</v>
      </c>
      <c r="AA35" s="424" t="s">
        <v>169</v>
      </c>
      <c r="AB35" s="424" t="s">
        <v>235</v>
      </c>
      <c r="AC35" s="424" t="s">
        <v>240</v>
      </c>
      <c r="AD35" s="423" t="s">
        <v>85</v>
      </c>
      <c r="AE35" s="424" t="s">
        <v>139</v>
      </c>
      <c r="AF35" s="424" t="s">
        <v>72</v>
      </c>
      <c r="AG35" s="424" t="s">
        <v>88</v>
      </c>
      <c r="AH35" s="424" t="s">
        <v>75</v>
      </c>
      <c r="AI35" s="424" t="s">
        <v>543</v>
      </c>
      <c r="AJ35" s="424" t="s">
        <v>78</v>
      </c>
      <c r="AK35" s="424" t="s">
        <v>76</v>
      </c>
      <c r="AL35" s="424" t="s">
        <v>544</v>
      </c>
      <c r="AM35" s="424" t="s">
        <v>545</v>
      </c>
      <c r="AN35" s="424" t="s">
        <v>86</v>
      </c>
      <c r="AO35" s="424" t="s">
        <v>83</v>
      </c>
      <c r="AP35" s="424" t="s">
        <v>84</v>
      </c>
      <c r="AQ35" s="424" t="s">
        <v>546</v>
      </c>
      <c r="AR35" s="424" t="s">
        <v>81</v>
      </c>
      <c r="AS35" s="424" t="s">
        <v>80</v>
      </c>
      <c r="AT35" s="424" t="s">
        <v>82</v>
      </c>
      <c r="AU35" s="424" t="s">
        <v>181</v>
      </c>
      <c r="AV35" s="424" t="s">
        <v>183</v>
      </c>
      <c r="AW35" s="424" t="s">
        <v>547</v>
      </c>
      <c r="AX35" s="424" t="s">
        <v>182</v>
      </c>
      <c r="AY35" s="424" t="s">
        <v>172</v>
      </c>
      <c r="AZ35" s="424" t="s">
        <v>173</v>
      </c>
      <c r="BA35" s="424" t="s">
        <v>184</v>
      </c>
      <c r="BB35" s="201"/>
    </row>
    <row r="36" spans="2:54">
      <c r="B36" s="1296" t="s">
        <v>1121</v>
      </c>
      <c r="C36" s="1297"/>
      <c r="D36" s="436" t="s">
        <v>2434</v>
      </c>
      <c r="E36" s="442"/>
      <c r="F36" s="436" t="s">
        <v>1874</v>
      </c>
      <c r="G36" s="436" t="s">
        <v>1875</v>
      </c>
      <c r="H36" s="437">
        <f>5325/3</f>
        <v>1775</v>
      </c>
      <c r="I36" s="438" t="s">
        <v>82</v>
      </c>
      <c r="J36" s="439">
        <v>45167.142361111109</v>
      </c>
      <c r="K36" s="439"/>
      <c r="L36" s="439" t="s">
        <v>192</v>
      </c>
      <c r="M36" s="439" t="s">
        <v>192</v>
      </c>
      <c r="N36" s="438" t="str">
        <f>IF(ISBLANK(J36)," ",IF(J36&lt;$F$30,"On time",(IF(DAY(J36-$F$30)&lt;1,"On time",(IF(J36&gt;$F$30,"DELAY ( "&amp;DAY(J36-$F$30)&amp;" day "&amp;HOUR(J36-$F$30)&amp;" hour "&amp;MINUTE(J36-$F$30)&amp;" minute )","xxx"))))))</f>
        <v>DELAY ( 8 day 16 hour 55 minute )</v>
      </c>
      <c r="O36" s="308"/>
      <c r="P36" s="440" t="s">
        <v>551</v>
      </c>
      <c r="Q36" s="440" t="s">
        <v>551</v>
      </c>
      <c r="R36" s="440" t="s">
        <v>551</v>
      </c>
      <c r="S36" s="201"/>
      <c r="T36" s="441"/>
      <c r="U36" s="441"/>
      <c r="V36" s="441"/>
      <c r="W36" s="441"/>
      <c r="X36" s="441"/>
      <c r="Y36" s="441"/>
      <c r="Z36" s="441"/>
      <c r="AA36" s="441"/>
      <c r="AB36" s="441"/>
      <c r="AC36" s="441"/>
      <c r="AD36" s="441"/>
      <c r="AE36" s="441"/>
      <c r="AF36" s="441"/>
      <c r="AG36" s="441"/>
      <c r="AH36" s="441"/>
      <c r="AI36" s="441"/>
      <c r="AJ36" s="441"/>
      <c r="AK36" s="441"/>
      <c r="AL36" s="441"/>
      <c r="AM36" s="441"/>
      <c r="AN36" s="441"/>
      <c r="AO36" s="441"/>
      <c r="AP36" s="441"/>
      <c r="AQ36" s="441"/>
      <c r="AR36" s="441"/>
      <c r="AS36" s="441"/>
      <c r="AT36" s="441">
        <f>H36</f>
        <v>1775</v>
      </c>
      <c r="AU36" s="441"/>
      <c r="AV36" s="441"/>
      <c r="AW36" s="441"/>
      <c r="AX36" s="441"/>
      <c r="AY36" s="441"/>
      <c r="AZ36" s="441"/>
      <c r="BA36" s="441"/>
      <c r="BB36" s="201"/>
    </row>
    <row r="37" spans="2:54">
      <c r="B37" s="1298"/>
      <c r="C37" s="1299"/>
      <c r="D37" s="436" t="s">
        <v>2435</v>
      </c>
      <c r="E37" s="436"/>
      <c r="F37" s="436" t="s">
        <v>301</v>
      </c>
      <c r="G37" s="436" t="s">
        <v>302</v>
      </c>
      <c r="H37" s="437">
        <v>9139.9650000000001</v>
      </c>
      <c r="I37" s="438" t="s">
        <v>235</v>
      </c>
      <c r="J37" s="439">
        <v>45170.440972222219</v>
      </c>
      <c r="K37" s="439"/>
      <c r="L37" s="439" t="s">
        <v>192</v>
      </c>
      <c r="M37" s="439" t="s">
        <v>192</v>
      </c>
      <c r="N37" s="438" t="str">
        <f t="shared" ref="N37:N50" si="4">IF(ISBLANK(J37)," ",IF(J37&lt;$F$30,"On time",(IF(DAY(J37-$F$30)&lt;1,"On time",(IF(J37&gt;$F$30,"DELAY ( "&amp;DAY(J37-$F$30)&amp;" day "&amp;HOUR(J37-$F$30)&amp;" hour "&amp;MINUTE(J37-$F$30)&amp;" minute )","xxx"))))))</f>
        <v>DELAY ( 12 day 0 hour 5 minute )</v>
      </c>
      <c r="O37" s="308"/>
      <c r="P37" s="440" t="s">
        <v>551</v>
      </c>
      <c r="Q37" s="440" t="s">
        <v>551</v>
      </c>
      <c r="R37" s="440" t="s">
        <v>551</v>
      </c>
      <c r="S37" s="201"/>
      <c r="T37" s="441"/>
      <c r="U37" s="441"/>
      <c r="V37" s="441"/>
      <c r="W37" s="441"/>
      <c r="X37" s="441"/>
      <c r="Y37" s="441"/>
      <c r="Z37" s="441"/>
      <c r="AA37" s="441"/>
      <c r="AB37" s="441">
        <f>H37</f>
        <v>9139.9650000000001</v>
      </c>
      <c r="AC37" s="441"/>
      <c r="AD37" s="441"/>
      <c r="AE37" s="441"/>
      <c r="AF37" s="441"/>
      <c r="AG37" s="441"/>
      <c r="AH37" s="441"/>
      <c r="AI37" s="441"/>
      <c r="AJ37" s="441"/>
      <c r="AK37" s="441"/>
      <c r="AL37" s="441"/>
      <c r="AM37" s="441"/>
      <c r="AN37" s="441"/>
      <c r="AO37" s="441"/>
      <c r="AP37" s="441"/>
      <c r="AQ37" s="441"/>
      <c r="AR37" s="441"/>
      <c r="AS37" s="441"/>
      <c r="AT37" s="441"/>
      <c r="AU37" s="441"/>
      <c r="AV37" s="441"/>
      <c r="AW37" s="441"/>
      <c r="AX37" s="441"/>
      <c r="AY37" s="441"/>
      <c r="AZ37" s="441"/>
      <c r="BA37" s="441"/>
      <c r="BB37" s="201"/>
    </row>
    <row r="38" spans="2:54">
      <c r="B38" s="1296" t="s">
        <v>1717</v>
      </c>
      <c r="C38" s="1297"/>
      <c r="D38" s="436" t="s">
        <v>2434</v>
      </c>
      <c r="E38" s="442"/>
      <c r="F38" s="436" t="s">
        <v>1874</v>
      </c>
      <c r="G38" s="436" t="s">
        <v>1875</v>
      </c>
      <c r="H38" s="437">
        <f>H36</f>
        <v>1775</v>
      </c>
      <c r="I38" s="438" t="s">
        <v>82</v>
      </c>
      <c r="J38" s="439"/>
      <c r="K38" s="414"/>
      <c r="L38" s="439"/>
      <c r="M38" s="439"/>
      <c r="N38" s="438" t="str">
        <f t="shared" si="4"/>
        <v xml:space="preserve"> </v>
      </c>
      <c r="O38" s="308"/>
      <c r="P38" s="440" t="s">
        <v>551</v>
      </c>
      <c r="Q38" s="440" t="s">
        <v>551</v>
      </c>
      <c r="R38" s="440" t="s">
        <v>551</v>
      </c>
      <c r="S38" s="201"/>
      <c r="T38" s="441"/>
      <c r="U38" s="441"/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41"/>
      <c r="AH38" s="441"/>
      <c r="AI38" s="441"/>
      <c r="AJ38" s="441"/>
      <c r="AK38" s="441"/>
      <c r="AL38" s="441"/>
      <c r="AM38" s="441"/>
      <c r="AN38" s="441"/>
      <c r="AO38" s="441"/>
      <c r="AP38" s="441"/>
      <c r="AQ38" s="441"/>
      <c r="AR38" s="441"/>
      <c r="AS38" s="441"/>
      <c r="AT38" s="441">
        <f>H38</f>
        <v>1775</v>
      </c>
      <c r="AU38" s="441"/>
      <c r="AV38" s="441"/>
      <c r="AW38" s="441"/>
      <c r="AX38" s="441"/>
      <c r="AY38" s="441"/>
      <c r="AZ38" s="441"/>
      <c r="BA38" s="441"/>
      <c r="BB38" s="201"/>
    </row>
    <row r="39" spans="2:54">
      <c r="B39" s="1298"/>
      <c r="C39" s="1299"/>
      <c r="D39" s="436" t="s">
        <v>2436</v>
      </c>
      <c r="E39" s="436"/>
      <c r="F39" s="436" t="s">
        <v>1799</v>
      </c>
      <c r="G39" s="436" t="s">
        <v>2437</v>
      </c>
      <c r="H39" s="437">
        <v>7501.7560000000003</v>
      </c>
      <c r="I39" s="438" t="s">
        <v>235</v>
      </c>
      <c r="J39" s="439">
        <v>45170.4375</v>
      </c>
      <c r="K39" s="439"/>
      <c r="L39" s="439" t="s">
        <v>192</v>
      </c>
      <c r="M39" s="439" t="s">
        <v>192</v>
      </c>
      <c r="N39" s="438" t="str">
        <f t="shared" si="4"/>
        <v>DELAY ( 12 day 0 hour 0 minute )</v>
      </c>
      <c r="O39" s="308"/>
      <c r="P39" s="440" t="s">
        <v>551</v>
      </c>
      <c r="Q39" s="440" t="s">
        <v>551</v>
      </c>
      <c r="R39" s="440" t="s">
        <v>551</v>
      </c>
      <c r="S39" s="201"/>
      <c r="T39" s="441"/>
      <c r="U39" s="441"/>
      <c r="V39" s="441"/>
      <c r="W39" s="441"/>
      <c r="X39" s="441"/>
      <c r="Y39" s="441"/>
      <c r="Z39" s="441"/>
      <c r="AA39" s="441"/>
      <c r="AB39" s="441">
        <f>H39</f>
        <v>7501.7560000000003</v>
      </c>
      <c r="AC39" s="441"/>
      <c r="AD39" s="441"/>
      <c r="AE39" s="441"/>
      <c r="AF39" s="441"/>
      <c r="AG39" s="441"/>
      <c r="AH39" s="441"/>
      <c r="AI39" s="441"/>
      <c r="AJ39" s="441"/>
      <c r="AK39" s="441"/>
      <c r="AL39" s="441"/>
      <c r="AM39" s="441"/>
      <c r="AN39" s="441"/>
      <c r="AO39" s="441"/>
      <c r="AP39" s="441"/>
      <c r="AQ39" s="441"/>
      <c r="AR39" s="441"/>
      <c r="AS39" s="441"/>
      <c r="AT39" s="441"/>
      <c r="AU39" s="441"/>
      <c r="AV39" s="441"/>
      <c r="AW39" s="441"/>
      <c r="AX39" s="441"/>
      <c r="AY39" s="441"/>
      <c r="AZ39" s="441"/>
      <c r="BA39" s="441"/>
      <c r="BB39" s="201"/>
    </row>
    <row r="40" spans="2:54">
      <c r="B40" s="1250" t="s">
        <v>1717</v>
      </c>
      <c r="C40" s="1251"/>
      <c r="D40" s="411" t="s">
        <v>2434</v>
      </c>
      <c r="E40" s="425"/>
      <c r="F40" s="411" t="s">
        <v>1874</v>
      </c>
      <c r="G40" s="411" t="s">
        <v>1875</v>
      </c>
      <c r="H40" s="412">
        <f>H38</f>
        <v>1775</v>
      </c>
      <c r="I40" s="413" t="s">
        <v>82</v>
      </c>
      <c r="J40" s="439"/>
      <c r="K40" s="414"/>
      <c r="L40" s="439"/>
      <c r="M40" s="439"/>
      <c r="N40" s="438" t="str">
        <f t="shared" si="4"/>
        <v xml:space="preserve"> </v>
      </c>
      <c r="O40" s="51"/>
      <c r="P40" s="415" t="s">
        <v>551</v>
      </c>
      <c r="Q40" s="415" t="s">
        <v>551</v>
      </c>
      <c r="R40" s="415" t="s">
        <v>551</v>
      </c>
      <c r="S40" s="32"/>
      <c r="T40" s="416"/>
      <c r="U40" s="416"/>
      <c r="V40" s="416"/>
      <c r="W40" s="416"/>
      <c r="X40" s="416"/>
      <c r="Y40" s="416"/>
      <c r="Z40" s="416"/>
      <c r="AA40" s="416"/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/>
      <c r="AR40" s="416"/>
      <c r="AS40" s="416"/>
      <c r="AT40" s="416">
        <f>H40</f>
        <v>1775</v>
      </c>
      <c r="AU40" s="416"/>
      <c r="AV40" s="416"/>
      <c r="AW40" s="416"/>
      <c r="AX40" s="416"/>
      <c r="AY40" s="416"/>
      <c r="AZ40" s="416"/>
      <c r="BA40" s="416"/>
      <c r="BB40" s="32"/>
    </row>
    <row r="41" spans="2:54">
      <c r="B41" s="1254"/>
      <c r="C41" s="1255"/>
      <c r="D41" s="411" t="s">
        <v>2438</v>
      </c>
      <c r="E41" s="411"/>
      <c r="F41" s="411" t="s">
        <v>233</v>
      </c>
      <c r="G41" s="411" t="s">
        <v>234</v>
      </c>
      <c r="H41" s="412">
        <v>7792.0690000000004</v>
      </c>
      <c r="I41" s="413" t="s">
        <v>235</v>
      </c>
      <c r="J41" s="414">
        <v>45171.520833333336</v>
      </c>
      <c r="K41" s="414"/>
      <c r="L41" s="439" t="s">
        <v>192</v>
      </c>
      <c r="M41" s="439" t="s">
        <v>192</v>
      </c>
      <c r="N41" s="438" t="str">
        <f t="shared" si="4"/>
        <v>DELAY ( 13 day 2 hour 0 minute )</v>
      </c>
      <c r="O41" s="51"/>
      <c r="P41" s="415" t="s">
        <v>551</v>
      </c>
      <c r="Q41" s="415" t="s">
        <v>551</v>
      </c>
      <c r="R41" s="415" t="s">
        <v>873</v>
      </c>
      <c r="S41" s="32"/>
      <c r="T41" s="416"/>
      <c r="U41" s="416"/>
      <c r="V41" s="416"/>
      <c r="W41" s="416"/>
      <c r="X41" s="416"/>
      <c r="Y41" s="416"/>
      <c r="Z41" s="416"/>
      <c r="AA41" s="416"/>
      <c r="AB41" s="416">
        <f>H41</f>
        <v>7792.0690000000004</v>
      </c>
      <c r="AC41" s="416"/>
      <c r="AD41" s="416"/>
      <c r="AE41" s="416"/>
      <c r="AF41" s="416"/>
      <c r="AG41" s="416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416"/>
      <c r="AU41" s="416"/>
      <c r="AV41" s="416"/>
      <c r="AW41" s="416"/>
      <c r="AX41" s="416"/>
      <c r="AY41" s="416"/>
      <c r="AZ41" s="416"/>
      <c r="BA41" s="416"/>
      <c r="BB41" s="32"/>
    </row>
    <row r="42" spans="2:54">
      <c r="B42" s="1250" t="s">
        <v>2439</v>
      </c>
      <c r="C42" s="1251"/>
      <c r="D42" s="411" t="s">
        <v>2418</v>
      </c>
      <c r="E42" s="411"/>
      <c r="F42" s="411" t="s">
        <v>277</v>
      </c>
      <c r="G42" s="411" t="s">
        <v>278</v>
      </c>
      <c r="H42" s="412">
        <v>1275.0519999999999</v>
      </c>
      <c r="I42" s="413" t="s">
        <v>240</v>
      </c>
      <c r="J42" s="414">
        <v>45169.152777777781</v>
      </c>
      <c r="K42" s="414"/>
      <c r="L42" s="439" t="s">
        <v>192</v>
      </c>
      <c r="M42" s="439" t="s">
        <v>192</v>
      </c>
      <c r="N42" s="438" t="str">
        <f t="shared" si="4"/>
        <v>DELAY ( 10 day 17 hour 10 minute )</v>
      </c>
      <c r="O42" s="51"/>
      <c r="P42" s="415" t="s">
        <v>551</v>
      </c>
      <c r="Q42" s="415" t="s">
        <v>551</v>
      </c>
      <c r="R42" s="415" t="s">
        <v>551</v>
      </c>
      <c r="S42" s="32"/>
      <c r="T42" s="416"/>
      <c r="U42" s="416"/>
      <c r="V42" s="416"/>
      <c r="W42" s="416"/>
      <c r="X42" s="416"/>
      <c r="Y42" s="416"/>
      <c r="Z42" s="416"/>
      <c r="AA42" s="416"/>
      <c r="AB42" s="416"/>
      <c r="AC42" s="416">
        <f>H42</f>
        <v>1275.0519999999999</v>
      </c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6"/>
      <c r="AZ42" s="416"/>
      <c r="BA42" s="416"/>
      <c r="BB42" s="32"/>
    </row>
    <row r="43" spans="2:54">
      <c r="B43" s="1254"/>
      <c r="C43" s="1255"/>
      <c r="D43" s="411" t="s">
        <v>2440</v>
      </c>
      <c r="E43" s="411"/>
      <c r="F43" s="411" t="s">
        <v>695</v>
      </c>
      <c r="G43" s="411" t="s">
        <v>281</v>
      </c>
      <c r="H43" s="412">
        <v>7594.3689999999997</v>
      </c>
      <c r="I43" s="413" t="s">
        <v>235</v>
      </c>
      <c r="J43" s="414">
        <v>45172.041666666664</v>
      </c>
      <c r="K43" s="414"/>
      <c r="L43" s="439" t="s">
        <v>192</v>
      </c>
      <c r="M43" s="439" t="s">
        <v>192</v>
      </c>
      <c r="N43" s="438" t="str">
        <f t="shared" si="4"/>
        <v>DELAY ( 13 day 14 hour 30 minute )</v>
      </c>
      <c r="O43" s="51"/>
      <c r="P43" s="415" t="s">
        <v>551</v>
      </c>
      <c r="Q43" s="415" t="s">
        <v>551</v>
      </c>
      <c r="R43" s="415" t="s">
        <v>873</v>
      </c>
      <c r="S43" s="32"/>
      <c r="T43" s="416"/>
      <c r="U43" s="416"/>
      <c r="V43" s="416"/>
      <c r="W43" s="416"/>
      <c r="X43" s="416"/>
      <c r="Y43" s="416"/>
      <c r="Z43" s="416"/>
      <c r="AA43" s="416"/>
      <c r="AB43" s="416">
        <f>H43</f>
        <v>7594.3689999999997</v>
      </c>
      <c r="AC43" s="416"/>
      <c r="AD43" s="416"/>
      <c r="AE43" s="416"/>
      <c r="AF43" s="416"/>
      <c r="AG43" s="416"/>
      <c r="AH43" s="416"/>
      <c r="AI43" s="416"/>
      <c r="AJ43" s="416"/>
      <c r="AK43" s="416"/>
      <c r="AL43" s="416"/>
      <c r="AM43" s="416"/>
      <c r="AN43" s="416"/>
      <c r="AO43" s="416"/>
      <c r="AP43" s="416"/>
      <c r="AQ43" s="416"/>
      <c r="AR43" s="416"/>
      <c r="AS43" s="416"/>
      <c r="AT43" s="416"/>
      <c r="AU43" s="416"/>
      <c r="AV43" s="416"/>
      <c r="AW43" s="416"/>
      <c r="AX43" s="416"/>
      <c r="AY43" s="416"/>
      <c r="AZ43" s="416"/>
      <c r="BA43" s="416"/>
      <c r="BB43" s="32"/>
    </row>
    <row r="44" spans="2:54">
      <c r="B44" s="1250" t="s">
        <v>1122</v>
      </c>
      <c r="C44" s="1251"/>
      <c r="D44" s="411" t="s">
        <v>2441</v>
      </c>
      <c r="E44" s="411"/>
      <c r="F44" s="411" t="s">
        <v>238</v>
      </c>
      <c r="G44" s="411" t="s">
        <v>239</v>
      </c>
      <c r="H44" s="412">
        <v>5231.18</v>
      </c>
      <c r="I44" s="413" t="s">
        <v>173</v>
      </c>
      <c r="J44" s="414">
        <v>45170.4375</v>
      </c>
      <c r="K44" s="414"/>
      <c r="L44" s="439" t="s">
        <v>192</v>
      </c>
      <c r="M44" s="439" t="s">
        <v>192</v>
      </c>
      <c r="N44" s="438" t="str">
        <f t="shared" si="4"/>
        <v>DELAY ( 12 day 0 hour 0 minute )</v>
      </c>
      <c r="O44" s="51"/>
      <c r="P44" s="415" t="s">
        <v>551</v>
      </c>
      <c r="Q44" s="415" t="s">
        <v>551</v>
      </c>
      <c r="R44" s="415" t="s">
        <v>551</v>
      </c>
      <c r="S44" s="32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416"/>
      <c r="AG44" s="416"/>
      <c r="AH44" s="416"/>
      <c r="AI44" s="416"/>
      <c r="AJ44" s="416"/>
      <c r="AK44" s="416"/>
      <c r="AL44" s="416"/>
      <c r="AM44" s="416"/>
      <c r="AN44" s="416"/>
      <c r="AO44" s="416"/>
      <c r="AP44" s="416"/>
      <c r="AQ44" s="416"/>
      <c r="AR44" s="416"/>
      <c r="AS44" s="416"/>
      <c r="AT44" s="416"/>
      <c r="AU44" s="416"/>
      <c r="AV44" s="416"/>
      <c r="AW44" s="416"/>
      <c r="AX44" s="416"/>
      <c r="AY44" s="416"/>
      <c r="AZ44" s="416">
        <f>H44</f>
        <v>5231.18</v>
      </c>
      <c r="BA44" s="416"/>
      <c r="BB44" s="32"/>
    </row>
    <row r="45" spans="2:54">
      <c r="B45" s="1254"/>
      <c r="C45" s="1255"/>
      <c r="D45" s="411" t="s">
        <v>2442</v>
      </c>
      <c r="E45" s="411"/>
      <c r="F45" s="411" t="s">
        <v>1240</v>
      </c>
      <c r="G45" s="411" t="s">
        <v>1241</v>
      </c>
      <c r="H45" s="412">
        <v>7811.7370000000001</v>
      </c>
      <c r="I45" s="413" t="s">
        <v>235</v>
      </c>
      <c r="J45" s="414">
        <v>45171.75</v>
      </c>
      <c r="K45" s="414"/>
      <c r="L45" s="439" t="s">
        <v>192</v>
      </c>
      <c r="M45" s="439" t="s">
        <v>192</v>
      </c>
      <c r="N45" s="438" t="str">
        <f t="shared" si="4"/>
        <v>DELAY ( 13 day 7 hour 30 minute )</v>
      </c>
      <c r="O45" s="51"/>
      <c r="P45" s="415" t="s">
        <v>551</v>
      </c>
      <c r="Q45" s="415" t="s">
        <v>551</v>
      </c>
      <c r="R45" s="415" t="s">
        <v>873</v>
      </c>
      <c r="S45" s="32"/>
      <c r="T45" s="416"/>
      <c r="U45" s="416"/>
      <c r="V45" s="416"/>
      <c r="W45" s="416"/>
      <c r="X45" s="416"/>
      <c r="Y45" s="416"/>
      <c r="Z45" s="416"/>
      <c r="AA45" s="416"/>
      <c r="AB45" s="416">
        <f t="shared" ref="AB45" si="5">H45</f>
        <v>7811.7370000000001</v>
      </c>
      <c r="AC45" s="416"/>
      <c r="AD45" s="416"/>
      <c r="AE45" s="416"/>
      <c r="AF45" s="416"/>
      <c r="AG45" s="416"/>
      <c r="AH45" s="416"/>
      <c r="AI45" s="416"/>
      <c r="AJ45" s="416"/>
      <c r="AK45" s="416"/>
      <c r="AL45" s="416"/>
      <c r="AM45" s="416"/>
      <c r="AN45" s="416"/>
      <c r="AO45" s="416"/>
      <c r="AP45" s="416"/>
      <c r="AQ45" s="416"/>
      <c r="AR45" s="416"/>
      <c r="AS45" s="416"/>
      <c r="AT45" s="416"/>
      <c r="AU45" s="416"/>
      <c r="AV45" s="416"/>
      <c r="AW45" s="416"/>
      <c r="AX45" s="416"/>
      <c r="AY45" s="416"/>
      <c r="AZ45" s="416"/>
      <c r="BA45" s="416"/>
      <c r="BB45" s="32"/>
    </row>
    <row r="46" spans="2:54">
      <c r="B46" s="1250" t="s">
        <v>653</v>
      </c>
      <c r="C46" s="1251"/>
      <c r="D46" s="411" t="s">
        <v>2443</v>
      </c>
      <c r="E46" s="411"/>
      <c r="F46" s="411" t="s">
        <v>380</v>
      </c>
      <c r="G46" s="411" t="s">
        <v>381</v>
      </c>
      <c r="H46" s="412">
        <v>7545.9989999999998</v>
      </c>
      <c r="I46" s="413" t="s">
        <v>172</v>
      </c>
      <c r="J46" s="414">
        <v>45170.416666666664</v>
      </c>
      <c r="K46" s="414"/>
      <c r="L46" s="439" t="s">
        <v>192</v>
      </c>
      <c r="M46" s="439" t="s">
        <v>192</v>
      </c>
      <c r="N46" s="438" t="str">
        <f t="shared" si="4"/>
        <v>DELAY ( 11 day 23 hour 30 minute )</v>
      </c>
      <c r="O46" s="51"/>
      <c r="P46" s="415" t="s">
        <v>551</v>
      </c>
      <c r="Q46" s="415" t="s">
        <v>551</v>
      </c>
      <c r="R46" s="415" t="s">
        <v>551</v>
      </c>
      <c r="S46" s="32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416"/>
      <c r="AG46" s="416"/>
      <c r="AH46" s="416"/>
      <c r="AI46" s="416"/>
      <c r="AJ46" s="416"/>
      <c r="AK46" s="416"/>
      <c r="AL46" s="416"/>
      <c r="AM46" s="416"/>
      <c r="AN46" s="416"/>
      <c r="AO46" s="416"/>
      <c r="AP46" s="416"/>
      <c r="AQ46" s="416"/>
      <c r="AR46" s="416"/>
      <c r="AS46" s="416"/>
      <c r="AT46" s="416"/>
      <c r="AU46" s="416"/>
      <c r="AV46" s="416"/>
      <c r="AW46" s="416"/>
      <c r="AX46" s="416"/>
      <c r="AY46" s="416">
        <f>H46</f>
        <v>7545.9989999999998</v>
      </c>
      <c r="AZ46" s="416"/>
      <c r="BA46" s="416"/>
      <c r="BB46" s="32"/>
    </row>
    <row r="47" spans="2:54">
      <c r="B47" s="1254"/>
      <c r="C47" s="1255"/>
      <c r="D47" s="411" t="s">
        <v>2444</v>
      </c>
      <c r="E47" s="411"/>
      <c r="F47" s="411" t="s">
        <v>492</v>
      </c>
      <c r="G47" s="411" t="s">
        <v>493</v>
      </c>
      <c r="H47" s="412">
        <v>7502.1270000000004</v>
      </c>
      <c r="I47" s="413" t="s">
        <v>235</v>
      </c>
      <c r="J47" s="414">
        <v>45171.5</v>
      </c>
      <c r="K47" s="414"/>
      <c r="L47" s="439" t="s">
        <v>192</v>
      </c>
      <c r="M47" s="439" t="s">
        <v>192</v>
      </c>
      <c r="N47" s="438" t="str">
        <f t="shared" si="4"/>
        <v>DELAY ( 13 day 1 hour 30 minute )</v>
      </c>
      <c r="O47" s="51"/>
      <c r="P47" s="415" t="s">
        <v>551</v>
      </c>
      <c r="Q47" s="415" t="s">
        <v>551</v>
      </c>
      <c r="R47" s="415" t="s">
        <v>873</v>
      </c>
      <c r="S47" s="32"/>
      <c r="T47" s="416"/>
      <c r="U47" s="416"/>
      <c r="V47" s="416"/>
      <c r="W47" s="416"/>
      <c r="X47" s="416"/>
      <c r="Y47" s="416"/>
      <c r="Z47" s="416"/>
      <c r="AA47" s="416"/>
      <c r="AB47" s="416">
        <f>H47</f>
        <v>7502.1270000000004</v>
      </c>
      <c r="AC47" s="416"/>
      <c r="AD47" s="416"/>
      <c r="AE47" s="416"/>
      <c r="AF47" s="416"/>
      <c r="AG47" s="416"/>
      <c r="AH47" s="416"/>
      <c r="AI47" s="416"/>
      <c r="AJ47" s="416"/>
      <c r="AK47" s="416"/>
      <c r="AL47" s="416"/>
      <c r="AM47" s="416"/>
      <c r="AN47" s="416"/>
      <c r="AO47" s="416"/>
      <c r="AP47" s="416"/>
      <c r="AQ47" s="416"/>
      <c r="AR47" s="416"/>
      <c r="AS47" s="416"/>
      <c r="AT47" s="416"/>
      <c r="AU47" s="416"/>
      <c r="AV47" s="416"/>
      <c r="AW47" s="416"/>
      <c r="AX47" s="416"/>
      <c r="AY47" s="416"/>
      <c r="AZ47" s="416"/>
      <c r="BA47" s="416"/>
      <c r="BB47" s="32"/>
    </row>
    <row r="48" spans="2:54">
      <c r="B48" s="1256" t="s">
        <v>548</v>
      </c>
      <c r="C48" s="1257"/>
      <c r="D48" s="411" t="s">
        <v>2445</v>
      </c>
      <c r="E48" s="411"/>
      <c r="F48" s="411" t="s">
        <v>2277</v>
      </c>
      <c r="G48" s="411" t="s">
        <v>2278</v>
      </c>
      <c r="H48" s="412">
        <f>7512.901-4832.155</f>
        <v>2680.7460000000001</v>
      </c>
      <c r="I48" s="413" t="s">
        <v>235</v>
      </c>
      <c r="J48" s="414">
        <v>45172.625</v>
      </c>
      <c r="K48" s="414"/>
      <c r="L48" s="439" t="s">
        <v>192</v>
      </c>
      <c r="M48" s="439" t="s">
        <v>192</v>
      </c>
      <c r="N48" s="438" t="str">
        <f t="shared" si="4"/>
        <v>DELAY ( 14 day 4 hour 30 minute )</v>
      </c>
      <c r="O48" s="51"/>
      <c r="P48" s="415" t="s">
        <v>551</v>
      </c>
      <c r="Q48" s="415" t="s">
        <v>551</v>
      </c>
      <c r="R48" s="415" t="s">
        <v>873</v>
      </c>
      <c r="S48" s="32"/>
      <c r="T48" s="416"/>
      <c r="U48" s="416"/>
      <c r="V48" s="416"/>
      <c r="W48" s="416"/>
      <c r="X48" s="416"/>
      <c r="Y48" s="416"/>
      <c r="Z48" s="416"/>
      <c r="AA48" s="416"/>
      <c r="AB48" s="416">
        <f>H48-H52</f>
        <v>-653.62599999999975</v>
      </c>
      <c r="AC48" s="416"/>
      <c r="AD48" s="416"/>
      <c r="AE48" s="416"/>
      <c r="AF48" s="416"/>
      <c r="AG48" s="416"/>
      <c r="AH48" s="416"/>
      <c r="AI48" s="416"/>
      <c r="AJ48" s="416"/>
      <c r="AK48" s="416"/>
      <c r="AL48" s="416"/>
      <c r="AM48" s="416"/>
      <c r="AN48" s="416"/>
      <c r="AO48" s="416"/>
      <c r="AP48" s="416"/>
      <c r="AQ48" s="416"/>
      <c r="AR48" s="416"/>
      <c r="AS48" s="416"/>
      <c r="AT48" s="416"/>
      <c r="AU48" s="416"/>
      <c r="AV48" s="416"/>
      <c r="AW48" s="416"/>
      <c r="AX48" s="416"/>
      <c r="AY48" s="416"/>
      <c r="AZ48" s="416"/>
      <c r="BA48" s="416"/>
      <c r="BB48" s="32"/>
    </row>
    <row r="49" spans="2:54">
      <c r="B49" s="1258" t="s">
        <v>556</v>
      </c>
      <c r="C49" s="1259"/>
      <c r="D49" s="1259"/>
      <c r="E49" s="1259"/>
      <c r="F49" s="1259"/>
      <c r="G49" s="1260"/>
      <c r="H49" s="417">
        <f>SUM(H36:H48)</f>
        <v>69400.000000000015</v>
      </c>
      <c r="I49" s="388"/>
      <c r="J49" s="293"/>
      <c r="K49" s="293"/>
      <c r="L49" s="293"/>
      <c r="M49" s="389"/>
      <c r="N49" s="438" t="str">
        <f t="shared" si="4"/>
        <v xml:space="preserve"> </v>
      </c>
      <c r="O49" s="212"/>
      <c r="P49" s="418"/>
      <c r="Q49" s="418"/>
      <c r="R49" s="418"/>
      <c r="S49" s="207"/>
      <c r="T49" s="1300"/>
      <c r="U49" s="1301"/>
      <c r="V49" s="1301"/>
      <c r="W49" s="1301"/>
      <c r="X49" s="1301"/>
      <c r="Y49" s="1301"/>
      <c r="Z49" s="1301"/>
      <c r="AA49" s="1301"/>
      <c r="AB49" s="1301"/>
      <c r="AC49" s="1301"/>
      <c r="AD49" s="1301"/>
      <c r="AE49" s="1301"/>
      <c r="AF49" s="1301"/>
      <c r="AG49" s="1301"/>
      <c r="AH49" s="1301"/>
      <c r="AI49" s="1301"/>
      <c r="AJ49" s="1301"/>
      <c r="AK49" s="1301"/>
      <c r="AL49" s="1301"/>
      <c r="AM49" s="1301"/>
      <c r="AN49" s="1301"/>
      <c r="AO49" s="1301"/>
      <c r="AP49" s="1301"/>
      <c r="AQ49" s="1301"/>
      <c r="AR49" s="1301"/>
      <c r="AS49" s="1301"/>
      <c r="AT49" s="1301"/>
      <c r="AU49" s="1301"/>
      <c r="AV49" s="1301"/>
      <c r="AW49" s="1301"/>
      <c r="AX49" s="1301"/>
      <c r="AY49" s="1301"/>
      <c r="AZ49" s="1301"/>
      <c r="BA49" s="1301"/>
    </row>
    <row r="50" spans="2:54">
      <c r="B50" s="1243" t="s">
        <v>557</v>
      </c>
      <c r="C50" s="1244"/>
      <c r="D50" s="1244"/>
      <c r="E50" s="1244"/>
      <c r="F50" s="1244"/>
      <c r="G50" s="1245"/>
      <c r="H50" s="419">
        <v>69400</v>
      </c>
      <c r="I50" s="1273"/>
      <c r="J50" s="1274"/>
      <c r="K50" s="1274"/>
      <c r="L50" s="1274"/>
      <c r="M50" s="1275"/>
      <c r="N50" s="438" t="str">
        <f t="shared" si="4"/>
        <v xml:space="preserve"> </v>
      </c>
      <c r="O50" s="32"/>
      <c r="P50" s="415"/>
      <c r="Q50" s="415"/>
      <c r="R50" s="415"/>
      <c r="S50" s="63"/>
      <c r="T50" s="416">
        <f>SUM(T36:T48)</f>
        <v>0</v>
      </c>
      <c r="U50" s="416">
        <f t="shared" ref="U50:BA50" si="6">SUM(U36:U48)</f>
        <v>0</v>
      </c>
      <c r="V50" s="416">
        <f t="shared" si="6"/>
        <v>0</v>
      </c>
      <c r="W50" s="416">
        <f t="shared" si="6"/>
        <v>0</v>
      </c>
      <c r="X50" s="416">
        <f t="shared" si="6"/>
        <v>0</v>
      </c>
      <c r="Y50" s="416">
        <f t="shared" si="6"/>
        <v>0</v>
      </c>
      <c r="Z50" s="416">
        <f t="shared" si="6"/>
        <v>0</v>
      </c>
      <c r="AA50" s="416">
        <f t="shared" si="6"/>
        <v>0</v>
      </c>
      <c r="AB50" s="416">
        <f t="shared" si="6"/>
        <v>46688.397000000004</v>
      </c>
      <c r="AC50" s="416">
        <f t="shared" si="6"/>
        <v>1275.0519999999999</v>
      </c>
      <c r="AD50" s="416">
        <f t="shared" si="6"/>
        <v>0</v>
      </c>
      <c r="AE50" s="416">
        <f t="shared" si="6"/>
        <v>0</v>
      </c>
      <c r="AF50" s="416">
        <f t="shared" si="6"/>
        <v>0</v>
      </c>
      <c r="AG50" s="416">
        <f t="shared" si="6"/>
        <v>0</v>
      </c>
      <c r="AH50" s="416">
        <f t="shared" si="6"/>
        <v>0</v>
      </c>
      <c r="AI50" s="416">
        <f t="shared" si="6"/>
        <v>0</v>
      </c>
      <c r="AJ50" s="416">
        <f t="shared" si="6"/>
        <v>0</v>
      </c>
      <c r="AK50" s="416">
        <f t="shared" si="6"/>
        <v>0</v>
      </c>
      <c r="AL50" s="416">
        <f t="shared" si="6"/>
        <v>0</v>
      </c>
      <c r="AM50" s="416">
        <f t="shared" si="6"/>
        <v>0</v>
      </c>
      <c r="AN50" s="416">
        <f t="shared" si="6"/>
        <v>0</v>
      </c>
      <c r="AO50" s="416">
        <f t="shared" si="6"/>
        <v>0</v>
      </c>
      <c r="AP50" s="416">
        <f t="shared" si="6"/>
        <v>0</v>
      </c>
      <c r="AQ50" s="416">
        <f t="shared" si="6"/>
        <v>0</v>
      </c>
      <c r="AR50" s="416">
        <f t="shared" si="6"/>
        <v>0</v>
      </c>
      <c r="AS50" s="416">
        <f t="shared" si="6"/>
        <v>0</v>
      </c>
      <c r="AT50" s="416">
        <f t="shared" si="6"/>
        <v>5325</v>
      </c>
      <c r="AU50" s="416">
        <f t="shared" si="6"/>
        <v>0</v>
      </c>
      <c r="AV50" s="416">
        <f t="shared" si="6"/>
        <v>0</v>
      </c>
      <c r="AW50" s="416">
        <f t="shared" si="6"/>
        <v>0</v>
      </c>
      <c r="AX50" s="416">
        <f t="shared" si="6"/>
        <v>0</v>
      </c>
      <c r="AY50" s="416">
        <f t="shared" si="6"/>
        <v>7545.9989999999998</v>
      </c>
      <c r="AZ50" s="416">
        <f t="shared" si="6"/>
        <v>5231.18</v>
      </c>
      <c r="BA50" s="416">
        <f t="shared" si="6"/>
        <v>0</v>
      </c>
      <c r="BB50" s="416">
        <f>SUM(T50:BA50)</f>
        <v>66065.627999999997</v>
      </c>
    </row>
    <row r="51" spans="2:54">
      <c r="B51" s="1243" t="s">
        <v>558</v>
      </c>
      <c r="C51" s="1244"/>
      <c r="D51" s="1244"/>
      <c r="E51" s="1244"/>
      <c r="F51" s="1244"/>
      <c r="G51" s="1245"/>
      <c r="H51" s="420">
        <f>H50-L30</f>
        <v>0</v>
      </c>
      <c r="I51" s="294"/>
      <c r="J51" s="295"/>
      <c r="K51" s="295"/>
      <c r="L51" s="296"/>
      <c r="M51" s="32"/>
      <c r="N51" s="32"/>
      <c r="O51" s="32"/>
      <c r="P51" s="32"/>
      <c r="Q51" s="297"/>
      <c r="R51" s="297"/>
      <c r="S51" s="32"/>
      <c r="T51" s="48"/>
      <c r="U51" s="48"/>
      <c r="V51" s="48"/>
      <c r="W51" s="48"/>
      <c r="X51" s="48"/>
      <c r="Y51" s="48"/>
      <c r="Z51" s="48"/>
      <c r="AA51" s="48"/>
      <c r="AB51" s="48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</row>
    <row r="52" spans="2:54">
      <c r="B52" s="1243" t="s">
        <v>559</v>
      </c>
      <c r="C52" s="1244"/>
      <c r="D52" s="1244"/>
      <c r="E52" s="1244"/>
      <c r="F52" s="1244"/>
      <c r="G52" s="1245"/>
      <c r="H52" s="446">
        <v>3334.3719999999998</v>
      </c>
      <c r="I52" s="52"/>
      <c r="J52" s="53"/>
      <c r="K52" s="53"/>
      <c r="L52" s="54"/>
      <c r="M52" s="32"/>
      <c r="N52" s="201"/>
      <c r="O52" s="32"/>
      <c r="P52" s="32"/>
      <c r="Q52" s="32"/>
      <c r="R52" s="32"/>
      <c r="S52" s="32"/>
      <c r="T52" s="48"/>
      <c r="U52" s="48"/>
      <c r="V52" s="48"/>
      <c r="W52" s="48"/>
      <c r="X52" s="48"/>
      <c r="Y52" s="48"/>
      <c r="Z52" s="48"/>
      <c r="AA52" s="48"/>
      <c r="AB52" s="48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</row>
    <row r="53" spans="2:54">
      <c r="B53" s="1243" t="s">
        <v>560</v>
      </c>
      <c r="C53" s="1244"/>
      <c r="D53" s="1244"/>
      <c r="E53" s="1244"/>
      <c r="F53" s="1244"/>
      <c r="G53" s="1245"/>
      <c r="H53" s="421">
        <f>H52-4832.155</f>
        <v>-1497.7829999999999</v>
      </c>
      <c r="I53" s="52"/>
      <c r="J53" s="53"/>
      <c r="K53" s="53"/>
      <c r="L53" s="54"/>
      <c r="M53" s="32"/>
      <c r="N53" s="32"/>
      <c r="O53" s="32"/>
      <c r="P53" s="32"/>
      <c r="Q53" s="32"/>
      <c r="R53" s="32"/>
      <c r="S53" s="48"/>
      <c r="T53" s="48"/>
      <c r="U53" s="48"/>
      <c r="V53" s="48"/>
      <c r="W53" s="48"/>
      <c r="X53" s="48"/>
      <c r="Y53" s="48"/>
      <c r="Z53" s="48"/>
      <c r="AA53" s="48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</row>
    <row r="54" spans="2:54">
      <c r="B54" s="201"/>
      <c r="C54" s="201"/>
      <c r="D54" s="201"/>
      <c r="E54" s="201"/>
      <c r="F54" s="201"/>
      <c r="G54" s="201"/>
      <c r="H54" s="201"/>
      <c r="I54" s="213"/>
      <c r="J54" s="209"/>
      <c r="K54" s="209"/>
      <c r="L54" s="203"/>
      <c r="M54" s="201"/>
      <c r="N54" s="201"/>
      <c r="O54" s="209"/>
      <c r="P54" s="32"/>
      <c r="Q54" s="32"/>
      <c r="R54" s="32"/>
      <c r="S54" s="32"/>
      <c r="T54" s="48"/>
      <c r="U54" s="48"/>
      <c r="V54" s="48"/>
      <c r="W54" s="48"/>
      <c r="X54" s="48"/>
      <c r="Y54" s="48"/>
      <c r="Z54" s="48"/>
      <c r="AA54" s="48"/>
      <c r="AB54" s="48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</row>
    <row r="55" spans="2:54">
      <c r="B55" s="40" t="s">
        <v>561</v>
      </c>
      <c r="C55" s="40"/>
      <c r="D55" s="32"/>
      <c r="E55" s="32"/>
      <c r="F55" s="32"/>
      <c r="G55" s="32"/>
      <c r="H55" s="32"/>
      <c r="I55" s="32"/>
      <c r="J55" s="52"/>
      <c r="K55" s="52"/>
      <c r="L55" s="55"/>
      <c r="M55" s="32"/>
      <c r="N55" s="201"/>
      <c r="O55" s="5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  <c r="AR55" s="201"/>
      <c r="AS55" s="201"/>
      <c r="AT55" s="201"/>
      <c r="AU55" s="201"/>
      <c r="BB55" s="201"/>
    </row>
    <row r="56" spans="2:54">
      <c r="B56" s="422">
        <v>1</v>
      </c>
      <c r="C56" s="1249" t="s">
        <v>2446</v>
      </c>
      <c r="D56" s="1249"/>
      <c r="E56" s="1249"/>
      <c r="F56" s="1249"/>
      <c r="G56" s="1249"/>
      <c r="H56" s="1249"/>
      <c r="I56" s="1249"/>
      <c r="J56" s="1249"/>
      <c r="K56" s="1249"/>
      <c r="L56" s="203"/>
      <c r="M56" s="203"/>
      <c r="N56" s="201"/>
      <c r="O56" s="209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  <c r="AT56" s="201"/>
      <c r="AU56" s="201"/>
      <c r="AV56" s="201"/>
      <c r="AW56" s="201"/>
      <c r="AX56" s="201"/>
      <c r="AY56" s="201"/>
      <c r="AZ56" s="201"/>
      <c r="BA56" s="201"/>
      <c r="BB56" s="201"/>
    </row>
    <row r="58" spans="2:54">
      <c r="B58" s="28" t="s">
        <v>126</v>
      </c>
      <c r="C58" s="28"/>
      <c r="D58" s="29"/>
      <c r="E58" s="30" t="s">
        <v>511</v>
      </c>
      <c r="F58" s="31" t="s">
        <v>1052</v>
      </c>
      <c r="G58" s="32"/>
      <c r="H58" s="33"/>
      <c r="I58" s="34"/>
      <c r="J58" s="35" t="s">
        <v>513</v>
      </c>
      <c r="K58" s="36" t="s">
        <v>511</v>
      </c>
      <c r="L58" s="37">
        <v>45174.5</v>
      </c>
      <c r="M58" s="32"/>
      <c r="N58" s="32"/>
      <c r="O58" s="206"/>
      <c r="P58" s="205"/>
      <c r="Q58" s="202"/>
      <c r="R58" s="204"/>
      <c r="S58" s="38"/>
      <c r="T58" s="201"/>
      <c r="U58" s="201"/>
      <c r="V58" s="201"/>
      <c r="W58" s="201"/>
      <c r="X58" s="201"/>
      <c r="Y58" s="201"/>
      <c r="Z58" s="201"/>
      <c r="AA58" s="201"/>
      <c r="AB58" s="202"/>
      <c r="AC58" s="202"/>
      <c r="AD58" s="202"/>
      <c r="AE58" s="202"/>
      <c r="AF58" s="202"/>
      <c r="AG58" s="201"/>
      <c r="AH58" s="201"/>
      <c r="AI58" s="201"/>
      <c r="AJ58" s="201"/>
      <c r="AK58" s="201"/>
      <c r="AL58" s="201"/>
      <c r="AM58" s="201"/>
      <c r="AN58" s="201"/>
      <c r="AO58" s="201"/>
      <c r="AP58" s="201"/>
      <c r="AQ58" s="201"/>
      <c r="AR58" s="201"/>
      <c r="AS58" s="201"/>
      <c r="AT58" s="201"/>
      <c r="AU58" s="201"/>
      <c r="AV58" s="201"/>
      <c r="AW58" s="201"/>
      <c r="AX58" s="201"/>
      <c r="AY58" s="201"/>
      <c r="AZ58" s="201"/>
      <c r="BA58" s="201"/>
      <c r="BB58" s="201"/>
    </row>
    <row r="59" spans="2:54">
      <c r="B59" s="35" t="s">
        <v>514</v>
      </c>
      <c r="C59" s="35"/>
      <c r="D59" s="32"/>
      <c r="E59" s="36" t="s">
        <v>511</v>
      </c>
      <c r="F59" s="311" t="s">
        <v>2447</v>
      </c>
      <c r="G59" s="32"/>
      <c r="H59" s="33"/>
      <c r="I59" s="34"/>
      <c r="J59" s="35" t="s">
        <v>516</v>
      </c>
      <c r="K59" s="36" t="s">
        <v>511</v>
      </c>
      <c r="L59" s="37">
        <v>45176.430555555555</v>
      </c>
      <c r="M59" s="32"/>
      <c r="N59" s="32"/>
      <c r="O59" s="206"/>
      <c r="P59" s="205"/>
      <c r="Q59" s="202"/>
      <c r="R59" s="204"/>
      <c r="S59" s="38"/>
      <c r="T59" s="201"/>
      <c r="U59" s="201"/>
      <c r="V59" s="201"/>
      <c r="W59" s="201"/>
      <c r="X59" s="201"/>
      <c r="Y59" s="201"/>
      <c r="Z59" s="201"/>
      <c r="AA59" s="201"/>
      <c r="AB59" s="202"/>
      <c r="AC59" s="202"/>
      <c r="AD59" s="202"/>
      <c r="AE59" s="202"/>
      <c r="AF59" s="202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1"/>
      <c r="AS59" s="201"/>
      <c r="AT59" s="201"/>
      <c r="AU59" s="201"/>
      <c r="AV59" s="201"/>
      <c r="AW59" s="201"/>
      <c r="AX59" s="201"/>
      <c r="AY59" s="201"/>
      <c r="AZ59" s="201"/>
      <c r="BA59" s="201"/>
      <c r="BB59" s="201"/>
    </row>
    <row r="60" spans="2:54">
      <c r="B60" s="35" t="s">
        <v>517</v>
      </c>
      <c r="C60" s="35"/>
      <c r="D60" s="32"/>
      <c r="E60" s="36" t="s">
        <v>511</v>
      </c>
      <c r="F60" s="37">
        <v>45165.444444444445</v>
      </c>
      <c r="G60" s="32"/>
      <c r="H60" s="33"/>
      <c r="I60" s="34"/>
      <c r="J60" s="35" t="s">
        <v>518</v>
      </c>
      <c r="K60" s="36" t="s">
        <v>511</v>
      </c>
      <c r="L60" s="50">
        <v>45100</v>
      </c>
      <c r="M60" s="40" t="s">
        <v>519</v>
      </c>
      <c r="N60" s="40"/>
      <c r="O60" s="206"/>
      <c r="P60" s="205"/>
      <c r="Q60" s="202"/>
      <c r="R60" s="204"/>
      <c r="S60" s="38"/>
      <c r="T60" s="201"/>
      <c r="U60" s="201"/>
      <c r="V60" s="201"/>
      <c r="W60" s="201"/>
      <c r="X60" s="201"/>
      <c r="Y60" s="201"/>
      <c r="Z60" s="201"/>
      <c r="AA60" s="201"/>
      <c r="AB60" s="202"/>
      <c r="AC60" s="202"/>
      <c r="AD60" s="202"/>
      <c r="AE60" s="202"/>
      <c r="AF60" s="202"/>
      <c r="AG60" s="201"/>
      <c r="AH60" s="201"/>
      <c r="AI60" s="201"/>
      <c r="AJ60" s="201"/>
      <c r="AK60" s="201"/>
      <c r="AL60" s="201"/>
      <c r="AM60" s="201"/>
      <c r="AN60" s="201"/>
      <c r="AO60" s="201"/>
      <c r="AP60" s="201"/>
      <c r="AQ60" s="201"/>
      <c r="AR60" s="201"/>
      <c r="AS60" s="201"/>
      <c r="AT60" s="201"/>
      <c r="AU60" s="201"/>
      <c r="AV60" s="201"/>
      <c r="AW60" s="201"/>
      <c r="AX60" s="201"/>
      <c r="AY60" s="201"/>
      <c r="AZ60" s="201"/>
      <c r="BA60" s="201"/>
      <c r="BB60" s="201"/>
    </row>
    <row r="61" spans="2:54">
      <c r="B61" s="35" t="s">
        <v>520</v>
      </c>
      <c r="C61" s="35"/>
      <c r="D61" s="32"/>
      <c r="E61" s="36" t="s">
        <v>511</v>
      </c>
      <c r="F61" s="37" t="s">
        <v>12</v>
      </c>
      <c r="G61" s="32"/>
      <c r="H61" s="33"/>
      <c r="I61" s="34"/>
      <c r="J61" s="35" t="s">
        <v>521</v>
      </c>
      <c r="K61" s="36" t="s">
        <v>511</v>
      </c>
      <c r="L61" s="41" t="s">
        <v>2448</v>
      </c>
      <c r="M61" s="32"/>
      <c r="N61" s="32"/>
      <c r="O61" s="206"/>
      <c r="P61" s="202"/>
      <c r="Q61" s="202"/>
      <c r="R61" s="204"/>
      <c r="S61" s="38"/>
      <c r="T61" s="201"/>
      <c r="U61" s="201"/>
      <c r="V61" s="201"/>
      <c r="W61" s="201"/>
      <c r="X61" s="201"/>
      <c r="Y61" s="201"/>
      <c r="Z61" s="201"/>
      <c r="AA61" s="201"/>
      <c r="AB61" s="202"/>
      <c r="AC61" s="202"/>
      <c r="AD61" s="202"/>
      <c r="AE61" s="202"/>
      <c r="AF61" s="202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  <c r="AU61" s="201"/>
      <c r="AV61" s="201"/>
      <c r="AW61" s="201"/>
      <c r="AX61" s="201"/>
      <c r="AY61" s="201"/>
      <c r="AZ61" s="201"/>
      <c r="BA61" s="201"/>
      <c r="BB61" s="201"/>
    </row>
    <row r="62" spans="2:54">
      <c r="B62" s="35" t="s">
        <v>523</v>
      </c>
      <c r="C62" s="35"/>
      <c r="D62" s="32"/>
      <c r="E62" s="36" t="s">
        <v>511</v>
      </c>
      <c r="F62" s="37" t="s">
        <v>32</v>
      </c>
      <c r="G62" s="32"/>
      <c r="H62" s="33"/>
      <c r="I62" s="34"/>
      <c r="J62" s="42" t="s">
        <v>524</v>
      </c>
      <c r="K62" s="36" t="s">
        <v>511</v>
      </c>
      <c r="L62" s="43" t="s">
        <v>11</v>
      </c>
      <c r="M62" s="44"/>
      <c r="N62" s="44"/>
      <c r="O62" s="206"/>
      <c r="P62" s="205"/>
      <c r="Q62" s="202"/>
      <c r="R62" s="204"/>
      <c r="S62" s="38"/>
      <c r="T62" s="201"/>
      <c r="U62" s="201"/>
      <c r="V62" s="201"/>
      <c r="W62" s="201"/>
      <c r="X62" s="201"/>
      <c r="Y62" s="201"/>
      <c r="Z62" s="201"/>
      <c r="AA62" s="201"/>
      <c r="AB62" s="202"/>
      <c r="AC62" s="202"/>
      <c r="AD62" s="202"/>
      <c r="AE62" s="202"/>
      <c r="AF62" s="202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  <c r="AU62" s="201"/>
      <c r="AV62" s="201"/>
      <c r="AW62" s="201"/>
      <c r="AX62" s="201"/>
      <c r="AY62" s="201"/>
      <c r="AZ62" s="201"/>
      <c r="BA62" s="201"/>
      <c r="BB62" s="201"/>
    </row>
    <row r="63" spans="2:54">
      <c r="B63" s="35" t="s">
        <v>2</v>
      </c>
      <c r="C63" s="35"/>
      <c r="D63" s="32"/>
      <c r="E63" s="36" t="s">
        <v>511</v>
      </c>
      <c r="F63" s="37" t="s">
        <v>14</v>
      </c>
      <c r="G63" s="32"/>
      <c r="H63" s="33"/>
      <c r="I63" s="45"/>
      <c r="J63" s="42"/>
      <c r="K63" s="36"/>
      <c r="L63" s="211"/>
      <c r="M63" s="201"/>
      <c r="N63" s="201"/>
      <c r="O63" s="42"/>
      <c r="P63" s="44"/>
      <c r="Q63" s="44"/>
      <c r="R63" s="44"/>
      <c r="S63" s="34"/>
      <c r="T63" s="201"/>
      <c r="U63" s="201"/>
      <c r="V63" s="201"/>
      <c r="W63" s="201"/>
      <c r="X63" s="201"/>
      <c r="Y63" s="201"/>
      <c r="Z63" s="201"/>
      <c r="AA63" s="201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201"/>
      <c r="AP63" s="201"/>
      <c r="AQ63" s="201"/>
      <c r="AR63" s="201"/>
      <c r="AS63" s="201"/>
      <c r="AT63" s="201"/>
      <c r="AU63" s="201"/>
      <c r="AV63" s="201"/>
      <c r="AW63" s="201"/>
      <c r="AX63" s="201"/>
      <c r="AY63" s="201"/>
      <c r="AZ63" s="201"/>
      <c r="BA63" s="201"/>
      <c r="BB63" s="201"/>
    </row>
    <row r="64" spans="2:54">
      <c r="B64" s="201"/>
      <c r="C64" s="201"/>
      <c r="D64" s="201"/>
      <c r="E64" s="201"/>
      <c r="F64" s="201"/>
      <c r="G64" s="201"/>
      <c r="H64" s="201"/>
      <c r="I64" s="45"/>
      <c r="J64" s="42"/>
      <c r="K64" s="42"/>
      <c r="L64" s="43"/>
      <c r="M64" s="44"/>
      <c r="N64" s="44"/>
      <c r="O64" s="42"/>
      <c r="P64" s="44"/>
      <c r="Q64" s="44"/>
      <c r="R64" s="44"/>
      <c r="S64" s="34"/>
      <c r="T64" s="1265" t="s">
        <v>87</v>
      </c>
      <c r="U64" s="1265"/>
      <c r="V64" s="1265"/>
      <c r="W64" s="1265"/>
      <c r="X64" s="1265"/>
      <c r="Y64" s="1265" t="s">
        <v>73</v>
      </c>
      <c r="Z64" s="1265"/>
      <c r="AA64" s="1265"/>
      <c r="AB64" s="1265" t="s">
        <v>74</v>
      </c>
      <c r="AC64" s="1265"/>
      <c r="AD64" s="423" t="s">
        <v>85</v>
      </c>
      <c r="AE64" s="423" t="s">
        <v>77</v>
      </c>
      <c r="AF64" s="1265" t="s">
        <v>525</v>
      </c>
      <c r="AG64" s="1265"/>
      <c r="AH64" s="1265"/>
      <c r="AI64" s="1265"/>
      <c r="AJ64" s="1265"/>
      <c r="AK64" s="1265"/>
      <c r="AL64" s="1265"/>
      <c r="AM64" s="1265"/>
      <c r="AN64" s="1265"/>
      <c r="AO64" s="1265"/>
      <c r="AP64" s="1265"/>
      <c r="AQ64" s="1265"/>
      <c r="AR64" s="1265"/>
      <c r="AS64" s="1265"/>
      <c r="AT64" s="1265"/>
      <c r="AU64" s="1265"/>
      <c r="AV64" s="1265"/>
      <c r="AW64" s="1265"/>
      <c r="AX64" s="1265"/>
      <c r="AY64" s="1265"/>
      <c r="AZ64" s="1265"/>
      <c r="BA64" s="1265"/>
      <c r="BB64" s="201"/>
    </row>
    <row r="65" spans="2:54">
      <c r="B65" s="1266" t="s">
        <v>526</v>
      </c>
      <c r="C65" s="1267"/>
      <c r="D65" s="570" t="s">
        <v>527</v>
      </c>
      <c r="E65" s="570"/>
      <c r="F65" s="570" t="s">
        <v>528</v>
      </c>
      <c r="G65" s="570" t="s">
        <v>529</v>
      </c>
      <c r="H65" s="570" t="s">
        <v>530</v>
      </c>
      <c r="I65" s="570" t="s">
        <v>531</v>
      </c>
      <c r="J65" s="570" t="s">
        <v>532</v>
      </c>
      <c r="K65" s="570"/>
      <c r="L65" s="570" t="s">
        <v>130</v>
      </c>
      <c r="M65" s="570" t="s">
        <v>533</v>
      </c>
      <c r="N65" s="408" t="str">
        <f>"On time - "&amp;COUNTIF(N66:N75,"On time")&amp;" from "&amp;ROWS(N66:N75)-COUNTIF(N66:N75," ")</f>
        <v>On time - 0 from 7</v>
      </c>
      <c r="O65" s="46"/>
      <c r="P65" s="409" t="s">
        <v>534</v>
      </c>
      <c r="Q65" s="409" t="s">
        <v>535</v>
      </c>
      <c r="R65" s="409" t="s">
        <v>536</v>
      </c>
      <c r="S65" s="32"/>
      <c r="T65" s="424" t="s">
        <v>537</v>
      </c>
      <c r="U65" s="424" t="s">
        <v>538</v>
      </c>
      <c r="V65" s="424" t="s">
        <v>539</v>
      </c>
      <c r="W65" s="424" t="s">
        <v>540</v>
      </c>
      <c r="X65" s="424" t="s">
        <v>541</v>
      </c>
      <c r="Y65" s="424" t="s">
        <v>167</v>
      </c>
      <c r="Z65" s="424" t="s">
        <v>168</v>
      </c>
      <c r="AA65" s="424" t="s">
        <v>169</v>
      </c>
      <c r="AB65" s="424" t="s">
        <v>235</v>
      </c>
      <c r="AC65" s="424" t="s">
        <v>240</v>
      </c>
      <c r="AD65" s="423" t="s">
        <v>85</v>
      </c>
      <c r="AE65" s="424" t="s">
        <v>139</v>
      </c>
      <c r="AF65" s="424" t="s">
        <v>72</v>
      </c>
      <c r="AG65" s="424" t="s">
        <v>88</v>
      </c>
      <c r="AH65" s="424" t="s">
        <v>75</v>
      </c>
      <c r="AI65" s="424" t="s">
        <v>543</v>
      </c>
      <c r="AJ65" s="424" t="s">
        <v>78</v>
      </c>
      <c r="AK65" s="424" t="s">
        <v>76</v>
      </c>
      <c r="AL65" s="424" t="s">
        <v>544</v>
      </c>
      <c r="AM65" s="424" t="s">
        <v>545</v>
      </c>
      <c r="AN65" s="424" t="s">
        <v>86</v>
      </c>
      <c r="AO65" s="424" t="s">
        <v>83</v>
      </c>
      <c r="AP65" s="424" t="s">
        <v>84</v>
      </c>
      <c r="AQ65" s="424" t="s">
        <v>546</v>
      </c>
      <c r="AR65" s="424" t="s">
        <v>81</v>
      </c>
      <c r="AS65" s="424" t="s">
        <v>80</v>
      </c>
      <c r="AT65" s="424" t="s">
        <v>82</v>
      </c>
      <c r="AU65" s="424" t="s">
        <v>181</v>
      </c>
      <c r="AV65" s="424" t="s">
        <v>183</v>
      </c>
      <c r="AW65" s="424" t="s">
        <v>547</v>
      </c>
      <c r="AX65" s="424" t="s">
        <v>182</v>
      </c>
      <c r="AY65" s="424" t="s">
        <v>172</v>
      </c>
      <c r="AZ65" s="424" t="s">
        <v>173</v>
      </c>
      <c r="BA65" s="424" t="s">
        <v>184</v>
      </c>
      <c r="BB65" s="201"/>
    </row>
    <row r="66" spans="2:54">
      <c r="B66" s="1256" t="s">
        <v>548</v>
      </c>
      <c r="C66" s="1257"/>
      <c r="D66" s="411" t="s">
        <v>2403</v>
      </c>
      <c r="E66" s="411"/>
      <c r="F66" s="411" t="s">
        <v>2404</v>
      </c>
      <c r="G66" s="411" t="s">
        <v>2405</v>
      </c>
      <c r="H66" s="412">
        <v>1150.9570000000001</v>
      </c>
      <c r="I66" s="413" t="s">
        <v>494</v>
      </c>
      <c r="J66" s="414">
        <v>45167.833333333336</v>
      </c>
      <c r="K66" s="414"/>
      <c r="L66" s="414" t="s">
        <v>192</v>
      </c>
      <c r="M66" s="414" t="s">
        <v>192</v>
      </c>
      <c r="N66" s="413" t="str">
        <f>IF(ISBLANK(J66)," ",IF(J66&lt;$F$60,"On time",(IF(DAY(J66-$F$60)&lt;1,"On time",(IF(J66&gt;$F$60,"DELAY ( "&amp;DAY(J66-$F$60)&amp;" day "&amp;HOUR(J66-$F$60)&amp;" hour "&amp;MINUTE(J66-$F$60)&amp;" minute )","xxx"))))))</f>
        <v>DELAY ( 2 day 9 hour 20 minute )</v>
      </c>
      <c r="O66" s="51"/>
      <c r="P66" s="415" t="s">
        <v>551</v>
      </c>
      <c r="Q66" s="415" t="s">
        <v>551</v>
      </c>
      <c r="R66" s="415" t="s">
        <v>551</v>
      </c>
      <c r="S66" s="32"/>
      <c r="T66" s="416"/>
      <c r="U66" s="416"/>
      <c r="V66" s="416"/>
      <c r="W66" s="416"/>
      <c r="X66" s="416"/>
      <c r="Y66" s="416">
        <f>H66</f>
        <v>1150.9570000000001</v>
      </c>
      <c r="Z66" s="416"/>
      <c r="AA66" s="416"/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  <c r="AL66" s="416"/>
      <c r="AM66" s="416"/>
      <c r="AN66" s="416"/>
      <c r="AO66" s="416"/>
      <c r="AP66" s="416"/>
      <c r="AQ66" s="416"/>
      <c r="AR66" s="416"/>
      <c r="AS66" s="416"/>
      <c r="AT66" s="416"/>
      <c r="AU66" s="416"/>
      <c r="AV66" s="416"/>
      <c r="AW66" s="416"/>
      <c r="AX66" s="416"/>
      <c r="AY66" s="416"/>
      <c r="AZ66" s="416"/>
      <c r="BA66" s="416"/>
      <c r="BB66" s="32"/>
    </row>
    <row r="67" spans="2:54">
      <c r="B67" s="1250" t="s">
        <v>2449</v>
      </c>
      <c r="C67" s="1251"/>
      <c r="D67" s="411" t="s">
        <v>2450</v>
      </c>
      <c r="E67" s="425"/>
      <c r="F67" s="411" t="s">
        <v>2388</v>
      </c>
      <c r="G67" s="411" t="s">
        <v>289</v>
      </c>
      <c r="H67" s="412">
        <f>7549.316/2</f>
        <v>3774.6579999999999</v>
      </c>
      <c r="I67" s="413" t="s">
        <v>172</v>
      </c>
      <c r="J67" s="414">
        <v>45174.5</v>
      </c>
      <c r="K67" s="414"/>
      <c r="L67" s="414" t="s">
        <v>192</v>
      </c>
      <c r="M67" s="414" t="s">
        <v>192</v>
      </c>
      <c r="N67" s="413" t="str">
        <f t="shared" ref="N67:N75" si="7">IF(ISBLANK(J67)," ",IF(J67&lt;$F$60,"On time",(IF(DAY(J67-$F$60)&lt;1,"On time",(IF(J67&gt;$F$60,"DELAY ( "&amp;DAY(J67-$F$60)&amp;" day "&amp;HOUR(J67-$F$60)&amp;" hour "&amp;MINUTE(J67-$F$60)&amp;" minute )","xxx"))))))</f>
        <v>DELAY ( 9 day 1 hour 20 minute )</v>
      </c>
      <c r="O67" s="51"/>
      <c r="P67" s="415" t="s">
        <v>551</v>
      </c>
      <c r="Q67" s="415" t="s">
        <v>551</v>
      </c>
      <c r="R67" s="415" t="s">
        <v>551</v>
      </c>
      <c r="S67" s="32"/>
      <c r="T67" s="416"/>
      <c r="U67" s="416"/>
      <c r="V67" s="416"/>
      <c r="W67" s="416"/>
      <c r="X67" s="416"/>
      <c r="Y67" s="416"/>
      <c r="Z67" s="416"/>
      <c r="AA67" s="416"/>
      <c r="AB67" s="416"/>
      <c r="AC67" s="416"/>
      <c r="AD67" s="416"/>
      <c r="AE67" s="416"/>
      <c r="AF67" s="416"/>
      <c r="AG67" s="416"/>
      <c r="AH67" s="416"/>
      <c r="AI67" s="416"/>
      <c r="AJ67" s="416"/>
      <c r="AK67" s="416"/>
      <c r="AL67" s="416"/>
      <c r="AM67" s="416"/>
      <c r="AN67" s="416"/>
      <c r="AO67" s="416"/>
      <c r="AP67" s="416"/>
      <c r="AQ67" s="416"/>
      <c r="AR67" s="416"/>
      <c r="AS67" s="416"/>
      <c r="AT67" s="416"/>
      <c r="AU67" s="416"/>
      <c r="AV67" s="416"/>
      <c r="AW67" s="416"/>
      <c r="AX67" s="416"/>
      <c r="AY67" s="416">
        <f>H67</f>
        <v>3774.6579999999999</v>
      </c>
      <c r="AZ67" s="416"/>
      <c r="BA67" s="416"/>
      <c r="BB67" s="32"/>
    </row>
    <row r="68" spans="2:54">
      <c r="B68" s="1254"/>
      <c r="C68" s="1255"/>
      <c r="D68" s="411" t="s">
        <v>2451</v>
      </c>
      <c r="E68" s="411"/>
      <c r="F68" s="411" t="s">
        <v>361</v>
      </c>
      <c r="G68" s="411" t="s">
        <v>362</v>
      </c>
      <c r="H68" s="412">
        <v>7347.0789999999997</v>
      </c>
      <c r="I68" s="413" t="s">
        <v>494</v>
      </c>
      <c r="J68" s="414">
        <v>45173.5</v>
      </c>
      <c r="K68" s="414"/>
      <c r="L68" s="414" t="s">
        <v>192</v>
      </c>
      <c r="M68" s="414" t="s">
        <v>192</v>
      </c>
      <c r="N68" s="413" t="str">
        <f t="shared" si="7"/>
        <v>DELAY ( 8 day 1 hour 20 minute )</v>
      </c>
      <c r="O68" s="51"/>
      <c r="P68" s="415" t="s">
        <v>551</v>
      </c>
      <c r="Q68" s="415" t="s">
        <v>551</v>
      </c>
      <c r="R68" s="415" t="s">
        <v>551</v>
      </c>
      <c r="S68" s="32"/>
      <c r="T68" s="416"/>
      <c r="U68" s="416"/>
      <c r="V68" s="416"/>
      <c r="W68" s="416"/>
      <c r="X68" s="416"/>
      <c r="Y68" s="416">
        <f>H68</f>
        <v>7347.0789999999997</v>
      </c>
      <c r="Z68" s="416"/>
      <c r="AA68" s="416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  <c r="AX68" s="416"/>
      <c r="AY68" s="416"/>
      <c r="AZ68" s="416"/>
      <c r="BA68" s="416"/>
      <c r="BB68" s="32"/>
    </row>
    <row r="69" spans="2:54">
      <c r="B69" s="1250" t="s">
        <v>656</v>
      </c>
      <c r="C69" s="1251"/>
      <c r="D69" s="411" t="s">
        <v>2450</v>
      </c>
      <c r="E69" s="425"/>
      <c r="F69" s="411" t="s">
        <v>2388</v>
      </c>
      <c r="G69" s="411" t="s">
        <v>289</v>
      </c>
      <c r="H69" s="412">
        <f>H67</f>
        <v>3774.6579999999999</v>
      </c>
      <c r="I69" s="413" t="s">
        <v>172</v>
      </c>
      <c r="J69" s="414"/>
      <c r="K69" s="414"/>
      <c r="L69" s="414"/>
      <c r="M69" s="414"/>
      <c r="N69" s="413" t="str">
        <f t="shared" si="7"/>
        <v xml:space="preserve"> </v>
      </c>
      <c r="O69" s="51"/>
      <c r="P69" s="415" t="s">
        <v>551</v>
      </c>
      <c r="Q69" s="415" t="s">
        <v>551</v>
      </c>
      <c r="R69" s="415" t="s">
        <v>551</v>
      </c>
      <c r="S69" s="32"/>
      <c r="T69" s="416"/>
      <c r="U69" s="416"/>
      <c r="V69" s="416"/>
      <c r="W69" s="416"/>
      <c r="X69" s="416"/>
      <c r="Y69" s="416"/>
      <c r="Z69" s="416"/>
      <c r="AA69" s="416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  <c r="AX69" s="416"/>
      <c r="AY69" s="416">
        <f>H69</f>
        <v>3774.6579999999999</v>
      </c>
      <c r="AZ69" s="416"/>
      <c r="BA69" s="416"/>
      <c r="BB69" s="32"/>
    </row>
    <row r="70" spans="2:54">
      <c r="B70" s="1254"/>
      <c r="C70" s="1255"/>
      <c r="D70" s="411" t="s">
        <v>2452</v>
      </c>
      <c r="E70" s="411"/>
      <c r="F70" s="411" t="s">
        <v>367</v>
      </c>
      <c r="G70" s="411" t="s">
        <v>368</v>
      </c>
      <c r="H70" s="412">
        <v>9902.7839999999997</v>
      </c>
      <c r="I70" s="413" t="s">
        <v>494</v>
      </c>
      <c r="J70" s="414">
        <v>45173.548611111109</v>
      </c>
      <c r="K70" s="414"/>
      <c r="L70" s="414" t="s">
        <v>192</v>
      </c>
      <c r="M70" s="414" t="s">
        <v>192</v>
      </c>
      <c r="N70" s="413" t="str">
        <f t="shared" si="7"/>
        <v>DELAY ( 8 day 2 hour 30 minute )</v>
      </c>
      <c r="O70" s="51"/>
      <c r="P70" s="415" t="s">
        <v>551</v>
      </c>
      <c r="Q70" s="415" t="s">
        <v>551</v>
      </c>
      <c r="R70" s="415" t="s">
        <v>551</v>
      </c>
      <c r="S70" s="32"/>
      <c r="T70" s="416"/>
      <c r="U70" s="416"/>
      <c r="V70" s="416"/>
      <c r="W70" s="416"/>
      <c r="X70" s="416"/>
      <c r="Y70" s="416">
        <f>H70</f>
        <v>9902.7839999999997</v>
      </c>
      <c r="Z70" s="416"/>
      <c r="AA70" s="416"/>
      <c r="AB70" s="416"/>
      <c r="AC70" s="416"/>
      <c r="AD70" s="416"/>
      <c r="AE70" s="416"/>
      <c r="AF70" s="416"/>
      <c r="AG70" s="416"/>
      <c r="AH70" s="416"/>
      <c r="AI70" s="416"/>
      <c r="AJ70" s="416"/>
      <c r="AK70" s="416"/>
      <c r="AL70" s="416"/>
      <c r="AM70" s="416"/>
      <c r="AN70" s="416"/>
      <c r="AO70" s="416"/>
      <c r="AP70" s="416"/>
      <c r="AQ70" s="416"/>
      <c r="AR70" s="416"/>
      <c r="AS70" s="416"/>
      <c r="AT70" s="416"/>
      <c r="AU70" s="416"/>
      <c r="AV70" s="416"/>
      <c r="AW70" s="416"/>
      <c r="AX70" s="416"/>
      <c r="AY70" s="416"/>
      <c r="AZ70" s="416"/>
      <c r="BA70" s="416"/>
      <c r="BB70" s="32"/>
    </row>
    <row r="71" spans="2:54">
      <c r="B71" s="1250" t="s">
        <v>653</v>
      </c>
      <c r="C71" s="1251"/>
      <c r="D71" s="411" t="s">
        <v>2453</v>
      </c>
      <c r="E71" s="411"/>
      <c r="F71" s="411" t="s">
        <v>1230</v>
      </c>
      <c r="G71" s="411" t="s">
        <v>1231</v>
      </c>
      <c r="H71" s="412">
        <v>7528.558</v>
      </c>
      <c r="I71" s="413" t="s">
        <v>494</v>
      </c>
      <c r="J71" s="414">
        <v>45174.541666666664</v>
      </c>
      <c r="K71" s="414"/>
      <c r="L71" s="414" t="s">
        <v>192</v>
      </c>
      <c r="M71" s="414" t="s">
        <v>192</v>
      </c>
      <c r="N71" s="413" t="str">
        <f t="shared" si="7"/>
        <v>DELAY ( 9 day 2 hour 20 minute )</v>
      </c>
      <c r="O71" s="51"/>
      <c r="P71" s="415" t="s">
        <v>551</v>
      </c>
      <c r="Q71" s="415" t="s">
        <v>551</v>
      </c>
      <c r="R71" s="415" t="s">
        <v>551</v>
      </c>
      <c r="S71" s="32"/>
      <c r="T71" s="416"/>
      <c r="U71" s="416"/>
      <c r="V71" s="416"/>
      <c r="W71" s="416"/>
      <c r="X71" s="416"/>
      <c r="Y71" s="416">
        <f>H71</f>
        <v>7528.558</v>
      </c>
      <c r="Z71" s="416"/>
      <c r="AA71" s="416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  <c r="AX71" s="416"/>
      <c r="AY71" s="416"/>
      <c r="AZ71" s="416"/>
      <c r="BA71" s="416"/>
      <c r="BB71" s="32"/>
    </row>
    <row r="72" spans="2:54">
      <c r="B72" s="1254"/>
      <c r="C72" s="1255"/>
      <c r="D72" s="411" t="s">
        <v>2454</v>
      </c>
      <c r="E72" s="411"/>
      <c r="F72" s="411" t="s">
        <v>213</v>
      </c>
      <c r="G72" s="411" t="s">
        <v>214</v>
      </c>
      <c r="H72" s="412">
        <v>7544.4189999999999</v>
      </c>
      <c r="I72" s="413" t="s">
        <v>235</v>
      </c>
      <c r="J72" s="414">
        <v>45175.625</v>
      </c>
      <c r="K72" s="414"/>
      <c r="L72" s="414" t="s">
        <v>192</v>
      </c>
      <c r="M72" s="414" t="s">
        <v>192</v>
      </c>
      <c r="N72" s="413" t="str">
        <f t="shared" si="7"/>
        <v>DELAY ( 10 day 4 hour 20 minute )</v>
      </c>
      <c r="O72" s="51"/>
      <c r="P72" s="415" t="s">
        <v>551</v>
      </c>
      <c r="Q72" s="572" t="s">
        <v>551</v>
      </c>
      <c r="R72" s="572" t="s">
        <v>551</v>
      </c>
      <c r="S72" s="32"/>
      <c r="T72" s="416"/>
      <c r="U72" s="416"/>
      <c r="V72" s="416"/>
      <c r="W72" s="416"/>
      <c r="X72" s="416"/>
      <c r="Y72" s="32"/>
      <c r="Z72" s="416"/>
      <c r="AA72" s="416"/>
      <c r="AB72" s="416">
        <f>H72</f>
        <v>7544.4189999999999</v>
      </c>
      <c r="AC72" s="416"/>
      <c r="AD72" s="416"/>
      <c r="AE72" s="416"/>
      <c r="AF72" s="416"/>
      <c r="AG72" s="416"/>
      <c r="AH72" s="416"/>
      <c r="AI72" s="416"/>
      <c r="AJ72" s="416"/>
      <c r="AK72" s="416"/>
      <c r="AL72" s="416"/>
      <c r="AM72" s="416"/>
      <c r="AN72" s="416"/>
      <c r="AO72" s="416"/>
      <c r="AP72" s="416"/>
      <c r="AQ72" s="416"/>
      <c r="AR72" s="416"/>
      <c r="AS72" s="416"/>
      <c r="AT72" s="416"/>
      <c r="AU72" s="416"/>
      <c r="AV72" s="416"/>
      <c r="AW72" s="416"/>
      <c r="AX72" s="416"/>
      <c r="AY72" s="416"/>
      <c r="AZ72" s="416"/>
      <c r="BA72" s="416"/>
      <c r="BB72" s="32"/>
    </row>
    <row r="73" spans="2:54">
      <c r="B73" s="1256" t="s">
        <v>548</v>
      </c>
      <c r="C73" s="1257"/>
      <c r="D73" s="411" t="s">
        <v>2455</v>
      </c>
      <c r="E73" s="411"/>
      <c r="F73" s="411" t="s">
        <v>422</v>
      </c>
      <c r="G73" s="411" t="s">
        <v>375</v>
      </c>
      <c r="H73" s="412">
        <f>7453.302-3376.415</f>
        <v>4076.8869999999997</v>
      </c>
      <c r="I73" s="413" t="s">
        <v>494</v>
      </c>
      <c r="J73" s="414">
        <v>45175.798611111109</v>
      </c>
      <c r="K73" s="414"/>
      <c r="L73" s="414" t="s">
        <v>192</v>
      </c>
      <c r="M73" s="414" t="s">
        <v>192</v>
      </c>
      <c r="N73" s="413" t="str">
        <f t="shared" si="7"/>
        <v>DELAY ( 10 day 8 hour 30 minute )</v>
      </c>
      <c r="O73" s="51"/>
      <c r="P73" s="572" t="s">
        <v>551</v>
      </c>
      <c r="Q73" s="572" t="s">
        <v>551</v>
      </c>
      <c r="R73" s="572" t="s">
        <v>551</v>
      </c>
      <c r="S73" s="32"/>
      <c r="T73" s="416"/>
      <c r="U73" s="416"/>
      <c r="V73" s="416"/>
      <c r="W73" s="416"/>
      <c r="X73" s="416"/>
      <c r="Y73" s="416">
        <f>H73</f>
        <v>4076.8869999999997</v>
      </c>
      <c r="Z73" s="416"/>
      <c r="AA73" s="416"/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  <c r="AL73" s="416"/>
      <c r="AM73" s="416"/>
      <c r="AN73" s="416"/>
      <c r="AO73" s="416"/>
      <c r="AP73" s="416"/>
      <c r="AQ73" s="416"/>
      <c r="AR73" s="416"/>
      <c r="AS73" s="416"/>
      <c r="AT73" s="416"/>
      <c r="AU73" s="416"/>
      <c r="AV73" s="416"/>
      <c r="AW73" s="416"/>
      <c r="AX73" s="416"/>
      <c r="AY73" s="416"/>
      <c r="AZ73" s="416"/>
      <c r="BA73" s="416"/>
      <c r="BB73" s="32"/>
    </row>
    <row r="74" spans="2:54">
      <c r="B74" s="1258" t="s">
        <v>556</v>
      </c>
      <c r="C74" s="1259"/>
      <c r="D74" s="1259"/>
      <c r="E74" s="1259"/>
      <c r="F74" s="1259"/>
      <c r="G74" s="1260"/>
      <c r="H74" s="417">
        <f>SUM(H66:H73)</f>
        <v>45100</v>
      </c>
      <c r="I74" s="388"/>
      <c r="J74" s="293"/>
      <c r="K74" s="293"/>
      <c r="L74" s="293"/>
      <c r="M74" s="389"/>
      <c r="N74" s="413" t="str">
        <f t="shared" si="7"/>
        <v xml:space="preserve"> </v>
      </c>
      <c r="O74" s="212"/>
      <c r="P74" s="418"/>
      <c r="Q74" s="418"/>
      <c r="R74" s="418"/>
      <c r="S74" s="207"/>
      <c r="T74" s="1300"/>
      <c r="U74" s="1301"/>
      <c r="V74" s="1301"/>
      <c r="W74" s="1301"/>
      <c r="X74" s="1301"/>
      <c r="Y74" s="1301"/>
      <c r="Z74" s="1301"/>
      <c r="AA74" s="1301"/>
      <c r="AB74" s="1301"/>
      <c r="AC74" s="1301"/>
      <c r="AD74" s="1301"/>
      <c r="AE74" s="1301"/>
      <c r="AF74" s="1301"/>
      <c r="AG74" s="1301"/>
      <c r="AH74" s="1301"/>
      <c r="AI74" s="1301"/>
      <c r="AJ74" s="1301"/>
      <c r="AK74" s="1301"/>
      <c r="AL74" s="1301"/>
      <c r="AM74" s="1301"/>
      <c r="AN74" s="1301"/>
      <c r="AO74" s="1301"/>
      <c r="AP74" s="1301"/>
      <c r="AQ74" s="1301"/>
      <c r="AR74" s="1301"/>
      <c r="AS74" s="1301"/>
      <c r="AT74" s="1301"/>
      <c r="AU74" s="1301"/>
      <c r="AV74" s="1301"/>
      <c r="AW74" s="1301"/>
      <c r="AX74" s="1301"/>
      <c r="AY74" s="1301"/>
      <c r="AZ74" s="1301"/>
      <c r="BA74" s="1301"/>
    </row>
    <row r="75" spans="2:54">
      <c r="B75" s="1243" t="s">
        <v>557</v>
      </c>
      <c r="C75" s="1244"/>
      <c r="D75" s="1244"/>
      <c r="E75" s="1244"/>
      <c r="F75" s="1244"/>
      <c r="G75" s="1245"/>
      <c r="H75" s="419">
        <v>45100</v>
      </c>
      <c r="I75" s="1273"/>
      <c r="J75" s="1274"/>
      <c r="K75" s="1274"/>
      <c r="L75" s="1274"/>
      <c r="M75" s="1275"/>
      <c r="N75" s="413" t="str">
        <f t="shared" si="7"/>
        <v xml:space="preserve"> </v>
      </c>
      <c r="O75" s="32"/>
      <c r="P75" s="415"/>
      <c r="Q75" s="415"/>
      <c r="R75" s="415"/>
      <c r="S75" s="63"/>
      <c r="T75" s="416">
        <f t="shared" ref="T75:BA75" si="8">SUM(T66:T73)</f>
        <v>0</v>
      </c>
      <c r="U75" s="416">
        <f t="shared" si="8"/>
        <v>0</v>
      </c>
      <c r="V75" s="416">
        <f t="shared" si="8"/>
        <v>0</v>
      </c>
      <c r="W75" s="416">
        <f t="shared" si="8"/>
        <v>0</v>
      </c>
      <c r="X75" s="416">
        <f t="shared" si="8"/>
        <v>0</v>
      </c>
      <c r="Y75" s="416">
        <f t="shared" si="8"/>
        <v>30006.264999999999</v>
      </c>
      <c r="Z75" s="416">
        <f t="shared" si="8"/>
        <v>0</v>
      </c>
      <c r="AA75" s="416">
        <f t="shared" si="8"/>
        <v>0</v>
      </c>
      <c r="AB75" s="416">
        <f t="shared" si="8"/>
        <v>7544.4189999999999</v>
      </c>
      <c r="AC75" s="416">
        <f t="shared" si="8"/>
        <v>0</v>
      </c>
      <c r="AD75" s="416">
        <f t="shared" si="8"/>
        <v>0</v>
      </c>
      <c r="AE75" s="416">
        <f t="shared" si="8"/>
        <v>0</v>
      </c>
      <c r="AF75" s="416">
        <f t="shared" si="8"/>
        <v>0</v>
      </c>
      <c r="AG75" s="416">
        <f t="shared" si="8"/>
        <v>0</v>
      </c>
      <c r="AH75" s="416">
        <f t="shared" si="8"/>
        <v>0</v>
      </c>
      <c r="AI75" s="416">
        <f t="shared" si="8"/>
        <v>0</v>
      </c>
      <c r="AJ75" s="416">
        <f t="shared" si="8"/>
        <v>0</v>
      </c>
      <c r="AK75" s="416">
        <f t="shared" si="8"/>
        <v>0</v>
      </c>
      <c r="AL75" s="416">
        <f t="shared" si="8"/>
        <v>0</v>
      </c>
      <c r="AM75" s="416">
        <f t="shared" si="8"/>
        <v>0</v>
      </c>
      <c r="AN75" s="416">
        <f t="shared" si="8"/>
        <v>0</v>
      </c>
      <c r="AO75" s="416">
        <f t="shared" si="8"/>
        <v>0</v>
      </c>
      <c r="AP75" s="416">
        <f t="shared" si="8"/>
        <v>0</v>
      </c>
      <c r="AQ75" s="416">
        <f t="shared" si="8"/>
        <v>0</v>
      </c>
      <c r="AR75" s="416">
        <f t="shared" si="8"/>
        <v>0</v>
      </c>
      <c r="AS75" s="416">
        <f t="shared" si="8"/>
        <v>0</v>
      </c>
      <c r="AT75" s="416">
        <f t="shared" si="8"/>
        <v>0</v>
      </c>
      <c r="AU75" s="416">
        <f t="shared" si="8"/>
        <v>0</v>
      </c>
      <c r="AV75" s="416">
        <f t="shared" si="8"/>
        <v>0</v>
      </c>
      <c r="AW75" s="416">
        <f t="shared" si="8"/>
        <v>0</v>
      </c>
      <c r="AX75" s="416">
        <f t="shared" si="8"/>
        <v>0</v>
      </c>
      <c r="AY75" s="416">
        <f t="shared" si="8"/>
        <v>7549.3159999999998</v>
      </c>
      <c r="AZ75" s="416">
        <f t="shared" si="8"/>
        <v>0</v>
      </c>
      <c r="BA75" s="416">
        <f t="shared" si="8"/>
        <v>0</v>
      </c>
      <c r="BB75" s="416">
        <f>SUM(T75:BA75)</f>
        <v>45100</v>
      </c>
    </row>
    <row r="76" spans="2:54">
      <c r="B76" s="1243" t="s">
        <v>558</v>
      </c>
      <c r="C76" s="1244"/>
      <c r="D76" s="1244"/>
      <c r="E76" s="1244"/>
      <c r="F76" s="1244"/>
      <c r="G76" s="1245"/>
      <c r="H76" s="420">
        <f>H75-L60</f>
        <v>0</v>
      </c>
      <c r="I76" s="294"/>
      <c r="J76" s="295"/>
      <c r="K76" s="295"/>
      <c r="L76" s="296"/>
      <c r="M76" s="32"/>
      <c r="N76" s="32"/>
      <c r="O76" s="32"/>
      <c r="P76" s="32"/>
      <c r="Q76" s="297"/>
      <c r="R76" s="297"/>
      <c r="S76" s="32"/>
      <c r="T76" s="48"/>
      <c r="U76" s="48"/>
      <c r="V76" s="48"/>
      <c r="W76" s="48"/>
      <c r="X76" s="48"/>
      <c r="Y76" s="48"/>
      <c r="Z76" s="48"/>
      <c r="AA76" s="48"/>
      <c r="AB76" s="48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</row>
    <row r="77" spans="2:54">
      <c r="B77" s="1243" t="s">
        <v>559</v>
      </c>
      <c r="C77" s="1244"/>
      <c r="D77" s="1244"/>
      <c r="E77" s="1244"/>
      <c r="F77" s="1244"/>
      <c r="G77" s="1245"/>
      <c r="H77" s="446">
        <v>2232.7289999999998</v>
      </c>
      <c r="I77" s="52"/>
      <c r="J77" s="53"/>
      <c r="K77" s="53"/>
      <c r="L77" s="54"/>
      <c r="M77" s="32"/>
      <c r="N77" s="201"/>
      <c r="O77" s="32"/>
      <c r="P77" s="32"/>
      <c r="Q77" s="32"/>
      <c r="R77" s="32"/>
      <c r="S77" s="32"/>
      <c r="T77" s="48"/>
      <c r="U77" s="48"/>
      <c r="V77" s="48"/>
      <c r="W77" s="48"/>
      <c r="X77" s="48"/>
      <c r="Y77" s="48"/>
      <c r="Z77" s="48"/>
      <c r="AA77" s="48"/>
      <c r="AB77" s="48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</row>
    <row r="78" spans="2:54">
      <c r="B78" s="1243" t="s">
        <v>560</v>
      </c>
      <c r="C78" s="1244"/>
      <c r="D78" s="1244"/>
      <c r="E78" s="1244"/>
      <c r="F78" s="1244"/>
      <c r="G78" s="1245"/>
      <c r="H78" s="421">
        <f>H77-3376.415</f>
        <v>-1143.6860000000001</v>
      </c>
      <c r="I78" s="52"/>
      <c r="J78" s="53"/>
      <c r="K78" s="53"/>
      <c r="L78" s="54"/>
      <c r="M78" s="32"/>
      <c r="N78" s="32"/>
      <c r="O78" s="32"/>
      <c r="P78" s="32"/>
      <c r="Q78" s="32"/>
      <c r="R78" s="32"/>
      <c r="S78" s="48"/>
      <c r="T78" s="48"/>
      <c r="U78" s="48"/>
      <c r="V78" s="48"/>
      <c r="W78" s="48"/>
      <c r="X78" s="48"/>
      <c r="Y78" s="48"/>
      <c r="Z78" s="48"/>
      <c r="AA78" s="48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2:54">
      <c r="B79" s="201"/>
      <c r="C79" s="201"/>
      <c r="D79" s="201"/>
      <c r="E79" s="201"/>
      <c r="F79" s="201"/>
      <c r="G79" s="201"/>
      <c r="H79" s="201"/>
      <c r="I79" s="213"/>
      <c r="J79" s="209"/>
      <c r="K79" s="209"/>
      <c r="L79" s="203"/>
      <c r="M79" s="201"/>
      <c r="N79" s="201"/>
      <c r="O79" s="209"/>
      <c r="P79" s="32"/>
      <c r="Q79" s="32"/>
      <c r="R79" s="32"/>
      <c r="S79" s="32"/>
      <c r="T79" s="48"/>
      <c r="U79" s="48"/>
      <c r="V79" s="48"/>
      <c r="W79" s="48"/>
      <c r="X79" s="48"/>
      <c r="Y79" s="48"/>
      <c r="Z79" s="48"/>
      <c r="AA79" s="48"/>
      <c r="AB79" s="48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</row>
    <row r="80" spans="2:54">
      <c r="B80" s="40" t="s">
        <v>561</v>
      </c>
      <c r="C80" s="40"/>
      <c r="D80" s="32"/>
      <c r="E80" s="32"/>
      <c r="F80" s="32"/>
      <c r="G80" s="32"/>
      <c r="H80" s="32"/>
      <c r="I80" s="32"/>
      <c r="J80" s="52"/>
      <c r="K80" s="52"/>
      <c r="L80" s="55"/>
      <c r="M80" s="32"/>
      <c r="N80" s="201"/>
      <c r="O80" s="5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BB80" s="201"/>
    </row>
    <row r="81" spans="2:54">
      <c r="B81" s="422">
        <v>1</v>
      </c>
      <c r="C81" s="1249" t="s">
        <v>2456</v>
      </c>
      <c r="D81" s="1249"/>
      <c r="E81" s="1249"/>
      <c r="F81" s="1249"/>
      <c r="G81" s="1249"/>
      <c r="H81" s="1249"/>
      <c r="I81" s="1249"/>
      <c r="J81" s="1249"/>
      <c r="K81" s="1249"/>
      <c r="L81" s="203"/>
      <c r="M81" s="203"/>
      <c r="N81" s="201"/>
      <c r="O81" s="209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1"/>
      <c r="AC81" s="201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  <c r="AR81" s="201"/>
      <c r="AS81" s="201"/>
      <c r="AT81" s="201"/>
      <c r="AU81" s="201"/>
      <c r="AV81" s="201"/>
      <c r="AW81" s="201"/>
      <c r="AX81" s="201"/>
      <c r="AY81" s="201"/>
      <c r="AZ81" s="201"/>
      <c r="BA81" s="201"/>
      <c r="BB81" s="201"/>
    </row>
    <row r="83" spans="2:54">
      <c r="B83" s="28" t="s">
        <v>126</v>
      </c>
      <c r="C83" s="28"/>
      <c r="D83" s="29"/>
      <c r="E83" s="30" t="s">
        <v>511</v>
      </c>
      <c r="F83" s="31" t="s">
        <v>2457</v>
      </c>
      <c r="G83" s="32"/>
      <c r="H83" s="33"/>
      <c r="I83" s="34"/>
      <c r="J83" s="35" t="s">
        <v>513</v>
      </c>
      <c r="K83" s="36" t="s">
        <v>511</v>
      </c>
      <c r="L83" s="37">
        <v>45175.892361111109</v>
      </c>
      <c r="M83" s="32"/>
      <c r="N83" s="32"/>
      <c r="O83" s="36"/>
      <c r="P83" s="33"/>
      <c r="Q83" s="48"/>
      <c r="R83" s="49"/>
      <c r="S83" s="38"/>
      <c r="T83" s="32"/>
      <c r="U83" s="32"/>
      <c r="V83" s="32"/>
      <c r="W83" s="32"/>
      <c r="X83" s="32"/>
      <c r="Y83" s="32"/>
      <c r="Z83" s="32"/>
      <c r="AA83" s="32"/>
      <c r="AB83" s="48"/>
      <c r="AC83" s="48"/>
      <c r="AD83" s="48"/>
      <c r="AE83" s="48"/>
      <c r="AF83" s="48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</row>
    <row r="84" spans="2:54">
      <c r="B84" s="35" t="s">
        <v>514</v>
      </c>
      <c r="C84" s="35"/>
      <c r="D84" s="32"/>
      <c r="E84" s="36" t="s">
        <v>511</v>
      </c>
      <c r="F84" s="311" t="s">
        <v>2458</v>
      </c>
      <c r="G84" s="32"/>
      <c r="H84" s="33"/>
      <c r="I84" s="34"/>
      <c r="J84" s="35" t="s">
        <v>516</v>
      </c>
      <c r="K84" s="36" t="s">
        <v>511</v>
      </c>
      <c r="L84" s="37">
        <f>'VLU 2023 &amp; 2024'!$N$168</f>
        <v>45179.708333333336</v>
      </c>
      <c r="M84" s="32"/>
      <c r="N84" s="32"/>
      <c r="O84" s="36"/>
      <c r="P84" s="33"/>
      <c r="Q84" s="48"/>
      <c r="R84" s="49"/>
      <c r="S84" s="38"/>
      <c r="T84" s="32"/>
      <c r="U84" s="32"/>
      <c r="V84" s="32"/>
      <c r="W84" s="32"/>
      <c r="X84" s="32"/>
      <c r="Y84" s="32"/>
      <c r="Z84" s="32"/>
      <c r="AA84" s="32"/>
      <c r="AB84" s="48"/>
      <c r="AC84" s="48"/>
      <c r="AD84" s="48"/>
      <c r="AE84" s="48"/>
      <c r="AF84" s="48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</row>
    <row r="85" spans="2:54">
      <c r="B85" s="35" t="s">
        <v>517</v>
      </c>
      <c r="C85" s="35"/>
      <c r="D85" s="32"/>
      <c r="E85" s="36" t="s">
        <v>511</v>
      </c>
      <c r="F85" s="37">
        <v>45175.34375</v>
      </c>
      <c r="G85" s="32"/>
      <c r="H85" s="33"/>
      <c r="I85" s="34"/>
      <c r="J85" s="35" t="s">
        <v>521</v>
      </c>
      <c r="K85" s="36" t="s">
        <v>511</v>
      </c>
      <c r="L85" s="41" t="s">
        <v>2459</v>
      </c>
      <c r="M85" s="40"/>
      <c r="N85" s="40"/>
      <c r="O85" s="36"/>
      <c r="P85" s="33"/>
      <c r="Q85" s="48"/>
      <c r="R85" s="49"/>
      <c r="S85" s="38"/>
      <c r="T85" s="32"/>
      <c r="U85" s="32"/>
      <c r="V85" s="32"/>
      <c r="W85" s="32"/>
      <c r="X85" s="32"/>
      <c r="Y85" s="32"/>
      <c r="Z85" s="32"/>
      <c r="AA85" s="32"/>
      <c r="AB85" s="48"/>
      <c r="AC85" s="48"/>
      <c r="AD85" s="48"/>
      <c r="AE85" s="48"/>
      <c r="AF85" s="48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</row>
    <row r="86" spans="2:54">
      <c r="B86" s="35" t="s">
        <v>520</v>
      </c>
      <c r="C86" s="35"/>
      <c r="D86" s="32"/>
      <c r="E86" s="36" t="s">
        <v>511</v>
      </c>
      <c r="F86" s="37" t="s">
        <v>16</v>
      </c>
      <c r="G86" s="32"/>
      <c r="H86" s="33"/>
      <c r="I86" s="34"/>
      <c r="J86" s="42" t="s">
        <v>524</v>
      </c>
      <c r="K86" s="36" t="s">
        <v>511</v>
      </c>
      <c r="L86" s="43" t="s">
        <v>23</v>
      </c>
      <c r="M86" s="32"/>
      <c r="N86" s="32"/>
      <c r="O86" s="36"/>
      <c r="P86" s="48"/>
      <c r="Q86" s="48"/>
      <c r="R86" s="49"/>
      <c r="S86" s="38"/>
      <c r="T86" s="32"/>
      <c r="U86" s="32"/>
      <c r="V86" s="32"/>
      <c r="W86" s="32"/>
      <c r="X86" s="32"/>
      <c r="Y86" s="32"/>
      <c r="Z86" s="32"/>
      <c r="AA86" s="32"/>
      <c r="AB86" s="48"/>
      <c r="AC86" s="48"/>
      <c r="AD86" s="48"/>
      <c r="AE86" s="48"/>
      <c r="AF86" s="48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</row>
    <row r="87" spans="2:54">
      <c r="B87" s="35" t="s">
        <v>523</v>
      </c>
      <c r="C87" s="35"/>
      <c r="D87" s="32"/>
      <c r="E87" s="36" t="s">
        <v>511</v>
      </c>
      <c r="F87" s="37" t="s">
        <v>45</v>
      </c>
      <c r="G87" s="32"/>
      <c r="H87" s="33"/>
      <c r="I87" s="34"/>
      <c r="J87" s="52"/>
      <c r="K87" s="52"/>
      <c r="L87" s="55"/>
      <c r="M87" s="44"/>
      <c r="N87" s="44"/>
      <c r="O87" s="36"/>
      <c r="P87" s="33"/>
      <c r="Q87" s="48"/>
      <c r="R87" s="49"/>
      <c r="S87" s="38"/>
      <c r="T87" s="32"/>
      <c r="U87" s="32"/>
      <c r="V87" s="32"/>
      <c r="W87" s="32"/>
      <c r="X87" s="32"/>
      <c r="Y87" s="32"/>
      <c r="Z87" s="32"/>
      <c r="AA87" s="32"/>
      <c r="AB87" s="48"/>
      <c r="AC87" s="48"/>
      <c r="AD87" s="48"/>
      <c r="AE87" s="48"/>
      <c r="AF87" s="48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</row>
    <row r="88" spans="2:54">
      <c r="B88" s="35" t="s">
        <v>2</v>
      </c>
      <c r="C88" s="35"/>
      <c r="D88" s="32"/>
      <c r="E88" s="36" t="s">
        <v>511</v>
      </c>
      <c r="F88" s="37" t="s">
        <v>29</v>
      </c>
      <c r="G88" s="32"/>
      <c r="H88" s="33"/>
      <c r="I88" s="45"/>
      <c r="J88" s="42"/>
      <c r="K88" s="36"/>
      <c r="L88" s="37"/>
      <c r="M88" s="32"/>
      <c r="N88" s="32"/>
      <c r="O88" s="42"/>
      <c r="P88" s="44"/>
      <c r="Q88" s="44"/>
      <c r="R88" s="44"/>
      <c r="S88" s="34"/>
      <c r="T88" s="32"/>
      <c r="U88" s="32"/>
      <c r="V88" s="32"/>
      <c r="W88" s="32"/>
      <c r="X88" s="32"/>
      <c r="Y88" s="32"/>
      <c r="Z88" s="32"/>
      <c r="AA88" s="32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</row>
    <row r="89" spans="2:54">
      <c r="B89" s="32"/>
      <c r="C89" s="32"/>
      <c r="D89" s="32"/>
      <c r="E89" s="32"/>
      <c r="F89" s="32"/>
      <c r="G89" s="32"/>
      <c r="H89" s="32"/>
      <c r="I89" s="45"/>
      <c r="J89" s="42"/>
      <c r="K89" s="42"/>
      <c r="L89" s="43"/>
      <c r="M89" s="44"/>
      <c r="N89" s="44"/>
      <c r="O89" s="42"/>
      <c r="P89" s="44"/>
      <c r="Q89" s="44"/>
      <c r="R89" s="44"/>
      <c r="S89" s="34"/>
      <c r="T89" s="1270" t="s">
        <v>87</v>
      </c>
      <c r="U89" s="1270"/>
      <c r="V89" s="1270"/>
      <c r="W89" s="1270"/>
      <c r="X89" s="1270"/>
      <c r="Y89" s="1270" t="s">
        <v>73</v>
      </c>
      <c r="Z89" s="1270"/>
      <c r="AA89" s="1270"/>
      <c r="AB89" s="1270" t="s">
        <v>74</v>
      </c>
      <c r="AC89" s="1270"/>
      <c r="AD89" s="407" t="s">
        <v>85</v>
      </c>
      <c r="AE89" s="407" t="s">
        <v>77</v>
      </c>
      <c r="AF89" s="1270" t="s">
        <v>525</v>
      </c>
      <c r="AG89" s="1270"/>
      <c r="AH89" s="1270"/>
      <c r="AI89" s="1270"/>
      <c r="AJ89" s="1270"/>
      <c r="AK89" s="1270"/>
      <c r="AL89" s="1270"/>
      <c r="AM89" s="1270"/>
      <c r="AN89" s="1270"/>
      <c r="AO89" s="1270"/>
      <c r="AP89" s="1270"/>
      <c r="AQ89" s="1270"/>
      <c r="AR89" s="1270"/>
      <c r="AS89" s="1270"/>
      <c r="AT89" s="1270"/>
      <c r="AU89" s="1270"/>
      <c r="AV89" s="1270"/>
      <c r="AW89" s="1270"/>
      <c r="AX89" s="1270"/>
      <c r="AY89" s="1270"/>
      <c r="AZ89" s="1270"/>
      <c r="BA89" s="1270"/>
      <c r="BB89" s="32"/>
    </row>
    <row r="90" spans="2:54">
      <c r="B90" s="1266" t="s">
        <v>526</v>
      </c>
      <c r="C90" s="1267"/>
      <c r="D90" s="570" t="s">
        <v>527</v>
      </c>
      <c r="E90" s="570"/>
      <c r="F90" s="570" t="s">
        <v>528</v>
      </c>
      <c r="G90" s="570" t="s">
        <v>529</v>
      </c>
      <c r="H90" s="570" t="s">
        <v>530</v>
      </c>
      <c r="I90" s="570" t="s">
        <v>531</v>
      </c>
      <c r="J90" s="570" t="s">
        <v>532</v>
      </c>
      <c r="K90" s="570"/>
      <c r="L90" s="570" t="s">
        <v>130</v>
      </c>
      <c r="M90" s="570" t="s">
        <v>533</v>
      </c>
      <c r="N90" s="408" t="str">
        <f>"On time - "&amp;COUNTIF(N91:N96,"On time")&amp;" from "&amp;ROWS(N91:N96)-COUNTIF(N91:N96," ")</f>
        <v>On time - 2 from 3</v>
      </c>
      <c r="O90" s="46"/>
      <c r="P90" s="409" t="s">
        <v>534</v>
      </c>
      <c r="Q90" s="409" t="s">
        <v>535</v>
      </c>
      <c r="R90" s="409" t="s">
        <v>536</v>
      </c>
      <c r="S90" s="32"/>
      <c r="T90" s="410" t="s">
        <v>537</v>
      </c>
      <c r="U90" s="410" t="s">
        <v>538</v>
      </c>
      <c r="V90" s="410" t="s">
        <v>539</v>
      </c>
      <c r="W90" s="410" t="s">
        <v>540</v>
      </c>
      <c r="X90" s="410" t="s">
        <v>541</v>
      </c>
      <c r="Y90" s="410" t="s">
        <v>167</v>
      </c>
      <c r="Z90" s="410" t="s">
        <v>168</v>
      </c>
      <c r="AA90" s="410" t="s">
        <v>169</v>
      </c>
      <c r="AB90" s="410" t="s">
        <v>235</v>
      </c>
      <c r="AC90" s="410" t="s">
        <v>240</v>
      </c>
      <c r="AD90" s="407" t="s">
        <v>85</v>
      </c>
      <c r="AE90" s="410" t="s">
        <v>139</v>
      </c>
      <c r="AF90" s="410" t="s">
        <v>72</v>
      </c>
      <c r="AG90" s="410" t="s">
        <v>88</v>
      </c>
      <c r="AH90" s="410" t="s">
        <v>75</v>
      </c>
      <c r="AI90" s="410" t="s">
        <v>543</v>
      </c>
      <c r="AJ90" s="410" t="s">
        <v>78</v>
      </c>
      <c r="AK90" s="410" t="s">
        <v>76</v>
      </c>
      <c r="AL90" s="410" t="s">
        <v>544</v>
      </c>
      <c r="AM90" s="410" t="s">
        <v>545</v>
      </c>
      <c r="AN90" s="410" t="s">
        <v>86</v>
      </c>
      <c r="AO90" s="410" t="s">
        <v>83</v>
      </c>
      <c r="AP90" s="410" t="s">
        <v>84</v>
      </c>
      <c r="AQ90" s="410" t="s">
        <v>546</v>
      </c>
      <c r="AR90" s="410" t="s">
        <v>81</v>
      </c>
      <c r="AS90" s="410" t="s">
        <v>80</v>
      </c>
      <c r="AT90" s="410" t="s">
        <v>82</v>
      </c>
      <c r="AU90" s="410" t="s">
        <v>181</v>
      </c>
      <c r="AV90" s="410" t="s">
        <v>183</v>
      </c>
      <c r="AW90" s="410" t="s">
        <v>547</v>
      </c>
      <c r="AX90" s="410" t="s">
        <v>182</v>
      </c>
      <c r="AY90" s="410" t="s">
        <v>172</v>
      </c>
      <c r="AZ90" s="410" t="s">
        <v>173</v>
      </c>
      <c r="BA90" s="410" t="s">
        <v>184</v>
      </c>
      <c r="BB90" s="32"/>
    </row>
    <row r="91" spans="2:54">
      <c r="B91" s="1256" t="s">
        <v>548</v>
      </c>
      <c r="C91" s="1257"/>
      <c r="D91" s="411" t="s">
        <v>2460</v>
      </c>
      <c r="E91" s="411"/>
      <c r="F91" s="411" t="s">
        <v>292</v>
      </c>
      <c r="G91" s="411" t="s">
        <v>293</v>
      </c>
      <c r="H91" s="412">
        <v>7505.2219999999998</v>
      </c>
      <c r="I91" s="413" t="s">
        <v>494</v>
      </c>
      <c r="J91" s="414">
        <v>45175.666666666664</v>
      </c>
      <c r="K91" s="414"/>
      <c r="L91" s="414" t="s">
        <v>192</v>
      </c>
      <c r="M91" s="414" t="s">
        <v>192</v>
      </c>
      <c r="N91" s="413" t="str">
        <f>IF(ISBLANK(J91)," ",IF(J91&lt;$F$85,"On time",(IF(DAY(J91-$F$85)&lt;1,"On time",(IF(J91&gt;$F$85,"DELAY ( "&amp;DAY(J91-$F$85)&amp;" day "&amp;HOUR(J91-$F$85)&amp;" hour "&amp;MINUTE(J91-$F$85)&amp;" minute )","xxx"))))))</f>
        <v>On time</v>
      </c>
      <c r="O91" s="51"/>
      <c r="P91" s="415" t="s">
        <v>551</v>
      </c>
      <c r="Q91" s="415" t="s">
        <v>551</v>
      </c>
      <c r="R91" s="415" t="s">
        <v>551</v>
      </c>
      <c r="S91" s="32"/>
      <c r="T91" s="416"/>
      <c r="U91" s="416"/>
      <c r="V91" s="416"/>
      <c r="W91" s="416"/>
      <c r="X91" s="416"/>
      <c r="Y91" s="416">
        <f>H91</f>
        <v>7505.2219999999998</v>
      </c>
      <c r="Z91" s="416"/>
      <c r="AA91" s="416"/>
      <c r="AB91" s="416"/>
      <c r="AC91" s="416"/>
      <c r="AD91" s="416"/>
      <c r="AE91" s="416"/>
      <c r="AF91" s="416"/>
      <c r="AG91" s="416"/>
      <c r="AH91" s="416"/>
      <c r="AI91" s="416"/>
      <c r="AJ91" s="416"/>
      <c r="AK91" s="416"/>
      <c r="AL91" s="416"/>
      <c r="AM91" s="416"/>
      <c r="AN91" s="416"/>
      <c r="AO91" s="416"/>
      <c r="AP91" s="416"/>
      <c r="AQ91" s="416"/>
      <c r="AR91" s="416"/>
      <c r="AS91" s="416"/>
      <c r="AT91" s="416"/>
      <c r="AU91" s="416"/>
      <c r="AV91" s="416"/>
      <c r="AW91" s="416"/>
      <c r="AX91" s="416"/>
      <c r="AY91" s="416"/>
      <c r="AZ91" s="416"/>
      <c r="BA91" s="416"/>
      <c r="BB91" s="32"/>
    </row>
    <row r="92" spans="2:54">
      <c r="B92" s="1256" t="s">
        <v>548</v>
      </c>
      <c r="C92" s="1257"/>
      <c r="D92" s="411" t="s">
        <v>2461</v>
      </c>
      <c r="E92" s="411"/>
      <c r="F92" s="411" t="s">
        <v>371</v>
      </c>
      <c r="G92" s="411" t="s">
        <v>372</v>
      </c>
      <c r="H92" s="412">
        <v>7421.8280000000004</v>
      </c>
      <c r="I92" s="413" t="s">
        <v>240</v>
      </c>
      <c r="J92" s="414">
        <v>45175.853472222225</v>
      </c>
      <c r="K92" s="414"/>
      <c r="L92" s="414" t="s">
        <v>192</v>
      </c>
      <c r="M92" s="414" t="s">
        <v>192</v>
      </c>
      <c r="N92" s="413" t="str">
        <f>IF(ISBLANK(J92)," ",IF(J92&lt;$F$85,"On time",(IF(DAY(J92-$F$85)&lt;1,"On time",(IF(J92&gt;$F$85,"DELAY ( "&amp;DAY(J92-$F$85)&amp;" day "&amp;HOUR(J92-$F$85)&amp;" hour "&amp;MINUTE(J92-$F$85)&amp;" minute )","xxx"))))))</f>
        <v>On time</v>
      </c>
      <c r="O92" s="51"/>
      <c r="P92" s="415" t="s">
        <v>551</v>
      </c>
      <c r="Q92" s="415" t="s">
        <v>551</v>
      </c>
      <c r="R92" s="415" t="s">
        <v>551</v>
      </c>
      <c r="S92" s="32"/>
      <c r="T92" s="416"/>
      <c r="U92" s="416"/>
      <c r="V92" s="416"/>
      <c r="W92" s="416"/>
      <c r="X92" s="416"/>
      <c r="Y92" s="416"/>
      <c r="Z92" s="416"/>
      <c r="AA92" s="416"/>
      <c r="AB92" s="416"/>
      <c r="AC92" s="416">
        <f>H92</f>
        <v>7421.8280000000004</v>
      </c>
      <c r="AD92" s="416"/>
      <c r="AE92" s="416"/>
      <c r="AF92" s="416"/>
      <c r="AG92" s="416"/>
      <c r="AH92" s="416"/>
      <c r="AI92" s="416"/>
      <c r="AJ92" s="416"/>
      <c r="AK92" s="416"/>
      <c r="AL92" s="416"/>
      <c r="AM92" s="416"/>
      <c r="AN92" s="416"/>
      <c r="AO92" s="416"/>
      <c r="AP92" s="416"/>
      <c r="AQ92" s="416"/>
      <c r="AR92" s="416"/>
      <c r="AS92" s="416"/>
      <c r="AT92" s="416"/>
      <c r="AU92" s="416"/>
      <c r="AV92" s="416"/>
      <c r="AW92" s="416"/>
      <c r="AX92" s="416"/>
      <c r="AY92" s="416"/>
      <c r="AZ92" s="416"/>
      <c r="BA92" s="416"/>
      <c r="BB92" s="32"/>
    </row>
    <row r="93" spans="2:54">
      <c r="B93" s="1256" t="s">
        <v>548</v>
      </c>
      <c r="C93" s="1257"/>
      <c r="D93" s="411" t="s">
        <v>2462</v>
      </c>
      <c r="E93" s="411"/>
      <c r="F93" s="411" t="s">
        <v>307</v>
      </c>
      <c r="G93" s="411" t="s">
        <v>308</v>
      </c>
      <c r="H93" s="412">
        <v>7551.509</v>
      </c>
      <c r="I93" s="413" t="s">
        <v>240</v>
      </c>
      <c r="J93" s="414">
        <v>45177.8125</v>
      </c>
      <c r="K93" s="414"/>
      <c r="L93" s="414" t="s">
        <v>192</v>
      </c>
      <c r="M93" s="414" t="s">
        <v>192</v>
      </c>
      <c r="N93" s="413" t="str">
        <f>IF(ISBLANK(J93)," ",IF(J93&lt;$F$85,"On time",(IF(DAY(J93-$F$85)&lt;1,"On time",(IF(J93&gt;$F$85,"DELAY ( "&amp;DAY(J93-$F$85)&amp;" day "&amp;HOUR(J93-$F$85)&amp;" hour "&amp;MINUTE(J93-$F$85)&amp;" minute )","xxx"))))))</f>
        <v>DELAY ( 2 day 11 hour 15 minute )</v>
      </c>
      <c r="O93" s="51"/>
      <c r="P93" s="415" t="s">
        <v>551</v>
      </c>
      <c r="Q93" s="415" t="s">
        <v>551</v>
      </c>
      <c r="R93" s="415" t="s">
        <v>551</v>
      </c>
      <c r="S93" s="32"/>
      <c r="T93" s="416"/>
      <c r="U93" s="416"/>
      <c r="V93" s="416"/>
      <c r="W93" s="416"/>
      <c r="X93" s="416"/>
      <c r="Y93" s="416"/>
      <c r="Z93" s="416"/>
      <c r="AA93" s="416"/>
      <c r="AB93" s="416"/>
      <c r="AC93" s="416">
        <f>H93</f>
        <v>7551.509</v>
      </c>
      <c r="AD93" s="416"/>
      <c r="AE93" s="416"/>
      <c r="AF93" s="416"/>
      <c r="AG93" s="416"/>
      <c r="AH93" s="416"/>
      <c r="AI93" s="416"/>
      <c r="AJ93" s="416"/>
      <c r="AK93" s="416"/>
      <c r="AL93" s="416"/>
      <c r="AM93" s="416"/>
      <c r="AN93" s="416"/>
      <c r="AO93" s="416"/>
      <c r="AP93" s="416"/>
      <c r="AQ93" s="416"/>
      <c r="AR93" s="416"/>
      <c r="AS93" s="416"/>
      <c r="AT93" s="416"/>
      <c r="AU93" s="416"/>
      <c r="AV93" s="416"/>
      <c r="AW93" s="416"/>
      <c r="AX93" s="416"/>
      <c r="AY93" s="416"/>
      <c r="AZ93" s="416"/>
      <c r="BA93" s="416"/>
      <c r="BB93" s="32"/>
    </row>
    <row r="94" spans="2:54">
      <c r="B94" s="1370"/>
      <c r="C94" s="1305"/>
      <c r="D94" s="357"/>
      <c r="E94" s="357"/>
      <c r="F94" s="1305" t="s">
        <v>85</v>
      </c>
      <c r="G94" s="1306"/>
      <c r="H94" s="412">
        <f>H96-SUM(H91:H93)</f>
        <v>31591.440999999999</v>
      </c>
      <c r="I94" s="413"/>
      <c r="J94" s="414"/>
      <c r="K94" s="414"/>
      <c r="L94" s="414"/>
      <c r="M94" s="414"/>
      <c r="N94" s="413" t="str">
        <f t="shared" ref="N94:N96" si="9">IF(ISBLANK(J94)," ",IF(J94&lt;$F$85,"On time",(IF(DAY(J94-$F$85)&lt;1,"On time",(IF(J94&gt;$F$85,"DELAY ( "&amp;DAY(J94-$F$85)&amp;" day "&amp;HOUR(J94-$F$85)&amp;" hour "&amp;MINUTE(J94-$F$85)&amp;" minute )","xxx"))))))</f>
        <v xml:space="preserve"> </v>
      </c>
      <c r="O94" s="51"/>
      <c r="P94" s="415" t="s">
        <v>551</v>
      </c>
      <c r="Q94" s="415"/>
      <c r="R94" s="415"/>
      <c r="S94" s="32"/>
      <c r="T94" s="416"/>
      <c r="U94" s="416"/>
      <c r="V94" s="416"/>
      <c r="W94" s="416"/>
      <c r="X94" s="416"/>
      <c r="Y94" s="416"/>
      <c r="Z94" s="416"/>
      <c r="AA94" s="416"/>
      <c r="AB94" s="416"/>
      <c r="AC94" s="416"/>
      <c r="AD94" s="416">
        <f>H94</f>
        <v>31591.440999999999</v>
      </c>
      <c r="AE94" s="416"/>
      <c r="AF94" s="416"/>
      <c r="AG94" s="416"/>
      <c r="AH94" s="416"/>
      <c r="AI94" s="416"/>
      <c r="AJ94" s="416"/>
      <c r="AK94" s="416"/>
      <c r="AL94" s="416"/>
      <c r="AM94" s="416"/>
      <c r="AN94" s="416"/>
      <c r="AO94" s="416"/>
      <c r="AP94" s="416"/>
      <c r="AQ94" s="416"/>
      <c r="AR94" s="416"/>
      <c r="AS94" s="416"/>
      <c r="AT94" s="416"/>
      <c r="AU94" s="416"/>
      <c r="AV94" s="416"/>
      <c r="AW94" s="416"/>
      <c r="AX94" s="416"/>
      <c r="AY94" s="416"/>
      <c r="AZ94" s="416"/>
      <c r="BA94" s="416"/>
      <c r="BB94" s="32"/>
    </row>
    <row r="95" spans="2:54">
      <c r="B95" s="1258" t="s">
        <v>556</v>
      </c>
      <c r="C95" s="1259"/>
      <c r="D95" s="1259"/>
      <c r="E95" s="1259"/>
      <c r="F95" s="1259"/>
      <c r="G95" s="1260"/>
      <c r="H95" s="417">
        <f>SUM(H91:H94)</f>
        <v>54070</v>
      </c>
      <c r="I95" s="388"/>
      <c r="J95" s="293"/>
      <c r="K95" s="293"/>
      <c r="L95" s="293"/>
      <c r="M95" s="389"/>
      <c r="N95" s="413" t="str">
        <f t="shared" si="9"/>
        <v xml:space="preserve"> </v>
      </c>
      <c r="O95" s="47"/>
      <c r="P95" s="418"/>
      <c r="Q95" s="418"/>
      <c r="R95" s="418"/>
      <c r="S95" s="32"/>
      <c r="T95" s="1262"/>
      <c r="U95" s="1263"/>
      <c r="V95" s="1263"/>
      <c r="W95" s="1263"/>
      <c r="X95" s="1263"/>
      <c r="Y95" s="1263"/>
      <c r="Z95" s="1263"/>
      <c r="AA95" s="1263"/>
      <c r="AB95" s="1263"/>
      <c r="AC95" s="1263"/>
      <c r="AD95" s="1263"/>
      <c r="AE95" s="1263"/>
      <c r="AF95" s="1263"/>
      <c r="AG95" s="1263"/>
      <c r="AH95" s="1263"/>
      <c r="AI95" s="1263"/>
      <c r="AJ95" s="1263"/>
      <c r="AK95" s="1263"/>
      <c r="AL95" s="1263"/>
      <c r="AM95" s="1263"/>
      <c r="AN95" s="1263"/>
      <c r="AO95" s="1263"/>
      <c r="AP95" s="1263"/>
      <c r="AQ95" s="1263"/>
      <c r="AR95" s="1263"/>
      <c r="AS95" s="1263"/>
      <c r="AT95" s="1263"/>
      <c r="AU95" s="1263"/>
      <c r="AV95" s="1263"/>
      <c r="AW95" s="1263"/>
      <c r="AX95" s="1263"/>
      <c r="AY95" s="1263"/>
      <c r="AZ95" s="1263"/>
      <c r="BA95" s="1263"/>
    </row>
    <row r="96" spans="2:54">
      <c r="B96" s="1243" t="s">
        <v>557</v>
      </c>
      <c r="C96" s="1244"/>
      <c r="D96" s="1244"/>
      <c r="E96" s="1244"/>
      <c r="F96" s="1244"/>
      <c r="G96" s="1245"/>
      <c r="H96" s="419">
        <v>54070</v>
      </c>
      <c r="I96" s="1246"/>
      <c r="J96" s="1247"/>
      <c r="K96" s="1247"/>
      <c r="L96" s="1247"/>
      <c r="M96" s="1248"/>
      <c r="N96" s="413" t="str">
        <f t="shared" si="9"/>
        <v xml:space="preserve"> </v>
      </c>
      <c r="O96" s="32"/>
      <c r="P96" s="415"/>
      <c r="Q96" s="415"/>
      <c r="R96" s="415"/>
      <c r="S96" s="63"/>
      <c r="T96" s="416">
        <f t="shared" ref="T96:BA96" si="10">SUM(T91:T94)</f>
        <v>0</v>
      </c>
      <c r="U96" s="416">
        <f t="shared" si="10"/>
        <v>0</v>
      </c>
      <c r="V96" s="416">
        <f t="shared" si="10"/>
        <v>0</v>
      </c>
      <c r="W96" s="416">
        <f t="shared" si="10"/>
        <v>0</v>
      </c>
      <c r="X96" s="416">
        <f t="shared" si="10"/>
        <v>0</v>
      </c>
      <c r="Y96" s="416">
        <f t="shared" si="10"/>
        <v>7505.2219999999998</v>
      </c>
      <c r="Z96" s="416">
        <f t="shared" si="10"/>
        <v>0</v>
      </c>
      <c r="AA96" s="416">
        <f t="shared" si="10"/>
        <v>0</v>
      </c>
      <c r="AB96" s="416">
        <f t="shared" si="10"/>
        <v>0</v>
      </c>
      <c r="AC96" s="416">
        <f t="shared" si="10"/>
        <v>14973.337</v>
      </c>
      <c r="AD96" s="416">
        <f t="shared" si="10"/>
        <v>31591.440999999999</v>
      </c>
      <c r="AE96" s="416">
        <f t="shared" si="10"/>
        <v>0</v>
      </c>
      <c r="AF96" s="416">
        <f t="shared" si="10"/>
        <v>0</v>
      </c>
      <c r="AG96" s="416">
        <f t="shared" si="10"/>
        <v>0</v>
      </c>
      <c r="AH96" s="416">
        <f t="shared" si="10"/>
        <v>0</v>
      </c>
      <c r="AI96" s="416">
        <f t="shared" si="10"/>
        <v>0</v>
      </c>
      <c r="AJ96" s="416">
        <f t="shared" si="10"/>
        <v>0</v>
      </c>
      <c r="AK96" s="416">
        <f t="shared" si="10"/>
        <v>0</v>
      </c>
      <c r="AL96" s="416">
        <f t="shared" si="10"/>
        <v>0</v>
      </c>
      <c r="AM96" s="416">
        <f t="shared" si="10"/>
        <v>0</v>
      </c>
      <c r="AN96" s="416">
        <f t="shared" si="10"/>
        <v>0</v>
      </c>
      <c r="AO96" s="416">
        <f t="shared" si="10"/>
        <v>0</v>
      </c>
      <c r="AP96" s="416">
        <f t="shared" si="10"/>
        <v>0</v>
      </c>
      <c r="AQ96" s="416">
        <f t="shared" si="10"/>
        <v>0</v>
      </c>
      <c r="AR96" s="416">
        <f t="shared" si="10"/>
        <v>0</v>
      </c>
      <c r="AS96" s="416">
        <f t="shared" si="10"/>
        <v>0</v>
      </c>
      <c r="AT96" s="416">
        <f t="shared" si="10"/>
        <v>0</v>
      </c>
      <c r="AU96" s="416">
        <f t="shared" si="10"/>
        <v>0</v>
      </c>
      <c r="AV96" s="416">
        <f t="shared" si="10"/>
        <v>0</v>
      </c>
      <c r="AW96" s="416">
        <f t="shared" si="10"/>
        <v>0</v>
      </c>
      <c r="AX96" s="416">
        <f t="shared" si="10"/>
        <v>0</v>
      </c>
      <c r="AY96" s="416">
        <f t="shared" si="10"/>
        <v>0</v>
      </c>
      <c r="AZ96" s="416">
        <f t="shared" si="10"/>
        <v>0</v>
      </c>
      <c r="BA96" s="416">
        <f t="shared" si="10"/>
        <v>0</v>
      </c>
      <c r="BB96" s="416">
        <f>SUM(T96:BA96)</f>
        <v>54070</v>
      </c>
    </row>
    <row r="97" spans="2:54">
      <c r="B97" s="32"/>
      <c r="C97" s="32"/>
      <c r="D97" s="32"/>
      <c r="E97" s="32"/>
      <c r="F97" s="32"/>
      <c r="G97" s="32"/>
      <c r="H97" s="32"/>
      <c r="I97" s="57"/>
      <c r="J97" s="52"/>
      <c r="K97" s="52"/>
      <c r="L97" s="55"/>
      <c r="M97" s="32"/>
      <c r="N97" s="32"/>
      <c r="O97" s="52"/>
      <c r="P97" s="32"/>
      <c r="Q97" s="32"/>
      <c r="R97" s="32"/>
      <c r="S97" s="32"/>
      <c r="T97" s="48"/>
      <c r="U97" s="48"/>
      <c r="V97" s="48"/>
      <c r="W97" s="48"/>
      <c r="X97" s="48"/>
      <c r="Y97" s="48"/>
      <c r="Z97" s="48"/>
      <c r="AA97" s="48"/>
      <c r="AB97" s="48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</row>
    <row r="98" spans="2:54">
      <c r="B98" s="40" t="s">
        <v>561</v>
      </c>
      <c r="C98" s="40"/>
      <c r="D98" s="32"/>
      <c r="E98" s="32"/>
      <c r="F98" s="32"/>
      <c r="G98" s="32"/>
      <c r="H98" s="32"/>
      <c r="I98" s="32"/>
      <c r="J98" s="52"/>
      <c r="K98" s="52"/>
      <c r="L98" s="55"/>
      <c r="M98" s="32"/>
      <c r="N98" s="32"/>
      <c r="O98" s="52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BB98" s="32"/>
    </row>
    <row r="99" spans="2:54">
      <c r="B99" s="422"/>
      <c r="C99" s="1249"/>
      <c r="D99" s="1249"/>
      <c r="E99" s="1249"/>
      <c r="F99" s="1249"/>
      <c r="G99" s="1249"/>
      <c r="H99" s="1249"/>
      <c r="I99" s="1249"/>
      <c r="J99" s="1249"/>
      <c r="K99" s="1249"/>
      <c r="L99" s="55"/>
      <c r="M99" s="55"/>
      <c r="N99" s="32"/>
      <c r="O99" s="52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</row>
    <row r="101" spans="2:54">
      <c r="B101" s="28" t="s">
        <v>126</v>
      </c>
      <c r="C101" s="28"/>
      <c r="D101" s="29"/>
      <c r="E101" s="30" t="s">
        <v>511</v>
      </c>
      <c r="F101" s="31" t="s">
        <v>2463</v>
      </c>
      <c r="G101" s="32"/>
      <c r="H101" s="33"/>
      <c r="I101" s="34"/>
      <c r="J101" s="35" t="s">
        <v>513</v>
      </c>
      <c r="K101" s="36" t="s">
        <v>511</v>
      </c>
      <c r="L101" s="37">
        <v>45178.333333333336</v>
      </c>
      <c r="M101" s="32"/>
      <c r="N101" s="32"/>
      <c r="O101" s="206"/>
      <c r="P101" s="205"/>
      <c r="Q101" s="202"/>
      <c r="R101" s="204"/>
      <c r="S101" s="38"/>
      <c r="T101" s="201"/>
      <c r="U101" s="201"/>
      <c r="V101" s="201"/>
      <c r="W101" s="201"/>
      <c r="X101" s="201"/>
      <c r="Y101" s="201"/>
      <c r="Z101" s="201"/>
      <c r="AA101" s="201"/>
      <c r="AB101" s="202"/>
      <c r="AC101" s="202"/>
      <c r="AD101" s="202"/>
      <c r="AE101" s="202"/>
      <c r="AF101" s="202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  <c r="AV101" s="201"/>
      <c r="AW101" s="201"/>
      <c r="AX101" s="201"/>
      <c r="AY101" s="201"/>
      <c r="AZ101" s="201"/>
      <c r="BA101" s="201"/>
      <c r="BB101" s="201"/>
    </row>
    <row r="102" spans="2:54">
      <c r="B102" s="35" t="s">
        <v>514</v>
      </c>
      <c r="C102" s="35"/>
      <c r="D102" s="32"/>
      <c r="E102" s="36" t="s">
        <v>511</v>
      </c>
      <c r="F102" s="311" t="s">
        <v>2464</v>
      </c>
      <c r="G102" s="32"/>
      <c r="H102" s="33"/>
      <c r="I102" s="34"/>
      <c r="J102" s="35" t="s">
        <v>516</v>
      </c>
      <c r="K102" s="36" t="s">
        <v>511</v>
      </c>
      <c r="L102" s="37">
        <v>45181.375</v>
      </c>
      <c r="M102" s="32"/>
      <c r="N102" s="32"/>
      <c r="O102" s="206"/>
      <c r="P102" s="205"/>
      <c r="Q102" s="202"/>
      <c r="R102" s="204"/>
      <c r="S102" s="38"/>
      <c r="T102" s="201"/>
      <c r="U102" s="201"/>
      <c r="V102" s="201"/>
      <c r="W102" s="201"/>
      <c r="X102" s="201"/>
      <c r="Y102" s="201"/>
      <c r="Z102" s="201"/>
      <c r="AA102" s="201"/>
      <c r="AB102" s="202"/>
      <c r="AC102" s="202"/>
      <c r="AD102" s="202"/>
      <c r="AE102" s="202"/>
      <c r="AF102" s="202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  <c r="AV102" s="201"/>
      <c r="AW102" s="201"/>
      <c r="AX102" s="201"/>
      <c r="AY102" s="201"/>
      <c r="AZ102" s="201"/>
      <c r="BA102" s="201"/>
      <c r="BB102" s="201"/>
    </row>
    <row r="103" spans="2:54">
      <c r="B103" s="35" t="s">
        <v>517</v>
      </c>
      <c r="C103" s="35"/>
      <c r="D103" s="32"/>
      <c r="E103" s="36" t="s">
        <v>511</v>
      </c>
      <c r="F103" s="37">
        <v>45165.408333333333</v>
      </c>
      <c r="G103" s="32"/>
      <c r="H103" s="33"/>
      <c r="I103" s="34"/>
      <c r="J103" s="35" t="s">
        <v>518</v>
      </c>
      <c r="K103" s="36" t="s">
        <v>511</v>
      </c>
      <c r="L103" s="50">
        <v>55000</v>
      </c>
      <c r="M103" s="40" t="s">
        <v>519</v>
      </c>
      <c r="N103" s="40"/>
      <c r="O103" s="206"/>
      <c r="P103" s="205"/>
      <c r="Q103" s="202"/>
      <c r="R103" s="204"/>
      <c r="S103" s="38"/>
      <c r="T103" s="201"/>
      <c r="U103" s="201"/>
      <c r="V103" s="201"/>
      <c r="W103" s="201"/>
      <c r="X103" s="201"/>
      <c r="Y103" s="201"/>
      <c r="Z103" s="201"/>
      <c r="AA103" s="201"/>
      <c r="AB103" s="202"/>
      <c r="AC103" s="202"/>
      <c r="AD103" s="202"/>
      <c r="AE103" s="202"/>
      <c r="AF103" s="202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  <c r="AT103" s="201"/>
      <c r="AU103" s="201"/>
      <c r="AV103" s="201"/>
      <c r="AW103" s="201"/>
      <c r="AX103" s="201"/>
      <c r="AY103" s="201"/>
      <c r="AZ103" s="201"/>
      <c r="BA103" s="201"/>
      <c r="BB103" s="201"/>
    </row>
    <row r="104" spans="2:54">
      <c r="B104" s="35" t="s">
        <v>520</v>
      </c>
      <c r="C104" s="35"/>
      <c r="D104" s="32"/>
      <c r="E104" s="36" t="s">
        <v>511</v>
      </c>
      <c r="F104" s="37" t="s">
        <v>8</v>
      </c>
      <c r="G104" s="32"/>
      <c r="H104" s="33"/>
      <c r="I104" s="34"/>
      <c r="J104" s="35" t="s">
        <v>521</v>
      </c>
      <c r="K104" s="36" t="s">
        <v>511</v>
      </c>
      <c r="L104" s="41" t="s">
        <v>2465</v>
      </c>
      <c r="M104" s="32"/>
      <c r="N104" s="32"/>
      <c r="O104" s="206"/>
      <c r="P104" s="202"/>
      <c r="Q104" s="202"/>
      <c r="R104" s="204"/>
      <c r="S104" s="38"/>
      <c r="T104" s="201"/>
      <c r="U104" s="201"/>
      <c r="V104" s="201"/>
      <c r="W104" s="201"/>
      <c r="X104" s="201"/>
      <c r="Y104" s="201"/>
      <c r="Z104" s="201"/>
      <c r="AA104" s="201"/>
      <c r="AB104" s="202"/>
      <c r="AC104" s="202"/>
      <c r="AD104" s="202"/>
      <c r="AE104" s="202"/>
      <c r="AF104" s="202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  <c r="AQ104" s="201"/>
      <c r="AR104" s="201"/>
      <c r="AS104" s="201"/>
      <c r="AT104" s="201"/>
      <c r="AU104" s="201"/>
      <c r="AV104" s="201"/>
      <c r="AW104" s="201"/>
      <c r="AX104" s="201"/>
      <c r="AY104" s="201"/>
      <c r="AZ104" s="201"/>
      <c r="BA104" s="201"/>
      <c r="BB104" s="201"/>
    </row>
    <row r="105" spans="2:54">
      <c r="B105" s="35" t="s">
        <v>523</v>
      </c>
      <c r="C105" s="35"/>
      <c r="D105" s="32"/>
      <c r="E105" s="36" t="s">
        <v>511</v>
      </c>
      <c r="F105" s="37" t="s">
        <v>13</v>
      </c>
      <c r="G105" s="32"/>
      <c r="H105" s="33"/>
      <c r="I105" s="34"/>
      <c r="J105" s="42" t="s">
        <v>524</v>
      </c>
      <c r="K105" s="36" t="s">
        <v>511</v>
      </c>
      <c r="L105" s="43" t="s">
        <v>15</v>
      </c>
      <c r="M105" s="44"/>
      <c r="N105" s="44"/>
      <c r="O105" s="206"/>
      <c r="P105" s="205"/>
      <c r="Q105" s="202"/>
      <c r="R105" s="204"/>
      <c r="S105" s="38"/>
      <c r="T105" s="201"/>
      <c r="U105" s="201"/>
      <c r="V105" s="201"/>
      <c r="W105" s="201"/>
      <c r="X105" s="201"/>
      <c r="Y105" s="201"/>
      <c r="Z105" s="201"/>
      <c r="AA105" s="201"/>
      <c r="AB105" s="202"/>
      <c r="AC105" s="202"/>
      <c r="AD105" s="202"/>
      <c r="AE105" s="202"/>
      <c r="AF105" s="202"/>
      <c r="AG105" s="201"/>
      <c r="AH105" s="201"/>
      <c r="AI105" s="201"/>
      <c r="AJ105" s="201"/>
      <c r="AK105" s="201"/>
      <c r="AL105" s="201"/>
      <c r="AM105" s="201"/>
      <c r="AN105" s="201"/>
      <c r="AO105" s="201"/>
      <c r="AP105" s="201"/>
      <c r="AQ105" s="201"/>
      <c r="AR105" s="201"/>
      <c r="AS105" s="201"/>
      <c r="AT105" s="201"/>
      <c r="AU105" s="201"/>
      <c r="AV105" s="201"/>
      <c r="AW105" s="201"/>
      <c r="AX105" s="201"/>
      <c r="AY105" s="201"/>
      <c r="AZ105" s="201"/>
      <c r="BA105" s="201"/>
      <c r="BB105" s="201"/>
    </row>
    <row r="106" spans="2:54">
      <c r="B106" s="35" t="s">
        <v>2</v>
      </c>
      <c r="C106" s="35"/>
      <c r="D106" s="32"/>
      <c r="E106" s="36" t="s">
        <v>511</v>
      </c>
      <c r="F106" s="37" t="s">
        <v>42</v>
      </c>
      <c r="G106" s="32"/>
      <c r="H106" s="33"/>
      <c r="I106" s="45"/>
      <c r="J106" s="42"/>
      <c r="K106" s="36"/>
      <c r="L106" s="211"/>
      <c r="M106" s="201"/>
      <c r="N106" s="201"/>
      <c r="O106" s="42"/>
      <c r="P106" s="44"/>
      <c r="Q106" s="44"/>
      <c r="R106" s="44"/>
      <c r="S106" s="34"/>
      <c r="T106" s="201"/>
      <c r="U106" s="201"/>
      <c r="V106" s="201"/>
      <c r="W106" s="201"/>
      <c r="X106" s="201"/>
      <c r="Y106" s="201"/>
      <c r="Z106" s="201"/>
      <c r="AA106" s="201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201"/>
      <c r="AP106" s="201"/>
      <c r="AQ106" s="201"/>
      <c r="AR106" s="201"/>
      <c r="AS106" s="201"/>
      <c r="AT106" s="201"/>
      <c r="AU106" s="201"/>
      <c r="AV106" s="201"/>
      <c r="AW106" s="201"/>
      <c r="AX106" s="201"/>
      <c r="AY106" s="201"/>
      <c r="AZ106" s="201"/>
      <c r="BA106" s="201"/>
      <c r="BB106" s="201"/>
    </row>
    <row r="107" spans="2:54">
      <c r="B107" s="201"/>
      <c r="C107" s="201"/>
      <c r="D107" s="201"/>
      <c r="E107" s="201"/>
      <c r="F107" s="201"/>
      <c r="G107" s="201"/>
      <c r="H107" s="201"/>
      <c r="I107" s="45"/>
      <c r="J107" s="42"/>
      <c r="K107" s="42"/>
      <c r="L107" s="43"/>
      <c r="M107" s="44"/>
      <c r="N107" s="44"/>
      <c r="O107" s="42"/>
      <c r="P107" s="44"/>
      <c r="Q107" s="44"/>
      <c r="R107" s="44"/>
      <c r="S107" s="34"/>
      <c r="T107" s="1265" t="s">
        <v>87</v>
      </c>
      <c r="U107" s="1265"/>
      <c r="V107" s="1265"/>
      <c r="W107" s="1265"/>
      <c r="X107" s="1265"/>
      <c r="Y107" s="1265" t="s">
        <v>73</v>
      </c>
      <c r="Z107" s="1265"/>
      <c r="AA107" s="1265"/>
      <c r="AB107" s="1265" t="s">
        <v>74</v>
      </c>
      <c r="AC107" s="1265"/>
      <c r="AD107" s="423" t="s">
        <v>85</v>
      </c>
      <c r="AE107" s="423" t="s">
        <v>77</v>
      </c>
      <c r="AF107" s="1265" t="s">
        <v>525</v>
      </c>
      <c r="AG107" s="1265"/>
      <c r="AH107" s="1265"/>
      <c r="AI107" s="1265"/>
      <c r="AJ107" s="1265"/>
      <c r="AK107" s="1265"/>
      <c r="AL107" s="1265"/>
      <c r="AM107" s="1265"/>
      <c r="AN107" s="1265"/>
      <c r="AO107" s="1265"/>
      <c r="AP107" s="1265"/>
      <c r="AQ107" s="1265"/>
      <c r="AR107" s="1265"/>
      <c r="AS107" s="1265"/>
      <c r="AT107" s="1265"/>
      <c r="AU107" s="1265"/>
      <c r="AV107" s="1265"/>
      <c r="AW107" s="1265"/>
      <c r="AX107" s="1265"/>
      <c r="AY107" s="1265"/>
      <c r="AZ107" s="1265"/>
      <c r="BA107" s="1265"/>
      <c r="BB107" s="201"/>
    </row>
    <row r="108" spans="2:54">
      <c r="B108" s="1266" t="s">
        <v>526</v>
      </c>
      <c r="C108" s="1267"/>
      <c r="D108" s="570" t="s">
        <v>527</v>
      </c>
      <c r="E108" s="570"/>
      <c r="F108" s="570" t="s">
        <v>528</v>
      </c>
      <c r="G108" s="570" t="s">
        <v>529</v>
      </c>
      <c r="H108" s="570" t="s">
        <v>530</v>
      </c>
      <c r="I108" s="570" t="s">
        <v>531</v>
      </c>
      <c r="J108" s="570" t="s">
        <v>532</v>
      </c>
      <c r="K108" s="570"/>
      <c r="L108" s="570" t="s">
        <v>130</v>
      </c>
      <c r="M108" s="570" t="s">
        <v>533</v>
      </c>
      <c r="N108" s="408" t="str">
        <f>"On time - "&amp;COUNTIF(N109:N118,"On time")&amp;" from "&amp;ROWS(N109:N118)-COUNTIF(N109:N118," ")</f>
        <v>On time - 0 from 8</v>
      </c>
      <c r="O108" s="46"/>
      <c r="P108" s="409" t="s">
        <v>534</v>
      </c>
      <c r="Q108" s="409" t="s">
        <v>535</v>
      </c>
      <c r="R108" s="409" t="s">
        <v>536</v>
      </c>
      <c r="S108" s="32"/>
      <c r="T108" s="424" t="s">
        <v>537</v>
      </c>
      <c r="U108" s="424" t="s">
        <v>538</v>
      </c>
      <c r="V108" s="424" t="s">
        <v>539</v>
      </c>
      <c r="W108" s="424" t="s">
        <v>540</v>
      </c>
      <c r="X108" s="424" t="s">
        <v>541</v>
      </c>
      <c r="Y108" s="424" t="s">
        <v>167</v>
      </c>
      <c r="Z108" s="424" t="s">
        <v>168</v>
      </c>
      <c r="AA108" s="424" t="s">
        <v>169</v>
      </c>
      <c r="AB108" s="424" t="s">
        <v>235</v>
      </c>
      <c r="AC108" s="424" t="s">
        <v>240</v>
      </c>
      <c r="AD108" s="423" t="s">
        <v>85</v>
      </c>
      <c r="AE108" s="424" t="s">
        <v>139</v>
      </c>
      <c r="AF108" s="424" t="s">
        <v>72</v>
      </c>
      <c r="AG108" s="424" t="s">
        <v>88</v>
      </c>
      <c r="AH108" s="424" t="s">
        <v>75</v>
      </c>
      <c r="AI108" s="424" t="s">
        <v>543</v>
      </c>
      <c r="AJ108" s="424" t="s">
        <v>78</v>
      </c>
      <c r="AK108" s="424" t="s">
        <v>76</v>
      </c>
      <c r="AL108" s="424" t="s">
        <v>544</v>
      </c>
      <c r="AM108" s="424" t="s">
        <v>545</v>
      </c>
      <c r="AN108" s="424" t="s">
        <v>86</v>
      </c>
      <c r="AO108" s="424" t="s">
        <v>83</v>
      </c>
      <c r="AP108" s="424" t="s">
        <v>84</v>
      </c>
      <c r="AQ108" s="424" t="s">
        <v>546</v>
      </c>
      <c r="AR108" s="424" t="s">
        <v>81</v>
      </c>
      <c r="AS108" s="424" t="s">
        <v>80</v>
      </c>
      <c r="AT108" s="424" t="s">
        <v>82</v>
      </c>
      <c r="AU108" s="424" t="s">
        <v>181</v>
      </c>
      <c r="AV108" s="424" t="s">
        <v>183</v>
      </c>
      <c r="AW108" s="424" t="s">
        <v>547</v>
      </c>
      <c r="AX108" s="424" t="s">
        <v>182</v>
      </c>
      <c r="AY108" s="424" t="s">
        <v>172</v>
      </c>
      <c r="AZ108" s="424" t="s">
        <v>173</v>
      </c>
      <c r="BA108" s="424" t="s">
        <v>184</v>
      </c>
      <c r="BB108" s="201"/>
    </row>
    <row r="109" spans="2:54">
      <c r="B109" s="1256" t="s">
        <v>548</v>
      </c>
      <c r="C109" s="1257"/>
      <c r="D109" s="411" t="s">
        <v>2445</v>
      </c>
      <c r="E109" s="411"/>
      <c r="F109" s="411" t="s">
        <v>2277</v>
      </c>
      <c r="G109" s="411" t="s">
        <v>2278</v>
      </c>
      <c r="H109" s="412">
        <v>3334.3719999999998</v>
      </c>
      <c r="I109" s="413" t="s">
        <v>235</v>
      </c>
      <c r="J109" s="414">
        <v>45173.694444444445</v>
      </c>
      <c r="K109" s="414"/>
      <c r="L109" s="414" t="s">
        <v>192</v>
      </c>
      <c r="M109" s="414" t="s">
        <v>192</v>
      </c>
      <c r="N109" s="413" t="str">
        <f t="shared" ref="N109:N116" si="11">IF(ISBLANK(J109)," ",IF(J109&lt;$F$103,"On time",(IF(DAY(J109-$F$103)&lt;1,"On time",(IF(J109&gt;$F$103,"DELAY ( "&amp;DAY(J109-$F$103)&amp;" day "&amp;HOUR(J109-$F$103)&amp;" hour "&amp;MINUTE(J109-$F$103)&amp;" minute )","xxx"))))))</f>
        <v>DELAY ( 8 day 6 hour 52 minute )</v>
      </c>
      <c r="O109" s="51"/>
      <c r="P109" s="415" t="s">
        <v>551</v>
      </c>
      <c r="Q109" s="415" t="s">
        <v>551</v>
      </c>
      <c r="R109" s="415" t="s">
        <v>551</v>
      </c>
      <c r="S109" s="32"/>
      <c r="T109" s="416"/>
      <c r="U109" s="416"/>
      <c r="V109" s="416"/>
      <c r="W109" s="416"/>
      <c r="X109" s="416"/>
      <c r="Y109" s="416"/>
      <c r="Z109" s="416"/>
      <c r="AA109" s="416"/>
      <c r="AB109" s="416">
        <f>H109</f>
        <v>3334.3719999999998</v>
      </c>
      <c r="AC109" s="416"/>
      <c r="AD109" s="416"/>
      <c r="AE109" s="416"/>
      <c r="AF109" s="416"/>
      <c r="AG109" s="416"/>
      <c r="AH109" s="416"/>
      <c r="AI109" s="416"/>
      <c r="AJ109" s="416"/>
      <c r="AK109" s="416"/>
      <c r="AL109" s="416"/>
      <c r="AM109" s="416"/>
      <c r="AN109" s="416"/>
      <c r="AO109" s="416"/>
      <c r="AP109" s="416"/>
      <c r="AQ109" s="416"/>
      <c r="AR109" s="416"/>
      <c r="AS109" s="416"/>
      <c r="AT109" s="416"/>
      <c r="AU109" s="416"/>
      <c r="AV109" s="416"/>
      <c r="AW109" s="416"/>
      <c r="AX109" s="416"/>
      <c r="AY109" s="416"/>
      <c r="AZ109" s="416"/>
      <c r="BA109" s="416"/>
      <c r="BB109" s="32"/>
    </row>
    <row r="110" spans="2:54">
      <c r="B110" s="1256" t="s">
        <v>548</v>
      </c>
      <c r="C110" s="1257"/>
      <c r="D110" s="411" t="s">
        <v>2466</v>
      </c>
      <c r="E110" s="411"/>
      <c r="F110" s="411" t="s">
        <v>390</v>
      </c>
      <c r="G110" s="411" t="s">
        <v>391</v>
      </c>
      <c r="H110" s="412">
        <v>7408.0519999999997</v>
      </c>
      <c r="I110" s="413" t="s">
        <v>235</v>
      </c>
      <c r="J110" s="414">
        <v>45175.559027777781</v>
      </c>
      <c r="K110" s="414"/>
      <c r="L110" s="414" t="s">
        <v>192</v>
      </c>
      <c r="M110" s="414" t="s">
        <v>192</v>
      </c>
      <c r="N110" s="413" t="str">
        <f t="shared" si="11"/>
        <v>DELAY ( 10 day 3 hour 37 minute )</v>
      </c>
      <c r="O110" s="51"/>
      <c r="P110" s="415" t="s">
        <v>551</v>
      </c>
      <c r="Q110" s="415" t="s">
        <v>551</v>
      </c>
      <c r="R110" s="415" t="s">
        <v>551</v>
      </c>
      <c r="S110" s="32"/>
      <c r="T110" s="416"/>
      <c r="U110" s="416"/>
      <c r="V110" s="416"/>
      <c r="W110" s="416"/>
      <c r="X110" s="416"/>
      <c r="Y110" s="416"/>
      <c r="Z110" s="416"/>
      <c r="AA110" s="416"/>
      <c r="AB110" s="416">
        <f t="shared" ref="AB110" si="12">H110</f>
        <v>7408.0519999999997</v>
      </c>
      <c r="AC110" s="416"/>
      <c r="AD110" s="416"/>
      <c r="AE110" s="416"/>
      <c r="AF110" s="416"/>
      <c r="AG110" s="416"/>
      <c r="AH110" s="416"/>
      <c r="AI110" s="416"/>
      <c r="AJ110" s="416"/>
      <c r="AK110" s="416"/>
      <c r="AL110" s="416"/>
      <c r="AM110" s="416"/>
      <c r="AN110" s="416"/>
      <c r="AO110" s="416"/>
      <c r="AP110" s="416"/>
      <c r="AQ110" s="416"/>
      <c r="AR110" s="416"/>
      <c r="AS110" s="416"/>
      <c r="AT110" s="416"/>
      <c r="AU110" s="416"/>
      <c r="AV110" s="416"/>
      <c r="AW110" s="416"/>
      <c r="AX110" s="416"/>
      <c r="AY110" s="416"/>
      <c r="AZ110" s="416"/>
      <c r="BA110" s="416"/>
      <c r="BB110" s="32"/>
    </row>
    <row r="111" spans="2:54">
      <c r="B111" s="1256" t="s">
        <v>548</v>
      </c>
      <c r="C111" s="1257"/>
      <c r="D111" s="411" t="s">
        <v>2467</v>
      </c>
      <c r="E111" s="411"/>
      <c r="F111" s="411" t="s">
        <v>399</v>
      </c>
      <c r="G111" s="411" t="s">
        <v>275</v>
      </c>
      <c r="H111" s="412">
        <v>7446.3270000000002</v>
      </c>
      <c r="I111" s="413" t="s">
        <v>235</v>
      </c>
      <c r="J111" s="414">
        <v>45175.75</v>
      </c>
      <c r="K111" s="414"/>
      <c r="L111" s="414" t="s">
        <v>192</v>
      </c>
      <c r="M111" s="414" t="s">
        <v>192</v>
      </c>
      <c r="N111" s="413" t="str">
        <f t="shared" si="11"/>
        <v>DELAY ( 10 day 8 hour 12 minute )</v>
      </c>
      <c r="O111" s="51"/>
      <c r="P111" s="415" t="s">
        <v>551</v>
      </c>
      <c r="Q111" s="415" t="s">
        <v>551</v>
      </c>
      <c r="R111" s="415" t="s">
        <v>551</v>
      </c>
      <c r="S111" s="32"/>
      <c r="T111" s="416"/>
      <c r="U111" s="416"/>
      <c r="V111" s="416"/>
      <c r="W111" s="416"/>
      <c r="X111" s="416"/>
      <c r="Y111" s="416"/>
      <c r="Z111" s="416"/>
      <c r="AA111" s="416"/>
      <c r="AB111" s="416">
        <f>H111</f>
        <v>7446.3270000000002</v>
      </c>
      <c r="AC111" s="416"/>
      <c r="AD111" s="416"/>
      <c r="AE111" s="416"/>
      <c r="AF111" s="416"/>
      <c r="AG111" s="416"/>
      <c r="AH111" s="416"/>
      <c r="AI111" s="416"/>
      <c r="AJ111" s="416"/>
      <c r="AK111" s="416"/>
      <c r="AL111" s="416"/>
      <c r="AM111" s="416"/>
      <c r="AN111" s="416"/>
      <c r="AO111" s="416"/>
      <c r="AP111" s="416"/>
      <c r="AQ111" s="416"/>
      <c r="AR111" s="416"/>
      <c r="AS111" s="416"/>
      <c r="AT111" s="416"/>
      <c r="AU111" s="416"/>
      <c r="AV111" s="416"/>
      <c r="AW111" s="416"/>
      <c r="AX111" s="416"/>
      <c r="AY111" s="416"/>
      <c r="AZ111" s="416"/>
      <c r="BA111" s="416"/>
      <c r="BB111" s="32"/>
    </row>
    <row r="112" spans="2:54">
      <c r="B112" s="1256" t="s">
        <v>548</v>
      </c>
      <c r="C112" s="1257"/>
      <c r="D112" s="411" t="s">
        <v>2468</v>
      </c>
      <c r="E112" s="411"/>
      <c r="F112" s="411" t="s">
        <v>205</v>
      </c>
      <c r="G112" s="411" t="s">
        <v>206</v>
      </c>
      <c r="H112" s="412">
        <v>7472.915</v>
      </c>
      <c r="I112" s="413" t="s">
        <v>235</v>
      </c>
      <c r="J112" s="414">
        <v>45175.944444444445</v>
      </c>
      <c r="K112" s="414"/>
      <c r="L112" s="414" t="s">
        <v>192</v>
      </c>
      <c r="M112" s="414" t="s">
        <v>192</v>
      </c>
      <c r="N112" s="413" t="str">
        <f t="shared" si="11"/>
        <v>DELAY ( 10 day 12 hour 52 minute )</v>
      </c>
      <c r="O112" s="51"/>
      <c r="P112" s="415" t="s">
        <v>551</v>
      </c>
      <c r="Q112" s="415" t="s">
        <v>551</v>
      </c>
      <c r="R112" s="415" t="s">
        <v>551</v>
      </c>
      <c r="S112" s="32"/>
      <c r="T112" s="416"/>
      <c r="U112" s="416"/>
      <c r="V112" s="416"/>
      <c r="W112" s="416"/>
      <c r="X112" s="416"/>
      <c r="Y112" s="416"/>
      <c r="Z112" s="416"/>
      <c r="AA112" s="416"/>
      <c r="AB112" s="416">
        <f>H112</f>
        <v>7472.915</v>
      </c>
      <c r="AC112" s="416"/>
      <c r="AD112" s="416"/>
      <c r="AE112" s="416"/>
      <c r="AF112" s="416"/>
      <c r="AG112" s="416"/>
      <c r="AH112" s="416"/>
      <c r="AI112" s="416"/>
      <c r="AJ112" s="416"/>
      <c r="AK112" s="416"/>
      <c r="AL112" s="416"/>
      <c r="AM112" s="416"/>
      <c r="AN112" s="416"/>
      <c r="AO112" s="416"/>
      <c r="AP112" s="416"/>
      <c r="AQ112" s="416"/>
      <c r="AR112" s="416"/>
      <c r="AS112" s="416"/>
      <c r="AT112" s="416"/>
      <c r="AU112" s="416"/>
      <c r="AV112" s="416"/>
      <c r="AW112" s="416"/>
      <c r="AX112" s="416"/>
      <c r="AY112" s="416"/>
      <c r="AZ112" s="416"/>
      <c r="BA112" s="416"/>
      <c r="BB112" s="32"/>
    </row>
    <row r="113" spans="2:54">
      <c r="B113" s="1371" t="s">
        <v>1416</v>
      </c>
      <c r="C113" s="1372"/>
      <c r="D113" s="411" t="s">
        <v>2469</v>
      </c>
      <c r="E113" s="411"/>
      <c r="F113" s="411" t="s">
        <v>334</v>
      </c>
      <c r="G113" s="411" t="s">
        <v>335</v>
      </c>
      <c r="H113" s="412">
        <v>7403.1090000000004</v>
      </c>
      <c r="I113" s="413" t="s">
        <v>240</v>
      </c>
      <c r="J113" s="414">
        <v>45176.604166666664</v>
      </c>
      <c r="K113" s="414"/>
      <c r="L113" s="414" t="s">
        <v>192</v>
      </c>
      <c r="M113" s="414" t="s">
        <v>192</v>
      </c>
      <c r="N113" s="413" t="str">
        <f t="shared" si="11"/>
        <v>DELAY ( 11 day 4 hour 42 minute )</v>
      </c>
      <c r="O113" s="51"/>
      <c r="P113" s="415" t="s">
        <v>551</v>
      </c>
      <c r="Q113" s="415" t="s">
        <v>551</v>
      </c>
      <c r="R113" s="415" t="s">
        <v>551</v>
      </c>
      <c r="S113" s="32"/>
      <c r="T113" s="416"/>
      <c r="U113" s="416"/>
      <c r="V113" s="416"/>
      <c r="W113" s="416"/>
      <c r="X113" s="416"/>
      <c r="Y113" s="416"/>
      <c r="Z113" s="416"/>
      <c r="AA113" s="416"/>
      <c r="AB113" s="32"/>
      <c r="AC113" s="416">
        <f>H113</f>
        <v>7403.1090000000004</v>
      </c>
      <c r="AD113" s="416"/>
      <c r="AE113" s="416"/>
      <c r="AF113" s="416"/>
      <c r="AG113" s="416"/>
      <c r="AH113" s="416"/>
      <c r="AI113" s="416"/>
      <c r="AJ113" s="416"/>
      <c r="AK113" s="416"/>
      <c r="AL113" s="416"/>
      <c r="AM113" s="416"/>
      <c r="AN113" s="416"/>
      <c r="AO113" s="416"/>
      <c r="AP113" s="416"/>
      <c r="AQ113" s="416"/>
      <c r="AR113" s="416"/>
      <c r="AS113" s="416"/>
      <c r="AT113" s="416"/>
      <c r="AU113" s="416"/>
      <c r="AV113" s="416"/>
      <c r="AW113" s="416"/>
      <c r="AX113" s="416"/>
      <c r="AY113" s="416"/>
      <c r="AZ113" s="416"/>
      <c r="BA113" s="416"/>
      <c r="BB113" s="32"/>
    </row>
    <row r="114" spans="2:54">
      <c r="B114" s="1371" t="s">
        <v>1416</v>
      </c>
      <c r="C114" s="1372"/>
      <c r="D114" s="411" t="s">
        <v>2470</v>
      </c>
      <c r="E114" s="411"/>
      <c r="F114" s="411" t="s">
        <v>2156</v>
      </c>
      <c r="G114" s="411" t="s">
        <v>1835</v>
      </c>
      <c r="H114" s="412">
        <f>7508.7</f>
        <v>7508.7</v>
      </c>
      <c r="I114" s="413" t="s">
        <v>611</v>
      </c>
      <c r="J114" s="414">
        <v>45177.9375</v>
      </c>
      <c r="K114" s="414"/>
      <c r="L114" s="414" t="s">
        <v>192</v>
      </c>
      <c r="M114" s="414" t="s">
        <v>192</v>
      </c>
      <c r="N114" s="413" t="str">
        <f t="shared" si="11"/>
        <v>DELAY ( 12 day 12 hour 42 minute )</v>
      </c>
      <c r="O114" s="51"/>
      <c r="P114" s="415" t="s">
        <v>551</v>
      </c>
      <c r="Q114" s="415" t="s">
        <v>551</v>
      </c>
      <c r="R114" s="415" t="s">
        <v>551</v>
      </c>
      <c r="S114" s="32"/>
      <c r="T114" s="416">
        <f>H114</f>
        <v>7508.7</v>
      </c>
      <c r="U114" s="416"/>
      <c r="V114" s="416"/>
      <c r="W114" s="416"/>
      <c r="X114" s="416"/>
      <c r="Y114" s="416"/>
      <c r="Z114" s="416"/>
      <c r="AA114" s="416"/>
      <c r="AB114" s="416"/>
      <c r="AC114" s="416"/>
      <c r="AD114" s="416"/>
      <c r="AE114" s="416"/>
      <c r="AF114" s="416"/>
      <c r="AG114" s="416"/>
      <c r="AH114" s="416"/>
      <c r="AI114" s="416"/>
      <c r="AJ114" s="416"/>
      <c r="AK114" s="416"/>
      <c r="AL114" s="416"/>
      <c r="AM114" s="416"/>
      <c r="AN114" s="416"/>
      <c r="AO114" s="416"/>
      <c r="AP114" s="416"/>
      <c r="AQ114" s="416"/>
      <c r="AR114" s="416"/>
      <c r="AS114" s="416"/>
      <c r="AT114" s="416"/>
      <c r="AU114" s="416"/>
      <c r="AV114" s="416"/>
      <c r="AW114" s="416"/>
      <c r="AX114" s="416"/>
      <c r="AY114" s="32"/>
      <c r="AZ114" s="416"/>
      <c r="BA114" s="416"/>
      <c r="BB114" s="32"/>
    </row>
    <row r="115" spans="2:54">
      <c r="B115" s="1256" t="s">
        <v>548</v>
      </c>
      <c r="C115" s="1257"/>
      <c r="D115" s="411" t="s">
        <v>2471</v>
      </c>
      <c r="E115" s="411"/>
      <c r="F115" s="411" t="s">
        <v>274</v>
      </c>
      <c r="G115" s="411" t="s">
        <v>1093</v>
      </c>
      <c r="H115" s="412">
        <v>7371.5379999999996</v>
      </c>
      <c r="I115" s="413" t="s">
        <v>235</v>
      </c>
      <c r="J115" s="414">
        <v>45177.4375</v>
      </c>
      <c r="K115" s="414"/>
      <c r="L115" s="414" t="s">
        <v>192</v>
      </c>
      <c r="M115" s="414" t="s">
        <v>192</v>
      </c>
      <c r="N115" s="413" t="str">
        <f t="shared" si="11"/>
        <v>DELAY ( 12 day 0 hour 42 minute )</v>
      </c>
      <c r="O115" s="51"/>
      <c r="P115" s="415" t="s">
        <v>551</v>
      </c>
      <c r="Q115" s="415" t="s">
        <v>551</v>
      </c>
      <c r="R115" s="415" t="s">
        <v>551</v>
      </c>
      <c r="S115" s="32"/>
      <c r="T115" s="416"/>
      <c r="U115" s="416"/>
      <c r="V115" s="416"/>
      <c r="W115" s="416"/>
      <c r="X115" s="416"/>
      <c r="Y115" s="416"/>
      <c r="Z115" s="416"/>
      <c r="AA115" s="416"/>
      <c r="AB115" s="416">
        <f t="shared" ref="AB115" si="13">H115</f>
        <v>7371.5379999999996</v>
      </c>
      <c r="AC115" s="416"/>
      <c r="AD115" s="416"/>
      <c r="AE115" s="416"/>
      <c r="AF115" s="416"/>
      <c r="AG115" s="416"/>
      <c r="AH115" s="416"/>
      <c r="AI115" s="416"/>
      <c r="AJ115" s="416"/>
      <c r="AK115" s="416"/>
      <c r="AL115" s="416"/>
      <c r="AM115" s="416"/>
      <c r="AN115" s="416"/>
      <c r="AO115" s="416"/>
      <c r="AP115" s="416"/>
      <c r="AQ115" s="416"/>
      <c r="AR115" s="416"/>
      <c r="AS115" s="416"/>
      <c r="AT115" s="416"/>
      <c r="AU115" s="416"/>
      <c r="AV115" s="416"/>
      <c r="AW115" s="416"/>
      <c r="AX115" s="416"/>
      <c r="AY115" s="416"/>
      <c r="AZ115" s="416"/>
      <c r="BA115" s="416"/>
      <c r="BB115" s="32"/>
    </row>
    <row r="116" spans="2:54">
      <c r="B116" s="1256" t="s">
        <v>548</v>
      </c>
      <c r="C116" s="1257"/>
      <c r="D116" s="411" t="s">
        <v>2472</v>
      </c>
      <c r="E116" s="411"/>
      <c r="F116" s="411" t="s">
        <v>284</v>
      </c>
      <c r="G116" s="411" t="s">
        <v>285</v>
      </c>
      <c r="H116" s="412">
        <f>8118.217-1063.23</f>
        <v>7054.9869999999992</v>
      </c>
      <c r="I116" s="413" t="s">
        <v>235</v>
      </c>
      <c r="J116" s="414">
        <v>45176.541666666664</v>
      </c>
      <c r="K116" s="414"/>
      <c r="L116" s="414" t="s">
        <v>192</v>
      </c>
      <c r="M116" s="414" t="s">
        <v>192</v>
      </c>
      <c r="N116" s="413" t="str">
        <f t="shared" si="11"/>
        <v>DELAY ( 11 day 3 hour 12 minute )</v>
      </c>
      <c r="O116" s="51"/>
      <c r="P116" s="415" t="s">
        <v>551</v>
      </c>
      <c r="Q116" s="415" t="s">
        <v>551</v>
      </c>
      <c r="R116" s="415" t="s">
        <v>551</v>
      </c>
      <c r="S116" s="32"/>
      <c r="T116" s="416"/>
      <c r="U116" s="416"/>
      <c r="V116" s="416"/>
      <c r="W116" s="416"/>
      <c r="X116" s="416"/>
      <c r="Y116" s="416"/>
      <c r="Z116" s="416"/>
      <c r="AA116" s="416"/>
      <c r="AB116" s="416">
        <f>H116</f>
        <v>7054.9869999999992</v>
      </c>
      <c r="AC116" s="416"/>
      <c r="AD116" s="416"/>
      <c r="AE116" s="416"/>
      <c r="AF116" s="416"/>
      <c r="AG116" s="416"/>
      <c r="AH116" s="416"/>
      <c r="AI116" s="416"/>
      <c r="AJ116" s="416"/>
      <c r="AK116" s="416"/>
      <c r="AL116" s="416"/>
      <c r="AM116" s="416"/>
      <c r="AN116" s="416"/>
      <c r="AO116" s="416"/>
      <c r="AP116" s="416"/>
      <c r="AQ116" s="416"/>
      <c r="AR116" s="416"/>
      <c r="AS116" s="416"/>
      <c r="AT116" s="416"/>
      <c r="AU116" s="416"/>
      <c r="AV116" s="416"/>
      <c r="AW116" s="416"/>
      <c r="AX116" s="416"/>
      <c r="AY116" s="416"/>
      <c r="AZ116" s="416"/>
      <c r="BA116" s="416"/>
      <c r="BB116" s="32"/>
    </row>
    <row r="117" spans="2:54">
      <c r="B117" s="1258" t="s">
        <v>556</v>
      </c>
      <c r="C117" s="1259"/>
      <c r="D117" s="1259"/>
      <c r="E117" s="1259"/>
      <c r="F117" s="1259"/>
      <c r="G117" s="1260"/>
      <c r="H117" s="417">
        <f>SUM(H109:H116)</f>
        <v>55000</v>
      </c>
      <c r="I117" s="388"/>
      <c r="J117" s="293"/>
      <c r="K117" s="293"/>
      <c r="L117" s="293"/>
      <c r="M117" s="389"/>
      <c r="N117" s="413" t="str">
        <f t="shared" ref="N117:N118" si="14">IF(ISBLANK(J117)," ",IF(J117&lt;$F$103,"On time",(IF(DAY(J117-$F$103)&lt;1,"On time",(IF(J117&gt;$F$103,"DELAY ( "&amp;DAY(J117-$F$103)&amp;" day "&amp;HOUR(J117-$F$103)&amp;" hour "&amp;MINUTE(J117-$F$103)&amp;" minute )","xxx"))))))</f>
        <v xml:space="preserve"> </v>
      </c>
      <c r="O117" s="212"/>
      <c r="P117" s="418"/>
      <c r="Q117" s="418"/>
      <c r="R117" s="418"/>
      <c r="S117" s="207"/>
      <c r="T117" s="1300"/>
      <c r="U117" s="1301"/>
      <c r="V117" s="1301"/>
      <c r="W117" s="1301"/>
      <c r="X117" s="1301"/>
      <c r="Y117" s="1301"/>
      <c r="Z117" s="1301"/>
      <c r="AA117" s="1301"/>
      <c r="AB117" s="1301"/>
      <c r="AC117" s="1301"/>
      <c r="AD117" s="1301"/>
      <c r="AE117" s="1301"/>
      <c r="AF117" s="1301"/>
      <c r="AG117" s="1301"/>
      <c r="AH117" s="1301"/>
      <c r="AI117" s="1301"/>
      <c r="AJ117" s="1301"/>
      <c r="AK117" s="1301"/>
      <c r="AL117" s="1301"/>
      <c r="AM117" s="1301"/>
      <c r="AN117" s="1301"/>
      <c r="AO117" s="1301"/>
      <c r="AP117" s="1301"/>
      <c r="AQ117" s="1301"/>
      <c r="AR117" s="1301"/>
      <c r="AS117" s="1301"/>
      <c r="AT117" s="1301"/>
      <c r="AU117" s="1301"/>
      <c r="AV117" s="1301"/>
      <c r="AW117" s="1301"/>
      <c r="AX117" s="1301"/>
      <c r="AY117" s="1301"/>
      <c r="AZ117" s="1301"/>
      <c r="BA117" s="1301"/>
    </row>
    <row r="118" spans="2:54">
      <c r="B118" s="1243" t="s">
        <v>557</v>
      </c>
      <c r="C118" s="1244"/>
      <c r="D118" s="1244"/>
      <c r="E118" s="1244"/>
      <c r="F118" s="1244"/>
      <c r="G118" s="1245"/>
      <c r="H118" s="461">
        <v>55000</v>
      </c>
      <c r="I118" s="1273"/>
      <c r="J118" s="1274"/>
      <c r="K118" s="1274"/>
      <c r="L118" s="1274"/>
      <c r="M118" s="1275"/>
      <c r="N118" s="413" t="str">
        <f t="shared" si="14"/>
        <v xml:space="preserve"> </v>
      </c>
      <c r="O118" s="32"/>
      <c r="P118" s="415"/>
      <c r="Q118" s="415"/>
      <c r="R118" s="415"/>
      <c r="S118" s="63"/>
      <c r="T118" s="416">
        <f t="shared" ref="T118:BA118" si="15">SUM(T109:T116)</f>
        <v>7508.7</v>
      </c>
      <c r="U118" s="416">
        <f t="shared" si="15"/>
        <v>0</v>
      </c>
      <c r="V118" s="416">
        <f t="shared" si="15"/>
        <v>0</v>
      </c>
      <c r="W118" s="416">
        <f t="shared" si="15"/>
        <v>0</v>
      </c>
      <c r="X118" s="416">
        <f t="shared" si="15"/>
        <v>0</v>
      </c>
      <c r="Y118" s="416">
        <f t="shared" si="15"/>
        <v>0</v>
      </c>
      <c r="Z118" s="416">
        <f t="shared" si="15"/>
        <v>0</v>
      </c>
      <c r="AA118" s="416">
        <f t="shared" si="15"/>
        <v>0</v>
      </c>
      <c r="AB118" s="416">
        <f t="shared" si="15"/>
        <v>40088.190999999999</v>
      </c>
      <c r="AC118" s="416">
        <f t="shared" si="15"/>
        <v>7403.1090000000004</v>
      </c>
      <c r="AD118" s="416">
        <f t="shared" si="15"/>
        <v>0</v>
      </c>
      <c r="AE118" s="416">
        <f t="shared" si="15"/>
        <v>0</v>
      </c>
      <c r="AF118" s="416">
        <f t="shared" si="15"/>
        <v>0</v>
      </c>
      <c r="AG118" s="416">
        <f t="shared" si="15"/>
        <v>0</v>
      </c>
      <c r="AH118" s="416">
        <f t="shared" si="15"/>
        <v>0</v>
      </c>
      <c r="AI118" s="416">
        <f t="shared" si="15"/>
        <v>0</v>
      </c>
      <c r="AJ118" s="416">
        <f t="shared" si="15"/>
        <v>0</v>
      </c>
      <c r="AK118" s="416">
        <f t="shared" si="15"/>
        <v>0</v>
      </c>
      <c r="AL118" s="416">
        <f t="shared" si="15"/>
        <v>0</v>
      </c>
      <c r="AM118" s="416">
        <f t="shared" si="15"/>
        <v>0</v>
      </c>
      <c r="AN118" s="416">
        <f t="shared" si="15"/>
        <v>0</v>
      </c>
      <c r="AO118" s="416">
        <f t="shared" si="15"/>
        <v>0</v>
      </c>
      <c r="AP118" s="416">
        <f t="shared" si="15"/>
        <v>0</v>
      </c>
      <c r="AQ118" s="416">
        <f t="shared" si="15"/>
        <v>0</v>
      </c>
      <c r="AR118" s="416">
        <f t="shared" si="15"/>
        <v>0</v>
      </c>
      <c r="AS118" s="416">
        <f t="shared" si="15"/>
        <v>0</v>
      </c>
      <c r="AT118" s="416">
        <f t="shared" si="15"/>
        <v>0</v>
      </c>
      <c r="AU118" s="416">
        <f t="shared" si="15"/>
        <v>0</v>
      </c>
      <c r="AV118" s="416">
        <f t="shared" si="15"/>
        <v>0</v>
      </c>
      <c r="AW118" s="416">
        <f t="shared" si="15"/>
        <v>0</v>
      </c>
      <c r="AX118" s="416">
        <f t="shared" si="15"/>
        <v>0</v>
      </c>
      <c r="AY118" s="416">
        <f t="shared" si="15"/>
        <v>0</v>
      </c>
      <c r="AZ118" s="416">
        <f t="shared" si="15"/>
        <v>0</v>
      </c>
      <c r="BA118" s="416">
        <f t="shared" si="15"/>
        <v>0</v>
      </c>
      <c r="BB118" s="416">
        <f>SUM(T118:BA118)</f>
        <v>55000</v>
      </c>
    </row>
    <row r="119" spans="2:54">
      <c r="B119" s="1243" t="s">
        <v>558</v>
      </c>
      <c r="C119" s="1244"/>
      <c r="D119" s="1244"/>
      <c r="E119" s="1244"/>
      <c r="F119" s="1244"/>
      <c r="G119" s="1245"/>
      <c r="H119" s="446">
        <f>H118-L103</f>
        <v>0</v>
      </c>
      <c r="I119" s="294"/>
      <c r="J119" s="295"/>
      <c r="K119" s="295"/>
      <c r="L119" s="296"/>
      <c r="M119" s="32"/>
      <c r="N119" s="32"/>
      <c r="O119" s="32"/>
      <c r="P119" s="32"/>
      <c r="Q119" s="297"/>
      <c r="R119" s="297"/>
      <c r="S119" s="32"/>
      <c r="T119" s="48"/>
      <c r="U119" s="48"/>
      <c r="V119" s="48"/>
      <c r="W119" s="48"/>
      <c r="X119" s="48"/>
      <c r="Y119" s="48"/>
      <c r="Z119" s="48"/>
      <c r="AA119" s="48"/>
      <c r="AB119" s="48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</row>
    <row r="120" spans="2:54">
      <c r="B120" s="1243" t="s">
        <v>559</v>
      </c>
      <c r="C120" s="1244"/>
      <c r="D120" s="1244"/>
      <c r="E120" s="1244"/>
      <c r="F120" s="1244"/>
      <c r="G120" s="1245"/>
      <c r="H120" s="446">
        <v>830.27</v>
      </c>
      <c r="I120" s="52"/>
      <c r="J120" s="53"/>
      <c r="K120" s="53"/>
      <c r="L120" s="54"/>
      <c r="M120" s="32"/>
      <c r="N120" s="201"/>
      <c r="O120" s="32"/>
      <c r="P120" s="32"/>
      <c r="Q120" s="32"/>
      <c r="R120" s="32"/>
      <c r="S120" s="32"/>
      <c r="T120" s="48"/>
      <c r="U120" s="48"/>
      <c r="V120" s="48"/>
      <c r="W120" s="48"/>
      <c r="X120" s="48"/>
      <c r="Y120" s="48"/>
      <c r="Z120" s="48"/>
      <c r="AA120" s="48"/>
      <c r="AB120" s="48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</row>
    <row r="121" spans="2:54">
      <c r="B121" s="1243" t="s">
        <v>560</v>
      </c>
      <c r="C121" s="1244"/>
      <c r="D121" s="1244"/>
      <c r="E121" s="1244"/>
      <c r="F121" s="1244"/>
      <c r="G121" s="1245"/>
      <c r="H121" s="421">
        <f>H120-1063.23</f>
        <v>-232.96000000000004</v>
      </c>
      <c r="I121" s="52"/>
      <c r="J121" s="53"/>
      <c r="K121" s="53"/>
      <c r="L121" s="54"/>
      <c r="M121" s="32"/>
      <c r="N121" s="32"/>
      <c r="O121" s="32"/>
      <c r="P121" s="32"/>
      <c r="Q121" s="32"/>
      <c r="R121" s="32"/>
      <c r="S121" s="48"/>
      <c r="T121" s="48"/>
      <c r="U121" s="48"/>
      <c r="V121" s="48"/>
      <c r="W121" s="48"/>
      <c r="X121" s="48"/>
      <c r="Y121" s="48"/>
      <c r="Z121" s="48"/>
      <c r="AA121" s="48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2:54">
      <c r="B122" s="201"/>
      <c r="C122" s="201"/>
      <c r="D122" s="201"/>
      <c r="E122" s="201"/>
      <c r="F122" s="201"/>
      <c r="G122" s="201"/>
      <c r="H122" s="201"/>
      <c r="I122" s="213"/>
      <c r="J122" s="209"/>
      <c r="K122" s="209"/>
      <c r="L122" s="203"/>
      <c r="M122" s="201"/>
      <c r="N122" s="201"/>
      <c r="O122" s="209"/>
      <c r="P122" s="32"/>
      <c r="Q122" s="32"/>
      <c r="R122" s="32"/>
      <c r="S122" s="32"/>
      <c r="T122" s="48"/>
      <c r="U122" s="48"/>
      <c r="V122" s="48"/>
      <c r="W122" s="48"/>
      <c r="X122" s="48"/>
      <c r="Y122" s="48"/>
      <c r="Z122" s="48"/>
      <c r="AA122" s="48"/>
      <c r="AB122" s="48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</row>
    <row r="123" spans="2:54">
      <c r="B123" s="40" t="s">
        <v>561</v>
      </c>
      <c r="C123" s="40"/>
      <c r="D123" s="32"/>
      <c r="E123" s="32"/>
      <c r="F123" s="32"/>
      <c r="G123" s="32"/>
      <c r="H123" s="32"/>
      <c r="I123" s="32"/>
      <c r="J123" s="52"/>
      <c r="K123" s="52"/>
      <c r="L123" s="55"/>
      <c r="M123" s="32"/>
      <c r="N123" s="201"/>
      <c r="O123" s="5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  <c r="AP123" s="201"/>
      <c r="AQ123" s="201"/>
      <c r="AR123" s="201"/>
      <c r="AS123" s="201"/>
      <c r="AT123" s="201"/>
      <c r="AU123" s="201"/>
      <c r="BB123" s="201"/>
    </row>
    <row r="124" spans="2:54">
      <c r="B124" s="422">
        <v>1</v>
      </c>
      <c r="C124" s="1249" t="s">
        <v>2473</v>
      </c>
      <c r="D124" s="1249"/>
      <c r="E124" s="1249"/>
      <c r="F124" s="1249"/>
      <c r="G124" s="1249"/>
      <c r="H124" s="1249"/>
      <c r="I124" s="1249"/>
      <c r="J124" s="1249"/>
      <c r="K124" s="1249"/>
      <c r="L124" s="203"/>
      <c r="M124" s="203"/>
      <c r="N124" s="201"/>
      <c r="O124" s="209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  <c r="AQ124" s="201"/>
      <c r="AR124" s="201"/>
      <c r="AS124" s="201"/>
      <c r="AT124" s="201"/>
      <c r="AU124" s="201"/>
      <c r="AV124" s="201"/>
      <c r="AW124" s="201"/>
      <c r="AX124" s="201"/>
      <c r="AY124" s="201"/>
      <c r="AZ124" s="201"/>
      <c r="BA124" s="201"/>
      <c r="BB124" s="201"/>
    </row>
    <row r="126" spans="2:54">
      <c r="B126" s="28" t="s">
        <v>126</v>
      </c>
      <c r="C126" s="28"/>
      <c r="D126" s="29"/>
      <c r="E126" s="30" t="s">
        <v>511</v>
      </c>
      <c r="F126" s="31" t="s">
        <v>2474</v>
      </c>
      <c r="G126" s="32"/>
      <c r="H126" s="33"/>
      <c r="I126" s="34"/>
      <c r="J126" s="35" t="s">
        <v>513</v>
      </c>
      <c r="K126" s="36" t="s">
        <v>511</v>
      </c>
      <c r="L126" s="37">
        <v>45181.145833333336</v>
      </c>
      <c r="M126" s="32"/>
      <c r="N126" s="32"/>
      <c r="O126" s="36"/>
      <c r="P126" s="33"/>
      <c r="Q126" s="48"/>
      <c r="R126" s="49"/>
      <c r="S126" s="38"/>
      <c r="T126" s="32"/>
      <c r="U126" s="32"/>
      <c r="V126" s="32"/>
      <c r="W126" s="32"/>
      <c r="X126" s="32"/>
      <c r="Y126" s="32"/>
      <c r="Z126" s="32"/>
      <c r="AA126" s="32"/>
      <c r="AB126" s="48"/>
      <c r="AC126" s="48"/>
      <c r="AD126" s="48"/>
      <c r="AE126" s="48"/>
      <c r="AF126" s="48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</row>
    <row r="127" spans="2:54">
      <c r="B127" s="35" t="s">
        <v>514</v>
      </c>
      <c r="C127" s="35"/>
      <c r="D127" s="32"/>
      <c r="E127" s="36" t="s">
        <v>511</v>
      </c>
      <c r="F127" s="311" t="s">
        <v>2475</v>
      </c>
      <c r="G127" s="32"/>
      <c r="H127" s="33"/>
      <c r="I127" s="34"/>
      <c r="J127" s="35" t="s">
        <v>516</v>
      </c>
      <c r="K127" s="36" t="s">
        <v>511</v>
      </c>
      <c r="L127" s="37">
        <v>45183.159722222219</v>
      </c>
      <c r="M127" s="32"/>
      <c r="N127" s="32"/>
      <c r="O127" s="36"/>
      <c r="P127" s="33"/>
      <c r="Q127" s="48"/>
      <c r="R127" s="49"/>
      <c r="S127" s="38"/>
      <c r="T127" s="32"/>
      <c r="U127" s="32"/>
      <c r="V127" s="32"/>
      <c r="W127" s="32"/>
      <c r="X127" s="32"/>
      <c r="Y127" s="32"/>
      <c r="Z127" s="32"/>
      <c r="AA127" s="32"/>
      <c r="AB127" s="48"/>
      <c r="AC127" s="48"/>
      <c r="AD127" s="48"/>
      <c r="AE127" s="48"/>
      <c r="AF127" s="48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</row>
    <row r="128" spans="2:54">
      <c r="B128" s="35" t="s">
        <v>517</v>
      </c>
      <c r="C128" s="35"/>
      <c r="D128" s="32"/>
      <c r="E128" s="36" t="s">
        <v>511</v>
      </c>
      <c r="F128" s="37">
        <v>45173.75</v>
      </c>
      <c r="G128" s="32"/>
      <c r="H128" s="33"/>
      <c r="I128" s="34"/>
      <c r="J128" s="35" t="s">
        <v>518</v>
      </c>
      <c r="K128" s="36" t="s">
        <v>511</v>
      </c>
      <c r="L128" s="50">
        <v>67000</v>
      </c>
      <c r="M128" s="40" t="s">
        <v>519</v>
      </c>
      <c r="N128" s="40"/>
      <c r="O128" s="36"/>
      <c r="P128" s="33"/>
      <c r="Q128" s="48"/>
      <c r="R128" s="49"/>
      <c r="S128" s="38"/>
      <c r="T128" s="32"/>
      <c r="U128" s="32"/>
      <c r="V128" s="32"/>
      <c r="W128" s="32"/>
      <c r="X128" s="32"/>
      <c r="Y128" s="32"/>
      <c r="Z128" s="32"/>
      <c r="AA128" s="32"/>
      <c r="AB128" s="48"/>
      <c r="AC128" s="48"/>
      <c r="AD128" s="48"/>
      <c r="AE128" s="48"/>
      <c r="AF128" s="48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</row>
    <row r="129" spans="2:54">
      <c r="B129" s="35" t="s">
        <v>520</v>
      </c>
      <c r="C129" s="35"/>
      <c r="D129" s="32"/>
      <c r="E129" s="36" t="s">
        <v>511</v>
      </c>
      <c r="F129" s="37" t="s">
        <v>4</v>
      </c>
      <c r="G129" s="32"/>
      <c r="H129" s="33"/>
      <c r="I129" s="34"/>
      <c r="J129" s="35" t="s">
        <v>521</v>
      </c>
      <c r="K129" s="36" t="s">
        <v>511</v>
      </c>
      <c r="L129" s="41" t="s">
        <v>2476</v>
      </c>
      <c r="M129" s="32"/>
      <c r="N129" s="32"/>
      <c r="O129" s="36"/>
      <c r="P129" s="48"/>
      <c r="Q129" s="48"/>
      <c r="R129" s="49"/>
      <c r="S129" s="38"/>
      <c r="T129" s="32"/>
      <c r="U129" s="32"/>
      <c r="V129" s="32"/>
      <c r="W129" s="32"/>
      <c r="X129" s="32"/>
      <c r="Y129" s="32"/>
      <c r="Z129" s="32"/>
      <c r="AA129" s="32"/>
      <c r="AB129" s="48"/>
      <c r="AC129" s="48"/>
      <c r="AD129" s="48"/>
      <c r="AE129" s="48"/>
      <c r="AF129" s="48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</row>
    <row r="130" spans="2:54">
      <c r="B130" s="35" t="s">
        <v>523</v>
      </c>
      <c r="C130" s="35"/>
      <c r="D130" s="32"/>
      <c r="E130" s="36" t="s">
        <v>511</v>
      </c>
      <c r="F130" s="37" t="s">
        <v>5</v>
      </c>
      <c r="G130" s="32"/>
      <c r="H130" s="33"/>
      <c r="I130" s="34"/>
      <c r="J130" s="42" t="s">
        <v>524</v>
      </c>
      <c r="K130" s="36" t="s">
        <v>511</v>
      </c>
      <c r="L130" s="43" t="s">
        <v>15</v>
      </c>
      <c r="M130" s="44"/>
      <c r="N130" s="44"/>
      <c r="O130" s="36"/>
      <c r="P130" s="33"/>
      <c r="Q130" s="48"/>
      <c r="R130" s="49"/>
      <c r="S130" s="38"/>
      <c r="T130" s="32"/>
      <c r="U130" s="32"/>
      <c r="V130" s="32"/>
      <c r="W130" s="32"/>
      <c r="X130" s="32"/>
      <c r="Y130" s="32"/>
      <c r="Z130" s="32"/>
      <c r="AA130" s="32"/>
      <c r="AB130" s="48"/>
      <c r="AC130" s="48"/>
      <c r="AD130" s="48"/>
      <c r="AE130" s="48"/>
      <c r="AF130" s="48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</row>
    <row r="131" spans="2:54">
      <c r="B131" s="35" t="s">
        <v>2</v>
      </c>
      <c r="C131" s="35"/>
      <c r="D131" s="32"/>
      <c r="E131" s="36" t="s">
        <v>511</v>
      </c>
      <c r="F131" s="37" t="s">
        <v>14</v>
      </c>
      <c r="G131" s="32"/>
      <c r="H131" s="33"/>
      <c r="I131" s="45"/>
      <c r="J131" s="42"/>
      <c r="K131" s="36"/>
      <c r="L131" s="37"/>
      <c r="M131" s="32"/>
      <c r="N131" s="32"/>
      <c r="O131" s="42"/>
      <c r="P131" s="44"/>
      <c r="Q131" s="44"/>
      <c r="R131" s="44"/>
      <c r="S131" s="34"/>
      <c r="T131" s="32"/>
      <c r="U131" s="32"/>
      <c r="V131" s="32"/>
      <c r="W131" s="32"/>
      <c r="X131" s="32"/>
      <c r="Y131" s="32"/>
      <c r="Z131" s="32"/>
      <c r="AA131" s="32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</row>
    <row r="132" spans="2:54">
      <c r="B132" s="32"/>
      <c r="C132" s="32"/>
      <c r="D132" s="32"/>
      <c r="E132" s="32"/>
      <c r="F132" s="32"/>
      <c r="G132" s="32"/>
      <c r="H132" s="32"/>
      <c r="I132" s="45"/>
      <c r="J132" s="42"/>
      <c r="K132" s="42"/>
      <c r="L132" s="43"/>
      <c r="M132" s="44"/>
      <c r="N132" s="44"/>
      <c r="O132" s="42"/>
      <c r="P132" s="44"/>
      <c r="Q132" s="44"/>
      <c r="R132" s="44"/>
      <c r="S132" s="34"/>
      <c r="T132" s="1270" t="s">
        <v>87</v>
      </c>
      <c r="U132" s="1270"/>
      <c r="V132" s="1270"/>
      <c r="W132" s="1270"/>
      <c r="X132" s="1270"/>
      <c r="Y132" s="1270" t="s">
        <v>73</v>
      </c>
      <c r="Z132" s="1270"/>
      <c r="AA132" s="1270"/>
      <c r="AB132" s="1270" t="s">
        <v>74</v>
      </c>
      <c r="AC132" s="1270"/>
      <c r="AD132" s="407" t="s">
        <v>85</v>
      </c>
      <c r="AE132" s="407" t="s">
        <v>77</v>
      </c>
      <c r="AF132" s="1270" t="s">
        <v>525</v>
      </c>
      <c r="AG132" s="1270"/>
      <c r="AH132" s="1270"/>
      <c r="AI132" s="1270"/>
      <c r="AJ132" s="1270"/>
      <c r="AK132" s="1270"/>
      <c r="AL132" s="1270"/>
      <c r="AM132" s="1270"/>
      <c r="AN132" s="1270"/>
      <c r="AO132" s="1270"/>
      <c r="AP132" s="1270"/>
      <c r="AQ132" s="1270"/>
      <c r="AR132" s="1270"/>
      <c r="AS132" s="1270"/>
      <c r="AT132" s="1270"/>
      <c r="AU132" s="1270"/>
      <c r="AV132" s="1270"/>
      <c r="AW132" s="1270"/>
      <c r="AX132" s="1270"/>
      <c r="AY132" s="1270"/>
      <c r="AZ132" s="1270"/>
      <c r="BA132" s="1270"/>
      <c r="BB132" s="32"/>
    </row>
    <row r="133" spans="2:54">
      <c r="B133" s="1266" t="s">
        <v>526</v>
      </c>
      <c r="C133" s="1267"/>
      <c r="D133" s="570" t="s">
        <v>527</v>
      </c>
      <c r="E133" s="570"/>
      <c r="F133" s="570" t="s">
        <v>528</v>
      </c>
      <c r="G133" s="570" t="s">
        <v>529</v>
      </c>
      <c r="H133" s="570" t="s">
        <v>530</v>
      </c>
      <c r="I133" s="570" t="s">
        <v>531</v>
      </c>
      <c r="J133" s="570" t="s">
        <v>532</v>
      </c>
      <c r="K133" s="570"/>
      <c r="L133" s="570" t="s">
        <v>130</v>
      </c>
      <c r="M133" s="570" t="s">
        <v>533</v>
      </c>
      <c r="N133" s="408" t="str">
        <f>"On time - "&amp;COUNTIF(N134:N157,"On time")&amp;" from "&amp;ROWS(N134:N157)-COUNTIF(N134:N157," ")</f>
        <v>On time - 0 from 9</v>
      </c>
      <c r="O133" s="46"/>
      <c r="P133" s="409" t="s">
        <v>534</v>
      </c>
      <c r="Q133" s="409" t="s">
        <v>535</v>
      </c>
      <c r="R133" s="409" t="s">
        <v>536</v>
      </c>
      <c r="S133" s="32"/>
      <c r="T133" s="410" t="s">
        <v>537</v>
      </c>
      <c r="U133" s="410" t="s">
        <v>538</v>
      </c>
      <c r="V133" s="410" t="s">
        <v>539</v>
      </c>
      <c r="W133" s="410" t="s">
        <v>540</v>
      </c>
      <c r="X133" s="410" t="s">
        <v>541</v>
      </c>
      <c r="Y133" s="410" t="s">
        <v>167</v>
      </c>
      <c r="Z133" s="410" t="s">
        <v>168</v>
      </c>
      <c r="AA133" s="410" t="s">
        <v>169</v>
      </c>
      <c r="AB133" s="410" t="s">
        <v>235</v>
      </c>
      <c r="AC133" s="410" t="s">
        <v>240</v>
      </c>
      <c r="AD133" s="407" t="s">
        <v>85</v>
      </c>
      <c r="AE133" s="410" t="s">
        <v>139</v>
      </c>
      <c r="AF133" s="410" t="s">
        <v>72</v>
      </c>
      <c r="AG133" s="410" t="s">
        <v>88</v>
      </c>
      <c r="AH133" s="410" t="s">
        <v>75</v>
      </c>
      <c r="AI133" s="410" t="s">
        <v>543</v>
      </c>
      <c r="AJ133" s="410" t="s">
        <v>78</v>
      </c>
      <c r="AK133" s="410" t="s">
        <v>76</v>
      </c>
      <c r="AL133" s="410" t="s">
        <v>544</v>
      </c>
      <c r="AM133" s="410" t="s">
        <v>545</v>
      </c>
      <c r="AN133" s="410" t="s">
        <v>86</v>
      </c>
      <c r="AO133" s="410" t="s">
        <v>83</v>
      </c>
      <c r="AP133" s="410" t="s">
        <v>84</v>
      </c>
      <c r="AQ133" s="410" t="s">
        <v>546</v>
      </c>
      <c r="AR133" s="410" t="s">
        <v>81</v>
      </c>
      <c r="AS133" s="410" t="s">
        <v>80</v>
      </c>
      <c r="AT133" s="410" t="s">
        <v>82</v>
      </c>
      <c r="AU133" s="410" t="s">
        <v>181</v>
      </c>
      <c r="AV133" s="410" t="s">
        <v>183</v>
      </c>
      <c r="AW133" s="410" t="s">
        <v>547</v>
      </c>
      <c r="AX133" s="410" t="s">
        <v>182</v>
      </c>
      <c r="AY133" s="410" t="s">
        <v>172</v>
      </c>
      <c r="AZ133" s="410" t="s">
        <v>173</v>
      </c>
      <c r="BA133" s="410" t="s">
        <v>184</v>
      </c>
      <c r="BB133" s="32"/>
    </row>
    <row r="134" spans="2:54">
      <c r="B134" s="1256" t="s">
        <v>616</v>
      </c>
      <c r="C134" s="1257"/>
      <c r="D134" s="411" t="s">
        <v>2477</v>
      </c>
      <c r="E134" s="444"/>
      <c r="F134" s="411" t="s">
        <v>298</v>
      </c>
      <c r="G134" s="411" t="s">
        <v>299</v>
      </c>
      <c r="H134" s="412">
        <v>8904.7630000000008</v>
      </c>
      <c r="I134" s="413" t="s">
        <v>240</v>
      </c>
      <c r="J134" s="414">
        <v>45176.458333333336</v>
      </c>
      <c r="K134" s="414"/>
      <c r="L134" s="414" t="s">
        <v>192</v>
      </c>
      <c r="M134" s="414" t="s">
        <v>192</v>
      </c>
      <c r="N134" s="413" t="str">
        <f t="shared" ref="N134:N157" si="16">IF(ISBLANK(J134)," ",IF(J134&lt;$F$128,"On time",(IF(DAY(J134-$F$128)&lt;1,"On time",(IF(J134&gt;$F$128,"DELAY ( "&amp;DAY(J134-$F$128)&amp;" day "&amp;HOUR(J134-$F$128)&amp;" hour "&amp;MINUTE(J134-$F$128)&amp;" minute )","xxx"))))))</f>
        <v>DELAY ( 2 day 17 hour 0 minute )</v>
      </c>
      <c r="O134" s="51"/>
      <c r="P134" s="415" t="s">
        <v>551</v>
      </c>
      <c r="Q134" s="415" t="s">
        <v>551</v>
      </c>
      <c r="R134" s="415" t="s">
        <v>551</v>
      </c>
      <c r="S134" s="32"/>
      <c r="T134" s="416"/>
      <c r="U134" s="416"/>
      <c r="V134" s="416"/>
      <c r="W134" s="416"/>
      <c r="X134" s="416"/>
      <c r="Y134" s="416"/>
      <c r="Z134" s="416"/>
      <c r="AA134" s="416"/>
      <c r="AB134" s="416"/>
      <c r="AC134" s="416">
        <f>H134</f>
        <v>8904.7630000000008</v>
      </c>
      <c r="AD134" s="416"/>
      <c r="AE134" s="416"/>
      <c r="AF134" s="416"/>
      <c r="AG134" s="416"/>
      <c r="AH134" s="416"/>
      <c r="AI134" s="416"/>
      <c r="AJ134" s="416"/>
      <c r="AK134" s="416"/>
      <c r="AL134" s="416"/>
      <c r="AM134" s="416"/>
      <c r="AN134" s="416"/>
      <c r="AO134" s="416"/>
      <c r="AP134" s="416"/>
      <c r="AQ134" s="416"/>
      <c r="AR134" s="416"/>
      <c r="AS134" s="416"/>
      <c r="AT134" s="416"/>
      <c r="AU134" s="416"/>
      <c r="AV134" s="416"/>
      <c r="AW134" s="416"/>
      <c r="AX134" s="416"/>
      <c r="AY134" s="416"/>
      <c r="AZ134" s="416"/>
      <c r="BA134" s="416"/>
      <c r="BB134" s="32"/>
    </row>
    <row r="135" spans="2:54">
      <c r="B135" s="1256" t="s">
        <v>668</v>
      </c>
      <c r="C135" s="1257"/>
      <c r="D135" s="411" t="s">
        <v>2478</v>
      </c>
      <c r="E135" s="444"/>
      <c r="F135" s="411" t="s">
        <v>70</v>
      </c>
      <c r="G135" s="411" t="s">
        <v>1982</v>
      </c>
      <c r="H135" s="412">
        <v>7305.8509999999997</v>
      </c>
      <c r="I135" s="413" t="s">
        <v>85</v>
      </c>
      <c r="J135" s="414">
        <v>45176.8125</v>
      </c>
      <c r="K135" s="414"/>
      <c r="L135" s="414" t="s">
        <v>192</v>
      </c>
      <c r="M135" s="414" t="s">
        <v>192</v>
      </c>
      <c r="N135" s="413" t="str">
        <f t="shared" si="16"/>
        <v>DELAY ( 3 day 1 hour 30 minute )</v>
      </c>
      <c r="O135" s="51"/>
      <c r="P135" s="415" t="s">
        <v>551</v>
      </c>
      <c r="Q135" s="415" t="s">
        <v>551</v>
      </c>
      <c r="R135" s="415" t="s">
        <v>551</v>
      </c>
      <c r="S135" s="32"/>
      <c r="T135" s="416"/>
      <c r="U135" s="416"/>
      <c r="V135" s="416"/>
      <c r="W135" s="416"/>
      <c r="X135" s="416"/>
      <c r="Y135" s="416"/>
      <c r="Z135" s="416"/>
      <c r="AA135" s="416"/>
      <c r="AB135" s="416"/>
      <c r="AC135" s="416"/>
      <c r="AD135" s="416">
        <f>H135</f>
        <v>7305.8509999999997</v>
      </c>
      <c r="AE135" s="416"/>
      <c r="AF135" s="416"/>
      <c r="AG135" s="416"/>
      <c r="AH135" s="416"/>
      <c r="AI135" s="416"/>
      <c r="AJ135" s="416"/>
      <c r="AK135" s="416"/>
      <c r="AL135" s="416"/>
      <c r="AM135" s="416"/>
      <c r="AN135" s="416"/>
      <c r="AO135" s="416"/>
      <c r="AP135" s="416"/>
      <c r="AQ135" s="416"/>
      <c r="AR135" s="416"/>
      <c r="AS135" s="416"/>
      <c r="AT135" s="416"/>
      <c r="AU135" s="416"/>
      <c r="AV135" s="416"/>
      <c r="AW135" s="416"/>
      <c r="AX135" s="416"/>
      <c r="AY135" s="416"/>
      <c r="AZ135" s="416"/>
      <c r="BA135" s="416"/>
      <c r="BB135" s="32"/>
    </row>
    <row r="136" spans="2:54">
      <c r="B136" s="1256" t="s">
        <v>616</v>
      </c>
      <c r="C136" s="1257"/>
      <c r="D136" s="411" t="s">
        <v>2479</v>
      </c>
      <c r="E136" s="444"/>
      <c r="F136" s="411" t="s">
        <v>774</v>
      </c>
      <c r="G136" s="411" t="s">
        <v>423</v>
      </c>
      <c r="H136" s="412">
        <v>7383.9570000000003</v>
      </c>
      <c r="I136" s="413" t="s">
        <v>240</v>
      </c>
      <c r="J136" s="414">
        <v>45177.541666666664</v>
      </c>
      <c r="K136" s="414"/>
      <c r="L136" s="414" t="s">
        <v>192</v>
      </c>
      <c r="M136" s="414" t="s">
        <v>192</v>
      </c>
      <c r="N136" s="413" t="str">
        <f t="shared" si="16"/>
        <v>DELAY ( 3 day 19 hour 0 minute )</v>
      </c>
      <c r="O136" s="51"/>
      <c r="P136" s="415" t="s">
        <v>551</v>
      </c>
      <c r="Q136" s="415" t="s">
        <v>551</v>
      </c>
      <c r="R136" s="415" t="s">
        <v>551</v>
      </c>
      <c r="S136" s="32"/>
      <c r="T136" s="416"/>
      <c r="U136" s="416"/>
      <c r="V136" s="416"/>
      <c r="W136" s="416"/>
      <c r="X136" s="416"/>
      <c r="Y136" s="416"/>
      <c r="Z136" s="416"/>
      <c r="AA136" s="416"/>
      <c r="AB136" s="416"/>
      <c r="AC136" s="416">
        <f>H136</f>
        <v>7383.9570000000003</v>
      </c>
      <c r="AD136" s="416"/>
      <c r="AE136" s="416"/>
      <c r="AF136" s="416"/>
      <c r="AG136" s="416"/>
      <c r="AH136" s="416"/>
      <c r="AI136" s="416"/>
      <c r="AJ136" s="416"/>
      <c r="AK136" s="416"/>
      <c r="AL136" s="416"/>
      <c r="AM136" s="416"/>
      <c r="AN136" s="416"/>
      <c r="AO136" s="416"/>
      <c r="AP136" s="416"/>
      <c r="AQ136" s="416"/>
      <c r="AR136" s="416"/>
      <c r="AS136" s="416"/>
      <c r="AT136" s="416"/>
      <c r="AU136" s="416"/>
      <c r="AV136" s="416"/>
      <c r="AW136" s="416"/>
      <c r="AX136" s="416"/>
      <c r="AY136" s="416"/>
      <c r="AZ136" s="416"/>
      <c r="BA136" s="416"/>
      <c r="BB136" s="32"/>
    </row>
    <row r="137" spans="2:54">
      <c r="B137" s="1258" t="s">
        <v>1721</v>
      </c>
      <c r="C137" s="1259"/>
      <c r="D137" s="1259"/>
      <c r="E137" s="1259"/>
      <c r="F137" s="1259"/>
      <c r="G137" s="1260"/>
      <c r="H137" s="417">
        <f>SUM(H134:H136)</f>
        <v>23594.571000000004</v>
      </c>
      <c r="I137" s="388"/>
      <c r="J137" s="293"/>
      <c r="K137" s="293"/>
      <c r="L137" s="293"/>
      <c r="M137" s="389"/>
      <c r="N137" s="413" t="str">
        <f t="shared" si="16"/>
        <v xml:space="preserve"> </v>
      </c>
      <c r="O137" s="47"/>
      <c r="P137" s="418"/>
      <c r="Q137" s="418"/>
      <c r="R137" s="418"/>
      <c r="S137" s="32"/>
      <c r="T137" s="416"/>
      <c r="U137" s="416"/>
      <c r="V137" s="416"/>
      <c r="W137" s="416"/>
      <c r="X137" s="416"/>
      <c r="Y137" s="416"/>
      <c r="Z137" s="416"/>
      <c r="AA137" s="416"/>
      <c r="AB137" s="416"/>
      <c r="AC137" s="416"/>
      <c r="AD137" s="416"/>
      <c r="AE137" s="416"/>
      <c r="AF137" s="416"/>
      <c r="AG137" s="416"/>
      <c r="AH137" s="416"/>
      <c r="AI137" s="416"/>
      <c r="AJ137" s="416"/>
      <c r="AK137" s="416"/>
      <c r="AL137" s="416"/>
      <c r="AM137" s="416"/>
      <c r="AN137" s="416"/>
      <c r="AO137" s="416"/>
      <c r="AP137" s="416"/>
      <c r="AQ137" s="416"/>
      <c r="AR137" s="416"/>
      <c r="AS137" s="416"/>
      <c r="AT137" s="416"/>
      <c r="AU137" s="416"/>
      <c r="AV137" s="416"/>
      <c r="AW137" s="416"/>
      <c r="AX137" s="416"/>
      <c r="AY137" s="416"/>
      <c r="AZ137" s="416"/>
      <c r="BA137" s="416"/>
    </row>
    <row r="138" spans="2:54">
      <c r="B138" s="1250" t="s">
        <v>619</v>
      </c>
      <c r="C138" s="1251"/>
      <c r="D138" s="411" t="s">
        <v>2480</v>
      </c>
      <c r="E138" s="411"/>
      <c r="F138" s="411" t="s">
        <v>358</v>
      </c>
      <c r="G138" s="411" t="s">
        <v>359</v>
      </c>
      <c r="H138" s="412">
        <v>8517.9339999999993</v>
      </c>
      <c r="I138" s="413" t="s">
        <v>240</v>
      </c>
      <c r="J138" s="414">
        <v>45177.4375</v>
      </c>
      <c r="K138" s="414"/>
      <c r="L138" s="414" t="s">
        <v>192</v>
      </c>
      <c r="M138" s="414" t="s">
        <v>192</v>
      </c>
      <c r="N138" s="413" t="str">
        <f t="shared" si="16"/>
        <v>DELAY ( 3 day 16 hour 30 minute )</v>
      </c>
      <c r="O138" s="51"/>
      <c r="P138" s="415" t="s">
        <v>551</v>
      </c>
      <c r="Q138" s="415" t="s">
        <v>551</v>
      </c>
      <c r="R138" s="415" t="s">
        <v>551</v>
      </c>
      <c r="S138" s="32"/>
      <c r="T138" s="416"/>
      <c r="U138" s="416"/>
      <c r="V138" s="416"/>
      <c r="W138" s="416"/>
      <c r="X138" s="416"/>
      <c r="Y138" s="416"/>
      <c r="Z138" s="416"/>
      <c r="AA138" s="416"/>
      <c r="AB138" s="416"/>
      <c r="AC138" s="416">
        <f>H138</f>
        <v>8517.9339999999993</v>
      </c>
      <c r="AD138" s="416"/>
      <c r="AE138" s="416"/>
      <c r="AF138" s="416"/>
      <c r="AG138" s="416"/>
      <c r="AH138" s="416"/>
      <c r="AI138" s="416"/>
      <c r="AJ138" s="416"/>
      <c r="AK138" s="416"/>
      <c r="AL138" s="416"/>
      <c r="AM138" s="416"/>
      <c r="AN138" s="416"/>
      <c r="AO138" s="416"/>
      <c r="AP138" s="416"/>
      <c r="AQ138" s="416"/>
      <c r="AR138" s="416"/>
      <c r="AS138" s="416"/>
      <c r="AT138" s="416"/>
      <c r="AU138" s="416"/>
      <c r="AV138" s="416"/>
      <c r="AW138" s="416"/>
      <c r="AX138" s="416"/>
      <c r="AY138" s="416"/>
      <c r="AZ138" s="416"/>
      <c r="BA138" s="416"/>
      <c r="BB138" s="32"/>
    </row>
    <row r="139" spans="2:54">
      <c r="B139" s="1252"/>
      <c r="C139" s="1253"/>
      <c r="D139" s="411"/>
      <c r="E139" s="411"/>
      <c r="F139" s="1256" t="s">
        <v>616</v>
      </c>
      <c r="G139" s="1257"/>
      <c r="H139" s="412">
        <v>2715</v>
      </c>
      <c r="I139" s="413"/>
      <c r="J139" s="414"/>
      <c r="K139" s="414"/>
      <c r="L139" s="414"/>
      <c r="M139" s="414"/>
      <c r="N139" s="413" t="str">
        <f t="shared" si="16"/>
        <v xml:space="preserve"> </v>
      </c>
      <c r="O139" s="51"/>
      <c r="P139" s="415"/>
      <c r="Q139" s="415"/>
      <c r="R139" s="415"/>
      <c r="S139" s="32"/>
      <c r="T139" s="416"/>
      <c r="U139" s="416"/>
      <c r="V139" s="416"/>
      <c r="W139" s="416"/>
      <c r="X139" s="416"/>
      <c r="Y139" s="416"/>
      <c r="Z139" s="416"/>
      <c r="AA139" s="416"/>
      <c r="AB139" s="416"/>
      <c r="AC139" s="416"/>
      <c r="AD139" s="416"/>
      <c r="AE139" s="416"/>
      <c r="AF139" s="416"/>
      <c r="AG139" s="416"/>
      <c r="AH139" s="416"/>
      <c r="AI139" s="416"/>
      <c r="AJ139" s="416"/>
      <c r="AK139" s="416"/>
      <c r="AL139" s="416"/>
      <c r="AM139" s="416"/>
      <c r="AN139" s="416"/>
      <c r="AO139" s="416"/>
      <c r="AP139" s="416"/>
      <c r="AQ139" s="416"/>
      <c r="AR139" s="416"/>
      <c r="AS139" s="416"/>
      <c r="AT139" s="416"/>
      <c r="AU139" s="416"/>
      <c r="AV139" s="416"/>
      <c r="AW139" s="416"/>
      <c r="AX139" s="416"/>
      <c r="AY139" s="416"/>
      <c r="AZ139" s="416"/>
      <c r="BA139" s="416"/>
      <c r="BB139" s="32"/>
    </row>
    <row r="140" spans="2:54">
      <c r="B140" s="1254"/>
      <c r="C140" s="1255"/>
      <c r="D140" s="411"/>
      <c r="E140" s="411"/>
      <c r="F140" s="1256" t="s">
        <v>668</v>
      </c>
      <c r="G140" s="1257"/>
      <c r="H140" s="412">
        <v>1100</v>
      </c>
      <c r="I140" s="413"/>
      <c r="J140" s="414"/>
      <c r="K140" s="414"/>
      <c r="L140" s="414"/>
      <c r="M140" s="414"/>
      <c r="N140" s="413" t="str">
        <f t="shared" si="16"/>
        <v xml:space="preserve"> </v>
      </c>
      <c r="O140" s="51"/>
      <c r="P140" s="415"/>
      <c r="Q140" s="415"/>
      <c r="R140" s="415"/>
      <c r="S140" s="32"/>
      <c r="T140" s="416"/>
      <c r="U140" s="416"/>
      <c r="V140" s="416"/>
      <c r="W140" s="416"/>
      <c r="X140" s="416"/>
      <c r="Y140" s="416"/>
      <c r="Z140" s="416"/>
      <c r="AA140" s="416"/>
      <c r="AB140" s="416"/>
      <c r="AC140" s="416"/>
      <c r="AD140" s="416"/>
      <c r="AE140" s="416"/>
      <c r="AF140" s="416"/>
      <c r="AG140" s="416"/>
      <c r="AH140" s="416"/>
      <c r="AI140" s="416"/>
      <c r="AJ140" s="416"/>
      <c r="AK140" s="416"/>
      <c r="AL140" s="416"/>
      <c r="AM140" s="416"/>
      <c r="AN140" s="416"/>
      <c r="AO140" s="416"/>
      <c r="AP140" s="416"/>
      <c r="AQ140" s="416"/>
      <c r="AR140" s="416"/>
      <c r="AS140" s="416"/>
      <c r="AT140" s="416"/>
      <c r="AU140" s="416"/>
      <c r="AV140" s="416"/>
      <c r="AW140" s="416"/>
      <c r="AX140" s="416"/>
      <c r="AY140" s="416"/>
      <c r="AZ140" s="416"/>
      <c r="BA140" s="416"/>
      <c r="BB140" s="32"/>
    </row>
    <row r="141" spans="2:54">
      <c r="B141" s="1250" t="s">
        <v>621</v>
      </c>
      <c r="C141" s="1251"/>
      <c r="D141" s="411" t="s">
        <v>2481</v>
      </c>
      <c r="E141" s="411"/>
      <c r="F141" s="411" t="s">
        <v>260</v>
      </c>
      <c r="G141" s="411" t="s">
        <v>261</v>
      </c>
      <c r="H141" s="412">
        <v>7623.2349999999997</v>
      </c>
      <c r="I141" s="413" t="s">
        <v>240</v>
      </c>
      <c r="J141" s="414">
        <v>45177.607638888891</v>
      </c>
      <c r="K141" s="414"/>
      <c r="L141" s="414" t="s">
        <v>192</v>
      </c>
      <c r="M141" s="414" t="s">
        <v>192</v>
      </c>
      <c r="N141" s="413" t="str">
        <f t="shared" si="16"/>
        <v>DELAY ( 3 day 20 hour 35 minute )</v>
      </c>
      <c r="O141" s="51"/>
      <c r="P141" s="415" t="s">
        <v>551</v>
      </c>
      <c r="Q141" s="415" t="s">
        <v>551</v>
      </c>
      <c r="R141" s="415" t="s">
        <v>551</v>
      </c>
      <c r="S141" s="32"/>
      <c r="T141" s="416"/>
      <c r="U141" s="416"/>
      <c r="V141" s="416"/>
      <c r="W141" s="416"/>
      <c r="X141" s="416"/>
      <c r="Y141" s="416"/>
      <c r="Z141" s="416"/>
      <c r="AA141" s="416"/>
      <c r="AB141" s="416"/>
      <c r="AC141" s="416">
        <f t="shared" ref="AC141:AC150" si="17">H141</f>
        <v>7623.2349999999997</v>
      </c>
      <c r="AD141" s="416"/>
      <c r="AE141" s="416"/>
      <c r="AF141" s="416"/>
      <c r="AG141" s="416"/>
      <c r="AH141" s="416"/>
      <c r="AI141" s="416"/>
      <c r="AJ141" s="416"/>
      <c r="AK141" s="416"/>
      <c r="AL141" s="416"/>
      <c r="AM141" s="416"/>
      <c r="AN141" s="416"/>
      <c r="AO141" s="416"/>
      <c r="AP141" s="416"/>
      <c r="AQ141" s="416"/>
      <c r="AR141" s="416"/>
      <c r="AS141" s="416"/>
      <c r="AT141" s="416"/>
      <c r="AU141" s="416"/>
      <c r="AV141" s="416"/>
      <c r="AW141" s="416"/>
      <c r="AX141" s="416"/>
      <c r="AY141" s="416"/>
      <c r="AZ141" s="416"/>
      <c r="BA141" s="416"/>
      <c r="BB141" s="32"/>
    </row>
    <row r="142" spans="2:54">
      <c r="B142" s="1252"/>
      <c r="C142" s="1253"/>
      <c r="D142" s="411"/>
      <c r="E142" s="411"/>
      <c r="F142" s="1256" t="s">
        <v>616</v>
      </c>
      <c r="G142" s="1257"/>
      <c r="H142" s="412">
        <v>2715</v>
      </c>
      <c r="I142" s="413"/>
      <c r="J142" s="414"/>
      <c r="K142" s="414"/>
      <c r="L142" s="414"/>
      <c r="M142" s="414"/>
      <c r="N142" s="413" t="str">
        <f t="shared" si="16"/>
        <v xml:space="preserve"> </v>
      </c>
      <c r="O142" s="51"/>
      <c r="P142" s="415"/>
      <c r="Q142" s="415"/>
      <c r="R142" s="415"/>
      <c r="S142" s="32"/>
      <c r="T142" s="416"/>
      <c r="U142" s="416"/>
      <c r="V142" s="416"/>
      <c r="W142" s="416"/>
      <c r="X142" s="416"/>
      <c r="Y142" s="416"/>
      <c r="Z142" s="416"/>
      <c r="AA142" s="416"/>
      <c r="AB142" s="416"/>
      <c r="AC142" s="416"/>
      <c r="AD142" s="416"/>
      <c r="AE142" s="416"/>
      <c r="AF142" s="416"/>
      <c r="AG142" s="416"/>
      <c r="AH142" s="416"/>
      <c r="AI142" s="416"/>
      <c r="AJ142" s="416"/>
      <c r="AK142" s="416"/>
      <c r="AL142" s="416"/>
      <c r="AM142" s="416"/>
      <c r="AN142" s="416"/>
      <c r="AO142" s="416"/>
      <c r="AP142" s="416"/>
      <c r="AQ142" s="416"/>
      <c r="AR142" s="416"/>
      <c r="AS142" s="416"/>
      <c r="AT142" s="416"/>
      <c r="AU142" s="416"/>
      <c r="AV142" s="416"/>
      <c r="AW142" s="416"/>
      <c r="AX142" s="416"/>
      <c r="AY142" s="416"/>
      <c r="AZ142" s="416"/>
      <c r="BA142" s="416"/>
      <c r="BB142" s="32"/>
    </row>
    <row r="143" spans="2:54">
      <c r="B143" s="1254"/>
      <c r="C143" s="1255"/>
      <c r="D143" s="411"/>
      <c r="E143" s="411"/>
      <c r="F143" s="1256" t="s">
        <v>668</v>
      </c>
      <c r="G143" s="1257"/>
      <c r="H143" s="412">
        <v>1200</v>
      </c>
      <c r="I143" s="413"/>
      <c r="J143" s="414"/>
      <c r="K143" s="414"/>
      <c r="L143" s="414"/>
      <c r="M143" s="414"/>
      <c r="N143" s="413" t="str">
        <f t="shared" si="16"/>
        <v xml:space="preserve"> </v>
      </c>
      <c r="O143" s="51"/>
      <c r="P143" s="415"/>
      <c r="Q143" s="415"/>
      <c r="R143" s="415"/>
      <c r="S143" s="32"/>
      <c r="T143" s="416"/>
      <c r="U143" s="416"/>
      <c r="V143" s="416"/>
      <c r="W143" s="416"/>
      <c r="X143" s="416"/>
      <c r="Y143" s="416"/>
      <c r="Z143" s="416"/>
      <c r="AA143" s="416"/>
      <c r="AB143" s="416"/>
      <c r="AC143" s="416"/>
      <c r="AD143" s="416"/>
      <c r="AE143" s="416"/>
      <c r="AF143" s="416"/>
      <c r="AG143" s="416"/>
      <c r="AH143" s="416"/>
      <c r="AI143" s="416"/>
      <c r="AJ143" s="416"/>
      <c r="AK143" s="416"/>
      <c r="AL143" s="416"/>
      <c r="AM143" s="416"/>
      <c r="AN143" s="416"/>
      <c r="AO143" s="416"/>
      <c r="AP143" s="416"/>
      <c r="AQ143" s="416"/>
      <c r="AR143" s="416"/>
      <c r="AS143" s="416"/>
      <c r="AT143" s="416"/>
      <c r="AU143" s="416"/>
      <c r="AV143" s="416"/>
      <c r="AW143" s="416"/>
      <c r="AX143" s="416"/>
      <c r="AY143" s="416"/>
      <c r="AZ143" s="416"/>
      <c r="BA143" s="416"/>
      <c r="BB143" s="32"/>
    </row>
    <row r="144" spans="2:54">
      <c r="B144" s="1250" t="s">
        <v>622</v>
      </c>
      <c r="C144" s="1251"/>
      <c r="D144" s="411" t="s">
        <v>2482</v>
      </c>
      <c r="E144" s="411"/>
      <c r="F144" s="411" t="s">
        <v>252</v>
      </c>
      <c r="G144" s="411" t="s">
        <v>253</v>
      </c>
      <c r="H144" s="412">
        <v>7504.2520000000004</v>
      </c>
      <c r="I144" s="413" t="s">
        <v>240</v>
      </c>
      <c r="J144" s="414">
        <v>45178.395833333336</v>
      </c>
      <c r="K144" s="414"/>
      <c r="L144" s="414" t="s">
        <v>192</v>
      </c>
      <c r="M144" s="414" t="s">
        <v>192</v>
      </c>
      <c r="N144" s="413" t="str">
        <f t="shared" si="16"/>
        <v>DELAY ( 4 day 15 hour 30 minute )</v>
      </c>
      <c r="O144" s="51"/>
      <c r="P144" s="415" t="s">
        <v>551</v>
      </c>
      <c r="Q144" s="415" t="s">
        <v>551</v>
      </c>
      <c r="R144" s="415" t="s">
        <v>551</v>
      </c>
      <c r="S144" s="32"/>
      <c r="T144" s="416"/>
      <c r="U144" s="416"/>
      <c r="V144" s="416"/>
      <c r="W144" s="416"/>
      <c r="X144" s="416"/>
      <c r="Y144" s="416"/>
      <c r="Z144" s="416"/>
      <c r="AA144" s="416"/>
      <c r="AB144" s="416"/>
      <c r="AC144" s="416">
        <f>H144</f>
        <v>7504.2520000000004</v>
      </c>
      <c r="AD144" s="416"/>
      <c r="AE144" s="416"/>
      <c r="AF144" s="416"/>
      <c r="AG144" s="416"/>
      <c r="AH144" s="416"/>
      <c r="AI144" s="416"/>
      <c r="AJ144" s="416"/>
      <c r="AK144" s="416"/>
      <c r="AL144" s="416"/>
      <c r="AM144" s="416"/>
      <c r="AN144" s="416"/>
      <c r="AO144" s="416"/>
      <c r="AP144" s="416"/>
      <c r="AQ144" s="416"/>
      <c r="AR144" s="416"/>
      <c r="AS144" s="416"/>
      <c r="AT144" s="416"/>
      <c r="AU144" s="416"/>
      <c r="AV144" s="416"/>
      <c r="AW144" s="416"/>
      <c r="AX144" s="416"/>
      <c r="AY144" s="416"/>
      <c r="AZ144" s="416"/>
      <c r="BA144" s="416"/>
      <c r="BB144" s="32"/>
    </row>
    <row r="145" spans="2:54">
      <c r="B145" s="1252"/>
      <c r="C145" s="1253"/>
      <c r="D145" s="411"/>
      <c r="E145" s="411"/>
      <c r="F145" s="1256" t="s">
        <v>616</v>
      </c>
      <c r="G145" s="1257"/>
      <c r="H145" s="412">
        <f>2715-1.28</f>
        <v>2713.72</v>
      </c>
      <c r="I145" s="413"/>
      <c r="J145" s="414"/>
      <c r="K145" s="414"/>
      <c r="L145" s="414"/>
      <c r="M145" s="414"/>
      <c r="N145" s="413" t="str">
        <f t="shared" si="16"/>
        <v xml:space="preserve"> </v>
      </c>
      <c r="O145" s="51"/>
      <c r="P145" s="415"/>
      <c r="Q145" s="415"/>
      <c r="R145" s="415"/>
      <c r="S145" s="32"/>
      <c r="T145" s="416"/>
      <c r="U145" s="416"/>
      <c r="V145" s="416"/>
      <c r="W145" s="416"/>
      <c r="X145" s="416"/>
      <c r="Y145" s="416"/>
      <c r="Z145" s="416"/>
      <c r="AA145" s="416"/>
      <c r="AB145" s="416"/>
      <c r="AC145" s="416"/>
      <c r="AD145" s="416"/>
      <c r="AE145" s="416"/>
      <c r="AF145" s="416"/>
      <c r="AG145" s="416"/>
      <c r="AH145" s="416"/>
      <c r="AI145" s="416"/>
      <c r="AJ145" s="416"/>
      <c r="AK145" s="416"/>
      <c r="AL145" s="416"/>
      <c r="AM145" s="416"/>
      <c r="AN145" s="416"/>
      <c r="AO145" s="416"/>
      <c r="AP145" s="416"/>
      <c r="AQ145" s="416"/>
      <c r="AR145" s="416"/>
      <c r="AS145" s="416"/>
      <c r="AT145" s="416"/>
      <c r="AU145" s="416"/>
      <c r="AV145" s="416"/>
      <c r="AW145" s="416"/>
      <c r="AX145" s="416"/>
      <c r="AY145" s="416"/>
      <c r="AZ145" s="416"/>
      <c r="BA145" s="416"/>
      <c r="BB145" s="32"/>
    </row>
    <row r="146" spans="2:54">
      <c r="B146" s="1254"/>
      <c r="C146" s="1255"/>
      <c r="D146" s="411"/>
      <c r="E146" s="411"/>
      <c r="F146" s="1256" t="s">
        <v>668</v>
      </c>
      <c r="G146" s="1257"/>
      <c r="H146" s="412">
        <f>1806-0.149</f>
        <v>1805.8510000000001</v>
      </c>
      <c r="I146" s="413"/>
      <c r="J146" s="414"/>
      <c r="K146" s="414"/>
      <c r="L146" s="414"/>
      <c r="M146" s="414"/>
      <c r="N146" s="413" t="str">
        <f t="shared" si="16"/>
        <v xml:space="preserve"> </v>
      </c>
      <c r="O146" s="51"/>
      <c r="P146" s="415"/>
      <c r="Q146" s="415"/>
      <c r="R146" s="415"/>
      <c r="S146" s="32"/>
      <c r="T146" s="416"/>
      <c r="U146" s="416"/>
      <c r="V146" s="416"/>
      <c r="W146" s="416"/>
      <c r="X146" s="416"/>
      <c r="Y146" s="416"/>
      <c r="Z146" s="416"/>
      <c r="AA146" s="416"/>
      <c r="AB146" s="416"/>
      <c r="AC146" s="416"/>
      <c r="AD146" s="416"/>
      <c r="AE146" s="416"/>
      <c r="AF146" s="416"/>
      <c r="AG146" s="416"/>
      <c r="AH146" s="416"/>
      <c r="AI146" s="416"/>
      <c r="AJ146" s="416"/>
      <c r="AK146" s="416"/>
      <c r="AL146" s="416"/>
      <c r="AM146" s="416"/>
      <c r="AN146" s="416"/>
      <c r="AO146" s="416"/>
      <c r="AP146" s="416"/>
      <c r="AQ146" s="416"/>
      <c r="AR146" s="416"/>
      <c r="AS146" s="416"/>
      <c r="AT146" s="416"/>
      <c r="AU146" s="416"/>
      <c r="AV146" s="416"/>
      <c r="AW146" s="416"/>
      <c r="AX146" s="416"/>
      <c r="AY146" s="416"/>
      <c r="AZ146" s="416"/>
      <c r="BA146" s="416"/>
      <c r="BB146" s="32"/>
    </row>
    <row r="147" spans="2:54">
      <c r="B147" s="1250" t="s">
        <v>623</v>
      </c>
      <c r="C147" s="1251"/>
      <c r="D147" s="411" t="s">
        <v>2483</v>
      </c>
      <c r="E147" s="411"/>
      <c r="F147" s="411" t="s">
        <v>346</v>
      </c>
      <c r="G147" s="411" t="s">
        <v>347</v>
      </c>
      <c r="H147" s="412">
        <v>7547.2110000000002</v>
      </c>
      <c r="I147" s="413" t="s">
        <v>240</v>
      </c>
      <c r="J147" s="414">
        <v>45178.625</v>
      </c>
      <c r="K147" s="414"/>
      <c r="L147" s="414" t="s">
        <v>192</v>
      </c>
      <c r="M147" s="414" t="s">
        <v>192</v>
      </c>
      <c r="N147" s="413" t="str">
        <f t="shared" si="16"/>
        <v>DELAY ( 4 day 21 hour 0 minute )</v>
      </c>
      <c r="O147" s="51"/>
      <c r="P147" s="415" t="s">
        <v>551</v>
      </c>
      <c r="Q147" s="415" t="s">
        <v>551</v>
      </c>
      <c r="R147" s="415" t="s">
        <v>551</v>
      </c>
      <c r="S147" s="32"/>
      <c r="T147" s="416"/>
      <c r="U147" s="416"/>
      <c r="V147" s="416"/>
      <c r="W147" s="416"/>
      <c r="X147" s="416"/>
      <c r="Y147" s="416"/>
      <c r="Z147" s="416"/>
      <c r="AA147" s="416"/>
      <c r="AB147" s="32"/>
      <c r="AC147" s="416">
        <f>H147</f>
        <v>7547.2110000000002</v>
      </c>
      <c r="AD147" s="416"/>
      <c r="AE147" s="416"/>
      <c r="AF147" s="416"/>
      <c r="AG147" s="416"/>
      <c r="AH147" s="416"/>
      <c r="AI147" s="416"/>
      <c r="AJ147" s="416"/>
      <c r="AK147" s="416"/>
      <c r="AL147" s="416"/>
      <c r="AM147" s="416"/>
      <c r="AN147" s="416"/>
      <c r="AO147" s="416"/>
      <c r="AP147" s="416"/>
      <c r="AQ147" s="416"/>
      <c r="AR147" s="416"/>
      <c r="AS147" s="416"/>
      <c r="AT147" s="416"/>
      <c r="AU147" s="416"/>
      <c r="AV147" s="416"/>
      <c r="AW147" s="416"/>
      <c r="AX147" s="416"/>
      <c r="AY147" s="416"/>
      <c r="AZ147" s="416"/>
      <c r="BA147" s="416"/>
      <c r="BB147" s="32"/>
    </row>
    <row r="148" spans="2:54">
      <c r="B148" s="1252"/>
      <c r="C148" s="1253"/>
      <c r="D148" s="411"/>
      <c r="E148" s="411"/>
      <c r="F148" s="1256" t="s">
        <v>616</v>
      </c>
      <c r="G148" s="1257"/>
      <c r="H148" s="412">
        <v>2715</v>
      </c>
      <c r="I148" s="413"/>
      <c r="J148" s="414"/>
      <c r="K148" s="414"/>
      <c r="L148" s="414"/>
      <c r="M148" s="414"/>
      <c r="N148" s="413" t="str">
        <f t="shared" si="16"/>
        <v xml:space="preserve"> </v>
      </c>
      <c r="O148" s="51"/>
      <c r="P148" s="415"/>
      <c r="Q148" s="415"/>
      <c r="R148" s="415"/>
      <c r="S148" s="32"/>
      <c r="T148" s="416"/>
      <c r="U148" s="416"/>
      <c r="V148" s="416"/>
      <c r="W148" s="416"/>
      <c r="X148" s="416"/>
      <c r="Y148" s="416"/>
      <c r="Z148" s="416"/>
      <c r="AA148" s="416"/>
      <c r="AB148" s="416"/>
      <c r="AC148" s="416"/>
      <c r="AD148" s="416"/>
      <c r="AE148" s="416"/>
      <c r="AF148" s="416"/>
      <c r="AG148" s="416"/>
      <c r="AH148" s="416"/>
      <c r="AI148" s="416"/>
      <c r="AJ148" s="416"/>
      <c r="AK148" s="416"/>
      <c r="AL148" s="416"/>
      <c r="AM148" s="416"/>
      <c r="AN148" s="416"/>
      <c r="AO148" s="416"/>
      <c r="AP148" s="416"/>
      <c r="AQ148" s="416"/>
      <c r="AR148" s="416"/>
      <c r="AS148" s="416"/>
      <c r="AT148" s="416"/>
      <c r="AU148" s="416"/>
      <c r="AV148" s="416"/>
      <c r="AW148" s="416"/>
      <c r="AX148" s="416"/>
      <c r="AY148" s="416"/>
      <c r="AZ148" s="416"/>
      <c r="BA148" s="416"/>
      <c r="BB148" s="32"/>
    </row>
    <row r="149" spans="2:54">
      <c r="B149" s="1254"/>
      <c r="C149" s="1255"/>
      <c r="D149" s="411"/>
      <c r="E149" s="411"/>
      <c r="F149" s="1256" t="s">
        <v>668</v>
      </c>
      <c r="G149" s="1257"/>
      <c r="H149" s="412">
        <v>1600</v>
      </c>
      <c r="I149" s="413"/>
      <c r="J149" s="414"/>
      <c r="K149" s="414"/>
      <c r="L149" s="414"/>
      <c r="M149" s="414"/>
      <c r="N149" s="413" t="str">
        <f t="shared" si="16"/>
        <v xml:space="preserve"> </v>
      </c>
      <c r="O149" s="51"/>
      <c r="P149" s="415"/>
      <c r="Q149" s="415"/>
      <c r="R149" s="415"/>
      <c r="S149" s="32"/>
      <c r="T149" s="416"/>
      <c r="U149" s="416"/>
      <c r="V149" s="416"/>
      <c r="W149" s="416"/>
      <c r="X149" s="416"/>
      <c r="Y149" s="416"/>
      <c r="Z149" s="416"/>
      <c r="AA149" s="416"/>
      <c r="AB149" s="416"/>
      <c r="AC149" s="416"/>
      <c r="AD149" s="416"/>
      <c r="AE149" s="416"/>
      <c r="AF149" s="416"/>
      <c r="AG149" s="416"/>
      <c r="AH149" s="416"/>
      <c r="AI149" s="416"/>
      <c r="AJ149" s="416"/>
      <c r="AK149" s="416"/>
      <c r="AL149" s="416"/>
      <c r="AM149" s="416"/>
      <c r="AN149" s="416"/>
      <c r="AO149" s="416"/>
      <c r="AP149" s="416"/>
      <c r="AQ149" s="416"/>
      <c r="AR149" s="416"/>
      <c r="AS149" s="416"/>
      <c r="AT149" s="416"/>
      <c r="AU149" s="416"/>
      <c r="AV149" s="416"/>
      <c r="AW149" s="416"/>
      <c r="AX149" s="416"/>
      <c r="AY149" s="416"/>
      <c r="AZ149" s="416"/>
      <c r="BA149" s="416"/>
      <c r="BB149" s="32"/>
    </row>
    <row r="150" spans="2:54">
      <c r="B150" s="1250" t="s">
        <v>624</v>
      </c>
      <c r="C150" s="1251"/>
      <c r="D150" s="411" t="s">
        <v>2484</v>
      </c>
      <c r="E150" s="411"/>
      <c r="F150" s="411" t="s">
        <v>249</v>
      </c>
      <c r="G150" s="411" t="s">
        <v>2315</v>
      </c>
      <c r="H150" s="412">
        <v>7330.924</v>
      </c>
      <c r="I150" s="413" t="s">
        <v>240</v>
      </c>
      <c r="J150" s="414">
        <v>45178.649305555555</v>
      </c>
      <c r="K150" s="414"/>
      <c r="L150" s="414" t="s">
        <v>192</v>
      </c>
      <c r="M150" s="414" t="s">
        <v>192</v>
      </c>
      <c r="N150" s="413" t="str">
        <f t="shared" si="16"/>
        <v>DELAY ( 4 day 21 hour 35 minute )</v>
      </c>
      <c r="O150" s="51"/>
      <c r="P150" s="415" t="s">
        <v>551</v>
      </c>
      <c r="Q150" s="415" t="s">
        <v>551</v>
      </c>
      <c r="R150" s="415" t="s">
        <v>551</v>
      </c>
      <c r="S150" s="32"/>
      <c r="T150" s="416"/>
      <c r="U150" s="416"/>
      <c r="V150" s="416"/>
      <c r="W150" s="416"/>
      <c r="X150" s="416"/>
      <c r="Y150" s="416"/>
      <c r="Z150" s="416"/>
      <c r="AA150" s="416"/>
      <c r="AB150" s="416"/>
      <c r="AC150" s="416">
        <f t="shared" si="17"/>
        <v>7330.924</v>
      </c>
      <c r="AD150" s="416"/>
      <c r="AE150" s="416"/>
      <c r="AF150" s="416"/>
      <c r="AG150" s="416"/>
      <c r="AH150" s="416"/>
      <c r="AI150" s="416"/>
      <c r="AJ150" s="416"/>
      <c r="AK150" s="416"/>
      <c r="AL150" s="416"/>
      <c r="AM150" s="416"/>
      <c r="AN150" s="416"/>
      <c r="AO150" s="416"/>
      <c r="AP150" s="416"/>
      <c r="AQ150" s="416"/>
      <c r="AR150" s="416"/>
      <c r="AS150" s="416"/>
      <c r="AT150" s="416"/>
      <c r="AU150" s="416"/>
      <c r="AV150" s="416"/>
      <c r="AW150" s="416"/>
      <c r="AX150" s="416"/>
      <c r="AY150" s="416"/>
      <c r="AZ150" s="416"/>
      <c r="BA150" s="416"/>
      <c r="BB150" s="32"/>
    </row>
    <row r="151" spans="2:54">
      <c r="B151" s="1252"/>
      <c r="C151" s="1253"/>
      <c r="D151" s="411"/>
      <c r="E151" s="411"/>
      <c r="F151" s="1256" t="s">
        <v>616</v>
      </c>
      <c r="G151" s="1257"/>
      <c r="H151" s="412">
        <v>2715</v>
      </c>
      <c r="I151" s="413"/>
      <c r="J151" s="414"/>
      <c r="K151" s="414"/>
      <c r="L151" s="414"/>
      <c r="M151" s="414"/>
      <c r="N151" s="413" t="str">
        <f t="shared" si="16"/>
        <v xml:space="preserve"> </v>
      </c>
      <c r="O151" s="51"/>
      <c r="P151" s="415"/>
      <c r="Q151" s="415"/>
      <c r="R151" s="415"/>
      <c r="S151" s="32"/>
      <c r="T151" s="416"/>
      <c r="U151" s="416"/>
      <c r="V151" s="416"/>
      <c r="W151" s="416"/>
      <c r="X151" s="416"/>
      <c r="Y151" s="416"/>
      <c r="Z151" s="416"/>
      <c r="AA151" s="416"/>
      <c r="AB151" s="416"/>
      <c r="AC151" s="416"/>
      <c r="AD151" s="416"/>
      <c r="AE151" s="416"/>
      <c r="AF151" s="416"/>
      <c r="AG151" s="416"/>
      <c r="AH151" s="416"/>
      <c r="AI151" s="416"/>
      <c r="AJ151" s="416"/>
      <c r="AK151" s="416"/>
      <c r="AL151" s="416"/>
      <c r="AM151" s="416"/>
      <c r="AN151" s="416"/>
      <c r="AO151" s="416"/>
      <c r="AP151" s="416"/>
      <c r="AQ151" s="416"/>
      <c r="AR151" s="416"/>
      <c r="AS151" s="416"/>
      <c r="AT151" s="416"/>
      <c r="AU151" s="416"/>
      <c r="AV151" s="416"/>
      <c r="AW151" s="416"/>
      <c r="AX151" s="416"/>
      <c r="AY151" s="416"/>
      <c r="AZ151" s="416"/>
      <c r="BA151" s="416"/>
      <c r="BB151" s="32"/>
    </row>
    <row r="152" spans="2:54">
      <c r="B152" s="1254"/>
      <c r="C152" s="1255"/>
      <c r="D152" s="411"/>
      <c r="E152" s="411"/>
      <c r="F152" s="1256" t="s">
        <v>668</v>
      </c>
      <c r="G152" s="1257"/>
      <c r="H152" s="412">
        <v>1600</v>
      </c>
      <c r="I152" s="413"/>
      <c r="J152" s="414"/>
      <c r="K152" s="414"/>
      <c r="L152" s="414"/>
      <c r="M152" s="414"/>
      <c r="N152" s="413" t="str">
        <f t="shared" si="16"/>
        <v xml:space="preserve"> </v>
      </c>
      <c r="O152" s="51"/>
      <c r="P152" s="415"/>
      <c r="Q152" s="415"/>
      <c r="R152" s="415"/>
      <c r="S152" s="32"/>
      <c r="T152" s="416"/>
      <c r="U152" s="416"/>
      <c r="V152" s="416"/>
      <c r="W152" s="416"/>
      <c r="X152" s="416"/>
      <c r="Y152" s="416"/>
      <c r="Z152" s="416"/>
      <c r="AA152" s="416"/>
      <c r="AB152" s="416"/>
      <c r="AC152" s="416"/>
      <c r="AD152" s="416"/>
      <c r="AE152" s="416"/>
      <c r="AF152" s="416"/>
      <c r="AG152" s="416"/>
      <c r="AH152" s="416"/>
      <c r="AI152" s="416"/>
      <c r="AJ152" s="416"/>
      <c r="AK152" s="416"/>
      <c r="AL152" s="416"/>
      <c r="AM152" s="416"/>
      <c r="AN152" s="416"/>
      <c r="AO152" s="416"/>
      <c r="AP152" s="416"/>
      <c r="AQ152" s="416"/>
      <c r="AR152" s="416"/>
      <c r="AS152" s="416"/>
      <c r="AT152" s="416"/>
      <c r="AU152" s="416"/>
      <c r="AV152" s="416"/>
      <c r="AW152" s="416"/>
      <c r="AX152" s="416"/>
      <c r="AY152" s="416"/>
      <c r="AZ152" s="416"/>
      <c r="BA152" s="416"/>
      <c r="BB152" s="32"/>
    </row>
    <row r="153" spans="2:54">
      <c r="B153" s="1250" t="s">
        <v>625</v>
      </c>
      <c r="C153" s="1251"/>
      <c r="D153" s="411" t="s">
        <v>2485</v>
      </c>
      <c r="E153" s="411"/>
      <c r="F153" s="411" t="s">
        <v>1313</v>
      </c>
      <c r="G153" s="411" t="s">
        <v>2486</v>
      </c>
      <c r="H153" s="412">
        <f>7551.642-2669.769</f>
        <v>4881.8729999999996</v>
      </c>
      <c r="I153" s="413" t="s">
        <v>240</v>
      </c>
      <c r="J153" s="414">
        <v>45178.645833333336</v>
      </c>
      <c r="K153" s="414"/>
      <c r="L153" s="414" t="s">
        <v>192</v>
      </c>
      <c r="M153" s="414" t="s">
        <v>192</v>
      </c>
      <c r="N153" s="413" t="str">
        <f t="shared" si="16"/>
        <v>DELAY ( 4 day 21 hour 30 minute )</v>
      </c>
      <c r="O153" s="51"/>
      <c r="P153" s="415" t="s">
        <v>551</v>
      </c>
      <c r="Q153" s="415" t="s">
        <v>551</v>
      </c>
      <c r="R153" s="415" t="s">
        <v>551</v>
      </c>
      <c r="S153" s="32"/>
      <c r="T153" s="416"/>
      <c r="U153" s="416"/>
      <c r="V153" s="416"/>
      <c r="W153" s="416"/>
      <c r="X153" s="416"/>
      <c r="Y153" s="416"/>
      <c r="Z153" s="416"/>
      <c r="AA153" s="416"/>
      <c r="AB153" s="416"/>
      <c r="AC153" s="416">
        <f>H153</f>
        <v>4881.8729999999996</v>
      </c>
      <c r="AD153" s="416"/>
      <c r="AE153" s="416"/>
      <c r="AF153" s="416"/>
      <c r="AG153" s="416"/>
      <c r="AH153" s="416"/>
      <c r="AI153" s="416"/>
      <c r="AJ153" s="416"/>
      <c r="AK153" s="416"/>
      <c r="AL153" s="416"/>
      <c r="AM153" s="416"/>
      <c r="AN153" s="416"/>
      <c r="AO153" s="416"/>
      <c r="AP153" s="416"/>
      <c r="AQ153" s="416"/>
      <c r="AR153" s="416"/>
      <c r="AS153" s="416"/>
      <c r="AT153" s="416"/>
      <c r="AU153" s="416"/>
      <c r="AV153" s="416"/>
      <c r="AW153" s="416"/>
      <c r="AX153" s="416"/>
      <c r="AY153" s="416"/>
      <c r="AZ153" s="416"/>
      <c r="BA153" s="416"/>
      <c r="BB153" s="32"/>
    </row>
    <row r="154" spans="2:54">
      <c r="B154" s="1252"/>
      <c r="C154" s="1253"/>
      <c r="D154" s="411"/>
      <c r="E154" s="411"/>
      <c r="F154" s="1256" t="s">
        <v>616</v>
      </c>
      <c r="G154" s="1257"/>
      <c r="H154" s="412">
        <v>2715</v>
      </c>
      <c r="I154" s="413"/>
      <c r="J154" s="414"/>
      <c r="K154" s="414"/>
      <c r="L154" s="414"/>
      <c r="M154" s="414"/>
      <c r="N154" s="413" t="str">
        <f t="shared" si="16"/>
        <v xml:space="preserve"> </v>
      </c>
      <c r="O154" s="51"/>
      <c r="P154" s="415"/>
      <c r="Q154" s="415"/>
      <c r="R154" s="415"/>
      <c r="S154" s="32"/>
      <c r="T154" s="416"/>
      <c r="U154" s="416"/>
      <c r="V154" s="416"/>
      <c r="W154" s="416"/>
      <c r="X154" s="416"/>
      <c r="Y154" s="416"/>
      <c r="Z154" s="416"/>
      <c r="AA154" s="416"/>
      <c r="AB154" s="416"/>
      <c r="AC154" s="416"/>
      <c r="AD154" s="416"/>
      <c r="AE154" s="416"/>
      <c r="AF154" s="416"/>
      <c r="AG154" s="416"/>
      <c r="AH154" s="416"/>
      <c r="AI154" s="416"/>
      <c r="AJ154" s="416"/>
      <c r="AK154" s="416"/>
      <c r="AL154" s="416"/>
      <c r="AM154" s="416"/>
      <c r="AN154" s="416"/>
      <c r="AO154" s="416"/>
      <c r="AP154" s="416"/>
      <c r="AQ154" s="416"/>
      <c r="AR154" s="416"/>
      <c r="AS154" s="416"/>
      <c r="AT154" s="416"/>
      <c r="AU154" s="416"/>
      <c r="AV154" s="416"/>
      <c r="AW154" s="416"/>
      <c r="AX154" s="416"/>
      <c r="AY154" s="416"/>
      <c r="AZ154" s="416"/>
      <c r="BA154" s="416"/>
      <c r="BB154" s="32"/>
    </row>
    <row r="155" spans="2:54">
      <c r="B155" s="1258" t="s">
        <v>626</v>
      </c>
      <c r="C155" s="1259"/>
      <c r="D155" s="1259"/>
      <c r="E155" s="1259"/>
      <c r="F155" s="1259"/>
      <c r="G155" s="1260"/>
      <c r="H155" s="417">
        <f>H138+H141+H150+H147+H144+H153</f>
        <v>43405.428999999996</v>
      </c>
      <c r="I155" s="388"/>
      <c r="J155" s="293"/>
      <c r="K155" s="293"/>
      <c r="L155" s="293"/>
      <c r="M155" s="389"/>
      <c r="N155" s="413" t="str">
        <f t="shared" si="16"/>
        <v xml:space="preserve"> </v>
      </c>
      <c r="O155" s="47"/>
      <c r="P155" s="418"/>
      <c r="Q155" s="418"/>
      <c r="R155" s="418"/>
      <c r="S155" s="32"/>
      <c r="T155" s="1261"/>
      <c r="U155" s="1261"/>
      <c r="V155" s="1261"/>
      <c r="W155" s="1261"/>
      <c r="X155" s="1261"/>
      <c r="Y155" s="1261"/>
      <c r="Z155" s="1261"/>
      <c r="AA155" s="1261"/>
      <c r="AB155" s="1261"/>
      <c r="AC155" s="1261"/>
      <c r="AD155" s="1261"/>
      <c r="AE155" s="1261"/>
      <c r="AF155" s="1261"/>
      <c r="AG155" s="1261"/>
      <c r="AH155" s="1261"/>
      <c r="AI155" s="1261"/>
      <c r="AJ155" s="1261"/>
      <c r="AK155" s="1261"/>
      <c r="AL155" s="1261"/>
      <c r="AM155" s="1261"/>
      <c r="AN155" s="1261"/>
      <c r="AO155" s="1261"/>
      <c r="AP155" s="1261"/>
      <c r="AQ155" s="1261"/>
      <c r="AR155" s="1261"/>
      <c r="AS155" s="1261"/>
      <c r="AT155" s="1261"/>
      <c r="AU155" s="1261"/>
      <c r="AV155" s="1261"/>
      <c r="AW155" s="1261"/>
      <c r="AX155" s="1261"/>
      <c r="AY155" s="1261"/>
      <c r="AZ155" s="1261"/>
      <c r="BA155" s="1261"/>
    </row>
    <row r="156" spans="2:54">
      <c r="B156" s="1258" t="s">
        <v>556</v>
      </c>
      <c r="C156" s="1259"/>
      <c r="D156" s="1259"/>
      <c r="E156" s="1259"/>
      <c r="F156" s="1259"/>
      <c r="G156" s="1260"/>
      <c r="H156" s="417">
        <f>H137+H155</f>
        <v>67000</v>
      </c>
      <c r="I156" s="388"/>
      <c r="J156" s="293"/>
      <c r="K156" s="293"/>
      <c r="L156" s="293"/>
      <c r="M156" s="389"/>
      <c r="N156" s="413" t="str">
        <f t="shared" si="16"/>
        <v xml:space="preserve"> </v>
      </c>
      <c r="O156" s="47"/>
      <c r="P156" s="418"/>
      <c r="Q156" s="418"/>
      <c r="R156" s="418"/>
      <c r="S156" s="32"/>
      <c r="T156" s="1262"/>
      <c r="U156" s="1263"/>
      <c r="V156" s="1263"/>
      <c r="W156" s="1263"/>
      <c r="X156" s="1263"/>
      <c r="Y156" s="1263"/>
      <c r="Z156" s="1263"/>
      <c r="AA156" s="1263"/>
      <c r="AB156" s="1263"/>
      <c r="AC156" s="1263"/>
      <c r="AD156" s="1263"/>
      <c r="AE156" s="1263"/>
      <c r="AF156" s="1263"/>
      <c r="AG156" s="1263"/>
      <c r="AH156" s="1263"/>
      <c r="AI156" s="1263"/>
      <c r="AJ156" s="1263"/>
      <c r="AK156" s="1263"/>
      <c r="AL156" s="1263"/>
      <c r="AM156" s="1263"/>
      <c r="AN156" s="1263"/>
      <c r="AO156" s="1263"/>
      <c r="AP156" s="1263"/>
      <c r="AQ156" s="1263"/>
      <c r="AR156" s="1263"/>
      <c r="AS156" s="1263"/>
      <c r="AT156" s="1263"/>
      <c r="AU156" s="1263"/>
      <c r="AV156" s="1263"/>
      <c r="AW156" s="1263"/>
      <c r="AX156" s="1263"/>
      <c r="AY156" s="1263"/>
      <c r="AZ156" s="1263"/>
      <c r="BA156" s="1263"/>
    </row>
    <row r="157" spans="2:54">
      <c r="B157" s="1243" t="s">
        <v>557</v>
      </c>
      <c r="C157" s="1244"/>
      <c r="D157" s="1244"/>
      <c r="E157" s="1244"/>
      <c r="F157" s="1244"/>
      <c r="G157" s="1245"/>
      <c r="H157" s="419">
        <v>67000</v>
      </c>
      <c r="I157" s="1246"/>
      <c r="J157" s="1247"/>
      <c r="K157" s="1247"/>
      <c r="L157" s="1247"/>
      <c r="M157" s="1248"/>
      <c r="N157" s="413" t="str">
        <f t="shared" si="16"/>
        <v xml:space="preserve"> </v>
      </c>
      <c r="O157" s="32"/>
      <c r="P157" s="415"/>
      <c r="Q157" s="415"/>
      <c r="R157" s="415"/>
      <c r="S157" s="63"/>
      <c r="T157" s="416">
        <f t="shared" ref="T157:BA157" si="18">SUM(T134:T153)</f>
        <v>0</v>
      </c>
      <c r="U157" s="416">
        <f t="shared" si="18"/>
        <v>0</v>
      </c>
      <c r="V157" s="416">
        <f t="shared" si="18"/>
        <v>0</v>
      </c>
      <c r="W157" s="416">
        <f t="shared" si="18"/>
        <v>0</v>
      </c>
      <c r="X157" s="416">
        <f t="shared" si="18"/>
        <v>0</v>
      </c>
      <c r="Y157" s="416">
        <f t="shared" si="18"/>
        <v>0</v>
      </c>
      <c r="Z157" s="416">
        <f t="shared" si="18"/>
        <v>0</v>
      </c>
      <c r="AA157" s="416">
        <f t="shared" si="18"/>
        <v>0</v>
      </c>
      <c r="AB157" s="416">
        <f t="shared" si="18"/>
        <v>0</v>
      </c>
      <c r="AC157" s="416">
        <f t="shared" si="18"/>
        <v>59694.149000000005</v>
      </c>
      <c r="AD157" s="416">
        <f t="shared" si="18"/>
        <v>7305.8509999999997</v>
      </c>
      <c r="AE157" s="416">
        <f t="shared" si="18"/>
        <v>0</v>
      </c>
      <c r="AF157" s="416">
        <f t="shared" si="18"/>
        <v>0</v>
      </c>
      <c r="AG157" s="416">
        <f t="shared" si="18"/>
        <v>0</v>
      </c>
      <c r="AH157" s="416">
        <f t="shared" si="18"/>
        <v>0</v>
      </c>
      <c r="AI157" s="416">
        <f t="shared" si="18"/>
        <v>0</v>
      </c>
      <c r="AJ157" s="416">
        <f t="shared" si="18"/>
        <v>0</v>
      </c>
      <c r="AK157" s="416">
        <f t="shared" si="18"/>
        <v>0</v>
      </c>
      <c r="AL157" s="416">
        <f t="shared" si="18"/>
        <v>0</v>
      </c>
      <c r="AM157" s="416">
        <f t="shared" si="18"/>
        <v>0</v>
      </c>
      <c r="AN157" s="416">
        <f t="shared" si="18"/>
        <v>0</v>
      </c>
      <c r="AO157" s="416">
        <f t="shared" si="18"/>
        <v>0</v>
      </c>
      <c r="AP157" s="416">
        <f t="shared" si="18"/>
        <v>0</v>
      </c>
      <c r="AQ157" s="416">
        <f t="shared" si="18"/>
        <v>0</v>
      </c>
      <c r="AR157" s="416">
        <f t="shared" si="18"/>
        <v>0</v>
      </c>
      <c r="AS157" s="416">
        <f t="shared" si="18"/>
        <v>0</v>
      </c>
      <c r="AT157" s="416">
        <f t="shared" si="18"/>
        <v>0</v>
      </c>
      <c r="AU157" s="416">
        <f t="shared" si="18"/>
        <v>0</v>
      </c>
      <c r="AV157" s="416">
        <f t="shared" si="18"/>
        <v>0</v>
      </c>
      <c r="AW157" s="416">
        <f t="shared" si="18"/>
        <v>0</v>
      </c>
      <c r="AX157" s="416">
        <f t="shared" si="18"/>
        <v>0</v>
      </c>
      <c r="AY157" s="416">
        <f t="shared" si="18"/>
        <v>0</v>
      </c>
      <c r="AZ157" s="416">
        <f t="shared" si="18"/>
        <v>0</v>
      </c>
      <c r="BA157" s="416">
        <f t="shared" si="18"/>
        <v>0</v>
      </c>
      <c r="BB157" s="416">
        <f>SUM(T157:BA157)</f>
        <v>67000</v>
      </c>
    </row>
    <row r="158" spans="2:54">
      <c r="B158" s="1243" t="s">
        <v>558</v>
      </c>
      <c r="C158" s="1244"/>
      <c r="D158" s="1244"/>
      <c r="E158" s="1244"/>
      <c r="F158" s="1244"/>
      <c r="G158" s="1245"/>
      <c r="H158" s="420">
        <f>H157-L128</f>
        <v>0</v>
      </c>
      <c r="I158" s="294"/>
      <c r="J158" s="295"/>
      <c r="K158" s="295"/>
      <c r="L158" s="296"/>
      <c r="M158" s="32"/>
      <c r="N158" s="32"/>
      <c r="O158" s="32"/>
      <c r="P158" s="32"/>
      <c r="Q158" s="297"/>
      <c r="R158" s="297"/>
      <c r="S158" s="32"/>
      <c r="T158" s="48"/>
      <c r="U158" s="48"/>
      <c r="V158" s="48"/>
      <c r="W158" s="48"/>
      <c r="X158" s="48"/>
      <c r="Y158" s="48"/>
      <c r="Z158" s="48"/>
      <c r="AA158" s="48"/>
      <c r="AB158" s="48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</row>
    <row r="159" spans="2:54">
      <c r="B159" s="1243" t="s">
        <v>559</v>
      </c>
      <c r="C159" s="1244"/>
      <c r="D159" s="1244"/>
      <c r="E159" s="1244"/>
      <c r="F159" s="1244"/>
      <c r="G159" s="1245"/>
      <c r="H159" s="446">
        <f>2103.026</f>
        <v>2103.0259999999998</v>
      </c>
      <c r="I159" s="52"/>
      <c r="J159" s="53"/>
      <c r="K159" s="53"/>
      <c r="L159" s="54"/>
      <c r="M159" s="32"/>
      <c r="N159" s="32"/>
      <c r="O159" s="32"/>
      <c r="P159" s="32"/>
      <c r="Q159" s="32"/>
      <c r="R159" s="32"/>
      <c r="S159" s="32"/>
      <c r="T159" s="48"/>
      <c r="U159" s="48"/>
      <c r="V159" s="48"/>
      <c r="W159" s="48"/>
      <c r="X159" s="48"/>
      <c r="Y159" s="48"/>
      <c r="Z159" s="48"/>
      <c r="AA159" s="48"/>
      <c r="AB159" s="48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</row>
    <row r="160" spans="2:54">
      <c r="B160" s="1243" t="s">
        <v>560</v>
      </c>
      <c r="C160" s="1244"/>
      <c r="D160" s="1244"/>
      <c r="E160" s="1244"/>
      <c r="F160" s="1244"/>
      <c r="G160" s="1245"/>
      <c r="H160" s="421">
        <f>H159-2669.769</f>
        <v>-566.74299999999994</v>
      </c>
      <c r="I160" s="52"/>
      <c r="J160" s="53"/>
      <c r="K160" s="53"/>
      <c r="L160" s="54"/>
      <c r="M160" s="32"/>
      <c r="N160" s="32"/>
      <c r="O160" s="32"/>
      <c r="P160" s="32"/>
      <c r="Q160" s="32"/>
      <c r="R160" s="32"/>
      <c r="S160" s="48"/>
      <c r="T160" s="48"/>
      <c r="U160" s="48"/>
      <c r="V160" s="48"/>
      <c r="W160" s="48"/>
      <c r="X160" s="48"/>
      <c r="Y160" s="48"/>
      <c r="Z160" s="48"/>
      <c r="AA160" s="48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2:54">
      <c r="B161" s="32"/>
      <c r="C161" s="32"/>
      <c r="D161" s="32"/>
      <c r="E161" s="32"/>
      <c r="F161" s="32"/>
      <c r="G161" s="32"/>
      <c r="H161" s="32"/>
      <c r="I161" s="57"/>
      <c r="J161" s="52"/>
      <c r="K161" s="52"/>
      <c r="L161" s="55"/>
      <c r="M161" s="32"/>
      <c r="N161" s="32"/>
      <c r="O161" s="52"/>
      <c r="P161" s="32"/>
      <c r="Q161" s="32"/>
      <c r="R161" s="32"/>
      <c r="S161" s="32"/>
      <c r="T161" s="48"/>
      <c r="U161" s="48"/>
      <c r="V161" s="48"/>
      <c r="W161" s="48"/>
      <c r="X161" s="48"/>
      <c r="Y161" s="48"/>
      <c r="Z161" s="48"/>
      <c r="AA161" s="48"/>
      <c r="AB161" s="48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</row>
    <row r="162" spans="2:54">
      <c r="B162" s="40" t="s">
        <v>561</v>
      </c>
      <c r="C162" s="40"/>
      <c r="D162" s="32"/>
      <c r="E162" s="32"/>
      <c r="F162" s="32"/>
      <c r="G162" s="32"/>
      <c r="H162" s="32"/>
      <c r="I162" s="32"/>
      <c r="J162" s="52"/>
      <c r="K162" s="52"/>
      <c r="L162" s="55"/>
      <c r="M162" s="32"/>
      <c r="N162" s="32"/>
      <c r="O162" s="52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BB162" s="32"/>
    </row>
    <row r="163" spans="2:54">
      <c r="B163" s="422">
        <v>1</v>
      </c>
      <c r="C163" s="1249" t="s">
        <v>2473</v>
      </c>
      <c r="D163" s="1249"/>
      <c r="E163" s="1249"/>
      <c r="F163" s="1249"/>
      <c r="G163" s="1249"/>
      <c r="H163" s="1249"/>
      <c r="I163" s="1249"/>
      <c r="J163" s="1249"/>
      <c r="K163" s="1249"/>
      <c r="L163" s="55"/>
      <c r="M163" s="55"/>
      <c r="N163" s="32"/>
      <c r="O163" s="52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</row>
    <row r="165" spans="2:54" s="201" customFormat="1">
      <c r="B165" s="28" t="s">
        <v>126</v>
      </c>
      <c r="C165" s="28"/>
      <c r="D165" s="29"/>
      <c r="E165" s="30" t="s">
        <v>511</v>
      </c>
      <c r="F165" s="31" t="s">
        <v>2487</v>
      </c>
      <c r="G165" s="32"/>
      <c r="H165" s="33"/>
      <c r="I165" s="34"/>
      <c r="J165" s="35" t="s">
        <v>513</v>
      </c>
      <c r="K165" s="36" t="s">
        <v>511</v>
      </c>
      <c r="L165" s="516">
        <v>45183.445833333331</v>
      </c>
      <c r="M165" s="32"/>
      <c r="N165" s="32"/>
      <c r="O165" s="206"/>
      <c r="P165" s="205"/>
      <c r="Q165" s="202"/>
      <c r="R165" s="204"/>
      <c r="S165" s="38"/>
      <c r="AB165" s="202"/>
      <c r="AC165" s="202"/>
      <c r="AD165" s="202"/>
      <c r="AE165" s="202"/>
      <c r="AF165" s="202"/>
    </row>
    <row r="166" spans="2:54" s="201" customFormat="1">
      <c r="B166" s="35" t="s">
        <v>514</v>
      </c>
      <c r="C166" s="35"/>
      <c r="D166" s="32"/>
      <c r="E166" s="36" t="s">
        <v>511</v>
      </c>
      <c r="F166" s="311" t="s">
        <v>2488</v>
      </c>
      <c r="G166" s="32"/>
      <c r="H166" s="33"/>
      <c r="I166" s="34"/>
      <c r="J166" s="35" t="s">
        <v>516</v>
      </c>
      <c r="K166" s="36" t="s">
        <v>511</v>
      </c>
      <c r="L166" s="306">
        <f>'VLU 2023 &amp; 2024'!$N$172</f>
        <v>45184.725694444445</v>
      </c>
      <c r="M166" s="32"/>
      <c r="N166" s="32"/>
      <c r="O166" s="206"/>
      <c r="P166" s="205"/>
      <c r="Q166" s="202"/>
      <c r="R166" s="204"/>
      <c r="S166" s="38"/>
      <c r="AB166" s="202"/>
      <c r="AC166" s="202"/>
      <c r="AD166" s="202"/>
      <c r="AE166" s="202"/>
      <c r="AF166" s="202"/>
    </row>
    <row r="167" spans="2:54" s="201" customFormat="1">
      <c r="B167" s="35" t="s">
        <v>517</v>
      </c>
      <c r="C167" s="35"/>
      <c r="D167" s="32"/>
      <c r="E167" s="36" t="s">
        <v>511</v>
      </c>
      <c r="F167" s="37">
        <v>45167.583333333336</v>
      </c>
      <c r="G167" s="32"/>
      <c r="H167" s="33"/>
      <c r="I167" s="34"/>
      <c r="J167" s="35" t="s">
        <v>518</v>
      </c>
      <c r="K167" s="36" t="s">
        <v>511</v>
      </c>
      <c r="L167" s="307">
        <v>66550</v>
      </c>
      <c r="M167" s="40" t="s">
        <v>519</v>
      </c>
      <c r="N167" s="40"/>
      <c r="O167" s="206"/>
      <c r="P167" s="205"/>
      <c r="Q167" s="202"/>
      <c r="R167" s="204"/>
      <c r="S167" s="38"/>
      <c r="AB167" s="202"/>
      <c r="AC167" s="202"/>
      <c r="AD167" s="202"/>
      <c r="AE167" s="202"/>
      <c r="AF167" s="202"/>
    </row>
    <row r="168" spans="2:54" s="201" customFormat="1">
      <c r="B168" s="35" t="s">
        <v>520</v>
      </c>
      <c r="C168" s="35"/>
      <c r="D168" s="32"/>
      <c r="E168" s="36" t="s">
        <v>511</v>
      </c>
      <c r="F168" s="37" t="s">
        <v>20</v>
      </c>
      <c r="G168" s="32"/>
      <c r="H168" s="33"/>
      <c r="I168" s="34"/>
      <c r="J168" s="35" t="s">
        <v>521</v>
      </c>
      <c r="K168" s="36" t="s">
        <v>511</v>
      </c>
      <c r="L168" s="50" t="s">
        <v>2489</v>
      </c>
      <c r="M168" s="32"/>
      <c r="N168" s="32"/>
      <c r="O168" s="206"/>
      <c r="P168" s="202"/>
      <c r="Q168" s="202"/>
      <c r="R168" s="204"/>
      <c r="S168" s="38"/>
      <c r="AB168" s="202"/>
      <c r="AC168" s="202"/>
      <c r="AD168" s="202"/>
      <c r="AE168" s="202"/>
      <c r="AF168" s="202"/>
    </row>
    <row r="169" spans="2:54" s="201" customFormat="1">
      <c r="B169" s="35" t="s">
        <v>523</v>
      </c>
      <c r="C169" s="35"/>
      <c r="D169" s="32"/>
      <c r="E169" s="36" t="s">
        <v>511</v>
      </c>
      <c r="F169" s="37" t="s">
        <v>47</v>
      </c>
      <c r="G169" s="32"/>
      <c r="H169" s="33"/>
      <c r="I169" s="34"/>
      <c r="J169" s="42" t="s">
        <v>524</v>
      </c>
      <c r="K169" s="36" t="s">
        <v>511</v>
      </c>
      <c r="L169" s="43" t="s">
        <v>11</v>
      </c>
      <c r="M169" s="44"/>
      <c r="N169" s="44"/>
      <c r="O169" s="206"/>
      <c r="P169" s="205"/>
      <c r="Q169" s="202"/>
      <c r="R169" s="204"/>
      <c r="S169" s="38"/>
      <c r="AB169" s="202"/>
      <c r="AC169" s="202"/>
      <c r="AD169" s="202"/>
      <c r="AE169" s="202"/>
      <c r="AF169" s="202"/>
    </row>
    <row r="170" spans="2:54" s="201" customFormat="1">
      <c r="B170" s="35" t="s">
        <v>2</v>
      </c>
      <c r="C170" s="35"/>
      <c r="D170" s="32"/>
      <c r="E170" s="36" t="s">
        <v>511</v>
      </c>
      <c r="F170" s="37" t="s">
        <v>14</v>
      </c>
      <c r="G170" s="32"/>
      <c r="H170" s="33"/>
      <c r="I170" s="45"/>
      <c r="J170" s="42"/>
      <c r="K170" s="36"/>
      <c r="L170" s="211"/>
      <c r="O170" s="42"/>
      <c r="P170" s="44"/>
      <c r="Q170" s="44"/>
      <c r="R170" s="44"/>
      <c r="S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</row>
    <row r="171" spans="2:54" s="201" customFormat="1">
      <c r="I171" s="45"/>
      <c r="J171" s="42"/>
      <c r="K171" s="42"/>
      <c r="L171" s="43"/>
      <c r="M171" s="44"/>
      <c r="N171" s="611"/>
      <c r="O171" s="42"/>
      <c r="P171" s="44"/>
      <c r="Q171" s="44"/>
      <c r="R171" s="44"/>
      <c r="S171" s="34"/>
      <c r="T171" s="1265" t="s">
        <v>87</v>
      </c>
      <c r="U171" s="1265"/>
      <c r="V171" s="1265"/>
      <c r="W171" s="1265"/>
      <c r="X171" s="1265"/>
      <c r="Y171" s="1265" t="s">
        <v>73</v>
      </c>
      <c r="Z171" s="1265"/>
      <c r="AA171" s="1265"/>
      <c r="AB171" s="1265" t="s">
        <v>74</v>
      </c>
      <c r="AC171" s="1265"/>
      <c r="AD171" s="423" t="s">
        <v>85</v>
      </c>
      <c r="AE171" s="423" t="s">
        <v>77</v>
      </c>
      <c r="AF171" s="1265" t="s">
        <v>525</v>
      </c>
      <c r="AG171" s="1265"/>
      <c r="AH171" s="1265"/>
      <c r="AI171" s="1265"/>
      <c r="AJ171" s="1265"/>
      <c r="AK171" s="1265"/>
      <c r="AL171" s="1265"/>
      <c r="AM171" s="1265"/>
      <c r="AN171" s="1265"/>
      <c r="AO171" s="1265"/>
      <c r="AP171" s="1265"/>
      <c r="AQ171" s="1265"/>
      <c r="AR171" s="1265"/>
      <c r="AS171" s="1265"/>
      <c r="AT171" s="1265"/>
      <c r="AU171" s="1265"/>
      <c r="AV171" s="1265"/>
      <c r="AW171" s="1265"/>
      <c r="AX171" s="1265"/>
      <c r="AY171" s="1265"/>
      <c r="AZ171" s="1265"/>
      <c r="BA171" s="1265"/>
    </row>
    <row r="172" spans="2:54" s="201" customFormat="1">
      <c r="B172" s="1266" t="s">
        <v>526</v>
      </c>
      <c r="C172" s="1267"/>
      <c r="D172" s="570" t="s">
        <v>527</v>
      </c>
      <c r="E172" s="570"/>
      <c r="F172" s="570" t="s">
        <v>528</v>
      </c>
      <c r="G172" s="570" t="s">
        <v>529</v>
      </c>
      <c r="H172" s="570" t="s">
        <v>530</v>
      </c>
      <c r="I172" s="570" t="s">
        <v>531</v>
      </c>
      <c r="J172" s="570" t="s">
        <v>532</v>
      </c>
      <c r="K172" s="570"/>
      <c r="L172" s="570" t="s">
        <v>130</v>
      </c>
      <c r="M172" s="570" t="s">
        <v>533</v>
      </c>
      <c r="N172" s="408" t="str">
        <f>"On time - "&amp;COUNTIF(N173:N181,"On time")&amp;" from "&amp;ROWS(N173:N181)-COUNTIF(N173:N181," ")</f>
        <v>On time - 0 from 9</v>
      </c>
      <c r="O172" s="46"/>
      <c r="P172" s="409" t="s">
        <v>534</v>
      </c>
      <c r="Q172" s="409" t="s">
        <v>535</v>
      </c>
      <c r="R172" s="409" t="s">
        <v>536</v>
      </c>
      <c r="S172" s="32"/>
      <c r="T172" s="424" t="s">
        <v>537</v>
      </c>
      <c r="U172" s="424" t="s">
        <v>538</v>
      </c>
      <c r="V172" s="424" t="s">
        <v>539</v>
      </c>
      <c r="W172" s="424" t="s">
        <v>540</v>
      </c>
      <c r="X172" s="424" t="s">
        <v>541</v>
      </c>
      <c r="Y172" s="424" t="s">
        <v>167</v>
      </c>
      <c r="Z172" s="424" t="s">
        <v>168</v>
      </c>
      <c r="AA172" s="424" t="s">
        <v>169</v>
      </c>
      <c r="AB172" s="424" t="s">
        <v>235</v>
      </c>
      <c r="AC172" s="424" t="s">
        <v>240</v>
      </c>
      <c r="AD172" s="423" t="s">
        <v>85</v>
      </c>
      <c r="AE172" s="424" t="s">
        <v>139</v>
      </c>
      <c r="AF172" s="424" t="s">
        <v>72</v>
      </c>
      <c r="AG172" s="424" t="s">
        <v>88</v>
      </c>
      <c r="AH172" s="424" t="s">
        <v>75</v>
      </c>
      <c r="AI172" s="424" t="s">
        <v>543</v>
      </c>
      <c r="AJ172" s="424" t="s">
        <v>78</v>
      </c>
      <c r="AK172" s="424" t="s">
        <v>76</v>
      </c>
      <c r="AL172" s="424" t="s">
        <v>544</v>
      </c>
      <c r="AM172" s="424" t="s">
        <v>545</v>
      </c>
      <c r="AN172" s="424" t="s">
        <v>86</v>
      </c>
      <c r="AO172" s="424" t="s">
        <v>83</v>
      </c>
      <c r="AP172" s="424" t="s">
        <v>84</v>
      </c>
      <c r="AQ172" s="424" t="s">
        <v>546</v>
      </c>
      <c r="AR172" s="424" t="s">
        <v>81</v>
      </c>
      <c r="AS172" s="424" t="s">
        <v>80</v>
      </c>
      <c r="AT172" s="424" t="s">
        <v>82</v>
      </c>
      <c r="AU172" s="424" t="s">
        <v>181</v>
      </c>
      <c r="AV172" s="424" t="s">
        <v>183</v>
      </c>
      <c r="AW172" s="424" t="s">
        <v>547</v>
      </c>
      <c r="AX172" s="424" t="s">
        <v>182</v>
      </c>
      <c r="AY172" s="424" t="s">
        <v>172</v>
      </c>
      <c r="AZ172" s="424" t="s">
        <v>173</v>
      </c>
      <c r="BA172" s="424" t="s">
        <v>184</v>
      </c>
    </row>
    <row r="173" spans="2:54" s="32" customFormat="1">
      <c r="B173" s="1256" t="s">
        <v>548</v>
      </c>
      <c r="C173" s="1257"/>
      <c r="D173" s="411" t="s">
        <v>2490</v>
      </c>
      <c r="E173" s="411"/>
      <c r="F173" s="411" t="s">
        <v>429</v>
      </c>
      <c r="G173" s="411" t="s">
        <v>430</v>
      </c>
      <c r="H173" s="412">
        <v>7569.7259999999997</v>
      </c>
      <c r="I173" s="413" t="s">
        <v>494</v>
      </c>
      <c r="J173" s="414">
        <v>45179.791666666664</v>
      </c>
      <c r="K173" s="414"/>
      <c r="L173" s="414" t="s">
        <v>192</v>
      </c>
      <c r="M173" s="414" t="s">
        <v>192</v>
      </c>
      <c r="N173" s="413" t="str">
        <f t="shared" ref="N173:N181" si="19">IF(ISBLANK(J173)," ",IF(J173&lt;$F$167,"On time",(IF(DAY(J173-$F$167)&lt;1,"On time",(IF(J173&gt;$F$167,"DELAY ( "&amp;DAY(J173-$F$167)&amp;" day "&amp;HOUR(J173-$F$167)&amp;" hour "&amp;MINUTE(J173-$F$167)&amp;" minute )","xxx"))))))</f>
        <v>DELAY ( 12 day 5 hour 0 minute )</v>
      </c>
      <c r="O173" s="51"/>
      <c r="P173" s="415" t="s">
        <v>551</v>
      </c>
      <c r="Q173" s="415" t="s">
        <v>551</v>
      </c>
      <c r="R173" s="415" t="s">
        <v>551</v>
      </c>
      <c r="T173" s="416"/>
      <c r="U173" s="416"/>
      <c r="V173" s="416"/>
      <c r="W173" s="416"/>
      <c r="X173" s="416"/>
      <c r="Y173" s="416">
        <f>H173</f>
        <v>7569.7259999999997</v>
      </c>
      <c r="Z173" s="416"/>
      <c r="AA173" s="416"/>
      <c r="AB173" s="416"/>
      <c r="AC173" s="416"/>
      <c r="AD173" s="416"/>
      <c r="AE173" s="416"/>
      <c r="AF173" s="416"/>
      <c r="AG173" s="416"/>
      <c r="AH173" s="416"/>
      <c r="AI173" s="416"/>
      <c r="AJ173" s="416"/>
      <c r="AK173" s="416"/>
      <c r="AL173" s="416"/>
      <c r="AM173" s="416"/>
      <c r="AN173" s="416"/>
      <c r="AO173" s="416"/>
      <c r="AP173" s="416"/>
      <c r="AQ173" s="416"/>
      <c r="AR173" s="416"/>
      <c r="AS173" s="416"/>
      <c r="AT173" s="416"/>
      <c r="AU173" s="416"/>
      <c r="AV173" s="416"/>
      <c r="AW173" s="416"/>
      <c r="AX173" s="416"/>
      <c r="AY173" s="416"/>
      <c r="AZ173" s="416"/>
      <c r="BA173" s="416"/>
    </row>
    <row r="174" spans="2:54" s="32" customFormat="1">
      <c r="B174" s="1256" t="s">
        <v>548</v>
      </c>
      <c r="C174" s="1257"/>
      <c r="D174" s="411" t="s">
        <v>2491</v>
      </c>
      <c r="E174" s="411"/>
      <c r="F174" s="411" t="s">
        <v>343</v>
      </c>
      <c r="G174" s="411" t="s">
        <v>344</v>
      </c>
      <c r="H174" s="412">
        <v>7416.4269999999997</v>
      </c>
      <c r="I174" s="413" t="s">
        <v>494</v>
      </c>
      <c r="J174" s="414">
        <v>45179.8125</v>
      </c>
      <c r="K174" s="414"/>
      <c r="L174" s="414" t="s">
        <v>192</v>
      </c>
      <c r="M174" s="414" t="s">
        <v>192</v>
      </c>
      <c r="N174" s="413" t="str">
        <f t="shared" si="19"/>
        <v>DELAY ( 12 day 5 hour 30 minute )</v>
      </c>
      <c r="O174" s="51"/>
      <c r="P174" s="415" t="s">
        <v>551</v>
      </c>
      <c r="Q174" s="415" t="s">
        <v>551</v>
      </c>
      <c r="R174" s="415" t="s">
        <v>551</v>
      </c>
      <c r="T174" s="416"/>
      <c r="U174" s="416"/>
      <c r="V174" s="416"/>
      <c r="W174" s="416"/>
      <c r="X174" s="416"/>
      <c r="Y174" s="416">
        <f>H174</f>
        <v>7416.4269999999997</v>
      </c>
      <c r="Z174" s="416"/>
      <c r="AA174" s="416"/>
      <c r="AB174" s="416"/>
      <c r="AC174" s="416"/>
      <c r="AD174" s="416"/>
      <c r="AE174" s="416"/>
      <c r="AF174" s="416"/>
      <c r="AG174" s="416"/>
      <c r="AH174" s="416"/>
      <c r="AI174" s="416"/>
      <c r="AJ174" s="416"/>
      <c r="AK174" s="416"/>
      <c r="AL174" s="416"/>
      <c r="AM174" s="416"/>
      <c r="AN174" s="416"/>
      <c r="AO174" s="416"/>
      <c r="AP174" s="416"/>
      <c r="AQ174" s="416"/>
      <c r="AR174" s="416"/>
      <c r="AS174" s="416"/>
      <c r="AT174" s="416"/>
      <c r="AU174" s="416"/>
      <c r="AV174" s="416"/>
      <c r="AW174" s="416"/>
      <c r="AX174" s="416"/>
      <c r="AY174" s="416"/>
      <c r="AZ174" s="416"/>
      <c r="BA174" s="416"/>
    </row>
    <row r="175" spans="2:54" s="32" customFormat="1">
      <c r="B175" s="1256" t="s">
        <v>548</v>
      </c>
      <c r="C175" s="1257"/>
      <c r="D175" s="411" t="s">
        <v>2492</v>
      </c>
      <c r="E175" s="411"/>
      <c r="F175" s="411" t="s">
        <v>295</v>
      </c>
      <c r="G175" s="411" t="s">
        <v>296</v>
      </c>
      <c r="H175" s="412">
        <v>8214.6720000000005</v>
      </c>
      <c r="I175" s="413" t="s">
        <v>494</v>
      </c>
      <c r="J175" s="414">
        <v>45179.5625</v>
      </c>
      <c r="K175" s="414"/>
      <c r="L175" s="414" t="s">
        <v>192</v>
      </c>
      <c r="M175" s="414" t="s">
        <v>192</v>
      </c>
      <c r="N175" s="413" t="str">
        <f t="shared" si="19"/>
        <v>DELAY ( 11 day 23 hour 30 minute )</v>
      </c>
      <c r="O175" s="51"/>
      <c r="P175" s="415" t="s">
        <v>551</v>
      </c>
      <c r="Q175" s="415" t="s">
        <v>551</v>
      </c>
      <c r="R175" s="415" t="s">
        <v>551</v>
      </c>
      <c r="T175" s="416"/>
      <c r="U175" s="416"/>
      <c r="V175" s="416"/>
      <c r="W175" s="416"/>
      <c r="X175" s="416"/>
      <c r="Y175" s="416">
        <f t="shared" ref="Y175" si="20">H175</f>
        <v>8214.6720000000005</v>
      </c>
      <c r="Z175" s="416"/>
      <c r="AA175" s="416"/>
      <c r="AB175" s="416"/>
      <c r="AC175" s="416"/>
      <c r="AD175" s="416"/>
      <c r="AE175" s="416"/>
      <c r="AF175" s="416"/>
      <c r="AG175" s="416"/>
      <c r="AH175" s="416"/>
      <c r="AI175" s="416"/>
      <c r="AJ175" s="416"/>
      <c r="AK175" s="416"/>
      <c r="AL175" s="416"/>
      <c r="AM175" s="416"/>
      <c r="AN175" s="416"/>
      <c r="AO175" s="416"/>
      <c r="AP175" s="416"/>
      <c r="AQ175" s="416"/>
      <c r="AR175" s="416"/>
      <c r="AS175" s="416"/>
      <c r="AT175" s="416"/>
      <c r="AU175" s="416"/>
      <c r="AV175" s="416"/>
      <c r="AW175" s="416"/>
      <c r="AX175" s="416"/>
      <c r="AY175" s="416"/>
      <c r="AZ175" s="416"/>
      <c r="BA175" s="416"/>
    </row>
    <row r="176" spans="2:54" s="32" customFormat="1">
      <c r="B176" s="1256" t="s">
        <v>548</v>
      </c>
      <c r="C176" s="1257"/>
      <c r="D176" s="411" t="s">
        <v>2493</v>
      </c>
      <c r="E176" s="411"/>
      <c r="F176" s="411" t="s">
        <v>473</v>
      </c>
      <c r="G176" s="411" t="s">
        <v>474</v>
      </c>
      <c r="H176" s="412">
        <v>7363.9530000000004</v>
      </c>
      <c r="I176" s="413" t="s">
        <v>235</v>
      </c>
      <c r="J176" s="414">
        <v>45179.586805555555</v>
      </c>
      <c r="K176" s="414"/>
      <c r="L176" s="414" t="s">
        <v>192</v>
      </c>
      <c r="M176" s="414" t="s">
        <v>192</v>
      </c>
      <c r="N176" s="413" t="str">
        <f t="shared" si="19"/>
        <v>DELAY ( 12 day 0 hour 5 minute )</v>
      </c>
      <c r="O176" s="51"/>
      <c r="P176" s="415" t="s">
        <v>551</v>
      </c>
      <c r="Q176" s="415" t="s">
        <v>551</v>
      </c>
      <c r="R176" s="415" t="s">
        <v>551</v>
      </c>
      <c r="T176" s="416"/>
      <c r="U176" s="416"/>
      <c r="V176" s="416"/>
      <c r="W176" s="416"/>
      <c r="X176" s="416"/>
      <c r="Y176" s="416"/>
      <c r="Z176" s="416"/>
      <c r="AA176" s="416"/>
      <c r="AB176" s="416">
        <f>H176</f>
        <v>7363.9530000000004</v>
      </c>
      <c r="AC176" s="416"/>
      <c r="AD176" s="416"/>
      <c r="AE176" s="416"/>
      <c r="AF176" s="416"/>
      <c r="AG176" s="416"/>
      <c r="AH176" s="416"/>
      <c r="AI176" s="416"/>
      <c r="AJ176" s="416"/>
      <c r="AK176" s="416"/>
      <c r="AL176" s="416"/>
      <c r="AM176" s="416"/>
      <c r="AN176" s="416"/>
      <c r="AO176" s="416"/>
      <c r="AP176" s="416"/>
      <c r="AQ176" s="416"/>
      <c r="AR176" s="416"/>
      <c r="AS176" s="416"/>
      <c r="AT176" s="416"/>
      <c r="AU176" s="416"/>
      <c r="AV176" s="416"/>
      <c r="AW176" s="416"/>
      <c r="AX176" s="416"/>
      <c r="AZ176" s="416"/>
      <c r="BA176" s="416"/>
    </row>
    <row r="177" spans="2:54" s="500" customFormat="1">
      <c r="B177" s="1315" t="s">
        <v>548</v>
      </c>
      <c r="C177" s="1316"/>
      <c r="D177" s="501" t="s">
        <v>2494</v>
      </c>
      <c r="E177" s="501"/>
      <c r="F177" s="501" t="s">
        <v>2495</v>
      </c>
      <c r="G177" s="501" t="s">
        <v>219</v>
      </c>
      <c r="H177" s="503">
        <v>7597.1530000000002</v>
      </c>
      <c r="I177" s="505" t="s">
        <v>235</v>
      </c>
      <c r="J177" s="504">
        <v>45181.270833333336</v>
      </c>
      <c r="K177" s="504"/>
      <c r="L177" s="414" t="s">
        <v>192</v>
      </c>
      <c r="M177" s="414" t="s">
        <v>192</v>
      </c>
      <c r="N177" s="413" t="str">
        <f t="shared" si="19"/>
        <v>DELAY ( 13 day 16 hour 30 minute )</v>
      </c>
      <c r="O177" s="506"/>
      <c r="P177" s="507" t="s">
        <v>551</v>
      </c>
      <c r="Q177" s="507" t="s">
        <v>551</v>
      </c>
      <c r="R177" s="507" t="s">
        <v>551</v>
      </c>
      <c r="T177" s="508"/>
      <c r="U177" s="508"/>
      <c r="V177" s="508"/>
      <c r="W177" s="508"/>
      <c r="X177" s="508"/>
      <c r="Y177" s="508"/>
      <c r="Z177" s="508"/>
      <c r="AA177" s="508"/>
      <c r="AB177" s="508">
        <f>H177</f>
        <v>7597.1530000000002</v>
      </c>
      <c r="AC177" s="508"/>
      <c r="AD177" s="508"/>
      <c r="AE177" s="508"/>
      <c r="AF177" s="508"/>
      <c r="AG177" s="508"/>
      <c r="AH177" s="508"/>
      <c r="AI177" s="508"/>
      <c r="AJ177" s="508"/>
      <c r="AK177" s="508"/>
      <c r="AL177" s="508"/>
      <c r="AM177" s="508"/>
      <c r="AN177" s="508"/>
      <c r="AO177" s="508"/>
      <c r="AP177" s="508"/>
      <c r="AQ177" s="508"/>
      <c r="AR177" s="508"/>
      <c r="AS177" s="508"/>
      <c r="AT177" s="508"/>
      <c r="AU177" s="508"/>
      <c r="AV177" s="508"/>
      <c r="AW177" s="508"/>
      <c r="AX177" s="508"/>
      <c r="AY177" s="508"/>
      <c r="AZ177" s="508"/>
      <c r="BA177" s="508"/>
    </row>
    <row r="178" spans="2:54" s="500" customFormat="1">
      <c r="B178" s="1315" t="s">
        <v>548</v>
      </c>
      <c r="C178" s="1316"/>
      <c r="D178" s="501" t="s">
        <v>2496</v>
      </c>
      <c r="E178" s="501"/>
      <c r="F178" s="501" t="s">
        <v>208</v>
      </c>
      <c r="G178" s="501" t="s">
        <v>328</v>
      </c>
      <c r="H178" s="503">
        <v>7256.7489999999998</v>
      </c>
      <c r="I178" s="505" t="s">
        <v>494</v>
      </c>
      <c r="J178" s="504">
        <v>45180.524305555555</v>
      </c>
      <c r="K178" s="504"/>
      <c r="L178" s="414" t="s">
        <v>192</v>
      </c>
      <c r="M178" s="414" t="s">
        <v>192</v>
      </c>
      <c r="N178" s="413" t="str">
        <f t="shared" si="19"/>
        <v>DELAY ( 12 day 22 hour 35 minute )</v>
      </c>
      <c r="O178" s="506"/>
      <c r="P178" s="507" t="s">
        <v>551</v>
      </c>
      <c r="Q178" s="507" t="s">
        <v>551</v>
      </c>
      <c r="R178" s="507" t="s">
        <v>551</v>
      </c>
      <c r="T178" s="508"/>
      <c r="U178" s="508"/>
      <c r="V178" s="508"/>
      <c r="W178" s="508"/>
      <c r="X178" s="508"/>
      <c r="Y178" s="508">
        <f>H178</f>
        <v>7256.7489999999998</v>
      </c>
      <c r="Z178" s="508"/>
      <c r="AA178" s="508"/>
      <c r="AB178" s="508"/>
      <c r="AC178" s="508"/>
      <c r="AD178" s="508"/>
      <c r="AE178" s="508"/>
      <c r="AF178" s="508"/>
      <c r="AG178" s="508"/>
      <c r="AH178" s="508"/>
      <c r="AI178" s="508"/>
      <c r="AJ178" s="508"/>
      <c r="AK178" s="508"/>
      <c r="AL178" s="508"/>
      <c r="AM178" s="508"/>
      <c r="AN178" s="508"/>
      <c r="AO178" s="508"/>
      <c r="AP178" s="508"/>
      <c r="AQ178" s="508"/>
      <c r="AR178" s="508"/>
      <c r="AS178" s="508"/>
      <c r="AT178" s="508"/>
      <c r="AU178" s="508"/>
      <c r="AV178" s="508"/>
      <c r="AW178" s="508"/>
      <c r="AX178" s="508"/>
      <c r="AY178" s="508"/>
      <c r="AZ178" s="508"/>
      <c r="BA178" s="508"/>
    </row>
    <row r="179" spans="2:54" s="500" customFormat="1">
      <c r="B179" s="1315" t="s">
        <v>548</v>
      </c>
      <c r="C179" s="1316"/>
      <c r="D179" s="501" t="s">
        <v>2497</v>
      </c>
      <c r="E179" s="501"/>
      <c r="F179" s="501" t="s">
        <v>441</v>
      </c>
      <c r="G179" s="501" t="s">
        <v>1308</v>
      </c>
      <c r="H179" s="503">
        <v>5304</v>
      </c>
      <c r="I179" s="505" t="s">
        <v>82</v>
      </c>
      <c r="J179" s="504">
        <v>45181.625</v>
      </c>
      <c r="K179" s="504"/>
      <c r="L179" s="414" t="s">
        <v>192</v>
      </c>
      <c r="M179" s="414" t="s">
        <v>192</v>
      </c>
      <c r="N179" s="413" t="str">
        <f t="shared" si="19"/>
        <v>DELAY ( 14 day 1 hour 0 minute )</v>
      </c>
      <c r="O179" s="506"/>
      <c r="P179" s="507" t="s">
        <v>551</v>
      </c>
      <c r="Q179" s="507" t="s">
        <v>551</v>
      </c>
      <c r="R179" s="507" t="s">
        <v>551</v>
      </c>
      <c r="T179" s="508"/>
      <c r="U179" s="508"/>
      <c r="V179" s="508"/>
      <c r="W179" s="508"/>
      <c r="X179" s="508"/>
      <c r="Y179" s="508"/>
      <c r="Z179" s="508"/>
      <c r="AA179" s="508"/>
      <c r="AC179" s="508"/>
      <c r="AD179" s="508"/>
      <c r="AE179" s="508"/>
      <c r="AF179" s="508"/>
      <c r="AG179" s="508"/>
      <c r="AH179" s="508"/>
      <c r="AI179" s="508"/>
      <c r="AJ179" s="508"/>
      <c r="AK179" s="508"/>
      <c r="AL179" s="508"/>
      <c r="AM179" s="508"/>
      <c r="AN179" s="508"/>
      <c r="AO179" s="508"/>
      <c r="AP179" s="508"/>
      <c r="AQ179" s="508"/>
      <c r="AR179" s="508"/>
      <c r="AS179" s="508"/>
      <c r="AT179" s="508">
        <f>H179</f>
        <v>5304</v>
      </c>
      <c r="AU179" s="508"/>
      <c r="AW179" s="508"/>
      <c r="AX179" s="508"/>
      <c r="AY179" s="508"/>
      <c r="AZ179" s="508"/>
      <c r="BA179" s="508"/>
    </row>
    <row r="180" spans="2:54" s="201" customFormat="1">
      <c r="B180" s="1294" t="s">
        <v>548</v>
      </c>
      <c r="C180" s="1295"/>
      <c r="D180" s="436" t="s">
        <v>2498</v>
      </c>
      <c r="E180" s="436"/>
      <c r="F180" s="436" t="s">
        <v>263</v>
      </c>
      <c r="G180" s="436" t="s">
        <v>264</v>
      </c>
      <c r="H180" s="437">
        <f>7438.126</f>
        <v>7438.1260000000002</v>
      </c>
      <c r="I180" s="438" t="s">
        <v>235</v>
      </c>
      <c r="J180" s="439">
        <v>45180.658333333333</v>
      </c>
      <c r="K180" s="439"/>
      <c r="L180" s="439" t="s">
        <v>192</v>
      </c>
      <c r="M180" s="439" t="s">
        <v>192</v>
      </c>
      <c r="N180" s="413" t="str">
        <f t="shared" si="19"/>
        <v>DELAY ( 13 day 1 hour 48 minute )</v>
      </c>
      <c r="O180" s="308"/>
      <c r="P180" s="440" t="s">
        <v>551</v>
      </c>
      <c r="Q180" s="440" t="s">
        <v>551</v>
      </c>
      <c r="R180" s="440" t="s">
        <v>551</v>
      </c>
      <c r="T180" s="441"/>
      <c r="U180" s="441"/>
      <c r="V180" s="441"/>
      <c r="W180" s="441"/>
      <c r="X180" s="441"/>
      <c r="Z180" s="441"/>
      <c r="AA180" s="441"/>
      <c r="AB180" s="441">
        <f>H180</f>
        <v>7438.1260000000002</v>
      </c>
      <c r="AC180" s="441"/>
      <c r="AD180" s="441"/>
      <c r="AE180" s="441"/>
      <c r="AF180" s="441"/>
      <c r="AG180" s="441"/>
      <c r="AH180" s="441"/>
      <c r="AI180" s="441"/>
      <c r="AJ180" s="441"/>
      <c r="AK180" s="441"/>
      <c r="AL180" s="441"/>
      <c r="AM180" s="441"/>
      <c r="AN180" s="441"/>
      <c r="AO180" s="441"/>
      <c r="AP180" s="441"/>
      <c r="AQ180" s="441"/>
      <c r="AR180" s="441"/>
      <c r="AS180" s="441"/>
      <c r="AT180" s="441"/>
      <c r="AU180" s="441"/>
      <c r="AV180" s="441"/>
      <c r="AW180" s="441"/>
      <c r="AX180" s="441"/>
      <c r="AY180" s="441"/>
      <c r="AZ180" s="441"/>
      <c r="BA180" s="441"/>
    </row>
    <row r="181" spans="2:54" s="500" customFormat="1">
      <c r="B181" s="1315" t="s">
        <v>548</v>
      </c>
      <c r="C181" s="1316"/>
      <c r="D181" s="501" t="s">
        <v>2499</v>
      </c>
      <c r="E181" s="501"/>
      <c r="F181" s="501" t="s">
        <v>271</v>
      </c>
      <c r="G181" s="501" t="s">
        <v>272</v>
      </c>
      <c r="H181" s="503">
        <f>8401.916-12.722</f>
        <v>8389.1939999999995</v>
      </c>
      <c r="I181" s="505" t="s">
        <v>494</v>
      </c>
      <c r="J181" s="504">
        <v>45180.534722222219</v>
      </c>
      <c r="K181" s="504"/>
      <c r="L181" s="414" t="s">
        <v>192</v>
      </c>
      <c r="M181" s="414" t="s">
        <v>192</v>
      </c>
      <c r="N181" s="413" t="str">
        <f t="shared" si="19"/>
        <v>DELAY ( 12 day 22 hour 50 minute )</v>
      </c>
      <c r="O181" s="506"/>
      <c r="P181" s="507" t="s">
        <v>551</v>
      </c>
      <c r="Q181" s="507" t="s">
        <v>551</v>
      </c>
      <c r="R181" s="507" t="s">
        <v>551</v>
      </c>
      <c r="T181" s="508"/>
      <c r="U181" s="508"/>
      <c r="V181" s="508"/>
      <c r="W181" s="508"/>
      <c r="X181" s="508"/>
      <c r="Y181" s="508">
        <f>H181</f>
        <v>8389.1939999999995</v>
      </c>
      <c r="Z181" s="508"/>
      <c r="AA181" s="508"/>
      <c r="AB181" s="508"/>
      <c r="AC181" s="508"/>
      <c r="AD181" s="508"/>
      <c r="AE181" s="508"/>
      <c r="AF181" s="508"/>
      <c r="AG181" s="508"/>
      <c r="AH181" s="508"/>
      <c r="AI181" s="508"/>
      <c r="AJ181" s="508"/>
      <c r="AK181" s="508"/>
      <c r="AL181" s="508"/>
      <c r="AM181" s="508"/>
      <c r="AN181" s="508"/>
      <c r="AO181" s="508"/>
      <c r="AP181" s="508"/>
      <c r="AQ181" s="508"/>
      <c r="AR181" s="508"/>
      <c r="AS181" s="508"/>
      <c r="AT181" s="508"/>
      <c r="AU181" s="508"/>
      <c r="AV181" s="508"/>
      <c r="AW181" s="508"/>
      <c r="AX181" s="508"/>
      <c r="AY181" s="508"/>
      <c r="AZ181" s="508"/>
      <c r="BA181" s="508"/>
    </row>
    <row r="182" spans="2:54">
      <c r="B182" s="1258" t="s">
        <v>556</v>
      </c>
      <c r="C182" s="1259"/>
      <c r="D182" s="1259"/>
      <c r="E182" s="1259"/>
      <c r="F182" s="1259"/>
      <c r="G182" s="1260"/>
      <c r="H182" s="417">
        <f>SUM(H173:H181)</f>
        <v>66550</v>
      </c>
      <c r="I182" s="388"/>
      <c r="J182" s="293"/>
      <c r="K182" s="293"/>
      <c r="L182" s="293"/>
      <c r="M182" s="389"/>
      <c r="N182" s="413" t="str">
        <f t="shared" ref="N182:N183" si="21">IF(ISBLANK(J182)," ",IF(J182&lt;$F$128,"On time",(IF(DAY(J182-$F$128)&lt;1,"On time",(IF(J182&gt;$F$128,"DELAY ( "&amp;DAY(J182-$F$128)&amp;" day "&amp;HOUR(J182-$F$128)&amp;" hour "&amp;MINUTE(J182-$F$128)&amp;" minute )","xxx"))))))</f>
        <v xml:space="preserve"> </v>
      </c>
      <c r="O182" s="212"/>
      <c r="P182" s="418"/>
      <c r="Q182" s="418"/>
      <c r="R182" s="418"/>
      <c r="S182" s="207"/>
      <c r="T182" s="1300"/>
      <c r="U182" s="1301"/>
      <c r="V182" s="1301"/>
      <c r="W182" s="1301"/>
      <c r="X182" s="1301"/>
      <c r="Y182" s="1301"/>
      <c r="Z182" s="1301"/>
      <c r="AA182" s="1301"/>
      <c r="AB182" s="1301"/>
      <c r="AC182" s="1301"/>
      <c r="AD182" s="1301"/>
      <c r="AE182" s="1301"/>
      <c r="AF182" s="1301"/>
      <c r="AG182" s="1301"/>
      <c r="AH182" s="1301"/>
      <c r="AI182" s="1301"/>
      <c r="AJ182" s="1301"/>
      <c r="AK182" s="1301"/>
      <c r="AL182" s="1301"/>
      <c r="AM182" s="1301"/>
      <c r="AN182" s="1301"/>
      <c r="AO182" s="1301"/>
      <c r="AP182" s="1301"/>
      <c r="AQ182" s="1301"/>
      <c r="AR182" s="1301"/>
      <c r="AS182" s="1301"/>
      <c r="AT182" s="1301"/>
      <c r="AU182" s="1301"/>
      <c r="AV182" s="1301"/>
      <c r="AW182" s="1301"/>
      <c r="AX182" s="1301"/>
      <c r="AY182" s="1301"/>
      <c r="AZ182" s="1301"/>
      <c r="BA182" s="1301"/>
    </row>
    <row r="183" spans="2:54" s="496" customFormat="1">
      <c r="B183" s="1323" t="s">
        <v>557</v>
      </c>
      <c r="C183" s="1324"/>
      <c r="D183" s="1324"/>
      <c r="E183" s="1324"/>
      <c r="F183" s="1324"/>
      <c r="G183" s="1325"/>
      <c r="H183" s="509">
        <v>66550</v>
      </c>
      <c r="I183" s="1356"/>
      <c r="J183" s="1357"/>
      <c r="K183" s="1357"/>
      <c r="L183" s="1357"/>
      <c r="M183" s="1358"/>
      <c r="N183" s="413" t="str">
        <f t="shared" si="21"/>
        <v xml:space="preserve"> </v>
      </c>
      <c r="O183" s="201"/>
      <c r="P183" s="440"/>
      <c r="Q183" s="440"/>
      <c r="R183" s="440"/>
      <c r="S183" s="510"/>
      <c r="T183" s="441">
        <f t="shared" ref="T183:BA183" si="22">SUM(T173:T181)</f>
        <v>0</v>
      </c>
      <c r="U183" s="441">
        <f t="shared" si="22"/>
        <v>0</v>
      </c>
      <c r="V183" s="441">
        <f t="shared" si="22"/>
        <v>0</v>
      </c>
      <c r="W183" s="441">
        <f t="shared" si="22"/>
        <v>0</v>
      </c>
      <c r="X183" s="441">
        <f t="shared" si="22"/>
        <v>0</v>
      </c>
      <c r="Y183" s="441">
        <f t="shared" si="22"/>
        <v>38846.767999999996</v>
      </c>
      <c r="Z183" s="441">
        <f t="shared" si="22"/>
        <v>0</v>
      </c>
      <c r="AA183" s="441">
        <f t="shared" si="22"/>
        <v>0</v>
      </c>
      <c r="AB183" s="441">
        <f t="shared" si="22"/>
        <v>22399.232</v>
      </c>
      <c r="AC183" s="441">
        <f t="shared" si="22"/>
        <v>0</v>
      </c>
      <c r="AD183" s="441">
        <f t="shared" si="22"/>
        <v>0</v>
      </c>
      <c r="AE183" s="441">
        <f t="shared" si="22"/>
        <v>0</v>
      </c>
      <c r="AF183" s="441">
        <f t="shared" si="22"/>
        <v>0</v>
      </c>
      <c r="AG183" s="441">
        <f t="shared" si="22"/>
        <v>0</v>
      </c>
      <c r="AH183" s="441">
        <f t="shared" si="22"/>
        <v>0</v>
      </c>
      <c r="AI183" s="441">
        <f t="shared" si="22"/>
        <v>0</v>
      </c>
      <c r="AJ183" s="441">
        <f t="shared" si="22"/>
        <v>0</v>
      </c>
      <c r="AK183" s="441">
        <f t="shared" si="22"/>
        <v>0</v>
      </c>
      <c r="AL183" s="441">
        <f t="shared" si="22"/>
        <v>0</v>
      </c>
      <c r="AM183" s="441">
        <f t="shared" si="22"/>
        <v>0</v>
      </c>
      <c r="AN183" s="441">
        <f t="shared" si="22"/>
        <v>0</v>
      </c>
      <c r="AO183" s="441">
        <f t="shared" si="22"/>
        <v>0</v>
      </c>
      <c r="AP183" s="441">
        <f t="shared" si="22"/>
        <v>0</v>
      </c>
      <c r="AQ183" s="441">
        <f t="shared" si="22"/>
        <v>0</v>
      </c>
      <c r="AR183" s="441">
        <f t="shared" si="22"/>
        <v>0</v>
      </c>
      <c r="AS183" s="441">
        <f t="shared" si="22"/>
        <v>0</v>
      </c>
      <c r="AT183" s="441">
        <f t="shared" si="22"/>
        <v>5304</v>
      </c>
      <c r="AU183" s="441">
        <f t="shared" si="22"/>
        <v>0</v>
      </c>
      <c r="AV183" s="441">
        <f t="shared" si="22"/>
        <v>0</v>
      </c>
      <c r="AW183" s="441">
        <f t="shared" si="22"/>
        <v>0</v>
      </c>
      <c r="AX183" s="441">
        <f t="shared" si="22"/>
        <v>0</v>
      </c>
      <c r="AY183" s="441">
        <f t="shared" si="22"/>
        <v>0</v>
      </c>
      <c r="AZ183" s="441">
        <f t="shared" si="22"/>
        <v>0</v>
      </c>
      <c r="BA183" s="441">
        <f t="shared" si="22"/>
        <v>0</v>
      </c>
      <c r="BB183" s="441">
        <f>SUM(T183:BA183)</f>
        <v>66550</v>
      </c>
    </row>
    <row r="184" spans="2:54" s="496" customFormat="1">
      <c r="B184" s="1323" t="s">
        <v>558</v>
      </c>
      <c r="C184" s="1324"/>
      <c r="D184" s="1324"/>
      <c r="E184" s="1324"/>
      <c r="F184" s="1324"/>
      <c r="G184" s="1325"/>
      <c r="H184" s="497">
        <f>H183-L167</f>
        <v>0</v>
      </c>
      <c r="I184" s="511"/>
      <c r="J184" s="512"/>
      <c r="K184" s="512"/>
      <c r="L184" s="513"/>
      <c r="M184" s="201"/>
      <c r="N184" s="201"/>
      <c r="O184" s="201"/>
      <c r="P184" s="201"/>
      <c r="Q184" s="514"/>
      <c r="R184" s="514"/>
      <c r="S184" s="201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1"/>
      <c r="AD184" s="201"/>
      <c r="AE184" s="201"/>
      <c r="AF184" s="201"/>
      <c r="AG184" s="201"/>
      <c r="AH184" s="201"/>
      <c r="AI184" s="201"/>
      <c r="AJ184" s="201"/>
      <c r="AK184" s="201"/>
      <c r="AL184" s="201"/>
      <c r="AM184" s="201"/>
      <c r="AN184" s="201"/>
      <c r="AO184" s="201"/>
      <c r="AP184" s="201"/>
      <c r="AQ184" s="201"/>
      <c r="AR184" s="201"/>
    </row>
    <row r="185" spans="2:54" s="496" customFormat="1">
      <c r="B185" s="1323" t="s">
        <v>559</v>
      </c>
      <c r="C185" s="1324"/>
      <c r="D185" s="1324"/>
      <c r="E185" s="1324"/>
      <c r="F185" s="1324"/>
      <c r="G185" s="1325"/>
      <c r="H185" s="532">
        <f>H182-H183</f>
        <v>0</v>
      </c>
      <c r="I185" s="209"/>
      <c r="J185" s="498"/>
      <c r="K185" s="498"/>
      <c r="L185" s="499"/>
      <c r="M185" s="201"/>
      <c r="N185" s="201"/>
      <c r="O185" s="201"/>
      <c r="P185" s="201"/>
      <c r="Q185" s="201"/>
      <c r="R185" s="201"/>
      <c r="S185" s="201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1"/>
      <c r="AD185" s="201"/>
      <c r="AE185" s="201"/>
      <c r="AF185" s="201"/>
      <c r="AG185" s="201"/>
      <c r="AH185" s="201"/>
      <c r="AI185" s="201"/>
      <c r="AJ185" s="201"/>
      <c r="AK185" s="201"/>
      <c r="AL185" s="201"/>
      <c r="AM185" s="201"/>
      <c r="AN185" s="201"/>
      <c r="AO185" s="201"/>
      <c r="AP185" s="201"/>
      <c r="AQ185" s="201"/>
      <c r="AR185" s="201"/>
    </row>
    <row r="186" spans="2:54">
      <c r="B186" s="1243" t="s">
        <v>560</v>
      </c>
      <c r="C186" s="1244"/>
      <c r="D186" s="1244"/>
      <c r="E186" s="1244"/>
      <c r="F186" s="1244"/>
      <c r="G186" s="1245"/>
      <c r="H186" s="421">
        <f>H185-12.722</f>
        <v>-12.722</v>
      </c>
      <c r="I186" s="52"/>
      <c r="J186" s="53"/>
      <c r="K186" s="53"/>
      <c r="L186" s="54"/>
      <c r="M186" s="32"/>
      <c r="N186" s="32"/>
      <c r="O186" s="32"/>
      <c r="P186" s="32"/>
      <c r="Q186" s="32"/>
      <c r="R186" s="32"/>
      <c r="S186" s="48"/>
      <c r="T186" s="48"/>
      <c r="U186" s="48"/>
      <c r="V186" s="48"/>
      <c r="W186" s="48"/>
      <c r="X186" s="48"/>
      <c r="Y186" s="48"/>
      <c r="Z186" s="48"/>
      <c r="AA186" s="48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</row>
    <row r="187" spans="2:54" s="2" customFormat="1" ht="13.8">
      <c r="I187" s="3"/>
      <c r="J187" s="4"/>
      <c r="K187" s="4"/>
      <c r="L187" s="5"/>
      <c r="O187" s="4"/>
      <c r="P187" s="9"/>
      <c r="Q187" s="9"/>
      <c r="R187" s="9"/>
      <c r="S187" s="9"/>
      <c r="T187" s="18"/>
      <c r="U187" s="18"/>
      <c r="V187" s="18"/>
      <c r="W187" s="18"/>
      <c r="X187" s="18"/>
      <c r="Y187" s="18"/>
      <c r="Z187" s="18"/>
      <c r="AA187" s="18"/>
      <c r="AB187" s="18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</row>
    <row r="190" spans="2:54" s="201" customFormat="1">
      <c r="B190" s="28" t="s">
        <v>126</v>
      </c>
      <c r="C190" s="28"/>
      <c r="D190" s="29"/>
      <c r="E190" s="30" t="s">
        <v>511</v>
      </c>
      <c r="F190" s="31" t="s">
        <v>2500</v>
      </c>
      <c r="G190" s="32"/>
      <c r="H190" s="33"/>
      <c r="I190" s="34"/>
      <c r="J190" s="35" t="s">
        <v>513</v>
      </c>
      <c r="K190" s="36" t="s">
        <v>511</v>
      </c>
      <c r="L190" s="37">
        <v>45182.875</v>
      </c>
      <c r="M190" s="32"/>
      <c r="N190" s="32"/>
      <c r="O190" s="206"/>
      <c r="P190" s="205"/>
      <c r="Q190" s="202"/>
      <c r="R190" s="204"/>
      <c r="S190" s="38"/>
      <c r="AB190" s="202"/>
      <c r="AC190" s="202"/>
      <c r="AD190" s="202"/>
      <c r="AE190" s="202"/>
      <c r="AF190" s="202"/>
    </row>
    <row r="191" spans="2:54" s="201" customFormat="1">
      <c r="B191" s="35" t="s">
        <v>514</v>
      </c>
      <c r="C191" s="35"/>
      <c r="D191" s="32"/>
      <c r="E191" s="36" t="s">
        <v>511</v>
      </c>
      <c r="F191" s="311" t="s">
        <v>2475</v>
      </c>
      <c r="G191" s="32"/>
      <c r="H191" s="33"/>
      <c r="I191" s="34"/>
      <c r="J191" s="35" t="s">
        <v>516</v>
      </c>
      <c r="K191" s="36" t="s">
        <v>511</v>
      </c>
      <c r="L191" s="306">
        <f>'VLU 2023 &amp; 2024'!$N$173</f>
        <v>45184.993055555555</v>
      </c>
      <c r="M191" s="32"/>
      <c r="N191" s="32"/>
      <c r="O191" s="206"/>
      <c r="P191" s="205"/>
      <c r="Q191" s="202"/>
      <c r="R191" s="204"/>
      <c r="S191" s="38"/>
      <c r="AB191" s="202"/>
      <c r="AC191" s="202"/>
      <c r="AD191" s="202"/>
      <c r="AE191" s="202"/>
      <c r="AF191" s="202"/>
    </row>
    <row r="192" spans="2:54" s="201" customFormat="1">
      <c r="B192" s="35" t="s">
        <v>517</v>
      </c>
      <c r="C192" s="35"/>
      <c r="D192" s="32"/>
      <c r="E192" s="36" t="s">
        <v>511</v>
      </c>
      <c r="F192" s="37">
        <v>45173.447916666664</v>
      </c>
      <c r="G192" s="32"/>
      <c r="H192" s="33"/>
      <c r="I192" s="34"/>
      <c r="J192" s="35" t="s">
        <v>518</v>
      </c>
      <c r="K192" s="36" t="s">
        <v>511</v>
      </c>
      <c r="L192" s="307">
        <v>68500</v>
      </c>
      <c r="M192" s="40" t="s">
        <v>519</v>
      </c>
      <c r="N192" s="40"/>
      <c r="O192" s="206"/>
      <c r="P192" s="205"/>
      <c r="Q192" s="202"/>
      <c r="R192" s="204"/>
      <c r="S192" s="38"/>
      <c r="AB192" s="202"/>
      <c r="AC192" s="202"/>
      <c r="AD192" s="202"/>
      <c r="AE192" s="202"/>
      <c r="AF192" s="202"/>
    </row>
    <row r="193" spans="2:53" s="201" customFormat="1">
      <c r="B193" s="35" t="s">
        <v>520</v>
      </c>
      <c r="C193" s="35"/>
      <c r="D193" s="32"/>
      <c r="E193" s="36" t="s">
        <v>511</v>
      </c>
      <c r="F193" s="37" t="s">
        <v>12</v>
      </c>
      <c r="G193" s="32"/>
      <c r="H193" s="33"/>
      <c r="I193" s="34"/>
      <c r="J193" s="35" t="s">
        <v>521</v>
      </c>
      <c r="K193" s="36" t="s">
        <v>511</v>
      </c>
      <c r="L193" s="41" t="s">
        <v>2501</v>
      </c>
      <c r="M193" s="32"/>
      <c r="N193" s="32"/>
      <c r="O193" s="206"/>
      <c r="P193" s="202"/>
      <c r="Q193" s="202"/>
      <c r="R193" s="204"/>
      <c r="S193" s="38"/>
      <c r="AB193" s="202"/>
      <c r="AC193" s="202"/>
      <c r="AD193" s="202"/>
      <c r="AE193" s="202"/>
      <c r="AF193" s="202"/>
    </row>
    <row r="194" spans="2:53" s="201" customFormat="1">
      <c r="B194" s="35" t="s">
        <v>523</v>
      </c>
      <c r="C194" s="35"/>
      <c r="D194" s="32"/>
      <c r="E194" s="36" t="s">
        <v>511</v>
      </c>
      <c r="F194" s="37" t="s">
        <v>32</v>
      </c>
      <c r="G194" s="32"/>
      <c r="H194" s="33"/>
      <c r="I194" s="34"/>
      <c r="J194" s="42" t="s">
        <v>524</v>
      </c>
      <c r="K194" s="36" t="s">
        <v>511</v>
      </c>
      <c r="L194" s="43" t="s">
        <v>11</v>
      </c>
      <c r="M194" s="44"/>
      <c r="N194" s="44"/>
      <c r="O194" s="206"/>
      <c r="P194" s="205"/>
      <c r="Q194" s="202"/>
      <c r="R194" s="204"/>
      <c r="S194" s="38"/>
      <c r="AB194" s="202"/>
      <c r="AC194" s="202"/>
      <c r="AD194" s="202"/>
      <c r="AE194" s="202"/>
      <c r="AF194" s="202"/>
    </row>
    <row r="195" spans="2:53" s="201" customFormat="1">
      <c r="B195" s="35" t="s">
        <v>2</v>
      </c>
      <c r="C195" s="35"/>
      <c r="D195" s="32"/>
      <c r="E195" s="36" t="s">
        <v>511</v>
      </c>
      <c r="F195" s="37" t="s">
        <v>14</v>
      </c>
      <c r="G195" s="32"/>
      <c r="H195" s="33"/>
      <c r="I195" s="45"/>
      <c r="J195" s="42"/>
      <c r="K195" s="36"/>
      <c r="L195" s="211"/>
      <c r="O195" s="42"/>
      <c r="P195" s="44"/>
      <c r="Q195" s="44"/>
      <c r="R195" s="44"/>
      <c r="S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</row>
    <row r="196" spans="2:53" s="201" customFormat="1">
      <c r="I196" s="45"/>
      <c r="J196" s="42"/>
      <c r="K196" s="42"/>
      <c r="L196" s="43"/>
      <c r="M196" s="44"/>
      <c r="N196" s="44"/>
      <c r="O196" s="42"/>
      <c r="P196" s="44"/>
      <c r="Q196" s="44"/>
      <c r="R196" s="44"/>
      <c r="S196" s="34"/>
      <c r="T196" s="1367" t="s">
        <v>87</v>
      </c>
      <c r="U196" s="1368"/>
      <c r="V196" s="1368"/>
      <c r="W196" s="1368"/>
      <c r="X196" s="1369"/>
      <c r="Y196" s="1367" t="s">
        <v>73</v>
      </c>
      <c r="Z196" s="1368"/>
      <c r="AA196" s="1369"/>
      <c r="AB196" s="1367" t="s">
        <v>74</v>
      </c>
      <c r="AC196" s="1369"/>
      <c r="AD196" s="423" t="s">
        <v>85</v>
      </c>
      <c r="AE196" s="423" t="s">
        <v>77</v>
      </c>
      <c r="AF196" s="1367" t="s">
        <v>525</v>
      </c>
      <c r="AG196" s="1368"/>
      <c r="AH196" s="1368"/>
      <c r="AI196" s="1368"/>
      <c r="AJ196" s="1368"/>
      <c r="AK196" s="1368"/>
      <c r="AL196" s="1368"/>
      <c r="AM196" s="1368"/>
      <c r="AN196" s="1368"/>
      <c r="AO196" s="1368"/>
      <c r="AP196" s="1368"/>
      <c r="AQ196" s="1368"/>
      <c r="AR196" s="1368"/>
      <c r="AS196" s="1368"/>
      <c r="AT196" s="1368"/>
      <c r="AU196" s="1368"/>
      <c r="AV196" s="1368"/>
      <c r="AW196" s="1368"/>
      <c r="AX196" s="1368"/>
      <c r="AY196" s="1368"/>
      <c r="AZ196" s="1368"/>
      <c r="BA196" s="1369"/>
    </row>
    <row r="197" spans="2:53" s="201" customFormat="1">
      <c r="B197" s="1266" t="s">
        <v>526</v>
      </c>
      <c r="C197" s="1267"/>
      <c r="D197" s="570" t="s">
        <v>527</v>
      </c>
      <c r="E197" s="570"/>
      <c r="F197" s="570" t="s">
        <v>528</v>
      </c>
      <c r="G197" s="570" t="s">
        <v>529</v>
      </c>
      <c r="H197" s="570" t="s">
        <v>530</v>
      </c>
      <c r="I197" s="570" t="s">
        <v>531</v>
      </c>
      <c r="J197" s="570" t="s">
        <v>532</v>
      </c>
      <c r="K197" s="570"/>
      <c r="L197" s="570" t="s">
        <v>130</v>
      </c>
      <c r="M197" s="570" t="s">
        <v>533</v>
      </c>
      <c r="N197" s="408" t="str">
        <f>"On time - "&amp;COUNTIF(N198:N210,"On time")&amp;" from "&amp;ROWS(N198:N210)-COUNTIF(N198:N210," ")</f>
        <v>On time - 0 from 13</v>
      </c>
      <c r="O197" s="46"/>
      <c r="P197" s="409" t="s">
        <v>534</v>
      </c>
      <c r="Q197" s="409" t="s">
        <v>535</v>
      </c>
      <c r="R197" s="409" t="s">
        <v>536</v>
      </c>
      <c r="S197" s="32"/>
      <c r="T197" s="424" t="s">
        <v>537</v>
      </c>
      <c r="U197" s="424" t="s">
        <v>538</v>
      </c>
      <c r="V197" s="424" t="s">
        <v>539</v>
      </c>
      <c r="W197" s="424" t="s">
        <v>540</v>
      </c>
      <c r="X197" s="424" t="s">
        <v>541</v>
      </c>
      <c r="Y197" s="424" t="s">
        <v>167</v>
      </c>
      <c r="Z197" s="424" t="s">
        <v>168</v>
      </c>
      <c r="AA197" s="424" t="s">
        <v>169</v>
      </c>
      <c r="AB197" s="424" t="s">
        <v>235</v>
      </c>
      <c r="AC197" s="424" t="s">
        <v>240</v>
      </c>
      <c r="AD197" s="423" t="s">
        <v>85</v>
      </c>
      <c r="AE197" s="424" t="s">
        <v>139</v>
      </c>
      <c r="AF197" s="424" t="s">
        <v>72</v>
      </c>
      <c r="AG197" s="424" t="s">
        <v>88</v>
      </c>
      <c r="AH197" s="424" t="s">
        <v>75</v>
      </c>
      <c r="AI197" s="424" t="s">
        <v>543</v>
      </c>
      <c r="AJ197" s="424" t="s">
        <v>78</v>
      </c>
      <c r="AK197" s="424" t="s">
        <v>76</v>
      </c>
      <c r="AL197" s="424" t="s">
        <v>544</v>
      </c>
      <c r="AM197" s="424" t="s">
        <v>545</v>
      </c>
      <c r="AN197" s="424" t="s">
        <v>86</v>
      </c>
      <c r="AO197" s="424" t="s">
        <v>83</v>
      </c>
      <c r="AP197" s="424" t="s">
        <v>84</v>
      </c>
      <c r="AQ197" s="424" t="s">
        <v>546</v>
      </c>
      <c r="AR197" s="424" t="s">
        <v>81</v>
      </c>
      <c r="AS197" s="424" t="s">
        <v>80</v>
      </c>
      <c r="AT197" s="424" t="s">
        <v>82</v>
      </c>
      <c r="AU197" s="424" t="s">
        <v>181</v>
      </c>
      <c r="AV197" s="424" t="s">
        <v>183</v>
      </c>
      <c r="AW197" s="424" t="s">
        <v>547</v>
      </c>
      <c r="AX197" s="424" t="s">
        <v>182</v>
      </c>
      <c r="AY197" s="424" t="s">
        <v>172</v>
      </c>
      <c r="AZ197" s="424" t="s">
        <v>173</v>
      </c>
      <c r="BA197" s="424" t="s">
        <v>184</v>
      </c>
    </row>
    <row r="198" spans="2:53" s="32" customFormat="1">
      <c r="B198" s="1250" t="s">
        <v>2502</v>
      </c>
      <c r="C198" s="1251"/>
      <c r="D198" s="411" t="s">
        <v>2455</v>
      </c>
      <c r="E198" s="411"/>
      <c r="F198" s="411" t="s">
        <v>422</v>
      </c>
      <c r="G198" s="411" t="s">
        <v>375</v>
      </c>
      <c r="H198" s="412">
        <v>2232.7289999999998</v>
      </c>
      <c r="I198" s="413" t="s">
        <v>494</v>
      </c>
      <c r="J198" s="414">
        <v>45176.479166666664</v>
      </c>
      <c r="K198" s="414"/>
      <c r="L198" s="414" t="s">
        <v>192</v>
      </c>
      <c r="M198" s="414" t="s">
        <v>192</v>
      </c>
      <c r="N198" s="413" t="str">
        <f>IF(ISBLANK(J198)," ",IF(J198&lt;$F$192,"On time",(IF(DAY(J198-$F$167)&lt;1,"On time",(IF(J198&gt;$F$167,"DELAY ( "&amp;DAY(J198-$F$167)&amp;" day "&amp;HOUR(J198-$F$167)&amp;" hour "&amp;MINUTE(J198-$F$167)&amp;" minute )","xxx"))))))</f>
        <v>DELAY ( 8 day 21 hour 30 minute )</v>
      </c>
      <c r="O198" s="51"/>
      <c r="P198" s="415" t="s">
        <v>551</v>
      </c>
      <c r="Q198" s="415" t="s">
        <v>551</v>
      </c>
      <c r="R198" s="415" t="s">
        <v>551</v>
      </c>
      <c r="T198" s="416"/>
      <c r="U198" s="416"/>
      <c r="V198" s="416"/>
      <c r="W198" s="416"/>
      <c r="X198" s="416"/>
      <c r="Y198" s="416">
        <f>H198</f>
        <v>2232.7289999999998</v>
      </c>
      <c r="Z198" s="416"/>
      <c r="AA198" s="416"/>
      <c r="AB198" s="416"/>
      <c r="AC198" s="416"/>
      <c r="AD198" s="416"/>
      <c r="AE198" s="416"/>
      <c r="AF198" s="416"/>
      <c r="AG198" s="416"/>
      <c r="AH198" s="416"/>
      <c r="AI198" s="416"/>
      <c r="AJ198" s="416"/>
      <c r="AK198" s="416"/>
      <c r="AL198" s="416"/>
      <c r="AM198" s="416"/>
      <c r="AN198" s="416"/>
      <c r="AO198" s="416"/>
      <c r="AP198" s="416"/>
      <c r="AQ198" s="416"/>
      <c r="AR198" s="416"/>
      <c r="AS198" s="416"/>
      <c r="AT198" s="416"/>
      <c r="AU198" s="416"/>
      <c r="AV198" s="416"/>
      <c r="AW198" s="416"/>
      <c r="AX198" s="416"/>
      <c r="AY198" s="416"/>
      <c r="AZ198" s="416"/>
      <c r="BA198" s="416"/>
    </row>
    <row r="199" spans="2:53" s="32" customFormat="1">
      <c r="B199" s="1254"/>
      <c r="C199" s="1255"/>
      <c r="D199" s="411" t="s">
        <v>2503</v>
      </c>
      <c r="E199" s="425"/>
      <c r="F199" s="411" t="s">
        <v>377</v>
      </c>
      <c r="G199" s="411" t="s">
        <v>378</v>
      </c>
      <c r="H199" s="412">
        <f>7413.271/2</f>
        <v>3706.6354999999999</v>
      </c>
      <c r="I199" s="1359" t="s">
        <v>240</v>
      </c>
      <c r="J199" s="1361">
        <v>45181.333333333336</v>
      </c>
      <c r="K199" s="414"/>
      <c r="L199" s="414" t="s">
        <v>192</v>
      </c>
      <c r="M199" s="414" t="s">
        <v>192</v>
      </c>
      <c r="N199" s="413" t="str">
        <f>IF(ISBLANK(J199)," ",IF(J199&lt;$F$192,"On time",(IF(DAY(J199-$F$167)&lt;1,"On time",(IF(J199&gt;$F$167,"DELAY ( "&amp;DAY(J199-$F$167)&amp;" day "&amp;HOUR(J199-$F$167)&amp;" hour "&amp;MINUTE(J199-$F$167)&amp;" minute )","xxx"))))))</f>
        <v>DELAY ( 13 day 18 hour 0 minute )</v>
      </c>
      <c r="O199" s="51"/>
      <c r="P199" s="415" t="s">
        <v>551</v>
      </c>
      <c r="Q199" s="415" t="s">
        <v>551</v>
      </c>
      <c r="R199" s="415" t="s">
        <v>551</v>
      </c>
      <c r="T199" s="416"/>
      <c r="U199" s="416"/>
      <c r="V199" s="416"/>
      <c r="W199" s="416"/>
      <c r="X199" s="416"/>
      <c r="Y199" s="416"/>
      <c r="Z199" s="416"/>
      <c r="AA199" s="416"/>
      <c r="AB199" s="416"/>
      <c r="AC199" s="416">
        <f>H199</f>
        <v>3706.6354999999999</v>
      </c>
      <c r="AD199" s="416"/>
      <c r="AE199" s="416"/>
      <c r="AF199" s="416"/>
      <c r="AG199" s="416"/>
      <c r="AH199" s="416"/>
      <c r="AI199" s="416"/>
      <c r="AJ199" s="416"/>
      <c r="AK199" s="416"/>
      <c r="AL199" s="416"/>
      <c r="AM199" s="416"/>
      <c r="AN199" s="416"/>
      <c r="AO199" s="416"/>
      <c r="AP199" s="416"/>
      <c r="AQ199" s="416"/>
      <c r="AR199" s="416"/>
      <c r="AS199" s="416"/>
      <c r="AT199" s="416"/>
      <c r="AU199" s="416"/>
      <c r="AV199" s="416"/>
      <c r="AW199" s="416"/>
      <c r="AX199" s="416"/>
      <c r="AY199" s="416"/>
      <c r="AZ199" s="416"/>
      <c r="BA199" s="416"/>
    </row>
    <row r="200" spans="2:53" s="500" customFormat="1">
      <c r="B200" s="1326" t="s">
        <v>656</v>
      </c>
      <c r="C200" s="1327"/>
      <c r="D200" s="501" t="s">
        <v>2503</v>
      </c>
      <c r="E200" s="502"/>
      <c r="F200" s="501" t="s">
        <v>377</v>
      </c>
      <c r="G200" s="501" t="s">
        <v>378</v>
      </c>
      <c r="H200" s="503">
        <f>H199</f>
        <v>3706.6354999999999</v>
      </c>
      <c r="I200" s="1360"/>
      <c r="J200" s="1362"/>
      <c r="K200" s="504"/>
      <c r="L200" s="414" t="s">
        <v>192</v>
      </c>
      <c r="M200" s="414" t="s">
        <v>192</v>
      </c>
      <c r="N200" s="413"/>
      <c r="O200" s="506"/>
      <c r="P200" s="507" t="s">
        <v>551</v>
      </c>
      <c r="Q200" s="507" t="s">
        <v>551</v>
      </c>
      <c r="R200" s="507" t="s">
        <v>551</v>
      </c>
      <c r="T200" s="508"/>
      <c r="U200" s="508"/>
      <c r="V200" s="508"/>
      <c r="W200" s="508"/>
      <c r="X200" s="508"/>
      <c r="Y200" s="508"/>
      <c r="Z200" s="508"/>
      <c r="AA200" s="508"/>
      <c r="AB200" s="508"/>
      <c r="AC200" s="508">
        <f>H200</f>
        <v>3706.6354999999999</v>
      </c>
      <c r="AD200" s="508"/>
      <c r="AE200" s="508"/>
      <c r="AF200" s="508"/>
      <c r="AG200" s="508"/>
      <c r="AH200" s="508"/>
      <c r="AI200" s="508"/>
      <c r="AJ200" s="508"/>
      <c r="AK200" s="508"/>
      <c r="AL200" s="508"/>
      <c r="AM200" s="508"/>
      <c r="AN200" s="508"/>
      <c r="AO200" s="508"/>
      <c r="AP200" s="508"/>
      <c r="AQ200" s="508"/>
      <c r="AR200" s="508"/>
      <c r="AS200" s="508"/>
      <c r="AT200" s="508"/>
      <c r="AU200" s="508"/>
      <c r="AV200" s="508"/>
      <c r="AW200" s="508"/>
      <c r="AX200" s="508"/>
      <c r="AY200" s="508"/>
      <c r="AZ200" s="508"/>
      <c r="BA200" s="508"/>
    </row>
    <row r="201" spans="2:53" s="500" customFormat="1">
      <c r="B201" s="1328"/>
      <c r="C201" s="1329"/>
      <c r="D201" s="501" t="s">
        <v>2504</v>
      </c>
      <c r="E201" s="501"/>
      <c r="F201" s="501" t="s">
        <v>406</v>
      </c>
      <c r="G201" s="501" t="s">
        <v>407</v>
      </c>
      <c r="H201" s="503">
        <v>7327.0370000000003</v>
      </c>
      <c r="I201" s="505" t="s">
        <v>835</v>
      </c>
      <c r="J201" s="504">
        <v>45181.378472222219</v>
      </c>
      <c r="K201" s="504"/>
      <c r="L201" s="414" t="s">
        <v>192</v>
      </c>
      <c r="M201" s="414" t="s">
        <v>192</v>
      </c>
      <c r="N201" s="413" t="str">
        <f>IF(ISBLANK(J201)," ",IF(J201&lt;$F$192,"On time",(IF(DAY(J201-$F$167)&lt;1,"On time",(IF(J201&gt;$F$167,"DELAY ( "&amp;DAY(J201-$F$167)&amp;" day "&amp;HOUR(J201-$F$167)&amp;" hour "&amp;MINUTE(J201-$F$167)&amp;" minute )","xxx"))))))</f>
        <v>DELAY ( 13 day 19 hour 5 minute )</v>
      </c>
      <c r="O201" s="506"/>
      <c r="P201" s="507" t="s">
        <v>551</v>
      </c>
      <c r="Q201" s="507" t="s">
        <v>551</v>
      </c>
      <c r="R201" s="507" t="s">
        <v>551</v>
      </c>
      <c r="T201" s="508"/>
      <c r="U201" s="508"/>
      <c r="V201" s="508"/>
      <c r="W201" s="508"/>
      <c r="X201" s="508"/>
      <c r="Y201" s="508"/>
      <c r="Z201" s="508">
        <f>H201</f>
        <v>7327.0370000000003</v>
      </c>
      <c r="AA201" s="508"/>
      <c r="AB201" s="508"/>
      <c r="AC201" s="508"/>
      <c r="AD201" s="508"/>
      <c r="AE201" s="508"/>
      <c r="AF201" s="508"/>
      <c r="AG201" s="508"/>
      <c r="AH201" s="508"/>
      <c r="AI201" s="508"/>
      <c r="AJ201" s="508"/>
      <c r="AK201" s="508"/>
      <c r="AL201" s="508"/>
      <c r="AM201" s="508"/>
      <c r="AN201" s="508"/>
      <c r="AO201" s="508"/>
      <c r="AP201" s="508"/>
      <c r="AQ201" s="508"/>
      <c r="AR201" s="508"/>
      <c r="AS201" s="508"/>
      <c r="AT201" s="508"/>
      <c r="AU201" s="508"/>
      <c r="AV201" s="508"/>
      <c r="AW201" s="508"/>
      <c r="AX201" s="508"/>
      <c r="AY201" s="508"/>
      <c r="AZ201" s="508"/>
      <c r="BA201" s="508"/>
    </row>
    <row r="202" spans="2:53" s="500" customFormat="1">
      <c r="B202" s="1326" t="s">
        <v>643</v>
      </c>
      <c r="C202" s="1327"/>
      <c r="D202" s="501" t="s">
        <v>2505</v>
      </c>
      <c r="E202" s="501"/>
      <c r="F202" s="501" t="s">
        <v>323</v>
      </c>
      <c r="G202" s="501" t="s">
        <v>324</v>
      </c>
      <c r="H202" s="503">
        <v>7439.1130000000003</v>
      </c>
      <c r="I202" s="505" t="s">
        <v>835</v>
      </c>
      <c r="J202" s="504">
        <v>45181.916666666664</v>
      </c>
      <c r="K202" s="504"/>
      <c r="L202" s="414" t="s">
        <v>192</v>
      </c>
      <c r="M202" s="414" t="s">
        <v>192</v>
      </c>
      <c r="N202" s="413" t="str">
        <f>IF(ISBLANK(J202)," ",IF(J202&lt;$F$192,"On time",(IF(DAY(J202-$F$167)&lt;1,"On time",(IF(J202&gt;$F$167,"DELAY ( "&amp;DAY(J202-$F$167)&amp;" day "&amp;HOUR(J202-$F$167)&amp;" hour "&amp;MINUTE(J202-$F$167)&amp;" minute )","xxx"))))))</f>
        <v>DELAY ( 14 day 8 hour 0 minute )</v>
      </c>
      <c r="O202" s="506"/>
      <c r="P202" s="507" t="s">
        <v>551</v>
      </c>
      <c r="Q202" s="507" t="s">
        <v>551</v>
      </c>
      <c r="R202" s="507" t="s">
        <v>551</v>
      </c>
      <c r="T202" s="508"/>
      <c r="U202" s="508"/>
      <c r="V202" s="508"/>
      <c r="W202" s="508"/>
      <c r="X202" s="508"/>
      <c r="Y202" s="508"/>
      <c r="Z202" s="508">
        <f>H202</f>
        <v>7439.1130000000003</v>
      </c>
      <c r="AA202" s="508"/>
      <c r="AB202" s="508"/>
      <c r="AC202" s="508"/>
      <c r="AD202" s="508"/>
      <c r="AE202" s="508"/>
      <c r="AF202" s="508"/>
      <c r="AG202" s="508"/>
      <c r="AH202" s="508"/>
      <c r="AI202" s="508"/>
      <c r="AJ202" s="508"/>
      <c r="AK202" s="508"/>
      <c r="AL202" s="508"/>
      <c r="AM202" s="508"/>
      <c r="AN202" s="508"/>
      <c r="AO202" s="508"/>
      <c r="AP202" s="508"/>
      <c r="AQ202" s="508"/>
      <c r="AR202" s="508"/>
      <c r="AS202" s="508"/>
      <c r="AT202" s="508"/>
      <c r="AU202" s="508"/>
      <c r="AV202" s="508"/>
      <c r="AW202" s="508"/>
      <c r="AX202" s="508"/>
      <c r="AY202" s="508"/>
      <c r="AZ202" s="508"/>
      <c r="BA202" s="508"/>
    </row>
    <row r="203" spans="2:53" s="500" customFormat="1" ht="14.4" customHeight="1">
      <c r="B203" s="1328"/>
      <c r="C203" s="1329"/>
      <c r="D203" s="501" t="s">
        <v>2506</v>
      </c>
      <c r="E203" s="502"/>
      <c r="F203" s="501" t="s">
        <v>1848</v>
      </c>
      <c r="G203" s="501" t="s">
        <v>350</v>
      </c>
      <c r="H203" s="503">
        <f>7210.228/2</f>
        <v>3605.114</v>
      </c>
      <c r="I203" s="1359" t="s">
        <v>240</v>
      </c>
      <c r="J203" s="1361">
        <v>45181.385416666664</v>
      </c>
      <c r="K203" s="504"/>
      <c r="L203" s="414" t="s">
        <v>192</v>
      </c>
      <c r="M203" s="414" t="s">
        <v>192</v>
      </c>
      <c r="N203" s="413" t="str">
        <f>IF(ISBLANK(J203)," ",IF(J203&lt;$F$192,"On time",(IF(DAY(J203-$F$167)&lt;1,"On time",(IF(J203&gt;$F$167,"DELAY ( "&amp;DAY(J203-$F$167)&amp;" day "&amp;HOUR(J203-$F$167)&amp;" hour "&amp;MINUTE(J203-$F$167)&amp;" minute )","xxx"))))))</f>
        <v>DELAY ( 13 day 19 hour 15 minute )</v>
      </c>
      <c r="O203" s="506"/>
      <c r="P203" s="507" t="s">
        <v>551</v>
      </c>
      <c r="Q203" s="507" t="s">
        <v>551</v>
      </c>
      <c r="R203" s="507" t="s">
        <v>551</v>
      </c>
      <c r="T203" s="508"/>
      <c r="U203" s="508"/>
      <c r="V203" s="508"/>
      <c r="W203" s="508"/>
      <c r="X203" s="508"/>
      <c r="Y203" s="508"/>
      <c r="Z203" s="508"/>
      <c r="AA203" s="508"/>
      <c r="AB203" s="508"/>
      <c r="AC203" s="508">
        <f>H203</f>
        <v>3605.114</v>
      </c>
      <c r="AD203" s="508"/>
      <c r="AE203" s="508"/>
      <c r="AF203" s="508"/>
      <c r="AG203" s="508"/>
      <c r="AH203" s="508"/>
      <c r="AI203" s="508"/>
      <c r="AJ203" s="508"/>
      <c r="AK203" s="508"/>
      <c r="AL203" s="508"/>
      <c r="AM203" s="508"/>
      <c r="AN203" s="508"/>
      <c r="AO203" s="508"/>
      <c r="AP203" s="508"/>
      <c r="AQ203" s="508"/>
      <c r="AR203" s="508"/>
      <c r="AS203" s="508"/>
      <c r="AT203" s="508"/>
      <c r="AU203" s="508"/>
      <c r="AV203" s="508"/>
      <c r="AW203" s="508"/>
      <c r="AX203" s="508"/>
      <c r="AY203" s="508"/>
      <c r="AZ203" s="508"/>
      <c r="BA203" s="508"/>
    </row>
    <row r="204" spans="2:53" s="500" customFormat="1" ht="14.4" customHeight="1">
      <c r="B204" s="1326" t="s">
        <v>644</v>
      </c>
      <c r="C204" s="1327"/>
      <c r="D204" s="501" t="s">
        <v>2506</v>
      </c>
      <c r="E204" s="502"/>
      <c r="F204" s="501" t="s">
        <v>1848</v>
      </c>
      <c r="G204" s="501" t="s">
        <v>350</v>
      </c>
      <c r="H204" s="503">
        <f>H203</f>
        <v>3605.114</v>
      </c>
      <c r="I204" s="1360"/>
      <c r="J204" s="1362"/>
      <c r="K204" s="504"/>
      <c r="L204" s="414" t="s">
        <v>192</v>
      </c>
      <c r="M204" s="414" t="s">
        <v>192</v>
      </c>
      <c r="N204" s="413"/>
      <c r="O204" s="506"/>
      <c r="P204" s="507" t="s">
        <v>551</v>
      </c>
      <c r="Q204" s="507" t="s">
        <v>551</v>
      </c>
      <c r="R204" s="507" t="s">
        <v>551</v>
      </c>
      <c r="T204" s="508"/>
      <c r="U204" s="508"/>
      <c r="V204" s="508"/>
      <c r="W204" s="508"/>
      <c r="X204" s="508"/>
      <c r="Y204" s="508"/>
      <c r="Z204" s="508"/>
      <c r="AA204" s="508"/>
      <c r="AB204" s="508"/>
      <c r="AC204" s="508">
        <f>H204</f>
        <v>3605.114</v>
      </c>
      <c r="AD204" s="508"/>
      <c r="AE204" s="508"/>
      <c r="AF204" s="508"/>
      <c r="AG204" s="508"/>
      <c r="AH204" s="508"/>
      <c r="AI204" s="508"/>
      <c r="AJ204" s="508"/>
      <c r="AK204" s="508"/>
      <c r="AL204" s="508"/>
      <c r="AM204" s="508"/>
      <c r="AN204" s="508"/>
      <c r="AO204" s="508"/>
      <c r="AP204" s="508"/>
      <c r="AQ204" s="508"/>
      <c r="AR204" s="508"/>
      <c r="AS204" s="508"/>
      <c r="AT204" s="508"/>
      <c r="AU204" s="508"/>
      <c r="AV204" s="508"/>
      <c r="AW204" s="508"/>
      <c r="AX204" s="508"/>
      <c r="AY204" s="508"/>
      <c r="AZ204" s="508"/>
      <c r="BA204" s="508"/>
    </row>
    <row r="205" spans="2:53" s="500" customFormat="1">
      <c r="B205" s="1328"/>
      <c r="C205" s="1329"/>
      <c r="D205" s="501" t="s">
        <v>2507</v>
      </c>
      <c r="E205" s="501"/>
      <c r="F205" s="501" t="s">
        <v>2207</v>
      </c>
      <c r="G205" s="501" t="s">
        <v>2208</v>
      </c>
      <c r="H205" s="503">
        <v>7469.8540000000003</v>
      </c>
      <c r="I205" s="505" t="s">
        <v>835</v>
      </c>
      <c r="J205" s="504">
        <v>45182.434027777781</v>
      </c>
      <c r="K205" s="504"/>
      <c r="L205" s="414" t="s">
        <v>192</v>
      </c>
      <c r="M205" s="414" t="s">
        <v>192</v>
      </c>
      <c r="N205" s="413" t="str">
        <f>IF(ISBLANK(J205)," ",IF(J205&lt;$F$192,"On time",(IF(DAY(J205-$F$167)&lt;1,"On time",(IF(J205&gt;$F$167,"DELAY ( "&amp;DAY(J205-$F$167)&amp;" day "&amp;HOUR(J205-$F$167)&amp;" hour "&amp;MINUTE(J205-$F$167)&amp;" minute )","xxx"))))))</f>
        <v>DELAY ( 14 day 20 hour 25 minute )</v>
      </c>
      <c r="O205" s="506"/>
      <c r="P205" s="507" t="s">
        <v>551</v>
      </c>
      <c r="Q205" s="507" t="s">
        <v>551</v>
      </c>
      <c r="R205" s="507" t="s">
        <v>551</v>
      </c>
      <c r="T205" s="508"/>
      <c r="U205" s="508"/>
      <c r="V205" s="508"/>
      <c r="W205" s="508"/>
      <c r="X205" s="508"/>
      <c r="Y205" s="508"/>
      <c r="Z205" s="508">
        <f>H205</f>
        <v>7469.8540000000003</v>
      </c>
      <c r="AA205" s="508"/>
      <c r="AB205" s="508"/>
      <c r="AC205" s="508"/>
      <c r="AD205" s="508"/>
      <c r="AE205" s="508"/>
      <c r="AF205" s="508"/>
      <c r="AG205" s="508"/>
      <c r="AH205" s="508"/>
      <c r="AI205" s="508"/>
      <c r="AJ205" s="508"/>
      <c r="AK205" s="508"/>
      <c r="AL205" s="508"/>
      <c r="AM205" s="508"/>
      <c r="AN205" s="508"/>
      <c r="AO205" s="508"/>
      <c r="AP205" s="508"/>
      <c r="AQ205" s="508"/>
      <c r="AR205" s="508"/>
      <c r="AS205" s="508"/>
      <c r="AT205" s="508"/>
      <c r="AU205" s="508"/>
      <c r="AV205" s="508"/>
      <c r="AW205" s="508"/>
      <c r="AX205" s="508"/>
      <c r="AY205" s="508"/>
      <c r="AZ205" s="508"/>
      <c r="BA205" s="508"/>
    </row>
    <row r="206" spans="2:53" s="201" customFormat="1">
      <c r="B206" s="1296" t="s">
        <v>1154</v>
      </c>
      <c r="C206" s="1297"/>
      <c r="D206" s="436" t="s">
        <v>2508</v>
      </c>
      <c r="E206" s="436"/>
      <c r="F206" s="436" t="s">
        <v>301</v>
      </c>
      <c r="G206" s="436" t="s">
        <v>302</v>
      </c>
      <c r="H206" s="437">
        <v>9027.3459999999995</v>
      </c>
      <c r="I206" s="438" t="s">
        <v>835</v>
      </c>
      <c r="J206" s="439">
        <v>45182.350694444445</v>
      </c>
      <c r="K206" s="439"/>
      <c r="L206" s="414" t="s">
        <v>192</v>
      </c>
      <c r="M206" s="414" t="s">
        <v>192</v>
      </c>
      <c r="N206" s="413" t="str">
        <f>IF(ISBLANK(J206)," ",IF(J206&lt;$F$192,"On time",(IF(DAY(J206-$F$167)&lt;1,"On time",(IF(J206&gt;$F$167,"DELAY ( "&amp;DAY(J206-$F$167)&amp;" day "&amp;HOUR(J206-$F$167)&amp;" hour "&amp;MINUTE(J206-$F$167)&amp;" minute )","xxx"))))))</f>
        <v>DELAY ( 14 day 18 hour 25 minute )</v>
      </c>
      <c r="O206" s="308"/>
      <c r="P206" s="440" t="s">
        <v>551</v>
      </c>
      <c r="Q206" s="440" t="s">
        <v>551</v>
      </c>
      <c r="R206" s="440" t="s">
        <v>551</v>
      </c>
      <c r="T206" s="441"/>
      <c r="U206" s="441"/>
      <c r="V206" s="441"/>
      <c r="W206" s="441"/>
      <c r="X206" s="441"/>
      <c r="Y206" s="441"/>
      <c r="Z206" s="441">
        <f>H206</f>
        <v>9027.3459999999995</v>
      </c>
      <c r="AA206" s="441"/>
      <c r="AB206" s="441"/>
      <c r="AC206" s="441"/>
      <c r="AD206" s="441"/>
      <c r="AE206" s="441"/>
      <c r="AF206" s="441"/>
      <c r="AG206" s="441"/>
      <c r="AH206" s="441"/>
      <c r="AI206" s="441"/>
      <c r="AJ206" s="441"/>
      <c r="AK206" s="441"/>
      <c r="AL206" s="441"/>
      <c r="AM206" s="441"/>
      <c r="AN206" s="441"/>
      <c r="AO206" s="441"/>
      <c r="AP206" s="441"/>
      <c r="AQ206" s="441"/>
      <c r="AR206" s="441"/>
      <c r="AS206" s="441"/>
      <c r="AT206" s="441"/>
      <c r="AU206" s="441"/>
      <c r="AV206" s="441"/>
      <c r="AW206" s="441"/>
      <c r="AX206" s="441"/>
      <c r="AY206" s="441"/>
      <c r="AZ206" s="441"/>
      <c r="BA206" s="441"/>
    </row>
    <row r="207" spans="2:53" s="201" customFormat="1" ht="14.4" customHeight="1">
      <c r="B207" s="1298"/>
      <c r="C207" s="1299"/>
      <c r="D207" s="436" t="s">
        <v>2509</v>
      </c>
      <c r="E207" s="442"/>
      <c r="F207" s="436" t="s">
        <v>355</v>
      </c>
      <c r="G207" s="436" t="s">
        <v>356</v>
      </c>
      <c r="H207" s="437">
        <f>7564.94/2</f>
        <v>3782.47</v>
      </c>
      <c r="I207" s="1363" t="s">
        <v>240</v>
      </c>
      <c r="J207" s="1365">
        <v>45182.388888888891</v>
      </c>
      <c r="K207" s="439"/>
      <c r="L207" s="414" t="s">
        <v>192</v>
      </c>
      <c r="M207" s="414" t="s">
        <v>192</v>
      </c>
      <c r="N207" s="413" t="str">
        <f>IF(ISBLANK(J207)," ",IF(J207&lt;$F$192,"On time",(IF(DAY(J207-$F$167)&lt;1,"On time",(IF(J207&gt;$F$167,"DELAY ( "&amp;DAY(J207-$F$167)&amp;" day "&amp;HOUR(J207-$F$167)&amp;" hour "&amp;MINUTE(J207-$F$167)&amp;" minute )","xxx"))))))</f>
        <v>DELAY ( 14 day 19 hour 20 minute )</v>
      </c>
      <c r="O207" s="308"/>
      <c r="P207" s="440" t="s">
        <v>551</v>
      </c>
      <c r="Q207" s="440" t="s">
        <v>551</v>
      </c>
      <c r="R207" s="440" t="s">
        <v>551</v>
      </c>
      <c r="T207" s="441"/>
      <c r="U207" s="441"/>
      <c r="V207" s="441"/>
      <c r="W207" s="441"/>
      <c r="X207" s="441"/>
      <c r="Y207" s="441"/>
      <c r="Z207" s="441"/>
      <c r="AA207" s="441"/>
      <c r="AB207" s="441"/>
      <c r="AC207" s="441">
        <f>H207</f>
        <v>3782.47</v>
      </c>
      <c r="AD207" s="441"/>
      <c r="AE207" s="441"/>
      <c r="AF207" s="441"/>
      <c r="AG207" s="441"/>
      <c r="AH207" s="441"/>
      <c r="AI207" s="441"/>
      <c r="AJ207" s="441"/>
      <c r="AK207" s="441"/>
      <c r="AL207" s="441"/>
      <c r="AM207" s="441"/>
      <c r="AN207" s="441"/>
      <c r="AO207" s="441"/>
      <c r="AP207" s="441"/>
      <c r="AQ207" s="441"/>
      <c r="AR207" s="441"/>
      <c r="AS207" s="441"/>
      <c r="AT207" s="441"/>
      <c r="AU207" s="441"/>
      <c r="AV207" s="441"/>
      <c r="AW207" s="441"/>
      <c r="AX207" s="441"/>
      <c r="AY207" s="441"/>
      <c r="AZ207" s="441"/>
      <c r="BA207" s="441"/>
    </row>
    <row r="208" spans="2:53" s="201" customFormat="1" ht="14.4" customHeight="1">
      <c r="B208" s="1296" t="s">
        <v>652</v>
      </c>
      <c r="C208" s="1297"/>
      <c r="D208" s="436" t="s">
        <v>2509</v>
      </c>
      <c r="E208" s="442"/>
      <c r="F208" s="436" t="s">
        <v>355</v>
      </c>
      <c r="G208" s="436" t="s">
        <v>356</v>
      </c>
      <c r="H208" s="437">
        <f>H207</f>
        <v>3782.47</v>
      </c>
      <c r="I208" s="1364"/>
      <c r="J208" s="1366"/>
      <c r="K208" s="439"/>
      <c r="L208" s="414" t="s">
        <v>192</v>
      </c>
      <c r="M208" s="414" t="s">
        <v>192</v>
      </c>
      <c r="N208" s="413"/>
      <c r="O208" s="308"/>
      <c r="P208" s="440" t="s">
        <v>551</v>
      </c>
      <c r="Q208" s="440" t="s">
        <v>551</v>
      </c>
      <c r="R208" s="440" t="s">
        <v>551</v>
      </c>
      <c r="T208" s="441"/>
      <c r="U208" s="441"/>
      <c r="V208" s="441"/>
      <c r="W208" s="441"/>
      <c r="X208" s="441"/>
      <c r="Y208" s="441"/>
      <c r="Z208" s="441"/>
      <c r="AA208" s="441"/>
      <c r="AB208" s="441"/>
      <c r="AC208" s="441">
        <f>H208</f>
        <v>3782.47</v>
      </c>
      <c r="AD208" s="441"/>
      <c r="AE208" s="441"/>
      <c r="AF208" s="441"/>
      <c r="AG208" s="441"/>
      <c r="AH208" s="441"/>
      <c r="AI208" s="441"/>
      <c r="AJ208" s="441"/>
      <c r="AK208" s="441"/>
      <c r="AL208" s="441"/>
      <c r="AM208" s="441"/>
      <c r="AN208" s="441"/>
      <c r="AO208" s="441"/>
      <c r="AP208" s="441"/>
      <c r="AQ208" s="441"/>
      <c r="AR208" s="441"/>
      <c r="AS208" s="441"/>
      <c r="AT208" s="441"/>
      <c r="AU208" s="441"/>
      <c r="AV208" s="441"/>
      <c r="AW208" s="441"/>
      <c r="AX208" s="441"/>
      <c r="AY208" s="441"/>
      <c r="AZ208" s="441"/>
      <c r="BA208" s="441"/>
    </row>
    <row r="209" spans="2:54" s="201" customFormat="1" ht="13.95" customHeight="1">
      <c r="B209" s="1298"/>
      <c r="C209" s="1299"/>
      <c r="D209" s="436" t="s">
        <v>2510</v>
      </c>
      <c r="E209" s="436"/>
      <c r="F209" s="436" t="s">
        <v>352</v>
      </c>
      <c r="G209" s="436" t="s">
        <v>353</v>
      </c>
      <c r="H209" s="437">
        <v>9012.1350000000002</v>
      </c>
      <c r="I209" s="438" t="s">
        <v>835</v>
      </c>
      <c r="J209" s="439">
        <v>45182.375</v>
      </c>
      <c r="K209" s="439"/>
      <c r="L209" s="414" t="s">
        <v>192</v>
      </c>
      <c r="M209" s="414" t="s">
        <v>192</v>
      </c>
      <c r="N209" s="413" t="str">
        <f>IF(ISBLANK(J209)," ",IF(J209&lt;$F$192,"On time",(IF(DAY(J209-$F$167)&lt;1,"On time",(IF(J209&gt;$F$167,"DELAY ( "&amp;DAY(J209-$F$167)&amp;" day "&amp;HOUR(J209-$F$167)&amp;" hour "&amp;MINUTE(J209-$F$167)&amp;" minute )","xxx"))))))</f>
        <v>DELAY ( 14 day 19 hour 0 minute )</v>
      </c>
      <c r="O209" s="308"/>
      <c r="P209" s="440" t="s">
        <v>551</v>
      </c>
      <c r="Q209" s="440" t="s">
        <v>551</v>
      </c>
      <c r="R209" s="440" t="s">
        <v>551</v>
      </c>
      <c r="T209" s="441"/>
      <c r="U209" s="441"/>
      <c r="V209" s="441"/>
      <c r="W209" s="441"/>
      <c r="X209" s="441"/>
      <c r="Y209" s="441"/>
      <c r="Z209" s="441">
        <f>H209</f>
        <v>9012.1350000000002</v>
      </c>
      <c r="AA209" s="441"/>
      <c r="AB209" s="441"/>
      <c r="AC209" s="441"/>
      <c r="AD209" s="441"/>
      <c r="AE209" s="441"/>
      <c r="AF209" s="441"/>
      <c r="AG209" s="441"/>
      <c r="AH209" s="441"/>
      <c r="AI209" s="441"/>
      <c r="AJ209" s="441"/>
      <c r="AK209" s="441"/>
      <c r="AL209" s="441"/>
      <c r="AM209" s="441"/>
      <c r="AN209" s="441"/>
      <c r="AO209" s="441"/>
      <c r="AP209" s="441"/>
      <c r="AQ209" s="441"/>
      <c r="AR209" s="441"/>
      <c r="AS209" s="441"/>
      <c r="AT209" s="441"/>
      <c r="AU209" s="441"/>
      <c r="AV209" s="441"/>
      <c r="AW209" s="441"/>
      <c r="AX209" s="441"/>
      <c r="AY209" s="441"/>
      <c r="AZ209" s="441"/>
      <c r="BA209" s="441"/>
    </row>
    <row r="210" spans="2:54" s="201" customFormat="1">
      <c r="B210" s="1294" t="s">
        <v>548</v>
      </c>
      <c r="C210" s="1295"/>
      <c r="D210" s="436" t="s">
        <v>2511</v>
      </c>
      <c r="E210" s="436"/>
      <c r="F210" s="436" t="s">
        <v>277</v>
      </c>
      <c r="G210" s="436" t="s">
        <v>278</v>
      </c>
      <c r="H210" s="437">
        <f>7628.012-3824.66500000001</f>
        <v>3803.3469999999897</v>
      </c>
      <c r="I210" s="438" t="s">
        <v>501</v>
      </c>
      <c r="J210" s="439">
        <v>45182.625</v>
      </c>
      <c r="K210" s="439"/>
      <c r="L210" s="414" t="s">
        <v>192</v>
      </c>
      <c r="M210" s="414" t="s">
        <v>192</v>
      </c>
      <c r="N210" s="413" t="str">
        <f>IF(ISBLANK(J210)," ",IF(J210&lt;$F$192,"On time",(IF(DAY(J210-$F$167)&lt;1,"On time",(IF(J210&gt;$F$167,"DELAY ( "&amp;DAY(J210-$F$167)&amp;" day "&amp;HOUR(J210-$F$167)&amp;" hour "&amp;MINUTE(J210-$F$167)&amp;" minute )","xxx"))))))</f>
        <v>DELAY ( 15 day 1 hour 0 minute )</v>
      </c>
      <c r="O210" s="308"/>
      <c r="P210" s="440" t="s">
        <v>551</v>
      </c>
      <c r="Q210" s="440" t="s">
        <v>551</v>
      </c>
      <c r="R210" s="440" t="s">
        <v>551</v>
      </c>
      <c r="T210" s="441"/>
      <c r="U210" s="441"/>
      <c r="V210" s="441"/>
      <c r="W210" s="441"/>
      <c r="X210" s="441"/>
      <c r="Y210" s="441">
        <f>(H210*0.45)-(H214*0.45)</f>
        <v>346.36634999999546</v>
      </c>
      <c r="Z210" s="441">
        <f>(H210*0.55)-(H214*0.55)</f>
        <v>423.33664999999451</v>
      </c>
      <c r="AA210" s="441"/>
      <c r="AB210" s="441"/>
      <c r="AC210" s="441"/>
      <c r="AD210" s="441"/>
      <c r="AE210" s="441"/>
      <c r="AF210" s="441"/>
      <c r="AG210" s="441"/>
      <c r="AH210" s="441"/>
      <c r="AI210" s="441"/>
      <c r="AJ210" s="441"/>
      <c r="AK210" s="441"/>
      <c r="AL210" s="441"/>
      <c r="AM210" s="441"/>
      <c r="AN210" s="441"/>
      <c r="AO210" s="441"/>
      <c r="AP210" s="441"/>
      <c r="AQ210" s="441"/>
      <c r="AR210" s="441"/>
      <c r="AS210" s="441"/>
      <c r="AT210" s="441"/>
      <c r="AU210" s="441"/>
      <c r="AV210" s="441"/>
      <c r="AW210" s="441"/>
      <c r="AX210" s="441"/>
      <c r="AY210" s="441"/>
      <c r="AZ210" s="441"/>
      <c r="BA210" s="441"/>
    </row>
    <row r="211" spans="2:54" ht="13.2" customHeight="1">
      <c r="B211" s="1258" t="s">
        <v>556</v>
      </c>
      <c r="C211" s="1259"/>
      <c r="D211" s="1259"/>
      <c r="E211" s="1259"/>
      <c r="F211" s="1259"/>
      <c r="G211" s="1260"/>
      <c r="H211" s="417">
        <f>SUM(H198:H210)</f>
        <v>68500</v>
      </c>
      <c r="I211" s="388"/>
      <c r="J211" s="293"/>
      <c r="K211" s="293"/>
      <c r="L211" s="293"/>
      <c r="M211" s="389"/>
      <c r="N211" s="413" t="str">
        <f>IF(ISBLANK(J211)," ",IF(J211&lt;$F$192,"On time",(IF(DAY(J211-$F$192)&lt;1,"On time",(IF(J211&gt;$F$192,"DELAY ( "&amp;DAY(J211-$F$192)&amp;" day "&amp;HOUR(J211-$F$192)&amp;" hour "&amp;MINUTE(J211-$F$336)&amp;" minute )","xxx"))))))</f>
        <v xml:space="preserve"> </v>
      </c>
      <c r="O211" s="212"/>
      <c r="P211" s="418"/>
      <c r="Q211" s="418"/>
      <c r="R211" s="418"/>
      <c r="S211" s="207"/>
      <c r="T211" s="1300"/>
      <c r="U211" s="1301"/>
      <c r="V211" s="1301"/>
      <c r="W211" s="1301"/>
      <c r="X211" s="1301"/>
      <c r="Y211" s="1301"/>
      <c r="Z211" s="1301"/>
      <c r="AA211" s="1301"/>
      <c r="AB211" s="1301"/>
      <c r="AC211" s="1301"/>
      <c r="AD211" s="1301"/>
      <c r="AE211" s="1301"/>
      <c r="AF211" s="1301"/>
      <c r="AG211" s="1301"/>
      <c r="AH211" s="1301"/>
      <c r="AI211" s="1301"/>
      <c r="AJ211" s="1301"/>
      <c r="AK211" s="1301"/>
      <c r="AL211" s="1301"/>
      <c r="AM211" s="1301"/>
      <c r="AN211" s="1301"/>
      <c r="AO211" s="1301"/>
      <c r="AP211" s="1301"/>
      <c r="AQ211" s="1301"/>
      <c r="AR211" s="1301"/>
      <c r="AS211" s="1301"/>
      <c r="AT211" s="1301"/>
      <c r="AU211" s="1301"/>
      <c r="AV211" s="1301"/>
      <c r="AW211" s="1301"/>
      <c r="AX211" s="1301"/>
      <c r="AY211" s="1301"/>
      <c r="AZ211" s="1301"/>
      <c r="BA211" s="1301"/>
    </row>
    <row r="212" spans="2:54" s="496" customFormat="1">
      <c r="B212" s="1323" t="s">
        <v>557</v>
      </c>
      <c r="C212" s="1324"/>
      <c r="D212" s="1324"/>
      <c r="E212" s="1324"/>
      <c r="F212" s="1324"/>
      <c r="G212" s="1325"/>
      <c r="H212" s="509">
        <v>68500</v>
      </c>
      <c r="I212" s="1356"/>
      <c r="J212" s="1357"/>
      <c r="K212" s="1357"/>
      <c r="L212" s="1357"/>
      <c r="M212" s="1358"/>
      <c r="N212" s="413" t="str">
        <f>IF(ISBLANK(J212)," ",IF(J212&lt;$F$192,"On time",(IF(DAY(J212-$F$192)&lt;1,"On time",(IF(J212&gt;$F$192,"DELAY ( "&amp;DAY(J212-$F$192)&amp;" day "&amp;HOUR(J212-$F$192)&amp;" hour "&amp;MINUTE(J212-$F$336)&amp;" minute )","xxx"))))))</f>
        <v xml:space="preserve"> </v>
      </c>
      <c r="O212" s="201"/>
      <c r="P212" s="440"/>
      <c r="Q212" s="440"/>
      <c r="R212" s="440"/>
      <c r="S212" s="510"/>
      <c r="T212" s="441">
        <f t="shared" ref="T212:BA212" si="23">SUM(T198:T210)</f>
        <v>0</v>
      </c>
      <c r="U212" s="441">
        <f t="shared" si="23"/>
        <v>0</v>
      </c>
      <c r="V212" s="441">
        <f t="shared" si="23"/>
        <v>0</v>
      </c>
      <c r="W212" s="441">
        <f t="shared" si="23"/>
        <v>0</v>
      </c>
      <c r="X212" s="441">
        <f t="shared" si="23"/>
        <v>0</v>
      </c>
      <c r="Y212" s="441">
        <f t="shared" si="23"/>
        <v>2579.0953499999951</v>
      </c>
      <c r="Z212" s="441">
        <f t="shared" si="23"/>
        <v>40698.821649999998</v>
      </c>
      <c r="AA212" s="441">
        <f t="shared" si="23"/>
        <v>0</v>
      </c>
      <c r="AB212" s="441">
        <f t="shared" si="23"/>
        <v>0</v>
      </c>
      <c r="AC212" s="441">
        <f t="shared" si="23"/>
        <v>22188.439000000002</v>
      </c>
      <c r="AD212" s="441">
        <f t="shared" si="23"/>
        <v>0</v>
      </c>
      <c r="AE212" s="441">
        <f t="shared" si="23"/>
        <v>0</v>
      </c>
      <c r="AF212" s="441">
        <f t="shared" si="23"/>
        <v>0</v>
      </c>
      <c r="AG212" s="441">
        <f t="shared" si="23"/>
        <v>0</v>
      </c>
      <c r="AH212" s="441">
        <f t="shared" si="23"/>
        <v>0</v>
      </c>
      <c r="AI212" s="441">
        <f t="shared" si="23"/>
        <v>0</v>
      </c>
      <c r="AJ212" s="441">
        <f t="shared" si="23"/>
        <v>0</v>
      </c>
      <c r="AK212" s="441">
        <f t="shared" si="23"/>
        <v>0</v>
      </c>
      <c r="AL212" s="441">
        <f t="shared" si="23"/>
        <v>0</v>
      </c>
      <c r="AM212" s="441">
        <f t="shared" si="23"/>
        <v>0</v>
      </c>
      <c r="AN212" s="441">
        <f t="shared" si="23"/>
        <v>0</v>
      </c>
      <c r="AO212" s="441">
        <f t="shared" si="23"/>
        <v>0</v>
      </c>
      <c r="AP212" s="441">
        <f t="shared" si="23"/>
        <v>0</v>
      </c>
      <c r="AQ212" s="441">
        <f t="shared" si="23"/>
        <v>0</v>
      </c>
      <c r="AR212" s="441">
        <f t="shared" si="23"/>
        <v>0</v>
      </c>
      <c r="AS212" s="441">
        <f t="shared" si="23"/>
        <v>0</v>
      </c>
      <c r="AT212" s="441">
        <f t="shared" si="23"/>
        <v>0</v>
      </c>
      <c r="AU212" s="441">
        <f t="shared" si="23"/>
        <v>0</v>
      </c>
      <c r="AV212" s="441">
        <f t="shared" si="23"/>
        <v>0</v>
      </c>
      <c r="AW212" s="441">
        <f t="shared" si="23"/>
        <v>0</v>
      </c>
      <c r="AX212" s="441">
        <f t="shared" si="23"/>
        <v>0</v>
      </c>
      <c r="AY212" s="441">
        <f t="shared" si="23"/>
        <v>0</v>
      </c>
      <c r="AZ212" s="441">
        <f t="shared" si="23"/>
        <v>0</v>
      </c>
      <c r="BA212" s="441">
        <f t="shared" si="23"/>
        <v>0</v>
      </c>
      <c r="BB212" s="441">
        <f>SUM(T212:BA212)</f>
        <v>65466.356</v>
      </c>
    </row>
    <row r="213" spans="2:54" s="496" customFormat="1">
      <c r="B213" s="1323" t="s">
        <v>558</v>
      </c>
      <c r="C213" s="1324"/>
      <c r="D213" s="1324"/>
      <c r="E213" s="1324"/>
      <c r="F213" s="1324"/>
      <c r="G213" s="1325"/>
      <c r="H213" s="497">
        <f>H212-L192</f>
        <v>0</v>
      </c>
      <c r="I213" s="511"/>
      <c r="J213" s="512"/>
      <c r="K213" s="512"/>
      <c r="L213" s="513"/>
      <c r="M213" s="201"/>
      <c r="N213" s="201"/>
      <c r="O213" s="201"/>
      <c r="P213" s="201"/>
      <c r="Q213" s="514"/>
      <c r="R213" s="514"/>
      <c r="S213" s="201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1"/>
      <c r="AD213" s="201"/>
      <c r="AE213" s="201"/>
      <c r="AF213" s="201"/>
      <c r="AG213" s="201"/>
      <c r="AH213" s="201"/>
      <c r="AI213" s="201"/>
      <c r="AJ213" s="201"/>
      <c r="AK213" s="201"/>
      <c r="AL213" s="201"/>
      <c r="AM213" s="201"/>
      <c r="AN213" s="201"/>
      <c r="AO213" s="201"/>
      <c r="AP213" s="201"/>
      <c r="AQ213" s="201"/>
      <c r="AR213" s="201"/>
    </row>
    <row r="214" spans="2:54" s="496" customFormat="1">
      <c r="B214" s="1323" t="s">
        <v>559</v>
      </c>
      <c r="C214" s="1324"/>
      <c r="D214" s="1324"/>
      <c r="E214" s="1324"/>
      <c r="F214" s="1324"/>
      <c r="G214" s="1325"/>
      <c r="H214" s="515">
        <v>3033.6439999999998</v>
      </c>
      <c r="I214" s="209"/>
      <c r="J214" s="498"/>
      <c r="K214" s="498"/>
      <c r="L214" s="499"/>
      <c r="M214" s="201"/>
      <c r="N214" s="201"/>
      <c r="O214" s="201"/>
      <c r="P214" s="201"/>
      <c r="Q214" s="201"/>
      <c r="R214" s="201"/>
      <c r="S214" s="201"/>
      <c r="T214" s="202"/>
      <c r="U214" s="202"/>
      <c r="V214" s="202"/>
      <c r="W214" s="202"/>
      <c r="X214" s="202"/>
      <c r="Y214" s="202"/>
      <c r="Z214" s="202"/>
      <c r="AA214" s="202"/>
      <c r="AB214" s="202"/>
      <c r="AC214" s="201"/>
      <c r="AD214" s="201"/>
      <c r="AE214" s="201"/>
      <c r="AF214" s="201"/>
      <c r="AG214" s="201"/>
      <c r="AH214" s="201"/>
      <c r="AI214" s="201"/>
      <c r="AJ214" s="201"/>
      <c r="AK214" s="201"/>
      <c r="AL214" s="201"/>
      <c r="AM214" s="201"/>
      <c r="AN214" s="201"/>
      <c r="AO214" s="201"/>
      <c r="AP214" s="201"/>
      <c r="AQ214" s="201"/>
      <c r="AR214" s="201"/>
    </row>
    <row r="215" spans="2:54" s="496" customFormat="1">
      <c r="B215" s="1323" t="s">
        <v>560</v>
      </c>
      <c r="C215" s="1324"/>
      <c r="D215" s="1324"/>
      <c r="E215" s="1324"/>
      <c r="F215" s="1324"/>
      <c r="G215" s="1325"/>
      <c r="H215" s="421">
        <f>H214-3824.66500000001</f>
        <v>-791.02100000001019</v>
      </c>
      <c r="I215" s="209"/>
      <c r="J215" s="498"/>
      <c r="K215" s="498"/>
      <c r="L215" s="499"/>
      <c r="M215" s="201"/>
      <c r="N215" s="201"/>
      <c r="O215" s="201"/>
      <c r="P215" s="201"/>
      <c r="Q215" s="201"/>
      <c r="R215" s="201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1"/>
      <c r="AC215" s="201"/>
      <c r="AD215" s="201"/>
      <c r="AE215" s="201"/>
      <c r="AF215" s="201"/>
      <c r="AG215" s="201"/>
      <c r="AH215" s="201"/>
      <c r="AI215" s="201"/>
      <c r="AJ215" s="201"/>
      <c r="AK215" s="201"/>
      <c r="AL215" s="201"/>
      <c r="AM215" s="201"/>
      <c r="AN215" s="201"/>
      <c r="AO215" s="201"/>
      <c r="AP215" s="201"/>
      <c r="AQ215" s="201"/>
    </row>
    <row r="216" spans="2:54" s="201" customFormat="1">
      <c r="I216" s="213"/>
      <c r="J216" s="209"/>
      <c r="K216" s="209"/>
      <c r="L216" s="203"/>
      <c r="O216" s="209"/>
      <c r="P216" s="32"/>
      <c r="Q216" s="32"/>
      <c r="R216" s="32"/>
      <c r="S216" s="32"/>
      <c r="T216" s="48"/>
      <c r="U216" s="48"/>
      <c r="V216" s="48"/>
      <c r="W216" s="48"/>
      <c r="X216" s="48"/>
      <c r="Y216" s="48"/>
      <c r="Z216" s="48"/>
      <c r="AA216" s="48"/>
      <c r="AB216" s="48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</row>
    <row r="217" spans="2:54" s="201" customFormat="1">
      <c r="B217" s="40" t="s">
        <v>561</v>
      </c>
      <c r="C217" s="40"/>
      <c r="D217" s="32"/>
      <c r="E217" s="32"/>
      <c r="F217" s="32"/>
      <c r="G217" s="32"/>
      <c r="H217" s="32"/>
      <c r="I217" s="32"/>
      <c r="J217" s="52"/>
      <c r="K217" s="52"/>
      <c r="L217" s="203"/>
      <c r="O217" s="5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V217" s="39"/>
      <c r="AW217" s="39"/>
      <c r="AX217" s="39"/>
      <c r="AY217" s="39"/>
      <c r="AZ217" s="39"/>
      <c r="BA217" s="39"/>
    </row>
    <row r="218" spans="2:54" s="201" customFormat="1">
      <c r="B218" s="422">
        <v>1</v>
      </c>
      <c r="C218" s="1249" t="s">
        <v>2512</v>
      </c>
      <c r="D218" s="1249"/>
      <c r="E218" s="1249"/>
      <c r="F218" s="1249"/>
      <c r="G218" s="1249"/>
      <c r="H218" s="1249"/>
      <c r="I218" s="1249"/>
      <c r="J218" s="1249"/>
      <c r="K218" s="1249"/>
      <c r="L218" s="203"/>
      <c r="M218" s="203"/>
      <c r="O218" s="209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</row>
    <row r="220" spans="2:54">
      <c r="B220" s="28" t="s">
        <v>126</v>
      </c>
      <c r="C220" s="28"/>
      <c r="D220" s="29"/>
      <c r="E220" s="30" t="s">
        <v>511</v>
      </c>
      <c r="F220" s="31" t="s">
        <v>1283</v>
      </c>
      <c r="G220" s="32"/>
      <c r="H220" s="33"/>
      <c r="I220" s="34"/>
      <c r="J220" s="35" t="s">
        <v>513</v>
      </c>
      <c r="K220" s="36" t="s">
        <v>511</v>
      </c>
      <c r="L220" s="306">
        <f>'VLU 2023 &amp; 2024'!$M$174</f>
        <v>45185.145833333336</v>
      </c>
      <c r="M220" s="32"/>
      <c r="N220" s="32"/>
      <c r="O220" s="206"/>
      <c r="P220" s="205"/>
      <c r="Q220" s="202"/>
      <c r="R220" s="204"/>
      <c r="S220" s="38"/>
      <c r="T220" s="201"/>
      <c r="U220" s="201"/>
      <c r="V220" s="201"/>
      <c r="W220" s="201"/>
      <c r="X220" s="201"/>
      <c r="Y220" s="201"/>
      <c r="Z220" s="201"/>
      <c r="AA220" s="201"/>
      <c r="AB220" s="202"/>
      <c r="AC220" s="202"/>
      <c r="AD220" s="202"/>
      <c r="AE220" s="202"/>
      <c r="AF220" s="202"/>
      <c r="AG220" s="201"/>
      <c r="AH220" s="201"/>
      <c r="AI220" s="201"/>
      <c r="AJ220" s="201"/>
      <c r="AK220" s="201"/>
      <c r="AL220" s="201"/>
      <c r="AM220" s="201"/>
      <c r="AN220" s="201"/>
      <c r="AO220" s="201"/>
      <c r="AP220" s="201"/>
      <c r="AQ220" s="201"/>
      <c r="AR220" s="201"/>
      <c r="AS220" s="201"/>
      <c r="AT220" s="201"/>
      <c r="AU220" s="201"/>
      <c r="AV220" s="201"/>
      <c r="AW220" s="201"/>
      <c r="AX220" s="201"/>
      <c r="AY220" s="201"/>
      <c r="AZ220" s="201"/>
      <c r="BA220" s="201"/>
      <c r="BB220" s="201"/>
    </row>
    <row r="221" spans="2:54">
      <c r="B221" s="35" t="s">
        <v>514</v>
      </c>
      <c r="C221" s="35"/>
      <c r="D221" s="32"/>
      <c r="E221" s="36" t="s">
        <v>511</v>
      </c>
      <c r="F221" s="311" t="s">
        <v>2513</v>
      </c>
      <c r="G221" s="32"/>
      <c r="H221" s="33"/>
      <c r="I221" s="34"/>
      <c r="J221" s="35" t="s">
        <v>516</v>
      </c>
      <c r="K221" s="36" t="s">
        <v>511</v>
      </c>
      <c r="L221" s="516">
        <v>45186.902777777781</v>
      </c>
      <c r="M221" s="32"/>
      <c r="N221" s="32"/>
      <c r="O221" s="206"/>
      <c r="P221" s="205"/>
      <c r="Q221" s="202"/>
      <c r="R221" s="204"/>
      <c r="S221" s="38"/>
      <c r="T221" s="201"/>
      <c r="U221" s="201"/>
      <c r="V221" s="201"/>
      <c r="W221" s="201"/>
      <c r="X221" s="201"/>
      <c r="Y221" s="201"/>
      <c r="Z221" s="201"/>
      <c r="AA221" s="201"/>
      <c r="AB221" s="202"/>
      <c r="AC221" s="202"/>
      <c r="AD221" s="202"/>
      <c r="AE221" s="202"/>
      <c r="AF221" s="202"/>
      <c r="AG221" s="201"/>
      <c r="AH221" s="201"/>
      <c r="AI221" s="201"/>
      <c r="AJ221" s="201"/>
      <c r="AK221" s="201"/>
      <c r="AL221" s="201"/>
      <c r="AM221" s="201"/>
      <c r="AN221" s="201"/>
      <c r="AO221" s="201"/>
      <c r="AP221" s="201"/>
      <c r="AQ221" s="201"/>
      <c r="AR221" s="201"/>
      <c r="AS221" s="201"/>
      <c r="AT221" s="201"/>
      <c r="AU221" s="201"/>
      <c r="AV221" s="201"/>
      <c r="AW221" s="201"/>
      <c r="AX221" s="201"/>
      <c r="AY221" s="201"/>
      <c r="AZ221" s="201"/>
      <c r="BA221" s="201"/>
      <c r="BB221" s="201"/>
    </row>
    <row r="222" spans="2:54">
      <c r="B222" s="35" t="s">
        <v>517</v>
      </c>
      <c r="C222" s="35"/>
      <c r="D222" s="32"/>
      <c r="E222" s="36" t="s">
        <v>511</v>
      </c>
      <c r="F222" s="37">
        <v>45179.458333333336</v>
      </c>
      <c r="G222" s="32"/>
      <c r="H222" s="33"/>
      <c r="I222" s="34"/>
      <c r="J222" s="35" t="s">
        <v>518</v>
      </c>
      <c r="K222" s="36" t="s">
        <v>511</v>
      </c>
      <c r="L222" s="544">
        <v>53300</v>
      </c>
      <c r="M222" s="40" t="s">
        <v>519</v>
      </c>
      <c r="N222" s="40"/>
      <c r="O222" s="206"/>
      <c r="P222" s="205"/>
      <c r="Q222" s="202"/>
      <c r="R222" s="204"/>
      <c r="S222" s="38"/>
      <c r="T222" s="201"/>
      <c r="U222" s="201"/>
      <c r="V222" s="201"/>
      <c r="W222" s="201"/>
      <c r="X222" s="201"/>
      <c r="Y222" s="201"/>
      <c r="Z222" s="201"/>
      <c r="AA222" s="201"/>
      <c r="AB222" s="202"/>
      <c r="AC222" s="202"/>
      <c r="AD222" s="202"/>
      <c r="AE222" s="202"/>
      <c r="AF222" s="202"/>
      <c r="AG222" s="201"/>
      <c r="AH222" s="201"/>
      <c r="AI222" s="201"/>
      <c r="AJ222" s="201"/>
      <c r="AK222" s="201"/>
      <c r="AL222" s="201"/>
      <c r="AM222" s="201"/>
      <c r="AN222" s="201"/>
      <c r="AO222" s="201"/>
      <c r="AP222" s="201"/>
      <c r="AQ222" s="201"/>
      <c r="AR222" s="201"/>
      <c r="AS222" s="201"/>
      <c r="AT222" s="201"/>
      <c r="AU222" s="201"/>
      <c r="AV222" s="201"/>
      <c r="AW222" s="201"/>
      <c r="AX222" s="201"/>
      <c r="AY222" s="201"/>
      <c r="AZ222" s="201"/>
      <c r="BA222" s="201"/>
      <c r="BB222" s="201"/>
    </row>
    <row r="223" spans="2:54">
      <c r="B223" s="35" t="s">
        <v>520</v>
      </c>
      <c r="C223" s="35"/>
      <c r="D223" s="32"/>
      <c r="E223" s="36" t="s">
        <v>511</v>
      </c>
      <c r="F223" s="37" t="s">
        <v>12</v>
      </c>
      <c r="G223" s="32"/>
      <c r="H223" s="33"/>
      <c r="I223" s="34"/>
      <c r="J223" s="35" t="s">
        <v>521</v>
      </c>
      <c r="K223" s="36" t="s">
        <v>511</v>
      </c>
      <c r="L223" s="41" t="s">
        <v>2514</v>
      </c>
      <c r="M223" s="32"/>
      <c r="N223" s="32"/>
      <c r="O223" s="206"/>
      <c r="P223" s="202"/>
      <c r="Q223" s="202"/>
      <c r="R223" s="204"/>
      <c r="S223" s="38"/>
      <c r="T223" s="201"/>
      <c r="U223" s="201"/>
      <c r="V223" s="201"/>
      <c r="W223" s="201"/>
      <c r="X223" s="201"/>
      <c r="Y223" s="201"/>
      <c r="Z223" s="201"/>
      <c r="AA223" s="201"/>
      <c r="AB223" s="202"/>
      <c r="AC223" s="202"/>
      <c r="AD223" s="202"/>
      <c r="AE223" s="202"/>
      <c r="AF223" s="202"/>
      <c r="AG223" s="201"/>
      <c r="AH223" s="201"/>
      <c r="AI223" s="201"/>
      <c r="AJ223" s="201"/>
      <c r="AK223" s="201"/>
      <c r="AL223" s="201"/>
      <c r="AM223" s="201"/>
      <c r="AN223" s="201"/>
      <c r="AO223" s="201"/>
      <c r="AP223" s="201"/>
      <c r="AQ223" s="201"/>
      <c r="AR223" s="201"/>
      <c r="AS223" s="201"/>
      <c r="AT223" s="201"/>
      <c r="AU223" s="201"/>
      <c r="AV223" s="201"/>
      <c r="AW223" s="201"/>
      <c r="AX223" s="201"/>
      <c r="AY223" s="201"/>
      <c r="AZ223" s="201"/>
      <c r="BA223" s="201"/>
      <c r="BB223" s="201"/>
    </row>
    <row r="224" spans="2:54">
      <c r="B224" s="35" t="s">
        <v>523</v>
      </c>
      <c r="C224" s="35"/>
      <c r="D224" s="32"/>
      <c r="E224" s="36" t="s">
        <v>511</v>
      </c>
      <c r="F224" s="37" t="s">
        <v>37</v>
      </c>
      <c r="G224" s="32"/>
      <c r="H224" s="33"/>
      <c r="I224" s="34"/>
      <c r="J224" s="42" t="s">
        <v>524</v>
      </c>
      <c r="K224" s="36" t="s">
        <v>511</v>
      </c>
      <c r="L224" s="43" t="s">
        <v>15</v>
      </c>
      <c r="M224" s="44"/>
      <c r="N224" s="44"/>
      <c r="O224" s="206"/>
      <c r="P224" s="205"/>
      <c r="Q224" s="202"/>
      <c r="R224" s="204"/>
      <c r="S224" s="38"/>
      <c r="T224" s="201"/>
      <c r="U224" s="201"/>
      <c r="V224" s="201"/>
      <c r="W224" s="201"/>
      <c r="X224" s="201"/>
      <c r="Y224" s="201"/>
      <c r="Z224" s="201"/>
      <c r="AA224" s="201"/>
      <c r="AB224" s="202"/>
      <c r="AC224" s="202"/>
      <c r="AD224" s="202"/>
      <c r="AE224" s="202"/>
      <c r="AF224" s="202"/>
      <c r="AG224" s="201"/>
      <c r="AH224" s="201"/>
      <c r="AI224" s="201"/>
      <c r="AJ224" s="201"/>
      <c r="AK224" s="201"/>
      <c r="AL224" s="201"/>
      <c r="AM224" s="201"/>
      <c r="AN224" s="201"/>
      <c r="AO224" s="201"/>
      <c r="AP224" s="201"/>
      <c r="AQ224" s="201"/>
      <c r="AR224" s="201"/>
      <c r="AS224" s="201"/>
      <c r="AT224" s="201"/>
      <c r="AU224" s="201"/>
      <c r="AV224" s="201"/>
      <c r="AW224" s="201"/>
      <c r="AX224" s="201"/>
      <c r="AY224" s="201"/>
      <c r="AZ224" s="201"/>
      <c r="BA224" s="201"/>
      <c r="BB224" s="201"/>
    </row>
    <row r="225" spans="2:54">
      <c r="B225" s="35" t="s">
        <v>2</v>
      </c>
      <c r="C225" s="35"/>
      <c r="D225" s="32"/>
      <c r="E225" s="36" t="s">
        <v>511</v>
      </c>
      <c r="F225" s="37" t="s">
        <v>31</v>
      </c>
      <c r="G225" s="32"/>
      <c r="H225" s="33"/>
      <c r="I225" s="45"/>
      <c r="J225" s="42"/>
      <c r="K225" s="36"/>
      <c r="L225" s="211"/>
      <c r="M225" s="201"/>
      <c r="N225" s="201"/>
      <c r="O225" s="42"/>
      <c r="P225" s="44"/>
      <c r="Q225" s="44"/>
      <c r="R225" s="44"/>
      <c r="S225" s="34"/>
      <c r="T225" s="201"/>
      <c r="U225" s="201"/>
      <c r="V225" s="201"/>
      <c r="W225" s="201"/>
      <c r="X225" s="201"/>
      <c r="Y225" s="201"/>
      <c r="Z225" s="201"/>
      <c r="AA225" s="201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201"/>
      <c r="AP225" s="201"/>
      <c r="AQ225" s="201"/>
      <c r="AR225" s="201"/>
      <c r="AS225" s="201"/>
      <c r="AT225" s="201"/>
      <c r="AU225" s="201"/>
      <c r="AV225" s="201"/>
      <c r="AW225" s="201"/>
      <c r="AX225" s="201"/>
      <c r="AY225" s="201"/>
      <c r="AZ225" s="201"/>
      <c r="BA225" s="201"/>
      <c r="BB225" s="201"/>
    </row>
    <row r="226" spans="2:54">
      <c r="B226" s="201"/>
      <c r="C226" s="201"/>
      <c r="D226" s="201"/>
      <c r="E226" s="201"/>
      <c r="F226" s="201"/>
      <c r="G226" s="201"/>
      <c r="H226" s="201"/>
      <c r="I226" s="45"/>
      <c r="J226" s="42"/>
      <c r="K226" s="42"/>
      <c r="L226" s="43"/>
      <c r="M226" s="44"/>
      <c r="N226" s="44"/>
      <c r="O226" s="42"/>
      <c r="P226" s="44"/>
      <c r="Q226" s="44"/>
      <c r="R226" s="44"/>
      <c r="S226" s="34"/>
      <c r="T226" s="1265" t="s">
        <v>87</v>
      </c>
      <c r="U226" s="1265"/>
      <c r="V226" s="1265"/>
      <c r="W226" s="1265"/>
      <c r="X226" s="1265"/>
      <c r="Y226" s="1265" t="s">
        <v>73</v>
      </c>
      <c r="Z226" s="1265"/>
      <c r="AA226" s="1265"/>
      <c r="AB226" s="1265" t="s">
        <v>74</v>
      </c>
      <c r="AC226" s="1265"/>
      <c r="AD226" s="423" t="s">
        <v>85</v>
      </c>
      <c r="AE226" s="423" t="s">
        <v>77</v>
      </c>
      <c r="AF226" s="1265" t="s">
        <v>525</v>
      </c>
      <c r="AG226" s="1265"/>
      <c r="AH226" s="1265"/>
      <c r="AI226" s="1265"/>
      <c r="AJ226" s="1265"/>
      <c r="AK226" s="1265"/>
      <c r="AL226" s="1265"/>
      <c r="AM226" s="1265"/>
      <c r="AN226" s="1265"/>
      <c r="AO226" s="1265"/>
      <c r="AP226" s="1265"/>
      <c r="AQ226" s="1265"/>
      <c r="AR226" s="1265"/>
      <c r="AS226" s="1265"/>
      <c r="AT226" s="1265"/>
      <c r="AU226" s="1265"/>
      <c r="AV226" s="1265"/>
      <c r="AW226" s="1265"/>
      <c r="AX226" s="1265"/>
      <c r="AY226" s="1265"/>
      <c r="AZ226" s="1265"/>
      <c r="BA226" s="1265"/>
      <c r="BB226" s="201"/>
    </row>
    <row r="227" spans="2:54">
      <c r="B227" s="1266" t="s">
        <v>526</v>
      </c>
      <c r="C227" s="1267"/>
      <c r="D227" s="570" t="s">
        <v>527</v>
      </c>
      <c r="E227" s="570"/>
      <c r="F227" s="570" t="s">
        <v>528</v>
      </c>
      <c r="G227" s="570" t="s">
        <v>529</v>
      </c>
      <c r="H227" s="570" t="s">
        <v>530</v>
      </c>
      <c r="I227" s="570" t="s">
        <v>531</v>
      </c>
      <c r="J227" s="570" t="s">
        <v>532</v>
      </c>
      <c r="K227" s="570"/>
      <c r="L227" s="570" t="s">
        <v>130</v>
      </c>
      <c r="M227" s="570" t="s">
        <v>533</v>
      </c>
      <c r="N227" s="408" t="str">
        <f>"On time - "&amp;COUNTIF(N228:N239,"On time")&amp;" from "&amp;ROWS(N228:N239)-COUNTIF(N228:N239," ")</f>
        <v>On time - 0 from 10</v>
      </c>
      <c r="O227" s="46"/>
      <c r="P227" s="409" t="s">
        <v>534</v>
      </c>
      <c r="Q227" s="409" t="s">
        <v>535</v>
      </c>
      <c r="R227" s="409" t="s">
        <v>536</v>
      </c>
      <c r="S227" s="32"/>
      <c r="T227" s="424" t="s">
        <v>537</v>
      </c>
      <c r="U227" s="424" t="s">
        <v>538</v>
      </c>
      <c r="V227" s="424" t="s">
        <v>539</v>
      </c>
      <c r="W227" s="424" t="s">
        <v>540</v>
      </c>
      <c r="X227" s="424" t="s">
        <v>541</v>
      </c>
      <c r="Y227" s="424" t="s">
        <v>167</v>
      </c>
      <c r="Z227" s="424" t="s">
        <v>168</v>
      </c>
      <c r="AA227" s="424" t="s">
        <v>169</v>
      </c>
      <c r="AB227" s="424" t="s">
        <v>235</v>
      </c>
      <c r="AC227" s="424" t="s">
        <v>240</v>
      </c>
      <c r="AD227" s="423" t="s">
        <v>85</v>
      </c>
      <c r="AE227" s="424" t="s">
        <v>139</v>
      </c>
      <c r="AF227" s="424" t="s">
        <v>72</v>
      </c>
      <c r="AG227" s="424" t="s">
        <v>88</v>
      </c>
      <c r="AH227" s="424" t="s">
        <v>75</v>
      </c>
      <c r="AI227" s="424" t="s">
        <v>543</v>
      </c>
      <c r="AJ227" s="424" t="s">
        <v>78</v>
      </c>
      <c r="AK227" s="424" t="s">
        <v>76</v>
      </c>
      <c r="AL227" s="424" t="s">
        <v>544</v>
      </c>
      <c r="AM227" s="424" t="s">
        <v>545</v>
      </c>
      <c r="AN227" s="424" t="s">
        <v>86</v>
      </c>
      <c r="AO227" s="424" t="s">
        <v>83</v>
      </c>
      <c r="AP227" s="424" t="s">
        <v>84</v>
      </c>
      <c r="AQ227" s="424" t="s">
        <v>546</v>
      </c>
      <c r="AR227" s="424" t="s">
        <v>81</v>
      </c>
      <c r="AS227" s="424" t="s">
        <v>80</v>
      </c>
      <c r="AT227" s="424" t="s">
        <v>82</v>
      </c>
      <c r="AU227" s="424" t="s">
        <v>181</v>
      </c>
      <c r="AV227" s="424" t="s">
        <v>183</v>
      </c>
      <c r="AW227" s="424" t="s">
        <v>547</v>
      </c>
      <c r="AX227" s="424" t="s">
        <v>182</v>
      </c>
      <c r="AY227" s="424" t="s">
        <v>172</v>
      </c>
      <c r="AZ227" s="424" t="s">
        <v>173</v>
      </c>
      <c r="BA227" s="424" t="s">
        <v>184</v>
      </c>
      <c r="BB227" s="201"/>
    </row>
    <row r="228" spans="2:54">
      <c r="B228" s="1294" t="s">
        <v>548</v>
      </c>
      <c r="C228" s="1295"/>
      <c r="D228" s="436" t="s">
        <v>2472</v>
      </c>
      <c r="E228" s="436"/>
      <c r="F228" s="436" t="s">
        <v>284</v>
      </c>
      <c r="G228" s="436" t="s">
        <v>285</v>
      </c>
      <c r="H228" s="437">
        <f>830.27</f>
        <v>830.27</v>
      </c>
      <c r="I228" s="438" t="s">
        <v>235</v>
      </c>
      <c r="J228" s="439">
        <v>45181.444444444445</v>
      </c>
      <c r="K228" s="439"/>
      <c r="L228" s="439" t="s">
        <v>192</v>
      </c>
      <c r="M228" s="439" t="s">
        <v>192</v>
      </c>
      <c r="N228" s="438" t="str">
        <f t="shared" ref="N228:N239" si="24">IF(ISBLANK(J228)," ",IF(J228&lt;$F$222,"On time",(IF(DAY(J228-$F$222)&lt;1,"On time",(IF(J228&gt;$F$222,"DELAY ( "&amp;DAY(J228-$F$222)&amp;" day "&amp;HOUR(J228-$F$222)&amp;" hour "&amp;MINUTE(J228-$F$222)&amp;" minute )","xxx"))))))</f>
        <v>DELAY ( 1 day 23 hour 40 minute )</v>
      </c>
      <c r="O228" s="308"/>
      <c r="P228" s="440" t="s">
        <v>551</v>
      </c>
      <c r="Q228" s="440" t="s">
        <v>551</v>
      </c>
      <c r="R228" s="440" t="s">
        <v>551</v>
      </c>
      <c r="S228" s="201"/>
      <c r="T228" s="441"/>
      <c r="U228" s="441"/>
      <c r="V228" s="441"/>
      <c r="W228" s="441"/>
      <c r="X228" s="441"/>
      <c r="Y228" s="441"/>
      <c r="Z228" s="441"/>
      <c r="AA228" s="441"/>
      <c r="AB228" s="441">
        <f>H228</f>
        <v>830.27</v>
      </c>
      <c r="AC228" s="201"/>
      <c r="AD228" s="441"/>
      <c r="AE228" s="441"/>
      <c r="AF228" s="441"/>
      <c r="AG228" s="441"/>
      <c r="AH228" s="441"/>
      <c r="AI228" s="441"/>
      <c r="AJ228" s="441"/>
      <c r="AK228" s="441"/>
      <c r="AL228" s="441"/>
      <c r="AM228" s="441"/>
      <c r="AN228" s="441"/>
      <c r="AO228" s="441"/>
      <c r="AP228" s="441"/>
      <c r="AQ228" s="441"/>
      <c r="AR228" s="441"/>
      <c r="AS228" s="441"/>
      <c r="AT228" s="441"/>
      <c r="AU228" s="441"/>
      <c r="AV228" s="441"/>
      <c r="AW228" s="441"/>
      <c r="AX228" s="441"/>
      <c r="AY228" s="441"/>
      <c r="AZ228" s="441"/>
      <c r="BA228" s="441"/>
      <c r="BB228" s="201"/>
    </row>
    <row r="229" spans="2:54">
      <c r="B229" s="1294" t="s">
        <v>548</v>
      </c>
      <c r="C229" s="1295"/>
      <c r="D229" s="436" t="s">
        <v>2515</v>
      </c>
      <c r="E229" s="436"/>
      <c r="F229" s="436" t="s">
        <v>505</v>
      </c>
      <c r="G229" s="436" t="s">
        <v>340</v>
      </c>
      <c r="H229" s="437">
        <v>7553.5929999999998</v>
      </c>
      <c r="I229" s="438" t="s">
        <v>235</v>
      </c>
      <c r="J229" s="439">
        <v>45184.472222222219</v>
      </c>
      <c r="K229" s="439"/>
      <c r="L229" s="439" t="s">
        <v>192</v>
      </c>
      <c r="M229" s="439" t="s">
        <v>192</v>
      </c>
      <c r="N229" s="438" t="str">
        <f t="shared" si="24"/>
        <v>DELAY ( 5 day 0 hour 20 minute )</v>
      </c>
      <c r="O229" s="308"/>
      <c r="P229" s="440" t="s">
        <v>551</v>
      </c>
      <c r="Q229" s="440" t="s">
        <v>551</v>
      </c>
      <c r="R229" s="440" t="s">
        <v>551</v>
      </c>
      <c r="S229" s="201"/>
      <c r="T229" s="441"/>
      <c r="U229" s="441"/>
      <c r="V229" s="441"/>
      <c r="W229" s="441"/>
      <c r="X229" s="441"/>
      <c r="Y229" s="441"/>
      <c r="Z229" s="441"/>
      <c r="AA229" s="441"/>
      <c r="AB229" s="441">
        <f>H229</f>
        <v>7553.5929999999998</v>
      </c>
      <c r="AC229" s="441"/>
      <c r="AD229" s="441"/>
      <c r="AE229" s="441"/>
      <c r="AF229" s="441"/>
      <c r="AG229" s="441"/>
      <c r="AH229" s="441"/>
      <c r="AI229" s="441"/>
      <c r="AJ229" s="441"/>
      <c r="AK229" s="441"/>
      <c r="AL229" s="441"/>
      <c r="AM229" s="441"/>
      <c r="AN229" s="441"/>
      <c r="AO229" s="441"/>
      <c r="AP229" s="441"/>
      <c r="AQ229" s="441"/>
      <c r="AR229" s="441"/>
      <c r="AS229" s="441"/>
      <c r="AT229" s="441"/>
      <c r="AU229" s="441"/>
      <c r="AV229" s="441"/>
      <c r="AW229" s="441"/>
      <c r="AX229" s="441"/>
      <c r="AY229" s="441"/>
      <c r="AZ229" s="441"/>
      <c r="BA229" s="441"/>
      <c r="BB229" s="201"/>
    </row>
    <row r="230" spans="2:54">
      <c r="B230" s="1296" t="s">
        <v>2021</v>
      </c>
      <c r="C230" s="1297"/>
      <c r="D230" s="436" t="s">
        <v>2485</v>
      </c>
      <c r="E230" s="436"/>
      <c r="F230" s="436" t="s">
        <v>1313</v>
      </c>
      <c r="G230" s="436" t="s">
        <v>2486</v>
      </c>
      <c r="H230" s="437">
        <v>2103.0259999999998</v>
      </c>
      <c r="I230" s="438" t="s">
        <v>240</v>
      </c>
      <c r="J230" s="439">
        <v>45183.229166666664</v>
      </c>
      <c r="K230" s="439"/>
      <c r="L230" s="439" t="s">
        <v>192</v>
      </c>
      <c r="M230" s="439" t="s">
        <v>192</v>
      </c>
      <c r="N230" s="438" t="str">
        <f t="shared" si="24"/>
        <v>DELAY ( 3 day 18 hour 30 minute )</v>
      </c>
      <c r="O230" s="308"/>
      <c r="P230" s="440" t="s">
        <v>551</v>
      </c>
      <c r="Q230" s="440" t="s">
        <v>551</v>
      </c>
      <c r="R230" s="440" t="s">
        <v>551</v>
      </c>
      <c r="S230" s="201"/>
      <c r="T230" s="441"/>
      <c r="U230" s="441"/>
      <c r="V230" s="441"/>
      <c r="W230" s="441"/>
      <c r="X230" s="441"/>
      <c r="Y230" s="441"/>
      <c r="Z230" s="441"/>
      <c r="AA230" s="441"/>
      <c r="AB230" s="441"/>
      <c r="AC230" s="441">
        <f>H230</f>
        <v>2103.0259999999998</v>
      </c>
      <c r="AD230" s="441"/>
      <c r="AE230" s="441"/>
      <c r="AF230" s="441"/>
      <c r="AG230" s="441"/>
      <c r="AH230" s="441"/>
      <c r="AI230" s="441"/>
      <c r="AJ230" s="441"/>
      <c r="AK230" s="441"/>
      <c r="AL230" s="441"/>
      <c r="AM230" s="441"/>
      <c r="AN230" s="441"/>
      <c r="AO230" s="441"/>
      <c r="AP230" s="441"/>
      <c r="AQ230" s="441"/>
      <c r="AR230" s="441"/>
      <c r="AS230" s="441"/>
      <c r="AT230" s="441"/>
      <c r="AU230" s="441"/>
      <c r="AV230" s="441"/>
      <c r="AW230" s="441"/>
      <c r="AX230" s="441"/>
      <c r="AY230" s="441"/>
      <c r="AZ230" s="441"/>
      <c r="BA230" s="441"/>
      <c r="BB230" s="201"/>
    </row>
    <row r="231" spans="2:54">
      <c r="B231" s="1298"/>
      <c r="C231" s="1299"/>
      <c r="D231" s="436" t="s">
        <v>2516</v>
      </c>
      <c r="E231" s="436"/>
      <c r="F231" s="436" t="s">
        <v>1799</v>
      </c>
      <c r="G231" s="436" t="s">
        <v>2437</v>
      </c>
      <c r="H231" s="437">
        <v>7692.3990000000003</v>
      </c>
      <c r="I231" s="438" t="s">
        <v>235</v>
      </c>
      <c r="J231" s="439">
        <v>45183.395833333336</v>
      </c>
      <c r="K231" s="439"/>
      <c r="L231" s="439" t="s">
        <v>192</v>
      </c>
      <c r="M231" s="439" t="s">
        <v>192</v>
      </c>
      <c r="N231" s="438" t="str">
        <f t="shared" si="24"/>
        <v>DELAY ( 3 day 22 hour 30 minute )</v>
      </c>
      <c r="O231" s="308"/>
      <c r="P231" s="440" t="s">
        <v>551</v>
      </c>
      <c r="Q231" s="440" t="s">
        <v>551</v>
      </c>
      <c r="R231" s="440" t="s">
        <v>551</v>
      </c>
      <c r="S231" s="201"/>
      <c r="T231" s="441"/>
      <c r="U231" s="441"/>
      <c r="V231" s="441"/>
      <c r="W231" s="441"/>
      <c r="X231" s="441"/>
      <c r="Y231" s="441"/>
      <c r="Z231" s="441"/>
      <c r="AA231" s="441"/>
      <c r="AB231" s="441">
        <f>H231</f>
        <v>7692.3990000000003</v>
      </c>
      <c r="AC231" s="441"/>
      <c r="AD231" s="441"/>
      <c r="AE231" s="441"/>
      <c r="AF231" s="441"/>
      <c r="AG231" s="441"/>
      <c r="AH231" s="441"/>
      <c r="AI231" s="441"/>
      <c r="AJ231" s="441"/>
      <c r="AK231" s="441"/>
      <c r="AL231" s="441"/>
      <c r="AM231" s="441"/>
      <c r="AN231" s="441"/>
      <c r="AO231" s="441"/>
      <c r="AP231" s="441"/>
      <c r="AQ231" s="441"/>
      <c r="AR231" s="441"/>
      <c r="AS231" s="441"/>
      <c r="AT231" s="441"/>
      <c r="AU231" s="441"/>
      <c r="AV231" s="441"/>
      <c r="AW231" s="441"/>
      <c r="AX231" s="441"/>
      <c r="AY231" s="441"/>
      <c r="AZ231" s="441"/>
      <c r="BA231" s="441"/>
      <c r="BB231" s="201"/>
    </row>
    <row r="232" spans="2:54">
      <c r="B232" s="1326" t="s">
        <v>2123</v>
      </c>
      <c r="C232" s="1327"/>
      <c r="D232" s="501" t="s">
        <v>2517</v>
      </c>
      <c r="E232" s="501"/>
      <c r="F232" s="501" t="s">
        <v>2295</v>
      </c>
      <c r="G232" s="501" t="s">
        <v>2296</v>
      </c>
      <c r="H232" s="503">
        <v>10250.165999999999</v>
      </c>
      <c r="I232" s="505" t="s">
        <v>235</v>
      </c>
      <c r="J232" s="439">
        <v>45183.875</v>
      </c>
      <c r="K232" s="439"/>
      <c r="L232" s="439" t="s">
        <v>192</v>
      </c>
      <c r="M232" s="439" t="s">
        <v>192</v>
      </c>
      <c r="N232" s="438" t="str">
        <f t="shared" si="24"/>
        <v>DELAY ( 4 day 10 hour 0 minute )</v>
      </c>
      <c r="O232" s="308"/>
      <c r="P232" s="440" t="s">
        <v>551</v>
      </c>
      <c r="Q232" s="440" t="s">
        <v>551</v>
      </c>
      <c r="R232" s="440" t="s">
        <v>551</v>
      </c>
      <c r="S232" s="201"/>
      <c r="T232" s="441"/>
      <c r="U232" s="441"/>
      <c r="V232" s="441"/>
      <c r="W232" s="441"/>
      <c r="X232" s="441"/>
      <c r="Y232" s="441"/>
      <c r="Z232" s="441"/>
      <c r="AA232" s="441"/>
      <c r="AB232" s="441">
        <f>H232</f>
        <v>10250.165999999999</v>
      </c>
      <c r="AC232" s="441"/>
      <c r="AD232" s="441"/>
      <c r="AE232" s="441"/>
      <c r="AF232" s="441"/>
      <c r="AG232" s="441"/>
      <c r="AH232" s="441"/>
      <c r="AI232" s="441"/>
      <c r="AJ232" s="441"/>
      <c r="AK232" s="441"/>
      <c r="AL232" s="441"/>
      <c r="AM232" s="441"/>
      <c r="AN232" s="441"/>
      <c r="AO232" s="441"/>
      <c r="AP232" s="441"/>
      <c r="AQ232" s="441"/>
      <c r="AR232" s="441"/>
      <c r="AS232" s="441"/>
      <c r="AT232" s="441"/>
      <c r="AU232" s="441"/>
      <c r="AV232" s="441"/>
      <c r="AW232" s="441"/>
      <c r="AX232" s="441"/>
      <c r="AY232" s="441"/>
      <c r="AZ232" s="441"/>
      <c r="BA232" s="441"/>
      <c r="BB232" s="201"/>
    </row>
    <row r="233" spans="2:54">
      <c r="B233" s="1328"/>
      <c r="C233" s="1329"/>
      <c r="D233" s="501" t="s">
        <v>2518</v>
      </c>
      <c r="E233" s="502"/>
      <c r="F233" s="501" t="s">
        <v>226</v>
      </c>
      <c r="G233" s="501" t="s">
        <v>227</v>
      </c>
      <c r="H233" s="503">
        <f>7488.392/2</f>
        <v>3744.1959999999999</v>
      </c>
      <c r="I233" s="505" t="s">
        <v>240</v>
      </c>
      <c r="J233" s="574">
        <v>45183.375</v>
      </c>
      <c r="K233" s="431"/>
      <c r="L233" s="439" t="s">
        <v>192</v>
      </c>
      <c r="M233" s="439" t="s">
        <v>192</v>
      </c>
      <c r="N233" s="438" t="str">
        <f t="shared" si="24"/>
        <v>DELAY ( 3 day 22 hour 0 minute )</v>
      </c>
      <c r="O233" s="265"/>
      <c r="P233" s="440" t="s">
        <v>551</v>
      </c>
      <c r="Q233" s="440" t="s">
        <v>551</v>
      </c>
      <c r="R233" s="440" t="s">
        <v>551</v>
      </c>
      <c r="S233" s="32"/>
      <c r="T233" s="428"/>
      <c r="U233" s="428"/>
      <c r="V233" s="428"/>
      <c r="W233" s="428"/>
      <c r="X233" s="428"/>
      <c r="Y233" s="428"/>
      <c r="Z233" s="428"/>
      <c r="AA233" s="429"/>
      <c r="AB233" s="429"/>
      <c r="AC233" s="508">
        <f>H233</f>
        <v>3744.1959999999999</v>
      </c>
      <c r="AD233" s="428"/>
      <c r="AE233" s="428"/>
      <c r="AF233" s="428"/>
      <c r="AG233" s="428"/>
      <c r="AH233" s="428"/>
      <c r="AI233" s="428"/>
      <c r="AJ233" s="428"/>
      <c r="AK233" s="428"/>
      <c r="AL233" s="428"/>
      <c r="AM233" s="428"/>
      <c r="AN233" s="428"/>
      <c r="AO233" s="428"/>
      <c r="AP233" s="428"/>
      <c r="AQ233" s="428"/>
      <c r="AR233" s="428"/>
      <c r="AS233" s="428"/>
      <c r="AT233" s="428"/>
      <c r="AU233" s="428"/>
      <c r="AV233" s="428"/>
      <c r="AW233" s="428"/>
      <c r="AX233" s="428"/>
      <c r="AY233" s="428"/>
      <c r="AZ233" s="428"/>
      <c r="BA233" s="428"/>
      <c r="BB233" s="207"/>
    </row>
    <row r="234" spans="2:54">
      <c r="B234" s="1326" t="s">
        <v>2519</v>
      </c>
      <c r="C234" s="1327"/>
      <c r="D234" s="501" t="s">
        <v>2518</v>
      </c>
      <c r="E234" s="502"/>
      <c r="F234" s="501" t="s">
        <v>226</v>
      </c>
      <c r="G234" s="501" t="s">
        <v>227</v>
      </c>
      <c r="H234" s="503">
        <f>H233</f>
        <v>3744.1959999999999</v>
      </c>
      <c r="I234" s="505" t="s">
        <v>240</v>
      </c>
      <c r="J234" s="531">
        <v>45183.375</v>
      </c>
      <c r="K234" s="504"/>
      <c r="L234" s="439" t="s">
        <v>192</v>
      </c>
      <c r="M234" s="439" t="s">
        <v>192</v>
      </c>
      <c r="N234" s="438" t="str">
        <f t="shared" si="24"/>
        <v>DELAY ( 3 day 22 hour 0 minute )</v>
      </c>
      <c r="O234" s="506"/>
      <c r="P234" s="440" t="s">
        <v>551</v>
      </c>
      <c r="Q234" s="440" t="s">
        <v>551</v>
      </c>
      <c r="R234" s="440" t="s">
        <v>551</v>
      </c>
      <c r="S234" s="500"/>
      <c r="T234" s="508"/>
      <c r="U234" s="508"/>
      <c r="V234" s="508"/>
      <c r="W234" s="508"/>
      <c r="X234" s="508"/>
      <c r="Y234" s="508"/>
      <c r="Z234" s="508"/>
      <c r="AA234" s="508"/>
      <c r="AB234" s="500"/>
      <c r="AC234" s="508">
        <f>H234</f>
        <v>3744.1959999999999</v>
      </c>
      <c r="AD234" s="508"/>
      <c r="AE234" s="508"/>
      <c r="AF234" s="508"/>
      <c r="AG234" s="508"/>
      <c r="AH234" s="508"/>
      <c r="AI234" s="508"/>
      <c r="AJ234" s="508"/>
      <c r="AK234" s="508"/>
      <c r="AL234" s="508"/>
      <c r="AM234" s="508"/>
      <c r="AN234" s="508"/>
      <c r="AO234" s="508"/>
      <c r="AP234" s="508"/>
      <c r="AQ234" s="508"/>
      <c r="AR234" s="508"/>
      <c r="AS234" s="508"/>
      <c r="AT234" s="508"/>
      <c r="AU234" s="508"/>
      <c r="AV234" s="508"/>
      <c r="AW234" s="508"/>
      <c r="AX234" s="508"/>
      <c r="AY234" s="508"/>
      <c r="AZ234" s="508"/>
      <c r="BA234" s="508"/>
      <c r="BB234" s="500"/>
    </row>
    <row r="235" spans="2:54">
      <c r="B235" s="1328"/>
      <c r="C235" s="1329"/>
      <c r="D235" s="501" t="s">
        <v>2520</v>
      </c>
      <c r="E235" s="501"/>
      <c r="F235" s="501" t="s">
        <v>1240</v>
      </c>
      <c r="G235" s="501" t="s">
        <v>1241</v>
      </c>
      <c r="H235" s="503">
        <v>7897.0959999999995</v>
      </c>
      <c r="I235" s="505" t="s">
        <v>235</v>
      </c>
      <c r="J235" s="504">
        <v>45184.541666666664</v>
      </c>
      <c r="K235" s="504"/>
      <c r="L235" s="439" t="s">
        <v>192</v>
      </c>
      <c r="M235" s="439" t="s">
        <v>192</v>
      </c>
      <c r="N235" s="438" t="str">
        <f t="shared" si="24"/>
        <v>DELAY ( 5 day 2 hour 0 minute )</v>
      </c>
      <c r="O235" s="506"/>
      <c r="P235" s="440" t="s">
        <v>551</v>
      </c>
      <c r="Q235" s="440" t="s">
        <v>551</v>
      </c>
      <c r="R235" s="440" t="s">
        <v>551</v>
      </c>
      <c r="S235" s="500"/>
      <c r="T235" s="508"/>
      <c r="U235" s="508"/>
      <c r="V235" s="508"/>
      <c r="W235" s="508"/>
      <c r="X235" s="508"/>
      <c r="Y235" s="508"/>
      <c r="Z235" s="508"/>
      <c r="AA235" s="508"/>
      <c r="AB235" s="508">
        <f>H235</f>
        <v>7897.0959999999995</v>
      </c>
      <c r="AC235" s="508"/>
      <c r="AD235" s="508"/>
      <c r="AE235" s="508"/>
      <c r="AF235" s="508"/>
      <c r="AG235" s="508"/>
      <c r="AH235" s="508"/>
      <c r="AI235" s="508"/>
      <c r="AJ235" s="508"/>
      <c r="AK235" s="508"/>
      <c r="AL235" s="508"/>
      <c r="AM235" s="508"/>
      <c r="AN235" s="508"/>
      <c r="AO235" s="508"/>
      <c r="AP235" s="508"/>
      <c r="AQ235" s="508"/>
      <c r="AR235" s="508"/>
      <c r="AS235" s="508"/>
      <c r="AT235" s="508"/>
      <c r="AU235" s="508"/>
      <c r="AV235" s="508"/>
      <c r="AW235" s="508"/>
      <c r="AX235" s="508"/>
      <c r="AY235" s="508"/>
      <c r="AZ235" s="508"/>
      <c r="BA235" s="508"/>
      <c r="BB235" s="500"/>
    </row>
    <row r="236" spans="2:54">
      <c r="B236" s="1315" t="s">
        <v>548</v>
      </c>
      <c r="C236" s="1316"/>
      <c r="D236" s="501" t="s">
        <v>2521</v>
      </c>
      <c r="E236" s="501"/>
      <c r="F236" s="501" t="s">
        <v>238</v>
      </c>
      <c r="G236" s="501" t="s">
        <v>239</v>
      </c>
      <c r="H236" s="503">
        <v>7386.3919999999998</v>
      </c>
      <c r="I236" s="505" t="s">
        <v>235</v>
      </c>
      <c r="J236" s="504">
        <v>45184.4375</v>
      </c>
      <c r="K236" s="504"/>
      <c r="L236" s="439" t="s">
        <v>192</v>
      </c>
      <c r="M236" s="439" t="s">
        <v>192</v>
      </c>
      <c r="N236" s="438" t="str">
        <f t="shared" si="24"/>
        <v>DELAY ( 4 day 23 hour 30 minute )</v>
      </c>
      <c r="O236" s="506"/>
      <c r="P236" s="507" t="s">
        <v>551</v>
      </c>
      <c r="Q236" s="507" t="s">
        <v>551</v>
      </c>
      <c r="R236" s="507" t="s">
        <v>551</v>
      </c>
      <c r="S236" s="500"/>
      <c r="T236" s="508"/>
      <c r="U236" s="508"/>
      <c r="V236" s="508"/>
      <c r="W236" s="508"/>
      <c r="X236" s="508"/>
      <c r="Y236" s="508"/>
      <c r="Z236" s="508"/>
      <c r="AA236" s="508"/>
      <c r="AB236" s="508">
        <f t="shared" ref="AB236" si="25">H236</f>
        <v>7386.3919999999998</v>
      </c>
      <c r="AC236" s="508"/>
      <c r="AD236" s="508"/>
      <c r="AE236" s="508"/>
      <c r="AF236" s="508"/>
      <c r="AG236" s="508"/>
      <c r="AH236" s="508"/>
      <c r="AI236" s="508"/>
      <c r="AJ236" s="508"/>
      <c r="AK236" s="508"/>
      <c r="AL236" s="508"/>
      <c r="AM236" s="508"/>
      <c r="AN236" s="508"/>
      <c r="AO236" s="508"/>
      <c r="AP236" s="508"/>
      <c r="AQ236" s="508"/>
      <c r="AR236" s="508"/>
      <c r="AS236" s="508"/>
      <c r="AT236" s="508"/>
      <c r="AU236" s="508"/>
      <c r="AV236" s="508"/>
      <c r="AW236" s="508"/>
      <c r="AX236" s="508"/>
      <c r="AY236" s="508"/>
      <c r="AZ236" s="508"/>
      <c r="BA236" s="508"/>
      <c r="BB236" s="500"/>
    </row>
    <row r="237" spans="2:54">
      <c r="B237" s="1315" t="s">
        <v>548</v>
      </c>
      <c r="C237" s="1316"/>
      <c r="D237" s="501" t="s">
        <v>2522</v>
      </c>
      <c r="E237" s="501"/>
      <c r="F237" s="501" t="s">
        <v>695</v>
      </c>
      <c r="G237" s="501" t="s">
        <v>281</v>
      </c>
      <c r="H237" s="503">
        <f>7524.261-5425.595</f>
        <v>2098.6660000000002</v>
      </c>
      <c r="I237" s="505" t="s">
        <v>235</v>
      </c>
      <c r="J237" s="504">
        <v>45184.645833333336</v>
      </c>
      <c r="K237" s="504"/>
      <c r="L237" s="439" t="s">
        <v>192</v>
      </c>
      <c r="M237" s="439" t="s">
        <v>192</v>
      </c>
      <c r="N237" s="438" t="str">
        <f t="shared" si="24"/>
        <v>DELAY ( 5 day 4 hour 30 minute )</v>
      </c>
      <c r="O237" s="506"/>
      <c r="P237" s="507" t="s">
        <v>551</v>
      </c>
      <c r="Q237" s="507" t="s">
        <v>551</v>
      </c>
      <c r="R237" s="507" t="s">
        <v>551</v>
      </c>
      <c r="S237" s="500"/>
      <c r="T237" s="508"/>
      <c r="U237" s="508"/>
      <c r="V237" s="508"/>
      <c r="W237" s="508"/>
      <c r="X237" s="508"/>
      <c r="Y237" s="508"/>
      <c r="Z237" s="508"/>
      <c r="AA237" s="508"/>
      <c r="AB237" s="508">
        <f>H237</f>
        <v>2098.6660000000002</v>
      </c>
      <c r="AC237" s="508"/>
      <c r="AD237" s="508"/>
      <c r="AE237" s="508"/>
      <c r="AF237" s="508"/>
      <c r="AG237" s="508"/>
      <c r="AH237" s="508"/>
      <c r="AI237" s="508"/>
      <c r="AJ237" s="508"/>
      <c r="AK237" s="508"/>
      <c r="AL237" s="508"/>
      <c r="AM237" s="508"/>
      <c r="AN237" s="508"/>
      <c r="AO237" s="508"/>
      <c r="AP237" s="508"/>
      <c r="AQ237" s="508"/>
      <c r="AR237" s="508"/>
      <c r="AS237" s="508"/>
      <c r="AT237" s="508"/>
      <c r="AU237" s="508"/>
      <c r="AV237" s="508"/>
      <c r="AW237" s="508"/>
      <c r="AX237" s="508"/>
      <c r="AY237" s="508"/>
      <c r="AZ237" s="508"/>
      <c r="BA237" s="508"/>
      <c r="BB237" s="500"/>
    </row>
    <row r="238" spans="2:54">
      <c r="B238" s="1258" t="s">
        <v>556</v>
      </c>
      <c r="C238" s="1259"/>
      <c r="D238" s="1259"/>
      <c r="E238" s="1259"/>
      <c r="F238" s="1259"/>
      <c r="G238" s="1260"/>
      <c r="H238" s="417">
        <f>SUM(H228:H237)</f>
        <v>53299.999999999993</v>
      </c>
      <c r="I238" s="388"/>
      <c r="J238" s="293"/>
      <c r="K238" s="293"/>
      <c r="L238" s="293"/>
      <c r="M238" s="389"/>
      <c r="N238" s="438" t="str">
        <f t="shared" si="24"/>
        <v xml:space="preserve"> </v>
      </c>
      <c r="O238" s="212"/>
      <c r="P238" s="418"/>
      <c r="Q238" s="418"/>
      <c r="R238" s="418"/>
      <c r="S238" s="207"/>
      <c r="T238" s="1300"/>
      <c r="U238" s="1301"/>
      <c r="V238" s="1301"/>
      <c r="W238" s="1301"/>
      <c r="X238" s="1301"/>
      <c r="Y238" s="1301"/>
      <c r="Z238" s="1301"/>
      <c r="AA238" s="1301"/>
      <c r="AB238" s="1301"/>
      <c r="AC238" s="1301"/>
      <c r="AD238" s="1301"/>
      <c r="AE238" s="1301"/>
      <c r="AF238" s="1301"/>
      <c r="AG238" s="1301"/>
      <c r="AH238" s="1301"/>
      <c r="AI238" s="1301"/>
      <c r="AJ238" s="1301"/>
      <c r="AK238" s="1301"/>
      <c r="AL238" s="1301"/>
      <c r="AM238" s="1301"/>
      <c r="AN238" s="1301"/>
      <c r="AO238" s="1301"/>
      <c r="AP238" s="1301"/>
      <c r="AQ238" s="1301"/>
      <c r="AR238" s="1301"/>
      <c r="AS238" s="1301"/>
      <c r="AT238" s="1301"/>
      <c r="AU238" s="1301"/>
      <c r="AV238" s="1301"/>
      <c r="AW238" s="1301"/>
      <c r="AX238" s="1301"/>
      <c r="AY238" s="1301"/>
      <c r="AZ238" s="1301"/>
      <c r="BA238" s="1301"/>
    </row>
    <row r="239" spans="2:54">
      <c r="B239" s="1320" t="s">
        <v>557</v>
      </c>
      <c r="C239" s="1321"/>
      <c r="D239" s="1321"/>
      <c r="E239" s="1321"/>
      <c r="F239" s="1321"/>
      <c r="G239" s="1322"/>
      <c r="H239" s="545">
        <v>53300</v>
      </c>
      <c r="I239" s="1273"/>
      <c r="J239" s="1274"/>
      <c r="K239" s="1274"/>
      <c r="L239" s="1274"/>
      <c r="M239" s="1275"/>
      <c r="N239" s="438" t="str">
        <f t="shared" si="24"/>
        <v xml:space="preserve"> </v>
      </c>
      <c r="O239" s="32"/>
      <c r="P239" s="415"/>
      <c r="Q239" s="415"/>
      <c r="R239" s="415"/>
      <c r="S239" s="63"/>
      <c r="T239" s="416">
        <f t="shared" ref="T239:BA239" si="26">SUM(T228:T237)</f>
        <v>0</v>
      </c>
      <c r="U239" s="416">
        <f t="shared" si="26"/>
        <v>0</v>
      </c>
      <c r="V239" s="416">
        <f t="shared" si="26"/>
        <v>0</v>
      </c>
      <c r="W239" s="416">
        <f t="shared" si="26"/>
        <v>0</v>
      </c>
      <c r="X239" s="416">
        <f t="shared" si="26"/>
        <v>0</v>
      </c>
      <c r="Y239" s="416">
        <f t="shared" si="26"/>
        <v>0</v>
      </c>
      <c r="Z239" s="416">
        <f t="shared" si="26"/>
        <v>0</v>
      </c>
      <c r="AA239" s="416">
        <f t="shared" si="26"/>
        <v>0</v>
      </c>
      <c r="AB239" s="416">
        <f t="shared" si="26"/>
        <v>43708.581999999995</v>
      </c>
      <c r="AC239" s="416">
        <f t="shared" si="26"/>
        <v>9591.4179999999997</v>
      </c>
      <c r="AD239" s="416">
        <f t="shared" si="26"/>
        <v>0</v>
      </c>
      <c r="AE239" s="416">
        <f t="shared" si="26"/>
        <v>0</v>
      </c>
      <c r="AF239" s="416">
        <f t="shared" si="26"/>
        <v>0</v>
      </c>
      <c r="AG239" s="416">
        <f t="shared" si="26"/>
        <v>0</v>
      </c>
      <c r="AH239" s="416">
        <f t="shared" si="26"/>
        <v>0</v>
      </c>
      <c r="AI239" s="416">
        <f t="shared" si="26"/>
        <v>0</v>
      </c>
      <c r="AJ239" s="416">
        <f t="shared" si="26"/>
        <v>0</v>
      </c>
      <c r="AK239" s="416">
        <f t="shared" si="26"/>
        <v>0</v>
      </c>
      <c r="AL239" s="416">
        <f t="shared" si="26"/>
        <v>0</v>
      </c>
      <c r="AM239" s="416">
        <f t="shared" si="26"/>
        <v>0</v>
      </c>
      <c r="AN239" s="416">
        <f t="shared" si="26"/>
        <v>0</v>
      </c>
      <c r="AO239" s="416">
        <f t="shared" si="26"/>
        <v>0</v>
      </c>
      <c r="AP239" s="416">
        <f t="shared" si="26"/>
        <v>0</v>
      </c>
      <c r="AQ239" s="416">
        <f t="shared" si="26"/>
        <v>0</v>
      </c>
      <c r="AR239" s="416">
        <f t="shared" si="26"/>
        <v>0</v>
      </c>
      <c r="AS239" s="416">
        <f t="shared" si="26"/>
        <v>0</v>
      </c>
      <c r="AT239" s="416">
        <f t="shared" si="26"/>
        <v>0</v>
      </c>
      <c r="AU239" s="416">
        <f t="shared" si="26"/>
        <v>0</v>
      </c>
      <c r="AV239" s="416">
        <f t="shared" si="26"/>
        <v>0</v>
      </c>
      <c r="AW239" s="416">
        <f t="shared" si="26"/>
        <v>0</v>
      </c>
      <c r="AX239" s="416">
        <f t="shared" si="26"/>
        <v>0</v>
      </c>
      <c r="AY239" s="416">
        <f t="shared" si="26"/>
        <v>0</v>
      </c>
      <c r="AZ239" s="416">
        <f t="shared" si="26"/>
        <v>0</v>
      </c>
      <c r="BA239" s="416">
        <f t="shared" si="26"/>
        <v>0</v>
      </c>
      <c r="BB239" s="416">
        <f>SUM(T239:BA239)</f>
        <v>53299.999999999993</v>
      </c>
    </row>
    <row r="240" spans="2:54">
      <c r="B240" s="1320" t="s">
        <v>558</v>
      </c>
      <c r="C240" s="1321"/>
      <c r="D240" s="1321"/>
      <c r="E240" s="1321"/>
      <c r="F240" s="1321"/>
      <c r="G240" s="1322"/>
      <c r="H240" s="546">
        <f>H239-L222</f>
        <v>0</v>
      </c>
      <c r="I240" s="294"/>
      <c r="J240" s="295"/>
      <c r="K240" s="295"/>
      <c r="L240" s="296"/>
      <c r="M240" s="32"/>
      <c r="N240" s="32"/>
      <c r="O240" s="32"/>
      <c r="P240" s="32"/>
      <c r="Q240" s="297"/>
      <c r="R240" s="297"/>
      <c r="S240" s="32"/>
      <c r="T240" s="48"/>
      <c r="U240" s="48"/>
      <c r="V240" s="48"/>
      <c r="W240" s="48"/>
      <c r="X240" s="48"/>
      <c r="Y240" s="48"/>
      <c r="Z240" s="48"/>
      <c r="AA240" s="48"/>
      <c r="AB240" s="48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</row>
    <row r="241" spans="2:54">
      <c r="B241" s="1320" t="s">
        <v>559</v>
      </c>
      <c r="C241" s="1321"/>
      <c r="D241" s="1321"/>
      <c r="E241" s="1321"/>
      <c r="F241" s="1321"/>
      <c r="G241" s="1322"/>
      <c r="H241" s="532">
        <v>4700.3450000000003</v>
      </c>
      <c r="I241" s="52"/>
      <c r="J241" s="53"/>
      <c r="K241" s="53"/>
      <c r="L241" s="54"/>
      <c r="M241" s="32"/>
      <c r="N241" s="201"/>
      <c r="O241" s="32"/>
      <c r="P241" s="32"/>
      <c r="Q241" s="32"/>
      <c r="R241" s="32"/>
      <c r="S241" s="32"/>
      <c r="T241" s="48"/>
      <c r="U241" s="48"/>
      <c r="V241" s="48"/>
      <c r="W241" s="48"/>
      <c r="X241" s="48"/>
      <c r="Y241" s="48"/>
      <c r="Z241" s="48"/>
      <c r="AA241" s="48"/>
      <c r="AB241" s="48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</row>
    <row r="242" spans="2:54" s="496" customFormat="1">
      <c r="B242" s="1323" t="s">
        <v>560</v>
      </c>
      <c r="C242" s="1324"/>
      <c r="D242" s="1324"/>
      <c r="E242" s="1324"/>
      <c r="F242" s="1324"/>
      <c r="G242" s="1325"/>
      <c r="H242" s="421">
        <f>H241-5425.595</f>
        <v>-725.25</v>
      </c>
      <c r="I242" s="209"/>
      <c r="J242" s="498"/>
      <c r="K242" s="498"/>
      <c r="L242" s="499"/>
      <c r="M242" s="201"/>
      <c r="N242" s="201"/>
      <c r="O242" s="201"/>
      <c r="P242" s="201"/>
      <c r="Q242" s="201"/>
      <c r="R242" s="201"/>
      <c r="S242" s="202"/>
      <c r="T242" s="202"/>
      <c r="U242" s="202"/>
      <c r="V242" s="202"/>
      <c r="W242" s="202"/>
      <c r="X242" s="202"/>
      <c r="Y242" s="202"/>
      <c r="Z242" s="202"/>
      <c r="AA242" s="202"/>
      <c r="AB242" s="201"/>
      <c r="AC242" s="201"/>
      <c r="AD242" s="201"/>
      <c r="AE242" s="201"/>
      <c r="AF242" s="201"/>
      <c r="AG242" s="201"/>
      <c r="AH242" s="201"/>
      <c r="AI242" s="201"/>
      <c r="AJ242" s="201"/>
      <c r="AK242" s="201"/>
      <c r="AL242" s="201"/>
      <c r="AM242" s="201"/>
      <c r="AN242" s="201"/>
      <c r="AO242" s="201"/>
      <c r="AP242" s="201"/>
      <c r="AQ242" s="201"/>
    </row>
    <row r="243" spans="2:54">
      <c r="B243" s="201"/>
      <c r="C243" s="201"/>
      <c r="D243" s="201"/>
      <c r="E243" s="201"/>
      <c r="F243" s="201"/>
      <c r="G243" s="201"/>
      <c r="H243" s="201"/>
      <c r="I243" s="213"/>
      <c r="J243" s="209"/>
      <c r="K243" s="209"/>
      <c r="L243" s="203"/>
      <c r="M243" s="201"/>
      <c r="N243" s="201"/>
      <c r="O243" s="209"/>
      <c r="P243" s="32"/>
      <c r="Q243" s="32"/>
      <c r="R243" s="32"/>
      <c r="S243" s="32"/>
      <c r="T243" s="48"/>
      <c r="U243" s="48"/>
      <c r="V243" s="48"/>
      <c r="W243" s="48"/>
      <c r="X243" s="48"/>
      <c r="Y243" s="48"/>
      <c r="Z243" s="48"/>
      <c r="AA243" s="48"/>
      <c r="AB243" s="48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</row>
    <row r="244" spans="2:54">
      <c r="B244" s="40" t="s">
        <v>561</v>
      </c>
      <c r="C244" s="40"/>
      <c r="D244" s="32"/>
      <c r="E244" s="32"/>
      <c r="F244" s="32"/>
      <c r="G244" s="32"/>
      <c r="H244" s="32"/>
      <c r="I244" s="32"/>
      <c r="J244" s="52"/>
      <c r="K244" s="52"/>
      <c r="L244" s="55"/>
      <c r="M244" s="32"/>
      <c r="N244" s="201"/>
      <c r="O244" s="5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  <c r="AA244" s="202"/>
      <c r="AB244" s="201"/>
      <c r="AC244" s="201"/>
      <c r="AD244" s="201"/>
      <c r="AE244" s="201"/>
      <c r="AF244" s="201"/>
      <c r="AG244" s="201"/>
      <c r="AH244" s="201"/>
      <c r="AI244" s="201"/>
      <c r="AJ244" s="201"/>
      <c r="AK244" s="201"/>
      <c r="AL244" s="201"/>
      <c r="AM244" s="201"/>
      <c r="AN244" s="201"/>
      <c r="AO244" s="201"/>
      <c r="AP244" s="201"/>
      <c r="AQ244" s="201"/>
      <c r="AR244" s="201"/>
      <c r="AS244" s="201"/>
      <c r="AT244" s="201"/>
      <c r="AU244" s="201"/>
      <c r="BB244" s="201"/>
    </row>
    <row r="245" spans="2:54">
      <c r="B245" s="422">
        <v>1</v>
      </c>
      <c r="C245" s="1249" t="s">
        <v>2512</v>
      </c>
      <c r="D245" s="1249"/>
      <c r="E245" s="1249"/>
      <c r="F245" s="1249"/>
      <c r="G245" s="1249"/>
      <c r="H245" s="1249"/>
      <c r="I245" s="1249"/>
      <c r="J245" s="1249"/>
      <c r="K245" s="1249"/>
      <c r="L245" s="203"/>
      <c r="M245" s="203"/>
      <c r="N245" s="201"/>
      <c r="O245" s="209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  <c r="AB245" s="201"/>
      <c r="AC245" s="201"/>
      <c r="AD245" s="201"/>
      <c r="AE245" s="201"/>
      <c r="AF245" s="201"/>
      <c r="AG245" s="201"/>
      <c r="AH245" s="201"/>
      <c r="AI245" s="201"/>
      <c r="AJ245" s="201"/>
      <c r="AK245" s="201"/>
      <c r="AL245" s="201"/>
      <c r="AM245" s="201"/>
      <c r="AN245" s="201"/>
      <c r="AO245" s="201"/>
      <c r="AP245" s="201"/>
      <c r="AQ245" s="201"/>
      <c r="AR245" s="201"/>
      <c r="AS245" s="201"/>
      <c r="AT245" s="201"/>
      <c r="AU245" s="201"/>
      <c r="AV245" s="201"/>
      <c r="AW245" s="201"/>
      <c r="AX245" s="201"/>
      <c r="AY245" s="201"/>
      <c r="AZ245" s="201"/>
      <c r="BA245" s="201"/>
      <c r="BB245" s="201"/>
    </row>
    <row r="247" spans="2:54">
      <c r="B247" s="28" t="s">
        <v>126</v>
      </c>
      <c r="C247" s="28"/>
      <c r="D247" s="29"/>
      <c r="E247" s="30" t="s">
        <v>511</v>
      </c>
      <c r="F247" s="31" t="s">
        <v>2523</v>
      </c>
      <c r="G247" s="32"/>
      <c r="H247" s="33"/>
      <c r="I247" s="34"/>
      <c r="J247" s="35" t="s">
        <v>513</v>
      </c>
      <c r="K247" s="36" t="s">
        <v>511</v>
      </c>
      <c r="L247" s="516">
        <v>45187.378472222219</v>
      </c>
      <c r="M247" s="32"/>
      <c r="N247" s="32"/>
      <c r="O247" s="206"/>
      <c r="P247" s="205"/>
      <c r="Q247" s="202"/>
      <c r="R247" s="204"/>
      <c r="S247" s="38"/>
      <c r="T247" s="201"/>
      <c r="U247" s="201"/>
      <c r="V247" s="201"/>
      <c r="W247" s="201"/>
      <c r="X247" s="201"/>
      <c r="Y247" s="201"/>
      <c r="Z247" s="201"/>
      <c r="AA247" s="201"/>
      <c r="AB247" s="202"/>
      <c r="AC247" s="202"/>
      <c r="AD247" s="202"/>
      <c r="AE247" s="202"/>
      <c r="AF247" s="202"/>
      <c r="AG247" s="201"/>
      <c r="AH247" s="201"/>
      <c r="AI247" s="201"/>
      <c r="AJ247" s="201"/>
      <c r="AK247" s="201"/>
      <c r="AL247" s="201"/>
      <c r="AM247" s="201"/>
      <c r="AN247" s="201"/>
      <c r="AO247" s="201"/>
      <c r="AP247" s="201"/>
      <c r="AQ247" s="201"/>
      <c r="AR247" s="201"/>
      <c r="AS247" s="201"/>
      <c r="AT247" s="201"/>
      <c r="AU247" s="201"/>
      <c r="AV247" s="201"/>
      <c r="AW247" s="201"/>
      <c r="AX247" s="201"/>
      <c r="AY247" s="201"/>
      <c r="AZ247" s="201"/>
      <c r="BA247" s="201"/>
      <c r="BB247" s="201"/>
    </row>
    <row r="248" spans="2:54">
      <c r="B248" s="35" t="s">
        <v>514</v>
      </c>
      <c r="C248" s="35"/>
      <c r="D248" s="32"/>
      <c r="E248" s="36" t="s">
        <v>511</v>
      </c>
      <c r="F248" s="311" t="s">
        <v>2524</v>
      </c>
      <c r="G248" s="32"/>
      <c r="H248" s="33"/>
      <c r="I248" s="34"/>
      <c r="J248" s="35" t="s">
        <v>516</v>
      </c>
      <c r="K248" s="36" t="s">
        <v>511</v>
      </c>
      <c r="L248" s="516">
        <f>'VLU 2023 &amp; 2024'!$N$175</f>
        <v>45188.918749999997</v>
      </c>
      <c r="M248" s="32"/>
      <c r="N248" s="32"/>
      <c r="O248" s="206"/>
      <c r="P248" s="205"/>
      <c r="Q248" s="202"/>
      <c r="R248" s="204"/>
      <c r="S248" s="38"/>
      <c r="T248" s="201"/>
      <c r="U248" s="201"/>
      <c r="V248" s="201"/>
      <c r="W248" s="201"/>
      <c r="X248" s="201"/>
      <c r="Y248" s="201"/>
      <c r="Z248" s="201"/>
      <c r="AA248" s="201"/>
      <c r="AB248" s="202"/>
      <c r="AC248" s="202"/>
      <c r="AD248" s="202"/>
      <c r="AE248" s="202"/>
      <c r="AF248" s="202"/>
      <c r="AG248" s="201"/>
      <c r="AH248" s="201"/>
      <c r="AI248" s="201"/>
      <c r="AJ248" s="201"/>
      <c r="AK248" s="201"/>
      <c r="AL248" s="201"/>
      <c r="AM248" s="201"/>
      <c r="AN248" s="201"/>
      <c r="AO248" s="201"/>
      <c r="AP248" s="201"/>
      <c r="AQ248" s="201"/>
      <c r="AR248" s="201"/>
      <c r="AS248" s="201"/>
      <c r="AT248" s="201"/>
      <c r="AU248" s="201"/>
      <c r="AV248" s="201"/>
      <c r="AW248" s="201"/>
      <c r="AX248" s="201"/>
      <c r="AY248" s="201"/>
      <c r="AZ248" s="201"/>
      <c r="BA248" s="201"/>
      <c r="BB248" s="201"/>
    </row>
    <row r="249" spans="2:54">
      <c r="B249" s="35" t="s">
        <v>517</v>
      </c>
      <c r="C249" s="35"/>
      <c r="D249" s="32"/>
      <c r="E249" s="36" t="s">
        <v>511</v>
      </c>
      <c r="F249" s="37">
        <v>45177.29583333333</v>
      </c>
      <c r="G249" s="32"/>
      <c r="H249" s="33"/>
      <c r="I249" s="34"/>
      <c r="J249" s="35" t="s">
        <v>518</v>
      </c>
      <c r="K249" s="36" t="s">
        <v>511</v>
      </c>
      <c r="L249" s="544">
        <v>31500</v>
      </c>
      <c r="M249" s="40" t="s">
        <v>519</v>
      </c>
      <c r="N249" s="40"/>
      <c r="O249" s="206"/>
      <c r="P249" s="205"/>
      <c r="Q249" s="202"/>
      <c r="R249" s="204"/>
      <c r="S249" s="38"/>
      <c r="T249" s="201"/>
      <c r="U249" s="201"/>
      <c r="V249" s="201"/>
      <c r="W249" s="201"/>
      <c r="X249" s="201"/>
      <c r="Y249" s="201"/>
      <c r="Z249" s="201"/>
      <c r="AA249" s="201"/>
      <c r="AB249" s="202"/>
      <c r="AC249" s="202"/>
      <c r="AD249" s="202"/>
      <c r="AE249" s="202"/>
      <c r="AF249" s="202"/>
      <c r="AG249" s="201"/>
      <c r="AH249" s="201"/>
      <c r="AI249" s="201"/>
      <c r="AJ249" s="201"/>
      <c r="AK249" s="201"/>
      <c r="AL249" s="201"/>
      <c r="AM249" s="201"/>
      <c r="AN249" s="201"/>
      <c r="AO249" s="201"/>
      <c r="AP249" s="201"/>
      <c r="AQ249" s="201"/>
      <c r="AR249" s="201"/>
      <c r="AS249" s="201"/>
      <c r="AT249" s="201"/>
      <c r="AU249" s="201"/>
      <c r="AV249" s="201"/>
      <c r="AW249" s="201"/>
      <c r="AX249" s="201"/>
      <c r="AY249" s="201"/>
      <c r="AZ249" s="201"/>
      <c r="BA249" s="201"/>
      <c r="BB249" s="201"/>
    </row>
    <row r="250" spans="2:54">
      <c r="B250" s="35" t="s">
        <v>520</v>
      </c>
      <c r="C250" s="35"/>
      <c r="D250" s="32"/>
      <c r="E250" s="36" t="s">
        <v>511</v>
      </c>
      <c r="F250" s="37" t="s">
        <v>20</v>
      </c>
      <c r="G250" s="32"/>
      <c r="H250" s="33"/>
      <c r="I250" s="34"/>
      <c r="J250" s="35" t="s">
        <v>521</v>
      </c>
      <c r="K250" s="36" t="s">
        <v>511</v>
      </c>
      <c r="L250" s="41" t="s">
        <v>2525</v>
      </c>
      <c r="M250" s="32"/>
      <c r="N250" s="32"/>
      <c r="O250" s="206"/>
      <c r="P250" s="202"/>
      <c r="Q250" s="202"/>
      <c r="R250" s="204"/>
      <c r="S250" s="38"/>
      <c r="T250" s="201"/>
      <c r="U250" s="201"/>
      <c r="V250" s="201"/>
      <c r="W250" s="201"/>
      <c r="X250" s="201"/>
      <c r="Y250" s="201"/>
      <c r="Z250" s="201"/>
      <c r="AA250" s="201"/>
      <c r="AB250" s="202"/>
      <c r="AC250" s="202"/>
      <c r="AD250" s="202"/>
      <c r="AE250" s="202"/>
      <c r="AF250" s="202"/>
      <c r="AG250" s="201"/>
      <c r="AH250" s="201"/>
      <c r="AI250" s="201"/>
      <c r="AJ250" s="201"/>
      <c r="AK250" s="201"/>
      <c r="AL250" s="201"/>
      <c r="AM250" s="201"/>
      <c r="AN250" s="201"/>
      <c r="AO250" s="201"/>
      <c r="AP250" s="201"/>
      <c r="AQ250" s="201"/>
      <c r="AR250" s="201"/>
      <c r="AS250" s="201"/>
      <c r="AT250" s="201"/>
      <c r="AU250" s="201"/>
      <c r="AV250" s="201"/>
      <c r="AW250" s="201"/>
      <c r="AX250" s="201"/>
      <c r="AY250" s="201"/>
      <c r="AZ250" s="201"/>
      <c r="BA250" s="201"/>
      <c r="BB250" s="201"/>
    </row>
    <row r="251" spans="2:54">
      <c r="B251" s="35" t="s">
        <v>523</v>
      </c>
      <c r="C251" s="35"/>
      <c r="D251" s="32"/>
      <c r="E251" s="36" t="s">
        <v>511</v>
      </c>
      <c r="F251" s="37" t="s">
        <v>47</v>
      </c>
      <c r="G251" s="32"/>
      <c r="H251" s="33"/>
      <c r="I251" s="34"/>
      <c r="J251" s="42" t="s">
        <v>524</v>
      </c>
      <c r="K251" s="36" t="s">
        <v>511</v>
      </c>
      <c r="L251" s="43" t="s">
        <v>15</v>
      </c>
      <c r="M251" s="44"/>
      <c r="N251" s="44"/>
      <c r="O251" s="206"/>
      <c r="P251" s="205"/>
      <c r="Q251" s="202"/>
      <c r="R251" s="204"/>
      <c r="S251" s="38"/>
      <c r="T251" s="201"/>
      <c r="U251" s="201"/>
      <c r="V251" s="201"/>
      <c r="W251" s="201"/>
      <c r="X251" s="201"/>
      <c r="Y251" s="201"/>
      <c r="Z251" s="201"/>
      <c r="AA251" s="201"/>
      <c r="AB251" s="202"/>
      <c r="AC251" s="202"/>
      <c r="AD251" s="202"/>
      <c r="AE251" s="202"/>
      <c r="AF251" s="202"/>
      <c r="AG251" s="201"/>
      <c r="AH251" s="201"/>
      <c r="AI251" s="201"/>
      <c r="AJ251" s="201"/>
      <c r="AK251" s="201"/>
      <c r="AL251" s="201"/>
      <c r="AM251" s="201"/>
      <c r="AN251" s="201"/>
      <c r="AO251" s="201"/>
      <c r="AP251" s="201"/>
      <c r="AQ251" s="201"/>
      <c r="AR251" s="201"/>
      <c r="AS251" s="201"/>
      <c r="AT251" s="201"/>
      <c r="AU251" s="201"/>
      <c r="AV251" s="201"/>
      <c r="AW251" s="201"/>
      <c r="AX251" s="201"/>
      <c r="AY251" s="201"/>
      <c r="AZ251" s="201"/>
      <c r="BA251" s="201"/>
      <c r="BB251" s="201"/>
    </row>
    <row r="252" spans="2:54">
      <c r="B252" s="35" t="s">
        <v>2</v>
      </c>
      <c r="C252" s="35"/>
      <c r="D252" s="32"/>
      <c r="E252" s="36" t="s">
        <v>511</v>
      </c>
      <c r="F252" s="37" t="s">
        <v>18</v>
      </c>
      <c r="G252" s="32"/>
      <c r="H252" s="33"/>
      <c r="I252" s="45"/>
      <c r="J252" s="42"/>
      <c r="K252" s="36"/>
      <c r="L252" s="211"/>
      <c r="M252" s="201"/>
      <c r="N252" s="201"/>
      <c r="O252" s="42"/>
      <c r="P252" s="44"/>
      <c r="Q252" s="44"/>
      <c r="R252" s="44"/>
      <c r="S252" s="34"/>
      <c r="T252" s="201"/>
      <c r="U252" s="201"/>
      <c r="V252" s="201"/>
      <c r="W252" s="201"/>
      <c r="X252" s="201"/>
      <c r="Y252" s="201"/>
      <c r="Z252" s="201"/>
      <c r="AA252" s="201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201"/>
      <c r="AP252" s="201"/>
      <c r="AQ252" s="201"/>
      <c r="AR252" s="201"/>
      <c r="AS252" s="201"/>
      <c r="AT252" s="201"/>
      <c r="AU252" s="201"/>
      <c r="AV252" s="201"/>
      <c r="AW252" s="201"/>
      <c r="AX252" s="201"/>
      <c r="AY252" s="201"/>
      <c r="AZ252" s="201"/>
      <c r="BA252" s="201"/>
      <c r="BB252" s="201"/>
    </row>
    <row r="253" spans="2:54">
      <c r="B253" s="201"/>
      <c r="C253" s="201"/>
      <c r="D253" s="201"/>
      <c r="E253" s="201"/>
      <c r="F253" s="201"/>
      <c r="G253" s="201"/>
      <c r="H253" s="201"/>
      <c r="I253" s="45"/>
      <c r="J253" s="42"/>
      <c r="K253" s="42"/>
      <c r="L253" s="43"/>
      <c r="M253" s="44"/>
      <c r="N253" s="44"/>
      <c r="O253" s="42"/>
      <c r="P253" s="44"/>
      <c r="Q253" s="44"/>
      <c r="R253" s="44"/>
      <c r="S253" s="34"/>
      <c r="T253" s="1265" t="s">
        <v>87</v>
      </c>
      <c r="U253" s="1265"/>
      <c r="V253" s="1265"/>
      <c r="W253" s="1265"/>
      <c r="X253" s="1265"/>
      <c r="Y253" s="1265" t="s">
        <v>73</v>
      </c>
      <c r="Z253" s="1265"/>
      <c r="AA253" s="1265"/>
      <c r="AB253" s="1265" t="s">
        <v>74</v>
      </c>
      <c r="AC253" s="1265"/>
      <c r="AD253" s="423" t="s">
        <v>85</v>
      </c>
      <c r="AE253" s="423" t="s">
        <v>77</v>
      </c>
      <c r="AF253" s="1265" t="s">
        <v>525</v>
      </c>
      <c r="AG253" s="1265"/>
      <c r="AH253" s="1265"/>
      <c r="AI253" s="1265"/>
      <c r="AJ253" s="1265"/>
      <c r="AK253" s="1265"/>
      <c r="AL253" s="1265"/>
      <c r="AM253" s="1265"/>
      <c r="AN253" s="1265"/>
      <c r="AO253" s="1265"/>
      <c r="AP253" s="1265"/>
      <c r="AQ253" s="1265"/>
      <c r="AR253" s="1265"/>
      <c r="AS253" s="1265"/>
      <c r="AT253" s="1265"/>
      <c r="AU253" s="1265"/>
      <c r="AV253" s="1265"/>
      <c r="AW253" s="1265"/>
      <c r="AX253" s="1265"/>
      <c r="AY253" s="1265"/>
      <c r="AZ253" s="1265"/>
      <c r="BA253" s="1265"/>
      <c r="BB253" s="201"/>
    </row>
    <row r="254" spans="2:54">
      <c r="B254" s="1266" t="s">
        <v>526</v>
      </c>
      <c r="C254" s="1267"/>
      <c r="D254" s="570" t="s">
        <v>527</v>
      </c>
      <c r="E254" s="570"/>
      <c r="F254" s="570" t="s">
        <v>528</v>
      </c>
      <c r="G254" s="570" t="s">
        <v>529</v>
      </c>
      <c r="H254" s="570" t="s">
        <v>530</v>
      </c>
      <c r="I254" s="570" t="s">
        <v>531</v>
      </c>
      <c r="J254" s="570" t="s">
        <v>532</v>
      </c>
      <c r="K254" s="570"/>
      <c r="L254" s="570" t="s">
        <v>130</v>
      </c>
      <c r="M254" s="570" t="s">
        <v>533</v>
      </c>
      <c r="N254" s="408" t="str">
        <f>"On time - "&amp;COUNTIF(N255:N261,"On time")&amp;" from "&amp;ROWS(N255:N261)-COUNTIF(N255:N261," ")</f>
        <v>On time - 0 from 4</v>
      </c>
      <c r="O254" s="46"/>
      <c r="P254" s="409" t="s">
        <v>534</v>
      </c>
      <c r="Q254" s="409" t="s">
        <v>535</v>
      </c>
      <c r="R254" s="409" t="s">
        <v>536</v>
      </c>
      <c r="S254" s="32"/>
      <c r="T254" s="424" t="s">
        <v>537</v>
      </c>
      <c r="U254" s="424" t="s">
        <v>538</v>
      </c>
      <c r="V254" s="424" t="s">
        <v>539</v>
      </c>
      <c r="W254" s="424" t="s">
        <v>540</v>
      </c>
      <c r="X254" s="424" t="s">
        <v>541</v>
      </c>
      <c r="Y254" s="424" t="s">
        <v>167</v>
      </c>
      <c r="Z254" s="424" t="s">
        <v>168</v>
      </c>
      <c r="AA254" s="424" t="s">
        <v>169</v>
      </c>
      <c r="AB254" s="424" t="s">
        <v>235</v>
      </c>
      <c r="AC254" s="424" t="s">
        <v>240</v>
      </c>
      <c r="AD254" s="423" t="s">
        <v>85</v>
      </c>
      <c r="AE254" s="424" t="s">
        <v>139</v>
      </c>
      <c r="AF254" s="424" t="s">
        <v>72</v>
      </c>
      <c r="AG254" s="424" t="s">
        <v>88</v>
      </c>
      <c r="AH254" s="424" t="s">
        <v>75</v>
      </c>
      <c r="AI254" s="424" t="s">
        <v>543</v>
      </c>
      <c r="AJ254" s="424" t="s">
        <v>78</v>
      </c>
      <c r="AK254" s="424" t="s">
        <v>76</v>
      </c>
      <c r="AL254" s="424" t="s">
        <v>544</v>
      </c>
      <c r="AM254" s="424" t="s">
        <v>545</v>
      </c>
      <c r="AN254" s="424" t="s">
        <v>86</v>
      </c>
      <c r="AO254" s="424" t="s">
        <v>83</v>
      </c>
      <c r="AP254" s="424" t="s">
        <v>84</v>
      </c>
      <c r="AQ254" s="424" t="s">
        <v>546</v>
      </c>
      <c r="AR254" s="424" t="s">
        <v>81</v>
      </c>
      <c r="AS254" s="424" t="s">
        <v>80</v>
      </c>
      <c r="AT254" s="424" t="s">
        <v>82</v>
      </c>
      <c r="AU254" s="424" t="s">
        <v>181</v>
      </c>
      <c r="AV254" s="424" t="s">
        <v>183</v>
      </c>
      <c r="AW254" s="424" t="s">
        <v>547</v>
      </c>
      <c r="AX254" s="424" t="s">
        <v>182</v>
      </c>
      <c r="AY254" s="424" t="s">
        <v>172</v>
      </c>
      <c r="AZ254" s="424" t="s">
        <v>173</v>
      </c>
      <c r="BA254" s="424" t="s">
        <v>184</v>
      </c>
      <c r="BB254" s="201"/>
    </row>
    <row r="255" spans="2:54">
      <c r="B255" s="1315" t="s">
        <v>548</v>
      </c>
      <c r="C255" s="1316"/>
      <c r="D255" s="501" t="s">
        <v>2526</v>
      </c>
      <c r="E255" s="501"/>
      <c r="F255" s="501" t="s">
        <v>1874</v>
      </c>
      <c r="G255" s="501" t="s">
        <v>1875</v>
      </c>
      <c r="H255" s="503">
        <v>5210</v>
      </c>
      <c r="I255" s="505" t="s">
        <v>82</v>
      </c>
      <c r="J255" s="504">
        <v>45182.545138888891</v>
      </c>
      <c r="K255" s="504"/>
      <c r="L255" s="504" t="s">
        <v>192</v>
      </c>
      <c r="M255" s="504" t="s">
        <v>192</v>
      </c>
      <c r="N255" s="505" t="str">
        <f>IF(ISBLANK(J255)," ",IF(J255&lt;$F$249,"On time",(IF(DAY(J255-$F$249)&lt;1,"On time",(IF(J255&gt;$F$249,"DELAY ( "&amp;DAY(J255-$F$249)&amp;" day "&amp;HOUR(J255-$F$249)&amp;" hour "&amp;MINUTE(J255-$F$249)&amp;" minute )","xxx"))))))</f>
        <v>DELAY ( 5 day 5 hour 59 minute )</v>
      </c>
      <c r="O255" s="506"/>
      <c r="P255" s="507" t="s">
        <v>551</v>
      </c>
      <c r="Q255" s="507" t="s">
        <v>551</v>
      </c>
      <c r="R255" s="507" t="s">
        <v>551</v>
      </c>
      <c r="S255" s="500"/>
      <c r="T255" s="508"/>
      <c r="U255" s="508"/>
      <c r="V255" s="508"/>
      <c r="W255" s="508"/>
      <c r="X255" s="508"/>
      <c r="Y255" s="508"/>
      <c r="Z255" s="508"/>
      <c r="AA255" s="508"/>
      <c r="AB255" s="500"/>
      <c r="AC255" s="508"/>
      <c r="AD255" s="508"/>
      <c r="AE255" s="508"/>
      <c r="AF255" s="508"/>
      <c r="AG255" s="508"/>
      <c r="AH255" s="508"/>
      <c r="AI255" s="508"/>
      <c r="AJ255" s="508"/>
      <c r="AK255" s="508"/>
      <c r="AL255" s="508"/>
      <c r="AM255" s="508"/>
      <c r="AN255" s="508"/>
      <c r="AO255" s="508"/>
      <c r="AP255" s="508"/>
      <c r="AQ255" s="508"/>
      <c r="AR255" s="508"/>
      <c r="AS255" s="508"/>
      <c r="AT255" s="508">
        <f>H255</f>
        <v>5210</v>
      </c>
      <c r="AU255" s="508"/>
      <c r="AV255" s="508"/>
      <c r="AW255" s="508"/>
      <c r="AX255" s="508"/>
      <c r="AY255" s="508"/>
      <c r="AZ255" s="508"/>
      <c r="BA255" s="508"/>
      <c r="BB255" s="500"/>
    </row>
    <row r="256" spans="2:54">
      <c r="B256" s="1315" t="s">
        <v>548</v>
      </c>
      <c r="C256" s="1316"/>
      <c r="D256" s="501" t="s">
        <v>2527</v>
      </c>
      <c r="E256" s="501"/>
      <c r="F256" s="501" t="s">
        <v>2388</v>
      </c>
      <c r="G256" s="501" t="s">
        <v>289</v>
      </c>
      <c r="H256" s="503">
        <v>7423.723</v>
      </c>
      <c r="I256" s="505" t="s">
        <v>235</v>
      </c>
      <c r="J256" s="504">
        <v>45185.899305555555</v>
      </c>
      <c r="K256" s="504"/>
      <c r="L256" s="504" t="s">
        <v>192</v>
      </c>
      <c r="M256" s="504" t="s">
        <v>192</v>
      </c>
      <c r="N256" s="505" t="str">
        <f t="shared" ref="N256:N261" si="27">IF(ISBLANK(J256)," ",IF(J256&lt;$F$249,"On time",(IF(DAY(J256-$F$249)&lt;1,"On time",(IF(J256&gt;$F$249,"DELAY ( "&amp;DAY(J256-$F$249)&amp;" day "&amp;HOUR(J256-$F$249)&amp;" hour "&amp;MINUTE(J256-$F$249)&amp;" minute )","xxx"))))))</f>
        <v>DELAY ( 8 day 14 hour 29 minute )</v>
      </c>
      <c r="O256" s="506"/>
      <c r="P256" s="507" t="s">
        <v>551</v>
      </c>
      <c r="Q256" s="507" t="s">
        <v>551</v>
      </c>
      <c r="R256" s="507" t="s">
        <v>551</v>
      </c>
      <c r="S256" s="500"/>
      <c r="T256" s="508"/>
      <c r="U256" s="508"/>
      <c r="V256" s="508"/>
      <c r="W256" s="508"/>
      <c r="X256" s="508"/>
      <c r="Y256" s="508"/>
      <c r="Z256" s="508"/>
      <c r="AA256" s="508"/>
      <c r="AB256" s="508">
        <f>H256</f>
        <v>7423.723</v>
      </c>
      <c r="AC256" s="508"/>
      <c r="AD256" s="508"/>
      <c r="AE256" s="508"/>
      <c r="AF256" s="508"/>
      <c r="AG256" s="508"/>
      <c r="AH256" s="508"/>
      <c r="AI256" s="508"/>
      <c r="AJ256" s="508"/>
      <c r="AK256" s="508"/>
      <c r="AL256" s="508"/>
      <c r="AM256" s="508"/>
      <c r="AN256" s="508"/>
      <c r="AO256" s="508"/>
      <c r="AP256" s="508"/>
      <c r="AQ256" s="508"/>
      <c r="AR256" s="508"/>
      <c r="AS256" s="508"/>
      <c r="AT256" s="508"/>
      <c r="AU256" s="508"/>
      <c r="AV256" s="508"/>
      <c r="AW256" s="508"/>
      <c r="AX256" s="508"/>
      <c r="AY256" s="508"/>
      <c r="AZ256" s="508"/>
      <c r="BA256" s="508"/>
      <c r="BB256" s="500"/>
    </row>
    <row r="257" spans="2:54">
      <c r="B257" s="1315" t="s">
        <v>548</v>
      </c>
      <c r="C257" s="1316"/>
      <c r="D257" s="501" t="s">
        <v>2528</v>
      </c>
      <c r="E257" s="501"/>
      <c r="F257" s="501" t="s">
        <v>492</v>
      </c>
      <c r="G257" s="501" t="s">
        <v>493</v>
      </c>
      <c r="H257" s="503">
        <v>7416.8590000000004</v>
      </c>
      <c r="I257" s="505" t="s">
        <v>235</v>
      </c>
      <c r="J257" s="504">
        <v>45185.875</v>
      </c>
      <c r="K257" s="504"/>
      <c r="L257" s="504" t="s">
        <v>192</v>
      </c>
      <c r="M257" s="504" t="s">
        <v>192</v>
      </c>
      <c r="N257" s="505" t="str">
        <f t="shared" si="27"/>
        <v>DELAY ( 8 day 13 hour 54 minute )</v>
      </c>
      <c r="O257" s="506"/>
      <c r="P257" s="507" t="s">
        <v>551</v>
      </c>
      <c r="Q257" s="507" t="s">
        <v>551</v>
      </c>
      <c r="R257" s="507" t="s">
        <v>551</v>
      </c>
      <c r="S257" s="500"/>
      <c r="T257" s="508"/>
      <c r="U257" s="508"/>
      <c r="V257" s="508"/>
      <c r="W257" s="508"/>
      <c r="X257" s="508"/>
      <c r="Y257" s="508"/>
      <c r="Z257" s="508"/>
      <c r="AA257" s="508"/>
      <c r="AB257" s="508">
        <f>H257</f>
        <v>7416.8590000000004</v>
      </c>
      <c r="AC257" s="508"/>
      <c r="AD257" s="508"/>
      <c r="AE257" s="508"/>
      <c r="AF257" s="508"/>
      <c r="AG257" s="508"/>
      <c r="AH257" s="508"/>
      <c r="AI257" s="508"/>
      <c r="AJ257" s="508"/>
      <c r="AK257" s="508"/>
      <c r="AL257" s="508"/>
      <c r="AM257" s="508"/>
      <c r="AN257" s="508"/>
      <c r="AO257" s="508"/>
      <c r="AP257" s="508"/>
      <c r="AQ257" s="508"/>
      <c r="AR257" s="508"/>
      <c r="AS257" s="508"/>
      <c r="AT257" s="508"/>
      <c r="AU257" s="508"/>
      <c r="AV257" s="508"/>
      <c r="AW257" s="508"/>
      <c r="AX257" s="508"/>
      <c r="AY257" s="508"/>
      <c r="AZ257" s="508"/>
      <c r="BA257" s="508"/>
      <c r="BB257" s="500"/>
    </row>
    <row r="258" spans="2:54">
      <c r="B258" s="1315" t="s">
        <v>548</v>
      </c>
      <c r="C258" s="1316"/>
      <c r="D258" s="501" t="s">
        <v>2529</v>
      </c>
      <c r="E258" s="501"/>
      <c r="F258" s="501" t="s">
        <v>233</v>
      </c>
      <c r="G258" s="501" t="s">
        <v>234</v>
      </c>
      <c r="H258" s="503">
        <v>7604.8</v>
      </c>
      <c r="I258" s="505" t="s">
        <v>235</v>
      </c>
      <c r="J258" s="504">
        <v>45186.291666666664</v>
      </c>
      <c r="K258" s="504"/>
      <c r="L258" s="504" t="s">
        <v>192</v>
      </c>
      <c r="M258" s="504" t="s">
        <v>192</v>
      </c>
      <c r="N258" s="505" t="str">
        <f t="shared" si="27"/>
        <v>DELAY ( 8 day 23 hour 54 minute )</v>
      </c>
      <c r="O258" s="506"/>
      <c r="P258" s="507" t="s">
        <v>551</v>
      </c>
      <c r="Q258" s="507" t="s">
        <v>551</v>
      </c>
      <c r="R258" s="507" t="s">
        <v>551</v>
      </c>
      <c r="S258" s="500"/>
      <c r="T258" s="508"/>
      <c r="U258" s="508"/>
      <c r="V258" s="508"/>
      <c r="W258" s="508"/>
      <c r="X258" s="508"/>
      <c r="Y258" s="508"/>
      <c r="Z258" s="508"/>
      <c r="AA258" s="508"/>
      <c r="AB258" s="508">
        <f t="shared" ref="AB258" si="28">H258</f>
        <v>7604.8</v>
      </c>
      <c r="AC258" s="508"/>
      <c r="AD258" s="508"/>
      <c r="AE258" s="508"/>
      <c r="AF258" s="508"/>
      <c r="AG258" s="508"/>
      <c r="AH258" s="508"/>
      <c r="AI258" s="508"/>
      <c r="AJ258" s="508"/>
      <c r="AK258" s="508"/>
      <c r="AL258" s="508"/>
      <c r="AM258" s="508"/>
      <c r="AN258" s="508"/>
      <c r="AO258" s="508"/>
      <c r="AP258" s="508"/>
      <c r="AQ258" s="508"/>
      <c r="AR258" s="508"/>
      <c r="AS258" s="508"/>
      <c r="AT258" s="508"/>
      <c r="AU258" s="508"/>
      <c r="AV258" s="508"/>
      <c r="AW258" s="508"/>
      <c r="AX258" s="508"/>
      <c r="AY258" s="508"/>
      <c r="AZ258" s="508"/>
      <c r="BA258" s="508"/>
      <c r="BB258" s="500"/>
    </row>
    <row r="259" spans="2:54">
      <c r="B259" s="1315"/>
      <c r="C259" s="1316"/>
      <c r="D259" s="501"/>
      <c r="E259" s="501"/>
      <c r="F259" s="1315" t="s">
        <v>610</v>
      </c>
      <c r="G259" s="1316"/>
      <c r="H259" s="503">
        <f>H261-SUM(H255:H258)</f>
        <v>3844.6179999999986</v>
      </c>
      <c r="I259" s="505" t="s">
        <v>1164</v>
      </c>
      <c r="J259" s="504"/>
      <c r="K259" s="504"/>
      <c r="L259" s="504"/>
      <c r="M259" s="504"/>
      <c r="N259" s="505" t="str">
        <f t="shared" si="27"/>
        <v xml:space="preserve"> </v>
      </c>
      <c r="O259" s="506"/>
      <c r="P259" s="507" t="s">
        <v>551</v>
      </c>
      <c r="Q259" s="507"/>
      <c r="R259" s="507"/>
      <c r="S259" s="500"/>
      <c r="T259" s="508"/>
      <c r="U259" s="508"/>
      <c r="V259" s="508"/>
      <c r="W259" s="508"/>
      <c r="X259" s="508">
        <f>H259</f>
        <v>3844.6179999999986</v>
      </c>
      <c r="Y259" s="508"/>
      <c r="Z259" s="508"/>
      <c r="AA259" s="508"/>
      <c r="AB259" s="508"/>
      <c r="AC259" s="508"/>
      <c r="AD259" s="508"/>
      <c r="AE259" s="508"/>
      <c r="AF259" s="508"/>
      <c r="AG259" s="508"/>
      <c r="AH259" s="508"/>
      <c r="AI259" s="508"/>
      <c r="AJ259" s="508"/>
      <c r="AK259" s="508"/>
      <c r="AL259" s="508"/>
      <c r="AM259" s="508"/>
      <c r="AN259" s="508"/>
      <c r="AO259" s="508"/>
      <c r="AP259" s="508"/>
      <c r="AQ259" s="508"/>
      <c r="AR259" s="508"/>
      <c r="AS259" s="508"/>
      <c r="AT259" s="508"/>
      <c r="AU259" s="508"/>
      <c r="AV259" s="508"/>
      <c r="AW259" s="508"/>
      <c r="AX259" s="508"/>
      <c r="AY259" s="508"/>
      <c r="AZ259" s="508"/>
      <c r="BA259" s="508"/>
      <c r="BB259" s="500"/>
    </row>
    <row r="260" spans="2:54">
      <c r="B260" s="1351" t="s">
        <v>556</v>
      </c>
      <c r="C260" s="1352"/>
      <c r="D260" s="1352"/>
      <c r="E260" s="1352"/>
      <c r="F260" s="1352"/>
      <c r="G260" s="1353"/>
      <c r="H260" s="548">
        <f>SUM(H255:H259)</f>
        <v>31500</v>
      </c>
      <c r="I260" s="549"/>
      <c r="J260" s="550"/>
      <c r="K260" s="550"/>
      <c r="L260" s="550"/>
      <c r="M260" s="551"/>
      <c r="N260" s="505" t="str">
        <f t="shared" si="27"/>
        <v xml:space="preserve"> </v>
      </c>
      <c r="O260" s="552"/>
      <c r="P260" s="553"/>
      <c r="Q260" s="553"/>
      <c r="R260" s="553"/>
      <c r="S260" s="500"/>
      <c r="T260" s="1354"/>
      <c r="U260" s="1355"/>
      <c r="V260" s="1355"/>
      <c r="W260" s="1355"/>
      <c r="X260" s="1355"/>
      <c r="Y260" s="1355"/>
      <c r="Z260" s="1355"/>
      <c r="AA260" s="1355"/>
      <c r="AB260" s="1355"/>
      <c r="AC260" s="1355"/>
      <c r="AD260" s="1355"/>
      <c r="AE260" s="1355"/>
      <c r="AF260" s="1355"/>
      <c r="AG260" s="1355"/>
      <c r="AH260" s="1355"/>
      <c r="AI260" s="1355"/>
      <c r="AJ260" s="1355"/>
      <c r="AK260" s="1355"/>
      <c r="AL260" s="1355"/>
      <c r="AM260" s="1355"/>
      <c r="AN260" s="1355"/>
      <c r="AO260" s="1355"/>
      <c r="AP260" s="1355"/>
      <c r="AQ260" s="1355"/>
      <c r="AR260" s="1355"/>
      <c r="AS260" s="1355"/>
      <c r="AT260" s="1355"/>
      <c r="AU260" s="1355"/>
      <c r="AV260" s="1355"/>
      <c r="AW260" s="1355"/>
      <c r="AX260" s="1355"/>
      <c r="AY260" s="1355"/>
      <c r="AZ260" s="1355"/>
      <c r="BA260" s="1355"/>
      <c r="BB260" s="554"/>
    </row>
    <row r="261" spans="2:54">
      <c r="B261" s="1320" t="s">
        <v>557</v>
      </c>
      <c r="C261" s="1321"/>
      <c r="D261" s="1321"/>
      <c r="E261" s="1321"/>
      <c r="F261" s="1321"/>
      <c r="G261" s="1322"/>
      <c r="H261" s="545">
        <v>31500</v>
      </c>
      <c r="I261" s="1331"/>
      <c r="J261" s="1332"/>
      <c r="K261" s="1332"/>
      <c r="L261" s="1332"/>
      <c r="M261" s="1333"/>
      <c r="N261" s="505" t="str">
        <f t="shared" si="27"/>
        <v xml:space="preserve"> </v>
      </c>
      <c r="O261" s="500"/>
      <c r="P261" s="507"/>
      <c r="Q261" s="507"/>
      <c r="R261" s="507"/>
      <c r="S261" s="555"/>
      <c r="T261" s="508">
        <f t="shared" ref="T261:BA261" si="29">SUM(T255:T259)</f>
        <v>0</v>
      </c>
      <c r="U261" s="508">
        <f t="shared" si="29"/>
        <v>0</v>
      </c>
      <c r="V261" s="508">
        <f t="shared" si="29"/>
        <v>0</v>
      </c>
      <c r="W261" s="508">
        <f t="shared" si="29"/>
        <v>0</v>
      </c>
      <c r="X261" s="508">
        <f t="shared" si="29"/>
        <v>3844.6179999999986</v>
      </c>
      <c r="Y261" s="508">
        <f t="shared" si="29"/>
        <v>0</v>
      </c>
      <c r="Z261" s="508">
        <f t="shared" si="29"/>
        <v>0</v>
      </c>
      <c r="AA261" s="508">
        <f t="shared" si="29"/>
        <v>0</v>
      </c>
      <c r="AB261" s="508">
        <f t="shared" si="29"/>
        <v>22445.382000000001</v>
      </c>
      <c r="AC261" s="508">
        <f t="shared" si="29"/>
        <v>0</v>
      </c>
      <c r="AD261" s="508">
        <f t="shared" si="29"/>
        <v>0</v>
      </c>
      <c r="AE261" s="508">
        <f t="shared" si="29"/>
        <v>0</v>
      </c>
      <c r="AF261" s="508">
        <f t="shared" si="29"/>
        <v>0</v>
      </c>
      <c r="AG261" s="508">
        <f t="shared" si="29"/>
        <v>0</v>
      </c>
      <c r="AH261" s="508">
        <f t="shared" si="29"/>
        <v>0</v>
      </c>
      <c r="AI261" s="508">
        <f t="shared" si="29"/>
        <v>0</v>
      </c>
      <c r="AJ261" s="508">
        <f t="shared" si="29"/>
        <v>0</v>
      </c>
      <c r="AK261" s="508">
        <f t="shared" si="29"/>
        <v>0</v>
      </c>
      <c r="AL261" s="508">
        <f t="shared" si="29"/>
        <v>0</v>
      </c>
      <c r="AM261" s="508">
        <f t="shared" si="29"/>
        <v>0</v>
      </c>
      <c r="AN261" s="508">
        <f t="shared" si="29"/>
        <v>0</v>
      </c>
      <c r="AO261" s="508">
        <f t="shared" si="29"/>
        <v>0</v>
      </c>
      <c r="AP261" s="508">
        <f t="shared" si="29"/>
        <v>0</v>
      </c>
      <c r="AQ261" s="508">
        <f t="shared" si="29"/>
        <v>0</v>
      </c>
      <c r="AR261" s="508">
        <f t="shared" si="29"/>
        <v>0</v>
      </c>
      <c r="AS261" s="508">
        <f t="shared" si="29"/>
        <v>0</v>
      </c>
      <c r="AT261" s="508">
        <f t="shared" si="29"/>
        <v>5210</v>
      </c>
      <c r="AU261" s="508">
        <f t="shared" si="29"/>
        <v>0</v>
      </c>
      <c r="AV261" s="508">
        <f t="shared" si="29"/>
        <v>0</v>
      </c>
      <c r="AW261" s="508">
        <f t="shared" si="29"/>
        <v>0</v>
      </c>
      <c r="AX261" s="508">
        <f t="shared" si="29"/>
        <v>0</v>
      </c>
      <c r="AY261" s="508">
        <f t="shared" si="29"/>
        <v>0</v>
      </c>
      <c r="AZ261" s="508">
        <f t="shared" si="29"/>
        <v>0</v>
      </c>
      <c r="BA261" s="508">
        <f t="shared" si="29"/>
        <v>0</v>
      </c>
      <c r="BB261" s="508">
        <f>SUM(T261:BA261)</f>
        <v>31500</v>
      </c>
    </row>
    <row r="262" spans="2:54">
      <c r="B262" s="1320" t="s">
        <v>558</v>
      </c>
      <c r="C262" s="1321"/>
      <c r="D262" s="1321"/>
      <c r="E262" s="1321"/>
      <c r="F262" s="1321"/>
      <c r="G262" s="1322"/>
      <c r="H262" s="546">
        <f>H261-L249</f>
        <v>0</v>
      </c>
      <c r="I262" s="556"/>
      <c r="J262" s="557"/>
      <c r="K262" s="557"/>
      <c r="L262" s="558"/>
      <c r="M262" s="500"/>
      <c r="N262" s="500"/>
      <c r="O262" s="500"/>
      <c r="P262" s="500"/>
      <c r="Q262" s="559"/>
      <c r="R262" s="559"/>
      <c r="S262" s="500"/>
      <c r="T262" s="560"/>
      <c r="U262" s="560"/>
      <c r="V262" s="560"/>
      <c r="W262" s="560"/>
      <c r="X262" s="560"/>
      <c r="Y262" s="560"/>
      <c r="Z262" s="560"/>
      <c r="AA262" s="560"/>
      <c r="AB262" s="560"/>
      <c r="AC262" s="500"/>
      <c r="AD262" s="500"/>
      <c r="AE262" s="500"/>
      <c r="AF262" s="500"/>
      <c r="AG262" s="500"/>
      <c r="AH262" s="500"/>
      <c r="AI262" s="500"/>
      <c r="AJ262" s="500"/>
      <c r="AK262" s="500"/>
      <c r="AL262" s="500"/>
      <c r="AM262" s="500"/>
      <c r="AN262" s="500"/>
      <c r="AO262" s="500"/>
      <c r="AP262" s="500"/>
      <c r="AQ262" s="500"/>
      <c r="AR262" s="500"/>
      <c r="AS262" s="554"/>
      <c r="AT262" s="554"/>
      <c r="AU262" s="554"/>
      <c r="AV262" s="554"/>
      <c r="AW262" s="554"/>
      <c r="AX262" s="554"/>
      <c r="AY262" s="554"/>
      <c r="AZ262" s="554"/>
      <c r="BA262" s="554"/>
      <c r="BB262" s="554"/>
    </row>
    <row r="263" spans="2:54">
      <c r="B263" s="1320" t="s">
        <v>559</v>
      </c>
      <c r="C263" s="1321"/>
      <c r="D263" s="1321"/>
      <c r="E263" s="1321"/>
      <c r="F263" s="1321"/>
      <c r="G263" s="1322"/>
      <c r="H263" s="532">
        <f>H260-H261</f>
        <v>0</v>
      </c>
      <c r="I263" s="561"/>
      <c r="J263" s="562"/>
      <c r="K263" s="562"/>
      <c r="L263" s="563"/>
      <c r="M263" s="500"/>
      <c r="N263" s="500"/>
      <c r="O263" s="500"/>
      <c r="P263" s="500"/>
      <c r="Q263" s="500"/>
      <c r="R263" s="500"/>
      <c r="S263" s="500"/>
      <c r="T263" s="560"/>
      <c r="U263" s="560"/>
      <c r="V263" s="560"/>
      <c r="W263" s="560"/>
      <c r="X263" s="560"/>
      <c r="Y263" s="560"/>
      <c r="Z263" s="560"/>
      <c r="AA263" s="560"/>
      <c r="AB263" s="560"/>
      <c r="AC263" s="500"/>
      <c r="AD263" s="500"/>
      <c r="AE263" s="500"/>
      <c r="AF263" s="500"/>
      <c r="AG263" s="500"/>
      <c r="AH263" s="500"/>
      <c r="AI263" s="500"/>
      <c r="AJ263" s="500"/>
      <c r="AK263" s="500"/>
      <c r="AL263" s="500"/>
      <c r="AM263" s="500"/>
      <c r="AN263" s="500"/>
      <c r="AO263" s="500"/>
      <c r="AP263" s="500"/>
      <c r="AQ263" s="500"/>
      <c r="AR263" s="500"/>
      <c r="AS263" s="554"/>
      <c r="AT263" s="554"/>
      <c r="AU263" s="554"/>
      <c r="AV263" s="554"/>
      <c r="AW263" s="554"/>
      <c r="AX263" s="554"/>
      <c r="AY263" s="554"/>
      <c r="AZ263" s="554"/>
      <c r="BA263" s="554"/>
      <c r="BB263" s="554"/>
    </row>
    <row r="264" spans="2:54">
      <c r="B264" s="201"/>
      <c r="C264" s="201"/>
      <c r="D264" s="201"/>
      <c r="E264" s="201"/>
      <c r="F264" s="201"/>
      <c r="G264" s="201"/>
      <c r="H264" s="201"/>
      <c r="I264" s="213"/>
      <c r="J264" s="209"/>
      <c r="K264" s="209"/>
      <c r="L264" s="203"/>
      <c r="M264" s="201"/>
      <c r="N264" s="201"/>
      <c r="O264" s="209"/>
      <c r="P264" s="32"/>
      <c r="Q264" s="32"/>
      <c r="R264" s="32"/>
      <c r="S264" s="32"/>
      <c r="T264" s="48"/>
      <c r="U264" s="48"/>
      <c r="V264" s="48"/>
      <c r="W264" s="48"/>
      <c r="X264" s="48"/>
      <c r="Y264" s="48"/>
      <c r="Z264" s="48"/>
      <c r="AA264" s="48"/>
      <c r="AB264" s="48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</row>
    <row r="265" spans="2:54">
      <c r="B265" s="40" t="s">
        <v>561</v>
      </c>
      <c r="C265" s="40"/>
      <c r="D265" s="32"/>
      <c r="E265" s="32"/>
      <c r="F265" s="32"/>
      <c r="G265" s="32"/>
      <c r="H265" s="32"/>
      <c r="I265" s="32"/>
      <c r="J265" s="52"/>
      <c r="K265" s="52"/>
      <c r="L265" s="55"/>
      <c r="M265" s="32"/>
      <c r="N265" s="201"/>
      <c r="O265" s="5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  <c r="AA265" s="202"/>
      <c r="AB265" s="201"/>
      <c r="AC265" s="201"/>
      <c r="AD265" s="201"/>
      <c r="AE265" s="201"/>
      <c r="AF265" s="201"/>
      <c r="AG265" s="201"/>
      <c r="AH265" s="201"/>
      <c r="AI265" s="201"/>
      <c r="AJ265" s="201"/>
      <c r="AK265" s="201"/>
      <c r="AL265" s="201"/>
      <c r="AM265" s="201"/>
      <c r="AN265" s="201"/>
      <c r="AO265" s="201"/>
      <c r="AP265" s="201"/>
      <c r="AQ265" s="201"/>
      <c r="AR265" s="201"/>
      <c r="AS265" s="201"/>
      <c r="AT265" s="201"/>
      <c r="AU265" s="201"/>
      <c r="BB265" s="201"/>
    </row>
    <row r="266" spans="2:54">
      <c r="B266" s="422"/>
      <c r="C266" s="1249"/>
      <c r="D266" s="1249"/>
      <c r="E266" s="1249"/>
      <c r="F266" s="1249"/>
      <c r="G266" s="1249"/>
      <c r="H266" s="1249"/>
      <c r="I266" s="1249"/>
      <c r="J266" s="1249"/>
      <c r="K266" s="1249"/>
      <c r="L266" s="203"/>
      <c r="M266" s="203"/>
      <c r="N266" s="201"/>
      <c r="O266" s="209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  <c r="AA266" s="202"/>
      <c r="AB266" s="201"/>
      <c r="AC266" s="201"/>
      <c r="AD266" s="201"/>
      <c r="AE266" s="201"/>
      <c r="AF266" s="201"/>
      <c r="AG266" s="201"/>
      <c r="AH266" s="201"/>
      <c r="AI266" s="201"/>
      <c r="AJ266" s="201"/>
      <c r="AK266" s="201"/>
      <c r="AL266" s="201"/>
      <c r="AM266" s="201"/>
      <c r="AN266" s="201"/>
      <c r="AO266" s="201"/>
      <c r="AP266" s="201"/>
      <c r="AQ266" s="201"/>
      <c r="AR266" s="201"/>
      <c r="AS266" s="201"/>
      <c r="AT266" s="201"/>
      <c r="AU266" s="201"/>
      <c r="AV266" s="201"/>
      <c r="AW266" s="201"/>
      <c r="AX266" s="201"/>
      <c r="AY266" s="201"/>
      <c r="AZ266" s="201"/>
      <c r="BA266" s="201"/>
      <c r="BB266" s="201"/>
    </row>
    <row r="268" spans="2:54">
      <c r="B268" s="28" t="s">
        <v>126</v>
      </c>
      <c r="C268" s="28"/>
      <c r="D268" s="29"/>
      <c r="E268" s="30" t="s">
        <v>511</v>
      </c>
      <c r="F268" s="31" t="s">
        <v>230</v>
      </c>
      <c r="G268" s="32"/>
      <c r="H268" s="33"/>
      <c r="I268" s="34"/>
      <c r="J268" s="35" t="s">
        <v>513</v>
      </c>
      <c r="K268" s="36" t="s">
        <v>511</v>
      </c>
      <c r="L268" s="306">
        <v>45191.333333333336</v>
      </c>
      <c r="M268" s="32"/>
      <c r="N268" s="32"/>
      <c r="O268" s="206"/>
      <c r="P268" s="205"/>
      <c r="Q268" s="202"/>
      <c r="R268" s="204"/>
      <c r="S268" s="38"/>
      <c r="T268" s="201"/>
      <c r="U268" s="201"/>
      <c r="V268" s="201"/>
      <c r="W268" s="201"/>
      <c r="X268" s="201"/>
      <c r="Y268" s="201"/>
      <c r="Z268" s="201"/>
      <c r="AA268" s="201"/>
      <c r="AB268" s="202"/>
      <c r="AC268" s="202"/>
      <c r="AD268" s="202"/>
      <c r="AE268" s="202"/>
      <c r="AF268" s="202"/>
      <c r="AG268" s="201"/>
      <c r="AH268" s="201"/>
      <c r="AI268" s="201"/>
      <c r="AJ268" s="201"/>
      <c r="AK268" s="201"/>
      <c r="AL268" s="201"/>
      <c r="AM268" s="201"/>
      <c r="AN268" s="201"/>
      <c r="AO268" s="201"/>
      <c r="AP268" s="201"/>
      <c r="AQ268" s="201"/>
      <c r="AR268" s="201"/>
      <c r="AS268" s="201"/>
      <c r="AT268" s="201"/>
      <c r="AU268" s="201"/>
      <c r="AV268" s="201"/>
      <c r="AW268" s="201"/>
      <c r="AX268" s="201"/>
      <c r="AY268" s="201"/>
      <c r="AZ268" s="201"/>
      <c r="BA268" s="201"/>
      <c r="BB268" s="201"/>
    </row>
    <row r="269" spans="2:54">
      <c r="B269" s="35" t="s">
        <v>514</v>
      </c>
      <c r="C269" s="35"/>
      <c r="D269" s="32"/>
      <c r="E269" s="36" t="s">
        <v>511</v>
      </c>
      <c r="F269" s="311" t="s">
        <v>2530</v>
      </c>
      <c r="G269" s="32"/>
      <c r="H269" s="33"/>
      <c r="I269" s="34"/>
      <c r="J269" s="35" t="s">
        <v>516</v>
      </c>
      <c r="K269" s="36" t="s">
        <v>511</v>
      </c>
      <c r="L269" s="516">
        <v>45193.048611111109</v>
      </c>
      <c r="M269" s="32"/>
      <c r="N269" s="32"/>
      <c r="O269" s="206"/>
      <c r="P269" s="205"/>
      <c r="Q269" s="202"/>
      <c r="R269" s="204"/>
      <c r="S269" s="38"/>
      <c r="T269" s="201"/>
      <c r="U269" s="201"/>
      <c r="V269" s="201"/>
      <c r="W269" s="201"/>
      <c r="X269" s="201"/>
      <c r="Y269" s="201"/>
      <c r="Z269" s="201"/>
      <c r="AA269" s="201"/>
      <c r="AB269" s="202"/>
      <c r="AC269" s="202"/>
      <c r="AD269" s="202"/>
      <c r="AE269" s="202"/>
      <c r="AF269" s="202"/>
      <c r="AG269" s="201"/>
      <c r="AH269" s="201"/>
      <c r="AI269" s="201"/>
      <c r="AJ269" s="201"/>
      <c r="AK269" s="201"/>
      <c r="AL269" s="201"/>
      <c r="AM269" s="201"/>
      <c r="AN269" s="201"/>
      <c r="AO269" s="201"/>
      <c r="AP269" s="201"/>
      <c r="AQ269" s="201"/>
      <c r="AR269" s="201"/>
      <c r="AS269" s="201"/>
      <c r="AT269" s="201"/>
      <c r="AU269" s="201"/>
      <c r="AV269" s="201"/>
      <c r="AW269" s="201"/>
      <c r="AX269" s="201"/>
      <c r="AY269" s="201"/>
      <c r="AZ269" s="201"/>
      <c r="BA269" s="201"/>
      <c r="BB269" s="201"/>
    </row>
    <row r="270" spans="2:54">
      <c r="B270" s="35" t="s">
        <v>517</v>
      </c>
      <c r="C270" s="35"/>
      <c r="D270" s="32"/>
      <c r="E270" s="36" t="s">
        <v>511</v>
      </c>
      <c r="F270" s="37">
        <v>45180.291666666664</v>
      </c>
      <c r="G270" s="32"/>
      <c r="H270" s="33"/>
      <c r="I270" s="34"/>
      <c r="J270" s="35" t="s">
        <v>518</v>
      </c>
      <c r="K270" s="36" t="s">
        <v>511</v>
      </c>
      <c r="L270" s="544">
        <v>55600</v>
      </c>
      <c r="M270" s="40" t="s">
        <v>519</v>
      </c>
      <c r="N270" s="40"/>
      <c r="O270" s="206"/>
      <c r="P270" s="205"/>
      <c r="Q270" s="202"/>
      <c r="R270" s="204"/>
      <c r="S270" s="38"/>
      <c r="T270" s="201"/>
      <c r="U270" s="201"/>
      <c r="V270" s="201"/>
      <c r="W270" s="201"/>
      <c r="X270" s="201"/>
      <c r="Y270" s="201"/>
      <c r="Z270" s="201"/>
      <c r="AA270" s="201"/>
      <c r="AB270" s="202"/>
      <c r="AC270" s="202"/>
      <c r="AD270" s="202"/>
      <c r="AE270" s="202"/>
      <c r="AF270" s="202"/>
      <c r="AG270" s="201"/>
      <c r="AH270" s="201"/>
      <c r="AI270" s="201"/>
      <c r="AJ270" s="201"/>
      <c r="AK270" s="201"/>
      <c r="AL270" s="201"/>
      <c r="AM270" s="201"/>
      <c r="AN270" s="201"/>
      <c r="AO270" s="201"/>
      <c r="AP270" s="201"/>
      <c r="AQ270" s="201"/>
      <c r="AR270" s="201"/>
      <c r="AS270" s="201"/>
      <c r="AT270" s="201"/>
      <c r="AU270" s="201"/>
      <c r="AV270" s="201"/>
      <c r="AW270" s="201"/>
      <c r="AX270" s="201"/>
      <c r="AY270" s="201"/>
      <c r="AZ270" s="201"/>
      <c r="BA270" s="201"/>
      <c r="BB270" s="201"/>
    </row>
    <row r="271" spans="2:54">
      <c r="B271" s="35" t="s">
        <v>520</v>
      </c>
      <c r="C271" s="35"/>
      <c r="D271" s="32"/>
      <c r="E271" s="36" t="s">
        <v>511</v>
      </c>
      <c r="F271" s="37" t="s">
        <v>12</v>
      </c>
      <c r="G271" s="32"/>
      <c r="H271" s="33"/>
      <c r="I271" s="34"/>
      <c r="J271" s="35" t="s">
        <v>521</v>
      </c>
      <c r="K271" s="36" t="s">
        <v>511</v>
      </c>
      <c r="L271" s="41" t="s">
        <v>2531</v>
      </c>
      <c r="M271" s="32"/>
      <c r="N271" s="32"/>
      <c r="O271" s="206"/>
      <c r="P271" s="202"/>
      <c r="Q271" s="202"/>
      <c r="R271" s="204"/>
      <c r="S271" s="38"/>
      <c r="T271" s="201"/>
      <c r="U271" s="201"/>
      <c r="V271" s="201"/>
      <c r="W271" s="201"/>
      <c r="X271" s="201"/>
      <c r="Y271" s="201"/>
      <c r="Z271" s="201"/>
      <c r="AA271" s="201"/>
      <c r="AB271" s="202"/>
      <c r="AC271" s="202"/>
      <c r="AD271" s="202"/>
      <c r="AE271" s="202"/>
      <c r="AF271" s="202"/>
      <c r="AG271" s="201"/>
      <c r="AH271" s="201"/>
      <c r="AI271" s="201"/>
      <c r="AJ271" s="201"/>
      <c r="AK271" s="201"/>
      <c r="AL271" s="201"/>
      <c r="AM271" s="201"/>
      <c r="AN271" s="201"/>
      <c r="AO271" s="201"/>
      <c r="AP271" s="201"/>
      <c r="AQ271" s="201"/>
      <c r="AR271" s="201"/>
      <c r="AS271" s="201"/>
      <c r="AT271" s="201"/>
      <c r="AU271" s="201"/>
      <c r="AV271" s="201"/>
      <c r="AW271" s="201"/>
      <c r="AX271" s="201"/>
      <c r="AY271" s="201"/>
      <c r="AZ271" s="201"/>
      <c r="BA271" s="201"/>
      <c r="BB271" s="201"/>
    </row>
    <row r="272" spans="2:54">
      <c r="B272" s="35" t="s">
        <v>523</v>
      </c>
      <c r="C272" s="35"/>
      <c r="D272" s="32"/>
      <c r="E272" s="36" t="s">
        <v>511</v>
      </c>
      <c r="F272" s="37" t="s">
        <v>32</v>
      </c>
      <c r="G272" s="32"/>
      <c r="H272" s="33"/>
      <c r="I272" s="34"/>
      <c r="J272" s="42" t="s">
        <v>524</v>
      </c>
      <c r="K272" s="36" t="s">
        <v>511</v>
      </c>
      <c r="L272" s="43" t="s">
        <v>11</v>
      </c>
      <c r="M272" s="44"/>
      <c r="N272" s="44"/>
      <c r="O272" s="206"/>
      <c r="P272" s="205"/>
      <c r="Q272" s="202"/>
      <c r="R272" s="204"/>
      <c r="S272" s="38"/>
      <c r="T272" s="201"/>
      <c r="U272" s="201"/>
      <c r="V272" s="201"/>
      <c r="W272" s="201"/>
      <c r="X272" s="201"/>
      <c r="Y272" s="201"/>
      <c r="Z272" s="201"/>
      <c r="AA272" s="201"/>
      <c r="AB272" s="202"/>
      <c r="AC272" s="202"/>
      <c r="AD272" s="202"/>
      <c r="AE272" s="202"/>
      <c r="AF272" s="202"/>
      <c r="AG272" s="201"/>
      <c r="AH272" s="201"/>
      <c r="AI272" s="201"/>
      <c r="AJ272" s="201"/>
      <c r="AK272" s="201"/>
      <c r="AL272" s="201"/>
      <c r="AM272" s="201"/>
      <c r="AN272" s="201"/>
      <c r="AO272" s="201"/>
      <c r="AP272" s="201"/>
      <c r="AQ272" s="201"/>
      <c r="AR272" s="201"/>
      <c r="AS272" s="201"/>
      <c r="AT272" s="201"/>
      <c r="AU272" s="201"/>
      <c r="AV272" s="201"/>
      <c r="AW272" s="201"/>
      <c r="AX272" s="201"/>
      <c r="AY272" s="201"/>
      <c r="AZ272" s="201"/>
      <c r="BA272" s="201"/>
      <c r="BB272" s="201"/>
    </row>
    <row r="273" spans="2:54">
      <c r="B273" s="35" t="s">
        <v>2</v>
      </c>
      <c r="C273" s="35"/>
      <c r="D273" s="32"/>
      <c r="E273" s="36" t="s">
        <v>511</v>
      </c>
      <c r="F273" s="37" t="s">
        <v>14</v>
      </c>
      <c r="G273" s="32"/>
      <c r="H273" s="33"/>
      <c r="I273" s="45"/>
      <c r="J273" s="42"/>
      <c r="K273" s="36"/>
      <c r="L273" s="211"/>
      <c r="M273" s="201"/>
      <c r="N273" s="201"/>
      <c r="O273" s="42"/>
      <c r="P273" s="44"/>
      <c r="Q273" s="44"/>
      <c r="R273" s="44"/>
      <c r="S273" s="34"/>
      <c r="T273" s="201"/>
      <c r="U273" s="201"/>
      <c r="V273" s="201"/>
      <c r="W273" s="201"/>
      <c r="X273" s="201"/>
      <c r="Y273" s="201"/>
      <c r="Z273" s="201"/>
      <c r="AA273" s="201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201"/>
      <c r="AP273" s="201"/>
      <c r="AQ273" s="201"/>
      <c r="AR273" s="201"/>
      <c r="AS273" s="201"/>
      <c r="AT273" s="201"/>
      <c r="AU273" s="201"/>
      <c r="AV273" s="201"/>
      <c r="AW273" s="201"/>
      <c r="AX273" s="201"/>
      <c r="AY273" s="201"/>
      <c r="AZ273" s="201"/>
      <c r="BA273" s="201"/>
      <c r="BB273" s="201"/>
    </row>
    <row r="274" spans="2:54">
      <c r="B274" s="201"/>
      <c r="C274" s="201"/>
      <c r="D274" s="201"/>
      <c r="E274" s="201"/>
      <c r="F274" s="201"/>
      <c r="G274" s="201"/>
      <c r="H274" s="201"/>
      <c r="I274" s="45"/>
      <c r="J274" s="42"/>
      <c r="K274" s="42"/>
      <c r="L274" s="43"/>
      <c r="M274" s="44"/>
      <c r="N274" s="44"/>
      <c r="O274" s="42"/>
      <c r="P274" s="44"/>
      <c r="Q274" s="44"/>
      <c r="R274" s="44"/>
      <c r="S274" s="34"/>
      <c r="T274" s="1265" t="s">
        <v>87</v>
      </c>
      <c r="U274" s="1265"/>
      <c r="V274" s="1265"/>
      <c r="W274" s="1265"/>
      <c r="X274" s="1265"/>
      <c r="Y274" s="1265" t="s">
        <v>73</v>
      </c>
      <c r="Z274" s="1265"/>
      <c r="AA274" s="1265"/>
      <c r="AB274" s="1265" t="s">
        <v>74</v>
      </c>
      <c r="AC274" s="1265"/>
      <c r="AD274" s="423" t="s">
        <v>85</v>
      </c>
      <c r="AE274" s="423" t="s">
        <v>77</v>
      </c>
      <c r="AF274" s="1265" t="s">
        <v>525</v>
      </c>
      <c r="AG274" s="1265"/>
      <c r="AH274" s="1265"/>
      <c r="AI274" s="1265"/>
      <c r="AJ274" s="1265"/>
      <c r="AK274" s="1265"/>
      <c r="AL274" s="1265"/>
      <c r="AM274" s="1265"/>
      <c r="AN274" s="1265"/>
      <c r="AO274" s="1265"/>
      <c r="AP274" s="1265"/>
      <c r="AQ274" s="1265"/>
      <c r="AR274" s="1265"/>
      <c r="AS274" s="1265"/>
      <c r="AT274" s="1265"/>
      <c r="AU274" s="1265"/>
      <c r="AV274" s="1265"/>
      <c r="AW274" s="1265"/>
      <c r="AX274" s="1265"/>
      <c r="AY274" s="1265"/>
      <c r="AZ274" s="1265"/>
      <c r="BA274" s="1265"/>
      <c r="BB274" s="201"/>
    </row>
    <row r="275" spans="2:54">
      <c r="B275" s="1266" t="s">
        <v>526</v>
      </c>
      <c r="C275" s="1267"/>
      <c r="D275" s="570" t="s">
        <v>527</v>
      </c>
      <c r="E275" s="570"/>
      <c r="F275" s="570" t="s">
        <v>528</v>
      </c>
      <c r="G275" s="570" t="s">
        <v>529</v>
      </c>
      <c r="H275" s="570" t="s">
        <v>530</v>
      </c>
      <c r="I275" s="570" t="s">
        <v>531</v>
      </c>
      <c r="J275" s="570" t="s">
        <v>532</v>
      </c>
      <c r="K275" s="570"/>
      <c r="L275" s="570" t="s">
        <v>130</v>
      </c>
      <c r="M275" s="570" t="s">
        <v>533</v>
      </c>
      <c r="N275" s="408" t="str">
        <f>"On time - "&amp;COUNTIF(N276:N286,"On time")&amp;" from "&amp;ROWS(N276:N286)-COUNTIF(N276:N286," ")</f>
        <v>On time - 0 from 9</v>
      </c>
      <c r="O275" s="46"/>
      <c r="P275" s="409" t="s">
        <v>534</v>
      </c>
      <c r="Q275" s="409" t="s">
        <v>535</v>
      </c>
      <c r="R275" s="409" t="s">
        <v>536</v>
      </c>
      <c r="S275" s="32"/>
      <c r="T275" s="424" t="s">
        <v>537</v>
      </c>
      <c r="U275" s="424" t="s">
        <v>538</v>
      </c>
      <c r="V275" s="424" t="s">
        <v>539</v>
      </c>
      <c r="W275" s="424" t="s">
        <v>540</v>
      </c>
      <c r="X275" s="424" t="s">
        <v>541</v>
      </c>
      <c r="Y275" s="424" t="s">
        <v>167</v>
      </c>
      <c r="Z275" s="424" t="s">
        <v>168</v>
      </c>
      <c r="AA275" s="424" t="s">
        <v>169</v>
      </c>
      <c r="AB275" s="424" t="s">
        <v>235</v>
      </c>
      <c r="AC275" s="424" t="s">
        <v>240</v>
      </c>
      <c r="AD275" s="423" t="s">
        <v>85</v>
      </c>
      <c r="AE275" s="424" t="s">
        <v>139</v>
      </c>
      <c r="AF275" s="424" t="s">
        <v>72</v>
      </c>
      <c r="AG275" s="424" t="s">
        <v>88</v>
      </c>
      <c r="AH275" s="424" t="s">
        <v>75</v>
      </c>
      <c r="AI275" s="424" t="s">
        <v>543</v>
      </c>
      <c r="AJ275" s="424" t="s">
        <v>78</v>
      </c>
      <c r="AK275" s="424" t="s">
        <v>76</v>
      </c>
      <c r="AL275" s="424" t="s">
        <v>544</v>
      </c>
      <c r="AM275" s="424" t="s">
        <v>545</v>
      </c>
      <c r="AN275" s="424" t="s">
        <v>86</v>
      </c>
      <c r="AO275" s="424" t="s">
        <v>83</v>
      </c>
      <c r="AP275" s="424" t="s">
        <v>84</v>
      </c>
      <c r="AQ275" s="424" t="s">
        <v>546</v>
      </c>
      <c r="AR275" s="424" t="s">
        <v>81</v>
      </c>
      <c r="AS275" s="424" t="s">
        <v>80</v>
      </c>
      <c r="AT275" s="424" t="s">
        <v>82</v>
      </c>
      <c r="AU275" s="424" t="s">
        <v>181</v>
      </c>
      <c r="AV275" s="424" t="s">
        <v>183</v>
      </c>
      <c r="AW275" s="424" t="s">
        <v>547</v>
      </c>
      <c r="AX275" s="424" t="s">
        <v>182</v>
      </c>
      <c r="AY275" s="424" t="s">
        <v>172</v>
      </c>
      <c r="AZ275" s="424" t="s">
        <v>173</v>
      </c>
      <c r="BA275" s="424" t="s">
        <v>184</v>
      </c>
      <c r="BB275" s="201"/>
    </row>
    <row r="276" spans="2:54">
      <c r="B276" s="1326" t="s">
        <v>885</v>
      </c>
      <c r="C276" s="1327"/>
      <c r="D276" s="501" t="s">
        <v>2511</v>
      </c>
      <c r="E276" s="501"/>
      <c r="F276" s="501" t="s">
        <v>277</v>
      </c>
      <c r="G276" s="501" t="s">
        <v>278</v>
      </c>
      <c r="H276" s="503">
        <v>3033.6439999999998</v>
      </c>
      <c r="I276" s="505" t="s">
        <v>501</v>
      </c>
      <c r="J276" s="504">
        <v>45185.163194444453</v>
      </c>
      <c r="K276" s="504"/>
      <c r="L276" s="504" t="s">
        <v>192</v>
      </c>
      <c r="M276" s="504" t="s">
        <v>192</v>
      </c>
      <c r="N276" s="505" t="str">
        <f t="shared" ref="N276:N286" si="30">IF(ISBLANK(J276)," ",IF(J276&lt;$F$270,"On time",(IF(DAY(J276-$F$270)&lt;1,"On time",(IF(J276&gt;$F$270,"DELAY ( "&amp;DAY(J276-$F$270)&amp;" day "&amp;HOUR(J276-$F$270)&amp;" hour "&amp;MINUTE(J276-$F$270)&amp;" minute )","xxx"))))))</f>
        <v>DELAY ( 4 day 20 hour 55 minute )</v>
      </c>
      <c r="O276" s="506"/>
      <c r="P276" s="507" t="s">
        <v>551</v>
      </c>
      <c r="Q276" s="507" t="s">
        <v>551</v>
      </c>
      <c r="R276" s="507" t="s">
        <v>551</v>
      </c>
      <c r="S276" s="500"/>
      <c r="T276" s="508"/>
      <c r="U276" s="508"/>
      <c r="V276" s="508"/>
      <c r="W276" s="508"/>
      <c r="X276" s="508"/>
      <c r="Y276" s="508">
        <f>(H276*0.45)</f>
        <v>1365.1397999999999</v>
      </c>
      <c r="Z276" s="508">
        <f>(H276*0.55)</f>
        <v>1668.5042000000001</v>
      </c>
      <c r="AA276" s="508"/>
      <c r="AB276" s="508"/>
      <c r="AC276" s="508"/>
      <c r="AD276" s="508"/>
      <c r="AE276" s="508"/>
      <c r="AF276" s="508"/>
      <c r="AG276" s="508"/>
      <c r="AH276" s="508"/>
      <c r="AI276" s="508"/>
      <c r="AJ276" s="508"/>
      <c r="AK276" s="508"/>
      <c r="AL276" s="508"/>
      <c r="AM276" s="508"/>
      <c r="AN276" s="508"/>
      <c r="AO276" s="508"/>
      <c r="AP276" s="508"/>
      <c r="AQ276" s="508"/>
      <c r="AR276" s="508"/>
      <c r="AS276" s="508"/>
      <c r="AT276" s="508"/>
      <c r="AU276" s="508"/>
      <c r="AV276" s="508"/>
      <c r="AW276" s="508"/>
      <c r="AX276" s="508"/>
      <c r="AY276" s="508"/>
      <c r="AZ276" s="508"/>
      <c r="BA276" s="508"/>
      <c r="BB276" s="500"/>
    </row>
    <row r="277" spans="2:54">
      <c r="B277" s="1328"/>
      <c r="C277" s="1329"/>
      <c r="D277" s="501" t="s">
        <v>2532</v>
      </c>
      <c r="E277" s="501"/>
      <c r="F277" s="501" t="s">
        <v>292</v>
      </c>
      <c r="G277" s="501" t="s">
        <v>293</v>
      </c>
      <c r="H277" s="503">
        <v>7628.03</v>
      </c>
      <c r="I277" s="505" t="s">
        <v>494</v>
      </c>
      <c r="J277" s="504">
        <v>45188.583333333336</v>
      </c>
      <c r="K277" s="504"/>
      <c r="L277" s="504" t="s">
        <v>192</v>
      </c>
      <c r="M277" s="504" t="s">
        <v>192</v>
      </c>
      <c r="N277" s="505" t="str">
        <f t="shared" si="30"/>
        <v>DELAY ( 8 day 7 hour 0 minute )</v>
      </c>
      <c r="O277" s="506"/>
      <c r="P277" s="507" t="s">
        <v>551</v>
      </c>
      <c r="Q277" s="507" t="s">
        <v>551</v>
      </c>
      <c r="R277" s="507" t="s">
        <v>551</v>
      </c>
      <c r="S277" s="500"/>
      <c r="T277" s="508"/>
      <c r="U277" s="508"/>
      <c r="V277" s="508"/>
      <c r="W277" s="508"/>
      <c r="X277" s="508"/>
      <c r="Y277" s="508">
        <f t="shared" ref="Y277" si="31">H277</f>
        <v>7628.03</v>
      </c>
      <c r="Z277" s="508"/>
      <c r="AA277" s="508"/>
      <c r="AB277" s="508"/>
      <c r="AC277" s="508"/>
      <c r="AD277" s="508"/>
      <c r="AE277" s="508"/>
      <c r="AF277" s="508"/>
      <c r="AG277" s="508"/>
      <c r="AH277" s="508"/>
      <c r="AI277" s="508"/>
      <c r="AJ277" s="508"/>
      <c r="AK277" s="508"/>
      <c r="AL277" s="508"/>
      <c r="AM277" s="508"/>
      <c r="AN277" s="508"/>
      <c r="AO277" s="508"/>
      <c r="AP277" s="508"/>
      <c r="AQ277" s="508"/>
      <c r="AR277" s="508"/>
      <c r="AS277" s="508"/>
      <c r="AT277" s="508"/>
      <c r="AU277" s="508"/>
      <c r="AV277" s="508"/>
      <c r="AW277" s="508"/>
      <c r="AX277" s="508"/>
      <c r="AY277" s="508"/>
      <c r="AZ277" s="508"/>
      <c r="BA277" s="508"/>
      <c r="BB277" s="500"/>
    </row>
    <row r="278" spans="2:54">
      <c r="B278" s="1326" t="s">
        <v>2533</v>
      </c>
      <c r="C278" s="1327"/>
      <c r="D278" s="501" t="s">
        <v>2534</v>
      </c>
      <c r="E278" s="501"/>
      <c r="F278" s="501" t="s">
        <v>205</v>
      </c>
      <c r="G278" s="501" t="s">
        <v>206</v>
      </c>
      <c r="H278" s="503">
        <v>7387.5990000000002</v>
      </c>
      <c r="I278" s="505" t="s">
        <v>172</v>
      </c>
      <c r="J278" s="504">
        <v>45187.083333333336</v>
      </c>
      <c r="K278" s="504"/>
      <c r="L278" s="504" t="s">
        <v>192</v>
      </c>
      <c r="M278" s="504" t="s">
        <v>192</v>
      </c>
      <c r="N278" s="505" t="str">
        <f t="shared" si="30"/>
        <v>DELAY ( 6 day 19 hour 0 minute )</v>
      </c>
      <c r="O278" s="506"/>
      <c r="P278" s="507" t="s">
        <v>551</v>
      </c>
      <c r="Q278" s="507" t="s">
        <v>551</v>
      </c>
      <c r="R278" s="507" t="s">
        <v>551</v>
      </c>
      <c r="S278" s="500"/>
      <c r="T278" s="508"/>
      <c r="U278" s="508"/>
      <c r="V278" s="508"/>
      <c r="W278" s="508"/>
      <c r="X278" s="508"/>
      <c r="Y278" s="508"/>
      <c r="Z278" s="508"/>
      <c r="AA278" s="508"/>
      <c r="AB278" s="508"/>
      <c r="AC278" s="508"/>
      <c r="AD278" s="508"/>
      <c r="AE278" s="508"/>
      <c r="AF278" s="508"/>
      <c r="AG278" s="508"/>
      <c r="AH278" s="508"/>
      <c r="AI278" s="508"/>
      <c r="AJ278" s="508"/>
      <c r="AK278" s="508"/>
      <c r="AL278" s="508"/>
      <c r="AM278" s="508"/>
      <c r="AN278" s="508"/>
      <c r="AO278" s="508"/>
      <c r="AP278" s="508"/>
      <c r="AQ278" s="508"/>
      <c r="AR278" s="508"/>
      <c r="AS278" s="508"/>
      <c r="AT278" s="508"/>
      <c r="AU278" s="508"/>
      <c r="AV278" s="508"/>
      <c r="AW278" s="508"/>
      <c r="AX278" s="508"/>
      <c r="AY278" s="508">
        <f>H278</f>
        <v>7387.5990000000002</v>
      </c>
      <c r="AZ278" s="508"/>
      <c r="BA278" s="508"/>
      <c r="BB278" s="500"/>
    </row>
    <row r="279" spans="2:54">
      <c r="B279" s="1328"/>
      <c r="C279" s="1329"/>
      <c r="D279" s="501" t="s">
        <v>2535</v>
      </c>
      <c r="E279" s="501"/>
      <c r="F279" s="501" t="s">
        <v>298</v>
      </c>
      <c r="G279" s="501" t="s">
        <v>299</v>
      </c>
      <c r="H279" s="503">
        <v>10206.279</v>
      </c>
      <c r="I279" s="505" t="s">
        <v>1968</v>
      </c>
      <c r="J279" s="504">
        <v>45188.59375</v>
      </c>
      <c r="K279" s="504"/>
      <c r="L279" s="504" t="s">
        <v>192</v>
      </c>
      <c r="M279" s="504" t="s">
        <v>192</v>
      </c>
      <c r="N279" s="505" t="str">
        <f t="shared" si="30"/>
        <v>DELAY ( 8 day 7 hour 15 minute )</v>
      </c>
      <c r="O279" s="506"/>
      <c r="P279" s="507" t="s">
        <v>551</v>
      </c>
      <c r="Q279" s="507" t="s">
        <v>551</v>
      </c>
      <c r="R279" s="507" t="s">
        <v>551</v>
      </c>
      <c r="S279" s="500"/>
      <c r="T279" s="508"/>
      <c r="U279" s="508"/>
      <c r="V279" s="508"/>
      <c r="W279" s="508"/>
      <c r="X279" s="508"/>
      <c r="Y279" s="508">
        <f>H279*0.55</f>
        <v>5613.4534500000009</v>
      </c>
      <c r="Z279" s="508">
        <f>H279*0.45</f>
        <v>4592.8255500000005</v>
      </c>
      <c r="AA279" s="508"/>
      <c r="AB279" s="508"/>
      <c r="AC279" s="508"/>
      <c r="AD279" s="508"/>
      <c r="AE279" s="508"/>
      <c r="AF279" s="508"/>
      <c r="AG279" s="508"/>
      <c r="AH279" s="508"/>
      <c r="AI279" s="508"/>
      <c r="AJ279" s="508"/>
      <c r="AK279" s="508"/>
      <c r="AL279" s="508"/>
      <c r="AM279" s="508"/>
      <c r="AN279" s="508"/>
      <c r="AO279" s="508"/>
      <c r="AP279" s="508"/>
      <c r="AQ279" s="508"/>
      <c r="AR279" s="508"/>
      <c r="AS279" s="508"/>
      <c r="AT279" s="508"/>
      <c r="AU279" s="508"/>
      <c r="AV279" s="508"/>
      <c r="AW279" s="508"/>
      <c r="AX279" s="508"/>
      <c r="AY279" s="508"/>
      <c r="AZ279" s="508"/>
      <c r="BA279" s="508"/>
      <c r="BB279" s="500"/>
    </row>
    <row r="280" spans="2:54">
      <c r="B280" s="1326" t="s">
        <v>2533</v>
      </c>
      <c r="C280" s="1327"/>
      <c r="D280" s="501" t="s">
        <v>2522</v>
      </c>
      <c r="E280" s="501"/>
      <c r="F280" s="501" t="s">
        <v>695</v>
      </c>
      <c r="G280" s="501" t="s">
        <v>281</v>
      </c>
      <c r="H280" s="503">
        <v>4700.3450000000003</v>
      </c>
      <c r="I280" s="505" t="s">
        <v>235</v>
      </c>
      <c r="J280" s="504">
        <v>45186.927083333336</v>
      </c>
      <c r="K280" s="504"/>
      <c r="L280" s="504" t="s">
        <v>192</v>
      </c>
      <c r="M280" s="504" t="s">
        <v>192</v>
      </c>
      <c r="N280" s="505" t="str">
        <f t="shared" si="30"/>
        <v>DELAY ( 6 day 15 hour 15 minute )</v>
      </c>
      <c r="O280" s="506"/>
      <c r="P280" s="507" t="s">
        <v>551</v>
      </c>
      <c r="Q280" s="507" t="s">
        <v>551</v>
      </c>
      <c r="R280" s="507" t="s">
        <v>551</v>
      </c>
      <c r="S280" s="500"/>
      <c r="T280" s="508"/>
      <c r="U280" s="508"/>
      <c r="V280" s="508"/>
      <c r="W280" s="508"/>
      <c r="X280" s="508"/>
      <c r="Y280" s="508"/>
      <c r="Z280" s="508"/>
      <c r="AA280" s="508"/>
      <c r="AB280" s="508">
        <f>H280</f>
        <v>4700.3450000000003</v>
      </c>
      <c r="AC280" s="508"/>
      <c r="AD280" s="508"/>
      <c r="AE280" s="508"/>
      <c r="AF280" s="508"/>
      <c r="AG280" s="508"/>
      <c r="AH280" s="508"/>
      <c r="AI280" s="508"/>
      <c r="AJ280" s="508"/>
      <c r="AK280" s="508"/>
      <c r="AL280" s="508"/>
      <c r="AM280" s="508"/>
      <c r="AN280" s="508"/>
      <c r="AO280" s="508"/>
      <c r="AP280" s="508"/>
      <c r="AQ280" s="508"/>
      <c r="AR280" s="508"/>
      <c r="AS280" s="508"/>
      <c r="AT280" s="508"/>
      <c r="AU280" s="508"/>
      <c r="AV280" s="508"/>
      <c r="AW280" s="508"/>
      <c r="AX280" s="508"/>
      <c r="AY280" s="508"/>
      <c r="AZ280" s="508"/>
      <c r="BA280" s="508"/>
      <c r="BB280" s="500"/>
    </row>
    <row r="281" spans="2:54">
      <c r="B281" s="1328"/>
      <c r="C281" s="1329"/>
      <c r="D281" s="501" t="s">
        <v>2536</v>
      </c>
      <c r="E281" s="501"/>
      <c r="F281" s="501" t="s">
        <v>70</v>
      </c>
      <c r="G281" s="501" t="s">
        <v>1982</v>
      </c>
      <c r="H281" s="503">
        <v>7564.2030000000004</v>
      </c>
      <c r="I281" s="505" t="s">
        <v>494</v>
      </c>
      <c r="J281" s="504">
        <v>45188.604166666664</v>
      </c>
      <c r="K281" s="504"/>
      <c r="L281" s="504" t="s">
        <v>192</v>
      </c>
      <c r="M281" s="504" t="s">
        <v>192</v>
      </c>
      <c r="N281" s="505" t="str">
        <f t="shared" si="30"/>
        <v>DELAY ( 8 day 7 hour 30 minute )</v>
      </c>
      <c r="O281" s="506"/>
      <c r="P281" s="507" t="s">
        <v>551</v>
      </c>
      <c r="Q281" s="507" t="s">
        <v>551</v>
      </c>
      <c r="R281" s="507" t="s">
        <v>551</v>
      </c>
      <c r="S281" s="500"/>
      <c r="T281" s="508"/>
      <c r="U281" s="508"/>
      <c r="V281" s="508"/>
      <c r="W281" s="508"/>
      <c r="X281" s="508"/>
      <c r="Y281" s="508">
        <f t="shared" ref="Y281" si="32">H281</f>
        <v>7564.2030000000004</v>
      </c>
      <c r="Z281" s="508"/>
      <c r="AA281" s="508"/>
      <c r="AB281" s="508"/>
      <c r="AC281" s="508"/>
      <c r="AD281" s="508"/>
      <c r="AE281" s="508"/>
      <c r="AF281" s="508"/>
      <c r="AG281" s="508"/>
      <c r="AH281" s="508"/>
      <c r="AI281" s="508"/>
      <c r="AJ281" s="508"/>
      <c r="AK281" s="508"/>
      <c r="AL281" s="508"/>
      <c r="AM281" s="508"/>
      <c r="AN281" s="508"/>
      <c r="AO281" s="508"/>
      <c r="AP281" s="508"/>
      <c r="AQ281" s="508"/>
      <c r="AR281" s="508"/>
      <c r="AS281" s="508"/>
      <c r="AT281" s="508"/>
      <c r="AU281" s="508"/>
      <c r="AV281" s="508"/>
      <c r="AW281" s="508"/>
      <c r="AX281" s="508"/>
      <c r="AY281" s="508"/>
      <c r="AZ281" s="508"/>
      <c r="BA281" s="508"/>
      <c r="BB281" s="500"/>
    </row>
    <row r="282" spans="2:54">
      <c r="B282" s="1326" t="s">
        <v>653</v>
      </c>
      <c r="C282" s="1327"/>
      <c r="D282" s="501" t="s">
        <v>2537</v>
      </c>
      <c r="E282" s="501"/>
      <c r="F282" s="501" t="s">
        <v>2156</v>
      </c>
      <c r="G282" s="501" t="s">
        <v>1835</v>
      </c>
      <c r="H282" s="503">
        <v>7508.7629999999999</v>
      </c>
      <c r="I282" s="505" t="s">
        <v>494</v>
      </c>
      <c r="J282" s="504">
        <v>45188.75</v>
      </c>
      <c r="K282" s="504"/>
      <c r="L282" s="504" t="s">
        <v>192</v>
      </c>
      <c r="M282" s="504" t="s">
        <v>192</v>
      </c>
      <c r="N282" s="505" t="str">
        <f t="shared" si="30"/>
        <v>DELAY ( 8 day 11 hour 0 minute )</v>
      </c>
      <c r="O282" s="506"/>
      <c r="P282" s="507" t="s">
        <v>551</v>
      </c>
      <c r="Q282" s="507" t="s">
        <v>551</v>
      </c>
      <c r="R282" s="507" t="s">
        <v>551</v>
      </c>
      <c r="S282" s="500"/>
      <c r="T282" s="508"/>
      <c r="U282" s="508"/>
      <c r="V282" s="508"/>
      <c r="W282" s="508"/>
      <c r="X282" s="508"/>
      <c r="Y282" s="508">
        <f>H282</f>
        <v>7508.7629999999999</v>
      </c>
      <c r="Z282" s="508"/>
      <c r="AA282" s="508"/>
      <c r="AB282" s="508"/>
      <c r="AC282" s="508"/>
      <c r="AD282" s="508"/>
      <c r="AE282" s="508"/>
      <c r="AF282" s="508"/>
      <c r="AG282" s="508"/>
      <c r="AH282" s="508"/>
      <c r="AI282" s="508"/>
      <c r="AJ282" s="508"/>
      <c r="AK282" s="508"/>
      <c r="AL282" s="508"/>
      <c r="AM282" s="508"/>
      <c r="AN282" s="508"/>
      <c r="AO282" s="508"/>
      <c r="AP282" s="508"/>
      <c r="AQ282" s="508"/>
      <c r="AR282" s="508"/>
      <c r="AS282" s="508"/>
      <c r="AT282" s="508"/>
      <c r="AU282" s="508"/>
      <c r="AV282" s="508"/>
      <c r="AW282" s="508"/>
      <c r="AX282" s="508"/>
      <c r="AY282" s="508"/>
      <c r="AZ282" s="508"/>
      <c r="BA282" s="508"/>
      <c r="BB282" s="500"/>
    </row>
    <row r="283" spans="2:54">
      <c r="B283" s="1328"/>
      <c r="C283" s="1329"/>
      <c r="D283" s="501" t="s">
        <v>2538</v>
      </c>
      <c r="E283" s="501"/>
      <c r="F283" s="501" t="s">
        <v>371</v>
      </c>
      <c r="G283" s="501" t="s">
        <v>372</v>
      </c>
      <c r="H283" s="503">
        <v>7538.6509999999998</v>
      </c>
      <c r="I283" s="505" t="s">
        <v>418</v>
      </c>
      <c r="J283" s="504">
        <v>45190.597222222219</v>
      </c>
      <c r="K283" s="504"/>
      <c r="L283" s="504" t="s">
        <v>192</v>
      </c>
      <c r="M283" s="504" t="s">
        <v>192</v>
      </c>
      <c r="N283" s="505" t="str">
        <f t="shared" si="30"/>
        <v>DELAY ( 10 day 7 hour 20 minute )</v>
      </c>
      <c r="O283" s="506"/>
      <c r="P283" s="507" t="s">
        <v>551</v>
      </c>
      <c r="Q283" s="507" t="s">
        <v>551</v>
      </c>
      <c r="R283" s="507" t="s">
        <v>551</v>
      </c>
      <c r="S283" s="500"/>
      <c r="T283" s="508"/>
      <c r="U283" s="508"/>
      <c r="V283" s="508"/>
      <c r="W283" s="508"/>
      <c r="X283" s="508"/>
      <c r="Y283" s="508"/>
      <c r="Z283" s="508"/>
      <c r="AA283" s="508"/>
      <c r="AB283" s="508">
        <f>H283*0.55</f>
        <v>4146.2580500000004</v>
      </c>
      <c r="AC283" s="508">
        <f>H283*0.45</f>
        <v>3392.3929499999999</v>
      </c>
      <c r="AD283" s="508"/>
      <c r="AE283" s="508"/>
      <c r="AF283" s="508"/>
      <c r="AG283" s="508"/>
      <c r="AH283" s="508"/>
      <c r="AI283" s="508"/>
      <c r="AJ283" s="508"/>
      <c r="AK283" s="508"/>
      <c r="AL283" s="508"/>
      <c r="AM283" s="508"/>
      <c r="AN283" s="508"/>
      <c r="AO283" s="508"/>
      <c r="AP283" s="508"/>
      <c r="AQ283" s="508"/>
      <c r="AR283" s="508"/>
      <c r="AS283" s="508"/>
      <c r="AT283" s="508"/>
      <c r="AU283" s="508"/>
      <c r="AV283" s="508"/>
      <c r="AW283" s="508"/>
      <c r="AX283" s="508"/>
      <c r="AY283" s="508"/>
      <c r="AZ283" s="508"/>
      <c r="BA283" s="508"/>
      <c r="BB283" s="500"/>
    </row>
    <row r="284" spans="2:54">
      <c r="B284" s="1315" t="s">
        <v>548</v>
      </c>
      <c r="C284" s="1316"/>
      <c r="D284" s="501" t="s">
        <v>2539</v>
      </c>
      <c r="E284" s="501"/>
      <c r="F284" s="501" t="s">
        <v>346</v>
      </c>
      <c r="G284" s="501" t="s">
        <v>347</v>
      </c>
      <c r="H284" s="503">
        <f>7547.358-7514.872</f>
        <v>32.485999999999876</v>
      </c>
      <c r="I284" s="505" t="s">
        <v>1968</v>
      </c>
      <c r="J284" s="504">
        <v>45190.986111111109</v>
      </c>
      <c r="K284" s="504"/>
      <c r="L284" s="504" t="s">
        <v>192</v>
      </c>
      <c r="M284" s="504" t="s">
        <v>192</v>
      </c>
      <c r="N284" s="505" t="str">
        <f t="shared" si="30"/>
        <v>DELAY ( 10 day 16 hour 40 minute )</v>
      </c>
      <c r="O284" s="506"/>
      <c r="P284" s="507" t="s">
        <v>551</v>
      </c>
      <c r="Q284" s="507" t="s">
        <v>551</v>
      </c>
      <c r="R284" s="507" t="s">
        <v>551</v>
      </c>
      <c r="S284" s="500"/>
      <c r="T284" s="508"/>
      <c r="U284" s="508"/>
      <c r="V284" s="508"/>
      <c r="W284" s="508"/>
      <c r="X284" s="508"/>
      <c r="Y284" s="508">
        <f>(H284*0.7)</f>
        <v>22.740199999999913</v>
      </c>
      <c r="Z284" s="508">
        <f>(H284*0.3)</f>
        <v>9.7457999999999618</v>
      </c>
      <c r="AA284" s="508"/>
      <c r="AB284" s="508"/>
      <c r="AC284" s="508"/>
      <c r="AD284" s="508"/>
      <c r="AE284" s="508"/>
      <c r="AF284" s="508"/>
      <c r="AG284" s="508"/>
      <c r="AH284" s="508"/>
      <c r="AI284" s="508"/>
      <c r="AJ284" s="508"/>
      <c r="AK284" s="508"/>
      <c r="AL284" s="508"/>
      <c r="AM284" s="508"/>
      <c r="AN284" s="508"/>
      <c r="AO284" s="508"/>
      <c r="AP284" s="508"/>
      <c r="AQ284" s="508"/>
      <c r="AR284" s="508"/>
      <c r="AS284" s="508"/>
      <c r="AT284" s="508"/>
      <c r="AU284" s="508"/>
      <c r="AV284" s="508"/>
      <c r="AW284" s="508"/>
      <c r="AX284" s="508"/>
      <c r="AY284" s="508"/>
      <c r="AZ284" s="508"/>
      <c r="BA284" s="508"/>
      <c r="BB284" s="500"/>
    </row>
    <row r="285" spans="2:54">
      <c r="B285" s="1258" t="s">
        <v>556</v>
      </c>
      <c r="C285" s="1259"/>
      <c r="D285" s="1259"/>
      <c r="E285" s="1259"/>
      <c r="F285" s="1259"/>
      <c r="G285" s="1260"/>
      <c r="H285" s="417">
        <f>SUM(H276:H284)</f>
        <v>55600</v>
      </c>
      <c r="I285" s="388"/>
      <c r="J285" s="293"/>
      <c r="K285" s="293"/>
      <c r="L285" s="293"/>
      <c r="M285" s="389"/>
      <c r="N285" s="505" t="str">
        <f t="shared" si="30"/>
        <v xml:space="preserve"> </v>
      </c>
      <c r="O285" s="212"/>
      <c r="P285" s="418"/>
      <c r="Q285" s="418"/>
      <c r="R285" s="418"/>
      <c r="S285" s="207"/>
      <c r="T285" s="1300"/>
      <c r="U285" s="1301"/>
      <c r="V285" s="1301"/>
      <c r="W285" s="1301"/>
      <c r="X285" s="1301"/>
      <c r="Y285" s="1301"/>
      <c r="Z285" s="1301"/>
      <c r="AA285" s="1301"/>
      <c r="AB285" s="1301"/>
      <c r="AC285" s="1301"/>
      <c r="AD285" s="1301"/>
      <c r="AE285" s="1301"/>
      <c r="AF285" s="1301"/>
      <c r="AG285" s="1301"/>
      <c r="AH285" s="1301"/>
      <c r="AI285" s="1301"/>
      <c r="AJ285" s="1301"/>
      <c r="AK285" s="1301"/>
      <c r="AL285" s="1301"/>
      <c r="AM285" s="1301"/>
      <c r="AN285" s="1301"/>
      <c r="AO285" s="1301"/>
      <c r="AP285" s="1301"/>
      <c r="AQ285" s="1301"/>
      <c r="AR285" s="1301"/>
      <c r="AS285" s="1301"/>
      <c r="AT285" s="1301"/>
      <c r="AU285" s="1301"/>
      <c r="AV285" s="1301"/>
      <c r="AW285" s="1301"/>
      <c r="AX285" s="1301"/>
      <c r="AY285" s="1301"/>
      <c r="AZ285" s="1301"/>
      <c r="BA285" s="1301"/>
    </row>
    <row r="286" spans="2:54">
      <c r="B286" s="1320" t="s">
        <v>557</v>
      </c>
      <c r="C286" s="1321"/>
      <c r="D286" s="1321"/>
      <c r="E286" s="1321"/>
      <c r="F286" s="1321"/>
      <c r="G286" s="1322"/>
      <c r="H286" s="545">
        <v>55600</v>
      </c>
      <c r="I286" s="1273"/>
      <c r="J286" s="1274"/>
      <c r="K286" s="1274"/>
      <c r="L286" s="1274"/>
      <c r="M286" s="1275"/>
      <c r="N286" s="505" t="str">
        <f t="shared" si="30"/>
        <v xml:space="preserve"> </v>
      </c>
      <c r="O286" s="32"/>
      <c r="P286" s="415"/>
      <c r="Q286" s="415"/>
      <c r="R286" s="415"/>
      <c r="S286" s="63"/>
      <c r="T286" s="416">
        <f t="shared" ref="T286:BA286" si="33">SUM(T276:T284)</f>
        <v>0</v>
      </c>
      <c r="U286" s="416">
        <f t="shared" si="33"/>
        <v>0</v>
      </c>
      <c r="V286" s="416">
        <f t="shared" si="33"/>
        <v>0</v>
      </c>
      <c r="W286" s="416">
        <f t="shared" si="33"/>
        <v>0</v>
      </c>
      <c r="X286" s="416">
        <f t="shared" si="33"/>
        <v>0</v>
      </c>
      <c r="Y286" s="416">
        <f t="shared" si="33"/>
        <v>29702.329450000001</v>
      </c>
      <c r="Z286" s="416">
        <f t="shared" si="33"/>
        <v>6271.0755500000005</v>
      </c>
      <c r="AA286" s="416">
        <f t="shared" si="33"/>
        <v>0</v>
      </c>
      <c r="AB286" s="416">
        <f t="shared" si="33"/>
        <v>8846.6030500000015</v>
      </c>
      <c r="AC286" s="416">
        <f t="shared" si="33"/>
        <v>3392.3929499999999</v>
      </c>
      <c r="AD286" s="416">
        <f t="shared" si="33"/>
        <v>0</v>
      </c>
      <c r="AE286" s="416">
        <f t="shared" si="33"/>
        <v>0</v>
      </c>
      <c r="AF286" s="416">
        <f t="shared" si="33"/>
        <v>0</v>
      </c>
      <c r="AG286" s="416">
        <f t="shared" si="33"/>
        <v>0</v>
      </c>
      <c r="AH286" s="416">
        <f t="shared" si="33"/>
        <v>0</v>
      </c>
      <c r="AI286" s="416">
        <f t="shared" si="33"/>
        <v>0</v>
      </c>
      <c r="AJ286" s="416">
        <f t="shared" si="33"/>
        <v>0</v>
      </c>
      <c r="AK286" s="416">
        <f t="shared" si="33"/>
        <v>0</v>
      </c>
      <c r="AL286" s="416">
        <f t="shared" si="33"/>
        <v>0</v>
      </c>
      <c r="AM286" s="416">
        <f t="shared" si="33"/>
        <v>0</v>
      </c>
      <c r="AN286" s="416">
        <f t="shared" si="33"/>
        <v>0</v>
      </c>
      <c r="AO286" s="416">
        <f t="shared" si="33"/>
        <v>0</v>
      </c>
      <c r="AP286" s="416">
        <f t="shared" si="33"/>
        <v>0</v>
      </c>
      <c r="AQ286" s="416">
        <f t="shared" si="33"/>
        <v>0</v>
      </c>
      <c r="AR286" s="416">
        <f t="shared" si="33"/>
        <v>0</v>
      </c>
      <c r="AS286" s="416">
        <f t="shared" si="33"/>
        <v>0</v>
      </c>
      <c r="AT286" s="416">
        <f t="shared" si="33"/>
        <v>0</v>
      </c>
      <c r="AU286" s="416">
        <f t="shared" si="33"/>
        <v>0</v>
      </c>
      <c r="AV286" s="416">
        <f t="shared" si="33"/>
        <v>0</v>
      </c>
      <c r="AW286" s="416">
        <f t="shared" si="33"/>
        <v>0</v>
      </c>
      <c r="AX286" s="416">
        <f t="shared" si="33"/>
        <v>0</v>
      </c>
      <c r="AY286" s="416">
        <f t="shared" si="33"/>
        <v>7387.5990000000002</v>
      </c>
      <c r="AZ286" s="416">
        <f t="shared" si="33"/>
        <v>0</v>
      </c>
      <c r="BA286" s="416">
        <f t="shared" si="33"/>
        <v>0</v>
      </c>
      <c r="BB286" s="416">
        <f>SUM(T286:BA286)</f>
        <v>55600.000000000007</v>
      </c>
    </row>
    <row r="287" spans="2:54">
      <c r="B287" s="1320" t="s">
        <v>558</v>
      </c>
      <c r="C287" s="1321"/>
      <c r="D287" s="1321"/>
      <c r="E287" s="1321"/>
      <c r="F287" s="1321"/>
      <c r="G287" s="1322"/>
      <c r="H287" s="546">
        <f>H286-L270</f>
        <v>0</v>
      </c>
      <c r="I287" s="294"/>
      <c r="J287" s="295"/>
      <c r="K287" s="295"/>
      <c r="L287" s="296"/>
      <c r="M287" s="32"/>
      <c r="N287" s="32"/>
      <c r="O287" s="32"/>
      <c r="P287" s="32"/>
      <c r="Q287" s="297"/>
      <c r="R287" s="297"/>
      <c r="S287" s="32"/>
      <c r="T287" s="48"/>
      <c r="U287" s="48"/>
      <c r="V287" s="48"/>
      <c r="W287" s="48"/>
      <c r="X287" s="48"/>
      <c r="Y287" s="48"/>
      <c r="Z287" s="48"/>
      <c r="AA287" s="48"/>
      <c r="AB287" s="48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</row>
    <row r="288" spans="2:54">
      <c r="B288" s="1320" t="s">
        <v>559</v>
      </c>
      <c r="C288" s="1321"/>
      <c r="D288" s="1321"/>
      <c r="E288" s="1321"/>
      <c r="F288" s="1321"/>
      <c r="G288" s="1322"/>
      <c r="H288" s="532">
        <v>7233.4250000000002</v>
      </c>
      <c r="I288" s="52"/>
      <c r="J288" s="53"/>
      <c r="K288" s="53"/>
      <c r="L288" s="54"/>
      <c r="M288" s="32"/>
      <c r="N288" s="201"/>
      <c r="O288" s="32"/>
      <c r="P288" s="32"/>
      <c r="Q288" s="32"/>
      <c r="R288" s="32"/>
      <c r="S288" s="32"/>
      <c r="T288" s="48"/>
      <c r="U288" s="48"/>
      <c r="V288" s="48"/>
      <c r="W288" s="48"/>
      <c r="X288" s="48"/>
      <c r="Y288" s="48"/>
      <c r="Z288" s="48"/>
      <c r="AA288" s="48"/>
      <c r="AB288" s="48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</row>
    <row r="289" spans="2:54" s="496" customFormat="1">
      <c r="B289" s="1323" t="s">
        <v>560</v>
      </c>
      <c r="C289" s="1324"/>
      <c r="D289" s="1324"/>
      <c r="E289" s="1324"/>
      <c r="F289" s="1324"/>
      <c r="G289" s="1325"/>
      <c r="H289" s="421">
        <f>H288-7514.872</f>
        <v>-281.44700000000012</v>
      </c>
      <c r="I289" s="209"/>
      <c r="J289" s="498"/>
      <c r="K289" s="498"/>
      <c r="L289" s="499"/>
      <c r="M289" s="201"/>
      <c r="N289" s="201"/>
      <c r="O289" s="201"/>
      <c r="P289" s="201"/>
      <c r="Q289" s="201"/>
      <c r="R289" s="201"/>
      <c r="S289" s="202"/>
      <c r="T289" s="202"/>
      <c r="U289" s="202"/>
      <c r="V289" s="202"/>
      <c r="W289" s="202"/>
      <c r="X289" s="202"/>
      <c r="Y289" s="202"/>
      <c r="Z289" s="202"/>
      <c r="AA289" s="202"/>
      <c r="AB289" s="201"/>
      <c r="AC289" s="201"/>
      <c r="AD289" s="201"/>
      <c r="AE289" s="201"/>
      <c r="AF289" s="201"/>
      <c r="AG289" s="201"/>
      <c r="AH289" s="201"/>
      <c r="AI289" s="201"/>
      <c r="AJ289" s="201"/>
      <c r="AK289" s="201"/>
      <c r="AL289" s="201"/>
      <c r="AM289" s="201"/>
      <c r="AN289" s="201"/>
      <c r="AO289" s="201"/>
      <c r="AP289" s="201"/>
      <c r="AQ289" s="201"/>
    </row>
    <row r="290" spans="2:54">
      <c r="B290" s="201"/>
      <c r="C290" s="201"/>
      <c r="D290" s="201"/>
      <c r="E290" s="201"/>
      <c r="F290" s="201"/>
      <c r="G290" s="201"/>
      <c r="H290" s="201"/>
      <c r="I290" s="213"/>
      <c r="J290" s="209"/>
      <c r="K290" s="209"/>
      <c r="L290" s="203"/>
      <c r="M290" s="201"/>
      <c r="N290" s="201"/>
      <c r="O290" s="209"/>
      <c r="P290" s="32"/>
      <c r="Q290" s="32"/>
      <c r="R290" s="32"/>
      <c r="S290" s="32"/>
      <c r="T290" s="48"/>
      <c r="U290" s="48"/>
      <c r="V290" s="48"/>
      <c r="W290" s="48"/>
      <c r="X290" s="48"/>
      <c r="Y290" s="48"/>
      <c r="Z290" s="48"/>
      <c r="AA290" s="48"/>
      <c r="AB290" s="48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</row>
    <row r="291" spans="2:54">
      <c r="B291" s="40" t="s">
        <v>561</v>
      </c>
      <c r="C291" s="40"/>
      <c r="D291" s="32"/>
      <c r="E291" s="32"/>
      <c r="F291" s="32"/>
      <c r="G291" s="32"/>
      <c r="H291" s="32"/>
      <c r="I291" s="32"/>
      <c r="J291" s="52"/>
      <c r="K291" s="52"/>
      <c r="L291" s="55"/>
      <c r="M291" s="32"/>
      <c r="N291" s="201"/>
      <c r="O291" s="52"/>
      <c r="P291" s="202"/>
      <c r="Q291" s="32"/>
      <c r="R291" s="202"/>
      <c r="S291" s="202"/>
      <c r="T291" s="202"/>
      <c r="U291" s="202"/>
      <c r="V291" s="202"/>
      <c r="W291" s="202"/>
      <c r="X291" s="202"/>
      <c r="Y291" s="202"/>
      <c r="Z291" s="202"/>
      <c r="AA291" s="202"/>
      <c r="AB291" s="201"/>
      <c r="AC291" s="201"/>
      <c r="AD291" s="201"/>
      <c r="AE291" s="201"/>
      <c r="AF291" s="201"/>
      <c r="AG291" s="201"/>
      <c r="AH291" s="201"/>
      <c r="AI291" s="201"/>
      <c r="AJ291" s="201"/>
      <c r="AK291" s="201"/>
      <c r="AL291" s="201"/>
      <c r="AM291" s="201"/>
      <c r="AN291" s="201"/>
      <c r="AO291" s="201"/>
      <c r="AP291" s="201"/>
      <c r="AQ291" s="201"/>
      <c r="AR291" s="201"/>
      <c r="AS291" s="201"/>
      <c r="AT291" s="201"/>
      <c r="AU291" s="201"/>
      <c r="BB291" s="201"/>
    </row>
    <row r="292" spans="2:54">
      <c r="B292" s="422">
        <v>1</v>
      </c>
      <c r="C292" s="1249" t="s">
        <v>2540</v>
      </c>
      <c r="D292" s="1249"/>
      <c r="E292" s="1249"/>
      <c r="F292" s="1249"/>
      <c r="G292" s="1249"/>
      <c r="H292" s="1249"/>
      <c r="I292" s="1249"/>
      <c r="J292" s="1249"/>
      <c r="K292" s="1249"/>
      <c r="L292" s="203"/>
      <c r="M292" s="203"/>
      <c r="N292" s="201"/>
      <c r="O292" s="209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  <c r="AA292" s="202"/>
      <c r="AB292" s="201"/>
      <c r="AC292" s="201"/>
      <c r="AD292" s="201"/>
      <c r="AE292" s="201"/>
      <c r="AF292" s="201"/>
      <c r="AG292" s="201"/>
      <c r="AH292" s="201"/>
      <c r="AI292" s="201"/>
      <c r="AJ292" s="201"/>
      <c r="AK292" s="201"/>
      <c r="AL292" s="201"/>
      <c r="AM292" s="201"/>
      <c r="AN292" s="201"/>
      <c r="AO292" s="201"/>
      <c r="AP292" s="201"/>
      <c r="AQ292" s="201"/>
      <c r="AR292" s="201"/>
      <c r="AS292" s="201"/>
      <c r="AT292" s="201"/>
      <c r="AU292" s="201"/>
      <c r="AV292" s="201"/>
      <c r="AW292" s="201"/>
      <c r="AX292" s="201"/>
      <c r="AY292" s="201"/>
      <c r="AZ292" s="201"/>
      <c r="BA292" s="201"/>
      <c r="BB292" s="201"/>
    </row>
    <row r="294" spans="2:54">
      <c r="B294" s="28" t="s">
        <v>126</v>
      </c>
      <c r="C294" s="28"/>
      <c r="D294" s="29"/>
      <c r="E294" s="30" t="s">
        <v>511</v>
      </c>
      <c r="F294" s="31" t="s">
        <v>1827</v>
      </c>
      <c r="G294" s="32"/>
      <c r="H294" s="33"/>
      <c r="I294" s="34"/>
      <c r="J294" s="35" t="s">
        <v>513</v>
      </c>
      <c r="K294" s="36" t="s">
        <v>511</v>
      </c>
      <c r="L294" s="516">
        <v>45191.402777777781</v>
      </c>
      <c r="M294" s="32"/>
      <c r="N294" s="32"/>
      <c r="O294" s="206"/>
      <c r="P294" s="205"/>
      <c r="Q294" s="202"/>
      <c r="R294" s="204"/>
      <c r="S294" s="38"/>
      <c r="T294" s="201"/>
      <c r="U294" s="201"/>
      <c r="V294" s="201"/>
      <c r="W294" s="201"/>
      <c r="X294" s="201"/>
      <c r="Y294" s="201"/>
      <c r="Z294" s="201"/>
      <c r="AA294" s="201"/>
      <c r="AB294" s="202"/>
      <c r="AC294" s="202"/>
      <c r="AD294" s="202"/>
      <c r="AE294" s="202"/>
      <c r="AF294" s="202"/>
      <c r="AG294" s="201"/>
      <c r="AH294" s="201"/>
      <c r="AI294" s="201"/>
      <c r="AJ294" s="201"/>
      <c r="AK294" s="201"/>
      <c r="AL294" s="201"/>
      <c r="AM294" s="201"/>
      <c r="AN294" s="201"/>
      <c r="AO294" s="201"/>
      <c r="AP294" s="201"/>
      <c r="AQ294" s="201"/>
      <c r="AR294" s="201"/>
      <c r="AS294" s="201"/>
      <c r="AT294" s="201"/>
      <c r="AU294" s="201"/>
      <c r="AV294" s="201"/>
      <c r="AW294" s="201"/>
      <c r="AX294" s="201"/>
      <c r="AY294" s="201"/>
      <c r="AZ294" s="201"/>
      <c r="BA294" s="201"/>
      <c r="BB294" s="201"/>
    </row>
    <row r="295" spans="2:54">
      <c r="B295" s="35" t="s">
        <v>514</v>
      </c>
      <c r="C295" s="35"/>
      <c r="D295" s="32"/>
      <c r="E295" s="36" t="s">
        <v>511</v>
      </c>
      <c r="F295" s="311" t="s">
        <v>2541</v>
      </c>
      <c r="G295" s="59" t="s">
        <v>647</v>
      </c>
      <c r="H295" s="33"/>
      <c r="I295" s="34"/>
      <c r="J295" s="35" t="s">
        <v>516</v>
      </c>
      <c r="K295" s="36" t="s">
        <v>511</v>
      </c>
      <c r="L295" s="516">
        <v>45193.71875</v>
      </c>
      <c r="M295" s="32"/>
      <c r="N295" s="32"/>
      <c r="O295" s="206"/>
      <c r="P295" s="205"/>
      <c r="Q295" s="202"/>
      <c r="R295" s="204"/>
      <c r="S295" s="38"/>
      <c r="T295" s="201"/>
      <c r="U295" s="201"/>
      <c r="V295" s="201"/>
      <c r="W295" s="201"/>
      <c r="X295" s="201"/>
      <c r="Y295" s="201"/>
      <c r="Z295" s="201"/>
      <c r="AA295" s="201"/>
      <c r="AB295" s="202"/>
      <c r="AC295" s="202"/>
      <c r="AD295" s="202"/>
      <c r="AE295" s="202"/>
      <c r="AF295" s="202"/>
      <c r="AG295" s="201"/>
      <c r="AH295" s="201"/>
      <c r="AI295" s="201"/>
      <c r="AJ295" s="201"/>
      <c r="AK295" s="201"/>
      <c r="AL295" s="201"/>
      <c r="AM295" s="201"/>
      <c r="AN295" s="201"/>
      <c r="AO295" s="201"/>
      <c r="AP295" s="201"/>
      <c r="AQ295" s="201"/>
      <c r="AR295" s="201"/>
      <c r="AS295" s="201"/>
      <c r="AT295" s="201"/>
      <c r="AU295" s="201"/>
      <c r="AV295" s="201"/>
      <c r="AW295" s="201"/>
      <c r="AX295" s="201"/>
      <c r="AY295" s="201"/>
      <c r="AZ295" s="201"/>
      <c r="BA295" s="201"/>
      <c r="BB295" s="201"/>
    </row>
    <row r="296" spans="2:54">
      <c r="B296" s="35" t="s">
        <v>517</v>
      </c>
      <c r="C296" s="35"/>
      <c r="D296" s="32"/>
      <c r="E296" s="36" t="s">
        <v>511</v>
      </c>
      <c r="F296" s="37">
        <v>45178.55</v>
      </c>
      <c r="G296" s="60">
        <v>45185</v>
      </c>
      <c r="H296" s="33"/>
      <c r="I296" s="34"/>
      <c r="J296" s="35" t="s">
        <v>518</v>
      </c>
      <c r="K296" s="36" t="s">
        <v>511</v>
      </c>
      <c r="L296" s="544">
        <v>67000</v>
      </c>
      <c r="M296" s="40" t="s">
        <v>519</v>
      </c>
      <c r="N296" s="40"/>
      <c r="O296" s="206"/>
      <c r="P296" s="205"/>
      <c r="Q296" s="202"/>
      <c r="R296" s="204"/>
      <c r="S296" s="38"/>
      <c r="T296" s="201"/>
      <c r="U296" s="201"/>
      <c r="V296" s="201"/>
      <c r="W296" s="201"/>
      <c r="X296" s="201"/>
      <c r="Y296" s="201"/>
      <c r="Z296" s="201"/>
      <c r="AA296" s="201"/>
      <c r="AB296" s="202"/>
      <c r="AC296" s="202"/>
      <c r="AD296" s="202"/>
      <c r="AE296" s="202"/>
      <c r="AF296" s="202"/>
      <c r="AG296" s="201"/>
      <c r="AH296" s="201"/>
      <c r="AI296" s="201"/>
      <c r="AJ296" s="201"/>
      <c r="AK296" s="201"/>
      <c r="AL296" s="201"/>
      <c r="AM296" s="201"/>
      <c r="AN296" s="201"/>
      <c r="AO296" s="201"/>
      <c r="AP296" s="201"/>
      <c r="AQ296" s="201"/>
      <c r="AR296" s="201"/>
      <c r="AS296" s="201"/>
      <c r="AT296" s="201"/>
      <c r="AU296" s="201"/>
      <c r="AV296" s="201"/>
      <c r="AW296" s="201"/>
      <c r="AX296" s="201"/>
      <c r="AY296" s="201"/>
      <c r="AZ296" s="201"/>
      <c r="BA296" s="201"/>
      <c r="BB296" s="201"/>
    </row>
    <row r="297" spans="2:54">
      <c r="B297" s="35" t="s">
        <v>520</v>
      </c>
      <c r="C297" s="35"/>
      <c r="D297" s="32"/>
      <c r="E297" s="36" t="s">
        <v>511</v>
      </c>
      <c r="F297" s="37" t="s">
        <v>4</v>
      </c>
      <c r="G297" s="32"/>
      <c r="H297" s="33"/>
      <c r="I297" s="34"/>
      <c r="J297" s="35" t="s">
        <v>521</v>
      </c>
      <c r="K297" s="36" t="s">
        <v>511</v>
      </c>
      <c r="L297" s="41" t="s">
        <v>2542</v>
      </c>
      <c r="M297" s="32"/>
      <c r="N297" s="32"/>
      <c r="O297" s="206"/>
      <c r="P297" s="202"/>
      <c r="Q297" s="202"/>
      <c r="R297" s="204"/>
      <c r="S297" s="38"/>
      <c r="T297" s="201"/>
      <c r="U297" s="201"/>
      <c r="V297" s="201"/>
      <c r="W297" s="201"/>
      <c r="X297" s="201"/>
      <c r="Y297" s="201"/>
      <c r="Z297" s="201"/>
      <c r="AA297" s="201"/>
      <c r="AB297" s="202"/>
      <c r="AC297" s="202"/>
      <c r="AD297" s="202"/>
      <c r="AE297" s="202"/>
      <c r="AF297" s="202"/>
      <c r="AG297" s="201"/>
      <c r="AH297" s="201"/>
      <c r="AI297" s="201"/>
      <c r="AJ297" s="201"/>
      <c r="AK297" s="201"/>
      <c r="AL297" s="201"/>
      <c r="AM297" s="201"/>
      <c r="AN297" s="201"/>
      <c r="AO297" s="201"/>
      <c r="AP297" s="201"/>
      <c r="AQ297" s="201"/>
      <c r="AR297" s="201"/>
      <c r="AS297" s="201"/>
      <c r="AT297" s="201"/>
      <c r="AU297" s="201"/>
      <c r="AV297" s="201"/>
      <c r="AW297" s="201"/>
      <c r="AX297" s="201"/>
      <c r="AY297" s="201"/>
      <c r="AZ297" s="201"/>
      <c r="BA297" s="201"/>
      <c r="BB297" s="201"/>
    </row>
    <row r="298" spans="2:54">
      <c r="B298" s="35" t="s">
        <v>523</v>
      </c>
      <c r="C298" s="35"/>
      <c r="D298" s="32"/>
      <c r="E298" s="36" t="s">
        <v>511</v>
      </c>
      <c r="F298" s="37" t="s">
        <v>5</v>
      </c>
      <c r="G298" s="32"/>
      <c r="H298" s="33"/>
      <c r="I298" s="34"/>
      <c r="J298" s="42" t="s">
        <v>524</v>
      </c>
      <c r="K298" s="36" t="s">
        <v>511</v>
      </c>
      <c r="L298" s="43" t="s">
        <v>15</v>
      </c>
      <c r="M298" s="44"/>
      <c r="N298" s="44"/>
      <c r="O298" s="206"/>
      <c r="P298" s="205"/>
      <c r="Q298" s="202"/>
      <c r="R298" s="204"/>
      <c r="S298" s="38"/>
      <c r="T298" s="201"/>
      <c r="U298" s="201"/>
      <c r="V298" s="201"/>
      <c r="W298" s="201"/>
      <c r="X298" s="201"/>
      <c r="Y298" s="201"/>
      <c r="Z298" s="201"/>
      <c r="AA298" s="201"/>
      <c r="AB298" s="202"/>
      <c r="AC298" s="202"/>
      <c r="AD298" s="202"/>
      <c r="AE298" s="202"/>
      <c r="AF298" s="202"/>
      <c r="AG298" s="201"/>
      <c r="AH298" s="201"/>
      <c r="AI298" s="201"/>
      <c r="AJ298" s="201"/>
      <c r="AK298" s="201"/>
      <c r="AL298" s="201"/>
      <c r="AM298" s="201"/>
      <c r="AN298" s="201"/>
      <c r="AO298" s="201"/>
      <c r="AP298" s="201"/>
      <c r="AQ298" s="201"/>
      <c r="AR298" s="201"/>
      <c r="AS298" s="201"/>
      <c r="AT298" s="201"/>
      <c r="AU298" s="201"/>
      <c r="AV298" s="201"/>
      <c r="AW298" s="201"/>
      <c r="AX298" s="201"/>
      <c r="AY298" s="201"/>
      <c r="AZ298" s="201"/>
      <c r="BA298" s="201"/>
      <c r="BB298" s="201"/>
    </row>
    <row r="299" spans="2:54">
      <c r="B299" s="35" t="s">
        <v>2</v>
      </c>
      <c r="C299" s="35"/>
      <c r="D299" s="32"/>
      <c r="E299" s="36" t="s">
        <v>511</v>
      </c>
      <c r="F299" s="37" t="s">
        <v>42</v>
      </c>
      <c r="G299" s="32"/>
      <c r="H299" s="33"/>
      <c r="I299" s="45"/>
      <c r="J299" s="42"/>
      <c r="K299" s="36"/>
      <c r="L299" s="211"/>
      <c r="M299" s="201"/>
      <c r="N299" s="201"/>
      <c r="O299" s="42"/>
      <c r="P299" s="44"/>
      <c r="Q299" s="44"/>
      <c r="R299" s="44"/>
      <c r="S299" s="34"/>
      <c r="T299" s="201"/>
      <c r="U299" s="201"/>
      <c r="V299" s="201"/>
      <c r="W299" s="201"/>
      <c r="X299" s="201"/>
      <c r="Y299" s="201"/>
      <c r="Z299" s="201"/>
      <c r="AA299" s="201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201"/>
      <c r="AP299" s="201"/>
      <c r="AQ299" s="201"/>
      <c r="AR299" s="201"/>
      <c r="AS299" s="201"/>
      <c r="AT299" s="201"/>
      <c r="AU299" s="201"/>
      <c r="AV299" s="201"/>
      <c r="AW299" s="201"/>
      <c r="AX299" s="201"/>
      <c r="AY299" s="201"/>
      <c r="AZ299" s="201"/>
      <c r="BA299" s="201"/>
      <c r="BB299" s="201"/>
    </row>
    <row r="300" spans="2:54">
      <c r="B300" s="201"/>
      <c r="C300" s="201"/>
      <c r="D300" s="201"/>
      <c r="E300" s="201"/>
      <c r="F300" s="201"/>
      <c r="G300" s="201"/>
      <c r="H300" s="201"/>
      <c r="I300" s="45"/>
      <c r="J300" s="42"/>
      <c r="K300" s="42"/>
      <c r="L300" s="43"/>
      <c r="M300" s="44"/>
      <c r="N300" s="44"/>
      <c r="O300" s="42"/>
      <c r="P300" s="44"/>
      <c r="Q300" s="44"/>
      <c r="R300" s="44"/>
      <c r="S300" s="34"/>
      <c r="T300" s="1265" t="s">
        <v>87</v>
      </c>
      <c r="U300" s="1265"/>
      <c r="V300" s="1265"/>
      <c r="W300" s="1265"/>
      <c r="X300" s="1265"/>
      <c r="Y300" s="1265" t="s">
        <v>73</v>
      </c>
      <c r="Z300" s="1265"/>
      <c r="AA300" s="1265"/>
      <c r="AB300" s="1265" t="s">
        <v>74</v>
      </c>
      <c r="AC300" s="1265"/>
      <c r="AD300" s="423" t="s">
        <v>85</v>
      </c>
      <c r="AE300" s="423" t="s">
        <v>77</v>
      </c>
      <c r="AF300" s="1265" t="s">
        <v>525</v>
      </c>
      <c r="AG300" s="1265"/>
      <c r="AH300" s="1265"/>
      <c r="AI300" s="1265"/>
      <c r="AJ300" s="1265"/>
      <c r="AK300" s="1265"/>
      <c r="AL300" s="1265"/>
      <c r="AM300" s="1265"/>
      <c r="AN300" s="1265"/>
      <c r="AO300" s="1265"/>
      <c r="AP300" s="1265"/>
      <c r="AQ300" s="1265"/>
      <c r="AR300" s="1265"/>
      <c r="AS300" s="1265"/>
      <c r="AT300" s="1265"/>
      <c r="AU300" s="1265"/>
      <c r="AV300" s="1265"/>
      <c r="AW300" s="1265"/>
      <c r="AX300" s="1265"/>
      <c r="AY300" s="1265"/>
      <c r="AZ300" s="1265"/>
      <c r="BA300" s="1265"/>
      <c r="BB300" s="201"/>
    </row>
    <row r="301" spans="2:54">
      <c r="B301" s="1266" t="s">
        <v>526</v>
      </c>
      <c r="C301" s="1267"/>
      <c r="D301" s="570" t="s">
        <v>527</v>
      </c>
      <c r="E301" s="570"/>
      <c r="F301" s="570" t="s">
        <v>528</v>
      </c>
      <c r="G301" s="570" t="s">
        <v>529</v>
      </c>
      <c r="H301" s="570" t="s">
        <v>530</v>
      </c>
      <c r="I301" s="570" t="s">
        <v>531</v>
      </c>
      <c r="J301" s="570" t="s">
        <v>532</v>
      </c>
      <c r="K301" s="570"/>
      <c r="L301" s="570" t="s">
        <v>130</v>
      </c>
      <c r="M301" s="570" t="s">
        <v>533</v>
      </c>
      <c r="N301" s="408" t="str">
        <f>"On time - "&amp;COUNTIF(N302:N326,"On time")&amp;" from "&amp;ROWS(N302:N326)-COUNTIF(N302:N326," ")</f>
        <v>On time - 0 from 9</v>
      </c>
      <c r="O301" s="46"/>
      <c r="P301" s="409" t="s">
        <v>534</v>
      </c>
      <c r="Q301" s="409" t="s">
        <v>535</v>
      </c>
      <c r="R301" s="409" t="s">
        <v>536</v>
      </c>
      <c r="S301" s="32"/>
      <c r="T301" s="424" t="s">
        <v>537</v>
      </c>
      <c r="U301" s="424" t="s">
        <v>538</v>
      </c>
      <c r="V301" s="424" t="s">
        <v>539</v>
      </c>
      <c r="W301" s="424" t="s">
        <v>540</v>
      </c>
      <c r="X301" s="424" t="s">
        <v>541</v>
      </c>
      <c r="Y301" s="424" t="s">
        <v>167</v>
      </c>
      <c r="Z301" s="424" t="s">
        <v>168</v>
      </c>
      <c r="AA301" s="424" t="s">
        <v>169</v>
      </c>
      <c r="AB301" s="424" t="s">
        <v>235</v>
      </c>
      <c r="AC301" s="424" t="s">
        <v>240</v>
      </c>
      <c r="AD301" s="423" t="s">
        <v>85</v>
      </c>
      <c r="AE301" s="424" t="s">
        <v>139</v>
      </c>
      <c r="AF301" s="424" t="s">
        <v>72</v>
      </c>
      <c r="AG301" s="424" t="s">
        <v>88</v>
      </c>
      <c r="AH301" s="424" t="s">
        <v>75</v>
      </c>
      <c r="AI301" s="424" t="s">
        <v>543</v>
      </c>
      <c r="AJ301" s="424" t="s">
        <v>78</v>
      </c>
      <c r="AK301" s="424" t="s">
        <v>76</v>
      </c>
      <c r="AL301" s="424" t="s">
        <v>544</v>
      </c>
      <c r="AM301" s="424" t="s">
        <v>545</v>
      </c>
      <c r="AN301" s="424" t="s">
        <v>86</v>
      </c>
      <c r="AO301" s="424" t="s">
        <v>83</v>
      </c>
      <c r="AP301" s="424" t="s">
        <v>84</v>
      </c>
      <c r="AQ301" s="424" t="s">
        <v>546</v>
      </c>
      <c r="AR301" s="424" t="s">
        <v>81</v>
      </c>
      <c r="AS301" s="424" t="s">
        <v>80</v>
      </c>
      <c r="AT301" s="424" t="s">
        <v>82</v>
      </c>
      <c r="AU301" s="424" t="s">
        <v>181</v>
      </c>
      <c r="AV301" s="424" t="s">
        <v>183</v>
      </c>
      <c r="AW301" s="424" t="s">
        <v>547</v>
      </c>
      <c r="AX301" s="424" t="s">
        <v>182</v>
      </c>
      <c r="AY301" s="424" t="s">
        <v>172</v>
      </c>
      <c r="AZ301" s="424" t="s">
        <v>173</v>
      </c>
      <c r="BA301" s="424" t="s">
        <v>184</v>
      </c>
      <c r="BB301" s="201"/>
    </row>
    <row r="302" spans="2:54">
      <c r="B302" s="1315" t="s">
        <v>616</v>
      </c>
      <c r="C302" s="1316"/>
      <c r="D302" s="501" t="s">
        <v>2543</v>
      </c>
      <c r="E302" s="585"/>
      <c r="F302" s="501" t="s">
        <v>233</v>
      </c>
      <c r="G302" s="501" t="s">
        <v>234</v>
      </c>
      <c r="H302" s="503">
        <v>7526.5870000000004</v>
      </c>
      <c r="I302" s="505" t="s">
        <v>665</v>
      </c>
      <c r="J302" s="504">
        <v>45189.541666666664</v>
      </c>
      <c r="K302" s="504"/>
      <c r="L302" s="504" t="s">
        <v>192</v>
      </c>
      <c r="M302" s="504" t="s">
        <v>192</v>
      </c>
      <c r="N302" s="505" t="str">
        <f>IF(ISBLANK(J302)," ",IF(J302&lt;$G$296,"On time",(IF(DAY(J302-$G$296)&lt;1,"On time",(IF(J302&gt;$G$296,"DELAY ( "&amp;DAY(J302-$G$296)&amp;" day "&amp;HOUR(J302-$G$296)&amp;" hour "&amp;MINUTE(J302-$G$296)&amp;" minute )","xxx"))))))</f>
        <v>DELAY ( 4 day 13 hour 0 minute )</v>
      </c>
      <c r="O302" s="506"/>
      <c r="P302" s="507" t="s">
        <v>551</v>
      </c>
      <c r="Q302" s="507" t="s">
        <v>551</v>
      </c>
      <c r="R302" s="507" t="s">
        <v>551</v>
      </c>
      <c r="S302" s="500"/>
      <c r="T302" s="508"/>
      <c r="U302" s="508">
        <f>H302</f>
        <v>7526.5870000000004</v>
      </c>
      <c r="V302" s="508"/>
      <c r="W302" s="508"/>
      <c r="X302" s="508"/>
      <c r="Y302" s="508"/>
      <c r="Z302" s="508"/>
      <c r="AA302" s="508"/>
      <c r="AB302" s="508"/>
      <c r="AC302" s="508"/>
      <c r="AD302" s="508"/>
      <c r="AE302" s="508"/>
      <c r="AF302" s="508"/>
      <c r="AG302" s="508"/>
      <c r="AH302" s="508"/>
      <c r="AI302" s="508"/>
      <c r="AJ302" s="508"/>
      <c r="AK302" s="508"/>
      <c r="AL302" s="508"/>
      <c r="AM302" s="508"/>
      <c r="AN302" s="508"/>
      <c r="AO302" s="508"/>
      <c r="AP302" s="508"/>
      <c r="AQ302" s="508"/>
      <c r="AR302" s="508"/>
      <c r="AS302" s="508"/>
      <c r="AT302" s="508"/>
      <c r="AU302" s="508"/>
      <c r="AV302" s="508"/>
      <c r="AW302" s="508"/>
      <c r="AX302" s="508"/>
      <c r="AY302" s="508"/>
      <c r="AZ302" s="508"/>
      <c r="BA302" s="508"/>
      <c r="BB302" s="500"/>
    </row>
    <row r="303" spans="2:54">
      <c r="B303" s="1315" t="s">
        <v>668</v>
      </c>
      <c r="C303" s="1316"/>
      <c r="D303" s="502" t="s">
        <v>2544</v>
      </c>
      <c r="E303" s="585"/>
      <c r="F303" s="501" t="s">
        <v>307</v>
      </c>
      <c r="G303" s="501" t="s">
        <v>308</v>
      </c>
      <c r="H303" s="503">
        <v>7342.683</v>
      </c>
      <c r="I303" s="505" t="s">
        <v>85</v>
      </c>
      <c r="J303" s="504">
        <v>45190.541666666664</v>
      </c>
      <c r="K303" s="504"/>
      <c r="L303" s="504" t="s">
        <v>192</v>
      </c>
      <c r="M303" s="504" t="s">
        <v>192</v>
      </c>
      <c r="N303" s="505" t="str">
        <f t="shared" ref="N303:N326" si="34">IF(ISBLANK(J303)," ",IF(J303&lt;$G$296,"On time",(IF(DAY(J303-$G$296)&lt;1,"On time",(IF(J303&gt;$G$296,"DELAY ( "&amp;DAY(J303-$G$296)&amp;" day "&amp;HOUR(J303-$G$296)&amp;" hour "&amp;MINUTE(J303-$G$296)&amp;" minute )","xxx"))))))</f>
        <v>DELAY ( 5 day 13 hour 0 minute )</v>
      </c>
      <c r="O303" s="506"/>
      <c r="P303" s="507" t="s">
        <v>551</v>
      </c>
      <c r="Q303" s="507" t="s">
        <v>551</v>
      </c>
      <c r="R303" s="507" t="s">
        <v>551</v>
      </c>
      <c r="S303" s="500"/>
      <c r="T303" s="508"/>
      <c r="U303" s="508"/>
      <c r="V303" s="508"/>
      <c r="W303" s="508"/>
      <c r="X303" s="508"/>
      <c r="Y303" s="508"/>
      <c r="Z303" s="508"/>
      <c r="AA303" s="508"/>
      <c r="AB303" s="508"/>
      <c r="AC303" s="508"/>
      <c r="AD303" s="508">
        <f>H303</f>
        <v>7342.683</v>
      </c>
      <c r="AE303" s="508"/>
      <c r="AF303" s="508"/>
      <c r="AG303" s="508"/>
      <c r="AH303" s="508"/>
      <c r="AI303" s="508"/>
      <c r="AJ303" s="508"/>
      <c r="AK303" s="508"/>
      <c r="AL303" s="508"/>
      <c r="AM303" s="508"/>
      <c r="AN303" s="508"/>
      <c r="AO303" s="508"/>
      <c r="AP303" s="508"/>
      <c r="AQ303" s="508"/>
      <c r="AR303" s="508"/>
      <c r="AS303" s="508"/>
      <c r="AT303" s="508"/>
      <c r="AU303" s="508"/>
      <c r="AV303" s="508"/>
      <c r="AW303" s="508"/>
      <c r="AX303" s="508"/>
      <c r="AY303" s="508"/>
      <c r="AZ303" s="508"/>
      <c r="BA303" s="508"/>
      <c r="BB303" s="500"/>
    </row>
    <row r="304" spans="2:54">
      <c r="B304" s="1258" t="s">
        <v>1721</v>
      </c>
      <c r="C304" s="1259"/>
      <c r="D304" s="1349"/>
      <c r="E304" s="1349"/>
      <c r="F304" s="1349"/>
      <c r="G304" s="1350"/>
      <c r="H304" s="586">
        <f>SUM(H302:H303)</f>
        <v>14869.27</v>
      </c>
      <c r="I304" s="587"/>
      <c r="J304" s="588"/>
      <c r="K304" s="588"/>
      <c r="L304" s="588"/>
      <c r="M304" s="589"/>
      <c r="N304" s="505" t="str">
        <f t="shared" si="34"/>
        <v xml:space="preserve"> </v>
      </c>
      <c r="O304" s="47"/>
      <c r="P304" s="590"/>
      <c r="Q304" s="590"/>
      <c r="R304" s="590"/>
      <c r="S304" s="591"/>
      <c r="T304" s="592"/>
      <c r="U304" s="592"/>
      <c r="V304" s="592"/>
      <c r="W304" s="592"/>
      <c r="X304" s="592"/>
      <c r="Y304" s="592"/>
      <c r="Z304" s="592"/>
      <c r="AA304" s="592"/>
      <c r="AB304" s="592"/>
      <c r="AC304" s="592"/>
      <c r="AD304" s="592"/>
      <c r="AE304" s="592"/>
      <c r="AF304" s="592"/>
      <c r="AG304" s="592"/>
      <c r="AH304" s="592"/>
      <c r="AI304" s="592"/>
      <c r="AJ304" s="592"/>
      <c r="AK304" s="592"/>
      <c r="AL304" s="592"/>
      <c r="AM304" s="592"/>
      <c r="AN304" s="592"/>
      <c r="AO304" s="592"/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</row>
    <row r="305" spans="2:54">
      <c r="B305" s="1334" t="s">
        <v>619</v>
      </c>
      <c r="C305" s="1335"/>
      <c r="D305" s="593" t="s">
        <v>2545</v>
      </c>
      <c r="E305" s="593"/>
      <c r="F305" s="593" t="s">
        <v>201</v>
      </c>
      <c r="G305" s="593" t="s">
        <v>202</v>
      </c>
      <c r="H305" s="594">
        <v>7588.8339999999998</v>
      </c>
      <c r="I305" s="505" t="s">
        <v>240</v>
      </c>
      <c r="J305" s="504">
        <v>45189.326388888891</v>
      </c>
      <c r="K305" s="504"/>
      <c r="L305" s="504" t="s">
        <v>192</v>
      </c>
      <c r="M305" s="504" t="s">
        <v>192</v>
      </c>
      <c r="N305" s="505" t="str">
        <f t="shared" si="34"/>
        <v>DELAY ( 4 day 7 hour 50 minute )</v>
      </c>
      <c r="O305" s="506"/>
      <c r="P305" s="507" t="s">
        <v>551</v>
      </c>
      <c r="Q305" s="507" t="s">
        <v>551</v>
      </c>
      <c r="R305" s="507" t="s">
        <v>551</v>
      </c>
      <c r="S305" s="500"/>
      <c r="T305" s="508"/>
      <c r="U305" s="508"/>
      <c r="V305" s="508"/>
      <c r="W305" s="508"/>
      <c r="X305" s="508"/>
      <c r="Y305" s="508"/>
      <c r="Z305" s="508"/>
      <c r="AA305" s="508"/>
      <c r="AB305" s="508"/>
      <c r="AC305" s="508">
        <f>H305</f>
        <v>7588.8339999999998</v>
      </c>
      <c r="AD305" s="508"/>
      <c r="AE305" s="508"/>
      <c r="AF305" s="508"/>
      <c r="AG305" s="508"/>
      <c r="AH305" s="508"/>
      <c r="AI305" s="508"/>
      <c r="AJ305" s="508"/>
      <c r="AK305" s="508"/>
      <c r="AL305" s="508"/>
      <c r="AM305" s="508"/>
      <c r="AN305" s="508"/>
      <c r="AO305" s="508"/>
      <c r="AP305" s="508"/>
      <c r="AQ305" s="508"/>
      <c r="AR305" s="508"/>
      <c r="AS305" s="508"/>
      <c r="AT305" s="508"/>
      <c r="AU305" s="508"/>
      <c r="AV305" s="508"/>
      <c r="AW305" s="508"/>
      <c r="AX305" s="508"/>
      <c r="AY305" s="508"/>
      <c r="AZ305" s="508"/>
      <c r="BA305" s="508"/>
      <c r="BB305" s="500"/>
    </row>
    <row r="306" spans="2:54">
      <c r="B306" s="1336"/>
      <c r="C306" s="1337"/>
      <c r="D306" s="593"/>
      <c r="E306" s="593"/>
      <c r="F306" s="1338" t="s">
        <v>668</v>
      </c>
      <c r="G306" s="1338"/>
      <c r="H306" s="594">
        <v>1600</v>
      </c>
      <c r="I306" s="505"/>
      <c r="J306" s="504"/>
      <c r="K306" s="504"/>
      <c r="L306" s="504"/>
      <c r="M306" s="504"/>
      <c r="N306" s="505" t="str">
        <f t="shared" si="34"/>
        <v xml:space="preserve"> </v>
      </c>
      <c r="O306" s="506"/>
      <c r="P306" s="507"/>
      <c r="Q306" s="507"/>
      <c r="R306" s="507"/>
      <c r="S306" s="500"/>
      <c r="T306" s="508"/>
      <c r="U306" s="508"/>
      <c r="V306" s="508"/>
      <c r="W306" s="508"/>
      <c r="X306" s="508"/>
      <c r="Y306" s="508"/>
      <c r="Z306" s="508"/>
      <c r="AA306" s="508"/>
      <c r="AB306" s="508"/>
      <c r="AC306" s="508"/>
      <c r="AD306" s="508"/>
      <c r="AE306" s="508"/>
      <c r="AF306" s="508"/>
      <c r="AG306" s="508"/>
      <c r="AH306" s="508"/>
      <c r="AI306" s="508"/>
      <c r="AJ306" s="508"/>
      <c r="AK306" s="508"/>
      <c r="AL306" s="508"/>
      <c r="AM306" s="508"/>
      <c r="AN306" s="508"/>
      <c r="AO306" s="508"/>
      <c r="AP306" s="508"/>
      <c r="AQ306" s="508"/>
      <c r="AR306" s="508"/>
      <c r="AS306" s="508"/>
      <c r="AT306" s="508"/>
      <c r="AU306" s="508"/>
      <c r="AV306" s="508"/>
      <c r="AW306" s="508"/>
      <c r="AX306" s="508"/>
      <c r="AY306" s="508"/>
      <c r="AZ306" s="508"/>
      <c r="BA306" s="508"/>
      <c r="BB306" s="500"/>
    </row>
    <row r="307" spans="2:54">
      <c r="B307" s="1341" t="s">
        <v>621</v>
      </c>
      <c r="C307" s="1335"/>
      <c r="D307" s="593" t="s">
        <v>2546</v>
      </c>
      <c r="E307" s="593"/>
      <c r="F307" s="593" t="s">
        <v>274</v>
      </c>
      <c r="G307" s="593" t="s">
        <v>1093</v>
      </c>
      <c r="H307" s="594">
        <v>7450.4189999999999</v>
      </c>
      <c r="I307" s="505" t="s">
        <v>240</v>
      </c>
      <c r="J307" s="504">
        <v>45189.354166666664</v>
      </c>
      <c r="K307" s="504"/>
      <c r="L307" s="504" t="s">
        <v>192</v>
      </c>
      <c r="M307" s="504" t="s">
        <v>192</v>
      </c>
      <c r="N307" s="505" t="str">
        <f t="shared" si="34"/>
        <v>DELAY ( 4 day 8 hour 30 minute )</v>
      </c>
      <c r="O307" s="506"/>
      <c r="P307" s="507" t="s">
        <v>551</v>
      </c>
      <c r="Q307" s="507" t="s">
        <v>551</v>
      </c>
      <c r="R307" s="507" t="s">
        <v>551</v>
      </c>
      <c r="S307" s="500"/>
      <c r="T307" s="508"/>
      <c r="U307" s="508"/>
      <c r="V307" s="508"/>
      <c r="W307" s="508"/>
      <c r="X307" s="508"/>
      <c r="Y307" s="508"/>
      <c r="Z307" s="508"/>
      <c r="AA307" s="508"/>
      <c r="AB307" s="508"/>
      <c r="AC307" s="508">
        <f>H307</f>
        <v>7450.4189999999999</v>
      </c>
      <c r="AD307" s="508"/>
      <c r="AE307" s="508"/>
      <c r="AF307" s="508"/>
      <c r="AG307" s="508"/>
      <c r="AH307" s="508"/>
      <c r="AI307" s="508"/>
      <c r="AJ307" s="508"/>
      <c r="AK307" s="508"/>
      <c r="AL307" s="508"/>
      <c r="AM307" s="508"/>
      <c r="AN307" s="508"/>
      <c r="AO307" s="508"/>
      <c r="AP307" s="508"/>
      <c r="AQ307" s="508"/>
      <c r="AR307" s="508"/>
      <c r="AS307" s="508"/>
      <c r="AT307" s="508"/>
      <c r="AU307" s="508"/>
      <c r="AV307" s="508"/>
      <c r="AW307" s="508"/>
      <c r="AX307" s="508"/>
      <c r="AY307" s="508"/>
      <c r="AZ307" s="508"/>
      <c r="BA307" s="508"/>
      <c r="BB307" s="500"/>
    </row>
    <row r="308" spans="2:54">
      <c r="B308" s="1342"/>
      <c r="C308" s="1343"/>
      <c r="D308" s="593"/>
      <c r="E308" s="593"/>
      <c r="F308" s="1338" t="s">
        <v>668</v>
      </c>
      <c r="G308" s="1338"/>
      <c r="H308" s="596">
        <v>1200</v>
      </c>
      <c r="I308" s="505"/>
      <c r="J308" s="504"/>
      <c r="K308" s="504"/>
      <c r="L308" s="504"/>
      <c r="M308" s="504"/>
      <c r="N308" s="505" t="str">
        <f t="shared" si="34"/>
        <v xml:space="preserve"> </v>
      </c>
      <c r="O308" s="597"/>
      <c r="P308" s="507"/>
      <c r="Q308" s="507"/>
      <c r="R308" s="507"/>
      <c r="S308" s="598"/>
      <c r="T308" s="599"/>
      <c r="U308" s="599"/>
      <c r="V308" s="599"/>
      <c r="W308" s="599"/>
      <c r="X308" s="599"/>
      <c r="Y308" s="599"/>
      <c r="Z308" s="599"/>
      <c r="AA308" s="599"/>
      <c r="AB308" s="599"/>
      <c r="AC308" s="599"/>
      <c r="AD308" s="599"/>
      <c r="AE308" s="599"/>
      <c r="AF308" s="599"/>
      <c r="AG308" s="599"/>
      <c r="AH308" s="599"/>
      <c r="AI308" s="599"/>
      <c r="AJ308" s="599"/>
      <c r="AK308" s="599"/>
      <c r="AL308" s="599"/>
      <c r="AM308" s="599"/>
      <c r="AN308" s="599"/>
      <c r="AO308" s="599"/>
      <c r="AP308" s="599"/>
      <c r="AQ308" s="599"/>
      <c r="AR308" s="599"/>
      <c r="AS308" s="599"/>
      <c r="AT308" s="599"/>
      <c r="AU308" s="599"/>
      <c r="AV308" s="599"/>
      <c r="AW308" s="599"/>
      <c r="AX308" s="599"/>
      <c r="AY308" s="599"/>
      <c r="AZ308" s="599"/>
      <c r="BA308" s="599"/>
      <c r="BB308" s="598"/>
    </row>
    <row r="309" spans="2:54">
      <c r="B309" s="1344"/>
      <c r="C309" s="1345"/>
      <c r="D309" s="593"/>
      <c r="E309" s="593"/>
      <c r="F309" s="1338" t="s">
        <v>616</v>
      </c>
      <c r="G309" s="1338"/>
      <c r="H309" s="594">
        <v>1000</v>
      </c>
      <c r="I309" s="505"/>
      <c r="J309" s="504"/>
      <c r="K309" s="504"/>
      <c r="L309" s="504"/>
      <c r="M309" s="504"/>
      <c r="N309" s="505" t="str">
        <f t="shared" si="34"/>
        <v xml:space="preserve"> </v>
      </c>
      <c r="O309" s="506"/>
      <c r="P309" s="507"/>
      <c r="Q309" s="507"/>
      <c r="R309" s="507"/>
      <c r="S309" s="500"/>
      <c r="T309" s="508"/>
      <c r="U309" s="508"/>
      <c r="V309" s="508"/>
      <c r="W309" s="508"/>
      <c r="X309" s="508"/>
      <c r="Y309" s="508"/>
      <c r="Z309" s="508"/>
      <c r="AA309" s="508"/>
      <c r="AB309" s="508"/>
      <c r="AC309" s="508"/>
      <c r="AD309" s="508"/>
      <c r="AE309" s="508"/>
      <c r="AF309" s="508"/>
      <c r="AG309" s="508"/>
      <c r="AH309" s="508"/>
      <c r="AI309" s="508"/>
      <c r="AJ309" s="508"/>
      <c r="AK309" s="508"/>
      <c r="AL309" s="508"/>
      <c r="AM309" s="508"/>
      <c r="AN309" s="508"/>
      <c r="AO309" s="508"/>
      <c r="AP309" s="508"/>
      <c r="AQ309" s="508"/>
      <c r="AR309" s="508"/>
      <c r="AS309" s="508"/>
      <c r="AT309" s="508"/>
      <c r="AU309" s="508"/>
      <c r="AV309" s="508"/>
      <c r="AW309" s="508"/>
      <c r="AX309" s="508"/>
      <c r="AY309" s="508"/>
      <c r="AZ309" s="508"/>
      <c r="BA309" s="508"/>
      <c r="BB309" s="500"/>
    </row>
    <row r="310" spans="2:54">
      <c r="B310" s="1341" t="s">
        <v>622</v>
      </c>
      <c r="C310" s="1335"/>
      <c r="D310" s="593" t="s">
        <v>2547</v>
      </c>
      <c r="E310" s="593"/>
      <c r="F310" s="593" t="s">
        <v>774</v>
      </c>
      <c r="G310" s="593" t="s">
        <v>423</v>
      </c>
      <c r="H310" s="594">
        <v>7587.8140000000003</v>
      </c>
      <c r="I310" s="505" t="s">
        <v>240</v>
      </c>
      <c r="J310" s="504">
        <v>45189.555555555555</v>
      </c>
      <c r="K310" s="504"/>
      <c r="L310" s="504" t="s">
        <v>192</v>
      </c>
      <c r="M310" s="504" t="s">
        <v>192</v>
      </c>
      <c r="N310" s="505" t="str">
        <f t="shared" si="34"/>
        <v>DELAY ( 4 day 13 hour 20 minute )</v>
      </c>
      <c r="O310" s="506"/>
      <c r="P310" s="507" t="s">
        <v>551</v>
      </c>
      <c r="Q310" s="507" t="s">
        <v>551</v>
      </c>
      <c r="R310" s="507" t="s">
        <v>551</v>
      </c>
      <c r="S310" s="500"/>
      <c r="T310" s="508"/>
      <c r="U310" s="508"/>
      <c r="V310" s="508"/>
      <c r="W310" s="508"/>
      <c r="X310" s="508"/>
      <c r="Y310" s="508"/>
      <c r="Z310" s="508"/>
      <c r="AA310" s="508"/>
      <c r="AB310" s="508"/>
      <c r="AC310" s="508">
        <f>H310</f>
        <v>7587.8140000000003</v>
      </c>
      <c r="AD310" s="508"/>
      <c r="AE310" s="508"/>
      <c r="AF310" s="508"/>
      <c r="AG310" s="508"/>
      <c r="AH310" s="508"/>
      <c r="AI310" s="508"/>
      <c r="AJ310" s="508"/>
      <c r="AK310" s="508"/>
      <c r="AL310" s="508"/>
      <c r="AM310" s="508"/>
      <c r="AN310" s="508"/>
      <c r="AO310" s="508"/>
      <c r="AP310" s="508"/>
      <c r="AQ310" s="508"/>
      <c r="AR310" s="508"/>
      <c r="AS310" s="508"/>
      <c r="AT310" s="508"/>
      <c r="AU310" s="508"/>
      <c r="AV310" s="508"/>
      <c r="AW310" s="508"/>
      <c r="AX310" s="508"/>
      <c r="AY310" s="508"/>
      <c r="AZ310" s="508"/>
      <c r="BA310" s="508"/>
      <c r="BB310" s="500"/>
    </row>
    <row r="311" spans="2:54">
      <c r="B311" s="1342"/>
      <c r="C311" s="1343"/>
      <c r="D311" s="593"/>
      <c r="E311" s="593"/>
      <c r="F311" s="1338" t="s">
        <v>668</v>
      </c>
      <c r="G311" s="1338"/>
      <c r="H311" s="594">
        <v>1000</v>
      </c>
      <c r="I311" s="505"/>
      <c r="J311" s="504"/>
      <c r="K311" s="504"/>
      <c r="L311" s="504"/>
      <c r="M311" s="504"/>
      <c r="N311" s="505" t="str">
        <f t="shared" si="34"/>
        <v xml:space="preserve"> </v>
      </c>
      <c r="O311" s="506"/>
      <c r="P311" s="507"/>
      <c r="Q311" s="507"/>
      <c r="R311" s="507"/>
      <c r="S311" s="500"/>
      <c r="T311" s="508"/>
      <c r="U311" s="508"/>
      <c r="V311" s="508"/>
      <c r="W311" s="508"/>
      <c r="X311" s="508"/>
      <c r="Y311" s="508"/>
      <c r="Z311" s="508"/>
      <c r="AA311" s="508"/>
      <c r="AB311" s="508"/>
      <c r="AC311" s="508"/>
      <c r="AD311" s="508"/>
      <c r="AE311" s="508"/>
      <c r="AF311" s="508"/>
      <c r="AG311" s="508"/>
      <c r="AH311" s="508"/>
      <c r="AI311" s="508"/>
      <c r="AJ311" s="508"/>
      <c r="AK311" s="508"/>
      <c r="AL311" s="508"/>
      <c r="AM311" s="508"/>
      <c r="AN311" s="508"/>
      <c r="AO311" s="508"/>
      <c r="AP311" s="508"/>
      <c r="AQ311" s="508"/>
      <c r="AR311" s="508"/>
      <c r="AS311" s="508"/>
      <c r="AT311" s="508"/>
      <c r="AU311" s="508"/>
      <c r="AV311" s="508"/>
      <c r="AW311" s="508"/>
      <c r="AX311" s="508"/>
      <c r="AY311" s="508"/>
      <c r="AZ311" s="508"/>
      <c r="BA311" s="508"/>
      <c r="BB311" s="500"/>
    </row>
    <row r="312" spans="2:54">
      <c r="B312" s="1344"/>
      <c r="C312" s="1345"/>
      <c r="D312" s="593"/>
      <c r="E312" s="593"/>
      <c r="F312" s="1338" t="s">
        <v>616</v>
      </c>
      <c r="G312" s="1338"/>
      <c r="H312" s="594">
        <v>1000</v>
      </c>
      <c r="I312" s="505"/>
      <c r="J312" s="504"/>
      <c r="K312" s="504"/>
      <c r="L312" s="504"/>
      <c r="M312" s="504"/>
      <c r="N312" s="505" t="str">
        <f t="shared" si="34"/>
        <v xml:space="preserve"> </v>
      </c>
      <c r="O312" s="506"/>
      <c r="P312" s="507"/>
      <c r="Q312" s="507"/>
      <c r="R312" s="507"/>
      <c r="S312" s="500"/>
      <c r="T312" s="508"/>
      <c r="U312" s="508"/>
      <c r="V312" s="508"/>
      <c r="W312" s="508"/>
      <c r="X312" s="508"/>
      <c r="Y312" s="508"/>
      <c r="Z312" s="508"/>
      <c r="AA312" s="508"/>
      <c r="AB312" s="508"/>
      <c r="AC312" s="508"/>
      <c r="AD312" s="508"/>
      <c r="AE312" s="508"/>
      <c r="AF312" s="508"/>
      <c r="AG312" s="508"/>
      <c r="AH312" s="508"/>
      <c r="AI312" s="508"/>
      <c r="AJ312" s="508"/>
      <c r="AK312" s="508"/>
      <c r="AL312" s="508"/>
      <c r="AM312" s="508"/>
      <c r="AN312" s="508"/>
      <c r="AO312" s="508"/>
      <c r="AP312" s="508"/>
      <c r="AQ312" s="508"/>
      <c r="AR312" s="508"/>
      <c r="AS312" s="508"/>
      <c r="AT312" s="508"/>
      <c r="AU312" s="508"/>
      <c r="AV312" s="508"/>
      <c r="AW312" s="508"/>
      <c r="AX312" s="508"/>
      <c r="AY312" s="508"/>
      <c r="AZ312" s="508"/>
      <c r="BA312" s="508"/>
      <c r="BB312" s="500"/>
    </row>
    <row r="313" spans="2:54">
      <c r="B313" s="1339" t="s">
        <v>623</v>
      </c>
      <c r="C313" s="1340"/>
      <c r="D313" s="593" t="s">
        <v>2548</v>
      </c>
      <c r="E313" s="593"/>
      <c r="F313" s="593" t="s">
        <v>399</v>
      </c>
      <c r="G313" s="593" t="s">
        <v>275</v>
      </c>
      <c r="H313" s="594">
        <v>7516.741</v>
      </c>
      <c r="I313" s="505" t="s">
        <v>240</v>
      </c>
      <c r="J313" s="504">
        <v>45190.416666608799</v>
      </c>
      <c r="K313" s="504"/>
      <c r="L313" s="504" t="s">
        <v>192</v>
      </c>
      <c r="M313" s="504" t="s">
        <v>192</v>
      </c>
      <c r="N313" s="505" t="str">
        <f>IF(ISBLANK(J313)," ",IF(J313&lt;$G$296,"On time",(IF(DAY(J313-$G$296)&lt;1,"On time",(IF(J313&gt;$G$296,"DELAY ( "&amp;DAY(J313-$G$296)&amp;" day "&amp;HOUR(J313-$G$296)&amp;" hour "&amp;MINUTE(J313-$G$296)&amp;" minute )","xxx"))))))</f>
        <v>DELAY ( 5 day 10 hour 0 minute )</v>
      </c>
      <c r="O313" s="506"/>
      <c r="P313" s="507" t="s">
        <v>551</v>
      </c>
      <c r="Q313" s="507" t="s">
        <v>551</v>
      </c>
      <c r="R313" s="507" t="s">
        <v>551</v>
      </c>
      <c r="S313" s="500"/>
      <c r="T313" s="508"/>
      <c r="U313" s="508"/>
      <c r="V313" s="508"/>
      <c r="W313" s="508"/>
      <c r="X313" s="508"/>
      <c r="Y313" s="508"/>
      <c r="Z313" s="508"/>
      <c r="AA313" s="508"/>
      <c r="AB313" s="508"/>
      <c r="AC313" s="508">
        <f>H313</f>
        <v>7516.741</v>
      </c>
      <c r="AD313" s="508"/>
      <c r="AE313" s="508"/>
      <c r="AF313" s="508"/>
      <c r="AG313" s="508"/>
      <c r="AH313" s="508"/>
      <c r="AI313" s="508"/>
      <c r="AJ313" s="508"/>
      <c r="AK313" s="508"/>
      <c r="AL313" s="508"/>
      <c r="AM313" s="508"/>
      <c r="AN313" s="508"/>
      <c r="AO313" s="508"/>
      <c r="AP313" s="508"/>
      <c r="AQ313" s="508"/>
      <c r="AR313" s="508"/>
      <c r="AS313" s="508"/>
      <c r="AT313" s="508"/>
      <c r="AU313" s="508"/>
      <c r="AV313" s="508"/>
      <c r="AW313" s="508"/>
      <c r="AX313" s="508"/>
      <c r="AY313" s="508"/>
      <c r="AZ313" s="508"/>
      <c r="BA313" s="508"/>
      <c r="BB313" s="500"/>
    </row>
    <row r="314" spans="2:54">
      <c r="B314" s="1338"/>
      <c r="C314" s="1340"/>
      <c r="D314" s="593"/>
      <c r="E314" s="593"/>
      <c r="F314" s="1338" t="s">
        <v>668</v>
      </c>
      <c r="G314" s="1338"/>
      <c r="H314" s="594">
        <v>1400</v>
      </c>
      <c r="I314" s="505"/>
      <c r="J314" s="504"/>
      <c r="K314" s="504"/>
      <c r="L314" s="504"/>
      <c r="M314" s="504"/>
      <c r="N314" s="505" t="str">
        <f t="shared" si="34"/>
        <v xml:space="preserve"> </v>
      </c>
      <c r="O314" s="506"/>
      <c r="P314" s="507"/>
      <c r="Q314" s="507"/>
      <c r="R314" s="507"/>
      <c r="S314" s="500"/>
      <c r="T314" s="508"/>
      <c r="U314" s="508"/>
      <c r="V314" s="508"/>
      <c r="W314" s="508"/>
      <c r="X314" s="508"/>
      <c r="Y314" s="508"/>
      <c r="Z314" s="508"/>
      <c r="AA314" s="508"/>
      <c r="AB314" s="508"/>
      <c r="AC314" s="508"/>
      <c r="AD314" s="508"/>
      <c r="AE314" s="508"/>
      <c r="AF314" s="508"/>
      <c r="AG314" s="508"/>
      <c r="AH314" s="508"/>
      <c r="AI314" s="508"/>
      <c r="AJ314" s="508"/>
      <c r="AK314" s="508"/>
      <c r="AL314" s="508"/>
      <c r="AM314" s="508"/>
      <c r="AN314" s="508"/>
      <c r="AO314" s="508"/>
      <c r="AP314" s="508"/>
      <c r="AQ314" s="508"/>
      <c r="AR314" s="508"/>
      <c r="AS314" s="508"/>
      <c r="AT314" s="508"/>
      <c r="AU314" s="508"/>
      <c r="AV314" s="508"/>
      <c r="AW314" s="508"/>
      <c r="AX314" s="508"/>
      <c r="AY314" s="508"/>
      <c r="AZ314" s="508"/>
      <c r="BA314" s="508"/>
      <c r="BB314" s="500"/>
    </row>
    <row r="315" spans="2:54">
      <c r="B315" s="1338"/>
      <c r="C315" s="1340"/>
      <c r="D315" s="593"/>
      <c r="E315" s="593"/>
      <c r="F315" s="1338" t="s">
        <v>616</v>
      </c>
      <c r="G315" s="1338"/>
      <c r="H315" s="594">
        <v>2000</v>
      </c>
      <c r="I315" s="505"/>
      <c r="J315" s="504"/>
      <c r="K315" s="504"/>
      <c r="L315" s="504"/>
      <c r="M315" s="504"/>
      <c r="N315" s="505" t="str">
        <f t="shared" si="34"/>
        <v xml:space="preserve"> </v>
      </c>
      <c r="O315" s="506"/>
      <c r="P315" s="507"/>
      <c r="Q315" s="507"/>
      <c r="R315" s="507"/>
      <c r="S315" s="500"/>
      <c r="T315" s="508"/>
      <c r="U315" s="508"/>
      <c r="V315" s="508"/>
      <c r="W315" s="508"/>
      <c r="X315" s="508"/>
      <c r="Y315" s="508"/>
      <c r="Z315" s="508"/>
      <c r="AA315" s="508"/>
      <c r="AB315" s="508"/>
      <c r="AC315" s="508"/>
      <c r="AD315" s="508"/>
      <c r="AE315" s="508"/>
      <c r="AF315" s="508"/>
      <c r="AG315" s="508"/>
      <c r="AH315" s="508"/>
      <c r="AI315" s="508"/>
      <c r="AJ315" s="508"/>
      <c r="AK315" s="508"/>
      <c r="AL315" s="508"/>
      <c r="AM315" s="508"/>
      <c r="AN315" s="508"/>
      <c r="AO315" s="508"/>
      <c r="AP315" s="508"/>
      <c r="AQ315" s="508"/>
      <c r="AR315" s="508"/>
      <c r="AS315" s="508"/>
      <c r="AT315" s="508"/>
      <c r="AU315" s="508"/>
      <c r="AV315" s="508"/>
      <c r="AW315" s="508"/>
      <c r="AX315" s="508"/>
      <c r="AY315" s="508"/>
      <c r="AZ315" s="508"/>
      <c r="BA315" s="508"/>
      <c r="BB315" s="500"/>
    </row>
    <row r="316" spans="2:54">
      <c r="B316" s="1334" t="s">
        <v>624</v>
      </c>
      <c r="C316" s="1335"/>
      <c r="D316" s="593" t="s">
        <v>2549</v>
      </c>
      <c r="E316" s="593"/>
      <c r="F316" s="593" t="s">
        <v>252</v>
      </c>
      <c r="G316" s="593" t="s">
        <v>253</v>
      </c>
      <c r="H316" s="594">
        <v>7502.9160000000002</v>
      </c>
      <c r="I316" s="505" t="s">
        <v>240</v>
      </c>
      <c r="J316" s="504">
        <v>45190.430555555555</v>
      </c>
      <c r="K316" s="504"/>
      <c r="L316" s="504" t="s">
        <v>192</v>
      </c>
      <c r="M316" s="504" t="s">
        <v>192</v>
      </c>
      <c r="N316" s="505" t="str">
        <f t="shared" si="34"/>
        <v>DELAY ( 5 day 10 hour 20 minute )</v>
      </c>
      <c r="O316" s="506"/>
      <c r="P316" s="507" t="s">
        <v>551</v>
      </c>
      <c r="Q316" s="507" t="s">
        <v>551</v>
      </c>
      <c r="R316" s="507" t="s">
        <v>551</v>
      </c>
      <c r="S316" s="500"/>
      <c r="T316" s="508"/>
      <c r="U316" s="508"/>
      <c r="V316" s="508"/>
      <c r="W316" s="508"/>
      <c r="X316" s="508"/>
      <c r="Y316" s="508"/>
      <c r="Z316" s="508"/>
      <c r="AA316" s="508"/>
      <c r="AB316" s="508"/>
      <c r="AC316" s="508">
        <f>H316</f>
        <v>7502.9160000000002</v>
      </c>
      <c r="AD316" s="508"/>
      <c r="AE316" s="508"/>
      <c r="AF316" s="508"/>
      <c r="AG316" s="508"/>
      <c r="AH316" s="508"/>
      <c r="AI316" s="508"/>
      <c r="AJ316" s="508"/>
      <c r="AK316" s="508"/>
      <c r="AL316" s="508"/>
      <c r="AM316" s="508"/>
      <c r="AN316" s="508"/>
      <c r="AO316" s="508"/>
      <c r="AP316" s="508"/>
      <c r="AQ316" s="508"/>
      <c r="AR316" s="508"/>
      <c r="AS316" s="508"/>
      <c r="AT316" s="508"/>
      <c r="AU316" s="508"/>
      <c r="AV316" s="508"/>
      <c r="AW316" s="508"/>
      <c r="AX316" s="508"/>
      <c r="AY316" s="508"/>
      <c r="AZ316" s="508"/>
      <c r="BA316" s="508"/>
      <c r="BB316" s="500"/>
    </row>
    <row r="317" spans="2:54">
      <c r="B317" s="1336"/>
      <c r="C317" s="1337"/>
      <c r="D317" s="593"/>
      <c r="E317" s="593"/>
      <c r="F317" s="1338" t="s">
        <v>616</v>
      </c>
      <c r="G317" s="1338"/>
      <c r="H317" s="594">
        <v>1500</v>
      </c>
      <c r="I317" s="505"/>
      <c r="J317" s="504"/>
      <c r="K317" s="504"/>
      <c r="L317" s="504"/>
      <c r="M317" s="504"/>
      <c r="N317" s="505" t="str">
        <f t="shared" si="34"/>
        <v xml:space="preserve"> </v>
      </c>
      <c r="O317" s="506"/>
      <c r="P317" s="507"/>
      <c r="Q317" s="507"/>
      <c r="R317" s="507"/>
      <c r="S317" s="500"/>
      <c r="T317" s="508"/>
      <c r="U317" s="508"/>
      <c r="V317" s="508"/>
      <c r="W317" s="508"/>
      <c r="X317" s="508"/>
      <c r="Y317" s="508"/>
      <c r="Z317" s="508"/>
      <c r="AA317" s="508"/>
      <c r="AB317" s="508"/>
      <c r="AC317" s="508"/>
      <c r="AD317" s="508"/>
      <c r="AE317" s="508"/>
      <c r="AF317" s="508"/>
      <c r="AG317" s="508"/>
      <c r="AH317" s="508"/>
      <c r="AI317" s="508"/>
      <c r="AJ317" s="508"/>
      <c r="AK317" s="508"/>
      <c r="AL317" s="508"/>
      <c r="AM317" s="508"/>
      <c r="AN317" s="508"/>
      <c r="AO317" s="508"/>
      <c r="AP317" s="508"/>
      <c r="AQ317" s="508"/>
      <c r="AR317" s="508"/>
      <c r="AS317" s="508"/>
      <c r="AT317" s="508"/>
      <c r="AU317" s="508"/>
      <c r="AV317" s="508"/>
      <c r="AW317" s="508"/>
      <c r="AX317" s="508"/>
      <c r="AY317" s="508"/>
      <c r="AZ317" s="508"/>
      <c r="BA317" s="508"/>
      <c r="BB317" s="500"/>
    </row>
    <row r="318" spans="2:54" s="554" customFormat="1">
      <c r="B318" s="1339" t="s">
        <v>625</v>
      </c>
      <c r="C318" s="1340"/>
      <c r="D318" s="593" t="s">
        <v>2550</v>
      </c>
      <c r="E318" s="593"/>
      <c r="F318" s="593" t="s">
        <v>260</v>
      </c>
      <c r="G318" s="593" t="s">
        <v>261</v>
      </c>
      <c r="H318" s="594">
        <v>7465.7150000000001</v>
      </c>
      <c r="I318" s="584" t="s">
        <v>240</v>
      </c>
      <c r="J318" s="504">
        <v>45190.444444444445</v>
      </c>
      <c r="K318" s="574"/>
      <c r="L318" s="504" t="s">
        <v>192</v>
      </c>
      <c r="M318" s="504" t="s">
        <v>192</v>
      </c>
      <c r="N318" s="505" t="str">
        <f t="shared" si="34"/>
        <v>DELAY ( 5 day 10 hour 40 minute )</v>
      </c>
      <c r="O318" s="506"/>
      <c r="P318" s="507" t="s">
        <v>551</v>
      </c>
      <c r="Q318" s="507" t="s">
        <v>551</v>
      </c>
      <c r="R318" s="507" t="s">
        <v>551</v>
      </c>
      <c r="S318" s="500"/>
      <c r="T318" s="508"/>
      <c r="U318" s="508"/>
      <c r="V318" s="508"/>
      <c r="W318" s="508"/>
      <c r="X318" s="508"/>
      <c r="Y318" s="508"/>
      <c r="Z318" s="508"/>
      <c r="AA318" s="508"/>
      <c r="AB318" s="508"/>
      <c r="AC318" s="508">
        <f>H318</f>
        <v>7465.7150000000001</v>
      </c>
      <c r="AD318" s="508"/>
      <c r="AE318" s="508"/>
      <c r="AF318" s="508"/>
      <c r="AG318" s="508"/>
      <c r="AH318" s="508"/>
      <c r="AI318" s="508"/>
      <c r="AJ318" s="508"/>
      <c r="AK318" s="508"/>
      <c r="AL318" s="508"/>
      <c r="AM318" s="508"/>
      <c r="AN318" s="508"/>
      <c r="AO318" s="508"/>
      <c r="AP318" s="508"/>
      <c r="AQ318" s="508"/>
      <c r="AR318" s="508"/>
      <c r="AS318" s="508"/>
      <c r="AT318" s="508"/>
      <c r="AU318" s="508"/>
      <c r="AV318" s="508"/>
      <c r="AW318" s="508"/>
      <c r="AX318" s="508"/>
      <c r="AY318" s="508"/>
      <c r="AZ318" s="508"/>
      <c r="BA318" s="508"/>
      <c r="BB318" s="500"/>
    </row>
    <row r="319" spans="2:54" s="554" customFormat="1">
      <c r="B319" s="1338"/>
      <c r="C319" s="1340"/>
      <c r="D319" s="593"/>
      <c r="E319" s="593"/>
      <c r="F319" s="1338" t="s">
        <v>668</v>
      </c>
      <c r="G319" s="1338"/>
      <c r="H319" s="604">
        <v>1142.683</v>
      </c>
      <c r="I319" s="595"/>
      <c r="J319" s="605"/>
      <c r="K319" s="605"/>
      <c r="L319" s="605"/>
      <c r="M319" s="605"/>
      <c r="N319" s="505" t="str">
        <f t="shared" si="34"/>
        <v xml:space="preserve"> </v>
      </c>
      <c r="O319" s="506"/>
      <c r="P319" s="507"/>
      <c r="Q319" s="507"/>
      <c r="R319" s="507"/>
      <c r="S319" s="500"/>
      <c r="T319" s="508"/>
      <c r="U319" s="508"/>
      <c r="V319" s="508"/>
      <c r="W319" s="508"/>
      <c r="X319" s="508"/>
      <c r="Y319" s="508"/>
      <c r="Z319" s="508"/>
      <c r="AA319" s="508"/>
      <c r="AB319" s="508"/>
      <c r="AC319" s="508"/>
      <c r="AD319" s="508"/>
      <c r="AE319" s="508"/>
      <c r="AF319" s="508"/>
      <c r="AG319" s="508"/>
      <c r="AH319" s="508"/>
      <c r="AI319" s="508"/>
      <c r="AJ319" s="508"/>
      <c r="AK319" s="508"/>
      <c r="AL319" s="508"/>
      <c r="AM319" s="508"/>
      <c r="AN319" s="508"/>
      <c r="AO319" s="508"/>
      <c r="AP319" s="508"/>
      <c r="AQ319" s="508"/>
      <c r="AR319" s="508"/>
      <c r="AS319" s="508"/>
      <c r="AT319" s="508"/>
      <c r="AU319" s="508"/>
      <c r="AV319" s="508"/>
      <c r="AW319" s="508"/>
      <c r="AX319" s="508"/>
      <c r="AY319" s="508"/>
      <c r="AZ319" s="508"/>
      <c r="BA319" s="508"/>
      <c r="BB319" s="500"/>
    </row>
    <row r="320" spans="2:54" s="554" customFormat="1">
      <c r="B320" s="1338"/>
      <c r="C320" s="1340"/>
      <c r="D320" s="593"/>
      <c r="E320" s="593"/>
      <c r="F320" s="1338" t="s">
        <v>616</v>
      </c>
      <c r="G320" s="1338"/>
      <c r="H320" s="604">
        <v>1026.5870000000004</v>
      </c>
      <c r="I320" s="595"/>
      <c r="J320" s="605"/>
      <c r="K320" s="605"/>
      <c r="L320" s="605"/>
      <c r="M320" s="605"/>
      <c r="N320" s="505" t="str">
        <f t="shared" si="34"/>
        <v xml:space="preserve"> </v>
      </c>
      <c r="O320" s="506"/>
      <c r="P320" s="507"/>
      <c r="Q320" s="507"/>
      <c r="R320" s="507"/>
      <c r="S320" s="500"/>
      <c r="T320" s="508"/>
      <c r="U320" s="508"/>
      <c r="V320" s="508"/>
      <c r="W320" s="508"/>
      <c r="X320" s="508"/>
      <c r="Y320" s="508"/>
      <c r="Z320" s="508"/>
      <c r="AA320" s="508"/>
      <c r="AB320" s="508"/>
      <c r="AC320" s="508"/>
      <c r="AD320" s="508"/>
      <c r="AE320" s="508"/>
      <c r="AF320" s="508"/>
      <c r="AG320" s="508"/>
      <c r="AH320" s="508"/>
      <c r="AI320" s="508"/>
      <c r="AJ320" s="508"/>
      <c r="AK320" s="508"/>
      <c r="AL320" s="508"/>
      <c r="AM320" s="508"/>
      <c r="AN320" s="508"/>
      <c r="AO320" s="508"/>
      <c r="AP320" s="508"/>
      <c r="AQ320" s="508"/>
      <c r="AR320" s="508"/>
      <c r="AS320" s="508"/>
      <c r="AT320" s="508"/>
      <c r="AU320" s="508"/>
      <c r="AV320" s="508"/>
      <c r="AW320" s="508"/>
      <c r="AX320" s="508"/>
      <c r="AY320" s="508"/>
      <c r="AZ320" s="508"/>
      <c r="BA320" s="508"/>
      <c r="BB320" s="500"/>
    </row>
    <row r="321" spans="2:54" s="554" customFormat="1">
      <c r="B321" s="1341" t="s">
        <v>669</v>
      </c>
      <c r="C321" s="1335"/>
      <c r="D321" s="593" t="s">
        <v>2551</v>
      </c>
      <c r="E321" s="593"/>
      <c r="F321" s="593" t="s">
        <v>334</v>
      </c>
      <c r="G321" s="593" t="s">
        <v>335</v>
      </c>
      <c r="H321" s="594">
        <f>7711.092-692.801</f>
        <v>7018.2909999999993</v>
      </c>
      <c r="I321" s="505" t="s">
        <v>240</v>
      </c>
      <c r="J321" s="504">
        <v>45190.5625</v>
      </c>
      <c r="K321" s="504"/>
      <c r="L321" s="504" t="s">
        <v>192</v>
      </c>
      <c r="M321" s="504" t="s">
        <v>192</v>
      </c>
      <c r="N321" s="505" t="str">
        <f t="shared" si="34"/>
        <v>DELAY ( 5 day 13 hour 30 minute )</v>
      </c>
      <c r="O321" s="506"/>
      <c r="P321" s="507" t="s">
        <v>551</v>
      </c>
      <c r="Q321" s="507" t="s">
        <v>551</v>
      </c>
      <c r="R321" s="507" t="s">
        <v>551</v>
      </c>
      <c r="S321" s="500"/>
      <c r="T321" s="508"/>
      <c r="U321" s="508"/>
      <c r="V321" s="508"/>
      <c r="W321" s="508"/>
      <c r="X321" s="508"/>
      <c r="Y321" s="508"/>
      <c r="Z321" s="508"/>
      <c r="AA321" s="508"/>
      <c r="AB321" s="508"/>
      <c r="AC321" s="508">
        <f>H321-H328</f>
        <v>7018.2909999999993</v>
      </c>
      <c r="AD321" s="508"/>
      <c r="AE321" s="508"/>
      <c r="AF321" s="508"/>
      <c r="AG321" s="508"/>
      <c r="AH321" s="508"/>
      <c r="AI321" s="508"/>
      <c r="AJ321" s="508"/>
      <c r="AK321" s="508"/>
      <c r="AL321" s="508"/>
      <c r="AM321" s="508"/>
      <c r="AN321" s="508"/>
      <c r="AO321" s="508"/>
      <c r="AP321" s="508"/>
      <c r="AQ321" s="508"/>
      <c r="AR321" s="508"/>
      <c r="AS321" s="508"/>
      <c r="AT321" s="508"/>
      <c r="AU321" s="508"/>
      <c r="AV321" s="508"/>
      <c r="AW321" s="508"/>
      <c r="AX321" s="508"/>
      <c r="AY321" s="508"/>
      <c r="AZ321" s="508"/>
      <c r="BA321" s="508"/>
      <c r="BB321" s="500"/>
    </row>
    <row r="322" spans="2:54" s="554" customFormat="1">
      <c r="B322" s="1342"/>
      <c r="C322" s="1343"/>
      <c r="D322" s="593"/>
      <c r="E322" s="593"/>
      <c r="F322" s="1338" t="s">
        <v>668</v>
      </c>
      <c r="G322" s="1338"/>
      <c r="H322" s="594">
        <v>1000</v>
      </c>
      <c r="I322" s="505"/>
      <c r="J322" s="504"/>
      <c r="K322" s="504"/>
      <c r="L322" s="504"/>
      <c r="M322" s="504"/>
      <c r="N322" s="505" t="str">
        <f t="shared" si="34"/>
        <v xml:space="preserve"> </v>
      </c>
      <c r="O322" s="506"/>
      <c r="P322" s="507"/>
      <c r="Q322" s="507"/>
      <c r="R322" s="507"/>
      <c r="S322" s="500"/>
      <c r="T322" s="508"/>
      <c r="U322" s="508"/>
      <c r="V322" s="508"/>
      <c r="W322" s="508"/>
      <c r="X322" s="508"/>
      <c r="Y322" s="508"/>
      <c r="Z322" s="508"/>
      <c r="AA322" s="508"/>
      <c r="AB322" s="508"/>
      <c r="AC322" s="508"/>
      <c r="AD322" s="508"/>
      <c r="AE322" s="508"/>
      <c r="AF322" s="508"/>
      <c r="AG322" s="508"/>
      <c r="AH322" s="508"/>
      <c r="AI322" s="508"/>
      <c r="AJ322" s="508"/>
      <c r="AK322" s="508"/>
      <c r="AL322" s="508"/>
      <c r="AM322" s="508"/>
      <c r="AN322" s="508"/>
      <c r="AO322" s="508"/>
      <c r="AP322" s="508"/>
      <c r="AQ322" s="508"/>
      <c r="AR322" s="508"/>
      <c r="AS322" s="508"/>
      <c r="AT322" s="508"/>
      <c r="AU322" s="508"/>
      <c r="AV322" s="508"/>
      <c r="AW322" s="508"/>
      <c r="AX322" s="508"/>
      <c r="AY322" s="508"/>
      <c r="AZ322" s="508"/>
      <c r="BA322" s="508"/>
      <c r="BB322" s="500"/>
    </row>
    <row r="323" spans="2:54" s="554" customFormat="1">
      <c r="B323" s="1344"/>
      <c r="C323" s="1345"/>
      <c r="D323" s="593"/>
      <c r="E323" s="593"/>
      <c r="F323" s="1338" t="s">
        <v>616</v>
      </c>
      <c r="G323" s="1338"/>
      <c r="H323" s="594">
        <v>1000</v>
      </c>
      <c r="I323" s="505"/>
      <c r="J323" s="504"/>
      <c r="K323" s="504"/>
      <c r="L323" s="504"/>
      <c r="M323" s="504"/>
      <c r="N323" s="505" t="str">
        <f t="shared" si="34"/>
        <v xml:space="preserve"> </v>
      </c>
      <c r="O323" s="506"/>
      <c r="P323" s="507"/>
      <c r="Q323" s="507"/>
      <c r="R323" s="507"/>
      <c r="S323" s="500"/>
      <c r="T323" s="508"/>
      <c r="U323" s="508"/>
      <c r="V323" s="508"/>
      <c r="W323" s="508"/>
      <c r="X323" s="508"/>
      <c r="Y323" s="508"/>
      <c r="Z323" s="508"/>
      <c r="AA323" s="508"/>
      <c r="AB323" s="508"/>
      <c r="AC323" s="508"/>
      <c r="AD323" s="508"/>
      <c r="AE323" s="508"/>
      <c r="AF323" s="508"/>
      <c r="AG323" s="508"/>
      <c r="AH323" s="508"/>
      <c r="AI323" s="508"/>
      <c r="AJ323" s="508"/>
      <c r="AK323" s="508"/>
      <c r="AL323" s="508"/>
      <c r="AM323" s="508"/>
      <c r="AN323" s="508"/>
      <c r="AO323" s="508"/>
      <c r="AP323" s="508"/>
      <c r="AQ323" s="508"/>
      <c r="AR323" s="508"/>
      <c r="AS323" s="508"/>
      <c r="AT323" s="508"/>
      <c r="AU323" s="508"/>
      <c r="AV323" s="508"/>
      <c r="AW323" s="508"/>
      <c r="AX323" s="508"/>
      <c r="AY323" s="508"/>
      <c r="AZ323" s="508"/>
      <c r="BA323" s="508"/>
      <c r="BB323" s="500"/>
    </row>
    <row r="324" spans="2:54">
      <c r="B324" s="1346" t="s">
        <v>626</v>
      </c>
      <c r="C324" s="1347"/>
      <c r="D324" s="1347"/>
      <c r="E324" s="1347"/>
      <c r="F324" s="1347"/>
      <c r="G324" s="1348"/>
      <c r="H324" s="586">
        <f>H305+H307+H310+H321+H316+H313+H318</f>
        <v>52130.729999999996</v>
      </c>
      <c r="I324" s="600"/>
      <c r="J324" s="601"/>
      <c r="K324" s="601"/>
      <c r="L324" s="601"/>
      <c r="M324" s="602"/>
      <c r="N324" s="505" t="str">
        <f t="shared" si="34"/>
        <v xml:space="preserve"> </v>
      </c>
      <c r="O324" s="47"/>
      <c r="P324" s="590"/>
      <c r="Q324" s="590"/>
      <c r="R324" s="590"/>
      <c r="S324" s="591"/>
      <c r="T324" s="1330"/>
      <c r="U324" s="1330"/>
      <c r="V324" s="1330"/>
      <c r="W324" s="1330"/>
      <c r="X324" s="1330"/>
      <c r="Y324" s="1330"/>
      <c r="Z324" s="1330"/>
      <c r="AA324" s="1330"/>
      <c r="AB324" s="1330"/>
      <c r="AC324" s="1330"/>
      <c r="AD324" s="1330"/>
      <c r="AE324" s="1330"/>
      <c r="AF324" s="1330"/>
      <c r="AG324" s="1330"/>
      <c r="AH324" s="1330"/>
      <c r="AI324" s="1330"/>
      <c r="AJ324" s="1330"/>
      <c r="AK324" s="1330"/>
      <c r="AL324" s="1330"/>
      <c r="AM324" s="1330"/>
      <c r="AN324" s="1330"/>
      <c r="AO324" s="1330"/>
      <c r="AP324" s="1330"/>
      <c r="AQ324" s="1330"/>
      <c r="AR324" s="1330"/>
      <c r="AS324" s="1330"/>
      <c r="AT324" s="1330"/>
      <c r="AU324" s="1330"/>
      <c r="AV324" s="1330"/>
      <c r="AW324" s="1330"/>
      <c r="AX324" s="1330"/>
      <c r="AY324" s="1330"/>
      <c r="AZ324" s="1330"/>
      <c r="BA324" s="1330"/>
    </row>
    <row r="325" spans="2:54">
      <c r="B325" s="1258" t="s">
        <v>556</v>
      </c>
      <c r="C325" s="1259"/>
      <c r="D325" s="1259"/>
      <c r="E325" s="1259"/>
      <c r="F325" s="1259"/>
      <c r="G325" s="1260"/>
      <c r="H325" s="417">
        <f>H304+H324</f>
        <v>67000</v>
      </c>
      <c r="I325" s="388"/>
      <c r="J325" s="293"/>
      <c r="K325" s="293"/>
      <c r="L325" s="293"/>
      <c r="M325" s="389"/>
      <c r="N325" s="505" t="str">
        <f t="shared" si="34"/>
        <v xml:space="preserve"> </v>
      </c>
      <c r="O325" s="212"/>
      <c r="P325" s="418"/>
      <c r="Q325" s="418"/>
      <c r="R325" s="418"/>
      <c r="S325" s="207"/>
      <c r="T325" s="1300"/>
      <c r="U325" s="1301"/>
      <c r="V325" s="1301"/>
      <c r="W325" s="1301"/>
      <c r="X325" s="1301"/>
      <c r="Y325" s="1301"/>
      <c r="Z325" s="1301"/>
      <c r="AA325" s="1301"/>
      <c r="AB325" s="1301"/>
      <c r="AC325" s="1301"/>
      <c r="AD325" s="1301"/>
      <c r="AE325" s="1301"/>
      <c r="AF325" s="1301"/>
      <c r="AG325" s="1301"/>
      <c r="AH325" s="1301"/>
      <c r="AI325" s="1301"/>
      <c r="AJ325" s="1301"/>
      <c r="AK325" s="1301"/>
      <c r="AL325" s="1301"/>
      <c r="AM325" s="1301"/>
      <c r="AN325" s="1301"/>
      <c r="AO325" s="1301"/>
      <c r="AP325" s="1301"/>
      <c r="AQ325" s="1301"/>
      <c r="AR325" s="1301"/>
      <c r="AS325" s="1301"/>
      <c r="AT325" s="1301"/>
      <c r="AU325" s="1301"/>
      <c r="AV325" s="1301"/>
      <c r="AW325" s="1301"/>
      <c r="AX325" s="1301"/>
      <c r="AY325" s="1301"/>
      <c r="AZ325" s="1301"/>
      <c r="BA325" s="1301"/>
    </row>
    <row r="326" spans="2:54">
      <c r="B326" s="1320" t="s">
        <v>557</v>
      </c>
      <c r="C326" s="1321"/>
      <c r="D326" s="1321"/>
      <c r="E326" s="1321"/>
      <c r="F326" s="1321"/>
      <c r="G326" s="1322"/>
      <c r="H326" s="545">
        <v>67000</v>
      </c>
      <c r="I326" s="1331"/>
      <c r="J326" s="1332"/>
      <c r="K326" s="1332"/>
      <c r="L326" s="1332"/>
      <c r="M326" s="1333"/>
      <c r="N326" s="505" t="str">
        <f t="shared" si="34"/>
        <v xml:space="preserve"> </v>
      </c>
      <c r="O326" s="32"/>
      <c r="P326" s="415"/>
      <c r="Q326" s="415"/>
      <c r="R326" s="415"/>
      <c r="S326" s="63"/>
      <c r="T326" s="416">
        <f>SUM(T302:T323)</f>
        <v>0</v>
      </c>
      <c r="U326" s="416">
        <f t="shared" ref="U326:BA326" si="35">SUM(U302:U323)</f>
        <v>7526.5870000000004</v>
      </c>
      <c r="V326" s="416">
        <f t="shared" si="35"/>
        <v>0</v>
      </c>
      <c r="W326" s="416">
        <f t="shared" si="35"/>
        <v>0</v>
      </c>
      <c r="X326" s="416">
        <f t="shared" si="35"/>
        <v>0</v>
      </c>
      <c r="Y326" s="416">
        <f t="shared" si="35"/>
        <v>0</v>
      </c>
      <c r="Z326" s="416">
        <f t="shared" si="35"/>
        <v>0</v>
      </c>
      <c r="AA326" s="416">
        <f t="shared" si="35"/>
        <v>0</v>
      </c>
      <c r="AB326" s="416">
        <f t="shared" si="35"/>
        <v>0</v>
      </c>
      <c r="AC326" s="416">
        <f t="shared" si="35"/>
        <v>52130.729999999996</v>
      </c>
      <c r="AD326" s="416">
        <f t="shared" si="35"/>
        <v>7342.683</v>
      </c>
      <c r="AE326" s="416">
        <f t="shared" si="35"/>
        <v>0</v>
      </c>
      <c r="AF326" s="416">
        <f t="shared" si="35"/>
        <v>0</v>
      </c>
      <c r="AG326" s="416">
        <f t="shared" si="35"/>
        <v>0</v>
      </c>
      <c r="AH326" s="416">
        <f t="shared" si="35"/>
        <v>0</v>
      </c>
      <c r="AI326" s="416">
        <f t="shared" si="35"/>
        <v>0</v>
      </c>
      <c r="AJ326" s="416">
        <f t="shared" si="35"/>
        <v>0</v>
      </c>
      <c r="AK326" s="416">
        <f t="shared" si="35"/>
        <v>0</v>
      </c>
      <c r="AL326" s="416">
        <f t="shared" si="35"/>
        <v>0</v>
      </c>
      <c r="AM326" s="416">
        <f t="shared" si="35"/>
        <v>0</v>
      </c>
      <c r="AN326" s="416">
        <f t="shared" si="35"/>
        <v>0</v>
      </c>
      <c r="AO326" s="416">
        <f t="shared" si="35"/>
        <v>0</v>
      </c>
      <c r="AP326" s="416">
        <f t="shared" si="35"/>
        <v>0</v>
      </c>
      <c r="AQ326" s="416">
        <f t="shared" si="35"/>
        <v>0</v>
      </c>
      <c r="AR326" s="416">
        <f t="shared" si="35"/>
        <v>0</v>
      </c>
      <c r="AS326" s="416">
        <f t="shared" si="35"/>
        <v>0</v>
      </c>
      <c r="AT326" s="416">
        <f t="shared" si="35"/>
        <v>0</v>
      </c>
      <c r="AU326" s="416">
        <f t="shared" si="35"/>
        <v>0</v>
      </c>
      <c r="AV326" s="416">
        <f t="shared" si="35"/>
        <v>0</v>
      </c>
      <c r="AW326" s="416">
        <f t="shared" si="35"/>
        <v>0</v>
      </c>
      <c r="AX326" s="416">
        <f t="shared" si="35"/>
        <v>0</v>
      </c>
      <c r="AY326" s="416">
        <f t="shared" si="35"/>
        <v>0</v>
      </c>
      <c r="AZ326" s="416">
        <f t="shared" si="35"/>
        <v>0</v>
      </c>
      <c r="BA326" s="416">
        <f t="shared" si="35"/>
        <v>0</v>
      </c>
      <c r="BB326" s="416">
        <f>SUM(T326:BA326)</f>
        <v>67000</v>
      </c>
    </row>
    <row r="327" spans="2:54">
      <c r="B327" s="1320" t="s">
        <v>558</v>
      </c>
      <c r="C327" s="1321"/>
      <c r="D327" s="1321"/>
      <c r="E327" s="1321"/>
      <c r="F327" s="1321"/>
      <c r="G327" s="1322"/>
      <c r="H327" s="546">
        <f>H326-L296</f>
        <v>0</v>
      </c>
      <c r="I327" s="556"/>
      <c r="J327" s="557"/>
      <c r="K327" s="557"/>
      <c r="L327" s="558"/>
      <c r="M327" s="500"/>
      <c r="N327" s="32"/>
      <c r="O327" s="32"/>
      <c r="P327" s="32"/>
      <c r="Q327" s="297"/>
      <c r="R327" s="297"/>
      <c r="S327" s="32"/>
      <c r="T327" s="48"/>
      <c r="U327" s="48"/>
      <c r="V327" s="48"/>
      <c r="W327" s="48"/>
      <c r="X327" s="48"/>
      <c r="Y327" s="48"/>
      <c r="Z327" s="48"/>
      <c r="AA327" s="48"/>
      <c r="AB327" s="48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</row>
    <row r="328" spans="2:54">
      <c r="B328" s="1320" t="s">
        <v>559</v>
      </c>
      <c r="C328" s="1321"/>
      <c r="D328" s="1321"/>
      <c r="E328" s="1321"/>
      <c r="F328" s="1321"/>
      <c r="G328" s="1322"/>
      <c r="H328" s="532">
        <f>H325-H326</f>
        <v>0</v>
      </c>
      <c r="I328" s="561"/>
      <c r="J328" s="606"/>
      <c r="K328" s="562"/>
      <c r="L328" s="563"/>
      <c r="M328" s="500"/>
      <c r="N328" s="201"/>
      <c r="O328" s="32"/>
      <c r="P328" s="32"/>
      <c r="Q328" s="32"/>
      <c r="R328" s="32"/>
      <c r="S328" s="32"/>
      <c r="T328" s="48"/>
      <c r="U328" s="48"/>
      <c r="V328" s="48"/>
      <c r="W328" s="48"/>
      <c r="X328" s="48"/>
      <c r="Y328" s="48"/>
      <c r="Z328" s="48"/>
      <c r="AA328" s="48"/>
      <c r="AB328" s="48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</row>
    <row r="329" spans="2:54" s="496" customFormat="1">
      <c r="B329" s="1323" t="s">
        <v>560</v>
      </c>
      <c r="C329" s="1324"/>
      <c r="D329" s="1324"/>
      <c r="E329" s="1324"/>
      <c r="F329" s="1324"/>
      <c r="G329" s="1325"/>
      <c r="H329" s="421">
        <f>H328-692.801</f>
        <v>-692.80100000000004</v>
      </c>
      <c r="I329" s="209"/>
      <c r="J329" s="498"/>
      <c r="K329" s="498"/>
      <c r="L329" s="499"/>
      <c r="M329" s="201"/>
      <c r="N329" s="201"/>
      <c r="O329" s="201"/>
      <c r="P329" s="201"/>
      <c r="Q329" s="201"/>
      <c r="R329" s="201"/>
      <c r="S329" s="202"/>
      <c r="T329" s="202"/>
      <c r="U329" s="202"/>
      <c r="V329" s="202"/>
      <c r="W329" s="202"/>
      <c r="X329" s="202"/>
      <c r="Y329" s="202"/>
      <c r="Z329" s="202"/>
      <c r="AA329" s="202"/>
      <c r="AB329" s="201"/>
      <c r="AC329" s="201"/>
      <c r="AD329" s="201"/>
      <c r="AE329" s="201"/>
      <c r="AF329" s="201"/>
      <c r="AG329" s="201"/>
      <c r="AH329" s="201"/>
      <c r="AI329" s="201"/>
      <c r="AJ329" s="201"/>
      <c r="AK329" s="201"/>
      <c r="AL329" s="201"/>
      <c r="AM329" s="201"/>
      <c r="AN329" s="201"/>
      <c r="AO329" s="201"/>
      <c r="AP329" s="201"/>
      <c r="AQ329" s="201"/>
    </row>
    <row r="330" spans="2:54">
      <c r="B330" s="201"/>
      <c r="C330" s="201"/>
      <c r="D330" s="201"/>
      <c r="E330" s="201"/>
      <c r="F330" s="201"/>
      <c r="G330" s="201"/>
      <c r="H330" s="201"/>
      <c r="I330" s="213"/>
      <c r="J330" s="603"/>
      <c r="K330" s="209"/>
      <c r="L330" s="203"/>
      <c r="M330" s="201"/>
      <c r="N330" s="201"/>
      <c r="O330" s="209"/>
      <c r="P330" s="32"/>
      <c r="Q330" s="32"/>
      <c r="R330" s="32"/>
      <c r="S330" s="32"/>
      <c r="T330" s="48"/>
      <c r="U330" s="48"/>
      <c r="V330" s="48"/>
      <c r="W330" s="48"/>
      <c r="X330" s="48"/>
      <c r="Y330" s="48"/>
      <c r="Z330" s="48"/>
      <c r="AA330" s="48"/>
      <c r="AB330" s="48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</row>
    <row r="331" spans="2:54">
      <c r="B331" s="40" t="s">
        <v>561</v>
      </c>
      <c r="C331" s="40"/>
      <c r="D331" s="32"/>
      <c r="E331" s="32"/>
      <c r="F331" s="32"/>
      <c r="G331" s="32"/>
      <c r="H331" s="32"/>
      <c r="I331" s="32"/>
      <c r="J331" s="52"/>
      <c r="K331" s="52"/>
      <c r="L331" s="55"/>
      <c r="M331" s="32"/>
      <c r="N331" s="201"/>
      <c r="O331" s="5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  <c r="AA331" s="202"/>
      <c r="AB331" s="201"/>
      <c r="AC331" s="201"/>
      <c r="AD331" s="201"/>
      <c r="AE331" s="201"/>
      <c r="AF331" s="201"/>
      <c r="AG331" s="201"/>
      <c r="AH331" s="201"/>
      <c r="AI331" s="201"/>
      <c r="AJ331" s="201"/>
      <c r="AK331" s="201"/>
      <c r="AL331" s="201"/>
      <c r="AM331" s="201"/>
      <c r="AN331" s="201"/>
      <c r="AO331" s="201"/>
      <c r="AP331" s="201"/>
      <c r="AQ331" s="201"/>
      <c r="AR331" s="201"/>
      <c r="AS331" s="201"/>
      <c r="AT331" s="201"/>
      <c r="AU331" s="201"/>
      <c r="BB331" s="201"/>
    </row>
    <row r="332" spans="2:54">
      <c r="B332" s="422">
        <v>1</v>
      </c>
      <c r="C332" s="1249" t="s">
        <v>562</v>
      </c>
      <c r="D332" s="1249"/>
      <c r="E332" s="1249"/>
      <c r="F332" s="1249"/>
      <c r="G332" s="1249"/>
      <c r="H332" s="1249"/>
      <c r="I332" s="1249"/>
      <c r="J332" s="1249"/>
      <c r="K332" s="1249"/>
      <c r="L332" s="203"/>
      <c r="M332" s="203"/>
      <c r="N332" s="201"/>
      <c r="O332" s="209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  <c r="AA332" s="202"/>
      <c r="AB332" s="201"/>
      <c r="AC332" s="201"/>
      <c r="AD332" s="201"/>
      <c r="AE332" s="201"/>
      <c r="AF332" s="201"/>
      <c r="AG332" s="201"/>
      <c r="AH332" s="201"/>
      <c r="AI332" s="201"/>
      <c r="AJ332" s="201"/>
      <c r="AK332" s="201"/>
      <c r="AL332" s="201"/>
      <c r="AM332" s="201"/>
      <c r="AN332" s="201"/>
      <c r="AO332" s="201"/>
      <c r="AP332" s="201"/>
      <c r="AQ332" s="201"/>
      <c r="AR332" s="201"/>
      <c r="AS332" s="201"/>
      <c r="AT332" s="201"/>
      <c r="AU332" s="201"/>
      <c r="AV332" s="201"/>
      <c r="AW332" s="201"/>
      <c r="AX332" s="201"/>
      <c r="AY332" s="201"/>
      <c r="AZ332" s="201"/>
      <c r="BA332" s="201"/>
      <c r="BB332" s="201"/>
    </row>
    <row r="334" spans="2:54">
      <c r="B334" s="28" t="s">
        <v>126</v>
      </c>
      <c r="C334" s="28"/>
      <c r="D334" s="29"/>
      <c r="E334" s="30" t="s">
        <v>511</v>
      </c>
      <c r="F334" s="31" t="s">
        <v>2552</v>
      </c>
      <c r="G334" s="32"/>
      <c r="H334" s="33"/>
      <c r="I334" s="34"/>
      <c r="J334" s="35" t="s">
        <v>513</v>
      </c>
      <c r="K334" s="36" t="s">
        <v>511</v>
      </c>
      <c r="L334" s="516">
        <v>45192.444444444445</v>
      </c>
      <c r="M334" s="32"/>
      <c r="N334" s="32"/>
      <c r="O334" s="206"/>
      <c r="P334" s="205"/>
      <c r="Q334" s="202"/>
      <c r="R334" s="204"/>
      <c r="S334" s="38"/>
      <c r="T334" s="201"/>
      <c r="U334" s="201"/>
      <c r="V334" s="201"/>
      <c r="W334" s="201"/>
      <c r="X334" s="201"/>
      <c r="Y334" s="201"/>
      <c r="Z334" s="201"/>
      <c r="AA334" s="201"/>
      <c r="AB334" s="202"/>
      <c r="AC334" s="202"/>
      <c r="AD334" s="202"/>
      <c r="AE334" s="202"/>
      <c r="AF334" s="202"/>
      <c r="AG334" s="201"/>
      <c r="AH334" s="201"/>
      <c r="AI334" s="201"/>
      <c r="AJ334" s="201"/>
      <c r="AK334" s="201"/>
      <c r="AL334" s="201"/>
      <c r="AM334" s="201"/>
      <c r="AN334" s="201"/>
      <c r="AO334" s="201"/>
      <c r="AP334" s="201"/>
      <c r="AQ334" s="201"/>
      <c r="AR334" s="201"/>
      <c r="AS334" s="201"/>
      <c r="AT334" s="201"/>
      <c r="AU334" s="201"/>
      <c r="AV334" s="201"/>
      <c r="AW334" s="201"/>
      <c r="AX334" s="201"/>
      <c r="AY334" s="201"/>
      <c r="AZ334" s="201"/>
      <c r="BA334" s="201"/>
      <c r="BB334" s="201"/>
    </row>
    <row r="335" spans="2:54">
      <c r="B335" s="35" t="s">
        <v>514</v>
      </c>
      <c r="C335" s="35"/>
      <c r="D335" s="32"/>
      <c r="E335" s="36" t="s">
        <v>511</v>
      </c>
      <c r="F335" s="311" t="s">
        <v>2553</v>
      </c>
      <c r="G335" s="32"/>
      <c r="H335" s="33"/>
      <c r="I335" s="34"/>
      <c r="J335" s="35" t="s">
        <v>516</v>
      </c>
      <c r="K335" s="36" t="s">
        <v>511</v>
      </c>
      <c r="L335" s="516">
        <v>45194.076388888891</v>
      </c>
      <c r="M335" s="32"/>
      <c r="N335" s="32"/>
      <c r="O335" s="206"/>
      <c r="P335" s="205"/>
      <c r="Q335" s="202"/>
      <c r="R335" s="204"/>
      <c r="S335" s="38"/>
      <c r="T335" s="201"/>
      <c r="U335" s="201"/>
      <c r="V335" s="201"/>
      <c r="W335" s="201"/>
      <c r="X335" s="201"/>
      <c r="Y335" s="201"/>
      <c r="Z335" s="201"/>
      <c r="AA335" s="201"/>
      <c r="AB335" s="202"/>
      <c r="AC335" s="202"/>
      <c r="AD335" s="202"/>
      <c r="AE335" s="202"/>
      <c r="AF335" s="202"/>
      <c r="AG335" s="201"/>
      <c r="AH335" s="201"/>
      <c r="AI335" s="201"/>
      <c r="AJ335" s="201"/>
      <c r="AK335" s="201"/>
      <c r="AL335" s="20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201"/>
    </row>
    <row r="336" spans="2:54">
      <c r="B336" s="35" t="s">
        <v>517</v>
      </c>
      <c r="C336" s="35"/>
      <c r="D336" s="32"/>
      <c r="E336" s="36" t="s">
        <v>511</v>
      </c>
      <c r="F336" s="516">
        <v>45190.695833333331</v>
      </c>
      <c r="G336" s="32"/>
      <c r="H336" s="33"/>
      <c r="I336" s="34"/>
      <c r="J336" s="35" t="s">
        <v>518</v>
      </c>
      <c r="K336" s="36" t="s">
        <v>511</v>
      </c>
      <c r="L336" s="544">
        <v>55000</v>
      </c>
      <c r="M336" s="40" t="s">
        <v>519</v>
      </c>
      <c r="N336" s="40"/>
      <c r="O336" s="206"/>
      <c r="P336" s="205"/>
      <c r="Q336" s="202"/>
      <c r="R336" s="204"/>
      <c r="S336" s="38"/>
      <c r="T336" s="201"/>
      <c r="U336" s="201"/>
      <c r="V336" s="201"/>
      <c r="W336" s="201"/>
      <c r="X336" s="201"/>
      <c r="Y336" s="201"/>
      <c r="Z336" s="201"/>
      <c r="AA336" s="201"/>
      <c r="AB336" s="202"/>
      <c r="AC336" s="202"/>
      <c r="AD336" s="202"/>
      <c r="AE336" s="202"/>
      <c r="AF336" s="202"/>
      <c r="AG336" s="201"/>
      <c r="AH336" s="201"/>
      <c r="AI336" s="201"/>
      <c r="AJ336" s="201"/>
      <c r="AK336" s="201"/>
      <c r="AL336" s="201"/>
      <c r="AM336" s="201"/>
      <c r="AN336" s="201"/>
      <c r="AO336" s="201"/>
      <c r="AP336" s="201"/>
      <c r="AQ336" s="201"/>
      <c r="AR336" s="201"/>
      <c r="AS336" s="201"/>
      <c r="AT336" s="201"/>
      <c r="AU336" s="201"/>
      <c r="AV336" s="201"/>
      <c r="AW336" s="201"/>
      <c r="AX336" s="201"/>
      <c r="AY336" s="201"/>
      <c r="AZ336" s="201"/>
      <c r="BA336" s="201"/>
      <c r="BB336" s="201"/>
    </row>
    <row r="337" spans="2:54">
      <c r="B337" s="35" t="s">
        <v>520</v>
      </c>
      <c r="C337" s="35"/>
      <c r="D337" s="32"/>
      <c r="E337" s="36" t="s">
        <v>511</v>
      </c>
      <c r="F337" s="37" t="s">
        <v>12</v>
      </c>
      <c r="G337" s="32"/>
      <c r="H337" s="33"/>
      <c r="I337" s="34"/>
      <c r="J337" s="35" t="s">
        <v>521</v>
      </c>
      <c r="K337" s="36" t="s">
        <v>511</v>
      </c>
      <c r="L337" s="41" t="s">
        <v>2554</v>
      </c>
      <c r="M337" s="32"/>
      <c r="N337" s="32"/>
      <c r="O337" s="206"/>
      <c r="P337" s="202"/>
      <c r="Q337" s="202"/>
      <c r="R337" s="204"/>
      <c r="S337" s="38"/>
      <c r="T337" s="201"/>
      <c r="U337" s="201"/>
      <c r="V337" s="201"/>
      <c r="W337" s="201"/>
      <c r="X337" s="201"/>
      <c r="Y337" s="201"/>
      <c r="Z337" s="201"/>
      <c r="AA337" s="201"/>
      <c r="AB337" s="202"/>
      <c r="AC337" s="202"/>
      <c r="AD337" s="202"/>
      <c r="AE337" s="202"/>
      <c r="AF337" s="202"/>
      <c r="AG337" s="201"/>
      <c r="AH337" s="201"/>
      <c r="AI337" s="201"/>
      <c r="AJ337" s="201"/>
      <c r="AK337" s="201"/>
      <c r="AL337" s="201"/>
      <c r="AM337" s="201"/>
      <c r="AN337" s="201"/>
      <c r="AO337" s="201"/>
      <c r="AP337" s="201"/>
      <c r="AQ337" s="201"/>
      <c r="AR337" s="201"/>
      <c r="AS337" s="201"/>
      <c r="AT337" s="201"/>
      <c r="AU337" s="201"/>
      <c r="AV337" s="201"/>
      <c r="AW337" s="201"/>
      <c r="AX337" s="201"/>
      <c r="AY337" s="201"/>
      <c r="AZ337" s="201"/>
      <c r="BA337" s="201"/>
      <c r="BB337" s="201"/>
    </row>
    <row r="338" spans="2:54">
      <c r="B338" s="35" t="s">
        <v>523</v>
      </c>
      <c r="C338" s="35"/>
      <c r="D338" s="32"/>
      <c r="E338" s="36" t="s">
        <v>511</v>
      </c>
      <c r="F338" s="37" t="s">
        <v>37</v>
      </c>
      <c r="G338" s="32"/>
      <c r="H338" s="33"/>
      <c r="I338" s="34"/>
      <c r="J338" s="42" t="s">
        <v>524</v>
      </c>
      <c r="K338" s="36" t="s">
        <v>511</v>
      </c>
      <c r="L338" s="43" t="s">
        <v>15</v>
      </c>
      <c r="M338" s="44"/>
      <c r="N338" s="44"/>
      <c r="O338" s="206"/>
      <c r="P338" s="205"/>
      <c r="Q338" s="202"/>
      <c r="R338" s="204"/>
      <c r="S338" s="38"/>
      <c r="T338" s="201"/>
      <c r="U338" s="201"/>
      <c r="V338" s="201"/>
      <c r="W338" s="201"/>
      <c r="X338" s="201"/>
      <c r="Y338" s="201"/>
      <c r="Z338" s="201"/>
      <c r="AA338" s="201"/>
      <c r="AB338" s="202"/>
      <c r="AC338" s="202"/>
      <c r="AD338" s="202"/>
      <c r="AE338" s="202"/>
      <c r="AF338" s="202"/>
      <c r="AG338" s="201"/>
      <c r="AH338" s="201"/>
      <c r="AI338" s="201"/>
      <c r="AJ338" s="201"/>
      <c r="AK338" s="201"/>
      <c r="AL338" s="201"/>
      <c r="AM338" s="201"/>
      <c r="AN338" s="201"/>
      <c r="AO338" s="201"/>
      <c r="AP338" s="201"/>
      <c r="AQ338" s="201"/>
      <c r="AR338" s="201"/>
      <c r="AS338" s="201"/>
      <c r="AT338" s="201"/>
      <c r="AU338" s="201"/>
      <c r="AV338" s="201"/>
      <c r="AW338" s="201"/>
      <c r="AX338" s="201"/>
      <c r="AY338" s="201"/>
      <c r="AZ338" s="201"/>
      <c r="BA338" s="201"/>
      <c r="BB338" s="201"/>
    </row>
    <row r="339" spans="2:54">
      <c r="B339" s="35" t="s">
        <v>2</v>
      </c>
      <c r="C339" s="35"/>
      <c r="D339" s="32"/>
      <c r="E339" s="36" t="s">
        <v>511</v>
      </c>
      <c r="F339" s="37" t="s">
        <v>42</v>
      </c>
      <c r="G339" s="32"/>
      <c r="H339" s="33"/>
      <c r="I339" s="45"/>
      <c r="J339" s="42"/>
      <c r="K339" s="36"/>
      <c r="L339" s="211"/>
      <c r="M339" s="201"/>
      <c r="N339" s="201"/>
      <c r="O339" s="42"/>
      <c r="P339" s="44"/>
      <c r="Q339" s="44"/>
      <c r="R339" s="44"/>
      <c r="S339" s="34"/>
      <c r="T339" s="201"/>
      <c r="U339" s="201"/>
      <c r="V339" s="201"/>
      <c r="W339" s="201"/>
      <c r="X339" s="201"/>
      <c r="Y339" s="201"/>
      <c r="Z339" s="201"/>
      <c r="AA339" s="201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201"/>
      <c r="AP339" s="201"/>
      <c r="AQ339" s="201"/>
      <c r="AR339" s="201"/>
      <c r="AS339" s="201"/>
      <c r="AT339" s="201"/>
      <c r="AU339" s="201"/>
      <c r="AV339" s="201"/>
      <c r="AW339" s="201"/>
      <c r="AX339" s="201"/>
      <c r="AY339" s="201"/>
      <c r="AZ339" s="201"/>
      <c r="BA339" s="201"/>
      <c r="BB339" s="201"/>
    </row>
    <row r="340" spans="2:54">
      <c r="B340" s="201"/>
      <c r="C340" s="201"/>
      <c r="D340" s="201"/>
      <c r="E340" s="201"/>
      <c r="F340" s="201"/>
      <c r="G340" s="201"/>
      <c r="H340" s="201"/>
      <c r="I340" s="45"/>
      <c r="J340" s="42"/>
      <c r="K340" s="42"/>
      <c r="L340" s="43"/>
      <c r="M340" s="44"/>
      <c r="N340" s="44"/>
      <c r="O340" s="42"/>
      <c r="P340" s="44"/>
      <c r="Q340" s="44"/>
      <c r="R340" s="44"/>
      <c r="S340" s="34"/>
      <c r="T340" s="1265" t="s">
        <v>87</v>
      </c>
      <c r="U340" s="1265"/>
      <c r="V340" s="1265"/>
      <c r="W340" s="1265"/>
      <c r="X340" s="1265"/>
      <c r="Y340" s="1265" t="s">
        <v>73</v>
      </c>
      <c r="Z340" s="1265"/>
      <c r="AA340" s="1265"/>
      <c r="AB340" s="1265" t="s">
        <v>74</v>
      </c>
      <c r="AC340" s="1265"/>
      <c r="AD340" s="423" t="s">
        <v>85</v>
      </c>
      <c r="AE340" s="423" t="s">
        <v>77</v>
      </c>
      <c r="AF340" s="1265" t="s">
        <v>525</v>
      </c>
      <c r="AG340" s="1265"/>
      <c r="AH340" s="1265"/>
      <c r="AI340" s="1265"/>
      <c r="AJ340" s="1265"/>
      <c r="AK340" s="1265"/>
      <c r="AL340" s="1265"/>
      <c r="AM340" s="1265"/>
      <c r="AN340" s="1265"/>
      <c r="AO340" s="1265"/>
      <c r="AP340" s="1265"/>
      <c r="AQ340" s="1265"/>
      <c r="AR340" s="1265"/>
      <c r="AS340" s="1265"/>
      <c r="AT340" s="1265"/>
      <c r="AU340" s="1265"/>
      <c r="AV340" s="1265"/>
      <c r="AW340" s="1265"/>
      <c r="AX340" s="1265"/>
      <c r="AY340" s="1265"/>
      <c r="AZ340" s="1265"/>
      <c r="BA340" s="1265"/>
      <c r="BB340" s="201"/>
    </row>
    <row r="341" spans="2:54">
      <c r="B341" s="1266" t="s">
        <v>526</v>
      </c>
      <c r="C341" s="1267"/>
      <c r="D341" s="570" t="s">
        <v>527</v>
      </c>
      <c r="E341" s="570"/>
      <c r="F341" s="570" t="s">
        <v>528</v>
      </c>
      <c r="G341" s="570" t="s">
        <v>529</v>
      </c>
      <c r="H341" s="570" t="s">
        <v>530</v>
      </c>
      <c r="I341" s="570" t="s">
        <v>531</v>
      </c>
      <c r="J341" s="570" t="s">
        <v>532</v>
      </c>
      <c r="K341" s="570"/>
      <c r="L341" s="570" t="s">
        <v>130</v>
      </c>
      <c r="M341" s="570" t="s">
        <v>533</v>
      </c>
      <c r="N341" s="408" t="str">
        <f>"On time - "&amp;COUNTIF(N342:N352,"On time")&amp;" from "&amp;ROWS(N342:N352)-COUNTIF(N342:N352," ")</f>
        <v>On time - 7 from 9</v>
      </c>
      <c r="O341" s="46"/>
      <c r="P341" s="409" t="s">
        <v>534</v>
      </c>
      <c r="Q341" s="409" t="s">
        <v>535</v>
      </c>
      <c r="R341" s="409" t="s">
        <v>536</v>
      </c>
      <c r="S341" s="32"/>
      <c r="T341" s="424" t="s">
        <v>537</v>
      </c>
      <c r="U341" s="424" t="s">
        <v>538</v>
      </c>
      <c r="V341" s="424" t="s">
        <v>539</v>
      </c>
      <c r="W341" s="424" t="s">
        <v>540</v>
      </c>
      <c r="X341" s="424" t="s">
        <v>541</v>
      </c>
      <c r="Y341" s="424" t="s">
        <v>167</v>
      </c>
      <c r="Z341" s="424" t="s">
        <v>168</v>
      </c>
      <c r="AA341" s="424" t="s">
        <v>169</v>
      </c>
      <c r="AB341" s="424" t="s">
        <v>235</v>
      </c>
      <c r="AC341" s="424" t="s">
        <v>240</v>
      </c>
      <c r="AD341" s="423" t="s">
        <v>85</v>
      </c>
      <c r="AE341" s="424" t="s">
        <v>139</v>
      </c>
      <c r="AF341" s="424" t="s">
        <v>72</v>
      </c>
      <c r="AG341" s="424" t="s">
        <v>88</v>
      </c>
      <c r="AH341" s="424" t="s">
        <v>75</v>
      </c>
      <c r="AI341" s="424" t="s">
        <v>543</v>
      </c>
      <c r="AJ341" s="424" t="s">
        <v>78</v>
      </c>
      <c r="AK341" s="424" t="s">
        <v>76</v>
      </c>
      <c r="AL341" s="424" t="s">
        <v>544</v>
      </c>
      <c r="AM341" s="424" t="s">
        <v>545</v>
      </c>
      <c r="AN341" s="424" t="s">
        <v>86</v>
      </c>
      <c r="AO341" s="424" t="s">
        <v>83</v>
      </c>
      <c r="AP341" s="424" t="s">
        <v>84</v>
      </c>
      <c r="AQ341" s="424" t="s">
        <v>546</v>
      </c>
      <c r="AR341" s="424" t="s">
        <v>81</v>
      </c>
      <c r="AS341" s="424" t="s">
        <v>80</v>
      </c>
      <c r="AT341" s="424" t="s">
        <v>82</v>
      </c>
      <c r="AU341" s="424" t="s">
        <v>181</v>
      </c>
      <c r="AV341" s="424" t="s">
        <v>183</v>
      </c>
      <c r="AW341" s="424" t="s">
        <v>547</v>
      </c>
      <c r="AX341" s="424" t="s">
        <v>182</v>
      </c>
      <c r="AY341" s="424" t="s">
        <v>172</v>
      </c>
      <c r="AZ341" s="424" t="s">
        <v>173</v>
      </c>
      <c r="BA341" s="424" t="s">
        <v>184</v>
      </c>
      <c r="BB341" s="201"/>
    </row>
    <row r="342" spans="2:54">
      <c r="B342" s="1326" t="s">
        <v>1997</v>
      </c>
      <c r="C342" s="1327"/>
      <c r="D342" s="501" t="s">
        <v>2555</v>
      </c>
      <c r="E342" s="502"/>
      <c r="F342" s="501" t="s">
        <v>441</v>
      </c>
      <c r="G342" s="501" t="s">
        <v>1308</v>
      </c>
      <c r="H342" s="503">
        <f>5258/3</f>
        <v>1752.6666666666667</v>
      </c>
      <c r="I342" s="505" t="s">
        <v>82</v>
      </c>
      <c r="J342" s="574">
        <v>45190.854166666664</v>
      </c>
      <c r="K342" s="607"/>
      <c r="L342" s="504" t="s">
        <v>192</v>
      </c>
      <c r="M342" s="504" t="s">
        <v>192</v>
      </c>
      <c r="N342" s="583" t="str">
        <f>IF(ISBLANK(J342)," ",IF(J342&lt;$F$336,"On time",(IF(DAY(J342-$F$336)&lt;1,"On time",(IF(J342&gt;$F$336,"DELAY ( "&amp;DAY(J342-$F$336)&amp;" day "&amp;HOUR(J342-$F$336)&amp;" hour "&amp;MINUTE(J342-$F$336)&amp;" minute )","xxx"))))))</f>
        <v>On time</v>
      </c>
      <c r="O342" s="506"/>
      <c r="P342" s="507" t="s">
        <v>551</v>
      </c>
      <c r="Q342" s="507" t="s">
        <v>551</v>
      </c>
      <c r="R342" s="507" t="s">
        <v>551</v>
      </c>
      <c r="S342" s="500"/>
      <c r="T342" s="508"/>
      <c r="U342" s="508"/>
      <c r="V342" s="508"/>
      <c r="W342" s="508"/>
      <c r="X342" s="508"/>
      <c r="Y342" s="508"/>
      <c r="Z342" s="508"/>
      <c r="AA342" s="508"/>
      <c r="AB342" s="508"/>
      <c r="AC342" s="508"/>
      <c r="AD342" s="508"/>
      <c r="AE342" s="508"/>
      <c r="AF342" s="508"/>
      <c r="AG342" s="508"/>
      <c r="AH342" s="508"/>
      <c r="AI342" s="508"/>
      <c r="AJ342" s="508"/>
      <c r="AK342" s="508"/>
      <c r="AL342" s="508"/>
      <c r="AM342" s="508"/>
      <c r="AN342" s="508"/>
      <c r="AO342" s="508"/>
      <c r="AP342" s="508"/>
      <c r="AQ342" s="508"/>
      <c r="AR342" s="508"/>
      <c r="AS342" s="508"/>
      <c r="AT342" s="508">
        <f>H342</f>
        <v>1752.6666666666667</v>
      </c>
      <c r="AU342" s="508"/>
      <c r="AV342" s="508"/>
      <c r="AW342" s="508"/>
      <c r="AX342" s="508"/>
      <c r="AY342" s="508"/>
      <c r="AZ342" s="508"/>
      <c r="BA342" s="508"/>
      <c r="BB342" s="500"/>
    </row>
    <row r="343" spans="2:54">
      <c r="B343" s="1328"/>
      <c r="C343" s="1329"/>
      <c r="D343" s="501" t="s">
        <v>2556</v>
      </c>
      <c r="E343" s="501"/>
      <c r="F343" s="501" t="s">
        <v>358</v>
      </c>
      <c r="G343" s="501" t="s">
        <v>359</v>
      </c>
      <c r="H343" s="503">
        <v>8755.3310000000001</v>
      </c>
      <c r="I343" s="505" t="s">
        <v>418</v>
      </c>
      <c r="J343" s="504">
        <v>45191.354166666664</v>
      </c>
      <c r="K343" s="608"/>
      <c r="L343" s="504" t="s">
        <v>192</v>
      </c>
      <c r="M343" s="504" t="s">
        <v>192</v>
      </c>
      <c r="N343" s="583" t="str">
        <f t="shared" ref="N343:N352" si="36">IF(ISBLANK(J343)," ",IF(J343&lt;$F$336,"On time",(IF(DAY(J343-$F$336)&lt;1,"On time",(IF(J343&gt;$F$336,"DELAY ( "&amp;DAY(J343-$F$336)&amp;" day "&amp;HOUR(J343-$F$336)&amp;" hour "&amp;MINUTE(J343-$F$336)&amp;" minute )","xxx"))))))</f>
        <v>On time</v>
      </c>
      <c r="O343" s="506"/>
      <c r="P343" s="507" t="s">
        <v>551</v>
      </c>
      <c r="Q343" s="507" t="s">
        <v>551</v>
      </c>
      <c r="R343" s="507" t="s">
        <v>551</v>
      </c>
      <c r="S343" s="500"/>
      <c r="T343" s="508"/>
      <c r="U343" s="508"/>
      <c r="V343" s="508"/>
      <c r="W343" s="508"/>
      <c r="X343" s="508"/>
      <c r="Y343" s="508"/>
      <c r="Z343" s="508"/>
      <c r="AA343" s="508"/>
      <c r="AB343" s="508">
        <f>H343*0.55</f>
        <v>4815.4320500000003</v>
      </c>
      <c r="AC343" s="508">
        <f>H343*0.45</f>
        <v>3939.8989500000002</v>
      </c>
      <c r="AD343" s="508"/>
      <c r="AE343" s="508"/>
      <c r="AF343" s="508"/>
      <c r="AG343" s="508"/>
      <c r="AH343" s="508"/>
      <c r="AI343" s="508"/>
      <c r="AJ343" s="508"/>
      <c r="AK343" s="508"/>
      <c r="AL343" s="508"/>
      <c r="AM343" s="508"/>
      <c r="AN343" s="508"/>
      <c r="AO343" s="508"/>
      <c r="AP343" s="508"/>
      <c r="AQ343" s="508"/>
      <c r="AR343" s="508"/>
      <c r="AS343" s="508"/>
      <c r="AT343" s="508"/>
      <c r="AU343" s="508"/>
      <c r="AV343" s="508"/>
      <c r="AW343" s="508"/>
      <c r="AX343" s="508"/>
      <c r="AY343" s="508"/>
      <c r="AZ343" s="508"/>
      <c r="BA343" s="508"/>
      <c r="BB343" s="500"/>
    </row>
    <row r="344" spans="2:54">
      <c r="B344" s="1326" t="s">
        <v>1121</v>
      </c>
      <c r="C344" s="1327"/>
      <c r="D344" s="501" t="s">
        <v>2555</v>
      </c>
      <c r="E344" s="502"/>
      <c r="F344" s="501" t="s">
        <v>441</v>
      </c>
      <c r="G344" s="501" t="s">
        <v>1308</v>
      </c>
      <c r="H344" s="503">
        <f>H342</f>
        <v>1752.6666666666667</v>
      </c>
      <c r="I344" s="505" t="s">
        <v>82</v>
      </c>
      <c r="J344" s="574">
        <v>45190.854166666664</v>
      </c>
      <c r="K344" s="608"/>
      <c r="L344" s="504" t="s">
        <v>192</v>
      </c>
      <c r="M344" s="504" t="s">
        <v>192</v>
      </c>
      <c r="N344" s="583" t="str">
        <f t="shared" si="36"/>
        <v>On time</v>
      </c>
      <c r="O344" s="506"/>
      <c r="P344" s="507" t="s">
        <v>551</v>
      </c>
      <c r="Q344" s="507" t="s">
        <v>551</v>
      </c>
      <c r="R344" s="507" t="s">
        <v>551</v>
      </c>
      <c r="S344" s="500"/>
      <c r="T344" s="508"/>
      <c r="U344" s="508"/>
      <c r="V344" s="508"/>
      <c r="W344" s="508"/>
      <c r="X344" s="508"/>
      <c r="Y344" s="508"/>
      <c r="Z344" s="508"/>
      <c r="AA344" s="508"/>
      <c r="AB344" s="508"/>
      <c r="AC344" s="508"/>
      <c r="AD344" s="508"/>
      <c r="AE344" s="508"/>
      <c r="AF344" s="508"/>
      <c r="AG344" s="508"/>
      <c r="AH344" s="508"/>
      <c r="AI344" s="508"/>
      <c r="AJ344" s="508"/>
      <c r="AK344" s="508"/>
      <c r="AL344" s="508"/>
      <c r="AM344" s="508"/>
      <c r="AN344" s="508"/>
      <c r="AO344" s="508"/>
      <c r="AP344" s="508"/>
      <c r="AQ344" s="508"/>
      <c r="AR344" s="508"/>
      <c r="AS344" s="508"/>
      <c r="AT344" s="508">
        <f>H344</f>
        <v>1752.6666666666667</v>
      </c>
      <c r="AU344" s="508"/>
      <c r="AV344" s="508"/>
      <c r="AW344" s="508"/>
      <c r="AX344" s="508"/>
      <c r="AY344" s="508"/>
      <c r="AZ344" s="508"/>
      <c r="BA344" s="508"/>
      <c r="BB344" s="500"/>
    </row>
    <row r="345" spans="2:54">
      <c r="B345" s="1328"/>
      <c r="C345" s="1329"/>
      <c r="D345" s="501" t="s">
        <v>2557</v>
      </c>
      <c r="E345" s="501"/>
      <c r="F345" s="501" t="s">
        <v>295</v>
      </c>
      <c r="G345" s="501" t="s">
        <v>296</v>
      </c>
      <c r="H345" s="503">
        <v>9549.0079999999998</v>
      </c>
      <c r="I345" s="505" t="s">
        <v>418</v>
      </c>
      <c r="J345" s="504">
        <v>45191.361111111109</v>
      </c>
      <c r="K345" s="608"/>
      <c r="L345" s="504" t="s">
        <v>192</v>
      </c>
      <c r="M345" s="504" t="s">
        <v>192</v>
      </c>
      <c r="N345" s="583" t="str">
        <f t="shared" si="36"/>
        <v>On time</v>
      </c>
      <c r="O345" s="506"/>
      <c r="P345" s="507" t="s">
        <v>551</v>
      </c>
      <c r="Q345" s="507" t="s">
        <v>551</v>
      </c>
      <c r="R345" s="507" t="s">
        <v>551</v>
      </c>
      <c r="S345" s="500"/>
      <c r="T345" s="508"/>
      <c r="U345" s="508"/>
      <c r="V345" s="508"/>
      <c r="W345" s="508"/>
      <c r="X345" s="508"/>
      <c r="Y345" s="508"/>
      <c r="Z345" s="508"/>
      <c r="AA345" s="508"/>
      <c r="AB345" s="508">
        <f>H345*0.55</f>
        <v>5251.9544000000005</v>
      </c>
      <c r="AC345" s="508">
        <f>H345*0.45</f>
        <v>4297.0536000000002</v>
      </c>
      <c r="AD345" s="508"/>
      <c r="AE345" s="508"/>
      <c r="AF345" s="508"/>
      <c r="AG345" s="508"/>
      <c r="AH345" s="508"/>
      <c r="AI345" s="508"/>
      <c r="AJ345" s="508"/>
      <c r="AK345" s="508"/>
      <c r="AL345" s="508"/>
      <c r="AM345" s="508"/>
      <c r="AN345" s="508"/>
      <c r="AO345" s="508"/>
      <c r="AP345" s="508"/>
      <c r="AQ345" s="508"/>
      <c r="AR345" s="508"/>
      <c r="AS345" s="508"/>
      <c r="AT345" s="508"/>
      <c r="AU345" s="508"/>
      <c r="AV345" s="508"/>
      <c r="AW345" s="508"/>
      <c r="AX345" s="508"/>
      <c r="AY345" s="508"/>
      <c r="AZ345" s="508"/>
      <c r="BA345" s="508"/>
      <c r="BB345" s="500"/>
    </row>
    <row r="346" spans="2:54">
      <c r="B346" s="1326" t="s">
        <v>1161</v>
      </c>
      <c r="C346" s="1327"/>
      <c r="D346" s="501" t="s">
        <v>2555</v>
      </c>
      <c r="E346" s="502"/>
      <c r="F346" s="501" t="s">
        <v>441</v>
      </c>
      <c r="G346" s="501" t="s">
        <v>1308</v>
      </c>
      <c r="H346" s="503">
        <f>H344</f>
        <v>1752.6666666666667</v>
      </c>
      <c r="I346" s="505" t="s">
        <v>82</v>
      </c>
      <c r="J346" s="574">
        <v>45190.854166666664</v>
      </c>
      <c r="K346" s="608"/>
      <c r="L346" s="504" t="s">
        <v>192</v>
      </c>
      <c r="M346" s="504" t="s">
        <v>192</v>
      </c>
      <c r="N346" s="583" t="str">
        <f t="shared" si="36"/>
        <v>On time</v>
      </c>
      <c r="O346" s="506"/>
      <c r="P346" s="507" t="s">
        <v>551</v>
      </c>
      <c r="Q346" s="507" t="s">
        <v>551</v>
      </c>
      <c r="R346" s="507" t="s">
        <v>551</v>
      </c>
      <c r="S346" s="500"/>
      <c r="T346" s="508"/>
      <c r="U346" s="508"/>
      <c r="V346" s="508"/>
      <c r="W346" s="508"/>
      <c r="X346" s="508"/>
      <c r="Y346" s="508"/>
      <c r="Z346" s="508"/>
      <c r="AA346" s="508"/>
      <c r="AB346" s="508"/>
      <c r="AC346" s="508"/>
      <c r="AD346" s="508"/>
      <c r="AE346" s="508"/>
      <c r="AF346" s="508"/>
      <c r="AG346" s="508"/>
      <c r="AH346" s="508"/>
      <c r="AI346" s="508"/>
      <c r="AJ346" s="508"/>
      <c r="AK346" s="508"/>
      <c r="AL346" s="508"/>
      <c r="AM346" s="508"/>
      <c r="AN346" s="508"/>
      <c r="AO346" s="508"/>
      <c r="AP346" s="508"/>
      <c r="AQ346" s="508"/>
      <c r="AR346" s="508"/>
      <c r="AS346" s="508"/>
      <c r="AT346" s="508">
        <f>H346</f>
        <v>1752.6666666666667</v>
      </c>
      <c r="AU346" s="508"/>
      <c r="AV346" s="508"/>
      <c r="AW346" s="508"/>
      <c r="AX346" s="508"/>
      <c r="AY346" s="508"/>
      <c r="AZ346" s="508"/>
      <c r="BA346" s="508"/>
      <c r="BB346" s="500"/>
    </row>
    <row r="347" spans="2:54">
      <c r="B347" s="1328"/>
      <c r="C347" s="1329"/>
      <c r="D347" s="501" t="s">
        <v>2558</v>
      </c>
      <c r="E347" s="501"/>
      <c r="F347" s="501" t="s">
        <v>377</v>
      </c>
      <c r="G347" s="501" t="s">
        <v>378</v>
      </c>
      <c r="H347" s="503">
        <v>7830.625</v>
      </c>
      <c r="I347" s="505" t="s">
        <v>418</v>
      </c>
      <c r="J347" s="504">
        <v>45191.361111111109</v>
      </c>
      <c r="K347" s="608"/>
      <c r="L347" s="504" t="s">
        <v>192</v>
      </c>
      <c r="M347" s="504" t="s">
        <v>192</v>
      </c>
      <c r="N347" s="583" t="str">
        <f t="shared" si="36"/>
        <v>On time</v>
      </c>
      <c r="O347" s="506"/>
      <c r="P347" s="507" t="s">
        <v>551</v>
      </c>
      <c r="Q347" s="507" t="s">
        <v>551</v>
      </c>
      <c r="R347" s="507" t="s">
        <v>551</v>
      </c>
      <c r="S347" s="500"/>
      <c r="T347" s="508"/>
      <c r="U347" s="508"/>
      <c r="V347" s="508"/>
      <c r="W347" s="508"/>
      <c r="X347" s="508"/>
      <c r="Y347" s="508"/>
      <c r="Z347" s="508"/>
      <c r="AA347" s="508"/>
      <c r="AB347" s="508">
        <f t="shared" ref="AB347" si="37">H347*0.55</f>
        <v>4306.84375</v>
      </c>
      <c r="AC347" s="508">
        <f t="shared" ref="AC347" si="38">H347*0.45</f>
        <v>3523.78125</v>
      </c>
      <c r="AD347" s="508"/>
      <c r="AE347" s="508"/>
      <c r="AF347" s="508"/>
      <c r="AG347" s="508"/>
      <c r="AH347" s="508"/>
      <c r="AI347" s="508"/>
      <c r="AJ347" s="508"/>
      <c r="AK347" s="508"/>
      <c r="AL347" s="508"/>
      <c r="AM347" s="508"/>
      <c r="AN347" s="508"/>
      <c r="AO347" s="508"/>
      <c r="AP347" s="508"/>
      <c r="AQ347" s="508"/>
      <c r="AR347" s="508"/>
      <c r="AS347" s="508"/>
      <c r="AT347" s="508"/>
      <c r="AU347" s="508"/>
      <c r="AV347" s="508"/>
      <c r="AW347" s="508"/>
      <c r="AX347" s="508"/>
      <c r="AY347" s="508"/>
      <c r="AZ347" s="508"/>
      <c r="BA347" s="508"/>
      <c r="BB347" s="500"/>
    </row>
    <row r="348" spans="2:54">
      <c r="B348" s="1326" t="s">
        <v>653</v>
      </c>
      <c r="C348" s="1327"/>
      <c r="D348" s="501" t="s">
        <v>2559</v>
      </c>
      <c r="E348" s="501"/>
      <c r="F348" s="501" t="s">
        <v>249</v>
      </c>
      <c r="G348" s="501" t="s">
        <v>2315</v>
      </c>
      <c r="H348" s="503">
        <v>7568.1419999999998</v>
      </c>
      <c r="I348" s="505" t="s">
        <v>173</v>
      </c>
      <c r="J348" s="504">
        <v>45191.625</v>
      </c>
      <c r="K348" s="608"/>
      <c r="L348" s="504" t="s">
        <v>192</v>
      </c>
      <c r="M348" s="504" t="s">
        <v>192</v>
      </c>
      <c r="N348" s="583" t="str">
        <f t="shared" si="36"/>
        <v>On time</v>
      </c>
      <c r="O348" s="506"/>
      <c r="P348" s="507" t="s">
        <v>551</v>
      </c>
      <c r="Q348" s="507" t="s">
        <v>551</v>
      </c>
      <c r="R348" s="507" t="s">
        <v>551</v>
      </c>
      <c r="S348" s="500"/>
      <c r="T348" s="508"/>
      <c r="U348" s="508"/>
      <c r="V348" s="508"/>
      <c r="W348" s="508"/>
      <c r="X348" s="508"/>
      <c r="Y348" s="508"/>
      <c r="Z348" s="508"/>
      <c r="AA348" s="508"/>
      <c r="AB348" s="508"/>
      <c r="AC348" s="508"/>
      <c r="AD348" s="508"/>
      <c r="AE348" s="508"/>
      <c r="AF348" s="508"/>
      <c r="AG348" s="508"/>
      <c r="AH348" s="508"/>
      <c r="AI348" s="508"/>
      <c r="AJ348" s="508"/>
      <c r="AK348" s="508"/>
      <c r="AL348" s="508"/>
      <c r="AM348" s="508"/>
      <c r="AN348" s="508"/>
      <c r="AO348" s="508"/>
      <c r="AP348" s="508"/>
      <c r="AQ348" s="508"/>
      <c r="AR348" s="508"/>
      <c r="AS348" s="508"/>
      <c r="AT348" s="508"/>
      <c r="AU348" s="508"/>
      <c r="AV348" s="508"/>
      <c r="AW348" s="508"/>
      <c r="AX348" s="508"/>
      <c r="AY348" s="508"/>
      <c r="AZ348" s="508">
        <f>H348</f>
        <v>7568.1419999999998</v>
      </c>
      <c r="BA348" s="508"/>
      <c r="BB348" s="500"/>
    </row>
    <row r="349" spans="2:54">
      <c r="B349" s="1328"/>
      <c r="C349" s="1329"/>
      <c r="D349" s="501" t="s">
        <v>2560</v>
      </c>
      <c r="E349" s="501"/>
      <c r="F349" s="501" t="s">
        <v>208</v>
      </c>
      <c r="G349" s="501" t="s">
        <v>328</v>
      </c>
      <c r="H349" s="503">
        <v>7475.2479999999996</v>
      </c>
      <c r="I349" s="505" t="s">
        <v>418</v>
      </c>
      <c r="J349" s="504">
        <v>45192.013888888891</v>
      </c>
      <c r="K349" s="608"/>
      <c r="L349" s="504" t="s">
        <v>192</v>
      </c>
      <c r="M349" s="504" t="s">
        <v>192</v>
      </c>
      <c r="N349" s="583" t="str">
        <f t="shared" si="36"/>
        <v>DELAY ( 1 day 7 hour 38 minute )</v>
      </c>
      <c r="O349" s="506"/>
      <c r="P349" s="507" t="s">
        <v>551</v>
      </c>
      <c r="Q349" s="507" t="s">
        <v>551</v>
      </c>
      <c r="R349" s="507" t="s">
        <v>551</v>
      </c>
      <c r="S349" s="500"/>
      <c r="T349" s="508"/>
      <c r="U349" s="508"/>
      <c r="V349" s="508"/>
      <c r="W349" s="508"/>
      <c r="X349" s="508"/>
      <c r="Y349" s="508"/>
      <c r="Z349" s="508"/>
      <c r="AA349" s="508"/>
      <c r="AB349" s="508">
        <f t="shared" ref="AB349" si="39">H349*0.55</f>
        <v>4111.3864000000003</v>
      </c>
      <c r="AC349" s="508">
        <f t="shared" ref="AC349" si="40">H349*0.45</f>
        <v>3363.8615999999997</v>
      </c>
      <c r="AD349" s="508"/>
      <c r="AE349" s="508"/>
      <c r="AF349" s="508"/>
      <c r="AG349" s="508"/>
      <c r="AH349" s="508"/>
      <c r="AI349" s="508"/>
      <c r="AJ349" s="508"/>
      <c r="AK349" s="508"/>
      <c r="AL349" s="508"/>
      <c r="AM349" s="508"/>
      <c r="AN349" s="508"/>
      <c r="AO349" s="508"/>
      <c r="AP349" s="508"/>
      <c r="AQ349" s="508"/>
      <c r="AR349" s="508"/>
      <c r="AS349" s="508"/>
      <c r="AT349" s="508"/>
      <c r="AU349" s="508"/>
      <c r="AV349" s="508"/>
      <c r="AW349" s="508"/>
      <c r="AX349" s="508"/>
      <c r="AY349" s="508"/>
      <c r="AZ349" s="508"/>
      <c r="BA349" s="508"/>
      <c r="BB349" s="500"/>
    </row>
    <row r="350" spans="2:54">
      <c r="B350" s="1315" t="s">
        <v>548</v>
      </c>
      <c r="C350" s="1316"/>
      <c r="D350" s="501" t="s">
        <v>2561</v>
      </c>
      <c r="E350" s="501"/>
      <c r="F350" s="501" t="s">
        <v>301</v>
      </c>
      <c r="G350" s="501" t="s">
        <v>302</v>
      </c>
      <c r="H350" s="503">
        <f>9128.178-564.532</f>
        <v>8563.6460000000006</v>
      </c>
      <c r="I350" s="505" t="s">
        <v>418</v>
      </c>
      <c r="J350" s="504">
        <v>45192.59375</v>
      </c>
      <c r="K350" s="608"/>
      <c r="L350" s="504" t="s">
        <v>192</v>
      </c>
      <c r="M350" s="504" t="s">
        <v>192</v>
      </c>
      <c r="N350" s="583" t="str">
        <f t="shared" si="36"/>
        <v>DELAY ( 1 day 21 hour 33 minute )</v>
      </c>
      <c r="O350" s="506"/>
      <c r="P350" s="507" t="s">
        <v>551</v>
      </c>
      <c r="Q350" s="507" t="s">
        <v>551</v>
      </c>
      <c r="R350" s="507" t="s">
        <v>551</v>
      </c>
      <c r="S350" s="500"/>
      <c r="T350" s="508"/>
      <c r="U350" s="508"/>
      <c r="V350" s="508"/>
      <c r="W350" s="508"/>
      <c r="X350" s="508"/>
      <c r="Y350" s="508"/>
      <c r="Z350" s="508"/>
      <c r="AA350" s="508"/>
      <c r="AB350" s="508">
        <f>(H350*0.55)-(H354*0.55)</f>
        <v>4517.6466500000006</v>
      </c>
      <c r="AC350" s="508">
        <f>(H350*0.45)-(H354*0.45)</f>
        <v>3696.2563500000006</v>
      </c>
      <c r="AD350" s="508"/>
      <c r="AE350" s="508"/>
      <c r="AF350" s="508"/>
      <c r="AG350" s="508"/>
      <c r="AH350" s="508"/>
      <c r="AI350" s="508"/>
      <c r="AJ350" s="508"/>
      <c r="AK350" s="508"/>
      <c r="AL350" s="508"/>
      <c r="AM350" s="508"/>
      <c r="AN350" s="508"/>
      <c r="AO350" s="508"/>
      <c r="AP350" s="508"/>
      <c r="AQ350" s="508"/>
      <c r="AR350" s="508"/>
      <c r="AS350" s="508"/>
      <c r="AT350" s="508"/>
      <c r="AU350" s="508"/>
      <c r="AV350" s="508"/>
      <c r="AW350" s="508"/>
      <c r="AX350" s="508"/>
      <c r="AY350" s="508"/>
      <c r="AZ350" s="508"/>
      <c r="BA350" s="508"/>
      <c r="BB350" s="500"/>
    </row>
    <row r="351" spans="2:54">
      <c r="B351" s="1258" t="s">
        <v>556</v>
      </c>
      <c r="C351" s="1259"/>
      <c r="D351" s="1259"/>
      <c r="E351" s="1259"/>
      <c r="F351" s="1259"/>
      <c r="G351" s="1260"/>
      <c r="H351" s="417">
        <f>SUM(H342:H350)</f>
        <v>55000</v>
      </c>
      <c r="I351" s="388"/>
      <c r="J351" s="293"/>
      <c r="K351" s="293"/>
      <c r="L351" s="609"/>
      <c r="M351" s="389"/>
      <c r="N351" s="583" t="str">
        <f t="shared" si="36"/>
        <v xml:space="preserve"> </v>
      </c>
      <c r="O351" s="212"/>
      <c r="P351" s="418"/>
      <c r="Q351" s="418"/>
      <c r="R351" s="418"/>
      <c r="S351" s="207"/>
      <c r="T351" s="1300"/>
      <c r="U351" s="1301"/>
      <c r="V351" s="1301"/>
      <c r="W351" s="1301"/>
      <c r="X351" s="1301"/>
      <c r="Y351" s="1301"/>
      <c r="Z351" s="1301"/>
      <c r="AA351" s="1301"/>
      <c r="AB351" s="1301"/>
      <c r="AC351" s="1301"/>
      <c r="AD351" s="1301"/>
      <c r="AE351" s="1301"/>
      <c r="AF351" s="1301"/>
      <c r="AG351" s="1301"/>
      <c r="AH351" s="1301"/>
      <c r="AI351" s="1301"/>
      <c r="AJ351" s="1301"/>
      <c r="AK351" s="1301"/>
      <c r="AL351" s="1301"/>
      <c r="AM351" s="1301"/>
      <c r="AN351" s="1301"/>
      <c r="AO351" s="1301"/>
      <c r="AP351" s="1301"/>
      <c r="AQ351" s="1301"/>
      <c r="AR351" s="1301"/>
      <c r="AS351" s="1301"/>
      <c r="AT351" s="1301"/>
      <c r="AU351" s="1301"/>
      <c r="AV351" s="1301"/>
      <c r="AW351" s="1301"/>
      <c r="AX351" s="1301"/>
      <c r="AY351" s="1301"/>
      <c r="AZ351" s="1301"/>
      <c r="BA351" s="1301"/>
    </row>
    <row r="352" spans="2:54">
      <c r="B352" s="1320" t="s">
        <v>557</v>
      </c>
      <c r="C352" s="1321"/>
      <c r="D352" s="1321"/>
      <c r="E352" s="1321"/>
      <c r="F352" s="1321"/>
      <c r="G352" s="1322"/>
      <c r="H352" s="545">
        <v>55000</v>
      </c>
      <c r="I352" s="1273"/>
      <c r="J352" s="1274"/>
      <c r="K352" s="1274"/>
      <c r="L352" s="1274"/>
      <c r="M352" s="1275"/>
      <c r="N352" s="583" t="str">
        <f t="shared" si="36"/>
        <v xml:space="preserve"> </v>
      </c>
      <c r="O352" s="32"/>
      <c r="P352" s="415"/>
      <c r="Q352" s="415"/>
      <c r="R352" s="415"/>
      <c r="S352" s="63"/>
      <c r="T352" s="416">
        <f t="shared" ref="T352:BA352" si="41">SUM(T342:T350)</f>
        <v>0</v>
      </c>
      <c r="U352" s="416">
        <f t="shared" si="41"/>
        <v>0</v>
      </c>
      <c r="V352" s="416">
        <f t="shared" si="41"/>
        <v>0</v>
      </c>
      <c r="W352" s="416">
        <f t="shared" si="41"/>
        <v>0</v>
      </c>
      <c r="X352" s="416">
        <f t="shared" si="41"/>
        <v>0</v>
      </c>
      <c r="Y352" s="416">
        <f t="shared" si="41"/>
        <v>0</v>
      </c>
      <c r="Z352" s="416">
        <f t="shared" si="41"/>
        <v>0</v>
      </c>
      <c r="AA352" s="416">
        <f t="shared" si="41"/>
        <v>0</v>
      </c>
      <c r="AB352" s="416">
        <f t="shared" si="41"/>
        <v>23003.263250000004</v>
      </c>
      <c r="AC352" s="416">
        <f t="shared" si="41"/>
        <v>18820.851750000002</v>
      </c>
      <c r="AD352" s="416">
        <f t="shared" si="41"/>
        <v>0</v>
      </c>
      <c r="AE352" s="416">
        <f t="shared" si="41"/>
        <v>0</v>
      </c>
      <c r="AF352" s="416">
        <f t="shared" si="41"/>
        <v>0</v>
      </c>
      <c r="AG352" s="416">
        <f t="shared" si="41"/>
        <v>0</v>
      </c>
      <c r="AH352" s="416">
        <f t="shared" si="41"/>
        <v>0</v>
      </c>
      <c r="AI352" s="416">
        <f t="shared" si="41"/>
        <v>0</v>
      </c>
      <c r="AJ352" s="416">
        <f t="shared" si="41"/>
        <v>0</v>
      </c>
      <c r="AK352" s="416">
        <f t="shared" si="41"/>
        <v>0</v>
      </c>
      <c r="AL352" s="416">
        <f t="shared" si="41"/>
        <v>0</v>
      </c>
      <c r="AM352" s="416">
        <f t="shared" si="41"/>
        <v>0</v>
      </c>
      <c r="AN352" s="416">
        <f t="shared" si="41"/>
        <v>0</v>
      </c>
      <c r="AO352" s="416">
        <f t="shared" si="41"/>
        <v>0</v>
      </c>
      <c r="AP352" s="416">
        <f t="shared" si="41"/>
        <v>0</v>
      </c>
      <c r="AQ352" s="416">
        <f t="shared" si="41"/>
        <v>0</v>
      </c>
      <c r="AR352" s="416">
        <f t="shared" si="41"/>
        <v>0</v>
      </c>
      <c r="AS352" s="416">
        <f t="shared" si="41"/>
        <v>0</v>
      </c>
      <c r="AT352" s="416">
        <f t="shared" si="41"/>
        <v>5258</v>
      </c>
      <c r="AU352" s="416">
        <f t="shared" si="41"/>
        <v>0</v>
      </c>
      <c r="AV352" s="416">
        <f t="shared" si="41"/>
        <v>0</v>
      </c>
      <c r="AW352" s="416">
        <f t="shared" si="41"/>
        <v>0</v>
      </c>
      <c r="AX352" s="416">
        <f t="shared" si="41"/>
        <v>0</v>
      </c>
      <c r="AY352" s="416">
        <f t="shared" si="41"/>
        <v>0</v>
      </c>
      <c r="AZ352" s="416">
        <f t="shared" si="41"/>
        <v>7568.1419999999998</v>
      </c>
      <c r="BA352" s="416">
        <f t="shared" si="41"/>
        <v>0</v>
      </c>
      <c r="BB352" s="416">
        <f>SUM(T352:BA352)</f>
        <v>54650.257000000005</v>
      </c>
    </row>
    <row r="353" spans="2:54">
      <c r="B353" s="1320" t="s">
        <v>558</v>
      </c>
      <c r="C353" s="1321"/>
      <c r="D353" s="1321"/>
      <c r="E353" s="1321"/>
      <c r="F353" s="1321"/>
      <c r="G353" s="1322"/>
      <c r="H353" s="546">
        <f>H352-L336</f>
        <v>0</v>
      </c>
      <c r="I353" s="294"/>
      <c r="J353" s="295"/>
      <c r="K353" s="295"/>
      <c r="L353" s="296"/>
      <c r="M353" s="32"/>
      <c r="N353" s="32"/>
      <c r="O353" s="32"/>
      <c r="P353" s="32"/>
      <c r="Q353" s="297"/>
      <c r="R353" s="297"/>
      <c r="S353" s="32"/>
      <c r="T353" s="48"/>
      <c r="U353" s="48"/>
      <c r="V353" s="48"/>
      <c r="W353" s="48"/>
      <c r="X353" s="48"/>
      <c r="Y353" s="48"/>
      <c r="Z353" s="48"/>
      <c r="AA353" s="48"/>
      <c r="AB353" s="48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</row>
    <row r="354" spans="2:54">
      <c r="B354" s="1320" t="s">
        <v>559</v>
      </c>
      <c r="C354" s="1321"/>
      <c r="D354" s="1321"/>
      <c r="E354" s="1321"/>
      <c r="F354" s="1321"/>
      <c r="G354" s="1322"/>
      <c r="H354" s="532">
        <f>349.743</f>
        <v>349.74299999999999</v>
      </c>
      <c r="I354" s="52"/>
      <c r="J354" s="53"/>
      <c r="K354" s="53"/>
      <c r="L354" s="54"/>
      <c r="M354" s="32"/>
      <c r="N354" s="201"/>
      <c r="O354" s="32"/>
      <c r="P354" s="32"/>
      <c r="Q354" s="32"/>
      <c r="R354" s="32"/>
      <c r="S354" s="32"/>
      <c r="T354" s="48"/>
      <c r="U354" s="48"/>
      <c r="V354" s="48"/>
      <c r="W354" s="48"/>
      <c r="X354" s="48"/>
      <c r="Y354" s="48"/>
      <c r="Z354" s="48"/>
      <c r="AA354" s="48"/>
      <c r="AB354" s="48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</row>
    <row r="355" spans="2:54" s="496" customFormat="1">
      <c r="B355" s="1323" t="s">
        <v>560</v>
      </c>
      <c r="C355" s="1324"/>
      <c r="D355" s="1324"/>
      <c r="E355" s="1324"/>
      <c r="F355" s="1324"/>
      <c r="G355" s="1325"/>
      <c r="H355" s="421">
        <f>H354-564.532</f>
        <v>-214.78900000000004</v>
      </c>
      <c r="I355" s="209"/>
      <c r="J355" s="498"/>
      <c r="K355" s="498"/>
      <c r="L355" s="499"/>
      <c r="M355" s="201"/>
      <c r="N355" s="201"/>
      <c r="O355" s="201"/>
      <c r="P355" s="201"/>
      <c r="Q355" s="201"/>
      <c r="R355" s="201"/>
      <c r="S355" s="202"/>
      <c r="T355" s="202"/>
      <c r="U355" s="202"/>
      <c r="V355" s="202"/>
      <c r="W355" s="202"/>
      <c r="X355" s="202"/>
      <c r="Y355" s="202"/>
      <c r="Z355" s="202"/>
      <c r="AA355" s="202"/>
      <c r="AB355" s="201"/>
      <c r="AC355" s="201"/>
      <c r="AD355" s="201"/>
      <c r="AE355" s="201"/>
      <c r="AF355" s="201"/>
      <c r="AG355" s="201"/>
      <c r="AH355" s="201"/>
      <c r="AI355" s="201"/>
      <c r="AJ355" s="201"/>
      <c r="AK355" s="201"/>
      <c r="AL355" s="201"/>
      <c r="AM355" s="201"/>
      <c r="AN355" s="201"/>
      <c r="AO355" s="201"/>
      <c r="AP355" s="201"/>
      <c r="AQ355" s="201"/>
    </row>
    <row r="356" spans="2:54">
      <c r="B356" s="201"/>
      <c r="C356" s="201"/>
      <c r="D356" s="201"/>
      <c r="E356" s="201"/>
      <c r="F356" s="201"/>
      <c r="G356" s="201"/>
      <c r="H356" s="201"/>
      <c r="I356" s="213"/>
      <c r="J356" s="209"/>
      <c r="K356" s="209"/>
      <c r="L356" s="203"/>
      <c r="M356" s="201"/>
      <c r="N356" s="201"/>
      <c r="O356" s="209"/>
      <c r="P356" s="32"/>
      <c r="Q356" s="32"/>
      <c r="R356" s="32"/>
      <c r="S356" s="32"/>
      <c r="T356" s="48"/>
      <c r="U356" s="48"/>
      <c r="V356" s="48"/>
      <c r="W356" s="48"/>
      <c r="X356" s="48"/>
      <c r="Y356" s="48"/>
      <c r="Z356" s="48"/>
      <c r="AA356" s="48"/>
      <c r="AB356" s="48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</row>
    <row r="357" spans="2:54">
      <c r="B357" s="40" t="s">
        <v>561</v>
      </c>
      <c r="C357" s="40"/>
      <c r="D357" s="32"/>
      <c r="E357" s="32"/>
      <c r="F357" s="32"/>
      <c r="G357" s="32"/>
      <c r="H357" s="32"/>
      <c r="I357" s="32"/>
      <c r="J357" s="52"/>
      <c r="K357" s="52"/>
      <c r="L357" s="55"/>
      <c r="M357" s="32"/>
      <c r="N357" s="201"/>
      <c r="O357" s="5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  <c r="AA357" s="202"/>
      <c r="AB357" s="201"/>
      <c r="AC357" s="201"/>
      <c r="AD357" s="201"/>
      <c r="AE357" s="201"/>
      <c r="AF357" s="201"/>
      <c r="AG357" s="201"/>
      <c r="AH357" s="201"/>
      <c r="AI357" s="201"/>
      <c r="AJ357" s="201"/>
      <c r="AK357" s="201"/>
      <c r="AL357" s="201"/>
      <c r="AM357" s="201"/>
      <c r="AN357" s="201"/>
      <c r="AO357" s="201"/>
      <c r="AP357" s="201"/>
      <c r="AQ357" s="201"/>
      <c r="AR357" s="201"/>
      <c r="AS357" s="201"/>
      <c r="AT357" s="201"/>
      <c r="AU357" s="201"/>
      <c r="BB357" s="201"/>
    </row>
    <row r="358" spans="2:54">
      <c r="B358" s="422">
        <v>1</v>
      </c>
      <c r="C358" s="1249" t="s">
        <v>2562</v>
      </c>
      <c r="D358" s="1249"/>
      <c r="E358" s="1249"/>
      <c r="F358" s="1249"/>
      <c r="G358" s="1249"/>
      <c r="H358" s="1249"/>
      <c r="I358" s="1249"/>
      <c r="J358" s="1249"/>
      <c r="K358" s="1249"/>
      <c r="L358" s="203"/>
      <c r="M358" s="203"/>
      <c r="N358" s="201"/>
      <c r="O358" s="209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  <c r="AA358" s="202"/>
      <c r="AB358" s="201"/>
      <c r="AC358" s="201"/>
      <c r="AD358" s="201"/>
      <c r="AE358" s="201"/>
      <c r="AF358" s="201"/>
      <c r="AG358" s="201"/>
      <c r="AH358" s="201"/>
      <c r="AI358" s="201"/>
      <c r="AJ358" s="201"/>
      <c r="AK358" s="201"/>
      <c r="AL358" s="201"/>
      <c r="AM358" s="201"/>
      <c r="AN358" s="201"/>
      <c r="AO358" s="201"/>
      <c r="AP358" s="201"/>
      <c r="AQ358" s="201"/>
      <c r="AR358" s="201"/>
      <c r="AS358" s="201"/>
      <c r="AT358" s="201"/>
      <c r="AU358" s="201"/>
      <c r="AV358" s="201"/>
      <c r="AW358" s="201"/>
      <c r="AX358" s="201"/>
      <c r="AY358" s="201"/>
      <c r="AZ358" s="201"/>
      <c r="BA358" s="201"/>
      <c r="BB358" s="201"/>
    </row>
    <row r="360" spans="2:54" s="613" customFormat="1">
      <c r="B360" s="28" t="s">
        <v>126</v>
      </c>
      <c r="C360" s="28"/>
      <c r="D360" s="614"/>
      <c r="E360" s="30" t="s">
        <v>511</v>
      </c>
      <c r="F360" s="31" t="s">
        <v>2563</v>
      </c>
      <c r="G360" s="591"/>
      <c r="H360" s="33"/>
      <c r="I360" s="615"/>
      <c r="J360" s="35" t="s">
        <v>513</v>
      </c>
      <c r="K360" s="36" t="s">
        <v>511</v>
      </c>
      <c r="L360" s="516">
        <v>45192.548611111109</v>
      </c>
      <c r="M360" s="591"/>
      <c r="N360" s="591"/>
      <c r="O360" s="206"/>
      <c r="P360" s="205"/>
      <c r="Q360" s="616"/>
      <c r="R360" s="204"/>
      <c r="S360" s="617"/>
      <c r="AB360" s="616"/>
      <c r="AC360" s="616"/>
      <c r="AD360" s="616"/>
      <c r="AE360" s="616"/>
      <c r="AF360" s="616"/>
    </row>
    <row r="361" spans="2:54" s="613" customFormat="1">
      <c r="B361" s="35" t="s">
        <v>514</v>
      </c>
      <c r="C361" s="35"/>
      <c r="D361" s="591"/>
      <c r="E361" s="36" t="s">
        <v>511</v>
      </c>
      <c r="F361" s="311" t="s">
        <v>2564</v>
      </c>
      <c r="G361" s="648" t="s">
        <v>647</v>
      </c>
      <c r="H361" s="33"/>
      <c r="I361" s="615"/>
      <c r="J361" s="35" t="s">
        <v>516</v>
      </c>
      <c r="K361" s="36" t="s">
        <v>511</v>
      </c>
      <c r="L361" s="306">
        <f>'VLU 2023 &amp; 2024'!$N$180</f>
        <v>45194.4375</v>
      </c>
      <c r="M361" s="591"/>
      <c r="N361" s="591"/>
      <c r="O361" s="206"/>
      <c r="P361" s="205"/>
      <c r="Q361" s="616"/>
      <c r="R361" s="204"/>
      <c r="S361" s="617"/>
      <c r="AB361" s="616"/>
      <c r="AC361" s="616"/>
      <c r="AD361" s="616"/>
      <c r="AE361" s="616"/>
      <c r="AF361" s="616"/>
    </row>
    <row r="362" spans="2:54" s="613" customFormat="1">
      <c r="B362" s="35" t="s">
        <v>517</v>
      </c>
      <c r="C362" s="35"/>
      <c r="D362" s="591"/>
      <c r="E362" s="36" t="s">
        <v>511</v>
      </c>
      <c r="F362" s="37">
        <v>45178.762499999997</v>
      </c>
      <c r="G362" s="60">
        <v>45181</v>
      </c>
      <c r="H362" s="33"/>
      <c r="I362" s="615"/>
      <c r="J362" s="35" t="s">
        <v>518</v>
      </c>
      <c r="K362" s="36" t="s">
        <v>511</v>
      </c>
      <c r="L362" s="618">
        <v>78310</v>
      </c>
      <c r="M362" s="619" t="s">
        <v>519</v>
      </c>
      <c r="N362" s="619"/>
      <c r="O362" s="206"/>
      <c r="P362" s="205"/>
      <c r="Q362" s="616"/>
      <c r="R362" s="204"/>
      <c r="S362" s="617"/>
      <c r="AB362" s="616"/>
      <c r="AC362" s="616"/>
      <c r="AD362" s="616"/>
      <c r="AE362" s="616"/>
      <c r="AF362" s="616"/>
    </row>
    <row r="363" spans="2:54" s="613" customFormat="1">
      <c r="B363" s="35" t="s">
        <v>520</v>
      </c>
      <c r="C363" s="35"/>
      <c r="D363" s="591"/>
      <c r="E363" s="36" t="s">
        <v>511</v>
      </c>
      <c r="F363" s="37" t="s">
        <v>20</v>
      </c>
      <c r="G363" s="591"/>
      <c r="H363" s="33"/>
      <c r="I363" s="615"/>
      <c r="J363" s="35" t="s">
        <v>521</v>
      </c>
      <c r="K363" s="36" t="s">
        <v>511</v>
      </c>
      <c r="L363" s="620" t="s">
        <v>2565</v>
      </c>
      <c r="M363" s="591"/>
      <c r="N363" s="591"/>
      <c r="O363" s="206"/>
      <c r="P363" s="616"/>
      <c r="Q363" s="616"/>
      <c r="R363" s="204"/>
      <c r="S363" s="617"/>
      <c r="AB363" s="616"/>
      <c r="AC363" s="616"/>
      <c r="AD363" s="616"/>
      <c r="AE363" s="616"/>
      <c r="AF363" s="616"/>
    </row>
    <row r="364" spans="2:54" s="613" customFormat="1">
      <c r="B364" s="35" t="s">
        <v>523</v>
      </c>
      <c r="C364" s="35"/>
      <c r="D364" s="591"/>
      <c r="E364" s="36" t="s">
        <v>511</v>
      </c>
      <c r="F364" s="37" t="s">
        <v>47</v>
      </c>
      <c r="G364" s="591"/>
      <c r="H364" s="33"/>
      <c r="I364" s="615"/>
      <c r="J364" s="35" t="s">
        <v>524</v>
      </c>
      <c r="K364" s="36" t="s">
        <v>511</v>
      </c>
      <c r="L364" s="621" t="s">
        <v>15</v>
      </c>
      <c r="M364" s="611"/>
      <c r="N364" s="611"/>
      <c r="O364" s="206"/>
      <c r="P364" s="205"/>
      <c r="Q364" s="616"/>
      <c r="R364" s="204"/>
      <c r="S364" s="617"/>
      <c r="AB364" s="616"/>
      <c r="AC364" s="616"/>
      <c r="AD364" s="616"/>
      <c r="AE364" s="616"/>
      <c r="AF364" s="616"/>
    </row>
    <row r="365" spans="2:54" s="613" customFormat="1">
      <c r="B365" s="35" t="s">
        <v>2</v>
      </c>
      <c r="C365" s="35"/>
      <c r="D365" s="591"/>
      <c r="E365" s="36" t="s">
        <v>511</v>
      </c>
      <c r="F365" s="37" t="s">
        <v>18</v>
      </c>
      <c r="G365" s="591"/>
      <c r="H365" s="33"/>
      <c r="I365" s="622"/>
      <c r="J365" s="35"/>
      <c r="K365" s="36"/>
      <c r="L365" s="211"/>
      <c r="O365" s="35"/>
      <c r="P365" s="611"/>
      <c r="Q365" s="611"/>
      <c r="R365" s="611"/>
      <c r="S365" s="615"/>
      <c r="AB365" s="615"/>
      <c r="AC365" s="615"/>
      <c r="AD365" s="615"/>
      <c r="AE365" s="615"/>
      <c r="AF365" s="615"/>
      <c r="AG365" s="615"/>
      <c r="AH365" s="615"/>
      <c r="AI365" s="615"/>
      <c r="AJ365" s="615"/>
      <c r="AK365" s="615"/>
      <c r="AL365" s="615"/>
      <c r="AM365" s="615"/>
      <c r="AN365" s="615"/>
    </row>
    <row r="366" spans="2:54" s="613" customFormat="1">
      <c r="I366" s="622"/>
      <c r="J366" s="35"/>
      <c r="K366" s="35"/>
      <c r="L366" s="621"/>
      <c r="M366" s="611"/>
      <c r="N366" s="611"/>
      <c r="O366" s="35"/>
      <c r="P366" s="611"/>
      <c r="Q366" s="611"/>
      <c r="R366" s="611"/>
      <c r="S366" s="615"/>
      <c r="T366" s="1317" t="s">
        <v>87</v>
      </c>
      <c r="U366" s="1317"/>
      <c r="V366" s="1317"/>
      <c r="W366" s="1317"/>
      <c r="X366" s="1317"/>
      <c r="Y366" s="1317" t="s">
        <v>73</v>
      </c>
      <c r="Z366" s="1317"/>
      <c r="AA366" s="1317"/>
      <c r="AB366" s="1317" t="s">
        <v>74</v>
      </c>
      <c r="AC366" s="1317"/>
      <c r="AD366" s="623" t="s">
        <v>85</v>
      </c>
      <c r="AE366" s="623" t="s">
        <v>77</v>
      </c>
      <c r="AF366" s="1317" t="s">
        <v>525</v>
      </c>
      <c r="AG366" s="1317"/>
      <c r="AH366" s="1317"/>
      <c r="AI366" s="1317"/>
      <c r="AJ366" s="1317"/>
      <c r="AK366" s="1317"/>
      <c r="AL366" s="1317"/>
      <c r="AM366" s="1317"/>
      <c r="AN366" s="1317"/>
      <c r="AO366" s="1317"/>
      <c r="AP366" s="1317"/>
      <c r="AQ366" s="1317"/>
      <c r="AR366" s="1317"/>
      <c r="AS366" s="1317"/>
      <c r="AT366" s="1317"/>
      <c r="AU366" s="1317"/>
      <c r="AV366" s="1317"/>
      <c r="AW366" s="1317"/>
      <c r="AX366" s="1317"/>
      <c r="AY366" s="1317"/>
      <c r="AZ366" s="1317"/>
      <c r="BA366" s="1317"/>
    </row>
    <row r="367" spans="2:54" s="613" customFormat="1">
      <c r="B367" s="1318" t="s">
        <v>526</v>
      </c>
      <c r="C367" s="1319"/>
      <c r="D367" s="624" t="s">
        <v>527</v>
      </c>
      <c r="E367" s="624"/>
      <c r="F367" s="624" t="s">
        <v>528</v>
      </c>
      <c r="G367" s="624" t="s">
        <v>529</v>
      </c>
      <c r="H367" s="624" t="s">
        <v>530</v>
      </c>
      <c r="I367" s="624" t="s">
        <v>531</v>
      </c>
      <c r="J367" s="624" t="s">
        <v>532</v>
      </c>
      <c r="K367" s="624"/>
      <c r="L367" s="624" t="s">
        <v>130</v>
      </c>
      <c r="M367" s="624" t="s">
        <v>533</v>
      </c>
      <c r="N367" s="625" t="str">
        <f>"On time - "&amp;COUNTIF(N368:N377,"On time")&amp;" from "&amp;ROWS(N368:N377)-COUNTIF(N368:N377," ")</f>
        <v>On time - 0 from 10</v>
      </c>
      <c r="O367" s="626"/>
      <c r="P367" s="627" t="s">
        <v>534</v>
      </c>
      <c r="Q367" s="627" t="s">
        <v>535</v>
      </c>
      <c r="R367" s="627" t="s">
        <v>536</v>
      </c>
      <c r="S367" s="591"/>
      <c r="T367" s="628" t="s">
        <v>537</v>
      </c>
      <c r="U367" s="628" t="s">
        <v>538</v>
      </c>
      <c r="V367" s="628" t="s">
        <v>539</v>
      </c>
      <c r="W367" s="628" t="s">
        <v>540</v>
      </c>
      <c r="X367" s="628" t="s">
        <v>541</v>
      </c>
      <c r="Y367" s="628" t="s">
        <v>167</v>
      </c>
      <c r="Z367" s="628" t="s">
        <v>168</v>
      </c>
      <c r="AA367" s="628" t="s">
        <v>169</v>
      </c>
      <c r="AB367" s="628" t="s">
        <v>235</v>
      </c>
      <c r="AC367" s="628" t="s">
        <v>240</v>
      </c>
      <c r="AD367" s="623" t="s">
        <v>85</v>
      </c>
      <c r="AE367" s="628" t="s">
        <v>139</v>
      </c>
      <c r="AF367" s="628" t="s">
        <v>72</v>
      </c>
      <c r="AG367" s="628" t="s">
        <v>88</v>
      </c>
      <c r="AH367" s="628" t="s">
        <v>75</v>
      </c>
      <c r="AI367" s="628" t="s">
        <v>543</v>
      </c>
      <c r="AJ367" s="628" t="s">
        <v>78</v>
      </c>
      <c r="AK367" s="628" t="s">
        <v>76</v>
      </c>
      <c r="AL367" s="628" t="s">
        <v>544</v>
      </c>
      <c r="AM367" s="628" t="s">
        <v>545</v>
      </c>
      <c r="AN367" s="628" t="s">
        <v>86</v>
      </c>
      <c r="AO367" s="628" t="s">
        <v>83</v>
      </c>
      <c r="AP367" s="628" t="s">
        <v>84</v>
      </c>
      <c r="AQ367" s="628" t="s">
        <v>546</v>
      </c>
      <c r="AR367" s="628" t="s">
        <v>81</v>
      </c>
      <c r="AS367" s="628" t="s">
        <v>80</v>
      </c>
      <c r="AT367" s="628" t="s">
        <v>82</v>
      </c>
      <c r="AU367" s="628" t="s">
        <v>181</v>
      </c>
      <c r="AV367" s="628" t="s">
        <v>183</v>
      </c>
      <c r="AW367" s="628" t="s">
        <v>547</v>
      </c>
      <c r="AX367" s="628" t="s">
        <v>182</v>
      </c>
      <c r="AY367" s="628" t="s">
        <v>172</v>
      </c>
      <c r="AZ367" s="628" t="s">
        <v>173</v>
      </c>
      <c r="BA367" s="628" t="s">
        <v>184</v>
      </c>
    </row>
    <row r="368" spans="2:54" s="598" customFormat="1">
      <c r="B368" s="1315" t="s">
        <v>548</v>
      </c>
      <c r="C368" s="1316"/>
      <c r="D368" s="501" t="s">
        <v>2566</v>
      </c>
      <c r="E368" s="501"/>
      <c r="F368" s="501" t="s">
        <v>257</v>
      </c>
      <c r="G368" s="501" t="s">
        <v>258</v>
      </c>
      <c r="H368" s="629">
        <v>7525.8</v>
      </c>
      <c r="I368" s="505" t="s">
        <v>235</v>
      </c>
      <c r="J368" s="504">
        <v>45187.041666666664</v>
      </c>
      <c r="K368" s="504"/>
      <c r="L368" s="504" t="s">
        <v>192</v>
      </c>
      <c r="M368" s="504" t="s">
        <v>192</v>
      </c>
      <c r="N368" s="505" t="str">
        <f t="shared" ref="N368:N375" si="42">IF(ISBLANK(J368)," ",IF(J368&lt;$G$362,"On time",(IF(DAY(J368-$G$362)&lt;1,"On time",(IF(J368&gt;$G$362,"DELAY ( "&amp;DAY(J368-$G$362)&amp;" day "&amp;HOUR(J368-$G$362)&amp;" hour "&amp;MINUTE(J368-$G$362)&amp;" minute )","xxx"))))))</f>
        <v>DELAY ( 6 day 1 hour 0 minute )</v>
      </c>
      <c r="O368" s="597"/>
      <c r="P368" s="507" t="s">
        <v>551</v>
      </c>
      <c r="Q368" s="507" t="s">
        <v>551</v>
      </c>
      <c r="R368" s="507" t="s">
        <v>551</v>
      </c>
      <c r="T368" s="599"/>
      <c r="U368" s="599"/>
      <c r="V368" s="599"/>
      <c r="W368" s="599"/>
      <c r="X368" s="599"/>
      <c r="Y368" s="599"/>
      <c r="Z368" s="599"/>
      <c r="AA368" s="599"/>
      <c r="AB368" s="599">
        <f>H368</f>
        <v>7525.8</v>
      </c>
      <c r="AC368" s="599"/>
      <c r="AD368" s="599"/>
      <c r="AE368" s="599"/>
      <c r="AF368" s="599"/>
      <c r="AG368" s="599"/>
      <c r="AH368" s="599"/>
      <c r="AI368" s="599"/>
      <c r="AJ368" s="599"/>
      <c r="AK368" s="599"/>
      <c r="AL368" s="599"/>
      <c r="AM368" s="599"/>
      <c r="AN368" s="599"/>
      <c r="AO368" s="599"/>
      <c r="AP368" s="599"/>
      <c r="AQ368" s="599"/>
      <c r="AR368" s="599"/>
      <c r="AS368" s="599"/>
      <c r="AT368" s="599"/>
      <c r="AU368" s="599"/>
      <c r="AV368" s="599"/>
      <c r="AW368" s="599"/>
      <c r="AX368" s="599"/>
      <c r="AY368" s="599"/>
      <c r="AZ368" s="599"/>
      <c r="BA368" s="599"/>
    </row>
    <row r="369" spans="2:54" s="598" customFormat="1">
      <c r="B369" s="1315" t="s">
        <v>548</v>
      </c>
      <c r="C369" s="1316"/>
      <c r="D369" s="501" t="s">
        <v>2567</v>
      </c>
      <c r="E369" s="501"/>
      <c r="F369" s="501" t="s">
        <v>361</v>
      </c>
      <c r="G369" s="501" t="s">
        <v>362</v>
      </c>
      <c r="H369" s="629">
        <v>7248.9369999999999</v>
      </c>
      <c r="I369" s="505" t="s">
        <v>235</v>
      </c>
      <c r="J369" s="504">
        <v>45186.229166666664</v>
      </c>
      <c r="K369" s="504"/>
      <c r="L369" s="504" t="s">
        <v>192</v>
      </c>
      <c r="M369" s="504" t="s">
        <v>192</v>
      </c>
      <c r="N369" s="505" t="str">
        <f t="shared" si="42"/>
        <v>DELAY ( 5 day 5 hour 30 minute )</v>
      </c>
      <c r="O369" s="597"/>
      <c r="P369" s="507" t="s">
        <v>551</v>
      </c>
      <c r="Q369" s="507" t="s">
        <v>551</v>
      </c>
      <c r="R369" s="507" t="s">
        <v>551</v>
      </c>
      <c r="T369" s="599"/>
      <c r="U369" s="599"/>
      <c r="V369" s="599"/>
      <c r="W369" s="599"/>
      <c r="X369" s="599"/>
      <c r="Y369" s="599"/>
      <c r="Z369" s="599"/>
      <c r="AA369" s="599"/>
      <c r="AB369" s="599">
        <f>H369</f>
        <v>7248.9369999999999</v>
      </c>
      <c r="AC369" s="599"/>
      <c r="AD369" s="599"/>
      <c r="AE369" s="599"/>
      <c r="AF369" s="599"/>
      <c r="AG369" s="599"/>
      <c r="AH369" s="599"/>
      <c r="AI369" s="599"/>
      <c r="AJ369" s="599"/>
      <c r="AK369" s="599"/>
      <c r="AL369" s="599"/>
      <c r="AM369" s="599"/>
      <c r="AN369" s="599"/>
      <c r="AO369" s="599"/>
      <c r="AP369" s="599"/>
      <c r="AQ369" s="599"/>
      <c r="AR369" s="599"/>
      <c r="AS369" s="599"/>
      <c r="AT369" s="599"/>
      <c r="AU369" s="599"/>
      <c r="AV369" s="599"/>
      <c r="AW369" s="599"/>
      <c r="AX369" s="599"/>
      <c r="AY369" s="599"/>
      <c r="AZ369" s="599"/>
      <c r="BA369" s="599"/>
    </row>
    <row r="370" spans="2:54" s="598" customFormat="1">
      <c r="B370" s="1315" t="s">
        <v>548</v>
      </c>
      <c r="C370" s="1316"/>
      <c r="D370" s="501" t="s">
        <v>2568</v>
      </c>
      <c r="E370" s="501"/>
      <c r="F370" s="501" t="s">
        <v>686</v>
      </c>
      <c r="G370" s="501" t="s">
        <v>1186</v>
      </c>
      <c r="H370" s="629">
        <v>7548.8379999999997</v>
      </c>
      <c r="I370" s="505" t="s">
        <v>240</v>
      </c>
      <c r="J370" s="504">
        <v>45187.4375</v>
      </c>
      <c r="K370" s="504"/>
      <c r="L370" s="504" t="s">
        <v>192</v>
      </c>
      <c r="M370" s="504" t="s">
        <v>192</v>
      </c>
      <c r="N370" s="505" t="str">
        <f t="shared" si="42"/>
        <v>DELAY ( 6 day 10 hour 30 minute )</v>
      </c>
      <c r="O370" s="597"/>
      <c r="P370" s="507" t="s">
        <v>551</v>
      </c>
      <c r="Q370" s="507" t="s">
        <v>551</v>
      </c>
      <c r="R370" s="507" t="s">
        <v>551</v>
      </c>
      <c r="T370" s="599"/>
      <c r="U370" s="599"/>
      <c r="V370" s="599"/>
      <c r="W370" s="599"/>
      <c r="X370" s="599"/>
      <c r="Y370" s="599"/>
      <c r="Z370" s="599"/>
      <c r="AA370" s="599"/>
      <c r="AB370" s="599"/>
      <c r="AC370" s="599">
        <f>H370</f>
        <v>7548.8379999999997</v>
      </c>
      <c r="AD370" s="599"/>
      <c r="AE370" s="599"/>
      <c r="AF370" s="599"/>
      <c r="AG370" s="599"/>
      <c r="AH370" s="599"/>
      <c r="AI370" s="599"/>
      <c r="AJ370" s="599"/>
      <c r="AK370" s="599"/>
      <c r="AL370" s="599"/>
      <c r="AM370" s="599"/>
      <c r="AN370" s="599"/>
      <c r="AO370" s="599"/>
      <c r="AP370" s="599"/>
      <c r="AQ370" s="599"/>
      <c r="AR370" s="599"/>
      <c r="AS370" s="599"/>
      <c r="AT370" s="599"/>
      <c r="AU370" s="599"/>
      <c r="AV370" s="599"/>
      <c r="AW370" s="599"/>
      <c r="AX370" s="599"/>
      <c r="AY370" s="599"/>
      <c r="AZ370" s="599"/>
      <c r="BA370" s="599"/>
    </row>
    <row r="371" spans="2:54" s="598" customFormat="1">
      <c r="B371" s="1315" t="s">
        <v>548</v>
      </c>
      <c r="C371" s="1316"/>
      <c r="D371" s="501" t="s">
        <v>2569</v>
      </c>
      <c r="E371" s="501"/>
      <c r="F371" s="501" t="s">
        <v>380</v>
      </c>
      <c r="G371" s="501" t="s">
        <v>381</v>
      </c>
      <c r="H371" s="629">
        <v>7908.0209999999997</v>
      </c>
      <c r="I371" s="505" t="s">
        <v>235</v>
      </c>
      <c r="J371" s="504">
        <v>45186.958333333336</v>
      </c>
      <c r="K371" s="504"/>
      <c r="L371" s="504" t="s">
        <v>192</v>
      </c>
      <c r="M371" s="504" t="s">
        <v>192</v>
      </c>
      <c r="N371" s="505" t="str">
        <f t="shared" si="42"/>
        <v>DELAY ( 5 day 23 hour 0 minute )</v>
      </c>
      <c r="O371" s="597"/>
      <c r="P371" s="507" t="s">
        <v>551</v>
      </c>
      <c r="Q371" s="507" t="s">
        <v>551</v>
      </c>
      <c r="R371" s="507" t="s">
        <v>551</v>
      </c>
      <c r="T371" s="599"/>
      <c r="U371" s="599"/>
      <c r="V371" s="599"/>
      <c r="W371" s="599"/>
      <c r="X371" s="599"/>
      <c r="Y371" s="599"/>
      <c r="Z371" s="599"/>
      <c r="AA371" s="599"/>
      <c r="AB371" s="599">
        <f>H371</f>
        <v>7908.0209999999997</v>
      </c>
      <c r="AC371" s="599"/>
      <c r="AD371" s="599"/>
      <c r="AE371" s="599"/>
      <c r="AF371" s="599"/>
      <c r="AG371" s="599"/>
      <c r="AH371" s="599"/>
      <c r="AI371" s="599"/>
      <c r="AJ371" s="599"/>
      <c r="AK371" s="599"/>
      <c r="AL371" s="599"/>
      <c r="AM371" s="599"/>
      <c r="AN371" s="599"/>
      <c r="AO371" s="599"/>
      <c r="AP371" s="599"/>
      <c r="AQ371" s="599"/>
      <c r="AR371" s="599"/>
      <c r="AS371" s="599"/>
      <c r="AT371" s="599"/>
      <c r="AU371" s="599"/>
      <c r="AV371" s="599"/>
      <c r="AW371" s="599"/>
      <c r="AX371" s="599"/>
      <c r="AY371" s="599"/>
      <c r="AZ371" s="599"/>
      <c r="BA371" s="599"/>
    </row>
    <row r="372" spans="2:54" s="598" customFormat="1">
      <c r="B372" s="1315" t="s">
        <v>548</v>
      </c>
      <c r="C372" s="1316"/>
      <c r="D372" s="501" t="s">
        <v>2570</v>
      </c>
      <c r="E372" s="501"/>
      <c r="F372" s="501" t="s">
        <v>194</v>
      </c>
      <c r="G372" s="501" t="s">
        <v>195</v>
      </c>
      <c r="H372" s="629">
        <v>5009.7879999999996</v>
      </c>
      <c r="I372" s="505" t="s">
        <v>88</v>
      </c>
      <c r="J372" s="504">
        <v>45186.399305555555</v>
      </c>
      <c r="K372" s="504"/>
      <c r="L372" s="504" t="s">
        <v>192</v>
      </c>
      <c r="M372" s="504" t="s">
        <v>192</v>
      </c>
      <c r="N372" s="505" t="str">
        <f t="shared" si="42"/>
        <v>DELAY ( 5 day 9 hour 35 minute )</v>
      </c>
      <c r="O372" s="597"/>
      <c r="P372" s="507" t="s">
        <v>551</v>
      </c>
      <c r="Q372" s="507" t="s">
        <v>551</v>
      </c>
      <c r="R372" s="507" t="s">
        <v>551</v>
      </c>
      <c r="T372" s="599"/>
      <c r="U372" s="599"/>
      <c r="V372" s="599"/>
      <c r="W372" s="599"/>
      <c r="X372" s="599"/>
      <c r="Y372" s="599"/>
      <c r="Z372" s="599"/>
      <c r="AA372" s="599"/>
      <c r="AC372" s="599"/>
      <c r="AD372" s="599"/>
      <c r="AE372" s="599"/>
      <c r="AF372" s="599"/>
      <c r="AG372" s="599">
        <f>H372</f>
        <v>5009.7879999999996</v>
      </c>
      <c r="AH372" s="599"/>
      <c r="AI372" s="599"/>
      <c r="AJ372" s="599"/>
      <c r="AK372" s="599"/>
      <c r="AL372" s="599"/>
      <c r="AM372" s="599"/>
      <c r="AN372" s="599"/>
      <c r="AO372" s="599"/>
      <c r="AP372" s="599"/>
      <c r="AQ372" s="599"/>
      <c r="AR372" s="599"/>
      <c r="AS372" s="599"/>
      <c r="AT372" s="599"/>
      <c r="AU372" s="599"/>
      <c r="AV372" s="599"/>
      <c r="AW372" s="599"/>
      <c r="AX372" s="599"/>
      <c r="AY372" s="599"/>
      <c r="AZ372" s="599"/>
      <c r="BA372" s="599"/>
    </row>
    <row r="373" spans="2:54" s="598" customFormat="1">
      <c r="B373" s="1315" t="s">
        <v>548</v>
      </c>
      <c r="C373" s="1316"/>
      <c r="D373" s="501" t="s">
        <v>2571</v>
      </c>
      <c r="E373" s="501"/>
      <c r="F373" s="501" t="s">
        <v>213</v>
      </c>
      <c r="G373" s="501" t="s">
        <v>214</v>
      </c>
      <c r="H373" s="629">
        <v>7586.4719999999998</v>
      </c>
      <c r="I373" s="505" t="s">
        <v>240</v>
      </c>
      <c r="J373" s="504">
        <v>45189.354166666664</v>
      </c>
      <c r="K373" s="504"/>
      <c r="L373" s="504" t="s">
        <v>192</v>
      </c>
      <c r="M373" s="504" t="s">
        <v>192</v>
      </c>
      <c r="N373" s="505" t="str">
        <f t="shared" si="42"/>
        <v>DELAY ( 8 day 8 hour 30 minute )</v>
      </c>
      <c r="O373" s="597"/>
      <c r="P373" s="507" t="s">
        <v>551</v>
      </c>
      <c r="Q373" s="507" t="s">
        <v>551</v>
      </c>
      <c r="R373" s="507" t="s">
        <v>551</v>
      </c>
      <c r="T373" s="599"/>
      <c r="U373" s="599"/>
      <c r="V373" s="599"/>
      <c r="W373" s="599"/>
      <c r="X373" s="599"/>
      <c r="Y373" s="599"/>
      <c r="Z373" s="599"/>
      <c r="AA373" s="599"/>
      <c r="AB373" s="599"/>
      <c r="AC373" s="599">
        <f>H373</f>
        <v>7586.4719999999998</v>
      </c>
      <c r="AD373" s="599"/>
      <c r="AE373" s="599"/>
      <c r="AF373" s="599"/>
      <c r="AG373" s="599"/>
      <c r="AH373" s="599"/>
      <c r="AI373" s="599"/>
      <c r="AJ373" s="599"/>
      <c r="AK373" s="599"/>
      <c r="AL373" s="599"/>
      <c r="AM373" s="599"/>
      <c r="AN373" s="599"/>
      <c r="AO373" s="599"/>
      <c r="AP373" s="599"/>
      <c r="AQ373" s="599"/>
      <c r="AR373" s="599"/>
      <c r="AS373" s="599"/>
      <c r="AT373" s="599"/>
      <c r="AU373" s="599"/>
      <c r="AV373" s="599"/>
      <c r="AW373" s="599"/>
      <c r="AX373" s="599"/>
      <c r="AY373" s="599"/>
      <c r="AZ373" s="599"/>
      <c r="BA373" s="599"/>
    </row>
    <row r="374" spans="2:54" s="598" customFormat="1">
      <c r="B374" s="1315" t="s">
        <v>548</v>
      </c>
      <c r="C374" s="1316"/>
      <c r="D374" s="501" t="s">
        <v>2572</v>
      </c>
      <c r="E374" s="501"/>
      <c r="F374" s="501" t="s">
        <v>367</v>
      </c>
      <c r="G374" s="501" t="s">
        <v>368</v>
      </c>
      <c r="H374" s="629">
        <v>9900.2340000000004</v>
      </c>
      <c r="I374" s="505" t="s">
        <v>235</v>
      </c>
      <c r="J374" s="504">
        <v>45187.083333333336</v>
      </c>
      <c r="K374" s="504"/>
      <c r="L374" s="504" t="s">
        <v>192</v>
      </c>
      <c r="M374" s="504" t="s">
        <v>192</v>
      </c>
      <c r="N374" s="505" t="str">
        <f t="shared" si="42"/>
        <v>DELAY ( 6 day 2 hour 0 minute )</v>
      </c>
      <c r="O374" s="597"/>
      <c r="P374" s="507" t="s">
        <v>551</v>
      </c>
      <c r="Q374" s="507" t="s">
        <v>551</v>
      </c>
      <c r="R374" s="507" t="s">
        <v>551</v>
      </c>
      <c r="T374" s="599"/>
      <c r="U374" s="599"/>
      <c r="V374" s="599"/>
      <c r="W374" s="599"/>
      <c r="X374" s="599"/>
      <c r="Y374" s="599"/>
      <c r="Z374" s="599"/>
      <c r="AA374" s="599"/>
      <c r="AB374" s="599">
        <f>H374</f>
        <v>9900.2340000000004</v>
      </c>
      <c r="AC374" s="599"/>
      <c r="AD374" s="599"/>
      <c r="AE374" s="599"/>
      <c r="AF374" s="599"/>
      <c r="AG374" s="599"/>
      <c r="AH374" s="599"/>
      <c r="AI374" s="599"/>
      <c r="AJ374" s="599"/>
      <c r="AK374" s="599"/>
      <c r="AL374" s="599"/>
      <c r="AM374" s="599"/>
      <c r="AN374" s="599"/>
      <c r="AO374" s="599"/>
      <c r="AP374" s="599"/>
      <c r="AQ374" s="599"/>
      <c r="AR374" s="599"/>
      <c r="AS374" s="599"/>
      <c r="AT374" s="599"/>
      <c r="AU374" s="599"/>
      <c r="AV374" s="599"/>
      <c r="AW374" s="599"/>
      <c r="AX374" s="599"/>
      <c r="AY374" s="599"/>
      <c r="AZ374" s="599"/>
      <c r="BA374" s="599"/>
    </row>
    <row r="375" spans="2:54" s="598" customFormat="1">
      <c r="B375" s="1315" t="s">
        <v>548</v>
      </c>
      <c r="C375" s="1316"/>
      <c r="D375" s="501" t="s">
        <v>2573</v>
      </c>
      <c r="E375" s="501"/>
      <c r="F375" s="501" t="s">
        <v>2404</v>
      </c>
      <c r="G375" s="501" t="s">
        <v>2405</v>
      </c>
      <c r="H375" s="629">
        <v>10350.566000000001</v>
      </c>
      <c r="I375" s="505" t="s">
        <v>235</v>
      </c>
      <c r="J375" s="504">
        <v>45187.854166666664</v>
      </c>
      <c r="K375" s="504"/>
      <c r="L375" s="504" t="s">
        <v>192</v>
      </c>
      <c r="M375" s="504" t="s">
        <v>192</v>
      </c>
      <c r="N375" s="505" t="str">
        <f t="shared" si="42"/>
        <v>DELAY ( 6 day 20 hour 30 minute )</v>
      </c>
      <c r="O375" s="597"/>
      <c r="P375" s="507" t="s">
        <v>551</v>
      </c>
      <c r="Q375" s="507" t="s">
        <v>551</v>
      </c>
      <c r="R375" s="507" t="s">
        <v>551</v>
      </c>
      <c r="T375" s="599"/>
      <c r="U375" s="599"/>
      <c r="V375" s="599"/>
      <c r="W375" s="599"/>
      <c r="X375" s="599"/>
      <c r="Y375" s="599"/>
      <c r="Z375" s="599"/>
      <c r="AA375" s="599"/>
      <c r="AB375" s="599">
        <f>H375</f>
        <v>10350.566000000001</v>
      </c>
      <c r="AC375" s="599"/>
      <c r="AD375" s="599"/>
      <c r="AE375" s="599"/>
      <c r="AF375" s="599"/>
      <c r="AG375" s="599"/>
      <c r="AH375" s="599"/>
      <c r="AI375" s="599"/>
      <c r="AJ375" s="599"/>
      <c r="AK375" s="599"/>
      <c r="AL375" s="599"/>
      <c r="AM375" s="599"/>
      <c r="AN375" s="599"/>
      <c r="AO375" s="599"/>
      <c r="AP375" s="599"/>
      <c r="AQ375" s="599"/>
      <c r="AR375" s="599"/>
      <c r="AS375" s="599"/>
      <c r="AT375" s="599"/>
      <c r="AU375" s="599"/>
      <c r="AV375" s="599"/>
      <c r="AW375" s="599"/>
      <c r="AX375" s="599"/>
      <c r="AY375" s="599"/>
      <c r="AZ375" s="599"/>
      <c r="BA375" s="599"/>
    </row>
    <row r="376" spans="2:54" s="613" customFormat="1">
      <c r="B376" s="1294"/>
      <c r="C376" s="1295"/>
      <c r="D376" s="436"/>
      <c r="E376" s="436"/>
      <c r="F376" s="1294" t="s">
        <v>610</v>
      </c>
      <c r="G376" s="1295"/>
      <c r="H376" s="630">
        <v>13980.392</v>
      </c>
      <c r="I376" s="438" t="s">
        <v>611</v>
      </c>
      <c r="J376" s="439"/>
      <c r="K376" s="439"/>
      <c r="L376" s="439"/>
      <c r="M376" s="439"/>
      <c r="N376" s="438"/>
      <c r="O376" s="631"/>
      <c r="P376" s="440" t="s">
        <v>551</v>
      </c>
      <c r="Q376" s="440"/>
      <c r="R376" s="440"/>
      <c r="T376" s="632">
        <f>H376</f>
        <v>13980.392</v>
      </c>
      <c r="U376" s="632"/>
      <c r="V376" s="632"/>
      <c r="W376" s="632"/>
      <c r="X376" s="632"/>
      <c r="Y376" s="632"/>
      <c r="Z376" s="632"/>
      <c r="AA376" s="632"/>
      <c r="AB376" s="632"/>
      <c r="AC376" s="632"/>
      <c r="AD376" s="632"/>
      <c r="AE376" s="632"/>
      <c r="AF376" s="632"/>
      <c r="AG376" s="632"/>
      <c r="AH376" s="632"/>
      <c r="AI376" s="632"/>
      <c r="AJ376" s="632"/>
      <c r="AK376" s="632"/>
      <c r="AL376" s="632"/>
      <c r="AM376" s="632"/>
      <c r="AN376" s="632"/>
      <c r="AO376" s="632"/>
      <c r="AP376" s="632"/>
      <c r="AQ376" s="632"/>
      <c r="AR376" s="632"/>
      <c r="AS376" s="632"/>
      <c r="AT376" s="632"/>
      <c r="AU376" s="632"/>
      <c r="AV376" s="632"/>
      <c r="AW376" s="632"/>
      <c r="AX376" s="632"/>
      <c r="AY376" s="632"/>
      <c r="AZ376" s="632"/>
      <c r="BA376" s="632"/>
    </row>
    <row r="377" spans="2:54" s="613" customFormat="1">
      <c r="B377" s="1294"/>
      <c r="C377" s="1295"/>
      <c r="D377" s="436"/>
      <c r="E377" s="436"/>
      <c r="F377" s="1294" t="s">
        <v>610</v>
      </c>
      <c r="G377" s="1295"/>
      <c r="H377" s="630">
        <v>1250.952</v>
      </c>
      <c r="I377" s="438" t="s">
        <v>1164</v>
      </c>
      <c r="J377" s="439"/>
      <c r="K377" s="439"/>
      <c r="L377" s="439"/>
      <c r="M377" s="439"/>
      <c r="N377" s="438"/>
      <c r="O377" s="631"/>
      <c r="P377" s="440" t="s">
        <v>551</v>
      </c>
      <c r="Q377" s="440"/>
      <c r="R377" s="440"/>
      <c r="T377" s="632"/>
      <c r="U377" s="632"/>
      <c r="V377" s="632"/>
      <c r="W377" s="632"/>
      <c r="X377" s="632">
        <f>H377</f>
        <v>1250.952</v>
      </c>
      <c r="Y377" s="632"/>
      <c r="Z377" s="632"/>
      <c r="AA377" s="632"/>
      <c r="AB377" s="632"/>
      <c r="AC377" s="632"/>
      <c r="AD377" s="632"/>
      <c r="AE377" s="632"/>
      <c r="AF377" s="632"/>
      <c r="AG377" s="632"/>
      <c r="AH377" s="632"/>
      <c r="AI377" s="632"/>
      <c r="AJ377" s="632"/>
      <c r="AK377" s="632"/>
      <c r="AL377" s="632"/>
      <c r="AM377" s="632"/>
      <c r="AN377" s="632"/>
      <c r="AO377" s="632"/>
      <c r="AP377" s="632"/>
      <c r="AQ377" s="632"/>
      <c r="AR377" s="632"/>
      <c r="AS377" s="632"/>
      <c r="AT377" s="632"/>
      <c r="AU377" s="632"/>
      <c r="AV377" s="632"/>
      <c r="AW377" s="632"/>
      <c r="AX377" s="632"/>
      <c r="AY377" s="632"/>
      <c r="AZ377" s="632"/>
      <c r="BA377" s="632"/>
    </row>
    <row r="378" spans="2:54">
      <c r="B378" s="1258" t="s">
        <v>556</v>
      </c>
      <c r="C378" s="1259"/>
      <c r="D378" s="1259"/>
      <c r="E378" s="1259"/>
      <c r="F378" s="1259"/>
      <c r="G378" s="1260"/>
      <c r="H378" s="586">
        <f>SUM(H368:H377)</f>
        <v>78310</v>
      </c>
      <c r="I378" s="587"/>
      <c r="J378" s="588"/>
      <c r="K378" s="588"/>
      <c r="L378" s="588"/>
      <c r="M378" s="589"/>
      <c r="N378" s="413" t="str">
        <f>IF(ISBLANK(J378)," ",IF(J378&lt;$F$4,"On time",(IF(DAY(J378-$F$4)&lt;1,"On time",(IF(J378&gt;$F$4,"DELAY ( "&amp;DAY(J378-$F$4)&amp;" day "&amp;HOUR(J378-$F$4)&amp;" hour "&amp;MINUTE(J378-$F$4)&amp;" minute )","xxx"))))))</f>
        <v xml:space="preserve"> </v>
      </c>
      <c r="O378" s="212"/>
      <c r="P378" s="590"/>
      <c r="Q378" s="590"/>
      <c r="R378" s="590"/>
      <c r="S378" s="633"/>
      <c r="T378" s="1307"/>
      <c r="U378" s="1308"/>
      <c r="V378" s="1308"/>
      <c r="W378" s="1308"/>
      <c r="X378" s="1308"/>
      <c r="Y378" s="1308"/>
      <c r="Z378" s="1308"/>
      <c r="AA378" s="1308"/>
      <c r="AB378" s="1308"/>
      <c r="AC378" s="1308"/>
      <c r="AD378" s="1308"/>
      <c r="AE378" s="1308"/>
      <c r="AF378" s="1308"/>
      <c r="AG378" s="1308"/>
      <c r="AH378" s="1308"/>
      <c r="AI378" s="1308"/>
      <c r="AJ378" s="1308"/>
      <c r="AK378" s="1308"/>
      <c r="AL378" s="1308"/>
      <c r="AM378" s="1308"/>
      <c r="AN378" s="1308"/>
      <c r="AO378" s="1308"/>
      <c r="AP378" s="1308"/>
      <c r="AQ378" s="1308"/>
      <c r="AR378" s="1308"/>
      <c r="AS378" s="1308"/>
      <c r="AT378" s="1308"/>
      <c r="AU378" s="1308"/>
      <c r="AV378" s="1308"/>
      <c r="AW378" s="1308"/>
      <c r="AX378" s="1308"/>
      <c r="AY378" s="1308"/>
      <c r="AZ378" s="1308"/>
      <c r="BA378" s="1308"/>
    </row>
    <row r="379" spans="2:54" s="496" customFormat="1">
      <c r="B379" s="1309" t="s">
        <v>557</v>
      </c>
      <c r="C379" s="1310"/>
      <c r="D379" s="1310"/>
      <c r="E379" s="1310"/>
      <c r="F379" s="1310"/>
      <c r="G379" s="1311"/>
      <c r="H379" s="634">
        <v>78310</v>
      </c>
      <c r="I379" s="1312"/>
      <c r="J379" s="1313"/>
      <c r="K379" s="1313"/>
      <c r="L379" s="1313"/>
      <c r="M379" s="1314"/>
      <c r="N379" s="438" t="str">
        <f>IF(ISBLANK(J379)," ",IF(J379&lt;$F$4,"On time",(IF(DAY(J379-$F$4)&lt;1,"On time",(IF(J379&gt;$F$4,"DELAY ( "&amp;DAY(J379-$F$4)&amp;" day "&amp;HOUR(J379-$F$4)&amp;" hour "&amp;MINUTE(J379-$F$4)&amp;" minute )","xxx"))))))</f>
        <v xml:space="preserve"> </v>
      </c>
      <c r="O379" s="613"/>
      <c r="P379" s="440"/>
      <c r="Q379" s="440"/>
      <c r="R379" s="440"/>
      <c r="S379" s="635"/>
      <c r="T379" s="632">
        <f t="shared" ref="T379:BA379" si="43">SUM(T368:T377)</f>
        <v>13980.392</v>
      </c>
      <c r="U379" s="632">
        <f t="shared" si="43"/>
        <v>0</v>
      </c>
      <c r="V379" s="632">
        <f t="shared" si="43"/>
        <v>0</v>
      </c>
      <c r="W379" s="632">
        <f t="shared" si="43"/>
        <v>0</v>
      </c>
      <c r="X379" s="632">
        <f t="shared" si="43"/>
        <v>1250.952</v>
      </c>
      <c r="Y379" s="632">
        <f t="shared" si="43"/>
        <v>0</v>
      </c>
      <c r="Z379" s="632">
        <f t="shared" si="43"/>
        <v>0</v>
      </c>
      <c r="AA379" s="632">
        <f t="shared" si="43"/>
        <v>0</v>
      </c>
      <c r="AB379" s="632">
        <f t="shared" si="43"/>
        <v>42933.558000000005</v>
      </c>
      <c r="AC379" s="632">
        <f t="shared" si="43"/>
        <v>15135.31</v>
      </c>
      <c r="AD379" s="632">
        <f t="shared" si="43"/>
        <v>0</v>
      </c>
      <c r="AE379" s="632">
        <f t="shared" si="43"/>
        <v>0</v>
      </c>
      <c r="AF379" s="632">
        <f t="shared" si="43"/>
        <v>0</v>
      </c>
      <c r="AG379" s="632">
        <f t="shared" si="43"/>
        <v>5009.7879999999996</v>
      </c>
      <c r="AH379" s="632">
        <f t="shared" si="43"/>
        <v>0</v>
      </c>
      <c r="AI379" s="632">
        <f t="shared" si="43"/>
        <v>0</v>
      </c>
      <c r="AJ379" s="632">
        <f t="shared" si="43"/>
        <v>0</v>
      </c>
      <c r="AK379" s="632">
        <f t="shared" si="43"/>
        <v>0</v>
      </c>
      <c r="AL379" s="632">
        <f t="shared" si="43"/>
        <v>0</v>
      </c>
      <c r="AM379" s="632">
        <f t="shared" si="43"/>
        <v>0</v>
      </c>
      <c r="AN379" s="632">
        <f t="shared" si="43"/>
        <v>0</v>
      </c>
      <c r="AO379" s="632">
        <f t="shared" si="43"/>
        <v>0</v>
      </c>
      <c r="AP379" s="632">
        <f t="shared" si="43"/>
        <v>0</v>
      </c>
      <c r="AQ379" s="632">
        <f t="shared" si="43"/>
        <v>0</v>
      </c>
      <c r="AR379" s="632">
        <f t="shared" si="43"/>
        <v>0</v>
      </c>
      <c r="AS379" s="632">
        <f t="shared" si="43"/>
        <v>0</v>
      </c>
      <c r="AT379" s="632">
        <f t="shared" si="43"/>
        <v>0</v>
      </c>
      <c r="AU379" s="632">
        <f t="shared" si="43"/>
        <v>0</v>
      </c>
      <c r="AV379" s="632">
        <f t="shared" si="43"/>
        <v>0</v>
      </c>
      <c r="AW379" s="632">
        <f t="shared" si="43"/>
        <v>0</v>
      </c>
      <c r="AX379" s="632">
        <f t="shared" si="43"/>
        <v>0</v>
      </c>
      <c r="AY379" s="632">
        <f t="shared" si="43"/>
        <v>0</v>
      </c>
      <c r="AZ379" s="632">
        <f t="shared" si="43"/>
        <v>0</v>
      </c>
      <c r="BA379" s="632">
        <f t="shared" si="43"/>
        <v>0</v>
      </c>
      <c r="BB379" s="632">
        <f>SUM(T379:BA379)</f>
        <v>78310</v>
      </c>
    </row>
    <row r="380" spans="2:54" s="496" customFormat="1">
      <c r="B380" s="1309" t="s">
        <v>558</v>
      </c>
      <c r="C380" s="1310"/>
      <c r="D380" s="1310"/>
      <c r="E380" s="1310"/>
      <c r="F380" s="1310"/>
      <c r="G380" s="1311"/>
      <c r="H380" s="636">
        <f>H379-L362</f>
        <v>0</v>
      </c>
      <c r="I380" s="637"/>
      <c r="J380" s="638"/>
      <c r="K380" s="638"/>
      <c r="L380" s="513"/>
      <c r="M380" s="613"/>
      <c r="N380" s="613"/>
      <c r="O380" s="613"/>
      <c r="P380" s="613"/>
      <c r="Q380" s="639"/>
      <c r="R380" s="639"/>
      <c r="S380" s="613"/>
      <c r="T380" s="616"/>
      <c r="U380" s="616"/>
      <c r="V380" s="616"/>
      <c r="W380" s="616"/>
      <c r="X380" s="616"/>
      <c r="Y380" s="616"/>
      <c r="Z380" s="616"/>
      <c r="AA380" s="616"/>
      <c r="AB380" s="616"/>
      <c r="AC380" s="613"/>
      <c r="AD380" s="613"/>
      <c r="AE380" s="613"/>
      <c r="AF380" s="613"/>
      <c r="AG380" s="613"/>
      <c r="AH380" s="613"/>
      <c r="AI380" s="613"/>
      <c r="AJ380" s="613"/>
      <c r="AK380" s="613"/>
      <c r="AL380" s="613"/>
      <c r="AM380" s="613"/>
      <c r="AN380" s="613"/>
      <c r="AO380" s="613"/>
      <c r="AP380" s="613"/>
      <c r="AQ380" s="613"/>
      <c r="AR380" s="613"/>
    </row>
    <row r="381" spans="2:54" s="496" customFormat="1">
      <c r="B381" s="1309" t="s">
        <v>559</v>
      </c>
      <c r="C381" s="1310"/>
      <c r="D381" s="1310"/>
      <c r="E381" s="1310"/>
      <c r="F381" s="1310"/>
      <c r="G381" s="1311"/>
      <c r="H381" s="640">
        <f>H378-H379</f>
        <v>0</v>
      </c>
      <c r="I381" s="641"/>
      <c r="J381" s="642"/>
      <c r="K381" s="642"/>
      <c r="L381" s="499"/>
      <c r="M381" s="613"/>
      <c r="N381" s="613"/>
      <c r="O381" s="613"/>
      <c r="P381" s="613"/>
      <c r="Q381" s="613"/>
      <c r="R381" s="613"/>
      <c r="S381" s="613"/>
      <c r="T381" s="616"/>
      <c r="U381" s="616"/>
      <c r="V381" s="616"/>
      <c r="W381" s="616"/>
      <c r="X381" s="616"/>
      <c r="Y381" s="616"/>
      <c r="Z381" s="616"/>
      <c r="AA381" s="616"/>
      <c r="AB381" s="616"/>
      <c r="AC381" s="613"/>
      <c r="AD381" s="613"/>
      <c r="AE381" s="613"/>
      <c r="AF381" s="613"/>
      <c r="AG381" s="613"/>
      <c r="AH381" s="613"/>
      <c r="AI381" s="613"/>
      <c r="AJ381" s="613"/>
      <c r="AK381" s="613"/>
      <c r="AL381" s="613"/>
      <c r="AM381" s="613"/>
      <c r="AN381" s="613"/>
      <c r="AO381" s="613"/>
      <c r="AP381" s="613"/>
      <c r="AQ381" s="613"/>
      <c r="AR381" s="613"/>
    </row>
    <row r="382" spans="2:54" s="613" customFormat="1">
      <c r="I382" s="643"/>
      <c r="J382" s="641"/>
      <c r="K382" s="641"/>
      <c r="L382" s="644"/>
      <c r="O382" s="641"/>
      <c r="P382" s="591"/>
      <c r="Q382" s="591"/>
      <c r="R382" s="591"/>
      <c r="S382" s="591"/>
      <c r="T382" s="645"/>
      <c r="U382" s="645"/>
      <c r="V382" s="645"/>
      <c r="W382" s="645"/>
      <c r="X382" s="645"/>
      <c r="Y382" s="645"/>
      <c r="Z382" s="645"/>
      <c r="AA382" s="645"/>
      <c r="AB382" s="645"/>
      <c r="AC382" s="591"/>
      <c r="AD382" s="591"/>
      <c r="AE382" s="591"/>
      <c r="AF382" s="591"/>
      <c r="AG382" s="591"/>
      <c r="AH382" s="591"/>
      <c r="AI382" s="591"/>
      <c r="AJ382" s="591"/>
      <c r="AK382" s="591"/>
      <c r="AL382" s="591"/>
      <c r="AM382" s="591"/>
      <c r="AN382" s="591"/>
      <c r="AO382" s="591"/>
      <c r="AP382" s="591"/>
      <c r="AQ382" s="591"/>
      <c r="AR382" s="591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</row>
    <row r="383" spans="2:54" s="613" customFormat="1">
      <c r="B383" s="619" t="s">
        <v>561</v>
      </c>
      <c r="C383" s="619"/>
      <c r="D383" s="591"/>
      <c r="E383" s="591"/>
      <c r="F383" s="591"/>
      <c r="G383" s="591"/>
      <c r="H383" s="591"/>
      <c r="I383" s="591"/>
      <c r="J383" s="646"/>
      <c r="K383" s="646"/>
      <c r="L383" s="647"/>
      <c r="M383" s="591"/>
      <c r="O383" s="646"/>
      <c r="P383" s="616"/>
      <c r="Q383" s="616"/>
      <c r="R383" s="616"/>
      <c r="S383" s="616"/>
      <c r="T383" s="616"/>
      <c r="U383" s="616"/>
      <c r="V383" s="616"/>
      <c r="W383" s="616"/>
      <c r="X383" s="616"/>
      <c r="Y383" s="616"/>
      <c r="Z383" s="616"/>
      <c r="AA383" s="616"/>
      <c r="AV383" s="39"/>
      <c r="AW383" s="39"/>
      <c r="AX383" s="39"/>
      <c r="AY383" s="39"/>
      <c r="AZ383" s="39"/>
      <c r="BA383" s="39"/>
    </row>
    <row r="384" spans="2:54" s="613" customFormat="1">
      <c r="B384" s="422"/>
      <c r="C384" s="1249"/>
      <c r="D384" s="1249"/>
      <c r="E384" s="1249"/>
      <c r="F384" s="1249"/>
      <c r="G384" s="1249"/>
      <c r="H384" s="1249"/>
      <c r="I384" s="1249"/>
      <c r="J384" s="1249"/>
      <c r="K384" s="1249"/>
      <c r="L384" s="644"/>
      <c r="M384" s="644"/>
      <c r="O384" s="641"/>
      <c r="P384" s="616"/>
      <c r="Q384" s="616"/>
      <c r="R384" s="616"/>
      <c r="S384" s="616"/>
      <c r="T384" s="616"/>
      <c r="U384" s="616"/>
      <c r="V384" s="616"/>
      <c r="W384" s="616"/>
      <c r="X384" s="616"/>
      <c r="Y384" s="616"/>
      <c r="Z384" s="616"/>
      <c r="AA384" s="616"/>
    </row>
    <row r="386" spans="2:54">
      <c r="B386" s="28" t="s">
        <v>126</v>
      </c>
      <c r="C386" s="28"/>
      <c r="D386" s="29"/>
      <c r="E386" s="30" t="s">
        <v>511</v>
      </c>
      <c r="F386" s="31" t="s">
        <v>2574</v>
      </c>
      <c r="G386" s="32"/>
      <c r="H386" s="33"/>
      <c r="I386" s="34"/>
      <c r="J386" s="35" t="s">
        <v>513</v>
      </c>
      <c r="K386" s="36" t="s">
        <v>511</v>
      </c>
      <c r="L386" s="306">
        <v>45195.0625</v>
      </c>
      <c r="M386" s="32"/>
      <c r="N386" s="32"/>
      <c r="O386" s="206"/>
      <c r="P386" s="205"/>
      <c r="Q386" s="202"/>
      <c r="R386" s="204"/>
      <c r="S386" s="38"/>
      <c r="T386" s="201"/>
      <c r="U386" s="201"/>
      <c r="V386" s="201"/>
      <c r="W386" s="201"/>
      <c r="X386" s="201"/>
      <c r="Y386" s="201"/>
      <c r="Z386" s="201"/>
      <c r="AA386" s="201"/>
      <c r="AB386" s="202"/>
      <c r="AC386" s="202"/>
      <c r="AD386" s="202"/>
      <c r="AE386" s="202"/>
      <c r="AF386" s="202"/>
      <c r="AG386" s="201"/>
      <c r="AH386" s="201"/>
      <c r="AI386" s="201"/>
      <c r="AJ386" s="201"/>
      <c r="AK386" s="201"/>
      <c r="AL386" s="201"/>
      <c r="AM386" s="201"/>
      <c r="AN386" s="201"/>
      <c r="AO386" s="201"/>
      <c r="AP386" s="201"/>
      <c r="AQ386" s="201"/>
      <c r="AR386" s="201"/>
      <c r="AS386" s="201"/>
      <c r="AT386" s="201"/>
      <c r="AU386" s="201"/>
      <c r="AV386" s="201"/>
      <c r="AW386" s="201"/>
      <c r="AX386" s="201"/>
      <c r="AY386" s="201"/>
      <c r="AZ386" s="201"/>
      <c r="BA386" s="201"/>
      <c r="BB386" s="201"/>
    </row>
    <row r="387" spans="2:54">
      <c r="B387" s="35" t="s">
        <v>514</v>
      </c>
      <c r="C387" s="35"/>
      <c r="D387" s="32"/>
      <c r="E387" s="36" t="s">
        <v>511</v>
      </c>
      <c r="F387" s="311" t="s">
        <v>2575</v>
      </c>
      <c r="G387" s="32"/>
      <c r="H387" s="33"/>
      <c r="I387" s="34"/>
      <c r="J387" s="35" t="s">
        <v>516</v>
      </c>
      <c r="K387" s="36" t="s">
        <v>511</v>
      </c>
      <c r="L387" s="37">
        <v>45198.159722222219</v>
      </c>
      <c r="M387" s="32"/>
      <c r="N387" s="32"/>
      <c r="O387" s="206"/>
      <c r="P387" s="205"/>
      <c r="Q387" s="202"/>
      <c r="R387" s="204"/>
      <c r="S387" s="38"/>
      <c r="T387" s="201"/>
      <c r="U387" s="201"/>
      <c r="V387" s="201"/>
      <c r="W387" s="201"/>
      <c r="X387" s="201"/>
      <c r="Y387" s="201"/>
      <c r="Z387" s="201"/>
      <c r="AA387" s="201"/>
      <c r="AB387" s="202"/>
      <c r="AC387" s="202"/>
      <c r="AD387" s="202"/>
      <c r="AE387" s="202"/>
      <c r="AF387" s="202"/>
      <c r="AG387" s="201"/>
      <c r="AH387" s="201"/>
      <c r="AI387" s="201"/>
      <c r="AJ387" s="201"/>
      <c r="AK387" s="201"/>
      <c r="AL387" s="201"/>
      <c r="AM387" s="201"/>
      <c r="AN387" s="201"/>
      <c r="AO387" s="201"/>
      <c r="AP387" s="201"/>
      <c r="AQ387" s="201"/>
      <c r="AR387" s="201"/>
      <c r="AS387" s="201"/>
      <c r="AT387" s="201"/>
      <c r="AU387" s="201"/>
      <c r="AV387" s="201"/>
      <c r="AW387" s="201"/>
      <c r="AX387" s="201"/>
      <c r="AY387" s="201"/>
      <c r="AZ387" s="201"/>
      <c r="BA387" s="201"/>
      <c r="BB387" s="201"/>
    </row>
    <row r="388" spans="2:54">
      <c r="B388" s="35" t="s">
        <v>517</v>
      </c>
      <c r="C388" s="35"/>
      <c r="D388" s="32"/>
      <c r="E388" s="36" t="s">
        <v>511</v>
      </c>
      <c r="F388" s="516">
        <v>45189.024305555555</v>
      </c>
      <c r="G388" s="32"/>
      <c r="H388" s="33"/>
      <c r="I388" s="34"/>
      <c r="J388" s="35" t="s">
        <v>518</v>
      </c>
      <c r="K388" s="36" t="s">
        <v>511</v>
      </c>
      <c r="L388" s="50">
        <v>54000</v>
      </c>
      <c r="M388" s="40" t="s">
        <v>519</v>
      </c>
      <c r="N388" s="40"/>
      <c r="O388" s="206"/>
      <c r="P388" s="205"/>
      <c r="Q388" s="202"/>
      <c r="R388" s="204"/>
      <c r="S388" s="38"/>
      <c r="T388" s="201"/>
      <c r="U388" s="201"/>
      <c r="V388" s="201"/>
      <c r="W388" s="201"/>
      <c r="X388" s="201"/>
      <c r="Y388" s="201"/>
      <c r="Z388" s="201"/>
      <c r="AA388" s="201"/>
      <c r="AB388" s="202"/>
      <c r="AC388" s="202"/>
      <c r="AD388" s="202"/>
      <c r="AE388" s="202"/>
      <c r="AF388" s="202"/>
      <c r="AG388" s="201"/>
      <c r="AH388" s="201"/>
      <c r="AI388" s="201"/>
      <c r="AJ388" s="201"/>
      <c r="AK388" s="201"/>
      <c r="AL388" s="201"/>
      <c r="AM388" s="201"/>
      <c r="AN388" s="201"/>
      <c r="AO388" s="201"/>
      <c r="AP388" s="201"/>
      <c r="AQ388" s="201"/>
      <c r="AR388" s="201"/>
      <c r="AS388" s="201"/>
      <c r="AT388" s="201"/>
      <c r="AU388" s="201"/>
      <c r="AV388" s="201"/>
      <c r="AW388" s="201"/>
      <c r="AX388" s="201"/>
      <c r="AY388" s="201"/>
      <c r="AZ388" s="201"/>
      <c r="BA388" s="201"/>
      <c r="BB388" s="201"/>
    </row>
    <row r="389" spans="2:54">
      <c r="B389" s="35" t="s">
        <v>520</v>
      </c>
      <c r="C389" s="35"/>
      <c r="D389" s="32"/>
      <c r="E389" s="36" t="s">
        <v>511</v>
      </c>
      <c r="F389" s="37" t="s">
        <v>4</v>
      </c>
      <c r="G389" s="32"/>
      <c r="H389" s="33"/>
      <c r="I389" s="34"/>
      <c r="J389" s="35" t="s">
        <v>521</v>
      </c>
      <c r="K389" s="36" t="s">
        <v>511</v>
      </c>
      <c r="L389" s="41" t="s">
        <v>2576</v>
      </c>
      <c r="M389" s="32"/>
      <c r="N389" s="32"/>
      <c r="O389" s="206"/>
      <c r="P389" s="202"/>
      <c r="Q389" s="202"/>
      <c r="R389" s="204"/>
      <c r="S389" s="38"/>
      <c r="T389" s="201"/>
      <c r="U389" s="201"/>
      <c r="V389" s="201"/>
      <c r="W389" s="201"/>
      <c r="X389" s="201"/>
      <c r="Y389" s="201"/>
      <c r="Z389" s="201"/>
      <c r="AA389" s="201"/>
      <c r="AB389" s="202"/>
      <c r="AC389" s="202"/>
      <c r="AD389" s="202"/>
      <c r="AE389" s="202"/>
      <c r="AF389" s="202"/>
      <c r="AG389" s="201"/>
      <c r="AH389" s="201"/>
      <c r="AI389" s="201"/>
      <c r="AJ389" s="201"/>
      <c r="AK389" s="201"/>
      <c r="AL389" s="201"/>
      <c r="AM389" s="201"/>
      <c r="AN389" s="201"/>
      <c r="AO389" s="201"/>
      <c r="AP389" s="201"/>
      <c r="AQ389" s="201"/>
      <c r="AR389" s="201"/>
      <c r="AS389" s="201"/>
      <c r="AT389" s="201"/>
      <c r="AU389" s="201"/>
      <c r="AV389" s="201"/>
      <c r="AW389" s="201"/>
      <c r="AX389" s="201"/>
      <c r="AY389" s="201"/>
      <c r="AZ389" s="201"/>
      <c r="BA389" s="201"/>
      <c r="BB389" s="201"/>
    </row>
    <row r="390" spans="2:54">
      <c r="B390" s="35" t="s">
        <v>523</v>
      </c>
      <c r="C390" s="35"/>
      <c r="D390" s="32"/>
      <c r="E390" s="36" t="s">
        <v>511</v>
      </c>
      <c r="F390" s="37" t="s">
        <v>5</v>
      </c>
      <c r="G390" s="32"/>
      <c r="H390" s="33"/>
      <c r="I390" s="34"/>
      <c r="J390" s="42" t="s">
        <v>524</v>
      </c>
      <c r="K390" s="36" t="s">
        <v>511</v>
      </c>
      <c r="L390" s="43" t="s">
        <v>11</v>
      </c>
      <c r="M390" s="44"/>
      <c r="N390" s="44"/>
      <c r="O390" s="206"/>
      <c r="P390" s="205"/>
      <c r="Q390" s="202"/>
      <c r="R390" s="204"/>
      <c r="S390" s="38"/>
      <c r="T390" s="201"/>
      <c r="U390" s="201"/>
      <c r="V390" s="201"/>
      <c r="W390" s="201"/>
      <c r="X390" s="201"/>
      <c r="Y390" s="201"/>
      <c r="Z390" s="201"/>
      <c r="AA390" s="201"/>
      <c r="AB390" s="202"/>
      <c r="AC390" s="202"/>
      <c r="AD390" s="202"/>
      <c r="AE390" s="202"/>
      <c r="AF390" s="202"/>
      <c r="AG390" s="201"/>
      <c r="AH390" s="201"/>
      <c r="AI390" s="201"/>
      <c r="AJ390" s="201"/>
      <c r="AK390" s="201"/>
      <c r="AL390" s="201"/>
      <c r="AM390" s="201"/>
      <c r="AN390" s="201"/>
      <c r="AO390" s="201"/>
      <c r="AP390" s="201"/>
      <c r="AQ390" s="201"/>
      <c r="AR390" s="201"/>
      <c r="AS390" s="201"/>
      <c r="AT390" s="201"/>
      <c r="AU390" s="201"/>
      <c r="AV390" s="201"/>
      <c r="AW390" s="201"/>
      <c r="AX390" s="201"/>
      <c r="AY390" s="201"/>
      <c r="AZ390" s="201"/>
      <c r="BA390" s="201"/>
      <c r="BB390" s="201"/>
    </row>
    <row r="391" spans="2:54">
      <c r="B391" s="35" t="s">
        <v>2</v>
      </c>
      <c r="C391" s="35"/>
      <c r="D391" s="32"/>
      <c r="E391" s="36" t="s">
        <v>511</v>
      </c>
      <c r="F391" s="37" t="s">
        <v>62</v>
      </c>
      <c r="G391" s="32"/>
      <c r="H391" s="33"/>
      <c r="I391" s="45"/>
      <c r="J391" s="42"/>
      <c r="K391" s="36"/>
      <c r="L391" s="211"/>
      <c r="M391" s="201"/>
      <c r="N391" s="201"/>
      <c r="O391" s="42"/>
      <c r="P391" s="44"/>
      <c r="Q391" s="44"/>
      <c r="R391" s="44"/>
      <c r="S391" s="34"/>
      <c r="T391" s="201"/>
      <c r="U391" s="201"/>
      <c r="V391" s="201"/>
      <c r="W391" s="201"/>
      <c r="X391" s="201"/>
      <c r="Y391" s="201"/>
      <c r="Z391" s="201"/>
      <c r="AA391" s="201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201"/>
      <c r="AP391" s="201"/>
      <c r="AQ391" s="201"/>
      <c r="AR391" s="201"/>
      <c r="AS391" s="201"/>
      <c r="AT391" s="201"/>
      <c r="AU391" s="201"/>
      <c r="AV391" s="201"/>
      <c r="AW391" s="201"/>
      <c r="AX391" s="201"/>
      <c r="AY391" s="201"/>
      <c r="AZ391" s="201"/>
      <c r="BA391" s="201"/>
      <c r="BB391" s="201"/>
    </row>
    <row r="392" spans="2:54">
      <c r="B392" s="201"/>
      <c r="C392" s="201"/>
      <c r="D392" s="201"/>
      <c r="E392" s="201"/>
      <c r="F392" s="201"/>
      <c r="G392" s="201"/>
      <c r="H392" s="201"/>
      <c r="I392" s="45"/>
      <c r="J392" s="42"/>
      <c r="K392" s="42"/>
      <c r="L392" s="43"/>
      <c r="M392" s="44"/>
      <c r="N392" s="44"/>
      <c r="O392" s="42"/>
      <c r="P392" s="44"/>
      <c r="Q392" s="44"/>
      <c r="R392" s="44"/>
      <c r="S392" s="34"/>
      <c r="T392" s="1265" t="s">
        <v>87</v>
      </c>
      <c r="U392" s="1265"/>
      <c r="V392" s="1265"/>
      <c r="W392" s="1265"/>
      <c r="X392" s="1265"/>
      <c r="Y392" s="1265" t="s">
        <v>73</v>
      </c>
      <c r="Z392" s="1265"/>
      <c r="AA392" s="1265"/>
      <c r="AB392" s="1265" t="s">
        <v>74</v>
      </c>
      <c r="AC392" s="1265"/>
      <c r="AD392" s="423" t="s">
        <v>85</v>
      </c>
      <c r="AE392" s="423" t="s">
        <v>77</v>
      </c>
      <c r="AF392" s="1265" t="s">
        <v>525</v>
      </c>
      <c r="AG392" s="1265"/>
      <c r="AH392" s="1265"/>
      <c r="AI392" s="1265"/>
      <c r="AJ392" s="1265"/>
      <c r="AK392" s="1265"/>
      <c r="AL392" s="1265"/>
      <c r="AM392" s="1265"/>
      <c r="AN392" s="1265"/>
      <c r="AO392" s="1265"/>
      <c r="AP392" s="1265"/>
      <c r="AQ392" s="1265"/>
      <c r="AR392" s="1265"/>
      <c r="AS392" s="1265"/>
      <c r="AT392" s="1265"/>
      <c r="AU392" s="1265"/>
      <c r="AV392" s="1265"/>
      <c r="AW392" s="1265"/>
      <c r="AX392" s="1265"/>
      <c r="AY392" s="1265"/>
      <c r="AZ392" s="1265"/>
      <c r="BA392" s="1265"/>
      <c r="BB392" s="201"/>
    </row>
    <row r="393" spans="2:54">
      <c r="B393" s="1266" t="s">
        <v>526</v>
      </c>
      <c r="C393" s="1267"/>
      <c r="D393" s="570" t="s">
        <v>527</v>
      </c>
      <c r="E393" s="570"/>
      <c r="F393" s="570" t="s">
        <v>528</v>
      </c>
      <c r="G393" s="570" t="s">
        <v>529</v>
      </c>
      <c r="H393" s="570" t="s">
        <v>530</v>
      </c>
      <c r="I393" s="570" t="s">
        <v>531</v>
      </c>
      <c r="J393" s="570" t="s">
        <v>532</v>
      </c>
      <c r="K393" s="570"/>
      <c r="L393" s="570" t="s">
        <v>130</v>
      </c>
      <c r="M393" s="570" t="s">
        <v>533</v>
      </c>
      <c r="N393" s="625" t="str">
        <f>"On time - "&amp;COUNTIF(N394:N414,"On time")&amp;" from "&amp;ROWS(N394:N414)-COUNTIF(N394:N414," ")</f>
        <v>On time - 0 from 8</v>
      </c>
      <c r="O393" s="46"/>
      <c r="P393" s="409" t="s">
        <v>534</v>
      </c>
      <c r="Q393" s="409" t="s">
        <v>535</v>
      </c>
      <c r="R393" s="409" t="s">
        <v>536</v>
      </c>
      <c r="S393" s="32"/>
      <c r="T393" s="424" t="s">
        <v>537</v>
      </c>
      <c r="U393" s="424" t="s">
        <v>538</v>
      </c>
      <c r="V393" s="424" t="s">
        <v>539</v>
      </c>
      <c r="W393" s="424" t="s">
        <v>540</v>
      </c>
      <c r="X393" s="424" t="s">
        <v>541</v>
      </c>
      <c r="Y393" s="424" t="s">
        <v>167</v>
      </c>
      <c r="Z393" s="424" t="s">
        <v>168</v>
      </c>
      <c r="AA393" s="424" t="s">
        <v>169</v>
      </c>
      <c r="AB393" s="424" t="s">
        <v>235</v>
      </c>
      <c r="AC393" s="424" t="s">
        <v>240</v>
      </c>
      <c r="AD393" s="423" t="s">
        <v>85</v>
      </c>
      <c r="AE393" s="424" t="s">
        <v>139</v>
      </c>
      <c r="AF393" s="424" t="s">
        <v>72</v>
      </c>
      <c r="AG393" s="424" t="s">
        <v>88</v>
      </c>
      <c r="AH393" s="424" t="s">
        <v>75</v>
      </c>
      <c r="AI393" s="424" t="s">
        <v>543</v>
      </c>
      <c r="AJ393" s="424" t="s">
        <v>78</v>
      </c>
      <c r="AK393" s="424" t="s">
        <v>76</v>
      </c>
      <c r="AL393" s="424" t="s">
        <v>544</v>
      </c>
      <c r="AM393" s="424" t="s">
        <v>545</v>
      </c>
      <c r="AN393" s="424" t="s">
        <v>86</v>
      </c>
      <c r="AO393" s="424" t="s">
        <v>83</v>
      </c>
      <c r="AP393" s="424" t="s">
        <v>84</v>
      </c>
      <c r="AQ393" s="424" t="s">
        <v>546</v>
      </c>
      <c r="AR393" s="424" t="s">
        <v>81</v>
      </c>
      <c r="AS393" s="424" t="s">
        <v>80</v>
      </c>
      <c r="AT393" s="424" t="s">
        <v>82</v>
      </c>
      <c r="AU393" s="424" t="s">
        <v>181</v>
      </c>
      <c r="AV393" s="424" t="s">
        <v>183</v>
      </c>
      <c r="AW393" s="424" t="s">
        <v>547</v>
      </c>
      <c r="AX393" s="424" t="s">
        <v>182</v>
      </c>
      <c r="AY393" s="424" t="s">
        <v>172</v>
      </c>
      <c r="AZ393" s="424" t="s">
        <v>173</v>
      </c>
      <c r="BA393" s="424" t="s">
        <v>184</v>
      </c>
      <c r="BB393" s="201"/>
    </row>
    <row r="394" spans="2:54">
      <c r="B394" s="1294" t="s">
        <v>668</v>
      </c>
      <c r="C394" s="1295"/>
      <c r="D394" s="436" t="s">
        <v>2577</v>
      </c>
      <c r="E394" s="652"/>
      <c r="F394" s="436" t="s">
        <v>1972</v>
      </c>
      <c r="G394" s="436" t="s">
        <v>1973</v>
      </c>
      <c r="H394" s="437">
        <v>7500</v>
      </c>
      <c r="I394" s="438" t="s">
        <v>76</v>
      </c>
      <c r="J394" s="439">
        <v>45191.604166666664</v>
      </c>
      <c r="K394" s="439"/>
      <c r="L394" s="439" t="s">
        <v>192</v>
      </c>
      <c r="M394" s="439" t="s">
        <v>192</v>
      </c>
      <c r="N394" s="438" t="str">
        <f>IF(ISBLANK(J394)," ",IF(J394&lt;$F$388,"On time",(IF(DAY(J394-$F$388)&lt;1,"On time",(IF(J394&gt;$F$388,"DELAY ( "&amp;DAY(J394-$F$388)&amp;" day "&amp;HOUR(J394-$F$388)&amp;" hour "&amp;MINUTE(J394-$F$388)&amp;" minute )","xxx"))))))</f>
        <v>DELAY ( 2 day 13 hour 55 minute )</v>
      </c>
      <c r="O394" s="308"/>
      <c r="P394" s="440" t="s">
        <v>551</v>
      </c>
      <c r="Q394" s="440" t="s">
        <v>551</v>
      </c>
      <c r="R394" s="440" t="s">
        <v>551</v>
      </c>
      <c r="S394" s="201"/>
      <c r="T394" s="441"/>
      <c r="U394" s="441"/>
      <c r="V394" s="441"/>
      <c r="W394" s="441"/>
      <c r="X394" s="441"/>
      <c r="Y394" s="441"/>
      <c r="Z394" s="441"/>
      <c r="AA394" s="441"/>
      <c r="AB394" s="441"/>
      <c r="AC394" s="441"/>
      <c r="AD394" s="441"/>
      <c r="AE394" s="441"/>
      <c r="AF394" s="441"/>
      <c r="AG394" s="441"/>
      <c r="AH394" s="441"/>
      <c r="AI394" s="441"/>
      <c r="AJ394" s="441"/>
      <c r="AK394" s="441">
        <f>H394</f>
        <v>7500</v>
      </c>
      <c r="AL394" s="441"/>
      <c r="AM394" s="441"/>
      <c r="AN394" s="441"/>
      <c r="AO394" s="441"/>
      <c r="AP394" s="441"/>
      <c r="AQ394" s="441"/>
      <c r="AR394" s="441"/>
      <c r="AS394" s="441"/>
      <c r="AT394" s="441"/>
      <c r="AU394" s="441"/>
      <c r="AV394" s="441"/>
      <c r="AW394" s="441"/>
      <c r="AX394" s="441"/>
      <c r="AY394" s="441"/>
      <c r="AZ394" s="441"/>
      <c r="BA394" s="441"/>
      <c r="BB394" s="201"/>
    </row>
    <row r="395" spans="2:54">
      <c r="B395" s="1294" t="s">
        <v>616</v>
      </c>
      <c r="C395" s="1295"/>
      <c r="D395" s="436" t="s">
        <v>2578</v>
      </c>
      <c r="E395" s="652"/>
      <c r="F395" s="436" t="s">
        <v>343</v>
      </c>
      <c r="G395" s="436" t="s">
        <v>344</v>
      </c>
      <c r="H395" s="437">
        <v>7529.8010000000004</v>
      </c>
      <c r="I395" s="438" t="s">
        <v>742</v>
      </c>
      <c r="J395" s="439">
        <v>45192.5</v>
      </c>
      <c r="K395" s="439"/>
      <c r="L395" s="439" t="s">
        <v>192</v>
      </c>
      <c r="M395" s="439" t="s">
        <v>192</v>
      </c>
      <c r="N395" s="438" t="str">
        <f t="shared" ref="N395:N414" si="44">IF(ISBLANK(J395)," ",IF(J395&lt;$F$388,"On time",(IF(DAY(J395-$F$388)&lt;1,"On time",(IF(J395&gt;$F$388,"DELAY ( "&amp;DAY(J395-$F$388)&amp;" day "&amp;HOUR(J395-$F$388)&amp;" hour "&amp;MINUTE(J395-$F$388)&amp;" minute )","xxx"))))))</f>
        <v>DELAY ( 3 day 11 hour 25 minute )</v>
      </c>
      <c r="O395" s="308"/>
      <c r="P395" s="440" t="s">
        <v>551</v>
      </c>
      <c r="Q395" s="440" t="s">
        <v>551</v>
      </c>
      <c r="R395" s="440" t="s">
        <v>551</v>
      </c>
      <c r="S395" s="201"/>
      <c r="T395" s="441"/>
      <c r="U395" s="441"/>
      <c r="V395" s="441"/>
      <c r="W395" s="441"/>
      <c r="X395" s="441"/>
      <c r="Y395" s="441"/>
      <c r="Z395" s="441"/>
      <c r="AA395" s="441"/>
      <c r="AB395" s="441">
        <f>H395*0.7</f>
        <v>5270.8607000000002</v>
      </c>
      <c r="AC395" s="441">
        <f>H395*0.3</f>
        <v>2258.9403000000002</v>
      </c>
      <c r="AD395" s="441"/>
      <c r="AE395" s="441"/>
      <c r="AF395" s="441"/>
      <c r="AG395" s="441"/>
      <c r="AH395" s="441"/>
      <c r="AI395" s="441"/>
      <c r="AJ395" s="441"/>
      <c r="AK395" s="441"/>
      <c r="AL395" s="441"/>
      <c r="AM395" s="441"/>
      <c r="AN395" s="441"/>
      <c r="AO395" s="441"/>
      <c r="AP395" s="441"/>
      <c r="AQ395" s="441"/>
      <c r="AR395" s="441"/>
      <c r="AS395" s="441"/>
      <c r="AT395" s="441"/>
      <c r="AU395" s="441"/>
      <c r="AV395" s="441"/>
      <c r="AW395" s="441"/>
      <c r="AX395" s="441"/>
      <c r="AY395" s="441"/>
      <c r="AZ395" s="441"/>
      <c r="BA395" s="441"/>
      <c r="BB395" s="201"/>
    </row>
    <row r="396" spans="2:54">
      <c r="B396" s="1294" t="s">
        <v>616</v>
      </c>
      <c r="C396" s="1295"/>
      <c r="D396" s="436" t="s">
        <v>2579</v>
      </c>
      <c r="E396" s="652"/>
      <c r="F396" s="436" t="s">
        <v>406</v>
      </c>
      <c r="G396" s="436" t="s">
        <v>407</v>
      </c>
      <c r="H396" s="437">
        <v>7515.4279999999999</v>
      </c>
      <c r="I396" s="438" t="s">
        <v>742</v>
      </c>
      <c r="J396" s="439">
        <v>45192.361111111109</v>
      </c>
      <c r="K396" s="439"/>
      <c r="L396" s="439" t="s">
        <v>192</v>
      </c>
      <c r="M396" s="439" t="s">
        <v>192</v>
      </c>
      <c r="N396" s="438" t="str">
        <f t="shared" si="44"/>
        <v>DELAY ( 3 day 8 hour 5 minute )</v>
      </c>
      <c r="O396" s="308"/>
      <c r="P396" s="440" t="s">
        <v>551</v>
      </c>
      <c r="Q396" s="440" t="s">
        <v>551</v>
      </c>
      <c r="R396" s="440" t="s">
        <v>551</v>
      </c>
      <c r="S396" s="201"/>
      <c r="T396" s="441"/>
      <c r="U396" s="441"/>
      <c r="V396" s="441"/>
      <c r="W396" s="441"/>
      <c r="X396" s="441"/>
      <c r="Y396" s="441"/>
      <c r="Z396" s="441"/>
      <c r="AA396" s="441"/>
      <c r="AB396" s="441">
        <f>H396*0.7</f>
        <v>5260.7995999999994</v>
      </c>
      <c r="AC396" s="441">
        <f>H396*0.3</f>
        <v>2254.6284000000001</v>
      </c>
      <c r="AD396" s="441"/>
      <c r="AE396" s="441"/>
      <c r="AF396" s="441"/>
      <c r="AG396" s="441"/>
      <c r="AH396" s="441"/>
      <c r="AI396" s="441"/>
      <c r="AJ396" s="441"/>
      <c r="AK396" s="441"/>
      <c r="AL396" s="441"/>
      <c r="AM396" s="441"/>
      <c r="AN396" s="441"/>
      <c r="AO396" s="441"/>
      <c r="AP396" s="441"/>
      <c r="AQ396" s="441"/>
      <c r="AR396" s="441"/>
      <c r="AS396" s="441"/>
      <c r="AT396" s="441"/>
      <c r="AU396" s="441"/>
      <c r="AV396" s="441"/>
      <c r="AW396" s="441"/>
      <c r="AX396" s="441"/>
      <c r="AY396" s="441"/>
      <c r="AZ396" s="441"/>
      <c r="BA396" s="441"/>
      <c r="BB396" s="201"/>
    </row>
    <row r="397" spans="2:54">
      <c r="B397" s="1258" t="s">
        <v>1721</v>
      </c>
      <c r="C397" s="1259"/>
      <c r="D397" s="1259"/>
      <c r="E397" s="1259"/>
      <c r="F397" s="1259"/>
      <c r="G397" s="1260"/>
      <c r="H397" s="417">
        <f>SUM(H394:H396)</f>
        <v>22545.228999999999</v>
      </c>
      <c r="I397" s="388"/>
      <c r="J397" s="293"/>
      <c r="K397" s="293"/>
      <c r="L397" s="293"/>
      <c r="M397" s="389"/>
      <c r="N397" s="438" t="str">
        <f t="shared" si="44"/>
        <v xml:space="preserve"> </v>
      </c>
      <c r="O397" s="47"/>
      <c r="P397" s="418"/>
      <c r="Q397" s="418"/>
      <c r="R397" s="418"/>
      <c r="S397" s="32"/>
      <c r="T397" s="416"/>
      <c r="U397" s="416"/>
      <c r="V397" s="416"/>
      <c r="W397" s="416"/>
      <c r="X397" s="416"/>
      <c r="Y397" s="416"/>
      <c r="Z397" s="416"/>
      <c r="AA397" s="416"/>
      <c r="AB397" s="416"/>
      <c r="AC397" s="416"/>
      <c r="AD397" s="416"/>
      <c r="AE397" s="416"/>
      <c r="AF397" s="416"/>
      <c r="AG397" s="416"/>
      <c r="AH397" s="416"/>
      <c r="AI397" s="416"/>
      <c r="AJ397" s="416"/>
      <c r="AK397" s="416"/>
      <c r="AL397" s="416"/>
      <c r="AM397" s="416"/>
      <c r="AN397" s="416"/>
      <c r="AO397" s="416"/>
      <c r="AP397" s="416"/>
      <c r="AQ397" s="416"/>
      <c r="AR397" s="416"/>
      <c r="AS397" s="416"/>
      <c r="AT397" s="416"/>
      <c r="AU397" s="416"/>
      <c r="AV397" s="416"/>
      <c r="AW397" s="416"/>
      <c r="AX397" s="416"/>
      <c r="AY397" s="416"/>
      <c r="AZ397" s="416"/>
      <c r="BA397" s="416"/>
    </row>
    <row r="398" spans="2:54">
      <c r="B398" s="1250" t="s">
        <v>619</v>
      </c>
      <c r="C398" s="1251"/>
      <c r="D398" s="411" t="s">
        <v>2580</v>
      </c>
      <c r="E398" s="411"/>
      <c r="F398" s="411" t="s">
        <v>310</v>
      </c>
      <c r="G398" s="411" t="s">
        <v>219</v>
      </c>
      <c r="H398" s="412">
        <v>7595.866</v>
      </c>
      <c r="I398" s="413" t="s">
        <v>1968</v>
      </c>
      <c r="J398" s="414">
        <v>45193.385416666664</v>
      </c>
      <c r="K398" s="414"/>
      <c r="L398" s="439" t="s">
        <v>192</v>
      </c>
      <c r="M398" s="439" t="s">
        <v>192</v>
      </c>
      <c r="N398" s="438" t="str">
        <f t="shared" si="44"/>
        <v>DELAY ( 4 day 8 hour 40 minute )</v>
      </c>
      <c r="O398" s="51"/>
      <c r="P398" s="415" t="s">
        <v>551</v>
      </c>
      <c r="Q398" s="415" t="s">
        <v>551</v>
      </c>
      <c r="R398" s="415" t="s">
        <v>551</v>
      </c>
      <c r="S398" s="32"/>
      <c r="T398" s="416"/>
      <c r="U398" s="416"/>
      <c r="V398" s="416"/>
      <c r="W398" s="416"/>
      <c r="X398" s="416"/>
      <c r="Y398" s="416">
        <f>H398*0.7</f>
        <v>5317.1061999999993</v>
      </c>
      <c r="Z398" s="416">
        <f>H398*0.3</f>
        <v>2278.7597999999998</v>
      </c>
      <c r="AA398" s="416"/>
      <c r="AB398" s="416"/>
      <c r="AC398" s="416"/>
      <c r="AD398" s="416"/>
      <c r="AE398" s="416"/>
      <c r="AF398" s="416"/>
      <c r="AG398" s="416"/>
      <c r="AH398" s="416"/>
      <c r="AI398" s="416"/>
      <c r="AJ398" s="416"/>
      <c r="AK398" s="416"/>
      <c r="AL398" s="416"/>
      <c r="AM398" s="416"/>
      <c r="AN398" s="416"/>
      <c r="AO398" s="416"/>
      <c r="AP398" s="416"/>
      <c r="AQ398" s="416"/>
      <c r="AR398" s="416"/>
      <c r="AS398" s="416"/>
      <c r="AT398" s="416"/>
      <c r="AU398" s="416"/>
      <c r="AV398" s="416"/>
      <c r="AW398" s="416"/>
      <c r="AX398" s="416"/>
      <c r="AY398" s="416"/>
      <c r="AZ398" s="416"/>
      <c r="BA398" s="416"/>
      <c r="BB398" s="32"/>
    </row>
    <row r="399" spans="2:54">
      <c r="B399" s="1252"/>
      <c r="C399" s="1253"/>
      <c r="D399" s="411"/>
      <c r="E399" s="411"/>
      <c r="F399" s="1256" t="s">
        <v>668</v>
      </c>
      <c r="G399" s="1257"/>
      <c r="H399" s="412">
        <v>1300</v>
      </c>
      <c r="I399" s="413"/>
      <c r="J399" s="414"/>
      <c r="K399" s="414"/>
      <c r="L399" s="414"/>
      <c r="M399" s="414"/>
      <c r="N399" s="438" t="str">
        <f t="shared" si="44"/>
        <v xml:space="preserve"> </v>
      </c>
      <c r="O399" s="51"/>
      <c r="P399" s="415"/>
      <c r="Q399" s="415"/>
      <c r="R399" s="415"/>
      <c r="S399" s="32"/>
      <c r="T399" s="416"/>
      <c r="U399" s="416"/>
      <c r="V399" s="416"/>
      <c r="W399" s="416"/>
      <c r="X399" s="416"/>
      <c r="Y399" s="416"/>
      <c r="Z399" s="416"/>
      <c r="AA399" s="416"/>
      <c r="AB399" s="416"/>
      <c r="AC399" s="416"/>
      <c r="AD399" s="416"/>
      <c r="AE399" s="416"/>
      <c r="AF399" s="416"/>
      <c r="AG399" s="416"/>
      <c r="AH399" s="416"/>
      <c r="AI399" s="416"/>
      <c r="AJ399" s="416"/>
      <c r="AK399" s="416"/>
      <c r="AL399" s="416"/>
      <c r="AM399" s="416"/>
      <c r="AN399" s="416"/>
      <c r="AO399" s="416"/>
      <c r="AP399" s="416"/>
      <c r="AQ399" s="416"/>
      <c r="AR399" s="416"/>
      <c r="AS399" s="416"/>
      <c r="AT399" s="416"/>
      <c r="AU399" s="416"/>
      <c r="AV399" s="416"/>
      <c r="AW399" s="416"/>
      <c r="AX399" s="416"/>
      <c r="AY399" s="416"/>
      <c r="AZ399" s="416"/>
      <c r="BA399" s="416"/>
      <c r="BB399" s="32"/>
    </row>
    <row r="400" spans="2:54">
      <c r="B400" s="1254"/>
      <c r="C400" s="1255"/>
      <c r="D400" s="411"/>
      <c r="E400" s="411"/>
      <c r="F400" s="1256" t="s">
        <v>616</v>
      </c>
      <c r="G400" s="1257"/>
      <c r="H400" s="412">
        <v>3645</v>
      </c>
      <c r="I400" s="413"/>
      <c r="J400" s="414"/>
      <c r="K400" s="414"/>
      <c r="L400" s="414"/>
      <c r="M400" s="414"/>
      <c r="N400" s="438" t="str">
        <f t="shared" si="44"/>
        <v xml:space="preserve"> </v>
      </c>
      <c r="O400" s="51"/>
      <c r="P400" s="415"/>
      <c r="Q400" s="415"/>
      <c r="R400" s="415"/>
      <c r="S400" s="32"/>
      <c r="T400" s="416"/>
      <c r="U400" s="416"/>
      <c r="V400" s="416"/>
      <c r="W400" s="416"/>
      <c r="X400" s="416"/>
      <c r="Y400" s="416"/>
      <c r="Z400" s="416"/>
      <c r="AA400" s="416"/>
      <c r="AB400" s="416"/>
      <c r="AC400" s="416"/>
      <c r="AD400" s="416"/>
      <c r="AE400" s="416"/>
      <c r="AF400" s="416"/>
      <c r="AG400" s="416"/>
      <c r="AH400" s="416"/>
      <c r="AI400" s="416"/>
      <c r="AJ400" s="416"/>
      <c r="AK400" s="416"/>
      <c r="AL400" s="416"/>
      <c r="AM400" s="416"/>
      <c r="AN400" s="416"/>
      <c r="AO400" s="416"/>
      <c r="AP400" s="416"/>
      <c r="AQ400" s="416"/>
      <c r="AR400" s="416"/>
      <c r="AS400" s="416"/>
      <c r="AT400" s="416"/>
      <c r="AU400" s="416"/>
      <c r="AV400" s="416"/>
      <c r="AW400" s="416"/>
      <c r="AX400" s="416"/>
      <c r="AY400" s="416"/>
      <c r="AZ400" s="416"/>
      <c r="BA400" s="416"/>
      <c r="BB400" s="32"/>
    </row>
    <row r="401" spans="2:54">
      <c r="B401" s="1250" t="s">
        <v>621</v>
      </c>
      <c r="C401" s="1251"/>
      <c r="D401" s="411" t="s">
        <v>2581</v>
      </c>
      <c r="E401" s="411"/>
      <c r="F401" s="411" t="s">
        <v>422</v>
      </c>
      <c r="G401" s="411" t="s">
        <v>375</v>
      </c>
      <c r="H401" s="412">
        <v>7449.1790000000001</v>
      </c>
      <c r="I401" s="413" t="s">
        <v>1968</v>
      </c>
      <c r="J401" s="414">
        <v>45193.493055555555</v>
      </c>
      <c r="K401" s="414"/>
      <c r="L401" s="439" t="s">
        <v>192</v>
      </c>
      <c r="M401" s="439" t="s">
        <v>192</v>
      </c>
      <c r="N401" s="438" t="str">
        <f t="shared" si="44"/>
        <v>DELAY ( 4 day 11 hour 15 minute )</v>
      </c>
      <c r="O401" s="51"/>
      <c r="P401" s="415" t="s">
        <v>551</v>
      </c>
      <c r="Q401" s="415" t="s">
        <v>551</v>
      </c>
      <c r="R401" s="415" t="s">
        <v>551</v>
      </c>
      <c r="S401" s="32"/>
      <c r="T401" s="416"/>
      <c r="U401" s="416"/>
      <c r="V401" s="416"/>
      <c r="W401" s="416"/>
      <c r="X401" s="416"/>
      <c r="Y401" s="416">
        <f>H401*0.7</f>
        <v>5214.4252999999999</v>
      </c>
      <c r="Z401" s="416">
        <f>H401*0.3</f>
        <v>2234.7536999999998</v>
      </c>
      <c r="AA401" s="416"/>
      <c r="AB401" s="416"/>
      <c r="AC401" s="416"/>
      <c r="AD401" s="416"/>
      <c r="AE401" s="416"/>
      <c r="AF401" s="416"/>
      <c r="AG401" s="416"/>
      <c r="AH401" s="416"/>
      <c r="AI401" s="416"/>
      <c r="AJ401" s="416"/>
      <c r="AK401" s="416"/>
      <c r="AL401" s="416"/>
      <c r="AM401" s="416"/>
      <c r="AN401" s="416"/>
      <c r="AO401" s="416"/>
      <c r="AP401" s="416"/>
      <c r="AQ401" s="416"/>
      <c r="AR401" s="416"/>
      <c r="AS401" s="416"/>
      <c r="AT401" s="416"/>
      <c r="AU401" s="416"/>
      <c r="AV401" s="416"/>
      <c r="AW401" s="416"/>
      <c r="AX401" s="416"/>
      <c r="AY401" s="416"/>
      <c r="AZ401" s="416"/>
      <c r="BA401" s="416"/>
      <c r="BB401" s="32"/>
    </row>
    <row r="402" spans="2:54">
      <c r="B402" s="1252"/>
      <c r="C402" s="1253"/>
      <c r="D402" s="411"/>
      <c r="E402" s="411"/>
      <c r="F402" s="1256" t="s">
        <v>668</v>
      </c>
      <c r="G402" s="1257"/>
      <c r="H402" s="412">
        <v>1100</v>
      </c>
      <c r="I402" s="413"/>
      <c r="J402" s="414"/>
      <c r="K402" s="414"/>
      <c r="L402" s="414"/>
      <c r="M402" s="414"/>
      <c r="N402" s="438" t="str">
        <f t="shared" si="44"/>
        <v xml:space="preserve"> </v>
      </c>
      <c r="O402" s="51"/>
      <c r="P402" s="415"/>
      <c r="Q402" s="415"/>
      <c r="R402" s="415"/>
      <c r="S402" s="32"/>
      <c r="T402" s="416"/>
      <c r="U402" s="416"/>
      <c r="V402" s="416"/>
      <c r="W402" s="416"/>
      <c r="X402" s="416"/>
      <c r="Y402" s="416"/>
      <c r="Z402" s="416"/>
      <c r="AA402" s="416"/>
      <c r="AB402" s="416"/>
      <c r="AC402" s="416"/>
      <c r="AD402" s="416"/>
      <c r="AE402" s="416"/>
      <c r="AF402" s="416"/>
      <c r="AG402" s="416"/>
      <c r="AH402" s="416"/>
      <c r="AI402" s="416"/>
      <c r="AJ402" s="416"/>
      <c r="AK402" s="416"/>
      <c r="AL402" s="416"/>
      <c r="AM402" s="416"/>
      <c r="AN402" s="416"/>
      <c r="AO402" s="416"/>
      <c r="AP402" s="416"/>
      <c r="AQ402" s="416"/>
      <c r="AR402" s="416"/>
      <c r="AS402" s="416"/>
      <c r="AT402" s="416"/>
      <c r="AU402" s="416"/>
      <c r="AV402" s="416"/>
      <c r="AW402" s="416"/>
      <c r="AX402" s="416"/>
      <c r="AY402" s="416"/>
      <c r="AZ402" s="416"/>
      <c r="BA402" s="416"/>
      <c r="BB402" s="32"/>
    </row>
    <row r="403" spans="2:54">
      <c r="B403" s="1254"/>
      <c r="C403" s="1255"/>
      <c r="D403" s="411"/>
      <c r="E403" s="411"/>
      <c r="F403" s="1256" t="s">
        <v>616</v>
      </c>
      <c r="G403" s="1257"/>
      <c r="H403" s="412">
        <v>3300</v>
      </c>
      <c r="I403" s="413"/>
      <c r="J403" s="414"/>
      <c r="K403" s="414"/>
      <c r="L403" s="414"/>
      <c r="M403" s="414"/>
      <c r="N403" s="438" t="str">
        <f t="shared" si="44"/>
        <v xml:space="preserve"> </v>
      </c>
      <c r="O403" s="51"/>
      <c r="P403" s="415"/>
      <c r="Q403" s="415"/>
      <c r="R403" s="415"/>
      <c r="S403" s="32"/>
      <c r="T403" s="416"/>
      <c r="U403" s="416"/>
      <c r="V403" s="416"/>
      <c r="W403" s="416"/>
      <c r="X403" s="416"/>
      <c r="Y403" s="416"/>
      <c r="Z403" s="416"/>
      <c r="AA403" s="416"/>
      <c r="AB403" s="416"/>
      <c r="AC403" s="416"/>
      <c r="AD403" s="416"/>
      <c r="AE403" s="416"/>
      <c r="AF403" s="416"/>
      <c r="AG403" s="416"/>
      <c r="AH403" s="416"/>
      <c r="AI403" s="416"/>
      <c r="AJ403" s="416"/>
      <c r="AK403" s="416"/>
      <c r="AL403" s="416"/>
      <c r="AM403" s="416"/>
      <c r="AN403" s="416"/>
      <c r="AO403" s="416"/>
      <c r="AP403" s="416"/>
      <c r="AQ403" s="416"/>
      <c r="AR403" s="416"/>
      <c r="AS403" s="416"/>
      <c r="AT403" s="416"/>
      <c r="AU403" s="416"/>
      <c r="AV403" s="416"/>
      <c r="AW403" s="416"/>
      <c r="AX403" s="416"/>
      <c r="AY403" s="416"/>
      <c r="AZ403" s="416"/>
      <c r="BA403" s="416"/>
      <c r="BB403" s="32"/>
    </row>
    <row r="404" spans="2:54">
      <c r="B404" s="1250" t="s">
        <v>622</v>
      </c>
      <c r="C404" s="1251"/>
      <c r="D404" s="411" t="s">
        <v>2582</v>
      </c>
      <c r="E404" s="411"/>
      <c r="F404" s="411" t="s">
        <v>2207</v>
      </c>
      <c r="G404" s="411" t="s">
        <v>2208</v>
      </c>
      <c r="H404" s="412">
        <v>7348.8040000000001</v>
      </c>
      <c r="I404" s="413" t="s">
        <v>1968</v>
      </c>
      <c r="J404" s="414">
        <v>45193.510416666664</v>
      </c>
      <c r="K404" s="414"/>
      <c r="L404" s="439" t="s">
        <v>192</v>
      </c>
      <c r="M404" s="439" t="s">
        <v>192</v>
      </c>
      <c r="N404" s="438" t="str">
        <f t="shared" si="44"/>
        <v>DELAY ( 4 day 11 hour 40 minute )</v>
      </c>
      <c r="O404" s="51"/>
      <c r="P404" s="415" t="s">
        <v>551</v>
      </c>
      <c r="Q404" s="415" t="s">
        <v>551</v>
      </c>
      <c r="R404" s="415" t="s">
        <v>551</v>
      </c>
      <c r="S404" s="32"/>
      <c r="T404" s="416"/>
      <c r="U404" s="416"/>
      <c r="V404" s="416"/>
      <c r="W404" s="416"/>
      <c r="X404" s="416"/>
      <c r="Y404" s="416">
        <f>H404*0.7</f>
        <v>5144.1628000000001</v>
      </c>
      <c r="Z404" s="416">
        <f>H404*0.3</f>
        <v>2204.6412</v>
      </c>
      <c r="AA404" s="416"/>
      <c r="AB404" s="416"/>
      <c r="AC404" s="416"/>
      <c r="AD404" s="416"/>
      <c r="AE404" s="416"/>
      <c r="AF404" s="416"/>
      <c r="AG404" s="416"/>
      <c r="AH404" s="416"/>
      <c r="AI404" s="416"/>
      <c r="AJ404" s="416"/>
      <c r="AK404" s="416"/>
      <c r="AL404" s="416"/>
      <c r="AM404" s="416"/>
      <c r="AN404" s="416"/>
      <c r="AO404" s="416"/>
      <c r="AP404" s="416"/>
      <c r="AQ404" s="416"/>
      <c r="AR404" s="416"/>
      <c r="AS404" s="416"/>
      <c r="AT404" s="416"/>
      <c r="AU404" s="416"/>
      <c r="AV404" s="416"/>
      <c r="AW404" s="416"/>
      <c r="AX404" s="416"/>
      <c r="AY404" s="416"/>
      <c r="AZ404" s="416"/>
      <c r="BA404" s="416"/>
      <c r="BB404" s="32"/>
    </row>
    <row r="405" spans="2:54">
      <c r="B405" s="1252"/>
      <c r="C405" s="1253"/>
      <c r="D405" s="411"/>
      <c r="E405" s="411"/>
      <c r="F405" s="1256" t="s">
        <v>668</v>
      </c>
      <c r="G405" s="1257"/>
      <c r="H405" s="412">
        <v>1600</v>
      </c>
      <c r="I405" s="413"/>
      <c r="J405" s="414"/>
      <c r="K405" s="414"/>
      <c r="L405" s="414"/>
      <c r="M405" s="414"/>
      <c r="N405" s="438" t="str">
        <f t="shared" si="44"/>
        <v xml:space="preserve"> </v>
      </c>
      <c r="O405" s="51"/>
      <c r="P405" s="415"/>
      <c r="Q405" s="415"/>
      <c r="R405" s="415"/>
      <c r="S405" s="32"/>
      <c r="T405" s="416"/>
      <c r="U405" s="416"/>
      <c r="V405" s="416"/>
      <c r="W405" s="416"/>
      <c r="X405" s="416"/>
      <c r="Y405" s="416"/>
      <c r="Z405" s="416"/>
      <c r="AA405" s="416"/>
      <c r="AB405" s="416"/>
      <c r="AC405" s="416"/>
      <c r="AD405" s="416"/>
      <c r="AE405" s="416"/>
      <c r="AF405" s="416"/>
      <c r="AG405" s="416"/>
      <c r="AH405" s="416"/>
      <c r="AI405" s="416"/>
      <c r="AJ405" s="416"/>
      <c r="AK405" s="416"/>
      <c r="AL405" s="416"/>
      <c r="AM405" s="416"/>
      <c r="AN405" s="416"/>
      <c r="AO405" s="416"/>
      <c r="AP405" s="416"/>
      <c r="AQ405" s="416"/>
      <c r="AR405" s="416"/>
      <c r="AS405" s="416"/>
      <c r="AT405" s="416"/>
      <c r="AU405" s="416"/>
      <c r="AV405" s="416"/>
      <c r="AW405" s="416"/>
      <c r="AX405" s="416"/>
      <c r="AY405" s="416"/>
      <c r="AZ405" s="416"/>
      <c r="BA405" s="416"/>
      <c r="BB405" s="32"/>
    </row>
    <row r="406" spans="2:54">
      <c r="B406" s="1254"/>
      <c r="C406" s="1255"/>
      <c r="D406" s="411"/>
      <c r="E406" s="411"/>
      <c r="F406" s="1256" t="s">
        <v>616</v>
      </c>
      <c r="G406" s="1257"/>
      <c r="H406" s="412">
        <v>3000</v>
      </c>
      <c r="I406" s="413"/>
      <c r="J406" s="414"/>
      <c r="K406" s="414"/>
      <c r="L406" s="414"/>
      <c r="M406" s="414"/>
      <c r="N406" s="438" t="str">
        <f t="shared" si="44"/>
        <v xml:space="preserve"> </v>
      </c>
      <c r="O406" s="51"/>
      <c r="P406" s="415"/>
      <c r="Q406" s="415"/>
      <c r="R406" s="415"/>
      <c r="S406" s="32"/>
      <c r="T406" s="416"/>
      <c r="U406" s="416"/>
      <c r="V406" s="416"/>
      <c r="W406" s="416"/>
      <c r="X406" s="416"/>
      <c r="Y406" s="416"/>
      <c r="Z406" s="416"/>
      <c r="AA406" s="416"/>
      <c r="AB406" s="416"/>
      <c r="AC406" s="416"/>
      <c r="AD406" s="416"/>
      <c r="AE406" s="416"/>
      <c r="AF406" s="416"/>
      <c r="AG406" s="416"/>
      <c r="AH406" s="416"/>
      <c r="AI406" s="416"/>
      <c r="AJ406" s="416"/>
      <c r="AK406" s="416"/>
      <c r="AL406" s="416"/>
      <c r="AM406" s="416"/>
      <c r="AN406" s="416"/>
      <c r="AO406" s="416"/>
      <c r="AP406" s="416"/>
      <c r="AQ406" s="416"/>
      <c r="AR406" s="416"/>
      <c r="AS406" s="416"/>
      <c r="AT406" s="416"/>
      <c r="AU406" s="416"/>
      <c r="AV406" s="416"/>
      <c r="AW406" s="416"/>
      <c r="AX406" s="416"/>
      <c r="AY406" s="416"/>
      <c r="AZ406" s="416"/>
      <c r="BA406" s="416"/>
      <c r="BB406" s="32"/>
    </row>
    <row r="407" spans="2:54">
      <c r="B407" s="1250" t="s">
        <v>623</v>
      </c>
      <c r="C407" s="1251"/>
      <c r="D407" s="411" t="s">
        <v>2539</v>
      </c>
      <c r="E407" s="411"/>
      <c r="F407" s="411" t="s">
        <v>346</v>
      </c>
      <c r="G407" s="411" t="s">
        <v>347</v>
      </c>
      <c r="H407" s="412">
        <v>7233.4250000000002</v>
      </c>
      <c r="I407" s="413" t="s">
        <v>1968</v>
      </c>
      <c r="J407" s="414">
        <v>45193.090277777781</v>
      </c>
      <c r="K407" s="414"/>
      <c r="L407" s="439" t="s">
        <v>192</v>
      </c>
      <c r="M407" s="439" t="s">
        <v>192</v>
      </c>
      <c r="N407" s="438" t="str">
        <f t="shared" si="44"/>
        <v>DELAY ( 4 day 1 hour 35 minute )</v>
      </c>
      <c r="O407" s="51"/>
      <c r="P407" s="415" t="s">
        <v>551</v>
      </c>
      <c r="Q407" s="415" t="s">
        <v>551</v>
      </c>
      <c r="R407" s="415" t="s">
        <v>551</v>
      </c>
      <c r="S407" s="32"/>
      <c r="T407" s="416"/>
      <c r="U407" s="416"/>
      <c r="V407" s="416"/>
      <c r="W407" s="416"/>
      <c r="X407" s="416"/>
      <c r="Y407" s="416">
        <f>(H407*0.7)</f>
        <v>5063.3975</v>
      </c>
      <c r="Z407" s="416">
        <f>(H407*0.3)</f>
        <v>2170.0275000000001</v>
      </c>
      <c r="AA407" s="416"/>
      <c r="AB407" s="416"/>
      <c r="AC407" s="416"/>
      <c r="AD407" s="416"/>
      <c r="AE407" s="416"/>
      <c r="AF407" s="416"/>
      <c r="AG407" s="416"/>
      <c r="AH407" s="416"/>
      <c r="AI407" s="416"/>
      <c r="AJ407" s="416"/>
      <c r="AK407" s="416"/>
      <c r="AL407" s="416"/>
      <c r="AM407" s="416"/>
      <c r="AN407" s="416"/>
      <c r="AO407" s="416"/>
      <c r="AP407" s="416"/>
      <c r="AQ407" s="416"/>
      <c r="AR407" s="416"/>
      <c r="AS407" s="416"/>
      <c r="AT407" s="416"/>
      <c r="AU407" s="416"/>
      <c r="AV407" s="416"/>
      <c r="AW407" s="416"/>
      <c r="AX407" s="416"/>
      <c r="AY407" s="416"/>
      <c r="AZ407" s="416"/>
      <c r="BA407" s="416"/>
      <c r="BB407" s="32"/>
    </row>
    <row r="408" spans="2:54">
      <c r="B408" s="1252"/>
      <c r="C408" s="1253"/>
      <c r="D408" s="411"/>
      <c r="E408" s="411"/>
      <c r="F408" s="1256" t="s">
        <v>668</v>
      </c>
      <c r="G408" s="1257"/>
      <c r="H408" s="412">
        <v>3500</v>
      </c>
      <c r="I408" s="413"/>
      <c r="J408" s="414"/>
      <c r="K408" s="414"/>
      <c r="L408" s="414"/>
      <c r="M408" s="414"/>
      <c r="N408" s="438" t="str">
        <f t="shared" si="44"/>
        <v xml:space="preserve"> </v>
      </c>
      <c r="O408" s="51"/>
      <c r="P408" s="415"/>
      <c r="Q408" s="415"/>
      <c r="R408" s="415"/>
      <c r="S408" s="32"/>
      <c r="T408" s="416"/>
      <c r="U408" s="416"/>
      <c r="V408" s="416"/>
      <c r="W408" s="416"/>
      <c r="X408" s="416"/>
      <c r="Y408" s="416"/>
      <c r="Z408" s="416"/>
      <c r="AA408" s="416"/>
      <c r="AB408" s="416"/>
      <c r="AC408" s="416"/>
      <c r="AD408" s="416"/>
      <c r="AE408" s="416"/>
      <c r="AF408" s="416"/>
      <c r="AG408" s="416"/>
      <c r="AH408" s="416"/>
      <c r="AI408" s="416"/>
      <c r="AJ408" s="416"/>
      <c r="AK408" s="416"/>
      <c r="AL408" s="416"/>
      <c r="AM408" s="416"/>
      <c r="AN408" s="416"/>
      <c r="AO408" s="416"/>
      <c r="AP408" s="416"/>
      <c r="AQ408" s="416"/>
      <c r="AR408" s="416"/>
      <c r="AS408" s="416"/>
      <c r="AT408" s="416"/>
      <c r="AU408" s="416"/>
      <c r="AV408" s="416"/>
      <c r="AW408" s="416"/>
      <c r="AX408" s="416"/>
      <c r="AY408" s="416"/>
      <c r="AZ408" s="416"/>
      <c r="BA408" s="416"/>
      <c r="BB408" s="32"/>
    </row>
    <row r="409" spans="2:54">
      <c r="B409" s="1254"/>
      <c r="C409" s="1255"/>
      <c r="D409" s="411"/>
      <c r="E409" s="411"/>
      <c r="F409" s="1256" t="s">
        <v>616</v>
      </c>
      <c r="G409" s="1257"/>
      <c r="H409" s="412">
        <v>3500</v>
      </c>
      <c r="I409" s="573"/>
      <c r="J409" s="571"/>
      <c r="K409" s="571"/>
      <c r="L409" s="571"/>
      <c r="M409" s="571"/>
      <c r="N409" s="438" t="str">
        <f t="shared" si="44"/>
        <v xml:space="preserve"> </v>
      </c>
      <c r="O409" s="51"/>
      <c r="P409" s="415"/>
      <c r="Q409" s="415"/>
      <c r="R409" s="415"/>
      <c r="S409" s="32"/>
      <c r="T409" s="416"/>
      <c r="U409" s="416"/>
      <c r="V409" s="416"/>
      <c r="W409" s="416"/>
      <c r="X409" s="416"/>
      <c r="Y409" s="416"/>
      <c r="Z409" s="416"/>
      <c r="AA409" s="416"/>
      <c r="AB409" s="416"/>
      <c r="AC409" s="416"/>
      <c r="AD409" s="416"/>
      <c r="AE409" s="416"/>
      <c r="AF409" s="416"/>
      <c r="AG409" s="416"/>
      <c r="AH409" s="416"/>
      <c r="AI409" s="416"/>
      <c r="AJ409" s="416"/>
      <c r="AK409" s="416"/>
      <c r="AL409" s="416"/>
      <c r="AM409" s="416"/>
      <c r="AN409" s="416"/>
      <c r="AO409" s="416"/>
      <c r="AP409" s="416"/>
      <c r="AQ409" s="416"/>
      <c r="AR409" s="416"/>
      <c r="AS409" s="416"/>
      <c r="AT409" s="416"/>
      <c r="AU409" s="416"/>
      <c r="AV409" s="416"/>
      <c r="AW409" s="416"/>
      <c r="AX409" s="416"/>
      <c r="AY409" s="416"/>
      <c r="AZ409" s="416"/>
      <c r="BA409" s="416"/>
      <c r="BB409" s="32"/>
    </row>
    <row r="410" spans="2:54">
      <c r="B410" s="1302" t="s">
        <v>624</v>
      </c>
      <c r="C410" s="1302"/>
      <c r="D410" s="411" t="s">
        <v>2583</v>
      </c>
      <c r="E410" s="653"/>
      <c r="F410" s="411" t="s">
        <v>1848</v>
      </c>
      <c r="G410" s="411" t="s">
        <v>350</v>
      </c>
      <c r="H410" s="654">
        <f>7502.34-5674.843</f>
        <v>1827.4970000000003</v>
      </c>
      <c r="I410" s="655" t="s">
        <v>494</v>
      </c>
      <c r="J410" s="656">
        <v>45195.729166666664</v>
      </c>
      <c r="K410" s="656"/>
      <c r="L410" s="439" t="s">
        <v>192</v>
      </c>
      <c r="M410" s="439" t="s">
        <v>192</v>
      </c>
      <c r="N410" s="438" t="str">
        <f t="shared" si="44"/>
        <v>DELAY ( 6 day 16 hour 55 minute )</v>
      </c>
      <c r="O410" s="51"/>
      <c r="P410" s="415" t="s">
        <v>551</v>
      </c>
      <c r="Q410" s="415" t="s">
        <v>551</v>
      </c>
      <c r="R410" s="415" t="s">
        <v>551</v>
      </c>
      <c r="S410" s="32"/>
      <c r="T410" s="416"/>
      <c r="U410" s="416"/>
      <c r="V410" s="416"/>
      <c r="W410" s="416"/>
      <c r="X410" s="416"/>
      <c r="Y410" s="416">
        <f>H410</f>
        <v>1827.4970000000003</v>
      </c>
      <c r="Z410" s="416"/>
      <c r="AA410" s="416"/>
      <c r="AB410" s="416"/>
      <c r="AC410" s="416"/>
      <c r="AD410" s="416"/>
      <c r="AE410" s="416"/>
      <c r="AF410" s="416"/>
      <c r="AG410" s="416"/>
      <c r="AH410" s="416"/>
      <c r="AI410" s="416"/>
      <c r="AJ410" s="416"/>
      <c r="AK410" s="416"/>
      <c r="AL410" s="416"/>
      <c r="AM410" s="416"/>
      <c r="AN410" s="416"/>
      <c r="AO410" s="416"/>
      <c r="AP410" s="416"/>
      <c r="AQ410" s="416"/>
      <c r="AR410" s="416"/>
      <c r="AS410" s="416"/>
      <c r="AT410" s="416"/>
      <c r="AU410" s="416"/>
      <c r="AV410" s="416"/>
      <c r="AW410" s="416"/>
      <c r="AX410" s="416"/>
      <c r="AY410" s="416"/>
      <c r="AZ410" s="416"/>
      <c r="BA410" s="416"/>
      <c r="BB410" s="32"/>
    </row>
    <row r="411" spans="2:54">
      <c r="B411" s="1302"/>
      <c r="C411" s="1302"/>
      <c r="D411" s="411"/>
      <c r="E411" s="657"/>
      <c r="F411" s="1256" t="s">
        <v>616</v>
      </c>
      <c r="G411" s="1257"/>
      <c r="H411" s="654">
        <v>1600.229</v>
      </c>
      <c r="I411" s="655"/>
      <c r="J411" s="656"/>
      <c r="K411" s="656"/>
      <c r="L411" s="656"/>
      <c r="M411" s="656"/>
      <c r="N411" s="438" t="str">
        <f t="shared" si="44"/>
        <v xml:space="preserve"> </v>
      </c>
      <c r="O411" s="51"/>
      <c r="P411" s="415"/>
      <c r="Q411" s="415"/>
      <c r="R411" s="415"/>
      <c r="S411" s="32"/>
      <c r="T411" s="416"/>
      <c r="U411" s="416"/>
      <c r="V411" s="416"/>
      <c r="W411" s="416"/>
      <c r="X411" s="416"/>
      <c r="Y411" s="416"/>
      <c r="Z411" s="416"/>
      <c r="AA411" s="416"/>
      <c r="AB411" s="416"/>
      <c r="AC411" s="416"/>
      <c r="AD411" s="416"/>
      <c r="AE411" s="416"/>
      <c r="AF411" s="416"/>
      <c r="AG411" s="416"/>
      <c r="AH411" s="416"/>
      <c r="AI411" s="416"/>
      <c r="AJ411" s="416"/>
      <c r="AK411" s="416"/>
      <c r="AL411" s="416"/>
      <c r="AM411" s="416"/>
      <c r="AN411" s="416"/>
      <c r="AO411" s="416"/>
      <c r="AP411" s="416"/>
      <c r="AQ411" s="416"/>
      <c r="AR411" s="416"/>
      <c r="AS411" s="416"/>
      <c r="AT411" s="416"/>
      <c r="AU411" s="416"/>
      <c r="AV411" s="416"/>
      <c r="AW411" s="416"/>
      <c r="AX411" s="416"/>
      <c r="AY411" s="416"/>
      <c r="AZ411" s="416"/>
      <c r="BA411" s="416"/>
      <c r="BB411" s="32"/>
    </row>
    <row r="412" spans="2:54">
      <c r="B412" s="1258" t="s">
        <v>626</v>
      </c>
      <c r="C412" s="1259"/>
      <c r="D412" s="1259"/>
      <c r="E412" s="1259"/>
      <c r="F412" s="1259"/>
      <c r="G412" s="1260"/>
      <c r="H412" s="417">
        <f>H407+H401+H404+H398+H410</f>
        <v>31454.770999999997</v>
      </c>
      <c r="I412" s="658"/>
      <c r="J412" s="609"/>
      <c r="K412" s="609"/>
      <c r="L412" s="609"/>
      <c r="M412" s="659"/>
      <c r="N412" s="438" t="str">
        <f t="shared" si="44"/>
        <v xml:space="preserve"> </v>
      </c>
      <c r="O412" s="47"/>
      <c r="P412" s="418"/>
      <c r="Q412" s="418"/>
      <c r="R412" s="418"/>
      <c r="S412" s="32"/>
      <c r="T412" s="1261"/>
      <c r="U412" s="1261"/>
      <c r="V412" s="1261"/>
      <c r="W412" s="1261"/>
      <c r="X412" s="1261"/>
      <c r="Y412" s="1261"/>
      <c r="Z412" s="1261"/>
      <c r="AA412" s="1261"/>
      <c r="AB412" s="1261"/>
      <c r="AC412" s="1261"/>
      <c r="AD412" s="1261"/>
      <c r="AE412" s="1261"/>
      <c r="AF412" s="1261"/>
      <c r="AG412" s="1261"/>
      <c r="AH412" s="1261"/>
      <c r="AI412" s="1261"/>
      <c r="AJ412" s="1261"/>
      <c r="AK412" s="1261"/>
      <c r="AL412" s="1261"/>
      <c r="AM412" s="1261"/>
      <c r="AN412" s="1261"/>
      <c r="AO412" s="1261"/>
      <c r="AP412" s="1261"/>
      <c r="AQ412" s="1261"/>
      <c r="AR412" s="1261"/>
      <c r="AS412" s="1261"/>
      <c r="AT412" s="1261"/>
      <c r="AU412" s="1261"/>
      <c r="AV412" s="1261"/>
      <c r="AW412" s="1261"/>
      <c r="AX412" s="1261"/>
      <c r="AY412" s="1261"/>
      <c r="AZ412" s="1261"/>
      <c r="BA412" s="1261"/>
    </row>
    <row r="413" spans="2:54">
      <c r="B413" s="1258" t="s">
        <v>556</v>
      </c>
      <c r="C413" s="1259"/>
      <c r="D413" s="1259"/>
      <c r="E413" s="1259"/>
      <c r="F413" s="1259"/>
      <c r="G413" s="1260"/>
      <c r="H413" s="417">
        <f>H397+H412</f>
        <v>54000</v>
      </c>
      <c r="I413" s="388"/>
      <c r="J413" s="293"/>
      <c r="K413" s="293"/>
      <c r="L413" s="293"/>
      <c r="M413" s="389"/>
      <c r="N413" s="438" t="str">
        <f t="shared" si="44"/>
        <v xml:space="preserve"> </v>
      </c>
      <c r="O413" s="212"/>
      <c r="P413" s="418"/>
      <c r="Q413" s="418"/>
      <c r="R413" s="418"/>
      <c r="S413" s="207"/>
      <c r="T413" s="1300"/>
      <c r="U413" s="1301"/>
      <c r="V413" s="1301"/>
      <c r="W413" s="1301"/>
      <c r="X413" s="1301"/>
      <c r="Y413" s="1301"/>
      <c r="Z413" s="1301"/>
      <c r="AA413" s="1301"/>
      <c r="AB413" s="1301"/>
      <c r="AC413" s="1301"/>
      <c r="AD413" s="1301"/>
      <c r="AE413" s="1301"/>
      <c r="AF413" s="1301"/>
      <c r="AG413" s="1301"/>
      <c r="AH413" s="1301"/>
      <c r="AI413" s="1301"/>
      <c r="AJ413" s="1301"/>
      <c r="AK413" s="1301"/>
      <c r="AL413" s="1301"/>
      <c r="AM413" s="1301"/>
      <c r="AN413" s="1301"/>
      <c r="AO413" s="1301"/>
      <c r="AP413" s="1301"/>
      <c r="AQ413" s="1301"/>
      <c r="AR413" s="1301"/>
      <c r="AS413" s="1301"/>
      <c r="AT413" s="1301"/>
      <c r="AU413" s="1301"/>
      <c r="AV413" s="1301"/>
      <c r="AW413" s="1301"/>
      <c r="AX413" s="1301"/>
      <c r="AY413" s="1301"/>
      <c r="AZ413" s="1301"/>
      <c r="BA413" s="1301"/>
    </row>
    <row r="414" spans="2:54">
      <c r="B414" s="1243" t="s">
        <v>557</v>
      </c>
      <c r="C414" s="1244"/>
      <c r="D414" s="1244"/>
      <c r="E414" s="1244"/>
      <c r="F414" s="1244"/>
      <c r="G414" s="1245"/>
      <c r="H414" s="419">
        <v>54000</v>
      </c>
      <c r="I414" s="1273"/>
      <c r="J414" s="1274"/>
      <c r="K414" s="1274"/>
      <c r="L414" s="1274"/>
      <c r="M414" s="1275"/>
      <c r="N414" s="438" t="str">
        <f t="shared" si="44"/>
        <v xml:space="preserve"> </v>
      </c>
      <c r="O414" s="32"/>
      <c r="P414" s="415"/>
      <c r="Q414" s="415"/>
      <c r="R414" s="415"/>
      <c r="S414" s="63"/>
      <c r="T414" s="416">
        <f t="shared" ref="T414:BA414" si="45">SUM(T394:T410)</f>
        <v>0</v>
      </c>
      <c r="U414" s="416">
        <f t="shared" si="45"/>
        <v>0</v>
      </c>
      <c r="V414" s="416">
        <f t="shared" si="45"/>
        <v>0</v>
      </c>
      <c r="W414" s="416">
        <f t="shared" si="45"/>
        <v>0</v>
      </c>
      <c r="X414" s="416">
        <f t="shared" si="45"/>
        <v>0</v>
      </c>
      <c r="Y414" s="416">
        <f t="shared" si="45"/>
        <v>22566.588799999998</v>
      </c>
      <c r="Z414" s="416">
        <f t="shared" si="45"/>
        <v>8888.1821999999993</v>
      </c>
      <c r="AA414" s="416">
        <f t="shared" si="45"/>
        <v>0</v>
      </c>
      <c r="AB414" s="416">
        <f t="shared" si="45"/>
        <v>10531.6603</v>
      </c>
      <c r="AC414" s="416">
        <f t="shared" si="45"/>
        <v>4513.5686999999998</v>
      </c>
      <c r="AD414" s="416">
        <f t="shared" si="45"/>
        <v>0</v>
      </c>
      <c r="AE414" s="416">
        <f t="shared" si="45"/>
        <v>0</v>
      </c>
      <c r="AF414" s="416">
        <f t="shared" si="45"/>
        <v>0</v>
      </c>
      <c r="AG414" s="416">
        <f t="shared" si="45"/>
        <v>0</v>
      </c>
      <c r="AH414" s="416">
        <f t="shared" si="45"/>
        <v>0</v>
      </c>
      <c r="AI414" s="416">
        <f t="shared" si="45"/>
        <v>0</v>
      </c>
      <c r="AJ414" s="416">
        <f t="shared" si="45"/>
        <v>0</v>
      </c>
      <c r="AK414" s="416">
        <f t="shared" si="45"/>
        <v>7500</v>
      </c>
      <c r="AL414" s="416">
        <f t="shared" si="45"/>
        <v>0</v>
      </c>
      <c r="AM414" s="416">
        <f t="shared" si="45"/>
        <v>0</v>
      </c>
      <c r="AN414" s="416">
        <f t="shared" si="45"/>
        <v>0</v>
      </c>
      <c r="AO414" s="416">
        <f t="shared" si="45"/>
        <v>0</v>
      </c>
      <c r="AP414" s="416">
        <f t="shared" si="45"/>
        <v>0</v>
      </c>
      <c r="AQ414" s="416">
        <f t="shared" si="45"/>
        <v>0</v>
      </c>
      <c r="AR414" s="416">
        <f t="shared" si="45"/>
        <v>0</v>
      </c>
      <c r="AS414" s="416">
        <f t="shared" si="45"/>
        <v>0</v>
      </c>
      <c r="AT414" s="416">
        <f t="shared" si="45"/>
        <v>0</v>
      </c>
      <c r="AU414" s="416">
        <f t="shared" si="45"/>
        <v>0</v>
      </c>
      <c r="AV414" s="416">
        <f t="shared" si="45"/>
        <v>0</v>
      </c>
      <c r="AW414" s="416">
        <f t="shared" si="45"/>
        <v>0</v>
      </c>
      <c r="AX414" s="416">
        <f t="shared" si="45"/>
        <v>0</v>
      </c>
      <c r="AY414" s="416">
        <f t="shared" si="45"/>
        <v>0</v>
      </c>
      <c r="AZ414" s="416">
        <f t="shared" si="45"/>
        <v>0</v>
      </c>
      <c r="BA414" s="416">
        <f t="shared" si="45"/>
        <v>0</v>
      </c>
      <c r="BB414" s="416">
        <f>SUM(T414:BA414)</f>
        <v>54000</v>
      </c>
    </row>
    <row r="415" spans="2:54">
      <c r="B415" s="1243" t="s">
        <v>558</v>
      </c>
      <c r="C415" s="1244"/>
      <c r="D415" s="1244"/>
      <c r="E415" s="1244"/>
      <c r="F415" s="1244"/>
      <c r="G415" s="1245"/>
      <c r="H415" s="420">
        <f>H414-L388</f>
        <v>0</v>
      </c>
      <c r="I415" s="294"/>
      <c r="J415" s="295"/>
      <c r="K415" s="295"/>
      <c r="L415" s="296"/>
      <c r="M415" s="32"/>
      <c r="N415" s="32"/>
      <c r="O415" s="32"/>
      <c r="P415" s="32"/>
      <c r="Q415" s="297"/>
      <c r="R415" s="297"/>
      <c r="S415" s="32"/>
      <c r="T415" s="48"/>
      <c r="U415" s="48"/>
      <c r="V415" s="48"/>
      <c r="W415" s="48"/>
      <c r="X415" s="48"/>
      <c r="Y415" s="48"/>
      <c r="Z415" s="48"/>
      <c r="AA415" s="48"/>
      <c r="AB415" s="48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</row>
    <row r="416" spans="2:54">
      <c r="B416" s="1243" t="s">
        <v>559</v>
      </c>
      <c r="C416" s="1244"/>
      <c r="D416" s="1244"/>
      <c r="E416" s="1244"/>
      <c r="F416" s="1244"/>
      <c r="G416" s="1245"/>
      <c r="H416" s="446">
        <v>4150.9120000000003</v>
      </c>
      <c r="I416" s="52"/>
      <c r="J416" s="53"/>
      <c r="K416" s="53"/>
      <c r="L416" s="54"/>
      <c r="M416" s="32"/>
      <c r="N416" s="201"/>
      <c r="O416" s="32"/>
      <c r="P416" s="32"/>
      <c r="Q416" s="32"/>
      <c r="R416" s="32"/>
      <c r="S416" s="32"/>
      <c r="T416" s="48"/>
      <c r="U416" s="48"/>
      <c r="V416" s="48"/>
      <c r="W416" s="48"/>
      <c r="X416" s="48"/>
      <c r="Y416" s="48"/>
      <c r="Z416" s="48"/>
      <c r="AA416" s="48"/>
      <c r="AB416" s="48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</row>
    <row r="417" spans="2:54" s="496" customFormat="1">
      <c r="B417" s="1323" t="s">
        <v>560</v>
      </c>
      <c r="C417" s="1324"/>
      <c r="D417" s="1324"/>
      <c r="E417" s="1324"/>
      <c r="F417" s="1324"/>
      <c r="G417" s="1325"/>
      <c r="H417" s="421">
        <f>H416-5674.843</f>
        <v>-1523.9309999999996</v>
      </c>
      <c r="I417" s="209"/>
      <c r="J417" s="498"/>
      <c r="K417" s="498"/>
      <c r="L417" s="499"/>
      <c r="M417" s="201"/>
      <c r="N417" s="201"/>
      <c r="O417" s="201"/>
      <c r="P417" s="201"/>
      <c r="Q417" s="201"/>
      <c r="R417" s="201"/>
      <c r="S417" s="202"/>
      <c r="T417" s="202"/>
      <c r="U417" s="202"/>
      <c r="V417" s="202"/>
      <c r="W417" s="202"/>
      <c r="X417" s="202"/>
      <c r="Y417" s="202"/>
      <c r="Z417" s="202"/>
      <c r="AA417" s="202"/>
      <c r="AB417" s="201"/>
      <c r="AC417" s="201"/>
      <c r="AD417" s="201"/>
      <c r="AE417" s="201"/>
      <c r="AF417" s="201"/>
      <c r="AG417" s="201"/>
      <c r="AH417" s="201"/>
      <c r="AI417" s="201"/>
      <c r="AJ417" s="201"/>
      <c r="AK417" s="201"/>
      <c r="AL417" s="201"/>
      <c r="AM417" s="201"/>
      <c r="AN417" s="201"/>
      <c r="AO417" s="201"/>
      <c r="AP417" s="201"/>
      <c r="AQ417" s="201"/>
    </row>
    <row r="418" spans="2:54">
      <c r="B418" s="201"/>
      <c r="C418" s="201"/>
      <c r="D418" s="201"/>
      <c r="E418" s="201"/>
      <c r="F418" s="201"/>
      <c r="G418" s="201"/>
      <c r="H418" s="201"/>
      <c r="I418" s="213"/>
      <c r="J418" s="209"/>
      <c r="K418" s="209"/>
      <c r="L418" s="203"/>
      <c r="M418" s="201"/>
      <c r="N418" s="201"/>
      <c r="O418" s="209"/>
      <c r="P418" s="32"/>
      <c r="Q418" s="32"/>
      <c r="R418" s="32"/>
      <c r="S418" s="32"/>
      <c r="T418" s="48"/>
      <c r="U418" s="48"/>
      <c r="V418" s="48"/>
      <c r="W418" s="48"/>
      <c r="X418" s="48"/>
      <c r="Y418" s="48"/>
      <c r="Z418" s="48"/>
      <c r="AA418" s="48"/>
      <c r="AB418" s="48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</row>
    <row r="419" spans="2:54">
      <c r="B419" s="40" t="s">
        <v>561</v>
      </c>
      <c r="C419" s="40"/>
      <c r="D419" s="32"/>
      <c r="E419" s="32"/>
      <c r="F419" s="32"/>
      <c r="G419" s="32"/>
      <c r="H419" s="32"/>
      <c r="I419" s="32"/>
      <c r="J419" s="52"/>
      <c r="K419" s="52"/>
      <c r="L419" s="55"/>
      <c r="M419" s="32"/>
      <c r="N419" s="201"/>
      <c r="O419" s="5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  <c r="AA419" s="202"/>
      <c r="AB419" s="201"/>
      <c r="AC419" s="201"/>
      <c r="AD419" s="201"/>
      <c r="AE419" s="201"/>
      <c r="AF419" s="201"/>
      <c r="AG419" s="201"/>
      <c r="AH419" s="201"/>
      <c r="AI419" s="201"/>
      <c r="AJ419" s="201"/>
      <c r="AK419" s="201"/>
      <c r="AL419" s="201"/>
      <c r="AM419" s="201"/>
      <c r="AN419" s="201"/>
      <c r="AO419" s="201"/>
      <c r="AP419" s="201"/>
      <c r="AQ419" s="201"/>
      <c r="AR419" s="201"/>
      <c r="AS419" s="201"/>
      <c r="AT419" s="201"/>
      <c r="AU419" s="201"/>
      <c r="BB419" s="201"/>
    </row>
    <row r="420" spans="2:54">
      <c r="B420" s="422">
        <v>1</v>
      </c>
      <c r="C420" s="1249" t="s">
        <v>2584</v>
      </c>
      <c r="D420" s="1249"/>
      <c r="E420" s="1249"/>
      <c r="F420" s="1249"/>
      <c r="G420" s="1249"/>
      <c r="H420" s="1249"/>
      <c r="I420" s="1249"/>
      <c r="J420" s="1249"/>
      <c r="K420" s="1249"/>
      <c r="L420" s="203"/>
      <c r="M420" s="203"/>
      <c r="N420" s="201"/>
      <c r="O420" s="209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  <c r="AA420" s="202"/>
      <c r="AB420" s="201"/>
      <c r="AC420" s="201"/>
      <c r="AD420" s="201"/>
      <c r="AE420" s="201"/>
      <c r="AF420" s="201"/>
      <c r="AG420" s="201"/>
      <c r="AH420" s="201"/>
      <c r="AI420" s="201"/>
      <c r="AJ420" s="201"/>
      <c r="AK420" s="201"/>
      <c r="AL420" s="201"/>
      <c r="AM420" s="201"/>
      <c r="AN420" s="201"/>
      <c r="AO420" s="201"/>
      <c r="AP420" s="201"/>
      <c r="AQ420" s="201"/>
      <c r="AR420" s="201"/>
      <c r="AS420" s="201"/>
      <c r="AT420" s="201"/>
      <c r="AU420" s="201"/>
      <c r="AV420" s="201"/>
      <c r="AW420" s="201"/>
      <c r="AX420" s="201"/>
      <c r="AY420" s="201"/>
      <c r="AZ420" s="201"/>
      <c r="BA420" s="201"/>
      <c r="BB420" s="201"/>
    </row>
  </sheetData>
  <mergeCells count="347">
    <mergeCell ref="B414:G414"/>
    <mergeCell ref="I414:M414"/>
    <mergeCell ref="B415:G415"/>
    <mergeCell ref="B416:G416"/>
    <mergeCell ref="C420:K420"/>
    <mergeCell ref="B417:G417"/>
    <mergeCell ref="B407:C409"/>
    <mergeCell ref="F408:G408"/>
    <mergeCell ref="F409:G409"/>
    <mergeCell ref="B410:C411"/>
    <mergeCell ref="F411:G411"/>
    <mergeCell ref="B412:G412"/>
    <mergeCell ref="T412:BA412"/>
    <mergeCell ref="B413:G413"/>
    <mergeCell ref="T413:BA413"/>
    <mergeCell ref="B398:C400"/>
    <mergeCell ref="F399:G399"/>
    <mergeCell ref="F400:G400"/>
    <mergeCell ref="B401:C403"/>
    <mergeCell ref="F402:G402"/>
    <mergeCell ref="F403:G403"/>
    <mergeCell ref="B404:C406"/>
    <mergeCell ref="F405:G405"/>
    <mergeCell ref="F406:G406"/>
    <mergeCell ref="T392:X392"/>
    <mergeCell ref="Y392:AA392"/>
    <mergeCell ref="AB392:AC392"/>
    <mergeCell ref="AF392:BA392"/>
    <mergeCell ref="B393:C393"/>
    <mergeCell ref="B394:C394"/>
    <mergeCell ref="B395:C395"/>
    <mergeCell ref="B396:C396"/>
    <mergeCell ref="B397:G397"/>
    <mergeCell ref="B186:G186"/>
    <mergeCell ref="T182:BA182"/>
    <mergeCell ref="B183:G183"/>
    <mergeCell ref="I183:M183"/>
    <mergeCell ref="B184:G184"/>
    <mergeCell ref="B185:G185"/>
    <mergeCell ref="B173:C173"/>
    <mergeCell ref="B178:C178"/>
    <mergeCell ref="B179:C179"/>
    <mergeCell ref="B181:C181"/>
    <mergeCell ref="B180:C180"/>
    <mergeCell ref="B182:G182"/>
    <mergeCell ref="T171:X171"/>
    <mergeCell ref="Y171:AA171"/>
    <mergeCell ref="AB171:AC171"/>
    <mergeCell ref="AF171:BA171"/>
    <mergeCell ref="B172:C172"/>
    <mergeCell ref="B174:C174"/>
    <mergeCell ref="B175:C175"/>
    <mergeCell ref="B176:C176"/>
    <mergeCell ref="B177:C177"/>
    <mergeCell ref="B157:G157"/>
    <mergeCell ref="I157:M157"/>
    <mergeCell ref="B158:G158"/>
    <mergeCell ref="B159:G159"/>
    <mergeCell ref="C163:K163"/>
    <mergeCell ref="B160:G160"/>
    <mergeCell ref="B153:C154"/>
    <mergeCell ref="F154:G154"/>
    <mergeCell ref="B155:G155"/>
    <mergeCell ref="T155:BA155"/>
    <mergeCell ref="B156:G156"/>
    <mergeCell ref="T156:BA156"/>
    <mergeCell ref="B147:C149"/>
    <mergeCell ref="F148:G148"/>
    <mergeCell ref="F149:G149"/>
    <mergeCell ref="B150:C152"/>
    <mergeCell ref="F151:G151"/>
    <mergeCell ref="F152:G152"/>
    <mergeCell ref="B141:C143"/>
    <mergeCell ref="F142:G142"/>
    <mergeCell ref="F143:G143"/>
    <mergeCell ref="B144:C146"/>
    <mergeCell ref="F145:G145"/>
    <mergeCell ref="F146:G146"/>
    <mergeCell ref="B134:C134"/>
    <mergeCell ref="B135:C135"/>
    <mergeCell ref="B136:C136"/>
    <mergeCell ref="B137:G137"/>
    <mergeCell ref="B138:C140"/>
    <mergeCell ref="F139:G139"/>
    <mergeCell ref="F140:G140"/>
    <mergeCell ref="T132:X132"/>
    <mergeCell ref="Y132:AA132"/>
    <mergeCell ref="AB132:AC132"/>
    <mergeCell ref="AF132:BA132"/>
    <mergeCell ref="B133:C133"/>
    <mergeCell ref="B118:G118"/>
    <mergeCell ref="I118:M118"/>
    <mergeCell ref="B119:G119"/>
    <mergeCell ref="B120:G120"/>
    <mergeCell ref="C124:K124"/>
    <mergeCell ref="B121:G121"/>
    <mergeCell ref="B115:C115"/>
    <mergeCell ref="B116:C116"/>
    <mergeCell ref="B117:G117"/>
    <mergeCell ref="T117:BA117"/>
    <mergeCell ref="B109:C109"/>
    <mergeCell ref="B110:C110"/>
    <mergeCell ref="B111:C111"/>
    <mergeCell ref="B112:C112"/>
    <mergeCell ref="B113:C113"/>
    <mergeCell ref="AB107:AC107"/>
    <mergeCell ref="AF107:BA107"/>
    <mergeCell ref="B108:C108"/>
    <mergeCell ref="B95:G95"/>
    <mergeCell ref="T95:BA95"/>
    <mergeCell ref="B96:G96"/>
    <mergeCell ref="I96:M96"/>
    <mergeCell ref="C99:K99"/>
    <mergeCell ref="B114:C114"/>
    <mergeCell ref="B50:G50"/>
    <mergeCell ref="I50:M50"/>
    <mergeCell ref="B51:G51"/>
    <mergeCell ref="B52:G52"/>
    <mergeCell ref="AF34:BA34"/>
    <mergeCell ref="B36:C37"/>
    <mergeCell ref="B38:C39"/>
    <mergeCell ref="B40:C41"/>
    <mergeCell ref="B42:C43"/>
    <mergeCell ref="B35:C35"/>
    <mergeCell ref="T34:X34"/>
    <mergeCell ref="Y34:AA34"/>
    <mergeCell ref="AB34:AC34"/>
    <mergeCell ref="T64:X64"/>
    <mergeCell ref="Y64:AA64"/>
    <mergeCell ref="AB64:AC64"/>
    <mergeCell ref="AF64:BA64"/>
    <mergeCell ref="AF8:BA8"/>
    <mergeCell ref="B9:C9"/>
    <mergeCell ref="B10:C10"/>
    <mergeCell ref="B11:C11"/>
    <mergeCell ref="B12:C12"/>
    <mergeCell ref="B13:C13"/>
    <mergeCell ref="T8:X8"/>
    <mergeCell ref="Y8:AA8"/>
    <mergeCell ref="AB8:AC8"/>
    <mergeCell ref="B20:G20"/>
    <mergeCell ref="I20:M20"/>
    <mergeCell ref="B21:G21"/>
    <mergeCell ref="B22:G22"/>
    <mergeCell ref="C56:K56"/>
    <mergeCell ref="B53:G53"/>
    <mergeCell ref="B46:C47"/>
    <mergeCell ref="B48:C48"/>
    <mergeCell ref="B49:G49"/>
    <mergeCell ref="B44:C45"/>
    <mergeCell ref="T49:BA49"/>
    <mergeCell ref="B14:C14"/>
    <mergeCell ref="B15:C15"/>
    <mergeCell ref="B16:C16"/>
    <mergeCell ref="B17:C17"/>
    <mergeCell ref="B18:C18"/>
    <mergeCell ref="B19:G19"/>
    <mergeCell ref="C26:K26"/>
    <mergeCell ref="B23:G23"/>
    <mergeCell ref="T19:BA19"/>
    <mergeCell ref="B65:C65"/>
    <mergeCell ref="B66:C66"/>
    <mergeCell ref="B67:C68"/>
    <mergeCell ref="B69:C70"/>
    <mergeCell ref="B71:C72"/>
    <mergeCell ref="B73:C73"/>
    <mergeCell ref="B77:G77"/>
    <mergeCell ref="C81:K81"/>
    <mergeCell ref="B78:G78"/>
    <mergeCell ref="B74:G74"/>
    <mergeCell ref="Y196:AA196"/>
    <mergeCell ref="AB196:AC196"/>
    <mergeCell ref="AF196:BA196"/>
    <mergeCell ref="B197:C197"/>
    <mergeCell ref="B198:C199"/>
    <mergeCell ref="I199:I200"/>
    <mergeCell ref="J199:J200"/>
    <mergeCell ref="B200:C201"/>
    <mergeCell ref="T74:BA74"/>
    <mergeCell ref="B75:G75"/>
    <mergeCell ref="I75:M75"/>
    <mergeCell ref="B76:G76"/>
    <mergeCell ref="B91:C91"/>
    <mergeCell ref="B92:C92"/>
    <mergeCell ref="B93:C93"/>
    <mergeCell ref="B94:C94"/>
    <mergeCell ref="F94:G94"/>
    <mergeCell ref="T89:X89"/>
    <mergeCell ref="Y89:AA89"/>
    <mergeCell ref="AB89:AC89"/>
    <mergeCell ref="AF89:BA89"/>
    <mergeCell ref="B90:C90"/>
    <mergeCell ref="T107:X107"/>
    <mergeCell ref="Y107:AA107"/>
    <mergeCell ref="B202:C203"/>
    <mergeCell ref="I203:I204"/>
    <mergeCell ref="J203:J204"/>
    <mergeCell ref="B204:C205"/>
    <mergeCell ref="B206:C207"/>
    <mergeCell ref="I207:I208"/>
    <mergeCell ref="J207:J208"/>
    <mergeCell ref="B208:C209"/>
    <mergeCell ref="T196:X196"/>
    <mergeCell ref="B210:C210"/>
    <mergeCell ref="B211:G211"/>
    <mergeCell ref="T211:BA211"/>
    <mergeCell ref="B212:G212"/>
    <mergeCell ref="I212:M212"/>
    <mergeCell ref="B213:G213"/>
    <mergeCell ref="B214:G214"/>
    <mergeCell ref="B215:G215"/>
    <mergeCell ref="C218:K218"/>
    <mergeCell ref="T226:X226"/>
    <mergeCell ref="Y226:AA226"/>
    <mergeCell ref="AB226:AC226"/>
    <mergeCell ref="AF226:BA226"/>
    <mergeCell ref="B227:C227"/>
    <mergeCell ref="B228:C228"/>
    <mergeCell ref="B229:C229"/>
    <mergeCell ref="B230:C231"/>
    <mergeCell ref="B232:C233"/>
    <mergeCell ref="C245:K245"/>
    <mergeCell ref="B242:G242"/>
    <mergeCell ref="B234:C235"/>
    <mergeCell ref="B236:C236"/>
    <mergeCell ref="B237:C237"/>
    <mergeCell ref="B238:G238"/>
    <mergeCell ref="T238:BA238"/>
    <mergeCell ref="B239:G239"/>
    <mergeCell ref="I239:M239"/>
    <mergeCell ref="B240:G240"/>
    <mergeCell ref="B241:G241"/>
    <mergeCell ref="T253:X253"/>
    <mergeCell ref="Y253:AA253"/>
    <mergeCell ref="AB253:AC253"/>
    <mergeCell ref="AF253:BA253"/>
    <mergeCell ref="B254:C254"/>
    <mergeCell ref="B255:C255"/>
    <mergeCell ref="B256:C256"/>
    <mergeCell ref="B257:C257"/>
    <mergeCell ref="B258:C258"/>
    <mergeCell ref="B259:C259"/>
    <mergeCell ref="F259:G259"/>
    <mergeCell ref="B260:G260"/>
    <mergeCell ref="T260:BA260"/>
    <mergeCell ref="B261:G261"/>
    <mergeCell ref="I261:M261"/>
    <mergeCell ref="B262:G262"/>
    <mergeCell ref="B263:G263"/>
    <mergeCell ref="C266:K266"/>
    <mergeCell ref="T274:X274"/>
    <mergeCell ref="Y274:AA274"/>
    <mergeCell ref="AB274:AC274"/>
    <mergeCell ref="AF274:BA274"/>
    <mergeCell ref="B275:C275"/>
    <mergeCell ref="B276:C277"/>
    <mergeCell ref="B278:C279"/>
    <mergeCell ref="B280:C281"/>
    <mergeCell ref="B282:C283"/>
    <mergeCell ref="B284:C284"/>
    <mergeCell ref="B285:G285"/>
    <mergeCell ref="T285:BA285"/>
    <mergeCell ref="B286:G286"/>
    <mergeCell ref="I286:M286"/>
    <mergeCell ref="B287:G287"/>
    <mergeCell ref="B288:G288"/>
    <mergeCell ref="C292:K292"/>
    <mergeCell ref="B289:G289"/>
    <mergeCell ref="T300:X300"/>
    <mergeCell ref="Y300:AA300"/>
    <mergeCell ref="AB300:AC300"/>
    <mergeCell ref="AF300:BA300"/>
    <mergeCell ref="B301:C301"/>
    <mergeCell ref="B302:C302"/>
    <mergeCell ref="B303:C303"/>
    <mergeCell ref="B304:G304"/>
    <mergeCell ref="B305:C306"/>
    <mergeCell ref="F306:G306"/>
    <mergeCell ref="B307:C309"/>
    <mergeCell ref="F308:G308"/>
    <mergeCell ref="F309:G309"/>
    <mergeCell ref="B310:C312"/>
    <mergeCell ref="F311:G311"/>
    <mergeCell ref="F312:G312"/>
    <mergeCell ref="B313:C315"/>
    <mergeCell ref="F314:G314"/>
    <mergeCell ref="F315:G315"/>
    <mergeCell ref="B316:C317"/>
    <mergeCell ref="F317:G317"/>
    <mergeCell ref="B318:C320"/>
    <mergeCell ref="F319:G319"/>
    <mergeCell ref="F320:G320"/>
    <mergeCell ref="B321:C323"/>
    <mergeCell ref="F322:G322"/>
    <mergeCell ref="F323:G323"/>
    <mergeCell ref="B324:G324"/>
    <mergeCell ref="T324:BA324"/>
    <mergeCell ref="B325:G325"/>
    <mergeCell ref="T325:BA325"/>
    <mergeCell ref="B326:G326"/>
    <mergeCell ref="I326:M326"/>
    <mergeCell ref="B327:G327"/>
    <mergeCell ref="B328:G328"/>
    <mergeCell ref="C332:K332"/>
    <mergeCell ref="B329:G329"/>
    <mergeCell ref="T340:X340"/>
    <mergeCell ref="Y340:AA340"/>
    <mergeCell ref="AB340:AC340"/>
    <mergeCell ref="AF340:BA340"/>
    <mergeCell ref="B341:C341"/>
    <mergeCell ref="B342:C343"/>
    <mergeCell ref="B344:C345"/>
    <mergeCell ref="B346:C347"/>
    <mergeCell ref="B348:C349"/>
    <mergeCell ref="B350:C350"/>
    <mergeCell ref="B351:G351"/>
    <mergeCell ref="T351:BA351"/>
    <mergeCell ref="B352:G352"/>
    <mergeCell ref="I352:M352"/>
    <mergeCell ref="B353:G353"/>
    <mergeCell ref="B354:G354"/>
    <mergeCell ref="C358:K358"/>
    <mergeCell ref="B355:G355"/>
    <mergeCell ref="T366:X366"/>
    <mergeCell ref="Y366:AA366"/>
    <mergeCell ref="AB366:AC366"/>
    <mergeCell ref="AF366:BA366"/>
    <mergeCell ref="B367:C367"/>
    <mergeCell ref="B368:C368"/>
    <mergeCell ref="B369:C369"/>
    <mergeCell ref="B370:C370"/>
    <mergeCell ref="B371:C371"/>
    <mergeCell ref="T378:BA378"/>
    <mergeCell ref="B379:G379"/>
    <mergeCell ref="I379:M379"/>
    <mergeCell ref="B380:G380"/>
    <mergeCell ref="B381:G381"/>
    <mergeCell ref="C384:K384"/>
    <mergeCell ref="B372:C372"/>
    <mergeCell ref="B373:C373"/>
    <mergeCell ref="B374:C374"/>
    <mergeCell ref="B375:C375"/>
    <mergeCell ref="B376:C376"/>
    <mergeCell ref="F376:G376"/>
    <mergeCell ref="B377:C377"/>
    <mergeCell ref="F377:G377"/>
    <mergeCell ref="B378:G378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1000-000000000000}">
          <x14:formula1>
            <xm:f>'VLU 2023 &amp; 2024'!$I$165:$I$181</xm:f>
          </x14:formula1>
          <xm:sqref>L104 L271 L85 L61 L31 L297 L389 L5 L250 L223 L193 L168 L129</xm:sqref>
        </x14:dataValidation>
        <x14:dataValidation type="list" allowBlank="1" showInputMessage="1" showErrorMessage="1" xr:uid="{00000000-0002-0000-1000-000001000000}">
          <x14:formula1>
            <xm:f>'VLU 2023 &amp; 2024'!$H$165:$H$181</xm:f>
          </x14:formula1>
          <xm:sqref>F268 F247 F220 F190 F165 F126 F101 F83 F58 F28 F294 F386 F2</xm:sqref>
        </x14:dataValidation>
        <x14:dataValidation type="list" allowBlank="1" showInputMessage="1" showErrorMessage="1" xr:uid="{00000000-0002-0000-1000-000002000000}">
          <x14:formula1>
            <xm:f>'FLF &amp; AGENT INFO'!$B$3:$B$20</xm:f>
          </x14:formula1>
          <xm:sqref>F5 F31 F61 F86 F104 F129 F193 F168 F223 F250 F271 F297 F337 F363 F389</xm:sqref>
        </x14:dataValidation>
        <x14:dataValidation type="list" allowBlank="1" showInputMessage="1" showErrorMessage="1" xr:uid="{00000000-0002-0000-1000-000003000000}">
          <x14:formula1>
            <xm:f>'FLF &amp; AGENT INFO'!$H$3:$H$7</xm:f>
          </x14:formula1>
          <xm:sqref>L6 L32 L62 L86 L105 L130 L194 L169 L224 L251 L272 L298 L338 L364 L390</xm:sqref>
        </x14:dataValidation>
        <x14:dataValidation type="list" allowBlank="1" showInputMessage="1" showErrorMessage="1" xr:uid="{00000000-0002-0000-1000-000004000000}">
          <x14:formula1>
            <xm:f>'FLF &amp; AGENT INFO'!$F$3:$F$28</xm:f>
          </x14:formula1>
          <xm:sqref>F7 F131 F106 F88 F63 F33 F195 F170 F225 F252 F273 F299 F339 F365 F391</xm:sqref>
        </x14:dataValidation>
        <x14:dataValidation type="list" allowBlank="1" showInputMessage="1" showErrorMessage="1" xr:uid="{00000000-0002-0000-1000-000005000000}">
          <x14:formula1>
            <xm:f>'FLF &amp; AGENT INFO'!$D$3:$D$31</xm:f>
          </x14:formula1>
          <xm:sqref>F6 F390 F364 F338 F298 F272 F251 F224 F169 F194 F130 F105 F87 F62 F32</xm:sqref>
        </x14:dataValidation>
        <x14:dataValidation type="list" allowBlank="1" showInputMessage="1" showErrorMessage="1" xr:uid="{00000000-0002-0000-1000-000006000000}">
          <x14:formula1>
            <xm:f>'VLU 2023 &amp; 2024'!$H$143:$H$160</xm:f>
          </x14:formula1>
          <xm:sqref>F360 F334</xm:sqref>
        </x14:dataValidation>
        <x14:dataValidation type="list" allowBlank="1" showInputMessage="1" showErrorMessage="1" xr:uid="{00000000-0002-0000-1000-000007000000}">
          <x14:formula1>
            <xm:f>'VLU 2023 &amp; 2024'!$I$143:$I$160</xm:f>
          </x14:formula1>
          <xm:sqref>L363 L337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CD192"/>
  <sheetViews>
    <sheetView zoomScale="80" zoomScaleNormal="80" zoomScaleSheetLayoutView="73" workbookViewId="0">
      <pane xSplit="16" ySplit="2" topLeftCell="Q27" activePane="bottomRight" state="frozen"/>
      <selection pane="topRight" activeCell="G277" sqref="G277"/>
      <selection pane="bottomLeft" activeCell="G277" sqref="G277"/>
      <selection pane="bottomRight" activeCell="G277" sqref="G277"/>
    </sheetView>
  </sheetViews>
  <sheetFormatPr defaultColWidth="9.33203125" defaultRowHeight="14.4"/>
  <cols>
    <col min="1" max="1" width="12.6640625" style="119" customWidth="1"/>
    <col min="2" max="2" width="7.5546875" style="119" customWidth="1"/>
    <col min="3" max="3" width="7.6640625" style="115" customWidth="1"/>
    <col min="4" max="4" width="6" style="115" customWidth="1"/>
    <col min="5" max="5" width="25.33203125" style="115" customWidth="1"/>
    <col min="6" max="6" width="10.5546875" style="115" hidden="1" customWidth="1"/>
    <col min="7" max="7" width="13.5546875" style="252" hidden="1" customWidth="1"/>
    <col min="8" max="8" width="12.5546875" style="252" hidden="1" customWidth="1"/>
    <col min="9" max="9" width="11.109375" style="117" customWidth="1"/>
    <col min="10" max="10" width="20.6640625" style="115" customWidth="1"/>
    <col min="11" max="11" width="15" style="115" customWidth="1"/>
    <col min="12" max="12" width="13.5546875" style="115" customWidth="1"/>
    <col min="13" max="13" width="0.5546875" style="118" customWidth="1"/>
    <col min="14" max="14" width="22.44140625" style="115" customWidth="1"/>
    <col min="15" max="15" width="22" style="115" customWidth="1"/>
    <col min="16" max="16" width="21.109375" style="115" customWidth="1"/>
    <col min="17" max="18" width="8.5546875" style="117" customWidth="1"/>
    <col min="19" max="19" width="10.33203125" style="117" customWidth="1"/>
    <col min="20" max="20" width="1.33203125" style="117" customWidth="1"/>
    <col min="21" max="21" width="10" style="115" bestFit="1" customWidth="1"/>
    <col min="22" max="22" width="10.33203125" style="115" customWidth="1"/>
    <col min="23" max="23" width="8.5546875" style="115" customWidth="1"/>
    <col min="24" max="24" width="10.33203125" style="115" customWidth="1"/>
    <col min="25" max="25" width="10.109375" style="115" customWidth="1"/>
    <col min="26" max="26" width="10.33203125" style="115" customWidth="1"/>
    <col min="27" max="49" width="8.5546875" style="115" customWidth="1"/>
    <col min="50" max="50" width="15.5546875" style="251" customWidth="1"/>
    <col min="51" max="51" width="16" style="251" customWidth="1"/>
    <col min="52" max="52" width="9.6640625" style="251" customWidth="1"/>
    <col min="53" max="53" width="15.5546875" style="251" customWidth="1"/>
    <col min="54" max="54" width="16.5546875" style="251" customWidth="1"/>
    <col min="55" max="55" width="16.44140625" style="251" customWidth="1"/>
    <col min="56" max="56" width="16" style="251" customWidth="1"/>
    <col min="57" max="57" width="15.5546875" style="251" customWidth="1"/>
    <col min="58" max="58" width="16.44140625" style="251" customWidth="1"/>
    <col min="59" max="59" width="15.5546875" style="251" customWidth="1"/>
    <col min="60" max="60" width="15.44140625" style="251" customWidth="1"/>
    <col min="61" max="61" width="17" style="251" customWidth="1"/>
    <col min="62" max="62" width="15.33203125" style="252" customWidth="1"/>
    <col min="63" max="63" width="15.5546875" style="251" customWidth="1"/>
    <col min="64" max="64" width="16.33203125" style="251" customWidth="1"/>
    <col min="65" max="65" width="15.5546875" style="251" customWidth="1"/>
    <col min="66" max="66" width="16.44140625" style="251" customWidth="1"/>
    <col min="67" max="68" width="15.5546875" style="115" customWidth="1"/>
    <col min="69" max="69" width="16.44140625" style="115" customWidth="1"/>
    <col min="70" max="70" width="49.5546875" style="116" customWidth="1"/>
    <col min="71" max="71" width="1.33203125" style="116" customWidth="1"/>
    <col min="72" max="72" width="10.5546875" style="251" customWidth="1"/>
    <col min="73" max="79" width="9.6640625" style="251" customWidth="1"/>
    <col min="80" max="80" width="11.33203125" style="115" bestFit="1" customWidth="1"/>
    <col min="81" max="16384" width="9.33203125" style="115"/>
  </cols>
  <sheetData>
    <row r="1" spans="1:80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1436</v>
      </c>
      <c r="R1" s="1286" t="s">
        <v>136</v>
      </c>
      <c r="S1" s="1236" t="s">
        <v>1437</v>
      </c>
      <c r="T1" s="403"/>
      <c r="U1" s="1224" t="s">
        <v>73</v>
      </c>
      <c r="V1" s="1224"/>
      <c r="W1" s="1224"/>
      <c r="X1" s="1220" t="s">
        <v>74</v>
      </c>
      <c r="Y1" s="1221"/>
      <c r="Z1" s="1222" t="s">
        <v>138</v>
      </c>
      <c r="AA1" s="1223"/>
      <c r="AB1" s="404" t="s">
        <v>85</v>
      </c>
      <c r="AC1" s="404" t="s">
        <v>139</v>
      </c>
      <c r="AD1" s="1224" t="s">
        <v>87</v>
      </c>
      <c r="AE1" s="1224"/>
      <c r="AF1" s="1224"/>
      <c r="AG1" s="1224"/>
      <c r="AH1" s="1224"/>
      <c r="AI1" s="1225" t="s">
        <v>138</v>
      </c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0"/>
      <c r="AW1" s="1221"/>
      <c r="AX1" s="1218" t="s">
        <v>140</v>
      </c>
      <c r="AY1" s="1218" t="s">
        <v>141</v>
      </c>
      <c r="AZ1" s="1226" t="s">
        <v>142</v>
      </c>
      <c r="BA1" s="1228" t="s">
        <v>143</v>
      </c>
      <c r="BB1" s="1228" t="s">
        <v>144</v>
      </c>
      <c r="BC1" s="1219" t="s">
        <v>1438</v>
      </c>
      <c r="BD1" s="1218" t="s">
        <v>146</v>
      </c>
      <c r="BE1" s="1218" t="s">
        <v>147</v>
      </c>
      <c r="BF1" s="1218" t="s">
        <v>148</v>
      </c>
      <c r="BG1" s="1218" t="s">
        <v>149</v>
      </c>
      <c r="BH1" s="1219" t="s">
        <v>150</v>
      </c>
      <c r="BI1" s="1219" t="s">
        <v>151</v>
      </c>
      <c r="BJ1" s="1219" t="s">
        <v>152</v>
      </c>
      <c r="BK1" s="1219" t="s">
        <v>153</v>
      </c>
      <c r="BL1" s="1219" t="s">
        <v>154</v>
      </c>
      <c r="BM1" s="1218" t="s">
        <v>155</v>
      </c>
      <c r="BN1" s="1218" t="s">
        <v>156</v>
      </c>
      <c r="BO1" s="1218" t="s">
        <v>157</v>
      </c>
      <c r="BP1" s="1218" t="s">
        <v>149</v>
      </c>
      <c r="BQ1" s="1218" t="s">
        <v>158</v>
      </c>
      <c r="BR1" s="1217" t="s">
        <v>159</v>
      </c>
      <c r="BS1" s="569"/>
      <c r="BT1" s="1213" t="s">
        <v>160</v>
      </c>
      <c r="BU1" s="1213" t="s">
        <v>111</v>
      </c>
      <c r="BV1" s="1213" t="s">
        <v>161</v>
      </c>
      <c r="BW1" s="1213" t="s">
        <v>162</v>
      </c>
      <c r="BX1" s="1213" t="s">
        <v>120</v>
      </c>
      <c r="BY1" s="1213" t="s">
        <v>163</v>
      </c>
      <c r="BZ1" s="1215" t="s">
        <v>164</v>
      </c>
      <c r="CA1" s="1215" t="s">
        <v>165</v>
      </c>
      <c r="CB1" s="1215" t="s">
        <v>166</v>
      </c>
    </row>
    <row r="2" spans="1:80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87"/>
      <c r="S2" s="1236"/>
      <c r="T2" s="403"/>
      <c r="U2" s="404" t="s">
        <v>167</v>
      </c>
      <c r="V2" s="404" t="s">
        <v>168</v>
      </c>
      <c r="W2" s="405" t="s">
        <v>169</v>
      </c>
      <c r="X2" s="404" t="s">
        <v>170</v>
      </c>
      <c r="Y2" s="404" t="s">
        <v>171</v>
      </c>
      <c r="Z2" s="406" t="s">
        <v>172</v>
      </c>
      <c r="AA2" s="406" t="s">
        <v>173</v>
      </c>
      <c r="AB2" s="404" t="s">
        <v>174</v>
      </c>
      <c r="AC2" s="404" t="s">
        <v>139</v>
      </c>
      <c r="AD2" s="405" t="s">
        <v>175</v>
      </c>
      <c r="AE2" s="405" t="s">
        <v>176</v>
      </c>
      <c r="AF2" s="405" t="s">
        <v>177</v>
      </c>
      <c r="AG2" s="405" t="s">
        <v>178</v>
      </c>
      <c r="AH2" s="405" t="s">
        <v>179</v>
      </c>
      <c r="AI2" s="404" t="s">
        <v>81</v>
      </c>
      <c r="AJ2" s="404" t="s">
        <v>180</v>
      </c>
      <c r="AK2" s="404" t="s">
        <v>181</v>
      </c>
      <c r="AL2" s="404" t="s">
        <v>76</v>
      </c>
      <c r="AM2" s="404" t="s">
        <v>84</v>
      </c>
      <c r="AN2" s="404" t="s">
        <v>88</v>
      </c>
      <c r="AO2" s="404" t="s">
        <v>78</v>
      </c>
      <c r="AP2" s="404" t="s">
        <v>80</v>
      </c>
      <c r="AQ2" s="404" t="s">
        <v>86</v>
      </c>
      <c r="AR2" s="404" t="s">
        <v>82</v>
      </c>
      <c r="AS2" s="404" t="s">
        <v>182</v>
      </c>
      <c r="AT2" s="404" t="s">
        <v>183</v>
      </c>
      <c r="AU2" s="404" t="s">
        <v>184</v>
      </c>
      <c r="AV2" s="404" t="s">
        <v>100</v>
      </c>
      <c r="AW2" s="404" t="s">
        <v>913</v>
      </c>
      <c r="AX2" s="1218"/>
      <c r="AY2" s="1218"/>
      <c r="AZ2" s="1227"/>
      <c r="BA2" s="1229"/>
      <c r="BB2" s="1229"/>
      <c r="BC2" s="1219"/>
      <c r="BD2" s="1218"/>
      <c r="BE2" s="1218"/>
      <c r="BF2" s="1218"/>
      <c r="BG2" s="1218"/>
      <c r="BH2" s="1219"/>
      <c r="BI2" s="1219"/>
      <c r="BJ2" s="1219"/>
      <c r="BK2" s="1219"/>
      <c r="BL2" s="1219"/>
      <c r="BM2" s="1218"/>
      <c r="BN2" s="1218"/>
      <c r="BO2" s="1218"/>
      <c r="BP2" s="1218"/>
      <c r="BQ2" s="1218"/>
      <c r="BR2" s="1217"/>
      <c r="BS2" s="250"/>
      <c r="BT2" s="1214"/>
      <c r="BU2" s="1214"/>
      <c r="BV2" s="1214"/>
      <c r="BW2" s="1214"/>
      <c r="BX2" s="1214"/>
      <c r="BY2" s="1214"/>
      <c r="BZ2" s="1216"/>
      <c r="CA2" s="1216"/>
      <c r="CB2" s="1216"/>
    </row>
    <row r="3" spans="1:80">
      <c r="A3" s="208" t="s">
        <v>2585</v>
      </c>
      <c r="B3" s="115"/>
      <c r="E3" s="77"/>
      <c r="G3" s="299"/>
      <c r="H3" s="299"/>
      <c r="I3" s="115"/>
      <c r="M3" s="115"/>
      <c r="Z3" s="117"/>
      <c r="AZ3" s="300"/>
      <c r="BJ3" s="251"/>
      <c r="BO3" s="251"/>
      <c r="BP3" s="251"/>
      <c r="BQ3" s="251"/>
      <c r="BR3" s="115"/>
      <c r="BS3" s="115"/>
      <c r="BT3" s="302"/>
      <c r="BU3" s="302"/>
      <c r="BV3" s="302"/>
      <c r="BW3" s="302"/>
      <c r="BX3" s="303"/>
      <c r="BY3" s="303"/>
      <c r="BZ3" s="304"/>
      <c r="CA3" s="304"/>
      <c r="CB3" s="305"/>
    </row>
    <row r="4" spans="1:80" s="126" customFormat="1">
      <c r="A4" s="192">
        <f t="shared" ref="A4:A51" si="0">BD4</f>
        <v>45115.677083333336</v>
      </c>
      <c r="B4" s="126" t="s">
        <v>188</v>
      </c>
      <c r="C4" s="126" t="s">
        <v>88</v>
      </c>
      <c r="D4" s="126" t="s">
        <v>189</v>
      </c>
      <c r="E4" s="65" t="s">
        <v>2134</v>
      </c>
      <c r="G4" s="165">
        <v>45131.166666666664</v>
      </c>
      <c r="H4" s="165">
        <v>45131.025000000001</v>
      </c>
      <c r="I4" s="126" t="s">
        <v>191</v>
      </c>
      <c r="J4" s="126" t="s">
        <v>192</v>
      </c>
      <c r="K4" s="126" t="s">
        <v>192</v>
      </c>
      <c r="L4" s="126" t="s">
        <v>2136</v>
      </c>
      <c r="M4" s="167"/>
      <c r="N4" s="126" t="s">
        <v>2137</v>
      </c>
      <c r="O4" s="126" t="s">
        <v>2138</v>
      </c>
      <c r="P4" s="126" t="s">
        <v>88</v>
      </c>
      <c r="Q4" s="181">
        <v>5000</v>
      </c>
      <c r="R4" s="181">
        <v>5000</v>
      </c>
      <c r="S4" s="181">
        <v>5049.3050000000003</v>
      </c>
      <c r="T4" s="181"/>
      <c r="AN4" s="181">
        <f>S4</f>
        <v>5049.3050000000003</v>
      </c>
      <c r="AX4" s="165">
        <f t="shared" ref="AX4:AX35" si="1">BA4</f>
        <v>45115.670138888891</v>
      </c>
      <c r="AY4" s="165">
        <f t="shared" ref="AY4:AY35" si="2">BQ4</f>
        <v>45123.746527777781</v>
      </c>
      <c r="AZ4" s="137">
        <f t="shared" ref="AZ4:AZ35" si="3">AY4-AX4</f>
        <v>8.0763888888905058</v>
      </c>
      <c r="BA4" s="165">
        <v>45115.670138888891</v>
      </c>
      <c r="BB4" s="165">
        <v>45115.670138888891</v>
      </c>
      <c r="BC4" s="165">
        <v>45115.670138888891</v>
      </c>
      <c r="BD4" s="165">
        <v>45115.677083333336</v>
      </c>
      <c r="BE4" s="165">
        <v>45116.135416666664</v>
      </c>
      <c r="BF4" s="165">
        <v>45116.135416666664</v>
      </c>
      <c r="BG4" s="165">
        <v>45116.135416666664</v>
      </c>
      <c r="BH4" s="165">
        <v>45116.135416666664</v>
      </c>
      <c r="BI4" s="166" t="s">
        <v>196</v>
      </c>
      <c r="BJ4" s="166" t="s">
        <v>196</v>
      </c>
      <c r="BK4" s="166" t="s">
        <v>196</v>
      </c>
      <c r="BL4" s="165">
        <v>45122.902777777781</v>
      </c>
      <c r="BM4" s="165">
        <v>45123.329861111109</v>
      </c>
      <c r="BN4" s="165">
        <v>45123.736111111109</v>
      </c>
      <c r="BO4" s="165">
        <v>45123.746527777781</v>
      </c>
      <c r="BP4" s="165">
        <v>45123.746527777781</v>
      </c>
      <c r="BQ4" s="165">
        <v>45123.746527777781</v>
      </c>
      <c r="BT4" s="136">
        <f t="shared" ref="BT4:BT51" si="4">(BC4-BB4)*24</f>
        <v>0</v>
      </c>
      <c r="BU4" s="136">
        <f t="shared" ref="BU4:BU51" si="5">(BE4-BD4)*24</f>
        <v>10.999999999883585</v>
      </c>
      <c r="BV4" s="136">
        <f t="shared" ref="BV4:BV51" si="6">(BH4-BG4)*24</f>
        <v>0</v>
      </c>
      <c r="BW4" s="136">
        <f>(BL4-BH4)*24</f>
        <v>162.41666666680248</v>
      </c>
      <c r="BX4" s="135">
        <f t="shared" ref="BX4:BX51" si="7">(BN4-BM4)*24</f>
        <v>9.75</v>
      </c>
      <c r="BY4" s="135">
        <f t="shared" ref="BY4:BY51" si="8">(BQ4-BP4)*24</f>
        <v>0</v>
      </c>
      <c r="BZ4" s="134">
        <f t="shared" ref="BZ4:BZ51" si="9">SUM(BT4:BY4)/24</f>
        <v>7.6319444444452529</v>
      </c>
      <c r="CA4" s="134">
        <f t="shared" ref="CA4:CA51" si="10">AZ4</f>
        <v>8.0763888888905058</v>
      </c>
      <c r="CB4" s="133">
        <f t="shared" ref="CB4:CB51" si="11">BZ4/CA4</f>
        <v>0.94496990541693582</v>
      </c>
    </row>
    <row r="5" spans="1:80" s="126" customFormat="1">
      <c r="A5" s="192">
        <f t="shared" si="0"/>
        <v>45126.486111111109</v>
      </c>
      <c r="B5" s="126" t="s">
        <v>188</v>
      </c>
      <c r="C5" s="126" t="s">
        <v>88</v>
      </c>
      <c r="D5" s="126" t="s">
        <v>189</v>
      </c>
      <c r="E5" s="126" t="s">
        <v>2586</v>
      </c>
      <c r="F5" s="65"/>
      <c r="G5" s="165">
        <v>45128.385416666664</v>
      </c>
      <c r="H5" s="165">
        <v>45128.385416666664</v>
      </c>
      <c r="I5" s="126" t="s">
        <v>191</v>
      </c>
      <c r="J5" s="126" t="s">
        <v>192</v>
      </c>
      <c r="K5" s="126" t="s">
        <v>192</v>
      </c>
      <c r="L5" s="126" t="s">
        <v>2587</v>
      </c>
      <c r="M5" s="167"/>
      <c r="N5" s="126" t="s">
        <v>2588</v>
      </c>
      <c r="O5" s="126" t="s">
        <v>2589</v>
      </c>
      <c r="P5" s="126" t="s">
        <v>88</v>
      </c>
      <c r="Q5" s="181">
        <v>5000</v>
      </c>
      <c r="R5" s="181">
        <v>5000</v>
      </c>
      <c r="S5" s="181">
        <v>5009.3879999999999</v>
      </c>
      <c r="T5" s="181"/>
      <c r="AN5" s="181">
        <f>S5</f>
        <v>5009.3879999999999</v>
      </c>
      <c r="AX5" s="165">
        <f t="shared" si="1"/>
        <v>45126.479166666664</v>
      </c>
      <c r="AY5" s="165">
        <f t="shared" si="2"/>
        <v>45135.972222222219</v>
      </c>
      <c r="AZ5" s="137">
        <f t="shared" si="3"/>
        <v>9.4930555555547471</v>
      </c>
      <c r="BA5" s="165">
        <v>45126.479166666664</v>
      </c>
      <c r="BB5" s="165">
        <v>45126.479166666664</v>
      </c>
      <c r="BC5" s="165">
        <v>45126.479166666664</v>
      </c>
      <c r="BD5" s="165">
        <v>45126.486111111109</v>
      </c>
      <c r="BE5" s="165">
        <v>45126.947916666664</v>
      </c>
      <c r="BF5" s="165">
        <v>45126.965277777781</v>
      </c>
      <c r="BG5" s="165">
        <v>45126.965277777781</v>
      </c>
      <c r="BH5" s="165">
        <v>45126.965277777781</v>
      </c>
      <c r="BI5" s="166" t="s">
        <v>196</v>
      </c>
      <c r="BJ5" s="166" t="s">
        <v>196</v>
      </c>
      <c r="BK5" s="166" t="s">
        <v>196</v>
      </c>
      <c r="BL5" s="165">
        <v>45133.614583333336</v>
      </c>
      <c r="BM5" s="165">
        <v>45134.690972222219</v>
      </c>
      <c r="BN5" s="165">
        <v>45135.940972222219</v>
      </c>
      <c r="BO5" s="165">
        <v>45135.972222222219</v>
      </c>
      <c r="BP5" s="165">
        <v>45135.972222222219</v>
      </c>
      <c r="BQ5" s="165">
        <v>45135.972222222219</v>
      </c>
      <c r="BT5" s="136">
        <f t="shared" si="4"/>
        <v>0</v>
      </c>
      <c r="BU5" s="136">
        <f t="shared" si="5"/>
        <v>11.083333333313931</v>
      </c>
      <c r="BV5" s="136">
        <f t="shared" si="6"/>
        <v>0</v>
      </c>
      <c r="BW5" s="136">
        <f>(BL5-BH5)*24</f>
        <v>159.58333333331393</v>
      </c>
      <c r="BX5" s="135">
        <f t="shared" si="7"/>
        <v>30</v>
      </c>
      <c r="BY5" s="135">
        <f t="shared" si="8"/>
        <v>0</v>
      </c>
      <c r="BZ5" s="134">
        <f t="shared" si="9"/>
        <v>8.3611111111094942</v>
      </c>
      <c r="CA5" s="134">
        <f t="shared" si="10"/>
        <v>9.4930555555547471</v>
      </c>
      <c r="CB5" s="133">
        <f t="shared" si="11"/>
        <v>0.88076079005111174</v>
      </c>
    </row>
    <row r="6" spans="1:80" s="126" customFormat="1">
      <c r="A6" s="192">
        <f t="shared" si="0"/>
        <v>45128.069444444445</v>
      </c>
      <c r="B6" s="126" t="s">
        <v>188</v>
      </c>
      <c r="C6" s="126" t="s">
        <v>88</v>
      </c>
      <c r="D6" s="126" t="s">
        <v>189</v>
      </c>
      <c r="E6" s="65" t="s">
        <v>2590</v>
      </c>
      <c r="F6" s="65"/>
      <c r="G6" s="315">
        <v>45130.375</v>
      </c>
      <c r="H6" s="315">
        <v>45130.275000000001</v>
      </c>
      <c r="I6" s="126" t="s">
        <v>191</v>
      </c>
      <c r="J6" s="126" t="s">
        <v>192</v>
      </c>
      <c r="K6" s="126" t="s">
        <v>192</v>
      </c>
      <c r="L6" s="126" t="s">
        <v>2591</v>
      </c>
      <c r="M6" s="167"/>
      <c r="N6" s="126" t="s">
        <v>2592</v>
      </c>
      <c r="O6" s="126" t="s">
        <v>2593</v>
      </c>
      <c r="P6" s="126" t="s">
        <v>88</v>
      </c>
      <c r="Q6" s="181">
        <v>5000</v>
      </c>
      <c r="R6" s="181">
        <v>5000</v>
      </c>
      <c r="S6" s="181">
        <v>5009.1790000000001</v>
      </c>
      <c r="T6" s="181"/>
      <c r="AN6" s="181">
        <f>S6</f>
        <v>5009.1790000000001</v>
      </c>
      <c r="AX6" s="165">
        <f t="shared" si="1"/>
        <v>45128.0625</v>
      </c>
      <c r="AY6" s="165">
        <f t="shared" si="2"/>
        <v>45137.684027777781</v>
      </c>
      <c r="AZ6" s="137">
        <f t="shared" si="3"/>
        <v>9.6215277777810115</v>
      </c>
      <c r="BA6" s="165">
        <v>45128.0625</v>
      </c>
      <c r="BB6" s="165">
        <v>45128.0625</v>
      </c>
      <c r="BC6" s="165">
        <v>45128.0625</v>
      </c>
      <c r="BD6" s="165">
        <v>45128.069444444445</v>
      </c>
      <c r="BE6" s="165">
        <v>45128.638888888891</v>
      </c>
      <c r="BF6" s="165">
        <v>45128.638888888891</v>
      </c>
      <c r="BG6" s="165">
        <v>45128.638888888891</v>
      </c>
      <c r="BH6" s="165">
        <v>45128.638888888891</v>
      </c>
      <c r="BI6" s="166" t="s">
        <v>196</v>
      </c>
      <c r="BJ6" s="166" t="s">
        <v>196</v>
      </c>
      <c r="BK6" s="166" t="s">
        <v>196</v>
      </c>
      <c r="BL6" s="165">
        <v>45135.25</v>
      </c>
      <c r="BM6" s="165">
        <v>45137.284722222219</v>
      </c>
      <c r="BN6" s="165">
        <v>45137.597222222219</v>
      </c>
      <c r="BO6" s="165">
        <v>45137.642361111109</v>
      </c>
      <c r="BP6" s="165">
        <v>45137.684027777781</v>
      </c>
      <c r="BQ6" s="337">
        <v>45137.684027777781</v>
      </c>
      <c r="BT6" s="136">
        <f t="shared" si="4"/>
        <v>0</v>
      </c>
      <c r="BU6" s="136">
        <f t="shared" si="5"/>
        <v>13.666666666686069</v>
      </c>
      <c r="BV6" s="136">
        <f t="shared" si="6"/>
        <v>0</v>
      </c>
      <c r="BW6" s="136">
        <f>(BL6-BH6)*24</f>
        <v>158.66666666662786</v>
      </c>
      <c r="BX6" s="135">
        <f t="shared" si="7"/>
        <v>7.5</v>
      </c>
      <c r="BY6" s="135">
        <f t="shared" si="8"/>
        <v>0</v>
      </c>
      <c r="BZ6" s="134">
        <f t="shared" si="9"/>
        <v>7.4930555555547471</v>
      </c>
      <c r="CA6" s="134">
        <f t="shared" si="10"/>
        <v>9.6215277777810115</v>
      </c>
      <c r="CB6" s="133">
        <f t="shared" si="11"/>
        <v>0.7787802237455943</v>
      </c>
    </row>
    <row r="7" spans="1:80" s="126" customFormat="1">
      <c r="A7" s="192">
        <f t="shared" si="0"/>
        <v>45117.583333333336</v>
      </c>
      <c r="B7" s="126" t="s">
        <v>188</v>
      </c>
      <c r="C7" s="126" t="s">
        <v>78</v>
      </c>
      <c r="D7" s="126" t="s">
        <v>197</v>
      </c>
      <c r="E7" s="65" t="s">
        <v>2594</v>
      </c>
      <c r="G7" s="165">
        <v>45126.520833333336</v>
      </c>
      <c r="H7" s="165">
        <v>45126.520833333336</v>
      </c>
      <c r="I7" s="126" t="s">
        <v>199</v>
      </c>
      <c r="J7" s="126" t="s">
        <v>192</v>
      </c>
      <c r="K7" s="126" t="s">
        <v>192</v>
      </c>
      <c r="L7" s="126" t="s">
        <v>2595</v>
      </c>
      <c r="M7" s="167"/>
      <c r="N7" s="126" t="s">
        <v>260</v>
      </c>
      <c r="O7" s="126" t="s">
        <v>261</v>
      </c>
      <c r="P7" s="126" t="s">
        <v>78</v>
      </c>
      <c r="Q7" s="181">
        <f>3107*2.4</f>
        <v>7456.7999999999993</v>
      </c>
      <c r="R7" s="181">
        <f>7500+100</f>
        <v>7600</v>
      </c>
      <c r="S7" s="181">
        <v>7500</v>
      </c>
      <c r="T7" s="181"/>
      <c r="AO7" s="181">
        <f t="shared" ref="AO7:AO13" si="12">S7</f>
        <v>7500</v>
      </c>
      <c r="AX7" s="165">
        <f t="shared" si="1"/>
        <v>45111.666666666664</v>
      </c>
      <c r="AY7" s="165">
        <f t="shared" si="2"/>
        <v>45122.395833333336</v>
      </c>
      <c r="AZ7" s="137">
        <f t="shared" si="3"/>
        <v>10.729166666671517</v>
      </c>
      <c r="BA7" s="165">
        <v>45111.666666666664</v>
      </c>
      <c r="BB7" s="165">
        <v>45114.8125</v>
      </c>
      <c r="BC7" s="165">
        <v>45114.868055555555</v>
      </c>
      <c r="BD7" s="165">
        <v>45117.583333333336</v>
      </c>
      <c r="BE7" s="165">
        <v>45118.097222222219</v>
      </c>
      <c r="BF7" s="165">
        <v>45118.118055555555</v>
      </c>
      <c r="BG7" s="165">
        <v>45118.118055555555</v>
      </c>
      <c r="BH7" s="165">
        <f t="shared" ref="BH7:BH12" si="13">BG7+(5/24)</f>
        <v>45118.326388888891</v>
      </c>
      <c r="BI7" s="165">
        <v>45119.291666666664</v>
      </c>
      <c r="BJ7" s="165">
        <v>45119.458333333328</v>
      </c>
      <c r="BK7" s="165">
        <v>45119.322916666664</v>
      </c>
      <c r="BL7" s="165">
        <v>45120.753472222219</v>
      </c>
      <c r="BM7" s="165">
        <v>45121.305555555555</v>
      </c>
      <c r="BN7" s="165">
        <v>45121.520833333336</v>
      </c>
      <c r="BO7" s="165">
        <v>45121.75</v>
      </c>
      <c r="BP7" s="165">
        <v>45121.951388888891</v>
      </c>
      <c r="BQ7" s="165">
        <v>45122.395833333336</v>
      </c>
      <c r="BT7" s="136">
        <f t="shared" si="4"/>
        <v>1.3333333333139308</v>
      </c>
      <c r="BU7" s="136">
        <f t="shared" si="5"/>
        <v>12.333333333197515</v>
      </c>
      <c r="BV7" s="136">
        <f t="shared" si="6"/>
        <v>5.0000000000582077</v>
      </c>
      <c r="BW7" s="136">
        <f t="shared" ref="BW7:BW51" si="14">(BL7-BJ7)*24</f>
        <v>31.083333333372138</v>
      </c>
      <c r="BX7" s="135">
        <f t="shared" si="7"/>
        <v>5.1666666667442769</v>
      </c>
      <c r="BY7" s="135">
        <f t="shared" si="8"/>
        <v>10.666666666686069</v>
      </c>
      <c r="BZ7" s="134">
        <f t="shared" si="9"/>
        <v>2.7326388888905058</v>
      </c>
      <c r="CA7" s="134">
        <f t="shared" si="10"/>
        <v>10.729166666671517</v>
      </c>
      <c r="CB7" s="133">
        <f t="shared" si="11"/>
        <v>0.25469255663433976</v>
      </c>
    </row>
    <row r="8" spans="1:80" s="126" customFormat="1">
      <c r="A8" s="192">
        <f t="shared" si="0"/>
        <v>45118.197916666664</v>
      </c>
      <c r="B8" s="126" t="s">
        <v>188</v>
      </c>
      <c r="C8" s="126" t="s">
        <v>78</v>
      </c>
      <c r="D8" s="126" t="s">
        <v>197</v>
      </c>
      <c r="E8" s="65" t="s">
        <v>2594</v>
      </c>
      <c r="G8" s="165">
        <v>45126.520833333336</v>
      </c>
      <c r="H8" s="165">
        <v>45126.520833333336</v>
      </c>
      <c r="I8" s="126" t="s">
        <v>199</v>
      </c>
      <c r="J8" s="126" t="s">
        <v>192</v>
      </c>
      <c r="K8" s="126" t="s">
        <v>192</v>
      </c>
      <c r="L8" s="126" t="s">
        <v>2596</v>
      </c>
      <c r="M8" s="167"/>
      <c r="N8" s="126" t="s">
        <v>226</v>
      </c>
      <c r="O8" s="126" t="s">
        <v>227</v>
      </c>
      <c r="P8" s="126" t="s">
        <v>78</v>
      </c>
      <c r="Q8" s="181">
        <f>3100*2.4</f>
        <v>7440</v>
      </c>
      <c r="R8" s="181">
        <f>7450+100</f>
        <v>7550</v>
      </c>
      <c r="S8" s="181">
        <v>7500</v>
      </c>
      <c r="T8" s="181"/>
      <c r="AO8" s="181">
        <f t="shared" si="12"/>
        <v>7500</v>
      </c>
      <c r="AX8" s="165">
        <f t="shared" si="1"/>
        <v>45111.923611111109</v>
      </c>
      <c r="AY8" s="165">
        <f t="shared" si="2"/>
        <v>45124.315972222219</v>
      </c>
      <c r="AZ8" s="137">
        <f t="shared" si="3"/>
        <v>12.392361111109494</v>
      </c>
      <c r="BA8" s="165">
        <v>45111.923611111109</v>
      </c>
      <c r="BB8" s="165">
        <v>45116.513888888891</v>
      </c>
      <c r="BC8" s="165">
        <v>45116.5625</v>
      </c>
      <c r="BD8" s="165">
        <v>45118.197916666664</v>
      </c>
      <c r="BE8" s="165">
        <v>45118.729166666664</v>
      </c>
      <c r="BF8" s="165">
        <v>45118.75</v>
      </c>
      <c r="BG8" s="165">
        <v>45118.75</v>
      </c>
      <c r="BH8" s="165">
        <f t="shared" si="13"/>
        <v>45118.958333333336</v>
      </c>
      <c r="BI8" s="165">
        <v>45120.458333333336</v>
      </c>
      <c r="BJ8" s="165">
        <v>45120.625</v>
      </c>
      <c r="BK8" s="165">
        <v>45120.59375</v>
      </c>
      <c r="BL8" s="165">
        <v>45122.409722222219</v>
      </c>
      <c r="BM8" s="165">
        <v>45122.986111111109</v>
      </c>
      <c r="BN8" s="165">
        <v>45123.21875</v>
      </c>
      <c r="BO8" s="165">
        <v>45123.239583333336</v>
      </c>
      <c r="BP8" s="165">
        <v>45123.774305555555</v>
      </c>
      <c r="BQ8" s="165">
        <v>45124.315972222219</v>
      </c>
      <c r="BT8" s="136">
        <f t="shared" si="4"/>
        <v>1.1666666666278616</v>
      </c>
      <c r="BU8" s="136">
        <f t="shared" si="5"/>
        <v>12.75</v>
      </c>
      <c r="BV8" s="136">
        <f t="shared" si="6"/>
        <v>5.0000000000582077</v>
      </c>
      <c r="BW8" s="136">
        <f t="shared" si="14"/>
        <v>42.833333333255723</v>
      </c>
      <c r="BX8" s="135">
        <f t="shared" si="7"/>
        <v>5.5833333333721384</v>
      </c>
      <c r="BY8" s="135">
        <f t="shared" si="8"/>
        <v>12.999999999941792</v>
      </c>
      <c r="BZ8" s="134">
        <f t="shared" si="9"/>
        <v>3.3472222222189885</v>
      </c>
      <c r="CA8" s="134">
        <f t="shared" si="10"/>
        <v>12.392361111109494</v>
      </c>
      <c r="CB8" s="133">
        <f t="shared" si="11"/>
        <v>0.27010367049571155</v>
      </c>
    </row>
    <row r="9" spans="1:80" s="126" customFormat="1">
      <c r="A9" s="192">
        <f t="shared" si="0"/>
        <v>45118.819444444445</v>
      </c>
      <c r="B9" s="126" t="s">
        <v>188</v>
      </c>
      <c r="C9" s="126" t="s">
        <v>78</v>
      </c>
      <c r="D9" s="126" t="s">
        <v>197</v>
      </c>
      <c r="E9" s="65" t="s">
        <v>2597</v>
      </c>
      <c r="G9" s="165">
        <v>45127.591666666667</v>
      </c>
      <c r="H9" s="165">
        <v>45127.591666666667</v>
      </c>
      <c r="I9" s="126" t="s">
        <v>199</v>
      </c>
      <c r="J9" s="126" t="s">
        <v>192</v>
      </c>
      <c r="K9" s="126" t="s">
        <v>192</v>
      </c>
      <c r="L9" s="126" t="s">
        <v>2598</v>
      </c>
      <c r="M9" s="129"/>
      <c r="N9" s="126" t="s">
        <v>238</v>
      </c>
      <c r="O9" s="126" t="s">
        <v>239</v>
      </c>
      <c r="P9" s="126" t="s">
        <v>78</v>
      </c>
      <c r="Q9" s="181">
        <f>3100*2.4</f>
        <v>7440</v>
      </c>
      <c r="R9" s="181">
        <f>7450+100</f>
        <v>7550</v>
      </c>
      <c r="S9" s="181">
        <v>7500</v>
      </c>
      <c r="T9" s="181"/>
      <c r="AO9" s="181">
        <f t="shared" si="12"/>
        <v>7500</v>
      </c>
      <c r="AX9" s="165">
        <f t="shared" si="1"/>
        <v>45111.986111111109</v>
      </c>
      <c r="AY9" s="165">
        <f t="shared" si="2"/>
        <v>45124.420138888891</v>
      </c>
      <c r="AZ9" s="137">
        <f t="shared" si="3"/>
        <v>12.434027777781012</v>
      </c>
      <c r="BA9" s="165">
        <v>45111.986111111109</v>
      </c>
      <c r="BB9" s="165">
        <v>45115.78125</v>
      </c>
      <c r="BC9" s="165">
        <v>45115.822916666664</v>
      </c>
      <c r="BD9" s="165">
        <v>45118.819444444445</v>
      </c>
      <c r="BE9" s="165">
        <v>45119.420138888891</v>
      </c>
      <c r="BF9" s="165">
        <v>45119.4375</v>
      </c>
      <c r="BG9" s="165">
        <v>45119.4375</v>
      </c>
      <c r="BH9" s="165">
        <f t="shared" si="13"/>
        <v>45119.645833333336</v>
      </c>
      <c r="BI9" s="165">
        <v>45120.458333333336</v>
      </c>
      <c r="BJ9" s="165">
        <v>45120.625</v>
      </c>
      <c r="BK9" s="165">
        <v>45120.590277777781</v>
      </c>
      <c r="BL9" s="165">
        <v>45122.4375</v>
      </c>
      <c r="BM9" s="165">
        <v>45123.826388888891</v>
      </c>
      <c r="BN9" s="165">
        <v>45124.076388888891</v>
      </c>
      <c r="BO9" s="165">
        <v>45124.090277777781</v>
      </c>
      <c r="BP9" s="165">
        <v>45124.09375</v>
      </c>
      <c r="BQ9" s="165">
        <v>45124.420138888891</v>
      </c>
      <c r="BT9" s="136">
        <f t="shared" si="4"/>
        <v>0.99999999994179234</v>
      </c>
      <c r="BU9" s="136">
        <f t="shared" si="5"/>
        <v>14.416666666686069</v>
      </c>
      <c r="BV9" s="136">
        <f t="shared" si="6"/>
        <v>5.0000000000582077</v>
      </c>
      <c r="BW9" s="136">
        <f t="shared" si="14"/>
        <v>43.5</v>
      </c>
      <c r="BX9" s="135">
        <f t="shared" si="7"/>
        <v>6</v>
      </c>
      <c r="BY9" s="135">
        <f t="shared" si="8"/>
        <v>7.8333333333721384</v>
      </c>
      <c r="BZ9" s="134">
        <f t="shared" si="9"/>
        <v>3.2395833333357587</v>
      </c>
      <c r="CA9" s="134">
        <f t="shared" si="10"/>
        <v>12.434027777781012</v>
      </c>
      <c r="CB9" s="133">
        <f t="shared" si="11"/>
        <v>0.26054174811517894</v>
      </c>
    </row>
    <row r="10" spans="1:80" s="126" customFormat="1">
      <c r="A10" s="192">
        <f t="shared" si="0"/>
        <v>45119.958333333336</v>
      </c>
      <c r="B10" s="126" t="s">
        <v>188</v>
      </c>
      <c r="C10" s="126" t="s">
        <v>78</v>
      </c>
      <c r="D10" s="126" t="s">
        <v>197</v>
      </c>
      <c r="E10" s="65" t="s">
        <v>2120</v>
      </c>
      <c r="G10" s="315">
        <v>45123.75</v>
      </c>
      <c r="H10" s="315">
        <v>45123.729166666664</v>
      </c>
      <c r="I10" s="126" t="s">
        <v>211</v>
      </c>
      <c r="J10" s="126" t="s">
        <v>192</v>
      </c>
      <c r="K10" s="126" t="s">
        <v>192</v>
      </c>
      <c r="L10" s="126" t="s">
        <v>2125</v>
      </c>
      <c r="M10" s="167"/>
      <c r="N10" s="126" t="s">
        <v>1255</v>
      </c>
      <c r="O10" s="126" t="s">
        <v>268</v>
      </c>
      <c r="P10" s="126" t="s">
        <v>78</v>
      </c>
      <c r="Q10" s="181">
        <f>3142*2.4</f>
        <v>7540.7999999999993</v>
      </c>
      <c r="R10" s="181">
        <f>7550+100</f>
        <v>7650</v>
      </c>
      <c r="S10" s="181">
        <v>7500</v>
      </c>
      <c r="T10" s="181"/>
      <c r="AO10" s="181">
        <f t="shared" si="12"/>
        <v>7500</v>
      </c>
      <c r="AX10" s="165">
        <f t="shared" si="1"/>
        <v>45118.395833333336</v>
      </c>
      <c r="AY10" s="165">
        <f t="shared" si="2"/>
        <v>45126.375</v>
      </c>
      <c r="AZ10" s="137">
        <f t="shared" si="3"/>
        <v>7.9791666666642413</v>
      </c>
      <c r="BA10" s="165">
        <v>45118.395833333336</v>
      </c>
      <c r="BB10" s="165">
        <v>45119.576388888891</v>
      </c>
      <c r="BC10" s="165">
        <v>45119.645833333336</v>
      </c>
      <c r="BD10" s="165">
        <v>45119.958333333336</v>
      </c>
      <c r="BE10" s="165">
        <v>45120.604166666664</v>
      </c>
      <c r="BF10" s="165">
        <v>45120.621527777781</v>
      </c>
      <c r="BG10" s="165">
        <v>45120.621527777781</v>
      </c>
      <c r="BH10" s="165">
        <f t="shared" si="13"/>
        <v>45120.829861111117</v>
      </c>
      <c r="BI10" s="165">
        <v>45121.5</v>
      </c>
      <c r="BJ10" s="165">
        <v>45121.666666666664</v>
      </c>
      <c r="BK10" s="210">
        <v>45121.666666666664</v>
      </c>
      <c r="BL10" s="165">
        <v>45123.020833333336</v>
      </c>
      <c r="BM10" s="196">
        <v>45125.090277777781</v>
      </c>
      <c r="BN10" s="165">
        <v>45125.822916666664</v>
      </c>
      <c r="BO10" s="165">
        <v>45125.840277777781</v>
      </c>
      <c r="BP10" s="165">
        <v>45126.166666666664</v>
      </c>
      <c r="BQ10" s="165">
        <v>45126.375</v>
      </c>
      <c r="BT10" s="136">
        <f t="shared" si="4"/>
        <v>1.6666666666860692</v>
      </c>
      <c r="BU10" s="136">
        <f t="shared" si="5"/>
        <v>15.499999999883585</v>
      </c>
      <c r="BV10" s="136">
        <f t="shared" si="6"/>
        <v>5.0000000000582077</v>
      </c>
      <c r="BW10" s="136">
        <f t="shared" si="14"/>
        <v>32.500000000116415</v>
      </c>
      <c r="BX10" s="135">
        <f t="shared" si="7"/>
        <v>17.583333333197515</v>
      </c>
      <c r="BY10" s="135">
        <f t="shared" si="8"/>
        <v>5.0000000000582077</v>
      </c>
      <c r="BZ10" s="134">
        <f t="shared" si="9"/>
        <v>3.21875</v>
      </c>
      <c r="CA10" s="134">
        <f t="shared" si="10"/>
        <v>7.9791666666642413</v>
      </c>
      <c r="CB10" s="133">
        <f t="shared" si="11"/>
        <v>0.40339425587479627</v>
      </c>
    </row>
    <row r="11" spans="1:80" s="126" customFormat="1">
      <c r="A11" s="192">
        <f t="shared" si="0"/>
        <v>45127.604166666664</v>
      </c>
      <c r="B11" s="126" t="s">
        <v>188</v>
      </c>
      <c r="C11" s="126" t="s">
        <v>78</v>
      </c>
      <c r="D11" s="126" t="s">
        <v>197</v>
      </c>
      <c r="E11" s="65" t="s">
        <v>2599</v>
      </c>
      <c r="G11" s="165">
        <v>45131.270833333336</v>
      </c>
      <c r="H11" s="165">
        <v>45131.270833333336</v>
      </c>
      <c r="I11" s="126" t="s">
        <v>199</v>
      </c>
      <c r="J11" s="126" t="s">
        <v>192</v>
      </c>
      <c r="K11" s="126" t="s">
        <v>192</v>
      </c>
      <c r="L11" s="126" t="s">
        <v>2600</v>
      </c>
      <c r="M11" s="167"/>
      <c r="N11" s="126" t="s">
        <v>213</v>
      </c>
      <c r="O11" s="126" t="s">
        <v>214</v>
      </c>
      <c r="P11" s="126" t="s">
        <v>78</v>
      </c>
      <c r="Q11" s="181">
        <f>3113*2.4</f>
        <v>7471.2</v>
      </c>
      <c r="R11" s="181">
        <f>7500+100</f>
        <v>7600</v>
      </c>
      <c r="S11" s="181">
        <v>7500</v>
      </c>
      <c r="T11" s="181"/>
      <c r="AO11" s="181">
        <f t="shared" si="12"/>
        <v>7500</v>
      </c>
      <c r="AX11" s="165">
        <f t="shared" si="1"/>
        <v>45125.503472222219</v>
      </c>
      <c r="AY11" s="165">
        <f t="shared" si="2"/>
        <v>45132.388888888891</v>
      </c>
      <c r="AZ11" s="137">
        <f t="shared" si="3"/>
        <v>6.8854166666715173</v>
      </c>
      <c r="BA11" s="165">
        <v>45125.503472222219</v>
      </c>
      <c r="BB11" s="165">
        <v>45125.826388888891</v>
      </c>
      <c r="BC11" s="165">
        <v>45125.916666666664</v>
      </c>
      <c r="BD11" s="165">
        <v>45127.604166666664</v>
      </c>
      <c r="BE11" s="165">
        <v>45128.128472222219</v>
      </c>
      <c r="BF11" s="165">
        <v>45128.152777777781</v>
      </c>
      <c r="BG11" s="165">
        <v>45128.152777777781</v>
      </c>
      <c r="BH11" s="165">
        <f t="shared" si="13"/>
        <v>45128.361111111117</v>
      </c>
      <c r="BI11" s="165">
        <v>45129.25</v>
      </c>
      <c r="BJ11" s="165">
        <v>45129.416666666664</v>
      </c>
      <c r="BK11" s="165">
        <v>45129.420138888891</v>
      </c>
      <c r="BL11" s="165">
        <v>45130.923611111109</v>
      </c>
      <c r="BM11" s="165">
        <v>45131.3125</v>
      </c>
      <c r="BN11" s="165">
        <v>45131.565972222219</v>
      </c>
      <c r="BO11" s="165">
        <v>45131.586805555555</v>
      </c>
      <c r="BP11" s="165">
        <v>45131.795138888891</v>
      </c>
      <c r="BQ11" s="165">
        <v>45132.388888888891</v>
      </c>
      <c r="BT11" s="136">
        <f t="shared" si="4"/>
        <v>2.1666666665696539</v>
      </c>
      <c r="BU11" s="136">
        <f t="shared" si="5"/>
        <v>12.583333333313931</v>
      </c>
      <c r="BV11" s="136">
        <f t="shared" si="6"/>
        <v>5.0000000000582077</v>
      </c>
      <c r="BW11" s="136">
        <f t="shared" si="14"/>
        <v>36.166666666686069</v>
      </c>
      <c r="BX11" s="135">
        <f t="shared" si="7"/>
        <v>6.0833333332557231</v>
      </c>
      <c r="BY11" s="135">
        <f t="shared" si="8"/>
        <v>14.25</v>
      </c>
      <c r="BZ11" s="134">
        <f t="shared" si="9"/>
        <v>3.1770833333284827</v>
      </c>
      <c r="CA11" s="134">
        <f t="shared" si="10"/>
        <v>6.8854166666715173</v>
      </c>
      <c r="CB11" s="133">
        <f t="shared" si="11"/>
        <v>0.46142208774481008</v>
      </c>
    </row>
    <row r="12" spans="1:80" s="126" customFormat="1">
      <c r="A12" s="192">
        <f t="shared" si="0"/>
        <v>45129.350694444445</v>
      </c>
      <c r="B12" s="126" t="s">
        <v>188</v>
      </c>
      <c r="C12" s="126" t="s">
        <v>78</v>
      </c>
      <c r="D12" s="126" t="s">
        <v>215</v>
      </c>
      <c r="E12" s="65" t="s">
        <v>2601</v>
      </c>
      <c r="G12" s="166">
        <v>45137.625</v>
      </c>
      <c r="H12" s="166">
        <v>45137.625</v>
      </c>
      <c r="I12" s="126" t="s">
        <v>199</v>
      </c>
      <c r="J12" s="126" t="s">
        <v>192</v>
      </c>
      <c r="K12" s="126" t="s">
        <v>192</v>
      </c>
      <c r="L12" s="126" t="s">
        <v>2602</v>
      </c>
      <c r="M12" s="167"/>
      <c r="N12" s="126" t="s">
        <v>218</v>
      </c>
      <c r="O12" s="126" t="s">
        <v>219</v>
      </c>
      <c r="P12" s="126" t="s">
        <v>78</v>
      </c>
      <c r="Q12" s="181">
        <f>3087*2.4</f>
        <v>7408.7999999999993</v>
      </c>
      <c r="R12" s="181">
        <f>7450+100</f>
        <v>7550</v>
      </c>
      <c r="S12" s="181">
        <v>7500</v>
      </c>
      <c r="T12" s="181"/>
      <c r="AO12" s="181">
        <f t="shared" si="12"/>
        <v>7500</v>
      </c>
      <c r="AX12" s="165">
        <f t="shared" si="1"/>
        <v>45126.375</v>
      </c>
      <c r="AY12" s="165">
        <f t="shared" si="2"/>
        <v>45140.34375</v>
      </c>
      <c r="AZ12" s="137">
        <f t="shared" si="3"/>
        <v>13.96875</v>
      </c>
      <c r="BA12" s="165">
        <v>45126.375</v>
      </c>
      <c r="BB12" s="165">
        <v>45127.774305555555</v>
      </c>
      <c r="BC12" s="165">
        <v>45127.847222222219</v>
      </c>
      <c r="BD12" s="165">
        <v>45129.350694444445</v>
      </c>
      <c r="BE12" s="165">
        <v>45129.673611111109</v>
      </c>
      <c r="BF12" s="165">
        <v>45129.704861111109</v>
      </c>
      <c r="BG12" s="165">
        <v>45129.704861111109</v>
      </c>
      <c r="BH12" s="165">
        <f t="shared" si="13"/>
        <v>45129.913194444445</v>
      </c>
      <c r="BI12" s="165">
        <v>45132.25</v>
      </c>
      <c r="BJ12" s="165">
        <v>45132.416666666664</v>
      </c>
      <c r="BK12" s="165">
        <v>45132.336805555555</v>
      </c>
      <c r="BL12" s="165">
        <v>45133.979166666664</v>
      </c>
      <c r="BM12" s="165">
        <v>45139.576388888891</v>
      </c>
      <c r="BN12" s="165">
        <v>45139.796527777777</v>
      </c>
      <c r="BO12" s="165">
        <v>45139.809027777781</v>
      </c>
      <c r="BP12" s="165">
        <v>45139.819444444445</v>
      </c>
      <c r="BQ12" s="165">
        <v>45140.34375</v>
      </c>
      <c r="BT12" s="136">
        <f t="shared" si="4"/>
        <v>1.7499999999417923</v>
      </c>
      <c r="BU12" s="136">
        <f t="shared" si="5"/>
        <v>7.7499999999417923</v>
      </c>
      <c r="BV12" s="136">
        <f t="shared" si="6"/>
        <v>5.0000000000582077</v>
      </c>
      <c r="BW12" s="136">
        <f t="shared" si="14"/>
        <v>37.5</v>
      </c>
      <c r="BX12" s="135">
        <f t="shared" si="7"/>
        <v>5.2833333332673647</v>
      </c>
      <c r="BY12" s="135">
        <f t="shared" si="8"/>
        <v>12.583333333313931</v>
      </c>
      <c r="BZ12" s="134">
        <f t="shared" si="9"/>
        <v>2.9111111111051287</v>
      </c>
      <c r="CA12" s="134">
        <f t="shared" si="10"/>
        <v>13.96875</v>
      </c>
      <c r="CB12" s="133">
        <f t="shared" si="11"/>
        <v>0.20840169028045663</v>
      </c>
    </row>
    <row r="13" spans="1:80" s="126" customFormat="1">
      <c r="A13" s="192">
        <f t="shared" si="0"/>
        <v>45135.958333333336</v>
      </c>
      <c r="B13" s="126" t="s">
        <v>188</v>
      </c>
      <c r="C13" s="126" t="s">
        <v>78</v>
      </c>
      <c r="D13" s="126" t="s">
        <v>215</v>
      </c>
      <c r="E13" s="65" t="s">
        <v>2603</v>
      </c>
      <c r="G13" s="166">
        <v>45140.625</v>
      </c>
      <c r="H13" s="166">
        <v>45140.625</v>
      </c>
      <c r="I13" s="126" t="s">
        <v>199</v>
      </c>
      <c r="J13" s="126" t="s">
        <v>192</v>
      </c>
      <c r="K13" s="126" t="s">
        <v>192</v>
      </c>
      <c r="L13" s="126" t="s">
        <v>2604</v>
      </c>
      <c r="M13" s="167"/>
      <c r="N13" s="126" t="s">
        <v>1972</v>
      </c>
      <c r="O13" s="126" t="s">
        <v>1973</v>
      </c>
      <c r="P13" s="126" t="s">
        <v>78</v>
      </c>
      <c r="Q13" s="181">
        <f>3107*2.4</f>
        <v>7456.7999999999993</v>
      </c>
      <c r="R13" s="181">
        <f>7500+100</f>
        <v>7600</v>
      </c>
      <c r="S13" s="181">
        <v>7500</v>
      </c>
      <c r="T13" s="181"/>
      <c r="AO13" s="181">
        <f t="shared" si="12"/>
        <v>7500</v>
      </c>
      <c r="AX13" s="165">
        <f t="shared" si="1"/>
        <v>45133.5</v>
      </c>
      <c r="AY13" s="165">
        <f t="shared" si="2"/>
        <v>45141.951388888891</v>
      </c>
      <c r="AZ13" s="137">
        <f t="shared" si="3"/>
        <v>8.4513888888905058</v>
      </c>
      <c r="BA13" s="165">
        <v>45133.5</v>
      </c>
      <c r="BB13" s="165">
        <v>45133.819444444445</v>
      </c>
      <c r="BC13" s="165">
        <v>45133.909722222219</v>
      </c>
      <c r="BD13" s="165">
        <v>45135.958333333336</v>
      </c>
      <c r="BE13" s="165">
        <v>45136.631944444445</v>
      </c>
      <c r="BF13" s="165">
        <v>45136.666666666664</v>
      </c>
      <c r="BG13" s="165">
        <v>45136.666666666664</v>
      </c>
      <c r="BH13" s="165">
        <f>BG13+(10/24)</f>
        <v>45137.083333333328</v>
      </c>
      <c r="BI13" s="210">
        <v>45137.229166666664</v>
      </c>
      <c r="BJ13" s="210">
        <v>45137.395833333328</v>
      </c>
      <c r="BK13" s="210">
        <v>45137.315972222219</v>
      </c>
      <c r="BL13" s="165">
        <v>45139.291666666664</v>
      </c>
      <c r="BM13" s="165">
        <v>45140.979166666664</v>
      </c>
      <c r="BN13" s="165">
        <v>45141.267361111109</v>
      </c>
      <c r="BO13" s="165">
        <v>45141.319444444445</v>
      </c>
      <c r="BP13" s="165">
        <v>45141.322916666664</v>
      </c>
      <c r="BQ13" s="165">
        <v>45141.951388888891</v>
      </c>
      <c r="BT13" s="136">
        <f t="shared" si="4"/>
        <v>2.1666666665696539</v>
      </c>
      <c r="BU13" s="136">
        <f t="shared" si="5"/>
        <v>16.166666666627862</v>
      </c>
      <c r="BV13" s="136">
        <f t="shared" si="6"/>
        <v>9.9999999999417923</v>
      </c>
      <c r="BW13" s="136">
        <f t="shared" si="14"/>
        <v>45.500000000058208</v>
      </c>
      <c r="BX13" s="135">
        <f t="shared" si="7"/>
        <v>6.9166666666860692</v>
      </c>
      <c r="BY13" s="135">
        <f t="shared" si="8"/>
        <v>15.083333333430346</v>
      </c>
      <c r="BZ13" s="134">
        <f t="shared" si="9"/>
        <v>3.9930555555547471</v>
      </c>
      <c r="CA13" s="134">
        <f t="shared" si="10"/>
        <v>8.4513888888905058</v>
      </c>
      <c r="CB13" s="133">
        <f t="shared" si="11"/>
        <v>0.47247329498748858</v>
      </c>
    </row>
    <row r="14" spans="1:80" s="126" customFormat="1">
      <c r="A14" s="192">
        <f t="shared" si="0"/>
        <v>45108.260416666664</v>
      </c>
      <c r="B14" s="126" t="s">
        <v>228</v>
      </c>
      <c r="C14" s="126" t="s">
        <v>229</v>
      </c>
      <c r="D14" s="126" t="s">
        <v>197</v>
      </c>
      <c r="E14" s="65" t="s">
        <v>1751</v>
      </c>
      <c r="G14" s="165">
        <v>45115.083333333336</v>
      </c>
      <c r="H14" s="165">
        <v>45115.041666666664</v>
      </c>
      <c r="I14" s="126" t="s">
        <v>243</v>
      </c>
      <c r="J14" s="126" t="s">
        <v>192</v>
      </c>
      <c r="K14" s="126" t="s">
        <v>192</v>
      </c>
      <c r="L14" s="126" t="s">
        <v>2056</v>
      </c>
      <c r="M14" s="167"/>
      <c r="N14" s="126" t="s">
        <v>492</v>
      </c>
      <c r="O14" s="126" t="s">
        <v>493</v>
      </c>
      <c r="P14" s="126" t="s">
        <v>240</v>
      </c>
      <c r="Q14" s="181">
        <f>3152*2.4</f>
        <v>7564.7999999999993</v>
      </c>
      <c r="R14" s="181">
        <f>7600+100</f>
        <v>7700</v>
      </c>
      <c r="S14" s="181">
        <v>7467.45</v>
      </c>
      <c r="T14" s="181"/>
      <c r="Y14" s="181">
        <f>S14</f>
        <v>7467.45</v>
      </c>
      <c r="AX14" s="165">
        <f t="shared" si="1"/>
        <v>45102.083333333336</v>
      </c>
      <c r="AY14" s="165">
        <f t="shared" si="2"/>
        <v>45114.5</v>
      </c>
      <c r="AZ14" s="137">
        <f t="shared" si="3"/>
        <v>12.416666666664241</v>
      </c>
      <c r="BA14" s="165">
        <v>45102.083333333336</v>
      </c>
      <c r="BB14" s="165">
        <v>45102.84375</v>
      </c>
      <c r="BC14" s="165">
        <v>45104.458333333336</v>
      </c>
      <c r="BD14" s="165">
        <v>45108.260416666664</v>
      </c>
      <c r="BE14" s="165">
        <v>45108.633333333331</v>
      </c>
      <c r="BF14" s="165">
        <v>45108.652777777781</v>
      </c>
      <c r="BG14" s="165">
        <v>45108.652777777781</v>
      </c>
      <c r="BH14" s="165">
        <f t="shared" ref="BH14:BH51" si="15">BG14+(41/24)</f>
        <v>45110.361111111117</v>
      </c>
      <c r="BI14" s="165">
        <v>45110.229166608799</v>
      </c>
      <c r="BJ14" s="165">
        <v>45110.395833275463</v>
      </c>
      <c r="BK14" s="165">
        <v>45110.395833333336</v>
      </c>
      <c r="BL14" s="165">
        <v>45112.302083333336</v>
      </c>
      <c r="BM14" s="165">
        <v>45113.559027777781</v>
      </c>
      <c r="BN14" s="165">
        <v>45113.791666666664</v>
      </c>
      <c r="BO14" s="165">
        <v>45113.805555555555</v>
      </c>
      <c r="BP14" s="165">
        <v>45113.809027777781</v>
      </c>
      <c r="BQ14" s="165">
        <v>45114.5</v>
      </c>
      <c r="BT14" s="136">
        <f t="shared" si="4"/>
        <v>38.750000000058208</v>
      </c>
      <c r="BU14" s="136">
        <f t="shared" si="5"/>
        <v>8.9500000000116415</v>
      </c>
      <c r="BV14" s="136">
        <f t="shared" si="6"/>
        <v>41.000000000058208</v>
      </c>
      <c r="BW14" s="136">
        <f t="shared" si="14"/>
        <v>45.750001388951205</v>
      </c>
      <c r="BX14" s="135">
        <f t="shared" si="7"/>
        <v>5.5833333331975155</v>
      </c>
      <c r="BY14" s="135">
        <f t="shared" si="8"/>
        <v>16.583333333255723</v>
      </c>
      <c r="BZ14" s="134">
        <f t="shared" si="9"/>
        <v>6.5256945023138542</v>
      </c>
      <c r="CA14" s="134">
        <f t="shared" si="10"/>
        <v>12.416666666664241</v>
      </c>
      <c r="CB14" s="133">
        <f t="shared" si="11"/>
        <v>0.52555928877705738</v>
      </c>
    </row>
    <row r="15" spans="1:80" s="126" customFormat="1">
      <c r="A15" s="192">
        <f t="shared" si="0"/>
        <v>45109.442361111112</v>
      </c>
      <c r="B15" s="126" t="s">
        <v>228</v>
      </c>
      <c r="C15" s="126" t="s">
        <v>229</v>
      </c>
      <c r="D15" s="126" t="s">
        <v>197</v>
      </c>
      <c r="E15" s="65" t="s">
        <v>1751</v>
      </c>
      <c r="G15" s="165">
        <v>45115.083333333336</v>
      </c>
      <c r="H15" s="165">
        <v>45115.041666666664</v>
      </c>
      <c r="I15" s="126" t="s">
        <v>243</v>
      </c>
      <c r="J15" s="126" t="s">
        <v>192</v>
      </c>
      <c r="K15" s="126" t="s">
        <v>192</v>
      </c>
      <c r="L15" s="126" t="s">
        <v>2057</v>
      </c>
      <c r="M15" s="167"/>
      <c r="N15" s="126" t="s">
        <v>298</v>
      </c>
      <c r="O15" s="126" t="s">
        <v>299</v>
      </c>
      <c r="P15" s="126" t="s">
        <v>235</v>
      </c>
      <c r="Q15" s="181">
        <f>4337*2.4</f>
        <v>10408.799999999999</v>
      </c>
      <c r="R15" s="181">
        <f>10450+100</f>
        <v>10550</v>
      </c>
      <c r="S15" s="181">
        <v>10340.727999999999</v>
      </c>
      <c r="T15" s="181"/>
      <c r="X15" s="181">
        <f>S15</f>
        <v>10340.727999999999</v>
      </c>
      <c r="AX15" s="165">
        <f t="shared" si="1"/>
        <v>45101.4375</v>
      </c>
      <c r="AY15" s="165">
        <f t="shared" si="2"/>
        <v>45115.458333333336</v>
      </c>
      <c r="AZ15" s="137">
        <f t="shared" si="3"/>
        <v>14.020833333335759</v>
      </c>
      <c r="BA15" s="165">
        <v>45101.4375</v>
      </c>
      <c r="BB15" s="165">
        <v>45103.791666666664</v>
      </c>
      <c r="BC15" s="165">
        <v>45105.354166666664</v>
      </c>
      <c r="BD15" s="165">
        <v>45109.442361111112</v>
      </c>
      <c r="BE15" s="165">
        <v>45109.649305555555</v>
      </c>
      <c r="BF15" s="165">
        <v>45109.65625</v>
      </c>
      <c r="BG15" s="165">
        <v>45109.65625</v>
      </c>
      <c r="BH15" s="165">
        <f t="shared" si="15"/>
        <v>45111.364583333336</v>
      </c>
      <c r="BI15" s="165">
        <v>45111.25</v>
      </c>
      <c r="BJ15" s="165">
        <v>45111.416666666664</v>
      </c>
      <c r="BK15" s="165">
        <v>45111.298611111109</v>
      </c>
      <c r="BL15" s="165">
        <v>45113.395833333336</v>
      </c>
      <c r="BM15" s="165">
        <v>45114.552083333336</v>
      </c>
      <c r="BN15" s="165">
        <v>45114.861111111109</v>
      </c>
      <c r="BO15" s="165">
        <v>45114.875</v>
      </c>
      <c r="BP15" s="165">
        <v>45114.878472222219</v>
      </c>
      <c r="BQ15" s="165">
        <v>45115.458333333336</v>
      </c>
      <c r="BT15" s="136">
        <f t="shared" si="4"/>
        <v>37.5</v>
      </c>
      <c r="BU15" s="136">
        <f t="shared" si="5"/>
        <v>4.96666666661622</v>
      </c>
      <c r="BV15" s="136">
        <f t="shared" si="6"/>
        <v>41.000000000058208</v>
      </c>
      <c r="BW15" s="136">
        <f t="shared" si="14"/>
        <v>47.500000000116415</v>
      </c>
      <c r="BX15" s="135">
        <f t="shared" si="7"/>
        <v>7.4166666665696539</v>
      </c>
      <c r="BY15" s="135">
        <f t="shared" si="8"/>
        <v>13.916666666802485</v>
      </c>
      <c r="BZ15" s="134">
        <f t="shared" si="9"/>
        <v>6.3458333333401242</v>
      </c>
      <c r="CA15" s="134">
        <f t="shared" si="10"/>
        <v>14.020833333335759</v>
      </c>
      <c r="CB15" s="133">
        <f t="shared" si="11"/>
        <v>0.45260029717722627</v>
      </c>
    </row>
    <row r="16" spans="1:80" s="126" customFormat="1">
      <c r="A16" s="192">
        <f t="shared" si="0"/>
        <v>45109.677083333336</v>
      </c>
      <c r="B16" s="126" t="s">
        <v>228</v>
      </c>
      <c r="C16" s="126" t="s">
        <v>229</v>
      </c>
      <c r="D16" s="126" t="s">
        <v>215</v>
      </c>
      <c r="E16" s="65" t="s">
        <v>1751</v>
      </c>
      <c r="G16" s="165">
        <v>45115.083333333336</v>
      </c>
      <c r="H16" s="165">
        <v>45115.041666666664</v>
      </c>
      <c r="I16" s="126" t="s">
        <v>243</v>
      </c>
      <c r="J16" s="126" t="s">
        <v>192</v>
      </c>
      <c r="K16" s="126" t="s">
        <v>192</v>
      </c>
      <c r="L16" s="126" t="s">
        <v>2059</v>
      </c>
      <c r="M16" s="167"/>
      <c r="N16" s="126" t="s">
        <v>352</v>
      </c>
      <c r="O16" s="126" t="s">
        <v>353</v>
      </c>
      <c r="P16" s="126" t="s">
        <v>240</v>
      </c>
      <c r="Q16" s="181">
        <f>3852*2.4</f>
        <v>9244.7999999999993</v>
      </c>
      <c r="R16" s="181">
        <f>9250+100</f>
        <v>9350</v>
      </c>
      <c r="S16" s="181">
        <v>9392.7350000000006</v>
      </c>
      <c r="T16" s="181"/>
      <c r="Y16" s="181">
        <f>S16</f>
        <v>9392.7350000000006</v>
      </c>
      <c r="AX16" s="165">
        <f t="shared" si="1"/>
        <v>45102.625</v>
      </c>
      <c r="AY16" s="165">
        <f t="shared" si="2"/>
        <v>45117.520833333336</v>
      </c>
      <c r="AZ16" s="137">
        <f t="shared" si="3"/>
        <v>14.895833333335759</v>
      </c>
      <c r="BA16" s="165">
        <v>45102.625</v>
      </c>
      <c r="BB16" s="165">
        <v>45103.774305555555</v>
      </c>
      <c r="BC16" s="165">
        <v>45105.479166666664</v>
      </c>
      <c r="BD16" s="165">
        <v>45109.677083333336</v>
      </c>
      <c r="BE16" s="165">
        <v>45110.079861111109</v>
      </c>
      <c r="BF16" s="165">
        <v>45110.090277777781</v>
      </c>
      <c r="BG16" s="165">
        <v>45110.090277777781</v>
      </c>
      <c r="BH16" s="165">
        <f t="shared" si="15"/>
        <v>45111.798611111117</v>
      </c>
      <c r="BI16" s="165">
        <v>45114.25</v>
      </c>
      <c r="BJ16" s="165">
        <v>45114.416666666664</v>
      </c>
      <c r="BK16" s="165">
        <v>45114.350694444445</v>
      </c>
      <c r="BL16" s="165">
        <v>45116.003472222219</v>
      </c>
      <c r="BM16" s="165">
        <v>45116.413194444445</v>
      </c>
      <c r="BN16" s="165">
        <v>45116.725694444445</v>
      </c>
      <c r="BO16" s="165">
        <v>45116.741666666669</v>
      </c>
      <c r="BP16" s="165">
        <v>45117.041666666664</v>
      </c>
      <c r="BQ16" s="165">
        <v>45117.520833333336</v>
      </c>
      <c r="BT16" s="136">
        <f t="shared" si="4"/>
        <v>40.916666666627862</v>
      </c>
      <c r="BU16" s="136">
        <f t="shared" si="5"/>
        <v>9.6666666665696539</v>
      </c>
      <c r="BV16" s="136">
        <f t="shared" si="6"/>
        <v>41.000000000058208</v>
      </c>
      <c r="BW16" s="136">
        <f t="shared" si="14"/>
        <v>38.083333333313931</v>
      </c>
      <c r="BX16" s="135">
        <f t="shared" si="7"/>
        <v>7.5</v>
      </c>
      <c r="BY16" s="135">
        <f t="shared" si="8"/>
        <v>11.500000000116415</v>
      </c>
      <c r="BZ16" s="134">
        <f t="shared" si="9"/>
        <v>6.1944444444452529</v>
      </c>
      <c r="CA16" s="134">
        <f t="shared" si="10"/>
        <v>14.895833333335759</v>
      </c>
      <c r="CB16" s="133">
        <f t="shared" si="11"/>
        <v>0.41585081585080241</v>
      </c>
    </row>
    <row r="17" spans="1:80" s="126" customFormat="1">
      <c r="A17" s="192">
        <f t="shared" si="0"/>
        <v>45110.118055555555</v>
      </c>
      <c r="B17" s="126" t="s">
        <v>228</v>
      </c>
      <c r="C17" s="126" t="s">
        <v>229</v>
      </c>
      <c r="D17" s="126" t="s">
        <v>215</v>
      </c>
      <c r="E17" s="65" t="s">
        <v>1751</v>
      </c>
      <c r="G17" s="165">
        <v>45115.083333333336</v>
      </c>
      <c r="H17" s="165">
        <v>45115.041666666664</v>
      </c>
      <c r="I17" s="126" t="s">
        <v>243</v>
      </c>
      <c r="J17" s="126" t="s">
        <v>192</v>
      </c>
      <c r="K17" s="126" t="s">
        <v>192</v>
      </c>
      <c r="L17" s="126" t="s">
        <v>2058</v>
      </c>
      <c r="M17" s="167"/>
      <c r="N17" s="126" t="s">
        <v>271</v>
      </c>
      <c r="O17" s="126" t="s">
        <v>272</v>
      </c>
      <c r="P17" s="126" t="s">
        <v>235</v>
      </c>
      <c r="Q17" s="181">
        <f>3852*2.4</f>
        <v>9244.7999999999993</v>
      </c>
      <c r="R17" s="181">
        <f>9250+100</f>
        <v>9350</v>
      </c>
      <c r="S17" s="181">
        <v>9322.2559999999994</v>
      </c>
      <c r="T17" s="181"/>
      <c r="X17" s="181">
        <f t="shared" ref="X17:X25" si="16">S17</f>
        <v>9322.2559999999994</v>
      </c>
      <c r="AX17" s="165">
        <f t="shared" si="1"/>
        <v>45103.989583333336</v>
      </c>
      <c r="AY17" s="165">
        <f t="shared" si="2"/>
        <v>45115.694444444445</v>
      </c>
      <c r="AZ17" s="137">
        <f t="shared" si="3"/>
        <v>11.704861111109494</v>
      </c>
      <c r="BA17" s="165">
        <v>45103.989583333336</v>
      </c>
      <c r="BB17" s="165">
        <v>45105.357638888891</v>
      </c>
      <c r="BC17" s="165">
        <v>45107.305555555555</v>
      </c>
      <c r="BD17" s="165">
        <v>45110.118055555555</v>
      </c>
      <c r="BE17" s="165">
        <v>45110.375</v>
      </c>
      <c r="BF17" s="165">
        <v>45110.388888888891</v>
      </c>
      <c r="BG17" s="165">
        <v>45110.388888888891</v>
      </c>
      <c r="BH17" s="165">
        <f t="shared" si="15"/>
        <v>45112.097222222226</v>
      </c>
      <c r="BI17" s="165">
        <v>45112.25</v>
      </c>
      <c r="BJ17" s="165">
        <v>45112.416666666664</v>
      </c>
      <c r="BK17" s="165">
        <v>45112.309027777781</v>
      </c>
      <c r="BL17" s="165">
        <v>45113.809027777781</v>
      </c>
      <c r="BM17" s="165">
        <v>45114.930555555555</v>
      </c>
      <c r="BN17" s="165">
        <v>45115.236111111109</v>
      </c>
      <c r="BO17" s="165">
        <v>45115.253472222219</v>
      </c>
      <c r="BP17" s="165">
        <v>45115.256944444445</v>
      </c>
      <c r="BQ17" s="165">
        <v>45115.694444444445</v>
      </c>
      <c r="BT17" s="136">
        <f t="shared" si="4"/>
        <v>46.749999999941792</v>
      </c>
      <c r="BU17" s="136">
        <f t="shared" si="5"/>
        <v>6.1666666666860692</v>
      </c>
      <c r="BV17" s="136">
        <f t="shared" si="6"/>
        <v>41.000000000058208</v>
      </c>
      <c r="BW17" s="136">
        <f t="shared" si="14"/>
        <v>33.416666666802485</v>
      </c>
      <c r="BX17" s="135">
        <f t="shared" si="7"/>
        <v>7.3333333333139308</v>
      </c>
      <c r="BY17" s="135">
        <f t="shared" si="8"/>
        <v>10.5</v>
      </c>
      <c r="BZ17" s="134">
        <f t="shared" si="9"/>
        <v>6.0486111111167702</v>
      </c>
      <c r="CA17" s="134">
        <f t="shared" si="10"/>
        <v>11.704861111109494</v>
      </c>
      <c r="CB17" s="133">
        <f t="shared" si="11"/>
        <v>0.51676060516222799</v>
      </c>
    </row>
    <row r="18" spans="1:80" s="126" customFormat="1">
      <c r="A18" s="192">
        <f t="shared" si="0"/>
        <v>45112.072916666664</v>
      </c>
      <c r="B18" s="126" t="s">
        <v>228</v>
      </c>
      <c r="C18" s="126" t="s">
        <v>229</v>
      </c>
      <c r="D18" s="126" t="s">
        <v>197</v>
      </c>
      <c r="E18" s="65" t="s">
        <v>2083</v>
      </c>
      <c r="G18" s="315">
        <v>45121.666666666664</v>
      </c>
      <c r="H18" s="315">
        <v>45121.616666666669</v>
      </c>
      <c r="I18" s="126" t="s">
        <v>243</v>
      </c>
      <c r="J18" s="126" t="s">
        <v>192</v>
      </c>
      <c r="K18" s="126" t="s">
        <v>192</v>
      </c>
      <c r="L18" s="126" t="s">
        <v>2085</v>
      </c>
      <c r="M18" s="167"/>
      <c r="N18" s="126" t="s">
        <v>1255</v>
      </c>
      <c r="O18" s="126" t="s">
        <v>268</v>
      </c>
      <c r="P18" s="126" t="s">
        <v>235</v>
      </c>
      <c r="Q18" s="181">
        <f>3142*2.4</f>
        <v>7540.7999999999993</v>
      </c>
      <c r="R18" s="181">
        <f>7550+100</f>
        <v>7650</v>
      </c>
      <c r="S18" s="181">
        <v>7596.62</v>
      </c>
      <c r="T18" s="181"/>
      <c r="X18" s="181">
        <f t="shared" si="16"/>
        <v>7596.62</v>
      </c>
      <c r="AX18" s="165">
        <f t="shared" si="1"/>
        <v>45101.458333333336</v>
      </c>
      <c r="AY18" s="165">
        <f t="shared" si="2"/>
        <v>45117.059027777781</v>
      </c>
      <c r="AZ18" s="137">
        <f t="shared" si="3"/>
        <v>15.600694444445253</v>
      </c>
      <c r="BA18" s="165">
        <v>45101.458333333336</v>
      </c>
      <c r="BB18" s="165">
        <v>45102.802083333336</v>
      </c>
      <c r="BC18" s="165">
        <v>45104.625</v>
      </c>
      <c r="BD18" s="165">
        <v>45112.072916666664</v>
      </c>
      <c r="BE18" s="165">
        <v>45112.211805555555</v>
      </c>
      <c r="BF18" s="165">
        <v>45112.215277777781</v>
      </c>
      <c r="BG18" s="165">
        <v>45112.215277777781</v>
      </c>
      <c r="BH18" s="165">
        <f t="shared" si="15"/>
        <v>45113.923611111117</v>
      </c>
      <c r="BI18" s="165">
        <v>45114.25</v>
      </c>
      <c r="BJ18" s="165">
        <v>45114.416666666664</v>
      </c>
      <c r="BK18" s="165">
        <v>45114.336805555555</v>
      </c>
      <c r="BL18" s="165">
        <v>45116.284722222219</v>
      </c>
      <c r="BM18" s="165">
        <v>45116.815972222219</v>
      </c>
      <c r="BN18" s="165">
        <v>45117.059027777781</v>
      </c>
      <c r="BO18" s="165">
        <v>45117.059027777781</v>
      </c>
      <c r="BP18" s="165">
        <v>45117.059027777781</v>
      </c>
      <c r="BQ18" s="165">
        <v>45117.059027777781</v>
      </c>
      <c r="BR18" s="126" t="s">
        <v>788</v>
      </c>
      <c r="BT18" s="136">
        <f t="shared" si="4"/>
        <v>43.749999999941792</v>
      </c>
      <c r="BU18" s="136">
        <f t="shared" si="5"/>
        <v>3.3333333333721384</v>
      </c>
      <c r="BV18" s="136">
        <f t="shared" si="6"/>
        <v>41.000000000058208</v>
      </c>
      <c r="BW18" s="136">
        <f t="shared" si="14"/>
        <v>44.833333333313931</v>
      </c>
      <c r="BX18" s="135">
        <f t="shared" si="7"/>
        <v>5.8333333334885538</v>
      </c>
      <c r="BY18" s="135">
        <f t="shared" si="8"/>
        <v>0</v>
      </c>
      <c r="BZ18" s="134">
        <f t="shared" si="9"/>
        <v>5.781250000007276</v>
      </c>
      <c r="CA18" s="134">
        <f t="shared" si="10"/>
        <v>15.600694444445253</v>
      </c>
      <c r="CB18" s="133">
        <f t="shared" si="11"/>
        <v>0.37057645225951685</v>
      </c>
    </row>
    <row r="19" spans="1:80" s="126" customFormat="1">
      <c r="A19" s="192">
        <f t="shared" si="0"/>
        <v>45112.072916666664</v>
      </c>
      <c r="B19" s="126" t="s">
        <v>228</v>
      </c>
      <c r="C19" s="126" t="s">
        <v>229</v>
      </c>
      <c r="D19" s="126" t="s">
        <v>197</v>
      </c>
      <c r="E19" s="65" t="s">
        <v>2083</v>
      </c>
      <c r="G19" s="315">
        <v>45121.666666666664</v>
      </c>
      <c r="H19" s="315">
        <v>45121.616666666669</v>
      </c>
      <c r="I19" s="126" t="s">
        <v>243</v>
      </c>
      <c r="J19" s="126" t="s">
        <v>192</v>
      </c>
      <c r="K19" s="126" t="s">
        <v>192</v>
      </c>
      <c r="L19" s="126" t="s">
        <v>2085</v>
      </c>
      <c r="M19" s="167"/>
      <c r="N19" s="126" t="s">
        <v>1255</v>
      </c>
      <c r="O19" s="126" t="s">
        <v>268</v>
      </c>
      <c r="P19" s="126" t="s">
        <v>235</v>
      </c>
      <c r="Q19" s="181">
        <f>3142*2.4</f>
        <v>7540.7999999999993</v>
      </c>
      <c r="R19" s="181">
        <f>7550+100</f>
        <v>7650</v>
      </c>
      <c r="S19" s="181">
        <v>7596.62</v>
      </c>
      <c r="T19" s="181"/>
      <c r="X19" s="181">
        <f t="shared" si="16"/>
        <v>7596.62</v>
      </c>
      <c r="AX19" s="165">
        <f t="shared" si="1"/>
        <v>45101.458333333336</v>
      </c>
      <c r="AY19" s="165">
        <f t="shared" si="2"/>
        <v>45118.395833333336</v>
      </c>
      <c r="AZ19" s="137">
        <f t="shared" si="3"/>
        <v>16.9375</v>
      </c>
      <c r="BA19" s="165">
        <v>45101.458333333336</v>
      </c>
      <c r="BB19" s="165">
        <v>45102.802083333336</v>
      </c>
      <c r="BC19" s="165">
        <v>45104.625</v>
      </c>
      <c r="BD19" s="165">
        <v>45112.072916666664</v>
      </c>
      <c r="BE19" s="165">
        <v>45112.211805555555</v>
      </c>
      <c r="BF19" s="165">
        <v>45112.215277777781</v>
      </c>
      <c r="BG19" s="165">
        <v>45112.215277777781</v>
      </c>
      <c r="BH19" s="165">
        <f t="shared" si="15"/>
        <v>45113.923611111117</v>
      </c>
      <c r="BI19" s="165">
        <v>45114.25</v>
      </c>
      <c r="BJ19" s="165">
        <v>45114.416666666664</v>
      </c>
      <c r="BK19" s="165">
        <v>45114.336805555555</v>
      </c>
      <c r="BL19" s="165">
        <v>45116.284722222219</v>
      </c>
      <c r="BM19" s="165">
        <v>45116.815972222219</v>
      </c>
      <c r="BN19" s="165">
        <v>45117.059027777781</v>
      </c>
      <c r="BO19" s="165">
        <v>45117.059027777781</v>
      </c>
      <c r="BP19" s="165">
        <v>45117.881944444445</v>
      </c>
      <c r="BQ19" s="165">
        <v>45118.395833333336</v>
      </c>
      <c r="BT19" s="136">
        <f t="shared" si="4"/>
        <v>43.749999999941792</v>
      </c>
      <c r="BU19" s="136">
        <f t="shared" si="5"/>
        <v>3.3333333333721384</v>
      </c>
      <c r="BV19" s="136">
        <f t="shared" si="6"/>
        <v>41.000000000058208</v>
      </c>
      <c r="BW19" s="136">
        <f t="shared" si="14"/>
        <v>44.833333333313931</v>
      </c>
      <c r="BX19" s="135">
        <f t="shared" si="7"/>
        <v>5.8333333334885538</v>
      </c>
      <c r="BY19" s="135">
        <f t="shared" si="8"/>
        <v>12.333333333372138</v>
      </c>
      <c r="BZ19" s="134">
        <f t="shared" si="9"/>
        <v>6.2951388888977817</v>
      </c>
      <c r="CA19" s="134">
        <f t="shared" si="10"/>
        <v>16.9375</v>
      </c>
      <c r="CB19" s="133">
        <f t="shared" si="11"/>
        <v>0.37166871668769191</v>
      </c>
    </row>
    <row r="20" spans="1:80" s="126" customFormat="1">
      <c r="A20" s="192">
        <f t="shared" si="0"/>
        <v>45112.244444444441</v>
      </c>
      <c r="B20" s="126" t="s">
        <v>228</v>
      </c>
      <c r="C20" s="126" t="s">
        <v>229</v>
      </c>
      <c r="D20" s="126" t="s">
        <v>197</v>
      </c>
      <c r="E20" s="65" t="s">
        <v>2083</v>
      </c>
      <c r="G20" s="315">
        <v>45121.666666666664</v>
      </c>
      <c r="H20" s="315">
        <v>45121.616666666669</v>
      </c>
      <c r="I20" s="126" t="s">
        <v>243</v>
      </c>
      <c r="J20" s="126" t="s">
        <v>192</v>
      </c>
      <c r="K20" s="126" t="s">
        <v>192</v>
      </c>
      <c r="L20" s="126" t="s">
        <v>2087</v>
      </c>
      <c r="M20" s="167"/>
      <c r="N20" s="126" t="s">
        <v>346</v>
      </c>
      <c r="O20" s="126" t="s">
        <v>347</v>
      </c>
      <c r="P20" s="126" t="s">
        <v>235</v>
      </c>
      <c r="Q20" s="181">
        <f>3136*2.4</f>
        <v>7526.4</v>
      </c>
      <c r="R20" s="181">
        <f>7550+100</f>
        <v>7650</v>
      </c>
      <c r="S20" s="181">
        <v>7624.308</v>
      </c>
      <c r="T20" s="181"/>
      <c r="X20" s="181">
        <f t="shared" si="16"/>
        <v>7624.308</v>
      </c>
      <c r="AX20" s="165">
        <f t="shared" si="1"/>
        <v>45101.756944444445</v>
      </c>
      <c r="AY20" s="165">
        <f t="shared" si="2"/>
        <v>45119.152777777781</v>
      </c>
      <c r="AZ20" s="137">
        <f t="shared" si="3"/>
        <v>17.395833333335759</v>
      </c>
      <c r="BA20" s="165">
        <v>45101.756944444445</v>
      </c>
      <c r="BB20" s="165">
        <v>45102.836805555555</v>
      </c>
      <c r="BC20" s="165">
        <v>45104.784722222219</v>
      </c>
      <c r="BD20" s="165">
        <v>45112.244444444441</v>
      </c>
      <c r="BE20" s="165">
        <v>45112.538194444445</v>
      </c>
      <c r="BF20" s="165">
        <v>45112.545138888891</v>
      </c>
      <c r="BG20" s="165">
        <v>45112.545138888891</v>
      </c>
      <c r="BH20" s="165">
        <f t="shared" si="15"/>
        <v>45114.253472222226</v>
      </c>
      <c r="BI20" s="165">
        <v>45114.25</v>
      </c>
      <c r="BJ20" s="165">
        <v>45114.416666666664</v>
      </c>
      <c r="BK20" s="165">
        <v>45114.350694444445</v>
      </c>
      <c r="BL20" s="165">
        <v>45116.416666666664</v>
      </c>
      <c r="BM20" s="165">
        <v>45118.215277777781</v>
      </c>
      <c r="BN20" s="165">
        <v>45118.458333333336</v>
      </c>
      <c r="BO20" s="165">
        <v>45118.472222222219</v>
      </c>
      <c r="BP20" s="165">
        <v>45118.475694444445</v>
      </c>
      <c r="BQ20" s="165">
        <v>45119.152777777781</v>
      </c>
      <c r="BT20" s="136">
        <f t="shared" si="4"/>
        <v>46.749999999941792</v>
      </c>
      <c r="BU20" s="136">
        <f t="shared" si="5"/>
        <v>7.0500000001047738</v>
      </c>
      <c r="BV20" s="136">
        <f t="shared" si="6"/>
        <v>41.000000000058208</v>
      </c>
      <c r="BW20" s="136">
        <f t="shared" si="14"/>
        <v>48</v>
      </c>
      <c r="BX20" s="135">
        <f t="shared" si="7"/>
        <v>5.8333333333139308</v>
      </c>
      <c r="BY20" s="135">
        <f t="shared" si="8"/>
        <v>16.250000000058208</v>
      </c>
      <c r="BZ20" s="134">
        <f t="shared" si="9"/>
        <v>6.8701388888948713</v>
      </c>
      <c r="CA20" s="134">
        <f t="shared" si="10"/>
        <v>17.395833333335759</v>
      </c>
      <c r="CB20" s="133">
        <f t="shared" si="11"/>
        <v>0.39493013972084773</v>
      </c>
    </row>
    <row r="21" spans="1:80" s="126" customFormat="1">
      <c r="A21" s="192">
        <f t="shared" si="0"/>
        <v>45112.576388888891</v>
      </c>
      <c r="B21" s="126" t="s">
        <v>228</v>
      </c>
      <c r="C21" s="126" t="s">
        <v>229</v>
      </c>
      <c r="D21" s="126" t="s">
        <v>215</v>
      </c>
      <c r="E21" s="65" t="s">
        <v>2083</v>
      </c>
      <c r="G21" s="315">
        <v>45121.666666666664</v>
      </c>
      <c r="H21" s="315">
        <v>45121.616666666669</v>
      </c>
      <c r="I21" s="126" t="s">
        <v>243</v>
      </c>
      <c r="J21" s="126" t="s">
        <v>192</v>
      </c>
      <c r="K21" s="126" t="s">
        <v>192</v>
      </c>
      <c r="L21" s="126" t="s">
        <v>2086</v>
      </c>
      <c r="M21" s="167"/>
      <c r="N21" s="126" t="s">
        <v>1972</v>
      </c>
      <c r="O21" s="126" t="s">
        <v>1973</v>
      </c>
      <c r="P21" s="126" t="s">
        <v>235</v>
      </c>
      <c r="Q21" s="181">
        <f>3107*2.4</f>
        <v>7456.7999999999993</v>
      </c>
      <c r="R21" s="181">
        <f>7500+100</f>
        <v>7600</v>
      </c>
      <c r="S21" s="181">
        <v>7633.6289999999999</v>
      </c>
      <c r="T21" s="181"/>
      <c r="X21" s="181">
        <f t="shared" si="16"/>
        <v>7633.6289999999999</v>
      </c>
      <c r="AX21" s="165">
        <f t="shared" si="1"/>
        <v>45102.395833333336</v>
      </c>
      <c r="AY21" s="165">
        <f t="shared" si="2"/>
        <v>45118.25</v>
      </c>
      <c r="AZ21" s="137">
        <f t="shared" si="3"/>
        <v>15.854166666664241</v>
      </c>
      <c r="BA21" s="165">
        <v>45102.395833333336</v>
      </c>
      <c r="BB21" s="165">
        <v>45103.614583333336</v>
      </c>
      <c r="BC21" s="165">
        <v>45105.173611111109</v>
      </c>
      <c r="BD21" s="165">
        <v>45112.576388888891</v>
      </c>
      <c r="BE21" s="165">
        <v>45112.722222222219</v>
      </c>
      <c r="BF21" s="165">
        <v>45112.725694444445</v>
      </c>
      <c r="BG21" s="165">
        <v>45112.725694444445</v>
      </c>
      <c r="BH21" s="165">
        <f t="shared" si="15"/>
        <v>45114.434027777781</v>
      </c>
      <c r="BI21" s="165">
        <v>45114.25</v>
      </c>
      <c r="BJ21" s="165">
        <v>45114.416666666664</v>
      </c>
      <c r="BK21" s="165">
        <v>45114.340277777781</v>
      </c>
      <c r="BL21" s="165">
        <v>45116.104166666664</v>
      </c>
      <c r="BM21" s="165">
        <v>45117.180555555555</v>
      </c>
      <c r="BN21" s="165">
        <v>45117.65625</v>
      </c>
      <c r="BO21" s="165">
        <v>45117.84375</v>
      </c>
      <c r="BP21" s="165">
        <v>45117.847222222219</v>
      </c>
      <c r="BQ21" s="165">
        <v>45118.25</v>
      </c>
      <c r="BT21" s="136">
        <f t="shared" si="4"/>
        <v>37.416666666569654</v>
      </c>
      <c r="BU21" s="136">
        <f t="shared" si="5"/>
        <v>3.4999999998835847</v>
      </c>
      <c r="BV21" s="136">
        <f t="shared" si="6"/>
        <v>41.000000000058208</v>
      </c>
      <c r="BW21" s="136">
        <f t="shared" si="14"/>
        <v>40.5</v>
      </c>
      <c r="BX21" s="135">
        <f t="shared" si="7"/>
        <v>11.416666666686069</v>
      </c>
      <c r="BY21" s="135">
        <f t="shared" si="8"/>
        <v>9.6666666667442769</v>
      </c>
      <c r="BZ21" s="134">
        <f t="shared" si="9"/>
        <v>5.9791666666642413</v>
      </c>
      <c r="CA21" s="134">
        <f t="shared" si="10"/>
        <v>15.854166666664241</v>
      </c>
      <c r="CB21" s="133">
        <f t="shared" si="11"/>
        <v>0.37713534822592309</v>
      </c>
    </row>
    <row r="22" spans="1:80" s="126" customFormat="1">
      <c r="A22" s="192">
        <f t="shared" si="0"/>
        <v>45113.234027777777</v>
      </c>
      <c r="B22" s="126" t="s">
        <v>228</v>
      </c>
      <c r="C22" s="126" t="s">
        <v>229</v>
      </c>
      <c r="D22" s="126" t="s">
        <v>197</v>
      </c>
      <c r="E22" s="65" t="s">
        <v>1864</v>
      </c>
      <c r="G22" s="315">
        <v>45118.375</v>
      </c>
      <c r="H22" s="315">
        <v>45118.384722222225</v>
      </c>
      <c r="I22" s="126" t="s">
        <v>231</v>
      </c>
      <c r="J22" s="126" t="s">
        <v>192</v>
      </c>
      <c r="K22" s="126" t="s">
        <v>192</v>
      </c>
      <c r="L22" s="126" t="s">
        <v>2066</v>
      </c>
      <c r="M22" s="167"/>
      <c r="N22" s="126" t="s">
        <v>277</v>
      </c>
      <c r="O22" s="126" t="s">
        <v>278</v>
      </c>
      <c r="P22" s="126" t="s">
        <v>235</v>
      </c>
      <c r="Q22" s="181">
        <f>3117*2.4</f>
        <v>7480.7999999999993</v>
      </c>
      <c r="R22" s="181">
        <f>7500+100</f>
        <v>7600</v>
      </c>
      <c r="S22" s="181">
        <v>7481.3689999999997</v>
      </c>
      <c r="T22" s="181"/>
      <c r="X22" s="181">
        <f t="shared" si="16"/>
        <v>7481.3689999999997</v>
      </c>
      <c r="AX22" s="165">
        <f t="shared" si="1"/>
        <v>45102.5</v>
      </c>
      <c r="AY22" s="165">
        <f t="shared" si="2"/>
        <v>45121.371527777781</v>
      </c>
      <c r="AZ22" s="137">
        <f t="shared" si="3"/>
        <v>18.871527777781012</v>
      </c>
      <c r="BA22" s="165">
        <v>45102.5</v>
      </c>
      <c r="BB22" s="165">
        <v>45103.555555555555</v>
      </c>
      <c r="BC22" s="165">
        <v>45105.166666666664</v>
      </c>
      <c r="BD22" s="165">
        <v>45113.234027777777</v>
      </c>
      <c r="BE22" s="165">
        <v>45113.472222222219</v>
      </c>
      <c r="BF22" s="165">
        <v>45113.479166666664</v>
      </c>
      <c r="BG22" s="165">
        <v>45113.479166666664</v>
      </c>
      <c r="BH22" s="165">
        <f t="shared" si="15"/>
        <v>45115.1875</v>
      </c>
      <c r="BI22" s="165">
        <v>45115.25</v>
      </c>
      <c r="BJ22" s="165">
        <v>45115.416666666664</v>
      </c>
      <c r="BK22" s="165">
        <v>45115.347222222219</v>
      </c>
      <c r="BL22" s="165">
        <v>45117.454861111109</v>
      </c>
      <c r="BM22" s="165">
        <v>45120.8125</v>
      </c>
      <c r="BN22" s="165">
        <v>45121.048611111109</v>
      </c>
      <c r="BO22" s="165">
        <v>45121.069444444445</v>
      </c>
      <c r="BP22" s="165">
        <v>45121.069444444445</v>
      </c>
      <c r="BQ22" s="165">
        <v>45121.371527777781</v>
      </c>
      <c r="BT22" s="136">
        <f t="shared" si="4"/>
        <v>38.666666666627862</v>
      </c>
      <c r="BU22" s="136">
        <f t="shared" si="5"/>
        <v>5.71666666661622</v>
      </c>
      <c r="BV22" s="136">
        <f t="shared" si="6"/>
        <v>41.000000000058208</v>
      </c>
      <c r="BW22" s="136">
        <f t="shared" si="14"/>
        <v>48.916666666686069</v>
      </c>
      <c r="BX22" s="135">
        <f t="shared" si="7"/>
        <v>5.6666666666278616</v>
      </c>
      <c r="BY22" s="135">
        <f t="shared" si="8"/>
        <v>7.2500000000582077</v>
      </c>
      <c r="BZ22" s="134">
        <f t="shared" si="9"/>
        <v>6.1340277777781012</v>
      </c>
      <c r="CA22" s="134">
        <f t="shared" si="10"/>
        <v>18.871527777781012</v>
      </c>
      <c r="CB22" s="133">
        <f t="shared" si="11"/>
        <v>0.32504139834402768</v>
      </c>
    </row>
    <row r="23" spans="1:80" s="126" customFormat="1">
      <c r="A23" s="192">
        <f t="shared" si="0"/>
        <v>45113.621527777781</v>
      </c>
      <c r="B23" s="126" t="s">
        <v>228</v>
      </c>
      <c r="C23" s="126" t="s">
        <v>229</v>
      </c>
      <c r="D23" s="126" t="s">
        <v>215</v>
      </c>
      <c r="E23" s="65" t="s">
        <v>1864</v>
      </c>
      <c r="G23" s="315">
        <v>45118.375</v>
      </c>
      <c r="H23" s="315">
        <v>45118.384722222225</v>
      </c>
      <c r="I23" s="126" t="s">
        <v>231</v>
      </c>
      <c r="J23" s="126" t="s">
        <v>192</v>
      </c>
      <c r="K23" s="126" t="s">
        <v>192</v>
      </c>
      <c r="L23" s="126" t="s">
        <v>2069</v>
      </c>
      <c r="M23" s="167"/>
      <c r="N23" s="126" t="s">
        <v>374</v>
      </c>
      <c r="O23" s="126" t="s">
        <v>275</v>
      </c>
      <c r="P23" s="126" t="s">
        <v>235</v>
      </c>
      <c r="Q23" s="181">
        <f>3097*2.4</f>
        <v>7432.7999999999993</v>
      </c>
      <c r="R23" s="181">
        <f>7450+100</f>
        <v>7550</v>
      </c>
      <c r="S23" s="181">
        <f>7615.054-1798.759</f>
        <v>5816.2950000000001</v>
      </c>
      <c r="T23" s="181"/>
      <c r="X23" s="181">
        <f t="shared" si="16"/>
        <v>5816.2950000000001</v>
      </c>
      <c r="AX23" s="165">
        <f t="shared" si="1"/>
        <v>45102.8125</v>
      </c>
      <c r="AY23" s="165">
        <f t="shared" si="2"/>
        <v>45121.729166666664</v>
      </c>
      <c r="AZ23" s="137">
        <f t="shared" si="3"/>
        <v>18.916666666664241</v>
      </c>
      <c r="BA23" s="165">
        <v>45102.8125</v>
      </c>
      <c r="BB23" s="165">
        <v>45104.788194444445</v>
      </c>
      <c r="BC23" s="165">
        <v>45106.583333333336</v>
      </c>
      <c r="BD23" s="165">
        <v>45113.621527777781</v>
      </c>
      <c r="BE23" s="165">
        <v>45113.760416666664</v>
      </c>
      <c r="BF23" s="165">
        <v>45113.767361111109</v>
      </c>
      <c r="BG23" s="165">
        <v>45114.270833333336</v>
      </c>
      <c r="BH23" s="165">
        <f t="shared" si="15"/>
        <v>45115.979166666672</v>
      </c>
      <c r="BI23" s="165">
        <v>45116.25</v>
      </c>
      <c r="BJ23" s="165">
        <v>45116.416666666664</v>
      </c>
      <c r="BK23" s="165">
        <v>45116.302083333336</v>
      </c>
      <c r="BL23" s="165">
        <v>45117.434027777781</v>
      </c>
      <c r="BM23" s="165">
        <v>45121.354166666664</v>
      </c>
      <c r="BN23" s="165">
        <v>45121.645833333336</v>
      </c>
      <c r="BO23" s="165">
        <v>45121.729166666664</v>
      </c>
      <c r="BP23" s="165">
        <v>45121.729166666664</v>
      </c>
      <c r="BQ23" s="165">
        <v>45121.729166666664</v>
      </c>
      <c r="BT23" s="136">
        <f t="shared" si="4"/>
        <v>43.083333333372138</v>
      </c>
      <c r="BU23" s="136">
        <f t="shared" si="5"/>
        <v>3.3333333331975155</v>
      </c>
      <c r="BV23" s="136">
        <f t="shared" si="6"/>
        <v>41.000000000058208</v>
      </c>
      <c r="BW23" s="136">
        <f t="shared" si="14"/>
        <v>24.416666666802485</v>
      </c>
      <c r="BX23" s="135">
        <f t="shared" si="7"/>
        <v>7.0000000001164153</v>
      </c>
      <c r="BY23" s="135">
        <f t="shared" si="8"/>
        <v>0</v>
      </c>
      <c r="BZ23" s="134">
        <f t="shared" si="9"/>
        <v>4.9513888888977817</v>
      </c>
      <c r="CA23" s="134">
        <f t="shared" si="10"/>
        <v>18.916666666664241</v>
      </c>
      <c r="CB23" s="133">
        <f t="shared" si="11"/>
        <v>0.26174743025013658</v>
      </c>
    </row>
    <row r="24" spans="1:80" s="126" customFormat="1">
      <c r="A24" s="192">
        <f t="shared" si="0"/>
        <v>45113.621527777781</v>
      </c>
      <c r="B24" s="126" t="s">
        <v>228</v>
      </c>
      <c r="C24" s="126" t="s">
        <v>229</v>
      </c>
      <c r="D24" s="126" t="s">
        <v>215</v>
      </c>
      <c r="E24" s="65" t="s">
        <v>2102</v>
      </c>
      <c r="G24" s="315">
        <v>45117.541666666664</v>
      </c>
      <c r="H24" s="315">
        <v>45117.520833333336</v>
      </c>
      <c r="I24" s="126" t="s">
        <v>231</v>
      </c>
      <c r="J24" s="126" t="s">
        <v>192</v>
      </c>
      <c r="K24" s="126" t="s">
        <v>192</v>
      </c>
      <c r="L24" s="126" t="s">
        <v>2069</v>
      </c>
      <c r="M24" s="167"/>
      <c r="N24" s="126" t="s">
        <v>374</v>
      </c>
      <c r="O24" s="126" t="s">
        <v>275</v>
      </c>
      <c r="P24" s="126" t="s">
        <v>235</v>
      </c>
      <c r="Q24" s="181">
        <f>3097*2.4</f>
        <v>7432.7999999999993</v>
      </c>
      <c r="R24" s="181">
        <f>7450+100</f>
        <v>7550</v>
      </c>
      <c r="S24" s="181">
        <v>1148.7380000000001</v>
      </c>
      <c r="T24" s="181"/>
      <c r="X24" s="181">
        <f t="shared" si="16"/>
        <v>1148.7380000000001</v>
      </c>
      <c r="AX24" s="165">
        <f t="shared" si="1"/>
        <v>45102.8125</v>
      </c>
      <c r="AY24" s="165">
        <f t="shared" si="2"/>
        <v>45123.975694444445</v>
      </c>
      <c r="AZ24" s="137">
        <f t="shared" si="3"/>
        <v>21.163194444445253</v>
      </c>
      <c r="BA24" s="165">
        <v>45102.8125</v>
      </c>
      <c r="BB24" s="165">
        <v>45104.788194444445</v>
      </c>
      <c r="BC24" s="165">
        <v>45106.583333333336</v>
      </c>
      <c r="BD24" s="165">
        <v>45113.621527777781</v>
      </c>
      <c r="BE24" s="165">
        <v>45113.760416666664</v>
      </c>
      <c r="BF24" s="165">
        <v>45113.767361111109</v>
      </c>
      <c r="BG24" s="165">
        <v>45114.270833333336</v>
      </c>
      <c r="BH24" s="165">
        <f t="shared" si="15"/>
        <v>45115.979166666672</v>
      </c>
      <c r="BI24" s="165">
        <v>45116.25</v>
      </c>
      <c r="BJ24" s="165">
        <v>45116.416666666664</v>
      </c>
      <c r="BK24" s="165">
        <v>45116.302083333336</v>
      </c>
      <c r="BL24" s="165">
        <v>45121.729166666664</v>
      </c>
      <c r="BM24" s="165">
        <v>45123.537499999999</v>
      </c>
      <c r="BN24" s="165">
        <v>45123.583333333336</v>
      </c>
      <c r="BO24" s="165">
        <v>45123.597222222219</v>
      </c>
      <c r="BP24" s="165">
        <v>45123.597222222219</v>
      </c>
      <c r="BQ24" s="165">
        <v>45123.975694444445</v>
      </c>
      <c r="BT24" s="136">
        <f t="shared" si="4"/>
        <v>43.083333333372138</v>
      </c>
      <c r="BU24" s="136">
        <f t="shared" si="5"/>
        <v>3.3333333331975155</v>
      </c>
      <c r="BV24" s="136">
        <f t="shared" si="6"/>
        <v>41.000000000058208</v>
      </c>
      <c r="BW24" s="136">
        <f t="shared" si="14"/>
        <v>127.5</v>
      </c>
      <c r="BX24" s="135">
        <f t="shared" si="7"/>
        <v>1.1000000000931323</v>
      </c>
      <c r="BY24" s="135">
        <f t="shared" si="8"/>
        <v>9.0833333334303461</v>
      </c>
      <c r="BZ24" s="134">
        <f t="shared" si="9"/>
        <v>9.3791666666729725</v>
      </c>
      <c r="CA24" s="134">
        <f t="shared" si="10"/>
        <v>21.163194444445253</v>
      </c>
      <c r="CB24" s="133">
        <f t="shared" si="11"/>
        <v>0.4431829368337511</v>
      </c>
    </row>
    <row r="25" spans="1:80" s="126" customFormat="1">
      <c r="A25" s="192">
        <f t="shared" si="0"/>
        <v>45114.565972222219</v>
      </c>
      <c r="B25" s="126" t="s">
        <v>228</v>
      </c>
      <c r="C25" s="126" t="s">
        <v>229</v>
      </c>
      <c r="D25" s="126" t="s">
        <v>197</v>
      </c>
      <c r="E25" s="65" t="s">
        <v>1864</v>
      </c>
      <c r="G25" s="315">
        <v>45118.375</v>
      </c>
      <c r="H25" s="315">
        <v>45118.384722222225</v>
      </c>
      <c r="I25" s="126" t="s">
        <v>231</v>
      </c>
      <c r="J25" s="126" t="s">
        <v>192</v>
      </c>
      <c r="K25" s="126" t="s">
        <v>192</v>
      </c>
      <c r="L25" s="126" t="s">
        <v>2065</v>
      </c>
      <c r="M25" s="167"/>
      <c r="N25" s="126" t="s">
        <v>489</v>
      </c>
      <c r="O25" s="126" t="s">
        <v>483</v>
      </c>
      <c r="P25" s="126" t="s">
        <v>235</v>
      </c>
      <c r="Q25" s="181">
        <f>3107*2.4</f>
        <v>7456.7999999999993</v>
      </c>
      <c r="R25" s="181">
        <f>7500+100</f>
        <v>7600</v>
      </c>
      <c r="S25" s="181">
        <v>7628.9949999999999</v>
      </c>
      <c r="T25" s="181"/>
      <c r="X25" s="181">
        <f t="shared" si="16"/>
        <v>7628.9949999999999</v>
      </c>
      <c r="AX25" s="165">
        <f t="shared" si="1"/>
        <v>45104.490277777775</v>
      </c>
      <c r="AY25" s="165">
        <f t="shared" si="2"/>
        <v>45121.131944444445</v>
      </c>
      <c r="AZ25" s="137">
        <f t="shared" si="3"/>
        <v>16.641666666670062</v>
      </c>
      <c r="BA25" s="165">
        <v>45104.490277777775</v>
      </c>
      <c r="BB25" s="165">
        <v>45105.427083333336</v>
      </c>
      <c r="BC25" s="165">
        <v>45107.161805555559</v>
      </c>
      <c r="BD25" s="165">
        <v>45114.565972222219</v>
      </c>
      <c r="BE25" s="165">
        <v>45114.701388888891</v>
      </c>
      <c r="BF25" s="165">
        <v>45114.708333333336</v>
      </c>
      <c r="BG25" s="165">
        <v>45114.708333333336</v>
      </c>
      <c r="BH25" s="165">
        <f t="shared" si="15"/>
        <v>45116.416666666672</v>
      </c>
      <c r="BI25" s="165">
        <v>45116.25</v>
      </c>
      <c r="BJ25" s="165">
        <v>45116.416666666664</v>
      </c>
      <c r="BK25" s="165">
        <v>45116.311805555553</v>
      </c>
      <c r="BL25" s="165">
        <v>45117.417361111111</v>
      </c>
      <c r="BM25" s="165">
        <v>45120.548611111109</v>
      </c>
      <c r="BN25" s="165">
        <v>45120.75</v>
      </c>
      <c r="BO25" s="165">
        <v>45120.770833333336</v>
      </c>
      <c r="BP25" s="165">
        <v>45120.916666666664</v>
      </c>
      <c r="BQ25" s="165">
        <v>45121.131944444445</v>
      </c>
      <c r="BT25" s="136">
        <f t="shared" si="4"/>
        <v>41.633333333360497</v>
      </c>
      <c r="BU25" s="136">
        <f t="shared" si="5"/>
        <v>3.2500000001164153</v>
      </c>
      <c r="BV25" s="136">
        <f t="shared" si="6"/>
        <v>41.000000000058208</v>
      </c>
      <c r="BW25" s="136">
        <f t="shared" si="14"/>
        <v>24.016666666720994</v>
      </c>
      <c r="BX25" s="135">
        <f t="shared" si="7"/>
        <v>4.8333333333721384</v>
      </c>
      <c r="BY25" s="135">
        <f t="shared" si="8"/>
        <v>5.1666666667442769</v>
      </c>
      <c r="BZ25" s="134">
        <f t="shared" si="9"/>
        <v>4.9958333333488554</v>
      </c>
      <c r="CA25" s="134">
        <f t="shared" si="10"/>
        <v>16.641666666670062</v>
      </c>
      <c r="CB25" s="133">
        <f t="shared" si="11"/>
        <v>0.3002003004515475</v>
      </c>
    </row>
    <row r="26" spans="1:80" s="126" customFormat="1">
      <c r="A26" s="192">
        <f t="shared" si="0"/>
        <v>45112.75277777778</v>
      </c>
      <c r="B26" s="126" t="s">
        <v>228</v>
      </c>
      <c r="C26" s="126" t="s">
        <v>229</v>
      </c>
      <c r="D26" s="126" t="s">
        <v>197</v>
      </c>
      <c r="E26" s="65" t="s">
        <v>1864</v>
      </c>
      <c r="G26" s="315">
        <v>45118.375</v>
      </c>
      <c r="H26" s="315">
        <v>45118.384722222225</v>
      </c>
      <c r="I26" s="126" t="s">
        <v>231</v>
      </c>
      <c r="J26" s="126" t="s">
        <v>192</v>
      </c>
      <c r="K26" s="126" t="s">
        <v>192</v>
      </c>
      <c r="L26" s="126" t="s">
        <v>2067</v>
      </c>
      <c r="M26" s="167"/>
      <c r="N26" s="126" t="s">
        <v>1834</v>
      </c>
      <c r="O26" s="126" t="s">
        <v>1835</v>
      </c>
      <c r="P26" s="126" t="s">
        <v>2068</v>
      </c>
      <c r="Q26" s="181">
        <f>3131*2.4</f>
        <v>7514.4</v>
      </c>
      <c r="R26" s="181">
        <f>7550+100</f>
        <v>7650</v>
      </c>
      <c r="S26" s="181">
        <v>7447.3410000000003</v>
      </c>
      <c r="T26" s="181"/>
      <c r="X26" s="181">
        <f>S26*0.5</f>
        <v>3723.6705000000002</v>
      </c>
      <c r="Y26" s="181">
        <f>S26*0.5</f>
        <v>3723.6705000000002</v>
      </c>
      <c r="AX26" s="165">
        <f t="shared" si="1"/>
        <v>45104.770833333336</v>
      </c>
      <c r="AY26" s="165">
        <f t="shared" si="2"/>
        <v>45121.875</v>
      </c>
      <c r="AZ26" s="137">
        <f t="shared" si="3"/>
        <v>17.104166666664241</v>
      </c>
      <c r="BA26" s="165">
        <v>45104.770833333336</v>
      </c>
      <c r="BB26" s="165">
        <v>45105.777777777781</v>
      </c>
      <c r="BC26" s="165">
        <v>45107.416666666664</v>
      </c>
      <c r="BD26" s="165">
        <v>45112.75277777778</v>
      </c>
      <c r="BE26" s="165">
        <v>45112.972222222219</v>
      </c>
      <c r="BF26" s="165">
        <v>45112.982638888891</v>
      </c>
      <c r="BG26" s="165">
        <v>45112.982638888891</v>
      </c>
      <c r="BH26" s="165">
        <f t="shared" si="15"/>
        <v>45114.690972222226</v>
      </c>
      <c r="BI26" s="165">
        <v>45114.25</v>
      </c>
      <c r="BJ26" s="165">
        <v>45114.416666666664</v>
      </c>
      <c r="BK26" s="165">
        <v>45114.385416666664</v>
      </c>
      <c r="BL26" s="165">
        <v>45117.5</v>
      </c>
      <c r="BM26" s="165">
        <v>45121.111111111109</v>
      </c>
      <c r="BN26" s="165">
        <v>45121.291666666664</v>
      </c>
      <c r="BO26" s="165">
        <v>45121.3125</v>
      </c>
      <c r="BP26" s="165">
        <v>45121.565972222219</v>
      </c>
      <c r="BQ26" s="165">
        <v>45121.875</v>
      </c>
      <c r="BT26" s="136">
        <f t="shared" si="4"/>
        <v>39.333333333197515</v>
      </c>
      <c r="BU26" s="136">
        <f t="shared" si="5"/>
        <v>5.2666666665463708</v>
      </c>
      <c r="BV26" s="136">
        <f t="shared" si="6"/>
        <v>41.000000000058208</v>
      </c>
      <c r="BW26" s="136">
        <f t="shared" si="14"/>
        <v>74.000000000058208</v>
      </c>
      <c r="BX26" s="135">
        <f t="shared" si="7"/>
        <v>4.3333333333139308</v>
      </c>
      <c r="BY26" s="135">
        <f t="shared" si="8"/>
        <v>7.4166666667442769</v>
      </c>
      <c r="BZ26" s="134">
        <f t="shared" si="9"/>
        <v>7.1395833333299379</v>
      </c>
      <c r="CA26" s="134">
        <f t="shared" si="10"/>
        <v>17.104166666664241</v>
      </c>
      <c r="CB26" s="133">
        <f t="shared" si="11"/>
        <v>0.41741778319109091</v>
      </c>
    </row>
    <row r="27" spans="1:80" s="126" customFormat="1">
      <c r="A27" s="192">
        <f t="shared" si="0"/>
        <v>45113.815972222219</v>
      </c>
      <c r="B27" s="126" t="s">
        <v>228</v>
      </c>
      <c r="C27" s="126" t="s">
        <v>229</v>
      </c>
      <c r="D27" s="126" t="s">
        <v>197</v>
      </c>
      <c r="E27" s="65" t="s">
        <v>2088</v>
      </c>
      <c r="G27" s="315">
        <v>45123.583333333336</v>
      </c>
      <c r="H27" s="315">
        <v>45123.574999999997</v>
      </c>
      <c r="I27" s="126" t="s">
        <v>231</v>
      </c>
      <c r="J27" s="126" t="s">
        <v>192</v>
      </c>
      <c r="K27" s="126" t="s">
        <v>192</v>
      </c>
      <c r="L27" s="126" t="s">
        <v>2090</v>
      </c>
      <c r="M27" s="129"/>
      <c r="N27" s="126" t="s">
        <v>1303</v>
      </c>
      <c r="O27" s="126" t="s">
        <v>1304</v>
      </c>
      <c r="P27" s="126" t="s">
        <v>240</v>
      </c>
      <c r="Q27" s="181">
        <f>2205*2.4</f>
        <v>5292</v>
      </c>
      <c r="R27" s="181">
        <f>5300+100</f>
        <v>5400</v>
      </c>
      <c r="S27" s="181">
        <v>5299.5640000000003</v>
      </c>
      <c r="T27" s="181"/>
      <c r="Y27" s="181">
        <f>S27</f>
        <v>5299.5640000000003</v>
      </c>
      <c r="AX27" s="165">
        <f t="shared" si="1"/>
        <v>45106.895833333336</v>
      </c>
      <c r="AY27" s="165">
        <f t="shared" si="2"/>
        <v>45125.333333333336</v>
      </c>
      <c r="AZ27" s="137">
        <f t="shared" si="3"/>
        <v>18.4375</v>
      </c>
      <c r="BA27" s="165">
        <v>45106.895833333336</v>
      </c>
      <c r="BB27" s="165">
        <v>45108.881944444445</v>
      </c>
      <c r="BC27" s="165">
        <v>45110.979166666664</v>
      </c>
      <c r="BD27" s="165">
        <v>45113.815972222219</v>
      </c>
      <c r="BE27" s="165">
        <v>45113.902777777781</v>
      </c>
      <c r="BF27" s="165">
        <v>45113.909722222219</v>
      </c>
      <c r="BG27" s="165">
        <v>45114.083333333336</v>
      </c>
      <c r="BH27" s="165">
        <f t="shared" si="15"/>
        <v>45115.791666666672</v>
      </c>
      <c r="BI27" s="165">
        <v>45117.25</v>
      </c>
      <c r="BJ27" s="165">
        <v>45117.416666666664</v>
      </c>
      <c r="BK27" s="165">
        <v>45117.354166666664</v>
      </c>
      <c r="BL27" s="165">
        <v>45120.875</v>
      </c>
      <c r="BM27" s="165">
        <v>45124.493055555555</v>
      </c>
      <c r="BN27" s="165">
        <v>45124.857638888891</v>
      </c>
      <c r="BO27" s="165">
        <v>45124.875</v>
      </c>
      <c r="BP27" s="165">
        <v>45124.875</v>
      </c>
      <c r="BQ27" s="165">
        <v>45125.333333333336</v>
      </c>
      <c r="BT27" s="136">
        <f t="shared" si="4"/>
        <v>50.333333333255723</v>
      </c>
      <c r="BU27" s="136">
        <f t="shared" si="5"/>
        <v>2.0833333334885538</v>
      </c>
      <c r="BV27" s="136">
        <f t="shared" si="6"/>
        <v>41.000000000058208</v>
      </c>
      <c r="BW27" s="136">
        <f t="shared" si="14"/>
        <v>83.000000000058208</v>
      </c>
      <c r="BX27" s="135">
        <f t="shared" si="7"/>
        <v>8.7500000000582077</v>
      </c>
      <c r="BY27" s="135">
        <f t="shared" si="8"/>
        <v>11.000000000058208</v>
      </c>
      <c r="BZ27" s="134">
        <f t="shared" si="9"/>
        <v>8.1736111111240461</v>
      </c>
      <c r="CA27" s="134">
        <f t="shared" si="10"/>
        <v>18.4375</v>
      </c>
      <c r="CB27" s="133">
        <f t="shared" si="11"/>
        <v>0.44331450094232117</v>
      </c>
    </row>
    <row r="28" spans="1:80" s="126" customFormat="1">
      <c r="A28" s="192">
        <f t="shared" si="0"/>
        <v>45114.395833333336</v>
      </c>
      <c r="B28" s="126" t="s">
        <v>228</v>
      </c>
      <c r="C28" s="126" t="s">
        <v>229</v>
      </c>
      <c r="D28" s="126" t="s">
        <v>215</v>
      </c>
      <c r="E28" s="65" t="s">
        <v>2088</v>
      </c>
      <c r="G28" s="315">
        <v>45123.583333333336</v>
      </c>
      <c r="H28" s="315">
        <v>45123.574999999997</v>
      </c>
      <c r="I28" s="126" t="s">
        <v>231</v>
      </c>
      <c r="J28" s="126" t="s">
        <v>192</v>
      </c>
      <c r="K28" s="126" t="s">
        <v>192</v>
      </c>
      <c r="L28" s="126" t="s">
        <v>2093</v>
      </c>
      <c r="M28" s="167"/>
      <c r="N28" s="126" t="s">
        <v>721</v>
      </c>
      <c r="O28" s="126" t="s">
        <v>1349</v>
      </c>
      <c r="P28" s="126" t="s">
        <v>240</v>
      </c>
      <c r="Q28" s="181">
        <f>3136*2.4</f>
        <v>7526.4</v>
      </c>
      <c r="R28" s="181">
        <f>7550+100</f>
        <v>7650</v>
      </c>
      <c r="S28" s="181">
        <v>7555.0060000000003</v>
      </c>
      <c r="T28" s="181"/>
      <c r="Y28" s="181">
        <f>S28</f>
        <v>7555.0060000000003</v>
      </c>
      <c r="AX28" s="165">
        <f t="shared" si="1"/>
        <v>45103.333333333336</v>
      </c>
      <c r="AY28" s="165">
        <f t="shared" si="2"/>
        <v>45125.819444444445</v>
      </c>
      <c r="AZ28" s="137">
        <f t="shared" si="3"/>
        <v>22.486111111109494</v>
      </c>
      <c r="BA28" s="165">
        <v>45103.333333333336</v>
      </c>
      <c r="BB28" s="165">
        <v>45107.770833333336</v>
      </c>
      <c r="BC28" s="165">
        <v>45109.333333333336</v>
      </c>
      <c r="BD28" s="165">
        <v>45114.395833333336</v>
      </c>
      <c r="BE28" s="165">
        <v>45114.524305555555</v>
      </c>
      <c r="BF28" s="165">
        <v>45114.527777777781</v>
      </c>
      <c r="BG28" s="165">
        <v>45114.527777777781</v>
      </c>
      <c r="BH28" s="165">
        <f t="shared" si="15"/>
        <v>45116.236111111117</v>
      </c>
      <c r="BI28" s="165">
        <v>45116.25</v>
      </c>
      <c r="BJ28" s="165">
        <v>45116.416666666664</v>
      </c>
      <c r="BK28" s="165">
        <v>45116.28125</v>
      </c>
      <c r="BL28" s="165">
        <v>45121.25</v>
      </c>
      <c r="BM28" s="165">
        <v>45124.927083333336</v>
      </c>
      <c r="BN28" s="165">
        <v>45125.375</v>
      </c>
      <c r="BO28" s="165">
        <v>45125.381944444445</v>
      </c>
      <c r="BP28" s="165">
        <v>45125.618055555555</v>
      </c>
      <c r="BQ28" s="165">
        <v>45125.819444444445</v>
      </c>
      <c r="BT28" s="136">
        <f t="shared" si="4"/>
        <v>37.5</v>
      </c>
      <c r="BU28" s="136">
        <f t="shared" si="5"/>
        <v>3.0833333332557231</v>
      </c>
      <c r="BV28" s="136">
        <f t="shared" si="6"/>
        <v>41.000000000058208</v>
      </c>
      <c r="BW28" s="136">
        <f t="shared" si="14"/>
        <v>116.00000000005821</v>
      </c>
      <c r="BX28" s="135">
        <f t="shared" si="7"/>
        <v>10.749999999941792</v>
      </c>
      <c r="BY28" s="135">
        <f t="shared" si="8"/>
        <v>4.8333333333721384</v>
      </c>
      <c r="BZ28" s="134">
        <f t="shared" si="9"/>
        <v>8.8819444444452529</v>
      </c>
      <c r="CA28" s="134">
        <f t="shared" si="10"/>
        <v>22.486111111109494</v>
      </c>
      <c r="CB28" s="133">
        <f t="shared" si="11"/>
        <v>0.39499691167393713</v>
      </c>
    </row>
    <row r="29" spans="1:80" s="126" customFormat="1">
      <c r="A29" s="192">
        <f t="shared" si="0"/>
        <v>45114.743055555555</v>
      </c>
      <c r="B29" s="126" t="s">
        <v>228</v>
      </c>
      <c r="C29" s="126" t="s">
        <v>229</v>
      </c>
      <c r="D29" s="126" t="s">
        <v>215</v>
      </c>
      <c r="E29" s="65" t="s">
        <v>2088</v>
      </c>
      <c r="G29" s="315">
        <v>45123.583333333336</v>
      </c>
      <c r="H29" s="315">
        <v>45123.574999999997</v>
      </c>
      <c r="I29" s="126" t="s">
        <v>231</v>
      </c>
      <c r="J29" s="126" t="s">
        <v>192</v>
      </c>
      <c r="K29" s="126" t="s">
        <v>192</v>
      </c>
      <c r="L29" s="126" t="s">
        <v>2094</v>
      </c>
      <c r="M29" s="167"/>
      <c r="N29" s="126" t="s">
        <v>218</v>
      </c>
      <c r="O29" s="126" t="s">
        <v>219</v>
      </c>
      <c r="P29" s="126" t="s">
        <v>240</v>
      </c>
      <c r="Q29" s="181">
        <f>3087*2.4</f>
        <v>7408.7999999999993</v>
      </c>
      <c r="R29" s="181">
        <f>7450+100</f>
        <v>7550</v>
      </c>
      <c r="S29" s="181">
        <v>7454.9210000000003</v>
      </c>
      <c r="T29" s="181"/>
      <c r="Y29" s="181">
        <f>S29</f>
        <v>7454.9210000000003</v>
      </c>
      <c r="AX29" s="165">
        <f t="shared" si="1"/>
        <v>45105.319444444445</v>
      </c>
      <c r="AY29" s="165">
        <f t="shared" si="2"/>
        <v>45126.375</v>
      </c>
      <c r="AZ29" s="137">
        <f t="shared" si="3"/>
        <v>21.055555555554747</v>
      </c>
      <c r="BA29" s="165">
        <v>45105.319444444445</v>
      </c>
      <c r="BB29" s="165">
        <v>45106.829861111109</v>
      </c>
      <c r="BC29" s="165">
        <v>45109.354166666664</v>
      </c>
      <c r="BD29" s="165">
        <v>45114.743055555555</v>
      </c>
      <c r="BE29" s="165">
        <v>45114.925000000003</v>
      </c>
      <c r="BF29" s="165">
        <v>45114.927083333336</v>
      </c>
      <c r="BG29" s="165">
        <v>45115.232638888891</v>
      </c>
      <c r="BH29" s="165">
        <f t="shared" si="15"/>
        <v>45116.940972222226</v>
      </c>
      <c r="BI29" s="165">
        <v>45117.25</v>
      </c>
      <c r="BJ29" s="165">
        <v>45117.416666666664</v>
      </c>
      <c r="BK29" s="165">
        <v>45117.298611111109</v>
      </c>
      <c r="BL29" s="165">
        <v>45121.597222222219</v>
      </c>
      <c r="BM29" s="165">
        <v>45125.444444444445</v>
      </c>
      <c r="BN29" s="165">
        <v>45125.875</v>
      </c>
      <c r="BO29" s="165">
        <v>45125.895833333336</v>
      </c>
      <c r="BP29" s="165">
        <v>45126.114583333336</v>
      </c>
      <c r="BQ29" s="165">
        <v>45126.375</v>
      </c>
      <c r="BT29" s="136">
        <f t="shared" si="4"/>
        <v>60.583333333313931</v>
      </c>
      <c r="BU29" s="136">
        <f t="shared" si="5"/>
        <v>4.3666666667559184</v>
      </c>
      <c r="BV29" s="136">
        <f t="shared" si="6"/>
        <v>41.000000000058208</v>
      </c>
      <c r="BW29" s="136">
        <f t="shared" si="14"/>
        <v>100.33333333331393</v>
      </c>
      <c r="BX29" s="135">
        <f t="shared" si="7"/>
        <v>10.333333333313931</v>
      </c>
      <c r="BY29" s="135">
        <f t="shared" si="8"/>
        <v>6.2499999999417923</v>
      </c>
      <c r="BZ29" s="134">
        <f t="shared" si="9"/>
        <v>9.2861111111124046</v>
      </c>
      <c r="CA29" s="134">
        <f t="shared" si="10"/>
        <v>21.055555555554747</v>
      </c>
      <c r="CB29" s="133">
        <f t="shared" si="11"/>
        <v>0.44102902374678021</v>
      </c>
    </row>
    <row r="30" spans="1:80" s="126" customFormat="1">
      <c r="A30" s="192">
        <f t="shared" si="0"/>
        <v>45114.958333333336</v>
      </c>
      <c r="B30" s="126" t="s">
        <v>228</v>
      </c>
      <c r="C30" s="126" t="s">
        <v>229</v>
      </c>
      <c r="D30" s="126" t="s">
        <v>197</v>
      </c>
      <c r="E30" s="65" t="s">
        <v>2088</v>
      </c>
      <c r="G30" s="315">
        <v>45123.583333333336</v>
      </c>
      <c r="H30" s="315">
        <v>45123.574999999997</v>
      </c>
      <c r="I30" s="126" t="s">
        <v>231</v>
      </c>
      <c r="J30" s="126" t="s">
        <v>192</v>
      </c>
      <c r="K30" s="126" t="s">
        <v>192</v>
      </c>
      <c r="L30" s="126" t="s">
        <v>2097</v>
      </c>
      <c r="M30" s="167"/>
      <c r="N30" s="126" t="s">
        <v>292</v>
      </c>
      <c r="O30" s="126" t="s">
        <v>293</v>
      </c>
      <c r="P30" s="126" t="s">
        <v>240</v>
      </c>
      <c r="Q30" s="181">
        <f>3142*2.4</f>
        <v>7540.7999999999993</v>
      </c>
      <c r="R30" s="181">
        <f>7550+100</f>
        <v>7650</v>
      </c>
      <c r="S30" s="181">
        <v>7554.8370000000004</v>
      </c>
      <c r="T30" s="181"/>
      <c r="Y30" s="181">
        <f>S30</f>
        <v>7554.8370000000004</v>
      </c>
      <c r="AX30" s="165">
        <f t="shared" si="1"/>
        <v>45104.361111111109</v>
      </c>
      <c r="AY30" s="165">
        <f t="shared" si="2"/>
        <v>45126.9375</v>
      </c>
      <c r="AZ30" s="137">
        <f t="shared" si="3"/>
        <v>22.576388888890506</v>
      </c>
      <c r="BA30" s="165">
        <v>45104.361111111109</v>
      </c>
      <c r="BB30" s="165">
        <v>45107.795138888891</v>
      </c>
      <c r="BC30" s="165">
        <v>45109.375</v>
      </c>
      <c r="BD30" s="165">
        <v>45114.958333333336</v>
      </c>
      <c r="BE30" s="165">
        <v>45115.097222222219</v>
      </c>
      <c r="BF30" s="165">
        <v>45115.104166666664</v>
      </c>
      <c r="BG30" s="165">
        <v>45115.104166666664</v>
      </c>
      <c r="BH30" s="165">
        <f t="shared" si="15"/>
        <v>45116.8125</v>
      </c>
      <c r="BI30" s="165">
        <v>45117.25</v>
      </c>
      <c r="BJ30" s="165">
        <v>45117.416666666664</v>
      </c>
      <c r="BK30" s="165">
        <v>45117.28125</v>
      </c>
      <c r="BL30" s="165">
        <v>45121.229166666664</v>
      </c>
      <c r="BM30" s="165">
        <v>45125.944444444445</v>
      </c>
      <c r="BN30" s="165">
        <v>45126.395833333336</v>
      </c>
      <c r="BO30" s="165">
        <v>45126.409722222219</v>
      </c>
      <c r="BP30" s="165">
        <v>45126.729166666664</v>
      </c>
      <c r="BQ30" s="165">
        <v>45126.9375</v>
      </c>
      <c r="BT30" s="136">
        <f t="shared" si="4"/>
        <v>37.916666666627862</v>
      </c>
      <c r="BU30" s="136">
        <f t="shared" si="5"/>
        <v>3.3333333331975155</v>
      </c>
      <c r="BV30" s="136">
        <f t="shared" si="6"/>
        <v>41.000000000058208</v>
      </c>
      <c r="BW30" s="136">
        <f t="shared" si="14"/>
        <v>91.5</v>
      </c>
      <c r="BX30" s="135">
        <f t="shared" si="7"/>
        <v>10.833333333372138</v>
      </c>
      <c r="BY30" s="135">
        <f t="shared" si="8"/>
        <v>5.0000000000582077</v>
      </c>
      <c r="BZ30" s="134">
        <f t="shared" si="9"/>
        <v>7.8993055555547471</v>
      </c>
      <c r="CA30" s="134">
        <f t="shared" si="10"/>
        <v>22.576388888890506</v>
      </c>
      <c r="CB30" s="133">
        <f t="shared" si="11"/>
        <v>0.34989234081814891</v>
      </c>
    </row>
    <row r="31" spans="1:80" s="126" customFormat="1">
      <c r="A31" s="192">
        <f t="shared" si="0"/>
        <v>45115.977083333331</v>
      </c>
      <c r="B31" s="126" t="s">
        <v>228</v>
      </c>
      <c r="C31" s="126" t="s">
        <v>229</v>
      </c>
      <c r="D31" s="126" t="s">
        <v>215</v>
      </c>
      <c r="E31" s="65" t="s">
        <v>2605</v>
      </c>
      <c r="G31" s="165">
        <v>45120.479166666664</v>
      </c>
      <c r="H31" s="165">
        <v>45120.479166666664</v>
      </c>
      <c r="I31" s="126" t="s">
        <v>243</v>
      </c>
      <c r="J31" s="126" t="s">
        <v>192</v>
      </c>
      <c r="K31" s="126" t="s">
        <v>192</v>
      </c>
      <c r="L31" s="126" t="s">
        <v>2606</v>
      </c>
      <c r="M31" s="167"/>
      <c r="N31" s="126" t="s">
        <v>343</v>
      </c>
      <c r="O31" s="126" t="s">
        <v>344</v>
      </c>
      <c r="P31" s="126" t="s">
        <v>235</v>
      </c>
      <c r="Q31" s="181">
        <f>3136*2.4</f>
        <v>7526.4</v>
      </c>
      <c r="R31" s="181">
        <f>7550+100</f>
        <v>7650</v>
      </c>
      <c r="S31" s="181">
        <v>7588.0010000000002</v>
      </c>
      <c r="T31" s="181"/>
      <c r="X31" s="181">
        <f>S31</f>
        <v>7588.0010000000002</v>
      </c>
      <c r="AX31" s="165">
        <f t="shared" si="1"/>
        <v>45106.291666666664</v>
      </c>
      <c r="AY31" s="165">
        <f t="shared" si="2"/>
        <v>45121.458333333336</v>
      </c>
      <c r="AZ31" s="137">
        <f t="shared" si="3"/>
        <v>15.166666666671517</v>
      </c>
      <c r="BA31" s="165">
        <v>45106.291666666664</v>
      </c>
      <c r="BB31" s="165">
        <v>45108.861111111109</v>
      </c>
      <c r="BC31" s="165">
        <v>45110.638888888891</v>
      </c>
      <c r="BD31" s="165">
        <v>45115.977083333331</v>
      </c>
      <c r="BE31" s="165">
        <v>45116.125</v>
      </c>
      <c r="BF31" s="165">
        <v>45116.128472222219</v>
      </c>
      <c r="BG31" s="165">
        <v>45116.25</v>
      </c>
      <c r="BH31" s="165">
        <f t="shared" si="15"/>
        <v>45117.958333333336</v>
      </c>
      <c r="BI31" s="165">
        <v>45118.25</v>
      </c>
      <c r="BJ31" s="165">
        <v>45118.416666666664</v>
      </c>
      <c r="BK31" s="165">
        <v>45118.371527777781</v>
      </c>
      <c r="BL31" s="165">
        <v>45119.861111111109</v>
      </c>
      <c r="BM31" s="165">
        <v>45120.670138888891</v>
      </c>
      <c r="BN31" s="165">
        <v>45120.90625</v>
      </c>
      <c r="BO31" s="165">
        <v>45120.916666666664</v>
      </c>
      <c r="BP31" s="165">
        <v>45120.920138888891</v>
      </c>
      <c r="BQ31" s="165">
        <v>45121.458333333336</v>
      </c>
      <c r="BT31" s="136">
        <f t="shared" si="4"/>
        <v>42.666666666744277</v>
      </c>
      <c r="BU31" s="136">
        <f t="shared" si="5"/>
        <v>3.5500000000465661</v>
      </c>
      <c r="BV31" s="136">
        <f t="shared" si="6"/>
        <v>41.000000000058208</v>
      </c>
      <c r="BW31" s="136">
        <f t="shared" si="14"/>
        <v>34.666666666686069</v>
      </c>
      <c r="BX31" s="135">
        <f t="shared" si="7"/>
        <v>5.6666666666278616</v>
      </c>
      <c r="BY31" s="135">
        <f t="shared" si="8"/>
        <v>12.916666666686069</v>
      </c>
      <c r="BZ31" s="134">
        <f t="shared" si="9"/>
        <v>5.8527777777853771</v>
      </c>
      <c r="CA31" s="134">
        <f t="shared" si="10"/>
        <v>15.166666666671517</v>
      </c>
      <c r="CB31" s="133">
        <f t="shared" si="11"/>
        <v>0.38589743589781356</v>
      </c>
    </row>
    <row r="32" spans="1:80" s="126" customFormat="1">
      <c r="A32" s="192">
        <f t="shared" si="0"/>
        <v>45116.427083333336</v>
      </c>
      <c r="B32" s="126" t="s">
        <v>228</v>
      </c>
      <c r="C32" s="126" t="s">
        <v>229</v>
      </c>
      <c r="D32" s="126" t="s">
        <v>197</v>
      </c>
      <c r="E32" s="65" t="s">
        <v>2605</v>
      </c>
      <c r="G32" s="165">
        <v>45120.479166666664</v>
      </c>
      <c r="H32" s="165">
        <v>45120.479166666664</v>
      </c>
      <c r="I32" s="126" t="s">
        <v>243</v>
      </c>
      <c r="J32" s="126" t="s">
        <v>192</v>
      </c>
      <c r="K32" s="126" t="s">
        <v>192</v>
      </c>
      <c r="L32" s="126" t="s">
        <v>2607</v>
      </c>
      <c r="M32" s="167"/>
      <c r="N32" s="126" t="s">
        <v>695</v>
      </c>
      <c r="O32" s="126" t="s">
        <v>281</v>
      </c>
      <c r="P32" s="126" t="s">
        <v>235</v>
      </c>
      <c r="Q32" s="181">
        <f>3102*2.4</f>
        <v>7444.7999999999993</v>
      </c>
      <c r="R32" s="181">
        <f>7450+100</f>
        <v>7550</v>
      </c>
      <c r="S32" s="181">
        <v>7345.1629999999996</v>
      </c>
      <c r="T32" s="181"/>
      <c r="X32" s="181">
        <f>S32</f>
        <v>7345.1629999999996</v>
      </c>
      <c r="AX32" s="165">
        <f t="shared" si="1"/>
        <v>45106.145833333336</v>
      </c>
      <c r="AY32" s="165">
        <f t="shared" si="2"/>
        <v>45121.166666666664</v>
      </c>
      <c r="AZ32" s="137">
        <f t="shared" si="3"/>
        <v>15.020833333328483</v>
      </c>
      <c r="BA32" s="165">
        <v>45106.145833333336</v>
      </c>
      <c r="BB32" s="165">
        <v>45107.388888888891</v>
      </c>
      <c r="BC32" s="165">
        <v>45113.666666666664</v>
      </c>
      <c r="BD32" s="165">
        <v>45116.427083333336</v>
      </c>
      <c r="BE32" s="165">
        <v>45116.552083333336</v>
      </c>
      <c r="BF32" s="165">
        <v>45116.555555555555</v>
      </c>
      <c r="BG32" s="165">
        <v>45116.555555555555</v>
      </c>
      <c r="BH32" s="165">
        <f t="shared" si="15"/>
        <v>45118.263888888891</v>
      </c>
      <c r="BI32" s="165">
        <v>45118.25</v>
      </c>
      <c r="BJ32" s="165">
        <v>45118.416666666664</v>
      </c>
      <c r="BK32" s="165">
        <v>45118.288194444445</v>
      </c>
      <c r="BL32" s="165">
        <v>45120.458333333336</v>
      </c>
      <c r="BM32" s="165">
        <v>45120.979166666664</v>
      </c>
      <c r="BN32" s="165">
        <v>45121.166666666664</v>
      </c>
      <c r="BO32" s="165">
        <v>45121.166666666664</v>
      </c>
      <c r="BP32" s="165">
        <v>45121.166666666664</v>
      </c>
      <c r="BQ32" s="165">
        <v>45121.166666666664</v>
      </c>
      <c r="BR32" s="126" t="s">
        <v>788</v>
      </c>
      <c r="BT32" s="136">
        <f t="shared" si="4"/>
        <v>150.66666666656965</v>
      </c>
      <c r="BU32" s="136">
        <f t="shared" si="5"/>
        <v>3</v>
      </c>
      <c r="BV32" s="136">
        <f t="shared" si="6"/>
        <v>41.000000000058208</v>
      </c>
      <c r="BW32" s="136">
        <f t="shared" si="14"/>
        <v>49.000000000116415</v>
      </c>
      <c r="BX32" s="135">
        <f t="shared" si="7"/>
        <v>4.5</v>
      </c>
      <c r="BY32" s="135">
        <f t="shared" si="8"/>
        <v>0</v>
      </c>
      <c r="BZ32" s="134">
        <f t="shared" si="9"/>
        <v>10.340277777781012</v>
      </c>
      <c r="CA32" s="134">
        <f t="shared" si="10"/>
        <v>15.020833333328483</v>
      </c>
      <c r="CB32" s="133">
        <f t="shared" si="11"/>
        <v>0.68839574664861147</v>
      </c>
    </row>
    <row r="33" spans="1:80" s="126" customFormat="1">
      <c r="A33" s="192">
        <f t="shared" si="0"/>
        <v>45117.944444444445</v>
      </c>
      <c r="B33" s="126" t="s">
        <v>228</v>
      </c>
      <c r="C33" s="126" t="s">
        <v>229</v>
      </c>
      <c r="D33" s="126" t="s">
        <v>197</v>
      </c>
      <c r="E33" s="65" t="s">
        <v>2102</v>
      </c>
      <c r="G33" s="315">
        <v>45117.541666666664</v>
      </c>
      <c r="H33" s="315">
        <v>45117.520833333336</v>
      </c>
      <c r="I33" s="126" t="s">
        <v>231</v>
      </c>
      <c r="J33" s="126" t="s">
        <v>192</v>
      </c>
      <c r="K33" s="126" t="s">
        <v>192</v>
      </c>
      <c r="L33" s="126" t="s">
        <v>2105</v>
      </c>
      <c r="M33" s="167"/>
      <c r="N33" s="126" t="s">
        <v>208</v>
      </c>
      <c r="O33" s="126" t="s">
        <v>328</v>
      </c>
      <c r="P33" s="126" t="s">
        <v>240</v>
      </c>
      <c r="Q33" s="181">
        <f>3128*2.4</f>
        <v>7507.2</v>
      </c>
      <c r="R33" s="181">
        <f>7550+100</f>
        <v>7650</v>
      </c>
      <c r="S33" s="181">
        <v>7515.6779999999999</v>
      </c>
      <c r="T33" s="181"/>
      <c r="Y33" s="181">
        <f t="shared" ref="Y33:Y39" si="17">S33</f>
        <v>7515.6779999999999</v>
      </c>
      <c r="AX33" s="165">
        <f t="shared" si="1"/>
        <v>45110.298611111109</v>
      </c>
      <c r="AY33" s="165">
        <f t="shared" si="2"/>
        <v>45124.222222222219</v>
      </c>
      <c r="AZ33" s="137">
        <f t="shared" si="3"/>
        <v>13.923611111109494</v>
      </c>
      <c r="BA33" s="165">
        <v>45110.298611111109</v>
      </c>
      <c r="BB33" s="165">
        <v>45114.611111111109</v>
      </c>
      <c r="BC33" s="165">
        <v>45116.309027777781</v>
      </c>
      <c r="BD33" s="165">
        <v>45117.944444444445</v>
      </c>
      <c r="BE33" s="165">
        <v>45118.09375</v>
      </c>
      <c r="BF33" s="165">
        <v>45118.100694444445</v>
      </c>
      <c r="BG33" s="165">
        <v>45118.100694444445</v>
      </c>
      <c r="BH33" s="165">
        <f t="shared" si="15"/>
        <v>45119.809027777781</v>
      </c>
      <c r="BI33" s="165">
        <v>45119.291666666664</v>
      </c>
      <c r="BJ33" s="165">
        <v>45119.458333333328</v>
      </c>
      <c r="BK33" s="165">
        <v>45119.4375</v>
      </c>
      <c r="BL33" s="165">
        <v>45121.166666666664</v>
      </c>
      <c r="BM33" s="165">
        <v>45123.638888888891</v>
      </c>
      <c r="BN33" s="165">
        <v>45123.9375</v>
      </c>
      <c r="BO33" s="165">
        <v>45123.958333333336</v>
      </c>
      <c r="BP33" s="165">
        <v>45123.958333333336</v>
      </c>
      <c r="BQ33" s="165">
        <v>45124.222222222219</v>
      </c>
      <c r="BT33" s="136">
        <f t="shared" si="4"/>
        <v>40.750000000116415</v>
      </c>
      <c r="BU33" s="136">
        <f t="shared" si="5"/>
        <v>3.5833333333139308</v>
      </c>
      <c r="BV33" s="136">
        <f t="shared" si="6"/>
        <v>41.000000000058208</v>
      </c>
      <c r="BW33" s="136">
        <f t="shared" si="14"/>
        <v>41.000000000058208</v>
      </c>
      <c r="BX33" s="135">
        <f t="shared" si="7"/>
        <v>7.1666666666278616</v>
      </c>
      <c r="BY33" s="135">
        <f t="shared" si="8"/>
        <v>6.3333333331975155</v>
      </c>
      <c r="BZ33" s="134">
        <f t="shared" si="9"/>
        <v>5.8263888888905058</v>
      </c>
      <c r="CA33" s="134">
        <f t="shared" si="10"/>
        <v>13.923611111109494</v>
      </c>
      <c r="CB33" s="133">
        <f t="shared" si="11"/>
        <v>0.41845386533682305</v>
      </c>
    </row>
    <row r="34" spans="1:80" s="126" customFormat="1">
      <c r="A34" s="192">
        <f t="shared" si="0"/>
        <v>45118.12222222222</v>
      </c>
      <c r="B34" s="126" t="s">
        <v>228</v>
      </c>
      <c r="C34" s="126" t="s">
        <v>229</v>
      </c>
      <c r="D34" s="126" t="s">
        <v>197</v>
      </c>
      <c r="E34" s="65" t="s">
        <v>2102</v>
      </c>
      <c r="G34" s="315">
        <v>45117.541666666664</v>
      </c>
      <c r="H34" s="315">
        <v>45117.520833333336</v>
      </c>
      <c r="I34" s="126" t="s">
        <v>231</v>
      </c>
      <c r="J34" s="126" t="s">
        <v>192</v>
      </c>
      <c r="K34" s="126" t="s">
        <v>192</v>
      </c>
      <c r="L34" s="126" t="s">
        <v>2108</v>
      </c>
      <c r="M34" s="129"/>
      <c r="N34" s="126" t="s">
        <v>1392</v>
      </c>
      <c r="O34" s="126" t="s">
        <v>365</v>
      </c>
      <c r="P34" s="126" t="s">
        <v>240</v>
      </c>
      <c r="Q34" s="181">
        <f>3142*2.4</f>
        <v>7540.7999999999993</v>
      </c>
      <c r="R34" s="181">
        <f>7550+100</f>
        <v>7650</v>
      </c>
      <c r="S34" s="181">
        <v>7409.69</v>
      </c>
      <c r="T34" s="181"/>
      <c r="Y34" s="181">
        <f t="shared" si="17"/>
        <v>7409.69</v>
      </c>
      <c r="AX34" s="165">
        <f t="shared" si="1"/>
        <v>45109.9375</v>
      </c>
      <c r="AY34" s="165">
        <f t="shared" si="2"/>
        <v>45124.979166666664</v>
      </c>
      <c r="AZ34" s="137">
        <f t="shared" si="3"/>
        <v>15.041666666664241</v>
      </c>
      <c r="BA34" s="165">
        <v>45109.9375</v>
      </c>
      <c r="BB34" s="165">
        <v>45114.621527777781</v>
      </c>
      <c r="BC34" s="165">
        <v>45116.458333333336</v>
      </c>
      <c r="BD34" s="165">
        <v>45118.12222222222</v>
      </c>
      <c r="BE34" s="165">
        <v>45118.253472222219</v>
      </c>
      <c r="BF34" s="165">
        <v>45118.260416666664</v>
      </c>
      <c r="BG34" s="165">
        <v>45118.260416666664</v>
      </c>
      <c r="BH34" s="165">
        <f t="shared" si="15"/>
        <v>45119.96875</v>
      </c>
      <c r="BI34" s="165">
        <v>45120.458333333336</v>
      </c>
      <c r="BJ34" s="165">
        <v>45120.625</v>
      </c>
      <c r="BK34" s="165">
        <v>45120.534722222219</v>
      </c>
      <c r="BL34" s="165">
        <v>45121.697916666664</v>
      </c>
      <c r="BM34" s="165">
        <v>45124.375</v>
      </c>
      <c r="BN34" s="165">
        <v>45124.618055555555</v>
      </c>
      <c r="BO34" s="165">
        <v>45124.631944444445</v>
      </c>
      <c r="BP34" s="165">
        <v>45124.729166666664</v>
      </c>
      <c r="BQ34" s="165">
        <v>45124.979166666664</v>
      </c>
      <c r="BT34" s="136">
        <f t="shared" si="4"/>
        <v>44.083333333313931</v>
      </c>
      <c r="BU34" s="136">
        <f t="shared" si="5"/>
        <v>3.1499999999650754</v>
      </c>
      <c r="BV34" s="136">
        <f t="shared" si="6"/>
        <v>41.000000000058208</v>
      </c>
      <c r="BW34" s="136">
        <f t="shared" si="14"/>
        <v>25.749999999941792</v>
      </c>
      <c r="BX34" s="135">
        <f t="shared" si="7"/>
        <v>5.8333333333139308</v>
      </c>
      <c r="BY34" s="135">
        <f t="shared" si="8"/>
        <v>6</v>
      </c>
      <c r="BZ34" s="134">
        <f t="shared" si="9"/>
        <v>5.242361111108039</v>
      </c>
      <c r="CA34" s="134">
        <f t="shared" si="10"/>
        <v>15.041666666664241</v>
      </c>
      <c r="CB34" s="133">
        <f t="shared" si="11"/>
        <v>0.34852262234518899</v>
      </c>
    </row>
    <row r="35" spans="1:80" s="126" customFormat="1">
      <c r="A35" s="192">
        <f t="shared" si="0"/>
        <v>45118.336805555555</v>
      </c>
      <c r="B35" s="126" t="s">
        <v>228</v>
      </c>
      <c r="C35" s="126" t="s">
        <v>229</v>
      </c>
      <c r="D35" s="126" t="s">
        <v>197</v>
      </c>
      <c r="E35" s="65" t="s">
        <v>2102</v>
      </c>
      <c r="G35" s="315">
        <v>45117.541666666664</v>
      </c>
      <c r="H35" s="315">
        <v>45117.520833333336</v>
      </c>
      <c r="I35" s="126" t="s">
        <v>231</v>
      </c>
      <c r="J35" s="126" t="s">
        <v>192</v>
      </c>
      <c r="K35" s="126" t="s">
        <v>192</v>
      </c>
      <c r="L35" s="126" t="s">
        <v>2109</v>
      </c>
      <c r="M35" s="167"/>
      <c r="N35" s="126" t="s">
        <v>323</v>
      </c>
      <c r="O35" s="126" t="s">
        <v>324</v>
      </c>
      <c r="P35" s="126" t="s">
        <v>240</v>
      </c>
      <c r="Q35" s="181">
        <f>3095*2.4</f>
        <v>7428</v>
      </c>
      <c r="R35" s="181">
        <f>7450+100</f>
        <v>7550</v>
      </c>
      <c r="S35" s="181">
        <v>7528.6670000000004</v>
      </c>
      <c r="T35" s="181"/>
      <c r="Y35" s="181">
        <f t="shared" si="17"/>
        <v>7528.6670000000004</v>
      </c>
      <c r="AX35" s="165">
        <f t="shared" si="1"/>
        <v>45110.318749999999</v>
      </c>
      <c r="AY35" s="165">
        <f t="shared" si="2"/>
        <v>45125.416666666664</v>
      </c>
      <c r="AZ35" s="137">
        <f t="shared" si="3"/>
        <v>15.097916666665697</v>
      </c>
      <c r="BA35" s="165">
        <v>45110.318749999999</v>
      </c>
      <c r="BB35" s="165">
        <v>45114.615972222222</v>
      </c>
      <c r="BC35" s="165">
        <v>45116.552083333336</v>
      </c>
      <c r="BD35" s="165">
        <v>45118.336805555555</v>
      </c>
      <c r="BE35" s="165">
        <v>45118.486111111109</v>
      </c>
      <c r="BF35" s="165">
        <v>45118.503472222219</v>
      </c>
      <c r="BG35" s="165">
        <v>45118.503472222219</v>
      </c>
      <c r="BH35" s="165">
        <f t="shared" si="15"/>
        <v>45120.211805555555</v>
      </c>
      <c r="BI35" s="165">
        <v>45120.458333333336</v>
      </c>
      <c r="BJ35" s="165">
        <v>45120.625</v>
      </c>
      <c r="BK35" s="165">
        <v>45120.504861111112</v>
      </c>
      <c r="BL35" s="165">
        <v>45121.6875</v>
      </c>
      <c r="BM35" s="165">
        <v>45124.652777777781</v>
      </c>
      <c r="BN35" s="165">
        <v>45124.9375</v>
      </c>
      <c r="BO35" s="165">
        <v>45124.951388888891</v>
      </c>
      <c r="BP35" s="165">
        <v>45124.951388888891</v>
      </c>
      <c r="BQ35" s="165">
        <v>45125.416666666664</v>
      </c>
      <c r="BT35" s="136">
        <f t="shared" si="4"/>
        <v>46.466666666732635</v>
      </c>
      <c r="BU35" s="136">
        <f t="shared" si="5"/>
        <v>3.5833333333139308</v>
      </c>
      <c r="BV35" s="136">
        <f t="shared" si="6"/>
        <v>41.000000000058208</v>
      </c>
      <c r="BW35" s="136">
        <f t="shared" si="14"/>
        <v>25.5</v>
      </c>
      <c r="BX35" s="135">
        <f t="shared" si="7"/>
        <v>6.8333333332557231</v>
      </c>
      <c r="BY35" s="135">
        <f t="shared" si="8"/>
        <v>11.166666666569654</v>
      </c>
      <c r="BZ35" s="134">
        <f t="shared" si="9"/>
        <v>5.6062499999970896</v>
      </c>
      <c r="CA35" s="134">
        <f t="shared" si="10"/>
        <v>15.097916666665697</v>
      </c>
      <c r="CB35" s="133">
        <f t="shared" si="11"/>
        <v>0.3713260659581587</v>
      </c>
    </row>
    <row r="36" spans="1:80" s="126" customFormat="1">
      <c r="A36" s="192">
        <f t="shared" si="0"/>
        <v>45118.527777777781</v>
      </c>
      <c r="B36" s="126" t="s">
        <v>228</v>
      </c>
      <c r="C36" s="126" t="s">
        <v>229</v>
      </c>
      <c r="D36" s="126" t="s">
        <v>197</v>
      </c>
      <c r="E36" s="65" t="s">
        <v>2102</v>
      </c>
      <c r="G36" s="315">
        <v>45117.541666666664</v>
      </c>
      <c r="H36" s="315">
        <v>45117.520833333336</v>
      </c>
      <c r="I36" s="126" t="s">
        <v>231</v>
      </c>
      <c r="J36" s="126" t="s">
        <v>192</v>
      </c>
      <c r="K36" s="126" t="s">
        <v>192</v>
      </c>
      <c r="L36" s="126" t="s">
        <v>2110</v>
      </c>
      <c r="M36" s="167"/>
      <c r="N36" s="126" t="s">
        <v>1483</v>
      </c>
      <c r="O36" s="126" t="s">
        <v>258</v>
      </c>
      <c r="P36" s="126" t="s">
        <v>240</v>
      </c>
      <c r="Q36" s="181">
        <f>3139*2.4</f>
        <v>7533.5999999999995</v>
      </c>
      <c r="R36" s="181">
        <f>7550+100</f>
        <v>7650</v>
      </c>
      <c r="S36" s="181">
        <v>7505.1030000000001</v>
      </c>
      <c r="T36" s="181"/>
      <c r="Y36" s="181">
        <f t="shared" si="17"/>
        <v>7505.1030000000001</v>
      </c>
      <c r="AX36" s="165">
        <f t="shared" ref="AX36:AX66" si="18">BA36</f>
        <v>45111.350694444445</v>
      </c>
      <c r="AY36" s="165">
        <f t="shared" ref="AY36:AY66" si="19">BQ36</f>
        <v>45125.75</v>
      </c>
      <c r="AZ36" s="137">
        <f t="shared" ref="AZ36:AZ66" si="20">AY36-AX36</f>
        <v>14.399305555554747</v>
      </c>
      <c r="BA36" s="165">
        <v>45111.350694444445</v>
      </c>
      <c r="BB36" s="165">
        <v>45114.822916666664</v>
      </c>
      <c r="BC36" s="165">
        <v>45117.166666666664</v>
      </c>
      <c r="BD36" s="165">
        <v>45118.527777777781</v>
      </c>
      <c r="BE36" s="165">
        <v>45118.680555555555</v>
      </c>
      <c r="BF36" s="165">
        <v>45118.694444444445</v>
      </c>
      <c r="BG36" s="165">
        <v>45118.694444444445</v>
      </c>
      <c r="BH36" s="165">
        <f t="shared" si="15"/>
        <v>45120.402777777781</v>
      </c>
      <c r="BI36" s="165">
        <v>45120.458333333336</v>
      </c>
      <c r="BJ36" s="165">
        <v>45120.625</v>
      </c>
      <c r="BK36" s="165">
        <v>45120.586805555555</v>
      </c>
      <c r="BL36" s="165">
        <v>45122.4375</v>
      </c>
      <c r="BM36" s="165">
        <v>45124.972222222219</v>
      </c>
      <c r="BN36" s="165">
        <v>45125.225694444445</v>
      </c>
      <c r="BO36" s="165">
        <v>45125.239583333336</v>
      </c>
      <c r="BP36" s="165">
        <v>45125.239583333336</v>
      </c>
      <c r="BQ36" s="165">
        <v>45125.75</v>
      </c>
      <c r="BR36" s="126" t="s">
        <v>2608</v>
      </c>
      <c r="BT36" s="136">
        <f t="shared" si="4"/>
        <v>56.25</v>
      </c>
      <c r="BU36" s="136">
        <f t="shared" si="5"/>
        <v>3.6666666665696539</v>
      </c>
      <c r="BV36" s="136">
        <f t="shared" si="6"/>
        <v>41.000000000058208</v>
      </c>
      <c r="BW36" s="136">
        <f t="shared" si="14"/>
        <v>43.5</v>
      </c>
      <c r="BX36" s="135">
        <f t="shared" si="7"/>
        <v>6.0833333334303461</v>
      </c>
      <c r="BY36" s="135">
        <f t="shared" si="8"/>
        <v>12.249999999941792</v>
      </c>
      <c r="BZ36" s="134">
        <f t="shared" si="9"/>
        <v>6.78125</v>
      </c>
      <c r="CA36" s="134">
        <f t="shared" si="10"/>
        <v>14.399305555554747</v>
      </c>
      <c r="CB36" s="133">
        <f t="shared" si="11"/>
        <v>0.47094285025322152</v>
      </c>
    </row>
    <row r="37" spans="1:80" s="126" customFormat="1">
      <c r="A37" s="192">
        <f t="shared" si="0"/>
        <v>45119.694444444445</v>
      </c>
      <c r="B37" s="126" t="s">
        <v>228</v>
      </c>
      <c r="C37" s="126" t="s">
        <v>229</v>
      </c>
      <c r="D37" s="126" t="s">
        <v>215</v>
      </c>
      <c r="E37" s="65" t="s">
        <v>2102</v>
      </c>
      <c r="G37" s="315">
        <v>45117.541666666664</v>
      </c>
      <c r="H37" s="315">
        <v>45117.520833333336</v>
      </c>
      <c r="I37" s="126" t="s">
        <v>231</v>
      </c>
      <c r="J37" s="126" t="s">
        <v>192</v>
      </c>
      <c r="K37" s="126" t="s">
        <v>192</v>
      </c>
      <c r="L37" s="126" t="s">
        <v>2114</v>
      </c>
      <c r="M37" s="167"/>
      <c r="N37" s="126" t="s">
        <v>301</v>
      </c>
      <c r="O37" s="126" t="s">
        <v>359</v>
      </c>
      <c r="P37" s="126" t="s">
        <v>240</v>
      </c>
      <c r="Q37" s="181">
        <f>3852*2.4</f>
        <v>9244.7999999999993</v>
      </c>
      <c r="R37" s="181">
        <v>9250</v>
      </c>
      <c r="S37" s="181">
        <v>9216.5120000000006</v>
      </c>
      <c r="T37" s="181"/>
      <c r="Y37" s="181">
        <f t="shared" si="17"/>
        <v>9216.5120000000006</v>
      </c>
      <c r="AX37" s="165">
        <f t="shared" si="18"/>
        <v>45113.379166666666</v>
      </c>
      <c r="AY37" s="165">
        <f t="shared" si="19"/>
        <v>45126.40625</v>
      </c>
      <c r="AZ37" s="137">
        <f t="shared" si="20"/>
        <v>13.027083333334303</v>
      </c>
      <c r="BA37" s="165">
        <v>45113.379166666666</v>
      </c>
      <c r="BB37" s="165">
        <v>45115.534722222219</v>
      </c>
      <c r="BC37" s="165">
        <v>45117.354166666664</v>
      </c>
      <c r="BD37" s="165">
        <v>45119.694444444445</v>
      </c>
      <c r="BE37" s="165">
        <v>45119.965277777781</v>
      </c>
      <c r="BF37" s="165">
        <v>45119.96875</v>
      </c>
      <c r="BG37" s="165">
        <v>45119.96875</v>
      </c>
      <c r="BH37" s="165">
        <f t="shared" si="15"/>
        <v>45121.677083333336</v>
      </c>
      <c r="BI37" s="165">
        <v>45121.5</v>
      </c>
      <c r="BJ37" s="165">
        <v>45121.666666666664</v>
      </c>
      <c r="BK37" s="165">
        <v>45121.621527777781</v>
      </c>
      <c r="BL37" s="165">
        <v>45122.703472222223</v>
      </c>
      <c r="BM37" s="165">
        <v>45125.805555555555</v>
      </c>
      <c r="BN37" s="165">
        <v>45126.152777777781</v>
      </c>
      <c r="BO37" s="165">
        <v>45126.166666666664</v>
      </c>
      <c r="BP37" s="165">
        <v>45126.166666666664</v>
      </c>
      <c r="BQ37" s="165">
        <v>45126.40625</v>
      </c>
      <c r="BT37" s="136">
        <f t="shared" si="4"/>
        <v>43.666666666686069</v>
      </c>
      <c r="BU37" s="136">
        <f t="shared" si="5"/>
        <v>6.5000000000582077</v>
      </c>
      <c r="BV37" s="136">
        <f t="shared" si="6"/>
        <v>41.000000000058208</v>
      </c>
      <c r="BW37" s="136">
        <f t="shared" si="14"/>
        <v>24.883333333418705</v>
      </c>
      <c r="BX37" s="135">
        <f t="shared" si="7"/>
        <v>8.3333333334303461</v>
      </c>
      <c r="BY37" s="135">
        <f t="shared" si="8"/>
        <v>5.7500000000582077</v>
      </c>
      <c r="BZ37" s="134">
        <f t="shared" si="9"/>
        <v>5.422222222237906</v>
      </c>
      <c r="CA37" s="134">
        <f t="shared" si="10"/>
        <v>13.027083333334303</v>
      </c>
      <c r="CB37" s="133">
        <f t="shared" si="11"/>
        <v>0.41622687776651224</v>
      </c>
    </row>
    <row r="38" spans="1:80" s="126" customFormat="1">
      <c r="A38" s="192">
        <f t="shared" si="0"/>
        <v>45118.715277777781</v>
      </c>
      <c r="B38" s="126" t="s">
        <v>228</v>
      </c>
      <c r="C38" s="126" t="s">
        <v>229</v>
      </c>
      <c r="D38" s="126" t="s">
        <v>197</v>
      </c>
      <c r="E38" s="65" t="s">
        <v>2102</v>
      </c>
      <c r="G38" s="315">
        <v>45117.541666666664</v>
      </c>
      <c r="H38" s="315">
        <v>45117.520833333336</v>
      </c>
      <c r="I38" s="126" t="s">
        <v>231</v>
      </c>
      <c r="J38" s="126" t="s">
        <v>192</v>
      </c>
      <c r="K38" s="126" t="s">
        <v>192</v>
      </c>
      <c r="L38" s="126" t="s">
        <v>2107</v>
      </c>
      <c r="M38" s="129"/>
      <c r="N38" s="126" t="s">
        <v>201</v>
      </c>
      <c r="O38" s="126" t="s">
        <v>202</v>
      </c>
      <c r="P38" s="126" t="s">
        <v>240</v>
      </c>
      <c r="Q38" s="181">
        <f>3141*2.4</f>
        <v>7538.4</v>
      </c>
      <c r="R38" s="181">
        <f>7550+100</f>
        <v>7650</v>
      </c>
      <c r="S38" s="181">
        <v>7460.8760000000002</v>
      </c>
      <c r="T38" s="181"/>
      <c r="Y38" s="181">
        <f t="shared" si="17"/>
        <v>7460.8760000000002</v>
      </c>
      <c r="AX38" s="165">
        <f t="shared" si="18"/>
        <v>45112.513888888891</v>
      </c>
      <c r="AY38" s="165">
        <f t="shared" si="19"/>
        <v>45124.746527777781</v>
      </c>
      <c r="AZ38" s="137">
        <f t="shared" si="20"/>
        <v>12.232638888890506</v>
      </c>
      <c r="BA38" s="165">
        <v>45112.513888888891</v>
      </c>
      <c r="BB38" s="165">
        <v>45115.579861111109</v>
      </c>
      <c r="BC38" s="165">
        <v>45117.361111111109</v>
      </c>
      <c r="BD38" s="165">
        <v>45118.715277777781</v>
      </c>
      <c r="BE38" s="165">
        <v>45118.902777777781</v>
      </c>
      <c r="BF38" s="165">
        <v>45118.90625</v>
      </c>
      <c r="BG38" s="165">
        <v>45118.90625</v>
      </c>
      <c r="BH38" s="165">
        <f t="shared" si="15"/>
        <v>45120.614583333336</v>
      </c>
      <c r="BI38" s="165">
        <v>45120.458333333336</v>
      </c>
      <c r="BJ38" s="165">
        <v>45120.625</v>
      </c>
      <c r="BK38" s="165">
        <v>45120.493055555555</v>
      </c>
      <c r="BL38" s="165">
        <v>45121.527777777781</v>
      </c>
      <c r="BM38" s="165">
        <v>45124</v>
      </c>
      <c r="BN38" s="165">
        <v>45124.333333333336</v>
      </c>
      <c r="BO38" s="165">
        <v>45124.347222222219</v>
      </c>
      <c r="BP38" s="165">
        <v>45124.347222222219</v>
      </c>
      <c r="BQ38" s="165">
        <v>45124.746527777781</v>
      </c>
      <c r="BT38" s="136">
        <f t="shared" si="4"/>
        <v>42.75</v>
      </c>
      <c r="BU38" s="136">
        <f t="shared" si="5"/>
        <v>4.5</v>
      </c>
      <c r="BV38" s="136">
        <f t="shared" si="6"/>
        <v>41.000000000058208</v>
      </c>
      <c r="BW38" s="136">
        <f t="shared" si="14"/>
        <v>21.666666666744277</v>
      </c>
      <c r="BX38" s="135">
        <f t="shared" si="7"/>
        <v>8.0000000000582077</v>
      </c>
      <c r="BY38" s="135">
        <f t="shared" si="8"/>
        <v>9.5833333334885538</v>
      </c>
      <c r="BZ38" s="134">
        <f t="shared" si="9"/>
        <v>5.3125000000145519</v>
      </c>
      <c r="CA38" s="134">
        <f t="shared" si="10"/>
        <v>12.232638888890506</v>
      </c>
      <c r="CB38" s="133">
        <f t="shared" si="11"/>
        <v>0.43428895827533032</v>
      </c>
    </row>
    <row r="39" spans="1:80" s="126" customFormat="1">
      <c r="A39" s="192">
        <f t="shared" si="0"/>
        <v>45120.208333333336</v>
      </c>
      <c r="B39" s="126" t="s">
        <v>228</v>
      </c>
      <c r="C39" s="126" t="s">
        <v>229</v>
      </c>
      <c r="D39" s="126" t="s">
        <v>215</v>
      </c>
      <c r="E39" s="65" t="s">
        <v>2102</v>
      </c>
      <c r="G39" s="315">
        <v>45117.541666666664</v>
      </c>
      <c r="H39" s="315">
        <v>45117.520833333336</v>
      </c>
      <c r="I39" s="126" t="s">
        <v>231</v>
      </c>
      <c r="J39" s="126" t="s">
        <v>192</v>
      </c>
      <c r="K39" s="126" t="s">
        <v>192</v>
      </c>
      <c r="L39" s="126" t="s">
        <v>2115</v>
      </c>
      <c r="M39" s="167"/>
      <c r="N39" s="126" t="s">
        <v>774</v>
      </c>
      <c r="O39" s="126" t="s">
        <v>423</v>
      </c>
      <c r="P39" s="126" t="s">
        <v>240</v>
      </c>
      <c r="Q39" s="181">
        <f>3156*2.4</f>
        <v>7574.4</v>
      </c>
      <c r="R39" s="181">
        <f>7600+100</f>
        <v>7700</v>
      </c>
      <c r="S39" s="181">
        <v>7598.5379999999996</v>
      </c>
      <c r="T39" s="181"/>
      <c r="Y39" s="181">
        <f t="shared" si="17"/>
        <v>7598.5379999999996</v>
      </c>
      <c r="AX39" s="165">
        <f t="shared" si="18"/>
        <v>45113.625</v>
      </c>
      <c r="AY39" s="165">
        <f t="shared" si="19"/>
        <v>45126.947916666664</v>
      </c>
      <c r="AZ39" s="137">
        <f t="shared" si="20"/>
        <v>13.322916666664241</v>
      </c>
      <c r="BA39" s="165">
        <v>45113.625</v>
      </c>
      <c r="BB39" s="165">
        <v>45115.569444444445</v>
      </c>
      <c r="BC39" s="165">
        <v>45117.385416666664</v>
      </c>
      <c r="BD39" s="165">
        <v>45120.208333333336</v>
      </c>
      <c r="BE39" s="165">
        <v>45120.399305555555</v>
      </c>
      <c r="BF39" s="165">
        <v>45120.402777777781</v>
      </c>
      <c r="BG39" s="165">
        <v>45120.402777777781</v>
      </c>
      <c r="BH39" s="165">
        <f t="shared" si="15"/>
        <v>45122.111111111117</v>
      </c>
      <c r="BI39" s="165">
        <v>45122.583333333336</v>
      </c>
      <c r="BJ39" s="165">
        <v>45122.75</v>
      </c>
      <c r="BK39" s="165">
        <v>45122.621527777781</v>
      </c>
      <c r="BL39" s="165">
        <v>45123.666666666664</v>
      </c>
      <c r="BM39" s="165">
        <v>45126.1875</v>
      </c>
      <c r="BN39" s="165">
        <v>45126.458333333336</v>
      </c>
      <c r="BO39" s="165">
        <v>45126.472222222219</v>
      </c>
      <c r="BP39" s="165">
        <v>45126.701388888891</v>
      </c>
      <c r="BQ39" s="165">
        <v>45126.947916666664</v>
      </c>
      <c r="BT39" s="136">
        <f t="shared" si="4"/>
        <v>43.583333333255723</v>
      </c>
      <c r="BU39" s="136">
        <f t="shared" si="5"/>
        <v>4.5833333332557231</v>
      </c>
      <c r="BV39" s="136">
        <f t="shared" si="6"/>
        <v>41.000000000058208</v>
      </c>
      <c r="BW39" s="136">
        <f t="shared" si="14"/>
        <v>21.999999999941792</v>
      </c>
      <c r="BX39" s="135">
        <f t="shared" si="7"/>
        <v>6.5000000000582077</v>
      </c>
      <c r="BY39" s="135">
        <f t="shared" si="8"/>
        <v>5.9166666665696539</v>
      </c>
      <c r="BZ39" s="134">
        <f t="shared" si="9"/>
        <v>5.1493055555474712</v>
      </c>
      <c r="CA39" s="134">
        <f t="shared" si="10"/>
        <v>13.322916666664241</v>
      </c>
      <c r="CB39" s="133">
        <f t="shared" si="11"/>
        <v>0.38649986968932543</v>
      </c>
    </row>
    <row r="40" spans="1:80" s="126" customFormat="1">
      <c r="A40" s="192">
        <f t="shared" si="0"/>
        <v>45120.666666666664</v>
      </c>
      <c r="B40" s="126" t="s">
        <v>228</v>
      </c>
      <c r="C40" s="126" t="s">
        <v>229</v>
      </c>
      <c r="D40" s="126" t="s">
        <v>215</v>
      </c>
      <c r="E40" s="65" t="s">
        <v>2102</v>
      </c>
      <c r="G40" s="315">
        <v>45117.541666666664</v>
      </c>
      <c r="H40" s="315">
        <v>45117.520833333336</v>
      </c>
      <c r="I40" s="126" t="s">
        <v>231</v>
      </c>
      <c r="J40" s="126" t="s">
        <v>192</v>
      </c>
      <c r="K40" s="126" t="s">
        <v>192</v>
      </c>
      <c r="L40" s="126" t="s">
        <v>2116</v>
      </c>
      <c r="M40" s="167"/>
      <c r="N40" s="126" t="s">
        <v>390</v>
      </c>
      <c r="O40" s="126" t="s">
        <v>391</v>
      </c>
      <c r="P40" s="126" t="s">
        <v>2117</v>
      </c>
      <c r="Q40" s="181">
        <f>3097*2.4</f>
        <v>7432.7999999999993</v>
      </c>
      <c r="R40" s="181">
        <f>7450+100</f>
        <v>7550</v>
      </c>
      <c r="S40" s="181">
        <v>7360.0240000000003</v>
      </c>
      <c r="T40" s="181"/>
      <c r="X40" s="181">
        <f>S40*0.6</f>
        <v>4416.0144</v>
      </c>
      <c r="Y40" s="181">
        <f>S40*0.4</f>
        <v>2944.0096000000003</v>
      </c>
      <c r="AX40" s="165">
        <f t="shared" si="18"/>
        <v>45112.9375</v>
      </c>
      <c r="AY40" s="165">
        <f t="shared" si="19"/>
        <v>45127.194444444445</v>
      </c>
      <c r="AZ40" s="137">
        <f t="shared" si="20"/>
        <v>14.256944444445253</v>
      </c>
      <c r="BA40" s="165">
        <v>45112.9375</v>
      </c>
      <c r="BB40" s="165">
        <v>45115.559027777781</v>
      </c>
      <c r="BC40" s="165">
        <v>45117.40625</v>
      </c>
      <c r="BD40" s="165">
        <v>45120.666666666664</v>
      </c>
      <c r="BE40" s="165">
        <v>45120.847222222219</v>
      </c>
      <c r="BF40" s="165">
        <v>45120.850694444445</v>
      </c>
      <c r="BG40" s="165">
        <v>45121.291666666664</v>
      </c>
      <c r="BH40" s="165">
        <f t="shared" si="15"/>
        <v>45123</v>
      </c>
      <c r="BI40" s="165">
        <v>45123.229166666664</v>
      </c>
      <c r="BJ40" s="165">
        <v>45123.395833333328</v>
      </c>
      <c r="BK40" s="165">
        <v>45123.274305555555</v>
      </c>
      <c r="BL40" s="165">
        <v>45124.402777777781</v>
      </c>
      <c r="BM40" s="165">
        <v>45126.5</v>
      </c>
      <c r="BN40" s="165">
        <v>45126.715277777781</v>
      </c>
      <c r="BO40" s="165">
        <v>45126.739583333336</v>
      </c>
      <c r="BP40" s="165">
        <v>45126.739583333336</v>
      </c>
      <c r="BQ40" s="165">
        <v>45127.194444444445</v>
      </c>
      <c r="BT40" s="136">
        <f t="shared" si="4"/>
        <v>44.333333333255723</v>
      </c>
      <c r="BU40" s="136">
        <f t="shared" si="5"/>
        <v>4.3333333333139308</v>
      </c>
      <c r="BV40" s="136">
        <f t="shared" si="6"/>
        <v>41.000000000058208</v>
      </c>
      <c r="BW40" s="136">
        <f t="shared" si="14"/>
        <v>24.166666666860692</v>
      </c>
      <c r="BX40" s="135">
        <f t="shared" si="7"/>
        <v>5.1666666667442769</v>
      </c>
      <c r="BY40" s="135">
        <f t="shared" si="8"/>
        <v>10.916666666627862</v>
      </c>
      <c r="BZ40" s="134">
        <f t="shared" si="9"/>
        <v>5.4131944444525288</v>
      </c>
      <c r="CA40" s="134">
        <f t="shared" si="10"/>
        <v>14.256944444445253</v>
      </c>
      <c r="CB40" s="133">
        <f t="shared" si="11"/>
        <v>0.37968826108188991</v>
      </c>
    </row>
    <row r="41" spans="1:80" s="126" customFormat="1">
      <c r="A41" s="192">
        <f t="shared" si="0"/>
        <v>45118.951388888891</v>
      </c>
      <c r="B41" s="126" t="s">
        <v>228</v>
      </c>
      <c r="C41" s="126" t="s">
        <v>229</v>
      </c>
      <c r="D41" s="126" t="s">
        <v>197</v>
      </c>
      <c r="E41" s="65" t="s">
        <v>2102</v>
      </c>
      <c r="G41" s="315">
        <v>45117.541666666664</v>
      </c>
      <c r="H41" s="315">
        <v>45117.520833333336</v>
      </c>
      <c r="I41" s="126" t="s">
        <v>231</v>
      </c>
      <c r="J41" s="126" t="s">
        <v>192</v>
      </c>
      <c r="K41" s="126" t="s">
        <v>192</v>
      </c>
      <c r="L41" s="126" t="s">
        <v>2111</v>
      </c>
      <c r="M41" s="167"/>
      <c r="N41" s="126" t="s">
        <v>1240</v>
      </c>
      <c r="O41" s="126" t="s">
        <v>1241</v>
      </c>
      <c r="P41" s="126" t="s">
        <v>235</v>
      </c>
      <c r="Q41" s="181">
        <f>3243*2.4</f>
        <v>7783.2</v>
      </c>
      <c r="R41" s="181">
        <f>7800+100</f>
        <v>7900</v>
      </c>
      <c r="S41" s="181">
        <v>7727.982</v>
      </c>
      <c r="T41" s="181"/>
      <c r="X41" s="181">
        <f>S41</f>
        <v>7727.982</v>
      </c>
      <c r="AX41" s="165">
        <f t="shared" si="18"/>
        <v>45112.138888888891</v>
      </c>
      <c r="AY41" s="165">
        <f t="shared" si="19"/>
        <v>45126.1875</v>
      </c>
      <c r="AZ41" s="137">
        <f t="shared" si="20"/>
        <v>14.048611111109494</v>
      </c>
      <c r="BA41" s="165">
        <v>45112.138888888891</v>
      </c>
      <c r="BB41" s="165">
        <v>45115.574999999997</v>
      </c>
      <c r="BC41" s="165">
        <v>45117.625</v>
      </c>
      <c r="BD41" s="165">
        <v>45118.951388888891</v>
      </c>
      <c r="BE41" s="165">
        <v>45119.100694444445</v>
      </c>
      <c r="BF41" s="165">
        <v>45119.111111111109</v>
      </c>
      <c r="BG41" s="165">
        <v>45119.111111111109</v>
      </c>
      <c r="BH41" s="165">
        <f t="shared" si="15"/>
        <v>45120.819444444445</v>
      </c>
      <c r="BI41" s="165">
        <v>45121.5</v>
      </c>
      <c r="BJ41" s="165">
        <v>45121.666666666664</v>
      </c>
      <c r="BK41" s="165">
        <v>45121.611111111109</v>
      </c>
      <c r="BL41" s="165">
        <v>45123.041666666664</v>
      </c>
      <c r="BM41" s="165">
        <v>45125.291666666664</v>
      </c>
      <c r="BN41" s="165">
        <v>45125.708333333328</v>
      </c>
      <c r="BO41" s="165">
        <v>45125.75</v>
      </c>
      <c r="BP41" s="165">
        <v>45125.75</v>
      </c>
      <c r="BQ41" s="165">
        <v>45126.1875</v>
      </c>
      <c r="BT41" s="136">
        <f t="shared" si="4"/>
        <v>49.200000000069849</v>
      </c>
      <c r="BU41" s="136">
        <f t="shared" si="5"/>
        <v>3.5833333333139308</v>
      </c>
      <c r="BV41" s="136">
        <f t="shared" si="6"/>
        <v>41.000000000058208</v>
      </c>
      <c r="BW41" s="136">
        <f t="shared" si="14"/>
        <v>33</v>
      </c>
      <c r="BX41" s="135">
        <f t="shared" si="7"/>
        <v>9.9999999999417923</v>
      </c>
      <c r="BY41" s="135">
        <f t="shared" si="8"/>
        <v>10.5</v>
      </c>
      <c r="BZ41" s="134">
        <f t="shared" si="9"/>
        <v>6.1368055555576575</v>
      </c>
      <c r="CA41" s="134">
        <f t="shared" si="10"/>
        <v>14.048611111109494</v>
      </c>
      <c r="CB41" s="133">
        <f t="shared" si="11"/>
        <v>0.43682649530420387</v>
      </c>
    </row>
    <row r="42" spans="1:80" s="126" customFormat="1">
      <c r="A42" s="192">
        <f t="shared" si="0"/>
        <v>45119.989583333336</v>
      </c>
      <c r="B42" s="126" t="s">
        <v>228</v>
      </c>
      <c r="C42" s="126" t="s">
        <v>229</v>
      </c>
      <c r="D42" s="126" t="s">
        <v>197</v>
      </c>
      <c r="E42" s="65" t="s">
        <v>2102</v>
      </c>
      <c r="G42" s="315">
        <v>45117.541666666664</v>
      </c>
      <c r="H42" s="315">
        <v>45117.520833333336</v>
      </c>
      <c r="I42" s="126" t="s">
        <v>231</v>
      </c>
      <c r="J42" s="126" t="s">
        <v>192</v>
      </c>
      <c r="K42" s="126" t="s">
        <v>192</v>
      </c>
      <c r="L42" s="126" t="s">
        <v>2118</v>
      </c>
      <c r="M42" s="167"/>
      <c r="N42" s="126" t="s">
        <v>295</v>
      </c>
      <c r="O42" s="126" t="s">
        <v>296</v>
      </c>
      <c r="P42" s="126" t="s">
        <v>235</v>
      </c>
      <c r="Q42" s="181">
        <f>4118*2.4</f>
        <v>9883.1999999999989</v>
      </c>
      <c r="R42" s="181">
        <f>9900+100</f>
        <v>10000</v>
      </c>
      <c r="S42" s="181">
        <f>9987.583-2814.927</f>
        <v>7172.6560000000009</v>
      </c>
      <c r="T42" s="181"/>
      <c r="X42" s="181">
        <f>S42</f>
        <v>7172.6560000000009</v>
      </c>
      <c r="AX42" s="165">
        <f t="shared" si="18"/>
        <v>45112.298611111109</v>
      </c>
      <c r="AY42" s="165">
        <f t="shared" si="19"/>
        <v>45127.138888888891</v>
      </c>
      <c r="AZ42" s="137">
        <f t="shared" si="20"/>
        <v>14.840277777781012</v>
      </c>
      <c r="BA42" s="165">
        <v>45112.298611111109</v>
      </c>
      <c r="BB42" s="165">
        <v>45115.783333333333</v>
      </c>
      <c r="BC42" s="165">
        <v>45117.645833333336</v>
      </c>
      <c r="BD42" s="165">
        <v>45119.989583333336</v>
      </c>
      <c r="BE42" s="165">
        <v>45120.173611111109</v>
      </c>
      <c r="BF42" s="165">
        <v>45120.184027777781</v>
      </c>
      <c r="BG42" s="165">
        <v>45120.184027777781</v>
      </c>
      <c r="BH42" s="165">
        <f t="shared" si="15"/>
        <v>45121.892361111117</v>
      </c>
      <c r="BI42" s="165">
        <v>45121.5</v>
      </c>
      <c r="BJ42" s="165">
        <v>45121.666666666664</v>
      </c>
      <c r="BK42" s="165">
        <v>45121.731249999997</v>
      </c>
      <c r="BL42" s="165">
        <v>45123.375</v>
      </c>
      <c r="BM42" s="165">
        <v>45126.760416666664</v>
      </c>
      <c r="BN42" s="165">
        <v>45127.041666666664</v>
      </c>
      <c r="BO42" s="165">
        <v>45127.138888888891</v>
      </c>
      <c r="BP42" s="165">
        <v>45127.138888888891</v>
      </c>
      <c r="BQ42" s="165">
        <v>45127.138888888891</v>
      </c>
      <c r="BT42" s="136">
        <f t="shared" si="4"/>
        <v>44.700000000069849</v>
      </c>
      <c r="BU42" s="136">
        <f t="shared" si="5"/>
        <v>4.4166666665696539</v>
      </c>
      <c r="BV42" s="136">
        <f t="shared" si="6"/>
        <v>41.000000000058208</v>
      </c>
      <c r="BW42" s="136">
        <f t="shared" si="14"/>
        <v>41.000000000058208</v>
      </c>
      <c r="BX42" s="135">
        <f t="shared" si="7"/>
        <v>6.75</v>
      </c>
      <c r="BY42" s="135">
        <f t="shared" si="8"/>
        <v>0</v>
      </c>
      <c r="BZ42" s="134">
        <f t="shared" si="9"/>
        <v>5.7444444444481633</v>
      </c>
      <c r="CA42" s="134">
        <f t="shared" si="10"/>
        <v>14.840277777781012</v>
      </c>
      <c r="CB42" s="133">
        <f t="shared" si="11"/>
        <v>0.38708469817517793</v>
      </c>
    </row>
    <row r="43" spans="1:80" s="126" customFormat="1">
      <c r="A43" s="192">
        <f t="shared" si="0"/>
        <v>45119.989583333336</v>
      </c>
      <c r="B43" s="126" t="s">
        <v>228</v>
      </c>
      <c r="C43" s="126" t="s">
        <v>229</v>
      </c>
      <c r="D43" s="126" t="s">
        <v>197</v>
      </c>
      <c r="E43" s="65" t="s">
        <v>2172</v>
      </c>
      <c r="G43" s="315">
        <v>45129.291666666664</v>
      </c>
      <c r="H43" s="315">
        <v>45129.291666666664</v>
      </c>
      <c r="I43" s="126" t="s">
        <v>231</v>
      </c>
      <c r="J43" s="126" t="s">
        <v>192</v>
      </c>
      <c r="K43" s="126" t="s">
        <v>192</v>
      </c>
      <c r="L43" s="126" t="s">
        <v>2118</v>
      </c>
      <c r="M43" s="167"/>
      <c r="N43" s="126" t="s">
        <v>295</v>
      </c>
      <c r="O43" s="126" t="s">
        <v>296</v>
      </c>
      <c r="P43" s="126" t="s">
        <v>235</v>
      </c>
      <c r="Q43" s="181">
        <f>4118*2.4</f>
        <v>9883.1999999999989</v>
      </c>
      <c r="R43" s="181">
        <f>9900+100</f>
        <v>10000</v>
      </c>
      <c r="S43" s="181">
        <v>2085.7510000000002</v>
      </c>
      <c r="T43" s="181"/>
      <c r="X43" s="181">
        <f>S43</f>
        <v>2085.7510000000002</v>
      </c>
      <c r="AX43" s="165">
        <f t="shared" si="18"/>
        <v>45112.298611111109</v>
      </c>
      <c r="AY43" s="165">
        <f t="shared" si="19"/>
        <v>45133.384027777778</v>
      </c>
      <c r="AZ43" s="137">
        <f t="shared" si="20"/>
        <v>21.085416666668607</v>
      </c>
      <c r="BA43" s="165">
        <v>45112.298611111109</v>
      </c>
      <c r="BB43" s="165">
        <v>45115.783333333333</v>
      </c>
      <c r="BC43" s="165">
        <v>45117.645833333336</v>
      </c>
      <c r="BD43" s="165">
        <v>45119.989583333336</v>
      </c>
      <c r="BE43" s="165">
        <v>45120.173611111109</v>
      </c>
      <c r="BF43" s="165">
        <v>45120.184027777781</v>
      </c>
      <c r="BG43" s="165">
        <v>45120.184027777781</v>
      </c>
      <c r="BH43" s="165">
        <f t="shared" si="15"/>
        <v>45121.892361111117</v>
      </c>
      <c r="BI43" s="165">
        <v>45121.5</v>
      </c>
      <c r="BJ43" s="165">
        <v>45121.666666666664</v>
      </c>
      <c r="BK43" s="165">
        <v>45121.731249999997</v>
      </c>
      <c r="BL43" s="165">
        <v>45127.138888888891</v>
      </c>
      <c r="BM43" s="165">
        <v>45132.916666666664</v>
      </c>
      <c r="BN43" s="165">
        <v>45132.975694444445</v>
      </c>
      <c r="BO43" s="165">
        <v>45132.996527777781</v>
      </c>
      <c r="BP43" s="165">
        <v>45132.996527777781</v>
      </c>
      <c r="BQ43" s="165">
        <v>45133.384027777778</v>
      </c>
      <c r="BT43" s="136">
        <f t="shared" si="4"/>
        <v>44.700000000069849</v>
      </c>
      <c r="BU43" s="136">
        <f t="shared" si="5"/>
        <v>4.4166666665696539</v>
      </c>
      <c r="BV43" s="136">
        <f t="shared" si="6"/>
        <v>41.000000000058208</v>
      </c>
      <c r="BW43" s="136">
        <f t="shared" si="14"/>
        <v>131.33333333343035</v>
      </c>
      <c r="BX43" s="135">
        <f t="shared" si="7"/>
        <v>1.4166666667442769</v>
      </c>
      <c r="BY43" s="135">
        <f t="shared" si="8"/>
        <v>9.2999999999301508</v>
      </c>
      <c r="BZ43" s="134">
        <f t="shared" si="9"/>
        <v>9.6736111111167702</v>
      </c>
      <c r="CA43" s="134">
        <f t="shared" si="10"/>
        <v>21.085416666668607</v>
      </c>
      <c r="CB43" s="133">
        <f t="shared" si="11"/>
        <v>0.45878207028313628</v>
      </c>
    </row>
    <row r="44" spans="1:80" s="126" customFormat="1">
      <c r="A44" s="192">
        <f t="shared" si="0"/>
        <v>45120.875</v>
      </c>
      <c r="B44" s="126" t="s">
        <v>228</v>
      </c>
      <c r="C44" s="126" t="s">
        <v>229</v>
      </c>
      <c r="D44" s="126" t="s">
        <v>197</v>
      </c>
      <c r="E44" s="65" t="s">
        <v>2120</v>
      </c>
      <c r="G44" s="315">
        <v>45123.75</v>
      </c>
      <c r="H44" s="315">
        <v>45123.729166666664</v>
      </c>
      <c r="I44" s="126" t="s">
        <v>231</v>
      </c>
      <c r="J44" s="126" t="s">
        <v>192</v>
      </c>
      <c r="K44" s="126" t="s">
        <v>192</v>
      </c>
      <c r="L44" s="126" t="s">
        <v>2132</v>
      </c>
      <c r="M44" s="167"/>
      <c r="N44" s="126" t="s">
        <v>361</v>
      </c>
      <c r="O44" s="126" t="s">
        <v>362</v>
      </c>
      <c r="P44" s="126" t="s">
        <v>235</v>
      </c>
      <c r="Q44" s="181">
        <f>3039*2.4</f>
        <v>7293.5999999999995</v>
      </c>
      <c r="R44" s="181">
        <f>7300+100</f>
        <v>7400</v>
      </c>
      <c r="S44" s="181">
        <v>7335.9049999999997</v>
      </c>
      <c r="T44" s="181"/>
      <c r="X44" s="181">
        <f>S44</f>
        <v>7335.9049999999997</v>
      </c>
      <c r="AX44" s="165">
        <f t="shared" si="18"/>
        <v>45113.895833333336</v>
      </c>
      <c r="AY44" s="165">
        <f t="shared" si="19"/>
        <v>45127.40625</v>
      </c>
      <c r="AZ44" s="137">
        <f t="shared" si="20"/>
        <v>13.510416666664241</v>
      </c>
      <c r="BA44" s="165">
        <v>45113.895833333336</v>
      </c>
      <c r="BB44" s="165">
        <v>45115.614583333336</v>
      </c>
      <c r="BC44" s="165">
        <v>45117.395833333336</v>
      </c>
      <c r="BD44" s="165">
        <v>45120.875</v>
      </c>
      <c r="BE44" s="165">
        <v>45121.006944444445</v>
      </c>
      <c r="BF44" s="165">
        <v>45121.013888888891</v>
      </c>
      <c r="BG44" s="165">
        <v>45121.291666666664</v>
      </c>
      <c r="BH44" s="165">
        <f t="shared" si="15"/>
        <v>45123</v>
      </c>
      <c r="BI44" s="165">
        <v>45123.229166666664</v>
      </c>
      <c r="BJ44" s="165">
        <v>45123.395833333328</v>
      </c>
      <c r="BK44" s="165">
        <v>45123.354166666664</v>
      </c>
      <c r="BL44" s="165">
        <v>45124.395833333336</v>
      </c>
      <c r="BM44" s="165">
        <v>45126.534722222219</v>
      </c>
      <c r="BN44" s="165">
        <v>45127.034722222219</v>
      </c>
      <c r="BO44" s="165">
        <v>45127.072916666664</v>
      </c>
      <c r="BP44" s="165">
        <v>45127.072916666664</v>
      </c>
      <c r="BQ44" s="165">
        <v>45127.40625</v>
      </c>
      <c r="BT44" s="136">
        <f t="shared" si="4"/>
        <v>42.75</v>
      </c>
      <c r="BU44" s="136">
        <f t="shared" si="5"/>
        <v>3.1666666666860692</v>
      </c>
      <c r="BV44" s="136">
        <f t="shared" si="6"/>
        <v>41.000000000058208</v>
      </c>
      <c r="BW44" s="136">
        <f t="shared" si="14"/>
        <v>24.000000000174623</v>
      </c>
      <c r="BX44" s="135">
        <f t="shared" si="7"/>
        <v>12</v>
      </c>
      <c r="BY44" s="135">
        <f t="shared" si="8"/>
        <v>8.0000000000582077</v>
      </c>
      <c r="BZ44" s="134">
        <f t="shared" si="9"/>
        <v>5.4548611111240461</v>
      </c>
      <c r="CA44" s="134">
        <f t="shared" si="10"/>
        <v>13.510416666664241</v>
      </c>
      <c r="CB44" s="133">
        <f t="shared" si="11"/>
        <v>0.403752248780264</v>
      </c>
    </row>
    <row r="45" spans="1:80" s="126" customFormat="1">
      <c r="A45" s="192">
        <f t="shared" si="0"/>
        <v>45122.104166666664</v>
      </c>
      <c r="B45" s="126" t="s">
        <v>228</v>
      </c>
      <c r="C45" s="126" t="s">
        <v>229</v>
      </c>
      <c r="D45" s="126" t="s">
        <v>197</v>
      </c>
      <c r="E45" s="65" t="s">
        <v>2134</v>
      </c>
      <c r="G45" s="165">
        <v>45131.166666666664</v>
      </c>
      <c r="H45" s="165">
        <v>45131.025000000001</v>
      </c>
      <c r="I45" s="126" t="s">
        <v>243</v>
      </c>
      <c r="J45" s="126" t="s">
        <v>192</v>
      </c>
      <c r="K45" s="126" t="s">
        <v>192</v>
      </c>
      <c r="L45" s="126" t="s">
        <v>2141</v>
      </c>
      <c r="M45" s="167"/>
      <c r="N45" s="126" t="s">
        <v>298</v>
      </c>
      <c r="O45" s="126" t="s">
        <v>299</v>
      </c>
      <c r="P45" s="126" t="s">
        <v>240</v>
      </c>
      <c r="Q45" s="181">
        <f>4337*2.4</f>
        <v>10408.799999999999</v>
      </c>
      <c r="R45" s="181">
        <f>10450+100</f>
        <v>10550</v>
      </c>
      <c r="S45" s="181">
        <v>10202.246999999999</v>
      </c>
      <c r="T45" s="181"/>
      <c r="Y45" s="181">
        <f>S45</f>
        <v>10202.246999999999</v>
      </c>
      <c r="AX45" s="165">
        <f t="shared" si="18"/>
        <v>45115.458333333336</v>
      </c>
      <c r="AY45" s="165">
        <f t="shared" si="19"/>
        <v>45129.392361111109</v>
      </c>
      <c r="AZ45" s="137">
        <f t="shared" si="20"/>
        <v>13.934027777773736</v>
      </c>
      <c r="BA45" s="165">
        <v>45115.458333333336</v>
      </c>
      <c r="BB45" s="165">
        <v>45117.788194444445</v>
      </c>
      <c r="BC45" s="165">
        <v>45119.385416666664</v>
      </c>
      <c r="BD45" s="165">
        <v>45122.104166666664</v>
      </c>
      <c r="BE45" s="165">
        <v>45122.368055555555</v>
      </c>
      <c r="BF45" s="165">
        <v>45122.375</v>
      </c>
      <c r="BG45" s="165">
        <v>45122.375</v>
      </c>
      <c r="BH45" s="165">
        <f t="shared" si="15"/>
        <v>45124.083333333336</v>
      </c>
      <c r="BI45" s="165">
        <v>45124.229166608799</v>
      </c>
      <c r="BJ45" s="165">
        <v>45124.395833275463</v>
      </c>
      <c r="BK45" s="165">
        <v>45124.270833333336</v>
      </c>
      <c r="BL45" s="165">
        <v>45127.434027777781</v>
      </c>
      <c r="BM45" s="165">
        <v>45127.732638888891</v>
      </c>
      <c r="BN45" s="165">
        <v>45128.097222222219</v>
      </c>
      <c r="BO45" s="165">
        <v>45128.135416666664</v>
      </c>
      <c r="BP45" s="165">
        <v>45128.899305555555</v>
      </c>
      <c r="BQ45" s="165">
        <v>45129.392361111109</v>
      </c>
      <c r="BT45" s="136">
        <f t="shared" si="4"/>
        <v>38.333333333255723</v>
      </c>
      <c r="BU45" s="136">
        <f t="shared" si="5"/>
        <v>6.3333333333721384</v>
      </c>
      <c r="BV45" s="136">
        <f t="shared" si="6"/>
        <v>41.000000000058208</v>
      </c>
      <c r="BW45" s="136">
        <f t="shared" si="14"/>
        <v>72.916668055637274</v>
      </c>
      <c r="BX45" s="135">
        <f t="shared" si="7"/>
        <v>8.7499999998835847</v>
      </c>
      <c r="BY45" s="135">
        <f t="shared" si="8"/>
        <v>11.833333333313931</v>
      </c>
      <c r="BZ45" s="134">
        <f t="shared" si="9"/>
        <v>7.4652778356467024</v>
      </c>
      <c r="CA45" s="134">
        <f t="shared" si="10"/>
        <v>13.934027777773736</v>
      </c>
      <c r="CB45" s="133">
        <f t="shared" si="11"/>
        <v>0.53575878810537603</v>
      </c>
    </row>
    <row r="46" spans="1:80" s="126" customFormat="1">
      <c r="A46" s="192">
        <f t="shared" si="0"/>
        <v>45122.399305555555</v>
      </c>
      <c r="B46" s="126" t="s">
        <v>228</v>
      </c>
      <c r="C46" s="126" t="s">
        <v>229</v>
      </c>
      <c r="D46" s="126" t="s">
        <v>197</v>
      </c>
      <c r="E46" s="65" t="s">
        <v>2134</v>
      </c>
      <c r="G46" s="165">
        <v>45131.166666666664</v>
      </c>
      <c r="H46" s="165">
        <v>45131.025000000001</v>
      </c>
      <c r="I46" s="126" t="s">
        <v>243</v>
      </c>
      <c r="J46" s="126" t="s">
        <v>192</v>
      </c>
      <c r="K46" s="126" t="s">
        <v>192</v>
      </c>
      <c r="L46" s="126" t="s">
        <v>2140</v>
      </c>
      <c r="M46" s="167"/>
      <c r="N46" s="126" t="s">
        <v>429</v>
      </c>
      <c r="O46" s="126" t="s">
        <v>430</v>
      </c>
      <c r="P46" s="126" t="s">
        <v>240</v>
      </c>
      <c r="Q46" s="181">
        <f>3145 *2.4</f>
        <v>7548</v>
      </c>
      <c r="R46" s="181">
        <f>7550+100</f>
        <v>7650</v>
      </c>
      <c r="S46" s="181">
        <v>7589.5320000000002</v>
      </c>
      <c r="T46" s="181"/>
      <c r="Y46" s="181">
        <f>S46</f>
        <v>7589.5320000000002</v>
      </c>
      <c r="AX46" s="165">
        <f t="shared" si="18"/>
        <v>45116.020833333336</v>
      </c>
      <c r="AY46" s="165">
        <f t="shared" si="19"/>
        <v>45128.465277777781</v>
      </c>
      <c r="AZ46" s="137">
        <f t="shared" si="20"/>
        <v>12.444444444445253</v>
      </c>
      <c r="BA46" s="165">
        <v>45116.020833333336</v>
      </c>
      <c r="BB46" s="165">
        <v>45117.8125</v>
      </c>
      <c r="BC46" s="165">
        <v>45119.770833333336</v>
      </c>
      <c r="BD46" s="165">
        <v>45122.399305555555</v>
      </c>
      <c r="BE46" s="165">
        <v>45122.548611111109</v>
      </c>
      <c r="BF46" s="165">
        <v>45122.555555555555</v>
      </c>
      <c r="BG46" s="165">
        <v>45122.555555555555</v>
      </c>
      <c r="BH46" s="165">
        <f t="shared" si="15"/>
        <v>45124.263888888891</v>
      </c>
      <c r="BI46" s="165">
        <v>45124.229166608799</v>
      </c>
      <c r="BJ46" s="165">
        <v>45124.395833275463</v>
      </c>
      <c r="BK46" s="165">
        <v>45124.28125</v>
      </c>
      <c r="BL46" s="165">
        <v>45126.486111111109</v>
      </c>
      <c r="BM46" s="165">
        <v>45127.142361111109</v>
      </c>
      <c r="BN46" s="165">
        <v>45127.670138888891</v>
      </c>
      <c r="BO46" s="165">
        <v>45127.680555555555</v>
      </c>
      <c r="BP46" s="165">
        <v>45127.774305555555</v>
      </c>
      <c r="BQ46" s="165">
        <v>45128.465277777781</v>
      </c>
      <c r="BT46" s="136">
        <f t="shared" si="4"/>
        <v>47.000000000058208</v>
      </c>
      <c r="BU46" s="136">
        <f t="shared" si="5"/>
        <v>3.5833333333139308</v>
      </c>
      <c r="BV46" s="136">
        <f t="shared" si="6"/>
        <v>41.000000000058208</v>
      </c>
      <c r="BW46" s="136">
        <f t="shared" si="14"/>
        <v>50.166668055520859</v>
      </c>
      <c r="BX46" s="135">
        <f t="shared" si="7"/>
        <v>12.666666666744277</v>
      </c>
      <c r="BY46" s="135">
        <f t="shared" si="8"/>
        <v>16.583333333430346</v>
      </c>
      <c r="BZ46" s="134">
        <f t="shared" si="9"/>
        <v>7.1250000578802428</v>
      </c>
      <c r="CA46" s="134">
        <f t="shared" si="10"/>
        <v>12.444444444445253</v>
      </c>
      <c r="CB46" s="133">
        <f t="shared" si="11"/>
        <v>0.57254464750819656</v>
      </c>
    </row>
    <row r="47" spans="1:80" s="126" customFormat="1">
      <c r="A47" s="192">
        <f t="shared" si="0"/>
        <v>45123.024305555555</v>
      </c>
      <c r="B47" s="126" t="s">
        <v>228</v>
      </c>
      <c r="C47" s="126" t="s">
        <v>229</v>
      </c>
      <c r="D47" s="126" t="s">
        <v>197</v>
      </c>
      <c r="E47" s="65" t="s">
        <v>2134</v>
      </c>
      <c r="G47" s="165">
        <v>45131.166666666664</v>
      </c>
      <c r="H47" s="165">
        <v>45131.025000000001</v>
      </c>
      <c r="I47" s="126" t="s">
        <v>243</v>
      </c>
      <c r="J47" s="126" t="s">
        <v>192</v>
      </c>
      <c r="K47" s="126" t="s">
        <v>192</v>
      </c>
      <c r="L47" s="126" t="s">
        <v>2143</v>
      </c>
      <c r="M47" s="167"/>
      <c r="N47" s="126" t="s">
        <v>334</v>
      </c>
      <c r="O47" s="126" t="s">
        <v>335</v>
      </c>
      <c r="P47" s="126" t="s">
        <v>240</v>
      </c>
      <c r="Q47" s="181">
        <f>3242 *2.4</f>
        <v>7780.7999999999993</v>
      </c>
      <c r="R47" s="181">
        <f>7800+100</f>
        <v>7900</v>
      </c>
      <c r="S47" s="181">
        <v>7885.4290000000001</v>
      </c>
      <c r="T47" s="181"/>
      <c r="Y47" s="181">
        <f>S47</f>
        <v>7885.4290000000001</v>
      </c>
      <c r="AX47" s="165">
        <f t="shared" si="18"/>
        <v>45114.75</v>
      </c>
      <c r="AY47" s="165">
        <f t="shared" si="19"/>
        <v>45130.4375</v>
      </c>
      <c r="AZ47" s="137">
        <f t="shared" si="20"/>
        <v>15.6875</v>
      </c>
      <c r="BA47" s="165">
        <v>45114.75</v>
      </c>
      <c r="BB47" s="165">
        <v>45117.784722222219</v>
      </c>
      <c r="BC47" s="165">
        <v>45119.875</v>
      </c>
      <c r="BD47" s="165">
        <v>45123.024305555555</v>
      </c>
      <c r="BE47" s="165">
        <v>45123.171527777777</v>
      </c>
      <c r="BF47" s="165">
        <v>45123.180555555555</v>
      </c>
      <c r="BG47" s="165">
        <v>45123.180555555555</v>
      </c>
      <c r="BH47" s="165">
        <f t="shared" si="15"/>
        <v>45124.888888888891</v>
      </c>
      <c r="BI47" s="165">
        <v>45125.25</v>
      </c>
      <c r="BJ47" s="165">
        <v>45125.416666666664</v>
      </c>
      <c r="BK47" s="165">
        <v>45125.402777777781</v>
      </c>
      <c r="BL47" s="165">
        <v>45126.854166666664</v>
      </c>
      <c r="BM47" s="165">
        <v>45129.46875</v>
      </c>
      <c r="BN47" s="165">
        <v>45129.743055555555</v>
      </c>
      <c r="BO47" s="165">
        <v>45129.756944444445</v>
      </c>
      <c r="BP47" s="165">
        <v>45129.927083333336</v>
      </c>
      <c r="BQ47" s="165">
        <v>45130.4375</v>
      </c>
      <c r="BT47" s="136">
        <f t="shared" si="4"/>
        <v>50.166666666744277</v>
      </c>
      <c r="BU47" s="136">
        <f t="shared" si="5"/>
        <v>3.5333333333255723</v>
      </c>
      <c r="BV47" s="136">
        <f t="shared" si="6"/>
        <v>41.000000000058208</v>
      </c>
      <c r="BW47" s="136">
        <f t="shared" si="14"/>
        <v>34.5</v>
      </c>
      <c r="BX47" s="135">
        <f t="shared" si="7"/>
        <v>6.5833333333139308</v>
      </c>
      <c r="BY47" s="135">
        <f t="shared" si="8"/>
        <v>12.249999999941792</v>
      </c>
      <c r="BZ47" s="134">
        <f t="shared" si="9"/>
        <v>6.1680555555576575</v>
      </c>
      <c r="CA47" s="134">
        <f t="shared" si="10"/>
        <v>15.6875</v>
      </c>
      <c r="CB47" s="133">
        <f t="shared" si="11"/>
        <v>0.39318282425865547</v>
      </c>
    </row>
    <row r="48" spans="1:80" s="126" customFormat="1">
      <c r="A48" s="192">
        <f t="shared" si="0"/>
        <v>45122.579861111109</v>
      </c>
      <c r="B48" s="126" t="s">
        <v>228</v>
      </c>
      <c r="C48" s="126" t="s">
        <v>229</v>
      </c>
      <c r="D48" s="126" t="s">
        <v>197</v>
      </c>
      <c r="E48" s="65" t="s">
        <v>2134</v>
      </c>
      <c r="G48" s="165">
        <v>45131.166666666664</v>
      </c>
      <c r="H48" s="165">
        <v>45131.025000000001</v>
      </c>
      <c r="I48" s="126" t="s">
        <v>243</v>
      </c>
      <c r="J48" s="126" t="s">
        <v>192</v>
      </c>
      <c r="K48" s="126" t="s">
        <v>192</v>
      </c>
      <c r="L48" s="126" t="s">
        <v>2144</v>
      </c>
      <c r="M48" s="167"/>
      <c r="N48" s="126" t="s">
        <v>1767</v>
      </c>
      <c r="O48" s="126" t="s">
        <v>1768</v>
      </c>
      <c r="P48" s="126" t="s">
        <v>235</v>
      </c>
      <c r="Q48" s="181">
        <f>3139*2.4</f>
        <v>7533.5999999999995</v>
      </c>
      <c r="R48" s="181">
        <f>7550+100</f>
        <v>7650</v>
      </c>
      <c r="S48" s="181">
        <v>7562.4570000000003</v>
      </c>
      <c r="T48" s="181"/>
      <c r="X48" s="181">
        <f>S48</f>
        <v>7562.4570000000003</v>
      </c>
      <c r="AX48" s="165">
        <f t="shared" si="18"/>
        <v>45115.600694444445</v>
      </c>
      <c r="AY48" s="165">
        <f t="shared" si="19"/>
        <v>45130.715277777781</v>
      </c>
      <c r="AZ48" s="137">
        <f t="shared" si="20"/>
        <v>15.114583333335759</v>
      </c>
      <c r="BA48" s="165">
        <v>45115.600694444445</v>
      </c>
      <c r="BB48" s="165">
        <v>45117.84375</v>
      </c>
      <c r="BC48" s="165">
        <v>45120.111111111109</v>
      </c>
      <c r="BD48" s="165">
        <v>45122.579861111109</v>
      </c>
      <c r="BE48" s="165">
        <v>45122.71875</v>
      </c>
      <c r="BF48" s="165">
        <v>45122.722222222219</v>
      </c>
      <c r="BG48" s="165">
        <v>45122.722222222219</v>
      </c>
      <c r="BH48" s="165">
        <f t="shared" si="15"/>
        <v>45124.430555555555</v>
      </c>
      <c r="BI48" s="165">
        <v>45125.25</v>
      </c>
      <c r="BJ48" s="165">
        <v>45125.416666666664</v>
      </c>
      <c r="BK48" s="165">
        <v>45125.385416666664</v>
      </c>
      <c r="BL48" s="165">
        <v>45127.072916666664</v>
      </c>
      <c r="BM48" s="165">
        <v>45129.805555555555</v>
      </c>
      <c r="BN48" s="165">
        <v>45130.097222222219</v>
      </c>
      <c r="BO48" s="165">
        <v>45130.118055555555</v>
      </c>
      <c r="BP48" s="165">
        <v>45130.121527777781</v>
      </c>
      <c r="BQ48" s="165">
        <v>45130.715277777781</v>
      </c>
      <c r="BT48" s="136">
        <f t="shared" si="4"/>
        <v>54.416666666627862</v>
      </c>
      <c r="BU48" s="136">
        <f t="shared" si="5"/>
        <v>3.3333333333721384</v>
      </c>
      <c r="BV48" s="136">
        <f t="shared" si="6"/>
        <v>41.000000000058208</v>
      </c>
      <c r="BW48" s="136">
        <f t="shared" si="14"/>
        <v>39.75</v>
      </c>
      <c r="BX48" s="135">
        <f t="shared" si="7"/>
        <v>6.9999999999417923</v>
      </c>
      <c r="BY48" s="135">
        <f t="shared" si="8"/>
        <v>14.25</v>
      </c>
      <c r="BZ48" s="134">
        <f t="shared" si="9"/>
        <v>6.65625</v>
      </c>
      <c r="CA48" s="134">
        <f t="shared" si="10"/>
        <v>15.114583333335759</v>
      </c>
      <c r="CB48" s="133">
        <f t="shared" si="11"/>
        <v>0.44038594073046</v>
      </c>
    </row>
    <row r="49" spans="1:82" s="128" customFormat="1">
      <c r="A49" s="192">
        <f t="shared" si="0"/>
        <v>45122.753472222219</v>
      </c>
      <c r="B49" s="126" t="s">
        <v>228</v>
      </c>
      <c r="C49" s="126" t="s">
        <v>229</v>
      </c>
      <c r="D49" s="126" t="s">
        <v>215</v>
      </c>
      <c r="E49" s="65" t="s">
        <v>2134</v>
      </c>
      <c r="F49" s="126"/>
      <c r="G49" s="165">
        <v>45131.166666666664</v>
      </c>
      <c r="H49" s="165">
        <v>45131.025000000001</v>
      </c>
      <c r="I49" s="126" t="s">
        <v>243</v>
      </c>
      <c r="J49" s="126" t="s">
        <v>192</v>
      </c>
      <c r="K49" s="126" t="s">
        <v>192</v>
      </c>
      <c r="L49" s="126" t="s">
        <v>2142</v>
      </c>
      <c r="M49" s="167"/>
      <c r="N49" s="126" t="s">
        <v>271</v>
      </c>
      <c r="O49" s="126" t="s">
        <v>272</v>
      </c>
      <c r="P49" s="126" t="s">
        <v>235</v>
      </c>
      <c r="Q49" s="181">
        <f>3852*2.4</f>
        <v>9244.7999999999993</v>
      </c>
      <c r="R49" s="181">
        <f>9250+100</f>
        <v>9350</v>
      </c>
      <c r="S49" s="181">
        <v>9183.5450000000001</v>
      </c>
      <c r="T49" s="181"/>
      <c r="U49" s="126"/>
      <c r="V49" s="126"/>
      <c r="W49" s="126"/>
      <c r="X49" s="181">
        <f>S49</f>
        <v>9183.5450000000001</v>
      </c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65">
        <f t="shared" si="18"/>
        <v>45115.694444444445</v>
      </c>
      <c r="AY49" s="165">
        <f t="shared" si="19"/>
        <v>45129.934027777781</v>
      </c>
      <c r="AZ49" s="137">
        <f t="shared" si="20"/>
        <v>14.239583333335759</v>
      </c>
      <c r="BA49" s="165">
        <v>45115.694444444445</v>
      </c>
      <c r="BB49" s="165">
        <v>45118.545138888891</v>
      </c>
      <c r="BC49" s="165">
        <v>45120.361111111109</v>
      </c>
      <c r="BD49" s="165">
        <v>45122.753472222219</v>
      </c>
      <c r="BE49" s="165">
        <v>45122.996527777781</v>
      </c>
      <c r="BF49" s="165">
        <v>45123</v>
      </c>
      <c r="BG49" s="165">
        <v>45123</v>
      </c>
      <c r="BH49" s="165">
        <f t="shared" si="15"/>
        <v>45124.708333333336</v>
      </c>
      <c r="BI49" s="165">
        <v>45125.25</v>
      </c>
      <c r="BJ49" s="165">
        <v>45125.416666666664</v>
      </c>
      <c r="BK49" s="165">
        <v>45125.291666666664</v>
      </c>
      <c r="BL49" s="165">
        <v>45126.680555555555</v>
      </c>
      <c r="BM49" s="165">
        <v>45129.034722222219</v>
      </c>
      <c r="BN49" s="165">
        <v>45129.371527777781</v>
      </c>
      <c r="BO49" s="165">
        <v>45129.385416666664</v>
      </c>
      <c r="BP49" s="165">
        <v>45129.388888888891</v>
      </c>
      <c r="BQ49" s="165">
        <v>45129.934027777781</v>
      </c>
      <c r="BR49" s="126"/>
      <c r="BS49" s="126"/>
      <c r="BT49" s="136">
        <f t="shared" si="4"/>
        <v>43.583333333255723</v>
      </c>
      <c r="BU49" s="136">
        <f t="shared" si="5"/>
        <v>5.8333333334885538</v>
      </c>
      <c r="BV49" s="136">
        <f t="shared" si="6"/>
        <v>41.000000000058208</v>
      </c>
      <c r="BW49" s="136">
        <f t="shared" si="14"/>
        <v>30.333333333372138</v>
      </c>
      <c r="BX49" s="135">
        <f t="shared" si="7"/>
        <v>8.0833333334885538</v>
      </c>
      <c r="BY49" s="135">
        <f t="shared" si="8"/>
        <v>13.083333333372138</v>
      </c>
      <c r="BZ49" s="134">
        <f t="shared" si="9"/>
        <v>5.9131944444598048</v>
      </c>
      <c r="CA49" s="134">
        <f t="shared" si="10"/>
        <v>14.239583333335759</v>
      </c>
      <c r="CB49" s="133">
        <f t="shared" si="11"/>
        <v>0.41526456961817454</v>
      </c>
      <c r="CC49" s="126"/>
      <c r="CD49" s="126"/>
    </row>
    <row r="50" spans="1:82" s="126" customFormat="1">
      <c r="A50" s="192">
        <f t="shared" si="0"/>
        <v>45123.219444444447</v>
      </c>
      <c r="B50" s="126" t="s">
        <v>228</v>
      </c>
      <c r="C50" s="126" t="s">
        <v>229</v>
      </c>
      <c r="D50" s="126" t="s">
        <v>197</v>
      </c>
      <c r="E50" s="65" t="s">
        <v>2134</v>
      </c>
      <c r="G50" s="165">
        <v>45131.166666666664</v>
      </c>
      <c r="H50" s="165">
        <v>45131.025000000001</v>
      </c>
      <c r="I50" s="126" t="s">
        <v>243</v>
      </c>
      <c r="J50" s="126" t="s">
        <v>192</v>
      </c>
      <c r="K50" s="126" t="s">
        <v>192</v>
      </c>
      <c r="L50" s="126" t="s">
        <v>2145</v>
      </c>
      <c r="M50" s="167"/>
      <c r="N50" s="126" t="s">
        <v>307</v>
      </c>
      <c r="O50" s="126" t="s">
        <v>1513</v>
      </c>
      <c r="P50" s="126" t="s">
        <v>240</v>
      </c>
      <c r="Q50" s="181">
        <f>2998*2.4</f>
        <v>7195.2</v>
      </c>
      <c r="R50" s="181">
        <f>7200+100</f>
        <v>7300</v>
      </c>
      <c r="S50" s="181">
        <v>7301.3490000000002</v>
      </c>
      <c r="T50" s="181"/>
      <c r="Y50" s="181">
        <f>S50</f>
        <v>7301.3490000000002</v>
      </c>
      <c r="AX50" s="165">
        <f t="shared" si="18"/>
        <v>45117.5</v>
      </c>
      <c r="AY50" s="165">
        <f t="shared" si="19"/>
        <v>45131.036805555559</v>
      </c>
      <c r="AZ50" s="137">
        <f t="shared" si="20"/>
        <v>13.536805555559113</v>
      </c>
      <c r="BA50" s="165">
        <v>45117.5</v>
      </c>
      <c r="BB50" s="165">
        <v>45118.815972222219</v>
      </c>
      <c r="BC50" s="165">
        <v>45121.270833333336</v>
      </c>
      <c r="BD50" s="165">
        <v>45123.219444444447</v>
      </c>
      <c r="BE50" s="165">
        <v>45123.440972222219</v>
      </c>
      <c r="BF50" s="165">
        <v>45123.444444444445</v>
      </c>
      <c r="BG50" s="165">
        <v>45123.444444444445</v>
      </c>
      <c r="BH50" s="165">
        <f t="shared" si="15"/>
        <v>45125.152777777781</v>
      </c>
      <c r="BI50" s="165">
        <v>45125.25</v>
      </c>
      <c r="BJ50" s="165">
        <v>45125.416666666664</v>
      </c>
      <c r="BK50" s="165">
        <v>45125.378472222219</v>
      </c>
      <c r="BL50" s="165">
        <v>45127.395833333336</v>
      </c>
      <c r="BM50" s="165">
        <v>45130.1875</v>
      </c>
      <c r="BN50" s="165">
        <v>45130.503472222219</v>
      </c>
      <c r="BO50" s="165">
        <v>45130.534722222219</v>
      </c>
      <c r="BP50" s="165">
        <v>45130.538194444445</v>
      </c>
      <c r="BQ50" s="165">
        <v>45131.036805555559</v>
      </c>
      <c r="BR50" s="126" t="s">
        <v>2609</v>
      </c>
      <c r="BT50" s="136">
        <f t="shared" si="4"/>
        <v>58.916666666802485</v>
      </c>
      <c r="BU50" s="136">
        <f t="shared" si="5"/>
        <v>5.3166666665347293</v>
      </c>
      <c r="BV50" s="136">
        <f t="shared" si="6"/>
        <v>41.000000000058208</v>
      </c>
      <c r="BW50" s="136">
        <f t="shared" si="14"/>
        <v>47.500000000116415</v>
      </c>
      <c r="BX50" s="135">
        <f t="shared" si="7"/>
        <v>7.5833333332557231</v>
      </c>
      <c r="BY50" s="135">
        <f t="shared" si="8"/>
        <v>11.966666666732635</v>
      </c>
      <c r="BZ50" s="134">
        <f t="shared" si="9"/>
        <v>7.1784722222291748</v>
      </c>
      <c r="CA50" s="134">
        <f t="shared" si="10"/>
        <v>13.536805555559113</v>
      </c>
      <c r="CB50" s="133">
        <f t="shared" si="11"/>
        <v>0.53029292566599784</v>
      </c>
    </row>
    <row r="51" spans="1:82" s="126" customFormat="1">
      <c r="A51" s="192">
        <f t="shared" si="0"/>
        <v>45123.472222222219</v>
      </c>
      <c r="B51" s="126" t="s">
        <v>228</v>
      </c>
      <c r="C51" s="126" t="s">
        <v>229</v>
      </c>
      <c r="D51" s="126" t="s">
        <v>197</v>
      </c>
      <c r="E51" s="65" t="s">
        <v>2172</v>
      </c>
      <c r="G51" s="315">
        <v>45129.291666666664</v>
      </c>
      <c r="H51" s="315">
        <v>45129.291666666664</v>
      </c>
      <c r="I51" s="126" t="s">
        <v>231</v>
      </c>
      <c r="J51" s="126" t="s">
        <v>192</v>
      </c>
      <c r="K51" s="126" t="s">
        <v>192</v>
      </c>
      <c r="L51" s="126" t="s">
        <v>2184</v>
      </c>
      <c r="M51" s="167"/>
      <c r="N51" s="126" t="s">
        <v>263</v>
      </c>
      <c r="O51" s="126" t="s">
        <v>264</v>
      </c>
      <c r="P51" s="126" t="s">
        <v>235</v>
      </c>
      <c r="Q51" s="181">
        <f>3136*2.4</f>
        <v>7526.4</v>
      </c>
      <c r="R51" s="181">
        <f>7550+100</f>
        <v>7650</v>
      </c>
      <c r="S51" s="181">
        <v>7504.6729999999998</v>
      </c>
      <c r="T51" s="181"/>
      <c r="X51" s="181">
        <f>S51</f>
        <v>7504.6729999999998</v>
      </c>
      <c r="AX51" s="165">
        <f t="shared" si="18"/>
        <v>45115.125</v>
      </c>
      <c r="AY51" s="165">
        <f t="shared" si="19"/>
        <v>45134.527777777781</v>
      </c>
      <c r="AZ51" s="137">
        <f t="shared" si="20"/>
        <v>19.402777777781012</v>
      </c>
      <c r="BA51" s="165">
        <v>45115.125</v>
      </c>
      <c r="BB51" s="165">
        <v>45118.5625</v>
      </c>
      <c r="BC51" s="165">
        <v>45120.291666666664</v>
      </c>
      <c r="BD51" s="165">
        <v>45123.472222222219</v>
      </c>
      <c r="BE51" s="165">
        <v>45123.611111111109</v>
      </c>
      <c r="BF51" s="165">
        <v>45123.614583333336</v>
      </c>
      <c r="BG51" s="165">
        <v>45123.614583333336</v>
      </c>
      <c r="BH51" s="165">
        <f t="shared" si="15"/>
        <v>45125.322916666672</v>
      </c>
      <c r="BI51" s="165">
        <v>45125.25</v>
      </c>
      <c r="BJ51" s="165">
        <v>45125.416666666664</v>
      </c>
      <c r="BK51" s="165">
        <v>45125.295138888891</v>
      </c>
      <c r="BL51" s="165">
        <v>45128.041666666664</v>
      </c>
      <c r="BM51" s="165">
        <v>45133.989583333336</v>
      </c>
      <c r="BN51" s="165">
        <v>45134.173611111109</v>
      </c>
      <c r="BO51" s="165">
        <v>45134.194444444445</v>
      </c>
      <c r="BP51" s="165">
        <v>45134.194444444445</v>
      </c>
      <c r="BQ51" s="165">
        <v>45134.527777777781</v>
      </c>
      <c r="BT51" s="136">
        <f t="shared" si="4"/>
        <v>41.499999999941792</v>
      </c>
      <c r="BU51" s="136">
        <f t="shared" si="5"/>
        <v>3.3333333333721384</v>
      </c>
      <c r="BV51" s="136">
        <f t="shared" si="6"/>
        <v>41.000000000058208</v>
      </c>
      <c r="BW51" s="136">
        <f t="shared" si="14"/>
        <v>63</v>
      </c>
      <c r="BX51" s="135">
        <f t="shared" si="7"/>
        <v>4.4166666665696539</v>
      </c>
      <c r="BY51" s="135">
        <f t="shared" si="8"/>
        <v>8.0000000000582077</v>
      </c>
      <c r="BZ51" s="134">
        <f t="shared" si="9"/>
        <v>6.71875</v>
      </c>
      <c r="CA51" s="134">
        <f t="shared" si="10"/>
        <v>19.402777777781012</v>
      </c>
      <c r="CB51" s="133">
        <f t="shared" si="11"/>
        <v>0.34627773800996375</v>
      </c>
    </row>
    <row r="52" spans="1:82" s="126" customFormat="1">
      <c r="A52" s="192"/>
      <c r="D52" s="126" t="s">
        <v>197</v>
      </c>
      <c r="E52" s="65"/>
      <c r="G52" s="166"/>
      <c r="H52" s="166"/>
      <c r="L52" s="126" t="s">
        <v>2610</v>
      </c>
      <c r="M52" s="167"/>
      <c r="N52" s="126" t="s">
        <v>213</v>
      </c>
      <c r="O52" s="126" t="s">
        <v>214</v>
      </c>
      <c r="Q52" s="181">
        <f>3113*2.4</f>
        <v>7471.2</v>
      </c>
      <c r="R52" s="181">
        <f>7500+100</f>
        <v>7600</v>
      </c>
      <c r="S52" s="181"/>
      <c r="T52" s="181"/>
      <c r="AX52" s="165">
        <f t="shared" si="18"/>
        <v>45110.416666666664</v>
      </c>
      <c r="AY52" s="165">
        <f t="shared" si="19"/>
        <v>45125.503472222219</v>
      </c>
      <c r="AZ52" s="137">
        <f t="shared" si="20"/>
        <v>15.086805555554747</v>
      </c>
      <c r="BA52" s="165">
        <v>45110.416666666664</v>
      </c>
      <c r="BB52" s="166" t="s">
        <v>196</v>
      </c>
      <c r="BC52" s="166" t="s">
        <v>196</v>
      </c>
      <c r="BD52" s="166" t="s">
        <v>196</v>
      </c>
      <c r="BE52" s="166" t="s">
        <v>196</v>
      </c>
      <c r="BF52" s="166" t="s">
        <v>196</v>
      </c>
      <c r="BG52" s="166" t="s">
        <v>196</v>
      </c>
      <c r="BH52" s="166" t="s">
        <v>196</v>
      </c>
      <c r="BI52" s="166" t="s">
        <v>196</v>
      </c>
      <c r="BJ52" s="166" t="s">
        <v>196</v>
      </c>
      <c r="BK52" s="166" t="s">
        <v>196</v>
      </c>
      <c r="BL52" s="166" t="s">
        <v>196</v>
      </c>
      <c r="BM52" s="166" t="s">
        <v>196</v>
      </c>
      <c r="BN52" s="166" t="s">
        <v>196</v>
      </c>
      <c r="BO52" s="166" t="s">
        <v>196</v>
      </c>
      <c r="BP52" s="166" t="s">
        <v>196</v>
      </c>
      <c r="BQ52" s="165">
        <v>45125.503472222219</v>
      </c>
      <c r="BT52" s="136"/>
      <c r="BU52" s="136"/>
      <c r="BV52" s="136"/>
      <c r="BW52" s="136"/>
      <c r="BX52" s="135"/>
      <c r="BY52" s="135"/>
      <c r="BZ52" s="161"/>
      <c r="CA52" s="161"/>
      <c r="CB52" s="160"/>
    </row>
    <row r="53" spans="1:82" s="126" customFormat="1">
      <c r="A53" s="192"/>
      <c r="D53" s="126" t="s">
        <v>197</v>
      </c>
      <c r="E53" s="65"/>
      <c r="G53" s="166"/>
      <c r="H53" s="166"/>
      <c r="L53" s="126" t="s">
        <v>2611</v>
      </c>
      <c r="M53" s="167"/>
      <c r="N53" s="126" t="s">
        <v>1799</v>
      </c>
      <c r="O53" s="126" t="s">
        <v>340</v>
      </c>
      <c r="Q53" s="181">
        <f>3141*2.4</f>
        <v>7538.4</v>
      </c>
      <c r="R53" s="181">
        <f>7550+100</f>
        <v>7650</v>
      </c>
      <c r="S53" s="181"/>
      <c r="T53" s="181"/>
      <c r="AX53" s="165">
        <f t="shared" si="18"/>
        <v>45114.572916666664</v>
      </c>
      <c r="AY53" s="165">
        <f t="shared" si="19"/>
        <v>45134.711805555555</v>
      </c>
      <c r="AZ53" s="137">
        <f t="shared" si="20"/>
        <v>20.138888888890506</v>
      </c>
      <c r="BA53" s="165">
        <v>45114.572916666664</v>
      </c>
      <c r="BB53" s="166" t="s">
        <v>196</v>
      </c>
      <c r="BC53" s="166" t="s">
        <v>196</v>
      </c>
      <c r="BD53" s="166" t="s">
        <v>196</v>
      </c>
      <c r="BE53" s="166" t="s">
        <v>196</v>
      </c>
      <c r="BF53" s="166" t="s">
        <v>196</v>
      </c>
      <c r="BG53" s="166" t="s">
        <v>196</v>
      </c>
      <c r="BH53" s="166" t="s">
        <v>196</v>
      </c>
      <c r="BI53" s="166" t="s">
        <v>196</v>
      </c>
      <c r="BJ53" s="166" t="s">
        <v>196</v>
      </c>
      <c r="BK53" s="166" t="s">
        <v>196</v>
      </c>
      <c r="BL53" s="166" t="s">
        <v>196</v>
      </c>
      <c r="BM53" s="166" t="s">
        <v>196</v>
      </c>
      <c r="BN53" s="166" t="s">
        <v>196</v>
      </c>
      <c r="BO53" s="166" t="s">
        <v>196</v>
      </c>
      <c r="BP53" s="166" t="s">
        <v>196</v>
      </c>
      <c r="BQ53" s="165">
        <v>45134.711805555555</v>
      </c>
      <c r="BR53" s="126" t="s">
        <v>2612</v>
      </c>
      <c r="BT53" s="136" t="e">
        <f t="shared" ref="BT53:BT116" si="21">(BC53-BB53)*24</f>
        <v>#VALUE!</v>
      </c>
      <c r="BU53" s="136" t="e">
        <f t="shared" ref="BU53:BU116" si="22">(BE53-BD53)*24</f>
        <v>#VALUE!</v>
      </c>
      <c r="BV53" s="136" t="e">
        <f t="shared" ref="BV53:BV116" si="23">(BH53-BG53)*24</f>
        <v>#VALUE!</v>
      </c>
      <c r="BW53" s="136" t="e">
        <f t="shared" ref="BW53:BW94" si="24">(BL53-BJ53)*24</f>
        <v>#VALUE!</v>
      </c>
      <c r="BX53" s="135" t="e">
        <f t="shared" ref="BX53:BX116" si="25">(BN53-BM53)*24</f>
        <v>#VALUE!</v>
      </c>
      <c r="BY53" s="135" t="e">
        <f t="shared" ref="BY53:BY116" si="26">(BQ53-BP53)*24</f>
        <v>#VALUE!</v>
      </c>
      <c r="BZ53" s="134" t="e">
        <f t="shared" ref="BZ53:BZ116" si="27">SUM(BT53:BY53)/24</f>
        <v>#VALUE!</v>
      </c>
      <c r="CA53" s="134">
        <f t="shared" ref="CA53:CA116" si="28">AZ53</f>
        <v>20.138888888890506</v>
      </c>
      <c r="CB53" s="133" t="e">
        <f t="shared" ref="CB53:CB116" si="29">BZ53/CA53</f>
        <v>#VALUE!</v>
      </c>
    </row>
    <row r="54" spans="1:82" s="126" customFormat="1">
      <c r="A54" s="192">
        <f>BD54</f>
        <v>45123.638888888891</v>
      </c>
      <c r="B54" s="126" t="s">
        <v>228</v>
      </c>
      <c r="C54" s="126" t="s">
        <v>229</v>
      </c>
      <c r="D54" s="126" t="s">
        <v>215</v>
      </c>
      <c r="E54" s="65" t="s">
        <v>2172</v>
      </c>
      <c r="G54" s="315">
        <v>45129.291666666664</v>
      </c>
      <c r="H54" s="315">
        <v>45129.291666666664</v>
      </c>
      <c r="I54" s="126" t="s">
        <v>231</v>
      </c>
      <c r="J54" s="126" t="s">
        <v>192</v>
      </c>
      <c r="K54" s="126" t="s">
        <v>192</v>
      </c>
      <c r="L54" s="126" t="s">
        <v>2183</v>
      </c>
      <c r="M54" s="167"/>
      <c r="N54" s="126" t="s">
        <v>1230</v>
      </c>
      <c r="O54" s="126" t="s">
        <v>1231</v>
      </c>
      <c r="P54" s="126" t="s">
        <v>235</v>
      </c>
      <c r="Q54" s="181">
        <f>3107*2.4</f>
        <v>7456.7999999999993</v>
      </c>
      <c r="R54" s="181">
        <f>7500+100</f>
        <v>7600</v>
      </c>
      <c r="S54" s="181">
        <v>7501.4110000000001</v>
      </c>
      <c r="T54" s="181"/>
      <c r="X54" s="181">
        <f>S54</f>
        <v>7501.4110000000001</v>
      </c>
      <c r="AX54" s="165">
        <f t="shared" si="18"/>
        <v>45114.986111111109</v>
      </c>
      <c r="AY54" s="165">
        <f t="shared" si="19"/>
        <v>45134.333333333336</v>
      </c>
      <c r="AZ54" s="137">
        <f t="shared" si="20"/>
        <v>19.347222222226264</v>
      </c>
      <c r="BA54" s="165">
        <v>45114.986111111109</v>
      </c>
      <c r="BB54" s="165">
        <v>45118.5625</v>
      </c>
      <c r="BC54" s="165">
        <v>45120.833333333336</v>
      </c>
      <c r="BD54" s="165">
        <v>45123.638888888891</v>
      </c>
      <c r="BE54" s="165">
        <v>45123.881944444445</v>
      </c>
      <c r="BF54" s="165">
        <v>45123.892361111109</v>
      </c>
      <c r="BG54" s="165">
        <v>45123.892361111109</v>
      </c>
      <c r="BH54" s="165">
        <f>BG54+(41/24)</f>
        <v>45125.600694444445</v>
      </c>
      <c r="BI54" s="165">
        <v>45126.25</v>
      </c>
      <c r="BJ54" s="165">
        <v>45126.416666666664</v>
      </c>
      <c r="BK54" s="165">
        <v>45126.326388888891</v>
      </c>
      <c r="BL54" s="165">
        <v>45127.506944444445</v>
      </c>
      <c r="BM54" s="165">
        <v>45133.753472222219</v>
      </c>
      <c r="BN54" s="165">
        <v>45133.927083333336</v>
      </c>
      <c r="BO54" s="165">
        <v>45133.947916666664</v>
      </c>
      <c r="BP54" s="165">
        <v>45133.947916666664</v>
      </c>
      <c r="BQ54" s="165">
        <v>45134.333333333336</v>
      </c>
      <c r="BT54" s="136">
        <f t="shared" si="21"/>
        <v>54.500000000058208</v>
      </c>
      <c r="BU54" s="136">
        <f t="shared" si="22"/>
        <v>5.8333333333139308</v>
      </c>
      <c r="BV54" s="136">
        <f t="shared" si="23"/>
        <v>41.000000000058208</v>
      </c>
      <c r="BW54" s="136">
        <f t="shared" si="24"/>
        <v>26.166666666744277</v>
      </c>
      <c r="BX54" s="135">
        <f t="shared" si="25"/>
        <v>4.1666666668024845</v>
      </c>
      <c r="BY54" s="135">
        <f t="shared" si="26"/>
        <v>9.2500000001164153</v>
      </c>
      <c r="BZ54" s="134">
        <f t="shared" si="27"/>
        <v>5.8715277777955635</v>
      </c>
      <c r="CA54" s="134">
        <f t="shared" si="28"/>
        <v>19.347222222226264</v>
      </c>
      <c r="CB54" s="133">
        <f t="shared" si="29"/>
        <v>0.30348169418606763</v>
      </c>
    </row>
    <row r="55" spans="1:82" s="126" customFormat="1">
      <c r="A55" s="192">
        <f>BD55</f>
        <v>45123.909722222219</v>
      </c>
      <c r="B55" s="126" t="s">
        <v>228</v>
      </c>
      <c r="C55" s="126" t="s">
        <v>229</v>
      </c>
      <c r="D55" s="126" t="s">
        <v>215</v>
      </c>
      <c r="E55" s="65" t="s">
        <v>2172</v>
      </c>
      <c r="G55" s="315">
        <v>45129.291666666664</v>
      </c>
      <c r="H55" s="315">
        <v>45129.291666666664</v>
      </c>
      <c r="I55" s="126" t="s">
        <v>231</v>
      </c>
      <c r="J55" s="126" t="s">
        <v>192</v>
      </c>
      <c r="K55" s="126" t="s">
        <v>192</v>
      </c>
      <c r="L55" s="126" t="s">
        <v>2179</v>
      </c>
      <c r="M55" s="167"/>
      <c r="N55" s="126" t="s">
        <v>352</v>
      </c>
      <c r="O55" s="126" t="s">
        <v>353</v>
      </c>
      <c r="P55" s="126" t="s">
        <v>418</v>
      </c>
      <c r="Q55" s="181">
        <f>3852*2.4</f>
        <v>9244.7999999999993</v>
      </c>
      <c r="R55" s="181">
        <f>9250+100</f>
        <v>9350</v>
      </c>
      <c r="S55" s="181">
        <v>9128.4500000000007</v>
      </c>
      <c r="T55" s="181"/>
      <c r="X55" s="181">
        <f>S55*0.6</f>
        <v>5477.0700000000006</v>
      </c>
      <c r="Y55" s="181">
        <f>S55*0.4</f>
        <v>3651.3800000000006</v>
      </c>
      <c r="AX55" s="165">
        <f t="shared" si="18"/>
        <v>45117.520833333336</v>
      </c>
      <c r="AY55" s="165">
        <f t="shared" si="19"/>
        <v>45133.666666666664</v>
      </c>
      <c r="AZ55" s="137">
        <f t="shared" si="20"/>
        <v>16.145833333328483</v>
      </c>
      <c r="BA55" s="165">
        <v>45117.520833333336</v>
      </c>
      <c r="BB55" s="165">
        <v>45120.336805555555</v>
      </c>
      <c r="BC55" s="165">
        <v>45122.083333333336</v>
      </c>
      <c r="BD55" s="165">
        <v>45123.909722222219</v>
      </c>
      <c r="BE55" s="165">
        <v>45124.097222222219</v>
      </c>
      <c r="BF55" s="165">
        <v>45124.104166666664</v>
      </c>
      <c r="BG55" s="165">
        <v>45124.104166666664</v>
      </c>
      <c r="BH55" s="165">
        <f>BG55+(41/24)</f>
        <v>45125.8125</v>
      </c>
      <c r="BI55" s="165">
        <v>45126.25</v>
      </c>
      <c r="BJ55" s="165">
        <v>45126.416666666664</v>
      </c>
      <c r="BK55" s="165">
        <v>45126.263888888891</v>
      </c>
      <c r="BL55" s="165">
        <v>45127.475694444445</v>
      </c>
      <c r="BM55" s="165">
        <v>45133.038194444445</v>
      </c>
      <c r="BN55" s="165">
        <v>45133.260416666664</v>
      </c>
      <c r="BO55" s="165">
        <v>45133.28125</v>
      </c>
      <c r="BP55" s="165">
        <v>45133.28125</v>
      </c>
      <c r="BQ55" s="165">
        <v>45133.666666666664</v>
      </c>
      <c r="BT55" s="136">
        <f t="shared" si="21"/>
        <v>41.916666666744277</v>
      </c>
      <c r="BU55" s="136">
        <f t="shared" si="22"/>
        <v>4.5</v>
      </c>
      <c r="BV55" s="136">
        <f t="shared" si="23"/>
        <v>41.000000000058208</v>
      </c>
      <c r="BW55" s="136">
        <f t="shared" si="24"/>
        <v>25.416666666744277</v>
      </c>
      <c r="BX55" s="135">
        <f t="shared" si="25"/>
        <v>5.3333333332557231</v>
      </c>
      <c r="BY55" s="135">
        <f t="shared" si="26"/>
        <v>9.2499999999417923</v>
      </c>
      <c r="BZ55" s="134">
        <f t="shared" si="27"/>
        <v>5.3090277777810115</v>
      </c>
      <c r="CA55" s="134">
        <f t="shared" si="28"/>
        <v>16.145833333328483</v>
      </c>
      <c r="CB55" s="133">
        <f t="shared" si="29"/>
        <v>0.32881720430137434</v>
      </c>
    </row>
    <row r="56" spans="1:82" s="126" customFormat="1">
      <c r="A56" s="192"/>
      <c r="D56" s="126" t="s">
        <v>197</v>
      </c>
      <c r="E56" s="65"/>
      <c r="G56" s="166"/>
      <c r="H56" s="166"/>
      <c r="L56" s="126" t="s">
        <v>2613</v>
      </c>
      <c r="M56" s="167"/>
      <c r="N56" s="126" t="s">
        <v>304</v>
      </c>
      <c r="O56" s="126" t="s">
        <v>305</v>
      </c>
      <c r="Q56" s="328">
        <f>3107*2.4</f>
        <v>7456.7999999999993</v>
      </c>
      <c r="R56" s="329">
        <v>7600</v>
      </c>
      <c r="S56" s="181"/>
      <c r="T56" s="181"/>
      <c r="AX56" s="165">
        <f t="shared" si="18"/>
        <v>45121.333333333336</v>
      </c>
      <c r="AY56" s="165">
        <f t="shared" si="19"/>
        <v>45125.722222222219</v>
      </c>
      <c r="AZ56" s="137">
        <f t="shared" si="20"/>
        <v>4.3888888888832298</v>
      </c>
      <c r="BA56" s="165">
        <v>45121.333333333336</v>
      </c>
      <c r="BB56" s="165"/>
      <c r="BC56" s="165"/>
      <c r="BD56" s="165"/>
      <c r="BE56" s="165"/>
      <c r="BF56" s="165"/>
      <c r="BG56" s="165"/>
      <c r="BH56" s="165"/>
      <c r="BI56" s="165"/>
      <c r="BJ56" s="165"/>
      <c r="BK56" s="166"/>
      <c r="BL56" s="165"/>
      <c r="BM56" s="165"/>
      <c r="BN56" s="165"/>
      <c r="BO56" s="165"/>
      <c r="BP56" s="165"/>
      <c r="BQ56" s="165">
        <v>45125.722222222219</v>
      </c>
      <c r="BR56" s="126" t="s">
        <v>2614</v>
      </c>
      <c r="BT56" s="136">
        <f t="shared" si="21"/>
        <v>0</v>
      </c>
      <c r="BU56" s="136">
        <f t="shared" si="22"/>
        <v>0</v>
      </c>
      <c r="BV56" s="136">
        <f t="shared" si="23"/>
        <v>0</v>
      </c>
      <c r="BW56" s="136">
        <f t="shared" si="24"/>
        <v>0</v>
      </c>
      <c r="BX56" s="135">
        <f t="shared" si="25"/>
        <v>0</v>
      </c>
      <c r="BY56" s="135">
        <f t="shared" si="26"/>
        <v>1083017.3333333333</v>
      </c>
      <c r="BZ56" s="134">
        <f t="shared" si="27"/>
        <v>45125.722222222219</v>
      </c>
      <c r="CA56" s="134">
        <f t="shared" si="28"/>
        <v>4.3888888888832298</v>
      </c>
      <c r="CB56" s="133">
        <f t="shared" si="29"/>
        <v>10281.810126595536</v>
      </c>
    </row>
    <row r="57" spans="1:82" s="126" customFormat="1">
      <c r="A57" s="192">
        <f t="shared" ref="A57:A120" si="30">BD57</f>
        <v>45124.128472222219</v>
      </c>
      <c r="B57" s="126" t="s">
        <v>228</v>
      </c>
      <c r="C57" s="126" t="s">
        <v>229</v>
      </c>
      <c r="D57" s="126" t="s">
        <v>197</v>
      </c>
      <c r="E57" s="65" t="s">
        <v>2172</v>
      </c>
      <c r="G57" s="315">
        <v>45129.291666666664</v>
      </c>
      <c r="H57" s="315">
        <v>45129.291666666664</v>
      </c>
      <c r="I57" s="126" t="s">
        <v>231</v>
      </c>
      <c r="J57" s="126" t="s">
        <v>192</v>
      </c>
      <c r="K57" s="126" t="s">
        <v>192</v>
      </c>
      <c r="L57" s="126" t="s">
        <v>2180</v>
      </c>
      <c r="M57" s="167"/>
      <c r="N57" s="126" t="s">
        <v>489</v>
      </c>
      <c r="O57" s="126" t="s">
        <v>483</v>
      </c>
      <c r="P57" s="126" t="s">
        <v>418</v>
      </c>
      <c r="Q57" s="181">
        <f>3107*2.4</f>
        <v>7456.7999999999993</v>
      </c>
      <c r="R57" s="181">
        <f>7500+100</f>
        <v>7600</v>
      </c>
      <c r="S57" s="181">
        <v>7515.7910000000002</v>
      </c>
      <c r="T57" s="181"/>
      <c r="X57" s="181">
        <f>S57*0.6</f>
        <v>4509.4745999999996</v>
      </c>
      <c r="Y57" s="181">
        <f>S57*0.4</f>
        <v>3006.3164000000002</v>
      </c>
      <c r="AX57" s="165">
        <f t="shared" si="18"/>
        <v>45121.131944444445</v>
      </c>
      <c r="AY57" s="165">
        <f t="shared" si="19"/>
        <v>45134.076388888891</v>
      </c>
      <c r="AZ57" s="137">
        <f t="shared" si="20"/>
        <v>12.944444444445253</v>
      </c>
      <c r="BA57" s="165">
        <v>45121.131944444445</v>
      </c>
      <c r="BB57" s="165">
        <v>45121.928472222222</v>
      </c>
      <c r="BC57" s="165">
        <v>45123.604166666664</v>
      </c>
      <c r="BD57" s="165">
        <v>45124.128472222219</v>
      </c>
      <c r="BE57" s="165">
        <v>45124.350694444445</v>
      </c>
      <c r="BF57" s="165">
        <v>45124.361111111109</v>
      </c>
      <c r="BG57" s="165">
        <v>45124.361111111109</v>
      </c>
      <c r="BH57" s="165">
        <f t="shared" ref="BH57:BH94" si="31">BG57+(41/24)</f>
        <v>45126.069444444445</v>
      </c>
      <c r="BI57" s="165">
        <v>45126.25</v>
      </c>
      <c r="BJ57" s="165">
        <v>45126.416666666664</v>
      </c>
      <c r="BK57" s="165">
        <v>45126.380555555559</v>
      </c>
      <c r="BL57" s="165">
        <v>45127.5</v>
      </c>
      <c r="BM57" s="165">
        <v>45133.322916666664</v>
      </c>
      <c r="BN57" s="165">
        <v>45133.420138888891</v>
      </c>
      <c r="BO57" s="165">
        <v>45133.472222222219</v>
      </c>
      <c r="BP57" s="165">
        <v>45133.819444444445</v>
      </c>
      <c r="BQ57" s="165">
        <v>45134.076388888891</v>
      </c>
      <c r="BT57" s="136">
        <f t="shared" si="21"/>
        <v>40.21666666661622</v>
      </c>
      <c r="BU57" s="136">
        <f t="shared" si="22"/>
        <v>5.3333333334303461</v>
      </c>
      <c r="BV57" s="136">
        <f t="shared" si="23"/>
        <v>41.000000000058208</v>
      </c>
      <c r="BW57" s="136">
        <f t="shared" si="24"/>
        <v>26.000000000058208</v>
      </c>
      <c r="BX57" s="135">
        <f t="shared" si="25"/>
        <v>2.3333333334303461</v>
      </c>
      <c r="BY57" s="135">
        <f t="shared" si="26"/>
        <v>6.1666666666860692</v>
      </c>
      <c r="BZ57" s="134">
        <f t="shared" si="27"/>
        <v>5.0437500000116415</v>
      </c>
      <c r="CA57" s="134">
        <f t="shared" si="28"/>
        <v>12.944444444445253</v>
      </c>
      <c r="CB57" s="133">
        <f t="shared" si="29"/>
        <v>0.38964592274765614</v>
      </c>
    </row>
    <row r="58" spans="1:82" s="126" customFormat="1">
      <c r="A58" s="192">
        <f t="shared" si="30"/>
        <v>45124.916666666664</v>
      </c>
      <c r="B58" s="126" t="s">
        <v>228</v>
      </c>
      <c r="C58" s="126" t="s">
        <v>229</v>
      </c>
      <c r="D58" s="126" t="s">
        <v>197</v>
      </c>
      <c r="E58" s="65" t="s">
        <v>2172</v>
      </c>
      <c r="G58" s="315">
        <v>45129.291666666664</v>
      </c>
      <c r="H58" s="315">
        <v>45129.291666666664</v>
      </c>
      <c r="I58" s="126" t="s">
        <v>231</v>
      </c>
      <c r="J58" s="126" t="s">
        <v>192</v>
      </c>
      <c r="K58" s="126" t="s">
        <v>192</v>
      </c>
      <c r="L58" s="126" t="s">
        <v>2186</v>
      </c>
      <c r="M58" s="167"/>
      <c r="N58" s="126" t="s">
        <v>277</v>
      </c>
      <c r="O58" s="126" t="s">
        <v>278</v>
      </c>
      <c r="P58" s="126" t="s">
        <v>418</v>
      </c>
      <c r="Q58" s="181">
        <f>3117*2.4</f>
        <v>7480.7999999999993</v>
      </c>
      <c r="R58" s="181">
        <f>7500+100</f>
        <v>7600</v>
      </c>
      <c r="S58" s="181">
        <v>7511.4679999999998</v>
      </c>
      <c r="T58" s="181"/>
      <c r="X58" s="181">
        <f>S58*0.6</f>
        <v>4506.8807999999999</v>
      </c>
      <c r="Y58" s="181">
        <f>S58*0.4</f>
        <v>3004.5871999999999</v>
      </c>
      <c r="AX58" s="165">
        <f t="shared" si="18"/>
        <v>45121.371527777781</v>
      </c>
      <c r="AY58" s="165">
        <f t="shared" si="19"/>
        <v>45135.017361111109</v>
      </c>
      <c r="AZ58" s="137">
        <f t="shared" si="20"/>
        <v>13.645833333328483</v>
      </c>
      <c r="BA58" s="165">
        <v>45121.371527777781</v>
      </c>
      <c r="BB58" s="165">
        <v>45122.322916666664</v>
      </c>
      <c r="BC58" s="165">
        <v>45123.892361111109</v>
      </c>
      <c r="BD58" s="165">
        <v>45124.916666666664</v>
      </c>
      <c r="BE58" s="165">
        <v>45125.065972222219</v>
      </c>
      <c r="BF58" s="165">
        <v>45125.072916666664</v>
      </c>
      <c r="BG58" s="165">
        <v>45125.072916666664</v>
      </c>
      <c r="BH58" s="165">
        <f t="shared" si="31"/>
        <v>45126.78125</v>
      </c>
      <c r="BI58" s="165">
        <v>45127.25</v>
      </c>
      <c r="BJ58" s="165">
        <v>45127.416666666664</v>
      </c>
      <c r="BK58" s="165">
        <v>45127.34375</v>
      </c>
      <c r="BL58" s="165">
        <v>45128.59375</v>
      </c>
      <c r="BM58" s="165">
        <v>45134.486111111109</v>
      </c>
      <c r="BN58" s="165">
        <v>45134.666666666664</v>
      </c>
      <c r="BO58" s="165">
        <v>45134.6875</v>
      </c>
      <c r="BP58" s="165">
        <v>45134.8125</v>
      </c>
      <c r="BQ58" s="165">
        <v>45135.017361111109</v>
      </c>
      <c r="BT58" s="136">
        <f t="shared" si="21"/>
        <v>37.666666666686069</v>
      </c>
      <c r="BU58" s="136">
        <f t="shared" si="22"/>
        <v>3.5833333333139308</v>
      </c>
      <c r="BV58" s="136">
        <f t="shared" si="23"/>
        <v>41.000000000058208</v>
      </c>
      <c r="BW58" s="136">
        <f t="shared" si="24"/>
        <v>28.250000000058208</v>
      </c>
      <c r="BX58" s="135">
        <f t="shared" si="25"/>
        <v>4.3333333333139308</v>
      </c>
      <c r="BY58" s="135">
        <f t="shared" si="26"/>
        <v>4.9166666666278616</v>
      </c>
      <c r="BZ58" s="134">
        <f t="shared" si="27"/>
        <v>4.9895833333357587</v>
      </c>
      <c r="CA58" s="134">
        <f t="shared" si="28"/>
        <v>13.645833333328483</v>
      </c>
      <c r="CB58" s="133">
        <f t="shared" si="29"/>
        <v>0.36564885496213978</v>
      </c>
    </row>
    <row r="59" spans="1:82" s="126" customFormat="1">
      <c r="A59" s="192">
        <f t="shared" si="30"/>
        <v>45125.097222222219</v>
      </c>
      <c r="B59" s="126" t="s">
        <v>228</v>
      </c>
      <c r="C59" s="126" t="s">
        <v>229</v>
      </c>
      <c r="D59" s="126" t="s">
        <v>197</v>
      </c>
      <c r="E59" s="65" t="s">
        <v>2172</v>
      </c>
      <c r="G59" s="315">
        <v>45129.291666666664</v>
      </c>
      <c r="H59" s="315">
        <v>45129.291666666664</v>
      </c>
      <c r="I59" s="126" t="s">
        <v>231</v>
      </c>
      <c r="J59" s="126" t="s">
        <v>192</v>
      </c>
      <c r="K59" s="126" t="s">
        <v>192</v>
      </c>
      <c r="L59" s="126" t="s">
        <v>2185</v>
      </c>
      <c r="M59" s="167"/>
      <c r="N59" s="126" t="s">
        <v>346</v>
      </c>
      <c r="O59" s="126" t="s">
        <v>347</v>
      </c>
      <c r="P59" s="126" t="s">
        <v>235</v>
      </c>
      <c r="Q59" s="181">
        <f>3136*2.4</f>
        <v>7526.4</v>
      </c>
      <c r="R59" s="181">
        <f>7550+100</f>
        <v>7650</v>
      </c>
      <c r="S59" s="181">
        <v>7594.3389999999999</v>
      </c>
      <c r="T59" s="181"/>
      <c r="X59" s="181">
        <f>S59</f>
        <v>7594.3389999999999</v>
      </c>
      <c r="AX59" s="165">
        <f t="shared" si="18"/>
        <v>45119.152777777781</v>
      </c>
      <c r="AY59" s="165">
        <f t="shared" si="19"/>
        <v>45134.9375</v>
      </c>
      <c r="AZ59" s="137">
        <f t="shared" si="20"/>
        <v>15.784722222218988</v>
      </c>
      <c r="BA59" s="165">
        <v>45119.152777777781</v>
      </c>
      <c r="BB59" s="165">
        <v>45122.34375</v>
      </c>
      <c r="BC59" s="165">
        <v>45124.423611111109</v>
      </c>
      <c r="BD59" s="165">
        <v>45125.097222222219</v>
      </c>
      <c r="BE59" s="165">
        <v>45125.223611111112</v>
      </c>
      <c r="BF59" s="165">
        <v>45125.229166666664</v>
      </c>
      <c r="BG59" s="165">
        <v>45125.229166666664</v>
      </c>
      <c r="BH59" s="165">
        <f t="shared" si="31"/>
        <v>45126.9375</v>
      </c>
      <c r="BI59" s="165">
        <v>45127.25</v>
      </c>
      <c r="BJ59" s="165">
        <v>45127.416666666664</v>
      </c>
      <c r="BK59" s="165">
        <v>45127.296527777777</v>
      </c>
      <c r="BL59" s="165">
        <v>45128.583333333336</v>
      </c>
      <c r="BM59" s="165">
        <v>45134.236111111109</v>
      </c>
      <c r="BN59" s="165">
        <v>45134.423611111109</v>
      </c>
      <c r="BO59" s="165">
        <v>45134.444444444445</v>
      </c>
      <c r="BP59" s="165">
        <v>45134.444444444445</v>
      </c>
      <c r="BQ59" s="165">
        <v>45134.9375</v>
      </c>
      <c r="BT59" s="136">
        <f t="shared" si="21"/>
        <v>49.916666666627862</v>
      </c>
      <c r="BU59" s="136">
        <f t="shared" si="22"/>
        <v>3.0333333334419876</v>
      </c>
      <c r="BV59" s="136">
        <f t="shared" si="23"/>
        <v>41.000000000058208</v>
      </c>
      <c r="BW59" s="136">
        <f t="shared" si="24"/>
        <v>28.000000000116415</v>
      </c>
      <c r="BX59" s="135">
        <f t="shared" si="25"/>
        <v>4.5</v>
      </c>
      <c r="BY59" s="135">
        <f t="shared" si="26"/>
        <v>11.833333333313931</v>
      </c>
      <c r="BZ59" s="134">
        <f t="shared" si="27"/>
        <v>5.7618055555649335</v>
      </c>
      <c r="CA59" s="134">
        <f t="shared" si="28"/>
        <v>15.784722222218988</v>
      </c>
      <c r="CB59" s="133">
        <f t="shared" si="29"/>
        <v>0.36502419709701733</v>
      </c>
    </row>
    <row r="60" spans="1:82" s="126" customFormat="1">
      <c r="A60" s="192">
        <f t="shared" si="30"/>
        <v>45125.736111111109</v>
      </c>
      <c r="B60" s="126" t="s">
        <v>228</v>
      </c>
      <c r="C60" s="126" t="s">
        <v>229</v>
      </c>
      <c r="D60" s="126" t="s">
        <v>197</v>
      </c>
      <c r="E60" s="65" t="s">
        <v>2172</v>
      </c>
      <c r="G60" s="315">
        <v>45129.291666666664</v>
      </c>
      <c r="H60" s="315">
        <v>45129.291666666664</v>
      </c>
      <c r="I60" s="126" t="s">
        <v>231</v>
      </c>
      <c r="J60" s="126" t="s">
        <v>192</v>
      </c>
      <c r="K60" s="126" t="s">
        <v>192</v>
      </c>
      <c r="L60" s="126" t="s">
        <v>2188</v>
      </c>
      <c r="M60" s="167"/>
      <c r="N60" s="126" t="s">
        <v>249</v>
      </c>
      <c r="O60" s="126" t="s">
        <v>250</v>
      </c>
      <c r="P60" s="126" t="s">
        <v>235</v>
      </c>
      <c r="Q60" s="181">
        <f>3139*2.4</f>
        <v>7533.5999999999995</v>
      </c>
      <c r="R60" s="181">
        <f>7550+100</f>
        <v>7650</v>
      </c>
      <c r="S60" s="181">
        <f>7505.978-1105.478</f>
        <v>6400.5</v>
      </c>
      <c r="T60" s="181"/>
      <c r="X60" s="181">
        <f>S60</f>
        <v>6400.5</v>
      </c>
      <c r="AX60" s="165">
        <f t="shared" si="18"/>
        <v>45122.666666666664</v>
      </c>
      <c r="AY60" s="165">
        <f t="shared" si="19"/>
        <v>45136.21875</v>
      </c>
      <c r="AZ60" s="137">
        <f t="shared" si="20"/>
        <v>13.552083333335759</v>
      </c>
      <c r="BA60" s="165">
        <v>45122.666666666664</v>
      </c>
      <c r="BB60" s="165">
        <v>45123.517361111109</v>
      </c>
      <c r="BC60" s="165">
        <v>45125.458333333336</v>
      </c>
      <c r="BD60" s="165">
        <v>45125.736111111109</v>
      </c>
      <c r="BE60" s="165">
        <v>45125.927083333336</v>
      </c>
      <c r="BF60" s="165">
        <v>45125.934027777781</v>
      </c>
      <c r="BG60" s="165">
        <v>45126.291666666664</v>
      </c>
      <c r="BH60" s="165">
        <f t="shared" si="31"/>
        <v>45128</v>
      </c>
      <c r="BI60" s="165">
        <v>45128.25</v>
      </c>
      <c r="BJ60" s="165">
        <v>45128.416666666664</v>
      </c>
      <c r="BK60" s="165">
        <v>45128.319444444445</v>
      </c>
      <c r="BL60" s="165">
        <v>45129.583333333336</v>
      </c>
      <c r="BM60" s="165">
        <v>45135.840277777781</v>
      </c>
      <c r="BN60" s="165">
        <v>45136.166666666664</v>
      </c>
      <c r="BO60" s="165">
        <v>45136.21875</v>
      </c>
      <c r="BP60" s="165">
        <v>45136.21875</v>
      </c>
      <c r="BQ60" s="165">
        <v>45136.21875</v>
      </c>
      <c r="BT60" s="136">
        <f t="shared" si="21"/>
        <v>46.583333333430346</v>
      </c>
      <c r="BU60" s="136">
        <f t="shared" si="22"/>
        <v>4.5833333334303461</v>
      </c>
      <c r="BV60" s="136">
        <f t="shared" si="23"/>
        <v>41.000000000058208</v>
      </c>
      <c r="BW60" s="136">
        <f t="shared" si="24"/>
        <v>28.000000000116415</v>
      </c>
      <c r="BX60" s="135">
        <f t="shared" si="25"/>
        <v>7.8333333331975155</v>
      </c>
      <c r="BY60" s="135">
        <f t="shared" si="26"/>
        <v>0</v>
      </c>
      <c r="BZ60" s="134">
        <f t="shared" si="27"/>
        <v>5.3333333333430346</v>
      </c>
      <c r="CA60" s="134">
        <f t="shared" si="28"/>
        <v>13.552083333335759</v>
      </c>
      <c r="CB60" s="133">
        <f t="shared" si="29"/>
        <v>0.39354342813285142</v>
      </c>
    </row>
    <row r="61" spans="1:82" s="126" customFormat="1">
      <c r="A61" s="192">
        <f t="shared" si="30"/>
        <v>45125.736111111109</v>
      </c>
      <c r="B61" s="126" t="s">
        <v>228</v>
      </c>
      <c r="C61" s="126" t="s">
        <v>229</v>
      </c>
      <c r="D61" s="126" t="s">
        <v>197</v>
      </c>
      <c r="E61" s="65" t="s">
        <v>2211</v>
      </c>
      <c r="G61" s="315">
        <v>45129.083333333336</v>
      </c>
      <c r="H61" s="315">
        <v>45129.125</v>
      </c>
      <c r="I61" s="126" t="s">
        <v>231</v>
      </c>
      <c r="J61" s="126" t="s">
        <v>192</v>
      </c>
      <c r="K61" s="126" t="s">
        <v>192</v>
      </c>
      <c r="L61" s="126" t="s">
        <v>2188</v>
      </c>
      <c r="M61" s="167"/>
      <c r="N61" s="126" t="s">
        <v>249</v>
      </c>
      <c r="O61" s="126" t="s">
        <v>250</v>
      </c>
      <c r="P61" s="126" t="s">
        <v>235</v>
      </c>
      <c r="Q61" s="181">
        <f>3139*2.4</f>
        <v>7533.5999999999995</v>
      </c>
      <c r="R61" s="181">
        <f>7550+100</f>
        <v>7650</v>
      </c>
      <c r="S61" s="181">
        <v>535.09500000000003</v>
      </c>
      <c r="T61" s="181"/>
      <c r="X61" s="181">
        <f>S61</f>
        <v>535.09500000000003</v>
      </c>
      <c r="AX61" s="165">
        <f t="shared" si="18"/>
        <v>45122.666666666664</v>
      </c>
      <c r="AY61" s="165">
        <f t="shared" si="19"/>
        <v>45142.041666666664</v>
      </c>
      <c r="AZ61" s="137">
        <f t="shared" si="20"/>
        <v>19.375</v>
      </c>
      <c r="BA61" s="165">
        <v>45122.666666666664</v>
      </c>
      <c r="BB61" s="165">
        <v>45123.517361111109</v>
      </c>
      <c r="BC61" s="165">
        <v>45125.458333333336</v>
      </c>
      <c r="BD61" s="165">
        <v>45125.736111111109</v>
      </c>
      <c r="BE61" s="165">
        <v>45125.927083333336</v>
      </c>
      <c r="BF61" s="165">
        <v>45125.934027777781</v>
      </c>
      <c r="BG61" s="165">
        <v>45126.291666666664</v>
      </c>
      <c r="BH61" s="165">
        <f t="shared" si="31"/>
        <v>45128</v>
      </c>
      <c r="BI61" s="165">
        <v>45128.25</v>
      </c>
      <c r="BJ61" s="165">
        <v>45128.416666666664</v>
      </c>
      <c r="BK61" s="165">
        <v>45128.319444444445</v>
      </c>
      <c r="BL61" s="165">
        <v>45136.21875</v>
      </c>
      <c r="BM61" s="165">
        <v>45141.364583333336</v>
      </c>
      <c r="BN61" s="165">
        <v>45141.395833333336</v>
      </c>
      <c r="BO61" s="165">
        <v>45141.416666666664</v>
      </c>
      <c r="BP61" s="165">
        <v>45141.708333333336</v>
      </c>
      <c r="BQ61" s="165">
        <v>45142.041666666664</v>
      </c>
      <c r="BT61" s="136">
        <f t="shared" si="21"/>
        <v>46.583333333430346</v>
      </c>
      <c r="BU61" s="136">
        <f t="shared" si="22"/>
        <v>4.5833333334303461</v>
      </c>
      <c r="BV61" s="136">
        <f t="shared" si="23"/>
        <v>41.000000000058208</v>
      </c>
      <c r="BW61" s="136">
        <f t="shared" si="24"/>
        <v>187.25000000005821</v>
      </c>
      <c r="BX61" s="135">
        <f t="shared" si="25"/>
        <v>0.75</v>
      </c>
      <c r="BY61" s="135">
        <f t="shared" si="26"/>
        <v>7.9999999998835847</v>
      </c>
      <c r="BZ61" s="134">
        <f t="shared" si="27"/>
        <v>12.006944444452529</v>
      </c>
      <c r="CA61" s="134">
        <f t="shared" si="28"/>
        <v>19.375</v>
      </c>
      <c r="CB61" s="133">
        <f t="shared" si="29"/>
        <v>0.61971326164916274</v>
      </c>
    </row>
    <row r="62" spans="1:82" s="126" customFormat="1">
      <c r="A62" s="192">
        <f t="shared" si="30"/>
        <v>45125.385416666664</v>
      </c>
      <c r="B62" s="126" t="s">
        <v>228</v>
      </c>
      <c r="C62" s="126" t="s">
        <v>229</v>
      </c>
      <c r="D62" s="126" t="s">
        <v>197</v>
      </c>
      <c r="E62" s="65" t="s">
        <v>2172</v>
      </c>
      <c r="G62" s="315">
        <v>45129.291666666664</v>
      </c>
      <c r="H62" s="315">
        <v>45129.291666666664</v>
      </c>
      <c r="I62" s="126" t="s">
        <v>231</v>
      </c>
      <c r="J62" s="126" t="s">
        <v>192</v>
      </c>
      <c r="K62" s="126" t="s">
        <v>192</v>
      </c>
      <c r="L62" s="126" t="s">
        <v>2187</v>
      </c>
      <c r="M62" s="167"/>
      <c r="N62" s="126" t="s">
        <v>406</v>
      </c>
      <c r="O62" s="126" t="s">
        <v>407</v>
      </c>
      <c r="P62" s="126" t="s">
        <v>235</v>
      </c>
      <c r="Q62" s="181">
        <f>3107*2.4</f>
        <v>7456.7999999999993</v>
      </c>
      <c r="R62" s="181">
        <f>7500+100</f>
        <v>7600</v>
      </c>
      <c r="S62" s="181">
        <v>7601.1210000000001</v>
      </c>
      <c r="T62" s="181"/>
      <c r="X62" s="181">
        <f>S62</f>
        <v>7601.1210000000001</v>
      </c>
      <c r="AX62" s="165">
        <f t="shared" si="18"/>
        <v>45123.28125</v>
      </c>
      <c r="AY62" s="165">
        <f t="shared" si="19"/>
        <v>45136.177083333336</v>
      </c>
      <c r="AZ62" s="137">
        <f t="shared" si="20"/>
        <v>12.895833333335759</v>
      </c>
      <c r="BA62" s="165">
        <v>45123.28125</v>
      </c>
      <c r="BB62" s="165">
        <v>45123.833333333336</v>
      </c>
      <c r="BC62" s="165">
        <v>45125.354166666664</v>
      </c>
      <c r="BD62" s="165">
        <v>45125.385416666664</v>
      </c>
      <c r="BE62" s="165">
        <v>45125.506944444445</v>
      </c>
      <c r="BF62" s="165">
        <v>45125.513888888891</v>
      </c>
      <c r="BG62" s="165">
        <v>45125.513888888891</v>
      </c>
      <c r="BH62" s="165">
        <f t="shared" si="31"/>
        <v>45127.222222222226</v>
      </c>
      <c r="BI62" s="165">
        <v>45128.25</v>
      </c>
      <c r="BJ62" s="165">
        <v>45128.416666666664</v>
      </c>
      <c r="BK62" s="165">
        <v>45128.357638888891</v>
      </c>
      <c r="BL62" s="165">
        <v>45129.375</v>
      </c>
      <c r="BM62" s="165">
        <v>45134.729166666664</v>
      </c>
      <c r="BN62" s="165">
        <v>45135.777777777781</v>
      </c>
      <c r="BO62" s="165">
        <v>45135.798611111109</v>
      </c>
      <c r="BP62" s="165">
        <v>45135.798611111109</v>
      </c>
      <c r="BQ62" s="165">
        <v>45136.177083333336</v>
      </c>
      <c r="BT62" s="136">
        <f t="shared" si="21"/>
        <v>36.499999999883585</v>
      </c>
      <c r="BU62" s="136">
        <f t="shared" si="22"/>
        <v>2.9166666667442769</v>
      </c>
      <c r="BV62" s="136">
        <f t="shared" si="23"/>
        <v>41.000000000058208</v>
      </c>
      <c r="BW62" s="136">
        <f t="shared" si="24"/>
        <v>23.000000000058208</v>
      </c>
      <c r="BX62" s="135">
        <f t="shared" si="25"/>
        <v>25.166666666802485</v>
      </c>
      <c r="BY62" s="135">
        <f t="shared" si="26"/>
        <v>9.0833333334303461</v>
      </c>
      <c r="BZ62" s="134">
        <f t="shared" si="27"/>
        <v>5.7361111111240461</v>
      </c>
      <c r="CA62" s="134">
        <f t="shared" si="28"/>
        <v>12.895833333335759</v>
      </c>
      <c r="CB62" s="133">
        <f t="shared" si="29"/>
        <v>0.44480344641987468</v>
      </c>
    </row>
    <row r="63" spans="1:82" s="126" customFormat="1">
      <c r="A63" s="192">
        <f t="shared" si="30"/>
        <v>45128.420138888891</v>
      </c>
      <c r="B63" s="126" t="s">
        <v>228</v>
      </c>
      <c r="C63" s="126" t="s">
        <v>229</v>
      </c>
      <c r="D63" s="126" t="s">
        <v>215</v>
      </c>
      <c r="E63" s="65" t="s">
        <v>2158</v>
      </c>
      <c r="G63" s="166">
        <v>45127.416666666664</v>
      </c>
      <c r="H63" s="166">
        <v>45127.416666666664</v>
      </c>
      <c r="I63" s="126" t="s">
        <v>231</v>
      </c>
      <c r="J63" s="126" t="s">
        <v>192</v>
      </c>
      <c r="K63" s="126" t="s">
        <v>192</v>
      </c>
      <c r="L63" s="126" t="s">
        <v>2164</v>
      </c>
      <c r="M63" s="167"/>
      <c r="N63" s="126" t="s">
        <v>343</v>
      </c>
      <c r="O63" s="126" t="s">
        <v>344</v>
      </c>
      <c r="P63" s="126" t="s">
        <v>336</v>
      </c>
      <c r="Q63" s="181">
        <f>3136*2.4</f>
        <v>7526.4</v>
      </c>
      <c r="R63" s="181">
        <f>7550+100</f>
        <v>7650</v>
      </c>
      <c r="S63" s="181">
        <v>7527.2610000000004</v>
      </c>
      <c r="T63" s="181"/>
      <c r="X63" s="181">
        <f>S63*0.45</f>
        <v>3387.2674500000003</v>
      </c>
      <c r="Y63" s="181">
        <f>S63*0.55</f>
        <v>4139.9935500000001</v>
      </c>
      <c r="AX63" s="165">
        <f t="shared" si="18"/>
        <v>45121.458333333336</v>
      </c>
      <c r="AY63" s="165">
        <f t="shared" si="19"/>
        <v>45135.1875</v>
      </c>
      <c r="AZ63" s="137">
        <f t="shared" si="20"/>
        <v>13.729166666664241</v>
      </c>
      <c r="BA63" s="165">
        <v>45121.458333333336</v>
      </c>
      <c r="BB63" s="165">
        <v>45125.614583333336</v>
      </c>
      <c r="BC63" s="165">
        <v>45127.315972222219</v>
      </c>
      <c r="BD63" s="165">
        <v>45128.420138888891</v>
      </c>
      <c r="BE63" s="165">
        <v>45128.569444444445</v>
      </c>
      <c r="BF63" s="165">
        <v>45128.576388888891</v>
      </c>
      <c r="BG63" s="165">
        <v>45128.576388888891</v>
      </c>
      <c r="BH63" s="165">
        <f t="shared" si="31"/>
        <v>45130.284722222226</v>
      </c>
      <c r="BI63" s="165">
        <v>45130.25</v>
      </c>
      <c r="BJ63" s="165">
        <v>45130.416666666664</v>
      </c>
      <c r="BK63" s="165">
        <v>45130.392361111109</v>
      </c>
      <c r="BL63" s="165">
        <v>45131.541666666664</v>
      </c>
      <c r="BM63" s="165">
        <v>45134.701388888891</v>
      </c>
      <c r="BN63" s="165">
        <v>45134.878472222219</v>
      </c>
      <c r="BO63" s="165">
        <v>45134.909722222219</v>
      </c>
      <c r="BP63" s="165">
        <v>45134.909722222219</v>
      </c>
      <c r="BQ63" s="165">
        <v>45135.1875</v>
      </c>
      <c r="BT63" s="136">
        <f t="shared" si="21"/>
        <v>40.833333333197515</v>
      </c>
      <c r="BU63" s="136">
        <f t="shared" si="22"/>
        <v>3.5833333333139308</v>
      </c>
      <c r="BV63" s="136">
        <f t="shared" si="23"/>
        <v>41.000000000058208</v>
      </c>
      <c r="BW63" s="136">
        <f t="shared" si="24"/>
        <v>27</v>
      </c>
      <c r="BX63" s="135">
        <f t="shared" si="25"/>
        <v>4.2499999998835847</v>
      </c>
      <c r="BY63" s="135">
        <f t="shared" si="26"/>
        <v>6.6666666667442769</v>
      </c>
      <c r="BZ63" s="134">
        <f t="shared" si="27"/>
        <v>5.1388888888832298</v>
      </c>
      <c r="CA63" s="134">
        <f t="shared" si="28"/>
        <v>13.729166666664241</v>
      </c>
      <c r="CB63" s="133">
        <f t="shared" si="29"/>
        <v>0.37430450177001306</v>
      </c>
    </row>
    <row r="64" spans="1:82" s="126" customFormat="1">
      <c r="A64" s="192">
        <f t="shared" si="30"/>
        <v>45127.375</v>
      </c>
      <c r="B64" s="126" t="s">
        <v>228</v>
      </c>
      <c r="C64" s="126" t="s">
        <v>229</v>
      </c>
      <c r="D64" s="126" t="s">
        <v>197</v>
      </c>
      <c r="E64" s="65" t="s">
        <v>2158</v>
      </c>
      <c r="G64" s="166">
        <v>45127.416666666664</v>
      </c>
      <c r="H64" s="166">
        <v>45127.416666666664</v>
      </c>
      <c r="I64" s="126" t="s">
        <v>231</v>
      </c>
      <c r="J64" s="126" t="s">
        <v>192</v>
      </c>
      <c r="K64" s="126" t="s">
        <v>192</v>
      </c>
      <c r="L64" s="126" t="s">
        <v>2163</v>
      </c>
      <c r="M64" s="167"/>
      <c r="N64" s="126" t="s">
        <v>238</v>
      </c>
      <c r="O64" s="126" t="s">
        <v>239</v>
      </c>
      <c r="P64" s="126" t="s">
        <v>336</v>
      </c>
      <c r="Q64" s="181">
        <f>3100*2.4</f>
        <v>7440</v>
      </c>
      <c r="R64" s="181">
        <f>7450+100</f>
        <v>7550</v>
      </c>
      <c r="S64" s="181">
        <v>7438.0309999999999</v>
      </c>
      <c r="T64" s="181"/>
      <c r="X64" s="181">
        <f>S64*0.35</f>
        <v>2603.3108499999998</v>
      </c>
      <c r="Y64" s="181">
        <f>S64*0.65</f>
        <v>4834.7201500000001</v>
      </c>
      <c r="AX64" s="165">
        <f t="shared" si="18"/>
        <v>45124.420138888891</v>
      </c>
      <c r="AY64" s="165">
        <f t="shared" si="19"/>
        <v>45134.916666666664</v>
      </c>
      <c r="AZ64" s="137">
        <f t="shared" si="20"/>
        <v>10.496527777773736</v>
      </c>
      <c r="BA64" s="165">
        <v>45124.420138888891</v>
      </c>
      <c r="BB64" s="165">
        <v>45125.802083333336</v>
      </c>
      <c r="BC64" s="165">
        <v>45127.243055555555</v>
      </c>
      <c r="BD64" s="165">
        <v>45127.375</v>
      </c>
      <c r="BE64" s="165">
        <v>45127.552083333336</v>
      </c>
      <c r="BF64" s="165">
        <v>45127.555555555555</v>
      </c>
      <c r="BG64" s="165">
        <v>45127.555555555555</v>
      </c>
      <c r="BH64" s="165">
        <f t="shared" si="31"/>
        <v>45129.263888888891</v>
      </c>
      <c r="BI64" s="165">
        <v>45130.25</v>
      </c>
      <c r="BJ64" s="165">
        <v>45130.416666666664</v>
      </c>
      <c r="BK64" s="165">
        <v>45130.395833333336</v>
      </c>
      <c r="BL64" s="165">
        <v>45131.392361111109</v>
      </c>
      <c r="BM64" s="165">
        <v>45134.375</v>
      </c>
      <c r="BN64" s="165">
        <v>45134.638888888891</v>
      </c>
      <c r="BO64" s="165">
        <v>45134.677083333336</v>
      </c>
      <c r="BP64" s="165">
        <v>45134.677083333336</v>
      </c>
      <c r="BQ64" s="165">
        <v>45134.916666666664</v>
      </c>
      <c r="BT64" s="136">
        <f t="shared" si="21"/>
        <v>34.583333333255723</v>
      </c>
      <c r="BU64" s="136">
        <f t="shared" si="22"/>
        <v>4.2500000000582077</v>
      </c>
      <c r="BV64" s="136">
        <f t="shared" si="23"/>
        <v>41.000000000058208</v>
      </c>
      <c r="BW64" s="136">
        <f t="shared" si="24"/>
        <v>23.416666666686069</v>
      </c>
      <c r="BX64" s="135">
        <f t="shared" si="25"/>
        <v>6.3333333333721384</v>
      </c>
      <c r="BY64" s="135">
        <f t="shared" si="26"/>
        <v>5.7499999998835847</v>
      </c>
      <c r="BZ64" s="134">
        <f t="shared" si="27"/>
        <v>4.8055555555547471</v>
      </c>
      <c r="CA64" s="134">
        <f t="shared" si="28"/>
        <v>10.496527777773736</v>
      </c>
      <c r="CB64" s="133">
        <f t="shared" si="29"/>
        <v>0.45782335428392329</v>
      </c>
    </row>
    <row r="65" spans="1:80" s="126" customFormat="1">
      <c r="A65" s="192">
        <f t="shared" si="30"/>
        <v>45127.588194444441</v>
      </c>
      <c r="B65" s="126" t="s">
        <v>228</v>
      </c>
      <c r="C65" s="126" t="s">
        <v>229</v>
      </c>
      <c r="D65" s="126" t="s">
        <v>197</v>
      </c>
      <c r="E65" s="65" t="s">
        <v>2158</v>
      </c>
      <c r="G65" s="166">
        <v>45127.416666666664</v>
      </c>
      <c r="H65" s="166">
        <v>45127.416666666664</v>
      </c>
      <c r="I65" s="126" t="s">
        <v>231</v>
      </c>
      <c r="J65" s="126" t="s">
        <v>192</v>
      </c>
      <c r="K65" s="126" t="s">
        <v>192</v>
      </c>
      <c r="L65" s="126" t="s">
        <v>2161</v>
      </c>
      <c r="M65" s="167"/>
      <c r="N65" s="126" t="s">
        <v>205</v>
      </c>
      <c r="O65" s="126" t="s">
        <v>206</v>
      </c>
      <c r="P65" s="126" t="s">
        <v>336</v>
      </c>
      <c r="Q65" s="181">
        <f>3015*2.4</f>
        <v>7236</v>
      </c>
      <c r="R65" s="181">
        <f>7250+100</f>
        <v>7350</v>
      </c>
      <c r="S65" s="181">
        <v>7527.2820000000002</v>
      </c>
      <c r="T65" s="181"/>
      <c r="X65" s="181">
        <f>S65*0.35</f>
        <v>2634.5486999999998</v>
      </c>
      <c r="Y65" s="181">
        <f>S65*0.65</f>
        <v>4892.7332999999999</v>
      </c>
      <c r="AX65" s="165">
        <f t="shared" si="18"/>
        <v>45122.538194444445</v>
      </c>
      <c r="AY65" s="165">
        <f t="shared" si="19"/>
        <v>45134.546527777777</v>
      </c>
      <c r="AZ65" s="137">
        <f t="shared" si="20"/>
        <v>12.008333333331393</v>
      </c>
      <c r="BA65" s="165">
        <v>45122.538194444445</v>
      </c>
      <c r="BB65" s="165">
        <v>45125.822916666664</v>
      </c>
      <c r="BC65" s="165">
        <v>45127.25</v>
      </c>
      <c r="BD65" s="165">
        <v>45127.588194444441</v>
      </c>
      <c r="BE65" s="165">
        <v>45127.71875</v>
      </c>
      <c r="BF65" s="165">
        <v>45127.725694444445</v>
      </c>
      <c r="BG65" s="165">
        <v>45127.725694444445</v>
      </c>
      <c r="BH65" s="165">
        <f t="shared" si="31"/>
        <v>45129.434027777781</v>
      </c>
      <c r="BI65" s="165">
        <v>45130.25</v>
      </c>
      <c r="BJ65" s="165">
        <v>45130.416666666664</v>
      </c>
      <c r="BK65" s="165">
        <v>45130.347222222219</v>
      </c>
      <c r="BL65" s="165">
        <v>45131.375</v>
      </c>
      <c r="BM65" s="165">
        <v>45134.041666666664</v>
      </c>
      <c r="BN65" s="165">
        <v>45134.28125</v>
      </c>
      <c r="BO65" s="165">
        <v>45134.326388888891</v>
      </c>
      <c r="BP65" s="165">
        <v>45134.326388888891</v>
      </c>
      <c r="BQ65" s="165">
        <v>45134.546527777777</v>
      </c>
      <c r="BT65" s="136">
        <f t="shared" si="21"/>
        <v>34.250000000058208</v>
      </c>
      <c r="BU65" s="136">
        <f t="shared" si="22"/>
        <v>3.1333333334187046</v>
      </c>
      <c r="BV65" s="136">
        <f t="shared" si="23"/>
        <v>41.000000000058208</v>
      </c>
      <c r="BW65" s="136">
        <f t="shared" si="24"/>
        <v>23.000000000058208</v>
      </c>
      <c r="BX65" s="135">
        <f t="shared" si="25"/>
        <v>5.7500000000582077</v>
      </c>
      <c r="BY65" s="135">
        <f t="shared" si="26"/>
        <v>5.2833333332673647</v>
      </c>
      <c r="BZ65" s="134">
        <f t="shared" si="27"/>
        <v>4.6840277777882875</v>
      </c>
      <c r="CA65" s="134">
        <f t="shared" si="28"/>
        <v>12.008333333331393</v>
      </c>
      <c r="CB65" s="133">
        <f t="shared" si="29"/>
        <v>0.39006476983670041</v>
      </c>
    </row>
    <row r="66" spans="1:80" s="126" customFormat="1">
      <c r="A66" s="192">
        <f t="shared" si="30"/>
        <v>45128.600694444445</v>
      </c>
      <c r="B66" s="126" t="s">
        <v>228</v>
      </c>
      <c r="C66" s="126" t="s">
        <v>229</v>
      </c>
      <c r="D66" s="126" t="s">
        <v>197</v>
      </c>
      <c r="E66" s="65" t="s">
        <v>2158</v>
      </c>
      <c r="G66" s="166">
        <v>45127.416666666664</v>
      </c>
      <c r="H66" s="166">
        <v>45127.416666666664</v>
      </c>
      <c r="I66" s="126" t="s">
        <v>231</v>
      </c>
      <c r="J66" s="126" t="s">
        <v>192</v>
      </c>
      <c r="K66" s="126" t="s">
        <v>192</v>
      </c>
      <c r="L66" s="126" t="s">
        <v>2165</v>
      </c>
      <c r="M66" s="167"/>
      <c r="N66" s="126" t="s">
        <v>226</v>
      </c>
      <c r="O66" s="126" t="s">
        <v>227</v>
      </c>
      <c r="P66" s="126" t="s">
        <v>418</v>
      </c>
      <c r="Q66" s="181">
        <f>3100*2.4</f>
        <v>7440</v>
      </c>
      <c r="R66" s="181">
        <f>7450+100</f>
        <v>7550</v>
      </c>
      <c r="S66" s="181">
        <v>7402.69</v>
      </c>
      <c r="T66" s="181"/>
      <c r="X66" s="181">
        <f>S66*0.6</f>
        <v>4441.6139999999996</v>
      </c>
      <c r="Y66" s="181">
        <f>S66*0.4</f>
        <v>2961.076</v>
      </c>
      <c r="AX66" s="165">
        <f t="shared" si="18"/>
        <v>45124.315972222219</v>
      </c>
      <c r="AY66" s="165">
        <f t="shared" si="19"/>
        <v>45135.361111111109</v>
      </c>
      <c r="AZ66" s="137">
        <f t="shared" si="20"/>
        <v>11.045138888890506</v>
      </c>
      <c r="BA66" s="165">
        <v>45124.315972222219</v>
      </c>
      <c r="BB66" s="165">
        <v>45125.829861111109</v>
      </c>
      <c r="BC66" s="165">
        <v>45127.319444444445</v>
      </c>
      <c r="BD66" s="165">
        <v>45128.600694444445</v>
      </c>
      <c r="BE66" s="165">
        <v>45128.753472222219</v>
      </c>
      <c r="BF66" s="165">
        <v>45128.760416666664</v>
      </c>
      <c r="BG66" s="165">
        <v>45128.760416666664</v>
      </c>
      <c r="BH66" s="165">
        <f t="shared" si="31"/>
        <v>45130.46875</v>
      </c>
      <c r="BI66" s="165">
        <v>45130.25</v>
      </c>
      <c r="BJ66" s="165">
        <v>45130.416666666664</v>
      </c>
      <c r="BK66" s="165">
        <v>45130.434027777781</v>
      </c>
      <c r="BL66" s="165">
        <v>45131.548611111109</v>
      </c>
      <c r="BM66" s="165">
        <v>45134.944444444445</v>
      </c>
      <c r="BN66" s="165">
        <v>45135.09375</v>
      </c>
      <c r="BO66" s="165">
        <v>45135.125</v>
      </c>
      <c r="BP66" s="165">
        <v>45135.125</v>
      </c>
      <c r="BQ66" s="165">
        <v>45135.361111111109</v>
      </c>
      <c r="BT66" s="136">
        <f t="shared" si="21"/>
        <v>35.750000000058208</v>
      </c>
      <c r="BU66" s="136">
        <f t="shared" si="22"/>
        <v>3.6666666665696539</v>
      </c>
      <c r="BV66" s="136">
        <f t="shared" si="23"/>
        <v>41.000000000058208</v>
      </c>
      <c r="BW66" s="136">
        <f t="shared" si="24"/>
        <v>27.166666666686069</v>
      </c>
      <c r="BX66" s="135">
        <f t="shared" si="25"/>
        <v>3.5833333333139308</v>
      </c>
      <c r="BY66" s="135">
        <f t="shared" si="26"/>
        <v>5.6666666666278616</v>
      </c>
      <c r="BZ66" s="134">
        <f t="shared" si="27"/>
        <v>4.8680555555547471</v>
      </c>
      <c r="CA66" s="134">
        <f t="shared" si="28"/>
        <v>11.045138888890506</v>
      </c>
      <c r="CB66" s="133">
        <f t="shared" si="29"/>
        <v>0.44074190506116379</v>
      </c>
    </row>
    <row r="67" spans="1:80" s="126" customFormat="1">
      <c r="A67" s="192">
        <f t="shared" si="30"/>
        <v>45128.810416666667</v>
      </c>
      <c r="B67" s="126" t="s">
        <v>228</v>
      </c>
      <c r="C67" s="126" t="s">
        <v>229</v>
      </c>
      <c r="D67" s="126" t="s">
        <v>197</v>
      </c>
      <c r="E67" s="65" t="s">
        <v>2158</v>
      </c>
      <c r="G67" s="166">
        <v>45127.416666666664</v>
      </c>
      <c r="H67" s="166">
        <v>45127.416666666664</v>
      </c>
      <c r="I67" s="126" t="s">
        <v>231</v>
      </c>
      <c r="J67" s="126" t="s">
        <v>192</v>
      </c>
      <c r="K67" s="126" t="s">
        <v>192</v>
      </c>
      <c r="L67" s="126" t="s">
        <v>2166</v>
      </c>
      <c r="M67" s="167"/>
      <c r="N67" s="126" t="s">
        <v>377</v>
      </c>
      <c r="O67" s="126" t="s">
        <v>378</v>
      </c>
      <c r="P67" s="126" t="s">
        <v>418</v>
      </c>
      <c r="Q67" s="181">
        <f>3271*2.4</f>
        <v>7850.4</v>
      </c>
      <c r="R67" s="181">
        <f>7900+100</f>
        <v>8000</v>
      </c>
      <c r="S67" s="181">
        <v>7845.54</v>
      </c>
      <c r="T67" s="181"/>
      <c r="X67" s="181">
        <f>S67*0.6</f>
        <v>4707.3239999999996</v>
      </c>
      <c r="Y67" s="181">
        <f>S67*0.4</f>
        <v>3138.2160000000003</v>
      </c>
      <c r="AX67" s="165">
        <f t="shared" ref="AX67:AX130" si="32">BA67</f>
        <v>45125.333333333336</v>
      </c>
      <c r="AY67" s="165">
        <f t="shared" ref="AY67:AY130" si="33">BQ67</f>
        <v>45136.090277777781</v>
      </c>
      <c r="AZ67" s="137">
        <f t="shared" ref="AZ67:AZ130" si="34">AY67-AX67</f>
        <v>10.756944444445253</v>
      </c>
      <c r="BA67" s="165">
        <v>45125.333333333336</v>
      </c>
      <c r="BB67" s="165">
        <v>45125.767361111109</v>
      </c>
      <c r="BC67" s="165">
        <v>45127.416666666664</v>
      </c>
      <c r="BD67" s="165">
        <v>45128.810416666667</v>
      </c>
      <c r="BE67" s="165">
        <v>45128.951388888891</v>
      </c>
      <c r="BF67" s="165">
        <v>45128.958333333336</v>
      </c>
      <c r="BG67" s="165">
        <v>45128.958333333336</v>
      </c>
      <c r="BH67" s="165">
        <f t="shared" si="31"/>
        <v>45130.666666666672</v>
      </c>
      <c r="BI67" s="165">
        <v>45131.25</v>
      </c>
      <c r="BJ67" s="165">
        <v>45131.416666666664</v>
      </c>
      <c r="BK67" s="165">
        <v>45131.295138888891</v>
      </c>
      <c r="BL67" s="165">
        <v>45132.458333333336</v>
      </c>
      <c r="BM67" s="165">
        <v>45135.166666666664</v>
      </c>
      <c r="BN67" s="165">
        <v>45135.513888888891</v>
      </c>
      <c r="BO67" s="165">
        <v>45135.555555555555</v>
      </c>
      <c r="BP67" s="165">
        <v>45135.847222222219</v>
      </c>
      <c r="BQ67" s="165">
        <v>45136.090277777781</v>
      </c>
      <c r="BT67" s="136">
        <f t="shared" si="21"/>
        <v>39.583333333313931</v>
      </c>
      <c r="BU67" s="136">
        <f t="shared" si="22"/>
        <v>3.3833333333604969</v>
      </c>
      <c r="BV67" s="136">
        <f t="shared" si="23"/>
        <v>41.000000000058208</v>
      </c>
      <c r="BW67" s="136">
        <f t="shared" si="24"/>
        <v>25.000000000116415</v>
      </c>
      <c r="BX67" s="135">
        <f t="shared" si="25"/>
        <v>8.3333333334303461</v>
      </c>
      <c r="BY67" s="135">
        <f t="shared" si="26"/>
        <v>5.8333333334885538</v>
      </c>
      <c r="BZ67" s="134">
        <f t="shared" si="27"/>
        <v>5.1305555555736646</v>
      </c>
      <c r="CA67" s="134">
        <f t="shared" si="28"/>
        <v>10.756944444445253</v>
      </c>
      <c r="CB67" s="133">
        <f t="shared" si="29"/>
        <v>0.47695287282282256</v>
      </c>
    </row>
    <row r="68" spans="1:80" s="126" customFormat="1">
      <c r="A68" s="192">
        <f t="shared" si="30"/>
        <v>45129.815972222219</v>
      </c>
      <c r="B68" s="126" t="s">
        <v>228</v>
      </c>
      <c r="C68" s="126" t="s">
        <v>229</v>
      </c>
      <c r="D68" s="126" t="s">
        <v>197</v>
      </c>
      <c r="E68" s="65" t="s">
        <v>2158</v>
      </c>
      <c r="G68" s="166">
        <v>45127.416666666664</v>
      </c>
      <c r="H68" s="166">
        <v>45127.416666666664</v>
      </c>
      <c r="I68" s="126" t="s">
        <v>231</v>
      </c>
      <c r="J68" s="126" t="s">
        <v>192</v>
      </c>
      <c r="K68" s="126" t="s">
        <v>192</v>
      </c>
      <c r="L68" s="126" t="s">
        <v>2170</v>
      </c>
      <c r="M68" s="167"/>
      <c r="N68" s="126" t="s">
        <v>380</v>
      </c>
      <c r="O68" s="126" t="s">
        <v>381</v>
      </c>
      <c r="P68" s="126" t="s">
        <v>418</v>
      </c>
      <c r="Q68" s="181">
        <f>3271*2.4</f>
        <v>7850.4</v>
      </c>
      <c r="R68" s="181">
        <f>7900+100</f>
        <v>8000</v>
      </c>
      <c r="S68" s="181">
        <f>7876.429-932.858</f>
        <v>6943.5709999999999</v>
      </c>
      <c r="T68" s="181"/>
      <c r="X68" s="181">
        <f>S68*0.6</f>
        <v>4166.1426000000001</v>
      </c>
      <c r="Y68" s="181">
        <f>S68*0.4</f>
        <v>2777.4284000000002</v>
      </c>
      <c r="AX68" s="165">
        <f t="shared" si="32"/>
        <v>45124.96875</v>
      </c>
      <c r="AY68" s="165">
        <f t="shared" si="33"/>
        <v>45135.958333333336</v>
      </c>
      <c r="AZ68" s="137">
        <f t="shared" si="34"/>
        <v>10.989583333335759</v>
      </c>
      <c r="BA68" s="165">
        <v>45124.96875</v>
      </c>
      <c r="BB68" s="165">
        <v>45126.573611111111</v>
      </c>
      <c r="BC68" s="165">
        <v>45128.305555555555</v>
      </c>
      <c r="BD68" s="165">
        <v>45129.815972222219</v>
      </c>
      <c r="BE68" s="165">
        <v>45129.991666666669</v>
      </c>
      <c r="BF68" s="165">
        <v>45129.996527777781</v>
      </c>
      <c r="BG68" s="165">
        <v>45129.996527777781</v>
      </c>
      <c r="BH68" s="165">
        <f t="shared" si="31"/>
        <v>45131.704861111117</v>
      </c>
      <c r="BI68" s="165">
        <v>45132.25</v>
      </c>
      <c r="BJ68" s="165">
        <v>45132.416666666664</v>
      </c>
      <c r="BK68" s="165">
        <v>45132.354166666664</v>
      </c>
      <c r="BL68" s="165">
        <v>45133.625</v>
      </c>
      <c r="BM68" s="165">
        <v>45135.607638888891</v>
      </c>
      <c r="BN68" s="165">
        <v>45135.916666666664</v>
      </c>
      <c r="BO68" s="165">
        <v>45135.958333333336</v>
      </c>
      <c r="BP68" s="165">
        <v>45135.958333333336</v>
      </c>
      <c r="BQ68" s="165">
        <v>45135.958333333336</v>
      </c>
      <c r="BT68" s="136">
        <f t="shared" si="21"/>
        <v>41.566666666651145</v>
      </c>
      <c r="BU68" s="136">
        <f t="shared" si="22"/>
        <v>4.216666666790843</v>
      </c>
      <c r="BV68" s="136">
        <f t="shared" si="23"/>
        <v>41.000000000058208</v>
      </c>
      <c r="BW68" s="136">
        <f t="shared" si="24"/>
        <v>29.000000000058208</v>
      </c>
      <c r="BX68" s="135">
        <f t="shared" si="25"/>
        <v>7.4166666665696539</v>
      </c>
      <c r="BY68" s="135">
        <f t="shared" si="26"/>
        <v>0</v>
      </c>
      <c r="BZ68" s="134">
        <f t="shared" si="27"/>
        <v>5.133333333338669</v>
      </c>
      <c r="CA68" s="134">
        <f t="shared" si="28"/>
        <v>10.989583333335759</v>
      </c>
      <c r="CB68" s="133">
        <f t="shared" si="29"/>
        <v>0.46710900473971895</v>
      </c>
    </row>
    <row r="69" spans="1:80" s="126" customFormat="1">
      <c r="A69" s="192">
        <f t="shared" si="30"/>
        <v>45129.815972222219</v>
      </c>
      <c r="B69" s="126" t="s">
        <v>228</v>
      </c>
      <c r="C69" s="126" t="s">
        <v>229</v>
      </c>
      <c r="D69" s="126" t="s">
        <v>197</v>
      </c>
      <c r="E69" s="65" t="s">
        <v>2211</v>
      </c>
      <c r="G69" s="315">
        <v>45129.083333333336</v>
      </c>
      <c r="H69" s="315">
        <v>45129.125</v>
      </c>
      <c r="I69" s="126" t="s">
        <v>231</v>
      </c>
      <c r="J69" s="126" t="s">
        <v>192</v>
      </c>
      <c r="K69" s="126" t="s">
        <v>192</v>
      </c>
      <c r="L69" s="126" t="s">
        <v>2170</v>
      </c>
      <c r="M69" s="167"/>
      <c r="N69" s="126" t="s">
        <v>380</v>
      </c>
      <c r="O69" s="126" t="s">
        <v>381</v>
      </c>
      <c r="P69" s="126" t="s">
        <v>418</v>
      </c>
      <c r="Q69" s="181">
        <f>3271*2.4</f>
        <v>7850.4</v>
      </c>
      <c r="R69" s="181">
        <f>7900+100</f>
        <v>8000</v>
      </c>
      <c r="S69" s="181">
        <v>928.23500000000001</v>
      </c>
      <c r="T69" s="181"/>
      <c r="X69" s="181">
        <f>S69*0.6</f>
        <v>556.94100000000003</v>
      </c>
      <c r="Y69" s="181">
        <f>S69*0.4</f>
        <v>371.29400000000004</v>
      </c>
      <c r="AX69" s="165">
        <f t="shared" si="32"/>
        <v>45124.96875</v>
      </c>
      <c r="AY69" s="165">
        <f t="shared" si="33"/>
        <v>45141.933333333334</v>
      </c>
      <c r="AZ69" s="137">
        <f t="shared" si="34"/>
        <v>16.964583333334303</v>
      </c>
      <c r="BA69" s="165">
        <v>45124.96875</v>
      </c>
      <c r="BB69" s="165">
        <v>45126.573611111111</v>
      </c>
      <c r="BC69" s="165">
        <v>45128.305555555555</v>
      </c>
      <c r="BD69" s="165">
        <v>45129.815972222219</v>
      </c>
      <c r="BE69" s="165">
        <v>45129.991666666669</v>
      </c>
      <c r="BF69" s="165">
        <v>45129.996527777781</v>
      </c>
      <c r="BG69" s="165">
        <v>45129.996527777781</v>
      </c>
      <c r="BH69" s="165">
        <f t="shared" si="31"/>
        <v>45131.704861111117</v>
      </c>
      <c r="BI69" s="165">
        <v>45132.25</v>
      </c>
      <c r="BJ69" s="165">
        <v>45132.416666666664</v>
      </c>
      <c r="BK69" s="165">
        <v>45132.354166666664</v>
      </c>
      <c r="BL69" s="165">
        <v>45135.958333333336</v>
      </c>
      <c r="BM69" s="165">
        <v>45141.513888888891</v>
      </c>
      <c r="BN69" s="165">
        <v>45141.5625</v>
      </c>
      <c r="BO69" s="165">
        <v>45141.583333333336</v>
      </c>
      <c r="BP69" s="165">
        <v>45141.6875</v>
      </c>
      <c r="BQ69" s="165">
        <v>45141.933333333334</v>
      </c>
      <c r="BT69" s="136">
        <f t="shared" si="21"/>
        <v>41.566666666651145</v>
      </c>
      <c r="BU69" s="136">
        <f t="shared" si="22"/>
        <v>4.216666666790843</v>
      </c>
      <c r="BV69" s="136">
        <f t="shared" si="23"/>
        <v>41.000000000058208</v>
      </c>
      <c r="BW69" s="136">
        <f t="shared" si="24"/>
        <v>85.000000000116415</v>
      </c>
      <c r="BX69" s="135">
        <f t="shared" si="25"/>
        <v>1.1666666666278616</v>
      </c>
      <c r="BY69" s="135">
        <f t="shared" si="26"/>
        <v>5.9000000000232831</v>
      </c>
      <c r="BZ69" s="134">
        <f t="shared" si="27"/>
        <v>7.4520833333444898</v>
      </c>
      <c r="CA69" s="134">
        <f t="shared" si="28"/>
        <v>16.964583333334303</v>
      </c>
      <c r="CB69" s="133">
        <f t="shared" si="29"/>
        <v>0.43927299521124286</v>
      </c>
    </row>
    <row r="70" spans="1:80" s="126" customFormat="1">
      <c r="A70" s="192">
        <f t="shared" si="30"/>
        <v>45130.395833333336</v>
      </c>
      <c r="B70" s="126" t="s">
        <v>228</v>
      </c>
      <c r="C70" s="126" t="s">
        <v>229</v>
      </c>
      <c r="D70" s="126" t="s">
        <v>197</v>
      </c>
      <c r="E70" s="65" t="s">
        <v>2615</v>
      </c>
      <c r="G70" s="165">
        <v>45132.5</v>
      </c>
      <c r="H70" s="165">
        <v>45132.5</v>
      </c>
      <c r="I70" s="126" t="s">
        <v>243</v>
      </c>
      <c r="J70" s="126" t="s">
        <v>192</v>
      </c>
      <c r="K70" s="126" t="s">
        <v>192</v>
      </c>
      <c r="L70" s="126" t="s">
        <v>2616</v>
      </c>
      <c r="M70" s="167"/>
      <c r="N70" s="126" t="s">
        <v>383</v>
      </c>
      <c r="O70" s="126" t="s">
        <v>384</v>
      </c>
      <c r="P70" s="126" t="s">
        <v>235</v>
      </c>
      <c r="Q70" s="181">
        <f>2205*2.4</f>
        <v>5292</v>
      </c>
      <c r="R70" s="181">
        <f>5300+100</f>
        <v>5400</v>
      </c>
      <c r="S70" s="181">
        <v>5218.4660000000003</v>
      </c>
      <c r="T70" s="181"/>
      <c r="X70" s="181">
        <f>S70</f>
        <v>5218.4660000000003</v>
      </c>
      <c r="AX70" s="165">
        <f t="shared" si="32"/>
        <v>45124.302083333336</v>
      </c>
      <c r="AY70" s="165">
        <f t="shared" si="33"/>
        <v>45136.201388888891</v>
      </c>
      <c r="AZ70" s="137">
        <f t="shared" si="34"/>
        <v>11.899305555554747</v>
      </c>
      <c r="BA70" s="165">
        <v>45124.302083333336</v>
      </c>
      <c r="BB70" s="165">
        <v>45126.590277777781</v>
      </c>
      <c r="BC70" s="165">
        <v>45128.3125</v>
      </c>
      <c r="BD70" s="165">
        <v>45130.395833333336</v>
      </c>
      <c r="BE70" s="165">
        <v>45130.5</v>
      </c>
      <c r="BF70" s="165">
        <v>45130.506944444445</v>
      </c>
      <c r="BG70" s="165">
        <v>45130.506944444445</v>
      </c>
      <c r="BH70" s="165">
        <f t="shared" si="31"/>
        <v>45132.215277777781</v>
      </c>
      <c r="BI70" s="165">
        <v>45132.25</v>
      </c>
      <c r="BJ70" s="165">
        <v>45132.416666666664</v>
      </c>
      <c r="BK70" s="165">
        <v>45132.284722222219</v>
      </c>
      <c r="BL70" s="165">
        <v>45133.861111111109</v>
      </c>
      <c r="BM70" s="165">
        <v>45136.03125</v>
      </c>
      <c r="BN70" s="165">
        <v>45136.201388888891</v>
      </c>
      <c r="BO70" s="165">
        <v>45136.201388888891</v>
      </c>
      <c r="BP70" s="165">
        <v>45136.201388888891</v>
      </c>
      <c r="BQ70" s="165">
        <v>45136.201388888891</v>
      </c>
      <c r="BR70" s="126" t="s">
        <v>2617</v>
      </c>
      <c r="BT70" s="136">
        <f t="shared" si="21"/>
        <v>41.333333333255723</v>
      </c>
      <c r="BU70" s="136">
        <f t="shared" si="22"/>
        <v>2.4999999999417923</v>
      </c>
      <c r="BV70" s="136">
        <f t="shared" si="23"/>
        <v>41.000000000058208</v>
      </c>
      <c r="BW70" s="136">
        <f t="shared" si="24"/>
        <v>34.666666666686069</v>
      </c>
      <c r="BX70" s="135">
        <f t="shared" si="25"/>
        <v>4.0833333333721384</v>
      </c>
      <c r="BY70" s="135">
        <f t="shared" si="26"/>
        <v>0</v>
      </c>
      <c r="BZ70" s="134">
        <f t="shared" si="27"/>
        <v>5.1493055555547471</v>
      </c>
      <c r="CA70" s="134">
        <f t="shared" si="28"/>
        <v>11.899305555554747</v>
      </c>
      <c r="CB70" s="133">
        <f t="shared" si="29"/>
        <v>0.43274000583596961</v>
      </c>
    </row>
    <row r="71" spans="1:80" s="126" customFormat="1">
      <c r="A71" s="192">
        <f t="shared" si="30"/>
        <v>45130.527777777781</v>
      </c>
      <c r="B71" s="126" t="s">
        <v>228</v>
      </c>
      <c r="C71" s="126" t="s">
        <v>229</v>
      </c>
      <c r="D71" s="126" t="s">
        <v>197</v>
      </c>
      <c r="E71" s="65" t="s">
        <v>2615</v>
      </c>
      <c r="G71" s="165">
        <v>45132.5</v>
      </c>
      <c r="H71" s="165">
        <v>45132.5</v>
      </c>
      <c r="I71" s="126" t="s">
        <v>243</v>
      </c>
      <c r="J71" s="126" t="s">
        <v>192</v>
      </c>
      <c r="K71" s="126" t="s">
        <v>192</v>
      </c>
      <c r="L71" s="126" t="s">
        <v>2618</v>
      </c>
      <c r="M71" s="167"/>
      <c r="N71" s="126" t="s">
        <v>367</v>
      </c>
      <c r="O71" s="126" t="s">
        <v>368</v>
      </c>
      <c r="P71" s="126" t="s">
        <v>235</v>
      </c>
      <c r="Q71" s="181">
        <f>4111*2.4</f>
        <v>9866.4</v>
      </c>
      <c r="R71" s="181">
        <f>9900+100</f>
        <v>10000</v>
      </c>
      <c r="S71" s="181">
        <v>10003.101000000001</v>
      </c>
      <c r="T71" s="181"/>
      <c r="X71" s="181">
        <f>S71</f>
        <v>10003.101000000001</v>
      </c>
      <c r="AX71" s="165">
        <f t="shared" si="32"/>
        <v>45125.875</v>
      </c>
      <c r="AY71" s="165">
        <f t="shared" si="33"/>
        <v>45137.715277777781</v>
      </c>
      <c r="AZ71" s="137">
        <f t="shared" si="34"/>
        <v>11.840277777781012</v>
      </c>
      <c r="BA71" s="165">
        <v>45125.875</v>
      </c>
      <c r="BB71" s="165">
        <v>45126.8125</v>
      </c>
      <c r="BC71" s="165">
        <v>45128.409722222219</v>
      </c>
      <c r="BD71" s="165">
        <v>45130.527777777781</v>
      </c>
      <c r="BE71" s="165">
        <v>45130.729166666664</v>
      </c>
      <c r="BF71" s="165">
        <v>45130.739583333336</v>
      </c>
      <c r="BG71" s="165">
        <v>45130.739583333336</v>
      </c>
      <c r="BH71" s="165">
        <f t="shared" si="31"/>
        <v>45132.447916666672</v>
      </c>
      <c r="BI71" s="165">
        <v>45133.25</v>
      </c>
      <c r="BJ71" s="165">
        <v>45133.416666666664</v>
      </c>
      <c r="BK71" s="165">
        <v>45133.4375</v>
      </c>
      <c r="BL71" s="165">
        <v>45135.704861111109</v>
      </c>
      <c r="BM71" s="165">
        <v>45136.743055555555</v>
      </c>
      <c r="BN71" s="165">
        <v>45137.125</v>
      </c>
      <c r="BO71" s="165">
        <v>45137.142361111109</v>
      </c>
      <c r="BP71" s="165">
        <v>45137.145833333336</v>
      </c>
      <c r="BQ71" s="165">
        <v>45137.715277777781</v>
      </c>
      <c r="BT71" s="136">
        <f t="shared" si="21"/>
        <v>38.333333333255723</v>
      </c>
      <c r="BU71" s="136">
        <f t="shared" si="22"/>
        <v>4.8333333331975155</v>
      </c>
      <c r="BV71" s="136">
        <f t="shared" si="23"/>
        <v>41.000000000058208</v>
      </c>
      <c r="BW71" s="136">
        <f t="shared" si="24"/>
        <v>54.916666666686069</v>
      </c>
      <c r="BX71" s="135">
        <f t="shared" si="25"/>
        <v>9.1666666666860692</v>
      </c>
      <c r="BY71" s="135">
        <f t="shared" si="26"/>
        <v>13.666666666686069</v>
      </c>
      <c r="BZ71" s="134">
        <f t="shared" si="27"/>
        <v>6.7465277777737356</v>
      </c>
      <c r="CA71" s="134">
        <f t="shared" si="28"/>
        <v>11.840277777781012</v>
      </c>
      <c r="CB71" s="133">
        <f t="shared" si="29"/>
        <v>0.56979472140712761</v>
      </c>
    </row>
    <row r="72" spans="1:80" s="126" customFormat="1">
      <c r="A72" s="192">
        <f t="shared" si="30"/>
        <v>45129.333333333336</v>
      </c>
      <c r="B72" s="126" t="s">
        <v>228</v>
      </c>
      <c r="C72" s="126" t="s">
        <v>229</v>
      </c>
      <c r="D72" s="126" t="s">
        <v>215</v>
      </c>
      <c r="E72" s="65" t="s">
        <v>2199</v>
      </c>
      <c r="F72" s="65" t="s">
        <v>2189</v>
      </c>
      <c r="G72" s="165">
        <v>45131.375</v>
      </c>
      <c r="H72" s="165">
        <v>45131.3</v>
      </c>
      <c r="I72" s="126" t="s">
        <v>243</v>
      </c>
      <c r="J72" s="126" t="s">
        <v>192</v>
      </c>
      <c r="K72" s="126" t="s">
        <v>192</v>
      </c>
      <c r="L72" s="126" t="s">
        <v>2203</v>
      </c>
      <c r="M72" s="167"/>
      <c r="N72" s="126" t="s">
        <v>403</v>
      </c>
      <c r="O72" s="126" t="s">
        <v>404</v>
      </c>
      <c r="P72" s="126" t="s">
        <v>240</v>
      </c>
      <c r="Q72" s="181">
        <f>3107*2.4</f>
        <v>7456.7999999999993</v>
      </c>
      <c r="R72" s="181">
        <f>7500+100</f>
        <v>7600</v>
      </c>
      <c r="S72" s="181">
        <v>7401.3119999999999</v>
      </c>
      <c r="T72" s="181"/>
      <c r="Y72" s="181">
        <f>S72</f>
        <v>7401.3119999999999</v>
      </c>
      <c r="AX72" s="165">
        <f t="shared" si="32"/>
        <v>45125.888888888891</v>
      </c>
      <c r="AY72" s="165">
        <f t="shared" si="33"/>
        <v>45134.840277777781</v>
      </c>
      <c r="AZ72" s="137">
        <f t="shared" si="34"/>
        <v>8.9513888888905058</v>
      </c>
      <c r="BA72" s="165">
        <v>45125.888888888891</v>
      </c>
      <c r="BB72" s="165">
        <v>45126.770833333336</v>
      </c>
      <c r="BC72" s="165">
        <v>45128.368055555555</v>
      </c>
      <c r="BD72" s="165">
        <v>45129.333333333336</v>
      </c>
      <c r="BE72" s="165">
        <v>45129.472222222219</v>
      </c>
      <c r="BF72" s="165">
        <v>45129.479166666664</v>
      </c>
      <c r="BG72" s="165">
        <v>45129.479166666664</v>
      </c>
      <c r="BH72" s="165">
        <f t="shared" si="31"/>
        <v>45131.1875</v>
      </c>
      <c r="BI72" s="165">
        <v>45131.25</v>
      </c>
      <c r="BJ72" s="165">
        <v>45131.416666666664</v>
      </c>
      <c r="BK72" s="165">
        <v>45131.277777777781</v>
      </c>
      <c r="BL72" s="165">
        <v>45133.121527777781</v>
      </c>
      <c r="BM72" s="165">
        <v>45133.600694444445</v>
      </c>
      <c r="BN72" s="165">
        <v>45134.267361111109</v>
      </c>
      <c r="BO72" s="165">
        <v>45134.302083333336</v>
      </c>
      <c r="BP72" s="165">
        <v>45134.302083333336</v>
      </c>
      <c r="BQ72" s="165">
        <v>45134.840277777781</v>
      </c>
      <c r="BT72" s="136">
        <f t="shared" si="21"/>
        <v>38.333333333255723</v>
      </c>
      <c r="BU72" s="136">
        <f t="shared" si="22"/>
        <v>3.3333333331975155</v>
      </c>
      <c r="BV72" s="136">
        <f t="shared" si="23"/>
        <v>41.000000000058208</v>
      </c>
      <c r="BW72" s="136">
        <f t="shared" si="24"/>
        <v>40.916666666802485</v>
      </c>
      <c r="BX72" s="135">
        <f t="shared" si="25"/>
        <v>15.999999999941792</v>
      </c>
      <c r="BY72" s="135">
        <f t="shared" si="26"/>
        <v>12.916666666686069</v>
      </c>
      <c r="BZ72" s="134">
        <f t="shared" si="27"/>
        <v>6.3541666666642413</v>
      </c>
      <c r="CA72" s="134">
        <f t="shared" si="28"/>
        <v>8.9513888888905058</v>
      </c>
      <c r="CB72" s="133">
        <f t="shared" si="29"/>
        <v>0.70985259891348762</v>
      </c>
    </row>
    <row r="73" spans="1:80" s="126" customFormat="1">
      <c r="A73" s="192">
        <f t="shared" si="30"/>
        <v>45130.760416666664</v>
      </c>
      <c r="B73" s="126" t="s">
        <v>228</v>
      </c>
      <c r="C73" s="126" t="s">
        <v>229</v>
      </c>
      <c r="D73" s="126" t="s">
        <v>197</v>
      </c>
      <c r="E73" s="65" t="s">
        <v>2199</v>
      </c>
      <c r="F73" s="65" t="s">
        <v>2189</v>
      </c>
      <c r="G73" s="165">
        <v>45131.375</v>
      </c>
      <c r="H73" s="165">
        <v>45131.3</v>
      </c>
      <c r="I73" s="126" t="s">
        <v>243</v>
      </c>
      <c r="J73" s="126" t="s">
        <v>192</v>
      </c>
      <c r="K73" s="126" t="s">
        <v>192</v>
      </c>
      <c r="L73" s="126" t="s">
        <v>2204</v>
      </c>
      <c r="M73" s="167"/>
      <c r="N73" s="126" t="s">
        <v>1240</v>
      </c>
      <c r="O73" s="126" t="s">
        <v>1241</v>
      </c>
      <c r="P73" s="126" t="s">
        <v>235</v>
      </c>
      <c r="Q73" s="181">
        <f>3243*2.4</f>
        <v>7783.2</v>
      </c>
      <c r="R73" s="181">
        <f>7800+100</f>
        <v>7900</v>
      </c>
      <c r="S73" s="181">
        <v>7723.3410000000003</v>
      </c>
      <c r="T73" s="181"/>
      <c r="X73" s="181">
        <f>S73</f>
        <v>7723.3410000000003</v>
      </c>
      <c r="AX73" s="165">
        <f t="shared" si="32"/>
        <v>45126.375</v>
      </c>
      <c r="AY73" s="165">
        <f t="shared" si="33"/>
        <v>45138.295138888891</v>
      </c>
      <c r="AZ73" s="137">
        <f t="shared" si="34"/>
        <v>11.920138888890506</v>
      </c>
      <c r="BA73" s="165">
        <f>$AY$29</f>
        <v>45126.375</v>
      </c>
      <c r="BB73" s="165">
        <v>45126.838194444441</v>
      </c>
      <c r="BC73" s="165">
        <v>45128.375</v>
      </c>
      <c r="BD73" s="165">
        <v>45130.760416666664</v>
      </c>
      <c r="BE73" s="165">
        <v>45130.958333333336</v>
      </c>
      <c r="BF73" s="165">
        <v>45130.961805555555</v>
      </c>
      <c r="BG73" s="165">
        <v>45130.961805555555</v>
      </c>
      <c r="BH73" s="165">
        <f t="shared" si="31"/>
        <v>45132.670138888891</v>
      </c>
      <c r="BI73" s="165">
        <v>45133.25</v>
      </c>
      <c r="BJ73" s="165">
        <v>45133.416666666664</v>
      </c>
      <c r="BK73" s="165">
        <v>45133.329861111109</v>
      </c>
      <c r="BL73" s="165">
        <v>45134.979166666664</v>
      </c>
      <c r="BM73" s="165">
        <v>45138.065972222219</v>
      </c>
      <c r="BN73" s="165">
        <v>45138.253472222219</v>
      </c>
      <c r="BO73" s="165">
        <v>45138.274305555555</v>
      </c>
      <c r="BP73" s="165">
        <v>45138.295138888891</v>
      </c>
      <c r="BQ73" s="165">
        <v>45138.295138888891</v>
      </c>
      <c r="BT73" s="136">
        <f t="shared" si="21"/>
        <v>36.883333333418705</v>
      </c>
      <c r="BU73" s="136">
        <f t="shared" si="22"/>
        <v>4.7500000001164153</v>
      </c>
      <c r="BV73" s="136">
        <f t="shared" si="23"/>
        <v>41.000000000058208</v>
      </c>
      <c r="BW73" s="136">
        <f t="shared" si="24"/>
        <v>37.5</v>
      </c>
      <c r="BX73" s="135">
        <f t="shared" si="25"/>
        <v>4.5</v>
      </c>
      <c r="BY73" s="135">
        <f t="shared" si="26"/>
        <v>0</v>
      </c>
      <c r="BZ73" s="134">
        <f t="shared" si="27"/>
        <v>5.1930555555663886</v>
      </c>
      <c r="CA73" s="134">
        <f t="shared" si="28"/>
        <v>11.920138888890506</v>
      </c>
      <c r="CB73" s="133">
        <f t="shared" si="29"/>
        <v>0.43565394698599391</v>
      </c>
    </row>
    <row r="74" spans="1:80" s="126" customFormat="1">
      <c r="A74" s="192">
        <f t="shared" si="30"/>
        <v>45131.440972222219</v>
      </c>
      <c r="B74" s="126" t="s">
        <v>228</v>
      </c>
      <c r="C74" s="126" t="s">
        <v>229</v>
      </c>
      <c r="D74" s="126" t="s">
        <v>197</v>
      </c>
      <c r="E74" s="65" t="s">
        <v>2199</v>
      </c>
      <c r="F74" s="65" t="s">
        <v>2189</v>
      </c>
      <c r="G74" s="165">
        <v>45131.375</v>
      </c>
      <c r="H74" s="165">
        <v>45131.3</v>
      </c>
      <c r="I74" s="126" t="s">
        <v>243</v>
      </c>
      <c r="J74" s="126" t="s">
        <v>192</v>
      </c>
      <c r="K74" s="126" t="s">
        <v>192</v>
      </c>
      <c r="L74" s="126" t="s">
        <v>2206</v>
      </c>
      <c r="M74" s="167"/>
      <c r="N74" s="126" t="s">
        <v>2207</v>
      </c>
      <c r="O74" s="126" t="s">
        <v>2208</v>
      </c>
      <c r="P74" s="126" t="s">
        <v>235</v>
      </c>
      <c r="Q74" s="181">
        <f>3031*2.4</f>
        <v>7274.4</v>
      </c>
      <c r="R74" s="181">
        <f>7300+100</f>
        <v>7400</v>
      </c>
      <c r="S74" s="181">
        <v>7201.6629999999996</v>
      </c>
      <c r="T74" s="181"/>
      <c r="X74" s="181">
        <f>S74</f>
        <v>7201.6629999999996</v>
      </c>
      <c r="AX74" s="165">
        <f t="shared" si="32"/>
        <v>45125.722222222219</v>
      </c>
      <c r="AY74" s="165">
        <f t="shared" si="33"/>
        <v>45139.645833333336</v>
      </c>
      <c r="AZ74" s="137">
        <f t="shared" si="34"/>
        <v>13.92361111111677</v>
      </c>
      <c r="BA74" s="165">
        <v>45125.722222222219</v>
      </c>
      <c r="BB74" s="165">
        <v>45126.888888888891</v>
      </c>
      <c r="BC74" s="165">
        <v>45128.402777777781</v>
      </c>
      <c r="BD74" s="165">
        <v>45131.440972222219</v>
      </c>
      <c r="BE74" s="165">
        <v>45131.635416666664</v>
      </c>
      <c r="BF74" s="165">
        <v>45131.649305555555</v>
      </c>
      <c r="BG74" s="165">
        <v>45131.649305555555</v>
      </c>
      <c r="BH74" s="165">
        <f t="shared" si="31"/>
        <v>45133.357638888891</v>
      </c>
      <c r="BI74" s="165">
        <v>45133.25</v>
      </c>
      <c r="BJ74" s="165">
        <v>45133.416666666664</v>
      </c>
      <c r="BK74" s="165">
        <v>45133.552083333336</v>
      </c>
      <c r="BL74" s="165">
        <v>45135.381944444445</v>
      </c>
      <c r="BM74" s="165">
        <v>45138.84375</v>
      </c>
      <c r="BN74" s="165">
        <v>45139.09375</v>
      </c>
      <c r="BO74" s="165">
        <v>45139.111111111109</v>
      </c>
      <c r="BP74" s="165">
        <v>45139.114583333336</v>
      </c>
      <c r="BQ74" s="165">
        <v>45139.645833333336</v>
      </c>
      <c r="BR74" s="126" t="s">
        <v>2619</v>
      </c>
      <c r="BT74" s="136">
        <f t="shared" si="21"/>
        <v>36.333333333372138</v>
      </c>
      <c r="BU74" s="136">
        <f t="shared" si="22"/>
        <v>4.6666666666860692</v>
      </c>
      <c r="BV74" s="136">
        <f t="shared" si="23"/>
        <v>41.000000000058208</v>
      </c>
      <c r="BW74" s="136">
        <f t="shared" si="24"/>
        <v>47.166666666744277</v>
      </c>
      <c r="BX74" s="135">
        <f t="shared" si="25"/>
        <v>6</v>
      </c>
      <c r="BY74" s="135">
        <f t="shared" si="26"/>
        <v>12.75</v>
      </c>
      <c r="BZ74" s="134">
        <f t="shared" si="27"/>
        <v>6.1631944444525288</v>
      </c>
      <c r="CA74" s="134">
        <f t="shared" si="28"/>
        <v>13.92361111111677</v>
      </c>
      <c r="CB74" s="133">
        <f t="shared" si="29"/>
        <v>0.44264339152159771</v>
      </c>
    </row>
    <row r="75" spans="1:80" s="126" customFormat="1">
      <c r="A75" s="192">
        <f t="shared" si="30"/>
        <v>45130.977083333331</v>
      </c>
      <c r="B75" s="126" t="s">
        <v>228</v>
      </c>
      <c r="C75" s="126" t="s">
        <v>229</v>
      </c>
      <c r="D75" s="126" t="s">
        <v>197</v>
      </c>
      <c r="E75" s="65" t="s">
        <v>2199</v>
      </c>
      <c r="F75" s="65" t="s">
        <v>2189</v>
      </c>
      <c r="G75" s="165">
        <v>45131.375</v>
      </c>
      <c r="H75" s="165">
        <v>45131.3</v>
      </c>
      <c r="I75" s="126" t="s">
        <v>243</v>
      </c>
      <c r="J75" s="126" t="s">
        <v>192</v>
      </c>
      <c r="K75" s="126" t="s">
        <v>192</v>
      </c>
      <c r="L75" s="126" t="s">
        <v>2209</v>
      </c>
      <c r="M75" s="167"/>
      <c r="N75" s="126" t="s">
        <v>2210</v>
      </c>
      <c r="O75" s="126" t="s">
        <v>324</v>
      </c>
      <c r="P75" s="126" t="s">
        <v>240</v>
      </c>
      <c r="Q75" s="181">
        <f>3095*2.4</f>
        <v>7428</v>
      </c>
      <c r="R75" s="181">
        <f>7450+100</f>
        <v>7550</v>
      </c>
      <c r="S75" s="181">
        <v>7504.3990000000003</v>
      </c>
      <c r="T75" s="181"/>
      <c r="Y75" s="181">
        <f>S75</f>
        <v>7504.3990000000003</v>
      </c>
      <c r="AX75" s="165">
        <f t="shared" si="32"/>
        <v>45125.416666666664</v>
      </c>
      <c r="AY75" s="165">
        <f t="shared" si="33"/>
        <v>45140.368055555555</v>
      </c>
      <c r="AZ75" s="137">
        <f t="shared" si="34"/>
        <v>14.951388888890506</v>
      </c>
      <c r="BA75" s="165">
        <v>45125.416666666664</v>
      </c>
      <c r="BB75" s="165">
        <v>45126.548611111109</v>
      </c>
      <c r="BC75" s="165">
        <v>45128.659722222219</v>
      </c>
      <c r="BD75" s="165">
        <v>45130.977083333331</v>
      </c>
      <c r="BE75" s="165">
        <v>45131.111111111109</v>
      </c>
      <c r="BF75" s="165">
        <v>45131.125</v>
      </c>
      <c r="BG75" s="165">
        <v>45131.263888888891</v>
      </c>
      <c r="BH75" s="165">
        <f t="shared" si="31"/>
        <v>45132.972222222226</v>
      </c>
      <c r="BI75" s="165">
        <v>45133.25</v>
      </c>
      <c r="BJ75" s="165">
        <v>45133.416666666664</v>
      </c>
      <c r="BK75" s="165">
        <v>45133.347222222219</v>
      </c>
      <c r="BL75" s="165">
        <v>45135.451388888891</v>
      </c>
      <c r="BM75" s="165">
        <v>45139.197916666664</v>
      </c>
      <c r="BN75" s="165">
        <v>45139.493055555555</v>
      </c>
      <c r="BO75" s="165">
        <v>45139.513888888891</v>
      </c>
      <c r="BP75" s="165">
        <v>45139.788194444445</v>
      </c>
      <c r="BQ75" s="165">
        <v>45140.368055555555</v>
      </c>
      <c r="BR75" s="126" t="s">
        <v>2620</v>
      </c>
      <c r="BT75" s="136">
        <f t="shared" si="21"/>
        <v>50.666666666627862</v>
      </c>
      <c r="BU75" s="136">
        <f t="shared" si="22"/>
        <v>3.2166666666744277</v>
      </c>
      <c r="BV75" s="136">
        <f t="shared" si="23"/>
        <v>41.000000000058208</v>
      </c>
      <c r="BW75" s="136">
        <f t="shared" si="24"/>
        <v>48.833333333430346</v>
      </c>
      <c r="BX75" s="135">
        <f t="shared" si="25"/>
        <v>7.0833333333721384</v>
      </c>
      <c r="BY75" s="135">
        <f t="shared" si="26"/>
        <v>13.916666666627862</v>
      </c>
      <c r="BZ75" s="134">
        <f t="shared" si="27"/>
        <v>6.8631944444496185</v>
      </c>
      <c r="CA75" s="134">
        <f t="shared" si="28"/>
        <v>14.951388888890506</v>
      </c>
      <c r="CB75" s="133">
        <f t="shared" si="29"/>
        <v>0.45903390617772327</v>
      </c>
    </row>
    <row r="76" spans="1:80" s="126" customFormat="1">
      <c r="A76" s="192">
        <f t="shared" si="30"/>
        <v>45131.152777777781</v>
      </c>
      <c r="B76" s="126" t="s">
        <v>228</v>
      </c>
      <c r="C76" s="126" t="s">
        <v>229</v>
      </c>
      <c r="D76" s="126" t="s">
        <v>215</v>
      </c>
      <c r="E76" s="65" t="s">
        <v>2199</v>
      </c>
      <c r="F76" s="65" t="s">
        <v>2189</v>
      </c>
      <c r="G76" s="165">
        <v>45131.375</v>
      </c>
      <c r="H76" s="165">
        <v>45131.3</v>
      </c>
      <c r="I76" s="126" t="s">
        <v>243</v>
      </c>
      <c r="J76" s="126" t="s">
        <v>192</v>
      </c>
      <c r="K76" s="126" t="s">
        <v>192</v>
      </c>
      <c r="L76" s="126" t="s">
        <v>2205</v>
      </c>
      <c r="M76" s="167"/>
      <c r="N76" s="126" t="s">
        <v>358</v>
      </c>
      <c r="O76" s="126" t="s">
        <v>359</v>
      </c>
      <c r="P76" s="126" t="s">
        <v>240</v>
      </c>
      <c r="Q76" s="181">
        <f>3852*2.4</f>
        <v>9244.7999999999993</v>
      </c>
      <c r="R76" s="181">
        <v>9250</v>
      </c>
      <c r="S76" s="181">
        <v>9094.7530000000006</v>
      </c>
      <c r="T76" s="181"/>
      <c r="Y76" s="181">
        <f>S76</f>
        <v>9094.7530000000006</v>
      </c>
      <c r="AX76" s="165">
        <f t="shared" si="32"/>
        <v>45126.40625</v>
      </c>
      <c r="AY76" s="165">
        <f t="shared" si="33"/>
        <v>45139.305555555555</v>
      </c>
      <c r="AZ76" s="137">
        <f t="shared" si="34"/>
        <v>12.899305555554747</v>
      </c>
      <c r="BA76" s="165">
        <v>45126.40625</v>
      </c>
      <c r="BB76" s="165">
        <v>45127.826388888891</v>
      </c>
      <c r="BC76" s="165">
        <v>45129.395833333336</v>
      </c>
      <c r="BD76" s="165">
        <v>45131.152777777781</v>
      </c>
      <c r="BE76" s="165">
        <v>45131.378472222219</v>
      </c>
      <c r="BF76" s="165">
        <v>45131.385416666664</v>
      </c>
      <c r="BG76" s="165">
        <v>45131.385416666664</v>
      </c>
      <c r="BH76" s="165">
        <f t="shared" si="31"/>
        <v>45133.09375</v>
      </c>
      <c r="BI76" s="165">
        <v>45135.291666608799</v>
      </c>
      <c r="BJ76" s="165">
        <v>45135.458333275463</v>
      </c>
      <c r="BK76" s="165">
        <v>45135.350694444445</v>
      </c>
      <c r="BL76" s="165">
        <v>45137.177083333336</v>
      </c>
      <c r="BM76" s="165">
        <v>45138.368055555555</v>
      </c>
      <c r="BN76" s="165">
        <v>45138.746527777781</v>
      </c>
      <c r="BO76" s="165">
        <v>45138.753472222219</v>
      </c>
      <c r="BP76" s="165">
        <v>45138.756944444445</v>
      </c>
      <c r="BQ76" s="165">
        <v>45139.305555555555</v>
      </c>
      <c r="BR76" s="126" t="s">
        <v>2621</v>
      </c>
      <c r="BT76" s="136">
        <f t="shared" si="21"/>
        <v>37.666666666686069</v>
      </c>
      <c r="BU76" s="136">
        <f t="shared" si="22"/>
        <v>5.4166666665114462</v>
      </c>
      <c r="BV76" s="136">
        <f t="shared" si="23"/>
        <v>41.000000000058208</v>
      </c>
      <c r="BW76" s="136">
        <f t="shared" si="24"/>
        <v>41.250001388951205</v>
      </c>
      <c r="BX76" s="135">
        <f t="shared" si="25"/>
        <v>9.0833333334303461</v>
      </c>
      <c r="BY76" s="135">
        <f t="shared" si="26"/>
        <v>13.166666666627862</v>
      </c>
      <c r="BZ76" s="134">
        <f t="shared" si="27"/>
        <v>6.149305613427714</v>
      </c>
      <c r="CA76" s="134">
        <f t="shared" si="28"/>
        <v>12.899305555554747</v>
      </c>
      <c r="CB76" s="133">
        <f t="shared" si="29"/>
        <v>0.47671602063722546</v>
      </c>
    </row>
    <row r="77" spans="1:80" s="126" customFormat="1">
      <c r="A77" s="192">
        <f t="shared" si="30"/>
        <v>45132.579861111109</v>
      </c>
      <c r="B77" s="126" t="s">
        <v>228</v>
      </c>
      <c r="C77" s="126" t="s">
        <v>229</v>
      </c>
      <c r="D77" s="126" t="s">
        <v>197</v>
      </c>
      <c r="E77" s="65" t="s">
        <v>2211</v>
      </c>
      <c r="G77" s="315">
        <v>45129.083333333336</v>
      </c>
      <c r="H77" s="315">
        <v>45129.125</v>
      </c>
      <c r="I77" s="126" t="s">
        <v>231</v>
      </c>
      <c r="J77" s="126" t="s">
        <v>192</v>
      </c>
      <c r="K77" s="126" t="s">
        <v>192</v>
      </c>
      <c r="L77" s="126" t="s">
        <v>2225</v>
      </c>
      <c r="M77" s="167"/>
      <c r="N77" s="126" t="s">
        <v>492</v>
      </c>
      <c r="O77" s="126" t="s">
        <v>493</v>
      </c>
      <c r="P77" s="126" t="s">
        <v>2068</v>
      </c>
      <c r="Q77" s="181">
        <f>3152*2.4</f>
        <v>7564.7999999999993</v>
      </c>
      <c r="R77" s="181">
        <f>7600+100</f>
        <v>7700</v>
      </c>
      <c r="S77" s="181">
        <f>7613.327-929.822</f>
        <v>6683.5050000000001</v>
      </c>
      <c r="T77" s="181"/>
      <c r="X77" s="181">
        <f t="shared" ref="X77:X83" si="35">S77*0.55</f>
        <v>3675.9277500000003</v>
      </c>
      <c r="Y77" s="181">
        <f t="shared" ref="Y77:Y83" si="36">S77*0.45</f>
        <v>3007.5772500000003</v>
      </c>
      <c r="AX77" s="165">
        <f t="shared" si="32"/>
        <v>45126.555555555555</v>
      </c>
      <c r="AY77" s="165">
        <f t="shared" si="33"/>
        <v>45146.5</v>
      </c>
      <c r="AZ77" s="137">
        <f t="shared" si="34"/>
        <v>19.944444444445253</v>
      </c>
      <c r="BA77" s="165">
        <v>45126.555555555555</v>
      </c>
      <c r="BB77" s="165">
        <v>45127.809027777781</v>
      </c>
      <c r="BC77" s="165">
        <v>45129.291666666664</v>
      </c>
      <c r="BD77" s="165">
        <v>45132.579861111109</v>
      </c>
      <c r="BE77" s="165">
        <v>45132.711805555555</v>
      </c>
      <c r="BF77" s="165">
        <v>45132.715277777781</v>
      </c>
      <c r="BG77" s="165">
        <v>45132.715277777781</v>
      </c>
      <c r="BH77" s="165">
        <f t="shared" si="31"/>
        <v>45134.423611111117</v>
      </c>
      <c r="BI77" s="210">
        <v>45138.229166608799</v>
      </c>
      <c r="BJ77" s="210">
        <v>45138.395833275463</v>
      </c>
      <c r="BK77" s="210">
        <v>45138.340277777781</v>
      </c>
      <c r="BL77" s="165">
        <v>45139.770833333336</v>
      </c>
      <c r="BM77" s="165">
        <v>45145.288194444445</v>
      </c>
      <c r="BN77" s="165">
        <v>45145.847222222219</v>
      </c>
      <c r="BO77" s="165">
        <v>45145.934027777781</v>
      </c>
      <c r="BP77" s="165">
        <v>45146.375</v>
      </c>
      <c r="BQ77" s="165">
        <v>45146.5</v>
      </c>
      <c r="BT77" s="136">
        <f t="shared" si="21"/>
        <v>35.583333333197515</v>
      </c>
      <c r="BU77" s="136">
        <f t="shared" si="22"/>
        <v>3.1666666666860692</v>
      </c>
      <c r="BV77" s="136">
        <f t="shared" si="23"/>
        <v>41.000000000058208</v>
      </c>
      <c r="BW77" s="136">
        <f t="shared" si="24"/>
        <v>33.000001388951205</v>
      </c>
      <c r="BX77" s="135">
        <f t="shared" si="25"/>
        <v>13.416666666569654</v>
      </c>
      <c r="BY77" s="135">
        <f t="shared" si="26"/>
        <v>3</v>
      </c>
      <c r="BZ77" s="134">
        <f t="shared" si="27"/>
        <v>5.3819445023109438</v>
      </c>
      <c r="CA77" s="134">
        <f t="shared" si="28"/>
        <v>19.944444444445253</v>
      </c>
      <c r="CB77" s="133">
        <f t="shared" si="29"/>
        <v>0.26984679955875507</v>
      </c>
    </row>
    <row r="78" spans="1:80" s="126" customFormat="1">
      <c r="A78" s="192">
        <f t="shared" si="30"/>
        <v>45134.326388888891</v>
      </c>
      <c r="B78" s="126" t="s">
        <v>228</v>
      </c>
      <c r="C78" s="126" t="s">
        <v>229</v>
      </c>
      <c r="D78" s="126" t="s">
        <v>215</v>
      </c>
      <c r="E78" s="65" t="s">
        <v>2211</v>
      </c>
      <c r="G78" s="315">
        <v>45129.083333333336</v>
      </c>
      <c r="H78" s="315">
        <v>45129.125</v>
      </c>
      <c r="I78" s="126" t="s">
        <v>231</v>
      </c>
      <c r="J78" s="126" t="s">
        <v>192</v>
      </c>
      <c r="K78" s="126" t="s">
        <v>192</v>
      </c>
      <c r="L78" s="126" t="s">
        <v>2220</v>
      </c>
      <c r="M78" s="167"/>
      <c r="N78" s="126" t="s">
        <v>301</v>
      </c>
      <c r="O78" s="126" t="s">
        <v>302</v>
      </c>
      <c r="P78" s="126" t="s">
        <v>2068</v>
      </c>
      <c r="Q78" s="181">
        <f>3852*2.4</f>
        <v>9244.7999999999993</v>
      </c>
      <c r="R78" s="181">
        <v>9250</v>
      </c>
      <c r="S78" s="181">
        <v>9152.643</v>
      </c>
      <c r="T78" s="181"/>
      <c r="X78" s="181">
        <f t="shared" si="35"/>
        <v>5033.9536500000004</v>
      </c>
      <c r="Y78" s="181">
        <f t="shared" si="36"/>
        <v>4118.6893500000006</v>
      </c>
      <c r="AX78" s="165">
        <f t="shared" si="32"/>
        <v>45127.135416666664</v>
      </c>
      <c r="AY78" s="165">
        <f t="shared" si="33"/>
        <v>45143.104166666664</v>
      </c>
      <c r="AZ78" s="137">
        <f t="shared" si="34"/>
        <v>15.96875</v>
      </c>
      <c r="BA78" s="165">
        <v>45127.135416666664</v>
      </c>
      <c r="BB78" s="165">
        <v>45129.573611111111</v>
      </c>
      <c r="BC78" s="165">
        <v>45131.1875</v>
      </c>
      <c r="BD78" s="165">
        <v>45134.326388888891</v>
      </c>
      <c r="BE78" s="165">
        <v>45134.481249999997</v>
      </c>
      <c r="BF78" s="165">
        <v>45134.486111111109</v>
      </c>
      <c r="BG78" s="165">
        <v>45134.486111111109</v>
      </c>
      <c r="BH78" s="165">
        <f t="shared" si="31"/>
        <v>45136.194444444445</v>
      </c>
      <c r="BI78" s="165">
        <v>45136.5</v>
      </c>
      <c r="BJ78" s="165">
        <v>45136.666666666664</v>
      </c>
      <c r="BK78" s="165">
        <v>45136.576388888891</v>
      </c>
      <c r="BL78" s="165">
        <v>45137.770833333336</v>
      </c>
      <c r="BM78" s="165">
        <v>45142.152777777781</v>
      </c>
      <c r="BN78" s="165">
        <v>45142.770833333336</v>
      </c>
      <c r="BO78" s="165">
        <v>45142.791666666664</v>
      </c>
      <c r="BP78" s="165">
        <v>45142.791666666664</v>
      </c>
      <c r="BQ78" s="165">
        <v>45143.104166666664</v>
      </c>
      <c r="BR78" s="126" t="s">
        <v>1288</v>
      </c>
      <c r="BT78" s="136">
        <f t="shared" si="21"/>
        <v>38.733333333337214</v>
      </c>
      <c r="BU78" s="136">
        <f t="shared" si="22"/>
        <v>3.7166666665580124</v>
      </c>
      <c r="BV78" s="136">
        <f t="shared" si="23"/>
        <v>41.000000000058208</v>
      </c>
      <c r="BW78" s="136">
        <f t="shared" si="24"/>
        <v>26.500000000116415</v>
      </c>
      <c r="BX78" s="135">
        <f t="shared" si="25"/>
        <v>14.833333333313931</v>
      </c>
      <c r="BY78" s="135">
        <f t="shared" si="26"/>
        <v>7.5</v>
      </c>
      <c r="BZ78" s="134">
        <f t="shared" si="27"/>
        <v>5.5118055555576575</v>
      </c>
      <c r="CA78" s="134">
        <f t="shared" si="28"/>
        <v>15.96875</v>
      </c>
      <c r="CB78" s="133">
        <f t="shared" si="29"/>
        <v>0.34516199173746581</v>
      </c>
    </row>
    <row r="79" spans="1:80" s="126" customFormat="1">
      <c r="A79" s="192">
        <f t="shared" si="30"/>
        <v>45134.670138888891</v>
      </c>
      <c r="B79" s="126" t="s">
        <v>228</v>
      </c>
      <c r="C79" s="126" t="s">
        <v>229</v>
      </c>
      <c r="D79" s="126" t="s">
        <v>197</v>
      </c>
      <c r="E79" s="65" t="s">
        <v>2211</v>
      </c>
      <c r="G79" s="315">
        <v>45129.083333333336</v>
      </c>
      <c r="H79" s="315">
        <v>45129.125</v>
      </c>
      <c r="I79" s="126" t="s">
        <v>231</v>
      </c>
      <c r="J79" s="126" t="s">
        <v>192</v>
      </c>
      <c r="K79" s="126" t="s">
        <v>192</v>
      </c>
      <c r="L79" s="126" t="s">
        <v>2222</v>
      </c>
      <c r="M79" s="167"/>
      <c r="N79" s="126" t="s">
        <v>429</v>
      </c>
      <c r="O79" s="126" t="s">
        <v>430</v>
      </c>
      <c r="P79" s="126" t="s">
        <v>2068</v>
      </c>
      <c r="Q79" s="181">
        <f>3145 *2.4</f>
        <v>7548</v>
      </c>
      <c r="R79" s="181">
        <f>7550+100</f>
        <v>7650</v>
      </c>
      <c r="S79" s="181">
        <v>7688.4880000000003</v>
      </c>
      <c r="T79" s="181"/>
      <c r="X79" s="181">
        <f t="shared" si="35"/>
        <v>4228.6684000000005</v>
      </c>
      <c r="Y79" s="181">
        <f t="shared" si="36"/>
        <v>3459.8196000000003</v>
      </c>
      <c r="AX79" s="165">
        <f t="shared" si="32"/>
        <v>45128.465277777781</v>
      </c>
      <c r="AY79" s="165">
        <f t="shared" si="33"/>
        <v>45144.416666666664</v>
      </c>
      <c r="AZ79" s="137">
        <f t="shared" si="34"/>
        <v>15.95138888888323</v>
      </c>
      <c r="BA79" s="165">
        <v>45128.465277777781</v>
      </c>
      <c r="BB79" s="165">
        <v>45129.545138888891</v>
      </c>
      <c r="BC79" s="165">
        <v>45131.395833333336</v>
      </c>
      <c r="BD79" s="165">
        <v>45134.670138888891</v>
      </c>
      <c r="BE79" s="165">
        <v>45134.84375</v>
      </c>
      <c r="BF79" s="165">
        <v>45134.847222222219</v>
      </c>
      <c r="BG79" s="165">
        <v>45135.215277777781</v>
      </c>
      <c r="BH79" s="165">
        <f t="shared" si="31"/>
        <v>45136.923611111117</v>
      </c>
      <c r="BI79" s="165">
        <v>45137.229166666664</v>
      </c>
      <c r="BJ79" s="165">
        <v>45137.395833333328</v>
      </c>
      <c r="BK79" s="165">
        <v>45137.3125</v>
      </c>
      <c r="BL79" s="165">
        <v>45138.5625</v>
      </c>
      <c r="BM79" s="165">
        <v>45143.423611111109</v>
      </c>
      <c r="BN79" s="165">
        <v>45143.871527777781</v>
      </c>
      <c r="BO79" s="165">
        <v>45143.892361111109</v>
      </c>
      <c r="BP79" s="165">
        <v>45144.291666666664</v>
      </c>
      <c r="BQ79" s="165">
        <v>45144.416666666664</v>
      </c>
      <c r="BT79" s="136">
        <f t="shared" si="21"/>
        <v>44.416666666686069</v>
      </c>
      <c r="BU79" s="136">
        <f t="shared" si="22"/>
        <v>4.1666666666278616</v>
      </c>
      <c r="BV79" s="136">
        <f t="shared" si="23"/>
        <v>41.000000000058208</v>
      </c>
      <c r="BW79" s="136">
        <f t="shared" si="24"/>
        <v>28.000000000116415</v>
      </c>
      <c r="BX79" s="135">
        <f t="shared" si="25"/>
        <v>10.750000000116415</v>
      </c>
      <c r="BY79" s="135">
        <f t="shared" si="26"/>
        <v>3</v>
      </c>
      <c r="BZ79" s="134">
        <f t="shared" si="27"/>
        <v>5.4722222222335404</v>
      </c>
      <c r="CA79" s="134">
        <f t="shared" si="28"/>
        <v>15.95138888888323</v>
      </c>
      <c r="CB79" s="133">
        <f t="shared" si="29"/>
        <v>0.34305616020979945</v>
      </c>
    </row>
    <row r="80" spans="1:80" s="126" customFormat="1">
      <c r="A80" s="192">
        <f t="shared" si="30"/>
        <v>45134.870138888888</v>
      </c>
      <c r="B80" s="126" t="s">
        <v>228</v>
      </c>
      <c r="C80" s="126" t="s">
        <v>229</v>
      </c>
      <c r="D80" s="126" t="s">
        <v>197</v>
      </c>
      <c r="E80" s="65" t="s">
        <v>2211</v>
      </c>
      <c r="G80" s="315">
        <v>45129.083333333336</v>
      </c>
      <c r="H80" s="315">
        <v>45129.125</v>
      </c>
      <c r="I80" s="126" t="s">
        <v>231</v>
      </c>
      <c r="J80" s="126" t="s">
        <v>192</v>
      </c>
      <c r="K80" s="126" t="s">
        <v>192</v>
      </c>
      <c r="L80" s="126" t="s">
        <v>2221</v>
      </c>
      <c r="M80" s="167"/>
      <c r="N80" s="126" t="s">
        <v>233</v>
      </c>
      <c r="O80" s="126" t="s">
        <v>234</v>
      </c>
      <c r="P80" s="126" t="s">
        <v>2068</v>
      </c>
      <c r="Q80" s="181">
        <f>3215*2.4</f>
        <v>7716</v>
      </c>
      <c r="R80" s="181">
        <f>7750+100</f>
        <v>7850</v>
      </c>
      <c r="S80" s="181">
        <v>7715.7330000000002</v>
      </c>
      <c r="T80" s="181"/>
      <c r="X80" s="181">
        <f t="shared" si="35"/>
        <v>4243.6531500000001</v>
      </c>
      <c r="Y80" s="181">
        <f t="shared" si="36"/>
        <v>3472.0798500000001</v>
      </c>
      <c r="AX80" s="165">
        <f t="shared" si="32"/>
        <v>45127.583333333336</v>
      </c>
      <c r="AY80" s="165">
        <f t="shared" si="33"/>
        <v>45144.006944444445</v>
      </c>
      <c r="AZ80" s="137">
        <f t="shared" si="34"/>
        <v>16.423611111109494</v>
      </c>
      <c r="BA80" s="165">
        <v>45127.583333333336</v>
      </c>
      <c r="BB80" s="165">
        <v>45129.559027777781</v>
      </c>
      <c r="BC80" s="165">
        <v>45131.416666666664</v>
      </c>
      <c r="BD80" s="165">
        <v>45134.870138888888</v>
      </c>
      <c r="BE80" s="165">
        <v>45135</v>
      </c>
      <c r="BF80" s="165">
        <v>45135.003472222219</v>
      </c>
      <c r="BG80" s="165">
        <v>45135.003472222219</v>
      </c>
      <c r="BH80" s="165">
        <f t="shared" si="31"/>
        <v>45136.711805555555</v>
      </c>
      <c r="BI80" s="165">
        <v>45137.229166666664</v>
      </c>
      <c r="BJ80" s="165">
        <v>45137.395833333328</v>
      </c>
      <c r="BK80" s="165">
        <v>45137.291666666664</v>
      </c>
      <c r="BL80" s="165">
        <v>45138.458333333336</v>
      </c>
      <c r="BM80" s="165">
        <v>45142.833333333336</v>
      </c>
      <c r="BN80" s="165">
        <v>45143.361111111109</v>
      </c>
      <c r="BO80" s="165">
        <v>45143.381944444445</v>
      </c>
      <c r="BP80" s="165">
        <v>45143.770833333336</v>
      </c>
      <c r="BQ80" s="165">
        <v>45144.006944444445</v>
      </c>
      <c r="BT80" s="136">
        <f t="shared" si="21"/>
        <v>44.583333333197515</v>
      </c>
      <c r="BU80" s="136">
        <f t="shared" si="22"/>
        <v>3.1166666666977108</v>
      </c>
      <c r="BV80" s="136">
        <f t="shared" si="23"/>
        <v>41.000000000058208</v>
      </c>
      <c r="BW80" s="136">
        <f t="shared" si="24"/>
        <v>25.500000000174623</v>
      </c>
      <c r="BX80" s="135">
        <f t="shared" si="25"/>
        <v>12.666666666569654</v>
      </c>
      <c r="BY80" s="135">
        <f t="shared" si="26"/>
        <v>5.6666666666278616</v>
      </c>
      <c r="BZ80" s="134">
        <f t="shared" si="27"/>
        <v>5.5222222222218988</v>
      </c>
      <c r="CA80" s="134">
        <f t="shared" si="28"/>
        <v>16.423611111109494</v>
      </c>
      <c r="CB80" s="133">
        <f t="shared" si="29"/>
        <v>0.33623678646935801</v>
      </c>
    </row>
    <row r="81" spans="1:80" s="126" customFormat="1">
      <c r="A81" s="192">
        <f t="shared" si="30"/>
        <v>45135.026388888888</v>
      </c>
      <c r="B81" s="126" t="s">
        <v>228</v>
      </c>
      <c r="C81" s="126" t="s">
        <v>229</v>
      </c>
      <c r="D81" s="126" t="s">
        <v>197</v>
      </c>
      <c r="E81" s="65" t="s">
        <v>2211</v>
      </c>
      <c r="G81" s="315">
        <v>45129.083333333336</v>
      </c>
      <c r="H81" s="315">
        <v>45129.125</v>
      </c>
      <c r="I81" s="126" t="s">
        <v>231</v>
      </c>
      <c r="J81" s="126" t="s">
        <v>192</v>
      </c>
      <c r="K81" s="126" t="s">
        <v>192</v>
      </c>
      <c r="L81" s="126" t="s">
        <v>2219</v>
      </c>
      <c r="M81" s="167"/>
      <c r="N81" s="126" t="s">
        <v>473</v>
      </c>
      <c r="O81" s="126" t="s">
        <v>474</v>
      </c>
      <c r="P81" s="126" t="s">
        <v>2068</v>
      </c>
      <c r="Q81" s="181">
        <f>3136*2.4</f>
        <v>7526.4</v>
      </c>
      <c r="R81" s="181">
        <f>7550+100</f>
        <v>7650</v>
      </c>
      <c r="S81" s="181">
        <v>7400.2460000000001</v>
      </c>
      <c r="T81" s="181"/>
      <c r="X81" s="181">
        <f t="shared" si="35"/>
        <v>4070.1353000000004</v>
      </c>
      <c r="Y81" s="181">
        <f t="shared" si="36"/>
        <v>3330.1107000000002</v>
      </c>
      <c r="AX81" s="165">
        <f t="shared" si="32"/>
        <v>45126.3125</v>
      </c>
      <c r="AY81" s="165">
        <f t="shared" si="33"/>
        <v>45142.375</v>
      </c>
      <c r="AZ81" s="137">
        <f t="shared" si="34"/>
        <v>16.0625</v>
      </c>
      <c r="BA81" s="165">
        <v>45126.3125</v>
      </c>
      <c r="BB81" s="165">
        <v>45131.611111111109</v>
      </c>
      <c r="BC81" s="165">
        <v>45133.222222222219</v>
      </c>
      <c r="BD81" s="165">
        <v>45135.026388888888</v>
      </c>
      <c r="BE81" s="165">
        <v>45135.170138888891</v>
      </c>
      <c r="BF81" s="165">
        <v>45135.180555555555</v>
      </c>
      <c r="BG81" s="165">
        <v>45135.180555555555</v>
      </c>
      <c r="BH81" s="165">
        <f t="shared" si="31"/>
        <v>45136.888888888891</v>
      </c>
      <c r="BI81" s="165">
        <v>45137.229166666664</v>
      </c>
      <c r="BJ81" s="165">
        <v>45137.395833333328</v>
      </c>
      <c r="BK81" s="165">
        <v>45137.288194444445</v>
      </c>
      <c r="BL81" s="165">
        <v>45138.354166666664</v>
      </c>
      <c r="BM81" s="165">
        <v>45141.625</v>
      </c>
      <c r="BN81" s="165">
        <v>45142.090277777781</v>
      </c>
      <c r="BO81" s="165">
        <v>45142.111111111109</v>
      </c>
      <c r="BP81" s="165">
        <v>45142.111111111109</v>
      </c>
      <c r="BQ81" s="165">
        <v>45142.375</v>
      </c>
      <c r="BT81" s="136">
        <f t="shared" si="21"/>
        <v>38.666666666627862</v>
      </c>
      <c r="BU81" s="136">
        <f t="shared" si="22"/>
        <v>3.4500000000698492</v>
      </c>
      <c r="BV81" s="136">
        <f t="shared" si="23"/>
        <v>41.000000000058208</v>
      </c>
      <c r="BW81" s="136">
        <f t="shared" si="24"/>
        <v>23.000000000058208</v>
      </c>
      <c r="BX81" s="135">
        <f t="shared" si="25"/>
        <v>11.166666666744277</v>
      </c>
      <c r="BY81" s="135">
        <f t="shared" si="26"/>
        <v>6.3333333333721384</v>
      </c>
      <c r="BZ81" s="134">
        <f t="shared" si="27"/>
        <v>5.1506944444554392</v>
      </c>
      <c r="CA81" s="134">
        <f t="shared" si="28"/>
        <v>16.0625</v>
      </c>
      <c r="CB81" s="133">
        <f t="shared" si="29"/>
        <v>0.32066580198944367</v>
      </c>
    </row>
    <row r="82" spans="1:80" s="126" customFormat="1">
      <c r="A82" s="192">
        <f t="shared" si="30"/>
        <v>45135.210416666669</v>
      </c>
      <c r="B82" s="126" t="s">
        <v>228</v>
      </c>
      <c r="C82" s="126" t="s">
        <v>229</v>
      </c>
      <c r="D82" s="126" t="s">
        <v>197</v>
      </c>
      <c r="E82" s="65" t="s">
        <v>2211</v>
      </c>
      <c r="G82" s="315">
        <v>45129.083333333336</v>
      </c>
      <c r="H82" s="315">
        <v>45129.125</v>
      </c>
      <c r="I82" s="126" t="s">
        <v>231</v>
      </c>
      <c r="J82" s="126" t="s">
        <v>192</v>
      </c>
      <c r="K82" s="126" t="s">
        <v>192</v>
      </c>
      <c r="L82" s="126" t="s">
        <v>2223</v>
      </c>
      <c r="M82" s="167"/>
      <c r="N82" s="126" t="s">
        <v>298</v>
      </c>
      <c r="O82" s="126" t="s">
        <v>299</v>
      </c>
      <c r="P82" s="126" t="s">
        <v>2068</v>
      </c>
      <c r="Q82" s="181">
        <f>4337*2.4</f>
        <v>10408.799999999999</v>
      </c>
      <c r="R82" s="181">
        <f>10450+100</f>
        <v>10550</v>
      </c>
      <c r="S82" s="181">
        <v>10357.101000000001</v>
      </c>
      <c r="T82" s="181"/>
      <c r="X82" s="181">
        <f t="shared" si="35"/>
        <v>5696.4055500000004</v>
      </c>
      <c r="Y82" s="181">
        <f t="shared" si="36"/>
        <v>4660.6954500000002</v>
      </c>
      <c r="AX82" s="165">
        <f t="shared" si="32"/>
        <v>45129.392361111109</v>
      </c>
      <c r="AY82" s="165">
        <f t="shared" si="33"/>
        <v>45145.027777777781</v>
      </c>
      <c r="AZ82" s="137">
        <f t="shared" si="34"/>
        <v>15.635416666671517</v>
      </c>
      <c r="BA82" s="165">
        <v>45129.392361111109</v>
      </c>
      <c r="BB82" s="165">
        <v>45131.774305555555</v>
      </c>
      <c r="BC82" s="165">
        <v>45133.3125</v>
      </c>
      <c r="BD82" s="165">
        <v>45135.210416666669</v>
      </c>
      <c r="BE82" s="165">
        <v>45135.456944444442</v>
      </c>
      <c r="BF82" s="165">
        <v>45135.465277777781</v>
      </c>
      <c r="BG82" s="165">
        <v>45135.465277777781</v>
      </c>
      <c r="BH82" s="165">
        <f t="shared" si="31"/>
        <v>45137.173611111117</v>
      </c>
      <c r="BI82" s="165">
        <v>45137.229166666664</v>
      </c>
      <c r="BJ82" s="165">
        <v>45137.395833333328</v>
      </c>
      <c r="BK82" s="165">
        <v>45137.309027777781</v>
      </c>
      <c r="BL82" s="165">
        <v>45138.770833333336</v>
      </c>
      <c r="BM82" s="165">
        <v>45143.934027777781</v>
      </c>
      <c r="BN82" s="165">
        <v>45144.625</v>
      </c>
      <c r="BO82" s="165">
        <v>45144.645833333336</v>
      </c>
      <c r="BP82" s="165">
        <v>45144.788194444445</v>
      </c>
      <c r="BQ82" s="165">
        <v>45145.027777777781</v>
      </c>
      <c r="BT82" s="136">
        <f t="shared" si="21"/>
        <v>36.916666666686069</v>
      </c>
      <c r="BU82" s="136">
        <f t="shared" si="22"/>
        <v>5.9166666665696539</v>
      </c>
      <c r="BV82" s="136">
        <f t="shared" si="23"/>
        <v>41.000000000058208</v>
      </c>
      <c r="BW82" s="136">
        <f t="shared" si="24"/>
        <v>33.000000000174623</v>
      </c>
      <c r="BX82" s="135">
        <f t="shared" si="25"/>
        <v>16.583333333255723</v>
      </c>
      <c r="BY82" s="135">
        <f t="shared" si="26"/>
        <v>5.7500000000582077</v>
      </c>
      <c r="BZ82" s="134">
        <f t="shared" si="27"/>
        <v>5.7986111111167702</v>
      </c>
      <c r="CA82" s="134">
        <f t="shared" si="28"/>
        <v>15.635416666671517</v>
      </c>
      <c r="CB82" s="133">
        <f t="shared" si="29"/>
        <v>0.3708638685323366</v>
      </c>
    </row>
    <row r="83" spans="1:80" s="126" customFormat="1">
      <c r="A83" s="192">
        <f t="shared" si="30"/>
        <v>45135.486111111109</v>
      </c>
      <c r="B83" s="126" t="s">
        <v>228</v>
      </c>
      <c r="C83" s="126" t="s">
        <v>229</v>
      </c>
      <c r="D83" s="126" t="s">
        <v>197</v>
      </c>
      <c r="E83" s="65" t="s">
        <v>2211</v>
      </c>
      <c r="G83" s="315">
        <v>45129.083333333336</v>
      </c>
      <c r="H83" s="315">
        <v>45129.125</v>
      </c>
      <c r="I83" s="126" t="s">
        <v>231</v>
      </c>
      <c r="J83" s="126" t="s">
        <v>192</v>
      </c>
      <c r="K83" s="126" t="s">
        <v>192</v>
      </c>
      <c r="L83" s="126" t="s">
        <v>2224</v>
      </c>
      <c r="M83" s="167"/>
      <c r="N83" s="126" t="s">
        <v>686</v>
      </c>
      <c r="O83" s="126" t="s">
        <v>1186</v>
      </c>
      <c r="P83" s="126" t="s">
        <v>2068</v>
      </c>
      <c r="Q83" s="181">
        <f>3136*2.4</f>
        <v>7526.4</v>
      </c>
      <c r="R83" s="181">
        <f>7550+100</f>
        <v>7650</v>
      </c>
      <c r="S83" s="181">
        <v>7311.8540000000003</v>
      </c>
      <c r="T83" s="181"/>
      <c r="X83" s="181">
        <f t="shared" si="35"/>
        <v>4021.5197000000003</v>
      </c>
      <c r="Y83" s="181">
        <f t="shared" si="36"/>
        <v>3290.3343</v>
      </c>
      <c r="AX83" s="165">
        <f t="shared" si="32"/>
        <v>45129.4375</v>
      </c>
      <c r="AY83" s="165">
        <f t="shared" si="33"/>
        <v>45145.583333333336</v>
      </c>
      <c r="AZ83" s="137">
        <f t="shared" si="34"/>
        <v>16.145833333335759</v>
      </c>
      <c r="BA83" s="165">
        <v>45129.4375</v>
      </c>
      <c r="BB83" s="165">
        <v>45131.791666666664</v>
      </c>
      <c r="BC83" s="165">
        <v>45133.458333333336</v>
      </c>
      <c r="BD83" s="165">
        <v>45135.486111111109</v>
      </c>
      <c r="BE83" s="165">
        <v>45135.611111111109</v>
      </c>
      <c r="BF83" s="165">
        <v>45135.621527777781</v>
      </c>
      <c r="BG83" s="165">
        <v>45135.621527777781</v>
      </c>
      <c r="BH83" s="165">
        <f t="shared" si="31"/>
        <v>45137.329861111117</v>
      </c>
      <c r="BI83" s="210">
        <v>45138.229166608799</v>
      </c>
      <c r="BJ83" s="210">
        <v>45138.395833275463</v>
      </c>
      <c r="BK83" s="210">
        <v>45138.319444444445</v>
      </c>
      <c r="BL83" s="165">
        <v>45139.520833333336</v>
      </c>
      <c r="BM83" s="165">
        <v>45144.6875</v>
      </c>
      <c r="BN83" s="165">
        <v>45145.225694444445</v>
      </c>
      <c r="BO83" s="165">
        <v>45145.246527777781</v>
      </c>
      <c r="BP83" s="165">
        <v>45145.291666666664</v>
      </c>
      <c r="BQ83" s="165">
        <v>45145.583333333336</v>
      </c>
      <c r="BT83" s="136">
        <f t="shared" si="21"/>
        <v>40.000000000116415</v>
      </c>
      <c r="BU83" s="136">
        <f t="shared" si="22"/>
        <v>3</v>
      </c>
      <c r="BV83" s="136">
        <f t="shared" si="23"/>
        <v>41.000000000058208</v>
      </c>
      <c r="BW83" s="136">
        <f t="shared" si="24"/>
        <v>27.000001388951205</v>
      </c>
      <c r="BX83" s="135">
        <f t="shared" si="25"/>
        <v>12.916666666686069</v>
      </c>
      <c r="BY83" s="135">
        <f t="shared" si="26"/>
        <v>7.0000000001164153</v>
      </c>
      <c r="BZ83" s="134">
        <f t="shared" si="27"/>
        <v>5.454861168997013</v>
      </c>
      <c r="CA83" s="134">
        <f t="shared" si="28"/>
        <v>16.145833333335759</v>
      </c>
      <c r="CB83" s="133">
        <f t="shared" si="29"/>
        <v>0.33784946595073201</v>
      </c>
    </row>
    <row r="84" spans="1:80" s="126" customFormat="1">
      <c r="A84" s="192">
        <f t="shared" si="30"/>
        <v>45135.654861111114</v>
      </c>
      <c r="B84" s="126" t="s">
        <v>228</v>
      </c>
      <c r="C84" s="126" t="s">
        <v>229</v>
      </c>
      <c r="D84" s="126" t="s">
        <v>215</v>
      </c>
      <c r="E84" s="65" t="s">
        <v>2134</v>
      </c>
      <c r="F84" s="126" t="s">
        <v>2622</v>
      </c>
      <c r="G84" s="165">
        <v>45144.5</v>
      </c>
      <c r="H84" s="165">
        <v>45144.375</v>
      </c>
      <c r="I84" s="126" t="s">
        <v>231</v>
      </c>
      <c r="J84" s="126" t="s">
        <v>192</v>
      </c>
      <c r="K84" s="126" t="s">
        <v>192</v>
      </c>
      <c r="L84" s="126" t="s">
        <v>2241</v>
      </c>
      <c r="M84" s="167"/>
      <c r="N84" s="126" t="s">
        <v>271</v>
      </c>
      <c r="O84" s="126" t="s">
        <v>272</v>
      </c>
      <c r="P84" s="126" t="s">
        <v>240</v>
      </c>
      <c r="Q84" s="181">
        <f>3852*2.4</f>
        <v>9244.7999999999993</v>
      </c>
      <c r="R84" s="181">
        <f>9250+100</f>
        <v>9350</v>
      </c>
      <c r="S84" s="181">
        <v>8824.3420000000006</v>
      </c>
      <c r="T84" s="181"/>
      <c r="Y84" s="181">
        <f>S84</f>
        <v>8824.3420000000006</v>
      </c>
      <c r="AX84" s="165">
        <f t="shared" si="32"/>
        <v>45129.934027777781</v>
      </c>
      <c r="AY84" s="165">
        <f t="shared" si="33"/>
        <v>45147.135416666664</v>
      </c>
      <c r="AZ84" s="137">
        <f t="shared" si="34"/>
        <v>17.20138888888323</v>
      </c>
      <c r="BA84" s="165">
        <v>45129.934027777781</v>
      </c>
      <c r="BB84" s="165">
        <v>45132.576388888891</v>
      </c>
      <c r="BC84" s="165">
        <v>45134.277777777781</v>
      </c>
      <c r="BD84" s="165">
        <v>45135.654861111114</v>
      </c>
      <c r="BE84" s="165">
        <v>45135.888888888891</v>
      </c>
      <c r="BF84" s="165">
        <v>45135.895833333336</v>
      </c>
      <c r="BG84" s="165">
        <v>45135.895833333336</v>
      </c>
      <c r="BH84" s="165">
        <f t="shared" si="31"/>
        <v>45137.604166666672</v>
      </c>
      <c r="BI84" s="165">
        <v>45138.229166608799</v>
      </c>
      <c r="BJ84" s="165">
        <v>45138.395833275463</v>
      </c>
      <c r="BK84" s="210">
        <v>45138.260416666664</v>
      </c>
      <c r="BL84" s="165">
        <v>45140.972222222219</v>
      </c>
      <c r="BM84" s="165">
        <v>45146.510416666664</v>
      </c>
      <c r="BN84" s="165">
        <v>45146.770833333336</v>
      </c>
      <c r="BO84" s="165">
        <v>45146.8125</v>
      </c>
      <c r="BP84" s="165">
        <v>45146.8125</v>
      </c>
      <c r="BQ84" s="165">
        <v>45147.135416666664</v>
      </c>
      <c r="BT84" s="136">
        <f t="shared" si="21"/>
        <v>40.833333333372138</v>
      </c>
      <c r="BU84" s="136">
        <f t="shared" si="22"/>
        <v>5.6166666666395031</v>
      </c>
      <c r="BV84" s="136">
        <f t="shared" si="23"/>
        <v>41.000000000058208</v>
      </c>
      <c r="BW84" s="136">
        <f t="shared" si="24"/>
        <v>61.83333472214872</v>
      </c>
      <c r="BX84" s="135">
        <f t="shared" si="25"/>
        <v>6.2500000001164153</v>
      </c>
      <c r="BY84" s="135">
        <f t="shared" si="26"/>
        <v>7.7499999999417923</v>
      </c>
      <c r="BZ84" s="134">
        <f t="shared" si="27"/>
        <v>6.8034722800948657</v>
      </c>
      <c r="CA84" s="134">
        <f t="shared" si="28"/>
        <v>17.20138888888323</v>
      </c>
      <c r="CB84" s="133">
        <f t="shared" si="29"/>
        <v>0.39551877607346908</v>
      </c>
    </row>
    <row r="85" spans="1:80" s="126" customFormat="1">
      <c r="A85" s="192">
        <f t="shared" si="30"/>
        <v>45135.920138888891</v>
      </c>
      <c r="B85" s="126" t="s">
        <v>228</v>
      </c>
      <c r="C85" s="126" t="s">
        <v>229</v>
      </c>
      <c r="D85" s="126" t="s">
        <v>197</v>
      </c>
      <c r="E85" s="65" t="s">
        <v>2134</v>
      </c>
      <c r="F85" s="126" t="s">
        <v>2622</v>
      </c>
      <c r="G85" s="165">
        <v>45144.5</v>
      </c>
      <c r="H85" s="165">
        <v>45144.375</v>
      </c>
      <c r="I85" s="126" t="s">
        <v>231</v>
      </c>
      <c r="J85" s="126" t="s">
        <v>192</v>
      </c>
      <c r="K85" s="126" t="s">
        <v>192</v>
      </c>
      <c r="L85" s="126" t="s">
        <v>2248</v>
      </c>
      <c r="M85" s="167"/>
      <c r="N85" s="126" t="s">
        <v>334</v>
      </c>
      <c r="O85" s="126" t="s">
        <v>335</v>
      </c>
      <c r="P85" s="126" t="s">
        <v>235</v>
      </c>
      <c r="Q85" s="181">
        <f>3242 *2.4</f>
        <v>7780.7999999999993</v>
      </c>
      <c r="R85" s="181">
        <f>7800+100</f>
        <v>7900</v>
      </c>
      <c r="S85" s="181">
        <v>7865.4960000000001</v>
      </c>
      <c r="T85" s="181"/>
      <c r="X85" s="181">
        <f>S85</f>
        <v>7865.4960000000001</v>
      </c>
      <c r="AX85" s="165">
        <f t="shared" si="32"/>
        <v>45130.4375</v>
      </c>
      <c r="AY85" s="165">
        <f t="shared" si="33"/>
        <v>45149.125</v>
      </c>
      <c r="AZ85" s="137">
        <f t="shared" si="34"/>
        <v>18.6875</v>
      </c>
      <c r="BA85" s="165">
        <v>45130.4375</v>
      </c>
      <c r="BB85" s="165">
        <v>45132.59375</v>
      </c>
      <c r="BC85" s="165">
        <v>45134.576388888891</v>
      </c>
      <c r="BD85" s="165">
        <v>45135.920138888891</v>
      </c>
      <c r="BE85" s="165">
        <v>45136.048611111109</v>
      </c>
      <c r="BF85" s="165">
        <v>45136.059027777781</v>
      </c>
      <c r="BG85" s="165">
        <v>45136.059027777781</v>
      </c>
      <c r="BH85" s="165">
        <f t="shared" si="31"/>
        <v>45137.767361111117</v>
      </c>
      <c r="BI85" s="165">
        <v>45138.229166608799</v>
      </c>
      <c r="BJ85" s="165">
        <v>45138.395833275463</v>
      </c>
      <c r="BK85" s="210">
        <v>45138.277777777781</v>
      </c>
      <c r="BL85" s="165">
        <v>45140.6875</v>
      </c>
      <c r="BM85" s="165">
        <v>45148.104166666664</v>
      </c>
      <c r="BN85" s="165">
        <v>45148.388888888891</v>
      </c>
      <c r="BO85" s="165">
        <v>45148.444444444445</v>
      </c>
      <c r="BP85" s="165">
        <v>45148.805555555555</v>
      </c>
      <c r="BQ85" s="165">
        <v>45149.125</v>
      </c>
      <c r="BT85" s="136">
        <f t="shared" si="21"/>
        <v>47.583333333372138</v>
      </c>
      <c r="BU85" s="136">
        <f t="shared" si="22"/>
        <v>3.0833333332557231</v>
      </c>
      <c r="BV85" s="136">
        <f t="shared" si="23"/>
        <v>41.000000000058208</v>
      </c>
      <c r="BW85" s="136">
        <f t="shared" si="24"/>
        <v>55.000001388892997</v>
      </c>
      <c r="BX85" s="135">
        <f t="shared" si="25"/>
        <v>6.8333333334303461</v>
      </c>
      <c r="BY85" s="135">
        <f t="shared" si="26"/>
        <v>7.6666666666860692</v>
      </c>
      <c r="BZ85" s="134">
        <f t="shared" si="27"/>
        <v>6.7152778356539784</v>
      </c>
      <c r="CA85" s="134">
        <f t="shared" si="28"/>
        <v>18.6875</v>
      </c>
      <c r="CB85" s="133">
        <f t="shared" si="29"/>
        <v>0.35934597113867445</v>
      </c>
    </row>
    <row r="86" spans="1:80" s="126" customFormat="1">
      <c r="A86" s="192">
        <f t="shared" si="30"/>
        <v>45136.084722222222</v>
      </c>
      <c r="B86" s="126" t="s">
        <v>228</v>
      </c>
      <c r="C86" s="126" t="s">
        <v>229</v>
      </c>
      <c r="D86" s="126" t="s">
        <v>197</v>
      </c>
      <c r="E86" s="65" t="s">
        <v>2134</v>
      </c>
      <c r="F86" s="126" t="s">
        <v>2622</v>
      </c>
      <c r="G86" s="165">
        <v>45144.5</v>
      </c>
      <c r="H86" s="165">
        <v>45144.375</v>
      </c>
      <c r="I86" s="126" t="s">
        <v>231</v>
      </c>
      <c r="J86" s="126" t="s">
        <v>192</v>
      </c>
      <c r="K86" s="126" t="s">
        <v>192</v>
      </c>
      <c r="L86" s="126" t="s">
        <v>2243</v>
      </c>
      <c r="M86" s="167"/>
      <c r="N86" s="126" t="s">
        <v>1767</v>
      </c>
      <c r="O86" s="126" t="s">
        <v>1768</v>
      </c>
      <c r="P86" s="126" t="s">
        <v>240</v>
      </c>
      <c r="Q86" s="181">
        <f>3139*2.4</f>
        <v>7533.5999999999995</v>
      </c>
      <c r="R86" s="181">
        <f>7550+100</f>
        <v>7650</v>
      </c>
      <c r="S86" s="181">
        <v>7388.6729999999998</v>
      </c>
      <c r="T86" s="181"/>
      <c r="Y86" s="181">
        <f>S86</f>
        <v>7388.6729999999998</v>
      </c>
      <c r="AX86" s="165">
        <f t="shared" si="32"/>
        <v>45130.715277777781</v>
      </c>
      <c r="AY86" s="165">
        <f t="shared" si="33"/>
        <v>45147.625</v>
      </c>
      <c r="AZ86" s="137">
        <f t="shared" si="34"/>
        <v>16.909722222218988</v>
      </c>
      <c r="BA86" s="165">
        <v>45130.715277777781</v>
      </c>
      <c r="BB86" s="165">
        <v>45132.663194444445</v>
      </c>
      <c r="BC86" s="165">
        <v>45134.881944444445</v>
      </c>
      <c r="BD86" s="165">
        <v>45136.084722222222</v>
      </c>
      <c r="BE86" s="165">
        <v>45136.232638888891</v>
      </c>
      <c r="BF86" s="165">
        <v>45136.239583333336</v>
      </c>
      <c r="BG86" s="165">
        <v>45136.239583333336</v>
      </c>
      <c r="BH86" s="165">
        <f t="shared" si="31"/>
        <v>45137.947916666672</v>
      </c>
      <c r="BI86" s="165">
        <v>45138.229166608799</v>
      </c>
      <c r="BJ86" s="165">
        <v>45138.395833275463</v>
      </c>
      <c r="BK86" s="165">
        <v>45138.347222222219</v>
      </c>
      <c r="BL86" s="165">
        <v>45141.135416666664</v>
      </c>
      <c r="BM86" s="165">
        <v>45146.868055555555</v>
      </c>
      <c r="BN86" s="165">
        <v>45147.0625</v>
      </c>
      <c r="BO86" s="165">
        <v>45147.086805555555</v>
      </c>
      <c r="BP86" s="165">
        <v>45147.291666666664</v>
      </c>
      <c r="BQ86" s="165">
        <v>45147.625</v>
      </c>
      <c r="BT86" s="136">
        <f t="shared" si="21"/>
        <v>53.25</v>
      </c>
      <c r="BU86" s="136">
        <f t="shared" si="22"/>
        <v>3.5500000000465661</v>
      </c>
      <c r="BV86" s="136">
        <f t="shared" si="23"/>
        <v>41.000000000058208</v>
      </c>
      <c r="BW86" s="136">
        <f t="shared" si="24"/>
        <v>65.750001388834789</v>
      </c>
      <c r="BX86" s="135">
        <f t="shared" si="25"/>
        <v>4.6666666666860692</v>
      </c>
      <c r="BY86" s="135">
        <f t="shared" si="26"/>
        <v>8.0000000000582077</v>
      </c>
      <c r="BZ86" s="134">
        <f t="shared" si="27"/>
        <v>7.3423611689868267</v>
      </c>
      <c r="CA86" s="134">
        <f t="shared" si="28"/>
        <v>16.909722222218988</v>
      </c>
      <c r="CB86" s="133">
        <f t="shared" si="29"/>
        <v>0.43420944900792824</v>
      </c>
    </row>
    <row r="87" spans="1:80" s="126" customFormat="1">
      <c r="A87" s="192">
        <f t="shared" si="30"/>
        <v>45136.486111111109</v>
      </c>
      <c r="B87" s="126" t="s">
        <v>228</v>
      </c>
      <c r="C87" s="126" t="s">
        <v>229</v>
      </c>
      <c r="D87" s="126" t="s">
        <v>197</v>
      </c>
      <c r="E87" s="65" t="s">
        <v>2134</v>
      </c>
      <c r="F87" s="126" t="s">
        <v>2622</v>
      </c>
      <c r="G87" s="165">
        <v>45144.5</v>
      </c>
      <c r="H87" s="165">
        <v>45144.375</v>
      </c>
      <c r="I87" s="126" t="s">
        <v>231</v>
      </c>
      <c r="J87" s="126" t="s">
        <v>192</v>
      </c>
      <c r="K87" s="126" t="s">
        <v>192</v>
      </c>
      <c r="L87" s="126" t="s">
        <v>2245</v>
      </c>
      <c r="M87" s="167"/>
      <c r="N87" s="126" t="s">
        <v>437</v>
      </c>
      <c r="O87" s="126" t="s">
        <v>320</v>
      </c>
      <c r="P87" s="126" t="s">
        <v>240</v>
      </c>
      <c r="Q87" s="181">
        <f>3136*2.4</f>
        <v>7526.4</v>
      </c>
      <c r="R87" s="181">
        <f>7550+100</f>
        <v>7650</v>
      </c>
      <c r="S87" s="181">
        <v>7444.6239999999998</v>
      </c>
      <c r="T87" s="181"/>
      <c r="Y87" s="181">
        <f>S87</f>
        <v>7444.6239999999998</v>
      </c>
      <c r="AX87" s="165">
        <f t="shared" si="32"/>
        <v>45131.583333333336</v>
      </c>
      <c r="AY87" s="165">
        <f t="shared" si="33"/>
        <v>45147.989583333336</v>
      </c>
      <c r="AZ87" s="137">
        <f t="shared" si="34"/>
        <v>16.40625</v>
      </c>
      <c r="BA87" s="165">
        <v>45131.583333333336</v>
      </c>
      <c r="BB87" s="165">
        <v>45133.767361111109</v>
      </c>
      <c r="BC87" s="165">
        <v>45135.166666666664</v>
      </c>
      <c r="BD87" s="165">
        <v>45136.486111111109</v>
      </c>
      <c r="BE87" s="165">
        <v>45136.628472222219</v>
      </c>
      <c r="BF87" s="165">
        <v>45136.631944444445</v>
      </c>
      <c r="BG87" s="165">
        <v>45136.631944444445</v>
      </c>
      <c r="BH87" s="165">
        <f t="shared" si="31"/>
        <v>45138.340277777781</v>
      </c>
      <c r="BI87" s="165">
        <v>45138.229166608799</v>
      </c>
      <c r="BJ87" s="165">
        <v>45138.395833275463</v>
      </c>
      <c r="BK87" s="165">
        <v>45138.413194444445</v>
      </c>
      <c r="BL87" s="165">
        <v>45141.097222222219</v>
      </c>
      <c r="BM87" s="165">
        <v>45147.513888888891</v>
      </c>
      <c r="BN87" s="165">
        <v>45147.666666666664</v>
      </c>
      <c r="BO87" s="165">
        <v>45147.701388888891</v>
      </c>
      <c r="BP87" s="165">
        <v>45147.701388888891</v>
      </c>
      <c r="BQ87" s="165">
        <v>45147.989583333336</v>
      </c>
      <c r="BT87" s="136">
        <f t="shared" si="21"/>
        <v>33.583333333313931</v>
      </c>
      <c r="BU87" s="136">
        <f t="shared" si="22"/>
        <v>3.4166666666278616</v>
      </c>
      <c r="BV87" s="136">
        <f t="shared" si="23"/>
        <v>41.000000000058208</v>
      </c>
      <c r="BW87" s="136">
        <f t="shared" si="24"/>
        <v>64.83333472214872</v>
      </c>
      <c r="BX87" s="135">
        <f t="shared" si="25"/>
        <v>3.6666666665696539</v>
      </c>
      <c r="BY87" s="135">
        <f t="shared" si="26"/>
        <v>6.9166666666860692</v>
      </c>
      <c r="BZ87" s="134">
        <f t="shared" si="27"/>
        <v>6.3923611689751851</v>
      </c>
      <c r="CA87" s="134">
        <f t="shared" si="28"/>
        <v>16.40625</v>
      </c>
      <c r="CB87" s="133">
        <f t="shared" si="29"/>
        <v>0.38962963315658272</v>
      </c>
    </row>
    <row r="88" spans="1:80" s="126" customFormat="1">
      <c r="A88" s="192">
        <f t="shared" si="30"/>
        <v>45136.263888888891</v>
      </c>
      <c r="B88" s="126" t="s">
        <v>228</v>
      </c>
      <c r="C88" s="126" t="s">
        <v>229</v>
      </c>
      <c r="D88" s="126" t="s">
        <v>197</v>
      </c>
      <c r="E88" s="65" t="s">
        <v>2134</v>
      </c>
      <c r="F88" s="126" t="s">
        <v>2622</v>
      </c>
      <c r="G88" s="165">
        <v>45144.5</v>
      </c>
      <c r="H88" s="165">
        <v>45144.375</v>
      </c>
      <c r="I88" s="126" t="s">
        <v>231</v>
      </c>
      <c r="J88" s="126" t="s">
        <v>192</v>
      </c>
      <c r="K88" s="126" t="s">
        <v>192</v>
      </c>
      <c r="L88" s="126" t="s">
        <v>2244</v>
      </c>
      <c r="M88" s="167"/>
      <c r="N88" s="126" t="s">
        <v>355</v>
      </c>
      <c r="O88" s="126" t="s">
        <v>356</v>
      </c>
      <c r="P88" s="126" t="s">
        <v>240</v>
      </c>
      <c r="Q88" s="181">
        <f>3107*2.4</f>
        <v>7456.7999999999993</v>
      </c>
      <c r="R88" s="181">
        <f>7500+100</f>
        <v>7600</v>
      </c>
      <c r="S88" s="181">
        <v>7584.0569999999998</v>
      </c>
      <c r="T88" s="181"/>
      <c r="Y88" s="181">
        <f>S88</f>
        <v>7584.0569999999998</v>
      </c>
      <c r="AX88" s="165">
        <f t="shared" si="32"/>
        <v>45132.083333333336</v>
      </c>
      <c r="AY88" s="165">
        <f t="shared" si="33"/>
        <v>45147.680555555555</v>
      </c>
      <c r="AZ88" s="137">
        <f t="shared" si="34"/>
        <v>15.597222222218988</v>
      </c>
      <c r="BA88" s="165">
        <v>45132.083333333336</v>
      </c>
      <c r="BB88" s="165">
        <v>45133.618055555555</v>
      </c>
      <c r="BC88" s="165">
        <v>45135.180555555555</v>
      </c>
      <c r="BD88" s="165">
        <v>45136.263888888891</v>
      </c>
      <c r="BE88" s="165">
        <v>45136.454861111109</v>
      </c>
      <c r="BF88" s="165">
        <v>45136.461805555555</v>
      </c>
      <c r="BG88" s="165">
        <v>45136.461805555555</v>
      </c>
      <c r="BH88" s="165">
        <f t="shared" si="31"/>
        <v>45138.170138888891</v>
      </c>
      <c r="BI88" s="165">
        <v>45138.229166608799</v>
      </c>
      <c r="BJ88" s="165">
        <v>45138.395833275463</v>
      </c>
      <c r="BK88" s="210">
        <v>45138.270833333336</v>
      </c>
      <c r="BL88" s="165">
        <v>45141.111111111109</v>
      </c>
      <c r="BM88" s="165">
        <v>45147.142361111109</v>
      </c>
      <c r="BN88" s="165">
        <v>45147.416666666664</v>
      </c>
      <c r="BO88" s="165">
        <v>45147.458333333336</v>
      </c>
      <c r="BP88" s="165">
        <v>45147.458333333336</v>
      </c>
      <c r="BQ88" s="165">
        <v>45147.680555555555</v>
      </c>
      <c r="BT88" s="136">
        <f t="shared" si="21"/>
        <v>37.5</v>
      </c>
      <c r="BU88" s="136">
        <f t="shared" si="22"/>
        <v>4.5833333332557231</v>
      </c>
      <c r="BV88" s="136">
        <f t="shared" si="23"/>
        <v>41.000000000058208</v>
      </c>
      <c r="BW88" s="136">
        <f t="shared" si="24"/>
        <v>65.166668055520859</v>
      </c>
      <c r="BX88" s="135">
        <f t="shared" si="25"/>
        <v>6.5833333333139308</v>
      </c>
      <c r="BY88" s="135">
        <f t="shared" si="26"/>
        <v>5.3333333332557231</v>
      </c>
      <c r="BZ88" s="134">
        <f t="shared" si="27"/>
        <v>6.6736111689751851</v>
      </c>
      <c r="CA88" s="134">
        <f t="shared" si="28"/>
        <v>15.597222222218988</v>
      </c>
      <c r="CB88" s="133">
        <f t="shared" si="29"/>
        <v>0.42787177574916557</v>
      </c>
    </row>
    <row r="89" spans="1:80" s="126" customFormat="1">
      <c r="A89" s="192">
        <f t="shared" si="30"/>
        <v>45136.955555555556</v>
      </c>
      <c r="B89" s="126" t="s">
        <v>228</v>
      </c>
      <c r="C89" s="126" t="s">
        <v>229</v>
      </c>
      <c r="D89" s="126" t="s">
        <v>215</v>
      </c>
      <c r="E89" s="65" t="s">
        <v>2134</v>
      </c>
      <c r="F89" s="126" t="s">
        <v>2622</v>
      </c>
      <c r="G89" s="165">
        <v>45144.5</v>
      </c>
      <c r="H89" s="165">
        <v>45144.375</v>
      </c>
      <c r="I89" s="126" t="s">
        <v>231</v>
      </c>
      <c r="J89" s="126" t="s">
        <v>192</v>
      </c>
      <c r="K89" s="126" t="s">
        <v>192</v>
      </c>
      <c r="L89" s="126" t="s">
        <v>2250</v>
      </c>
      <c r="M89" s="167"/>
      <c r="N89" s="126" t="s">
        <v>422</v>
      </c>
      <c r="O89" s="126" t="s">
        <v>375</v>
      </c>
      <c r="P89" s="126" t="s">
        <v>235</v>
      </c>
      <c r="Q89" s="181">
        <f>3097*2.4</f>
        <v>7432.7999999999993</v>
      </c>
      <c r="R89" s="181">
        <f>7450+100</f>
        <v>7550</v>
      </c>
      <c r="S89" s="181">
        <v>7138.2610000000004</v>
      </c>
      <c r="T89" s="181"/>
      <c r="X89" s="181">
        <f>S89</f>
        <v>7138.2610000000004</v>
      </c>
      <c r="AX89" s="165">
        <f t="shared" si="32"/>
        <v>45132.774305555555</v>
      </c>
      <c r="AY89" s="165">
        <f t="shared" si="33"/>
        <v>45149.243055555555</v>
      </c>
      <c r="AZ89" s="137">
        <f t="shared" si="34"/>
        <v>16.46875</v>
      </c>
      <c r="BA89" s="165">
        <v>45132.774305555555</v>
      </c>
      <c r="BB89" s="165">
        <v>45133.638888888891</v>
      </c>
      <c r="BC89" s="165">
        <v>45135.204861111109</v>
      </c>
      <c r="BD89" s="165">
        <v>45136.955555555556</v>
      </c>
      <c r="BE89" s="165">
        <v>45137.090277777781</v>
      </c>
      <c r="BF89" s="165">
        <v>45137.104166666664</v>
      </c>
      <c r="BG89" s="165">
        <v>45137.291666666664</v>
      </c>
      <c r="BH89" s="165">
        <f t="shared" si="31"/>
        <v>45139</v>
      </c>
      <c r="BI89" s="165">
        <v>45139.229166608799</v>
      </c>
      <c r="BJ89" s="165">
        <v>45139.39583321759</v>
      </c>
      <c r="BK89" s="165">
        <v>45139.364583333336</v>
      </c>
      <c r="BL89" s="165">
        <v>45141.434027777781</v>
      </c>
      <c r="BM89" s="165">
        <v>45148.5</v>
      </c>
      <c r="BN89" s="165">
        <v>45148.854166666664</v>
      </c>
      <c r="BO89" s="165">
        <v>45148.895833333336</v>
      </c>
      <c r="BP89" s="165">
        <v>45148.895833333336</v>
      </c>
      <c r="BQ89" s="165">
        <v>45149.243055555555</v>
      </c>
      <c r="BT89" s="136">
        <f t="shared" si="21"/>
        <v>37.583333333255723</v>
      </c>
      <c r="BU89" s="136">
        <f t="shared" si="22"/>
        <v>3.2333333333954215</v>
      </c>
      <c r="BV89" s="136">
        <f t="shared" si="23"/>
        <v>41.000000000058208</v>
      </c>
      <c r="BW89" s="136">
        <f t="shared" si="24"/>
        <v>48.916669444588479</v>
      </c>
      <c r="BX89" s="135">
        <f t="shared" si="25"/>
        <v>8.4999999999417923</v>
      </c>
      <c r="BY89" s="135">
        <f t="shared" si="26"/>
        <v>8.3333333332557231</v>
      </c>
      <c r="BZ89" s="134">
        <f t="shared" si="27"/>
        <v>6.1486112268539728</v>
      </c>
      <c r="CA89" s="134">
        <f t="shared" si="28"/>
        <v>16.46875</v>
      </c>
      <c r="CB89" s="133">
        <f t="shared" si="29"/>
        <v>0.3733502073232014</v>
      </c>
    </row>
    <row r="90" spans="1:80" s="126" customFormat="1">
      <c r="A90" s="192">
        <f t="shared" si="30"/>
        <v>45137.552083333336</v>
      </c>
      <c r="B90" s="126" t="s">
        <v>228</v>
      </c>
      <c r="C90" s="126" t="s">
        <v>229</v>
      </c>
      <c r="D90" s="126" t="s">
        <v>197</v>
      </c>
      <c r="E90" s="65" t="s">
        <v>2134</v>
      </c>
      <c r="F90" s="126" t="s">
        <v>2622</v>
      </c>
      <c r="G90" s="165">
        <v>45144.5</v>
      </c>
      <c r="H90" s="165">
        <v>45144.375</v>
      </c>
      <c r="I90" s="126" t="s">
        <v>231</v>
      </c>
      <c r="J90" s="126" t="s">
        <v>192</v>
      </c>
      <c r="K90" s="126" t="s">
        <v>192</v>
      </c>
      <c r="L90" s="126" t="s">
        <v>2251</v>
      </c>
      <c r="M90" s="167"/>
      <c r="N90" s="126" t="s">
        <v>295</v>
      </c>
      <c r="O90" s="126" t="s">
        <v>296</v>
      </c>
      <c r="P90" s="126" t="s">
        <v>240</v>
      </c>
      <c r="Q90" s="181">
        <f>4118*2.4</f>
        <v>9883.1999999999989</v>
      </c>
      <c r="R90" s="181">
        <f>9900+100</f>
        <v>10000</v>
      </c>
      <c r="S90" s="181">
        <f>7879.648-7581.402</f>
        <v>298.24600000000009</v>
      </c>
      <c r="T90" s="181"/>
      <c r="Y90" s="181">
        <f>S90</f>
        <v>298.24600000000009</v>
      </c>
      <c r="AX90" s="165">
        <f t="shared" si="32"/>
        <v>45133.384027777778</v>
      </c>
      <c r="AY90" s="165">
        <f t="shared" si="33"/>
        <v>45148.993055555555</v>
      </c>
      <c r="AZ90" s="137">
        <f t="shared" si="34"/>
        <v>15.609027777776646</v>
      </c>
      <c r="BA90" s="165">
        <v>45133.384027777778</v>
      </c>
      <c r="BB90" s="165">
        <v>45133.770138888889</v>
      </c>
      <c r="BC90" s="165">
        <v>45135.416666666664</v>
      </c>
      <c r="BD90" s="165">
        <v>45137.552083333336</v>
      </c>
      <c r="BE90" s="165">
        <v>45137.71875</v>
      </c>
      <c r="BF90" s="165">
        <v>45137.725694444445</v>
      </c>
      <c r="BG90" s="165">
        <v>45137.729166666664</v>
      </c>
      <c r="BH90" s="165">
        <f t="shared" si="31"/>
        <v>45139.4375</v>
      </c>
      <c r="BI90" s="165">
        <v>45140.25</v>
      </c>
      <c r="BJ90" s="165">
        <v>45140.416666666664</v>
      </c>
      <c r="BK90" s="165">
        <v>45140.318749999999</v>
      </c>
      <c r="BL90" s="165">
        <v>45141.5625</v>
      </c>
      <c r="BM90" s="165">
        <v>45148.90625</v>
      </c>
      <c r="BN90" s="165">
        <v>45148.9375</v>
      </c>
      <c r="BO90" s="165">
        <v>45148.993055555555</v>
      </c>
      <c r="BP90" s="165">
        <v>45148.993055555555</v>
      </c>
      <c r="BQ90" s="165">
        <v>45148.993055555555</v>
      </c>
      <c r="BT90" s="136">
        <f t="shared" si="21"/>
        <v>39.516666666604578</v>
      </c>
      <c r="BU90" s="136">
        <f t="shared" si="22"/>
        <v>3.9999999999417923</v>
      </c>
      <c r="BV90" s="136">
        <f t="shared" si="23"/>
        <v>41.000000000058208</v>
      </c>
      <c r="BW90" s="136">
        <f t="shared" si="24"/>
        <v>27.500000000058208</v>
      </c>
      <c r="BX90" s="135">
        <f t="shared" si="25"/>
        <v>0.75</v>
      </c>
      <c r="BY90" s="135">
        <f t="shared" si="26"/>
        <v>0</v>
      </c>
      <c r="BZ90" s="134">
        <f t="shared" si="27"/>
        <v>4.6986111111109494</v>
      </c>
      <c r="CA90" s="134">
        <f t="shared" si="28"/>
        <v>15.609027777776646</v>
      </c>
      <c r="CB90" s="133">
        <f t="shared" si="29"/>
        <v>0.30101881923745416</v>
      </c>
    </row>
    <row r="91" spans="1:80" s="126" customFormat="1">
      <c r="A91" s="192">
        <f t="shared" si="30"/>
        <v>45137.552083333336</v>
      </c>
      <c r="B91" s="126" t="s">
        <v>228</v>
      </c>
      <c r="C91" s="126" t="s">
        <v>229</v>
      </c>
      <c r="D91" s="126" t="s">
        <v>197</v>
      </c>
      <c r="E91" s="65" t="s">
        <v>2309</v>
      </c>
      <c r="F91" s="126" t="s">
        <v>2622</v>
      </c>
      <c r="G91" s="165">
        <v>45142.708333333336</v>
      </c>
      <c r="H91" s="165">
        <v>45142.708333333336</v>
      </c>
      <c r="I91" s="126" t="s">
        <v>231</v>
      </c>
      <c r="J91" s="126" t="s">
        <v>192</v>
      </c>
      <c r="K91" s="126" t="s">
        <v>192</v>
      </c>
      <c r="L91" s="126" t="s">
        <v>2251</v>
      </c>
      <c r="M91" s="167"/>
      <c r="N91" s="126" t="s">
        <v>295</v>
      </c>
      <c r="O91" s="126" t="s">
        <v>296</v>
      </c>
      <c r="P91" s="126" t="s">
        <v>240</v>
      </c>
      <c r="Q91" s="181">
        <f>4118*2.4</f>
        <v>9883.1999999999989</v>
      </c>
      <c r="R91" s="181">
        <f>9900+100</f>
        <v>10000</v>
      </c>
      <c r="S91" s="181">
        <v>7020.4219999999996</v>
      </c>
      <c r="T91" s="181"/>
      <c r="Y91" s="181">
        <f>S91</f>
        <v>7020.4219999999996</v>
      </c>
      <c r="AX91" s="165">
        <f>BA91</f>
        <v>45133.384027777778</v>
      </c>
      <c r="AY91" s="165">
        <f>BQ91</f>
        <v>45156.334722222222</v>
      </c>
      <c r="AZ91" s="137">
        <f>AY91-AX91</f>
        <v>22.950694444443798</v>
      </c>
      <c r="BA91" s="165">
        <v>45133.384027777778</v>
      </c>
      <c r="BB91" s="165">
        <v>45133.770138888889</v>
      </c>
      <c r="BC91" s="165">
        <v>45135.416666666664</v>
      </c>
      <c r="BD91" s="165">
        <v>45137.552083333336</v>
      </c>
      <c r="BE91" s="165">
        <v>45137.71875</v>
      </c>
      <c r="BF91" s="165">
        <v>45137.725694444445</v>
      </c>
      <c r="BG91" s="165">
        <v>45137.729166666664</v>
      </c>
      <c r="BH91" s="165">
        <f>BG91+(41/24)</f>
        <v>45139.4375</v>
      </c>
      <c r="BI91" s="165">
        <v>45140.25</v>
      </c>
      <c r="BJ91" s="165">
        <v>45140.416666666664</v>
      </c>
      <c r="BK91" s="165">
        <v>45140.318749999999</v>
      </c>
      <c r="BL91" s="165">
        <v>45148.993055555555</v>
      </c>
      <c r="BM91" s="165">
        <v>45155.798611111109</v>
      </c>
      <c r="BN91" s="165">
        <v>45156.010416666664</v>
      </c>
      <c r="BO91" s="165">
        <v>45156.03125</v>
      </c>
      <c r="BP91" s="165">
        <v>45156.03125</v>
      </c>
      <c r="BQ91" s="165">
        <v>45156.334722222222</v>
      </c>
      <c r="BT91" s="136">
        <f>(BC91-BB91)*24</f>
        <v>39.516666666604578</v>
      </c>
      <c r="BU91" s="136">
        <f>(BE91-BD91)*24</f>
        <v>3.9999999999417923</v>
      </c>
      <c r="BV91" s="136">
        <f>(BH91-BG91)*24</f>
        <v>41.000000000058208</v>
      </c>
      <c r="BW91" s="136">
        <f>(BL91-BJ91)*24</f>
        <v>205.83333333337214</v>
      </c>
      <c r="BX91" s="135">
        <f>(BN91-BM91)*24</f>
        <v>5.0833333333139308</v>
      </c>
      <c r="BY91" s="135">
        <f>(BQ91-BP91)*24</f>
        <v>7.2833333333255723</v>
      </c>
      <c r="BZ91" s="134">
        <f>SUM(BT91:BY91)/24</f>
        <v>12.613194444442343</v>
      </c>
      <c r="CA91" s="134">
        <f>AZ91</f>
        <v>22.950694444443798</v>
      </c>
      <c r="CB91" s="133">
        <f>BZ91/CA91</f>
        <v>0.54957789948251035</v>
      </c>
    </row>
    <row r="92" spans="1:80" s="126" customFormat="1">
      <c r="A92" s="192">
        <f t="shared" si="30"/>
        <v>45137.138888888891</v>
      </c>
      <c r="B92" s="126" t="s">
        <v>228</v>
      </c>
      <c r="C92" s="126" t="s">
        <v>229</v>
      </c>
      <c r="D92" s="126" t="s">
        <v>197</v>
      </c>
      <c r="E92" s="65" t="s">
        <v>2134</v>
      </c>
      <c r="F92" s="126" t="s">
        <v>2622</v>
      </c>
      <c r="G92" s="165">
        <v>45144.5</v>
      </c>
      <c r="H92" s="165">
        <v>45144.375</v>
      </c>
      <c r="I92" s="126" t="s">
        <v>231</v>
      </c>
      <c r="J92" s="126" t="s">
        <v>192</v>
      </c>
      <c r="K92" s="126" t="s">
        <v>192</v>
      </c>
      <c r="L92" s="126" t="s">
        <v>2247</v>
      </c>
      <c r="M92" s="167"/>
      <c r="N92" s="126" t="s">
        <v>213</v>
      </c>
      <c r="O92" s="126" t="s">
        <v>214</v>
      </c>
      <c r="P92" s="126" t="s">
        <v>240</v>
      </c>
      <c r="Q92" s="181">
        <f>3113*2.4</f>
        <v>7471.2</v>
      </c>
      <c r="R92" s="181">
        <f>7500+100</f>
        <v>7600</v>
      </c>
      <c r="S92" s="181">
        <v>7140.4750000000004</v>
      </c>
      <c r="T92" s="181"/>
      <c r="Y92" s="181">
        <f>S92</f>
        <v>7140.4750000000004</v>
      </c>
      <c r="AX92" s="165">
        <f t="shared" si="32"/>
        <v>45132.388888888891</v>
      </c>
      <c r="AY92" s="165">
        <f t="shared" si="33"/>
        <v>45148.402777777781</v>
      </c>
      <c r="AZ92" s="137">
        <f t="shared" si="34"/>
        <v>16.013888888890506</v>
      </c>
      <c r="BA92" s="165">
        <v>45132.388888888891</v>
      </c>
      <c r="BB92" s="165">
        <v>45133.798611111109</v>
      </c>
      <c r="BC92" s="165">
        <v>45135.472222222219</v>
      </c>
      <c r="BD92" s="165">
        <v>45137.138888888891</v>
      </c>
      <c r="BE92" s="165">
        <v>45137.263888888891</v>
      </c>
      <c r="BF92" s="165">
        <v>45137.267361111109</v>
      </c>
      <c r="BG92" s="165">
        <v>45137.267361111109</v>
      </c>
      <c r="BH92" s="165">
        <f t="shared" si="31"/>
        <v>45138.975694444445</v>
      </c>
      <c r="BI92" s="165">
        <v>45140.25</v>
      </c>
      <c r="BJ92" s="165">
        <v>45140.416666666664</v>
      </c>
      <c r="BK92" s="165">
        <v>45140.385416666664</v>
      </c>
      <c r="BL92" s="165">
        <v>45141.645833333336</v>
      </c>
      <c r="BM92" s="165">
        <v>45147.743055555555</v>
      </c>
      <c r="BN92" s="165">
        <v>45148.006944444445</v>
      </c>
      <c r="BO92" s="165">
        <v>45148.048611111109</v>
      </c>
      <c r="BP92" s="165">
        <v>45148.048611111109</v>
      </c>
      <c r="BQ92" s="165">
        <v>45148.402777777781</v>
      </c>
      <c r="BT92" s="136">
        <f t="shared" si="21"/>
        <v>40.166666666627862</v>
      </c>
      <c r="BU92" s="136">
        <f t="shared" si="22"/>
        <v>3</v>
      </c>
      <c r="BV92" s="136">
        <f t="shared" si="23"/>
        <v>41.000000000058208</v>
      </c>
      <c r="BW92" s="136">
        <f t="shared" si="24"/>
        <v>29.500000000116415</v>
      </c>
      <c r="BX92" s="135">
        <f t="shared" si="25"/>
        <v>6.3333333333721384</v>
      </c>
      <c r="BY92" s="135">
        <f t="shared" si="26"/>
        <v>8.5000000001164153</v>
      </c>
      <c r="BZ92" s="134">
        <f t="shared" si="27"/>
        <v>5.3541666666787933</v>
      </c>
      <c r="CA92" s="134">
        <f t="shared" si="28"/>
        <v>16.013888888890506</v>
      </c>
      <c r="CB92" s="133">
        <f t="shared" si="29"/>
        <v>0.33434518647080158</v>
      </c>
    </row>
    <row r="93" spans="1:80" s="126" customFormat="1">
      <c r="A93" s="192">
        <f t="shared" si="30"/>
        <v>45128.0625</v>
      </c>
      <c r="B93" s="126" t="s">
        <v>228</v>
      </c>
      <c r="C93" s="126" t="s">
        <v>229</v>
      </c>
      <c r="D93" s="126" t="s">
        <v>215</v>
      </c>
      <c r="E93" s="65" t="s">
        <v>2158</v>
      </c>
      <c r="G93" s="166">
        <v>45127.416666666664</v>
      </c>
      <c r="H93" s="166">
        <v>45127.416666666664</v>
      </c>
      <c r="I93" s="126" t="s">
        <v>1031</v>
      </c>
      <c r="J93" s="126" t="s">
        <v>192</v>
      </c>
      <c r="K93" s="126" t="s">
        <v>192</v>
      </c>
      <c r="L93" s="126" t="s">
        <v>2162</v>
      </c>
      <c r="M93" s="167"/>
      <c r="N93" s="126" t="s">
        <v>274</v>
      </c>
      <c r="O93" s="126" t="s">
        <v>1093</v>
      </c>
      <c r="P93" s="126" t="s">
        <v>173</v>
      </c>
      <c r="Q93" s="181">
        <f>3136*2.4</f>
        <v>7526.4</v>
      </c>
      <c r="R93" s="181">
        <f>7550+100</f>
        <v>7650</v>
      </c>
      <c r="S93" s="181">
        <v>7565.1559999999999</v>
      </c>
      <c r="T93" s="181"/>
      <c r="AA93" s="181">
        <f>S93</f>
        <v>7565.1559999999999</v>
      </c>
      <c r="AX93" s="165">
        <f t="shared" si="32"/>
        <v>45123.881944444445</v>
      </c>
      <c r="AY93" s="165">
        <f t="shared" si="33"/>
        <v>45135.083333333336</v>
      </c>
      <c r="AZ93" s="137">
        <f t="shared" si="34"/>
        <v>11.201388888890506</v>
      </c>
      <c r="BA93" s="165">
        <v>45123.881944444445</v>
      </c>
      <c r="BB93" s="165">
        <v>45125.576388888891</v>
      </c>
      <c r="BC93" s="165">
        <v>45127.125</v>
      </c>
      <c r="BD93" s="165">
        <v>45128.0625</v>
      </c>
      <c r="BE93" s="165">
        <v>45128.392361111109</v>
      </c>
      <c r="BF93" s="165">
        <v>45128.399305555555</v>
      </c>
      <c r="BG93" s="165">
        <v>45128.399305555555</v>
      </c>
      <c r="BH93" s="165">
        <f t="shared" si="31"/>
        <v>45130.107638888891</v>
      </c>
      <c r="BI93" s="165">
        <v>45130.25</v>
      </c>
      <c r="BJ93" s="165">
        <v>45130.416666666664</v>
      </c>
      <c r="BK93" s="165">
        <v>45130.329861111109</v>
      </c>
      <c r="BL93" s="165">
        <v>45131.5</v>
      </c>
      <c r="BM93" s="165">
        <v>45134.041666666664</v>
      </c>
      <c r="BN93" s="165">
        <v>45134.638888888891</v>
      </c>
      <c r="BO93" s="165">
        <v>45134.666666666664</v>
      </c>
      <c r="BP93" s="165">
        <v>45134.788194444445</v>
      </c>
      <c r="BQ93" s="165">
        <v>45135.083333333336</v>
      </c>
      <c r="BT93" s="136">
        <f t="shared" si="21"/>
        <v>37.166666666627862</v>
      </c>
      <c r="BU93" s="136">
        <f t="shared" si="22"/>
        <v>7.9166666666278616</v>
      </c>
      <c r="BV93" s="136">
        <f t="shared" si="23"/>
        <v>41.000000000058208</v>
      </c>
      <c r="BW93" s="136">
        <f t="shared" si="24"/>
        <v>26.000000000058208</v>
      </c>
      <c r="BX93" s="135">
        <f t="shared" si="25"/>
        <v>14.333333333430346</v>
      </c>
      <c r="BY93" s="135">
        <f t="shared" si="26"/>
        <v>7.0833333333721384</v>
      </c>
      <c r="BZ93" s="134">
        <f t="shared" si="27"/>
        <v>5.562500000007276</v>
      </c>
      <c r="CA93" s="134">
        <f t="shared" si="28"/>
        <v>11.201388888890506</v>
      </c>
      <c r="CB93" s="133">
        <f t="shared" si="29"/>
        <v>0.49659020458830261</v>
      </c>
    </row>
    <row r="94" spans="1:80" s="126" customFormat="1">
      <c r="A94" s="192">
        <f t="shared" si="30"/>
        <v>45129.496527777781</v>
      </c>
      <c r="B94" s="126" t="s">
        <v>228</v>
      </c>
      <c r="C94" s="126" t="s">
        <v>229</v>
      </c>
      <c r="D94" s="126" t="s">
        <v>215</v>
      </c>
      <c r="E94" s="65" t="s">
        <v>2199</v>
      </c>
      <c r="G94" s="165">
        <v>45131.375</v>
      </c>
      <c r="H94" s="165">
        <v>45131.3</v>
      </c>
      <c r="I94" s="126" t="s">
        <v>1550</v>
      </c>
      <c r="J94" s="126" t="s">
        <v>192</v>
      </c>
      <c r="K94" s="126" t="s">
        <v>192</v>
      </c>
      <c r="L94" s="126" t="s">
        <v>2202</v>
      </c>
      <c r="M94" s="167"/>
      <c r="N94" s="126" t="s">
        <v>721</v>
      </c>
      <c r="O94" s="126" t="s">
        <v>1349</v>
      </c>
      <c r="P94" s="126" t="s">
        <v>173</v>
      </c>
      <c r="Q94" s="181">
        <f>3136*2.4</f>
        <v>7526.4</v>
      </c>
      <c r="R94" s="181">
        <f>7550+100</f>
        <v>7650</v>
      </c>
      <c r="S94" s="181">
        <v>7530.0649999999996</v>
      </c>
      <c r="T94" s="181"/>
      <c r="AA94" s="181">
        <f>S94</f>
        <v>7530.0649999999996</v>
      </c>
      <c r="AX94" s="165">
        <f t="shared" si="32"/>
        <v>45125.819444444445</v>
      </c>
      <c r="AY94" s="165">
        <f t="shared" si="33"/>
        <v>45134.3125</v>
      </c>
      <c r="AZ94" s="137">
        <f t="shared" si="34"/>
        <v>8.4930555555547471</v>
      </c>
      <c r="BA94" s="165">
        <v>45125.819444444445</v>
      </c>
      <c r="BB94" s="165">
        <v>45126.555555555555</v>
      </c>
      <c r="BC94" s="165">
        <v>45128.083333333336</v>
      </c>
      <c r="BD94" s="165">
        <v>45129.496527777781</v>
      </c>
      <c r="BE94" s="165">
        <v>45129.763888888891</v>
      </c>
      <c r="BF94" s="165">
        <v>45129.768750000003</v>
      </c>
      <c r="BG94" s="165">
        <v>45129.768750000003</v>
      </c>
      <c r="BH94" s="165">
        <f t="shared" si="31"/>
        <v>45131.477083333339</v>
      </c>
      <c r="BI94" s="165">
        <v>45131.25</v>
      </c>
      <c r="BJ94" s="165">
        <v>45131.416666666664</v>
      </c>
      <c r="BK94" s="165">
        <v>45131.402777777781</v>
      </c>
      <c r="BL94" s="165">
        <v>45133.055555555555</v>
      </c>
      <c r="BM94" s="165">
        <v>45133.152777777781</v>
      </c>
      <c r="BN94" s="165">
        <v>45133.454861111109</v>
      </c>
      <c r="BO94" s="165">
        <v>45133.465277777781</v>
      </c>
      <c r="BP94" s="165">
        <v>45133.868055555555</v>
      </c>
      <c r="BQ94" s="165">
        <v>45134.3125</v>
      </c>
      <c r="BT94" s="136">
        <f t="shared" si="21"/>
        <v>36.666666666744277</v>
      </c>
      <c r="BU94" s="136">
        <f t="shared" si="22"/>
        <v>6.4166666666278616</v>
      </c>
      <c r="BV94" s="136">
        <f t="shared" si="23"/>
        <v>41.000000000058208</v>
      </c>
      <c r="BW94" s="136">
        <f t="shared" si="24"/>
        <v>39.333333333372138</v>
      </c>
      <c r="BX94" s="135">
        <f t="shared" si="25"/>
        <v>7.2499999998835847</v>
      </c>
      <c r="BY94" s="135">
        <f t="shared" si="26"/>
        <v>10.666666666686069</v>
      </c>
      <c r="BZ94" s="134">
        <f t="shared" si="27"/>
        <v>5.8888888888905058</v>
      </c>
      <c r="CA94" s="134">
        <f t="shared" si="28"/>
        <v>8.4930555555547471</v>
      </c>
      <c r="CB94" s="133">
        <f t="shared" si="29"/>
        <v>0.69337694194629074</v>
      </c>
    </row>
    <row r="95" spans="1:80" s="126" customFormat="1">
      <c r="A95" s="192">
        <f t="shared" si="30"/>
        <v>45107.916666666664</v>
      </c>
      <c r="B95" s="126" t="s">
        <v>188</v>
      </c>
      <c r="C95" s="126" t="s">
        <v>81</v>
      </c>
      <c r="D95" s="126" t="s">
        <v>197</v>
      </c>
      <c r="E95" s="126" t="s">
        <v>2594</v>
      </c>
      <c r="G95" s="165">
        <v>45126.520833333336</v>
      </c>
      <c r="H95" s="165">
        <v>45126.520833333336</v>
      </c>
      <c r="I95" s="126" t="s">
        <v>443</v>
      </c>
      <c r="J95" s="126" t="s">
        <v>192</v>
      </c>
      <c r="K95" s="126" t="s">
        <v>192</v>
      </c>
      <c r="L95" s="126" t="s">
        <v>2084</v>
      </c>
      <c r="M95" s="167"/>
      <c r="N95" s="126" t="s">
        <v>1307</v>
      </c>
      <c r="O95" s="126" t="s">
        <v>1308</v>
      </c>
      <c r="P95" s="126" t="s">
        <v>81</v>
      </c>
      <c r="Q95" s="181">
        <f t="shared" ref="Q95:Q101" si="37">2205*2.4</f>
        <v>5292</v>
      </c>
      <c r="R95" s="181">
        <f t="shared" ref="R95:R101" si="38">5300+100</f>
        <v>5400</v>
      </c>
      <c r="S95" s="181">
        <v>5141</v>
      </c>
      <c r="T95" s="181"/>
      <c r="AI95" s="181">
        <f t="shared" ref="AI95:AI100" si="39">S95</f>
        <v>5141</v>
      </c>
      <c r="AX95" s="165">
        <f t="shared" si="32"/>
        <v>45105.513888888891</v>
      </c>
      <c r="AY95" s="165">
        <f t="shared" si="33"/>
        <v>45112.286111111112</v>
      </c>
      <c r="AZ95" s="137">
        <f t="shared" si="34"/>
        <v>6.7722222222218988</v>
      </c>
      <c r="BA95" s="165">
        <v>45105.513888888891</v>
      </c>
      <c r="BB95" s="165">
        <v>45107.59375</v>
      </c>
      <c r="BC95" s="165">
        <v>45107.875</v>
      </c>
      <c r="BD95" s="165">
        <v>45107.916666666664</v>
      </c>
      <c r="BE95" s="165">
        <v>45108.694444444445</v>
      </c>
      <c r="BF95" s="165">
        <v>45108.753472222219</v>
      </c>
      <c r="BG95" s="165">
        <v>45109.996527777781</v>
      </c>
      <c r="BH95" s="165">
        <v>45109.996527777781</v>
      </c>
      <c r="BI95" s="166" t="s">
        <v>196</v>
      </c>
      <c r="BJ95" s="166" t="s">
        <v>196</v>
      </c>
      <c r="BK95" s="166" t="s">
        <v>196</v>
      </c>
      <c r="BL95" s="165">
        <v>45111.666666666664</v>
      </c>
      <c r="BM95" s="165">
        <v>45112.076388888891</v>
      </c>
      <c r="BN95" s="165">
        <v>45112.286111111112</v>
      </c>
      <c r="BO95" s="165">
        <v>45112.286111111112</v>
      </c>
      <c r="BP95" s="165">
        <v>45112.286111111112</v>
      </c>
      <c r="BQ95" s="165">
        <v>45112.286111111112</v>
      </c>
      <c r="BR95" s="126" t="s">
        <v>1566</v>
      </c>
      <c r="BT95" s="136">
        <f t="shared" si="21"/>
        <v>6.75</v>
      </c>
      <c r="BU95" s="136">
        <f t="shared" si="22"/>
        <v>18.666666666744277</v>
      </c>
      <c r="BV95" s="136">
        <f t="shared" si="23"/>
        <v>0</v>
      </c>
      <c r="BW95" s="136">
        <f t="shared" ref="BW95:BW114" si="40">(BL95-BH95)*24</f>
        <v>40.083333333197515</v>
      </c>
      <c r="BX95" s="135">
        <f t="shared" si="25"/>
        <v>5.0333333333255723</v>
      </c>
      <c r="BY95" s="135">
        <f t="shared" si="26"/>
        <v>0</v>
      </c>
      <c r="BZ95" s="134">
        <f t="shared" si="27"/>
        <v>2.9388888888861402</v>
      </c>
      <c r="CA95" s="134">
        <f t="shared" si="28"/>
        <v>6.7722222222218988</v>
      </c>
      <c r="CB95" s="133">
        <f t="shared" si="29"/>
        <v>0.43396226415055822</v>
      </c>
    </row>
    <row r="96" spans="1:80" s="126" customFormat="1">
      <c r="A96" s="192">
        <f t="shared" si="30"/>
        <v>45112.625</v>
      </c>
      <c r="B96" s="126" t="s">
        <v>188</v>
      </c>
      <c r="C96" s="126" t="s">
        <v>81</v>
      </c>
      <c r="D96" s="126" t="s">
        <v>197</v>
      </c>
      <c r="E96" s="65" t="s">
        <v>2083</v>
      </c>
      <c r="G96" s="315">
        <v>45121.666666666664</v>
      </c>
      <c r="H96" s="315">
        <v>45121.616666666669</v>
      </c>
      <c r="I96" s="126" t="s">
        <v>443</v>
      </c>
      <c r="J96" s="126" t="s">
        <v>192</v>
      </c>
      <c r="K96" s="126" t="s">
        <v>192</v>
      </c>
      <c r="L96" s="126" t="s">
        <v>2063</v>
      </c>
      <c r="M96" s="167"/>
      <c r="N96" s="126" t="s">
        <v>383</v>
      </c>
      <c r="O96" s="126" t="s">
        <v>384</v>
      </c>
      <c r="P96" s="126" t="s">
        <v>81</v>
      </c>
      <c r="Q96" s="181">
        <f t="shared" si="37"/>
        <v>5292</v>
      </c>
      <c r="R96" s="181">
        <f t="shared" si="38"/>
        <v>5400</v>
      </c>
      <c r="S96" s="181">
        <v>5116</v>
      </c>
      <c r="T96" s="181"/>
      <c r="AI96" s="181">
        <f t="shared" si="39"/>
        <v>5116</v>
      </c>
      <c r="AX96" s="165">
        <f t="shared" si="32"/>
        <v>45110.909722222219</v>
      </c>
      <c r="AY96" s="165">
        <f t="shared" si="33"/>
        <v>45117</v>
      </c>
      <c r="AZ96" s="137">
        <f t="shared" si="34"/>
        <v>6.0902777777810115</v>
      </c>
      <c r="BA96" s="165">
        <v>45110.909722222219</v>
      </c>
      <c r="BB96" s="165">
        <v>45112.3125</v>
      </c>
      <c r="BC96" s="165">
        <v>45112.527777777781</v>
      </c>
      <c r="BD96" s="165">
        <v>45112.625</v>
      </c>
      <c r="BE96" s="165">
        <v>45113.295138888891</v>
      </c>
      <c r="BF96" s="165">
        <v>45113.395833333336</v>
      </c>
      <c r="BG96" s="165">
        <v>45114.15625</v>
      </c>
      <c r="BH96" s="165">
        <v>45114.15625</v>
      </c>
      <c r="BI96" s="166" t="s">
        <v>196</v>
      </c>
      <c r="BJ96" s="166" t="s">
        <v>196</v>
      </c>
      <c r="BK96" s="166" t="s">
        <v>196</v>
      </c>
      <c r="BL96" s="165">
        <v>45115.583333333336</v>
      </c>
      <c r="BM96" s="165">
        <v>45116.069444444445</v>
      </c>
      <c r="BN96" s="165">
        <v>45116.340277777781</v>
      </c>
      <c r="BO96" s="165">
        <v>45116.361111111109</v>
      </c>
      <c r="BP96" s="165">
        <v>45116.486111111109</v>
      </c>
      <c r="BQ96" s="165">
        <v>45117</v>
      </c>
      <c r="BT96" s="136">
        <f t="shared" si="21"/>
        <v>5.1666666667442769</v>
      </c>
      <c r="BU96" s="136">
        <f t="shared" si="22"/>
        <v>16.083333333372138</v>
      </c>
      <c r="BV96" s="136">
        <f t="shared" si="23"/>
        <v>0</v>
      </c>
      <c r="BW96" s="136">
        <f t="shared" si="40"/>
        <v>34.250000000058208</v>
      </c>
      <c r="BX96" s="135">
        <f t="shared" si="25"/>
        <v>6.5000000000582077</v>
      </c>
      <c r="BY96" s="135">
        <f t="shared" si="26"/>
        <v>12.333333333372138</v>
      </c>
      <c r="BZ96" s="134">
        <f t="shared" si="27"/>
        <v>3.0972222222335404</v>
      </c>
      <c r="CA96" s="134">
        <f t="shared" si="28"/>
        <v>6.0902777777810115</v>
      </c>
      <c r="CB96" s="133">
        <f t="shared" si="29"/>
        <v>0.50855188141549945</v>
      </c>
    </row>
    <row r="97" spans="1:80" s="126" customFormat="1">
      <c r="A97" s="192">
        <f t="shared" si="30"/>
        <v>45113.638888888891</v>
      </c>
      <c r="B97" s="126" t="s">
        <v>188</v>
      </c>
      <c r="C97" s="126" t="s">
        <v>81</v>
      </c>
      <c r="D97" s="126" t="s">
        <v>197</v>
      </c>
      <c r="E97" s="126" t="s">
        <v>1864</v>
      </c>
      <c r="G97" s="315">
        <v>45118.375</v>
      </c>
      <c r="H97" s="315">
        <v>45118.384722222225</v>
      </c>
      <c r="I97" s="126" t="s">
        <v>439</v>
      </c>
      <c r="J97" s="126" t="s">
        <v>192</v>
      </c>
      <c r="K97" s="126" t="s">
        <v>192</v>
      </c>
      <c r="L97" s="126" t="s">
        <v>2623</v>
      </c>
      <c r="M97" s="167"/>
      <c r="N97" s="126" t="s">
        <v>1307</v>
      </c>
      <c r="O97" s="126" t="s">
        <v>1308</v>
      </c>
      <c r="P97" s="126" t="s">
        <v>81</v>
      </c>
      <c r="Q97" s="181">
        <f t="shared" si="37"/>
        <v>5292</v>
      </c>
      <c r="R97" s="181">
        <f t="shared" si="38"/>
        <v>5400</v>
      </c>
      <c r="S97" s="181">
        <v>5182</v>
      </c>
      <c r="T97" s="181"/>
      <c r="AI97" s="181">
        <f t="shared" si="39"/>
        <v>5182</v>
      </c>
      <c r="AX97" s="165">
        <f t="shared" si="32"/>
        <v>45112.286111111112</v>
      </c>
      <c r="AY97" s="165">
        <f t="shared" si="33"/>
        <v>45119.708333333336</v>
      </c>
      <c r="AZ97" s="137">
        <f t="shared" si="34"/>
        <v>7.422222222223354</v>
      </c>
      <c r="BA97" s="165">
        <v>45112.286111111112</v>
      </c>
      <c r="BB97" s="165">
        <v>45112.423611111109</v>
      </c>
      <c r="BC97" s="165">
        <v>45113.5</v>
      </c>
      <c r="BD97" s="165">
        <v>45113.638888888891</v>
      </c>
      <c r="BE97" s="165">
        <v>45114.611111111109</v>
      </c>
      <c r="BF97" s="165">
        <v>45114.645833333336</v>
      </c>
      <c r="BG97" s="165">
        <v>45115.135416666664</v>
      </c>
      <c r="BH97" s="165">
        <v>45115.135416666664</v>
      </c>
      <c r="BI97" s="166" t="s">
        <v>196</v>
      </c>
      <c r="BJ97" s="166" t="s">
        <v>196</v>
      </c>
      <c r="BK97" s="166" t="s">
        <v>196</v>
      </c>
      <c r="BL97" s="165">
        <v>45116.541666666664</v>
      </c>
      <c r="BM97" s="165">
        <v>45119.5</v>
      </c>
      <c r="BN97" s="165">
        <v>45119.6875</v>
      </c>
      <c r="BO97" s="165">
        <v>45119.708333333336</v>
      </c>
      <c r="BP97" s="165">
        <v>45119.708333333336</v>
      </c>
      <c r="BQ97" s="165">
        <v>45119.708333333336</v>
      </c>
      <c r="BR97" s="126" t="s">
        <v>2624</v>
      </c>
      <c r="BT97" s="136">
        <f t="shared" si="21"/>
        <v>25.833333333372138</v>
      </c>
      <c r="BU97" s="136">
        <f t="shared" si="22"/>
        <v>23.333333333255723</v>
      </c>
      <c r="BV97" s="136">
        <f t="shared" si="23"/>
        <v>0</v>
      </c>
      <c r="BW97" s="136">
        <f t="shared" si="40"/>
        <v>33.75</v>
      </c>
      <c r="BX97" s="135">
        <f t="shared" si="25"/>
        <v>4.5</v>
      </c>
      <c r="BY97" s="135">
        <f t="shared" si="26"/>
        <v>0</v>
      </c>
      <c r="BZ97" s="134">
        <f t="shared" si="27"/>
        <v>3.6423611111094942</v>
      </c>
      <c r="CA97" s="134">
        <f t="shared" si="28"/>
        <v>7.422222222223354</v>
      </c>
      <c r="CB97" s="133">
        <f t="shared" si="29"/>
        <v>0.49073727544880913</v>
      </c>
    </row>
    <row r="98" spans="1:80" s="126" customFormat="1">
      <c r="A98" s="192">
        <f t="shared" si="30"/>
        <v>45126.614583333336</v>
      </c>
      <c r="B98" s="126" t="s">
        <v>188</v>
      </c>
      <c r="C98" s="126" t="s">
        <v>81</v>
      </c>
      <c r="D98" s="126" t="s">
        <v>197</v>
      </c>
      <c r="E98" s="126" t="s">
        <v>2172</v>
      </c>
      <c r="G98" s="315">
        <v>45129.291666666664</v>
      </c>
      <c r="H98" s="315">
        <v>45129.291666666664</v>
      </c>
      <c r="I98" s="126" t="s">
        <v>439</v>
      </c>
      <c r="J98" s="126" t="s">
        <v>192</v>
      </c>
      <c r="K98" s="126" t="s">
        <v>192</v>
      </c>
      <c r="L98" s="126" t="s">
        <v>2177</v>
      </c>
      <c r="M98" s="167"/>
      <c r="N98" s="126" t="s">
        <v>1303</v>
      </c>
      <c r="O98" s="126" t="s">
        <v>1304</v>
      </c>
      <c r="P98" s="126" t="s">
        <v>81</v>
      </c>
      <c r="Q98" s="181">
        <f t="shared" si="37"/>
        <v>5292</v>
      </c>
      <c r="R98" s="181">
        <f t="shared" si="38"/>
        <v>5400</v>
      </c>
      <c r="S98" s="181">
        <v>5051</v>
      </c>
      <c r="T98" s="181"/>
      <c r="AI98" s="181">
        <f t="shared" si="39"/>
        <v>5051</v>
      </c>
      <c r="AX98" s="165">
        <f t="shared" si="32"/>
        <v>45125.333333333336</v>
      </c>
      <c r="AY98" s="165">
        <f t="shared" si="33"/>
        <v>45132.895833333336</v>
      </c>
      <c r="AZ98" s="137">
        <f t="shared" si="34"/>
        <v>7.5625</v>
      </c>
      <c r="BA98" s="165">
        <v>45125.333333333336</v>
      </c>
      <c r="BB98" s="165">
        <v>45126.201388888891</v>
      </c>
      <c r="BC98" s="165">
        <v>45126.5</v>
      </c>
      <c r="BD98" s="165">
        <v>45126.614583333336</v>
      </c>
      <c r="BE98" s="165">
        <v>45127.461805555555</v>
      </c>
      <c r="BF98" s="165">
        <v>45127.527777777781</v>
      </c>
      <c r="BG98" s="165">
        <v>45127.75</v>
      </c>
      <c r="BH98" s="165">
        <v>45127.75</v>
      </c>
      <c r="BI98" s="166" t="s">
        <v>196</v>
      </c>
      <c r="BJ98" s="166" t="s">
        <v>196</v>
      </c>
      <c r="BK98" s="166" t="s">
        <v>196</v>
      </c>
      <c r="BL98" s="165">
        <v>45128.909722222219</v>
      </c>
      <c r="BM98" s="165">
        <v>45132.291666666664</v>
      </c>
      <c r="BN98" s="165">
        <v>45132.503472222219</v>
      </c>
      <c r="BO98" s="165">
        <v>45132.524305555555</v>
      </c>
      <c r="BP98" s="165">
        <v>45132.524305555555</v>
      </c>
      <c r="BQ98" s="165">
        <v>45132.895833333336</v>
      </c>
      <c r="BT98" s="136">
        <f t="shared" si="21"/>
        <v>7.1666666666278616</v>
      </c>
      <c r="BU98" s="136">
        <f t="shared" si="22"/>
        <v>20.333333333255723</v>
      </c>
      <c r="BV98" s="136">
        <f t="shared" si="23"/>
        <v>0</v>
      </c>
      <c r="BW98" s="136">
        <f t="shared" si="40"/>
        <v>27.833333333255723</v>
      </c>
      <c r="BX98" s="135">
        <f t="shared" si="25"/>
        <v>5.0833333333139308</v>
      </c>
      <c r="BY98" s="135">
        <f t="shared" si="26"/>
        <v>8.9166666667442769</v>
      </c>
      <c r="BZ98" s="134">
        <f t="shared" si="27"/>
        <v>2.8888888888832298</v>
      </c>
      <c r="CA98" s="134">
        <f t="shared" si="28"/>
        <v>7.5625</v>
      </c>
      <c r="CB98" s="133">
        <f t="shared" si="29"/>
        <v>0.38200183654654279</v>
      </c>
    </row>
    <row r="99" spans="1:80" s="126" customFormat="1">
      <c r="A99" s="192">
        <f t="shared" si="30"/>
        <v>45129.083333333336</v>
      </c>
      <c r="B99" s="126" t="s">
        <v>188</v>
      </c>
      <c r="C99" s="126" t="s">
        <v>81</v>
      </c>
      <c r="D99" s="126" t="s">
        <v>197</v>
      </c>
      <c r="E99" s="65" t="s">
        <v>2172</v>
      </c>
      <c r="G99" s="315">
        <v>45129.291666666664</v>
      </c>
      <c r="H99" s="315">
        <v>45129.291666666664</v>
      </c>
      <c r="I99" s="126" t="s">
        <v>439</v>
      </c>
      <c r="J99" s="126" t="s">
        <v>192</v>
      </c>
      <c r="K99" s="126" t="s">
        <v>192</v>
      </c>
      <c r="L99" s="126" t="s">
        <v>2181</v>
      </c>
      <c r="M99" s="167"/>
      <c r="N99" s="126" t="s">
        <v>1307</v>
      </c>
      <c r="O99" s="126" t="s">
        <v>1308</v>
      </c>
      <c r="P99" s="126" t="s">
        <v>81</v>
      </c>
      <c r="Q99" s="181">
        <f t="shared" si="37"/>
        <v>5292</v>
      </c>
      <c r="R99" s="181">
        <f t="shared" si="38"/>
        <v>5400</v>
      </c>
      <c r="S99" s="181">
        <v>5052</v>
      </c>
      <c r="T99" s="181"/>
      <c r="AI99" s="181">
        <f t="shared" si="39"/>
        <v>5052</v>
      </c>
      <c r="AX99" s="165">
        <f t="shared" si="32"/>
        <v>45127.291666666664</v>
      </c>
      <c r="AY99" s="165">
        <f t="shared" si="33"/>
        <v>45134.315972222219</v>
      </c>
      <c r="AZ99" s="137">
        <f t="shared" si="34"/>
        <v>7.0243055555547471</v>
      </c>
      <c r="BA99" s="165">
        <v>45127.291666666664</v>
      </c>
      <c r="BB99" s="165">
        <v>45128.628472222219</v>
      </c>
      <c r="BC99" s="165">
        <v>45129.041666666664</v>
      </c>
      <c r="BD99" s="165">
        <v>45129.083333333336</v>
      </c>
      <c r="BE99" s="165">
        <v>45130.375</v>
      </c>
      <c r="BF99" s="165">
        <v>45130.5</v>
      </c>
      <c r="BG99" s="165">
        <v>45131.201388888891</v>
      </c>
      <c r="BH99" s="165">
        <v>45131.201388888891</v>
      </c>
      <c r="BI99" s="166" t="s">
        <v>196</v>
      </c>
      <c r="BJ99" s="166" t="s">
        <v>196</v>
      </c>
      <c r="BK99" s="166" t="s">
        <v>196</v>
      </c>
      <c r="BL99" s="165">
        <v>45132.416666666664</v>
      </c>
      <c r="BM99" s="165">
        <v>45133.513888888891</v>
      </c>
      <c r="BN99" s="165">
        <v>45133.690972222219</v>
      </c>
      <c r="BO99" s="165">
        <v>45133.711805555555</v>
      </c>
      <c r="BP99" s="165">
        <v>45133.711805555555</v>
      </c>
      <c r="BQ99" s="165">
        <v>45134.315972222219</v>
      </c>
      <c r="BT99" s="136">
        <f t="shared" si="21"/>
        <v>9.9166666666860692</v>
      </c>
      <c r="BU99" s="136">
        <f t="shared" si="22"/>
        <v>30.999999999941792</v>
      </c>
      <c r="BV99" s="136">
        <f t="shared" si="23"/>
        <v>0</v>
      </c>
      <c r="BW99" s="136">
        <f t="shared" si="40"/>
        <v>29.166666666569654</v>
      </c>
      <c r="BX99" s="135">
        <f t="shared" si="25"/>
        <v>4.2499999998835847</v>
      </c>
      <c r="BY99" s="135">
        <f t="shared" si="26"/>
        <v>14.499999999941792</v>
      </c>
      <c r="BZ99" s="134">
        <f t="shared" si="27"/>
        <v>3.7013888888759539</v>
      </c>
      <c r="CA99" s="134">
        <f t="shared" si="28"/>
        <v>7.0243055555547471</v>
      </c>
      <c r="CB99" s="133">
        <f t="shared" si="29"/>
        <v>0.52694018783806096</v>
      </c>
    </row>
    <row r="100" spans="1:80" s="126" customFormat="1">
      <c r="A100" s="192">
        <f t="shared" si="30"/>
        <v>45134.329861111109</v>
      </c>
      <c r="B100" s="126" t="s">
        <v>188</v>
      </c>
      <c r="C100" s="126" t="s">
        <v>81</v>
      </c>
      <c r="D100" s="126" t="s">
        <v>197</v>
      </c>
      <c r="E100" s="126" t="s">
        <v>1896</v>
      </c>
      <c r="G100" s="165">
        <v>45137.162499999999</v>
      </c>
      <c r="H100" s="165">
        <v>45137.162499999999</v>
      </c>
      <c r="I100" s="126" t="s">
        <v>443</v>
      </c>
      <c r="J100" s="126" t="s">
        <v>192</v>
      </c>
      <c r="K100" s="126" t="s">
        <v>192</v>
      </c>
      <c r="L100" s="126" t="s">
        <v>2625</v>
      </c>
      <c r="M100" s="167"/>
      <c r="N100" s="126" t="s">
        <v>1303</v>
      </c>
      <c r="O100" s="126" t="s">
        <v>1304</v>
      </c>
      <c r="P100" s="126" t="s">
        <v>81</v>
      </c>
      <c r="Q100" s="181">
        <f t="shared" si="37"/>
        <v>5292</v>
      </c>
      <c r="R100" s="181">
        <f t="shared" si="38"/>
        <v>5400</v>
      </c>
      <c r="S100" s="181">
        <v>5046</v>
      </c>
      <c r="T100" s="181"/>
      <c r="AI100" s="181">
        <f t="shared" si="39"/>
        <v>5046</v>
      </c>
      <c r="AX100" s="165">
        <f t="shared" si="32"/>
        <v>45132.895833333336</v>
      </c>
      <c r="AY100" s="165">
        <f t="shared" si="33"/>
        <v>45138.611111111109</v>
      </c>
      <c r="AZ100" s="137">
        <f t="shared" si="34"/>
        <v>5.7152777777737356</v>
      </c>
      <c r="BA100" s="165">
        <v>45132.895833333336</v>
      </c>
      <c r="BB100" s="165">
        <v>45133.972222222219</v>
      </c>
      <c r="BC100" s="165">
        <v>45134.180555555555</v>
      </c>
      <c r="BD100" s="165">
        <v>45134.329861111109</v>
      </c>
      <c r="BE100" s="165">
        <v>45135</v>
      </c>
      <c r="BF100" s="165">
        <v>45135.409722222219</v>
      </c>
      <c r="BG100" s="165">
        <v>45135.902777777781</v>
      </c>
      <c r="BH100" s="165">
        <v>45135.902777777781</v>
      </c>
      <c r="BI100" s="166" t="s">
        <v>196</v>
      </c>
      <c r="BJ100" s="166" t="s">
        <v>196</v>
      </c>
      <c r="BK100" s="166" t="s">
        <v>196</v>
      </c>
      <c r="BL100" s="165">
        <v>45137.381944444445</v>
      </c>
      <c r="BM100" s="165">
        <v>45015.722222222219</v>
      </c>
      <c r="BN100" s="165">
        <v>45137.965277777781</v>
      </c>
      <c r="BO100" s="165">
        <v>45137.975694444445</v>
      </c>
      <c r="BP100" s="165">
        <v>45137.979166666664</v>
      </c>
      <c r="BQ100" s="165">
        <v>45138.611111111109</v>
      </c>
      <c r="BT100" s="136">
        <f t="shared" si="21"/>
        <v>5.0000000000582077</v>
      </c>
      <c r="BU100" s="136">
        <f t="shared" si="22"/>
        <v>16.083333333372138</v>
      </c>
      <c r="BV100" s="136">
        <f t="shared" si="23"/>
        <v>0</v>
      </c>
      <c r="BW100" s="136">
        <f t="shared" si="40"/>
        <v>35.499999999941792</v>
      </c>
      <c r="BX100" s="135">
        <f t="shared" si="25"/>
        <v>2933.8333333334886</v>
      </c>
      <c r="BY100" s="135">
        <f t="shared" si="26"/>
        <v>15.166666666686069</v>
      </c>
      <c r="BZ100" s="134">
        <f t="shared" si="27"/>
        <v>125.23263888889778</v>
      </c>
      <c r="CA100" s="134">
        <f t="shared" si="28"/>
        <v>5.7152777777737356</v>
      </c>
      <c r="CB100" s="133">
        <f t="shared" si="29"/>
        <v>21.911907654938073</v>
      </c>
    </row>
    <row r="101" spans="1:80" s="126" customFormat="1">
      <c r="A101" s="192">
        <f t="shared" si="30"/>
        <v>45121.371527777781</v>
      </c>
      <c r="B101" s="126" t="s">
        <v>188</v>
      </c>
      <c r="C101" s="126" t="s">
        <v>87</v>
      </c>
      <c r="D101" s="126" t="s">
        <v>197</v>
      </c>
      <c r="E101" s="126" t="s">
        <v>2088</v>
      </c>
      <c r="G101" s="315">
        <v>45123.583333333336</v>
      </c>
      <c r="H101" s="315">
        <v>45123.574999999997</v>
      </c>
      <c r="I101" s="126" t="s">
        <v>751</v>
      </c>
      <c r="J101" s="126" t="s">
        <v>192</v>
      </c>
      <c r="K101" s="126" t="s">
        <v>192</v>
      </c>
      <c r="L101" s="126" t="s">
        <v>2099</v>
      </c>
      <c r="M101" s="167"/>
      <c r="N101" s="126" t="s">
        <v>1307</v>
      </c>
      <c r="O101" s="126" t="s">
        <v>1308</v>
      </c>
      <c r="P101" s="126" t="s">
        <v>1164</v>
      </c>
      <c r="Q101" s="181">
        <f t="shared" si="37"/>
        <v>5292</v>
      </c>
      <c r="R101" s="181">
        <f t="shared" si="38"/>
        <v>5400</v>
      </c>
      <c r="S101" s="181">
        <v>2933.8809999999999</v>
      </c>
      <c r="T101" s="181"/>
      <c r="AH101" s="181">
        <f>S101</f>
        <v>2933.8809999999999</v>
      </c>
      <c r="AX101" s="165">
        <f t="shared" si="32"/>
        <v>45119.708333333336</v>
      </c>
      <c r="AY101" s="165">
        <f t="shared" si="33"/>
        <v>45127.291666666664</v>
      </c>
      <c r="AZ101" s="137">
        <f t="shared" si="34"/>
        <v>7.5833333333284827</v>
      </c>
      <c r="BA101" s="165">
        <v>45119.708333333336</v>
      </c>
      <c r="BB101" s="165">
        <v>45120.125</v>
      </c>
      <c r="BC101" s="165">
        <v>45120.333333333336</v>
      </c>
      <c r="BD101" s="165">
        <v>45121.371527777781</v>
      </c>
      <c r="BE101" s="165">
        <v>45121.461805555555</v>
      </c>
      <c r="BF101" s="165">
        <v>45121.465277777781</v>
      </c>
      <c r="BG101" s="165">
        <v>45121.954861111109</v>
      </c>
      <c r="BH101" s="165">
        <v>45121.954861111109</v>
      </c>
      <c r="BI101" s="166" t="s">
        <v>196</v>
      </c>
      <c r="BJ101" s="166" t="s">
        <v>196</v>
      </c>
      <c r="BK101" s="166" t="s">
        <v>196</v>
      </c>
      <c r="BL101" s="165">
        <v>45122.4375</v>
      </c>
      <c r="BM101" s="165">
        <v>45126.458333333336</v>
      </c>
      <c r="BN101" s="165">
        <v>45126.729166666664</v>
      </c>
      <c r="BO101" s="165">
        <v>45126.784722222219</v>
      </c>
      <c r="BP101" s="165">
        <v>45126.784722222219</v>
      </c>
      <c r="BQ101" s="165">
        <v>45127.291666666664</v>
      </c>
      <c r="BT101" s="136">
        <f t="shared" si="21"/>
        <v>5.0000000000582077</v>
      </c>
      <c r="BU101" s="136">
        <f t="shared" si="22"/>
        <v>2.1666666665696539</v>
      </c>
      <c r="BV101" s="136">
        <f t="shared" si="23"/>
        <v>0</v>
      </c>
      <c r="BW101" s="136">
        <f t="shared" si="40"/>
        <v>11.583333333372138</v>
      </c>
      <c r="BX101" s="135">
        <f t="shared" si="25"/>
        <v>6.4999999998835847</v>
      </c>
      <c r="BY101" s="135">
        <f t="shared" si="26"/>
        <v>12.166666666686069</v>
      </c>
      <c r="BZ101" s="134">
        <f t="shared" si="27"/>
        <v>1.5590277777737356</v>
      </c>
      <c r="CA101" s="134">
        <f t="shared" si="28"/>
        <v>7.5833333333284827</v>
      </c>
      <c r="CB101" s="133">
        <f t="shared" si="29"/>
        <v>0.20558608058567904</v>
      </c>
    </row>
    <row r="102" spans="1:80" s="126" customFormat="1">
      <c r="A102" s="192">
        <f t="shared" si="30"/>
        <v>45121.510416666664</v>
      </c>
      <c r="B102" s="126" t="s">
        <v>188</v>
      </c>
      <c r="C102" s="126" t="s">
        <v>87</v>
      </c>
      <c r="D102" s="126" t="s">
        <v>197</v>
      </c>
      <c r="E102" s="65" t="s">
        <v>2102</v>
      </c>
      <c r="G102" s="315">
        <v>45117.541666666664</v>
      </c>
      <c r="H102" s="315">
        <v>45117.520833333336</v>
      </c>
      <c r="I102" s="126" t="s">
        <v>751</v>
      </c>
      <c r="J102" s="126" t="s">
        <v>192</v>
      </c>
      <c r="K102" s="126" t="s">
        <v>192</v>
      </c>
      <c r="L102" s="126" t="s">
        <v>2112</v>
      </c>
      <c r="M102" s="167"/>
      <c r="N102" s="126" t="s">
        <v>695</v>
      </c>
      <c r="O102" s="126" t="s">
        <v>281</v>
      </c>
      <c r="P102" s="126" t="s">
        <v>1164</v>
      </c>
      <c r="Q102" s="181">
        <f>3102*2.4</f>
        <v>7444.7999999999993</v>
      </c>
      <c r="R102" s="181">
        <f>7450+100</f>
        <v>7550</v>
      </c>
      <c r="S102" s="181">
        <v>7594.4939999999997</v>
      </c>
      <c r="T102" s="181"/>
      <c r="AH102" s="181">
        <f>S102</f>
        <v>7594.4939999999997</v>
      </c>
      <c r="AX102" s="165">
        <f t="shared" si="32"/>
        <v>45121.166666666664</v>
      </c>
      <c r="AY102" s="165">
        <f t="shared" si="33"/>
        <v>45126.416666666664</v>
      </c>
      <c r="AZ102" s="137">
        <f t="shared" si="34"/>
        <v>5.25</v>
      </c>
      <c r="BA102" s="165">
        <v>45121.166666666664</v>
      </c>
      <c r="BB102" s="165">
        <v>45121.1875</v>
      </c>
      <c r="BC102" s="165">
        <v>45121.222916666666</v>
      </c>
      <c r="BD102" s="165">
        <v>45121.510416666664</v>
      </c>
      <c r="BE102" s="165">
        <v>45121.659722222219</v>
      </c>
      <c r="BF102" s="165">
        <v>45121.670138888891</v>
      </c>
      <c r="BG102" s="165">
        <v>45122.680555555555</v>
      </c>
      <c r="BH102" s="165">
        <v>45122.680555555555</v>
      </c>
      <c r="BI102" s="166" t="s">
        <v>196</v>
      </c>
      <c r="BJ102" s="166" t="s">
        <v>196</v>
      </c>
      <c r="BK102" s="166" t="s">
        <v>196</v>
      </c>
      <c r="BL102" s="165">
        <v>45122.979166666664</v>
      </c>
      <c r="BM102" s="165">
        <v>45125.291666666664</v>
      </c>
      <c r="BN102" s="165">
        <v>45125.708333333328</v>
      </c>
      <c r="BO102" s="165">
        <v>45125.729166666664</v>
      </c>
      <c r="BP102" s="165">
        <v>45126.111111111109</v>
      </c>
      <c r="BQ102" s="165">
        <v>45126.416666666664</v>
      </c>
      <c r="BT102" s="136">
        <f t="shared" si="21"/>
        <v>0.84999999997671694</v>
      </c>
      <c r="BU102" s="136">
        <f t="shared" si="22"/>
        <v>3.5833333333139308</v>
      </c>
      <c r="BV102" s="136">
        <f t="shared" si="23"/>
        <v>0</v>
      </c>
      <c r="BW102" s="136">
        <f t="shared" si="40"/>
        <v>7.1666666666278616</v>
      </c>
      <c r="BX102" s="135">
        <f t="shared" si="25"/>
        <v>9.9999999999417923</v>
      </c>
      <c r="BY102" s="135">
        <f t="shared" si="26"/>
        <v>7.3333333333139308</v>
      </c>
      <c r="BZ102" s="134">
        <f t="shared" si="27"/>
        <v>1.2055555555489263</v>
      </c>
      <c r="CA102" s="134">
        <f t="shared" si="28"/>
        <v>5.25</v>
      </c>
      <c r="CB102" s="133">
        <f t="shared" si="29"/>
        <v>0.22962962962836692</v>
      </c>
    </row>
    <row r="103" spans="1:80" s="126" customFormat="1">
      <c r="A103" s="192">
        <f t="shared" si="30"/>
        <v>45124.836111111108</v>
      </c>
      <c r="B103" s="126" t="s">
        <v>188</v>
      </c>
      <c r="C103" s="126" t="s">
        <v>87</v>
      </c>
      <c r="D103" s="126" t="s">
        <v>215</v>
      </c>
      <c r="E103" s="65" t="s">
        <v>2172</v>
      </c>
      <c r="G103" s="315">
        <v>45129.291666666664</v>
      </c>
      <c r="H103" s="315">
        <v>45129.291666666664</v>
      </c>
      <c r="I103" s="126" t="s">
        <v>751</v>
      </c>
      <c r="J103" s="126" t="s">
        <v>192</v>
      </c>
      <c r="K103" s="126" t="s">
        <v>192</v>
      </c>
      <c r="L103" s="126" t="s">
        <v>2178</v>
      </c>
      <c r="M103" s="167"/>
      <c r="N103" s="126" t="s">
        <v>1972</v>
      </c>
      <c r="O103" s="126" t="s">
        <v>1973</v>
      </c>
      <c r="P103" s="126" t="s">
        <v>611</v>
      </c>
      <c r="Q103" s="181">
        <f>3107*2.4</f>
        <v>7456.7999999999993</v>
      </c>
      <c r="R103" s="181">
        <f>7500+100</f>
        <v>7600</v>
      </c>
      <c r="S103" s="181">
        <v>7535.6120000000001</v>
      </c>
      <c r="T103" s="181"/>
      <c r="AD103" s="181">
        <f>S103</f>
        <v>7535.6120000000001</v>
      </c>
      <c r="AX103" s="165">
        <f t="shared" si="32"/>
        <v>45124.465277777781</v>
      </c>
      <c r="AY103" s="165">
        <f t="shared" si="33"/>
        <v>45133.5</v>
      </c>
      <c r="AZ103" s="137">
        <f t="shared" si="34"/>
        <v>9.0347222222189885</v>
      </c>
      <c r="BA103" s="165">
        <v>45124.465277777781</v>
      </c>
      <c r="BB103" s="165">
        <v>45124.482638888891</v>
      </c>
      <c r="BC103" s="165">
        <v>45124.510416666664</v>
      </c>
      <c r="BD103" s="165">
        <v>45124.836111111108</v>
      </c>
      <c r="BE103" s="165">
        <v>45125.118055555555</v>
      </c>
      <c r="BF103" s="165">
        <v>45125.125</v>
      </c>
      <c r="BG103" s="165">
        <v>45125.791666666664</v>
      </c>
      <c r="BH103" s="165">
        <v>45125.791666666664</v>
      </c>
      <c r="BI103" s="166" t="s">
        <v>196</v>
      </c>
      <c r="BJ103" s="166" t="s">
        <v>196</v>
      </c>
      <c r="BK103" s="166" t="s">
        <v>196</v>
      </c>
      <c r="BL103" s="165">
        <v>45126.0625</v>
      </c>
      <c r="BM103" s="165">
        <v>45132.607638888891</v>
      </c>
      <c r="BN103" s="165">
        <v>45132.819444444445</v>
      </c>
      <c r="BO103" s="165">
        <v>45132.840277777781</v>
      </c>
      <c r="BP103" s="165">
        <v>45133.229166666664</v>
      </c>
      <c r="BQ103" s="165">
        <v>45133.5</v>
      </c>
      <c r="BT103" s="136">
        <f t="shared" si="21"/>
        <v>0.6666666665696539</v>
      </c>
      <c r="BU103" s="136">
        <f t="shared" si="22"/>
        <v>6.7666666667209938</v>
      </c>
      <c r="BV103" s="136">
        <f t="shared" si="23"/>
        <v>0</v>
      </c>
      <c r="BW103" s="136">
        <f t="shared" si="40"/>
        <v>6.5000000000582077</v>
      </c>
      <c r="BX103" s="135">
        <f t="shared" si="25"/>
        <v>5.0833333333139308</v>
      </c>
      <c r="BY103" s="135">
        <f t="shared" si="26"/>
        <v>6.5000000000582077</v>
      </c>
      <c r="BZ103" s="134">
        <f t="shared" si="27"/>
        <v>1.0631944444467081</v>
      </c>
      <c r="CA103" s="134">
        <f t="shared" si="28"/>
        <v>9.0347222222189885</v>
      </c>
      <c r="CB103" s="133">
        <f t="shared" si="29"/>
        <v>0.11767870868591911</v>
      </c>
    </row>
    <row r="104" spans="1:80" s="126" customFormat="1">
      <c r="A104" s="192">
        <f t="shared" si="30"/>
        <v>45125.534722222219</v>
      </c>
      <c r="B104" s="126" t="s">
        <v>188</v>
      </c>
      <c r="C104" s="126" t="s">
        <v>87</v>
      </c>
      <c r="D104" s="126" t="s">
        <v>197</v>
      </c>
      <c r="E104" s="65" t="s">
        <v>2172</v>
      </c>
      <c r="G104" s="315">
        <v>45129.291666666664</v>
      </c>
      <c r="H104" s="315">
        <v>45129.291666666664</v>
      </c>
      <c r="I104" s="126" t="s">
        <v>751</v>
      </c>
      <c r="J104" s="126" t="s">
        <v>192</v>
      </c>
      <c r="K104" s="126" t="s">
        <v>192</v>
      </c>
      <c r="L104" s="126" t="s">
        <v>2175</v>
      </c>
      <c r="M104" s="167"/>
      <c r="N104" s="126" t="s">
        <v>355</v>
      </c>
      <c r="O104" s="126" t="s">
        <v>356</v>
      </c>
      <c r="P104" s="126" t="s">
        <v>2176</v>
      </c>
      <c r="Q104" s="181">
        <f>3107*2.4</f>
        <v>7456.7999999999993</v>
      </c>
      <c r="R104" s="181">
        <f>7500+100</f>
        <v>7600</v>
      </c>
      <c r="S104" s="181">
        <v>7519.2950000000001</v>
      </c>
      <c r="T104" s="181"/>
      <c r="AE104" s="181">
        <v>5066.6540000000005</v>
      </c>
      <c r="AG104" s="181">
        <v>2452.6410000000001</v>
      </c>
      <c r="AX104" s="165">
        <f t="shared" si="32"/>
        <v>45125.229166666664</v>
      </c>
      <c r="AY104" s="165">
        <f t="shared" si="33"/>
        <v>45132.083333333336</v>
      </c>
      <c r="AZ104" s="137">
        <f t="shared" si="34"/>
        <v>6.8541666666715173</v>
      </c>
      <c r="BA104" s="165">
        <v>45125.229166666664</v>
      </c>
      <c r="BB104" s="165">
        <v>45125.447916666664</v>
      </c>
      <c r="BC104" s="165">
        <v>45125.5</v>
      </c>
      <c r="BD104" s="165">
        <v>45125.534722222219</v>
      </c>
      <c r="BE104" s="165">
        <v>45125.695833333331</v>
      </c>
      <c r="BF104" s="165">
        <v>45125.701388888891</v>
      </c>
      <c r="BG104" s="165">
        <v>45126.510416666664</v>
      </c>
      <c r="BH104" s="165">
        <v>45126.510416666664</v>
      </c>
      <c r="BI104" s="166" t="s">
        <v>196</v>
      </c>
      <c r="BJ104" s="166" t="s">
        <v>196</v>
      </c>
      <c r="BK104" s="166" t="s">
        <v>196</v>
      </c>
      <c r="BL104" s="165">
        <v>45126.65625</v>
      </c>
      <c r="BM104" s="165">
        <v>45131.614583333336</v>
      </c>
      <c r="BN104" s="165">
        <v>45131.8125</v>
      </c>
      <c r="BO104" s="165">
        <v>45131.833333333336</v>
      </c>
      <c r="BP104" s="165">
        <v>45131.833333333336</v>
      </c>
      <c r="BQ104" s="165">
        <v>45132.083333333336</v>
      </c>
      <c r="BT104" s="136">
        <f t="shared" si="21"/>
        <v>1.2500000000582077</v>
      </c>
      <c r="BU104" s="136">
        <f t="shared" si="22"/>
        <v>3.8666666666977108</v>
      </c>
      <c r="BV104" s="136">
        <f t="shared" si="23"/>
        <v>0</v>
      </c>
      <c r="BW104" s="136">
        <f t="shared" si="40"/>
        <v>3.5000000000582077</v>
      </c>
      <c r="BX104" s="135">
        <f t="shared" si="25"/>
        <v>4.7499999999417923</v>
      </c>
      <c r="BY104" s="135">
        <f t="shared" si="26"/>
        <v>6</v>
      </c>
      <c r="BZ104" s="134">
        <f t="shared" si="27"/>
        <v>0.80694444444816327</v>
      </c>
      <c r="CA104" s="134">
        <f t="shared" si="28"/>
        <v>6.8541666666715173</v>
      </c>
      <c r="CB104" s="133">
        <f t="shared" si="29"/>
        <v>0.11773049645435996</v>
      </c>
    </row>
    <row r="105" spans="1:80" s="126" customFormat="1">
      <c r="A105" s="192">
        <f t="shared" si="30"/>
        <v>45138.861111111109</v>
      </c>
      <c r="B105" s="126" t="s">
        <v>188</v>
      </c>
      <c r="C105" s="126" t="s">
        <v>87</v>
      </c>
      <c r="D105" s="126" t="s">
        <v>197</v>
      </c>
      <c r="E105" s="65" t="s">
        <v>2134</v>
      </c>
      <c r="F105" s="126" t="s">
        <v>2622</v>
      </c>
      <c r="G105" s="165">
        <v>45144.5</v>
      </c>
      <c r="H105" s="165">
        <v>45144.375</v>
      </c>
      <c r="I105" s="126" t="s">
        <v>751</v>
      </c>
      <c r="J105" s="126" t="s">
        <v>192</v>
      </c>
      <c r="K105" s="126" t="s">
        <v>192</v>
      </c>
      <c r="L105" s="126" t="s">
        <v>2249</v>
      </c>
      <c r="M105" s="167"/>
      <c r="N105" s="126" t="s">
        <v>1240</v>
      </c>
      <c r="O105" s="126" t="s">
        <v>1241</v>
      </c>
      <c r="P105" s="126" t="s">
        <v>1164</v>
      </c>
      <c r="Q105" s="181">
        <f>3243*2.4</f>
        <v>7783.2</v>
      </c>
      <c r="R105" s="181">
        <f>7800+100</f>
        <v>7900</v>
      </c>
      <c r="S105" s="181">
        <v>7513.826</v>
      </c>
      <c r="T105" s="181"/>
      <c r="AH105" s="181">
        <f>S105</f>
        <v>7513.826</v>
      </c>
      <c r="AX105" s="165">
        <f t="shared" si="32"/>
        <v>45138.295138888891</v>
      </c>
      <c r="AY105" s="165">
        <f t="shared" si="33"/>
        <v>45149.291666666664</v>
      </c>
      <c r="AZ105" s="137">
        <f t="shared" si="34"/>
        <v>10.996527777773736</v>
      </c>
      <c r="BA105" s="165">
        <v>45138.295138888891</v>
      </c>
      <c r="BB105" s="165">
        <v>45138.295138888891</v>
      </c>
      <c r="BC105" s="165">
        <v>45138.295138888891</v>
      </c>
      <c r="BD105" s="165">
        <v>45138.861111111109</v>
      </c>
      <c r="BE105" s="165">
        <v>45139.005555555559</v>
      </c>
      <c r="BF105" s="165">
        <v>45139.013888888891</v>
      </c>
      <c r="BG105" s="165">
        <v>45139.840277777781</v>
      </c>
      <c r="BH105" s="165">
        <v>45139.840277777781</v>
      </c>
      <c r="BI105" s="166" t="s">
        <v>196</v>
      </c>
      <c r="BJ105" s="166" t="s">
        <v>196</v>
      </c>
      <c r="BK105" s="166" t="s">
        <v>196</v>
      </c>
      <c r="BL105" s="165">
        <v>45140.270833333336</v>
      </c>
      <c r="BM105" s="165">
        <v>45148.104166666664</v>
      </c>
      <c r="BN105" s="165">
        <v>45148.854166666664</v>
      </c>
      <c r="BO105" s="165">
        <v>45148.881944444445</v>
      </c>
      <c r="BP105" s="165">
        <v>45148.881944444445</v>
      </c>
      <c r="BQ105" s="165">
        <v>45149.291666666664</v>
      </c>
      <c r="BT105" s="136">
        <f t="shared" si="21"/>
        <v>0</v>
      </c>
      <c r="BU105" s="136">
        <f t="shared" si="22"/>
        <v>3.466666666790843</v>
      </c>
      <c r="BV105" s="136">
        <f t="shared" si="23"/>
        <v>0</v>
      </c>
      <c r="BW105" s="136">
        <f t="shared" si="40"/>
        <v>10.333333333313931</v>
      </c>
      <c r="BX105" s="135">
        <f t="shared" si="25"/>
        <v>18</v>
      </c>
      <c r="BY105" s="135">
        <f t="shared" si="26"/>
        <v>9.8333333332557231</v>
      </c>
      <c r="BZ105" s="134">
        <f t="shared" si="27"/>
        <v>1.734722222223354</v>
      </c>
      <c r="CA105" s="134">
        <f t="shared" si="28"/>
        <v>10.996527777773736</v>
      </c>
      <c r="CB105" s="133">
        <f t="shared" si="29"/>
        <v>0.15775181559851897</v>
      </c>
    </row>
    <row r="106" spans="1:80" s="126" customFormat="1">
      <c r="A106" s="192">
        <f t="shared" si="30"/>
        <v>45107.458333333336</v>
      </c>
      <c r="B106" s="126" t="s">
        <v>188</v>
      </c>
      <c r="C106" s="126" t="s">
        <v>181</v>
      </c>
      <c r="D106" s="126" t="s">
        <v>189</v>
      </c>
      <c r="E106" s="65" t="s">
        <v>1761</v>
      </c>
      <c r="G106" s="165">
        <v>45119.916666666664</v>
      </c>
      <c r="H106" s="165">
        <v>45119.916666666664</v>
      </c>
      <c r="I106" s="126" t="s">
        <v>448</v>
      </c>
      <c r="J106" s="126" t="s">
        <v>192</v>
      </c>
      <c r="K106" s="126" t="s">
        <v>192</v>
      </c>
      <c r="L106" s="126" t="s">
        <v>2626</v>
      </c>
      <c r="M106" s="167"/>
      <c r="N106" s="126" t="s">
        <v>453</v>
      </c>
      <c r="O106" s="126" t="s">
        <v>454</v>
      </c>
      <c r="P106" s="126" t="s">
        <v>181</v>
      </c>
      <c r="Q106" s="181">
        <v>7500</v>
      </c>
      <c r="R106" s="181">
        <v>7500</v>
      </c>
      <c r="S106" s="181">
        <v>7875.71</v>
      </c>
      <c r="T106" s="181"/>
      <c r="AK106" s="181">
        <f>S106</f>
        <v>7875.71</v>
      </c>
      <c r="AX106" s="165">
        <f t="shared" si="32"/>
        <v>45107.354166666664</v>
      </c>
      <c r="AY106" s="165">
        <f t="shared" si="33"/>
        <v>45111.989583333336</v>
      </c>
      <c r="AZ106" s="137">
        <f t="shared" si="34"/>
        <v>4.6354166666715173</v>
      </c>
      <c r="BA106" s="165">
        <v>45107.354166666664</v>
      </c>
      <c r="BB106" s="165">
        <v>45107.354166666664</v>
      </c>
      <c r="BC106" s="165">
        <v>45107.354166666664</v>
      </c>
      <c r="BD106" s="165">
        <v>45107.458333333336</v>
      </c>
      <c r="BE106" s="165">
        <v>45108.888888888891</v>
      </c>
      <c r="BF106" s="165">
        <v>45109.541666666664</v>
      </c>
      <c r="BG106" s="165">
        <v>45109.541666666664</v>
      </c>
      <c r="BH106" s="165">
        <v>45109.541666666664</v>
      </c>
      <c r="BI106" s="166" t="s">
        <v>196</v>
      </c>
      <c r="BJ106" s="166" t="s">
        <v>196</v>
      </c>
      <c r="BK106" s="166" t="s">
        <v>196</v>
      </c>
      <c r="BL106" s="165">
        <v>45111.416666666664</v>
      </c>
      <c r="BM106" s="165">
        <v>45111.642361111109</v>
      </c>
      <c r="BN106" s="165">
        <v>45111.965277777781</v>
      </c>
      <c r="BO106" s="165">
        <v>45111.989583333336</v>
      </c>
      <c r="BP106" s="165">
        <v>45111.989583333336</v>
      </c>
      <c r="BQ106" s="165">
        <v>45111.989583333336</v>
      </c>
      <c r="BT106" s="136">
        <f t="shared" si="21"/>
        <v>0</v>
      </c>
      <c r="BU106" s="136">
        <f t="shared" si="22"/>
        <v>34.333333333313931</v>
      </c>
      <c r="BV106" s="136">
        <f t="shared" si="23"/>
        <v>0</v>
      </c>
      <c r="BW106" s="136">
        <f t="shared" si="40"/>
        <v>45</v>
      </c>
      <c r="BX106" s="135">
        <f t="shared" si="25"/>
        <v>7.7500000001164153</v>
      </c>
      <c r="BY106" s="135">
        <f t="shared" si="26"/>
        <v>0</v>
      </c>
      <c r="BZ106" s="134">
        <f t="shared" si="27"/>
        <v>3.6284722222262644</v>
      </c>
      <c r="CA106" s="134">
        <f t="shared" si="28"/>
        <v>4.6354166666715173</v>
      </c>
      <c r="CB106" s="133">
        <f t="shared" si="29"/>
        <v>0.78277153558057722</v>
      </c>
    </row>
    <row r="107" spans="1:80" s="126" customFormat="1">
      <c r="A107" s="192">
        <f t="shared" si="30"/>
        <v>45116.607638888891</v>
      </c>
      <c r="B107" s="126" t="s">
        <v>188</v>
      </c>
      <c r="C107" s="126" t="s">
        <v>181</v>
      </c>
      <c r="D107" s="126" t="s">
        <v>189</v>
      </c>
      <c r="E107" s="126" t="s">
        <v>2102</v>
      </c>
      <c r="G107" s="315">
        <v>45117.541666666664</v>
      </c>
      <c r="H107" s="315">
        <v>45117.520833333336</v>
      </c>
      <c r="I107" s="126" t="s">
        <v>1039</v>
      </c>
      <c r="J107" s="126" t="s">
        <v>192</v>
      </c>
      <c r="K107" s="126" t="s">
        <v>192</v>
      </c>
      <c r="L107" s="126" t="s">
        <v>2113</v>
      </c>
      <c r="M107" s="167"/>
      <c r="N107" s="126" t="s">
        <v>453</v>
      </c>
      <c r="O107" s="126" t="s">
        <v>454</v>
      </c>
      <c r="P107" s="126" t="s">
        <v>181</v>
      </c>
      <c r="Q107" s="181">
        <v>7500</v>
      </c>
      <c r="R107" s="181">
        <v>7500</v>
      </c>
      <c r="S107" s="181">
        <v>7443.1670000000004</v>
      </c>
      <c r="T107" s="181"/>
      <c r="AK107" s="181">
        <f>S107</f>
        <v>7443.1670000000004</v>
      </c>
      <c r="AX107" s="165">
        <f t="shared" si="32"/>
        <v>45113.986111111109</v>
      </c>
      <c r="AY107" s="165">
        <f t="shared" si="33"/>
        <v>45126.729166666664</v>
      </c>
      <c r="AZ107" s="137">
        <f t="shared" si="34"/>
        <v>12.743055555554747</v>
      </c>
      <c r="BA107" s="165">
        <v>45113.986111111109</v>
      </c>
      <c r="BB107" s="165">
        <v>45113.986111111109</v>
      </c>
      <c r="BC107" s="165">
        <v>45113.986111111109</v>
      </c>
      <c r="BD107" s="165">
        <v>45116.607638888891</v>
      </c>
      <c r="BE107" s="165">
        <v>45121.600694444445</v>
      </c>
      <c r="BF107" s="165">
        <v>45121.600694444445</v>
      </c>
      <c r="BG107" s="165">
        <v>45121.600694444445</v>
      </c>
      <c r="BH107" s="165">
        <v>45121.600694444445</v>
      </c>
      <c r="BI107" s="166" t="s">
        <v>196</v>
      </c>
      <c r="BJ107" s="166" t="s">
        <v>196</v>
      </c>
      <c r="BK107" s="166" t="s">
        <v>196</v>
      </c>
      <c r="BL107" s="165">
        <v>45123.4375</v>
      </c>
      <c r="BM107" s="165">
        <v>45125.805555555555</v>
      </c>
      <c r="BN107" s="165">
        <v>45126.715277777781</v>
      </c>
      <c r="BO107" s="165">
        <v>45126.729166666664</v>
      </c>
      <c r="BP107" s="165">
        <v>45126.729166666664</v>
      </c>
      <c r="BQ107" s="165">
        <v>45126.729166666664</v>
      </c>
      <c r="BT107" s="136">
        <f t="shared" si="21"/>
        <v>0</v>
      </c>
      <c r="BU107" s="136">
        <f t="shared" si="22"/>
        <v>119.83333333331393</v>
      </c>
      <c r="BV107" s="136">
        <f t="shared" si="23"/>
        <v>0</v>
      </c>
      <c r="BW107" s="136">
        <f t="shared" si="40"/>
        <v>44.083333333313931</v>
      </c>
      <c r="BX107" s="135">
        <f t="shared" si="25"/>
        <v>21.833333333430346</v>
      </c>
      <c r="BY107" s="135">
        <f t="shared" si="26"/>
        <v>0</v>
      </c>
      <c r="BZ107" s="134">
        <f t="shared" si="27"/>
        <v>7.7395833333357587</v>
      </c>
      <c r="CA107" s="134">
        <f t="shared" si="28"/>
        <v>12.743055555554747</v>
      </c>
      <c r="CB107" s="133">
        <f t="shared" si="29"/>
        <v>0.60735694822911168</v>
      </c>
    </row>
    <row r="108" spans="1:80" s="126" customFormat="1">
      <c r="A108" s="192">
        <f t="shared" si="30"/>
        <v>45128.5625</v>
      </c>
      <c r="B108" s="126" t="s">
        <v>188</v>
      </c>
      <c r="C108" s="126" t="s">
        <v>181</v>
      </c>
      <c r="D108" s="126" t="s">
        <v>189</v>
      </c>
      <c r="E108" s="126" t="s">
        <v>2615</v>
      </c>
      <c r="G108" s="165">
        <v>45132.5</v>
      </c>
      <c r="H108" s="165">
        <v>45132.5</v>
      </c>
      <c r="I108" s="126" t="s">
        <v>448</v>
      </c>
      <c r="J108" s="126" t="s">
        <v>192</v>
      </c>
      <c r="K108" s="126" t="s">
        <v>192</v>
      </c>
      <c r="L108" s="126" t="s">
        <v>2627</v>
      </c>
      <c r="M108" s="167"/>
      <c r="N108" s="126" t="s">
        <v>453</v>
      </c>
      <c r="O108" s="126" t="s">
        <v>454</v>
      </c>
      <c r="P108" s="126" t="s">
        <v>181</v>
      </c>
      <c r="Q108" s="181">
        <v>7500</v>
      </c>
      <c r="R108" s="181">
        <v>7500</v>
      </c>
      <c r="S108" s="181">
        <v>7138.0690000000004</v>
      </c>
      <c r="T108" s="181"/>
      <c r="AK108" s="181">
        <f>S108</f>
        <v>7138.0690000000004</v>
      </c>
      <c r="AX108" s="165">
        <f t="shared" si="32"/>
        <v>45128.104166666664</v>
      </c>
      <c r="AY108" s="165">
        <f t="shared" si="33"/>
        <v>45136.684027777781</v>
      </c>
      <c r="AZ108" s="137">
        <f t="shared" si="34"/>
        <v>8.5798611111167702</v>
      </c>
      <c r="BA108" s="165">
        <v>45128.104166666664</v>
      </c>
      <c r="BB108" s="165">
        <v>45128.104166666664</v>
      </c>
      <c r="BC108" s="165">
        <v>45128.104166666664</v>
      </c>
      <c r="BD108" s="165">
        <v>45128.5625</v>
      </c>
      <c r="BE108" s="165">
        <v>45132.833333333336</v>
      </c>
      <c r="BF108" s="165">
        <v>45133.010416666664</v>
      </c>
      <c r="BG108" s="165">
        <v>45133.010416666664</v>
      </c>
      <c r="BH108" s="165">
        <v>45133.010416666664</v>
      </c>
      <c r="BI108" s="166" t="s">
        <v>196</v>
      </c>
      <c r="BJ108" s="166" t="s">
        <v>196</v>
      </c>
      <c r="BK108" s="166" t="s">
        <v>196</v>
      </c>
      <c r="BL108" s="165">
        <v>45134.5625</v>
      </c>
      <c r="BM108" s="165">
        <v>45136.039583333331</v>
      </c>
      <c r="BN108" s="165">
        <v>45136.666666666664</v>
      </c>
      <c r="BO108" s="165">
        <v>45136.684027777781</v>
      </c>
      <c r="BP108" s="165">
        <v>45136.684027777781</v>
      </c>
      <c r="BQ108" s="165">
        <v>45136.684027777781</v>
      </c>
      <c r="BT108" s="136">
        <f t="shared" si="21"/>
        <v>0</v>
      </c>
      <c r="BU108" s="136">
        <f t="shared" si="22"/>
        <v>102.50000000005821</v>
      </c>
      <c r="BV108" s="136">
        <f t="shared" si="23"/>
        <v>0</v>
      </c>
      <c r="BW108" s="136">
        <f t="shared" si="40"/>
        <v>37.250000000058208</v>
      </c>
      <c r="BX108" s="135">
        <f t="shared" si="25"/>
        <v>15.049999999988358</v>
      </c>
      <c r="BY108" s="135">
        <f t="shared" si="26"/>
        <v>0</v>
      </c>
      <c r="BZ108" s="134">
        <f t="shared" si="27"/>
        <v>6.4500000000043656</v>
      </c>
      <c r="CA108" s="134">
        <f t="shared" si="28"/>
        <v>8.5798611111167702</v>
      </c>
      <c r="CB108" s="133">
        <f t="shared" si="29"/>
        <v>0.75176042088224693</v>
      </c>
    </row>
    <row r="109" spans="1:80" s="126" customFormat="1">
      <c r="A109" s="192">
        <f t="shared" si="30"/>
        <v>45119.909722222219</v>
      </c>
      <c r="B109" s="126" t="s">
        <v>188</v>
      </c>
      <c r="C109" s="126" t="s">
        <v>82</v>
      </c>
      <c r="D109" s="126" t="s">
        <v>197</v>
      </c>
      <c r="E109" s="126" t="s">
        <v>2102</v>
      </c>
      <c r="F109" s="126" t="s">
        <v>2134</v>
      </c>
      <c r="G109" s="315">
        <v>45117.541666666664</v>
      </c>
      <c r="H109" s="315">
        <v>45117.520833333336</v>
      </c>
      <c r="I109" s="126" t="s">
        <v>1043</v>
      </c>
      <c r="J109" s="126" t="s">
        <v>192</v>
      </c>
      <c r="K109" s="126" t="s">
        <v>192</v>
      </c>
      <c r="L109" s="126" t="s">
        <v>2104</v>
      </c>
      <c r="M109" s="167"/>
      <c r="N109" s="126" t="s">
        <v>383</v>
      </c>
      <c r="O109" s="126" t="s">
        <v>384</v>
      </c>
      <c r="P109" s="126" t="s">
        <v>82</v>
      </c>
      <c r="Q109" s="181">
        <f>2205*2.4</f>
        <v>5292</v>
      </c>
      <c r="R109" s="181">
        <f>5300+100</f>
        <v>5400</v>
      </c>
      <c r="S109" s="181">
        <v>5116</v>
      </c>
      <c r="T109" s="181"/>
      <c r="AR109" s="181">
        <f>S109</f>
        <v>5116</v>
      </c>
      <c r="AX109" s="165">
        <f t="shared" si="32"/>
        <v>45117</v>
      </c>
      <c r="AY109" s="165">
        <f t="shared" si="33"/>
        <v>45124.302083333336</v>
      </c>
      <c r="AZ109" s="137">
        <f t="shared" si="34"/>
        <v>7.3020833333357587</v>
      </c>
      <c r="BA109" s="165">
        <v>45117</v>
      </c>
      <c r="BB109" s="165">
        <v>45119.576388888891</v>
      </c>
      <c r="BC109" s="165">
        <v>45119.798611111109</v>
      </c>
      <c r="BD109" s="165">
        <v>45119.909722222219</v>
      </c>
      <c r="BE109" s="165">
        <v>45120.513888888891</v>
      </c>
      <c r="BF109" s="165">
        <v>45120.586805555555</v>
      </c>
      <c r="BG109" s="165">
        <v>45120.90625</v>
      </c>
      <c r="BH109" s="165">
        <v>45120.90625</v>
      </c>
      <c r="BI109" s="166" t="s">
        <v>196</v>
      </c>
      <c r="BJ109" s="166" t="s">
        <v>196</v>
      </c>
      <c r="BK109" s="166" t="s">
        <v>196</v>
      </c>
      <c r="BL109" s="165">
        <v>45121.9375</v>
      </c>
      <c r="BM109" s="165">
        <v>45123.638888888891</v>
      </c>
      <c r="BN109" s="165">
        <v>45123.9375</v>
      </c>
      <c r="BO109" s="165">
        <v>45123.951388888891</v>
      </c>
      <c r="BP109" s="165">
        <v>45123.951388888891</v>
      </c>
      <c r="BQ109" s="165">
        <v>45124.302083333336</v>
      </c>
      <c r="BT109" s="136">
        <f t="shared" si="21"/>
        <v>5.3333333332557231</v>
      </c>
      <c r="BU109" s="136">
        <f t="shared" si="22"/>
        <v>14.500000000116415</v>
      </c>
      <c r="BV109" s="136">
        <f t="shared" si="23"/>
        <v>0</v>
      </c>
      <c r="BW109" s="136">
        <f t="shared" si="40"/>
        <v>24.75</v>
      </c>
      <c r="BX109" s="135">
        <f t="shared" si="25"/>
        <v>7.1666666666278616</v>
      </c>
      <c r="BY109" s="135">
        <f t="shared" si="26"/>
        <v>8.4166666666860692</v>
      </c>
      <c r="BZ109" s="134">
        <f t="shared" si="27"/>
        <v>2.5069444444452529</v>
      </c>
      <c r="CA109" s="134">
        <f t="shared" si="28"/>
        <v>7.3020833333357587</v>
      </c>
      <c r="CB109" s="133">
        <f t="shared" si="29"/>
        <v>0.34331906799809464</v>
      </c>
    </row>
    <row r="110" spans="1:80" s="126" customFormat="1">
      <c r="A110" s="192">
        <f t="shared" si="30"/>
        <v>45137.458333333336</v>
      </c>
      <c r="B110" s="126" t="s">
        <v>188</v>
      </c>
      <c r="C110" s="126" t="s">
        <v>82</v>
      </c>
      <c r="D110" s="126" t="s">
        <v>197</v>
      </c>
      <c r="E110" s="126" t="s">
        <v>2134</v>
      </c>
      <c r="F110" s="126" t="s">
        <v>2622</v>
      </c>
      <c r="G110" s="165">
        <v>45144.5</v>
      </c>
      <c r="H110" s="165">
        <v>45144.375</v>
      </c>
      <c r="I110" s="126" t="s">
        <v>1043</v>
      </c>
      <c r="J110" s="126" t="s">
        <v>192</v>
      </c>
      <c r="K110" s="126" t="s">
        <v>192</v>
      </c>
      <c r="L110" s="126" t="s">
        <v>2246</v>
      </c>
      <c r="M110" s="167"/>
      <c r="N110" s="126" t="s">
        <v>383</v>
      </c>
      <c r="O110" s="126" t="s">
        <v>384</v>
      </c>
      <c r="P110" s="126" t="s">
        <v>82</v>
      </c>
      <c r="Q110" s="181">
        <f>2205*2.4</f>
        <v>5292</v>
      </c>
      <c r="R110" s="181">
        <f>5300+100</f>
        <v>5400</v>
      </c>
      <c r="S110" s="181">
        <v>5040</v>
      </c>
      <c r="T110" s="181"/>
      <c r="AR110" s="181">
        <f>S110</f>
        <v>5040</v>
      </c>
      <c r="AX110" s="165">
        <f t="shared" si="32"/>
        <v>45136.201388888891</v>
      </c>
      <c r="AY110" s="165">
        <f t="shared" si="33"/>
        <v>45148.402777777781</v>
      </c>
      <c r="AZ110" s="137">
        <f t="shared" si="34"/>
        <v>12.201388888890506</v>
      </c>
      <c r="BA110" s="165">
        <v>45136.201388888891</v>
      </c>
      <c r="BB110" s="165">
        <v>45136.329861111109</v>
      </c>
      <c r="BC110" s="165">
        <v>45137.381944444445</v>
      </c>
      <c r="BD110" s="165">
        <v>45137.458333333336</v>
      </c>
      <c r="BE110" s="165">
        <v>45138.013888888891</v>
      </c>
      <c r="BF110" s="165">
        <v>45138.104166666664</v>
      </c>
      <c r="BG110" s="165">
        <v>45139.611111111109</v>
      </c>
      <c r="BH110" s="165">
        <v>45139.611111111109</v>
      </c>
      <c r="BI110" s="166" t="s">
        <v>196</v>
      </c>
      <c r="BJ110" s="166" t="s">
        <v>196</v>
      </c>
      <c r="BK110" s="166" t="s">
        <v>196</v>
      </c>
      <c r="BL110" s="165">
        <v>45141.1875</v>
      </c>
      <c r="BM110" s="165">
        <v>45147.513888888891</v>
      </c>
      <c r="BN110" s="165">
        <v>45148.006944444445</v>
      </c>
      <c r="BO110" s="165">
        <v>45148.034722222219</v>
      </c>
      <c r="BP110" s="165">
        <v>45148.034722222219</v>
      </c>
      <c r="BQ110" s="165">
        <v>45148.402777777781</v>
      </c>
      <c r="BT110" s="136">
        <f t="shared" si="21"/>
        <v>25.250000000058208</v>
      </c>
      <c r="BU110" s="136">
        <f t="shared" si="22"/>
        <v>13.333333333313931</v>
      </c>
      <c r="BV110" s="136">
        <f t="shared" si="23"/>
        <v>0</v>
      </c>
      <c r="BW110" s="136">
        <f t="shared" si="40"/>
        <v>37.833333333372138</v>
      </c>
      <c r="BX110" s="135">
        <f t="shared" si="25"/>
        <v>11.833333333313931</v>
      </c>
      <c r="BY110" s="135">
        <f t="shared" si="26"/>
        <v>8.8333333334885538</v>
      </c>
      <c r="BZ110" s="134">
        <f t="shared" si="27"/>
        <v>4.0451388888977817</v>
      </c>
      <c r="CA110" s="134">
        <f t="shared" si="28"/>
        <v>12.201388888890506</v>
      </c>
      <c r="CB110" s="133">
        <f t="shared" si="29"/>
        <v>0.33153101878269969</v>
      </c>
    </row>
    <row r="111" spans="1:80" s="126" customFormat="1">
      <c r="A111" s="192">
        <f t="shared" si="30"/>
        <v>45138.305555555555</v>
      </c>
      <c r="B111" s="126" t="s">
        <v>188</v>
      </c>
      <c r="C111" s="126" t="s">
        <v>82</v>
      </c>
      <c r="D111" s="126" t="s">
        <v>197</v>
      </c>
      <c r="E111" s="126" t="s">
        <v>2603</v>
      </c>
      <c r="G111" s="165">
        <v>45140.625</v>
      </c>
      <c r="H111" s="165">
        <v>45140.625</v>
      </c>
      <c r="I111" s="126" t="s">
        <v>1046</v>
      </c>
      <c r="J111" s="126" t="s">
        <v>192</v>
      </c>
      <c r="K111" s="126" t="s">
        <v>192</v>
      </c>
      <c r="L111" s="126" t="s">
        <v>2628</v>
      </c>
      <c r="M111" s="167"/>
      <c r="N111" s="126" t="s">
        <v>1307</v>
      </c>
      <c r="O111" s="126" t="s">
        <v>1308</v>
      </c>
      <c r="P111" s="126" t="s">
        <v>82</v>
      </c>
      <c r="Q111" s="181">
        <f>2205*2.4</f>
        <v>5292</v>
      </c>
      <c r="R111" s="181">
        <f>5300+100</f>
        <v>5400</v>
      </c>
      <c r="S111" s="181">
        <v>5047</v>
      </c>
      <c r="T111" s="181"/>
      <c r="AR111" s="181">
        <f>S111</f>
        <v>5047</v>
      </c>
      <c r="AX111" s="165">
        <f t="shared" si="32"/>
        <v>45134.315972222219</v>
      </c>
      <c r="AY111" s="165">
        <f t="shared" si="33"/>
        <v>45143.083333333336</v>
      </c>
      <c r="AZ111" s="137">
        <f t="shared" si="34"/>
        <v>8.7673611111167702</v>
      </c>
      <c r="BA111" s="165">
        <v>45134.315972222219</v>
      </c>
      <c r="BB111" s="165">
        <v>45136.743055555555</v>
      </c>
      <c r="BC111" s="165">
        <v>45136.951388888891</v>
      </c>
      <c r="BD111" s="165">
        <v>45138.305555555555</v>
      </c>
      <c r="BE111" s="165">
        <v>45138.840277777781</v>
      </c>
      <c r="BF111" s="165">
        <v>45138.888888888891</v>
      </c>
      <c r="BG111" s="165">
        <v>45139.628472222219</v>
      </c>
      <c r="BH111" s="165">
        <v>45139.628472222219</v>
      </c>
      <c r="BI111" s="166" t="s">
        <v>196</v>
      </c>
      <c r="BJ111" s="166" t="s">
        <v>196</v>
      </c>
      <c r="BK111" s="166" t="s">
        <v>196</v>
      </c>
      <c r="BL111" s="165">
        <v>45141.208333333336</v>
      </c>
      <c r="BM111" s="165">
        <v>45141.996527777781</v>
      </c>
      <c r="BN111" s="165">
        <v>45142.232638888891</v>
      </c>
      <c r="BO111" s="165">
        <v>45142.246527777781</v>
      </c>
      <c r="BP111" s="165">
        <v>45142.40625</v>
      </c>
      <c r="BQ111" s="165">
        <v>45143.083333333336</v>
      </c>
      <c r="BT111" s="136">
        <f t="shared" si="21"/>
        <v>5.0000000000582077</v>
      </c>
      <c r="BU111" s="136">
        <f t="shared" si="22"/>
        <v>12.833333333430346</v>
      </c>
      <c r="BV111" s="136">
        <f t="shared" si="23"/>
        <v>0</v>
      </c>
      <c r="BW111" s="136">
        <f t="shared" si="40"/>
        <v>37.916666666802485</v>
      </c>
      <c r="BX111" s="135">
        <f t="shared" si="25"/>
        <v>5.6666666666278616</v>
      </c>
      <c r="BY111" s="135">
        <f t="shared" si="26"/>
        <v>16.250000000058208</v>
      </c>
      <c r="BZ111" s="134">
        <f t="shared" si="27"/>
        <v>3.2361111111240461</v>
      </c>
      <c r="CA111" s="134">
        <f t="shared" si="28"/>
        <v>8.7673611111167702</v>
      </c>
      <c r="CB111" s="133">
        <f t="shared" si="29"/>
        <v>0.36910891089232623</v>
      </c>
    </row>
    <row r="112" spans="1:80" s="126" customFormat="1">
      <c r="A112" s="192">
        <f t="shared" si="30"/>
        <v>45118.864583333336</v>
      </c>
      <c r="B112" s="126" t="s">
        <v>188</v>
      </c>
      <c r="C112" s="126" t="s">
        <v>84</v>
      </c>
      <c r="D112" s="126" t="s">
        <v>197</v>
      </c>
      <c r="E112" s="65" t="s">
        <v>2605</v>
      </c>
      <c r="G112" s="165">
        <v>45120.479166666664</v>
      </c>
      <c r="H112" s="165">
        <v>45120.479166666664</v>
      </c>
      <c r="I112" s="126" t="s">
        <v>455</v>
      </c>
      <c r="J112" s="126" t="s">
        <v>192</v>
      </c>
      <c r="K112" s="126" t="s">
        <v>192</v>
      </c>
      <c r="L112" s="126" t="s">
        <v>2629</v>
      </c>
      <c r="M112" s="167"/>
      <c r="N112" s="126" t="s">
        <v>205</v>
      </c>
      <c r="O112" s="126" t="s">
        <v>206</v>
      </c>
      <c r="P112" s="126" t="s">
        <v>84</v>
      </c>
      <c r="Q112" s="181">
        <f>3015*2.4</f>
        <v>7236</v>
      </c>
      <c r="R112" s="181">
        <f>7250+100</f>
        <v>7350</v>
      </c>
      <c r="S112" s="181">
        <v>7505</v>
      </c>
      <c r="T112" s="181"/>
      <c r="AM112" s="181">
        <f>S112</f>
        <v>7505</v>
      </c>
      <c r="AX112" s="165">
        <f t="shared" si="32"/>
        <v>45111.964583333334</v>
      </c>
      <c r="AY112" s="165">
        <f t="shared" si="33"/>
        <v>45122.538194444445</v>
      </c>
      <c r="AZ112" s="137">
        <f t="shared" si="34"/>
        <v>10.573611111110949</v>
      </c>
      <c r="BA112" s="165">
        <v>45111.964583333334</v>
      </c>
      <c r="BB112" s="165">
        <v>45115.097222222219</v>
      </c>
      <c r="BC112" s="165">
        <v>45115.875</v>
      </c>
      <c r="BD112" s="165">
        <v>45118.864583333336</v>
      </c>
      <c r="BE112" s="165">
        <v>45119.017361111109</v>
      </c>
      <c r="BF112" s="165">
        <v>45119.038194444445</v>
      </c>
      <c r="BG112" s="165">
        <v>45119.833333333336</v>
      </c>
      <c r="BH112" s="165">
        <v>45119.833333333336</v>
      </c>
      <c r="BI112" s="166" t="s">
        <v>196</v>
      </c>
      <c r="BJ112" s="166" t="s">
        <v>196</v>
      </c>
      <c r="BK112" s="166" t="s">
        <v>196</v>
      </c>
      <c r="BL112" s="165">
        <v>45121.458333333336</v>
      </c>
      <c r="BM112" s="165">
        <v>45121.840277777781</v>
      </c>
      <c r="BN112" s="165">
        <v>45122.079861111109</v>
      </c>
      <c r="BO112" s="165">
        <v>45122.09375</v>
      </c>
      <c r="BP112" s="165">
        <v>45122.097222222219</v>
      </c>
      <c r="BQ112" s="165">
        <v>45122.538194444445</v>
      </c>
      <c r="BT112" s="136">
        <f t="shared" si="21"/>
        <v>18.666666666744277</v>
      </c>
      <c r="BU112" s="136">
        <f t="shared" si="22"/>
        <v>3.6666666665696539</v>
      </c>
      <c r="BV112" s="136">
        <f t="shared" si="23"/>
        <v>0</v>
      </c>
      <c r="BW112" s="136">
        <f t="shared" si="40"/>
        <v>39</v>
      </c>
      <c r="BX112" s="135">
        <f t="shared" si="25"/>
        <v>5.7499999998835847</v>
      </c>
      <c r="BY112" s="135">
        <f t="shared" si="26"/>
        <v>10.583333333430346</v>
      </c>
      <c r="BZ112" s="134">
        <f t="shared" si="27"/>
        <v>3.2361111111094942</v>
      </c>
      <c r="CA112" s="134">
        <f t="shared" si="28"/>
        <v>10.573611111110949</v>
      </c>
      <c r="CB112" s="133">
        <f t="shared" si="29"/>
        <v>0.30605543149860392</v>
      </c>
    </row>
    <row r="113" spans="1:80" s="126" customFormat="1">
      <c r="A113" s="192">
        <f t="shared" si="30"/>
        <v>45124.899305555555</v>
      </c>
      <c r="B113" s="126" t="s">
        <v>188</v>
      </c>
      <c r="C113" s="126" t="s">
        <v>84</v>
      </c>
      <c r="D113" s="126" t="s">
        <v>197</v>
      </c>
      <c r="E113" s="65" t="s">
        <v>2597</v>
      </c>
      <c r="G113" s="165">
        <v>45127.591666666667</v>
      </c>
      <c r="H113" s="165">
        <v>45127.591666666667</v>
      </c>
      <c r="I113" s="126" t="s">
        <v>455</v>
      </c>
      <c r="J113" s="126" t="s">
        <v>192</v>
      </c>
      <c r="K113" s="126" t="s">
        <v>192</v>
      </c>
      <c r="L113" s="126" t="s">
        <v>2630</v>
      </c>
      <c r="M113" s="167"/>
      <c r="N113" s="126" t="s">
        <v>686</v>
      </c>
      <c r="O113" s="126" t="s">
        <v>1186</v>
      </c>
      <c r="P113" s="126" t="s">
        <v>84</v>
      </c>
      <c r="Q113" s="181">
        <f>3136*2.4</f>
        <v>7526.4</v>
      </c>
      <c r="R113" s="181">
        <f>7550+100</f>
        <v>7650</v>
      </c>
      <c r="S113" s="181">
        <v>7506</v>
      </c>
      <c r="T113" s="181"/>
      <c r="AM113" s="181">
        <f>S113</f>
        <v>7506</v>
      </c>
      <c r="AX113" s="165">
        <f t="shared" si="32"/>
        <v>45120.253472222219</v>
      </c>
      <c r="AY113" s="165">
        <f t="shared" si="33"/>
        <v>45129.4375</v>
      </c>
      <c r="AZ113" s="137">
        <f t="shared" si="34"/>
        <v>9.1840277777810115</v>
      </c>
      <c r="BA113" s="165">
        <v>45120.253472222219</v>
      </c>
      <c r="BB113" s="165">
        <v>45120.256944444445</v>
      </c>
      <c r="BC113" s="165">
        <v>45122.4375</v>
      </c>
      <c r="BD113" s="165">
        <v>45124.899305555555</v>
      </c>
      <c r="BE113" s="165">
        <v>45125.0625</v>
      </c>
      <c r="BF113" s="165">
        <v>45125.079861111109</v>
      </c>
      <c r="BG113" s="165">
        <v>45125.708333333336</v>
      </c>
      <c r="BH113" s="165">
        <v>45125.708333333336</v>
      </c>
      <c r="BI113" s="166" t="s">
        <v>196</v>
      </c>
      <c r="BJ113" s="166" t="s">
        <v>196</v>
      </c>
      <c r="BK113" s="166" t="s">
        <v>196</v>
      </c>
      <c r="BL113" s="165">
        <v>45127.625</v>
      </c>
      <c r="BM113" s="165">
        <v>45128.25</v>
      </c>
      <c r="BN113" s="165">
        <v>45128.590277777781</v>
      </c>
      <c r="BO113" s="165">
        <v>45128.684027777781</v>
      </c>
      <c r="BP113" s="165">
        <v>45128.902777777781</v>
      </c>
      <c r="BQ113" s="165">
        <v>45129.4375</v>
      </c>
      <c r="BT113" s="136">
        <f t="shared" si="21"/>
        <v>52.333333333313931</v>
      </c>
      <c r="BU113" s="136">
        <f t="shared" si="22"/>
        <v>3.9166666666860692</v>
      </c>
      <c r="BV113" s="136">
        <f t="shared" si="23"/>
        <v>0</v>
      </c>
      <c r="BW113" s="136">
        <f t="shared" si="40"/>
        <v>45.999999999941792</v>
      </c>
      <c r="BX113" s="135">
        <f t="shared" si="25"/>
        <v>8.1666666667442769</v>
      </c>
      <c r="BY113" s="135">
        <f t="shared" si="26"/>
        <v>12.833333333255723</v>
      </c>
      <c r="BZ113" s="134">
        <f t="shared" si="27"/>
        <v>5.1354166666642413</v>
      </c>
      <c r="CA113" s="134">
        <f t="shared" si="28"/>
        <v>9.1840277777810115</v>
      </c>
      <c r="CB113" s="133">
        <f t="shared" si="29"/>
        <v>0.55916824196551251</v>
      </c>
    </row>
    <row r="114" spans="1:80" s="126" customFormat="1">
      <c r="A114" s="192">
        <f t="shared" si="30"/>
        <v>45138.527777777781</v>
      </c>
      <c r="B114" s="126" t="s">
        <v>188</v>
      </c>
      <c r="C114" s="126" t="s">
        <v>84</v>
      </c>
      <c r="D114" s="126" t="s">
        <v>197</v>
      </c>
      <c r="E114" s="126" t="s">
        <v>2134</v>
      </c>
      <c r="F114" s="126" t="s">
        <v>2622</v>
      </c>
      <c r="G114" s="165">
        <v>45144.5</v>
      </c>
      <c r="H114" s="165">
        <v>45144.375</v>
      </c>
      <c r="I114" s="126" t="s">
        <v>458</v>
      </c>
      <c r="J114" s="126" t="s">
        <v>192</v>
      </c>
      <c r="K114" s="126" t="s">
        <v>192</v>
      </c>
      <c r="L114" s="126" t="s">
        <v>2242</v>
      </c>
      <c r="M114" s="167"/>
      <c r="N114" s="126" t="s">
        <v>201</v>
      </c>
      <c r="O114" s="126" t="s">
        <v>202</v>
      </c>
      <c r="P114" s="126" t="s">
        <v>84</v>
      </c>
      <c r="Q114" s="181">
        <f>3141*2.4</f>
        <v>7538.4</v>
      </c>
      <c r="R114" s="181">
        <f>7550+100</f>
        <v>7650</v>
      </c>
      <c r="S114" s="181">
        <v>7562</v>
      </c>
      <c r="T114" s="181"/>
      <c r="AM114" s="181">
        <f>S114</f>
        <v>7562</v>
      </c>
      <c r="AX114" s="165">
        <f t="shared" si="32"/>
        <v>45133.836805555555</v>
      </c>
      <c r="AY114" s="165">
        <f t="shared" si="33"/>
        <v>45147.708333333336</v>
      </c>
      <c r="AZ114" s="137">
        <f t="shared" si="34"/>
        <v>13.871527777781012</v>
      </c>
      <c r="BA114" s="165">
        <v>45133.836805555555</v>
      </c>
      <c r="BB114" s="165">
        <v>45134.993055555555</v>
      </c>
      <c r="BC114" s="165">
        <v>45136.104166666664</v>
      </c>
      <c r="BD114" s="165">
        <v>45138.527777777781</v>
      </c>
      <c r="BE114" s="165">
        <v>45138.6875</v>
      </c>
      <c r="BF114" s="165">
        <v>45138.711805555555</v>
      </c>
      <c r="BG114" s="165">
        <v>45139.097222222219</v>
      </c>
      <c r="BH114" s="165">
        <v>45139.097222222219</v>
      </c>
      <c r="BI114" s="166" t="s">
        <v>196</v>
      </c>
      <c r="BJ114" s="166" t="s">
        <v>196</v>
      </c>
      <c r="BK114" s="166" t="s">
        <v>196</v>
      </c>
      <c r="BL114" s="165">
        <v>45140.506944444445</v>
      </c>
      <c r="BM114" s="165">
        <v>45146.510416666664</v>
      </c>
      <c r="BN114" s="165">
        <v>45147.416666666664</v>
      </c>
      <c r="BO114" s="165">
        <v>45147.444444444445</v>
      </c>
      <c r="BP114" s="165">
        <v>45147.444444444445</v>
      </c>
      <c r="BQ114" s="165">
        <v>45147.708333333336</v>
      </c>
      <c r="BT114" s="136">
        <f t="shared" si="21"/>
        <v>26.666666666627862</v>
      </c>
      <c r="BU114" s="136">
        <f t="shared" si="22"/>
        <v>3.8333333332557231</v>
      </c>
      <c r="BV114" s="136">
        <f t="shared" si="23"/>
        <v>0</v>
      </c>
      <c r="BW114" s="136">
        <f t="shared" si="40"/>
        <v>33.833333333430346</v>
      </c>
      <c r="BX114" s="135">
        <f t="shared" si="25"/>
        <v>21.75</v>
      </c>
      <c r="BY114" s="135">
        <f t="shared" si="26"/>
        <v>6.3333333333721384</v>
      </c>
      <c r="BZ114" s="134">
        <f t="shared" si="27"/>
        <v>3.8506944444452529</v>
      </c>
      <c r="CA114" s="134">
        <f t="shared" si="28"/>
        <v>13.871527777781012</v>
      </c>
      <c r="CB114" s="133">
        <f t="shared" si="29"/>
        <v>0.27759699624530021</v>
      </c>
    </row>
    <row r="115" spans="1:80" s="126" customFormat="1">
      <c r="A115" s="192">
        <f t="shared" si="30"/>
        <v>45112.861111111109</v>
      </c>
      <c r="B115" s="126" t="s">
        <v>188</v>
      </c>
      <c r="C115" s="126" t="s">
        <v>76</v>
      </c>
      <c r="D115" s="126" t="s">
        <v>197</v>
      </c>
      <c r="E115" s="65" t="s">
        <v>1864</v>
      </c>
      <c r="G115" s="315">
        <v>45118.375</v>
      </c>
      <c r="H115" s="315">
        <v>45118.384722222225</v>
      </c>
      <c r="I115" s="126" t="s">
        <v>460</v>
      </c>
      <c r="J115" s="126" t="s">
        <v>192</v>
      </c>
      <c r="K115" s="126" t="s">
        <v>192</v>
      </c>
      <c r="L115" s="126" t="s">
        <v>2064</v>
      </c>
      <c r="M115" s="167"/>
      <c r="N115" s="126" t="s">
        <v>330</v>
      </c>
      <c r="O115" s="126" t="s">
        <v>331</v>
      </c>
      <c r="P115" s="126" t="s">
        <v>76</v>
      </c>
      <c r="Q115" s="181">
        <f>3136*2.4</f>
        <v>7526.4</v>
      </c>
      <c r="R115" s="181">
        <f>7550+100</f>
        <v>7650</v>
      </c>
      <c r="S115" s="181">
        <v>7500</v>
      </c>
      <c r="T115" s="181"/>
      <c r="AL115" s="181">
        <f t="shared" ref="AL115:AL123" si="41">S115</f>
        <v>7500</v>
      </c>
      <c r="AX115" s="165">
        <f t="shared" si="32"/>
        <v>45108.458333333336</v>
      </c>
      <c r="AY115" s="165">
        <f t="shared" si="33"/>
        <v>45120.743055555555</v>
      </c>
      <c r="AZ115" s="137">
        <f t="shared" si="34"/>
        <v>12.284722222218988</v>
      </c>
      <c r="BA115" s="165">
        <v>45108.458333333336</v>
      </c>
      <c r="BB115" s="165">
        <v>45111.784722222219</v>
      </c>
      <c r="BC115" s="165">
        <v>45112.291666666664</v>
      </c>
      <c r="BD115" s="165">
        <v>45112.861111111109</v>
      </c>
      <c r="BE115" s="165">
        <v>45113.354166666664</v>
      </c>
      <c r="BF115" s="165">
        <v>45113.378472222219</v>
      </c>
      <c r="BG115" s="165">
        <v>45113.378472222219</v>
      </c>
      <c r="BH115" s="165">
        <f>BG115+(10/24)</f>
        <v>45113.795138888883</v>
      </c>
      <c r="BI115" s="165">
        <v>45114.25</v>
      </c>
      <c r="BJ115" s="165">
        <v>45114.416666666664</v>
      </c>
      <c r="BK115" s="165">
        <v>45114.322916666664</v>
      </c>
      <c r="BL115" s="165">
        <v>45117.625</v>
      </c>
      <c r="BM115" s="165">
        <v>45120.090277777781</v>
      </c>
      <c r="BN115" s="165">
        <v>45120.333333333336</v>
      </c>
      <c r="BO115" s="165">
        <v>45120.354166666664</v>
      </c>
      <c r="BP115" s="165">
        <v>45120.354166666664</v>
      </c>
      <c r="BQ115" s="165">
        <v>45120.743055555555</v>
      </c>
      <c r="BR115" s="126" t="s">
        <v>2631</v>
      </c>
      <c r="BT115" s="136">
        <f t="shared" si="21"/>
        <v>12.166666666686069</v>
      </c>
      <c r="BU115" s="136">
        <f t="shared" si="22"/>
        <v>11.833333333313931</v>
      </c>
      <c r="BV115" s="136">
        <f t="shared" si="23"/>
        <v>9.9999999999417923</v>
      </c>
      <c r="BW115" s="136">
        <f t="shared" ref="BW115:BW135" si="42">(BL115-BJ115)*24</f>
        <v>77.000000000058208</v>
      </c>
      <c r="BX115" s="135">
        <f t="shared" si="25"/>
        <v>5.8333333333139308</v>
      </c>
      <c r="BY115" s="135">
        <f t="shared" si="26"/>
        <v>9.3333333333721384</v>
      </c>
      <c r="BZ115" s="134">
        <f t="shared" si="27"/>
        <v>5.2569444444452529</v>
      </c>
      <c r="CA115" s="134">
        <f t="shared" si="28"/>
        <v>12.284722222218988</v>
      </c>
      <c r="CB115" s="133">
        <f t="shared" si="29"/>
        <v>0.4279253815716878</v>
      </c>
    </row>
    <row r="116" spans="1:80" s="126" customFormat="1">
      <c r="A116" s="192">
        <f t="shared" si="30"/>
        <v>45116.548611111109</v>
      </c>
      <c r="B116" s="126" t="s">
        <v>188</v>
      </c>
      <c r="C116" s="126" t="s">
        <v>76</v>
      </c>
      <c r="D116" s="126" t="s">
        <v>197</v>
      </c>
      <c r="E116" s="65" t="s">
        <v>2071</v>
      </c>
      <c r="G116" s="315">
        <v>45122.333333333336</v>
      </c>
      <c r="H116" s="315">
        <v>45122.338194444441</v>
      </c>
      <c r="I116" s="126" t="s">
        <v>460</v>
      </c>
      <c r="J116" s="126" t="s">
        <v>192</v>
      </c>
      <c r="K116" s="126" t="s">
        <v>192</v>
      </c>
      <c r="L116" s="126" t="s">
        <v>2074</v>
      </c>
      <c r="M116" s="167"/>
      <c r="N116" s="126" t="s">
        <v>70</v>
      </c>
      <c r="O116" s="126" t="s">
        <v>1982</v>
      </c>
      <c r="P116" s="126" t="s">
        <v>76</v>
      </c>
      <c r="Q116" s="181">
        <f>3142*2.4</f>
        <v>7540.7999999999993</v>
      </c>
      <c r="R116" s="181">
        <f>7550+100</f>
        <v>7650</v>
      </c>
      <c r="S116" s="181">
        <v>7500</v>
      </c>
      <c r="T116" s="181"/>
      <c r="AL116" s="181">
        <f t="shared" si="41"/>
        <v>7500</v>
      </c>
      <c r="AX116" s="165">
        <f t="shared" si="32"/>
        <v>45112.347222222219</v>
      </c>
      <c r="AY116" s="165">
        <f t="shared" si="33"/>
        <v>45122.253472222219</v>
      </c>
      <c r="AZ116" s="137">
        <f t="shared" si="34"/>
        <v>9.90625</v>
      </c>
      <c r="BA116" s="165">
        <v>45112.347222222219</v>
      </c>
      <c r="BB116" s="165">
        <v>45115.53125</v>
      </c>
      <c r="BC116" s="165">
        <v>45115.934027777781</v>
      </c>
      <c r="BD116" s="165">
        <v>45116.548611111109</v>
      </c>
      <c r="BE116" s="165">
        <v>45116.923611111109</v>
      </c>
      <c r="BF116" s="165">
        <v>45116.930555555555</v>
      </c>
      <c r="BG116" s="165">
        <v>45116.930555555555</v>
      </c>
      <c r="BH116" s="165">
        <f>BG116+(10/24)</f>
        <v>45117.347222222219</v>
      </c>
      <c r="BI116" s="165">
        <v>45118.25</v>
      </c>
      <c r="BJ116" s="165">
        <v>45118.416666666664</v>
      </c>
      <c r="BK116" s="165">
        <v>45118.371527777781</v>
      </c>
      <c r="BL116" s="165">
        <v>45120.375</v>
      </c>
      <c r="BM116" s="165">
        <v>45121.78125</v>
      </c>
      <c r="BN116" s="165">
        <v>45121.934027777781</v>
      </c>
      <c r="BO116" s="165">
        <v>45121.954861111109</v>
      </c>
      <c r="BP116" s="165">
        <v>45121.954861111109</v>
      </c>
      <c r="BQ116" s="165">
        <v>45122.253472222219</v>
      </c>
      <c r="BT116" s="136">
        <f t="shared" si="21"/>
        <v>9.6666666667442769</v>
      </c>
      <c r="BU116" s="136">
        <f t="shared" si="22"/>
        <v>9</v>
      </c>
      <c r="BV116" s="136">
        <f t="shared" si="23"/>
        <v>9.9999999999417923</v>
      </c>
      <c r="BW116" s="136">
        <f t="shared" si="42"/>
        <v>47.000000000058208</v>
      </c>
      <c r="BX116" s="135">
        <f t="shared" si="25"/>
        <v>3.6666666667442769</v>
      </c>
      <c r="BY116" s="135">
        <f t="shared" si="26"/>
        <v>7.1666666666278616</v>
      </c>
      <c r="BZ116" s="134">
        <f t="shared" si="27"/>
        <v>3.6041666666715173</v>
      </c>
      <c r="CA116" s="134">
        <f t="shared" si="28"/>
        <v>9.90625</v>
      </c>
      <c r="CB116" s="133">
        <f t="shared" si="29"/>
        <v>0.36382754994791344</v>
      </c>
    </row>
    <row r="117" spans="1:80" s="126" customFormat="1">
      <c r="A117" s="192">
        <f t="shared" si="30"/>
        <v>45120.378472222219</v>
      </c>
      <c r="B117" s="126" t="s">
        <v>188</v>
      </c>
      <c r="C117" s="126" t="s">
        <v>76</v>
      </c>
      <c r="D117" s="126" t="s">
        <v>215</v>
      </c>
      <c r="E117" s="126" t="s">
        <v>2597</v>
      </c>
      <c r="G117" s="165">
        <v>45127.591666666667</v>
      </c>
      <c r="H117" s="165">
        <v>45127.591666666667</v>
      </c>
      <c r="I117" s="126" t="s">
        <v>464</v>
      </c>
      <c r="J117" s="126" t="s">
        <v>192</v>
      </c>
      <c r="K117" s="126" t="s">
        <v>192</v>
      </c>
      <c r="L117" s="126" t="s">
        <v>2632</v>
      </c>
      <c r="M117" s="167"/>
      <c r="N117" s="126" t="s">
        <v>1972</v>
      </c>
      <c r="O117" s="126" t="s">
        <v>1973</v>
      </c>
      <c r="P117" s="126" t="s">
        <v>76</v>
      </c>
      <c r="Q117" s="181">
        <f>3107*2.4</f>
        <v>7456.7999999999993</v>
      </c>
      <c r="R117" s="181">
        <f>7500+100</f>
        <v>7600</v>
      </c>
      <c r="S117" s="181">
        <v>7500</v>
      </c>
      <c r="T117" s="181"/>
      <c r="AL117" s="181">
        <f t="shared" si="41"/>
        <v>7500</v>
      </c>
      <c r="AX117" s="165">
        <f t="shared" si="32"/>
        <v>45118.25</v>
      </c>
      <c r="AY117" s="165">
        <f t="shared" si="33"/>
        <v>45124.465277777781</v>
      </c>
      <c r="AZ117" s="137">
        <f t="shared" si="34"/>
        <v>6.2152777777810115</v>
      </c>
      <c r="BA117" s="165">
        <v>45118.25</v>
      </c>
      <c r="BB117" s="165">
        <v>45119.923611111109</v>
      </c>
      <c r="BC117" s="165">
        <v>45120.3125</v>
      </c>
      <c r="BD117" s="165">
        <v>45120.378472222219</v>
      </c>
      <c r="BE117" s="165">
        <v>45120.708333333336</v>
      </c>
      <c r="BF117" s="165">
        <v>45120.729166666664</v>
      </c>
      <c r="BG117" s="165">
        <v>45120.729166666664</v>
      </c>
      <c r="BH117" s="165">
        <f>BG117+(10/24)</f>
        <v>45121.145833333328</v>
      </c>
      <c r="BI117" s="165">
        <v>45121.5</v>
      </c>
      <c r="BJ117" s="165">
        <v>45121.666666666664</v>
      </c>
      <c r="BK117" s="165">
        <v>45121.604166666664</v>
      </c>
      <c r="BL117" s="165">
        <v>45123.430555555555</v>
      </c>
      <c r="BM117" s="165">
        <v>45124.201388888891</v>
      </c>
      <c r="BN117" s="165">
        <v>45124.465277777781</v>
      </c>
      <c r="BO117" s="165">
        <v>45124.465277777781</v>
      </c>
      <c r="BP117" s="165">
        <v>45124.465277777781</v>
      </c>
      <c r="BQ117" s="165">
        <v>45124.465277777781</v>
      </c>
      <c r="BT117" s="136">
        <f t="shared" ref="BT117:BT182" si="43">(BC117-BB117)*24</f>
        <v>9.3333333333721384</v>
      </c>
      <c r="BU117" s="136">
        <f t="shared" ref="BU117:BU182" si="44">(BE117-BD117)*24</f>
        <v>7.9166666668024845</v>
      </c>
      <c r="BV117" s="136">
        <f t="shared" ref="BV117:BV182" si="45">(BH117-BG117)*24</f>
        <v>9.9999999999417923</v>
      </c>
      <c r="BW117" s="136">
        <f t="shared" si="42"/>
        <v>42.333333333372138</v>
      </c>
      <c r="BX117" s="135">
        <f t="shared" ref="BX117:BX182" si="46">(BN117-BM117)*24</f>
        <v>6.3333333333721384</v>
      </c>
      <c r="BY117" s="135">
        <f t="shared" ref="BY117:BY182" si="47">(BQ117-BP117)*24</f>
        <v>0</v>
      </c>
      <c r="BZ117" s="134">
        <f t="shared" ref="BZ117:BZ182" si="48">SUM(BT117:BY117)/24</f>
        <v>3.1631944444525288</v>
      </c>
      <c r="CA117" s="134">
        <f t="shared" ref="CA117:CA182" si="49">AZ117</f>
        <v>6.2152777777810115</v>
      </c>
      <c r="CB117" s="133">
        <f t="shared" ref="CB117:CB182" si="50">BZ117/CA117</f>
        <v>0.50893854748706946</v>
      </c>
    </row>
    <row r="118" spans="1:80" s="126" customFormat="1">
      <c r="A118" s="192">
        <f t="shared" si="30"/>
        <v>45120.826388888891</v>
      </c>
      <c r="B118" s="126" t="s">
        <v>188</v>
      </c>
      <c r="C118" s="126" t="s">
        <v>76</v>
      </c>
      <c r="D118" s="126" t="s">
        <v>197</v>
      </c>
      <c r="E118" s="65" t="s">
        <v>2615</v>
      </c>
      <c r="G118" s="165">
        <v>45132.5</v>
      </c>
      <c r="H118" s="165">
        <v>45132.5</v>
      </c>
      <c r="I118" s="126" t="s">
        <v>464</v>
      </c>
      <c r="J118" s="126" t="s">
        <v>192</v>
      </c>
      <c r="K118" s="126" t="s">
        <v>192</v>
      </c>
      <c r="L118" s="126" t="s">
        <v>2633</v>
      </c>
      <c r="M118" s="129"/>
      <c r="N118" s="126" t="s">
        <v>355</v>
      </c>
      <c r="O118" s="126" t="s">
        <v>356</v>
      </c>
      <c r="P118" s="126" t="s">
        <v>76</v>
      </c>
      <c r="Q118" s="181">
        <f>3107*2.4</f>
        <v>7456.7999999999993</v>
      </c>
      <c r="R118" s="181">
        <f>7500+100</f>
        <v>7600</v>
      </c>
      <c r="S118" s="181">
        <v>7500</v>
      </c>
      <c r="T118" s="181"/>
      <c r="AL118" s="181">
        <f t="shared" si="41"/>
        <v>7500</v>
      </c>
      <c r="AX118" s="165">
        <f t="shared" si="32"/>
        <v>45116.402777777781</v>
      </c>
      <c r="AY118" s="165">
        <f t="shared" si="33"/>
        <v>45125.229166666664</v>
      </c>
      <c r="AZ118" s="137">
        <f t="shared" si="34"/>
        <v>8.8263888888832298</v>
      </c>
      <c r="BA118" s="165">
        <v>45116.402777777781</v>
      </c>
      <c r="BB118" s="165">
        <v>45120.34375</v>
      </c>
      <c r="BC118" s="165">
        <v>45120.743055555555</v>
      </c>
      <c r="BD118" s="165">
        <v>45120.826388888891</v>
      </c>
      <c r="BE118" s="165">
        <v>45121.194444444445</v>
      </c>
      <c r="BF118" s="165">
        <v>45121.225694444445</v>
      </c>
      <c r="BG118" s="165">
        <v>45121.225694444445</v>
      </c>
      <c r="BH118" s="165">
        <f>BG118+(10/24)</f>
        <v>45121.642361111109</v>
      </c>
      <c r="BI118" s="165">
        <v>45121.5</v>
      </c>
      <c r="BJ118" s="165">
        <v>45121.666666666664</v>
      </c>
      <c r="BK118" s="165">
        <v>45121.694444444445</v>
      </c>
      <c r="BL118" s="165">
        <v>45123.590277777781</v>
      </c>
      <c r="BM118" s="165">
        <v>45124.923611111109</v>
      </c>
      <c r="BN118" s="165">
        <v>45125.229166666664</v>
      </c>
      <c r="BO118" s="165">
        <v>45125.229166666664</v>
      </c>
      <c r="BP118" s="165">
        <v>45125.229166666664</v>
      </c>
      <c r="BQ118" s="165">
        <v>45125.229166666664</v>
      </c>
      <c r="BT118" s="136">
        <f t="shared" si="43"/>
        <v>9.5833333333139308</v>
      </c>
      <c r="BU118" s="136">
        <f t="shared" si="44"/>
        <v>8.8333333333139308</v>
      </c>
      <c r="BV118" s="136">
        <f t="shared" si="45"/>
        <v>9.9999999999417923</v>
      </c>
      <c r="BW118" s="136">
        <f t="shared" si="42"/>
        <v>46.166666666802485</v>
      </c>
      <c r="BX118" s="135">
        <f t="shared" si="46"/>
        <v>7.3333333333139308</v>
      </c>
      <c r="BY118" s="135">
        <f t="shared" si="47"/>
        <v>0</v>
      </c>
      <c r="BZ118" s="134">
        <f t="shared" si="48"/>
        <v>3.4131944444452529</v>
      </c>
      <c r="CA118" s="134">
        <f t="shared" si="49"/>
        <v>8.8263888888832298</v>
      </c>
      <c r="CB118" s="133">
        <f t="shared" si="50"/>
        <v>0.38670338316320341</v>
      </c>
    </row>
    <row r="119" spans="1:80" s="126" customFormat="1">
      <c r="A119" s="192">
        <f t="shared" si="30"/>
        <v>45121.850694444445</v>
      </c>
      <c r="B119" s="126" t="s">
        <v>188</v>
      </c>
      <c r="C119" s="126" t="s">
        <v>76</v>
      </c>
      <c r="D119" s="126" t="s">
        <v>197</v>
      </c>
      <c r="E119" s="65" t="s">
        <v>2134</v>
      </c>
      <c r="G119" s="165">
        <v>45131.166666666664</v>
      </c>
      <c r="H119" s="165">
        <v>45131.025000000001</v>
      </c>
      <c r="I119" s="126" t="s">
        <v>464</v>
      </c>
      <c r="J119" s="126" t="s">
        <v>192</v>
      </c>
      <c r="K119" s="126" t="s">
        <v>192</v>
      </c>
      <c r="L119" s="126" t="s">
        <v>2139</v>
      </c>
      <c r="M119" s="167"/>
      <c r="N119" s="126" t="s">
        <v>330</v>
      </c>
      <c r="O119" s="126" t="s">
        <v>331</v>
      </c>
      <c r="P119" s="126" t="s">
        <v>76</v>
      </c>
      <c r="Q119" s="181">
        <f>3136*2.4</f>
        <v>7526.4</v>
      </c>
      <c r="R119" s="181">
        <f t="shared" ref="R119:R124" si="51">7550+100</f>
        <v>7650</v>
      </c>
      <c r="S119" s="181">
        <v>7500</v>
      </c>
      <c r="T119" s="181"/>
      <c r="AL119" s="181">
        <f t="shared" si="41"/>
        <v>7500</v>
      </c>
      <c r="AX119" s="165">
        <f t="shared" si="32"/>
        <v>45120.743055555555</v>
      </c>
      <c r="AY119" s="165">
        <f t="shared" si="33"/>
        <v>45126.958333333336</v>
      </c>
      <c r="AZ119" s="137">
        <f t="shared" si="34"/>
        <v>6.2152777777810115</v>
      </c>
      <c r="BA119" s="165">
        <v>45120.743055555555</v>
      </c>
      <c r="BB119" s="165">
        <v>45121.347222222219</v>
      </c>
      <c r="BC119" s="165">
        <v>45121.829861111109</v>
      </c>
      <c r="BD119" s="165">
        <v>45121.850694444445</v>
      </c>
      <c r="BE119" s="165">
        <v>45122.381944444445</v>
      </c>
      <c r="BF119" s="165">
        <v>45122.399305555555</v>
      </c>
      <c r="BG119" s="165">
        <v>45122.402777777781</v>
      </c>
      <c r="BH119" s="165">
        <f>BG119+(10/24)</f>
        <v>45122.819444444445</v>
      </c>
      <c r="BI119" s="165">
        <v>45123.229166666664</v>
      </c>
      <c r="BJ119" s="165">
        <v>45123.395833333328</v>
      </c>
      <c r="BK119" s="165">
        <v>45123.295138888891</v>
      </c>
      <c r="BL119" s="165">
        <v>45125.083333333336</v>
      </c>
      <c r="BM119" s="165">
        <v>45126.138888888891</v>
      </c>
      <c r="BN119" s="165">
        <v>45126.381944444445</v>
      </c>
      <c r="BO119" s="165">
        <v>45126.399305555555</v>
      </c>
      <c r="BP119" s="165">
        <v>45126.402777777781</v>
      </c>
      <c r="BQ119" s="165">
        <v>45126.958333333336</v>
      </c>
      <c r="BT119" s="136">
        <f t="shared" si="43"/>
        <v>11.583333333372138</v>
      </c>
      <c r="BU119" s="136">
        <f t="shared" si="44"/>
        <v>12.75</v>
      </c>
      <c r="BV119" s="136">
        <f t="shared" si="45"/>
        <v>9.9999999999417923</v>
      </c>
      <c r="BW119" s="136">
        <f t="shared" si="42"/>
        <v>40.500000000174623</v>
      </c>
      <c r="BX119" s="135">
        <f t="shared" si="46"/>
        <v>5.8333333333139308</v>
      </c>
      <c r="BY119" s="135">
        <f t="shared" si="47"/>
        <v>13.333333333313931</v>
      </c>
      <c r="BZ119" s="134">
        <f t="shared" si="48"/>
        <v>3.9166666666715173</v>
      </c>
      <c r="CA119" s="134">
        <f t="shared" si="49"/>
        <v>6.2152777777810115</v>
      </c>
      <c r="CB119" s="133">
        <f t="shared" si="50"/>
        <v>0.63016759776581566</v>
      </c>
    </row>
    <row r="120" spans="1:80" s="126" customFormat="1">
      <c r="A120" s="192">
        <f t="shared" si="30"/>
        <v>45126.548611111109</v>
      </c>
      <c r="B120" s="126" t="s">
        <v>188</v>
      </c>
      <c r="C120" s="126" t="s">
        <v>76</v>
      </c>
      <c r="D120" s="126" t="s">
        <v>197</v>
      </c>
      <c r="E120" s="65" t="s">
        <v>2146</v>
      </c>
      <c r="G120" s="165">
        <v>45130.833333333336</v>
      </c>
      <c r="H120" s="165">
        <v>45130.8125</v>
      </c>
      <c r="I120" s="126" t="s">
        <v>460</v>
      </c>
      <c r="J120" s="126" t="s">
        <v>192</v>
      </c>
      <c r="K120" s="126" t="s">
        <v>192</v>
      </c>
      <c r="L120" s="126" t="s">
        <v>2153</v>
      </c>
      <c r="M120" s="167"/>
      <c r="N120" s="126" t="s">
        <v>201</v>
      </c>
      <c r="O120" s="126" t="s">
        <v>202</v>
      </c>
      <c r="P120" s="126" t="s">
        <v>76</v>
      </c>
      <c r="Q120" s="181">
        <f>3141*2.4</f>
        <v>7538.4</v>
      </c>
      <c r="R120" s="181">
        <f t="shared" si="51"/>
        <v>7650</v>
      </c>
      <c r="S120" s="181">
        <v>7500</v>
      </c>
      <c r="T120" s="181"/>
      <c r="AL120" s="181">
        <f t="shared" si="41"/>
        <v>7500</v>
      </c>
      <c r="AX120" s="165">
        <f t="shared" si="32"/>
        <v>45124.746527777781</v>
      </c>
      <c r="AY120" s="165">
        <f t="shared" si="33"/>
        <v>45133.836805555555</v>
      </c>
      <c r="AZ120" s="137">
        <f t="shared" si="34"/>
        <v>9.0902777777737356</v>
      </c>
      <c r="BA120" s="165">
        <v>45124.746527777781</v>
      </c>
      <c r="BB120" s="165">
        <v>45125.59652777778</v>
      </c>
      <c r="BC120" s="165">
        <v>45125.958333333336</v>
      </c>
      <c r="BD120" s="165">
        <v>45126.548611111109</v>
      </c>
      <c r="BE120" s="165">
        <v>45126.930555555555</v>
      </c>
      <c r="BF120" s="165">
        <v>45126.951388888891</v>
      </c>
      <c r="BG120" s="165">
        <v>45126.951388888891</v>
      </c>
      <c r="BH120" s="165">
        <v>45126.951388888891</v>
      </c>
      <c r="BI120" s="165">
        <v>45128.25</v>
      </c>
      <c r="BJ120" s="165">
        <v>45128.416666666664</v>
      </c>
      <c r="BK120" s="165">
        <v>45128.302083333336</v>
      </c>
      <c r="BL120" s="165">
        <v>45129.371527777781</v>
      </c>
      <c r="BM120" s="165">
        <v>45132.875</v>
      </c>
      <c r="BN120" s="165">
        <v>45133.5</v>
      </c>
      <c r="BO120" s="165">
        <v>45133.524305555555</v>
      </c>
      <c r="BP120" s="165">
        <v>45133.524305555555</v>
      </c>
      <c r="BQ120" s="165">
        <v>45133.836805555555</v>
      </c>
      <c r="BT120" s="136">
        <f t="shared" si="43"/>
        <v>8.6833333333488554</v>
      </c>
      <c r="BU120" s="136">
        <f t="shared" si="44"/>
        <v>9.1666666666860692</v>
      </c>
      <c r="BV120" s="136">
        <f t="shared" si="45"/>
        <v>0</v>
      </c>
      <c r="BW120" s="136">
        <f t="shared" si="42"/>
        <v>22.916666666802485</v>
      </c>
      <c r="BX120" s="135">
        <f t="shared" si="46"/>
        <v>15</v>
      </c>
      <c r="BY120" s="135">
        <f t="shared" si="47"/>
        <v>7.5</v>
      </c>
      <c r="BZ120" s="134">
        <f t="shared" si="48"/>
        <v>2.6361111111182254</v>
      </c>
      <c r="CA120" s="134">
        <f t="shared" si="49"/>
        <v>9.0902777777737356</v>
      </c>
      <c r="CB120" s="133">
        <f t="shared" si="50"/>
        <v>0.28999236058150746</v>
      </c>
    </row>
    <row r="121" spans="1:80" s="126" customFormat="1">
      <c r="A121" s="192">
        <f t="shared" ref="A121:A175" si="52">BD121</f>
        <v>45127.541666666664</v>
      </c>
      <c r="B121" s="126" t="s">
        <v>188</v>
      </c>
      <c r="C121" s="126" t="s">
        <v>76</v>
      </c>
      <c r="D121" s="126" t="s">
        <v>197</v>
      </c>
      <c r="E121" s="65" t="s">
        <v>2146</v>
      </c>
      <c r="G121" s="165">
        <v>45130.833333333336</v>
      </c>
      <c r="H121" s="165">
        <v>45130.8125</v>
      </c>
      <c r="I121" s="126" t="s">
        <v>460</v>
      </c>
      <c r="J121" s="126" t="s">
        <v>192</v>
      </c>
      <c r="K121" s="126" t="s">
        <v>192</v>
      </c>
      <c r="L121" s="126" t="s">
        <v>2150</v>
      </c>
      <c r="M121" s="167"/>
      <c r="N121" s="126" t="s">
        <v>1392</v>
      </c>
      <c r="O121" s="126" t="s">
        <v>365</v>
      </c>
      <c r="P121" s="126" t="s">
        <v>76</v>
      </c>
      <c r="Q121" s="181">
        <f>3142*2.4</f>
        <v>7540.7999999999993</v>
      </c>
      <c r="R121" s="181">
        <f t="shared" si="51"/>
        <v>7650</v>
      </c>
      <c r="S121" s="181">
        <v>7500</v>
      </c>
      <c r="T121" s="181"/>
      <c r="AL121" s="181">
        <f t="shared" si="41"/>
        <v>7500</v>
      </c>
      <c r="AX121" s="165">
        <f t="shared" si="32"/>
        <v>45124.979166666664</v>
      </c>
      <c r="AY121" s="165">
        <f t="shared" si="33"/>
        <v>45133.125</v>
      </c>
      <c r="AZ121" s="137">
        <f t="shared" si="34"/>
        <v>8.1458333333357587</v>
      </c>
      <c r="BA121" s="165">
        <v>45124.979166666664</v>
      </c>
      <c r="BB121" s="165">
        <v>45126.798611111109</v>
      </c>
      <c r="BC121" s="165">
        <v>45127.263888888891</v>
      </c>
      <c r="BD121" s="165">
        <v>45127.541666666664</v>
      </c>
      <c r="BE121" s="165">
        <v>45128</v>
      </c>
      <c r="BF121" s="165">
        <v>45128.024305555555</v>
      </c>
      <c r="BG121" s="165">
        <v>45128.024305555555</v>
      </c>
      <c r="BH121" s="165">
        <f>BG121+(10/24)</f>
        <v>45128.440972222219</v>
      </c>
      <c r="BI121" s="165">
        <v>45129.25</v>
      </c>
      <c r="BJ121" s="165">
        <v>45129.416666666664</v>
      </c>
      <c r="BK121" s="165">
        <v>45129.354166666664</v>
      </c>
      <c r="BL121" s="165">
        <v>45130.59375</v>
      </c>
      <c r="BM121" s="165">
        <v>45132.145833333336</v>
      </c>
      <c r="BN121" s="165">
        <v>45132.777777777781</v>
      </c>
      <c r="BO121" s="165">
        <v>45132.805555555555</v>
      </c>
      <c r="BP121" s="165">
        <v>45132.805555555555</v>
      </c>
      <c r="BQ121" s="165">
        <v>45133.125</v>
      </c>
      <c r="BT121" s="136">
        <f t="shared" si="43"/>
        <v>11.166666666744277</v>
      </c>
      <c r="BU121" s="136">
        <f t="shared" si="44"/>
        <v>11.000000000058208</v>
      </c>
      <c r="BV121" s="136">
        <f t="shared" si="45"/>
        <v>9.9999999999417923</v>
      </c>
      <c r="BW121" s="136">
        <f t="shared" si="42"/>
        <v>28.250000000058208</v>
      </c>
      <c r="BX121" s="135">
        <f t="shared" si="46"/>
        <v>15.166666666686069</v>
      </c>
      <c r="BY121" s="135">
        <f t="shared" si="47"/>
        <v>7.6666666666860692</v>
      </c>
      <c r="BZ121" s="134">
        <f t="shared" si="48"/>
        <v>3.468750000007276</v>
      </c>
      <c r="CA121" s="134">
        <f t="shared" si="49"/>
        <v>8.1458333333357587</v>
      </c>
      <c r="CB121" s="133">
        <f t="shared" si="50"/>
        <v>0.42583120204680225</v>
      </c>
    </row>
    <row r="122" spans="1:80" s="126" customFormat="1">
      <c r="A122" s="192">
        <f t="shared" si="52"/>
        <v>45128.076388888891</v>
      </c>
      <c r="B122" s="126" t="s">
        <v>188</v>
      </c>
      <c r="C122" s="126" t="s">
        <v>76</v>
      </c>
      <c r="D122" s="126" t="s">
        <v>197</v>
      </c>
      <c r="E122" s="126" t="s">
        <v>2586</v>
      </c>
      <c r="G122" s="165">
        <v>45128.385416666664</v>
      </c>
      <c r="H122" s="165">
        <v>45128.385416666664</v>
      </c>
      <c r="I122" s="126" t="s">
        <v>464</v>
      </c>
      <c r="J122" s="126" t="s">
        <v>192</v>
      </c>
      <c r="K122" s="126" t="s">
        <v>192</v>
      </c>
      <c r="L122" s="126" t="s">
        <v>2634</v>
      </c>
      <c r="M122" s="167"/>
      <c r="N122" s="126" t="s">
        <v>1483</v>
      </c>
      <c r="O122" s="126" t="s">
        <v>258</v>
      </c>
      <c r="P122" s="126" t="s">
        <v>76</v>
      </c>
      <c r="Q122" s="181">
        <f>3139*2.4</f>
        <v>7533.5999999999995</v>
      </c>
      <c r="R122" s="181">
        <f t="shared" si="51"/>
        <v>7650</v>
      </c>
      <c r="S122" s="181">
        <v>7500</v>
      </c>
      <c r="T122" s="181"/>
      <c r="AL122" s="181">
        <f t="shared" si="41"/>
        <v>7500</v>
      </c>
      <c r="AX122" s="165">
        <f t="shared" si="32"/>
        <v>45125.75</v>
      </c>
      <c r="AY122" s="165">
        <f t="shared" si="33"/>
        <v>45133.104166666664</v>
      </c>
      <c r="AZ122" s="137">
        <f t="shared" si="34"/>
        <v>7.3541666666642413</v>
      </c>
      <c r="BA122" s="165">
        <v>45125.75</v>
      </c>
      <c r="BB122" s="165">
        <v>45126.826388888891</v>
      </c>
      <c r="BC122" s="165">
        <v>45127.291666666664</v>
      </c>
      <c r="BD122" s="165">
        <v>45128.076388888891</v>
      </c>
      <c r="BE122" s="165">
        <v>45128.659722222219</v>
      </c>
      <c r="BF122" s="165">
        <v>45128.680555555555</v>
      </c>
      <c r="BG122" s="165">
        <v>45128.680555555555</v>
      </c>
      <c r="BH122" s="165">
        <f>BG122+(10/24)</f>
        <v>45129.097222222219</v>
      </c>
      <c r="BI122" s="165">
        <v>45129.25</v>
      </c>
      <c r="BJ122" s="165">
        <v>45129.416666666664</v>
      </c>
      <c r="BK122" s="165">
        <v>45129.333333333336</v>
      </c>
      <c r="BL122" s="165">
        <v>45131.256944444445</v>
      </c>
      <c r="BM122" s="165">
        <v>45131.638888888891</v>
      </c>
      <c r="BN122" s="165">
        <v>45132.260416666664</v>
      </c>
      <c r="BO122" s="165">
        <v>45132.277777777781</v>
      </c>
      <c r="BP122" s="165">
        <v>45132.420138888891</v>
      </c>
      <c r="BQ122" s="165">
        <v>45133.104166666664</v>
      </c>
      <c r="BT122" s="136">
        <f t="shared" si="43"/>
        <v>11.166666666569654</v>
      </c>
      <c r="BU122" s="136">
        <f t="shared" si="44"/>
        <v>13.999999999883585</v>
      </c>
      <c r="BV122" s="136">
        <f t="shared" si="45"/>
        <v>9.9999999999417923</v>
      </c>
      <c r="BW122" s="136">
        <f t="shared" si="42"/>
        <v>44.166666666744277</v>
      </c>
      <c r="BX122" s="135">
        <f t="shared" si="46"/>
        <v>14.916666666569654</v>
      </c>
      <c r="BY122" s="135">
        <f t="shared" si="47"/>
        <v>16.416666666569654</v>
      </c>
      <c r="BZ122" s="134">
        <f t="shared" si="48"/>
        <v>4.6111111110949423</v>
      </c>
      <c r="CA122" s="134">
        <f t="shared" si="49"/>
        <v>7.3541666666642413</v>
      </c>
      <c r="CB122" s="133">
        <f t="shared" si="50"/>
        <v>0.62700661000745106</v>
      </c>
    </row>
    <row r="123" spans="1:80" s="126" customFormat="1">
      <c r="A123" s="192">
        <f t="shared" si="52"/>
        <v>45133.822916666664</v>
      </c>
      <c r="B123" s="126" t="s">
        <v>188</v>
      </c>
      <c r="C123" s="126" t="s">
        <v>76</v>
      </c>
      <c r="D123" s="126" t="s">
        <v>197</v>
      </c>
      <c r="E123" s="65" t="s">
        <v>2211</v>
      </c>
      <c r="G123" s="315">
        <v>45129.083333333336</v>
      </c>
      <c r="H123" s="315">
        <v>45129.125</v>
      </c>
      <c r="I123" s="126" t="s">
        <v>460</v>
      </c>
      <c r="J123" s="126" t="s">
        <v>192</v>
      </c>
      <c r="K123" s="126" t="s">
        <v>192</v>
      </c>
      <c r="L123" s="126" t="s">
        <v>2215</v>
      </c>
      <c r="M123" s="167"/>
      <c r="N123" s="126" t="s">
        <v>70</v>
      </c>
      <c r="O123" s="126" t="s">
        <v>1982</v>
      </c>
      <c r="P123" s="126" t="s">
        <v>76</v>
      </c>
      <c r="Q123" s="181">
        <f>3142*2.4</f>
        <v>7540.7999999999993</v>
      </c>
      <c r="R123" s="181">
        <f t="shared" si="51"/>
        <v>7650</v>
      </c>
      <c r="S123" s="181">
        <v>7500</v>
      </c>
      <c r="T123" s="181"/>
      <c r="AL123" s="181">
        <f t="shared" si="41"/>
        <v>7500</v>
      </c>
      <c r="AX123" s="165">
        <f t="shared" si="32"/>
        <v>45131.38958333333</v>
      </c>
      <c r="AY123" s="165">
        <f t="shared" si="33"/>
        <v>45140.861111111109</v>
      </c>
      <c r="AZ123" s="137">
        <f t="shared" si="34"/>
        <v>9.4715277777795563</v>
      </c>
      <c r="BA123" s="165">
        <v>45131.38958333333</v>
      </c>
      <c r="BB123" s="165">
        <v>45132.600694444445</v>
      </c>
      <c r="BC123" s="165">
        <v>45132.9375</v>
      </c>
      <c r="BD123" s="165">
        <v>45133.822916666664</v>
      </c>
      <c r="BE123" s="165">
        <v>45134.184027777781</v>
      </c>
      <c r="BF123" s="165">
        <v>45134.197916666664</v>
      </c>
      <c r="BG123" s="165">
        <v>45134.197916666664</v>
      </c>
      <c r="BH123" s="165">
        <f>BG123+(10/24)</f>
        <v>45134.614583333328</v>
      </c>
      <c r="BI123" s="165">
        <v>45135.291666608799</v>
      </c>
      <c r="BJ123" s="165">
        <v>45135.458333275463</v>
      </c>
      <c r="BK123" s="165">
        <v>45135.402777777781</v>
      </c>
      <c r="BL123" s="165">
        <v>45137.145833333336</v>
      </c>
      <c r="BM123" s="165">
        <v>45140.020833333328</v>
      </c>
      <c r="BN123" s="165">
        <v>45140.527777777781</v>
      </c>
      <c r="BO123" s="165">
        <v>45140.548611111109</v>
      </c>
      <c r="BP123" s="165">
        <v>45140.666666666664</v>
      </c>
      <c r="BQ123" s="165">
        <v>45140.861111111109</v>
      </c>
      <c r="BT123" s="136">
        <f t="shared" si="43"/>
        <v>8.0833333333139308</v>
      </c>
      <c r="BU123" s="136">
        <f t="shared" si="44"/>
        <v>8.6666666668024845</v>
      </c>
      <c r="BV123" s="136">
        <f t="shared" si="45"/>
        <v>9.9999999999417923</v>
      </c>
      <c r="BW123" s="136">
        <f t="shared" si="42"/>
        <v>40.500001388951205</v>
      </c>
      <c r="BX123" s="135">
        <f t="shared" si="46"/>
        <v>12.166666666860692</v>
      </c>
      <c r="BY123" s="135">
        <f t="shared" si="47"/>
        <v>4.6666666666860692</v>
      </c>
      <c r="BZ123" s="134">
        <f t="shared" si="48"/>
        <v>3.5034722801065072</v>
      </c>
      <c r="CA123" s="134">
        <f t="shared" si="49"/>
        <v>9.4715277777795563</v>
      </c>
      <c r="CB123" s="133">
        <f t="shared" si="50"/>
        <v>0.36989515971496612</v>
      </c>
    </row>
    <row r="124" spans="1:80" s="126" customFormat="1">
      <c r="A124" s="192">
        <f t="shared" si="52"/>
        <v>45108.677083333336</v>
      </c>
      <c r="B124" s="126" t="s">
        <v>228</v>
      </c>
      <c r="C124" s="126" t="s">
        <v>229</v>
      </c>
      <c r="D124" s="126" t="s">
        <v>197</v>
      </c>
      <c r="E124" s="65" t="s">
        <v>944</v>
      </c>
      <c r="G124" s="165">
        <v>45111.458333333336</v>
      </c>
      <c r="H124" s="165">
        <v>45111.458333333336</v>
      </c>
      <c r="I124" s="126" t="s">
        <v>471</v>
      </c>
      <c r="J124" s="126" t="s">
        <v>192</v>
      </c>
      <c r="K124" s="126" t="s">
        <v>192</v>
      </c>
      <c r="L124" s="126" t="s">
        <v>2050</v>
      </c>
      <c r="M124" s="167"/>
      <c r="N124" s="126" t="s">
        <v>1799</v>
      </c>
      <c r="O124" s="126" t="s">
        <v>340</v>
      </c>
      <c r="P124" s="126" t="s">
        <v>172</v>
      </c>
      <c r="Q124" s="181">
        <f>3141*2.4</f>
        <v>7538.4</v>
      </c>
      <c r="R124" s="181">
        <f t="shared" si="51"/>
        <v>7650</v>
      </c>
      <c r="S124" s="181">
        <v>7571.7079999999996</v>
      </c>
      <c r="T124" s="181"/>
      <c r="Z124" s="181">
        <f t="shared" ref="Z124:Z135" si="53">S124</f>
        <v>7571.7079999999996</v>
      </c>
      <c r="AX124" s="165">
        <f t="shared" si="32"/>
        <v>45098.135416666664</v>
      </c>
      <c r="AY124" s="165">
        <f t="shared" si="33"/>
        <v>45114.572916666664</v>
      </c>
      <c r="AZ124" s="137">
        <f t="shared" si="34"/>
        <v>16.4375</v>
      </c>
      <c r="BA124" s="165">
        <v>45098.135416666664</v>
      </c>
      <c r="BB124" s="165">
        <v>45100.833333333336</v>
      </c>
      <c r="BC124" s="165">
        <v>45102.59375</v>
      </c>
      <c r="BD124" s="165">
        <v>45108.677083333336</v>
      </c>
      <c r="BE124" s="165">
        <v>45108.927083333336</v>
      </c>
      <c r="BF124" s="165">
        <v>45108.9375</v>
      </c>
      <c r="BG124" s="165">
        <v>45108.9375</v>
      </c>
      <c r="BH124" s="165">
        <f t="shared" ref="BH124:BH135" si="54">BG124+(41/24)</f>
        <v>45110.645833333336</v>
      </c>
      <c r="BI124" s="165">
        <v>45111.25</v>
      </c>
      <c r="BJ124" s="165">
        <v>45111.416666666664</v>
      </c>
      <c r="BK124" s="165">
        <v>45111.302083333336</v>
      </c>
      <c r="BL124" s="165">
        <v>45112.96875</v>
      </c>
      <c r="BM124" s="165">
        <v>45113.677083333336</v>
      </c>
      <c r="BN124" s="165">
        <v>45113.986111111109</v>
      </c>
      <c r="BO124" s="165">
        <v>45113.996527777781</v>
      </c>
      <c r="BP124" s="165">
        <v>45114.256944444445</v>
      </c>
      <c r="BQ124" s="165">
        <v>45114.572916666664</v>
      </c>
      <c r="BT124" s="136">
        <f t="shared" si="43"/>
        <v>42.249999999941792</v>
      </c>
      <c r="BU124" s="136">
        <f t="shared" si="44"/>
        <v>6</v>
      </c>
      <c r="BV124" s="136">
        <f t="shared" si="45"/>
        <v>41.000000000058208</v>
      </c>
      <c r="BW124" s="136">
        <f t="shared" si="42"/>
        <v>37.250000000058208</v>
      </c>
      <c r="BX124" s="135">
        <f t="shared" si="46"/>
        <v>7.4166666665696539</v>
      </c>
      <c r="BY124" s="135">
        <f t="shared" si="47"/>
        <v>7.5833333332557231</v>
      </c>
      <c r="BZ124" s="134">
        <f t="shared" si="48"/>
        <v>5.8958333333284827</v>
      </c>
      <c r="CA124" s="134">
        <f t="shared" si="49"/>
        <v>16.4375</v>
      </c>
      <c r="CB124" s="133">
        <f t="shared" si="50"/>
        <v>0.35868187579184685</v>
      </c>
    </row>
    <row r="125" spans="1:80" s="126" customFormat="1">
      <c r="A125" s="192">
        <f t="shared" si="52"/>
        <v>45111.423611111109</v>
      </c>
      <c r="B125" s="126" t="s">
        <v>228</v>
      </c>
      <c r="C125" s="126" t="s">
        <v>229</v>
      </c>
      <c r="D125" s="126" t="s">
        <v>197</v>
      </c>
      <c r="E125" s="65" t="s">
        <v>1936</v>
      </c>
      <c r="G125" s="315">
        <v>45125.583333333336</v>
      </c>
      <c r="H125" s="315">
        <v>45125.591666666667</v>
      </c>
      <c r="I125" s="126" t="s">
        <v>469</v>
      </c>
      <c r="J125" s="126" t="s">
        <v>192</v>
      </c>
      <c r="K125" s="126" t="s">
        <v>192</v>
      </c>
      <c r="L125" s="126" t="s">
        <v>2635</v>
      </c>
      <c r="M125" s="167"/>
      <c r="N125" s="126" t="s">
        <v>355</v>
      </c>
      <c r="O125" s="126" t="s">
        <v>356</v>
      </c>
      <c r="P125" s="126" t="s">
        <v>172</v>
      </c>
      <c r="Q125" s="181">
        <f>3107*2.4</f>
        <v>7456.7999999999993</v>
      </c>
      <c r="R125" s="181">
        <f>7500+100</f>
        <v>7600</v>
      </c>
      <c r="S125" s="181">
        <v>7641.7820000000002</v>
      </c>
      <c r="T125" s="181"/>
      <c r="U125" s="172">
        <v>7461.7820000000002</v>
      </c>
      <c r="Z125" s="181">
        <f t="shared" si="53"/>
        <v>7641.7820000000002</v>
      </c>
      <c r="AX125" s="165">
        <f t="shared" si="32"/>
        <v>45101.961805555555</v>
      </c>
      <c r="AY125" s="165">
        <f t="shared" si="33"/>
        <v>45116.402777777781</v>
      </c>
      <c r="AZ125" s="137">
        <f t="shared" si="34"/>
        <v>14.440972222226264</v>
      </c>
      <c r="BA125" s="165">
        <v>45101.961805555555</v>
      </c>
      <c r="BB125" s="165">
        <v>45104.815972222219</v>
      </c>
      <c r="BC125" s="165">
        <v>45106.479166666664</v>
      </c>
      <c r="BD125" s="165">
        <v>45111.423611111109</v>
      </c>
      <c r="BE125" s="165">
        <v>45111.604166666664</v>
      </c>
      <c r="BF125" s="165">
        <v>45111.607638888891</v>
      </c>
      <c r="BG125" s="165">
        <v>45111.607638888891</v>
      </c>
      <c r="BH125" s="165">
        <f t="shared" si="54"/>
        <v>45113.315972222226</v>
      </c>
      <c r="BI125" s="165">
        <v>45113.25</v>
      </c>
      <c r="BJ125" s="165">
        <v>45113.416666666664</v>
      </c>
      <c r="BK125" s="165">
        <v>45113.302083333336</v>
      </c>
      <c r="BL125" s="165">
        <v>45115.548611111109</v>
      </c>
      <c r="BM125" s="165">
        <v>45115.760416666664</v>
      </c>
      <c r="BN125" s="165">
        <v>45115.975694444445</v>
      </c>
      <c r="BO125" s="165">
        <v>45115.993055555555</v>
      </c>
      <c r="BP125" s="165">
        <v>45115.996527777781</v>
      </c>
      <c r="BQ125" s="165">
        <v>45116.402777777781</v>
      </c>
      <c r="BT125" s="136">
        <f t="shared" si="43"/>
        <v>39.916666666686069</v>
      </c>
      <c r="BU125" s="136">
        <f t="shared" si="44"/>
        <v>4.3333333333139308</v>
      </c>
      <c r="BV125" s="136">
        <f t="shared" si="45"/>
        <v>41.000000000058208</v>
      </c>
      <c r="BW125" s="136">
        <f t="shared" si="42"/>
        <v>51.166666666686069</v>
      </c>
      <c r="BX125" s="135">
        <f t="shared" si="46"/>
        <v>5.1666666667442769</v>
      </c>
      <c r="BY125" s="135">
        <f t="shared" si="47"/>
        <v>9.75</v>
      </c>
      <c r="BZ125" s="134">
        <f t="shared" si="48"/>
        <v>6.3055555555620231</v>
      </c>
      <c r="CA125" s="134">
        <f t="shared" si="49"/>
        <v>14.440972222226264</v>
      </c>
      <c r="CB125" s="133">
        <f t="shared" si="50"/>
        <v>0.43664342390030159</v>
      </c>
    </row>
    <row r="126" spans="1:80" s="126" customFormat="1">
      <c r="A126" s="192">
        <f t="shared" si="52"/>
        <v>45115.684027777781</v>
      </c>
      <c r="B126" s="126" t="s">
        <v>228</v>
      </c>
      <c r="C126" s="126" t="s">
        <v>229</v>
      </c>
      <c r="D126" s="126" t="s">
        <v>197</v>
      </c>
      <c r="E126" s="65" t="s">
        <v>2605</v>
      </c>
      <c r="G126" s="165">
        <v>45120.479166666664</v>
      </c>
      <c r="H126" s="165">
        <v>45120.479166666664</v>
      </c>
      <c r="I126" s="126" t="s">
        <v>469</v>
      </c>
      <c r="J126" s="126" t="s">
        <v>192</v>
      </c>
      <c r="K126" s="126" t="s">
        <v>192</v>
      </c>
      <c r="L126" s="126" t="s">
        <v>2636</v>
      </c>
      <c r="M126" s="167"/>
      <c r="N126" s="126" t="s">
        <v>304</v>
      </c>
      <c r="O126" s="126" t="s">
        <v>305</v>
      </c>
      <c r="P126" s="126" t="s">
        <v>172</v>
      </c>
      <c r="Q126" s="181">
        <f>3107*2.4</f>
        <v>7456.7999999999993</v>
      </c>
      <c r="R126" s="181">
        <f>7500+100</f>
        <v>7600</v>
      </c>
      <c r="S126" s="181">
        <v>7558.79</v>
      </c>
      <c r="T126" s="181"/>
      <c r="Z126" s="181">
        <f t="shared" si="53"/>
        <v>7558.79</v>
      </c>
      <c r="AX126" s="165">
        <f t="shared" si="32"/>
        <v>45109.277777777781</v>
      </c>
      <c r="AY126" s="165">
        <f t="shared" si="33"/>
        <v>45121.333333333336</v>
      </c>
      <c r="AZ126" s="137">
        <f t="shared" si="34"/>
        <v>12.055555555554747</v>
      </c>
      <c r="BA126" s="165">
        <v>45109.277777777781</v>
      </c>
      <c r="BB126" s="165">
        <v>45110.895833333336</v>
      </c>
      <c r="BC126" s="165">
        <v>45112.5625</v>
      </c>
      <c r="BD126" s="165">
        <v>45115.684027777781</v>
      </c>
      <c r="BE126" s="165">
        <v>45115.947916666664</v>
      </c>
      <c r="BF126" s="165">
        <v>45115.954861111109</v>
      </c>
      <c r="BG126" s="165">
        <v>45116.288194444445</v>
      </c>
      <c r="BH126" s="165">
        <f t="shared" si="54"/>
        <v>45117.996527777781</v>
      </c>
      <c r="BI126" s="165">
        <v>45118.25</v>
      </c>
      <c r="BJ126" s="165">
        <v>45118.416666666664</v>
      </c>
      <c r="BK126" s="165">
        <v>45118.416666666664</v>
      </c>
      <c r="BL126" s="165">
        <v>45119.892361111109</v>
      </c>
      <c r="BM126" s="165">
        <v>45120.326388888891</v>
      </c>
      <c r="BN126" s="165">
        <v>45120.590277777781</v>
      </c>
      <c r="BO126" s="165">
        <v>45120.600694444445</v>
      </c>
      <c r="BP126" s="165">
        <v>45120.899305555555</v>
      </c>
      <c r="BQ126" s="165">
        <v>45121.333333333336</v>
      </c>
      <c r="BT126" s="136">
        <f t="shared" si="43"/>
        <v>39.999999999941792</v>
      </c>
      <c r="BU126" s="136">
        <f t="shared" si="44"/>
        <v>6.3333333331975155</v>
      </c>
      <c r="BV126" s="136">
        <f t="shared" si="45"/>
        <v>41.000000000058208</v>
      </c>
      <c r="BW126" s="136">
        <f t="shared" si="42"/>
        <v>35.416666666686069</v>
      </c>
      <c r="BX126" s="135">
        <f t="shared" si="46"/>
        <v>6.3333333333721384</v>
      </c>
      <c r="BY126" s="135">
        <f t="shared" si="47"/>
        <v>10.416666666744277</v>
      </c>
      <c r="BZ126" s="134">
        <f t="shared" si="48"/>
        <v>5.8125</v>
      </c>
      <c r="CA126" s="134">
        <f t="shared" si="49"/>
        <v>12.055555555554747</v>
      </c>
      <c r="CB126" s="133">
        <f t="shared" si="50"/>
        <v>0.48214285714288946</v>
      </c>
    </row>
    <row r="127" spans="1:80" s="126" customFormat="1">
      <c r="A127" s="192">
        <f t="shared" si="52"/>
        <v>45117.03125</v>
      </c>
      <c r="B127" s="126" t="s">
        <v>228</v>
      </c>
      <c r="C127" s="126" t="s">
        <v>229</v>
      </c>
      <c r="D127" s="126" t="s">
        <v>197</v>
      </c>
      <c r="E127" s="65" t="s">
        <v>2071</v>
      </c>
      <c r="G127" s="165">
        <v>45122.333333333336</v>
      </c>
      <c r="H127" s="165">
        <v>45122.338194444441</v>
      </c>
      <c r="I127" s="126" t="s">
        <v>471</v>
      </c>
      <c r="J127" s="126" t="s">
        <v>192</v>
      </c>
      <c r="K127" s="126" t="s">
        <v>192</v>
      </c>
      <c r="L127" s="126" t="s">
        <v>2075</v>
      </c>
      <c r="M127" s="167"/>
      <c r="N127" s="126" t="s">
        <v>249</v>
      </c>
      <c r="O127" s="126" t="s">
        <v>250</v>
      </c>
      <c r="P127" s="126" t="s">
        <v>172</v>
      </c>
      <c r="Q127" s="181">
        <f>3139*2.4</f>
        <v>7533.5999999999995</v>
      </c>
      <c r="R127" s="181">
        <f>7550+100</f>
        <v>7650</v>
      </c>
      <c r="S127" s="181">
        <v>7573.19</v>
      </c>
      <c r="T127" s="181"/>
      <c r="Z127" s="181">
        <f t="shared" si="53"/>
        <v>7573.19</v>
      </c>
      <c r="AX127" s="165">
        <f t="shared" si="32"/>
        <v>45110.416666666664</v>
      </c>
      <c r="AY127" s="165">
        <f t="shared" si="33"/>
        <v>45122.666666666664</v>
      </c>
      <c r="AZ127" s="137">
        <f t="shared" si="34"/>
        <v>12.25</v>
      </c>
      <c r="BA127" s="165">
        <v>45110.416666666664</v>
      </c>
      <c r="BB127" s="165">
        <v>45111.777777777781</v>
      </c>
      <c r="BC127" s="165">
        <v>45114.569444444445</v>
      </c>
      <c r="BD127" s="165">
        <v>45117.03125</v>
      </c>
      <c r="BE127" s="165">
        <v>45117.253472222219</v>
      </c>
      <c r="BF127" s="165">
        <v>45117.260416666664</v>
      </c>
      <c r="BG127" s="165">
        <v>45117.260416666664</v>
      </c>
      <c r="BH127" s="165">
        <f t="shared" si="54"/>
        <v>45118.96875</v>
      </c>
      <c r="BI127" s="165">
        <v>45119.291666666664</v>
      </c>
      <c r="BJ127" s="165">
        <v>45119.458333333328</v>
      </c>
      <c r="BK127" s="165">
        <v>45119.354166666664</v>
      </c>
      <c r="BL127" s="165">
        <v>45120.506944444445</v>
      </c>
      <c r="BM127" s="165">
        <v>45121.996527777781</v>
      </c>
      <c r="BN127" s="165">
        <v>45122.270833333336</v>
      </c>
      <c r="BO127" s="165">
        <v>45122.291666666664</v>
      </c>
      <c r="BP127" s="165">
        <v>45122.291666666664</v>
      </c>
      <c r="BQ127" s="165">
        <v>45122.666666666664</v>
      </c>
      <c r="BT127" s="136">
        <f t="shared" si="43"/>
        <v>66.999999999941792</v>
      </c>
      <c r="BU127" s="136">
        <f t="shared" si="44"/>
        <v>5.3333333332557231</v>
      </c>
      <c r="BV127" s="136">
        <f t="shared" si="45"/>
        <v>41.000000000058208</v>
      </c>
      <c r="BW127" s="136">
        <f t="shared" si="42"/>
        <v>25.166666666802485</v>
      </c>
      <c r="BX127" s="135">
        <f t="shared" si="46"/>
        <v>6.5833333333139308</v>
      </c>
      <c r="BY127" s="135">
        <f t="shared" si="47"/>
        <v>9</v>
      </c>
      <c r="BZ127" s="134">
        <f t="shared" si="48"/>
        <v>6.4201388888905058</v>
      </c>
      <c r="CA127" s="134">
        <f t="shared" si="49"/>
        <v>12.25</v>
      </c>
      <c r="CB127" s="133">
        <f t="shared" si="50"/>
        <v>0.52409297052167392</v>
      </c>
    </row>
    <row r="128" spans="1:80" s="126" customFormat="1">
      <c r="A128" s="192">
        <f t="shared" si="52"/>
        <v>45121.034722222219</v>
      </c>
      <c r="B128" s="126" t="s">
        <v>228</v>
      </c>
      <c r="C128" s="126" t="s">
        <v>229</v>
      </c>
      <c r="D128" s="126" t="s">
        <v>215</v>
      </c>
      <c r="E128" s="65" t="s">
        <v>2120</v>
      </c>
      <c r="G128" s="315">
        <v>45123.75</v>
      </c>
      <c r="H128" s="315">
        <v>45123.729166666664</v>
      </c>
      <c r="I128" s="126" t="s">
        <v>471</v>
      </c>
      <c r="J128" s="126" t="s">
        <v>192</v>
      </c>
      <c r="K128" s="126" t="s">
        <v>192</v>
      </c>
      <c r="L128" s="126" t="s">
        <v>2129</v>
      </c>
      <c r="M128" s="167"/>
      <c r="N128" s="126" t="s">
        <v>246</v>
      </c>
      <c r="O128" s="126" t="s">
        <v>247</v>
      </c>
      <c r="P128" s="126" t="s">
        <v>172</v>
      </c>
      <c r="Q128" s="181">
        <f>3136*2.4</f>
        <v>7526.4</v>
      </c>
      <c r="R128" s="181">
        <f>7550+100</f>
        <v>7650</v>
      </c>
      <c r="S128" s="181">
        <v>7540.7969999999996</v>
      </c>
      <c r="T128" s="181"/>
      <c r="Z128" s="181">
        <f t="shared" si="53"/>
        <v>7540.7969999999996</v>
      </c>
      <c r="AX128" s="165">
        <f t="shared" si="32"/>
        <v>45112.104166666664</v>
      </c>
      <c r="AY128" s="165">
        <f t="shared" si="33"/>
        <v>45127.135416666664</v>
      </c>
      <c r="AZ128" s="137">
        <f t="shared" si="34"/>
        <v>15.03125</v>
      </c>
      <c r="BA128" s="165">
        <v>45112.104166666664</v>
      </c>
      <c r="BB128" s="165">
        <v>45115.545138888891</v>
      </c>
      <c r="BC128" s="165">
        <v>45117.729166666664</v>
      </c>
      <c r="BD128" s="165">
        <v>45121.034722222219</v>
      </c>
      <c r="BE128" s="165">
        <v>45121.354166666664</v>
      </c>
      <c r="BF128" s="165">
        <v>45121.357638888891</v>
      </c>
      <c r="BG128" s="165">
        <v>45121.357638888891</v>
      </c>
      <c r="BH128" s="165">
        <f t="shared" si="54"/>
        <v>45123.065972222226</v>
      </c>
      <c r="BI128" s="165">
        <v>45123.229166666664</v>
      </c>
      <c r="BJ128" s="165">
        <v>45123.395833333328</v>
      </c>
      <c r="BK128" s="165">
        <v>45123.333333333336</v>
      </c>
      <c r="BL128" s="165">
        <v>45124.520833333336</v>
      </c>
      <c r="BM128" s="165">
        <v>45125.902777777781</v>
      </c>
      <c r="BN128" s="165">
        <v>45126.444444444445</v>
      </c>
      <c r="BO128" s="165">
        <v>45126.472222222219</v>
      </c>
      <c r="BP128" s="165">
        <v>45126.791666666664</v>
      </c>
      <c r="BQ128" s="165">
        <v>45127.135416666664</v>
      </c>
      <c r="BT128" s="136">
        <f t="shared" si="43"/>
        <v>52.416666666569654</v>
      </c>
      <c r="BU128" s="136">
        <f t="shared" si="44"/>
        <v>7.6666666666860692</v>
      </c>
      <c r="BV128" s="136">
        <f t="shared" si="45"/>
        <v>41.000000000058208</v>
      </c>
      <c r="BW128" s="136">
        <f t="shared" si="42"/>
        <v>27.000000000174623</v>
      </c>
      <c r="BX128" s="135">
        <f t="shared" si="46"/>
        <v>12.999999999941792</v>
      </c>
      <c r="BY128" s="135">
        <f t="shared" si="47"/>
        <v>8.25</v>
      </c>
      <c r="BZ128" s="134">
        <f t="shared" si="48"/>
        <v>6.2222222222262644</v>
      </c>
      <c r="CA128" s="134">
        <f t="shared" si="49"/>
        <v>15.03125</v>
      </c>
      <c r="CB128" s="133">
        <f t="shared" si="50"/>
        <v>0.4139524139526829</v>
      </c>
    </row>
    <row r="129" spans="1:80" s="126" customFormat="1">
      <c r="A129" s="192">
        <f t="shared" si="52"/>
        <v>45124.670138888891</v>
      </c>
      <c r="B129" s="126" t="s">
        <v>228</v>
      </c>
      <c r="C129" s="126" t="s">
        <v>229</v>
      </c>
      <c r="D129" s="126" t="s">
        <v>197</v>
      </c>
      <c r="E129" s="65" t="s">
        <v>2590</v>
      </c>
      <c r="G129" s="315">
        <v>45130.375</v>
      </c>
      <c r="H129" s="315">
        <v>45130.275000000001</v>
      </c>
      <c r="I129" s="126" t="s">
        <v>469</v>
      </c>
      <c r="J129" s="126" t="s">
        <v>192</v>
      </c>
      <c r="K129" s="126" t="s">
        <v>192</v>
      </c>
      <c r="L129" s="126" t="s">
        <v>2637</v>
      </c>
      <c r="M129" s="167"/>
      <c r="N129" s="126" t="s">
        <v>70</v>
      </c>
      <c r="O129" s="126" t="s">
        <v>1982</v>
      </c>
      <c r="P129" s="126" t="s">
        <v>172</v>
      </c>
      <c r="Q129" s="181">
        <f>3142*2.4</f>
        <v>7540.7999999999993</v>
      </c>
      <c r="R129" s="181">
        <f>7550+100</f>
        <v>7650</v>
      </c>
      <c r="S129" s="181">
        <v>7500.9160000000002</v>
      </c>
      <c r="T129" s="181"/>
      <c r="Z129" s="181">
        <f t="shared" si="53"/>
        <v>7500.9160000000002</v>
      </c>
      <c r="AX129" s="165">
        <f t="shared" si="32"/>
        <v>45122.253472222219</v>
      </c>
      <c r="AY129" s="165">
        <f t="shared" si="33"/>
        <v>45131.38958333333</v>
      </c>
      <c r="AZ129" s="137">
        <f t="shared" si="34"/>
        <v>9.1361111111109494</v>
      </c>
      <c r="BA129" s="165">
        <v>45122.253472222219</v>
      </c>
      <c r="BB129" s="165">
        <v>45122.875</v>
      </c>
      <c r="BC129" s="165">
        <v>45124.46875</v>
      </c>
      <c r="BD129" s="165">
        <v>45124.670138888891</v>
      </c>
      <c r="BE129" s="165">
        <v>45124.888888888891</v>
      </c>
      <c r="BF129" s="165">
        <v>45124.895833333336</v>
      </c>
      <c r="BG129" s="165">
        <v>45125.201388888891</v>
      </c>
      <c r="BH129" s="165">
        <f t="shared" si="54"/>
        <v>45126.909722222226</v>
      </c>
      <c r="BI129" s="165">
        <v>45127.25</v>
      </c>
      <c r="BJ129" s="165">
        <v>45127.416666666664</v>
      </c>
      <c r="BK129" s="165">
        <v>45127.284722222219</v>
      </c>
      <c r="BL129" s="165">
        <v>45128.854166666664</v>
      </c>
      <c r="BM129" s="165">
        <v>45130.579861111109</v>
      </c>
      <c r="BN129" s="165">
        <v>45130.864583333336</v>
      </c>
      <c r="BO129" s="165">
        <v>45130.875</v>
      </c>
      <c r="BP129" s="165">
        <v>45130.878472222219</v>
      </c>
      <c r="BQ129" s="165">
        <v>45131.38958333333</v>
      </c>
      <c r="BT129" s="136">
        <f t="shared" si="43"/>
        <v>38.25</v>
      </c>
      <c r="BU129" s="136">
        <f t="shared" si="44"/>
        <v>5.25</v>
      </c>
      <c r="BV129" s="136">
        <f t="shared" si="45"/>
        <v>41.000000000058208</v>
      </c>
      <c r="BW129" s="136">
        <f t="shared" si="42"/>
        <v>34.5</v>
      </c>
      <c r="BX129" s="135">
        <f t="shared" si="46"/>
        <v>6.8333333334303461</v>
      </c>
      <c r="BY129" s="135">
        <f t="shared" si="47"/>
        <v>12.266666666662786</v>
      </c>
      <c r="BZ129" s="134">
        <f t="shared" si="48"/>
        <v>5.7541666666729725</v>
      </c>
      <c r="CA129" s="134">
        <f t="shared" si="49"/>
        <v>9.1361111111109494</v>
      </c>
      <c r="CB129" s="133">
        <f t="shared" si="50"/>
        <v>0.62982669504478772</v>
      </c>
    </row>
    <row r="130" spans="1:80" s="126" customFormat="1">
      <c r="A130" s="192">
        <f t="shared" si="52"/>
        <v>45126.138888888891</v>
      </c>
      <c r="B130" s="126" t="s">
        <v>228</v>
      </c>
      <c r="C130" s="126" t="s">
        <v>229</v>
      </c>
      <c r="D130" s="126" t="s">
        <v>197</v>
      </c>
      <c r="E130" s="65" t="s">
        <v>2590</v>
      </c>
      <c r="G130" s="315">
        <v>45130.375</v>
      </c>
      <c r="H130" s="315">
        <v>45130.275000000001</v>
      </c>
      <c r="I130" s="126" t="s">
        <v>469</v>
      </c>
      <c r="J130" s="126" t="s">
        <v>192</v>
      </c>
      <c r="K130" s="126" t="s">
        <v>192</v>
      </c>
      <c r="L130" s="126" t="s">
        <v>2638</v>
      </c>
      <c r="M130" s="167"/>
      <c r="N130" s="126" t="s">
        <v>437</v>
      </c>
      <c r="O130" s="126" t="s">
        <v>320</v>
      </c>
      <c r="P130" s="126" t="s">
        <v>172</v>
      </c>
      <c r="Q130" s="181">
        <f>3136*2.4</f>
        <v>7526.4</v>
      </c>
      <c r="R130" s="181">
        <f>7550+100</f>
        <v>7650</v>
      </c>
      <c r="S130" s="181">
        <v>7501.46</v>
      </c>
      <c r="T130" s="181"/>
      <c r="Z130" s="181">
        <f t="shared" si="53"/>
        <v>7501.46</v>
      </c>
      <c r="AX130" s="165">
        <f t="shared" si="32"/>
        <v>45123.395833333336</v>
      </c>
      <c r="AY130" s="165">
        <f t="shared" si="33"/>
        <v>45131.583333333336</v>
      </c>
      <c r="AZ130" s="137">
        <f t="shared" si="34"/>
        <v>8.1875</v>
      </c>
      <c r="BA130" s="165">
        <v>45123.395833333336</v>
      </c>
      <c r="BB130" s="165">
        <v>45124.541666666664</v>
      </c>
      <c r="BC130" s="165">
        <v>45126.083333333336</v>
      </c>
      <c r="BD130" s="165">
        <v>45126.138888888891</v>
      </c>
      <c r="BE130" s="165">
        <v>45126.506944444445</v>
      </c>
      <c r="BF130" s="165">
        <v>45126.510416666664</v>
      </c>
      <c r="BG130" s="165">
        <v>45126.510416666664</v>
      </c>
      <c r="BH130" s="165">
        <f t="shared" si="54"/>
        <v>45128.21875</v>
      </c>
      <c r="BI130" s="165">
        <v>45128.25</v>
      </c>
      <c r="BJ130" s="165">
        <v>45128.416666666664</v>
      </c>
      <c r="BK130" s="165">
        <v>45128.3125</v>
      </c>
      <c r="BL130" s="165">
        <v>45129.760416666664</v>
      </c>
      <c r="BM130" s="165">
        <v>45130.979166666664</v>
      </c>
      <c r="BN130" s="165">
        <v>45131.173611111109</v>
      </c>
      <c r="BO130" s="165">
        <v>45131.194444444445</v>
      </c>
      <c r="BP130" s="165">
        <v>45131.197916666664</v>
      </c>
      <c r="BQ130" s="165">
        <v>45131.583333333336</v>
      </c>
      <c r="BT130" s="136">
        <f t="shared" si="43"/>
        <v>37.000000000116415</v>
      </c>
      <c r="BU130" s="136">
        <f t="shared" si="44"/>
        <v>8.8333333333139308</v>
      </c>
      <c r="BV130" s="136">
        <f t="shared" si="45"/>
        <v>41.000000000058208</v>
      </c>
      <c r="BW130" s="136">
        <f t="shared" si="42"/>
        <v>32.25</v>
      </c>
      <c r="BX130" s="135">
        <f t="shared" si="46"/>
        <v>4.6666666666860692</v>
      </c>
      <c r="BY130" s="135">
        <f t="shared" si="47"/>
        <v>9.2500000001164153</v>
      </c>
      <c r="BZ130" s="134">
        <f t="shared" si="48"/>
        <v>5.5416666666787933</v>
      </c>
      <c r="CA130" s="134">
        <f t="shared" si="49"/>
        <v>8.1875</v>
      </c>
      <c r="CB130" s="133">
        <f t="shared" si="50"/>
        <v>0.67684478371649381</v>
      </c>
    </row>
    <row r="131" spans="1:80" s="126" customFormat="1">
      <c r="A131" s="192">
        <f t="shared" si="52"/>
        <v>45127.746527777781</v>
      </c>
      <c r="B131" s="126" t="s">
        <v>228</v>
      </c>
      <c r="C131" s="126" t="s">
        <v>229</v>
      </c>
      <c r="D131" s="126" t="s">
        <v>197</v>
      </c>
      <c r="E131" s="65" t="s">
        <v>2590</v>
      </c>
      <c r="G131" s="315">
        <v>45130.375</v>
      </c>
      <c r="H131" s="315">
        <v>45130.275000000001</v>
      </c>
      <c r="I131" s="126" t="s">
        <v>469</v>
      </c>
      <c r="J131" s="126" t="s">
        <v>192</v>
      </c>
      <c r="K131" s="126" t="s">
        <v>192</v>
      </c>
      <c r="L131" s="126" t="s">
        <v>2639</v>
      </c>
      <c r="M131" s="167"/>
      <c r="N131" s="126" t="s">
        <v>208</v>
      </c>
      <c r="O131" s="126" t="s">
        <v>328</v>
      </c>
      <c r="P131" s="126" t="s">
        <v>172</v>
      </c>
      <c r="Q131" s="181">
        <f>3128*2.4</f>
        <v>7507.2</v>
      </c>
      <c r="R131" s="181">
        <f>7550+100</f>
        <v>7650</v>
      </c>
      <c r="S131" s="181">
        <v>7584.576</v>
      </c>
      <c r="T131" s="181"/>
      <c r="Z131" s="181">
        <f t="shared" si="53"/>
        <v>7584.576</v>
      </c>
      <c r="AX131" s="165">
        <f t="shared" ref="AX131:AX191" si="55">BA131</f>
        <v>45124.222222222219</v>
      </c>
      <c r="AY131" s="165">
        <f t="shared" ref="AY131:AY191" si="56">BQ131</f>
        <v>45133.15625</v>
      </c>
      <c r="AZ131" s="137">
        <f t="shared" ref="AZ131:AZ191" si="57">AY131-AX131</f>
        <v>8.9340277777810115</v>
      </c>
      <c r="BA131" s="165">
        <v>45124.222222222219</v>
      </c>
      <c r="BB131" s="165">
        <v>45125.552083333336</v>
      </c>
      <c r="BC131" s="165">
        <v>45127.076388888891</v>
      </c>
      <c r="BD131" s="165">
        <v>45127.746527777781</v>
      </c>
      <c r="BE131" s="165">
        <v>45128.032638888886</v>
      </c>
      <c r="BF131" s="165">
        <v>45128.041666666664</v>
      </c>
      <c r="BG131" s="165">
        <v>45128.041666666664</v>
      </c>
      <c r="BH131" s="165">
        <f t="shared" si="54"/>
        <v>45129.75</v>
      </c>
      <c r="BI131" s="165">
        <v>45130.25</v>
      </c>
      <c r="BJ131" s="165">
        <v>45130.416666666664</v>
      </c>
      <c r="BK131" s="165">
        <v>45130.28125</v>
      </c>
      <c r="BL131" s="165">
        <v>45131.572916666664</v>
      </c>
      <c r="BM131" s="165">
        <v>45132.34375</v>
      </c>
      <c r="BN131" s="165">
        <v>45132.5625</v>
      </c>
      <c r="BO131" s="165">
        <v>45132.579861111109</v>
      </c>
      <c r="BP131" s="165">
        <v>45132.760416666664</v>
      </c>
      <c r="BQ131" s="165">
        <v>45133.15625</v>
      </c>
      <c r="BT131" s="136">
        <f t="shared" si="43"/>
        <v>36.583333333313931</v>
      </c>
      <c r="BU131" s="136">
        <f t="shared" si="44"/>
        <v>6.8666666665230878</v>
      </c>
      <c r="BV131" s="136">
        <f t="shared" si="45"/>
        <v>41.000000000058208</v>
      </c>
      <c r="BW131" s="136">
        <f t="shared" si="42"/>
        <v>27.75</v>
      </c>
      <c r="BX131" s="135">
        <f t="shared" si="46"/>
        <v>5.25</v>
      </c>
      <c r="BY131" s="135">
        <f t="shared" si="47"/>
        <v>9.5000000000582077</v>
      </c>
      <c r="BZ131" s="134">
        <f t="shared" si="48"/>
        <v>5.2895833333313931</v>
      </c>
      <c r="CA131" s="134">
        <f t="shared" si="49"/>
        <v>8.9340277777810115</v>
      </c>
      <c r="CB131" s="133">
        <f t="shared" si="50"/>
        <v>0.59207151185343565</v>
      </c>
    </row>
    <row r="132" spans="1:80" s="126" customFormat="1">
      <c r="A132" s="192">
        <f t="shared" si="52"/>
        <v>45130.020833333336</v>
      </c>
      <c r="B132" s="126" t="s">
        <v>228</v>
      </c>
      <c r="C132" s="126" t="s">
        <v>229</v>
      </c>
      <c r="D132" s="126" t="s">
        <v>197</v>
      </c>
      <c r="E132" s="65" t="s">
        <v>2211</v>
      </c>
      <c r="F132" s="65" t="s">
        <v>2158</v>
      </c>
      <c r="G132" s="315">
        <v>45129.083333333336</v>
      </c>
      <c r="H132" s="315">
        <v>45129.125</v>
      </c>
      <c r="I132" s="126" t="s">
        <v>471</v>
      </c>
      <c r="J132" s="126" t="s">
        <v>192</v>
      </c>
      <c r="K132" s="126" t="s">
        <v>192</v>
      </c>
      <c r="L132" s="126" t="s">
        <v>2214</v>
      </c>
      <c r="M132" s="167"/>
      <c r="N132" s="126" t="s">
        <v>371</v>
      </c>
      <c r="O132" s="126" t="s">
        <v>372</v>
      </c>
      <c r="P132" s="126" t="s">
        <v>172</v>
      </c>
      <c r="Q132" s="181">
        <f>3117*2.4</f>
        <v>7480.7999999999993</v>
      </c>
      <c r="R132" s="181">
        <f>7500+100</f>
        <v>7600</v>
      </c>
      <c r="S132" s="181">
        <v>7500.3540000000003</v>
      </c>
      <c r="T132" s="181"/>
      <c r="Z132" s="181">
        <f t="shared" si="53"/>
        <v>7500.3540000000003</v>
      </c>
      <c r="AX132" s="165">
        <f t="shared" si="55"/>
        <v>45125.761805555558</v>
      </c>
      <c r="AY132" s="165">
        <f t="shared" si="56"/>
        <v>45140.355555555558</v>
      </c>
      <c r="AZ132" s="137">
        <f t="shared" si="57"/>
        <v>14.59375</v>
      </c>
      <c r="BA132" s="165">
        <v>45125.761805555558</v>
      </c>
      <c r="BB132" s="165">
        <v>45126.539583333331</v>
      </c>
      <c r="BC132" s="165">
        <v>45128.055555555555</v>
      </c>
      <c r="BD132" s="165">
        <v>45130.020833333336</v>
      </c>
      <c r="BE132" s="165">
        <v>45130.364583333336</v>
      </c>
      <c r="BF132" s="165">
        <v>45130.371527777781</v>
      </c>
      <c r="BG132" s="165">
        <v>45130.371527777781</v>
      </c>
      <c r="BH132" s="165">
        <f t="shared" si="54"/>
        <v>45132.079861111117</v>
      </c>
      <c r="BI132" s="165">
        <v>45132.25</v>
      </c>
      <c r="BJ132" s="165">
        <v>45132.416666666664</v>
      </c>
      <c r="BK132" s="165">
        <v>45132.34375</v>
      </c>
      <c r="BL132" s="165">
        <v>45136.892361111109</v>
      </c>
      <c r="BM132" s="165">
        <v>45139.576388888891</v>
      </c>
      <c r="BN132" s="165">
        <v>45139.958333333336</v>
      </c>
      <c r="BO132" s="165">
        <v>45139.979166666664</v>
      </c>
      <c r="BP132" s="165">
        <v>45139.979166666664</v>
      </c>
      <c r="BQ132" s="165">
        <v>45140.355555555558</v>
      </c>
      <c r="BT132" s="136">
        <f t="shared" si="43"/>
        <v>36.383333333360497</v>
      </c>
      <c r="BU132" s="136">
        <f t="shared" si="44"/>
        <v>8.25</v>
      </c>
      <c r="BV132" s="136">
        <f t="shared" si="45"/>
        <v>41.000000000058208</v>
      </c>
      <c r="BW132" s="136">
        <f t="shared" si="42"/>
        <v>107.41666666668607</v>
      </c>
      <c r="BX132" s="135">
        <f t="shared" si="46"/>
        <v>9.1666666666860692</v>
      </c>
      <c r="BY132" s="135">
        <f t="shared" si="47"/>
        <v>9.0333333334419876</v>
      </c>
      <c r="BZ132" s="134">
        <f t="shared" si="48"/>
        <v>8.8020833333430346</v>
      </c>
      <c r="CA132" s="134">
        <f t="shared" si="49"/>
        <v>14.59375</v>
      </c>
      <c r="CB132" s="133">
        <f t="shared" si="50"/>
        <v>0.60314061384791673</v>
      </c>
    </row>
    <row r="133" spans="1:80" s="126" customFormat="1">
      <c r="A133" s="192">
        <f t="shared" si="52"/>
        <v>45133.694444444445</v>
      </c>
      <c r="B133" s="126" t="s">
        <v>228</v>
      </c>
      <c r="C133" s="126" t="s">
        <v>229</v>
      </c>
      <c r="D133" s="126" t="s">
        <v>197</v>
      </c>
      <c r="E133" s="65" t="s">
        <v>2601</v>
      </c>
      <c r="G133" s="166">
        <v>45137.625</v>
      </c>
      <c r="H133" s="166">
        <v>45137.625</v>
      </c>
      <c r="I133" s="126" t="s">
        <v>469</v>
      </c>
      <c r="J133" s="126" t="s">
        <v>192</v>
      </c>
      <c r="K133" s="126" t="s">
        <v>192</v>
      </c>
      <c r="L133" s="126" t="s">
        <v>2640</v>
      </c>
      <c r="M133" s="167"/>
      <c r="N133" s="126" t="s">
        <v>260</v>
      </c>
      <c r="O133" s="126" t="s">
        <v>261</v>
      </c>
      <c r="P133" s="126" t="s">
        <v>172</v>
      </c>
      <c r="Q133" s="181">
        <f>3107*2.4</f>
        <v>7456.7999999999993</v>
      </c>
      <c r="R133" s="181">
        <f>7500+100</f>
        <v>7600</v>
      </c>
      <c r="S133" s="181">
        <v>7516.1610000000001</v>
      </c>
      <c r="T133" s="181"/>
      <c r="Z133" s="181">
        <f t="shared" si="53"/>
        <v>7516.1610000000001</v>
      </c>
      <c r="AX133" s="165">
        <f t="shared" si="55"/>
        <v>45122.395833333336</v>
      </c>
      <c r="AY133" s="165">
        <f t="shared" si="56"/>
        <v>45140.947916666664</v>
      </c>
      <c r="AZ133" s="137">
        <f t="shared" si="57"/>
        <v>18.552083333328483</v>
      </c>
      <c r="BA133" s="165">
        <v>45122.395833333336</v>
      </c>
      <c r="BB133" s="165">
        <v>45126.569444444445</v>
      </c>
      <c r="BC133" s="165">
        <v>45128.277777777781</v>
      </c>
      <c r="BD133" s="165">
        <v>45133.694444444445</v>
      </c>
      <c r="BE133" s="165">
        <v>45133.930555555555</v>
      </c>
      <c r="BF133" s="165">
        <v>45133.9375</v>
      </c>
      <c r="BG133" s="165">
        <v>45133.9375</v>
      </c>
      <c r="BH133" s="165">
        <f t="shared" si="54"/>
        <v>45135.645833333336</v>
      </c>
      <c r="BI133" s="165">
        <v>45136.5</v>
      </c>
      <c r="BJ133" s="165">
        <v>45136.666666666664</v>
      </c>
      <c r="BK133" s="165">
        <v>45136.604166666664</v>
      </c>
      <c r="BL133" s="165">
        <v>45138.243055555555</v>
      </c>
      <c r="BM133" s="165">
        <v>45139.875</v>
      </c>
      <c r="BN133" s="165">
        <v>45140.170138888891</v>
      </c>
      <c r="BO133" s="165">
        <v>45140.541666666664</v>
      </c>
      <c r="BP133" s="165">
        <v>45140.5625</v>
      </c>
      <c r="BQ133" s="165">
        <v>45140.947916666664</v>
      </c>
      <c r="BT133" s="136">
        <f t="shared" si="43"/>
        <v>41.000000000058208</v>
      </c>
      <c r="BU133" s="136">
        <f t="shared" si="44"/>
        <v>5.6666666666278616</v>
      </c>
      <c r="BV133" s="136">
        <f t="shared" si="45"/>
        <v>41.000000000058208</v>
      </c>
      <c r="BW133" s="136">
        <f t="shared" si="42"/>
        <v>37.833333333372138</v>
      </c>
      <c r="BX133" s="135">
        <f t="shared" si="46"/>
        <v>7.0833333333721384</v>
      </c>
      <c r="BY133" s="135">
        <f t="shared" si="47"/>
        <v>9.2499999999417923</v>
      </c>
      <c r="BZ133" s="134">
        <f t="shared" si="48"/>
        <v>5.9097222222262644</v>
      </c>
      <c r="CA133" s="134">
        <f t="shared" si="49"/>
        <v>18.552083333328483</v>
      </c>
      <c r="CB133" s="133">
        <f t="shared" si="50"/>
        <v>0.31854763241654671</v>
      </c>
    </row>
    <row r="134" spans="1:80" s="126" customFormat="1">
      <c r="A134" s="192">
        <f t="shared" si="52"/>
        <v>45136.663194444445</v>
      </c>
      <c r="B134" s="126" t="s">
        <v>228</v>
      </c>
      <c r="C134" s="126" t="s">
        <v>229</v>
      </c>
      <c r="D134" s="126" t="s">
        <v>197</v>
      </c>
      <c r="E134" s="65" t="s">
        <v>2641</v>
      </c>
      <c r="G134" s="165">
        <v>45143.000694444447</v>
      </c>
      <c r="H134" s="165">
        <v>45143.000694444447</v>
      </c>
      <c r="I134" s="126" t="s">
        <v>469</v>
      </c>
      <c r="J134" s="126" t="s">
        <v>192</v>
      </c>
      <c r="K134" s="126" t="s">
        <v>192</v>
      </c>
      <c r="L134" s="126" t="s">
        <v>2642</v>
      </c>
      <c r="M134" s="167"/>
      <c r="N134" s="126" t="s">
        <v>307</v>
      </c>
      <c r="O134" s="126" t="s">
        <v>308</v>
      </c>
      <c r="P134" s="126" t="s">
        <v>172</v>
      </c>
      <c r="Q134" s="181">
        <f>3170*2.4</f>
        <v>7608</v>
      </c>
      <c r="R134" s="181">
        <f>7550+100</f>
        <v>7650</v>
      </c>
      <c r="S134" s="181">
        <v>7692.9040000000005</v>
      </c>
      <c r="T134" s="181"/>
      <c r="Z134" s="181">
        <f t="shared" si="53"/>
        <v>7692.9040000000005</v>
      </c>
      <c r="AX134" s="165">
        <f t="shared" si="55"/>
        <v>45131.036805555559</v>
      </c>
      <c r="AY134" s="165">
        <f t="shared" si="56"/>
        <v>45143.428472222222</v>
      </c>
      <c r="AZ134" s="137">
        <f t="shared" si="57"/>
        <v>12.391666666662786</v>
      </c>
      <c r="BA134" s="165">
        <v>45131.036805555559</v>
      </c>
      <c r="BB134" s="165">
        <v>45132.819444444445</v>
      </c>
      <c r="BC134" s="165">
        <v>45134.791666666664</v>
      </c>
      <c r="BD134" s="165">
        <v>45136.663194444445</v>
      </c>
      <c r="BE134" s="165">
        <v>45136.878472222219</v>
      </c>
      <c r="BF134" s="165">
        <v>45136.888888888891</v>
      </c>
      <c r="BG134" s="165">
        <v>45137.270833333336</v>
      </c>
      <c r="BH134" s="165">
        <f t="shared" si="54"/>
        <v>45138.979166666672</v>
      </c>
      <c r="BI134" s="165">
        <v>45139.229166666664</v>
      </c>
      <c r="BJ134" s="165">
        <v>45139.395833333336</v>
      </c>
      <c r="BK134" s="165">
        <v>45139.486111111109</v>
      </c>
      <c r="BL134" s="165">
        <v>45141.892361111109</v>
      </c>
      <c r="BM134" s="165">
        <v>45142.628472222219</v>
      </c>
      <c r="BN134" s="165">
        <v>45142.864583333336</v>
      </c>
      <c r="BO134" s="165">
        <v>45142.878472222219</v>
      </c>
      <c r="BP134" s="165">
        <v>45142.881944444445</v>
      </c>
      <c r="BQ134" s="165">
        <v>45143.428472222222</v>
      </c>
      <c r="BR134" s="126" t="s">
        <v>2643</v>
      </c>
      <c r="BT134" s="136">
        <f t="shared" si="43"/>
        <v>47.333333333255723</v>
      </c>
      <c r="BU134" s="136">
        <f t="shared" si="44"/>
        <v>5.1666666665696539</v>
      </c>
      <c r="BV134" s="136">
        <f t="shared" si="45"/>
        <v>41.000000000058208</v>
      </c>
      <c r="BW134" s="136">
        <f t="shared" si="42"/>
        <v>59.916666666569654</v>
      </c>
      <c r="BX134" s="135">
        <f t="shared" si="46"/>
        <v>5.6666666668024845</v>
      </c>
      <c r="BY134" s="135">
        <f t="shared" si="47"/>
        <v>13.116666666639503</v>
      </c>
      <c r="BZ134" s="134">
        <f t="shared" si="48"/>
        <v>7.1749999999956344</v>
      </c>
      <c r="CA134" s="134">
        <f t="shared" si="49"/>
        <v>12.391666666662786</v>
      </c>
      <c r="CB134" s="133">
        <f t="shared" si="50"/>
        <v>0.57901815736364881</v>
      </c>
    </row>
    <row r="135" spans="1:80" s="126" customFormat="1">
      <c r="A135" s="192">
        <f t="shared" si="52"/>
        <v>45138.591666666667</v>
      </c>
      <c r="B135" s="126" t="s">
        <v>228</v>
      </c>
      <c r="C135" s="126" t="s">
        <v>229</v>
      </c>
      <c r="D135" s="126" t="s">
        <v>215</v>
      </c>
      <c r="E135" s="65" t="s">
        <v>2253</v>
      </c>
      <c r="G135" s="165">
        <v>45141.875</v>
      </c>
      <c r="H135" s="165">
        <v>45141.866666666669</v>
      </c>
      <c r="I135" s="126" t="s">
        <v>471</v>
      </c>
      <c r="J135" s="126" t="s">
        <v>192</v>
      </c>
      <c r="K135" s="126" t="s">
        <v>192</v>
      </c>
      <c r="L135" s="126" t="s">
        <v>2256</v>
      </c>
      <c r="M135" s="167"/>
      <c r="N135" s="126" t="s">
        <v>721</v>
      </c>
      <c r="O135" s="126" t="s">
        <v>1349</v>
      </c>
      <c r="P135" s="126" t="s">
        <v>172</v>
      </c>
      <c r="Q135" s="181">
        <f>3136*2.4</f>
        <v>7526.4</v>
      </c>
      <c r="R135" s="181">
        <f>7550+100</f>
        <v>7650</v>
      </c>
      <c r="S135" s="181">
        <v>6139.3919999999998</v>
      </c>
      <c r="T135" s="181"/>
      <c r="Z135" s="181">
        <f t="shared" si="53"/>
        <v>6139.3919999999998</v>
      </c>
      <c r="AX135" s="165">
        <f t="shared" si="55"/>
        <v>45134.3125</v>
      </c>
      <c r="AY135" s="165">
        <f t="shared" si="56"/>
        <v>45146.975694444445</v>
      </c>
      <c r="AZ135" s="137">
        <f t="shared" si="57"/>
        <v>12.663194444445253</v>
      </c>
      <c r="BA135" s="165">
        <v>45134.3125</v>
      </c>
      <c r="BB135" s="165">
        <v>45134.770833333336</v>
      </c>
      <c r="BC135" s="165">
        <v>45136.208333333336</v>
      </c>
      <c r="BD135" s="165">
        <v>45138.591666666667</v>
      </c>
      <c r="BE135" s="165">
        <v>45138.737500000003</v>
      </c>
      <c r="BF135" s="165">
        <v>45138.743055555555</v>
      </c>
      <c r="BG135" s="165">
        <v>45138.743055555555</v>
      </c>
      <c r="BH135" s="165">
        <f t="shared" si="54"/>
        <v>45140.451388888891</v>
      </c>
      <c r="BI135" s="165">
        <v>45141.25</v>
      </c>
      <c r="BJ135" s="165">
        <v>45141.416666608799</v>
      </c>
      <c r="BK135" s="165">
        <v>45141.340277777781</v>
      </c>
      <c r="BL135" s="165">
        <v>45142.427083333336</v>
      </c>
      <c r="BM135" s="165">
        <v>45145.993055555555</v>
      </c>
      <c r="BN135" s="165">
        <v>45146.517361111109</v>
      </c>
      <c r="BO135" s="165">
        <v>45146.538194444445</v>
      </c>
      <c r="BP135" s="165">
        <v>45146.770833333336</v>
      </c>
      <c r="BQ135" s="165">
        <v>45146.975694444445</v>
      </c>
      <c r="BT135" s="136">
        <f t="shared" si="43"/>
        <v>34.5</v>
      </c>
      <c r="BU135" s="136">
        <f t="shared" si="44"/>
        <v>3.5000000000582077</v>
      </c>
      <c r="BV135" s="136">
        <f t="shared" si="45"/>
        <v>41.000000000058208</v>
      </c>
      <c r="BW135" s="136">
        <f t="shared" si="42"/>
        <v>24.250001388892997</v>
      </c>
      <c r="BX135" s="135">
        <f t="shared" si="46"/>
        <v>12.583333333313931</v>
      </c>
      <c r="BY135" s="135">
        <f t="shared" si="47"/>
        <v>4.9166666666278616</v>
      </c>
      <c r="BZ135" s="134">
        <f t="shared" si="48"/>
        <v>5.0312500578729669</v>
      </c>
      <c r="CA135" s="134">
        <f t="shared" si="49"/>
        <v>12.663194444445253</v>
      </c>
      <c r="CB135" s="133">
        <f t="shared" si="50"/>
        <v>0.39731286445498271</v>
      </c>
    </row>
    <row r="136" spans="1:80" s="126" customFormat="1">
      <c r="A136" s="192">
        <f t="shared" si="52"/>
        <v>45110.833333333336</v>
      </c>
      <c r="B136" s="126" t="s">
        <v>188</v>
      </c>
      <c r="C136" s="126" t="s">
        <v>183</v>
      </c>
      <c r="D136" s="126" t="s">
        <v>189</v>
      </c>
      <c r="E136" s="65" t="s">
        <v>1936</v>
      </c>
      <c r="G136" s="315">
        <v>45125.583333333336</v>
      </c>
      <c r="H136" s="315">
        <v>45125.591666666667</v>
      </c>
      <c r="I136" s="126" t="s">
        <v>791</v>
      </c>
      <c r="J136" s="126" t="s">
        <v>192</v>
      </c>
      <c r="K136" s="126" t="s">
        <v>192</v>
      </c>
      <c r="L136" s="126" t="s">
        <v>2644</v>
      </c>
      <c r="M136" s="167"/>
      <c r="N136" s="126" t="s">
        <v>1636</v>
      </c>
      <c r="O136" s="126" t="s">
        <v>806</v>
      </c>
      <c r="P136" s="126" t="s">
        <v>183</v>
      </c>
      <c r="Q136" s="181">
        <v>5000</v>
      </c>
      <c r="R136" s="181">
        <v>5000</v>
      </c>
      <c r="S136" s="181">
        <v>5345.3249999999998</v>
      </c>
      <c r="T136" s="181"/>
      <c r="AT136" s="181">
        <f t="shared" ref="AT136:AT142" si="58">S136</f>
        <v>5345.3249999999998</v>
      </c>
      <c r="AX136" s="165">
        <f t="shared" si="55"/>
        <v>45110.708333333336</v>
      </c>
      <c r="AY136" s="165">
        <f t="shared" si="56"/>
        <v>45118.15625</v>
      </c>
      <c r="AZ136" s="137">
        <f t="shared" si="57"/>
        <v>7.4479166666642413</v>
      </c>
      <c r="BA136" s="165">
        <v>45110.708333333336</v>
      </c>
      <c r="BB136" s="165">
        <v>45110.708333333336</v>
      </c>
      <c r="BC136" s="165">
        <v>45110.708333333336</v>
      </c>
      <c r="BD136" s="165">
        <v>45110.833333333336</v>
      </c>
      <c r="BE136" s="165">
        <v>45111.208333333336</v>
      </c>
      <c r="BF136" s="165">
        <v>45111.326388888891</v>
      </c>
      <c r="BG136" s="165">
        <v>45111.326388888891</v>
      </c>
      <c r="BH136" s="165">
        <v>45111.326388888891</v>
      </c>
      <c r="BI136" s="166" t="s">
        <v>196</v>
      </c>
      <c r="BJ136" s="166" t="s">
        <v>196</v>
      </c>
      <c r="BK136" s="166" t="s">
        <v>196</v>
      </c>
      <c r="BL136" s="165">
        <v>45116.201388888891</v>
      </c>
      <c r="BM136" s="165">
        <v>45117.888888888891</v>
      </c>
      <c r="BN136" s="165">
        <v>45118.131944444445</v>
      </c>
      <c r="BO136" s="165">
        <v>45118.152777777781</v>
      </c>
      <c r="BP136" s="165">
        <v>45118.15625</v>
      </c>
      <c r="BQ136" s="165">
        <v>45118.15625</v>
      </c>
      <c r="BT136" s="136">
        <f t="shared" si="43"/>
        <v>0</v>
      </c>
      <c r="BU136" s="136">
        <f t="shared" si="44"/>
        <v>9</v>
      </c>
      <c r="BV136" s="136">
        <f t="shared" si="45"/>
        <v>0</v>
      </c>
      <c r="BW136" s="136">
        <f t="shared" ref="BW136:BW142" si="59">(BL136-BH136)*24</f>
        <v>117</v>
      </c>
      <c r="BX136" s="135">
        <f t="shared" si="46"/>
        <v>5.8333333333139308</v>
      </c>
      <c r="BY136" s="135">
        <f t="shared" si="47"/>
        <v>0</v>
      </c>
      <c r="BZ136" s="134">
        <f t="shared" si="48"/>
        <v>5.4930555555547471</v>
      </c>
      <c r="CA136" s="134">
        <f t="shared" si="49"/>
        <v>7.4479166666642413</v>
      </c>
      <c r="CB136" s="133">
        <f t="shared" si="50"/>
        <v>0.73752913752926919</v>
      </c>
    </row>
    <row r="137" spans="1:80" s="126" customFormat="1">
      <c r="A137" s="192">
        <f t="shared" si="52"/>
        <v>45117.076388888891</v>
      </c>
      <c r="B137" s="126" t="s">
        <v>188</v>
      </c>
      <c r="C137" s="126" t="s">
        <v>183</v>
      </c>
      <c r="D137" s="126" t="s">
        <v>189</v>
      </c>
      <c r="E137" s="126" t="s">
        <v>1936</v>
      </c>
      <c r="G137" s="315">
        <v>45125.583333333336</v>
      </c>
      <c r="H137" s="315">
        <v>45125.591666666667</v>
      </c>
      <c r="I137" s="126" t="s">
        <v>791</v>
      </c>
      <c r="J137" s="126" t="s">
        <v>192</v>
      </c>
      <c r="K137" s="126" t="s">
        <v>192</v>
      </c>
      <c r="L137" s="126" t="s">
        <v>2645</v>
      </c>
      <c r="M137" s="167"/>
      <c r="N137" s="126" t="s">
        <v>793</v>
      </c>
      <c r="O137" s="126" t="s">
        <v>817</v>
      </c>
      <c r="P137" s="126" t="s">
        <v>183</v>
      </c>
      <c r="Q137" s="181">
        <v>5000</v>
      </c>
      <c r="R137" s="181">
        <v>5000</v>
      </c>
      <c r="S137" s="181">
        <v>5250.5410000000002</v>
      </c>
      <c r="T137" s="181"/>
      <c r="AT137" s="181">
        <f t="shared" si="58"/>
        <v>5250.5410000000002</v>
      </c>
      <c r="AX137" s="165">
        <f t="shared" si="55"/>
        <v>45117.0625</v>
      </c>
      <c r="AY137" s="165">
        <f t="shared" si="56"/>
        <v>45122.902777777781</v>
      </c>
      <c r="AZ137" s="137">
        <f t="shared" si="57"/>
        <v>5.8402777777810115</v>
      </c>
      <c r="BA137" s="165">
        <v>45117.0625</v>
      </c>
      <c r="BB137" s="165">
        <v>45117.0625</v>
      </c>
      <c r="BC137" s="165">
        <v>45117.0625</v>
      </c>
      <c r="BD137" s="165">
        <v>45117.076388888891</v>
      </c>
      <c r="BE137" s="165">
        <v>45117.604166666664</v>
      </c>
      <c r="BF137" s="165">
        <v>45117.618055555555</v>
      </c>
      <c r="BG137" s="165">
        <v>45117.618055555555</v>
      </c>
      <c r="BH137" s="165">
        <v>45117.618055555555</v>
      </c>
      <c r="BI137" s="166" t="s">
        <v>196</v>
      </c>
      <c r="BJ137" s="166" t="s">
        <v>196</v>
      </c>
      <c r="BK137" s="166" t="s">
        <v>196</v>
      </c>
      <c r="BL137" s="165">
        <v>45122.291666666664</v>
      </c>
      <c r="BM137" s="165">
        <v>45122.590277777781</v>
      </c>
      <c r="BN137" s="165">
        <v>45122.885416666664</v>
      </c>
      <c r="BO137" s="165">
        <v>45122.902777777781</v>
      </c>
      <c r="BP137" s="165">
        <v>45122.902777777781</v>
      </c>
      <c r="BQ137" s="165">
        <v>45122.902777777781</v>
      </c>
      <c r="BT137" s="136">
        <f t="shared" si="43"/>
        <v>0</v>
      </c>
      <c r="BU137" s="136">
        <f t="shared" si="44"/>
        <v>12.666666666569654</v>
      </c>
      <c r="BV137" s="136">
        <f t="shared" si="45"/>
        <v>0</v>
      </c>
      <c r="BW137" s="136">
        <f t="shared" si="59"/>
        <v>112.16666666662786</v>
      </c>
      <c r="BX137" s="135">
        <f t="shared" si="46"/>
        <v>7.0833333331975155</v>
      </c>
      <c r="BY137" s="135">
        <f t="shared" si="47"/>
        <v>0</v>
      </c>
      <c r="BZ137" s="134">
        <f t="shared" si="48"/>
        <v>5.4965277777664596</v>
      </c>
      <c r="CA137" s="134">
        <f t="shared" si="49"/>
        <v>5.8402777777810115</v>
      </c>
      <c r="CB137" s="133">
        <f t="shared" si="50"/>
        <v>0.94114149821394999</v>
      </c>
    </row>
    <row r="138" spans="1:80" s="126" customFormat="1">
      <c r="A138" s="192">
        <f t="shared" si="52"/>
        <v>45119.791666666664</v>
      </c>
      <c r="B138" s="126" t="s">
        <v>188</v>
      </c>
      <c r="C138" s="126" t="s">
        <v>183</v>
      </c>
      <c r="D138" s="126" t="s">
        <v>189</v>
      </c>
      <c r="E138" s="65" t="s">
        <v>2590</v>
      </c>
      <c r="G138" s="315">
        <v>45130.375</v>
      </c>
      <c r="H138" s="315">
        <v>45130.275000000001</v>
      </c>
      <c r="I138" s="126" t="s">
        <v>791</v>
      </c>
      <c r="J138" s="126" t="s">
        <v>192</v>
      </c>
      <c r="K138" s="126" t="s">
        <v>192</v>
      </c>
      <c r="L138" s="126" t="s">
        <v>2646</v>
      </c>
      <c r="M138" s="167"/>
      <c r="N138" s="126" t="s">
        <v>1364</v>
      </c>
      <c r="O138" s="126" t="s">
        <v>1365</v>
      </c>
      <c r="P138" s="126" t="s">
        <v>183</v>
      </c>
      <c r="Q138" s="181">
        <v>5000</v>
      </c>
      <c r="R138" s="181">
        <v>5000</v>
      </c>
      <c r="S138" s="181">
        <v>5279.8559999999998</v>
      </c>
      <c r="T138" s="181"/>
      <c r="AT138" s="181">
        <f t="shared" si="58"/>
        <v>5279.8559999999998</v>
      </c>
      <c r="AX138" s="165">
        <f t="shared" si="55"/>
        <v>45119.75</v>
      </c>
      <c r="AY138" s="165">
        <f t="shared" si="56"/>
        <v>45124.881944444445</v>
      </c>
      <c r="AZ138" s="137">
        <f t="shared" si="57"/>
        <v>5.1319444444452529</v>
      </c>
      <c r="BA138" s="165">
        <v>45119.75</v>
      </c>
      <c r="BB138" s="165">
        <v>45119.75</v>
      </c>
      <c r="BC138" s="165">
        <v>45119.75</v>
      </c>
      <c r="BD138" s="165">
        <v>45119.791666666664</v>
      </c>
      <c r="BE138" s="165">
        <v>45120.097222222219</v>
      </c>
      <c r="BF138" s="165">
        <v>45120.118055555555</v>
      </c>
      <c r="BG138" s="165">
        <v>45120.118055555555</v>
      </c>
      <c r="BH138" s="165">
        <v>45120.118055555555</v>
      </c>
      <c r="BI138" s="166" t="s">
        <v>196</v>
      </c>
      <c r="BJ138" s="166" t="s">
        <v>196</v>
      </c>
      <c r="BK138" s="166" t="s">
        <v>196</v>
      </c>
      <c r="BL138" s="165">
        <v>45124.083333333336</v>
      </c>
      <c r="BM138" s="165">
        <v>45124.607638888891</v>
      </c>
      <c r="BN138" s="165">
        <v>45124.847222222219</v>
      </c>
      <c r="BO138" s="165">
        <v>45124.881944444445</v>
      </c>
      <c r="BP138" s="165">
        <v>45124.881944444445</v>
      </c>
      <c r="BQ138" s="165">
        <v>45124.881944444445</v>
      </c>
      <c r="BT138" s="136">
        <f t="shared" si="43"/>
        <v>0</v>
      </c>
      <c r="BU138" s="136">
        <f t="shared" si="44"/>
        <v>7.3333333333139308</v>
      </c>
      <c r="BV138" s="136">
        <f t="shared" si="45"/>
        <v>0</v>
      </c>
      <c r="BW138" s="136">
        <f t="shared" si="59"/>
        <v>95.166666666744277</v>
      </c>
      <c r="BX138" s="135">
        <f t="shared" si="46"/>
        <v>5.7499999998835847</v>
      </c>
      <c r="BY138" s="135">
        <f t="shared" si="47"/>
        <v>0</v>
      </c>
      <c r="BZ138" s="134">
        <f t="shared" si="48"/>
        <v>4.5104166666642413</v>
      </c>
      <c r="CA138" s="134">
        <f t="shared" si="49"/>
        <v>5.1319444444452529</v>
      </c>
      <c r="CB138" s="133">
        <f t="shared" si="50"/>
        <v>0.87889039242158107</v>
      </c>
    </row>
    <row r="139" spans="1:80" s="126" customFormat="1">
      <c r="A139" s="192">
        <f t="shared" si="52"/>
        <v>45120.333333333336</v>
      </c>
      <c r="B139" s="126" t="s">
        <v>188</v>
      </c>
      <c r="C139" s="126" t="s">
        <v>183</v>
      </c>
      <c r="D139" s="126" t="s">
        <v>189</v>
      </c>
      <c r="E139" s="65" t="s">
        <v>2590</v>
      </c>
      <c r="G139" s="315">
        <v>45130.375</v>
      </c>
      <c r="H139" s="315">
        <v>45130.275000000001</v>
      </c>
      <c r="I139" s="126" t="s">
        <v>791</v>
      </c>
      <c r="J139" s="126" t="s">
        <v>192</v>
      </c>
      <c r="K139" s="126" t="s">
        <v>192</v>
      </c>
      <c r="L139" s="126" t="s">
        <v>2647</v>
      </c>
      <c r="M139" s="167"/>
      <c r="N139" s="126" t="s">
        <v>809</v>
      </c>
      <c r="O139" s="126" t="s">
        <v>1618</v>
      </c>
      <c r="P139" s="126" t="s">
        <v>183</v>
      </c>
      <c r="Q139" s="181">
        <v>5000</v>
      </c>
      <c r="R139" s="181">
        <v>5000</v>
      </c>
      <c r="S139" s="181">
        <v>5270.9570000000003</v>
      </c>
      <c r="T139" s="181"/>
      <c r="AT139" s="181">
        <f t="shared" si="58"/>
        <v>5270.9570000000003</v>
      </c>
      <c r="AX139" s="165">
        <f t="shared" si="55"/>
        <v>45120.3125</v>
      </c>
      <c r="AY139" s="165">
        <f t="shared" si="56"/>
        <v>45126.076388888891</v>
      </c>
      <c r="AZ139" s="137">
        <f t="shared" si="57"/>
        <v>5.7638888888905058</v>
      </c>
      <c r="BA139" s="165">
        <v>45120.3125</v>
      </c>
      <c r="BB139" s="165">
        <v>45120.3125</v>
      </c>
      <c r="BC139" s="165">
        <v>45120.3125</v>
      </c>
      <c r="BD139" s="165">
        <v>45120.333333333336</v>
      </c>
      <c r="BE139" s="165">
        <v>45120.715277777781</v>
      </c>
      <c r="BF139" s="165">
        <v>45120.743055555555</v>
      </c>
      <c r="BG139" s="165">
        <v>45120.743055555555</v>
      </c>
      <c r="BH139" s="165">
        <v>45120.743055555555</v>
      </c>
      <c r="BI139" s="166" t="s">
        <v>196</v>
      </c>
      <c r="BJ139" s="166" t="s">
        <v>196</v>
      </c>
      <c r="BK139" s="166" t="s">
        <v>196</v>
      </c>
      <c r="BL139" s="165">
        <v>45124.090277777781</v>
      </c>
      <c r="BM139" s="165">
        <v>45125.517361111109</v>
      </c>
      <c r="BN139" s="165">
        <v>45126.0625</v>
      </c>
      <c r="BO139" s="165">
        <v>45126.076388888891</v>
      </c>
      <c r="BP139" s="165">
        <v>45126.076388888891</v>
      </c>
      <c r="BQ139" s="165">
        <v>45126.076388888891</v>
      </c>
      <c r="BT139" s="136">
        <f t="shared" si="43"/>
        <v>0</v>
      </c>
      <c r="BU139" s="136">
        <f t="shared" si="44"/>
        <v>9.1666666666860692</v>
      </c>
      <c r="BV139" s="136">
        <f t="shared" si="45"/>
        <v>0</v>
      </c>
      <c r="BW139" s="136">
        <f t="shared" si="59"/>
        <v>80.333333333430346</v>
      </c>
      <c r="BX139" s="135">
        <f t="shared" si="46"/>
        <v>13.083333333372138</v>
      </c>
      <c r="BY139" s="135">
        <f t="shared" si="47"/>
        <v>0</v>
      </c>
      <c r="BZ139" s="134">
        <f t="shared" si="48"/>
        <v>4.2743055555620231</v>
      </c>
      <c r="CA139" s="134">
        <f t="shared" si="49"/>
        <v>5.7638888888905058</v>
      </c>
      <c r="CB139" s="133">
        <f t="shared" si="50"/>
        <v>0.74156626506115497</v>
      </c>
    </row>
    <row r="140" spans="1:80" s="126" customFormat="1">
      <c r="A140" s="192">
        <f t="shared" si="52"/>
        <v>45120.833333333336</v>
      </c>
      <c r="B140" s="126" t="s">
        <v>188</v>
      </c>
      <c r="C140" s="126" t="s">
        <v>183</v>
      </c>
      <c r="D140" s="126" t="s">
        <v>189</v>
      </c>
      <c r="E140" s="65" t="s">
        <v>2590</v>
      </c>
      <c r="G140" s="315">
        <v>45130.375</v>
      </c>
      <c r="H140" s="315">
        <v>45130.275000000001</v>
      </c>
      <c r="I140" s="126" t="s">
        <v>791</v>
      </c>
      <c r="J140" s="126" t="s">
        <v>192</v>
      </c>
      <c r="K140" s="126" t="s">
        <v>192</v>
      </c>
      <c r="L140" s="126" t="s">
        <v>2648</v>
      </c>
      <c r="M140" s="167"/>
      <c r="N140" s="126" t="s">
        <v>1626</v>
      </c>
      <c r="O140" s="126" t="s">
        <v>2649</v>
      </c>
      <c r="P140" s="126" t="s">
        <v>183</v>
      </c>
      <c r="Q140" s="181">
        <v>5000</v>
      </c>
      <c r="R140" s="181">
        <v>5000</v>
      </c>
      <c r="S140" s="181">
        <v>5301.0690000000004</v>
      </c>
      <c r="T140" s="181"/>
      <c r="AT140" s="181">
        <f t="shared" si="58"/>
        <v>5301.0690000000004</v>
      </c>
      <c r="AX140" s="165">
        <f t="shared" si="55"/>
        <v>45120.680555555555</v>
      </c>
      <c r="AY140" s="165">
        <f t="shared" si="56"/>
        <v>45126.902777777781</v>
      </c>
      <c r="AZ140" s="137">
        <f t="shared" si="57"/>
        <v>6.2222222222262644</v>
      </c>
      <c r="BA140" s="165">
        <v>45120.680555555555</v>
      </c>
      <c r="BB140" s="165">
        <v>45120.680555555555</v>
      </c>
      <c r="BC140" s="165">
        <v>45120.680555555555</v>
      </c>
      <c r="BD140" s="165">
        <v>45120.833333333336</v>
      </c>
      <c r="BE140" s="165">
        <v>45121.697916666664</v>
      </c>
      <c r="BF140" s="165">
        <v>45121.729166666664</v>
      </c>
      <c r="BG140" s="165">
        <v>45121.729166666664</v>
      </c>
      <c r="BH140" s="165">
        <v>45121.729166666664</v>
      </c>
      <c r="BI140" s="166" t="s">
        <v>196</v>
      </c>
      <c r="BJ140" s="166" t="s">
        <v>196</v>
      </c>
      <c r="BK140" s="166" t="s">
        <v>196</v>
      </c>
      <c r="BL140" s="165">
        <v>45126.309027777781</v>
      </c>
      <c r="BM140" s="165">
        <v>45126.489583333336</v>
      </c>
      <c r="BN140" s="165">
        <v>45126.892361111109</v>
      </c>
      <c r="BO140" s="165">
        <v>45126.902777777781</v>
      </c>
      <c r="BP140" s="165">
        <v>45126.902777777781</v>
      </c>
      <c r="BQ140" s="165">
        <v>45126.902777777781</v>
      </c>
      <c r="BT140" s="136">
        <f t="shared" si="43"/>
        <v>0</v>
      </c>
      <c r="BU140" s="136">
        <f t="shared" si="44"/>
        <v>20.749999999883585</v>
      </c>
      <c r="BV140" s="136">
        <f t="shared" si="45"/>
        <v>0</v>
      </c>
      <c r="BW140" s="136">
        <f t="shared" si="59"/>
        <v>109.91666666680248</v>
      </c>
      <c r="BX140" s="135">
        <f t="shared" si="46"/>
        <v>9.6666666665696539</v>
      </c>
      <c r="BY140" s="135">
        <f t="shared" si="47"/>
        <v>0</v>
      </c>
      <c r="BZ140" s="134">
        <f t="shared" si="48"/>
        <v>5.8472222222189885</v>
      </c>
      <c r="CA140" s="134">
        <f t="shared" si="49"/>
        <v>6.2222222222262644</v>
      </c>
      <c r="CB140" s="133">
        <f t="shared" si="50"/>
        <v>0.9397321428560127</v>
      </c>
    </row>
    <row r="141" spans="1:80" s="126" customFormat="1">
      <c r="A141" s="192">
        <f t="shared" si="52"/>
        <v>45124.361111111109</v>
      </c>
      <c r="B141" s="126" t="s">
        <v>188</v>
      </c>
      <c r="C141" s="126" t="s">
        <v>183</v>
      </c>
      <c r="D141" s="126" t="s">
        <v>189</v>
      </c>
      <c r="E141" s="65" t="s">
        <v>2158</v>
      </c>
      <c r="G141" s="166">
        <v>45127.416666666664</v>
      </c>
      <c r="H141" s="166">
        <v>45127.416666666664</v>
      </c>
      <c r="I141" s="126" t="s">
        <v>807</v>
      </c>
      <c r="J141" s="126" t="s">
        <v>192</v>
      </c>
      <c r="K141" s="126" t="s">
        <v>192</v>
      </c>
      <c r="L141" s="126" t="s">
        <v>2167</v>
      </c>
      <c r="M141" s="167"/>
      <c r="N141" s="126" t="s">
        <v>2168</v>
      </c>
      <c r="O141" s="126" t="s">
        <v>810</v>
      </c>
      <c r="P141" s="126" t="s">
        <v>183</v>
      </c>
      <c r="Q141" s="181">
        <v>5000</v>
      </c>
      <c r="R141" s="181">
        <v>5000</v>
      </c>
      <c r="S141" s="181">
        <v>5250.4690000000001</v>
      </c>
      <c r="T141" s="181"/>
      <c r="AT141" s="181">
        <f t="shared" si="58"/>
        <v>5250.4690000000001</v>
      </c>
      <c r="AX141" s="165">
        <f t="shared" si="55"/>
        <v>45124.319444444445</v>
      </c>
      <c r="AY141" s="165">
        <f t="shared" si="56"/>
        <v>45135.916666666664</v>
      </c>
      <c r="AZ141" s="137">
        <f t="shared" si="57"/>
        <v>11.597222222218988</v>
      </c>
      <c r="BA141" s="165">
        <v>45124.319444444445</v>
      </c>
      <c r="BB141" s="165">
        <v>45124.319444444445</v>
      </c>
      <c r="BC141" s="165">
        <v>45124.319444444445</v>
      </c>
      <c r="BD141" s="165">
        <v>45124.361111111109</v>
      </c>
      <c r="BE141" s="165">
        <v>45124.784722222219</v>
      </c>
      <c r="BF141" s="165">
        <v>45124.784722222219</v>
      </c>
      <c r="BG141" s="165">
        <v>45124.784722222219</v>
      </c>
      <c r="BH141" s="165">
        <v>45124.784722222219</v>
      </c>
      <c r="BI141" s="166" t="s">
        <v>196</v>
      </c>
      <c r="BJ141" s="166" t="s">
        <v>196</v>
      </c>
      <c r="BK141" s="166" t="s">
        <v>196</v>
      </c>
      <c r="BL141" s="165">
        <v>45134.916666666664</v>
      </c>
      <c r="BM141" s="165">
        <v>45135.166666666664</v>
      </c>
      <c r="BN141" s="165">
        <v>45135.916666666664</v>
      </c>
      <c r="BO141" s="165">
        <v>45135.916666666664</v>
      </c>
      <c r="BP141" s="165">
        <v>45135.916666666664</v>
      </c>
      <c r="BQ141" s="165">
        <v>45135.916666666664</v>
      </c>
      <c r="BT141" s="136">
        <f t="shared" si="43"/>
        <v>0</v>
      </c>
      <c r="BU141" s="136">
        <f t="shared" si="44"/>
        <v>10.166666666627862</v>
      </c>
      <c r="BV141" s="136">
        <f t="shared" si="45"/>
        <v>0</v>
      </c>
      <c r="BW141" s="136">
        <f t="shared" si="59"/>
        <v>243.16666666668607</v>
      </c>
      <c r="BX141" s="135">
        <f t="shared" si="46"/>
        <v>18</v>
      </c>
      <c r="BY141" s="135">
        <f t="shared" si="47"/>
        <v>0</v>
      </c>
      <c r="BZ141" s="134">
        <f t="shared" si="48"/>
        <v>11.305555555554747</v>
      </c>
      <c r="CA141" s="134">
        <f t="shared" si="49"/>
        <v>11.597222222218988</v>
      </c>
      <c r="CB141" s="133">
        <f t="shared" si="50"/>
        <v>0.97485029940139967</v>
      </c>
    </row>
    <row r="142" spans="1:80" s="126" customFormat="1">
      <c r="A142" s="192">
        <f t="shared" si="52"/>
        <v>45130.100694444445</v>
      </c>
      <c r="B142" s="126" t="s">
        <v>188</v>
      </c>
      <c r="C142" s="126" t="s">
        <v>183</v>
      </c>
      <c r="D142" s="126" t="s">
        <v>189</v>
      </c>
      <c r="E142" s="65" t="s">
        <v>2601</v>
      </c>
      <c r="F142" s="65"/>
      <c r="G142" s="166">
        <v>45137.625</v>
      </c>
      <c r="H142" s="166">
        <v>45137.625</v>
      </c>
      <c r="I142" s="126" t="s">
        <v>791</v>
      </c>
      <c r="J142" s="126" t="s">
        <v>192</v>
      </c>
      <c r="K142" s="126" t="s">
        <v>192</v>
      </c>
      <c r="L142" s="126" t="s">
        <v>2650</v>
      </c>
      <c r="M142" s="167"/>
      <c r="N142" s="126" t="s">
        <v>1636</v>
      </c>
      <c r="O142" s="126" t="s">
        <v>817</v>
      </c>
      <c r="P142" s="126" t="s">
        <v>183</v>
      </c>
      <c r="Q142" s="181">
        <v>5000</v>
      </c>
      <c r="R142" s="181">
        <v>5000</v>
      </c>
      <c r="S142" s="181">
        <v>5180.5990000000002</v>
      </c>
      <c r="T142" s="181"/>
      <c r="AT142" s="181">
        <f t="shared" si="58"/>
        <v>5180.5990000000002</v>
      </c>
      <c r="AX142" s="165">
        <f t="shared" si="55"/>
        <v>45130.0625</v>
      </c>
      <c r="AY142" s="165">
        <f t="shared" si="56"/>
        <v>45140.881944444445</v>
      </c>
      <c r="AZ142" s="137">
        <f t="shared" si="57"/>
        <v>10.819444444445253</v>
      </c>
      <c r="BA142" s="165">
        <v>45130.0625</v>
      </c>
      <c r="BB142" s="165">
        <v>45130.0625</v>
      </c>
      <c r="BC142" s="165">
        <v>45130.0625</v>
      </c>
      <c r="BD142" s="165">
        <v>45130.100694444445</v>
      </c>
      <c r="BE142" s="165">
        <v>45130.513888888891</v>
      </c>
      <c r="BF142" s="165">
        <v>45130.513888888891</v>
      </c>
      <c r="BG142" s="165">
        <v>45130.513888888891</v>
      </c>
      <c r="BH142" s="165">
        <v>45130.513888888891</v>
      </c>
      <c r="BI142" s="166" t="s">
        <v>196</v>
      </c>
      <c r="BJ142" s="166" t="s">
        <v>196</v>
      </c>
      <c r="BK142" s="166" t="s">
        <v>196</v>
      </c>
      <c r="BL142" s="165">
        <v>45135.184027777781</v>
      </c>
      <c r="BM142" s="165">
        <v>45140.586805555555</v>
      </c>
      <c r="BN142" s="165">
        <v>45140.864583333336</v>
      </c>
      <c r="BO142" s="165">
        <v>45140.881944444445</v>
      </c>
      <c r="BP142" s="165">
        <v>45140.881944444445</v>
      </c>
      <c r="BQ142" s="165">
        <v>45140.881944444445</v>
      </c>
      <c r="BT142" s="136">
        <f t="shared" si="43"/>
        <v>0</v>
      </c>
      <c r="BU142" s="136">
        <f t="shared" si="44"/>
        <v>9.9166666666860692</v>
      </c>
      <c r="BV142" s="136">
        <f t="shared" si="45"/>
        <v>0</v>
      </c>
      <c r="BW142" s="136">
        <f t="shared" si="59"/>
        <v>112.08333333337214</v>
      </c>
      <c r="BX142" s="135">
        <f t="shared" si="46"/>
        <v>6.6666666667442769</v>
      </c>
      <c r="BY142" s="135">
        <f t="shared" si="47"/>
        <v>0</v>
      </c>
      <c r="BZ142" s="134">
        <f t="shared" si="48"/>
        <v>5.3611111111167702</v>
      </c>
      <c r="CA142" s="134">
        <f t="shared" si="49"/>
        <v>10.819444444445253</v>
      </c>
      <c r="CB142" s="133">
        <f t="shared" si="50"/>
        <v>0.49550706033424724</v>
      </c>
    </row>
    <row r="143" spans="1:80" s="126" customFormat="1">
      <c r="A143" s="192">
        <f>BD143</f>
        <v>45135.097222222219</v>
      </c>
      <c r="B143" s="126" t="s">
        <v>188</v>
      </c>
      <c r="C143" s="126" t="s">
        <v>183</v>
      </c>
      <c r="D143" s="126" t="s">
        <v>189</v>
      </c>
      <c r="E143" s="65" t="s">
        <v>2651</v>
      </c>
      <c r="G143" s="179">
        <f>BOCT!$S$300</f>
        <v>45179.741666666669</v>
      </c>
      <c r="H143" s="179">
        <f>BOCT!$S$300</f>
        <v>45179.741666666669</v>
      </c>
      <c r="I143" s="126" t="s">
        <v>791</v>
      </c>
      <c r="J143" s="126" t="s">
        <v>192</v>
      </c>
      <c r="K143" s="126" t="s">
        <v>192</v>
      </c>
      <c r="L143" s="126" t="s">
        <v>2652</v>
      </c>
      <c r="M143" s="167"/>
      <c r="N143" s="126" t="s">
        <v>809</v>
      </c>
      <c r="O143" s="126" t="s">
        <v>1365</v>
      </c>
      <c r="P143" s="126" t="s">
        <v>183</v>
      </c>
      <c r="Q143" s="181">
        <v>5500</v>
      </c>
      <c r="R143" s="181">
        <v>5500</v>
      </c>
      <c r="S143" s="181">
        <v>5248.009</v>
      </c>
      <c r="T143" s="181"/>
      <c r="AT143" s="181">
        <f>S143</f>
        <v>5248.009</v>
      </c>
      <c r="AX143" s="165">
        <f>BA143</f>
        <v>45135.083333333336</v>
      </c>
      <c r="AY143" s="165">
        <f>BQ143</f>
        <v>45159.572916666664</v>
      </c>
      <c r="AZ143" s="137">
        <f>AY143-AX143</f>
        <v>24.489583333328483</v>
      </c>
      <c r="BA143" s="165">
        <v>45135.083333333336</v>
      </c>
      <c r="BB143" s="165">
        <v>45135.083333333336</v>
      </c>
      <c r="BC143" s="165">
        <v>45135.083333333336</v>
      </c>
      <c r="BD143" s="165">
        <v>45135.097222222219</v>
      </c>
      <c r="BE143" s="165">
        <v>45135.46875</v>
      </c>
      <c r="BF143" s="165">
        <v>45135.541666666664</v>
      </c>
      <c r="BG143" s="165">
        <v>45135.541666666664</v>
      </c>
      <c r="BH143" s="165">
        <v>45135.541666666664</v>
      </c>
      <c r="BI143" s="166" t="s">
        <v>196</v>
      </c>
      <c r="BJ143" s="166" t="s">
        <v>196</v>
      </c>
      <c r="BK143" s="166" t="s">
        <v>196</v>
      </c>
      <c r="BL143" s="165">
        <v>45154.833333333336</v>
      </c>
      <c r="BM143" s="165">
        <v>45159.319444444445</v>
      </c>
      <c r="BN143" s="165">
        <v>45159.5625</v>
      </c>
      <c r="BO143" s="165">
        <v>45159.572916666664</v>
      </c>
      <c r="BP143" s="165">
        <v>45159.572916666664</v>
      </c>
      <c r="BQ143" s="165">
        <v>45159.572916666664</v>
      </c>
      <c r="BT143" s="136">
        <f>(BC143-BB143)*24</f>
        <v>0</v>
      </c>
      <c r="BU143" s="136">
        <f>(BE143-BD143)*24</f>
        <v>8.9166666667442769</v>
      </c>
      <c r="BV143" s="136">
        <f>(BH143-BG143)*24</f>
        <v>0</v>
      </c>
      <c r="BW143" s="136">
        <f>(BL143-BH143)*24</f>
        <v>463.00000000011642</v>
      </c>
      <c r="BX143" s="135">
        <f>(BN143-BM143)*24</f>
        <v>5.8333333333139308</v>
      </c>
      <c r="BY143" s="135">
        <f>(BQ143-BP143)*24</f>
        <v>0</v>
      </c>
      <c r="BZ143" s="134">
        <f>SUM(BT143:BY143)/24</f>
        <v>19.906250000007276</v>
      </c>
      <c r="CA143" s="134">
        <f>AZ143</f>
        <v>24.489583333328483</v>
      </c>
      <c r="CB143" s="133">
        <f>BZ143/CA143</f>
        <v>0.81284559761849295</v>
      </c>
    </row>
    <row r="144" spans="1:80" s="126" customFormat="1">
      <c r="A144" s="192">
        <f>BD144</f>
        <v>45135.607638888891</v>
      </c>
      <c r="B144" s="126" t="s">
        <v>188</v>
      </c>
      <c r="C144" s="126" t="s">
        <v>183</v>
      </c>
      <c r="D144" s="126" t="s">
        <v>189</v>
      </c>
      <c r="E144" s="65" t="s">
        <v>2651</v>
      </c>
      <c r="G144" s="179">
        <f>BOCT!$S$300</f>
        <v>45179.741666666669</v>
      </c>
      <c r="H144" s="179">
        <f>BOCT!$S$300</f>
        <v>45179.741666666669</v>
      </c>
      <c r="I144" s="126" t="s">
        <v>791</v>
      </c>
      <c r="J144" s="126" t="s">
        <v>192</v>
      </c>
      <c r="K144" s="126" t="s">
        <v>192</v>
      </c>
      <c r="L144" s="126" t="s">
        <v>2653</v>
      </c>
      <c r="M144" s="167"/>
      <c r="N144" s="126" t="s">
        <v>1626</v>
      </c>
      <c r="O144" s="126" t="s">
        <v>2654</v>
      </c>
      <c r="P144" s="126" t="s">
        <v>183</v>
      </c>
      <c r="Q144" s="181">
        <v>5500</v>
      </c>
      <c r="R144" s="181">
        <v>5500</v>
      </c>
      <c r="S144" s="181">
        <v>5247.8729999999996</v>
      </c>
      <c r="T144" s="181"/>
      <c r="AT144" s="181">
        <f>S144</f>
        <v>5247.8729999999996</v>
      </c>
      <c r="AX144" s="165">
        <f>BA144</f>
        <v>45135.597222222219</v>
      </c>
      <c r="AY144" s="165">
        <f>BQ144</f>
        <v>45163.135416666664</v>
      </c>
      <c r="AZ144" s="137">
        <f>AY144-AX144</f>
        <v>27.538194444445253</v>
      </c>
      <c r="BA144" s="165">
        <v>45135.597222222219</v>
      </c>
      <c r="BB144" s="165">
        <v>45135.597222222219</v>
      </c>
      <c r="BC144" s="165">
        <v>45135.597222222219</v>
      </c>
      <c r="BD144" s="165">
        <v>45135.607638888891</v>
      </c>
      <c r="BE144" s="165">
        <v>45135.989583333336</v>
      </c>
      <c r="BF144" s="165">
        <v>45135.996527777781</v>
      </c>
      <c r="BG144" s="165">
        <v>45135.996527777781</v>
      </c>
      <c r="BH144" s="165">
        <v>45135.996527777781</v>
      </c>
      <c r="BI144" s="166" t="s">
        <v>196</v>
      </c>
      <c r="BJ144" s="166" t="s">
        <v>196</v>
      </c>
      <c r="BK144" s="166" t="s">
        <v>196</v>
      </c>
      <c r="BL144" s="165">
        <v>45159.166666666664</v>
      </c>
      <c r="BM144" s="165">
        <v>45162.84375</v>
      </c>
      <c r="BN144" s="165">
        <v>45163.111111111109</v>
      </c>
      <c r="BO144" s="165">
        <v>45163.135416666664</v>
      </c>
      <c r="BP144" s="165">
        <v>45163.135416666664</v>
      </c>
      <c r="BQ144" s="165">
        <v>45163.135416666664</v>
      </c>
      <c r="BT144" s="136">
        <f>(BC144-BB144)*24</f>
        <v>0</v>
      </c>
      <c r="BU144" s="136">
        <f>(BE144-BD144)*24</f>
        <v>9.1666666666860692</v>
      </c>
      <c r="BV144" s="136">
        <f>(BH144-BG144)*24</f>
        <v>0</v>
      </c>
      <c r="BW144" s="136">
        <f>(BL144-BH144)*24</f>
        <v>556.08333333319752</v>
      </c>
      <c r="BX144" s="135">
        <f>(BN144-BM144)*24</f>
        <v>6.4166666666278616</v>
      </c>
      <c r="BY144" s="135">
        <f>(BQ144-BP144)*24</f>
        <v>0</v>
      </c>
      <c r="BZ144" s="134">
        <f>SUM(BT144:BY144)/24</f>
        <v>23.819444444437977</v>
      </c>
      <c r="CA144" s="134">
        <f>AZ144</f>
        <v>27.538194444445253</v>
      </c>
      <c r="CB144" s="133">
        <f>BZ144/CA144</f>
        <v>0.86496028243575029</v>
      </c>
    </row>
    <row r="145" spans="1:80" s="126" customFormat="1">
      <c r="A145" s="192">
        <f t="shared" si="52"/>
        <v>45110.045138888891</v>
      </c>
      <c r="B145" s="126" t="s">
        <v>188</v>
      </c>
      <c r="C145" s="126" t="s">
        <v>184</v>
      </c>
      <c r="D145" s="126" t="s">
        <v>197</v>
      </c>
      <c r="E145" s="65" t="s">
        <v>1936</v>
      </c>
      <c r="G145" s="315">
        <v>45125.583333333336</v>
      </c>
      <c r="H145" s="315">
        <v>45125.591666666667</v>
      </c>
      <c r="I145" s="126" t="s">
        <v>469</v>
      </c>
      <c r="J145" s="126" t="s">
        <v>192</v>
      </c>
      <c r="K145" s="126" t="s">
        <v>192</v>
      </c>
      <c r="L145" s="126" t="s">
        <v>2655</v>
      </c>
      <c r="M145" s="167"/>
      <c r="N145" s="126" t="s">
        <v>686</v>
      </c>
      <c r="O145" s="126" t="s">
        <v>1186</v>
      </c>
      <c r="P145" s="126" t="s">
        <v>184</v>
      </c>
      <c r="Q145" s="181">
        <f>3136*2.4</f>
        <v>7526.4</v>
      </c>
      <c r="R145" s="181">
        <f>7550+100</f>
        <v>7650</v>
      </c>
      <c r="S145" s="181">
        <v>7504.3050000000003</v>
      </c>
      <c r="T145" s="181"/>
      <c r="AU145" s="181">
        <f>S145</f>
        <v>7504.3050000000003</v>
      </c>
      <c r="AX145" s="165">
        <f t="shared" si="55"/>
        <v>45102.375</v>
      </c>
      <c r="AY145" s="165">
        <f t="shared" si="56"/>
        <v>45120.253472222219</v>
      </c>
      <c r="AZ145" s="137">
        <f t="shared" si="57"/>
        <v>17.878472222218988</v>
      </c>
      <c r="BA145" s="165">
        <v>45102.375</v>
      </c>
      <c r="BB145" s="165">
        <v>45103.548611111109</v>
      </c>
      <c r="BC145" s="165">
        <v>45107.916666666664</v>
      </c>
      <c r="BD145" s="165">
        <v>45110.045138888891</v>
      </c>
      <c r="BE145" s="165">
        <v>45113.423611111109</v>
      </c>
      <c r="BF145" s="165">
        <v>45113.489583333336</v>
      </c>
      <c r="BG145" s="165">
        <v>45113.489583333336</v>
      </c>
      <c r="BH145" s="165">
        <f>BG145+(51/24)</f>
        <v>45115.614583333336</v>
      </c>
      <c r="BI145" s="165">
        <v>45116.25</v>
      </c>
      <c r="BJ145" s="165">
        <v>45116.416666666664</v>
      </c>
      <c r="BK145" s="165">
        <v>45116.434027777781</v>
      </c>
      <c r="BL145" s="165">
        <v>45119.208333333336</v>
      </c>
      <c r="BM145" s="165">
        <v>45119.645833333336</v>
      </c>
      <c r="BN145" s="165">
        <v>45120.232638888891</v>
      </c>
      <c r="BO145" s="165">
        <v>45120.253472222219</v>
      </c>
      <c r="BP145" s="165">
        <v>45120.253472222219</v>
      </c>
      <c r="BQ145" s="165">
        <v>45120.253472222219</v>
      </c>
      <c r="BR145" s="126" t="s">
        <v>2656</v>
      </c>
      <c r="BT145" s="136">
        <f t="shared" si="43"/>
        <v>104.83333333331393</v>
      </c>
      <c r="BU145" s="136">
        <f t="shared" si="44"/>
        <v>81.083333333255723</v>
      </c>
      <c r="BV145" s="136">
        <f t="shared" si="45"/>
        <v>51</v>
      </c>
      <c r="BW145" s="136">
        <f>(BL145-BJ145)*24</f>
        <v>67.000000000116415</v>
      </c>
      <c r="BX145" s="135">
        <f t="shared" si="46"/>
        <v>14.083333333313931</v>
      </c>
      <c r="BY145" s="135">
        <f t="shared" si="47"/>
        <v>0</v>
      </c>
      <c r="BZ145" s="134">
        <f t="shared" si="48"/>
        <v>13.25</v>
      </c>
      <c r="CA145" s="134">
        <f t="shared" si="49"/>
        <v>17.878472222218988</v>
      </c>
      <c r="CB145" s="133">
        <f t="shared" si="50"/>
        <v>0.74111477956898242</v>
      </c>
    </row>
    <row r="146" spans="1:80" s="126" customFormat="1">
      <c r="A146" s="192">
        <f t="shared" si="52"/>
        <v>45115.552083333336</v>
      </c>
      <c r="B146" s="126" t="s">
        <v>188</v>
      </c>
      <c r="C146" s="126" t="s">
        <v>184</v>
      </c>
      <c r="D146" s="126" t="s">
        <v>189</v>
      </c>
      <c r="E146" s="65" t="s">
        <v>1936</v>
      </c>
      <c r="G146" s="315">
        <v>45125.583333333336</v>
      </c>
      <c r="H146" s="315">
        <v>45125.591666666667</v>
      </c>
      <c r="I146" s="126" t="s">
        <v>818</v>
      </c>
      <c r="J146" s="126" t="s">
        <v>192</v>
      </c>
      <c r="K146" s="126" t="s">
        <v>192</v>
      </c>
      <c r="L146" s="126" t="s">
        <v>2657</v>
      </c>
      <c r="M146" s="167"/>
      <c r="N146" s="126" t="s">
        <v>820</v>
      </c>
      <c r="O146" s="126" t="s">
        <v>1368</v>
      </c>
      <c r="P146" s="126" t="s">
        <v>184</v>
      </c>
      <c r="Q146" s="181">
        <v>7500</v>
      </c>
      <c r="R146" s="181">
        <v>7500</v>
      </c>
      <c r="S146" s="181">
        <v>7568.3339999999998</v>
      </c>
      <c r="T146" s="181"/>
      <c r="AU146" s="181">
        <f>S146</f>
        <v>7568.3339999999998</v>
      </c>
      <c r="AX146" s="165">
        <f t="shared" si="55"/>
        <v>45115.260416666664</v>
      </c>
      <c r="AY146" s="165">
        <f t="shared" si="56"/>
        <v>45122.541666666664</v>
      </c>
      <c r="AZ146" s="137">
        <f t="shared" si="57"/>
        <v>7.28125</v>
      </c>
      <c r="BA146" s="165">
        <v>45115.260416666664</v>
      </c>
      <c r="BB146" s="165">
        <v>45115.260416666664</v>
      </c>
      <c r="BC146" s="165">
        <v>45115.260416666664</v>
      </c>
      <c r="BD146" s="165">
        <v>45115.552083333336</v>
      </c>
      <c r="BE146" s="165">
        <v>45116.666666666664</v>
      </c>
      <c r="BF146" s="165">
        <v>45116.708333333336</v>
      </c>
      <c r="BG146" s="165">
        <v>45116.708333333336</v>
      </c>
      <c r="BH146" s="165">
        <v>45116.708333333336</v>
      </c>
      <c r="BI146" s="166" t="s">
        <v>196</v>
      </c>
      <c r="BJ146" s="166" t="s">
        <v>196</v>
      </c>
      <c r="BK146" s="166" t="s">
        <v>196</v>
      </c>
      <c r="BL146" s="165">
        <v>45121.25</v>
      </c>
      <c r="BM146" s="165">
        <v>45122.180555555555</v>
      </c>
      <c r="BN146" s="165">
        <v>45122.527777777781</v>
      </c>
      <c r="BO146" s="165">
        <v>45122.541666666664</v>
      </c>
      <c r="BP146" s="165">
        <v>45122.541666666664</v>
      </c>
      <c r="BQ146" s="165">
        <v>45122.541666666664</v>
      </c>
      <c r="BT146" s="136">
        <f t="shared" si="43"/>
        <v>0</v>
      </c>
      <c r="BU146" s="136">
        <f t="shared" si="44"/>
        <v>26.749999999883585</v>
      </c>
      <c r="BV146" s="136">
        <f t="shared" si="45"/>
        <v>0</v>
      </c>
      <c r="BW146" s="136">
        <f>(BL146-BH146)*24</f>
        <v>108.99999999994179</v>
      </c>
      <c r="BX146" s="135">
        <f t="shared" si="46"/>
        <v>8.3333333334303461</v>
      </c>
      <c r="BY146" s="135">
        <f t="shared" si="47"/>
        <v>0</v>
      </c>
      <c r="BZ146" s="134">
        <f t="shared" si="48"/>
        <v>6.0034722222189885</v>
      </c>
      <c r="CA146" s="134">
        <f t="shared" si="49"/>
        <v>7.28125</v>
      </c>
      <c r="CB146" s="133">
        <f t="shared" si="50"/>
        <v>0.82451120648501131</v>
      </c>
    </row>
    <row r="147" spans="1:80" s="126" customFormat="1">
      <c r="A147" s="192">
        <f t="shared" si="52"/>
        <v>45118.461805555555</v>
      </c>
      <c r="B147" s="126" t="s">
        <v>188</v>
      </c>
      <c r="C147" s="126" t="s">
        <v>184</v>
      </c>
      <c r="D147" s="126" t="s">
        <v>189</v>
      </c>
      <c r="E147" s="126" t="s">
        <v>2102</v>
      </c>
      <c r="G147" s="315">
        <v>45117.541666666664</v>
      </c>
      <c r="H147" s="315">
        <v>45117.520833333336</v>
      </c>
      <c r="I147" s="126" t="s">
        <v>1642</v>
      </c>
      <c r="J147" s="126" t="s">
        <v>192</v>
      </c>
      <c r="K147" s="126" t="s">
        <v>192</v>
      </c>
      <c r="L147" s="126" t="s">
        <v>2106</v>
      </c>
      <c r="M147" s="167"/>
      <c r="N147" s="126" t="s">
        <v>823</v>
      </c>
      <c r="O147" s="126" t="s">
        <v>824</v>
      </c>
      <c r="P147" s="126" t="s">
        <v>184</v>
      </c>
      <c r="Q147" s="181">
        <v>7500</v>
      </c>
      <c r="R147" s="181">
        <v>7500</v>
      </c>
      <c r="S147" s="181">
        <v>7501.875</v>
      </c>
      <c r="T147" s="181"/>
      <c r="AU147" s="181">
        <f>S147</f>
        <v>7501.875</v>
      </c>
      <c r="AX147" s="165">
        <f t="shared" si="55"/>
        <v>45118.447916666664</v>
      </c>
      <c r="AY147" s="165">
        <f t="shared" si="56"/>
        <v>45125.246527777781</v>
      </c>
      <c r="AZ147" s="137">
        <f t="shared" si="57"/>
        <v>6.7986111111167702</v>
      </c>
      <c r="BA147" s="165">
        <v>45118.447916666664</v>
      </c>
      <c r="BB147" s="165">
        <v>45118.447916666664</v>
      </c>
      <c r="BC147" s="165">
        <v>45118.447916666664</v>
      </c>
      <c r="BD147" s="165">
        <v>45118.461805555555</v>
      </c>
      <c r="BE147" s="165">
        <v>45119.076388888891</v>
      </c>
      <c r="BF147" s="165">
        <v>45119.118055555555</v>
      </c>
      <c r="BG147" s="165">
        <v>45119.118055555555</v>
      </c>
      <c r="BH147" s="165">
        <v>45119.118055555555</v>
      </c>
      <c r="BI147" s="166" t="s">
        <v>196</v>
      </c>
      <c r="BJ147" s="166" t="s">
        <v>196</v>
      </c>
      <c r="BK147" s="166" t="s">
        <v>196</v>
      </c>
      <c r="BL147" s="165">
        <v>45122.965277777781</v>
      </c>
      <c r="BM147" s="165">
        <v>45124</v>
      </c>
      <c r="BN147" s="165">
        <v>45125.225694444445</v>
      </c>
      <c r="BO147" s="165">
        <v>45125.246527777781</v>
      </c>
      <c r="BP147" s="165">
        <v>45125.246527777781</v>
      </c>
      <c r="BQ147" s="165">
        <v>45125.246527777781</v>
      </c>
      <c r="BT147" s="136">
        <f t="shared" si="43"/>
        <v>0</v>
      </c>
      <c r="BU147" s="136">
        <f t="shared" si="44"/>
        <v>14.750000000058208</v>
      </c>
      <c r="BV147" s="136">
        <f t="shared" si="45"/>
        <v>0</v>
      </c>
      <c r="BW147" s="136">
        <f>(BL147-BH147)*24</f>
        <v>92.333333333430346</v>
      </c>
      <c r="BX147" s="135">
        <f t="shared" si="46"/>
        <v>29.416666666686069</v>
      </c>
      <c r="BY147" s="135">
        <f t="shared" si="47"/>
        <v>0</v>
      </c>
      <c r="BZ147" s="134">
        <f t="shared" si="48"/>
        <v>5.687500000007276</v>
      </c>
      <c r="CA147" s="134">
        <f t="shared" si="49"/>
        <v>6.7986111111167702</v>
      </c>
      <c r="CB147" s="133">
        <f t="shared" si="50"/>
        <v>0.8365679264559408</v>
      </c>
    </row>
    <row r="148" spans="1:80" s="126" customFormat="1">
      <c r="A148" s="192">
        <f t="shared" si="52"/>
        <v>45109.21875</v>
      </c>
      <c r="B148" s="126" t="s">
        <v>228</v>
      </c>
      <c r="C148" s="126" t="s">
        <v>229</v>
      </c>
      <c r="D148" s="126" t="s">
        <v>197</v>
      </c>
      <c r="E148" s="65" t="s">
        <v>944</v>
      </c>
      <c r="G148" s="73">
        <v>45111.458333333336</v>
      </c>
      <c r="H148" s="73">
        <v>45111.458333333336</v>
      </c>
      <c r="I148" s="126" t="s">
        <v>490</v>
      </c>
      <c r="J148" s="126" t="s">
        <v>192</v>
      </c>
      <c r="K148" s="126" t="s">
        <v>192</v>
      </c>
      <c r="L148" s="126" t="s">
        <v>2051</v>
      </c>
      <c r="M148" s="167"/>
      <c r="N148" s="126" t="s">
        <v>380</v>
      </c>
      <c r="O148" s="126" t="s">
        <v>381</v>
      </c>
      <c r="P148" s="126" t="s">
        <v>494</v>
      </c>
      <c r="Q148" s="181">
        <f>3271*2.4</f>
        <v>7850.4</v>
      </c>
      <c r="R148" s="181">
        <f>7900+100</f>
        <v>8000</v>
      </c>
      <c r="S148" s="181">
        <f>7855.804-469.843</f>
        <v>7385.9610000000002</v>
      </c>
      <c r="T148" s="181"/>
      <c r="U148" s="181">
        <f t="shared" ref="U148:U153" si="60">S148</f>
        <v>7385.9610000000002</v>
      </c>
      <c r="AX148" s="165">
        <f t="shared" si="55"/>
        <v>45100.520833333336</v>
      </c>
      <c r="AY148" s="165">
        <f t="shared" si="56"/>
        <v>45115.902777777781</v>
      </c>
      <c r="AZ148" s="137">
        <f t="shared" si="57"/>
        <v>15.381944444445253</v>
      </c>
      <c r="BA148" s="165">
        <v>45100.520833333336</v>
      </c>
      <c r="BB148" s="165">
        <v>45101.809027777781</v>
      </c>
      <c r="BC148" s="165">
        <v>45103.604166666664</v>
      </c>
      <c r="BD148" s="165">
        <v>45109.21875</v>
      </c>
      <c r="BE148" s="165">
        <v>45109.415277777778</v>
      </c>
      <c r="BF148" s="165">
        <v>45109.420138888891</v>
      </c>
      <c r="BG148" s="165">
        <v>45109.420138888891</v>
      </c>
      <c r="BH148" s="165">
        <f t="shared" ref="BH148:BH175" si="61">BG148+(41/24)</f>
        <v>45111.128472222226</v>
      </c>
      <c r="BI148" s="165">
        <v>45111.25</v>
      </c>
      <c r="BJ148" s="165">
        <v>45111.416666666664</v>
      </c>
      <c r="BK148" s="165">
        <v>45111.288194444445</v>
      </c>
      <c r="BL148" s="165">
        <v>45112.458333333336</v>
      </c>
      <c r="BM148" s="165">
        <v>45115.520833333336</v>
      </c>
      <c r="BN148" s="165">
        <v>45115.826388888891</v>
      </c>
      <c r="BO148" s="165">
        <v>45115.902777777781</v>
      </c>
      <c r="BP148" s="165">
        <v>45115.902777777781</v>
      </c>
      <c r="BQ148" s="165">
        <v>45115.902777777781</v>
      </c>
      <c r="BT148" s="136">
        <f t="shared" si="43"/>
        <v>43.083333333197515</v>
      </c>
      <c r="BU148" s="136">
        <f t="shared" si="44"/>
        <v>4.7166666666744277</v>
      </c>
      <c r="BV148" s="136">
        <f t="shared" si="45"/>
        <v>41.000000000058208</v>
      </c>
      <c r="BW148" s="136">
        <f t="shared" ref="BW148:BW191" si="62">(BL148-BJ148)*24</f>
        <v>25.000000000116415</v>
      </c>
      <c r="BX148" s="135">
        <f t="shared" si="46"/>
        <v>7.3333333333139308</v>
      </c>
      <c r="BY148" s="135">
        <f t="shared" si="47"/>
        <v>0</v>
      </c>
      <c r="BZ148" s="134">
        <f t="shared" si="48"/>
        <v>5.047222222223354</v>
      </c>
      <c r="CA148" s="134">
        <f t="shared" si="49"/>
        <v>15.381944444445253</v>
      </c>
      <c r="CB148" s="133">
        <f t="shared" si="50"/>
        <v>0.32812641083527078</v>
      </c>
    </row>
    <row r="149" spans="1:80" s="126" customFormat="1">
      <c r="A149" s="192">
        <f t="shared" si="52"/>
        <v>45109.21875</v>
      </c>
      <c r="B149" s="126" t="s">
        <v>228</v>
      </c>
      <c r="C149" s="126" t="s">
        <v>229</v>
      </c>
      <c r="D149" s="126" t="s">
        <v>197</v>
      </c>
      <c r="E149" s="65" t="s">
        <v>2088</v>
      </c>
      <c r="G149" s="165">
        <v>45123.583333333336</v>
      </c>
      <c r="H149" s="165">
        <v>45123.583333333336</v>
      </c>
      <c r="I149" s="126" t="s">
        <v>490</v>
      </c>
      <c r="J149" s="126" t="s">
        <v>192</v>
      </c>
      <c r="K149" s="126" t="s">
        <v>192</v>
      </c>
      <c r="L149" s="126" t="s">
        <v>2051</v>
      </c>
      <c r="M149" s="129"/>
      <c r="N149" s="126" t="s">
        <v>380</v>
      </c>
      <c r="O149" s="126" t="s">
        <v>381</v>
      </c>
      <c r="P149" s="126" t="s">
        <v>494</v>
      </c>
      <c r="Q149" s="181">
        <f>3271*2.4</f>
        <v>7850.4</v>
      </c>
      <c r="R149" s="181">
        <f>7900+100</f>
        <v>8000</v>
      </c>
      <c r="S149" s="181">
        <v>915.58100000000002</v>
      </c>
      <c r="T149" s="181"/>
      <c r="U149" s="181">
        <f t="shared" si="60"/>
        <v>915.58100000000002</v>
      </c>
      <c r="AX149" s="165">
        <f t="shared" si="55"/>
        <v>45100.520833333336</v>
      </c>
      <c r="AY149" s="165">
        <f t="shared" si="56"/>
        <v>45124.96875</v>
      </c>
      <c r="AZ149" s="137">
        <f t="shared" si="57"/>
        <v>24.447916666664241</v>
      </c>
      <c r="BA149" s="165">
        <v>45100.520833333336</v>
      </c>
      <c r="BB149" s="165">
        <v>45101.809027777781</v>
      </c>
      <c r="BC149" s="165">
        <v>45103.604166666664</v>
      </c>
      <c r="BD149" s="165">
        <v>45109.21875</v>
      </c>
      <c r="BE149" s="165">
        <v>45109.415277777778</v>
      </c>
      <c r="BF149" s="165">
        <v>45109.420138888891</v>
      </c>
      <c r="BG149" s="165">
        <v>45109.420138888891</v>
      </c>
      <c r="BH149" s="165">
        <f t="shared" si="61"/>
        <v>45111.128472222226</v>
      </c>
      <c r="BI149" s="165">
        <v>45111.25</v>
      </c>
      <c r="BJ149" s="165">
        <v>45111.416666666664</v>
      </c>
      <c r="BK149" s="165">
        <v>45111.288194444445</v>
      </c>
      <c r="BL149" s="165">
        <v>45115.902777777781</v>
      </c>
      <c r="BM149" s="165">
        <v>45124.375</v>
      </c>
      <c r="BN149" s="165">
        <v>45124.416666666664</v>
      </c>
      <c r="BO149" s="165">
        <v>45124.430555555555</v>
      </c>
      <c r="BP149" s="165">
        <v>45124.645833333336</v>
      </c>
      <c r="BQ149" s="165">
        <v>45124.96875</v>
      </c>
      <c r="BT149" s="136">
        <f t="shared" si="43"/>
        <v>43.083333333197515</v>
      </c>
      <c r="BU149" s="136">
        <f t="shared" si="44"/>
        <v>4.7166666666744277</v>
      </c>
      <c r="BV149" s="136">
        <f t="shared" si="45"/>
        <v>41.000000000058208</v>
      </c>
      <c r="BW149" s="136">
        <f t="shared" si="62"/>
        <v>107.66666666680248</v>
      </c>
      <c r="BX149" s="135">
        <f t="shared" si="46"/>
        <v>0.99999999994179234</v>
      </c>
      <c r="BY149" s="135">
        <f t="shared" si="47"/>
        <v>7.7499999999417923</v>
      </c>
      <c r="BZ149" s="134">
        <f t="shared" si="48"/>
        <v>8.5506944444423425</v>
      </c>
      <c r="CA149" s="134">
        <f t="shared" si="49"/>
        <v>24.447916666664241</v>
      </c>
      <c r="CB149" s="133">
        <f t="shared" si="50"/>
        <v>0.34975145575907385</v>
      </c>
    </row>
    <row r="150" spans="1:80" s="126" customFormat="1">
      <c r="A150" s="192">
        <f t="shared" si="52"/>
        <v>45113.944444444445</v>
      </c>
      <c r="B150" s="126" t="s">
        <v>228</v>
      </c>
      <c r="C150" s="126" t="s">
        <v>229</v>
      </c>
      <c r="D150" s="126" t="s">
        <v>197</v>
      </c>
      <c r="E150" s="65" t="s">
        <v>2088</v>
      </c>
      <c r="G150" s="165">
        <v>45123.583333333336</v>
      </c>
      <c r="H150" s="165">
        <v>45123.583333333336</v>
      </c>
      <c r="I150" s="126" t="s">
        <v>490</v>
      </c>
      <c r="J150" s="126" t="s">
        <v>192</v>
      </c>
      <c r="K150" s="126" t="s">
        <v>192</v>
      </c>
      <c r="L150" s="126" t="s">
        <v>2091</v>
      </c>
      <c r="M150" s="167"/>
      <c r="N150" s="126" t="s">
        <v>377</v>
      </c>
      <c r="O150" s="126" t="s">
        <v>378</v>
      </c>
      <c r="P150" s="126" t="s">
        <v>494</v>
      </c>
      <c r="Q150" s="181">
        <f>3271*2.4</f>
        <v>7850.4</v>
      </c>
      <c r="R150" s="181">
        <f>7900+100</f>
        <v>8000</v>
      </c>
      <c r="S150" s="181">
        <v>7851.5230000000001</v>
      </c>
      <c r="T150" s="181"/>
      <c r="U150" s="181">
        <f t="shared" si="60"/>
        <v>7851.5230000000001</v>
      </c>
      <c r="AX150" s="165">
        <f t="shared" si="55"/>
        <v>45104.722222222219</v>
      </c>
      <c r="AY150" s="165">
        <f t="shared" si="56"/>
        <v>45125.333333333336</v>
      </c>
      <c r="AZ150" s="137">
        <f t="shared" si="57"/>
        <v>20.61111111111677</v>
      </c>
      <c r="BA150" s="165">
        <v>45104.722222222219</v>
      </c>
      <c r="BB150" s="165">
        <v>45105.802083333336</v>
      </c>
      <c r="BC150" s="165">
        <v>45107.555555555555</v>
      </c>
      <c r="BD150" s="165">
        <v>45113.944444444445</v>
      </c>
      <c r="BE150" s="165">
        <v>45114.104166666664</v>
      </c>
      <c r="BF150" s="165">
        <v>45114.111111111109</v>
      </c>
      <c r="BG150" s="165">
        <v>45114.111111111109</v>
      </c>
      <c r="BH150" s="165">
        <f t="shared" si="61"/>
        <v>45115.819444444445</v>
      </c>
      <c r="BI150" s="165">
        <v>45116.25</v>
      </c>
      <c r="BJ150" s="165">
        <v>45116.416666666664</v>
      </c>
      <c r="BK150" s="165">
        <v>45116.291666666664</v>
      </c>
      <c r="BL150" s="165">
        <v>45120.722222222219</v>
      </c>
      <c r="BM150" s="165">
        <v>45124.493055555555</v>
      </c>
      <c r="BN150" s="165">
        <v>45124.857638888891</v>
      </c>
      <c r="BO150" s="165">
        <v>45124.885416666664</v>
      </c>
      <c r="BP150" s="165">
        <v>45125.055555555555</v>
      </c>
      <c r="BQ150" s="165">
        <v>45125.333333333336</v>
      </c>
      <c r="BR150" s="126" t="s">
        <v>2658</v>
      </c>
      <c r="BT150" s="136">
        <f t="shared" si="43"/>
        <v>42.083333333255723</v>
      </c>
      <c r="BU150" s="136">
        <f t="shared" si="44"/>
        <v>3.8333333332557231</v>
      </c>
      <c r="BV150" s="136">
        <f t="shared" si="45"/>
        <v>41.000000000058208</v>
      </c>
      <c r="BW150" s="136">
        <f t="shared" si="62"/>
        <v>103.33333333331393</v>
      </c>
      <c r="BX150" s="135">
        <f t="shared" si="46"/>
        <v>8.7500000000582077</v>
      </c>
      <c r="BY150" s="135">
        <f t="shared" si="47"/>
        <v>6.6666666667442769</v>
      </c>
      <c r="BZ150" s="134">
        <f t="shared" si="48"/>
        <v>8.5694444444452529</v>
      </c>
      <c r="CA150" s="134">
        <f t="shared" si="49"/>
        <v>20.61111111111677</v>
      </c>
      <c r="CB150" s="133">
        <f t="shared" si="50"/>
        <v>0.41576819407000593</v>
      </c>
    </row>
    <row r="151" spans="1:80" s="126" customFormat="1">
      <c r="A151" s="192">
        <f t="shared" si="52"/>
        <v>45115.315972222219</v>
      </c>
      <c r="B151" s="126" t="s">
        <v>228</v>
      </c>
      <c r="C151" s="126" t="s">
        <v>229</v>
      </c>
      <c r="D151" s="126" t="s">
        <v>197</v>
      </c>
      <c r="E151" s="65" t="s">
        <v>2088</v>
      </c>
      <c r="G151" s="315">
        <v>45123.583333333336</v>
      </c>
      <c r="H151" s="315">
        <v>45123.574999999997</v>
      </c>
      <c r="I151" s="126" t="s">
        <v>490</v>
      </c>
      <c r="J151" s="126" t="s">
        <v>192</v>
      </c>
      <c r="K151" s="126" t="s">
        <v>192</v>
      </c>
      <c r="L151" s="126" t="s">
        <v>2100</v>
      </c>
      <c r="M151" s="167"/>
      <c r="N151" s="126" t="s">
        <v>233</v>
      </c>
      <c r="O151" s="126" t="s">
        <v>234</v>
      </c>
      <c r="P151" s="126" t="s">
        <v>494</v>
      </c>
      <c r="Q151" s="181">
        <f>3215*2.4</f>
        <v>7716</v>
      </c>
      <c r="R151" s="181">
        <f>7750+100</f>
        <v>7850</v>
      </c>
      <c r="S151" s="181">
        <f>7754.512-2685.24</f>
        <v>5069.2719999999999</v>
      </c>
      <c r="T151" s="181"/>
      <c r="U151" s="181">
        <f t="shared" si="60"/>
        <v>5069.2719999999999</v>
      </c>
      <c r="AX151" s="165">
        <f t="shared" si="55"/>
        <v>45102.5625</v>
      </c>
      <c r="AY151" s="165">
        <f t="shared" si="56"/>
        <v>45126.791666666664</v>
      </c>
      <c r="AZ151" s="137">
        <f t="shared" si="57"/>
        <v>24.229166666664241</v>
      </c>
      <c r="BA151" s="165">
        <v>45102.5625</v>
      </c>
      <c r="BB151" s="165">
        <v>45107.8125</v>
      </c>
      <c r="BC151" s="165">
        <v>45109.708333333336</v>
      </c>
      <c r="BD151" s="165">
        <v>45115.315972222219</v>
      </c>
      <c r="BE151" s="165">
        <v>45115.472222222219</v>
      </c>
      <c r="BF151" s="165">
        <v>45115.479166666664</v>
      </c>
      <c r="BG151" s="165">
        <v>45115.479166666664</v>
      </c>
      <c r="BH151" s="165">
        <f t="shared" si="61"/>
        <v>45117.1875</v>
      </c>
      <c r="BI151" s="165">
        <v>45117.25</v>
      </c>
      <c r="BJ151" s="165">
        <v>45117.416666666664</v>
      </c>
      <c r="BK151" s="165">
        <v>45117.277777777781</v>
      </c>
      <c r="BL151" s="165">
        <v>45121.333333333336</v>
      </c>
      <c r="BM151" s="165">
        <v>45126.458333333336</v>
      </c>
      <c r="BN151" s="165">
        <v>45126.729166666664</v>
      </c>
      <c r="BO151" s="165">
        <v>45126.791666666664</v>
      </c>
      <c r="BP151" s="165">
        <v>45126.791666666664</v>
      </c>
      <c r="BQ151" s="165">
        <v>45126.791666666664</v>
      </c>
      <c r="BT151" s="136">
        <f t="shared" si="43"/>
        <v>45.500000000058208</v>
      </c>
      <c r="BU151" s="136">
        <f t="shared" si="44"/>
        <v>3.75</v>
      </c>
      <c r="BV151" s="136">
        <f t="shared" si="45"/>
        <v>41.000000000058208</v>
      </c>
      <c r="BW151" s="136">
        <f t="shared" si="62"/>
        <v>94.000000000116415</v>
      </c>
      <c r="BX151" s="135">
        <f t="shared" si="46"/>
        <v>6.4999999998835847</v>
      </c>
      <c r="BY151" s="135">
        <f t="shared" si="47"/>
        <v>0</v>
      </c>
      <c r="BZ151" s="134">
        <f t="shared" si="48"/>
        <v>7.9479166666715173</v>
      </c>
      <c r="CA151" s="134">
        <f t="shared" si="49"/>
        <v>24.229166666664241</v>
      </c>
      <c r="CB151" s="133">
        <f t="shared" si="50"/>
        <v>0.32803095442843594</v>
      </c>
    </row>
    <row r="152" spans="1:80" s="126" customFormat="1">
      <c r="A152" s="192">
        <f t="shared" si="52"/>
        <v>45115.315972222219</v>
      </c>
      <c r="B152" s="126" t="s">
        <v>228</v>
      </c>
      <c r="C152" s="126" t="s">
        <v>229</v>
      </c>
      <c r="D152" s="126" t="s">
        <v>197</v>
      </c>
      <c r="E152" s="65" t="s">
        <v>2120</v>
      </c>
      <c r="G152" s="315">
        <v>45123.75</v>
      </c>
      <c r="H152" s="315">
        <v>45123.729166666664</v>
      </c>
      <c r="I152" s="126" t="s">
        <v>490</v>
      </c>
      <c r="J152" s="126" t="s">
        <v>192</v>
      </c>
      <c r="K152" s="126" t="s">
        <v>192</v>
      </c>
      <c r="L152" s="126" t="s">
        <v>2100</v>
      </c>
      <c r="M152" s="167"/>
      <c r="N152" s="126" t="s">
        <v>233</v>
      </c>
      <c r="O152" s="126" t="s">
        <v>234</v>
      </c>
      <c r="P152" s="126" t="s">
        <v>494</v>
      </c>
      <c r="Q152" s="181">
        <f>3215*2.4</f>
        <v>7716</v>
      </c>
      <c r="R152" s="181">
        <f>7750+100</f>
        <v>7850</v>
      </c>
      <c r="S152" s="181">
        <v>2486.2399999999998</v>
      </c>
      <c r="T152" s="181"/>
      <c r="U152" s="181">
        <f t="shared" si="60"/>
        <v>2486.2399999999998</v>
      </c>
      <c r="AX152" s="165">
        <f t="shared" si="55"/>
        <v>45102.5625</v>
      </c>
      <c r="AY152" s="165">
        <f t="shared" si="56"/>
        <v>45127.583333333336</v>
      </c>
      <c r="AZ152" s="137">
        <f t="shared" si="57"/>
        <v>25.020833333335759</v>
      </c>
      <c r="BA152" s="165">
        <v>45102.5625</v>
      </c>
      <c r="BB152" s="165">
        <v>45107.8125</v>
      </c>
      <c r="BC152" s="165">
        <v>45109.708333333336</v>
      </c>
      <c r="BD152" s="165">
        <v>45115.315972222219</v>
      </c>
      <c r="BE152" s="165">
        <v>45115.472222222219</v>
      </c>
      <c r="BF152" s="165">
        <v>45115.479166666664</v>
      </c>
      <c r="BG152" s="165">
        <v>45115.479166666664</v>
      </c>
      <c r="BH152" s="165">
        <f t="shared" si="61"/>
        <v>45117.1875</v>
      </c>
      <c r="BI152" s="165">
        <v>45117.25</v>
      </c>
      <c r="BJ152" s="165">
        <v>45117.416666666664</v>
      </c>
      <c r="BK152" s="165">
        <v>45117.277777777781</v>
      </c>
      <c r="BL152" s="165">
        <v>45126.791666666664</v>
      </c>
      <c r="BM152" s="165">
        <v>45126.868055555555</v>
      </c>
      <c r="BN152" s="165">
        <v>45127.034722222219</v>
      </c>
      <c r="BO152" s="165">
        <v>45127.055555555555</v>
      </c>
      <c r="BP152" s="165">
        <v>45127.309027777781</v>
      </c>
      <c r="BQ152" s="165">
        <v>45127.583333333336</v>
      </c>
      <c r="BT152" s="136">
        <f t="shared" si="43"/>
        <v>45.500000000058208</v>
      </c>
      <c r="BU152" s="136">
        <f t="shared" si="44"/>
        <v>3.75</v>
      </c>
      <c r="BV152" s="136">
        <f t="shared" si="45"/>
        <v>41.000000000058208</v>
      </c>
      <c r="BW152" s="136">
        <f t="shared" si="62"/>
        <v>225</v>
      </c>
      <c r="BX152" s="135">
        <f t="shared" si="46"/>
        <v>3.9999999999417923</v>
      </c>
      <c r="BY152" s="135">
        <f t="shared" si="47"/>
        <v>6.5833333333139308</v>
      </c>
      <c r="BZ152" s="134">
        <f t="shared" si="48"/>
        <v>13.576388888890506</v>
      </c>
      <c r="CA152" s="134">
        <f t="shared" si="49"/>
        <v>25.020833333335759</v>
      </c>
      <c r="CB152" s="133">
        <f t="shared" si="50"/>
        <v>0.54260338606717828</v>
      </c>
    </row>
    <row r="153" spans="1:80" s="126" customFormat="1">
      <c r="A153" s="192">
        <f t="shared" si="52"/>
        <v>45114.135416666664</v>
      </c>
      <c r="B153" s="126" t="s">
        <v>228</v>
      </c>
      <c r="C153" s="126" t="s">
        <v>229</v>
      </c>
      <c r="D153" s="126" t="s">
        <v>197</v>
      </c>
      <c r="E153" s="65" t="s">
        <v>2088</v>
      </c>
      <c r="G153" s="315">
        <v>45123.583333333336</v>
      </c>
      <c r="H153" s="315">
        <v>45123.574999999997</v>
      </c>
      <c r="I153" s="126" t="s">
        <v>490</v>
      </c>
      <c r="J153" s="126" t="s">
        <v>192</v>
      </c>
      <c r="K153" s="126" t="s">
        <v>192</v>
      </c>
      <c r="L153" s="126" t="s">
        <v>2092</v>
      </c>
      <c r="M153" s="167"/>
      <c r="N153" s="126" t="s">
        <v>371</v>
      </c>
      <c r="O153" s="126" t="s">
        <v>372</v>
      </c>
      <c r="P153" s="126" t="s">
        <v>494</v>
      </c>
      <c r="Q153" s="181">
        <f>3117*2.4</f>
        <v>7480.7999999999993</v>
      </c>
      <c r="R153" s="181">
        <f>7500+100</f>
        <v>7600</v>
      </c>
      <c r="S153" s="181">
        <v>7526.8450000000003</v>
      </c>
      <c r="T153" s="181"/>
      <c r="U153" s="181">
        <f t="shared" si="60"/>
        <v>7526.8450000000003</v>
      </c>
      <c r="AX153" s="165">
        <f t="shared" si="55"/>
        <v>45105.648611111108</v>
      </c>
      <c r="AY153" s="165">
        <f t="shared" si="56"/>
        <v>45125.761805555558</v>
      </c>
      <c r="AZ153" s="137">
        <f t="shared" si="57"/>
        <v>20.113194444449618</v>
      </c>
      <c r="BA153" s="165">
        <v>45105.648611111108</v>
      </c>
      <c r="BB153" s="165">
        <v>45107.344444444447</v>
      </c>
      <c r="BC153" s="165">
        <v>45109.166666666664</v>
      </c>
      <c r="BD153" s="165">
        <v>45114.135416666664</v>
      </c>
      <c r="BE153" s="165">
        <v>45114.375</v>
      </c>
      <c r="BF153" s="165">
        <v>45114.375</v>
      </c>
      <c r="BG153" s="165">
        <v>45114.375</v>
      </c>
      <c r="BH153" s="165">
        <f t="shared" si="61"/>
        <v>45116.083333333336</v>
      </c>
      <c r="BI153" s="165">
        <v>45116.25</v>
      </c>
      <c r="BJ153" s="165">
        <v>45116.416666666664</v>
      </c>
      <c r="BK153" s="165">
        <v>45116.356944444444</v>
      </c>
      <c r="BL153" s="165">
        <v>45120.690972222219</v>
      </c>
      <c r="BM153" s="165">
        <v>45124.927083333336</v>
      </c>
      <c r="BN153" s="165">
        <v>45125.375</v>
      </c>
      <c r="BO153" s="165">
        <v>45125.395833333336</v>
      </c>
      <c r="BP153" s="165">
        <v>45125.395833333336</v>
      </c>
      <c r="BQ153" s="165">
        <v>45125.761805555558</v>
      </c>
      <c r="BT153" s="136">
        <f t="shared" si="43"/>
        <v>43.733333333220799</v>
      </c>
      <c r="BU153" s="136">
        <f t="shared" si="44"/>
        <v>5.7500000000582077</v>
      </c>
      <c r="BV153" s="136">
        <f t="shared" si="45"/>
        <v>41.000000000058208</v>
      </c>
      <c r="BW153" s="136">
        <f t="shared" si="62"/>
        <v>102.58333333331393</v>
      </c>
      <c r="BX153" s="135">
        <f t="shared" si="46"/>
        <v>10.749999999941792</v>
      </c>
      <c r="BY153" s="135">
        <f t="shared" si="47"/>
        <v>8.7833333333255723</v>
      </c>
      <c r="BZ153" s="134">
        <f t="shared" si="48"/>
        <v>8.8583333333299379</v>
      </c>
      <c r="CA153" s="134">
        <f t="shared" si="49"/>
        <v>20.113194444449618</v>
      </c>
      <c r="CB153" s="133">
        <f t="shared" si="50"/>
        <v>0.44042398922735315</v>
      </c>
    </row>
    <row r="154" spans="1:80" s="126" customFormat="1">
      <c r="A154" s="192">
        <f t="shared" si="52"/>
        <v>45115.501388888886</v>
      </c>
      <c r="B154" s="126" t="s">
        <v>228</v>
      </c>
      <c r="C154" s="126" t="s">
        <v>229</v>
      </c>
      <c r="D154" s="126" t="s">
        <v>215</v>
      </c>
      <c r="E154" s="65" t="s">
        <v>2088</v>
      </c>
      <c r="G154" s="315">
        <v>45123.583333333336</v>
      </c>
      <c r="H154" s="315">
        <v>45123.574999999997</v>
      </c>
      <c r="I154" s="126" t="s">
        <v>490</v>
      </c>
      <c r="J154" s="126" t="s">
        <v>192</v>
      </c>
      <c r="K154" s="126" t="s">
        <v>192</v>
      </c>
      <c r="L154" s="126" t="s">
        <v>2095</v>
      </c>
      <c r="M154" s="167"/>
      <c r="N154" s="126" t="s">
        <v>222</v>
      </c>
      <c r="O154" s="126" t="s">
        <v>223</v>
      </c>
      <c r="P154" s="126" t="s">
        <v>2096</v>
      </c>
      <c r="Q154" s="181">
        <f>3137*2.4</f>
        <v>7528.7999999999993</v>
      </c>
      <c r="R154" s="181">
        <f>7550+100</f>
        <v>7650</v>
      </c>
      <c r="S154" s="181">
        <v>7506.0780000000004</v>
      </c>
      <c r="T154" s="181"/>
      <c r="U154" s="181">
        <f>S154*0.2</f>
        <v>1501.2156000000002</v>
      </c>
      <c r="V154" s="181">
        <f>S154*0.8</f>
        <v>6004.8624000000009</v>
      </c>
      <c r="AX154" s="165">
        <f t="shared" si="55"/>
        <v>45103.416666666664</v>
      </c>
      <c r="AY154" s="165">
        <f t="shared" si="56"/>
        <v>45126.336805555555</v>
      </c>
      <c r="AZ154" s="137">
        <f t="shared" si="57"/>
        <v>22.920138888890506</v>
      </c>
      <c r="BA154" s="165">
        <v>45103.416666666664</v>
      </c>
      <c r="BB154" s="165">
        <v>45107.861111111109</v>
      </c>
      <c r="BC154" s="165">
        <v>45109.659722222219</v>
      </c>
      <c r="BD154" s="165">
        <v>45115.501388888886</v>
      </c>
      <c r="BE154" s="165">
        <v>45115.652777777781</v>
      </c>
      <c r="BF154" s="165">
        <v>45115.659722222219</v>
      </c>
      <c r="BG154" s="165">
        <v>45115.659722222219</v>
      </c>
      <c r="BH154" s="165">
        <f t="shared" si="61"/>
        <v>45117.368055555555</v>
      </c>
      <c r="BI154" s="165">
        <v>45117.25</v>
      </c>
      <c r="BJ154" s="165">
        <v>45117.416666666664</v>
      </c>
      <c r="BK154" s="165">
        <v>45117.368055555555</v>
      </c>
      <c r="BL154" s="165">
        <v>45121.34375</v>
      </c>
      <c r="BM154" s="165">
        <v>45125.444444444445</v>
      </c>
      <c r="BN154" s="165">
        <v>45125.875</v>
      </c>
      <c r="BO154" s="165">
        <v>45125.888888888891</v>
      </c>
      <c r="BP154" s="165">
        <v>45125.888888888891</v>
      </c>
      <c r="BQ154" s="165">
        <v>45126.336805555555</v>
      </c>
      <c r="BT154" s="136">
        <f t="shared" si="43"/>
        <v>43.166666666627862</v>
      </c>
      <c r="BU154" s="136">
        <f t="shared" si="44"/>
        <v>3.6333333334769122</v>
      </c>
      <c r="BV154" s="136">
        <f t="shared" si="45"/>
        <v>41.000000000058208</v>
      </c>
      <c r="BW154" s="136">
        <f t="shared" si="62"/>
        <v>94.250000000058208</v>
      </c>
      <c r="BX154" s="135">
        <f t="shared" si="46"/>
        <v>10.333333333313931</v>
      </c>
      <c r="BY154" s="135">
        <f t="shared" si="47"/>
        <v>10.749999999941792</v>
      </c>
      <c r="BZ154" s="134">
        <f t="shared" si="48"/>
        <v>8.4638888888948713</v>
      </c>
      <c r="CA154" s="134">
        <f t="shared" si="49"/>
        <v>22.920138888890506</v>
      </c>
      <c r="CB154" s="133">
        <f t="shared" si="50"/>
        <v>0.36927738221505091</v>
      </c>
    </row>
    <row r="155" spans="1:80" s="126" customFormat="1">
      <c r="A155" s="192">
        <f t="shared" si="52"/>
        <v>45115.128472222219</v>
      </c>
      <c r="B155" s="126" t="s">
        <v>228</v>
      </c>
      <c r="C155" s="126" t="s">
        <v>229</v>
      </c>
      <c r="D155" s="126" t="s">
        <v>197</v>
      </c>
      <c r="E155" s="65" t="s">
        <v>2088</v>
      </c>
      <c r="G155" s="315">
        <v>45123.583333333336</v>
      </c>
      <c r="H155" s="315">
        <v>45123.574999999997</v>
      </c>
      <c r="I155" s="126" t="s">
        <v>490</v>
      </c>
      <c r="J155" s="126" t="s">
        <v>192</v>
      </c>
      <c r="K155" s="126" t="s">
        <v>192</v>
      </c>
      <c r="L155" s="126" t="s">
        <v>2098</v>
      </c>
      <c r="M155" s="167"/>
      <c r="N155" s="126" t="s">
        <v>1848</v>
      </c>
      <c r="O155" s="126" t="s">
        <v>350</v>
      </c>
      <c r="P155" s="126" t="s">
        <v>494</v>
      </c>
      <c r="Q155" s="181">
        <f>3077*2.4</f>
        <v>7384.7999999999993</v>
      </c>
      <c r="R155" s="181">
        <f>7400+100</f>
        <v>7500</v>
      </c>
      <c r="S155" s="181">
        <v>7482.4920000000002</v>
      </c>
      <c r="T155" s="181"/>
      <c r="U155" s="181">
        <f t="shared" ref="U155:U175" si="63">S155</f>
        <v>7482.4920000000002</v>
      </c>
      <c r="AX155" s="165">
        <f t="shared" si="55"/>
        <v>45106.541666666664</v>
      </c>
      <c r="AY155" s="165">
        <f t="shared" si="56"/>
        <v>45126.958333333336</v>
      </c>
      <c r="AZ155" s="137">
        <f t="shared" si="57"/>
        <v>20.416666666671517</v>
      </c>
      <c r="BA155" s="165">
        <v>45106.541666666664</v>
      </c>
      <c r="BB155" s="165">
        <v>45107.822916666664</v>
      </c>
      <c r="BC155" s="165">
        <v>45109.670138888891</v>
      </c>
      <c r="BD155" s="165">
        <v>45115.128472222219</v>
      </c>
      <c r="BE155" s="165">
        <v>45115.260416666664</v>
      </c>
      <c r="BF155" s="165">
        <v>45115.267361111109</v>
      </c>
      <c r="BG155" s="165">
        <v>45115.267361111109</v>
      </c>
      <c r="BH155" s="165">
        <f t="shared" si="61"/>
        <v>45116.975694444445</v>
      </c>
      <c r="BI155" s="165">
        <v>45117.25</v>
      </c>
      <c r="BJ155" s="165">
        <v>45117.416666666664</v>
      </c>
      <c r="BK155" s="165">
        <v>45117.315972222219</v>
      </c>
      <c r="BL155" s="165">
        <v>45120.840277777781</v>
      </c>
      <c r="BM155" s="165">
        <v>45125.944444444445</v>
      </c>
      <c r="BN155" s="165">
        <v>45126.395833333336</v>
      </c>
      <c r="BO155" s="165">
        <v>45126.402777777781</v>
      </c>
      <c r="BP155" s="165">
        <v>45126.722222222219</v>
      </c>
      <c r="BQ155" s="165">
        <v>45126.958333333336</v>
      </c>
      <c r="BT155" s="136">
        <f t="shared" si="43"/>
        <v>44.333333333430346</v>
      </c>
      <c r="BU155" s="136">
        <f t="shared" si="44"/>
        <v>3.1666666666860692</v>
      </c>
      <c r="BV155" s="136">
        <f t="shared" si="45"/>
        <v>41.000000000058208</v>
      </c>
      <c r="BW155" s="136">
        <f t="shared" si="62"/>
        <v>82.166666666802485</v>
      </c>
      <c r="BX155" s="135">
        <f t="shared" si="46"/>
        <v>10.833333333372138</v>
      </c>
      <c r="BY155" s="135">
        <f t="shared" si="47"/>
        <v>5.6666666668024845</v>
      </c>
      <c r="BZ155" s="134">
        <f t="shared" si="48"/>
        <v>7.7986111111313221</v>
      </c>
      <c r="CA155" s="134">
        <f t="shared" si="49"/>
        <v>20.416666666671517</v>
      </c>
      <c r="CB155" s="133">
        <f t="shared" si="50"/>
        <v>0.38197278911654542</v>
      </c>
    </row>
    <row r="156" spans="1:80" s="126" customFormat="1">
      <c r="A156" s="192">
        <f t="shared" si="52"/>
        <v>45116.152777777781</v>
      </c>
      <c r="B156" s="126" t="s">
        <v>228</v>
      </c>
      <c r="C156" s="126" t="s">
        <v>229</v>
      </c>
      <c r="D156" s="126" t="s">
        <v>197</v>
      </c>
      <c r="E156" s="65" t="s">
        <v>2071</v>
      </c>
      <c r="G156" s="315">
        <v>45122.333333333336</v>
      </c>
      <c r="H156" s="315">
        <v>45122.338194444441</v>
      </c>
      <c r="I156" s="126" t="s">
        <v>490</v>
      </c>
      <c r="J156" s="126" t="s">
        <v>192</v>
      </c>
      <c r="K156" s="126" t="s">
        <v>192</v>
      </c>
      <c r="L156" s="126" t="s">
        <v>2076</v>
      </c>
      <c r="M156" s="167"/>
      <c r="N156" s="126" t="s">
        <v>406</v>
      </c>
      <c r="O156" s="126" t="s">
        <v>407</v>
      </c>
      <c r="P156" s="126" t="s">
        <v>494</v>
      </c>
      <c r="Q156" s="181">
        <f>3107*2.4</f>
        <v>7456.7999999999993</v>
      </c>
      <c r="R156" s="181">
        <f>7500+100</f>
        <v>7600</v>
      </c>
      <c r="S156" s="181">
        <v>7552.473</v>
      </c>
      <c r="T156" s="181"/>
      <c r="U156" s="181">
        <f t="shared" si="63"/>
        <v>7552.473</v>
      </c>
      <c r="AX156" s="165">
        <f t="shared" si="55"/>
        <v>45110.642361111109</v>
      </c>
      <c r="AY156" s="165">
        <f t="shared" si="56"/>
        <v>45123.28125</v>
      </c>
      <c r="AZ156" s="137">
        <f t="shared" si="57"/>
        <v>12.638888888890506</v>
      </c>
      <c r="BA156" s="165">
        <v>45110.642361111109</v>
      </c>
      <c r="BB156" s="165">
        <v>45111.822916666664</v>
      </c>
      <c r="BC156" s="165">
        <v>45114.159722222219</v>
      </c>
      <c r="BD156" s="165">
        <v>45116.152777777781</v>
      </c>
      <c r="BE156" s="165">
        <v>45116.395833333336</v>
      </c>
      <c r="BF156" s="165">
        <v>45116.402777777781</v>
      </c>
      <c r="BG156" s="165">
        <v>45116.402777777781</v>
      </c>
      <c r="BH156" s="165">
        <f t="shared" si="61"/>
        <v>45118.111111111117</v>
      </c>
      <c r="BI156" s="165">
        <v>45118.25</v>
      </c>
      <c r="BJ156" s="165">
        <v>45118.416666666664</v>
      </c>
      <c r="BK156" s="165">
        <v>45118.34375</v>
      </c>
      <c r="BL156" s="165">
        <v>45120.354166666664</v>
      </c>
      <c r="BM156" s="165">
        <v>45122.572916666664</v>
      </c>
      <c r="BN156" s="165">
        <v>45122.822916666664</v>
      </c>
      <c r="BO156" s="165">
        <v>45122.84375</v>
      </c>
      <c r="BP156" s="165">
        <v>45123.006944444445</v>
      </c>
      <c r="BQ156" s="165">
        <v>45123.28125</v>
      </c>
      <c r="BT156" s="136">
        <f t="shared" si="43"/>
        <v>56.083333333313931</v>
      </c>
      <c r="BU156" s="136">
        <f t="shared" si="44"/>
        <v>5.8333333333139308</v>
      </c>
      <c r="BV156" s="136">
        <f t="shared" si="45"/>
        <v>41.000000000058208</v>
      </c>
      <c r="BW156" s="136">
        <f t="shared" si="62"/>
        <v>46.5</v>
      </c>
      <c r="BX156" s="135">
        <f t="shared" si="46"/>
        <v>6</v>
      </c>
      <c r="BY156" s="135">
        <f t="shared" si="47"/>
        <v>6.5833333333139308</v>
      </c>
      <c r="BZ156" s="134">
        <f t="shared" si="48"/>
        <v>6.75</v>
      </c>
      <c r="CA156" s="134">
        <f t="shared" si="49"/>
        <v>12.638888888890506</v>
      </c>
      <c r="CB156" s="133">
        <f t="shared" si="50"/>
        <v>0.53406593406586578</v>
      </c>
    </row>
    <row r="157" spans="1:80" s="126" customFormat="1">
      <c r="A157" s="192">
        <f t="shared" si="52"/>
        <v>45116.572916666664</v>
      </c>
      <c r="B157" s="126" t="s">
        <v>228</v>
      </c>
      <c r="C157" s="126" t="s">
        <v>229</v>
      </c>
      <c r="D157" s="126" t="s">
        <v>215</v>
      </c>
      <c r="E157" s="65" t="s">
        <v>2071</v>
      </c>
      <c r="G157" s="315">
        <v>45122.333333333336</v>
      </c>
      <c r="H157" s="315">
        <v>45122.338194444441</v>
      </c>
      <c r="I157" s="126" t="s">
        <v>490</v>
      </c>
      <c r="J157" s="126" t="s">
        <v>192</v>
      </c>
      <c r="K157" s="126" t="s">
        <v>192</v>
      </c>
      <c r="L157" s="126" t="s">
        <v>2081</v>
      </c>
      <c r="M157" s="167"/>
      <c r="N157" s="126" t="s">
        <v>403</v>
      </c>
      <c r="O157" s="126" t="s">
        <v>404</v>
      </c>
      <c r="P157" s="126" t="s">
        <v>494</v>
      </c>
      <c r="Q157" s="181">
        <f>3107*2.4</f>
        <v>7456.7999999999993</v>
      </c>
      <c r="R157" s="181">
        <f>7500+100</f>
        <v>7600</v>
      </c>
      <c r="S157" s="181">
        <f>7441.456-1944.184</f>
        <v>5497.2719999999999</v>
      </c>
      <c r="T157" s="181"/>
      <c r="U157" s="181">
        <f t="shared" si="63"/>
        <v>5497.2719999999999</v>
      </c>
      <c r="AX157" s="165">
        <f t="shared" si="55"/>
        <v>45106.461805555555</v>
      </c>
      <c r="AY157" s="165">
        <f t="shared" si="56"/>
        <v>45124.225694444445</v>
      </c>
      <c r="AZ157" s="137">
        <f t="shared" si="57"/>
        <v>17.763888888890506</v>
      </c>
      <c r="BA157" s="165">
        <v>45106.461805555555</v>
      </c>
      <c r="BB157" s="165">
        <v>45112.524305555555</v>
      </c>
      <c r="BC157" s="165">
        <v>45114.444444444445</v>
      </c>
      <c r="BD157" s="165">
        <v>45116.572916666664</v>
      </c>
      <c r="BE157" s="165">
        <v>45116.697916666664</v>
      </c>
      <c r="BF157" s="165">
        <v>45116.673611111109</v>
      </c>
      <c r="BG157" s="165">
        <v>45116.673611111109</v>
      </c>
      <c r="BH157" s="165">
        <f t="shared" si="61"/>
        <v>45118.381944444445</v>
      </c>
      <c r="BI157" s="165">
        <v>45118.25</v>
      </c>
      <c r="BJ157" s="165">
        <v>45118.416666666664</v>
      </c>
      <c r="BK157" s="165">
        <v>45118.333333333336</v>
      </c>
      <c r="BL157" s="165">
        <v>45120.577777777777</v>
      </c>
      <c r="BM157" s="165">
        <v>45123.979166666664</v>
      </c>
      <c r="BN157" s="165">
        <v>45124.15625</v>
      </c>
      <c r="BO157" s="165">
        <v>45124.225694444445</v>
      </c>
      <c r="BP157" s="165">
        <v>45124.225694444445</v>
      </c>
      <c r="BQ157" s="165">
        <v>45124.225694444445</v>
      </c>
      <c r="BT157" s="136">
        <f t="shared" si="43"/>
        <v>46.083333333372138</v>
      </c>
      <c r="BU157" s="136">
        <f t="shared" si="44"/>
        <v>3</v>
      </c>
      <c r="BV157" s="136">
        <f t="shared" si="45"/>
        <v>41.000000000058208</v>
      </c>
      <c r="BW157" s="136">
        <f t="shared" si="62"/>
        <v>51.866666666697711</v>
      </c>
      <c r="BX157" s="135">
        <f t="shared" si="46"/>
        <v>4.2500000000582077</v>
      </c>
      <c r="BY157" s="135">
        <f t="shared" si="47"/>
        <v>0</v>
      </c>
      <c r="BZ157" s="134">
        <f t="shared" si="48"/>
        <v>6.0916666666744277</v>
      </c>
      <c r="CA157" s="134">
        <f t="shared" si="49"/>
        <v>17.763888888890506</v>
      </c>
      <c r="CB157" s="133">
        <f t="shared" si="50"/>
        <v>0.34292415950001476</v>
      </c>
    </row>
    <row r="158" spans="1:80" s="126" customFormat="1">
      <c r="A158" s="192">
        <f t="shared" si="52"/>
        <v>45116.572916666664</v>
      </c>
      <c r="B158" s="126" t="s">
        <v>228</v>
      </c>
      <c r="C158" s="126" t="s">
        <v>229</v>
      </c>
      <c r="D158" s="126" t="s">
        <v>215</v>
      </c>
      <c r="E158" s="65" t="s">
        <v>2120</v>
      </c>
      <c r="G158" s="315">
        <v>45123.75</v>
      </c>
      <c r="H158" s="315">
        <v>45123.729166666664</v>
      </c>
      <c r="I158" s="126" t="s">
        <v>490</v>
      </c>
      <c r="J158" s="126" t="s">
        <v>192</v>
      </c>
      <c r="K158" s="126" t="s">
        <v>192</v>
      </c>
      <c r="L158" s="126" t="s">
        <v>2081</v>
      </c>
      <c r="M158" s="167"/>
      <c r="N158" s="126" t="s">
        <v>403</v>
      </c>
      <c r="O158" s="126" t="s">
        <v>404</v>
      </c>
      <c r="P158" s="126" t="s">
        <v>494</v>
      </c>
      <c r="Q158" s="181">
        <f>3107*2.4</f>
        <v>7456.7999999999993</v>
      </c>
      <c r="R158" s="181">
        <f>7500+100</f>
        <v>7600</v>
      </c>
      <c r="S158" s="181">
        <v>1800.181</v>
      </c>
      <c r="T158" s="181"/>
      <c r="U158" s="181">
        <f t="shared" si="63"/>
        <v>1800.181</v>
      </c>
      <c r="AX158" s="165">
        <f t="shared" si="55"/>
        <v>45106.461805555555</v>
      </c>
      <c r="AY158" s="165">
        <f t="shared" si="56"/>
        <v>45125.888888888891</v>
      </c>
      <c r="AZ158" s="137">
        <f t="shared" si="57"/>
        <v>19.427083333335759</v>
      </c>
      <c r="BA158" s="165">
        <v>45106.461805555555</v>
      </c>
      <c r="BB158" s="165">
        <v>45112.524305555555</v>
      </c>
      <c r="BC158" s="165">
        <v>45114.444444444445</v>
      </c>
      <c r="BD158" s="165">
        <v>45116.572916666664</v>
      </c>
      <c r="BE158" s="165">
        <v>45116.697916666664</v>
      </c>
      <c r="BF158" s="165">
        <v>45116.673611111109</v>
      </c>
      <c r="BG158" s="165">
        <v>45116.673611111109</v>
      </c>
      <c r="BH158" s="165">
        <f t="shared" si="61"/>
        <v>45118.381944444445</v>
      </c>
      <c r="BI158" s="165">
        <v>45118.25</v>
      </c>
      <c r="BJ158" s="165">
        <v>45118.416666666664</v>
      </c>
      <c r="BK158" s="165">
        <v>45118.333333333336</v>
      </c>
      <c r="BL158" s="165">
        <v>45124.225694444445</v>
      </c>
      <c r="BM158" s="196">
        <v>45125.444444444445</v>
      </c>
      <c r="BN158" s="196">
        <v>45125.472222222219</v>
      </c>
      <c r="BO158" s="196">
        <v>45125.493055555555</v>
      </c>
      <c r="BP158" s="165">
        <v>45125.666666666664</v>
      </c>
      <c r="BQ158" s="165">
        <v>45125.888888888891</v>
      </c>
      <c r="BT158" s="136">
        <f t="shared" si="43"/>
        <v>46.083333333372138</v>
      </c>
      <c r="BU158" s="136">
        <f t="shared" si="44"/>
        <v>3</v>
      </c>
      <c r="BV158" s="136">
        <f t="shared" si="45"/>
        <v>41.000000000058208</v>
      </c>
      <c r="BW158" s="136">
        <f t="shared" si="62"/>
        <v>139.41666666674428</v>
      </c>
      <c r="BX158" s="135">
        <f t="shared" si="46"/>
        <v>0.6666666665696539</v>
      </c>
      <c r="BY158" s="135">
        <f t="shared" si="47"/>
        <v>5.3333333334303461</v>
      </c>
      <c r="BZ158" s="134">
        <f t="shared" si="48"/>
        <v>9.812500000007276</v>
      </c>
      <c r="CA158" s="134">
        <f t="shared" si="49"/>
        <v>19.427083333335759</v>
      </c>
      <c r="CB158" s="133">
        <f t="shared" si="50"/>
        <v>0.50509383378047235</v>
      </c>
    </row>
    <row r="159" spans="1:80" s="126" customFormat="1">
      <c r="A159" s="192">
        <f t="shared" si="52"/>
        <v>45116.746527777781</v>
      </c>
      <c r="B159" s="126" t="s">
        <v>228</v>
      </c>
      <c r="C159" s="126" t="s">
        <v>229</v>
      </c>
      <c r="D159" s="126" t="s">
        <v>197</v>
      </c>
      <c r="E159" s="65" t="s">
        <v>2071</v>
      </c>
      <c r="G159" s="315">
        <v>45122.333333333336</v>
      </c>
      <c r="H159" s="315">
        <v>45122.338194444441</v>
      </c>
      <c r="I159" s="126" t="s">
        <v>490</v>
      </c>
      <c r="J159" s="126" t="s">
        <v>192</v>
      </c>
      <c r="K159" s="126" t="s">
        <v>192</v>
      </c>
      <c r="L159" s="126" t="s">
        <v>2079</v>
      </c>
      <c r="M159" s="167"/>
      <c r="N159" s="126" t="s">
        <v>284</v>
      </c>
      <c r="O159" s="126" t="s">
        <v>285</v>
      </c>
      <c r="P159" s="126" t="s">
        <v>494</v>
      </c>
      <c r="Q159" s="181">
        <f>3852*2.4</f>
        <v>9244.7999999999993</v>
      </c>
      <c r="R159" s="181">
        <f>9250+100</f>
        <v>9350</v>
      </c>
      <c r="S159" s="181">
        <v>9135.482</v>
      </c>
      <c r="T159" s="181"/>
      <c r="U159" s="181">
        <f t="shared" si="63"/>
        <v>9135.482</v>
      </c>
      <c r="AX159" s="165">
        <f t="shared" si="55"/>
        <v>45111.152777777781</v>
      </c>
      <c r="AY159" s="165">
        <f t="shared" si="56"/>
        <v>45124.118055555555</v>
      </c>
      <c r="AZ159" s="137">
        <f t="shared" si="57"/>
        <v>12.965277777773736</v>
      </c>
      <c r="BA159" s="165">
        <v>45111.152777777781</v>
      </c>
      <c r="BB159" s="165">
        <v>45114.569444444445</v>
      </c>
      <c r="BC159" s="165">
        <v>45116.145833333336</v>
      </c>
      <c r="BD159" s="165">
        <v>45116.746527777781</v>
      </c>
      <c r="BE159" s="165">
        <v>45117</v>
      </c>
      <c r="BF159" s="165">
        <v>45117.006944444445</v>
      </c>
      <c r="BG159" s="165">
        <v>45117.006944444445</v>
      </c>
      <c r="BH159" s="165">
        <f t="shared" si="61"/>
        <v>45118.715277777781</v>
      </c>
      <c r="BI159" s="165">
        <v>45119.291666666664</v>
      </c>
      <c r="BJ159" s="165">
        <v>45119.458333333328</v>
      </c>
      <c r="BK159" s="165">
        <v>45119.378472222219</v>
      </c>
      <c r="BL159" s="165">
        <v>45121.569444444445</v>
      </c>
      <c r="BM159" s="165">
        <v>45123.434027777781</v>
      </c>
      <c r="BN159" s="165">
        <v>45123.673611111109</v>
      </c>
      <c r="BO159" s="165">
        <v>45123.694444444445</v>
      </c>
      <c r="BP159" s="165">
        <v>45123.694444444445</v>
      </c>
      <c r="BQ159" s="165">
        <v>45124.118055555555</v>
      </c>
      <c r="BT159" s="136">
        <f t="shared" si="43"/>
        <v>37.833333333372138</v>
      </c>
      <c r="BU159" s="136">
        <f t="shared" si="44"/>
        <v>6.0833333332557231</v>
      </c>
      <c r="BV159" s="136">
        <f t="shared" si="45"/>
        <v>41.000000000058208</v>
      </c>
      <c r="BW159" s="136">
        <f t="shared" si="62"/>
        <v>50.666666666802485</v>
      </c>
      <c r="BX159" s="135">
        <f t="shared" si="46"/>
        <v>5.7499999998835847</v>
      </c>
      <c r="BY159" s="135">
        <f t="shared" si="47"/>
        <v>10.166666666627862</v>
      </c>
      <c r="BZ159" s="134">
        <f t="shared" si="48"/>
        <v>6.3125</v>
      </c>
      <c r="CA159" s="134">
        <f t="shared" si="49"/>
        <v>12.965277777773736</v>
      </c>
      <c r="CB159" s="133">
        <f t="shared" si="50"/>
        <v>0.48687734333169974</v>
      </c>
    </row>
    <row r="160" spans="1:80" s="126" customFormat="1">
      <c r="A160" s="192">
        <f t="shared" si="52"/>
        <v>45117.322916666664</v>
      </c>
      <c r="B160" s="126" t="s">
        <v>228</v>
      </c>
      <c r="C160" s="126" t="s">
        <v>229</v>
      </c>
      <c r="D160" s="126" t="s">
        <v>197</v>
      </c>
      <c r="E160" s="65" t="s">
        <v>2071</v>
      </c>
      <c r="G160" s="315">
        <v>45122.333333333336</v>
      </c>
      <c r="H160" s="315">
        <v>45122.338194444441</v>
      </c>
      <c r="I160" s="126" t="s">
        <v>490</v>
      </c>
      <c r="J160" s="126" t="s">
        <v>192</v>
      </c>
      <c r="K160" s="126" t="s">
        <v>192</v>
      </c>
      <c r="L160" s="126" t="s">
        <v>2077</v>
      </c>
      <c r="M160" s="167"/>
      <c r="N160" s="126" t="s">
        <v>437</v>
      </c>
      <c r="O160" s="126" t="s">
        <v>320</v>
      </c>
      <c r="P160" s="126" t="s">
        <v>494</v>
      </c>
      <c r="Q160" s="181">
        <f>3136*2.4</f>
        <v>7526.4</v>
      </c>
      <c r="R160" s="181">
        <f>7550+100</f>
        <v>7650</v>
      </c>
      <c r="S160" s="181">
        <v>7443.2290000000003</v>
      </c>
      <c r="T160" s="181"/>
      <c r="U160" s="181">
        <f t="shared" si="63"/>
        <v>7443.2290000000003</v>
      </c>
      <c r="AX160" s="165">
        <f t="shared" si="55"/>
        <v>45110.302083333336</v>
      </c>
      <c r="AY160" s="165">
        <f t="shared" si="56"/>
        <v>45123.395833333336</v>
      </c>
      <c r="AZ160" s="137">
        <f t="shared" si="57"/>
        <v>13.09375</v>
      </c>
      <c r="BA160" s="165">
        <v>45110.302083333336</v>
      </c>
      <c r="BB160" s="165">
        <v>45114.579861111109</v>
      </c>
      <c r="BC160" s="165">
        <v>45116.159722222219</v>
      </c>
      <c r="BD160" s="165">
        <v>45117.322916666664</v>
      </c>
      <c r="BE160" s="165">
        <v>45117.505555555559</v>
      </c>
      <c r="BF160" s="165">
        <v>45117.510416666664</v>
      </c>
      <c r="BG160" s="165">
        <v>45117.510416666664</v>
      </c>
      <c r="BH160" s="165">
        <f t="shared" si="61"/>
        <v>45119.21875</v>
      </c>
      <c r="BI160" s="165">
        <v>45119.291666666664</v>
      </c>
      <c r="BJ160" s="165">
        <v>45119.458333333328</v>
      </c>
      <c r="BK160" s="165">
        <v>45119.34375</v>
      </c>
      <c r="BL160" s="165">
        <v>45120.458333333336</v>
      </c>
      <c r="BM160" s="165">
        <v>45122.885416666664</v>
      </c>
      <c r="BN160" s="165">
        <v>45123.090277777781</v>
      </c>
      <c r="BO160" s="165">
        <v>45123.111111111109</v>
      </c>
      <c r="BP160" s="165">
        <v>45123.111111111109</v>
      </c>
      <c r="BQ160" s="165">
        <v>45123.395833333336</v>
      </c>
      <c r="BT160" s="136">
        <f t="shared" si="43"/>
        <v>37.916666666627862</v>
      </c>
      <c r="BU160" s="136">
        <f t="shared" si="44"/>
        <v>4.3833333334769122</v>
      </c>
      <c r="BV160" s="136">
        <f t="shared" si="45"/>
        <v>41.000000000058208</v>
      </c>
      <c r="BW160" s="136">
        <f t="shared" si="62"/>
        <v>24.000000000174623</v>
      </c>
      <c r="BX160" s="135">
        <f t="shared" si="46"/>
        <v>4.9166666668024845</v>
      </c>
      <c r="BY160" s="135">
        <f t="shared" si="47"/>
        <v>6.8333333334303461</v>
      </c>
      <c r="BZ160" s="134">
        <f t="shared" si="48"/>
        <v>4.9604166666904348</v>
      </c>
      <c r="CA160" s="134">
        <f t="shared" si="49"/>
        <v>13.09375</v>
      </c>
      <c r="CB160" s="133">
        <f t="shared" si="50"/>
        <v>0.37883850437731242</v>
      </c>
    </row>
    <row r="161" spans="1:80" s="126" customFormat="1">
      <c r="A161" s="192">
        <f t="shared" si="52"/>
        <v>45117.527777777781</v>
      </c>
      <c r="B161" s="126" t="s">
        <v>228</v>
      </c>
      <c r="C161" s="126" t="s">
        <v>229</v>
      </c>
      <c r="D161" s="126" t="s">
        <v>215</v>
      </c>
      <c r="E161" s="65" t="s">
        <v>2071</v>
      </c>
      <c r="G161" s="315">
        <v>45122.333333333336</v>
      </c>
      <c r="H161" s="315">
        <v>45122.338194444441</v>
      </c>
      <c r="I161" s="126" t="s">
        <v>490</v>
      </c>
      <c r="J161" s="126" t="s">
        <v>192</v>
      </c>
      <c r="K161" s="126" t="s">
        <v>192</v>
      </c>
      <c r="L161" s="126" t="s">
        <v>2078</v>
      </c>
      <c r="M161" s="167"/>
      <c r="N161" s="126" t="s">
        <v>274</v>
      </c>
      <c r="O161" s="126" t="s">
        <v>1093</v>
      </c>
      <c r="P161" s="126" t="s">
        <v>494</v>
      </c>
      <c r="Q161" s="181">
        <f>3136*2.4</f>
        <v>7526.4</v>
      </c>
      <c r="R161" s="181">
        <f>7550+100</f>
        <v>7650</v>
      </c>
      <c r="S161" s="181">
        <f>7472.804</f>
        <v>7472.8040000000001</v>
      </c>
      <c r="T161" s="181"/>
      <c r="U161" s="181">
        <f t="shared" si="63"/>
        <v>7472.8040000000001</v>
      </c>
      <c r="AX161" s="165">
        <f t="shared" si="55"/>
        <v>45111.073611111111</v>
      </c>
      <c r="AY161" s="165">
        <f t="shared" si="56"/>
        <v>45123.881944444445</v>
      </c>
      <c r="AZ161" s="137">
        <f t="shared" si="57"/>
        <v>12.808333333334303</v>
      </c>
      <c r="BA161" s="165">
        <v>45111.073611111111</v>
      </c>
      <c r="BB161" s="165">
        <v>45114.597222222219</v>
      </c>
      <c r="BC161" s="165">
        <v>45116.302083333336</v>
      </c>
      <c r="BD161" s="165">
        <v>45117.527777777781</v>
      </c>
      <c r="BE161" s="165">
        <v>45117.711805555555</v>
      </c>
      <c r="BF161" s="165">
        <v>45117.71875</v>
      </c>
      <c r="BG161" s="165">
        <v>45117.71875</v>
      </c>
      <c r="BH161" s="165">
        <f t="shared" si="61"/>
        <v>45119.427083333336</v>
      </c>
      <c r="BI161" s="165">
        <v>45119.291666666664</v>
      </c>
      <c r="BJ161" s="165">
        <v>45119.458333333328</v>
      </c>
      <c r="BK161" s="165">
        <v>45119.347222222219</v>
      </c>
      <c r="BL161" s="165">
        <v>45120.5</v>
      </c>
      <c r="BM161" s="165">
        <v>45123.152777777781</v>
      </c>
      <c r="BN161" s="165">
        <v>45123.371527777781</v>
      </c>
      <c r="BO161" s="165">
        <v>45123.392361111109</v>
      </c>
      <c r="BP161" s="165">
        <v>45123.59375</v>
      </c>
      <c r="BQ161" s="165">
        <v>45123.881944444445</v>
      </c>
      <c r="BT161" s="136">
        <f t="shared" si="43"/>
        <v>40.916666666802485</v>
      </c>
      <c r="BU161" s="136">
        <f t="shared" si="44"/>
        <v>4.4166666665696539</v>
      </c>
      <c r="BV161" s="136">
        <f t="shared" si="45"/>
        <v>41.000000000058208</v>
      </c>
      <c r="BW161" s="136">
        <f t="shared" si="62"/>
        <v>25.000000000116415</v>
      </c>
      <c r="BX161" s="135">
        <f t="shared" si="46"/>
        <v>5.25</v>
      </c>
      <c r="BY161" s="135">
        <f t="shared" si="47"/>
        <v>6.9166666666860692</v>
      </c>
      <c r="BZ161" s="134">
        <f t="shared" si="48"/>
        <v>5.1458333333430346</v>
      </c>
      <c r="CA161" s="134">
        <f t="shared" si="49"/>
        <v>12.808333333334303</v>
      </c>
      <c r="CB161" s="133">
        <f t="shared" si="50"/>
        <v>0.4017566688361206</v>
      </c>
    </row>
    <row r="162" spans="1:80" s="126" customFormat="1">
      <c r="A162" s="192">
        <f t="shared" si="52"/>
        <v>45117.739583333336</v>
      </c>
      <c r="B162" s="126" t="s">
        <v>228</v>
      </c>
      <c r="C162" s="126" t="s">
        <v>229</v>
      </c>
      <c r="D162" s="126" t="s">
        <v>215</v>
      </c>
      <c r="E162" s="65" t="s">
        <v>2071</v>
      </c>
      <c r="G162" s="315">
        <v>45122.333333333336</v>
      </c>
      <c r="H162" s="315">
        <v>45122.338194444441</v>
      </c>
      <c r="I162" s="126" t="s">
        <v>490</v>
      </c>
      <c r="J162" s="126" t="s">
        <v>192</v>
      </c>
      <c r="K162" s="126" t="s">
        <v>192</v>
      </c>
      <c r="L162" s="126" t="s">
        <v>2080</v>
      </c>
      <c r="M162" s="167"/>
      <c r="N162" s="126" t="s">
        <v>252</v>
      </c>
      <c r="O162" s="126" t="s">
        <v>253</v>
      </c>
      <c r="P162" s="126" t="s">
        <v>494</v>
      </c>
      <c r="Q162" s="181">
        <f>3107*2.4</f>
        <v>7456.7999999999993</v>
      </c>
      <c r="R162" s="181">
        <f>7500+100</f>
        <v>7600</v>
      </c>
      <c r="S162" s="181">
        <v>7545.55</v>
      </c>
      <c r="T162" s="181"/>
      <c r="U162" s="181">
        <f t="shared" si="63"/>
        <v>7545.55</v>
      </c>
      <c r="AX162" s="165">
        <f t="shared" si="55"/>
        <v>45111.340277777781</v>
      </c>
      <c r="AY162" s="165">
        <f t="shared" si="56"/>
        <v>45124.291666666664</v>
      </c>
      <c r="AZ162" s="137">
        <f t="shared" si="57"/>
        <v>12.95138888888323</v>
      </c>
      <c r="BA162" s="165">
        <v>45111.340277777781</v>
      </c>
      <c r="BB162" s="165">
        <v>45114.604166666664</v>
      </c>
      <c r="BC162" s="165">
        <v>45116.305555555555</v>
      </c>
      <c r="BD162" s="165">
        <v>45117.739583333336</v>
      </c>
      <c r="BE162" s="165">
        <v>45117.916666666664</v>
      </c>
      <c r="BF162" s="165">
        <v>45117.923611111109</v>
      </c>
      <c r="BG162" s="165">
        <v>45117.923611111109</v>
      </c>
      <c r="BH162" s="165">
        <f t="shared" si="61"/>
        <v>45119.631944444445</v>
      </c>
      <c r="BI162" s="165">
        <v>45120.458333333336</v>
      </c>
      <c r="BJ162" s="165">
        <v>45120.625</v>
      </c>
      <c r="BK162" s="165">
        <v>45120.53125</v>
      </c>
      <c r="BL162" s="165">
        <v>45121.753472222219</v>
      </c>
      <c r="BM162" s="165">
        <v>45123.736111111109</v>
      </c>
      <c r="BN162" s="165">
        <v>45123.916666666664</v>
      </c>
      <c r="BO162" s="165">
        <v>45123.9375</v>
      </c>
      <c r="BP162" s="165">
        <v>45123.9375</v>
      </c>
      <c r="BQ162" s="165">
        <v>45124.291666666664</v>
      </c>
      <c r="BT162" s="136">
        <f t="shared" si="43"/>
        <v>40.833333333372138</v>
      </c>
      <c r="BU162" s="136">
        <f t="shared" si="44"/>
        <v>4.2499999998835847</v>
      </c>
      <c r="BV162" s="136">
        <f t="shared" si="45"/>
        <v>41.000000000058208</v>
      </c>
      <c r="BW162" s="136">
        <f t="shared" si="62"/>
        <v>27.083333333255723</v>
      </c>
      <c r="BX162" s="135">
        <f t="shared" si="46"/>
        <v>4.3333333333139308</v>
      </c>
      <c r="BY162" s="135">
        <f t="shared" si="47"/>
        <v>8.4999999999417923</v>
      </c>
      <c r="BZ162" s="134">
        <f t="shared" si="48"/>
        <v>5.249999999992724</v>
      </c>
      <c r="CA162" s="134">
        <f t="shared" si="49"/>
        <v>12.95138888888323</v>
      </c>
      <c r="CB162" s="133">
        <f t="shared" si="50"/>
        <v>0.4053619302945215</v>
      </c>
    </row>
    <row r="163" spans="1:80" s="126" customFormat="1">
      <c r="A163" s="192">
        <f t="shared" si="52"/>
        <v>45120.453472222223</v>
      </c>
      <c r="B163" s="126" t="s">
        <v>228</v>
      </c>
      <c r="C163" s="126" t="s">
        <v>229</v>
      </c>
      <c r="D163" s="126" t="s">
        <v>197</v>
      </c>
      <c r="E163" s="65" t="s">
        <v>2120</v>
      </c>
      <c r="G163" s="315">
        <v>45123.75</v>
      </c>
      <c r="H163" s="315">
        <v>45123.729166666664</v>
      </c>
      <c r="I163" s="126" t="s">
        <v>490</v>
      </c>
      <c r="J163" s="126" t="s">
        <v>192</v>
      </c>
      <c r="K163" s="126" t="s">
        <v>192</v>
      </c>
      <c r="L163" s="126" t="s">
        <v>2124</v>
      </c>
      <c r="M163" s="167"/>
      <c r="N163" s="126" t="s">
        <v>367</v>
      </c>
      <c r="O163" s="126" t="s">
        <v>368</v>
      </c>
      <c r="P163" s="126" t="s">
        <v>494</v>
      </c>
      <c r="Q163" s="181">
        <f>4111*2.4</f>
        <v>9866.4</v>
      </c>
      <c r="R163" s="181">
        <f>9900+100</f>
        <v>10000</v>
      </c>
      <c r="S163" s="181">
        <v>9913.7710000000006</v>
      </c>
      <c r="T163" s="181"/>
      <c r="U163" s="181">
        <f t="shared" si="63"/>
        <v>9913.7710000000006</v>
      </c>
      <c r="AX163" s="165">
        <f t="shared" si="55"/>
        <v>45113.895833333336</v>
      </c>
      <c r="AY163" s="165">
        <f t="shared" si="56"/>
        <v>45125.875</v>
      </c>
      <c r="AZ163" s="137">
        <f t="shared" si="57"/>
        <v>11.979166666664241</v>
      </c>
      <c r="BA163" s="165">
        <v>45113.895833333336</v>
      </c>
      <c r="BB163" s="165">
        <v>45115.826388888891</v>
      </c>
      <c r="BC163" s="165">
        <v>45117.708333333336</v>
      </c>
      <c r="BD163" s="165">
        <v>45120.453472222223</v>
      </c>
      <c r="BE163" s="165">
        <v>45120.631944444445</v>
      </c>
      <c r="BF163" s="165">
        <v>45120.645833333336</v>
      </c>
      <c r="BG163" s="165">
        <v>45120.645833333336</v>
      </c>
      <c r="BH163" s="165">
        <f t="shared" si="61"/>
        <v>45122.354166666672</v>
      </c>
      <c r="BI163" s="165">
        <v>45122.583333333336</v>
      </c>
      <c r="BJ163" s="165">
        <v>45122.75</v>
      </c>
      <c r="BK163" s="165">
        <v>45122.611111111109</v>
      </c>
      <c r="BL163" s="165">
        <v>45123.840277777781</v>
      </c>
      <c r="BM163" s="196">
        <v>45125.090277777781</v>
      </c>
      <c r="BN163" s="196">
        <v>45125.392361111109</v>
      </c>
      <c r="BO163" s="196">
        <v>45125.416666666664</v>
      </c>
      <c r="BP163" s="165">
        <v>45125.666666666664</v>
      </c>
      <c r="BQ163" s="165">
        <v>45125.875</v>
      </c>
      <c r="BT163" s="136">
        <f t="shared" si="43"/>
        <v>45.166666666686069</v>
      </c>
      <c r="BU163" s="136">
        <f t="shared" si="44"/>
        <v>4.2833333333255723</v>
      </c>
      <c r="BV163" s="136">
        <f t="shared" si="45"/>
        <v>41.000000000058208</v>
      </c>
      <c r="BW163" s="136">
        <f t="shared" si="62"/>
        <v>26.166666666744277</v>
      </c>
      <c r="BX163" s="135">
        <f t="shared" si="46"/>
        <v>7.2499999998835847</v>
      </c>
      <c r="BY163" s="135">
        <f t="shared" si="47"/>
        <v>5.0000000000582077</v>
      </c>
      <c r="BZ163" s="134">
        <f t="shared" si="48"/>
        <v>5.3694444444481633</v>
      </c>
      <c r="CA163" s="134">
        <f t="shared" si="49"/>
        <v>11.979166666664241</v>
      </c>
      <c r="CB163" s="133">
        <f t="shared" si="50"/>
        <v>0.44823188405837222</v>
      </c>
    </row>
    <row r="164" spans="1:80" s="126" customFormat="1">
      <c r="A164" s="192">
        <f t="shared" si="52"/>
        <v>45121.378472222219</v>
      </c>
      <c r="B164" s="126" t="s">
        <v>228</v>
      </c>
      <c r="C164" s="126" t="s">
        <v>229</v>
      </c>
      <c r="D164" s="126" t="s">
        <v>197</v>
      </c>
      <c r="E164" s="65" t="s">
        <v>2120</v>
      </c>
      <c r="G164" s="315">
        <v>45123.75</v>
      </c>
      <c r="H164" s="315">
        <v>45123.729166666664</v>
      </c>
      <c r="I164" s="126" t="s">
        <v>490</v>
      </c>
      <c r="J164" s="126" t="s">
        <v>192</v>
      </c>
      <c r="K164" s="126" t="s">
        <v>192</v>
      </c>
      <c r="L164" s="126" t="s">
        <v>2126</v>
      </c>
      <c r="M164" s="167"/>
      <c r="N164" s="126" t="s">
        <v>473</v>
      </c>
      <c r="O164" s="126" t="s">
        <v>474</v>
      </c>
      <c r="P164" s="126" t="s">
        <v>494</v>
      </c>
      <c r="Q164" s="181">
        <f>3136*2.4</f>
        <v>7526.4</v>
      </c>
      <c r="R164" s="181">
        <f>7550+100</f>
        <v>7650</v>
      </c>
      <c r="S164" s="181">
        <v>7490.9129999999996</v>
      </c>
      <c r="T164" s="181"/>
      <c r="U164" s="181">
        <f t="shared" si="63"/>
        <v>7490.9129999999996</v>
      </c>
      <c r="AX164" s="165">
        <f t="shared" si="55"/>
        <v>45110.958333333336</v>
      </c>
      <c r="AY164" s="165">
        <f t="shared" si="56"/>
        <v>45126.3125</v>
      </c>
      <c r="AZ164" s="137">
        <f t="shared" si="57"/>
        <v>15.354166666664241</v>
      </c>
      <c r="BA164" s="165">
        <v>45110.958333333336</v>
      </c>
      <c r="BB164" s="165">
        <v>45116.524305555555</v>
      </c>
      <c r="BC164" s="165">
        <v>45118.357638888891</v>
      </c>
      <c r="BD164" s="165">
        <v>45121.378472222219</v>
      </c>
      <c r="BE164" s="165">
        <v>45121.527777777781</v>
      </c>
      <c r="BF164" s="165">
        <v>45121.53125</v>
      </c>
      <c r="BG164" s="165">
        <v>45121.53125</v>
      </c>
      <c r="BH164" s="165">
        <f t="shared" si="61"/>
        <v>45123.239583333336</v>
      </c>
      <c r="BI164" s="165">
        <v>45124.229166608799</v>
      </c>
      <c r="BJ164" s="165">
        <v>45124.395833275463</v>
      </c>
      <c r="BK164" s="165">
        <v>45124.326388888891</v>
      </c>
      <c r="BL164" s="165">
        <v>45125.520833333336</v>
      </c>
      <c r="BM164" s="165">
        <v>45125.572916666664</v>
      </c>
      <c r="BN164" s="165">
        <v>45125.822916666664</v>
      </c>
      <c r="BO164" s="165">
        <v>45125.854166666664</v>
      </c>
      <c r="BP164" s="165">
        <v>45126.107638888891</v>
      </c>
      <c r="BQ164" s="165">
        <v>45126.3125</v>
      </c>
      <c r="BT164" s="136">
        <f t="shared" si="43"/>
        <v>44.000000000058208</v>
      </c>
      <c r="BU164" s="136">
        <f t="shared" si="44"/>
        <v>3.5833333334885538</v>
      </c>
      <c r="BV164" s="136">
        <f t="shared" si="45"/>
        <v>41.000000000058208</v>
      </c>
      <c r="BW164" s="136">
        <f t="shared" si="62"/>
        <v>27.000001388951205</v>
      </c>
      <c r="BX164" s="135">
        <f t="shared" si="46"/>
        <v>6</v>
      </c>
      <c r="BY164" s="135">
        <f t="shared" si="47"/>
        <v>4.9166666666278616</v>
      </c>
      <c r="BZ164" s="134">
        <f t="shared" si="48"/>
        <v>5.2708333912160015</v>
      </c>
      <c r="CA164" s="134">
        <f t="shared" si="49"/>
        <v>15.354166666664241</v>
      </c>
      <c r="CB164" s="133">
        <f t="shared" si="50"/>
        <v>0.34328358585944102</v>
      </c>
    </row>
    <row r="165" spans="1:80" s="126" customFormat="1">
      <c r="A165" s="192">
        <f t="shared" si="52"/>
        <v>45121.555555555555</v>
      </c>
      <c r="B165" s="126" t="s">
        <v>228</v>
      </c>
      <c r="C165" s="126" t="s">
        <v>229</v>
      </c>
      <c r="D165" s="126" t="s">
        <v>197</v>
      </c>
      <c r="E165" s="65" t="s">
        <v>2120</v>
      </c>
      <c r="G165" s="315">
        <v>45123.75</v>
      </c>
      <c r="H165" s="315">
        <v>45123.729166666664</v>
      </c>
      <c r="I165" s="126" t="s">
        <v>490</v>
      </c>
      <c r="J165" s="126" t="s">
        <v>192</v>
      </c>
      <c r="K165" s="126" t="s">
        <v>192</v>
      </c>
      <c r="L165" s="126" t="s">
        <v>2130</v>
      </c>
      <c r="M165" s="167"/>
      <c r="N165" s="126" t="s">
        <v>1313</v>
      </c>
      <c r="O165" s="126" t="s">
        <v>438</v>
      </c>
      <c r="P165" s="126" t="s">
        <v>494</v>
      </c>
      <c r="Q165" s="181">
        <f>3136*2.4</f>
        <v>7526.4</v>
      </c>
      <c r="R165" s="181">
        <f>7550+100</f>
        <v>7650</v>
      </c>
      <c r="S165" s="181">
        <v>7590.942</v>
      </c>
      <c r="T165" s="181"/>
      <c r="U165" s="181">
        <f t="shared" si="63"/>
        <v>7590.942</v>
      </c>
      <c r="AX165" s="165">
        <f t="shared" si="55"/>
        <v>45113.166666666664</v>
      </c>
      <c r="AY165" s="165">
        <f t="shared" si="56"/>
        <v>45127.229166666664</v>
      </c>
      <c r="AZ165" s="137">
        <f t="shared" si="57"/>
        <v>14.0625</v>
      </c>
      <c r="BA165" s="165">
        <v>45113.166666666664</v>
      </c>
      <c r="BB165" s="165">
        <v>45116.517361111109</v>
      </c>
      <c r="BC165" s="165">
        <v>45118.791666666664</v>
      </c>
      <c r="BD165" s="165">
        <v>45121.555555555555</v>
      </c>
      <c r="BE165" s="165">
        <v>45121.690972222219</v>
      </c>
      <c r="BF165" s="165">
        <v>45121.697916666664</v>
      </c>
      <c r="BG165" s="165">
        <v>45121.697916666664</v>
      </c>
      <c r="BH165" s="165">
        <f t="shared" si="61"/>
        <v>45123.40625</v>
      </c>
      <c r="BI165" s="165">
        <v>45123.229166666664</v>
      </c>
      <c r="BJ165" s="165">
        <v>45123.395833333328</v>
      </c>
      <c r="BK165" s="165">
        <v>45123.361111111109</v>
      </c>
      <c r="BL165" s="165">
        <v>45125.902777777781</v>
      </c>
      <c r="BM165" s="165">
        <v>45126.194444444445</v>
      </c>
      <c r="BN165" s="165">
        <v>45126.444444444445</v>
      </c>
      <c r="BO165" s="165">
        <v>45126.493055555555</v>
      </c>
      <c r="BP165" s="165">
        <v>45126.493055555555</v>
      </c>
      <c r="BQ165" s="165">
        <v>45127.229166666664</v>
      </c>
      <c r="BT165" s="136">
        <f t="shared" si="43"/>
        <v>54.583333333313931</v>
      </c>
      <c r="BU165" s="136">
        <f t="shared" si="44"/>
        <v>3.2499999999417923</v>
      </c>
      <c r="BV165" s="136">
        <f t="shared" si="45"/>
        <v>41.000000000058208</v>
      </c>
      <c r="BW165" s="136">
        <f t="shared" si="62"/>
        <v>60.166666666860692</v>
      </c>
      <c r="BX165" s="135">
        <f t="shared" si="46"/>
        <v>6</v>
      </c>
      <c r="BY165" s="135">
        <f t="shared" si="47"/>
        <v>17.666666666627862</v>
      </c>
      <c r="BZ165" s="134">
        <f t="shared" si="48"/>
        <v>7.6111111111167702</v>
      </c>
      <c r="CA165" s="134">
        <f t="shared" si="49"/>
        <v>14.0625</v>
      </c>
      <c r="CB165" s="133">
        <f t="shared" si="50"/>
        <v>0.54123456790163704</v>
      </c>
    </row>
    <row r="166" spans="1:80" s="126" customFormat="1">
      <c r="A166" s="192">
        <f t="shared" si="52"/>
        <v>45121.725694444445</v>
      </c>
      <c r="B166" s="126" t="s">
        <v>228</v>
      </c>
      <c r="C166" s="126" t="s">
        <v>229</v>
      </c>
      <c r="D166" s="126" t="s">
        <v>197</v>
      </c>
      <c r="E166" s="65" t="s">
        <v>2120</v>
      </c>
      <c r="G166" s="315">
        <v>45123.75</v>
      </c>
      <c r="H166" s="315">
        <v>45123.729166666664</v>
      </c>
      <c r="I166" s="126" t="s">
        <v>490</v>
      </c>
      <c r="J166" s="126" t="s">
        <v>192</v>
      </c>
      <c r="K166" s="126" t="s">
        <v>192</v>
      </c>
      <c r="L166" s="126" t="s">
        <v>2128</v>
      </c>
      <c r="M166" s="167"/>
      <c r="N166" s="126" t="s">
        <v>492</v>
      </c>
      <c r="O166" s="126" t="s">
        <v>493</v>
      </c>
      <c r="P166" s="126" t="s">
        <v>494</v>
      </c>
      <c r="Q166" s="181">
        <f>3152*2.4</f>
        <v>7564.7999999999993</v>
      </c>
      <c r="R166" s="181">
        <f>7600+100</f>
        <v>7700</v>
      </c>
      <c r="S166" s="181">
        <v>7584.692</v>
      </c>
      <c r="T166" s="181"/>
      <c r="U166" s="181">
        <f t="shared" si="63"/>
        <v>7584.692</v>
      </c>
      <c r="AX166" s="165">
        <f t="shared" si="55"/>
        <v>45114.5</v>
      </c>
      <c r="AY166" s="165">
        <f t="shared" si="56"/>
        <v>45126.555555555555</v>
      </c>
      <c r="AZ166" s="137">
        <f t="shared" si="57"/>
        <v>12.055555555554747</v>
      </c>
      <c r="BA166" s="165">
        <v>45114.5</v>
      </c>
      <c r="BB166" s="165">
        <v>45117.604166666664</v>
      </c>
      <c r="BC166" s="165">
        <v>45119.211805555555</v>
      </c>
      <c r="BD166" s="165">
        <v>45121.725694444445</v>
      </c>
      <c r="BE166" s="165">
        <v>45121.914583333331</v>
      </c>
      <c r="BF166" s="165">
        <v>45121.916666666664</v>
      </c>
      <c r="BG166" s="165">
        <v>45122.291666666664</v>
      </c>
      <c r="BH166" s="165">
        <f t="shared" si="61"/>
        <v>45124</v>
      </c>
      <c r="BI166" s="165">
        <v>45124.229166608799</v>
      </c>
      <c r="BJ166" s="165">
        <v>45124.395833275463</v>
      </c>
      <c r="BK166" s="165">
        <v>45124.322916666664</v>
      </c>
      <c r="BL166" s="165">
        <v>45125.541666666664</v>
      </c>
      <c r="BM166" s="165">
        <v>45125.902777777781</v>
      </c>
      <c r="BN166" s="165">
        <v>45126.131944444445</v>
      </c>
      <c r="BO166" s="165">
        <v>45126.166666666664</v>
      </c>
      <c r="BP166" s="165">
        <v>45126.166666666664</v>
      </c>
      <c r="BQ166" s="165">
        <v>45126.555555555555</v>
      </c>
      <c r="BT166" s="136">
        <f t="shared" si="43"/>
        <v>38.583333333372138</v>
      </c>
      <c r="BU166" s="136">
        <f t="shared" si="44"/>
        <v>4.5333333332673647</v>
      </c>
      <c r="BV166" s="136">
        <f t="shared" si="45"/>
        <v>41.000000000058208</v>
      </c>
      <c r="BW166" s="136">
        <f t="shared" si="62"/>
        <v>27.500001388834789</v>
      </c>
      <c r="BX166" s="135">
        <f t="shared" si="46"/>
        <v>5.4999999999417923</v>
      </c>
      <c r="BY166" s="135">
        <f t="shared" si="47"/>
        <v>9.3333333333721384</v>
      </c>
      <c r="BZ166" s="134">
        <f t="shared" si="48"/>
        <v>5.2687500578686013</v>
      </c>
      <c r="CA166" s="134">
        <f t="shared" si="49"/>
        <v>12.055555555554747</v>
      </c>
      <c r="CB166" s="133">
        <f t="shared" si="50"/>
        <v>0.43703917530710223</v>
      </c>
    </row>
    <row r="167" spans="1:80" s="126" customFormat="1">
      <c r="A167" s="192">
        <f t="shared" si="52"/>
        <v>45121.944444444445</v>
      </c>
      <c r="B167" s="126" t="s">
        <v>228</v>
      </c>
      <c r="C167" s="126" t="s">
        <v>229</v>
      </c>
      <c r="D167" s="126" t="s">
        <v>197</v>
      </c>
      <c r="E167" s="65" t="s">
        <v>2146</v>
      </c>
      <c r="G167" s="165">
        <v>45130.833333333336</v>
      </c>
      <c r="H167" s="165">
        <v>45130.8125</v>
      </c>
      <c r="I167" s="126" t="s">
        <v>490</v>
      </c>
      <c r="J167" s="126" t="s">
        <v>192</v>
      </c>
      <c r="K167" s="126" t="s">
        <v>192</v>
      </c>
      <c r="L167" s="126" t="s">
        <v>2131</v>
      </c>
      <c r="M167" s="167"/>
      <c r="N167" s="126" t="s">
        <v>288</v>
      </c>
      <c r="O167" s="126" t="s">
        <v>289</v>
      </c>
      <c r="P167" s="126" t="s">
        <v>494</v>
      </c>
      <c r="Q167" s="181">
        <f>3107*2.4</f>
        <v>7456.7999999999993</v>
      </c>
      <c r="R167" s="181">
        <f>7500+100</f>
        <v>7600</v>
      </c>
      <c r="S167" s="181">
        <v>1097.855</v>
      </c>
      <c r="T167" s="181"/>
      <c r="U167" s="181">
        <f t="shared" si="63"/>
        <v>1097.855</v>
      </c>
      <c r="AX167" s="165">
        <f t="shared" si="55"/>
        <v>45114.611111111109</v>
      </c>
      <c r="AY167" s="165">
        <f t="shared" si="56"/>
        <v>45132.583333333336</v>
      </c>
      <c r="AZ167" s="137">
        <f t="shared" si="57"/>
        <v>17.972222222226264</v>
      </c>
      <c r="BA167" s="165">
        <v>45114.611111111109</v>
      </c>
      <c r="BB167" s="165">
        <v>45117.888888888891</v>
      </c>
      <c r="BC167" s="165">
        <v>45119.375</v>
      </c>
      <c r="BD167" s="165">
        <v>45121.944444444445</v>
      </c>
      <c r="BE167" s="165">
        <v>45122.079861111109</v>
      </c>
      <c r="BF167" s="165">
        <v>45122.083333333336</v>
      </c>
      <c r="BG167" s="165">
        <v>45122.28125</v>
      </c>
      <c r="BH167" s="165">
        <f t="shared" si="61"/>
        <v>45123.989583333336</v>
      </c>
      <c r="BI167" s="165">
        <v>45124.229166608799</v>
      </c>
      <c r="BJ167" s="165">
        <v>45124.395833275463</v>
      </c>
      <c r="BK167" s="165">
        <v>45124.375</v>
      </c>
      <c r="BL167" s="165">
        <v>45127.3125</v>
      </c>
      <c r="BM167" s="165">
        <v>45132.048611111109</v>
      </c>
      <c r="BN167" s="165">
        <v>45132.076388888891</v>
      </c>
      <c r="BO167" s="165">
        <v>45132.090277777781</v>
      </c>
      <c r="BP167" s="165">
        <v>45132.28125</v>
      </c>
      <c r="BQ167" s="165">
        <v>45132.583333333336</v>
      </c>
      <c r="BT167" s="136">
        <f t="shared" si="43"/>
        <v>35.666666666627862</v>
      </c>
      <c r="BU167" s="136">
        <f t="shared" si="44"/>
        <v>3.2499999999417923</v>
      </c>
      <c r="BV167" s="136">
        <f t="shared" si="45"/>
        <v>41.000000000058208</v>
      </c>
      <c r="BW167" s="136">
        <f t="shared" si="62"/>
        <v>70.000001388892997</v>
      </c>
      <c r="BX167" s="135">
        <f t="shared" si="46"/>
        <v>0.66666666674427688</v>
      </c>
      <c r="BY167" s="135">
        <f t="shared" si="47"/>
        <v>7.2500000000582077</v>
      </c>
      <c r="BZ167" s="134">
        <f t="shared" si="48"/>
        <v>6.5763889467634726</v>
      </c>
      <c r="CA167" s="134">
        <f t="shared" si="49"/>
        <v>17.972222222226264</v>
      </c>
      <c r="CB167" s="133">
        <f t="shared" si="50"/>
        <v>0.36591963227732888</v>
      </c>
    </row>
    <row r="168" spans="1:80" s="126" customFormat="1">
      <c r="A168" s="192">
        <f t="shared" si="52"/>
        <v>45121.944444444445</v>
      </c>
      <c r="B168" s="126" t="s">
        <v>228</v>
      </c>
      <c r="C168" s="126" t="s">
        <v>229</v>
      </c>
      <c r="D168" s="126" t="s">
        <v>197</v>
      </c>
      <c r="E168" s="65" t="s">
        <v>2120</v>
      </c>
      <c r="G168" s="315">
        <v>45123.75</v>
      </c>
      <c r="H168" s="315">
        <v>45123.729166666664</v>
      </c>
      <c r="I168" s="126" t="s">
        <v>490</v>
      </c>
      <c r="J168" s="126" t="s">
        <v>192</v>
      </c>
      <c r="K168" s="126" t="s">
        <v>192</v>
      </c>
      <c r="L168" s="126" t="s">
        <v>2131</v>
      </c>
      <c r="M168" s="167"/>
      <c r="N168" s="126" t="s">
        <v>288</v>
      </c>
      <c r="O168" s="126" t="s">
        <v>289</v>
      </c>
      <c r="P168" s="126" t="s">
        <v>494</v>
      </c>
      <c r="Q168" s="181">
        <f>3107*2.4</f>
        <v>7456.7999999999993</v>
      </c>
      <c r="R168" s="181">
        <f>7500+100</f>
        <v>7600</v>
      </c>
      <c r="S168" s="181">
        <f>7665.313-908.754</f>
        <v>6756.5590000000002</v>
      </c>
      <c r="T168" s="181"/>
      <c r="U168" s="181">
        <f t="shared" si="63"/>
        <v>6756.5590000000002</v>
      </c>
      <c r="AX168" s="165">
        <f t="shared" si="55"/>
        <v>45114.611111111109</v>
      </c>
      <c r="AY168" s="165">
        <f t="shared" si="56"/>
        <v>45127.3125</v>
      </c>
      <c r="AZ168" s="137">
        <f t="shared" si="57"/>
        <v>12.701388888890506</v>
      </c>
      <c r="BA168" s="165">
        <v>45114.611111111109</v>
      </c>
      <c r="BB168" s="165">
        <v>45117.888888888891</v>
      </c>
      <c r="BC168" s="165">
        <v>45119.375</v>
      </c>
      <c r="BD168" s="165">
        <v>45121.944444444445</v>
      </c>
      <c r="BE168" s="165">
        <v>45122.079861111109</v>
      </c>
      <c r="BF168" s="165">
        <v>45122.083333333336</v>
      </c>
      <c r="BG168" s="165">
        <v>45122.28125</v>
      </c>
      <c r="BH168" s="165">
        <f t="shared" si="61"/>
        <v>45123.989583333336</v>
      </c>
      <c r="BI168" s="165">
        <v>45124.229166608799</v>
      </c>
      <c r="BJ168" s="165">
        <v>45124.395833275463</v>
      </c>
      <c r="BK168" s="165">
        <v>45124.375</v>
      </c>
      <c r="BL168" s="165">
        <v>45125.493055555555</v>
      </c>
      <c r="BM168" s="165">
        <v>45126.534722222219</v>
      </c>
      <c r="BN168" s="165">
        <v>45127.270833333336</v>
      </c>
      <c r="BO168" s="165">
        <v>45127.3125</v>
      </c>
      <c r="BP168" s="165">
        <v>45127.3125</v>
      </c>
      <c r="BQ168" s="165">
        <v>45127.3125</v>
      </c>
      <c r="BT168" s="136">
        <f t="shared" si="43"/>
        <v>35.666666666627862</v>
      </c>
      <c r="BU168" s="136">
        <f t="shared" si="44"/>
        <v>3.2499999999417923</v>
      </c>
      <c r="BV168" s="136">
        <f t="shared" si="45"/>
        <v>41.000000000058208</v>
      </c>
      <c r="BW168" s="136">
        <f t="shared" si="62"/>
        <v>26.333334722206928</v>
      </c>
      <c r="BX168" s="135">
        <f t="shared" si="46"/>
        <v>17.666666666802485</v>
      </c>
      <c r="BY168" s="135">
        <f t="shared" si="47"/>
        <v>0</v>
      </c>
      <c r="BZ168" s="134">
        <f t="shared" si="48"/>
        <v>5.1631945023182197</v>
      </c>
      <c r="CA168" s="134">
        <f t="shared" si="49"/>
        <v>12.701388888890506</v>
      </c>
      <c r="CB168" s="133">
        <f t="shared" si="50"/>
        <v>0.4065062921452865</v>
      </c>
    </row>
    <row r="169" spans="1:80" s="126" customFormat="1">
      <c r="A169" s="192">
        <f t="shared" si="52"/>
        <v>45125.965277777781</v>
      </c>
      <c r="B169" s="126" t="s">
        <v>228</v>
      </c>
      <c r="C169" s="126" t="s">
        <v>229</v>
      </c>
      <c r="D169" s="126" t="s">
        <v>197</v>
      </c>
      <c r="E169" s="65" t="s">
        <v>2146</v>
      </c>
      <c r="G169" s="165">
        <v>45130.833333333336</v>
      </c>
      <c r="H169" s="165">
        <v>45130.8125</v>
      </c>
      <c r="I169" s="126" t="s">
        <v>490</v>
      </c>
      <c r="J169" s="126" t="s">
        <v>192</v>
      </c>
      <c r="K169" s="126" t="s">
        <v>192</v>
      </c>
      <c r="L169" s="126" t="s">
        <v>2151</v>
      </c>
      <c r="M169" s="167"/>
      <c r="N169" s="126" t="s">
        <v>505</v>
      </c>
      <c r="O169" s="126" t="s">
        <v>506</v>
      </c>
      <c r="P169" s="126" t="s">
        <v>494</v>
      </c>
      <c r="Q169" s="181">
        <f>3071*2.4</f>
        <v>7370.4</v>
      </c>
      <c r="R169" s="181">
        <f>7400+100</f>
        <v>7500</v>
      </c>
      <c r="S169" s="181">
        <v>7475.3509999999997</v>
      </c>
      <c r="T169" s="181"/>
      <c r="U169" s="181">
        <f t="shared" si="63"/>
        <v>7475.3509999999997</v>
      </c>
      <c r="AX169" s="165">
        <f t="shared" si="55"/>
        <v>45105.034722222219</v>
      </c>
      <c r="AY169" s="165">
        <f t="shared" si="56"/>
        <v>45133.006944444445</v>
      </c>
      <c r="AZ169" s="137">
        <f t="shared" si="57"/>
        <v>27.972222222226264</v>
      </c>
      <c r="BA169" s="165">
        <v>45105.034722222219</v>
      </c>
      <c r="BB169" s="165">
        <v>45106.385416666664</v>
      </c>
      <c r="BC169" s="165">
        <v>45108.041666666664</v>
      </c>
      <c r="BD169" s="165">
        <v>45125.965277777781</v>
      </c>
      <c r="BE169" s="165">
        <v>45126.111111111109</v>
      </c>
      <c r="BF169" s="165">
        <v>45126.118055555555</v>
      </c>
      <c r="BG169" s="165">
        <v>45126.118055555555</v>
      </c>
      <c r="BH169" s="165">
        <f t="shared" si="61"/>
        <v>45127.826388888891</v>
      </c>
      <c r="BI169" s="165">
        <v>45128.25</v>
      </c>
      <c r="BJ169" s="165">
        <v>45128.416666666664</v>
      </c>
      <c r="BK169" s="165">
        <v>45128.420138888891</v>
      </c>
      <c r="BL169" s="165">
        <v>45129.479166666664</v>
      </c>
      <c r="BM169" s="165">
        <v>45132.520833333336</v>
      </c>
      <c r="BN169" s="165">
        <v>45132.777777777781</v>
      </c>
      <c r="BO169" s="165">
        <v>45132.826388888891</v>
      </c>
      <c r="BP169" s="165">
        <v>45132.826388888891</v>
      </c>
      <c r="BQ169" s="165">
        <v>45133.006944444445</v>
      </c>
      <c r="BT169" s="136">
        <f t="shared" si="43"/>
        <v>39.75</v>
      </c>
      <c r="BU169" s="136">
        <f t="shared" si="44"/>
        <v>3.4999999998835847</v>
      </c>
      <c r="BV169" s="136">
        <f t="shared" si="45"/>
        <v>41.000000000058208</v>
      </c>
      <c r="BW169" s="136">
        <f t="shared" si="62"/>
        <v>25.5</v>
      </c>
      <c r="BX169" s="135">
        <f t="shared" si="46"/>
        <v>6.1666666666860692</v>
      </c>
      <c r="BY169" s="135">
        <f t="shared" si="47"/>
        <v>4.3333333333139308</v>
      </c>
      <c r="BZ169" s="134">
        <f t="shared" si="48"/>
        <v>5.0104166666642413</v>
      </c>
      <c r="CA169" s="134">
        <f t="shared" si="49"/>
        <v>27.972222222226264</v>
      </c>
      <c r="CB169" s="133">
        <f t="shared" si="50"/>
        <v>0.1791211519363323</v>
      </c>
    </row>
    <row r="170" spans="1:80" s="126" customFormat="1">
      <c r="A170" s="192">
        <f t="shared" si="52"/>
        <v>45124.46875</v>
      </c>
      <c r="B170" s="126" t="s">
        <v>228</v>
      </c>
      <c r="C170" s="126" t="s">
        <v>229</v>
      </c>
      <c r="D170" s="126" t="s">
        <v>215</v>
      </c>
      <c r="E170" s="65" t="s">
        <v>2146</v>
      </c>
      <c r="G170" s="165">
        <v>45130.833333333336</v>
      </c>
      <c r="H170" s="165">
        <v>45130.8125</v>
      </c>
      <c r="I170" s="126" t="s">
        <v>490</v>
      </c>
      <c r="J170" s="126" t="s">
        <v>192</v>
      </c>
      <c r="K170" s="126" t="s">
        <v>192</v>
      </c>
      <c r="L170" s="126" t="s">
        <v>2149</v>
      </c>
      <c r="M170" s="167"/>
      <c r="N170" s="126" t="s">
        <v>422</v>
      </c>
      <c r="O170" s="126" t="s">
        <v>375</v>
      </c>
      <c r="P170" s="126" t="s">
        <v>494</v>
      </c>
      <c r="Q170" s="181">
        <f>3097*2.4</f>
        <v>7432.7999999999993</v>
      </c>
      <c r="R170" s="181">
        <f>7450+100</f>
        <v>7550</v>
      </c>
      <c r="S170" s="181">
        <v>7401.116</v>
      </c>
      <c r="T170" s="181"/>
      <c r="U170" s="181">
        <f t="shared" si="63"/>
        <v>7401.116</v>
      </c>
      <c r="AX170" s="165">
        <f t="shared" si="55"/>
        <v>45120.826388888891</v>
      </c>
      <c r="AY170" s="165">
        <f t="shared" si="56"/>
        <v>45132.774305555555</v>
      </c>
      <c r="AZ170" s="137">
        <f t="shared" si="57"/>
        <v>11.947916666664241</v>
      </c>
      <c r="BA170" s="165">
        <v>45120.826388888891</v>
      </c>
      <c r="BB170" s="165">
        <v>45121.875</v>
      </c>
      <c r="BC170" s="165">
        <v>45123.625</v>
      </c>
      <c r="BD170" s="165">
        <v>45124.46875</v>
      </c>
      <c r="BE170" s="165">
        <v>45124.631944444445</v>
      </c>
      <c r="BF170" s="165">
        <v>45124.649305555555</v>
      </c>
      <c r="BG170" s="165">
        <v>45124.649305555555</v>
      </c>
      <c r="BH170" s="165">
        <f t="shared" si="61"/>
        <v>45126.357638888891</v>
      </c>
      <c r="BI170" s="165">
        <v>45126.25</v>
      </c>
      <c r="BJ170" s="165">
        <v>45126.416666666664</v>
      </c>
      <c r="BK170" s="165">
        <v>45126.371527777781</v>
      </c>
      <c r="BL170" s="165">
        <v>45128.524305555555</v>
      </c>
      <c r="BM170" s="165">
        <v>45132.145833333336</v>
      </c>
      <c r="BN170" s="165">
        <v>45132.447916666664</v>
      </c>
      <c r="BO170" s="165">
        <v>45132.479166666664</v>
      </c>
      <c r="BP170" s="165">
        <v>45132.479166666664</v>
      </c>
      <c r="BQ170" s="165">
        <v>45132.774305555555</v>
      </c>
      <c r="BT170" s="136">
        <f t="shared" si="43"/>
        <v>42</v>
      </c>
      <c r="BU170" s="136">
        <f t="shared" si="44"/>
        <v>3.9166666666860692</v>
      </c>
      <c r="BV170" s="136">
        <f t="shared" si="45"/>
        <v>41.000000000058208</v>
      </c>
      <c r="BW170" s="136">
        <f t="shared" si="62"/>
        <v>50.583333333372138</v>
      </c>
      <c r="BX170" s="135">
        <f t="shared" si="46"/>
        <v>7.2499999998835847</v>
      </c>
      <c r="BY170" s="135">
        <f t="shared" si="47"/>
        <v>7.0833333333721384</v>
      </c>
      <c r="BZ170" s="134">
        <f t="shared" si="48"/>
        <v>6.3263888888905058</v>
      </c>
      <c r="CA170" s="134">
        <f t="shared" si="49"/>
        <v>11.947916666664241</v>
      </c>
      <c r="CB170" s="133">
        <f t="shared" si="50"/>
        <v>0.52949723917490132</v>
      </c>
    </row>
    <row r="171" spans="1:80" s="126" customFormat="1">
      <c r="A171" s="192">
        <f t="shared" si="52"/>
        <v>45126.541666666664</v>
      </c>
      <c r="B171" s="126" t="s">
        <v>228</v>
      </c>
      <c r="C171" s="126" t="s">
        <v>229</v>
      </c>
      <c r="D171" s="126" t="s">
        <v>215</v>
      </c>
      <c r="E171" s="65" t="s">
        <v>2146</v>
      </c>
      <c r="G171" s="165">
        <v>45130.833333333336</v>
      </c>
      <c r="H171" s="165">
        <v>45130.8125</v>
      </c>
      <c r="I171" s="126" t="s">
        <v>490</v>
      </c>
      <c r="J171" s="126" t="s">
        <v>192</v>
      </c>
      <c r="K171" s="126" t="s">
        <v>192</v>
      </c>
      <c r="L171" s="126" t="s">
        <v>2152</v>
      </c>
      <c r="M171" s="167"/>
      <c r="N171" s="126" t="s">
        <v>374</v>
      </c>
      <c r="O171" s="126" t="s">
        <v>275</v>
      </c>
      <c r="P171" s="126" t="s">
        <v>494</v>
      </c>
      <c r="Q171" s="181">
        <f>3097*2.4</f>
        <v>7432.7999999999993</v>
      </c>
      <c r="R171" s="181">
        <f>7450+100</f>
        <v>7550</v>
      </c>
      <c r="S171" s="181">
        <v>7649.7539999999999</v>
      </c>
      <c r="T171" s="181"/>
      <c r="U171" s="181">
        <f t="shared" si="63"/>
        <v>7649.7539999999999</v>
      </c>
      <c r="AX171" s="165">
        <f t="shared" si="55"/>
        <v>45123.975694444445</v>
      </c>
      <c r="AY171" s="165">
        <f t="shared" si="56"/>
        <v>45133.559027777781</v>
      </c>
      <c r="AZ171" s="137">
        <f t="shared" si="57"/>
        <v>9.5833333333357587</v>
      </c>
      <c r="BA171" s="165">
        <v>45123.975694444445</v>
      </c>
      <c r="BB171" s="165">
        <v>45124.5625</v>
      </c>
      <c r="BC171" s="165">
        <v>45126.295138888891</v>
      </c>
      <c r="BD171" s="165">
        <v>45126.541666666664</v>
      </c>
      <c r="BE171" s="165">
        <v>45126.732638888891</v>
      </c>
      <c r="BF171" s="165">
        <v>45126.739583333336</v>
      </c>
      <c r="BG171" s="165">
        <v>45127.263888888891</v>
      </c>
      <c r="BH171" s="165">
        <f t="shared" si="61"/>
        <v>45128.972222222226</v>
      </c>
      <c r="BI171" s="165">
        <v>45129.25</v>
      </c>
      <c r="BJ171" s="165">
        <v>45129.416666666664</v>
      </c>
      <c r="BK171" s="165">
        <v>45129.322916666664</v>
      </c>
      <c r="BL171" s="165">
        <v>45130.458333333336</v>
      </c>
      <c r="BM171" s="165">
        <v>45132.875</v>
      </c>
      <c r="BN171" s="165">
        <v>45133.104166666664</v>
      </c>
      <c r="BO171" s="165">
        <v>45133.145833333336</v>
      </c>
      <c r="BP171" s="165">
        <v>45133.145833333336</v>
      </c>
      <c r="BQ171" s="165">
        <v>45133.559027777781</v>
      </c>
      <c r="BT171" s="136">
        <f t="shared" si="43"/>
        <v>41.583333333372138</v>
      </c>
      <c r="BU171" s="136">
        <f t="shared" si="44"/>
        <v>4.5833333334303461</v>
      </c>
      <c r="BV171" s="136">
        <f t="shared" si="45"/>
        <v>41.000000000058208</v>
      </c>
      <c r="BW171" s="136">
        <f t="shared" si="62"/>
        <v>25.000000000116415</v>
      </c>
      <c r="BX171" s="135">
        <f t="shared" si="46"/>
        <v>5.4999999999417923</v>
      </c>
      <c r="BY171" s="135">
        <f t="shared" si="47"/>
        <v>9.9166666666860692</v>
      </c>
      <c r="BZ171" s="134">
        <f t="shared" si="48"/>
        <v>5.3159722222335404</v>
      </c>
      <c r="CA171" s="134">
        <f t="shared" si="49"/>
        <v>9.5833333333357587</v>
      </c>
      <c r="CB171" s="133">
        <f t="shared" si="50"/>
        <v>0.55471014492857684</v>
      </c>
    </row>
    <row r="172" spans="1:80" s="126" customFormat="1">
      <c r="A172" s="192">
        <f t="shared" si="52"/>
        <v>45126.809027777781</v>
      </c>
      <c r="B172" s="126" t="s">
        <v>228</v>
      </c>
      <c r="C172" s="126" t="s">
        <v>229</v>
      </c>
      <c r="D172" s="126" t="s">
        <v>197</v>
      </c>
      <c r="E172" s="65" t="s">
        <v>2146</v>
      </c>
      <c r="G172" s="165">
        <v>45130.833333333336</v>
      </c>
      <c r="H172" s="165">
        <v>45130.8125</v>
      </c>
      <c r="I172" s="126" t="s">
        <v>490</v>
      </c>
      <c r="J172" s="126" t="s">
        <v>192</v>
      </c>
      <c r="K172" s="126" t="s">
        <v>192</v>
      </c>
      <c r="L172" s="126" t="s">
        <v>2155</v>
      </c>
      <c r="M172" s="167"/>
      <c r="N172" s="126" t="s">
        <v>2156</v>
      </c>
      <c r="O172" s="126" t="s">
        <v>1835</v>
      </c>
      <c r="P172" s="126" t="s">
        <v>494</v>
      </c>
      <c r="Q172" s="181">
        <f>3131*2.4</f>
        <v>7514.4</v>
      </c>
      <c r="R172" s="181">
        <f>7550+100</f>
        <v>7650</v>
      </c>
      <c r="S172" s="181">
        <f>7553.925-2199.742</f>
        <v>5354.183</v>
      </c>
      <c r="T172" s="181"/>
      <c r="U172" s="181">
        <f t="shared" si="63"/>
        <v>5354.183</v>
      </c>
      <c r="AX172" s="165">
        <f t="shared" si="55"/>
        <v>45121.875</v>
      </c>
      <c r="AY172" s="165">
        <f t="shared" si="56"/>
        <v>45133.8125</v>
      </c>
      <c r="AZ172" s="137">
        <f t="shared" si="57"/>
        <v>11.9375</v>
      </c>
      <c r="BA172" s="165">
        <v>45121.875</v>
      </c>
      <c r="BB172" s="165">
        <v>45124.583333333336</v>
      </c>
      <c r="BC172" s="165">
        <v>45126.5625</v>
      </c>
      <c r="BD172" s="165">
        <v>45126.809027777781</v>
      </c>
      <c r="BE172" s="165">
        <v>45126.953472222223</v>
      </c>
      <c r="BF172" s="165">
        <v>45126.961805555555</v>
      </c>
      <c r="BG172" s="165">
        <v>45126.961805555555</v>
      </c>
      <c r="BH172" s="165">
        <f t="shared" si="61"/>
        <v>45128.670138888891</v>
      </c>
      <c r="BI172" s="165">
        <v>45129.25</v>
      </c>
      <c r="BJ172" s="165">
        <v>45129.416666666664</v>
      </c>
      <c r="BK172" s="165">
        <v>45129.368055555555</v>
      </c>
      <c r="BL172" s="165">
        <v>45131.302083333336</v>
      </c>
      <c r="BM172" s="165">
        <v>45133.559027777781</v>
      </c>
      <c r="BN172" s="165">
        <v>45133.75</v>
      </c>
      <c r="BO172" s="165">
        <v>45133.8125</v>
      </c>
      <c r="BP172" s="165">
        <v>45133.8125</v>
      </c>
      <c r="BQ172" s="165">
        <v>45133.8125</v>
      </c>
      <c r="BR172" s="126" t="s">
        <v>2659</v>
      </c>
      <c r="BT172" s="136">
        <f t="shared" si="43"/>
        <v>47.499999999941792</v>
      </c>
      <c r="BU172" s="136">
        <f t="shared" si="44"/>
        <v>3.46666666661622</v>
      </c>
      <c r="BV172" s="136">
        <f t="shared" si="45"/>
        <v>41.000000000058208</v>
      </c>
      <c r="BW172" s="136">
        <f t="shared" si="62"/>
        <v>45.250000000116415</v>
      </c>
      <c r="BX172" s="135">
        <f t="shared" si="46"/>
        <v>4.5833333332557231</v>
      </c>
      <c r="BY172" s="135">
        <f t="shared" si="47"/>
        <v>0</v>
      </c>
      <c r="BZ172" s="134">
        <f t="shared" si="48"/>
        <v>5.9083333333328483</v>
      </c>
      <c r="CA172" s="134">
        <f t="shared" si="49"/>
        <v>11.9375</v>
      </c>
      <c r="CB172" s="133">
        <f t="shared" si="50"/>
        <v>0.49493891797552658</v>
      </c>
    </row>
    <row r="173" spans="1:80" s="126" customFormat="1">
      <c r="A173" s="192">
        <f t="shared" si="52"/>
        <v>45126.809027777781</v>
      </c>
      <c r="B173" s="126" t="s">
        <v>228</v>
      </c>
      <c r="C173" s="126" t="s">
        <v>229</v>
      </c>
      <c r="D173" s="126" t="s">
        <v>197</v>
      </c>
      <c r="E173" s="65" t="s">
        <v>2189</v>
      </c>
      <c r="G173" s="315">
        <v>45135.875</v>
      </c>
      <c r="H173" s="315">
        <v>45135.775000000001</v>
      </c>
      <c r="I173" s="126" t="s">
        <v>490</v>
      </c>
      <c r="J173" s="126" t="s">
        <v>192</v>
      </c>
      <c r="K173" s="126" t="s">
        <v>192</v>
      </c>
      <c r="L173" s="126" t="s">
        <v>2155</v>
      </c>
      <c r="M173" s="167"/>
      <c r="N173" s="126" t="s">
        <v>2156</v>
      </c>
      <c r="O173" s="126" t="s">
        <v>1835</v>
      </c>
      <c r="P173" s="126" t="s">
        <v>494</v>
      </c>
      <c r="Q173" s="181">
        <f>3131*2.4</f>
        <v>7514.4</v>
      </c>
      <c r="R173" s="181">
        <f>7550+100</f>
        <v>7650</v>
      </c>
      <c r="S173" s="181">
        <v>2195.5729999999999</v>
      </c>
      <c r="T173" s="181"/>
      <c r="U173" s="181">
        <f t="shared" si="63"/>
        <v>2195.5729999999999</v>
      </c>
      <c r="AX173" s="165">
        <f t="shared" si="55"/>
        <v>45121.875</v>
      </c>
      <c r="AY173" s="165">
        <f t="shared" si="56"/>
        <v>45136.791666666664</v>
      </c>
      <c r="AZ173" s="137">
        <f t="shared" si="57"/>
        <v>14.916666666664241</v>
      </c>
      <c r="BA173" s="165">
        <v>45121.875</v>
      </c>
      <c r="BB173" s="165">
        <v>45124.583333333336</v>
      </c>
      <c r="BC173" s="165">
        <v>45126.5625</v>
      </c>
      <c r="BD173" s="165">
        <v>45126.809027777781</v>
      </c>
      <c r="BE173" s="165">
        <v>45126.953472222223</v>
      </c>
      <c r="BF173" s="165">
        <v>45126.961805555555</v>
      </c>
      <c r="BG173" s="165">
        <v>45126.961805555555</v>
      </c>
      <c r="BH173" s="165">
        <f t="shared" si="61"/>
        <v>45128.670138888891</v>
      </c>
      <c r="BI173" s="165">
        <v>45129.25</v>
      </c>
      <c r="BJ173" s="165">
        <v>45129.416666666664</v>
      </c>
      <c r="BK173" s="165">
        <v>45129.368055555555</v>
      </c>
      <c r="BL173" s="165">
        <v>45133.8125</v>
      </c>
      <c r="BM173" s="165">
        <v>45136.256944444445</v>
      </c>
      <c r="BN173" s="165">
        <v>45136.291666666664</v>
      </c>
      <c r="BO173" s="165">
        <v>45136.319444444445</v>
      </c>
      <c r="BP173" s="165">
        <v>45136.319444444445</v>
      </c>
      <c r="BQ173" s="165">
        <v>45136.791666666664</v>
      </c>
      <c r="BR173" s="126" t="s">
        <v>2659</v>
      </c>
      <c r="BT173" s="136">
        <f t="shared" si="43"/>
        <v>47.499999999941792</v>
      </c>
      <c r="BU173" s="136">
        <f t="shared" si="44"/>
        <v>3.46666666661622</v>
      </c>
      <c r="BV173" s="136">
        <f t="shared" si="45"/>
        <v>41.000000000058208</v>
      </c>
      <c r="BW173" s="136">
        <f t="shared" si="62"/>
        <v>105.50000000005821</v>
      </c>
      <c r="BX173" s="135">
        <f t="shared" si="46"/>
        <v>0.83333333325572312</v>
      </c>
      <c r="BY173" s="135">
        <f t="shared" si="47"/>
        <v>11.333333333255723</v>
      </c>
      <c r="BZ173" s="134">
        <f t="shared" si="48"/>
        <v>8.7347222222160781</v>
      </c>
      <c r="CA173" s="134">
        <f t="shared" si="49"/>
        <v>14.916666666664241</v>
      </c>
      <c r="CB173" s="133">
        <f t="shared" si="50"/>
        <v>0.585567970204525</v>
      </c>
    </row>
    <row r="174" spans="1:80" s="126" customFormat="1">
      <c r="A174" s="192">
        <f t="shared" si="52"/>
        <v>45127.034722222219</v>
      </c>
      <c r="B174" s="126" t="s">
        <v>228</v>
      </c>
      <c r="C174" s="126" t="s">
        <v>229</v>
      </c>
      <c r="D174" s="126" t="s">
        <v>197</v>
      </c>
      <c r="E174" s="65" t="s">
        <v>2146</v>
      </c>
      <c r="G174" s="165">
        <v>45130.833333333336</v>
      </c>
      <c r="H174" s="165">
        <v>45130.8125</v>
      </c>
      <c r="I174" s="126" t="s">
        <v>490</v>
      </c>
      <c r="J174" s="126" t="s">
        <v>192</v>
      </c>
      <c r="K174" s="126" t="s">
        <v>192</v>
      </c>
      <c r="L174" s="126" t="s">
        <v>2154</v>
      </c>
      <c r="M174" s="167"/>
      <c r="N174" s="126" t="s">
        <v>284</v>
      </c>
      <c r="O174" s="126" t="s">
        <v>285</v>
      </c>
      <c r="P174" s="126" t="s">
        <v>494</v>
      </c>
      <c r="Q174" s="181">
        <f>3852*2.4</f>
        <v>9244.7999999999993</v>
      </c>
      <c r="R174" s="181">
        <f>9250+100</f>
        <v>9350</v>
      </c>
      <c r="S174" s="181">
        <v>9221.741</v>
      </c>
      <c r="T174" s="181"/>
      <c r="U174" s="181">
        <f t="shared" si="63"/>
        <v>9221.741</v>
      </c>
      <c r="AX174" s="165">
        <f t="shared" si="55"/>
        <v>45124.118055555555</v>
      </c>
      <c r="AY174" s="165">
        <f t="shared" si="56"/>
        <v>45134.083333333336</v>
      </c>
      <c r="AZ174" s="137">
        <f t="shared" si="57"/>
        <v>9.9652777777810115</v>
      </c>
      <c r="BA174" s="165">
        <v>45124.118055555555</v>
      </c>
      <c r="BB174" s="165">
        <v>45125.5625</v>
      </c>
      <c r="BC174" s="165">
        <v>45127.020833333336</v>
      </c>
      <c r="BD174" s="165">
        <v>45127.034722222219</v>
      </c>
      <c r="BE174" s="165">
        <v>45127.192361111112</v>
      </c>
      <c r="BF174" s="165">
        <v>45127.197916666664</v>
      </c>
      <c r="BG174" s="165">
        <v>45127.197916666664</v>
      </c>
      <c r="BH174" s="165">
        <f t="shared" si="61"/>
        <v>45128.90625</v>
      </c>
      <c r="BI174" s="165">
        <v>45129.25</v>
      </c>
      <c r="BJ174" s="165">
        <v>45129.416666666664</v>
      </c>
      <c r="BK174" s="165">
        <v>45129.375</v>
      </c>
      <c r="BL174" s="165">
        <v>45130.5</v>
      </c>
      <c r="BM174" s="165">
        <v>45133.201388888891</v>
      </c>
      <c r="BN174" s="165">
        <v>45133.5</v>
      </c>
      <c r="BO174" s="165">
        <v>45133.534722222219</v>
      </c>
      <c r="BP174" s="165">
        <v>45133.791666666664</v>
      </c>
      <c r="BQ174" s="165">
        <v>45134.083333333336</v>
      </c>
      <c r="BT174" s="136">
        <f t="shared" si="43"/>
        <v>35.000000000058208</v>
      </c>
      <c r="BU174" s="136">
        <f t="shared" si="44"/>
        <v>3.7833333334419876</v>
      </c>
      <c r="BV174" s="136">
        <f t="shared" si="45"/>
        <v>41.000000000058208</v>
      </c>
      <c r="BW174" s="136">
        <f t="shared" si="62"/>
        <v>26.000000000058208</v>
      </c>
      <c r="BX174" s="135">
        <f t="shared" si="46"/>
        <v>7.1666666666278616</v>
      </c>
      <c r="BY174" s="135">
        <f t="shared" si="47"/>
        <v>7.0000000001164153</v>
      </c>
      <c r="BZ174" s="134">
        <f t="shared" si="48"/>
        <v>4.9979166666817036</v>
      </c>
      <c r="CA174" s="134">
        <f t="shared" si="49"/>
        <v>9.9652777777810115</v>
      </c>
      <c r="CB174" s="133">
        <f t="shared" si="50"/>
        <v>0.50153310104664239</v>
      </c>
    </row>
    <row r="175" spans="1:80" s="126" customFormat="1">
      <c r="A175" s="192">
        <f t="shared" si="52"/>
        <v>45131.818055555559</v>
      </c>
      <c r="B175" s="126" t="s">
        <v>228</v>
      </c>
      <c r="C175" s="126" t="s">
        <v>229</v>
      </c>
      <c r="D175" s="126" t="s">
        <v>197</v>
      </c>
      <c r="E175" s="65" t="s">
        <v>2211</v>
      </c>
      <c r="G175" s="315">
        <v>45129.083333333336</v>
      </c>
      <c r="H175" s="315">
        <v>45129.125</v>
      </c>
      <c r="I175" s="126" t="s">
        <v>490</v>
      </c>
      <c r="J175" s="126" t="s">
        <v>192</v>
      </c>
      <c r="K175" s="126" t="s">
        <v>192</v>
      </c>
      <c r="L175" s="126" t="s">
        <v>2216</v>
      </c>
      <c r="M175" s="167"/>
      <c r="N175" s="126" t="s">
        <v>292</v>
      </c>
      <c r="O175" s="126" t="s">
        <v>293</v>
      </c>
      <c r="P175" s="126" t="s">
        <v>2217</v>
      </c>
      <c r="Q175" s="181">
        <f>3142*2.4</f>
        <v>7540.7999999999993</v>
      </c>
      <c r="R175" s="181">
        <f>7550+100</f>
        <v>7650</v>
      </c>
      <c r="S175" s="181">
        <v>7591.9350000000004</v>
      </c>
      <c r="T175" s="181"/>
      <c r="U175" s="181">
        <f t="shared" si="63"/>
        <v>7591.9350000000004</v>
      </c>
      <c r="AX175" s="165">
        <f t="shared" si="55"/>
        <v>45126.9375</v>
      </c>
      <c r="AY175" s="165">
        <f t="shared" si="56"/>
        <v>45141.333333333336</v>
      </c>
      <c r="AZ175" s="137">
        <f t="shared" si="57"/>
        <v>14.395833333335759</v>
      </c>
      <c r="BA175" s="165">
        <v>45126.9375</v>
      </c>
      <c r="BB175" s="165">
        <v>45127.548611111109</v>
      </c>
      <c r="BC175" s="165">
        <v>45129.041666666664</v>
      </c>
      <c r="BD175" s="165">
        <v>45131.818055555559</v>
      </c>
      <c r="BE175" s="165">
        <v>45132.036111111112</v>
      </c>
      <c r="BF175" s="165">
        <v>45132.041666666664</v>
      </c>
      <c r="BG175" s="165">
        <v>45132.041666666664</v>
      </c>
      <c r="BH175" s="165">
        <f t="shared" si="61"/>
        <v>45133.75</v>
      </c>
      <c r="BI175" s="165">
        <v>45134.291666666664</v>
      </c>
      <c r="BJ175" s="165">
        <v>45134.458333333328</v>
      </c>
      <c r="BK175" s="165">
        <v>45134.305555555555</v>
      </c>
      <c r="BL175" s="165">
        <v>45137.166666666664</v>
      </c>
      <c r="BM175" s="165">
        <v>45140.590277777781</v>
      </c>
      <c r="BN175" s="165">
        <v>45140.84375</v>
      </c>
      <c r="BO175" s="165">
        <v>45140.864583333336</v>
      </c>
      <c r="BP175" s="165">
        <v>45141.152777777781</v>
      </c>
      <c r="BQ175" s="165">
        <v>45141.333333333336</v>
      </c>
      <c r="BT175" s="136">
        <f t="shared" si="43"/>
        <v>35.833333333313931</v>
      </c>
      <c r="BU175" s="136">
        <f t="shared" si="44"/>
        <v>5.2333333332790062</v>
      </c>
      <c r="BV175" s="136">
        <f t="shared" si="45"/>
        <v>41.000000000058208</v>
      </c>
      <c r="BW175" s="136">
        <f t="shared" si="62"/>
        <v>65.000000000058208</v>
      </c>
      <c r="BX175" s="135">
        <f t="shared" si="46"/>
        <v>6.0833333332557231</v>
      </c>
      <c r="BY175" s="135">
        <f t="shared" si="47"/>
        <v>4.3333333333139308</v>
      </c>
      <c r="BZ175" s="134">
        <f t="shared" si="48"/>
        <v>6.5618055555532919</v>
      </c>
      <c r="CA175" s="134">
        <f t="shared" si="49"/>
        <v>14.395833333335759</v>
      </c>
      <c r="CB175" s="133">
        <f t="shared" si="50"/>
        <v>0.45581283164472497</v>
      </c>
    </row>
    <row r="176" spans="1:80" s="126" customFormat="1">
      <c r="A176" s="192"/>
      <c r="D176" s="126" t="s">
        <v>215</v>
      </c>
      <c r="E176" s="65"/>
      <c r="G176" s="166"/>
      <c r="H176" s="166"/>
      <c r="J176" s="126" t="s">
        <v>2660</v>
      </c>
      <c r="L176" s="126" t="s">
        <v>2661</v>
      </c>
      <c r="M176" s="167"/>
      <c r="N176" s="126" t="s">
        <v>252</v>
      </c>
      <c r="O176" s="126" t="s">
        <v>253</v>
      </c>
      <c r="Q176" s="181">
        <f>3107*2.4</f>
        <v>7456.7999999999993</v>
      </c>
      <c r="R176" s="181">
        <f>7500+100</f>
        <v>7600</v>
      </c>
      <c r="S176" s="181">
        <v>7550</v>
      </c>
      <c r="T176" s="181"/>
      <c r="AX176" s="165">
        <f t="shared" si="55"/>
        <v>45124.291666666664</v>
      </c>
      <c r="AY176" s="165">
        <f t="shared" si="56"/>
        <v>45139</v>
      </c>
      <c r="AZ176" s="137">
        <f t="shared" si="57"/>
        <v>14.708333333335759</v>
      </c>
      <c r="BA176" s="165">
        <v>45124.291666666664</v>
      </c>
      <c r="BB176" s="165"/>
      <c r="BC176" s="165"/>
      <c r="BD176" s="165"/>
      <c r="BE176" s="165"/>
      <c r="BF176" s="165"/>
      <c r="BG176" s="165"/>
      <c r="BH176" s="165"/>
      <c r="BI176" s="165"/>
      <c r="BJ176" s="165"/>
      <c r="BK176" s="166"/>
      <c r="BL176" s="165"/>
      <c r="BM176" s="165"/>
      <c r="BN176" s="165"/>
      <c r="BO176" s="165"/>
      <c r="BP176" s="165"/>
      <c r="BQ176" s="165">
        <v>45139</v>
      </c>
      <c r="BT176" s="136">
        <f t="shared" si="43"/>
        <v>0</v>
      </c>
      <c r="BU176" s="136">
        <f t="shared" si="44"/>
        <v>0</v>
      </c>
      <c r="BV176" s="136">
        <f t="shared" si="45"/>
        <v>0</v>
      </c>
      <c r="BW176" s="136">
        <f t="shared" si="62"/>
        <v>0</v>
      </c>
      <c r="BX176" s="135">
        <f t="shared" si="46"/>
        <v>0</v>
      </c>
      <c r="BY176" s="135">
        <f t="shared" si="47"/>
        <v>1083336</v>
      </c>
      <c r="BZ176" s="134">
        <f t="shared" si="48"/>
        <v>45139</v>
      </c>
      <c r="CA176" s="134">
        <f t="shared" si="49"/>
        <v>14.708333333335759</v>
      </c>
      <c r="CB176" s="133">
        <f t="shared" si="50"/>
        <v>3068.9405099145083</v>
      </c>
    </row>
    <row r="177" spans="1:80" s="126" customFormat="1">
      <c r="A177" s="192">
        <f t="shared" ref="A177:A191" si="64">BD177</f>
        <v>45132.0625</v>
      </c>
      <c r="B177" s="126" t="s">
        <v>228</v>
      </c>
      <c r="C177" s="126" t="s">
        <v>229</v>
      </c>
      <c r="D177" s="126" t="s">
        <v>215</v>
      </c>
      <c r="E177" s="65" t="s">
        <v>2211</v>
      </c>
      <c r="G177" s="315">
        <v>45129.083333333336</v>
      </c>
      <c r="H177" s="315">
        <v>45129.125</v>
      </c>
      <c r="I177" s="126" t="s">
        <v>490</v>
      </c>
      <c r="J177" s="126" t="s">
        <v>192</v>
      </c>
      <c r="K177" s="126" t="s">
        <v>192</v>
      </c>
      <c r="L177" s="126" t="s">
        <v>2218</v>
      </c>
      <c r="M177" s="167"/>
      <c r="N177" s="126" t="s">
        <v>774</v>
      </c>
      <c r="O177" s="126" t="s">
        <v>423</v>
      </c>
      <c r="P177" s="126" t="s">
        <v>2217</v>
      </c>
      <c r="Q177" s="181">
        <f>3156*2.4</f>
        <v>7574.4</v>
      </c>
      <c r="R177" s="181">
        <f>7600+100</f>
        <v>7700</v>
      </c>
      <c r="S177" s="181">
        <v>7634.8109999999997</v>
      </c>
      <c r="T177" s="181"/>
      <c r="U177" s="181">
        <f t="shared" ref="U177:U191" si="65">S177</f>
        <v>7634.8109999999997</v>
      </c>
      <c r="AX177" s="165">
        <f t="shared" si="55"/>
        <v>45126.947916666664</v>
      </c>
      <c r="AY177" s="165">
        <f t="shared" si="56"/>
        <v>45141.65625</v>
      </c>
      <c r="AZ177" s="137">
        <f t="shared" si="57"/>
        <v>14.708333333335759</v>
      </c>
      <c r="BA177" s="165">
        <v>45126.947916666664</v>
      </c>
      <c r="BB177" s="165">
        <v>45127.545138888891</v>
      </c>
      <c r="BC177" s="165">
        <v>45129.083333333336</v>
      </c>
      <c r="BD177" s="165">
        <v>45132.0625</v>
      </c>
      <c r="BE177" s="165">
        <v>45132.357638888891</v>
      </c>
      <c r="BF177" s="165">
        <v>45132.364583333336</v>
      </c>
      <c r="BG177" s="165">
        <v>45132.364583333336</v>
      </c>
      <c r="BH177" s="165">
        <f t="shared" ref="BH177:BH191" si="66">BG177+(41/24)</f>
        <v>45134.072916666672</v>
      </c>
      <c r="BI177" s="165">
        <v>45135.291666608799</v>
      </c>
      <c r="BJ177" s="165">
        <v>45135.458333275463</v>
      </c>
      <c r="BK177" s="165">
        <v>45135.415972222225</v>
      </c>
      <c r="BL177" s="165">
        <v>45137.333333333336</v>
      </c>
      <c r="BM177" s="165">
        <v>45140.90625</v>
      </c>
      <c r="BN177" s="165">
        <v>45141.25</v>
      </c>
      <c r="BO177" s="165">
        <v>45141.270833333336</v>
      </c>
      <c r="BP177" s="165">
        <v>45141.270833333336</v>
      </c>
      <c r="BQ177" s="165">
        <v>45141.65625</v>
      </c>
      <c r="BT177" s="136">
        <f t="shared" si="43"/>
        <v>36.916666666686069</v>
      </c>
      <c r="BU177" s="136">
        <f t="shared" si="44"/>
        <v>7.0833333333721384</v>
      </c>
      <c r="BV177" s="136">
        <f t="shared" si="45"/>
        <v>41.000000000058208</v>
      </c>
      <c r="BW177" s="136">
        <f t="shared" si="62"/>
        <v>45.000001388951205</v>
      </c>
      <c r="BX177" s="135">
        <f t="shared" si="46"/>
        <v>8.25</v>
      </c>
      <c r="BY177" s="135">
        <f t="shared" si="47"/>
        <v>9.2499999999417923</v>
      </c>
      <c r="BZ177" s="134">
        <f t="shared" si="48"/>
        <v>6.1458333912087255</v>
      </c>
      <c r="CA177" s="134">
        <f t="shared" si="49"/>
        <v>14.708333333335759</v>
      </c>
      <c r="CB177" s="133">
        <f t="shared" si="50"/>
        <v>0.41784702943055269</v>
      </c>
    </row>
    <row r="178" spans="1:80" s="126" customFormat="1">
      <c r="A178" s="192">
        <f t="shared" si="64"/>
        <v>45132.805555555555</v>
      </c>
      <c r="B178" s="126" t="s">
        <v>228</v>
      </c>
      <c r="C178" s="126" t="s">
        <v>229</v>
      </c>
      <c r="D178" s="126" t="s">
        <v>197</v>
      </c>
      <c r="E178" s="65" t="s">
        <v>2189</v>
      </c>
      <c r="G178" s="315">
        <v>45135.875</v>
      </c>
      <c r="H178" s="315">
        <v>45135.775000000001</v>
      </c>
      <c r="I178" s="126" t="s">
        <v>490</v>
      </c>
      <c r="J178" s="126" t="s">
        <v>192</v>
      </c>
      <c r="K178" s="126" t="s">
        <v>192</v>
      </c>
      <c r="L178" s="126" t="s">
        <v>2192</v>
      </c>
      <c r="M178" s="167"/>
      <c r="N178" s="126" t="s">
        <v>1848</v>
      </c>
      <c r="O178" s="126" t="s">
        <v>350</v>
      </c>
      <c r="P178" s="126" t="s">
        <v>494</v>
      </c>
      <c r="Q178" s="181">
        <f>3077*2.4</f>
        <v>7384.7999999999993</v>
      </c>
      <c r="R178" s="181">
        <f>7400+100</f>
        <v>7500</v>
      </c>
      <c r="S178" s="181">
        <v>7300.4459999999999</v>
      </c>
      <c r="T178" s="181"/>
      <c r="U178" s="181">
        <f t="shared" si="65"/>
        <v>7300.4459999999999</v>
      </c>
      <c r="AX178" s="165">
        <f t="shared" si="55"/>
        <v>45126.958333333336</v>
      </c>
      <c r="AY178" s="165">
        <f t="shared" si="56"/>
        <v>45137.416666666664</v>
      </c>
      <c r="AZ178" s="137">
        <f t="shared" si="57"/>
        <v>10.458333333328483</v>
      </c>
      <c r="BA178" s="165">
        <v>45126.958333333336</v>
      </c>
      <c r="BB178" s="165">
        <v>45127.777777777781</v>
      </c>
      <c r="BC178" s="165">
        <v>45129.3125</v>
      </c>
      <c r="BD178" s="165">
        <v>45132.805555555555</v>
      </c>
      <c r="BE178" s="165">
        <v>45132.934027777781</v>
      </c>
      <c r="BF178" s="165">
        <v>45132.944444444445</v>
      </c>
      <c r="BG178" s="165">
        <v>45133.270833333336</v>
      </c>
      <c r="BH178" s="165">
        <f t="shared" si="66"/>
        <v>45134.979166666672</v>
      </c>
      <c r="BI178" s="210">
        <v>45135.291666608799</v>
      </c>
      <c r="BJ178" s="210">
        <v>45135.458333275463</v>
      </c>
      <c r="BK178" s="210">
        <v>45135.336805555555</v>
      </c>
      <c r="BL178" s="165">
        <v>45136.486111111109</v>
      </c>
      <c r="BM178" s="165">
        <v>45136.847222222219</v>
      </c>
      <c r="BN178" s="165">
        <v>45137</v>
      </c>
      <c r="BO178" s="165">
        <v>45137.027777777781</v>
      </c>
      <c r="BP178" s="165">
        <v>45137.027777777781</v>
      </c>
      <c r="BQ178" s="165">
        <v>45137.416666666664</v>
      </c>
      <c r="BT178" s="136">
        <f t="shared" si="43"/>
        <v>36.833333333255723</v>
      </c>
      <c r="BU178" s="136">
        <f t="shared" si="44"/>
        <v>3.0833333334303461</v>
      </c>
      <c r="BV178" s="136">
        <f t="shared" si="45"/>
        <v>41.000000000058208</v>
      </c>
      <c r="BW178" s="136">
        <f t="shared" si="62"/>
        <v>24.666668055520859</v>
      </c>
      <c r="BX178" s="135">
        <f t="shared" si="46"/>
        <v>3.6666666667442769</v>
      </c>
      <c r="BY178" s="135">
        <f t="shared" si="47"/>
        <v>9.3333333331975155</v>
      </c>
      <c r="BZ178" s="134">
        <f t="shared" si="48"/>
        <v>4.9409722800919553</v>
      </c>
      <c r="CA178" s="134">
        <f t="shared" si="49"/>
        <v>10.458333333328483</v>
      </c>
      <c r="CB178" s="133">
        <f t="shared" si="50"/>
        <v>0.47244356463052561</v>
      </c>
    </row>
    <row r="179" spans="1:80" s="126" customFormat="1">
      <c r="A179" s="192">
        <f t="shared" si="64"/>
        <v>45132.965277777781</v>
      </c>
      <c r="B179" s="126" t="s">
        <v>228</v>
      </c>
      <c r="C179" s="126" t="s">
        <v>229</v>
      </c>
      <c r="D179" s="126" t="s">
        <v>197</v>
      </c>
      <c r="E179" s="65" t="s">
        <v>2189</v>
      </c>
      <c r="G179" s="315">
        <v>45135.875</v>
      </c>
      <c r="H179" s="315">
        <v>45135.775000000001</v>
      </c>
      <c r="I179" s="126" t="s">
        <v>490</v>
      </c>
      <c r="J179" s="126" t="s">
        <v>192</v>
      </c>
      <c r="K179" s="126" t="s">
        <v>192</v>
      </c>
      <c r="L179" s="126" t="s">
        <v>2195</v>
      </c>
      <c r="M179" s="167"/>
      <c r="N179" s="126" t="s">
        <v>695</v>
      </c>
      <c r="O179" s="126" t="s">
        <v>281</v>
      </c>
      <c r="P179" s="126" t="s">
        <v>494</v>
      </c>
      <c r="Q179" s="181">
        <f>3102*2.4</f>
        <v>7444.7999999999993</v>
      </c>
      <c r="R179" s="181">
        <f>7450+100</f>
        <v>7550</v>
      </c>
      <c r="S179" s="181">
        <v>7324.2479999999996</v>
      </c>
      <c r="T179" s="181"/>
      <c r="U179" s="181">
        <f t="shared" si="65"/>
        <v>7324.2479999999996</v>
      </c>
      <c r="AX179" s="165">
        <f t="shared" si="55"/>
        <v>45126.416666666664</v>
      </c>
      <c r="AY179" s="165">
        <f t="shared" si="56"/>
        <v>45137.9375</v>
      </c>
      <c r="AZ179" s="137">
        <f t="shared" si="57"/>
        <v>11.520833333335759</v>
      </c>
      <c r="BA179" s="165">
        <v>45126.416666666664</v>
      </c>
      <c r="BB179" s="165">
        <v>45127.565972222219</v>
      </c>
      <c r="BC179" s="165">
        <v>45129.708333333336</v>
      </c>
      <c r="BD179" s="165">
        <v>45132.965277777781</v>
      </c>
      <c r="BE179" s="165">
        <v>45133.098611111112</v>
      </c>
      <c r="BF179" s="165">
        <v>45133.104166666664</v>
      </c>
      <c r="BG179" s="165">
        <v>45133.104166666664</v>
      </c>
      <c r="BH179" s="165">
        <f t="shared" si="66"/>
        <v>45134.8125</v>
      </c>
      <c r="BI179" s="210">
        <v>45135.291666608799</v>
      </c>
      <c r="BJ179" s="210">
        <v>45135.458333275463</v>
      </c>
      <c r="BK179" s="210">
        <v>45135.336805555555</v>
      </c>
      <c r="BL179" s="165">
        <v>45136.666666666664</v>
      </c>
      <c r="BM179" s="165">
        <v>45137.444444444445</v>
      </c>
      <c r="BN179" s="165">
        <v>45137.597222222219</v>
      </c>
      <c r="BO179" s="165">
        <v>45137.618055555555</v>
      </c>
      <c r="BP179" s="165">
        <v>45137.618055555555</v>
      </c>
      <c r="BQ179" s="165">
        <v>45137.9375</v>
      </c>
      <c r="BT179" s="136">
        <f t="shared" si="43"/>
        <v>51.416666666802485</v>
      </c>
      <c r="BU179" s="136">
        <f t="shared" si="44"/>
        <v>3.1999999999534339</v>
      </c>
      <c r="BV179" s="136">
        <f t="shared" si="45"/>
        <v>41.000000000058208</v>
      </c>
      <c r="BW179" s="136">
        <f t="shared" si="62"/>
        <v>29.000001388834789</v>
      </c>
      <c r="BX179" s="135">
        <f t="shared" si="46"/>
        <v>3.6666666665696539</v>
      </c>
      <c r="BY179" s="135">
        <f t="shared" si="47"/>
        <v>7.6666666666860692</v>
      </c>
      <c r="BZ179" s="134">
        <f t="shared" si="48"/>
        <v>5.6645833912043599</v>
      </c>
      <c r="CA179" s="134">
        <f t="shared" si="49"/>
        <v>11.520833333335759</v>
      </c>
      <c r="CB179" s="133">
        <f t="shared" si="50"/>
        <v>0.49168174100859319</v>
      </c>
    </row>
    <row r="180" spans="1:80" s="126" customFormat="1">
      <c r="A180" s="192">
        <f t="shared" si="64"/>
        <v>45133.125</v>
      </c>
      <c r="B180" s="126" t="s">
        <v>228</v>
      </c>
      <c r="C180" s="126" t="s">
        <v>229</v>
      </c>
      <c r="D180" s="126" t="s">
        <v>197</v>
      </c>
      <c r="E180" s="65" t="s">
        <v>2189</v>
      </c>
      <c r="G180" s="315">
        <v>45135.875</v>
      </c>
      <c r="H180" s="315">
        <v>45135.775000000001</v>
      </c>
      <c r="I180" s="126" t="s">
        <v>490</v>
      </c>
      <c r="J180" s="126" t="s">
        <v>192</v>
      </c>
      <c r="K180" s="126" t="s">
        <v>192</v>
      </c>
      <c r="L180" s="126" t="s">
        <v>2193</v>
      </c>
      <c r="M180" s="167"/>
      <c r="N180" s="126" t="s">
        <v>361</v>
      </c>
      <c r="O180" s="126" t="s">
        <v>362</v>
      </c>
      <c r="P180" s="126" t="s">
        <v>494</v>
      </c>
      <c r="Q180" s="181">
        <f>3039*2.4</f>
        <v>7293.5999999999995</v>
      </c>
      <c r="R180" s="181">
        <f>7300+100</f>
        <v>7400</v>
      </c>
      <c r="S180" s="181">
        <v>7302.38</v>
      </c>
      <c r="T180" s="181"/>
      <c r="U180" s="181">
        <f t="shared" si="65"/>
        <v>7302.38</v>
      </c>
      <c r="AX180" s="165">
        <f t="shared" si="55"/>
        <v>45127.40625</v>
      </c>
      <c r="AY180" s="165">
        <f t="shared" si="56"/>
        <v>45137.510416666664</v>
      </c>
      <c r="AZ180" s="137">
        <f t="shared" si="57"/>
        <v>10.104166666664241</v>
      </c>
      <c r="BA180" s="165">
        <v>45127.40625</v>
      </c>
      <c r="BB180" s="165">
        <v>45128.618055555555</v>
      </c>
      <c r="BC180" s="165">
        <v>45130.28125</v>
      </c>
      <c r="BD180" s="165">
        <v>45133.125</v>
      </c>
      <c r="BE180" s="165">
        <v>45133.263888888891</v>
      </c>
      <c r="BF180" s="165">
        <v>45133.267361111109</v>
      </c>
      <c r="BG180" s="165">
        <v>45133.267361111109</v>
      </c>
      <c r="BH180" s="165">
        <f t="shared" si="66"/>
        <v>45134.975694444445</v>
      </c>
      <c r="BI180" s="210">
        <v>45135.291666608799</v>
      </c>
      <c r="BJ180" s="210">
        <v>45135.458333275463</v>
      </c>
      <c r="BK180" s="210">
        <v>45135.329861111109</v>
      </c>
      <c r="BL180" s="165">
        <v>45136.493055555555</v>
      </c>
      <c r="BM180" s="165">
        <v>45137.048611111109</v>
      </c>
      <c r="BN180" s="165">
        <v>45137.201388888891</v>
      </c>
      <c r="BO180" s="165">
        <v>45137.229166666664</v>
      </c>
      <c r="BP180" s="165">
        <v>45137.229166666664</v>
      </c>
      <c r="BQ180" s="165">
        <v>45137.510416666664</v>
      </c>
      <c r="BT180" s="136">
        <f t="shared" si="43"/>
        <v>39.916666666686069</v>
      </c>
      <c r="BU180" s="136">
        <f t="shared" si="44"/>
        <v>3.3333333333721384</v>
      </c>
      <c r="BV180" s="136">
        <f t="shared" si="45"/>
        <v>41.000000000058208</v>
      </c>
      <c r="BW180" s="136">
        <f t="shared" si="62"/>
        <v>24.833334722206928</v>
      </c>
      <c r="BX180" s="135">
        <f t="shared" si="46"/>
        <v>3.6666666667442769</v>
      </c>
      <c r="BY180" s="135">
        <f t="shared" si="47"/>
        <v>6.75</v>
      </c>
      <c r="BZ180" s="134">
        <f t="shared" si="48"/>
        <v>4.9791667245444842</v>
      </c>
      <c r="CA180" s="134">
        <f t="shared" si="49"/>
        <v>10.104166666664241</v>
      </c>
      <c r="CB180" s="133">
        <f t="shared" si="50"/>
        <v>0.49278351088287137</v>
      </c>
    </row>
    <row r="181" spans="1:80" s="126" customFormat="1">
      <c r="A181" s="192">
        <f t="shared" si="64"/>
        <v>45133.326388888891</v>
      </c>
      <c r="B181" s="126" t="s">
        <v>228</v>
      </c>
      <c r="C181" s="126" t="s">
        <v>229</v>
      </c>
      <c r="D181" s="126" t="s">
        <v>215</v>
      </c>
      <c r="E181" s="65" t="s">
        <v>2189</v>
      </c>
      <c r="G181" s="315">
        <v>45135.875</v>
      </c>
      <c r="H181" s="315">
        <v>45135.775000000001</v>
      </c>
      <c r="I181" s="126" t="s">
        <v>490</v>
      </c>
      <c r="J181" s="126" t="s">
        <v>192</v>
      </c>
      <c r="K181" s="126" t="s">
        <v>192</v>
      </c>
      <c r="L181" s="126" t="s">
        <v>2191</v>
      </c>
      <c r="M181" s="167"/>
      <c r="N181" s="126" t="s">
        <v>390</v>
      </c>
      <c r="O181" s="126" t="s">
        <v>391</v>
      </c>
      <c r="P181" s="126" t="s">
        <v>494</v>
      </c>
      <c r="Q181" s="181">
        <f>3097*2.4</f>
        <v>7432.7999999999993</v>
      </c>
      <c r="R181" s="181">
        <f>7450+100</f>
        <v>7550</v>
      </c>
      <c r="S181" s="181">
        <v>7426.857</v>
      </c>
      <c r="T181" s="181"/>
      <c r="U181" s="181">
        <f t="shared" si="65"/>
        <v>7426.857</v>
      </c>
      <c r="AX181" s="165">
        <f t="shared" si="55"/>
        <v>45127.194444444445</v>
      </c>
      <c r="AY181" s="165">
        <f t="shared" si="56"/>
        <v>45137.291666666664</v>
      </c>
      <c r="AZ181" s="137">
        <f t="shared" si="57"/>
        <v>10.097222222218988</v>
      </c>
      <c r="BA181" s="165">
        <v>45127.194444444445</v>
      </c>
      <c r="BB181" s="165">
        <v>45128.600694444445</v>
      </c>
      <c r="BC181" s="165">
        <v>45130.3125</v>
      </c>
      <c r="BD181" s="165">
        <v>45133.326388888891</v>
      </c>
      <c r="BE181" s="165">
        <v>45133.472916666666</v>
      </c>
      <c r="BF181" s="165">
        <v>45133.479166666664</v>
      </c>
      <c r="BG181" s="165">
        <v>45133.479166666664</v>
      </c>
      <c r="BH181" s="165">
        <f t="shared" si="66"/>
        <v>45135.1875</v>
      </c>
      <c r="BI181" s="165">
        <v>45135.291666608799</v>
      </c>
      <c r="BJ181" s="165">
        <v>45135.458333275463</v>
      </c>
      <c r="BK181" s="165">
        <v>45135.305555555555</v>
      </c>
      <c r="BL181" s="165">
        <v>45136.479166666664</v>
      </c>
      <c r="BM181" s="165">
        <v>45136.59375</v>
      </c>
      <c r="BN181" s="165">
        <v>45136.791666666664</v>
      </c>
      <c r="BO181" s="165">
        <v>45136.819444444445</v>
      </c>
      <c r="BP181" s="165">
        <v>45137</v>
      </c>
      <c r="BQ181" s="165">
        <v>45137.291666666664</v>
      </c>
      <c r="BT181" s="136">
        <f t="shared" si="43"/>
        <v>41.083333333313931</v>
      </c>
      <c r="BU181" s="136">
        <f t="shared" si="44"/>
        <v>3.5166666666045785</v>
      </c>
      <c r="BV181" s="136">
        <f t="shared" si="45"/>
        <v>41.000000000058208</v>
      </c>
      <c r="BW181" s="136">
        <f t="shared" si="62"/>
        <v>24.500001388834789</v>
      </c>
      <c r="BX181" s="135">
        <f t="shared" si="46"/>
        <v>4.7499999999417923</v>
      </c>
      <c r="BY181" s="135">
        <f t="shared" si="47"/>
        <v>6.9999999999417923</v>
      </c>
      <c r="BZ181" s="134">
        <f t="shared" si="48"/>
        <v>5.0770833911956288</v>
      </c>
      <c r="CA181" s="134">
        <f t="shared" si="49"/>
        <v>10.097222222218988</v>
      </c>
      <c r="CB181" s="133">
        <f t="shared" si="50"/>
        <v>0.50281981315846269</v>
      </c>
    </row>
    <row r="182" spans="1:80" s="126" customFormat="1">
      <c r="A182" s="192">
        <f t="shared" si="64"/>
        <v>45133.513888888891</v>
      </c>
      <c r="B182" s="126" t="s">
        <v>228</v>
      </c>
      <c r="C182" s="126" t="s">
        <v>229</v>
      </c>
      <c r="D182" s="126" t="s">
        <v>197</v>
      </c>
      <c r="E182" s="65" t="s">
        <v>2189</v>
      </c>
      <c r="G182" s="315">
        <v>45135.875</v>
      </c>
      <c r="H182" s="315">
        <v>45135.775000000001</v>
      </c>
      <c r="I182" s="126" t="s">
        <v>490</v>
      </c>
      <c r="J182" s="126" t="s">
        <v>192</v>
      </c>
      <c r="K182" s="126" t="s">
        <v>192</v>
      </c>
      <c r="L182" s="126" t="s">
        <v>2194</v>
      </c>
      <c r="M182" s="167"/>
      <c r="N182" s="126" t="s">
        <v>330</v>
      </c>
      <c r="O182" s="126" t="s">
        <v>331</v>
      </c>
      <c r="P182" s="126" t="s">
        <v>494</v>
      </c>
      <c r="Q182" s="181">
        <f>3136*2.4</f>
        <v>7526.4</v>
      </c>
      <c r="R182" s="181">
        <f>7550+100</f>
        <v>7650</v>
      </c>
      <c r="S182" s="181">
        <v>7434.674</v>
      </c>
      <c r="T182" s="181"/>
      <c r="U182" s="181">
        <f t="shared" si="65"/>
        <v>7434.674</v>
      </c>
      <c r="AX182" s="165">
        <f t="shared" si="55"/>
        <v>45126.958333333336</v>
      </c>
      <c r="AY182" s="165">
        <f t="shared" si="56"/>
        <v>45137.854166666664</v>
      </c>
      <c r="AZ182" s="137">
        <f t="shared" si="57"/>
        <v>10.895833333328483</v>
      </c>
      <c r="BA182" s="165">
        <v>45126.958333333336</v>
      </c>
      <c r="BB182" s="165">
        <v>45128.576388888891</v>
      </c>
      <c r="BC182" s="165">
        <v>45130.368055555555</v>
      </c>
      <c r="BD182" s="165">
        <v>45133.513888888891</v>
      </c>
      <c r="BE182" s="165">
        <v>45133.652777777781</v>
      </c>
      <c r="BF182" s="165">
        <v>45133.659722222219</v>
      </c>
      <c r="BG182" s="165">
        <v>45133.659722222219</v>
      </c>
      <c r="BH182" s="165">
        <f t="shared" si="66"/>
        <v>45135.368055555555</v>
      </c>
      <c r="BI182" s="210">
        <v>45135.291666608799</v>
      </c>
      <c r="BJ182" s="210">
        <v>45135.458333275463</v>
      </c>
      <c r="BK182" s="210">
        <v>45135.368055555555</v>
      </c>
      <c r="BL182" s="165">
        <v>45136.583333333336</v>
      </c>
      <c r="BM182" s="165">
        <v>45137.253472222219</v>
      </c>
      <c r="BN182" s="165">
        <v>45137.395833333336</v>
      </c>
      <c r="BO182" s="165">
        <v>45137.423611111109</v>
      </c>
      <c r="BP182" s="165">
        <v>45137.604166666664</v>
      </c>
      <c r="BQ182" s="165">
        <v>45137.854166666664</v>
      </c>
      <c r="BT182" s="136">
        <f t="shared" si="43"/>
        <v>42.999999999941792</v>
      </c>
      <c r="BU182" s="136">
        <f t="shared" si="44"/>
        <v>3.3333333333721384</v>
      </c>
      <c r="BV182" s="136">
        <f t="shared" si="45"/>
        <v>41.000000000058208</v>
      </c>
      <c r="BW182" s="136">
        <f t="shared" si="62"/>
        <v>27.000001388951205</v>
      </c>
      <c r="BX182" s="135">
        <f t="shared" si="46"/>
        <v>3.4166666668024845</v>
      </c>
      <c r="BY182" s="135">
        <f t="shared" si="47"/>
        <v>6</v>
      </c>
      <c r="BZ182" s="134">
        <f t="shared" si="48"/>
        <v>5.1562500578802428</v>
      </c>
      <c r="CA182" s="134">
        <f t="shared" si="49"/>
        <v>10.895833333328483</v>
      </c>
      <c r="CB182" s="133">
        <f t="shared" si="50"/>
        <v>0.47323136286493661</v>
      </c>
    </row>
    <row r="183" spans="1:80" s="126" customFormat="1">
      <c r="A183" s="192">
        <f t="shared" si="64"/>
        <v>45133.958333333336</v>
      </c>
      <c r="B183" s="126" t="s">
        <v>228</v>
      </c>
      <c r="C183" s="126" t="s">
        <v>229</v>
      </c>
      <c r="D183" s="126" t="s">
        <v>215</v>
      </c>
      <c r="E183" s="65" t="s">
        <v>2189</v>
      </c>
      <c r="G183" s="315">
        <v>45135.875</v>
      </c>
      <c r="H183" s="315">
        <v>45135.775000000001</v>
      </c>
      <c r="I183" s="126" t="s">
        <v>490</v>
      </c>
      <c r="J183" s="126" t="s">
        <v>192</v>
      </c>
      <c r="K183" s="126" t="s">
        <v>192</v>
      </c>
      <c r="L183" s="126" t="s">
        <v>2196</v>
      </c>
      <c r="M183" s="167"/>
      <c r="N183" s="126" t="s">
        <v>222</v>
      </c>
      <c r="O183" s="126" t="s">
        <v>223</v>
      </c>
      <c r="P183" s="126" t="s">
        <v>494</v>
      </c>
      <c r="Q183" s="181">
        <f>3137*2.4</f>
        <v>7528.7999999999993</v>
      </c>
      <c r="R183" s="181">
        <f>7550+100</f>
        <v>7650</v>
      </c>
      <c r="S183" s="181">
        <v>7585.8950000000004</v>
      </c>
      <c r="T183" s="181"/>
      <c r="U183" s="181">
        <f t="shared" si="65"/>
        <v>7585.8950000000004</v>
      </c>
      <c r="AX183" s="165">
        <f t="shared" si="55"/>
        <v>45126.336805555555</v>
      </c>
      <c r="AY183" s="165">
        <f t="shared" si="56"/>
        <v>45138.552083333336</v>
      </c>
      <c r="AZ183" s="137">
        <f t="shared" si="57"/>
        <v>12.215277777781012</v>
      </c>
      <c r="BA183" s="165">
        <v>45126.336805555555</v>
      </c>
      <c r="BB183" s="165">
        <v>45128.802083333336</v>
      </c>
      <c r="BC183" s="165">
        <v>45130.5</v>
      </c>
      <c r="BD183" s="165">
        <v>45133.958333333336</v>
      </c>
      <c r="BE183" s="165">
        <v>45134.097222222219</v>
      </c>
      <c r="BF183" s="165">
        <v>45134.104166666664</v>
      </c>
      <c r="BG183" s="165">
        <v>45134.104166666664</v>
      </c>
      <c r="BH183" s="165">
        <f t="shared" si="66"/>
        <v>45135.8125</v>
      </c>
      <c r="BI183" s="165">
        <v>45136.5</v>
      </c>
      <c r="BJ183" s="165">
        <v>45136.666666666664</v>
      </c>
      <c r="BK183" s="165">
        <v>45136.604166666664</v>
      </c>
      <c r="BL183" s="165">
        <v>45137.791666666664</v>
      </c>
      <c r="BM183" s="165">
        <v>45137.958333333336</v>
      </c>
      <c r="BN183" s="165">
        <v>45138.118055555555</v>
      </c>
      <c r="BO183" s="165">
        <v>45138.142361111109</v>
      </c>
      <c r="BP183" s="165">
        <v>45138.142361111109</v>
      </c>
      <c r="BQ183" s="165">
        <v>45138.552083333336</v>
      </c>
      <c r="BT183" s="136">
        <f t="shared" ref="BT183:BT191" si="67">(BC183-BB183)*24</f>
        <v>40.749999999941792</v>
      </c>
      <c r="BU183" s="136">
        <f t="shared" ref="BU183:BU191" si="68">(BE183-BD183)*24</f>
        <v>3.3333333331975155</v>
      </c>
      <c r="BV183" s="136">
        <f t="shared" ref="BV183:BV191" si="69">(BH183-BG183)*24</f>
        <v>41.000000000058208</v>
      </c>
      <c r="BW183" s="136">
        <f t="shared" si="62"/>
        <v>27</v>
      </c>
      <c r="BX183" s="135">
        <f t="shared" ref="BX183:BX191" si="70">(BN183-BM183)*24</f>
        <v>3.8333333332557231</v>
      </c>
      <c r="BY183" s="135">
        <f t="shared" ref="BY183:BY191" si="71">(BQ183-BP183)*24</f>
        <v>9.8333333334303461</v>
      </c>
      <c r="BZ183" s="134">
        <f t="shared" ref="BZ183:BZ191" si="72">SUM(BT183:BY183)/24</f>
        <v>5.2395833333284827</v>
      </c>
      <c r="CA183" s="134">
        <f t="shared" ref="CA183:CA191" si="73">AZ183</f>
        <v>12.215277777781012</v>
      </c>
      <c r="CB183" s="133">
        <f t="shared" ref="CB183:CB191" si="74">BZ183/CA183</f>
        <v>0.42893689596310502</v>
      </c>
    </row>
    <row r="184" spans="1:80" s="126" customFormat="1">
      <c r="A184" s="192">
        <f t="shared" si="64"/>
        <v>45134.121527777781</v>
      </c>
      <c r="B184" s="126" t="s">
        <v>228</v>
      </c>
      <c r="C184" s="126" t="s">
        <v>229</v>
      </c>
      <c r="D184" s="126" t="s">
        <v>197</v>
      </c>
      <c r="E184" s="65" t="s">
        <v>2253</v>
      </c>
      <c r="G184" s="165">
        <v>45141.875</v>
      </c>
      <c r="H184" s="165">
        <v>45141.866666666669</v>
      </c>
      <c r="I184" s="126" t="s">
        <v>490</v>
      </c>
      <c r="J184" s="126" t="s">
        <v>192</v>
      </c>
      <c r="K184" s="126" t="s">
        <v>192</v>
      </c>
      <c r="L184" s="126" t="s">
        <v>2197</v>
      </c>
      <c r="M184" s="167"/>
      <c r="N184" s="126" t="s">
        <v>1313</v>
      </c>
      <c r="O184" s="126" t="s">
        <v>438</v>
      </c>
      <c r="P184" s="126" t="s">
        <v>494</v>
      </c>
      <c r="Q184" s="181">
        <f>3136*2.4</f>
        <v>7526.4</v>
      </c>
      <c r="R184" s="181">
        <f>7550+100</f>
        <v>7650</v>
      </c>
      <c r="S184" s="181">
        <v>602.125</v>
      </c>
      <c r="T184" s="181"/>
      <c r="U184" s="181">
        <f t="shared" si="65"/>
        <v>602.125</v>
      </c>
      <c r="AX184" s="165">
        <f t="shared" si="55"/>
        <v>45127.229166666664</v>
      </c>
      <c r="AY184" s="165">
        <f t="shared" si="56"/>
        <v>45148.729166666664</v>
      </c>
      <c r="AZ184" s="137">
        <f t="shared" si="57"/>
        <v>21.5</v>
      </c>
      <c r="BA184" s="165">
        <v>45127.229166666664</v>
      </c>
      <c r="BB184" s="165">
        <v>45128.579861111109</v>
      </c>
      <c r="BC184" s="165">
        <v>45130.625</v>
      </c>
      <c r="BD184" s="165">
        <v>45134.121527777781</v>
      </c>
      <c r="BE184" s="165">
        <v>45134.260416666664</v>
      </c>
      <c r="BF184" s="165">
        <v>45134.263888888891</v>
      </c>
      <c r="BG184" s="165">
        <v>45134.263888888891</v>
      </c>
      <c r="BH184" s="165">
        <f t="shared" si="66"/>
        <v>45135.972222222226</v>
      </c>
      <c r="BI184" s="165">
        <v>45136.5</v>
      </c>
      <c r="BJ184" s="165">
        <v>45136.666666666664</v>
      </c>
      <c r="BK184" s="165">
        <v>45136.614583333336</v>
      </c>
      <c r="BL184" s="165">
        <v>45138.447916666664</v>
      </c>
      <c r="BM184" s="165">
        <v>45147.798611111109</v>
      </c>
      <c r="BN184" s="165">
        <v>45147.822916666664</v>
      </c>
      <c r="BO184" s="165">
        <v>45147.84375</v>
      </c>
      <c r="BP184" s="165">
        <v>45148.430555555555</v>
      </c>
      <c r="BQ184" s="165">
        <v>45148.729166666664</v>
      </c>
      <c r="BT184" s="136">
        <f t="shared" si="67"/>
        <v>49.083333333372138</v>
      </c>
      <c r="BU184" s="136">
        <f t="shared" si="68"/>
        <v>3.3333333331975155</v>
      </c>
      <c r="BV184" s="136">
        <f t="shared" si="69"/>
        <v>41.000000000058208</v>
      </c>
      <c r="BW184" s="136">
        <f t="shared" si="62"/>
        <v>42.75</v>
      </c>
      <c r="BX184" s="135">
        <f t="shared" si="70"/>
        <v>0.58333333331393078</v>
      </c>
      <c r="BY184" s="135">
        <f t="shared" si="71"/>
        <v>7.1666666666278616</v>
      </c>
      <c r="BZ184" s="134">
        <f t="shared" si="72"/>
        <v>5.9965277777737356</v>
      </c>
      <c r="CA184" s="134">
        <f t="shared" si="73"/>
        <v>21.5</v>
      </c>
      <c r="CB184" s="133">
        <f t="shared" si="74"/>
        <v>0.27890826873366215</v>
      </c>
    </row>
    <row r="185" spans="1:80" s="126" customFormat="1">
      <c r="A185" s="192">
        <f t="shared" si="64"/>
        <v>45134.121527777781</v>
      </c>
      <c r="B185" s="126" t="s">
        <v>228</v>
      </c>
      <c r="C185" s="126" t="s">
        <v>229</v>
      </c>
      <c r="D185" s="126" t="s">
        <v>197</v>
      </c>
      <c r="E185" s="65" t="s">
        <v>2189</v>
      </c>
      <c r="G185" s="315">
        <v>45135.875</v>
      </c>
      <c r="H185" s="315">
        <v>45135.775000000001</v>
      </c>
      <c r="I185" s="126" t="s">
        <v>490</v>
      </c>
      <c r="J185" s="126" t="s">
        <v>192</v>
      </c>
      <c r="K185" s="126" t="s">
        <v>192</v>
      </c>
      <c r="L185" s="126" t="s">
        <v>2197</v>
      </c>
      <c r="M185" s="167"/>
      <c r="N185" s="126" t="s">
        <v>1313</v>
      </c>
      <c r="O185" s="126" t="s">
        <v>438</v>
      </c>
      <c r="P185" s="126" t="s">
        <v>494</v>
      </c>
      <c r="Q185" s="181">
        <f>3136*2.4</f>
        <v>7526.4</v>
      </c>
      <c r="R185" s="181">
        <f>7550+100</f>
        <v>7650</v>
      </c>
      <c r="S185" s="181">
        <f>7596.383-1666.456</f>
        <v>5929.9269999999997</v>
      </c>
      <c r="T185" s="181"/>
      <c r="U185" s="181">
        <f t="shared" si="65"/>
        <v>5929.9269999999997</v>
      </c>
      <c r="AX185" s="165">
        <f t="shared" si="55"/>
        <v>45127.229166666664</v>
      </c>
      <c r="AY185" s="165">
        <f t="shared" si="56"/>
        <v>45138.447916666664</v>
      </c>
      <c r="AZ185" s="137">
        <f t="shared" si="57"/>
        <v>11.21875</v>
      </c>
      <c r="BA185" s="165">
        <v>45127.229166666664</v>
      </c>
      <c r="BB185" s="165">
        <v>45128.579861111109</v>
      </c>
      <c r="BC185" s="165">
        <v>45130.625</v>
      </c>
      <c r="BD185" s="165">
        <v>45134.121527777781</v>
      </c>
      <c r="BE185" s="165">
        <v>45134.260416666664</v>
      </c>
      <c r="BF185" s="165">
        <v>45134.263888888891</v>
      </c>
      <c r="BG185" s="165">
        <v>45134.263888888891</v>
      </c>
      <c r="BH185" s="165">
        <f t="shared" si="66"/>
        <v>45135.972222222226</v>
      </c>
      <c r="BI185" s="165">
        <v>45136.5</v>
      </c>
      <c r="BJ185" s="165">
        <v>45136.666666666664</v>
      </c>
      <c r="BK185" s="165">
        <v>45136.614583333336</v>
      </c>
      <c r="BL185" s="165">
        <v>45138</v>
      </c>
      <c r="BM185" s="165">
        <v>45138.166666666664</v>
      </c>
      <c r="BN185" s="165">
        <v>45138.40625</v>
      </c>
      <c r="BO185" s="165">
        <v>45138.447916666664</v>
      </c>
      <c r="BP185" s="165">
        <v>45138.447916666664</v>
      </c>
      <c r="BQ185" s="165">
        <v>45138.447916666664</v>
      </c>
      <c r="BT185" s="136">
        <f t="shared" si="67"/>
        <v>49.083333333372138</v>
      </c>
      <c r="BU185" s="136">
        <f t="shared" si="68"/>
        <v>3.3333333331975155</v>
      </c>
      <c r="BV185" s="136">
        <f t="shared" si="69"/>
        <v>41.000000000058208</v>
      </c>
      <c r="BW185" s="136">
        <f t="shared" si="62"/>
        <v>32.000000000058208</v>
      </c>
      <c r="BX185" s="135">
        <f t="shared" si="70"/>
        <v>5.7500000000582077</v>
      </c>
      <c r="BY185" s="135">
        <f t="shared" si="71"/>
        <v>0</v>
      </c>
      <c r="BZ185" s="134">
        <f t="shared" si="72"/>
        <v>5.4652777777810115</v>
      </c>
      <c r="CA185" s="134">
        <f t="shared" si="73"/>
        <v>11.21875</v>
      </c>
      <c r="CB185" s="133">
        <f t="shared" si="74"/>
        <v>0.48715567935652471</v>
      </c>
    </row>
    <row r="186" spans="1:80" s="126" customFormat="1" ht="14.4" customHeight="1">
      <c r="A186" s="192">
        <f t="shared" si="64"/>
        <v>45137.326388888891</v>
      </c>
      <c r="B186" s="126" t="s">
        <v>228</v>
      </c>
      <c r="C186" s="126" t="s">
        <v>229</v>
      </c>
      <c r="D186" s="126" t="s">
        <v>197</v>
      </c>
      <c r="E186" s="65" t="s">
        <v>2253</v>
      </c>
      <c r="G186" s="165">
        <v>45141.875</v>
      </c>
      <c r="H186" s="165">
        <v>45141.866666666669</v>
      </c>
      <c r="I186" s="126" t="s">
        <v>490</v>
      </c>
      <c r="J186" s="126" t="s">
        <v>192</v>
      </c>
      <c r="K186" s="126" t="s">
        <v>192</v>
      </c>
      <c r="L186" s="126" t="s">
        <v>2259</v>
      </c>
      <c r="M186" s="167"/>
      <c r="N186" s="126" t="s">
        <v>208</v>
      </c>
      <c r="O186" s="126" t="s">
        <v>328</v>
      </c>
      <c r="P186" s="126" t="s">
        <v>2217</v>
      </c>
      <c r="Q186" s="181">
        <f>3128*2.4</f>
        <v>7507.2</v>
      </c>
      <c r="R186" s="181">
        <f>7550+100</f>
        <v>7650</v>
      </c>
      <c r="S186" s="181">
        <v>7175.4440000000004</v>
      </c>
      <c r="T186" s="181"/>
      <c r="U186" s="181">
        <f t="shared" si="65"/>
        <v>7175.4440000000004</v>
      </c>
      <c r="AX186" s="165">
        <f t="shared" si="55"/>
        <v>45133.15625</v>
      </c>
      <c r="AY186" s="165">
        <f t="shared" si="56"/>
        <v>45148.479166666664</v>
      </c>
      <c r="AZ186" s="137">
        <f t="shared" si="57"/>
        <v>15.322916666664241</v>
      </c>
      <c r="BA186" s="165">
        <v>45133.15625</v>
      </c>
      <c r="BB186" s="165">
        <v>45134.559027777781</v>
      </c>
      <c r="BC186" s="165">
        <v>45135.958333333336</v>
      </c>
      <c r="BD186" s="165">
        <v>45137.326388888891</v>
      </c>
      <c r="BE186" s="165">
        <v>45137.513888888891</v>
      </c>
      <c r="BF186" s="165">
        <v>45137.527777777781</v>
      </c>
      <c r="BG186" s="165">
        <v>45137.534722222219</v>
      </c>
      <c r="BH186" s="165">
        <f t="shared" si="66"/>
        <v>45139.243055555555</v>
      </c>
      <c r="BI186" s="165">
        <v>45139.229166608799</v>
      </c>
      <c r="BJ186" s="165">
        <v>45139.39583321759</v>
      </c>
      <c r="BK186" s="165">
        <v>45139.288194444445</v>
      </c>
      <c r="BL186" s="165">
        <v>45142.104166666664</v>
      </c>
      <c r="BM186" s="165">
        <v>45147.885416666664</v>
      </c>
      <c r="BN186" s="165">
        <v>45148.194444444445</v>
      </c>
      <c r="BO186" s="165">
        <v>45148.215277777781</v>
      </c>
      <c r="BP186" s="165">
        <v>45148.215277777781</v>
      </c>
      <c r="BQ186" s="165">
        <v>45148.479166666664</v>
      </c>
      <c r="BT186" s="136">
        <f t="shared" si="67"/>
        <v>33.583333333313931</v>
      </c>
      <c r="BU186" s="136">
        <f t="shared" si="68"/>
        <v>4.5</v>
      </c>
      <c r="BV186" s="136">
        <f t="shared" si="69"/>
        <v>41.000000000058208</v>
      </c>
      <c r="BW186" s="136">
        <f t="shared" si="62"/>
        <v>65.000002777785994</v>
      </c>
      <c r="BX186" s="135">
        <f t="shared" si="70"/>
        <v>7.4166666667442769</v>
      </c>
      <c r="BY186" s="135">
        <f t="shared" si="71"/>
        <v>6.3333333331975155</v>
      </c>
      <c r="BZ186" s="134">
        <f t="shared" si="72"/>
        <v>6.5763890046291635</v>
      </c>
      <c r="CA186" s="134">
        <f t="shared" si="73"/>
        <v>15.322916666664241</v>
      </c>
      <c r="CB186" s="133">
        <f t="shared" si="74"/>
        <v>0.42918650200169928</v>
      </c>
    </row>
    <row r="187" spans="1:80" s="126" customFormat="1">
      <c r="A187" s="192">
        <f t="shared" si="64"/>
        <v>45137.755555555559</v>
      </c>
      <c r="B187" s="126" t="s">
        <v>228</v>
      </c>
      <c r="C187" s="126" t="s">
        <v>229</v>
      </c>
      <c r="D187" s="126" t="s">
        <v>215</v>
      </c>
      <c r="E187" s="65" t="s">
        <v>2253</v>
      </c>
      <c r="G187" s="165">
        <v>45141.875</v>
      </c>
      <c r="H187" s="165">
        <v>45141.866666666669</v>
      </c>
      <c r="I187" s="126" t="s">
        <v>490</v>
      </c>
      <c r="J187" s="126" t="s">
        <v>192</v>
      </c>
      <c r="K187" s="126" t="s">
        <v>192</v>
      </c>
      <c r="L187" s="126" t="s">
        <v>2260</v>
      </c>
      <c r="M187" s="167"/>
      <c r="N187" s="126" t="s">
        <v>374</v>
      </c>
      <c r="O187" s="126" t="s">
        <v>275</v>
      </c>
      <c r="P187" s="126" t="s">
        <v>2217</v>
      </c>
      <c r="Q187" s="181">
        <f>3097*2.4</f>
        <v>7432.7999999999993</v>
      </c>
      <c r="R187" s="181">
        <f>7450+100</f>
        <v>7550</v>
      </c>
      <c r="S187" s="181">
        <v>6977.5749999999998</v>
      </c>
      <c r="T187" s="181"/>
      <c r="U187" s="181">
        <f t="shared" si="65"/>
        <v>6977.5749999999998</v>
      </c>
      <c r="AX187" s="165">
        <f t="shared" si="55"/>
        <v>45133.559027777781</v>
      </c>
      <c r="AY187" s="165">
        <f t="shared" si="56"/>
        <v>45148.885416666664</v>
      </c>
      <c r="AZ187" s="137">
        <f t="shared" si="57"/>
        <v>15.32638888888323</v>
      </c>
      <c r="BA187" s="165">
        <v>45133.559027777781</v>
      </c>
      <c r="BB187" s="165">
        <v>45134.583333333336</v>
      </c>
      <c r="BC187" s="165">
        <v>45136.1875</v>
      </c>
      <c r="BD187" s="165">
        <v>45137.755555555559</v>
      </c>
      <c r="BE187" s="165">
        <v>45137.947916666664</v>
      </c>
      <c r="BF187" s="165">
        <v>45137.961805555555</v>
      </c>
      <c r="BG187" s="165">
        <v>45138.232638888891</v>
      </c>
      <c r="BH187" s="165">
        <f t="shared" si="66"/>
        <v>45139.940972222226</v>
      </c>
      <c r="BI187" s="165">
        <v>45140.25</v>
      </c>
      <c r="BJ187" s="165">
        <v>45140.416666666664</v>
      </c>
      <c r="BK187" s="165">
        <v>45140.288194444445</v>
      </c>
      <c r="BL187" s="165">
        <v>45141.416666666664</v>
      </c>
      <c r="BM187" s="165">
        <v>45148.256944444445</v>
      </c>
      <c r="BN187" s="165">
        <v>45148.486111111109</v>
      </c>
      <c r="BO187" s="165">
        <v>45148.506944444445</v>
      </c>
      <c r="BP187" s="165">
        <v>45148.506944444445</v>
      </c>
      <c r="BQ187" s="165">
        <v>45148.885416666664</v>
      </c>
      <c r="BT187" s="136">
        <f t="shared" si="67"/>
        <v>38.499999999941792</v>
      </c>
      <c r="BU187" s="136">
        <f t="shared" si="68"/>
        <v>4.6166666665230878</v>
      </c>
      <c r="BV187" s="136">
        <f t="shared" si="69"/>
        <v>41.000000000058208</v>
      </c>
      <c r="BW187" s="136">
        <f t="shared" si="62"/>
        <v>24</v>
      </c>
      <c r="BX187" s="135">
        <f t="shared" si="70"/>
        <v>5.4999999999417923</v>
      </c>
      <c r="BY187" s="135">
        <f t="shared" si="71"/>
        <v>9.0833333332557231</v>
      </c>
      <c r="BZ187" s="134">
        <f t="shared" si="72"/>
        <v>5.1124999999883585</v>
      </c>
      <c r="CA187" s="134">
        <f t="shared" si="73"/>
        <v>15.32638888888323</v>
      </c>
      <c r="CB187" s="133">
        <f t="shared" si="74"/>
        <v>0.3335749886717696</v>
      </c>
    </row>
    <row r="188" spans="1:80" s="126" customFormat="1">
      <c r="A188" s="192">
        <f t="shared" si="64"/>
        <v>45137.979166666664</v>
      </c>
      <c r="B188" s="126" t="s">
        <v>228</v>
      </c>
      <c r="C188" s="126" t="s">
        <v>229</v>
      </c>
      <c r="D188" s="126" t="s">
        <v>215</v>
      </c>
      <c r="E188" s="65" t="s">
        <v>2253</v>
      </c>
      <c r="G188" s="165">
        <v>45141.875</v>
      </c>
      <c r="H188" s="165">
        <v>45141.866666666669</v>
      </c>
      <c r="I188" s="126" t="s">
        <v>490</v>
      </c>
      <c r="J188" s="126" t="s">
        <v>192</v>
      </c>
      <c r="K188" s="126" t="s">
        <v>192</v>
      </c>
      <c r="L188" s="126" t="s">
        <v>2261</v>
      </c>
      <c r="M188" s="167"/>
      <c r="N188" s="126" t="s">
        <v>352</v>
      </c>
      <c r="O188" s="126" t="s">
        <v>353</v>
      </c>
      <c r="P188" s="126" t="s">
        <v>2217</v>
      </c>
      <c r="Q188" s="181">
        <f>3852*2.4</f>
        <v>9244.7999999999993</v>
      </c>
      <c r="R188" s="181">
        <f>9250+100</f>
        <v>9350</v>
      </c>
      <c r="S188" s="181">
        <v>7690.8040000000001</v>
      </c>
      <c r="T188" s="181"/>
      <c r="U188" s="181">
        <f t="shared" si="65"/>
        <v>7690.8040000000001</v>
      </c>
      <c r="AX188" s="165">
        <f t="shared" si="55"/>
        <v>45133.666666666664</v>
      </c>
      <c r="AY188" s="165">
        <f t="shared" si="56"/>
        <v>45149.229166666664</v>
      </c>
      <c r="AZ188" s="137">
        <f t="shared" si="57"/>
        <v>15.5625</v>
      </c>
      <c r="BA188" s="165">
        <v>45133.666666666664</v>
      </c>
      <c r="BB188" s="165">
        <v>45134.590277777781</v>
      </c>
      <c r="BC188" s="165">
        <v>45136.291666666664</v>
      </c>
      <c r="BD188" s="165">
        <v>45137.979166666664</v>
      </c>
      <c r="BE188" s="165">
        <v>45138.121527777781</v>
      </c>
      <c r="BF188" s="165">
        <v>45138.387499999997</v>
      </c>
      <c r="BG188" s="165">
        <v>45138.387499999997</v>
      </c>
      <c r="BH188" s="165">
        <f t="shared" si="66"/>
        <v>45140.095833333333</v>
      </c>
      <c r="BI188" s="165">
        <v>45140.25</v>
      </c>
      <c r="BJ188" s="165">
        <v>45140.416666666664</v>
      </c>
      <c r="BK188" s="165">
        <v>45140.270833333336</v>
      </c>
      <c r="BL188" s="165">
        <v>45141.5</v>
      </c>
      <c r="BM188" s="165">
        <v>45148.548611111109</v>
      </c>
      <c r="BN188" s="165">
        <v>45148.857638888891</v>
      </c>
      <c r="BO188" s="165">
        <v>45148.878472222219</v>
      </c>
      <c r="BP188" s="165">
        <v>45148.878472222219</v>
      </c>
      <c r="BQ188" s="165">
        <v>45149.229166666664</v>
      </c>
      <c r="BT188" s="136">
        <f t="shared" si="67"/>
        <v>40.833333333197515</v>
      </c>
      <c r="BU188" s="136">
        <f t="shared" si="68"/>
        <v>3.4166666668024845</v>
      </c>
      <c r="BV188" s="136">
        <f t="shared" si="69"/>
        <v>41.000000000058208</v>
      </c>
      <c r="BW188" s="136">
        <f t="shared" si="62"/>
        <v>26.000000000058208</v>
      </c>
      <c r="BX188" s="135">
        <f t="shared" si="70"/>
        <v>7.4166666667442769</v>
      </c>
      <c r="BY188" s="135">
        <f t="shared" si="71"/>
        <v>8.4166666666860692</v>
      </c>
      <c r="BZ188" s="134">
        <f t="shared" si="72"/>
        <v>5.2951388888977817</v>
      </c>
      <c r="CA188" s="134">
        <f t="shared" si="73"/>
        <v>15.5625</v>
      </c>
      <c r="CB188" s="133">
        <f t="shared" si="74"/>
        <v>0.34024988844323095</v>
      </c>
    </row>
    <row r="189" spans="1:80" s="126" customFormat="1">
      <c r="A189" s="192">
        <f t="shared" si="64"/>
        <v>45138.416666666664</v>
      </c>
      <c r="B189" s="126" t="s">
        <v>228</v>
      </c>
      <c r="C189" s="126" t="s">
        <v>229</v>
      </c>
      <c r="D189" s="126" t="s">
        <v>197</v>
      </c>
      <c r="E189" s="65" t="s">
        <v>2253</v>
      </c>
      <c r="G189" s="165">
        <v>45141.875</v>
      </c>
      <c r="H189" s="165">
        <v>45141.866666666669</v>
      </c>
      <c r="I189" s="126" t="s">
        <v>490</v>
      </c>
      <c r="J189" s="126" t="s">
        <v>192</v>
      </c>
      <c r="K189" s="126" t="s">
        <v>192</v>
      </c>
      <c r="L189" s="126" t="s">
        <v>2262</v>
      </c>
      <c r="M189" s="167"/>
      <c r="N189" s="126" t="s">
        <v>489</v>
      </c>
      <c r="O189" s="126" t="s">
        <v>483</v>
      </c>
      <c r="P189" s="126" t="s">
        <v>494</v>
      </c>
      <c r="Q189" s="181">
        <f>3107*2.4</f>
        <v>7456.7999999999993</v>
      </c>
      <c r="R189" s="181">
        <f>7500+100</f>
        <v>7600</v>
      </c>
      <c r="S189" s="181">
        <v>6238.1779999999999</v>
      </c>
      <c r="T189" s="181"/>
      <c r="U189" s="181">
        <f t="shared" si="65"/>
        <v>6238.1779999999999</v>
      </c>
      <c r="AX189" s="165">
        <f t="shared" si="55"/>
        <v>45134.076388888891</v>
      </c>
      <c r="AY189" s="165">
        <f t="shared" si="56"/>
        <v>45149.479166666664</v>
      </c>
      <c r="AZ189" s="137">
        <f t="shared" si="57"/>
        <v>15.402777777773736</v>
      </c>
      <c r="BA189" s="165">
        <v>45134.076388888891</v>
      </c>
      <c r="BB189" s="165">
        <v>45134.884722222225</v>
      </c>
      <c r="BC189" s="165">
        <v>45136.3125</v>
      </c>
      <c r="BD189" s="165">
        <v>45138.416666666664</v>
      </c>
      <c r="BE189" s="165">
        <v>45138.5625</v>
      </c>
      <c r="BF189" s="165">
        <v>45138.569444444445</v>
      </c>
      <c r="BG189" s="165">
        <v>45138.569444444445</v>
      </c>
      <c r="BH189" s="165">
        <f t="shared" si="66"/>
        <v>45140.277777777781</v>
      </c>
      <c r="BI189" s="165">
        <v>45140.25</v>
      </c>
      <c r="BJ189" s="165">
        <v>45140.416666666664</v>
      </c>
      <c r="BK189" s="165">
        <v>45140.420138888891</v>
      </c>
      <c r="BL189" s="165">
        <v>45141.581250000003</v>
      </c>
      <c r="BM189" s="165">
        <v>45148.920138888891</v>
      </c>
      <c r="BN189" s="165">
        <v>45149.09375</v>
      </c>
      <c r="BO189" s="165">
        <v>45149.114583333336</v>
      </c>
      <c r="BP189" s="165">
        <v>45149.208333333336</v>
      </c>
      <c r="BQ189" s="165">
        <v>45149.479166666664</v>
      </c>
      <c r="BT189" s="136">
        <f t="shared" si="67"/>
        <v>34.266666666604578</v>
      </c>
      <c r="BU189" s="136">
        <f t="shared" si="68"/>
        <v>3.5000000000582077</v>
      </c>
      <c r="BV189" s="136">
        <f t="shared" si="69"/>
        <v>41.000000000058208</v>
      </c>
      <c r="BW189" s="136">
        <f t="shared" si="62"/>
        <v>27.950000000128057</v>
      </c>
      <c r="BX189" s="135">
        <f t="shared" si="70"/>
        <v>4.1666666666278616</v>
      </c>
      <c r="BY189" s="135">
        <f t="shared" si="71"/>
        <v>6.4999999998835847</v>
      </c>
      <c r="BZ189" s="134">
        <f t="shared" si="72"/>
        <v>4.890972222223354</v>
      </c>
      <c r="CA189" s="134">
        <f t="shared" si="73"/>
        <v>15.402777777773736</v>
      </c>
      <c r="CB189" s="133">
        <f t="shared" si="74"/>
        <v>0.31753832281350219</v>
      </c>
    </row>
    <row r="190" spans="1:80" s="126" customFormat="1">
      <c r="A190" s="192">
        <f t="shared" si="64"/>
        <v>45138.798611111109</v>
      </c>
      <c r="B190" s="126" t="s">
        <v>228</v>
      </c>
      <c r="C190" s="126" t="s">
        <v>229</v>
      </c>
      <c r="D190" s="126" t="s">
        <v>197</v>
      </c>
      <c r="E190" s="65" t="s">
        <v>2253</v>
      </c>
      <c r="G190" s="165">
        <v>45141.875</v>
      </c>
      <c r="H190" s="165">
        <v>45141.866666666669</v>
      </c>
      <c r="I190" s="126" t="s">
        <v>490</v>
      </c>
      <c r="J190" s="126" t="s">
        <v>192</v>
      </c>
      <c r="K190" s="126" t="s">
        <v>192</v>
      </c>
      <c r="L190" s="126" t="s">
        <v>2263</v>
      </c>
      <c r="M190" s="167"/>
      <c r="N190" s="126" t="s">
        <v>1483</v>
      </c>
      <c r="O190" s="126" t="s">
        <v>258</v>
      </c>
      <c r="P190" s="126" t="s">
        <v>494</v>
      </c>
      <c r="Q190" s="181">
        <f>3139*2.4</f>
        <v>7533.5999999999995</v>
      </c>
      <c r="R190" s="181">
        <f>7550+100</f>
        <v>7650</v>
      </c>
      <c r="S190" s="181">
        <v>6213.2780000000002</v>
      </c>
      <c r="T190" s="181"/>
      <c r="U190" s="181">
        <f t="shared" si="65"/>
        <v>6213.2780000000002</v>
      </c>
      <c r="AX190" s="165">
        <f t="shared" si="55"/>
        <v>45133.104166666664</v>
      </c>
      <c r="AY190" s="165">
        <f t="shared" si="56"/>
        <v>45149.819444444445</v>
      </c>
      <c r="AZ190" s="137">
        <f t="shared" si="57"/>
        <v>16.715277777781012</v>
      </c>
      <c r="BA190" s="165">
        <v>45133.104166666664</v>
      </c>
      <c r="BB190" s="165">
        <v>45134.815972222219</v>
      </c>
      <c r="BC190" s="165">
        <v>45136.701388888891</v>
      </c>
      <c r="BD190" s="165">
        <v>45138.798611111109</v>
      </c>
      <c r="BE190" s="165">
        <v>45138.916666666664</v>
      </c>
      <c r="BF190" s="165">
        <v>45138.923611111109</v>
      </c>
      <c r="BG190" s="165">
        <v>45139.260416666664</v>
      </c>
      <c r="BH190" s="165">
        <f t="shared" si="66"/>
        <v>45140.96875</v>
      </c>
      <c r="BI190" s="165">
        <v>45141.25</v>
      </c>
      <c r="BJ190" s="165">
        <v>45141.416666608799</v>
      </c>
      <c r="BK190" s="165">
        <v>45141.274305555555</v>
      </c>
      <c r="BL190" s="165">
        <v>45142.416666666664</v>
      </c>
      <c r="BM190" s="165">
        <v>45149.15625</v>
      </c>
      <c r="BN190" s="165">
        <v>45149.34375</v>
      </c>
      <c r="BO190" s="165">
        <v>45149.364583333336</v>
      </c>
      <c r="BP190" s="165">
        <v>45149.520833333336</v>
      </c>
      <c r="BQ190" s="165">
        <v>45149.819444444445</v>
      </c>
      <c r="BT190" s="136">
        <f t="shared" si="67"/>
        <v>45.250000000116415</v>
      </c>
      <c r="BU190" s="136">
        <f t="shared" si="68"/>
        <v>2.8333333333139308</v>
      </c>
      <c r="BV190" s="136">
        <f t="shared" si="69"/>
        <v>41.000000000058208</v>
      </c>
      <c r="BW190" s="136">
        <f t="shared" si="62"/>
        <v>24.000001388776582</v>
      </c>
      <c r="BX190" s="135">
        <f t="shared" si="70"/>
        <v>4.5</v>
      </c>
      <c r="BY190" s="135">
        <f t="shared" si="71"/>
        <v>7.1666666666278616</v>
      </c>
      <c r="BZ190" s="134">
        <f t="shared" si="72"/>
        <v>5.1979167245372082</v>
      </c>
      <c r="CA190" s="134">
        <f t="shared" si="73"/>
        <v>16.715277777781012</v>
      </c>
      <c r="CB190" s="133">
        <f t="shared" si="74"/>
        <v>0.31096801343299257</v>
      </c>
    </row>
    <row r="191" spans="1:80" s="126" customFormat="1">
      <c r="A191" s="192">
        <f t="shared" si="64"/>
        <v>45138.951388888891</v>
      </c>
      <c r="B191" s="126" t="s">
        <v>228</v>
      </c>
      <c r="C191" s="126" t="s">
        <v>229</v>
      </c>
      <c r="D191" s="126" t="s">
        <v>197</v>
      </c>
      <c r="E191" s="65" t="s">
        <v>2253</v>
      </c>
      <c r="G191" s="165">
        <v>45141.875</v>
      </c>
      <c r="H191" s="165">
        <v>45141.866666666669</v>
      </c>
      <c r="I191" s="126" t="s">
        <v>490</v>
      </c>
      <c r="J191" s="126" t="s">
        <v>192</v>
      </c>
      <c r="K191" s="126" t="s">
        <v>192</v>
      </c>
      <c r="L191" s="126" t="s">
        <v>2264</v>
      </c>
      <c r="M191" s="167"/>
      <c r="N191" s="126" t="s">
        <v>284</v>
      </c>
      <c r="O191" s="126" t="s">
        <v>285</v>
      </c>
      <c r="P191" s="126" t="s">
        <v>494</v>
      </c>
      <c r="Q191" s="181">
        <f>3852*2.4</f>
        <v>9244.7999999999993</v>
      </c>
      <c r="R191" s="181">
        <f>9250+100</f>
        <v>9350</v>
      </c>
      <c r="S191" s="181">
        <v>6657.38</v>
      </c>
      <c r="T191" s="181"/>
      <c r="U191" s="181">
        <f t="shared" si="65"/>
        <v>6657.38</v>
      </c>
      <c r="AX191" s="165">
        <f t="shared" si="55"/>
        <v>45134.083333333336</v>
      </c>
      <c r="AY191" s="165">
        <f t="shared" si="56"/>
        <v>45150.118055555555</v>
      </c>
      <c r="AZ191" s="137">
        <f t="shared" si="57"/>
        <v>16.034722222218988</v>
      </c>
      <c r="BA191" s="165">
        <v>45134.083333333336</v>
      </c>
      <c r="BB191" s="165">
        <v>45135.572916666664</v>
      </c>
      <c r="BC191" s="165">
        <v>45136.916666666664</v>
      </c>
      <c r="BD191" s="165">
        <v>45138.951388888891</v>
      </c>
      <c r="BE191" s="165">
        <v>45139.069444444445</v>
      </c>
      <c r="BF191" s="165">
        <v>45139.083333333336</v>
      </c>
      <c r="BG191" s="165">
        <v>45139.083333333336</v>
      </c>
      <c r="BH191" s="165">
        <f t="shared" si="66"/>
        <v>45140.791666666672</v>
      </c>
      <c r="BI191" s="165">
        <v>45141.25</v>
      </c>
      <c r="BJ191" s="165">
        <v>45141.416666608799</v>
      </c>
      <c r="BK191" s="165">
        <v>45141.274305555555</v>
      </c>
      <c r="BL191" s="165">
        <v>45142.4375</v>
      </c>
      <c r="BM191" s="165">
        <v>45149.5</v>
      </c>
      <c r="BN191" s="165">
        <v>45149.760416666664</v>
      </c>
      <c r="BO191" s="165">
        <v>45149.78125</v>
      </c>
      <c r="BP191" s="165">
        <v>45149.78125</v>
      </c>
      <c r="BQ191" s="165">
        <v>45150.118055555555</v>
      </c>
      <c r="BT191" s="136">
        <f t="shared" si="67"/>
        <v>32.25</v>
      </c>
      <c r="BU191" s="136">
        <f t="shared" si="68"/>
        <v>2.8333333333139308</v>
      </c>
      <c r="BV191" s="136">
        <f t="shared" si="69"/>
        <v>41.000000000058208</v>
      </c>
      <c r="BW191" s="136">
        <f t="shared" si="62"/>
        <v>24.500001388834789</v>
      </c>
      <c r="BX191" s="135">
        <f t="shared" si="70"/>
        <v>6.2499999999417923</v>
      </c>
      <c r="BY191" s="135">
        <f t="shared" si="71"/>
        <v>8.0833333333139308</v>
      </c>
      <c r="BZ191" s="134">
        <f t="shared" si="72"/>
        <v>4.7881945023109438</v>
      </c>
      <c r="CA191" s="134">
        <f t="shared" si="73"/>
        <v>16.034722222218988</v>
      </c>
      <c r="CB191" s="133">
        <f t="shared" si="74"/>
        <v>0.29861412227497397</v>
      </c>
    </row>
    <row r="192" spans="1:80" s="126" customFormat="1">
      <c r="A192" s="168"/>
      <c r="G192" s="166"/>
      <c r="H192" s="166"/>
      <c r="I192" s="181"/>
      <c r="M192" s="167"/>
      <c r="Q192" s="181"/>
      <c r="R192" s="181"/>
      <c r="S192" s="191">
        <f t="shared" ref="S192:AW192" si="75">SUM(S4:S191)</f>
        <v>1273394.9549999996</v>
      </c>
      <c r="T192" s="191">
        <f t="shared" si="75"/>
        <v>0</v>
      </c>
      <c r="U192" s="191">
        <f t="shared" si="75"/>
        <v>280946.30959999992</v>
      </c>
      <c r="V192" s="191">
        <f t="shared" si="75"/>
        <v>6004.8624000000009</v>
      </c>
      <c r="W192" s="191">
        <f t="shared" si="75"/>
        <v>0</v>
      </c>
      <c r="X192" s="191">
        <f t="shared" si="75"/>
        <v>286579.0074</v>
      </c>
      <c r="Y192" s="191">
        <f t="shared" si="75"/>
        <v>266424.16860000003</v>
      </c>
      <c r="Z192" s="191">
        <f t="shared" si="75"/>
        <v>89322.03</v>
      </c>
      <c r="AA192" s="191">
        <f t="shared" si="75"/>
        <v>15095.221</v>
      </c>
      <c r="AB192" s="191">
        <f t="shared" si="75"/>
        <v>0</v>
      </c>
      <c r="AC192" s="191">
        <f t="shared" si="75"/>
        <v>0</v>
      </c>
      <c r="AD192" s="191">
        <f t="shared" si="75"/>
        <v>7535.6120000000001</v>
      </c>
      <c r="AE192" s="191">
        <f t="shared" si="75"/>
        <v>5066.6540000000005</v>
      </c>
      <c r="AF192" s="191">
        <f t="shared" si="75"/>
        <v>0</v>
      </c>
      <c r="AG192" s="191">
        <f t="shared" si="75"/>
        <v>2452.6410000000001</v>
      </c>
      <c r="AH192" s="191">
        <f t="shared" si="75"/>
        <v>18042.201000000001</v>
      </c>
      <c r="AI192" s="191">
        <f t="shared" si="75"/>
        <v>30588</v>
      </c>
      <c r="AJ192" s="191">
        <f t="shared" si="75"/>
        <v>0</v>
      </c>
      <c r="AK192" s="191">
        <f t="shared" si="75"/>
        <v>22456.946</v>
      </c>
      <c r="AL192" s="191">
        <f t="shared" si="75"/>
        <v>67500</v>
      </c>
      <c r="AM192" s="191">
        <f t="shared" si="75"/>
        <v>22573</v>
      </c>
      <c r="AN192" s="191">
        <f t="shared" si="75"/>
        <v>15067.871999999999</v>
      </c>
      <c r="AO192" s="191">
        <f t="shared" si="75"/>
        <v>52500</v>
      </c>
      <c r="AP192" s="191">
        <f t="shared" si="75"/>
        <v>0</v>
      </c>
      <c r="AQ192" s="191">
        <f t="shared" si="75"/>
        <v>0</v>
      </c>
      <c r="AR192" s="191">
        <f t="shared" si="75"/>
        <v>15203</v>
      </c>
      <c r="AS192" s="191">
        <f t="shared" si="75"/>
        <v>0</v>
      </c>
      <c r="AT192" s="191">
        <f t="shared" si="75"/>
        <v>47374.697999999997</v>
      </c>
      <c r="AU192" s="191">
        <f t="shared" si="75"/>
        <v>22574.513999999999</v>
      </c>
      <c r="AV192" s="191">
        <f t="shared" si="75"/>
        <v>0</v>
      </c>
      <c r="AW192" s="191">
        <f t="shared" si="75"/>
        <v>0</v>
      </c>
      <c r="AX192" s="165"/>
      <c r="AY192" s="165"/>
      <c r="AZ192" s="165"/>
      <c r="BA192" s="165"/>
      <c r="BB192" s="165"/>
      <c r="BC192" s="165"/>
      <c r="BD192" s="165"/>
      <c r="BE192" s="165"/>
      <c r="BF192" s="165"/>
      <c r="BG192" s="165"/>
      <c r="BH192" s="165"/>
      <c r="BI192" s="165"/>
      <c r="BJ192" s="165"/>
      <c r="BK192" s="165"/>
      <c r="BL192" s="165"/>
      <c r="BM192" s="165"/>
      <c r="BN192" s="165"/>
      <c r="BO192" s="165"/>
      <c r="BP192" s="165"/>
      <c r="BQ192" s="165"/>
      <c r="BT192" s="136"/>
      <c r="BU192" s="136"/>
      <c r="BV192" s="136"/>
      <c r="BW192" s="136"/>
      <c r="BX192" s="135"/>
      <c r="BY192" s="135"/>
      <c r="BZ192" s="165"/>
      <c r="CA192" s="165"/>
    </row>
  </sheetData>
  <autoFilter ref="A1:L191" xr:uid="{00000000-0009-0000-0000-000011000000}">
    <filterColumn colId="4" showButton="0"/>
  </autoFilter>
  <mergeCells count="53">
    <mergeCell ref="BX1:BX2"/>
    <mergeCell ref="BY1:BY2"/>
    <mergeCell ref="BZ1:BZ2"/>
    <mergeCell ref="CA1:CA2"/>
    <mergeCell ref="CB1:CB2"/>
    <mergeCell ref="BW1:BW2"/>
    <mergeCell ref="BK1:BK2"/>
    <mergeCell ref="BL1:BL2"/>
    <mergeCell ref="BM1:BM2"/>
    <mergeCell ref="BN1:BN2"/>
    <mergeCell ref="BO1:BO2"/>
    <mergeCell ref="BP1:BP2"/>
    <mergeCell ref="BQ1:BQ2"/>
    <mergeCell ref="BR1:BR2"/>
    <mergeCell ref="BT1:BT2"/>
    <mergeCell ref="BU1:BU2"/>
    <mergeCell ref="BV1:BV2"/>
    <mergeCell ref="BJ1:BJ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AX1:AX2"/>
    <mergeCell ref="N1:N2"/>
    <mergeCell ref="O1:O2"/>
    <mergeCell ref="P1:P2"/>
    <mergeCell ref="Q1:Q2"/>
    <mergeCell ref="R1:R2"/>
    <mergeCell ref="S1:S2"/>
    <mergeCell ref="U1:W1"/>
    <mergeCell ref="X1:Y1"/>
    <mergeCell ref="Z1:AA1"/>
    <mergeCell ref="AD1:AH1"/>
    <mergeCell ref="AI1:AW1"/>
    <mergeCell ref="M1:M2"/>
    <mergeCell ref="A1:A2"/>
    <mergeCell ref="B1:B2"/>
    <mergeCell ref="C1:C2"/>
    <mergeCell ref="D1:D2"/>
    <mergeCell ref="E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CD191"/>
  <sheetViews>
    <sheetView zoomScale="70" zoomScaleNormal="70" zoomScaleSheetLayoutView="73" workbookViewId="0">
      <pane xSplit="16" ySplit="2" topLeftCell="Q153" activePane="bottomRight" state="frozen"/>
      <selection pane="topRight" activeCell="A4" sqref="A4:XFD17"/>
      <selection pane="bottomLeft" activeCell="A4" sqref="A4:XFD17"/>
      <selection pane="bottomRight" activeCell="A4" sqref="A4:XFD17"/>
    </sheetView>
  </sheetViews>
  <sheetFormatPr defaultColWidth="9.33203125" defaultRowHeight="14.4"/>
  <cols>
    <col min="1" max="1" width="12.6640625" style="119" customWidth="1"/>
    <col min="2" max="2" width="7.5546875" style="119" customWidth="1"/>
    <col min="3" max="3" width="9.33203125" style="115" customWidth="1"/>
    <col min="4" max="4" width="6" style="115" customWidth="1"/>
    <col min="5" max="5" width="26.44140625" style="115" customWidth="1"/>
    <col min="6" max="6" width="10.5546875" style="115" customWidth="1"/>
    <col min="7" max="8" width="13.6640625" style="252" customWidth="1"/>
    <col min="9" max="9" width="10.33203125" style="117" customWidth="1"/>
    <col min="10" max="10" width="20.6640625" style="115" customWidth="1"/>
    <col min="11" max="11" width="15" style="115" customWidth="1"/>
    <col min="12" max="12" width="15.5546875" style="115" customWidth="1"/>
    <col min="13" max="13" width="0.6640625" style="118" customWidth="1"/>
    <col min="14" max="14" width="23.33203125" style="115" bestFit="1" customWidth="1"/>
    <col min="15" max="15" width="24" style="115" bestFit="1" customWidth="1"/>
    <col min="16" max="16" width="21.109375" style="115" customWidth="1"/>
    <col min="17" max="17" width="9.33203125" style="117" customWidth="1"/>
    <col min="18" max="18" width="8.5546875" style="117" customWidth="1"/>
    <col min="19" max="19" width="10.33203125" style="117" customWidth="1"/>
    <col min="20" max="20" width="0.44140625" style="117" customWidth="1"/>
    <col min="21" max="21" width="10.33203125" style="115" bestFit="1" customWidth="1"/>
    <col min="22" max="22" width="10.33203125" style="115" customWidth="1"/>
    <col min="23" max="23" width="8.5546875" style="115" customWidth="1"/>
    <col min="24" max="24" width="10.33203125" style="115" customWidth="1"/>
    <col min="25" max="25" width="10.109375" style="115" customWidth="1"/>
    <col min="26" max="26" width="10.33203125" style="115" customWidth="1"/>
    <col min="27" max="49" width="8.5546875" style="115" customWidth="1"/>
    <col min="50" max="50" width="15.5546875" style="251" customWidth="1"/>
    <col min="51" max="51" width="16" style="251" customWidth="1"/>
    <col min="52" max="52" width="9.6640625" style="251" customWidth="1"/>
    <col min="53" max="53" width="15.5546875" style="251" customWidth="1"/>
    <col min="54" max="54" width="16.5546875" style="251" customWidth="1"/>
    <col min="55" max="55" width="16.44140625" style="251" customWidth="1"/>
    <col min="56" max="56" width="16" style="251" customWidth="1"/>
    <col min="57" max="57" width="15.5546875" style="251" customWidth="1"/>
    <col min="58" max="58" width="16.44140625" style="251" customWidth="1"/>
    <col min="59" max="59" width="15.5546875" style="251" customWidth="1"/>
    <col min="60" max="60" width="15.44140625" style="251" customWidth="1"/>
    <col min="61" max="61" width="17" style="251" customWidth="1"/>
    <col min="62" max="62" width="15.33203125" style="252" customWidth="1"/>
    <col min="63" max="63" width="15.5546875" style="251" customWidth="1"/>
    <col min="64" max="64" width="16.33203125" style="251" customWidth="1"/>
    <col min="65" max="65" width="15.5546875" style="251" customWidth="1"/>
    <col min="66" max="66" width="16.44140625" style="251" customWidth="1"/>
    <col min="67" max="68" width="15.5546875" style="115" customWidth="1"/>
    <col min="69" max="69" width="16.44140625" style="115" customWidth="1"/>
    <col min="70" max="70" width="49.5546875" style="116" customWidth="1"/>
    <col min="71" max="71" width="1.33203125" style="116" customWidth="1"/>
    <col min="72" max="72" width="10.5546875" style="251" customWidth="1"/>
    <col min="73" max="79" width="9.6640625" style="251" customWidth="1"/>
    <col min="80" max="80" width="11.33203125" style="115" bestFit="1" customWidth="1"/>
    <col min="81" max="16384" width="9.33203125" style="115"/>
  </cols>
  <sheetData>
    <row r="1" spans="1:80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1436</v>
      </c>
      <c r="R1" s="1286" t="s">
        <v>136</v>
      </c>
      <c r="S1" s="1236" t="s">
        <v>1437</v>
      </c>
      <c r="T1" s="403"/>
      <c r="U1" s="1224" t="s">
        <v>73</v>
      </c>
      <c r="V1" s="1224"/>
      <c r="W1" s="1224"/>
      <c r="X1" s="1220" t="s">
        <v>74</v>
      </c>
      <c r="Y1" s="1221"/>
      <c r="Z1" s="1222" t="s">
        <v>138</v>
      </c>
      <c r="AA1" s="1223"/>
      <c r="AB1" s="404" t="s">
        <v>85</v>
      </c>
      <c r="AC1" s="404" t="s">
        <v>139</v>
      </c>
      <c r="AD1" s="1224" t="s">
        <v>87</v>
      </c>
      <c r="AE1" s="1224"/>
      <c r="AF1" s="1224"/>
      <c r="AG1" s="1224"/>
      <c r="AH1" s="1224"/>
      <c r="AI1" s="1225" t="s">
        <v>138</v>
      </c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0"/>
      <c r="AW1" s="1221"/>
      <c r="AX1" s="1218" t="s">
        <v>140</v>
      </c>
      <c r="AY1" s="1218" t="s">
        <v>141</v>
      </c>
      <c r="AZ1" s="1226" t="s">
        <v>142</v>
      </c>
      <c r="BA1" s="1228" t="s">
        <v>143</v>
      </c>
      <c r="BB1" s="1228" t="s">
        <v>144</v>
      </c>
      <c r="BC1" s="1219" t="s">
        <v>1438</v>
      </c>
      <c r="BD1" s="1218" t="s">
        <v>146</v>
      </c>
      <c r="BE1" s="1218" t="s">
        <v>147</v>
      </c>
      <c r="BF1" s="1218" t="s">
        <v>148</v>
      </c>
      <c r="BG1" s="1218" t="s">
        <v>149</v>
      </c>
      <c r="BH1" s="1219" t="s">
        <v>150</v>
      </c>
      <c r="BI1" s="1219" t="s">
        <v>151</v>
      </c>
      <c r="BJ1" s="1219" t="s">
        <v>152</v>
      </c>
      <c r="BK1" s="1219" t="s">
        <v>153</v>
      </c>
      <c r="BL1" s="1219" t="s">
        <v>154</v>
      </c>
      <c r="BM1" s="1218" t="s">
        <v>155</v>
      </c>
      <c r="BN1" s="1218" t="s">
        <v>156</v>
      </c>
      <c r="BO1" s="1218" t="s">
        <v>157</v>
      </c>
      <c r="BP1" s="1218" t="s">
        <v>149</v>
      </c>
      <c r="BQ1" s="1218" t="s">
        <v>158</v>
      </c>
      <c r="BR1" s="1217" t="s">
        <v>159</v>
      </c>
      <c r="BS1" s="569"/>
      <c r="BT1" s="1213" t="s">
        <v>160</v>
      </c>
      <c r="BU1" s="1213" t="s">
        <v>111</v>
      </c>
      <c r="BV1" s="1213" t="s">
        <v>161</v>
      </c>
      <c r="BW1" s="1213" t="s">
        <v>162</v>
      </c>
      <c r="BX1" s="1213" t="s">
        <v>120</v>
      </c>
      <c r="BY1" s="1213" t="s">
        <v>163</v>
      </c>
      <c r="BZ1" s="1215" t="s">
        <v>164</v>
      </c>
      <c r="CA1" s="1215" t="s">
        <v>165</v>
      </c>
      <c r="CB1" s="1215" t="s">
        <v>166</v>
      </c>
    </row>
    <row r="2" spans="1:80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87"/>
      <c r="S2" s="1236"/>
      <c r="T2" s="403"/>
      <c r="U2" s="404" t="s">
        <v>167</v>
      </c>
      <c r="V2" s="404" t="s">
        <v>168</v>
      </c>
      <c r="W2" s="405" t="s">
        <v>169</v>
      </c>
      <c r="X2" s="404" t="s">
        <v>170</v>
      </c>
      <c r="Y2" s="404" t="s">
        <v>171</v>
      </c>
      <c r="Z2" s="406" t="s">
        <v>172</v>
      </c>
      <c r="AA2" s="406" t="s">
        <v>173</v>
      </c>
      <c r="AB2" s="404" t="s">
        <v>174</v>
      </c>
      <c r="AC2" s="404" t="s">
        <v>139</v>
      </c>
      <c r="AD2" s="405" t="s">
        <v>175</v>
      </c>
      <c r="AE2" s="405" t="s">
        <v>176</v>
      </c>
      <c r="AF2" s="405" t="s">
        <v>177</v>
      </c>
      <c r="AG2" s="405" t="s">
        <v>178</v>
      </c>
      <c r="AH2" s="405" t="s">
        <v>179</v>
      </c>
      <c r="AI2" s="404" t="s">
        <v>81</v>
      </c>
      <c r="AJ2" s="404" t="s">
        <v>180</v>
      </c>
      <c r="AK2" s="404" t="s">
        <v>181</v>
      </c>
      <c r="AL2" s="404" t="s">
        <v>76</v>
      </c>
      <c r="AM2" s="404" t="s">
        <v>84</v>
      </c>
      <c r="AN2" s="404" t="s">
        <v>88</v>
      </c>
      <c r="AO2" s="404" t="s">
        <v>78</v>
      </c>
      <c r="AP2" s="404" t="s">
        <v>80</v>
      </c>
      <c r="AQ2" s="404" t="s">
        <v>86</v>
      </c>
      <c r="AR2" s="404" t="s">
        <v>82</v>
      </c>
      <c r="AS2" s="404" t="s">
        <v>182</v>
      </c>
      <c r="AT2" s="404" t="s">
        <v>183</v>
      </c>
      <c r="AU2" s="404" t="s">
        <v>184</v>
      </c>
      <c r="AV2" s="404" t="s">
        <v>100</v>
      </c>
      <c r="AW2" s="404" t="s">
        <v>913</v>
      </c>
      <c r="AX2" s="1218"/>
      <c r="AY2" s="1218"/>
      <c r="AZ2" s="1227"/>
      <c r="BA2" s="1229"/>
      <c r="BB2" s="1229"/>
      <c r="BC2" s="1219"/>
      <c r="BD2" s="1218"/>
      <c r="BE2" s="1218"/>
      <c r="BF2" s="1218"/>
      <c r="BG2" s="1218"/>
      <c r="BH2" s="1219"/>
      <c r="BI2" s="1219"/>
      <c r="BJ2" s="1219"/>
      <c r="BK2" s="1219"/>
      <c r="BL2" s="1219"/>
      <c r="BM2" s="1218"/>
      <c r="BN2" s="1218"/>
      <c r="BO2" s="1218"/>
      <c r="BP2" s="1218"/>
      <c r="BQ2" s="1218"/>
      <c r="BR2" s="1217"/>
      <c r="BS2" s="250"/>
      <c r="BT2" s="1214"/>
      <c r="BU2" s="1214"/>
      <c r="BV2" s="1214"/>
      <c r="BW2" s="1214"/>
      <c r="BX2" s="1214"/>
      <c r="BY2" s="1214"/>
      <c r="BZ2" s="1216"/>
      <c r="CA2" s="1216"/>
      <c r="CB2" s="1216"/>
    </row>
    <row r="3" spans="1:80">
      <c r="A3" s="208" t="s">
        <v>2662</v>
      </c>
      <c r="B3" s="115"/>
      <c r="E3" s="77"/>
      <c r="G3" s="299"/>
      <c r="H3" s="299"/>
      <c r="I3" s="115"/>
      <c r="M3" s="115"/>
      <c r="Z3" s="117"/>
      <c r="AZ3" s="300"/>
      <c r="BJ3" s="251"/>
      <c r="BO3" s="251"/>
      <c r="BP3" s="251"/>
      <c r="BQ3" s="251"/>
      <c r="BR3" s="115"/>
      <c r="BS3" s="115"/>
      <c r="BT3" s="302"/>
      <c r="BU3" s="302"/>
      <c r="BV3" s="302"/>
      <c r="BW3" s="302"/>
      <c r="BX3" s="303"/>
      <c r="BY3" s="303"/>
      <c r="BZ3" s="304"/>
      <c r="CA3" s="304"/>
      <c r="CB3" s="305"/>
    </row>
    <row r="4" spans="1:80" s="126" customFormat="1">
      <c r="A4" s="192">
        <f t="shared" ref="A4:A35" si="0">BD4</f>
        <v>45143.506944444445</v>
      </c>
      <c r="B4" s="126" t="s">
        <v>188</v>
      </c>
      <c r="C4" s="126" t="s">
        <v>88</v>
      </c>
      <c r="D4" s="126" t="s">
        <v>189</v>
      </c>
      <c r="E4" s="65" t="s">
        <v>2641</v>
      </c>
      <c r="G4" s="165">
        <v>45143.000694444447</v>
      </c>
      <c r="H4" s="165">
        <v>45143.000694444447</v>
      </c>
      <c r="I4" s="126" t="s">
        <v>191</v>
      </c>
      <c r="J4" s="126" t="s">
        <v>192</v>
      </c>
      <c r="K4" s="126" t="s">
        <v>192</v>
      </c>
      <c r="L4" s="126" t="s">
        <v>2663</v>
      </c>
      <c r="M4" s="167"/>
      <c r="N4" s="126" t="s">
        <v>2664</v>
      </c>
      <c r="O4" s="126" t="s">
        <v>2665</v>
      </c>
      <c r="P4" s="126" t="s">
        <v>88</v>
      </c>
      <c r="Q4" s="181">
        <v>5500</v>
      </c>
      <c r="R4" s="181">
        <v>5500</v>
      </c>
      <c r="S4" s="181">
        <v>5509.34</v>
      </c>
      <c r="T4" s="181"/>
      <c r="AN4" s="181">
        <f>S4</f>
        <v>5509.34</v>
      </c>
      <c r="AX4" s="165">
        <f t="shared" ref="AX4:AX35" si="1">BA4</f>
        <v>45143.5</v>
      </c>
      <c r="AY4" s="165">
        <f t="shared" ref="AY4:AY35" si="2">BQ4</f>
        <v>45150.840277777781</v>
      </c>
      <c r="AZ4" s="137">
        <f t="shared" ref="AZ4:AZ35" si="3">AY4-AX4</f>
        <v>7.3402777777810115</v>
      </c>
      <c r="BA4" s="165">
        <v>45143.5</v>
      </c>
      <c r="BB4" s="165">
        <v>45143.5</v>
      </c>
      <c r="BC4" s="165">
        <v>45143.5</v>
      </c>
      <c r="BD4" s="165">
        <v>45143.506944444445</v>
      </c>
      <c r="BE4" s="165">
        <v>45144.173611111109</v>
      </c>
      <c r="BF4" s="165">
        <v>45144.173611111109</v>
      </c>
      <c r="BG4" s="165">
        <v>45144.173611111109</v>
      </c>
      <c r="BH4" s="165">
        <v>45144.173611111109</v>
      </c>
      <c r="BI4" s="166" t="s">
        <v>196</v>
      </c>
      <c r="BJ4" s="166" t="s">
        <v>196</v>
      </c>
      <c r="BK4" s="166" t="s">
        <v>196</v>
      </c>
      <c r="BL4" s="165">
        <v>45149.645833333336</v>
      </c>
      <c r="BM4" s="165">
        <v>45150.340277777781</v>
      </c>
      <c r="BN4" s="165">
        <v>45150.826388888891</v>
      </c>
      <c r="BO4" s="165">
        <v>45150.840277777781</v>
      </c>
      <c r="BP4" s="165">
        <v>45150.840277777781</v>
      </c>
      <c r="BQ4" s="165">
        <v>45150.840277777781</v>
      </c>
      <c r="BT4" s="136">
        <f t="shared" ref="BT4:BT35" si="4">(BC4-BB4)*24</f>
        <v>0</v>
      </c>
      <c r="BU4" s="136">
        <f t="shared" ref="BU4:BU35" si="5">(BE4-BD4)*24</f>
        <v>15.999999999941792</v>
      </c>
      <c r="BV4" s="136">
        <f t="shared" ref="BV4:BV35" si="6">(BH4-BG4)*24</f>
        <v>0</v>
      </c>
      <c r="BW4" s="136">
        <f>(BL4-BH4)*24</f>
        <v>131.33333333343035</v>
      </c>
      <c r="BX4" s="135">
        <f t="shared" ref="BX4:BX35" si="7">(BN4-BM4)*24</f>
        <v>11.666666666627862</v>
      </c>
      <c r="BY4" s="135">
        <f t="shared" ref="BY4:BY35" si="8">(BQ4-BP4)*24</f>
        <v>0</v>
      </c>
      <c r="BZ4" s="134">
        <f t="shared" ref="BZ4:BZ35" si="9">SUM(BT4:BY4)/24</f>
        <v>6.625</v>
      </c>
      <c r="CA4" s="134">
        <f t="shared" ref="CA4:CA35" si="10">AZ4</f>
        <v>7.3402777777810115</v>
      </c>
      <c r="CB4" s="133">
        <f t="shared" ref="CB4:CB35" si="11">BZ4/CA4</f>
        <v>0.90255439924274339</v>
      </c>
    </row>
    <row r="5" spans="1:80" s="126" customFormat="1">
      <c r="A5" s="192">
        <f t="shared" si="0"/>
        <v>45157.53125</v>
      </c>
      <c r="B5" s="126" t="s">
        <v>188</v>
      </c>
      <c r="C5" s="126" t="s">
        <v>88</v>
      </c>
      <c r="D5" s="126" t="s">
        <v>189</v>
      </c>
      <c r="E5" s="65" t="s">
        <v>2666</v>
      </c>
      <c r="G5" s="165">
        <v>45169.8125</v>
      </c>
      <c r="H5" s="165">
        <v>45169.8125</v>
      </c>
      <c r="I5" s="126" t="s">
        <v>191</v>
      </c>
      <c r="J5" s="126" t="s">
        <v>192</v>
      </c>
      <c r="K5" s="126" t="s">
        <v>192</v>
      </c>
      <c r="L5" s="126" t="s">
        <v>2667</v>
      </c>
      <c r="M5" s="167"/>
      <c r="N5" s="126" t="s">
        <v>2668</v>
      </c>
      <c r="O5" s="126" t="s">
        <v>2669</v>
      </c>
      <c r="P5" s="126" t="s">
        <v>88</v>
      </c>
      <c r="Q5" s="181">
        <v>5300</v>
      </c>
      <c r="R5" s="181">
        <v>5300</v>
      </c>
      <c r="S5" s="181">
        <v>5109.5919999999996</v>
      </c>
      <c r="T5" s="181"/>
      <c r="AN5" s="181">
        <f>S5</f>
        <v>5109.5919999999996</v>
      </c>
      <c r="AX5" s="165">
        <f t="shared" si="1"/>
        <v>45157.524305555555</v>
      </c>
      <c r="AY5" s="165">
        <f t="shared" si="2"/>
        <v>45166.805555555555</v>
      </c>
      <c r="AZ5" s="137">
        <f t="shared" si="3"/>
        <v>9.28125</v>
      </c>
      <c r="BA5" s="165">
        <v>45157.524305555555</v>
      </c>
      <c r="BB5" s="165">
        <v>45157.524305555555</v>
      </c>
      <c r="BC5" s="165">
        <v>45157.524305555555</v>
      </c>
      <c r="BD5" s="165">
        <v>45157.53125</v>
      </c>
      <c r="BE5" s="165">
        <v>45158.131944444445</v>
      </c>
      <c r="BF5" s="165">
        <v>45158.461805555555</v>
      </c>
      <c r="BG5" s="165">
        <v>45158.461805555555</v>
      </c>
      <c r="BH5" s="165">
        <v>45158.461805555555</v>
      </c>
      <c r="BI5" s="166" t="s">
        <v>196</v>
      </c>
      <c r="BJ5" s="166" t="s">
        <v>196</v>
      </c>
      <c r="BK5" s="166" t="s">
        <v>196</v>
      </c>
      <c r="BL5" s="165">
        <v>45163.510416666664</v>
      </c>
      <c r="BM5" s="165">
        <v>45166.430555555555</v>
      </c>
      <c r="BN5" s="165">
        <v>45166.788194444445</v>
      </c>
      <c r="BO5" s="165">
        <v>45166.802083333336</v>
      </c>
      <c r="BP5" s="165">
        <v>45166.805555555555</v>
      </c>
      <c r="BQ5" s="165">
        <v>45166.805555555555</v>
      </c>
      <c r="BT5" s="136">
        <f t="shared" si="4"/>
        <v>0</v>
      </c>
      <c r="BU5" s="136">
        <f t="shared" si="5"/>
        <v>14.416666666686069</v>
      </c>
      <c r="BV5" s="136">
        <f t="shared" si="6"/>
        <v>0</v>
      </c>
      <c r="BW5" s="136">
        <f>(BL5-BH5)*24</f>
        <v>121.16666666662786</v>
      </c>
      <c r="BX5" s="135">
        <f t="shared" si="7"/>
        <v>8.5833333333721384</v>
      </c>
      <c r="BY5" s="135">
        <f t="shared" si="8"/>
        <v>0</v>
      </c>
      <c r="BZ5" s="134">
        <f t="shared" si="9"/>
        <v>6.0069444444452529</v>
      </c>
      <c r="CA5" s="134">
        <f t="shared" si="10"/>
        <v>9.28125</v>
      </c>
      <c r="CB5" s="133">
        <f t="shared" si="11"/>
        <v>0.64721286943517875</v>
      </c>
    </row>
    <row r="6" spans="1:80" s="126" customFormat="1">
      <c r="A6" s="192">
        <f t="shared" si="0"/>
        <v>45167.413194444445</v>
      </c>
      <c r="B6" s="126" t="s">
        <v>188</v>
      </c>
      <c r="C6" s="126" t="s">
        <v>88</v>
      </c>
      <c r="D6" s="126" t="s">
        <v>189</v>
      </c>
      <c r="E6" s="65" t="s">
        <v>2651</v>
      </c>
      <c r="G6" s="165">
        <v>45179.75</v>
      </c>
      <c r="H6" s="165">
        <v>45179.741666666669</v>
      </c>
      <c r="I6" s="126" t="s">
        <v>191</v>
      </c>
      <c r="J6" s="126" t="s">
        <v>192</v>
      </c>
      <c r="K6" s="126" t="s">
        <v>192</v>
      </c>
      <c r="L6" s="126" t="s">
        <v>2670</v>
      </c>
      <c r="M6" s="167"/>
      <c r="N6" s="126" t="s">
        <v>2671</v>
      </c>
      <c r="O6" s="126" t="s">
        <v>2672</v>
      </c>
      <c r="P6" s="126" t="s">
        <v>88</v>
      </c>
      <c r="Q6" s="181">
        <v>5300</v>
      </c>
      <c r="R6" s="181">
        <v>5300</v>
      </c>
      <c r="S6" s="181">
        <v>5009.3509999999997</v>
      </c>
      <c r="T6" s="181"/>
      <c r="AN6" s="181">
        <f>S6</f>
        <v>5009.3509999999997</v>
      </c>
      <c r="AX6" s="165">
        <f t="shared" si="1"/>
        <v>45167.40625</v>
      </c>
      <c r="AY6" s="165">
        <f t="shared" si="2"/>
        <v>45180.472222222219</v>
      </c>
      <c r="AZ6" s="137">
        <f t="shared" si="3"/>
        <v>13.065972222218988</v>
      </c>
      <c r="BA6" s="165">
        <v>45167.40625</v>
      </c>
      <c r="BB6" s="165">
        <v>45167.40625</v>
      </c>
      <c r="BC6" s="165">
        <v>45167.40625</v>
      </c>
      <c r="BD6" s="165">
        <v>45167.413194444445</v>
      </c>
      <c r="BE6" s="165">
        <v>45167.9375</v>
      </c>
      <c r="BF6" s="165">
        <v>45167.9375</v>
      </c>
      <c r="BG6" s="165">
        <v>45167.9375</v>
      </c>
      <c r="BH6" s="165">
        <v>45167.9375</v>
      </c>
      <c r="BI6" s="166" t="s">
        <v>196</v>
      </c>
      <c r="BJ6" s="166" t="s">
        <v>196</v>
      </c>
      <c r="BK6" s="166" t="s">
        <v>196</v>
      </c>
      <c r="BL6" s="165">
        <v>45176.520833333336</v>
      </c>
      <c r="BM6" s="165">
        <v>45180.229166666664</v>
      </c>
      <c r="BN6" s="165">
        <v>45180.423611111109</v>
      </c>
      <c r="BO6" s="165">
        <v>45180.472222222219</v>
      </c>
      <c r="BP6" s="165">
        <v>45180.472222222219</v>
      </c>
      <c r="BQ6" s="165">
        <v>45180.472222222219</v>
      </c>
      <c r="BT6" s="136">
        <f t="shared" si="4"/>
        <v>0</v>
      </c>
      <c r="BU6" s="136">
        <f t="shared" si="5"/>
        <v>12.583333333313931</v>
      </c>
      <c r="BV6" s="136">
        <f t="shared" si="6"/>
        <v>0</v>
      </c>
      <c r="BW6" s="136">
        <f>(BL6-BH6)*24</f>
        <v>206.00000000005821</v>
      </c>
      <c r="BX6" s="135">
        <f t="shared" si="7"/>
        <v>4.6666666666860692</v>
      </c>
      <c r="BY6" s="135">
        <f t="shared" si="8"/>
        <v>0</v>
      </c>
      <c r="BZ6" s="134">
        <f t="shared" si="9"/>
        <v>9.3020833333357587</v>
      </c>
      <c r="CA6" s="134">
        <f t="shared" si="10"/>
        <v>13.065972222218988</v>
      </c>
      <c r="CB6" s="133">
        <f t="shared" si="11"/>
        <v>0.71193196917389356</v>
      </c>
    </row>
    <row r="7" spans="1:80" s="126" customFormat="1">
      <c r="A7" s="192">
        <f t="shared" si="0"/>
        <v>45138.614583333336</v>
      </c>
      <c r="B7" s="126" t="s">
        <v>188</v>
      </c>
      <c r="C7" s="126" t="s">
        <v>78</v>
      </c>
      <c r="D7" s="126" t="s">
        <v>197</v>
      </c>
      <c r="E7" s="65" t="s">
        <v>2603</v>
      </c>
      <c r="G7" s="166">
        <v>45140.625</v>
      </c>
      <c r="H7" s="166">
        <v>45140.625</v>
      </c>
      <c r="I7" s="126" t="s">
        <v>199</v>
      </c>
      <c r="J7" s="126" t="s">
        <v>192</v>
      </c>
      <c r="K7" s="126" t="s">
        <v>192</v>
      </c>
      <c r="L7" s="126" t="s">
        <v>2673</v>
      </c>
      <c r="M7" s="167"/>
      <c r="N7" s="126" t="s">
        <v>505</v>
      </c>
      <c r="O7" s="126" t="s">
        <v>340</v>
      </c>
      <c r="P7" s="126" t="s">
        <v>78</v>
      </c>
      <c r="Q7" s="181">
        <f>3141*2.4</f>
        <v>7538.4</v>
      </c>
      <c r="R7" s="181">
        <f>7550+100</f>
        <v>7650</v>
      </c>
      <c r="S7" s="181">
        <v>7500</v>
      </c>
      <c r="T7" s="181"/>
      <c r="AO7" s="181">
        <f>S7</f>
        <v>7500</v>
      </c>
      <c r="AX7" s="165">
        <f t="shared" si="1"/>
        <v>45134.711805555555</v>
      </c>
      <c r="AY7" s="165">
        <f t="shared" si="2"/>
        <v>45143.34375</v>
      </c>
      <c r="AZ7" s="137">
        <f t="shared" si="3"/>
        <v>8.6319444444452529</v>
      </c>
      <c r="BA7" s="165">
        <v>45134.711805555555</v>
      </c>
      <c r="BB7" s="165">
        <v>45136.34375</v>
      </c>
      <c r="BC7" s="165">
        <v>45136.381944444445</v>
      </c>
      <c r="BD7" s="165">
        <v>45138.614583333336</v>
      </c>
      <c r="BE7" s="165">
        <v>45139.177083333336</v>
      </c>
      <c r="BF7" s="165">
        <v>45139.21875</v>
      </c>
      <c r="BG7" s="165">
        <v>45139.21875</v>
      </c>
      <c r="BH7" s="165">
        <f>BG7+(10/24)</f>
        <v>45139.635416666664</v>
      </c>
      <c r="BI7" s="165">
        <v>45140.25</v>
      </c>
      <c r="BJ7" s="165">
        <v>45140.416666666664</v>
      </c>
      <c r="BK7" s="165">
        <v>45140.378472222219</v>
      </c>
      <c r="BL7" s="165">
        <v>45141.847222222219</v>
      </c>
      <c r="BM7" s="165">
        <v>45142.329861111109</v>
      </c>
      <c r="BN7" s="165">
        <v>45142.548611111109</v>
      </c>
      <c r="BO7" s="165">
        <v>45142.5625</v>
      </c>
      <c r="BP7" s="165">
        <v>45142.739583333336</v>
      </c>
      <c r="BQ7" s="165">
        <v>45143.34375</v>
      </c>
      <c r="BR7" s="126" t="s">
        <v>2674</v>
      </c>
      <c r="BT7" s="136">
        <f t="shared" si="4"/>
        <v>0.91666666668606922</v>
      </c>
      <c r="BU7" s="136">
        <f t="shared" si="5"/>
        <v>13.5</v>
      </c>
      <c r="BV7" s="136">
        <f t="shared" si="6"/>
        <v>9.9999999999417923</v>
      </c>
      <c r="BW7" s="136">
        <f t="shared" ref="BW7:BW38" si="12">(BL7-BJ7)*24</f>
        <v>34.333333333313931</v>
      </c>
      <c r="BX7" s="135">
        <f t="shared" si="7"/>
        <v>5.25</v>
      </c>
      <c r="BY7" s="135">
        <f t="shared" si="8"/>
        <v>14.499999999941792</v>
      </c>
      <c r="BZ7" s="134">
        <f t="shared" si="9"/>
        <v>3.2708333333284827</v>
      </c>
      <c r="CA7" s="134">
        <f t="shared" si="10"/>
        <v>8.6319444444452529</v>
      </c>
      <c r="CB7" s="133">
        <f t="shared" si="11"/>
        <v>0.37892196299216202</v>
      </c>
    </row>
    <row r="8" spans="1:80" s="126" customFormat="1">
      <c r="A8" s="192">
        <f t="shared" si="0"/>
        <v>45139.350694444445</v>
      </c>
      <c r="B8" s="126" t="s">
        <v>188</v>
      </c>
      <c r="C8" s="126" t="s">
        <v>78</v>
      </c>
      <c r="D8" s="126" t="s">
        <v>197</v>
      </c>
      <c r="E8" s="65" t="s">
        <v>2253</v>
      </c>
      <c r="G8" s="165">
        <v>45141.875</v>
      </c>
      <c r="H8" s="165">
        <v>45141.866666666669</v>
      </c>
      <c r="I8" s="126" t="s">
        <v>211</v>
      </c>
      <c r="J8" s="126" t="s">
        <v>192</v>
      </c>
      <c r="K8" s="126" t="s">
        <v>192</v>
      </c>
      <c r="L8" s="126" t="s">
        <v>2258</v>
      </c>
      <c r="M8" s="167"/>
      <c r="N8" s="126" t="s">
        <v>277</v>
      </c>
      <c r="O8" s="126" t="s">
        <v>278</v>
      </c>
      <c r="P8" s="126" t="s">
        <v>78</v>
      </c>
      <c r="Q8" s="181">
        <f>3117*2.4</f>
        <v>7480.7999999999993</v>
      </c>
      <c r="R8" s="181">
        <f>7500+100</f>
        <v>7600</v>
      </c>
      <c r="S8" s="181">
        <v>7500</v>
      </c>
      <c r="T8" s="181"/>
      <c r="AO8" s="181">
        <f>S8</f>
        <v>7500</v>
      </c>
      <c r="AX8" s="165">
        <f t="shared" si="1"/>
        <v>45135.017361111109</v>
      </c>
      <c r="AY8" s="165">
        <f t="shared" si="2"/>
        <v>45148.003472222219</v>
      </c>
      <c r="AZ8" s="137">
        <f t="shared" si="3"/>
        <v>12.986111111109494</v>
      </c>
      <c r="BA8" s="165">
        <v>45135.017361111109</v>
      </c>
      <c r="BB8" s="165">
        <v>45136.3125</v>
      </c>
      <c r="BC8" s="165">
        <v>45136.375</v>
      </c>
      <c r="BD8" s="165">
        <v>45139.350694444445</v>
      </c>
      <c r="BE8" s="165">
        <v>45139.902777777781</v>
      </c>
      <c r="BF8" s="165">
        <v>45139.927083333336</v>
      </c>
      <c r="BG8" s="165">
        <v>45139.927083333336</v>
      </c>
      <c r="BH8" s="165">
        <f>BG8+(5/24)</f>
        <v>45140.135416666672</v>
      </c>
      <c r="BI8" s="165">
        <v>45141.25</v>
      </c>
      <c r="BJ8" s="165">
        <v>45141.416666608799</v>
      </c>
      <c r="BK8" s="165">
        <v>45141.430555555555</v>
      </c>
      <c r="BL8" s="165">
        <v>45142.614583333336</v>
      </c>
      <c r="BM8" s="165">
        <v>45147.149305555555</v>
      </c>
      <c r="BN8" s="165">
        <v>45147.708333333336</v>
      </c>
      <c r="BO8" s="165">
        <v>45147.729166666664</v>
      </c>
      <c r="BP8" s="165">
        <v>45147.729166666664</v>
      </c>
      <c r="BQ8" s="165">
        <v>45148.003472222219</v>
      </c>
      <c r="BT8" s="136">
        <f t="shared" si="4"/>
        <v>1.5</v>
      </c>
      <c r="BU8" s="136">
        <f t="shared" si="5"/>
        <v>13.250000000058208</v>
      </c>
      <c r="BV8" s="136">
        <f t="shared" si="6"/>
        <v>5.0000000000582077</v>
      </c>
      <c r="BW8" s="136">
        <f t="shared" si="12"/>
        <v>28.750001388892997</v>
      </c>
      <c r="BX8" s="135">
        <f t="shared" si="7"/>
        <v>13.416666666744277</v>
      </c>
      <c r="BY8" s="135">
        <f t="shared" si="8"/>
        <v>6.5833333333139308</v>
      </c>
      <c r="BZ8" s="134">
        <f t="shared" si="9"/>
        <v>2.8541667245444842</v>
      </c>
      <c r="CA8" s="134">
        <f t="shared" si="10"/>
        <v>12.986111111109494</v>
      </c>
      <c r="CB8" s="133">
        <f t="shared" si="11"/>
        <v>0.21978610071361332</v>
      </c>
    </row>
    <row r="9" spans="1:80" s="126" customFormat="1">
      <c r="A9" s="192">
        <f t="shared" si="0"/>
        <v>45140.041666666664</v>
      </c>
      <c r="B9" s="126" t="s">
        <v>188</v>
      </c>
      <c r="C9" s="126" t="s">
        <v>78</v>
      </c>
      <c r="D9" s="126" t="s">
        <v>197</v>
      </c>
      <c r="E9" s="65" t="s">
        <v>2675</v>
      </c>
      <c r="G9" s="165">
        <v>45142.333333333336</v>
      </c>
      <c r="H9" s="165">
        <v>45142.333333333336</v>
      </c>
      <c r="I9" s="126" t="s">
        <v>199</v>
      </c>
      <c r="J9" s="126" t="s">
        <v>192</v>
      </c>
      <c r="K9" s="126" t="s">
        <v>192</v>
      </c>
      <c r="L9" s="126" t="s">
        <v>2676</v>
      </c>
      <c r="M9" s="167"/>
      <c r="N9" s="126" t="s">
        <v>330</v>
      </c>
      <c r="O9" s="126" t="s">
        <v>331</v>
      </c>
      <c r="P9" s="126" t="s">
        <v>78</v>
      </c>
      <c r="Q9" s="181">
        <f>3136*2.4</f>
        <v>7526.4</v>
      </c>
      <c r="R9" s="181">
        <f>7550+100</f>
        <v>7650</v>
      </c>
      <c r="S9" s="181">
        <v>7500</v>
      </c>
      <c r="T9" s="181"/>
      <c r="AO9" s="181">
        <v>7500</v>
      </c>
      <c r="AX9" s="165">
        <f t="shared" si="1"/>
        <v>45137.854166666664</v>
      </c>
      <c r="AY9" s="165">
        <f t="shared" si="2"/>
        <v>45144.482638888891</v>
      </c>
      <c r="AZ9" s="137">
        <f t="shared" si="3"/>
        <v>6.6284722222262644</v>
      </c>
      <c r="BA9" s="165">
        <v>45137.854166666664</v>
      </c>
      <c r="BB9" s="165">
        <v>45139.527777777781</v>
      </c>
      <c r="BC9" s="165">
        <v>45139.708333333336</v>
      </c>
      <c r="BD9" s="165">
        <v>45140.041666666664</v>
      </c>
      <c r="BE9" s="165">
        <v>45140.583333333336</v>
      </c>
      <c r="BF9" s="165">
        <v>45140.604166666664</v>
      </c>
      <c r="BG9" s="165">
        <v>45140.604166666664</v>
      </c>
      <c r="BH9" s="165">
        <f>BG9+(5/24)</f>
        <v>45140.8125</v>
      </c>
      <c r="BI9" s="165">
        <v>45141.25</v>
      </c>
      <c r="BJ9" s="165">
        <v>45141.416666608799</v>
      </c>
      <c r="BK9" s="165">
        <v>45141.298611111109</v>
      </c>
      <c r="BL9" s="165">
        <v>45143.392361111109</v>
      </c>
      <c r="BM9" s="165">
        <v>45143.489583333336</v>
      </c>
      <c r="BN9" s="165">
        <v>45143.777777777781</v>
      </c>
      <c r="BO9" s="165">
        <v>45143.788194444445</v>
      </c>
      <c r="BP9" s="165">
        <v>45143.791666666664</v>
      </c>
      <c r="BQ9" s="165">
        <v>45144.482638888891</v>
      </c>
      <c r="BT9" s="136">
        <f t="shared" si="4"/>
        <v>4.3333333333139308</v>
      </c>
      <c r="BU9" s="136">
        <f t="shared" si="5"/>
        <v>13.000000000116415</v>
      </c>
      <c r="BV9" s="136">
        <f t="shared" si="6"/>
        <v>5.0000000000582077</v>
      </c>
      <c r="BW9" s="136">
        <f t="shared" si="12"/>
        <v>47.416668055462651</v>
      </c>
      <c r="BX9" s="135">
        <f t="shared" si="7"/>
        <v>6.9166666666860692</v>
      </c>
      <c r="BY9" s="135">
        <f t="shared" si="8"/>
        <v>16.583333333430346</v>
      </c>
      <c r="BZ9" s="134">
        <f t="shared" si="9"/>
        <v>3.8854167245444842</v>
      </c>
      <c r="CA9" s="134">
        <f t="shared" si="10"/>
        <v>6.6284722222262644</v>
      </c>
      <c r="CB9" s="133">
        <f t="shared" si="11"/>
        <v>0.58617077876800894</v>
      </c>
    </row>
    <row r="10" spans="1:80" s="126" customFormat="1">
      <c r="A10" s="192">
        <f t="shared" si="0"/>
        <v>45141.864583333336</v>
      </c>
      <c r="B10" s="126" t="s">
        <v>188</v>
      </c>
      <c r="C10" s="126" t="s">
        <v>78</v>
      </c>
      <c r="D10" s="126" t="s">
        <v>197</v>
      </c>
      <c r="E10" s="65" t="s">
        <v>2677</v>
      </c>
      <c r="G10" s="165">
        <v>45148.195833333331</v>
      </c>
      <c r="H10" s="165">
        <v>45148.195833333331</v>
      </c>
      <c r="I10" s="126" t="s">
        <v>199</v>
      </c>
      <c r="J10" s="126" t="s">
        <v>192</v>
      </c>
      <c r="K10" s="126" t="s">
        <v>192</v>
      </c>
      <c r="L10" s="126" t="s">
        <v>2678</v>
      </c>
      <c r="M10" s="167"/>
      <c r="N10" s="126" t="s">
        <v>70</v>
      </c>
      <c r="O10" s="126" t="s">
        <v>1982</v>
      </c>
      <c r="P10" s="126" t="s">
        <v>78</v>
      </c>
      <c r="Q10" s="181">
        <f>3142*2.4</f>
        <v>7540.7999999999993</v>
      </c>
      <c r="R10" s="181">
        <f>7550+100</f>
        <v>7650</v>
      </c>
      <c r="S10" s="181">
        <v>7500</v>
      </c>
      <c r="T10" s="181"/>
      <c r="AO10" s="181">
        <f t="shared" ref="AO10:AO17" si="13">S10</f>
        <v>7500</v>
      </c>
      <c r="AX10" s="165">
        <f t="shared" si="1"/>
        <v>45140.861111111109</v>
      </c>
      <c r="AY10" s="165">
        <f t="shared" si="2"/>
        <v>45147.256944444445</v>
      </c>
      <c r="AZ10" s="137">
        <f t="shared" si="3"/>
        <v>6.3958333333357587</v>
      </c>
      <c r="BA10" s="165">
        <v>45140.861111111109</v>
      </c>
      <c r="BB10" s="165">
        <v>45141.774305555555</v>
      </c>
      <c r="BC10" s="165">
        <v>45141.833333333336</v>
      </c>
      <c r="BD10" s="165">
        <v>45141.864583333336</v>
      </c>
      <c r="BE10" s="165">
        <v>45142.611111111109</v>
      </c>
      <c r="BF10" s="165">
        <v>45142.628472222219</v>
      </c>
      <c r="BG10" s="165">
        <v>45142.628472222219</v>
      </c>
      <c r="BH10" s="165">
        <f>BG10+(5/24)</f>
        <v>45142.836805555555</v>
      </c>
      <c r="BI10" s="165">
        <v>45143.229166608799</v>
      </c>
      <c r="BJ10" s="165">
        <v>45143.395833159724</v>
      </c>
      <c r="BK10" s="165">
        <v>45143.409722222219</v>
      </c>
      <c r="BL10" s="165">
        <v>45145.270833333336</v>
      </c>
      <c r="BM10" s="165">
        <v>45147.048611111109</v>
      </c>
      <c r="BN10" s="165">
        <v>45147.243055555555</v>
      </c>
      <c r="BO10" s="165">
        <v>45147.256944444445</v>
      </c>
      <c r="BP10" s="165">
        <v>45147.256944444445</v>
      </c>
      <c r="BQ10" s="165">
        <v>45147.256944444445</v>
      </c>
      <c r="BT10" s="136">
        <f t="shared" si="4"/>
        <v>1.4166666667442769</v>
      </c>
      <c r="BU10" s="136">
        <f t="shared" si="5"/>
        <v>17.916666666569654</v>
      </c>
      <c r="BV10" s="136">
        <f t="shared" si="6"/>
        <v>5.0000000000582077</v>
      </c>
      <c r="BW10" s="136">
        <f t="shared" si="12"/>
        <v>45.000004166678991</v>
      </c>
      <c r="BX10" s="135">
        <f t="shared" si="7"/>
        <v>4.6666666666860692</v>
      </c>
      <c r="BY10" s="135">
        <f t="shared" si="8"/>
        <v>0</v>
      </c>
      <c r="BZ10" s="134">
        <f t="shared" si="9"/>
        <v>3.0833335069473833</v>
      </c>
      <c r="CA10" s="134">
        <f t="shared" si="10"/>
        <v>6.3958333333357587</v>
      </c>
      <c r="CB10" s="133">
        <f t="shared" si="11"/>
        <v>0.48208471769843086</v>
      </c>
    </row>
    <row r="11" spans="1:80" s="126" customFormat="1">
      <c r="A11" s="192">
        <f t="shared" si="0"/>
        <v>45148.701388888891</v>
      </c>
      <c r="B11" s="126" t="s">
        <v>188</v>
      </c>
      <c r="C11" s="126" t="s">
        <v>78</v>
      </c>
      <c r="D11" s="126" t="s">
        <v>215</v>
      </c>
      <c r="E11" s="65" t="s">
        <v>2298</v>
      </c>
      <c r="G11" s="165">
        <v>45147.25</v>
      </c>
      <c r="H11" s="165">
        <v>45147.245833333334</v>
      </c>
      <c r="I11" s="126" t="s">
        <v>199</v>
      </c>
      <c r="J11" s="126" t="s">
        <v>192</v>
      </c>
      <c r="K11" s="126" t="s">
        <v>192</v>
      </c>
      <c r="L11" s="126" t="s">
        <v>2302</v>
      </c>
      <c r="M11" s="167"/>
      <c r="N11" s="126" t="s">
        <v>343</v>
      </c>
      <c r="O11" s="126" t="s">
        <v>344</v>
      </c>
      <c r="P11" s="126" t="s">
        <v>78</v>
      </c>
      <c r="Q11" s="181">
        <f>3136*2.4</f>
        <v>7526.4</v>
      </c>
      <c r="R11" s="181">
        <f>7550+100</f>
        <v>7650</v>
      </c>
      <c r="S11" s="181">
        <v>7500</v>
      </c>
      <c r="T11" s="181"/>
      <c r="AO11" s="181">
        <f t="shared" si="13"/>
        <v>7500</v>
      </c>
      <c r="AX11" s="165">
        <f t="shared" si="1"/>
        <v>45147.5</v>
      </c>
      <c r="AY11" s="165">
        <f t="shared" si="2"/>
        <v>45153.333333333336</v>
      </c>
      <c r="AZ11" s="137">
        <f t="shared" si="3"/>
        <v>5.8333333333357587</v>
      </c>
      <c r="BA11" s="165">
        <v>45147.5</v>
      </c>
      <c r="BB11" s="165">
        <v>45148.555555555555</v>
      </c>
      <c r="BC11" s="165">
        <v>45148.625</v>
      </c>
      <c r="BD11" s="165">
        <v>45148.701388888891</v>
      </c>
      <c r="BE11" s="165">
        <v>45149.409722222219</v>
      </c>
      <c r="BF11" s="165">
        <v>45149.423611111109</v>
      </c>
      <c r="BG11" s="165">
        <v>45149.423611111109</v>
      </c>
      <c r="BH11" s="165">
        <f>BG11+(10/24)</f>
        <v>45149.840277777774</v>
      </c>
      <c r="BI11" s="210">
        <v>45150.229166666664</v>
      </c>
      <c r="BJ11" s="210">
        <v>45150.395833333336</v>
      </c>
      <c r="BK11" s="165">
        <v>45150.288194444445</v>
      </c>
      <c r="BL11" s="165">
        <v>45152.013888888891</v>
      </c>
      <c r="BM11" s="165">
        <v>45152.09375</v>
      </c>
      <c r="BN11" s="165">
        <v>45152.440972222219</v>
      </c>
      <c r="BO11" s="165">
        <v>45152.454861111109</v>
      </c>
      <c r="BP11" s="165">
        <v>45152.871527777781</v>
      </c>
      <c r="BQ11" s="165">
        <v>45153.333333333336</v>
      </c>
      <c r="BT11" s="136">
        <f t="shared" si="4"/>
        <v>1.6666666666860692</v>
      </c>
      <c r="BU11" s="136">
        <f t="shared" si="5"/>
        <v>16.999999999883585</v>
      </c>
      <c r="BV11" s="136">
        <f t="shared" si="6"/>
        <v>9.9999999999417923</v>
      </c>
      <c r="BW11" s="136">
        <f t="shared" si="12"/>
        <v>38.833333333313931</v>
      </c>
      <c r="BX11" s="135">
        <f t="shared" si="7"/>
        <v>8.3333333332557231</v>
      </c>
      <c r="BY11" s="135">
        <f t="shared" si="8"/>
        <v>11.083333333313931</v>
      </c>
      <c r="BZ11" s="134">
        <f t="shared" si="9"/>
        <v>3.6215277777664596</v>
      </c>
      <c r="CA11" s="134">
        <f t="shared" si="10"/>
        <v>5.8333333333357587</v>
      </c>
      <c r="CB11" s="133">
        <f t="shared" si="11"/>
        <v>0.620833333331135</v>
      </c>
    </row>
    <row r="12" spans="1:80" s="126" customFormat="1">
      <c r="A12" s="192">
        <f t="shared" si="0"/>
        <v>45151.055555555555</v>
      </c>
      <c r="B12" s="126" t="s">
        <v>188</v>
      </c>
      <c r="C12" s="126" t="s">
        <v>78</v>
      </c>
      <c r="D12" s="126" t="s">
        <v>197</v>
      </c>
      <c r="E12" s="65" t="s">
        <v>2597</v>
      </c>
      <c r="G12" s="165">
        <v>45151.758333333331</v>
      </c>
      <c r="H12" s="165">
        <v>45151.758333333331</v>
      </c>
      <c r="I12" s="126" t="s">
        <v>199</v>
      </c>
      <c r="J12" s="126" t="s">
        <v>192</v>
      </c>
      <c r="K12" s="126" t="s">
        <v>192</v>
      </c>
      <c r="L12" s="126" t="s">
        <v>2679</v>
      </c>
      <c r="M12" s="167"/>
      <c r="N12" s="126" t="s">
        <v>201</v>
      </c>
      <c r="O12" s="126" t="s">
        <v>202</v>
      </c>
      <c r="P12" s="126" t="s">
        <v>78</v>
      </c>
      <c r="Q12" s="181">
        <f>3141*2.4</f>
        <v>7538.4</v>
      </c>
      <c r="R12" s="181">
        <f>7550+100</f>
        <v>7650</v>
      </c>
      <c r="S12" s="181">
        <v>7500</v>
      </c>
      <c r="T12" s="181"/>
      <c r="AO12" s="181">
        <f t="shared" si="13"/>
        <v>7500</v>
      </c>
      <c r="AX12" s="165">
        <f t="shared" si="1"/>
        <v>45147.708333333336</v>
      </c>
      <c r="AY12" s="165">
        <f t="shared" si="2"/>
        <v>45154.572916666664</v>
      </c>
      <c r="AZ12" s="137">
        <f t="shared" si="3"/>
        <v>6.8645833333284827</v>
      </c>
      <c r="BA12" s="165">
        <v>45147.708333333336</v>
      </c>
      <c r="BB12" s="165">
        <v>45148.784722222219</v>
      </c>
      <c r="BC12" s="165">
        <v>45148.822916666664</v>
      </c>
      <c r="BD12" s="165">
        <v>45151.055555555555</v>
      </c>
      <c r="BE12" s="165">
        <v>45151.461805555555</v>
      </c>
      <c r="BF12" s="165">
        <v>45151.482638888891</v>
      </c>
      <c r="BG12" s="165">
        <v>45151.482638888891</v>
      </c>
      <c r="BH12" s="165">
        <f>BG12+(5/24)</f>
        <v>45151.690972222226</v>
      </c>
      <c r="BI12" s="210">
        <v>45152.229166608799</v>
      </c>
      <c r="BJ12" s="210">
        <v>45152.395833333336</v>
      </c>
      <c r="BK12" s="210">
        <v>45152.333333333336</v>
      </c>
      <c r="BL12" s="165">
        <v>45154.166666666664</v>
      </c>
      <c r="BM12" s="165">
        <v>45154.305555555555</v>
      </c>
      <c r="BN12" s="165">
        <v>45154.506944444445</v>
      </c>
      <c r="BO12" s="165">
        <v>45154.572916666664</v>
      </c>
      <c r="BP12" s="165">
        <v>45154.572916666664</v>
      </c>
      <c r="BQ12" s="165">
        <v>45154.572916666664</v>
      </c>
      <c r="BT12" s="136">
        <f t="shared" si="4"/>
        <v>0.91666666668606922</v>
      </c>
      <c r="BU12" s="136">
        <f t="shared" si="5"/>
        <v>9.75</v>
      </c>
      <c r="BV12" s="136">
        <f t="shared" si="6"/>
        <v>5.0000000000582077</v>
      </c>
      <c r="BW12" s="136">
        <f t="shared" si="12"/>
        <v>42.499999999883585</v>
      </c>
      <c r="BX12" s="135">
        <f t="shared" si="7"/>
        <v>4.8333333333721384</v>
      </c>
      <c r="BY12" s="135">
        <f t="shared" si="8"/>
        <v>0</v>
      </c>
      <c r="BZ12" s="134">
        <f t="shared" si="9"/>
        <v>2.625</v>
      </c>
      <c r="CA12" s="134">
        <f t="shared" si="10"/>
        <v>6.8645833333284827</v>
      </c>
      <c r="CB12" s="133">
        <f t="shared" si="11"/>
        <v>0.38239757207917763</v>
      </c>
    </row>
    <row r="13" spans="1:80" s="126" customFormat="1">
      <c r="A13" s="192">
        <f t="shared" si="0"/>
        <v>45152.822916666664</v>
      </c>
      <c r="B13" s="126" t="s">
        <v>188</v>
      </c>
      <c r="C13" s="126" t="s">
        <v>78</v>
      </c>
      <c r="D13" s="126" t="s">
        <v>197</v>
      </c>
      <c r="E13" s="65" t="s">
        <v>2651</v>
      </c>
      <c r="G13" s="165">
        <v>45151.604166666664</v>
      </c>
      <c r="H13" s="165">
        <v>45151.604166666664</v>
      </c>
      <c r="I13" s="126" t="s">
        <v>199</v>
      </c>
      <c r="J13" s="126" t="s">
        <v>192</v>
      </c>
      <c r="K13" s="126" t="s">
        <v>192</v>
      </c>
      <c r="L13" s="126" t="s">
        <v>2680</v>
      </c>
      <c r="M13" s="167"/>
      <c r="N13" s="126" t="s">
        <v>226</v>
      </c>
      <c r="O13" s="126" t="s">
        <v>227</v>
      </c>
      <c r="P13" s="126" t="s">
        <v>78</v>
      </c>
      <c r="Q13" s="181">
        <f>3100*2.4</f>
        <v>7440</v>
      </c>
      <c r="R13" s="181">
        <f>7450+100</f>
        <v>7550</v>
      </c>
      <c r="S13" s="181">
        <v>7500</v>
      </c>
      <c r="T13" s="181"/>
      <c r="AO13" s="181">
        <f t="shared" si="13"/>
        <v>7500</v>
      </c>
      <c r="AX13" s="165">
        <f t="shared" si="1"/>
        <v>45147.541666666664</v>
      </c>
      <c r="AY13" s="165">
        <f t="shared" si="2"/>
        <v>45158.395833333336</v>
      </c>
      <c r="AZ13" s="137">
        <f t="shared" si="3"/>
        <v>10.854166666671517</v>
      </c>
      <c r="BA13" s="165">
        <v>45147.541666666664</v>
      </c>
      <c r="BB13" s="165">
        <v>45148.791666666664</v>
      </c>
      <c r="BC13" s="165">
        <v>45148.833333333336</v>
      </c>
      <c r="BD13" s="165">
        <v>45152.822916666664</v>
      </c>
      <c r="BE13" s="165">
        <v>45153.392361111109</v>
      </c>
      <c r="BF13" s="165">
        <v>45153.427083333336</v>
      </c>
      <c r="BG13" s="165">
        <v>45153.427083333336</v>
      </c>
      <c r="BH13" s="165">
        <f>BG13+(5/24)</f>
        <v>45153.635416666672</v>
      </c>
      <c r="BI13" s="210">
        <v>45154.25</v>
      </c>
      <c r="BJ13" s="210">
        <v>45154.416666608799</v>
      </c>
      <c r="BK13" s="165">
        <v>45154.479166666664</v>
      </c>
      <c r="BL13" s="165">
        <v>45156.416666666664</v>
      </c>
      <c r="BM13" s="165">
        <v>45157.215277777781</v>
      </c>
      <c r="BN13" s="165">
        <v>45157.472222222219</v>
      </c>
      <c r="BO13" s="165">
        <v>45157.576388888891</v>
      </c>
      <c r="BP13" s="165">
        <v>45157.868055555555</v>
      </c>
      <c r="BQ13" s="165">
        <v>45158.395833333336</v>
      </c>
      <c r="BT13" s="136">
        <f t="shared" si="4"/>
        <v>1.0000000001164153</v>
      </c>
      <c r="BU13" s="136">
        <f t="shared" si="5"/>
        <v>13.666666666686069</v>
      </c>
      <c r="BV13" s="136">
        <f t="shared" si="6"/>
        <v>5.0000000000582077</v>
      </c>
      <c r="BW13" s="136">
        <f t="shared" si="12"/>
        <v>48.000001388776582</v>
      </c>
      <c r="BX13" s="135">
        <f t="shared" si="7"/>
        <v>6.1666666665114462</v>
      </c>
      <c r="BY13" s="135">
        <f t="shared" si="8"/>
        <v>12.666666666744277</v>
      </c>
      <c r="BZ13" s="134">
        <f t="shared" si="9"/>
        <v>3.6041667245372082</v>
      </c>
      <c r="CA13" s="134">
        <f t="shared" si="10"/>
        <v>10.854166666671517</v>
      </c>
      <c r="CB13" s="133">
        <f t="shared" si="11"/>
        <v>0.33205374813379784</v>
      </c>
    </row>
    <row r="14" spans="1:80" s="126" customFormat="1">
      <c r="A14" s="192">
        <f t="shared" si="0"/>
        <v>45153.826388888891</v>
      </c>
      <c r="B14" s="126" t="s">
        <v>188</v>
      </c>
      <c r="C14" s="126" t="s">
        <v>78</v>
      </c>
      <c r="D14" s="126" t="s">
        <v>197</v>
      </c>
      <c r="E14" s="65" t="s">
        <v>2681</v>
      </c>
      <c r="G14" s="165">
        <v>45158.9375</v>
      </c>
      <c r="H14" s="165">
        <v>45158.9375</v>
      </c>
      <c r="I14" s="126" t="s">
        <v>199</v>
      </c>
      <c r="J14" s="126" t="s">
        <v>192</v>
      </c>
      <c r="K14" s="126" t="s">
        <v>192</v>
      </c>
      <c r="L14" s="126" t="s">
        <v>2682</v>
      </c>
      <c r="M14" s="167"/>
      <c r="N14" s="126" t="s">
        <v>292</v>
      </c>
      <c r="O14" s="126" t="s">
        <v>293</v>
      </c>
      <c r="P14" s="126" t="s">
        <v>78</v>
      </c>
      <c r="Q14" s="181">
        <f>3142*2.4</f>
        <v>7540.7999999999993</v>
      </c>
      <c r="R14" s="181">
        <f>7550+100</f>
        <v>7650</v>
      </c>
      <c r="S14" s="181">
        <v>7500</v>
      </c>
      <c r="T14" s="181"/>
      <c r="AO14" s="181">
        <f t="shared" si="13"/>
        <v>7500</v>
      </c>
      <c r="AX14" s="165">
        <f t="shared" si="1"/>
        <v>45148.354166666664</v>
      </c>
      <c r="AY14" s="165">
        <f t="shared" si="2"/>
        <v>45159.6875</v>
      </c>
      <c r="AZ14" s="137">
        <f t="shared" si="3"/>
        <v>11.333333333335759</v>
      </c>
      <c r="BA14" s="165">
        <v>45148.354166666664</v>
      </c>
      <c r="BB14" s="165">
        <v>45149.788194444445</v>
      </c>
      <c r="BC14" s="165">
        <v>45149.833333333336</v>
      </c>
      <c r="BD14" s="165">
        <v>45153.826388888891</v>
      </c>
      <c r="BE14" s="165">
        <v>45154.236111111109</v>
      </c>
      <c r="BF14" s="165">
        <v>45154.256944444445</v>
      </c>
      <c r="BG14" s="165">
        <v>45154.256944444445</v>
      </c>
      <c r="BH14" s="165">
        <f>BG14+(5/24)</f>
        <v>45154.465277777781</v>
      </c>
      <c r="BI14" s="210">
        <v>45155.25</v>
      </c>
      <c r="BJ14" s="210">
        <v>45155.416666608799</v>
      </c>
      <c r="BK14" s="210">
        <v>45155.388888888891</v>
      </c>
      <c r="BL14" s="165">
        <v>45156.770833333336</v>
      </c>
      <c r="BM14" s="165">
        <v>45158.8125</v>
      </c>
      <c r="BN14" s="165">
        <v>45159.065972222219</v>
      </c>
      <c r="BO14" s="165">
        <v>45159.253472222219</v>
      </c>
      <c r="BP14" s="165">
        <v>45159.256944444445</v>
      </c>
      <c r="BQ14" s="165">
        <v>45159.6875</v>
      </c>
      <c r="BT14" s="136">
        <f t="shared" si="4"/>
        <v>1.0833333333721384</v>
      </c>
      <c r="BU14" s="136">
        <f t="shared" si="5"/>
        <v>9.8333333332557231</v>
      </c>
      <c r="BV14" s="136">
        <f t="shared" si="6"/>
        <v>5.0000000000582077</v>
      </c>
      <c r="BW14" s="136">
        <f t="shared" si="12"/>
        <v>32.500001388892997</v>
      </c>
      <c r="BX14" s="135">
        <f t="shared" si="7"/>
        <v>6.0833333332557231</v>
      </c>
      <c r="BY14" s="135">
        <f t="shared" si="8"/>
        <v>10.333333333313931</v>
      </c>
      <c r="BZ14" s="134">
        <f t="shared" si="9"/>
        <v>2.7013889467561967</v>
      </c>
      <c r="CA14" s="134">
        <f t="shared" si="10"/>
        <v>11.333333333335759</v>
      </c>
      <c r="CB14" s="133">
        <f t="shared" si="11"/>
        <v>0.23835784824314282</v>
      </c>
    </row>
    <row r="15" spans="1:80" s="126" customFormat="1">
      <c r="A15" s="192">
        <f t="shared" si="0"/>
        <v>45155.736111111109</v>
      </c>
      <c r="B15" s="126" t="s">
        <v>188</v>
      </c>
      <c r="C15" s="126" t="s">
        <v>78</v>
      </c>
      <c r="D15" s="126" t="s">
        <v>197</v>
      </c>
      <c r="E15" s="65" t="s">
        <v>2681</v>
      </c>
      <c r="G15" s="165">
        <v>45158.9375</v>
      </c>
      <c r="H15" s="165">
        <v>45158.9375</v>
      </c>
      <c r="I15" s="126" t="s">
        <v>199</v>
      </c>
      <c r="J15" s="126" t="s">
        <v>192</v>
      </c>
      <c r="K15" s="126" t="s">
        <v>192</v>
      </c>
      <c r="L15" s="126" t="s">
        <v>2683</v>
      </c>
      <c r="M15" s="167"/>
      <c r="N15" s="126" t="s">
        <v>307</v>
      </c>
      <c r="O15" s="126" t="s">
        <v>308</v>
      </c>
      <c r="P15" s="126" t="s">
        <v>78</v>
      </c>
      <c r="Q15" s="181">
        <f>3170*2.4</f>
        <v>7608</v>
      </c>
      <c r="R15" s="181">
        <f>7550+100</f>
        <v>7650</v>
      </c>
      <c r="S15" s="181">
        <v>7500</v>
      </c>
      <c r="T15" s="181"/>
      <c r="AO15" s="181">
        <f t="shared" si="13"/>
        <v>7500</v>
      </c>
      <c r="AX15" s="165">
        <f t="shared" si="1"/>
        <v>45152.024305555555</v>
      </c>
      <c r="AY15" s="165">
        <f t="shared" si="2"/>
        <v>45160.563888888886</v>
      </c>
      <c r="AZ15" s="137">
        <f t="shared" si="3"/>
        <v>8.5395833333313931</v>
      </c>
      <c r="BA15" s="165">
        <v>45152.024305555555</v>
      </c>
      <c r="BB15" s="165">
        <v>45153.813194444447</v>
      </c>
      <c r="BC15" s="165">
        <v>45153.916666666664</v>
      </c>
      <c r="BD15" s="165">
        <v>45155.736111111109</v>
      </c>
      <c r="BE15" s="165">
        <v>45156.427083333336</v>
      </c>
      <c r="BF15" s="165">
        <v>45156.444444444445</v>
      </c>
      <c r="BG15" s="165">
        <v>45156.447916666664</v>
      </c>
      <c r="BH15" s="165">
        <f>BG15+(10/24)</f>
        <v>45156.864583333328</v>
      </c>
      <c r="BI15" s="210">
        <v>45157.25</v>
      </c>
      <c r="BJ15" s="210">
        <v>45157.416666608799</v>
      </c>
      <c r="BK15" s="210">
        <v>45157.376388888886</v>
      </c>
      <c r="BL15" s="165">
        <v>45159.145833333336</v>
      </c>
      <c r="BM15" s="165">
        <v>45159.65625</v>
      </c>
      <c r="BN15" s="165">
        <v>45159.881944444445</v>
      </c>
      <c r="BO15" s="165">
        <v>45159.895833333336</v>
      </c>
      <c r="BP15" s="165">
        <v>45160.027777777781</v>
      </c>
      <c r="BQ15" s="165">
        <v>45160.563888888886</v>
      </c>
      <c r="BT15" s="136">
        <f t="shared" si="4"/>
        <v>2.4833333332207985</v>
      </c>
      <c r="BU15" s="136">
        <f t="shared" si="5"/>
        <v>16.583333333430346</v>
      </c>
      <c r="BV15" s="136">
        <f t="shared" si="6"/>
        <v>9.9999999999417923</v>
      </c>
      <c r="BW15" s="136">
        <f t="shared" si="12"/>
        <v>41.500001388892997</v>
      </c>
      <c r="BX15" s="135">
        <f t="shared" si="7"/>
        <v>5.4166666666860692</v>
      </c>
      <c r="BY15" s="135">
        <f t="shared" si="8"/>
        <v>12.866666666523088</v>
      </c>
      <c r="BZ15" s="134">
        <f t="shared" si="9"/>
        <v>3.7020833911956288</v>
      </c>
      <c r="CA15" s="134">
        <f t="shared" si="10"/>
        <v>8.5395833333313931</v>
      </c>
      <c r="CB15" s="133">
        <f t="shared" si="11"/>
        <v>0.43352037759802525</v>
      </c>
    </row>
    <row r="16" spans="1:80" s="126" customFormat="1">
      <c r="A16" s="192">
        <f t="shared" si="0"/>
        <v>45162.222222222219</v>
      </c>
      <c r="B16" s="126" t="s">
        <v>188</v>
      </c>
      <c r="C16" s="126" t="s">
        <v>78</v>
      </c>
      <c r="D16" s="126" t="s">
        <v>215</v>
      </c>
      <c r="E16" s="65" t="s">
        <v>2684</v>
      </c>
      <c r="G16" s="165">
        <v>45172.995833333334</v>
      </c>
      <c r="H16" s="165">
        <v>45172.995833333334</v>
      </c>
      <c r="I16" s="126" t="s">
        <v>199</v>
      </c>
      <c r="J16" s="126" t="s">
        <v>192</v>
      </c>
      <c r="K16" s="126" t="s">
        <v>192</v>
      </c>
      <c r="L16" s="126" t="s">
        <v>2685</v>
      </c>
      <c r="M16" s="167"/>
      <c r="N16" s="126" t="s">
        <v>1972</v>
      </c>
      <c r="O16" s="126" t="s">
        <v>1973</v>
      </c>
      <c r="P16" s="126" t="s">
        <v>78</v>
      </c>
      <c r="Q16" s="181">
        <f>3107*2.4</f>
        <v>7456.7999999999993</v>
      </c>
      <c r="R16" s="181">
        <f>7500+100</f>
        <v>7600</v>
      </c>
      <c r="S16" s="181">
        <v>7500</v>
      </c>
      <c r="T16" s="181"/>
      <c r="AO16" s="181">
        <f t="shared" si="13"/>
        <v>7500</v>
      </c>
      <c r="AX16" s="165">
        <f t="shared" si="1"/>
        <v>45157.6875</v>
      </c>
      <c r="AY16" s="165">
        <f t="shared" si="2"/>
        <v>45168.916666666664</v>
      </c>
      <c r="AZ16" s="137">
        <f t="shared" si="3"/>
        <v>11.229166666664241</v>
      </c>
      <c r="BA16" s="165">
        <v>45157.6875</v>
      </c>
      <c r="BB16" s="165">
        <v>45160.763888888891</v>
      </c>
      <c r="BC16" s="165">
        <v>45160.854166666664</v>
      </c>
      <c r="BD16" s="165">
        <v>45162.222222222219</v>
      </c>
      <c r="BE16" s="165">
        <v>45162.902777777781</v>
      </c>
      <c r="BF16" s="165">
        <v>45162.930555555555</v>
      </c>
      <c r="BG16" s="165">
        <v>45162.9375</v>
      </c>
      <c r="BH16" s="165">
        <f>BG16+(5/24)</f>
        <v>45163.145833333336</v>
      </c>
      <c r="BI16" s="210">
        <v>45164.25</v>
      </c>
      <c r="BJ16" s="210">
        <v>45164.416666608799</v>
      </c>
      <c r="BK16" s="165">
        <v>45164.388888888891</v>
      </c>
      <c r="BL16" s="165">
        <v>45165.958333333336</v>
      </c>
      <c r="BM16" s="165">
        <v>45167.899305555555</v>
      </c>
      <c r="BN16" s="165">
        <v>45168.131944444445</v>
      </c>
      <c r="BO16" s="165">
        <v>45168.15625</v>
      </c>
      <c r="BP16" s="165">
        <v>45168.159722222219</v>
      </c>
      <c r="BQ16" s="165">
        <v>45168.916666666664</v>
      </c>
      <c r="BT16" s="136">
        <f t="shared" si="4"/>
        <v>2.1666666665696539</v>
      </c>
      <c r="BU16" s="136">
        <f t="shared" si="5"/>
        <v>16.333333333488554</v>
      </c>
      <c r="BV16" s="136">
        <f t="shared" si="6"/>
        <v>5.0000000000582077</v>
      </c>
      <c r="BW16" s="136">
        <f t="shared" si="12"/>
        <v>37.000001388892997</v>
      </c>
      <c r="BX16" s="135">
        <f t="shared" si="7"/>
        <v>5.5833333333721384</v>
      </c>
      <c r="BY16" s="135">
        <f t="shared" si="8"/>
        <v>18.166666666686069</v>
      </c>
      <c r="BZ16" s="134">
        <f t="shared" si="9"/>
        <v>3.5104167245444842</v>
      </c>
      <c r="CA16" s="134">
        <f t="shared" si="10"/>
        <v>11.229166666664241</v>
      </c>
      <c r="CB16" s="133">
        <f t="shared" si="11"/>
        <v>0.31261596062740565</v>
      </c>
    </row>
    <row r="17" spans="1:80" s="126" customFormat="1">
      <c r="A17" s="192">
        <f t="shared" si="0"/>
        <v>45161.621527777781</v>
      </c>
      <c r="B17" s="126" t="s">
        <v>188</v>
      </c>
      <c r="C17" s="126" t="s">
        <v>78</v>
      </c>
      <c r="D17" s="126" t="s">
        <v>197</v>
      </c>
      <c r="E17" s="65" t="s">
        <v>2684</v>
      </c>
      <c r="G17" s="165">
        <v>45172.995833333334</v>
      </c>
      <c r="H17" s="165">
        <v>45172.995833333334</v>
      </c>
      <c r="I17" s="126" t="s">
        <v>199</v>
      </c>
      <c r="J17" s="126" t="s">
        <v>192</v>
      </c>
      <c r="K17" s="126" t="s">
        <v>192</v>
      </c>
      <c r="L17" s="126" t="s">
        <v>2686</v>
      </c>
      <c r="M17" s="167"/>
      <c r="N17" s="126" t="s">
        <v>208</v>
      </c>
      <c r="O17" s="126" t="s">
        <v>328</v>
      </c>
      <c r="P17" s="126" t="s">
        <v>78</v>
      </c>
      <c r="Q17" s="181">
        <f>3128*2.4</f>
        <v>7507.2</v>
      </c>
      <c r="R17" s="181">
        <f>7550+100</f>
        <v>7650</v>
      </c>
      <c r="S17" s="181">
        <v>7500</v>
      </c>
      <c r="T17" s="181"/>
      <c r="AO17" s="181">
        <f t="shared" si="13"/>
        <v>7500</v>
      </c>
      <c r="AX17" s="165">
        <f t="shared" si="1"/>
        <v>45158.399305555555</v>
      </c>
      <c r="AY17" s="165">
        <f t="shared" si="2"/>
        <v>45168.25</v>
      </c>
      <c r="AZ17" s="137">
        <f t="shared" si="3"/>
        <v>9.8506944444452529</v>
      </c>
      <c r="BA17" s="165">
        <v>45158.399305555555</v>
      </c>
      <c r="BB17" s="165">
        <v>45160.565972222219</v>
      </c>
      <c r="BC17" s="165">
        <v>45160.597222222219</v>
      </c>
      <c r="BD17" s="165">
        <v>45161.621527777781</v>
      </c>
      <c r="BE17" s="165">
        <v>45162.166666666664</v>
      </c>
      <c r="BF17" s="165">
        <v>45162.1875</v>
      </c>
      <c r="BG17" s="165">
        <v>45162.1875</v>
      </c>
      <c r="BH17" s="165">
        <f>BG17+(5/24)</f>
        <v>45162.395833333336</v>
      </c>
      <c r="BI17" s="210">
        <v>45162.25</v>
      </c>
      <c r="BJ17" s="210">
        <v>45162.416666608799</v>
      </c>
      <c r="BK17" s="165">
        <v>45162.329861111109</v>
      </c>
      <c r="BL17" s="165">
        <v>45164.270833333336</v>
      </c>
      <c r="BM17" s="165">
        <v>45167.25</v>
      </c>
      <c r="BN17" s="165">
        <v>45167.503472222219</v>
      </c>
      <c r="BO17" s="165">
        <v>45167.524305555555</v>
      </c>
      <c r="BP17" s="165">
        <v>45167.8125</v>
      </c>
      <c r="BQ17" s="165">
        <v>45168.25</v>
      </c>
      <c r="BT17" s="136">
        <f t="shared" si="4"/>
        <v>0.75</v>
      </c>
      <c r="BU17" s="136">
        <f t="shared" si="5"/>
        <v>13.083333333197515</v>
      </c>
      <c r="BV17" s="136">
        <f t="shared" si="6"/>
        <v>5.0000000000582077</v>
      </c>
      <c r="BW17" s="136">
        <f t="shared" si="12"/>
        <v>44.500001388892997</v>
      </c>
      <c r="BX17" s="135">
        <f t="shared" si="7"/>
        <v>6.0833333332557231</v>
      </c>
      <c r="BY17" s="135">
        <f t="shared" si="8"/>
        <v>10.5</v>
      </c>
      <c r="BZ17" s="134">
        <f t="shared" si="9"/>
        <v>3.3298611689751851</v>
      </c>
      <c r="CA17" s="134">
        <f t="shared" si="10"/>
        <v>9.8506944444452529</v>
      </c>
      <c r="CB17" s="133">
        <f t="shared" si="11"/>
        <v>0.33803313946590574</v>
      </c>
    </row>
    <row r="18" spans="1:80" s="126" customFormat="1">
      <c r="A18" s="192">
        <f t="shared" si="0"/>
        <v>45140.107638888891</v>
      </c>
      <c r="B18" s="126" t="s">
        <v>228</v>
      </c>
      <c r="C18" s="126" t="s">
        <v>229</v>
      </c>
      <c r="D18" s="126" t="s">
        <v>215</v>
      </c>
      <c r="E18" s="65" t="s">
        <v>2226</v>
      </c>
      <c r="G18" s="316">
        <v>45140.875</v>
      </c>
      <c r="H18" s="316">
        <v>45140.872916666667</v>
      </c>
      <c r="I18" s="126" t="s">
        <v>243</v>
      </c>
      <c r="J18" s="126" t="s">
        <v>192</v>
      </c>
      <c r="K18" s="126" t="s">
        <v>192</v>
      </c>
      <c r="L18" s="126" t="s">
        <v>2229</v>
      </c>
      <c r="M18" s="167"/>
      <c r="N18" s="126" t="s">
        <v>274</v>
      </c>
      <c r="O18" s="126" t="s">
        <v>1093</v>
      </c>
      <c r="P18" s="126" t="s">
        <v>235</v>
      </c>
      <c r="Q18" s="181">
        <f>3136*2.4</f>
        <v>7526.4</v>
      </c>
      <c r="R18" s="181">
        <f>7550+100</f>
        <v>7650</v>
      </c>
      <c r="S18" s="181">
        <v>6047.6009999999997</v>
      </c>
      <c r="T18" s="181"/>
      <c r="X18" s="181">
        <f>S18</f>
        <v>6047.6009999999997</v>
      </c>
      <c r="AX18" s="165">
        <f t="shared" si="1"/>
        <v>45135.083333333336</v>
      </c>
      <c r="AY18" s="165">
        <f t="shared" si="2"/>
        <v>45145.069444444445</v>
      </c>
      <c r="AZ18" s="137">
        <f t="shared" si="3"/>
        <v>9.9861111111094942</v>
      </c>
      <c r="BA18" s="165">
        <v>45135.083333333336</v>
      </c>
      <c r="BB18" s="165">
        <v>45135.777777777781</v>
      </c>
      <c r="BC18" s="165">
        <v>45137.21875</v>
      </c>
      <c r="BD18" s="165">
        <v>45140.107638888891</v>
      </c>
      <c r="BE18" s="165">
        <v>45140.256944444445</v>
      </c>
      <c r="BF18" s="165">
        <v>45140.267361111109</v>
      </c>
      <c r="BG18" s="165">
        <v>45140.267361111109</v>
      </c>
      <c r="BH18" s="165">
        <f t="shared" ref="BH18:BH49" si="14">BG18+(41/24)</f>
        <v>45141.975694444445</v>
      </c>
      <c r="BI18" s="165">
        <v>45142.25</v>
      </c>
      <c r="BJ18" s="165">
        <v>45142.416666608799</v>
      </c>
      <c r="BK18" s="165">
        <v>45142.270833333336</v>
      </c>
      <c r="BL18" s="165">
        <v>45143.666666666664</v>
      </c>
      <c r="BM18" s="165">
        <v>45143.833333333336</v>
      </c>
      <c r="BN18" s="165">
        <v>45144.079861111109</v>
      </c>
      <c r="BO18" s="165">
        <v>45144.100694444445</v>
      </c>
      <c r="BP18" s="165">
        <v>45144.659722222219</v>
      </c>
      <c r="BQ18" s="165">
        <v>45145.069444444445</v>
      </c>
      <c r="BT18" s="136">
        <f t="shared" si="4"/>
        <v>34.583333333255723</v>
      </c>
      <c r="BU18" s="136">
        <f t="shared" si="5"/>
        <v>3.5833333333139308</v>
      </c>
      <c r="BV18" s="136">
        <f t="shared" si="6"/>
        <v>41.000000000058208</v>
      </c>
      <c r="BW18" s="136">
        <f t="shared" si="12"/>
        <v>30.000001388776582</v>
      </c>
      <c r="BX18" s="135">
        <f t="shared" si="7"/>
        <v>5.9166666665696539</v>
      </c>
      <c r="BY18" s="135">
        <f t="shared" si="8"/>
        <v>9.8333333334303461</v>
      </c>
      <c r="BZ18" s="134">
        <f t="shared" si="9"/>
        <v>5.2048611689751851</v>
      </c>
      <c r="CA18" s="134">
        <f t="shared" si="10"/>
        <v>9.9861111111094942</v>
      </c>
      <c r="CB18" s="133">
        <f t="shared" si="11"/>
        <v>0.5212100197027455</v>
      </c>
    </row>
    <row r="19" spans="1:80" s="126" customFormat="1">
      <c r="A19" s="192">
        <f t="shared" si="0"/>
        <v>45140.458333333336</v>
      </c>
      <c r="B19" s="126" t="s">
        <v>228</v>
      </c>
      <c r="C19" s="126" t="s">
        <v>229</v>
      </c>
      <c r="D19" s="126" t="s">
        <v>197</v>
      </c>
      <c r="E19" s="65" t="s">
        <v>2226</v>
      </c>
      <c r="G19" s="316">
        <v>45140.875</v>
      </c>
      <c r="H19" s="316">
        <v>45140.872916666667</v>
      </c>
      <c r="I19" s="126" t="s">
        <v>243</v>
      </c>
      <c r="J19" s="126" t="s">
        <v>192</v>
      </c>
      <c r="K19" s="126" t="s">
        <v>192</v>
      </c>
      <c r="L19" s="126" t="s">
        <v>2234</v>
      </c>
      <c r="M19" s="167"/>
      <c r="N19" s="126" t="s">
        <v>205</v>
      </c>
      <c r="O19" s="126" t="s">
        <v>206</v>
      </c>
      <c r="P19" s="126" t="s">
        <v>235</v>
      </c>
      <c r="Q19" s="181">
        <f>3015*2.4</f>
        <v>7236</v>
      </c>
      <c r="R19" s="181">
        <f>7250+100</f>
        <v>7350</v>
      </c>
      <c r="S19" s="181">
        <v>5700.35</v>
      </c>
      <c r="T19" s="181"/>
      <c r="X19" s="181">
        <f>S19</f>
        <v>5700.35</v>
      </c>
      <c r="AX19" s="165">
        <f t="shared" si="1"/>
        <v>45134.546527777777</v>
      </c>
      <c r="AY19" s="165">
        <f t="shared" si="2"/>
        <v>45147.549305555556</v>
      </c>
      <c r="AZ19" s="137">
        <f t="shared" si="3"/>
        <v>13.002777777779556</v>
      </c>
      <c r="BA19" s="165">
        <v>45134.546527777777</v>
      </c>
      <c r="BB19" s="165">
        <v>45135.805555555555</v>
      </c>
      <c r="BC19" s="165">
        <v>45137.229166666664</v>
      </c>
      <c r="BD19" s="165">
        <v>45140.458333333336</v>
      </c>
      <c r="BE19" s="165">
        <v>45140.636111111111</v>
      </c>
      <c r="BF19" s="165">
        <v>45140.642361111109</v>
      </c>
      <c r="BG19" s="165">
        <v>45140.642361111109</v>
      </c>
      <c r="BH19" s="165">
        <f t="shared" si="14"/>
        <v>45142.350694444445</v>
      </c>
      <c r="BI19" s="165">
        <v>45143.25</v>
      </c>
      <c r="BJ19" s="165">
        <v>45143.416666608799</v>
      </c>
      <c r="BK19" s="165">
        <v>45054.322916666664</v>
      </c>
      <c r="BL19" s="165">
        <v>45144.635416666664</v>
      </c>
      <c r="BM19" s="165">
        <v>45145.875</v>
      </c>
      <c r="BN19" s="165">
        <v>45146.086805555555</v>
      </c>
      <c r="BO19" s="165">
        <v>45146.104166666664</v>
      </c>
      <c r="BP19" s="165">
        <v>45146.909722222219</v>
      </c>
      <c r="BQ19" s="165">
        <v>45147.549305555556</v>
      </c>
      <c r="BT19" s="136">
        <f t="shared" si="4"/>
        <v>34.166666666627862</v>
      </c>
      <c r="BU19" s="136">
        <f t="shared" si="5"/>
        <v>4.2666666666045785</v>
      </c>
      <c r="BV19" s="136">
        <f t="shared" si="6"/>
        <v>41.000000000058208</v>
      </c>
      <c r="BW19" s="136">
        <f t="shared" si="12"/>
        <v>29.250001388776582</v>
      </c>
      <c r="BX19" s="135">
        <f t="shared" si="7"/>
        <v>5.0833333333139308</v>
      </c>
      <c r="BY19" s="135">
        <f t="shared" si="8"/>
        <v>15.350000000093132</v>
      </c>
      <c r="BZ19" s="134">
        <f t="shared" si="9"/>
        <v>5.3798611689780955</v>
      </c>
      <c r="CA19" s="134">
        <f t="shared" si="10"/>
        <v>13.002777777779556</v>
      </c>
      <c r="CB19" s="133">
        <f t="shared" si="11"/>
        <v>0.41374706704376191</v>
      </c>
    </row>
    <row r="20" spans="1:80" s="126" customFormat="1">
      <c r="A20" s="192">
        <f t="shared" si="0"/>
        <v>45140.871527777781</v>
      </c>
      <c r="B20" s="126" t="s">
        <v>228</v>
      </c>
      <c r="C20" s="126" t="s">
        <v>229</v>
      </c>
      <c r="D20" s="126" t="s">
        <v>197</v>
      </c>
      <c r="E20" s="65" t="s">
        <v>2226</v>
      </c>
      <c r="G20" s="316">
        <v>45140.875</v>
      </c>
      <c r="H20" s="316">
        <v>45140.872916666667</v>
      </c>
      <c r="I20" s="126" t="s">
        <v>243</v>
      </c>
      <c r="J20" s="126" t="s">
        <v>192</v>
      </c>
      <c r="K20" s="126" t="s">
        <v>192</v>
      </c>
      <c r="L20" s="126" t="s">
        <v>2233</v>
      </c>
      <c r="M20" s="167"/>
      <c r="N20" s="126" t="s">
        <v>238</v>
      </c>
      <c r="O20" s="126" t="s">
        <v>239</v>
      </c>
      <c r="P20" s="126" t="s">
        <v>235</v>
      </c>
      <c r="Q20" s="181">
        <f>3100*2.4</f>
        <v>7440</v>
      </c>
      <c r="R20" s="181">
        <f>7450+100</f>
        <v>7550</v>
      </c>
      <c r="S20" s="181">
        <v>6002.3410000000003</v>
      </c>
      <c r="T20" s="181"/>
      <c r="X20" s="181">
        <f>S20</f>
        <v>6002.3410000000003</v>
      </c>
      <c r="AX20" s="165">
        <f t="shared" si="1"/>
        <v>45134.916666666664</v>
      </c>
      <c r="AY20" s="165">
        <f t="shared" si="2"/>
        <v>45146.395833333336</v>
      </c>
      <c r="AZ20" s="137">
        <f t="shared" si="3"/>
        <v>11.479166666671517</v>
      </c>
      <c r="BA20" s="165">
        <v>45134.916666666664</v>
      </c>
      <c r="BB20" s="165">
        <v>45136.368055555555</v>
      </c>
      <c r="BC20" s="165">
        <v>45137.802083333336</v>
      </c>
      <c r="BD20" s="165">
        <v>45140.871527777781</v>
      </c>
      <c r="BE20" s="165">
        <v>45141.013888888891</v>
      </c>
      <c r="BF20" s="165">
        <v>45141.024305555555</v>
      </c>
      <c r="BG20" s="165">
        <v>45141.024305555555</v>
      </c>
      <c r="BH20" s="165">
        <f t="shared" si="14"/>
        <v>45142.732638888891</v>
      </c>
      <c r="BI20" s="165">
        <v>45143.25</v>
      </c>
      <c r="BJ20" s="165">
        <v>45143.416666608799</v>
      </c>
      <c r="BK20" s="165">
        <v>45143.322916666664</v>
      </c>
      <c r="BL20" s="165">
        <v>45144.625</v>
      </c>
      <c r="BM20" s="165">
        <v>45145.5625</v>
      </c>
      <c r="BN20" s="165">
        <v>45145.774305555555</v>
      </c>
      <c r="BO20" s="165">
        <v>45145.8125</v>
      </c>
      <c r="BP20" s="165">
        <v>45145.895833333336</v>
      </c>
      <c r="BQ20" s="165">
        <v>45146.395833333336</v>
      </c>
      <c r="BT20" s="136">
        <f t="shared" si="4"/>
        <v>34.416666666744277</v>
      </c>
      <c r="BU20" s="136">
        <f t="shared" si="5"/>
        <v>3.4166666666278616</v>
      </c>
      <c r="BV20" s="136">
        <f t="shared" si="6"/>
        <v>41.000000000058208</v>
      </c>
      <c r="BW20" s="136">
        <f t="shared" si="12"/>
        <v>29.000001388834789</v>
      </c>
      <c r="BX20" s="135">
        <f t="shared" si="7"/>
        <v>5.0833333333139308</v>
      </c>
      <c r="BY20" s="135">
        <f t="shared" si="8"/>
        <v>12</v>
      </c>
      <c r="BZ20" s="134">
        <f t="shared" si="9"/>
        <v>5.2048611689824611</v>
      </c>
      <c r="CA20" s="134">
        <f t="shared" si="10"/>
        <v>11.479166666671517</v>
      </c>
      <c r="CB20" s="133">
        <f t="shared" si="11"/>
        <v>0.45341803286942389</v>
      </c>
    </row>
    <row r="21" spans="1:80" s="126" customFormat="1">
      <c r="A21" s="192">
        <f t="shared" si="0"/>
        <v>45141.055555555555</v>
      </c>
      <c r="B21" s="126" t="s">
        <v>228</v>
      </c>
      <c r="C21" s="126" t="s">
        <v>229</v>
      </c>
      <c r="D21" s="126" t="s">
        <v>197</v>
      </c>
      <c r="E21" s="65" t="s">
        <v>2226</v>
      </c>
      <c r="G21" s="316">
        <v>45140.875</v>
      </c>
      <c r="H21" s="316">
        <v>45140.872916666667</v>
      </c>
      <c r="I21" s="126" t="s">
        <v>243</v>
      </c>
      <c r="J21" s="126" t="s">
        <v>192</v>
      </c>
      <c r="K21" s="126" t="s">
        <v>192</v>
      </c>
      <c r="L21" s="126" t="s">
        <v>2236</v>
      </c>
      <c r="M21" s="167"/>
      <c r="N21" s="126" t="s">
        <v>1392</v>
      </c>
      <c r="O21" s="126" t="s">
        <v>365</v>
      </c>
      <c r="P21" s="126" t="s">
        <v>240</v>
      </c>
      <c r="Q21" s="181">
        <f>3142*2.4</f>
        <v>7540.7999999999993</v>
      </c>
      <c r="R21" s="181">
        <f>7550+100</f>
        <v>7650</v>
      </c>
      <c r="S21" s="181">
        <v>5956.1440000000002</v>
      </c>
      <c r="T21" s="181"/>
      <c r="Y21" s="181">
        <f>S21</f>
        <v>5956.1440000000002</v>
      </c>
      <c r="AX21" s="165">
        <f t="shared" si="1"/>
        <v>45133.125</v>
      </c>
      <c r="AY21" s="165">
        <f t="shared" si="2"/>
        <v>45147.53125</v>
      </c>
      <c r="AZ21" s="137">
        <f t="shared" si="3"/>
        <v>14.40625</v>
      </c>
      <c r="BA21" s="165">
        <v>45133.125</v>
      </c>
      <c r="BB21" s="165">
        <v>45136.361111111109</v>
      </c>
      <c r="BC21" s="165">
        <v>45137.934027777781</v>
      </c>
      <c r="BD21" s="165">
        <v>45141.055555555555</v>
      </c>
      <c r="BE21" s="165">
        <v>45141.236111111109</v>
      </c>
      <c r="BF21" s="165">
        <v>45141.25</v>
      </c>
      <c r="BG21" s="165">
        <v>45141.25</v>
      </c>
      <c r="BH21" s="165">
        <f t="shared" si="14"/>
        <v>45142.958333333336</v>
      </c>
      <c r="BI21" s="165">
        <v>45143.25</v>
      </c>
      <c r="BJ21" s="165">
        <v>45143.416666608799</v>
      </c>
      <c r="BK21" s="165">
        <v>45143.309027777781</v>
      </c>
      <c r="BL21" s="165">
        <v>45144.9375</v>
      </c>
      <c r="BM21" s="165">
        <v>45146.84375</v>
      </c>
      <c r="BN21" s="165">
        <v>45146.972222222219</v>
      </c>
      <c r="BO21" s="165">
        <v>45146.982638888891</v>
      </c>
      <c r="BP21" s="165">
        <v>45146.986111111109</v>
      </c>
      <c r="BQ21" s="165">
        <v>45147.53125</v>
      </c>
      <c r="BT21" s="136">
        <f t="shared" si="4"/>
        <v>37.750000000116415</v>
      </c>
      <c r="BU21" s="136">
        <f t="shared" si="5"/>
        <v>4.3333333333139308</v>
      </c>
      <c r="BV21" s="136">
        <f t="shared" si="6"/>
        <v>41.000000000058208</v>
      </c>
      <c r="BW21" s="136">
        <f t="shared" si="12"/>
        <v>36.500001388834789</v>
      </c>
      <c r="BX21" s="135">
        <f t="shared" si="7"/>
        <v>3.0833333332557231</v>
      </c>
      <c r="BY21" s="135">
        <f t="shared" si="8"/>
        <v>13.083333333372138</v>
      </c>
      <c r="BZ21" s="134">
        <f t="shared" si="9"/>
        <v>5.6562500578729669</v>
      </c>
      <c r="CA21" s="134">
        <f t="shared" si="10"/>
        <v>14.40625</v>
      </c>
      <c r="CB21" s="133">
        <f t="shared" si="11"/>
        <v>0.39262473286753785</v>
      </c>
    </row>
    <row r="22" spans="1:80" s="126" customFormat="1">
      <c r="A22" s="192">
        <f t="shared" si="0"/>
        <v>45141.326388888891</v>
      </c>
      <c r="B22" s="126" t="s">
        <v>228</v>
      </c>
      <c r="C22" s="126" t="s">
        <v>229</v>
      </c>
      <c r="D22" s="126" t="s">
        <v>197</v>
      </c>
      <c r="E22" s="65" t="s">
        <v>2226</v>
      </c>
      <c r="G22" s="316">
        <v>45140.875</v>
      </c>
      <c r="H22" s="316">
        <v>45140.872916666667</v>
      </c>
      <c r="I22" s="126" t="s">
        <v>243</v>
      </c>
      <c r="J22" s="126" t="s">
        <v>192</v>
      </c>
      <c r="K22" s="126" t="s">
        <v>192</v>
      </c>
      <c r="L22" s="126" t="s">
        <v>2230</v>
      </c>
      <c r="M22" s="167"/>
      <c r="N22" s="126" t="s">
        <v>263</v>
      </c>
      <c r="O22" s="126" t="s">
        <v>264</v>
      </c>
      <c r="P22" s="126" t="s">
        <v>240</v>
      </c>
      <c r="Q22" s="181">
        <f>3136*2.4</f>
        <v>7526.4</v>
      </c>
      <c r="R22" s="181">
        <f>7550+100</f>
        <v>7650</v>
      </c>
      <c r="S22" s="181">
        <v>6029.4489999999996</v>
      </c>
      <c r="T22" s="181"/>
      <c r="Y22" s="181">
        <f>S22</f>
        <v>6029.4489999999996</v>
      </c>
      <c r="AX22" s="165">
        <f t="shared" si="1"/>
        <v>45134.527777777781</v>
      </c>
      <c r="AY22" s="165">
        <f t="shared" si="2"/>
        <v>45145.458333333336</v>
      </c>
      <c r="AZ22" s="137">
        <f t="shared" si="3"/>
        <v>10.930555555554747</v>
      </c>
      <c r="BA22" s="165">
        <v>45134.527777777781</v>
      </c>
      <c r="BB22" s="165">
        <v>45136.791666666664</v>
      </c>
      <c r="BC22" s="165">
        <v>45138.166666666664</v>
      </c>
      <c r="BD22" s="165">
        <v>45141.326388888891</v>
      </c>
      <c r="BE22" s="165">
        <v>45141.46875</v>
      </c>
      <c r="BF22" s="165">
        <v>45141.458333333336</v>
      </c>
      <c r="BG22" s="165">
        <v>45141.458333333336</v>
      </c>
      <c r="BH22" s="165">
        <f t="shared" si="14"/>
        <v>45143.166666666672</v>
      </c>
      <c r="BI22" s="165">
        <v>45143.25</v>
      </c>
      <c r="BJ22" s="165">
        <v>45143.416666608799</v>
      </c>
      <c r="BK22" s="165">
        <v>45143.277777777781</v>
      </c>
      <c r="BL22" s="165">
        <v>45144.583333333336</v>
      </c>
      <c r="BM22" s="165">
        <v>45144.684027777781</v>
      </c>
      <c r="BN22" s="165">
        <v>45144.885416666664</v>
      </c>
      <c r="BO22" s="165">
        <v>45144.90625</v>
      </c>
      <c r="BP22" s="165">
        <v>45144.930555555555</v>
      </c>
      <c r="BQ22" s="165">
        <v>45145.458333333336</v>
      </c>
      <c r="BT22" s="136">
        <f t="shared" si="4"/>
        <v>33</v>
      </c>
      <c r="BU22" s="136">
        <f t="shared" si="5"/>
        <v>3.4166666666278616</v>
      </c>
      <c r="BV22" s="136">
        <f t="shared" si="6"/>
        <v>41.000000000058208</v>
      </c>
      <c r="BW22" s="136">
        <f t="shared" si="12"/>
        <v>28.000001388892997</v>
      </c>
      <c r="BX22" s="135">
        <f t="shared" si="7"/>
        <v>4.8333333331975155</v>
      </c>
      <c r="BY22" s="135">
        <f t="shared" si="8"/>
        <v>12.666666666744277</v>
      </c>
      <c r="BZ22" s="134">
        <f t="shared" si="9"/>
        <v>5.1215278356467024</v>
      </c>
      <c r="CA22" s="134">
        <f t="shared" si="10"/>
        <v>10.930555555554747</v>
      </c>
      <c r="CB22" s="133">
        <f t="shared" si="11"/>
        <v>0.46855146653950425</v>
      </c>
    </row>
    <row r="23" spans="1:80" s="126" customFormat="1">
      <c r="A23" s="192">
        <f t="shared" si="0"/>
        <v>45141.479166666664</v>
      </c>
      <c r="B23" s="126" t="s">
        <v>228</v>
      </c>
      <c r="C23" s="126" t="s">
        <v>229</v>
      </c>
      <c r="D23" s="126" t="s">
        <v>197</v>
      </c>
      <c r="E23" s="65" t="s">
        <v>2226</v>
      </c>
      <c r="G23" s="316">
        <v>45140.875</v>
      </c>
      <c r="H23" s="316">
        <v>45140.872916666667</v>
      </c>
      <c r="I23" s="126" t="s">
        <v>243</v>
      </c>
      <c r="J23" s="126" t="s">
        <v>192</v>
      </c>
      <c r="K23" s="126" t="s">
        <v>192</v>
      </c>
      <c r="L23" s="126" t="s">
        <v>2232</v>
      </c>
      <c r="M23" s="167"/>
      <c r="N23" s="126" t="s">
        <v>377</v>
      </c>
      <c r="O23" s="126" t="s">
        <v>378</v>
      </c>
      <c r="P23" s="126" t="s">
        <v>240</v>
      </c>
      <c r="Q23" s="181">
        <f>3271*2.4</f>
        <v>7850.4</v>
      </c>
      <c r="R23" s="181">
        <f>7900+100</f>
        <v>8000</v>
      </c>
      <c r="S23" s="181">
        <v>6073.049</v>
      </c>
      <c r="T23" s="181"/>
      <c r="Y23" s="181">
        <f>S23</f>
        <v>6073.049</v>
      </c>
      <c r="AX23" s="165">
        <f t="shared" si="1"/>
        <v>45136.090277777781</v>
      </c>
      <c r="AY23" s="165">
        <f t="shared" si="2"/>
        <v>45146.506944444445</v>
      </c>
      <c r="AZ23" s="137">
        <f t="shared" si="3"/>
        <v>10.416666666664241</v>
      </c>
      <c r="BA23" s="165">
        <v>45136.090277777781</v>
      </c>
      <c r="BB23" s="165">
        <v>45136.798611111109</v>
      </c>
      <c r="BC23" s="165">
        <v>45138.229166666664</v>
      </c>
      <c r="BD23" s="165">
        <v>45141.479166666664</v>
      </c>
      <c r="BE23" s="165">
        <v>45141.618055555555</v>
      </c>
      <c r="BF23" s="165">
        <v>45141.628472222219</v>
      </c>
      <c r="BG23" s="165">
        <v>45141.628472222219</v>
      </c>
      <c r="BH23" s="165">
        <f t="shared" si="14"/>
        <v>45143.336805555555</v>
      </c>
      <c r="BI23" s="165">
        <v>45143.25</v>
      </c>
      <c r="BJ23" s="165">
        <v>45143.416666608799</v>
      </c>
      <c r="BK23" s="165">
        <v>45143.298611111109</v>
      </c>
      <c r="BL23" s="165">
        <v>45144.666666666664</v>
      </c>
      <c r="BM23" s="165">
        <v>45145.317361111112</v>
      </c>
      <c r="BN23" s="165">
        <v>45145.489583333336</v>
      </c>
      <c r="BO23" s="165">
        <v>45145.503472222219</v>
      </c>
      <c r="BP23" s="165">
        <v>45145.822916666664</v>
      </c>
      <c r="BQ23" s="165">
        <v>45146.506944444445</v>
      </c>
      <c r="BT23" s="136">
        <f t="shared" si="4"/>
        <v>34.333333333313931</v>
      </c>
      <c r="BU23" s="136">
        <f t="shared" si="5"/>
        <v>3.3333333333721384</v>
      </c>
      <c r="BV23" s="136">
        <f t="shared" si="6"/>
        <v>41.000000000058208</v>
      </c>
      <c r="BW23" s="136">
        <f t="shared" si="12"/>
        <v>30.000001388776582</v>
      </c>
      <c r="BX23" s="135">
        <f t="shared" si="7"/>
        <v>4.1333333333604969</v>
      </c>
      <c r="BY23" s="135">
        <f t="shared" si="8"/>
        <v>16.416666666744277</v>
      </c>
      <c r="BZ23" s="134">
        <f t="shared" si="9"/>
        <v>5.384027835651068</v>
      </c>
      <c r="CA23" s="134">
        <f t="shared" si="10"/>
        <v>10.416666666664241</v>
      </c>
      <c r="CB23" s="133">
        <f t="shared" si="11"/>
        <v>0.51686667222262284</v>
      </c>
    </row>
    <row r="24" spans="1:80" s="126" customFormat="1">
      <c r="A24" s="192">
        <f t="shared" si="0"/>
        <v>45141.902777777781</v>
      </c>
      <c r="B24" s="126" t="s">
        <v>228</v>
      </c>
      <c r="C24" s="126" t="s">
        <v>229</v>
      </c>
      <c r="D24" s="126" t="s">
        <v>197</v>
      </c>
      <c r="E24" s="65" t="s">
        <v>2226</v>
      </c>
      <c r="G24" s="316">
        <v>45140.875</v>
      </c>
      <c r="H24" s="316">
        <v>45140.872916666667</v>
      </c>
      <c r="I24" s="126" t="s">
        <v>243</v>
      </c>
      <c r="J24" s="126" t="s">
        <v>192</v>
      </c>
      <c r="K24" s="126" t="s">
        <v>192</v>
      </c>
      <c r="L24" s="126" t="s">
        <v>2235</v>
      </c>
      <c r="M24" s="167"/>
      <c r="N24" s="126" t="s">
        <v>226</v>
      </c>
      <c r="O24" s="126" t="s">
        <v>227</v>
      </c>
      <c r="P24" s="126" t="s">
        <v>240</v>
      </c>
      <c r="Q24" s="181">
        <f>3100*2.4</f>
        <v>7440</v>
      </c>
      <c r="R24" s="181">
        <f>7450+100</f>
        <v>7550</v>
      </c>
      <c r="S24" s="181">
        <v>5904.0820000000003</v>
      </c>
      <c r="T24" s="181"/>
      <c r="Y24" s="181">
        <f>S24</f>
        <v>5904.0820000000003</v>
      </c>
      <c r="AX24" s="165">
        <f t="shared" si="1"/>
        <v>45135.361111111109</v>
      </c>
      <c r="AY24" s="165">
        <f t="shared" si="2"/>
        <v>45147.541666666664</v>
      </c>
      <c r="AZ24" s="137">
        <f t="shared" si="3"/>
        <v>12.180555555554747</v>
      </c>
      <c r="BA24" s="165">
        <v>45135.361111111109</v>
      </c>
      <c r="BB24" s="165">
        <v>45136.833333333336</v>
      </c>
      <c r="BC24" s="165">
        <v>45138.333333333336</v>
      </c>
      <c r="BD24" s="165">
        <v>45141.902777777781</v>
      </c>
      <c r="BE24" s="165">
        <v>45142.027777777781</v>
      </c>
      <c r="BF24" s="165">
        <v>45142.03125</v>
      </c>
      <c r="BG24" s="165">
        <v>45142.03125</v>
      </c>
      <c r="BH24" s="165">
        <f t="shared" si="14"/>
        <v>45143.739583333336</v>
      </c>
      <c r="BI24" s="165">
        <v>45144.25</v>
      </c>
      <c r="BJ24" s="165">
        <v>45144.416666608799</v>
      </c>
      <c r="BK24" s="165">
        <v>45144.284722222219</v>
      </c>
      <c r="BL24" s="165">
        <v>45145.791666666664</v>
      </c>
      <c r="BM24" s="165">
        <v>45146.190972222219</v>
      </c>
      <c r="BN24" s="165">
        <v>45146.440972222219</v>
      </c>
      <c r="BO24" s="165">
        <v>45146.458333333336</v>
      </c>
      <c r="BP24" s="165">
        <v>45146.90625</v>
      </c>
      <c r="BQ24" s="165">
        <v>45147.541666666664</v>
      </c>
      <c r="BT24" s="136">
        <f t="shared" si="4"/>
        <v>36</v>
      </c>
      <c r="BU24" s="136">
        <f t="shared" si="5"/>
        <v>3</v>
      </c>
      <c r="BV24" s="136">
        <f t="shared" si="6"/>
        <v>41.000000000058208</v>
      </c>
      <c r="BW24" s="136">
        <f t="shared" si="12"/>
        <v>33.000001388776582</v>
      </c>
      <c r="BX24" s="135">
        <f t="shared" si="7"/>
        <v>6</v>
      </c>
      <c r="BY24" s="135">
        <f t="shared" si="8"/>
        <v>15.249999999941792</v>
      </c>
      <c r="BZ24" s="134">
        <f t="shared" si="9"/>
        <v>5.5937500578656909</v>
      </c>
      <c r="CA24" s="134">
        <f t="shared" si="10"/>
        <v>12.180555555554747</v>
      </c>
      <c r="CB24" s="133">
        <f t="shared" si="11"/>
        <v>0.45923603667771545</v>
      </c>
    </row>
    <row r="25" spans="1:80" s="126" customFormat="1">
      <c r="A25" s="192">
        <f t="shared" si="0"/>
        <v>45142.052083333336</v>
      </c>
      <c r="B25" s="126" t="s">
        <v>228</v>
      </c>
      <c r="C25" s="126" t="s">
        <v>229</v>
      </c>
      <c r="D25" s="126" t="s">
        <v>197</v>
      </c>
      <c r="E25" s="65" t="s">
        <v>2226</v>
      </c>
      <c r="G25" s="316">
        <v>45140.875</v>
      </c>
      <c r="H25" s="316">
        <v>45140.872916666667</v>
      </c>
      <c r="I25" s="126" t="s">
        <v>243</v>
      </c>
      <c r="J25" s="126" t="s">
        <v>192</v>
      </c>
      <c r="K25" s="126" t="s">
        <v>192</v>
      </c>
      <c r="L25" s="126" t="s">
        <v>2237</v>
      </c>
      <c r="M25" s="167"/>
      <c r="N25" s="126" t="s">
        <v>406</v>
      </c>
      <c r="O25" s="126" t="s">
        <v>407</v>
      </c>
      <c r="P25" s="126" t="s">
        <v>240</v>
      </c>
      <c r="Q25" s="181">
        <f>3107*2.4</f>
        <v>7456.7999999999993</v>
      </c>
      <c r="R25" s="181">
        <f>7500+100</f>
        <v>7600</v>
      </c>
      <c r="S25" s="181">
        <v>6023.8559999999998</v>
      </c>
      <c r="T25" s="181"/>
      <c r="X25" s="181">
        <f>S25</f>
        <v>6023.8559999999998</v>
      </c>
      <c r="AX25" s="165">
        <f t="shared" si="1"/>
        <v>45136.177083333336</v>
      </c>
      <c r="AY25" s="165">
        <f t="shared" si="2"/>
        <v>45146.715277777781</v>
      </c>
      <c r="AZ25" s="137">
        <f t="shared" si="3"/>
        <v>10.538194444445253</v>
      </c>
      <c r="BA25" s="165">
        <v>45136.177083333336</v>
      </c>
      <c r="BB25" s="165">
        <v>45137.854166666664</v>
      </c>
      <c r="BC25" s="165">
        <v>45139.159722222219</v>
      </c>
      <c r="BD25" s="165">
        <v>45142.052083333336</v>
      </c>
      <c r="BE25" s="165">
        <v>45142.193055555559</v>
      </c>
      <c r="BF25" s="165">
        <v>45142.204861111109</v>
      </c>
      <c r="BG25" s="165">
        <v>45142.204861111109</v>
      </c>
      <c r="BH25" s="165">
        <f t="shared" si="14"/>
        <v>45143.913194444445</v>
      </c>
      <c r="BI25" s="165">
        <v>45144.25</v>
      </c>
      <c r="BJ25" s="165">
        <v>45144.416666608799</v>
      </c>
      <c r="BK25" s="210">
        <v>45144.378472222219</v>
      </c>
      <c r="BL25" s="165">
        <v>45145.625</v>
      </c>
      <c r="BM25" s="165">
        <v>45146.510416666664</v>
      </c>
      <c r="BN25" s="165">
        <v>45146.715277777781</v>
      </c>
      <c r="BO25" s="165">
        <v>45146.715277777781</v>
      </c>
      <c r="BP25" s="165">
        <v>45146.715277777781</v>
      </c>
      <c r="BQ25" s="165">
        <v>45146.715277777781</v>
      </c>
      <c r="BT25" s="136">
        <f t="shared" si="4"/>
        <v>31.333333333313931</v>
      </c>
      <c r="BU25" s="136">
        <f t="shared" si="5"/>
        <v>3.3833333333604969</v>
      </c>
      <c r="BV25" s="136">
        <f t="shared" si="6"/>
        <v>41.000000000058208</v>
      </c>
      <c r="BW25" s="136">
        <f t="shared" si="12"/>
        <v>29.000001388834789</v>
      </c>
      <c r="BX25" s="135">
        <f t="shared" si="7"/>
        <v>4.9166666668024845</v>
      </c>
      <c r="BY25" s="135">
        <f t="shared" si="8"/>
        <v>0</v>
      </c>
      <c r="BZ25" s="134">
        <f t="shared" si="9"/>
        <v>4.5680556134320796</v>
      </c>
      <c r="CA25" s="134">
        <f t="shared" si="10"/>
        <v>10.538194444445253</v>
      </c>
      <c r="CB25" s="133">
        <f t="shared" si="11"/>
        <v>0.43347611751839804</v>
      </c>
    </row>
    <row r="26" spans="1:80" s="126" customFormat="1">
      <c r="A26" s="192">
        <f t="shared" si="0"/>
        <v>45143.940972222219</v>
      </c>
      <c r="B26" s="126" t="s">
        <v>228</v>
      </c>
      <c r="C26" s="126" t="s">
        <v>229</v>
      </c>
      <c r="D26" s="126" t="s">
        <v>215</v>
      </c>
      <c r="E26" s="65" t="s">
        <v>2309</v>
      </c>
      <c r="G26" s="165">
        <v>45142.708333333336</v>
      </c>
      <c r="H26" s="165">
        <v>45142.708333333336</v>
      </c>
      <c r="I26" s="126" t="s">
        <v>231</v>
      </c>
      <c r="J26" s="126" t="s">
        <v>192</v>
      </c>
      <c r="K26" s="126" t="s">
        <v>192</v>
      </c>
      <c r="L26" s="126" t="s">
        <v>2333</v>
      </c>
      <c r="M26" s="167"/>
      <c r="N26" s="126" t="s">
        <v>218</v>
      </c>
      <c r="O26" s="126" t="s">
        <v>219</v>
      </c>
      <c r="P26" s="126" t="s">
        <v>240</v>
      </c>
      <c r="Q26" s="181">
        <f>3087*2.4</f>
        <v>7408.7999999999993</v>
      </c>
      <c r="R26" s="181">
        <f>7450+100</f>
        <v>7550</v>
      </c>
      <c r="S26" s="181">
        <v>5841.61</v>
      </c>
      <c r="T26" s="181"/>
      <c r="U26" s="172"/>
      <c r="Y26" s="181">
        <f t="shared" ref="Y26:Y32" si="15">S26</f>
        <v>5841.61</v>
      </c>
      <c r="AX26" s="165">
        <f t="shared" si="1"/>
        <v>45140.34375</v>
      </c>
      <c r="AY26" s="165">
        <f t="shared" si="2"/>
        <v>45156.083333333336</v>
      </c>
      <c r="AZ26" s="137">
        <f t="shared" si="3"/>
        <v>15.739583333335759</v>
      </c>
      <c r="BA26" s="165">
        <v>45140.34375</v>
      </c>
      <c r="BB26" s="165">
        <v>45141.583333333336</v>
      </c>
      <c r="BC26" s="165">
        <v>45143.208333333336</v>
      </c>
      <c r="BD26" s="165">
        <v>45143.940972222219</v>
      </c>
      <c r="BE26" s="165">
        <v>45144.048611111109</v>
      </c>
      <c r="BF26" s="165">
        <v>45144.065972222219</v>
      </c>
      <c r="BG26" s="165">
        <v>45144.236111111109</v>
      </c>
      <c r="BH26" s="165">
        <f t="shared" si="14"/>
        <v>45145.944444444445</v>
      </c>
      <c r="BI26" s="165">
        <v>45146.229166608799</v>
      </c>
      <c r="BJ26" s="165">
        <v>45146.395833333336</v>
      </c>
      <c r="BK26" s="165">
        <v>45146.319444444445</v>
      </c>
      <c r="BL26" s="165">
        <v>45147.5625</v>
      </c>
      <c r="BM26" s="165">
        <v>45155.534722222219</v>
      </c>
      <c r="BN26" s="165">
        <v>45155.736111111109</v>
      </c>
      <c r="BO26" s="165">
        <v>45155.756944444445</v>
      </c>
      <c r="BP26" s="165">
        <v>45155.756944444445</v>
      </c>
      <c r="BQ26" s="165">
        <v>45156.083333333336</v>
      </c>
      <c r="BT26" s="136">
        <f t="shared" si="4"/>
        <v>39</v>
      </c>
      <c r="BU26" s="136">
        <f t="shared" si="5"/>
        <v>2.5833333333721384</v>
      </c>
      <c r="BV26" s="136">
        <f t="shared" si="6"/>
        <v>41.000000000058208</v>
      </c>
      <c r="BW26" s="136">
        <f t="shared" si="12"/>
        <v>27.999999999941792</v>
      </c>
      <c r="BX26" s="135">
        <f t="shared" si="7"/>
        <v>4.8333333333721384</v>
      </c>
      <c r="BY26" s="135">
        <f t="shared" si="8"/>
        <v>7.8333333333721384</v>
      </c>
      <c r="BZ26" s="134">
        <f t="shared" si="9"/>
        <v>5.1354166666715173</v>
      </c>
      <c r="CA26" s="134">
        <f t="shared" si="10"/>
        <v>15.739583333335759</v>
      </c>
      <c r="CB26" s="133">
        <f t="shared" si="11"/>
        <v>0.32627399073487073</v>
      </c>
    </row>
    <row r="27" spans="1:80" s="126" customFormat="1">
      <c r="A27" s="192">
        <f t="shared" si="0"/>
        <v>45144.086805555555</v>
      </c>
      <c r="B27" s="126" t="s">
        <v>228</v>
      </c>
      <c r="C27" s="126" t="s">
        <v>229</v>
      </c>
      <c r="D27" s="126" t="s">
        <v>197</v>
      </c>
      <c r="E27" s="65" t="s">
        <v>2309</v>
      </c>
      <c r="G27" s="165">
        <v>45142.708333333336</v>
      </c>
      <c r="H27" s="165">
        <v>45142.708333333336</v>
      </c>
      <c r="I27" s="126" t="s">
        <v>231</v>
      </c>
      <c r="J27" s="126" t="s">
        <v>192</v>
      </c>
      <c r="K27" s="126" t="s">
        <v>192</v>
      </c>
      <c r="L27" s="126" t="s">
        <v>2332</v>
      </c>
      <c r="M27" s="167"/>
      <c r="N27" s="126" t="s">
        <v>260</v>
      </c>
      <c r="O27" s="126" t="s">
        <v>261</v>
      </c>
      <c r="P27" s="126" t="s">
        <v>240</v>
      </c>
      <c r="Q27" s="181">
        <f>3107*2.4</f>
        <v>7456.7999999999993</v>
      </c>
      <c r="R27" s="181">
        <f>7500+100</f>
        <v>7600</v>
      </c>
      <c r="S27" s="181">
        <v>6163.9809999999998</v>
      </c>
      <c r="T27" s="181"/>
      <c r="Y27" s="181">
        <f t="shared" si="15"/>
        <v>6163.9809999999998</v>
      </c>
      <c r="AX27" s="165">
        <f t="shared" si="1"/>
        <v>45140.947916666664</v>
      </c>
      <c r="AY27" s="165">
        <f t="shared" si="2"/>
        <v>45155.861111111109</v>
      </c>
      <c r="AZ27" s="137">
        <f t="shared" si="3"/>
        <v>14.913194444445253</v>
      </c>
      <c r="BA27" s="165">
        <v>45140.947916666664</v>
      </c>
      <c r="BB27" s="165">
        <v>45141.791666666664</v>
      </c>
      <c r="BC27" s="165">
        <v>45144.086805555555</v>
      </c>
      <c r="BD27" s="165">
        <v>45144.086805555555</v>
      </c>
      <c r="BE27" s="165">
        <v>45144.194444444445</v>
      </c>
      <c r="BF27" s="165">
        <v>45144.208333333336</v>
      </c>
      <c r="BG27" s="165">
        <v>45144.270833333336</v>
      </c>
      <c r="BH27" s="165">
        <f t="shared" si="14"/>
        <v>45145.979166666672</v>
      </c>
      <c r="BI27" s="165">
        <v>45146.229166608799</v>
      </c>
      <c r="BJ27" s="165">
        <v>45146.395833333336</v>
      </c>
      <c r="BK27" s="165">
        <v>45146.295138888891</v>
      </c>
      <c r="BL27" s="165">
        <v>45147.388888888891</v>
      </c>
      <c r="BM27" s="165">
        <v>45155.305555555555</v>
      </c>
      <c r="BN27" s="165">
        <v>45155.472222222219</v>
      </c>
      <c r="BO27" s="165">
        <v>45155.493055555555</v>
      </c>
      <c r="BP27" s="165">
        <v>45155.684027777781</v>
      </c>
      <c r="BQ27" s="165">
        <v>45155.861111111109</v>
      </c>
      <c r="BT27" s="136">
        <f t="shared" si="4"/>
        <v>55.083333333372138</v>
      </c>
      <c r="BU27" s="136">
        <f t="shared" si="5"/>
        <v>2.5833333333721384</v>
      </c>
      <c r="BV27" s="136">
        <f t="shared" si="6"/>
        <v>41.000000000058208</v>
      </c>
      <c r="BW27" s="136">
        <f t="shared" si="12"/>
        <v>23.833333333313931</v>
      </c>
      <c r="BX27" s="135">
        <f t="shared" si="7"/>
        <v>3.9999999999417923</v>
      </c>
      <c r="BY27" s="135">
        <f t="shared" si="8"/>
        <v>4.2499999998835847</v>
      </c>
      <c r="BZ27" s="134">
        <f t="shared" si="9"/>
        <v>5.4479166666642413</v>
      </c>
      <c r="CA27" s="134">
        <f t="shared" si="10"/>
        <v>14.913194444445253</v>
      </c>
      <c r="CB27" s="133">
        <f t="shared" si="11"/>
        <v>0.36530849825360101</v>
      </c>
    </row>
    <row r="28" spans="1:80" s="126" customFormat="1">
      <c r="A28" s="192">
        <f t="shared" si="0"/>
        <v>45144.236111111109</v>
      </c>
      <c r="B28" s="126" t="s">
        <v>228</v>
      </c>
      <c r="C28" s="126" t="s">
        <v>229</v>
      </c>
      <c r="D28" s="285" t="s">
        <v>1248</v>
      </c>
      <c r="E28" s="65" t="s">
        <v>2309</v>
      </c>
      <c r="G28" s="165">
        <v>45142.708333333336</v>
      </c>
      <c r="H28" s="165">
        <v>45142.716666666667</v>
      </c>
      <c r="I28" s="126" t="s">
        <v>231</v>
      </c>
      <c r="J28" s="126" t="s">
        <v>192</v>
      </c>
      <c r="K28" s="126" t="s">
        <v>192</v>
      </c>
      <c r="L28" s="126" t="s">
        <v>2318</v>
      </c>
      <c r="M28" s="167"/>
      <c r="N28" s="126" t="s">
        <v>2319</v>
      </c>
      <c r="O28" s="126" t="s">
        <v>2320</v>
      </c>
      <c r="P28" s="126" t="s">
        <v>240</v>
      </c>
      <c r="Q28" s="181">
        <f>3107*2.4</f>
        <v>7456.7999999999993</v>
      </c>
      <c r="R28" s="181">
        <f>7450+100</f>
        <v>7550</v>
      </c>
      <c r="S28" s="181">
        <v>6054.7969999999996</v>
      </c>
      <c r="T28" s="181"/>
      <c r="Y28" s="181">
        <f t="shared" si="15"/>
        <v>6054.7969999999996</v>
      </c>
      <c r="AX28" s="165">
        <f t="shared" si="1"/>
        <v>45141.784722222219</v>
      </c>
      <c r="AY28" s="165">
        <f t="shared" si="2"/>
        <v>45154.201388888891</v>
      </c>
      <c r="AZ28" s="137">
        <f t="shared" si="3"/>
        <v>12.416666666671517</v>
      </c>
      <c r="BA28" s="165">
        <v>45141.784722222219</v>
      </c>
      <c r="BB28" s="165">
        <v>45141.784722222219</v>
      </c>
      <c r="BC28" s="165">
        <v>45143.545138888891</v>
      </c>
      <c r="BD28" s="165">
        <v>45144.236111111109</v>
      </c>
      <c r="BE28" s="165">
        <v>45144.409722222219</v>
      </c>
      <c r="BF28" s="165">
        <v>45144.444444444445</v>
      </c>
      <c r="BG28" s="165">
        <v>45144.444444444445</v>
      </c>
      <c r="BH28" s="165">
        <f t="shared" si="14"/>
        <v>45146.152777777781</v>
      </c>
      <c r="BI28" s="210">
        <v>45147.291666608799</v>
      </c>
      <c r="BJ28" s="210">
        <v>45147.458333333336</v>
      </c>
      <c r="BK28" s="165">
        <v>45147.326388888891</v>
      </c>
      <c r="BL28" s="165">
        <v>45148.996527777781</v>
      </c>
      <c r="BM28" s="165">
        <v>45153.972222222219</v>
      </c>
      <c r="BN28" s="165">
        <v>45154.180555555555</v>
      </c>
      <c r="BO28" s="165">
        <v>45154.201388888891</v>
      </c>
      <c r="BP28" s="165">
        <v>45154.201388888891</v>
      </c>
      <c r="BQ28" s="165">
        <v>45154.201388888891</v>
      </c>
      <c r="BT28" s="136">
        <f t="shared" si="4"/>
        <v>42.250000000116415</v>
      </c>
      <c r="BU28" s="136">
        <f t="shared" si="5"/>
        <v>4.1666666666278616</v>
      </c>
      <c r="BV28" s="136">
        <f t="shared" si="6"/>
        <v>41.000000000058208</v>
      </c>
      <c r="BW28" s="136">
        <f t="shared" si="12"/>
        <v>36.916666666686069</v>
      </c>
      <c r="BX28" s="135">
        <f t="shared" si="7"/>
        <v>5.0000000000582077</v>
      </c>
      <c r="BY28" s="135">
        <f t="shared" si="8"/>
        <v>0</v>
      </c>
      <c r="BZ28" s="134">
        <f t="shared" si="9"/>
        <v>5.3888888888977817</v>
      </c>
      <c r="CA28" s="134">
        <f t="shared" si="10"/>
        <v>12.416666666671517</v>
      </c>
      <c r="CB28" s="133">
        <f t="shared" si="11"/>
        <v>0.43400447427347733</v>
      </c>
    </row>
    <row r="29" spans="1:80" s="126" customFormat="1">
      <c r="A29" s="192">
        <f t="shared" si="0"/>
        <v>45144.475694444445</v>
      </c>
      <c r="B29" s="126" t="s">
        <v>228</v>
      </c>
      <c r="C29" s="126" t="s">
        <v>229</v>
      </c>
      <c r="D29" s="285" t="s">
        <v>1248</v>
      </c>
      <c r="E29" s="65" t="s">
        <v>2309</v>
      </c>
      <c r="G29" s="165">
        <v>45142.708333333336</v>
      </c>
      <c r="H29" s="165">
        <v>45142.716666666667</v>
      </c>
      <c r="I29" s="126" t="s">
        <v>231</v>
      </c>
      <c r="J29" s="126" t="s">
        <v>192</v>
      </c>
      <c r="K29" s="126" t="s">
        <v>192</v>
      </c>
      <c r="L29" s="126" t="s">
        <v>2321</v>
      </c>
      <c r="M29" s="167"/>
      <c r="N29" s="126" t="s">
        <v>2322</v>
      </c>
      <c r="O29" s="126" t="s">
        <v>2323</v>
      </c>
      <c r="P29" s="126" t="s">
        <v>240</v>
      </c>
      <c r="Q29" s="181">
        <f>3103 *2.4</f>
        <v>7447.2</v>
      </c>
      <c r="R29" s="181">
        <f>7450+100</f>
        <v>7550</v>
      </c>
      <c r="S29" s="181">
        <v>6001.1130000000003</v>
      </c>
      <c r="T29" s="181"/>
      <c r="Y29" s="181">
        <f t="shared" si="15"/>
        <v>6001.1130000000003</v>
      </c>
      <c r="AX29" s="165">
        <f t="shared" si="1"/>
        <v>45141.819444444445</v>
      </c>
      <c r="AY29" s="165">
        <f t="shared" si="2"/>
        <v>45154.451388888891</v>
      </c>
      <c r="AZ29" s="137">
        <f t="shared" si="3"/>
        <v>12.631944444445253</v>
      </c>
      <c r="BA29" s="165">
        <v>45141.819444444445</v>
      </c>
      <c r="BB29" s="165">
        <v>45141.819444444445</v>
      </c>
      <c r="BC29" s="165">
        <v>45143.590277777781</v>
      </c>
      <c r="BD29" s="165">
        <v>45144.475694444445</v>
      </c>
      <c r="BE29" s="165">
        <v>45144.579861111109</v>
      </c>
      <c r="BF29" s="165">
        <v>45144.586805555555</v>
      </c>
      <c r="BG29" s="165">
        <v>45144.586805555555</v>
      </c>
      <c r="BH29" s="165">
        <f t="shared" si="14"/>
        <v>45146.295138888891</v>
      </c>
      <c r="BI29" s="210">
        <v>45147.291666608799</v>
      </c>
      <c r="BJ29" s="210">
        <v>45147.458333333336</v>
      </c>
      <c r="BK29" s="165">
        <v>45148.329861111109</v>
      </c>
      <c r="BL29" s="165">
        <v>45149.083333333336</v>
      </c>
      <c r="BM29" s="165">
        <v>45154.243055555555</v>
      </c>
      <c r="BN29" s="165">
        <v>45154.430555555555</v>
      </c>
      <c r="BO29" s="165">
        <v>45154.451388888891</v>
      </c>
      <c r="BP29" s="165">
        <v>45154.451388888891</v>
      </c>
      <c r="BQ29" s="165">
        <v>45154.451388888891</v>
      </c>
      <c r="BT29" s="136">
        <f t="shared" si="4"/>
        <v>42.500000000058208</v>
      </c>
      <c r="BU29" s="136">
        <f t="shared" si="5"/>
        <v>2.4999999999417923</v>
      </c>
      <c r="BV29" s="136">
        <f t="shared" si="6"/>
        <v>41.000000000058208</v>
      </c>
      <c r="BW29" s="136">
        <f t="shared" si="12"/>
        <v>39</v>
      </c>
      <c r="BX29" s="135">
        <f t="shared" si="7"/>
        <v>4.5</v>
      </c>
      <c r="BY29" s="135">
        <f t="shared" si="8"/>
        <v>0</v>
      </c>
      <c r="BZ29" s="134">
        <f t="shared" si="9"/>
        <v>5.3958333333357587</v>
      </c>
      <c r="CA29" s="134">
        <f t="shared" si="10"/>
        <v>12.631944444445253</v>
      </c>
      <c r="CB29" s="133">
        <f t="shared" si="11"/>
        <v>0.42715777899961493</v>
      </c>
    </row>
    <row r="30" spans="1:80" s="126" customFormat="1">
      <c r="A30" s="192">
        <f t="shared" si="0"/>
        <v>45144.628472222219</v>
      </c>
      <c r="B30" s="126" t="s">
        <v>228</v>
      </c>
      <c r="C30" s="126" t="s">
        <v>229</v>
      </c>
      <c r="D30" s="285" t="s">
        <v>1248</v>
      </c>
      <c r="E30" s="65" t="s">
        <v>2309</v>
      </c>
      <c r="G30" s="165">
        <v>45142.708333333336</v>
      </c>
      <c r="H30" s="165">
        <v>45142.716666666667</v>
      </c>
      <c r="I30" s="126" t="s">
        <v>231</v>
      </c>
      <c r="J30" s="126" t="s">
        <v>192</v>
      </c>
      <c r="K30" s="126" t="s">
        <v>192</v>
      </c>
      <c r="L30" s="126" t="s">
        <v>2327</v>
      </c>
      <c r="M30" s="167"/>
      <c r="N30" s="126" t="s">
        <v>2328</v>
      </c>
      <c r="O30" s="126" t="s">
        <v>2329</v>
      </c>
      <c r="P30" s="126" t="s">
        <v>240</v>
      </c>
      <c r="Q30" s="181">
        <f>3107  *2.4</f>
        <v>7456.7999999999993</v>
      </c>
      <c r="R30" s="181">
        <f>7450+100</f>
        <v>7550</v>
      </c>
      <c r="S30" s="181">
        <v>5965.7969999999996</v>
      </c>
      <c r="T30" s="181"/>
      <c r="Y30" s="181">
        <f t="shared" si="15"/>
        <v>5965.7969999999996</v>
      </c>
      <c r="AX30" s="165">
        <f t="shared" si="1"/>
        <v>45141.784722222219</v>
      </c>
      <c r="AY30" s="165">
        <f t="shared" si="2"/>
        <v>45154.972222222219</v>
      </c>
      <c r="AZ30" s="137">
        <f t="shared" si="3"/>
        <v>13.1875</v>
      </c>
      <c r="BA30" s="165">
        <v>45141.784722222219</v>
      </c>
      <c r="BB30" s="165">
        <v>45141.784722222219</v>
      </c>
      <c r="BC30" s="165">
        <v>45143.666666666664</v>
      </c>
      <c r="BD30" s="165">
        <v>45144.628472222219</v>
      </c>
      <c r="BE30" s="165">
        <v>45144.774305555555</v>
      </c>
      <c r="BF30" s="165">
        <v>45144.791666666664</v>
      </c>
      <c r="BG30" s="165">
        <v>45145.298611111109</v>
      </c>
      <c r="BH30" s="165">
        <f t="shared" si="14"/>
        <v>45147.006944444445</v>
      </c>
      <c r="BI30" s="210">
        <v>45148.291666608799</v>
      </c>
      <c r="BJ30" s="210">
        <v>45148.458333333336</v>
      </c>
      <c r="BK30" s="165">
        <v>45148.392361111109</v>
      </c>
      <c r="BL30" s="165">
        <v>45150.666666666664</v>
      </c>
      <c r="BM30" s="165">
        <v>45154.777777777781</v>
      </c>
      <c r="BN30" s="165">
        <v>45154.951388888891</v>
      </c>
      <c r="BO30" s="165">
        <v>45154.972222222219</v>
      </c>
      <c r="BP30" s="165">
        <v>45154.972222222219</v>
      </c>
      <c r="BQ30" s="165">
        <v>45154.972222222219</v>
      </c>
      <c r="BT30" s="136">
        <f t="shared" si="4"/>
        <v>45.166666666686069</v>
      </c>
      <c r="BU30" s="136">
        <f t="shared" si="5"/>
        <v>3.5000000000582077</v>
      </c>
      <c r="BV30" s="136">
        <f t="shared" si="6"/>
        <v>41.000000000058208</v>
      </c>
      <c r="BW30" s="136">
        <f t="shared" si="12"/>
        <v>52.999999999883585</v>
      </c>
      <c r="BX30" s="135">
        <f t="shared" si="7"/>
        <v>4.1666666666278616</v>
      </c>
      <c r="BY30" s="135">
        <f t="shared" si="8"/>
        <v>0</v>
      </c>
      <c r="BZ30" s="134">
        <f t="shared" si="9"/>
        <v>6.1180555555547471</v>
      </c>
      <c r="CA30" s="134">
        <f t="shared" si="10"/>
        <v>13.1875</v>
      </c>
      <c r="CB30" s="133">
        <f t="shared" si="11"/>
        <v>0.46392838335960168</v>
      </c>
    </row>
    <row r="31" spans="1:80" s="126" customFormat="1">
      <c r="A31" s="192">
        <f t="shared" si="0"/>
        <v>45144.833333333336</v>
      </c>
      <c r="B31" s="126" t="s">
        <v>228</v>
      </c>
      <c r="C31" s="126" t="s">
        <v>229</v>
      </c>
      <c r="D31" s="285" t="s">
        <v>1248</v>
      </c>
      <c r="E31" s="65" t="s">
        <v>2309</v>
      </c>
      <c r="G31" s="165">
        <v>45142.708333333336</v>
      </c>
      <c r="H31" s="165">
        <v>45142.716666666667</v>
      </c>
      <c r="I31" s="126" t="s">
        <v>231</v>
      </c>
      <c r="J31" s="126" t="s">
        <v>192</v>
      </c>
      <c r="K31" s="126" t="s">
        <v>192</v>
      </c>
      <c r="L31" s="126" t="s">
        <v>2324</v>
      </c>
      <c r="M31" s="167"/>
      <c r="N31" s="126" t="s">
        <v>2325</v>
      </c>
      <c r="O31" s="126" t="s">
        <v>2326</v>
      </c>
      <c r="P31" s="126" t="s">
        <v>240</v>
      </c>
      <c r="Q31" s="181">
        <f>3103 *2.4</f>
        <v>7447.2</v>
      </c>
      <c r="R31" s="181">
        <f>7450+100</f>
        <v>7550</v>
      </c>
      <c r="S31" s="181">
        <v>5962.6090000000004</v>
      </c>
      <c r="T31" s="181"/>
      <c r="Y31" s="181">
        <f t="shared" si="15"/>
        <v>5962.6090000000004</v>
      </c>
      <c r="AX31" s="165">
        <f t="shared" si="1"/>
        <v>45141.795138888891</v>
      </c>
      <c r="AY31" s="165">
        <f t="shared" si="2"/>
        <v>45154.736111111109</v>
      </c>
      <c r="AZ31" s="137">
        <f t="shared" si="3"/>
        <v>12.940972222218988</v>
      </c>
      <c r="BA31" s="165">
        <v>45141.795138888891</v>
      </c>
      <c r="BB31" s="165">
        <v>45141.795138888891</v>
      </c>
      <c r="BC31" s="165">
        <v>45143.833333333336</v>
      </c>
      <c r="BD31" s="165">
        <v>45144.833333333336</v>
      </c>
      <c r="BE31" s="165">
        <v>45144.963888888888</v>
      </c>
      <c r="BF31" s="165">
        <v>45144.972222222219</v>
      </c>
      <c r="BG31" s="165">
        <v>45145.28125</v>
      </c>
      <c r="BH31" s="165">
        <f t="shared" si="14"/>
        <v>45146.989583333336</v>
      </c>
      <c r="BI31" s="210">
        <v>45147.291666608799</v>
      </c>
      <c r="BJ31" s="210">
        <v>45147.458333333336</v>
      </c>
      <c r="BK31" s="165">
        <v>45148.375</v>
      </c>
      <c r="BL31" s="165">
        <v>45149.229166666664</v>
      </c>
      <c r="BM31" s="165">
        <v>45154.493055555555</v>
      </c>
      <c r="BN31" s="165">
        <v>45154.715277777781</v>
      </c>
      <c r="BO31" s="165">
        <v>45154.736111111109</v>
      </c>
      <c r="BP31" s="165">
        <v>45154.736111111109</v>
      </c>
      <c r="BQ31" s="165">
        <v>45154.736111111109</v>
      </c>
      <c r="BT31" s="136">
        <f t="shared" si="4"/>
        <v>48.916666666686069</v>
      </c>
      <c r="BU31" s="136">
        <f t="shared" si="5"/>
        <v>3.1333333332440816</v>
      </c>
      <c r="BV31" s="136">
        <f t="shared" si="6"/>
        <v>41.000000000058208</v>
      </c>
      <c r="BW31" s="136">
        <f t="shared" si="12"/>
        <v>42.499999999883585</v>
      </c>
      <c r="BX31" s="135">
        <f t="shared" si="7"/>
        <v>5.3333333334303461</v>
      </c>
      <c r="BY31" s="135">
        <f t="shared" si="8"/>
        <v>0</v>
      </c>
      <c r="BZ31" s="134">
        <f t="shared" si="9"/>
        <v>5.8701388888875954</v>
      </c>
      <c r="CA31" s="134">
        <f t="shared" si="10"/>
        <v>12.940972222218988</v>
      </c>
      <c r="CB31" s="133">
        <f t="shared" si="11"/>
        <v>0.45360880064396297</v>
      </c>
    </row>
    <row r="32" spans="1:80" s="126" customFormat="1">
      <c r="A32" s="192">
        <f t="shared" si="0"/>
        <v>45145</v>
      </c>
      <c r="B32" s="126" t="s">
        <v>228</v>
      </c>
      <c r="C32" s="126" t="s">
        <v>229</v>
      </c>
      <c r="D32" s="126" t="s">
        <v>197</v>
      </c>
      <c r="E32" s="65" t="s">
        <v>2309</v>
      </c>
      <c r="G32" s="165">
        <v>45142.708333333336</v>
      </c>
      <c r="H32" s="165">
        <v>45142.708333333336</v>
      </c>
      <c r="I32" s="126" t="s">
        <v>231</v>
      </c>
      <c r="J32" s="126" t="s">
        <v>192</v>
      </c>
      <c r="K32" s="126" t="s">
        <v>192</v>
      </c>
      <c r="L32" s="126" t="s">
        <v>2340</v>
      </c>
      <c r="M32" s="167"/>
      <c r="N32" s="126" t="s">
        <v>380</v>
      </c>
      <c r="O32" s="126" t="s">
        <v>381</v>
      </c>
      <c r="P32" s="126" t="s">
        <v>240</v>
      </c>
      <c r="Q32" s="181">
        <f>3271*2.4</f>
        <v>7850.4</v>
      </c>
      <c r="R32" s="181">
        <f>7900+100</f>
        <v>8000</v>
      </c>
      <c r="S32" s="181">
        <f>5883.524-106.358-2100.594</f>
        <v>3676.5720000000001</v>
      </c>
      <c r="Y32" s="181">
        <f t="shared" si="15"/>
        <v>3676.5720000000001</v>
      </c>
      <c r="AX32" s="165">
        <f t="shared" si="1"/>
        <v>45141.933333333334</v>
      </c>
      <c r="AY32" s="165">
        <f t="shared" si="2"/>
        <v>45157.785416666666</v>
      </c>
      <c r="AZ32" s="137">
        <f t="shared" si="3"/>
        <v>15.852083333331393</v>
      </c>
      <c r="BA32" s="165">
        <v>45141.933333333334</v>
      </c>
      <c r="BB32" s="165">
        <v>45142.777777777781</v>
      </c>
      <c r="BC32" s="165">
        <v>45144.28125</v>
      </c>
      <c r="BD32" s="165">
        <v>45145</v>
      </c>
      <c r="BE32" s="165">
        <v>45145.104166666664</v>
      </c>
      <c r="BF32" s="165">
        <v>45145.114583333336</v>
      </c>
      <c r="BG32" s="165">
        <v>45145.142361111109</v>
      </c>
      <c r="BH32" s="165">
        <f t="shared" si="14"/>
        <v>45146.850694444445</v>
      </c>
      <c r="BI32" s="210">
        <v>45148.291666608799</v>
      </c>
      <c r="BJ32" s="210">
        <v>45148.458333333336</v>
      </c>
      <c r="BK32" s="165">
        <v>45148.347222222219</v>
      </c>
      <c r="BL32" s="165">
        <v>45149.3</v>
      </c>
      <c r="BM32" s="165">
        <v>45156.961805555555</v>
      </c>
      <c r="BN32" s="165">
        <v>45157.354166666664</v>
      </c>
      <c r="BO32" s="165">
        <v>45157.375</v>
      </c>
      <c r="BP32" s="165">
        <v>45157.375</v>
      </c>
      <c r="BQ32" s="165">
        <v>45157.785416666666</v>
      </c>
      <c r="BT32" s="136">
        <f t="shared" si="4"/>
        <v>36.083333333255723</v>
      </c>
      <c r="BU32" s="136">
        <f t="shared" si="5"/>
        <v>2.4999999999417923</v>
      </c>
      <c r="BV32" s="136">
        <f t="shared" si="6"/>
        <v>41.000000000058208</v>
      </c>
      <c r="BW32" s="136">
        <f t="shared" si="12"/>
        <v>20.200000000011642</v>
      </c>
      <c r="BX32" s="135">
        <f t="shared" si="7"/>
        <v>9.4166666666278616</v>
      </c>
      <c r="BY32" s="135">
        <f t="shared" si="8"/>
        <v>9.8499999999767169</v>
      </c>
      <c r="BZ32" s="134">
        <f t="shared" si="9"/>
        <v>4.960416666661331</v>
      </c>
      <c r="CA32" s="134">
        <f t="shared" si="10"/>
        <v>15.852083333331393</v>
      </c>
      <c r="CB32" s="133">
        <f t="shared" si="11"/>
        <v>0.3129189118146577</v>
      </c>
    </row>
    <row r="33" spans="1:80" s="126" customFormat="1">
      <c r="A33" s="192">
        <f t="shared" si="0"/>
        <v>45145.148611111108</v>
      </c>
      <c r="B33" s="126" t="s">
        <v>228</v>
      </c>
      <c r="C33" s="126" t="s">
        <v>229</v>
      </c>
      <c r="D33" s="285" t="s">
        <v>1248</v>
      </c>
      <c r="E33" s="65" t="s">
        <v>2309</v>
      </c>
      <c r="G33" s="165">
        <v>45142.708333333336</v>
      </c>
      <c r="H33" s="165">
        <v>45142.708333333336</v>
      </c>
      <c r="I33" s="126" t="s">
        <v>231</v>
      </c>
      <c r="J33" s="126" t="s">
        <v>192</v>
      </c>
      <c r="K33" s="126" t="s">
        <v>192</v>
      </c>
      <c r="L33" s="126" t="s">
        <v>2336</v>
      </c>
      <c r="M33" s="167"/>
      <c r="N33" s="126" t="s">
        <v>2337</v>
      </c>
      <c r="O33" s="126" t="s">
        <v>2338</v>
      </c>
      <c r="P33" s="126" t="s">
        <v>235</v>
      </c>
      <c r="Q33" s="181">
        <f>3136 *2.4</f>
        <v>7526.4</v>
      </c>
      <c r="R33" s="181">
        <f>7450+100</f>
        <v>7550</v>
      </c>
      <c r="S33" s="181">
        <v>5697.3540000000003</v>
      </c>
      <c r="T33" s="181"/>
      <c r="X33" s="181">
        <f>S33</f>
        <v>5697.3540000000003</v>
      </c>
      <c r="AX33" s="165">
        <f t="shared" si="1"/>
        <v>45142.836805555555</v>
      </c>
      <c r="AY33" s="165">
        <f t="shared" si="2"/>
        <v>45156.576388888891</v>
      </c>
      <c r="AZ33" s="137">
        <f t="shared" si="3"/>
        <v>13.739583333335759</v>
      </c>
      <c r="BA33" s="165">
        <v>45142.836805555555</v>
      </c>
      <c r="BB33" s="165">
        <v>45142.836805555555</v>
      </c>
      <c r="BC33" s="165">
        <v>45144.5</v>
      </c>
      <c r="BD33" s="165">
        <v>45145.148611111108</v>
      </c>
      <c r="BE33" s="165">
        <v>45145.260416666664</v>
      </c>
      <c r="BF33" s="165">
        <v>45145.270833333336</v>
      </c>
      <c r="BG33" s="165">
        <v>45145.270833333336</v>
      </c>
      <c r="BH33" s="165">
        <f t="shared" si="14"/>
        <v>45146.979166666672</v>
      </c>
      <c r="BI33" s="210">
        <v>45148.291666608799</v>
      </c>
      <c r="BJ33" s="210">
        <v>45148.458333333336</v>
      </c>
      <c r="BK33" s="165">
        <v>45148.347222222219</v>
      </c>
      <c r="BL33" s="165">
        <v>45149.5625</v>
      </c>
      <c r="BM33" s="165">
        <v>45156.364583333328</v>
      </c>
      <c r="BN33" s="165">
        <v>45156.555555555555</v>
      </c>
      <c r="BO33" s="165">
        <v>45156.576388888891</v>
      </c>
      <c r="BP33" s="165">
        <v>45156.576388888891</v>
      </c>
      <c r="BQ33" s="165">
        <v>45156.576388888891</v>
      </c>
      <c r="BT33" s="136">
        <f t="shared" si="4"/>
        <v>39.916666666686069</v>
      </c>
      <c r="BU33" s="136">
        <f t="shared" si="5"/>
        <v>2.6833333333488554</v>
      </c>
      <c r="BV33" s="136">
        <f t="shared" si="6"/>
        <v>41.000000000058208</v>
      </c>
      <c r="BW33" s="136">
        <f t="shared" si="12"/>
        <v>26.499999999941792</v>
      </c>
      <c r="BX33" s="135">
        <f t="shared" si="7"/>
        <v>4.5833333334303461</v>
      </c>
      <c r="BY33" s="135">
        <f t="shared" si="8"/>
        <v>0</v>
      </c>
      <c r="BZ33" s="134">
        <f t="shared" si="9"/>
        <v>4.7784722222277196</v>
      </c>
      <c r="CA33" s="134">
        <f t="shared" si="10"/>
        <v>13.739583333335759</v>
      </c>
      <c r="CB33" s="133">
        <f t="shared" si="11"/>
        <v>0.3477887288353147</v>
      </c>
    </row>
    <row r="34" spans="1:80" s="126" customFormat="1">
      <c r="A34" s="192">
        <f t="shared" si="0"/>
        <v>45145.40625</v>
      </c>
      <c r="B34" s="126" t="s">
        <v>228</v>
      </c>
      <c r="C34" s="126" t="s">
        <v>229</v>
      </c>
      <c r="D34" s="126" t="s">
        <v>215</v>
      </c>
      <c r="E34" s="65" t="s">
        <v>2309</v>
      </c>
      <c r="G34" s="165">
        <v>45142.708333333336</v>
      </c>
      <c r="H34" s="165">
        <v>45142.708333333336</v>
      </c>
      <c r="I34" s="126" t="s">
        <v>231</v>
      </c>
      <c r="J34" s="126" t="s">
        <v>192</v>
      </c>
      <c r="K34" s="126" t="s">
        <v>192</v>
      </c>
      <c r="L34" s="126" t="s">
        <v>2342</v>
      </c>
      <c r="M34" s="167"/>
      <c r="N34" s="126" t="s">
        <v>301</v>
      </c>
      <c r="O34" s="126" t="s">
        <v>302</v>
      </c>
      <c r="P34" s="126" t="s">
        <v>235</v>
      </c>
      <c r="Q34" s="181">
        <f>3852*2.4</f>
        <v>9244.7999999999993</v>
      </c>
      <c r="R34" s="181">
        <v>9250</v>
      </c>
      <c r="S34" s="181">
        <f>6001.411-3900.817</f>
        <v>2100.5940000000001</v>
      </c>
      <c r="T34" s="181"/>
      <c r="X34" s="181">
        <f>S34</f>
        <v>2100.5940000000001</v>
      </c>
      <c r="AX34" s="165">
        <f t="shared" si="1"/>
        <v>45143.104166666664</v>
      </c>
      <c r="AY34" s="165">
        <f t="shared" si="2"/>
        <v>45157.527777777781</v>
      </c>
      <c r="AZ34" s="137">
        <f t="shared" si="3"/>
        <v>14.42361111111677</v>
      </c>
      <c r="BA34" s="165">
        <v>45143.104166666664</v>
      </c>
      <c r="BB34" s="165">
        <v>45143.565972222219</v>
      </c>
      <c r="BC34" s="165">
        <v>45145.145833333336</v>
      </c>
      <c r="BD34" s="165">
        <v>45145.40625</v>
      </c>
      <c r="BE34" s="165">
        <v>45145.527777777781</v>
      </c>
      <c r="BF34" s="165">
        <v>45145.534722222219</v>
      </c>
      <c r="BG34" s="165">
        <v>45145.534722222219</v>
      </c>
      <c r="BH34" s="165">
        <f t="shared" si="14"/>
        <v>45147.243055555555</v>
      </c>
      <c r="BI34" s="210">
        <v>45148.291666608799</v>
      </c>
      <c r="BJ34" s="210">
        <v>45148.458333333336</v>
      </c>
      <c r="BK34" s="165">
        <v>45148.340277777781</v>
      </c>
      <c r="BL34" s="165">
        <v>45149.311111111114</v>
      </c>
      <c r="BM34" s="165">
        <v>45157.416666666664</v>
      </c>
      <c r="BN34" s="165">
        <v>45157.458333333336</v>
      </c>
      <c r="BO34" s="165">
        <v>45157.527777777781</v>
      </c>
      <c r="BP34" s="165">
        <v>45157.527777777781</v>
      </c>
      <c r="BQ34" s="165">
        <v>45157.527777777781</v>
      </c>
      <c r="BT34" s="136">
        <f t="shared" si="4"/>
        <v>37.916666666802485</v>
      </c>
      <c r="BU34" s="136">
        <f t="shared" si="5"/>
        <v>2.9166666667442769</v>
      </c>
      <c r="BV34" s="136">
        <f t="shared" si="6"/>
        <v>41.000000000058208</v>
      </c>
      <c r="BW34" s="136">
        <f t="shared" si="12"/>
        <v>20.466666666674428</v>
      </c>
      <c r="BX34" s="135">
        <f t="shared" si="7"/>
        <v>1.0000000001164153</v>
      </c>
      <c r="BY34" s="135">
        <f t="shared" si="8"/>
        <v>0</v>
      </c>
      <c r="BZ34" s="134">
        <f t="shared" si="9"/>
        <v>4.3041666666831588</v>
      </c>
      <c r="CA34" s="134">
        <f t="shared" si="10"/>
        <v>14.42361111111677</v>
      </c>
      <c r="CB34" s="133">
        <f t="shared" si="11"/>
        <v>0.29841116995769462</v>
      </c>
    </row>
    <row r="35" spans="1:80" s="126" customFormat="1">
      <c r="A35" s="192">
        <f t="shared" si="0"/>
        <v>45145.40625</v>
      </c>
      <c r="B35" s="126" t="s">
        <v>228</v>
      </c>
      <c r="C35" s="126" t="s">
        <v>229</v>
      </c>
      <c r="D35" s="126" t="s">
        <v>215</v>
      </c>
      <c r="E35" s="65" t="s">
        <v>628</v>
      </c>
      <c r="G35" s="316">
        <v>45148.791666666664</v>
      </c>
      <c r="H35" s="316">
        <v>45148.762499999997</v>
      </c>
      <c r="I35" s="126" t="s">
        <v>231</v>
      </c>
      <c r="J35" s="126" t="s">
        <v>192</v>
      </c>
      <c r="K35" s="126" t="s">
        <v>192</v>
      </c>
      <c r="L35" s="126" t="s">
        <v>2342</v>
      </c>
      <c r="M35" s="167"/>
      <c r="N35" s="126" t="s">
        <v>301</v>
      </c>
      <c r="O35" s="126" t="s">
        <v>302</v>
      </c>
      <c r="P35" s="126" t="s">
        <v>235</v>
      </c>
      <c r="Q35" s="181">
        <f>3852*2.4</f>
        <v>9244.7999999999993</v>
      </c>
      <c r="R35" s="181">
        <v>9250</v>
      </c>
      <c r="S35" s="181">
        <v>3900.817</v>
      </c>
      <c r="T35" s="181"/>
      <c r="X35" s="181">
        <f>S35</f>
        <v>3900.817</v>
      </c>
      <c r="AX35" s="165">
        <f t="shared" si="1"/>
        <v>45143.104166666664</v>
      </c>
      <c r="AY35" s="165">
        <f t="shared" si="2"/>
        <v>45158.850694444445</v>
      </c>
      <c r="AZ35" s="137">
        <f t="shared" si="3"/>
        <v>15.746527777781012</v>
      </c>
      <c r="BA35" s="165">
        <v>45143.104166666664</v>
      </c>
      <c r="BB35" s="165">
        <v>45143.565972222219</v>
      </c>
      <c r="BC35" s="165">
        <v>45145.145833333336</v>
      </c>
      <c r="BD35" s="165">
        <v>45145.40625</v>
      </c>
      <c r="BE35" s="165">
        <v>45145.527777777781</v>
      </c>
      <c r="BF35" s="165">
        <v>45145.534722222219</v>
      </c>
      <c r="BG35" s="165">
        <v>45145.534722222219</v>
      </c>
      <c r="BH35" s="165">
        <f t="shared" si="14"/>
        <v>45147.243055555555</v>
      </c>
      <c r="BI35" s="210">
        <v>45148.291666608799</v>
      </c>
      <c r="BJ35" s="210">
        <v>45148.458333333336</v>
      </c>
      <c r="BK35" s="165">
        <v>45148.340277777781</v>
      </c>
      <c r="BL35" s="165">
        <v>45157.527777777781</v>
      </c>
      <c r="BM35" s="165">
        <v>45158.020833333336</v>
      </c>
      <c r="BN35" s="165">
        <v>45158.256944444445</v>
      </c>
      <c r="BO35" s="165">
        <v>45158.298611111109</v>
      </c>
      <c r="BP35" s="165">
        <v>45158.642361111109</v>
      </c>
      <c r="BQ35" s="165">
        <v>45158.850694444445</v>
      </c>
      <c r="BT35" s="136">
        <f t="shared" si="4"/>
        <v>37.916666666802485</v>
      </c>
      <c r="BU35" s="136">
        <f t="shared" si="5"/>
        <v>2.9166666667442769</v>
      </c>
      <c r="BV35" s="136">
        <f t="shared" si="6"/>
        <v>41.000000000058208</v>
      </c>
      <c r="BW35" s="136">
        <f t="shared" si="12"/>
        <v>217.66666666668607</v>
      </c>
      <c r="BX35" s="135">
        <f t="shared" si="7"/>
        <v>5.6666666666278616</v>
      </c>
      <c r="BY35" s="135">
        <f t="shared" si="8"/>
        <v>5.0000000000582077</v>
      </c>
      <c r="BZ35" s="134">
        <f t="shared" si="9"/>
        <v>12.923611111124046</v>
      </c>
      <c r="CA35" s="134">
        <f t="shared" si="10"/>
        <v>15.746527777781012</v>
      </c>
      <c r="CB35" s="133">
        <f t="shared" si="11"/>
        <v>0.82072767365004651</v>
      </c>
    </row>
    <row r="36" spans="1:80" s="126" customFormat="1">
      <c r="A36" s="192">
        <f t="shared" ref="A36:A66" si="16">BD36</f>
        <v>45148.819444444445</v>
      </c>
      <c r="B36" s="126" t="s">
        <v>228</v>
      </c>
      <c r="C36" s="126" t="s">
        <v>229</v>
      </c>
      <c r="D36" s="285" t="s">
        <v>1248</v>
      </c>
      <c r="E36" s="65" t="s">
        <v>2309</v>
      </c>
      <c r="G36" s="165">
        <v>45142.708333333336</v>
      </c>
      <c r="H36" s="165">
        <v>45142.716666666667</v>
      </c>
      <c r="I36" s="126" t="s">
        <v>231</v>
      </c>
      <c r="J36" s="126" t="s">
        <v>192</v>
      </c>
      <c r="K36" s="126" t="s">
        <v>192</v>
      </c>
      <c r="L36" s="126" t="s">
        <v>2330</v>
      </c>
      <c r="M36" s="167"/>
      <c r="N36" s="126" t="s">
        <v>2331</v>
      </c>
      <c r="O36" s="126" t="s">
        <v>1544</v>
      </c>
      <c r="P36" s="126" t="s">
        <v>240</v>
      </c>
      <c r="Q36" s="181">
        <f>3140 *2.4</f>
        <v>7536</v>
      </c>
      <c r="R36" s="181">
        <f>7550+100</f>
        <v>7650</v>
      </c>
      <c r="S36" s="181">
        <v>6963.0739999999996</v>
      </c>
      <c r="T36" s="181"/>
      <c r="Y36" s="181">
        <f t="shared" ref="Y36:Y41" si="17">S36</f>
        <v>6963.0739999999996</v>
      </c>
      <c r="AX36" s="165">
        <f t="shared" ref="AX36:AX67" si="18">BA36</f>
        <v>45145.774305555555</v>
      </c>
      <c r="AY36" s="165">
        <f t="shared" ref="AY36:AY67" si="19">BQ36</f>
        <v>45155.263888888891</v>
      </c>
      <c r="AZ36" s="137">
        <f t="shared" ref="AZ36:AZ67" si="20">AY36-AX36</f>
        <v>9.4895833333357587</v>
      </c>
      <c r="BA36" s="165">
        <v>45145.774305555555</v>
      </c>
      <c r="BB36" s="165">
        <v>45145.774305555555</v>
      </c>
      <c r="BC36" s="165">
        <v>45147.708333333336</v>
      </c>
      <c r="BD36" s="165">
        <v>45148.819444444445</v>
      </c>
      <c r="BE36" s="165">
        <v>45148.996527777781</v>
      </c>
      <c r="BF36" s="165">
        <v>45149</v>
      </c>
      <c r="BG36" s="165">
        <v>45149</v>
      </c>
      <c r="BH36" s="165">
        <f t="shared" si="14"/>
        <v>45150.708333333336</v>
      </c>
      <c r="BI36" s="210">
        <v>45151.229166608799</v>
      </c>
      <c r="BJ36" s="210">
        <v>45151.395833333336</v>
      </c>
      <c r="BK36" s="165">
        <v>45151.284722222219</v>
      </c>
      <c r="BL36" s="165">
        <v>45152.645833333336</v>
      </c>
      <c r="BM36" s="165">
        <v>45155.03125</v>
      </c>
      <c r="BN36" s="165">
        <v>45155.243055555555</v>
      </c>
      <c r="BO36" s="165">
        <v>45155.263888888891</v>
      </c>
      <c r="BP36" s="165">
        <v>45155.263888888891</v>
      </c>
      <c r="BQ36" s="165">
        <v>45155.263888888891</v>
      </c>
      <c r="BT36" s="136">
        <f t="shared" ref="BT36:BT67" si="21">(BC36-BB36)*24</f>
        <v>46.416666666744277</v>
      </c>
      <c r="BU36" s="136">
        <f t="shared" ref="BU36:BU67" si="22">(BE36-BD36)*24</f>
        <v>4.2500000000582077</v>
      </c>
      <c r="BV36" s="136">
        <f t="shared" ref="BV36:BV67" si="23">(BH36-BG36)*24</f>
        <v>41.000000000058208</v>
      </c>
      <c r="BW36" s="136">
        <f t="shared" si="12"/>
        <v>30</v>
      </c>
      <c r="BX36" s="135">
        <f t="shared" ref="BX36:BX67" si="24">(BN36-BM36)*24</f>
        <v>5.0833333333139308</v>
      </c>
      <c r="BY36" s="135">
        <f t="shared" ref="BY36:BY67" si="25">(BQ36-BP36)*24</f>
        <v>0</v>
      </c>
      <c r="BZ36" s="134">
        <f t="shared" ref="BZ36:BZ67" si="26">SUM(BT36:BY36)/24</f>
        <v>5.281250000007276</v>
      </c>
      <c r="CA36" s="134">
        <f t="shared" ref="CA36:CA67" si="27">AZ36</f>
        <v>9.4895833333357587</v>
      </c>
      <c r="CB36" s="133">
        <f t="shared" ref="CB36:CB67" si="28">BZ36/CA36</f>
        <v>0.55653128430358823</v>
      </c>
    </row>
    <row r="37" spans="1:80" s="126" customFormat="1">
      <c r="A37" s="192">
        <f t="shared" si="16"/>
        <v>45148.569444444445</v>
      </c>
      <c r="B37" s="126" t="s">
        <v>228</v>
      </c>
      <c r="C37" s="126" t="s">
        <v>229</v>
      </c>
      <c r="D37" s="126" t="s">
        <v>197</v>
      </c>
      <c r="E37" s="65" t="s">
        <v>2283</v>
      </c>
      <c r="G37" s="165">
        <v>45150.59375</v>
      </c>
      <c r="H37" s="165">
        <v>45150.613888888889</v>
      </c>
      <c r="I37" s="126" t="s">
        <v>231</v>
      </c>
      <c r="J37" s="126" t="s">
        <v>192</v>
      </c>
      <c r="K37" s="126" t="s">
        <v>192</v>
      </c>
      <c r="L37" s="126" t="s">
        <v>2288</v>
      </c>
      <c r="M37" s="167"/>
      <c r="N37" s="126" t="s">
        <v>298</v>
      </c>
      <c r="O37" s="126" t="s">
        <v>299</v>
      </c>
      <c r="P37" s="126" t="s">
        <v>240</v>
      </c>
      <c r="Q37" s="181">
        <f>4337*2.4</f>
        <v>10408.799999999999</v>
      </c>
      <c r="R37" s="181">
        <f>10450+100</f>
        <v>10550</v>
      </c>
      <c r="S37" s="181">
        <v>7924.5290000000005</v>
      </c>
      <c r="T37" s="181"/>
      <c r="U37" s="172"/>
      <c r="Y37" s="181">
        <f t="shared" si="17"/>
        <v>7924.5290000000005</v>
      </c>
      <c r="AX37" s="165">
        <f t="shared" si="18"/>
        <v>45145.027777777781</v>
      </c>
      <c r="AY37" s="165">
        <f t="shared" si="19"/>
        <v>45153.940972222219</v>
      </c>
      <c r="AZ37" s="137">
        <f t="shared" si="20"/>
        <v>8.9131944444379769</v>
      </c>
      <c r="BA37" s="165">
        <v>45145.027777777781</v>
      </c>
      <c r="BB37" s="165">
        <v>45145.763888888891</v>
      </c>
      <c r="BC37" s="165">
        <v>45147.0625</v>
      </c>
      <c r="BD37" s="165">
        <v>45148.569444444445</v>
      </c>
      <c r="BE37" s="165">
        <v>45148.746527777781</v>
      </c>
      <c r="BF37" s="165">
        <v>45148.753472222219</v>
      </c>
      <c r="BG37" s="165">
        <v>45148.753472222219</v>
      </c>
      <c r="BH37" s="165">
        <f t="shared" si="14"/>
        <v>45150.461805555555</v>
      </c>
      <c r="BI37" s="210">
        <v>45150.229166666664</v>
      </c>
      <c r="BJ37" s="210">
        <v>45150.395833333336</v>
      </c>
      <c r="BK37" s="165">
        <v>45150.329861111109</v>
      </c>
      <c r="BL37" s="165">
        <v>45151.416666666664</v>
      </c>
      <c r="BM37" s="165">
        <v>45153.260416666664</v>
      </c>
      <c r="BN37" s="165">
        <v>45153.479166666664</v>
      </c>
      <c r="BO37" s="165">
        <v>45153.513888888891</v>
      </c>
      <c r="BP37" s="165">
        <v>45153.6875</v>
      </c>
      <c r="BQ37" s="165">
        <v>45153.940972222219</v>
      </c>
      <c r="BT37" s="136">
        <f t="shared" si="21"/>
        <v>31.166666666627862</v>
      </c>
      <c r="BU37" s="136">
        <f t="shared" si="22"/>
        <v>4.2500000000582077</v>
      </c>
      <c r="BV37" s="136">
        <f t="shared" si="23"/>
        <v>41.000000000058208</v>
      </c>
      <c r="BW37" s="136">
        <f t="shared" si="12"/>
        <v>24.499999999883585</v>
      </c>
      <c r="BX37" s="135">
        <f t="shared" si="24"/>
        <v>5.25</v>
      </c>
      <c r="BY37" s="135">
        <f t="shared" si="25"/>
        <v>6.0833333332557231</v>
      </c>
      <c r="BZ37" s="134">
        <f t="shared" si="26"/>
        <v>4.6770833333284827</v>
      </c>
      <c r="CA37" s="134">
        <f t="shared" si="27"/>
        <v>8.9131944444379769</v>
      </c>
      <c r="CB37" s="133">
        <f t="shared" si="28"/>
        <v>0.52473704713657199</v>
      </c>
    </row>
    <row r="38" spans="1:80" s="126" customFormat="1">
      <c r="A38" s="192">
        <f t="shared" si="16"/>
        <v>45148.356249999997</v>
      </c>
      <c r="B38" s="126" t="s">
        <v>228</v>
      </c>
      <c r="C38" s="126" t="s">
        <v>229</v>
      </c>
      <c r="D38" s="126" t="s">
        <v>197</v>
      </c>
      <c r="E38" s="65" t="s">
        <v>2283</v>
      </c>
      <c r="F38" s="126" t="s">
        <v>2687</v>
      </c>
      <c r="G38" s="165">
        <v>45150.59375</v>
      </c>
      <c r="H38" s="165">
        <v>45150.613888888889</v>
      </c>
      <c r="I38" s="126" t="s">
        <v>231</v>
      </c>
      <c r="J38" s="126" t="s">
        <v>192</v>
      </c>
      <c r="K38" s="126" t="s">
        <v>192</v>
      </c>
      <c r="L38" s="126" t="s">
        <v>2286</v>
      </c>
      <c r="M38" s="167"/>
      <c r="N38" s="126" t="s">
        <v>429</v>
      </c>
      <c r="O38" s="126" t="s">
        <v>430</v>
      </c>
      <c r="P38" s="126" t="s">
        <v>240</v>
      </c>
      <c r="Q38" s="181">
        <f>3145 *2.4</f>
        <v>7548</v>
      </c>
      <c r="R38" s="181">
        <f>7550+100</f>
        <v>7650</v>
      </c>
      <c r="S38" s="181">
        <v>7216.2150000000001</v>
      </c>
      <c r="T38" s="181"/>
      <c r="U38" s="172"/>
      <c r="V38" s="172"/>
      <c r="Y38" s="181">
        <f t="shared" si="17"/>
        <v>7216.2150000000001</v>
      </c>
      <c r="AX38" s="165">
        <f t="shared" si="18"/>
        <v>45144.416666666664</v>
      </c>
      <c r="AY38" s="165">
        <f t="shared" si="19"/>
        <v>45153.541666666664</v>
      </c>
      <c r="AZ38" s="137">
        <f t="shared" si="20"/>
        <v>9.125</v>
      </c>
      <c r="BA38" s="165">
        <v>45144.416666666664</v>
      </c>
      <c r="BB38" s="165">
        <v>45145.576388888891</v>
      </c>
      <c r="BC38" s="165">
        <v>45147.107638888891</v>
      </c>
      <c r="BD38" s="165">
        <v>45148.356249999997</v>
      </c>
      <c r="BE38" s="165">
        <v>45148.469444444447</v>
      </c>
      <c r="BF38" s="165">
        <v>45148.475694444445</v>
      </c>
      <c r="BG38" s="165">
        <v>45148.475694444445</v>
      </c>
      <c r="BH38" s="165">
        <f t="shared" si="14"/>
        <v>45150.184027777781</v>
      </c>
      <c r="BI38" s="210">
        <v>45150.229166666664</v>
      </c>
      <c r="BJ38" s="210">
        <v>45150.395833333336</v>
      </c>
      <c r="BK38" s="165">
        <v>45150.277777777781</v>
      </c>
      <c r="BL38" s="165">
        <v>45151.319444444445</v>
      </c>
      <c r="BM38" s="165">
        <v>45152.722222222219</v>
      </c>
      <c r="BN38" s="165">
        <v>45152.909722222219</v>
      </c>
      <c r="BO38" s="165">
        <v>45152.951388888891</v>
      </c>
      <c r="BP38" s="165">
        <v>45153.208333333336</v>
      </c>
      <c r="BQ38" s="165">
        <v>45153.541666666664</v>
      </c>
      <c r="BT38" s="136">
        <f t="shared" si="21"/>
        <v>36.75</v>
      </c>
      <c r="BU38" s="136">
        <f t="shared" si="22"/>
        <v>2.716666666790843</v>
      </c>
      <c r="BV38" s="136">
        <f t="shared" si="23"/>
        <v>41.000000000058208</v>
      </c>
      <c r="BW38" s="136">
        <f t="shared" si="12"/>
        <v>22.166666666627862</v>
      </c>
      <c r="BX38" s="135">
        <f t="shared" si="24"/>
        <v>4.5</v>
      </c>
      <c r="BY38" s="135">
        <f t="shared" si="25"/>
        <v>7.9999999998835847</v>
      </c>
      <c r="BZ38" s="134">
        <f t="shared" si="26"/>
        <v>4.797222222223354</v>
      </c>
      <c r="CA38" s="134">
        <f t="shared" si="27"/>
        <v>9.125</v>
      </c>
      <c r="CB38" s="133">
        <f t="shared" si="28"/>
        <v>0.52572298325735389</v>
      </c>
    </row>
    <row r="39" spans="1:80" s="126" customFormat="1">
      <c r="A39" s="192">
        <f t="shared" si="16"/>
        <v>45149.020833333336</v>
      </c>
      <c r="B39" s="126" t="s">
        <v>228</v>
      </c>
      <c r="C39" s="126" t="s">
        <v>229</v>
      </c>
      <c r="D39" s="126" t="s">
        <v>197</v>
      </c>
      <c r="E39" s="65" t="s">
        <v>2283</v>
      </c>
      <c r="F39" s="126" t="s">
        <v>2687</v>
      </c>
      <c r="G39" s="316">
        <v>45150.59375</v>
      </c>
      <c r="H39" s="316">
        <v>45150.613888888889</v>
      </c>
      <c r="I39" s="126" t="s">
        <v>231</v>
      </c>
      <c r="J39" s="126" t="s">
        <v>192</v>
      </c>
      <c r="K39" s="126" t="s">
        <v>192</v>
      </c>
      <c r="L39" s="126" t="s">
        <v>2290</v>
      </c>
      <c r="M39" s="167"/>
      <c r="N39" s="126" t="s">
        <v>263</v>
      </c>
      <c r="O39" s="126" t="s">
        <v>264</v>
      </c>
      <c r="P39" s="126" t="s">
        <v>240</v>
      </c>
      <c r="Q39" s="181">
        <f>3136*2.4</f>
        <v>7526.4</v>
      </c>
      <c r="R39" s="181">
        <f>7550+100</f>
        <v>7650</v>
      </c>
      <c r="S39" s="181">
        <v>7502.7380000000003</v>
      </c>
      <c r="T39" s="181"/>
      <c r="V39" s="172"/>
      <c r="Y39" s="181">
        <f t="shared" si="17"/>
        <v>7502.7380000000003</v>
      </c>
      <c r="AX39" s="165">
        <f t="shared" si="18"/>
        <v>45145.458333333336</v>
      </c>
      <c r="AY39" s="165">
        <f t="shared" si="19"/>
        <v>45154.850694444445</v>
      </c>
      <c r="AZ39" s="137">
        <f t="shared" si="20"/>
        <v>9.3923611111094942</v>
      </c>
      <c r="BA39" s="165">
        <v>45145.458333333336</v>
      </c>
      <c r="BB39" s="165">
        <v>45146.576388888891</v>
      </c>
      <c r="BC39" s="165">
        <v>45147.979166666664</v>
      </c>
      <c r="BD39" s="165">
        <v>45149.020833333336</v>
      </c>
      <c r="BE39" s="165">
        <v>45149.215277777781</v>
      </c>
      <c r="BF39" s="165">
        <v>45149.225694444445</v>
      </c>
      <c r="BG39" s="165">
        <v>45149.225694444445</v>
      </c>
      <c r="BH39" s="165">
        <f t="shared" si="14"/>
        <v>45150.934027777781</v>
      </c>
      <c r="BI39" s="210">
        <v>45152.229166608799</v>
      </c>
      <c r="BJ39" s="210">
        <v>45152.395833333336</v>
      </c>
      <c r="BK39" s="165">
        <v>45152.350694444445</v>
      </c>
      <c r="BL39" s="165">
        <v>45153.5</v>
      </c>
      <c r="BM39" s="165">
        <v>45154.114583333336</v>
      </c>
      <c r="BN39" s="165">
        <v>45154.395833333336</v>
      </c>
      <c r="BO39" s="165">
        <v>45154.4375</v>
      </c>
      <c r="BP39" s="165">
        <v>45154.875</v>
      </c>
      <c r="BQ39" s="165">
        <v>45154.850694444445</v>
      </c>
      <c r="BT39" s="136">
        <f t="shared" si="21"/>
        <v>33.666666666569654</v>
      </c>
      <c r="BU39" s="136">
        <f t="shared" si="22"/>
        <v>4.6666666666860692</v>
      </c>
      <c r="BV39" s="136">
        <f t="shared" si="23"/>
        <v>41.000000000058208</v>
      </c>
      <c r="BW39" s="136">
        <f t="shared" ref="BW39:BW70" si="29">(BL39-BJ39)*24</f>
        <v>26.499999999941792</v>
      </c>
      <c r="BX39" s="135">
        <f t="shared" si="24"/>
        <v>6.75</v>
      </c>
      <c r="BY39" s="135">
        <f t="shared" si="25"/>
        <v>-0.58333333331393078</v>
      </c>
      <c r="BZ39" s="134">
        <f t="shared" si="26"/>
        <v>4.6666666666642413</v>
      </c>
      <c r="CA39" s="134">
        <f t="shared" si="27"/>
        <v>9.3923611111094942</v>
      </c>
      <c r="CB39" s="133">
        <f t="shared" si="28"/>
        <v>0.49685767097949457</v>
      </c>
    </row>
    <row r="40" spans="1:80" s="126" customFormat="1">
      <c r="A40" s="192">
        <f t="shared" si="16"/>
        <v>45149.326388888891</v>
      </c>
      <c r="B40" s="126" t="s">
        <v>228</v>
      </c>
      <c r="C40" s="126" t="s">
        <v>229</v>
      </c>
      <c r="D40" s="126" t="s">
        <v>197</v>
      </c>
      <c r="E40" s="65" t="s">
        <v>2283</v>
      </c>
      <c r="F40" s="126" t="s">
        <v>2687</v>
      </c>
      <c r="G40" s="316">
        <v>45150.59375</v>
      </c>
      <c r="H40" s="316">
        <v>45150.613888888889</v>
      </c>
      <c r="I40" s="126" t="s">
        <v>231</v>
      </c>
      <c r="J40" s="126" t="s">
        <v>192</v>
      </c>
      <c r="K40" s="126" t="s">
        <v>192</v>
      </c>
      <c r="L40" s="126" t="s">
        <v>2293</v>
      </c>
      <c r="M40" s="167"/>
      <c r="N40" s="126" t="s">
        <v>473</v>
      </c>
      <c r="O40" s="126" t="s">
        <v>474</v>
      </c>
      <c r="P40" s="126" t="s">
        <v>240</v>
      </c>
      <c r="Q40" s="181">
        <f>3136*2.4</f>
        <v>7526.4</v>
      </c>
      <c r="R40" s="181">
        <f>7550+100</f>
        <v>7650</v>
      </c>
      <c r="S40" s="181">
        <v>7026.7929999999997</v>
      </c>
      <c r="T40" s="181"/>
      <c r="U40" s="172"/>
      <c r="V40" s="172"/>
      <c r="Y40" s="181">
        <f t="shared" si="17"/>
        <v>7026.7929999999997</v>
      </c>
      <c r="AX40" s="165">
        <f t="shared" si="18"/>
        <v>45142.375</v>
      </c>
      <c r="AY40" s="165">
        <f t="shared" si="19"/>
        <v>45155.333333333336</v>
      </c>
      <c r="AZ40" s="137">
        <f t="shared" si="20"/>
        <v>12.958333333335759</v>
      </c>
      <c r="BA40" s="165">
        <v>45142.375</v>
      </c>
      <c r="BB40" s="165">
        <v>45146.791666666664</v>
      </c>
      <c r="BC40" s="165">
        <v>45148.208333333336</v>
      </c>
      <c r="BD40" s="165">
        <v>45149.326388888891</v>
      </c>
      <c r="BE40" s="165">
        <v>45149.5</v>
      </c>
      <c r="BF40" s="165">
        <v>45149.510416666664</v>
      </c>
      <c r="BG40" s="165">
        <v>45149.510416666664</v>
      </c>
      <c r="BH40" s="165">
        <f t="shared" si="14"/>
        <v>45151.21875</v>
      </c>
      <c r="BI40" s="210">
        <v>45152.229166608799</v>
      </c>
      <c r="BJ40" s="210">
        <v>45152.395833333336</v>
      </c>
      <c r="BK40" s="165">
        <v>45152.354166666664</v>
      </c>
      <c r="BL40" s="165">
        <v>45153.444444444445</v>
      </c>
      <c r="BM40" s="165">
        <v>45154.486111111109</v>
      </c>
      <c r="BN40" s="165">
        <v>45154.75</v>
      </c>
      <c r="BO40" s="165">
        <v>45154.791666666664</v>
      </c>
      <c r="BP40" s="165">
        <v>45154.791666666664</v>
      </c>
      <c r="BQ40" s="165">
        <v>45155.333333333336</v>
      </c>
      <c r="BT40" s="136">
        <f t="shared" si="21"/>
        <v>34.000000000116415</v>
      </c>
      <c r="BU40" s="136">
        <f t="shared" si="22"/>
        <v>4.1666666666278616</v>
      </c>
      <c r="BV40" s="136">
        <f t="shared" si="23"/>
        <v>41.000000000058208</v>
      </c>
      <c r="BW40" s="136">
        <f t="shared" si="29"/>
        <v>25.166666666627862</v>
      </c>
      <c r="BX40" s="135">
        <f t="shared" si="24"/>
        <v>6.3333333333721384</v>
      </c>
      <c r="BY40" s="135">
        <f t="shared" si="25"/>
        <v>13.000000000116415</v>
      </c>
      <c r="BZ40" s="134">
        <f t="shared" si="26"/>
        <v>5.1527777777882875</v>
      </c>
      <c r="CA40" s="134">
        <f t="shared" si="27"/>
        <v>12.958333333335759</v>
      </c>
      <c r="CB40" s="133">
        <f t="shared" si="28"/>
        <v>0.39764201500609569</v>
      </c>
    </row>
    <row r="41" spans="1:80" s="126" customFormat="1">
      <c r="A41" s="192">
        <f t="shared" si="16"/>
        <v>45149.529861111114</v>
      </c>
      <c r="B41" s="126" t="s">
        <v>228</v>
      </c>
      <c r="C41" s="126" t="s">
        <v>229</v>
      </c>
      <c r="D41" s="126" t="s">
        <v>197</v>
      </c>
      <c r="E41" s="65" t="s">
        <v>2283</v>
      </c>
      <c r="F41" s="126" t="s">
        <v>2687</v>
      </c>
      <c r="G41" s="165">
        <v>45150.59375</v>
      </c>
      <c r="H41" s="165">
        <v>45150.613888888889</v>
      </c>
      <c r="I41" s="126" t="s">
        <v>231</v>
      </c>
      <c r="J41" s="126" t="s">
        <v>192</v>
      </c>
      <c r="K41" s="126" t="s">
        <v>192</v>
      </c>
      <c r="L41" s="126" t="s">
        <v>2289</v>
      </c>
      <c r="M41" s="167"/>
      <c r="N41" s="126" t="s">
        <v>339</v>
      </c>
      <c r="O41" s="126" t="s">
        <v>506</v>
      </c>
      <c r="P41" s="126" t="s">
        <v>240</v>
      </c>
      <c r="Q41" s="181">
        <f>3071*2.4</f>
        <v>7370.4</v>
      </c>
      <c r="R41" s="181">
        <f>7400+100</f>
        <v>7500</v>
      </c>
      <c r="S41" s="181">
        <v>6969.0630000000001</v>
      </c>
      <c r="T41" s="181"/>
      <c r="U41" s="172"/>
      <c r="V41" s="172"/>
      <c r="Y41" s="181">
        <f t="shared" si="17"/>
        <v>6969.0630000000001</v>
      </c>
      <c r="AX41" s="165">
        <f t="shared" si="18"/>
        <v>45126.375</v>
      </c>
      <c r="AY41" s="165">
        <f t="shared" si="19"/>
        <v>45153.979166666664</v>
      </c>
      <c r="AZ41" s="137">
        <f t="shared" si="20"/>
        <v>27.604166666664241</v>
      </c>
      <c r="BA41" s="165">
        <v>45126.375</v>
      </c>
      <c r="BB41" s="165">
        <v>45146.777777777781</v>
      </c>
      <c r="BC41" s="165">
        <v>45148.3125</v>
      </c>
      <c r="BD41" s="165">
        <v>45149.529861111114</v>
      </c>
      <c r="BE41" s="165">
        <v>45149.677083333336</v>
      </c>
      <c r="BF41" s="165">
        <v>45149.684027777781</v>
      </c>
      <c r="BG41" s="165">
        <v>45149.684027777781</v>
      </c>
      <c r="BH41" s="165">
        <f t="shared" si="14"/>
        <v>45151.392361111117</v>
      </c>
      <c r="BI41" s="210">
        <v>45151.229166608799</v>
      </c>
      <c r="BJ41" s="210">
        <v>45151.395833333336</v>
      </c>
      <c r="BK41" s="165">
        <v>45151.277777777781</v>
      </c>
      <c r="BL41" s="165">
        <v>45152.291666666664</v>
      </c>
      <c r="BM41" s="165">
        <v>45153.541666666664</v>
      </c>
      <c r="BN41" s="165">
        <v>45153.666666666664</v>
      </c>
      <c r="BO41" s="165">
        <v>45153.690972222219</v>
      </c>
      <c r="BP41" s="165">
        <v>45154.75</v>
      </c>
      <c r="BQ41" s="165">
        <v>45153.979166666664</v>
      </c>
      <c r="BR41" s="126" t="s">
        <v>2688</v>
      </c>
      <c r="BT41" s="136">
        <f t="shared" si="21"/>
        <v>36.833333333255723</v>
      </c>
      <c r="BU41" s="136">
        <f t="shared" si="22"/>
        <v>3.5333333333255723</v>
      </c>
      <c r="BV41" s="136">
        <f t="shared" si="23"/>
        <v>41.000000000058208</v>
      </c>
      <c r="BW41" s="136">
        <f t="shared" si="29"/>
        <v>21.499999999883585</v>
      </c>
      <c r="BX41" s="135">
        <f t="shared" si="24"/>
        <v>3</v>
      </c>
      <c r="BY41" s="135">
        <f t="shared" si="25"/>
        <v>-18.500000000058208</v>
      </c>
      <c r="BZ41" s="134">
        <f t="shared" si="26"/>
        <v>3.64027777776937</v>
      </c>
      <c r="CA41" s="134">
        <f t="shared" si="27"/>
        <v>27.604166666664241</v>
      </c>
      <c r="CB41" s="133">
        <f t="shared" si="28"/>
        <v>0.131874213836185</v>
      </c>
    </row>
    <row r="42" spans="1:80" s="126" customFormat="1">
      <c r="A42" s="192">
        <f t="shared" si="16"/>
        <v>45149.711805555555</v>
      </c>
      <c r="B42" s="126" t="s">
        <v>228</v>
      </c>
      <c r="C42" s="126" t="s">
        <v>229</v>
      </c>
      <c r="D42" s="126" t="s">
        <v>197</v>
      </c>
      <c r="E42" s="65" t="s">
        <v>2298</v>
      </c>
      <c r="F42" s="126" t="s">
        <v>2687</v>
      </c>
      <c r="G42" s="165">
        <v>45147.25</v>
      </c>
      <c r="H42" s="165">
        <v>45147.245833333334</v>
      </c>
      <c r="I42" s="126" t="s">
        <v>243</v>
      </c>
      <c r="J42" s="126" t="s">
        <v>192</v>
      </c>
      <c r="K42" s="126" t="s">
        <v>192</v>
      </c>
      <c r="L42" s="126" t="s">
        <v>2306</v>
      </c>
      <c r="M42" s="167"/>
      <c r="N42" s="126" t="s">
        <v>686</v>
      </c>
      <c r="O42" s="126" t="s">
        <v>1186</v>
      </c>
      <c r="P42" s="126" t="s">
        <v>235</v>
      </c>
      <c r="Q42" s="181">
        <f>3136*2.4</f>
        <v>7526.4</v>
      </c>
      <c r="R42" s="181">
        <f>7550+100</f>
        <v>7650</v>
      </c>
      <c r="S42" s="181">
        <v>7337.6030000000001</v>
      </c>
      <c r="T42" s="181"/>
      <c r="V42" s="172"/>
      <c r="X42" s="181">
        <f>S42</f>
        <v>7337.6030000000001</v>
      </c>
      <c r="AX42" s="165">
        <f t="shared" si="18"/>
        <v>45145.583333333336</v>
      </c>
      <c r="AY42" s="165">
        <f t="shared" si="19"/>
        <v>45156.416666666664</v>
      </c>
      <c r="AZ42" s="137">
        <f t="shared" si="20"/>
        <v>10.833333333328483</v>
      </c>
      <c r="BA42" s="165">
        <v>45145.583333333336</v>
      </c>
      <c r="BB42" s="165">
        <v>45146.805555555555</v>
      </c>
      <c r="BC42" s="165">
        <v>45148.354166666664</v>
      </c>
      <c r="BD42" s="165">
        <v>45149.711805555555</v>
      </c>
      <c r="BE42" s="165">
        <v>45149.911805555559</v>
      </c>
      <c r="BF42" s="165">
        <v>45149.916666666664</v>
      </c>
      <c r="BG42" s="165">
        <v>45149.916666666664</v>
      </c>
      <c r="BH42" s="165">
        <f t="shared" si="14"/>
        <v>45151.625</v>
      </c>
      <c r="BI42" s="210">
        <v>45152.229166608799</v>
      </c>
      <c r="BJ42" s="210">
        <v>45152.395833333336</v>
      </c>
      <c r="BK42" s="165">
        <v>45152.309027777781</v>
      </c>
      <c r="BL42" s="165">
        <v>45155.274305555555</v>
      </c>
      <c r="BM42" s="165">
        <v>45155.475694444445</v>
      </c>
      <c r="BN42" s="165">
        <v>45155.795138888891</v>
      </c>
      <c r="BO42" s="165">
        <v>45155.805555555555</v>
      </c>
      <c r="BP42" s="165">
        <v>45155.809027777781</v>
      </c>
      <c r="BQ42" s="165">
        <v>45156.416666666664</v>
      </c>
      <c r="BT42" s="136">
        <f t="shared" si="21"/>
        <v>37.166666666627862</v>
      </c>
      <c r="BU42" s="136">
        <f t="shared" si="22"/>
        <v>4.8000000001047738</v>
      </c>
      <c r="BV42" s="136">
        <f t="shared" si="23"/>
        <v>41.000000000058208</v>
      </c>
      <c r="BW42" s="136">
        <f t="shared" si="29"/>
        <v>69.083333333255723</v>
      </c>
      <c r="BX42" s="135">
        <f t="shared" si="24"/>
        <v>7.6666666666860692</v>
      </c>
      <c r="BY42" s="135">
        <f t="shared" si="25"/>
        <v>14.583333333197515</v>
      </c>
      <c r="BZ42" s="134">
        <f t="shared" si="26"/>
        <v>7.2624999999970896</v>
      </c>
      <c r="CA42" s="134">
        <f t="shared" si="27"/>
        <v>10.833333333328483</v>
      </c>
      <c r="CB42" s="133">
        <f t="shared" si="28"/>
        <v>0.67038461538464689</v>
      </c>
    </row>
    <row r="43" spans="1:80" s="126" customFormat="1">
      <c r="A43" s="192">
        <f t="shared" si="16"/>
        <v>45149.947916666664</v>
      </c>
      <c r="B43" s="126" t="s">
        <v>228</v>
      </c>
      <c r="C43" s="126" t="s">
        <v>229</v>
      </c>
      <c r="D43" s="126" t="s">
        <v>197</v>
      </c>
      <c r="E43" s="65" t="s">
        <v>2283</v>
      </c>
      <c r="F43" s="126" t="s">
        <v>2687</v>
      </c>
      <c r="G43" s="165">
        <v>45150.59375</v>
      </c>
      <c r="H43" s="165">
        <v>45150.613888888889</v>
      </c>
      <c r="I43" s="126" t="s">
        <v>231</v>
      </c>
      <c r="J43" s="126" t="s">
        <v>192</v>
      </c>
      <c r="K43" s="126" t="s">
        <v>192</v>
      </c>
      <c r="L43" s="126" t="s">
        <v>2294</v>
      </c>
      <c r="M43" s="167"/>
      <c r="N43" s="126" t="s">
        <v>2295</v>
      </c>
      <c r="O43" s="126" t="s">
        <v>2296</v>
      </c>
      <c r="P43" s="126" t="s">
        <v>235</v>
      </c>
      <c r="Q43" s="181">
        <f>4272*2.4</f>
        <v>10252.799999999999</v>
      </c>
      <c r="R43" s="181">
        <f>10300+100</f>
        <v>10400</v>
      </c>
      <c r="S43" s="181">
        <f>9107.669-2128.758</f>
        <v>6978.9110000000001</v>
      </c>
      <c r="T43" s="181"/>
      <c r="U43" s="172"/>
      <c r="V43" s="172"/>
      <c r="X43" s="181">
        <f>S43</f>
        <v>6978.9110000000001</v>
      </c>
      <c r="AX43" s="165">
        <f t="shared" si="18"/>
        <v>45143.506944444445</v>
      </c>
      <c r="AY43" s="165">
        <f t="shared" si="19"/>
        <v>45155.111111111109</v>
      </c>
      <c r="AZ43" s="137">
        <f t="shared" si="20"/>
        <v>11.604166666664241</v>
      </c>
      <c r="BA43" s="165">
        <v>45143.506944444445</v>
      </c>
      <c r="BB43" s="165">
        <v>45146.774305555555</v>
      </c>
      <c r="BC43" s="165">
        <v>45148.916666666664</v>
      </c>
      <c r="BD43" s="165">
        <v>45149.947916666664</v>
      </c>
      <c r="BE43" s="165">
        <v>45150.114583333336</v>
      </c>
      <c r="BF43" s="165">
        <v>45150.125</v>
      </c>
      <c r="BG43" s="165">
        <v>45150.125</v>
      </c>
      <c r="BH43" s="165">
        <f t="shared" si="14"/>
        <v>45151.833333333336</v>
      </c>
      <c r="BI43" s="210">
        <v>45152.229166608799</v>
      </c>
      <c r="BJ43" s="210">
        <v>45152.395833333336</v>
      </c>
      <c r="BK43" s="165">
        <v>45152.315972222219</v>
      </c>
      <c r="BL43" s="165">
        <v>45153.791666666664</v>
      </c>
      <c r="BM43" s="165">
        <v>45154.819444444445</v>
      </c>
      <c r="BN43" s="165">
        <v>45155.020833333336</v>
      </c>
      <c r="BO43" s="165">
        <v>45155.111111111109</v>
      </c>
      <c r="BP43" s="165">
        <v>45155.111111111109</v>
      </c>
      <c r="BQ43" s="165">
        <v>45155.111111111109</v>
      </c>
      <c r="BR43" s="126" t="s">
        <v>2689</v>
      </c>
      <c r="BT43" s="136">
        <f t="shared" si="21"/>
        <v>51.416666666627862</v>
      </c>
      <c r="BU43" s="136">
        <f t="shared" si="22"/>
        <v>4.0000000001164153</v>
      </c>
      <c r="BV43" s="136">
        <f t="shared" si="23"/>
        <v>41.000000000058208</v>
      </c>
      <c r="BW43" s="136">
        <f t="shared" si="29"/>
        <v>33.499999999883585</v>
      </c>
      <c r="BX43" s="135">
        <f t="shared" si="24"/>
        <v>4.8333333333721384</v>
      </c>
      <c r="BY43" s="135">
        <f t="shared" si="25"/>
        <v>0</v>
      </c>
      <c r="BZ43" s="134">
        <f t="shared" si="26"/>
        <v>5.6145833333357587</v>
      </c>
      <c r="CA43" s="134">
        <f t="shared" si="27"/>
        <v>11.604166666664241</v>
      </c>
      <c r="CB43" s="133">
        <f t="shared" si="28"/>
        <v>0.48384201077230293</v>
      </c>
    </row>
    <row r="44" spans="1:80" s="126" customFormat="1">
      <c r="A44" s="192">
        <f t="shared" si="16"/>
        <v>45149.947916666664</v>
      </c>
      <c r="B44" s="126" t="s">
        <v>228</v>
      </c>
      <c r="C44" s="126" t="s">
        <v>229</v>
      </c>
      <c r="D44" s="126" t="s">
        <v>197</v>
      </c>
      <c r="E44" s="65" t="s">
        <v>628</v>
      </c>
      <c r="F44" s="126" t="s">
        <v>2687</v>
      </c>
      <c r="G44" s="316">
        <v>45148.791666666664</v>
      </c>
      <c r="H44" s="316">
        <v>45148.762499999997</v>
      </c>
      <c r="I44" s="126" t="s">
        <v>231</v>
      </c>
      <c r="J44" s="126" t="s">
        <v>192</v>
      </c>
      <c r="K44" s="126" t="s">
        <v>192</v>
      </c>
      <c r="L44" s="126" t="s">
        <v>2294</v>
      </c>
      <c r="M44" s="167"/>
      <c r="N44" s="126" t="s">
        <v>2295</v>
      </c>
      <c r="O44" s="126" t="s">
        <v>2296</v>
      </c>
      <c r="P44" s="126" t="s">
        <v>235</v>
      </c>
      <c r="Q44" s="181">
        <f>4272*2.4</f>
        <v>10252.799999999999</v>
      </c>
      <c r="R44" s="181">
        <f>10300+100</f>
        <v>10400</v>
      </c>
      <c r="S44" s="181">
        <v>2118.3040000000001</v>
      </c>
      <c r="T44" s="181"/>
      <c r="U44" s="172"/>
      <c r="V44" s="172"/>
      <c r="X44" s="181">
        <f>S44</f>
        <v>2118.3040000000001</v>
      </c>
      <c r="AX44" s="165">
        <f t="shared" si="18"/>
        <v>45143.506944444445</v>
      </c>
      <c r="AY44" s="165">
        <f t="shared" si="19"/>
        <v>45157.5</v>
      </c>
      <c r="AZ44" s="137">
        <f t="shared" si="20"/>
        <v>13.993055555554747</v>
      </c>
      <c r="BA44" s="165">
        <v>45143.506944444445</v>
      </c>
      <c r="BB44" s="165">
        <v>45146.774305555555</v>
      </c>
      <c r="BC44" s="165">
        <v>45148.916666666664</v>
      </c>
      <c r="BD44" s="165">
        <v>45149.947916666664</v>
      </c>
      <c r="BE44" s="165">
        <v>45150.114583333336</v>
      </c>
      <c r="BF44" s="165">
        <v>45150.125</v>
      </c>
      <c r="BG44" s="165">
        <v>45150.125</v>
      </c>
      <c r="BH44" s="165">
        <f t="shared" si="14"/>
        <v>45151.833333333336</v>
      </c>
      <c r="BI44" s="210">
        <v>45152.229166608799</v>
      </c>
      <c r="BJ44" s="210">
        <v>45152.395833333336</v>
      </c>
      <c r="BK44" s="165">
        <v>45152.315972222219</v>
      </c>
      <c r="BL44" s="165">
        <v>45155.111111111109</v>
      </c>
      <c r="BM44" s="165">
        <v>45156.590277777781</v>
      </c>
      <c r="BN44" s="165">
        <v>45156.875</v>
      </c>
      <c r="BO44" s="165">
        <v>45156.902777777781</v>
      </c>
      <c r="BP44" s="165">
        <v>45157.277777777781</v>
      </c>
      <c r="BQ44" s="165">
        <v>45157.5</v>
      </c>
      <c r="BR44" s="126" t="s">
        <v>2689</v>
      </c>
      <c r="BT44" s="136">
        <f t="shared" si="21"/>
        <v>51.416666666627862</v>
      </c>
      <c r="BU44" s="136">
        <f t="shared" si="22"/>
        <v>4.0000000001164153</v>
      </c>
      <c r="BV44" s="136">
        <f t="shared" si="23"/>
        <v>41.000000000058208</v>
      </c>
      <c r="BW44" s="136">
        <f t="shared" si="29"/>
        <v>65.166666666569654</v>
      </c>
      <c r="BX44" s="135">
        <f t="shared" si="24"/>
        <v>6.8333333332557231</v>
      </c>
      <c r="BY44" s="135">
        <f t="shared" si="25"/>
        <v>5.3333333332557231</v>
      </c>
      <c r="BZ44" s="134">
        <f t="shared" si="26"/>
        <v>7.2395833333284827</v>
      </c>
      <c r="CA44" s="134">
        <f t="shared" si="27"/>
        <v>13.993055555554747</v>
      </c>
      <c r="CB44" s="133">
        <f t="shared" si="28"/>
        <v>0.5173697270468296</v>
      </c>
    </row>
    <row r="45" spans="1:80" s="126" customFormat="1">
      <c r="A45" s="192">
        <f t="shared" si="16"/>
        <v>45151.145833333336</v>
      </c>
      <c r="B45" s="126" t="s">
        <v>228</v>
      </c>
      <c r="C45" s="126" t="s">
        <v>229</v>
      </c>
      <c r="D45" s="126" t="s">
        <v>197</v>
      </c>
      <c r="E45" s="65" t="s">
        <v>2681</v>
      </c>
      <c r="G45" s="165">
        <v>45158.9375</v>
      </c>
      <c r="H45" s="165">
        <v>45158.9375</v>
      </c>
      <c r="I45" s="126" t="s">
        <v>243</v>
      </c>
      <c r="J45" s="126" t="s">
        <v>192</v>
      </c>
      <c r="K45" s="126" t="s">
        <v>192</v>
      </c>
      <c r="L45" s="126" t="s">
        <v>2690</v>
      </c>
      <c r="M45" s="167"/>
      <c r="N45" s="126" t="s">
        <v>238</v>
      </c>
      <c r="O45" s="126" t="s">
        <v>239</v>
      </c>
      <c r="P45" s="126" t="s">
        <v>235</v>
      </c>
      <c r="Q45" s="181">
        <f>3100*2.4</f>
        <v>7440</v>
      </c>
      <c r="R45" s="181">
        <f>7450+100</f>
        <v>7550</v>
      </c>
      <c r="S45" s="181">
        <v>7259.8459999999995</v>
      </c>
      <c r="T45" s="181"/>
      <c r="X45" s="181">
        <f>S45</f>
        <v>7259.8459999999995</v>
      </c>
      <c r="AX45" s="165">
        <f t="shared" si="18"/>
        <v>45146.395833333336</v>
      </c>
      <c r="AY45" s="165">
        <f t="shared" si="19"/>
        <v>45159.194444444445</v>
      </c>
      <c r="AZ45" s="137">
        <f t="shared" si="20"/>
        <v>12.798611111109494</v>
      </c>
      <c r="BA45" s="165">
        <v>45146.395833333336</v>
      </c>
      <c r="BB45" s="165">
        <v>45147.78125</v>
      </c>
      <c r="BC45" s="165">
        <v>45149.1875</v>
      </c>
      <c r="BD45" s="165">
        <v>45151.145833333336</v>
      </c>
      <c r="BE45" s="165">
        <v>45151.356944444444</v>
      </c>
      <c r="BF45" s="165">
        <v>45151.364583333336</v>
      </c>
      <c r="BG45" s="165">
        <v>45151.364583333336</v>
      </c>
      <c r="BH45" s="165">
        <f t="shared" si="14"/>
        <v>45153.072916666672</v>
      </c>
      <c r="BI45" s="210">
        <v>45153.25</v>
      </c>
      <c r="BJ45" s="210">
        <v>45153.416666666664</v>
      </c>
      <c r="BK45" s="165">
        <v>45153.378472222219</v>
      </c>
      <c r="BL45" s="165">
        <v>45155.184027777781</v>
      </c>
      <c r="BM45" s="165">
        <v>45158.472222222219</v>
      </c>
      <c r="BN45" s="165">
        <v>45158.71875</v>
      </c>
      <c r="BO45" s="165">
        <v>45158.732638888891</v>
      </c>
      <c r="BP45" s="165">
        <v>45158.736111111109</v>
      </c>
      <c r="BQ45" s="165">
        <v>45159.194444444445</v>
      </c>
      <c r="BT45" s="136">
        <f t="shared" si="21"/>
        <v>33.75</v>
      </c>
      <c r="BU45" s="136">
        <f t="shared" si="22"/>
        <v>5.066666666592937</v>
      </c>
      <c r="BV45" s="136">
        <f t="shared" si="23"/>
        <v>41.000000000058208</v>
      </c>
      <c r="BW45" s="136">
        <f t="shared" si="29"/>
        <v>42.416666666802485</v>
      </c>
      <c r="BX45" s="135">
        <f t="shared" si="24"/>
        <v>5.9166666667442769</v>
      </c>
      <c r="BY45" s="135">
        <f t="shared" si="25"/>
        <v>11.000000000058208</v>
      </c>
      <c r="BZ45" s="134">
        <f t="shared" si="26"/>
        <v>5.7979166666773381</v>
      </c>
      <c r="CA45" s="134">
        <f t="shared" si="27"/>
        <v>12.798611111109494</v>
      </c>
      <c r="CB45" s="133">
        <f t="shared" si="28"/>
        <v>0.45301139446643635</v>
      </c>
    </row>
    <row r="46" spans="1:80" s="126" customFormat="1">
      <c r="A46" s="192">
        <f t="shared" si="16"/>
        <v>45151.387499999997</v>
      </c>
      <c r="B46" s="126" t="s">
        <v>228</v>
      </c>
      <c r="C46" s="126" t="s">
        <v>229</v>
      </c>
      <c r="D46" s="126" t="s">
        <v>197</v>
      </c>
      <c r="E46" s="65" t="s">
        <v>2681</v>
      </c>
      <c r="G46" s="165">
        <v>45158.9375</v>
      </c>
      <c r="H46" s="165">
        <v>45158.9375</v>
      </c>
      <c r="I46" s="126" t="s">
        <v>243</v>
      </c>
      <c r="J46" s="126" t="s">
        <v>192</v>
      </c>
      <c r="K46" s="126" t="s">
        <v>192</v>
      </c>
      <c r="L46" s="126" t="s">
        <v>2691</v>
      </c>
      <c r="M46" s="167"/>
      <c r="N46" s="126" t="s">
        <v>1392</v>
      </c>
      <c r="O46" s="126" t="s">
        <v>365</v>
      </c>
      <c r="P46" s="126" t="s">
        <v>235</v>
      </c>
      <c r="Q46" s="181">
        <f>3142*2.4</f>
        <v>7540.7999999999993</v>
      </c>
      <c r="R46" s="181">
        <f>7550+100</f>
        <v>7650</v>
      </c>
      <c r="S46" s="181">
        <v>7303.5020000000004</v>
      </c>
      <c r="T46" s="181"/>
      <c r="X46" s="181">
        <f>S46</f>
        <v>7303.5020000000004</v>
      </c>
      <c r="AX46" s="165">
        <f t="shared" si="18"/>
        <v>45147.53125</v>
      </c>
      <c r="AY46" s="165">
        <f t="shared" si="19"/>
        <v>45159.3125</v>
      </c>
      <c r="AZ46" s="137">
        <f t="shared" si="20"/>
        <v>11.78125</v>
      </c>
      <c r="BA46" s="165">
        <v>45147.53125</v>
      </c>
      <c r="BB46" s="165">
        <v>45148.576388888891</v>
      </c>
      <c r="BC46" s="165">
        <v>45150.270833333336</v>
      </c>
      <c r="BD46" s="165">
        <v>45151.387499999997</v>
      </c>
      <c r="BE46" s="165">
        <v>45151.559027777781</v>
      </c>
      <c r="BF46" s="165">
        <v>45151.565972222219</v>
      </c>
      <c r="BG46" s="165">
        <v>45151.565972222219</v>
      </c>
      <c r="BH46" s="165">
        <f t="shared" si="14"/>
        <v>45153.274305555555</v>
      </c>
      <c r="BI46" s="210">
        <v>45153.25</v>
      </c>
      <c r="BJ46" s="210">
        <v>45153.416666666664</v>
      </c>
      <c r="BK46" s="210">
        <v>45153.274305555555</v>
      </c>
      <c r="BL46" s="165">
        <v>45155.177083333336</v>
      </c>
      <c r="BM46" s="165">
        <v>45158.079861111109</v>
      </c>
      <c r="BN46" s="165">
        <v>45158.392361111109</v>
      </c>
      <c r="BO46" s="165">
        <v>45158.40625</v>
      </c>
      <c r="BP46" s="165">
        <v>45158.777777777781</v>
      </c>
      <c r="BQ46" s="165">
        <v>45159.3125</v>
      </c>
      <c r="BT46" s="136">
        <f t="shared" si="21"/>
        <v>40.666666666686069</v>
      </c>
      <c r="BU46" s="136">
        <f t="shared" si="22"/>
        <v>4.1166666668141261</v>
      </c>
      <c r="BV46" s="136">
        <f t="shared" si="23"/>
        <v>41.000000000058208</v>
      </c>
      <c r="BW46" s="136">
        <f t="shared" si="29"/>
        <v>42.250000000116415</v>
      </c>
      <c r="BX46" s="135">
        <f t="shared" si="24"/>
        <v>7.5</v>
      </c>
      <c r="BY46" s="135">
        <f t="shared" si="25"/>
        <v>12.833333333255723</v>
      </c>
      <c r="BZ46" s="134">
        <f t="shared" si="26"/>
        <v>6.1819444444554392</v>
      </c>
      <c r="CA46" s="134">
        <f t="shared" si="27"/>
        <v>11.78125</v>
      </c>
      <c r="CB46" s="133">
        <f t="shared" si="28"/>
        <v>0.52472737990072693</v>
      </c>
    </row>
    <row r="47" spans="1:80" s="126" customFormat="1">
      <c r="A47" s="192">
        <f t="shared" si="16"/>
        <v>45151.854861111111</v>
      </c>
      <c r="B47" s="126" t="s">
        <v>228</v>
      </c>
      <c r="C47" s="126" t="s">
        <v>229</v>
      </c>
      <c r="D47" s="126" t="s">
        <v>197</v>
      </c>
      <c r="E47" s="65" t="s">
        <v>628</v>
      </c>
      <c r="G47" s="316">
        <v>45148.791666666664</v>
      </c>
      <c r="H47" s="316">
        <v>45148.762499999997</v>
      </c>
      <c r="I47" s="126" t="s">
        <v>231</v>
      </c>
      <c r="J47" s="126" t="s">
        <v>192</v>
      </c>
      <c r="K47" s="126" t="s">
        <v>192</v>
      </c>
      <c r="L47" s="126" t="s">
        <v>2345</v>
      </c>
      <c r="M47" s="167"/>
      <c r="N47" s="126" t="s">
        <v>355</v>
      </c>
      <c r="O47" s="126" t="s">
        <v>356</v>
      </c>
      <c r="P47" s="126" t="s">
        <v>240</v>
      </c>
      <c r="Q47" s="181">
        <f>3107*2.4</f>
        <v>7456.7999999999993</v>
      </c>
      <c r="R47" s="181">
        <f>7500+100</f>
        <v>7600</v>
      </c>
      <c r="S47" s="181">
        <v>7570.3850000000002</v>
      </c>
      <c r="T47" s="181"/>
      <c r="Y47" s="181">
        <f t="shared" ref="Y47:Y53" si="30">S47</f>
        <v>7570.3850000000002</v>
      </c>
      <c r="AX47" s="165">
        <f t="shared" si="18"/>
        <v>45147.680555555555</v>
      </c>
      <c r="AY47" s="165">
        <f t="shared" si="19"/>
        <v>45156.375</v>
      </c>
      <c r="AZ47" s="137">
        <f t="shared" si="20"/>
        <v>8.6944444444452529</v>
      </c>
      <c r="BA47" s="165">
        <v>45147.680555555555</v>
      </c>
      <c r="BB47" s="165">
        <v>45148.809027777781</v>
      </c>
      <c r="BC47" s="165">
        <v>45150.319444444445</v>
      </c>
      <c r="BD47" s="165">
        <v>45151.854861111111</v>
      </c>
      <c r="BE47" s="165">
        <v>45151.989583333336</v>
      </c>
      <c r="BF47" s="165">
        <v>45151.997916666667</v>
      </c>
      <c r="BG47" s="165">
        <v>45151.997916666667</v>
      </c>
      <c r="BH47" s="165">
        <f t="shared" si="14"/>
        <v>45153.706250000003</v>
      </c>
      <c r="BI47" s="210">
        <v>45154.25</v>
      </c>
      <c r="BJ47" s="210">
        <v>45154.416666608799</v>
      </c>
      <c r="BK47" s="165">
        <v>45154.326388888891</v>
      </c>
      <c r="BL47" s="165">
        <v>45155.430555555555</v>
      </c>
      <c r="BM47" s="165">
        <v>45155.756944444445</v>
      </c>
      <c r="BN47" s="165">
        <v>45155.909722222219</v>
      </c>
      <c r="BO47" s="165">
        <v>45155.9375</v>
      </c>
      <c r="BP47" s="165">
        <v>45156.166666666664</v>
      </c>
      <c r="BQ47" s="165">
        <v>45156.375</v>
      </c>
      <c r="BT47" s="136">
        <f t="shared" si="21"/>
        <v>36.249999999941792</v>
      </c>
      <c r="BU47" s="136">
        <f t="shared" si="22"/>
        <v>3.2333333333954215</v>
      </c>
      <c r="BV47" s="136">
        <f t="shared" si="23"/>
        <v>41.000000000058208</v>
      </c>
      <c r="BW47" s="136">
        <f t="shared" si="29"/>
        <v>24.33333472214872</v>
      </c>
      <c r="BX47" s="135">
        <f t="shared" si="24"/>
        <v>3.6666666665696539</v>
      </c>
      <c r="BY47" s="135">
        <f t="shared" si="25"/>
        <v>5.0000000000582077</v>
      </c>
      <c r="BZ47" s="134">
        <f t="shared" si="26"/>
        <v>4.7284722800905001</v>
      </c>
      <c r="CA47" s="134">
        <f t="shared" si="27"/>
        <v>8.6944444444452529</v>
      </c>
      <c r="CB47" s="133">
        <f t="shared" si="28"/>
        <v>0.54384984691131688</v>
      </c>
    </row>
    <row r="48" spans="1:80" s="126" customFormat="1">
      <c r="A48" s="192">
        <f t="shared" si="16"/>
        <v>45152.024305555555</v>
      </c>
      <c r="B48" s="126" t="s">
        <v>228</v>
      </c>
      <c r="C48" s="126" t="s">
        <v>229</v>
      </c>
      <c r="D48" s="126" t="s">
        <v>197</v>
      </c>
      <c r="E48" s="65" t="s">
        <v>628</v>
      </c>
      <c r="G48" s="316">
        <v>45148.791666666664</v>
      </c>
      <c r="H48" s="316">
        <v>45148.762499999997</v>
      </c>
      <c r="I48" s="126" t="s">
        <v>231</v>
      </c>
      <c r="J48" s="126" t="s">
        <v>192</v>
      </c>
      <c r="K48" s="126" t="s">
        <v>192</v>
      </c>
      <c r="L48" s="126" t="s">
        <v>2346</v>
      </c>
      <c r="M48" s="167"/>
      <c r="N48" s="126" t="s">
        <v>277</v>
      </c>
      <c r="O48" s="126" t="s">
        <v>278</v>
      </c>
      <c r="P48" s="126" t="s">
        <v>240</v>
      </c>
      <c r="Q48" s="181">
        <f>3117*2.4</f>
        <v>7480.7999999999993</v>
      </c>
      <c r="R48" s="181">
        <f>7500+100</f>
        <v>7600</v>
      </c>
      <c r="S48" s="181">
        <v>7443.8370000000004</v>
      </c>
      <c r="T48" s="181"/>
      <c r="Y48" s="181">
        <f t="shared" si="30"/>
        <v>7443.8370000000004</v>
      </c>
      <c r="AX48" s="165">
        <f t="shared" si="18"/>
        <v>45148.003472222219</v>
      </c>
      <c r="AY48" s="165">
        <f t="shared" si="19"/>
        <v>45156.392361111109</v>
      </c>
      <c r="AZ48" s="137">
        <f t="shared" si="20"/>
        <v>8.3888888888905058</v>
      </c>
      <c r="BA48" s="165">
        <v>45148.003472222219</v>
      </c>
      <c r="BB48" s="165">
        <v>45148.763888888891</v>
      </c>
      <c r="BC48" s="165">
        <v>45150.326388888891</v>
      </c>
      <c r="BD48" s="165">
        <v>45152.024305555555</v>
      </c>
      <c r="BE48" s="165">
        <v>45152.15625</v>
      </c>
      <c r="BF48" s="165">
        <v>45152.163194444445</v>
      </c>
      <c r="BG48" s="165">
        <v>45152.163194444445</v>
      </c>
      <c r="BH48" s="165">
        <f t="shared" si="14"/>
        <v>45153.871527777781</v>
      </c>
      <c r="BI48" s="210">
        <v>45154.25</v>
      </c>
      <c r="BJ48" s="210">
        <v>45154.416666608799</v>
      </c>
      <c r="BK48" s="165">
        <v>45154.3125</v>
      </c>
      <c r="BL48" s="165">
        <v>45155.444444444445</v>
      </c>
      <c r="BM48" s="165">
        <v>45155.965277777781</v>
      </c>
      <c r="BN48" s="165">
        <v>45156.118055555555</v>
      </c>
      <c r="BO48" s="165">
        <v>45156.145833333336</v>
      </c>
      <c r="BP48" s="165">
        <v>45156.145833333336</v>
      </c>
      <c r="BQ48" s="165">
        <v>45156.392361111109</v>
      </c>
      <c r="BT48" s="136">
        <f t="shared" si="21"/>
        <v>37.5</v>
      </c>
      <c r="BU48" s="136">
        <f t="shared" si="22"/>
        <v>3.1666666666860692</v>
      </c>
      <c r="BV48" s="136">
        <f t="shared" si="23"/>
        <v>41.000000000058208</v>
      </c>
      <c r="BW48" s="136">
        <f t="shared" si="29"/>
        <v>24.666668055520859</v>
      </c>
      <c r="BX48" s="135">
        <f t="shared" si="24"/>
        <v>3.6666666665696539</v>
      </c>
      <c r="BY48" s="135">
        <f t="shared" si="25"/>
        <v>5.9166666665696539</v>
      </c>
      <c r="BZ48" s="134">
        <f t="shared" si="26"/>
        <v>4.8298611689751851</v>
      </c>
      <c r="CA48" s="134">
        <f t="shared" si="27"/>
        <v>8.3888888888905058</v>
      </c>
      <c r="CB48" s="133">
        <f t="shared" si="28"/>
        <v>0.57574504001017601</v>
      </c>
    </row>
    <row r="49" spans="1:80" s="126" customFormat="1">
      <c r="A49" s="192">
        <f t="shared" si="16"/>
        <v>45152.184027777781</v>
      </c>
      <c r="B49" s="126" t="s">
        <v>228</v>
      </c>
      <c r="C49" s="126" t="s">
        <v>229</v>
      </c>
      <c r="D49" s="126" t="s">
        <v>197</v>
      </c>
      <c r="E49" s="65" t="s">
        <v>628</v>
      </c>
      <c r="G49" s="316">
        <v>45148.791666666664</v>
      </c>
      <c r="H49" s="316">
        <v>45148.762499999997</v>
      </c>
      <c r="I49" s="126" t="s">
        <v>231</v>
      </c>
      <c r="J49" s="126" t="s">
        <v>192</v>
      </c>
      <c r="K49" s="126" t="s">
        <v>192</v>
      </c>
      <c r="L49" s="126" t="s">
        <v>2344</v>
      </c>
      <c r="M49" s="167"/>
      <c r="N49" s="126" t="s">
        <v>1848</v>
      </c>
      <c r="O49" s="126" t="s">
        <v>350</v>
      </c>
      <c r="P49" s="126" t="s">
        <v>240</v>
      </c>
      <c r="Q49" s="181">
        <f>3077*2.4</f>
        <v>7384.7999999999993</v>
      </c>
      <c r="R49" s="181">
        <f>7400+100</f>
        <v>7500</v>
      </c>
      <c r="S49" s="181">
        <v>7437.7939999999999</v>
      </c>
      <c r="T49" s="181"/>
      <c r="Y49" s="181">
        <f t="shared" si="30"/>
        <v>7437.7939999999999</v>
      </c>
      <c r="AX49" s="165">
        <f t="shared" si="18"/>
        <v>45147.791666666664</v>
      </c>
      <c r="AY49" s="165">
        <f t="shared" si="19"/>
        <v>45156.184027777781</v>
      </c>
      <c r="AZ49" s="137">
        <f t="shared" si="20"/>
        <v>8.3923611111167702</v>
      </c>
      <c r="BA49" s="165">
        <v>45147.791666666664</v>
      </c>
      <c r="BB49" s="165">
        <v>45148.701388888891</v>
      </c>
      <c r="BC49" s="165">
        <v>45150.347222222219</v>
      </c>
      <c r="BD49" s="165">
        <v>45152.184027777781</v>
      </c>
      <c r="BE49" s="165">
        <v>45152.393750000003</v>
      </c>
      <c r="BF49" s="165">
        <v>45152.399305555555</v>
      </c>
      <c r="BG49" s="165">
        <v>45152.399305555555</v>
      </c>
      <c r="BH49" s="165">
        <f t="shared" si="14"/>
        <v>45154.107638888891</v>
      </c>
      <c r="BI49" s="210">
        <v>45154.25</v>
      </c>
      <c r="BJ49" s="210">
        <v>45154.416666608799</v>
      </c>
      <c r="BK49" s="165">
        <v>45154.319444444445</v>
      </c>
      <c r="BL49" s="165">
        <v>45155.375</v>
      </c>
      <c r="BM49" s="165">
        <v>45155.5</v>
      </c>
      <c r="BN49" s="165">
        <v>45155.708333333336</v>
      </c>
      <c r="BO49" s="165">
        <v>45155.736111111109</v>
      </c>
      <c r="BP49" s="165">
        <v>45155.736111111109</v>
      </c>
      <c r="BQ49" s="165">
        <v>45156.184027777781</v>
      </c>
      <c r="BT49" s="136">
        <f t="shared" si="21"/>
        <v>39.499999999883585</v>
      </c>
      <c r="BU49" s="136">
        <f t="shared" si="22"/>
        <v>5.0333333333255723</v>
      </c>
      <c r="BV49" s="136">
        <f t="shared" si="23"/>
        <v>41.000000000058208</v>
      </c>
      <c r="BW49" s="136">
        <f t="shared" si="29"/>
        <v>23.000001388834789</v>
      </c>
      <c r="BX49" s="135">
        <f t="shared" si="24"/>
        <v>5.0000000000582077</v>
      </c>
      <c r="BY49" s="135">
        <f t="shared" si="25"/>
        <v>10.750000000116415</v>
      </c>
      <c r="BZ49" s="134">
        <f t="shared" si="26"/>
        <v>5.1784722800948657</v>
      </c>
      <c r="CA49" s="134">
        <f t="shared" si="27"/>
        <v>8.3923611111167702</v>
      </c>
      <c r="CB49" s="133">
        <f t="shared" si="28"/>
        <v>0.6170459315954967</v>
      </c>
    </row>
    <row r="50" spans="1:80" s="126" customFormat="1">
      <c r="A50" s="192">
        <f t="shared" si="16"/>
        <v>45152.434027777781</v>
      </c>
      <c r="B50" s="126" t="s">
        <v>228</v>
      </c>
      <c r="C50" s="126" t="s">
        <v>229</v>
      </c>
      <c r="D50" s="126" t="s">
        <v>197</v>
      </c>
      <c r="E50" s="65" t="s">
        <v>628</v>
      </c>
      <c r="G50" s="316">
        <v>45148.791666666664</v>
      </c>
      <c r="H50" s="316">
        <v>45148.762499999997</v>
      </c>
      <c r="I50" s="126" t="s">
        <v>231</v>
      </c>
      <c r="J50" s="126" t="s">
        <v>192</v>
      </c>
      <c r="K50" s="126" t="s">
        <v>192</v>
      </c>
      <c r="L50" s="126" t="s">
        <v>2347</v>
      </c>
      <c r="M50" s="167"/>
      <c r="N50" s="126" t="s">
        <v>2156</v>
      </c>
      <c r="O50" s="126" t="s">
        <v>1835</v>
      </c>
      <c r="P50" s="126" t="s">
        <v>240</v>
      </c>
      <c r="Q50" s="181">
        <f>3131*2.4</f>
        <v>7514.4</v>
      </c>
      <c r="R50" s="181">
        <f>7550+100</f>
        <v>7650</v>
      </c>
      <c r="S50" s="181">
        <v>7609.3850000000002</v>
      </c>
      <c r="T50" s="181"/>
      <c r="Y50" s="181">
        <f t="shared" si="30"/>
        <v>7609.3850000000002</v>
      </c>
      <c r="AX50" s="165">
        <f t="shared" si="18"/>
        <v>45148.104166666664</v>
      </c>
      <c r="AY50" s="165">
        <f t="shared" si="19"/>
        <v>45156.986111111109</v>
      </c>
      <c r="AZ50" s="137">
        <f t="shared" si="20"/>
        <v>8.8819444444452529</v>
      </c>
      <c r="BA50" s="165">
        <v>45148.104166666664</v>
      </c>
      <c r="BB50" s="165">
        <v>45148.767361111109</v>
      </c>
      <c r="BC50" s="165">
        <v>45150.927083333336</v>
      </c>
      <c r="BD50" s="165">
        <v>45152.434027777781</v>
      </c>
      <c r="BE50" s="165">
        <v>45152.576388888891</v>
      </c>
      <c r="BF50" s="165">
        <v>45152.579861111109</v>
      </c>
      <c r="BG50" s="165">
        <v>45152.579861111109</v>
      </c>
      <c r="BH50" s="165">
        <f t="shared" ref="BH50:BH66" si="31">BG50+(41/24)</f>
        <v>45154.288194444445</v>
      </c>
      <c r="BI50" s="210">
        <v>45154.25</v>
      </c>
      <c r="BJ50" s="210">
        <v>45154.416666608799</v>
      </c>
      <c r="BK50" s="165">
        <v>45154.392361111109</v>
      </c>
      <c r="BL50" s="165">
        <v>45155.75</v>
      </c>
      <c r="BM50" s="165">
        <v>45156.173611111109</v>
      </c>
      <c r="BN50" s="165">
        <v>45156.347222222219</v>
      </c>
      <c r="BO50" s="165">
        <v>45156.375</v>
      </c>
      <c r="BP50" s="165">
        <v>45156.6875</v>
      </c>
      <c r="BQ50" s="165">
        <v>45156.986111111109</v>
      </c>
      <c r="BT50" s="136">
        <f t="shared" si="21"/>
        <v>51.833333333430346</v>
      </c>
      <c r="BU50" s="136">
        <f t="shared" si="22"/>
        <v>3.4166666666278616</v>
      </c>
      <c r="BV50" s="136">
        <f t="shared" si="23"/>
        <v>41.000000000058208</v>
      </c>
      <c r="BW50" s="136">
        <f t="shared" si="29"/>
        <v>32.000001388834789</v>
      </c>
      <c r="BX50" s="135">
        <f t="shared" si="24"/>
        <v>4.1666666666278616</v>
      </c>
      <c r="BY50" s="135">
        <f t="shared" si="25"/>
        <v>7.1666666666278616</v>
      </c>
      <c r="BZ50" s="134">
        <f t="shared" si="26"/>
        <v>5.8159722800919553</v>
      </c>
      <c r="CA50" s="134">
        <f t="shared" si="27"/>
        <v>8.8819444444452529</v>
      </c>
      <c r="CB50" s="133">
        <f t="shared" si="28"/>
        <v>0.65480845061232629</v>
      </c>
    </row>
    <row r="51" spans="1:80" s="126" customFormat="1">
      <c r="A51" s="192">
        <f t="shared" si="16"/>
        <v>45152.809027777781</v>
      </c>
      <c r="B51" s="126" t="s">
        <v>228</v>
      </c>
      <c r="C51" s="126" t="s">
        <v>229</v>
      </c>
      <c r="D51" s="126" t="s">
        <v>197</v>
      </c>
      <c r="E51" s="65" t="s">
        <v>628</v>
      </c>
      <c r="G51" s="316">
        <v>45148.791666666664</v>
      </c>
      <c r="H51" s="316">
        <v>45148.762499999997</v>
      </c>
      <c r="I51" s="126" t="s">
        <v>231</v>
      </c>
      <c r="J51" s="126" t="s">
        <v>192</v>
      </c>
      <c r="K51" s="126" t="s">
        <v>192</v>
      </c>
      <c r="L51" s="126" t="s">
        <v>2351</v>
      </c>
      <c r="M51" s="167"/>
      <c r="N51" s="126" t="s">
        <v>1767</v>
      </c>
      <c r="O51" s="126" t="s">
        <v>2352</v>
      </c>
      <c r="P51" s="126" t="s">
        <v>240</v>
      </c>
      <c r="Q51" s="181">
        <f>3139*2.4</f>
        <v>7533.5999999999995</v>
      </c>
      <c r="R51" s="181">
        <f>7550+100</f>
        <v>7650</v>
      </c>
      <c r="S51" s="181">
        <v>7553.1670000000004</v>
      </c>
      <c r="T51" s="181"/>
      <c r="Y51" s="181">
        <f t="shared" si="30"/>
        <v>7553.1670000000004</v>
      </c>
      <c r="AX51" s="165">
        <f t="shared" si="18"/>
        <v>45147.625</v>
      </c>
      <c r="AY51" s="165">
        <f t="shared" si="19"/>
        <v>45158.666666666664</v>
      </c>
      <c r="AZ51" s="137">
        <f t="shared" si="20"/>
        <v>11.041666666664241</v>
      </c>
      <c r="BA51" s="165">
        <v>45147.625</v>
      </c>
      <c r="BB51" s="165">
        <v>45148.576388888891</v>
      </c>
      <c r="BC51" s="165">
        <v>45151.010416666664</v>
      </c>
      <c r="BD51" s="165">
        <v>45152.809027777781</v>
      </c>
      <c r="BE51" s="165">
        <v>45152.961805555555</v>
      </c>
      <c r="BF51" s="165">
        <v>45152.965277777781</v>
      </c>
      <c r="BG51" s="165">
        <v>45153.229166666664</v>
      </c>
      <c r="BH51" s="165">
        <f t="shared" si="31"/>
        <v>45154.9375</v>
      </c>
      <c r="BI51" s="210">
        <v>45155.25</v>
      </c>
      <c r="BJ51" s="210">
        <v>45155.416666608799</v>
      </c>
      <c r="BK51" s="165">
        <v>45155.381944444445</v>
      </c>
      <c r="BL51" s="165">
        <v>45156.597222222219</v>
      </c>
      <c r="BM51" s="165">
        <v>45158.020833333336</v>
      </c>
      <c r="BN51" s="165">
        <v>45158.256944444445</v>
      </c>
      <c r="BO51" s="165">
        <v>45158.3125</v>
      </c>
      <c r="BP51" s="165">
        <v>45158.3125</v>
      </c>
      <c r="BQ51" s="165">
        <v>45158.666666666664</v>
      </c>
      <c r="BR51" s="126" t="s">
        <v>2692</v>
      </c>
      <c r="BT51" s="136">
        <f t="shared" si="21"/>
        <v>58.416666666569654</v>
      </c>
      <c r="BU51" s="136">
        <f t="shared" si="22"/>
        <v>3.6666666665696539</v>
      </c>
      <c r="BV51" s="136">
        <f t="shared" si="23"/>
        <v>41.000000000058208</v>
      </c>
      <c r="BW51" s="136">
        <f t="shared" si="29"/>
        <v>28.333334722090513</v>
      </c>
      <c r="BX51" s="135">
        <f t="shared" si="24"/>
        <v>5.6666666666278616</v>
      </c>
      <c r="BY51" s="135">
        <f t="shared" si="25"/>
        <v>8.4999999999417923</v>
      </c>
      <c r="BZ51" s="134">
        <f t="shared" si="26"/>
        <v>6.0659722800774034</v>
      </c>
      <c r="CA51" s="134">
        <f t="shared" si="27"/>
        <v>11.041666666664241</v>
      </c>
      <c r="CB51" s="133">
        <f t="shared" si="28"/>
        <v>0.5493710744222251</v>
      </c>
    </row>
    <row r="52" spans="1:80" s="126" customFormat="1">
      <c r="A52" s="192">
        <f t="shared" si="16"/>
        <v>45152.604166666664</v>
      </c>
      <c r="B52" s="126" t="s">
        <v>228</v>
      </c>
      <c r="C52" s="126" t="s">
        <v>229</v>
      </c>
      <c r="D52" s="126" t="s">
        <v>197</v>
      </c>
      <c r="E52" s="65" t="s">
        <v>628</v>
      </c>
      <c r="G52" s="316">
        <v>45148.791666666664</v>
      </c>
      <c r="H52" s="316">
        <v>45148.762499999997</v>
      </c>
      <c r="I52" s="126" t="s">
        <v>231</v>
      </c>
      <c r="J52" s="126" t="s">
        <v>192</v>
      </c>
      <c r="K52" s="126" t="s">
        <v>192</v>
      </c>
      <c r="L52" s="126" t="s">
        <v>2349</v>
      </c>
      <c r="M52" s="167"/>
      <c r="N52" s="126" t="s">
        <v>695</v>
      </c>
      <c r="O52" s="126" t="s">
        <v>281</v>
      </c>
      <c r="P52" s="126" t="s">
        <v>240</v>
      </c>
      <c r="Q52" s="181">
        <f>3102*2.4</f>
        <v>7444.7999999999993</v>
      </c>
      <c r="R52" s="181">
        <f>7450+100</f>
        <v>7550</v>
      </c>
      <c r="S52" s="181">
        <v>7314.884</v>
      </c>
      <c r="T52" s="181"/>
      <c r="V52" s="172"/>
      <c r="Y52" s="181">
        <f t="shared" si="30"/>
        <v>7314.884</v>
      </c>
      <c r="AX52" s="165">
        <f t="shared" si="18"/>
        <v>45137.9375</v>
      </c>
      <c r="AY52" s="165">
        <f t="shared" si="19"/>
        <v>45158.416666666664</v>
      </c>
      <c r="AZ52" s="137">
        <f t="shared" si="20"/>
        <v>20.479166666664241</v>
      </c>
      <c r="BA52" s="165">
        <v>45137.9375</v>
      </c>
      <c r="BB52" s="165">
        <v>45139.621527777781</v>
      </c>
      <c r="BC52" s="165">
        <v>45151.041666666664</v>
      </c>
      <c r="BD52" s="165">
        <v>45152.604166666664</v>
      </c>
      <c r="BE52" s="165">
        <v>45152.767361111109</v>
      </c>
      <c r="BF52" s="165">
        <v>45152.770833333336</v>
      </c>
      <c r="BG52" s="165">
        <v>45152.770833333336</v>
      </c>
      <c r="BH52" s="165">
        <f t="shared" si="31"/>
        <v>45154.479166666672</v>
      </c>
      <c r="BI52" s="210">
        <v>45155.25</v>
      </c>
      <c r="BJ52" s="210">
        <v>45155.416666608799</v>
      </c>
      <c r="BK52" s="165">
        <v>45155.298611111109</v>
      </c>
      <c r="BL52" s="165">
        <v>45156.569444444445</v>
      </c>
      <c r="BM52" s="165">
        <v>45157.465277777781</v>
      </c>
      <c r="BN52" s="165">
        <v>45157.923611111109</v>
      </c>
      <c r="BO52" s="165">
        <v>45157.951388888891</v>
      </c>
      <c r="BP52" s="165">
        <v>45158.208333333336</v>
      </c>
      <c r="BQ52" s="165">
        <v>45158.416666666664</v>
      </c>
      <c r="BT52" s="136">
        <f t="shared" si="21"/>
        <v>274.08333333319752</v>
      </c>
      <c r="BU52" s="136">
        <f t="shared" si="22"/>
        <v>3.9166666666860692</v>
      </c>
      <c r="BV52" s="136">
        <f t="shared" si="23"/>
        <v>41.000000000058208</v>
      </c>
      <c r="BW52" s="136">
        <f t="shared" si="29"/>
        <v>27.666668055520859</v>
      </c>
      <c r="BX52" s="135">
        <f t="shared" si="24"/>
        <v>10.999999999883585</v>
      </c>
      <c r="BY52" s="135">
        <f t="shared" si="25"/>
        <v>4.9999999998835847</v>
      </c>
      <c r="BZ52" s="134">
        <f t="shared" si="26"/>
        <v>15.111111168967909</v>
      </c>
      <c r="CA52" s="134">
        <f t="shared" si="27"/>
        <v>20.479166666664241</v>
      </c>
      <c r="CB52" s="133">
        <f t="shared" si="28"/>
        <v>0.73787724934948684</v>
      </c>
    </row>
    <row r="53" spans="1:80" s="126" customFormat="1">
      <c r="A53" s="192">
        <f t="shared" si="16"/>
        <v>45154.010416666664</v>
      </c>
      <c r="B53" s="126" t="s">
        <v>228</v>
      </c>
      <c r="C53" s="126" t="s">
        <v>229</v>
      </c>
      <c r="D53" s="126" t="s">
        <v>197</v>
      </c>
      <c r="E53" s="65" t="s">
        <v>2361</v>
      </c>
      <c r="G53" s="316">
        <v>45151.166666666664</v>
      </c>
      <c r="H53" s="316">
        <v>45151.112500000003</v>
      </c>
      <c r="I53" s="126" t="s">
        <v>231</v>
      </c>
      <c r="J53" s="126" t="s">
        <v>192</v>
      </c>
      <c r="K53" s="126" t="s">
        <v>192</v>
      </c>
      <c r="L53" s="126" t="s">
        <v>2365</v>
      </c>
      <c r="M53" s="167"/>
      <c r="N53" s="126" t="s">
        <v>437</v>
      </c>
      <c r="O53" s="126" t="s">
        <v>320</v>
      </c>
      <c r="P53" s="126" t="s">
        <v>240</v>
      </c>
      <c r="Q53" s="181">
        <f>3136*2.4</f>
        <v>7526.4</v>
      </c>
      <c r="R53" s="181">
        <f>7550+100</f>
        <v>7650</v>
      </c>
      <c r="S53" s="181">
        <v>7317.37</v>
      </c>
      <c r="T53" s="181"/>
      <c r="Y53" s="181">
        <f t="shared" si="30"/>
        <v>7317.37</v>
      </c>
      <c r="AX53" s="165">
        <f t="shared" si="18"/>
        <v>45147.989583333336</v>
      </c>
      <c r="AY53" s="165">
        <f t="shared" si="19"/>
        <v>45159.4375</v>
      </c>
      <c r="AZ53" s="137">
        <f t="shared" si="20"/>
        <v>11.447916666664241</v>
      </c>
      <c r="BA53" s="165">
        <v>45147.989583333336</v>
      </c>
      <c r="BB53" s="165">
        <v>45149.763888888891</v>
      </c>
      <c r="BC53" s="165">
        <v>45151.291666666664</v>
      </c>
      <c r="BD53" s="165">
        <v>45154.010416666664</v>
      </c>
      <c r="BE53" s="165">
        <v>45154.152777777781</v>
      </c>
      <c r="BF53" s="165">
        <v>45154.15625</v>
      </c>
      <c r="BG53" s="165">
        <v>45154.298611111109</v>
      </c>
      <c r="BH53" s="165">
        <f t="shared" si="31"/>
        <v>45156.006944444445</v>
      </c>
      <c r="BI53" s="210">
        <v>45156.25</v>
      </c>
      <c r="BJ53" s="210">
        <v>45156.416666608799</v>
      </c>
      <c r="BK53" s="165">
        <v>45156.309027777781</v>
      </c>
      <c r="BL53" s="165">
        <v>45157.416666666664</v>
      </c>
      <c r="BM53" s="165">
        <v>45158.763888888891</v>
      </c>
      <c r="BN53" s="165">
        <v>45159.034722222219</v>
      </c>
      <c r="BO53" s="165">
        <v>45159.163194444445</v>
      </c>
      <c r="BP53" s="165">
        <v>45159.229166666664</v>
      </c>
      <c r="BQ53" s="165">
        <v>45159.4375</v>
      </c>
      <c r="BT53" s="136">
        <f t="shared" si="21"/>
        <v>36.666666666569654</v>
      </c>
      <c r="BU53" s="136">
        <f t="shared" si="22"/>
        <v>3.4166666668024845</v>
      </c>
      <c r="BV53" s="136">
        <f t="shared" si="23"/>
        <v>41.000000000058208</v>
      </c>
      <c r="BW53" s="136">
        <f t="shared" si="29"/>
        <v>24.000001388776582</v>
      </c>
      <c r="BX53" s="135">
        <f t="shared" si="24"/>
        <v>6.4999999998835847</v>
      </c>
      <c r="BY53" s="135">
        <f t="shared" si="25"/>
        <v>5.0000000000582077</v>
      </c>
      <c r="BZ53" s="134">
        <f t="shared" si="26"/>
        <v>4.8576389467561967</v>
      </c>
      <c r="CA53" s="134">
        <f t="shared" si="27"/>
        <v>11.447916666664241</v>
      </c>
      <c r="CB53" s="133">
        <f t="shared" si="28"/>
        <v>0.42432514912528996</v>
      </c>
    </row>
    <row r="54" spans="1:80" s="126" customFormat="1">
      <c r="A54" s="192">
        <f t="shared" si="16"/>
        <v>45153.1875</v>
      </c>
      <c r="B54" s="126" t="s">
        <v>228</v>
      </c>
      <c r="C54" s="126" t="s">
        <v>229</v>
      </c>
      <c r="D54" s="126" t="s">
        <v>215</v>
      </c>
      <c r="E54" s="65" t="s">
        <v>628</v>
      </c>
      <c r="G54" s="316">
        <v>45148.791666666664</v>
      </c>
      <c r="H54" s="316">
        <v>45148.762499999997</v>
      </c>
      <c r="I54" s="126" t="s">
        <v>231</v>
      </c>
      <c r="J54" s="126" t="s">
        <v>192</v>
      </c>
      <c r="K54" s="126" t="s">
        <v>192</v>
      </c>
      <c r="L54" s="126" t="s">
        <v>2353</v>
      </c>
      <c r="M54" s="167"/>
      <c r="N54" s="126" t="s">
        <v>390</v>
      </c>
      <c r="O54" s="126" t="s">
        <v>391</v>
      </c>
      <c r="P54" s="126" t="s">
        <v>235</v>
      </c>
      <c r="Q54" s="181">
        <f>3097*2.4</f>
        <v>7432.7999999999993</v>
      </c>
      <c r="R54" s="181">
        <f>7450+100</f>
        <v>7550</v>
      </c>
      <c r="S54" s="181">
        <f>7416.346-3503.273</f>
        <v>3913.0729999999994</v>
      </c>
      <c r="T54" s="181"/>
      <c r="X54" s="181">
        <f>S54</f>
        <v>3913.0729999999994</v>
      </c>
      <c r="AX54" s="165">
        <f t="shared" si="18"/>
        <v>45148.291666666664</v>
      </c>
      <c r="AY54" s="165">
        <f t="shared" si="19"/>
        <v>45158.53125</v>
      </c>
      <c r="AZ54" s="137">
        <f t="shared" si="20"/>
        <v>10.239583333335759</v>
      </c>
      <c r="BA54" s="165">
        <v>45148.291666666664</v>
      </c>
      <c r="BB54" s="165">
        <v>45149.576388888891</v>
      </c>
      <c r="BC54" s="165">
        <v>45151.416666666664</v>
      </c>
      <c r="BD54" s="165">
        <v>45153.1875</v>
      </c>
      <c r="BE54" s="165">
        <v>45153.409722222219</v>
      </c>
      <c r="BF54" s="165">
        <v>45153.416666666664</v>
      </c>
      <c r="BG54" s="165">
        <v>45153.416666666664</v>
      </c>
      <c r="BH54" s="165">
        <f t="shared" si="31"/>
        <v>45155.125</v>
      </c>
      <c r="BI54" s="210">
        <v>45155.25</v>
      </c>
      <c r="BJ54" s="210">
        <v>45155.416666608799</v>
      </c>
      <c r="BK54" s="165">
        <v>45155.284722222219</v>
      </c>
      <c r="BL54" s="165">
        <v>45156.458333333336</v>
      </c>
      <c r="BM54" s="165">
        <v>45158.333333333336</v>
      </c>
      <c r="BN54" s="165">
        <v>45158.486111111109</v>
      </c>
      <c r="BO54" s="165">
        <v>45158.53125</v>
      </c>
      <c r="BP54" s="165">
        <v>45158.53125</v>
      </c>
      <c r="BQ54" s="165">
        <v>45158.53125</v>
      </c>
      <c r="BT54" s="136">
        <f t="shared" si="21"/>
        <v>44.166666666569654</v>
      </c>
      <c r="BU54" s="136">
        <f t="shared" si="22"/>
        <v>5.3333333332557231</v>
      </c>
      <c r="BV54" s="136">
        <f t="shared" si="23"/>
        <v>41.000000000058208</v>
      </c>
      <c r="BW54" s="136">
        <f t="shared" si="29"/>
        <v>25.000001388892997</v>
      </c>
      <c r="BX54" s="135">
        <f t="shared" si="24"/>
        <v>3.6666666665696539</v>
      </c>
      <c r="BY54" s="135">
        <f t="shared" si="25"/>
        <v>0</v>
      </c>
      <c r="BZ54" s="134">
        <f t="shared" si="26"/>
        <v>4.9652778356394265</v>
      </c>
      <c r="CA54" s="134">
        <f t="shared" si="27"/>
        <v>10.239583333335759</v>
      </c>
      <c r="CB54" s="133">
        <f t="shared" si="28"/>
        <v>0.48491014468084642</v>
      </c>
    </row>
    <row r="55" spans="1:80" s="126" customFormat="1">
      <c r="A55" s="192">
        <f t="shared" si="16"/>
        <v>45153.1875</v>
      </c>
      <c r="B55" s="126" t="s">
        <v>228</v>
      </c>
      <c r="C55" s="126" t="s">
        <v>229</v>
      </c>
      <c r="D55" s="126" t="s">
        <v>215</v>
      </c>
      <c r="E55" s="65" t="s">
        <v>2199</v>
      </c>
      <c r="G55" s="316">
        <v>45148.791666666664</v>
      </c>
      <c r="H55" s="316">
        <v>45148.762499999997</v>
      </c>
      <c r="I55" s="126" t="s">
        <v>231</v>
      </c>
      <c r="J55" s="126" t="s">
        <v>192</v>
      </c>
      <c r="K55" s="126" t="s">
        <v>192</v>
      </c>
      <c r="L55" s="126" t="s">
        <v>2353</v>
      </c>
      <c r="M55" s="167"/>
      <c r="N55" s="126" t="s">
        <v>390</v>
      </c>
      <c r="O55" s="126" t="s">
        <v>391</v>
      </c>
      <c r="P55" s="126" t="s">
        <v>235</v>
      </c>
      <c r="Q55" s="181">
        <f>3097*2.4</f>
        <v>7432.7999999999993</v>
      </c>
      <c r="R55" s="181">
        <f>7450+100</f>
        <v>7550</v>
      </c>
      <c r="S55" s="181">
        <v>2531.9630000000002</v>
      </c>
      <c r="T55" s="181"/>
      <c r="X55" s="181">
        <f>S55</f>
        <v>2531.9630000000002</v>
      </c>
      <c r="AX55" s="165">
        <f t="shared" si="18"/>
        <v>45148.291666666664</v>
      </c>
      <c r="AY55" s="165">
        <f t="shared" si="19"/>
        <v>45160.958333333336</v>
      </c>
      <c r="AZ55" s="137">
        <f t="shared" si="20"/>
        <v>12.666666666671517</v>
      </c>
      <c r="BA55" s="165">
        <v>45148.291666666664</v>
      </c>
      <c r="BB55" s="165">
        <v>45149.576388888891</v>
      </c>
      <c r="BC55" s="165">
        <v>45151.416666666664</v>
      </c>
      <c r="BD55" s="165">
        <v>45153.1875</v>
      </c>
      <c r="BE55" s="165">
        <v>45153.409722222219</v>
      </c>
      <c r="BF55" s="165">
        <v>45153.416666666664</v>
      </c>
      <c r="BG55" s="165">
        <v>45153.416666666664</v>
      </c>
      <c r="BH55" s="165">
        <f t="shared" si="31"/>
        <v>45155.125</v>
      </c>
      <c r="BI55" s="210">
        <v>45155.25</v>
      </c>
      <c r="BJ55" s="210">
        <v>45155.416666608799</v>
      </c>
      <c r="BK55" s="165">
        <v>45155.284722222219</v>
      </c>
      <c r="BL55" s="165">
        <v>45158.53125</v>
      </c>
      <c r="BM55" s="165">
        <v>45160.291666666664</v>
      </c>
      <c r="BN55" s="165">
        <v>45160.402777777781</v>
      </c>
      <c r="BO55" s="165">
        <v>45160.423611111109</v>
      </c>
      <c r="BP55" s="165">
        <v>45160.729166666664</v>
      </c>
      <c r="BQ55" s="165">
        <v>45160.958333333336</v>
      </c>
      <c r="BT55" s="136">
        <f t="shared" si="21"/>
        <v>44.166666666569654</v>
      </c>
      <c r="BU55" s="136">
        <f t="shared" si="22"/>
        <v>5.3333333332557231</v>
      </c>
      <c r="BV55" s="136">
        <f t="shared" si="23"/>
        <v>41.000000000058208</v>
      </c>
      <c r="BW55" s="136">
        <f t="shared" si="29"/>
        <v>74.750001388834789</v>
      </c>
      <c r="BX55" s="135">
        <f t="shared" si="24"/>
        <v>2.6666666668024845</v>
      </c>
      <c r="BY55" s="135">
        <f t="shared" si="25"/>
        <v>5.5000000001164153</v>
      </c>
      <c r="BZ55" s="134">
        <f t="shared" si="26"/>
        <v>7.2256945023182197</v>
      </c>
      <c r="CA55" s="134">
        <f t="shared" si="27"/>
        <v>12.666666666671517</v>
      </c>
      <c r="CB55" s="133">
        <f t="shared" si="28"/>
        <v>0.57044956597227259</v>
      </c>
    </row>
    <row r="56" spans="1:80" s="126" customFormat="1">
      <c r="A56" s="192">
        <f t="shared" si="16"/>
        <v>45152.986111111109</v>
      </c>
      <c r="B56" s="126" t="s">
        <v>228</v>
      </c>
      <c r="C56" s="126" t="s">
        <v>229</v>
      </c>
      <c r="D56" s="126" t="s">
        <v>215</v>
      </c>
      <c r="E56" s="65" t="s">
        <v>628</v>
      </c>
      <c r="G56" s="316">
        <v>45148.791666666664</v>
      </c>
      <c r="H56" s="316">
        <v>45148.762499999997</v>
      </c>
      <c r="I56" s="126" t="s">
        <v>231</v>
      </c>
      <c r="J56" s="126" t="s">
        <v>192</v>
      </c>
      <c r="K56" s="126" t="s">
        <v>192</v>
      </c>
      <c r="L56" s="126" t="s">
        <v>2348</v>
      </c>
      <c r="M56" s="167"/>
      <c r="N56" s="126" t="s">
        <v>352</v>
      </c>
      <c r="O56" s="126" t="s">
        <v>353</v>
      </c>
      <c r="P56" s="126" t="s">
        <v>240</v>
      </c>
      <c r="Q56" s="181">
        <f>3852*2.4</f>
        <v>9244.7999999999993</v>
      </c>
      <c r="R56" s="181">
        <f>9250+100</f>
        <v>9350</v>
      </c>
      <c r="S56" s="181">
        <v>9277.8989999999994</v>
      </c>
      <c r="T56" s="181"/>
      <c r="Y56" s="181">
        <f>S56</f>
        <v>9277.8989999999994</v>
      </c>
      <c r="AX56" s="165">
        <f t="shared" si="18"/>
        <v>45149.229166666664</v>
      </c>
      <c r="AY56" s="165">
        <f t="shared" si="19"/>
        <v>45157.375</v>
      </c>
      <c r="AZ56" s="137">
        <f t="shared" si="20"/>
        <v>8.1458333333357587</v>
      </c>
      <c r="BA56" s="165">
        <v>45149.229166666664</v>
      </c>
      <c r="BB56" s="165">
        <v>45149.600694444445</v>
      </c>
      <c r="BC56" s="165">
        <v>45151.3125</v>
      </c>
      <c r="BD56" s="165">
        <v>45152.986111111109</v>
      </c>
      <c r="BE56" s="165">
        <v>45153.159722222219</v>
      </c>
      <c r="BF56" s="165">
        <v>45153.166666666664</v>
      </c>
      <c r="BG56" s="165">
        <v>45153.166666666664</v>
      </c>
      <c r="BH56" s="165">
        <f t="shared" si="31"/>
        <v>45154.875</v>
      </c>
      <c r="BI56" s="210">
        <v>45155.25</v>
      </c>
      <c r="BJ56" s="210">
        <v>45155.416666608799</v>
      </c>
      <c r="BK56" s="165">
        <v>45155.298611111109</v>
      </c>
      <c r="BL56" s="165">
        <v>45156.520833333336</v>
      </c>
      <c r="BM56" s="165">
        <v>45156.590277777781</v>
      </c>
      <c r="BN56" s="165">
        <v>45156.875</v>
      </c>
      <c r="BO56" s="165">
        <v>45156.916666666664</v>
      </c>
      <c r="BP56" s="165">
        <v>45156.166666666664</v>
      </c>
      <c r="BQ56" s="165">
        <v>45157.375</v>
      </c>
      <c r="BT56" s="136">
        <f t="shared" si="21"/>
        <v>41.083333333313931</v>
      </c>
      <c r="BU56" s="136">
        <f t="shared" si="22"/>
        <v>4.1666666666278616</v>
      </c>
      <c r="BV56" s="136">
        <f t="shared" si="23"/>
        <v>41.000000000058208</v>
      </c>
      <c r="BW56" s="136">
        <f t="shared" si="29"/>
        <v>26.500001388892997</v>
      </c>
      <c r="BX56" s="135">
        <f t="shared" si="24"/>
        <v>6.8333333332557231</v>
      </c>
      <c r="BY56" s="135">
        <f t="shared" si="25"/>
        <v>29.000000000058208</v>
      </c>
      <c r="BZ56" s="134">
        <f t="shared" si="26"/>
        <v>6.1909722800919553</v>
      </c>
      <c r="CA56" s="134">
        <f t="shared" si="27"/>
        <v>8.1458333333357587</v>
      </c>
      <c r="CB56" s="133">
        <f t="shared" si="28"/>
        <v>0.76001705740236669</v>
      </c>
    </row>
    <row r="57" spans="1:80" s="126" customFormat="1">
      <c r="A57" s="192">
        <f t="shared" si="16"/>
        <v>45154.509027777778</v>
      </c>
      <c r="B57" s="126" t="s">
        <v>228</v>
      </c>
      <c r="C57" s="126" t="s">
        <v>229</v>
      </c>
      <c r="D57" s="126" t="s">
        <v>197</v>
      </c>
      <c r="E57" s="65" t="s">
        <v>2361</v>
      </c>
      <c r="G57" s="316">
        <v>45151.166666666664</v>
      </c>
      <c r="H57" s="316">
        <v>45151.112500000003</v>
      </c>
      <c r="I57" s="126" t="s">
        <v>231</v>
      </c>
      <c r="J57" s="126" t="s">
        <v>192</v>
      </c>
      <c r="K57" s="126" t="s">
        <v>192</v>
      </c>
      <c r="L57" s="126" t="s">
        <v>2366</v>
      </c>
      <c r="M57" s="167"/>
      <c r="N57" s="126" t="s">
        <v>367</v>
      </c>
      <c r="O57" s="126" t="s">
        <v>368</v>
      </c>
      <c r="P57" s="126" t="s">
        <v>235</v>
      </c>
      <c r="Q57" s="181">
        <f>4111*2.4</f>
        <v>9866.4</v>
      </c>
      <c r="R57" s="181">
        <f>9900+100</f>
        <v>10000</v>
      </c>
      <c r="S57" s="181">
        <v>8286.9509999999991</v>
      </c>
      <c r="T57" s="181"/>
      <c r="X57" s="181">
        <f>S57</f>
        <v>8286.9509999999991</v>
      </c>
      <c r="AX57" s="165">
        <f t="shared" si="18"/>
        <v>45147.989583333336</v>
      </c>
      <c r="AY57" s="165">
        <f t="shared" si="19"/>
        <v>45159.836805555555</v>
      </c>
      <c r="AZ57" s="137">
        <f t="shared" si="20"/>
        <v>11.847222222218988</v>
      </c>
      <c r="BA57" s="165">
        <v>45147.989583333336</v>
      </c>
      <c r="BB57" s="165">
        <v>45149.8125</v>
      </c>
      <c r="BC57" s="165">
        <v>45151.534722222219</v>
      </c>
      <c r="BD57" s="165">
        <v>45154.509027777778</v>
      </c>
      <c r="BE57" s="165">
        <v>45154.638888888891</v>
      </c>
      <c r="BF57" s="165">
        <v>45154.645833333336</v>
      </c>
      <c r="BG57" s="165">
        <f>BF57+(0.5/24)</f>
        <v>45154.666666666672</v>
      </c>
      <c r="BH57" s="165">
        <f t="shared" si="31"/>
        <v>45156.375000000007</v>
      </c>
      <c r="BI57" s="210">
        <v>45157.25</v>
      </c>
      <c r="BJ57" s="210">
        <v>45157.416666608799</v>
      </c>
      <c r="BK57" s="165">
        <v>45157.375</v>
      </c>
      <c r="BL57" s="165">
        <v>45158.684027777781</v>
      </c>
      <c r="BM57" s="165">
        <v>45159.201388888891</v>
      </c>
      <c r="BN57" s="165">
        <v>45159.375</v>
      </c>
      <c r="BO57" s="165">
        <v>45159.402777777781</v>
      </c>
      <c r="BP57" s="165">
        <v>45159.645833333336</v>
      </c>
      <c r="BQ57" s="165">
        <v>45159.836805555555</v>
      </c>
      <c r="BT57" s="136">
        <f t="shared" si="21"/>
        <v>41.333333333255723</v>
      </c>
      <c r="BU57" s="136">
        <f t="shared" si="22"/>
        <v>3.1166666666977108</v>
      </c>
      <c r="BV57" s="136">
        <f t="shared" si="23"/>
        <v>41.000000000058208</v>
      </c>
      <c r="BW57" s="136">
        <f t="shared" si="29"/>
        <v>30.416668055579066</v>
      </c>
      <c r="BX57" s="135">
        <f t="shared" si="24"/>
        <v>4.1666666666278616</v>
      </c>
      <c r="BY57" s="135">
        <f t="shared" si="25"/>
        <v>4.5833333332557231</v>
      </c>
      <c r="BZ57" s="134">
        <f t="shared" si="26"/>
        <v>5.1923611689780955</v>
      </c>
      <c r="CA57" s="134">
        <f t="shared" si="27"/>
        <v>11.847222222218988</v>
      </c>
      <c r="CB57" s="133">
        <f t="shared" si="28"/>
        <v>0.43827667545899757</v>
      </c>
    </row>
    <row r="58" spans="1:80" s="126" customFormat="1">
      <c r="A58" s="192">
        <f t="shared" si="16"/>
        <v>45154.672222222223</v>
      </c>
      <c r="B58" s="126" t="s">
        <v>228</v>
      </c>
      <c r="C58" s="126" t="s">
        <v>229</v>
      </c>
      <c r="D58" s="126" t="s">
        <v>197</v>
      </c>
      <c r="E58" s="65" t="s">
        <v>2361</v>
      </c>
      <c r="G58" s="316">
        <v>45151.166666666664</v>
      </c>
      <c r="H58" s="316">
        <v>45151.112500000003</v>
      </c>
      <c r="I58" s="126" t="s">
        <v>231</v>
      </c>
      <c r="J58" s="126" t="s">
        <v>192</v>
      </c>
      <c r="K58" s="126" t="s">
        <v>192</v>
      </c>
      <c r="L58" s="126" t="s">
        <v>2368</v>
      </c>
      <c r="M58" s="167"/>
      <c r="N58" s="126" t="s">
        <v>489</v>
      </c>
      <c r="O58" s="126" t="s">
        <v>483</v>
      </c>
      <c r="P58" s="126" t="s">
        <v>240</v>
      </c>
      <c r="Q58" s="181">
        <f>3107*2.4</f>
        <v>7456.7999999999993</v>
      </c>
      <c r="R58" s="181">
        <f>7500+100</f>
        <v>7600</v>
      </c>
      <c r="S58" s="181">
        <v>7353.6350000000002</v>
      </c>
      <c r="T58" s="181"/>
      <c r="Y58" s="181">
        <f>S58</f>
        <v>7353.6350000000002</v>
      </c>
      <c r="AX58" s="165">
        <f t="shared" si="18"/>
        <v>45149.479166666664</v>
      </c>
      <c r="AY58" s="165">
        <f t="shared" si="19"/>
        <v>45160.146527777775</v>
      </c>
      <c r="AZ58" s="137">
        <f t="shared" si="20"/>
        <v>10.667361111110949</v>
      </c>
      <c r="BA58" s="165">
        <v>45149.479166666664</v>
      </c>
      <c r="BB58" s="165">
        <v>45150.628472222219</v>
      </c>
      <c r="BC58" s="165">
        <v>45152.291666666664</v>
      </c>
      <c r="BD58" s="165">
        <v>45154.672222222223</v>
      </c>
      <c r="BE58" s="165">
        <v>45154.940972222219</v>
      </c>
      <c r="BF58" s="165">
        <v>45154.944444444445</v>
      </c>
      <c r="BG58" s="165">
        <v>45155.253472222219</v>
      </c>
      <c r="BH58" s="165">
        <f t="shared" si="31"/>
        <v>45156.961805555555</v>
      </c>
      <c r="BI58" s="210">
        <v>45157.25</v>
      </c>
      <c r="BJ58" s="210">
        <v>45157.416666608799</v>
      </c>
      <c r="BK58" s="165">
        <v>45157.369444444441</v>
      </c>
      <c r="BL58" s="165">
        <v>45158.461805555555</v>
      </c>
      <c r="BM58" s="165">
        <v>45159.506944444445</v>
      </c>
      <c r="BN58" s="165">
        <v>45159.833333333336</v>
      </c>
      <c r="BO58" s="165">
        <v>45159.861111111109</v>
      </c>
      <c r="BP58" s="165">
        <v>45159.861111111109</v>
      </c>
      <c r="BQ58" s="165">
        <v>45160.146527777775</v>
      </c>
      <c r="BT58" s="136">
        <f t="shared" si="21"/>
        <v>39.916666666686069</v>
      </c>
      <c r="BU58" s="136">
        <f t="shared" si="22"/>
        <v>6.4499999998952262</v>
      </c>
      <c r="BV58" s="136">
        <f t="shared" si="23"/>
        <v>41.000000000058208</v>
      </c>
      <c r="BW58" s="136">
        <f t="shared" si="29"/>
        <v>25.08333472214872</v>
      </c>
      <c r="BX58" s="135">
        <f t="shared" si="24"/>
        <v>7.8333333333721384</v>
      </c>
      <c r="BY58" s="135">
        <f t="shared" si="25"/>
        <v>6.8499999999767169</v>
      </c>
      <c r="BZ58" s="134">
        <f t="shared" si="26"/>
        <v>5.2972222800890449</v>
      </c>
      <c r="CA58" s="134">
        <f t="shared" si="27"/>
        <v>10.667361111110949</v>
      </c>
      <c r="CB58" s="133">
        <f t="shared" si="28"/>
        <v>0.49658225918418986</v>
      </c>
    </row>
    <row r="59" spans="1:80" s="126" customFormat="1">
      <c r="A59" s="192">
        <f t="shared" si="16"/>
        <v>45154.958333333336</v>
      </c>
      <c r="B59" s="126" t="s">
        <v>228</v>
      </c>
      <c r="C59" s="126" t="s">
        <v>229</v>
      </c>
      <c r="D59" s="126" t="s">
        <v>215</v>
      </c>
      <c r="E59" s="65" t="s">
        <v>2361</v>
      </c>
      <c r="G59" s="316">
        <v>45151.166666666664</v>
      </c>
      <c r="H59" s="316">
        <v>45151.112500000003</v>
      </c>
      <c r="I59" s="126" t="s">
        <v>231</v>
      </c>
      <c r="J59" s="126" t="s">
        <v>192</v>
      </c>
      <c r="K59" s="126" t="s">
        <v>192</v>
      </c>
      <c r="L59" s="126" t="s">
        <v>2369</v>
      </c>
      <c r="M59" s="167"/>
      <c r="N59" s="126" t="s">
        <v>422</v>
      </c>
      <c r="O59" s="126" t="s">
        <v>375</v>
      </c>
      <c r="P59" s="126" t="s">
        <v>235</v>
      </c>
      <c r="Q59" s="181">
        <f>3097*2.4</f>
        <v>7432.7999999999993</v>
      </c>
      <c r="R59" s="181">
        <f>7450+100</f>
        <v>7550</v>
      </c>
      <c r="S59" s="181">
        <v>7329.7610000000004</v>
      </c>
      <c r="T59" s="181"/>
      <c r="X59" s="181">
        <f>S59</f>
        <v>7329.7610000000004</v>
      </c>
      <c r="AX59" s="165">
        <f t="shared" si="18"/>
        <v>45149.243055555555</v>
      </c>
      <c r="AY59" s="165">
        <f t="shared" si="19"/>
        <v>45160.434027777781</v>
      </c>
      <c r="AZ59" s="137">
        <f t="shared" si="20"/>
        <v>11.190972222226264</v>
      </c>
      <c r="BA59" s="165">
        <v>45149.243055555555</v>
      </c>
      <c r="BB59" s="165">
        <v>45150.524305555555</v>
      </c>
      <c r="BC59" s="165">
        <v>45152.333333333336</v>
      </c>
      <c r="BD59" s="165">
        <v>45154.958333333336</v>
      </c>
      <c r="BE59" s="165">
        <v>45155.104166666664</v>
      </c>
      <c r="BF59" s="165">
        <v>45155.107638888891</v>
      </c>
      <c r="BG59" s="165">
        <v>45155.291666666664</v>
      </c>
      <c r="BH59" s="165">
        <f t="shared" si="31"/>
        <v>45157</v>
      </c>
      <c r="BI59" s="210">
        <v>45157.25</v>
      </c>
      <c r="BJ59" s="210">
        <v>45157.416666608799</v>
      </c>
      <c r="BK59" s="165">
        <v>45157.444444444445</v>
      </c>
      <c r="BL59" s="165">
        <v>45158.677083333336</v>
      </c>
      <c r="BM59" s="165">
        <v>45160.010416666664</v>
      </c>
      <c r="BN59" s="165">
        <v>45160.069444444445</v>
      </c>
      <c r="BO59" s="165">
        <v>45160.09375</v>
      </c>
      <c r="BP59" s="165">
        <v>45160.25</v>
      </c>
      <c r="BQ59" s="165">
        <v>45160.434027777781</v>
      </c>
      <c r="BT59" s="136">
        <f t="shared" si="21"/>
        <v>43.416666666744277</v>
      </c>
      <c r="BU59" s="136">
        <f t="shared" si="22"/>
        <v>3.4999999998835847</v>
      </c>
      <c r="BV59" s="136">
        <f t="shared" si="23"/>
        <v>41.000000000058208</v>
      </c>
      <c r="BW59" s="136">
        <f t="shared" si="29"/>
        <v>30.250001388892997</v>
      </c>
      <c r="BX59" s="135">
        <f t="shared" si="24"/>
        <v>1.4166666667442769</v>
      </c>
      <c r="BY59" s="135">
        <f t="shared" si="25"/>
        <v>4.4166666667442769</v>
      </c>
      <c r="BZ59" s="134">
        <f t="shared" si="26"/>
        <v>5.1666667245444842</v>
      </c>
      <c r="CA59" s="134">
        <f t="shared" si="27"/>
        <v>11.190972222226264</v>
      </c>
      <c r="CB59" s="133">
        <f t="shared" si="28"/>
        <v>0.46168166821851503</v>
      </c>
    </row>
    <row r="60" spans="1:80" s="126" customFormat="1">
      <c r="A60" s="192">
        <f t="shared" si="16"/>
        <v>45156.065972222219</v>
      </c>
      <c r="B60" s="126" t="s">
        <v>228</v>
      </c>
      <c r="C60" s="126" t="s">
        <v>229</v>
      </c>
      <c r="D60" s="126" t="s">
        <v>215</v>
      </c>
      <c r="E60" s="65" t="s">
        <v>2199</v>
      </c>
      <c r="G60" s="165">
        <v>45156.625</v>
      </c>
      <c r="H60" s="165">
        <v>45156.616666666669</v>
      </c>
      <c r="I60" s="126" t="s">
        <v>231</v>
      </c>
      <c r="J60" s="126" t="s">
        <v>192</v>
      </c>
      <c r="K60" s="126" t="s">
        <v>192</v>
      </c>
      <c r="L60" s="126" t="s">
        <v>2380</v>
      </c>
      <c r="M60" s="167"/>
      <c r="N60" s="126" t="s">
        <v>399</v>
      </c>
      <c r="O60" s="126" t="s">
        <v>275</v>
      </c>
      <c r="P60" s="126" t="s">
        <v>2381</v>
      </c>
      <c r="Q60" s="181">
        <f>3097*2.4</f>
        <v>7432.7999999999993</v>
      </c>
      <c r="R60" s="181">
        <f>7450+100</f>
        <v>7550</v>
      </c>
      <c r="S60" s="181">
        <v>7627.4489999999996</v>
      </c>
      <c r="T60" s="181"/>
      <c r="U60" s="219"/>
      <c r="X60" s="181">
        <f t="shared" ref="X60:X66" si="32">S60*0.7</f>
        <v>5339.2142999999996</v>
      </c>
      <c r="Y60" s="181">
        <f t="shared" ref="Y60:Y66" si="33">S60*0.3</f>
        <v>2288.2347</v>
      </c>
      <c r="AX60" s="165">
        <f t="shared" si="18"/>
        <v>45148.885416666664</v>
      </c>
      <c r="AY60" s="165">
        <f t="shared" si="19"/>
        <v>45160.958333333336</v>
      </c>
      <c r="AZ60" s="137">
        <f t="shared" si="20"/>
        <v>12.072916666671517</v>
      </c>
      <c r="BA60" s="165">
        <v>45148.885416666664</v>
      </c>
      <c r="BB60" s="165">
        <v>45150.555555555555</v>
      </c>
      <c r="BC60" s="165">
        <v>45152.402777777781</v>
      </c>
      <c r="BD60" s="165">
        <v>45156.065972222219</v>
      </c>
      <c r="BE60" s="165">
        <v>45156.194444444445</v>
      </c>
      <c r="BF60" s="165">
        <v>45156.197916666664</v>
      </c>
      <c r="BG60" s="165">
        <v>45156.291666666664</v>
      </c>
      <c r="BH60" s="165">
        <f t="shared" si="31"/>
        <v>45158</v>
      </c>
      <c r="BI60" s="210">
        <v>45158.25</v>
      </c>
      <c r="BJ60" s="210">
        <v>45158.416666608799</v>
      </c>
      <c r="BK60" s="165">
        <v>45158.395833333336</v>
      </c>
      <c r="BL60" s="165">
        <v>45159.8125</v>
      </c>
      <c r="BM60" s="165">
        <v>45160.465277777781</v>
      </c>
      <c r="BN60" s="165">
        <v>45160.677083333336</v>
      </c>
      <c r="BO60" s="165">
        <v>45160.697916666664</v>
      </c>
      <c r="BP60" s="165">
        <v>45160.697916666664</v>
      </c>
      <c r="BQ60" s="165">
        <v>45160.958333333336</v>
      </c>
      <c r="BR60" s="126" t="s">
        <v>1863</v>
      </c>
      <c r="BT60" s="136">
        <f t="shared" si="21"/>
        <v>44.333333333430346</v>
      </c>
      <c r="BU60" s="136">
        <f t="shared" si="22"/>
        <v>3.0833333334303461</v>
      </c>
      <c r="BV60" s="136">
        <f t="shared" si="23"/>
        <v>41.000000000058208</v>
      </c>
      <c r="BW60" s="136">
        <f t="shared" si="29"/>
        <v>33.500001388834789</v>
      </c>
      <c r="BX60" s="135">
        <f t="shared" si="24"/>
        <v>5.0833333333139308</v>
      </c>
      <c r="BY60" s="135">
        <f t="shared" si="25"/>
        <v>6.2500000001164153</v>
      </c>
      <c r="BZ60" s="134">
        <f t="shared" si="26"/>
        <v>5.5520833912160015</v>
      </c>
      <c r="CA60" s="134">
        <f t="shared" si="27"/>
        <v>12.072916666671517</v>
      </c>
      <c r="CB60" s="133">
        <f t="shared" si="28"/>
        <v>0.4598792110064901</v>
      </c>
    </row>
    <row r="61" spans="1:80" s="126" customFormat="1">
      <c r="A61" s="192">
        <f t="shared" si="16"/>
        <v>45156.21875</v>
      </c>
      <c r="B61" s="126" t="s">
        <v>228</v>
      </c>
      <c r="C61" s="126" t="s">
        <v>229</v>
      </c>
      <c r="D61" s="126" t="s">
        <v>197</v>
      </c>
      <c r="E61" s="65" t="s">
        <v>2199</v>
      </c>
      <c r="G61" s="165">
        <v>45156.625</v>
      </c>
      <c r="H61" s="165">
        <v>45156.616666666669</v>
      </c>
      <c r="I61" s="126" t="s">
        <v>231</v>
      </c>
      <c r="J61" s="126" t="s">
        <v>192</v>
      </c>
      <c r="K61" s="126" t="s">
        <v>192</v>
      </c>
      <c r="L61" s="126" t="s">
        <v>2382</v>
      </c>
      <c r="M61" s="167"/>
      <c r="N61" s="126" t="s">
        <v>2277</v>
      </c>
      <c r="O61" s="126" t="s">
        <v>2278</v>
      </c>
      <c r="P61" s="126" t="s">
        <v>2381</v>
      </c>
      <c r="Q61" s="181">
        <f>3099 *2.4</f>
        <v>7437.5999999999995</v>
      </c>
      <c r="R61" s="181">
        <f>7500+100</f>
        <v>7600</v>
      </c>
      <c r="S61" s="181">
        <v>7522.4</v>
      </c>
      <c r="T61" s="181"/>
      <c r="X61" s="181">
        <f t="shared" si="32"/>
        <v>5265.6799999999994</v>
      </c>
      <c r="Y61" s="181">
        <f t="shared" si="33"/>
        <v>2256.7199999999998</v>
      </c>
      <c r="AX61" s="165">
        <f t="shared" si="18"/>
        <v>45149.370833333334</v>
      </c>
      <c r="AY61" s="165">
        <f t="shared" si="19"/>
        <v>45161.506944444445</v>
      </c>
      <c r="AZ61" s="137">
        <f t="shared" si="20"/>
        <v>12.136111111110949</v>
      </c>
      <c r="BA61" s="165">
        <v>45149.370833333334</v>
      </c>
      <c r="BB61" s="165">
        <v>45150.503472222219</v>
      </c>
      <c r="BC61" s="165">
        <v>45152.541666666664</v>
      </c>
      <c r="BD61" s="165">
        <v>45156.21875</v>
      </c>
      <c r="BE61" s="165">
        <v>45156.454861111109</v>
      </c>
      <c r="BF61" s="165">
        <v>45156.458333333336</v>
      </c>
      <c r="BG61" s="165">
        <v>45156.458333333336</v>
      </c>
      <c r="BH61" s="165">
        <f t="shared" si="31"/>
        <v>45158.166666666672</v>
      </c>
      <c r="BI61" s="210">
        <v>45158.25</v>
      </c>
      <c r="BJ61" s="210">
        <v>45158.416666608799</v>
      </c>
      <c r="BK61" s="165">
        <v>45158.357638888891</v>
      </c>
      <c r="BL61" s="165">
        <v>45159.75</v>
      </c>
      <c r="BM61" s="165">
        <v>45160.739583333336</v>
      </c>
      <c r="BN61" s="165">
        <v>45160.944444444445</v>
      </c>
      <c r="BO61" s="165">
        <v>45160.965277777781</v>
      </c>
      <c r="BP61" s="165">
        <v>45161.25</v>
      </c>
      <c r="BQ61" s="165">
        <v>45161.506944444445</v>
      </c>
      <c r="BT61" s="136">
        <f t="shared" si="21"/>
        <v>48.916666666686069</v>
      </c>
      <c r="BU61" s="136">
        <f t="shared" si="22"/>
        <v>5.6666666666278616</v>
      </c>
      <c r="BV61" s="136">
        <f t="shared" si="23"/>
        <v>41.000000000058208</v>
      </c>
      <c r="BW61" s="136">
        <f t="shared" si="29"/>
        <v>32.000001388834789</v>
      </c>
      <c r="BX61" s="135">
        <f t="shared" si="24"/>
        <v>4.9166666666278616</v>
      </c>
      <c r="BY61" s="135">
        <f t="shared" si="25"/>
        <v>6.1666666666860692</v>
      </c>
      <c r="BZ61" s="134">
        <f t="shared" si="26"/>
        <v>5.7777778356467024</v>
      </c>
      <c r="CA61" s="134">
        <f t="shared" si="27"/>
        <v>12.136111111110949</v>
      </c>
      <c r="CB61" s="133">
        <f t="shared" si="28"/>
        <v>0.4760814879452599</v>
      </c>
    </row>
    <row r="62" spans="1:80" s="126" customFormat="1">
      <c r="A62" s="192">
        <f t="shared" si="16"/>
        <v>45156.482638888891</v>
      </c>
      <c r="B62" s="126" t="s">
        <v>228</v>
      </c>
      <c r="C62" s="126" t="s">
        <v>229</v>
      </c>
      <c r="D62" s="126" t="s">
        <v>197</v>
      </c>
      <c r="E62" s="65" t="s">
        <v>2199</v>
      </c>
      <c r="G62" s="165">
        <v>45156.625</v>
      </c>
      <c r="H62" s="165">
        <v>45156.616666666669</v>
      </c>
      <c r="I62" s="126" t="s">
        <v>231</v>
      </c>
      <c r="J62" s="126" t="s">
        <v>192</v>
      </c>
      <c r="K62" s="126" t="s">
        <v>192</v>
      </c>
      <c r="L62" s="126" t="s">
        <v>2383</v>
      </c>
      <c r="M62" s="167"/>
      <c r="N62" s="126" t="s">
        <v>334</v>
      </c>
      <c r="O62" s="126" t="s">
        <v>335</v>
      </c>
      <c r="P62" s="126" t="s">
        <v>2381</v>
      </c>
      <c r="Q62" s="181">
        <f>3242 *2.4</f>
        <v>7780.7999999999993</v>
      </c>
      <c r="R62" s="181">
        <f>7800+100</f>
        <v>7900</v>
      </c>
      <c r="S62" s="181">
        <v>7854.1620000000003</v>
      </c>
      <c r="T62" s="181"/>
      <c r="X62" s="181">
        <f t="shared" si="32"/>
        <v>5497.9133999999995</v>
      </c>
      <c r="Y62" s="181">
        <f t="shared" si="33"/>
        <v>2356.2485999999999</v>
      </c>
      <c r="AX62" s="165">
        <f t="shared" si="18"/>
        <v>45149.125</v>
      </c>
      <c r="AY62" s="165">
        <f t="shared" si="19"/>
        <v>45161.604166666664</v>
      </c>
      <c r="AZ62" s="137">
        <f t="shared" si="20"/>
        <v>12.479166666664241</v>
      </c>
      <c r="BA62" s="165">
        <v>45149.125</v>
      </c>
      <c r="BB62" s="165">
        <v>45150.5</v>
      </c>
      <c r="BC62" s="165">
        <v>45152.541666666664</v>
      </c>
      <c r="BD62" s="165">
        <v>45156.482638888891</v>
      </c>
      <c r="BE62" s="165">
        <v>45156.640277777777</v>
      </c>
      <c r="BF62" s="165">
        <v>45156.645833333336</v>
      </c>
      <c r="BG62" s="165">
        <v>45156.645833333336</v>
      </c>
      <c r="BH62" s="165">
        <f t="shared" si="31"/>
        <v>45158.354166666672</v>
      </c>
      <c r="BI62" s="210">
        <v>45158.25</v>
      </c>
      <c r="BJ62" s="210">
        <v>45158.416666608799</v>
      </c>
      <c r="BK62" s="165">
        <v>45158.361111111109</v>
      </c>
      <c r="BL62" s="165">
        <v>45159.6875</v>
      </c>
      <c r="BM62" s="165">
        <v>45161.006944444445</v>
      </c>
      <c r="BN62" s="165">
        <v>45161.236111111109</v>
      </c>
      <c r="BO62" s="165">
        <v>45161.256944444445</v>
      </c>
      <c r="BP62" s="165">
        <v>45161.256944444445</v>
      </c>
      <c r="BQ62" s="165">
        <v>45161.604166666664</v>
      </c>
      <c r="BT62" s="136">
        <f t="shared" si="21"/>
        <v>48.999999999941792</v>
      </c>
      <c r="BU62" s="136">
        <f t="shared" si="22"/>
        <v>3.7833333332673647</v>
      </c>
      <c r="BV62" s="136">
        <f t="shared" si="23"/>
        <v>41.000000000058208</v>
      </c>
      <c r="BW62" s="136">
        <f t="shared" si="29"/>
        <v>30.500001388834789</v>
      </c>
      <c r="BX62" s="135">
        <f t="shared" si="24"/>
        <v>5.4999999999417923</v>
      </c>
      <c r="BY62" s="135">
        <f t="shared" si="25"/>
        <v>8.3333333332557231</v>
      </c>
      <c r="BZ62" s="134">
        <f t="shared" si="26"/>
        <v>5.7548611689708196</v>
      </c>
      <c r="CA62" s="134">
        <f t="shared" si="27"/>
        <v>12.479166666664241</v>
      </c>
      <c r="CB62" s="133">
        <f t="shared" si="28"/>
        <v>0.46115748933331058</v>
      </c>
    </row>
    <row r="63" spans="1:80" s="126" customFormat="1">
      <c r="A63" s="192">
        <f t="shared" si="16"/>
        <v>45156.46875</v>
      </c>
      <c r="B63" s="126" t="s">
        <v>228</v>
      </c>
      <c r="C63" s="126" t="s">
        <v>229</v>
      </c>
      <c r="D63" s="126" t="s">
        <v>197</v>
      </c>
      <c r="E63" s="65" t="s">
        <v>2199</v>
      </c>
      <c r="G63" s="165">
        <v>45156.625</v>
      </c>
      <c r="H63" s="165">
        <v>45156.616666666669</v>
      </c>
      <c r="I63" s="126" t="s">
        <v>231</v>
      </c>
      <c r="J63" s="126" t="s">
        <v>192</v>
      </c>
      <c r="K63" s="126" t="s">
        <v>192</v>
      </c>
      <c r="L63" s="126" t="s">
        <v>2384</v>
      </c>
      <c r="M63" s="167"/>
      <c r="N63" s="126" t="s">
        <v>213</v>
      </c>
      <c r="O63" s="126" t="s">
        <v>214</v>
      </c>
      <c r="P63" s="126" t="s">
        <v>2381</v>
      </c>
      <c r="Q63" s="181">
        <f>3113*2.4</f>
        <v>7471.2</v>
      </c>
      <c r="R63" s="181">
        <f>7500+100</f>
        <v>7600</v>
      </c>
      <c r="S63" s="181">
        <v>7589.9889999999996</v>
      </c>
      <c r="T63" s="181"/>
      <c r="X63" s="181">
        <f t="shared" si="32"/>
        <v>5312.992299999999</v>
      </c>
      <c r="Y63" s="181">
        <f t="shared" si="33"/>
        <v>2276.9966999999997</v>
      </c>
      <c r="AX63" s="165">
        <f t="shared" si="18"/>
        <v>45148.402777777781</v>
      </c>
      <c r="AY63" s="165">
        <f t="shared" si="19"/>
        <v>45161.944444444445</v>
      </c>
      <c r="AZ63" s="137">
        <f t="shared" si="20"/>
        <v>13.541666666664241</v>
      </c>
      <c r="BA63" s="165">
        <v>45148.402777777781</v>
      </c>
      <c r="BB63" s="165">
        <v>45150.777777777781</v>
      </c>
      <c r="BC63" s="165">
        <v>45152.569444444445</v>
      </c>
      <c r="BD63" s="165">
        <v>45156.46875</v>
      </c>
      <c r="BE63" s="165">
        <v>45156.861111111109</v>
      </c>
      <c r="BF63" s="165">
        <v>45156.875</v>
      </c>
      <c r="BG63" s="165">
        <v>45156.875</v>
      </c>
      <c r="BH63" s="165">
        <f t="shared" si="31"/>
        <v>45158.583333333336</v>
      </c>
      <c r="BI63" s="210">
        <v>45159.25</v>
      </c>
      <c r="BJ63" s="210">
        <v>45159.416666608799</v>
      </c>
      <c r="BK63" s="165">
        <v>45159.434027777781</v>
      </c>
      <c r="BL63" s="165">
        <v>45160.809027777781</v>
      </c>
      <c r="BM63" s="165">
        <v>45161.298611111109</v>
      </c>
      <c r="BN63" s="165">
        <v>45161.59375</v>
      </c>
      <c r="BO63" s="165">
        <v>45161.614583333336</v>
      </c>
      <c r="BP63" s="165">
        <v>45161.756944444445</v>
      </c>
      <c r="BQ63" s="165">
        <v>45161.944444444445</v>
      </c>
      <c r="BT63" s="136">
        <f t="shared" si="21"/>
        <v>42.999999999941792</v>
      </c>
      <c r="BU63" s="136">
        <f t="shared" si="22"/>
        <v>9.4166666666278616</v>
      </c>
      <c r="BV63" s="136">
        <f t="shared" si="23"/>
        <v>41.000000000058208</v>
      </c>
      <c r="BW63" s="136">
        <f t="shared" si="29"/>
        <v>33.416668055579066</v>
      </c>
      <c r="BX63" s="135">
        <f t="shared" si="24"/>
        <v>7.0833333333721384</v>
      </c>
      <c r="BY63" s="135">
        <f t="shared" si="25"/>
        <v>4.5</v>
      </c>
      <c r="BZ63" s="134">
        <f t="shared" si="26"/>
        <v>5.7673611689824611</v>
      </c>
      <c r="CA63" s="134">
        <f t="shared" si="27"/>
        <v>13.541666666664241</v>
      </c>
      <c r="CB63" s="133">
        <f t="shared" si="28"/>
        <v>0.42589744017108877</v>
      </c>
    </row>
    <row r="64" spans="1:80" s="126" customFormat="1">
      <c r="A64" s="192">
        <f t="shared" si="16"/>
        <v>45156.899305555555</v>
      </c>
      <c r="B64" s="126" t="s">
        <v>228</v>
      </c>
      <c r="C64" s="126" t="s">
        <v>229</v>
      </c>
      <c r="D64" s="126" t="s">
        <v>197</v>
      </c>
      <c r="E64" s="65" t="s">
        <v>2199</v>
      </c>
      <c r="G64" s="165">
        <v>45156.625</v>
      </c>
      <c r="H64" s="165">
        <v>45156.616666666669</v>
      </c>
      <c r="I64" s="126" t="s">
        <v>231</v>
      </c>
      <c r="J64" s="126" t="s">
        <v>192</v>
      </c>
      <c r="K64" s="126" t="s">
        <v>192</v>
      </c>
      <c r="L64" s="126" t="s">
        <v>2385</v>
      </c>
      <c r="M64" s="167"/>
      <c r="N64" s="126" t="s">
        <v>1483</v>
      </c>
      <c r="O64" s="126" t="s">
        <v>258</v>
      </c>
      <c r="P64" s="126" t="s">
        <v>2381</v>
      </c>
      <c r="Q64" s="181">
        <f>3139*2.4</f>
        <v>7533.5999999999995</v>
      </c>
      <c r="R64" s="181">
        <f>7550+100</f>
        <v>7650</v>
      </c>
      <c r="S64" s="181">
        <v>7612.7439999999997</v>
      </c>
      <c r="T64" s="181"/>
      <c r="X64" s="181">
        <f t="shared" si="32"/>
        <v>5328.9207999999999</v>
      </c>
      <c r="Y64" s="181">
        <f t="shared" si="33"/>
        <v>2283.8231999999998</v>
      </c>
      <c r="AX64" s="165">
        <f t="shared" si="18"/>
        <v>45149.819444444445</v>
      </c>
      <c r="AY64" s="165">
        <f t="shared" si="19"/>
        <v>45162.559027777781</v>
      </c>
      <c r="AZ64" s="137">
        <f t="shared" si="20"/>
        <v>12.739583333335759</v>
      </c>
      <c r="BA64" s="165">
        <v>45149.819444444445</v>
      </c>
      <c r="BB64" s="165">
        <v>45151.770833333336</v>
      </c>
      <c r="BC64" s="165">
        <v>45153.708333333336</v>
      </c>
      <c r="BD64" s="165">
        <v>45156.899305555555</v>
      </c>
      <c r="BE64" s="165">
        <v>45157.017361111109</v>
      </c>
      <c r="BF64" s="165">
        <v>45157.024305555555</v>
      </c>
      <c r="BG64" s="165">
        <v>45157.024305555555</v>
      </c>
      <c r="BH64" s="165">
        <f t="shared" si="31"/>
        <v>45158.732638888891</v>
      </c>
      <c r="BI64" s="210">
        <v>45159.25</v>
      </c>
      <c r="BJ64" s="210">
        <v>45159.416666608799</v>
      </c>
      <c r="BK64" s="165">
        <v>45159.291666666664</v>
      </c>
      <c r="BL64" s="165">
        <v>45161.0625</v>
      </c>
      <c r="BM64" s="165">
        <v>45161.65625</v>
      </c>
      <c r="BN64" s="165">
        <v>45161.895833333336</v>
      </c>
      <c r="BO64" s="165">
        <v>45161.916666666664</v>
      </c>
      <c r="BP64" s="165">
        <v>45162.041666666664</v>
      </c>
      <c r="BQ64" s="165">
        <v>45162.559027777781</v>
      </c>
      <c r="BT64" s="136">
        <f t="shared" si="21"/>
        <v>46.5</v>
      </c>
      <c r="BU64" s="136">
        <f t="shared" si="22"/>
        <v>2.8333333333139308</v>
      </c>
      <c r="BV64" s="136">
        <f t="shared" si="23"/>
        <v>41.000000000058208</v>
      </c>
      <c r="BW64" s="136">
        <f t="shared" si="29"/>
        <v>39.500001388834789</v>
      </c>
      <c r="BX64" s="135">
        <f t="shared" si="24"/>
        <v>5.7500000000582077</v>
      </c>
      <c r="BY64" s="135">
        <f t="shared" si="25"/>
        <v>12.416666666802485</v>
      </c>
      <c r="BZ64" s="134">
        <f t="shared" si="26"/>
        <v>6.1666667245444842</v>
      </c>
      <c r="CA64" s="134">
        <f t="shared" si="27"/>
        <v>12.739583333335759</v>
      </c>
      <c r="CB64" s="133">
        <f t="shared" si="28"/>
        <v>0.48405560552425003</v>
      </c>
    </row>
    <row r="65" spans="1:80" s="126" customFormat="1">
      <c r="A65" s="192">
        <f t="shared" si="16"/>
        <v>45157.059027777781</v>
      </c>
      <c r="B65" s="126" t="s">
        <v>228</v>
      </c>
      <c r="C65" s="126" t="s">
        <v>229</v>
      </c>
      <c r="D65" s="126" t="s">
        <v>215</v>
      </c>
      <c r="E65" s="65" t="s">
        <v>2199</v>
      </c>
      <c r="G65" s="165">
        <v>45156.625</v>
      </c>
      <c r="H65" s="165">
        <v>45156.616666666669</v>
      </c>
      <c r="I65" s="126" t="s">
        <v>231</v>
      </c>
      <c r="J65" s="126" t="s">
        <v>192</v>
      </c>
      <c r="K65" s="126" t="s">
        <v>192</v>
      </c>
      <c r="L65" s="126" t="s">
        <v>2386</v>
      </c>
      <c r="M65" s="167"/>
      <c r="N65" s="126" t="s">
        <v>1230</v>
      </c>
      <c r="O65" s="126" t="s">
        <v>1231</v>
      </c>
      <c r="P65" s="126" t="s">
        <v>2381</v>
      </c>
      <c r="Q65" s="181">
        <f>3107*2.4</f>
        <v>7456.7999999999993</v>
      </c>
      <c r="R65" s="181">
        <f>7500+100</f>
        <v>7600</v>
      </c>
      <c r="S65" s="181">
        <v>7536.6589999999997</v>
      </c>
      <c r="T65" s="181"/>
      <c r="X65" s="181">
        <f t="shared" si="32"/>
        <v>5275.6612999999998</v>
      </c>
      <c r="Y65" s="181">
        <f t="shared" si="33"/>
        <v>2260.9976999999999</v>
      </c>
      <c r="AX65" s="165">
        <f t="shared" si="18"/>
        <v>45150.895833333336</v>
      </c>
      <c r="AY65" s="165">
        <f t="shared" si="19"/>
        <v>45162.555555555555</v>
      </c>
      <c r="AZ65" s="137">
        <f t="shared" si="20"/>
        <v>11.659722222218988</v>
      </c>
      <c r="BA65" s="165">
        <v>45150.895833333336</v>
      </c>
      <c r="BB65" s="165">
        <v>45152.517361111109</v>
      </c>
      <c r="BC65" s="165">
        <v>45154.5</v>
      </c>
      <c r="BD65" s="165">
        <v>45157.059027777781</v>
      </c>
      <c r="BE65" s="165">
        <v>45157.204861111109</v>
      </c>
      <c r="BF65" s="165">
        <v>45157.211805555555</v>
      </c>
      <c r="BG65" s="165">
        <v>45157.211805555555</v>
      </c>
      <c r="BH65" s="165">
        <f t="shared" si="31"/>
        <v>45158.920138888891</v>
      </c>
      <c r="BI65" s="165">
        <v>45159.25</v>
      </c>
      <c r="BJ65" s="165">
        <v>45159.416666608799</v>
      </c>
      <c r="BK65" s="165">
        <v>45159.270833333336</v>
      </c>
      <c r="BL65" s="165">
        <v>45160.479166666664</v>
      </c>
      <c r="BM65" s="165">
        <v>45161.958333333336</v>
      </c>
      <c r="BN65" s="165">
        <v>45162.208333333336</v>
      </c>
      <c r="BO65" s="165">
        <v>45162.229166666664</v>
      </c>
      <c r="BP65" s="165">
        <v>45162.229166666664</v>
      </c>
      <c r="BQ65" s="165">
        <v>45162.555555555555</v>
      </c>
      <c r="BT65" s="136">
        <f t="shared" si="21"/>
        <v>47.583333333372138</v>
      </c>
      <c r="BU65" s="136">
        <f t="shared" si="22"/>
        <v>3.4999999998835847</v>
      </c>
      <c r="BV65" s="136">
        <f t="shared" si="23"/>
        <v>41.000000000058208</v>
      </c>
      <c r="BW65" s="136">
        <f t="shared" si="29"/>
        <v>25.500001388776582</v>
      </c>
      <c r="BX65" s="135">
        <f t="shared" si="24"/>
        <v>6</v>
      </c>
      <c r="BY65" s="135">
        <f t="shared" si="25"/>
        <v>7.8333333333721384</v>
      </c>
      <c r="BZ65" s="134">
        <f t="shared" si="26"/>
        <v>5.4756945023109438</v>
      </c>
      <c r="CA65" s="134">
        <f t="shared" si="27"/>
        <v>11.659722222218988</v>
      </c>
      <c r="CB65" s="133">
        <f t="shared" si="28"/>
        <v>0.46962478161583954</v>
      </c>
    </row>
    <row r="66" spans="1:80" s="126" customFormat="1">
      <c r="A66" s="192">
        <f t="shared" si="16"/>
        <v>45157.239583333336</v>
      </c>
      <c r="B66" s="126" t="s">
        <v>228</v>
      </c>
      <c r="C66" s="126" t="s">
        <v>229</v>
      </c>
      <c r="D66" s="126" t="s">
        <v>197</v>
      </c>
      <c r="E66" s="65" t="s">
        <v>2199</v>
      </c>
      <c r="G66" s="165">
        <v>45156.625</v>
      </c>
      <c r="H66" s="165">
        <v>45156.616666666669</v>
      </c>
      <c r="I66" s="126" t="s">
        <v>231</v>
      </c>
      <c r="J66" s="126" t="s">
        <v>192</v>
      </c>
      <c r="K66" s="126" t="s">
        <v>192</v>
      </c>
      <c r="L66" s="126" t="s">
        <v>2387</v>
      </c>
      <c r="M66" s="167"/>
      <c r="N66" s="126" t="s">
        <v>2388</v>
      </c>
      <c r="O66" s="126" t="s">
        <v>289</v>
      </c>
      <c r="P66" s="126" t="s">
        <v>2381</v>
      </c>
      <c r="Q66" s="181">
        <f>3107*2.4</f>
        <v>7456.7999999999993</v>
      </c>
      <c r="R66" s="181">
        <f>7500+100</f>
        <v>7600</v>
      </c>
      <c r="S66" s="181">
        <v>7257.3779999999997</v>
      </c>
      <c r="T66" s="181"/>
      <c r="X66" s="181">
        <f t="shared" si="32"/>
        <v>5080.1645999999992</v>
      </c>
      <c r="Y66" s="181">
        <f t="shared" si="33"/>
        <v>2177.2133999999996</v>
      </c>
      <c r="AX66" s="165">
        <f t="shared" si="18"/>
        <v>45150.979166666664</v>
      </c>
      <c r="AY66" s="165">
        <f t="shared" si="19"/>
        <v>45163.059027777781</v>
      </c>
      <c r="AZ66" s="137">
        <f t="shared" si="20"/>
        <v>12.07986111111677</v>
      </c>
      <c r="BA66" s="165">
        <v>45150.979166666664</v>
      </c>
      <c r="BB66" s="165">
        <v>45152.84375</v>
      </c>
      <c r="BC66" s="165">
        <v>45154.517361111109</v>
      </c>
      <c r="BD66" s="165">
        <v>45157.239583333336</v>
      </c>
      <c r="BE66" s="165">
        <v>45157.458333333336</v>
      </c>
      <c r="BF66" s="165">
        <v>45157.461805555555</v>
      </c>
      <c r="BG66" s="165">
        <v>45157.461805555555</v>
      </c>
      <c r="BH66" s="165">
        <f t="shared" si="31"/>
        <v>45159.170138888891</v>
      </c>
      <c r="BI66" s="210">
        <v>45159.25</v>
      </c>
      <c r="BJ66" s="210">
        <v>45159.416666608799</v>
      </c>
      <c r="BK66" s="165">
        <v>45159.364583333336</v>
      </c>
      <c r="BL66" s="165">
        <v>45160.416666666664</v>
      </c>
      <c r="BM66" s="165">
        <v>45162.270833333328</v>
      </c>
      <c r="BN66" s="165">
        <v>45162.739583333336</v>
      </c>
      <c r="BO66" s="165">
        <v>45162.791666666664</v>
      </c>
      <c r="BP66" s="165">
        <v>45162.791666666664</v>
      </c>
      <c r="BQ66" s="165">
        <v>45163.059027777781</v>
      </c>
      <c r="BT66" s="136">
        <f t="shared" si="21"/>
        <v>40.166666666627862</v>
      </c>
      <c r="BU66" s="136">
        <f t="shared" si="22"/>
        <v>5.25</v>
      </c>
      <c r="BV66" s="136">
        <f t="shared" si="23"/>
        <v>41.000000000058208</v>
      </c>
      <c r="BW66" s="136">
        <f t="shared" si="29"/>
        <v>24.000001388776582</v>
      </c>
      <c r="BX66" s="135">
        <f t="shared" si="24"/>
        <v>11.250000000174623</v>
      </c>
      <c r="BY66" s="135">
        <f t="shared" si="25"/>
        <v>6.4166666668024845</v>
      </c>
      <c r="BZ66" s="134">
        <f t="shared" si="26"/>
        <v>5.3368056134349899</v>
      </c>
      <c r="CA66" s="134">
        <f t="shared" si="27"/>
        <v>12.07986111111677</v>
      </c>
      <c r="CB66" s="133">
        <f t="shared" si="28"/>
        <v>0.44179362364718511</v>
      </c>
    </row>
    <row r="67" spans="1:80" s="126" customFormat="1">
      <c r="A67" s="192"/>
      <c r="D67" s="126" t="s">
        <v>197</v>
      </c>
      <c r="E67" s="65"/>
      <c r="G67" s="166"/>
      <c r="H67" s="166"/>
      <c r="J67" s="126" t="s">
        <v>2693</v>
      </c>
      <c r="L67" s="126" t="s">
        <v>2694</v>
      </c>
      <c r="M67" s="167"/>
      <c r="N67" s="126" t="s">
        <v>1799</v>
      </c>
      <c r="O67" s="126" t="s">
        <v>268</v>
      </c>
      <c r="Q67" s="181">
        <f>3142*2.4</f>
        <v>7540.7999999999993</v>
      </c>
      <c r="R67" s="181">
        <f>7550+100</f>
        <v>7650</v>
      </c>
      <c r="S67" s="181">
        <v>7550</v>
      </c>
      <c r="T67" s="181"/>
      <c r="AX67" s="165">
        <f t="shared" si="18"/>
        <v>45133.006944444445</v>
      </c>
      <c r="AY67" s="165">
        <f t="shared" si="19"/>
        <v>45159.363888888889</v>
      </c>
      <c r="AZ67" s="137">
        <f t="shared" si="20"/>
        <v>26.356944444443798</v>
      </c>
      <c r="BA67" s="165">
        <v>45133.006944444445</v>
      </c>
      <c r="BB67" s="166" t="s">
        <v>196</v>
      </c>
      <c r="BC67" s="166" t="s">
        <v>196</v>
      </c>
      <c r="BD67" s="166" t="s">
        <v>196</v>
      </c>
      <c r="BE67" s="166" t="s">
        <v>196</v>
      </c>
      <c r="BF67" s="166" t="s">
        <v>196</v>
      </c>
      <c r="BG67" s="166" t="s">
        <v>196</v>
      </c>
      <c r="BH67" s="166" t="s">
        <v>196</v>
      </c>
      <c r="BI67" s="166" t="s">
        <v>196</v>
      </c>
      <c r="BJ67" s="166" t="s">
        <v>196</v>
      </c>
      <c r="BK67" s="166" t="s">
        <v>196</v>
      </c>
      <c r="BL67" s="166" t="s">
        <v>196</v>
      </c>
      <c r="BM67" s="166" t="s">
        <v>196</v>
      </c>
      <c r="BN67" s="166" t="s">
        <v>196</v>
      </c>
      <c r="BO67" s="166" t="s">
        <v>196</v>
      </c>
      <c r="BP67" s="166" t="s">
        <v>196</v>
      </c>
      <c r="BQ67" s="165">
        <v>45159.363888888889</v>
      </c>
      <c r="BR67" s="126" t="s">
        <v>2695</v>
      </c>
      <c r="BT67" s="136" t="e">
        <f t="shared" si="21"/>
        <v>#VALUE!</v>
      </c>
      <c r="BU67" s="136" t="e">
        <f t="shared" si="22"/>
        <v>#VALUE!</v>
      </c>
      <c r="BV67" s="136" t="e">
        <f t="shared" si="23"/>
        <v>#VALUE!</v>
      </c>
      <c r="BW67" s="136" t="e">
        <f t="shared" si="29"/>
        <v>#VALUE!</v>
      </c>
      <c r="BX67" s="135" t="e">
        <f t="shared" si="24"/>
        <v>#VALUE!</v>
      </c>
      <c r="BY67" s="135" t="e">
        <f t="shared" si="25"/>
        <v>#VALUE!</v>
      </c>
      <c r="BZ67" s="134" t="e">
        <f t="shared" si="26"/>
        <v>#VALUE!</v>
      </c>
      <c r="CA67" s="134">
        <f t="shared" si="27"/>
        <v>26.356944444443798</v>
      </c>
      <c r="CB67" s="133" t="e">
        <f t="shared" si="28"/>
        <v>#VALUE!</v>
      </c>
    </row>
    <row r="68" spans="1:80" s="126" customFormat="1">
      <c r="A68" s="192">
        <f t="shared" ref="A68:A99" si="34">BD68</f>
        <v>45155.822916666664</v>
      </c>
      <c r="B68" s="126" t="s">
        <v>228</v>
      </c>
      <c r="C68" s="126" t="s">
        <v>229</v>
      </c>
      <c r="D68" s="126" t="s">
        <v>197</v>
      </c>
      <c r="E68" s="65" t="s">
        <v>2361</v>
      </c>
      <c r="G68" s="316">
        <v>45151.166666666664</v>
      </c>
      <c r="H68" s="316">
        <v>45151.112500000003</v>
      </c>
      <c r="I68" s="126" t="s">
        <v>231</v>
      </c>
      <c r="J68" s="126" t="s">
        <v>192</v>
      </c>
      <c r="K68" s="126" t="s">
        <v>192</v>
      </c>
      <c r="L68" s="126" t="s">
        <v>2370</v>
      </c>
      <c r="M68" s="167"/>
      <c r="N68" s="126" t="s">
        <v>284</v>
      </c>
      <c r="O68" s="126" t="s">
        <v>285</v>
      </c>
      <c r="P68" s="126" t="s">
        <v>235</v>
      </c>
      <c r="Q68" s="181">
        <f>3852*2.4</f>
        <v>9244.7999999999993</v>
      </c>
      <c r="R68" s="181">
        <f>9250+100</f>
        <v>9350</v>
      </c>
      <c r="S68" s="181">
        <f>9179.852-1581.91</f>
        <v>7597.9420000000009</v>
      </c>
      <c r="T68" s="181"/>
      <c r="X68" s="181">
        <f>S68</f>
        <v>7597.9420000000009</v>
      </c>
      <c r="Y68" s="181"/>
      <c r="AX68" s="165">
        <f t="shared" ref="AX68:AX99" si="35">BA68</f>
        <v>45150.118055555555</v>
      </c>
      <c r="AY68" s="165">
        <f t="shared" ref="AY68:AY99" si="36">BQ68</f>
        <v>45160.395833333336</v>
      </c>
      <c r="AZ68" s="137">
        <f t="shared" ref="AZ68:AZ99" si="37">AY68-AX68</f>
        <v>10.277777777781012</v>
      </c>
      <c r="BA68" s="165">
        <v>45150.118055555555</v>
      </c>
      <c r="BB68" s="165">
        <v>45153.520833333336</v>
      </c>
      <c r="BC68" s="165">
        <v>45154.958333333336</v>
      </c>
      <c r="BD68" s="165">
        <v>45155.822916666664</v>
      </c>
      <c r="BE68" s="165">
        <v>45156.024305555555</v>
      </c>
      <c r="BF68" s="165">
        <v>45156.027777777781</v>
      </c>
      <c r="BG68" s="165">
        <v>45156.027777777781</v>
      </c>
      <c r="BH68" s="165">
        <f t="shared" ref="BH68:BH102" si="38">BG68+(41/24)</f>
        <v>45157.736111111117</v>
      </c>
      <c r="BI68" s="210">
        <v>45158.25</v>
      </c>
      <c r="BJ68" s="210">
        <v>45158.416666608799</v>
      </c>
      <c r="BK68" s="165">
        <v>45158.357638888891</v>
      </c>
      <c r="BL68" s="165">
        <v>45159.666666666664</v>
      </c>
      <c r="BM68" s="165">
        <v>45160.118055555555</v>
      </c>
      <c r="BN68" s="165">
        <v>45160.361111111109</v>
      </c>
      <c r="BO68" s="165">
        <v>45160.395833333336</v>
      </c>
      <c r="BP68" s="165">
        <v>45160.395833333336</v>
      </c>
      <c r="BQ68" s="165">
        <v>45160.395833333336</v>
      </c>
      <c r="BT68" s="136">
        <f t="shared" ref="BT68:BT99" si="39">(BC68-BB68)*24</f>
        <v>34.5</v>
      </c>
      <c r="BU68" s="136">
        <f t="shared" ref="BU68:BU99" si="40">(BE68-BD68)*24</f>
        <v>4.8333333333721384</v>
      </c>
      <c r="BV68" s="136">
        <f t="shared" ref="BV68:BV99" si="41">(BH68-BG68)*24</f>
        <v>41.000000000058208</v>
      </c>
      <c r="BW68" s="136">
        <f t="shared" si="29"/>
        <v>30.000001388776582</v>
      </c>
      <c r="BX68" s="135">
        <f t="shared" ref="BX68:BX99" si="42">(BN68-BM68)*24</f>
        <v>5.8333333333139308</v>
      </c>
      <c r="BY68" s="135">
        <f t="shared" ref="BY68:BY99" si="43">(BQ68-BP68)*24</f>
        <v>0</v>
      </c>
      <c r="BZ68" s="134">
        <f t="shared" ref="BZ68:BZ99" si="44">SUM(BT68:BY68)/24</f>
        <v>4.8402778356467024</v>
      </c>
      <c r="CA68" s="134">
        <f t="shared" ref="CA68:CA99" si="45">AZ68</f>
        <v>10.277777777781012</v>
      </c>
      <c r="CB68" s="133">
        <f t="shared" ref="CB68:CB99" si="46">BZ68/CA68</f>
        <v>0.47094595157628771</v>
      </c>
    </row>
    <row r="69" spans="1:80" s="126" customFormat="1">
      <c r="A69" s="192">
        <f t="shared" si="34"/>
        <v>45155.822916666664</v>
      </c>
      <c r="B69" s="126" t="s">
        <v>228</v>
      </c>
      <c r="C69" s="126" t="s">
        <v>229</v>
      </c>
      <c r="D69" s="126" t="s">
        <v>197</v>
      </c>
      <c r="E69" s="65" t="s">
        <v>2199</v>
      </c>
      <c r="G69" s="165">
        <v>45156.625</v>
      </c>
      <c r="H69" s="165">
        <v>45156.616666666669</v>
      </c>
      <c r="I69" s="126" t="s">
        <v>231</v>
      </c>
      <c r="J69" s="126" t="s">
        <v>192</v>
      </c>
      <c r="K69" s="126" t="s">
        <v>192</v>
      </c>
      <c r="L69" s="126" t="s">
        <v>2370</v>
      </c>
      <c r="M69" s="167"/>
      <c r="N69" s="126" t="s">
        <v>284</v>
      </c>
      <c r="O69" s="126" t="s">
        <v>285</v>
      </c>
      <c r="P69" s="126" t="s">
        <v>235</v>
      </c>
      <c r="Q69" s="181">
        <f>3852*2.4</f>
        <v>9244.7999999999993</v>
      </c>
      <c r="R69" s="181">
        <f>9250+100</f>
        <v>9350</v>
      </c>
      <c r="S69" s="181">
        <v>1260.71</v>
      </c>
      <c r="T69" s="181"/>
      <c r="X69" s="181">
        <f>S69</f>
        <v>1260.71</v>
      </c>
      <c r="Y69" s="181">
        <f>S69*0.3</f>
        <v>378.21300000000002</v>
      </c>
      <c r="AX69" s="165">
        <f t="shared" si="35"/>
        <v>45150.118055555555</v>
      </c>
      <c r="AY69" s="165">
        <f t="shared" si="36"/>
        <v>45164.0625</v>
      </c>
      <c r="AZ69" s="137">
        <f t="shared" si="37"/>
        <v>13.944444444445253</v>
      </c>
      <c r="BA69" s="165">
        <v>45150.118055555555</v>
      </c>
      <c r="BB69" s="165">
        <v>45153.520833333336</v>
      </c>
      <c r="BC69" s="165">
        <v>45154.958333333336</v>
      </c>
      <c r="BD69" s="165">
        <v>45155.822916666664</v>
      </c>
      <c r="BE69" s="165">
        <v>45156.024305555555</v>
      </c>
      <c r="BF69" s="165">
        <v>45156.027777777781</v>
      </c>
      <c r="BG69" s="165">
        <v>45156.027777777781</v>
      </c>
      <c r="BH69" s="165">
        <f t="shared" si="38"/>
        <v>45157.736111111117</v>
      </c>
      <c r="BI69" s="210">
        <v>45158.25</v>
      </c>
      <c r="BJ69" s="210">
        <v>45158.416666608799</v>
      </c>
      <c r="BK69" s="165">
        <v>45158.357638888891</v>
      </c>
      <c r="BL69" s="165">
        <v>45160.395833333336</v>
      </c>
      <c r="BM69" s="165">
        <v>45163.46875</v>
      </c>
      <c r="BN69" s="165">
        <v>45163.520833333336</v>
      </c>
      <c r="BO69" s="165">
        <v>45163.541666666664</v>
      </c>
      <c r="BP69" s="165">
        <v>45163.75</v>
      </c>
      <c r="BQ69" s="165">
        <v>45164.0625</v>
      </c>
      <c r="BT69" s="136">
        <f t="shared" si="39"/>
        <v>34.5</v>
      </c>
      <c r="BU69" s="136">
        <f t="shared" si="40"/>
        <v>4.8333333333721384</v>
      </c>
      <c r="BV69" s="136">
        <f t="shared" si="41"/>
        <v>41.000000000058208</v>
      </c>
      <c r="BW69" s="136">
        <f t="shared" si="29"/>
        <v>47.500001388892997</v>
      </c>
      <c r="BX69" s="135">
        <f t="shared" si="42"/>
        <v>1.2500000000582077</v>
      </c>
      <c r="BY69" s="135">
        <f t="shared" si="43"/>
        <v>7.5</v>
      </c>
      <c r="BZ69" s="134">
        <f t="shared" si="44"/>
        <v>5.6909722800992313</v>
      </c>
      <c r="CA69" s="134">
        <f t="shared" si="45"/>
        <v>13.944444444445253</v>
      </c>
      <c r="CB69" s="133">
        <f t="shared" si="46"/>
        <v>0.40811753403099693</v>
      </c>
    </row>
    <row r="70" spans="1:80" s="126" customFormat="1">
      <c r="A70" s="192">
        <f t="shared" si="34"/>
        <v>45157.847222222219</v>
      </c>
      <c r="B70" s="126" t="s">
        <v>228</v>
      </c>
      <c r="C70" s="126" t="s">
        <v>229</v>
      </c>
      <c r="D70" s="126" t="s">
        <v>197</v>
      </c>
      <c r="E70" s="65" t="s">
        <v>2199</v>
      </c>
      <c r="G70" s="165">
        <v>45156.625</v>
      </c>
      <c r="H70" s="165">
        <v>45156.616666666669</v>
      </c>
      <c r="I70" s="126" t="s">
        <v>231</v>
      </c>
      <c r="J70" s="126" t="s">
        <v>192</v>
      </c>
      <c r="K70" s="126" t="s">
        <v>192</v>
      </c>
      <c r="L70" s="126" t="s">
        <v>2389</v>
      </c>
      <c r="M70" s="167"/>
      <c r="N70" s="126" t="s">
        <v>1313</v>
      </c>
      <c r="O70" s="126" t="s">
        <v>438</v>
      </c>
      <c r="P70" s="126" t="s">
        <v>2381</v>
      </c>
      <c r="Q70" s="181">
        <f>3136*2.4</f>
        <v>7526.4</v>
      </c>
      <c r="R70" s="181">
        <f>7550+100</f>
        <v>7650</v>
      </c>
      <c r="S70" s="181">
        <v>7524.8140000000003</v>
      </c>
      <c r="T70" s="181"/>
      <c r="X70" s="181">
        <f>S70*0.7</f>
        <v>5267.3697999999995</v>
      </c>
      <c r="Y70" s="181">
        <f>S70*0.3</f>
        <v>2257.4441999999999</v>
      </c>
      <c r="AX70" s="165">
        <f t="shared" si="35"/>
        <v>45148.729166666664</v>
      </c>
      <c r="AY70" s="165">
        <f t="shared" si="36"/>
        <v>45163.729166666664</v>
      </c>
      <c r="AZ70" s="137">
        <f t="shared" si="37"/>
        <v>15</v>
      </c>
      <c r="BA70" s="165">
        <v>45148.729166666664</v>
      </c>
      <c r="BB70" s="165">
        <v>45153.597222222219</v>
      </c>
      <c r="BC70" s="165">
        <v>45155.555555555555</v>
      </c>
      <c r="BD70" s="165">
        <v>45157.847222222219</v>
      </c>
      <c r="BE70" s="165">
        <v>45157.972222222219</v>
      </c>
      <c r="BF70" s="165">
        <v>45157.975694444445</v>
      </c>
      <c r="BG70" s="165">
        <v>45157.975694444445</v>
      </c>
      <c r="BH70" s="165">
        <f t="shared" si="38"/>
        <v>45159.684027777781</v>
      </c>
      <c r="BI70" s="210">
        <v>45160.25</v>
      </c>
      <c r="BJ70" s="210">
        <v>45160.416666608799</v>
      </c>
      <c r="BK70" s="165">
        <v>45160.305555555555</v>
      </c>
      <c r="BL70" s="165">
        <v>45161.708333333336</v>
      </c>
      <c r="BM70" s="165">
        <v>45162.833333333328</v>
      </c>
      <c r="BN70" s="165">
        <v>45163.375</v>
      </c>
      <c r="BO70" s="165">
        <v>45163.395833333336</v>
      </c>
      <c r="BP70" s="165">
        <v>45163.395833333336</v>
      </c>
      <c r="BQ70" s="165">
        <v>45163.729166666664</v>
      </c>
      <c r="BT70" s="136">
        <f t="shared" si="39"/>
        <v>47.000000000058208</v>
      </c>
      <c r="BU70" s="136">
        <f t="shared" si="40"/>
        <v>3</v>
      </c>
      <c r="BV70" s="136">
        <f t="shared" si="41"/>
        <v>41.000000000058208</v>
      </c>
      <c r="BW70" s="136">
        <f t="shared" si="29"/>
        <v>31.000001388892997</v>
      </c>
      <c r="BX70" s="135">
        <f t="shared" si="42"/>
        <v>13.000000000116415</v>
      </c>
      <c r="BY70" s="135">
        <f t="shared" si="43"/>
        <v>7.9999999998835847</v>
      </c>
      <c r="BZ70" s="134">
        <f t="shared" si="44"/>
        <v>5.9583333912087255</v>
      </c>
      <c r="CA70" s="134">
        <f t="shared" si="45"/>
        <v>15</v>
      </c>
      <c r="CB70" s="133">
        <f t="shared" si="46"/>
        <v>0.39722222608058172</v>
      </c>
    </row>
    <row r="71" spans="1:80" s="126" customFormat="1">
      <c r="A71" s="192">
        <f t="shared" si="34"/>
        <v>45158</v>
      </c>
      <c r="B71" s="126" t="s">
        <v>228</v>
      </c>
      <c r="C71" s="126" t="s">
        <v>229</v>
      </c>
      <c r="D71" s="126" t="s">
        <v>197</v>
      </c>
      <c r="E71" s="65" t="s">
        <v>2199</v>
      </c>
      <c r="G71" s="165">
        <v>45156.625</v>
      </c>
      <c r="H71" s="165">
        <v>45156.616666666669</v>
      </c>
      <c r="I71" s="126" t="s">
        <v>231</v>
      </c>
      <c r="J71" s="126" t="s">
        <v>192</v>
      </c>
      <c r="K71" s="126" t="s">
        <v>192</v>
      </c>
      <c r="L71" s="126" t="s">
        <v>2390</v>
      </c>
      <c r="M71" s="167"/>
      <c r="N71" s="126" t="s">
        <v>346</v>
      </c>
      <c r="O71" s="126" t="s">
        <v>347</v>
      </c>
      <c r="P71" s="126" t="s">
        <v>235</v>
      </c>
      <c r="Q71" s="181">
        <f>3136*2.4</f>
        <v>7526.4</v>
      </c>
      <c r="R71" s="181">
        <f>7550+100</f>
        <v>7650</v>
      </c>
      <c r="S71" s="181">
        <f>7436.225-212.329</f>
        <v>7223.8960000000006</v>
      </c>
      <c r="T71" s="181"/>
      <c r="X71" s="181">
        <f>S71</f>
        <v>7223.8960000000006</v>
      </c>
      <c r="AX71" s="165">
        <f t="shared" si="35"/>
        <v>45151.536805555559</v>
      </c>
      <c r="AY71" s="165">
        <f t="shared" si="36"/>
        <v>45165.09652777778</v>
      </c>
      <c r="AZ71" s="137">
        <f t="shared" si="37"/>
        <v>13.559722222220444</v>
      </c>
      <c r="BA71" s="165">
        <v>45151.536805555559</v>
      </c>
      <c r="BB71" s="165">
        <v>45153.791666666664</v>
      </c>
      <c r="BC71" s="165">
        <v>45155.638888888891</v>
      </c>
      <c r="BD71" s="165">
        <v>45158</v>
      </c>
      <c r="BE71" s="165">
        <v>45158.128472222219</v>
      </c>
      <c r="BF71" s="165">
        <v>45158.135416666664</v>
      </c>
      <c r="BG71" s="165">
        <v>45158.135416666664</v>
      </c>
      <c r="BH71" s="165">
        <f t="shared" si="38"/>
        <v>45159.84375</v>
      </c>
      <c r="BI71" s="210">
        <v>45160.25</v>
      </c>
      <c r="BJ71" s="210">
        <v>45160.416666608799</v>
      </c>
      <c r="BK71" s="165">
        <v>45160.28125</v>
      </c>
      <c r="BL71" s="165">
        <v>45161.625</v>
      </c>
      <c r="BM71" s="165">
        <v>45164.09375</v>
      </c>
      <c r="BN71" s="165">
        <v>45164.645833333336</v>
      </c>
      <c r="BO71" s="165">
        <v>45164.677083333336</v>
      </c>
      <c r="BP71" s="165">
        <v>45164.677083333336</v>
      </c>
      <c r="BQ71" s="165">
        <v>45165.09652777778</v>
      </c>
      <c r="BT71" s="136">
        <f t="shared" si="39"/>
        <v>44.333333333430346</v>
      </c>
      <c r="BU71" s="136">
        <f t="shared" si="40"/>
        <v>3.0833333332557231</v>
      </c>
      <c r="BV71" s="136">
        <f t="shared" si="41"/>
        <v>41.000000000058208</v>
      </c>
      <c r="BW71" s="136">
        <f t="shared" ref="BW71:BW102" si="47">(BL71-BJ71)*24</f>
        <v>29.000001388834789</v>
      </c>
      <c r="BX71" s="135">
        <f t="shared" si="42"/>
        <v>13.250000000058208</v>
      </c>
      <c r="BY71" s="135">
        <f t="shared" si="43"/>
        <v>10.066666666651145</v>
      </c>
      <c r="BZ71" s="134">
        <f t="shared" si="44"/>
        <v>5.8638889467620174</v>
      </c>
      <c r="CA71" s="134">
        <f t="shared" si="45"/>
        <v>13.559722222220444</v>
      </c>
      <c r="CB71" s="133">
        <f t="shared" si="46"/>
        <v>0.43244904657064492</v>
      </c>
    </row>
    <row r="72" spans="1:80" s="126" customFormat="1">
      <c r="A72" s="192">
        <f t="shared" si="34"/>
        <v>45159.086805555555</v>
      </c>
      <c r="B72" s="126" t="s">
        <v>228</v>
      </c>
      <c r="C72" s="126" t="s">
        <v>229</v>
      </c>
      <c r="D72" s="126" t="s">
        <v>215</v>
      </c>
      <c r="E72" s="65" t="s">
        <v>2392</v>
      </c>
      <c r="G72" s="316">
        <v>45159.354166666664</v>
      </c>
      <c r="H72" s="316">
        <v>45159.354166666664</v>
      </c>
      <c r="I72" s="126" t="s">
        <v>231</v>
      </c>
      <c r="J72" s="126" t="s">
        <v>192</v>
      </c>
      <c r="K72" s="126" t="s">
        <v>192</v>
      </c>
      <c r="L72" s="126" t="s">
        <v>2397</v>
      </c>
      <c r="M72" s="167"/>
      <c r="N72" s="126" t="s">
        <v>343</v>
      </c>
      <c r="O72" s="126" t="s">
        <v>344</v>
      </c>
      <c r="P72" s="126" t="s">
        <v>235</v>
      </c>
      <c r="Q72" s="181">
        <f>3136*2.4</f>
        <v>7526.4</v>
      </c>
      <c r="R72" s="181">
        <f>7550+100</f>
        <v>7650</v>
      </c>
      <c r="S72" s="181">
        <v>7545.1180000000004</v>
      </c>
      <c r="T72" s="181"/>
      <c r="X72" s="181">
        <f>S72</f>
        <v>7545.1180000000004</v>
      </c>
      <c r="AX72" s="165">
        <f t="shared" si="35"/>
        <v>45153.333333333336</v>
      </c>
      <c r="AY72" s="165">
        <f t="shared" si="36"/>
        <v>45166.3125</v>
      </c>
      <c r="AZ72" s="137">
        <f t="shared" si="37"/>
        <v>12.979166666664241</v>
      </c>
      <c r="BA72" s="165">
        <v>45153.333333333336</v>
      </c>
      <c r="BB72" s="165">
        <v>45154.604166666664</v>
      </c>
      <c r="BC72" s="165">
        <v>45156.145833333336</v>
      </c>
      <c r="BD72" s="165">
        <v>45159.086805555555</v>
      </c>
      <c r="BE72" s="165">
        <v>45159.253472222219</v>
      </c>
      <c r="BF72" s="165">
        <v>45159.260416666664</v>
      </c>
      <c r="BG72" s="165">
        <v>45159.260416666664</v>
      </c>
      <c r="BH72" s="165">
        <f t="shared" si="38"/>
        <v>45160.96875</v>
      </c>
      <c r="BI72" s="210">
        <v>45161.25</v>
      </c>
      <c r="BJ72" s="210">
        <v>45161.416666608799</v>
      </c>
      <c r="BK72" s="165">
        <v>45161.288194444445</v>
      </c>
      <c r="BL72" s="165">
        <v>45162.375</v>
      </c>
      <c r="BM72" s="165">
        <v>45165.625</v>
      </c>
      <c r="BN72" s="165">
        <v>45165.90625</v>
      </c>
      <c r="BO72" s="165">
        <v>45165.927083333336</v>
      </c>
      <c r="BP72" s="165">
        <v>45165.927083333336</v>
      </c>
      <c r="BQ72" s="165">
        <v>45166.3125</v>
      </c>
      <c r="BT72" s="136">
        <f t="shared" si="39"/>
        <v>37.000000000116415</v>
      </c>
      <c r="BU72" s="136">
        <f t="shared" si="40"/>
        <v>3.9999999999417923</v>
      </c>
      <c r="BV72" s="136">
        <f t="shared" si="41"/>
        <v>41.000000000058208</v>
      </c>
      <c r="BW72" s="136">
        <f t="shared" si="47"/>
        <v>23.000001388834789</v>
      </c>
      <c r="BX72" s="135">
        <f t="shared" si="42"/>
        <v>6.75</v>
      </c>
      <c r="BY72" s="135">
        <f t="shared" si="43"/>
        <v>9.2499999999417923</v>
      </c>
      <c r="BZ72" s="134">
        <f t="shared" si="44"/>
        <v>5.0416667245372082</v>
      </c>
      <c r="CA72" s="134">
        <f t="shared" si="45"/>
        <v>12.979166666664241</v>
      </c>
      <c r="CB72" s="133">
        <f t="shared" si="46"/>
        <v>0.38844302211529891</v>
      </c>
    </row>
    <row r="73" spans="1:80" s="126" customFormat="1">
      <c r="A73" s="192">
        <f t="shared" si="34"/>
        <v>45160.916666666664</v>
      </c>
      <c r="B73" s="126" t="s">
        <v>228</v>
      </c>
      <c r="C73" s="126" t="s">
        <v>229</v>
      </c>
      <c r="D73" s="126" t="s">
        <v>197</v>
      </c>
      <c r="E73" s="65" t="s">
        <v>2605</v>
      </c>
      <c r="G73" s="165">
        <v>45164.5</v>
      </c>
      <c r="H73" s="165">
        <v>45164.5</v>
      </c>
      <c r="I73" s="126" t="s">
        <v>243</v>
      </c>
      <c r="J73" s="126" t="s">
        <v>192</v>
      </c>
      <c r="K73" s="126" t="s">
        <v>192</v>
      </c>
      <c r="L73" s="126" t="s">
        <v>2696</v>
      </c>
      <c r="M73" s="167"/>
      <c r="N73" s="126" t="s">
        <v>249</v>
      </c>
      <c r="O73" s="126" t="s">
        <v>2315</v>
      </c>
      <c r="P73" s="126" t="s">
        <v>235</v>
      </c>
      <c r="Q73" s="181">
        <f>3139*2.4</f>
        <v>7533.5999999999995</v>
      </c>
      <c r="R73" s="181">
        <f>7550+100</f>
        <v>7650</v>
      </c>
      <c r="S73" s="181">
        <v>6941.0259999999998</v>
      </c>
      <c r="T73" s="181"/>
      <c r="X73" s="181">
        <f>S73</f>
        <v>6941.0259999999998</v>
      </c>
      <c r="AX73" s="165">
        <f t="shared" si="35"/>
        <v>45154.013888888891</v>
      </c>
      <c r="AY73" s="165">
        <f t="shared" si="36"/>
        <v>45166.222222222219</v>
      </c>
      <c r="AZ73" s="137">
        <f t="shared" si="37"/>
        <v>12.208333333328483</v>
      </c>
      <c r="BA73" s="165">
        <v>45154.013888888891</v>
      </c>
      <c r="BB73" s="165">
        <v>45154.763888888891</v>
      </c>
      <c r="BC73" s="165">
        <v>45156.4375</v>
      </c>
      <c r="BD73" s="165">
        <v>45160.916666666664</v>
      </c>
      <c r="BE73" s="165">
        <v>45161.0625</v>
      </c>
      <c r="BF73" s="165">
        <v>45161.069444444445</v>
      </c>
      <c r="BG73" s="165">
        <v>45161.069444444445</v>
      </c>
      <c r="BH73" s="165">
        <f t="shared" si="38"/>
        <v>45162.777777777781</v>
      </c>
      <c r="BI73" s="210">
        <v>45163.25</v>
      </c>
      <c r="BJ73" s="210">
        <v>45163.416666608799</v>
      </c>
      <c r="BK73" s="165">
        <v>45163.302777777775</v>
      </c>
      <c r="BL73" s="165">
        <v>45164.916666666664</v>
      </c>
      <c r="BM73" s="165">
        <v>45165.489583333336</v>
      </c>
      <c r="BN73" s="165">
        <v>45165.704861111109</v>
      </c>
      <c r="BO73" s="165">
        <v>45165.743055555555</v>
      </c>
      <c r="BP73" s="165">
        <v>45165.746527777781</v>
      </c>
      <c r="BQ73" s="165">
        <v>45166.222222222219</v>
      </c>
      <c r="BT73" s="136">
        <f t="shared" si="39"/>
        <v>40.166666666627862</v>
      </c>
      <c r="BU73" s="136">
        <f t="shared" si="40"/>
        <v>3.5000000000582077</v>
      </c>
      <c r="BV73" s="136">
        <f t="shared" si="41"/>
        <v>41.000000000058208</v>
      </c>
      <c r="BW73" s="136">
        <f t="shared" si="47"/>
        <v>36.000001388776582</v>
      </c>
      <c r="BX73" s="135">
        <f t="shared" si="42"/>
        <v>5.1666666665696539</v>
      </c>
      <c r="BY73" s="135">
        <f t="shared" si="43"/>
        <v>11.416666666511446</v>
      </c>
      <c r="BZ73" s="134">
        <f t="shared" si="44"/>
        <v>5.7187500578584149</v>
      </c>
      <c r="CA73" s="134">
        <f t="shared" si="45"/>
        <v>12.208333333328483</v>
      </c>
      <c r="CB73" s="133">
        <f t="shared" si="46"/>
        <v>0.46843003886913476</v>
      </c>
    </row>
    <row r="74" spans="1:80" s="126" customFormat="1">
      <c r="A74" s="192">
        <f t="shared" si="34"/>
        <v>45161.09375</v>
      </c>
      <c r="B74" s="126" t="s">
        <v>228</v>
      </c>
      <c r="C74" s="126" t="s">
        <v>229</v>
      </c>
      <c r="D74" s="126" t="s">
        <v>197</v>
      </c>
      <c r="E74" s="65" t="s">
        <v>2605</v>
      </c>
      <c r="G74" s="165">
        <v>45164.5</v>
      </c>
      <c r="H74" s="165">
        <v>45164.5</v>
      </c>
      <c r="I74" s="126" t="s">
        <v>243</v>
      </c>
      <c r="J74" s="126" t="s">
        <v>192</v>
      </c>
      <c r="K74" s="126" t="s">
        <v>192</v>
      </c>
      <c r="L74" s="126" t="s">
        <v>2697</v>
      </c>
      <c r="M74" s="167"/>
      <c r="N74" s="126" t="s">
        <v>473</v>
      </c>
      <c r="O74" s="126" t="s">
        <v>474</v>
      </c>
      <c r="P74" s="126" t="s">
        <v>235</v>
      </c>
      <c r="Q74" s="181">
        <f>3136*2.4</f>
        <v>7526.4</v>
      </c>
      <c r="R74" s="181">
        <f>7550+100</f>
        <v>7650</v>
      </c>
      <c r="S74" s="181">
        <v>7240.9189999999999</v>
      </c>
      <c r="T74" s="181"/>
      <c r="X74" s="181">
        <f>S74</f>
        <v>7240.9189999999999</v>
      </c>
      <c r="AX74" s="165">
        <f t="shared" si="35"/>
        <v>45155.333333333336</v>
      </c>
      <c r="AY74" s="165">
        <f t="shared" si="36"/>
        <v>45166.291666666664</v>
      </c>
      <c r="AZ74" s="137">
        <f t="shared" si="37"/>
        <v>10.958333333328483</v>
      </c>
      <c r="BA74" s="165">
        <v>45155.333333333336</v>
      </c>
      <c r="BB74" s="165">
        <v>45155.798611111109</v>
      </c>
      <c r="BC74" s="165">
        <v>45157.347222222219</v>
      </c>
      <c r="BD74" s="165">
        <v>45161.09375</v>
      </c>
      <c r="BE74" s="165">
        <v>45161.243055555555</v>
      </c>
      <c r="BF74" s="165">
        <v>45161.25</v>
      </c>
      <c r="BG74" s="165">
        <v>45161.25</v>
      </c>
      <c r="BH74" s="165">
        <f t="shared" si="38"/>
        <v>45162.958333333336</v>
      </c>
      <c r="BI74" s="210">
        <v>45163.25</v>
      </c>
      <c r="BJ74" s="210">
        <v>45163.416666608799</v>
      </c>
      <c r="BK74" s="165">
        <v>45163.3125</v>
      </c>
      <c r="BL74" s="165">
        <v>45164.763888888891</v>
      </c>
      <c r="BM74" s="165">
        <v>45165.006944444445</v>
      </c>
      <c r="BN74" s="165">
        <v>45165.277777777781</v>
      </c>
      <c r="BO74" s="165">
        <v>45165.423611111109</v>
      </c>
      <c r="BP74" s="165">
        <v>45165.760416666664</v>
      </c>
      <c r="BQ74" s="165">
        <v>45166.291666666664</v>
      </c>
      <c r="BT74" s="136">
        <f t="shared" si="39"/>
        <v>37.166666666627862</v>
      </c>
      <c r="BU74" s="136">
        <f t="shared" si="40"/>
        <v>3.5833333333139308</v>
      </c>
      <c r="BV74" s="136">
        <f t="shared" si="41"/>
        <v>41.000000000058208</v>
      </c>
      <c r="BW74" s="136">
        <f t="shared" si="47"/>
        <v>32.333334722206928</v>
      </c>
      <c r="BX74" s="135">
        <f t="shared" si="42"/>
        <v>6.5000000000582077</v>
      </c>
      <c r="BY74" s="135">
        <f t="shared" si="43"/>
        <v>12.75</v>
      </c>
      <c r="BZ74" s="134">
        <f t="shared" si="44"/>
        <v>5.555555613427714</v>
      </c>
      <c r="CA74" s="134">
        <f t="shared" si="45"/>
        <v>10.958333333328483</v>
      </c>
      <c r="CB74" s="133">
        <f t="shared" si="46"/>
        <v>0.50697085445750634</v>
      </c>
    </row>
    <row r="75" spans="1:80" s="126" customFormat="1">
      <c r="A75" s="192">
        <f t="shared" si="34"/>
        <v>45161.979166666664</v>
      </c>
      <c r="B75" s="126" t="s">
        <v>228</v>
      </c>
      <c r="C75" s="126" t="s">
        <v>229</v>
      </c>
      <c r="D75" s="285" t="s">
        <v>1248</v>
      </c>
      <c r="E75" s="65" t="s">
        <v>1827</v>
      </c>
      <c r="G75" s="316">
        <v>45159.447916666664</v>
      </c>
      <c r="H75" s="316">
        <v>45159.404166666667</v>
      </c>
      <c r="I75" s="126" t="s">
        <v>231</v>
      </c>
      <c r="J75" s="126" t="s">
        <v>192</v>
      </c>
      <c r="K75" s="126" t="s">
        <v>192</v>
      </c>
      <c r="L75" s="126" t="s">
        <v>2410</v>
      </c>
      <c r="M75" s="167"/>
      <c r="N75" s="126" t="s">
        <v>2325</v>
      </c>
      <c r="O75" s="126" t="s">
        <v>2326</v>
      </c>
      <c r="P75" s="126" t="s">
        <v>240</v>
      </c>
      <c r="Q75" s="181">
        <f>3103 *2.4</f>
        <v>7447.2</v>
      </c>
      <c r="R75" s="181">
        <f>7450+100</f>
        <v>7550</v>
      </c>
      <c r="S75" s="181">
        <v>7102.1480000000001</v>
      </c>
      <c r="T75" s="181"/>
      <c r="Y75" s="181">
        <f t="shared" ref="Y75:Y83" si="48">S75</f>
        <v>7102.1480000000001</v>
      </c>
      <c r="AX75" s="165">
        <f t="shared" si="35"/>
        <v>45155.083333333336</v>
      </c>
      <c r="AY75" s="165">
        <f t="shared" si="36"/>
        <v>45167.055555555555</v>
      </c>
      <c r="AZ75" s="137">
        <f t="shared" si="37"/>
        <v>11.972222222218988</v>
      </c>
      <c r="BA75" s="165">
        <v>45155.083333333336</v>
      </c>
      <c r="BB75" s="165">
        <v>45156.614583333336</v>
      </c>
      <c r="BC75" s="165">
        <v>45158.916666666664</v>
      </c>
      <c r="BD75" s="165">
        <v>45161.979166666664</v>
      </c>
      <c r="BE75" s="165">
        <v>45162.152777777781</v>
      </c>
      <c r="BF75" s="165">
        <v>45162.159722222219</v>
      </c>
      <c r="BG75" s="165">
        <v>45162.159722222219</v>
      </c>
      <c r="BH75" s="165">
        <f t="shared" si="38"/>
        <v>45163.868055555555</v>
      </c>
      <c r="BI75" s="210">
        <v>45164.25</v>
      </c>
      <c r="BJ75" s="210">
        <v>45164.416666608799</v>
      </c>
      <c r="BK75" s="165">
        <v>45164.399305555555</v>
      </c>
      <c r="BL75" s="165">
        <v>45166.083333333336</v>
      </c>
      <c r="BM75" s="165">
        <v>45166.770833333336</v>
      </c>
      <c r="BN75" s="165">
        <v>45167.034722222219</v>
      </c>
      <c r="BO75" s="165">
        <v>45167.055555555555</v>
      </c>
      <c r="BP75" s="165">
        <v>45167.055555555555</v>
      </c>
      <c r="BQ75" s="165">
        <v>45167.055555555555</v>
      </c>
      <c r="BT75" s="136">
        <f t="shared" si="39"/>
        <v>55.249999999883585</v>
      </c>
      <c r="BU75" s="136">
        <f t="shared" si="40"/>
        <v>4.1666666668024845</v>
      </c>
      <c r="BV75" s="136">
        <f t="shared" si="41"/>
        <v>41.000000000058208</v>
      </c>
      <c r="BW75" s="136">
        <f t="shared" si="47"/>
        <v>40.000001388892997</v>
      </c>
      <c r="BX75" s="135">
        <f t="shared" si="42"/>
        <v>6.3333333331975155</v>
      </c>
      <c r="BY75" s="135">
        <f t="shared" si="43"/>
        <v>0</v>
      </c>
      <c r="BZ75" s="134">
        <f t="shared" si="44"/>
        <v>6.1145833912014496</v>
      </c>
      <c r="CA75" s="134">
        <f t="shared" si="45"/>
        <v>11.972222222218988</v>
      </c>
      <c r="CB75" s="133">
        <f t="shared" si="46"/>
        <v>0.51073086330234718</v>
      </c>
    </row>
    <row r="76" spans="1:80" s="126" customFormat="1">
      <c r="A76" s="192">
        <f t="shared" si="34"/>
        <v>45162.1875</v>
      </c>
      <c r="B76" s="126" t="s">
        <v>228</v>
      </c>
      <c r="C76" s="126" t="s">
        <v>229</v>
      </c>
      <c r="D76" s="126" t="s">
        <v>197</v>
      </c>
      <c r="E76" s="65" t="s">
        <v>1827</v>
      </c>
      <c r="G76" s="316">
        <v>45159.447916666664</v>
      </c>
      <c r="H76" s="316">
        <v>45159.404166666667</v>
      </c>
      <c r="I76" s="126" t="s">
        <v>231</v>
      </c>
      <c r="J76" s="126" t="s">
        <v>192</v>
      </c>
      <c r="K76" s="126" t="s">
        <v>192</v>
      </c>
      <c r="L76" s="126" t="s">
        <v>2411</v>
      </c>
      <c r="M76" s="167"/>
      <c r="N76" s="126" t="s">
        <v>323</v>
      </c>
      <c r="O76" s="126" t="s">
        <v>324</v>
      </c>
      <c r="P76" s="126" t="s">
        <v>240</v>
      </c>
      <c r="Q76" s="181">
        <f>3095*2.4</f>
        <v>7428</v>
      </c>
      <c r="R76" s="181">
        <f>7450+100</f>
        <v>7550</v>
      </c>
      <c r="S76" s="181">
        <v>7514.6260000000002</v>
      </c>
      <c r="T76" s="181"/>
      <c r="Y76" s="181">
        <f t="shared" si="48"/>
        <v>7514.6260000000002</v>
      </c>
      <c r="AX76" s="165">
        <f t="shared" si="35"/>
        <v>45154.328472222223</v>
      </c>
      <c r="AY76" s="165">
        <f t="shared" si="36"/>
        <v>45168.072222222225</v>
      </c>
      <c r="AZ76" s="137">
        <f t="shared" si="37"/>
        <v>13.743750000001455</v>
      </c>
      <c r="BA76" s="165">
        <v>45154.328472222223</v>
      </c>
      <c r="BB76" s="165">
        <v>45155.791666666664</v>
      </c>
      <c r="BC76" s="165">
        <v>45157.59375</v>
      </c>
      <c r="BD76" s="165">
        <v>45162.1875</v>
      </c>
      <c r="BE76" s="165">
        <v>45162.548611111109</v>
      </c>
      <c r="BF76" s="165">
        <v>45162.552083333336</v>
      </c>
      <c r="BG76" s="165">
        <v>45162.552083333336</v>
      </c>
      <c r="BH76" s="165">
        <f t="shared" si="38"/>
        <v>45164.260416666672</v>
      </c>
      <c r="BI76" s="210">
        <v>45164.25</v>
      </c>
      <c r="BJ76" s="210">
        <v>45164.416666608799</v>
      </c>
      <c r="BK76" s="165">
        <v>45164.347222222219</v>
      </c>
      <c r="BL76" s="165">
        <v>45165.59375</v>
      </c>
      <c r="BM76" s="165">
        <v>45167.100694444445</v>
      </c>
      <c r="BN76" s="165">
        <v>45167.375</v>
      </c>
      <c r="BO76" s="165">
        <v>45167.402777777781</v>
      </c>
      <c r="BP76" s="165">
        <v>45167.583333333336</v>
      </c>
      <c r="BQ76" s="165">
        <v>45168.072222222225</v>
      </c>
      <c r="BT76" s="136">
        <f t="shared" si="39"/>
        <v>43.250000000058208</v>
      </c>
      <c r="BU76" s="136">
        <f t="shared" si="40"/>
        <v>8.6666666666278616</v>
      </c>
      <c r="BV76" s="136">
        <f t="shared" si="41"/>
        <v>41.000000000058208</v>
      </c>
      <c r="BW76" s="136">
        <f t="shared" si="47"/>
        <v>28.250001388834789</v>
      </c>
      <c r="BX76" s="135">
        <f t="shared" si="42"/>
        <v>6.5833333333139308</v>
      </c>
      <c r="BY76" s="135">
        <f t="shared" si="43"/>
        <v>11.733333333337214</v>
      </c>
      <c r="BZ76" s="134">
        <f t="shared" si="44"/>
        <v>5.8118056134262588</v>
      </c>
      <c r="CA76" s="134">
        <f t="shared" si="45"/>
        <v>13.743750000001455</v>
      </c>
      <c r="CB76" s="133">
        <f t="shared" si="46"/>
        <v>0.42286898506052883</v>
      </c>
    </row>
    <row r="77" spans="1:80" s="126" customFormat="1">
      <c r="A77" s="192">
        <f t="shared" si="34"/>
        <v>45162.631944444445</v>
      </c>
      <c r="B77" s="126" t="s">
        <v>228</v>
      </c>
      <c r="C77" s="126" t="s">
        <v>229</v>
      </c>
      <c r="D77" s="126" t="s">
        <v>197</v>
      </c>
      <c r="E77" s="65" t="s">
        <v>1827</v>
      </c>
      <c r="G77" s="316">
        <v>45159.447916666664</v>
      </c>
      <c r="H77" s="316">
        <v>45159.404166666667</v>
      </c>
      <c r="I77" s="126" t="s">
        <v>231</v>
      </c>
      <c r="J77" s="126" t="s">
        <v>192</v>
      </c>
      <c r="K77" s="126" t="s">
        <v>192</v>
      </c>
      <c r="L77" s="126" t="s">
        <v>2412</v>
      </c>
      <c r="M77" s="167"/>
      <c r="N77" s="126" t="s">
        <v>263</v>
      </c>
      <c r="O77" s="126" t="s">
        <v>264</v>
      </c>
      <c r="P77" s="126" t="s">
        <v>240</v>
      </c>
      <c r="Q77" s="181">
        <f>3136*2.4</f>
        <v>7526.4</v>
      </c>
      <c r="R77" s="181">
        <f>7550+100</f>
        <v>7650</v>
      </c>
      <c r="S77" s="181">
        <v>7528.3720000000003</v>
      </c>
      <c r="T77" s="181"/>
      <c r="Y77" s="181">
        <f t="shared" si="48"/>
        <v>7528.3720000000003</v>
      </c>
      <c r="AX77" s="165">
        <f t="shared" si="35"/>
        <v>45154.850694444445</v>
      </c>
      <c r="AY77" s="165">
        <f t="shared" si="36"/>
        <v>45168.041666666664</v>
      </c>
      <c r="AZ77" s="137">
        <f t="shared" si="37"/>
        <v>13.190972222218988</v>
      </c>
      <c r="BA77" s="165">
        <v>45154.850694444445</v>
      </c>
      <c r="BB77" s="165">
        <v>45156.572916666664</v>
      </c>
      <c r="BC77" s="165">
        <v>45158.083333333336</v>
      </c>
      <c r="BD77" s="165">
        <v>45162.631944444445</v>
      </c>
      <c r="BE77" s="165">
        <v>45162.845833333333</v>
      </c>
      <c r="BF77" s="165">
        <v>45162.850694444445</v>
      </c>
      <c r="BG77" s="165">
        <v>45162.850694444445</v>
      </c>
      <c r="BH77" s="165">
        <f t="shared" si="38"/>
        <v>45164.559027777781</v>
      </c>
      <c r="BI77" s="210">
        <v>45164.25</v>
      </c>
      <c r="BJ77" s="210">
        <v>45164.416666608799</v>
      </c>
      <c r="BK77" s="165">
        <v>45164.440972222219</v>
      </c>
      <c r="BL77" s="165">
        <v>45165.708333333336</v>
      </c>
      <c r="BM77" s="165">
        <v>45167.423611111109</v>
      </c>
      <c r="BN77" s="165">
        <v>45167.666666666664</v>
      </c>
      <c r="BO77" s="165">
        <v>45167.6875</v>
      </c>
      <c r="BP77" s="165">
        <v>45167.6875</v>
      </c>
      <c r="BQ77" s="165">
        <v>45168.041666666664</v>
      </c>
      <c r="BT77" s="136">
        <f t="shared" si="39"/>
        <v>36.250000000116415</v>
      </c>
      <c r="BU77" s="136">
        <f t="shared" si="40"/>
        <v>5.1333333333022892</v>
      </c>
      <c r="BV77" s="136">
        <f t="shared" si="41"/>
        <v>41.000000000058208</v>
      </c>
      <c r="BW77" s="136">
        <f t="shared" si="47"/>
        <v>31.000001388892997</v>
      </c>
      <c r="BX77" s="135">
        <f t="shared" si="42"/>
        <v>5.8333333333139308</v>
      </c>
      <c r="BY77" s="135">
        <f t="shared" si="43"/>
        <v>8.4999999999417923</v>
      </c>
      <c r="BZ77" s="134">
        <f t="shared" si="44"/>
        <v>5.321527835651068</v>
      </c>
      <c r="CA77" s="134">
        <f t="shared" si="45"/>
        <v>13.190972222218988</v>
      </c>
      <c r="CB77" s="133">
        <f t="shared" si="46"/>
        <v>0.40342195753300431</v>
      </c>
    </row>
    <row r="78" spans="1:80" s="126" customFormat="1">
      <c r="A78" s="192">
        <f t="shared" si="34"/>
        <v>45162.872916666667</v>
      </c>
      <c r="B78" s="126" t="s">
        <v>228</v>
      </c>
      <c r="C78" s="126" t="s">
        <v>229</v>
      </c>
      <c r="D78" s="126" t="s">
        <v>197</v>
      </c>
      <c r="E78" s="65" t="s">
        <v>1827</v>
      </c>
      <c r="G78" s="316">
        <v>45159.447916666664</v>
      </c>
      <c r="H78" s="316">
        <v>45159.404166666667</v>
      </c>
      <c r="I78" s="126" t="s">
        <v>231</v>
      </c>
      <c r="J78" s="126" t="s">
        <v>192</v>
      </c>
      <c r="K78" s="126" t="s">
        <v>192</v>
      </c>
      <c r="L78" s="126" t="s">
        <v>2414</v>
      </c>
      <c r="M78" s="167"/>
      <c r="N78" s="126" t="s">
        <v>295</v>
      </c>
      <c r="O78" s="126" t="s">
        <v>296</v>
      </c>
      <c r="P78" s="126" t="s">
        <v>240</v>
      </c>
      <c r="Q78" s="181">
        <f>4118*2.4</f>
        <v>9883.1999999999989</v>
      </c>
      <c r="R78" s="181">
        <f>9900+100</f>
        <v>10000</v>
      </c>
      <c r="S78" s="181">
        <v>9952.9989999999998</v>
      </c>
      <c r="T78" s="181"/>
      <c r="Y78" s="181">
        <f t="shared" si="48"/>
        <v>9952.9989999999998</v>
      </c>
      <c r="AX78" s="165">
        <f t="shared" si="35"/>
        <v>45156.334722222222</v>
      </c>
      <c r="AY78" s="165">
        <f t="shared" si="36"/>
        <v>45168.350694444445</v>
      </c>
      <c r="AZ78" s="137">
        <f t="shared" si="37"/>
        <v>12.015972222223354</v>
      </c>
      <c r="BA78" s="165">
        <v>45156.334722222222</v>
      </c>
      <c r="BB78" s="165">
        <v>45156.769444444442</v>
      </c>
      <c r="BC78" s="165">
        <v>45158.25</v>
      </c>
      <c r="BD78" s="165">
        <v>45162.872916666667</v>
      </c>
      <c r="BE78" s="165">
        <v>45163.088888888888</v>
      </c>
      <c r="BF78" s="165">
        <v>45163.09375</v>
      </c>
      <c r="BG78" s="165">
        <v>45163.09375</v>
      </c>
      <c r="BH78" s="165">
        <f t="shared" si="38"/>
        <v>45164.802083333336</v>
      </c>
      <c r="BI78" s="210">
        <v>45165.229166666664</v>
      </c>
      <c r="BJ78" s="210">
        <v>45165.395833333336</v>
      </c>
      <c r="BK78" s="165">
        <v>45165.334027777775</v>
      </c>
      <c r="BL78" s="165">
        <v>45166.597222222219</v>
      </c>
      <c r="BM78" s="165">
        <v>45167.715277777781</v>
      </c>
      <c r="BN78" s="165">
        <v>45168.055555555555</v>
      </c>
      <c r="BO78" s="165">
        <v>45168.076388888891</v>
      </c>
      <c r="BP78" s="165">
        <v>45168.076388888891</v>
      </c>
      <c r="BQ78" s="165">
        <v>45168.350694444445</v>
      </c>
      <c r="BT78" s="136">
        <f t="shared" si="39"/>
        <v>35.53333333338378</v>
      </c>
      <c r="BU78" s="136">
        <f t="shared" si="40"/>
        <v>5.1833333332906477</v>
      </c>
      <c r="BV78" s="136">
        <f t="shared" si="41"/>
        <v>41.000000000058208</v>
      </c>
      <c r="BW78" s="136">
        <f t="shared" si="47"/>
        <v>28.833333333197515</v>
      </c>
      <c r="BX78" s="135">
        <f t="shared" si="42"/>
        <v>8.1666666665696539</v>
      </c>
      <c r="BY78" s="135">
        <f t="shared" si="43"/>
        <v>6.5833333333139308</v>
      </c>
      <c r="BZ78" s="134">
        <f t="shared" si="44"/>
        <v>5.2208333333255723</v>
      </c>
      <c r="CA78" s="134">
        <f t="shared" si="45"/>
        <v>12.015972222223354</v>
      </c>
      <c r="CB78" s="133">
        <f t="shared" si="46"/>
        <v>0.43449112870531792</v>
      </c>
    </row>
    <row r="79" spans="1:80" s="126" customFormat="1">
      <c r="A79" s="192">
        <f t="shared" si="34"/>
        <v>45163.125</v>
      </c>
      <c r="B79" s="126" t="s">
        <v>228</v>
      </c>
      <c r="C79" s="126" t="s">
        <v>229</v>
      </c>
      <c r="D79" s="126" t="s">
        <v>197</v>
      </c>
      <c r="E79" s="65" t="s">
        <v>1827</v>
      </c>
      <c r="G79" s="316">
        <v>45159.447916666664</v>
      </c>
      <c r="H79" s="316">
        <v>45159.404166666667</v>
      </c>
      <c r="I79" s="126" t="s">
        <v>231</v>
      </c>
      <c r="J79" s="126" t="s">
        <v>192</v>
      </c>
      <c r="K79" s="126" t="s">
        <v>192</v>
      </c>
      <c r="L79" s="126" t="s">
        <v>2415</v>
      </c>
      <c r="M79" s="167"/>
      <c r="N79" s="126" t="s">
        <v>1848</v>
      </c>
      <c r="O79" s="126" t="s">
        <v>350</v>
      </c>
      <c r="P79" s="126" t="s">
        <v>240</v>
      </c>
      <c r="Q79" s="181">
        <f>3077*2.4</f>
        <v>7384.7999999999993</v>
      </c>
      <c r="R79" s="181">
        <f>7400+100</f>
        <v>7500</v>
      </c>
      <c r="S79" s="181">
        <v>7406.8419999999996</v>
      </c>
      <c r="T79" s="181"/>
      <c r="Y79" s="181">
        <f t="shared" si="48"/>
        <v>7406.8419999999996</v>
      </c>
      <c r="AX79" s="165">
        <f t="shared" si="35"/>
        <v>45156.184027777781</v>
      </c>
      <c r="AY79" s="165">
        <f t="shared" si="36"/>
        <v>45168.895833333336</v>
      </c>
      <c r="AZ79" s="137">
        <f t="shared" si="37"/>
        <v>12.711805555554747</v>
      </c>
      <c r="BA79" s="165">
        <v>45156.184027777781</v>
      </c>
      <c r="BB79" s="165">
        <v>45156.767361111109</v>
      </c>
      <c r="BC79" s="165">
        <v>45158.291666666664</v>
      </c>
      <c r="BD79" s="165">
        <v>45163.125</v>
      </c>
      <c r="BE79" s="165">
        <v>45163.388888888891</v>
      </c>
      <c r="BF79" s="165">
        <v>45163.392361111109</v>
      </c>
      <c r="BG79" s="165">
        <v>45163.392361111109</v>
      </c>
      <c r="BH79" s="165">
        <f t="shared" si="38"/>
        <v>45165.100694444445</v>
      </c>
      <c r="BI79" s="210">
        <v>45165.229166666664</v>
      </c>
      <c r="BJ79" s="210">
        <v>45165.395833333336</v>
      </c>
      <c r="BK79" s="165">
        <v>45165.305555555555</v>
      </c>
      <c r="BL79" s="165">
        <v>45166.416666666664</v>
      </c>
      <c r="BM79" s="165">
        <v>45168.097222222219</v>
      </c>
      <c r="BN79" s="165">
        <v>45168.333333333336</v>
      </c>
      <c r="BO79" s="165">
        <v>45168.354166666664</v>
      </c>
      <c r="BP79" s="165">
        <v>45168.607638888891</v>
      </c>
      <c r="BQ79" s="165">
        <v>45168.895833333336</v>
      </c>
      <c r="BT79" s="136">
        <f t="shared" si="39"/>
        <v>36.583333333313931</v>
      </c>
      <c r="BU79" s="136">
        <f t="shared" si="40"/>
        <v>6.3333333333721384</v>
      </c>
      <c r="BV79" s="136">
        <f t="shared" si="41"/>
        <v>41.000000000058208</v>
      </c>
      <c r="BW79" s="136">
        <f t="shared" si="47"/>
        <v>24.499999999883585</v>
      </c>
      <c r="BX79" s="135">
        <f t="shared" si="42"/>
        <v>5.6666666668024845</v>
      </c>
      <c r="BY79" s="135">
        <f t="shared" si="43"/>
        <v>6.9166666666860692</v>
      </c>
      <c r="BZ79" s="134">
        <f t="shared" si="44"/>
        <v>5.0416666666715173</v>
      </c>
      <c r="CA79" s="134">
        <f t="shared" si="45"/>
        <v>12.711805555554747</v>
      </c>
      <c r="CB79" s="133">
        <f t="shared" si="46"/>
        <v>0.39661294728257013</v>
      </c>
    </row>
    <row r="80" spans="1:80" s="126" customFormat="1">
      <c r="A80" s="192">
        <f t="shared" si="34"/>
        <v>45163.489583333336</v>
      </c>
      <c r="B80" s="126" t="s">
        <v>228</v>
      </c>
      <c r="C80" s="126" t="s">
        <v>229</v>
      </c>
      <c r="D80" s="126" t="s">
        <v>197</v>
      </c>
      <c r="E80" s="65" t="s">
        <v>1827</v>
      </c>
      <c r="G80" s="316">
        <v>45159.447916666664</v>
      </c>
      <c r="H80" s="316">
        <v>45159.404166666667</v>
      </c>
      <c r="I80" s="126" t="s">
        <v>231</v>
      </c>
      <c r="J80" s="126" t="s">
        <v>192</v>
      </c>
      <c r="K80" s="126" t="s">
        <v>192</v>
      </c>
      <c r="L80" s="126" t="s">
        <v>2418</v>
      </c>
      <c r="M80" s="167"/>
      <c r="N80" s="126" t="s">
        <v>277</v>
      </c>
      <c r="O80" s="126" t="s">
        <v>278</v>
      </c>
      <c r="P80" s="126" t="s">
        <v>240</v>
      </c>
      <c r="Q80" s="181">
        <f>3117*2.4</f>
        <v>7480.7999999999993</v>
      </c>
      <c r="R80" s="181">
        <f>7500+100</f>
        <v>7600</v>
      </c>
      <c r="S80" s="181">
        <f>7413.094-2227.759</f>
        <v>5185.335</v>
      </c>
      <c r="T80" s="181"/>
      <c r="Y80" s="181">
        <f t="shared" si="48"/>
        <v>5185.335</v>
      </c>
      <c r="AX80" s="165">
        <f t="shared" si="35"/>
        <v>45156.392361111109</v>
      </c>
      <c r="AY80" s="165">
        <f t="shared" si="36"/>
        <v>45169.152777777781</v>
      </c>
      <c r="AZ80" s="137">
        <f t="shared" si="37"/>
        <v>12.760416666671517</v>
      </c>
      <c r="BA80" s="165">
        <v>45156.392361111109</v>
      </c>
      <c r="BB80" s="165">
        <v>45157.555555555555</v>
      </c>
      <c r="BC80" s="165">
        <v>45158.979166666664</v>
      </c>
      <c r="BD80" s="165">
        <v>45163.489583333336</v>
      </c>
      <c r="BE80" s="165">
        <v>45163.652777777781</v>
      </c>
      <c r="BF80" s="165">
        <v>45163.659722222219</v>
      </c>
      <c r="BG80" s="165">
        <v>45163.659722222219</v>
      </c>
      <c r="BH80" s="165">
        <f t="shared" si="38"/>
        <v>45165.368055555555</v>
      </c>
      <c r="BI80" s="210">
        <v>45165.229166666664</v>
      </c>
      <c r="BJ80" s="210">
        <v>45165.395833333336</v>
      </c>
      <c r="BK80" s="165">
        <v>45165.277777777781</v>
      </c>
      <c r="BL80" s="165">
        <v>45166.402777777781</v>
      </c>
      <c r="BM80" s="165">
        <v>45168.854166666664</v>
      </c>
      <c r="BN80" s="165">
        <v>45169.104166666664</v>
      </c>
      <c r="BO80" s="165">
        <v>45169.152777777781</v>
      </c>
      <c r="BP80" s="165">
        <v>45169.152777777781</v>
      </c>
      <c r="BQ80" s="165">
        <v>45169.152777777781</v>
      </c>
      <c r="BT80" s="136">
        <f t="shared" si="39"/>
        <v>34.166666666627862</v>
      </c>
      <c r="BU80" s="136">
        <f t="shared" si="40"/>
        <v>3.9166666666860692</v>
      </c>
      <c r="BV80" s="136">
        <f t="shared" si="41"/>
        <v>41.000000000058208</v>
      </c>
      <c r="BW80" s="136">
        <f t="shared" si="47"/>
        <v>24.166666666686069</v>
      </c>
      <c r="BX80" s="135">
        <f t="shared" si="42"/>
        <v>6</v>
      </c>
      <c r="BY80" s="135">
        <f t="shared" si="43"/>
        <v>0</v>
      </c>
      <c r="BZ80" s="134">
        <f t="shared" si="44"/>
        <v>4.5520833333357587</v>
      </c>
      <c r="CA80" s="134">
        <f t="shared" si="45"/>
        <v>12.760416666671517</v>
      </c>
      <c r="CB80" s="133">
        <f t="shared" si="46"/>
        <v>0.35673469387760548</v>
      </c>
    </row>
    <row r="81" spans="1:82" s="126" customFormat="1">
      <c r="A81" s="192">
        <f t="shared" si="34"/>
        <v>45163.489583333336</v>
      </c>
      <c r="B81" s="126" t="s">
        <v>228</v>
      </c>
      <c r="C81" s="126" t="s">
        <v>229</v>
      </c>
      <c r="D81" s="126" t="s">
        <v>197</v>
      </c>
      <c r="E81" s="65" t="s">
        <v>2431</v>
      </c>
      <c r="G81" s="316">
        <v>45158.4375</v>
      </c>
      <c r="H81" s="316">
        <v>45158.4375</v>
      </c>
      <c r="I81" s="126" t="s">
        <v>231</v>
      </c>
      <c r="J81" s="126" t="s">
        <v>192</v>
      </c>
      <c r="K81" s="126" t="s">
        <v>192</v>
      </c>
      <c r="L81" s="126" t="s">
        <v>2418</v>
      </c>
      <c r="M81" s="167"/>
      <c r="N81" s="126" t="s">
        <v>277</v>
      </c>
      <c r="O81" s="126" t="s">
        <v>278</v>
      </c>
      <c r="P81" s="126" t="s">
        <v>240</v>
      </c>
      <c r="Q81" s="181">
        <f>3117*2.4</f>
        <v>7480.7999999999993</v>
      </c>
      <c r="R81" s="181">
        <f>7500+100</f>
        <v>7600</v>
      </c>
      <c r="S81" s="181">
        <v>1275.0519999999999</v>
      </c>
      <c r="T81" s="181"/>
      <c r="Y81" s="181">
        <f t="shared" si="48"/>
        <v>1275.0519999999999</v>
      </c>
      <c r="AX81" s="165">
        <f t="shared" si="35"/>
        <v>45156.392361111109</v>
      </c>
      <c r="AY81" s="165">
        <f t="shared" si="36"/>
        <v>45172.9375</v>
      </c>
      <c r="AZ81" s="137">
        <f t="shared" si="37"/>
        <v>16.545138888890506</v>
      </c>
      <c r="BA81" s="165">
        <v>45156.392361111109</v>
      </c>
      <c r="BB81" s="165">
        <v>45157.555555555555</v>
      </c>
      <c r="BC81" s="165">
        <v>45158.979166666664</v>
      </c>
      <c r="BD81" s="165">
        <v>45163.489583333336</v>
      </c>
      <c r="BE81" s="165">
        <v>45163.652777777781</v>
      </c>
      <c r="BF81" s="165">
        <v>45163.659722222219</v>
      </c>
      <c r="BG81" s="165">
        <v>45163.659722222219</v>
      </c>
      <c r="BH81" s="165">
        <f t="shared" si="38"/>
        <v>45165.368055555555</v>
      </c>
      <c r="BI81" s="210">
        <v>45165.229166666664</v>
      </c>
      <c r="BJ81" s="210">
        <v>45165.395833333336</v>
      </c>
      <c r="BK81" s="165">
        <v>45165.277777777781</v>
      </c>
      <c r="BL81" s="165">
        <v>45169.152777777781</v>
      </c>
      <c r="BM81" s="165">
        <v>45172.444444444445</v>
      </c>
      <c r="BN81" s="165">
        <v>45172.645833333336</v>
      </c>
      <c r="BO81" s="165">
        <v>45172.666666666664</v>
      </c>
      <c r="BP81" s="165">
        <v>45172.666666666664</v>
      </c>
      <c r="BQ81" s="165">
        <v>45172.9375</v>
      </c>
      <c r="BT81" s="136">
        <f t="shared" si="39"/>
        <v>34.166666666627862</v>
      </c>
      <c r="BU81" s="136">
        <f t="shared" si="40"/>
        <v>3.9166666666860692</v>
      </c>
      <c r="BV81" s="136">
        <f t="shared" si="41"/>
        <v>41.000000000058208</v>
      </c>
      <c r="BW81" s="136">
        <f t="shared" si="47"/>
        <v>90.166666666686069</v>
      </c>
      <c r="BX81" s="135">
        <f t="shared" si="42"/>
        <v>4.8333333333721384</v>
      </c>
      <c r="BY81" s="135">
        <f t="shared" si="43"/>
        <v>6.5000000000582077</v>
      </c>
      <c r="BZ81" s="134">
        <f t="shared" si="44"/>
        <v>7.5243055555620231</v>
      </c>
      <c r="CA81" s="134">
        <f t="shared" si="45"/>
        <v>16.545138888890506</v>
      </c>
      <c r="CB81" s="133">
        <f t="shared" si="46"/>
        <v>0.45477439664252906</v>
      </c>
    </row>
    <row r="82" spans="1:82" s="126" customFormat="1">
      <c r="A82" s="192">
        <f t="shared" si="34"/>
        <v>45163.956944444442</v>
      </c>
      <c r="B82" s="126" t="s">
        <v>228</v>
      </c>
      <c r="C82" s="126" t="s">
        <v>229</v>
      </c>
      <c r="D82" s="126" t="s">
        <v>215</v>
      </c>
      <c r="E82" s="65" t="s">
        <v>1827</v>
      </c>
      <c r="G82" s="316">
        <v>45159.447916666664</v>
      </c>
      <c r="H82" s="316">
        <v>45159.404166666667</v>
      </c>
      <c r="I82" s="126" t="s">
        <v>231</v>
      </c>
      <c r="J82" s="126" t="s">
        <v>192</v>
      </c>
      <c r="K82" s="126" t="s">
        <v>192</v>
      </c>
      <c r="L82" s="126" t="s">
        <v>2416</v>
      </c>
      <c r="M82" s="167"/>
      <c r="N82" s="126" t="s">
        <v>403</v>
      </c>
      <c r="O82" s="126" t="s">
        <v>404</v>
      </c>
      <c r="P82" s="126" t="s">
        <v>240</v>
      </c>
      <c r="Q82" s="181">
        <f>3107*2.4</f>
        <v>7456.7999999999993</v>
      </c>
      <c r="R82" s="181">
        <f>7500+100</f>
        <v>7600</v>
      </c>
      <c r="S82" s="181">
        <f>7504.374</f>
        <v>7504.3739999999998</v>
      </c>
      <c r="T82" s="181"/>
      <c r="Y82" s="181">
        <f t="shared" si="48"/>
        <v>7504.3739999999998</v>
      </c>
      <c r="AX82" s="165">
        <f t="shared" si="35"/>
        <v>45156.694444444445</v>
      </c>
      <c r="AY82" s="165">
        <f t="shared" si="36"/>
        <v>45169.315972222219</v>
      </c>
      <c r="AZ82" s="137">
        <f t="shared" si="37"/>
        <v>12.621527777773736</v>
      </c>
      <c r="BA82" s="165">
        <v>45156.694444444445</v>
      </c>
      <c r="BB82" s="165">
        <v>45157.565972222219</v>
      </c>
      <c r="BC82" s="165">
        <v>45159.0625</v>
      </c>
      <c r="BD82" s="165">
        <v>45163.956944444442</v>
      </c>
      <c r="BE82" s="165">
        <v>45164.118055555555</v>
      </c>
      <c r="BF82" s="165">
        <v>45164.125</v>
      </c>
      <c r="BG82" s="165">
        <v>45164.284722222219</v>
      </c>
      <c r="BH82" s="165">
        <f t="shared" si="38"/>
        <v>45165.993055555555</v>
      </c>
      <c r="BI82" s="210">
        <v>45166.229166608799</v>
      </c>
      <c r="BJ82" s="210">
        <v>45166.395833333336</v>
      </c>
      <c r="BK82" s="165">
        <v>45166.298611111109</v>
      </c>
      <c r="BL82" s="165">
        <v>45167.590277777781</v>
      </c>
      <c r="BM82" s="165">
        <v>45168.409722222219</v>
      </c>
      <c r="BN82" s="165">
        <v>45168.75</v>
      </c>
      <c r="BO82" s="165">
        <v>45168.833333333336</v>
      </c>
      <c r="BP82" s="165">
        <v>45169.104166666664</v>
      </c>
      <c r="BQ82" s="165">
        <v>45169.315972222219</v>
      </c>
      <c r="BT82" s="136">
        <f t="shared" si="39"/>
        <v>35.916666666744277</v>
      </c>
      <c r="BU82" s="136">
        <f t="shared" si="40"/>
        <v>3.8666666666977108</v>
      </c>
      <c r="BV82" s="136">
        <f t="shared" si="41"/>
        <v>41.000000000058208</v>
      </c>
      <c r="BW82" s="136">
        <f t="shared" si="47"/>
        <v>28.666666666686069</v>
      </c>
      <c r="BX82" s="135">
        <f t="shared" si="42"/>
        <v>8.1666666667442769</v>
      </c>
      <c r="BY82" s="135">
        <f t="shared" si="43"/>
        <v>5.0833333333139308</v>
      </c>
      <c r="BZ82" s="134">
        <f t="shared" si="44"/>
        <v>5.1125000000101863</v>
      </c>
      <c r="CA82" s="134">
        <f t="shared" si="45"/>
        <v>12.621527777773736</v>
      </c>
      <c r="CB82" s="133">
        <f t="shared" si="46"/>
        <v>0.40506189821276622</v>
      </c>
    </row>
    <row r="83" spans="1:82" s="126" customFormat="1">
      <c r="A83" s="192">
        <f t="shared" si="34"/>
        <v>45164.149305555555</v>
      </c>
      <c r="B83" s="126" t="s">
        <v>228</v>
      </c>
      <c r="C83" s="126" t="s">
        <v>229</v>
      </c>
      <c r="D83" s="126" t="s">
        <v>197</v>
      </c>
      <c r="E83" s="65" t="s">
        <v>1827</v>
      </c>
      <c r="G83" s="316">
        <v>45159.447916666664</v>
      </c>
      <c r="H83" s="316">
        <v>45159.404166666667</v>
      </c>
      <c r="I83" s="126" t="s">
        <v>231</v>
      </c>
      <c r="J83" s="126" t="s">
        <v>192</v>
      </c>
      <c r="K83" s="126" t="s">
        <v>192</v>
      </c>
      <c r="L83" s="126" t="s">
        <v>2417</v>
      </c>
      <c r="M83" s="167"/>
      <c r="N83" s="126" t="s">
        <v>406</v>
      </c>
      <c r="O83" s="126" t="s">
        <v>407</v>
      </c>
      <c r="P83" s="126" t="s">
        <v>240</v>
      </c>
      <c r="Q83" s="181">
        <f>3107*2.4</f>
        <v>7456.7999999999993</v>
      </c>
      <c r="R83" s="181">
        <f>7500+100</f>
        <v>7600</v>
      </c>
      <c r="S83" s="181">
        <v>7500.5479999999998</v>
      </c>
      <c r="T83" s="181"/>
      <c r="Y83" s="181">
        <f t="shared" si="48"/>
        <v>7500.5479999999998</v>
      </c>
      <c r="AX83" s="165">
        <f t="shared" si="35"/>
        <v>45156.746527777781</v>
      </c>
      <c r="AY83" s="165">
        <f t="shared" si="36"/>
        <v>45169.225694444445</v>
      </c>
      <c r="AZ83" s="137">
        <f t="shared" si="37"/>
        <v>12.479166666664241</v>
      </c>
      <c r="BA83" s="165">
        <v>45156.746527777781</v>
      </c>
      <c r="BB83" s="165">
        <v>45157.84375</v>
      </c>
      <c r="BC83" s="165">
        <v>45159.118055555555</v>
      </c>
      <c r="BD83" s="165">
        <v>45164.149305555555</v>
      </c>
      <c r="BE83" s="165">
        <v>45164.423611111109</v>
      </c>
      <c r="BF83" s="165">
        <v>45164.430555555555</v>
      </c>
      <c r="BG83" s="165">
        <v>45164.430555555555</v>
      </c>
      <c r="BH83" s="165">
        <f t="shared" si="38"/>
        <v>45166.138888888891</v>
      </c>
      <c r="BI83" s="210">
        <v>45166.229166608799</v>
      </c>
      <c r="BJ83" s="210">
        <v>45166.395833333336</v>
      </c>
      <c r="BK83" s="165">
        <v>45166.333333333336</v>
      </c>
      <c r="BL83" s="165">
        <v>45167.399305555555</v>
      </c>
      <c r="BM83" s="165">
        <v>45168.381944444445</v>
      </c>
      <c r="BN83" s="165">
        <v>45168.75</v>
      </c>
      <c r="BO83" s="165">
        <v>45168.822916666664</v>
      </c>
      <c r="BP83" s="165">
        <v>45168.885416666664</v>
      </c>
      <c r="BQ83" s="165">
        <v>45169.225694444445</v>
      </c>
      <c r="BT83" s="136">
        <f t="shared" si="39"/>
        <v>30.583333333313931</v>
      </c>
      <c r="BU83" s="136">
        <f t="shared" si="40"/>
        <v>6.5833333333139308</v>
      </c>
      <c r="BV83" s="136">
        <f t="shared" si="41"/>
        <v>41.000000000058208</v>
      </c>
      <c r="BW83" s="136">
        <f t="shared" si="47"/>
        <v>24.083333333255723</v>
      </c>
      <c r="BX83" s="135">
        <f t="shared" si="42"/>
        <v>8.8333333333139308</v>
      </c>
      <c r="BY83" s="135">
        <f t="shared" si="43"/>
        <v>8.1666666667442769</v>
      </c>
      <c r="BZ83" s="134">
        <f t="shared" si="44"/>
        <v>4.96875</v>
      </c>
      <c r="CA83" s="134">
        <f t="shared" si="45"/>
        <v>12.479166666664241</v>
      </c>
      <c r="CB83" s="133">
        <f t="shared" si="46"/>
        <v>0.3981636060100941</v>
      </c>
    </row>
    <row r="84" spans="1:82" s="126" customFormat="1">
      <c r="A84" s="192">
        <f t="shared" si="34"/>
        <v>45163.697916666664</v>
      </c>
      <c r="B84" s="126" t="s">
        <v>228</v>
      </c>
      <c r="C84" s="126" t="s">
        <v>229</v>
      </c>
      <c r="D84" s="126" t="s">
        <v>215</v>
      </c>
      <c r="E84" s="65" t="s">
        <v>2420</v>
      </c>
      <c r="G84" s="316">
        <v>45157.375</v>
      </c>
      <c r="H84" s="316">
        <v>45157.375</v>
      </c>
      <c r="I84" s="126" t="s">
        <v>243</v>
      </c>
      <c r="J84" s="126" t="s">
        <v>192</v>
      </c>
      <c r="K84" s="126" t="s">
        <v>192</v>
      </c>
      <c r="L84" s="126" t="s">
        <v>2423</v>
      </c>
      <c r="M84" s="167"/>
      <c r="N84" s="126" t="s">
        <v>271</v>
      </c>
      <c r="O84" s="126" t="s">
        <v>272</v>
      </c>
      <c r="P84" s="126" t="s">
        <v>235</v>
      </c>
      <c r="Q84" s="181">
        <f>3852*2.4</f>
        <v>9244.7999999999993</v>
      </c>
      <c r="R84" s="181">
        <f>9250+100</f>
        <v>9350</v>
      </c>
      <c r="S84" s="181">
        <v>8850.2860000000001</v>
      </c>
      <c r="T84" s="181"/>
      <c r="X84" s="181">
        <f t="shared" ref="X84:X95" si="49">S84</f>
        <v>8850.2860000000001</v>
      </c>
      <c r="AX84" s="165">
        <f t="shared" si="35"/>
        <v>45155.347222222219</v>
      </c>
      <c r="AY84" s="165">
        <f t="shared" si="36"/>
        <v>45170.111111111109</v>
      </c>
      <c r="AZ84" s="137">
        <f t="shared" si="37"/>
        <v>14.763888888890506</v>
      </c>
      <c r="BA84" s="165">
        <v>45155.347222222219</v>
      </c>
      <c r="BB84" s="165">
        <v>45157.574305555558</v>
      </c>
      <c r="BC84" s="165">
        <v>45159.072916666664</v>
      </c>
      <c r="BD84" s="165">
        <v>45163.697916666664</v>
      </c>
      <c r="BE84" s="165">
        <v>45163.921527777777</v>
      </c>
      <c r="BF84" s="165">
        <v>45163.927083333336</v>
      </c>
      <c r="BG84" s="165">
        <v>45163.927083333336</v>
      </c>
      <c r="BH84" s="165">
        <f t="shared" si="38"/>
        <v>45165.635416666672</v>
      </c>
      <c r="BI84" s="210">
        <v>45166.229166608799</v>
      </c>
      <c r="BJ84" s="210">
        <v>45166.395833333336</v>
      </c>
      <c r="BK84" s="210">
        <v>45166.281944444447</v>
      </c>
      <c r="BL84" s="165">
        <v>45168.034722222219</v>
      </c>
      <c r="BM84" s="165">
        <v>45169.253472222219</v>
      </c>
      <c r="BN84" s="165">
        <v>45169.576388888891</v>
      </c>
      <c r="BO84" s="165">
        <v>45169.590277777781</v>
      </c>
      <c r="BP84" s="165">
        <v>45169.59375</v>
      </c>
      <c r="BQ84" s="165">
        <v>45170.111111111109</v>
      </c>
      <c r="BT84" s="136">
        <f t="shared" si="39"/>
        <v>35.966666666558012</v>
      </c>
      <c r="BU84" s="136">
        <f t="shared" si="40"/>
        <v>5.3666666666977108</v>
      </c>
      <c r="BV84" s="136">
        <f t="shared" si="41"/>
        <v>41.000000000058208</v>
      </c>
      <c r="BW84" s="136">
        <f t="shared" si="47"/>
        <v>39.333333333197515</v>
      </c>
      <c r="BX84" s="135">
        <f t="shared" si="42"/>
        <v>7.7500000001164153</v>
      </c>
      <c r="BY84" s="135">
        <f t="shared" si="43"/>
        <v>12.416666666627862</v>
      </c>
      <c r="BZ84" s="134">
        <f t="shared" si="44"/>
        <v>5.9097222222189885</v>
      </c>
      <c r="CA84" s="134">
        <f t="shared" si="45"/>
        <v>14.763888888890506</v>
      </c>
      <c r="CB84" s="133">
        <f t="shared" si="46"/>
        <v>0.40028222013143988</v>
      </c>
    </row>
    <row r="85" spans="1:82" s="126" customFormat="1" ht="15" customHeight="1">
      <c r="A85" s="119">
        <f t="shared" si="34"/>
        <v>45164.454861111109</v>
      </c>
      <c r="B85" s="115" t="s">
        <v>228</v>
      </c>
      <c r="C85" s="115" t="s">
        <v>229</v>
      </c>
      <c r="D85" s="115" t="s">
        <v>197</v>
      </c>
      <c r="E85" s="77" t="s">
        <v>2420</v>
      </c>
      <c r="F85" s="115"/>
      <c r="G85" s="360">
        <v>45157.375</v>
      </c>
      <c r="H85" s="360">
        <v>45157.375</v>
      </c>
      <c r="I85" s="115" t="s">
        <v>243</v>
      </c>
      <c r="J85" s="115" t="s">
        <v>192</v>
      </c>
      <c r="K85" s="115" t="s">
        <v>192</v>
      </c>
      <c r="L85" s="115" t="s">
        <v>2425</v>
      </c>
      <c r="M85" s="118"/>
      <c r="N85" s="115" t="s">
        <v>355</v>
      </c>
      <c r="O85" s="115" t="s">
        <v>356</v>
      </c>
      <c r="P85" s="115" t="s">
        <v>235</v>
      </c>
      <c r="Q85" s="117">
        <f>3107*2.4</f>
        <v>7456.7999999999993</v>
      </c>
      <c r="R85" s="117">
        <f>7500+100</f>
        <v>7600</v>
      </c>
      <c r="S85" s="117">
        <v>7481.1779999999999</v>
      </c>
      <c r="T85" s="117"/>
      <c r="U85" s="115"/>
      <c r="V85" s="115"/>
      <c r="W85" s="115"/>
      <c r="X85" s="117">
        <f t="shared" si="49"/>
        <v>7481.1779999999999</v>
      </c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115"/>
      <c r="AX85" s="251">
        <f t="shared" si="35"/>
        <v>45156.375</v>
      </c>
      <c r="AY85" s="251">
        <f t="shared" si="36"/>
        <v>45170.895833333336</v>
      </c>
      <c r="AZ85" s="300">
        <f t="shared" si="37"/>
        <v>14.520833333335759</v>
      </c>
      <c r="BA85" s="251">
        <v>45156.375</v>
      </c>
      <c r="BB85" s="251">
        <v>45157.795138888891</v>
      </c>
      <c r="BC85" s="251">
        <v>45159.111111111109</v>
      </c>
      <c r="BD85" s="251">
        <v>45164.454861111109</v>
      </c>
      <c r="BE85" s="251">
        <v>45164.65625</v>
      </c>
      <c r="BF85" s="251">
        <v>45164.659722222219</v>
      </c>
      <c r="BG85" s="251">
        <v>45164.659722222219</v>
      </c>
      <c r="BH85" s="251">
        <f t="shared" si="38"/>
        <v>45166.368055555555</v>
      </c>
      <c r="BI85" s="361">
        <v>45166.229166608799</v>
      </c>
      <c r="BJ85" s="361">
        <v>45166.395833333336</v>
      </c>
      <c r="BK85" s="361">
        <v>45166.284722222219</v>
      </c>
      <c r="BL85" s="251">
        <v>45168.322916666664</v>
      </c>
      <c r="BM85" s="251">
        <v>45169.003472222219</v>
      </c>
      <c r="BN85" s="251">
        <v>45170.159722222219</v>
      </c>
      <c r="BO85" s="251">
        <v>45170.451388888891</v>
      </c>
      <c r="BP85" s="251">
        <v>45170.454861111109</v>
      </c>
      <c r="BQ85" s="251">
        <v>45170.895833333336</v>
      </c>
      <c r="BR85" s="115"/>
      <c r="BS85" s="115"/>
      <c r="BT85" s="302">
        <f t="shared" si="39"/>
        <v>31.583333333255723</v>
      </c>
      <c r="BU85" s="302">
        <f t="shared" si="40"/>
        <v>4.8333333333721384</v>
      </c>
      <c r="BV85" s="302">
        <f t="shared" si="41"/>
        <v>41.000000000058208</v>
      </c>
      <c r="BW85" s="302">
        <f t="shared" si="47"/>
        <v>46.249999999883585</v>
      </c>
      <c r="BX85" s="303">
        <f t="shared" si="42"/>
        <v>27.75</v>
      </c>
      <c r="BY85" s="303">
        <f t="shared" si="43"/>
        <v>10.583333333430346</v>
      </c>
      <c r="BZ85" s="304">
        <f t="shared" si="44"/>
        <v>6.75</v>
      </c>
      <c r="CA85" s="304">
        <f t="shared" si="45"/>
        <v>14.520833333335759</v>
      </c>
      <c r="CB85" s="305">
        <f t="shared" si="46"/>
        <v>0.46484935437581903</v>
      </c>
      <c r="CC85" s="115"/>
      <c r="CD85" s="115"/>
    </row>
    <row r="86" spans="1:82" s="126" customFormat="1">
      <c r="A86" s="119">
        <f t="shared" si="34"/>
        <v>45164.694444444445</v>
      </c>
      <c r="B86" s="115" t="s">
        <v>228</v>
      </c>
      <c r="C86" s="115" t="s">
        <v>229</v>
      </c>
      <c r="D86" s="115" t="s">
        <v>197</v>
      </c>
      <c r="E86" s="77" t="s">
        <v>2420</v>
      </c>
      <c r="F86" s="115"/>
      <c r="G86" s="360">
        <v>45157.375</v>
      </c>
      <c r="H86" s="360">
        <v>45157.375</v>
      </c>
      <c r="I86" s="115" t="s">
        <v>243</v>
      </c>
      <c r="J86" s="115" t="s">
        <v>192</v>
      </c>
      <c r="K86" s="115" t="s">
        <v>192</v>
      </c>
      <c r="L86" s="115" t="s">
        <v>2422</v>
      </c>
      <c r="M86" s="118"/>
      <c r="N86" s="115" t="s">
        <v>686</v>
      </c>
      <c r="O86" s="115" t="s">
        <v>1186</v>
      </c>
      <c r="P86" s="115" t="s">
        <v>235</v>
      </c>
      <c r="Q86" s="117">
        <f>3136*2.4</f>
        <v>7526.4</v>
      </c>
      <c r="R86" s="117">
        <f>7550+100</f>
        <v>7650</v>
      </c>
      <c r="S86" s="117">
        <v>7446.2860000000001</v>
      </c>
      <c r="T86" s="117"/>
      <c r="U86" s="115"/>
      <c r="V86" s="115"/>
      <c r="W86" s="115"/>
      <c r="X86" s="117">
        <f t="shared" si="49"/>
        <v>7446.2860000000001</v>
      </c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251">
        <f t="shared" si="35"/>
        <v>45156.416666666664</v>
      </c>
      <c r="AY86" s="251">
        <f t="shared" si="36"/>
        <v>45170.395833333336</v>
      </c>
      <c r="AZ86" s="300">
        <f t="shared" si="37"/>
        <v>13.979166666671517</v>
      </c>
      <c r="BA86" s="251">
        <v>45156.416666666664</v>
      </c>
      <c r="BB86" s="251">
        <v>45157.791666666664</v>
      </c>
      <c r="BC86" s="251">
        <v>45159.385416666664</v>
      </c>
      <c r="BD86" s="251">
        <v>45164.694444444445</v>
      </c>
      <c r="BE86" s="251">
        <v>45164.881944444445</v>
      </c>
      <c r="BF86" s="251">
        <v>45164.930555555555</v>
      </c>
      <c r="BG86" s="251">
        <v>45164.930555555555</v>
      </c>
      <c r="BH86" s="251">
        <f t="shared" si="38"/>
        <v>45166.638888888891</v>
      </c>
      <c r="BI86" s="361">
        <v>45167.229166608799</v>
      </c>
      <c r="BJ86" s="361">
        <v>45167.395833333336</v>
      </c>
      <c r="BK86" s="361">
        <v>45167.322916666664</v>
      </c>
      <c r="BL86" s="251">
        <v>45168.770833333336</v>
      </c>
      <c r="BM86" s="251">
        <v>45168.892361111109</v>
      </c>
      <c r="BN86" s="251">
        <v>45169.180555555555</v>
      </c>
      <c r="BO86" s="251">
        <v>45169.201388888891</v>
      </c>
      <c r="BP86" s="251">
        <v>45169.9375</v>
      </c>
      <c r="BQ86" s="251">
        <v>45170.395833333336</v>
      </c>
      <c r="BR86" s="115"/>
      <c r="BS86" s="115"/>
      <c r="BT86" s="302">
        <f t="shared" si="39"/>
        <v>38.25</v>
      </c>
      <c r="BU86" s="302">
        <f t="shared" si="40"/>
        <v>4.5</v>
      </c>
      <c r="BV86" s="302">
        <f t="shared" si="41"/>
        <v>41.000000000058208</v>
      </c>
      <c r="BW86" s="302">
        <f t="shared" si="47"/>
        <v>33</v>
      </c>
      <c r="BX86" s="303">
        <f t="shared" si="42"/>
        <v>6.9166666666860692</v>
      </c>
      <c r="BY86" s="303">
        <f t="shared" si="43"/>
        <v>11.000000000058208</v>
      </c>
      <c r="BZ86" s="304">
        <f t="shared" si="44"/>
        <v>5.6111111111167702</v>
      </c>
      <c r="CA86" s="304">
        <f t="shared" si="45"/>
        <v>13.979166666671517</v>
      </c>
      <c r="CB86" s="305">
        <f t="shared" si="46"/>
        <v>0.40139095876827346</v>
      </c>
      <c r="CC86" s="115"/>
      <c r="CD86" s="115"/>
    </row>
    <row r="87" spans="1:82" s="126" customFormat="1">
      <c r="A87" s="119">
        <f t="shared" si="34"/>
        <v>45165.119444444441</v>
      </c>
      <c r="B87" s="115" t="s">
        <v>228</v>
      </c>
      <c r="C87" s="115" t="s">
        <v>229</v>
      </c>
      <c r="D87" s="115" t="s">
        <v>197</v>
      </c>
      <c r="E87" s="77" t="s">
        <v>2420</v>
      </c>
      <c r="F87" s="115"/>
      <c r="G87" s="360">
        <v>45157.375</v>
      </c>
      <c r="H87" s="360">
        <v>45157.375</v>
      </c>
      <c r="I87" s="115" t="s">
        <v>243</v>
      </c>
      <c r="J87" s="115" t="s">
        <v>192</v>
      </c>
      <c r="K87" s="115" t="s">
        <v>192</v>
      </c>
      <c r="L87" s="115" t="s">
        <v>2424</v>
      </c>
      <c r="M87" s="118"/>
      <c r="N87" s="115" t="s">
        <v>377</v>
      </c>
      <c r="O87" s="115" t="s">
        <v>378</v>
      </c>
      <c r="P87" s="115" t="s">
        <v>235</v>
      </c>
      <c r="Q87" s="117">
        <f>3271*2.4</f>
        <v>7850.4</v>
      </c>
      <c r="R87" s="117">
        <f>7900+100</f>
        <v>8000</v>
      </c>
      <c r="S87" s="117">
        <v>7532.7730000000001</v>
      </c>
      <c r="T87" s="117"/>
      <c r="U87" s="115"/>
      <c r="V87" s="115"/>
      <c r="W87" s="115"/>
      <c r="X87" s="117">
        <f t="shared" si="49"/>
        <v>7532.7730000000001</v>
      </c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5"/>
      <c r="AW87" s="115"/>
      <c r="AX87" s="251">
        <f t="shared" si="35"/>
        <v>45157.020833333336</v>
      </c>
      <c r="AY87" s="251">
        <f t="shared" si="36"/>
        <v>45170.395833333336</v>
      </c>
      <c r="AZ87" s="300">
        <f t="shared" si="37"/>
        <v>13.375</v>
      </c>
      <c r="BA87" s="251">
        <v>45157.020833333336</v>
      </c>
      <c r="BB87" s="251">
        <v>45158.559027777781</v>
      </c>
      <c r="BC87" s="251">
        <v>45161.645833333336</v>
      </c>
      <c r="BD87" s="251">
        <v>45165.119444444441</v>
      </c>
      <c r="BE87" s="251">
        <v>45165.351388888892</v>
      </c>
      <c r="BF87" s="251">
        <v>45165.357638888891</v>
      </c>
      <c r="BG87" s="251">
        <v>45165.357638888891</v>
      </c>
      <c r="BH87" s="251">
        <f t="shared" si="38"/>
        <v>45167.065972222226</v>
      </c>
      <c r="BI87" s="361">
        <v>45167.229166608799</v>
      </c>
      <c r="BJ87" s="361">
        <v>45167.395833333336</v>
      </c>
      <c r="BK87" s="361">
        <v>45167.291666666664</v>
      </c>
      <c r="BL87" s="251">
        <v>45168.583333333336</v>
      </c>
      <c r="BM87" s="251">
        <v>45169.6875</v>
      </c>
      <c r="BN87" s="251">
        <v>45169.951388888891</v>
      </c>
      <c r="BO87" s="251">
        <v>45169.961805555555</v>
      </c>
      <c r="BP87" s="251">
        <v>45169.965277777781</v>
      </c>
      <c r="BQ87" s="251">
        <v>45170.395833333336</v>
      </c>
      <c r="BR87" s="115"/>
      <c r="BS87" s="115"/>
      <c r="BT87" s="302">
        <f t="shared" si="39"/>
        <v>74.083333333313931</v>
      </c>
      <c r="BU87" s="302">
        <f t="shared" si="40"/>
        <v>5.5666666668257676</v>
      </c>
      <c r="BV87" s="302">
        <f t="shared" si="41"/>
        <v>41.000000000058208</v>
      </c>
      <c r="BW87" s="302">
        <f t="shared" si="47"/>
        <v>28.5</v>
      </c>
      <c r="BX87" s="303">
        <f t="shared" si="42"/>
        <v>6.3333333333721384</v>
      </c>
      <c r="BY87" s="303">
        <f t="shared" si="43"/>
        <v>10.333333333313931</v>
      </c>
      <c r="BZ87" s="304">
        <f t="shared" si="44"/>
        <v>6.9090277777868323</v>
      </c>
      <c r="CA87" s="304">
        <f t="shared" si="45"/>
        <v>13.375</v>
      </c>
      <c r="CB87" s="305">
        <f t="shared" si="46"/>
        <v>0.51656282450742674</v>
      </c>
      <c r="CC87" s="115"/>
      <c r="CD87" s="115"/>
    </row>
    <row r="88" spans="1:82" s="126" customFormat="1">
      <c r="A88" s="192">
        <f t="shared" si="34"/>
        <v>45167.315972222219</v>
      </c>
      <c r="B88" s="126" t="s">
        <v>228</v>
      </c>
      <c r="C88" s="126" t="s">
        <v>229</v>
      </c>
      <c r="D88" s="126" t="s">
        <v>215</v>
      </c>
      <c r="E88" s="65" t="s">
        <v>2431</v>
      </c>
      <c r="G88" s="316">
        <v>45158.4375</v>
      </c>
      <c r="H88" s="316">
        <v>45158.4375</v>
      </c>
      <c r="I88" s="126" t="s">
        <v>231</v>
      </c>
      <c r="J88" s="126" t="s">
        <v>192</v>
      </c>
      <c r="K88" s="126" t="s">
        <v>192</v>
      </c>
      <c r="L88" s="126" t="s">
        <v>2435</v>
      </c>
      <c r="M88" s="167"/>
      <c r="N88" s="126" t="s">
        <v>301</v>
      </c>
      <c r="O88" s="126" t="s">
        <v>302</v>
      </c>
      <c r="P88" s="126" t="s">
        <v>235</v>
      </c>
      <c r="Q88" s="181">
        <f>3852*2.4</f>
        <v>9244.7999999999993</v>
      </c>
      <c r="R88" s="181">
        <v>9250</v>
      </c>
      <c r="S88" s="181">
        <v>9139.9650000000001</v>
      </c>
      <c r="T88" s="181"/>
      <c r="X88" s="181">
        <f t="shared" si="49"/>
        <v>9139.9650000000001</v>
      </c>
      <c r="AX88" s="165">
        <f t="shared" si="35"/>
        <v>45158.850694444445</v>
      </c>
      <c r="AY88" s="165">
        <f t="shared" si="36"/>
        <v>45172.34375</v>
      </c>
      <c r="AZ88" s="137">
        <f t="shared" si="37"/>
        <v>13.493055555554747</v>
      </c>
      <c r="BA88" s="165">
        <v>45158.850694444445</v>
      </c>
      <c r="BB88" s="165">
        <v>45162.552083333336</v>
      </c>
      <c r="BC88" s="165">
        <v>45164.1875</v>
      </c>
      <c r="BD88" s="165">
        <v>45167.315972222219</v>
      </c>
      <c r="BE88" s="165">
        <v>45167.486111111109</v>
      </c>
      <c r="BF88" s="165">
        <v>45167.493055555555</v>
      </c>
      <c r="BG88" s="165">
        <v>45167.493055555555</v>
      </c>
      <c r="BH88" s="165">
        <f t="shared" si="38"/>
        <v>45169.201388888891</v>
      </c>
      <c r="BI88" s="210">
        <v>45169.25</v>
      </c>
      <c r="BJ88" s="210">
        <v>45169.416666666664</v>
      </c>
      <c r="BK88" s="165">
        <v>45169.291666666664</v>
      </c>
      <c r="BL88" s="165">
        <v>45170.440972222219</v>
      </c>
      <c r="BM88" s="165">
        <v>45171.5625</v>
      </c>
      <c r="BN88" s="165">
        <v>45171.805555555555</v>
      </c>
      <c r="BO88" s="165">
        <v>45171.833333333336</v>
      </c>
      <c r="BP88" s="165">
        <v>45172.159722222219</v>
      </c>
      <c r="BQ88" s="165">
        <v>45172.34375</v>
      </c>
      <c r="BT88" s="136">
        <f t="shared" si="39"/>
        <v>39.249999999941792</v>
      </c>
      <c r="BU88" s="136">
        <f t="shared" si="40"/>
        <v>4.0833333333721384</v>
      </c>
      <c r="BV88" s="136">
        <f t="shared" si="41"/>
        <v>41.000000000058208</v>
      </c>
      <c r="BW88" s="136">
        <f t="shared" si="47"/>
        <v>24.583333333313931</v>
      </c>
      <c r="BX88" s="135">
        <f t="shared" si="42"/>
        <v>5.8333333333139308</v>
      </c>
      <c r="BY88" s="135">
        <f t="shared" si="43"/>
        <v>4.4166666667442769</v>
      </c>
      <c r="BZ88" s="134">
        <f t="shared" si="44"/>
        <v>4.9652777777810115</v>
      </c>
      <c r="CA88" s="134">
        <f t="shared" si="45"/>
        <v>13.493055555554747</v>
      </c>
      <c r="CB88" s="133">
        <f t="shared" si="46"/>
        <v>0.36798764796732297</v>
      </c>
    </row>
    <row r="89" spans="1:82" s="126" customFormat="1">
      <c r="A89" s="192">
        <f t="shared" si="34"/>
        <v>45167.517361111109</v>
      </c>
      <c r="B89" s="126" t="s">
        <v>228</v>
      </c>
      <c r="C89" s="126" t="s">
        <v>229</v>
      </c>
      <c r="D89" s="126" t="s">
        <v>197</v>
      </c>
      <c r="E89" s="65" t="s">
        <v>2431</v>
      </c>
      <c r="G89" s="316">
        <v>45158.4375</v>
      </c>
      <c r="H89" s="316">
        <v>45158.4375</v>
      </c>
      <c r="I89" s="126" t="s">
        <v>231</v>
      </c>
      <c r="J89" s="126" t="s">
        <v>192</v>
      </c>
      <c r="K89" s="126" t="s">
        <v>192</v>
      </c>
      <c r="L89" s="126" t="s">
        <v>2436</v>
      </c>
      <c r="M89" s="167"/>
      <c r="N89" s="126" t="s">
        <v>1799</v>
      </c>
      <c r="O89" s="126" t="s">
        <v>2437</v>
      </c>
      <c r="P89" s="126" t="s">
        <v>235</v>
      </c>
      <c r="Q89" s="181">
        <f>3147*2.4</f>
        <v>7552.7999999999993</v>
      </c>
      <c r="R89" s="181">
        <f>7550+100</f>
        <v>7650</v>
      </c>
      <c r="S89" s="181">
        <v>7501.7560000000003</v>
      </c>
      <c r="T89" s="181"/>
      <c r="X89" s="181">
        <f t="shared" si="49"/>
        <v>7501.7560000000003</v>
      </c>
      <c r="AX89" s="165">
        <f t="shared" si="35"/>
        <v>45159.363888888889</v>
      </c>
      <c r="AY89" s="165">
        <f t="shared" si="36"/>
        <v>45172.538194444445</v>
      </c>
      <c r="AZ89" s="137">
        <f t="shared" si="37"/>
        <v>13.174305555556202</v>
      </c>
      <c r="BA89" s="165">
        <v>45159.363888888889</v>
      </c>
      <c r="BB89" s="165">
        <v>45162.805555555555</v>
      </c>
      <c r="BC89" s="165">
        <v>45164.472222222219</v>
      </c>
      <c r="BD89" s="165">
        <v>45167.517361111109</v>
      </c>
      <c r="BE89" s="165">
        <v>45167.65625</v>
      </c>
      <c r="BF89" s="165">
        <v>45167.663194444445</v>
      </c>
      <c r="BG89" s="165">
        <v>45167.663194444445</v>
      </c>
      <c r="BH89" s="165">
        <f t="shared" si="38"/>
        <v>45169.371527777781</v>
      </c>
      <c r="BI89" s="210">
        <v>45169.25</v>
      </c>
      <c r="BJ89" s="210">
        <v>45169.416666666664</v>
      </c>
      <c r="BK89" s="165">
        <v>45169.302083333336</v>
      </c>
      <c r="BL89" s="165">
        <v>45170.4375</v>
      </c>
      <c r="BM89" s="165">
        <v>45171.875</v>
      </c>
      <c r="BN89" s="165">
        <v>45172.0625</v>
      </c>
      <c r="BO89" s="165">
        <v>45172.090277777781</v>
      </c>
      <c r="BP89" s="165">
        <v>45172.097222222219</v>
      </c>
      <c r="BQ89" s="165">
        <v>45172.538194444445</v>
      </c>
      <c r="BR89" s="126" t="s">
        <v>2698</v>
      </c>
      <c r="BT89" s="136">
        <f t="shared" si="39"/>
        <v>39.999999999941792</v>
      </c>
      <c r="BU89" s="136">
        <f t="shared" si="40"/>
        <v>3.3333333333721384</v>
      </c>
      <c r="BV89" s="136">
        <f t="shared" si="41"/>
        <v>41.000000000058208</v>
      </c>
      <c r="BW89" s="136">
        <f t="shared" si="47"/>
        <v>24.500000000058208</v>
      </c>
      <c r="BX89" s="135">
        <f t="shared" si="42"/>
        <v>4.5</v>
      </c>
      <c r="BY89" s="135">
        <f t="shared" si="43"/>
        <v>10.583333333430346</v>
      </c>
      <c r="BZ89" s="134">
        <f t="shared" si="44"/>
        <v>5.1631944444525288</v>
      </c>
      <c r="CA89" s="134">
        <f t="shared" si="45"/>
        <v>13.174305555556202</v>
      </c>
      <c r="CB89" s="133">
        <f t="shared" si="46"/>
        <v>0.39191397396084954</v>
      </c>
    </row>
    <row r="90" spans="1:82" s="126" customFormat="1">
      <c r="A90" s="192">
        <f t="shared" si="34"/>
        <v>45167.850694444445</v>
      </c>
      <c r="B90" s="126" t="s">
        <v>228</v>
      </c>
      <c r="C90" s="126" t="s">
        <v>229</v>
      </c>
      <c r="D90" s="126" t="s">
        <v>197</v>
      </c>
      <c r="E90" s="65" t="s">
        <v>2431</v>
      </c>
      <c r="G90" s="316">
        <v>45158.4375</v>
      </c>
      <c r="H90" s="316">
        <v>45158.4375</v>
      </c>
      <c r="I90" s="126" t="s">
        <v>231</v>
      </c>
      <c r="J90" s="126" t="s">
        <v>192</v>
      </c>
      <c r="K90" s="126" t="s">
        <v>192</v>
      </c>
      <c r="L90" s="126" t="s">
        <v>2438</v>
      </c>
      <c r="M90" s="167"/>
      <c r="N90" s="126" t="s">
        <v>233</v>
      </c>
      <c r="O90" s="126" t="s">
        <v>234</v>
      </c>
      <c r="P90" s="126" t="s">
        <v>235</v>
      </c>
      <c r="Q90" s="181">
        <f>3215*2.4</f>
        <v>7716</v>
      </c>
      <c r="R90" s="181">
        <f>7750+100</f>
        <v>7850</v>
      </c>
      <c r="S90" s="181">
        <v>7792.0690000000004</v>
      </c>
      <c r="T90" s="181"/>
      <c r="X90" s="181">
        <f t="shared" si="49"/>
        <v>7792.0690000000004</v>
      </c>
      <c r="AX90" s="165">
        <f t="shared" si="35"/>
        <v>45159.333333333336</v>
      </c>
      <c r="AY90" s="165">
        <f t="shared" si="36"/>
        <v>45173.006944444445</v>
      </c>
      <c r="AZ90" s="137">
        <f t="shared" si="37"/>
        <v>13.673611111109494</v>
      </c>
      <c r="BA90" s="165">
        <v>45159.333333333336</v>
      </c>
      <c r="BB90" s="165">
        <v>45162.472222222219</v>
      </c>
      <c r="BC90" s="165">
        <v>45164.493055555555</v>
      </c>
      <c r="BD90" s="165">
        <v>45167.850694444445</v>
      </c>
      <c r="BE90" s="165">
        <v>45168.010416666664</v>
      </c>
      <c r="BF90" s="165">
        <v>45168.017361111109</v>
      </c>
      <c r="BG90" s="165">
        <v>45168.017361111109</v>
      </c>
      <c r="BH90" s="165">
        <f t="shared" si="38"/>
        <v>45169.725694444445</v>
      </c>
      <c r="BI90" s="210">
        <v>45170.25</v>
      </c>
      <c r="BJ90" s="210">
        <v>45170.416666666664</v>
      </c>
      <c r="BK90" s="165">
        <v>45170.3125</v>
      </c>
      <c r="BL90" s="165">
        <v>45171.520833333336</v>
      </c>
      <c r="BM90" s="165">
        <v>45172.131944444445</v>
      </c>
      <c r="BN90" s="165">
        <v>45172.375</v>
      </c>
      <c r="BO90" s="165">
        <v>45172.402777777781</v>
      </c>
      <c r="BP90" s="165">
        <v>45172.75</v>
      </c>
      <c r="BQ90" s="165">
        <v>45173.006944444445</v>
      </c>
      <c r="BT90" s="136">
        <f t="shared" si="39"/>
        <v>48.500000000058208</v>
      </c>
      <c r="BU90" s="136">
        <f t="shared" si="40"/>
        <v>3.8333333332557231</v>
      </c>
      <c r="BV90" s="136">
        <f t="shared" si="41"/>
        <v>41.000000000058208</v>
      </c>
      <c r="BW90" s="136">
        <f t="shared" si="47"/>
        <v>26.500000000116415</v>
      </c>
      <c r="BX90" s="135">
        <f t="shared" si="42"/>
        <v>5.8333333333139308</v>
      </c>
      <c r="BY90" s="135">
        <f t="shared" si="43"/>
        <v>6.1666666666860692</v>
      </c>
      <c r="BZ90" s="134">
        <f t="shared" si="44"/>
        <v>5.4930555555620231</v>
      </c>
      <c r="CA90" s="134">
        <f t="shared" si="45"/>
        <v>13.673611111109494</v>
      </c>
      <c r="CB90" s="133">
        <f t="shared" si="46"/>
        <v>0.40172676485577696</v>
      </c>
    </row>
    <row r="91" spans="1:82" s="126" customFormat="1">
      <c r="A91" s="192">
        <f t="shared" si="34"/>
        <v>45168.052083333336</v>
      </c>
      <c r="B91" s="126" t="s">
        <v>228</v>
      </c>
      <c r="C91" s="126" t="s">
        <v>229</v>
      </c>
      <c r="D91" s="126" t="s">
        <v>197</v>
      </c>
      <c r="E91" s="65" t="s">
        <v>2431</v>
      </c>
      <c r="G91" s="316">
        <v>45158.4375</v>
      </c>
      <c r="H91" s="316">
        <v>45158.4375</v>
      </c>
      <c r="I91" s="126" t="s">
        <v>231</v>
      </c>
      <c r="J91" s="126" t="s">
        <v>192</v>
      </c>
      <c r="K91" s="126" t="s">
        <v>192</v>
      </c>
      <c r="L91" s="126" t="s">
        <v>2440</v>
      </c>
      <c r="M91" s="167"/>
      <c r="N91" s="126" t="s">
        <v>695</v>
      </c>
      <c r="O91" s="126" t="s">
        <v>281</v>
      </c>
      <c r="P91" s="126" t="s">
        <v>235</v>
      </c>
      <c r="Q91" s="181">
        <f>3102*2.4</f>
        <v>7444.7999999999993</v>
      </c>
      <c r="R91" s="181">
        <f>7450+100</f>
        <v>7550</v>
      </c>
      <c r="S91" s="181">
        <v>7594.3689999999997</v>
      </c>
      <c r="T91" s="181"/>
      <c r="X91" s="181">
        <f t="shared" si="49"/>
        <v>7594.3689999999997</v>
      </c>
      <c r="AX91" s="165">
        <f t="shared" si="35"/>
        <v>45158.416666666664</v>
      </c>
      <c r="AY91" s="165">
        <f t="shared" si="36"/>
        <v>45172.951388888891</v>
      </c>
      <c r="AZ91" s="137">
        <f t="shared" si="37"/>
        <v>14.534722222226264</v>
      </c>
      <c r="BA91" s="165">
        <v>45158.416666666664</v>
      </c>
      <c r="BB91" s="165">
        <v>45162.517361111109</v>
      </c>
      <c r="BC91" s="165">
        <v>45164.854166666664</v>
      </c>
      <c r="BD91" s="165">
        <v>45168.052083333336</v>
      </c>
      <c r="BE91" s="165">
        <v>45168.229166666664</v>
      </c>
      <c r="BF91" s="165">
        <v>45168.267361111109</v>
      </c>
      <c r="BG91" s="165">
        <v>45168.267361111109</v>
      </c>
      <c r="BH91" s="165">
        <f t="shared" si="38"/>
        <v>45169.975694444445</v>
      </c>
      <c r="BI91" s="210">
        <v>45170.25</v>
      </c>
      <c r="BJ91" s="210">
        <v>45170.416666666664</v>
      </c>
      <c r="BK91" s="165">
        <v>45170.329861111109</v>
      </c>
      <c r="BL91" s="165">
        <v>45172.041666666664</v>
      </c>
      <c r="BM91" s="165">
        <v>45172.444444444445</v>
      </c>
      <c r="BN91" s="165">
        <v>45172.645833333336</v>
      </c>
      <c r="BO91" s="165">
        <v>45172.673611111109</v>
      </c>
      <c r="BP91" s="165">
        <v>45172.673611111109</v>
      </c>
      <c r="BQ91" s="165">
        <v>45172.951388888891</v>
      </c>
      <c r="BT91" s="136">
        <f t="shared" si="39"/>
        <v>56.083333333313931</v>
      </c>
      <c r="BU91" s="136">
        <f t="shared" si="40"/>
        <v>4.2499999998835847</v>
      </c>
      <c r="BV91" s="136">
        <f t="shared" si="41"/>
        <v>41.000000000058208</v>
      </c>
      <c r="BW91" s="136">
        <f t="shared" si="47"/>
        <v>39</v>
      </c>
      <c r="BX91" s="135">
        <f t="shared" si="42"/>
        <v>4.8333333333721384</v>
      </c>
      <c r="BY91" s="135">
        <f t="shared" si="43"/>
        <v>6.6666666667442769</v>
      </c>
      <c r="BZ91" s="134">
        <f t="shared" si="44"/>
        <v>6.3263888888905058</v>
      </c>
      <c r="CA91" s="134">
        <f t="shared" si="45"/>
        <v>14.534722222226264</v>
      </c>
      <c r="CB91" s="133">
        <f t="shared" si="46"/>
        <v>0.43526039178212111</v>
      </c>
    </row>
    <row r="92" spans="1:82" s="126" customFormat="1">
      <c r="A92" s="192">
        <f t="shared" si="34"/>
        <v>45168.503472222219</v>
      </c>
      <c r="B92" s="126" t="s">
        <v>228</v>
      </c>
      <c r="C92" s="126" t="s">
        <v>229</v>
      </c>
      <c r="D92" s="126" t="s">
        <v>197</v>
      </c>
      <c r="E92" s="65" t="s">
        <v>2431</v>
      </c>
      <c r="G92" s="316">
        <v>45158.4375</v>
      </c>
      <c r="H92" s="316">
        <v>45158.4375</v>
      </c>
      <c r="I92" s="126" t="s">
        <v>231</v>
      </c>
      <c r="J92" s="126" t="s">
        <v>192</v>
      </c>
      <c r="K92" s="126" t="s">
        <v>192</v>
      </c>
      <c r="L92" s="126" t="s">
        <v>2442</v>
      </c>
      <c r="M92" s="167"/>
      <c r="N92" s="126" t="s">
        <v>1240</v>
      </c>
      <c r="O92" s="126" t="s">
        <v>1241</v>
      </c>
      <c r="P92" s="126" t="s">
        <v>235</v>
      </c>
      <c r="Q92" s="181">
        <f>3243*2.4</f>
        <v>7783.2</v>
      </c>
      <c r="R92" s="181">
        <f>7800+100</f>
        <v>7900</v>
      </c>
      <c r="S92" s="181">
        <v>7811.7370000000001</v>
      </c>
      <c r="T92" s="181"/>
      <c r="X92" s="181">
        <f t="shared" si="49"/>
        <v>7811.7370000000001</v>
      </c>
      <c r="AX92" s="165">
        <f t="shared" si="35"/>
        <v>45160.270833333336</v>
      </c>
      <c r="AY92" s="165">
        <f t="shared" si="36"/>
        <v>45173.458333333336</v>
      </c>
      <c r="AZ92" s="137">
        <f t="shared" si="37"/>
        <v>13.1875</v>
      </c>
      <c r="BA92" s="165">
        <v>45160.270833333336</v>
      </c>
      <c r="BB92" s="165">
        <v>45163.805555555555</v>
      </c>
      <c r="BC92" s="165">
        <v>45165.555555555555</v>
      </c>
      <c r="BD92" s="165">
        <v>45168.503472222219</v>
      </c>
      <c r="BE92" s="165">
        <v>45168.654861111114</v>
      </c>
      <c r="BF92" s="165">
        <v>45168.659722222219</v>
      </c>
      <c r="BG92" s="165">
        <v>45168.659722222219</v>
      </c>
      <c r="BH92" s="165">
        <f t="shared" si="38"/>
        <v>45170.368055555555</v>
      </c>
      <c r="BI92" s="210">
        <v>45170.25</v>
      </c>
      <c r="BJ92" s="210">
        <v>45170.416666666664</v>
      </c>
      <c r="BK92" s="210">
        <v>45170.434027777781</v>
      </c>
      <c r="BL92" s="165">
        <v>45171.75</v>
      </c>
      <c r="BM92" s="165">
        <v>45172.715277777781</v>
      </c>
      <c r="BN92" s="165">
        <v>45173.034722222219</v>
      </c>
      <c r="BO92" s="165">
        <v>45173.069444444445</v>
      </c>
      <c r="BP92" s="165">
        <v>45173.069444444445</v>
      </c>
      <c r="BQ92" s="165">
        <v>45173.458333333336</v>
      </c>
      <c r="BT92" s="136">
        <f t="shared" si="39"/>
        <v>42</v>
      </c>
      <c r="BU92" s="136">
        <f t="shared" si="40"/>
        <v>3.6333333334769122</v>
      </c>
      <c r="BV92" s="136">
        <f t="shared" si="41"/>
        <v>41.000000000058208</v>
      </c>
      <c r="BW92" s="136">
        <f t="shared" si="47"/>
        <v>32.000000000058208</v>
      </c>
      <c r="BX92" s="135">
        <f t="shared" si="42"/>
        <v>7.6666666665114462</v>
      </c>
      <c r="BY92" s="135">
        <f t="shared" si="43"/>
        <v>9.3333333333721384</v>
      </c>
      <c r="BZ92" s="134">
        <f t="shared" si="44"/>
        <v>5.6513888888948713</v>
      </c>
      <c r="CA92" s="134">
        <f t="shared" si="45"/>
        <v>13.1875</v>
      </c>
      <c r="CB92" s="133">
        <f t="shared" si="46"/>
        <v>0.42854133754653051</v>
      </c>
    </row>
    <row r="93" spans="1:82" s="126" customFormat="1">
      <c r="A93" s="192">
        <f t="shared" si="34"/>
        <v>45168.333333333336</v>
      </c>
      <c r="B93" s="126" t="s">
        <v>228</v>
      </c>
      <c r="C93" s="126" t="s">
        <v>229</v>
      </c>
      <c r="D93" s="126" t="s">
        <v>197</v>
      </c>
      <c r="E93" s="65" t="s">
        <v>2431</v>
      </c>
      <c r="G93" s="316">
        <v>45158.4375</v>
      </c>
      <c r="H93" s="316">
        <v>45158.4375</v>
      </c>
      <c r="I93" s="126" t="s">
        <v>231</v>
      </c>
      <c r="J93" s="126" t="s">
        <v>192</v>
      </c>
      <c r="K93" s="126" t="s">
        <v>192</v>
      </c>
      <c r="L93" s="126" t="s">
        <v>2444</v>
      </c>
      <c r="M93" s="167"/>
      <c r="N93" s="126" t="s">
        <v>492</v>
      </c>
      <c r="O93" s="126" t="s">
        <v>493</v>
      </c>
      <c r="P93" s="126" t="s">
        <v>235</v>
      </c>
      <c r="Q93" s="181">
        <f>3152*2.4</f>
        <v>7564.7999999999993</v>
      </c>
      <c r="R93" s="181">
        <f>7600+100</f>
        <v>7700</v>
      </c>
      <c r="S93" s="181">
        <v>7502.1270000000004</v>
      </c>
      <c r="T93" s="181"/>
      <c r="X93" s="181">
        <f t="shared" si="49"/>
        <v>7502.1270000000004</v>
      </c>
      <c r="AX93" s="165">
        <f t="shared" si="35"/>
        <v>45160.583333333336</v>
      </c>
      <c r="AY93" s="165">
        <f t="shared" si="36"/>
        <v>45173.902777777781</v>
      </c>
      <c r="AZ93" s="137">
        <f t="shared" si="37"/>
        <v>13.319444444445253</v>
      </c>
      <c r="BA93" s="165">
        <v>45160.583333333336</v>
      </c>
      <c r="BB93" s="165">
        <v>45164.555555555555</v>
      </c>
      <c r="BC93" s="165">
        <v>45166.263888888891</v>
      </c>
      <c r="BD93" s="165">
        <v>45168.333333333336</v>
      </c>
      <c r="BE93" s="165">
        <v>45168.481944444444</v>
      </c>
      <c r="BF93" s="165">
        <v>45168.482638888891</v>
      </c>
      <c r="BG93" s="165">
        <v>45168.482638888891</v>
      </c>
      <c r="BH93" s="165">
        <f t="shared" si="38"/>
        <v>45170.190972222226</v>
      </c>
      <c r="BI93" s="210">
        <v>45170.25</v>
      </c>
      <c r="BJ93" s="210">
        <v>45170.416666666664</v>
      </c>
      <c r="BK93" s="165">
        <v>45170.309027777781</v>
      </c>
      <c r="BL93" s="165">
        <v>45171.5</v>
      </c>
      <c r="BM93" s="165">
        <v>45173.104166666664</v>
      </c>
      <c r="BN93" s="165">
        <v>45173.465277777781</v>
      </c>
      <c r="BO93" s="165">
        <v>45173.486111111109</v>
      </c>
      <c r="BP93" s="165">
        <v>45173.708333333336</v>
      </c>
      <c r="BQ93" s="165">
        <v>45173.902777777781</v>
      </c>
      <c r="BT93" s="136">
        <f t="shared" si="39"/>
        <v>41.000000000058208</v>
      </c>
      <c r="BU93" s="136">
        <f t="shared" si="40"/>
        <v>3.566666666592937</v>
      </c>
      <c r="BV93" s="136">
        <f t="shared" si="41"/>
        <v>41.000000000058208</v>
      </c>
      <c r="BW93" s="136">
        <f t="shared" si="47"/>
        <v>26.000000000058208</v>
      </c>
      <c r="BX93" s="135">
        <f t="shared" si="42"/>
        <v>8.6666666668024845</v>
      </c>
      <c r="BY93" s="135">
        <f t="shared" si="43"/>
        <v>4.6666666666860692</v>
      </c>
      <c r="BZ93" s="134">
        <f t="shared" si="44"/>
        <v>5.2041666666773381</v>
      </c>
      <c r="CA93" s="134">
        <f t="shared" si="45"/>
        <v>13.319444444445253</v>
      </c>
      <c r="CB93" s="133">
        <f t="shared" si="46"/>
        <v>0.39071949947940104</v>
      </c>
    </row>
    <row r="94" spans="1:82" s="126" customFormat="1">
      <c r="A94" s="192">
        <f t="shared" si="34"/>
        <v>45168.684027777781</v>
      </c>
      <c r="B94" s="126" t="s">
        <v>228</v>
      </c>
      <c r="C94" s="126" t="s">
        <v>229</v>
      </c>
      <c r="D94" s="126" t="s">
        <v>197</v>
      </c>
      <c r="E94" s="65" t="s">
        <v>2431</v>
      </c>
      <c r="G94" s="316">
        <v>45158.4375</v>
      </c>
      <c r="H94" s="316">
        <v>45158.4375</v>
      </c>
      <c r="I94" s="126" t="s">
        <v>231</v>
      </c>
      <c r="J94" s="126" t="s">
        <v>192</v>
      </c>
      <c r="K94" s="126" t="s">
        <v>192</v>
      </c>
      <c r="L94" s="126" t="s">
        <v>2445</v>
      </c>
      <c r="M94" s="167"/>
      <c r="N94" s="126" t="s">
        <v>2277</v>
      </c>
      <c r="O94" s="126" t="s">
        <v>2278</v>
      </c>
      <c r="P94" s="126" t="s">
        <v>235</v>
      </c>
      <c r="Q94" s="181">
        <f>3099 *2.4</f>
        <v>7437.5999999999995</v>
      </c>
      <c r="R94" s="181">
        <f>7500+100</f>
        <v>7600</v>
      </c>
      <c r="S94" s="181">
        <f>7512.901-4832.155</f>
        <v>2680.7460000000001</v>
      </c>
      <c r="T94" s="181"/>
      <c r="X94" s="181">
        <f t="shared" si="49"/>
        <v>2680.7460000000001</v>
      </c>
      <c r="AX94" s="165">
        <f t="shared" si="35"/>
        <v>45161.506944444445</v>
      </c>
      <c r="AY94" s="165">
        <f t="shared" si="36"/>
        <v>45173.694444444445</v>
      </c>
      <c r="AZ94" s="137">
        <f t="shared" si="37"/>
        <v>12.1875</v>
      </c>
      <c r="BA94" s="165">
        <v>45161.506944444445</v>
      </c>
      <c r="BB94" s="165">
        <v>45165.545138888891</v>
      </c>
      <c r="BC94" s="165">
        <v>45167.465277777781</v>
      </c>
      <c r="BD94" s="165">
        <v>45168.684027777781</v>
      </c>
      <c r="BE94" s="165">
        <v>45168.888888888891</v>
      </c>
      <c r="BF94" s="165">
        <v>45168.892361111109</v>
      </c>
      <c r="BG94" s="165">
        <v>45168.892361111109</v>
      </c>
      <c r="BH94" s="165">
        <f t="shared" si="38"/>
        <v>45170.600694444445</v>
      </c>
      <c r="BI94" s="210">
        <v>45171.25</v>
      </c>
      <c r="BJ94" s="210">
        <v>45171.416666608799</v>
      </c>
      <c r="BK94" s="210">
        <v>45171.34375</v>
      </c>
      <c r="BL94" s="165">
        <v>45172.625</v>
      </c>
      <c r="BM94" s="165">
        <v>45173.513888888891</v>
      </c>
      <c r="BN94" s="165">
        <v>45173.625</v>
      </c>
      <c r="BO94" s="165">
        <v>45173.694444444445</v>
      </c>
      <c r="BP94" s="165">
        <v>45173.694444444445</v>
      </c>
      <c r="BQ94" s="165">
        <v>45173.694444444445</v>
      </c>
      <c r="BT94" s="136">
        <f t="shared" si="39"/>
        <v>46.083333333372138</v>
      </c>
      <c r="BU94" s="136">
        <f t="shared" si="40"/>
        <v>4.9166666666278616</v>
      </c>
      <c r="BV94" s="136">
        <f t="shared" si="41"/>
        <v>41.000000000058208</v>
      </c>
      <c r="BW94" s="136">
        <f t="shared" si="47"/>
        <v>29.000001388834789</v>
      </c>
      <c r="BX94" s="135">
        <f t="shared" si="42"/>
        <v>2.6666666666278616</v>
      </c>
      <c r="BY94" s="135">
        <f t="shared" si="43"/>
        <v>0</v>
      </c>
      <c r="BZ94" s="134">
        <f t="shared" si="44"/>
        <v>5.1527778356467024</v>
      </c>
      <c r="CA94" s="134">
        <f t="shared" si="45"/>
        <v>12.1875</v>
      </c>
      <c r="CB94" s="133">
        <f t="shared" si="46"/>
        <v>0.42279202754024225</v>
      </c>
    </row>
    <row r="95" spans="1:82" s="126" customFormat="1">
      <c r="A95" s="192">
        <f t="shared" si="34"/>
        <v>45168.684027777781</v>
      </c>
      <c r="B95" s="126" t="s">
        <v>228</v>
      </c>
      <c r="C95" s="126" t="s">
        <v>229</v>
      </c>
      <c r="D95" s="126" t="s">
        <v>197</v>
      </c>
      <c r="E95" s="65" t="s">
        <v>2463</v>
      </c>
      <c r="G95" s="316">
        <v>45165.4375</v>
      </c>
      <c r="H95" s="316">
        <v>45165.408333333333</v>
      </c>
      <c r="I95" s="126" t="s">
        <v>231</v>
      </c>
      <c r="J95" s="126" t="s">
        <v>192</v>
      </c>
      <c r="K95" s="126" t="s">
        <v>192</v>
      </c>
      <c r="L95" s="126" t="s">
        <v>2445</v>
      </c>
      <c r="M95" s="167"/>
      <c r="N95" s="126" t="s">
        <v>2277</v>
      </c>
      <c r="O95" s="126" t="s">
        <v>2278</v>
      </c>
      <c r="P95" s="126" t="s">
        <v>235</v>
      </c>
      <c r="Q95" s="181">
        <f>3099 *2.4</f>
        <v>7437.5999999999995</v>
      </c>
      <c r="R95" s="181">
        <f>7500+100</f>
        <v>7600</v>
      </c>
      <c r="S95" s="181">
        <v>3334.3719999999998</v>
      </c>
      <c r="T95" s="181"/>
      <c r="X95" s="181">
        <f t="shared" si="49"/>
        <v>3334.3719999999998</v>
      </c>
      <c r="AX95" s="165">
        <f t="shared" si="35"/>
        <v>45161.506944444445</v>
      </c>
      <c r="AY95" s="165">
        <f t="shared" si="36"/>
        <v>45179</v>
      </c>
      <c r="AZ95" s="137">
        <f t="shared" si="37"/>
        <v>17.493055555554747</v>
      </c>
      <c r="BA95" s="165">
        <v>45161.506944444445</v>
      </c>
      <c r="BB95" s="165">
        <v>45165.545138888891</v>
      </c>
      <c r="BC95" s="165">
        <v>45167.465277777781</v>
      </c>
      <c r="BD95" s="165">
        <v>45168.684027777781</v>
      </c>
      <c r="BE95" s="165">
        <v>45168.888888888891</v>
      </c>
      <c r="BF95" s="165">
        <v>45168.892361111109</v>
      </c>
      <c r="BG95" s="165">
        <v>45168.892361111109</v>
      </c>
      <c r="BH95" s="165">
        <f t="shared" si="38"/>
        <v>45170.600694444445</v>
      </c>
      <c r="BI95" s="165">
        <v>45171.25</v>
      </c>
      <c r="BJ95" s="165">
        <v>45171.416666608799</v>
      </c>
      <c r="BK95" s="165">
        <v>45171.34375</v>
      </c>
      <c r="BL95" s="165">
        <v>45173.694444444445</v>
      </c>
      <c r="BM95" s="165">
        <v>45178.333333333336</v>
      </c>
      <c r="BN95" s="165">
        <v>45178.493055555555</v>
      </c>
      <c r="BO95" s="165">
        <v>45178.503472222219</v>
      </c>
      <c r="BP95" s="165">
        <v>45178.6875</v>
      </c>
      <c r="BQ95" s="165">
        <v>45179</v>
      </c>
      <c r="BT95" s="136">
        <f t="shared" si="39"/>
        <v>46.083333333372138</v>
      </c>
      <c r="BU95" s="136">
        <f t="shared" si="40"/>
        <v>4.9166666666278616</v>
      </c>
      <c r="BV95" s="136">
        <f t="shared" si="41"/>
        <v>41.000000000058208</v>
      </c>
      <c r="BW95" s="136">
        <f t="shared" si="47"/>
        <v>54.666668055520859</v>
      </c>
      <c r="BX95" s="135">
        <f t="shared" si="42"/>
        <v>3.8333333332557231</v>
      </c>
      <c r="BY95" s="135">
        <f t="shared" si="43"/>
        <v>7.5</v>
      </c>
      <c r="BZ95" s="134">
        <f t="shared" si="44"/>
        <v>6.5833333912014496</v>
      </c>
      <c r="CA95" s="134">
        <f t="shared" si="45"/>
        <v>17.493055555554747</v>
      </c>
      <c r="CB95" s="133">
        <f t="shared" si="46"/>
        <v>0.37633982069593191</v>
      </c>
    </row>
    <row r="96" spans="1:82" s="126" customFormat="1">
      <c r="A96" s="192">
        <f t="shared" si="34"/>
        <v>45169.088194444441</v>
      </c>
      <c r="B96" s="126" t="s">
        <v>228</v>
      </c>
      <c r="C96" s="126" t="s">
        <v>229</v>
      </c>
      <c r="D96" s="126" t="s">
        <v>197</v>
      </c>
      <c r="E96" s="65" t="s">
        <v>2457</v>
      </c>
      <c r="G96" s="316">
        <v>45175.375</v>
      </c>
      <c r="H96" s="316">
        <v>45175.34375</v>
      </c>
      <c r="I96" s="126" t="s">
        <v>434</v>
      </c>
      <c r="J96" s="126" t="s">
        <v>192</v>
      </c>
      <c r="K96" s="126" t="s">
        <v>192</v>
      </c>
      <c r="L96" s="126" t="s">
        <v>2462</v>
      </c>
      <c r="M96" s="167"/>
      <c r="N96" s="126" t="s">
        <v>307</v>
      </c>
      <c r="O96" s="126" t="s">
        <v>308</v>
      </c>
      <c r="P96" s="126" t="s">
        <v>240</v>
      </c>
      <c r="Q96" s="181">
        <f>3170*2.4</f>
        <v>7608</v>
      </c>
      <c r="R96" s="181">
        <f>7550+100</f>
        <v>7650</v>
      </c>
      <c r="S96" s="181">
        <v>7551.509</v>
      </c>
      <c r="T96" s="181"/>
      <c r="Y96" s="181">
        <f>S96</f>
        <v>7551.509</v>
      </c>
      <c r="AX96" s="165">
        <f t="shared" si="35"/>
        <v>45160.563888888886</v>
      </c>
      <c r="AY96" s="165">
        <f t="shared" si="36"/>
        <v>45178.954861111109</v>
      </c>
      <c r="AZ96" s="137">
        <f t="shared" si="37"/>
        <v>18.390972222223354</v>
      </c>
      <c r="BA96" s="165">
        <v>45160.563888888886</v>
      </c>
      <c r="BB96" s="165">
        <v>45164.590277777781</v>
      </c>
      <c r="BC96" s="165">
        <v>45166.395833333336</v>
      </c>
      <c r="BD96" s="165">
        <v>45169.088194444441</v>
      </c>
      <c r="BE96" s="165">
        <v>45169.21875</v>
      </c>
      <c r="BF96" s="165">
        <v>45169.232638888891</v>
      </c>
      <c r="BG96" s="165">
        <v>45169.232638888891</v>
      </c>
      <c r="BH96" s="165">
        <f t="shared" si="38"/>
        <v>45170.940972222226</v>
      </c>
      <c r="BI96" s="210">
        <v>45171.25</v>
      </c>
      <c r="BJ96" s="210">
        <v>45171.416666608799</v>
      </c>
      <c r="BK96" s="210">
        <v>45171.340277777781</v>
      </c>
      <c r="BL96" s="165">
        <v>45177.8125</v>
      </c>
      <c r="BM96" s="165">
        <v>45178.552083333336</v>
      </c>
      <c r="BN96" s="165">
        <v>45178.944444444445</v>
      </c>
      <c r="BO96" s="165">
        <v>45178.954861111109</v>
      </c>
      <c r="BP96" s="165">
        <v>45178.954861111109</v>
      </c>
      <c r="BQ96" s="165">
        <v>45178.954861111109</v>
      </c>
      <c r="BR96" s="126" t="s">
        <v>2699</v>
      </c>
      <c r="BT96" s="136">
        <f t="shared" si="39"/>
        <v>43.333333333313931</v>
      </c>
      <c r="BU96" s="136">
        <f t="shared" si="40"/>
        <v>3.1333333334187046</v>
      </c>
      <c r="BV96" s="136">
        <f t="shared" si="41"/>
        <v>41.000000000058208</v>
      </c>
      <c r="BW96" s="136">
        <f t="shared" si="47"/>
        <v>153.50000138883479</v>
      </c>
      <c r="BX96" s="135">
        <f t="shared" si="42"/>
        <v>9.4166666666278616</v>
      </c>
      <c r="BY96" s="135">
        <f t="shared" si="43"/>
        <v>0</v>
      </c>
      <c r="BZ96" s="134">
        <f t="shared" si="44"/>
        <v>10.432638946760562</v>
      </c>
      <c r="CA96" s="134">
        <f t="shared" si="45"/>
        <v>18.390972222223354</v>
      </c>
      <c r="CB96" s="133">
        <f t="shared" si="46"/>
        <v>0.56726957230428143</v>
      </c>
    </row>
    <row r="97" spans="1:80" s="126" customFormat="1">
      <c r="A97" s="192">
        <f t="shared" si="34"/>
        <v>45169.253472222219</v>
      </c>
      <c r="B97" s="126" t="s">
        <v>228</v>
      </c>
      <c r="C97" s="126" t="s">
        <v>229</v>
      </c>
      <c r="D97" s="126" t="s">
        <v>197</v>
      </c>
      <c r="E97" s="65" t="s">
        <v>2457</v>
      </c>
      <c r="G97" s="316">
        <v>45175.375</v>
      </c>
      <c r="H97" s="316">
        <v>45175.34375</v>
      </c>
      <c r="I97" s="126" t="s">
        <v>434</v>
      </c>
      <c r="J97" s="126" t="s">
        <v>192</v>
      </c>
      <c r="K97" s="126" t="s">
        <v>192</v>
      </c>
      <c r="L97" s="126" t="s">
        <v>2461</v>
      </c>
      <c r="M97" s="167"/>
      <c r="N97" s="126" t="s">
        <v>371</v>
      </c>
      <c r="O97" s="126" t="s">
        <v>372</v>
      </c>
      <c r="P97" s="126" t="s">
        <v>240</v>
      </c>
      <c r="Q97" s="181">
        <f>3117*2.4</f>
        <v>7480.7999999999993</v>
      </c>
      <c r="R97" s="181">
        <f>7500+100</f>
        <v>7600</v>
      </c>
      <c r="S97" s="181">
        <v>7421.8280000000004</v>
      </c>
      <c r="T97" s="181"/>
      <c r="Y97" s="181">
        <f>S97</f>
        <v>7421.8280000000004</v>
      </c>
      <c r="AX97" s="165">
        <f t="shared" si="35"/>
        <v>45163.201388888891</v>
      </c>
      <c r="AY97" s="165">
        <f t="shared" si="36"/>
        <v>45180.972916666666</v>
      </c>
      <c r="AZ97" s="137">
        <f t="shared" si="37"/>
        <v>17.771527777775191</v>
      </c>
      <c r="BA97" s="165">
        <v>45163.201388888891</v>
      </c>
      <c r="BB97" s="165">
        <v>45166.504861111112</v>
      </c>
      <c r="BC97" s="165">
        <v>45168.326388888891</v>
      </c>
      <c r="BD97" s="165">
        <v>45169.253472222219</v>
      </c>
      <c r="BE97" s="165">
        <v>45169.440972222219</v>
      </c>
      <c r="BF97" s="165">
        <v>45169.444444444445</v>
      </c>
      <c r="BG97" s="165">
        <v>45169.444444444445</v>
      </c>
      <c r="BH97" s="165">
        <f t="shared" si="38"/>
        <v>45171.152777777781</v>
      </c>
      <c r="BI97" s="210">
        <v>45171.25</v>
      </c>
      <c r="BJ97" s="210">
        <v>45171.416666608799</v>
      </c>
      <c r="BK97" s="210">
        <v>45171.327777777777</v>
      </c>
      <c r="BL97" s="165">
        <v>45175.853472222225</v>
      </c>
      <c r="BM97" s="165">
        <v>45178.010416666664</v>
      </c>
      <c r="BN97" s="165">
        <v>45178.444444444445</v>
      </c>
      <c r="BO97" s="165">
        <v>45178.454861111109</v>
      </c>
      <c r="BP97" s="165">
        <v>45178.701388888891</v>
      </c>
      <c r="BQ97" s="165">
        <v>45180.972916666666</v>
      </c>
      <c r="BT97" s="136">
        <f t="shared" si="39"/>
        <v>43.716666666674428</v>
      </c>
      <c r="BU97" s="136">
        <f t="shared" si="40"/>
        <v>4.5</v>
      </c>
      <c r="BV97" s="136">
        <f t="shared" si="41"/>
        <v>41.000000000058208</v>
      </c>
      <c r="BW97" s="136">
        <f t="shared" si="47"/>
        <v>106.48333472223021</v>
      </c>
      <c r="BX97" s="135">
        <f t="shared" si="42"/>
        <v>10.416666666744277</v>
      </c>
      <c r="BY97" s="135">
        <f t="shared" si="43"/>
        <v>54.516666666604578</v>
      </c>
      <c r="BZ97" s="134">
        <f t="shared" si="44"/>
        <v>10.859722280096321</v>
      </c>
      <c r="CA97" s="134">
        <f t="shared" si="45"/>
        <v>17.771527777775191</v>
      </c>
      <c r="CB97" s="133">
        <f t="shared" si="46"/>
        <v>0.61107420903211984</v>
      </c>
    </row>
    <row r="98" spans="1:80" s="126" customFormat="1">
      <c r="A98" s="192">
        <f t="shared" si="34"/>
        <v>45169.74722222222</v>
      </c>
      <c r="B98" s="126" t="s">
        <v>228</v>
      </c>
      <c r="C98" s="126" t="s">
        <v>229</v>
      </c>
      <c r="D98" s="126" t="s">
        <v>197</v>
      </c>
      <c r="E98" s="65" t="s">
        <v>1324</v>
      </c>
      <c r="G98" s="165">
        <v>45170.006944444445</v>
      </c>
      <c r="H98" s="165">
        <v>45170.006944444445</v>
      </c>
      <c r="I98" s="126" t="s">
        <v>243</v>
      </c>
      <c r="J98" s="126" t="s">
        <v>192</v>
      </c>
      <c r="K98" s="126" t="s">
        <v>192</v>
      </c>
      <c r="L98" s="126" t="s">
        <v>2700</v>
      </c>
      <c r="M98" s="167"/>
      <c r="N98" s="126" t="s">
        <v>257</v>
      </c>
      <c r="O98" s="126" t="s">
        <v>258</v>
      </c>
      <c r="P98" s="126" t="s">
        <v>2701</v>
      </c>
      <c r="Q98" s="181">
        <f>3139*2.4</f>
        <v>7533.5999999999995</v>
      </c>
      <c r="R98" s="181">
        <f>7550+100</f>
        <v>7650</v>
      </c>
      <c r="S98" s="262">
        <v>7532.1779999999999</v>
      </c>
      <c r="T98" s="181"/>
      <c r="X98" s="181">
        <f>S98*0.5</f>
        <v>3766.0889999999999</v>
      </c>
      <c r="Y98" s="181">
        <f>S98*0.5</f>
        <v>3766.0889999999999</v>
      </c>
      <c r="AX98" s="165">
        <f t="shared" si="35"/>
        <v>45162.559027777781</v>
      </c>
      <c r="AY98" s="165">
        <f t="shared" si="36"/>
        <v>45177.166666666664</v>
      </c>
      <c r="AZ98" s="137">
        <f t="shared" si="37"/>
        <v>14.60763888888323</v>
      </c>
      <c r="BA98" s="165">
        <v>45162.559027777781</v>
      </c>
      <c r="BB98" s="165">
        <v>45166.75</v>
      </c>
      <c r="BC98" s="165">
        <v>45168.5</v>
      </c>
      <c r="BD98" s="165">
        <v>45169.74722222222</v>
      </c>
      <c r="BE98" s="165">
        <v>45169.930555555555</v>
      </c>
      <c r="BF98" s="165">
        <v>45169.934027777781</v>
      </c>
      <c r="BG98" s="165">
        <f>BF98+(0.5/24)</f>
        <v>45169.954861111117</v>
      </c>
      <c r="BH98" s="165">
        <f t="shared" si="38"/>
        <v>45171.663194444453</v>
      </c>
      <c r="BI98" s="210">
        <v>45172.25</v>
      </c>
      <c r="BJ98" s="210">
        <v>45172.416666608799</v>
      </c>
      <c r="BK98" s="210">
        <v>45172.274305555555</v>
      </c>
      <c r="BL98" s="165">
        <v>45173.743055555555</v>
      </c>
      <c r="BM98" s="165">
        <v>45174.5</v>
      </c>
      <c r="BN98" s="165">
        <v>45176.690972222219</v>
      </c>
      <c r="BO98" s="165">
        <v>45176.743055555555</v>
      </c>
      <c r="BP98" s="165">
        <v>45176.746527777781</v>
      </c>
      <c r="BQ98" s="165">
        <v>45177.166666666664</v>
      </c>
      <c r="BR98" s="126" t="s">
        <v>2658</v>
      </c>
      <c r="BT98" s="136">
        <f t="shared" si="39"/>
        <v>42</v>
      </c>
      <c r="BU98" s="136">
        <f t="shared" si="40"/>
        <v>4.4000000000232831</v>
      </c>
      <c r="BV98" s="136">
        <f t="shared" si="41"/>
        <v>41.000000000058208</v>
      </c>
      <c r="BW98" s="136">
        <f t="shared" si="47"/>
        <v>31.83333472214872</v>
      </c>
      <c r="BX98" s="135">
        <f t="shared" si="42"/>
        <v>52.583333333255723</v>
      </c>
      <c r="BY98" s="135">
        <f t="shared" si="43"/>
        <v>10.083333333197515</v>
      </c>
      <c r="BZ98" s="134">
        <f t="shared" si="44"/>
        <v>7.5791667245284771</v>
      </c>
      <c r="CA98" s="134">
        <f t="shared" si="45"/>
        <v>14.60763888888323</v>
      </c>
      <c r="CB98" s="133">
        <f t="shared" si="46"/>
        <v>0.51884954044807396</v>
      </c>
    </row>
    <row r="99" spans="1:80" s="126" customFormat="1">
      <c r="A99" s="192">
        <f t="shared" si="34"/>
        <v>45142.967361111114</v>
      </c>
      <c r="B99" s="126" t="s">
        <v>228</v>
      </c>
      <c r="C99" s="126" t="s">
        <v>229</v>
      </c>
      <c r="D99" s="126" t="s">
        <v>197</v>
      </c>
      <c r="E99" s="65" t="s">
        <v>745</v>
      </c>
      <c r="G99" s="165">
        <v>45146.677083333336</v>
      </c>
      <c r="H99" s="165">
        <v>45146.686805555553</v>
      </c>
      <c r="I99" s="126" t="s">
        <v>1031</v>
      </c>
      <c r="J99" s="126" t="s">
        <v>192</v>
      </c>
      <c r="K99" s="126" t="s">
        <v>192</v>
      </c>
      <c r="L99" s="126" t="s">
        <v>2271</v>
      </c>
      <c r="M99" s="167"/>
      <c r="N99" s="126" t="s">
        <v>2156</v>
      </c>
      <c r="O99" s="126" t="s">
        <v>1835</v>
      </c>
      <c r="P99" s="126" t="s">
        <v>173</v>
      </c>
      <c r="Q99" s="181">
        <f>3131*2.4</f>
        <v>7514.4</v>
      </c>
      <c r="R99" s="181">
        <f>7550+100</f>
        <v>7650</v>
      </c>
      <c r="S99" s="181">
        <v>6687.2359999999999</v>
      </c>
      <c r="T99" s="181"/>
      <c r="AA99" s="181">
        <f>S99</f>
        <v>6687.2359999999999</v>
      </c>
      <c r="AX99" s="165">
        <f t="shared" si="35"/>
        <v>45136.791666666664</v>
      </c>
      <c r="AY99" s="165">
        <f t="shared" si="36"/>
        <v>45148.104166666664</v>
      </c>
      <c r="AZ99" s="137">
        <f t="shared" si="37"/>
        <v>11.3125</v>
      </c>
      <c r="BA99" s="165">
        <v>45136.791666666664</v>
      </c>
      <c r="BB99" s="165">
        <v>45138.569444444445</v>
      </c>
      <c r="BC99" s="165">
        <v>45140.270833333336</v>
      </c>
      <c r="BD99" s="165">
        <v>45142.967361111114</v>
      </c>
      <c r="BE99" s="165">
        <v>45143.135416666664</v>
      </c>
      <c r="BF99" s="165">
        <v>45143.145833333336</v>
      </c>
      <c r="BG99" s="165">
        <v>45143.145833333336</v>
      </c>
      <c r="BH99" s="165">
        <f t="shared" si="38"/>
        <v>45144.854166666672</v>
      </c>
      <c r="BI99" s="165">
        <v>45145.25</v>
      </c>
      <c r="BJ99" s="165">
        <v>45145.416666608799</v>
      </c>
      <c r="BK99" s="165">
        <v>45145.361111111109</v>
      </c>
      <c r="BL99" s="165">
        <v>45146.65625</v>
      </c>
      <c r="BM99" s="165">
        <v>45147.0625</v>
      </c>
      <c r="BN99" s="165">
        <v>45147.569444444445</v>
      </c>
      <c r="BO99" s="165">
        <v>45147.604166666664</v>
      </c>
      <c r="BP99" s="165">
        <v>45147.770833333336</v>
      </c>
      <c r="BQ99" s="165">
        <v>45148.104166666664</v>
      </c>
      <c r="BT99" s="136">
        <f t="shared" si="39"/>
        <v>40.833333333372138</v>
      </c>
      <c r="BU99" s="136">
        <f t="shared" si="40"/>
        <v>4.033333333209157</v>
      </c>
      <c r="BV99" s="136">
        <f t="shared" si="41"/>
        <v>41.000000000058208</v>
      </c>
      <c r="BW99" s="136">
        <f t="shared" si="47"/>
        <v>29.750001388834789</v>
      </c>
      <c r="BX99" s="135">
        <f t="shared" si="42"/>
        <v>12.166666666686069</v>
      </c>
      <c r="BY99" s="135">
        <f t="shared" si="43"/>
        <v>7.9999999998835847</v>
      </c>
      <c r="BZ99" s="134">
        <f t="shared" si="44"/>
        <v>5.6576389467518311</v>
      </c>
      <c r="CA99" s="134">
        <f t="shared" si="45"/>
        <v>11.3125</v>
      </c>
      <c r="CB99" s="133">
        <f t="shared" si="46"/>
        <v>0.50012277982336628</v>
      </c>
    </row>
    <row r="100" spans="1:80" s="126" customFormat="1">
      <c r="A100" s="192">
        <f t="shared" ref="A100:A131" si="50">BD100</f>
        <v>45148.101388888892</v>
      </c>
      <c r="B100" s="126" t="s">
        <v>228</v>
      </c>
      <c r="C100" s="126" t="s">
        <v>229</v>
      </c>
      <c r="D100" s="126" t="s">
        <v>197</v>
      </c>
      <c r="E100" s="65" t="s">
        <v>2298</v>
      </c>
      <c r="G100" s="165">
        <v>45147.25</v>
      </c>
      <c r="H100" s="165">
        <v>45147.245833333334</v>
      </c>
      <c r="I100" s="126" t="s">
        <v>1550</v>
      </c>
      <c r="J100" s="126" t="s">
        <v>192</v>
      </c>
      <c r="K100" s="126" t="s">
        <v>192</v>
      </c>
      <c r="L100" s="126" t="s">
        <v>2301</v>
      </c>
      <c r="M100" s="167"/>
      <c r="N100" s="126" t="s">
        <v>330</v>
      </c>
      <c r="O100" s="126" t="s">
        <v>331</v>
      </c>
      <c r="P100" s="126" t="s">
        <v>173</v>
      </c>
      <c r="Q100" s="181">
        <f>3136*2.4</f>
        <v>7526.4</v>
      </c>
      <c r="R100" s="181">
        <f>7550+100</f>
        <v>7650</v>
      </c>
      <c r="S100" s="181">
        <v>6786.2129999999997</v>
      </c>
      <c r="T100" s="181"/>
      <c r="AA100" s="181">
        <f>S100</f>
        <v>6786.2129999999997</v>
      </c>
      <c r="AX100" s="165">
        <f t="shared" ref="AX100:AX131" si="51">BA100</f>
        <v>45144.482638888891</v>
      </c>
      <c r="AY100" s="165">
        <f t="shared" ref="AY100:AY131" si="52">BQ100</f>
        <v>45151.982638888891</v>
      </c>
      <c r="AZ100" s="137">
        <f t="shared" ref="AZ100:AZ131" si="53">AY100-AX100</f>
        <v>7.5</v>
      </c>
      <c r="BA100" s="165">
        <v>45144.482638888891</v>
      </c>
      <c r="BB100" s="165">
        <v>45145.78125</v>
      </c>
      <c r="BC100" s="165">
        <v>45147.375</v>
      </c>
      <c r="BD100" s="165">
        <v>45148.101388888892</v>
      </c>
      <c r="BE100" s="165">
        <v>45148.243055555555</v>
      </c>
      <c r="BF100" s="165">
        <v>45148.25</v>
      </c>
      <c r="BG100" s="165">
        <v>45148.25</v>
      </c>
      <c r="BH100" s="165">
        <f t="shared" si="38"/>
        <v>45149.958333333336</v>
      </c>
      <c r="BI100" s="210">
        <v>45150.229166666664</v>
      </c>
      <c r="BJ100" s="210">
        <v>45150.395833333336</v>
      </c>
      <c r="BK100" s="210">
        <v>45150.284722222219</v>
      </c>
      <c r="BL100" s="165">
        <v>45151.583333333336</v>
      </c>
      <c r="BM100" s="165">
        <v>45151.802083333336</v>
      </c>
      <c r="BN100" s="165">
        <v>45151.982638888891</v>
      </c>
      <c r="BO100" s="165">
        <v>45151.982638888891</v>
      </c>
      <c r="BP100" s="165">
        <v>45151.982638888891</v>
      </c>
      <c r="BQ100" s="165">
        <v>45151.982638888891</v>
      </c>
      <c r="BT100" s="136">
        <f t="shared" ref="BT100:BT131" si="54">(BC100-BB100)*24</f>
        <v>38.25</v>
      </c>
      <c r="BU100" s="136">
        <f t="shared" ref="BU100:BU131" si="55">(BE100-BD100)*24</f>
        <v>3.3999999999068677</v>
      </c>
      <c r="BV100" s="136">
        <f t="shared" ref="BV100:BV131" si="56">(BH100-BG100)*24</f>
        <v>41.000000000058208</v>
      </c>
      <c r="BW100" s="136">
        <f t="shared" si="47"/>
        <v>28.5</v>
      </c>
      <c r="BX100" s="135">
        <f t="shared" ref="BX100:BX131" si="57">(BN100-BM100)*24</f>
        <v>4.3333333333139308</v>
      </c>
      <c r="BY100" s="135">
        <f t="shared" ref="BY100:BY131" si="58">(BQ100-BP100)*24</f>
        <v>0</v>
      </c>
      <c r="BZ100" s="134">
        <f t="shared" ref="BZ100:BZ131" si="59">SUM(BT100:BY100)/24</f>
        <v>4.8118055555532919</v>
      </c>
      <c r="CA100" s="134">
        <f t="shared" ref="CA100:CA131" si="60">AZ100</f>
        <v>7.5</v>
      </c>
      <c r="CB100" s="133">
        <f t="shared" ref="CB100:CB131" si="61">BZ100/CA100</f>
        <v>0.6415740740737722</v>
      </c>
    </row>
    <row r="101" spans="1:80" s="126" customFormat="1">
      <c r="A101" s="192">
        <f t="shared" si="50"/>
        <v>45154.194444444445</v>
      </c>
      <c r="B101" s="126" t="s">
        <v>228</v>
      </c>
      <c r="C101" s="126" t="s">
        <v>229</v>
      </c>
      <c r="D101" s="126" t="s">
        <v>197</v>
      </c>
      <c r="E101" s="65" t="s">
        <v>2361</v>
      </c>
      <c r="G101" s="316">
        <v>45151.166666666664</v>
      </c>
      <c r="H101" s="316">
        <v>45151.112500000003</v>
      </c>
      <c r="I101" s="126" t="s">
        <v>1031</v>
      </c>
      <c r="J101" s="126" t="s">
        <v>192</v>
      </c>
      <c r="K101" s="126" t="s">
        <v>192</v>
      </c>
      <c r="L101" s="126" t="s">
        <v>2367</v>
      </c>
      <c r="M101" s="167"/>
      <c r="N101" s="126" t="s">
        <v>1240</v>
      </c>
      <c r="O101" s="126" t="s">
        <v>1241</v>
      </c>
      <c r="P101" s="126" t="s">
        <v>173</v>
      </c>
      <c r="Q101" s="181">
        <f>3243*2.4</f>
        <v>7783.2</v>
      </c>
      <c r="R101" s="181">
        <f>7800+100</f>
        <v>7900</v>
      </c>
      <c r="S101" s="181">
        <v>7510.9160000000002</v>
      </c>
      <c r="T101" s="181"/>
      <c r="AA101" s="181">
        <f>S101</f>
        <v>7510.9160000000002</v>
      </c>
      <c r="AX101" s="165">
        <f t="shared" si="51"/>
        <v>45149.291666666664</v>
      </c>
      <c r="AY101" s="165">
        <f t="shared" si="52"/>
        <v>45160.270833333336</v>
      </c>
      <c r="AZ101" s="137">
        <f t="shared" si="53"/>
        <v>10.979166666671517</v>
      </c>
      <c r="BA101" s="165">
        <v>45149.291666666664</v>
      </c>
      <c r="BB101" s="165">
        <v>45149.803472222222</v>
      </c>
      <c r="BC101" s="165">
        <v>45151.520833333336</v>
      </c>
      <c r="BD101" s="165">
        <v>45154.194444444445</v>
      </c>
      <c r="BE101" s="165">
        <v>45154.482638888891</v>
      </c>
      <c r="BF101" s="165">
        <v>45154.486111111109</v>
      </c>
      <c r="BG101" s="165">
        <v>45154.486111111109</v>
      </c>
      <c r="BH101" s="165">
        <f t="shared" si="38"/>
        <v>45156.194444444445</v>
      </c>
      <c r="BI101" s="210">
        <v>45156.25</v>
      </c>
      <c r="BJ101" s="210">
        <v>45156.416666608799</v>
      </c>
      <c r="BK101" s="165">
        <v>45156.413194444445</v>
      </c>
      <c r="BL101" s="165">
        <v>45157.690972222219</v>
      </c>
      <c r="BM101" s="165">
        <v>45159.506944444445</v>
      </c>
      <c r="BN101" s="165">
        <v>45159.833333333336</v>
      </c>
      <c r="BO101" s="165">
        <v>45159.875</v>
      </c>
      <c r="BP101" s="165">
        <v>45159.875</v>
      </c>
      <c r="BQ101" s="165">
        <v>45160.270833333336</v>
      </c>
      <c r="BT101" s="136">
        <f t="shared" si="54"/>
        <v>41.216666666732635</v>
      </c>
      <c r="BU101" s="136">
        <f t="shared" si="55"/>
        <v>6.9166666666860692</v>
      </c>
      <c r="BV101" s="136">
        <f t="shared" si="56"/>
        <v>41.000000000058208</v>
      </c>
      <c r="BW101" s="136">
        <f t="shared" si="47"/>
        <v>30.583334722090513</v>
      </c>
      <c r="BX101" s="135">
        <f t="shared" si="57"/>
        <v>7.8333333333721384</v>
      </c>
      <c r="BY101" s="135">
        <f t="shared" si="58"/>
        <v>9.5000000000582077</v>
      </c>
      <c r="BZ101" s="134">
        <f t="shared" si="59"/>
        <v>5.7104167245415738</v>
      </c>
      <c r="CA101" s="134">
        <f t="shared" si="60"/>
        <v>10.979166666671517</v>
      </c>
      <c r="CB101" s="133">
        <f t="shared" si="61"/>
        <v>0.52011385726351889</v>
      </c>
    </row>
    <row r="102" spans="1:80" s="126" customFormat="1">
      <c r="A102" s="192">
        <f t="shared" si="50"/>
        <v>45166.740972222222</v>
      </c>
      <c r="B102" s="126" t="s">
        <v>228</v>
      </c>
      <c r="C102" s="126" t="s">
        <v>229</v>
      </c>
      <c r="D102" s="126" t="s">
        <v>197</v>
      </c>
      <c r="E102" s="65" t="s">
        <v>2431</v>
      </c>
      <c r="G102" s="316">
        <v>45158.4375</v>
      </c>
      <c r="H102" s="316">
        <v>45158.4375</v>
      </c>
      <c r="I102" s="126" t="s">
        <v>1031</v>
      </c>
      <c r="J102" s="126" t="s">
        <v>192</v>
      </c>
      <c r="K102" s="126" t="s">
        <v>192</v>
      </c>
      <c r="L102" s="126" t="s">
        <v>2441</v>
      </c>
      <c r="M102" s="167"/>
      <c r="N102" s="126" t="s">
        <v>238</v>
      </c>
      <c r="O102" s="126" t="s">
        <v>239</v>
      </c>
      <c r="P102" s="126" t="s">
        <v>173</v>
      </c>
      <c r="Q102" s="181">
        <f>3100*2.4</f>
        <v>7440</v>
      </c>
      <c r="R102" s="181">
        <f>7450+100</f>
        <v>7550</v>
      </c>
      <c r="S102" s="181">
        <v>5231.18</v>
      </c>
      <c r="T102" s="181"/>
      <c r="AA102" s="181">
        <f>S102</f>
        <v>5231.18</v>
      </c>
      <c r="AX102" s="165">
        <f t="shared" si="51"/>
        <v>45159.194444444445</v>
      </c>
      <c r="AY102" s="165">
        <f t="shared" si="52"/>
        <v>45173.458333333336</v>
      </c>
      <c r="AZ102" s="137">
        <f t="shared" si="53"/>
        <v>14.263888888890506</v>
      </c>
      <c r="BA102" s="165">
        <v>45159.194444444445</v>
      </c>
      <c r="BB102" s="165">
        <v>45162.513888888891</v>
      </c>
      <c r="BC102" s="165">
        <v>45163.270833333336</v>
      </c>
      <c r="BD102" s="165">
        <v>45166.740972222222</v>
      </c>
      <c r="BE102" s="165">
        <v>45166.940972222219</v>
      </c>
      <c r="BF102" s="165">
        <v>45166.947916666664</v>
      </c>
      <c r="BG102" s="165">
        <v>45166.947916666664</v>
      </c>
      <c r="BH102" s="165">
        <f t="shared" si="38"/>
        <v>45168.65625</v>
      </c>
      <c r="BI102" s="210">
        <v>45169.25</v>
      </c>
      <c r="BJ102" s="210">
        <v>45169.416666666664</v>
      </c>
      <c r="BK102" s="165">
        <v>45169.350694444445</v>
      </c>
      <c r="BL102" s="165">
        <v>45170.4375</v>
      </c>
      <c r="BM102" s="165">
        <v>45172.715277777781</v>
      </c>
      <c r="BN102" s="165">
        <v>45173.034722222219</v>
      </c>
      <c r="BO102" s="165">
        <v>45173.0625</v>
      </c>
      <c r="BP102" s="165">
        <v>45173.236111111109</v>
      </c>
      <c r="BQ102" s="165">
        <v>45173.458333333336</v>
      </c>
      <c r="BT102" s="136">
        <f t="shared" si="54"/>
        <v>18.166666666686069</v>
      </c>
      <c r="BU102" s="136">
        <f t="shared" si="55"/>
        <v>4.7999999999301508</v>
      </c>
      <c r="BV102" s="136">
        <f t="shared" si="56"/>
        <v>41.000000000058208</v>
      </c>
      <c r="BW102" s="136">
        <f t="shared" si="47"/>
        <v>24.500000000058208</v>
      </c>
      <c r="BX102" s="135">
        <f t="shared" si="57"/>
        <v>7.6666666665114462</v>
      </c>
      <c r="BY102" s="135">
        <f t="shared" si="58"/>
        <v>5.3333333334303461</v>
      </c>
      <c r="BZ102" s="134">
        <f t="shared" si="59"/>
        <v>4.2277777777781012</v>
      </c>
      <c r="CA102" s="134">
        <f t="shared" si="60"/>
        <v>14.263888888890506</v>
      </c>
      <c r="CB102" s="133">
        <f t="shared" si="61"/>
        <v>0.29639727361245255</v>
      </c>
    </row>
    <row r="103" spans="1:80" s="126" customFormat="1">
      <c r="A103" s="192">
        <f t="shared" si="50"/>
        <v>45141.600694444445</v>
      </c>
      <c r="B103" s="126" t="s">
        <v>188</v>
      </c>
      <c r="C103" s="126" t="s">
        <v>81</v>
      </c>
      <c r="D103" s="126" t="s">
        <v>197</v>
      </c>
      <c r="E103" s="126" t="s">
        <v>2641</v>
      </c>
      <c r="F103" s="65" t="s">
        <v>2102</v>
      </c>
      <c r="G103" s="165">
        <v>45143.000694444447</v>
      </c>
      <c r="H103" s="165">
        <v>45143.000694444447</v>
      </c>
      <c r="I103" s="126" t="s">
        <v>443</v>
      </c>
      <c r="J103" s="126" t="s">
        <v>192</v>
      </c>
      <c r="K103" s="126" t="s">
        <v>192</v>
      </c>
      <c r="L103" s="126" t="s">
        <v>2702</v>
      </c>
      <c r="M103" s="167"/>
      <c r="N103" s="126" t="s">
        <v>1303</v>
      </c>
      <c r="O103" s="126" t="s">
        <v>1304</v>
      </c>
      <c r="P103" s="126" t="s">
        <v>81</v>
      </c>
      <c r="Q103" s="181">
        <f>2205*2.4</f>
        <v>5292</v>
      </c>
      <c r="R103" s="181">
        <f>5300+100</f>
        <v>5400</v>
      </c>
      <c r="S103" s="181">
        <v>5419</v>
      </c>
      <c r="T103" s="181"/>
      <c r="V103" s="172"/>
      <c r="AI103" s="181">
        <f>S103</f>
        <v>5419</v>
      </c>
      <c r="AX103" s="165">
        <f t="shared" si="51"/>
        <v>45138.611111111109</v>
      </c>
      <c r="AY103" s="165">
        <f t="shared" si="52"/>
        <v>45148.833333333336</v>
      </c>
      <c r="AZ103" s="137">
        <f t="shared" si="53"/>
        <v>10.222222222226264</v>
      </c>
      <c r="BA103" s="165">
        <v>45138.611111111109</v>
      </c>
      <c r="BB103" s="165">
        <v>45141.229166666664</v>
      </c>
      <c r="BC103" s="165">
        <v>45141.496527777781</v>
      </c>
      <c r="BD103" s="165">
        <v>45141.600694444445</v>
      </c>
      <c r="BE103" s="165">
        <v>45142.388888888891</v>
      </c>
      <c r="BF103" s="165">
        <v>45142.444444444445</v>
      </c>
      <c r="BG103" s="165">
        <v>45143.694444444445</v>
      </c>
      <c r="BH103" s="165">
        <v>45143.694444444445</v>
      </c>
      <c r="BI103" s="166" t="s">
        <v>196</v>
      </c>
      <c r="BJ103" s="166" t="s">
        <v>196</v>
      </c>
      <c r="BK103" s="166" t="s">
        <v>196</v>
      </c>
      <c r="BL103" s="165">
        <v>45145.083333333336</v>
      </c>
      <c r="BM103" s="165">
        <v>45147.96875</v>
      </c>
      <c r="BN103" s="165">
        <v>45148.190972222219</v>
      </c>
      <c r="BO103" s="165">
        <v>45148.204861111109</v>
      </c>
      <c r="BP103" s="165">
        <v>45148.208333333336</v>
      </c>
      <c r="BQ103" s="165">
        <v>45148.833333333336</v>
      </c>
      <c r="BT103" s="136">
        <f t="shared" si="54"/>
        <v>6.4166666668024845</v>
      </c>
      <c r="BU103" s="136">
        <f t="shared" si="55"/>
        <v>18.916666666686069</v>
      </c>
      <c r="BV103" s="136">
        <f t="shared" si="56"/>
        <v>0</v>
      </c>
      <c r="BW103" s="136">
        <f t="shared" ref="BW103:BW125" si="62">(BL103-BH103)*24</f>
        <v>33.333333333372138</v>
      </c>
      <c r="BX103" s="135">
        <f t="shared" si="57"/>
        <v>5.3333333332557231</v>
      </c>
      <c r="BY103" s="135">
        <f t="shared" si="58"/>
        <v>15</v>
      </c>
      <c r="BZ103" s="134">
        <f t="shared" si="59"/>
        <v>3.2916666666715173</v>
      </c>
      <c r="CA103" s="134">
        <f t="shared" si="60"/>
        <v>10.222222222226264</v>
      </c>
      <c r="CB103" s="133">
        <f t="shared" si="61"/>
        <v>0.32201086956556457</v>
      </c>
    </row>
    <row r="104" spans="1:80" s="126" customFormat="1">
      <c r="A104" s="192">
        <f t="shared" si="50"/>
        <v>45146.232638888891</v>
      </c>
      <c r="B104" s="126" t="s">
        <v>188</v>
      </c>
      <c r="C104" s="126" t="s">
        <v>81</v>
      </c>
      <c r="D104" s="126" t="s">
        <v>197</v>
      </c>
      <c r="E104" s="65" t="s">
        <v>2641</v>
      </c>
      <c r="F104" s="65"/>
      <c r="G104" s="165">
        <v>45143.000694444447</v>
      </c>
      <c r="H104" s="165">
        <v>45143.000694444447</v>
      </c>
      <c r="I104" s="126" t="s">
        <v>443</v>
      </c>
      <c r="J104" s="126" t="s">
        <v>192</v>
      </c>
      <c r="K104" s="126" t="s">
        <v>192</v>
      </c>
      <c r="L104" s="126" t="s">
        <v>2703</v>
      </c>
      <c r="M104" s="167"/>
      <c r="N104" s="126" t="s">
        <v>1307</v>
      </c>
      <c r="O104" s="126" t="s">
        <v>1308</v>
      </c>
      <c r="P104" s="126" t="s">
        <v>81</v>
      </c>
      <c r="Q104" s="181">
        <f>2205*2.4</f>
        <v>5292</v>
      </c>
      <c r="R104" s="181">
        <f>5300+100</f>
        <v>5400</v>
      </c>
      <c r="S104" s="181">
        <v>5231</v>
      </c>
      <c r="T104" s="181"/>
      <c r="V104" s="172"/>
      <c r="AI104" s="181">
        <f>S104</f>
        <v>5231</v>
      </c>
      <c r="AX104" s="165">
        <f t="shared" si="51"/>
        <v>45143.083333333336</v>
      </c>
      <c r="AY104" s="165">
        <f t="shared" si="52"/>
        <v>45150.5625</v>
      </c>
      <c r="AZ104" s="137">
        <f t="shared" si="53"/>
        <v>7.4791666666642413</v>
      </c>
      <c r="BA104" s="165">
        <v>45143.083333333336</v>
      </c>
      <c r="BB104" s="165">
        <v>45145.833333333336</v>
      </c>
      <c r="BC104" s="165">
        <v>45146.104166666664</v>
      </c>
      <c r="BD104" s="165">
        <v>45146.232638888891</v>
      </c>
      <c r="BE104" s="165">
        <v>45147.451388888891</v>
      </c>
      <c r="BF104" s="165">
        <v>45147.489583333336</v>
      </c>
      <c r="BG104" s="165">
        <v>45147.777777777781</v>
      </c>
      <c r="BH104" s="165">
        <v>45147.777777777781</v>
      </c>
      <c r="BI104" s="166" t="s">
        <v>196</v>
      </c>
      <c r="BJ104" s="166" t="s">
        <v>196</v>
      </c>
      <c r="BK104" s="166" t="s">
        <v>196</v>
      </c>
      <c r="BL104" s="165">
        <v>45149.222222222219</v>
      </c>
      <c r="BM104" s="165">
        <v>45149.388888888891</v>
      </c>
      <c r="BN104" s="165">
        <v>45149.791666666664</v>
      </c>
      <c r="BO104" s="165">
        <v>45149.815972222219</v>
      </c>
      <c r="BP104" s="165">
        <v>45149.878472222219</v>
      </c>
      <c r="BQ104" s="165">
        <v>45150.5625</v>
      </c>
      <c r="BT104" s="136">
        <f t="shared" si="54"/>
        <v>6.4999999998835847</v>
      </c>
      <c r="BU104" s="136">
        <f t="shared" si="55"/>
        <v>29.25</v>
      </c>
      <c r="BV104" s="136">
        <f t="shared" si="56"/>
        <v>0</v>
      </c>
      <c r="BW104" s="136">
        <f t="shared" si="62"/>
        <v>34.666666666511446</v>
      </c>
      <c r="BX104" s="135">
        <f t="shared" si="57"/>
        <v>9.6666666665696539</v>
      </c>
      <c r="BY104" s="135">
        <f t="shared" si="58"/>
        <v>16.416666666744277</v>
      </c>
      <c r="BZ104" s="134">
        <f t="shared" si="59"/>
        <v>4.0208333333212067</v>
      </c>
      <c r="CA104" s="134">
        <f t="shared" si="60"/>
        <v>7.4791666666642413</v>
      </c>
      <c r="CB104" s="133">
        <f t="shared" si="61"/>
        <v>0.53760445682306546</v>
      </c>
    </row>
    <row r="105" spans="1:80" s="126" customFormat="1">
      <c r="A105" s="192">
        <f t="shared" si="50"/>
        <v>45148.86041666667</v>
      </c>
      <c r="B105" s="126" t="s">
        <v>188</v>
      </c>
      <c r="C105" s="126" t="s">
        <v>87</v>
      </c>
      <c r="D105" s="126" t="s">
        <v>197</v>
      </c>
      <c r="E105" s="65" t="s">
        <v>2309</v>
      </c>
      <c r="G105" s="165">
        <v>45142.708333333336</v>
      </c>
      <c r="H105" s="165">
        <v>45142.708333333336</v>
      </c>
      <c r="I105" s="126" t="s">
        <v>751</v>
      </c>
      <c r="J105" s="126" t="s">
        <v>192</v>
      </c>
      <c r="K105" s="126" t="s">
        <v>192</v>
      </c>
      <c r="L105" s="126" t="s">
        <v>2334</v>
      </c>
      <c r="M105" s="167"/>
      <c r="N105" s="126" t="s">
        <v>406</v>
      </c>
      <c r="O105" s="126" t="s">
        <v>407</v>
      </c>
      <c r="P105" s="126" t="s">
        <v>2335</v>
      </c>
      <c r="Q105" s="181">
        <f>3107*2.4</f>
        <v>7456.7999999999993</v>
      </c>
      <c r="R105" s="181">
        <f>7500+100</f>
        <v>7600</v>
      </c>
      <c r="S105" s="181">
        <v>7506.2049999999999</v>
      </c>
      <c r="T105" s="181"/>
      <c r="AH105" s="181">
        <f>S105</f>
        <v>7506.2049999999999</v>
      </c>
      <c r="AX105" s="165">
        <f t="shared" si="51"/>
        <v>45146.715277777781</v>
      </c>
      <c r="AY105" s="165">
        <f t="shared" si="52"/>
        <v>45156.746527777781</v>
      </c>
      <c r="AZ105" s="137">
        <f t="shared" si="53"/>
        <v>10.03125</v>
      </c>
      <c r="BA105" s="165">
        <v>45146.715277777781</v>
      </c>
      <c r="BB105" s="165">
        <v>45146.729166666664</v>
      </c>
      <c r="BC105" s="165">
        <v>45146.763888888891</v>
      </c>
      <c r="BD105" s="165">
        <v>45148.86041666667</v>
      </c>
      <c r="BE105" s="165">
        <v>45148.996527777781</v>
      </c>
      <c r="BF105" s="165">
        <v>45149.006944444445</v>
      </c>
      <c r="BG105" s="165">
        <v>45149.677083333336</v>
      </c>
      <c r="BH105" s="165">
        <v>45149.677083333336</v>
      </c>
      <c r="BI105" s="166" t="s">
        <v>196</v>
      </c>
      <c r="BJ105" s="166" t="s">
        <v>196</v>
      </c>
      <c r="BK105" s="166" t="s">
        <v>196</v>
      </c>
      <c r="BL105" s="165">
        <v>45150</v>
      </c>
      <c r="BM105" s="165">
        <v>45156.072916666664</v>
      </c>
      <c r="BN105" s="165">
        <v>45156.302083333336</v>
      </c>
      <c r="BO105" s="165">
        <v>45156.322916666664</v>
      </c>
      <c r="BP105" s="165">
        <v>45156.322916666664</v>
      </c>
      <c r="BQ105" s="165">
        <v>45156.746527777781</v>
      </c>
      <c r="BT105" s="136">
        <f t="shared" si="54"/>
        <v>0.8333333334303461</v>
      </c>
      <c r="BU105" s="136">
        <f t="shared" si="55"/>
        <v>3.2666666666627862</v>
      </c>
      <c r="BV105" s="136">
        <f t="shared" si="56"/>
        <v>0</v>
      </c>
      <c r="BW105" s="136">
        <f t="shared" si="62"/>
        <v>7.7499999999417923</v>
      </c>
      <c r="BX105" s="135">
        <f t="shared" si="57"/>
        <v>5.5000000001164153</v>
      </c>
      <c r="BY105" s="135">
        <f t="shared" si="58"/>
        <v>10.166666666802485</v>
      </c>
      <c r="BZ105" s="134">
        <f t="shared" si="59"/>
        <v>1.1465277777897427</v>
      </c>
      <c r="CA105" s="134">
        <f t="shared" si="60"/>
        <v>10.03125</v>
      </c>
      <c r="CB105" s="133">
        <f t="shared" si="61"/>
        <v>0.11429560401642294</v>
      </c>
    </row>
    <row r="106" spans="1:80" s="126" customFormat="1">
      <c r="A106" s="192">
        <f t="shared" si="50"/>
        <v>45150.34375</v>
      </c>
      <c r="B106" s="126" t="s">
        <v>188</v>
      </c>
      <c r="C106" s="126" t="s">
        <v>87</v>
      </c>
      <c r="D106" s="126" t="s">
        <v>197</v>
      </c>
      <c r="E106" s="65" t="s">
        <v>2283</v>
      </c>
      <c r="G106" s="165">
        <v>45150.59375</v>
      </c>
      <c r="H106" s="165">
        <v>45150.613888888889</v>
      </c>
      <c r="I106" s="126" t="s">
        <v>751</v>
      </c>
      <c r="J106" s="126" t="s">
        <v>192</v>
      </c>
      <c r="K106" s="126" t="s">
        <v>192</v>
      </c>
      <c r="L106" s="126" t="s">
        <v>2287</v>
      </c>
      <c r="M106" s="167"/>
      <c r="N106" s="126" t="s">
        <v>371</v>
      </c>
      <c r="O106" s="126" t="s">
        <v>372</v>
      </c>
      <c r="P106" s="126" t="s">
        <v>665</v>
      </c>
      <c r="Q106" s="181">
        <f>3117*2.4</f>
        <v>7480.7999999999993</v>
      </c>
      <c r="R106" s="181">
        <f>7500+100</f>
        <v>7600</v>
      </c>
      <c r="S106" s="181">
        <v>7506.6030000000001</v>
      </c>
      <c r="T106" s="181"/>
      <c r="AE106" s="181">
        <f>S106</f>
        <v>7506.6030000000001</v>
      </c>
      <c r="AX106" s="165">
        <f t="shared" si="51"/>
        <v>45148.538194444445</v>
      </c>
      <c r="AY106" s="165">
        <f t="shared" si="52"/>
        <v>45153.709722222222</v>
      </c>
      <c r="AZ106" s="137">
        <f t="shared" si="53"/>
        <v>5.171527777776646</v>
      </c>
      <c r="BA106" s="165">
        <v>45148.538194444445</v>
      </c>
      <c r="BB106" s="165">
        <v>45148.548611111109</v>
      </c>
      <c r="BC106" s="165">
        <v>45148.600694444445</v>
      </c>
      <c r="BD106" s="165">
        <v>45150.34375</v>
      </c>
      <c r="BE106" s="165">
        <v>45150.588194444441</v>
      </c>
      <c r="BF106" s="165">
        <v>45150.615972222222</v>
      </c>
      <c r="BG106" s="165">
        <v>45150.936805555553</v>
      </c>
      <c r="BH106" s="165">
        <v>45150.936805555553</v>
      </c>
      <c r="BI106" s="166" t="s">
        <v>196</v>
      </c>
      <c r="BJ106" s="166" t="s">
        <v>196</v>
      </c>
      <c r="BK106" s="166" t="s">
        <v>196</v>
      </c>
      <c r="BL106" s="165">
        <v>45151.240277777775</v>
      </c>
      <c r="BM106" s="165">
        <v>45153.006944444445</v>
      </c>
      <c r="BN106" s="165">
        <v>45153.177083333336</v>
      </c>
      <c r="BO106" s="165">
        <v>45153.21875</v>
      </c>
      <c r="BP106" s="165">
        <v>45153.21875</v>
      </c>
      <c r="BQ106" s="165">
        <v>45153.709722222222</v>
      </c>
      <c r="BT106" s="136">
        <f t="shared" si="54"/>
        <v>1.2500000000582077</v>
      </c>
      <c r="BU106" s="136">
        <f t="shared" si="55"/>
        <v>5.8666666665812954</v>
      </c>
      <c r="BV106" s="136">
        <f t="shared" si="56"/>
        <v>0</v>
      </c>
      <c r="BW106" s="136">
        <f t="shared" si="62"/>
        <v>7.2833333333255723</v>
      </c>
      <c r="BX106" s="135">
        <f t="shared" si="57"/>
        <v>4.0833333333721384</v>
      </c>
      <c r="BY106" s="135">
        <f t="shared" si="58"/>
        <v>11.783333333325572</v>
      </c>
      <c r="BZ106" s="134">
        <f t="shared" si="59"/>
        <v>1.2611111111109494</v>
      </c>
      <c r="CA106" s="134">
        <f t="shared" si="60"/>
        <v>5.171527777776646</v>
      </c>
      <c r="CB106" s="133">
        <f t="shared" si="61"/>
        <v>0.24385658654493952</v>
      </c>
    </row>
    <row r="107" spans="1:80" s="126" customFormat="1">
      <c r="A107" s="192">
        <f t="shared" si="50"/>
        <v>45153.34375</v>
      </c>
      <c r="B107" s="126" t="s">
        <v>188</v>
      </c>
      <c r="C107" s="126" t="s">
        <v>87</v>
      </c>
      <c r="D107" s="126" t="s">
        <v>197</v>
      </c>
      <c r="E107" s="65" t="s">
        <v>2283</v>
      </c>
      <c r="G107" s="316">
        <v>45150.59375</v>
      </c>
      <c r="H107" s="316">
        <v>45150.613888888889</v>
      </c>
      <c r="I107" s="126" t="s">
        <v>751</v>
      </c>
      <c r="J107" s="126" t="s">
        <v>192</v>
      </c>
      <c r="K107" s="126" t="s">
        <v>192</v>
      </c>
      <c r="L107" s="126" t="s">
        <v>2291</v>
      </c>
      <c r="M107" s="167"/>
      <c r="N107" s="126" t="s">
        <v>330</v>
      </c>
      <c r="O107" s="126" t="s">
        <v>331</v>
      </c>
      <c r="P107" s="126" t="s">
        <v>1164</v>
      </c>
      <c r="Q107" s="181">
        <f>3136*2.4</f>
        <v>7526.4</v>
      </c>
      <c r="R107" s="181">
        <f>7550+100</f>
        <v>7650</v>
      </c>
      <c r="S107" s="181">
        <v>7507.1480000000001</v>
      </c>
      <c r="T107" s="181"/>
      <c r="AH107" s="181">
        <f>S107</f>
        <v>7507.1480000000001</v>
      </c>
      <c r="AX107" s="165">
        <f t="shared" si="51"/>
        <v>45151.982638888891</v>
      </c>
      <c r="AY107" s="165">
        <f t="shared" si="52"/>
        <v>45155.083333333336</v>
      </c>
      <c r="AZ107" s="137">
        <f t="shared" si="53"/>
        <v>3.1006944444452529</v>
      </c>
      <c r="BA107" s="165">
        <v>45151.982638888891</v>
      </c>
      <c r="BB107" s="165">
        <v>45152.034722222219</v>
      </c>
      <c r="BC107" s="165">
        <v>45152.076388888891</v>
      </c>
      <c r="BD107" s="165">
        <v>45153.34375</v>
      </c>
      <c r="BE107" s="165">
        <v>45153.463888888888</v>
      </c>
      <c r="BF107" s="165">
        <v>45153.46875</v>
      </c>
      <c r="BG107" s="165">
        <v>45153.739583333336</v>
      </c>
      <c r="BH107" s="165">
        <v>45153.739583333336</v>
      </c>
      <c r="BI107" s="166" t="s">
        <v>196</v>
      </c>
      <c r="BJ107" s="166" t="s">
        <v>196</v>
      </c>
      <c r="BK107" s="166" t="s">
        <v>196</v>
      </c>
      <c r="BL107" s="165">
        <v>45153.979166666664</v>
      </c>
      <c r="BM107" s="165">
        <v>45154.114583333336</v>
      </c>
      <c r="BN107" s="165">
        <v>45154.75</v>
      </c>
      <c r="BO107" s="165">
        <v>45154.777777777781</v>
      </c>
      <c r="BP107" s="165">
        <v>45154.777777777781</v>
      </c>
      <c r="BQ107" s="165">
        <v>45155.083333333336</v>
      </c>
      <c r="BT107" s="136">
        <f t="shared" si="54"/>
        <v>1.0000000001164153</v>
      </c>
      <c r="BU107" s="136">
        <f t="shared" si="55"/>
        <v>2.8833333333022892</v>
      </c>
      <c r="BV107" s="136">
        <f t="shared" si="56"/>
        <v>0</v>
      </c>
      <c r="BW107" s="136">
        <f t="shared" si="62"/>
        <v>5.7499999998835847</v>
      </c>
      <c r="BX107" s="135">
        <f t="shared" si="57"/>
        <v>15.249999999941792</v>
      </c>
      <c r="BY107" s="135">
        <f t="shared" si="58"/>
        <v>7.3333333333139308</v>
      </c>
      <c r="BZ107" s="134">
        <f t="shared" si="59"/>
        <v>1.3423611111065838</v>
      </c>
      <c r="CA107" s="134">
        <f t="shared" si="60"/>
        <v>3.1006944444452529</v>
      </c>
      <c r="CB107" s="133">
        <f t="shared" si="61"/>
        <v>0.43292273236124901</v>
      </c>
    </row>
    <row r="108" spans="1:80" s="126" customFormat="1">
      <c r="A108" s="192">
        <f t="shared" si="50"/>
        <v>45157.237500000003</v>
      </c>
      <c r="B108" s="126" t="s">
        <v>188</v>
      </c>
      <c r="C108" s="126" t="s">
        <v>87</v>
      </c>
      <c r="D108" s="126" t="s">
        <v>197</v>
      </c>
      <c r="E108" s="65" t="s">
        <v>2199</v>
      </c>
      <c r="G108" s="165">
        <v>45156.625</v>
      </c>
      <c r="H108" s="165">
        <v>45156.616666666669</v>
      </c>
      <c r="I108" s="126" t="s">
        <v>751</v>
      </c>
      <c r="J108" s="126" t="s">
        <v>192</v>
      </c>
      <c r="K108" s="126" t="s">
        <v>192</v>
      </c>
      <c r="L108" s="126" t="s">
        <v>2379</v>
      </c>
      <c r="M108" s="167"/>
      <c r="N108" s="126" t="s">
        <v>492</v>
      </c>
      <c r="O108" s="126" t="s">
        <v>493</v>
      </c>
      <c r="P108" s="126" t="s">
        <v>611</v>
      </c>
      <c r="Q108" s="181">
        <f>3152*2.4</f>
        <v>7564.7999999999993</v>
      </c>
      <c r="R108" s="181">
        <f>7600+100</f>
        <v>7700</v>
      </c>
      <c r="S108" s="181">
        <v>7017.3819999999996</v>
      </c>
      <c r="T108" s="181"/>
      <c r="AD108" s="181">
        <f>S108</f>
        <v>7017.3819999999996</v>
      </c>
      <c r="AX108" s="165">
        <f t="shared" si="51"/>
        <v>45155.385416666664</v>
      </c>
      <c r="AY108" s="165">
        <f t="shared" si="52"/>
        <v>45160.583333333336</v>
      </c>
      <c r="AZ108" s="137">
        <f t="shared" si="53"/>
        <v>5.1979166666715173</v>
      </c>
      <c r="BA108" s="165">
        <v>45155.385416666664</v>
      </c>
      <c r="BB108" s="165">
        <v>45155.409722222219</v>
      </c>
      <c r="BC108" s="165">
        <v>45155.447916666664</v>
      </c>
      <c r="BD108" s="165">
        <v>45157.237500000003</v>
      </c>
      <c r="BE108" s="165">
        <v>45157.467361111114</v>
      </c>
      <c r="BF108" s="165">
        <v>45157.479166666664</v>
      </c>
      <c r="BG108" s="165">
        <v>45157.923611111109</v>
      </c>
      <c r="BH108" s="165">
        <v>45157.923611111109</v>
      </c>
      <c r="BI108" s="166" t="s">
        <v>196</v>
      </c>
      <c r="BJ108" s="166" t="s">
        <v>196</v>
      </c>
      <c r="BK108" s="166" t="s">
        <v>196</v>
      </c>
      <c r="BL108" s="165">
        <v>45158.25</v>
      </c>
      <c r="BM108" s="165">
        <v>45160.003472222219</v>
      </c>
      <c r="BN108" s="165">
        <v>45160.229166666664</v>
      </c>
      <c r="BO108" s="165">
        <v>45160.25</v>
      </c>
      <c r="BP108" s="165">
        <v>45160.25</v>
      </c>
      <c r="BQ108" s="165">
        <v>45160.583333333336</v>
      </c>
      <c r="BT108" s="136">
        <f t="shared" si="54"/>
        <v>0.91666666668606922</v>
      </c>
      <c r="BU108" s="136">
        <f t="shared" si="55"/>
        <v>5.5166666666627862</v>
      </c>
      <c r="BV108" s="136">
        <f t="shared" si="56"/>
        <v>0</v>
      </c>
      <c r="BW108" s="136">
        <f t="shared" si="62"/>
        <v>7.8333333333721384</v>
      </c>
      <c r="BX108" s="135">
        <f t="shared" si="57"/>
        <v>5.4166666666860692</v>
      </c>
      <c r="BY108" s="135">
        <f t="shared" si="58"/>
        <v>8.0000000000582077</v>
      </c>
      <c r="BZ108" s="134">
        <f t="shared" si="59"/>
        <v>1.1534722222277196</v>
      </c>
      <c r="CA108" s="134">
        <f t="shared" si="60"/>
        <v>5.1979166666715173</v>
      </c>
      <c r="CB108" s="133">
        <f t="shared" si="61"/>
        <v>0.22191048764280111</v>
      </c>
    </row>
    <row r="109" spans="1:80" s="126" customFormat="1">
      <c r="A109" s="192">
        <f t="shared" si="50"/>
        <v>45145.628472222219</v>
      </c>
      <c r="B109" s="126" t="s">
        <v>188</v>
      </c>
      <c r="C109" s="126" t="s">
        <v>85</v>
      </c>
      <c r="D109" s="126" t="s">
        <v>215</v>
      </c>
      <c r="E109" s="65" t="s">
        <v>2309</v>
      </c>
      <c r="G109" s="165">
        <v>45142.708333333336</v>
      </c>
      <c r="H109" s="165">
        <v>45142.716666666667</v>
      </c>
      <c r="I109" s="126" t="s">
        <v>2704</v>
      </c>
      <c r="J109" s="126" t="s">
        <v>192</v>
      </c>
      <c r="K109" s="126" t="s">
        <v>192</v>
      </c>
      <c r="L109" s="126" t="s">
        <v>2313</v>
      </c>
      <c r="M109" s="167"/>
      <c r="N109" s="126" t="s">
        <v>774</v>
      </c>
      <c r="O109" s="126" t="s">
        <v>423</v>
      </c>
      <c r="P109" s="126" t="s">
        <v>85</v>
      </c>
      <c r="Q109" s="181">
        <f>3156*2.4</f>
        <v>7574.4</v>
      </c>
      <c r="R109" s="181">
        <f>7600+100</f>
        <v>7700</v>
      </c>
      <c r="S109" s="181">
        <v>7333.0959999999995</v>
      </c>
      <c r="T109" s="181"/>
      <c r="V109" s="172"/>
      <c r="AB109" s="181">
        <f>S109</f>
        <v>7333.0959999999995</v>
      </c>
      <c r="AX109" s="165">
        <f t="shared" si="51"/>
        <v>45141.65625</v>
      </c>
      <c r="AY109" s="165">
        <f t="shared" si="52"/>
        <v>45153.291666666664</v>
      </c>
      <c r="AZ109" s="137">
        <f t="shared" si="53"/>
        <v>11.635416666664241</v>
      </c>
      <c r="BA109" s="165">
        <v>45141.65625</v>
      </c>
      <c r="BB109" s="165">
        <v>45142.270833333336</v>
      </c>
      <c r="BC109" s="165">
        <v>45144.625</v>
      </c>
      <c r="BD109" s="165">
        <v>45145.628472222219</v>
      </c>
      <c r="BE109" s="165">
        <v>45147.253472222219</v>
      </c>
      <c r="BF109" s="165">
        <v>45147.274305555555</v>
      </c>
      <c r="BG109" s="165">
        <v>45147.833333333336</v>
      </c>
      <c r="BH109" s="165">
        <v>45147.833333333336</v>
      </c>
      <c r="BI109" s="166" t="s">
        <v>196</v>
      </c>
      <c r="BJ109" s="166" t="s">
        <v>196</v>
      </c>
      <c r="BK109" s="166" t="s">
        <v>196</v>
      </c>
      <c r="BL109" s="165">
        <v>45151.041666666664</v>
      </c>
      <c r="BM109" s="165">
        <v>45152.684027777781</v>
      </c>
      <c r="BN109" s="165">
        <v>45152.916666666664</v>
      </c>
      <c r="BO109" s="165">
        <v>45152.9375</v>
      </c>
      <c r="BP109" s="165">
        <v>45152.9375</v>
      </c>
      <c r="BQ109" s="165">
        <v>45153.291666666664</v>
      </c>
      <c r="BT109" s="136">
        <f t="shared" si="54"/>
        <v>56.499999999941792</v>
      </c>
      <c r="BU109" s="136">
        <f t="shared" si="55"/>
        <v>39</v>
      </c>
      <c r="BV109" s="136">
        <f t="shared" si="56"/>
        <v>0</v>
      </c>
      <c r="BW109" s="136">
        <f t="shared" si="62"/>
        <v>76.999999999883585</v>
      </c>
      <c r="BX109" s="135">
        <f t="shared" si="57"/>
        <v>5.5833333331975155</v>
      </c>
      <c r="BY109" s="135">
        <f t="shared" si="58"/>
        <v>8.4999999999417923</v>
      </c>
      <c r="BZ109" s="134">
        <f t="shared" si="59"/>
        <v>7.7743055555401952</v>
      </c>
      <c r="CA109" s="134">
        <f t="shared" si="60"/>
        <v>11.635416666664241</v>
      </c>
      <c r="CB109" s="133">
        <f t="shared" si="61"/>
        <v>0.66815875857834761</v>
      </c>
    </row>
    <row r="110" spans="1:80" s="126" customFormat="1">
      <c r="A110" s="192">
        <f t="shared" si="50"/>
        <v>45147.576388888891</v>
      </c>
      <c r="B110" s="126" t="s">
        <v>188</v>
      </c>
      <c r="C110" s="126" t="s">
        <v>85</v>
      </c>
      <c r="D110" s="126" t="s">
        <v>197</v>
      </c>
      <c r="E110" s="65" t="s">
        <v>2309</v>
      </c>
      <c r="G110" s="165">
        <v>45142.708333333336</v>
      </c>
      <c r="H110" s="165">
        <v>45142.716666666667</v>
      </c>
      <c r="I110" s="126" t="s">
        <v>2704</v>
      </c>
      <c r="J110" s="126" t="s">
        <v>192</v>
      </c>
      <c r="K110" s="126" t="s">
        <v>192</v>
      </c>
      <c r="L110" s="126" t="s">
        <v>2314</v>
      </c>
      <c r="M110" s="167"/>
      <c r="N110" s="126" t="s">
        <v>249</v>
      </c>
      <c r="O110" s="126" t="s">
        <v>2315</v>
      </c>
      <c r="P110" s="126" t="s">
        <v>85</v>
      </c>
      <c r="Q110" s="181">
        <f>3139*2.4</f>
        <v>7533.5999999999995</v>
      </c>
      <c r="R110" s="181">
        <f>7550+100</f>
        <v>7650</v>
      </c>
      <c r="S110" s="181">
        <v>7321.9870000000001</v>
      </c>
      <c r="T110" s="181"/>
      <c r="AB110" s="181">
        <f>S110</f>
        <v>7321.9870000000001</v>
      </c>
      <c r="AX110" s="165">
        <f t="shared" si="51"/>
        <v>45142.041666666664</v>
      </c>
      <c r="AY110" s="165">
        <f t="shared" si="52"/>
        <v>45154.013888888891</v>
      </c>
      <c r="AZ110" s="137">
        <f t="shared" si="53"/>
        <v>11.972222222226264</v>
      </c>
      <c r="BA110" s="165">
        <v>45142.041666666664</v>
      </c>
      <c r="BB110" s="165">
        <v>45143.381944444445</v>
      </c>
      <c r="BC110" s="165">
        <v>45146.770833333336</v>
      </c>
      <c r="BD110" s="165">
        <v>45147.576388888891</v>
      </c>
      <c r="BE110" s="165">
        <v>45148.201388888891</v>
      </c>
      <c r="BF110" s="165">
        <v>45148.229166666664</v>
      </c>
      <c r="BG110" s="165">
        <v>45148.819444444445</v>
      </c>
      <c r="BH110" s="165">
        <v>45148.819444444445</v>
      </c>
      <c r="BI110" s="166" t="s">
        <v>196</v>
      </c>
      <c r="BJ110" s="166" t="s">
        <v>196</v>
      </c>
      <c r="BK110" s="166" t="s">
        <v>196</v>
      </c>
      <c r="BL110" s="165">
        <v>45153.229166666664</v>
      </c>
      <c r="BM110" s="165">
        <v>45153.34375</v>
      </c>
      <c r="BN110" s="165">
        <v>45153.583333333336</v>
      </c>
      <c r="BO110" s="165">
        <v>45153.604166666664</v>
      </c>
      <c r="BP110" s="165">
        <v>45153.604166666664</v>
      </c>
      <c r="BQ110" s="165">
        <v>45154.013888888891</v>
      </c>
      <c r="BR110" s="126" t="s">
        <v>2705</v>
      </c>
      <c r="BT110" s="136">
        <f t="shared" si="54"/>
        <v>81.333333333372138</v>
      </c>
      <c r="BU110" s="136">
        <f t="shared" si="55"/>
        <v>15</v>
      </c>
      <c r="BV110" s="136">
        <f t="shared" si="56"/>
        <v>0</v>
      </c>
      <c r="BW110" s="136">
        <f t="shared" si="62"/>
        <v>105.83333333325572</v>
      </c>
      <c r="BX110" s="135">
        <f t="shared" si="57"/>
        <v>5.7500000000582077</v>
      </c>
      <c r="BY110" s="135">
        <f t="shared" si="58"/>
        <v>9.8333333334303461</v>
      </c>
      <c r="BZ110" s="134">
        <f t="shared" si="59"/>
        <v>9.0729166666715173</v>
      </c>
      <c r="CA110" s="134">
        <f t="shared" si="60"/>
        <v>11.972222222226264</v>
      </c>
      <c r="CB110" s="133">
        <f t="shared" si="61"/>
        <v>0.75783062645026533</v>
      </c>
    </row>
    <row r="111" spans="1:80" s="126" customFormat="1">
      <c r="A111" s="192">
        <f t="shared" si="50"/>
        <v>45151.409722222219</v>
      </c>
      <c r="B111" s="126" t="s">
        <v>188</v>
      </c>
      <c r="C111" s="126" t="s">
        <v>85</v>
      </c>
      <c r="D111" s="126" t="s">
        <v>197</v>
      </c>
      <c r="E111" s="65" t="s">
        <v>2706</v>
      </c>
      <c r="G111" s="165">
        <v>45156.998611111114</v>
      </c>
      <c r="H111" s="165">
        <v>45156.998611111114</v>
      </c>
      <c r="I111" s="126" t="s">
        <v>1584</v>
      </c>
      <c r="J111" s="126" t="s">
        <v>192</v>
      </c>
      <c r="K111" s="126" t="s">
        <v>192</v>
      </c>
      <c r="L111" s="126" t="s">
        <v>2707</v>
      </c>
      <c r="M111" s="167"/>
      <c r="N111" s="126" t="s">
        <v>70</v>
      </c>
      <c r="O111" s="126" t="s">
        <v>1982</v>
      </c>
      <c r="P111" s="126" t="s">
        <v>85</v>
      </c>
      <c r="Q111" s="181">
        <f>3142*2.4</f>
        <v>7540.7999999999993</v>
      </c>
      <c r="R111" s="181">
        <f>7550+100</f>
        <v>7650</v>
      </c>
      <c r="S111" s="181">
        <v>7315.9579999999996</v>
      </c>
      <c r="T111" s="181"/>
      <c r="AB111" s="181">
        <f>S111</f>
        <v>7315.9579999999996</v>
      </c>
      <c r="AX111" s="165">
        <f t="shared" si="51"/>
        <v>45147.256944444445</v>
      </c>
      <c r="AY111" s="165">
        <f t="shared" si="52"/>
        <v>45161.93472222222</v>
      </c>
      <c r="AZ111" s="137">
        <f t="shared" si="53"/>
        <v>14.677777777775191</v>
      </c>
      <c r="BA111" s="165">
        <v>45147.256944444445</v>
      </c>
      <c r="BB111" s="165">
        <v>45147.850694444445</v>
      </c>
      <c r="BC111" s="165">
        <v>45150.875</v>
      </c>
      <c r="BD111" s="165">
        <v>45151.409722222219</v>
      </c>
      <c r="BE111" s="165">
        <v>45151.767361111109</v>
      </c>
      <c r="BF111" s="165">
        <v>45152.107638888891</v>
      </c>
      <c r="BG111" s="165">
        <v>45153.291666666664</v>
      </c>
      <c r="BH111" s="165">
        <v>45153.291666666664</v>
      </c>
      <c r="BI111" s="166" t="s">
        <v>196</v>
      </c>
      <c r="BJ111" s="166" t="s">
        <v>196</v>
      </c>
      <c r="BK111" s="166" t="s">
        <v>196</v>
      </c>
      <c r="BL111" s="165">
        <v>45157.746527777781</v>
      </c>
      <c r="BM111" s="165">
        <v>45160.527777777781</v>
      </c>
      <c r="BN111" s="165">
        <v>45161.559027777781</v>
      </c>
      <c r="BO111" s="165">
        <v>45161.569444444445</v>
      </c>
      <c r="BP111" s="165">
        <v>45161.572916666664</v>
      </c>
      <c r="BQ111" s="165">
        <v>45161.93472222222</v>
      </c>
      <c r="BT111" s="136">
        <f t="shared" si="54"/>
        <v>72.583333333313931</v>
      </c>
      <c r="BU111" s="136">
        <f t="shared" si="55"/>
        <v>8.5833333333721384</v>
      </c>
      <c r="BV111" s="136">
        <f t="shared" si="56"/>
        <v>0</v>
      </c>
      <c r="BW111" s="136">
        <f t="shared" si="62"/>
        <v>106.91666666680248</v>
      </c>
      <c r="BX111" s="135">
        <f t="shared" si="57"/>
        <v>24.75</v>
      </c>
      <c r="BY111" s="135">
        <f t="shared" si="58"/>
        <v>8.6833333333488554</v>
      </c>
      <c r="BZ111" s="134">
        <f t="shared" si="59"/>
        <v>9.2298611111182254</v>
      </c>
      <c r="CA111" s="134">
        <f t="shared" si="60"/>
        <v>14.677777777775191</v>
      </c>
      <c r="CB111" s="133">
        <f t="shared" si="61"/>
        <v>0.6288323239975675</v>
      </c>
    </row>
    <row r="112" spans="1:80" s="126" customFormat="1">
      <c r="A112" s="192">
        <f t="shared" si="50"/>
        <v>45160.444444444445</v>
      </c>
      <c r="B112" s="126" t="s">
        <v>188</v>
      </c>
      <c r="C112" s="126" t="s">
        <v>85</v>
      </c>
      <c r="D112" s="126" t="s">
        <v>197</v>
      </c>
      <c r="E112" s="65" t="s">
        <v>1827</v>
      </c>
      <c r="G112" s="316">
        <v>45159.447916666664</v>
      </c>
      <c r="H112" s="316">
        <v>45159.404166666667</v>
      </c>
      <c r="I112" s="126" t="s">
        <v>2704</v>
      </c>
      <c r="J112" s="126" t="s">
        <v>192</v>
      </c>
      <c r="K112" s="126" t="s">
        <v>192</v>
      </c>
      <c r="L112" s="126" t="s">
        <v>2708</v>
      </c>
      <c r="M112" s="167"/>
      <c r="N112" s="126" t="s">
        <v>2207</v>
      </c>
      <c r="O112" s="126" t="s">
        <v>2208</v>
      </c>
      <c r="P112" s="126" t="s">
        <v>85</v>
      </c>
      <c r="Q112" s="181">
        <f>3031*2.4</f>
        <v>7274.4</v>
      </c>
      <c r="R112" s="181">
        <f>7300+100</f>
        <v>7400</v>
      </c>
      <c r="S112" s="181">
        <v>7304.7560000000003</v>
      </c>
      <c r="T112" s="181"/>
      <c r="AB112" s="181">
        <f>S112</f>
        <v>7304.7560000000003</v>
      </c>
      <c r="AX112" s="165">
        <f t="shared" si="51"/>
        <v>45157.833333333336</v>
      </c>
      <c r="AY112" s="165">
        <f t="shared" si="52"/>
        <v>45168.888888888891</v>
      </c>
      <c r="AZ112" s="137">
        <f t="shared" si="53"/>
        <v>11.055555555554747</v>
      </c>
      <c r="BA112" s="165">
        <v>45157.833333333336</v>
      </c>
      <c r="BB112" s="165">
        <v>45157.847222222219</v>
      </c>
      <c r="BC112" s="165">
        <v>45157.927083333336</v>
      </c>
      <c r="BD112" s="165">
        <v>45160.444444444445</v>
      </c>
      <c r="BE112" s="165">
        <v>45161.013888888891</v>
      </c>
      <c r="BF112" s="165">
        <v>45161.027777777781</v>
      </c>
      <c r="BG112" s="165">
        <v>45161.788194444445</v>
      </c>
      <c r="BH112" s="165">
        <v>45161.788194444445</v>
      </c>
      <c r="BI112" s="166" t="s">
        <v>196</v>
      </c>
      <c r="BJ112" s="166" t="s">
        <v>196</v>
      </c>
      <c r="BK112" s="166" t="s">
        <v>196</v>
      </c>
      <c r="BL112" s="165">
        <v>45165.638888888891</v>
      </c>
      <c r="BM112" s="165">
        <v>45166.770833333336</v>
      </c>
      <c r="BN112" s="165">
        <v>45168.333333333336</v>
      </c>
      <c r="BO112" s="165">
        <v>45168.361111111109</v>
      </c>
      <c r="BP112" s="165">
        <v>45168.677083333336</v>
      </c>
      <c r="BQ112" s="165">
        <v>45168.888888888891</v>
      </c>
      <c r="BT112" s="136">
        <f t="shared" si="54"/>
        <v>1.9166666668024845</v>
      </c>
      <c r="BU112" s="136">
        <f t="shared" si="55"/>
        <v>13.666666666686069</v>
      </c>
      <c r="BV112" s="136">
        <f t="shared" si="56"/>
        <v>0</v>
      </c>
      <c r="BW112" s="136">
        <f t="shared" si="62"/>
        <v>92.416666666686069</v>
      </c>
      <c r="BX112" s="135">
        <f t="shared" si="57"/>
        <v>37.5</v>
      </c>
      <c r="BY112" s="135">
        <f t="shared" si="58"/>
        <v>5.0833333333139308</v>
      </c>
      <c r="BZ112" s="134">
        <f t="shared" si="59"/>
        <v>6.2743055555620231</v>
      </c>
      <c r="CA112" s="134">
        <f t="shared" si="60"/>
        <v>11.055555555554747</v>
      </c>
      <c r="CB112" s="133">
        <f t="shared" si="61"/>
        <v>0.56752512562876722</v>
      </c>
    </row>
    <row r="113" spans="1:80" s="126" customFormat="1">
      <c r="A113" s="192">
        <f t="shared" si="50"/>
        <v>45142.579861111109</v>
      </c>
      <c r="B113" s="126" t="s">
        <v>188</v>
      </c>
      <c r="C113" s="126" t="s">
        <v>181</v>
      </c>
      <c r="D113" s="126" t="s">
        <v>189</v>
      </c>
      <c r="E113" s="65" t="s">
        <v>2641</v>
      </c>
      <c r="G113" s="165">
        <v>45143.000694444447</v>
      </c>
      <c r="H113" s="165">
        <v>45143.000694444447</v>
      </c>
      <c r="I113" s="126" t="s">
        <v>448</v>
      </c>
      <c r="J113" s="126" t="s">
        <v>192</v>
      </c>
      <c r="K113" s="126" t="s">
        <v>192</v>
      </c>
      <c r="L113" s="126" t="s">
        <v>2709</v>
      </c>
      <c r="M113" s="167"/>
      <c r="N113" s="126" t="s">
        <v>453</v>
      </c>
      <c r="O113" s="126" t="s">
        <v>454</v>
      </c>
      <c r="P113" s="126" t="s">
        <v>181</v>
      </c>
      <c r="Q113" s="181">
        <v>7500</v>
      </c>
      <c r="R113" s="181">
        <v>7500</v>
      </c>
      <c r="S113" s="181">
        <v>7523.8519999999999</v>
      </c>
      <c r="T113" s="181"/>
      <c r="AK113" s="181">
        <f>S113</f>
        <v>7523.8519999999999</v>
      </c>
      <c r="AX113" s="165">
        <f t="shared" si="51"/>
        <v>45142.295138888891</v>
      </c>
      <c r="AY113" s="165">
        <f t="shared" si="52"/>
        <v>45150.159722222219</v>
      </c>
      <c r="AZ113" s="137">
        <f t="shared" si="53"/>
        <v>7.8645833333284827</v>
      </c>
      <c r="BA113" s="165">
        <v>45142.295138888891</v>
      </c>
      <c r="BB113" s="165">
        <v>45142.295138888891</v>
      </c>
      <c r="BC113" s="165">
        <v>45142.295138888891</v>
      </c>
      <c r="BD113" s="165">
        <v>45142.579861111109</v>
      </c>
      <c r="BE113" s="165">
        <v>45146.920138888891</v>
      </c>
      <c r="BF113" s="165">
        <v>45146.96875</v>
      </c>
      <c r="BG113" s="165">
        <v>45146.96875</v>
      </c>
      <c r="BH113" s="165">
        <v>45146.96875</v>
      </c>
      <c r="BI113" s="166" t="s">
        <v>196</v>
      </c>
      <c r="BJ113" s="166" t="s">
        <v>196</v>
      </c>
      <c r="BK113" s="166" t="s">
        <v>196</v>
      </c>
      <c r="BL113" s="165">
        <v>45149.166666666664</v>
      </c>
      <c r="BM113" s="165">
        <v>45149.420138888891</v>
      </c>
      <c r="BN113" s="165">
        <v>45150.145833333336</v>
      </c>
      <c r="BO113" s="165">
        <v>45150.159722222219</v>
      </c>
      <c r="BP113" s="165">
        <v>45150.159722222219</v>
      </c>
      <c r="BQ113" s="165">
        <v>45150.159722222219</v>
      </c>
      <c r="BT113" s="136">
        <f t="shared" si="54"/>
        <v>0</v>
      </c>
      <c r="BU113" s="136">
        <f t="shared" si="55"/>
        <v>104.16666666674428</v>
      </c>
      <c r="BV113" s="136">
        <f t="shared" si="56"/>
        <v>0</v>
      </c>
      <c r="BW113" s="136">
        <f t="shared" si="62"/>
        <v>52.749999999941792</v>
      </c>
      <c r="BX113" s="135">
        <f t="shared" si="57"/>
        <v>17.416666666686069</v>
      </c>
      <c r="BY113" s="135">
        <f t="shared" si="58"/>
        <v>0</v>
      </c>
      <c r="BZ113" s="134">
        <f t="shared" si="59"/>
        <v>7.2638888888905058</v>
      </c>
      <c r="CA113" s="134">
        <f t="shared" si="60"/>
        <v>7.8645833333284827</v>
      </c>
      <c r="CB113" s="133">
        <f t="shared" si="61"/>
        <v>0.92362030905154791</v>
      </c>
    </row>
    <row r="114" spans="1:80" s="126" customFormat="1">
      <c r="A114" s="192">
        <f t="shared" si="50"/>
        <v>45157.53125</v>
      </c>
      <c r="B114" s="126" t="s">
        <v>188</v>
      </c>
      <c r="C114" s="126" t="s">
        <v>181</v>
      </c>
      <c r="D114" s="126" t="s">
        <v>189</v>
      </c>
      <c r="E114" s="65" t="s">
        <v>2706</v>
      </c>
      <c r="G114" s="165">
        <v>45143.000694444447</v>
      </c>
      <c r="H114" s="165">
        <v>45143.000694444447</v>
      </c>
      <c r="I114" s="126" t="s">
        <v>448</v>
      </c>
      <c r="J114" s="126" t="s">
        <v>192</v>
      </c>
      <c r="K114" s="126" t="s">
        <v>192</v>
      </c>
      <c r="L114" s="126" t="s">
        <v>2710</v>
      </c>
      <c r="M114" s="167"/>
      <c r="N114" s="126" t="s">
        <v>453</v>
      </c>
      <c r="O114" s="126" t="s">
        <v>454</v>
      </c>
      <c r="P114" s="126" t="s">
        <v>181</v>
      </c>
      <c r="Q114" s="181">
        <v>7500</v>
      </c>
      <c r="R114" s="181">
        <v>7500</v>
      </c>
      <c r="S114" s="181">
        <v>7315.3739999999998</v>
      </c>
      <c r="T114" s="181"/>
      <c r="AK114" s="181">
        <f>S114</f>
        <v>7315.3739999999998</v>
      </c>
      <c r="AX114" s="165">
        <f t="shared" si="51"/>
        <v>45156.284722222219</v>
      </c>
      <c r="AY114" s="165">
        <f t="shared" si="52"/>
        <v>45164.638888888891</v>
      </c>
      <c r="AZ114" s="137">
        <f t="shared" si="53"/>
        <v>8.3541666666715173</v>
      </c>
      <c r="BA114" s="165">
        <v>45156.284722222219</v>
      </c>
      <c r="BB114" s="165">
        <v>45156.284722222219</v>
      </c>
      <c r="BC114" s="165">
        <v>45156.284722222219</v>
      </c>
      <c r="BD114" s="165">
        <v>45157.53125</v>
      </c>
      <c r="BE114" s="165">
        <v>45161.864583333336</v>
      </c>
      <c r="BF114" s="165">
        <v>45162.083333333336</v>
      </c>
      <c r="BG114" s="165">
        <v>45162.083333333336</v>
      </c>
      <c r="BH114" s="165">
        <v>45162.083333333336</v>
      </c>
      <c r="BI114" s="166" t="s">
        <v>196</v>
      </c>
      <c r="BJ114" s="166" t="s">
        <v>196</v>
      </c>
      <c r="BK114" s="166" t="s">
        <v>196</v>
      </c>
      <c r="BL114" s="165">
        <v>45163.875</v>
      </c>
      <c r="BM114" s="165">
        <v>45164.246527777781</v>
      </c>
      <c r="BN114" s="165">
        <v>45164.606249999997</v>
      </c>
      <c r="BO114" s="165">
        <v>45164.638888888891</v>
      </c>
      <c r="BP114" s="165">
        <v>45164.638888888891</v>
      </c>
      <c r="BQ114" s="165">
        <v>45164.638888888891</v>
      </c>
      <c r="BT114" s="136">
        <f t="shared" si="54"/>
        <v>0</v>
      </c>
      <c r="BU114" s="136">
        <f t="shared" si="55"/>
        <v>104.00000000005821</v>
      </c>
      <c r="BV114" s="136">
        <f t="shared" si="56"/>
        <v>0</v>
      </c>
      <c r="BW114" s="136">
        <f t="shared" si="62"/>
        <v>42.999999999941792</v>
      </c>
      <c r="BX114" s="135">
        <f t="shared" si="57"/>
        <v>8.6333333331858739</v>
      </c>
      <c r="BY114" s="135">
        <f t="shared" si="58"/>
        <v>0</v>
      </c>
      <c r="BZ114" s="134">
        <f t="shared" si="59"/>
        <v>6.4847222222160781</v>
      </c>
      <c r="CA114" s="134">
        <f t="shared" si="60"/>
        <v>8.3541666666715173</v>
      </c>
      <c r="CB114" s="133">
        <f t="shared" si="61"/>
        <v>0.7762261014119477</v>
      </c>
    </row>
    <row r="115" spans="1:80" s="126" customFormat="1" ht="14.4" customHeight="1">
      <c r="A115" s="192">
        <f t="shared" si="50"/>
        <v>45149.701388888891</v>
      </c>
      <c r="B115" s="126" t="s">
        <v>188</v>
      </c>
      <c r="C115" s="126" t="s">
        <v>82</v>
      </c>
      <c r="D115" s="126" t="s">
        <v>197</v>
      </c>
      <c r="E115" s="65" t="s">
        <v>2283</v>
      </c>
      <c r="F115" s="65"/>
      <c r="G115" s="165">
        <v>45150.59375</v>
      </c>
      <c r="H115" s="165">
        <v>45150.613888888889</v>
      </c>
      <c r="I115" s="126" t="s">
        <v>1043</v>
      </c>
      <c r="J115" s="126" t="s">
        <v>192</v>
      </c>
      <c r="K115" s="126" t="s">
        <v>192</v>
      </c>
      <c r="L115" s="126" t="s">
        <v>2285</v>
      </c>
      <c r="M115" s="167"/>
      <c r="N115" s="126" t="s">
        <v>383</v>
      </c>
      <c r="O115" s="126" t="s">
        <v>384</v>
      </c>
      <c r="P115" s="126" t="s">
        <v>82</v>
      </c>
      <c r="Q115" s="181">
        <f t="shared" ref="Q115:Q121" si="63">2205*2.4</f>
        <v>5292</v>
      </c>
      <c r="R115" s="181">
        <f t="shared" ref="R115:R121" si="64">5300+100</f>
        <v>5400</v>
      </c>
      <c r="S115" s="181">
        <v>5101</v>
      </c>
      <c r="T115" s="181"/>
      <c r="V115" s="172"/>
      <c r="AR115" s="181">
        <f t="shared" ref="AR115:AR121" si="65">S115</f>
        <v>5101</v>
      </c>
      <c r="AX115" s="165">
        <f t="shared" si="51"/>
        <v>45148.402777777781</v>
      </c>
      <c r="AY115" s="165">
        <f t="shared" si="52"/>
        <v>45153.881944444445</v>
      </c>
      <c r="AZ115" s="137">
        <f t="shared" si="53"/>
        <v>5.4791666666642413</v>
      </c>
      <c r="BA115" s="165">
        <v>45148.402777777781</v>
      </c>
      <c r="BB115" s="165">
        <v>45149.270833333336</v>
      </c>
      <c r="BC115" s="165">
        <v>45149.604166666664</v>
      </c>
      <c r="BD115" s="165">
        <v>45149.701388888891</v>
      </c>
      <c r="BE115" s="165">
        <v>45150.489583333336</v>
      </c>
      <c r="BF115" s="165">
        <v>45150.53125</v>
      </c>
      <c r="BG115" s="165">
        <v>45150.916666666664</v>
      </c>
      <c r="BH115" s="165">
        <v>45150.916666666664</v>
      </c>
      <c r="BI115" s="166" t="s">
        <v>196</v>
      </c>
      <c r="BJ115" s="166" t="s">
        <v>196</v>
      </c>
      <c r="BK115" s="166" t="s">
        <v>196</v>
      </c>
      <c r="BL115" s="165">
        <v>45152.03125</v>
      </c>
      <c r="BM115" s="165">
        <v>45152.722222222219</v>
      </c>
      <c r="BN115" s="165">
        <v>45153.479166666664</v>
      </c>
      <c r="BO115" s="165">
        <v>45153.503472222219</v>
      </c>
      <c r="BP115" s="165">
        <v>45153.503472222219</v>
      </c>
      <c r="BQ115" s="165">
        <v>45153.881944444445</v>
      </c>
      <c r="BT115" s="136">
        <f t="shared" si="54"/>
        <v>7.9999999998835847</v>
      </c>
      <c r="BU115" s="136">
        <f t="shared" si="55"/>
        <v>18.916666666686069</v>
      </c>
      <c r="BV115" s="136">
        <f t="shared" si="56"/>
        <v>0</v>
      </c>
      <c r="BW115" s="136">
        <f t="shared" si="62"/>
        <v>26.750000000058208</v>
      </c>
      <c r="BX115" s="135">
        <f t="shared" si="57"/>
        <v>18.166666666686069</v>
      </c>
      <c r="BY115" s="135">
        <f t="shared" si="58"/>
        <v>9.0833333334303461</v>
      </c>
      <c r="BZ115" s="134">
        <f t="shared" si="59"/>
        <v>3.3715277777810115</v>
      </c>
      <c r="CA115" s="134">
        <f t="shared" si="60"/>
        <v>5.4791666666642413</v>
      </c>
      <c r="CB115" s="133">
        <f t="shared" si="61"/>
        <v>0.61533586818844177</v>
      </c>
    </row>
    <row r="116" spans="1:80" s="126" customFormat="1" ht="14.4" customHeight="1">
      <c r="A116" s="192">
        <f t="shared" si="50"/>
        <v>45151.9375</v>
      </c>
      <c r="B116" s="126" t="s">
        <v>188</v>
      </c>
      <c r="C116" s="126" t="s">
        <v>82</v>
      </c>
      <c r="D116" s="126" t="s">
        <v>197</v>
      </c>
      <c r="E116" s="65" t="s">
        <v>2651</v>
      </c>
      <c r="F116" s="65"/>
      <c r="G116" s="165">
        <v>45151.604166666664</v>
      </c>
      <c r="H116" s="165">
        <v>45151.604166666664</v>
      </c>
      <c r="I116" s="126" t="s">
        <v>1046</v>
      </c>
      <c r="J116" s="126" t="s">
        <v>192</v>
      </c>
      <c r="K116" s="126" t="s">
        <v>192</v>
      </c>
      <c r="L116" s="126" t="s">
        <v>2711</v>
      </c>
      <c r="M116" s="167"/>
      <c r="N116" s="126" t="s">
        <v>1303</v>
      </c>
      <c r="O116" s="126" t="s">
        <v>1304</v>
      </c>
      <c r="P116" s="126" t="s">
        <v>82</v>
      </c>
      <c r="Q116" s="181">
        <f t="shared" si="63"/>
        <v>5292</v>
      </c>
      <c r="R116" s="181">
        <f t="shared" si="64"/>
        <v>5400</v>
      </c>
      <c r="S116" s="181">
        <v>5291</v>
      </c>
      <c r="T116" s="181"/>
      <c r="V116" s="172"/>
      <c r="AR116" s="181">
        <f t="shared" si="65"/>
        <v>5291</v>
      </c>
      <c r="AX116" s="165">
        <f t="shared" si="51"/>
        <v>45148.833333333336</v>
      </c>
      <c r="AY116" s="165">
        <f t="shared" si="52"/>
        <v>45157.8125</v>
      </c>
      <c r="AZ116" s="137">
        <f t="shared" si="53"/>
        <v>8.9791666666642413</v>
      </c>
      <c r="BA116" s="165">
        <v>45148.833333333336</v>
      </c>
      <c r="BB116" s="165">
        <v>45151.604166666664</v>
      </c>
      <c r="BC116" s="165">
        <v>45151.833333333336</v>
      </c>
      <c r="BD116" s="165">
        <v>45151.9375</v>
      </c>
      <c r="BE116" s="165">
        <v>45152.600694444445</v>
      </c>
      <c r="BF116" s="165">
        <v>45152.645833333336</v>
      </c>
      <c r="BG116" s="165">
        <v>45153.628472222219</v>
      </c>
      <c r="BH116" s="165">
        <v>45153.628472222219</v>
      </c>
      <c r="BI116" s="166" t="s">
        <v>196</v>
      </c>
      <c r="BJ116" s="166" t="s">
        <v>196</v>
      </c>
      <c r="BK116" s="166" t="s">
        <v>196</v>
      </c>
      <c r="BL116" s="165">
        <v>45155.003472222219</v>
      </c>
      <c r="BM116" s="165">
        <v>45156.8125</v>
      </c>
      <c r="BN116" s="165">
        <v>45157.114583333336</v>
      </c>
      <c r="BO116" s="165">
        <v>45157.125</v>
      </c>
      <c r="BP116" s="165">
        <v>45157.128472222219</v>
      </c>
      <c r="BQ116" s="165">
        <v>45157.8125</v>
      </c>
      <c r="BT116" s="136">
        <f t="shared" si="54"/>
        <v>5.5000000001164153</v>
      </c>
      <c r="BU116" s="136">
        <f t="shared" si="55"/>
        <v>15.916666666686069</v>
      </c>
      <c r="BV116" s="136">
        <f t="shared" si="56"/>
        <v>0</v>
      </c>
      <c r="BW116" s="136">
        <f t="shared" si="62"/>
        <v>33</v>
      </c>
      <c r="BX116" s="135">
        <f t="shared" si="57"/>
        <v>7.2500000000582077</v>
      </c>
      <c r="BY116" s="135">
        <f t="shared" si="58"/>
        <v>16.416666666744277</v>
      </c>
      <c r="BZ116" s="134">
        <f t="shared" si="59"/>
        <v>3.2534722222335404</v>
      </c>
      <c r="CA116" s="134">
        <f t="shared" si="60"/>
        <v>8.9791666666642413</v>
      </c>
      <c r="CB116" s="133">
        <f t="shared" si="61"/>
        <v>0.36233565352030656</v>
      </c>
    </row>
    <row r="117" spans="1:80" s="126" customFormat="1">
      <c r="A117" s="192">
        <f t="shared" si="50"/>
        <v>45154.600694444445</v>
      </c>
      <c r="B117" s="126" t="s">
        <v>188</v>
      </c>
      <c r="C117" s="126" t="s">
        <v>82</v>
      </c>
      <c r="D117" s="126" t="s">
        <v>197</v>
      </c>
      <c r="E117" s="65" t="s">
        <v>2706</v>
      </c>
      <c r="F117" s="65"/>
      <c r="G117" s="165">
        <v>45156.998611111114</v>
      </c>
      <c r="H117" s="165">
        <v>45156.998611111114</v>
      </c>
      <c r="I117" s="126" t="s">
        <v>1046</v>
      </c>
      <c r="J117" s="126" t="s">
        <v>192</v>
      </c>
      <c r="K117" s="126" t="s">
        <v>192</v>
      </c>
      <c r="L117" s="126" t="s">
        <v>2712</v>
      </c>
      <c r="M117" s="167"/>
      <c r="N117" s="126" t="s">
        <v>1307</v>
      </c>
      <c r="O117" s="126" t="s">
        <v>1308</v>
      </c>
      <c r="P117" s="126" t="s">
        <v>82</v>
      </c>
      <c r="Q117" s="181">
        <f t="shared" si="63"/>
        <v>5292</v>
      </c>
      <c r="R117" s="181">
        <f t="shared" si="64"/>
        <v>5400</v>
      </c>
      <c r="S117" s="181">
        <v>5303</v>
      </c>
      <c r="T117" s="181"/>
      <c r="V117" s="172"/>
      <c r="AR117" s="181">
        <f t="shared" si="65"/>
        <v>5303</v>
      </c>
      <c r="AX117" s="165">
        <f t="shared" si="51"/>
        <v>45150.5625</v>
      </c>
      <c r="AY117" s="165">
        <f t="shared" si="52"/>
        <v>45162.583333333336</v>
      </c>
      <c r="AZ117" s="137">
        <f t="shared" si="53"/>
        <v>12.020833333335759</v>
      </c>
      <c r="BA117" s="165">
        <v>45150.5625</v>
      </c>
      <c r="BB117" s="165">
        <v>45153.868055555555</v>
      </c>
      <c r="BC117" s="165">
        <v>45154.104166666664</v>
      </c>
      <c r="BD117" s="264">
        <v>45154.600694444445</v>
      </c>
      <c r="BE117" s="165">
        <v>45155.225694444445</v>
      </c>
      <c r="BF117" s="165">
        <v>45155.336805555555</v>
      </c>
      <c r="BG117" s="165">
        <v>45156.15625</v>
      </c>
      <c r="BH117" s="165">
        <v>45156.15625</v>
      </c>
      <c r="BI117" s="166" t="s">
        <v>196</v>
      </c>
      <c r="BJ117" s="166" t="s">
        <v>196</v>
      </c>
      <c r="BK117" s="166" t="s">
        <v>196</v>
      </c>
      <c r="BL117" s="165">
        <v>45157.645833333336</v>
      </c>
      <c r="BM117" s="165">
        <v>45161.645833333336</v>
      </c>
      <c r="BN117" s="165">
        <v>45161.930555555555</v>
      </c>
      <c r="BO117" s="165">
        <v>45161.965277777781</v>
      </c>
      <c r="BP117" s="165">
        <v>45161.96875</v>
      </c>
      <c r="BQ117" s="165">
        <v>45162.583333333336</v>
      </c>
      <c r="BT117" s="136">
        <f t="shared" si="54"/>
        <v>5.6666666666278616</v>
      </c>
      <c r="BU117" s="136">
        <f t="shared" si="55"/>
        <v>15</v>
      </c>
      <c r="BV117" s="136">
        <f t="shared" si="56"/>
        <v>0</v>
      </c>
      <c r="BW117" s="136">
        <f t="shared" si="62"/>
        <v>35.750000000058208</v>
      </c>
      <c r="BX117" s="135">
        <f t="shared" si="57"/>
        <v>6.8333333332557231</v>
      </c>
      <c r="BY117" s="135">
        <f t="shared" si="58"/>
        <v>14.750000000058208</v>
      </c>
      <c r="BZ117" s="134">
        <f t="shared" si="59"/>
        <v>3.25</v>
      </c>
      <c r="CA117" s="134">
        <f t="shared" si="60"/>
        <v>12.020833333335759</v>
      </c>
      <c r="CB117" s="133">
        <f t="shared" si="61"/>
        <v>0.27036395147308234</v>
      </c>
    </row>
    <row r="118" spans="1:80" s="126" customFormat="1">
      <c r="A118" s="192">
        <f t="shared" si="50"/>
        <v>45156.638888888891</v>
      </c>
      <c r="B118" s="126" t="s">
        <v>188</v>
      </c>
      <c r="C118" s="126" t="s">
        <v>82</v>
      </c>
      <c r="D118" s="126" t="s">
        <v>197</v>
      </c>
      <c r="E118" s="65" t="s">
        <v>2713</v>
      </c>
      <c r="F118" s="65"/>
      <c r="G118" s="165">
        <v>45161.645833333336</v>
      </c>
      <c r="H118" s="165">
        <v>45161.645833333336</v>
      </c>
      <c r="I118" s="126" t="s">
        <v>1046</v>
      </c>
      <c r="J118" s="126" t="s">
        <v>192</v>
      </c>
      <c r="K118" s="126" t="s">
        <v>192</v>
      </c>
      <c r="L118" s="126" t="s">
        <v>2714</v>
      </c>
      <c r="M118" s="167"/>
      <c r="N118" s="126" t="s">
        <v>383</v>
      </c>
      <c r="O118" s="126" t="s">
        <v>384</v>
      </c>
      <c r="P118" s="126" t="s">
        <v>82</v>
      </c>
      <c r="Q118" s="181">
        <f t="shared" si="63"/>
        <v>5292</v>
      </c>
      <c r="R118" s="181">
        <f t="shared" si="64"/>
        <v>5400</v>
      </c>
      <c r="S118" s="181">
        <v>5116</v>
      </c>
      <c r="T118" s="181"/>
      <c r="V118" s="172"/>
      <c r="AR118" s="181">
        <f t="shared" si="65"/>
        <v>5116</v>
      </c>
      <c r="AX118" s="165">
        <f t="shared" si="51"/>
        <v>45153.881944444445</v>
      </c>
      <c r="AY118" s="165">
        <f t="shared" si="52"/>
        <v>45162.9375</v>
      </c>
      <c r="AZ118" s="137">
        <f t="shared" si="53"/>
        <v>9.0555555555547471</v>
      </c>
      <c r="BA118" s="165">
        <v>45153.881944444445</v>
      </c>
      <c r="BB118" s="165">
        <v>45156.291666666664</v>
      </c>
      <c r="BC118" s="165">
        <v>45156.614583333336</v>
      </c>
      <c r="BD118" s="165">
        <v>45156.638888888891</v>
      </c>
      <c r="BE118" s="165">
        <v>45157.586805555555</v>
      </c>
      <c r="BF118" s="165">
        <v>45157.635416666664</v>
      </c>
      <c r="BG118" s="165">
        <v>45158.177083333336</v>
      </c>
      <c r="BH118" s="165">
        <v>45158.177083333336</v>
      </c>
      <c r="BI118" s="166" t="s">
        <v>196</v>
      </c>
      <c r="BJ118" s="166" t="s">
        <v>196</v>
      </c>
      <c r="BK118" s="166" t="s">
        <v>196</v>
      </c>
      <c r="BL118" s="165">
        <v>45159.479166666664</v>
      </c>
      <c r="BM118" s="165">
        <v>45162.03125</v>
      </c>
      <c r="BN118" s="165">
        <v>45162.239583333336</v>
      </c>
      <c r="BO118" s="165">
        <v>45162.260416666664</v>
      </c>
      <c r="BP118" s="165">
        <v>45162.527777777781</v>
      </c>
      <c r="BQ118" s="165">
        <v>45162.9375</v>
      </c>
      <c r="BT118" s="136">
        <f t="shared" si="54"/>
        <v>7.7500000001164153</v>
      </c>
      <c r="BU118" s="136">
        <f t="shared" si="55"/>
        <v>22.749999999941792</v>
      </c>
      <c r="BV118" s="136">
        <f t="shared" si="56"/>
        <v>0</v>
      </c>
      <c r="BW118" s="136">
        <f t="shared" si="62"/>
        <v>31.249999999883585</v>
      </c>
      <c r="BX118" s="135">
        <f t="shared" si="57"/>
        <v>5.0000000000582077</v>
      </c>
      <c r="BY118" s="135">
        <f t="shared" si="58"/>
        <v>9.8333333332557231</v>
      </c>
      <c r="BZ118" s="134">
        <f t="shared" si="59"/>
        <v>3.1909722222189885</v>
      </c>
      <c r="CA118" s="134">
        <f t="shared" si="60"/>
        <v>9.0555555555547471</v>
      </c>
      <c r="CB118" s="133">
        <f t="shared" si="61"/>
        <v>0.3523773006131713</v>
      </c>
    </row>
    <row r="119" spans="1:80" s="126" customFormat="1">
      <c r="A119" s="192">
        <f t="shared" si="50"/>
        <v>45160.795138888891</v>
      </c>
      <c r="B119" s="126" t="s">
        <v>188</v>
      </c>
      <c r="C119" s="126" t="s">
        <v>82</v>
      </c>
      <c r="D119" s="126" t="s">
        <v>197</v>
      </c>
      <c r="E119" s="65" t="s">
        <v>2666</v>
      </c>
      <c r="F119" s="65"/>
      <c r="G119" s="165">
        <v>45169.8125</v>
      </c>
      <c r="H119" s="165">
        <v>45169.8125</v>
      </c>
      <c r="I119" s="126" t="s">
        <v>1046</v>
      </c>
      <c r="J119" s="126" t="s">
        <v>192</v>
      </c>
      <c r="K119" s="126" t="s">
        <v>192</v>
      </c>
      <c r="L119" s="126" t="s">
        <v>2715</v>
      </c>
      <c r="M119" s="167"/>
      <c r="N119" s="126" t="s">
        <v>1303</v>
      </c>
      <c r="O119" s="126" t="s">
        <v>1304</v>
      </c>
      <c r="P119" s="126" t="s">
        <v>82</v>
      </c>
      <c r="Q119" s="181">
        <f t="shared" si="63"/>
        <v>5292</v>
      </c>
      <c r="R119" s="181">
        <f t="shared" si="64"/>
        <v>5400</v>
      </c>
      <c r="S119" s="181">
        <v>5289</v>
      </c>
      <c r="T119" s="181"/>
      <c r="V119" s="172"/>
      <c r="AR119" s="181">
        <f t="shared" si="65"/>
        <v>5289</v>
      </c>
      <c r="AX119" s="165">
        <f t="shared" si="51"/>
        <v>45157.8125</v>
      </c>
      <c r="AY119" s="165">
        <f t="shared" si="52"/>
        <v>45167.958333333336</v>
      </c>
      <c r="AZ119" s="137">
        <f t="shared" si="53"/>
        <v>10.145833333335759</v>
      </c>
      <c r="BA119" s="165">
        <v>45157.8125</v>
      </c>
      <c r="BB119" s="165">
        <v>45160.277777777781</v>
      </c>
      <c r="BC119" s="165">
        <v>45160.541666666664</v>
      </c>
      <c r="BD119" s="165">
        <v>45160.795138888891</v>
      </c>
      <c r="BE119" s="165">
        <v>45161.489583333336</v>
      </c>
      <c r="BF119" s="165">
        <v>45161.604166666664</v>
      </c>
      <c r="BG119" s="165">
        <v>45162.28125</v>
      </c>
      <c r="BH119" s="165">
        <v>45162.28125</v>
      </c>
      <c r="BI119" s="166" t="s">
        <v>196</v>
      </c>
      <c r="BJ119" s="166" t="s">
        <v>196</v>
      </c>
      <c r="BK119" s="166" t="s">
        <v>196</v>
      </c>
      <c r="BL119" s="165">
        <v>45163.729166666664</v>
      </c>
      <c r="BM119" s="165">
        <v>45166.892361111109</v>
      </c>
      <c r="BN119" s="165">
        <v>45167.159722222219</v>
      </c>
      <c r="BO119" s="165">
        <v>45167.180555555555</v>
      </c>
      <c r="BP119" s="165">
        <v>45167.184027777781</v>
      </c>
      <c r="BQ119" s="165">
        <v>45167.958333333336</v>
      </c>
      <c r="BT119" s="136">
        <f t="shared" si="54"/>
        <v>6.3333333331975155</v>
      </c>
      <c r="BU119" s="136">
        <f t="shared" si="55"/>
        <v>16.666666666686069</v>
      </c>
      <c r="BV119" s="136">
        <f t="shared" si="56"/>
        <v>0</v>
      </c>
      <c r="BW119" s="136">
        <f t="shared" si="62"/>
        <v>34.749999999941792</v>
      </c>
      <c r="BX119" s="135">
        <f t="shared" si="57"/>
        <v>6.4166666666278616</v>
      </c>
      <c r="BY119" s="135">
        <f t="shared" si="58"/>
        <v>18.583333333313931</v>
      </c>
      <c r="BZ119" s="134">
        <f t="shared" si="59"/>
        <v>3.4479166666569654</v>
      </c>
      <c r="CA119" s="134">
        <f t="shared" si="60"/>
        <v>10.145833333335759</v>
      </c>
      <c r="CB119" s="133">
        <f t="shared" si="61"/>
        <v>0.33983572895173464</v>
      </c>
    </row>
    <row r="120" spans="1:80" s="126" customFormat="1">
      <c r="A120" s="192">
        <f t="shared" si="50"/>
        <v>45164.625</v>
      </c>
      <c r="B120" s="126" t="s">
        <v>188</v>
      </c>
      <c r="C120" s="126" t="s">
        <v>82</v>
      </c>
      <c r="D120" s="126" t="s">
        <v>197</v>
      </c>
      <c r="E120" s="65" t="s">
        <v>2431</v>
      </c>
      <c r="F120" s="65"/>
      <c r="G120" s="316">
        <v>45158.4375</v>
      </c>
      <c r="H120" s="316">
        <v>45158.4375</v>
      </c>
      <c r="I120" s="126" t="s">
        <v>1043</v>
      </c>
      <c r="J120" s="126" t="s">
        <v>192</v>
      </c>
      <c r="K120" s="126" t="s">
        <v>192</v>
      </c>
      <c r="L120" s="126" t="s">
        <v>2434</v>
      </c>
      <c r="M120" s="167"/>
      <c r="N120" s="126" t="s">
        <v>1874</v>
      </c>
      <c r="O120" s="126" t="s">
        <v>1875</v>
      </c>
      <c r="P120" s="126" t="s">
        <v>82</v>
      </c>
      <c r="Q120" s="181">
        <f t="shared" si="63"/>
        <v>5292</v>
      </c>
      <c r="R120" s="181">
        <f t="shared" si="64"/>
        <v>5400</v>
      </c>
      <c r="S120" s="181">
        <v>5325</v>
      </c>
      <c r="T120" s="181"/>
      <c r="V120" s="172"/>
      <c r="AR120" s="181">
        <f t="shared" si="65"/>
        <v>5325</v>
      </c>
      <c r="AX120" s="165">
        <f t="shared" si="51"/>
        <v>45158.631944444445</v>
      </c>
      <c r="AY120" s="165">
        <f t="shared" si="52"/>
        <v>45173.017361111109</v>
      </c>
      <c r="AZ120" s="137">
        <f t="shared" si="53"/>
        <v>14.385416666664241</v>
      </c>
      <c r="BA120" s="165">
        <v>45158.631944444445</v>
      </c>
      <c r="BB120" s="165">
        <v>45164.208333333336</v>
      </c>
      <c r="BC120" s="165">
        <v>45164.493055555555</v>
      </c>
      <c r="BD120" s="165">
        <v>45164.625</v>
      </c>
      <c r="BE120" s="165">
        <v>45165.222222222219</v>
      </c>
      <c r="BF120" s="165">
        <v>45165.305555555555</v>
      </c>
      <c r="BG120" s="165">
        <v>45165.965277777781</v>
      </c>
      <c r="BH120" s="165">
        <v>45165.965277777781</v>
      </c>
      <c r="BI120" s="166" t="s">
        <v>196</v>
      </c>
      <c r="BJ120" s="166" t="s">
        <v>196</v>
      </c>
      <c r="BK120" s="166" t="s">
        <v>196</v>
      </c>
      <c r="BL120" s="165">
        <v>45167.142361111109</v>
      </c>
      <c r="BM120" s="165">
        <v>45171.5625</v>
      </c>
      <c r="BN120" s="165">
        <v>45172.375</v>
      </c>
      <c r="BO120" s="165">
        <v>45172.395833333336</v>
      </c>
      <c r="BP120" s="165">
        <v>45172.690972222219</v>
      </c>
      <c r="BQ120" s="165">
        <v>45173.017361111109</v>
      </c>
      <c r="BT120" s="136">
        <f t="shared" si="54"/>
        <v>6.8333333332557231</v>
      </c>
      <c r="BU120" s="136">
        <f t="shared" si="55"/>
        <v>14.333333333255723</v>
      </c>
      <c r="BV120" s="136">
        <f t="shared" si="56"/>
        <v>0</v>
      </c>
      <c r="BW120" s="136">
        <f t="shared" si="62"/>
        <v>28.249999999883585</v>
      </c>
      <c r="BX120" s="135">
        <f t="shared" si="57"/>
        <v>19.5</v>
      </c>
      <c r="BY120" s="135">
        <f t="shared" si="58"/>
        <v>7.8333333333721384</v>
      </c>
      <c r="BZ120" s="134">
        <f t="shared" si="59"/>
        <v>3.1979166666569654</v>
      </c>
      <c r="CA120" s="134">
        <f t="shared" si="60"/>
        <v>14.385416666664241</v>
      </c>
      <c r="CB120" s="133">
        <f t="shared" si="61"/>
        <v>0.22230267921732111</v>
      </c>
    </row>
    <row r="121" spans="1:80" s="126" customFormat="1">
      <c r="A121" s="192">
        <f t="shared" si="50"/>
        <v>45167.5625</v>
      </c>
      <c r="B121" s="126" t="s">
        <v>188</v>
      </c>
      <c r="C121" s="126" t="s">
        <v>82</v>
      </c>
      <c r="D121" s="126" t="s">
        <v>197</v>
      </c>
      <c r="E121" s="65" t="s">
        <v>2684</v>
      </c>
      <c r="F121" s="65"/>
      <c r="G121" s="165">
        <v>45172.995833333334</v>
      </c>
      <c r="H121" s="165">
        <v>45172.995833333334</v>
      </c>
      <c r="I121" s="126" t="s">
        <v>1046</v>
      </c>
      <c r="J121" s="126" t="s">
        <v>192</v>
      </c>
      <c r="K121" s="126" t="s">
        <v>192</v>
      </c>
      <c r="L121" s="126" t="s">
        <v>2716</v>
      </c>
      <c r="M121" s="167"/>
      <c r="N121" s="126" t="s">
        <v>441</v>
      </c>
      <c r="O121" s="126" t="s">
        <v>1308</v>
      </c>
      <c r="P121" s="126" t="s">
        <v>82</v>
      </c>
      <c r="Q121" s="181">
        <f t="shared" si="63"/>
        <v>5292</v>
      </c>
      <c r="R121" s="181">
        <f t="shared" si="64"/>
        <v>5400</v>
      </c>
      <c r="S121" s="181">
        <v>5290</v>
      </c>
      <c r="T121" s="181"/>
      <c r="V121" s="172"/>
      <c r="AR121" s="181">
        <f t="shared" si="65"/>
        <v>5290</v>
      </c>
      <c r="AX121" s="165">
        <f t="shared" si="51"/>
        <v>45162.583333333336</v>
      </c>
      <c r="AY121" s="165">
        <f t="shared" si="52"/>
        <v>45174.322916666664</v>
      </c>
      <c r="AZ121" s="137">
        <f t="shared" si="53"/>
        <v>11.739583333328483</v>
      </c>
      <c r="BA121" s="165">
        <v>45162.583333333336</v>
      </c>
      <c r="BB121" s="165">
        <v>45167.277777777781</v>
      </c>
      <c r="BC121" s="165">
        <v>45167.427083333336</v>
      </c>
      <c r="BD121" s="165">
        <v>45167.5625</v>
      </c>
      <c r="BE121" s="165">
        <v>45168.541666666664</v>
      </c>
      <c r="BF121" s="165">
        <v>45168.611111111109</v>
      </c>
      <c r="BG121" s="165">
        <v>45169.059027777781</v>
      </c>
      <c r="BH121" s="165">
        <v>45169.059027777781</v>
      </c>
      <c r="BI121" s="166" t="s">
        <v>196</v>
      </c>
      <c r="BJ121" s="166" t="s">
        <v>196</v>
      </c>
      <c r="BK121" s="166" t="s">
        <v>196</v>
      </c>
      <c r="BL121" s="165">
        <v>45170.565972222219</v>
      </c>
      <c r="BM121" s="165">
        <v>45173.159722222219</v>
      </c>
      <c r="BN121" s="165">
        <v>45173.423611111109</v>
      </c>
      <c r="BO121" s="165">
        <v>45173.541666666664</v>
      </c>
      <c r="BP121" s="165">
        <v>45173.548611111109</v>
      </c>
      <c r="BQ121" s="165">
        <v>45174.322916666664</v>
      </c>
      <c r="BR121" s="126" t="s">
        <v>2717</v>
      </c>
      <c r="BT121" s="136">
        <f t="shared" si="54"/>
        <v>3.5833333333139308</v>
      </c>
      <c r="BU121" s="136">
        <f t="shared" si="55"/>
        <v>23.499999999941792</v>
      </c>
      <c r="BV121" s="136">
        <f t="shared" si="56"/>
        <v>0</v>
      </c>
      <c r="BW121" s="136">
        <f t="shared" si="62"/>
        <v>36.166666666511446</v>
      </c>
      <c r="BX121" s="135">
        <f t="shared" si="57"/>
        <v>6.3333333333721384</v>
      </c>
      <c r="BY121" s="135">
        <f t="shared" si="58"/>
        <v>18.583333333313931</v>
      </c>
      <c r="BZ121" s="134">
        <f t="shared" si="59"/>
        <v>3.6736111111022183</v>
      </c>
      <c r="CA121" s="134">
        <f t="shared" si="60"/>
        <v>11.739583333328483</v>
      </c>
      <c r="CB121" s="133">
        <f t="shared" si="61"/>
        <v>0.31292517006739901</v>
      </c>
    </row>
    <row r="122" spans="1:80" s="126" customFormat="1">
      <c r="A122" s="192">
        <f t="shared" si="50"/>
        <v>45142.885416666664</v>
      </c>
      <c r="B122" s="126" t="s">
        <v>188</v>
      </c>
      <c r="C122" s="126" t="s">
        <v>84</v>
      </c>
      <c r="D122" s="126" t="s">
        <v>197</v>
      </c>
      <c r="E122" s="65" t="s">
        <v>2641</v>
      </c>
      <c r="G122" s="165">
        <v>45143.000694444447</v>
      </c>
      <c r="H122" s="165">
        <v>45143.000694444447</v>
      </c>
      <c r="I122" s="126" t="s">
        <v>455</v>
      </c>
      <c r="J122" s="126" t="s">
        <v>192</v>
      </c>
      <c r="K122" s="126" t="s">
        <v>192</v>
      </c>
      <c r="L122" s="126" t="s">
        <v>2718</v>
      </c>
      <c r="M122" s="167"/>
      <c r="N122" s="126" t="s">
        <v>371</v>
      </c>
      <c r="O122" s="126" t="s">
        <v>372</v>
      </c>
      <c r="P122" s="126" t="s">
        <v>84</v>
      </c>
      <c r="Q122" s="181">
        <f>3117*2.4</f>
        <v>7480.7999999999993</v>
      </c>
      <c r="R122" s="181">
        <f>7500+100</f>
        <v>7600</v>
      </c>
      <c r="S122" s="181">
        <v>7504</v>
      </c>
      <c r="T122" s="181"/>
      <c r="AM122" s="181">
        <f>S122</f>
        <v>7504</v>
      </c>
      <c r="AX122" s="165">
        <f t="shared" si="51"/>
        <v>45140.355555555558</v>
      </c>
      <c r="AY122" s="165">
        <f t="shared" si="52"/>
        <v>45148.538194444445</v>
      </c>
      <c r="AZ122" s="137">
        <f t="shared" si="53"/>
        <v>8.1826388888875954</v>
      </c>
      <c r="BA122" s="165">
        <v>45140.355555555558</v>
      </c>
      <c r="BB122" s="165">
        <v>45141.621527777781</v>
      </c>
      <c r="BC122" s="165">
        <v>45142.732638888891</v>
      </c>
      <c r="BD122" s="165">
        <v>45142.885416666664</v>
      </c>
      <c r="BE122" s="165">
        <v>45143.020833333336</v>
      </c>
      <c r="BF122" s="165">
        <v>45143.045138888891</v>
      </c>
      <c r="BG122" s="165">
        <v>45143.690972222219</v>
      </c>
      <c r="BH122" s="165">
        <v>45143.690972222219</v>
      </c>
      <c r="BI122" s="166" t="s">
        <v>196</v>
      </c>
      <c r="BJ122" s="166" t="s">
        <v>196</v>
      </c>
      <c r="BK122" s="166" t="s">
        <v>196</v>
      </c>
      <c r="BL122" s="165">
        <v>45145.614583333336</v>
      </c>
      <c r="BM122" s="165">
        <v>45148.3125</v>
      </c>
      <c r="BN122" s="165">
        <v>45148.538194444445</v>
      </c>
      <c r="BO122" s="165">
        <v>45148.538194444445</v>
      </c>
      <c r="BP122" s="165">
        <v>45148.538194444445</v>
      </c>
      <c r="BQ122" s="165">
        <v>45148.538194444445</v>
      </c>
      <c r="BT122" s="136">
        <f t="shared" si="54"/>
        <v>26.666666666627862</v>
      </c>
      <c r="BU122" s="136">
        <f t="shared" si="55"/>
        <v>3.2500000001164153</v>
      </c>
      <c r="BV122" s="136">
        <f t="shared" si="56"/>
        <v>0</v>
      </c>
      <c r="BW122" s="136">
        <f t="shared" si="62"/>
        <v>46.166666666802485</v>
      </c>
      <c r="BX122" s="135">
        <f t="shared" si="57"/>
        <v>5.4166666666860692</v>
      </c>
      <c r="BY122" s="135">
        <f t="shared" si="58"/>
        <v>0</v>
      </c>
      <c r="BZ122" s="134">
        <f t="shared" si="59"/>
        <v>3.3958333333430346</v>
      </c>
      <c r="CA122" s="134">
        <f t="shared" si="60"/>
        <v>8.1826388888875954</v>
      </c>
      <c r="CB122" s="133">
        <f t="shared" si="61"/>
        <v>0.41500466774291289</v>
      </c>
    </row>
    <row r="123" spans="1:80" s="126" customFormat="1">
      <c r="A123" s="192">
        <f t="shared" si="50"/>
        <v>45143.395833333336</v>
      </c>
      <c r="B123" s="126" t="s">
        <v>188</v>
      </c>
      <c r="C123" s="126" t="s">
        <v>84</v>
      </c>
      <c r="D123" s="126" t="s">
        <v>197</v>
      </c>
      <c r="E123" s="65" t="s">
        <v>2677</v>
      </c>
      <c r="G123" s="165">
        <v>45148.195833333331</v>
      </c>
      <c r="H123" s="165">
        <v>45148.195833333331</v>
      </c>
      <c r="I123" s="126" t="s">
        <v>455</v>
      </c>
      <c r="J123" s="126" t="s">
        <v>192</v>
      </c>
      <c r="K123" s="126" t="s">
        <v>192</v>
      </c>
      <c r="L123" s="126" t="s">
        <v>2719</v>
      </c>
      <c r="M123" s="167"/>
      <c r="N123" s="126" t="s">
        <v>292</v>
      </c>
      <c r="O123" s="126" t="s">
        <v>293</v>
      </c>
      <c r="P123" s="126" t="s">
        <v>84</v>
      </c>
      <c r="Q123" s="181">
        <f>3142*2.4</f>
        <v>7540.7999999999993</v>
      </c>
      <c r="R123" s="181">
        <f t="shared" ref="R123:R128" si="66">7550+100</f>
        <v>7650</v>
      </c>
      <c r="S123" s="181">
        <v>7522</v>
      </c>
      <c r="T123" s="181"/>
      <c r="AM123" s="181">
        <f>S123</f>
        <v>7522</v>
      </c>
      <c r="AX123" s="165">
        <f t="shared" si="51"/>
        <v>45141.333333333336</v>
      </c>
      <c r="AY123" s="165">
        <f t="shared" si="52"/>
        <v>45148.354166666664</v>
      </c>
      <c r="AZ123" s="137">
        <f t="shared" si="53"/>
        <v>7.0208333333284827</v>
      </c>
      <c r="BA123" s="165">
        <v>45141.333333333336</v>
      </c>
      <c r="BB123" s="165">
        <v>45141.972222222219</v>
      </c>
      <c r="BC123" s="165">
        <v>45142.875</v>
      </c>
      <c r="BD123" s="165">
        <v>45143.395833333336</v>
      </c>
      <c r="BE123" s="165">
        <v>45143.53125</v>
      </c>
      <c r="BF123" s="165">
        <v>45143.541666666664</v>
      </c>
      <c r="BG123" s="165">
        <v>45143.875</v>
      </c>
      <c r="BH123" s="165">
        <v>45143.875</v>
      </c>
      <c r="BI123" s="166" t="s">
        <v>196</v>
      </c>
      <c r="BJ123" s="166" t="s">
        <v>196</v>
      </c>
      <c r="BK123" s="166" t="s">
        <v>196</v>
      </c>
      <c r="BL123" s="165">
        <v>45145.604166666664</v>
      </c>
      <c r="BM123" s="165">
        <v>45147.322916666664</v>
      </c>
      <c r="BN123" s="165">
        <v>45147.583333333336</v>
      </c>
      <c r="BO123" s="165">
        <v>45147.604166666664</v>
      </c>
      <c r="BP123" s="165">
        <v>45147.854166666664</v>
      </c>
      <c r="BQ123" s="165">
        <v>45148.354166666664</v>
      </c>
      <c r="BT123" s="136">
        <f t="shared" si="54"/>
        <v>21.666666666744277</v>
      </c>
      <c r="BU123" s="136">
        <f t="shared" si="55"/>
        <v>3.2499999999417923</v>
      </c>
      <c r="BV123" s="136">
        <f t="shared" si="56"/>
        <v>0</v>
      </c>
      <c r="BW123" s="136">
        <f t="shared" si="62"/>
        <v>41.499999999941792</v>
      </c>
      <c r="BX123" s="135">
        <f t="shared" si="57"/>
        <v>6.2500000001164153</v>
      </c>
      <c r="BY123" s="135">
        <f t="shared" si="58"/>
        <v>12</v>
      </c>
      <c r="BZ123" s="134">
        <f t="shared" si="59"/>
        <v>3.5277777777810115</v>
      </c>
      <c r="CA123" s="134">
        <f t="shared" si="60"/>
        <v>7.0208333333284827</v>
      </c>
      <c r="CB123" s="133">
        <f t="shared" si="61"/>
        <v>0.50247279920951204</v>
      </c>
    </row>
    <row r="124" spans="1:80" s="126" customFormat="1">
      <c r="A124" s="192">
        <f t="shared" si="50"/>
        <v>45152.756944444445</v>
      </c>
      <c r="B124" s="126" t="s">
        <v>188</v>
      </c>
      <c r="C124" s="126" t="s">
        <v>84</v>
      </c>
      <c r="D124" s="126" t="s">
        <v>215</v>
      </c>
      <c r="E124" s="65" t="s">
        <v>2706</v>
      </c>
      <c r="G124" s="165">
        <v>45156.998611111114</v>
      </c>
      <c r="H124" s="165">
        <v>45156.998611111114</v>
      </c>
      <c r="I124" s="126" t="s">
        <v>455</v>
      </c>
      <c r="J124" s="126" t="s">
        <v>192</v>
      </c>
      <c r="K124" s="126" t="s">
        <v>192</v>
      </c>
      <c r="L124" s="126" t="s">
        <v>2720</v>
      </c>
      <c r="M124" s="167"/>
      <c r="N124" s="126" t="s">
        <v>222</v>
      </c>
      <c r="O124" s="126" t="s">
        <v>223</v>
      </c>
      <c r="P124" s="126" t="s">
        <v>84</v>
      </c>
      <c r="Q124" s="181">
        <f>3137*2.4</f>
        <v>7528.7999999999993</v>
      </c>
      <c r="R124" s="181">
        <f t="shared" si="66"/>
        <v>7650</v>
      </c>
      <c r="S124" s="181">
        <v>7504.6509999999998</v>
      </c>
      <c r="T124" s="181"/>
      <c r="AM124" s="181">
        <f>S124</f>
        <v>7504.6509999999998</v>
      </c>
      <c r="AX124" s="165">
        <f t="shared" si="51"/>
        <v>45149.149305555555</v>
      </c>
      <c r="AY124" s="165">
        <f t="shared" si="52"/>
        <v>45160.923611111109</v>
      </c>
      <c r="AZ124" s="137">
        <f t="shared" si="53"/>
        <v>11.774305555554747</v>
      </c>
      <c r="BA124" s="165">
        <v>45149.149305555555</v>
      </c>
      <c r="BB124" s="165">
        <v>45150.875</v>
      </c>
      <c r="BC124" s="165">
        <v>45151.875</v>
      </c>
      <c r="BD124" s="165">
        <v>45152.756944444445</v>
      </c>
      <c r="BE124" s="165">
        <v>45152.888888888891</v>
      </c>
      <c r="BF124" s="165">
        <v>45152.892361111109</v>
      </c>
      <c r="BG124" s="165">
        <v>45153.645833333336</v>
      </c>
      <c r="BH124" s="165">
        <v>45153.645833333336</v>
      </c>
      <c r="BI124" s="166" t="s">
        <v>196</v>
      </c>
      <c r="BJ124" s="166" t="s">
        <v>196</v>
      </c>
      <c r="BK124" s="166" t="s">
        <v>196</v>
      </c>
      <c r="BL124" s="165">
        <v>45155.527777777781</v>
      </c>
      <c r="BM124" s="165">
        <v>45159.986111111109</v>
      </c>
      <c r="BN124" s="165">
        <v>45160.447916666664</v>
      </c>
      <c r="BO124" s="165">
        <v>45160.454861111109</v>
      </c>
      <c r="BP124" s="165">
        <v>45160.458333333336</v>
      </c>
      <c r="BQ124" s="165">
        <v>45160.923611111109</v>
      </c>
      <c r="BT124" s="136">
        <f t="shared" si="54"/>
        <v>24</v>
      </c>
      <c r="BU124" s="136">
        <f t="shared" si="55"/>
        <v>3.1666666666860692</v>
      </c>
      <c r="BV124" s="136">
        <f t="shared" si="56"/>
        <v>0</v>
      </c>
      <c r="BW124" s="136">
        <f t="shared" si="62"/>
        <v>45.166666666686069</v>
      </c>
      <c r="BX124" s="135">
        <f t="shared" si="57"/>
        <v>11.083333333313931</v>
      </c>
      <c r="BY124" s="135">
        <f t="shared" si="58"/>
        <v>11.166666666569654</v>
      </c>
      <c r="BZ124" s="134">
        <f t="shared" si="59"/>
        <v>3.9409722222189885</v>
      </c>
      <c r="CA124" s="134">
        <f t="shared" si="60"/>
        <v>11.774305555554747</v>
      </c>
      <c r="CB124" s="133">
        <f t="shared" si="61"/>
        <v>0.33470952521354957</v>
      </c>
    </row>
    <row r="125" spans="1:80" s="126" customFormat="1">
      <c r="A125" s="192">
        <f t="shared" si="50"/>
        <v>45157.479166666664</v>
      </c>
      <c r="B125" s="126" t="s">
        <v>188</v>
      </c>
      <c r="C125" s="126" t="s">
        <v>84</v>
      </c>
      <c r="D125" s="126" t="s">
        <v>197</v>
      </c>
      <c r="E125" s="65" t="s">
        <v>2605</v>
      </c>
      <c r="G125" s="165">
        <v>45164.5</v>
      </c>
      <c r="H125" s="165">
        <v>45164.5</v>
      </c>
      <c r="I125" s="126" t="s">
        <v>455</v>
      </c>
      <c r="J125" s="126" t="s">
        <v>192</v>
      </c>
      <c r="K125" s="126" t="s">
        <v>192</v>
      </c>
      <c r="L125" s="126" t="s">
        <v>2721</v>
      </c>
      <c r="M125" s="167"/>
      <c r="N125" s="126" t="s">
        <v>201</v>
      </c>
      <c r="O125" s="126" t="s">
        <v>202</v>
      </c>
      <c r="P125" s="126" t="s">
        <v>84</v>
      </c>
      <c r="Q125" s="181">
        <f>3141*2.4</f>
        <v>7538.4</v>
      </c>
      <c r="R125" s="181">
        <f t="shared" si="66"/>
        <v>7650</v>
      </c>
      <c r="S125" s="181">
        <v>7508</v>
      </c>
      <c r="T125" s="181"/>
      <c r="AM125" s="181">
        <f>S125</f>
        <v>7508</v>
      </c>
      <c r="AX125" s="165">
        <f t="shared" si="51"/>
        <v>45154.572916666664</v>
      </c>
      <c r="AY125" s="165">
        <f t="shared" si="52"/>
        <v>45164.166666666664</v>
      </c>
      <c r="AZ125" s="137">
        <f t="shared" si="53"/>
        <v>9.59375</v>
      </c>
      <c r="BA125" s="165">
        <v>45154.572916666664</v>
      </c>
      <c r="BB125" s="165">
        <v>45154.819444444445</v>
      </c>
      <c r="BC125" s="165">
        <v>45156.5625</v>
      </c>
      <c r="BD125" s="165">
        <v>45157.479166666664</v>
      </c>
      <c r="BE125" s="165">
        <v>45157.604166666664</v>
      </c>
      <c r="BF125" s="165">
        <v>45157.625</v>
      </c>
      <c r="BG125" s="165">
        <v>45157.916666666664</v>
      </c>
      <c r="BH125" s="165">
        <v>45157.916666666664</v>
      </c>
      <c r="BI125" s="166" t="s">
        <v>196</v>
      </c>
      <c r="BJ125" s="166" t="s">
        <v>196</v>
      </c>
      <c r="BK125" s="166" t="s">
        <v>196</v>
      </c>
      <c r="BL125" s="165">
        <v>45159.625</v>
      </c>
      <c r="BM125" s="165">
        <v>45163.229166666664</v>
      </c>
      <c r="BN125" s="165">
        <v>45163.545138888891</v>
      </c>
      <c r="BO125" s="165">
        <v>45163.565972222219</v>
      </c>
      <c r="BP125" s="165">
        <v>45163.756944444445</v>
      </c>
      <c r="BQ125" s="165">
        <v>45164.166666666664</v>
      </c>
      <c r="BT125" s="136">
        <f t="shared" si="54"/>
        <v>41.833333333313931</v>
      </c>
      <c r="BU125" s="136">
        <f t="shared" si="55"/>
        <v>3</v>
      </c>
      <c r="BV125" s="136">
        <f t="shared" si="56"/>
        <v>0</v>
      </c>
      <c r="BW125" s="136">
        <f t="shared" si="62"/>
        <v>41.000000000058208</v>
      </c>
      <c r="BX125" s="135">
        <f t="shared" si="57"/>
        <v>7.5833333334303461</v>
      </c>
      <c r="BY125" s="135">
        <f t="shared" si="58"/>
        <v>9.8333333332557231</v>
      </c>
      <c r="BZ125" s="134">
        <f t="shared" si="59"/>
        <v>4.3020833333357587</v>
      </c>
      <c r="CA125" s="134">
        <f t="shared" si="60"/>
        <v>9.59375</v>
      </c>
      <c r="CB125" s="133">
        <f t="shared" si="61"/>
        <v>0.44842562432164257</v>
      </c>
    </row>
    <row r="126" spans="1:80" s="126" customFormat="1">
      <c r="A126" s="192">
        <f t="shared" si="50"/>
        <v>45139.635416666664</v>
      </c>
      <c r="B126" s="126" t="s">
        <v>188</v>
      </c>
      <c r="C126" s="126" t="s">
        <v>76</v>
      </c>
      <c r="D126" s="126" t="s">
        <v>215</v>
      </c>
      <c r="E126" s="65" t="s">
        <v>2253</v>
      </c>
      <c r="G126" s="165">
        <v>45141.875</v>
      </c>
      <c r="H126" s="165">
        <v>45141.866666666669</v>
      </c>
      <c r="I126" s="126" t="s">
        <v>460</v>
      </c>
      <c r="J126" s="126" t="s">
        <v>192</v>
      </c>
      <c r="K126" s="126" t="s">
        <v>192</v>
      </c>
      <c r="L126" s="126" t="s">
        <v>2257</v>
      </c>
      <c r="M126" s="167"/>
      <c r="N126" s="126" t="s">
        <v>343</v>
      </c>
      <c r="O126" s="126" t="s">
        <v>344</v>
      </c>
      <c r="P126" s="126" t="s">
        <v>76</v>
      </c>
      <c r="Q126" s="181">
        <f>3136*2.4</f>
        <v>7526.4</v>
      </c>
      <c r="R126" s="181">
        <f t="shared" si="66"/>
        <v>7650</v>
      </c>
      <c r="S126" s="181">
        <v>7500</v>
      </c>
      <c r="T126" s="181"/>
      <c r="AL126" s="181">
        <f>S126</f>
        <v>7500</v>
      </c>
      <c r="AX126" s="165">
        <f t="shared" si="51"/>
        <v>45135.1875</v>
      </c>
      <c r="AY126" s="165">
        <f t="shared" si="52"/>
        <v>45147.5</v>
      </c>
      <c r="AZ126" s="137">
        <f t="shared" si="53"/>
        <v>12.3125</v>
      </c>
      <c r="BA126" s="165">
        <v>45135.1875</v>
      </c>
      <c r="BB126" s="165">
        <v>45136.388888888891</v>
      </c>
      <c r="BC126" s="165">
        <v>45136.791666666664</v>
      </c>
      <c r="BD126" s="165">
        <v>45139.635416666664</v>
      </c>
      <c r="BE126" s="165">
        <v>45140.197916666664</v>
      </c>
      <c r="BF126" s="165">
        <v>45140.21875</v>
      </c>
      <c r="BG126" s="165">
        <v>45140.21875</v>
      </c>
      <c r="BH126" s="165">
        <f>BG126+(5/24)</f>
        <v>45140.427083333336</v>
      </c>
      <c r="BI126" s="165">
        <v>45141.25</v>
      </c>
      <c r="BJ126" s="165">
        <v>45141.416666608799</v>
      </c>
      <c r="BK126" s="165">
        <v>45141.322916666664</v>
      </c>
      <c r="BL126" s="165">
        <v>45142.489583333336</v>
      </c>
      <c r="BM126" s="165">
        <v>45146.579861111109</v>
      </c>
      <c r="BN126" s="165">
        <v>45147.086805555555</v>
      </c>
      <c r="BO126" s="165">
        <v>45147.107638888891</v>
      </c>
      <c r="BP126" s="165">
        <v>45147.291666666664</v>
      </c>
      <c r="BQ126" s="165">
        <v>45147.5</v>
      </c>
      <c r="BT126" s="136">
        <f t="shared" si="54"/>
        <v>9.6666666665696539</v>
      </c>
      <c r="BU126" s="136">
        <f t="shared" si="55"/>
        <v>13.5</v>
      </c>
      <c r="BV126" s="136">
        <f t="shared" si="56"/>
        <v>5.0000000000582077</v>
      </c>
      <c r="BW126" s="136">
        <f t="shared" ref="BW126:BW142" si="67">(BL126-BJ126)*24</f>
        <v>25.750001388892997</v>
      </c>
      <c r="BX126" s="135">
        <f t="shared" si="57"/>
        <v>12.166666666686069</v>
      </c>
      <c r="BY126" s="135">
        <f t="shared" si="58"/>
        <v>5.0000000000582077</v>
      </c>
      <c r="BZ126" s="134">
        <f t="shared" si="59"/>
        <v>2.961805613427714</v>
      </c>
      <c r="CA126" s="134">
        <f t="shared" si="60"/>
        <v>12.3125</v>
      </c>
      <c r="CB126" s="133">
        <f t="shared" si="61"/>
        <v>0.24055274017687017</v>
      </c>
    </row>
    <row r="127" spans="1:80" s="126" customFormat="1">
      <c r="A127" s="192">
        <f t="shared" si="50"/>
        <v>45145.84375</v>
      </c>
      <c r="B127" s="126" t="s">
        <v>188</v>
      </c>
      <c r="C127" s="126" t="s">
        <v>76</v>
      </c>
      <c r="D127" s="126" t="s">
        <v>197</v>
      </c>
      <c r="E127" s="65" t="s">
        <v>2309</v>
      </c>
      <c r="G127" s="165">
        <v>45142.708333333336</v>
      </c>
      <c r="H127" s="165">
        <v>45142.708333333336</v>
      </c>
      <c r="I127" s="126" t="s">
        <v>460</v>
      </c>
      <c r="J127" s="126" t="s">
        <v>192</v>
      </c>
      <c r="K127" s="126" t="s">
        <v>192</v>
      </c>
      <c r="L127" s="126" t="s">
        <v>2339</v>
      </c>
      <c r="M127" s="167"/>
      <c r="N127" s="126" t="s">
        <v>505</v>
      </c>
      <c r="O127" s="126" t="s">
        <v>340</v>
      </c>
      <c r="P127" s="126" t="s">
        <v>76</v>
      </c>
      <c r="Q127" s="181">
        <f>3141*2.4</f>
        <v>7538.4</v>
      </c>
      <c r="R127" s="181">
        <f t="shared" si="66"/>
        <v>7650</v>
      </c>
      <c r="S127" s="181">
        <v>7500</v>
      </c>
      <c r="T127" s="181"/>
      <c r="AL127" s="181">
        <f>S127</f>
        <v>7500</v>
      </c>
      <c r="AX127" s="165">
        <f t="shared" si="51"/>
        <v>45143.34375</v>
      </c>
      <c r="AY127" s="165">
        <f t="shared" si="52"/>
        <v>45157.423611111109</v>
      </c>
      <c r="AZ127" s="137">
        <f t="shared" si="53"/>
        <v>14.079861111109494</v>
      </c>
      <c r="BA127" s="165">
        <v>45143.34375</v>
      </c>
      <c r="BB127" s="165">
        <v>45144.53125</v>
      </c>
      <c r="BC127" s="165">
        <v>45144.916666666664</v>
      </c>
      <c r="BD127" s="165">
        <v>45145.84375</v>
      </c>
      <c r="BE127" s="165">
        <v>45146.1875</v>
      </c>
      <c r="BF127" s="165">
        <v>45146.211805555555</v>
      </c>
      <c r="BG127" s="165">
        <v>45146.211805555555</v>
      </c>
      <c r="BH127" s="165">
        <f>BG127+(10/24)</f>
        <v>45146.628472222219</v>
      </c>
      <c r="BI127" s="210">
        <v>45147.291666608799</v>
      </c>
      <c r="BJ127" s="210">
        <v>45147.458333333336</v>
      </c>
      <c r="BK127" s="165">
        <v>45147.385416666664</v>
      </c>
      <c r="BL127" s="165">
        <v>45148.440972222219</v>
      </c>
      <c r="BM127" s="165">
        <v>45156.618055555555</v>
      </c>
      <c r="BN127" s="165">
        <v>45156.899305555555</v>
      </c>
      <c r="BO127" s="165">
        <v>45156.920138888891</v>
      </c>
      <c r="BP127" s="165">
        <v>45157.229166666664</v>
      </c>
      <c r="BQ127" s="165">
        <v>45157.423611111109</v>
      </c>
      <c r="BT127" s="136">
        <f t="shared" si="54"/>
        <v>9.2499999999417923</v>
      </c>
      <c r="BU127" s="136">
        <f t="shared" si="55"/>
        <v>8.25</v>
      </c>
      <c r="BV127" s="136">
        <f t="shared" si="56"/>
        <v>9.9999999999417923</v>
      </c>
      <c r="BW127" s="136">
        <f t="shared" si="67"/>
        <v>23.583333333197515</v>
      </c>
      <c r="BX127" s="135">
        <f t="shared" si="57"/>
        <v>6.75</v>
      </c>
      <c r="BY127" s="135">
        <f t="shared" si="58"/>
        <v>4.6666666666860692</v>
      </c>
      <c r="BZ127" s="134">
        <f t="shared" si="59"/>
        <v>2.6041666666569654</v>
      </c>
      <c r="CA127" s="134">
        <f t="shared" si="60"/>
        <v>14.079861111109494</v>
      </c>
      <c r="CB127" s="133">
        <f t="shared" si="61"/>
        <v>0.18495684340253815</v>
      </c>
    </row>
    <row r="128" spans="1:80" s="126" customFormat="1">
      <c r="A128" s="192">
        <f t="shared" si="50"/>
        <v>45146.375</v>
      </c>
      <c r="B128" s="126" t="s">
        <v>188</v>
      </c>
      <c r="C128" s="126" t="s">
        <v>76</v>
      </c>
      <c r="D128" s="126" t="s">
        <v>197</v>
      </c>
      <c r="E128" s="65" t="s">
        <v>2597</v>
      </c>
      <c r="G128" s="165">
        <v>45151.758333333331</v>
      </c>
      <c r="H128" s="165">
        <v>45151.758333333331</v>
      </c>
      <c r="I128" s="126" t="s">
        <v>464</v>
      </c>
      <c r="J128" s="126" t="s">
        <v>192</v>
      </c>
      <c r="K128" s="126" t="s">
        <v>192</v>
      </c>
      <c r="L128" s="126" t="s">
        <v>2722</v>
      </c>
      <c r="M128" s="167"/>
      <c r="N128" s="126" t="s">
        <v>307</v>
      </c>
      <c r="O128" s="126" t="s">
        <v>308</v>
      </c>
      <c r="P128" s="126" t="s">
        <v>76</v>
      </c>
      <c r="Q128" s="181">
        <f>3170*2.4</f>
        <v>7608</v>
      </c>
      <c r="R128" s="181">
        <f t="shared" si="66"/>
        <v>7650</v>
      </c>
      <c r="S128" s="181">
        <v>7500</v>
      </c>
      <c r="T128" s="181"/>
      <c r="AL128" s="181">
        <f>S128</f>
        <v>7500</v>
      </c>
      <c r="AX128" s="165">
        <f t="shared" si="51"/>
        <v>45143.428472222222</v>
      </c>
      <c r="AY128" s="165">
        <f t="shared" si="52"/>
        <v>45152.024305555555</v>
      </c>
      <c r="AZ128" s="137">
        <f t="shared" si="53"/>
        <v>8.5958333333328483</v>
      </c>
      <c r="BA128" s="165">
        <v>45143.428472222222</v>
      </c>
      <c r="BB128" s="165">
        <v>45145.815972222219</v>
      </c>
      <c r="BC128" s="165">
        <v>45146.145833333336</v>
      </c>
      <c r="BD128" s="165">
        <v>45146.375</v>
      </c>
      <c r="BE128" s="165">
        <v>45146.704861111109</v>
      </c>
      <c r="BF128" s="165">
        <v>45146.725694444445</v>
      </c>
      <c r="BG128" s="165">
        <v>45146.725694444445</v>
      </c>
      <c r="BH128" s="165">
        <f>BG128+(10/24)</f>
        <v>45147.142361111109</v>
      </c>
      <c r="BI128" s="210">
        <v>45147.291666608799</v>
      </c>
      <c r="BJ128" s="210">
        <v>45147.458333333336</v>
      </c>
      <c r="BK128" s="165">
        <v>45147.302083333336</v>
      </c>
      <c r="BL128" s="165">
        <v>45149.604166666664</v>
      </c>
      <c r="BM128" s="165">
        <v>45151.013888888891</v>
      </c>
      <c r="BN128" s="165">
        <v>45151.277777777781</v>
      </c>
      <c r="BO128" s="165">
        <v>45151.3125</v>
      </c>
      <c r="BP128" s="165">
        <v>45151.333333333336</v>
      </c>
      <c r="BQ128" s="165">
        <v>45152.024305555555</v>
      </c>
      <c r="BT128" s="136">
        <f t="shared" si="54"/>
        <v>7.9166666668024845</v>
      </c>
      <c r="BU128" s="136">
        <f t="shared" si="55"/>
        <v>7.9166666666278616</v>
      </c>
      <c r="BV128" s="136">
        <f t="shared" si="56"/>
        <v>9.9999999999417923</v>
      </c>
      <c r="BW128" s="136">
        <f t="shared" si="67"/>
        <v>51.499999999883585</v>
      </c>
      <c r="BX128" s="135">
        <f t="shared" si="57"/>
        <v>6.3333333333721384</v>
      </c>
      <c r="BY128" s="135">
        <f t="shared" si="58"/>
        <v>16.583333333255723</v>
      </c>
      <c r="BZ128" s="134">
        <f t="shared" si="59"/>
        <v>4.1770833333284827</v>
      </c>
      <c r="CA128" s="134">
        <f t="shared" si="60"/>
        <v>8.5958333333328483</v>
      </c>
      <c r="CB128" s="133">
        <f t="shared" si="61"/>
        <v>0.48594280174449461</v>
      </c>
    </row>
    <row r="129" spans="1:80" s="126" customFormat="1">
      <c r="A129" s="192">
        <f t="shared" si="50"/>
        <v>45158.559027777781</v>
      </c>
      <c r="B129" s="126" t="s">
        <v>188</v>
      </c>
      <c r="C129" s="126" t="s">
        <v>76</v>
      </c>
      <c r="D129" s="126" t="s">
        <v>215</v>
      </c>
      <c r="E129" s="65" t="s">
        <v>2605</v>
      </c>
      <c r="G129" s="165">
        <v>45164.5</v>
      </c>
      <c r="H129" s="165">
        <v>45164.5</v>
      </c>
      <c r="I129" s="126" t="s">
        <v>464</v>
      </c>
      <c r="J129" s="126" t="s">
        <v>192</v>
      </c>
      <c r="K129" s="126" t="s">
        <v>192</v>
      </c>
      <c r="L129" s="126" t="s">
        <v>2723</v>
      </c>
      <c r="M129" s="167"/>
      <c r="N129" s="126" t="s">
        <v>218</v>
      </c>
      <c r="O129" s="126" t="s">
        <v>219</v>
      </c>
      <c r="P129" s="126" t="s">
        <v>76</v>
      </c>
      <c r="Q129" s="181">
        <f>3087*2.4</f>
        <v>7408.7999999999993</v>
      </c>
      <c r="R129" s="181">
        <f>7450+100</f>
        <v>7550</v>
      </c>
      <c r="S129" s="181">
        <v>7500</v>
      </c>
      <c r="T129" s="181"/>
      <c r="AL129" s="181">
        <f>S129</f>
        <v>7500</v>
      </c>
      <c r="AX129" s="165">
        <f t="shared" si="51"/>
        <v>45156.083333333336</v>
      </c>
      <c r="AY129" s="165">
        <f t="shared" si="52"/>
        <v>45164.715277777781</v>
      </c>
      <c r="AZ129" s="137">
        <f t="shared" si="53"/>
        <v>8.6319444444452529</v>
      </c>
      <c r="BA129" s="165">
        <v>45156.083333333336</v>
      </c>
      <c r="BB129" s="165">
        <v>45156.570138888892</v>
      </c>
      <c r="BC129" s="165">
        <v>45156.020833333336</v>
      </c>
      <c r="BD129" s="165">
        <v>45158.559027777781</v>
      </c>
      <c r="BE129" s="165">
        <v>45158.965277777781</v>
      </c>
      <c r="BF129" s="165">
        <v>45158.986111111109</v>
      </c>
      <c r="BG129" s="165">
        <v>45158.986111111109</v>
      </c>
      <c r="BH129" s="165">
        <f>BG129+(10/24)</f>
        <v>45159.402777777774</v>
      </c>
      <c r="BI129" s="210">
        <v>45160.25</v>
      </c>
      <c r="BJ129" s="210">
        <v>45160.416666608799</v>
      </c>
      <c r="BK129" s="165">
        <v>45160.34375</v>
      </c>
      <c r="BL129" s="165">
        <v>45162.083333333336</v>
      </c>
      <c r="BM129" s="165">
        <v>45163.763888888891</v>
      </c>
      <c r="BN129" s="165">
        <v>45164.135416666664</v>
      </c>
      <c r="BO129" s="165">
        <v>45164.145833333336</v>
      </c>
      <c r="BP129" s="165">
        <v>45164.149305555555</v>
      </c>
      <c r="BQ129" s="165">
        <v>45164.715277777781</v>
      </c>
      <c r="BT129" s="136">
        <f t="shared" si="54"/>
        <v>-13.183333333348855</v>
      </c>
      <c r="BU129" s="136">
        <f t="shared" si="55"/>
        <v>9.75</v>
      </c>
      <c r="BV129" s="136">
        <f t="shared" si="56"/>
        <v>9.9999999999417923</v>
      </c>
      <c r="BW129" s="136">
        <f t="shared" si="67"/>
        <v>40.000001388892997</v>
      </c>
      <c r="BX129" s="135">
        <f t="shared" si="57"/>
        <v>8.9166666665696539</v>
      </c>
      <c r="BY129" s="135">
        <f t="shared" si="58"/>
        <v>13.583333333430346</v>
      </c>
      <c r="BZ129" s="134">
        <f t="shared" si="59"/>
        <v>2.8777778356452473</v>
      </c>
      <c r="CA129" s="134">
        <f t="shared" si="60"/>
        <v>8.6319444444452529</v>
      </c>
      <c r="CB129" s="133">
        <f t="shared" si="61"/>
        <v>0.33338697371912857</v>
      </c>
    </row>
    <row r="130" spans="1:80" s="126" customFormat="1">
      <c r="A130" s="192">
        <f t="shared" si="50"/>
        <v>45159.055555555555</v>
      </c>
      <c r="B130" s="126" t="s">
        <v>188</v>
      </c>
      <c r="C130" s="126" t="s">
        <v>76</v>
      </c>
      <c r="D130" s="126" t="s">
        <v>197</v>
      </c>
      <c r="E130" s="65" t="s">
        <v>2666</v>
      </c>
      <c r="G130" s="165">
        <v>45169.8125</v>
      </c>
      <c r="H130" s="165">
        <v>45169.8125</v>
      </c>
      <c r="I130" s="126" t="s">
        <v>464</v>
      </c>
      <c r="J130" s="126" t="s">
        <v>192</v>
      </c>
      <c r="K130" s="126" t="s">
        <v>192</v>
      </c>
      <c r="L130" s="126" t="s">
        <v>2724</v>
      </c>
      <c r="M130" s="167"/>
      <c r="N130" s="126" t="s">
        <v>260</v>
      </c>
      <c r="O130" s="126" t="s">
        <v>261</v>
      </c>
      <c r="P130" s="126" t="s">
        <v>76</v>
      </c>
      <c r="Q130" s="181">
        <f>3107*2.4</f>
        <v>7456.7999999999993</v>
      </c>
      <c r="R130" s="181">
        <f>7500+100</f>
        <v>7600</v>
      </c>
      <c r="S130" s="181">
        <v>7500</v>
      </c>
      <c r="T130" s="181"/>
      <c r="AL130" s="181">
        <f>S130</f>
        <v>7500</v>
      </c>
      <c r="AX130" s="165">
        <f t="shared" si="51"/>
        <v>45155.861111111109</v>
      </c>
      <c r="AY130" s="165">
        <f t="shared" si="52"/>
        <v>45166.833333333336</v>
      </c>
      <c r="AZ130" s="137">
        <f t="shared" si="53"/>
        <v>10.972222222226264</v>
      </c>
      <c r="BA130" s="165">
        <v>45155.861111111109</v>
      </c>
      <c r="BB130" s="165">
        <v>45156.586805555555</v>
      </c>
      <c r="BC130" s="165">
        <v>45157.993055555555</v>
      </c>
      <c r="BD130" s="165">
        <v>45159.055555555555</v>
      </c>
      <c r="BE130" s="165">
        <v>45159.472222222219</v>
      </c>
      <c r="BF130" s="165">
        <v>45159.503472222219</v>
      </c>
      <c r="BG130" s="165">
        <v>45159.506944444445</v>
      </c>
      <c r="BH130" s="165">
        <f>BG130+(10/24)</f>
        <v>45159.923611111109</v>
      </c>
      <c r="BI130" s="210">
        <v>45160.25</v>
      </c>
      <c r="BJ130" s="210">
        <v>45160.416666608799</v>
      </c>
      <c r="BK130" s="165">
        <v>45160.319444444445</v>
      </c>
      <c r="BL130" s="165">
        <v>45162.013888888891</v>
      </c>
      <c r="BM130" s="165">
        <v>45165.802083333336</v>
      </c>
      <c r="BN130" s="165">
        <v>45166.069444444445</v>
      </c>
      <c r="BO130" s="165">
        <v>45166.347222222219</v>
      </c>
      <c r="BP130" s="165">
        <v>45166.350694444445</v>
      </c>
      <c r="BQ130" s="165">
        <v>45166.833333333336</v>
      </c>
      <c r="BT130" s="136">
        <f t="shared" si="54"/>
        <v>33.75</v>
      </c>
      <c r="BU130" s="136">
        <f t="shared" si="55"/>
        <v>9.9999999999417923</v>
      </c>
      <c r="BV130" s="136">
        <f t="shared" si="56"/>
        <v>9.9999999999417923</v>
      </c>
      <c r="BW130" s="136">
        <f t="shared" si="67"/>
        <v>38.333334722206928</v>
      </c>
      <c r="BX130" s="135">
        <f t="shared" si="57"/>
        <v>6.4166666666278616</v>
      </c>
      <c r="BY130" s="135">
        <f t="shared" si="58"/>
        <v>11.583333333372138</v>
      </c>
      <c r="BZ130" s="134">
        <f t="shared" si="59"/>
        <v>4.586805613420438</v>
      </c>
      <c r="CA130" s="134">
        <f t="shared" si="60"/>
        <v>10.972222222226264</v>
      </c>
      <c r="CB130" s="133">
        <f t="shared" si="61"/>
        <v>0.41803797995715175</v>
      </c>
    </row>
    <row r="131" spans="1:80" s="126" customFormat="1">
      <c r="A131" s="192">
        <f t="shared" si="50"/>
        <v>45118.350694444445</v>
      </c>
      <c r="B131" s="126" t="s">
        <v>188</v>
      </c>
      <c r="C131" s="126" t="s">
        <v>182</v>
      </c>
      <c r="D131" s="126" t="s">
        <v>197</v>
      </c>
      <c r="E131" s="65" t="s">
        <v>2651</v>
      </c>
      <c r="F131" s="65" t="s">
        <v>2102</v>
      </c>
      <c r="G131" s="165">
        <v>45151.604166666664</v>
      </c>
      <c r="H131" s="165">
        <v>45151.604166666664</v>
      </c>
      <c r="I131" s="126" t="s">
        <v>782</v>
      </c>
      <c r="J131" s="126" t="s">
        <v>192</v>
      </c>
      <c r="K131" s="126" t="s">
        <v>192</v>
      </c>
      <c r="L131" s="126" t="s">
        <v>2725</v>
      </c>
      <c r="M131" s="167"/>
      <c r="N131" s="126" t="s">
        <v>1874</v>
      </c>
      <c r="O131" s="126" t="s">
        <v>1875</v>
      </c>
      <c r="P131" s="126" t="s">
        <v>182</v>
      </c>
      <c r="Q131" s="181">
        <f>2228*2.4</f>
        <v>5347.2</v>
      </c>
      <c r="R131" s="181">
        <f>5350+100</f>
        <v>5450</v>
      </c>
      <c r="S131" s="181">
        <v>5143.9070000000002</v>
      </c>
      <c r="T131" s="181"/>
      <c r="AS131" s="181">
        <f>S131</f>
        <v>5143.9070000000002</v>
      </c>
      <c r="AX131" s="165">
        <f t="shared" si="51"/>
        <v>45109</v>
      </c>
      <c r="AY131" s="165">
        <f t="shared" si="52"/>
        <v>45158.631944444445</v>
      </c>
      <c r="AZ131" s="137">
        <f t="shared" si="53"/>
        <v>49.631944444445253</v>
      </c>
      <c r="BA131" s="165">
        <v>45109</v>
      </c>
      <c r="BB131" s="165">
        <v>45110.833333333336</v>
      </c>
      <c r="BC131" s="165">
        <v>45117.760416666664</v>
      </c>
      <c r="BD131" s="165">
        <v>45118.350694444445</v>
      </c>
      <c r="BE131" s="165">
        <v>45150.479166666664</v>
      </c>
      <c r="BF131" s="165">
        <v>45150.489583333336</v>
      </c>
      <c r="BG131" s="165">
        <v>45150.489583333336</v>
      </c>
      <c r="BH131" s="165">
        <f>BG131+(51/24)</f>
        <v>45152.614583333336</v>
      </c>
      <c r="BI131" s="210">
        <v>45153.25</v>
      </c>
      <c r="BJ131" s="210">
        <v>45153.416666666664</v>
      </c>
      <c r="BK131" s="210">
        <v>45153.392361111109</v>
      </c>
      <c r="BL131" s="165">
        <v>45155.434027777781</v>
      </c>
      <c r="BM131" s="165">
        <v>45157.659722222219</v>
      </c>
      <c r="BN131" s="165">
        <v>45158.017361111109</v>
      </c>
      <c r="BO131" s="165">
        <v>45158.027777777781</v>
      </c>
      <c r="BP131" s="165">
        <v>45158.03125</v>
      </c>
      <c r="BQ131" s="165">
        <v>45158.631944444445</v>
      </c>
      <c r="BT131" s="136">
        <f t="shared" si="54"/>
        <v>166.24999999988358</v>
      </c>
      <c r="BU131" s="136">
        <f t="shared" si="55"/>
        <v>771.08333333325572</v>
      </c>
      <c r="BV131" s="136">
        <f t="shared" si="56"/>
        <v>51</v>
      </c>
      <c r="BW131" s="136">
        <f t="shared" si="67"/>
        <v>48.416666666802485</v>
      </c>
      <c r="BX131" s="135">
        <f t="shared" si="57"/>
        <v>8.5833333333721384</v>
      </c>
      <c r="BY131" s="135">
        <f t="shared" si="58"/>
        <v>14.416666666686069</v>
      </c>
      <c r="BZ131" s="134">
        <f t="shared" si="59"/>
        <v>44.15625</v>
      </c>
      <c r="CA131" s="134">
        <f t="shared" si="60"/>
        <v>49.631944444445253</v>
      </c>
      <c r="CB131" s="133">
        <f t="shared" si="61"/>
        <v>0.88967398908631545</v>
      </c>
    </row>
    <row r="132" spans="1:80" s="126" customFormat="1">
      <c r="A132" s="192">
        <f t="shared" ref="A132:A150" si="68">BD132</f>
        <v>45141.659722222219</v>
      </c>
      <c r="B132" s="126" t="s">
        <v>228</v>
      </c>
      <c r="C132" s="126" t="s">
        <v>229</v>
      </c>
      <c r="D132" s="126" t="s">
        <v>197</v>
      </c>
      <c r="E132" s="65" t="s">
        <v>2677</v>
      </c>
      <c r="G132" s="165">
        <v>45148.195833333331</v>
      </c>
      <c r="H132" s="165">
        <v>45148.195833333331</v>
      </c>
      <c r="I132" s="126" t="s">
        <v>469</v>
      </c>
      <c r="J132" s="126" t="s">
        <v>192</v>
      </c>
      <c r="K132" s="126" t="s">
        <v>192</v>
      </c>
      <c r="L132" s="126" t="s">
        <v>2726</v>
      </c>
      <c r="M132" s="167"/>
      <c r="N132" s="126" t="s">
        <v>346</v>
      </c>
      <c r="O132" s="126" t="s">
        <v>347</v>
      </c>
      <c r="P132" s="126" t="s">
        <v>172</v>
      </c>
      <c r="Q132" s="181">
        <f>3136*2.4</f>
        <v>7526.4</v>
      </c>
      <c r="R132" s="181">
        <f>7550+100</f>
        <v>7650</v>
      </c>
      <c r="S132" s="181">
        <v>6653.5879999999997</v>
      </c>
      <c r="T132" s="181"/>
      <c r="Z132" s="181">
        <f t="shared" ref="Z132:Z142" si="69">S132</f>
        <v>6653.5879999999997</v>
      </c>
      <c r="AX132" s="165">
        <f t="shared" ref="AX132:AX163" si="70">BA132</f>
        <v>45134.9375</v>
      </c>
      <c r="AY132" s="165">
        <f t="shared" ref="AY132:AY163" si="71">BQ132</f>
        <v>45147.878472222219</v>
      </c>
      <c r="AZ132" s="137">
        <f t="shared" ref="AZ132:AZ163" si="72">AY132-AX132</f>
        <v>12.940972222218988</v>
      </c>
      <c r="BA132" s="165">
        <v>45134.9375</v>
      </c>
      <c r="BB132" s="165">
        <v>45136.833333333336</v>
      </c>
      <c r="BC132" s="165">
        <v>45138.520833333336</v>
      </c>
      <c r="BD132" s="165">
        <v>45141.659722222219</v>
      </c>
      <c r="BE132" s="165">
        <v>45141.873611111114</v>
      </c>
      <c r="BF132" s="165">
        <v>45141.878472222219</v>
      </c>
      <c r="BG132" s="165">
        <v>45141.878472222219</v>
      </c>
      <c r="BH132" s="165">
        <f t="shared" ref="BH132:BH142" si="73">BG132+(41/24)</f>
        <v>45143.586805555555</v>
      </c>
      <c r="BI132" s="165">
        <v>45144.25</v>
      </c>
      <c r="BJ132" s="165">
        <v>45144.416666608799</v>
      </c>
      <c r="BK132" s="210">
        <v>45144.333333333336</v>
      </c>
      <c r="BL132" s="165">
        <v>45145.815972222219</v>
      </c>
      <c r="BM132" s="165">
        <v>45147.663194444445</v>
      </c>
      <c r="BN132" s="165">
        <v>45147.878472222219</v>
      </c>
      <c r="BO132" s="165">
        <v>45147.878472222219</v>
      </c>
      <c r="BP132" s="165">
        <v>45147.878472222219</v>
      </c>
      <c r="BQ132" s="165">
        <v>45147.878472222219</v>
      </c>
      <c r="BT132" s="136">
        <f t="shared" ref="BT132:BT163" si="74">(BC132-BB132)*24</f>
        <v>40.5</v>
      </c>
      <c r="BU132" s="136">
        <f t="shared" ref="BU132:BU163" si="75">(BE132-BD132)*24</f>
        <v>5.1333333334769122</v>
      </c>
      <c r="BV132" s="136">
        <f t="shared" ref="BV132:BV163" si="76">(BH132-BG132)*24</f>
        <v>41.000000000058208</v>
      </c>
      <c r="BW132" s="136">
        <f t="shared" si="67"/>
        <v>33.583334722090513</v>
      </c>
      <c r="BX132" s="135">
        <f t="shared" ref="BX132:BX163" si="77">(BN132-BM132)*24</f>
        <v>5.1666666665696539</v>
      </c>
      <c r="BY132" s="135">
        <f t="shared" ref="BY132:BY163" si="78">(BQ132-BP132)*24</f>
        <v>0</v>
      </c>
      <c r="BZ132" s="134">
        <f t="shared" ref="BZ132:BZ163" si="79">SUM(BT132:BY132)/24</f>
        <v>5.2243056134248036</v>
      </c>
      <c r="CA132" s="134">
        <f t="shared" ref="CA132:CA163" si="80">AZ132</f>
        <v>12.940972222218988</v>
      </c>
      <c r="CB132" s="133">
        <f t="shared" ref="CB132:CB163" si="81">BZ132/CA132</f>
        <v>0.40370271442627298</v>
      </c>
    </row>
    <row r="133" spans="1:80" s="126" customFormat="1">
      <c r="A133" s="192">
        <f t="shared" si="68"/>
        <v>45141.659722222219</v>
      </c>
      <c r="B133" s="126" t="s">
        <v>228</v>
      </c>
      <c r="C133" s="126" t="s">
        <v>229</v>
      </c>
      <c r="D133" s="126" t="s">
        <v>197</v>
      </c>
      <c r="E133" s="65" t="s">
        <v>2677</v>
      </c>
      <c r="G133" s="165">
        <v>45148.195833333331</v>
      </c>
      <c r="H133" s="165">
        <v>45148.195833333331</v>
      </c>
      <c r="I133" s="126" t="s">
        <v>469</v>
      </c>
      <c r="J133" s="126" t="s">
        <v>192</v>
      </c>
      <c r="K133" s="126" t="s">
        <v>192</v>
      </c>
      <c r="L133" s="126" t="s">
        <v>2726</v>
      </c>
      <c r="M133" s="167"/>
      <c r="N133" s="126" t="s">
        <v>346</v>
      </c>
      <c r="O133" s="126" t="s">
        <v>347</v>
      </c>
      <c r="P133" s="126" t="s">
        <v>172</v>
      </c>
      <c r="Q133" s="181">
        <f>3136*2.4</f>
        <v>7526.4</v>
      </c>
      <c r="R133" s="181">
        <f>7550+100</f>
        <v>7650</v>
      </c>
      <c r="S133" s="181">
        <v>6653.5879999999997</v>
      </c>
      <c r="T133" s="181"/>
      <c r="Z133" s="181">
        <f t="shared" si="69"/>
        <v>6653.5879999999997</v>
      </c>
      <c r="AX133" s="165">
        <f t="shared" si="70"/>
        <v>45134.9375</v>
      </c>
      <c r="AY133" s="165">
        <f t="shared" si="71"/>
        <v>45151.536805555559</v>
      </c>
      <c r="AZ133" s="137">
        <f t="shared" si="72"/>
        <v>16.599305555559113</v>
      </c>
      <c r="BA133" s="165">
        <v>45134.9375</v>
      </c>
      <c r="BB133" s="165">
        <v>45136.833333333336</v>
      </c>
      <c r="BC133" s="165">
        <v>45138.520833333336</v>
      </c>
      <c r="BD133" s="165">
        <v>45141.659722222219</v>
      </c>
      <c r="BE133" s="165">
        <v>45141.873611111114</v>
      </c>
      <c r="BF133" s="165">
        <v>45141.878472222219</v>
      </c>
      <c r="BG133" s="165">
        <v>45141.878472222219</v>
      </c>
      <c r="BH133" s="165">
        <f t="shared" si="73"/>
        <v>45143.586805555555</v>
      </c>
      <c r="BI133" s="165">
        <v>45144.25</v>
      </c>
      <c r="BJ133" s="165">
        <v>45144.416666608799</v>
      </c>
      <c r="BK133" s="210">
        <v>45144.333333333336</v>
      </c>
      <c r="BL133" s="165">
        <v>45145.815972222219</v>
      </c>
      <c r="BM133" s="165">
        <v>45147.663194444445</v>
      </c>
      <c r="BN133" s="165">
        <v>45147.878472222219</v>
      </c>
      <c r="BO133" s="165">
        <v>45147.878472222219</v>
      </c>
      <c r="BP133" s="165">
        <v>45150.902777777781</v>
      </c>
      <c r="BQ133" s="165">
        <v>45151.536805555559</v>
      </c>
      <c r="BT133" s="136">
        <f t="shared" si="74"/>
        <v>40.5</v>
      </c>
      <c r="BU133" s="136">
        <f t="shared" si="75"/>
        <v>5.1333333334769122</v>
      </c>
      <c r="BV133" s="136">
        <f t="shared" si="76"/>
        <v>41.000000000058208</v>
      </c>
      <c r="BW133" s="136">
        <f t="shared" si="67"/>
        <v>33.583334722090513</v>
      </c>
      <c r="BX133" s="135">
        <f t="shared" si="77"/>
        <v>5.1666666665696539</v>
      </c>
      <c r="BY133" s="135">
        <f t="shared" si="78"/>
        <v>15.216666666674428</v>
      </c>
      <c r="BZ133" s="134">
        <f t="shared" si="79"/>
        <v>5.8583333912029047</v>
      </c>
      <c r="CA133" s="134">
        <f t="shared" si="80"/>
        <v>16.599305555559113</v>
      </c>
      <c r="CB133" s="133">
        <f t="shared" si="81"/>
        <v>0.35292641439695333</v>
      </c>
    </row>
    <row r="134" spans="1:80" s="126" customFormat="1" ht="15" customHeight="1">
      <c r="A134" s="192">
        <f t="shared" si="68"/>
        <v>45142.642361111109</v>
      </c>
      <c r="B134" s="126" t="s">
        <v>228</v>
      </c>
      <c r="C134" s="126" t="s">
        <v>229</v>
      </c>
      <c r="D134" s="126" t="s">
        <v>215</v>
      </c>
      <c r="E134" s="65" t="s">
        <v>745</v>
      </c>
      <c r="G134" s="165">
        <v>45146.677083333336</v>
      </c>
      <c r="H134" s="165">
        <v>45146.686805555553</v>
      </c>
      <c r="I134" s="126" t="s">
        <v>471</v>
      </c>
      <c r="J134" s="126" t="s">
        <v>192</v>
      </c>
      <c r="K134" s="126" t="s">
        <v>192</v>
      </c>
      <c r="L134" s="126" t="s">
        <v>2273</v>
      </c>
      <c r="M134" s="167"/>
      <c r="N134" s="126" t="s">
        <v>222</v>
      </c>
      <c r="O134" s="126" t="s">
        <v>223</v>
      </c>
      <c r="P134" s="126" t="s">
        <v>172</v>
      </c>
      <c r="Q134" s="181">
        <f>3137*2.4</f>
        <v>7528.7999999999993</v>
      </c>
      <c r="R134" s="181">
        <f>7550+100</f>
        <v>7650</v>
      </c>
      <c r="S134" s="181">
        <v>6350.5240000000003</v>
      </c>
      <c r="T134" s="181"/>
      <c r="Z134" s="181">
        <f t="shared" si="69"/>
        <v>6350.5240000000003</v>
      </c>
      <c r="AX134" s="165">
        <f t="shared" si="70"/>
        <v>45138.552083333336</v>
      </c>
      <c r="AY134" s="165">
        <f t="shared" si="71"/>
        <v>45149.149305555555</v>
      </c>
      <c r="AZ134" s="137">
        <f t="shared" si="72"/>
        <v>10.597222222218988</v>
      </c>
      <c r="BA134" s="165">
        <v>45138.552083333336</v>
      </c>
      <c r="BB134" s="165">
        <v>45139.791666666664</v>
      </c>
      <c r="BC134" s="165">
        <v>45141.326388888891</v>
      </c>
      <c r="BD134" s="165">
        <v>45142.642361111109</v>
      </c>
      <c r="BE134" s="165">
        <v>45142.916666666664</v>
      </c>
      <c r="BF134" s="165">
        <v>45142.923611111109</v>
      </c>
      <c r="BG134" s="165">
        <v>45142.923611111109</v>
      </c>
      <c r="BH134" s="165">
        <f t="shared" si="73"/>
        <v>45144.631944444445</v>
      </c>
      <c r="BI134" s="165">
        <v>45145.25</v>
      </c>
      <c r="BJ134" s="165">
        <v>45145.416666608799</v>
      </c>
      <c r="BK134" s="165">
        <v>45145.329861111109</v>
      </c>
      <c r="BL134" s="165">
        <v>45146.4375</v>
      </c>
      <c r="BM134" s="165">
        <v>45147.645833333336</v>
      </c>
      <c r="BN134" s="165">
        <v>45149.833333333336</v>
      </c>
      <c r="BO134" s="165">
        <v>45149.861111111109</v>
      </c>
      <c r="BP134" s="165">
        <v>45149.861111111109</v>
      </c>
      <c r="BQ134" s="165">
        <v>45149.149305555555</v>
      </c>
      <c r="BT134" s="136">
        <f t="shared" si="74"/>
        <v>36.833333333430346</v>
      </c>
      <c r="BU134" s="136">
        <f t="shared" si="75"/>
        <v>6.5833333333139308</v>
      </c>
      <c r="BV134" s="136">
        <f t="shared" si="76"/>
        <v>41.000000000058208</v>
      </c>
      <c r="BW134" s="136">
        <f t="shared" si="67"/>
        <v>24.500001388834789</v>
      </c>
      <c r="BX134" s="135">
        <f t="shared" si="77"/>
        <v>52.5</v>
      </c>
      <c r="BY134" s="135">
        <f t="shared" si="78"/>
        <v>-17.083333333313931</v>
      </c>
      <c r="BZ134" s="134">
        <f t="shared" si="79"/>
        <v>6.0138889467634726</v>
      </c>
      <c r="CA134" s="134">
        <f t="shared" si="80"/>
        <v>10.597222222218988</v>
      </c>
      <c r="CB134" s="133">
        <f t="shared" si="81"/>
        <v>0.56749672892149694</v>
      </c>
    </row>
    <row r="135" spans="1:80" s="126" customFormat="1">
      <c r="A135" s="192">
        <f t="shared" si="68"/>
        <v>45145.5625</v>
      </c>
      <c r="B135" s="126" t="s">
        <v>228</v>
      </c>
      <c r="C135" s="126" t="s">
        <v>229</v>
      </c>
      <c r="D135" s="126" t="s">
        <v>215</v>
      </c>
      <c r="E135" s="65" t="s">
        <v>2309</v>
      </c>
      <c r="G135" s="165">
        <v>45142.708333333336</v>
      </c>
      <c r="H135" s="165">
        <v>45142.716666666667</v>
      </c>
      <c r="I135" s="126" t="s">
        <v>471</v>
      </c>
      <c r="J135" s="126" t="s">
        <v>192</v>
      </c>
      <c r="K135" s="126" t="s">
        <v>192</v>
      </c>
      <c r="L135" s="126" t="s">
        <v>2312</v>
      </c>
      <c r="M135" s="167"/>
      <c r="N135" s="126" t="s">
        <v>358</v>
      </c>
      <c r="O135" s="126" t="s">
        <v>359</v>
      </c>
      <c r="P135" s="126" t="s">
        <v>172</v>
      </c>
      <c r="Q135" s="181">
        <f>3852*2.4</f>
        <v>9244.7999999999993</v>
      </c>
      <c r="R135" s="181">
        <v>9250</v>
      </c>
      <c r="S135" s="181">
        <v>6316.4859999999999</v>
      </c>
      <c r="T135" s="181"/>
      <c r="U135" s="172"/>
      <c r="V135" s="172"/>
      <c r="Z135" s="181">
        <f t="shared" si="69"/>
        <v>6316.4859999999999</v>
      </c>
      <c r="AX135" s="165">
        <f t="shared" si="70"/>
        <v>45139.305555555555</v>
      </c>
      <c r="AY135" s="165">
        <f t="shared" si="71"/>
        <v>45152.958333333336</v>
      </c>
      <c r="AZ135" s="137">
        <f t="shared" si="72"/>
        <v>13.652777777781012</v>
      </c>
      <c r="BA135" s="165">
        <v>45139.305555555555</v>
      </c>
      <c r="BB135" s="165">
        <v>45141.576388888891</v>
      </c>
      <c r="BC135" s="165">
        <v>45143.041666666664</v>
      </c>
      <c r="BD135" s="165">
        <v>45145.5625</v>
      </c>
      <c r="BE135" s="165">
        <v>45145.770833333336</v>
      </c>
      <c r="BF135" s="165">
        <v>45145.774305555555</v>
      </c>
      <c r="BG135" s="165">
        <v>45145.284722222219</v>
      </c>
      <c r="BH135" s="165">
        <f t="shared" si="73"/>
        <v>45146.993055555555</v>
      </c>
      <c r="BI135" s="210">
        <v>45148.291666608799</v>
      </c>
      <c r="BJ135" s="210">
        <v>45148.458333333336</v>
      </c>
      <c r="BK135" s="165">
        <v>45148.329861111109</v>
      </c>
      <c r="BL135" s="165">
        <v>45149.291666666664</v>
      </c>
      <c r="BM135" s="165">
        <v>45152.416666666664</v>
      </c>
      <c r="BN135" s="165">
        <v>45152.621527777781</v>
      </c>
      <c r="BO135" s="165">
        <v>45152.642361111109</v>
      </c>
      <c r="BP135" s="165">
        <v>45152.642361111109</v>
      </c>
      <c r="BQ135" s="165">
        <v>45152.958333333336</v>
      </c>
      <c r="BT135" s="136">
        <f t="shared" si="74"/>
        <v>35.166666666569654</v>
      </c>
      <c r="BU135" s="136">
        <f t="shared" si="75"/>
        <v>5.0000000000582077</v>
      </c>
      <c r="BV135" s="136">
        <f t="shared" si="76"/>
        <v>41.000000000058208</v>
      </c>
      <c r="BW135" s="136">
        <f t="shared" si="67"/>
        <v>19.999999999883585</v>
      </c>
      <c r="BX135" s="135">
        <f t="shared" si="77"/>
        <v>4.9166666668024845</v>
      </c>
      <c r="BY135" s="135">
        <f t="shared" si="78"/>
        <v>7.5833333334303461</v>
      </c>
      <c r="BZ135" s="134">
        <f t="shared" si="79"/>
        <v>4.7361111111167702</v>
      </c>
      <c r="CA135" s="134">
        <f t="shared" si="80"/>
        <v>13.652777777781012</v>
      </c>
      <c r="CB135" s="133">
        <f t="shared" si="81"/>
        <v>0.34689725330653781</v>
      </c>
    </row>
    <row r="136" spans="1:80" s="126" customFormat="1">
      <c r="A136" s="192">
        <f t="shared" si="68"/>
        <v>45147.886111111111</v>
      </c>
      <c r="B136" s="126" t="s">
        <v>228</v>
      </c>
      <c r="C136" s="126" t="s">
        <v>229</v>
      </c>
      <c r="D136" s="126" t="s">
        <v>197</v>
      </c>
      <c r="E136" s="65" t="s">
        <v>2309</v>
      </c>
      <c r="G136" s="165">
        <v>45142.708333333336</v>
      </c>
      <c r="H136" s="165">
        <v>45142.716666666667</v>
      </c>
      <c r="I136" s="126" t="s">
        <v>471</v>
      </c>
      <c r="J136" s="126" t="s">
        <v>192</v>
      </c>
      <c r="K136" s="126" t="s">
        <v>192</v>
      </c>
      <c r="L136" s="126" t="s">
        <v>2316</v>
      </c>
      <c r="M136" s="167"/>
      <c r="N136" s="126" t="s">
        <v>323</v>
      </c>
      <c r="O136" s="126" t="s">
        <v>324</v>
      </c>
      <c r="P136" s="126" t="s">
        <v>172</v>
      </c>
      <c r="Q136" s="181">
        <f>3095*2.4</f>
        <v>7428</v>
      </c>
      <c r="R136" s="181">
        <f>7450+100</f>
        <v>7550</v>
      </c>
      <c r="S136" s="181">
        <v>6781.3029999999999</v>
      </c>
      <c r="T136" s="181"/>
      <c r="U136" s="172"/>
      <c r="Z136" s="181">
        <f t="shared" si="69"/>
        <v>6781.3029999999999</v>
      </c>
      <c r="AB136" s="172"/>
      <c r="AX136" s="165">
        <f t="shared" si="70"/>
        <v>45140.368055555555</v>
      </c>
      <c r="AY136" s="165">
        <f t="shared" si="71"/>
        <v>45154.328472222223</v>
      </c>
      <c r="AZ136" s="137">
        <f t="shared" si="72"/>
        <v>13.960416666668607</v>
      </c>
      <c r="BA136" s="165">
        <v>45140.368055555555</v>
      </c>
      <c r="BB136" s="165">
        <v>45141.8</v>
      </c>
      <c r="BC136" s="165">
        <v>45143.25</v>
      </c>
      <c r="BD136" s="165">
        <v>45147.886111111111</v>
      </c>
      <c r="BE136" s="165">
        <v>45148.541666666664</v>
      </c>
      <c r="BF136" s="165">
        <v>45148.545138888891</v>
      </c>
      <c r="BG136" s="165">
        <v>45148.545138888891</v>
      </c>
      <c r="BH136" s="165">
        <f t="shared" si="73"/>
        <v>45150.253472222226</v>
      </c>
      <c r="BI136" s="210">
        <v>45150.229166666664</v>
      </c>
      <c r="BJ136" s="210">
        <v>45150.395833333336</v>
      </c>
      <c r="BK136" s="165">
        <v>45150.263194444444</v>
      </c>
      <c r="BL136" s="165">
        <v>45151.520833333336</v>
      </c>
      <c r="BM136" s="165">
        <v>45153.645833333336</v>
      </c>
      <c r="BN136" s="165">
        <v>45153.909722222219</v>
      </c>
      <c r="BO136" s="165">
        <v>45153.930555555555</v>
      </c>
      <c r="BP136" s="165">
        <v>45153.930555555555</v>
      </c>
      <c r="BQ136" s="165">
        <v>45154.328472222223</v>
      </c>
      <c r="BR136" s="126" t="s">
        <v>2727</v>
      </c>
      <c r="BT136" s="136">
        <f t="shared" si="74"/>
        <v>34.799999999930151</v>
      </c>
      <c r="BU136" s="136">
        <f t="shared" si="75"/>
        <v>15.733333333279006</v>
      </c>
      <c r="BV136" s="136">
        <f t="shared" si="76"/>
        <v>41.000000000058208</v>
      </c>
      <c r="BW136" s="136">
        <f t="shared" si="67"/>
        <v>27</v>
      </c>
      <c r="BX136" s="135">
        <f t="shared" si="77"/>
        <v>6.3333333331975155</v>
      </c>
      <c r="BY136" s="135">
        <f t="shared" si="78"/>
        <v>9.5500000000465661</v>
      </c>
      <c r="BZ136" s="134">
        <f t="shared" si="79"/>
        <v>5.6006944444379769</v>
      </c>
      <c r="CA136" s="134">
        <f t="shared" si="80"/>
        <v>13.960416666668607</v>
      </c>
      <c r="CB136" s="133">
        <f t="shared" si="81"/>
        <v>0.40118390289954564</v>
      </c>
    </row>
    <row r="137" spans="1:80" s="126" customFormat="1">
      <c r="A137" s="192">
        <f t="shared" si="68"/>
        <v>45151.586805555555</v>
      </c>
      <c r="B137" s="126" t="s">
        <v>228</v>
      </c>
      <c r="C137" s="126" t="s">
        <v>229</v>
      </c>
      <c r="D137" s="126" t="s">
        <v>215</v>
      </c>
      <c r="E137" s="65" t="s">
        <v>2651</v>
      </c>
      <c r="G137" s="165">
        <v>45151.604166666664</v>
      </c>
      <c r="H137" s="165">
        <v>45151.604166666664</v>
      </c>
      <c r="I137" s="126" t="s">
        <v>469</v>
      </c>
      <c r="J137" s="126" t="s">
        <v>192</v>
      </c>
      <c r="K137" s="126" t="s">
        <v>192</v>
      </c>
      <c r="L137" s="126" t="s">
        <v>2728</v>
      </c>
      <c r="M137" s="167"/>
      <c r="N137" s="126" t="s">
        <v>721</v>
      </c>
      <c r="O137" s="126" t="s">
        <v>1349</v>
      </c>
      <c r="P137" s="126" t="s">
        <v>172</v>
      </c>
      <c r="Q137" s="181">
        <f>3136*2.4</f>
        <v>7526.4</v>
      </c>
      <c r="R137" s="181">
        <f>7550+100</f>
        <v>7650</v>
      </c>
      <c r="S137" s="181">
        <v>7652.0659999999998</v>
      </c>
      <c r="T137" s="181"/>
      <c r="Z137" s="181">
        <f t="shared" si="69"/>
        <v>7652.0659999999998</v>
      </c>
      <c r="AX137" s="165">
        <f t="shared" si="70"/>
        <v>45146.975694444445</v>
      </c>
      <c r="AY137" s="165">
        <f t="shared" si="71"/>
        <v>45157.208333333336</v>
      </c>
      <c r="AZ137" s="137">
        <f t="shared" si="72"/>
        <v>10.232638888890506</v>
      </c>
      <c r="BA137" s="165">
        <v>45146.975694444445</v>
      </c>
      <c r="BB137" s="165">
        <v>45148.770833333336</v>
      </c>
      <c r="BC137" s="165">
        <v>45150.291666666664</v>
      </c>
      <c r="BD137" s="165">
        <v>45151.586805555555</v>
      </c>
      <c r="BE137" s="165">
        <v>45151.82916666667</v>
      </c>
      <c r="BF137" s="165">
        <v>45151.833333333336</v>
      </c>
      <c r="BG137" s="165">
        <v>45151.833333333336</v>
      </c>
      <c r="BH137" s="165">
        <f t="shared" si="73"/>
        <v>45153.541666666672</v>
      </c>
      <c r="BI137" s="210">
        <v>45153.25</v>
      </c>
      <c r="BJ137" s="210">
        <v>45153.416666666664</v>
      </c>
      <c r="BK137" s="210">
        <v>45153.40625</v>
      </c>
      <c r="BL137" s="165">
        <v>45154.684027777781</v>
      </c>
      <c r="BM137" s="165">
        <v>45156.440972222219</v>
      </c>
      <c r="BN137" s="165">
        <v>45156.697916666664</v>
      </c>
      <c r="BO137" s="165">
        <v>45156.722222222219</v>
      </c>
      <c r="BP137" s="165">
        <v>45156.725694444445</v>
      </c>
      <c r="BQ137" s="165">
        <v>45157.208333333336</v>
      </c>
      <c r="BT137" s="136">
        <f t="shared" si="74"/>
        <v>36.499999999883585</v>
      </c>
      <c r="BU137" s="136">
        <f t="shared" si="75"/>
        <v>5.8166666667675599</v>
      </c>
      <c r="BV137" s="136">
        <f t="shared" si="76"/>
        <v>41.000000000058208</v>
      </c>
      <c r="BW137" s="136">
        <f t="shared" si="67"/>
        <v>30.416666666802485</v>
      </c>
      <c r="BX137" s="135">
        <f t="shared" si="77"/>
        <v>6.1666666666860692</v>
      </c>
      <c r="BY137" s="135">
        <f t="shared" si="78"/>
        <v>11.583333333372138</v>
      </c>
      <c r="BZ137" s="134">
        <f t="shared" si="79"/>
        <v>5.4784722222320852</v>
      </c>
      <c r="CA137" s="134">
        <f t="shared" si="80"/>
        <v>10.232638888890506</v>
      </c>
      <c r="CB137" s="133">
        <f t="shared" si="81"/>
        <v>0.53539192399137814</v>
      </c>
    </row>
    <row r="138" spans="1:80" s="126" customFormat="1">
      <c r="A138" s="192">
        <f t="shared" si="68"/>
        <v>45153.440972222219</v>
      </c>
      <c r="B138" s="126" t="s">
        <v>228</v>
      </c>
      <c r="C138" s="126" t="s">
        <v>229</v>
      </c>
      <c r="D138" s="126" t="s">
        <v>197</v>
      </c>
      <c r="E138" s="65" t="s">
        <v>628</v>
      </c>
      <c r="G138" s="316">
        <v>45148.791666666664</v>
      </c>
      <c r="H138" s="316">
        <v>45148.762499999997</v>
      </c>
      <c r="I138" s="126" t="s">
        <v>471</v>
      </c>
      <c r="J138" s="126" t="s">
        <v>192</v>
      </c>
      <c r="K138" s="126" t="s">
        <v>192</v>
      </c>
      <c r="L138" s="126" t="s">
        <v>2350</v>
      </c>
      <c r="M138" s="167"/>
      <c r="N138" s="126" t="s">
        <v>208</v>
      </c>
      <c r="O138" s="126" t="s">
        <v>328</v>
      </c>
      <c r="P138" s="126" t="s">
        <v>172</v>
      </c>
      <c r="Q138" s="181">
        <f>3128*2.4</f>
        <v>7507.2</v>
      </c>
      <c r="R138" s="181">
        <f>7550+100</f>
        <v>7650</v>
      </c>
      <c r="S138" s="181">
        <v>7560.4549999999999</v>
      </c>
      <c r="T138" s="181"/>
      <c r="Z138" s="181">
        <f t="shared" si="69"/>
        <v>7560.4549999999999</v>
      </c>
      <c r="AX138" s="165">
        <f t="shared" si="70"/>
        <v>45148.479166666664</v>
      </c>
      <c r="AY138" s="165">
        <f t="shared" si="71"/>
        <v>45158.399305555555</v>
      </c>
      <c r="AZ138" s="137">
        <f t="shared" si="72"/>
        <v>9.9201388888905058</v>
      </c>
      <c r="BA138" s="165">
        <v>45148.479166666664</v>
      </c>
      <c r="BB138" s="165">
        <v>45149.583333333336</v>
      </c>
      <c r="BC138" s="165">
        <v>45151.125</v>
      </c>
      <c r="BD138" s="165">
        <v>45153.440972222219</v>
      </c>
      <c r="BE138" s="165">
        <v>45153.979166666664</v>
      </c>
      <c r="BF138" s="165">
        <v>45153.986111111109</v>
      </c>
      <c r="BG138" s="165">
        <v>45153.986111111109</v>
      </c>
      <c r="BH138" s="165">
        <f t="shared" si="73"/>
        <v>45155.694444444445</v>
      </c>
      <c r="BI138" s="210">
        <v>45156.25</v>
      </c>
      <c r="BJ138" s="210">
        <v>45156.416666608799</v>
      </c>
      <c r="BK138" s="165">
        <v>45156.277777777781</v>
      </c>
      <c r="BL138" s="165">
        <v>45157.375</v>
      </c>
      <c r="BM138" s="165">
        <v>45157.465277777781</v>
      </c>
      <c r="BN138" s="165">
        <v>45157.923611111109</v>
      </c>
      <c r="BO138" s="165">
        <v>45157.965277777781</v>
      </c>
      <c r="BP138" s="165">
        <v>45158.208333333336</v>
      </c>
      <c r="BQ138" s="165">
        <v>45158.399305555555</v>
      </c>
      <c r="BT138" s="136">
        <f t="shared" si="74"/>
        <v>36.999999999941792</v>
      </c>
      <c r="BU138" s="136">
        <f t="shared" si="75"/>
        <v>12.916666666686069</v>
      </c>
      <c r="BV138" s="136">
        <f t="shared" si="76"/>
        <v>41.000000000058208</v>
      </c>
      <c r="BW138" s="136">
        <f t="shared" si="67"/>
        <v>23.000001388834789</v>
      </c>
      <c r="BX138" s="135">
        <f t="shared" si="77"/>
        <v>10.999999999883585</v>
      </c>
      <c r="BY138" s="135">
        <f t="shared" si="78"/>
        <v>4.5833333332557231</v>
      </c>
      <c r="BZ138" s="134">
        <f t="shared" si="79"/>
        <v>5.3958333911941736</v>
      </c>
      <c r="CA138" s="134">
        <f t="shared" si="80"/>
        <v>9.9201388888905058</v>
      </c>
      <c r="CB138" s="133">
        <f t="shared" si="81"/>
        <v>0.54392720219239366</v>
      </c>
    </row>
    <row r="139" spans="1:80" s="126" customFormat="1">
      <c r="A139" s="192">
        <f t="shared" si="68"/>
        <v>45157.486111111109</v>
      </c>
      <c r="B139" s="126" t="s">
        <v>228</v>
      </c>
      <c r="C139" s="126" t="s">
        <v>229</v>
      </c>
      <c r="D139" s="126" t="s">
        <v>197</v>
      </c>
      <c r="E139" s="65" t="s">
        <v>2713</v>
      </c>
      <c r="G139" s="165">
        <v>45161.645833333336</v>
      </c>
      <c r="H139" s="165">
        <v>45161.645833333336</v>
      </c>
      <c r="I139" s="126" t="s">
        <v>469</v>
      </c>
      <c r="J139" s="126" t="s">
        <v>192</v>
      </c>
      <c r="K139" s="126" t="s">
        <v>192</v>
      </c>
      <c r="L139" s="126" t="s">
        <v>2729</v>
      </c>
      <c r="M139" s="167"/>
      <c r="N139" s="126" t="s">
        <v>339</v>
      </c>
      <c r="O139" s="126" t="s">
        <v>506</v>
      </c>
      <c r="P139" s="126" t="s">
        <v>172</v>
      </c>
      <c r="Q139" s="181">
        <f>3071*2.4</f>
        <v>7370.4</v>
      </c>
      <c r="R139" s="181">
        <f>7400+100</f>
        <v>7500</v>
      </c>
      <c r="S139" s="181">
        <v>7555.2510000000002</v>
      </c>
      <c r="T139" s="181"/>
      <c r="Z139" s="181">
        <f t="shared" si="69"/>
        <v>7555.2510000000002</v>
      </c>
      <c r="AX139" s="165">
        <f t="shared" si="70"/>
        <v>45153.979166666664</v>
      </c>
      <c r="AY139" s="165">
        <f t="shared" si="71"/>
        <v>45163.25</v>
      </c>
      <c r="AZ139" s="137">
        <f t="shared" si="72"/>
        <v>9.2708333333357587</v>
      </c>
      <c r="BA139" s="165">
        <v>45153.979166666664</v>
      </c>
      <c r="BB139" s="165">
        <v>45154.618055555555</v>
      </c>
      <c r="BC139" s="165">
        <v>45156.125</v>
      </c>
      <c r="BD139" s="165">
        <v>45157.486111111109</v>
      </c>
      <c r="BE139" s="165">
        <v>45157.819444444445</v>
      </c>
      <c r="BF139" s="165">
        <v>45157.822916666664</v>
      </c>
      <c r="BG139" s="165">
        <v>45157.822916666664</v>
      </c>
      <c r="BH139" s="165">
        <f t="shared" si="73"/>
        <v>45159.53125</v>
      </c>
      <c r="BI139" s="210">
        <v>45160.25</v>
      </c>
      <c r="BJ139" s="210">
        <v>45160.416666608799</v>
      </c>
      <c r="BK139" s="165">
        <v>45160.295138888891</v>
      </c>
      <c r="BL139" s="165">
        <v>45161.854166666664</v>
      </c>
      <c r="BM139" s="165">
        <v>45162.402777777781</v>
      </c>
      <c r="BN139" s="165">
        <v>45162.59375</v>
      </c>
      <c r="BO139" s="165">
        <v>45162.631944444445</v>
      </c>
      <c r="BP139" s="165">
        <v>45162.777777777781</v>
      </c>
      <c r="BQ139" s="165">
        <v>45163.25</v>
      </c>
      <c r="BT139" s="136">
        <f t="shared" si="74"/>
        <v>36.166666666686069</v>
      </c>
      <c r="BU139" s="136">
        <f t="shared" si="75"/>
        <v>8.0000000000582077</v>
      </c>
      <c r="BV139" s="136">
        <f t="shared" si="76"/>
        <v>41.000000000058208</v>
      </c>
      <c r="BW139" s="136">
        <f t="shared" si="67"/>
        <v>34.500001388776582</v>
      </c>
      <c r="BX139" s="135">
        <f t="shared" si="77"/>
        <v>4.5833333332557231</v>
      </c>
      <c r="BY139" s="135">
        <f t="shared" si="78"/>
        <v>11.333333333255723</v>
      </c>
      <c r="BZ139" s="134">
        <f t="shared" si="79"/>
        <v>5.649305613420438</v>
      </c>
      <c r="CA139" s="134">
        <f t="shared" si="80"/>
        <v>9.2708333333357587</v>
      </c>
      <c r="CB139" s="133">
        <f t="shared" si="81"/>
        <v>0.60936330212159573</v>
      </c>
    </row>
    <row r="140" spans="1:80" s="126" customFormat="1">
      <c r="A140" s="192">
        <f t="shared" si="68"/>
        <v>45159.6875</v>
      </c>
      <c r="B140" s="126" t="s">
        <v>228</v>
      </c>
      <c r="C140" s="126" t="s">
        <v>229</v>
      </c>
      <c r="D140" s="126" t="s">
        <v>215</v>
      </c>
      <c r="E140" s="65" t="s">
        <v>2706</v>
      </c>
      <c r="G140" s="165">
        <v>45156.998611111114</v>
      </c>
      <c r="H140" s="165">
        <v>45156.998611111114</v>
      </c>
      <c r="I140" s="126" t="s">
        <v>469</v>
      </c>
      <c r="J140" s="126" t="s">
        <v>192</v>
      </c>
      <c r="K140" s="126" t="s">
        <v>192</v>
      </c>
      <c r="L140" s="126" t="s">
        <v>2730</v>
      </c>
      <c r="M140" s="167"/>
      <c r="N140" s="126" t="s">
        <v>274</v>
      </c>
      <c r="O140" s="126" t="s">
        <v>1093</v>
      </c>
      <c r="P140" s="126" t="s">
        <v>172</v>
      </c>
      <c r="Q140" s="181">
        <f>3136*2.4</f>
        <v>7526.4</v>
      </c>
      <c r="R140" s="181">
        <f>7550+100</f>
        <v>7650</v>
      </c>
      <c r="S140" s="181">
        <v>7562.2969999999996</v>
      </c>
      <c r="T140" s="181"/>
      <c r="Z140" s="181">
        <f t="shared" si="69"/>
        <v>7562.2969999999996</v>
      </c>
      <c r="AX140" s="165">
        <f t="shared" si="70"/>
        <v>45155.347222222219</v>
      </c>
      <c r="AY140" s="165">
        <f t="shared" si="71"/>
        <v>45165.430555555555</v>
      </c>
      <c r="AZ140" s="137">
        <f t="shared" si="72"/>
        <v>10.083333333335759</v>
      </c>
      <c r="BA140" s="165">
        <v>45155.347222222219</v>
      </c>
      <c r="BB140" s="165">
        <v>45156.791666666664</v>
      </c>
      <c r="BC140" s="165">
        <v>45158.229166666664</v>
      </c>
      <c r="BD140" s="165">
        <v>45159.6875</v>
      </c>
      <c r="BE140" s="165">
        <v>45159.961111111108</v>
      </c>
      <c r="BF140" s="165">
        <v>45159.965277777781</v>
      </c>
      <c r="BG140" s="165">
        <v>45159.965277777781</v>
      </c>
      <c r="BH140" s="165">
        <f t="shared" si="73"/>
        <v>45161.673611111117</v>
      </c>
      <c r="BI140" s="210">
        <v>45162.25</v>
      </c>
      <c r="BJ140" s="210">
        <v>45162.416666608799</v>
      </c>
      <c r="BK140" s="165">
        <v>45162.28125</v>
      </c>
      <c r="BL140" s="165">
        <v>45163.763888888891</v>
      </c>
      <c r="BM140" s="165">
        <v>45164.697916666664</v>
      </c>
      <c r="BN140" s="165">
        <v>45164.916666666664</v>
      </c>
      <c r="BO140" s="165">
        <v>45164.930555555555</v>
      </c>
      <c r="BP140" s="165">
        <v>45164.934027777781</v>
      </c>
      <c r="BQ140" s="165">
        <v>45165.430555555555</v>
      </c>
      <c r="BT140" s="136">
        <f t="shared" si="74"/>
        <v>34.5</v>
      </c>
      <c r="BU140" s="136">
        <f t="shared" si="75"/>
        <v>6.566666666592937</v>
      </c>
      <c r="BV140" s="136">
        <f t="shared" si="76"/>
        <v>41.000000000058208</v>
      </c>
      <c r="BW140" s="136">
        <f t="shared" si="67"/>
        <v>32.333334722206928</v>
      </c>
      <c r="BX140" s="135">
        <f t="shared" si="77"/>
        <v>5.25</v>
      </c>
      <c r="BY140" s="135">
        <f t="shared" si="78"/>
        <v>11.916666666569654</v>
      </c>
      <c r="BZ140" s="134">
        <f t="shared" si="79"/>
        <v>5.4819445023094886</v>
      </c>
      <c r="CA140" s="134">
        <f t="shared" si="80"/>
        <v>10.083333333335759</v>
      </c>
      <c r="CB140" s="133">
        <f t="shared" si="81"/>
        <v>0.54366391758428134</v>
      </c>
    </row>
    <row r="141" spans="1:80" s="126" customFormat="1">
      <c r="A141" s="192">
        <f t="shared" si="68"/>
        <v>45161.684027777781</v>
      </c>
      <c r="B141" s="126" t="s">
        <v>228</v>
      </c>
      <c r="C141" s="126" t="s">
        <v>229</v>
      </c>
      <c r="D141" s="126" t="s">
        <v>197</v>
      </c>
      <c r="E141" s="65" t="s">
        <v>2666</v>
      </c>
      <c r="G141" s="165">
        <v>45169.8125</v>
      </c>
      <c r="H141" s="165">
        <v>45169.8125</v>
      </c>
      <c r="I141" s="126" t="s">
        <v>469</v>
      </c>
      <c r="J141" s="126" t="s">
        <v>192</v>
      </c>
      <c r="K141" s="126" t="s">
        <v>192</v>
      </c>
      <c r="L141" s="126" t="s">
        <v>2731</v>
      </c>
      <c r="M141" s="167"/>
      <c r="N141" s="126" t="s">
        <v>330</v>
      </c>
      <c r="O141" s="126" t="s">
        <v>331</v>
      </c>
      <c r="P141" s="126" t="s">
        <v>172</v>
      </c>
      <c r="Q141" s="181">
        <f>3136*2.4</f>
        <v>7526.4</v>
      </c>
      <c r="R141" s="181">
        <f>7550+100</f>
        <v>7650</v>
      </c>
      <c r="S141" s="181">
        <v>7323.1220000000003</v>
      </c>
      <c r="T141" s="181"/>
      <c r="Z141" s="181">
        <f t="shared" si="69"/>
        <v>7323.1220000000003</v>
      </c>
      <c r="AX141" s="165">
        <f t="shared" si="70"/>
        <v>45155.083333333336</v>
      </c>
      <c r="AY141" s="165">
        <f t="shared" si="71"/>
        <v>45168.291666666664</v>
      </c>
      <c r="AZ141" s="137">
        <f t="shared" si="72"/>
        <v>13.208333333328483</v>
      </c>
      <c r="BA141" s="165">
        <v>45155.083333333336</v>
      </c>
      <c r="BB141" s="165">
        <v>45156.784722222219</v>
      </c>
      <c r="BC141" s="165">
        <v>45158.479166666664</v>
      </c>
      <c r="BD141" s="165">
        <v>45161.684027777781</v>
      </c>
      <c r="BE141" s="165">
        <v>45161.948611111111</v>
      </c>
      <c r="BF141" s="165">
        <v>45161.954861111109</v>
      </c>
      <c r="BG141" s="165">
        <v>45161.954861111109</v>
      </c>
      <c r="BH141" s="165">
        <f t="shared" si="73"/>
        <v>45163.663194444445</v>
      </c>
      <c r="BI141" s="210">
        <v>45164.25</v>
      </c>
      <c r="BJ141" s="210">
        <v>45164.416666608799</v>
      </c>
      <c r="BK141" s="165">
        <v>45164.354166666664</v>
      </c>
      <c r="BL141" s="165">
        <v>45165.833333333336</v>
      </c>
      <c r="BM141" s="165">
        <v>45167.569444444445</v>
      </c>
      <c r="BN141" s="165">
        <v>45167.829861111109</v>
      </c>
      <c r="BO141" s="165">
        <v>45167.84375</v>
      </c>
      <c r="BP141" s="165">
        <v>45167.847222222219</v>
      </c>
      <c r="BQ141" s="165">
        <v>45168.291666666664</v>
      </c>
      <c r="BT141" s="136">
        <f t="shared" si="74"/>
        <v>40.666666666686069</v>
      </c>
      <c r="BU141" s="136">
        <f t="shared" si="75"/>
        <v>6.3499999999185093</v>
      </c>
      <c r="BV141" s="136">
        <f t="shared" si="76"/>
        <v>41.000000000058208</v>
      </c>
      <c r="BW141" s="136">
        <f t="shared" si="67"/>
        <v>34.000001388892997</v>
      </c>
      <c r="BX141" s="135">
        <f t="shared" si="77"/>
        <v>6.2499999999417923</v>
      </c>
      <c r="BY141" s="135">
        <f t="shared" si="78"/>
        <v>10.666666666686069</v>
      </c>
      <c r="BZ141" s="134">
        <f t="shared" si="79"/>
        <v>5.7888889467576519</v>
      </c>
      <c r="CA141" s="134">
        <f t="shared" si="80"/>
        <v>13.208333333328483</v>
      </c>
      <c r="CB141" s="133">
        <f t="shared" si="81"/>
        <v>0.43827550385562986</v>
      </c>
    </row>
    <row r="142" spans="1:80" s="126" customFormat="1">
      <c r="A142" s="192">
        <f t="shared" si="68"/>
        <v>45166.972222222219</v>
      </c>
      <c r="B142" s="126" t="s">
        <v>228</v>
      </c>
      <c r="C142" s="126" t="s">
        <v>229</v>
      </c>
      <c r="D142" s="126" t="s">
        <v>197</v>
      </c>
      <c r="E142" s="65" t="s">
        <v>2431</v>
      </c>
      <c r="G142" s="316">
        <v>45158.4375</v>
      </c>
      <c r="H142" s="316">
        <v>45158.4375</v>
      </c>
      <c r="I142" s="126" t="s">
        <v>471</v>
      </c>
      <c r="J142" s="126" t="s">
        <v>192</v>
      </c>
      <c r="K142" s="126" t="s">
        <v>192</v>
      </c>
      <c r="L142" s="126" t="s">
        <v>2443</v>
      </c>
      <c r="M142" s="167"/>
      <c r="N142" s="126" t="s">
        <v>380</v>
      </c>
      <c r="O142" s="126" t="s">
        <v>381</v>
      </c>
      <c r="P142" s="126" t="s">
        <v>172</v>
      </c>
      <c r="Q142" s="181">
        <f>3271*2.4</f>
        <v>7850.4</v>
      </c>
      <c r="R142" s="181">
        <f>7900+100</f>
        <v>8000</v>
      </c>
      <c r="S142" s="181">
        <v>7545.9989999999998</v>
      </c>
      <c r="Z142" s="181">
        <f t="shared" si="69"/>
        <v>7545.9989999999998</v>
      </c>
      <c r="AX142" s="165">
        <f t="shared" si="70"/>
        <v>45157.785416666666</v>
      </c>
      <c r="AY142" s="165">
        <f t="shared" si="71"/>
        <v>45173.958333333336</v>
      </c>
      <c r="AZ142" s="137">
        <f t="shared" si="72"/>
        <v>16.172916666670062</v>
      </c>
      <c r="BA142" s="165">
        <v>45157.785416666666</v>
      </c>
      <c r="BB142" s="165">
        <v>45161.770833333336</v>
      </c>
      <c r="BC142" s="165">
        <v>45163.666666666664</v>
      </c>
      <c r="BD142" s="165">
        <v>45166.972222222219</v>
      </c>
      <c r="BE142" s="165">
        <v>45167.743055555555</v>
      </c>
      <c r="BF142" s="165">
        <v>45167.746527777781</v>
      </c>
      <c r="BG142" s="165">
        <v>45167.746527777781</v>
      </c>
      <c r="BH142" s="165">
        <f t="shared" si="73"/>
        <v>45169.454861111117</v>
      </c>
      <c r="BI142" s="210">
        <v>45169.25</v>
      </c>
      <c r="BJ142" s="210">
        <v>45169.416666666664</v>
      </c>
      <c r="BK142" s="165">
        <v>45169.305555555555</v>
      </c>
      <c r="BL142" s="165">
        <v>45170.416666666664</v>
      </c>
      <c r="BM142" s="165">
        <v>45173.104166666664</v>
      </c>
      <c r="BN142" s="165">
        <v>45173.465277777781</v>
      </c>
      <c r="BO142" s="165">
        <v>45173.493055555555</v>
      </c>
      <c r="BP142" s="165">
        <v>45173.736111111109</v>
      </c>
      <c r="BQ142" s="165">
        <v>45173.958333333336</v>
      </c>
      <c r="BT142" s="136">
        <f t="shared" si="74"/>
        <v>45.499999999883585</v>
      </c>
      <c r="BU142" s="136">
        <f t="shared" si="75"/>
        <v>18.500000000058208</v>
      </c>
      <c r="BV142" s="136">
        <f t="shared" si="76"/>
        <v>41.000000000058208</v>
      </c>
      <c r="BW142" s="136">
        <f t="shared" si="67"/>
        <v>24</v>
      </c>
      <c r="BX142" s="135">
        <f t="shared" si="77"/>
        <v>8.6666666668024845</v>
      </c>
      <c r="BY142" s="135">
        <f t="shared" si="78"/>
        <v>5.3333333334303461</v>
      </c>
      <c r="BZ142" s="134">
        <f t="shared" si="79"/>
        <v>5.9583333333430346</v>
      </c>
      <c r="CA142" s="134">
        <f t="shared" si="80"/>
        <v>16.172916666670062</v>
      </c>
      <c r="CB142" s="133">
        <f t="shared" si="81"/>
        <v>0.36841427283319028</v>
      </c>
    </row>
    <row r="143" spans="1:80" s="126" customFormat="1">
      <c r="A143" s="192">
        <f t="shared" si="68"/>
        <v>45160.090277777781</v>
      </c>
      <c r="B143" s="126" t="s">
        <v>188</v>
      </c>
      <c r="C143" s="126" t="s">
        <v>183</v>
      </c>
      <c r="D143" s="126" t="s">
        <v>189</v>
      </c>
      <c r="E143" s="65" t="s">
        <v>2651</v>
      </c>
      <c r="G143" s="165">
        <v>45179.75</v>
      </c>
      <c r="H143" s="165">
        <v>45179.741666666669</v>
      </c>
      <c r="I143" s="126" t="s">
        <v>791</v>
      </c>
      <c r="J143" s="126" t="s">
        <v>192</v>
      </c>
      <c r="K143" s="126" t="s">
        <v>192</v>
      </c>
      <c r="L143" s="126" t="s">
        <v>2732</v>
      </c>
      <c r="M143" s="167"/>
      <c r="N143" s="126" t="s">
        <v>805</v>
      </c>
      <c r="O143" s="126" t="s">
        <v>817</v>
      </c>
      <c r="P143" s="126" t="s">
        <v>183</v>
      </c>
      <c r="Q143" s="181">
        <v>5300</v>
      </c>
      <c r="R143" s="181">
        <v>5300</v>
      </c>
      <c r="S143" s="181">
        <v>5234.2849999999999</v>
      </c>
      <c r="T143" s="181"/>
      <c r="AT143" s="181">
        <f>S143</f>
        <v>5234.2849999999999</v>
      </c>
      <c r="AX143" s="165">
        <f t="shared" si="70"/>
        <v>45160.0625</v>
      </c>
      <c r="AY143" s="165">
        <f t="shared" si="71"/>
        <v>45168.798611111109</v>
      </c>
      <c r="AZ143" s="137">
        <f t="shared" si="72"/>
        <v>8.7361111111094942</v>
      </c>
      <c r="BA143" s="165">
        <v>45160.0625</v>
      </c>
      <c r="BB143" s="165">
        <v>45160.0625</v>
      </c>
      <c r="BC143" s="165">
        <v>45160.0625</v>
      </c>
      <c r="BD143" s="165">
        <v>45160.090277777781</v>
      </c>
      <c r="BE143" s="165">
        <v>45160.666666666664</v>
      </c>
      <c r="BF143" s="165">
        <v>45161.458333333336</v>
      </c>
      <c r="BG143" s="165">
        <v>45161.458333333336</v>
      </c>
      <c r="BH143" s="165">
        <v>45161.458333333336</v>
      </c>
      <c r="BI143" s="166" t="s">
        <v>196</v>
      </c>
      <c r="BJ143" s="166" t="s">
        <v>196</v>
      </c>
      <c r="BK143" s="166" t="s">
        <v>196</v>
      </c>
      <c r="BL143" s="165">
        <v>45166.805555555555</v>
      </c>
      <c r="BM143" s="165">
        <v>45168.347222222219</v>
      </c>
      <c r="BN143" s="165">
        <v>45168.78125</v>
      </c>
      <c r="BO143" s="165">
        <v>45168.798611111109</v>
      </c>
      <c r="BP143" s="165">
        <v>45168.798611111109</v>
      </c>
      <c r="BQ143" s="165">
        <v>45168.798611111109</v>
      </c>
      <c r="BT143" s="136">
        <f t="shared" si="74"/>
        <v>0</v>
      </c>
      <c r="BU143" s="136">
        <f t="shared" si="75"/>
        <v>13.833333333197515</v>
      </c>
      <c r="BV143" s="136">
        <f t="shared" si="76"/>
        <v>0</v>
      </c>
      <c r="BW143" s="136">
        <f>(BL143-BH143)*24</f>
        <v>128.33333333325572</v>
      </c>
      <c r="BX143" s="135">
        <f t="shared" si="77"/>
        <v>10.416666666744277</v>
      </c>
      <c r="BY143" s="135">
        <f t="shared" si="78"/>
        <v>0</v>
      </c>
      <c r="BZ143" s="134">
        <f t="shared" si="79"/>
        <v>6.3576388888832298</v>
      </c>
      <c r="CA143" s="134">
        <f t="shared" si="80"/>
        <v>8.7361111111094942</v>
      </c>
      <c r="CB143" s="133">
        <f t="shared" si="81"/>
        <v>0.72774244833017054</v>
      </c>
    </row>
    <row r="144" spans="1:80" s="126" customFormat="1">
      <c r="A144" s="192">
        <f t="shared" si="68"/>
        <v>45164.868055555555</v>
      </c>
      <c r="B144" s="126" t="s">
        <v>188</v>
      </c>
      <c r="C144" s="126" t="s">
        <v>183</v>
      </c>
      <c r="D144" s="126" t="s">
        <v>197</v>
      </c>
      <c r="E144" s="65" t="s">
        <v>2733</v>
      </c>
      <c r="G144" s="473">
        <v>45186.25</v>
      </c>
      <c r="H144" s="473">
        <v>45186.25</v>
      </c>
      <c r="I144" s="126" t="s">
        <v>791</v>
      </c>
      <c r="J144" s="126" t="s">
        <v>192</v>
      </c>
      <c r="K144" s="126" t="s">
        <v>192</v>
      </c>
      <c r="L144" s="126" t="s">
        <v>2734</v>
      </c>
      <c r="M144" s="167"/>
      <c r="N144" s="126" t="s">
        <v>2156</v>
      </c>
      <c r="O144" s="126" t="s">
        <v>1835</v>
      </c>
      <c r="P144" s="126" t="s">
        <v>183</v>
      </c>
      <c r="Q144" s="181">
        <f>3131*2.4</f>
        <v>7514.4</v>
      </c>
      <c r="R144" s="181">
        <f>7550+100</f>
        <v>7650</v>
      </c>
      <c r="S144" s="181">
        <v>6490.9319999999998</v>
      </c>
      <c r="T144" s="181"/>
      <c r="AT144" s="181">
        <f>S144</f>
        <v>6490.9319999999998</v>
      </c>
      <c r="AX144" s="165">
        <f t="shared" si="70"/>
        <v>45156.986111111109</v>
      </c>
      <c r="AY144" s="165">
        <f t="shared" si="71"/>
        <v>45176.920138888891</v>
      </c>
      <c r="AZ144" s="137">
        <f t="shared" si="72"/>
        <v>19.934027777781012</v>
      </c>
      <c r="BA144" s="165">
        <v>45156.986111111109</v>
      </c>
      <c r="BB144" s="165">
        <v>45157.569444444445</v>
      </c>
      <c r="BC144" s="165">
        <v>45164.142361111109</v>
      </c>
      <c r="BD144" s="165">
        <v>45164.868055555555</v>
      </c>
      <c r="BE144" s="165">
        <v>45165.5625</v>
      </c>
      <c r="BF144" s="165">
        <v>45165.784722222219</v>
      </c>
      <c r="BG144" s="165">
        <v>45165.784722222219</v>
      </c>
      <c r="BH144" s="165">
        <f t="shared" ref="BH144:BH150" si="82">BG144+(51/24)</f>
        <v>45167.909722222219</v>
      </c>
      <c r="BI144" s="210">
        <v>45168.229166608799</v>
      </c>
      <c r="BJ144" s="210">
        <v>45168.395833333336</v>
      </c>
      <c r="BK144" s="210">
        <v>45168.298611111109</v>
      </c>
      <c r="BL144" s="165">
        <v>45170.208333333336</v>
      </c>
      <c r="BM144" s="165">
        <v>45176.690972222219</v>
      </c>
      <c r="BN144" s="165">
        <v>45176.920138888891</v>
      </c>
      <c r="BO144" s="165">
        <v>45176.920138888891</v>
      </c>
      <c r="BP144" s="165">
        <v>45176.920138888891</v>
      </c>
      <c r="BQ144" s="165">
        <v>45176.920138888891</v>
      </c>
      <c r="BR144" s="126" t="s">
        <v>788</v>
      </c>
      <c r="BT144" s="136">
        <f t="shared" si="74"/>
        <v>157.74999999994179</v>
      </c>
      <c r="BU144" s="136">
        <f t="shared" si="75"/>
        <v>16.666666666686069</v>
      </c>
      <c r="BV144" s="136">
        <f t="shared" si="76"/>
        <v>51</v>
      </c>
      <c r="BW144" s="136">
        <f t="shared" ref="BW144:BW190" si="83">(BL144-BJ144)*24</f>
        <v>43.5</v>
      </c>
      <c r="BX144" s="135">
        <f t="shared" si="77"/>
        <v>5.5000000001164153</v>
      </c>
      <c r="BY144" s="135">
        <f t="shared" si="78"/>
        <v>0</v>
      </c>
      <c r="BZ144" s="134">
        <f t="shared" si="79"/>
        <v>11.434027777781012</v>
      </c>
      <c r="CA144" s="134">
        <f t="shared" si="80"/>
        <v>19.934027777781012</v>
      </c>
      <c r="CB144" s="133">
        <f t="shared" si="81"/>
        <v>0.57359345061842837</v>
      </c>
    </row>
    <row r="145" spans="1:82" s="126" customFormat="1">
      <c r="A145" s="192">
        <f t="shared" si="68"/>
        <v>45163.986111111109</v>
      </c>
      <c r="B145" s="126" t="s">
        <v>188</v>
      </c>
      <c r="C145" s="126" t="s">
        <v>183</v>
      </c>
      <c r="D145" s="126" t="s">
        <v>197</v>
      </c>
      <c r="E145" s="65" t="s">
        <v>2651</v>
      </c>
      <c r="G145" s="165">
        <v>45179.75</v>
      </c>
      <c r="H145" s="165">
        <v>45179.741666666669</v>
      </c>
      <c r="I145" s="126" t="s">
        <v>791</v>
      </c>
      <c r="J145" s="126" t="s">
        <v>192</v>
      </c>
      <c r="K145" s="126" t="s">
        <v>192</v>
      </c>
      <c r="L145" s="126" t="s">
        <v>2735</v>
      </c>
      <c r="M145" s="167"/>
      <c r="N145" s="126" t="s">
        <v>505</v>
      </c>
      <c r="O145" s="126" t="s">
        <v>340</v>
      </c>
      <c r="P145" s="126" t="s">
        <v>183</v>
      </c>
      <c r="Q145" s="181">
        <f>3141*2.4</f>
        <v>7538.4</v>
      </c>
      <c r="R145" s="181">
        <f>7550+100</f>
        <v>7650</v>
      </c>
      <c r="S145" s="181">
        <v>7003.4480000000003</v>
      </c>
      <c r="T145" s="181"/>
      <c r="AT145" s="181">
        <f>S145</f>
        <v>7003.4480000000003</v>
      </c>
      <c r="AX145" s="165">
        <f t="shared" si="70"/>
        <v>45157.423611111109</v>
      </c>
      <c r="AY145" s="165">
        <f t="shared" si="71"/>
        <v>45173.402777777781</v>
      </c>
      <c r="AZ145" s="137">
        <f t="shared" si="72"/>
        <v>15.979166666671517</v>
      </c>
      <c r="BA145" s="165">
        <v>45157.423611111109</v>
      </c>
      <c r="BB145" s="165">
        <v>45158.552083333336</v>
      </c>
      <c r="BC145" s="165">
        <v>45163.958333333336</v>
      </c>
      <c r="BD145" s="165">
        <v>45163.986111111109</v>
      </c>
      <c r="BE145" s="165">
        <v>45164.739583333336</v>
      </c>
      <c r="BF145" s="165">
        <v>45164.8125</v>
      </c>
      <c r="BG145" s="165">
        <v>45165.291666666664</v>
      </c>
      <c r="BH145" s="165">
        <f t="shared" si="82"/>
        <v>45167.416666666664</v>
      </c>
      <c r="BI145" s="210">
        <v>45167.229166608799</v>
      </c>
      <c r="BJ145" s="210">
        <v>45167.395833333336</v>
      </c>
      <c r="BK145" s="210">
        <v>45167.451388888891</v>
      </c>
      <c r="BL145" s="165">
        <v>45169.256944444445</v>
      </c>
      <c r="BM145" s="165">
        <v>45172.638888888891</v>
      </c>
      <c r="BN145" s="165">
        <v>45173.069444444445</v>
      </c>
      <c r="BO145" s="165">
        <v>45173.076388888891</v>
      </c>
      <c r="BP145" s="165">
        <v>45173.079861111109</v>
      </c>
      <c r="BQ145" s="165">
        <v>45173.402777777781</v>
      </c>
      <c r="BT145" s="136">
        <f t="shared" si="74"/>
        <v>129.75</v>
      </c>
      <c r="BU145" s="136">
        <f t="shared" si="75"/>
        <v>18.083333333430346</v>
      </c>
      <c r="BV145" s="136">
        <f t="shared" si="76"/>
        <v>51</v>
      </c>
      <c r="BW145" s="136">
        <f t="shared" si="83"/>
        <v>44.666666666627862</v>
      </c>
      <c r="BX145" s="135">
        <f t="shared" si="77"/>
        <v>10.333333333313931</v>
      </c>
      <c r="BY145" s="135">
        <f t="shared" si="78"/>
        <v>7.7500000001164153</v>
      </c>
      <c r="BZ145" s="134">
        <f t="shared" si="79"/>
        <v>10.899305555562023</v>
      </c>
      <c r="CA145" s="134">
        <f t="shared" si="80"/>
        <v>15.979166666671517</v>
      </c>
      <c r="CB145" s="133">
        <f t="shared" si="81"/>
        <v>0.68209474141697302</v>
      </c>
    </row>
    <row r="146" spans="1:82" s="126" customFormat="1">
      <c r="A146" s="474">
        <f t="shared" si="68"/>
        <v>45167.965277777781</v>
      </c>
      <c r="B146" s="475" t="s">
        <v>188</v>
      </c>
      <c r="C146" s="475" t="s">
        <v>183</v>
      </c>
      <c r="D146" s="475" t="s">
        <v>197</v>
      </c>
      <c r="E146" s="476" t="s">
        <v>2733</v>
      </c>
      <c r="F146" s="475"/>
      <c r="G146" s="473">
        <v>45186.25</v>
      </c>
      <c r="H146" s="473">
        <v>45186.25</v>
      </c>
      <c r="I146" s="475" t="s">
        <v>791</v>
      </c>
      <c r="J146" s="475" t="s">
        <v>192</v>
      </c>
      <c r="K146" s="475" t="s">
        <v>192</v>
      </c>
      <c r="L146" s="475" t="s">
        <v>2736</v>
      </c>
      <c r="M146" s="167"/>
      <c r="N146" s="475" t="s">
        <v>437</v>
      </c>
      <c r="O146" s="475" t="s">
        <v>320</v>
      </c>
      <c r="P146" s="475" t="s">
        <v>183</v>
      </c>
      <c r="Q146" s="477">
        <f>3136*2.4</f>
        <v>7526.4</v>
      </c>
      <c r="R146" s="477">
        <f>7550+100</f>
        <v>7650</v>
      </c>
      <c r="S146" s="477">
        <v>6118.8779999999997</v>
      </c>
      <c r="T146" s="477"/>
      <c r="U146" s="475"/>
      <c r="V146" s="475"/>
      <c r="W146" s="475"/>
      <c r="X146" s="475"/>
      <c r="Y146" s="475"/>
      <c r="Z146" s="475"/>
      <c r="AA146" s="475"/>
      <c r="AB146" s="475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7">
        <f>S146</f>
        <v>6118.8779999999997</v>
      </c>
      <c r="AU146" s="475"/>
      <c r="AV146" s="475"/>
      <c r="AW146" s="475"/>
      <c r="AX146" s="473">
        <f t="shared" si="70"/>
        <v>45159.4375</v>
      </c>
      <c r="AY146" s="473">
        <f t="shared" si="71"/>
        <v>45187.059027777781</v>
      </c>
      <c r="AZ146" s="479">
        <f t="shared" si="72"/>
        <v>27.621527777781012</v>
      </c>
      <c r="BA146" s="473">
        <v>45159.4375</v>
      </c>
      <c r="BB146" s="473">
        <v>45163.784722222219</v>
      </c>
      <c r="BC146" s="473">
        <v>45167.25</v>
      </c>
      <c r="BD146" s="473">
        <v>45167.965277777781</v>
      </c>
      <c r="BE146" s="473">
        <v>45168.579861111109</v>
      </c>
      <c r="BF146" s="473">
        <v>45168.604166666664</v>
      </c>
      <c r="BG146" s="473">
        <v>45168.604166666664</v>
      </c>
      <c r="BH146" s="473">
        <f t="shared" si="82"/>
        <v>45170.729166666664</v>
      </c>
      <c r="BI146" s="480">
        <v>45170.25</v>
      </c>
      <c r="BJ146" s="480">
        <v>45170.416666666664</v>
      </c>
      <c r="BK146" s="480">
        <v>45170.388888888891</v>
      </c>
      <c r="BL146" s="473">
        <v>45172.111111111109</v>
      </c>
      <c r="BM146" s="473">
        <v>45185.84375</v>
      </c>
      <c r="BN146" s="473">
        <v>45186.229166666664</v>
      </c>
      <c r="BO146" s="473">
        <v>45186.25</v>
      </c>
      <c r="BP146" s="473">
        <v>45186.680555555555</v>
      </c>
      <c r="BQ146" s="473">
        <v>45187.059027777781</v>
      </c>
      <c r="BR146" s="475"/>
      <c r="BS146" s="475"/>
      <c r="BT146" s="481">
        <f t="shared" si="74"/>
        <v>83.166666666744277</v>
      </c>
      <c r="BU146" s="481">
        <f t="shared" si="75"/>
        <v>14.749999999883585</v>
      </c>
      <c r="BV146" s="481">
        <f t="shared" si="76"/>
        <v>51</v>
      </c>
      <c r="BW146" s="481">
        <f t="shared" si="83"/>
        <v>40.666666666686069</v>
      </c>
      <c r="BX146" s="482">
        <f t="shared" si="77"/>
        <v>9.2499999999417923</v>
      </c>
      <c r="BY146" s="482">
        <f t="shared" si="78"/>
        <v>9.0833333334303461</v>
      </c>
      <c r="BZ146" s="483">
        <f t="shared" si="79"/>
        <v>8.6631944444452529</v>
      </c>
      <c r="CA146" s="483">
        <f t="shared" si="80"/>
        <v>27.621527777781012</v>
      </c>
      <c r="CB146" s="484">
        <f t="shared" si="81"/>
        <v>0.31363922061595734</v>
      </c>
      <c r="CC146" s="475"/>
      <c r="CD146" s="475"/>
    </row>
    <row r="147" spans="1:82" s="126" customFormat="1">
      <c r="A147" s="474">
        <f t="shared" si="68"/>
        <v>45167.340277777781</v>
      </c>
      <c r="B147" s="475" t="s">
        <v>188</v>
      </c>
      <c r="C147" s="475" t="s">
        <v>183</v>
      </c>
      <c r="D147" s="475" t="s">
        <v>197</v>
      </c>
      <c r="E147" s="476" t="s">
        <v>2733</v>
      </c>
      <c r="F147" s="475"/>
      <c r="G147" s="473">
        <v>45186.25</v>
      </c>
      <c r="H147" s="473">
        <v>45186.25</v>
      </c>
      <c r="I147" s="475" t="s">
        <v>791</v>
      </c>
      <c r="J147" s="475" t="s">
        <v>192</v>
      </c>
      <c r="K147" s="475" t="s">
        <v>192</v>
      </c>
      <c r="L147" s="475" t="s">
        <v>2737</v>
      </c>
      <c r="M147" s="167"/>
      <c r="N147" s="475" t="s">
        <v>489</v>
      </c>
      <c r="O147" s="475" t="s">
        <v>483</v>
      </c>
      <c r="P147" s="475" t="s">
        <v>183</v>
      </c>
      <c r="Q147" s="477">
        <f>3107*2.4</f>
        <v>7456.7999999999993</v>
      </c>
      <c r="R147" s="477">
        <f>7500+100</f>
        <v>7600</v>
      </c>
      <c r="S147" s="477">
        <v>6497.5919999999996</v>
      </c>
      <c r="T147" s="477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7">
        <f>S147</f>
        <v>6497.5919999999996</v>
      </c>
      <c r="AU147" s="475"/>
      <c r="AV147" s="475"/>
      <c r="AW147" s="475"/>
      <c r="AX147" s="473">
        <f t="shared" si="70"/>
        <v>45160.146527777775</v>
      </c>
      <c r="AY147" s="473">
        <f t="shared" si="71"/>
        <v>45186.44027777778</v>
      </c>
      <c r="AZ147" s="479">
        <f t="shared" si="72"/>
        <v>26.293750000004366</v>
      </c>
      <c r="BA147" s="473">
        <v>45160.146527777775</v>
      </c>
      <c r="BB147" s="473">
        <v>45163.877083333333</v>
      </c>
      <c r="BC147" s="473">
        <v>45167.236111111109</v>
      </c>
      <c r="BD147" s="473">
        <v>45167.340277777781</v>
      </c>
      <c r="BE147" s="473">
        <v>45167.895833333336</v>
      </c>
      <c r="BF147" s="473">
        <v>45167.923611111109</v>
      </c>
      <c r="BG147" s="473">
        <v>45167.923611111109</v>
      </c>
      <c r="BH147" s="473">
        <f t="shared" si="82"/>
        <v>45170.048611111109</v>
      </c>
      <c r="BI147" s="480">
        <v>45170.25</v>
      </c>
      <c r="BJ147" s="480">
        <v>45170.416666666664</v>
      </c>
      <c r="BK147" s="480">
        <v>45170.334027777775</v>
      </c>
      <c r="BL147" s="473">
        <v>45172.010416666664</v>
      </c>
      <c r="BM147" s="473">
        <v>45184.798611111109</v>
      </c>
      <c r="BN147" s="473">
        <v>45185.118055555555</v>
      </c>
      <c r="BO147" s="473">
        <v>45185.131944444445</v>
      </c>
      <c r="BP147" s="473">
        <v>45185.743055555555</v>
      </c>
      <c r="BQ147" s="473">
        <v>45186.44027777778</v>
      </c>
      <c r="BR147" s="475"/>
      <c r="BS147" s="475"/>
      <c r="BT147" s="481">
        <f t="shared" si="74"/>
        <v>80.616666666639503</v>
      </c>
      <c r="BU147" s="481">
        <f t="shared" si="75"/>
        <v>13.333333333313931</v>
      </c>
      <c r="BV147" s="481">
        <f t="shared" si="76"/>
        <v>51</v>
      </c>
      <c r="BW147" s="481">
        <f t="shared" si="83"/>
        <v>38.25</v>
      </c>
      <c r="BX147" s="482">
        <f t="shared" si="77"/>
        <v>7.6666666666860692</v>
      </c>
      <c r="BY147" s="482">
        <f t="shared" si="78"/>
        <v>16.733333333395422</v>
      </c>
      <c r="BZ147" s="483">
        <f t="shared" si="79"/>
        <v>8.6500000000014552</v>
      </c>
      <c r="CA147" s="483">
        <f t="shared" si="80"/>
        <v>26.293750000004366</v>
      </c>
      <c r="CB147" s="484">
        <f t="shared" si="81"/>
        <v>0.32897551699548444</v>
      </c>
      <c r="CC147" s="475"/>
      <c r="CD147" s="475"/>
    </row>
    <row r="148" spans="1:82" s="126" customFormat="1">
      <c r="A148" s="192">
        <f t="shared" si="68"/>
        <v>45165.291666666664</v>
      </c>
      <c r="B148" s="126" t="s">
        <v>188</v>
      </c>
      <c r="C148" s="126" t="s">
        <v>184</v>
      </c>
      <c r="D148" s="126" t="s">
        <v>197</v>
      </c>
      <c r="E148" s="65" t="s">
        <v>2651</v>
      </c>
      <c r="G148" s="165">
        <v>45179.75</v>
      </c>
      <c r="H148" s="165">
        <v>45179.741666666669</v>
      </c>
      <c r="I148" s="126" t="s">
        <v>818</v>
      </c>
      <c r="J148" s="126" t="s">
        <v>192</v>
      </c>
      <c r="K148" s="126" t="s">
        <v>192</v>
      </c>
      <c r="L148" s="126" t="s">
        <v>2738</v>
      </c>
      <c r="M148" s="167"/>
      <c r="N148" s="126" t="s">
        <v>1392</v>
      </c>
      <c r="O148" s="126" t="s">
        <v>365</v>
      </c>
      <c r="P148" s="126" t="s">
        <v>184</v>
      </c>
      <c r="Q148" s="181">
        <f>3142*2.4</f>
        <v>7540.7999999999993</v>
      </c>
      <c r="R148" s="181">
        <f>7550+100</f>
        <v>7650</v>
      </c>
      <c r="S148" s="181">
        <v>7502.15</v>
      </c>
      <c r="T148" s="181"/>
      <c r="AU148" s="181">
        <f>S148</f>
        <v>7502.15</v>
      </c>
      <c r="AX148" s="165">
        <f t="shared" si="70"/>
        <v>45159.3125</v>
      </c>
      <c r="AY148" s="165">
        <f t="shared" si="71"/>
        <v>45178.850694444445</v>
      </c>
      <c r="AZ148" s="137">
        <f t="shared" si="72"/>
        <v>19.538194444445253</v>
      </c>
      <c r="BA148" s="165">
        <v>45159.3125</v>
      </c>
      <c r="BB148" s="165">
        <v>45162.503472222219</v>
      </c>
      <c r="BC148" s="165">
        <v>45165</v>
      </c>
      <c r="BD148" s="165">
        <v>45165.291666666664</v>
      </c>
      <c r="BE148" s="165">
        <v>45166.232638888891</v>
      </c>
      <c r="BF148" s="165">
        <v>45166.354166666664</v>
      </c>
      <c r="BG148" s="165">
        <v>45166.354166666664</v>
      </c>
      <c r="BH148" s="165">
        <f t="shared" si="82"/>
        <v>45168.479166666664</v>
      </c>
      <c r="BI148" s="210">
        <v>45168.229166608799</v>
      </c>
      <c r="BJ148" s="210">
        <v>45168.395833333336</v>
      </c>
      <c r="BK148" s="210">
        <v>45168.270833333336</v>
      </c>
      <c r="BL148" s="165">
        <v>45170.048611111109</v>
      </c>
      <c r="BM148" s="165">
        <v>45177.434027777781</v>
      </c>
      <c r="BN148" s="165">
        <v>45178.326388888891</v>
      </c>
      <c r="BO148" s="165">
        <v>45178.34375</v>
      </c>
      <c r="BP148" s="165">
        <v>45178.347222222219</v>
      </c>
      <c r="BQ148" s="165">
        <v>45178.850694444445</v>
      </c>
      <c r="BT148" s="136">
        <f t="shared" si="74"/>
        <v>59.916666666744277</v>
      </c>
      <c r="BU148" s="136">
        <f t="shared" si="75"/>
        <v>22.583333333430346</v>
      </c>
      <c r="BV148" s="136">
        <f t="shared" si="76"/>
        <v>51</v>
      </c>
      <c r="BW148" s="136">
        <f t="shared" si="83"/>
        <v>39.666666666569654</v>
      </c>
      <c r="BX148" s="135">
        <f t="shared" si="77"/>
        <v>21.416666666627862</v>
      </c>
      <c r="BY148" s="135">
        <f t="shared" si="78"/>
        <v>12.083333333430346</v>
      </c>
      <c r="BZ148" s="134">
        <f t="shared" si="79"/>
        <v>8.6111111111167702</v>
      </c>
      <c r="CA148" s="134">
        <f t="shared" si="80"/>
        <v>19.538194444445253</v>
      </c>
      <c r="CB148" s="133">
        <f t="shared" si="81"/>
        <v>0.44073218411258702</v>
      </c>
    </row>
    <row r="149" spans="1:82" s="126" customFormat="1">
      <c r="A149" s="192">
        <f t="shared" si="68"/>
        <v>45167.715277777781</v>
      </c>
      <c r="B149" s="126" t="s">
        <v>188</v>
      </c>
      <c r="C149" s="126" t="s">
        <v>184</v>
      </c>
      <c r="D149" s="126" t="s">
        <v>215</v>
      </c>
      <c r="E149" s="65" t="s">
        <v>2733</v>
      </c>
      <c r="G149" s="473">
        <v>45186.25</v>
      </c>
      <c r="H149" s="473">
        <v>45186.25</v>
      </c>
      <c r="I149" s="126" t="s">
        <v>818</v>
      </c>
      <c r="J149" s="126" t="s">
        <v>192</v>
      </c>
      <c r="K149" s="126" t="s">
        <v>192</v>
      </c>
      <c r="L149" s="126" t="s">
        <v>2739</v>
      </c>
      <c r="M149" s="167"/>
      <c r="N149" s="126" t="s">
        <v>222</v>
      </c>
      <c r="O149" s="126" t="s">
        <v>223</v>
      </c>
      <c r="P149" s="126" t="s">
        <v>184</v>
      </c>
      <c r="Q149" s="181">
        <f>3137*2.4</f>
        <v>7528.7999999999993</v>
      </c>
      <c r="R149" s="181">
        <f>7550+100</f>
        <v>7650</v>
      </c>
      <c r="S149" s="181">
        <v>7504.7849999999999</v>
      </c>
      <c r="T149" s="181"/>
      <c r="AU149" s="181">
        <f>S149</f>
        <v>7504.7849999999999</v>
      </c>
      <c r="AX149" s="165">
        <f t="shared" si="70"/>
        <v>45160.923611111109</v>
      </c>
      <c r="AY149" s="165">
        <f t="shared" si="71"/>
        <v>45180.416666666664</v>
      </c>
      <c r="AZ149" s="137">
        <f t="shared" si="72"/>
        <v>19.493055555554747</v>
      </c>
      <c r="BA149" s="165">
        <v>45160.923611111109</v>
      </c>
      <c r="BB149" s="165">
        <v>45164.774305555555</v>
      </c>
      <c r="BC149" s="165">
        <v>45167.125</v>
      </c>
      <c r="BD149" s="165">
        <v>45167.715277777781</v>
      </c>
      <c r="BE149" s="165">
        <v>45168.375</v>
      </c>
      <c r="BF149" s="165">
        <v>45168.402777777781</v>
      </c>
      <c r="BG149" s="165">
        <v>45168.402777777781</v>
      </c>
      <c r="BH149" s="165">
        <f t="shared" si="82"/>
        <v>45170.527777777781</v>
      </c>
      <c r="BI149" s="210">
        <v>45170.25</v>
      </c>
      <c r="BJ149" s="210">
        <v>45170.416666666664</v>
      </c>
      <c r="BK149" s="210">
        <v>45170.375</v>
      </c>
      <c r="BL149" s="165">
        <v>45171.75</v>
      </c>
      <c r="BM149" s="165">
        <v>45178.454861111109</v>
      </c>
      <c r="BN149" s="165">
        <v>45179.864583333336</v>
      </c>
      <c r="BO149" s="165">
        <v>45179.892361111109</v>
      </c>
      <c r="BP149" s="165">
        <v>45179.895833333336</v>
      </c>
      <c r="BQ149" s="165">
        <v>45180.416666666664</v>
      </c>
      <c r="BT149" s="136">
        <f t="shared" si="74"/>
        <v>56.416666666686069</v>
      </c>
      <c r="BU149" s="136">
        <f t="shared" si="75"/>
        <v>15.833333333255723</v>
      </c>
      <c r="BV149" s="136">
        <f t="shared" si="76"/>
        <v>51</v>
      </c>
      <c r="BW149" s="136">
        <f t="shared" si="83"/>
        <v>32.000000000058208</v>
      </c>
      <c r="BX149" s="135">
        <f t="shared" si="77"/>
        <v>33.833333333430346</v>
      </c>
      <c r="BY149" s="135">
        <f t="shared" si="78"/>
        <v>12.499999999883585</v>
      </c>
      <c r="BZ149" s="134">
        <f t="shared" si="79"/>
        <v>8.3993055555547471</v>
      </c>
      <c r="CA149" s="134">
        <f t="shared" si="80"/>
        <v>19.493055555554747</v>
      </c>
      <c r="CB149" s="133">
        <f t="shared" si="81"/>
        <v>0.43088706804415167</v>
      </c>
    </row>
    <row r="150" spans="1:82" s="126" customFormat="1">
      <c r="A150" s="192">
        <f t="shared" si="68"/>
        <v>45168.434027777781</v>
      </c>
      <c r="B150" s="126" t="s">
        <v>188</v>
      </c>
      <c r="C150" s="126" t="s">
        <v>184</v>
      </c>
      <c r="D150" s="126" t="s">
        <v>197</v>
      </c>
      <c r="E150" s="65" t="s">
        <v>2740</v>
      </c>
      <c r="F150" s="65"/>
      <c r="G150" s="473">
        <v>45185.354166666664</v>
      </c>
      <c r="H150" s="473">
        <v>45185.354166666664</v>
      </c>
      <c r="I150" s="126" t="s">
        <v>818</v>
      </c>
      <c r="J150" s="126" t="s">
        <v>192</v>
      </c>
      <c r="K150" s="126" t="s">
        <v>192</v>
      </c>
      <c r="L150" s="126" t="s">
        <v>2741</v>
      </c>
      <c r="M150" s="167"/>
      <c r="N150" s="126" t="s">
        <v>383</v>
      </c>
      <c r="O150" s="126" t="s">
        <v>384</v>
      </c>
      <c r="P150" s="126" t="s">
        <v>184</v>
      </c>
      <c r="Q150" s="181">
        <f>2205*2.4</f>
        <v>5292</v>
      </c>
      <c r="R150" s="181">
        <f>5300+100</f>
        <v>5400</v>
      </c>
      <c r="S150" s="181">
        <v>5201.0159999999996</v>
      </c>
      <c r="T150" s="181"/>
      <c r="V150" s="172"/>
      <c r="AU150" s="181">
        <f>S150</f>
        <v>5201.0159999999996</v>
      </c>
      <c r="AX150" s="165">
        <f t="shared" si="70"/>
        <v>45162.9375</v>
      </c>
      <c r="AY150" s="165">
        <f t="shared" si="71"/>
        <v>45182.555555555555</v>
      </c>
      <c r="AZ150" s="137">
        <f t="shared" si="72"/>
        <v>19.618055555554747</v>
      </c>
      <c r="BA150" s="165">
        <v>45162.9375</v>
      </c>
      <c r="BB150" s="165">
        <v>45164.586805555555</v>
      </c>
      <c r="BC150" s="165">
        <v>45166.833333333336</v>
      </c>
      <c r="BD150" s="165">
        <v>45168.434027777781</v>
      </c>
      <c r="BE150" s="165">
        <v>45168.972222222219</v>
      </c>
      <c r="BF150" s="165">
        <v>45169.055555555555</v>
      </c>
      <c r="BG150" s="165">
        <v>45169.055555555555</v>
      </c>
      <c r="BH150" s="165">
        <f t="shared" si="82"/>
        <v>45171.180555555555</v>
      </c>
      <c r="BI150" s="210">
        <v>45171.25</v>
      </c>
      <c r="BJ150" s="210">
        <v>45171.416666608799</v>
      </c>
      <c r="BK150" s="210">
        <v>45171.309027777781</v>
      </c>
      <c r="BL150" s="165">
        <v>45172.833333333336</v>
      </c>
      <c r="BM150" s="165">
        <v>45178.986111111109</v>
      </c>
      <c r="BN150" s="165">
        <v>45182.0625</v>
      </c>
      <c r="BO150" s="165">
        <v>45182.076388888891</v>
      </c>
      <c r="BP150" s="165">
        <v>45182.079861111109</v>
      </c>
      <c r="BQ150" s="165">
        <v>45182.555555555555</v>
      </c>
      <c r="BT150" s="136">
        <f t="shared" si="74"/>
        <v>53.916666666744277</v>
      </c>
      <c r="BU150" s="136">
        <f t="shared" si="75"/>
        <v>12.916666666511446</v>
      </c>
      <c r="BV150" s="136">
        <f t="shared" si="76"/>
        <v>51</v>
      </c>
      <c r="BW150" s="136">
        <f t="shared" si="83"/>
        <v>34.000001388892997</v>
      </c>
      <c r="BX150" s="135">
        <f t="shared" si="77"/>
        <v>73.833333333372138</v>
      </c>
      <c r="BY150" s="135">
        <f t="shared" si="78"/>
        <v>11.416666666686069</v>
      </c>
      <c r="BZ150" s="134">
        <f t="shared" si="79"/>
        <v>9.8784722800919553</v>
      </c>
      <c r="CA150" s="134">
        <f t="shared" si="80"/>
        <v>19.618055555554747</v>
      </c>
      <c r="CB150" s="133">
        <f t="shared" si="81"/>
        <v>0.50353982595869029</v>
      </c>
    </row>
    <row r="151" spans="1:82" s="126" customFormat="1">
      <c r="A151" s="192"/>
      <c r="D151" s="126" t="s">
        <v>215</v>
      </c>
      <c r="E151" s="65"/>
      <c r="G151" s="166"/>
      <c r="H151" s="166"/>
      <c r="J151" s="126" t="s">
        <v>2660</v>
      </c>
      <c r="L151" s="126" t="s">
        <v>2265</v>
      </c>
      <c r="M151" s="167"/>
      <c r="N151" s="126" t="s">
        <v>252</v>
      </c>
      <c r="O151" s="126" t="s">
        <v>253</v>
      </c>
      <c r="Q151" s="181">
        <f>3107*2.4</f>
        <v>7456.7999999999993</v>
      </c>
      <c r="R151" s="181">
        <f>7500+100</f>
        <v>7600</v>
      </c>
      <c r="S151" s="181"/>
      <c r="T151" s="181"/>
      <c r="AX151" s="165">
        <f t="shared" si="70"/>
        <v>45139</v>
      </c>
      <c r="AY151" s="165">
        <f t="shared" si="71"/>
        <v>45166.708333333336</v>
      </c>
      <c r="AZ151" s="137">
        <f t="shared" si="72"/>
        <v>27.708333333335759</v>
      </c>
      <c r="BA151" s="165">
        <v>45139</v>
      </c>
      <c r="BB151" s="165"/>
      <c r="BC151" s="165"/>
      <c r="BD151" s="165"/>
      <c r="BE151" s="165"/>
      <c r="BF151" s="165"/>
      <c r="BG151" s="165"/>
      <c r="BH151" s="165"/>
      <c r="BI151" s="165"/>
      <c r="BJ151" s="165"/>
      <c r="BK151" s="166"/>
      <c r="BL151" s="165"/>
      <c r="BM151" s="165"/>
      <c r="BN151" s="165"/>
      <c r="BO151" s="165"/>
      <c r="BP151" s="165"/>
      <c r="BQ151" s="165">
        <v>45166.708333333336</v>
      </c>
      <c r="BR151" s="126" t="s">
        <v>2742</v>
      </c>
      <c r="BT151" s="136">
        <f t="shared" si="74"/>
        <v>0</v>
      </c>
      <c r="BU151" s="136">
        <f t="shared" si="75"/>
        <v>0</v>
      </c>
      <c r="BV151" s="136">
        <f t="shared" si="76"/>
        <v>0</v>
      </c>
      <c r="BW151" s="136">
        <f t="shared" si="83"/>
        <v>0</v>
      </c>
      <c r="BX151" s="135">
        <f t="shared" si="77"/>
        <v>0</v>
      </c>
      <c r="BY151" s="135">
        <f t="shared" si="78"/>
        <v>1084001</v>
      </c>
      <c r="BZ151" s="134">
        <f t="shared" si="79"/>
        <v>45166.708333333336</v>
      </c>
      <c r="CA151" s="134">
        <f t="shared" si="80"/>
        <v>27.708333333335759</v>
      </c>
      <c r="CB151" s="133">
        <f t="shared" si="81"/>
        <v>1630.0766917291808</v>
      </c>
    </row>
    <row r="152" spans="1:82" s="126" customFormat="1">
      <c r="A152" s="192">
        <f t="shared" ref="A152:A190" si="84">BD152</f>
        <v>45139.738194444442</v>
      </c>
      <c r="B152" s="126" t="s">
        <v>228</v>
      </c>
      <c r="C152" s="126" t="s">
        <v>229</v>
      </c>
      <c r="D152" s="126" t="s">
        <v>197</v>
      </c>
      <c r="E152" s="65" t="s">
        <v>2253</v>
      </c>
      <c r="G152" s="165">
        <v>45141.875</v>
      </c>
      <c r="H152" s="165">
        <v>45141.866666666669</v>
      </c>
      <c r="I152" s="126" t="s">
        <v>490</v>
      </c>
      <c r="J152" s="126" t="s">
        <v>192</v>
      </c>
      <c r="K152" s="126" t="s">
        <v>192</v>
      </c>
      <c r="L152" s="126" t="s">
        <v>2266</v>
      </c>
      <c r="M152" s="167"/>
      <c r="N152" s="126" t="s">
        <v>2388</v>
      </c>
      <c r="O152" s="126" t="s">
        <v>289</v>
      </c>
      <c r="P152" s="126" t="s">
        <v>494</v>
      </c>
      <c r="Q152" s="181">
        <f>3107*2.4</f>
        <v>7456.7999999999993</v>
      </c>
      <c r="R152" s="181">
        <f>7500+100</f>
        <v>7600</v>
      </c>
      <c r="S152" s="181">
        <v>6069.1930000000002</v>
      </c>
      <c r="T152" s="181"/>
      <c r="U152" s="181">
        <f t="shared" ref="U152:U190" si="85">S152</f>
        <v>6069.1930000000002</v>
      </c>
      <c r="AX152" s="165">
        <f t="shared" si="70"/>
        <v>45132.583333333336</v>
      </c>
      <c r="AY152" s="165">
        <f t="shared" si="71"/>
        <v>45150.979166666664</v>
      </c>
      <c r="AZ152" s="137">
        <f t="shared" si="72"/>
        <v>18.395833333328483</v>
      </c>
      <c r="BA152" s="165">
        <v>45132.583333333336</v>
      </c>
      <c r="BB152" s="165">
        <v>45133.631944444445</v>
      </c>
      <c r="BC152" s="165">
        <v>45137.333333333336</v>
      </c>
      <c r="BD152" s="165">
        <v>45139.738194444442</v>
      </c>
      <c r="BE152" s="165">
        <v>45139.895833333336</v>
      </c>
      <c r="BF152" s="165">
        <v>45139.902777777781</v>
      </c>
      <c r="BG152" s="165">
        <v>45140.263888888891</v>
      </c>
      <c r="BH152" s="165">
        <f t="shared" ref="BH152:BH190" si="86">BG152+(41/24)</f>
        <v>45141.972222222226</v>
      </c>
      <c r="BI152" s="165">
        <v>45142.25</v>
      </c>
      <c r="BJ152" s="165">
        <v>45142.416666608799</v>
      </c>
      <c r="BK152" s="165">
        <v>45142.361111111109</v>
      </c>
      <c r="BL152" s="165">
        <v>45143.5</v>
      </c>
      <c r="BM152" s="165">
        <v>45149.822916666664</v>
      </c>
      <c r="BN152" s="165">
        <v>45150.052083333336</v>
      </c>
      <c r="BO152" s="165">
        <v>45150.072916666664</v>
      </c>
      <c r="BP152" s="165">
        <v>45150.072916666664</v>
      </c>
      <c r="BQ152" s="165">
        <v>45150.979166666664</v>
      </c>
      <c r="BR152" s="126" t="s">
        <v>2743</v>
      </c>
      <c r="BT152" s="136">
        <f t="shared" si="74"/>
        <v>88.833333333372138</v>
      </c>
      <c r="BU152" s="136">
        <f t="shared" si="75"/>
        <v>3.7833333334419876</v>
      </c>
      <c r="BV152" s="136">
        <f t="shared" si="76"/>
        <v>41.000000000058208</v>
      </c>
      <c r="BW152" s="136">
        <f t="shared" si="83"/>
        <v>26.000001388834789</v>
      </c>
      <c r="BX152" s="135">
        <f t="shared" si="77"/>
        <v>5.5000000001164153</v>
      </c>
      <c r="BY152" s="135">
        <f t="shared" si="78"/>
        <v>21.75</v>
      </c>
      <c r="BZ152" s="134">
        <f t="shared" si="79"/>
        <v>7.7861111689926474</v>
      </c>
      <c r="CA152" s="134">
        <f t="shared" si="80"/>
        <v>18.395833333328483</v>
      </c>
      <c r="CB152" s="133">
        <f t="shared" si="81"/>
        <v>0.42325406128170512</v>
      </c>
    </row>
    <row r="153" spans="1:82" s="126" customFormat="1">
      <c r="A153" s="192">
        <f t="shared" si="84"/>
        <v>45139.925694444442</v>
      </c>
      <c r="B153" s="126" t="s">
        <v>228</v>
      </c>
      <c r="C153" s="126" t="s">
        <v>229</v>
      </c>
      <c r="D153" s="126" t="s">
        <v>215</v>
      </c>
      <c r="E153" s="65" t="s">
        <v>2253</v>
      </c>
      <c r="G153" s="165">
        <v>45141.875</v>
      </c>
      <c r="H153" s="165">
        <v>45141.866666666669</v>
      </c>
      <c r="I153" s="126" t="s">
        <v>490</v>
      </c>
      <c r="J153" s="126" t="s">
        <v>192</v>
      </c>
      <c r="K153" s="126" t="s">
        <v>192</v>
      </c>
      <c r="L153" s="126" t="s">
        <v>2744</v>
      </c>
      <c r="M153" s="167"/>
      <c r="N153" s="126" t="s">
        <v>1230</v>
      </c>
      <c r="O153" s="126" t="s">
        <v>1231</v>
      </c>
      <c r="P153" s="126" t="s">
        <v>494</v>
      </c>
      <c r="Q153" s="181">
        <f>3107*2.4</f>
        <v>7456.7999999999993</v>
      </c>
      <c r="R153" s="181">
        <f>7500+100</f>
        <v>7600</v>
      </c>
      <c r="S153" s="181">
        <f>5874.384-3367.753</f>
        <v>2506.6309999999999</v>
      </c>
      <c r="T153" s="181"/>
      <c r="U153" s="181">
        <f t="shared" si="85"/>
        <v>2506.6309999999999</v>
      </c>
      <c r="AX153" s="165">
        <f t="shared" si="70"/>
        <v>45134.333333333336</v>
      </c>
      <c r="AY153" s="165">
        <f t="shared" si="71"/>
        <v>45150.375</v>
      </c>
      <c r="AZ153" s="137">
        <f t="shared" si="72"/>
        <v>16.041666666664241</v>
      </c>
      <c r="BA153" s="165">
        <v>45134.333333333336</v>
      </c>
      <c r="BB153" s="165">
        <v>45135.586805555555</v>
      </c>
      <c r="BC153" s="165">
        <v>45137.354166666664</v>
      </c>
      <c r="BD153" s="165">
        <v>45139.925694444442</v>
      </c>
      <c r="BE153" s="165">
        <v>45140.052083333336</v>
      </c>
      <c r="BF153" s="165">
        <v>45140.069444444445</v>
      </c>
      <c r="BG153" s="165">
        <v>45140.069444444445</v>
      </c>
      <c r="BH153" s="165">
        <f t="shared" si="86"/>
        <v>45141.777777777781</v>
      </c>
      <c r="BI153" s="165">
        <v>45142.25</v>
      </c>
      <c r="BJ153" s="165">
        <v>45142.416666608799</v>
      </c>
      <c r="BK153" s="165">
        <v>45142.315972222219</v>
      </c>
      <c r="BL153" s="165">
        <v>45143.513888888891</v>
      </c>
      <c r="BM153" s="165">
        <v>45150.114583333336</v>
      </c>
      <c r="BN153" s="165">
        <v>45150.298611111109</v>
      </c>
      <c r="BO153" s="165">
        <v>45150.375</v>
      </c>
      <c r="BP153" s="165">
        <v>45150.375</v>
      </c>
      <c r="BQ153" s="165">
        <v>45150.375</v>
      </c>
      <c r="BT153" s="136">
        <f t="shared" si="74"/>
        <v>42.416666666627862</v>
      </c>
      <c r="BU153" s="136">
        <f t="shared" si="75"/>
        <v>3.0333333334419876</v>
      </c>
      <c r="BV153" s="136">
        <f t="shared" si="76"/>
        <v>41.000000000058208</v>
      </c>
      <c r="BW153" s="136">
        <f t="shared" si="83"/>
        <v>26.333334722206928</v>
      </c>
      <c r="BX153" s="135">
        <f t="shared" si="77"/>
        <v>4.4166666665696539</v>
      </c>
      <c r="BY153" s="135">
        <f t="shared" si="78"/>
        <v>0</v>
      </c>
      <c r="BZ153" s="134">
        <f t="shared" si="79"/>
        <v>4.8833333912043599</v>
      </c>
      <c r="CA153" s="134">
        <f t="shared" si="80"/>
        <v>16.041666666664241</v>
      </c>
      <c r="CB153" s="133">
        <f t="shared" si="81"/>
        <v>0.30441558802317498</v>
      </c>
    </row>
    <row r="154" spans="1:82" s="126" customFormat="1">
      <c r="A154" s="192">
        <f t="shared" si="84"/>
        <v>45139.925694444442</v>
      </c>
      <c r="B154" s="126" t="s">
        <v>228</v>
      </c>
      <c r="C154" s="126" t="s">
        <v>229</v>
      </c>
      <c r="D154" s="126" t="s">
        <v>215</v>
      </c>
      <c r="E154" s="65" t="s">
        <v>745</v>
      </c>
      <c r="G154" s="165">
        <v>45146.677083333336</v>
      </c>
      <c r="H154" s="165">
        <v>45146.686805555553</v>
      </c>
      <c r="I154" s="126" t="s">
        <v>490</v>
      </c>
      <c r="J154" s="126" t="s">
        <v>192</v>
      </c>
      <c r="K154" s="126" t="s">
        <v>192</v>
      </c>
      <c r="L154" s="126" t="s">
        <v>2744</v>
      </c>
      <c r="M154" s="167"/>
      <c r="N154" s="126" t="s">
        <v>1230</v>
      </c>
      <c r="O154" s="126" t="s">
        <v>1231</v>
      </c>
      <c r="P154" s="126" t="s">
        <v>494</v>
      </c>
      <c r="Q154" s="181">
        <f>3107*2.4</f>
        <v>7456.7999999999993</v>
      </c>
      <c r="R154" s="181">
        <f>7500+100</f>
        <v>7600</v>
      </c>
      <c r="S154" s="181">
        <v>3018.2429999999999</v>
      </c>
      <c r="T154" s="181"/>
      <c r="U154" s="181">
        <f t="shared" si="85"/>
        <v>3018.2429999999999</v>
      </c>
      <c r="AX154" s="165">
        <f t="shared" si="70"/>
        <v>45134.333333333336</v>
      </c>
      <c r="AY154" s="165">
        <f t="shared" si="71"/>
        <v>45150.895833333336</v>
      </c>
      <c r="AZ154" s="137">
        <f t="shared" si="72"/>
        <v>16.5625</v>
      </c>
      <c r="BA154" s="165">
        <v>45134.333333333336</v>
      </c>
      <c r="BB154" s="165">
        <v>45135.586805555555</v>
      </c>
      <c r="BC154" s="165">
        <v>45137.354166666664</v>
      </c>
      <c r="BD154" s="165">
        <v>45139.925694444442</v>
      </c>
      <c r="BE154" s="165">
        <v>45140.052083333336</v>
      </c>
      <c r="BF154" s="165">
        <v>45140.069444444445</v>
      </c>
      <c r="BG154" s="165">
        <v>45140.069444444445</v>
      </c>
      <c r="BH154" s="165">
        <f t="shared" si="86"/>
        <v>45141.777777777781</v>
      </c>
      <c r="BI154" s="165">
        <v>45142.25</v>
      </c>
      <c r="BJ154" s="165">
        <v>45142.416666608799</v>
      </c>
      <c r="BK154" s="165">
        <v>45142.315972222219</v>
      </c>
      <c r="BL154" s="165">
        <v>45150.375</v>
      </c>
      <c r="BM154" s="165">
        <v>45150.479166666664</v>
      </c>
      <c r="BN154" s="165">
        <v>45150.590277777781</v>
      </c>
      <c r="BO154" s="165">
        <v>45150.614583333336</v>
      </c>
      <c r="BP154" s="165">
        <v>45150.614583333336</v>
      </c>
      <c r="BQ154" s="165">
        <v>45150.895833333336</v>
      </c>
      <c r="BT154" s="136">
        <f t="shared" si="74"/>
        <v>42.416666666627862</v>
      </c>
      <c r="BU154" s="136">
        <f t="shared" si="75"/>
        <v>3.0333333334419876</v>
      </c>
      <c r="BV154" s="136">
        <f t="shared" si="76"/>
        <v>41.000000000058208</v>
      </c>
      <c r="BW154" s="136">
        <f t="shared" si="83"/>
        <v>191.00000138883479</v>
      </c>
      <c r="BX154" s="135">
        <f t="shared" si="77"/>
        <v>2.6666666668024845</v>
      </c>
      <c r="BY154" s="135">
        <f t="shared" si="78"/>
        <v>6.75</v>
      </c>
      <c r="BZ154" s="134">
        <f t="shared" si="79"/>
        <v>11.952777835656889</v>
      </c>
      <c r="CA154" s="134">
        <f t="shared" si="80"/>
        <v>16.5625</v>
      </c>
      <c r="CB154" s="133">
        <f t="shared" si="81"/>
        <v>0.72167715234154806</v>
      </c>
    </row>
    <row r="155" spans="1:82" s="126" customFormat="1" ht="15" customHeight="1">
      <c r="A155" s="192">
        <f t="shared" si="84"/>
        <v>45140.668749999997</v>
      </c>
      <c r="B155" s="126" t="s">
        <v>228</v>
      </c>
      <c r="C155" s="126" t="s">
        <v>229</v>
      </c>
      <c r="D155" s="126" t="s">
        <v>215</v>
      </c>
      <c r="E155" s="65" t="s">
        <v>2226</v>
      </c>
      <c r="G155" s="316">
        <v>45140.875</v>
      </c>
      <c r="H155" s="316">
        <v>45140.872916666667</v>
      </c>
      <c r="I155" s="126" t="s">
        <v>497</v>
      </c>
      <c r="J155" s="126" t="s">
        <v>192</v>
      </c>
      <c r="K155" s="126" t="s">
        <v>192</v>
      </c>
      <c r="L155" s="126" t="s">
        <v>2231</v>
      </c>
      <c r="M155" s="167"/>
      <c r="N155" s="126" t="s">
        <v>403</v>
      </c>
      <c r="O155" s="126" t="s">
        <v>404</v>
      </c>
      <c r="P155" s="126" t="s">
        <v>2217</v>
      </c>
      <c r="Q155" s="181">
        <f>3107*2.4</f>
        <v>7456.7999999999993</v>
      </c>
      <c r="R155" s="181">
        <f>7500+100</f>
        <v>7600</v>
      </c>
      <c r="S155" s="181">
        <v>6108.8509999999997</v>
      </c>
      <c r="T155" s="181"/>
      <c r="U155" s="181">
        <f t="shared" si="85"/>
        <v>6108.8509999999997</v>
      </c>
      <c r="AX155" s="165">
        <f t="shared" si="70"/>
        <v>45134.840277777781</v>
      </c>
      <c r="AY155" s="165">
        <f t="shared" si="71"/>
        <v>45146.486111111109</v>
      </c>
      <c r="AZ155" s="137">
        <f t="shared" si="72"/>
        <v>11.645833333328483</v>
      </c>
      <c r="BA155" s="165">
        <v>45134.840277777781</v>
      </c>
      <c r="BB155" s="165">
        <v>45136.336805555555</v>
      </c>
      <c r="BC155" s="165">
        <v>45137.920138888891</v>
      </c>
      <c r="BD155" s="165">
        <v>45140.668749999997</v>
      </c>
      <c r="BE155" s="165">
        <v>45140.840277777781</v>
      </c>
      <c r="BF155" s="165">
        <v>45140.847222222219</v>
      </c>
      <c r="BG155" s="165">
        <v>45140.847222222219</v>
      </c>
      <c r="BH155" s="165">
        <f t="shared" si="86"/>
        <v>45142.555555555555</v>
      </c>
      <c r="BI155" s="165">
        <v>45143.25</v>
      </c>
      <c r="BJ155" s="165">
        <v>45143.416666608799</v>
      </c>
      <c r="BK155" s="165">
        <v>45143.28125</v>
      </c>
      <c r="BL155" s="165">
        <v>45144.600694444445</v>
      </c>
      <c r="BM155" s="165">
        <v>45144.986111111109</v>
      </c>
      <c r="BN155" s="165">
        <v>45145.145833333336</v>
      </c>
      <c r="BO155" s="165">
        <v>45145.229166666664</v>
      </c>
      <c r="BP155" s="165">
        <v>45145.902777777781</v>
      </c>
      <c r="BQ155" s="165">
        <v>45146.486111111109</v>
      </c>
      <c r="BT155" s="136">
        <f t="shared" si="74"/>
        <v>38.000000000058208</v>
      </c>
      <c r="BU155" s="136">
        <f t="shared" si="75"/>
        <v>4.1166666668141261</v>
      </c>
      <c r="BV155" s="136">
        <f t="shared" si="76"/>
        <v>41.000000000058208</v>
      </c>
      <c r="BW155" s="136">
        <f t="shared" si="83"/>
        <v>28.416668055520859</v>
      </c>
      <c r="BX155" s="135">
        <f t="shared" si="77"/>
        <v>3.8333333334303461</v>
      </c>
      <c r="BY155" s="135">
        <f t="shared" si="78"/>
        <v>13.999999999883585</v>
      </c>
      <c r="BZ155" s="134">
        <f t="shared" si="79"/>
        <v>5.3902778356568888</v>
      </c>
      <c r="CA155" s="134">
        <f t="shared" si="80"/>
        <v>11.645833333328483</v>
      </c>
      <c r="CB155" s="133">
        <f t="shared" si="81"/>
        <v>0.46285033293674138</v>
      </c>
    </row>
    <row r="156" spans="1:82">
      <c r="A156" s="192">
        <f t="shared" si="84"/>
        <v>45142.232638888891</v>
      </c>
      <c r="B156" s="126" t="s">
        <v>228</v>
      </c>
      <c r="C156" s="126" t="s">
        <v>229</v>
      </c>
      <c r="D156" s="126" t="s">
        <v>197</v>
      </c>
      <c r="E156" s="65" t="s">
        <v>745</v>
      </c>
      <c r="F156" s="126"/>
      <c r="G156" s="165">
        <v>45146.677083333336</v>
      </c>
      <c r="H156" s="165">
        <v>45146.686805555553</v>
      </c>
      <c r="I156" s="126" t="s">
        <v>490</v>
      </c>
      <c r="J156" s="126" t="s">
        <v>192</v>
      </c>
      <c r="K156" s="126" t="s">
        <v>192</v>
      </c>
      <c r="L156" s="126" t="s">
        <v>2270</v>
      </c>
      <c r="M156" s="167"/>
      <c r="N156" s="126" t="s">
        <v>1848</v>
      </c>
      <c r="O156" s="126" t="s">
        <v>350</v>
      </c>
      <c r="P156" s="126" t="s">
        <v>494</v>
      </c>
      <c r="Q156" s="181">
        <f>3077*2.4</f>
        <v>7384.7999999999993</v>
      </c>
      <c r="R156" s="181">
        <f>7400+100</f>
        <v>7500</v>
      </c>
      <c r="S156" s="181">
        <v>6708.27</v>
      </c>
      <c r="T156" s="181"/>
      <c r="U156" s="181">
        <f t="shared" si="85"/>
        <v>6708.27</v>
      </c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65">
        <f t="shared" si="70"/>
        <v>45137.416666666664</v>
      </c>
      <c r="AY156" s="165">
        <f t="shared" si="71"/>
        <v>45147.791666666664</v>
      </c>
      <c r="AZ156" s="137">
        <f t="shared" si="72"/>
        <v>10.375</v>
      </c>
      <c r="BA156" s="165">
        <v>45137.416666666664</v>
      </c>
      <c r="BB156" s="165">
        <v>45138.774305555555</v>
      </c>
      <c r="BC156" s="165">
        <v>45140.277777777781</v>
      </c>
      <c r="BD156" s="165">
        <v>45142.232638888891</v>
      </c>
      <c r="BE156" s="165">
        <v>45142.409722222219</v>
      </c>
      <c r="BF156" s="165">
        <v>45142.420138888891</v>
      </c>
      <c r="BG156" s="165">
        <v>45142.420138888891</v>
      </c>
      <c r="BH156" s="165">
        <f t="shared" si="86"/>
        <v>45144.128472222226</v>
      </c>
      <c r="BI156" s="165">
        <v>45145.25</v>
      </c>
      <c r="BJ156" s="165">
        <v>45145.416666608799</v>
      </c>
      <c r="BK156" s="165">
        <v>45145.340277777781</v>
      </c>
      <c r="BL156" s="165">
        <v>45146.416666666664</v>
      </c>
      <c r="BM156" s="165">
        <v>45147.0625</v>
      </c>
      <c r="BN156" s="165">
        <v>45147.291666666664</v>
      </c>
      <c r="BO156" s="165">
        <v>45147.3125</v>
      </c>
      <c r="BP156" s="165">
        <v>45147.3125</v>
      </c>
      <c r="BQ156" s="165">
        <v>45147.791666666664</v>
      </c>
      <c r="BR156" s="126"/>
      <c r="BS156" s="126"/>
      <c r="BT156" s="136">
        <f t="shared" si="74"/>
        <v>36.083333333430346</v>
      </c>
      <c r="BU156" s="136">
        <f t="shared" si="75"/>
        <v>4.2499999998835847</v>
      </c>
      <c r="BV156" s="136">
        <f t="shared" si="76"/>
        <v>41.000000000058208</v>
      </c>
      <c r="BW156" s="136">
        <f t="shared" si="83"/>
        <v>24.000001388776582</v>
      </c>
      <c r="BX156" s="135">
        <f t="shared" si="77"/>
        <v>5.4999999999417923</v>
      </c>
      <c r="BY156" s="135">
        <f t="shared" si="78"/>
        <v>11.499999999941792</v>
      </c>
      <c r="BZ156" s="134">
        <f t="shared" si="79"/>
        <v>5.0972222800846794</v>
      </c>
      <c r="CA156" s="134">
        <f t="shared" si="80"/>
        <v>10.375</v>
      </c>
      <c r="CB156" s="133">
        <f t="shared" si="81"/>
        <v>0.49129853302021004</v>
      </c>
      <c r="CC156" s="126"/>
      <c r="CD156" s="126"/>
    </row>
    <row r="157" spans="1:82">
      <c r="A157" s="192">
        <f t="shared" si="84"/>
        <v>45142.46875</v>
      </c>
      <c r="B157" s="126" t="s">
        <v>228</v>
      </c>
      <c r="C157" s="126" t="s">
        <v>229</v>
      </c>
      <c r="D157" s="126" t="s">
        <v>197</v>
      </c>
      <c r="E157" s="65" t="s">
        <v>745</v>
      </c>
      <c r="F157" s="126"/>
      <c r="G157" s="165">
        <v>45146.677083333336</v>
      </c>
      <c r="H157" s="165">
        <v>45146.686805555553</v>
      </c>
      <c r="I157" s="126" t="s">
        <v>490</v>
      </c>
      <c r="J157" s="126" t="s">
        <v>192</v>
      </c>
      <c r="K157" s="126" t="s">
        <v>192</v>
      </c>
      <c r="L157" s="126" t="s">
        <v>2272</v>
      </c>
      <c r="M157" s="167"/>
      <c r="N157" s="126" t="s">
        <v>367</v>
      </c>
      <c r="O157" s="126" t="s">
        <v>368</v>
      </c>
      <c r="P157" s="126" t="s">
        <v>494</v>
      </c>
      <c r="Q157" s="181">
        <f>4111*2.4</f>
        <v>9866.4</v>
      </c>
      <c r="R157" s="181">
        <f>9900+100</f>
        <v>10000</v>
      </c>
      <c r="S157" s="181">
        <v>7680.17</v>
      </c>
      <c r="T157" s="181"/>
      <c r="U157" s="181">
        <f t="shared" si="85"/>
        <v>7680.17</v>
      </c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65">
        <f t="shared" si="70"/>
        <v>45137.715277777781</v>
      </c>
      <c r="AY157" s="165">
        <f t="shared" si="71"/>
        <v>45147.989583333336</v>
      </c>
      <c r="AZ157" s="137">
        <f t="shared" si="72"/>
        <v>10.274305555554747</v>
      </c>
      <c r="BA157" s="165">
        <v>45137.715277777781</v>
      </c>
      <c r="BB157" s="165">
        <v>45138.8125</v>
      </c>
      <c r="BC157" s="165">
        <v>45140.284722222219</v>
      </c>
      <c r="BD157" s="165">
        <v>45142.46875</v>
      </c>
      <c r="BE157" s="165">
        <v>45142.607638888891</v>
      </c>
      <c r="BF157" s="165">
        <v>45142.611111111109</v>
      </c>
      <c r="BG157" s="165">
        <v>45142.611111111109</v>
      </c>
      <c r="BH157" s="165">
        <f t="shared" si="86"/>
        <v>45144.319444444445</v>
      </c>
      <c r="BI157" s="165">
        <v>45145.25</v>
      </c>
      <c r="BJ157" s="165">
        <v>45145.416666608799</v>
      </c>
      <c r="BK157" s="165">
        <v>45145.378472222219</v>
      </c>
      <c r="BL157" s="165">
        <v>45146.666666666664</v>
      </c>
      <c r="BM157" s="165">
        <v>45147.333333333336</v>
      </c>
      <c r="BN157" s="165">
        <v>45147.569444444445</v>
      </c>
      <c r="BO157" s="165">
        <v>45147.604166666664</v>
      </c>
      <c r="BP157" s="165">
        <v>45147.784722222219</v>
      </c>
      <c r="BQ157" s="165">
        <v>45147.989583333336</v>
      </c>
      <c r="BR157" s="126"/>
      <c r="BS157" s="126"/>
      <c r="BT157" s="136">
        <f t="shared" si="74"/>
        <v>35.333333333255723</v>
      </c>
      <c r="BU157" s="136">
        <f t="shared" si="75"/>
        <v>3.3333333333721384</v>
      </c>
      <c r="BV157" s="136">
        <f t="shared" si="76"/>
        <v>41.000000000058208</v>
      </c>
      <c r="BW157" s="136">
        <f t="shared" si="83"/>
        <v>30.000001388776582</v>
      </c>
      <c r="BX157" s="135">
        <f t="shared" si="77"/>
        <v>5.6666666666278616</v>
      </c>
      <c r="BY157" s="135">
        <f t="shared" si="78"/>
        <v>4.9166666668024845</v>
      </c>
      <c r="BZ157" s="134">
        <f t="shared" si="79"/>
        <v>5.0104167245372082</v>
      </c>
      <c r="CA157" s="134">
        <f t="shared" si="80"/>
        <v>10.274305555554747</v>
      </c>
      <c r="CB157" s="133">
        <f t="shared" si="81"/>
        <v>0.48766475723786062</v>
      </c>
      <c r="CC157" s="126"/>
      <c r="CD157" s="126"/>
    </row>
    <row r="158" spans="1:82">
      <c r="A158" s="192">
        <f t="shared" si="84"/>
        <v>45143.170138888891</v>
      </c>
      <c r="B158" s="126" t="s">
        <v>228</v>
      </c>
      <c r="C158" s="126" t="s">
        <v>229</v>
      </c>
      <c r="D158" s="126" t="s">
        <v>215</v>
      </c>
      <c r="E158" s="65" t="s">
        <v>745</v>
      </c>
      <c r="F158" s="126"/>
      <c r="G158" s="165">
        <v>45146.677083333336</v>
      </c>
      <c r="H158" s="165">
        <v>45146.686805555553</v>
      </c>
      <c r="I158" s="126" t="s">
        <v>490</v>
      </c>
      <c r="J158" s="126" t="s">
        <v>192</v>
      </c>
      <c r="K158" s="126" t="s">
        <v>192</v>
      </c>
      <c r="L158" s="126" t="s">
        <v>2274</v>
      </c>
      <c r="M158" s="167"/>
      <c r="N158" s="126" t="s">
        <v>390</v>
      </c>
      <c r="O158" s="126" t="s">
        <v>391</v>
      </c>
      <c r="P158" s="126" t="s">
        <v>494</v>
      </c>
      <c r="Q158" s="181">
        <f>3097*2.4</f>
        <v>7432.7999999999993</v>
      </c>
      <c r="R158" s="181">
        <f>7450+100</f>
        <v>7550</v>
      </c>
      <c r="S158" s="181">
        <v>6481.0150000000003</v>
      </c>
      <c r="T158" s="181"/>
      <c r="U158" s="181">
        <f t="shared" si="85"/>
        <v>6481.0150000000003</v>
      </c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  <c r="AU158" s="126"/>
      <c r="AV158" s="126"/>
      <c r="AW158" s="126"/>
      <c r="AX158" s="165">
        <f t="shared" si="70"/>
        <v>45137.291666666664</v>
      </c>
      <c r="AY158" s="165">
        <f t="shared" si="71"/>
        <v>45148.291666666664</v>
      </c>
      <c r="AZ158" s="137">
        <f t="shared" si="72"/>
        <v>11</v>
      </c>
      <c r="BA158" s="165">
        <v>45137.291666666664</v>
      </c>
      <c r="BB158" s="165">
        <v>45139.559027777781</v>
      </c>
      <c r="BC158" s="165">
        <v>45141.083333333336</v>
      </c>
      <c r="BD158" s="165">
        <v>45143.170138888891</v>
      </c>
      <c r="BE158" s="165">
        <v>45143.350694444445</v>
      </c>
      <c r="BF158" s="165">
        <v>45143.364583333336</v>
      </c>
      <c r="BG158" s="165">
        <v>45143.364583333336</v>
      </c>
      <c r="BH158" s="165">
        <f t="shared" si="86"/>
        <v>45145.072916666672</v>
      </c>
      <c r="BI158" s="165">
        <v>45145.25</v>
      </c>
      <c r="BJ158" s="165">
        <v>45145.416666608799</v>
      </c>
      <c r="BK158" s="165">
        <v>45145.3125</v>
      </c>
      <c r="BL158" s="165">
        <v>45146.458333333336</v>
      </c>
      <c r="BM158" s="165">
        <v>45147.645833333336</v>
      </c>
      <c r="BN158" s="165">
        <v>45147.833333333336</v>
      </c>
      <c r="BO158" s="165">
        <v>45147.861111111109</v>
      </c>
      <c r="BP158" s="165">
        <v>45147.861111111109</v>
      </c>
      <c r="BQ158" s="165">
        <v>45148.291666666664</v>
      </c>
      <c r="BR158" s="126"/>
      <c r="BS158" s="126"/>
      <c r="BT158" s="136">
        <f t="shared" si="74"/>
        <v>36.583333333313931</v>
      </c>
      <c r="BU158" s="136">
        <f t="shared" si="75"/>
        <v>4.3333333333139308</v>
      </c>
      <c r="BV158" s="136">
        <f t="shared" si="76"/>
        <v>41.000000000058208</v>
      </c>
      <c r="BW158" s="136">
        <f t="shared" si="83"/>
        <v>25.000001388892997</v>
      </c>
      <c r="BX158" s="135">
        <f t="shared" si="77"/>
        <v>4.5</v>
      </c>
      <c r="BY158" s="135">
        <f t="shared" si="78"/>
        <v>10.333333333313931</v>
      </c>
      <c r="BZ158" s="134">
        <f t="shared" si="79"/>
        <v>5.0729167245372082</v>
      </c>
      <c r="CA158" s="134">
        <f t="shared" si="80"/>
        <v>11</v>
      </c>
      <c r="CB158" s="133">
        <f t="shared" si="81"/>
        <v>0.46117424768520077</v>
      </c>
      <c r="CC158" s="126"/>
      <c r="CD158" s="126"/>
    </row>
    <row r="159" spans="1:82">
      <c r="A159" s="192">
        <f t="shared" si="84"/>
        <v>45143.576388888891</v>
      </c>
      <c r="B159" s="126" t="s">
        <v>228</v>
      </c>
      <c r="C159" s="126" t="s">
        <v>229</v>
      </c>
      <c r="D159" s="126" t="s">
        <v>197</v>
      </c>
      <c r="E159" s="65" t="s">
        <v>745</v>
      </c>
      <c r="F159" s="126"/>
      <c r="G159" s="165">
        <v>45146.677083333336</v>
      </c>
      <c r="H159" s="165">
        <v>45146.686805555553</v>
      </c>
      <c r="I159" s="126" t="s">
        <v>490</v>
      </c>
      <c r="J159" s="126" t="s">
        <v>192</v>
      </c>
      <c r="K159" s="126" t="s">
        <v>192</v>
      </c>
      <c r="L159" s="126" t="s">
        <v>2281</v>
      </c>
      <c r="M159" s="167"/>
      <c r="N159" s="126" t="s">
        <v>361</v>
      </c>
      <c r="O159" s="126" t="s">
        <v>362</v>
      </c>
      <c r="P159" s="126" t="s">
        <v>494</v>
      </c>
      <c r="Q159" s="181">
        <f>3039*2.4</f>
        <v>7293.5999999999995</v>
      </c>
      <c r="R159" s="181">
        <f>7300+100</f>
        <v>7400</v>
      </c>
      <c r="S159" s="181">
        <f>6404.037-1426.328</f>
        <v>4977.7090000000007</v>
      </c>
      <c r="T159" s="181"/>
      <c r="U159" s="181">
        <f t="shared" si="85"/>
        <v>4977.7090000000007</v>
      </c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65">
        <f t="shared" si="70"/>
        <v>45137.510416666664</v>
      </c>
      <c r="AY159" s="165">
        <f t="shared" si="71"/>
        <v>45151.166666666664</v>
      </c>
      <c r="AZ159" s="137">
        <f t="shared" si="72"/>
        <v>13.65625</v>
      </c>
      <c r="BA159" s="165">
        <v>45137.510416666664</v>
      </c>
      <c r="BB159" s="165">
        <v>45139.607638888891</v>
      </c>
      <c r="BC159" s="165">
        <v>45141.125</v>
      </c>
      <c r="BD159" s="165">
        <v>45143.576388888891</v>
      </c>
      <c r="BE159" s="165">
        <v>45143.701388888891</v>
      </c>
      <c r="BF159" s="165">
        <v>45143.704861111109</v>
      </c>
      <c r="BG159" s="165">
        <v>45143.704861111109</v>
      </c>
      <c r="BH159" s="165">
        <f t="shared" si="86"/>
        <v>45145.413194444445</v>
      </c>
      <c r="BI159" s="165">
        <v>45145.25</v>
      </c>
      <c r="BJ159" s="165">
        <v>45145.416666608799</v>
      </c>
      <c r="BK159" s="165">
        <v>45145.423611111109</v>
      </c>
      <c r="BL159" s="165">
        <v>45146.625</v>
      </c>
      <c r="BM159" s="165">
        <v>45150.614583333336</v>
      </c>
      <c r="BN159" s="165">
        <v>45150.798611111109</v>
      </c>
      <c r="BO159" s="165">
        <v>45150.864583333336</v>
      </c>
      <c r="BP159" s="165">
        <v>45150.864583333336</v>
      </c>
      <c r="BQ159" s="165">
        <v>45151.166666666664</v>
      </c>
      <c r="BR159" s="126"/>
      <c r="BS159" s="126"/>
      <c r="BT159" s="136">
        <f t="shared" si="74"/>
        <v>36.416666666627862</v>
      </c>
      <c r="BU159" s="136">
        <f t="shared" si="75"/>
        <v>3</v>
      </c>
      <c r="BV159" s="136">
        <f t="shared" si="76"/>
        <v>41.000000000058208</v>
      </c>
      <c r="BW159" s="136">
        <f t="shared" si="83"/>
        <v>29.000001388834789</v>
      </c>
      <c r="BX159" s="135">
        <f t="shared" si="77"/>
        <v>4.4166666665696539</v>
      </c>
      <c r="BY159" s="135">
        <f t="shared" si="78"/>
        <v>7.2499999998835847</v>
      </c>
      <c r="BZ159" s="134">
        <f t="shared" si="79"/>
        <v>5.0451389467489207</v>
      </c>
      <c r="CA159" s="134">
        <f t="shared" si="80"/>
        <v>13.65625</v>
      </c>
      <c r="CB159" s="133">
        <f t="shared" si="81"/>
        <v>0.36943809221044727</v>
      </c>
      <c r="CC159" s="126"/>
      <c r="CD159" s="126"/>
    </row>
    <row r="160" spans="1:82" s="126" customFormat="1">
      <c r="A160" s="192">
        <f t="shared" si="84"/>
        <v>45143.427083333336</v>
      </c>
      <c r="B160" s="126" t="s">
        <v>228</v>
      </c>
      <c r="C160" s="126" t="s">
        <v>229</v>
      </c>
      <c r="D160" s="285" t="s">
        <v>1248</v>
      </c>
      <c r="E160" s="65" t="s">
        <v>745</v>
      </c>
      <c r="G160" s="165">
        <v>45146.677083333336</v>
      </c>
      <c r="H160" s="165">
        <v>45146.686805555553</v>
      </c>
      <c r="I160" s="126" t="s">
        <v>490</v>
      </c>
      <c r="J160" s="126" t="s">
        <v>192</v>
      </c>
      <c r="K160" s="126" t="s">
        <v>192</v>
      </c>
      <c r="L160" s="126" t="s">
        <v>2276</v>
      </c>
      <c r="M160" s="167"/>
      <c r="N160" s="126" t="s">
        <v>2277</v>
      </c>
      <c r="O160" s="126" t="s">
        <v>2278</v>
      </c>
      <c r="P160" s="126" t="s">
        <v>494</v>
      </c>
      <c r="Q160" s="181">
        <f>3099 *2.4</f>
        <v>7437.5999999999995</v>
      </c>
      <c r="R160" s="181">
        <f>7500+100</f>
        <v>7600</v>
      </c>
      <c r="S160" s="181">
        <v>6581.2520000000004</v>
      </c>
      <c r="T160" s="181"/>
      <c r="U160" s="181">
        <f t="shared" si="85"/>
        <v>6581.2520000000004</v>
      </c>
      <c r="AX160" s="165">
        <f t="shared" si="70"/>
        <v>45141.770833333336</v>
      </c>
      <c r="AY160" s="165">
        <f t="shared" si="71"/>
        <v>45148.131944444445</v>
      </c>
      <c r="AZ160" s="137">
        <f t="shared" si="72"/>
        <v>6.3611111111094942</v>
      </c>
      <c r="BA160" s="165">
        <v>45141.770833333336</v>
      </c>
      <c r="BB160" s="165">
        <v>45141.770833333336</v>
      </c>
      <c r="BC160" s="165">
        <v>45141.770833333336</v>
      </c>
      <c r="BD160" s="165">
        <v>45143.427083333336</v>
      </c>
      <c r="BE160" s="165">
        <v>45143.548611111109</v>
      </c>
      <c r="BF160" s="165">
        <v>45143.552083333336</v>
      </c>
      <c r="BG160" s="165">
        <v>45143.552083333336</v>
      </c>
      <c r="BH160" s="165">
        <f t="shared" si="86"/>
        <v>45145.260416666672</v>
      </c>
      <c r="BI160" s="165">
        <v>45146.229166608799</v>
      </c>
      <c r="BJ160" s="165">
        <v>45146.395833333336</v>
      </c>
      <c r="BK160" s="166" t="s">
        <v>64</v>
      </c>
      <c r="BL160" s="165">
        <v>45147.75</v>
      </c>
      <c r="BM160" s="165">
        <v>45147.881944444445</v>
      </c>
      <c r="BN160" s="165">
        <v>45148.104166666664</v>
      </c>
      <c r="BO160" s="165">
        <v>45148.131944444445</v>
      </c>
      <c r="BP160" s="165">
        <v>45148.131944444445</v>
      </c>
      <c r="BQ160" s="165">
        <v>45148.131944444445</v>
      </c>
      <c r="BT160" s="136">
        <f t="shared" si="74"/>
        <v>0</v>
      </c>
      <c r="BU160" s="136">
        <f t="shared" si="75"/>
        <v>2.9166666665696539</v>
      </c>
      <c r="BV160" s="136">
        <f t="shared" si="76"/>
        <v>41.000000000058208</v>
      </c>
      <c r="BW160" s="136">
        <f t="shared" si="83"/>
        <v>32.499999999941792</v>
      </c>
      <c r="BX160" s="135">
        <f t="shared" si="77"/>
        <v>5.3333333332557231</v>
      </c>
      <c r="BY160" s="135">
        <f t="shared" si="78"/>
        <v>0</v>
      </c>
      <c r="BZ160" s="134">
        <f t="shared" si="79"/>
        <v>3.406249999992724</v>
      </c>
      <c r="CA160" s="134">
        <f t="shared" si="80"/>
        <v>6.3611111111094942</v>
      </c>
      <c r="CB160" s="133">
        <f t="shared" si="81"/>
        <v>0.53548034934397049</v>
      </c>
    </row>
    <row r="161" spans="1:80" s="126" customFormat="1">
      <c r="A161" s="192">
        <f t="shared" si="84"/>
        <v>45143.729166666664</v>
      </c>
      <c r="B161" s="126" t="s">
        <v>228</v>
      </c>
      <c r="C161" s="126" t="s">
        <v>229</v>
      </c>
      <c r="D161" s="126" t="s">
        <v>197</v>
      </c>
      <c r="E161" s="65" t="s">
        <v>2355</v>
      </c>
      <c r="G161" s="165">
        <v>45152.916666666664</v>
      </c>
      <c r="H161" s="165">
        <v>45152.850694444445</v>
      </c>
      <c r="I161" s="126" t="s">
        <v>507</v>
      </c>
      <c r="J161" s="126" t="s">
        <v>192</v>
      </c>
      <c r="K161" s="126" t="s">
        <v>192</v>
      </c>
      <c r="L161" s="126" t="s">
        <v>2360</v>
      </c>
      <c r="M161" s="167"/>
      <c r="N161" s="126" t="s">
        <v>2207</v>
      </c>
      <c r="O161" s="126" t="s">
        <v>2208</v>
      </c>
      <c r="P161" s="126" t="s">
        <v>494</v>
      </c>
      <c r="Q161" s="181">
        <f>3031*2.4</f>
        <v>7274.4</v>
      </c>
      <c r="R161" s="181">
        <f>7300+100</f>
        <v>7400</v>
      </c>
      <c r="S161" s="181">
        <v>6003.3289999999997</v>
      </c>
      <c r="T161" s="181"/>
      <c r="U161" s="181">
        <f t="shared" si="85"/>
        <v>6003.3289999999997</v>
      </c>
      <c r="AX161" s="165">
        <f t="shared" si="70"/>
        <v>45139.645833333336</v>
      </c>
      <c r="AY161" s="165">
        <f t="shared" si="71"/>
        <v>45157.833333333336</v>
      </c>
      <c r="AZ161" s="137">
        <f t="shared" si="72"/>
        <v>18.1875</v>
      </c>
      <c r="BA161" s="165">
        <v>45139.645833333336</v>
      </c>
      <c r="BB161" s="165">
        <v>45140.618055555555</v>
      </c>
      <c r="BC161" s="165">
        <v>45142.041666666664</v>
      </c>
      <c r="BD161" s="165">
        <v>45143.729166666664</v>
      </c>
      <c r="BE161" s="165">
        <v>45143.913194444445</v>
      </c>
      <c r="BF161" s="165">
        <v>45143.920138888891</v>
      </c>
      <c r="BG161" s="165">
        <v>45144.25</v>
      </c>
      <c r="BH161" s="165">
        <f t="shared" si="86"/>
        <v>45145.958333333336</v>
      </c>
      <c r="BI161" s="210">
        <v>45148.291666608799</v>
      </c>
      <c r="BJ161" s="210">
        <v>45148.458333333336</v>
      </c>
      <c r="BK161" s="354">
        <v>45148.434027777781</v>
      </c>
      <c r="BL161" s="165">
        <v>45152.684027777781</v>
      </c>
      <c r="BM161" s="165">
        <v>45157.451388888891</v>
      </c>
      <c r="BN161" s="165">
        <v>45157.833333333336</v>
      </c>
      <c r="BO161" s="165">
        <v>45157.833333333336</v>
      </c>
      <c r="BP161" s="165">
        <v>45157.833333333336</v>
      </c>
      <c r="BQ161" s="165">
        <v>45157.833333333336</v>
      </c>
      <c r="BR161" s="126" t="s">
        <v>2699</v>
      </c>
      <c r="BT161" s="136">
        <f t="shared" si="74"/>
        <v>34.166666666627862</v>
      </c>
      <c r="BU161" s="136">
        <f t="shared" si="75"/>
        <v>4.4166666667442769</v>
      </c>
      <c r="BV161" s="136">
        <f t="shared" si="76"/>
        <v>41.000000000058208</v>
      </c>
      <c r="BW161" s="136">
        <f t="shared" si="83"/>
        <v>101.41666666668607</v>
      </c>
      <c r="BX161" s="135">
        <f t="shared" si="77"/>
        <v>9.1666666666860692</v>
      </c>
      <c r="BY161" s="135">
        <f t="shared" si="78"/>
        <v>0</v>
      </c>
      <c r="BZ161" s="134">
        <f t="shared" si="79"/>
        <v>7.9236111111167702</v>
      </c>
      <c r="CA161" s="134">
        <f t="shared" si="80"/>
        <v>18.1875</v>
      </c>
      <c r="CB161" s="133">
        <f t="shared" si="81"/>
        <v>0.43566246659061281</v>
      </c>
    </row>
    <row r="162" spans="1:80" s="126" customFormat="1">
      <c r="A162" s="192">
        <f t="shared" si="84"/>
        <v>45145.974999999999</v>
      </c>
      <c r="B162" s="126" t="s">
        <v>228</v>
      </c>
      <c r="C162" s="126" t="s">
        <v>229</v>
      </c>
      <c r="D162" s="285" t="s">
        <v>1248</v>
      </c>
      <c r="E162" s="65" t="s">
        <v>745</v>
      </c>
      <c r="G162" s="165">
        <v>45146.677083333336</v>
      </c>
      <c r="H162" s="165">
        <v>45146.686805555553</v>
      </c>
      <c r="I162" s="126" t="s">
        <v>490</v>
      </c>
      <c r="J162" s="126" t="s">
        <v>192</v>
      </c>
      <c r="K162" s="126" t="s">
        <v>192</v>
      </c>
      <c r="L162" s="126" t="s">
        <v>2279</v>
      </c>
      <c r="M162" s="167"/>
      <c r="N162" s="126" t="s">
        <v>2280</v>
      </c>
      <c r="O162" s="126" t="s">
        <v>1652</v>
      </c>
      <c r="P162" s="126" t="s">
        <v>494</v>
      </c>
      <c r="Q162" s="181">
        <f>3136 *2.4</f>
        <v>7526.4</v>
      </c>
      <c r="R162" s="181">
        <f>7450+100</f>
        <v>7550</v>
      </c>
      <c r="S162" s="181">
        <v>5515.5810000000001</v>
      </c>
      <c r="T162" s="181"/>
      <c r="U162" s="181">
        <f t="shared" si="85"/>
        <v>5515.5810000000001</v>
      </c>
      <c r="V162" s="172"/>
      <c r="AX162" s="165">
        <f t="shared" si="70"/>
        <v>45142.836805555555</v>
      </c>
      <c r="AY162" s="165">
        <f t="shared" si="71"/>
        <v>45149.854166666664</v>
      </c>
      <c r="AZ162" s="137">
        <f t="shared" si="72"/>
        <v>7.0173611111094942</v>
      </c>
      <c r="BA162" s="165">
        <v>45142.836805555555</v>
      </c>
      <c r="BB162" s="165">
        <v>45142.836805555555</v>
      </c>
      <c r="BC162" s="165">
        <v>45145.25</v>
      </c>
      <c r="BD162" s="165">
        <v>45145.974999999999</v>
      </c>
      <c r="BE162" s="165">
        <v>45146.076388888891</v>
      </c>
      <c r="BF162" s="165">
        <v>45146.079861111109</v>
      </c>
      <c r="BG162" s="165">
        <v>45146.25</v>
      </c>
      <c r="BH162" s="165">
        <f t="shared" si="86"/>
        <v>45147.958333333336</v>
      </c>
      <c r="BI162" s="210">
        <v>45148.291666608799</v>
      </c>
      <c r="BJ162" s="210">
        <v>45148.458333333336</v>
      </c>
      <c r="BK162" s="210">
        <v>45148.333333333336</v>
      </c>
      <c r="BL162" s="165">
        <v>45149.333333333336</v>
      </c>
      <c r="BM162" s="165">
        <v>45149.4375</v>
      </c>
      <c r="BN162" s="165">
        <v>45149.833333333336</v>
      </c>
      <c r="BO162" s="165">
        <v>45149.854166666664</v>
      </c>
      <c r="BP162" s="165">
        <v>45149.854166666664</v>
      </c>
      <c r="BQ162" s="165">
        <v>45149.854166666664</v>
      </c>
      <c r="BT162" s="136">
        <f t="shared" si="74"/>
        <v>57.916666666686069</v>
      </c>
      <c r="BU162" s="136">
        <f t="shared" si="75"/>
        <v>2.433333333407063</v>
      </c>
      <c r="BV162" s="136">
        <f t="shared" si="76"/>
        <v>41.000000000058208</v>
      </c>
      <c r="BW162" s="136">
        <f t="shared" si="83"/>
        <v>21</v>
      </c>
      <c r="BX162" s="135">
        <f t="shared" si="77"/>
        <v>9.5000000000582077</v>
      </c>
      <c r="BY162" s="135">
        <f t="shared" si="78"/>
        <v>0</v>
      </c>
      <c r="BZ162" s="134">
        <f t="shared" si="79"/>
        <v>5.4937500000087311</v>
      </c>
      <c r="CA162" s="134">
        <f t="shared" si="80"/>
        <v>7.0173611111094942</v>
      </c>
      <c r="CB162" s="133">
        <f t="shared" si="81"/>
        <v>0.7828797624952395</v>
      </c>
    </row>
    <row r="163" spans="1:80" s="126" customFormat="1">
      <c r="A163" s="192">
        <f t="shared" si="84"/>
        <v>45145.840277777781</v>
      </c>
      <c r="B163" s="126" t="s">
        <v>228</v>
      </c>
      <c r="C163" s="126" t="s">
        <v>229</v>
      </c>
      <c r="D163" s="126" t="s">
        <v>215</v>
      </c>
      <c r="E163" s="65" t="s">
        <v>2355</v>
      </c>
      <c r="G163" s="165">
        <v>45152.916666666664</v>
      </c>
      <c r="H163" s="165">
        <v>45152.850694444445</v>
      </c>
      <c r="I163" s="126" t="s">
        <v>507</v>
      </c>
      <c r="J163" s="126" t="s">
        <v>192</v>
      </c>
      <c r="K163" s="126" t="s">
        <v>192</v>
      </c>
      <c r="L163" s="126" t="s">
        <v>2358</v>
      </c>
      <c r="M163" s="167"/>
      <c r="N163" s="126" t="s">
        <v>1972</v>
      </c>
      <c r="O163" s="126" t="s">
        <v>1973</v>
      </c>
      <c r="P163" s="126" t="s">
        <v>494</v>
      </c>
      <c r="Q163" s="181">
        <f>3107*2.4</f>
        <v>7456.7999999999993</v>
      </c>
      <c r="R163" s="181">
        <f>7500+100</f>
        <v>7600</v>
      </c>
      <c r="S163" s="181">
        <v>5967.7449999999999</v>
      </c>
      <c r="T163" s="181"/>
      <c r="U163" s="181">
        <f t="shared" si="85"/>
        <v>5967.7449999999999</v>
      </c>
      <c r="AX163" s="165">
        <f t="shared" si="70"/>
        <v>45141.951388888891</v>
      </c>
      <c r="AY163" s="165">
        <f t="shared" si="71"/>
        <v>45157.6875</v>
      </c>
      <c r="AZ163" s="137">
        <f t="shared" si="72"/>
        <v>15.736111111109494</v>
      </c>
      <c r="BA163" s="165">
        <v>45141.951388888891</v>
      </c>
      <c r="BB163" s="165">
        <v>45143.597222222219</v>
      </c>
      <c r="BC163" s="165">
        <v>45145.149305555555</v>
      </c>
      <c r="BD163" s="165">
        <v>45145.840277777781</v>
      </c>
      <c r="BE163" s="165">
        <v>45145.944444444445</v>
      </c>
      <c r="BF163" s="165">
        <v>45145.951388888891</v>
      </c>
      <c r="BG163" s="165">
        <v>45146.3125</v>
      </c>
      <c r="BH163" s="165">
        <f t="shared" si="86"/>
        <v>45148.020833333336</v>
      </c>
      <c r="BI163" s="210">
        <v>45148.291666608799</v>
      </c>
      <c r="BJ163" s="210">
        <v>45148.458333333336</v>
      </c>
      <c r="BK163" s="165">
        <v>45148.336805555555</v>
      </c>
      <c r="BL163" s="165">
        <v>45152.625</v>
      </c>
      <c r="BM163" s="165">
        <v>45154.659722222219</v>
      </c>
      <c r="BN163" s="165">
        <v>45155.111111111109</v>
      </c>
      <c r="BO163" s="165">
        <v>45155.125</v>
      </c>
      <c r="BP163" s="165">
        <v>45155.395833333336</v>
      </c>
      <c r="BQ163" s="165">
        <v>45157.6875</v>
      </c>
      <c r="BT163" s="136">
        <f t="shared" si="74"/>
        <v>37.250000000058208</v>
      </c>
      <c r="BU163" s="136">
        <f t="shared" si="75"/>
        <v>2.4999999999417923</v>
      </c>
      <c r="BV163" s="136">
        <f t="shared" si="76"/>
        <v>41.000000000058208</v>
      </c>
      <c r="BW163" s="136">
        <f t="shared" si="83"/>
        <v>99.999999999941792</v>
      </c>
      <c r="BX163" s="135">
        <f t="shared" si="77"/>
        <v>10.833333333372138</v>
      </c>
      <c r="BY163" s="135">
        <f t="shared" si="78"/>
        <v>54.999999999941792</v>
      </c>
      <c r="BZ163" s="134">
        <f t="shared" si="79"/>
        <v>10.274305555554747</v>
      </c>
      <c r="CA163" s="134">
        <f t="shared" si="80"/>
        <v>15.736111111109494</v>
      </c>
      <c r="CB163" s="133">
        <f t="shared" si="81"/>
        <v>0.652912621359239</v>
      </c>
    </row>
    <row r="164" spans="1:80" s="126" customFormat="1">
      <c r="A164" s="192">
        <f t="shared" si="84"/>
        <v>45146.413194444445</v>
      </c>
      <c r="B164" s="126" t="s">
        <v>228</v>
      </c>
      <c r="C164" s="126" t="s">
        <v>229</v>
      </c>
      <c r="D164" s="126" t="s">
        <v>197</v>
      </c>
      <c r="E164" s="65" t="s">
        <v>2355</v>
      </c>
      <c r="G164" s="165">
        <v>45152.916666666664</v>
      </c>
      <c r="H164" s="165">
        <v>45152.850694444445</v>
      </c>
      <c r="I164" s="126" t="s">
        <v>507</v>
      </c>
      <c r="J164" s="126" t="s">
        <v>192</v>
      </c>
      <c r="K164" s="126" t="s">
        <v>192</v>
      </c>
      <c r="L164" s="126" t="s">
        <v>2359</v>
      </c>
      <c r="M164" s="167"/>
      <c r="N164" s="126" t="s">
        <v>233</v>
      </c>
      <c r="O164" s="126" t="s">
        <v>234</v>
      </c>
      <c r="P164" s="126" t="s">
        <v>494</v>
      </c>
      <c r="Q164" s="181">
        <f>3215*2.4</f>
        <v>7716</v>
      </c>
      <c r="R164" s="181">
        <f>7750+100</f>
        <v>7850</v>
      </c>
      <c r="S164" s="181">
        <v>5857.5050000000001</v>
      </c>
      <c r="T164" s="181"/>
      <c r="U164" s="181">
        <f t="shared" si="85"/>
        <v>5857.5050000000001</v>
      </c>
      <c r="V164" s="172"/>
      <c r="AX164" s="165">
        <f t="shared" ref="AX164:AX190" si="87">BA164</f>
        <v>45144.006944444445</v>
      </c>
      <c r="AY164" s="165">
        <f t="shared" ref="AY164:AY190" si="88">BQ164</f>
        <v>45159.333333333336</v>
      </c>
      <c r="AZ164" s="137">
        <f t="shared" ref="AZ164:AZ190" si="89">AY164-AX164</f>
        <v>15.326388888890506</v>
      </c>
      <c r="BA164" s="165">
        <v>45144.006944444445</v>
      </c>
      <c r="BB164" s="165">
        <v>45144.798611111109</v>
      </c>
      <c r="BC164" s="165">
        <v>45146.354166666664</v>
      </c>
      <c r="BD164" s="165">
        <v>45146.413194444445</v>
      </c>
      <c r="BE164" s="165">
        <v>45146.513888888891</v>
      </c>
      <c r="BF164" s="165">
        <v>45146.517361111109</v>
      </c>
      <c r="BG164" s="165">
        <v>45146.517361111109</v>
      </c>
      <c r="BH164" s="165">
        <f t="shared" si="86"/>
        <v>45148.225694444445</v>
      </c>
      <c r="BI164" s="210">
        <v>45148.291666608799</v>
      </c>
      <c r="BJ164" s="210">
        <v>45148.458333333336</v>
      </c>
      <c r="BK164" s="354">
        <v>45148.375</v>
      </c>
      <c r="BL164" s="165">
        <v>45152.666666666664</v>
      </c>
      <c r="BM164" s="165">
        <v>45155.854166666664</v>
      </c>
      <c r="BN164" s="165">
        <v>45156.263888888891</v>
      </c>
      <c r="BO164" s="165">
        <v>45156.277777777781</v>
      </c>
      <c r="BP164" s="165">
        <v>45156.625</v>
      </c>
      <c r="BQ164" s="165">
        <v>45159.333333333336</v>
      </c>
      <c r="BT164" s="136">
        <f t="shared" ref="BT164:BT190" si="90">(BC164-BB164)*24</f>
        <v>37.333333333313931</v>
      </c>
      <c r="BU164" s="136">
        <f t="shared" ref="BU164:BU190" si="91">(BE164-BD164)*24</f>
        <v>2.4166666666860692</v>
      </c>
      <c r="BV164" s="136">
        <f t="shared" ref="BV164:BV190" si="92">(BH164-BG164)*24</f>
        <v>41.000000000058208</v>
      </c>
      <c r="BW164" s="136">
        <f t="shared" si="83"/>
        <v>100.99999999988358</v>
      </c>
      <c r="BX164" s="135">
        <f t="shared" ref="BX164:BX190" si="93">(BN164-BM164)*24</f>
        <v>9.8333333334303461</v>
      </c>
      <c r="BY164" s="135">
        <f t="shared" ref="BY164:BY190" si="94">(BQ164-BP164)*24</f>
        <v>65.000000000058208</v>
      </c>
      <c r="BZ164" s="134">
        <f t="shared" ref="BZ164:BZ190" si="95">SUM(BT164:BY164)/24</f>
        <v>10.690972222226264</v>
      </c>
      <c r="CA164" s="134">
        <f t="shared" ref="CA164:CA190" si="96">AZ164</f>
        <v>15.326388888890506</v>
      </c>
      <c r="CB164" s="133">
        <f t="shared" ref="CB164:CB190" si="97">BZ164/CA164</f>
        <v>0.69755323969207961</v>
      </c>
    </row>
    <row r="165" spans="1:80" s="126" customFormat="1">
      <c r="A165" s="192">
        <f t="shared" si="84"/>
        <v>45150.145833333336</v>
      </c>
      <c r="B165" s="126" t="s">
        <v>228</v>
      </c>
      <c r="C165" s="126" t="s">
        <v>229</v>
      </c>
      <c r="D165" s="126" t="s">
        <v>215</v>
      </c>
      <c r="E165" s="65" t="s">
        <v>2298</v>
      </c>
      <c r="G165" s="165">
        <v>45147.25</v>
      </c>
      <c r="H165" s="165">
        <v>45147.245833333334</v>
      </c>
      <c r="I165" s="126" t="s">
        <v>497</v>
      </c>
      <c r="J165" s="126" t="s">
        <v>192</v>
      </c>
      <c r="K165" s="126" t="s">
        <v>192</v>
      </c>
      <c r="L165" s="126" t="s">
        <v>2303</v>
      </c>
      <c r="M165" s="167"/>
      <c r="N165" s="126" t="s">
        <v>274</v>
      </c>
      <c r="O165" s="126" t="s">
        <v>1093</v>
      </c>
      <c r="P165" s="126" t="s">
        <v>494</v>
      </c>
      <c r="Q165" s="181">
        <f>3136*2.4</f>
        <v>7526.4</v>
      </c>
      <c r="R165" s="181">
        <f>7550+100</f>
        <v>7650</v>
      </c>
      <c r="S165" s="181">
        <v>7092.777</v>
      </c>
      <c r="T165" s="181"/>
      <c r="U165" s="181">
        <f t="shared" si="85"/>
        <v>7092.777</v>
      </c>
      <c r="V165" s="172"/>
      <c r="AX165" s="165">
        <f t="shared" si="87"/>
        <v>45145.069444444445</v>
      </c>
      <c r="AY165" s="165">
        <f t="shared" si="88"/>
        <v>45155.347222222219</v>
      </c>
      <c r="AZ165" s="137">
        <f t="shared" si="89"/>
        <v>10.277777777773736</v>
      </c>
      <c r="BA165" s="165">
        <v>45145.069444444445</v>
      </c>
      <c r="BB165" s="165">
        <v>45147.527777777781</v>
      </c>
      <c r="BC165" s="165">
        <v>45149.03125</v>
      </c>
      <c r="BD165" s="165">
        <v>45150.145833333336</v>
      </c>
      <c r="BE165" s="165">
        <v>45150.349305555559</v>
      </c>
      <c r="BF165" s="165">
        <v>45150.354166666664</v>
      </c>
      <c r="BG165" s="165">
        <v>45150.354166666664</v>
      </c>
      <c r="BH165" s="165">
        <f t="shared" si="86"/>
        <v>45152.0625</v>
      </c>
      <c r="BI165" s="210">
        <v>45152.229166608799</v>
      </c>
      <c r="BJ165" s="210">
        <v>45152.395833333336</v>
      </c>
      <c r="BK165" s="165">
        <v>45152.263888888891</v>
      </c>
      <c r="BL165" s="165">
        <v>45153.690972222219</v>
      </c>
      <c r="BM165" s="165">
        <v>45153.815972222219</v>
      </c>
      <c r="BN165" s="165">
        <v>45154.083333333336</v>
      </c>
      <c r="BO165" s="165">
        <v>45154.097222222219</v>
      </c>
      <c r="BP165" s="165">
        <v>45154.826388888891</v>
      </c>
      <c r="BQ165" s="165">
        <v>45155.347222222219</v>
      </c>
      <c r="BT165" s="136">
        <f t="shared" si="90"/>
        <v>36.083333333255723</v>
      </c>
      <c r="BU165" s="136">
        <f t="shared" si="91"/>
        <v>4.8833333333604969</v>
      </c>
      <c r="BV165" s="136">
        <f t="shared" si="92"/>
        <v>41.000000000058208</v>
      </c>
      <c r="BW165" s="136">
        <f t="shared" si="83"/>
        <v>31.083333333197515</v>
      </c>
      <c r="BX165" s="135">
        <f t="shared" si="93"/>
        <v>6.4166666668024845</v>
      </c>
      <c r="BY165" s="135">
        <f t="shared" si="94"/>
        <v>12.499999999883585</v>
      </c>
      <c r="BZ165" s="134">
        <f t="shared" si="95"/>
        <v>5.4986111111065838</v>
      </c>
      <c r="CA165" s="134">
        <f t="shared" si="96"/>
        <v>10.277777777773736</v>
      </c>
      <c r="CB165" s="133">
        <f t="shared" si="97"/>
        <v>0.53499999999976988</v>
      </c>
    </row>
    <row r="166" spans="1:80" s="126" customFormat="1">
      <c r="A166" s="192">
        <f t="shared" si="84"/>
        <v>45150.378472222219</v>
      </c>
      <c r="B166" s="126" t="s">
        <v>228</v>
      </c>
      <c r="C166" s="126" t="s">
        <v>229</v>
      </c>
      <c r="D166" s="126" t="s">
        <v>197</v>
      </c>
      <c r="E166" s="65" t="s">
        <v>2298</v>
      </c>
      <c r="G166" s="165">
        <v>45147.25</v>
      </c>
      <c r="H166" s="165">
        <v>45147.245833333334</v>
      </c>
      <c r="I166" s="126" t="s">
        <v>497</v>
      </c>
      <c r="J166" s="126" t="s">
        <v>192</v>
      </c>
      <c r="K166" s="126" t="s">
        <v>192</v>
      </c>
      <c r="L166" s="126" t="s">
        <v>2308</v>
      </c>
      <c r="M166" s="167"/>
      <c r="N166" s="126" t="s">
        <v>377</v>
      </c>
      <c r="O166" s="126" t="s">
        <v>378</v>
      </c>
      <c r="P166" s="126" t="s">
        <v>494</v>
      </c>
      <c r="Q166" s="181">
        <f>3271*2.4</f>
        <v>7850.4</v>
      </c>
      <c r="R166" s="181">
        <f>7900+100</f>
        <v>8000</v>
      </c>
      <c r="S166" s="181">
        <v>7566.1319999999996</v>
      </c>
      <c r="T166" s="181"/>
      <c r="U166" s="181">
        <f t="shared" si="85"/>
        <v>7566.1319999999996</v>
      </c>
      <c r="V166" s="172"/>
      <c r="AX166" s="165">
        <f t="shared" si="87"/>
        <v>45146.506944444445</v>
      </c>
      <c r="AY166" s="165">
        <f t="shared" si="88"/>
        <v>45157.020833333336</v>
      </c>
      <c r="AZ166" s="137">
        <f t="shared" si="89"/>
        <v>10.513888888890506</v>
      </c>
      <c r="BA166" s="165">
        <v>45146.506944444445</v>
      </c>
      <c r="BB166" s="165">
        <v>45147.513888888891</v>
      </c>
      <c r="BC166" s="165">
        <v>45149.052083333336</v>
      </c>
      <c r="BD166" s="165">
        <v>45150.378472222219</v>
      </c>
      <c r="BE166" s="165">
        <v>45150.532638888886</v>
      </c>
      <c r="BF166" s="165">
        <v>45150.541666666664</v>
      </c>
      <c r="BG166" s="165">
        <v>45150.541666666664</v>
      </c>
      <c r="BH166" s="165">
        <f t="shared" si="86"/>
        <v>45152.25</v>
      </c>
      <c r="BI166" s="210">
        <v>45152.229166608799</v>
      </c>
      <c r="BJ166" s="210">
        <v>45152.395833333336</v>
      </c>
      <c r="BK166" s="165">
        <v>45152.385416666664</v>
      </c>
      <c r="BL166" s="165">
        <v>45154.611111111109</v>
      </c>
      <c r="BM166" s="165">
        <v>45154.690972222219</v>
      </c>
      <c r="BN166" s="165">
        <v>45156.354166666664</v>
      </c>
      <c r="BO166" s="165">
        <v>45156.371527777781</v>
      </c>
      <c r="BP166" s="165">
        <v>45156.375</v>
      </c>
      <c r="BQ166" s="165">
        <v>45157.020833333336</v>
      </c>
      <c r="BT166" s="136">
        <f t="shared" si="90"/>
        <v>36.916666666686069</v>
      </c>
      <c r="BU166" s="136">
        <f t="shared" si="91"/>
        <v>3.7000000000116415</v>
      </c>
      <c r="BV166" s="136">
        <f t="shared" si="92"/>
        <v>41.000000000058208</v>
      </c>
      <c r="BW166" s="136">
        <f t="shared" si="83"/>
        <v>53.166666666569654</v>
      </c>
      <c r="BX166" s="135">
        <f t="shared" si="93"/>
        <v>39.916666666686069</v>
      </c>
      <c r="BY166" s="135">
        <f t="shared" si="94"/>
        <v>15.500000000058208</v>
      </c>
      <c r="BZ166" s="134">
        <f t="shared" si="95"/>
        <v>7.9250000000029104</v>
      </c>
      <c r="CA166" s="134">
        <f t="shared" si="96"/>
        <v>10.513888888890506</v>
      </c>
      <c r="CB166" s="133">
        <f t="shared" si="97"/>
        <v>0.75376486129474474</v>
      </c>
    </row>
    <row r="167" spans="1:80" s="126" customFormat="1">
      <c r="A167" s="192">
        <f t="shared" si="84"/>
        <v>45150.569444444445</v>
      </c>
      <c r="B167" s="126" t="s">
        <v>228</v>
      </c>
      <c r="C167" s="126" t="s">
        <v>229</v>
      </c>
      <c r="D167" s="126" t="s">
        <v>215</v>
      </c>
      <c r="E167" s="65" t="s">
        <v>2298</v>
      </c>
      <c r="G167" s="165">
        <v>45147.25</v>
      </c>
      <c r="H167" s="165">
        <v>45147.245833333334</v>
      </c>
      <c r="I167" s="126" t="s">
        <v>497</v>
      </c>
      <c r="J167" s="126" t="s">
        <v>192</v>
      </c>
      <c r="K167" s="126" t="s">
        <v>192</v>
      </c>
      <c r="L167" s="126" t="s">
        <v>2307</v>
      </c>
      <c r="M167" s="167"/>
      <c r="N167" s="126" t="s">
        <v>403</v>
      </c>
      <c r="O167" s="126" t="s">
        <v>404</v>
      </c>
      <c r="P167" s="126" t="s">
        <v>494</v>
      </c>
      <c r="Q167" s="181">
        <f>3107*2.4</f>
        <v>7456.7999999999993</v>
      </c>
      <c r="R167" s="181">
        <f>7500+100</f>
        <v>7600</v>
      </c>
      <c r="S167" s="181">
        <v>7526.1760000000004</v>
      </c>
      <c r="T167" s="181"/>
      <c r="U167" s="181">
        <f t="shared" si="85"/>
        <v>7526.1760000000004</v>
      </c>
      <c r="V167" s="172"/>
      <c r="AX167" s="165">
        <f t="shared" si="87"/>
        <v>45146.486111111109</v>
      </c>
      <c r="AY167" s="165">
        <f t="shared" si="88"/>
        <v>45156.694444444445</v>
      </c>
      <c r="AZ167" s="137">
        <f t="shared" si="89"/>
        <v>10.208333333335759</v>
      </c>
      <c r="BA167" s="165">
        <v>45146.486111111109</v>
      </c>
      <c r="BB167" s="165">
        <v>45147.53125</v>
      </c>
      <c r="BC167" s="165">
        <v>45149.125</v>
      </c>
      <c r="BD167" s="165">
        <v>45150.569444444445</v>
      </c>
      <c r="BE167" s="165">
        <v>45150.739583333336</v>
      </c>
      <c r="BF167" s="165">
        <v>45150.746527777781</v>
      </c>
      <c r="BG167" s="165">
        <v>45151.270833333336</v>
      </c>
      <c r="BH167" s="165">
        <f t="shared" si="86"/>
        <v>45152.979166666672</v>
      </c>
      <c r="BI167" s="210">
        <v>45153.25</v>
      </c>
      <c r="BJ167" s="210">
        <v>45153.416666666664</v>
      </c>
      <c r="BK167" s="210">
        <v>45153.354166666664</v>
      </c>
      <c r="BL167" s="165">
        <v>45155.145833333336</v>
      </c>
      <c r="BM167" s="165">
        <v>45155.847222222219</v>
      </c>
      <c r="BN167" s="165">
        <v>45156.111111111109</v>
      </c>
      <c r="BO167" s="165">
        <v>45156.125</v>
      </c>
      <c r="BP167" s="165">
        <v>45156.128472222219</v>
      </c>
      <c r="BQ167" s="165">
        <v>45156.694444444445</v>
      </c>
      <c r="BT167" s="136">
        <f t="shared" si="90"/>
        <v>38.25</v>
      </c>
      <c r="BU167" s="136">
        <f t="shared" si="91"/>
        <v>4.0833333333721384</v>
      </c>
      <c r="BV167" s="136">
        <f t="shared" si="92"/>
        <v>41.000000000058208</v>
      </c>
      <c r="BW167" s="136">
        <f t="shared" si="83"/>
        <v>41.500000000116415</v>
      </c>
      <c r="BX167" s="135">
        <f t="shared" si="93"/>
        <v>6.3333333333721384</v>
      </c>
      <c r="BY167" s="135">
        <f t="shared" si="94"/>
        <v>13.583333333430346</v>
      </c>
      <c r="BZ167" s="134">
        <f t="shared" si="95"/>
        <v>6.0312500000145519</v>
      </c>
      <c r="CA167" s="134">
        <f t="shared" si="96"/>
        <v>10.208333333335759</v>
      </c>
      <c r="CB167" s="133">
        <f t="shared" si="97"/>
        <v>0.59081632653189742</v>
      </c>
    </row>
    <row r="168" spans="1:80" s="126" customFormat="1">
      <c r="A168" s="192">
        <f t="shared" si="84"/>
        <v>45150.809027777781</v>
      </c>
      <c r="B168" s="126" t="s">
        <v>228</v>
      </c>
      <c r="C168" s="126" t="s">
        <v>229</v>
      </c>
      <c r="D168" s="126" t="s">
        <v>197</v>
      </c>
      <c r="E168" s="65" t="s">
        <v>2298</v>
      </c>
      <c r="G168" s="165">
        <v>45147.25</v>
      </c>
      <c r="H168" s="165">
        <v>45147.245833333334</v>
      </c>
      <c r="I168" s="126" t="s">
        <v>497</v>
      </c>
      <c r="J168" s="126" t="s">
        <v>192</v>
      </c>
      <c r="K168" s="126" t="s">
        <v>192</v>
      </c>
      <c r="L168" s="126" t="s">
        <v>2305</v>
      </c>
      <c r="M168" s="167"/>
      <c r="N168" s="126" t="s">
        <v>492</v>
      </c>
      <c r="O168" s="126" t="s">
        <v>493</v>
      </c>
      <c r="P168" s="126" t="s">
        <v>494</v>
      </c>
      <c r="Q168" s="181">
        <f>3152*2.4</f>
        <v>7564.7999999999993</v>
      </c>
      <c r="R168" s="181">
        <f>7600+100</f>
        <v>7700</v>
      </c>
      <c r="S168" s="181">
        <v>7501.6409999999996</v>
      </c>
      <c r="T168" s="181"/>
      <c r="U168" s="181">
        <f t="shared" si="85"/>
        <v>7501.6409999999996</v>
      </c>
      <c r="AX168" s="165">
        <f t="shared" si="87"/>
        <v>45146.5</v>
      </c>
      <c r="AY168" s="165">
        <f t="shared" si="88"/>
        <v>45155.385416666664</v>
      </c>
      <c r="AZ168" s="137">
        <f t="shared" si="89"/>
        <v>8.8854166666642413</v>
      </c>
      <c r="BA168" s="165">
        <v>45146.5</v>
      </c>
      <c r="BB168" s="165">
        <v>45147.541666666664</v>
      </c>
      <c r="BC168" s="165">
        <v>45149.145833333336</v>
      </c>
      <c r="BD168" s="165">
        <v>45150.809027777781</v>
      </c>
      <c r="BE168" s="165">
        <v>45150.958333333336</v>
      </c>
      <c r="BF168" s="165">
        <v>45150.965277777781</v>
      </c>
      <c r="BG168" s="165">
        <v>45151.291666666664</v>
      </c>
      <c r="BH168" s="165">
        <f t="shared" si="86"/>
        <v>45153</v>
      </c>
      <c r="BI168" s="210">
        <v>45153.25</v>
      </c>
      <c r="BJ168" s="210">
        <v>45153.416666666664</v>
      </c>
      <c r="BK168" s="210">
        <v>45153.330555555556</v>
      </c>
      <c r="BL168" s="165">
        <v>45154.815972222219</v>
      </c>
      <c r="BM168" s="165">
        <v>45155.125</v>
      </c>
      <c r="BN168" s="165">
        <v>45155.385416666664</v>
      </c>
      <c r="BO168" s="165">
        <v>45155.385416666664</v>
      </c>
      <c r="BP168" s="165">
        <v>45155.385416666664</v>
      </c>
      <c r="BQ168" s="165">
        <v>45155.385416666664</v>
      </c>
      <c r="BR168" s="126" t="s">
        <v>788</v>
      </c>
      <c r="BT168" s="136">
        <f t="shared" si="90"/>
        <v>38.500000000116415</v>
      </c>
      <c r="BU168" s="136">
        <f t="shared" si="91"/>
        <v>3.5833333333139308</v>
      </c>
      <c r="BV168" s="136">
        <f t="shared" si="92"/>
        <v>41.000000000058208</v>
      </c>
      <c r="BW168" s="136">
        <f t="shared" si="83"/>
        <v>33.583333333313931</v>
      </c>
      <c r="BX168" s="135">
        <f t="shared" si="93"/>
        <v>6.2499999999417923</v>
      </c>
      <c r="BY168" s="135">
        <f t="shared" si="94"/>
        <v>0</v>
      </c>
      <c r="BZ168" s="134">
        <f t="shared" si="95"/>
        <v>5.1215277777810115</v>
      </c>
      <c r="CA168" s="134">
        <f t="shared" si="96"/>
        <v>8.8854166666642413</v>
      </c>
      <c r="CB168" s="133">
        <f t="shared" si="97"/>
        <v>0.57639703009040011</v>
      </c>
    </row>
    <row r="169" spans="1:80" s="126" customFormat="1">
      <c r="A169" s="192">
        <f t="shared" si="84"/>
        <v>45150.986111111109</v>
      </c>
      <c r="B169" s="126" t="s">
        <v>228</v>
      </c>
      <c r="C169" s="126" t="s">
        <v>229</v>
      </c>
      <c r="D169" s="126" t="s">
        <v>215</v>
      </c>
      <c r="E169" s="65" t="s">
        <v>2298</v>
      </c>
      <c r="G169" s="165">
        <v>45147.25</v>
      </c>
      <c r="H169" s="165">
        <v>45147.245833333334</v>
      </c>
      <c r="I169" s="126" t="s">
        <v>497</v>
      </c>
      <c r="J169" s="126" t="s">
        <v>192</v>
      </c>
      <c r="K169" s="126" t="s">
        <v>192</v>
      </c>
      <c r="L169" s="126" t="s">
        <v>2304</v>
      </c>
      <c r="M169" s="167"/>
      <c r="N169" s="126" t="s">
        <v>271</v>
      </c>
      <c r="O169" s="126" t="s">
        <v>272</v>
      </c>
      <c r="P169" s="126" t="s">
        <v>494</v>
      </c>
      <c r="Q169" s="181">
        <f>3852*2.4</f>
        <v>9244.7999999999993</v>
      </c>
      <c r="R169" s="181">
        <f>9250+100</f>
        <v>9350</v>
      </c>
      <c r="S169" s="181">
        <v>7328.8109999999997</v>
      </c>
      <c r="T169" s="181"/>
      <c r="U169" s="181">
        <f t="shared" si="85"/>
        <v>7328.8109999999997</v>
      </c>
      <c r="AX169" s="165">
        <f t="shared" si="87"/>
        <v>45147.135416666664</v>
      </c>
      <c r="AY169" s="165">
        <f t="shared" si="88"/>
        <v>45155.347222222219</v>
      </c>
      <c r="AZ169" s="137">
        <f t="shared" si="89"/>
        <v>8.2118055555547471</v>
      </c>
      <c r="BA169" s="165">
        <v>45147.135416666664</v>
      </c>
      <c r="BB169" s="165">
        <v>45147.774305555555</v>
      </c>
      <c r="BC169" s="165">
        <v>45149.329861111109</v>
      </c>
      <c r="BD169" s="165">
        <v>45150.986111111109</v>
      </c>
      <c r="BE169" s="165">
        <v>45151.114583333336</v>
      </c>
      <c r="BF169" s="165">
        <v>45151.125</v>
      </c>
      <c r="BG169" s="165">
        <v>45151.125</v>
      </c>
      <c r="BH169" s="165">
        <f t="shared" si="86"/>
        <v>45152.833333333336</v>
      </c>
      <c r="BI169" s="210">
        <v>45153.25</v>
      </c>
      <c r="BJ169" s="210">
        <v>45153.416666666664</v>
      </c>
      <c r="BK169" s="210">
        <v>45153.344444444447</v>
      </c>
      <c r="BL169" s="165">
        <v>45154.5625</v>
      </c>
      <c r="BM169" s="165">
        <v>45154.628472222219</v>
      </c>
      <c r="BN169" s="165">
        <v>45154.965277777781</v>
      </c>
      <c r="BO169" s="165">
        <v>45154.979166666664</v>
      </c>
      <c r="BP169" s="165">
        <v>45154.982638888891</v>
      </c>
      <c r="BQ169" s="165">
        <v>45155.347222222219</v>
      </c>
      <c r="BT169" s="136">
        <f t="shared" si="90"/>
        <v>37.333333333313931</v>
      </c>
      <c r="BU169" s="136">
        <f t="shared" si="91"/>
        <v>3.0833333334303461</v>
      </c>
      <c r="BV169" s="136">
        <f t="shared" si="92"/>
        <v>41.000000000058208</v>
      </c>
      <c r="BW169" s="136">
        <f t="shared" si="83"/>
        <v>27.500000000058208</v>
      </c>
      <c r="BX169" s="135">
        <f t="shared" si="93"/>
        <v>8.0833333334885538</v>
      </c>
      <c r="BY169" s="135">
        <f t="shared" si="94"/>
        <v>8.7499999998835847</v>
      </c>
      <c r="BZ169" s="134">
        <f t="shared" si="95"/>
        <v>5.2395833333430346</v>
      </c>
      <c r="CA169" s="134">
        <f t="shared" si="96"/>
        <v>8.2118055555547471</v>
      </c>
      <c r="CB169" s="133">
        <f t="shared" si="97"/>
        <v>0.63805496828877062</v>
      </c>
    </row>
    <row r="170" spans="1:80" s="126" customFormat="1">
      <c r="A170" s="192">
        <f t="shared" si="84"/>
        <v>45153.75</v>
      </c>
      <c r="B170" s="126" t="s">
        <v>228</v>
      </c>
      <c r="C170" s="126" t="s">
        <v>229</v>
      </c>
      <c r="D170" s="126" t="s">
        <v>197</v>
      </c>
      <c r="E170" s="65" t="s">
        <v>2361</v>
      </c>
      <c r="G170" s="316">
        <v>45151.166666666664</v>
      </c>
      <c r="H170" s="316">
        <v>45151.112500000003</v>
      </c>
      <c r="I170" s="126" t="s">
        <v>490</v>
      </c>
      <c r="J170" s="126" t="s">
        <v>192</v>
      </c>
      <c r="K170" s="126" t="s">
        <v>192</v>
      </c>
      <c r="L170" s="126" t="s">
        <v>2364</v>
      </c>
      <c r="M170" s="167"/>
      <c r="N170" s="126" t="s">
        <v>205</v>
      </c>
      <c r="O170" s="126" t="s">
        <v>206</v>
      </c>
      <c r="P170" s="126" t="s">
        <v>494</v>
      </c>
      <c r="Q170" s="181">
        <f>3015*2.4</f>
        <v>7236</v>
      </c>
      <c r="R170" s="181">
        <f>7250+100</f>
        <v>7350</v>
      </c>
      <c r="S170" s="181">
        <v>7303.4250000000002</v>
      </c>
      <c r="T170" s="181"/>
      <c r="U170" s="181">
        <f t="shared" si="85"/>
        <v>7303.4250000000002</v>
      </c>
      <c r="AX170" s="165">
        <f t="shared" si="87"/>
        <v>45147.549305555556</v>
      </c>
      <c r="AY170" s="165">
        <f t="shared" si="88"/>
        <v>45159.472222222219</v>
      </c>
      <c r="AZ170" s="137">
        <f t="shared" si="89"/>
        <v>11.922916666662786</v>
      </c>
      <c r="BA170" s="165">
        <v>45147.549305555556</v>
      </c>
      <c r="BB170" s="165">
        <v>45149.777777777781</v>
      </c>
      <c r="BC170" s="165">
        <v>45151.423611111109</v>
      </c>
      <c r="BD170" s="165">
        <v>45153.75</v>
      </c>
      <c r="BE170" s="165">
        <v>45153.930555555555</v>
      </c>
      <c r="BF170" s="165">
        <v>45153.9375</v>
      </c>
      <c r="BG170" s="165">
        <v>45153.9375</v>
      </c>
      <c r="BH170" s="165">
        <f t="shared" si="86"/>
        <v>45155.645833333336</v>
      </c>
      <c r="BI170" s="210">
        <v>45156.25</v>
      </c>
      <c r="BJ170" s="210">
        <v>45156.416666608799</v>
      </c>
      <c r="BK170" s="165">
        <v>45156.361111111109</v>
      </c>
      <c r="BL170" s="165">
        <v>45157.4375</v>
      </c>
      <c r="BM170" s="165">
        <v>45158.763888888891</v>
      </c>
      <c r="BN170" s="165">
        <v>45159.034722222219</v>
      </c>
      <c r="BO170" s="165">
        <v>45159.177083333336</v>
      </c>
      <c r="BP170" s="165">
        <v>45159.270833333336</v>
      </c>
      <c r="BQ170" s="165">
        <v>45159.472222222219</v>
      </c>
      <c r="BT170" s="136">
        <f t="shared" si="90"/>
        <v>39.499999999883585</v>
      </c>
      <c r="BU170" s="136">
        <f t="shared" si="91"/>
        <v>4.3333333333139308</v>
      </c>
      <c r="BV170" s="136">
        <f t="shared" si="92"/>
        <v>41.000000000058208</v>
      </c>
      <c r="BW170" s="136">
        <f t="shared" si="83"/>
        <v>24.500001388834789</v>
      </c>
      <c r="BX170" s="135">
        <f t="shared" si="93"/>
        <v>6.4999999998835847</v>
      </c>
      <c r="BY170" s="135">
        <f t="shared" si="94"/>
        <v>4.8333333331975155</v>
      </c>
      <c r="BZ170" s="134">
        <f t="shared" si="95"/>
        <v>5.0277778356321505</v>
      </c>
      <c r="CA170" s="134">
        <f t="shared" si="96"/>
        <v>11.922916666662786</v>
      </c>
      <c r="CB170" s="133">
        <f t="shared" si="97"/>
        <v>0.42169026054590558</v>
      </c>
    </row>
    <row r="171" spans="1:80" s="126" customFormat="1">
      <c r="A171" s="192">
        <f t="shared" si="84"/>
        <v>45158.170138888891</v>
      </c>
      <c r="B171" s="126" t="s">
        <v>228</v>
      </c>
      <c r="C171" s="126" t="s">
        <v>229</v>
      </c>
      <c r="D171" s="126" t="s">
        <v>197</v>
      </c>
      <c r="E171" s="65" t="s">
        <v>2371</v>
      </c>
      <c r="G171" s="316">
        <v>45160.0625</v>
      </c>
      <c r="H171" s="316">
        <v>45160.04583333333</v>
      </c>
      <c r="I171" s="126" t="s">
        <v>490</v>
      </c>
      <c r="J171" s="126" t="s">
        <v>192</v>
      </c>
      <c r="K171" s="126" t="s">
        <v>192</v>
      </c>
      <c r="L171" s="126" t="s">
        <v>2374</v>
      </c>
      <c r="M171" s="167"/>
      <c r="N171" s="126" t="s">
        <v>361</v>
      </c>
      <c r="O171" s="126" t="s">
        <v>362</v>
      </c>
      <c r="P171" s="126" t="s">
        <v>494</v>
      </c>
      <c r="Q171" s="181">
        <f>3039*2.4</f>
        <v>7293.5999999999995</v>
      </c>
      <c r="R171" s="181">
        <f>7300+100</f>
        <v>7400</v>
      </c>
      <c r="S171" s="181">
        <v>7505.71</v>
      </c>
      <c r="T171" s="181"/>
      <c r="U171" s="181">
        <f t="shared" si="85"/>
        <v>7505.71</v>
      </c>
      <c r="AX171" s="165">
        <f t="shared" si="87"/>
        <v>45151.166666666664</v>
      </c>
      <c r="AY171" s="165">
        <f t="shared" si="88"/>
        <v>45162.708333333336</v>
      </c>
      <c r="AZ171" s="137">
        <f t="shared" si="89"/>
        <v>11.541666666671517</v>
      </c>
      <c r="BA171" s="165">
        <v>45151.166666666664</v>
      </c>
      <c r="BB171" s="165">
        <v>45153.888888888891</v>
      </c>
      <c r="BC171" s="165">
        <v>45155.572916666664</v>
      </c>
      <c r="BD171" s="165">
        <v>45158.170138888891</v>
      </c>
      <c r="BE171" s="165">
        <v>45158.40625</v>
      </c>
      <c r="BF171" s="165">
        <v>45158.409722222219</v>
      </c>
      <c r="BG171" s="165">
        <v>45158.409722222219</v>
      </c>
      <c r="BH171" s="165">
        <f t="shared" si="86"/>
        <v>45160.118055555555</v>
      </c>
      <c r="BI171" s="210">
        <v>45160.25</v>
      </c>
      <c r="BJ171" s="210">
        <v>45160.416666608799</v>
      </c>
      <c r="BK171" s="165">
        <v>45160.284722222219</v>
      </c>
      <c r="BL171" s="165">
        <v>45161.541666666664</v>
      </c>
      <c r="BM171" s="165">
        <v>45161.729166666664</v>
      </c>
      <c r="BN171" s="165">
        <v>45162.354166666664</v>
      </c>
      <c r="BO171" s="165">
        <v>45162.375</v>
      </c>
      <c r="BP171" s="165">
        <v>45162.375</v>
      </c>
      <c r="BQ171" s="165">
        <v>45162.708333333336</v>
      </c>
      <c r="BT171" s="136">
        <f t="shared" si="90"/>
        <v>40.416666666569654</v>
      </c>
      <c r="BU171" s="136">
        <f t="shared" si="91"/>
        <v>5.6666666666278616</v>
      </c>
      <c r="BV171" s="136">
        <f t="shared" si="92"/>
        <v>41.000000000058208</v>
      </c>
      <c r="BW171" s="136">
        <f t="shared" si="83"/>
        <v>27.000001388776582</v>
      </c>
      <c r="BX171" s="135">
        <f t="shared" si="93"/>
        <v>15</v>
      </c>
      <c r="BY171" s="135">
        <f t="shared" si="94"/>
        <v>8.0000000000582077</v>
      </c>
      <c r="BZ171" s="134">
        <f t="shared" si="95"/>
        <v>5.711805613420438</v>
      </c>
      <c r="CA171" s="134">
        <f t="shared" si="96"/>
        <v>11.541666666671517</v>
      </c>
      <c r="CB171" s="133">
        <f t="shared" si="97"/>
        <v>0.49488568491708629</v>
      </c>
    </row>
    <row r="172" spans="1:80" s="126" customFormat="1">
      <c r="A172" s="192">
        <f t="shared" si="84"/>
        <v>45158.895833333336</v>
      </c>
      <c r="B172" s="126" t="s">
        <v>228</v>
      </c>
      <c r="C172" s="126" t="s">
        <v>229</v>
      </c>
      <c r="D172" s="126" t="s">
        <v>215</v>
      </c>
      <c r="E172" s="65" t="s">
        <v>2392</v>
      </c>
      <c r="G172" s="316">
        <v>45159.354166666664</v>
      </c>
      <c r="H172" s="316">
        <v>45159.354166666664</v>
      </c>
      <c r="I172" s="126" t="s">
        <v>490</v>
      </c>
      <c r="J172" s="126" t="s">
        <v>192</v>
      </c>
      <c r="K172" s="126" t="s">
        <v>192</v>
      </c>
      <c r="L172" s="126" t="s">
        <v>2395</v>
      </c>
      <c r="M172" s="167"/>
      <c r="N172" s="126" t="s">
        <v>358</v>
      </c>
      <c r="O172" s="126" t="s">
        <v>359</v>
      </c>
      <c r="P172" s="126" t="s">
        <v>494</v>
      </c>
      <c r="Q172" s="181">
        <f>3852*2.4</f>
        <v>9244.7999999999993</v>
      </c>
      <c r="R172" s="181">
        <v>9250</v>
      </c>
      <c r="S172" s="181">
        <v>7670.134</v>
      </c>
      <c r="T172" s="181"/>
      <c r="U172" s="181">
        <f t="shared" si="85"/>
        <v>7670.134</v>
      </c>
      <c r="AX172" s="165">
        <f t="shared" si="87"/>
        <v>45152.958333333336</v>
      </c>
      <c r="AY172" s="165">
        <f t="shared" si="88"/>
        <v>45165.541666666664</v>
      </c>
      <c r="AZ172" s="137">
        <f t="shared" si="89"/>
        <v>12.583333333328483</v>
      </c>
      <c r="BA172" s="165">
        <v>45152.958333333336</v>
      </c>
      <c r="BB172" s="165">
        <v>45154.565972222219</v>
      </c>
      <c r="BC172" s="165">
        <v>45156.104166666664</v>
      </c>
      <c r="BD172" s="165">
        <v>45158.895833333336</v>
      </c>
      <c r="BE172" s="165">
        <v>45159.055555555555</v>
      </c>
      <c r="BF172" s="165">
        <v>45159.0625</v>
      </c>
      <c r="BG172" s="165">
        <v>45159.0625</v>
      </c>
      <c r="BH172" s="165">
        <f t="shared" si="86"/>
        <v>45160.770833333336</v>
      </c>
      <c r="BI172" s="210">
        <v>45161.25</v>
      </c>
      <c r="BJ172" s="210">
        <v>45161.416666608799</v>
      </c>
      <c r="BK172" s="165">
        <v>45161.305555555555</v>
      </c>
      <c r="BL172" s="165">
        <v>45162.260416666664</v>
      </c>
      <c r="BM172" s="165">
        <v>45164.777777777781</v>
      </c>
      <c r="BN172" s="165">
        <v>45165.170138888891</v>
      </c>
      <c r="BO172" s="165">
        <v>45165.190972222219</v>
      </c>
      <c r="BP172" s="165">
        <v>45165.190972222219</v>
      </c>
      <c r="BQ172" s="165">
        <v>45165.541666666664</v>
      </c>
      <c r="BT172" s="136">
        <f t="shared" si="90"/>
        <v>36.916666666686069</v>
      </c>
      <c r="BU172" s="136">
        <f t="shared" si="91"/>
        <v>3.8333333332557231</v>
      </c>
      <c r="BV172" s="136">
        <f t="shared" si="92"/>
        <v>41.000000000058208</v>
      </c>
      <c r="BW172" s="136">
        <f t="shared" si="83"/>
        <v>20.250001388776582</v>
      </c>
      <c r="BX172" s="135">
        <f t="shared" si="93"/>
        <v>9.4166666666278616</v>
      </c>
      <c r="BY172" s="135">
        <f t="shared" si="94"/>
        <v>8.4166666666860692</v>
      </c>
      <c r="BZ172" s="134">
        <f t="shared" si="95"/>
        <v>4.993055613420438</v>
      </c>
      <c r="CA172" s="134">
        <f t="shared" si="96"/>
        <v>12.583333333328483</v>
      </c>
      <c r="CB172" s="133">
        <f t="shared" si="97"/>
        <v>0.39679912159647918</v>
      </c>
    </row>
    <row r="173" spans="1:80" s="126" customFormat="1">
      <c r="A173" s="192">
        <f t="shared" si="84"/>
        <v>45158.444444444445</v>
      </c>
      <c r="B173" s="126" t="s">
        <v>228</v>
      </c>
      <c r="C173" s="126" t="s">
        <v>229</v>
      </c>
      <c r="D173" s="126" t="s">
        <v>197</v>
      </c>
      <c r="E173" s="65" t="s">
        <v>2371</v>
      </c>
      <c r="G173" s="316">
        <v>45160.0625</v>
      </c>
      <c r="H173" s="316">
        <v>45160.04583333333</v>
      </c>
      <c r="I173" s="126" t="s">
        <v>490</v>
      </c>
      <c r="J173" s="126" t="s">
        <v>192</v>
      </c>
      <c r="K173" s="126" t="s">
        <v>192</v>
      </c>
      <c r="L173" s="126" t="s">
        <v>2375</v>
      </c>
      <c r="M173" s="167"/>
      <c r="N173" s="126" t="s">
        <v>371</v>
      </c>
      <c r="O173" s="126" t="s">
        <v>372</v>
      </c>
      <c r="P173" s="126" t="s">
        <v>494</v>
      </c>
      <c r="Q173" s="181">
        <f>3117*2.4</f>
        <v>7480.7999999999993</v>
      </c>
      <c r="R173" s="181">
        <f>7500+100</f>
        <v>7600</v>
      </c>
      <c r="S173" s="181">
        <v>7506.6220000000003</v>
      </c>
      <c r="T173" s="181"/>
      <c r="U173" s="181">
        <f t="shared" si="85"/>
        <v>7506.6220000000003</v>
      </c>
      <c r="AX173" s="165">
        <f t="shared" si="87"/>
        <v>45153.709722222222</v>
      </c>
      <c r="AY173" s="165">
        <f t="shared" si="88"/>
        <v>45163.201388888891</v>
      </c>
      <c r="AZ173" s="137">
        <f t="shared" si="89"/>
        <v>9.4916666666686069</v>
      </c>
      <c r="BA173" s="165">
        <v>45153.709722222222</v>
      </c>
      <c r="BB173" s="165">
        <v>45154.555555555555</v>
      </c>
      <c r="BC173" s="165">
        <v>45156.125</v>
      </c>
      <c r="BD173" s="165">
        <v>45158.444444444445</v>
      </c>
      <c r="BE173" s="165">
        <v>45158.649305555555</v>
      </c>
      <c r="BF173" s="165">
        <v>45158.652777777781</v>
      </c>
      <c r="BG173" s="165">
        <v>45158.652777777781</v>
      </c>
      <c r="BH173" s="165">
        <f t="shared" si="86"/>
        <v>45160.361111111117</v>
      </c>
      <c r="BI173" s="210">
        <v>45160.25</v>
      </c>
      <c r="BJ173" s="210">
        <v>45160.416666608799</v>
      </c>
      <c r="BK173" s="165">
        <v>45160.469444444447</v>
      </c>
      <c r="BL173" s="165">
        <v>45161.833333333336</v>
      </c>
      <c r="BM173" s="165">
        <v>45162.375</v>
      </c>
      <c r="BN173" s="165">
        <v>45162.847222222219</v>
      </c>
      <c r="BO173" s="165">
        <v>45162.868055555555</v>
      </c>
      <c r="BP173" s="165">
        <v>45162.868055555555</v>
      </c>
      <c r="BQ173" s="165">
        <v>45163.201388888891</v>
      </c>
      <c r="BT173" s="136">
        <f t="shared" si="90"/>
        <v>37.666666666686069</v>
      </c>
      <c r="BU173" s="136">
        <f t="shared" si="91"/>
        <v>4.9166666666278616</v>
      </c>
      <c r="BV173" s="136">
        <f t="shared" si="92"/>
        <v>41.000000000058208</v>
      </c>
      <c r="BW173" s="136">
        <f t="shared" si="83"/>
        <v>34.000001388892997</v>
      </c>
      <c r="BX173" s="135">
        <f t="shared" si="93"/>
        <v>11.333333333255723</v>
      </c>
      <c r="BY173" s="135">
        <f t="shared" si="94"/>
        <v>8.0000000000582077</v>
      </c>
      <c r="BZ173" s="134">
        <f t="shared" si="95"/>
        <v>5.7048611689824611</v>
      </c>
      <c r="CA173" s="134">
        <f t="shared" si="96"/>
        <v>9.4916666666686069</v>
      </c>
      <c r="CB173" s="133">
        <f t="shared" si="97"/>
        <v>0.60103892912884582</v>
      </c>
    </row>
    <row r="174" spans="1:80" s="126" customFormat="1">
      <c r="A174" s="192">
        <f t="shared" si="84"/>
        <v>45158.6875</v>
      </c>
      <c r="B174" s="126" t="s">
        <v>228</v>
      </c>
      <c r="C174" s="126" t="s">
        <v>229</v>
      </c>
      <c r="D174" s="126" t="s">
        <v>215</v>
      </c>
      <c r="E174" s="65" t="s">
        <v>2199</v>
      </c>
      <c r="G174" s="165">
        <v>45156.625</v>
      </c>
      <c r="H174" s="165">
        <v>45156.616666666669</v>
      </c>
      <c r="I174" s="126" t="s">
        <v>490</v>
      </c>
      <c r="J174" s="126" t="s">
        <v>192</v>
      </c>
      <c r="K174" s="126" t="s">
        <v>192</v>
      </c>
      <c r="L174" s="126" t="s">
        <v>2376</v>
      </c>
      <c r="M174" s="167"/>
      <c r="N174" s="126" t="s">
        <v>774</v>
      </c>
      <c r="O174" s="126" t="s">
        <v>423</v>
      </c>
      <c r="P174" s="126" t="s">
        <v>494</v>
      </c>
      <c r="Q174" s="181">
        <f>3156*2.4</f>
        <v>7574.4</v>
      </c>
      <c r="R174" s="181">
        <f>7600+100</f>
        <v>7700</v>
      </c>
      <c r="S174" s="181">
        <v>1840.454</v>
      </c>
      <c r="T174" s="181"/>
      <c r="U174" s="181">
        <f t="shared" si="85"/>
        <v>1840.454</v>
      </c>
      <c r="AX174" s="165">
        <f t="shared" si="87"/>
        <v>45153.291666666664</v>
      </c>
      <c r="AY174" s="165">
        <f t="shared" si="88"/>
        <v>45164.451388888891</v>
      </c>
      <c r="AZ174" s="137">
        <f t="shared" si="89"/>
        <v>11.159722222226264</v>
      </c>
      <c r="BA174" s="165">
        <v>45153.291666666664</v>
      </c>
      <c r="BB174" s="165">
        <v>45154.59375</v>
      </c>
      <c r="BC174" s="165">
        <v>45156.159722222219</v>
      </c>
      <c r="BD174" s="165">
        <v>45158.6875</v>
      </c>
      <c r="BE174" s="165">
        <v>45158.864583333336</v>
      </c>
      <c r="BF174" s="165">
        <v>45158.871527777781</v>
      </c>
      <c r="BG174" s="165">
        <v>45158.871527777781</v>
      </c>
      <c r="BH174" s="165">
        <f t="shared" si="86"/>
        <v>45160.579861111117</v>
      </c>
      <c r="BI174" s="210">
        <v>45161.25</v>
      </c>
      <c r="BJ174" s="210">
        <v>45161.416666608799</v>
      </c>
      <c r="BK174" s="165">
        <v>45161.378472222219</v>
      </c>
      <c r="BL174" s="165">
        <v>45163.555555555555</v>
      </c>
      <c r="BM174" s="165">
        <v>45163.680555555555</v>
      </c>
      <c r="BN174" s="165">
        <v>45164.03125</v>
      </c>
      <c r="BO174" s="165">
        <v>45164.041666666664</v>
      </c>
      <c r="BP174" s="165">
        <v>45164.041666666664</v>
      </c>
      <c r="BQ174" s="165">
        <v>45164.451388888891</v>
      </c>
      <c r="BT174" s="136">
        <f t="shared" si="90"/>
        <v>37.583333333255723</v>
      </c>
      <c r="BU174" s="136">
        <f t="shared" si="91"/>
        <v>4.2500000000582077</v>
      </c>
      <c r="BV174" s="136">
        <f t="shared" si="92"/>
        <v>41.000000000058208</v>
      </c>
      <c r="BW174" s="136">
        <f t="shared" si="83"/>
        <v>51.33333472214872</v>
      </c>
      <c r="BX174" s="135">
        <f t="shared" si="93"/>
        <v>8.4166666666860692</v>
      </c>
      <c r="BY174" s="135">
        <f t="shared" si="94"/>
        <v>9.8333333334303461</v>
      </c>
      <c r="BZ174" s="134">
        <f t="shared" si="95"/>
        <v>6.3506945023182197</v>
      </c>
      <c r="CA174" s="134">
        <f t="shared" si="96"/>
        <v>11.159722222226264</v>
      </c>
      <c r="CB174" s="133">
        <f t="shared" si="97"/>
        <v>0.56907281165743151</v>
      </c>
    </row>
    <row r="175" spans="1:80" s="126" customFormat="1">
      <c r="A175" s="192">
        <f t="shared" si="84"/>
        <v>45158.6875</v>
      </c>
      <c r="B175" s="126" t="s">
        <v>228</v>
      </c>
      <c r="C175" s="126" t="s">
        <v>229</v>
      </c>
      <c r="D175" s="126" t="s">
        <v>215</v>
      </c>
      <c r="E175" s="65" t="s">
        <v>2371</v>
      </c>
      <c r="G175" s="316">
        <v>45160.0625</v>
      </c>
      <c r="H175" s="316">
        <v>45160.04583333333</v>
      </c>
      <c r="I175" s="126" t="s">
        <v>490</v>
      </c>
      <c r="J175" s="126" t="s">
        <v>192</v>
      </c>
      <c r="K175" s="126" t="s">
        <v>192</v>
      </c>
      <c r="L175" s="126" t="s">
        <v>2376</v>
      </c>
      <c r="M175" s="167"/>
      <c r="N175" s="126" t="s">
        <v>774</v>
      </c>
      <c r="O175" s="126" t="s">
        <v>423</v>
      </c>
      <c r="P175" s="126" t="s">
        <v>494</v>
      </c>
      <c r="Q175" s="181">
        <f>3156*2.4</f>
        <v>7574.4</v>
      </c>
      <c r="R175" s="181">
        <f>7600+100</f>
        <v>7700</v>
      </c>
      <c r="S175" s="181">
        <f>7041.29-2523.622</f>
        <v>4517.6679999999997</v>
      </c>
      <c r="T175" s="181"/>
      <c r="U175" s="181">
        <f t="shared" si="85"/>
        <v>4517.6679999999997</v>
      </c>
      <c r="AX175" s="165">
        <f t="shared" si="87"/>
        <v>45153.291666666664</v>
      </c>
      <c r="AY175" s="165">
        <f t="shared" si="88"/>
        <v>45163.555555555555</v>
      </c>
      <c r="AZ175" s="137">
        <f t="shared" si="89"/>
        <v>10.263888888890506</v>
      </c>
      <c r="BA175" s="165">
        <v>45153.291666666664</v>
      </c>
      <c r="BB175" s="165">
        <v>45154.59375</v>
      </c>
      <c r="BC175" s="165">
        <v>45156.159722222219</v>
      </c>
      <c r="BD175" s="165">
        <v>45158.6875</v>
      </c>
      <c r="BE175" s="165">
        <v>45158.864583333336</v>
      </c>
      <c r="BF175" s="165">
        <v>45158.871527777781</v>
      </c>
      <c r="BG175" s="165">
        <v>45158.871527777781</v>
      </c>
      <c r="BH175" s="165">
        <f t="shared" si="86"/>
        <v>45160.579861111117</v>
      </c>
      <c r="BI175" s="210">
        <v>45161.25</v>
      </c>
      <c r="BJ175" s="210">
        <v>45161.416666608799</v>
      </c>
      <c r="BK175" s="165">
        <v>45161.378472222219</v>
      </c>
      <c r="BL175" s="165">
        <v>45162.583333333336</v>
      </c>
      <c r="BM175" s="165">
        <v>45162.868055555555</v>
      </c>
      <c r="BN175" s="165">
        <v>45163.489583333336</v>
      </c>
      <c r="BO175" s="165">
        <v>45163.555555555555</v>
      </c>
      <c r="BP175" s="165">
        <v>45163.555555555555</v>
      </c>
      <c r="BQ175" s="165">
        <v>45163.555555555555</v>
      </c>
      <c r="BT175" s="136">
        <f t="shared" si="90"/>
        <v>37.583333333255723</v>
      </c>
      <c r="BU175" s="136">
        <f t="shared" si="91"/>
        <v>4.2500000000582077</v>
      </c>
      <c r="BV175" s="136">
        <f t="shared" si="92"/>
        <v>41.000000000058208</v>
      </c>
      <c r="BW175" s="136">
        <f t="shared" si="83"/>
        <v>28.000001388892997</v>
      </c>
      <c r="BX175" s="135">
        <f t="shared" si="93"/>
        <v>14.916666666744277</v>
      </c>
      <c r="BY175" s="135">
        <f t="shared" si="94"/>
        <v>0</v>
      </c>
      <c r="BZ175" s="134">
        <f t="shared" si="95"/>
        <v>5.2395833912087255</v>
      </c>
      <c r="CA175" s="134">
        <f t="shared" si="96"/>
        <v>10.263888888890506</v>
      </c>
      <c r="CB175" s="133">
        <f t="shared" si="97"/>
        <v>0.51048715042891579</v>
      </c>
    </row>
    <row r="176" spans="1:80" s="126" customFormat="1">
      <c r="A176" s="192">
        <f t="shared" si="84"/>
        <v>45159.333333333336</v>
      </c>
      <c r="B176" s="126" t="s">
        <v>228</v>
      </c>
      <c r="C176" s="126" t="s">
        <v>229</v>
      </c>
      <c r="D176" s="126" t="s">
        <v>197</v>
      </c>
      <c r="E176" s="65" t="s">
        <v>2392</v>
      </c>
      <c r="G176" s="316">
        <v>45159.354166666664</v>
      </c>
      <c r="H176" s="316">
        <v>45159.354166666664</v>
      </c>
      <c r="I176" s="126" t="s">
        <v>490</v>
      </c>
      <c r="J176" s="126" t="s">
        <v>192</v>
      </c>
      <c r="K176" s="126" t="s">
        <v>192</v>
      </c>
      <c r="L176" s="126" t="s">
        <v>2396</v>
      </c>
      <c r="M176" s="167"/>
      <c r="N176" s="126" t="s">
        <v>298</v>
      </c>
      <c r="O176" s="126" t="s">
        <v>299</v>
      </c>
      <c r="P176" s="126" t="s">
        <v>494</v>
      </c>
      <c r="Q176" s="181">
        <f>4337*2.4</f>
        <v>10408.799999999999</v>
      </c>
      <c r="R176" s="181">
        <f>10450+100</f>
        <v>10550</v>
      </c>
      <c r="S176" s="181">
        <v>8304.8420000000006</v>
      </c>
      <c r="T176" s="181"/>
      <c r="U176" s="181">
        <f t="shared" si="85"/>
        <v>8304.8420000000006</v>
      </c>
      <c r="AX176" s="165">
        <f t="shared" si="87"/>
        <v>45153.940972222219</v>
      </c>
      <c r="AY176" s="165">
        <f t="shared" si="88"/>
        <v>45165.923611111109</v>
      </c>
      <c r="AZ176" s="137">
        <f t="shared" si="89"/>
        <v>11.982638888890506</v>
      </c>
      <c r="BA176" s="165">
        <v>45153.940972222219</v>
      </c>
      <c r="BB176" s="165">
        <v>45154.784722222219</v>
      </c>
      <c r="BC176" s="165">
        <v>45156.1875</v>
      </c>
      <c r="BD176" s="165">
        <v>45159.333333333336</v>
      </c>
      <c r="BE176" s="165">
        <v>45159.506944444445</v>
      </c>
      <c r="BF176" s="165">
        <v>45159.510416666664</v>
      </c>
      <c r="BG176" s="165">
        <v>45159.510416666664</v>
      </c>
      <c r="BH176" s="165">
        <f t="shared" si="86"/>
        <v>45161.21875</v>
      </c>
      <c r="BI176" s="210">
        <v>45161.25</v>
      </c>
      <c r="BJ176" s="210">
        <v>45161.416666608799</v>
      </c>
      <c r="BK176" s="165">
        <v>45161.302083333336</v>
      </c>
      <c r="BL176" s="165">
        <v>45162.416666666664</v>
      </c>
      <c r="BM176" s="165">
        <v>45165.232638888891</v>
      </c>
      <c r="BN176" s="165">
        <v>45165.5625</v>
      </c>
      <c r="BO176" s="165">
        <v>45165.583333333336</v>
      </c>
      <c r="BP176" s="165">
        <v>45165.583333333336</v>
      </c>
      <c r="BQ176" s="165">
        <v>45165.923611111109</v>
      </c>
      <c r="BT176" s="136">
        <f t="shared" si="90"/>
        <v>33.666666666744277</v>
      </c>
      <c r="BU176" s="136">
        <f t="shared" si="91"/>
        <v>4.1666666666278616</v>
      </c>
      <c r="BV176" s="136">
        <f t="shared" si="92"/>
        <v>41.000000000058208</v>
      </c>
      <c r="BW176" s="136">
        <f t="shared" si="83"/>
        <v>24.000001388776582</v>
      </c>
      <c r="BX176" s="135">
        <f t="shared" si="93"/>
        <v>7.9166666666278616</v>
      </c>
      <c r="BY176" s="135">
        <f t="shared" si="94"/>
        <v>8.1666666665696539</v>
      </c>
      <c r="BZ176" s="134">
        <f t="shared" si="95"/>
        <v>4.9548611689751851</v>
      </c>
      <c r="CA176" s="134">
        <f t="shared" si="96"/>
        <v>11.982638888890506</v>
      </c>
      <c r="CB176" s="133">
        <f t="shared" si="97"/>
        <v>0.4135033371963665</v>
      </c>
    </row>
    <row r="177" spans="1:82" s="126" customFormat="1">
      <c r="A177" s="192">
        <f t="shared" si="84"/>
        <v>45159.538194444445</v>
      </c>
      <c r="B177" s="126" t="s">
        <v>228</v>
      </c>
      <c r="C177" s="126" t="s">
        <v>229</v>
      </c>
      <c r="D177" s="126" t="s">
        <v>197</v>
      </c>
      <c r="E177" s="65" t="s">
        <v>2392</v>
      </c>
      <c r="G177" s="316">
        <v>45159.354166666664</v>
      </c>
      <c r="H177" s="316">
        <v>45159.354166666664</v>
      </c>
      <c r="I177" s="126" t="s">
        <v>490</v>
      </c>
      <c r="J177" s="126" t="s">
        <v>192</v>
      </c>
      <c r="K177" s="126" t="s">
        <v>192</v>
      </c>
      <c r="L177" s="126" t="s">
        <v>2398</v>
      </c>
      <c r="M177" s="167"/>
      <c r="N177" s="126" t="s">
        <v>429</v>
      </c>
      <c r="O177" s="126" t="s">
        <v>430</v>
      </c>
      <c r="P177" s="126" t="s">
        <v>494</v>
      </c>
      <c r="Q177" s="181">
        <f>3145 *2.4</f>
        <v>7548</v>
      </c>
      <c r="R177" s="181">
        <f>7550+100</f>
        <v>7650</v>
      </c>
      <c r="S177" s="181">
        <v>7543.2209999999995</v>
      </c>
      <c r="T177" s="181"/>
      <c r="U177" s="181">
        <f t="shared" si="85"/>
        <v>7543.2209999999995</v>
      </c>
      <c r="AX177" s="165">
        <f t="shared" si="87"/>
        <v>45153.541666666664</v>
      </c>
      <c r="AY177" s="165">
        <f t="shared" si="88"/>
        <v>45166.694444444445</v>
      </c>
      <c r="AZ177" s="137">
        <f t="shared" si="89"/>
        <v>13.152777777781012</v>
      </c>
      <c r="BA177" s="165">
        <v>45153.541666666664</v>
      </c>
      <c r="BB177" s="165">
        <v>45154.621527777781</v>
      </c>
      <c r="BC177" s="165">
        <v>45156.25</v>
      </c>
      <c r="BD177" s="165">
        <v>45159.538194444445</v>
      </c>
      <c r="BE177" s="165">
        <v>45159.660416666666</v>
      </c>
      <c r="BF177" s="165">
        <v>45159.663194444445</v>
      </c>
      <c r="BG177" s="165">
        <v>45159.663194444445</v>
      </c>
      <c r="BH177" s="165">
        <f t="shared" si="86"/>
        <v>45161.371527777781</v>
      </c>
      <c r="BI177" s="210">
        <v>45162.25</v>
      </c>
      <c r="BJ177" s="210">
        <v>45162.416666608799</v>
      </c>
      <c r="BK177" s="165">
        <v>45162.34375</v>
      </c>
      <c r="BL177" s="165">
        <v>45163.638888888891</v>
      </c>
      <c r="BM177" s="165">
        <v>45165.96875</v>
      </c>
      <c r="BN177" s="165">
        <v>45166.180555555555</v>
      </c>
      <c r="BO177" s="165">
        <v>45166.201388888891</v>
      </c>
      <c r="BP177" s="165">
        <v>45166.538194444445</v>
      </c>
      <c r="BQ177" s="165">
        <v>45166.694444444445</v>
      </c>
      <c r="BT177" s="136">
        <f t="shared" si="90"/>
        <v>39.083333333255723</v>
      </c>
      <c r="BU177" s="136">
        <f t="shared" si="91"/>
        <v>2.9333333332906477</v>
      </c>
      <c r="BV177" s="136">
        <f t="shared" si="92"/>
        <v>41.000000000058208</v>
      </c>
      <c r="BW177" s="136">
        <f t="shared" si="83"/>
        <v>29.333334722206928</v>
      </c>
      <c r="BX177" s="135">
        <f t="shared" si="93"/>
        <v>5.0833333333139308</v>
      </c>
      <c r="BY177" s="135">
        <f t="shared" si="94"/>
        <v>3.75</v>
      </c>
      <c r="BZ177" s="134">
        <f t="shared" si="95"/>
        <v>5.0493056134218932</v>
      </c>
      <c r="CA177" s="134">
        <f t="shared" si="96"/>
        <v>13.152777777781012</v>
      </c>
      <c r="CB177" s="133">
        <f t="shared" si="97"/>
        <v>0.38389651971096822</v>
      </c>
    </row>
    <row r="178" spans="1:82" s="126" customFormat="1">
      <c r="A178" s="192">
        <f t="shared" si="84"/>
        <v>45159.982638888891</v>
      </c>
      <c r="B178" s="126" t="s">
        <v>228</v>
      </c>
      <c r="C178" s="126" t="s">
        <v>229</v>
      </c>
      <c r="D178" s="285" t="s">
        <v>1248</v>
      </c>
      <c r="E178" s="65" t="s">
        <v>2392</v>
      </c>
      <c r="G178" s="316">
        <v>45159.354166666664</v>
      </c>
      <c r="H178" s="316">
        <v>45159.354166666664</v>
      </c>
      <c r="I178" s="126" t="s">
        <v>490</v>
      </c>
      <c r="J178" s="126" t="s">
        <v>192</v>
      </c>
      <c r="K178" s="126" t="s">
        <v>192</v>
      </c>
      <c r="L178" s="126" t="s">
        <v>2399</v>
      </c>
      <c r="M178" s="167"/>
      <c r="N178" s="126" t="s">
        <v>2322</v>
      </c>
      <c r="O178" s="126" t="s">
        <v>2323</v>
      </c>
      <c r="P178" s="126" t="s">
        <v>494</v>
      </c>
      <c r="Q178" s="181">
        <f>3103 *2.4</f>
        <v>7447.2</v>
      </c>
      <c r="R178" s="181">
        <f>7450+100</f>
        <v>7550</v>
      </c>
      <c r="S178" s="181">
        <v>7554.3559999999998</v>
      </c>
      <c r="T178" s="181"/>
      <c r="U178" s="181">
        <f t="shared" si="85"/>
        <v>7554.3559999999998</v>
      </c>
      <c r="AX178" s="165">
        <f t="shared" si="87"/>
        <v>45155.083333333336</v>
      </c>
      <c r="AY178" s="165">
        <f t="shared" si="88"/>
        <v>45166.506944444445</v>
      </c>
      <c r="AZ178" s="137">
        <f t="shared" si="89"/>
        <v>11.423611111109494</v>
      </c>
      <c r="BA178" s="165">
        <v>45155.083333333336</v>
      </c>
      <c r="BB178" s="165">
        <v>45156.815972222219</v>
      </c>
      <c r="BC178" s="165">
        <v>45158.6875</v>
      </c>
      <c r="BD178" s="165">
        <v>45159.982638888891</v>
      </c>
      <c r="BE178" s="165">
        <v>45160.133333333331</v>
      </c>
      <c r="BF178" s="165">
        <v>45160.143750000003</v>
      </c>
      <c r="BG178" s="165">
        <v>45160.143750000003</v>
      </c>
      <c r="BH178" s="165">
        <f t="shared" si="86"/>
        <v>45161.852083333339</v>
      </c>
      <c r="BI178" s="210">
        <v>45163.25</v>
      </c>
      <c r="BJ178" s="210">
        <v>45163.416666608799</v>
      </c>
      <c r="BK178" s="165">
        <v>45163.34375</v>
      </c>
      <c r="BL178" s="165">
        <v>45164.732638888891</v>
      </c>
      <c r="BM178" s="165">
        <v>45166.243055555555</v>
      </c>
      <c r="BN178" s="165">
        <v>45166.486111111109</v>
      </c>
      <c r="BO178" s="165">
        <v>45166.506944444445</v>
      </c>
      <c r="BP178" s="165">
        <v>45166.506944444445</v>
      </c>
      <c r="BQ178" s="165">
        <v>45166.506944444445</v>
      </c>
      <c r="BT178" s="136">
        <f t="shared" si="90"/>
        <v>44.916666666744277</v>
      </c>
      <c r="BU178" s="136">
        <f t="shared" si="91"/>
        <v>3.6166666665812954</v>
      </c>
      <c r="BV178" s="136">
        <f t="shared" si="92"/>
        <v>41.000000000058208</v>
      </c>
      <c r="BW178" s="136">
        <f t="shared" si="83"/>
        <v>31.583334722206928</v>
      </c>
      <c r="BX178" s="135">
        <f t="shared" si="93"/>
        <v>5.8333333333139308</v>
      </c>
      <c r="BY178" s="135">
        <f t="shared" si="94"/>
        <v>0</v>
      </c>
      <c r="BZ178" s="134">
        <f t="shared" si="95"/>
        <v>5.2895833912043599</v>
      </c>
      <c r="CA178" s="134">
        <f t="shared" si="96"/>
        <v>11.423611111109494</v>
      </c>
      <c r="CB178" s="133">
        <f t="shared" si="97"/>
        <v>0.46303951874379068</v>
      </c>
    </row>
    <row r="179" spans="1:82" s="126" customFormat="1">
      <c r="A179" s="192">
        <f t="shared" si="84"/>
        <v>45160.173611111109</v>
      </c>
      <c r="B179" s="126" t="s">
        <v>228</v>
      </c>
      <c r="C179" s="126" t="s">
        <v>229</v>
      </c>
      <c r="D179" s="285" t="s">
        <v>1248</v>
      </c>
      <c r="E179" s="65" t="s">
        <v>2392</v>
      </c>
      <c r="G179" s="316">
        <v>45159.354166666664</v>
      </c>
      <c r="H179" s="316">
        <v>45159.354166666664</v>
      </c>
      <c r="I179" s="126" t="s">
        <v>490</v>
      </c>
      <c r="J179" s="126" t="s">
        <v>192</v>
      </c>
      <c r="K179" s="126" t="s">
        <v>192</v>
      </c>
      <c r="L179" s="126" t="s">
        <v>2400</v>
      </c>
      <c r="M179" s="167"/>
      <c r="N179" s="126" t="s">
        <v>2328</v>
      </c>
      <c r="O179" s="126" t="s">
        <v>2329</v>
      </c>
      <c r="P179" s="126" t="s">
        <v>494</v>
      </c>
      <c r="Q179" s="181">
        <f>3107  *2.4</f>
        <v>7456.7999999999993</v>
      </c>
      <c r="R179" s="181">
        <f>7450+100</f>
        <v>7550</v>
      </c>
      <c r="S179" s="181">
        <v>7304.87</v>
      </c>
      <c r="T179" s="181"/>
      <c r="U179" s="181">
        <f t="shared" si="85"/>
        <v>7304.87</v>
      </c>
      <c r="AX179" s="165">
        <f t="shared" si="87"/>
        <v>45155.083333333336</v>
      </c>
      <c r="AY179" s="165">
        <f t="shared" si="88"/>
        <v>45166.854166666664</v>
      </c>
      <c r="AZ179" s="137">
        <f t="shared" si="89"/>
        <v>11.770833333328483</v>
      </c>
      <c r="BA179" s="165">
        <v>45155.083333333336</v>
      </c>
      <c r="BB179" s="165">
        <v>45156.784722222219</v>
      </c>
      <c r="BC179" s="165">
        <v>45158.770833333336</v>
      </c>
      <c r="BD179" s="165">
        <v>45160.173611111109</v>
      </c>
      <c r="BE179" s="165">
        <v>45160.416666666664</v>
      </c>
      <c r="BF179" s="165">
        <v>45160.423611111109</v>
      </c>
      <c r="BG179" s="165">
        <v>45160.423611111109</v>
      </c>
      <c r="BH179" s="165">
        <f t="shared" si="86"/>
        <v>45162.131944444445</v>
      </c>
      <c r="BI179" s="210">
        <v>45163.25</v>
      </c>
      <c r="BJ179" s="210">
        <v>45163.416666608799</v>
      </c>
      <c r="BK179" s="165">
        <v>45163.361111111109</v>
      </c>
      <c r="BL179" s="165">
        <v>45164.875</v>
      </c>
      <c r="BM179" s="165">
        <v>45166.548611111109</v>
      </c>
      <c r="BN179" s="165">
        <v>45166.833333333336</v>
      </c>
      <c r="BO179" s="165">
        <v>45166.854166666664</v>
      </c>
      <c r="BP179" s="165">
        <v>45166.854166666664</v>
      </c>
      <c r="BQ179" s="165">
        <v>45166.854166666664</v>
      </c>
      <c r="BT179" s="136">
        <f t="shared" si="90"/>
        <v>47.666666666802485</v>
      </c>
      <c r="BU179" s="136">
        <f t="shared" si="91"/>
        <v>5.8333333333139308</v>
      </c>
      <c r="BV179" s="136">
        <f t="shared" si="92"/>
        <v>41.000000000058208</v>
      </c>
      <c r="BW179" s="136">
        <f t="shared" si="83"/>
        <v>35.000001388834789</v>
      </c>
      <c r="BX179" s="135">
        <f t="shared" si="93"/>
        <v>6.8333333334303461</v>
      </c>
      <c r="BY179" s="135">
        <f t="shared" si="94"/>
        <v>0</v>
      </c>
      <c r="BZ179" s="134">
        <f t="shared" si="95"/>
        <v>5.6805556134349899</v>
      </c>
      <c r="CA179" s="134">
        <f t="shared" si="96"/>
        <v>11.770833333328483</v>
      </c>
      <c r="CB179" s="133">
        <f t="shared" si="97"/>
        <v>0.48259587512387941</v>
      </c>
    </row>
    <row r="180" spans="1:82" s="126" customFormat="1">
      <c r="A180" s="192">
        <f t="shared" si="84"/>
        <v>45160.46875</v>
      </c>
      <c r="B180" s="126" t="s">
        <v>228</v>
      </c>
      <c r="C180" s="126" t="s">
        <v>229</v>
      </c>
      <c r="D180" s="285" t="s">
        <v>1248</v>
      </c>
      <c r="E180" s="65" t="s">
        <v>2392</v>
      </c>
      <c r="G180" s="316">
        <v>45159.354166666664</v>
      </c>
      <c r="H180" s="316">
        <v>45159.354166666664</v>
      </c>
      <c r="I180" s="126" t="s">
        <v>490</v>
      </c>
      <c r="J180" s="126" t="s">
        <v>192</v>
      </c>
      <c r="K180" s="126" t="s">
        <v>192</v>
      </c>
      <c r="L180" s="126" t="s">
        <v>2401</v>
      </c>
      <c r="M180" s="167"/>
      <c r="N180" s="126" t="s">
        <v>2319</v>
      </c>
      <c r="O180" s="126" t="s">
        <v>2402</v>
      </c>
      <c r="P180" s="126" t="s">
        <v>494</v>
      </c>
      <c r="Q180" s="181">
        <f>3107*2.4</f>
        <v>7456.7999999999993</v>
      </c>
      <c r="R180" s="181">
        <f>7450+100</f>
        <v>7550</v>
      </c>
      <c r="S180" s="181">
        <v>7470.91</v>
      </c>
      <c r="T180" s="181"/>
      <c r="U180" s="181">
        <f t="shared" si="85"/>
        <v>7470.91</v>
      </c>
      <c r="AX180" s="165">
        <f t="shared" si="87"/>
        <v>45155.083333333336</v>
      </c>
      <c r="AY180" s="165">
        <f t="shared" si="88"/>
        <v>45167.131944444445</v>
      </c>
      <c r="AZ180" s="137">
        <f t="shared" si="89"/>
        <v>12.048611111109494</v>
      </c>
      <c r="BA180" s="165">
        <v>45155.083333333336</v>
      </c>
      <c r="BB180" s="165">
        <v>45156.777777777781</v>
      </c>
      <c r="BC180" s="165">
        <v>45158.861111111109</v>
      </c>
      <c r="BD180" s="165">
        <v>45160.46875</v>
      </c>
      <c r="BE180" s="165">
        <v>45160.611111111109</v>
      </c>
      <c r="BF180" s="165">
        <v>45160.615972222222</v>
      </c>
      <c r="BG180" s="165">
        <v>45160.615972222222</v>
      </c>
      <c r="BH180" s="165">
        <f t="shared" si="86"/>
        <v>45162.324305555558</v>
      </c>
      <c r="BI180" s="210">
        <v>45163.25</v>
      </c>
      <c r="BJ180" s="210">
        <v>45163.416666608799</v>
      </c>
      <c r="BK180" s="165">
        <v>45163.322916666664</v>
      </c>
      <c r="BL180" s="165">
        <v>45164.833333333336</v>
      </c>
      <c r="BM180" s="165">
        <v>45166.895833333328</v>
      </c>
      <c r="BN180" s="165">
        <v>45167.111111111109</v>
      </c>
      <c r="BO180" s="165">
        <v>45167.131944444445</v>
      </c>
      <c r="BP180" s="165">
        <v>45167.131944444445</v>
      </c>
      <c r="BQ180" s="165">
        <v>45167.131944444445</v>
      </c>
      <c r="BT180" s="136">
        <f t="shared" si="90"/>
        <v>49.999999999883585</v>
      </c>
      <c r="BU180" s="136">
        <f t="shared" si="91"/>
        <v>3.4166666666278616</v>
      </c>
      <c r="BV180" s="136">
        <f t="shared" si="92"/>
        <v>41.000000000058208</v>
      </c>
      <c r="BW180" s="136">
        <f t="shared" si="83"/>
        <v>34.000001388892997</v>
      </c>
      <c r="BX180" s="135">
        <f t="shared" si="93"/>
        <v>5.1666666667442769</v>
      </c>
      <c r="BY180" s="135">
        <f t="shared" si="94"/>
        <v>0</v>
      </c>
      <c r="BZ180" s="134">
        <f t="shared" si="95"/>
        <v>5.5659722800919553</v>
      </c>
      <c r="CA180" s="134">
        <f t="shared" si="96"/>
        <v>12.048611111109494</v>
      </c>
      <c r="CB180" s="133">
        <f t="shared" si="97"/>
        <v>0.46195965898175745</v>
      </c>
    </row>
    <row r="181" spans="1:82" s="126" customFormat="1">
      <c r="A181" s="192">
        <f t="shared" si="84"/>
        <v>45160.643750000003</v>
      </c>
      <c r="B181" s="126" t="s">
        <v>228</v>
      </c>
      <c r="C181" s="126" t="s">
        <v>229</v>
      </c>
      <c r="D181" s="126" t="s">
        <v>197</v>
      </c>
      <c r="E181" s="65" t="s">
        <v>2392</v>
      </c>
      <c r="G181" s="316">
        <v>45159.354166666664</v>
      </c>
      <c r="H181" s="316">
        <v>45159.354166666664</v>
      </c>
      <c r="I181" s="126" t="s">
        <v>490</v>
      </c>
      <c r="J181" s="126" t="s">
        <v>192</v>
      </c>
      <c r="K181" s="126" t="s">
        <v>192</v>
      </c>
      <c r="L181" s="126" t="s">
        <v>2403</v>
      </c>
      <c r="M181" s="167"/>
      <c r="N181" s="126" t="s">
        <v>2404</v>
      </c>
      <c r="O181" s="126" t="s">
        <v>2405</v>
      </c>
      <c r="P181" s="126" t="s">
        <v>494</v>
      </c>
      <c r="Q181" s="181">
        <f>4337*2.4</f>
        <v>10408.799999999999</v>
      </c>
      <c r="R181" s="181">
        <f>10450+100</f>
        <v>10550</v>
      </c>
      <c r="S181" s="181">
        <f>8108.679-1602.13</f>
        <v>6506.549</v>
      </c>
      <c r="T181" s="181"/>
      <c r="U181" s="181">
        <f t="shared" si="85"/>
        <v>6506.549</v>
      </c>
      <c r="AX181" s="165">
        <f t="shared" si="87"/>
        <v>45154.527777777781</v>
      </c>
      <c r="AY181" s="165">
        <f t="shared" si="88"/>
        <v>45167.833333333336</v>
      </c>
      <c r="AZ181" s="137">
        <f t="shared" si="89"/>
        <v>13.305555555554747</v>
      </c>
      <c r="BA181" s="165">
        <v>45154.527777777781</v>
      </c>
      <c r="BB181" s="165">
        <v>45155.774305555555</v>
      </c>
      <c r="BC181" s="165">
        <v>45157.666666666664</v>
      </c>
      <c r="BD181" s="165">
        <v>45160.643750000003</v>
      </c>
      <c r="BE181" s="165">
        <v>45160.884027777778</v>
      </c>
      <c r="BF181" s="165">
        <v>45160.888888888891</v>
      </c>
      <c r="BG181" s="165">
        <v>45161.256944444445</v>
      </c>
      <c r="BH181" s="165">
        <f t="shared" si="86"/>
        <v>45162.965277777781</v>
      </c>
      <c r="BI181" s="210">
        <v>45163.25</v>
      </c>
      <c r="BJ181" s="210">
        <v>45163.416666608799</v>
      </c>
      <c r="BK181" s="165">
        <v>45163.395833333336</v>
      </c>
      <c r="BL181" s="165">
        <v>45164.854166666664</v>
      </c>
      <c r="BM181" s="165">
        <v>45167.173611111109</v>
      </c>
      <c r="BN181" s="165">
        <v>45167.722222222219</v>
      </c>
      <c r="BO181" s="165">
        <v>45167.833333333336</v>
      </c>
      <c r="BP181" s="165">
        <v>45167.833333333336</v>
      </c>
      <c r="BQ181" s="165">
        <v>45167.833333333336</v>
      </c>
      <c r="BR181" s="126" t="s">
        <v>2745</v>
      </c>
      <c r="BT181" s="136">
        <f t="shared" si="90"/>
        <v>45.416666666627862</v>
      </c>
      <c r="BU181" s="136">
        <f t="shared" si="91"/>
        <v>5.7666666666045785</v>
      </c>
      <c r="BV181" s="136">
        <f t="shared" si="92"/>
        <v>41.000000000058208</v>
      </c>
      <c r="BW181" s="136">
        <f t="shared" si="83"/>
        <v>34.500001388776582</v>
      </c>
      <c r="BX181" s="135">
        <f t="shared" si="93"/>
        <v>13.166666666627862</v>
      </c>
      <c r="BY181" s="135">
        <f t="shared" si="94"/>
        <v>0</v>
      </c>
      <c r="BZ181" s="134">
        <f t="shared" si="95"/>
        <v>5.8270833911956288</v>
      </c>
      <c r="CA181" s="134">
        <f t="shared" si="96"/>
        <v>13.305555555554747</v>
      </c>
      <c r="CB181" s="133">
        <f t="shared" si="97"/>
        <v>0.43794363691660831</v>
      </c>
    </row>
    <row r="182" spans="1:82" s="126" customFormat="1">
      <c r="A182" s="192">
        <f t="shared" si="84"/>
        <v>45160.643750000003</v>
      </c>
      <c r="B182" s="126" t="s">
        <v>228</v>
      </c>
      <c r="C182" s="126" t="s">
        <v>229</v>
      </c>
      <c r="D182" s="126" t="s">
        <v>197</v>
      </c>
      <c r="E182" s="65" t="s">
        <v>2746</v>
      </c>
      <c r="G182" s="316">
        <v>45165.458333333336</v>
      </c>
      <c r="H182" s="316">
        <v>45165.444444444445</v>
      </c>
      <c r="I182" s="126" t="s">
        <v>490</v>
      </c>
      <c r="J182" s="126" t="s">
        <v>192</v>
      </c>
      <c r="K182" s="126" t="s">
        <v>192</v>
      </c>
      <c r="L182" s="126" t="s">
        <v>2403</v>
      </c>
      <c r="M182" s="167"/>
      <c r="N182" s="126" t="s">
        <v>2404</v>
      </c>
      <c r="O182" s="126" t="s">
        <v>2405</v>
      </c>
      <c r="P182" s="126" t="s">
        <v>494</v>
      </c>
      <c r="Q182" s="181">
        <f>4337*2.4</f>
        <v>10408.799999999999</v>
      </c>
      <c r="R182" s="181">
        <f>10450+100</f>
        <v>10550</v>
      </c>
      <c r="S182" s="181">
        <v>1150.9570000000001</v>
      </c>
      <c r="T182" s="181"/>
      <c r="U182" s="181">
        <f t="shared" si="85"/>
        <v>1150.9570000000001</v>
      </c>
      <c r="AX182" s="165">
        <f t="shared" si="87"/>
        <v>45154.527777777781</v>
      </c>
      <c r="AY182" s="165">
        <f t="shared" si="88"/>
        <v>45175.25</v>
      </c>
      <c r="AZ182" s="137">
        <f t="shared" si="89"/>
        <v>20.722222222218988</v>
      </c>
      <c r="BA182" s="165">
        <v>45154.527777777781</v>
      </c>
      <c r="BB182" s="165">
        <v>45155.774305555555</v>
      </c>
      <c r="BC182" s="165">
        <v>45157.666666666664</v>
      </c>
      <c r="BD182" s="165">
        <v>45160.643750000003</v>
      </c>
      <c r="BE182" s="165">
        <v>45160.884027777778</v>
      </c>
      <c r="BF182" s="165">
        <v>45160.888888888891</v>
      </c>
      <c r="BG182" s="165">
        <v>45161.256944444445</v>
      </c>
      <c r="BH182" s="165">
        <f t="shared" si="86"/>
        <v>45162.965277777781</v>
      </c>
      <c r="BI182" s="210">
        <v>45163.25</v>
      </c>
      <c r="BJ182" s="210">
        <v>45163.416666608799</v>
      </c>
      <c r="BK182" s="165">
        <v>45163.395833333336</v>
      </c>
      <c r="BL182" s="165">
        <v>45167.833333333336</v>
      </c>
      <c r="BM182" s="165">
        <v>45174.5</v>
      </c>
      <c r="BN182" s="165">
        <v>45174.53125</v>
      </c>
      <c r="BO182" s="165">
        <v>45174.559027777781</v>
      </c>
      <c r="BP182" s="165">
        <v>45174.625</v>
      </c>
      <c r="BQ182" s="165">
        <v>45175.25</v>
      </c>
      <c r="BR182" s="126" t="s">
        <v>2745</v>
      </c>
      <c r="BT182" s="136">
        <f t="shared" si="90"/>
        <v>45.416666666627862</v>
      </c>
      <c r="BU182" s="136">
        <f t="shared" si="91"/>
        <v>5.7666666666045785</v>
      </c>
      <c r="BV182" s="136">
        <f t="shared" si="92"/>
        <v>41.000000000058208</v>
      </c>
      <c r="BW182" s="136">
        <f t="shared" si="83"/>
        <v>106.000001388893</v>
      </c>
      <c r="BX182" s="135">
        <f t="shared" si="93"/>
        <v>0.75</v>
      </c>
      <c r="BY182" s="135">
        <f t="shared" si="94"/>
        <v>15</v>
      </c>
      <c r="BZ182" s="134">
        <f t="shared" si="95"/>
        <v>8.9138889467576519</v>
      </c>
      <c r="CA182" s="134">
        <f t="shared" si="96"/>
        <v>20.722222222218988</v>
      </c>
      <c r="CB182" s="133">
        <f t="shared" si="97"/>
        <v>0.43016086070150877</v>
      </c>
    </row>
    <row r="183" spans="1:82" s="126" customFormat="1">
      <c r="A183" s="119">
        <f t="shared" si="84"/>
        <v>45164.913194444445</v>
      </c>
      <c r="B183" s="115" t="s">
        <v>228</v>
      </c>
      <c r="C183" s="115" t="s">
        <v>229</v>
      </c>
      <c r="D183" s="115" t="s">
        <v>215</v>
      </c>
      <c r="E183" s="77" t="s">
        <v>2420</v>
      </c>
      <c r="F183" s="115"/>
      <c r="G183" s="360">
        <v>45157.375</v>
      </c>
      <c r="H183" s="360">
        <v>45157.375</v>
      </c>
      <c r="I183" s="115" t="s">
        <v>497</v>
      </c>
      <c r="J183" s="126" t="s">
        <v>192</v>
      </c>
      <c r="K183" s="126" t="s">
        <v>192</v>
      </c>
      <c r="L183" s="115" t="s">
        <v>2426</v>
      </c>
      <c r="M183" s="167"/>
      <c r="N183" s="115" t="s">
        <v>352</v>
      </c>
      <c r="O183" s="115" t="s">
        <v>353</v>
      </c>
      <c r="P183" s="115" t="s">
        <v>494</v>
      </c>
      <c r="Q183" s="117">
        <f>3852*2.4</f>
        <v>9244.7999999999993</v>
      </c>
      <c r="R183" s="117">
        <f>9250+100</f>
        <v>9350</v>
      </c>
      <c r="S183" s="117">
        <v>9315.1170000000002</v>
      </c>
      <c r="T183" s="117"/>
      <c r="U183" s="117">
        <f t="shared" si="85"/>
        <v>9315.1170000000002</v>
      </c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115"/>
      <c r="AO183" s="115"/>
      <c r="AP183" s="115"/>
      <c r="AQ183" s="115"/>
      <c r="AR183" s="115"/>
      <c r="AS183" s="115"/>
      <c r="AT183" s="115"/>
      <c r="AU183" s="115"/>
      <c r="AV183" s="115"/>
      <c r="AW183" s="115"/>
      <c r="AX183" s="251">
        <f t="shared" si="87"/>
        <v>45157.375</v>
      </c>
      <c r="AY183" s="251">
        <f t="shared" si="88"/>
        <v>45171.395833333336</v>
      </c>
      <c r="AZ183" s="300">
        <f t="shared" si="89"/>
        <v>14.020833333335759</v>
      </c>
      <c r="BA183" s="251">
        <v>45157.375</v>
      </c>
      <c r="BB183" s="251">
        <v>45157.798611111109</v>
      </c>
      <c r="BC183" s="251">
        <v>45159.395833333336</v>
      </c>
      <c r="BD183" s="251">
        <v>45164.913194444445</v>
      </c>
      <c r="BE183" s="251">
        <v>45165.090277777781</v>
      </c>
      <c r="BF183" s="251">
        <v>45165.097222222219</v>
      </c>
      <c r="BG183" s="251">
        <v>45165.097222222219</v>
      </c>
      <c r="BH183" s="251">
        <f t="shared" si="86"/>
        <v>45166.805555555555</v>
      </c>
      <c r="BI183" s="361">
        <v>45167.229166608799</v>
      </c>
      <c r="BJ183" s="361">
        <v>45167.395833333336</v>
      </c>
      <c r="BK183" s="361">
        <v>45167.263888888891</v>
      </c>
      <c r="BL183" s="251">
        <v>45168.659722222219</v>
      </c>
      <c r="BM183" s="251">
        <v>45170.517361111109</v>
      </c>
      <c r="BN183" s="251">
        <v>45170.864583333336</v>
      </c>
      <c r="BO183" s="251">
        <v>45170.881944444445</v>
      </c>
      <c r="BP183" s="251">
        <v>45170.885416666664</v>
      </c>
      <c r="BQ183" s="251">
        <v>45171.395833333336</v>
      </c>
      <c r="BR183" s="115"/>
      <c r="BS183" s="115"/>
      <c r="BT183" s="302">
        <f t="shared" si="90"/>
        <v>38.333333333430346</v>
      </c>
      <c r="BU183" s="302">
        <f t="shared" si="91"/>
        <v>4.2500000000582077</v>
      </c>
      <c r="BV183" s="302">
        <f t="shared" si="92"/>
        <v>41.000000000058208</v>
      </c>
      <c r="BW183" s="302">
        <f t="shared" si="83"/>
        <v>30.333333333197515</v>
      </c>
      <c r="BX183" s="303">
        <f t="shared" si="93"/>
        <v>8.3333333334303461</v>
      </c>
      <c r="BY183" s="303">
        <f t="shared" si="94"/>
        <v>12.250000000116415</v>
      </c>
      <c r="BZ183" s="304">
        <f t="shared" si="95"/>
        <v>5.6041666666787933</v>
      </c>
      <c r="CA183" s="304">
        <f t="shared" si="96"/>
        <v>14.020833333335759</v>
      </c>
      <c r="CB183" s="305">
        <f t="shared" si="97"/>
        <v>0.39970282318058775</v>
      </c>
      <c r="CC183" s="115"/>
      <c r="CD183" s="115"/>
    </row>
    <row r="184" spans="1:82" s="126" customFormat="1">
      <c r="A184" s="192">
        <f t="shared" si="84"/>
        <v>45165.388888888891</v>
      </c>
      <c r="B184" s="126" t="s">
        <v>228</v>
      </c>
      <c r="C184" s="126" t="s">
        <v>229</v>
      </c>
      <c r="D184" s="126" t="s">
        <v>197</v>
      </c>
      <c r="E184" s="65" t="s">
        <v>2420</v>
      </c>
      <c r="G184" s="316">
        <v>45157.375</v>
      </c>
      <c r="H184" s="316">
        <v>45157.375</v>
      </c>
      <c r="I184" s="126" t="s">
        <v>497</v>
      </c>
      <c r="J184" s="126" t="s">
        <v>192</v>
      </c>
      <c r="K184" s="126" t="s">
        <v>192</v>
      </c>
      <c r="L184" s="126" t="s">
        <v>2427</v>
      </c>
      <c r="M184" s="167"/>
      <c r="N184" s="126" t="s">
        <v>2295</v>
      </c>
      <c r="O184" s="126" t="s">
        <v>2296</v>
      </c>
      <c r="P184" s="126" t="s">
        <v>494</v>
      </c>
      <c r="Q184" s="181">
        <f>4272*2.4</f>
        <v>10252.799999999999</v>
      </c>
      <c r="R184" s="181">
        <f>10300+100</f>
        <v>10400</v>
      </c>
      <c r="S184" s="181">
        <v>10233.325000000001</v>
      </c>
      <c r="T184" s="181"/>
      <c r="U184" s="181">
        <f t="shared" si="85"/>
        <v>10233.325000000001</v>
      </c>
      <c r="AX184" s="165">
        <f t="shared" si="87"/>
        <v>45157.5</v>
      </c>
      <c r="AY184" s="165">
        <f t="shared" si="88"/>
        <v>45172.006944444445</v>
      </c>
      <c r="AZ184" s="137">
        <f t="shared" si="89"/>
        <v>14.506944444445253</v>
      </c>
      <c r="BA184" s="165">
        <v>45157.5</v>
      </c>
      <c r="BB184" s="165">
        <v>45158.604166666664</v>
      </c>
      <c r="BC184" s="165">
        <v>45162.847222222219</v>
      </c>
      <c r="BD184" s="165">
        <v>45165.388888888891</v>
      </c>
      <c r="BE184" s="165">
        <v>45165.652777777781</v>
      </c>
      <c r="BF184" s="165">
        <v>45165.663194444445</v>
      </c>
      <c r="BG184" s="165">
        <v>45165.663194444445</v>
      </c>
      <c r="BH184" s="165">
        <f t="shared" si="86"/>
        <v>45167.371527777781</v>
      </c>
      <c r="BI184" s="210">
        <v>45167.229166608799</v>
      </c>
      <c r="BJ184" s="210">
        <v>45167.395833333336</v>
      </c>
      <c r="BK184" s="210">
        <v>45167.315972222219</v>
      </c>
      <c r="BL184" s="165">
        <v>45169.263888888891</v>
      </c>
      <c r="BM184" s="165">
        <v>45170.923611111109</v>
      </c>
      <c r="BN184" s="165">
        <v>45171.423611111109</v>
      </c>
      <c r="BO184" s="165">
        <v>45171.447916666664</v>
      </c>
      <c r="BP184" s="165">
        <v>45171.451388888891</v>
      </c>
      <c r="BQ184" s="165">
        <v>45172.006944444445</v>
      </c>
      <c r="BT184" s="136">
        <f t="shared" si="90"/>
        <v>101.83333333331393</v>
      </c>
      <c r="BU184" s="136">
        <f t="shared" si="91"/>
        <v>6.3333333333721384</v>
      </c>
      <c r="BV184" s="136">
        <f t="shared" si="92"/>
        <v>41.000000000058208</v>
      </c>
      <c r="BW184" s="136">
        <f t="shared" si="83"/>
        <v>44.833333333313931</v>
      </c>
      <c r="BX184" s="135">
        <f t="shared" si="93"/>
        <v>12</v>
      </c>
      <c r="BY184" s="135">
        <f t="shared" si="94"/>
        <v>13.333333333313931</v>
      </c>
      <c r="BZ184" s="134">
        <f t="shared" si="95"/>
        <v>9.1388888888905058</v>
      </c>
      <c r="CA184" s="134">
        <f t="shared" si="96"/>
        <v>14.506944444445253</v>
      </c>
      <c r="CB184" s="133">
        <f t="shared" si="97"/>
        <v>0.62996649114416448</v>
      </c>
    </row>
    <row r="185" spans="1:82" s="126" customFormat="1">
      <c r="A185" s="192">
        <f t="shared" si="84"/>
        <v>45166.09375</v>
      </c>
      <c r="B185" s="126" t="s">
        <v>228</v>
      </c>
      <c r="C185" s="126" t="s">
        <v>229</v>
      </c>
      <c r="D185" s="126" t="s">
        <v>215</v>
      </c>
      <c r="E185" s="65" t="s">
        <v>2420</v>
      </c>
      <c r="G185" s="316">
        <v>45157.375</v>
      </c>
      <c r="H185" s="316">
        <v>45157.375</v>
      </c>
      <c r="I185" s="126" t="s">
        <v>497</v>
      </c>
      <c r="J185" s="126" t="s">
        <v>192</v>
      </c>
      <c r="K185" s="126" t="s">
        <v>192</v>
      </c>
      <c r="L185" s="126" t="s">
        <v>2428</v>
      </c>
      <c r="M185" s="167"/>
      <c r="N185" s="126" t="s">
        <v>721</v>
      </c>
      <c r="O185" s="126" t="s">
        <v>1349</v>
      </c>
      <c r="P185" s="126" t="s">
        <v>494</v>
      </c>
      <c r="Q185" s="181">
        <f>3136*2.4</f>
        <v>7526.4</v>
      </c>
      <c r="R185" s="181">
        <f>7550+100</f>
        <v>7650</v>
      </c>
      <c r="S185" s="181">
        <v>7486.424</v>
      </c>
      <c r="T185" s="181"/>
      <c r="U185" s="181">
        <f t="shared" si="85"/>
        <v>7486.424</v>
      </c>
      <c r="AX185" s="165">
        <f t="shared" si="87"/>
        <v>45157.208333333336</v>
      </c>
      <c r="AY185" s="165">
        <f t="shared" si="88"/>
        <v>45172.375</v>
      </c>
      <c r="AZ185" s="137">
        <f t="shared" si="89"/>
        <v>15.166666666664241</v>
      </c>
      <c r="BA185" s="165">
        <v>45157.208333333336</v>
      </c>
      <c r="BB185" s="165">
        <v>45161.774305555555</v>
      </c>
      <c r="BC185" s="165">
        <v>45163.25</v>
      </c>
      <c r="BD185" s="165">
        <v>45166.09375</v>
      </c>
      <c r="BE185" s="165">
        <v>45166.265972222223</v>
      </c>
      <c r="BF185" s="165">
        <v>45166.267361111109</v>
      </c>
      <c r="BG185" s="165">
        <v>45166.267361111109</v>
      </c>
      <c r="BH185" s="165">
        <f t="shared" si="86"/>
        <v>45167.975694444445</v>
      </c>
      <c r="BI185" s="210">
        <v>45168.229166608799</v>
      </c>
      <c r="BJ185" s="210">
        <v>45168.395833333336</v>
      </c>
      <c r="BK185" s="210">
        <v>45168.295138888891</v>
      </c>
      <c r="BL185" s="165">
        <v>45169.572916666664</v>
      </c>
      <c r="BM185" s="165">
        <v>45171.493055555555</v>
      </c>
      <c r="BN185" s="165">
        <v>45171.736111111109</v>
      </c>
      <c r="BO185" s="165">
        <v>45171.802083333336</v>
      </c>
      <c r="BP185" s="165">
        <v>45171.802083333336</v>
      </c>
      <c r="BQ185" s="165">
        <v>45172.375</v>
      </c>
      <c r="BT185" s="136">
        <f t="shared" si="90"/>
        <v>35.416666666686069</v>
      </c>
      <c r="BU185" s="136">
        <f t="shared" si="91"/>
        <v>4.1333333333604969</v>
      </c>
      <c r="BV185" s="136">
        <f t="shared" si="92"/>
        <v>41.000000000058208</v>
      </c>
      <c r="BW185" s="136">
        <f t="shared" si="83"/>
        <v>28.249999999883585</v>
      </c>
      <c r="BX185" s="135">
        <f t="shared" si="93"/>
        <v>5.8333333333139308</v>
      </c>
      <c r="BY185" s="135">
        <f t="shared" si="94"/>
        <v>13.749999999941792</v>
      </c>
      <c r="BZ185" s="134">
        <f t="shared" si="95"/>
        <v>5.3493055555518367</v>
      </c>
      <c r="CA185" s="134">
        <f t="shared" si="96"/>
        <v>15.166666666664241</v>
      </c>
      <c r="CB185" s="133">
        <f t="shared" si="97"/>
        <v>0.35270146520127643</v>
      </c>
    </row>
    <row r="186" spans="1:82" s="475" customFormat="1">
      <c r="A186" s="192">
        <f t="shared" si="84"/>
        <v>45166.333333333336</v>
      </c>
      <c r="B186" s="126" t="s">
        <v>228</v>
      </c>
      <c r="C186" s="126" t="s">
        <v>229</v>
      </c>
      <c r="D186" s="126" t="s">
        <v>197</v>
      </c>
      <c r="E186" s="65" t="s">
        <v>2420</v>
      </c>
      <c r="F186" s="126"/>
      <c r="G186" s="316">
        <v>45157.375</v>
      </c>
      <c r="H186" s="316">
        <v>45157.375</v>
      </c>
      <c r="I186" s="126" t="s">
        <v>497</v>
      </c>
      <c r="J186" s="126" t="s">
        <v>192</v>
      </c>
      <c r="K186" s="126" t="s">
        <v>192</v>
      </c>
      <c r="L186" s="126" t="s">
        <v>2429</v>
      </c>
      <c r="M186" s="167"/>
      <c r="N186" s="126" t="s">
        <v>226</v>
      </c>
      <c r="O186" s="126" t="s">
        <v>227</v>
      </c>
      <c r="P186" s="126" t="s">
        <v>494</v>
      </c>
      <c r="Q186" s="181">
        <f>3100*2.4</f>
        <v>7440</v>
      </c>
      <c r="R186" s="181">
        <f>7450+100</f>
        <v>7550</v>
      </c>
      <c r="S186" s="181">
        <v>7537.0079999999998</v>
      </c>
      <c r="T186" s="181"/>
      <c r="U186" s="181">
        <f t="shared" si="85"/>
        <v>7537.0079999999998</v>
      </c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  <c r="AW186" s="126"/>
      <c r="AX186" s="165">
        <f t="shared" si="87"/>
        <v>45158.395833333336</v>
      </c>
      <c r="AY186" s="165">
        <f t="shared" si="88"/>
        <v>45172.927083333336</v>
      </c>
      <c r="AZ186" s="137">
        <f t="shared" si="89"/>
        <v>14.53125</v>
      </c>
      <c r="BA186" s="165">
        <v>45158.395833333336</v>
      </c>
      <c r="BB186" s="165">
        <v>45161.777777777781</v>
      </c>
      <c r="BC186" s="165">
        <v>45163.333333333336</v>
      </c>
      <c r="BD186" s="165">
        <v>45166.333333333336</v>
      </c>
      <c r="BE186" s="165">
        <v>45166.5</v>
      </c>
      <c r="BF186" s="165">
        <v>45166.506944444445</v>
      </c>
      <c r="BG186" s="165">
        <v>45166.506944444445</v>
      </c>
      <c r="BH186" s="165">
        <f t="shared" si="86"/>
        <v>45168.215277777781</v>
      </c>
      <c r="BI186" s="210">
        <v>45168.229166608799</v>
      </c>
      <c r="BJ186" s="210">
        <v>45168.395833333336</v>
      </c>
      <c r="BK186" s="210">
        <v>45168.277777777781</v>
      </c>
      <c r="BL186" s="165">
        <v>45169.798611111109</v>
      </c>
      <c r="BM186" s="165">
        <v>45171.857638888891</v>
      </c>
      <c r="BN186" s="165">
        <v>45172.211805555555</v>
      </c>
      <c r="BO186" s="165">
        <v>45172.222222222219</v>
      </c>
      <c r="BP186" s="165">
        <v>45172.225694444445</v>
      </c>
      <c r="BQ186" s="165">
        <v>45172.927083333336</v>
      </c>
      <c r="BR186" s="126"/>
      <c r="BS186" s="126"/>
      <c r="BT186" s="136">
        <f t="shared" si="90"/>
        <v>37.333333333313931</v>
      </c>
      <c r="BU186" s="136">
        <f t="shared" si="91"/>
        <v>3.9999999999417923</v>
      </c>
      <c r="BV186" s="136">
        <f t="shared" si="92"/>
        <v>41.000000000058208</v>
      </c>
      <c r="BW186" s="136">
        <f t="shared" si="83"/>
        <v>33.666666666569654</v>
      </c>
      <c r="BX186" s="135">
        <f t="shared" si="93"/>
        <v>8.4999999999417923</v>
      </c>
      <c r="BY186" s="135">
        <f t="shared" si="94"/>
        <v>16.833333333372138</v>
      </c>
      <c r="BZ186" s="134">
        <f t="shared" si="95"/>
        <v>5.8888888888832298</v>
      </c>
      <c r="CA186" s="134">
        <f t="shared" si="96"/>
        <v>14.53125</v>
      </c>
      <c r="CB186" s="133">
        <f t="shared" si="97"/>
        <v>0.40525686977260938</v>
      </c>
      <c r="CC186" s="126"/>
      <c r="CD186" s="126"/>
    </row>
    <row r="187" spans="1:82" s="475" customFormat="1">
      <c r="A187" s="192">
        <f t="shared" si="84"/>
        <v>45166.53125</v>
      </c>
      <c r="B187" s="126" t="s">
        <v>228</v>
      </c>
      <c r="C187" s="126" t="s">
        <v>229</v>
      </c>
      <c r="D187" s="126" t="s">
        <v>197</v>
      </c>
      <c r="E187" s="65" t="s">
        <v>2420</v>
      </c>
      <c r="F187" s="126"/>
      <c r="G187" s="316">
        <v>45157.375</v>
      </c>
      <c r="H187" s="316">
        <v>45157.375</v>
      </c>
      <c r="I187" s="126" t="s">
        <v>497</v>
      </c>
      <c r="J187" s="126" t="s">
        <v>192</v>
      </c>
      <c r="K187" s="126" t="s">
        <v>192</v>
      </c>
      <c r="L187" s="126" t="s">
        <v>2430</v>
      </c>
      <c r="M187" s="167"/>
      <c r="N187" s="126" t="s">
        <v>1767</v>
      </c>
      <c r="O187" s="126" t="s">
        <v>2352</v>
      </c>
      <c r="P187" s="126" t="s">
        <v>494</v>
      </c>
      <c r="Q187" s="181">
        <f>3139*2.4</f>
        <v>7533.5999999999995</v>
      </c>
      <c r="R187" s="181">
        <f>7550+100</f>
        <v>7650</v>
      </c>
      <c r="S187" s="181">
        <v>7667.2979999999998</v>
      </c>
      <c r="T187" s="181"/>
      <c r="U187" s="181">
        <f t="shared" si="85"/>
        <v>7667.2979999999998</v>
      </c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  <c r="AW187" s="126"/>
      <c r="AX187" s="165">
        <f t="shared" si="87"/>
        <v>45158.666666666664</v>
      </c>
      <c r="AY187" s="165">
        <f t="shared" si="88"/>
        <v>45173.166666666664</v>
      </c>
      <c r="AZ187" s="137">
        <f t="shared" si="89"/>
        <v>14.5</v>
      </c>
      <c r="BA187" s="165">
        <v>45158.666666666664</v>
      </c>
      <c r="BB187" s="165">
        <v>45161.576388888891</v>
      </c>
      <c r="BC187" s="165">
        <v>45163.802083333336</v>
      </c>
      <c r="BD187" s="165">
        <v>45166.53125</v>
      </c>
      <c r="BE187" s="165">
        <v>45166.708333333336</v>
      </c>
      <c r="BF187" s="165">
        <v>45166.711805555555</v>
      </c>
      <c r="BG187" s="165">
        <v>45166.711805555555</v>
      </c>
      <c r="BH187" s="165">
        <f t="shared" si="86"/>
        <v>45168.420138888891</v>
      </c>
      <c r="BI187" s="210">
        <v>45169.25</v>
      </c>
      <c r="BJ187" s="210">
        <v>45169.416666666664</v>
      </c>
      <c r="BK187" s="210">
        <v>45169.378472222219</v>
      </c>
      <c r="BL187" s="165">
        <v>45170.899305555555</v>
      </c>
      <c r="BM187" s="165">
        <v>45172.319444444445</v>
      </c>
      <c r="BN187" s="165">
        <v>45172.520833333336</v>
      </c>
      <c r="BO187" s="165">
        <v>45172.538194444445</v>
      </c>
      <c r="BP187" s="165">
        <v>45172.5625</v>
      </c>
      <c r="BQ187" s="165">
        <v>45173.166666666664</v>
      </c>
      <c r="BR187" s="126"/>
      <c r="BS187" s="126"/>
      <c r="BT187" s="136">
        <f t="shared" si="90"/>
        <v>53.416666666686069</v>
      </c>
      <c r="BU187" s="136">
        <f t="shared" si="91"/>
        <v>4.2500000000582077</v>
      </c>
      <c r="BV187" s="136">
        <f t="shared" si="92"/>
        <v>41.000000000058208</v>
      </c>
      <c r="BW187" s="136">
        <f t="shared" si="83"/>
        <v>35.583333333372138</v>
      </c>
      <c r="BX187" s="135">
        <f t="shared" si="93"/>
        <v>4.8333333333721384</v>
      </c>
      <c r="BY187" s="135">
        <f t="shared" si="94"/>
        <v>14.499999999941792</v>
      </c>
      <c r="BZ187" s="134">
        <f t="shared" si="95"/>
        <v>6.3993055555620231</v>
      </c>
      <c r="CA187" s="134">
        <f t="shared" si="96"/>
        <v>14.5</v>
      </c>
      <c r="CB187" s="133">
        <f t="shared" si="97"/>
        <v>0.44133141762496708</v>
      </c>
      <c r="CC187" s="126"/>
      <c r="CD187" s="126"/>
    </row>
    <row r="188" spans="1:82" s="126" customFormat="1">
      <c r="A188" s="192">
        <f t="shared" si="84"/>
        <v>45168.916666666664</v>
      </c>
      <c r="B188" s="126" t="s">
        <v>228</v>
      </c>
      <c r="C188" s="126" t="s">
        <v>229</v>
      </c>
      <c r="D188" s="126" t="s">
        <v>197</v>
      </c>
      <c r="E188" s="65" t="s">
        <v>2457</v>
      </c>
      <c r="G188" s="316">
        <v>45175.375</v>
      </c>
      <c r="H188" s="316">
        <v>45175.34375</v>
      </c>
      <c r="I188" s="126" t="s">
        <v>507</v>
      </c>
      <c r="J188" s="126" t="s">
        <v>192</v>
      </c>
      <c r="K188" s="126" t="s">
        <v>192</v>
      </c>
      <c r="L188" s="126" t="s">
        <v>2460</v>
      </c>
      <c r="M188" s="167"/>
      <c r="N188" s="126" t="s">
        <v>292</v>
      </c>
      <c r="O188" s="126" t="s">
        <v>293</v>
      </c>
      <c r="P188" s="126" t="s">
        <v>494</v>
      </c>
      <c r="Q188" s="181">
        <f>3142*2.4</f>
        <v>7540.7999999999993</v>
      </c>
      <c r="R188" s="181">
        <f>7550+100</f>
        <v>7650</v>
      </c>
      <c r="S188" s="181">
        <v>7505.2219999999998</v>
      </c>
      <c r="T188" s="181"/>
      <c r="U188" s="181">
        <f t="shared" si="85"/>
        <v>7505.2219999999998</v>
      </c>
      <c r="AX188" s="165">
        <f t="shared" si="87"/>
        <v>45159.6875</v>
      </c>
      <c r="AY188" s="165">
        <f t="shared" si="88"/>
        <v>45179.791666666664</v>
      </c>
      <c r="AZ188" s="137">
        <f t="shared" si="89"/>
        <v>20.104166666664241</v>
      </c>
      <c r="BA188" s="165">
        <v>45159.6875</v>
      </c>
      <c r="BB188" s="165">
        <v>45163.809027777781</v>
      </c>
      <c r="BC188" s="165">
        <v>45165.375</v>
      </c>
      <c r="BD188" s="165">
        <v>45168.916666666664</v>
      </c>
      <c r="BE188" s="165">
        <v>45169.0625</v>
      </c>
      <c r="BF188" s="165">
        <v>45169.069444444445</v>
      </c>
      <c r="BG188" s="165">
        <v>45169.069444444445</v>
      </c>
      <c r="BH188" s="165">
        <f t="shared" si="86"/>
        <v>45170.777777777781</v>
      </c>
      <c r="BI188" s="210">
        <v>45171.25</v>
      </c>
      <c r="BJ188" s="210">
        <v>45171.416666608799</v>
      </c>
      <c r="BK188" s="210">
        <v>45171.354166666664</v>
      </c>
      <c r="BL188" s="165">
        <v>45175.666666666664</v>
      </c>
      <c r="BM188" s="165">
        <v>45176.90625</v>
      </c>
      <c r="BN188" s="165">
        <v>45177.381944444445</v>
      </c>
      <c r="BO188" s="165">
        <v>45177.392361111109</v>
      </c>
      <c r="BP188" s="165">
        <v>45177.756944444445</v>
      </c>
      <c r="BQ188" s="165">
        <v>45179.791666666664</v>
      </c>
      <c r="BT188" s="136">
        <f t="shared" si="90"/>
        <v>37.583333333255723</v>
      </c>
      <c r="BU188" s="136">
        <f t="shared" si="91"/>
        <v>3.5000000000582077</v>
      </c>
      <c r="BV188" s="136">
        <f t="shared" si="92"/>
        <v>41.000000000058208</v>
      </c>
      <c r="BW188" s="136">
        <f t="shared" si="83"/>
        <v>102.00000138877658</v>
      </c>
      <c r="BX188" s="135">
        <f t="shared" si="93"/>
        <v>11.416666666686069</v>
      </c>
      <c r="BY188" s="135">
        <f t="shared" si="94"/>
        <v>48.833333333255723</v>
      </c>
      <c r="BZ188" s="134">
        <f t="shared" si="95"/>
        <v>10.180555613420438</v>
      </c>
      <c r="CA188" s="134">
        <f t="shared" si="96"/>
        <v>20.104166666664241</v>
      </c>
      <c r="CB188" s="133">
        <f t="shared" si="97"/>
        <v>0.50639033103030051</v>
      </c>
    </row>
    <row r="189" spans="1:82" s="126" customFormat="1">
      <c r="A189" s="192">
        <f t="shared" si="84"/>
        <v>45169.46875</v>
      </c>
      <c r="B189" s="126" t="s">
        <v>228</v>
      </c>
      <c r="C189" s="126" t="s">
        <v>229</v>
      </c>
      <c r="D189" s="126" t="s">
        <v>197</v>
      </c>
      <c r="E189" s="65" t="s">
        <v>2746</v>
      </c>
      <c r="G189" s="316">
        <v>45165.458333333336</v>
      </c>
      <c r="H189" s="316">
        <v>45165.444444444445</v>
      </c>
      <c r="I189" s="126" t="s">
        <v>490</v>
      </c>
      <c r="J189" s="126" t="s">
        <v>192</v>
      </c>
      <c r="K189" s="126" t="s">
        <v>192</v>
      </c>
      <c r="L189" s="126" t="s">
        <v>2452</v>
      </c>
      <c r="M189" s="167"/>
      <c r="N189" s="126" t="s">
        <v>367</v>
      </c>
      <c r="O189" s="126" t="s">
        <v>368</v>
      </c>
      <c r="P189" s="126" t="s">
        <v>494</v>
      </c>
      <c r="Q189" s="181">
        <f>4111*2.4</f>
        <v>9866.4</v>
      </c>
      <c r="R189" s="181">
        <f>9900+100</f>
        <v>10000</v>
      </c>
      <c r="S189" s="181">
        <v>9902.7839999999997</v>
      </c>
      <c r="T189" s="181"/>
      <c r="U189" s="181">
        <f t="shared" si="85"/>
        <v>9902.7839999999997</v>
      </c>
      <c r="AX189" s="165">
        <f t="shared" si="87"/>
        <v>45159.836805555555</v>
      </c>
      <c r="AY189" s="165">
        <f t="shared" si="88"/>
        <v>45175.590277777781</v>
      </c>
      <c r="AZ189" s="137">
        <f t="shared" si="89"/>
        <v>15.753472222226264</v>
      </c>
      <c r="BA189" s="165">
        <v>45159.836805555555</v>
      </c>
      <c r="BB189" s="165">
        <v>45163.600694444445</v>
      </c>
      <c r="BC189" s="165">
        <v>45165.388888888891</v>
      </c>
      <c r="BD189" s="165">
        <v>45169.46875</v>
      </c>
      <c r="BE189" s="165">
        <v>45169.71875</v>
      </c>
      <c r="BF189" s="165">
        <v>45169.722222222219</v>
      </c>
      <c r="BG189" s="165">
        <v>45169.722222222219</v>
      </c>
      <c r="BH189" s="165">
        <f t="shared" si="86"/>
        <v>45171.430555555555</v>
      </c>
      <c r="BI189" s="210">
        <v>45172.25</v>
      </c>
      <c r="BJ189" s="210">
        <v>45172.416666608799</v>
      </c>
      <c r="BK189" s="210">
        <v>45172.291666666664</v>
      </c>
      <c r="BL189" s="165">
        <v>45173.548611111109</v>
      </c>
      <c r="BM189" s="165">
        <v>45174.972222222219</v>
      </c>
      <c r="BN189" s="165">
        <v>45175.291666666664</v>
      </c>
      <c r="BO189" s="165">
        <v>45175.319444444445</v>
      </c>
      <c r="BP189" s="165">
        <v>45175.319444444445</v>
      </c>
      <c r="BQ189" s="165">
        <v>45175.590277777781</v>
      </c>
      <c r="BT189" s="136">
        <f t="shared" si="90"/>
        <v>42.916666666686069</v>
      </c>
      <c r="BU189" s="136">
        <f t="shared" si="91"/>
        <v>6</v>
      </c>
      <c r="BV189" s="136">
        <f t="shared" si="92"/>
        <v>41.000000000058208</v>
      </c>
      <c r="BW189" s="136">
        <f t="shared" si="83"/>
        <v>27.166668055462651</v>
      </c>
      <c r="BX189" s="135">
        <f t="shared" si="93"/>
        <v>7.6666666666860692</v>
      </c>
      <c r="BY189" s="135">
        <f t="shared" si="94"/>
        <v>6.5000000000582077</v>
      </c>
      <c r="BZ189" s="134">
        <f t="shared" si="95"/>
        <v>5.4687500578729669</v>
      </c>
      <c r="CA189" s="134">
        <f t="shared" si="96"/>
        <v>15.753472222226264</v>
      </c>
      <c r="CB189" s="133">
        <f t="shared" si="97"/>
        <v>0.34714569465880768</v>
      </c>
    </row>
    <row r="190" spans="1:82" s="126" customFormat="1">
      <c r="A190" s="192">
        <f t="shared" si="84"/>
        <v>45169.958333333336</v>
      </c>
      <c r="B190" s="126" t="s">
        <v>228</v>
      </c>
      <c r="C190" s="126" t="s">
        <v>229</v>
      </c>
      <c r="D190" s="126" t="s">
        <v>197</v>
      </c>
      <c r="E190" s="65" t="s">
        <v>2746</v>
      </c>
      <c r="G190" s="316">
        <v>45165.458333333336</v>
      </c>
      <c r="H190" s="316">
        <v>45165.444444444445</v>
      </c>
      <c r="I190" s="126" t="s">
        <v>490</v>
      </c>
      <c r="J190" s="126" t="s">
        <v>192</v>
      </c>
      <c r="K190" s="126" t="s">
        <v>192</v>
      </c>
      <c r="L190" s="126" t="s">
        <v>2451</v>
      </c>
      <c r="M190" s="167"/>
      <c r="N190" s="126" t="s">
        <v>361</v>
      </c>
      <c r="O190" s="126" t="s">
        <v>362</v>
      </c>
      <c r="P190" s="126" t="s">
        <v>494</v>
      </c>
      <c r="Q190" s="181">
        <f>3039*2.4</f>
        <v>7293.5999999999995</v>
      </c>
      <c r="R190" s="181">
        <f>7300+100</f>
        <v>7400</v>
      </c>
      <c r="S190" s="181">
        <v>7347.0789999999997</v>
      </c>
      <c r="T190" s="181"/>
      <c r="U190" s="181">
        <f t="shared" si="85"/>
        <v>7347.0789999999997</v>
      </c>
      <c r="AX190" s="165">
        <f t="shared" si="87"/>
        <v>45162.708333333336</v>
      </c>
      <c r="AY190" s="165">
        <f t="shared" si="88"/>
        <v>45175.25</v>
      </c>
      <c r="AZ190" s="137">
        <f t="shared" si="89"/>
        <v>12.541666666664241</v>
      </c>
      <c r="BA190" s="165">
        <v>45162.708333333336</v>
      </c>
      <c r="BB190" s="165">
        <v>45166.586805555555</v>
      </c>
      <c r="BC190" s="165">
        <v>45168.34375</v>
      </c>
      <c r="BD190" s="165">
        <v>45169.958333333336</v>
      </c>
      <c r="BE190" s="165">
        <v>45170.09375</v>
      </c>
      <c r="BF190" s="165">
        <v>45170.104166666664</v>
      </c>
      <c r="BG190" s="165">
        <v>45170.298611111109</v>
      </c>
      <c r="BH190" s="165">
        <f t="shared" si="86"/>
        <v>45172.006944444445</v>
      </c>
      <c r="BI190" s="210">
        <v>45172.25</v>
      </c>
      <c r="BJ190" s="210">
        <v>45172.416666608799</v>
      </c>
      <c r="BK190" s="210">
        <v>45172.354166666664</v>
      </c>
      <c r="BL190" s="165">
        <v>45173.5</v>
      </c>
      <c r="BM190" s="165">
        <v>45174.645833333336</v>
      </c>
      <c r="BN190" s="165">
        <v>45174.881944444445</v>
      </c>
      <c r="BO190" s="165">
        <v>45174.923611111109</v>
      </c>
      <c r="BP190" s="165">
        <v>45174.923611111109</v>
      </c>
      <c r="BQ190" s="165">
        <v>45175.25</v>
      </c>
      <c r="BT190" s="136">
        <f t="shared" si="90"/>
        <v>42.166666666686069</v>
      </c>
      <c r="BU190" s="136">
        <f t="shared" si="91"/>
        <v>3.2499999999417923</v>
      </c>
      <c r="BV190" s="136">
        <f t="shared" si="92"/>
        <v>41.000000000058208</v>
      </c>
      <c r="BW190" s="136">
        <f t="shared" si="83"/>
        <v>26.000001388834789</v>
      </c>
      <c r="BX190" s="135">
        <f t="shared" si="93"/>
        <v>5.6666666666278616</v>
      </c>
      <c r="BY190" s="135">
        <f t="shared" si="94"/>
        <v>7.8333333333721384</v>
      </c>
      <c r="BZ190" s="134">
        <f t="shared" si="95"/>
        <v>5.2465278356467024</v>
      </c>
      <c r="CA190" s="134">
        <f t="shared" si="96"/>
        <v>12.541666666664241</v>
      </c>
      <c r="CB190" s="133">
        <f t="shared" si="97"/>
        <v>0.41832780084898741</v>
      </c>
    </row>
    <row r="191" spans="1:82" s="126" customFormat="1">
      <c r="A191" s="168"/>
      <c r="G191" s="166"/>
      <c r="H191" s="166"/>
      <c r="I191" s="181"/>
      <c r="M191" s="167"/>
      <c r="Q191" s="181"/>
      <c r="R191" s="181"/>
      <c r="S191" s="191">
        <f t="shared" ref="S191:AW191" si="98">SUM(S4:S190)</f>
        <v>1245887.9969999997</v>
      </c>
      <c r="T191" s="191">
        <f t="shared" si="98"/>
        <v>0</v>
      </c>
      <c r="U191" s="191">
        <f t="shared" si="98"/>
        <v>259665.00600000002</v>
      </c>
      <c r="V191" s="191">
        <f t="shared" si="98"/>
        <v>0</v>
      </c>
      <c r="W191" s="191">
        <f t="shared" si="98"/>
        <v>0</v>
      </c>
      <c r="X191" s="191">
        <f t="shared" si="98"/>
        <v>257144.10749999998</v>
      </c>
      <c r="Y191" s="191">
        <f t="shared" si="98"/>
        <v>274355.58449999994</v>
      </c>
      <c r="Z191" s="191">
        <f t="shared" si="98"/>
        <v>77954.678999999989</v>
      </c>
      <c r="AA191" s="191">
        <f t="shared" si="98"/>
        <v>26215.545000000002</v>
      </c>
      <c r="AB191" s="191">
        <f t="shared" si="98"/>
        <v>29275.796999999999</v>
      </c>
      <c r="AC191" s="191">
        <f t="shared" si="98"/>
        <v>0</v>
      </c>
      <c r="AD191" s="191">
        <f t="shared" si="98"/>
        <v>7017.3819999999996</v>
      </c>
      <c r="AE191" s="191">
        <f t="shared" si="98"/>
        <v>7506.6030000000001</v>
      </c>
      <c r="AF191" s="191">
        <f t="shared" si="98"/>
        <v>0</v>
      </c>
      <c r="AG191" s="191">
        <f t="shared" si="98"/>
        <v>0</v>
      </c>
      <c r="AH191" s="191">
        <f t="shared" si="98"/>
        <v>15013.352999999999</v>
      </c>
      <c r="AI191" s="191">
        <f t="shared" si="98"/>
        <v>10650</v>
      </c>
      <c r="AJ191" s="191">
        <f t="shared" si="98"/>
        <v>0</v>
      </c>
      <c r="AK191" s="191">
        <f t="shared" si="98"/>
        <v>14839.225999999999</v>
      </c>
      <c r="AL191" s="191">
        <f t="shared" si="98"/>
        <v>37500</v>
      </c>
      <c r="AM191" s="191">
        <f t="shared" si="98"/>
        <v>30038.650999999998</v>
      </c>
      <c r="AN191" s="191">
        <f t="shared" si="98"/>
        <v>15628.282999999999</v>
      </c>
      <c r="AO191" s="191">
        <f t="shared" si="98"/>
        <v>82500</v>
      </c>
      <c r="AP191" s="191">
        <f t="shared" si="98"/>
        <v>0</v>
      </c>
      <c r="AQ191" s="191">
        <f t="shared" si="98"/>
        <v>0</v>
      </c>
      <c r="AR191" s="191">
        <f t="shared" si="98"/>
        <v>36715</v>
      </c>
      <c r="AS191" s="191">
        <f t="shared" si="98"/>
        <v>5143.9070000000002</v>
      </c>
      <c r="AT191" s="191">
        <f t="shared" si="98"/>
        <v>31345.135000000002</v>
      </c>
      <c r="AU191" s="191">
        <f t="shared" si="98"/>
        <v>20207.951000000001</v>
      </c>
      <c r="AV191" s="191">
        <f t="shared" si="98"/>
        <v>0</v>
      </c>
      <c r="AW191" s="191">
        <f t="shared" si="98"/>
        <v>0</v>
      </c>
      <c r="AX191" s="165"/>
      <c r="AY191" s="165"/>
      <c r="AZ191" s="165"/>
      <c r="BA191" s="165"/>
      <c r="BB191" s="165"/>
      <c r="BC191" s="165"/>
      <c r="BD191" s="165"/>
      <c r="BE191" s="165"/>
      <c r="BF191" s="165"/>
      <c r="BG191" s="165"/>
      <c r="BH191" s="165"/>
      <c r="BI191" s="165"/>
      <c r="BJ191" s="165"/>
      <c r="BK191" s="165"/>
      <c r="BL191" s="165"/>
      <c r="BM191" s="165"/>
      <c r="BN191" s="165"/>
      <c r="BO191" s="165"/>
      <c r="BP191" s="165"/>
      <c r="BQ191" s="165"/>
      <c r="BT191" s="136"/>
      <c r="BU191" s="136"/>
      <c r="BV191" s="136"/>
      <c r="BW191" s="136"/>
      <c r="BX191" s="135"/>
      <c r="BY191" s="135"/>
      <c r="BZ191" s="165"/>
      <c r="CA191" s="165"/>
    </row>
  </sheetData>
  <mergeCells count="53">
    <mergeCell ref="BX1:BX2"/>
    <mergeCell ref="BY1:BY2"/>
    <mergeCell ref="BZ1:BZ2"/>
    <mergeCell ref="CA1:CA2"/>
    <mergeCell ref="CB1:CB2"/>
    <mergeCell ref="BW1:BW2"/>
    <mergeCell ref="BK1:BK2"/>
    <mergeCell ref="BL1:BL2"/>
    <mergeCell ref="BM1:BM2"/>
    <mergeCell ref="BN1:BN2"/>
    <mergeCell ref="BO1:BO2"/>
    <mergeCell ref="BP1:BP2"/>
    <mergeCell ref="BQ1:BQ2"/>
    <mergeCell ref="BR1:BR2"/>
    <mergeCell ref="BT1:BT2"/>
    <mergeCell ref="BU1:BU2"/>
    <mergeCell ref="BV1:BV2"/>
    <mergeCell ref="BJ1:BJ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AX1:AX2"/>
    <mergeCell ref="N1:N2"/>
    <mergeCell ref="O1:O2"/>
    <mergeCell ref="P1:P2"/>
    <mergeCell ref="Q1:Q2"/>
    <mergeCell ref="R1:R2"/>
    <mergeCell ref="S1:S2"/>
    <mergeCell ref="U1:W1"/>
    <mergeCell ref="X1:Y1"/>
    <mergeCell ref="Z1:AA1"/>
    <mergeCell ref="AD1:AH1"/>
    <mergeCell ref="AI1:AW1"/>
    <mergeCell ref="M1:M2"/>
    <mergeCell ref="A1:A2"/>
    <mergeCell ref="B1:B2"/>
    <mergeCell ref="C1:C2"/>
    <mergeCell ref="D1:D2"/>
    <mergeCell ref="E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CE194"/>
  <sheetViews>
    <sheetView zoomScale="70" zoomScaleNormal="70" zoomScaleSheetLayoutView="73" workbookViewId="0">
      <pane xSplit="16" ySplit="2" topLeftCell="V3" activePane="bottomRight" state="frozen"/>
      <selection pane="topRight" activeCell="G346" sqref="G346"/>
      <selection pane="bottomLeft" activeCell="G346" sqref="G346"/>
      <selection pane="bottomRight" activeCell="G346" sqref="G346"/>
    </sheetView>
  </sheetViews>
  <sheetFormatPr defaultColWidth="9.33203125" defaultRowHeight="14.4"/>
  <cols>
    <col min="1" max="1" width="12.6640625" style="119" customWidth="1"/>
    <col min="2" max="2" width="7.5546875" style="119" customWidth="1"/>
    <col min="3" max="3" width="9.33203125" style="115" customWidth="1"/>
    <col min="4" max="4" width="6" style="115" customWidth="1"/>
    <col min="5" max="5" width="28.109375" style="115" customWidth="1"/>
    <col min="6" max="6" width="10.5546875" style="115" customWidth="1"/>
    <col min="7" max="8" width="13.6640625" style="252" customWidth="1"/>
    <col min="9" max="9" width="10.88671875" style="117" customWidth="1"/>
    <col min="10" max="10" width="20.88671875" style="115" customWidth="1"/>
    <col min="11" max="11" width="18" style="115" customWidth="1"/>
    <col min="12" max="12" width="15" style="115" customWidth="1"/>
    <col min="13" max="13" width="0.5546875" style="118" customWidth="1"/>
    <col min="14" max="14" width="24.44140625" style="115" customWidth="1"/>
    <col min="15" max="15" width="24" style="115" bestFit="1" customWidth="1"/>
    <col min="16" max="16" width="21.109375" style="115" customWidth="1"/>
    <col min="17" max="19" width="9.33203125" style="117" customWidth="1"/>
    <col min="20" max="20" width="1" style="117" customWidth="1"/>
    <col min="21" max="23" width="9.33203125" style="115" customWidth="1"/>
    <col min="24" max="24" width="9.88671875" style="115" customWidth="1"/>
    <col min="25" max="50" width="9.33203125" style="115" customWidth="1"/>
    <col min="51" max="52" width="15" style="251" bestFit="1" customWidth="1"/>
    <col min="53" max="53" width="9.33203125" style="251" customWidth="1"/>
    <col min="54" max="54" width="15" style="251" bestFit="1" customWidth="1"/>
    <col min="55" max="55" width="16.5546875" style="251" customWidth="1"/>
    <col min="56" max="56" width="16.44140625" style="251" customWidth="1"/>
    <col min="57" max="57" width="16" style="251" customWidth="1"/>
    <col min="58" max="58" width="15.5546875" style="251" customWidth="1"/>
    <col min="59" max="59" width="16.44140625" style="251" customWidth="1"/>
    <col min="60" max="60" width="15.5546875" style="251" customWidth="1"/>
    <col min="61" max="61" width="15.44140625" style="251" customWidth="1"/>
    <col min="62" max="62" width="17" style="251" customWidth="1"/>
    <col min="63" max="63" width="15.33203125" style="252" customWidth="1"/>
    <col min="64" max="64" width="15.5546875" style="251" customWidth="1"/>
    <col min="65" max="65" width="16.33203125" style="251" customWidth="1"/>
    <col min="66" max="66" width="15.5546875" style="251" customWidth="1"/>
    <col min="67" max="67" width="16.44140625" style="251" customWidth="1"/>
    <col min="68" max="69" width="15.5546875" style="115" customWidth="1"/>
    <col min="70" max="70" width="16.44140625" style="115" customWidth="1"/>
    <col min="71" max="71" width="49.5546875" style="116" customWidth="1"/>
    <col min="72" max="72" width="1.33203125" style="116" customWidth="1"/>
    <col min="73" max="73" width="10.5546875" style="251" customWidth="1"/>
    <col min="74" max="80" width="9.6640625" style="251" customWidth="1"/>
    <col min="81" max="81" width="11.33203125" style="115" bestFit="1" customWidth="1"/>
    <col min="82" max="16384" width="9.33203125" style="115"/>
  </cols>
  <sheetData>
    <row r="1" spans="1:83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1436</v>
      </c>
      <c r="R1" s="1286" t="s">
        <v>136</v>
      </c>
      <c r="S1" s="1236" t="s">
        <v>1437</v>
      </c>
      <c r="T1" s="403"/>
      <c r="U1" s="1224" t="s">
        <v>73</v>
      </c>
      <c r="V1" s="1224"/>
      <c r="W1" s="1224"/>
      <c r="X1" s="1220" t="s">
        <v>74</v>
      </c>
      <c r="Y1" s="1221"/>
      <c r="Z1" s="1222" t="s">
        <v>138</v>
      </c>
      <c r="AA1" s="1223"/>
      <c r="AB1" s="404" t="s">
        <v>85</v>
      </c>
      <c r="AC1" s="404" t="s">
        <v>139</v>
      </c>
      <c r="AD1" s="1224" t="s">
        <v>87</v>
      </c>
      <c r="AE1" s="1224"/>
      <c r="AF1" s="1224"/>
      <c r="AG1" s="1224"/>
      <c r="AH1" s="1224"/>
      <c r="AI1" s="1225" t="s">
        <v>138</v>
      </c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0"/>
      <c r="AW1" s="1220"/>
      <c r="AX1" s="1221"/>
      <c r="AY1" s="1218" t="s">
        <v>140</v>
      </c>
      <c r="AZ1" s="1218" t="s">
        <v>141</v>
      </c>
      <c r="BA1" s="1226" t="s">
        <v>142</v>
      </c>
      <c r="BB1" s="1228" t="s">
        <v>143</v>
      </c>
      <c r="BC1" s="1228" t="s">
        <v>144</v>
      </c>
      <c r="BD1" s="1219" t="s">
        <v>1438</v>
      </c>
      <c r="BE1" s="1218" t="s">
        <v>146</v>
      </c>
      <c r="BF1" s="1218" t="s">
        <v>147</v>
      </c>
      <c r="BG1" s="1218" t="s">
        <v>148</v>
      </c>
      <c r="BH1" s="1218" t="s">
        <v>149</v>
      </c>
      <c r="BI1" s="1219" t="s">
        <v>150</v>
      </c>
      <c r="BJ1" s="1219" t="s">
        <v>151</v>
      </c>
      <c r="BK1" s="1219" t="s">
        <v>152</v>
      </c>
      <c r="BL1" s="1219" t="s">
        <v>153</v>
      </c>
      <c r="BM1" s="1219" t="s">
        <v>154</v>
      </c>
      <c r="BN1" s="1218" t="s">
        <v>155</v>
      </c>
      <c r="BO1" s="1218" t="s">
        <v>156</v>
      </c>
      <c r="BP1" s="1218" t="s">
        <v>157</v>
      </c>
      <c r="BQ1" s="1218" t="s">
        <v>149</v>
      </c>
      <c r="BR1" s="1218" t="s">
        <v>158</v>
      </c>
      <c r="BS1" s="1217" t="s">
        <v>159</v>
      </c>
      <c r="BT1" s="569"/>
      <c r="BU1" s="1213" t="s">
        <v>160</v>
      </c>
      <c r="BV1" s="1213" t="s">
        <v>111</v>
      </c>
      <c r="BW1" s="1213" t="s">
        <v>161</v>
      </c>
      <c r="BX1" s="1213" t="s">
        <v>162</v>
      </c>
      <c r="BY1" s="1213" t="s">
        <v>120</v>
      </c>
      <c r="BZ1" s="1213" t="s">
        <v>163</v>
      </c>
      <c r="CA1" s="1215" t="s">
        <v>164</v>
      </c>
      <c r="CB1" s="1215" t="s">
        <v>165</v>
      </c>
      <c r="CC1" s="1215" t="s">
        <v>166</v>
      </c>
    </row>
    <row r="2" spans="1:83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87"/>
      <c r="S2" s="1236"/>
      <c r="T2" s="403"/>
      <c r="U2" s="404" t="s">
        <v>167</v>
      </c>
      <c r="V2" s="404" t="s">
        <v>168</v>
      </c>
      <c r="W2" s="405" t="s">
        <v>169</v>
      </c>
      <c r="X2" s="404" t="s">
        <v>170</v>
      </c>
      <c r="Y2" s="404" t="s">
        <v>171</v>
      </c>
      <c r="Z2" s="406" t="s">
        <v>172</v>
      </c>
      <c r="AA2" s="406" t="s">
        <v>173</v>
      </c>
      <c r="AB2" s="404" t="s">
        <v>174</v>
      </c>
      <c r="AC2" s="404" t="s">
        <v>139</v>
      </c>
      <c r="AD2" s="405" t="s">
        <v>175</v>
      </c>
      <c r="AE2" s="405" t="s">
        <v>176</v>
      </c>
      <c r="AF2" s="405" t="s">
        <v>177</v>
      </c>
      <c r="AG2" s="405" t="s">
        <v>178</v>
      </c>
      <c r="AH2" s="405" t="s">
        <v>179</v>
      </c>
      <c r="AI2" s="404" t="s">
        <v>81</v>
      </c>
      <c r="AJ2" s="404" t="s">
        <v>180</v>
      </c>
      <c r="AK2" s="404" t="s">
        <v>181</v>
      </c>
      <c r="AL2" s="404" t="s">
        <v>76</v>
      </c>
      <c r="AM2" s="404" t="s">
        <v>84</v>
      </c>
      <c r="AN2" s="404" t="s">
        <v>88</v>
      </c>
      <c r="AO2" s="404" t="s">
        <v>78</v>
      </c>
      <c r="AP2" s="404" t="s">
        <v>80</v>
      </c>
      <c r="AQ2" s="404" t="s">
        <v>86</v>
      </c>
      <c r="AR2" s="404" t="s">
        <v>82</v>
      </c>
      <c r="AS2" s="404" t="s">
        <v>182</v>
      </c>
      <c r="AT2" s="404" t="s">
        <v>183</v>
      </c>
      <c r="AU2" s="404" t="s">
        <v>184</v>
      </c>
      <c r="AV2" s="404" t="s">
        <v>100</v>
      </c>
      <c r="AW2" s="404" t="s">
        <v>913</v>
      </c>
      <c r="AX2" s="404" t="s">
        <v>2747</v>
      </c>
      <c r="AY2" s="1218"/>
      <c r="AZ2" s="1218"/>
      <c r="BA2" s="1227"/>
      <c r="BB2" s="1229"/>
      <c r="BC2" s="1229"/>
      <c r="BD2" s="1219"/>
      <c r="BE2" s="1218"/>
      <c r="BF2" s="1218"/>
      <c r="BG2" s="1218"/>
      <c r="BH2" s="1218"/>
      <c r="BI2" s="1219"/>
      <c r="BJ2" s="1219"/>
      <c r="BK2" s="1219"/>
      <c r="BL2" s="1219"/>
      <c r="BM2" s="1219"/>
      <c r="BN2" s="1218"/>
      <c r="BO2" s="1218"/>
      <c r="BP2" s="1218"/>
      <c r="BQ2" s="1218"/>
      <c r="BR2" s="1218"/>
      <c r="BS2" s="1217"/>
      <c r="BT2" s="250"/>
      <c r="BU2" s="1214"/>
      <c r="BV2" s="1214"/>
      <c r="BW2" s="1214"/>
      <c r="BX2" s="1214"/>
      <c r="BY2" s="1214"/>
      <c r="BZ2" s="1214"/>
      <c r="CA2" s="1216"/>
      <c r="CB2" s="1216"/>
      <c r="CC2" s="1216"/>
    </row>
    <row r="3" spans="1:83">
      <c r="A3" s="208" t="s">
        <v>2748</v>
      </c>
      <c r="B3" s="115"/>
      <c r="E3" s="77"/>
      <c r="G3" s="299"/>
      <c r="H3" s="299"/>
      <c r="I3" s="115"/>
      <c r="M3" s="115"/>
      <c r="Z3" s="117"/>
      <c r="BA3" s="300"/>
      <c r="BK3" s="251"/>
      <c r="BP3" s="251"/>
      <c r="BQ3" s="251"/>
      <c r="BR3" s="251"/>
      <c r="BS3" s="115"/>
      <c r="BT3" s="115"/>
      <c r="BU3" s="302"/>
      <c r="BV3" s="302"/>
      <c r="BW3" s="302"/>
      <c r="BX3" s="302"/>
      <c r="BY3" s="303"/>
      <c r="BZ3" s="303"/>
      <c r="CA3" s="304"/>
      <c r="CB3" s="304"/>
      <c r="CC3" s="305"/>
    </row>
    <row r="4" spans="1:83" s="126" customFormat="1">
      <c r="A4" s="474">
        <f t="shared" ref="A4:A48" si="0">BE4</f>
        <v>45175.972222222219</v>
      </c>
      <c r="B4" s="475" t="s">
        <v>188</v>
      </c>
      <c r="C4" s="475" t="s">
        <v>88</v>
      </c>
      <c r="D4" s="475" t="s">
        <v>189</v>
      </c>
      <c r="E4" s="476" t="s">
        <v>2563</v>
      </c>
      <c r="F4" s="475"/>
      <c r="G4" s="472">
        <v>45178.875</v>
      </c>
      <c r="H4" s="472">
        <v>45178.762499999997</v>
      </c>
      <c r="I4" s="475" t="s">
        <v>191</v>
      </c>
      <c r="J4" s="369" t="s">
        <v>192</v>
      </c>
      <c r="K4" s="369" t="s">
        <v>192</v>
      </c>
      <c r="L4" s="475" t="s">
        <v>2570</v>
      </c>
      <c r="M4" s="529"/>
      <c r="N4" s="475" t="s">
        <v>194</v>
      </c>
      <c r="O4" s="475" t="s">
        <v>195</v>
      </c>
      <c r="P4" s="475" t="s">
        <v>88</v>
      </c>
      <c r="Q4" s="477">
        <v>5300</v>
      </c>
      <c r="R4" s="477">
        <v>5300</v>
      </c>
      <c r="S4" s="477">
        <v>5009.7879999999996</v>
      </c>
      <c r="T4" s="477"/>
      <c r="U4" s="475"/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7">
        <f>S4</f>
        <v>5009.7879999999996</v>
      </c>
      <c r="AO4" s="475"/>
      <c r="AP4" s="475"/>
      <c r="AQ4" s="475"/>
      <c r="AR4" s="475"/>
      <c r="AS4" s="475"/>
      <c r="AT4" s="475"/>
      <c r="AU4" s="475"/>
      <c r="AV4" s="475"/>
      <c r="AW4" s="475"/>
      <c r="AX4" s="475"/>
      <c r="AY4" s="473">
        <f t="shared" ref="AY4:AY35" si="1">BB4</f>
        <v>45175.965277777781</v>
      </c>
      <c r="AZ4" s="473">
        <f t="shared" ref="AZ4:AZ35" si="2">BR4</f>
        <v>45194.010416666664</v>
      </c>
      <c r="BA4" s="479">
        <f t="shared" ref="BA4:BA35" si="3">AZ4-AY4</f>
        <v>18.04513888888323</v>
      </c>
      <c r="BB4" s="473">
        <v>45175.965277777781</v>
      </c>
      <c r="BC4" s="473">
        <v>45175.965277777781</v>
      </c>
      <c r="BD4" s="473">
        <v>45175.965277777781</v>
      </c>
      <c r="BE4" s="473">
        <v>45175.972222222219</v>
      </c>
      <c r="BF4" s="473">
        <v>45176.631944444445</v>
      </c>
      <c r="BG4" s="473">
        <v>45176.631944444445</v>
      </c>
      <c r="BH4" s="473">
        <v>45176.631944444445</v>
      </c>
      <c r="BI4" s="473">
        <v>45176.631944444445</v>
      </c>
      <c r="BJ4" s="518" t="s">
        <v>196</v>
      </c>
      <c r="BK4" s="518" t="s">
        <v>196</v>
      </c>
      <c r="BL4" s="518" t="s">
        <v>196</v>
      </c>
      <c r="BM4" s="473">
        <v>45186.399305555555</v>
      </c>
      <c r="BN4" s="473">
        <v>45191.600694444445</v>
      </c>
      <c r="BO4" s="473">
        <v>45194</v>
      </c>
      <c r="BP4" s="473">
        <v>45194.006944444445</v>
      </c>
      <c r="BQ4" s="473">
        <v>45194.010416666664</v>
      </c>
      <c r="BR4" s="473">
        <v>45194.010416666664</v>
      </c>
      <c r="BS4" s="475"/>
      <c r="BT4" s="475"/>
      <c r="BU4" s="481">
        <f t="shared" ref="BU4:BU35" si="4">(BD4-BC4)*24</f>
        <v>0</v>
      </c>
      <c r="BV4" s="481">
        <f t="shared" ref="BV4:BV35" si="5">(BF4-BE4)*24</f>
        <v>15.833333333430346</v>
      </c>
      <c r="BW4" s="481">
        <f t="shared" ref="BW4:BW35" si="6">(BI4-BH4)*24</f>
        <v>0</v>
      </c>
      <c r="BX4" s="481">
        <f>(BM4-BI4)*24</f>
        <v>234.41666666662786</v>
      </c>
      <c r="BY4" s="482">
        <f t="shared" ref="BY4:BY35" si="7">(BO4-BN4)*24</f>
        <v>57.583333333313931</v>
      </c>
      <c r="BZ4" s="482">
        <f t="shared" ref="BZ4:BZ35" si="8">(BR4-BQ4)*24</f>
        <v>0</v>
      </c>
      <c r="CA4" s="483">
        <f t="shared" ref="CA4:CA35" si="9">SUM(BU4:BZ4)/24</f>
        <v>12.826388888890506</v>
      </c>
      <c r="CB4" s="483">
        <f t="shared" ref="CB4:CB35" si="10">BA4</f>
        <v>18.04513888888323</v>
      </c>
      <c r="CC4" s="484">
        <f t="shared" ref="CC4:CC35" si="11">CA4/CB4</f>
        <v>0.71079468924410705</v>
      </c>
      <c r="CD4" s="475"/>
      <c r="CE4" s="475"/>
    </row>
    <row r="5" spans="1:83" s="126" customFormat="1">
      <c r="A5" s="474">
        <f t="shared" si="0"/>
        <v>45181.663194444445</v>
      </c>
      <c r="B5" s="475" t="s">
        <v>188</v>
      </c>
      <c r="C5" s="475" t="s">
        <v>88</v>
      </c>
      <c r="D5" s="475" t="s">
        <v>189</v>
      </c>
      <c r="E5" s="476" t="s">
        <v>2733</v>
      </c>
      <c r="F5" s="475"/>
      <c r="G5" s="473">
        <v>45186.25</v>
      </c>
      <c r="H5" s="473">
        <v>45186.25</v>
      </c>
      <c r="I5" s="475" t="s">
        <v>191</v>
      </c>
      <c r="J5" s="475" t="s">
        <v>192</v>
      </c>
      <c r="K5" s="475" t="s">
        <v>192</v>
      </c>
      <c r="L5" s="475" t="s">
        <v>2749</v>
      </c>
      <c r="M5" s="530"/>
      <c r="N5" s="475" t="s">
        <v>2750</v>
      </c>
      <c r="O5" s="475" t="s">
        <v>2751</v>
      </c>
      <c r="P5" s="475" t="s">
        <v>88</v>
      </c>
      <c r="Q5" s="477">
        <v>5300</v>
      </c>
      <c r="R5" s="477">
        <v>5300</v>
      </c>
      <c r="S5" s="477">
        <v>5009.2179999999998</v>
      </c>
      <c r="T5" s="477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7">
        <f>S5</f>
        <v>5009.2179999999998</v>
      </c>
      <c r="AO5" s="475"/>
      <c r="AP5" s="475"/>
      <c r="AQ5" s="475"/>
      <c r="AR5" s="475"/>
      <c r="AS5" s="475"/>
      <c r="AT5" s="475"/>
      <c r="AU5" s="475"/>
      <c r="AV5" s="475"/>
      <c r="AW5" s="475"/>
      <c r="AX5" s="475"/>
      <c r="AY5" s="473">
        <f t="shared" si="1"/>
        <v>45181.65625</v>
      </c>
      <c r="AZ5" s="473">
        <f t="shared" si="2"/>
        <v>45189.746527777781</v>
      </c>
      <c r="BA5" s="479">
        <f t="shared" si="3"/>
        <v>8.0902777777810115</v>
      </c>
      <c r="BB5" s="473">
        <v>45181.65625</v>
      </c>
      <c r="BC5" s="473">
        <v>45181.65625</v>
      </c>
      <c r="BD5" s="473">
        <v>45181.65625</v>
      </c>
      <c r="BE5" s="473">
        <v>45181.663194444445</v>
      </c>
      <c r="BF5" s="473">
        <v>45182.125</v>
      </c>
      <c r="BG5" s="473">
        <v>45182.125</v>
      </c>
      <c r="BH5" s="473">
        <v>45182.125</v>
      </c>
      <c r="BI5" s="473">
        <v>45182.125</v>
      </c>
      <c r="BJ5" s="518" t="s">
        <v>196</v>
      </c>
      <c r="BK5" s="518" t="s">
        <v>196</v>
      </c>
      <c r="BL5" s="518" t="s">
        <v>196</v>
      </c>
      <c r="BM5" s="473">
        <v>45188.71875</v>
      </c>
      <c r="BN5" s="473">
        <v>45188.864583333336</v>
      </c>
      <c r="BO5" s="473">
        <v>45189.71875</v>
      </c>
      <c r="BP5" s="473">
        <v>45189.739583333336</v>
      </c>
      <c r="BQ5" s="473">
        <v>45189.746527777781</v>
      </c>
      <c r="BR5" s="473">
        <v>45189.746527777781</v>
      </c>
      <c r="BS5" s="475"/>
      <c r="BT5" s="475"/>
      <c r="BU5" s="481">
        <f t="shared" si="4"/>
        <v>0</v>
      </c>
      <c r="BV5" s="481">
        <f t="shared" si="5"/>
        <v>11.083333333313931</v>
      </c>
      <c r="BW5" s="481">
        <f t="shared" si="6"/>
        <v>0</v>
      </c>
      <c r="BX5" s="481">
        <f>(BM5-BI5)*24</f>
        <v>158.25</v>
      </c>
      <c r="BY5" s="482">
        <f t="shared" si="7"/>
        <v>20.499999999941792</v>
      </c>
      <c r="BZ5" s="482">
        <f t="shared" si="8"/>
        <v>0</v>
      </c>
      <c r="CA5" s="483">
        <f t="shared" si="9"/>
        <v>7.9097222222189885</v>
      </c>
      <c r="CB5" s="483">
        <f t="shared" si="10"/>
        <v>8.0902777777810115</v>
      </c>
      <c r="CC5" s="484">
        <f t="shared" si="11"/>
        <v>0.97768240343268586</v>
      </c>
      <c r="CD5" s="475"/>
      <c r="CE5" s="475"/>
    </row>
    <row r="6" spans="1:83" s="126" customFormat="1">
      <c r="A6" s="521">
        <f t="shared" si="0"/>
        <v>45171.680555555555</v>
      </c>
      <c r="B6" s="369" t="s">
        <v>188</v>
      </c>
      <c r="C6" s="369" t="s">
        <v>78</v>
      </c>
      <c r="D6" s="369" t="s">
        <v>215</v>
      </c>
      <c r="E6" s="271" t="s">
        <v>2740</v>
      </c>
      <c r="F6" s="369"/>
      <c r="G6" s="522">
        <v>45185.354166666664</v>
      </c>
      <c r="H6" s="522">
        <v>45185.354166666664</v>
      </c>
      <c r="I6" s="369" t="s">
        <v>199</v>
      </c>
      <c r="J6" s="369" t="s">
        <v>192</v>
      </c>
      <c r="K6" s="369" t="s">
        <v>192</v>
      </c>
      <c r="L6" s="369" t="s">
        <v>2752</v>
      </c>
      <c r="M6" s="529"/>
      <c r="N6" s="369" t="s">
        <v>403</v>
      </c>
      <c r="O6" s="369" t="s">
        <v>404</v>
      </c>
      <c r="P6" s="369" t="s">
        <v>78</v>
      </c>
      <c r="Q6" s="520">
        <f>3107*2.4</f>
        <v>7456.7999999999993</v>
      </c>
      <c r="R6" s="520">
        <f>7500+100</f>
        <v>7600</v>
      </c>
      <c r="S6" s="520">
        <v>7500</v>
      </c>
      <c r="T6" s="520"/>
      <c r="U6" s="369"/>
      <c r="V6" s="369"/>
      <c r="W6" s="369"/>
      <c r="X6" s="369"/>
      <c r="Y6" s="369"/>
      <c r="Z6" s="369"/>
      <c r="AA6" s="369"/>
      <c r="AB6" s="369"/>
      <c r="AC6" s="369"/>
      <c r="AD6" s="369"/>
      <c r="AE6" s="369"/>
      <c r="AF6" s="369"/>
      <c r="AG6" s="369"/>
      <c r="AH6" s="369"/>
      <c r="AI6" s="369"/>
      <c r="AJ6" s="369"/>
      <c r="AK6" s="369"/>
      <c r="AL6" s="369"/>
      <c r="AM6" s="369"/>
      <c r="AN6" s="369"/>
      <c r="AO6" s="520">
        <f>S6</f>
        <v>7500</v>
      </c>
      <c r="AP6" s="369"/>
      <c r="AQ6" s="369"/>
      <c r="AR6" s="369"/>
      <c r="AS6" s="369"/>
      <c r="AT6" s="369"/>
      <c r="AU6" s="369"/>
      <c r="AV6" s="369"/>
      <c r="AW6" s="369"/>
      <c r="AX6" s="369"/>
      <c r="AY6" s="522">
        <f t="shared" si="1"/>
        <v>45169.315972222219</v>
      </c>
      <c r="AZ6" s="522">
        <f t="shared" si="2"/>
        <v>45185.354166666664</v>
      </c>
      <c r="BA6" s="523">
        <f t="shared" si="3"/>
        <v>16.038194444445253</v>
      </c>
      <c r="BB6" s="522">
        <v>45169.315972222219</v>
      </c>
      <c r="BC6" s="522">
        <v>45171.506944444445</v>
      </c>
      <c r="BD6" s="522">
        <v>45171.645833333336</v>
      </c>
      <c r="BE6" s="522">
        <v>45171.680555555555</v>
      </c>
      <c r="BF6" s="522">
        <v>45172.180555555555</v>
      </c>
      <c r="BG6" s="522">
        <v>45172.201388888891</v>
      </c>
      <c r="BH6" s="522">
        <v>45172.201388888891</v>
      </c>
      <c r="BI6" s="522">
        <f>BH6+(5/24)</f>
        <v>45172.409722222226</v>
      </c>
      <c r="BJ6" s="524">
        <v>45173.25</v>
      </c>
      <c r="BK6" s="524">
        <v>45173.416666608799</v>
      </c>
      <c r="BL6" s="524">
        <v>45173.333333333336</v>
      </c>
      <c r="BM6" s="522">
        <v>45174.729166666664</v>
      </c>
      <c r="BN6" s="522">
        <v>45184.472222222219</v>
      </c>
      <c r="BO6" s="522">
        <v>45184.732638888891</v>
      </c>
      <c r="BP6" s="522">
        <v>45184.746527777781</v>
      </c>
      <c r="BQ6" s="522">
        <v>45184.763888888891</v>
      </c>
      <c r="BR6" s="522">
        <v>45185.354166666664</v>
      </c>
      <c r="BS6" s="369"/>
      <c r="BT6" s="369"/>
      <c r="BU6" s="525">
        <f t="shared" si="4"/>
        <v>3.3333333333721384</v>
      </c>
      <c r="BV6" s="525">
        <f t="shared" si="5"/>
        <v>12</v>
      </c>
      <c r="BW6" s="525">
        <f t="shared" si="6"/>
        <v>5.0000000000582077</v>
      </c>
      <c r="BX6" s="525">
        <f t="shared" ref="BX6:BX37" si="12">(BM6-BK6)*24</f>
        <v>31.500001388776582</v>
      </c>
      <c r="BY6" s="526">
        <f t="shared" si="7"/>
        <v>6.2500000001164153</v>
      </c>
      <c r="BZ6" s="526">
        <f t="shared" si="8"/>
        <v>14.166666666569654</v>
      </c>
      <c r="CA6" s="304">
        <f t="shared" si="9"/>
        <v>3.0104167245372082</v>
      </c>
      <c r="CB6" s="304">
        <f t="shared" si="10"/>
        <v>16.038194444445253</v>
      </c>
      <c r="CC6" s="305">
        <f t="shared" si="11"/>
        <v>0.1877029696182447</v>
      </c>
      <c r="CD6" s="369"/>
      <c r="CE6" s="369"/>
    </row>
    <row r="7" spans="1:83" s="126" customFormat="1">
      <c r="A7" s="474">
        <f t="shared" si="0"/>
        <v>45180.909722222219</v>
      </c>
      <c r="B7" s="475" t="s">
        <v>188</v>
      </c>
      <c r="C7" s="475" t="s">
        <v>78</v>
      </c>
      <c r="D7" s="475" t="s">
        <v>197</v>
      </c>
      <c r="E7" s="476" t="s">
        <v>1828</v>
      </c>
      <c r="F7" s="475"/>
      <c r="G7" s="473">
        <v>45183.75</v>
      </c>
      <c r="H7" s="473">
        <v>45183.75</v>
      </c>
      <c r="I7" s="475" t="s">
        <v>199</v>
      </c>
      <c r="J7" s="369" t="s">
        <v>192</v>
      </c>
      <c r="K7" s="369" t="s">
        <v>192</v>
      </c>
      <c r="L7" s="475" t="s">
        <v>2753</v>
      </c>
      <c r="M7" s="529"/>
      <c r="N7" s="475" t="s">
        <v>1392</v>
      </c>
      <c r="O7" s="475" t="s">
        <v>365</v>
      </c>
      <c r="P7" s="475" t="s">
        <v>78</v>
      </c>
      <c r="Q7" s="477">
        <f>3142*2.4</f>
        <v>7540.7999999999993</v>
      </c>
      <c r="R7" s="477">
        <f>7550+100</f>
        <v>7650</v>
      </c>
      <c r="S7" s="477">
        <v>7500</v>
      </c>
      <c r="T7" s="477"/>
      <c r="U7" s="475"/>
      <c r="V7" s="475"/>
      <c r="W7" s="475"/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75"/>
      <c r="AK7" s="475"/>
      <c r="AL7" s="475"/>
      <c r="AM7" s="475"/>
      <c r="AN7" s="475"/>
      <c r="AO7" s="477">
        <f>S7</f>
        <v>7500</v>
      </c>
      <c r="AP7" s="475"/>
      <c r="AQ7" s="475"/>
      <c r="AR7" s="475"/>
      <c r="AS7" s="475"/>
      <c r="AT7" s="475"/>
      <c r="AU7" s="475"/>
      <c r="AV7" s="475"/>
      <c r="AW7" s="475"/>
      <c r="AX7" s="475"/>
      <c r="AY7" s="473">
        <f t="shared" si="1"/>
        <v>45178.850694444445</v>
      </c>
      <c r="AZ7" s="473">
        <f t="shared" si="2"/>
        <v>45191.461805555555</v>
      </c>
      <c r="BA7" s="479">
        <f t="shared" si="3"/>
        <v>12.611111111109494</v>
      </c>
      <c r="BB7" s="473">
        <v>45178.850694444445</v>
      </c>
      <c r="BC7" s="473">
        <v>45180.770833333336</v>
      </c>
      <c r="BD7" s="473">
        <v>45180.850694444445</v>
      </c>
      <c r="BE7" s="473">
        <v>45180.909722222219</v>
      </c>
      <c r="BF7" s="473">
        <v>45181.420138888891</v>
      </c>
      <c r="BG7" s="473">
        <v>45181.440972222219</v>
      </c>
      <c r="BH7" s="473">
        <v>45181.440972222219</v>
      </c>
      <c r="BI7" s="473">
        <f>BH7+(5/24)</f>
        <v>45181.649305555555</v>
      </c>
      <c r="BJ7" s="485">
        <v>45182.229166608799</v>
      </c>
      <c r="BK7" s="485">
        <v>45182.395833333336</v>
      </c>
      <c r="BL7" s="485">
        <v>45182.315972222219</v>
      </c>
      <c r="BM7" s="473">
        <v>45183.833333333336</v>
      </c>
      <c r="BN7" s="473">
        <v>45190.145833333336</v>
      </c>
      <c r="BO7" s="473">
        <v>45190.434027777781</v>
      </c>
      <c r="BP7" s="473">
        <v>45190.444444444445</v>
      </c>
      <c r="BQ7" s="473">
        <v>45190.815972222219</v>
      </c>
      <c r="BR7" s="473">
        <v>45191.461805555555</v>
      </c>
      <c r="BS7" s="475"/>
      <c r="BT7" s="475"/>
      <c r="BU7" s="481">
        <f t="shared" si="4"/>
        <v>1.9166666666278616</v>
      </c>
      <c r="BV7" s="481">
        <f t="shared" si="5"/>
        <v>12.250000000116415</v>
      </c>
      <c r="BW7" s="481">
        <f t="shared" si="6"/>
        <v>5.0000000000582077</v>
      </c>
      <c r="BX7" s="481">
        <f t="shared" si="12"/>
        <v>34.5</v>
      </c>
      <c r="BY7" s="482">
        <f t="shared" si="7"/>
        <v>6.9166666666860692</v>
      </c>
      <c r="BZ7" s="482">
        <f t="shared" si="8"/>
        <v>15.500000000058208</v>
      </c>
      <c r="CA7" s="483">
        <f t="shared" si="9"/>
        <v>3.1701388888977817</v>
      </c>
      <c r="CB7" s="483">
        <f t="shared" si="10"/>
        <v>12.611111111109494</v>
      </c>
      <c r="CC7" s="484">
        <f t="shared" si="11"/>
        <v>0.25137665198311626</v>
      </c>
      <c r="CD7" s="475"/>
      <c r="CE7" s="475"/>
    </row>
    <row r="8" spans="1:83" s="126" customFormat="1">
      <c r="A8" s="192">
        <f t="shared" si="0"/>
        <v>45171.604166666664</v>
      </c>
      <c r="B8" s="126" t="s">
        <v>228</v>
      </c>
      <c r="C8" s="126" t="s">
        <v>229</v>
      </c>
      <c r="D8" s="126" t="s">
        <v>197</v>
      </c>
      <c r="E8" s="65" t="s">
        <v>2746</v>
      </c>
      <c r="G8" s="316">
        <v>45165.458333333336</v>
      </c>
      <c r="H8" s="316">
        <v>45165.444444444445</v>
      </c>
      <c r="I8" s="126" t="s">
        <v>231</v>
      </c>
      <c r="J8" s="126" t="s">
        <v>192</v>
      </c>
      <c r="K8" s="126" t="s">
        <v>192</v>
      </c>
      <c r="L8" s="126" t="s">
        <v>2454</v>
      </c>
      <c r="M8" s="167"/>
      <c r="N8" s="126" t="s">
        <v>213</v>
      </c>
      <c r="O8" s="126" t="s">
        <v>214</v>
      </c>
      <c r="P8" s="126" t="s">
        <v>235</v>
      </c>
      <c r="Q8" s="181">
        <f>3113*2.4</f>
        <v>7471.2</v>
      </c>
      <c r="R8" s="181">
        <f>7500+100</f>
        <v>7600</v>
      </c>
      <c r="S8" s="181">
        <v>7544.4189999999999</v>
      </c>
      <c r="T8" s="181"/>
      <c r="X8" s="181">
        <f t="shared" ref="X8:X14" si="13">S8</f>
        <v>7544.4189999999999</v>
      </c>
      <c r="AY8" s="165">
        <f t="shared" si="1"/>
        <v>45161.944444444445</v>
      </c>
      <c r="AZ8" s="165">
        <f t="shared" si="2"/>
        <v>45176.420138888891</v>
      </c>
      <c r="BA8" s="137">
        <f t="shared" si="3"/>
        <v>14.475694444445253</v>
      </c>
      <c r="BB8" s="165">
        <v>45161.944444444445</v>
      </c>
      <c r="BC8" s="165">
        <v>45167.552083333336</v>
      </c>
      <c r="BD8" s="165">
        <v>45169.260416666664</v>
      </c>
      <c r="BE8" s="165">
        <v>45171.604166666664</v>
      </c>
      <c r="BF8" s="165">
        <v>45171.755555555559</v>
      </c>
      <c r="BG8" s="165">
        <v>45171.760416666664</v>
      </c>
      <c r="BH8" s="165">
        <v>45171.765972222223</v>
      </c>
      <c r="BI8" s="165">
        <f t="shared" ref="BI8:BI48" si="14">BH8+(41/24)</f>
        <v>45173.474305555559</v>
      </c>
      <c r="BJ8" s="210">
        <v>45174.25</v>
      </c>
      <c r="BK8" s="210">
        <v>45174.416666608799</v>
      </c>
      <c r="BL8" s="210">
        <v>45174.423611111109</v>
      </c>
      <c r="BM8" s="165">
        <v>45175.625</v>
      </c>
      <c r="BN8" s="165">
        <v>45175.795138888891</v>
      </c>
      <c r="BO8" s="165">
        <v>45176.1875</v>
      </c>
      <c r="BP8" s="165">
        <v>45176.21875</v>
      </c>
      <c r="BQ8" s="165">
        <v>45176.21875</v>
      </c>
      <c r="BR8" s="165">
        <v>45176.420138888891</v>
      </c>
      <c r="BU8" s="136">
        <f t="shared" si="4"/>
        <v>40.999999999883585</v>
      </c>
      <c r="BV8" s="136">
        <f t="shared" si="5"/>
        <v>3.6333333334769122</v>
      </c>
      <c r="BW8" s="136">
        <f t="shared" si="6"/>
        <v>41.000000000058208</v>
      </c>
      <c r="BX8" s="136">
        <f t="shared" si="12"/>
        <v>29.000001388834789</v>
      </c>
      <c r="BY8" s="135">
        <f t="shared" si="7"/>
        <v>9.4166666666278616</v>
      </c>
      <c r="BZ8" s="135">
        <f t="shared" si="8"/>
        <v>4.8333333333721384</v>
      </c>
      <c r="CA8" s="134">
        <f t="shared" si="9"/>
        <v>5.3701389467605622</v>
      </c>
      <c r="CB8" s="134">
        <f t="shared" si="10"/>
        <v>14.475694444445253</v>
      </c>
      <c r="CC8" s="133">
        <f t="shared" si="11"/>
        <v>0.3709762572959836</v>
      </c>
    </row>
    <row r="9" spans="1:83" s="126" customFormat="1">
      <c r="A9" s="192">
        <f t="shared" si="0"/>
        <v>45172.026388888888</v>
      </c>
      <c r="B9" s="126" t="s">
        <v>228</v>
      </c>
      <c r="C9" s="126" t="s">
        <v>229</v>
      </c>
      <c r="D9" s="126" t="s">
        <v>215</v>
      </c>
      <c r="E9" s="65" t="s">
        <v>2463</v>
      </c>
      <c r="G9" s="316">
        <v>45165.4375</v>
      </c>
      <c r="H9" s="316">
        <v>45165.408333333333</v>
      </c>
      <c r="I9" s="126" t="s">
        <v>231</v>
      </c>
      <c r="J9" s="126" t="s">
        <v>192</v>
      </c>
      <c r="K9" s="126" t="s">
        <v>192</v>
      </c>
      <c r="L9" s="126" t="s">
        <v>2466</v>
      </c>
      <c r="M9" s="167"/>
      <c r="N9" s="126" t="s">
        <v>390</v>
      </c>
      <c r="O9" s="126" t="s">
        <v>391</v>
      </c>
      <c r="P9" s="126" t="s">
        <v>235</v>
      </c>
      <c r="Q9" s="181">
        <f>3097*2.4</f>
        <v>7432.7999999999993</v>
      </c>
      <c r="R9" s="181">
        <f>7450+100</f>
        <v>7550</v>
      </c>
      <c r="S9" s="181">
        <v>7408.0519999999997</v>
      </c>
      <c r="T9" s="181"/>
      <c r="X9" s="181">
        <f t="shared" si="13"/>
        <v>7408.0519999999997</v>
      </c>
      <c r="AY9" s="165">
        <f t="shared" si="1"/>
        <v>45160.958333333336</v>
      </c>
      <c r="AZ9" s="165">
        <f t="shared" si="2"/>
        <v>45179.256944444445</v>
      </c>
      <c r="BA9" s="137">
        <f t="shared" si="3"/>
        <v>18.298611111109494</v>
      </c>
      <c r="BB9" s="165">
        <v>45160.958333333336</v>
      </c>
      <c r="BC9" s="165">
        <v>45165.78125</v>
      </c>
      <c r="BD9" s="165">
        <v>45167.604166666664</v>
      </c>
      <c r="BE9" s="165">
        <v>45172.026388888888</v>
      </c>
      <c r="BF9" s="165">
        <v>45172.190972222219</v>
      </c>
      <c r="BG9" s="165">
        <v>45172.194444444445</v>
      </c>
      <c r="BH9" s="165">
        <v>45172.197916666664</v>
      </c>
      <c r="BI9" s="165">
        <f t="shared" si="14"/>
        <v>45173.90625</v>
      </c>
      <c r="BJ9" s="210">
        <v>45174.25</v>
      </c>
      <c r="BK9" s="210">
        <v>45174.416666608799</v>
      </c>
      <c r="BL9" s="165">
        <v>45174.277777777781</v>
      </c>
      <c r="BM9" s="165">
        <v>45175.559027777781</v>
      </c>
      <c r="BN9" s="165">
        <v>45178.541666666664</v>
      </c>
      <c r="BO9" s="165">
        <v>45178.847222222219</v>
      </c>
      <c r="BP9" s="165">
        <v>45178.857638888891</v>
      </c>
      <c r="BQ9" s="165">
        <v>45178.857638888891</v>
      </c>
      <c r="BR9" s="165">
        <v>45179.256944444445</v>
      </c>
      <c r="BU9" s="136">
        <f t="shared" si="4"/>
        <v>43.749999999941792</v>
      </c>
      <c r="BV9" s="136">
        <f t="shared" si="5"/>
        <v>3.9499999999534339</v>
      </c>
      <c r="BW9" s="136">
        <f t="shared" si="6"/>
        <v>41.000000000058208</v>
      </c>
      <c r="BX9" s="136">
        <f t="shared" si="12"/>
        <v>27.416668055579066</v>
      </c>
      <c r="BY9" s="135">
        <f t="shared" si="7"/>
        <v>7.3333333333139308</v>
      </c>
      <c r="BZ9" s="135">
        <f t="shared" si="8"/>
        <v>9.5833333333139308</v>
      </c>
      <c r="CA9" s="134">
        <f t="shared" si="9"/>
        <v>5.5430556134233484</v>
      </c>
      <c r="CB9" s="134">
        <f t="shared" si="10"/>
        <v>18.298611111109494</v>
      </c>
      <c r="CC9" s="133">
        <f t="shared" si="11"/>
        <v>0.30292220430096117</v>
      </c>
    </row>
    <row r="10" spans="1:83" s="126" customFormat="1">
      <c r="A10" s="192">
        <f t="shared" si="0"/>
        <v>45172.222222222219</v>
      </c>
      <c r="B10" s="126" t="s">
        <v>228</v>
      </c>
      <c r="C10" s="126" t="s">
        <v>229</v>
      </c>
      <c r="D10" s="126" t="s">
        <v>215</v>
      </c>
      <c r="E10" s="65" t="s">
        <v>2463</v>
      </c>
      <c r="G10" s="316">
        <v>45165.4375</v>
      </c>
      <c r="H10" s="316">
        <v>45165.408333333333</v>
      </c>
      <c r="I10" s="126" t="s">
        <v>231</v>
      </c>
      <c r="J10" s="126" t="s">
        <v>192</v>
      </c>
      <c r="K10" s="126" t="s">
        <v>192</v>
      </c>
      <c r="L10" s="126" t="s">
        <v>2467</v>
      </c>
      <c r="M10" s="167"/>
      <c r="N10" s="126" t="s">
        <v>399</v>
      </c>
      <c r="O10" s="126" t="s">
        <v>275</v>
      </c>
      <c r="P10" s="126" t="s">
        <v>235</v>
      </c>
      <c r="Q10" s="181">
        <f>3097*2.4</f>
        <v>7432.7999999999993</v>
      </c>
      <c r="R10" s="181">
        <f>7450+100</f>
        <v>7550</v>
      </c>
      <c r="S10" s="181">
        <v>7446.3270000000002</v>
      </c>
      <c r="T10" s="181"/>
      <c r="X10" s="181">
        <f t="shared" si="13"/>
        <v>7446.3270000000002</v>
      </c>
      <c r="AY10" s="165">
        <f t="shared" si="1"/>
        <v>45160.958333333336</v>
      </c>
      <c r="AZ10" s="165">
        <f t="shared" si="2"/>
        <v>45179.458333333336</v>
      </c>
      <c r="BA10" s="137">
        <f t="shared" si="3"/>
        <v>18.5</v>
      </c>
      <c r="BB10" s="165">
        <v>45160.958333333336</v>
      </c>
      <c r="BC10" s="165">
        <v>45165.743055555555</v>
      </c>
      <c r="BD10" s="165">
        <v>45167.458333333336</v>
      </c>
      <c r="BE10" s="165">
        <v>45172.222222222219</v>
      </c>
      <c r="BF10" s="165">
        <v>45172.489583333336</v>
      </c>
      <c r="BG10" s="165">
        <v>45172.496527777781</v>
      </c>
      <c r="BH10" s="165">
        <v>45172.496527777781</v>
      </c>
      <c r="BI10" s="165">
        <f t="shared" si="14"/>
        <v>45174.204861111117</v>
      </c>
      <c r="BJ10" s="210">
        <v>45174.25</v>
      </c>
      <c r="BK10" s="210">
        <v>45174.416666608799</v>
      </c>
      <c r="BL10" s="165">
        <v>45174.298611111109</v>
      </c>
      <c r="BM10" s="165">
        <v>45175.75</v>
      </c>
      <c r="BN10" s="165">
        <v>45178.881944444445</v>
      </c>
      <c r="BO10" s="165">
        <v>45179.163194444445</v>
      </c>
      <c r="BP10" s="165">
        <v>45179.173611111109</v>
      </c>
      <c r="BQ10" s="165">
        <v>45179.173611111109</v>
      </c>
      <c r="BR10" s="165">
        <v>45179.458333333336</v>
      </c>
      <c r="BU10" s="136">
        <f t="shared" si="4"/>
        <v>41.166666666744277</v>
      </c>
      <c r="BV10" s="136">
        <f t="shared" si="5"/>
        <v>6.4166666668024845</v>
      </c>
      <c r="BW10" s="136">
        <f t="shared" si="6"/>
        <v>41.000000000058208</v>
      </c>
      <c r="BX10" s="136">
        <f t="shared" si="12"/>
        <v>32.000001388834789</v>
      </c>
      <c r="BY10" s="135">
        <f t="shared" si="7"/>
        <v>6.75</v>
      </c>
      <c r="BZ10" s="135">
        <f t="shared" si="8"/>
        <v>6.8333333334303461</v>
      </c>
      <c r="CA10" s="134">
        <f t="shared" si="9"/>
        <v>5.5902778356612544</v>
      </c>
      <c r="CB10" s="134">
        <f t="shared" si="10"/>
        <v>18.5</v>
      </c>
      <c r="CC10" s="133">
        <f t="shared" si="11"/>
        <v>0.30217718030601376</v>
      </c>
    </row>
    <row r="11" spans="1:83" s="126" customFormat="1">
      <c r="A11" s="192">
        <f t="shared" si="0"/>
        <v>45172.517361111109</v>
      </c>
      <c r="B11" s="126" t="s">
        <v>228</v>
      </c>
      <c r="C11" s="126" t="s">
        <v>229</v>
      </c>
      <c r="D11" s="126" t="s">
        <v>197</v>
      </c>
      <c r="E11" s="65" t="s">
        <v>2463</v>
      </c>
      <c r="G11" s="316">
        <v>45165.4375</v>
      </c>
      <c r="H11" s="316">
        <v>45165.408333333333</v>
      </c>
      <c r="I11" s="126" t="s">
        <v>231</v>
      </c>
      <c r="J11" s="126" t="s">
        <v>192</v>
      </c>
      <c r="K11" s="126" t="s">
        <v>192</v>
      </c>
      <c r="L11" s="126" t="s">
        <v>2468</v>
      </c>
      <c r="M11" s="167"/>
      <c r="N11" s="126" t="s">
        <v>205</v>
      </c>
      <c r="O11" s="126" t="s">
        <v>206</v>
      </c>
      <c r="P11" s="126" t="s">
        <v>235</v>
      </c>
      <c r="Q11" s="181">
        <f>3015*2.4</f>
        <v>7236</v>
      </c>
      <c r="R11" s="181">
        <f>7250+100</f>
        <v>7350</v>
      </c>
      <c r="S11" s="181">
        <v>7472.915</v>
      </c>
      <c r="T11" s="181"/>
      <c r="X11" s="181">
        <f t="shared" si="13"/>
        <v>7472.915</v>
      </c>
      <c r="AY11" s="165">
        <f t="shared" si="1"/>
        <v>45159.472222222219</v>
      </c>
      <c r="AZ11" s="165">
        <f t="shared" si="2"/>
        <v>45179.791666666664</v>
      </c>
      <c r="BA11" s="137">
        <f t="shared" si="3"/>
        <v>20.319444444445253</v>
      </c>
      <c r="BB11" s="165">
        <v>45159.472222222219</v>
      </c>
      <c r="BC11" s="165">
        <v>45167.854166666664</v>
      </c>
      <c r="BD11" s="165">
        <v>45169.333333333336</v>
      </c>
      <c r="BE11" s="165">
        <v>45172.517361111109</v>
      </c>
      <c r="BF11" s="165">
        <v>45172.65</v>
      </c>
      <c r="BG11" s="165">
        <v>45172.65625</v>
      </c>
      <c r="BH11" s="165">
        <v>45172.65625</v>
      </c>
      <c r="BI11" s="165">
        <f t="shared" si="14"/>
        <v>45174.364583333336</v>
      </c>
      <c r="BJ11" s="210">
        <v>45174.25</v>
      </c>
      <c r="BK11" s="210">
        <v>45174.416666608799</v>
      </c>
      <c r="BL11" s="165">
        <v>45174.329861111109</v>
      </c>
      <c r="BM11" s="165">
        <v>45175.944444444445</v>
      </c>
      <c r="BN11" s="165">
        <v>45179.208333333336</v>
      </c>
      <c r="BO11" s="165">
        <v>45179.493055555555</v>
      </c>
      <c r="BP11" s="165">
        <v>45179.503472222219</v>
      </c>
      <c r="BQ11" s="165">
        <v>45179.503472222219</v>
      </c>
      <c r="BR11" s="165">
        <v>45179.791666666664</v>
      </c>
      <c r="BU11" s="136">
        <f t="shared" si="4"/>
        <v>35.500000000116415</v>
      </c>
      <c r="BV11" s="136">
        <f t="shared" si="5"/>
        <v>3.183333333407063</v>
      </c>
      <c r="BW11" s="136">
        <f t="shared" si="6"/>
        <v>41.000000000058208</v>
      </c>
      <c r="BX11" s="136">
        <f t="shared" si="12"/>
        <v>36.666668055520859</v>
      </c>
      <c r="BY11" s="135">
        <f t="shared" si="7"/>
        <v>6.8333333332557231</v>
      </c>
      <c r="BZ11" s="135">
        <f t="shared" si="8"/>
        <v>6.9166666666860692</v>
      </c>
      <c r="CA11" s="134">
        <f t="shared" si="9"/>
        <v>5.4208333912101807</v>
      </c>
      <c r="CB11" s="134">
        <f t="shared" si="10"/>
        <v>20.319444444445253</v>
      </c>
      <c r="CC11" s="133">
        <f t="shared" si="11"/>
        <v>0.26678059068155674</v>
      </c>
    </row>
    <row r="12" spans="1:83" s="126" customFormat="1">
      <c r="A12" s="192">
        <f t="shared" si="0"/>
        <v>45172.690972222219</v>
      </c>
      <c r="B12" s="126" t="s">
        <v>228</v>
      </c>
      <c r="C12" s="126" t="s">
        <v>229</v>
      </c>
      <c r="D12" s="126" t="s">
        <v>197</v>
      </c>
      <c r="E12" s="65" t="s">
        <v>2463</v>
      </c>
      <c r="G12" s="316">
        <v>45165.4375</v>
      </c>
      <c r="H12" s="316">
        <v>45165.408333333333</v>
      </c>
      <c r="I12" s="126" t="s">
        <v>231</v>
      </c>
      <c r="J12" s="126" t="s">
        <v>192</v>
      </c>
      <c r="K12" s="126" t="s">
        <v>192</v>
      </c>
      <c r="L12" s="126" t="s">
        <v>2472</v>
      </c>
      <c r="M12" s="167"/>
      <c r="N12" s="126" t="s">
        <v>284</v>
      </c>
      <c r="O12" s="126" t="s">
        <v>285</v>
      </c>
      <c r="P12" s="126" t="s">
        <v>235</v>
      </c>
      <c r="Q12" s="181">
        <f>3852*2.4</f>
        <v>9244.7999999999993</v>
      </c>
      <c r="R12" s="181">
        <f>9250+100</f>
        <v>9350</v>
      </c>
      <c r="S12" s="181">
        <f>8118.217-1063.23</f>
        <v>7054.9869999999992</v>
      </c>
      <c r="T12" s="181"/>
      <c r="X12" s="181">
        <f t="shared" si="13"/>
        <v>7054.9869999999992</v>
      </c>
      <c r="AY12" s="165">
        <f t="shared" si="1"/>
        <v>45164.0625</v>
      </c>
      <c r="AZ12" s="165">
        <f t="shared" si="2"/>
        <v>45181.444444444445</v>
      </c>
      <c r="BA12" s="137">
        <f t="shared" si="3"/>
        <v>17.381944444445253</v>
      </c>
      <c r="BB12" s="165">
        <v>45164.0625</v>
      </c>
      <c r="BC12" s="165">
        <v>45168.520833333336</v>
      </c>
      <c r="BD12" s="165">
        <v>45170.020833333336</v>
      </c>
      <c r="BE12" s="165">
        <v>45172.690972222219</v>
      </c>
      <c r="BF12" s="165">
        <v>45173.00277777778</v>
      </c>
      <c r="BG12" s="165">
        <v>45173.013888888891</v>
      </c>
      <c r="BH12" s="165">
        <v>45173.013888888891</v>
      </c>
      <c r="BI12" s="165">
        <f t="shared" si="14"/>
        <v>45174.722222222226</v>
      </c>
      <c r="BJ12" s="210">
        <v>45175.25</v>
      </c>
      <c r="BK12" s="210">
        <v>45175.416666608799</v>
      </c>
      <c r="BL12" s="165">
        <v>45175.347222222219</v>
      </c>
      <c r="BM12" s="165">
        <v>45176.541666666664</v>
      </c>
      <c r="BN12" s="165">
        <v>45180.847222222219</v>
      </c>
      <c r="BO12" s="165">
        <v>45181.375</v>
      </c>
      <c r="BP12" s="165">
        <v>45181.444444444445</v>
      </c>
      <c r="BQ12" s="165">
        <v>45181.444444444445</v>
      </c>
      <c r="BR12" s="165">
        <v>45181.444444444445</v>
      </c>
      <c r="BU12" s="136">
        <f t="shared" si="4"/>
        <v>36</v>
      </c>
      <c r="BV12" s="136">
        <f t="shared" si="5"/>
        <v>7.4833333334536292</v>
      </c>
      <c r="BW12" s="136">
        <f t="shared" si="6"/>
        <v>41.000000000058208</v>
      </c>
      <c r="BX12" s="136">
        <f t="shared" si="12"/>
        <v>27.000001388776582</v>
      </c>
      <c r="BY12" s="135">
        <f t="shared" si="7"/>
        <v>12.666666666744277</v>
      </c>
      <c r="BZ12" s="135">
        <f t="shared" si="8"/>
        <v>0</v>
      </c>
      <c r="CA12" s="134">
        <f t="shared" si="9"/>
        <v>5.172916724543029</v>
      </c>
      <c r="CB12" s="134">
        <f t="shared" si="10"/>
        <v>17.381944444445253</v>
      </c>
      <c r="CC12" s="133">
        <f t="shared" si="11"/>
        <v>0.29760287987781125</v>
      </c>
    </row>
    <row r="13" spans="1:83" s="126" customFormat="1">
      <c r="A13" s="521">
        <f t="shared" si="0"/>
        <v>45172.690972222219</v>
      </c>
      <c r="B13" s="369" t="s">
        <v>228</v>
      </c>
      <c r="C13" s="369" t="s">
        <v>229</v>
      </c>
      <c r="D13" s="369" t="s">
        <v>197</v>
      </c>
      <c r="E13" s="271" t="s">
        <v>1283</v>
      </c>
      <c r="F13" s="369"/>
      <c r="G13" s="492">
        <v>45179.520833333336</v>
      </c>
      <c r="H13" s="492">
        <v>45179.458333333336</v>
      </c>
      <c r="I13" s="369" t="s">
        <v>231</v>
      </c>
      <c r="J13" s="369" t="s">
        <v>192</v>
      </c>
      <c r="K13" s="369" t="s">
        <v>192</v>
      </c>
      <c r="L13" s="369" t="s">
        <v>2472</v>
      </c>
      <c r="M13" s="529"/>
      <c r="N13" s="369" t="s">
        <v>284</v>
      </c>
      <c r="O13" s="369" t="s">
        <v>285</v>
      </c>
      <c r="P13" s="369" t="s">
        <v>235</v>
      </c>
      <c r="Q13" s="520">
        <f>3852*2.4</f>
        <v>9244.7999999999993</v>
      </c>
      <c r="R13" s="520">
        <f>9250+100</f>
        <v>9350</v>
      </c>
      <c r="S13" s="520">
        <v>830.27</v>
      </c>
      <c r="T13" s="520"/>
      <c r="U13" s="369"/>
      <c r="V13" s="369"/>
      <c r="W13" s="369"/>
      <c r="X13" s="520">
        <f t="shared" si="13"/>
        <v>830.27</v>
      </c>
      <c r="Y13" s="369"/>
      <c r="Z13" s="369"/>
      <c r="AA13" s="369"/>
      <c r="AB13" s="369"/>
      <c r="AC13" s="369"/>
      <c r="AD13" s="369"/>
      <c r="AE13" s="369"/>
      <c r="AF13" s="369"/>
      <c r="AG13" s="369"/>
      <c r="AH13" s="369"/>
      <c r="AI13" s="369"/>
      <c r="AJ13" s="369"/>
      <c r="AK13" s="369"/>
      <c r="AL13" s="369"/>
      <c r="AM13" s="369"/>
      <c r="AN13" s="369"/>
      <c r="AO13" s="369"/>
      <c r="AP13" s="369"/>
      <c r="AQ13" s="369"/>
      <c r="AR13" s="369"/>
      <c r="AS13" s="369"/>
      <c r="AT13" s="369"/>
      <c r="AU13" s="369"/>
      <c r="AV13" s="369"/>
      <c r="AW13" s="369"/>
      <c r="AX13" s="369"/>
      <c r="AY13" s="522">
        <f t="shared" si="1"/>
        <v>45164.0625</v>
      </c>
      <c r="AZ13" s="522">
        <f t="shared" si="2"/>
        <v>45185.381944444445</v>
      </c>
      <c r="BA13" s="523">
        <f t="shared" si="3"/>
        <v>21.319444444445253</v>
      </c>
      <c r="BB13" s="522">
        <v>45164.0625</v>
      </c>
      <c r="BC13" s="522">
        <v>45168.520833333336</v>
      </c>
      <c r="BD13" s="522">
        <v>45170.020833333336</v>
      </c>
      <c r="BE13" s="522">
        <v>45172.690972222219</v>
      </c>
      <c r="BF13" s="522">
        <v>45173.00277777778</v>
      </c>
      <c r="BG13" s="522">
        <v>45173.013888888891</v>
      </c>
      <c r="BH13" s="522">
        <v>45173.013888888891</v>
      </c>
      <c r="BI13" s="522">
        <f t="shared" si="14"/>
        <v>45174.722222222226</v>
      </c>
      <c r="BJ13" s="527">
        <v>45175.25</v>
      </c>
      <c r="BK13" s="527">
        <v>45175.416666608799</v>
      </c>
      <c r="BL13" s="522">
        <v>45175.347222222219</v>
      </c>
      <c r="BM13" s="522">
        <v>45181.444444444445</v>
      </c>
      <c r="BN13" s="522">
        <v>45185.138888888891</v>
      </c>
      <c r="BO13" s="522">
        <v>45185.163194444445</v>
      </c>
      <c r="BP13" s="522">
        <v>45185.180555555555</v>
      </c>
      <c r="BQ13" s="522">
        <v>45185.208333333336</v>
      </c>
      <c r="BR13" s="522">
        <v>45185.381944444445</v>
      </c>
      <c r="BS13" s="369"/>
      <c r="BT13" s="369"/>
      <c r="BU13" s="525">
        <f t="shared" si="4"/>
        <v>36</v>
      </c>
      <c r="BV13" s="525">
        <f t="shared" si="5"/>
        <v>7.4833333334536292</v>
      </c>
      <c r="BW13" s="525">
        <f t="shared" si="6"/>
        <v>41.000000000058208</v>
      </c>
      <c r="BX13" s="525">
        <f t="shared" si="12"/>
        <v>144.66666805552086</v>
      </c>
      <c r="BY13" s="526">
        <f t="shared" si="7"/>
        <v>0.58333333331393078</v>
      </c>
      <c r="BZ13" s="526">
        <f t="shared" si="8"/>
        <v>4.1666666666278616</v>
      </c>
      <c r="CA13" s="304">
        <f t="shared" si="9"/>
        <v>9.7458333912072703</v>
      </c>
      <c r="CB13" s="304">
        <f t="shared" si="10"/>
        <v>21.319444444445253</v>
      </c>
      <c r="CC13" s="305">
        <f t="shared" si="11"/>
        <v>0.45713355320319016</v>
      </c>
      <c r="CD13" s="369"/>
      <c r="CE13" s="369"/>
    </row>
    <row r="14" spans="1:83" s="126" customFormat="1">
      <c r="A14" s="192">
        <f t="shared" si="0"/>
        <v>45173.517361111109</v>
      </c>
      <c r="B14" s="126" t="s">
        <v>228</v>
      </c>
      <c r="C14" s="126" t="s">
        <v>229</v>
      </c>
      <c r="D14" s="126" t="s">
        <v>215</v>
      </c>
      <c r="E14" s="65" t="s">
        <v>2463</v>
      </c>
      <c r="G14" s="316">
        <v>45165.4375</v>
      </c>
      <c r="H14" s="316">
        <v>45165.408333333333</v>
      </c>
      <c r="I14" s="126" t="s">
        <v>231</v>
      </c>
      <c r="J14" s="126" t="s">
        <v>192</v>
      </c>
      <c r="K14" s="126" t="s">
        <v>192</v>
      </c>
      <c r="L14" s="126" t="s">
        <v>2471</v>
      </c>
      <c r="M14" s="167"/>
      <c r="N14" s="126" t="s">
        <v>274</v>
      </c>
      <c r="O14" s="126" t="s">
        <v>1093</v>
      </c>
      <c r="P14" s="126" t="s">
        <v>235</v>
      </c>
      <c r="Q14" s="181">
        <f>3136*2.4</f>
        <v>7526.4</v>
      </c>
      <c r="R14" s="181">
        <f>7550+100</f>
        <v>7650</v>
      </c>
      <c r="S14" s="181">
        <v>7371.5379999999996</v>
      </c>
      <c r="T14" s="181"/>
      <c r="X14" s="181">
        <f t="shared" si="13"/>
        <v>7371.5379999999996</v>
      </c>
      <c r="AY14" s="165">
        <f t="shared" si="1"/>
        <v>45165.430555555555</v>
      </c>
      <c r="AZ14" s="165">
        <f t="shared" si="2"/>
        <v>45181.114583333336</v>
      </c>
      <c r="BA14" s="137">
        <f t="shared" si="3"/>
        <v>15.684027777781012</v>
      </c>
      <c r="BB14" s="165">
        <v>45165.430555555555</v>
      </c>
      <c r="BC14" s="165">
        <v>45168.767361111109</v>
      </c>
      <c r="BD14" s="165">
        <v>45170.236111111109</v>
      </c>
      <c r="BE14" s="165">
        <v>45173.517361111109</v>
      </c>
      <c r="BF14" s="165">
        <v>45173.659722222219</v>
      </c>
      <c r="BG14" s="165">
        <v>45173.663194444445</v>
      </c>
      <c r="BH14" s="165">
        <v>45173.663194444445</v>
      </c>
      <c r="BI14" s="165">
        <f t="shared" si="14"/>
        <v>45175.371527777781</v>
      </c>
      <c r="BJ14" s="210">
        <v>45176.25</v>
      </c>
      <c r="BK14" s="210">
        <v>45176.416666608799</v>
      </c>
      <c r="BL14" s="165">
        <v>45176.270833333336</v>
      </c>
      <c r="BM14" s="165">
        <v>45177.4375</v>
      </c>
      <c r="BN14" s="165">
        <v>45180.402777777781</v>
      </c>
      <c r="BO14" s="165">
        <v>45180.791666666664</v>
      </c>
      <c r="BP14" s="165">
        <v>45180.798611111109</v>
      </c>
      <c r="BQ14" s="165">
        <v>45180.798611111109</v>
      </c>
      <c r="BR14" s="165">
        <v>45181.114583333336</v>
      </c>
      <c r="BU14" s="136">
        <f t="shared" si="4"/>
        <v>35.25</v>
      </c>
      <c r="BV14" s="136">
        <f t="shared" si="5"/>
        <v>3.4166666666278616</v>
      </c>
      <c r="BW14" s="136">
        <f t="shared" si="6"/>
        <v>41.000000000058208</v>
      </c>
      <c r="BX14" s="136">
        <f t="shared" si="12"/>
        <v>24.500001388834789</v>
      </c>
      <c r="BY14" s="135">
        <f t="shared" si="7"/>
        <v>9.3333333331975155</v>
      </c>
      <c r="BZ14" s="135">
        <f t="shared" si="8"/>
        <v>7.5833333334303461</v>
      </c>
      <c r="CA14" s="134">
        <f t="shared" si="9"/>
        <v>5.0451389467561967</v>
      </c>
      <c r="CB14" s="134">
        <f t="shared" si="10"/>
        <v>15.684027777781012</v>
      </c>
      <c r="CC14" s="133">
        <f t="shared" si="11"/>
        <v>0.32167368090889642</v>
      </c>
    </row>
    <row r="15" spans="1:83" s="126" customFormat="1">
      <c r="A15" s="192">
        <f t="shared" si="0"/>
        <v>45173.038194444445</v>
      </c>
      <c r="B15" s="126" t="s">
        <v>228</v>
      </c>
      <c r="C15" s="126" t="s">
        <v>229</v>
      </c>
      <c r="D15" s="126" t="s">
        <v>197</v>
      </c>
      <c r="E15" s="65" t="s">
        <v>2463</v>
      </c>
      <c r="G15" s="316">
        <v>45165.4375</v>
      </c>
      <c r="H15" s="316">
        <v>45165.408333333333</v>
      </c>
      <c r="I15" s="126" t="s">
        <v>231</v>
      </c>
      <c r="J15" s="126" t="s">
        <v>192</v>
      </c>
      <c r="K15" s="126" t="s">
        <v>192</v>
      </c>
      <c r="L15" s="126" t="s">
        <v>2469</v>
      </c>
      <c r="M15" s="167"/>
      <c r="N15" s="126" t="s">
        <v>334</v>
      </c>
      <c r="O15" s="126" t="s">
        <v>335</v>
      </c>
      <c r="P15" s="126" t="s">
        <v>240</v>
      </c>
      <c r="Q15" s="181">
        <f>3242 *2.4</f>
        <v>7780.7999999999993</v>
      </c>
      <c r="R15" s="181">
        <f>7800+100</f>
        <v>7900</v>
      </c>
      <c r="S15" s="181">
        <f>7403.109</f>
        <v>7403.1090000000004</v>
      </c>
      <c r="T15" s="181"/>
      <c r="Y15" s="181">
        <f t="shared" ref="Y15:Y24" si="15">S15</f>
        <v>7403.1090000000004</v>
      </c>
      <c r="AY15" s="165">
        <f t="shared" si="1"/>
        <v>45161.604166666664</v>
      </c>
      <c r="AZ15" s="165">
        <f t="shared" si="2"/>
        <v>45180.375</v>
      </c>
      <c r="BA15" s="137">
        <f t="shared" si="3"/>
        <v>18.770833333335759</v>
      </c>
      <c r="BB15" s="165">
        <v>45161.604166666664</v>
      </c>
      <c r="BC15" s="165">
        <v>45168.541666666664</v>
      </c>
      <c r="BD15" s="165">
        <v>45170.416666666664</v>
      </c>
      <c r="BE15" s="165">
        <v>45173.038194444445</v>
      </c>
      <c r="BF15" s="165">
        <v>45173.184027777781</v>
      </c>
      <c r="BG15" s="165">
        <v>45173.184027777781</v>
      </c>
      <c r="BH15" s="165">
        <v>45173.184027777781</v>
      </c>
      <c r="BI15" s="165">
        <f t="shared" si="14"/>
        <v>45174.892361111117</v>
      </c>
      <c r="BJ15" s="210">
        <v>45175.25</v>
      </c>
      <c r="BK15" s="210">
        <v>45175.416666608799</v>
      </c>
      <c r="BL15" s="165">
        <v>45175.309027777781</v>
      </c>
      <c r="BM15" s="165">
        <v>45176.604166666664</v>
      </c>
      <c r="BN15" s="165">
        <v>45179.5625</v>
      </c>
      <c r="BO15" s="165">
        <v>45179.958333333336</v>
      </c>
      <c r="BP15" s="165">
        <v>45179.96875</v>
      </c>
      <c r="BQ15" s="165">
        <v>45179.96875</v>
      </c>
      <c r="BR15" s="165">
        <v>45180.375</v>
      </c>
      <c r="BU15" s="136">
        <f t="shared" si="4"/>
        <v>45</v>
      </c>
      <c r="BV15" s="136">
        <f t="shared" si="5"/>
        <v>3.5000000000582077</v>
      </c>
      <c r="BW15" s="136">
        <f t="shared" si="6"/>
        <v>41.000000000058208</v>
      </c>
      <c r="BX15" s="136">
        <f t="shared" si="12"/>
        <v>28.500001388776582</v>
      </c>
      <c r="BY15" s="135">
        <f t="shared" si="7"/>
        <v>9.5000000000582077</v>
      </c>
      <c r="BZ15" s="135">
        <f t="shared" si="8"/>
        <v>9.75</v>
      </c>
      <c r="CA15" s="134">
        <f t="shared" si="9"/>
        <v>5.7187500578729669</v>
      </c>
      <c r="CB15" s="134">
        <f t="shared" si="10"/>
        <v>18.770833333335759</v>
      </c>
      <c r="CC15" s="133">
        <f t="shared" si="11"/>
        <v>0.30466149031949719</v>
      </c>
    </row>
    <row r="16" spans="1:83" s="126" customFormat="1">
      <c r="A16" s="192">
        <f t="shared" si="0"/>
        <v>45173.238194444442</v>
      </c>
      <c r="B16" s="126" t="s">
        <v>228</v>
      </c>
      <c r="C16" s="126" t="s">
        <v>229</v>
      </c>
      <c r="D16" s="126" t="s">
        <v>197</v>
      </c>
      <c r="E16" s="65" t="s">
        <v>2474</v>
      </c>
      <c r="G16" s="316">
        <v>45173.854166666664</v>
      </c>
      <c r="H16" s="316">
        <v>45173.75</v>
      </c>
      <c r="I16" s="126" t="s">
        <v>231</v>
      </c>
      <c r="J16" s="126" t="s">
        <v>192</v>
      </c>
      <c r="K16" s="126" t="s">
        <v>192</v>
      </c>
      <c r="L16" s="126" t="s">
        <v>2477</v>
      </c>
      <c r="M16" s="167"/>
      <c r="N16" s="126" t="s">
        <v>298</v>
      </c>
      <c r="O16" s="126" t="s">
        <v>299</v>
      </c>
      <c r="P16" s="126" t="s">
        <v>240</v>
      </c>
      <c r="Q16" s="181">
        <f>4337*2.4</f>
        <v>10408.799999999999</v>
      </c>
      <c r="R16" s="181">
        <f>10450+100</f>
        <v>10550</v>
      </c>
      <c r="S16" s="181">
        <v>8904.7630000000008</v>
      </c>
      <c r="T16" s="181"/>
      <c r="Y16" s="181">
        <f t="shared" si="15"/>
        <v>8904.7630000000008</v>
      </c>
      <c r="AY16" s="165">
        <f t="shared" si="1"/>
        <v>45165.923611111109</v>
      </c>
      <c r="AZ16" s="165">
        <f t="shared" si="2"/>
        <v>45180.895833333336</v>
      </c>
      <c r="BA16" s="137">
        <f t="shared" si="3"/>
        <v>14.972222222226264</v>
      </c>
      <c r="BB16" s="165">
        <v>45165.923611111109</v>
      </c>
      <c r="BC16" s="165">
        <v>45168.767361111109</v>
      </c>
      <c r="BD16" s="165">
        <v>45170.145833333336</v>
      </c>
      <c r="BE16" s="165">
        <v>45173.238194444442</v>
      </c>
      <c r="BF16" s="165">
        <v>45173.477083333331</v>
      </c>
      <c r="BG16" s="165">
        <v>45173.482638888891</v>
      </c>
      <c r="BH16" s="165">
        <v>45173.482638888891</v>
      </c>
      <c r="BI16" s="165">
        <f t="shared" si="14"/>
        <v>45175.190972222226</v>
      </c>
      <c r="BJ16" s="210">
        <v>45175.25</v>
      </c>
      <c r="BK16" s="210">
        <v>45175.416666608799</v>
      </c>
      <c r="BL16" s="165">
        <v>45175.298611111109</v>
      </c>
      <c r="BM16" s="165">
        <v>45176.458333333336</v>
      </c>
      <c r="BN16" s="165">
        <v>45180.0625</v>
      </c>
      <c r="BO16" s="165">
        <v>45180.354166666664</v>
      </c>
      <c r="BP16" s="165">
        <v>45180.375</v>
      </c>
      <c r="BQ16" s="165">
        <v>45180.666666666664</v>
      </c>
      <c r="BR16" s="165">
        <v>45180.895833333336</v>
      </c>
      <c r="BU16" s="136">
        <f t="shared" si="4"/>
        <v>33.083333333430346</v>
      </c>
      <c r="BV16" s="136">
        <f t="shared" si="5"/>
        <v>5.7333333333372138</v>
      </c>
      <c r="BW16" s="136">
        <f t="shared" si="6"/>
        <v>41.000000000058208</v>
      </c>
      <c r="BX16" s="136">
        <f t="shared" si="12"/>
        <v>25.000001388892997</v>
      </c>
      <c r="BY16" s="135">
        <f t="shared" si="7"/>
        <v>6.9999999999417923</v>
      </c>
      <c r="BZ16" s="135">
        <f t="shared" si="8"/>
        <v>5.5000000001164153</v>
      </c>
      <c r="CA16" s="134">
        <f t="shared" si="9"/>
        <v>4.8881945023240405</v>
      </c>
      <c r="CB16" s="134">
        <f t="shared" si="10"/>
        <v>14.972222222226264</v>
      </c>
      <c r="CC16" s="133">
        <f t="shared" si="11"/>
        <v>0.3264842339213691</v>
      </c>
    </row>
    <row r="17" spans="1:83" s="126" customFormat="1">
      <c r="A17" s="192">
        <f t="shared" si="0"/>
        <v>45174.005555555559</v>
      </c>
      <c r="B17" s="126" t="s">
        <v>228</v>
      </c>
      <c r="C17" s="126" t="s">
        <v>229</v>
      </c>
      <c r="D17" s="126" t="s">
        <v>215</v>
      </c>
      <c r="E17" s="65" t="s">
        <v>2474</v>
      </c>
      <c r="G17" s="316">
        <v>45173.854166666664</v>
      </c>
      <c r="H17" s="316">
        <v>45173.75</v>
      </c>
      <c r="I17" s="126" t="s">
        <v>231</v>
      </c>
      <c r="J17" s="126" t="s">
        <v>192</v>
      </c>
      <c r="K17" s="126" t="s">
        <v>192</v>
      </c>
      <c r="L17" s="126" t="s">
        <v>2479</v>
      </c>
      <c r="M17" s="167"/>
      <c r="N17" s="126" t="s">
        <v>774</v>
      </c>
      <c r="O17" s="126" t="s">
        <v>423</v>
      </c>
      <c r="P17" s="126" t="s">
        <v>240</v>
      </c>
      <c r="Q17" s="181">
        <f>3156*2.4</f>
        <v>7574.4</v>
      </c>
      <c r="R17" s="181">
        <f>7600+100</f>
        <v>7700</v>
      </c>
      <c r="S17" s="181">
        <v>7383.9570000000003</v>
      </c>
      <c r="T17" s="181"/>
      <c r="Y17" s="181">
        <f t="shared" si="15"/>
        <v>7383.9570000000003</v>
      </c>
      <c r="AY17" s="165">
        <f t="shared" si="1"/>
        <v>45164.451388888891</v>
      </c>
      <c r="AZ17" s="165">
        <f t="shared" si="2"/>
        <v>45181.479166666664</v>
      </c>
      <c r="BA17" s="137">
        <f t="shared" si="3"/>
        <v>17.027777777773736</v>
      </c>
      <c r="BB17" s="165">
        <v>45164.451388888891</v>
      </c>
      <c r="BC17" s="165">
        <v>45168.534722222219</v>
      </c>
      <c r="BD17" s="165">
        <v>45170.125</v>
      </c>
      <c r="BE17" s="165">
        <v>45174.005555555559</v>
      </c>
      <c r="BF17" s="165">
        <v>45174.135416666664</v>
      </c>
      <c r="BG17" s="165">
        <v>45174.142361111109</v>
      </c>
      <c r="BH17" s="165">
        <v>45174.142361111109</v>
      </c>
      <c r="BI17" s="165">
        <f t="shared" si="14"/>
        <v>45175.850694444445</v>
      </c>
      <c r="BJ17" s="210">
        <v>45176.25</v>
      </c>
      <c r="BK17" s="210">
        <v>45176.416666608799</v>
      </c>
      <c r="BL17" s="165">
        <v>45176.347222222219</v>
      </c>
      <c r="BM17" s="165">
        <v>45177.541666666664</v>
      </c>
      <c r="BN17" s="165">
        <v>45180.822916666664</v>
      </c>
      <c r="BO17" s="165">
        <v>45181.083333333336</v>
      </c>
      <c r="BP17" s="165">
        <v>45181.104166666664</v>
      </c>
      <c r="BQ17" s="165">
        <v>45181.104166666664</v>
      </c>
      <c r="BR17" s="165">
        <v>45181.479166666664</v>
      </c>
      <c r="BU17" s="136">
        <f t="shared" si="4"/>
        <v>38.166666666744277</v>
      </c>
      <c r="BV17" s="136">
        <f t="shared" si="5"/>
        <v>3.1166666665230878</v>
      </c>
      <c r="BW17" s="136">
        <f t="shared" si="6"/>
        <v>41.000000000058208</v>
      </c>
      <c r="BX17" s="136">
        <f t="shared" si="12"/>
        <v>27.000001388776582</v>
      </c>
      <c r="BY17" s="135">
        <f t="shared" si="7"/>
        <v>6.2500000001164153</v>
      </c>
      <c r="BZ17" s="135">
        <f t="shared" si="8"/>
        <v>9</v>
      </c>
      <c r="CA17" s="134">
        <f t="shared" si="9"/>
        <v>5.1888889467591071</v>
      </c>
      <c r="CB17" s="134">
        <f t="shared" si="10"/>
        <v>17.027777777773736</v>
      </c>
      <c r="CC17" s="133">
        <f t="shared" si="11"/>
        <v>0.30473083537254847</v>
      </c>
    </row>
    <row r="18" spans="1:83" s="126" customFormat="1">
      <c r="A18" s="192">
        <f t="shared" si="0"/>
        <v>45174.17083333333</v>
      </c>
      <c r="B18" s="126" t="s">
        <v>228</v>
      </c>
      <c r="C18" s="126" t="s">
        <v>229</v>
      </c>
      <c r="D18" s="126" t="s">
        <v>215</v>
      </c>
      <c r="E18" s="65" t="s">
        <v>2474</v>
      </c>
      <c r="G18" s="316">
        <v>45173.854166666664</v>
      </c>
      <c r="H18" s="316">
        <v>45173.75</v>
      </c>
      <c r="I18" s="126" t="s">
        <v>231</v>
      </c>
      <c r="J18" s="126" t="s">
        <v>192</v>
      </c>
      <c r="K18" s="126" t="s">
        <v>192</v>
      </c>
      <c r="L18" s="126" t="s">
        <v>2480</v>
      </c>
      <c r="M18" s="167"/>
      <c r="N18" s="126" t="s">
        <v>358</v>
      </c>
      <c r="O18" s="126" t="s">
        <v>359</v>
      </c>
      <c r="P18" s="126" t="s">
        <v>240</v>
      </c>
      <c r="Q18" s="181">
        <f>3852*2.4</f>
        <v>9244.7999999999993</v>
      </c>
      <c r="R18" s="181">
        <v>9250</v>
      </c>
      <c r="S18" s="181">
        <v>8517.9339999999993</v>
      </c>
      <c r="T18" s="181"/>
      <c r="U18" s="172"/>
      <c r="Y18" s="181">
        <f t="shared" si="15"/>
        <v>8517.9339999999993</v>
      </c>
      <c r="AY18" s="165">
        <f t="shared" si="1"/>
        <v>45165.541666666664</v>
      </c>
      <c r="AZ18" s="165">
        <f t="shared" si="2"/>
        <v>45181.958333333336</v>
      </c>
      <c r="BA18" s="137">
        <f t="shared" si="3"/>
        <v>16.416666666671517</v>
      </c>
      <c r="BB18" s="165">
        <v>45165.541666666664</v>
      </c>
      <c r="BC18" s="165">
        <v>45168.763888888891</v>
      </c>
      <c r="BD18" s="165">
        <v>45170.25</v>
      </c>
      <c r="BE18" s="165">
        <v>45174.17083333333</v>
      </c>
      <c r="BF18" s="165">
        <v>45174.385416666664</v>
      </c>
      <c r="BG18" s="165">
        <v>45174.392361111109</v>
      </c>
      <c r="BH18" s="165">
        <v>45174.392361111109</v>
      </c>
      <c r="BI18" s="165">
        <f t="shared" si="14"/>
        <v>45176.100694444445</v>
      </c>
      <c r="BJ18" s="210">
        <v>45176.25</v>
      </c>
      <c r="BK18" s="210">
        <v>45176.416666608799</v>
      </c>
      <c r="BL18" s="165">
        <v>45176.298611111109</v>
      </c>
      <c r="BM18" s="165">
        <v>45177.4375</v>
      </c>
      <c r="BN18" s="165">
        <v>45181.145833333336</v>
      </c>
      <c r="BO18" s="165">
        <v>45181.604166666664</v>
      </c>
      <c r="BP18" s="165">
        <v>45181.625</v>
      </c>
      <c r="BQ18" s="165">
        <v>45181.625</v>
      </c>
      <c r="BR18" s="165">
        <v>45181.958333333336</v>
      </c>
      <c r="BU18" s="136">
        <f t="shared" si="4"/>
        <v>35.666666666627862</v>
      </c>
      <c r="BV18" s="136">
        <f t="shared" si="5"/>
        <v>5.1500000000232831</v>
      </c>
      <c r="BW18" s="136">
        <f t="shared" si="6"/>
        <v>41.000000000058208</v>
      </c>
      <c r="BX18" s="136">
        <f t="shared" si="12"/>
        <v>24.500001388834789</v>
      </c>
      <c r="BY18" s="135">
        <f t="shared" si="7"/>
        <v>10.999999999883585</v>
      </c>
      <c r="BZ18" s="135">
        <f t="shared" si="8"/>
        <v>8.0000000000582077</v>
      </c>
      <c r="CA18" s="134">
        <f t="shared" si="9"/>
        <v>5.2215278356452473</v>
      </c>
      <c r="CB18" s="134">
        <f t="shared" si="10"/>
        <v>16.416666666671517</v>
      </c>
      <c r="CC18" s="133">
        <f t="shared" si="11"/>
        <v>0.31806260927778912</v>
      </c>
    </row>
    <row r="19" spans="1:83" s="126" customFormat="1">
      <c r="A19" s="192">
        <f t="shared" si="0"/>
        <v>45174.413194444445</v>
      </c>
      <c r="B19" s="126" t="s">
        <v>228</v>
      </c>
      <c r="C19" s="126" t="s">
        <v>229</v>
      </c>
      <c r="D19" s="126" t="s">
        <v>197</v>
      </c>
      <c r="E19" s="65" t="s">
        <v>2474</v>
      </c>
      <c r="G19" s="316">
        <v>45173.854166666664</v>
      </c>
      <c r="H19" s="316">
        <v>45173.75</v>
      </c>
      <c r="I19" s="126" t="s">
        <v>231</v>
      </c>
      <c r="J19" s="126" t="s">
        <v>192</v>
      </c>
      <c r="K19" s="126" t="s">
        <v>192</v>
      </c>
      <c r="L19" s="126" t="s">
        <v>2481</v>
      </c>
      <c r="M19" s="167"/>
      <c r="N19" s="126" t="s">
        <v>260</v>
      </c>
      <c r="O19" s="126" t="s">
        <v>261</v>
      </c>
      <c r="P19" s="126" t="s">
        <v>240</v>
      </c>
      <c r="Q19" s="181">
        <f>3107*2.4</f>
        <v>7456.7999999999993</v>
      </c>
      <c r="R19" s="181">
        <f>7500+100</f>
        <v>7600</v>
      </c>
      <c r="S19" s="181">
        <v>7623.2349999999997</v>
      </c>
      <c r="T19" s="181"/>
      <c r="U19" s="172"/>
      <c r="Y19" s="181">
        <f t="shared" si="15"/>
        <v>7623.2349999999997</v>
      </c>
      <c r="AY19" s="165">
        <f t="shared" si="1"/>
        <v>45166.833333333336</v>
      </c>
      <c r="AZ19" s="165">
        <f t="shared" si="2"/>
        <v>45182.180555555555</v>
      </c>
      <c r="BA19" s="137">
        <f t="shared" si="3"/>
        <v>15.347222222218988</v>
      </c>
      <c r="BB19" s="165">
        <v>45166.833333333336</v>
      </c>
      <c r="BC19" s="165">
        <v>45168.805555555555</v>
      </c>
      <c r="BD19" s="165">
        <v>45170.618055555555</v>
      </c>
      <c r="BE19" s="165">
        <v>45174.413194444445</v>
      </c>
      <c r="BF19" s="165">
        <v>45174.554166666669</v>
      </c>
      <c r="BG19" s="165">
        <v>45174.559027777781</v>
      </c>
      <c r="BH19" s="165">
        <v>45174.559027777781</v>
      </c>
      <c r="BI19" s="165">
        <f t="shared" si="14"/>
        <v>45176.267361111117</v>
      </c>
      <c r="BJ19" s="210">
        <v>45176.25</v>
      </c>
      <c r="BK19" s="210">
        <v>45176.416666608799</v>
      </c>
      <c r="BL19" s="165">
        <v>45176.357638888891</v>
      </c>
      <c r="BM19" s="165">
        <v>45177.607638888891</v>
      </c>
      <c r="BN19" s="165">
        <v>45181.666666666664</v>
      </c>
      <c r="BO19" s="165">
        <v>45181.923611111109</v>
      </c>
      <c r="BP19" s="165">
        <v>45181.944444444445</v>
      </c>
      <c r="BQ19" s="165">
        <v>45181.944444444445</v>
      </c>
      <c r="BR19" s="165">
        <v>45182.180555555555</v>
      </c>
      <c r="BU19" s="136">
        <f t="shared" si="4"/>
        <v>43.5</v>
      </c>
      <c r="BV19" s="136">
        <f t="shared" si="5"/>
        <v>3.3833333333604969</v>
      </c>
      <c r="BW19" s="136">
        <f t="shared" si="6"/>
        <v>41.000000000058208</v>
      </c>
      <c r="BX19" s="136">
        <f t="shared" si="12"/>
        <v>28.583334722206928</v>
      </c>
      <c r="BY19" s="135">
        <f t="shared" si="7"/>
        <v>6.1666666666860692</v>
      </c>
      <c r="BZ19" s="135">
        <f t="shared" si="8"/>
        <v>5.6666666666278616</v>
      </c>
      <c r="CA19" s="134">
        <f t="shared" si="9"/>
        <v>5.3458333912058151</v>
      </c>
      <c r="CB19" s="134">
        <f t="shared" si="10"/>
        <v>15.347222222218988</v>
      </c>
      <c r="CC19" s="133">
        <f t="shared" si="11"/>
        <v>0.34832579562615368</v>
      </c>
    </row>
    <row r="20" spans="1:83" s="126" customFormat="1">
      <c r="A20" s="192">
        <f t="shared" si="0"/>
        <v>45174.579861111109</v>
      </c>
      <c r="B20" s="126" t="s">
        <v>228</v>
      </c>
      <c r="C20" s="126" t="s">
        <v>229</v>
      </c>
      <c r="D20" s="126" t="s">
        <v>197</v>
      </c>
      <c r="E20" s="65" t="s">
        <v>2474</v>
      </c>
      <c r="G20" s="316">
        <v>45173.854166666664</v>
      </c>
      <c r="H20" s="316">
        <v>45173.75</v>
      </c>
      <c r="I20" s="126" t="s">
        <v>231</v>
      </c>
      <c r="J20" s="126" t="s">
        <v>192</v>
      </c>
      <c r="K20" s="126" t="s">
        <v>192</v>
      </c>
      <c r="L20" s="126" t="s">
        <v>2484</v>
      </c>
      <c r="M20" s="167"/>
      <c r="N20" s="126" t="s">
        <v>249</v>
      </c>
      <c r="O20" s="126" t="s">
        <v>2315</v>
      </c>
      <c r="P20" s="126" t="s">
        <v>240</v>
      </c>
      <c r="Q20" s="181">
        <f>3139*2.4</f>
        <v>7533.5999999999995</v>
      </c>
      <c r="R20" s="181">
        <f>7550+100</f>
        <v>7650</v>
      </c>
      <c r="S20" s="181">
        <v>7330.924</v>
      </c>
      <c r="T20" s="181"/>
      <c r="U20" s="172"/>
      <c r="Y20" s="181">
        <f t="shared" si="15"/>
        <v>7330.924</v>
      </c>
      <c r="AY20" s="165">
        <f t="shared" si="1"/>
        <v>45166.222222222219</v>
      </c>
      <c r="AZ20" s="165">
        <f t="shared" si="2"/>
        <v>45183.291666666664</v>
      </c>
      <c r="BA20" s="137">
        <f t="shared" si="3"/>
        <v>17.069444444445253</v>
      </c>
      <c r="BB20" s="165">
        <v>45166.222222222219</v>
      </c>
      <c r="BC20" s="165">
        <v>45168.791666666664</v>
      </c>
      <c r="BD20" s="165">
        <v>45170.663194444445</v>
      </c>
      <c r="BE20" s="165">
        <v>45174.579861111109</v>
      </c>
      <c r="BF20" s="165">
        <v>45174.760416666664</v>
      </c>
      <c r="BG20" s="165">
        <v>45174.763888888891</v>
      </c>
      <c r="BH20" s="165">
        <v>45174.763888888891</v>
      </c>
      <c r="BI20" s="165">
        <f t="shared" si="14"/>
        <v>45176.472222222226</v>
      </c>
      <c r="BJ20" s="210">
        <v>45177.25</v>
      </c>
      <c r="BK20" s="210">
        <v>45177.416666608799</v>
      </c>
      <c r="BL20" s="165">
        <v>45177.319444444445</v>
      </c>
      <c r="BM20" s="165">
        <v>45178.649305555555</v>
      </c>
      <c r="BN20" s="165">
        <v>45182.600694444445</v>
      </c>
      <c r="BO20" s="165">
        <v>45182.888888888891</v>
      </c>
      <c r="BP20" s="165">
        <v>45182.909722222219</v>
      </c>
      <c r="BQ20" s="165">
        <v>45182.909722222219</v>
      </c>
      <c r="BR20" s="165">
        <v>45183.291666666664</v>
      </c>
      <c r="BU20" s="136">
        <f t="shared" si="4"/>
        <v>44.916666666744277</v>
      </c>
      <c r="BV20" s="136">
        <f t="shared" si="5"/>
        <v>4.3333333333139308</v>
      </c>
      <c r="BW20" s="136">
        <f t="shared" si="6"/>
        <v>41.000000000058208</v>
      </c>
      <c r="BX20" s="136">
        <f t="shared" si="12"/>
        <v>29.58333472214872</v>
      </c>
      <c r="BY20" s="135">
        <f t="shared" si="7"/>
        <v>6.9166666666860692</v>
      </c>
      <c r="BZ20" s="135">
        <f t="shared" si="8"/>
        <v>9.1666666666860692</v>
      </c>
      <c r="CA20" s="134">
        <f t="shared" si="9"/>
        <v>5.6631945023182197</v>
      </c>
      <c r="CB20" s="134">
        <f t="shared" si="10"/>
        <v>17.069444444445253</v>
      </c>
      <c r="CC20" s="133">
        <f t="shared" si="11"/>
        <v>0.33177380322774003</v>
      </c>
    </row>
    <row r="21" spans="1:83" s="126" customFormat="1">
      <c r="A21" s="192">
        <f t="shared" si="0"/>
        <v>45174.826388888891</v>
      </c>
      <c r="B21" s="126" t="s">
        <v>228</v>
      </c>
      <c r="C21" s="126" t="s">
        <v>229</v>
      </c>
      <c r="D21" s="126" t="s">
        <v>197</v>
      </c>
      <c r="E21" s="65" t="s">
        <v>2474</v>
      </c>
      <c r="G21" s="316">
        <v>45173.854166666664</v>
      </c>
      <c r="H21" s="316">
        <v>45173.75</v>
      </c>
      <c r="I21" s="126" t="s">
        <v>231</v>
      </c>
      <c r="J21" s="126" t="s">
        <v>192</v>
      </c>
      <c r="K21" s="126" t="s">
        <v>192</v>
      </c>
      <c r="L21" s="126" t="s">
        <v>2483</v>
      </c>
      <c r="M21" s="167"/>
      <c r="N21" s="126" t="s">
        <v>346</v>
      </c>
      <c r="O21" s="126" t="s">
        <v>347</v>
      </c>
      <c r="P21" s="126" t="s">
        <v>240</v>
      </c>
      <c r="Q21" s="181">
        <f>3136*2.4</f>
        <v>7526.4</v>
      </c>
      <c r="R21" s="181">
        <f>7550+100</f>
        <v>7650</v>
      </c>
      <c r="S21" s="181">
        <v>7547.2110000000002</v>
      </c>
      <c r="T21" s="181"/>
      <c r="U21" s="172"/>
      <c r="Y21" s="181">
        <f t="shared" si="15"/>
        <v>7547.2110000000002</v>
      </c>
      <c r="AY21" s="165">
        <f t="shared" si="1"/>
        <v>45165.09652777778</v>
      </c>
      <c r="AZ21" s="165">
        <f t="shared" si="2"/>
        <v>45182.905555555553</v>
      </c>
      <c r="BA21" s="137">
        <f t="shared" si="3"/>
        <v>17.809027777773736</v>
      </c>
      <c r="BB21" s="165">
        <v>45165.09652777778</v>
      </c>
      <c r="BC21" s="165">
        <v>45168.777777777781</v>
      </c>
      <c r="BD21" s="165">
        <v>45170.722222222219</v>
      </c>
      <c r="BE21" s="165">
        <v>45174.826388888891</v>
      </c>
      <c r="BF21" s="165">
        <v>45174.984027777777</v>
      </c>
      <c r="BG21" s="165">
        <v>45174.988888888889</v>
      </c>
      <c r="BH21" s="165">
        <v>45174.988888888889</v>
      </c>
      <c r="BI21" s="165">
        <f t="shared" si="14"/>
        <v>45176.697222222225</v>
      </c>
      <c r="BJ21" s="210">
        <v>45177.25</v>
      </c>
      <c r="BK21" s="210">
        <v>45177.416666608799</v>
      </c>
      <c r="BL21" s="165">
        <v>45177.305555555555</v>
      </c>
      <c r="BM21" s="165">
        <v>45178.625</v>
      </c>
      <c r="BN21" s="165">
        <v>45182.277777777774</v>
      </c>
      <c r="BO21" s="165">
        <v>45182.538194444445</v>
      </c>
      <c r="BP21" s="165">
        <v>45182.559027777781</v>
      </c>
      <c r="BQ21" s="165">
        <v>45182.559027777781</v>
      </c>
      <c r="BR21" s="165">
        <v>45182.905555555553</v>
      </c>
      <c r="BU21" s="136">
        <f t="shared" si="4"/>
        <v>46.666666666511446</v>
      </c>
      <c r="BV21" s="136">
        <f t="shared" si="5"/>
        <v>3.7833333332673647</v>
      </c>
      <c r="BW21" s="136">
        <f t="shared" si="6"/>
        <v>41.000000000058208</v>
      </c>
      <c r="BX21" s="136">
        <f t="shared" si="12"/>
        <v>29.000001388834789</v>
      </c>
      <c r="BY21" s="135">
        <f t="shared" si="7"/>
        <v>6.2500000001164153</v>
      </c>
      <c r="BZ21" s="135">
        <f t="shared" si="8"/>
        <v>8.3166666665347293</v>
      </c>
      <c r="CA21" s="134">
        <f t="shared" si="9"/>
        <v>5.625694502305123</v>
      </c>
      <c r="CB21" s="134">
        <f t="shared" si="10"/>
        <v>17.809027777773736</v>
      </c>
      <c r="CC21" s="133">
        <f t="shared" si="11"/>
        <v>0.31589004029328194</v>
      </c>
    </row>
    <row r="22" spans="1:83" s="126" customFormat="1">
      <c r="A22" s="192">
        <f t="shared" si="0"/>
        <v>45175.017361111109</v>
      </c>
      <c r="B22" s="126" t="s">
        <v>228</v>
      </c>
      <c r="C22" s="126" t="s">
        <v>229</v>
      </c>
      <c r="D22" s="126" t="s">
        <v>215</v>
      </c>
      <c r="E22" s="65" t="s">
        <v>2474</v>
      </c>
      <c r="G22" s="316">
        <v>45173.854166666664</v>
      </c>
      <c r="H22" s="316">
        <v>45173.75</v>
      </c>
      <c r="I22" s="126" t="s">
        <v>231</v>
      </c>
      <c r="J22" s="126" t="s">
        <v>192</v>
      </c>
      <c r="K22" s="126" t="s">
        <v>192</v>
      </c>
      <c r="L22" s="126" t="s">
        <v>2482</v>
      </c>
      <c r="M22" s="167"/>
      <c r="N22" s="126" t="s">
        <v>252</v>
      </c>
      <c r="O22" s="126" t="s">
        <v>253</v>
      </c>
      <c r="P22" s="126" t="s">
        <v>240</v>
      </c>
      <c r="Q22" s="181">
        <f>3107*2.4</f>
        <v>7456.7999999999993</v>
      </c>
      <c r="R22" s="181">
        <f>7500+100</f>
        <v>7600</v>
      </c>
      <c r="S22" s="181">
        <v>7504.2520000000004</v>
      </c>
      <c r="T22" s="181"/>
      <c r="U22" s="172"/>
      <c r="Y22" s="181">
        <f t="shared" si="15"/>
        <v>7504.2520000000004</v>
      </c>
      <c r="AY22" s="165">
        <f t="shared" si="1"/>
        <v>45166.708333333336</v>
      </c>
      <c r="AZ22" s="165">
        <f t="shared" si="2"/>
        <v>45182.600694444445</v>
      </c>
      <c r="BA22" s="137">
        <f t="shared" si="3"/>
        <v>15.892361111109494</v>
      </c>
      <c r="BB22" s="165">
        <v>45166.708333333336</v>
      </c>
      <c r="BC22" s="165">
        <v>45169.53125</v>
      </c>
      <c r="BD22" s="165">
        <v>45170.972222222219</v>
      </c>
      <c r="BE22" s="165">
        <v>45175.017361111109</v>
      </c>
      <c r="BF22" s="165">
        <v>45175.158333333333</v>
      </c>
      <c r="BG22" s="165">
        <v>45175.166666666664</v>
      </c>
      <c r="BH22" s="165">
        <v>45175.166666666664</v>
      </c>
      <c r="BI22" s="165">
        <f t="shared" si="14"/>
        <v>45176.875</v>
      </c>
      <c r="BJ22" s="210">
        <v>45177.25</v>
      </c>
      <c r="BK22" s="210">
        <v>45177.416666608799</v>
      </c>
      <c r="BL22" s="165">
        <v>45177.291666666664</v>
      </c>
      <c r="BM22" s="165">
        <v>45178.395833333336</v>
      </c>
      <c r="BN22" s="165">
        <v>45181.986111111109</v>
      </c>
      <c r="BO22" s="165">
        <v>45182.215277777781</v>
      </c>
      <c r="BP22" s="165">
        <v>45182.236111111109</v>
      </c>
      <c r="BQ22" s="165">
        <v>45182.236111111109</v>
      </c>
      <c r="BR22" s="165">
        <v>45182.600694444445</v>
      </c>
      <c r="BU22" s="136">
        <f t="shared" si="4"/>
        <v>34.583333333255723</v>
      </c>
      <c r="BV22" s="136">
        <f t="shared" si="5"/>
        <v>3.3833333333604969</v>
      </c>
      <c r="BW22" s="136">
        <f t="shared" si="6"/>
        <v>41.000000000058208</v>
      </c>
      <c r="BX22" s="136">
        <f t="shared" si="12"/>
        <v>23.500001388892997</v>
      </c>
      <c r="BY22" s="135">
        <f t="shared" si="7"/>
        <v>5.5000000001164153</v>
      </c>
      <c r="BZ22" s="135">
        <f t="shared" si="8"/>
        <v>8.7500000000582077</v>
      </c>
      <c r="CA22" s="134">
        <f t="shared" si="9"/>
        <v>4.8631945023225853</v>
      </c>
      <c r="CB22" s="134">
        <f t="shared" si="10"/>
        <v>15.892361111109494</v>
      </c>
      <c r="CC22" s="133">
        <f t="shared" si="11"/>
        <v>0.30600830602338802</v>
      </c>
    </row>
    <row r="23" spans="1:83" s="126" customFormat="1">
      <c r="A23" s="192">
        <f t="shared" si="0"/>
        <v>45175.229166666664</v>
      </c>
      <c r="B23" s="126" t="s">
        <v>228</v>
      </c>
      <c r="C23" s="126" t="s">
        <v>229</v>
      </c>
      <c r="D23" s="126" t="s">
        <v>197</v>
      </c>
      <c r="E23" s="65" t="s">
        <v>2474</v>
      </c>
      <c r="G23" s="316">
        <v>45173.854166666664</v>
      </c>
      <c r="H23" s="316">
        <v>45173.75</v>
      </c>
      <c r="I23" s="126" t="s">
        <v>231</v>
      </c>
      <c r="J23" s="126" t="s">
        <v>192</v>
      </c>
      <c r="K23" s="126" t="s">
        <v>192</v>
      </c>
      <c r="L23" s="126" t="s">
        <v>2485</v>
      </c>
      <c r="M23" s="167"/>
      <c r="N23" s="126" t="s">
        <v>1313</v>
      </c>
      <c r="O23" s="126" t="s">
        <v>2486</v>
      </c>
      <c r="P23" s="126" t="s">
        <v>240</v>
      </c>
      <c r="Q23" s="181">
        <f>3171*2.4</f>
        <v>7610.4</v>
      </c>
      <c r="R23" s="181">
        <f>7550+100</f>
        <v>7650</v>
      </c>
      <c r="S23" s="181">
        <f>7551.642-2669.769</f>
        <v>4881.8729999999996</v>
      </c>
      <c r="T23" s="181"/>
      <c r="U23" s="172"/>
      <c r="Y23" s="181">
        <f t="shared" si="15"/>
        <v>4881.8729999999996</v>
      </c>
      <c r="AY23" s="165">
        <f t="shared" si="1"/>
        <v>45163.729166666664</v>
      </c>
      <c r="AZ23" s="165">
        <f t="shared" si="2"/>
        <v>45183.229166666664</v>
      </c>
      <c r="BA23" s="137">
        <f t="shared" si="3"/>
        <v>19.5</v>
      </c>
      <c r="BB23" s="165">
        <v>45163.729166666664</v>
      </c>
      <c r="BC23" s="165">
        <v>45169.538194444445</v>
      </c>
      <c r="BD23" s="165">
        <v>45171.3125</v>
      </c>
      <c r="BE23" s="165">
        <v>45175.229166666664</v>
      </c>
      <c r="BF23" s="165">
        <v>45175.451388888891</v>
      </c>
      <c r="BG23" s="165">
        <v>45175.454861111109</v>
      </c>
      <c r="BH23" s="165">
        <v>45175.454861111109</v>
      </c>
      <c r="BI23" s="165">
        <f t="shared" si="14"/>
        <v>45177.163194444445</v>
      </c>
      <c r="BJ23" s="210">
        <v>45177.25</v>
      </c>
      <c r="BK23" s="210">
        <v>45177.416666608799</v>
      </c>
      <c r="BL23" s="165">
        <v>45177.3125</v>
      </c>
      <c r="BM23" s="165">
        <v>45178.645833333336</v>
      </c>
      <c r="BN23" s="165">
        <v>45182.951388888891</v>
      </c>
      <c r="BO23" s="165">
        <v>45183.159722222219</v>
      </c>
      <c r="BP23" s="165">
        <v>45183.229166666664</v>
      </c>
      <c r="BQ23" s="165">
        <v>45183.229166666664</v>
      </c>
      <c r="BR23" s="165">
        <v>45183.229166666664</v>
      </c>
      <c r="BS23" s="126" t="s">
        <v>2754</v>
      </c>
      <c r="BU23" s="136">
        <f t="shared" si="4"/>
        <v>42.583333333313931</v>
      </c>
      <c r="BV23" s="136">
        <f t="shared" si="5"/>
        <v>5.3333333334303461</v>
      </c>
      <c r="BW23" s="136">
        <f t="shared" si="6"/>
        <v>41.000000000058208</v>
      </c>
      <c r="BX23" s="136">
        <f t="shared" si="12"/>
        <v>29.500001388892997</v>
      </c>
      <c r="BY23" s="135">
        <f t="shared" si="7"/>
        <v>4.9999999998835847</v>
      </c>
      <c r="BZ23" s="135">
        <f t="shared" si="8"/>
        <v>0</v>
      </c>
      <c r="CA23" s="134">
        <f t="shared" si="9"/>
        <v>5.1423611689824611</v>
      </c>
      <c r="CB23" s="134">
        <f t="shared" si="10"/>
        <v>19.5</v>
      </c>
      <c r="CC23" s="133">
        <f t="shared" si="11"/>
        <v>0.26371082917858774</v>
      </c>
    </row>
    <row r="24" spans="1:83" s="126" customFormat="1">
      <c r="A24" s="521">
        <f t="shared" si="0"/>
        <v>45175.229166666664</v>
      </c>
      <c r="B24" s="369" t="s">
        <v>228</v>
      </c>
      <c r="C24" s="369" t="s">
        <v>229</v>
      </c>
      <c r="D24" s="369" t="s">
        <v>197</v>
      </c>
      <c r="E24" s="271" t="s">
        <v>1283</v>
      </c>
      <c r="F24" s="369"/>
      <c r="G24" s="492">
        <v>45179.520833333336</v>
      </c>
      <c r="H24" s="492">
        <v>45179.458333333336</v>
      </c>
      <c r="I24" s="369" t="s">
        <v>231</v>
      </c>
      <c r="J24" s="369" t="s">
        <v>192</v>
      </c>
      <c r="K24" s="369" t="s">
        <v>192</v>
      </c>
      <c r="L24" s="369" t="s">
        <v>2485</v>
      </c>
      <c r="M24" s="529"/>
      <c r="N24" s="369" t="s">
        <v>1313</v>
      </c>
      <c r="O24" s="369" t="s">
        <v>2486</v>
      </c>
      <c r="P24" s="369" t="s">
        <v>240</v>
      </c>
      <c r="Q24" s="520">
        <f>3171*2.4</f>
        <v>7610.4</v>
      </c>
      <c r="R24" s="520">
        <f>7550+100</f>
        <v>7650</v>
      </c>
      <c r="S24" s="520">
        <v>2103.0259999999998</v>
      </c>
      <c r="T24" s="520"/>
      <c r="U24" s="528"/>
      <c r="V24" s="369"/>
      <c r="W24" s="369"/>
      <c r="X24" s="369"/>
      <c r="Y24" s="520">
        <f t="shared" si="15"/>
        <v>2103.0259999999998</v>
      </c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522">
        <f t="shared" si="1"/>
        <v>45163.729166666664</v>
      </c>
      <c r="AZ24" s="522">
        <f t="shared" si="2"/>
        <v>45186.006944444445</v>
      </c>
      <c r="BA24" s="523">
        <f t="shared" si="3"/>
        <v>22.277777777781012</v>
      </c>
      <c r="BB24" s="522">
        <v>45163.729166666664</v>
      </c>
      <c r="BC24" s="522">
        <v>45169.538194444445</v>
      </c>
      <c r="BD24" s="522">
        <v>45171.3125</v>
      </c>
      <c r="BE24" s="522">
        <v>45175.229166666664</v>
      </c>
      <c r="BF24" s="522">
        <v>45175.451388888891</v>
      </c>
      <c r="BG24" s="522">
        <v>45175.454861111109</v>
      </c>
      <c r="BH24" s="522">
        <v>45175.454861111109</v>
      </c>
      <c r="BI24" s="522">
        <f t="shared" si="14"/>
        <v>45177.163194444445</v>
      </c>
      <c r="BJ24" s="527">
        <v>45177.25</v>
      </c>
      <c r="BK24" s="527">
        <v>45177.416666608799</v>
      </c>
      <c r="BL24" s="522">
        <v>45177.3125</v>
      </c>
      <c r="BM24" s="522">
        <v>45183.229166666664</v>
      </c>
      <c r="BN24" s="522">
        <v>45185.451388888891</v>
      </c>
      <c r="BO24" s="522">
        <v>45185.701388888891</v>
      </c>
      <c r="BP24" s="522">
        <v>45185.728472222225</v>
      </c>
      <c r="BQ24" s="522">
        <v>45185.736111111109</v>
      </c>
      <c r="BR24" s="522">
        <v>45186.006944444445</v>
      </c>
      <c r="BS24" s="369" t="s">
        <v>2754</v>
      </c>
      <c r="BT24" s="369"/>
      <c r="BU24" s="525">
        <f t="shared" si="4"/>
        <v>42.583333333313931</v>
      </c>
      <c r="BV24" s="525">
        <f t="shared" si="5"/>
        <v>5.3333333334303461</v>
      </c>
      <c r="BW24" s="525">
        <f t="shared" si="6"/>
        <v>41.000000000058208</v>
      </c>
      <c r="BX24" s="525">
        <f t="shared" si="12"/>
        <v>139.50000138877658</v>
      </c>
      <c r="BY24" s="526">
        <f t="shared" si="7"/>
        <v>6</v>
      </c>
      <c r="BZ24" s="526">
        <f t="shared" si="8"/>
        <v>6.5000000000582077</v>
      </c>
      <c r="CA24" s="304">
        <f t="shared" si="9"/>
        <v>10.03819450231822</v>
      </c>
      <c r="CB24" s="304">
        <f t="shared" si="10"/>
        <v>22.277777777781012</v>
      </c>
      <c r="CC24" s="305">
        <f t="shared" si="11"/>
        <v>0.45059227192444323</v>
      </c>
      <c r="CD24" s="369"/>
      <c r="CE24" s="369"/>
    </row>
    <row r="25" spans="1:83" s="126" customFormat="1" ht="14.4" customHeight="1">
      <c r="A25" s="474">
        <f t="shared" si="0"/>
        <v>45175.954861111109</v>
      </c>
      <c r="B25" s="475" t="s">
        <v>228</v>
      </c>
      <c r="C25" s="475" t="s">
        <v>229</v>
      </c>
      <c r="D25" s="475" t="s">
        <v>197</v>
      </c>
      <c r="E25" s="476" t="s">
        <v>2487</v>
      </c>
      <c r="F25" s="475"/>
      <c r="G25" s="472">
        <v>45167.625</v>
      </c>
      <c r="H25" s="472">
        <v>45167.583333333336</v>
      </c>
      <c r="I25" s="475" t="s">
        <v>243</v>
      </c>
      <c r="J25" s="475" t="s">
        <v>192</v>
      </c>
      <c r="K25" s="475" t="s">
        <v>192</v>
      </c>
      <c r="L25" s="475" t="s">
        <v>2493</v>
      </c>
      <c r="M25" s="167"/>
      <c r="N25" s="475" t="s">
        <v>473</v>
      </c>
      <c r="O25" s="475" t="s">
        <v>474</v>
      </c>
      <c r="P25" s="475" t="s">
        <v>235</v>
      </c>
      <c r="Q25" s="477">
        <f>3136*2.4</f>
        <v>7526.4</v>
      </c>
      <c r="R25" s="477">
        <f>7550+100</f>
        <v>7650</v>
      </c>
      <c r="S25" s="477">
        <v>7363.9530000000004</v>
      </c>
      <c r="T25" s="477"/>
      <c r="U25" s="478"/>
      <c r="V25" s="475"/>
      <c r="W25" s="475"/>
      <c r="X25" s="477">
        <f>S25</f>
        <v>7363.9530000000004</v>
      </c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475"/>
      <c r="AL25" s="475"/>
      <c r="AM25" s="475"/>
      <c r="AN25" s="475"/>
      <c r="AO25" s="475"/>
      <c r="AP25" s="475"/>
      <c r="AQ25" s="475"/>
      <c r="AR25" s="475"/>
      <c r="AS25" s="475"/>
      <c r="AT25" s="475"/>
      <c r="AU25" s="475"/>
      <c r="AV25" s="475"/>
      <c r="AW25" s="475"/>
      <c r="AX25" s="475"/>
      <c r="AY25" s="473">
        <f t="shared" si="1"/>
        <v>45166.291666666664</v>
      </c>
      <c r="AZ25" s="473">
        <f t="shared" si="2"/>
        <v>45183.430555555555</v>
      </c>
      <c r="BA25" s="479">
        <f t="shared" si="3"/>
        <v>17.138888888890506</v>
      </c>
      <c r="BB25" s="473">
        <v>45166.291666666664</v>
      </c>
      <c r="BC25" s="473">
        <v>45169.767361111109</v>
      </c>
      <c r="BD25" s="473">
        <v>45171.208333333336</v>
      </c>
      <c r="BE25" s="473">
        <v>45175.954861111109</v>
      </c>
      <c r="BF25" s="473">
        <v>45176.097222222219</v>
      </c>
      <c r="BG25" s="473">
        <v>45176.104166666664</v>
      </c>
      <c r="BH25" s="473">
        <v>45176.104166666664</v>
      </c>
      <c r="BI25" s="473">
        <f t="shared" si="14"/>
        <v>45177.8125</v>
      </c>
      <c r="BJ25" s="480">
        <v>45178.229166608799</v>
      </c>
      <c r="BK25" s="480">
        <v>45178.395833333336</v>
      </c>
      <c r="BL25" s="473">
        <v>45178.284722222219</v>
      </c>
      <c r="BM25" s="473">
        <v>45179.586805555555</v>
      </c>
      <c r="BN25" s="473">
        <v>45182.638888888891</v>
      </c>
      <c r="BO25" s="473">
        <v>45182.986111111109</v>
      </c>
      <c r="BP25" s="473">
        <v>45183.003472222219</v>
      </c>
      <c r="BQ25" s="473">
        <v>45183.006944444445</v>
      </c>
      <c r="BR25" s="473">
        <v>45183.430555555555</v>
      </c>
      <c r="BS25" s="475"/>
      <c r="BT25" s="475"/>
      <c r="BU25" s="481">
        <f t="shared" si="4"/>
        <v>34.583333333430346</v>
      </c>
      <c r="BV25" s="481">
        <f t="shared" si="5"/>
        <v>3.4166666666278616</v>
      </c>
      <c r="BW25" s="481">
        <f t="shared" si="6"/>
        <v>41.000000000058208</v>
      </c>
      <c r="BX25" s="481">
        <f t="shared" si="12"/>
        <v>28.583333333255723</v>
      </c>
      <c r="BY25" s="482">
        <f t="shared" si="7"/>
        <v>8.3333333332557231</v>
      </c>
      <c r="BZ25" s="482">
        <f t="shared" si="8"/>
        <v>10.166666666627862</v>
      </c>
      <c r="CA25" s="483">
        <f t="shared" si="9"/>
        <v>5.2534722222189885</v>
      </c>
      <c r="CB25" s="483">
        <f t="shared" si="10"/>
        <v>17.138888888890506</v>
      </c>
      <c r="CC25" s="484">
        <f t="shared" si="11"/>
        <v>0.30652350081015517</v>
      </c>
      <c r="CD25" s="475"/>
      <c r="CE25" s="475"/>
    </row>
    <row r="26" spans="1:83" s="126" customFormat="1">
      <c r="A26" s="474">
        <f t="shared" si="0"/>
        <v>45176.125</v>
      </c>
      <c r="B26" s="475" t="s">
        <v>228</v>
      </c>
      <c r="C26" s="475" t="s">
        <v>229</v>
      </c>
      <c r="D26" s="475" t="s">
        <v>215</v>
      </c>
      <c r="E26" s="476" t="s">
        <v>2487</v>
      </c>
      <c r="F26" s="475"/>
      <c r="G26" s="472">
        <v>45167.625</v>
      </c>
      <c r="H26" s="472">
        <v>45167.583333333336</v>
      </c>
      <c r="I26" s="475" t="s">
        <v>243</v>
      </c>
      <c r="J26" s="475" t="s">
        <v>192</v>
      </c>
      <c r="K26" s="475" t="s">
        <v>192</v>
      </c>
      <c r="L26" s="475" t="s">
        <v>2494</v>
      </c>
      <c r="M26" s="167"/>
      <c r="N26" s="475" t="s">
        <v>2495</v>
      </c>
      <c r="O26" s="475" t="s">
        <v>219</v>
      </c>
      <c r="P26" s="475" t="s">
        <v>235</v>
      </c>
      <c r="Q26" s="477">
        <f>3087*2.4</f>
        <v>7408.7999999999993</v>
      </c>
      <c r="R26" s="477">
        <f>7450+100</f>
        <v>7550</v>
      </c>
      <c r="S26" s="477">
        <v>7597.1530000000002</v>
      </c>
      <c r="T26" s="477"/>
      <c r="U26" s="478"/>
      <c r="V26" s="475"/>
      <c r="W26" s="475"/>
      <c r="X26" s="477">
        <f>S26</f>
        <v>7597.1530000000002</v>
      </c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475"/>
      <c r="AL26" s="475"/>
      <c r="AM26" s="475"/>
      <c r="AN26" s="475"/>
      <c r="AO26" s="475"/>
      <c r="AP26" s="475"/>
      <c r="AQ26" s="475"/>
      <c r="AR26" s="475"/>
      <c r="AS26" s="475"/>
      <c r="AT26" s="475"/>
      <c r="AU26" s="475"/>
      <c r="AV26" s="475"/>
      <c r="AW26" s="475"/>
      <c r="AX26" s="475"/>
      <c r="AY26" s="473">
        <f t="shared" si="1"/>
        <v>45164.715277777781</v>
      </c>
      <c r="AZ26" s="473">
        <f t="shared" si="2"/>
        <v>45184.329861111109</v>
      </c>
      <c r="BA26" s="479">
        <f t="shared" si="3"/>
        <v>19.614583333328483</v>
      </c>
      <c r="BB26" s="473">
        <v>45164.715277777781</v>
      </c>
      <c r="BC26" s="473">
        <v>45169.805555555555</v>
      </c>
      <c r="BD26" s="473">
        <v>45171.541666666664</v>
      </c>
      <c r="BE26" s="473">
        <v>45176.125</v>
      </c>
      <c r="BF26" s="473">
        <v>45176.270833333336</v>
      </c>
      <c r="BG26" s="473">
        <v>45176.274305555555</v>
      </c>
      <c r="BH26" s="473">
        <v>45176.274305555555</v>
      </c>
      <c r="BI26" s="473">
        <f t="shared" si="14"/>
        <v>45177.982638888891</v>
      </c>
      <c r="BJ26" s="480">
        <v>45179.229166608799</v>
      </c>
      <c r="BK26" s="480">
        <v>45179.395833333336</v>
      </c>
      <c r="BL26" s="473">
        <v>45179.329861111109</v>
      </c>
      <c r="BM26" s="473">
        <v>45181.270833333336</v>
      </c>
      <c r="BN26" s="473">
        <v>45182.166666666664</v>
      </c>
      <c r="BO26" s="473">
        <v>45183.611111111109</v>
      </c>
      <c r="BP26" s="473">
        <v>45183.635416666664</v>
      </c>
      <c r="BQ26" s="473">
        <v>45183.638888888891</v>
      </c>
      <c r="BR26" s="473">
        <v>45184.329861111109</v>
      </c>
      <c r="BS26" s="475" t="s">
        <v>2755</v>
      </c>
      <c r="BT26" s="475"/>
      <c r="BU26" s="481">
        <f t="shared" si="4"/>
        <v>41.666666666627862</v>
      </c>
      <c r="BV26" s="481">
        <f t="shared" si="5"/>
        <v>3.5000000000582077</v>
      </c>
      <c r="BW26" s="481">
        <f t="shared" si="6"/>
        <v>41.000000000058208</v>
      </c>
      <c r="BX26" s="481">
        <f t="shared" si="12"/>
        <v>45</v>
      </c>
      <c r="BY26" s="482">
        <f t="shared" si="7"/>
        <v>34.666666666686069</v>
      </c>
      <c r="BZ26" s="482">
        <f t="shared" si="8"/>
        <v>16.583333333255723</v>
      </c>
      <c r="CA26" s="483">
        <f t="shared" si="9"/>
        <v>7.6006944444452529</v>
      </c>
      <c r="CB26" s="483">
        <f t="shared" si="10"/>
        <v>19.614583333328483</v>
      </c>
      <c r="CC26" s="484">
        <f t="shared" si="11"/>
        <v>0.38750221278116026</v>
      </c>
      <c r="CD26" s="475"/>
      <c r="CE26" s="475"/>
    </row>
    <row r="27" spans="1:83" s="126" customFormat="1">
      <c r="A27" s="521">
        <f t="shared" si="0"/>
        <v>45176.847222222219</v>
      </c>
      <c r="B27" s="369" t="s">
        <v>228</v>
      </c>
      <c r="C27" s="369" t="s">
        <v>229</v>
      </c>
      <c r="D27" s="369" t="s">
        <v>197</v>
      </c>
      <c r="E27" s="271" t="s">
        <v>2487</v>
      </c>
      <c r="F27" s="369"/>
      <c r="G27" s="492">
        <v>45167.625</v>
      </c>
      <c r="H27" s="492">
        <v>45167.583333333336</v>
      </c>
      <c r="I27" s="369" t="s">
        <v>243</v>
      </c>
      <c r="J27" s="369" t="s">
        <v>192</v>
      </c>
      <c r="K27" s="369" t="s">
        <v>192</v>
      </c>
      <c r="L27" s="369" t="s">
        <v>2498</v>
      </c>
      <c r="M27" s="529"/>
      <c r="N27" s="369" t="s">
        <v>263</v>
      </c>
      <c r="O27" s="369" t="s">
        <v>264</v>
      </c>
      <c r="P27" s="369" t="s">
        <v>235</v>
      </c>
      <c r="Q27" s="520">
        <f>3136*2.4</f>
        <v>7526.4</v>
      </c>
      <c r="R27" s="520">
        <f>7550+100</f>
        <v>7650</v>
      </c>
      <c r="S27" s="520">
        <v>7438.1260000000002</v>
      </c>
      <c r="T27" s="520"/>
      <c r="U27" s="369"/>
      <c r="V27" s="369"/>
      <c r="W27" s="369"/>
      <c r="X27" s="520">
        <f>S27</f>
        <v>7438.1260000000002</v>
      </c>
      <c r="Y27" s="369"/>
      <c r="Z27" s="369"/>
      <c r="AA27" s="369"/>
      <c r="AB27" s="369"/>
      <c r="AC27" s="369"/>
      <c r="AD27" s="369"/>
      <c r="AE27" s="369"/>
      <c r="AF27" s="369"/>
      <c r="AG27" s="369"/>
      <c r="AH27" s="369"/>
      <c r="AI27" s="369"/>
      <c r="AJ27" s="369"/>
      <c r="AK27" s="369"/>
      <c r="AL27" s="369"/>
      <c r="AM27" s="369"/>
      <c r="AN27" s="369"/>
      <c r="AO27" s="369"/>
      <c r="AP27" s="369"/>
      <c r="AQ27" s="369"/>
      <c r="AR27" s="369"/>
      <c r="AS27" s="369"/>
      <c r="AT27" s="369"/>
      <c r="AU27" s="369"/>
      <c r="AV27" s="369"/>
      <c r="AW27" s="369"/>
      <c r="AX27" s="369"/>
      <c r="AY27" s="522">
        <f t="shared" si="1"/>
        <v>45168.041666666664</v>
      </c>
      <c r="AZ27" s="522">
        <f t="shared" si="2"/>
        <v>45185.388888888891</v>
      </c>
      <c r="BA27" s="523">
        <f t="shared" si="3"/>
        <v>17.347222222226264</v>
      </c>
      <c r="BB27" s="522">
        <v>45168.041666666664</v>
      </c>
      <c r="BC27" s="522">
        <v>45170.788194444445</v>
      </c>
      <c r="BD27" s="522">
        <v>45172.170138888891</v>
      </c>
      <c r="BE27" s="522">
        <v>45176.847222222219</v>
      </c>
      <c r="BF27" s="522">
        <v>45177.024305555555</v>
      </c>
      <c r="BG27" s="522">
        <v>45177.03125</v>
      </c>
      <c r="BH27" s="522">
        <v>45177.03125</v>
      </c>
      <c r="BI27" s="522">
        <f t="shared" si="14"/>
        <v>45178.739583333336</v>
      </c>
      <c r="BJ27" s="524">
        <v>45179.229166608799</v>
      </c>
      <c r="BK27" s="524">
        <v>45179.395833333336</v>
      </c>
      <c r="BL27" s="522">
        <v>45179.291666666664</v>
      </c>
      <c r="BM27" s="522">
        <v>45180.652777777781</v>
      </c>
      <c r="BN27" s="522">
        <v>45183.694444444445</v>
      </c>
      <c r="BO27" s="522">
        <v>45184.395833333336</v>
      </c>
      <c r="BP27" s="522">
        <v>45184.402777777781</v>
      </c>
      <c r="BQ27" s="522">
        <v>45185.027777777781</v>
      </c>
      <c r="BR27" s="522">
        <v>45185.388888888891</v>
      </c>
      <c r="BS27" s="369"/>
      <c r="BT27" s="369"/>
      <c r="BU27" s="525">
        <f t="shared" si="4"/>
        <v>33.166666666686069</v>
      </c>
      <c r="BV27" s="525">
        <f t="shared" si="5"/>
        <v>4.2500000000582077</v>
      </c>
      <c r="BW27" s="525">
        <f t="shared" si="6"/>
        <v>41.000000000058208</v>
      </c>
      <c r="BX27" s="525">
        <f t="shared" si="12"/>
        <v>30.166666666686069</v>
      </c>
      <c r="BY27" s="526">
        <f t="shared" si="7"/>
        <v>16.833333333372138</v>
      </c>
      <c r="BZ27" s="526">
        <f t="shared" si="8"/>
        <v>8.6666666666278616</v>
      </c>
      <c r="CA27" s="304">
        <f t="shared" si="9"/>
        <v>5.5868055555620231</v>
      </c>
      <c r="CB27" s="304">
        <f t="shared" si="10"/>
        <v>17.347222222226264</v>
      </c>
      <c r="CC27" s="305">
        <f t="shared" si="11"/>
        <v>0.32205764611719129</v>
      </c>
      <c r="CD27" s="369"/>
      <c r="CE27" s="369"/>
    </row>
    <row r="28" spans="1:83" s="126" customFormat="1">
      <c r="A28" s="474">
        <f t="shared" si="0"/>
        <v>45178.107638888891</v>
      </c>
      <c r="B28" s="475" t="s">
        <v>228</v>
      </c>
      <c r="C28" s="475" t="s">
        <v>229</v>
      </c>
      <c r="D28" s="475" t="s">
        <v>197</v>
      </c>
      <c r="E28" s="476" t="s">
        <v>2500</v>
      </c>
      <c r="F28" s="475"/>
      <c r="G28" s="472">
        <v>45173.5</v>
      </c>
      <c r="H28" s="472">
        <v>45173.447916666664</v>
      </c>
      <c r="I28" s="475" t="s">
        <v>231</v>
      </c>
      <c r="J28" s="475" t="s">
        <v>192</v>
      </c>
      <c r="K28" s="475" t="s">
        <v>192</v>
      </c>
      <c r="L28" s="475" t="s">
        <v>2506</v>
      </c>
      <c r="M28" s="530"/>
      <c r="N28" s="475" t="s">
        <v>1848</v>
      </c>
      <c r="O28" s="475" t="s">
        <v>350</v>
      </c>
      <c r="P28" s="475" t="s">
        <v>240</v>
      </c>
      <c r="Q28" s="477">
        <f>3077*2.4</f>
        <v>7384.7999999999993</v>
      </c>
      <c r="R28" s="477">
        <f>7400+100</f>
        <v>7500</v>
      </c>
      <c r="S28" s="477">
        <v>7210.2280000000001</v>
      </c>
      <c r="T28" s="477"/>
      <c r="U28" s="475"/>
      <c r="V28" s="475"/>
      <c r="W28" s="475"/>
      <c r="X28" s="475"/>
      <c r="Y28" s="477">
        <f>S28</f>
        <v>7210.2280000000001</v>
      </c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  <c r="AR28" s="475"/>
      <c r="AS28" s="475"/>
      <c r="AT28" s="475"/>
      <c r="AU28" s="475"/>
      <c r="AV28" s="475"/>
      <c r="AW28" s="475"/>
      <c r="AX28" s="475"/>
      <c r="AY28" s="473">
        <f t="shared" si="1"/>
        <v>45168.895833333336</v>
      </c>
      <c r="AZ28" s="473">
        <f t="shared" si="2"/>
        <v>45184.569444444445</v>
      </c>
      <c r="BA28" s="479">
        <f t="shared" si="3"/>
        <v>15.673611111109494</v>
      </c>
      <c r="BB28" s="473">
        <v>45168.895833333336</v>
      </c>
      <c r="BC28" s="473">
        <v>45173.763888888891</v>
      </c>
      <c r="BD28" s="473">
        <v>45175.347222222219</v>
      </c>
      <c r="BE28" s="473">
        <v>45178.107638888891</v>
      </c>
      <c r="BF28" s="473">
        <v>45178.25</v>
      </c>
      <c r="BG28" s="473">
        <v>45178.253472222219</v>
      </c>
      <c r="BH28" s="473">
        <v>45178.253472222219</v>
      </c>
      <c r="BI28" s="473">
        <f t="shared" si="14"/>
        <v>45179.961805555555</v>
      </c>
      <c r="BJ28" s="485">
        <v>45180.229166608799</v>
      </c>
      <c r="BK28" s="485">
        <v>45180.395833333336</v>
      </c>
      <c r="BL28" s="473">
        <v>45180.319444444445</v>
      </c>
      <c r="BM28" s="473">
        <v>45181.385416666664</v>
      </c>
      <c r="BN28" s="473">
        <v>45183.569444444445</v>
      </c>
      <c r="BO28" s="473">
        <v>45184.083333333336</v>
      </c>
      <c r="BP28" s="473">
        <v>45184.107638888891</v>
      </c>
      <c r="BQ28" s="473">
        <v>45184.100694444445</v>
      </c>
      <c r="BR28" s="473">
        <v>45184.569444444445</v>
      </c>
      <c r="BS28" s="475"/>
      <c r="BT28" s="475"/>
      <c r="BU28" s="481">
        <f t="shared" si="4"/>
        <v>37.999999999883585</v>
      </c>
      <c r="BV28" s="481">
        <f t="shared" si="5"/>
        <v>3.4166666666278616</v>
      </c>
      <c r="BW28" s="481">
        <f t="shared" si="6"/>
        <v>41.000000000058208</v>
      </c>
      <c r="BX28" s="481">
        <f t="shared" si="12"/>
        <v>23.749999999883585</v>
      </c>
      <c r="BY28" s="482">
        <f t="shared" si="7"/>
        <v>12.333333333372138</v>
      </c>
      <c r="BZ28" s="482">
        <f t="shared" si="8"/>
        <v>11.25</v>
      </c>
      <c r="CA28" s="483">
        <f t="shared" si="9"/>
        <v>5.406249999992724</v>
      </c>
      <c r="CB28" s="483">
        <f t="shared" si="10"/>
        <v>15.673611111109494</v>
      </c>
      <c r="CC28" s="484">
        <f t="shared" si="11"/>
        <v>0.34492689410679334</v>
      </c>
      <c r="CD28" s="475"/>
      <c r="CE28" s="475"/>
    </row>
    <row r="29" spans="1:83" s="126" customFormat="1">
      <c r="A29" s="474">
        <f t="shared" si="0"/>
        <v>45178.322916666664</v>
      </c>
      <c r="B29" s="475" t="s">
        <v>228</v>
      </c>
      <c r="C29" s="475" t="s">
        <v>229</v>
      </c>
      <c r="D29" s="475" t="s">
        <v>197</v>
      </c>
      <c r="E29" s="476" t="s">
        <v>2500</v>
      </c>
      <c r="F29" s="475"/>
      <c r="G29" s="472">
        <v>45173.5</v>
      </c>
      <c r="H29" s="472">
        <v>45173.447916666664</v>
      </c>
      <c r="I29" s="475" t="s">
        <v>231</v>
      </c>
      <c r="J29" s="475" t="s">
        <v>192</v>
      </c>
      <c r="K29" s="475" t="s">
        <v>192</v>
      </c>
      <c r="L29" s="475" t="s">
        <v>2503</v>
      </c>
      <c r="M29" s="167"/>
      <c r="N29" s="475" t="s">
        <v>377</v>
      </c>
      <c r="O29" s="475" t="s">
        <v>378</v>
      </c>
      <c r="P29" s="475" t="s">
        <v>240</v>
      </c>
      <c r="Q29" s="477">
        <f>3271*2.4</f>
        <v>7850.4</v>
      </c>
      <c r="R29" s="477">
        <f>7900+100</f>
        <v>8000</v>
      </c>
      <c r="S29" s="477">
        <v>7413.2709999999997</v>
      </c>
      <c r="T29" s="477"/>
      <c r="U29" s="475"/>
      <c r="V29" s="475"/>
      <c r="W29" s="475"/>
      <c r="X29" s="475"/>
      <c r="Y29" s="477">
        <f>S29</f>
        <v>7413.2709999999997</v>
      </c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75"/>
      <c r="AM29" s="475"/>
      <c r="AN29" s="475"/>
      <c r="AO29" s="475"/>
      <c r="AP29" s="475"/>
      <c r="AQ29" s="475"/>
      <c r="AR29" s="475"/>
      <c r="AS29" s="475"/>
      <c r="AT29" s="475"/>
      <c r="AU29" s="475"/>
      <c r="AV29" s="475"/>
      <c r="AW29" s="475"/>
      <c r="AX29" s="475"/>
      <c r="AY29" s="473">
        <f t="shared" si="1"/>
        <v>45170.395833333336</v>
      </c>
      <c r="AZ29" s="473">
        <f t="shared" si="2"/>
        <v>45183.9375</v>
      </c>
      <c r="BA29" s="479">
        <f t="shared" si="3"/>
        <v>13.541666666664241</v>
      </c>
      <c r="BB29" s="473">
        <v>45170.395833333336</v>
      </c>
      <c r="BC29" s="473">
        <v>45174.527777777781</v>
      </c>
      <c r="BD29" s="473">
        <v>45176.083333333336</v>
      </c>
      <c r="BE29" s="473">
        <v>45178.322916666664</v>
      </c>
      <c r="BF29" s="473">
        <v>45178.46875</v>
      </c>
      <c r="BG29" s="473">
        <v>45178.472222222219</v>
      </c>
      <c r="BH29" s="473">
        <v>45178.472222222219</v>
      </c>
      <c r="BI29" s="473">
        <f t="shared" si="14"/>
        <v>45180.180555555555</v>
      </c>
      <c r="BJ29" s="485">
        <v>45180.229166608799</v>
      </c>
      <c r="BK29" s="485">
        <v>45180.395833333336</v>
      </c>
      <c r="BL29" s="473">
        <v>45180.288194444445</v>
      </c>
      <c r="BM29" s="473">
        <v>45181.333333333336</v>
      </c>
      <c r="BN29" s="473">
        <v>45182.875</v>
      </c>
      <c r="BO29" s="473">
        <v>45183.493055555555</v>
      </c>
      <c r="BP29" s="473">
        <v>45183.517361111109</v>
      </c>
      <c r="BQ29" s="473">
        <v>45183.666666666664</v>
      </c>
      <c r="BR29" s="473">
        <v>45183.9375</v>
      </c>
      <c r="BS29" s="475"/>
      <c r="BT29" s="475"/>
      <c r="BU29" s="481">
        <f t="shared" si="4"/>
        <v>37.333333333313931</v>
      </c>
      <c r="BV29" s="481">
        <f t="shared" si="5"/>
        <v>3.5000000000582077</v>
      </c>
      <c r="BW29" s="481">
        <f t="shared" si="6"/>
        <v>41.000000000058208</v>
      </c>
      <c r="BX29" s="481">
        <f t="shared" si="12"/>
        <v>22.5</v>
      </c>
      <c r="BY29" s="482">
        <f t="shared" si="7"/>
        <v>14.833333333313931</v>
      </c>
      <c r="BZ29" s="482">
        <f t="shared" si="8"/>
        <v>6.5000000000582077</v>
      </c>
      <c r="CA29" s="483">
        <f t="shared" si="9"/>
        <v>5.2361111111167702</v>
      </c>
      <c r="CB29" s="483">
        <f t="shared" si="10"/>
        <v>13.541666666664241</v>
      </c>
      <c r="CC29" s="484">
        <f t="shared" si="11"/>
        <v>0.38666666666715382</v>
      </c>
      <c r="CD29" s="475"/>
      <c r="CE29" s="475"/>
    </row>
    <row r="30" spans="1:83" s="475" customFormat="1">
      <c r="A30" s="521">
        <f t="shared" si="0"/>
        <v>45178.642361111109</v>
      </c>
      <c r="B30" s="369" t="s">
        <v>228</v>
      </c>
      <c r="C30" s="369" t="s">
        <v>229</v>
      </c>
      <c r="D30" s="369" t="s">
        <v>197</v>
      </c>
      <c r="E30" s="271" t="s">
        <v>2500</v>
      </c>
      <c r="F30" s="369"/>
      <c r="G30" s="492">
        <v>45173.5</v>
      </c>
      <c r="H30" s="492">
        <v>45173.447916666664</v>
      </c>
      <c r="I30" s="369" t="s">
        <v>231</v>
      </c>
      <c r="J30" s="369" t="s">
        <v>192</v>
      </c>
      <c r="K30" s="369" t="s">
        <v>192</v>
      </c>
      <c r="L30" s="369" t="s">
        <v>2509</v>
      </c>
      <c r="M30" s="529"/>
      <c r="N30" s="369" t="s">
        <v>355</v>
      </c>
      <c r="O30" s="369" t="s">
        <v>356</v>
      </c>
      <c r="P30" s="369" t="s">
        <v>240</v>
      </c>
      <c r="Q30" s="520">
        <f>3107*2.4</f>
        <v>7456.7999999999993</v>
      </c>
      <c r="R30" s="520">
        <f>7500+100</f>
        <v>7600</v>
      </c>
      <c r="S30" s="520">
        <v>7564.94</v>
      </c>
      <c r="T30" s="520"/>
      <c r="U30" s="369"/>
      <c r="V30" s="369"/>
      <c r="W30" s="369"/>
      <c r="X30" s="369"/>
      <c r="Y30" s="520">
        <f>S30</f>
        <v>7564.94</v>
      </c>
      <c r="Z30" s="369"/>
      <c r="AA30" s="369"/>
      <c r="AB30" s="369"/>
      <c r="AC30" s="369"/>
      <c r="AD30" s="369"/>
      <c r="AE30" s="369"/>
      <c r="AF30" s="369"/>
      <c r="AG30" s="369"/>
      <c r="AH30" s="369"/>
      <c r="AI30" s="369"/>
      <c r="AJ30" s="369"/>
      <c r="AK30" s="369"/>
      <c r="AL30" s="369"/>
      <c r="AM30" s="369"/>
      <c r="AN30" s="369"/>
      <c r="AO30" s="369"/>
      <c r="AP30" s="369"/>
      <c r="AQ30" s="369"/>
      <c r="AR30" s="369"/>
      <c r="AS30" s="369"/>
      <c r="AT30" s="369"/>
      <c r="AU30" s="369"/>
      <c r="AV30" s="369"/>
      <c r="AW30" s="369"/>
      <c r="AX30" s="369"/>
      <c r="AY30" s="522">
        <f t="shared" si="1"/>
        <v>45170.895833333336</v>
      </c>
      <c r="AZ30" s="522">
        <f t="shared" si="2"/>
        <v>45185.364583333336</v>
      </c>
      <c r="BA30" s="523">
        <f t="shared" si="3"/>
        <v>14.46875</v>
      </c>
      <c r="BB30" s="522">
        <v>45170.895833333336</v>
      </c>
      <c r="BC30" s="522">
        <v>45174.791666666664</v>
      </c>
      <c r="BD30" s="522">
        <v>45176.125</v>
      </c>
      <c r="BE30" s="522">
        <v>45178.642361111109</v>
      </c>
      <c r="BF30" s="522">
        <v>45178.84375</v>
      </c>
      <c r="BG30" s="522">
        <v>45178.847222222219</v>
      </c>
      <c r="BH30" s="522">
        <v>45178.847222222219</v>
      </c>
      <c r="BI30" s="522">
        <f t="shared" si="14"/>
        <v>45180.555555555555</v>
      </c>
      <c r="BJ30" s="524">
        <v>45181.229166608799</v>
      </c>
      <c r="BK30" s="524">
        <v>45181.395833333336</v>
      </c>
      <c r="BL30" s="522">
        <v>45181.302083333336</v>
      </c>
      <c r="BM30" s="522">
        <v>45182.388888888891</v>
      </c>
      <c r="BN30" s="522">
        <v>45184.166666666664</v>
      </c>
      <c r="BO30" s="522">
        <v>45184.815972222219</v>
      </c>
      <c r="BP30" s="522">
        <v>45184.829861111109</v>
      </c>
      <c r="BQ30" s="522">
        <v>45185.163194444445</v>
      </c>
      <c r="BR30" s="522">
        <v>45185.364583333336</v>
      </c>
      <c r="BS30" s="369"/>
      <c r="BT30" s="369"/>
      <c r="BU30" s="525">
        <f t="shared" si="4"/>
        <v>32.000000000058208</v>
      </c>
      <c r="BV30" s="525">
        <f t="shared" si="5"/>
        <v>4.8333333333721384</v>
      </c>
      <c r="BW30" s="525">
        <f t="shared" si="6"/>
        <v>41.000000000058208</v>
      </c>
      <c r="BX30" s="525">
        <f t="shared" si="12"/>
        <v>23.833333333313931</v>
      </c>
      <c r="BY30" s="526">
        <f t="shared" si="7"/>
        <v>15.583333333313931</v>
      </c>
      <c r="BZ30" s="526">
        <f t="shared" si="8"/>
        <v>4.8333333333721384</v>
      </c>
      <c r="CA30" s="304">
        <f t="shared" si="9"/>
        <v>5.0868055555620231</v>
      </c>
      <c r="CB30" s="304">
        <f t="shared" si="10"/>
        <v>14.46875</v>
      </c>
      <c r="CC30" s="305">
        <f t="shared" si="11"/>
        <v>0.35157187425050701</v>
      </c>
      <c r="CD30" s="369"/>
      <c r="CE30" s="369"/>
    </row>
    <row r="31" spans="1:83" s="475" customFormat="1">
      <c r="A31" s="474">
        <f t="shared" si="0"/>
        <v>45179.810416666667</v>
      </c>
      <c r="B31" s="475" t="s">
        <v>228</v>
      </c>
      <c r="C31" s="475" t="s">
        <v>229</v>
      </c>
      <c r="D31" s="475" t="s">
        <v>197</v>
      </c>
      <c r="E31" s="476" t="s">
        <v>1283</v>
      </c>
      <c r="G31" s="472">
        <v>45179.520833333336</v>
      </c>
      <c r="H31" s="472">
        <v>45179.458333333336</v>
      </c>
      <c r="I31" s="475" t="s">
        <v>231</v>
      </c>
      <c r="J31" s="475" t="s">
        <v>192</v>
      </c>
      <c r="K31" s="475" t="s">
        <v>192</v>
      </c>
      <c r="L31" s="475" t="s">
        <v>2518</v>
      </c>
      <c r="M31" s="529"/>
      <c r="N31" s="475" t="s">
        <v>226</v>
      </c>
      <c r="O31" s="475" t="s">
        <v>227</v>
      </c>
      <c r="P31" s="475" t="s">
        <v>240</v>
      </c>
      <c r="Q31" s="477">
        <f>3100*2.4</f>
        <v>7440</v>
      </c>
      <c r="R31" s="477">
        <f>7450+100</f>
        <v>7550</v>
      </c>
      <c r="S31" s="477">
        <v>7488.3919999999998</v>
      </c>
      <c r="T31" s="477"/>
      <c r="Y31" s="477">
        <f>S31</f>
        <v>7488.3919999999998</v>
      </c>
      <c r="AY31" s="473">
        <f t="shared" si="1"/>
        <v>45172.927083333336</v>
      </c>
      <c r="AZ31" s="473">
        <f t="shared" si="2"/>
        <v>45186.881944444445</v>
      </c>
      <c r="BA31" s="479">
        <f t="shared" si="3"/>
        <v>13.954861111109494</v>
      </c>
      <c r="BB31" s="473">
        <v>45172.927083333336</v>
      </c>
      <c r="BC31" s="473">
        <v>45175.815972222219</v>
      </c>
      <c r="BD31" s="473">
        <v>45177.15625</v>
      </c>
      <c r="BE31" s="473">
        <v>45179.810416666667</v>
      </c>
      <c r="BF31" s="473">
        <v>45180</v>
      </c>
      <c r="BG31" s="473">
        <v>45180.006944444445</v>
      </c>
      <c r="BH31" s="473">
        <v>45180.006944444445</v>
      </c>
      <c r="BI31" s="473">
        <f t="shared" si="14"/>
        <v>45181.715277777781</v>
      </c>
      <c r="BJ31" s="485">
        <v>45182.229166608799</v>
      </c>
      <c r="BK31" s="485">
        <v>45182.395833333336</v>
      </c>
      <c r="BL31" s="473">
        <v>45182.277777777781</v>
      </c>
      <c r="BM31" s="473">
        <v>45183.375</v>
      </c>
      <c r="BN31" s="473">
        <v>45185.770833333336</v>
      </c>
      <c r="BO31" s="473">
        <v>45186.541666666664</v>
      </c>
      <c r="BP31" s="473">
        <v>45186.5625</v>
      </c>
      <c r="BQ31" s="473">
        <v>45186.708333333336</v>
      </c>
      <c r="BR31" s="473">
        <v>45186.881944444445</v>
      </c>
      <c r="BU31" s="481">
        <f t="shared" si="4"/>
        <v>32.166666666744277</v>
      </c>
      <c r="BV31" s="481">
        <f t="shared" si="5"/>
        <v>4.5499999999883585</v>
      </c>
      <c r="BW31" s="481">
        <f t="shared" si="6"/>
        <v>41.000000000058208</v>
      </c>
      <c r="BX31" s="481">
        <f t="shared" si="12"/>
        <v>23.499999999941792</v>
      </c>
      <c r="BY31" s="482">
        <f t="shared" si="7"/>
        <v>18.499999999883585</v>
      </c>
      <c r="BZ31" s="482">
        <f t="shared" si="8"/>
        <v>4.1666666666278616</v>
      </c>
      <c r="CA31" s="483">
        <f t="shared" si="9"/>
        <v>5.1618055555518367</v>
      </c>
      <c r="CB31" s="483">
        <f t="shared" si="10"/>
        <v>13.954861111109494</v>
      </c>
      <c r="CC31" s="484">
        <f t="shared" si="11"/>
        <v>0.36989300821077414</v>
      </c>
    </row>
    <row r="32" spans="1:83" s="475" customFormat="1">
      <c r="A32" s="521">
        <f t="shared" si="0"/>
        <v>45180.027777777781</v>
      </c>
      <c r="B32" s="369" t="s">
        <v>228</v>
      </c>
      <c r="C32" s="369" t="s">
        <v>229</v>
      </c>
      <c r="D32" s="369" t="s">
        <v>197</v>
      </c>
      <c r="E32" s="271" t="s">
        <v>1283</v>
      </c>
      <c r="F32" s="369"/>
      <c r="G32" s="492">
        <v>45179.520833333336</v>
      </c>
      <c r="H32" s="492">
        <v>45179.458333333336</v>
      </c>
      <c r="I32" s="369" t="s">
        <v>231</v>
      </c>
      <c r="J32" s="369" t="s">
        <v>192</v>
      </c>
      <c r="K32" s="369" t="s">
        <v>192</v>
      </c>
      <c r="L32" s="369" t="s">
        <v>2516</v>
      </c>
      <c r="M32" s="529"/>
      <c r="N32" s="369" t="s">
        <v>1799</v>
      </c>
      <c r="O32" s="369" t="s">
        <v>2437</v>
      </c>
      <c r="P32" s="369" t="s">
        <v>235</v>
      </c>
      <c r="Q32" s="520">
        <f>3147*2.4</f>
        <v>7552.7999999999993</v>
      </c>
      <c r="R32" s="520">
        <f>7550+100</f>
        <v>7650</v>
      </c>
      <c r="S32" s="520">
        <v>7692.3990000000003</v>
      </c>
      <c r="T32" s="520"/>
      <c r="U32" s="369"/>
      <c r="V32" s="369"/>
      <c r="W32" s="369"/>
      <c r="X32" s="520">
        <f t="shared" ref="X32:X46" si="16">S32</f>
        <v>7692.3990000000003</v>
      </c>
      <c r="Y32" s="369"/>
      <c r="Z32" s="369"/>
      <c r="AA32" s="369"/>
      <c r="AB32" s="369"/>
      <c r="AC32" s="369"/>
      <c r="AD32" s="369"/>
      <c r="AE32" s="369"/>
      <c r="AF32" s="369"/>
      <c r="AG32" s="369"/>
      <c r="AH32" s="369"/>
      <c r="AI32" s="369"/>
      <c r="AJ32" s="369"/>
      <c r="AK32" s="369"/>
      <c r="AL32" s="369"/>
      <c r="AM32" s="369"/>
      <c r="AN32" s="369"/>
      <c r="AO32" s="369"/>
      <c r="AP32" s="369"/>
      <c r="AQ32" s="369"/>
      <c r="AR32" s="369"/>
      <c r="AS32" s="369"/>
      <c r="AT32" s="369"/>
      <c r="AU32" s="369"/>
      <c r="AV32" s="369"/>
      <c r="AW32" s="369"/>
      <c r="AX32" s="369"/>
      <c r="AY32" s="522">
        <f t="shared" si="1"/>
        <v>45172.538194444445</v>
      </c>
      <c r="AZ32" s="522">
        <f t="shared" si="2"/>
        <v>45185.993055555555</v>
      </c>
      <c r="BA32" s="523">
        <f t="shared" si="3"/>
        <v>13.454861111109494</v>
      </c>
      <c r="BB32" s="522">
        <v>45172.538194444445</v>
      </c>
      <c r="BC32" s="522">
        <v>45175.795138888891</v>
      </c>
      <c r="BD32" s="522">
        <v>45177.166666666664</v>
      </c>
      <c r="BE32" s="522">
        <v>45180.027777777781</v>
      </c>
      <c r="BF32" s="522">
        <v>45180.185416666667</v>
      </c>
      <c r="BG32" s="522">
        <v>45180.194444444445</v>
      </c>
      <c r="BH32" s="522">
        <v>45180.194444444445</v>
      </c>
      <c r="BI32" s="522">
        <f t="shared" si="14"/>
        <v>45181.902777777781</v>
      </c>
      <c r="BJ32" s="524">
        <v>45182.229166608799</v>
      </c>
      <c r="BK32" s="524">
        <v>45182.395833333336</v>
      </c>
      <c r="BL32" s="522">
        <v>45182.336805555555</v>
      </c>
      <c r="BM32" s="522">
        <v>45183.395833333336</v>
      </c>
      <c r="BN32" s="522">
        <v>45185.451388888891</v>
      </c>
      <c r="BO32" s="522">
        <v>45185.701388888891</v>
      </c>
      <c r="BP32" s="522">
        <v>45185.729166666664</v>
      </c>
      <c r="BQ32" s="522">
        <v>45185.732638888891</v>
      </c>
      <c r="BR32" s="522">
        <v>45185.993055555555</v>
      </c>
      <c r="BS32" s="369"/>
      <c r="BT32" s="369"/>
      <c r="BU32" s="525">
        <f t="shared" si="4"/>
        <v>32.916666666569654</v>
      </c>
      <c r="BV32" s="525">
        <f t="shared" si="5"/>
        <v>3.7833333332673647</v>
      </c>
      <c r="BW32" s="525">
        <f t="shared" si="6"/>
        <v>41.000000000058208</v>
      </c>
      <c r="BX32" s="525">
        <f t="shared" si="12"/>
        <v>24</v>
      </c>
      <c r="BY32" s="526">
        <f t="shared" si="7"/>
        <v>6</v>
      </c>
      <c r="BZ32" s="526">
        <f t="shared" si="8"/>
        <v>6.2499999999417923</v>
      </c>
      <c r="CA32" s="304">
        <f t="shared" si="9"/>
        <v>4.7479166666598758</v>
      </c>
      <c r="CB32" s="304">
        <f t="shared" si="10"/>
        <v>13.454861111109494</v>
      </c>
      <c r="CC32" s="305">
        <f t="shared" si="11"/>
        <v>0.35287741935437639</v>
      </c>
      <c r="CD32" s="369"/>
      <c r="CE32" s="369"/>
    </row>
    <row r="33" spans="1:83" s="475" customFormat="1">
      <c r="A33" s="474">
        <f t="shared" si="0"/>
        <v>45180.21875</v>
      </c>
      <c r="B33" s="475" t="s">
        <v>228</v>
      </c>
      <c r="C33" s="475" t="s">
        <v>229</v>
      </c>
      <c r="D33" s="475" t="s">
        <v>197</v>
      </c>
      <c r="E33" s="476" t="s">
        <v>1283</v>
      </c>
      <c r="G33" s="472">
        <v>45179.520833333336</v>
      </c>
      <c r="H33" s="472">
        <v>45179.458333333336</v>
      </c>
      <c r="I33" s="475" t="s">
        <v>231</v>
      </c>
      <c r="J33" s="475" t="s">
        <v>192</v>
      </c>
      <c r="K33" s="475" t="s">
        <v>192</v>
      </c>
      <c r="L33" s="475" t="s">
        <v>2517</v>
      </c>
      <c r="M33" s="529"/>
      <c r="N33" s="475" t="s">
        <v>2295</v>
      </c>
      <c r="O33" s="475" t="s">
        <v>2296</v>
      </c>
      <c r="P33" s="475" t="s">
        <v>235</v>
      </c>
      <c r="Q33" s="477">
        <f>4272*2.4</f>
        <v>10252.799999999999</v>
      </c>
      <c r="R33" s="477">
        <f>10300+100</f>
        <v>10400</v>
      </c>
      <c r="S33" s="477">
        <v>10250.165999999999</v>
      </c>
      <c r="T33" s="477"/>
      <c r="X33" s="477">
        <f t="shared" si="16"/>
        <v>10250.165999999999</v>
      </c>
      <c r="AY33" s="473">
        <f t="shared" si="1"/>
        <v>45172.006944444445</v>
      </c>
      <c r="AZ33" s="473">
        <f t="shared" si="2"/>
        <v>45186.458333333336</v>
      </c>
      <c r="BA33" s="479">
        <f t="shared" si="3"/>
        <v>14.451388888890506</v>
      </c>
      <c r="BB33" s="473">
        <v>45172.006944444445</v>
      </c>
      <c r="BC33" s="473">
        <v>45175.791666666664</v>
      </c>
      <c r="BD33" s="473">
        <v>45177.361111111109</v>
      </c>
      <c r="BE33" s="473">
        <v>45180.21875</v>
      </c>
      <c r="BF33" s="473">
        <v>45180.496527777781</v>
      </c>
      <c r="BG33" s="473">
        <v>45180.513888888891</v>
      </c>
      <c r="BH33" s="473">
        <v>45180.513888888891</v>
      </c>
      <c r="BI33" s="473">
        <f t="shared" si="14"/>
        <v>45182.222222222226</v>
      </c>
      <c r="BJ33" s="485">
        <v>45182.229166608799</v>
      </c>
      <c r="BK33" s="485">
        <v>45182.395833333336</v>
      </c>
      <c r="BL33" s="473">
        <v>45182.295138888891</v>
      </c>
      <c r="BM33" s="473">
        <v>45183.875</v>
      </c>
      <c r="BN33" s="473">
        <v>45185.770833333336</v>
      </c>
      <c r="BO33" s="473">
        <v>45186.166666666664</v>
      </c>
      <c r="BP33" s="473">
        <v>45186.194444444445</v>
      </c>
      <c r="BQ33" s="473">
        <v>45186.25</v>
      </c>
      <c r="BR33" s="473">
        <v>45186.458333333336</v>
      </c>
      <c r="BU33" s="481">
        <f t="shared" si="4"/>
        <v>37.666666666686069</v>
      </c>
      <c r="BV33" s="481">
        <f t="shared" si="5"/>
        <v>6.6666666667442769</v>
      </c>
      <c r="BW33" s="481">
        <f t="shared" si="6"/>
        <v>41.000000000058208</v>
      </c>
      <c r="BX33" s="481">
        <f t="shared" si="12"/>
        <v>35.499999999941792</v>
      </c>
      <c r="BY33" s="482">
        <f t="shared" si="7"/>
        <v>9.4999999998835847</v>
      </c>
      <c r="BZ33" s="482">
        <f t="shared" si="8"/>
        <v>5.0000000000582077</v>
      </c>
      <c r="CA33" s="483">
        <f t="shared" si="9"/>
        <v>5.6388888888905058</v>
      </c>
      <c r="CB33" s="483">
        <f t="shared" si="10"/>
        <v>14.451388888890506</v>
      </c>
      <c r="CC33" s="484">
        <f t="shared" si="11"/>
        <v>0.39019702066321094</v>
      </c>
    </row>
    <row r="34" spans="1:83" s="475" customFormat="1">
      <c r="A34" s="474">
        <f t="shared" si="0"/>
        <v>45180.552083333336</v>
      </c>
      <c r="B34" s="475" t="s">
        <v>228</v>
      </c>
      <c r="C34" s="475" t="s">
        <v>229</v>
      </c>
      <c r="D34" s="475" t="s">
        <v>197</v>
      </c>
      <c r="E34" s="476" t="s">
        <v>1283</v>
      </c>
      <c r="G34" s="472">
        <v>45179.520833333336</v>
      </c>
      <c r="H34" s="472">
        <v>45179.458333333336</v>
      </c>
      <c r="I34" s="475" t="s">
        <v>231</v>
      </c>
      <c r="J34" s="475" t="s">
        <v>192</v>
      </c>
      <c r="K34" s="475" t="s">
        <v>192</v>
      </c>
      <c r="L34" s="475" t="s">
        <v>2520</v>
      </c>
      <c r="M34" s="529"/>
      <c r="N34" s="475" t="s">
        <v>1240</v>
      </c>
      <c r="O34" s="475" t="s">
        <v>1241</v>
      </c>
      <c r="P34" s="475" t="s">
        <v>235</v>
      </c>
      <c r="Q34" s="477">
        <f>3243*2.4</f>
        <v>7783.2</v>
      </c>
      <c r="R34" s="477">
        <f>7800+100</f>
        <v>7900</v>
      </c>
      <c r="S34" s="477">
        <v>7897.0959999999995</v>
      </c>
      <c r="T34" s="477"/>
      <c r="X34" s="477">
        <f t="shared" si="16"/>
        <v>7897.0959999999995</v>
      </c>
      <c r="AY34" s="473">
        <f t="shared" si="1"/>
        <v>45173.458333333336</v>
      </c>
      <c r="AZ34" s="473">
        <f t="shared" si="2"/>
        <v>45186.895833333336</v>
      </c>
      <c r="BA34" s="479">
        <f t="shared" si="3"/>
        <v>13.4375</v>
      </c>
      <c r="BB34" s="473">
        <v>45173.458333333336</v>
      </c>
      <c r="BC34" s="473">
        <v>45176.770833333336</v>
      </c>
      <c r="BD34" s="473">
        <v>45178.208333333336</v>
      </c>
      <c r="BE34" s="473">
        <v>45180.552083333336</v>
      </c>
      <c r="BF34" s="473">
        <v>45180.722222222219</v>
      </c>
      <c r="BG34" s="473">
        <v>45180.729166666664</v>
      </c>
      <c r="BH34" s="473">
        <v>45180.729166666664</v>
      </c>
      <c r="BI34" s="473">
        <f t="shared" si="14"/>
        <v>45182.4375</v>
      </c>
      <c r="BJ34" s="485">
        <v>45183.25</v>
      </c>
      <c r="BK34" s="485">
        <v>45183.416666666664</v>
      </c>
      <c r="BL34" s="473">
        <v>45183.298611111109</v>
      </c>
      <c r="BM34" s="473">
        <v>45184.541666666664</v>
      </c>
      <c r="BN34" s="473">
        <v>45186.229166666664</v>
      </c>
      <c r="BO34" s="473">
        <v>45186.541666666664</v>
      </c>
      <c r="BP34" s="473">
        <v>45186.569444444445</v>
      </c>
      <c r="BQ34" s="473">
        <v>45186.729166666664</v>
      </c>
      <c r="BR34" s="473">
        <v>45186.895833333336</v>
      </c>
      <c r="BU34" s="481">
        <f t="shared" si="4"/>
        <v>34.5</v>
      </c>
      <c r="BV34" s="481">
        <f t="shared" si="5"/>
        <v>4.0833333331975155</v>
      </c>
      <c r="BW34" s="481">
        <f t="shared" si="6"/>
        <v>41.000000000058208</v>
      </c>
      <c r="BX34" s="481">
        <f t="shared" si="12"/>
        <v>27</v>
      </c>
      <c r="BY34" s="482">
        <f t="shared" si="7"/>
        <v>7.5</v>
      </c>
      <c r="BZ34" s="482">
        <f t="shared" si="8"/>
        <v>4.0000000001164153</v>
      </c>
      <c r="CA34" s="483">
        <f t="shared" si="9"/>
        <v>4.9201388888905058</v>
      </c>
      <c r="CB34" s="483">
        <f t="shared" si="10"/>
        <v>13.4375</v>
      </c>
      <c r="CC34" s="484">
        <f t="shared" si="11"/>
        <v>0.36614987080115391</v>
      </c>
    </row>
    <row r="35" spans="1:83" s="475" customFormat="1" ht="14.4" customHeight="1">
      <c r="A35" s="521">
        <f t="shared" si="0"/>
        <v>45180.74722222222</v>
      </c>
      <c r="B35" s="369" t="s">
        <v>228</v>
      </c>
      <c r="C35" s="369" t="s">
        <v>229</v>
      </c>
      <c r="D35" s="369" t="s">
        <v>197</v>
      </c>
      <c r="E35" s="271" t="s">
        <v>1283</v>
      </c>
      <c r="F35" s="369"/>
      <c r="G35" s="492">
        <v>45179.520833333336</v>
      </c>
      <c r="H35" s="492">
        <v>45179.458333333336</v>
      </c>
      <c r="I35" s="369" t="s">
        <v>231</v>
      </c>
      <c r="J35" s="369" t="s">
        <v>192</v>
      </c>
      <c r="K35" s="369" t="s">
        <v>192</v>
      </c>
      <c r="L35" s="369" t="s">
        <v>2515</v>
      </c>
      <c r="M35" s="529"/>
      <c r="N35" s="369" t="s">
        <v>505</v>
      </c>
      <c r="O35" s="369" t="s">
        <v>340</v>
      </c>
      <c r="P35" s="369" t="s">
        <v>235</v>
      </c>
      <c r="Q35" s="520">
        <f>3141*2.4</f>
        <v>7538.4</v>
      </c>
      <c r="R35" s="520">
        <f>7550+100</f>
        <v>7650</v>
      </c>
      <c r="S35" s="520">
        <v>7553.5929999999998</v>
      </c>
      <c r="T35" s="520"/>
      <c r="U35" s="369"/>
      <c r="V35" s="369"/>
      <c r="W35" s="369"/>
      <c r="X35" s="520">
        <f t="shared" si="16"/>
        <v>7553.5929999999998</v>
      </c>
      <c r="Y35" s="369"/>
      <c r="Z35" s="369"/>
      <c r="AA35" s="369"/>
      <c r="AB35" s="369"/>
      <c r="AC35" s="369"/>
      <c r="AD35" s="369"/>
      <c r="AE35" s="369"/>
      <c r="AF35" s="369"/>
      <c r="AG35" s="369"/>
      <c r="AH35" s="369"/>
      <c r="AI35" s="369"/>
      <c r="AJ35" s="369"/>
      <c r="AK35" s="369"/>
      <c r="AL35" s="369"/>
      <c r="AM35" s="369"/>
      <c r="AN35" s="369"/>
      <c r="AO35" s="369"/>
      <c r="AP35" s="369"/>
      <c r="AQ35" s="369"/>
      <c r="AR35" s="369"/>
      <c r="AS35" s="369"/>
      <c r="AT35" s="369"/>
      <c r="AU35" s="369"/>
      <c r="AV35" s="369"/>
      <c r="AW35" s="369"/>
      <c r="AX35" s="369"/>
      <c r="AY35" s="522">
        <f t="shared" si="1"/>
        <v>45173.402777777781</v>
      </c>
      <c r="AZ35" s="522">
        <f t="shared" si="2"/>
        <v>45185.840277777781</v>
      </c>
      <c r="BA35" s="523">
        <f t="shared" si="3"/>
        <v>12.4375</v>
      </c>
      <c r="BB35" s="522">
        <v>45173.402777777781</v>
      </c>
      <c r="BC35" s="522">
        <v>45176.809027777781</v>
      </c>
      <c r="BD35" s="522">
        <v>45178.229166666664</v>
      </c>
      <c r="BE35" s="522">
        <v>45180.74722222222</v>
      </c>
      <c r="BF35" s="522">
        <v>45180.940972222219</v>
      </c>
      <c r="BG35" s="522">
        <v>45180.944444444445</v>
      </c>
      <c r="BH35" s="522">
        <v>45180.944444444445</v>
      </c>
      <c r="BI35" s="522">
        <f t="shared" si="14"/>
        <v>45182.652777777781</v>
      </c>
      <c r="BJ35" s="524">
        <v>45183.25</v>
      </c>
      <c r="BK35" s="524">
        <v>45183.416666666664</v>
      </c>
      <c r="BL35" s="522">
        <v>45183.347222222219</v>
      </c>
      <c r="BM35" s="522">
        <v>45184.472222222219</v>
      </c>
      <c r="BN35" s="522">
        <v>45185.208333333336</v>
      </c>
      <c r="BO35" s="522">
        <v>45185.385416666664</v>
      </c>
      <c r="BP35" s="522">
        <v>45175.409722222219</v>
      </c>
      <c r="BQ35" s="522">
        <v>45185.625</v>
      </c>
      <c r="BR35" s="522">
        <v>45185.840277777781</v>
      </c>
      <c r="BS35" s="369"/>
      <c r="BT35" s="369"/>
      <c r="BU35" s="525">
        <f t="shared" si="4"/>
        <v>34.083333333197515</v>
      </c>
      <c r="BV35" s="525">
        <f t="shared" si="5"/>
        <v>4.6499999999650754</v>
      </c>
      <c r="BW35" s="525">
        <f t="shared" si="6"/>
        <v>41.000000000058208</v>
      </c>
      <c r="BX35" s="525">
        <f t="shared" si="12"/>
        <v>25.333333333313931</v>
      </c>
      <c r="BY35" s="526">
        <f t="shared" si="7"/>
        <v>4.2499999998835847</v>
      </c>
      <c r="BZ35" s="526">
        <f t="shared" si="8"/>
        <v>5.1666666667442769</v>
      </c>
      <c r="CA35" s="304">
        <f t="shared" si="9"/>
        <v>4.7701388888817746</v>
      </c>
      <c r="CB35" s="304">
        <f t="shared" si="10"/>
        <v>12.4375</v>
      </c>
      <c r="CC35" s="305">
        <f t="shared" si="11"/>
        <v>0.38352875488496679</v>
      </c>
      <c r="CD35" s="369"/>
      <c r="CE35" s="369"/>
    </row>
    <row r="36" spans="1:83" s="475" customFormat="1">
      <c r="A36" s="474">
        <f t="shared" si="0"/>
        <v>45180.96875</v>
      </c>
      <c r="B36" s="475" t="s">
        <v>228</v>
      </c>
      <c r="C36" s="475" t="s">
        <v>229</v>
      </c>
      <c r="D36" s="475" t="s">
        <v>197</v>
      </c>
      <c r="E36" s="476" t="s">
        <v>1283</v>
      </c>
      <c r="G36" s="472">
        <v>45179.520833333336</v>
      </c>
      <c r="H36" s="472">
        <v>45179.458333333336</v>
      </c>
      <c r="I36" s="475" t="s">
        <v>231</v>
      </c>
      <c r="J36" s="475" t="s">
        <v>192</v>
      </c>
      <c r="K36" s="475" t="s">
        <v>192</v>
      </c>
      <c r="L36" s="475" t="s">
        <v>2521</v>
      </c>
      <c r="M36" s="529"/>
      <c r="N36" s="475" t="s">
        <v>238</v>
      </c>
      <c r="O36" s="475" t="s">
        <v>239</v>
      </c>
      <c r="P36" s="475" t="s">
        <v>235</v>
      </c>
      <c r="Q36" s="477">
        <f>3100*2.4</f>
        <v>7440</v>
      </c>
      <c r="R36" s="477">
        <f>7450+100</f>
        <v>7550</v>
      </c>
      <c r="S36" s="477">
        <v>7386.3919999999998</v>
      </c>
      <c r="T36" s="477"/>
      <c r="X36" s="477">
        <f t="shared" si="16"/>
        <v>7386.3919999999998</v>
      </c>
      <c r="AY36" s="473">
        <f t="shared" ref="AY36:AY67" si="17">BB36</f>
        <v>45173.458333333336</v>
      </c>
      <c r="AZ36" s="473">
        <f t="shared" ref="AZ36:AZ67" si="18">BR36</f>
        <v>45187.0625</v>
      </c>
      <c r="BA36" s="479">
        <f t="shared" ref="BA36:BA67" si="19">AZ36-AY36</f>
        <v>13.604166666664241</v>
      </c>
      <c r="BB36" s="473">
        <v>45173.458333333336</v>
      </c>
      <c r="BC36" s="473">
        <v>45176.774305555555</v>
      </c>
      <c r="BD36" s="473">
        <v>45178.215277777781</v>
      </c>
      <c r="BE36" s="473">
        <v>45180.96875</v>
      </c>
      <c r="BF36" s="473">
        <v>45181.107638888891</v>
      </c>
      <c r="BG36" s="473">
        <v>45181.118055555555</v>
      </c>
      <c r="BH36" s="473">
        <v>45181.118055555555</v>
      </c>
      <c r="BI36" s="473">
        <f t="shared" si="14"/>
        <v>45182.826388888891</v>
      </c>
      <c r="BJ36" s="485">
        <v>45183.25</v>
      </c>
      <c r="BK36" s="485">
        <v>45183.416666666664</v>
      </c>
      <c r="BL36" s="480">
        <v>45183.326388888891</v>
      </c>
      <c r="BM36" s="473">
        <v>45184.4375</v>
      </c>
      <c r="BN36" s="473">
        <v>45186.597222222219</v>
      </c>
      <c r="BO36" s="473">
        <v>45186.78125</v>
      </c>
      <c r="BP36" s="473">
        <v>45186.802083333336</v>
      </c>
      <c r="BQ36" s="473">
        <v>45186.809027777781</v>
      </c>
      <c r="BR36" s="473">
        <v>45187.0625</v>
      </c>
      <c r="BU36" s="481">
        <f t="shared" ref="BU36:BU67" si="20">(BD36-BC36)*24</f>
        <v>34.583333333430346</v>
      </c>
      <c r="BV36" s="481">
        <f t="shared" ref="BV36:BV67" si="21">(BF36-BE36)*24</f>
        <v>3.3333333333721384</v>
      </c>
      <c r="BW36" s="481">
        <f t="shared" ref="BW36:BW67" si="22">(BI36-BH36)*24</f>
        <v>41.000000000058208</v>
      </c>
      <c r="BX36" s="481">
        <f t="shared" si="12"/>
        <v>24.500000000058208</v>
      </c>
      <c r="BY36" s="482">
        <f t="shared" ref="BY36:BY67" si="23">(BO36-BN36)*24</f>
        <v>4.4166666667442769</v>
      </c>
      <c r="BZ36" s="482">
        <f t="shared" ref="BZ36:BZ67" si="24">(BR36-BQ36)*24</f>
        <v>6.0833333332557231</v>
      </c>
      <c r="CA36" s="483">
        <f t="shared" ref="CA36:CA67" si="25">SUM(BU36:BZ36)/24</f>
        <v>4.7465277777882875</v>
      </c>
      <c r="CB36" s="483">
        <f t="shared" ref="CB36:CB67" si="26">BA36</f>
        <v>13.604166666664241</v>
      </c>
      <c r="CC36" s="484">
        <f t="shared" ref="CC36:CC67" si="27">CA36/CB36</f>
        <v>0.34890250127699607</v>
      </c>
    </row>
    <row r="37" spans="1:83" s="475" customFormat="1">
      <c r="A37" s="474">
        <f t="shared" si="0"/>
        <v>45181.138888888891</v>
      </c>
      <c r="B37" s="475" t="s">
        <v>228</v>
      </c>
      <c r="C37" s="475" t="s">
        <v>229</v>
      </c>
      <c r="D37" s="475" t="s">
        <v>197</v>
      </c>
      <c r="E37" s="476" t="s">
        <v>1283</v>
      </c>
      <c r="G37" s="472">
        <v>45179.520833333336</v>
      </c>
      <c r="H37" s="472">
        <v>45179.458333333336</v>
      </c>
      <c r="I37" s="475" t="s">
        <v>231</v>
      </c>
      <c r="J37" s="475" t="s">
        <v>192</v>
      </c>
      <c r="K37" s="475" t="s">
        <v>192</v>
      </c>
      <c r="L37" s="475" t="s">
        <v>2522</v>
      </c>
      <c r="M37" s="530"/>
      <c r="N37" s="475" t="s">
        <v>695</v>
      </c>
      <c r="O37" s="475" t="s">
        <v>281</v>
      </c>
      <c r="P37" s="475" t="s">
        <v>235</v>
      </c>
      <c r="Q37" s="477">
        <f>3102*2.4</f>
        <v>7444.7999999999993</v>
      </c>
      <c r="R37" s="477">
        <f>7450+100</f>
        <v>7550</v>
      </c>
      <c r="S37" s="477">
        <f>7524.261-5425.595</f>
        <v>2098.6660000000002</v>
      </c>
      <c r="T37" s="477"/>
      <c r="X37" s="477">
        <f t="shared" si="16"/>
        <v>2098.6660000000002</v>
      </c>
      <c r="AY37" s="473">
        <f t="shared" si="17"/>
        <v>45172.951388888891</v>
      </c>
      <c r="AZ37" s="473">
        <f t="shared" si="18"/>
        <v>45186.927083333336</v>
      </c>
      <c r="BA37" s="479">
        <f t="shared" si="19"/>
        <v>13.975694444445253</v>
      </c>
      <c r="BB37" s="473">
        <v>45172.951388888891</v>
      </c>
      <c r="BC37" s="473">
        <v>45176.579861111109</v>
      </c>
      <c r="BD37" s="473">
        <v>45178.458333333336</v>
      </c>
      <c r="BE37" s="473">
        <v>45181.138888888891</v>
      </c>
      <c r="BF37" s="473">
        <v>45181.409722222219</v>
      </c>
      <c r="BG37" s="473">
        <v>45181.416666666664</v>
      </c>
      <c r="BH37" s="473">
        <v>45181.416666666664</v>
      </c>
      <c r="BI37" s="473">
        <f t="shared" si="14"/>
        <v>45183.125</v>
      </c>
      <c r="BJ37" s="485">
        <v>45183.25</v>
      </c>
      <c r="BK37" s="485">
        <v>45183.416666666664</v>
      </c>
      <c r="BL37" s="473">
        <v>45183.291666666664</v>
      </c>
      <c r="BM37" s="473">
        <v>45184.645833333336</v>
      </c>
      <c r="BN37" s="473">
        <v>45186.84375</v>
      </c>
      <c r="BO37" s="473">
        <v>45186.902777777781</v>
      </c>
      <c r="BP37" s="473">
        <v>45186.927083333336</v>
      </c>
      <c r="BQ37" s="473">
        <v>45186.927083333336</v>
      </c>
      <c r="BR37" s="473">
        <v>45186.927083333336</v>
      </c>
      <c r="BU37" s="481">
        <f t="shared" si="20"/>
        <v>45.083333333430346</v>
      </c>
      <c r="BV37" s="481">
        <f t="shared" si="21"/>
        <v>6.4999999998835847</v>
      </c>
      <c r="BW37" s="481">
        <f t="shared" si="22"/>
        <v>41.000000000058208</v>
      </c>
      <c r="BX37" s="481">
        <f t="shared" si="12"/>
        <v>29.500000000116415</v>
      </c>
      <c r="BY37" s="482">
        <f t="shared" si="23"/>
        <v>1.4166666667442769</v>
      </c>
      <c r="BZ37" s="482">
        <f t="shared" si="24"/>
        <v>0</v>
      </c>
      <c r="CA37" s="483">
        <f t="shared" si="25"/>
        <v>5.1458333333430346</v>
      </c>
      <c r="CB37" s="483">
        <f t="shared" si="26"/>
        <v>13.975694444445253</v>
      </c>
      <c r="CC37" s="484">
        <f t="shared" si="27"/>
        <v>0.368198757764648</v>
      </c>
    </row>
    <row r="38" spans="1:83" s="475" customFormat="1" ht="14.4" customHeight="1">
      <c r="A38" s="474">
        <f t="shared" si="0"/>
        <v>45181.138888888891</v>
      </c>
      <c r="B38" s="475" t="s">
        <v>228</v>
      </c>
      <c r="C38" s="475" t="s">
        <v>229</v>
      </c>
      <c r="D38" s="475" t="s">
        <v>197</v>
      </c>
      <c r="E38" s="476" t="s">
        <v>230</v>
      </c>
      <c r="G38" s="472">
        <v>45180.333333333336</v>
      </c>
      <c r="H38" s="472">
        <v>45180.291666666664</v>
      </c>
      <c r="I38" s="475" t="s">
        <v>231</v>
      </c>
      <c r="J38" s="369" t="s">
        <v>192</v>
      </c>
      <c r="K38" s="369" t="s">
        <v>192</v>
      </c>
      <c r="L38" s="475" t="s">
        <v>2522</v>
      </c>
      <c r="M38" s="529"/>
      <c r="N38" s="475" t="s">
        <v>695</v>
      </c>
      <c r="O38" s="475" t="s">
        <v>281</v>
      </c>
      <c r="P38" s="475" t="s">
        <v>235</v>
      </c>
      <c r="Q38" s="477">
        <f>3102*2.4</f>
        <v>7444.7999999999993</v>
      </c>
      <c r="R38" s="477">
        <f>7450+100</f>
        <v>7550</v>
      </c>
      <c r="S38" s="477">
        <v>4700.3450000000003</v>
      </c>
      <c r="T38" s="477"/>
      <c r="X38" s="477">
        <f t="shared" si="16"/>
        <v>4700.3450000000003</v>
      </c>
      <c r="AY38" s="473">
        <f t="shared" si="17"/>
        <v>45172.951388888891</v>
      </c>
      <c r="AZ38" s="473">
        <f t="shared" si="18"/>
        <v>45192.916666666664</v>
      </c>
      <c r="BA38" s="479">
        <f t="shared" si="19"/>
        <v>19.965277777773736</v>
      </c>
      <c r="BB38" s="473">
        <v>45172.951388888891</v>
      </c>
      <c r="BC38" s="473">
        <v>45176.579861111109</v>
      </c>
      <c r="BD38" s="473">
        <v>45178.458333333336</v>
      </c>
      <c r="BE38" s="473">
        <v>45181.138888888891</v>
      </c>
      <c r="BF38" s="473">
        <v>45181.409722222219</v>
      </c>
      <c r="BG38" s="473">
        <v>45181.416666666664</v>
      </c>
      <c r="BH38" s="473">
        <v>45181.416666666664</v>
      </c>
      <c r="BI38" s="473">
        <f t="shared" si="14"/>
        <v>45183.125</v>
      </c>
      <c r="BJ38" s="485">
        <v>45183.25</v>
      </c>
      <c r="BK38" s="485">
        <v>45183.416666666664</v>
      </c>
      <c r="BL38" s="473">
        <v>45183.291666666664</v>
      </c>
      <c r="BM38" s="473">
        <v>45186.927083333336</v>
      </c>
      <c r="BN38" s="473">
        <v>45192.180555555555</v>
      </c>
      <c r="BO38" s="473">
        <v>45192.458333333336</v>
      </c>
      <c r="BP38" s="473">
        <v>45192.486111111109</v>
      </c>
      <c r="BQ38" s="473">
        <v>45192.677083333336</v>
      </c>
      <c r="BR38" s="473">
        <v>45192.916666666664</v>
      </c>
      <c r="BU38" s="481">
        <f t="shared" si="20"/>
        <v>45.083333333430346</v>
      </c>
      <c r="BV38" s="481">
        <f t="shared" si="21"/>
        <v>6.4999999998835847</v>
      </c>
      <c r="BW38" s="481">
        <f t="shared" si="22"/>
        <v>41.000000000058208</v>
      </c>
      <c r="BX38" s="481">
        <f t="shared" ref="BX38:BX69" si="28">(BM38-BK38)*24</f>
        <v>84.250000000116415</v>
      </c>
      <c r="BY38" s="482">
        <f t="shared" si="23"/>
        <v>6.6666666667442769</v>
      </c>
      <c r="BZ38" s="482">
        <f t="shared" si="24"/>
        <v>5.7499999998835847</v>
      </c>
      <c r="CA38" s="483">
        <f t="shared" si="25"/>
        <v>7.8854166666715173</v>
      </c>
      <c r="CB38" s="483">
        <f t="shared" si="26"/>
        <v>19.965277777773736</v>
      </c>
      <c r="CC38" s="484">
        <f t="shared" si="27"/>
        <v>0.39495652173945334</v>
      </c>
    </row>
    <row r="39" spans="1:83" s="475" customFormat="1">
      <c r="A39" s="474">
        <f t="shared" si="0"/>
        <v>45181.704861111109</v>
      </c>
      <c r="B39" s="475" t="s">
        <v>228</v>
      </c>
      <c r="C39" s="475" t="s">
        <v>229</v>
      </c>
      <c r="D39" s="475" t="s">
        <v>197</v>
      </c>
      <c r="E39" s="476" t="s">
        <v>2523</v>
      </c>
      <c r="G39" s="472">
        <v>45177.291666666664</v>
      </c>
      <c r="H39" s="472">
        <v>45177.29583333333</v>
      </c>
      <c r="I39" s="475" t="s">
        <v>243</v>
      </c>
      <c r="J39" s="475" t="s">
        <v>192</v>
      </c>
      <c r="K39" s="475" t="s">
        <v>192</v>
      </c>
      <c r="L39" s="475" t="s">
        <v>2527</v>
      </c>
      <c r="M39" s="529"/>
      <c r="N39" s="475" t="s">
        <v>2388</v>
      </c>
      <c r="O39" s="475" t="s">
        <v>289</v>
      </c>
      <c r="P39" s="475" t="s">
        <v>235</v>
      </c>
      <c r="Q39" s="477">
        <f>3107*2.4</f>
        <v>7456.7999999999993</v>
      </c>
      <c r="R39" s="477">
        <f>7500+100</f>
        <v>7600</v>
      </c>
      <c r="S39" s="477">
        <v>7423.723</v>
      </c>
      <c r="T39" s="477"/>
      <c r="X39" s="477">
        <f t="shared" si="16"/>
        <v>7423.723</v>
      </c>
      <c r="AY39" s="473">
        <f t="shared" si="17"/>
        <v>45175.690972222219</v>
      </c>
      <c r="AZ39" s="473">
        <f t="shared" si="18"/>
        <v>45187.461805555555</v>
      </c>
      <c r="BA39" s="479">
        <f t="shared" si="19"/>
        <v>11.770833333335759</v>
      </c>
      <c r="BB39" s="473">
        <v>45175.690972222219</v>
      </c>
      <c r="BC39" s="473">
        <v>45177.597222222219</v>
      </c>
      <c r="BD39" s="473">
        <v>45179.166666666664</v>
      </c>
      <c r="BE39" s="473">
        <v>45181.704861111109</v>
      </c>
      <c r="BF39" s="473">
        <v>45182</v>
      </c>
      <c r="BG39" s="473">
        <v>45182.006944444445</v>
      </c>
      <c r="BH39" s="473">
        <v>45182.006944444445</v>
      </c>
      <c r="BI39" s="473">
        <f t="shared" si="14"/>
        <v>45183.715277777781</v>
      </c>
      <c r="BJ39" s="485">
        <v>45184.25</v>
      </c>
      <c r="BK39" s="485">
        <v>45184.416666608799</v>
      </c>
      <c r="BL39" s="473">
        <v>45184.354166666664</v>
      </c>
      <c r="BM39" s="473">
        <v>45185.899305555555</v>
      </c>
      <c r="BN39" s="473">
        <v>45186.673611111109</v>
      </c>
      <c r="BO39" s="473">
        <v>45186.940972222219</v>
      </c>
      <c r="BP39" s="473">
        <v>45186.954861111109</v>
      </c>
      <c r="BQ39" s="473">
        <v>45187.0625</v>
      </c>
      <c r="BR39" s="473">
        <v>45187.461805555555</v>
      </c>
      <c r="BU39" s="481">
        <f t="shared" si="20"/>
        <v>37.666666666686069</v>
      </c>
      <c r="BV39" s="481">
        <f t="shared" si="21"/>
        <v>7.0833333333721384</v>
      </c>
      <c r="BW39" s="481">
        <f t="shared" si="22"/>
        <v>41.000000000058208</v>
      </c>
      <c r="BX39" s="481">
        <f t="shared" si="28"/>
        <v>35.58333472214872</v>
      </c>
      <c r="BY39" s="482">
        <f t="shared" si="23"/>
        <v>6.4166666666278616</v>
      </c>
      <c r="BZ39" s="482">
        <f t="shared" si="24"/>
        <v>9.5833333333139308</v>
      </c>
      <c r="CA39" s="483">
        <f t="shared" si="25"/>
        <v>5.7222222800919553</v>
      </c>
      <c r="CB39" s="483">
        <f t="shared" si="26"/>
        <v>11.770833333335759</v>
      </c>
      <c r="CC39" s="484">
        <f t="shared" si="27"/>
        <v>0.48613569813160579</v>
      </c>
    </row>
    <row r="40" spans="1:83" s="475" customFormat="1">
      <c r="A40" s="474">
        <f t="shared" si="0"/>
        <v>45182.029166666667</v>
      </c>
      <c r="B40" s="475" t="s">
        <v>228</v>
      </c>
      <c r="C40" s="475" t="s">
        <v>229</v>
      </c>
      <c r="D40" s="475" t="s">
        <v>197</v>
      </c>
      <c r="E40" s="476" t="s">
        <v>2523</v>
      </c>
      <c r="G40" s="472">
        <v>45177.291666666664</v>
      </c>
      <c r="H40" s="472">
        <v>45177.29583333333</v>
      </c>
      <c r="I40" s="475" t="s">
        <v>243</v>
      </c>
      <c r="J40" s="369" t="s">
        <v>192</v>
      </c>
      <c r="K40" s="369" t="s">
        <v>192</v>
      </c>
      <c r="L40" s="475" t="s">
        <v>2528</v>
      </c>
      <c r="M40" s="529"/>
      <c r="N40" s="475" t="s">
        <v>492</v>
      </c>
      <c r="O40" s="475" t="s">
        <v>493</v>
      </c>
      <c r="P40" s="475" t="s">
        <v>235</v>
      </c>
      <c r="Q40" s="477">
        <f>3152*2.4</f>
        <v>7564.7999999999993</v>
      </c>
      <c r="R40" s="477">
        <f>7600+100</f>
        <v>7700</v>
      </c>
      <c r="S40" s="477">
        <v>7416.8590000000004</v>
      </c>
      <c r="T40" s="477"/>
      <c r="X40" s="477">
        <f t="shared" si="16"/>
        <v>7416.8590000000004</v>
      </c>
      <c r="AY40" s="473">
        <f t="shared" si="17"/>
        <v>45173.902777777781</v>
      </c>
      <c r="AZ40" s="473">
        <f t="shared" si="18"/>
        <v>45188.479166666664</v>
      </c>
      <c r="BA40" s="479">
        <f t="shared" si="19"/>
        <v>14.57638888888323</v>
      </c>
      <c r="BB40" s="473">
        <v>45173.902777777781</v>
      </c>
      <c r="BC40" s="473">
        <v>45177.774305555555</v>
      </c>
      <c r="BD40" s="473">
        <v>45179.173611111109</v>
      </c>
      <c r="BE40" s="473">
        <v>45182.029166666667</v>
      </c>
      <c r="BF40" s="473">
        <v>45182.194444444445</v>
      </c>
      <c r="BG40" s="473">
        <v>45182.197916666664</v>
      </c>
      <c r="BH40" s="473">
        <v>45182.197916666664</v>
      </c>
      <c r="BI40" s="473">
        <f t="shared" si="14"/>
        <v>45183.90625</v>
      </c>
      <c r="BJ40" s="485">
        <v>45184.25</v>
      </c>
      <c r="BK40" s="485">
        <v>45184.416666608799</v>
      </c>
      <c r="BL40" s="480">
        <v>45184.28125</v>
      </c>
      <c r="BM40" s="473">
        <v>45185.875</v>
      </c>
      <c r="BN40" s="473">
        <v>45186.368055555555</v>
      </c>
      <c r="BO40" s="473">
        <v>45187.625</v>
      </c>
      <c r="BP40" s="473">
        <v>45187.635416666664</v>
      </c>
      <c r="BQ40" s="473">
        <v>45187.847222222219</v>
      </c>
      <c r="BR40" s="473">
        <v>45188.479166666664</v>
      </c>
      <c r="BS40" s="475" t="s">
        <v>2756</v>
      </c>
      <c r="BU40" s="481">
        <f t="shared" si="20"/>
        <v>33.583333333313931</v>
      </c>
      <c r="BV40" s="481">
        <f t="shared" si="21"/>
        <v>3.9666666666744277</v>
      </c>
      <c r="BW40" s="481">
        <f t="shared" si="22"/>
        <v>41.000000000058208</v>
      </c>
      <c r="BX40" s="481">
        <f t="shared" si="28"/>
        <v>35.000001388834789</v>
      </c>
      <c r="BY40" s="482">
        <f t="shared" si="23"/>
        <v>30.166666666686069</v>
      </c>
      <c r="BZ40" s="482">
        <f t="shared" si="24"/>
        <v>15.166666666686069</v>
      </c>
      <c r="CA40" s="483">
        <f t="shared" si="25"/>
        <v>6.6201389467605622</v>
      </c>
      <c r="CB40" s="483">
        <f t="shared" si="26"/>
        <v>14.57638888888323</v>
      </c>
      <c r="CC40" s="484">
        <f t="shared" si="27"/>
        <v>0.45416865570933351</v>
      </c>
    </row>
    <row r="41" spans="1:83" s="475" customFormat="1">
      <c r="A41" s="474">
        <f t="shared" si="0"/>
        <v>45182.223611111112</v>
      </c>
      <c r="B41" s="475" t="s">
        <v>228</v>
      </c>
      <c r="C41" s="475" t="s">
        <v>229</v>
      </c>
      <c r="D41" s="475" t="s">
        <v>197</v>
      </c>
      <c r="E41" s="476" t="s">
        <v>2523</v>
      </c>
      <c r="G41" s="472">
        <v>45177.291666666664</v>
      </c>
      <c r="H41" s="472">
        <v>45177.29583333333</v>
      </c>
      <c r="I41" s="475" t="s">
        <v>243</v>
      </c>
      <c r="J41" s="475" t="s">
        <v>192</v>
      </c>
      <c r="K41" s="475" t="s">
        <v>192</v>
      </c>
      <c r="L41" s="475" t="s">
        <v>2529</v>
      </c>
      <c r="M41" s="529"/>
      <c r="N41" s="475" t="s">
        <v>233</v>
      </c>
      <c r="O41" s="475" t="s">
        <v>234</v>
      </c>
      <c r="P41" s="475" t="s">
        <v>235</v>
      </c>
      <c r="Q41" s="477">
        <f>3215*2.4</f>
        <v>7716</v>
      </c>
      <c r="R41" s="477">
        <f>7750+100</f>
        <v>7850</v>
      </c>
      <c r="S41" s="477">
        <v>7604.8</v>
      </c>
      <c r="T41" s="477"/>
      <c r="U41" s="478"/>
      <c r="X41" s="477">
        <f t="shared" si="16"/>
        <v>7604.8</v>
      </c>
      <c r="AY41" s="473">
        <f t="shared" si="17"/>
        <v>45173.006944444445</v>
      </c>
      <c r="AZ41" s="473">
        <f t="shared" si="18"/>
        <v>45187.506944444445</v>
      </c>
      <c r="BA41" s="479">
        <f t="shared" si="19"/>
        <v>14.5</v>
      </c>
      <c r="BB41" s="473">
        <v>45173.006944444445</v>
      </c>
      <c r="BC41" s="473">
        <v>45177.570833333331</v>
      </c>
      <c r="BD41" s="473">
        <v>45179.1875</v>
      </c>
      <c r="BE41" s="473">
        <v>45182.223611111112</v>
      </c>
      <c r="BF41" s="473">
        <v>45182.434027777781</v>
      </c>
      <c r="BG41" s="473">
        <v>45182.4375</v>
      </c>
      <c r="BH41" s="473">
        <v>45182.4375</v>
      </c>
      <c r="BI41" s="473">
        <f t="shared" si="14"/>
        <v>45184.145833333336</v>
      </c>
      <c r="BJ41" s="485">
        <v>45184.25</v>
      </c>
      <c r="BK41" s="485">
        <v>45184.416666608799</v>
      </c>
      <c r="BL41" s="480">
        <v>45184.3125</v>
      </c>
      <c r="BM41" s="473">
        <v>45186.291666666664</v>
      </c>
      <c r="BN41" s="473">
        <v>45187.020833333336</v>
      </c>
      <c r="BO41" s="473">
        <v>45187.458333333336</v>
      </c>
      <c r="BP41" s="473">
        <v>45187.479166666664</v>
      </c>
      <c r="BQ41" s="473">
        <v>45187.506944444445</v>
      </c>
      <c r="BR41" s="473">
        <v>45187.506944444445</v>
      </c>
      <c r="BS41" s="475" t="s">
        <v>788</v>
      </c>
      <c r="BU41" s="481">
        <f t="shared" si="20"/>
        <v>38.800000000046566</v>
      </c>
      <c r="BV41" s="481">
        <f t="shared" si="21"/>
        <v>5.0500000000465661</v>
      </c>
      <c r="BW41" s="481">
        <f t="shared" si="22"/>
        <v>41.000000000058208</v>
      </c>
      <c r="BX41" s="481">
        <f t="shared" si="28"/>
        <v>45.000001388776582</v>
      </c>
      <c r="BY41" s="482">
        <f t="shared" si="23"/>
        <v>10.5</v>
      </c>
      <c r="BZ41" s="482">
        <f t="shared" si="24"/>
        <v>0</v>
      </c>
      <c r="CA41" s="483">
        <f t="shared" si="25"/>
        <v>5.8479167245386634</v>
      </c>
      <c r="CB41" s="483">
        <f t="shared" si="26"/>
        <v>14.5</v>
      </c>
      <c r="CC41" s="484">
        <f t="shared" si="27"/>
        <v>0.40330460169232163</v>
      </c>
    </row>
    <row r="42" spans="1:83" s="475" customFormat="1">
      <c r="A42" s="474">
        <f t="shared" si="0"/>
        <v>45182.461805555555</v>
      </c>
      <c r="B42" s="475" t="s">
        <v>228</v>
      </c>
      <c r="C42" s="475" t="s">
        <v>229</v>
      </c>
      <c r="D42" s="475" t="s">
        <v>197</v>
      </c>
      <c r="E42" s="476" t="s">
        <v>2563</v>
      </c>
      <c r="G42" s="472">
        <v>45178.875</v>
      </c>
      <c r="H42" s="472">
        <v>45178.762499999997</v>
      </c>
      <c r="I42" s="475" t="s">
        <v>243</v>
      </c>
      <c r="J42" s="369" t="s">
        <v>192</v>
      </c>
      <c r="K42" s="369" t="s">
        <v>192</v>
      </c>
      <c r="L42" s="475" t="s">
        <v>2567</v>
      </c>
      <c r="M42" s="529"/>
      <c r="N42" s="475" t="s">
        <v>361</v>
      </c>
      <c r="O42" s="475" t="s">
        <v>362</v>
      </c>
      <c r="P42" s="475" t="s">
        <v>235</v>
      </c>
      <c r="Q42" s="477">
        <f>3039*2.4</f>
        <v>7293.5999999999995</v>
      </c>
      <c r="R42" s="477">
        <f>7300+100</f>
        <v>7400</v>
      </c>
      <c r="S42" s="477">
        <v>7248.9369999999999</v>
      </c>
      <c r="T42" s="477"/>
      <c r="U42" s="478"/>
      <c r="X42" s="477">
        <f t="shared" si="16"/>
        <v>7248.9369999999999</v>
      </c>
      <c r="AY42" s="473">
        <f t="shared" si="17"/>
        <v>45175.25</v>
      </c>
      <c r="AZ42" s="473">
        <f t="shared" si="18"/>
        <v>45193.125</v>
      </c>
      <c r="BA42" s="479">
        <f t="shared" si="19"/>
        <v>17.875</v>
      </c>
      <c r="BB42" s="473">
        <v>45175.25</v>
      </c>
      <c r="BC42" s="473">
        <v>45177.590277777781</v>
      </c>
      <c r="BD42" s="473">
        <v>45179.229166666664</v>
      </c>
      <c r="BE42" s="473">
        <v>45182.461805555555</v>
      </c>
      <c r="BF42" s="473">
        <v>45182.625</v>
      </c>
      <c r="BG42" s="473">
        <v>45182.631944444445</v>
      </c>
      <c r="BH42" s="473">
        <v>45182.631944444445</v>
      </c>
      <c r="BI42" s="473">
        <f t="shared" si="14"/>
        <v>45184.340277777781</v>
      </c>
      <c r="BJ42" s="485">
        <v>45184.25</v>
      </c>
      <c r="BK42" s="485">
        <v>45184.416666608799</v>
      </c>
      <c r="BL42" s="473">
        <v>45184.388888888891</v>
      </c>
      <c r="BM42" s="473">
        <v>45186.229166666664</v>
      </c>
      <c r="BN42" s="473">
        <v>45192.059027777781</v>
      </c>
      <c r="BO42" s="473">
        <v>45192.260416666664</v>
      </c>
      <c r="BP42" s="473">
        <v>45192.364583333336</v>
      </c>
      <c r="BQ42" s="473">
        <v>45192.652777777781</v>
      </c>
      <c r="BR42" s="473">
        <v>45193.125</v>
      </c>
      <c r="BU42" s="481">
        <f t="shared" si="20"/>
        <v>39.333333333197515</v>
      </c>
      <c r="BV42" s="481">
        <f t="shared" si="21"/>
        <v>3.9166666666860692</v>
      </c>
      <c r="BW42" s="481">
        <f t="shared" si="22"/>
        <v>41.000000000058208</v>
      </c>
      <c r="BX42" s="481">
        <f t="shared" si="28"/>
        <v>43.500001388776582</v>
      </c>
      <c r="BY42" s="482">
        <f t="shared" si="23"/>
        <v>4.8333333331975155</v>
      </c>
      <c r="BZ42" s="482">
        <f t="shared" si="24"/>
        <v>11.333333333255723</v>
      </c>
      <c r="CA42" s="483">
        <f t="shared" si="25"/>
        <v>5.9965278356321505</v>
      </c>
      <c r="CB42" s="483">
        <f t="shared" si="26"/>
        <v>17.875</v>
      </c>
      <c r="CC42" s="484">
        <f t="shared" si="27"/>
        <v>0.33547008870669376</v>
      </c>
    </row>
    <row r="43" spans="1:83" s="369" customFormat="1" ht="14.4" customHeight="1">
      <c r="A43" s="521">
        <f t="shared" si="0"/>
        <v>45182.663194444445</v>
      </c>
      <c r="B43" s="369" t="s">
        <v>228</v>
      </c>
      <c r="C43" s="369" t="s">
        <v>229</v>
      </c>
      <c r="D43" s="369" t="s">
        <v>197</v>
      </c>
      <c r="E43" s="271" t="s">
        <v>2563</v>
      </c>
      <c r="G43" s="492">
        <v>45178.875</v>
      </c>
      <c r="H43" s="492">
        <v>45178.762499999997</v>
      </c>
      <c r="I43" s="369" t="s">
        <v>243</v>
      </c>
      <c r="J43" s="369" t="s">
        <v>192</v>
      </c>
      <c r="K43" s="369" t="s">
        <v>192</v>
      </c>
      <c r="L43" s="369" t="s">
        <v>2569</v>
      </c>
      <c r="M43" s="529"/>
      <c r="N43" s="369" t="s">
        <v>380</v>
      </c>
      <c r="O43" s="369" t="s">
        <v>381</v>
      </c>
      <c r="P43" s="369" t="s">
        <v>235</v>
      </c>
      <c r="Q43" s="520">
        <f>3271*2.4</f>
        <v>7850.4</v>
      </c>
      <c r="R43" s="520">
        <f>7900+100</f>
        <v>8000</v>
      </c>
      <c r="S43" s="520">
        <v>7908.0209999999997</v>
      </c>
      <c r="U43" s="528"/>
      <c r="X43" s="520">
        <f t="shared" si="16"/>
        <v>7908.0209999999997</v>
      </c>
      <c r="AY43" s="522">
        <f t="shared" si="17"/>
        <v>45173.958333333336</v>
      </c>
      <c r="AZ43" s="522">
        <f t="shared" si="18"/>
        <v>45193.715277777781</v>
      </c>
      <c r="BA43" s="523">
        <f t="shared" si="19"/>
        <v>19.756944444445253</v>
      </c>
      <c r="BB43" s="522">
        <v>45173.958333333336</v>
      </c>
      <c r="BC43" s="522">
        <v>45177.569444444445</v>
      </c>
      <c r="BD43" s="522">
        <v>45179.25</v>
      </c>
      <c r="BE43" s="522">
        <v>45182.663194444445</v>
      </c>
      <c r="BF43" s="522">
        <v>45182.883333333331</v>
      </c>
      <c r="BG43" s="522">
        <v>45182.892361111109</v>
      </c>
      <c r="BH43" s="522">
        <v>45183.263888888891</v>
      </c>
      <c r="BI43" s="522">
        <f t="shared" si="14"/>
        <v>45184.972222222226</v>
      </c>
      <c r="BJ43" s="524">
        <v>45185.25</v>
      </c>
      <c r="BK43" s="524">
        <v>45185.416666608799</v>
      </c>
      <c r="BL43" s="522">
        <v>45185.277777777781</v>
      </c>
      <c r="BM43" s="522">
        <v>45186.958333333336</v>
      </c>
      <c r="BN43" s="522">
        <v>45192.822916666664</v>
      </c>
      <c r="BO43" s="522">
        <v>45193.055555555555</v>
      </c>
      <c r="BP43" s="522">
        <v>45193.079861111109</v>
      </c>
      <c r="BQ43" s="522">
        <v>45193.083333333336</v>
      </c>
      <c r="BR43" s="522">
        <v>45193.715277777781</v>
      </c>
      <c r="BU43" s="525">
        <f t="shared" si="20"/>
        <v>40.333333333313931</v>
      </c>
      <c r="BV43" s="525">
        <f t="shared" si="21"/>
        <v>5.2833333332673647</v>
      </c>
      <c r="BW43" s="525">
        <f t="shared" si="22"/>
        <v>41.000000000058208</v>
      </c>
      <c r="BX43" s="525">
        <f t="shared" si="28"/>
        <v>37.000001388892997</v>
      </c>
      <c r="BY43" s="526">
        <f t="shared" si="23"/>
        <v>5.5833333333721384</v>
      </c>
      <c r="BZ43" s="526">
        <f t="shared" si="24"/>
        <v>15.166666666686069</v>
      </c>
      <c r="CA43" s="304">
        <f t="shared" si="25"/>
        <v>6.0152778356496128</v>
      </c>
      <c r="CB43" s="304">
        <f t="shared" si="26"/>
        <v>19.756944444445253</v>
      </c>
      <c r="CC43" s="305">
        <f t="shared" si="27"/>
        <v>0.30446397480966919</v>
      </c>
    </row>
    <row r="44" spans="1:83" s="475" customFormat="1">
      <c r="A44" s="474">
        <f t="shared" si="0"/>
        <v>45182.916666666664</v>
      </c>
      <c r="B44" s="475" t="s">
        <v>228</v>
      </c>
      <c r="C44" s="475" t="s">
        <v>229</v>
      </c>
      <c r="D44" s="475" t="s">
        <v>197</v>
      </c>
      <c r="E44" s="476" t="s">
        <v>2563</v>
      </c>
      <c r="G44" s="472">
        <v>45178.875</v>
      </c>
      <c r="H44" s="472">
        <v>45178.762499999997</v>
      </c>
      <c r="I44" s="475" t="s">
        <v>243</v>
      </c>
      <c r="J44" s="369" t="s">
        <v>192</v>
      </c>
      <c r="K44" s="369" t="s">
        <v>192</v>
      </c>
      <c r="L44" s="475" t="s">
        <v>2572</v>
      </c>
      <c r="M44" s="529"/>
      <c r="N44" s="475" t="s">
        <v>367</v>
      </c>
      <c r="O44" s="475" t="s">
        <v>368</v>
      </c>
      <c r="P44" s="475" t="s">
        <v>235</v>
      </c>
      <c r="Q44" s="477">
        <f>4111*2.4</f>
        <v>9866.4</v>
      </c>
      <c r="R44" s="477">
        <f>9900+100</f>
        <v>10000</v>
      </c>
      <c r="S44" s="477">
        <v>9900.2340000000004</v>
      </c>
      <c r="T44" s="477"/>
      <c r="U44" s="478"/>
      <c r="X44" s="477">
        <f t="shared" si="16"/>
        <v>9900.2340000000004</v>
      </c>
      <c r="AY44" s="473">
        <f t="shared" si="17"/>
        <v>45175.590277777781</v>
      </c>
      <c r="AZ44" s="473">
        <f t="shared" si="18"/>
        <v>45194.3125</v>
      </c>
      <c r="BA44" s="479">
        <f t="shared" si="19"/>
        <v>18.722222222218988</v>
      </c>
      <c r="BB44" s="473">
        <v>45175.590277777781</v>
      </c>
      <c r="BC44" s="473">
        <v>45177.892361111109</v>
      </c>
      <c r="BD44" s="473">
        <v>45179.416666666664</v>
      </c>
      <c r="BE44" s="473">
        <v>45182.916666666664</v>
      </c>
      <c r="BF44" s="473">
        <v>45183.111111111109</v>
      </c>
      <c r="BG44" s="473">
        <v>45183.121527777781</v>
      </c>
      <c r="BH44" s="473">
        <v>45183.121527777781</v>
      </c>
      <c r="BI44" s="473">
        <f t="shared" si="14"/>
        <v>45184.829861111117</v>
      </c>
      <c r="BJ44" s="485">
        <v>45185.25</v>
      </c>
      <c r="BK44" s="485">
        <v>45185.416666608799</v>
      </c>
      <c r="BL44" s="473">
        <v>45185.371527777781</v>
      </c>
      <c r="BM44" s="473">
        <v>45187.083333333336</v>
      </c>
      <c r="BN44" s="473">
        <v>45193.5625</v>
      </c>
      <c r="BO44" s="473">
        <v>45193.875</v>
      </c>
      <c r="BP44" s="473">
        <v>45193.888888888891</v>
      </c>
      <c r="BQ44" s="473">
        <v>45193.892361111109</v>
      </c>
      <c r="BR44" s="473">
        <v>45194.3125</v>
      </c>
      <c r="BU44" s="481">
        <f t="shared" si="20"/>
        <v>36.583333333313931</v>
      </c>
      <c r="BV44" s="481">
        <f t="shared" si="21"/>
        <v>4.6666666666860692</v>
      </c>
      <c r="BW44" s="481">
        <f t="shared" si="22"/>
        <v>41.000000000058208</v>
      </c>
      <c r="BX44" s="481">
        <f t="shared" si="28"/>
        <v>40.000001388892997</v>
      </c>
      <c r="BY44" s="482">
        <f t="shared" si="23"/>
        <v>7.5</v>
      </c>
      <c r="BZ44" s="482">
        <f t="shared" si="24"/>
        <v>10.083333333372138</v>
      </c>
      <c r="CA44" s="483">
        <f t="shared" si="25"/>
        <v>5.8263889467634726</v>
      </c>
      <c r="CB44" s="483">
        <f t="shared" si="26"/>
        <v>18.722222222218988</v>
      </c>
      <c r="CC44" s="484">
        <f t="shared" si="27"/>
        <v>0.31120178350670807</v>
      </c>
    </row>
    <row r="45" spans="1:83" s="369" customFormat="1">
      <c r="A45" s="192">
        <f t="shared" si="0"/>
        <v>45183.149305555555</v>
      </c>
      <c r="B45" s="126" t="s">
        <v>228</v>
      </c>
      <c r="C45" s="126" t="s">
        <v>229</v>
      </c>
      <c r="D45" s="126" t="s">
        <v>197</v>
      </c>
      <c r="E45" s="65" t="s">
        <v>2563</v>
      </c>
      <c r="F45" s="126"/>
      <c r="G45" s="316">
        <v>45178.875</v>
      </c>
      <c r="H45" s="316">
        <v>45178.762499999997</v>
      </c>
      <c r="I45" s="126" t="s">
        <v>243</v>
      </c>
      <c r="J45" s="369" t="s">
        <v>192</v>
      </c>
      <c r="K45" s="369" t="s">
        <v>192</v>
      </c>
      <c r="L45" s="126" t="s">
        <v>2573</v>
      </c>
      <c r="M45" s="529"/>
      <c r="N45" s="126" t="s">
        <v>2404</v>
      </c>
      <c r="O45" s="126" t="s">
        <v>2405</v>
      </c>
      <c r="P45" s="126" t="s">
        <v>235</v>
      </c>
      <c r="Q45" s="181">
        <f>4337*2.4</f>
        <v>10408.799999999999</v>
      </c>
      <c r="R45" s="181">
        <f>10450+100</f>
        <v>10550</v>
      </c>
      <c r="S45" s="181">
        <v>10350.566000000001</v>
      </c>
      <c r="T45" s="181"/>
      <c r="U45" s="172"/>
      <c r="V45" s="126"/>
      <c r="W45" s="126"/>
      <c r="X45" s="181">
        <f t="shared" si="16"/>
        <v>10350.566000000001</v>
      </c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65">
        <f t="shared" si="17"/>
        <v>45175.25</v>
      </c>
      <c r="AZ45" s="165">
        <f t="shared" si="18"/>
        <v>45195.416666666664</v>
      </c>
      <c r="BA45" s="137">
        <f t="shared" si="19"/>
        <v>20.166666666664241</v>
      </c>
      <c r="BB45" s="165">
        <v>45175.25</v>
      </c>
      <c r="BC45" s="165">
        <v>45177.625</v>
      </c>
      <c r="BD45" s="165">
        <v>45179.666666666664</v>
      </c>
      <c r="BE45" s="165">
        <v>45183.149305555555</v>
      </c>
      <c r="BF45" s="165">
        <v>45183.465277777781</v>
      </c>
      <c r="BG45" s="165">
        <v>45183.472222222219</v>
      </c>
      <c r="BH45" s="165">
        <v>45183.472222222219</v>
      </c>
      <c r="BI45" s="165">
        <f t="shared" si="14"/>
        <v>45185.180555555555</v>
      </c>
      <c r="BJ45" s="362">
        <v>45185.25</v>
      </c>
      <c r="BK45" s="362">
        <v>45185.416666608799</v>
      </c>
      <c r="BL45" s="165">
        <v>45185.409722222219</v>
      </c>
      <c r="BM45" s="165">
        <v>45187.854166666664</v>
      </c>
      <c r="BN45" s="165">
        <v>45193.944444444445</v>
      </c>
      <c r="BO45" s="165">
        <v>45194.28125</v>
      </c>
      <c r="BP45" s="165">
        <v>45194.3125</v>
      </c>
      <c r="BQ45" s="165">
        <v>45194.75</v>
      </c>
      <c r="BR45" s="165">
        <v>45195.416666666664</v>
      </c>
      <c r="BS45" s="126"/>
      <c r="BT45" s="126"/>
      <c r="BU45" s="136">
        <f t="shared" si="20"/>
        <v>48.999999999941792</v>
      </c>
      <c r="BV45" s="136">
        <f t="shared" si="21"/>
        <v>7.5833333334303461</v>
      </c>
      <c r="BW45" s="136">
        <f t="shared" si="22"/>
        <v>41.000000000058208</v>
      </c>
      <c r="BX45" s="136">
        <f t="shared" si="28"/>
        <v>58.500001388776582</v>
      </c>
      <c r="BY45" s="135">
        <f t="shared" si="23"/>
        <v>8.0833333333139308</v>
      </c>
      <c r="BZ45" s="135">
        <f t="shared" si="24"/>
        <v>15.999999999941792</v>
      </c>
      <c r="CA45" s="134">
        <f t="shared" si="25"/>
        <v>7.5069445023109438</v>
      </c>
      <c r="CB45" s="134">
        <f t="shared" si="26"/>
        <v>20.166666666664241</v>
      </c>
      <c r="CC45" s="133">
        <f t="shared" si="27"/>
        <v>0.37224518193281886</v>
      </c>
      <c r="CD45" s="126"/>
      <c r="CE45" s="126"/>
    </row>
    <row r="46" spans="1:83" s="369" customFormat="1">
      <c r="A46" s="474">
        <f t="shared" si="0"/>
        <v>45183.493055555555</v>
      </c>
      <c r="B46" s="475" t="s">
        <v>228</v>
      </c>
      <c r="C46" s="475" t="s">
        <v>229</v>
      </c>
      <c r="D46" s="475" t="s">
        <v>197</v>
      </c>
      <c r="E46" s="476" t="s">
        <v>2563</v>
      </c>
      <c r="F46" s="475"/>
      <c r="G46" s="472">
        <v>45178.875</v>
      </c>
      <c r="H46" s="472">
        <v>45178.762499999997</v>
      </c>
      <c r="I46" s="475" t="s">
        <v>243</v>
      </c>
      <c r="J46" s="369" t="s">
        <v>192</v>
      </c>
      <c r="K46" s="369" t="s">
        <v>192</v>
      </c>
      <c r="L46" s="475" t="s">
        <v>2566</v>
      </c>
      <c r="M46" s="529"/>
      <c r="N46" s="475" t="s">
        <v>257</v>
      </c>
      <c r="O46" s="475" t="s">
        <v>258</v>
      </c>
      <c r="P46" s="475" t="s">
        <v>235</v>
      </c>
      <c r="Q46" s="477">
        <f>3139*2.4</f>
        <v>7533.5999999999995</v>
      </c>
      <c r="R46" s="477">
        <f>7550+100</f>
        <v>7650</v>
      </c>
      <c r="S46" s="477">
        <v>7525.8</v>
      </c>
      <c r="T46" s="477"/>
      <c r="U46" s="478"/>
      <c r="V46" s="475"/>
      <c r="W46" s="475"/>
      <c r="X46" s="477">
        <f t="shared" si="16"/>
        <v>7525.8</v>
      </c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  <c r="AP46" s="475"/>
      <c r="AQ46" s="475"/>
      <c r="AR46" s="475"/>
      <c r="AS46" s="475"/>
      <c r="AT46" s="475"/>
      <c r="AU46" s="475"/>
      <c r="AV46" s="475"/>
      <c r="AW46" s="475"/>
      <c r="AX46" s="475"/>
      <c r="AY46" s="473">
        <f t="shared" si="17"/>
        <v>45177.166666666664</v>
      </c>
      <c r="AZ46" s="473">
        <f t="shared" si="18"/>
        <v>45192.458333333336</v>
      </c>
      <c r="BA46" s="479">
        <f t="shared" si="19"/>
        <v>15.291666666671517</v>
      </c>
      <c r="BB46" s="473">
        <v>45177.166666666664</v>
      </c>
      <c r="BC46" s="473">
        <v>45178.513888888891</v>
      </c>
      <c r="BD46" s="473">
        <v>45180.048611111109</v>
      </c>
      <c r="BE46" s="473">
        <v>45183.493055555555</v>
      </c>
      <c r="BF46" s="473">
        <v>45183.649305555555</v>
      </c>
      <c r="BG46" s="473">
        <v>45183.659722222219</v>
      </c>
      <c r="BH46" s="473">
        <v>45183.659722222219</v>
      </c>
      <c r="BI46" s="473">
        <f t="shared" si="14"/>
        <v>45185.368055555555</v>
      </c>
      <c r="BJ46" s="485">
        <v>45185.25</v>
      </c>
      <c r="BK46" s="485">
        <v>45185.416666608799</v>
      </c>
      <c r="BL46" s="473">
        <v>45185.329861111109</v>
      </c>
      <c r="BM46" s="473">
        <v>45187.041666666664</v>
      </c>
      <c r="BN46" s="473">
        <v>45191.694444444445</v>
      </c>
      <c r="BO46" s="473">
        <v>45191.96875</v>
      </c>
      <c r="BP46" s="473">
        <v>45191.982638888891</v>
      </c>
      <c r="BQ46" s="473">
        <v>45192.038194444445</v>
      </c>
      <c r="BR46" s="473">
        <v>45192.458333333336</v>
      </c>
      <c r="BS46" s="475"/>
      <c r="BT46" s="475"/>
      <c r="BU46" s="481">
        <f t="shared" si="20"/>
        <v>36.833333333255723</v>
      </c>
      <c r="BV46" s="481">
        <f t="shared" si="21"/>
        <v>3.75</v>
      </c>
      <c r="BW46" s="481">
        <f t="shared" si="22"/>
        <v>41.000000000058208</v>
      </c>
      <c r="BX46" s="481">
        <f t="shared" si="28"/>
        <v>39.000001388776582</v>
      </c>
      <c r="BY46" s="482">
        <f t="shared" si="23"/>
        <v>6.5833333333139308</v>
      </c>
      <c r="BZ46" s="482">
        <f t="shared" si="24"/>
        <v>10.083333333372138</v>
      </c>
      <c r="CA46" s="483">
        <f t="shared" si="25"/>
        <v>5.7187500578656909</v>
      </c>
      <c r="CB46" s="483">
        <f t="shared" si="26"/>
        <v>15.291666666671517</v>
      </c>
      <c r="CC46" s="484">
        <f t="shared" si="27"/>
        <v>0.37397820541889115</v>
      </c>
      <c r="CD46" s="475"/>
      <c r="CE46" s="475"/>
    </row>
    <row r="47" spans="1:83" s="369" customFormat="1">
      <c r="A47" s="474">
        <f t="shared" si="0"/>
        <v>45183.680555555555</v>
      </c>
      <c r="B47" s="475" t="s">
        <v>228</v>
      </c>
      <c r="C47" s="475" t="s">
        <v>229</v>
      </c>
      <c r="D47" s="475" t="s">
        <v>197</v>
      </c>
      <c r="E47" s="476" t="s">
        <v>2563</v>
      </c>
      <c r="F47" s="475"/>
      <c r="G47" s="472">
        <v>45178.875</v>
      </c>
      <c r="H47" s="472">
        <v>45178.762499999997</v>
      </c>
      <c r="I47" s="475" t="s">
        <v>243</v>
      </c>
      <c r="J47" s="369" t="s">
        <v>192</v>
      </c>
      <c r="K47" s="369" t="s">
        <v>192</v>
      </c>
      <c r="L47" s="475" t="s">
        <v>2568</v>
      </c>
      <c r="M47" s="529"/>
      <c r="N47" s="475" t="s">
        <v>686</v>
      </c>
      <c r="O47" s="475" t="s">
        <v>1186</v>
      </c>
      <c r="P47" s="475" t="s">
        <v>240</v>
      </c>
      <c r="Q47" s="477">
        <f>3136*2.4</f>
        <v>7526.4</v>
      </c>
      <c r="R47" s="477">
        <f>7550+100</f>
        <v>7650</v>
      </c>
      <c r="S47" s="477">
        <v>7548.8379999999997</v>
      </c>
      <c r="T47" s="477"/>
      <c r="U47" s="478"/>
      <c r="V47" s="475"/>
      <c r="W47" s="475"/>
      <c r="X47" s="475"/>
      <c r="Y47" s="477">
        <f>S47</f>
        <v>7548.8379999999997</v>
      </c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  <c r="AS47" s="475"/>
      <c r="AT47" s="475"/>
      <c r="AU47" s="475"/>
      <c r="AV47" s="475"/>
      <c r="AW47" s="475"/>
      <c r="AX47" s="475"/>
      <c r="AY47" s="473">
        <f t="shared" si="17"/>
        <v>45170.395833333336</v>
      </c>
      <c r="AZ47" s="473">
        <f t="shared" si="18"/>
        <v>45193.270833333336</v>
      </c>
      <c r="BA47" s="479">
        <f t="shared" si="19"/>
        <v>22.875</v>
      </c>
      <c r="BB47" s="473">
        <v>45170.395833333336</v>
      </c>
      <c r="BC47" s="473">
        <v>45178.541666666664</v>
      </c>
      <c r="BD47" s="473">
        <v>45180.0625</v>
      </c>
      <c r="BE47" s="473">
        <v>45183.680555555555</v>
      </c>
      <c r="BF47" s="473">
        <v>45183.892361111109</v>
      </c>
      <c r="BG47" s="473">
        <v>45183.899305555555</v>
      </c>
      <c r="BH47" s="473">
        <v>45183.899305555555</v>
      </c>
      <c r="BI47" s="473">
        <f t="shared" si="14"/>
        <v>45185.607638888891</v>
      </c>
      <c r="BJ47" s="485">
        <v>45185.25</v>
      </c>
      <c r="BK47" s="485">
        <v>45185.416666608799</v>
      </c>
      <c r="BL47" s="473">
        <v>45185.4375</v>
      </c>
      <c r="BM47" s="473">
        <v>45187.4375</v>
      </c>
      <c r="BN47" s="473">
        <v>45192.4375</v>
      </c>
      <c r="BO47" s="473">
        <v>45192.756944444445</v>
      </c>
      <c r="BP47" s="473">
        <v>45192.770833333336</v>
      </c>
      <c r="BQ47" s="473">
        <v>45192.774305555555</v>
      </c>
      <c r="BR47" s="473">
        <v>45193.270833333336</v>
      </c>
      <c r="BS47" s="475"/>
      <c r="BT47" s="475"/>
      <c r="BU47" s="481">
        <f t="shared" si="20"/>
        <v>36.500000000058208</v>
      </c>
      <c r="BV47" s="481">
        <f t="shared" si="21"/>
        <v>5.0833333333139308</v>
      </c>
      <c r="BW47" s="481">
        <f t="shared" si="22"/>
        <v>41.000000000058208</v>
      </c>
      <c r="BX47" s="481">
        <f t="shared" si="28"/>
        <v>48.500001388834789</v>
      </c>
      <c r="BY47" s="482">
        <f t="shared" si="23"/>
        <v>7.6666666666860692</v>
      </c>
      <c r="BZ47" s="482">
        <f t="shared" si="24"/>
        <v>11.916666666744277</v>
      </c>
      <c r="CA47" s="483">
        <f t="shared" si="25"/>
        <v>6.2777778356539784</v>
      </c>
      <c r="CB47" s="483">
        <f t="shared" si="26"/>
        <v>22.875</v>
      </c>
      <c r="CC47" s="484">
        <f t="shared" si="27"/>
        <v>0.27443837532913568</v>
      </c>
      <c r="CD47" s="475"/>
      <c r="CE47" s="475"/>
    </row>
    <row r="48" spans="1:83" s="369" customFormat="1">
      <c r="A48" s="521">
        <f t="shared" si="0"/>
        <v>45183.920138888891</v>
      </c>
      <c r="B48" s="369" t="s">
        <v>228</v>
      </c>
      <c r="C48" s="369" t="s">
        <v>229</v>
      </c>
      <c r="D48" s="369" t="s">
        <v>197</v>
      </c>
      <c r="E48" s="271" t="s">
        <v>2563</v>
      </c>
      <c r="G48" s="492">
        <v>45178.875</v>
      </c>
      <c r="H48" s="492">
        <v>45178.762499999997</v>
      </c>
      <c r="I48" s="369" t="s">
        <v>243</v>
      </c>
      <c r="J48" s="369" t="s">
        <v>192</v>
      </c>
      <c r="K48" s="369" t="s">
        <v>192</v>
      </c>
      <c r="L48" s="369" t="s">
        <v>2571</v>
      </c>
      <c r="M48" s="529"/>
      <c r="N48" s="369" t="s">
        <v>213</v>
      </c>
      <c r="O48" s="369" t="s">
        <v>214</v>
      </c>
      <c r="P48" s="369" t="s">
        <v>240</v>
      </c>
      <c r="Q48" s="520">
        <f>3113*2.4</f>
        <v>7471.2</v>
      </c>
      <c r="R48" s="520">
        <f>7500+100</f>
        <v>7600</v>
      </c>
      <c r="S48" s="520">
        <v>7586.4719999999998</v>
      </c>
      <c r="T48" s="520"/>
      <c r="U48" s="528"/>
      <c r="Y48" s="520">
        <f>S48</f>
        <v>7586.4719999999998</v>
      </c>
      <c r="AY48" s="522">
        <f t="shared" si="17"/>
        <v>45176.420138888891</v>
      </c>
      <c r="AZ48" s="522">
        <f t="shared" si="18"/>
        <v>45194.104166666664</v>
      </c>
      <c r="BA48" s="523">
        <f t="shared" si="19"/>
        <v>17.684027777773736</v>
      </c>
      <c r="BB48" s="522">
        <v>45176.420138888891</v>
      </c>
      <c r="BC48" s="522">
        <v>45178.899305555555</v>
      </c>
      <c r="BD48" s="522">
        <v>45180.348611111112</v>
      </c>
      <c r="BE48" s="522">
        <v>45183.920138888891</v>
      </c>
      <c r="BF48" s="522">
        <v>45184.071527777778</v>
      </c>
      <c r="BG48" s="522">
        <v>45184.072916666664</v>
      </c>
      <c r="BH48" s="522">
        <v>45184.072916666664</v>
      </c>
      <c r="BI48" s="522">
        <f t="shared" si="14"/>
        <v>45185.78125</v>
      </c>
      <c r="BJ48" s="524">
        <v>45186.25</v>
      </c>
      <c r="BK48" s="524">
        <v>45186.416666608799</v>
      </c>
      <c r="BL48" s="522">
        <v>45186.402777777781</v>
      </c>
      <c r="BM48" s="522">
        <v>45189.354166666664</v>
      </c>
      <c r="BN48" s="522">
        <v>45193.173611111109</v>
      </c>
      <c r="BO48" s="522">
        <v>45193.489583333336</v>
      </c>
      <c r="BP48" s="522">
        <v>45193.5</v>
      </c>
      <c r="BQ48" s="522">
        <v>45193.722222222219</v>
      </c>
      <c r="BR48" s="522">
        <v>45194.104166666664</v>
      </c>
      <c r="BU48" s="525">
        <f t="shared" si="20"/>
        <v>34.78333333338378</v>
      </c>
      <c r="BV48" s="525">
        <f t="shared" si="21"/>
        <v>3.6333333333022892</v>
      </c>
      <c r="BW48" s="525">
        <f t="shared" si="22"/>
        <v>41.000000000058208</v>
      </c>
      <c r="BX48" s="525">
        <f t="shared" si="28"/>
        <v>70.500001388776582</v>
      </c>
      <c r="BY48" s="526">
        <f t="shared" si="23"/>
        <v>7.5833333334303461</v>
      </c>
      <c r="BZ48" s="526">
        <f t="shared" si="24"/>
        <v>9.1666666666860692</v>
      </c>
      <c r="CA48" s="304">
        <f t="shared" si="25"/>
        <v>6.9444445023182197</v>
      </c>
      <c r="CB48" s="304">
        <f t="shared" si="26"/>
        <v>17.684027777773736</v>
      </c>
      <c r="CC48" s="305">
        <f t="shared" si="27"/>
        <v>0.39269586033145581</v>
      </c>
    </row>
    <row r="49" spans="1:83" s="369" customFormat="1">
      <c r="A49" s="192"/>
      <c r="B49" s="126"/>
      <c r="C49" s="126"/>
      <c r="D49" s="126" t="s">
        <v>215</v>
      </c>
      <c r="E49" s="65"/>
      <c r="F49" s="126"/>
      <c r="G49" s="166"/>
      <c r="H49" s="166"/>
      <c r="I49" s="126"/>
      <c r="J49" s="126" t="s">
        <v>2757</v>
      </c>
      <c r="K49" s="126"/>
      <c r="L49" s="126" t="s">
        <v>2758</v>
      </c>
      <c r="M49" s="167"/>
      <c r="N49" s="126" t="s">
        <v>1230</v>
      </c>
      <c r="O49" s="126" t="s">
        <v>1231</v>
      </c>
      <c r="P49" s="126"/>
      <c r="Q49" s="181">
        <f>3107*2.4</f>
        <v>7456.7999999999993</v>
      </c>
      <c r="R49" s="181">
        <f>7500+100</f>
        <v>7600</v>
      </c>
      <c r="S49" s="181"/>
      <c r="T49" s="181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65">
        <f t="shared" si="17"/>
        <v>45176.520833333336</v>
      </c>
      <c r="AZ49" s="165">
        <f t="shared" si="18"/>
        <v>45200</v>
      </c>
      <c r="BA49" s="137">
        <f t="shared" si="19"/>
        <v>23.479166666664241</v>
      </c>
      <c r="BB49" s="165">
        <v>45176.520833333336</v>
      </c>
      <c r="BC49" s="165"/>
      <c r="BD49" s="165"/>
      <c r="BE49" s="165"/>
      <c r="BF49" s="165"/>
      <c r="BG49" s="165"/>
      <c r="BH49" s="165"/>
      <c r="BI49" s="165"/>
      <c r="BJ49" s="362"/>
      <c r="BK49" s="362"/>
      <c r="BL49" s="166"/>
      <c r="BM49" s="165"/>
      <c r="BN49" s="165"/>
      <c r="BO49" s="165"/>
      <c r="BP49" s="165"/>
      <c r="BQ49" s="165"/>
      <c r="BR49" s="165">
        <v>45200</v>
      </c>
      <c r="BS49" s="126"/>
      <c r="BT49" s="126"/>
      <c r="BU49" s="136">
        <f t="shared" si="20"/>
        <v>0</v>
      </c>
      <c r="BV49" s="136">
        <f t="shared" si="21"/>
        <v>0</v>
      </c>
      <c r="BW49" s="136">
        <f t="shared" si="22"/>
        <v>0</v>
      </c>
      <c r="BX49" s="136">
        <f t="shared" si="28"/>
        <v>0</v>
      </c>
      <c r="BY49" s="135">
        <f t="shared" si="23"/>
        <v>0</v>
      </c>
      <c r="BZ49" s="135">
        <f t="shared" si="24"/>
        <v>1084800</v>
      </c>
      <c r="CA49" s="134">
        <f t="shared" si="25"/>
        <v>45200</v>
      </c>
      <c r="CB49" s="134">
        <f t="shared" si="26"/>
        <v>23.479166666664241</v>
      </c>
      <c r="CC49" s="133">
        <f t="shared" si="27"/>
        <v>1925.1109139309885</v>
      </c>
      <c r="CD49" s="126"/>
      <c r="CE49" s="126"/>
    </row>
    <row r="50" spans="1:83" s="475" customFormat="1">
      <c r="A50" s="474">
        <f t="shared" ref="A50:A74" si="29">BE50</f>
        <v>45184.099305555559</v>
      </c>
      <c r="B50" s="475" t="s">
        <v>228</v>
      </c>
      <c r="C50" s="475" t="s">
        <v>229</v>
      </c>
      <c r="D50" s="475" t="s">
        <v>197</v>
      </c>
      <c r="E50" s="476" t="s">
        <v>1828</v>
      </c>
      <c r="G50" s="473">
        <v>45183.75</v>
      </c>
      <c r="H50" s="473">
        <v>45183.75</v>
      </c>
      <c r="I50" s="475" t="s">
        <v>243</v>
      </c>
      <c r="J50" s="369" t="s">
        <v>192</v>
      </c>
      <c r="K50" s="369" t="s">
        <v>192</v>
      </c>
      <c r="L50" s="475" t="s">
        <v>2759</v>
      </c>
      <c r="M50" s="530"/>
      <c r="N50" s="475" t="s">
        <v>2277</v>
      </c>
      <c r="O50" s="475" t="s">
        <v>2278</v>
      </c>
      <c r="P50" s="475" t="s">
        <v>235</v>
      </c>
      <c r="Q50" s="477">
        <f>3099 *2.4</f>
        <v>7437.5999999999995</v>
      </c>
      <c r="R50" s="477">
        <f>7500+100</f>
        <v>7600</v>
      </c>
      <c r="S50" s="477">
        <v>7481.2240000000002</v>
      </c>
      <c r="T50" s="477"/>
      <c r="U50" s="478"/>
      <c r="X50" s="477">
        <f>S50</f>
        <v>7481.2240000000002</v>
      </c>
      <c r="AY50" s="473">
        <f t="shared" si="17"/>
        <v>45179</v>
      </c>
      <c r="AZ50" s="473">
        <f t="shared" si="18"/>
        <v>45192.104166666664</v>
      </c>
      <c r="BA50" s="479">
        <f t="shared" si="19"/>
        <v>13.104166666664241</v>
      </c>
      <c r="BB50" s="473">
        <v>45179</v>
      </c>
      <c r="BC50" s="473">
        <v>45179.767361111109</v>
      </c>
      <c r="BD50" s="473">
        <v>45181.541666666664</v>
      </c>
      <c r="BE50" s="473">
        <v>45184.099305555559</v>
      </c>
      <c r="BF50" s="473">
        <v>45184.225694444445</v>
      </c>
      <c r="BG50" s="473">
        <v>45184.232638888891</v>
      </c>
      <c r="BH50" s="473">
        <f>BG50+(0.5/24)</f>
        <v>45184.253472222226</v>
      </c>
      <c r="BI50" s="473">
        <f t="shared" ref="BI50:BI74" si="30">BH50+(41/24)</f>
        <v>45185.961805555562</v>
      </c>
      <c r="BJ50" s="485">
        <v>45186.25</v>
      </c>
      <c r="BK50" s="485">
        <v>45186.416666608799</v>
      </c>
      <c r="BL50" s="473">
        <v>45186.392361111109</v>
      </c>
      <c r="BM50" s="473">
        <v>45188</v>
      </c>
      <c r="BN50" s="473">
        <v>45190.097222222219</v>
      </c>
      <c r="BO50" s="473">
        <v>45191.427083333336</v>
      </c>
      <c r="BP50" s="473">
        <v>45191.454861111109</v>
      </c>
      <c r="BQ50" s="473">
        <v>45191.458333333336</v>
      </c>
      <c r="BR50" s="473">
        <v>45192.104166666664</v>
      </c>
      <c r="BU50" s="481">
        <f t="shared" si="20"/>
        <v>42.583333333313931</v>
      </c>
      <c r="BV50" s="481">
        <f t="shared" si="21"/>
        <v>3.0333333332673647</v>
      </c>
      <c r="BW50" s="481">
        <f t="shared" si="22"/>
        <v>41.000000000058208</v>
      </c>
      <c r="BX50" s="481">
        <f t="shared" si="28"/>
        <v>38.000001388834789</v>
      </c>
      <c r="BY50" s="482">
        <f t="shared" si="23"/>
        <v>31.916666666802485</v>
      </c>
      <c r="BZ50" s="482">
        <f t="shared" si="24"/>
        <v>15.499999999883585</v>
      </c>
      <c r="CA50" s="483">
        <f t="shared" si="25"/>
        <v>7.1680556134233484</v>
      </c>
      <c r="CB50" s="483">
        <f t="shared" si="26"/>
        <v>13.104166666664241</v>
      </c>
      <c r="CC50" s="484">
        <f t="shared" si="27"/>
        <v>0.54700583377485601</v>
      </c>
    </row>
    <row r="51" spans="1:83" s="475" customFormat="1">
      <c r="A51" s="474">
        <f t="shared" si="29"/>
        <v>45184.256944444445</v>
      </c>
      <c r="B51" s="475" t="s">
        <v>228</v>
      </c>
      <c r="C51" s="475" t="s">
        <v>229</v>
      </c>
      <c r="D51" s="475" t="s">
        <v>215</v>
      </c>
      <c r="E51" s="476" t="s">
        <v>1828</v>
      </c>
      <c r="G51" s="473">
        <v>45183.75</v>
      </c>
      <c r="H51" s="473">
        <v>45183.75</v>
      </c>
      <c r="I51" s="475" t="s">
        <v>243</v>
      </c>
      <c r="J51" s="369" t="s">
        <v>192</v>
      </c>
      <c r="K51" s="369" t="s">
        <v>192</v>
      </c>
      <c r="L51" s="475" t="s">
        <v>2760</v>
      </c>
      <c r="M51" s="530"/>
      <c r="N51" s="475" t="s">
        <v>390</v>
      </c>
      <c r="O51" s="475" t="s">
        <v>391</v>
      </c>
      <c r="P51" s="475" t="s">
        <v>235</v>
      </c>
      <c r="Q51" s="477">
        <f>3097*2.4</f>
        <v>7432.7999999999993</v>
      </c>
      <c r="R51" s="477">
        <f>7450+100</f>
        <v>7550</v>
      </c>
      <c r="S51" s="477">
        <v>7516.9920000000002</v>
      </c>
      <c r="T51" s="477"/>
      <c r="X51" s="477">
        <f>S51</f>
        <v>7516.9920000000002</v>
      </c>
      <c r="AY51" s="473">
        <f t="shared" si="17"/>
        <v>45179.256944444445</v>
      </c>
      <c r="AZ51" s="473">
        <f t="shared" si="18"/>
        <v>45192</v>
      </c>
      <c r="BA51" s="479">
        <f t="shared" si="19"/>
        <v>12.743055555554747</v>
      </c>
      <c r="BB51" s="473">
        <v>45179.256944444445</v>
      </c>
      <c r="BC51" s="473">
        <v>45180.763888888891</v>
      </c>
      <c r="BD51" s="473">
        <v>45182.458333333336</v>
      </c>
      <c r="BE51" s="473">
        <v>45184.256944444445</v>
      </c>
      <c r="BF51" s="473">
        <v>45184.447916666664</v>
      </c>
      <c r="BG51" s="473">
        <v>45184.458333333336</v>
      </c>
      <c r="BH51" s="473">
        <v>45184.458333333336</v>
      </c>
      <c r="BI51" s="473">
        <f t="shared" si="30"/>
        <v>45186.166666666672</v>
      </c>
      <c r="BJ51" s="485">
        <v>45186.25</v>
      </c>
      <c r="BK51" s="485">
        <v>45186.416666608799</v>
      </c>
      <c r="BL51" s="473">
        <v>45186.291666666664</v>
      </c>
      <c r="BM51" s="473">
        <v>45187.916666666664</v>
      </c>
      <c r="BN51" s="473">
        <v>45191.204861111109</v>
      </c>
      <c r="BO51" s="473">
        <v>45191.503472222219</v>
      </c>
      <c r="BP51" s="473">
        <v>45191.527777777781</v>
      </c>
      <c r="BQ51" s="473">
        <v>45191.53125</v>
      </c>
      <c r="BR51" s="473">
        <v>45192</v>
      </c>
      <c r="BU51" s="481">
        <f t="shared" si="20"/>
        <v>40.666666666686069</v>
      </c>
      <c r="BV51" s="481">
        <f t="shared" si="21"/>
        <v>4.5833333332557231</v>
      </c>
      <c r="BW51" s="481">
        <f t="shared" si="22"/>
        <v>41.000000000058208</v>
      </c>
      <c r="BX51" s="481">
        <f t="shared" si="28"/>
        <v>36.000001388776582</v>
      </c>
      <c r="BY51" s="482">
        <f t="shared" si="23"/>
        <v>7.1666666666278616</v>
      </c>
      <c r="BZ51" s="482">
        <f t="shared" si="24"/>
        <v>11.25</v>
      </c>
      <c r="CA51" s="483">
        <f t="shared" si="25"/>
        <v>5.8611111689751851</v>
      </c>
      <c r="CB51" s="483">
        <f t="shared" si="26"/>
        <v>12.743055555554747</v>
      </c>
      <c r="CC51" s="484">
        <f t="shared" si="27"/>
        <v>0.45994550862805461</v>
      </c>
    </row>
    <row r="52" spans="1:83" s="369" customFormat="1">
      <c r="A52" s="521">
        <f t="shared" si="29"/>
        <v>45185.135416666664</v>
      </c>
      <c r="B52" s="369" t="s">
        <v>228</v>
      </c>
      <c r="C52" s="369" t="s">
        <v>229</v>
      </c>
      <c r="D52" s="369" t="s">
        <v>197</v>
      </c>
      <c r="E52" s="271" t="s">
        <v>230</v>
      </c>
      <c r="G52" s="492">
        <v>45180.333333333336</v>
      </c>
      <c r="H52" s="492">
        <v>45180.291666666664</v>
      </c>
      <c r="I52" s="369" t="s">
        <v>231</v>
      </c>
      <c r="J52" s="369" t="s">
        <v>192</v>
      </c>
      <c r="K52" s="369" t="s">
        <v>192</v>
      </c>
      <c r="L52" s="369" t="s">
        <v>2538</v>
      </c>
      <c r="M52" s="529"/>
      <c r="N52" s="369" t="s">
        <v>371</v>
      </c>
      <c r="O52" s="369" t="s">
        <v>372</v>
      </c>
      <c r="P52" s="369" t="s">
        <v>418</v>
      </c>
      <c r="Q52" s="520">
        <f>3117*2.4</f>
        <v>7480.7999999999993</v>
      </c>
      <c r="R52" s="520">
        <f>7500+100</f>
        <v>7600</v>
      </c>
      <c r="S52" s="520">
        <v>7538.6509999999998</v>
      </c>
      <c r="T52" s="520"/>
      <c r="X52" s="520">
        <f>S52*0.55</f>
        <v>4146.2580500000004</v>
      </c>
      <c r="Y52" s="520">
        <f>S52*0.45</f>
        <v>3392.3929499999999</v>
      </c>
      <c r="AY52" s="522">
        <f t="shared" si="17"/>
        <v>45180.972916666666</v>
      </c>
      <c r="AZ52" s="522">
        <f t="shared" si="18"/>
        <v>45193.36041666667</v>
      </c>
      <c r="BA52" s="523">
        <f t="shared" si="19"/>
        <v>12.387500000004366</v>
      </c>
      <c r="BB52" s="522">
        <v>45180.972916666666</v>
      </c>
      <c r="BC52" s="522">
        <v>45181.761805555558</v>
      </c>
      <c r="BD52" s="522">
        <v>45183.463888888888</v>
      </c>
      <c r="BE52" s="522">
        <v>45185.135416666664</v>
      </c>
      <c r="BF52" s="522">
        <v>45185.256944444445</v>
      </c>
      <c r="BG52" s="522">
        <v>45185.263888888891</v>
      </c>
      <c r="BH52" s="522">
        <v>45185.271527777775</v>
      </c>
      <c r="BI52" s="522">
        <f t="shared" si="30"/>
        <v>45186.979861111111</v>
      </c>
      <c r="BJ52" s="524">
        <v>45189.25</v>
      </c>
      <c r="BK52" s="524">
        <v>45189.416666608799</v>
      </c>
      <c r="BL52" s="524">
        <v>45189.364583333336</v>
      </c>
      <c r="BM52" s="522">
        <v>45190.597222222219</v>
      </c>
      <c r="BN52" s="522">
        <v>45192.555555555555</v>
      </c>
      <c r="BO52" s="522">
        <v>45192.982638888891</v>
      </c>
      <c r="BP52" s="522">
        <v>45193.020833333336</v>
      </c>
      <c r="BQ52" s="522">
        <v>45193.020833333336</v>
      </c>
      <c r="BR52" s="522">
        <v>45193.36041666667</v>
      </c>
      <c r="BU52" s="525">
        <f t="shared" si="20"/>
        <v>40.849999999918509</v>
      </c>
      <c r="BV52" s="525">
        <f t="shared" si="21"/>
        <v>2.9166666667442769</v>
      </c>
      <c r="BW52" s="525">
        <f t="shared" si="22"/>
        <v>41.000000000058208</v>
      </c>
      <c r="BX52" s="525">
        <f t="shared" si="28"/>
        <v>28.333334722090513</v>
      </c>
      <c r="BY52" s="526">
        <f t="shared" si="23"/>
        <v>10.250000000058208</v>
      </c>
      <c r="BZ52" s="526">
        <f t="shared" si="24"/>
        <v>8.1500000000232831</v>
      </c>
      <c r="CA52" s="304">
        <f t="shared" si="25"/>
        <v>5.4791667245372082</v>
      </c>
      <c r="CB52" s="304">
        <f t="shared" si="26"/>
        <v>12.387500000004366</v>
      </c>
      <c r="CC52" s="305">
        <f t="shared" si="27"/>
        <v>0.44231416545188917</v>
      </c>
    </row>
    <row r="53" spans="1:83" s="475" customFormat="1">
      <c r="A53" s="474">
        <f t="shared" si="29"/>
        <v>45185.661111111112</v>
      </c>
      <c r="B53" s="475" t="s">
        <v>228</v>
      </c>
      <c r="C53" s="475" t="s">
        <v>229</v>
      </c>
      <c r="D53" s="475" t="s">
        <v>215</v>
      </c>
      <c r="E53" s="476" t="s">
        <v>1827</v>
      </c>
      <c r="G53" s="472">
        <v>45178.572916666664</v>
      </c>
      <c r="H53" s="472">
        <v>45178.55</v>
      </c>
      <c r="I53" s="475" t="s">
        <v>231</v>
      </c>
      <c r="J53" s="369" t="s">
        <v>192</v>
      </c>
      <c r="K53" s="369" t="s">
        <v>192</v>
      </c>
      <c r="L53" s="475" t="s">
        <v>2546</v>
      </c>
      <c r="M53" s="529"/>
      <c r="N53" s="475" t="s">
        <v>274</v>
      </c>
      <c r="O53" s="475" t="s">
        <v>1093</v>
      </c>
      <c r="P53" s="475" t="s">
        <v>240</v>
      </c>
      <c r="Q53" s="477">
        <f>3136*2.4</f>
        <v>7526.4</v>
      </c>
      <c r="R53" s="477">
        <f>7550+100</f>
        <v>7650</v>
      </c>
      <c r="S53" s="477">
        <v>7450.4189999999999</v>
      </c>
      <c r="T53" s="477"/>
      <c r="Y53" s="477">
        <f t="shared" ref="Y53:Y59" si="31">S53</f>
        <v>7450.4189999999999</v>
      </c>
      <c r="AY53" s="473">
        <f t="shared" si="17"/>
        <v>45181.114583333336</v>
      </c>
      <c r="AZ53" s="473">
        <f t="shared" si="18"/>
        <v>45192.493055555555</v>
      </c>
      <c r="BA53" s="479">
        <f t="shared" si="19"/>
        <v>11.378472222218988</v>
      </c>
      <c r="BB53" s="473">
        <v>45181.114583333336</v>
      </c>
      <c r="BC53" s="473">
        <v>45182.510416666664</v>
      </c>
      <c r="BD53" s="473">
        <v>45184.097222222219</v>
      </c>
      <c r="BE53" s="473">
        <v>45185.661111111112</v>
      </c>
      <c r="BF53" s="473">
        <v>45185.861111111109</v>
      </c>
      <c r="BG53" s="473">
        <v>45185.868055555555</v>
      </c>
      <c r="BH53" s="473">
        <v>45185.875</v>
      </c>
      <c r="BI53" s="473">
        <f t="shared" si="30"/>
        <v>45187.583333333336</v>
      </c>
      <c r="BJ53" s="485">
        <v>45188.25</v>
      </c>
      <c r="BK53" s="485">
        <v>45188.416666608799</v>
      </c>
      <c r="BL53" s="473">
        <v>45188.28125</v>
      </c>
      <c r="BM53" s="473">
        <v>45189.354166666664</v>
      </c>
      <c r="BN53" s="473">
        <v>45191.739583333336</v>
      </c>
      <c r="BO53" s="473">
        <v>45192.034722222219</v>
      </c>
      <c r="BP53" s="473">
        <v>45192.055555555555</v>
      </c>
      <c r="BQ53" s="473">
        <v>45192.145833333336</v>
      </c>
      <c r="BR53" s="473">
        <v>45192.493055555555</v>
      </c>
      <c r="BU53" s="481">
        <f t="shared" si="20"/>
        <v>38.083333333313931</v>
      </c>
      <c r="BV53" s="481">
        <f t="shared" si="21"/>
        <v>4.7999999999301508</v>
      </c>
      <c r="BW53" s="481">
        <f t="shared" si="22"/>
        <v>41.000000000058208</v>
      </c>
      <c r="BX53" s="481">
        <f t="shared" si="28"/>
        <v>22.500001388776582</v>
      </c>
      <c r="BY53" s="482">
        <f t="shared" si="23"/>
        <v>7.0833333331975155</v>
      </c>
      <c r="BZ53" s="482">
        <f t="shared" si="24"/>
        <v>8.3333333332557231</v>
      </c>
      <c r="CA53" s="483">
        <f t="shared" si="25"/>
        <v>5.0750000578555046</v>
      </c>
      <c r="CB53" s="483">
        <f t="shared" si="26"/>
        <v>11.378472222218988</v>
      </c>
      <c r="CC53" s="484">
        <f t="shared" si="27"/>
        <v>0.44601770419981712</v>
      </c>
    </row>
    <row r="54" spans="1:83" s="475" customFormat="1">
      <c r="A54" s="474">
        <f t="shared" si="29"/>
        <v>45185.885416666664</v>
      </c>
      <c r="B54" s="475" t="s">
        <v>228</v>
      </c>
      <c r="C54" s="475" t="s">
        <v>229</v>
      </c>
      <c r="D54" s="475" t="s">
        <v>197</v>
      </c>
      <c r="E54" s="476" t="s">
        <v>1827</v>
      </c>
      <c r="G54" s="472">
        <v>45178.572916666664</v>
      </c>
      <c r="H54" s="472">
        <v>45178.55</v>
      </c>
      <c r="I54" s="475" t="s">
        <v>231</v>
      </c>
      <c r="J54" s="369" t="s">
        <v>192</v>
      </c>
      <c r="K54" s="369" t="s">
        <v>192</v>
      </c>
      <c r="L54" s="475" t="s">
        <v>2545</v>
      </c>
      <c r="M54" s="530"/>
      <c r="N54" s="475" t="s">
        <v>201</v>
      </c>
      <c r="O54" s="475" t="s">
        <v>202</v>
      </c>
      <c r="P54" s="475" t="s">
        <v>240</v>
      </c>
      <c r="Q54" s="477">
        <f>3141*2.4</f>
        <v>7538.4</v>
      </c>
      <c r="R54" s="477">
        <f>7550+100</f>
        <v>7650</v>
      </c>
      <c r="S54" s="477">
        <v>7588.8339999999998</v>
      </c>
      <c r="T54" s="477"/>
      <c r="Y54" s="477">
        <f t="shared" si="31"/>
        <v>7588.8339999999998</v>
      </c>
      <c r="AY54" s="473">
        <f t="shared" si="17"/>
        <v>45181.256944444445</v>
      </c>
      <c r="AZ54" s="473">
        <f t="shared" si="18"/>
        <v>45192.083333333336</v>
      </c>
      <c r="BA54" s="479">
        <f t="shared" si="19"/>
        <v>10.826388888890506</v>
      </c>
      <c r="BB54" s="473">
        <v>45181.256944444445</v>
      </c>
      <c r="BC54" s="473">
        <v>45182.559027777781</v>
      </c>
      <c r="BD54" s="473">
        <v>45184.149305555555</v>
      </c>
      <c r="BE54" s="473">
        <v>45185.885416666664</v>
      </c>
      <c r="BF54" s="473">
        <v>45186.041666666664</v>
      </c>
      <c r="BG54" s="473">
        <v>45186.048611111109</v>
      </c>
      <c r="BH54" s="473">
        <v>45186.055555555555</v>
      </c>
      <c r="BI54" s="473">
        <f t="shared" si="30"/>
        <v>45187.763888888891</v>
      </c>
      <c r="BJ54" s="485">
        <v>45188.25</v>
      </c>
      <c r="BK54" s="485">
        <v>45188.416666608799</v>
      </c>
      <c r="BL54" s="473">
        <v>45188.277777777781</v>
      </c>
      <c r="BM54" s="473">
        <v>45189.326388888891</v>
      </c>
      <c r="BN54" s="473">
        <v>45191.402777777781</v>
      </c>
      <c r="BO54" s="473">
        <v>45191.677083333336</v>
      </c>
      <c r="BP54" s="473">
        <v>45191.697916666664</v>
      </c>
      <c r="BQ54" s="473">
        <v>45192.701388888891</v>
      </c>
      <c r="BR54" s="473">
        <v>45192.083333333336</v>
      </c>
      <c r="BU54" s="481">
        <f t="shared" si="20"/>
        <v>38.166666666569654</v>
      </c>
      <c r="BV54" s="481">
        <f t="shared" si="21"/>
        <v>3.75</v>
      </c>
      <c r="BW54" s="481">
        <f t="shared" si="22"/>
        <v>41.000000000058208</v>
      </c>
      <c r="BX54" s="481">
        <f t="shared" si="28"/>
        <v>21.833334722206928</v>
      </c>
      <c r="BY54" s="482">
        <f t="shared" si="23"/>
        <v>6.5833333333139308</v>
      </c>
      <c r="BZ54" s="482">
        <f t="shared" si="24"/>
        <v>-14.833333333313931</v>
      </c>
      <c r="CA54" s="483">
        <f t="shared" si="25"/>
        <v>4.0208333912014496</v>
      </c>
      <c r="CB54" s="483">
        <f t="shared" si="26"/>
        <v>10.826388888890506</v>
      </c>
      <c r="CC54" s="484">
        <f t="shared" si="27"/>
        <v>0.37139192324113041</v>
      </c>
    </row>
    <row r="55" spans="1:83" s="475" customFormat="1">
      <c r="A55" s="521">
        <f t="shared" si="29"/>
        <v>45186.263888888891</v>
      </c>
      <c r="B55" s="369" t="s">
        <v>228</v>
      </c>
      <c r="C55" s="369" t="s">
        <v>229</v>
      </c>
      <c r="D55" s="369" t="s">
        <v>197</v>
      </c>
      <c r="E55" s="271" t="s">
        <v>1827</v>
      </c>
      <c r="F55" s="369"/>
      <c r="G55" s="492">
        <v>45178.572916666664</v>
      </c>
      <c r="H55" s="492">
        <v>45178.55</v>
      </c>
      <c r="I55" s="369" t="s">
        <v>231</v>
      </c>
      <c r="J55" s="369" t="s">
        <v>192</v>
      </c>
      <c r="K55" s="369" t="s">
        <v>192</v>
      </c>
      <c r="L55" s="369" t="s">
        <v>2551</v>
      </c>
      <c r="M55" s="529"/>
      <c r="N55" s="369" t="s">
        <v>334</v>
      </c>
      <c r="O55" s="369" t="s">
        <v>335</v>
      </c>
      <c r="P55" s="369" t="s">
        <v>240</v>
      </c>
      <c r="Q55" s="520">
        <f>3242 *2.4</f>
        <v>7780.7999999999993</v>
      </c>
      <c r="R55" s="520">
        <f>7800+100</f>
        <v>7900</v>
      </c>
      <c r="S55" s="520">
        <f>7711.092-692.801</f>
        <v>7018.2909999999993</v>
      </c>
      <c r="T55" s="520"/>
      <c r="U55" s="369"/>
      <c r="V55" s="369"/>
      <c r="W55" s="369"/>
      <c r="X55" s="369"/>
      <c r="Y55" s="520">
        <f t="shared" si="31"/>
        <v>7018.2909999999993</v>
      </c>
      <c r="Z55" s="369"/>
      <c r="AA55" s="369"/>
      <c r="AB55" s="369"/>
      <c r="AC55" s="369"/>
      <c r="AD55" s="369"/>
      <c r="AE55" s="369"/>
      <c r="AF55" s="369"/>
      <c r="AG55" s="369"/>
      <c r="AH55" s="369"/>
      <c r="AI55" s="369"/>
      <c r="AJ55" s="369"/>
      <c r="AK55" s="369"/>
      <c r="AL55" s="369"/>
      <c r="AM55" s="369"/>
      <c r="AN55" s="369"/>
      <c r="AO55" s="369"/>
      <c r="AP55" s="369"/>
      <c r="AQ55" s="369"/>
      <c r="AR55" s="369"/>
      <c r="AS55" s="369"/>
      <c r="AT55" s="369"/>
      <c r="AU55" s="369"/>
      <c r="AV55" s="369"/>
      <c r="AW55" s="369"/>
      <c r="AX55" s="369"/>
      <c r="AY55" s="522">
        <f t="shared" si="17"/>
        <v>45180.375</v>
      </c>
      <c r="AZ55" s="522">
        <f t="shared" si="18"/>
        <v>45194.166666666664</v>
      </c>
      <c r="BA55" s="523">
        <f t="shared" si="19"/>
        <v>13.791666666664241</v>
      </c>
      <c r="BB55" s="522">
        <v>45180.375</v>
      </c>
      <c r="BC55" s="522">
        <v>45182.510416666664</v>
      </c>
      <c r="BD55" s="522">
        <v>45184.416666666664</v>
      </c>
      <c r="BE55" s="522">
        <v>45186.263888888891</v>
      </c>
      <c r="BF55" s="522">
        <v>45186.479166666664</v>
      </c>
      <c r="BG55" s="522">
        <v>45186.482638888891</v>
      </c>
      <c r="BH55" s="522">
        <v>45186.486111111109</v>
      </c>
      <c r="BI55" s="522">
        <f t="shared" si="30"/>
        <v>45188.194444444445</v>
      </c>
      <c r="BJ55" s="524">
        <v>45189.25</v>
      </c>
      <c r="BK55" s="524">
        <v>45189.416666608799</v>
      </c>
      <c r="BL55" s="524">
        <v>45189.350694444445</v>
      </c>
      <c r="BM55" s="522">
        <v>45190.5625</v>
      </c>
      <c r="BN55" s="522">
        <v>45193.440972222219</v>
      </c>
      <c r="BO55" s="522">
        <v>45193.71875</v>
      </c>
      <c r="BP55" s="522">
        <v>45193.788194444445</v>
      </c>
      <c r="BQ55" s="522">
        <v>45193.788194444445</v>
      </c>
      <c r="BR55" s="522">
        <v>45194.166666666664</v>
      </c>
      <c r="BS55" s="369"/>
      <c r="BT55" s="369"/>
      <c r="BU55" s="525">
        <f t="shared" si="20"/>
        <v>45.75</v>
      </c>
      <c r="BV55" s="525">
        <f t="shared" si="21"/>
        <v>5.1666666665696539</v>
      </c>
      <c r="BW55" s="525">
        <f t="shared" si="22"/>
        <v>41.000000000058208</v>
      </c>
      <c r="BX55" s="525">
        <f t="shared" si="28"/>
        <v>27.500001388834789</v>
      </c>
      <c r="BY55" s="526">
        <f t="shared" si="23"/>
        <v>6.6666666667442769</v>
      </c>
      <c r="BZ55" s="526">
        <f t="shared" si="24"/>
        <v>9.0833333332557231</v>
      </c>
      <c r="CA55" s="304">
        <f t="shared" si="25"/>
        <v>5.6319445023109438</v>
      </c>
      <c r="CB55" s="304">
        <f t="shared" si="26"/>
        <v>13.791666666664241</v>
      </c>
      <c r="CC55" s="305">
        <f t="shared" si="27"/>
        <v>0.40835851376279886</v>
      </c>
      <c r="CD55" s="369"/>
      <c r="CE55" s="369"/>
    </row>
    <row r="56" spans="1:83" s="475" customFormat="1">
      <c r="A56" s="474">
        <f t="shared" si="29"/>
        <v>45186.079861111109</v>
      </c>
      <c r="B56" s="475" t="s">
        <v>228</v>
      </c>
      <c r="C56" s="475" t="s">
        <v>229</v>
      </c>
      <c r="D56" s="475" t="s">
        <v>215</v>
      </c>
      <c r="E56" s="476" t="s">
        <v>1827</v>
      </c>
      <c r="G56" s="472">
        <v>45178.572916666664</v>
      </c>
      <c r="H56" s="472">
        <v>45178.55</v>
      </c>
      <c r="I56" s="475" t="s">
        <v>231</v>
      </c>
      <c r="J56" s="369" t="s">
        <v>192</v>
      </c>
      <c r="K56" s="369" t="s">
        <v>192</v>
      </c>
      <c r="L56" s="475" t="s">
        <v>2547</v>
      </c>
      <c r="M56" s="529"/>
      <c r="N56" s="475" t="s">
        <v>774</v>
      </c>
      <c r="O56" s="475" t="s">
        <v>423</v>
      </c>
      <c r="P56" s="475" t="s">
        <v>240</v>
      </c>
      <c r="Q56" s="477">
        <f>3156*2.4</f>
        <v>7574.4</v>
      </c>
      <c r="R56" s="477">
        <f>7600+100</f>
        <v>7700</v>
      </c>
      <c r="S56" s="477">
        <v>7587.8140000000003</v>
      </c>
      <c r="T56" s="477"/>
      <c r="Y56" s="477">
        <f t="shared" si="31"/>
        <v>7587.8140000000003</v>
      </c>
      <c r="AY56" s="473">
        <f t="shared" si="17"/>
        <v>45181.479166666664</v>
      </c>
      <c r="AZ56" s="473">
        <f t="shared" si="18"/>
        <v>45192.798611111109</v>
      </c>
      <c r="BA56" s="479">
        <f t="shared" si="19"/>
        <v>11.319444444445253</v>
      </c>
      <c r="BB56" s="473">
        <v>45181.479166666664</v>
      </c>
      <c r="BC56" s="473">
        <v>45182.763888888891</v>
      </c>
      <c r="BD56" s="473">
        <v>45184.388888888891</v>
      </c>
      <c r="BE56" s="473">
        <v>45186.079861111109</v>
      </c>
      <c r="BF56" s="473">
        <v>45186.215277777781</v>
      </c>
      <c r="BG56" s="473">
        <v>45186.229166666664</v>
      </c>
      <c r="BH56" s="473">
        <v>45186.239583333336</v>
      </c>
      <c r="BI56" s="473">
        <f t="shared" si="30"/>
        <v>45187.947916666672</v>
      </c>
      <c r="BJ56" s="485">
        <v>45188.25</v>
      </c>
      <c r="BK56" s="485">
        <v>45188.416666608799</v>
      </c>
      <c r="BL56" s="473">
        <v>45188.395833333336</v>
      </c>
      <c r="BM56" s="473">
        <v>45189.555555555555</v>
      </c>
      <c r="BN56" s="473">
        <v>45192.097222222219</v>
      </c>
      <c r="BO56" s="473">
        <v>45192.416666666664</v>
      </c>
      <c r="BP56" s="473">
        <v>45192.4375</v>
      </c>
      <c r="BQ56" s="473">
        <v>45192.4375</v>
      </c>
      <c r="BR56" s="473">
        <v>45192.798611111109</v>
      </c>
      <c r="BU56" s="481">
        <f t="shared" si="20"/>
        <v>39</v>
      </c>
      <c r="BV56" s="481">
        <f t="shared" si="21"/>
        <v>3.2500000001164153</v>
      </c>
      <c r="BW56" s="481">
        <f t="shared" si="22"/>
        <v>41.000000000058208</v>
      </c>
      <c r="BX56" s="481">
        <f t="shared" si="28"/>
        <v>27.33333472214872</v>
      </c>
      <c r="BY56" s="482">
        <f t="shared" si="23"/>
        <v>7.6666666666860692</v>
      </c>
      <c r="BZ56" s="482">
        <f t="shared" si="24"/>
        <v>8.6666666666278616</v>
      </c>
      <c r="CA56" s="483">
        <f t="shared" si="25"/>
        <v>5.2881945023182197</v>
      </c>
      <c r="CB56" s="483">
        <f t="shared" si="26"/>
        <v>11.319444444445253</v>
      </c>
      <c r="CC56" s="484">
        <f t="shared" si="27"/>
        <v>0.46717791922317131</v>
      </c>
    </row>
    <row r="57" spans="1:83" s="475" customFormat="1">
      <c r="A57" s="521">
        <f t="shared" si="29"/>
        <v>45186.506944444445</v>
      </c>
      <c r="B57" s="369" t="s">
        <v>228</v>
      </c>
      <c r="C57" s="369" t="s">
        <v>229</v>
      </c>
      <c r="D57" s="369" t="s">
        <v>215</v>
      </c>
      <c r="E57" s="271" t="s">
        <v>1827</v>
      </c>
      <c r="F57" s="369"/>
      <c r="G57" s="492">
        <v>45178.572916666664</v>
      </c>
      <c r="H57" s="492">
        <v>45178.55</v>
      </c>
      <c r="I57" s="369" t="s">
        <v>231</v>
      </c>
      <c r="J57" s="369" t="s">
        <v>192</v>
      </c>
      <c r="K57" s="369" t="s">
        <v>192</v>
      </c>
      <c r="L57" s="369" t="s">
        <v>2549</v>
      </c>
      <c r="M57" s="529"/>
      <c r="N57" s="369" t="s">
        <v>252</v>
      </c>
      <c r="O57" s="369" t="s">
        <v>253</v>
      </c>
      <c r="P57" s="369" t="s">
        <v>240</v>
      </c>
      <c r="Q57" s="520">
        <f>3107*2.4</f>
        <v>7456.7999999999993</v>
      </c>
      <c r="R57" s="520">
        <f>7500+100</f>
        <v>7600</v>
      </c>
      <c r="S57" s="520">
        <v>7502.9160000000002</v>
      </c>
      <c r="T57" s="520"/>
      <c r="U57" s="369"/>
      <c r="V57" s="369"/>
      <c r="W57" s="369"/>
      <c r="X57" s="369"/>
      <c r="Y57" s="520">
        <f t="shared" si="31"/>
        <v>7502.9160000000002</v>
      </c>
      <c r="Z57" s="369"/>
      <c r="AA57" s="369"/>
      <c r="AB57" s="369"/>
      <c r="AC57" s="369"/>
      <c r="AD57" s="369"/>
      <c r="AE57" s="369"/>
      <c r="AF57" s="369"/>
      <c r="AG57" s="369"/>
      <c r="AH57" s="369"/>
      <c r="AI57" s="369"/>
      <c r="AJ57" s="369"/>
      <c r="AK57" s="369"/>
      <c r="AL57" s="369"/>
      <c r="AM57" s="369"/>
      <c r="AN57" s="369"/>
      <c r="AO57" s="369"/>
      <c r="AP57" s="369"/>
      <c r="AQ57" s="369"/>
      <c r="AR57" s="369"/>
      <c r="AS57" s="369"/>
      <c r="AT57" s="369"/>
      <c r="AU57" s="369"/>
      <c r="AV57" s="369"/>
      <c r="AW57" s="369"/>
      <c r="AX57" s="369"/>
      <c r="AY57" s="522">
        <f t="shared" si="17"/>
        <v>45182.600694444445</v>
      </c>
      <c r="AZ57" s="522">
        <f t="shared" si="18"/>
        <v>45193.385416666664</v>
      </c>
      <c r="BA57" s="523">
        <f t="shared" si="19"/>
        <v>10.784722222218988</v>
      </c>
      <c r="BB57" s="522">
        <v>45182.600694444445</v>
      </c>
      <c r="BC57" s="522">
        <v>45183.5625</v>
      </c>
      <c r="BD57" s="522">
        <v>45185.052083333336</v>
      </c>
      <c r="BE57" s="522">
        <v>45186.506944444445</v>
      </c>
      <c r="BF57" s="522">
        <v>45186.659722222219</v>
      </c>
      <c r="BG57" s="522">
        <v>45186.663194444445</v>
      </c>
      <c r="BH57" s="522">
        <v>45186.666666666664</v>
      </c>
      <c r="BI57" s="522">
        <f t="shared" si="30"/>
        <v>45188.375</v>
      </c>
      <c r="BJ57" s="524">
        <v>45189.25</v>
      </c>
      <c r="BK57" s="524">
        <v>45189.416666608799</v>
      </c>
      <c r="BL57" s="522">
        <v>45189.309027777781</v>
      </c>
      <c r="BM57" s="522">
        <v>45190.430555555555</v>
      </c>
      <c r="BN57" s="522">
        <v>45192.805555555555</v>
      </c>
      <c r="BO57" s="522">
        <v>45193.03125</v>
      </c>
      <c r="BP57" s="522">
        <v>45193.052083333336</v>
      </c>
      <c r="BQ57" s="522">
        <v>45193.052083333336</v>
      </c>
      <c r="BR57" s="522">
        <v>45193.385416666664</v>
      </c>
      <c r="BS57" s="369"/>
      <c r="BT57" s="369"/>
      <c r="BU57" s="525">
        <f t="shared" si="20"/>
        <v>35.750000000058208</v>
      </c>
      <c r="BV57" s="525">
        <f t="shared" si="21"/>
        <v>3.6666666665696539</v>
      </c>
      <c r="BW57" s="525">
        <f t="shared" si="22"/>
        <v>41.000000000058208</v>
      </c>
      <c r="BX57" s="525">
        <f t="shared" si="28"/>
        <v>24.33333472214872</v>
      </c>
      <c r="BY57" s="526">
        <f t="shared" si="23"/>
        <v>5.4166666666860692</v>
      </c>
      <c r="BZ57" s="526">
        <f t="shared" si="24"/>
        <v>7.9999999998835847</v>
      </c>
      <c r="CA57" s="304">
        <f t="shared" si="25"/>
        <v>4.9236111689751851</v>
      </c>
      <c r="CB57" s="304">
        <f t="shared" si="26"/>
        <v>10.784722222218988</v>
      </c>
      <c r="CC57" s="305">
        <f t="shared" si="27"/>
        <v>0.45653574264819013</v>
      </c>
      <c r="CD57" s="369"/>
      <c r="CE57" s="369"/>
    </row>
    <row r="58" spans="1:83" s="475" customFormat="1">
      <c r="A58" s="474">
        <f t="shared" si="29"/>
        <v>45186.6875</v>
      </c>
      <c r="B58" s="475" t="s">
        <v>228</v>
      </c>
      <c r="C58" s="475" t="s">
        <v>229</v>
      </c>
      <c r="D58" s="475" t="s">
        <v>215</v>
      </c>
      <c r="E58" s="476" t="s">
        <v>1827</v>
      </c>
      <c r="G58" s="472">
        <v>45178.572916666664</v>
      </c>
      <c r="H58" s="472">
        <v>45178.55</v>
      </c>
      <c r="I58" s="475" t="s">
        <v>231</v>
      </c>
      <c r="J58" s="369" t="s">
        <v>192</v>
      </c>
      <c r="K58" s="369" t="s">
        <v>192</v>
      </c>
      <c r="L58" s="475" t="s">
        <v>2548</v>
      </c>
      <c r="M58" s="529"/>
      <c r="N58" s="475" t="s">
        <v>399</v>
      </c>
      <c r="O58" s="475" t="s">
        <v>275</v>
      </c>
      <c r="P58" s="475" t="s">
        <v>240</v>
      </c>
      <c r="Q58" s="477">
        <f>3097*2.4</f>
        <v>7432.7999999999993</v>
      </c>
      <c r="R58" s="477">
        <f>7450+100</f>
        <v>7550</v>
      </c>
      <c r="S58" s="477">
        <v>7516.741</v>
      </c>
      <c r="T58" s="477"/>
      <c r="Y58" s="477">
        <f t="shared" si="31"/>
        <v>7516.741</v>
      </c>
      <c r="AY58" s="473">
        <f t="shared" si="17"/>
        <v>45179.458333333336</v>
      </c>
      <c r="AZ58" s="473">
        <f t="shared" si="18"/>
        <v>45193.125</v>
      </c>
      <c r="BA58" s="479">
        <f t="shared" si="19"/>
        <v>13.666666666664241</v>
      </c>
      <c r="BB58" s="473">
        <v>45179.458333333336</v>
      </c>
      <c r="BC58" s="473">
        <v>45183.538194444445</v>
      </c>
      <c r="BD58" s="473">
        <v>45185.25</v>
      </c>
      <c r="BE58" s="473">
        <v>45186.6875</v>
      </c>
      <c r="BF58" s="473">
        <v>45186.868055555555</v>
      </c>
      <c r="BG58" s="473">
        <v>45186.881944444445</v>
      </c>
      <c r="BH58" s="473">
        <v>45187.25</v>
      </c>
      <c r="BI58" s="473">
        <f t="shared" si="30"/>
        <v>45188.958333333336</v>
      </c>
      <c r="BJ58" s="485">
        <v>45189.25</v>
      </c>
      <c r="BK58" s="485">
        <v>45189.416666608799</v>
      </c>
      <c r="BL58" s="485">
        <v>45189.354166666664</v>
      </c>
      <c r="BM58" s="473">
        <v>45190.416666608799</v>
      </c>
      <c r="BN58" s="473">
        <v>45192.479166666664</v>
      </c>
      <c r="BO58" s="473">
        <v>45192.743055555555</v>
      </c>
      <c r="BP58" s="473">
        <v>45192.763888888891</v>
      </c>
      <c r="BQ58" s="473">
        <v>45192.763888888891</v>
      </c>
      <c r="BR58" s="473">
        <v>45193.125</v>
      </c>
      <c r="BU58" s="481">
        <f t="shared" si="20"/>
        <v>41.083333333313931</v>
      </c>
      <c r="BV58" s="481">
        <f t="shared" si="21"/>
        <v>4.3333333333139308</v>
      </c>
      <c r="BW58" s="481">
        <f t="shared" si="22"/>
        <v>41.000000000058208</v>
      </c>
      <c r="BX58" s="481">
        <f t="shared" si="28"/>
        <v>24</v>
      </c>
      <c r="BY58" s="482">
        <f t="shared" si="23"/>
        <v>6.3333333333721384</v>
      </c>
      <c r="BZ58" s="482">
        <f t="shared" si="24"/>
        <v>8.6666666666278616</v>
      </c>
      <c r="CA58" s="483">
        <f t="shared" si="25"/>
        <v>5.2256944444452529</v>
      </c>
      <c r="CB58" s="483">
        <f t="shared" si="26"/>
        <v>13.666666666664241</v>
      </c>
      <c r="CC58" s="484">
        <f t="shared" si="27"/>
        <v>0.38236788617898881</v>
      </c>
    </row>
    <row r="59" spans="1:83" s="126" customFormat="1">
      <c r="A59" s="521">
        <f t="shared" si="29"/>
        <v>45186.905555555553</v>
      </c>
      <c r="B59" s="369" t="s">
        <v>228</v>
      </c>
      <c r="C59" s="369" t="s">
        <v>229</v>
      </c>
      <c r="D59" s="369" t="s">
        <v>197</v>
      </c>
      <c r="E59" s="271" t="s">
        <v>1827</v>
      </c>
      <c r="F59" s="369"/>
      <c r="G59" s="492">
        <v>45178.572916666664</v>
      </c>
      <c r="H59" s="492">
        <v>45178.55</v>
      </c>
      <c r="I59" s="369" t="s">
        <v>231</v>
      </c>
      <c r="J59" s="369" t="s">
        <v>192</v>
      </c>
      <c r="K59" s="369" t="s">
        <v>192</v>
      </c>
      <c r="L59" s="369" t="s">
        <v>2550</v>
      </c>
      <c r="M59" s="529"/>
      <c r="N59" s="369" t="s">
        <v>260</v>
      </c>
      <c r="O59" s="369" t="s">
        <v>261</v>
      </c>
      <c r="P59" s="369" t="s">
        <v>240</v>
      </c>
      <c r="Q59" s="520">
        <f>3107*2.4</f>
        <v>7456.7999999999993</v>
      </c>
      <c r="R59" s="520">
        <f>7500+100</f>
        <v>7600</v>
      </c>
      <c r="S59" s="520">
        <v>7465.7150000000001</v>
      </c>
      <c r="T59" s="520"/>
      <c r="U59" s="369"/>
      <c r="V59" s="369"/>
      <c r="W59" s="369"/>
      <c r="X59" s="369"/>
      <c r="Y59" s="520">
        <f t="shared" si="31"/>
        <v>7465.7150000000001</v>
      </c>
      <c r="Z59" s="369"/>
      <c r="AA59" s="369"/>
      <c r="AB59" s="369"/>
      <c r="AC59" s="369"/>
      <c r="AD59" s="369"/>
      <c r="AE59" s="369"/>
      <c r="AF59" s="369"/>
      <c r="AG59" s="369"/>
      <c r="AH59" s="369"/>
      <c r="AI59" s="369"/>
      <c r="AJ59" s="369"/>
      <c r="AK59" s="369"/>
      <c r="AL59" s="369"/>
      <c r="AM59" s="369"/>
      <c r="AN59" s="369"/>
      <c r="AO59" s="369"/>
      <c r="AP59" s="369"/>
      <c r="AQ59" s="369"/>
      <c r="AR59" s="369"/>
      <c r="AS59" s="369"/>
      <c r="AT59" s="369"/>
      <c r="AU59" s="369"/>
      <c r="AV59" s="369"/>
      <c r="AW59" s="369"/>
      <c r="AX59" s="369"/>
      <c r="AY59" s="522">
        <f t="shared" si="17"/>
        <v>45182.180555555555</v>
      </c>
      <c r="AZ59" s="522">
        <f t="shared" si="18"/>
        <v>45193.6875</v>
      </c>
      <c r="BA59" s="523">
        <f t="shared" si="19"/>
        <v>11.506944444445253</v>
      </c>
      <c r="BB59" s="522">
        <v>45182.180555555555</v>
      </c>
      <c r="BC59" s="522">
        <v>45183.53125</v>
      </c>
      <c r="BD59" s="522">
        <v>45185.4375</v>
      </c>
      <c r="BE59" s="522">
        <v>45186.905555555553</v>
      </c>
      <c r="BF59" s="522">
        <v>45187.041666666664</v>
      </c>
      <c r="BG59" s="522">
        <v>45187.059027777781</v>
      </c>
      <c r="BH59" s="522">
        <v>45187.277777777781</v>
      </c>
      <c r="BI59" s="522">
        <f t="shared" si="30"/>
        <v>45188.986111111117</v>
      </c>
      <c r="BJ59" s="524">
        <v>45189.25</v>
      </c>
      <c r="BK59" s="524">
        <v>45189.416666608799</v>
      </c>
      <c r="BL59" s="522">
        <v>45189.319444444445</v>
      </c>
      <c r="BM59" s="522">
        <v>45190.444444444445</v>
      </c>
      <c r="BN59" s="522">
        <v>45193.09375</v>
      </c>
      <c r="BO59" s="522">
        <v>45193.378472222219</v>
      </c>
      <c r="BP59" s="522">
        <v>45193.399305555555</v>
      </c>
      <c r="BQ59" s="522">
        <v>45193.402777777781</v>
      </c>
      <c r="BR59" s="522">
        <v>45193.6875</v>
      </c>
      <c r="BS59" s="369"/>
      <c r="BT59" s="369"/>
      <c r="BU59" s="525">
        <f t="shared" si="20"/>
        <v>45.75</v>
      </c>
      <c r="BV59" s="525">
        <f t="shared" si="21"/>
        <v>3.2666666666627862</v>
      </c>
      <c r="BW59" s="525">
        <f t="shared" si="22"/>
        <v>41.000000000058208</v>
      </c>
      <c r="BX59" s="525">
        <f t="shared" si="28"/>
        <v>24.666668055520859</v>
      </c>
      <c r="BY59" s="526">
        <f t="shared" si="23"/>
        <v>6.8333333332557231</v>
      </c>
      <c r="BZ59" s="526">
        <f t="shared" si="24"/>
        <v>6.8333333332557231</v>
      </c>
      <c r="CA59" s="304">
        <f t="shared" si="25"/>
        <v>5.3479167245313874</v>
      </c>
      <c r="CB59" s="304">
        <f t="shared" si="26"/>
        <v>11.506944444445253</v>
      </c>
      <c r="CC59" s="305">
        <f t="shared" si="27"/>
        <v>0.46475558740643674</v>
      </c>
      <c r="CD59" s="369"/>
      <c r="CE59" s="369"/>
    </row>
    <row r="60" spans="1:83" s="475" customFormat="1">
      <c r="A60" s="192">
        <f t="shared" si="29"/>
        <v>45187.086805555555</v>
      </c>
      <c r="B60" s="126" t="s">
        <v>228</v>
      </c>
      <c r="C60" s="126" t="s">
        <v>229</v>
      </c>
      <c r="D60" s="126" t="s">
        <v>215</v>
      </c>
      <c r="E60" s="65" t="s">
        <v>1327</v>
      </c>
      <c r="F60" s="126"/>
      <c r="G60" s="165">
        <v>45190.470833333333</v>
      </c>
      <c r="H60" s="165">
        <v>45190.470833333333</v>
      </c>
      <c r="I60" s="126" t="s">
        <v>243</v>
      </c>
      <c r="J60" s="126" t="s">
        <v>192</v>
      </c>
      <c r="K60" s="126" t="s">
        <v>192</v>
      </c>
      <c r="L60" s="126" t="s">
        <v>2761</v>
      </c>
      <c r="M60" s="529"/>
      <c r="N60" s="126" t="s">
        <v>222</v>
      </c>
      <c r="O60" s="126" t="s">
        <v>223</v>
      </c>
      <c r="P60" s="126" t="s">
        <v>418</v>
      </c>
      <c r="Q60" s="181">
        <f>3137*2.4</f>
        <v>7528.7999999999993</v>
      </c>
      <c r="R60" s="181">
        <f>7550+100</f>
        <v>7650</v>
      </c>
      <c r="S60" s="181">
        <v>7521.2219999999998</v>
      </c>
      <c r="T60" s="181"/>
      <c r="U60" s="126"/>
      <c r="V60" s="126"/>
      <c r="W60" s="126"/>
      <c r="X60" s="181">
        <f t="shared" ref="X60:X65" si="32">S60*0.55</f>
        <v>4136.6720999999998</v>
      </c>
      <c r="Y60" s="181">
        <f t="shared" ref="Y60:Y65" si="33">S60*0.45</f>
        <v>3384.5499</v>
      </c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65">
        <f t="shared" si="17"/>
        <v>45180.416666666664</v>
      </c>
      <c r="AZ60" s="165">
        <f t="shared" si="18"/>
        <v>45196.625</v>
      </c>
      <c r="BA60" s="137">
        <f t="shared" si="19"/>
        <v>16.208333333335759</v>
      </c>
      <c r="BB60" s="165">
        <v>45180.416666666664</v>
      </c>
      <c r="BC60" s="165">
        <v>45183.770833333336</v>
      </c>
      <c r="BD60" s="165">
        <v>45185.732638888891</v>
      </c>
      <c r="BE60" s="165">
        <v>45187.086805555555</v>
      </c>
      <c r="BF60" s="165">
        <v>45187.240972222222</v>
      </c>
      <c r="BG60" s="165">
        <v>45187.256944444445</v>
      </c>
      <c r="BH60" s="165">
        <v>45187.256944444445</v>
      </c>
      <c r="BI60" s="165">
        <f t="shared" si="30"/>
        <v>45188.965277777781</v>
      </c>
      <c r="BJ60" s="362">
        <v>45189.25</v>
      </c>
      <c r="BK60" s="362">
        <v>45189.416666608799</v>
      </c>
      <c r="BL60" s="165">
        <v>45189.3125</v>
      </c>
      <c r="BM60" s="165">
        <v>45190.770833333336</v>
      </c>
      <c r="BN60" s="165">
        <v>45195.663194444445</v>
      </c>
      <c r="BO60" s="165">
        <v>45195.954861111109</v>
      </c>
      <c r="BP60" s="165">
        <v>45195.965277777781</v>
      </c>
      <c r="BQ60" s="165">
        <v>45195.96875</v>
      </c>
      <c r="BR60" s="165">
        <v>45196.625</v>
      </c>
      <c r="BS60" s="126"/>
      <c r="BT60" s="126"/>
      <c r="BU60" s="136">
        <f t="shared" si="20"/>
        <v>47.083333333313931</v>
      </c>
      <c r="BV60" s="136">
        <f t="shared" si="21"/>
        <v>3.7000000000116415</v>
      </c>
      <c r="BW60" s="136">
        <f t="shared" si="22"/>
        <v>41.000000000058208</v>
      </c>
      <c r="BX60" s="136">
        <f t="shared" si="28"/>
        <v>32.500001388892997</v>
      </c>
      <c r="BY60" s="135">
        <f t="shared" si="23"/>
        <v>6.9999999999417923</v>
      </c>
      <c r="BZ60" s="135">
        <f t="shared" si="24"/>
        <v>15.75</v>
      </c>
      <c r="CA60" s="134">
        <f t="shared" si="25"/>
        <v>6.1263889467591071</v>
      </c>
      <c r="CB60" s="134">
        <f t="shared" si="26"/>
        <v>16.208333333335759</v>
      </c>
      <c r="CC60" s="133">
        <f t="shared" si="27"/>
        <v>0.37797772422158499</v>
      </c>
      <c r="CD60" s="126"/>
      <c r="CE60" s="126"/>
    </row>
    <row r="61" spans="1:83" s="475" customFormat="1">
      <c r="A61" s="474">
        <f t="shared" si="29"/>
        <v>45187.333333333336</v>
      </c>
      <c r="B61" s="475" t="s">
        <v>228</v>
      </c>
      <c r="C61" s="475" t="s">
        <v>229</v>
      </c>
      <c r="D61" s="475" t="s">
        <v>215</v>
      </c>
      <c r="E61" s="476" t="s">
        <v>2552</v>
      </c>
      <c r="G61" s="472">
        <v>45190.729166666664</v>
      </c>
      <c r="H61" s="472">
        <v>45190.695833333331</v>
      </c>
      <c r="I61" s="475" t="s">
        <v>231</v>
      </c>
      <c r="J61" s="369" t="s">
        <v>192</v>
      </c>
      <c r="K61" s="369" t="s">
        <v>192</v>
      </c>
      <c r="L61" s="475" t="s">
        <v>2556</v>
      </c>
      <c r="M61" s="529"/>
      <c r="N61" s="475" t="s">
        <v>358</v>
      </c>
      <c r="O61" s="475" t="s">
        <v>359</v>
      </c>
      <c r="P61" s="475" t="s">
        <v>418</v>
      </c>
      <c r="Q61" s="477">
        <f>3852*2.4</f>
        <v>9244.7999999999993</v>
      </c>
      <c r="R61" s="477">
        <v>9250</v>
      </c>
      <c r="S61" s="477">
        <v>8755.3310000000001</v>
      </c>
      <c r="T61" s="477"/>
      <c r="X61" s="477">
        <f t="shared" si="32"/>
        <v>4815.4320500000003</v>
      </c>
      <c r="Y61" s="477">
        <f t="shared" si="33"/>
        <v>3939.8989500000002</v>
      </c>
      <c r="AY61" s="473">
        <f t="shared" si="17"/>
        <v>45181.958333333336</v>
      </c>
      <c r="AZ61" s="473">
        <f t="shared" si="18"/>
        <v>45192.9375</v>
      </c>
      <c r="BA61" s="479">
        <f t="shared" si="19"/>
        <v>10.979166666664241</v>
      </c>
      <c r="BB61" s="473">
        <v>45181.958333333336</v>
      </c>
      <c r="BC61" s="473">
        <v>45184.552083333336</v>
      </c>
      <c r="BD61" s="473">
        <v>45186.125</v>
      </c>
      <c r="BE61" s="473">
        <v>45187.333333333336</v>
      </c>
      <c r="BF61" s="473">
        <v>45187.498611111114</v>
      </c>
      <c r="BG61" s="473">
        <v>45187.513888888891</v>
      </c>
      <c r="BH61" s="473">
        <v>45187.513888888891</v>
      </c>
      <c r="BI61" s="473">
        <f t="shared" si="30"/>
        <v>45189.222222222226</v>
      </c>
      <c r="BJ61" s="582">
        <v>45190.25</v>
      </c>
      <c r="BK61" s="582">
        <v>45190.416666608799</v>
      </c>
      <c r="BL61" s="480">
        <v>45190.284722222219</v>
      </c>
      <c r="BM61" s="473">
        <v>45191.354166666664</v>
      </c>
      <c r="BN61" s="473">
        <v>45192.458333333336</v>
      </c>
      <c r="BO61" s="473">
        <v>45192.680555555555</v>
      </c>
      <c r="BP61" s="473">
        <v>45192.708333333336</v>
      </c>
      <c r="BQ61" s="473">
        <v>45192.708333333336</v>
      </c>
      <c r="BR61" s="473">
        <v>45192.9375</v>
      </c>
      <c r="BU61" s="481">
        <f t="shared" si="20"/>
        <v>37.749999999941792</v>
      </c>
      <c r="BV61" s="481">
        <f t="shared" si="21"/>
        <v>3.9666666666744277</v>
      </c>
      <c r="BW61" s="481">
        <f t="shared" si="22"/>
        <v>41.000000000058208</v>
      </c>
      <c r="BX61" s="481">
        <f t="shared" si="28"/>
        <v>22.500001388776582</v>
      </c>
      <c r="BY61" s="482">
        <f t="shared" si="23"/>
        <v>5.3333333332557231</v>
      </c>
      <c r="BZ61" s="482">
        <f t="shared" si="24"/>
        <v>5.4999999999417923</v>
      </c>
      <c r="CA61" s="483">
        <f t="shared" si="25"/>
        <v>4.8354167245270219</v>
      </c>
      <c r="CB61" s="483">
        <f t="shared" si="26"/>
        <v>10.979166666664241</v>
      </c>
      <c r="CC61" s="484">
        <f t="shared" si="27"/>
        <v>0.44041746257561354</v>
      </c>
    </row>
    <row r="62" spans="1:83" s="475" customFormat="1">
      <c r="A62" s="521">
        <f t="shared" si="29"/>
        <v>45187.732638888891</v>
      </c>
      <c r="B62" s="369" t="s">
        <v>228</v>
      </c>
      <c r="C62" s="369" t="s">
        <v>229</v>
      </c>
      <c r="D62" s="369" t="s">
        <v>197</v>
      </c>
      <c r="E62" s="271" t="s">
        <v>2552</v>
      </c>
      <c r="F62" s="369"/>
      <c r="G62" s="492">
        <v>45190.729166666664</v>
      </c>
      <c r="H62" s="492">
        <v>45190.695833333331</v>
      </c>
      <c r="I62" s="369" t="s">
        <v>231</v>
      </c>
      <c r="J62" s="369" t="s">
        <v>192</v>
      </c>
      <c r="K62" s="369" t="s">
        <v>192</v>
      </c>
      <c r="L62" s="369" t="s">
        <v>2557</v>
      </c>
      <c r="M62" s="529"/>
      <c r="N62" s="369" t="s">
        <v>295</v>
      </c>
      <c r="O62" s="369" t="s">
        <v>296</v>
      </c>
      <c r="P62" s="369" t="s">
        <v>418</v>
      </c>
      <c r="Q62" s="520">
        <f>4118*2.4</f>
        <v>9883.1999999999989</v>
      </c>
      <c r="R62" s="520">
        <f>9900+100</f>
        <v>10000</v>
      </c>
      <c r="S62" s="520">
        <v>9549.0079999999998</v>
      </c>
      <c r="T62" s="520"/>
      <c r="U62" s="369"/>
      <c r="V62" s="369"/>
      <c r="W62" s="369"/>
      <c r="X62" s="520">
        <f t="shared" si="32"/>
        <v>5251.9544000000005</v>
      </c>
      <c r="Y62" s="520">
        <f t="shared" si="33"/>
        <v>4297.0536000000002</v>
      </c>
      <c r="Z62" s="369"/>
      <c r="AA62" s="369"/>
      <c r="AB62" s="369"/>
      <c r="AC62" s="369"/>
      <c r="AD62" s="369"/>
      <c r="AE62" s="369"/>
      <c r="AF62" s="369"/>
      <c r="AG62" s="369"/>
      <c r="AH62" s="369"/>
      <c r="AI62" s="369"/>
      <c r="AJ62" s="369"/>
      <c r="AK62" s="369"/>
      <c r="AL62" s="369"/>
      <c r="AM62" s="369"/>
      <c r="AN62" s="369"/>
      <c r="AO62" s="369"/>
      <c r="AP62" s="369"/>
      <c r="AQ62" s="369"/>
      <c r="AR62" s="369"/>
      <c r="AS62" s="369"/>
      <c r="AT62" s="369"/>
      <c r="AU62" s="369"/>
      <c r="AV62" s="369"/>
      <c r="AW62" s="369"/>
      <c r="AX62" s="369"/>
      <c r="AY62" s="522">
        <f t="shared" si="17"/>
        <v>45183.201388888891</v>
      </c>
      <c r="AZ62" s="522">
        <f t="shared" si="18"/>
        <v>45193.365277777775</v>
      </c>
      <c r="BA62" s="523">
        <f t="shared" si="19"/>
        <v>10.163888888884685</v>
      </c>
      <c r="BB62" s="522">
        <v>45183.201388888891</v>
      </c>
      <c r="BC62" s="522">
        <v>45184.806944444441</v>
      </c>
      <c r="BD62" s="522">
        <v>45186.451388888891</v>
      </c>
      <c r="BE62" s="522">
        <v>45187.732638888891</v>
      </c>
      <c r="BF62" s="522">
        <v>45187.986111111109</v>
      </c>
      <c r="BG62" s="522">
        <v>45188</v>
      </c>
      <c r="BH62" s="522">
        <v>45188</v>
      </c>
      <c r="BI62" s="522">
        <f t="shared" si="30"/>
        <v>45189.708333333336</v>
      </c>
      <c r="BJ62" s="610">
        <v>45190.25</v>
      </c>
      <c r="BK62" s="610">
        <v>45190.416666608799</v>
      </c>
      <c r="BL62" s="527" t="s">
        <v>2762</v>
      </c>
      <c r="BM62" s="522">
        <v>45192.055555555555</v>
      </c>
      <c r="BN62" s="522">
        <v>45192.770833333336</v>
      </c>
      <c r="BO62" s="522">
        <v>45192.979166666672</v>
      </c>
      <c r="BP62" s="522">
        <v>45193.013888888891</v>
      </c>
      <c r="BQ62" s="522">
        <v>45193.013888888891</v>
      </c>
      <c r="BR62" s="522">
        <v>45193.365277777775</v>
      </c>
      <c r="BS62" s="369"/>
      <c r="BT62" s="369"/>
      <c r="BU62" s="525">
        <f t="shared" si="20"/>
        <v>39.466666666790843</v>
      </c>
      <c r="BV62" s="525">
        <f t="shared" si="21"/>
        <v>6.0833333332557231</v>
      </c>
      <c r="BW62" s="525">
        <f t="shared" si="22"/>
        <v>41.000000000058208</v>
      </c>
      <c r="BX62" s="525">
        <f t="shared" si="28"/>
        <v>39.33333472214872</v>
      </c>
      <c r="BY62" s="526">
        <f t="shared" si="23"/>
        <v>5.0000000000582077</v>
      </c>
      <c r="BZ62" s="526">
        <f t="shared" si="24"/>
        <v>8.4333333332324401</v>
      </c>
      <c r="CA62" s="304">
        <f t="shared" si="25"/>
        <v>5.8048611689810059</v>
      </c>
      <c r="CB62" s="304">
        <f t="shared" si="26"/>
        <v>10.163888888884685</v>
      </c>
      <c r="CC62" s="305">
        <f t="shared" si="27"/>
        <v>0.57112599640175632</v>
      </c>
      <c r="CD62" s="369"/>
      <c r="CE62" s="369"/>
    </row>
    <row r="63" spans="1:83" s="369" customFormat="1">
      <c r="A63" s="521">
        <f t="shared" si="29"/>
        <v>45188.1875</v>
      </c>
      <c r="B63" s="369" t="s">
        <v>228</v>
      </c>
      <c r="C63" s="369" t="s">
        <v>229</v>
      </c>
      <c r="D63" s="369" t="s">
        <v>197</v>
      </c>
      <c r="E63" s="271" t="s">
        <v>2552</v>
      </c>
      <c r="G63" s="492">
        <v>45190.729166666664</v>
      </c>
      <c r="H63" s="492">
        <v>45190.695833333331</v>
      </c>
      <c r="I63" s="369" t="s">
        <v>231</v>
      </c>
      <c r="J63" s="369" t="s">
        <v>192</v>
      </c>
      <c r="K63" s="369" t="s">
        <v>192</v>
      </c>
      <c r="L63" s="369" t="s">
        <v>2558</v>
      </c>
      <c r="M63" s="529"/>
      <c r="N63" s="369" t="s">
        <v>377</v>
      </c>
      <c r="O63" s="369" t="s">
        <v>378</v>
      </c>
      <c r="P63" s="369" t="s">
        <v>418</v>
      </c>
      <c r="Q63" s="520">
        <f>3271*2.4</f>
        <v>7850.4</v>
      </c>
      <c r="R63" s="520">
        <f>7900+100</f>
        <v>8000</v>
      </c>
      <c r="S63" s="520">
        <v>7830.625</v>
      </c>
      <c r="T63" s="520"/>
      <c r="U63" s="528"/>
      <c r="X63" s="520">
        <f t="shared" si="32"/>
        <v>4306.84375</v>
      </c>
      <c r="Y63" s="520">
        <f t="shared" si="33"/>
        <v>3523.78125</v>
      </c>
      <c r="AY63" s="522">
        <f t="shared" si="17"/>
        <v>45183.9375</v>
      </c>
      <c r="AZ63" s="522">
        <f t="shared" si="18"/>
        <v>45193.604166666664</v>
      </c>
      <c r="BA63" s="523">
        <f t="shared" si="19"/>
        <v>9.6666666666642413</v>
      </c>
      <c r="BB63" s="522">
        <v>45183.9375</v>
      </c>
      <c r="BC63" s="522">
        <v>45184.756944444445</v>
      </c>
      <c r="BD63" s="522">
        <v>45186.465277777781</v>
      </c>
      <c r="BE63" s="522">
        <v>45188.1875</v>
      </c>
      <c r="BF63" s="522">
        <v>45188.378472222219</v>
      </c>
      <c r="BG63" s="522">
        <v>45188.385416666664</v>
      </c>
      <c r="BH63" s="522">
        <v>45188.385416666664</v>
      </c>
      <c r="BI63" s="522">
        <f t="shared" si="30"/>
        <v>45190.09375</v>
      </c>
      <c r="BJ63" s="610">
        <v>45190.25</v>
      </c>
      <c r="BK63" s="610">
        <v>45190.416666608799</v>
      </c>
      <c r="BL63" s="527">
        <v>45190.295138888891</v>
      </c>
      <c r="BM63" s="522">
        <v>45191.361111111109</v>
      </c>
      <c r="BN63" s="522">
        <v>45193.055555555555</v>
      </c>
      <c r="BO63" s="522">
        <v>45193.270833333336</v>
      </c>
      <c r="BP63" s="522">
        <v>45193.302083333336</v>
      </c>
      <c r="BQ63" s="522">
        <v>45193.302083333336</v>
      </c>
      <c r="BR63" s="522">
        <v>45193.604166666664</v>
      </c>
      <c r="BU63" s="525">
        <f t="shared" si="20"/>
        <v>41.000000000058208</v>
      </c>
      <c r="BV63" s="525">
        <f t="shared" si="21"/>
        <v>4.5833333332557231</v>
      </c>
      <c r="BW63" s="525">
        <f t="shared" si="22"/>
        <v>41.000000000058208</v>
      </c>
      <c r="BX63" s="525">
        <f t="shared" si="28"/>
        <v>22.666668055462651</v>
      </c>
      <c r="BY63" s="526">
        <f t="shared" si="23"/>
        <v>5.1666666667442769</v>
      </c>
      <c r="BZ63" s="526">
        <f t="shared" si="24"/>
        <v>7.2499999998835847</v>
      </c>
      <c r="CA63" s="304">
        <f t="shared" si="25"/>
        <v>5.0694445023109438</v>
      </c>
      <c r="CB63" s="304">
        <f t="shared" si="26"/>
        <v>9.6666666666642413</v>
      </c>
      <c r="CC63" s="305">
        <f t="shared" si="27"/>
        <v>0.52442529334264298</v>
      </c>
    </row>
    <row r="64" spans="1:83" s="475" customFormat="1">
      <c r="A64" s="521">
        <f t="shared" si="29"/>
        <v>45188.680555555555</v>
      </c>
      <c r="B64" s="369" t="s">
        <v>228</v>
      </c>
      <c r="C64" s="369" t="s">
        <v>229</v>
      </c>
      <c r="D64" s="369" t="s">
        <v>197</v>
      </c>
      <c r="E64" s="271" t="s">
        <v>2552</v>
      </c>
      <c r="F64" s="369"/>
      <c r="G64" s="492">
        <v>45190.729166666664</v>
      </c>
      <c r="H64" s="492">
        <v>45190.695833333331</v>
      </c>
      <c r="I64" s="369" t="s">
        <v>231</v>
      </c>
      <c r="J64" s="369" t="s">
        <v>192</v>
      </c>
      <c r="K64" s="369" t="s">
        <v>192</v>
      </c>
      <c r="L64" s="369" t="s">
        <v>2560</v>
      </c>
      <c r="M64" s="529"/>
      <c r="N64" s="369" t="s">
        <v>208</v>
      </c>
      <c r="O64" s="369" t="s">
        <v>328</v>
      </c>
      <c r="P64" s="369" t="s">
        <v>418</v>
      </c>
      <c r="Q64" s="520">
        <f>3128*2.4</f>
        <v>7507.2</v>
      </c>
      <c r="R64" s="520">
        <f>7550+100</f>
        <v>7650</v>
      </c>
      <c r="S64" s="520">
        <v>7475.2479999999996</v>
      </c>
      <c r="T64" s="520"/>
      <c r="U64" s="528"/>
      <c r="V64" s="369"/>
      <c r="W64" s="369"/>
      <c r="X64" s="520">
        <f t="shared" si="32"/>
        <v>4111.3864000000003</v>
      </c>
      <c r="Y64" s="520">
        <f t="shared" si="33"/>
        <v>3363.8615999999997</v>
      </c>
      <c r="Z64" s="369"/>
      <c r="AA64" s="369"/>
      <c r="AB64" s="369"/>
      <c r="AC64" s="369"/>
      <c r="AD64" s="369"/>
      <c r="AE64" s="369"/>
      <c r="AF64" s="369"/>
      <c r="AG64" s="369"/>
      <c r="AH64" s="369"/>
      <c r="AI64" s="369"/>
      <c r="AJ64" s="369"/>
      <c r="AK64" s="369"/>
      <c r="AL64" s="369"/>
      <c r="AM64" s="369"/>
      <c r="AN64" s="369"/>
      <c r="AO64" s="369"/>
      <c r="AP64" s="369"/>
      <c r="AQ64" s="369"/>
      <c r="AR64" s="369"/>
      <c r="AS64" s="369"/>
      <c r="AT64" s="369"/>
      <c r="AU64" s="369"/>
      <c r="AV64" s="369"/>
      <c r="AW64" s="369"/>
      <c r="AX64" s="369"/>
      <c r="AY64" s="522">
        <f t="shared" si="17"/>
        <v>45184.3125</v>
      </c>
      <c r="AZ64" s="522">
        <f t="shared" si="18"/>
        <v>45194.003472222219</v>
      </c>
      <c r="BA64" s="523">
        <f t="shared" si="19"/>
        <v>9.6909722222189885</v>
      </c>
      <c r="BB64" s="522">
        <v>45184.3125</v>
      </c>
      <c r="BC64" s="522">
        <v>45184.798611111109</v>
      </c>
      <c r="BD64" s="522">
        <v>45186.46875</v>
      </c>
      <c r="BE64" s="522">
        <v>45188.680555555555</v>
      </c>
      <c r="BF64" s="522">
        <v>45188.854166666664</v>
      </c>
      <c r="BG64" s="522">
        <v>45188.868055555555</v>
      </c>
      <c r="BH64" s="522">
        <v>45188.868055555555</v>
      </c>
      <c r="BI64" s="522">
        <f t="shared" si="30"/>
        <v>45190.576388888891</v>
      </c>
      <c r="BJ64" s="524">
        <v>45190.25</v>
      </c>
      <c r="BK64" s="524">
        <v>45190.416666608799</v>
      </c>
      <c r="BL64" s="522">
        <v>45190.351388888892</v>
      </c>
      <c r="BM64" s="522">
        <v>45192.013888888891</v>
      </c>
      <c r="BN64" s="522">
        <v>45193.357638888891</v>
      </c>
      <c r="BO64" s="522">
        <v>45193.75</v>
      </c>
      <c r="BP64" s="522">
        <v>45193.78125</v>
      </c>
      <c r="BQ64" s="522">
        <v>45193.78125</v>
      </c>
      <c r="BR64" s="522">
        <v>45194.003472222219</v>
      </c>
      <c r="BS64" s="369"/>
      <c r="BT64" s="369"/>
      <c r="BU64" s="525">
        <f t="shared" si="20"/>
        <v>40.083333333372138</v>
      </c>
      <c r="BV64" s="525">
        <f t="shared" si="21"/>
        <v>4.1666666666278616</v>
      </c>
      <c r="BW64" s="525">
        <f t="shared" si="22"/>
        <v>41.000000000058208</v>
      </c>
      <c r="BX64" s="525">
        <f t="shared" si="28"/>
        <v>38.333334722206928</v>
      </c>
      <c r="BY64" s="526">
        <f t="shared" si="23"/>
        <v>9.4166666666278616</v>
      </c>
      <c r="BZ64" s="526">
        <f t="shared" si="24"/>
        <v>5.3333333332557231</v>
      </c>
      <c r="CA64" s="304">
        <f t="shared" si="25"/>
        <v>5.7638889467561967</v>
      </c>
      <c r="CB64" s="304">
        <f t="shared" si="26"/>
        <v>9.6909722222189885</v>
      </c>
      <c r="CC64" s="305">
        <f t="shared" si="27"/>
        <v>0.59476890600728716</v>
      </c>
      <c r="CD64" s="369"/>
      <c r="CE64" s="369"/>
    </row>
    <row r="65" spans="1:83" s="369" customFormat="1">
      <c r="A65" s="521">
        <f t="shared" si="29"/>
        <v>45188.895833333336</v>
      </c>
      <c r="B65" s="369" t="s">
        <v>228</v>
      </c>
      <c r="C65" s="369" t="s">
        <v>229</v>
      </c>
      <c r="D65" s="369" t="s">
        <v>215</v>
      </c>
      <c r="E65" s="271" t="s">
        <v>2552</v>
      </c>
      <c r="G65" s="492">
        <v>45190.729166666664</v>
      </c>
      <c r="H65" s="492">
        <v>45190.695833333331</v>
      </c>
      <c r="I65" s="369" t="s">
        <v>231</v>
      </c>
      <c r="J65" s="369" t="s">
        <v>192</v>
      </c>
      <c r="K65" s="369" t="s">
        <v>192</v>
      </c>
      <c r="L65" s="369" t="s">
        <v>2561</v>
      </c>
      <c r="M65" s="529"/>
      <c r="N65" s="369" t="s">
        <v>301</v>
      </c>
      <c r="O65" s="369" t="s">
        <v>302</v>
      </c>
      <c r="P65" s="369" t="s">
        <v>418</v>
      </c>
      <c r="Q65" s="520">
        <f>3852*2.4</f>
        <v>9244.7999999999993</v>
      </c>
      <c r="R65" s="520">
        <v>9250</v>
      </c>
      <c r="S65" s="520">
        <f>9128.178-564.532</f>
        <v>8563.6460000000006</v>
      </c>
      <c r="T65" s="520"/>
      <c r="U65" s="528"/>
      <c r="X65" s="520">
        <f t="shared" si="32"/>
        <v>4710.0053000000007</v>
      </c>
      <c r="Y65" s="520">
        <f t="shared" si="33"/>
        <v>3853.6407000000004</v>
      </c>
      <c r="AY65" s="522">
        <f t="shared" si="17"/>
        <v>45184.885416666664</v>
      </c>
      <c r="AZ65" s="522">
        <f t="shared" si="18"/>
        <v>45194.506944444445</v>
      </c>
      <c r="BA65" s="523">
        <f t="shared" si="19"/>
        <v>9.6215277777810115</v>
      </c>
      <c r="BB65" s="522">
        <v>45184.885416666664</v>
      </c>
      <c r="BC65" s="522">
        <v>45185.756944444445</v>
      </c>
      <c r="BD65" s="522">
        <v>45187.46875</v>
      </c>
      <c r="BE65" s="522">
        <v>45188.895833333336</v>
      </c>
      <c r="BF65" s="522">
        <v>45189.072916666664</v>
      </c>
      <c r="BG65" s="522">
        <v>45189.090277777781</v>
      </c>
      <c r="BH65" s="522">
        <v>45189.090277777781</v>
      </c>
      <c r="BI65" s="522">
        <f t="shared" si="30"/>
        <v>45190.798611111117</v>
      </c>
      <c r="BJ65" s="524">
        <v>45191.25</v>
      </c>
      <c r="BK65" s="524">
        <v>45191.416666608799</v>
      </c>
      <c r="BL65" s="527">
        <v>45191.34375</v>
      </c>
      <c r="BM65" s="522">
        <v>45192.59375</v>
      </c>
      <c r="BN65" s="522">
        <v>45193.802083333336</v>
      </c>
      <c r="BO65" s="522">
        <v>45194.076388888891</v>
      </c>
      <c r="BP65" s="522">
        <v>45194.145833333336</v>
      </c>
      <c r="BQ65" s="522">
        <v>45194.142361111109</v>
      </c>
      <c r="BR65" s="522">
        <v>45194.506944444445</v>
      </c>
      <c r="BU65" s="525">
        <f t="shared" si="20"/>
        <v>41.083333333313931</v>
      </c>
      <c r="BV65" s="525">
        <f t="shared" si="21"/>
        <v>4.2499999998835847</v>
      </c>
      <c r="BW65" s="525">
        <f t="shared" si="22"/>
        <v>41.000000000058208</v>
      </c>
      <c r="BX65" s="525">
        <f t="shared" si="28"/>
        <v>28.250001388834789</v>
      </c>
      <c r="BY65" s="526">
        <f t="shared" si="23"/>
        <v>6.5833333333139308</v>
      </c>
      <c r="BZ65" s="526">
        <f t="shared" si="24"/>
        <v>8.7500000000582077</v>
      </c>
      <c r="CA65" s="304">
        <f t="shared" si="25"/>
        <v>5.4131945023109438</v>
      </c>
      <c r="CB65" s="304">
        <f t="shared" si="26"/>
        <v>9.6215277777810115</v>
      </c>
      <c r="CC65" s="305">
        <f t="shared" si="27"/>
        <v>0.56261278118550262</v>
      </c>
    </row>
    <row r="66" spans="1:83" s="475" customFormat="1">
      <c r="A66" s="192">
        <f t="shared" si="29"/>
        <v>45189.126388888886</v>
      </c>
      <c r="B66" s="126" t="s">
        <v>228</v>
      </c>
      <c r="C66" s="126" t="s">
        <v>229</v>
      </c>
      <c r="D66" s="126" t="s">
        <v>215</v>
      </c>
      <c r="E66" s="65" t="s">
        <v>2574</v>
      </c>
      <c r="F66" s="126"/>
      <c r="G66" s="316">
        <v>45189.000694444447</v>
      </c>
      <c r="H66" s="316">
        <v>45189.024305555555</v>
      </c>
      <c r="I66" s="126" t="s">
        <v>231</v>
      </c>
      <c r="J66" s="369" t="s">
        <v>192</v>
      </c>
      <c r="K66" s="369" t="s">
        <v>192</v>
      </c>
      <c r="L66" s="126" t="s">
        <v>2578</v>
      </c>
      <c r="M66" s="529"/>
      <c r="N66" s="126" t="s">
        <v>343</v>
      </c>
      <c r="O66" s="126" t="s">
        <v>344</v>
      </c>
      <c r="P66" s="126" t="s">
        <v>742</v>
      </c>
      <c r="Q66" s="181">
        <f>3136*2.4</f>
        <v>7526.4</v>
      </c>
      <c r="R66" s="181">
        <f>7550+100</f>
        <v>7650</v>
      </c>
      <c r="S66" s="181">
        <v>7529.8010000000004</v>
      </c>
      <c r="T66" s="181"/>
      <c r="U66" s="126"/>
      <c r="V66" s="126"/>
      <c r="W66" s="126"/>
      <c r="X66" s="181">
        <f>S66*0.7</f>
        <v>5270.8607000000002</v>
      </c>
      <c r="Y66" s="181">
        <f>S66*0.3</f>
        <v>2258.9403000000002</v>
      </c>
      <c r="Z66" s="126"/>
      <c r="AA66" s="181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65">
        <f t="shared" si="17"/>
        <v>45182.5</v>
      </c>
      <c r="AZ66" s="165">
        <f t="shared" si="18"/>
        <v>45195.3125</v>
      </c>
      <c r="BA66" s="137">
        <f t="shared" si="19"/>
        <v>12.8125</v>
      </c>
      <c r="BB66" s="165">
        <v>45182.5</v>
      </c>
      <c r="BC66" s="165">
        <v>45184.791666666664</v>
      </c>
      <c r="BD66" s="165">
        <v>45186.673611111109</v>
      </c>
      <c r="BE66" s="165">
        <v>45189.126388888886</v>
      </c>
      <c r="BF66" s="165">
        <v>45189.438888888886</v>
      </c>
      <c r="BG66" s="165">
        <v>45189.444444444445</v>
      </c>
      <c r="BH66" s="165">
        <v>45189.445833333331</v>
      </c>
      <c r="BI66" s="165">
        <f t="shared" si="30"/>
        <v>45191.154166666667</v>
      </c>
      <c r="BJ66" s="362">
        <v>45191.25</v>
      </c>
      <c r="BK66" s="362">
        <v>45191.416666608799</v>
      </c>
      <c r="BL66" s="210">
        <v>45191.319444444445</v>
      </c>
      <c r="BM66" s="165">
        <v>45192.5</v>
      </c>
      <c r="BN66" s="165">
        <v>45194.34375</v>
      </c>
      <c r="BO66" s="165">
        <v>45194.694444444445</v>
      </c>
      <c r="BP66" s="165">
        <v>45194.715277777781</v>
      </c>
      <c r="BQ66" s="165">
        <v>45195.013888888891</v>
      </c>
      <c r="BR66" s="165">
        <v>45195.3125</v>
      </c>
      <c r="BS66" s="126"/>
      <c r="BT66" s="126"/>
      <c r="BU66" s="136">
        <f t="shared" si="20"/>
        <v>45.166666666686069</v>
      </c>
      <c r="BV66" s="136">
        <f t="shared" si="21"/>
        <v>7.5</v>
      </c>
      <c r="BW66" s="136">
        <f t="shared" si="22"/>
        <v>41.000000000058208</v>
      </c>
      <c r="BX66" s="136">
        <f t="shared" si="28"/>
        <v>26.000001388834789</v>
      </c>
      <c r="BY66" s="135">
        <f t="shared" si="23"/>
        <v>8.4166666666860692</v>
      </c>
      <c r="BZ66" s="135">
        <f t="shared" si="24"/>
        <v>7.1666666666278616</v>
      </c>
      <c r="CA66" s="134">
        <f t="shared" si="25"/>
        <v>5.6354167245372082</v>
      </c>
      <c r="CB66" s="134">
        <f t="shared" si="26"/>
        <v>12.8125</v>
      </c>
      <c r="CC66" s="133">
        <f t="shared" si="27"/>
        <v>0.43983740289070894</v>
      </c>
      <c r="CD66" s="126"/>
      <c r="CE66" s="126"/>
    </row>
    <row r="67" spans="1:83" s="475" customFormat="1">
      <c r="A67" s="192">
        <f t="shared" si="29"/>
        <v>45189.46597222222</v>
      </c>
      <c r="B67" s="126" t="s">
        <v>228</v>
      </c>
      <c r="C67" s="126" t="s">
        <v>229</v>
      </c>
      <c r="D67" s="126" t="s">
        <v>197</v>
      </c>
      <c r="E67" s="65" t="s">
        <v>2574</v>
      </c>
      <c r="F67" s="126"/>
      <c r="G67" s="316">
        <v>45189.000694444447</v>
      </c>
      <c r="H67" s="316">
        <v>45189.024305555555</v>
      </c>
      <c r="I67" s="126" t="s">
        <v>231</v>
      </c>
      <c r="J67" s="369" t="s">
        <v>192</v>
      </c>
      <c r="K67" s="369" t="s">
        <v>192</v>
      </c>
      <c r="L67" s="126" t="s">
        <v>2579</v>
      </c>
      <c r="M67" s="529"/>
      <c r="N67" s="126" t="s">
        <v>406</v>
      </c>
      <c r="O67" s="126" t="s">
        <v>407</v>
      </c>
      <c r="P67" s="126" t="s">
        <v>742</v>
      </c>
      <c r="Q67" s="181">
        <f>3107*2.4</f>
        <v>7456.7999999999993</v>
      </c>
      <c r="R67" s="181">
        <f>7500+100</f>
        <v>7600</v>
      </c>
      <c r="S67" s="181">
        <v>7515.4279999999999</v>
      </c>
      <c r="T67" s="181"/>
      <c r="U67" s="126"/>
      <c r="V67" s="126"/>
      <c r="W67" s="126"/>
      <c r="X67" s="181">
        <f>S67*0.7</f>
        <v>5260.7995999999994</v>
      </c>
      <c r="Y67" s="181">
        <f>S67*0.3</f>
        <v>2254.6284000000001</v>
      </c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65">
        <f t="shared" si="17"/>
        <v>45183.861111111109</v>
      </c>
      <c r="AZ67" s="165">
        <f t="shared" si="18"/>
        <v>45195.350694444445</v>
      </c>
      <c r="BA67" s="137">
        <f t="shared" si="19"/>
        <v>11.489583333335759</v>
      </c>
      <c r="BB67" s="165">
        <v>45183.861111111109</v>
      </c>
      <c r="BC67" s="165">
        <v>45185.59375</v>
      </c>
      <c r="BD67" s="165">
        <v>45187.128472222219</v>
      </c>
      <c r="BE67" s="165">
        <v>45189.46597222222</v>
      </c>
      <c r="BF67" s="165">
        <v>45189.590277777781</v>
      </c>
      <c r="BG67" s="165">
        <v>45189.59375</v>
      </c>
      <c r="BH67" s="165">
        <v>45189.604166666664</v>
      </c>
      <c r="BI67" s="165">
        <f t="shared" si="30"/>
        <v>45191.3125</v>
      </c>
      <c r="BJ67" s="651">
        <v>45191.25</v>
      </c>
      <c r="BK67" s="651">
        <v>45191.416666608799</v>
      </c>
      <c r="BL67" s="210">
        <v>45191.368055555555</v>
      </c>
      <c r="BM67" s="165">
        <v>45192.361111111109</v>
      </c>
      <c r="BN67" s="165">
        <v>45194.756944444445</v>
      </c>
      <c r="BO67" s="165">
        <v>45195</v>
      </c>
      <c r="BP67" s="165">
        <v>45195.020833333336</v>
      </c>
      <c r="BQ67" s="165">
        <v>45195.125</v>
      </c>
      <c r="BR67" s="165">
        <v>45195.350694444445</v>
      </c>
      <c r="BS67" s="126"/>
      <c r="BT67" s="126"/>
      <c r="BU67" s="136">
        <f t="shared" si="20"/>
        <v>36.833333333255723</v>
      </c>
      <c r="BV67" s="136">
        <f t="shared" si="21"/>
        <v>2.9833333334536292</v>
      </c>
      <c r="BW67" s="136">
        <f t="shared" si="22"/>
        <v>41.000000000058208</v>
      </c>
      <c r="BX67" s="136">
        <f t="shared" si="28"/>
        <v>22.666668055462651</v>
      </c>
      <c r="BY67" s="135">
        <f t="shared" si="23"/>
        <v>5.8333333333139308</v>
      </c>
      <c r="BZ67" s="135">
        <f t="shared" si="24"/>
        <v>5.4166666666860692</v>
      </c>
      <c r="CA67" s="134">
        <f t="shared" si="25"/>
        <v>4.7805556134262588</v>
      </c>
      <c r="CB67" s="134">
        <f t="shared" si="26"/>
        <v>11.489583333335759</v>
      </c>
      <c r="CC67" s="133">
        <f t="shared" si="27"/>
        <v>0.41607736979947774</v>
      </c>
      <c r="CD67" s="126"/>
      <c r="CE67" s="126"/>
    </row>
    <row r="68" spans="1:83" s="475" customFormat="1">
      <c r="A68" s="192">
        <f t="shared" si="29"/>
        <v>45190.4375</v>
      </c>
      <c r="B68" s="126" t="s">
        <v>228</v>
      </c>
      <c r="C68" s="126" t="s">
        <v>229</v>
      </c>
      <c r="D68" s="126" t="s">
        <v>197</v>
      </c>
      <c r="E68" s="65" t="s">
        <v>2605</v>
      </c>
      <c r="F68" s="126"/>
      <c r="G68" s="316">
        <v>45191.479166666664</v>
      </c>
      <c r="H68" s="316">
        <v>45191.479166666664</v>
      </c>
      <c r="I68" s="662" t="s">
        <v>243</v>
      </c>
      <c r="J68" s="126" t="s">
        <v>192</v>
      </c>
      <c r="K68" s="126" t="s">
        <v>192</v>
      </c>
      <c r="L68" s="126" t="s">
        <v>2763</v>
      </c>
      <c r="M68" s="529"/>
      <c r="N68" s="126" t="s">
        <v>429</v>
      </c>
      <c r="O68" s="126" t="s">
        <v>430</v>
      </c>
      <c r="P68" s="662" t="s">
        <v>235</v>
      </c>
      <c r="Q68" s="181">
        <f>3145 *2.4</f>
        <v>7548</v>
      </c>
      <c r="R68" s="181">
        <f>7550+100</f>
        <v>7650</v>
      </c>
      <c r="S68" s="181">
        <v>7633.9009999999998</v>
      </c>
      <c r="T68" s="181"/>
      <c r="U68" s="663"/>
      <c r="V68" s="663"/>
      <c r="W68" s="663"/>
      <c r="X68" s="181">
        <f>S68</f>
        <v>7633.9009999999998</v>
      </c>
      <c r="Y68" s="663"/>
      <c r="Z68" s="663"/>
      <c r="AA68" s="663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65">
        <f t="shared" ref="AY68:AY99" si="34">BB68</f>
        <v>45182.625</v>
      </c>
      <c r="AZ68" s="165">
        <f t="shared" ref="AZ68:AZ99" si="35">BR68</f>
        <v>45202.583333333336</v>
      </c>
      <c r="BA68" s="137">
        <f t="shared" ref="BA68:BA99" si="36">AZ68-AY68</f>
        <v>19.958333333335759</v>
      </c>
      <c r="BB68" s="165">
        <v>45182.625</v>
      </c>
      <c r="BC68" s="165">
        <v>45185.59375</v>
      </c>
      <c r="BD68" s="165">
        <v>45187.5625</v>
      </c>
      <c r="BE68" s="165">
        <v>45190.4375</v>
      </c>
      <c r="BF68" s="165">
        <v>45190.572916666664</v>
      </c>
      <c r="BG68" s="165">
        <v>45190.583333333336</v>
      </c>
      <c r="BH68" s="165">
        <v>45190.583333333336</v>
      </c>
      <c r="BI68" s="165">
        <f t="shared" si="30"/>
        <v>45192.291666666672</v>
      </c>
      <c r="BJ68" s="362">
        <v>45198.25</v>
      </c>
      <c r="BK68" s="362">
        <v>45198.416666666664</v>
      </c>
      <c r="BL68" s="362">
        <v>45198.319444444445</v>
      </c>
      <c r="BM68" s="165">
        <v>45199.666666666664</v>
      </c>
      <c r="BN68" s="165">
        <v>45201.364583333336</v>
      </c>
      <c r="BO68" s="165">
        <v>45201.770833333336</v>
      </c>
      <c r="BP68" s="165">
        <v>45201.809027777781</v>
      </c>
      <c r="BQ68" s="165">
        <v>45201.833333333336</v>
      </c>
      <c r="BR68" s="165">
        <v>45202.583333333336</v>
      </c>
      <c r="BS68" s="126" t="s">
        <v>2764</v>
      </c>
      <c r="BT68" s="126"/>
      <c r="BU68" s="136">
        <f t="shared" ref="BU68:BU99" si="37">(BD68-BC68)*24</f>
        <v>47.25</v>
      </c>
      <c r="BV68" s="136">
        <f t="shared" ref="BV68:BV99" si="38">(BF68-BE68)*24</f>
        <v>3.2499999999417923</v>
      </c>
      <c r="BW68" s="136">
        <f t="shared" ref="BW68:BW99" si="39">(BI68-BH68)*24</f>
        <v>41.000000000058208</v>
      </c>
      <c r="BX68" s="136">
        <f t="shared" si="28"/>
        <v>30</v>
      </c>
      <c r="BY68" s="135">
        <f t="shared" ref="BY68:BY99" si="40">(BO68-BN68)*24</f>
        <v>9.75</v>
      </c>
      <c r="BZ68" s="135">
        <f t="shared" ref="BZ68:BZ99" si="41">(BR68-BQ68)*24</f>
        <v>18</v>
      </c>
      <c r="CA68" s="134">
        <f t="shared" ref="CA68:CA99" si="42">SUM(BU68:BZ68)/24</f>
        <v>6.21875</v>
      </c>
      <c r="CB68" s="134">
        <f t="shared" ref="CB68:CB99" si="43">BA68</f>
        <v>19.958333333335759</v>
      </c>
      <c r="CC68" s="133">
        <f t="shared" ref="CC68:CC99" si="44">CA68/CB68</f>
        <v>0.31158663883085985</v>
      </c>
      <c r="CD68" s="126"/>
      <c r="CE68" s="126"/>
    </row>
    <row r="69" spans="1:83" s="475" customFormat="1">
      <c r="A69" s="192">
        <f t="shared" si="29"/>
        <v>45190.609722222223</v>
      </c>
      <c r="B69" s="126" t="s">
        <v>228</v>
      </c>
      <c r="C69" s="126" t="s">
        <v>229</v>
      </c>
      <c r="D69" s="126" t="s">
        <v>197</v>
      </c>
      <c r="E69" s="65" t="s">
        <v>2605</v>
      </c>
      <c r="F69" s="126"/>
      <c r="G69" s="316">
        <v>45191.479166666664</v>
      </c>
      <c r="H69" s="316">
        <v>45191.479166666664</v>
      </c>
      <c r="I69" s="662" t="s">
        <v>243</v>
      </c>
      <c r="J69" s="126" t="s">
        <v>192</v>
      </c>
      <c r="K69" s="126" t="s">
        <v>192</v>
      </c>
      <c r="L69" s="126" t="s">
        <v>2765</v>
      </c>
      <c r="M69" s="529"/>
      <c r="N69" s="126" t="s">
        <v>355</v>
      </c>
      <c r="O69" s="126" t="s">
        <v>356</v>
      </c>
      <c r="P69" s="662" t="s">
        <v>235</v>
      </c>
      <c r="Q69" s="181">
        <f>3107*2.4</f>
        <v>7456.7999999999993</v>
      </c>
      <c r="R69" s="181">
        <f>7500+100</f>
        <v>7600</v>
      </c>
      <c r="S69" s="181">
        <v>7590.7110000000002</v>
      </c>
      <c r="T69" s="181"/>
      <c r="U69" s="663"/>
      <c r="V69" s="663"/>
      <c r="W69" s="663"/>
      <c r="X69" s="181">
        <f>S69</f>
        <v>7590.7110000000002</v>
      </c>
      <c r="Y69" s="663"/>
      <c r="Z69" s="663"/>
      <c r="AA69" s="663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65">
        <f t="shared" si="34"/>
        <v>45185.364583333336</v>
      </c>
      <c r="AZ69" s="165">
        <f t="shared" si="35"/>
        <v>45202.895833333336</v>
      </c>
      <c r="BA69" s="137">
        <f t="shared" si="36"/>
        <v>17.53125</v>
      </c>
      <c r="BB69" s="165">
        <v>45185.364583333336</v>
      </c>
      <c r="BC69" s="165">
        <v>45186.770833333336</v>
      </c>
      <c r="BD69" s="165">
        <v>45188.375</v>
      </c>
      <c r="BE69" s="165">
        <v>45190.609722222223</v>
      </c>
      <c r="BF69" s="165">
        <v>45190.885416666664</v>
      </c>
      <c r="BG69" s="165">
        <v>45190.892361111109</v>
      </c>
      <c r="BH69" s="165">
        <v>45190.892361111109</v>
      </c>
      <c r="BI69" s="165">
        <f t="shared" si="30"/>
        <v>45192.600694444445</v>
      </c>
      <c r="BJ69" s="362">
        <v>45198.25</v>
      </c>
      <c r="BK69" s="362">
        <v>45198.416666666664</v>
      </c>
      <c r="BL69" s="362">
        <v>45198.329861111109</v>
      </c>
      <c r="BM69" s="165">
        <v>45199.729166666664</v>
      </c>
      <c r="BN69" s="165">
        <v>45201.868055555555</v>
      </c>
      <c r="BO69" s="165">
        <v>45202.201388888891</v>
      </c>
      <c r="BP69" s="165">
        <v>45202.229166666664</v>
      </c>
      <c r="BQ69" s="165">
        <v>45202.232638888891</v>
      </c>
      <c r="BR69" s="165">
        <v>45202.895833333336</v>
      </c>
      <c r="BS69" s="126" t="s">
        <v>2764</v>
      </c>
      <c r="BT69" s="126"/>
      <c r="BU69" s="136">
        <f t="shared" si="37"/>
        <v>38.499999999941792</v>
      </c>
      <c r="BV69" s="136">
        <f t="shared" si="38"/>
        <v>6.6166666665812954</v>
      </c>
      <c r="BW69" s="136">
        <f t="shared" si="39"/>
        <v>41.000000000058208</v>
      </c>
      <c r="BX69" s="136">
        <f t="shared" si="28"/>
        <v>31.5</v>
      </c>
      <c r="BY69" s="135">
        <f t="shared" si="40"/>
        <v>8.0000000000582077</v>
      </c>
      <c r="BZ69" s="135">
        <f t="shared" si="41"/>
        <v>15.916666666686069</v>
      </c>
      <c r="CA69" s="134">
        <f t="shared" si="42"/>
        <v>5.8972222222218988</v>
      </c>
      <c r="CB69" s="134">
        <f t="shared" si="43"/>
        <v>17.53125</v>
      </c>
      <c r="CC69" s="133">
        <f t="shared" si="44"/>
        <v>0.33638344226577677</v>
      </c>
      <c r="CD69" s="126"/>
      <c r="CE69" s="126"/>
    </row>
    <row r="70" spans="1:83" s="475" customFormat="1">
      <c r="A70" s="192">
        <f t="shared" si="29"/>
        <v>45191.736111111109</v>
      </c>
      <c r="B70" s="126" t="s">
        <v>228</v>
      </c>
      <c r="C70" s="126" t="s">
        <v>229</v>
      </c>
      <c r="D70" s="126" t="s">
        <v>197</v>
      </c>
      <c r="E70" s="65" t="s">
        <v>1084</v>
      </c>
      <c r="F70" s="126"/>
      <c r="G70" s="316">
        <v>45188.666666666664</v>
      </c>
      <c r="H70" s="316">
        <v>45188.574999999997</v>
      </c>
      <c r="I70" s="126" t="s">
        <v>231</v>
      </c>
      <c r="J70" s="126" t="s">
        <v>192</v>
      </c>
      <c r="K70" s="126" t="s">
        <v>192</v>
      </c>
      <c r="L70" s="126" t="s">
        <v>2766</v>
      </c>
      <c r="M70" s="529"/>
      <c r="N70" s="126" t="s">
        <v>437</v>
      </c>
      <c r="O70" s="126" t="s">
        <v>320</v>
      </c>
      <c r="P70" s="662" t="s">
        <v>235</v>
      </c>
      <c r="Q70" s="181">
        <f>3136*2.4</f>
        <v>7526.4</v>
      </c>
      <c r="R70" s="181">
        <f>7550+100</f>
        <v>7650</v>
      </c>
      <c r="S70" s="181">
        <v>7518.4290000000001</v>
      </c>
      <c r="T70" s="181"/>
      <c r="U70" s="663"/>
      <c r="V70" s="663"/>
      <c r="W70" s="663"/>
      <c r="X70" s="181">
        <f>S70</f>
        <v>7518.4290000000001</v>
      </c>
      <c r="Y70" s="126"/>
      <c r="Z70" s="663"/>
      <c r="AA70" s="663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  <c r="AW70" s="126"/>
      <c r="AX70" s="126"/>
      <c r="AY70" s="165">
        <f t="shared" si="34"/>
        <v>45187.059027777781</v>
      </c>
      <c r="AZ70" s="165">
        <f t="shared" si="35"/>
        <v>45208.020833333336</v>
      </c>
      <c r="BA70" s="137">
        <f t="shared" si="36"/>
        <v>20.961805555554747</v>
      </c>
      <c r="BB70" s="165">
        <v>45187.059027777781</v>
      </c>
      <c r="BC70" s="165">
        <v>45188.569444444445</v>
      </c>
      <c r="BD70" s="165">
        <v>45190.236111111109</v>
      </c>
      <c r="BE70" s="165">
        <v>45191.736111111109</v>
      </c>
      <c r="BF70" s="165">
        <v>45191.947916666664</v>
      </c>
      <c r="BG70" s="165">
        <v>45191.954861111109</v>
      </c>
      <c r="BH70" s="165">
        <v>45191.951388888891</v>
      </c>
      <c r="BI70" s="165">
        <f t="shared" si="30"/>
        <v>45193.659722222226</v>
      </c>
      <c r="BJ70" s="362">
        <v>45198.25</v>
      </c>
      <c r="BK70" s="362">
        <v>45198.416666666664</v>
      </c>
      <c r="BL70" s="362">
        <v>45198.295138888891</v>
      </c>
      <c r="BM70" s="165">
        <v>45199.458333333336</v>
      </c>
      <c r="BN70" s="165">
        <v>45207.513888888891</v>
      </c>
      <c r="BO70" s="165">
        <v>45207.763888888891</v>
      </c>
      <c r="BP70" s="165">
        <v>45207.784722222226</v>
      </c>
      <c r="BQ70" s="165">
        <v>45207.784722222226</v>
      </c>
      <c r="BR70" s="165">
        <v>45208.020833333336</v>
      </c>
      <c r="BS70" s="126"/>
      <c r="BT70" s="126"/>
      <c r="BU70" s="136">
        <f t="shared" si="37"/>
        <v>39.999999999941792</v>
      </c>
      <c r="BV70" s="136">
        <f t="shared" si="38"/>
        <v>5.0833333333139308</v>
      </c>
      <c r="BW70" s="136">
        <f t="shared" si="39"/>
        <v>41.000000000058208</v>
      </c>
      <c r="BX70" s="136">
        <f t="shared" ref="BX70:BX80" si="45">(BM70-BK70)*24</f>
        <v>25.000000000116415</v>
      </c>
      <c r="BY70" s="135">
        <f t="shared" si="40"/>
        <v>6</v>
      </c>
      <c r="BZ70" s="135">
        <f t="shared" si="41"/>
        <v>5.6666666666278616</v>
      </c>
      <c r="CA70" s="134">
        <f t="shared" si="42"/>
        <v>5.1145833333357587</v>
      </c>
      <c r="CB70" s="134">
        <f t="shared" si="43"/>
        <v>20.961805555554747</v>
      </c>
      <c r="CC70" s="133">
        <f t="shared" si="44"/>
        <v>0.2439953619348609</v>
      </c>
      <c r="CD70" s="126"/>
      <c r="CE70" s="126"/>
    </row>
    <row r="71" spans="1:83" s="475" customFormat="1">
      <c r="A71" s="521">
        <f t="shared" si="29"/>
        <v>45191.979166666664</v>
      </c>
      <c r="B71" s="369" t="s">
        <v>228</v>
      </c>
      <c r="C71" s="369" t="s">
        <v>229</v>
      </c>
      <c r="D71" s="369" t="s">
        <v>197</v>
      </c>
      <c r="E71" s="271" t="s">
        <v>1084</v>
      </c>
      <c r="F71" s="369"/>
      <c r="G71" s="492">
        <v>45188.666666666664</v>
      </c>
      <c r="H71" s="492">
        <v>45188.574999999997</v>
      </c>
      <c r="I71" s="369" t="s">
        <v>231</v>
      </c>
      <c r="J71" s="369" t="s">
        <v>192</v>
      </c>
      <c r="K71" s="369" t="s">
        <v>192</v>
      </c>
      <c r="L71" s="126" t="s">
        <v>2767</v>
      </c>
      <c r="M71" s="529"/>
      <c r="N71" s="369" t="s">
        <v>226</v>
      </c>
      <c r="O71" s="369" t="s">
        <v>227</v>
      </c>
      <c r="P71" s="649" t="s">
        <v>235</v>
      </c>
      <c r="Q71" s="520">
        <v>7500</v>
      </c>
      <c r="R71" s="520">
        <v>7500</v>
      </c>
      <c r="S71" s="520">
        <v>7401.6019999999999</v>
      </c>
      <c r="T71" s="520"/>
      <c r="U71" s="650"/>
      <c r="V71" s="650"/>
      <c r="W71" s="650"/>
      <c r="X71" s="520">
        <f>S71</f>
        <v>7401.6019999999999</v>
      </c>
      <c r="Y71" s="369"/>
      <c r="Z71" s="650"/>
      <c r="AA71" s="650"/>
      <c r="AB71" s="369"/>
      <c r="AC71" s="369"/>
      <c r="AD71" s="369"/>
      <c r="AE71" s="369"/>
      <c r="AF71" s="369"/>
      <c r="AG71" s="369"/>
      <c r="AH71" s="369"/>
      <c r="AI71" s="369"/>
      <c r="AJ71" s="369"/>
      <c r="AK71" s="369"/>
      <c r="AL71" s="369"/>
      <c r="AM71" s="369"/>
      <c r="AN71" s="369"/>
      <c r="AO71" s="369"/>
      <c r="AP71" s="369"/>
      <c r="AQ71" s="369"/>
      <c r="AR71" s="369"/>
      <c r="AS71" s="369"/>
      <c r="AT71" s="369"/>
      <c r="AU71" s="369"/>
      <c r="AV71" s="369"/>
      <c r="AW71" s="369"/>
      <c r="AX71" s="369"/>
      <c r="AY71" s="522">
        <f t="shared" si="34"/>
        <v>45186.881944444445</v>
      </c>
      <c r="AZ71" s="522">
        <f t="shared" si="35"/>
        <v>45208.402777777781</v>
      </c>
      <c r="BA71" s="523">
        <f t="shared" si="36"/>
        <v>21.520833333335759</v>
      </c>
      <c r="BB71" s="522">
        <v>45186.881944444445</v>
      </c>
      <c r="BC71" s="522">
        <v>45188.572916666664</v>
      </c>
      <c r="BD71" s="522">
        <v>45190.354166666664</v>
      </c>
      <c r="BE71" s="522">
        <v>45191.979166666664</v>
      </c>
      <c r="BF71" s="522">
        <v>45192.128472222219</v>
      </c>
      <c r="BG71" s="522">
        <v>45192.135416666664</v>
      </c>
      <c r="BH71" s="522">
        <v>45192.145833333336</v>
      </c>
      <c r="BI71" s="522">
        <f t="shared" si="30"/>
        <v>45193.854166666672</v>
      </c>
      <c r="BJ71" s="524">
        <v>45198.25</v>
      </c>
      <c r="BK71" s="524">
        <v>45198.416666666664</v>
      </c>
      <c r="BL71" s="522">
        <v>45198.388888888891</v>
      </c>
      <c r="BM71" s="522">
        <v>45199.729166666664</v>
      </c>
      <c r="BN71" s="522">
        <v>45207.847222222219</v>
      </c>
      <c r="BO71" s="522">
        <v>45208.083333333336</v>
      </c>
      <c r="BP71" s="522">
        <v>45208.104166666672</v>
      </c>
      <c r="BQ71" s="522">
        <v>45208.104166666664</v>
      </c>
      <c r="BR71" s="522">
        <v>45208.402777777781</v>
      </c>
      <c r="BS71" s="369"/>
      <c r="BT71" s="369"/>
      <c r="BU71" s="525">
        <f t="shared" si="37"/>
        <v>42.75</v>
      </c>
      <c r="BV71" s="525">
        <f t="shared" si="38"/>
        <v>3.5833333333139308</v>
      </c>
      <c r="BW71" s="525">
        <f t="shared" si="39"/>
        <v>41.000000000058208</v>
      </c>
      <c r="BX71" s="525">
        <f t="shared" si="45"/>
        <v>31.5</v>
      </c>
      <c r="BY71" s="526">
        <f t="shared" si="40"/>
        <v>5.6666666668024845</v>
      </c>
      <c r="BZ71" s="526">
        <f t="shared" si="41"/>
        <v>7.1666666668024845</v>
      </c>
      <c r="CA71" s="304">
        <f t="shared" si="42"/>
        <v>5.4861111111240461</v>
      </c>
      <c r="CB71" s="304">
        <f t="shared" si="43"/>
        <v>21.520833333335759</v>
      </c>
      <c r="CC71" s="305">
        <f t="shared" si="44"/>
        <v>0.25492094224000439</v>
      </c>
      <c r="CD71" s="369"/>
      <c r="CE71" s="369"/>
    </row>
    <row r="72" spans="1:83" s="475" customFormat="1">
      <c r="A72" s="474">
        <f t="shared" si="29"/>
        <v>45197.819444444445</v>
      </c>
      <c r="B72" s="475" t="s">
        <v>228</v>
      </c>
      <c r="C72" s="475" t="s">
        <v>229</v>
      </c>
      <c r="D72" s="475" t="s">
        <v>197</v>
      </c>
      <c r="E72" s="476" t="s">
        <v>994</v>
      </c>
      <c r="G72" s="472">
        <v>45194.916666666664</v>
      </c>
      <c r="H72" s="472">
        <v>45194.895833333336</v>
      </c>
      <c r="I72" s="475" t="s">
        <v>231</v>
      </c>
      <c r="J72" s="475" t="s">
        <v>192</v>
      </c>
      <c r="K72" s="475" t="s">
        <v>192</v>
      </c>
      <c r="L72" s="475" t="s">
        <v>2768</v>
      </c>
      <c r="M72" s="529"/>
      <c r="N72" s="475" t="s">
        <v>284</v>
      </c>
      <c r="O72" s="475" t="s">
        <v>285</v>
      </c>
      <c r="P72" s="399" t="s">
        <v>418</v>
      </c>
      <c r="Q72" s="477">
        <f>3852*2.4</f>
        <v>9244.7999999999993</v>
      </c>
      <c r="R72" s="477">
        <f>9250+100</f>
        <v>9350</v>
      </c>
      <c r="S72" s="477">
        <v>9224.43</v>
      </c>
      <c r="T72" s="477"/>
      <c r="U72" s="575"/>
      <c r="X72" s="477">
        <f>S72*0.6</f>
        <v>5534.6580000000004</v>
      </c>
      <c r="Y72" s="477">
        <f>S72*0.4</f>
        <v>3689.7720000000004</v>
      </c>
      <c r="AY72" s="473">
        <f t="shared" si="34"/>
        <v>45185.381944444445</v>
      </c>
      <c r="AZ72" s="473">
        <f t="shared" si="35"/>
        <v>45210.854166666664</v>
      </c>
      <c r="BA72" s="479">
        <f t="shared" si="36"/>
        <v>25.472222222218988</v>
      </c>
      <c r="BB72" s="473">
        <v>45185.381944444445</v>
      </c>
      <c r="BC72" s="473">
        <v>45188.590277777781</v>
      </c>
      <c r="BD72" s="473">
        <v>45190.291666666664</v>
      </c>
      <c r="BE72" s="473">
        <v>45197.819444444445</v>
      </c>
      <c r="BF72" s="473">
        <v>45197.986111111109</v>
      </c>
      <c r="BG72" s="473">
        <v>45197.989583333336</v>
      </c>
      <c r="BH72" s="473">
        <v>45197.989583333336</v>
      </c>
      <c r="BI72" s="473">
        <f t="shared" si="30"/>
        <v>45199.697916666672</v>
      </c>
      <c r="BJ72" s="473">
        <v>45207.583333333336</v>
      </c>
      <c r="BK72" s="473">
        <v>45207.75</v>
      </c>
      <c r="BL72" s="473">
        <v>45207.673611111109</v>
      </c>
      <c r="BM72" s="473">
        <v>45209.041666666664</v>
      </c>
      <c r="BN72" s="473">
        <v>45210.256944444445</v>
      </c>
      <c r="BO72" s="473">
        <v>45210.628472222219</v>
      </c>
      <c r="BP72" s="473">
        <v>45210.638888888891</v>
      </c>
      <c r="BQ72" s="473">
        <v>45210.638888888891</v>
      </c>
      <c r="BR72" s="473">
        <v>45210.854166666664</v>
      </c>
      <c r="BU72" s="481">
        <f t="shared" si="37"/>
        <v>40.833333333197515</v>
      </c>
      <c r="BV72" s="481">
        <f t="shared" si="38"/>
        <v>3.9999999999417923</v>
      </c>
      <c r="BW72" s="481">
        <f t="shared" si="39"/>
        <v>41.000000000058208</v>
      </c>
      <c r="BX72" s="481">
        <f t="shared" si="45"/>
        <v>30.999999999941792</v>
      </c>
      <c r="BY72" s="482">
        <f t="shared" si="40"/>
        <v>8.9166666665696539</v>
      </c>
      <c r="BZ72" s="482">
        <f t="shared" si="41"/>
        <v>5.1666666665696539</v>
      </c>
      <c r="CA72" s="483">
        <f t="shared" si="42"/>
        <v>5.4548611110949423</v>
      </c>
      <c r="CB72" s="483">
        <f t="shared" si="43"/>
        <v>25.472222222218988</v>
      </c>
      <c r="CC72" s="484">
        <f t="shared" si="44"/>
        <v>0.21414940021749493</v>
      </c>
    </row>
    <row r="73" spans="1:83" s="126" customFormat="1">
      <c r="A73" s="474">
        <f t="shared" si="29"/>
        <v>45198.239583333336</v>
      </c>
      <c r="B73" s="475" t="s">
        <v>228</v>
      </c>
      <c r="C73" s="475" t="s">
        <v>229</v>
      </c>
      <c r="D73" s="475" t="s">
        <v>197</v>
      </c>
      <c r="E73" s="476" t="s">
        <v>994</v>
      </c>
      <c r="F73" s="475"/>
      <c r="G73" s="472">
        <v>45194.916666666664</v>
      </c>
      <c r="H73" s="472">
        <v>45194.895833333336</v>
      </c>
      <c r="I73" s="475" t="s">
        <v>231</v>
      </c>
      <c r="J73" s="475" t="s">
        <v>192</v>
      </c>
      <c r="K73" s="475" t="s">
        <v>192</v>
      </c>
      <c r="L73" s="475" t="s">
        <v>2769</v>
      </c>
      <c r="M73" s="529"/>
      <c r="N73" s="475" t="s">
        <v>2210</v>
      </c>
      <c r="O73" s="475" t="s">
        <v>493</v>
      </c>
      <c r="P73" s="399" t="s">
        <v>418</v>
      </c>
      <c r="Q73" s="477">
        <f>3141*2.4</f>
        <v>7538.4</v>
      </c>
      <c r="R73" s="477">
        <f>7550+100</f>
        <v>7650</v>
      </c>
      <c r="S73" s="477">
        <v>7465.5659999999998</v>
      </c>
      <c r="T73" s="477"/>
      <c r="U73" s="401"/>
      <c r="V73" s="475"/>
      <c r="W73" s="401"/>
      <c r="X73" s="477">
        <f>S73*0.6</f>
        <v>4479.3395999999993</v>
      </c>
      <c r="Y73" s="477">
        <f>S73*0.4</f>
        <v>2986.2264</v>
      </c>
      <c r="Z73" s="401"/>
      <c r="AA73" s="401"/>
      <c r="AB73" s="475"/>
      <c r="AC73" s="475"/>
      <c r="AD73" s="475"/>
      <c r="AE73" s="475"/>
      <c r="AF73" s="475"/>
      <c r="AG73" s="475"/>
      <c r="AH73" s="475"/>
      <c r="AI73" s="475"/>
      <c r="AJ73" s="475"/>
      <c r="AK73" s="475"/>
      <c r="AL73" s="475"/>
      <c r="AM73" s="475"/>
      <c r="AN73" s="475"/>
      <c r="AO73" s="475"/>
      <c r="AP73" s="475"/>
      <c r="AQ73" s="475"/>
      <c r="AR73" s="475"/>
      <c r="AS73" s="475"/>
      <c r="AT73" s="475"/>
      <c r="AU73" s="475"/>
      <c r="AV73" s="475"/>
      <c r="AW73" s="475"/>
      <c r="AX73" s="475"/>
      <c r="AY73" s="473">
        <f t="shared" si="34"/>
        <v>45188.479166666664</v>
      </c>
      <c r="AZ73" s="473">
        <f t="shared" si="35"/>
        <v>45211.75</v>
      </c>
      <c r="BA73" s="479">
        <f t="shared" si="36"/>
        <v>23.270833333335759</v>
      </c>
      <c r="BB73" s="473">
        <v>45188.479166666664</v>
      </c>
      <c r="BC73" s="473">
        <v>45189.604166666664</v>
      </c>
      <c r="BD73" s="473">
        <v>45191.625</v>
      </c>
      <c r="BE73" s="473">
        <v>45198.239583333336</v>
      </c>
      <c r="BF73" s="473">
        <v>45198.444444444445</v>
      </c>
      <c r="BG73" s="473">
        <v>45198.451388888891</v>
      </c>
      <c r="BH73" s="473">
        <v>45198.451388888891</v>
      </c>
      <c r="BI73" s="473">
        <f t="shared" si="30"/>
        <v>45200.159722222226</v>
      </c>
      <c r="BJ73" s="473">
        <v>45207.583333333336</v>
      </c>
      <c r="BK73" s="473">
        <v>45207.75</v>
      </c>
      <c r="BL73" s="473">
        <v>45207.670138888891</v>
      </c>
      <c r="BM73" s="473">
        <v>45209.416666666664</v>
      </c>
      <c r="BN73" s="473">
        <v>45211.003472222219</v>
      </c>
      <c r="BO73" s="473">
        <v>45211.291666666664</v>
      </c>
      <c r="BP73" s="473">
        <v>45211.302083333336</v>
      </c>
      <c r="BQ73" s="473">
        <v>45211.302083333336</v>
      </c>
      <c r="BR73" s="473">
        <v>45211.75</v>
      </c>
      <c r="BS73" s="475" t="s">
        <v>2770</v>
      </c>
      <c r="BT73" s="475"/>
      <c r="BU73" s="481">
        <f t="shared" si="37"/>
        <v>48.500000000058208</v>
      </c>
      <c r="BV73" s="481">
        <f t="shared" si="38"/>
        <v>4.9166666666278616</v>
      </c>
      <c r="BW73" s="481">
        <f t="shared" si="39"/>
        <v>41.000000000058208</v>
      </c>
      <c r="BX73" s="481">
        <f t="shared" si="45"/>
        <v>39.999999999941792</v>
      </c>
      <c r="BY73" s="482">
        <f t="shared" si="40"/>
        <v>6.9166666666860692</v>
      </c>
      <c r="BZ73" s="482">
        <f t="shared" si="41"/>
        <v>10.749999999941792</v>
      </c>
      <c r="CA73" s="483">
        <f t="shared" si="42"/>
        <v>6.3368055555547471</v>
      </c>
      <c r="CB73" s="483">
        <f t="shared" si="43"/>
        <v>23.270833333335759</v>
      </c>
      <c r="CC73" s="484">
        <f t="shared" si="44"/>
        <v>0.27230677409722126</v>
      </c>
      <c r="CD73" s="475"/>
      <c r="CE73" s="475"/>
    </row>
    <row r="74" spans="1:83" s="475" customFormat="1">
      <c r="A74" s="474">
        <f t="shared" si="29"/>
        <v>45198.475694444445</v>
      </c>
      <c r="B74" s="475" t="s">
        <v>228</v>
      </c>
      <c r="C74" s="475" t="s">
        <v>229</v>
      </c>
      <c r="D74" s="475" t="s">
        <v>197</v>
      </c>
      <c r="E74" s="476" t="s">
        <v>994</v>
      </c>
      <c r="G74" s="472">
        <v>45194.916666666664</v>
      </c>
      <c r="H74" s="472">
        <v>45194.895833333336</v>
      </c>
      <c r="I74" s="475" t="s">
        <v>231</v>
      </c>
      <c r="J74" s="475" t="s">
        <v>192</v>
      </c>
      <c r="K74" s="475" t="s">
        <v>192</v>
      </c>
      <c r="L74" s="475" t="s">
        <v>2771</v>
      </c>
      <c r="M74" s="529"/>
      <c r="N74" s="475" t="s">
        <v>2388</v>
      </c>
      <c r="O74" s="475" t="s">
        <v>289</v>
      </c>
      <c r="P74" s="399" t="s">
        <v>418</v>
      </c>
      <c r="Q74" s="477">
        <f>3107*2.4</f>
        <v>7456.7999999999993</v>
      </c>
      <c r="R74" s="477">
        <f>7500+100</f>
        <v>7600</v>
      </c>
      <c r="S74" s="477">
        <v>7520.1329999999998</v>
      </c>
      <c r="T74" s="477"/>
      <c r="U74" s="401"/>
      <c r="W74" s="401"/>
      <c r="X74" s="477">
        <f>S74*0.6</f>
        <v>4512.0797999999995</v>
      </c>
      <c r="Y74" s="477">
        <f>S74*0.4</f>
        <v>3008.0532000000003</v>
      </c>
      <c r="Z74" s="401"/>
      <c r="AA74" s="401"/>
      <c r="AY74" s="473">
        <f t="shared" si="34"/>
        <v>45187.461805555555</v>
      </c>
      <c r="AZ74" s="473">
        <f t="shared" si="35"/>
        <v>45210.364583333336</v>
      </c>
      <c r="BA74" s="479">
        <f t="shared" si="36"/>
        <v>22.902777777781012</v>
      </c>
      <c r="BB74" s="473">
        <v>45187.461805555555</v>
      </c>
      <c r="BC74" s="473">
        <v>45190.590277777781</v>
      </c>
      <c r="BD74" s="473">
        <v>45192.548611111109</v>
      </c>
      <c r="BE74" s="473">
        <v>45198.475694444445</v>
      </c>
      <c r="BF74" s="473">
        <v>45198.618055555555</v>
      </c>
      <c r="BG74" s="473">
        <v>45198.621527777781</v>
      </c>
      <c r="BH74" s="473">
        <v>45198.621527777781</v>
      </c>
      <c r="BI74" s="473">
        <f t="shared" si="30"/>
        <v>45200.329861111117</v>
      </c>
      <c r="BJ74" s="473">
        <v>45207.583333333336</v>
      </c>
      <c r="BK74" s="473">
        <v>45207.75</v>
      </c>
      <c r="BL74" s="473">
        <v>45207.59375</v>
      </c>
      <c r="BM74" s="473">
        <v>45208.875</v>
      </c>
      <c r="BN74" s="473">
        <v>45209.572916666664</v>
      </c>
      <c r="BO74" s="473">
        <v>45209.895833333336</v>
      </c>
      <c r="BP74" s="473">
        <v>45209.90625</v>
      </c>
      <c r="BQ74" s="473">
        <v>45210.128472222219</v>
      </c>
      <c r="BR74" s="473">
        <v>45210.364583333336</v>
      </c>
      <c r="BU74" s="481">
        <f t="shared" si="37"/>
        <v>46.999999999883585</v>
      </c>
      <c r="BV74" s="481">
        <f t="shared" si="38"/>
        <v>3.4166666666278616</v>
      </c>
      <c r="BW74" s="481">
        <f t="shared" si="39"/>
        <v>41.000000000058208</v>
      </c>
      <c r="BX74" s="481">
        <f t="shared" si="45"/>
        <v>27</v>
      </c>
      <c r="BY74" s="482">
        <f t="shared" si="40"/>
        <v>7.7500000001164153</v>
      </c>
      <c r="BZ74" s="482">
        <f t="shared" si="41"/>
        <v>5.6666666668024845</v>
      </c>
      <c r="CA74" s="483">
        <f t="shared" si="42"/>
        <v>5.4930555555620231</v>
      </c>
      <c r="CB74" s="483">
        <f t="shared" si="43"/>
        <v>22.902777777781012</v>
      </c>
      <c r="CC74" s="484">
        <f t="shared" si="44"/>
        <v>0.23984232868429947</v>
      </c>
    </row>
    <row r="75" spans="1:83" s="475" customFormat="1">
      <c r="A75" s="192"/>
      <c r="B75" s="126"/>
      <c r="C75" s="126"/>
      <c r="D75" s="126" t="s">
        <v>197</v>
      </c>
      <c r="E75" s="65"/>
      <c r="F75" s="126"/>
      <c r="G75" s="166"/>
      <c r="H75" s="166"/>
      <c r="I75" s="126"/>
      <c r="J75" s="126" t="s">
        <v>2757</v>
      </c>
      <c r="K75" s="662"/>
      <c r="L75" s="126" t="s">
        <v>2772</v>
      </c>
      <c r="M75" s="167"/>
      <c r="N75" s="126" t="s">
        <v>505</v>
      </c>
      <c r="O75" s="126" t="s">
        <v>340</v>
      </c>
      <c r="P75" s="126"/>
      <c r="Q75" s="181">
        <v>7500</v>
      </c>
      <c r="R75" s="181">
        <v>7500</v>
      </c>
      <c r="S75" s="181"/>
      <c r="T75" s="181"/>
      <c r="U75" s="663"/>
      <c r="V75" s="126"/>
      <c r="W75" s="663"/>
      <c r="X75" s="663"/>
      <c r="Y75" s="663"/>
      <c r="Z75" s="663"/>
      <c r="AA75" s="663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/>
      <c r="AY75" s="165">
        <f t="shared" si="34"/>
        <v>45185.840277777781</v>
      </c>
      <c r="AZ75" s="165">
        <f t="shared" si="35"/>
        <v>45200</v>
      </c>
      <c r="BA75" s="137">
        <f t="shared" si="36"/>
        <v>14.159722222218988</v>
      </c>
      <c r="BB75" s="165">
        <v>45185.840277777781</v>
      </c>
      <c r="BC75" s="165"/>
      <c r="BD75" s="165"/>
      <c r="BE75" s="165"/>
      <c r="BF75" s="165"/>
      <c r="BG75" s="165"/>
      <c r="BH75" s="165"/>
      <c r="BI75" s="165"/>
      <c r="BJ75" s="362"/>
      <c r="BK75" s="362"/>
      <c r="BL75" s="166"/>
      <c r="BM75" s="165"/>
      <c r="BN75" s="165"/>
      <c r="BO75" s="165"/>
      <c r="BP75" s="165"/>
      <c r="BQ75" s="165"/>
      <c r="BR75" s="165">
        <v>45200</v>
      </c>
      <c r="BS75" s="126"/>
      <c r="BT75" s="126"/>
      <c r="BU75" s="136">
        <f t="shared" si="37"/>
        <v>0</v>
      </c>
      <c r="BV75" s="136">
        <f t="shared" si="38"/>
        <v>0</v>
      </c>
      <c r="BW75" s="136">
        <f t="shared" si="39"/>
        <v>0</v>
      </c>
      <c r="BX75" s="136">
        <f t="shared" si="45"/>
        <v>0</v>
      </c>
      <c r="BY75" s="135">
        <f t="shared" si="40"/>
        <v>0</v>
      </c>
      <c r="BZ75" s="135">
        <f t="shared" si="41"/>
        <v>1084800</v>
      </c>
      <c r="CA75" s="134">
        <f t="shared" si="42"/>
        <v>45200</v>
      </c>
      <c r="CB75" s="134">
        <f t="shared" si="43"/>
        <v>14.159722222218988</v>
      </c>
      <c r="CC75" s="133">
        <f t="shared" si="44"/>
        <v>3192.1530161851333</v>
      </c>
      <c r="CD75" s="126"/>
      <c r="CE75" s="126"/>
    </row>
    <row r="76" spans="1:83" s="475" customFormat="1">
      <c r="A76" s="474">
        <f t="shared" ref="A76:A107" si="46">BE76</f>
        <v>45198.642361111109</v>
      </c>
      <c r="B76" s="475" t="s">
        <v>228</v>
      </c>
      <c r="C76" s="475" t="s">
        <v>229</v>
      </c>
      <c r="D76" s="475" t="s">
        <v>197</v>
      </c>
      <c r="E76" s="476" t="s">
        <v>994</v>
      </c>
      <c r="G76" s="472">
        <v>45194.916666666664</v>
      </c>
      <c r="H76" s="472">
        <v>45194.895833333336</v>
      </c>
      <c r="I76" s="475" t="s">
        <v>231</v>
      </c>
      <c r="J76" s="475" t="s">
        <v>192</v>
      </c>
      <c r="K76" s="475" t="s">
        <v>192</v>
      </c>
      <c r="L76" s="475" t="s">
        <v>2773</v>
      </c>
      <c r="M76" s="529"/>
      <c r="N76" s="475" t="s">
        <v>1767</v>
      </c>
      <c r="O76" s="475" t="s">
        <v>2352</v>
      </c>
      <c r="P76" s="399" t="s">
        <v>418</v>
      </c>
      <c r="Q76" s="477">
        <f>3139*2.4</f>
        <v>7533.5999999999995</v>
      </c>
      <c r="R76" s="477">
        <f>7550+100</f>
        <v>7650</v>
      </c>
      <c r="S76" s="477">
        <v>7428.2370000000001</v>
      </c>
      <c r="T76" s="477"/>
      <c r="W76" s="401"/>
      <c r="X76" s="477">
        <f>S76*0.6</f>
        <v>4456.9421999999995</v>
      </c>
      <c r="Y76" s="477">
        <f>S76*0.4</f>
        <v>2971.2948000000001</v>
      </c>
      <c r="AY76" s="473">
        <f t="shared" si="34"/>
        <v>45189.038194444445</v>
      </c>
      <c r="AZ76" s="473">
        <f t="shared" si="35"/>
        <v>45210.670138888891</v>
      </c>
      <c r="BA76" s="479">
        <f t="shared" si="36"/>
        <v>21.631944444445253</v>
      </c>
      <c r="BB76" s="473">
        <v>45189.038194444445</v>
      </c>
      <c r="BC76" s="473">
        <v>45190.802083333336</v>
      </c>
      <c r="BD76" s="473">
        <v>45193.048611111109</v>
      </c>
      <c r="BE76" s="473">
        <v>45198.642361111109</v>
      </c>
      <c r="BF76" s="473">
        <v>45198.871527777781</v>
      </c>
      <c r="BG76" s="473">
        <v>45198.875</v>
      </c>
      <c r="BH76" s="473">
        <v>45199.229166666664</v>
      </c>
      <c r="BI76" s="473">
        <f>BH76+(41/24)</f>
        <v>45200.9375</v>
      </c>
      <c r="BJ76" s="473">
        <v>45207.583333333336</v>
      </c>
      <c r="BK76" s="473">
        <v>45207.75</v>
      </c>
      <c r="BL76" s="473">
        <v>45207.673611111109</v>
      </c>
      <c r="BM76" s="473">
        <v>45209.125</v>
      </c>
      <c r="BN76" s="473">
        <v>45209.927083333336</v>
      </c>
      <c r="BO76" s="473">
        <v>45210.225694444445</v>
      </c>
      <c r="BP76" s="473">
        <v>45210.236111111109</v>
      </c>
      <c r="BQ76" s="473">
        <v>45210.236111111109</v>
      </c>
      <c r="BR76" s="473">
        <v>45210.670138888891</v>
      </c>
      <c r="BU76" s="481">
        <f t="shared" si="37"/>
        <v>53.916666666569654</v>
      </c>
      <c r="BV76" s="481">
        <f t="shared" si="38"/>
        <v>5.5000000001164153</v>
      </c>
      <c r="BW76" s="481">
        <f t="shared" si="39"/>
        <v>41.000000000058208</v>
      </c>
      <c r="BX76" s="481">
        <f t="shared" si="45"/>
        <v>33</v>
      </c>
      <c r="BY76" s="482">
        <f t="shared" si="40"/>
        <v>7.1666666666278616</v>
      </c>
      <c r="BZ76" s="482">
        <f t="shared" si="41"/>
        <v>10.416666666744277</v>
      </c>
      <c r="CA76" s="483">
        <f t="shared" si="42"/>
        <v>6.2916666666715173</v>
      </c>
      <c r="CB76" s="483">
        <f t="shared" si="43"/>
        <v>21.631944444445253</v>
      </c>
      <c r="CC76" s="484">
        <f t="shared" si="44"/>
        <v>0.29085072231160986</v>
      </c>
    </row>
    <row r="77" spans="1:83" s="475" customFormat="1">
      <c r="A77" s="474">
        <f t="shared" si="46"/>
        <v>45199.118055555555</v>
      </c>
      <c r="B77" s="475" t="s">
        <v>228</v>
      </c>
      <c r="C77" s="475" t="s">
        <v>229</v>
      </c>
      <c r="D77" s="475" t="s">
        <v>215</v>
      </c>
      <c r="E77" s="476" t="s">
        <v>994</v>
      </c>
      <c r="F77" s="399"/>
      <c r="G77" s="472">
        <v>45194.916666666664</v>
      </c>
      <c r="H77" s="472">
        <v>45194.895833333336</v>
      </c>
      <c r="I77" s="475" t="s">
        <v>231</v>
      </c>
      <c r="J77" s="475" t="s">
        <v>192</v>
      </c>
      <c r="K77" s="475" t="s">
        <v>192</v>
      </c>
      <c r="L77" s="475" t="s">
        <v>2774</v>
      </c>
      <c r="M77" s="529"/>
      <c r="N77" s="475" t="s">
        <v>358</v>
      </c>
      <c r="O77" s="475" t="s">
        <v>359</v>
      </c>
      <c r="P77" s="399" t="s">
        <v>418</v>
      </c>
      <c r="Q77" s="477">
        <f>3852*2.4</f>
        <v>9244.7999999999993</v>
      </c>
      <c r="R77" s="477">
        <v>9250</v>
      </c>
      <c r="S77" s="477">
        <v>9160.7420000000002</v>
      </c>
      <c r="T77" s="477"/>
      <c r="W77" s="401"/>
      <c r="X77" s="477">
        <f>S77*0.6</f>
        <v>5496.4452000000001</v>
      </c>
      <c r="Y77" s="477">
        <f>S77*0.4</f>
        <v>3664.2968000000001</v>
      </c>
      <c r="Z77" s="575"/>
      <c r="AA77" s="577"/>
      <c r="AY77" s="473">
        <f t="shared" si="34"/>
        <v>45192.9375</v>
      </c>
      <c r="AZ77" s="473">
        <f t="shared" si="35"/>
        <v>45209.791666666664</v>
      </c>
      <c r="BA77" s="479">
        <f t="shared" si="36"/>
        <v>16.854166666664241</v>
      </c>
      <c r="BB77" s="473">
        <v>45192.9375</v>
      </c>
      <c r="BC77" s="473">
        <v>45193.75</v>
      </c>
      <c r="BD77" s="473">
        <v>45198.291666666664</v>
      </c>
      <c r="BE77" s="473">
        <v>45199.118055555555</v>
      </c>
      <c r="BF77" s="473">
        <v>45199.484027777777</v>
      </c>
      <c r="BG77" s="473">
        <v>45199.493055555555</v>
      </c>
      <c r="BH77" s="473">
        <v>45199.493055555555</v>
      </c>
      <c r="BI77" s="473">
        <f>BH77+(41/24)</f>
        <v>45201.201388888891</v>
      </c>
      <c r="BJ77" s="473">
        <v>45207.583333333336</v>
      </c>
      <c r="BK77" s="473">
        <v>45207.75</v>
      </c>
      <c r="BL77" s="473">
        <v>45207.611111111109</v>
      </c>
      <c r="BM77" s="473">
        <v>45208.916666666664</v>
      </c>
      <c r="BN77" s="473">
        <v>45209.083333333336</v>
      </c>
      <c r="BO77" s="473">
        <v>45209.524305555555</v>
      </c>
      <c r="BP77" s="473">
        <v>45209.534722222219</v>
      </c>
      <c r="BQ77" s="473">
        <v>45209.534722222219</v>
      </c>
      <c r="BR77" s="473">
        <v>45209.791666666664</v>
      </c>
      <c r="BU77" s="481">
        <f t="shared" si="37"/>
        <v>108.99999999994179</v>
      </c>
      <c r="BV77" s="481">
        <f t="shared" si="38"/>
        <v>8.7833333333255723</v>
      </c>
      <c r="BW77" s="481">
        <f t="shared" si="39"/>
        <v>41.000000000058208</v>
      </c>
      <c r="BX77" s="481">
        <f t="shared" si="45"/>
        <v>27.999999999941792</v>
      </c>
      <c r="BY77" s="482">
        <f t="shared" si="40"/>
        <v>10.583333333255723</v>
      </c>
      <c r="BZ77" s="482">
        <f t="shared" si="41"/>
        <v>6.1666666666860692</v>
      </c>
      <c r="CA77" s="483">
        <f t="shared" si="42"/>
        <v>8.4805555555503815</v>
      </c>
      <c r="CB77" s="483">
        <f t="shared" si="43"/>
        <v>16.854166666664241</v>
      </c>
      <c r="CC77" s="484">
        <f t="shared" si="44"/>
        <v>0.50317264112049065</v>
      </c>
    </row>
    <row r="78" spans="1:83" s="369" customFormat="1">
      <c r="A78" s="192">
        <f t="shared" si="46"/>
        <v>45199.694444444445</v>
      </c>
      <c r="B78" s="126" t="s">
        <v>228</v>
      </c>
      <c r="C78" s="126" t="s">
        <v>229</v>
      </c>
      <c r="D78" s="126" t="s">
        <v>197</v>
      </c>
      <c r="E78" s="675" t="s">
        <v>1052</v>
      </c>
      <c r="F78" s="662"/>
      <c r="G78" s="316">
        <v>45198.416666666664</v>
      </c>
      <c r="H78" s="316">
        <v>45198.395833333336</v>
      </c>
      <c r="I78" s="662" t="s">
        <v>231</v>
      </c>
      <c r="J78" s="126" t="s">
        <v>192</v>
      </c>
      <c r="K78" s="126" t="s">
        <v>192</v>
      </c>
      <c r="L78" s="126" t="s">
        <v>2775</v>
      </c>
      <c r="M78" s="529"/>
      <c r="N78" s="126" t="s">
        <v>277</v>
      </c>
      <c r="O78" s="126" t="s">
        <v>278</v>
      </c>
      <c r="P78" s="662" t="s">
        <v>1472</v>
      </c>
      <c r="Q78" s="181">
        <v>7500</v>
      </c>
      <c r="R78" s="181">
        <v>7500</v>
      </c>
      <c r="S78" s="181">
        <v>7448.5860000000002</v>
      </c>
      <c r="T78" s="126"/>
      <c r="U78" s="290"/>
      <c r="V78" s="290"/>
      <c r="W78" s="290"/>
      <c r="X78" s="329">
        <f>S78*0.6</f>
        <v>4469.1516000000001</v>
      </c>
      <c r="Y78" s="329">
        <f>S78*0.4</f>
        <v>2979.4344000000001</v>
      </c>
      <c r="Z78" s="290"/>
      <c r="AA78" s="290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65">
        <f t="shared" si="34"/>
        <v>45191.902777777781</v>
      </c>
      <c r="AZ78" s="165">
        <f t="shared" si="35"/>
        <v>45206.868055555555</v>
      </c>
      <c r="BA78" s="137">
        <f t="shared" si="36"/>
        <v>14.965277777773736</v>
      </c>
      <c r="BB78" s="165">
        <v>45191.902777777781</v>
      </c>
      <c r="BC78" s="165">
        <v>45192.524305555555</v>
      </c>
      <c r="BD78" s="165">
        <v>45194.333333333336</v>
      </c>
      <c r="BE78" s="165">
        <v>45199.694444444445</v>
      </c>
      <c r="BF78" s="165">
        <v>45199.892361111109</v>
      </c>
      <c r="BG78" s="165">
        <v>45199.895833333336</v>
      </c>
      <c r="BH78" s="165">
        <v>45199.895833333336</v>
      </c>
      <c r="BI78" s="165">
        <f>BH78+(41/24)</f>
        <v>45201.604166666672</v>
      </c>
      <c r="BJ78" s="362">
        <v>45202.25</v>
      </c>
      <c r="BK78" s="362">
        <v>45202.416666608799</v>
      </c>
      <c r="BL78" s="165">
        <v>45202.3125</v>
      </c>
      <c r="BM78" s="165">
        <v>45203.875</v>
      </c>
      <c r="BN78" s="165">
        <v>45206.236111111109</v>
      </c>
      <c r="BO78" s="165">
        <v>45206.381944444445</v>
      </c>
      <c r="BP78" s="165">
        <v>45206.416666666664</v>
      </c>
      <c r="BQ78" s="165">
        <v>45206.625</v>
      </c>
      <c r="BR78" s="165">
        <v>45206.868055555555</v>
      </c>
      <c r="BS78" s="126"/>
      <c r="BT78" s="126"/>
      <c r="BU78" s="136">
        <f t="shared" si="37"/>
        <v>43.416666666744277</v>
      </c>
      <c r="BV78" s="136">
        <f t="shared" si="38"/>
        <v>4.7499999999417923</v>
      </c>
      <c r="BW78" s="136">
        <f t="shared" si="39"/>
        <v>41.000000000058208</v>
      </c>
      <c r="BX78" s="136">
        <f t="shared" si="45"/>
        <v>35.000001388834789</v>
      </c>
      <c r="BY78" s="135">
        <f t="shared" si="40"/>
        <v>3.5000000000582077</v>
      </c>
      <c r="BZ78" s="135">
        <f t="shared" si="41"/>
        <v>5.8333333333139308</v>
      </c>
      <c r="CA78" s="134">
        <f t="shared" si="42"/>
        <v>5.5625000578729669</v>
      </c>
      <c r="CB78" s="134">
        <f t="shared" si="43"/>
        <v>14.965277777773736</v>
      </c>
      <c r="CC78" s="133">
        <f t="shared" si="44"/>
        <v>0.37169373936608985</v>
      </c>
      <c r="CD78" s="126"/>
      <c r="CE78" s="126"/>
    </row>
    <row r="79" spans="1:83" s="475" customFormat="1">
      <c r="A79" s="192">
        <f t="shared" si="46"/>
        <v>45199.916666666664</v>
      </c>
      <c r="B79" s="126" t="s">
        <v>228</v>
      </c>
      <c r="C79" s="126" t="s">
        <v>229</v>
      </c>
      <c r="D79" s="126" t="s">
        <v>197</v>
      </c>
      <c r="E79" s="675" t="s">
        <v>1052</v>
      </c>
      <c r="F79" s="662"/>
      <c r="G79" s="316">
        <v>45198.416666666664</v>
      </c>
      <c r="H79" s="316">
        <v>45198.395833333336</v>
      </c>
      <c r="I79" s="662" t="s">
        <v>231</v>
      </c>
      <c r="J79" s="126" t="s">
        <v>192</v>
      </c>
      <c r="K79" s="126" t="s">
        <v>192</v>
      </c>
      <c r="L79" s="126" t="s">
        <v>2776</v>
      </c>
      <c r="M79" s="529"/>
      <c r="N79" s="126" t="s">
        <v>233</v>
      </c>
      <c r="O79" s="126" t="s">
        <v>234</v>
      </c>
      <c r="P79" s="662" t="s">
        <v>1472</v>
      </c>
      <c r="Q79" s="181">
        <f>3215*2.4</f>
        <v>7716</v>
      </c>
      <c r="R79" s="181">
        <f>7750+100</f>
        <v>7850</v>
      </c>
      <c r="S79" s="181">
        <v>7661.7870000000003</v>
      </c>
      <c r="T79" s="181"/>
      <c r="U79" s="290"/>
      <c r="V79" s="290"/>
      <c r="W79" s="290"/>
      <c r="X79" s="329">
        <f>S79*0.6</f>
        <v>4597.0721999999996</v>
      </c>
      <c r="Y79" s="329">
        <f>S79*0.4</f>
        <v>3064.7148000000002</v>
      </c>
      <c r="Z79" s="290"/>
      <c r="AA79" s="290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65">
        <f t="shared" si="34"/>
        <v>45191.541666666664</v>
      </c>
      <c r="AZ79" s="165">
        <f t="shared" si="35"/>
        <v>45206.416666666664</v>
      </c>
      <c r="BA79" s="137">
        <f t="shared" si="36"/>
        <v>14.875</v>
      </c>
      <c r="BB79" s="165">
        <v>45191.541666666664</v>
      </c>
      <c r="BC79" s="165">
        <v>45192.8125</v>
      </c>
      <c r="BD79" s="165">
        <v>45194.708333333336</v>
      </c>
      <c r="BE79" s="165">
        <v>45199.916666666664</v>
      </c>
      <c r="BF79" s="165">
        <v>45200.059027777781</v>
      </c>
      <c r="BG79" s="165">
        <v>45200.0625</v>
      </c>
      <c r="BH79" s="165">
        <v>45200.0625</v>
      </c>
      <c r="BI79" s="165">
        <f>BH79+(41/24)</f>
        <v>45201.770833333336</v>
      </c>
      <c r="BJ79" s="362">
        <v>45202.25</v>
      </c>
      <c r="BK79" s="362">
        <v>45202.416666608799</v>
      </c>
      <c r="BL79" s="362">
        <v>45202.319444444445</v>
      </c>
      <c r="BM79" s="165">
        <v>45203.5625</v>
      </c>
      <c r="BN79" s="165">
        <v>45205.8125</v>
      </c>
      <c r="BO79" s="165">
        <v>45205.979166666664</v>
      </c>
      <c r="BP79" s="165">
        <v>45206.006944444445</v>
      </c>
      <c r="BQ79" s="165">
        <v>45206.006944444445</v>
      </c>
      <c r="BR79" s="165">
        <v>45206.416666666664</v>
      </c>
      <c r="BS79" s="126"/>
      <c r="BT79" s="126"/>
      <c r="BU79" s="136">
        <f t="shared" si="37"/>
        <v>45.500000000058208</v>
      </c>
      <c r="BV79" s="136">
        <f t="shared" si="38"/>
        <v>3.4166666668024845</v>
      </c>
      <c r="BW79" s="136">
        <f t="shared" si="39"/>
        <v>41.000000000058208</v>
      </c>
      <c r="BX79" s="136">
        <f t="shared" si="45"/>
        <v>27.500001388834789</v>
      </c>
      <c r="BY79" s="135">
        <f t="shared" si="40"/>
        <v>3.9999999999417923</v>
      </c>
      <c r="BZ79" s="135">
        <f t="shared" si="41"/>
        <v>9.8333333332557231</v>
      </c>
      <c r="CA79" s="134">
        <f t="shared" si="42"/>
        <v>5.4687500578729669</v>
      </c>
      <c r="CB79" s="134">
        <f t="shared" si="43"/>
        <v>14.875</v>
      </c>
      <c r="CC79" s="133">
        <f t="shared" si="44"/>
        <v>0.36764706271414904</v>
      </c>
      <c r="CD79" s="126"/>
      <c r="CE79" s="126"/>
    </row>
    <row r="80" spans="1:83" s="475" customFormat="1">
      <c r="A80" s="192">
        <f t="shared" si="46"/>
        <v>45200.092361111114</v>
      </c>
      <c r="B80" s="126" t="s">
        <v>228</v>
      </c>
      <c r="C80" s="126" t="s">
        <v>229</v>
      </c>
      <c r="D80" s="126" t="s">
        <v>197</v>
      </c>
      <c r="E80" s="675" t="s">
        <v>1052</v>
      </c>
      <c r="F80" s="662"/>
      <c r="G80" s="316">
        <v>45198.416666666664</v>
      </c>
      <c r="H80" s="316">
        <v>45198.395833333336</v>
      </c>
      <c r="I80" s="662" t="s">
        <v>231</v>
      </c>
      <c r="J80" s="126" t="s">
        <v>192</v>
      </c>
      <c r="K80" s="126" t="s">
        <v>192</v>
      </c>
      <c r="L80" s="126" t="s">
        <v>2777</v>
      </c>
      <c r="M80" s="529"/>
      <c r="N80" s="126" t="s">
        <v>2277</v>
      </c>
      <c r="O80" s="126" t="s">
        <v>2278</v>
      </c>
      <c r="P80" s="662" t="s">
        <v>1472</v>
      </c>
      <c r="Q80" s="181">
        <f>3099 *2.4</f>
        <v>7437.5999999999995</v>
      </c>
      <c r="R80" s="181">
        <f>7500+100</f>
        <v>7600</v>
      </c>
      <c r="S80" s="181">
        <v>7443.7269999999999</v>
      </c>
      <c r="T80" s="181"/>
      <c r="U80" s="290"/>
      <c r="V80" s="290"/>
      <c r="W80" s="290"/>
      <c r="X80" s="329">
        <f>S80*0.6</f>
        <v>4466.2361999999994</v>
      </c>
      <c r="Y80" s="329">
        <f>S80*0.4</f>
        <v>2977.4908</v>
      </c>
      <c r="Z80" s="290"/>
      <c r="AA80" s="290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65">
        <f t="shared" si="34"/>
        <v>45192.104166666664</v>
      </c>
      <c r="AZ80" s="165">
        <f t="shared" si="35"/>
        <v>45206.520833333336</v>
      </c>
      <c r="BA80" s="137">
        <f t="shared" si="36"/>
        <v>14.416666666671517</v>
      </c>
      <c r="BB80" s="165">
        <v>45192.104166666664</v>
      </c>
      <c r="BC80" s="165">
        <v>45192.763888888891</v>
      </c>
      <c r="BD80" s="165">
        <v>45194.6875</v>
      </c>
      <c r="BE80" s="165">
        <v>45200.092361111114</v>
      </c>
      <c r="BF80" s="165">
        <v>45200.229166666664</v>
      </c>
      <c r="BG80" s="165">
        <v>45200.236111111109</v>
      </c>
      <c r="BH80" s="165">
        <v>45200.236111111109</v>
      </c>
      <c r="BI80" s="165">
        <f>BH80+(41/24)</f>
        <v>45201.944444444445</v>
      </c>
      <c r="BJ80" s="362">
        <v>45202.25</v>
      </c>
      <c r="BK80" s="362">
        <v>45202.416666608799</v>
      </c>
      <c r="BL80" s="165">
        <v>45202.305555555555</v>
      </c>
      <c r="BM80" s="165">
        <v>45203.645833333336</v>
      </c>
      <c r="BN80" s="165">
        <v>45206.024305555555</v>
      </c>
      <c r="BO80" s="165">
        <v>45206.1875</v>
      </c>
      <c r="BP80" s="165">
        <v>45206.215277777781</v>
      </c>
      <c r="BQ80" s="165">
        <v>45206.215277777781</v>
      </c>
      <c r="BR80" s="165">
        <v>45206.520833333336</v>
      </c>
      <c r="BS80" s="126"/>
      <c r="BT80" s="126"/>
      <c r="BU80" s="136">
        <f t="shared" si="37"/>
        <v>46.166666666627862</v>
      </c>
      <c r="BV80" s="136">
        <f t="shared" si="38"/>
        <v>3.283333333209157</v>
      </c>
      <c r="BW80" s="136">
        <f t="shared" si="39"/>
        <v>41.000000000058208</v>
      </c>
      <c r="BX80" s="136">
        <f t="shared" si="45"/>
        <v>29.500001388892997</v>
      </c>
      <c r="BY80" s="135">
        <f t="shared" si="40"/>
        <v>3.9166666666860692</v>
      </c>
      <c r="BZ80" s="135">
        <f t="shared" si="41"/>
        <v>7.3333333333139308</v>
      </c>
      <c r="CA80" s="134">
        <f t="shared" si="42"/>
        <v>5.4666667245328426</v>
      </c>
      <c r="CB80" s="134">
        <f t="shared" si="43"/>
        <v>14.416666666671517</v>
      </c>
      <c r="CC80" s="133">
        <f t="shared" si="44"/>
        <v>0.37919075545879793</v>
      </c>
      <c r="CD80" s="126"/>
      <c r="CE80" s="126"/>
    </row>
    <row r="81" spans="1:83" s="475" customFormat="1">
      <c r="A81" s="474">
        <f t="shared" si="46"/>
        <v>45170.569444444445</v>
      </c>
      <c r="B81" s="475" t="s">
        <v>188</v>
      </c>
      <c r="C81" s="475" t="s">
        <v>913</v>
      </c>
      <c r="D81" s="475" t="s">
        <v>189</v>
      </c>
      <c r="E81" s="476" t="s">
        <v>1327</v>
      </c>
      <c r="G81" s="473">
        <v>45190.470833333333</v>
      </c>
      <c r="H81" s="473">
        <v>45190.470833333333</v>
      </c>
      <c r="I81" s="475" t="s">
        <v>1298</v>
      </c>
      <c r="J81" s="475" t="s">
        <v>192</v>
      </c>
      <c r="K81" s="475" t="s">
        <v>192</v>
      </c>
      <c r="L81" s="475" t="s">
        <v>2778</v>
      </c>
      <c r="M81" s="530"/>
      <c r="N81" s="475" t="s">
        <v>453</v>
      </c>
      <c r="O81" s="475" t="s">
        <v>454</v>
      </c>
      <c r="P81" s="475" t="s">
        <v>913</v>
      </c>
      <c r="Q81" s="477">
        <v>7500</v>
      </c>
      <c r="R81" s="477">
        <v>7500</v>
      </c>
      <c r="S81" s="477">
        <v>7722.0959999999995</v>
      </c>
      <c r="T81" s="477"/>
      <c r="AW81" s="477">
        <f>R81</f>
        <v>7500</v>
      </c>
      <c r="AX81" s="477"/>
      <c r="AY81" s="473">
        <f t="shared" si="34"/>
        <v>45170.354166666664</v>
      </c>
      <c r="AZ81" s="473">
        <f t="shared" si="35"/>
        <v>45188.055555555555</v>
      </c>
      <c r="BA81" s="479">
        <f t="shared" si="36"/>
        <v>17.701388888890506</v>
      </c>
      <c r="BB81" s="473">
        <v>45170.354166666664</v>
      </c>
      <c r="BC81" s="473">
        <v>45170.354166666664</v>
      </c>
      <c r="BD81" s="473">
        <v>45170.354166666664</v>
      </c>
      <c r="BE81" s="473">
        <v>45170.569444444445</v>
      </c>
      <c r="BF81" s="473">
        <v>45171.878472222219</v>
      </c>
      <c r="BG81" s="473">
        <v>45172.809027777781</v>
      </c>
      <c r="BH81" s="473">
        <v>45172.809027777781</v>
      </c>
      <c r="BI81" s="473">
        <v>45172.809027777781</v>
      </c>
      <c r="BJ81" s="518" t="s">
        <v>196</v>
      </c>
      <c r="BK81" s="518" t="s">
        <v>196</v>
      </c>
      <c r="BL81" s="518" t="s">
        <v>196</v>
      </c>
      <c r="BM81" s="473">
        <v>45174.5625</v>
      </c>
      <c r="BN81" s="473">
        <v>45187.694444444445</v>
      </c>
      <c r="BO81" s="473">
        <v>45188.024305555555</v>
      </c>
      <c r="BP81" s="473">
        <v>45188.052083333336</v>
      </c>
      <c r="BQ81" s="473">
        <v>45188.055555555555</v>
      </c>
      <c r="BR81" s="473">
        <v>45188.055555555555</v>
      </c>
      <c r="BU81" s="481">
        <f t="shared" si="37"/>
        <v>0</v>
      </c>
      <c r="BV81" s="481">
        <f t="shared" si="38"/>
        <v>31.416666666569654</v>
      </c>
      <c r="BW81" s="481">
        <f t="shared" si="39"/>
        <v>0</v>
      </c>
      <c r="BX81" s="481">
        <f>(BM81-BI81)*24</f>
        <v>42.083333333255723</v>
      </c>
      <c r="BY81" s="482">
        <f t="shared" si="40"/>
        <v>7.9166666666278616</v>
      </c>
      <c r="BZ81" s="482">
        <f t="shared" si="41"/>
        <v>0</v>
      </c>
      <c r="CA81" s="483">
        <f t="shared" si="42"/>
        <v>3.3923611111022183</v>
      </c>
      <c r="CB81" s="483">
        <f t="shared" si="43"/>
        <v>17.701388888890506</v>
      </c>
      <c r="CC81" s="484">
        <f t="shared" si="44"/>
        <v>0.19164378187472531</v>
      </c>
    </row>
    <row r="82" spans="1:83" s="475" customFormat="1">
      <c r="A82" s="521">
        <f t="shared" si="46"/>
        <v>45176.565972222219</v>
      </c>
      <c r="B82" s="369" t="s">
        <v>188</v>
      </c>
      <c r="C82" s="369" t="s">
        <v>913</v>
      </c>
      <c r="D82" s="369" t="s">
        <v>189</v>
      </c>
      <c r="E82" s="271" t="s">
        <v>1327</v>
      </c>
      <c r="F82" s="369"/>
      <c r="G82" s="522">
        <v>45190.470833333333</v>
      </c>
      <c r="H82" s="522">
        <v>45190.470833333333</v>
      </c>
      <c r="I82" s="369" t="s">
        <v>1298</v>
      </c>
      <c r="J82" s="369" t="s">
        <v>192</v>
      </c>
      <c r="K82" s="369" t="s">
        <v>192</v>
      </c>
      <c r="L82" s="369" t="s">
        <v>2779</v>
      </c>
      <c r="M82" s="529"/>
      <c r="N82" s="369" t="s">
        <v>768</v>
      </c>
      <c r="O82" s="369" t="s">
        <v>769</v>
      </c>
      <c r="P82" s="369" t="s">
        <v>913</v>
      </c>
      <c r="Q82" s="520">
        <v>7500</v>
      </c>
      <c r="R82" s="520">
        <v>7500</v>
      </c>
      <c r="S82" s="520">
        <v>7506.6509999999998</v>
      </c>
      <c r="T82" s="520"/>
      <c r="U82" s="369"/>
      <c r="V82" s="369"/>
      <c r="W82" s="369"/>
      <c r="X82" s="369"/>
      <c r="Y82" s="369"/>
      <c r="Z82" s="369"/>
      <c r="AA82" s="369"/>
      <c r="AB82" s="369"/>
      <c r="AC82" s="369"/>
      <c r="AD82" s="369"/>
      <c r="AE82" s="369"/>
      <c r="AF82" s="369"/>
      <c r="AG82" s="369"/>
      <c r="AH82" s="369"/>
      <c r="AI82" s="369"/>
      <c r="AJ82" s="369"/>
      <c r="AK82" s="369"/>
      <c r="AL82" s="369"/>
      <c r="AM82" s="369"/>
      <c r="AN82" s="369"/>
      <c r="AO82" s="369"/>
      <c r="AP82" s="369"/>
      <c r="AQ82" s="369"/>
      <c r="AR82" s="369"/>
      <c r="AS82" s="369"/>
      <c r="AT82" s="369"/>
      <c r="AU82" s="369"/>
      <c r="AV82" s="369"/>
      <c r="AW82" s="520">
        <f>R82</f>
        <v>7500</v>
      </c>
      <c r="AX82" s="520"/>
      <c r="AY82" s="522">
        <f t="shared" si="34"/>
        <v>45175.944444444445</v>
      </c>
      <c r="AZ82" s="522">
        <f t="shared" si="35"/>
        <v>45194.663194444445</v>
      </c>
      <c r="BA82" s="523">
        <f t="shared" si="36"/>
        <v>18.71875</v>
      </c>
      <c r="BB82" s="522">
        <v>45175.944444444445</v>
      </c>
      <c r="BC82" s="522">
        <v>45175.944444444445</v>
      </c>
      <c r="BD82" s="522">
        <v>45175.944444444445</v>
      </c>
      <c r="BE82" s="522">
        <v>45176.565972222219</v>
      </c>
      <c r="BF82" s="522">
        <v>45178.979166666664</v>
      </c>
      <c r="BG82" s="522">
        <v>45180.232638888891</v>
      </c>
      <c r="BH82" s="522">
        <v>45180.232638888891</v>
      </c>
      <c r="BI82" s="522">
        <v>45180.232638888891</v>
      </c>
      <c r="BJ82" s="398" t="s">
        <v>196</v>
      </c>
      <c r="BK82" s="398" t="s">
        <v>196</v>
      </c>
      <c r="BL82" s="398" t="s">
        <v>196</v>
      </c>
      <c r="BM82" s="522">
        <v>45182.375</v>
      </c>
      <c r="BN82" s="522">
        <v>45194.364583333336</v>
      </c>
      <c r="BO82" s="522">
        <v>45194.649305555555</v>
      </c>
      <c r="BP82" s="522">
        <v>45194.659722222219</v>
      </c>
      <c r="BQ82" s="527">
        <v>45194.663194444445</v>
      </c>
      <c r="BR82" s="527">
        <v>45194.663194444445</v>
      </c>
      <c r="BS82" s="369"/>
      <c r="BT82" s="369"/>
      <c r="BU82" s="525">
        <f t="shared" si="37"/>
        <v>0</v>
      </c>
      <c r="BV82" s="525">
        <f t="shared" si="38"/>
        <v>57.916666666686069</v>
      </c>
      <c r="BW82" s="525">
        <f t="shared" si="39"/>
        <v>0</v>
      </c>
      <c r="BX82" s="525">
        <f>(BM82-BI82)*24</f>
        <v>51.416666666627862</v>
      </c>
      <c r="BY82" s="526">
        <f t="shared" si="40"/>
        <v>6.8333333332557231</v>
      </c>
      <c r="BZ82" s="526">
        <f t="shared" si="41"/>
        <v>0</v>
      </c>
      <c r="CA82" s="304">
        <f t="shared" si="42"/>
        <v>4.8402777777737356</v>
      </c>
      <c r="CB82" s="304">
        <f t="shared" si="43"/>
        <v>18.71875</v>
      </c>
      <c r="CC82" s="305">
        <f t="shared" si="44"/>
        <v>0.25857911333682726</v>
      </c>
      <c r="CD82" s="369"/>
      <c r="CE82" s="369"/>
    </row>
    <row r="83" spans="1:83" s="475" customFormat="1">
      <c r="A83" s="521">
        <f t="shared" si="46"/>
        <v>45188.416666666664</v>
      </c>
      <c r="B83" s="369" t="s">
        <v>228</v>
      </c>
      <c r="C83" s="369" t="s">
        <v>229</v>
      </c>
      <c r="D83" s="369" t="s">
        <v>197</v>
      </c>
      <c r="E83" s="271" t="s">
        <v>2552</v>
      </c>
      <c r="F83" s="369"/>
      <c r="G83" s="492">
        <v>45190.729166666664</v>
      </c>
      <c r="H83" s="492">
        <v>45190.695833333331</v>
      </c>
      <c r="I83" s="369" t="s">
        <v>1031</v>
      </c>
      <c r="J83" s="369" t="s">
        <v>192</v>
      </c>
      <c r="K83" s="369" t="s">
        <v>192</v>
      </c>
      <c r="L83" s="369" t="s">
        <v>2559</v>
      </c>
      <c r="M83" s="529"/>
      <c r="N83" s="369" t="s">
        <v>249</v>
      </c>
      <c r="O83" s="369" t="s">
        <v>2315</v>
      </c>
      <c r="P83" s="369" t="s">
        <v>173</v>
      </c>
      <c r="Q83" s="520">
        <f>3139*2.4</f>
        <v>7533.5999999999995</v>
      </c>
      <c r="R83" s="520">
        <f>7550+100</f>
        <v>7650</v>
      </c>
      <c r="S83" s="520">
        <v>7568.1419999999998</v>
      </c>
      <c r="T83" s="520"/>
      <c r="U83" s="528"/>
      <c r="V83" s="369"/>
      <c r="W83" s="369"/>
      <c r="X83" s="369"/>
      <c r="Y83" s="369"/>
      <c r="Z83" s="369"/>
      <c r="AA83" s="520">
        <f>S83</f>
        <v>7568.1419999999998</v>
      </c>
      <c r="AB83" s="369"/>
      <c r="AC83" s="369"/>
      <c r="AD83" s="369"/>
      <c r="AE83" s="369"/>
      <c r="AF83" s="369"/>
      <c r="AG83" s="369"/>
      <c r="AH83" s="369"/>
      <c r="AI83" s="369"/>
      <c r="AJ83" s="369"/>
      <c r="AK83" s="369"/>
      <c r="AL83" s="369"/>
      <c r="AM83" s="369"/>
      <c r="AN83" s="369"/>
      <c r="AO83" s="369"/>
      <c r="AP83" s="369"/>
      <c r="AQ83" s="369"/>
      <c r="AR83" s="369"/>
      <c r="AS83" s="369"/>
      <c r="AT83" s="369"/>
      <c r="AU83" s="369"/>
      <c r="AV83" s="369"/>
      <c r="AW83" s="369"/>
      <c r="AX83" s="369"/>
      <c r="AY83" s="522">
        <f t="shared" si="34"/>
        <v>45183.291666666664</v>
      </c>
      <c r="AZ83" s="522">
        <f t="shared" si="35"/>
        <v>45194.083333333336</v>
      </c>
      <c r="BA83" s="523">
        <f t="shared" si="36"/>
        <v>10.791666666671517</v>
      </c>
      <c r="BB83" s="522">
        <v>45183.291666666664</v>
      </c>
      <c r="BC83" s="522">
        <v>45184.604166666664</v>
      </c>
      <c r="BD83" s="522">
        <v>45186.458333333336</v>
      </c>
      <c r="BE83" s="522">
        <v>45188.416666666664</v>
      </c>
      <c r="BF83" s="522">
        <v>45188.654861111114</v>
      </c>
      <c r="BG83" s="522">
        <v>45188.659722222219</v>
      </c>
      <c r="BH83" s="522">
        <v>45188.663194444445</v>
      </c>
      <c r="BI83" s="522">
        <f>BH83+(41/24)</f>
        <v>45190.371527777781</v>
      </c>
      <c r="BJ83" s="610">
        <v>45190.25</v>
      </c>
      <c r="BK83" s="610">
        <v>45190.416666608799</v>
      </c>
      <c r="BL83" s="527">
        <v>45190.319444444445</v>
      </c>
      <c r="BM83" s="522">
        <v>45191.625</v>
      </c>
      <c r="BN83" s="522">
        <v>45193.357638888891</v>
      </c>
      <c r="BO83" s="522">
        <v>45193.75</v>
      </c>
      <c r="BP83" s="522">
        <v>45193.770833333336</v>
      </c>
      <c r="BQ83" s="522">
        <v>45193.78125</v>
      </c>
      <c r="BR83" s="522">
        <v>45194.083333333336</v>
      </c>
      <c r="BS83" s="369"/>
      <c r="BT83" s="369"/>
      <c r="BU83" s="525">
        <f t="shared" si="37"/>
        <v>44.500000000116415</v>
      </c>
      <c r="BV83" s="525">
        <f t="shared" si="38"/>
        <v>5.716666666790843</v>
      </c>
      <c r="BW83" s="525">
        <f t="shared" si="39"/>
        <v>41.000000000058208</v>
      </c>
      <c r="BX83" s="525">
        <f>(BM83-BK83)*24</f>
        <v>29.000001388834789</v>
      </c>
      <c r="BY83" s="526">
        <f t="shared" si="40"/>
        <v>9.4166666666278616</v>
      </c>
      <c r="BZ83" s="526">
        <f t="shared" si="41"/>
        <v>7.2500000000582077</v>
      </c>
      <c r="CA83" s="304">
        <f t="shared" si="42"/>
        <v>5.7034722801035969</v>
      </c>
      <c r="CB83" s="304">
        <f t="shared" si="43"/>
        <v>10.791666666671517</v>
      </c>
      <c r="CC83" s="305">
        <f t="shared" si="44"/>
        <v>0.52850708387036605</v>
      </c>
      <c r="CD83" s="369"/>
      <c r="CE83" s="369"/>
    </row>
    <row r="84" spans="1:83" s="475" customFormat="1">
      <c r="A84" s="192">
        <f t="shared" si="46"/>
        <v>45194.703472222223</v>
      </c>
      <c r="B84" s="126" t="s">
        <v>228</v>
      </c>
      <c r="C84" s="126" t="s">
        <v>229</v>
      </c>
      <c r="D84" s="126" t="s">
        <v>197</v>
      </c>
      <c r="E84" s="662" t="s">
        <v>2780</v>
      </c>
      <c r="F84" s="662"/>
      <c r="G84" s="316">
        <v>45198.607638888891</v>
      </c>
      <c r="H84" s="316">
        <v>45198.607638888891</v>
      </c>
      <c r="I84" s="662" t="s">
        <v>1550</v>
      </c>
      <c r="J84" s="126" t="s">
        <v>192</v>
      </c>
      <c r="K84" s="126" t="s">
        <v>192</v>
      </c>
      <c r="L84" s="126" t="s">
        <v>2781</v>
      </c>
      <c r="M84" s="529"/>
      <c r="N84" s="126" t="s">
        <v>292</v>
      </c>
      <c r="O84" s="126" t="s">
        <v>293</v>
      </c>
      <c r="P84" s="662" t="s">
        <v>173</v>
      </c>
      <c r="Q84" s="181">
        <f>3142*2.4</f>
        <v>7540.7999999999993</v>
      </c>
      <c r="R84" s="181">
        <f>7550+100</f>
        <v>7650</v>
      </c>
      <c r="S84" s="181">
        <v>7500.9949999999999</v>
      </c>
      <c r="T84" s="181"/>
      <c r="U84" s="290"/>
      <c r="V84" s="290"/>
      <c r="W84" s="290"/>
      <c r="X84" s="126"/>
      <c r="Y84" s="290"/>
      <c r="Z84" s="290"/>
      <c r="AA84" s="329">
        <f>S84</f>
        <v>7500.9949999999999</v>
      </c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65">
        <f t="shared" si="34"/>
        <v>45191.951388888891</v>
      </c>
      <c r="AZ84" s="165">
        <f t="shared" si="35"/>
        <v>45204.277777777781</v>
      </c>
      <c r="BA84" s="137">
        <f t="shared" si="36"/>
        <v>12.326388888890506</v>
      </c>
      <c r="BB84" s="165">
        <v>45191.951388888891</v>
      </c>
      <c r="BC84" s="165">
        <v>45192.770833333336</v>
      </c>
      <c r="BD84" s="165">
        <v>45194.465277777781</v>
      </c>
      <c r="BE84" s="165">
        <v>45194.703472222223</v>
      </c>
      <c r="BF84" s="165">
        <v>45195.024305555555</v>
      </c>
      <c r="BG84" s="165">
        <v>45195.03125</v>
      </c>
      <c r="BH84" s="165">
        <v>45195.048611111109</v>
      </c>
      <c r="BI84" s="165">
        <f>BH84+(41/24)</f>
        <v>45196.756944444445</v>
      </c>
      <c r="BJ84" s="362">
        <v>45197.229166608799</v>
      </c>
      <c r="BK84" s="362">
        <v>45197.395833333336</v>
      </c>
      <c r="BL84" s="362">
        <v>45197.336805555555</v>
      </c>
      <c r="BM84" s="165">
        <v>45198.729166666664</v>
      </c>
      <c r="BN84" s="165">
        <v>45202.711805555555</v>
      </c>
      <c r="BO84" s="165">
        <v>45203.097222222219</v>
      </c>
      <c r="BP84" s="165">
        <v>45203.114583333336</v>
      </c>
      <c r="BQ84" s="165">
        <v>45203.822916666664</v>
      </c>
      <c r="BR84" s="165">
        <v>45204.277777777781</v>
      </c>
      <c r="BS84" s="126"/>
      <c r="BT84" s="126"/>
      <c r="BU84" s="136">
        <f t="shared" si="37"/>
        <v>40.666666666686069</v>
      </c>
      <c r="BV84" s="136">
        <f t="shared" si="38"/>
        <v>7.6999999999534339</v>
      </c>
      <c r="BW84" s="136">
        <f t="shared" si="39"/>
        <v>41.000000000058208</v>
      </c>
      <c r="BX84" s="136">
        <f>(BM84-BK84)*24</f>
        <v>31.999999999883585</v>
      </c>
      <c r="BY84" s="135">
        <f t="shared" si="40"/>
        <v>9.2499999999417923</v>
      </c>
      <c r="BZ84" s="135">
        <f t="shared" si="41"/>
        <v>10.916666666802485</v>
      </c>
      <c r="CA84" s="134">
        <f t="shared" si="42"/>
        <v>5.8972222222218988</v>
      </c>
      <c r="CB84" s="134">
        <f t="shared" si="43"/>
        <v>12.326388888890506</v>
      </c>
      <c r="CC84" s="133">
        <f t="shared" si="44"/>
        <v>0.47842253521117861</v>
      </c>
      <c r="CD84" s="126"/>
      <c r="CE84" s="126"/>
    </row>
    <row r="85" spans="1:83" s="475" customFormat="1">
      <c r="A85" s="192">
        <f t="shared" si="46"/>
        <v>45177.074999999997</v>
      </c>
      <c r="B85" s="126" t="s">
        <v>188</v>
      </c>
      <c r="C85" s="126" t="s">
        <v>87</v>
      </c>
      <c r="D85" s="126" t="s">
        <v>197</v>
      </c>
      <c r="E85" s="65" t="s">
        <v>2463</v>
      </c>
      <c r="F85" s="126"/>
      <c r="G85" s="316">
        <v>45165.4375</v>
      </c>
      <c r="H85" s="316">
        <v>45165.408333333333</v>
      </c>
      <c r="I85" s="126" t="s">
        <v>2782</v>
      </c>
      <c r="J85" s="126" t="s">
        <v>192</v>
      </c>
      <c r="K85" s="126" t="s">
        <v>192</v>
      </c>
      <c r="L85" s="126" t="s">
        <v>2470</v>
      </c>
      <c r="M85" s="167"/>
      <c r="N85" s="126" t="s">
        <v>2156</v>
      </c>
      <c r="O85" s="126" t="s">
        <v>1835</v>
      </c>
      <c r="P85" s="126" t="s">
        <v>611</v>
      </c>
      <c r="Q85" s="181">
        <f>3131*2.4</f>
        <v>7514.4</v>
      </c>
      <c r="R85" s="181">
        <f>7550+100</f>
        <v>7650</v>
      </c>
      <c r="S85" s="181">
        <v>7508.7</v>
      </c>
      <c r="T85" s="181"/>
      <c r="U85" s="126"/>
      <c r="V85" s="126"/>
      <c r="W85" s="126"/>
      <c r="X85" s="126"/>
      <c r="Y85" s="126"/>
      <c r="Z85" s="126"/>
      <c r="AA85" s="126"/>
      <c r="AB85" s="126"/>
      <c r="AC85" s="126"/>
      <c r="AD85" s="181">
        <f>S85</f>
        <v>7508.7</v>
      </c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65">
        <f t="shared" si="34"/>
        <v>45176.920138888891</v>
      </c>
      <c r="AZ85" s="165">
        <f t="shared" si="35"/>
        <v>45180.972222222219</v>
      </c>
      <c r="BA85" s="137">
        <f t="shared" si="36"/>
        <v>4.0520833333284827</v>
      </c>
      <c r="BB85" s="165">
        <v>45176.920138888891</v>
      </c>
      <c r="BC85" s="165">
        <v>45176.930555555555</v>
      </c>
      <c r="BD85" s="165">
        <v>45176.986111111109</v>
      </c>
      <c r="BE85" s="165">
        <v>45177.074999999997</v>
      </c>
      <c r="BF85" s="165">
        <v>45177.239583333336</v>
      </c>
      <c r="BG85" s="165">
        <v>45177.25</v>
      </c>
      <c r="BH85" s="165">
        <v>45177.614583333336</v>
      </c>
      <c r="BI85" s="165">
        <v>45177.614583333336</v>
      </c>
      <c r="BJ85" s="363" t="s">
        <v>196</v>
      </c>
      <c r="BK85" s="363" t="s">
        <v>196</v>
      </c>
      <c r="BL85" s="363" t="s">
        <v>196</v>
      </c>
      <c r="BM85" s="165">
        <v>45177.9375</v>
      </c>
      <c r="BN85" s="165">
        <v>45179.986111111109</v>
      </c>
      <c r="BO85" s="165">
        <v>45180.375</v>
      </c>
      <c r="BP85" s="165">
        <v>45180.381944444445</v>
      </c>
      <c r="BQ85" s="165">
        <v>45180.652777777781</v>
      </c>
      <c r="BR85" s="165">
        <v>45180.972222222219</v>
      </c>
      <c r="BS85" s="126"/>
      <c r="BT85" s="126"/>
      <c r="BU85" s="136">
        <f t="shared" si="37"/>
        <v>1.3333333333139308</v>
      </c>
      <c r="BV85" s="136">
        <f t="shared" si="38"/>
        <v>3.9500000001280569</v>
      </c>
      <c r="BW85" s="136">
        <f t="shared" si="39"/>
        <v>0</v>
      </c>
      <c r="BX85" s="136">
        <f t="shared" ref="BX85:BX98" si="47">(BM85-BI85)*24</f>
        <v>7.7499999999417923</v>
      </c>
      <c r="BY85" s="135">
        <f t="shared" si="40"/>
        <v>9.3333333333721384</v>
      </c>
      <c r="BZ85" s="135">
        <f t="shared" si="41"/>
        <v>7.6666666665114462</v>
      </c>
      <c r="CA85" s="134">
        <f t="shared" si="42"/>
        <v>1.2513888888861402</v>
      </c>
      <c r="CB85" s="134">
        <f t="shared" si="43"/>
        <v>4.0520833333284827</v>
      </c>
      <c r="CC85" s="133">
        <f t="shared" si="44"/>
        <v>0.30882604969977706</v>
      </c>
      <c r="CD85" s="126"/>
      <c r="CE85" s="126"/>
    </row>
    <row r="86" spans="1:83" s="475" customFormat="1">
      <c r="A86" s="474">
        <f t="shared" si="46"/>
        <v>45187.761805555558</v>
      </c>
      <c r="B86" s="475" t="s">
        <v>188</v>
      </c>
      <c r="C86" s="475" t="s">
        <v>87</v>
      </c>
      <c r="D86" s="475" t="s">
        <v>197</v>
      </c>
      <c r="E86" s="399" t="s">
        <v>1827</v>
      </c>
      <c r="F86" s="399"/>
      <c r="G86" s="472">
        <v>45178.572916666664</v>
      </c>
      <c r="H86" s="472">
        <v>45178.55</v>
      </c>
      <c r="I86" s="399" t="s">
        <v>751</v>
      </c>
      <c r="J86" s="369" t="s">
        <v>192</v>
      </c>
      <c r="K86" s="369" t="s">
        <v>192</v>
      </c>
      <c r="L86" s="399" t="s">
        <v>2543</v>
      </c>
      <c r="M86" s="529"/>
      <c r="N86" s="475" t="s">
        <v>233</v>
      </c>
      <c r="O86" s="475" t="s">
        <v>234</v>
      </c>
      <c r="P86" s="399" t="s">
        <v>665</v>
      </c>
      <c r="Q86" s="477">
        <f>3215*2.4</f>
        <v>7716</v>
      </c>
      <c r="R86" s="477">
        <f>7750+100</f>
        <v>7850</v>
      </c>
      <c r="S86" s="477">
        <v>7526.5870000000004</v>
      </c>
      <c r="T86" s="477"/>
      <c r="U86" s="401"/>
      <c r="V86" s="401"/>
      <c r="W86" s="401"/>
      <c r="Y86" s="401"/>
      <c r="Z86" s="401"/>
      <c r="AA86" s="401"/>
      <c r="AE86" s="580">
        <f>S86</f>
        <v>7526.5870000000004</v>
      </c>
      <c r="AY86" s="473">
        <f t="shared" si="34"/>
        <v>45187.506944444445</v>
      </c>
      <c r="AZ86" s="473">
        <f t="shared" si="35"/>
        <v>45191.541666666664</v>
      </c>
      <c r="BA86" s="479">
        <f t="shared" si="36"/>
        <v>4.0347222222189885</v>
      </c>
      <c r="BB86" s="473">
        <v>45187.506944444445</v>
      </c>
      <c r="BC86" s="473">
        <v>45187.506944444445</v>
      </c>
      <c r="BD86" s="473">
        <v>45187.506944444445</v>
      </c>
      <c r="BE86" s="473">
        <v>45187.761805555558</v>
      </c>
      <c r="BF86" s="473">
        <v>45188.21875</v>
      </c>
      <c r="BG86" s="473">
        <v>45188.225694444445</v>
      </c>
      <c r="BH86" s="473">
        <v>45189.034722222219</v>
      </c>
      <c r="BI86" s="473">
        <f>BH86</f>
        <v>45189.034722222219</v>
      </c>
      <c r="BJ86" s="579" t="s">
        <v>196</v>
      </c>
      <c r="BK86" s="579" t="s">
        <v>196</v>
      </c>
      <c r="BL86" s="579" t="s">
        <v>196</v>
      </c>
      <c r="BM86" s="473">
        <v>45189.541666666664</v>
      </c>
      <c r="BN86" s="473">
        <v>45190.572916666664</v>
      </c>
      <c r="BO86" s="473">
        <v>45190.916666666664</v>
      </c>
      <c r="BP86" s="473">
        <v>45190.9375</v>
      </c>
      <c r="BQ86" s="473">
        <v>45191.291666666664</v>
      </c>
      <c r="BR86" s="473">
        <v>45191.541666666664</v>
      </c>
      <c r="BU86" s="481">
        <f t="shared" si="37"/>
        <v>0</v>
      </c>
      <c r="BV86" s="481">
        <f t="shared" si="38"/>
        <v>10.96666666661622</v>
      </c>
      <c r="BW86" s="481">
        <f t="shared" si="39"/>
        <v>0</v>
      </c>
      <c r="BX86" s="481">
        <f t="shared" si="47"/>
        <v>12.166666666686069</v>
      </c>
      <c r="BY86" s="482">
        <f t="shared" si="40"/>
        <v>8.25</v>
      </c>
      <c r="BZ86" s="482">
        <f t="shared" si="41"/>
        <v>6</v>
      </c>
      <c r="CA86" s="483">
        <f t="shared" si="42"/>
        <v>1.5576388888875954</v>
      </c>
      <c r="CB86" s="483">
        <f t="shared" si="43"/>
        <v>4.0347222222189885</v>
      </c>
      <c r="CC86" s="484">
        <f t="shared" si="44"/>
        <v>0.38605851979344835</v>
      </c>
    </row>
    <row r="87" spans="1:83" s="475" customFormat="1">
      <c r="A87" s="192">
        <f t="shared" si="46"/>
        <v>45171.472222222219</v>
      </c>
      <c r="B87" s="126" t="s">
        <v>188</v>
      </c>
      <c r="C87" s="126" t="s">
        <v>85</v>
      </c>
      <c r="D87" s="126" t="s">
        <v>197</v>
      </c>
      <c r="E87" s="65" t="s">
        <v>2474</v>
      </c>
      <c r="F87" s="126"/>
      <c r="G87" s="316">
        <v>45173.854166666664</v>
      </c>
      <c r="H87" s="316">
        <v>45173.75</v>
      </c>
      <c r="I87" s="126" t="s">
        <v>2704</v>
      </c>
      <c r="J87" s="126" t="s">
        <v>192</v>
      </c>
      <c r="K87" s="126" t="s">
        <v>192</v>
      </c>
      <c r="L87" s="126" t="s">
        <v>2478</v>
      </c>
      <c r="M87" s="167"/>
      <c r="N87" s="126" t="s">
        <v>70</v>
      </c>
      <c r="O87" s="126" t="s">
        <v>1982</v>
      </c>
      <c r="P87" s="126" t="s">
        <v>85</v>
      </c>
      <c r="Q87" s="181">
        <f>3142*2.4</f>
        <v>7540.7999999999993</v>
      </c>
      <c r="R87" s="181">
        <f>7550+100</f>
        <v>7650</v>
      </c>
      <c r="S87" s="181">
        <v>7305.8509999999997</v>
      </c>
      <c r="T87" s="181"/>
      <c r="U87" s="126"/>
      <c r="V87" s="126"/>
      <c r="W87" s="126"/>
      <c r="X87" s="126"/>
      <c r="Y87" s="126"/>
      <c r="Z87" s="126"/>
      <c r="AA87" s="126"/>
      <c r="AB87" s="181">
        <f>S87</f>
        <v>7305.8509999999997</v>
      </c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65">
        <f t="shared" si="34"/>
        <v>45161.93472222222</v>
      </c>
      <c r="AZ87" s="165">
        <f t="shared" si="35"/>
        <v>45181.097222222219</v>
      </c>
      <c r="BA87" s="137">
        <f t="shared" si="36"/>
        <v>19.162499999998545</v>
      </c>
      <c r="BB87" s="165">
        <v>45161.93472222222</v>
      </c>
      <c r="BC87" s="165">
        <v>45167</v>
      </c>
      <c r="BD87" s="165">
        <v>45169.708333333336</v>
      </c>
      <c r="BE87" s="165">
        <v>45171.472222222219</v>
      </c>
      <c r="BF87" s="165">
        <v>45172.291666666664</v>
      </c>
      <c r="BG87" s="165">
        <v>45172.302083333336</v>
      </c>
      <c r="BH87" s="165">
        <v>45173.145833333336</v>
      </c>
      <c r="BI87" s="165">
        <v>45173.145833333336</v>
      </c>
      <c r="BJ87" s="166" t="s">
        <v>196</v>
      </c>
      <c r="BK87" s="166" t="s">
        <v>196</v>
      </c>
      <c r="BL87" s="166" t="s">
        <v>196</v>
      </c>
      <c r="BM87" s="165">
        <v>45176.8125</v>
      </c>
      <c r="BN87" s="165">
        <v>45180.416666666664</v>
      </c>
      <c r="BO87" s="165">
        <v>45180.760416666664</v>
      </c>
      <c r="BP87" s="165">
        <v>45180.78125</v>
      </c>
      <c r="BQ87" s="165">
        <v>45180.78125</v>
      </c>
      <c r="BR87" s="165">
        <v>45181.097222222219</v>
      </c>
      <c r="BS87" s="126"/>
      <c r="BT87" s="126"/>
      <c r="BU87" s="136">
        <f t="shared" si="37"/>
        <v>65.000000000058208</v>
      </c>
      <c r="BV87" s="136">
        <f t="shared" si="38"/>
        <v>19.666666666686069</v>
      </c>
      <c r="BW87" s="136">
        <f t="shared" si="39"/>
        <v>0</v>
      </c>
      <c r="BX87" s="136">
        <f t="shared" si="47"/>
        <v>87.999999999941792</v>
      </c>
      <c r="BY87" s="135">
        <f t="shared" si="40"/>
        <v>8.25</v>
      </c>
      <c r="BZ87" s="135">
        <f t="shared" si="41"/>
        <v>7.5833333332557231</v>
      </c>
      <c r="CA87" s="134">
        <f t="shared" si="42"/>
        <v>7.8541666666642413</v>
      </c>
      <c r="CB87" s="134">
        <f t="shared" si="43"/>
        <v>19.162499999998545</v>
      </c>
      <c r="CC87" s="133">
        <f t="shared" si="44"/>
        <v>0.40987171124147881</v>
      </c>
      <c r="CD87" s="126"/>
      <c r="CE87" s="126"/>
    </row>
    <row r="88" spans="1:83" s="475" customFormat="1">
      <c r="A88" s="474">
        <f t="shared" si="46"/>
        <v>45184.6875</v>
      </c>
      <c r="B88" s="475" t="s">
        <v>188</v>
      </c>
      <c r="C88" s="475" t="s">
        <v>85</v>
      </c>
      <c r="D88" s="475" t="s">
        <v>197</v>
      </c>
      <c r="E88" s="476" t="s">
        <v>1827</v>
      </c>
      <c r="G88" s="472">
        <v>45178.572916666664</v>
      </c>
      <c r="H88" s="472">
        <v>45178.55</v>
      </c>
      <c r="I88" s="475" t="s">
        <v>2704</v>
      </c>
      <c r="J88" s="369" t="s">
        <v>192</v>
      </c>
      <c r="K88" s="369" t="s">
        <v>192</v>
      </c>
      <c r="L88" s="475" t="s">
        <v>2544</v>
      </c>
      <c r="M88" s="530"/>
      <c r="N88" s="475" t="s">
        <v>307</v>
      </c>
      <c r="O88" s="475" t="s">
        <v>308</v>
      </c>
      <c r="P88" s="475" t="s">
        <v>85</v>
      </c>
      <c r="Q88" s="477">
        <f>3170*2.4</f>
        <v>7608</v>
      </c>
      <c r="R88" s="477">
        <f>7550+100</f>
        <v>7650</v>
      </c>
      <c r="S88" s="477">
        <v>7342.683</v>
      </c>
      <c r="T88" s="477"/>
      <c r="AB88" s="477">
        <f>S88</f>
        <v>7342.683</v>
      </c>
      <c r="AY88" s="473">
        <f t="shared" si="34"/>
        <v>45178.934027777781</v>
      </c>
      <c r="AZ88" s="473">
        <f t="shared" si="35"/>
        <v>45191.824305555558</v>
      </c>
      <c r="BA88" s="479">
        <f t="shared" si="36"/>
        <v>12.890277777776646</v>
      </c>
      <c r="BB88" s="473">
        <v>45178.934027777781</v>
      </c>
      <c r="BC88" s="473">
        <v>45178.944444444445</v>
      </c>
      <c r="BD88" s="473">
        <v>45179.006944444445</v>
      </c>
      <c r="BE88" s="473">
        <v>45184.6875</v>
      </c>
      <c r="BF88" s="473">
        <v>45185.520833333336</v>
      </c>
      <c r="BG88" s="473">
        <v>45185.666666666664</v>
      </c>
      <c r="BH88" s="473">
        <v>45185.9375</v>
      </c>
      <c r="BI88" s="473">
        <f>BH88+(24/24)</f>
        <v>45186.9375</v>
      </c>
      <c r="BJ88" s="579" t="s">
        <v>196</v>
      </c>
      <c r="BK88" s="579" t="s">
        <v>196</v>
      </c>
      <c r="BL88" s="579" t="s">
        <v>196</v>
      </c>
      <c r="BM88" s="473">
        <v>45190.541666666664</v>
      </c>
      <c r="BN88" s="473">
        <v>45190.979166666664</v>
      </c>
      <c r="BO88" s="473">
        <v>45191.340277777781</v>
      </c>
      <c r="BP88" s="473">
        <v>45191.361111111109</v>
      </c>
      <c r="BQ88" s="473">
        <v>45191.368055555555</v>
      </c>
      <c r="BR88" s="473">
        <v>45191.824305555558</v>
      </c>
      <c r="BU88" s="481">
        <f t="shared" si="37"/>
        <v>1.5</v>
      </c>
      <c r="BV88" s="481">
        <f t="shared" si="38"/>
        <v>20.000000000058208</v>
      </c>
      <c r="BW88" s="481">
        <f t="shared" si="39"/>
        <v>24</v>
      </c>
      <c r="BX88" s="481">
        <f t="shared" si="47"/>
        <v>86.499999999941792</v>
      </c>
      <c r="BY88" s="482">
        <f t="shared" si="40"/>
        <v>8.6666666668024845</v>
      </c>
      <c r="BZ88" s="482">
        <f t="shared" si="41"/>
        <v>10.950000000069849</v>
      </c>
      <c r="CA88" s="483">
        <f t="shared" si="42"/>
        <v>6.3173611111196806</v>
      </c>
      <c r="CB88" s="483">
        <f t="shared" si="43"/>
        <v>12.890277777776646</v>
      </c>
      <c r="CC88" s="484">
        <f t="shared" si="44"/>
        <v>0.49008727507882444</v>
      </c>
    </row>
    <row r="89" spans="1:83" s="475" customFormat="1">
      <c r="A89" s="192">
        <f t="shared" si="46"/>
        <v>45186.958333333336</v>
      </c>
      <c r="B89" s="126" t="s">
        <v>188</v>
      </c>
      <c r="C89" s="126" t="s">
        <v>181</v>
      </c>
      <c r="D89" s="126" t="s">
        <v>189</v>
      </c>
      <c r="E89" s="65" t="s">
        <v>1327</v>
      </c>
      <c r="F89" s="126"/>
      <c r="G89" s="165">
        <v>45190.470833333333</v>
      </c>
      <c r="H89" s="165">
        <v>45190.470833333333</v>
      </c>
      <c r="I89" s="126" t="s">
        <v>448</v>
      </c>
      <c r="J89" s="369" t="s">
        <v>192</v>
      </c>
      <c r="K89" s="369" t="s">
        <v>192</v>
      </c>
      <c r="L89" s="126" t="s">
        <v>2783</v>
      </c>
      <c r="M89" s="529"/>
      <c r="N89" s="126" t="s">
        <v>2784</v>
      </c>
      <c r="O89" s="126" t="s">
        <v>2785</v>
      </c>
      <c r="P89" s="126" t="s">
        <v>181</v>
      </c>
      <c r="Q89" s="181">
        <v>7500</v>
      </c>
      <c r="R89" s="181">
        <v>7500</v>
      </c>
      <c r="S89" s="181">
        <v>7616.2640000000001</v>
      </c>
      <c r="T89" s="181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81">
        <f>S89</f>
        <v>7616.2640000000001</v>
      </c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65">
        <f t="shared" si="34"/>
        <v>45186.4375</v>
      </c>
      <c r="AZ89" s="165">
        <f t="shared" si="35"/>
        <v>45196.579861111109</v>
      </c>
      <c r="BA89" s="137">
        <f t="shared" si="36"/>
        <v>10.142361111109494</v>
      </c>
      <c r="BB89" s="165">
        <v>45186.4375</v>
      </c>
      <c r="BC89" s="165">
        <v>45186.4375</v>
      </c>
      <c r="BD89" s="165">
        <v>45186.4375</v>
      </c>
      <c r="BE89" s="165">
        <v>45186.958333333336</v>
      </c>
      <c r="BF89" s="165">
        <v>45188.899305555555</v>
      </c>
      <c r="BG89" s="165">
        <v>45189.305555555555</v>
      </c>
      <c r="BH89" s="165">
        <v>45189.305555555555</v>
      </c>
      <c r="BI89" s="165">
        <v>45189.305555555555</v>
      </c>
      <c r="BJ89" s="166" t="s">
        <v>196</v>
      </c>
      <c r="BK89" s="166" t="s">
        <v>196</v>
      </c>
      <c r="BL89" s="166" t="s">
        <v>196</v>
      </c>
      <c r="BM89" s="165">
        <v>45191.395833333336</v>
      </c>
      <c r="BN89" s="165">
        <v>45196.09375</v>
      </c>
      <c r="BO89" s="165">
        <v>45196.486111111109</v>
      </c>
      <c r="BP89" s="165">
        <v>45196.5</v>
      </c>
      <c r="BQ89" s="165">
        <v>45196.579861111109</v>
      </c>
      <c r="BR89" s="165">
        <v>45196.579861111109</v>
      </c>
      <c r="BS89" s="126"/>
      <c r="BT89" s="126"/>
      <c r="BU89" s="136">
        <f t="shared" si="37"/>
        <v>0</v>
      </c>
      <c r="BV89" s="136">
        <f t="shared" si="38"/>
        <v>46.583333333255723</v>
      </c>
      <c r="BW89" s="136">
        <f t="shared" si="39"/>
        <v>0</v>
      </c>
      <c r="BX89" s="136">
        <f t="shared" si="47"/>
        <v>50.166666666744277</v>
      </c>
      <c r="BY89" s="135">
        <f t="shared" si="40"/>
        <v>9.4166666666278616</v>
      </c>
      <c r="BZ89" s="135">
        <f t="shared" si="41"/>
        <v>0</v>
      </c>
      <c r="CA89" s="134">
        <f t="shared" si="42"/>
        <v>4.4236111111094942</v>
      </c>
      <c r="CB89" s="134">
        <f t="shared" si="43"/>
        <v>10.142361111109494</v>
      </c>
      <c r="CC89" s="133">
        <f t="shared" si="44"/>
        <v>0.4361520027386982</v>
      </c>
      <c r="CD89" s="126"/>
      <c r="CE89" s="126"/>
    </row>
    <row r="90" spans="1:83" s="369" customFormat="1">
      <c r="A90" s="474">
        <f t="shared" si="46"/>
        <v>45195.861111111109</v>
      </c>
      <c r="B90" s="475" t="s">
        <v>188</v>
      </c>
      <c r="C90" s="475" t="s">
        <v>181</v>
      </c>
      <c r="D90" s="475" t="s">
        <v>189</v>
      </c>
      <c r="E90" s="476" t="s">
        <v>2786</v>
      </c>
      <c r="F90" s="475"/>
      <c r="G90" s="518">
        <v>45204.826388888891</v>
      </c>
      <c r="H90" s="518">
        <v>45204.826388888891</v>
      </c>
      <c r="I90" s="475" t="s">
        <v>448</v>
      </c>
      <c r="J90" s="126" t="s">
        <v>192</v>
      </c>
      <c r="K90" s="126" t="s">
        <v>192</v>
      </c>
      <c r="L90" s="475" t="s">
        <v>2787</v>
      </c>
      <c r="M90" s="529"/>
      <c r="N90" s="475" t="s">
        <v>2788</v>
      </c>
      <c r="O90" s="475" t="s">
        <v>2789</v>
      </c>
      <c r="P90" s="399" t="s">
        <v>181</v>
      </c>
      <c r="Q90" s="477">
        <v>7500</v>
      </c>
      <c r="R90" s="477">
        <v>7500</v>
      </c>
      <c r="S90" s="477">
        <v>7575.3940000000002</v>
      </c>
      <c r="T90" s="477"/>
      <c r="U90" s="401"/>
      <c r="V90" s="401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7">
        <f>S90</f>
        <v>7575.3940000000002</v>
      </c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3">
        <f t="shared" si="34"/>
        <v>45195.645833333336</v>
      </c>
      <c r="AZ90" s="473">
        <f t="shared" si="35"/>
        <v>45209.40625</v>
      </c>
      <c r="BA90" s="479">
        <f t="shared" si="36"/>
        <v>13.760416666664241</v>
      </c>
      <c r="BB90" s="473">
        <v>45195.645833333336</v>
      </c>
      <c r="BC90" s="473">
        <v>45195.645833333336</v>
      </c>
      <c r="BD90" s="473">
        <v>45195.645833333336</v>
      </c>
      <c r="BE90" s="473">
        <v>45195.861111111109</v>
      </c>
      <c r="BF90" s="473">
        <v>45198.489583333336</v>
      </c>
      <c r="BG90" s="473">
        <v>45198.833333333336</v>
      </c>
      <c r="BH90" s="473">
        <v>45198.833333333336</v>
      </c>
      <c r="BI90" s="473">
        <v>45198.833333333336</v>
      </c>
      <c r="BJ90" s="579" t="s">
        <v>196</v>
      </c>
      <c r="BK90" s="579" t="s">
        <v>196</v>
      </c>
      <c r="BL90" s="579" t="s">
        <v>196</v>
      </c>
      <c r="BM90" s="473">
        <v>45200.3125</v>
      </c>
      <c r="BN90" s="473">
        <v>45208.895833333336</v>
      </c>
      <c r="BO90" s="473">
        <v>45209.378472222219</v>
      </c>
      <c r="BP90" s="473">
        <v>45209.402777777781</v>
      </c>
      <c r="BQ90" s="473">
        <v>45209.40625</v>
      </c>
      <c r="BR90" s="473">
        <v>45209.40625</v>
      </c>
      <c r="BS90" s="475"/>
      <c r="BT90" s="475"/>
      <c r="BU90" s="481">
        <f t="shared" si="37"/>
        <v>0</v>
      </c>
      <c r="BV90" s="481">
        <f t="shared" si="38"/>
        <v>63.083333333430346</v>
      </c>
      <c r="BW90" s="481">
        <f t="shared" si="39"/>
        <v>0</v>
      </c>
      <c r="BX90" s="481">
        <f t="shared" si="47"/>
        <v>35.499999999941792</v>
      </c>
      <c r="BY90" s="482">
        <f t="shared" si="40"/>
        <v>11.583333333197515</v>
      </c>
      <c r="BZ90" s="482">
        <f t="shared" si="41"/>
        <v>0</v>
      </c>
      <c r="CA90" s="483">
        <f t="shared" si="42"/>
        <v>4.5902777777737356</v>
      </c>
      <c r="CB90" s="483">
        <f t="shared" si="43"/>
        <v>13.760416666664241</v>
      </c>
      <c r="CC90" s="484">
        <f t="shared" si="44"/>
        <v>0.33358566742343398</v>
      </c>
      <c r="CD90" s="475"/>
      <c r="CE90" s="475"/>
    </row>
    <row r="91" spans="1:83" s="369" customFormat="1">
      <c r="A91" s="192">
        <f t="shared" si="46"/>
        <v>45171.600694444445</v>
      </c>
      <c r="B91" s="126" t="s">
        <v>188</v>
      </c>
      <c r="C91" s="126" t="s">
        <v>82</v>
      </c>
      <c r="D91" s="126" t="s">
        <v>197</v>
      </c>
      <c r="E91" s="65" t="s">
        <v>1324</v>
      </c>
      <c r="F91" s="65"/>
      <c r="G91" s="165">
        <v>45170.006944444445</v>
      </c>
      <c r="H91" s="165">
        <v>45170.006944444445</v>
      </c>
      <c r="I91" s="126" t="s">
        <v>1046</v>
      </c>
      <c r="J91" s="126" t="s">
        <v>192</v>
      </c>
      <c r="K91" s="126" t="s">
        <v>192</v>
      </c>
      <c r="L91" s="126" t="s">
        <v>2790</v>
      </c>
      <c r="M91" s="167"/>
      <c r="N91" s="126" t="s">
        <v>1303</v>
      </c>
      <c r="O91" s="126" t="s">
        <v>1304</v>
      </c>
      <c r="P91" s="126" t="s">
        <v>82</v>
      </c>
      <c r="Q91" s="181">
        <f t="shared" ref="Q91:Q96" si="48">2205*2.4</f>
        <v>5292</v>
      </c>
      <c r="R91" s="181">
        <f t="shared" ref="R91:R96" si="49">5300+100</f>
        <v>5400</v>
      </c>
      <c r="S91" s="181">
        <v>5265</v>
      </c>
      <c r="T91" s="181"/>
      <c r="U91" s="126"/>
      <c r="V91" s="172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81">
        <f t="shared" ref="AR91:AR96" si="50">S91</f>
        <v>5265</v>
      </c>
      <c r="AS91" s="126"/>
      <c r="AT91" s="126"/>
      <c r="AU91" s="126"/>
      <c r="AV91" s="126"/>
      <c r="AW91" s="126"/>
      <c r="AX91" s="126"/>
      <c r="AY91" s="165">
        <f t="shared" si="34"/>
        <v>45167.958333333336</v>
      </c>
      <c r="AZ91" s="165">
        <f t="shared" si="35"/>
        <v>45177.208333333336</v>
      </c>
      <c r="BA91" s="137">
        <f t="shared" si="36"/>
        <v>9.25</v>
      </c>
      <c r="BB91" s="165">
        <v>45167.958333333336</v>
      </c>
      <c r="BC91" s="165">
        <v>45171.222222222219</v>
      </c>
      <c r="BD91" s="165">
        <v>45171.572916666664</v>
      </c>
      <c r="BE91" s="165">
        <v>45171.600694444445</v>
      </c>
      <c r="BF91" s="165">
        <v>45172.423611111109</v>
      </c>
      <c r="BG91" s="165">
        <v>45172.5</v>
      </c>
      <c r="BH91" s="165">
        <v>45173.680555555555</v>
      </c>
      <c r="BI91" s="165">
        <v>45173.680555555555</v>
      </c>
      <c r="BJ91" s="166" t="s">
        <v>196</v>
      </c>
      <c r="BK91" s="166" t="s">
        <v>196</v>
      </c>
      <c r="BL91" s="166" t="s">
        <v>196</v>
      </c>
      <c r="BM91" s="165">
        <v>45175.048611111109</v>
      </c>
      <c r="BN91" s="165">
        <v>45176.267361111109</v>
      </c>
      <c r="BO91" s="165">
        <v>45176.53125</v>
      </c>
      <c r="BP91" s="165">
        <v>45176.545138888891</v>
      </c>
      <c r="BQ91" s="165">
        <v>45176.663194444445</v>
      </c>
      <c r="BR91" s="165">
        <v>45177.208333333336</v>
      </c>
      <c r="BS91" s="126"/>
      <c r="BT91" s="126"/>
      <c r="BU91" s="136">
        <f t="shared" si="37"/>
        <v>8.4166666666860692</v>
      </c>
      <c r="BV91" s="136">
        <f t="shared" si="38"/>
        <v>19.749999999941792</v>
      </c>
      <c r="BW91" s="136">
        <f t="shared" si="39"/>
        <v>0</v>
      </c>
      <c r="BX91" s="136">
        <f t="shared" si="47"/>
        <v>32.833333333313931</v>
      </c>
      <c r="BY91" s="135">
        <f t="shared" si="40"/>
        <v>6.3333333333721384</v>
      </c>
      <c r="BZ91" s="135">
        <f t="shared" si="41"/>
        <v>13.083333333372138</v>
      </c>
      <c r="CA91" s="134">
        <f t="shared" si="42"/>
        <v>3.3506944444452529</v>
      </c>
      <c r="CB91" s="134">
        <f t="shared" si="43"/>
        <v>9.25</v>
      </c>
      <c r="CC91" s="133">
        <f t="shared" si="44"/>
        <v>0.36223723723732465</v>
      </c>
      <c r="CD91" s="126"/>
      <c r="CE91" s="126"/>
    </row>
    <row r="92" spans="1:83" s="369" customFormat="1">
      <c r="A92" s="474">
        <f t="shared" si="46"/>
        <v>45177.319444444445</v>
      </c>
      <c r="B92" s="475" t="s">
        <v>188</v>
      </c>
      <c r="C92" s="475" t="s">
        <v>82</v>
      </c>
      <c r="D92" s="475" t="s">
        <v>197</v>
      </c>
      <c r="E92" s="476" t="s">
        <v>2487</v>
      </c>
      <c r="F92" s="476"/>
      <c r="G92" s="472">
        <v>45167.625</v>
      </c>
      <c r="H92" s="472">
        <v>45167.583333333336</v>
      </c>
      <c r="I92" s="475" t="s">
        <v>1046</v>
      </c>
      <c r="J92" s="475" t="s">
        <v>192</v>
      </c>
      <c r="K92" s="475" t="s">
        <v>192</v>
      </c>
      <c r="L92" s="475" t="s">
        <v>2497</v>
      </c>
      <c r="M92" s="530"/>
      <c r="N92" s="475" t="s">
        <v>441</v>
      </c>
      <c r="O92" s="475" t="s">
        <v>1308</v>
      </c>
      <c r="P92" s="475" t="s">
        <v>82</v>
      </c>
      <c r="Q92" s="477">
        <f t="shared" si="48"/>
        <v>5292</v>
      </c>
      <c r="R92" s="477">
        <f t="shared" si="49"/>
        <v>5400</v>
      </c>
      <c r="S92" s="477">
        <v>5304</v>
      </c>
      <c r="T92" s="477"/>
      <c r="U92" s="475"/>
      <c r="V92" s="478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7">
        <f t="shared" si="50"/>
        <v>5304</v>
      </c>
      <c r="AS92" s="475"/>
      <c r="AT92" s="475"/>
      <c r="AU92" s="475"/>
      <c r="AV92" s="475"/>
      <c r="AW92" s="475"/>
      <c r="AX92" s="475"/>
      <c r="AY92" s="473">
        <f t="shared" si="34"/>
        <v>45174.322916666664</v>
      </c>
      <c r="AZ92" s="473">
        <f t="shared" si="35"/>
        <v>45184.75</v>
      </c>
      <c r="BA92" s="479">
        <f t="shared" si="36"/>
        <v>10.427083333335759</v>
      </c>
      <c r="BB92" s="473">
        <v>45174.322916666664</v>
      </c>
      <c r="BC92" s="473">
        <v>45176.916666666664</v>
      </c>
      <c r="BD92" s="473">
        <v>45177.145833333336</v>
      </c>
      <c r="BE92" s="473">
        <v>45177.319444444445</v>
      </c>
      <c r="BF92" s="473">
        <v>45178.208333333336</v>
      </c>
      <c r="BG92" s="473">
        <v>45178.298611111109</v>
      </c>
      <c r="BH92" s="473">
        <v>45178.75</v>
      </c>
      <c r="BI92" s="473">
        <v>45178.75</v>
      </c>
      <c r="BJ92" s="518" t="s">
        <v>196</v>
      </c>
      <c r="BK92" s="518" t="s">
        <v>196</v>
      </c>
      <c r="BL92" s="518" t="s">
        <v>196</v>
      </c>
      <c r="BM92" s="473">
        <v>45181.625</v>
      </c>
      <c r="BN92" s="473">
        <v>45183.513888888891</v>
      </c>
      <c r="BO92" s="473">
        <v>45183.729166666664</v>
      </c>
      <c r="BP92" s="473">
        <v>45183.743055555555</v>
      </c>
      <c r="BQ92" s="473">
        <v>45184.017361111109</v>
      </c>
      <c r="BR92" s="473">
        <v>45184.75</v>
      </c>
      <c r="BS92" s="475"/>
      <c r="BT92" s="475"/>
      <c r="BU92" s="481">
        <f t="shared" si="37"/>
        <v>5.5000000001164153</v>
      </c>
      <c r="BV92" s="481">
        <f t="shared" si="38"/>
        <v>21.333333333372138</v>
      </c>
      <c r="BW92" s="481">
        <f t="shared" si="39"/>
        <v>0</v>
      </c>
      <c r="BX92" s="481">
        <f t="shared" si="47"/>
        <v>69</v>
      </c>
      <c r="BY92" s="482">
        <f t="shared" si="40"/>
        <v>5.1666666665696539</v>
      </c>
      <c r="BZ92" s="482">
        <f t="shared" si="41"/>
        <v>17.583333333372138</v>
      </c>
      <c r="CA92" s="483">
        <f t="shared" si="42"/>
        <v>4.9409722222262644</v>
      </c>
      <c r="CB92" s="483">
        <f t="shared" si="43"/>
        <v>10.427083333335759</v>
      </c>
      <c r="CC92" s="484">
        <f t="shared" si="44"/>
        <v>0.4738594738597513</v>
      </c>
      <c r="CD92" s="475"/>
      <c r="CE92" s="475"/>
    </row>
    <row r="93" spans="1:83" s="369" customFormat="1">
      <c r="A93" s="474">
        <f t="shared" si="46"/>
        <v>45179.600694444445</v>
      </c>
      <c r="B93" s="475" t="s">
        <v>188</v>
      </c>
      <c r="C93" s="475" t="s">
        <v>82</v>
      </c>
      <c r="D93" s="475" t="s">
        <v>197</v>
      </c>
      <c r="E93" s="476" t="s">
        <v>2523</v>
      </c>
      <c r="F93" s="476"/>
      <c r="G93" s="472">
        <v>45177.291666666664</v>
      </c>
      <c r="H93" s="472">
        <v>45177.29583333333</v>
      </c>
      <c r="I93" s="475" t="s">
        <v>1046</v>
      </c>
      <c r="J93" s="475" t="s">
        <v>192</v>
      </c>
      <c r="K93" s="475" t="s">
        <v>192</v>
      </c>
      <c r="L93" s="475" t="s">
        <v>2526</v>
      </c>
      <c r="M93" s="529"/>
      <c r="N93" s="475" t="s">
        <v>1874</v>
      </c>
      <c r="O93" s="475" t="s">
        <v>1875</v>
      </c>
      <c r="P93" s="475" t="s">
        <v>82</v>
      </c>
      <c r="Q93" s="477">
        <f t="shared" si="48"/>
        <v>5292</v>
      </c>
      <c r="R93" s="477">
        <f t="shared" si="49"/>
        <v>5400</v>
      </c>
      <c r="S93" s="477">
        <v>5210</v>
      </c>
      <c r="T93" s="477"/>
      <c r="U93" s="475"/>
      <c r="V93" s="478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7">
        <f t="shared" si="50"/>
        <v>5210</v>
      </c>
      <c r="AS93" s="475"/>
      <c r="AT93" s="475"/>
      <c r="AU93" s="475"/>
      <c r="AV93" s="475"/>
      <c r="AW93" s="475"/>
      <c r="AX93" s="475"/>
      <c r="AY93" s="473">
        <f t="shared" si="34"/>
        <v>45173.017361111109</v>
      </c>
      <c r="AZ93" s="473">
        <f t="shared" si="35"/>
        <v>45187.631944444445</v>
      </c>
      <c r="BA93" s="479">
        <f t="shared" si="36"/>
        <v>14.614583333335759</v>
      </c>
      <c r="BB93" s="473">
        <v>45173.017361111109</v>
      </c>
      <c r="BC93" s="473">
        <v>45179.055555555555</v>
      </c>
      <c r="BD93" s="473">
        <v>45179.430555555555</v>
      </c>
      <c r="BE93" s="473">
        <v>45179.600694444445</v>
      </c>
      <c r="BF93" s="473">
        <v>45180.416666666664</v>
      </c>
      <c r="BG93" s="473">
        <v>45180.496527777781</v>
      </c>
      <c r="BH93" s="473">
        <v>45181.041666666664</v>
      </c>
      <c r="BI93" s="473">
        <v>45181.041666666664</v>
      </c>
      <c r="BJ93" s="518" t="s">
        <v>196</v>
      </c>
      <c r="BK93" s="518" t="s">
        <v>196</v>
      </c>
      <c r="BL93" s="518" t="s">
        <v>196</v>
      </c>
      <c r="BM93" s="473">
        <v>45182.545138888891</v>
      </c>
      <c r="BN93" s="473">
        <v>45186.357638888891</v>
      </c>
      <c r="BO93" s="473">
        <v>45186.586805555555</v>
      </c>
      <c r="BP93" s="473">
        <v>45186.604166666664</v>
      </c>
      <c r="BQ93" s="473">
        <v>45187.083333333336</v>
      </c>
      <c r="BR93" s="473">
        <v>45187.631944444445</v>
      </c>
      <c r="BS93" s="475"/>
      <c r="BT93" s="475"/>
      <c r="BU93" s="481">
        <f t="shared" si="37"/>
        <v>9</v>
      </c>
      <c r="BV93" s="481">
        <f t="shared" si="38"/>
        <v>19.583333333255723</v>
      </c>
      <c r="BW93" s="481">
        <f t="shared" si="39"/>
        <v>0</v>
      </c>
      <c r="BX93" s="481">
        <f t="shared" si="47"/>
        <v>36.083333333430346</v>
      </c>
      <c r="BY93" s="482">
        <f t="shared" si="40"/>
        <v>5.4999999999417923</v>
      </c>
      <c r="BZ93" s="482">
        <f t="shared" si="41"/>
        <v>13.166666666627862</v>
      </c>
      <c r="CA93" s="483">
        <f t="shared" si="42"/>
        <v>3.4722222222189885</v>
      </c>
      <c r="CB93" s="483">
        <f t="shared" si="43"/>
        <v>14.614583333335759</v>
      </c>
      <c r="CC93" s="484">
        <f t="shared" si="44"/>
        <v>0.23758612497004103</v>
      </c>
      <c r="CD93" s="475"/>
      <c r="CE93" s="475"/>
    </row>
    <row r="94" spans="1:83" s="126" customFormat="1">
      <c r="A94" s="192">
        <f t="shared" si="46"/>
        <v>45185.628472222219</v>
      </c>
      <c r="B94" s="126" t="s">
        <v>188</v>
      </c>
      <c r="C94" s="126" t="s">
        <v>82</v>
      </c>
      <c r="D94" s="126" t="s">
        <v>197</v>
      </c>
      <c r="E94" s="65" t="s">
        <v>2605</v>
      </c>
      <c r="F94" s="65"/>
      <c r="G94" s="316">
        <v>45191.479166666664</v>
      </c>
      <c r="H94" s="316">
        <v>45191.479166666664</v>
      </c>
      <c r="I94" s="126" t="s">
        <v>1046</v>
      </c>
      <c r="J94" s="126" t="s">
        <v>192</v>
      </c>
      <c r="K94" s="126" t="s">
        <v>192</v>
      </c>
      <c r="L94" s="126" t="s">
        <v>2791</v>
      </c>
      <c r="M94" s="529"/>
      <c r="N94" s="126" t="s">
        <v>383</v>
      </c>
      <c r="O94" s="126" t="s">
        <v>384</v>
      </c>
      <c r="P94" s="126" t="s">
        <v>82</v>
      </c>
      <c r="Q94" s="181">
        <f t="shared" si="48"/>
        <v>5292</v>
      </c>
      <c r="R94" s="181">
        <f t="shared" si="49"/>
        <v>5400</v>
      </c>
      <c r="S94" s="181">
        <v>5124</v>
      </c>
      <c r="T94" s="181"/>
      <c r="V94" s="172"/>
      <c r="AR94" s="181">
        <f t="shared" si="50"/>
        <v>5124</v>
      </c>
      <c r="AY94" s="165">
        <f t="shared" si="34"/>
        <v>45182.555555555555</v>
      </c>
      <c r="AZ94" s="165">
        <f t="shared" si="35"/>
        <v>45198.375</v>
      </c>
      <c r="BA94" s="137">
        <f t="shared" si="36"/>
        <v>15.819444444445253</v>
      </c>
      <c r="BB94" s="165">
        <v>45182.555555555555</v>
      </c>
      <c r="BC94" s="165">
        <v>45185.40625</v>
      </c>
      <c r="BD94" s="165">
        <v>45185.541666666664</v>
      </c>
      <c r="BE94" s="165">
        <v>45185.628472222219</v>
      </c>
      <c r="BF94" s="165">
        <v>45186.503472222219</v>
      </c>
      <c r="BG94" s="165">
        <v>45186.576388888891</v>
      </c>
      <c r="BH94" s="165">
        <v>45187.131944444445</v>
      </c>
      <c r="BI94" s="165">
        <f>BH94+(24/24)</f>
        <v>45188.131944444445</v>
      </c>
      <c r="BJ94" s="166" t="s">
        <v>196</v>
      </c>
      <c r="BK94" s="166" t="s">
        <v>196</v>
      </c>
      <c r="BL94" s="166" t="s">
        <v>196</v>
      </c>
      <c r="BM94" s="165">
        <v>45188.5</v>
      </c>
      <c r="BN94" s="165">
        <v>45196.600694444445</v>
      </c>
      <c r="BO94" s="165">
        <v>45196.829861111109</v>
      </c>
      <c r="BP94" s="165">
        <v>45196.854166666664</v>
      </c>
      <c r="BQ94" s="165">
        <v>45196.90625</v>
      </c>
      <c r="BR94" s="165">
        <v>45198.375</v>
      </c>
      <c r="BU94" s="136">
        <f t="shared" si="37"/>
        <v>3.2499999999417923</v>
      </c>
      <c r="BV94" s="136">
        <f t="shared" si="38"/>
        <v>21</v>
      </c>
      <c r="BW94" s="136">
        <f t="shared" si="39"/>
        <v>24</v>
      </c>
      <c r="BX94" s="136">
        <f t="shared" si="47"/>
        <v>8.8333333333139308</v>
      </c>
      <c r="BY94" s="135">
        <f t="shared" si="40"/>
        <v>5.4999999999417923</v>
      </c>
      <c r="BZ94" s="135">
        <f t="shared" si="41"/>
        <v>35.25</v>
      </c>
      <c r="CA94" s="134">
        <f t="shared" si="42"/>
        <v>4.0763888888832298</v>
      </c>
      <c r="CB94" s="134">
        <f t="shared" si="43"/>
        <v>15.819444444445253</v>
      </c>
      <c r="CC94" s="133">
        <f t="shared" si="44"/>
        <v>0.25768217734818044</v>
      </c>
    </row>
    <row r="95" spans="1:83" s="369" customFormat="1">
      <c r="A95" s="521">
        <f t="shared" si="46"/>
        <v>45187.795138888891</v>
      </c>
      <c r="B95" s="369" t="s">
        <v>188</v>
      </c>
      <c r="C95" s="369" t="s">
        <v>82</v>
      </c>
      <c r="D95" s="369" t="s">
        <v>197</v>
      </c>
      <c r="E95" s="271" t="s">
        <v>2552</v>
      </c>
      <c r="F95" s="271"/>
      <c r="G95" s="492">
        <v>45190.729166666664</v>
      </c>
      <c r="H95" s="492">
        <v>45190.695833333331</v>
      </c>
      <c r="I95" s="369" t="s">
        <v>1043</v>
      </c>
      <c r="J95" s="369" t="s">
        <v>192</v>
      </c>
      <c r="K95" s="369" t="s">
        <v>192</v>
      </c>
      <c r="L95" s="369" t="s">
        <v>2555</v>
      </c>
      <c r="M95" s="529"/>
      <c r="N95" s="369" t="s">
        <v>441</v>
      </c>
      <c r="O95" s="369" t="s">
        <v>1308</v>
      </c>
      <c r="P95" s="369" t="s">
        <v>82</v>
      </c>
      <c r="Q95" s="520">
        <f t="shared" si="48"/>
        <v>5292</v>
      </c>
      <c r="R95" s="520">
        <f t="shared" si="49"/>
        <v>5400</v>
      </c>
      <c r="S95" s="520">
        <v>5258</v>
      </c>
      <c r="T95" s="520"/>
      <c r="V95" s="528"/>
      <c r="AR95" s="520">
        <f t="shared" si="50"/>
        <v>5258</v>
      </c>
      <c r="AY95" s="522">
        <f t="shared" si="34"/>
        <v>45184.75</v>
      </c>
      <c r="AZ95" s="522">
        <f t="shared" si="35"/>
        <v>45193.8125</v>
      </c>
      <c r="BA95" s="523">
        <f t="shared" si="36"/>
        <v>9.0625</v>
      </c>
      <c r="BB95" s="522">
        <v>45184.75</v>
      </c>
      <c r="BC95" s="522">
        <v>45185.809027777781</v>
      </c>
      <c r="BD95" s="522">
        <v>45186.017361111109</v>
      </c>
      <c r="BE95" s="522">
        <v>45187.795138888891</v>
      </c>
      <c r="BF95" s="522">
        <v>45188.638888888891</v>
      </c>
      <c r="BG95" s="522">
        <v>45188.677083333336</v>
      </c>
      <c r="BH95" s="522">
        <v>45189.65625</v>
      </c>
      <c r="BI95" s="522">
        <v>45189.65625</v>
      </c>
      <c r="BJ95" s="398" t="s">
        <v>196</v>
      </c>
      <c r="BK95" s="398" t="s">
        <v>196</v>
      </c>
      <c r="BL95" s="398" t="s">
        <v>196</v>
      </c>
      <c r="BM95" s="522">
        <v>45190.854166666664</v>
      </c>
      <c r="BN95" s="522">
        <v>45192.458333333336</v>
      </c>
      <c r="BO95" s="522">
        <v>45193.270833333336</v>
      </c>
      <c r="BP95" s="522">
        <v>45193.291666666664</v>
      </c>
      <c r="BQ95" s="522">
        <v>45192.291666666664</v>
      </c>
      <c r="BR95" s="522">
        <v>45193.8125</v>
      </c>
      <c r="BU95" s="525">
        <f t="shared" si="37"/>
        <v>4.9999999998835847</v>
      </c>
      <c r="BV95" s="525">
        <f t="shared" si="38"/>
        <v>20.25</v>
      </c>
      <c r="BW95" s="525">
        <f t="shared" si="39"/>
        <v>0</v>
      </c>
      <c r="BX95" s="525">
        <f t="shared" si="47"/>
        <v>28.749999999941792</v>
      </c>
      <c r="BY95" s="526">
        <f t="shared" si="40"/>
        <v>19.5</v>
      </c>
      <c r="BZ95" s="526">
        <f t="shared" si="41"/>
        <v>36.500000000058208</v>
      </c>
      <c r="CA95" s="304">
        <f t="shared" si="42"/>
        <v>4.5833333333284827</v>
      </c>
      <c r="CB95" s="304">
        <f t="shared" si="43"/>
        <v>9.0625</v>
      </c>
      <c r="CC95" s="305">
        <f t="shared" si="44"/>
        <v>0.50574712643624642</v>
      </c>
    </row>
    <row r="96" spans="1:83" s="369" customFormat="1">
      <c r="A96" s="192">
        <f t="shared" si="46"/>
        <v>45195.541666666664</v>
      </c>
      <c r="B96" s="126" t="s">
        <v>188</v>
      </c>
      <c r="C96" s="126" t="s">
        <v>82</v>
      </c>
      <c r="D96" s="126" t="s">
        <v>197</v>
      </c>
      <c r="E96" s="65" t="s">
        <v>2780</v>
      </c>
      <c r="F96" s="65"/>
      <c r="G96" s="316">
        <v>45198.607638888891</v>
      </c>
      <c r="H96" s="316">
        <v>45198.607638888891</v>
      </c>
      <c r="I96" s="126" t="s">
        <v>1046</v>
      </c>
      <c r="J96" s="126" t="s">
        <v>192</v>
      </c>
      <c r="K96" s="126" t="s">
        <v>192</v>
      </c>
      <c r="L96" s="126" t="s">
        <v>2792</v>
      </c>
      <c r="M96" s="529"/>
      <c r="N96" s="126" t="s">
        <v>441</v>
      </c>
      <c r="O96" s="126" t="s">
        <v>1308</v>
      </c>
      <c r="P96" s="126" t="s">
        <v>82</v>
      </c>
      <c r="Q96" s="181">
        <f t="shared" si="48"/>
        <v>5292</v>
      </c>
      <c r="R96" s="181">
        <f t="shared" si="49"/>
        <v>5400</v>
      </c>
      <c r="S96" s="181">
        <v>5293</v>
      </c>
      <c r="T96" s="181"/>
      <c r="U96" s="126"/>
      <c r="V96" s="172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81">
        <f t="shared" si="50"/>
        <v>5293</v>
      </c>
      <c r="AS96" s="126"/>
      <c r="AT96" s="126"/>
      <c r="AU96" s="126"/>
      <c r="AV96" s="126"/>
      <c r="AW96" s="126"/>
      <c r="AX96" s="126"/>
      <c r="AY96" s="165">
        <f t="shared" si="34"/>
        <v>45193.8125</v>
      </c>
      <c r="AZ96" s="165">
        <f t="shared" si="35"/>
        <v>45204.041666666664</v>
      </c>
      <c r="BA96" s="137">
        <f t="shared" si="36"/>
        <v>10.229166666664241</v>
      </c>
      <c r="BB96" s="165">
        <v>45193.8125</v>
      </c>
      <c r="BC96" s="165">
        <v>45195.166666666664</v>
      </c>
      <c r="BD96" s="165">
        <v>45195.458333333336</v>
      </c>
      <c r="BE96" s="165">
        <v>45195.541666666664</v>
      </c>
      <c r="BF96" s="165">
        <v>45196.09375</v>
      </c>
      <c r="BG96" s="165">
        <v>45196.305555555555</v>
      </c>
      <c r="BH96" s="165">
        <v>45197.038194444445</v>
      </c>
      <c r="BI96" s="165">
        <v>45197.038194444445</v>
      </c>
      <c r="BJ96" s="166" t="s">
        <v>196</v>
      </c>
      <c r="BK96" s="166" t="s">
        <v>196</v>
      </c>
      <c r="BL96" s="166" t="s">
        <v>196</v>
      </c>
      <c r="BM96" s="165">
        <v>45198.659722222219</v>
      </c>
      <c r="BN96" s="165">
        <v>45202.34375</v>
      </c>
      <c r="BO96" s="165">
        <v>45203.440972222219</v>
      </c>
      <c r="BP96" s="165">
        <v>45203.46875</v>
      </c>
      <c r="BQ96" s="165">
        <v>45203.472222222219</v>
      </c>
      <c r="BR96" s="165">
        <v>45204.041666666664</v>
      </c>
      <c r="BS96" s="126"/>
      <c r="BT96" s="126"/>
      <c r="BU96" s="136">
        <f t="shared" si="37"/>
        <v>7.0000000001164153</v>
      </c>
      <c r="BV96" s="136">
        <f t="shared" si="38"/>
        <v>13.250000000058208</v>
      </c>
      <c r="BW96" s="136">
        <f t="shared" si="39"/>
        <v>0</v>
      </c>
      <c r="BX96" s="136">
        <f t="shared" si="47"/>
        <v>38.916666666569654</v>
      </c>
      <c r="BY96" s="135">
        <f t="shared" si="40"/>
        <v>26.333333333255723</v>
      </c>
      <c r="BZ96" s="135">
        <f t="shared" si="41"/>
        <v>13.666666666686069</v>
      </c>
      <c r="CA96" s="134">
        <f t="shared" si="42"/>
        <v>4.1319444444452529</v>
      </c>
      <c r="CB96" s="134">
        <f t="shared" si="43"/>
        <v>10.229166666664241</v>
      </c>
      <c r="CC96" s="133">
        <f t="shared" si="44"/>
        <v>0.40393754243058894</v>
      </c>
      <c r="CD96" s="126"/>
      <c r="CE96" s="126"/>
    </row>
    <row r="97" spans="1:83" s="369" customFormat="1">
      <c r="A97" s="192">
        <f t="shared" si="46"/>
        <v>45170.458333333336</v>
      </c>
      <c r="B97" s="126" t="s">
        <v>188</v>
      </c>
      <c r="C97" s="126" t="s">
        <v>84</v>
      </c>
      <c r="D97" s="126" t="s">
        <v>197</v>
      </c>
      <c r="E97" s="65" t="s">
        <v>1324</v>
      </c>
      <c r="F97" s="126"/>
      <c r="G97" s="165">
        <v>45170.006944444445</v>
      </c>
      <c r="H97" s="165">
        <v>45170.006944444445</v>
      </c>
      <c r="I97" s="126" t="s">
        <v>455</v>
      </c>
      <c r="J97" s="126" t="s">
        <v>192</v>
      </c>
      <c r="K97" s="126" t="s">
        <v>192</v>
      </c>
      <c r="L97" s="126" t="s">
        <v>2793</v>
      </c>
      <c r="M97" s="167"/>
      <c r="N97" s="126" t="s">
        <v>339</v>
      </c>
      <c r="O97" s="126" t="s">
        <v>506</v>
      </c>
      <c r="P97" s="126" t="s">
        <v>84</v>
      </c>
      <c r="Q97" s="181">
        <f>3071*2.4</f>
        <v>7370.4</v>
      </c>
      <c r="R97" s="181">
        <f>7400+100</f>
        <v>7500</v>
      </c>
      <c r="S97" s="181">
        <v>7544</v>
      </c>
      <c r="T97" s="181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81">
        <f>S97</f>
        <v>7544</v>
      </c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65">
        <f t="shared" si="34"/>
        <v>45163.25</v>
      </c>
      <c r="AZ97" s="165">
        <f t="shared" si="35"/>
        <v>45176.666666666664</v>
      </c>
      <c r="BA97" s="137">
        <f t="shared" si="36"/>
        <v>13.416666666664241</v>
      </c>
      <c r="BB97" s="165">
        <v>45163.25</v>
      </c>
      <c r="BC97" s="165">
        <v>45168.8125</v>
      </c>
      <c r="BD97" s="165">
        <v>45170.020833333336</v>
      </c>
      <c r="BE97" s="165">
        <v>45170.458333333336</v>
      </c>
      <c r="BF97" s="165">
        <v>45170.607638888891</v>
      </c>
      <c r="BG97" s="165">
        <v>45170.621527777781</v>
      </c>
      <c r="BH97" s="165">
        <v>45170.833333333336</v>
      </c>
      <c r="BI97" s="165">
        <v>45170.833333333336</v>
      </c>
      <c r="BJ97" s="166" t="s">
        <v>196</v>
      </c>
      <c r="BK97" s="166" t="s">
        <v>196</v>
      </c>
      <c r="BL97" s="166" t="s">
        <v>196</v>
      </c>
      <c r="BM97" s="165">
        <v>45172.5</v>
      </c>
      <c r="BN97" s="165">
        <v>45173.833333333336</v>
      </c>
      <c r="BO97" s="165">
        <v>45176.177083333336</v>
      </c>
      <c r="BP97" s="165">
        <v>45176.201388888891</v>
      </c>
      <c r="BQ97" s="165">
        <v>45176.204861111109</v>
      </c>
      <c r="BR97" s="165">
        <v>45176.666666666664</v>
      </c>
      <c r="BS97" s="126"/>
      <c r="BT97" s="126"/>
      <c r="BU97" s="136">
        <f t="shared" si="37"/>
        <v>29.000000000058208</v>
      </c>
      <c r="BV97" s="136">
        <f t="shared" si="38"/>
        <v>3.5833333333139308</v>
      </c>
      <c r="BW97" s="136">
        <f t="shared" si="39"/>
        <v>0</v>
      </c>
      <c r="BX97" s="136">
        <f t="shared" si="47"/>
        <v>39.999999999941792</v>
      </c>
      <c r="BY97" s="135">
        <f t="shared" si="40"/>
        <v>56.25</v>
      </c>
      <c r="BZ97" s="135">
        <f t="shared" si="41"/>
        <v>11.083333333313931</v>
      </c>
      <c r="CA97" s="134">
        <f t="shared" si="42"/>
        <v>5.8298611111094942</v>
      </c>
      <c r="CB97" s="134">
        <f t="shared" si="43"/>
        <v>13.416666666664241</v>
      </c>
      <c r="CC97" s="133">
        <f t="shared" si="44"/>
        <v>0.43452380952376757</v>
      </c>
      <c r="CD97" s="126"/>
      <c r="CE97" s="126"/>
    </row>
    <row r="98" spans="1:83" s="369" customFormat="1">
      <c r="A98" s="474">
        <f t="shared" si="46"/>
        <v>45182.458333333336</v>
      </c>
      <c r="B98" s="475" t="s">
        <v>188</v>
      </c>
      <c r="C98" s="475" t="s">
        <v>84</v>
      </c>
      <c r="D98" s="475" t="s">
        <v>197</v>
      </c>
      <c r="E98" s="476" t="s">
        <v>1828</v>
      </c>
      <c r="F98" s="475"/>
      <c r="G98" s="473">
        <v>45183.75</v>
      </c>
      <c r="H98" s="473">
        <v>45183.75</v>
      </c>
      <c r="I98" s="475" t="s">
        <v>455</v>
      </c>
      <c r="J98" s="369" t="s">
        <v>192</v>
      </c>
      <c r="K98" s="369" t="s">
        <v>192</v>
      </c>
      <c r="L98" s="475" t="s">
        <v>2794</v>
      </c>
      <c r="M98" s="529"/>
      <c r="N98" s="475" t="s">
        <v>339</v>
      </c>
      <c r="O98" s="475" t="s">
        <v>506</v>
      </c>
      <c r="P98" s="475" t="s">
        <v>84</v>
      </c>
      <c r="Q98" s="477">
        <f>3071*2.4</f>
        <v>7370.4</v>
      </c>
      <c r="R98" s="477">
        <f>7400+100</f>
        <v>7500</v>
      </c>
      <c r="S98" s="477">
        <v>7512</v>
      </c>
      <c r="T98" s="477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7">
        <f>S98</f>
        <v>7512</v>
      </c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3">
        <f t="shared" si="34"/>
        <v>45176.666666666664</v>
      </c>
      <c r="AZ98" s="473">
        <f t="shared" si="35"/>
        <v>45191.583333333336</v>
      </c>
      <c r="BA98" s="479">
        <f t="shared" si="36"/>
        <v>14.916666666671517</v>
      </c>
      <c r="BB98" s="473">
        <v>45176.666666666664</v>
      </c>
      <c r="BC98" s="473">
        <v>45180.770833333336</v>
      </c>
      <c r="BD98" s="473">
        <v>45181.965277777781</v>
      </c>
      <c r="BE98" s="473">
        <v>45182.458333333336</v>
      </c>
      <c r="BF98" s="473">
        <v>45182.579861111109</v>
      </c>
      <c r="BG98" s="473">
        <v>45182.590277777781</v>
      </c>
      <c r="BH98" s="473">
        <v>45182.913194444445</v>
      </c>
      <c r="BI98" s="473">
        <v>45182.913194444445</v>
      </c>
      <c r="BJ98" s="579" t="s">
        <v>196</v>
      </c>
      <c r="BK98" s="579" t="s">
        <v>196</v>
      </c>
      <c r="BL98" s="579" t="s">
        <v>196</v>
      </c>
      <c r="BM98" s="473">
        <v>45184.861111111109</v>
      </c>
      <c r="BN98" s="473">
        <v>45190.510416666664</v>
      </c>
      <c r="BO98" s="473">
        <v>45191.086805555555</v>
      </c>
      <c r="BP98" s="473">
        <v>45191.111111111109</v>
      </c>
      <c r="BQ98" s="473">
        <v>45191.114583333336</v>
      </c>
      <c r="BR98" s="473">
        <v>45191.583333333336</v>
      </c>
      <c r="BS98" s="475" t="s">
        <v>2795</v>
      </c>
      <c r="BT98" s="475"/>
      <c r="BU98" s="481">
        <f t="shared" si="37"/>
        <v>28.666666666686069</v>
      </c>
      <c r="BV98" s="481">
        <f t="shared" si="38"/>
        <v>2.9166666665696539</v>
      </c>
      <c r="BW98" s="481">
        <f t="shared" si="39"/>
        <v>0</v>
      </c>
      <c r="BX98" s="481">
        <f t="shared" si="47"/>
        <v>46.749999999941792</v>
      </c>
      <c r="BY98" s="482">
        <f t="shared" si="40"/>
        <v>13.833333333372138</v>
      </c>
      <c r="BZ98" s="482">
        <f t="shared" si="41"/>
        <v>11.25</v>
      </c>
      <c r="CA98" s="483">
        <f t="shared" si="42"/>
        <v>4.3090277777737356</v>
      </c>
      <c r="CB98" s="483">
        <f t="shared" si="43"/>
        <v>14.916666666671517</v>
      </c>
      <c r="CC98" s="484">
        <f t="shared" si="44"/>
        <v>0.28887337057691626</v>
      </c>
      <c r="CD98" s="475"/>
      <c r="CE98" s="475"/>
    </row>
    <row r="99" spans="1:83" s="369" customFormat="1">
      <c r="A99" s="474">
        <f t="shared" si="46"/>
        <v>45173.65625</v>
      </c>
      <c r="B99" s="475" t="s">
        <v>188</v>
      </c>
      <c r="C99" s="475" t="s">
        <v>76</v>
      </c>
      <c r="D99" s="475" t="s">
        <v>215</v>
      </c>
      <c r="E99" s="476" t="s">
        <v>2740</v>
      </c>
      <c r="F99" s="475"/>
      <c r="G99" s="522">
        <v>45185.354166666664</v>
      </c>
      <c r="H99" s="522">
        <v>45185.354166666664</v>
      </c>
      <c r="I99" s="475" t="s">
        <v>464</v>
      </c>
      <c r="J99" s="475" t="s">
        <v>192</v>
      </c>
      <c r="K99" s="475" t="s">
        <v>192</v>
      </c>
      <c r="L99" s="475" t="s">
        <v>2796</v>
      </c>
      <c r="M99" s="529"/>
      <c r="N99" s="475" t="s">
        <v>1972</v>
      </c>
      <c r="O99" s="475" t="s">
        <v>1973</v>
      </c>
      <c r="P99" s="475" t="s">
        <v>76</v>
      </c>
      <c r="Q99" s="477">
        <f>3107*2.4</f>
        <v>7456.7999999999993</v>
      </c>
      <c r="R99" s="477">
        <f>7500+100</f>
        <v>7600</v>
      </c>
      <c r="S99" s="477">
        <v>7500</v>
      </c>
      <c r="T99" s="477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7">
        <f>S99</f>
        <v>7500</v>
      </c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3">
        <f t="shared" si="34"/>
        <v>45168.916666666664</v>
      </c>
      <c r="AZ99" s="473">
        <f t="shared" si="35"/>
        <v>45186.395833333336</v>
      </c>
      <c r="BA99" s="479">
        <f t="shared" si="36"/>
        <v>17.479166666671517</v>
      </c>
      <c r="BB99" s="473">
        <v>45168.916666666664</v>
      </c>
      <c r="BC99" s="473">
        <v>45170.826388888891</v>
      </c>
      <c r="BD99" s="473">
        <v>45171.208333333336</v>
      </c>
      <c r="BE99" s="473">
        <v>45173.65625</v>
      </c>
      <c r="BF99" s="473">
        <v>45174.142361111109</v>
      </c>
      <c r="BG99" s="473">
        <v>45174.166666666664</v>
      </c>
      <c r="BH99" s="473">
        <v>45174.166666666664</v>
      </c>
      <c r="BI99" s="473">
        <f>BH99+(10/24)</f>
        <v>45174.583333333328</v>
      </c>
      <c r="BJ99" s="480">
        <v>45175.25</v>
      </c>
      <c r="BK99" s="480">
        <v>45175.416666608799</v>
      </c>
      <c r="BL99" s="480">
        <v>45175.350694444445</v>
      </c>
      <c r="BM99" s="473">
        <v>45176.944444444445</v>
      </c>
      <c r="BN99" s="473">
        <v>45185.253472222219</v>
      </c>
      <c r="BO99" s="473">
        <v>45185.774305555555</v>
      </c>
      <c r="BP99" s="473">
        <v>45185.788194444445</v>
      </c>
      <c r="BQ99" s="473">
        <v>45185.791666666664</v>
      </c>
      <c r="BR99" s="473">
        <v>45186.395833333336</v>
      </c>
      <c r="BS99" s="475"/>
      <c r="BT99" s="475"/>
      <c r="BU99" s="481">
        <f t="shared" si="37"/>
        <v>9.1666666666860692</v>
      </c>
      <c r="BV99" s="481">
        <f t="shared" si="38"/>
        <v>11.666666666627862</v>
      </c>
      <c r="BW99" s="481">
        <f t="shared" si="39"/>
        <v>9.9999999999417923</v>
      </c>
      <c r="BX99" s="481">
        <f t="shared" ref="BX99:BX115" si="51">(BM99-BK99)*24</f>
        <v>36.666668055520859</v>
      </c>
      <c r="BY99" s="482">
        <f t="shared" si="40"/>
        <v>12.500000000058208</v>
      </c>
      <c r="BZ99" s="482">
        <f t="shared" si="41"/>
        <v>14.500000000116415</v>
      </c>
      <c r="CA99" s="483">
        <f t="shared" si="42"/>
        <v>3.9375000578729669</v>
      </c>
      <c r="CB99" s="483">
        <f t="shared" si="43"/>
        <v>17.479166666671517</v>
      </c>
      <c r="CC99" s="484">
        <f t="shared" si="44"/>
        <v>0.22526817971138255</v>
      </c>
      <c r="CD99" s="475"/>
      <c r="CE99" s="475"/>
    </row>
    <row r="100" spans="1:83" s="369" customFormat="1">
      <c r="A100" s="521">
        <f t="shared" si="46"/>
        <v>45188.930555555555</v>
      </c>
      <c r="B100" s="369" t="s">
        <v>188</v>
      </c>
      <c r="C100" s="369" t="s">
        <v>76</v>
      </c>
      <c r="D100" s="369" t="s">
        <v>215</v>
      </c>
      <c r="E100" s="649" t="s">
        <v>2574</v>
      </c>
      <c r="F100" s="649"/>
      <c r="G100" s="492">
        <v>45189.000694444447</v>
      </c>
      <c r="H100" s="492">
        <v>45189.024305555555</v>
      </c>
      <c r="I100" s="649" t="s">
        <v>460</v>
      </c>
      <c r="J100" s="369" t="s">
        <v>192</v>
      </c>
      <c r="K100" s="369" t="s">
        <v>192</v>
      </c>
      <c r="L100" s="661" t="s">
        <v>2577</v>
      </c>
      <c r="M100" s="529"/>
      <c r="N100" s="369" t="s">
        <v>1972</v>
      </c>
      <c r="O100" s="369" t="s">
        <v>1973</v>
      </c>
      <c r="P100" s="649" t="s">
        <v>76</v>
      </c>
      <c r="Q100" s="520">
        <f>3107*2.4</f>
        <v>7456.7999999999993</v>
      </c>
      <c r="R100" s="520">
        <f>7500+100</f>
        <v>7600</v>
      </c>
      <c r="S100" s="520">
        <v>7500</v>
      </c>
      <c r="T100" s="520"/>
      <c r="U100" s="650"/>
      <c r="V100" s="650"/>
      <c r="W100" s="650"/>
      <c r="X100" s="650"/>
      <c r="Y100" s="650"/>
      <c r="Z100" s="650"/>
      <c r="AA100" s="650"/>
      <c r="AL100" s="520">
        <f>S100</f>
        <v>7500</v>
      </c>
      <c r="AY100" s="522">
        <f t="shared" ref="AY100:AY131" si="52">BB100</f>
        <v>45186.395833333336</v>
      </c>
      <c r="AZ100" s="522">
        <f t="shared" ref="AZ100:AZ131" si="53">BR100</f>
        <v>45194.895833333336</v>
      </c>
      <c r="BA100" s="523">
        <f t="shared" ref="BA100:BA131" si="54">AZ100-AY100</f>
        <v>8.5</v>
      </c>
      <c r="BB100" s="522">
        <v>45186.395833333336</v>
      </c>
      <c r="BC100" s="522">
        <v>45187.916666666664</v>
      </c>
      <c r="BD100" s="522">
        <v>45188.3125</v>
      </c>
      <c r="BE100" s="522">
        <v>45188.930555555555</v>
      </c>
      <c r="BF100" s="522">
        <v>45189.447916666664</v>
      </c>
      <c r="BG100" s="522">
        <v>45189.465277777781</v>
      </c>
      <c r="BH100" s="522">
        <v>45189.475694444445</v>
      </c>
      <c r="BI100" s="522">
        <f>BH100+(10/24)</f>
        <v>45189.892361111109</v>
      </c>
      <c r="BJ100" s="524">
        <v>45190.25</v>
      </c>
      <c r="BK100" s="524">
        <v>45190.416666608799</v>
      </c>
      <c r="BL100" s="527">
        <v>45190.427083333336</v>
      </c>
      <c r="BM100" s="522">
        <v>45191.604166666664</v>
      </c>
      <c r="BN100" s="522">
        <v>45193.927083333336</v>
      </c>
      <c r="BO100" s="522">
        <v>45194.28125</v>
      </c>
      <c r="BP100" s="522">
        <v>45194.302083333336</v>
      </c>
      <c r="BQ100" s="522">
        <v>45194.625</v>
      </c>
      <c r="BR100" s="522">
        <v>45194.895833333336</v>
      </c>
      <c r="BU100" s="525">
        <f t="shared" ref="BU100:BU131" si="55">(BD100-BC100)*24</f>
        <v>9.5000000000582077</v>
      </c>
      <c r="BV100" s="525">
        <f t="shared" ref="BV100:BV131" si="56">(BF100-BE100)*24</f>
        <v>12.416666666627862</v>
      </c>
      <c r="BW100" s="525">
        <f t="shared" ref="BW100:BW131" si="57">(BI100-BH100)*24</f>
        <v>9.9999999999417923</v>
      </c>
      <c r="BX100" s="525">
        <f t="shared" si="51"/>
        <v>28.500001388776582</v>
      </c>
      <c r="BY100" s="526">
        <f t="shared" ref="BY100:BY131" si="58">(BO100-BN100)*24</f>
        <v>8.4999999999417923</v>
      </c>
      <c r="BZ100" s="526">
        <f t="shared" ref="BZ100:BZ131" si="59">(BR100-BQ100)*24</f>
        <v>6.5000000000582077</v>
      </c>
      <c r="CA100" s="304">
        <f t="shared" ref="CA100:CA131" si="60">SUM(BU100:BZ100)/24</f>
        <v>3.1423611689751851</v>
      </c>
      <c r="CB100" s="304">
        <f t="shared" ref="CB100:CB131" si="61">BA100</f>
        <v>8.5</v>
      </c>
      <c r="CC100" s="305">
        <f t="shared" ref="CC100:CC131" si="62">CA100/CB100</f>
        <v>0.36968954929119824</v>
      </c>
    </row>
    <row r="101" spans="1:83" s="369" customFormat="1">
      <c r="A101" s="192">
        <f t="shared" si="46"/>
        <v>45191.347222222219</v>
      </c>
      <c r="B101" s="126" t="s">
        <v>188</v>
      </c>
      <c r="C101" s="126" t="s">
        <v>76</v>
      </c>
      <c r="D101" s="126" t="s">
        <v>197</v>
      </c>
      <c r="E101" s="65" t="s">
        <v>2605</v>
      </c>
      <c r="F101" s="662"/>
      <c r="G101" s="316">
        <v>45191.479166666664</v>
      </c>
      <c r="H101" s="316">
        <v>45191.479166666664</v>
      </c>
      <c r="I101" s="662" t="s">
        <v>464</v>
      </c>
      <c r="J101" s="126" t="s">
        <v>192</v>
      </c>
      <c r="K101" s="126" t="s">
        <v>192</v>
      </c>
      <c r="L101" s="662" t="s">
        <v>2797</v>
      </c>
      <c r="M101" s="529"/>
      <c r="N101" s="126" t="s">
        <v>330</v>
      </c>
      <c r="O101" s="126" t="s">
        <v>331</v>
      </c>
      <c r="P101" s="662" t="s">
        <v>76</v>
      </c>
      <c r="Q101" s="181">
        <f>3136*2.4</f>
        <v>7526.4</v>
      </c>
      <c r="R101" s="181">
        <f>7550+100</f>
        <v>7650</v>
      </c>
      <c r="S101" s="181">
        <v>7500</v>
      </c>
      <c r="T101" s="181"/>
      <c r="U101" s="126"/>
      <c r="V101" s="663"/>
      <c r="W101" s="663"/>
      <c r="X101" s="663"/>
      <c r="Y101" s="663"/>
      <c r="Z101" s="663"/>
      <c r="AA101" s="663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81">
        <f>S101</f>
        <v>7500</v>
      </c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65">
        <f t="shared" si="52"/>
        <v>45189.083333333336</v>
      </c>
      <c r="AZ101" s="165">
        <f t="shared" si="53"/>
        <v>45198.097222222219</v>
      </c>
      <c r="BA101" s="137">
        <f t="shared" si="54"/>
        <v>9.0138888888832298</v>
      </c>
      <c r="BB101" s="165">
        <v>45189.083333333336</v>
      </c>
      <c r="BC101" s="165">
        <v>45190.548611111109</v>
      </c>
      <c r="BD101" s="165">
        <v>45191</v>
      </c>
      <c r="BE101" s="165">
        <v>45191.347222222219</v>
      </c>
      <c r="BF101" s="165">
        <v>45191.701388888891</v>
      </c>
      <c r="BG101" s="165">
        <v>45191.722222222219</v>
      </c>
      <c r="BH101" s="165">
        <v>45191.729166666664</v>
      </c>
      <c r="BI101" s="165">
        <f>BH101+(10/24)</f>
        <v>45192.145833333328</v>
      </c>
      <c r="BJ101" s="165">
        <v>45193.541666666664</v>
      </c>
      <c r="BK101" s="165">
        <v>45193.708333333336</v>
      </c>
      <c r="BL101" s="210">
        <v>45193.59375</v>
      </c>
      <c r="BM101" s="210">
        <v>45194.930555555555</v>
      </c>
      <c r="BN101" s="165">
        <v>45196.902777777781</v>
      </c>
      <c r="BO101" s="165">
        <v>45197.222222222219</v>
      </c>
      <c r="BP101" s="165">
        <v>45197.236111111109</v>
      </c>
      <c r="BQ101" s="165">
        <v>45197.638888888891</v>
      </c>
      <c r="BR101" s="165">
        <v>45198.097222222219</v>
      </c>
      <c r="BS101" s="126"/>
      <c r="BT101" s="126"/>
      <c r="BU101" s="136">
        <f t="shared" si="55"/>
        <v>10.833333333372138</v>
      </c>
      <c r="BV101" s="136">
        <f t="shared" si="56"/>
        <v>8.5000000001164153</v>
      </c>
      <c r="BW101" s="136">
        <f t="shared" si="57"/>
        <v>9.9999999999417923</v>
      </c>
      <c r="BX101" s="136">
        <f t="shared" si="51"/>
        <v>29.333333333255723</v>
      </c>
      <c r="BY101" s="135">
        <f t="shared" si="58"/>
        <v>7.6666666665114462</v>
      </c>
      <c r="BZ101" s="135">
        <f t="shared" si="59"/>
        <v>10.999999999883585</v>
      </c>
      <c r="CA101" s="134">
        <f t="shared" si="60"/>
        <v>3.2222222222117125</v>
      </c>
      <c r="CB101" s="134">
        <f t="shared" si="61"/>
        <v>9.0138888888832298</v>
      </c>
      <c r="CC101" s="133">
        <f t="shared" si="62"/>
        <v>0.35747303543819564</v>
      </c>
      <c r="CD101" s="126"/>
      <c r="CE101" s="126"/>
    </row>
    <row r="102" spans="1:83" s="369" customFormat="1">
      <c r="A102" s="192">
        <f t="shared" si="46"/>
        <v>45186.520833333336</v>
      </c>
      <c r="B102" s="126" t="s">
        <v>188</v>
      </c>
      <c r="C102" s="126" t="s">
        <v>182</v>
      </c>
      <c r="D102" s="126" t="s">
        <v>197</v>
      </c>
      <c r="E102" s="65" t="s">
        <v>2798</v>
      </c>
      <c r="F102" s="126"/>
      <c r="G102" s="316">
        <v>45199.75</v>
      </c>
      <c r="H102" s="316">
        <v>45199.75</v>
      </c>
      <c r="I102" s="126" t="s">
        <v>782</v>
      </c>
      <c r="J102" s="126" t="s">
        <v>192</v>
      </c>
      <c r="K102" s="126" t="s">
        <v>192</v>
      </c>
      <c r="L102" s="126" t="s">
        <v>2799</v>
      </c>
      <c r="M102" s="529"/>
      <c r="N102" s="126" t="s">
        <v>2800</v>
      </c>
      <c r="O102" s="126" t="s">
        <v>2801</v>
      </c>
      <c r="P102" s="126" t="s">
        <v>182</v>
      </c>
      <c r="Q102" s="181">
        <f>2261*2.4</f>
        <v>5426.4</v>
      </c>
      <c r="R102" s="181">
        <f>5450+100</f>
        <v>5550</v>
      </c>
      <c r="S102" s="181">
        <v>5343.2870000000003</v>
      </c>
      <c r="T102" s="181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81">
        <f>S102</f>
        <v>5343.2870000000003</v>
      </c>
      <c r="AT102" s="126"/>
      <c r="AU102" s="126"/>
      <c r="AV102" s="126"/>
      <c r="AW102" s="126"/>
      <c r="AX102" s="126"/>
      <c r="AY102" s="165">
        <f t="shared" si="52"/>
        <v>45177.208333333336</v>
      </c>
      <c r="AZ102" s="165">
        <f t="shared" si="53"/>
        <v>45205.506944444445</v>
      </c>
      <c r="BA102" s="137">
        <f t="shared" si="54"/>
        <v>28.298611111109494</v>
      </c>
      <c r="BB102" s="165">
        <v>45177.208333333336</v>
      </c>
      <c r="BC102" s="165">
        <v>45181.822916666664</v>
      </c>
      <c r="BD102" s="165">
        <v>45184.541666666664</v>
      </c>
      <c r="BE102" s="165">
        <v>45186.520833333336</v>
      </c>
      <c r="BF102" s="165">
        <v>45187.125</v>
      </c>
      <c r="BG102" s="165">
        <v>45187.3125</v>
      </c>
      <c r="BH102" s="165">
        <v>45187.3125</v>
      </c>
      <c r="BI102" s="165">
        <f>BH102+(51/24)</f>
        <v>45189.4375</v>
      </c>
      <c r="BJ102" s="362">
        <v>45190.25</v>
      </c>
      <c r="BK102" s="362">
        <v>45190.416666608799</v>
      </c>
      <c r="BL102" s="362">
        <v>45190.40625</v>
      </c>
      <c r="BM102" s="165">
        <v>45192.25</v>
      </c>
      <c r="BN102" s="165">
        <v>45203.635416666664</v>
      </c>
      <c r="BO102" s="165">
        <v>45204.725694444445</v>
      </c>
      <c r="BP102" s="165">
        <v>45204.743055555555</v>
      </c>
      <c r="BQ102" s="165">
        <v>45204.746527777781</v>
      </c>
      <c r="BR102" s="165">
        <v>45205.506944444445</v>
      </c>
      <c r="BS102" s="126" t="s">
        <v>2802</v>
      </c>
      <c r="BT102" s="126"/>
      <c r="BU102" s="136">
        <f t="shared" si="55"/>
        <v>65.25</v>
      </c>
      <c r="BV102" s="136">
        <f t="shared" si="56"/>
        <v>14.499999999941792</v>
      </c>
      <c r="BW102" s="136">
        <f t="shared" si="57"/>
        <v>51</v>
      </c>
      <c r="BX102" s="136">
        <f t="shared" si="51"/>
        <v>44.000001388834789</v>
      </c>
      <c r="BY102" s="135">
        <f t="shared" si="58"/>
        <v>26.166666666744277</v>
      </c>
      <c r="BZ102" s="135">
        <f t="shared" si="59"/>
        <v>18.249999999941792</v>
      </c>
      <c r="CA102" s="134">
        <f t="shared" si="60"/>
        <v>9.1319445023109438</v>
      </c>
      <c r="CB102" s="134">
        <f t="shared" si="61"/>
        <v>28.298611111109494</v>
      </c>
      <c r="CC102" s="133">
        <f t="shared" si="62"/>
        <v>0.32269938854793889</v>
      </c>
      <c r="CD102" s="126"/>
      <c r="CE102" s="126"/>
    </row>
    <row r="103" spans="1:83">
      <c r="A103" s="474">
        <f t="shared" si="46"/>
        <v>45189.875</v>
      </c>
      <c r="B103" s="475" t="s">
        <v>188</v>
      </c>
      <c r="C103" s="475" t="s">
        <v>182</v>
      </c>
      <c r="D103" s="475" t="s">
        <v>197</v>
      </c>
      <c r="E103" s="476" t="s">
        <v>994</v>
      </c>
      <c r="F103" s="475"/>
      <c r="G103" s="472">
        <v>45194.916666666664</v>
      </c>
      <c r="H103" s="472">
        <v>45194.895833333336</v>
      </c>
      <c r="I103" s="475" t="s">
        <v>1912</v>
      </c>
      <c r="J103" s="475" t="s">
        <v>192</v>
      </c>
      <c r="K103" s="475" t="s">
        <v>192</v>
      </c>
      <c r="L103" s="475" t="s">
        <v>2803</v>
      </c>
      <c r="M103" s="529"/>
      <c r="N103" s="475" t="s">
        <v>473</v>
      </c>
      <c r="O103" s="475" t="s">
        <v>474</v>
      </c>
      <c r="P103" s="399" t="s">
        <v>182</v>
      </c>
      <c r="Q103" s="477">
        <f>3136*2.4</f>
        <v>7526.4</v>
      </c>
      <c r="R103" s="477">
        <f>7550+100</f>
        <v>7650</v>
      </c>
      <c r="S103" s="477">
        <v>6460.5010000000002</v>
      </c>
      <c r="T103" s="477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7">
        <f>S103</f>
        <v>6460.5010000000002</v>
      </c>
      <c r="AT103" s="475"/>
      <c r="AU103" s="475"/>
      <c r="AV103" s="475"/>
      <c r="AW103" s="475"/>
      <c r="AX103" s="475"/>
      <c r="AY103" s="473">
        <f t="shared" si="52"/>
        <v>45183.430555555555</v>
      </c>
      <c r="AZ103" s="473">
        <f t="shared" si="53"/>
        <v>45211.291666666664</v>
      </c>
      <c r="BA103" s="479">
        <f t="shared" si="54"/>
        <v>27.861111111109494</v>
      </c>
      <c r="BB103" s="473">
        <v>45183.430555555555</v>
      </c>
      <c r="BC103" s="473">
        <v>45185.590277777781</v>
      </c>
      <c r="BD103" s="473">
        <v>45189.791666666664</v>
      </c>
      <c r="BE103" s="473">
        <v>45189.875</v>
      </c>
      <c r="BF103" s="473">
        <v>45190.6875</v>
      </c>
      <c r="BG103" s="473">
        <v>45190.708333333336</v>
      </c>
      <c r="BH103" s="473">
        <v>45190.708333333336</v>
      </c>
      <c r="BI103" s="473">
        <f>BH103+(51/24)</f>
        <v>45192.833333333336</v>
      </c>
      <c r="BJ103" s="485">
        <v>45192.25</v>
      </c>
      <c r="BK103" s="485">
        <v>45192.416666608799</v>
      </c>
      <c r="BL103" s="480">
        <v>45192.3125</v>
      </c>
      <c r="BM103" s="473">
        <v>45209.604166666664</v>
      </c>
      <c r="BN103" s="473">
        <v>45210.666666666664</v>
      </c>
      <c r="BO103" s="473">
        <v>45210.965277777781</v>
      </c>
      <c r="BP103" s="473">
        <v>45210.975694444445</v>
      </c>
      <c r="BQ103" s="473">
        <v>45210.975694444445</v>
      </c>
      <c r="BR103" s="473">
        <v>45211.291666666664</v>
      </c>
      <c r="BS103" s="475" t="s">
        <v>2804</v>
      </c>
      <c r="BT103" s="475"/>
      <c r="BU103" s="481">
        <f t="shared" si="55"/>
        <v>100.83333333319752</v>
      </c>
      <c r="BV103" s="481">
        <f t="shared" si="56"/>
        <v>19.5</v>
      </c>
      <c r="BW103" s="481">
        <f t="shared" si="57"/>
        <v>51</v>
      </c>
      <c r="BX103" s="481">
        <f t="shared" si="51"/>
        <v>412.50000138877658</v>
      </c>
      <c r="BY103" s="482">
        <f t="shared" si="58"/>
        <v>7.1666666668024845</v>
      </c>
      <c r="BZ103" s="482">
        <f t="shared" si="59"/>
        <v>7.5833333332557231</v>
      </c>
      <c r="CA103" s="483">
        <f t="shared" si="60"/>
        <v>24.940972280084679</v>
      </c>
      <c r="CB103" s="483">
        <f t="shared" si="61"/>
        <v>27.861111111109494</v>
      </c>
      <c r="CC103" s="484">
        <f t="shared" si="62"/>
        <v>0.89518943378175531</v>
      </c>
      <c r="CD103" s="475"/>
      <c r="CE103" s="475"/>
    </row>
    <row r="104" spans="1:83" s="126" customFormat="1">
      <c r="A104" s="192">
        <f t="shared" si="46"/>
        <v>45171.354166666664</v>
      </c>
      <c r="B104" s="126" t="s">
        <v>228</v>
      </c>
      <c r="C104" s="126" t="s">
        <v>229</v>
      </c>
      <c r="D104" s="126" t="s">
        <v>197</v>
      </c>
      <c r="E104" s="65" t="s">
        <v>2746</v>
      </c>
      <c r="G104" s="316">
        <v>45165.458333333336</v>
      </c>
      <c r="H104" s="316">
        <v>45165.444444444445</v>
      </c>
      <c r="I104" s="126" t="s">
        <v>471</v>
      </c>
      <c r="J104" s="126" t="s">
        <v>192</v>
      </c>
      <c r="K104" s="126" t="s">
        <v>192</v>
      </c>
      <c r="L104" s="126" t="s">
        <v>2450</v>
      </c>
      <c r="M104" s="167"/>
      <c r="N104" s="126" t="s">
        <v>2388</v>
      </c>
      <c r="O104" s="126" t="s">
        <v>289</v>
      </c>
      <c r="P104" s="126" t="s">
        <v>172</v>
      </c>
      <c r="Q104" s="181">
        <f>3107*2.4</f>
        <v>7456.7999999999993</v>
      </c>
      <c r="R104" s="181">
        <f>7500+100</f>
        <v>7600</v>
      </c>
      <c r="S104" s="181">
        <v>7549.3159999999998</v>
      </c>
      <c r="T104" s="181"/>
      <c r="Z104" s="181">
        <f t="shared" ref="Z104:Z115" si="63">S104</f>
        <v>7549.3159999999998</v>
      </c>
      <c r="AY104" s="165">
        <f t="shared" si="52"/>
        <v>45163.059027777781</v>
      </c>
      <c r="AZ104" s="165">
        <f t="shared" si="53"/>
        <v>45175.690972222219</v>
      </c>
      <c r="BA104" s="137">
        <f t="shared" si="54"/>
        <v>12.631944444437977</v>
      </c>
      <c r="BB104" s="165">
        <v>45163.059027777781</v>
      </c>
      <c r="BC104" s="165">
        <v>45166.850694444445</v>
      </c>
      <c r="BD104" s="165">
        <v>45168.555555555555</v>
      </c>
      <c r="BE104" s="165">
        <v>45171.354166666664</v>
      </c>
      <c r="BF104" s="165">
        <v>45171.565972222219</v>
      </c>
      <c r="BG104" s="165">
        <v>45171.572916666664</v>
      </c>
      <c r="BH104" s="165">
        <v>45171.583333333336</v>
      </c>
      <c r="BI104" s="165">
        <f t="shared" ref="BI104:BI115" si="64">BH104+(41/24)</f>
        <v>45173.291666666672</v>
      </c>
      <c r="BJ104" s="362">
        <v>45173.25</v>
      </c>
      <c r="BK104" s="362">
        <v>45173.416666608799</v>
      </c>
      <c r="BL104" s="362">
        <v>45173.375</v>
      </c>
      <c r="BM104" s="165">
        <v>45174.5</v>
      </c>
      <c r="BN104" s="165">
        <v>45174.645833333336</v>
      </c>
      <c r="BO104" s="165">
        <v>45175.291666666664</v>
      </c>
      <c r="BP104" s="165">
        <v>45175.333333333336</v>
      </c>
      <c r="BQ104" s="165">
        <v>45175.333333333336</v>
      </c>
      <c r="BR104" s="165">
        <v>45175.690972222219</v>
      </c>
      <c r="BU104" s="136">
        <f t="shared" si="55"/>
        <v>40.916666666627862</v>
      </c>
      <c r="BV104" s="136">
        <f t="shared" si="56"/>
        <v>5.0833333333139308</v>
      </c>
      <c r="BW104" s="136">
        <f t="shared" si="57"/>
        <v>41.000000000058208</v>
      </c>
      <c r="BX104" s="136">
        <f t="shared" si="51"/>
        <v>26.000001388834789</v>
      </c>
      <c r="BY104" s="135">
        <f t="shared" si="58"/>
        <v>15.499999999883585</v>
      </c>
      <c r="BZ104" s="135">
        <f t="shared" si="59"/>
        <v>8.5833333331975155</v>
      </c>
      <c r="CA104" s="134">
        <f t="shared" si="60"/>
        <v>5.7118056134131621</v>
      </c>
      <c r="CB104" s="134">
        <f t="shared" si="61"/>
        <v>12.631944444437977</v>
      </c>
      <c r="CC104" s="133">
        <f t="shared" si="62"/>
        <v>0.4521715273952262</v>
      </c>
    </row>
    <row r="105" spans="1:83">
      <c r="A105" s="192">
        <f t="shared" si="46"/>
        <v>45173.6875</v>
      </c>
      <c r="B105" s="126" t="s">
        <v>228</v>
      </c>
      <c r="C105" s="126" t="s">
        <v>229</v>
      </c>
      <c r="D105" s="126" t="s">
        <v>197</v>
      </c>
      <c r="E105" s="65" t="s">
        <v>2651</v>
      </c>
      <c r="F105" s="126"/>
      <c r="G105" s="165">
        <v>45179.75</v>
      </c>
      <c r="H105" s="165">
        <v>45179.741666666669</v>
      </c>
      <c r="I105" s="126" t="s">
        <v>469</v>
      </c>
      <c r="J105" s="126" t="s">
        <v>192</v>
      </c>
      <c r="K105" s="126" t="s">
        <v>192</v>
      </c>
      <c r="L105" s="126" t="s">
        <v>2805</v>
      </c>
      <c r="M105" s="167"/>
      <c r="N105" s="126" t="s">
        <v>201</v>
      </c>
      <c r="O105" s="126" t="s">
        <v>202</v>
      </c>
      <c r="P105" s="126" t="s">
        <v>172</v>
      </c>
      <c r="Q105" s="181">
        <f>3141*2.4</f>
        <v>7538.4</v>
      </c>
      <c r="R105" s="181">
        <f>7550+100</f>
        <v>7650</v>
      </c>
      <c r="S105" s="181">
        <v>7229.3270000000002</v>
      </c>
      <c r="T105" s="181"/>
      <c r="U105" s="126"/>
      <c r="V105" s="126"/>
      <c r="W105" s="126"/>
      <c r="X105" s="126"/>
      <c r="Y105" s="126"/>
      <c r="Z105" s="181">
        <f t="shared" si="63"/>
        <v>7229.3270000000002</v>
      </c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65">
        <f t="shared" si="52"/>
        <v>45164.166666666664</v>
      </c>
      <c r="AZ105" s="165">
        <f t="shared" si="53"/>
        <v>45181.256944444445</v>
      </c>
      <c r="BA105" s="137">
        <f t="shared" si="54"/>
        <v>17.090277777781012</v>
      </c>
      <c r="BB105" s="165">
        <v>45164.166666666664</v>
      </c>
      <c r="BC105" s="165">
        <v>45167.84375</v>
      </c>
      <c r="BD105" s="165">
        <v>45169.416666666664</v>
      </c>
      <c r="BE105" s="165">
        <v>45173.6875</v>
      </c>
      <c r="BF105" s="165">
        <v>45173.968055555553</v>
      </c>
      <c r="BG105" s="165">
        <v>45173.975694444445</v>
      </c>
      <c r="BH105" s="165">
        <v>45173.975694444445</v>
      </c>
      <c r="BI105" s="165">
        <f t="shared" si="64"/>
        <v>45175.684027777781</v>
      </c>
      <c r="BJ105" s="210">
        <v>45176.25</v>
      </c>
      <c r="BK105" s="210">
        <v>45176.416666608799</v>
      </c>
      <c r="BL105" s="165">
        <v>45176.333333333336</v>
      </c>
      <c r="BM105" s="165">
        <v>45177.642361111109</v>
      </c>
      <c r="BN105" s="165">
        <v>45179.885416666664</v>
      </c>
      <c r="BO105" s="165">
        <v>45180.840277777781</v>
      </c>
      <c r="BP105" s="165">
        <v>45180.861111111109</v>
      </c>
      <c r="BQ105" s="165">
        <v>45180.864583333336</v>
      </c>
      <c r="BR105" s="165">
        <v>45181.256944444445</v>
      </c>
      <c r="BS105" s="126"/>
      <c r="BT105" s="126"/>
      <c r="BU105" s="136">
        <f t="shared" si="55"/>
        <v>37.749999999941792</v>
      </c>
      <c r="BV105" s="136">
        <f t="shared" si="56"/>
        <v>6.7333333332790062</v>
      </c>
      <c r="BW105" s="136">
        <f t="shared" si="57"/>
        <v>41.000000000058208</v>
      </c>
      <c r="BX105" s="136">
        <f t="shared" si="51"/>
        <v>29.416668055462651</v>
      </c>
      <c r="BY105" s="135">
        <f t="shared" si="58"/>
        <v>22.916666666802485</v>
      </c>
      <c r="BZ105" s="135">
        <f t="shared" si="59"/>
        <v>9.4166666666278616</v>
      </c>
      <c r="CA105" s="134">
        <f t="shared" si="60"/>
        <v>6.1347222800905001</v>
      </c>
      <c r="CB105" s="134">
        <f t="shared" si="61"/>
        <v>17.090277777781012</v>
      </c>
      <c r="CC105" s="133">
        <f t="shared" si="62"/>
        <v>0.35895977583619054</v>
      </c>
      <c r="CD105" s="126"/>
      <c r="CE105" s="126"/>
    </row>
    <row r="106" spans="1:83" s="126" customFormat="1">
      <c r="A106" s="474">
        <f t="shared" si="46"/>
        <v>45177.326388888891</v>
      </c>
      <c r="B106" s="475" t="s">
        <v>228</v>
      </c>
      <c r="C106" s="475" t="s">
        <v>229</v>
      </c>
      <c r="D106" s="475" t="s">
        <v>197</v>
      </c>
      <c r="E106" s="476" t="s">
        <v>2806</v>
      </c>
      <c r="F106" s="475"/>
      <c r="G106" s="472">
        <v>45188.9375</v>
      </c>
      <c r="H106" s="472">
        <v>45188.9375</v>
      </c>
      <c r="I106" s="475" t="s">
        <v>469</v>
      </c>
      <c r="J106" s="475" t="s">
        <v>192</v>
      </c>
      <c r="K106" s="475" t="s">
        <v>192</v>
      </c>
      <c r="L106" s="475" t="s">
        <v>2807</v>
      </c>
      <c r="M106" s="530"/>
      <c r="N106" s="475" t="s">
        <v>330</v>
      </c>
      <c r="O106" s="475" t="s">
        <v>331</v>
      </c>
      <c r="P106" s="475" t="s">
        <v>172</v>
      </c>
      <c r="Q106" s="477">
        <f>3136*2.4</f>
        <v>7526.4</v>
      </c>
      <c r="R106" s="477">
        <f>7550+100</f>
        <v>7650</v>
      </c>
      <c r="S106" s="477">
        <v>7166.3190000000004</v>
      </c>
      <c r="T106" s="477"/>
      <c r="U106" s="475"/>
      <c r="V106" s="475"/>
      <c r="W106" s="475"/>
      <c r="X106" s="475"/>
      <c r="Y106" s="475"/>
      <c r="Z106" s="477">
        <f t="shared" si="63"/>
        <v>7166.3190000000004</v>
      </c>
      <c r="AA106" s="475"/>
      <c r="AB106" s="475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  <c r="AW106" s="475"/>
      <c r="AX106" s="475"/>
      <c r="AY106" s="473">
        <f t="shared" si="52"/>
        <v>45168.291666666664</v>
      </c>
      <c r="AZ106" s="473">
        <f t="shared" si="53"/>
        <v>45189.083333333336</v>
      </c>
      <c r="BA106" s="479">
        <f t="shared" si="54"/>
        <v>20.791666666671517</v>
      </c>
      <c r="BB106" s="473">
        <v>45168.291666666664</v>
      </c>
      <c r="BC106" s="473">
        <v>45171.788194444445</v>
      </c>
      <c r="BD106" s="473">
        <v>45173.420138888891</v>
      </c>
      <c r="BE106" s="473">
        <v>45177.326388888891</v>
      </c>
      <c r="BF106" s="473">
        <v>45177.513888888891</v>
      </c>
      <c r="BG106" s="473">
        <v>45177.520833333336</v>
      </c>
      <c r="BH106" s="473">
        <v>45177.520833333336</v>
      </c>
      <c r="BI106" s="473">
        <f t="shared" si="64"/>
        <v>45179.229166666672</v>
      </c>
      <c r="BJ106" s="485">
        <v>45179.229166608799</v>
      </c>
      <c r="BK106" s="485">
        <v>45179.395833333336</v>
      </c>
      <c r="BL106" s="473">
        <v>45179.305555555555</v>
      </c>
      <c r="BM106" s="473">
        <v>45182.604166666664</v>
      </c>
      <c r="BN106" s="473">
        <v>45188.125</v>
      </c>
      <c r="BO106" s="473">
        <v>45188.465277777781</v>
      </c>
      <c r="BP106" s="473">
        <v>45188.479166666664</v>
      </c>
      <c r="BQ106" s="473">
        <v>45188.614583333336</v>
      </c>
      <c r="BR106" s="473">
        <v>45189.083333333336</v>
      </c>
      <c r="BS106" s="475"/>
      <c r="BT106" s="475"/>
      <c r="BU106" s="481">
        <f t="shared" si="55"/>
        <v>39.166666666686069</v>
      </c>
      <c r="BV106" s="481">
        <f t="shared" si="56"/>
        <v>4.5</v>
      </c>
      <c r="BW106" s="481">
        <f t="shared" si="57"/>
        <v>41.000000000058208</v>
      </c>
      <c r="BX106" s="481">
        <f t="shared" si="51"/>
        <v>76.999999999883585</v>
      </c>
      <c r="BY106" s="482">
        <f t="shared" si="58"/>
        <v>8.1666666667442769</v>
      </c>
      <c r="BZ106" s="482">
        <f t="shared" si="59"/>
        <v>11.25</v>
      </c>
      <c r="CA106" s="483">
        <f t="shared" si="60"/>
        <v>7.5451388888905058</v>
      </c>
      <c r="CB106" s="483">
        <f t="shared" si="61"/>
        <v>20.791666666671517</v>
      </c>
      <c r="CC106" s="484">
        <f t="shared" si="62"/>
        <v>0.36289245156979938</v>
      </c>
      <c r="CD106" s="475"/>
      <c r="CE106" s="475"/>
    </row>
    <row r="107" spans="1:83" s="126" customFormat="1">
      <c r="A107" s="474">
        <f t="shared" si="46"/>
        <v>45179.548611111109</v>
      </c>
      <c r="B107" s="475" t="s">
        <v>228</v>
      </c>
      <c r="C107" s="475" t="s">
        <v>229</v>
      </c>
      <c r="D107" s="475" t="s">
        <v>215</v>
      </c>
      <c r="E107" s="476" t="s">
        <v>2806</v>
      </c>
      <c r="F107" s="475"/>
      <c r="G107" s="473">
        <v>45188.9375</v>
      </c>
      <c r="H107" s="473">
        <v>45188.9375</v>
      </c>
      <c r="I107" s="475" t="s">
        <v>469</v>
      </c>
      <c r="J107" s="475" t="s">
        <v>192</v>
      </c>
      <c r="K107" s="475" t="s">
        <v>192</v>
      </c>
      <c r="L107" s="475" t="s">
        <v>2808</v>
      </c>
      <c r="M107" s="530"/>
      <c r="N107" s="475" t="s">
        <v>721</v>
      </c>
      <c r="O107" s="475" t="s">
        <v>1349</v>
      </c>
      <c r="P107" s="475" t="s">
        <v>172</v>
      </c>
      <c r="Q107" s="477">
        <f>3136*2.4</f>
        <v>7526.4</v>
      </c>
      <c r="R107" s="477">
        <f>7550+100</f>
        <v>7650</v>
      </c>
      <c r="S107" s="477">
        <v>7556.4219999999996</v>
      </c>
      <c r="T107" s="477"/>
      <c r="U107" s="475"/>
      <c r="V107" s="475"/>
      <c r="W107" s="475"/>
      <c r="X107" s="475"/>
      <c r="Y107" s="475"/>
      <c r="Z107" s="477">
        <f t="shared" si="63"/>
        <v>7556.4219999999996</v>
      </c>
      <c r="AA107" s="475"/>
      <c r="AB107" s="475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3">
        <f t="shared" si="52"/>
        <v>45172.375</v>
      </c>
      <c r="AZ107" s="473">
        <f t="shared" si="53"/>
        <v>45190.472222222219</v>
      </c>
      <c r="BA107" s="479">
        <f t="shared" si="54"/>
        <v>18.097222222218988</v>
      </c>
      <c r="BB107" s="473">
        <v>45172.375</v>
      </c>
      <c r="BC107" s="473">
        <v>45175.770833333336</v>
      </c>
      <c r="BD107" s="473">
        <v>45177.152777777781</v>
      </c>
      <c r="BE107" s="473">
        <v>45179.548611111109</v>
      </c>
      <c r="BF107" s="473">
        <v>45179.753472222219</v>
      </c>
      <c r="BG107" s="473">
        <v>45179.756944444445</v>
      </c>
      <c r="BH107" s="473">
        <v>45179.756944444445</v>
      </c>
      <c r="BI107" s="473">
        <f t="shared" si="64"/>
        <v>45181.465277777781</v>
      </c>
      <c r="BJ107" s="485">
        <v>45181.229166608799</v>
      </c>
      <c r="BK107" s="485">
        <v>45181.395833333336</v>
      </c>
      <c r="BL107" s="473">
        <v>45181.381944444445</v>
      </c>
      <c r="BM107" s="473">
        <v>45183.260416666664</v>
      </c>
      <c r="BN107" s="473">
        <v>45189.809027777781</v>
      </c>
      <c r="BO107" s="473">
        <v>45190.034722222219</v>
      </c>
      <c r="BP107" s="473">
        <v>45190.048611111109</v>
      </c>
      <c r="BQ107" s="473">
        <v>45190.052083333336</v>
      </c>
      <c r="BR107" s="473">
        <v>45190.472222222219</v>
      </c>
      <c r="BS107" s="475"/>
      <c r="BT107" s="475"/>
      <c r="BU107" s="481">
        <f t="shared" si="55"/>
        <v>33.166666666686069</v>
      </c>
      <c r="BV107" s="481">
        <f t="shared" si="56"/>
        <v>4.9166666666278616</v>
      </c>
      <c r="BW107" s="481">
        <f t="shared" si="57"/>
        <v>41.000000000058208</v>
      </c>
      <c r="BX107" s="481">
        <f t="shared" si="51"/>
        <v>44.749999999883585</v>
      </c>
      <c r="BY107" s="482">
        <f t="shared" si="58"/>
        <v>5.4166666665114462</v>
      </c>
      <c r="BZ107" s="482">
        <f t="shared" si="59"/>
        <v>10.083333333197515</v>
      </c>
      <c r="CA107" s="483">
        <f t="shared" si="60"/>
        <v>5.8055555555401952</v>
      </c>
      <c r="CB107" s="483">
        <f t="shared" si="61"/>
        <v>18.097222222218988</v>
      </c>
      <c r="CC107" s="484">
        <f t="shared" si="62"/>
        <v>0.3207981580959085</v>
      </c>
      <c r="CD107" s="475"/>
      <c r="CE107" s="475"/>
    </row>
    <row r="108" spans="1:83" s="126" customFormat="1">
      <c r="A108" s="474">
        <f t="shared" ref="A108:A139" si="65">BE108</f>
        <v>45181.440972222219</v>
      </c>
      <c r="B108" s="475" t="s">
        <v>228</v>
      </c>
      <c r="C108" s="475" t="s">
        <v>229</v>
      </c>
      <c r="D108" s="475" t="s">
        <v>197</v>
      </c>
      <c r="E108" s="476" t="s">
        <v>2733</v>
      </c>
      <c r="F108" s="475"/>
      <c r="G108" s="473">
        <v>45186.5</v>
      </c>
      <c r="H108" s="473">
        <v>45186.25</v>
      </c>
      <c r="I108" s="475" t="s">
        <v>469</v>
      </c>
      <c r="J108" s="475" t="s">
        <v>192</v>
      </c>
      <c r="K108" s="475" t="s">
        <v>192</v>
      </c>
      <c r="L108" s="475" t="s">
        <v>2809</v>
      </c>
      <c r="M108" s="530"/>
      <c r="N108" s="475" t="s">
        <v>1767</v>
      </c>
      <c r="O108" s="475" t="s">
        <v>2352</v>
      </c>
      <c r="P108" s="475" t="s">
        <v>172</v>
      </c>
      <c r="Q108" s="477">
        <f>3139*2.4</f>
        <v>7533.5999999999995</v>
      </c>
      <c r="R108" s="477">
        <f>7550+100</f>
        <v>7650</v>
      </c>
      <c r="S108" s="477">
        <v>7501.7920000000004</v>
      </c>
      <c r="T108" s="477"/>
      <c r="U108" s="475"/>
      <c r="V108" s="475"/>
      <c r="W108" s="475"/>
      <c r="X108" s="475"/>
      <c r="Y108" s="475"/>
      <c r="Z108" s="477">
        <f t="shared" si="63"/>
        <v>7501.7920000000004</v>
      </c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3">
        <f t="shared" si="52"/>
        <v>45173.166666666664</v>
      </c>
      <c r="AZ108" s="473">
        <f t="shared" si="53"/>
        <v>45189.038194444445</v>
      </c>
      <c r="BA108" s="479">
        <f t="shared" si="54"/>
        <v>15.871527777781012</v>
      </c>
      <c r="BB108" s="473">
        <v>45173.166666666664</v>
      </c>
      <c r="BC108" s="473">
        <v>45176.795138888891</v>
      </c>
      <c r="BD108" s="473">
        <v>45178.611111111109</v>
      </c>
      <c r="BE108" s="473">
        <v>45181.440972222219</v>
      </c>
      <c r="BF108" s="473">
        <v>45181.621527777781</v>
      </c>
      <c r="BG108" s="473">
        <v>45181.631944444445</v>
      </c>
      <c r="BH108" s="473">
        <v>45181.631944444445</v>
      </c>
      <c r="BI108" s="473">
        <f t="shared" si="64"/>
        <v>45183.340277777781</v>
      </c>
      <c r="BJ108" s="485">
        <v>45184.25</v>
      </c>
      <c r="BK108" s="485">
        <v>45184.416666608799</v>
      </c>
      <c r="BL108" s="473">
        <v>45184.357638888891</v>
      </c>
      <c r="BM108" s="473">
        <v>45186.083333333336</v>
      </c>
      <c r="BN108" s="473">
        <v>45188.902777777781</v>
      </c>
      <c r="BO108" s="473">
        <v>45189.166666666664</v>
      </c>
      <c r="BP108" s="473">
        <v>45189.184027777781</v>
      </c>
      <c r="BQ108" s="473">
        <v>45189.1875</v>
      </c>
      <c r="BR108" s="473">
        <v>45189.038194444445</v>
      </c>
      <c r="BS108" s="475"/>
      <c r="BT108" s="475"/>
      <c r="BU108" s="481">
        <f t="shared" si="55"/>
        <v>43.583333333255723</v>
      </c>
      <c r="BV108" s="481">
        <f t="shared" si="56"/>
        <v>4.3333333334885538</v>
      </c>
      <c r="BW108" s="481">
        <f t="shared" si="57"/>
        <v>41.000000000058208</v>
      </c>
      <c r="BX108" s="481">
        <f t="shared" si="51"/>
        <v>40.000001388892997</v>
      </c>
      <c r="BY108" s="482">
        <f t="shared" si="58"/>
        <v>6.3333333331975155</v>
      </c>
      <c r="BZ108" s="482">
        <f t="shared" si="59"/>
        <v>-3.5833333333139308</v>
      </c>
      <c r="CA108" s="483">
        <f t="shared" si="60"/>
        <v>5.4861111689824611</v>
      </c>
      <c r="CB108" s="483">
        <f t="shared" si="61"/>
        <v>15.871527777781012</v>
      </c>
      <c r="CC108" s="484">
        <f t="shared" si="62"/>
        <v>0.34565740902792097</v>
      </c>
      <c r="CD108" s="475"/>
      <c r="CE108" s="475"/>
    </row>
    <row r="109" spans="1:83" s="126" customFormat="1">
      <c r="A109" s="474">
        <f t="shared" si="65"/>
        <v>45184.481249999997</v>
      </c>
      <c r="B109" s="475" t="s">
        <v>228</v>
      </c>
      <c r="C109" s="475" t="s">
        <v>229</v>
      </c>
      <c r="D109" s="475" t="s">
        <v>197</v>
      </c>
      <c r="E109" s="476" t="s">
        <v>230</v>
      </c>
      <c r="F109" s="475"/>
      <c r="G109" s="472">
        <v>45180.333333333336</v>
      </c>
      <c r="H109" s="472">
        <v>45180.291666666664</v>
      </c>
      <c r="I109" s="475" t="s">
        <v>471</v>
      </c>
      <c r="J109" s="369" t="s">
        <v>192</v>
      </c>
      <c r="K109" s="369" t="s">
        <v>192</v>
      </c>
      <c r="L109" s="475" t="s">
        <v>2534</v>
      </c>
      <c r="M109" s="529"/>
      <c r="N109" s="475" t="s">
        <v>205</v>
      </c>
      <c r="O109" s="475" t="s">
        <v>206</v>
      </c>
      <c r="P109" s="475" t="s">
        <v>172</v>
      </c>
      <c r="Q109" s="477">
        <f>3015*2.4</f>
        <v>7236</v>
      </c>
      <c r="R109" s="477">
        <f>7250+100</f>
        <v>7350</v>
      </c>
      <c r="S109" s="477">
        <v>7387.5990000000002</v>
      </c>
      <c r="T109" s="477"/>
      <c r="U109" s="475"/>
      <c r="V109" s="475"/>
      <c r="W109" s="475"/>
      <c r="X109" s="475"/>
      <c r="Y109" s="475"/>
      <c r="Z109" s="477">
        <f t="shared" si="63"/>
        <v>7387.5990000000002</v>
      </c>
      <c r="AA109" s="475"/>
      <c r="AB109" s="475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3">
        <f t="shared" si="52"/>
        <v>45179.791666666664</v>
      </c>
      <c r="AZ109" s="473">
        <f t="shared" si="53"/>
        <v>45192.416666666664</v>
      </c>
      <c r="BA109" s="479">
        <f t="shared" si="54"/>
        <v>12.625</v>
      </c>
      <c r="BB109" s="473">
        <v>45179.791666666664</v>
      </c>
      <c r="BC109" s="473">
        <v>45180.795138888891</v>
      </c>
      <c r="BD109" s="473">
        <v>45182.375</v>
      </c>
      <c r="BE109" s="473">
        <v>45184.481249999997</v>
      </c>
      <c r="BF109" s="473">
        <v>45184.673611111109</v>
      </c>
      <c r="BG109" s="473">
        <v>45184.677083333336</v>
      </c>
      <c r="BH109" s="473">
        <v>45184.6875</v>
      </c>
      <c r="BI109" s="473">
        <f t="shared" si="64"/>
        <v>45186.395833333336</v>
      </c>
      <c r="BJ109" s="485">
        <v>45186.25</v>
      </c>
      <c r="BK109" s="485">
        <v>45186.416666608799</v>
      </c>
      <c r="BL109" s="473">
        <v>45186.46875</v>
      </c>
      <c r="BM109" s="473">
        <v>45187.083333333336</v>
      </c>
      <c r="BN109" s="473">
        <v>45191.680555555555</v>
      </c>
      <c r="BO109" s="473">
        <v>45192.09375</v>
      </c>
      <c r="BP109" s="473">
        <v>45192.125</v>
      </c>
      <c r="BQ109" s="473">
        <v>45192.166666666664</v>
      </c>
      <c r="BR109" s="473">
        <v>45192.416666666664</v>
      </c>
      <c r="BS109" s="475"/>
      <c r="BT109" s="475"/>
      <c r="BU109" s="481">
        <f t="shared" si="55"/>
        <v>37.916666666627862</v>
      </c>
      <c r="BV109" s="481">
        <f t="shared" si="56"/>
        <v>4.6166666666977108</v>
      </c>
      <c r="BW109" s="481">
        <f t="shared" si="57"/>
        <v>41.000000000058208</v>
      </c>
      <c r="BX109" s="481">
        <f t="shared" si="51"/>
        <v>16.000001388892997</v>
      </c>
      <c r="BY109" s="482">
        <f t="shared" si="58"/>
        <v>9.9166666666860692</v>
      </c>
      <c r="BZ109" s="482">
        <f t="shared" si="59"/>
        <v>6</v>
      </c>
      <c r="CA109" s="483">
        <f t="shared" si="60"/>
        <v>4.8104167245401186</v>
      </c>
      <c r="CB109" s="483">
        <f t="shared" si="61"/>
        <v>12.625</v>
      </c>
      <c r="CC109" s="484">
        <f t="shared" si="62"/>
        <v>0.38102310689426683</v>
      </c>
      <c r="CD109" s="475"/>
      <c r="CE109" s="475"/>
    </row>
    <row r="110" spans="1:83" s="126" customFormat="1">
      <c r="A110" s="521">
        <f t="shared" si="65"/>
        <v>45190.916666666664</v>
      </c>
      <c r="B110" s="369" t="s">
        <v>228</v>
      </c>
      <c r="C110" s="369" t="s">
        <v>229</v>
      </c>
      <c r="D110" s="369" t="s">
        <v>197</v>
      </c>
      <c r="E110" s="271" t="s">
        <v>1084</v>
      </c>
      <c r="F110" s="369"/>
      <c r="G110" s="492">
        <v>45188.666666666664</v>
      </c>
      <c r="H110" s="492">
        <v>45188.574999999997</v>
      </c>
      <c r="I110" s="369" t="s">
        <v>471</v>
      </c>
      <c r="J110" s="369" t="s">
        <v>192</v>
      </c>
      <c r="K110" s="369" t="s">
        <v>192</v>
      </c>
      <c r="L110" s="126" t="s">
        <v>2810</v>
      </c>
      <c r="M110" s="529"/>
      <c r="N110" s="369" t="s">
        <v>323</v>
      </c>
      <c r="O110" s="369" t="s">
        <v>324</v>
      </c>
      <c r="P110" s="369" t="s">
        <v>172</v>
      </c>
      <c r="Q110" s="520">
        <f>3095*2.4</f>
        <v>7428</v>
      </c>
      <c r="R110" s="520">
        <f>7450+100</f>
        <v>7550</v>
      </c>
      <c r="S110" s="520">
        <v>7543.1819999999998</v>
      </c>
      <c r="T110" s="520"/>
      <c r="U110" s="369"/>
      <c r="V110" s="369"/>
      <c r="W110" s="369"/>
      <c r="X110" s="369"/>
      <c r="Y110" s="369"/>
      <c r="Z110" s="520">
        <f t="shared" si="63"/>
        <v>7543.1819999999998</v>
      </c>
      <c r="AA110" s="369"/>
      <c r="AB110" s="369"/>
      <c r="AC110" s="369"/>
      <c r="AD110" s="369"/>
      <c r="AE110" s="369"/>
      <c r="AF110" s="369"/>
      <c r="AG110" s="369"/>
      <c r="AH110" s="369"/>
      <c r="AI110" s="369"/>
      <c r="AJ110" s="369"/>
      <c r="AK110" s="369"/>
      <c r="AL110" s="369"/>
      <c r="AM110" s="369"/>
      <c r="AN110" s="369"/>
      <c r="AO110" s="369"/>
      <c r="AP110" s="369"/>
      <c r="AQ110" s="369"/>
      <c r="AR110" s="369"/>
      <c r="AS110" s="369"/>
      <c r="AT110" s="369"/>
      <c r="AU110" s="369"/>
      <c r="AV110" s="369"/>
      <c r="AW110" s="369"/>
      <c r="AX110" s="369"/>
      <c r="AY110" s="522">
        <f t="shared" si="52"/>
        <v>45184.334722222222</v>
      </c>
      <c r="AZ110" s="522">
        <f t="shared" si="53"/>
        <v>45208.928472222222</v>
      </c>
      <c r="BA110" s="523">
        <f t="shared" si="54"/>
        <v>24.59375</v>
      </c>
      <c r="BB110" s="522">
        <v>45184.334722222222</v>
      </c>
      <c r="BC110" s="522">
        <v>45185.759722222225</v>
      </c>
      <c r="BD110" s="522">
        <v>45187.833333333336</v>
      </c>
      <c r="BE110" s="522">
        <v>45190.916666666664</v>
      </c>
      <c r="BF110" s="522">
        <v>45191.136805555558</v>
      </c>
      <c r="BG110" s="522">
        <v>45191.145833333336</v>
      </c>
      <c r="BH110" s="522">
        <v>45191.291666666664</v>
      </c>
      <c r="BI110" s="522">
        <f t="shared" si="64"/>
        <v>45193</v>
      </c>
      <c r="BJ110" s="522">
        <v>45200.25</v>
      </c>
      <c r="BK110" s="522">
        <v>45200.416666666664</v>
      </c>
      <c r="BL110" s="522">
        <v>45200.285416666666</v>
      </c>
      <c r="BM110" s="522">
        <v>45201.635416666664</v>
      </c>
      <c r="BN110" s="522">
        <v>45208.145833333336</v>
      </c>
      <c r="BO110" s="522">
        <v>45208.416666666664</v>
      </c>
      <c r="BP110" s="522">
        <v>45208.4375</v>
      </c>
      <c r="BQ110" s="522">
        <v>45208.618055555555</v>
      </c>
      <c r="BR110" s="522">
        <v>45208.928472222222</v>
      </c>
      <c r="BS110" s="369"/>
      <c r="BT110" s="369"/>
      <c r="BU110" s="525">
        <f t="shared" si="55"/>
        <v>49.766666666662786</v>
      </c>
      <c r="BV110" s="525">
        <f t="shared" si="56"/>
        <v>5.2833333334419876</v>
      </c>
      <c r="BW110" s="525">
        <f t="shared" si="57"/>
        <v>41.000000000058208</v>
      </c>
      <c r="BX110" s="525">
        <f t="shared" si="51"/>
        <v>29.25</v>
      </c>
      <c r="BY110" s="526">
        <f t="shared" si="58"/>
        <v>6.4999999998835847</v>
      </c>
      <c r="BZ110" s="526">
        <f t="shared" si="59"/>
        <v>7.4500000000116415</v>
      </c>
      <c r="CA110" s="304">
        <f t="shared" si="60"/>
        <v>5.8020833333357587</v>
      </c>
      <c r="CB110" s="304">
        <f t="shared" si="61"/>
        <v>24.59375</v>
      </c>
      <c r="CC110" s="305">
        <f t="shared" si="62"/>
        <v>0.23591698432877289</v>
      </c>
      <c r="CD110" s="369"/>
      <c r="CE110" s="369"/>
    </row>
    <row r="111" spans="1:83" s="126" customFormat="1">
      <c r="A111" s="192">
        <f t="shared" si="65"/>
        <v>45194.461805555555</v>
      </c>
      <c r="B111" s="126" t="s">
        <v>228</v>
      </c>
      <c r="C111" s="126" t="s">
        <v>229</v>
      </c>
      <c r="D111" s="126" t="s">
        <v>215</v>
      </c>
      <c r="E111" s="662" t="s">
        <v>2780</v>
      </c>
      <c r="F111" s="662"/>
      <c r="G111" s="316">
        <v>45198.607638888891</v>
      </c>
      <c r="H111" s="316">
        <v>45198.607638888891</v>
      </c>
      <c r="I111" s="662" t="s">
        <v>469</v>
      </c>
      <c r="J111" s="126" t="s">
        <v>192</v>
      </c>
      <c r="K111" s="126" t="s">
        <v>192</v>
      </c>
      <c r="L111" s="126" t="s">
        <v>2811</v>
      </c>
      <c r="M111" s="529"/>
      <c r="N111" s="126" t="s">
        <v>721</v>
      </c>
      <c r="O111" s="126" t="s">
        <v>1349</v>
      </c>
      <c r="P111" s="662" t="s">
        <v>172</v>
      </c>
      <c r="Q111" s="181">
        <f>3136*2.4</f>
        <v>7526.4</v>
      </c>
      <c r="R111" s="181">
        <f>7550+100</f>
        <v>7650</v>
      </c>
      <c r="S111" s="181">
        <v>7535.7330000000002</v>
      </c>
      <c r="T111" s="181"/>
      <c r="W111" s="663"/>
      <c r="X111" s="663"/>
      <c r="Y111" s="663"/>
      <c r="Z111" s="181">
        <f t="shared" si="63"/>
        <v>7535.7330000000002</v>
      </c>
      <c r="AA111" s="290"/>
      <c r="AY111" s="165">
        <f t="shared" si="52"/>
        <v>45190.472222222219</v>
      </c>
      <c r="AZ111" s="165">
        <f t="shared" si="53"/>
        <v>45203.229166666664</v>
      </c>
      <c r="BA111" s="137">
        <f t="shared" si="54"/>
        <v>12.756944444445253</v>
      </c>
      <c r="BB111" s="165">
        <v>45190.472222222219</v>
      </c>
      <c r="BC111" s="165">
        <v>45192.777777777781</v>
      </c>
      <c r="BD111" s="165">
        <v>45194.427083333336</v>
      </c>
      <c r="BE111" s="165">
        <v>45194.461805555555</v>
      </c>
      <c r="BF111" s="165">
        <v>45194.673611111109</v>
      </c>
      <c r="BG111" s="165">
        <v>45194.6875</v>
      </c>
      <c r="BH111" s="165">
        <v>45194.690972222219</v>
      </c>
      <c r="BI111" s="165">
        <f t="shared" si="64"/>
        <v>45196.399305555555</v>
      </c>
      <c r="BJ111" s="165">
        <v>45196.229166608799</v>
      </c>
      <c r="BK111" s="165">
        <v>45196.395833333336</v>
      </c>
      <c r="BL111" s="165">
        <v>45196.260416666664</v>
      </c>
      <c r="BM111" s="165">
        <v>45197.847222222219</v>
      </c>
      <c r="BN111" s="165">
        <v>45202.322916666664</v>
      </c>
      <c r="BO111" s="165">
        <v>45202.635416666664</v>
      </c>
      <c r="BP111" s="165">
        <v>45202.649305555555</v>
      </c>
      <c r="BQ111" s="165">
        <v>45202.739583333336</v>
      </c>
      <c r="BR111" s="165">
        <v>45203.229166666664</v>
      </c>
      <c r="BU111" s="136">
        <f t="shared" si="55"/>
        <v>39.583333333313931</v>
      </c>
      <c r="BV111" s="136">
        <f t="shared" si="56"/>
        <v>5.0833333333139308</v>
      </c>
      <c r="BW111" s="136">
        <f t="shared" si="57"/>
        <v>41.000000000058208</v>
      </c>
      <c r="BX111" s="136">
        <f t="shared" si="51"/>
        <v>34.833333333197515</v>
      </c>
      <c r="BY111" s="135">
        <f t="shared" si="58"/>
        <v>7.5</v>
      </c>
      <c r="BZ111" s="135">
        <f t="shared" si="59"/>
        <v>11.749999999883585</v>
      </c>
      <c r="CA111" s="134">
        <f t="shared" si="60"/>
        <v>5.8229166666569654</v>
      </c>
      <c r="CB111" s="134">
        <f t="shared" si="61"/>
        <v>12.756944444445253</v>
      </c>
      <c r="CC111" s="133">
        <f t="shared" si="62"/>
        <v>0.45645073489305926</v>
      </c>
    </row>
    <row r="112" spans="1:83" s="126" customFormat="1">
      <c r="A112" s="192">
        <f t="shared" si="65"/>
        <v>45195.056944444441</v>
      </c>
      <c r="B112" s="126" t="s">
        <v>228</v>
      </c>
      <c r="C112" s="126" t="s">
        <v>229</v>
      </c>
      <c r="D112" s="126" t="s">
        <v>197</v>
      </c>
      <c r="E112" s="65" t="s">
        <v>2798</v>
      </c>
      <c r="F112" s="662"/>
      <c r="G112" s="316">
        <v>45199.75</v>
      </c>
      <c r="H112" s="316">
        <v>45199.75</v>
      </c>
      <c r="I112" s="662" t="s">
        <v>469</v>
      </c>
      <c r="J112" s="126" t="s">
        <v>192</v>
      </c>
      <c r="K112" s="126" t="s">
        <v>192</v>
      </c>
      <c r="L112" s="126" t="s">
        <v>2812</v>
      </c>
      <c r="M112" s="529"/>
      <c r="N112" s="126" t="s">
        <v>339</v>
      </c>
      <c r="O112" s="126" t="s">
        <v>506</v>
      </c>
      <c r="P112" s="662" t="s">
        <v>172</v>
      </c>
      <c r="Q112" s="181">
        <f>3071*2.4</f>
        <v>7370.4</v>
      </c>
      <c r="R112" s="181">
        <f>7400+100</f>
        <v>7500</v>
      </c>
      <c r="S112" s="181">
        <v>7576.9549999999999</v>
      </c>
      <c r="T112" s="181"/>
      <c r="U112" s="290"/>
      <c r="V112" s="290"/>
      <c r="W112" s="290"/>
      <c r="Y112" s="290"/>
      <c r="Z112" s="329">
        <f t="shared" si="63"/>
        <v>7576.9549999999999</v>
      </c>
      <c r="AA112" s="290"/>
      <c r="AY112" s="165">
        <f t="shared" si="52"/>
        <v>45191.583333333336</v>
      </c>
      <c r="AZ112" s="165">
        <f t="shared" si="53"/>
        <v>45205.625</v>
      </c>
      <c r="BA112" s="137">
        <f t="shared" si="54"/>
        <v>14.041666666664241</v>
      </c>
      <c r="BB112" s="165">
        <v>45191.583333333336</v>
      </c>
      <c r="BC112" s="165">
        <v>45192.774305555555</v>
      </c>
      <c r="BD112" s="165">
        <v>45194.541666666664</v>
      </c>
      <c r="BE112" s="165">
        <v>45195.056944444441</v>
      </c>
      <c r="BF112" s="165">
        <v>45195.256944444445</v>
      </c>
      <c r="BG112" s="165">
        <v>45195.263888888891</v>
      </c>
      <c r="BH112" s="165">
        <v>45195.267361111109</v>
      </c>
      <c r="BI112" s="165">
        <f t="shared" si="64"/>
        <v>45196.975694444445</v>
      </c>
      <c r="BJ112" s="362">
        <v>45197.229166608799</v>
      </c>
      <c r="BK112" s="362">
        <v>45197.395833333336</v>
      </c>
      <c r="BL112" s="165">
        <v>45197.302083333336</v>
      </c>
      <c r="BM112" s="165">
        <v>45198.527777777781</v>
      </c>
      <c r="BN112" s="165">
        <v>45204.798611111109</v>
      </c>
      <c r="BO112" s="165">
        <v>45205.104166666664</v>
      </c>
      <c r="BP112" s="165">
        <v>45205.173611111109</v>
      </c>
      <c r="BQ112" s="165">
        <v>45205.177083333336</v>
      </c>
      <c r="BR112" s="165">
        <v>45205.625</v>
      </c>
      <c r="BU112" s="136">
        <f t="shared" si="55"/>
        <v>42.416666666627862</v>
      </c>
      <c r="BV112" s="136">
        <f t="shared" si="56"/>
        <v>4.8000000001047738</v>
      </c>
      <c r="BW112" s="136">
        <f t="shared" si="57"/>
        <v>41.000000000058208</v>
      </c>
      <c r="BX112" s="136">
        <f t="shared" si="51"/>
        <v>27.166666666686069</v>
      </c>
      <c r="BY112" s="135">
        <f t="shared" si="58"/>
        <v>7.3333333333139308</v>
      </c>
      <c r="BZ112" s="135">
        <f t="shared" si="59"/>
        <v>10.749999999941792</v>
      </c>
      <c r="CA112" s="134">
        <f t="shared" si="60"/>
        <v>5.5611111111138598</v>
      </c>
      <c r="CB112" s="134">
        <f t="shared" si="61"/>
        <v>14.041666666664241</v>
      </c>
      <c r="CC112" s="133">
        <f t="shared" si="62"/>
        <v>0.39604352126633735</v>
      </c>
    </row>
    <row r="113" spans="1:83" s="126" customFormat="1">
      <c r="A113" s="192">
        <f t="shared" si="65"/>
        <v>45195.819444444445</v>
      </c>
      <c r="B113" s="126" t="s">
        <v>228</v>
      </c>
      <c r="C113" s="126" t="s">
        <v>229</v>
      </c>
      <c r="D113" s="126" t="s">
        <v>215</v>
      </c>
      <c r="E113" s="65" t="s">
        <v>2798</v>
      </c>
      <c r="F113" s="662"/>
      <c r="G113" s="316">
        <v>45199.75</v>
      </c>
      <c r="H113" s="316">
        <v>45199.75</v>
      </c>
      <c r="I113" s="662" t="s">
        <v>469</v>
      </c>
      <c r="J113" s="126" t="s">
        <v>192</v>
      </c>
      <c r="K113" s="126" t="s">
        <v>192</v>
      </c>
      <c r="L113" s="126" t="s">
        <v>2813</v>
      </c>
      <c r="M113" s="529"/>
      <c r="N113" s="126" t="s">
        <v>390</v>
      </c>
      <c r="O113" s="126" t="s">
        <v>391</v>
      </c>
      <c r="P113" s="662" t="s">
        <v>172</v>
      </c>
      <c r="Q113" s="181">
        <f>3097*2.4</f>
        <v>7432.7999999999993</v>
      </c>
      <c r="R113" s="181">
        <f>7450+100</f>
        <v>7550</v>
      </c>
      <c r="S113" s="181">
        <v>7538.4260000000004</v>
      </c>
      <c r="T113" s="181"/>
      <c r="U113" s="290"/>
      <c r="V113" s="290"/>
      <c r="W113" s="290"/>
      <c r="Y113" s="290"/>
      <c r="Z113" s="329">
        <f t="shared" si="63"/>
        <v>7538.4260000000004</v>
      </c>
      <c r="AA113" s="290"/>
      <c r="AY113" s="165">
        <f t="shared" si="52"/>
        <v>45192</v>
      </c>
      <c r="AZ113" s="165">
        <f t="shared" si="53"/>
        <v>45205.548611111109</v>
      </c>
      <c r="BA113" s="137">
        <f t="shared" si="54"/>
        <v>13.548611111109494</v>
      </c>
      <c r="BB113" s="165">
        <v>45192</v>
      </c>
      <c r="BC113" s="165">
        <v>45192.784722222219</v>
      </c>
      <c r="BD113" s="165">
        <v>45194.666666666664</v>
      </c>
      <c r="BE113" s="165">
        <v>45195.819444444445</v>
      </c>
      <c r="BF113" s="165">
        <v>45196.003472222219</v>
      </c>
      <c r="BG113" s="165">
        <v>45196.010416666664</v>
      </c>
      <c r="BH113" s="165">
        <v>45196.309027777781</v>
      </c>
      <c r="BI113" s="165">
        <f t="shared" si="64"/>
        <v>45198.017361111117</v>
      </c>
      <c r="BJ113" s="362">
        <v>45198.25</v>
      </c>
      <c r="BK113" s="362">
        <v>45198.416666666664</v>
      </c>
      <c r="BL113" s="362">
        <v>45198.326388888891</v>
      </c>
      <c r="BM113" s="165">
        <v>45199.791666666664</v>
      </c>
      <c r="BN113" s="165">
        <v>45203.739583333336</v>
      </c>
      <c r="BO113" s="165">
        <v>45205.034722222219</v>
      </c>
      <c r="BP113" s="165">
        <v>45205.055555555555</v>
      </c>
      <c r="BQ113" s="165">
        <v>45205.059027777781</v>
      </c>
      <c r="BR113" s="165">
        <v>45205.548611111109</v>
      </c>
      <c r="BU113" s="136">
        <f t="shared" si="55"/>
        <v>45.166666666686069</v>
      </c>
      <c r="BV113" s="136">
        <f t="shared" si="56"/>
        <v>4.4166666665696539</v>
      </c>
      <c r="BW113" s="136">
        <f t="shared" si="57"/>
        <v>41.000000000058208</v>
      </c>
      <c r="BX113" s="136">
        <f t="shared" si="51"/>
        <v>33</v>
      </c>
      <c r="BY113" s="135">
        <f t="shared" si="58"/>
        <v>31.083333333197515</v>
      </c>
      <c r="BZ113" s="135">
        <f t="shared" si="59"/>
        <v>11.749999999883585</v>
      </c>
      <c r="CA113" s="134">
        <f t="shared" si="60"/>
        <v>6.9340277777664596</v>
      </c>
      <c r="CB113" s="134">
        <f t="shared" si="61"/>
        <v>13.548611111109494</v>
      </c>
      <c r="CC113" s="133">
        <f t="shared" si="62"/>
        <v>0.51178882624217803</v>
      </c>
    </row>
    <row r="114" spans="1:83" s="126" customFormat="1">
      <c r="A114" s="192">
        <f t="shared" si="65"/>
        <v>45197.569444444445</v>
      </c>
      <c r="B114" s="126" t="s">
        <v>228</v>
      </c>
      <c r="C114" s="126" t="s">
        <v>229</v>
      </c>
      <c r="D114" s="126" t="s">
        <v>197</v>
      </c>
      <c r="E114" s="65" t="s">
        <v>2786</v>
      </c>
      <c r="G114" s="166">
        <v>45204.826388888891</v>
      </c>
      <c r="H114" s="166">
        <v>45204.826388888891</v>
      </c>
      <c r="I114" s="126" t="s">
        <v>469</v>
      </c>
      <c r="J114" s="126" t="s">
        <v>192</v>
      </c>
      <c r="K114" s="126" t="s">
        <v>192</v>
      </c>
      <c r="L114" s="126" t="s">
        <v>2814</v>
      </c>
      <c r="M114" s="529"/>
      <c r="N114" s="126" t="s">
        <v>489</v>
      </c>
      <c r="O114" s="126" t="s">
        <v>483</v>
      </c>
      <c r="P114" s="662" t="s">
        <v>172</v>
      </c>
      <c r="Q114" s="181">
        <f>3107*2.4</f>
        <v>7456.7999999999993</v>
      </c>
      <c r="R114" s="181">
        <f>7500+100</f>
        <v>7600</v>
      </c>
      <c r="S114" s="181">
        <v>7465.4750000000004</v>
      </c>
      <c r="T114" s="181"/>
      <c r="U114" s="663"/>
      <c r="W114" s="663"/>
      <c r="X114" s="663"/>
      <c r="Z114" s="329">
        <f t="shared" si="63"/>
        <v>7465.4750000000004</v>
      </c>
      <c r="AA114" s="663"/>
      <c r="AY114" s="165">
        <f t="shared" si="52"/>
        <v>45186.44027777778</v>
      </c>
      <c r="AZ114" s="165">
        <f t="shared" si="53"/>
        <v>45208.052083333336</v>
      </c>
      <c r="BA114" s="137">
        <f t="shared" si="54"/>
        <v>21.611805555556202</v>
      </c>
      <c r="BB114" s="165">
        <v>45186.44027777778</v>
      </c>
      <c r="BC114" s="165">
        <v>45188.888194444444</v>
      </c>
      <c r="BD114" s="165">
        <v>45190.583333333336</v>
      </c>
      <c r="BE114" s="165">
        <v>45197.569444444445</v>
      </c>
      <c r="BF114" s="165">
        <v>45197.770833333336</v>
      </c>
      <c r="BG114" s="165">
        <v>45197.798611111109</v>
      </c>
      <c r="BH114" s="165">
        <v>45197.798611111109</v>
      </c>
      <c r="BI114" s="165">
        <f t="shared" si="64"/>
        <v>45199.506944444445</v>
      </c>
      <c r="BJ114" s="362">
        <v>45201.25</v>
      </c>
      <c r="BK114" s="362">
        <v>45201.416666608799</v>
      </c>
      <c r="BL114" s="165">
        <v>44967.388888888891</v>
      </c>
      <c r="BM114" s="165">
        <v>45202.881944444445</v>
      </c>
      <c r="BN114" s="165">
        <v>45207.3125</v>
      </c>
      <c r="BO114" s="165">
        <v>45207.586805555555</v>
      </c>
      <c r="BP114" s="165">
        <v>45207.607638888891</v>
      </c>
      <c r="BQ114" s="165">
        <v>45207.65625</v>
      </c>
      <c r="BR114" s="165">
        <v>45208.052083333336</v>
      </c>
      <c r="BS114" s="126" t="s">
        <v>2815</v>
      </c>
      <c r="BU114" s="136">
        <f t="shared" si="55"/>
        <v>40.683333333407063</v>
      </c>
      <c r="BV114" s="136">
        <f t="shared" si="56"/>
        <v>4.8333333333721384</v>
      </c>
      <c r="BW114" s="136">
        <f t="shared" si="57"/>
        <v>41.000000000058208</v>
      </c>
      <c r="BX114" s="136">
        <f t="shared" si="51"/>
        <v>35.166668055520859</v>
      </c>
      <c r="BY114" s="135">
        <f t="shared" si="58"/>
        <v>6.5833333333139308</v>
      </c>
      <c r="BZ114" s="135">
        <f t="shared" si="59"/>
        <v>9.5000000000582077</v>
      </c>
      <c r="CA114" s="134">
        <f t="shared" si="60"/>
        <v>5.7402778356554336</v>
      </c>
      <c r="CB114" s="134">
        <f t="shared" si="61"/>
        <v>21.611805555556202</v>
      </c>
      <c r="CC114" s="133">
        <f t="shared" si="62"/>
        <v>0.26560843428371766</v>
      </c>
    </row>
    <row r="115" spans="1:83" s="126" customFormat="1">
      <c r="A115" s="521">
        <f t="shared" si="65"/>
        <v>45198.899305555555</v>
      </c>
      <c r="B115" s="369" t="s">
        <v>228</v>
      </c>
      <c r="C115" s="369" t="s">
        <v>229</v>
      </c>
      <c r="D115" s="369" t="s">
        <v>197</v>
      </c>
      <c r="E115" s="271" t="s">
        <v>2816</v>
      </c>
      <c r="F115" s="369"/>
      <c r="G115" s="492">
        <v>45199.25</v>
      </c>
      <c r="H115" s="492">
        <v>45199.25</v>
      </c>
      <c r="I115" s="661" t="s">
        <v>469</v>
      </c>
      <c r="J115" s="369" t="s">
        <v>192</v>
      </c>
      <c r="K115" s="369" t="s">
        <v>192</v>
      </c>
      <c r="L115" s="126" t="s">
        <v>2817</v>
      </c>
      <c r="M115" s="529"/>
      <c r="N115" s="369" t="s">
        <v>1392</v>
      </c>
      <c r="O115" s="369" t="s">
        <v>365</v>
      </c>
      <c r="P115" s="369" t="s">
        <v>172</v>
      </c>
      <c r="Q115" s="520">
        <f>3142*2.4</f>
        <v>7540.7999999999993</v>
      </c>
      <c r="R115" s="520">
        <f>7550+100</f>
        <v>7650</v>
      </c>
      <c r="S115" s="520">
        <v>7510.5519999999997</v>
      </c>
      <c r="T115" s="520"/>
      <c r="U115" s="1173"/>
      <c r="V115" s="1173"/>
      <c r="W115" s="1173"/>
      <c r="X115" s="369"/>
      <c r="Y115" s="1173"/>
      <c r="Z115" s="677">
        <f t="shared" si="63"/>
        <v>7510.5519999999997</v>
      </c>
      <c r="AA115" s="1173"/>
      <c r="AB115" s="369"/>
      <c r="AC115" s="369"/>
      <c r="AD115" s="369"/>
      <c r="AE115" s="369"/>
      <c r="AF115" s="369"/>
      <c r="AG115" s="369"/>
      <c r="AH115" s="369"/>
      <c r="AI115" s="369"/>
      <c r="AJ115" s="369"/>
      <c r="AK115" s="369"/>
      <c r="AL115" s="369"/>
      <c r="AM115" s="369"/>
      <c r="AN115" s="369"/>
      <c r="AO115" s="369"/>
      <c r="AP115" s="369"/>
      <c r="AQ115" s="369"/>
      <c r="AR115" s="369"/>
      <c r="AS115" s="369"/>
      <c r="AT115" s="369"/>
      <c r="AU115" s="369"/>
      <c r="AV115" s="369"/>
      <c r="AW115" s="369"/>
      <c r="AX115" s="369"/>
      <c r="AY115" s="522">
        <f t="shared" si="52"/>
        <v>45191.461805555555</v>
      </c>
      <c r="AZ115" s="522">
        <f t="shared" si="53"/>
        <v>45209.215277777781</v>
      </c>
      <c r="BA115" s="523">
        <f t="shared" si="54"/>
        <v>17.753472222226264</v>
      </c>
      <c r="BB115" s="522">
        <v>45191.461805555555</v>
      </c>
      <c r="BC115" s="522">
        <v>45192.791666666664</v>
      </c>
      <c r="BD115" s="522">
        <v>45194.673611111109</v>
      </c>
      <c r="BE115" s="522">
        <v>45198.899305555555</v>
      </c>
      <c r="BF115" s="522">
        <v>45199.090277777781</v>
      </c>
      <c r="BG115" s="522">
        <v>45199.09375</v>
      </c>
      <c r="BH115" s="522">
        <v>45199.09375</v>
      </c>
      <c r="BI115" s="522">
        <f t="shared" si="64"/>
        <v>45200.802083333336</v>
      </c>
      <c r="BJ115" s="524">
        <v>45201.25</v>
      </c>
      <c r="BK115" s="524">
        <v>45201.416666608799</v>
      </c>
      <c r="BL115" s="522">
        <v>45201.309027777781</v>
      </c>
      <c r="BM115" s="522">
        <v>45203.798611111109</v>
      </c>
      <c r="BN115" s="522">
        <v>45208.475694444445</v>
      </c>
      <c r="BO115" s="522">
        <v>45208.729166666664</v>
      </c>
      <c r="BP115" s="522">
        <v>45208.743055555555</v>
      </c>
      <c r="BQ115" s="522">
        <v>45208.746527777781</v>
      </c>
      <c r="BR115" s="522">
        <v>45209.215277777781</v>
      </c>
      <c r="BS115" s="369"/>
      <c r="BT115" s="369"/>
      <c r="BU115" s="525">
        <f t="shared" si="55"/>
        <v>45.166666666686069</v>
      </c>
      <c r="BV115" s="525">
        <f t="shared" si="56"/>
        <v>4.5833333334303461</v>
      </c>
      <c r="BW115" s="525">
        <f t="shared" si="57"/>
        <v>41.000000000058208</v>
      </c>
      <c r="BX115" s="525">
        <f t="shared" si="51"/>
        <v>57.166668055462651</v>
      </c>
      <c r="BY115" s="526">
        <f t="shared" si="58"/>
        <v>6.0833333332557231</v>
      </c>
      <c r="BZ115" s="526">
        <f t="shared" si="59"/>
        <v>11.25</v>
      </c>
      <c r="CA115" s="304">
        <f t="shared" si="60"/>
        <v>6.8854167245372082</v>
      </c>
      <c r="CB115" s="304">
        <f t="shared" si="61"/>
        <v>17.753472222226264</v>
      </c>
      <c r="CC115" s="305">
        <f t="shared" si="62"/>
        <v>0.38783493382872375</v>
      </c>
      <c r="CD115" s="369"/>
      <c r="CE115" s="369"/>
    </row>
    <row r="116" spans="1:83" s="126" customFormat="1">
      <c r="A116" s="474">
        <f t="shared" si="65"/>
        <v>45178.09375</v>
      </c>
      <c r="B116" s="475" t="s">
        <v>188</v>
      </c>
      <c r="C116" s="475" t="s">
        <v>183</v>
      </c>
      <c r="D116" s="475" t="s">
        <v>189</v>
      </c>
      <c r="E116" s="476" t="s">
        <v>2733</v>
      </c>
      <c r="F116" s="475"/>
      <c r="G116" s="473">
        <v>45186.5</v>
      </c>
      <c r="H116" s="473">
        <v>45186.25</v>
      </c>
      <c r="I116" s="475" t="s">
        <v>791</v>
      </c>
      <c r="J116" s="475" t="s">
        <v>192</v>
      </c>
      <c r="K116" s="475" t="s">
        <v>192</v>
      </c>
      <c r="L116" s="475" t="s">
        <v>2818</v>
      </c>
      <c r="M116" s="530"/>
      <c r="N116" s="475" t="s">
        <v>809</v>
      </c>
      <c r="O116" s="475" t="s">
        <v>1365</v>
      </c>
      <c r="P116" s="475" t="s">
        <v>183</v>
      </c>
      <c r="Q116" s="477">
        <v>5300</v>
      </c>
      <c r="R116" s="477">
        <v>5300</v>
      </c>
      <c r="S116" s="477">
        <v>5249.5720000000001</v>
      </c>
      <c r="T116" s="477"/>
      <c r="U116" s="475"/>
      <c r="V116" s="475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7">
        <f t="shared" ref="AT116:AT126" si="66">S116</f>
        <v>5249.5720000000001</v>
      </c>
      <c r="AU116" s="475"/>
      <c r="AV116" s="475"/>
      <c r="AW116" s="475"/>
      <c r="AX116" s="475"/>
      <c r="AY116" s="473">
        <f t="shared" si="52"/>
        <v>45178.083333333336</v>
      </c>
      <c r="AZ116" s="473">
        <f t="shared" si="53"/>
        <v>45189.003472222219</v>
      </c>
      <c r="BA116" s="479">
        <f t="shared" si="54"/>
        <v>10.92013888888323</v>
      </c>
      <c r="BB116" s="473">
        <v>45178.083333333336</v>
      </c>
      <c r="BC116" s="473">
        <v>45178.083333333336</v>
      </c>
      <c r="BD116" s="473">
        <v>45178.083333333336</v>
      </c>
      <c r="BE116" s="473">
        <v>45178.09375</v>
      </c>
      <c r="BF116" s="473">
        <v>45178.475694444445</v>
      </c>
      <c r="BG116" s="473">
        <v>45178.5</v>
      </c>
      <c r="BH116" s="473">
        <v>45178.5</v>
      </c>
      <c r="BI116" s="473">
        <v>45178.5</v>
      </c>
      <c r="BJ116" s="518" t="s">
        <v>196</v>
      </c>
      <c r="BK116" s="518" t="s">
        <v>196</v>
      </c>
      <c r="BL116" s="518" t="s">
        <v>196</v>
      </c>
      <c r="BM116" s="473">
        <v>45183.916666666664</v>
      </c>
      <c r="BN116" s="473">
        <v>45188.513888888891</v>
      </c>
      <c r="BO116" s="473">
        <v>45188.840277777781</v>
      </c>
      <c r="BP116" s="473">
        <v>45188.840277777781</v>
      </c>
      <c r="BQ116" s="473">
        <v>45189.003472222219</v>
      </c>
      <c r="BR116" s="473">
        <v>45189.003472222219</v>
      </c>
      <c r="BS116" s="475"/>
      <c r="BT116" s="475"/>
      <c r="BU116" s="481">
        <f t="shared" si="55"/>
        <v>0</v>
      </c>
      <c r="BV116" s="481">
        <f t="shared" si="56"/>
        <v>9.1666666666860692</v>
      </c>
      <c r="BW116" s="481">
        <f t="shared" si="57"/>
        <v>0</v>
      </c>
      <c r="BX116" s="481">
        <f>(BM116-BI116)*24</f>
        <v>129.99999999994179</v>
      </c>
      <c r="BY116" s="482">
        <f t="shared" si="58"/>
        <v>7.8333333333721384</v>
      </c>
      <c r="BZ116" s="482">
        <f t="shared" si="59"/>
        <v>0</v>
      </c>
      <c r="CA116" s="483">
        <f t="shared" si="60"/>
        <v>6.125</v>
      </c>
      <c r="CB116" s="483">
        <f t="shared" si="61"/>
        <v>10.92013888888323</v>
      </c>
      <c r="CC116" s="484">
        <f t="shared" si="62"/>
        <v>0.56089030206706336</v>
      </c>
      <c r="CD116" s="475"/>
      <c r="CE116" s="475"/>
    </row>
    <row r="117" spans="1:83" s="126" customFormat="1">
      <c r="A117" s="192">
        <f t="shared" si="65"/>
        <v>45181.649305555555</v>
      </c>
      <c r="B117" s="126" t="s">
        <v>188</v>
      </c>
      <c r="C117" s="126" t="s">
        <v>183</v>
      </c>
      <c r="D117" s="126" t="s">
        <v>189</v>
      </c>
      <c r="E117" s="65" t="s">
        <v>2816</v>
      </c>
      <c r="G117" s="316">
        <v>45199.25</v>
      </c>
      <c r="H117" s="316">
        <v>45199.25</v>
      </c>
      <c r="I117" s="126" t="s">
        <v>791</v>
      </c>
      <c r="J117" s="126" t="s">
        <v>192</v>
      </c>
      <c r="K117" s="126" t="s">
        <v>192</v>
      </c>
      <c r="L117" s="126" t="s">
        <v>2819</v>
      </c>
      <c r="M117" s="529"/>
      <c r="N117" s="126" t="s">
        <v>2820</v>
      </c>
      <c r="O117" s="126" t="s">
        <v>817</v>
      </c>
      <c r="P117" s="126" t="s">
        <v>183</v>
      </c>
      <c r="Q117" s="181">
        <v>5300</v>
      </c>
      <c r="R117" s="181">
        <v>5300</v>
      </c>
      <c r="S117" s="181">
        <v>5207.0680000000002</v>
      </c>
      <c r="T117" s="181"/>
      <c r="AT117" s="181">
        <f t="shared" si="66"/>
        <v>5207.0680000000002</v>
      </c>
      <c r="AY117" s="165">
        <f t="shared" si="52"/>
        <v>45181.583333333336</v>
      </c>
      <c r="AZ117" s="165">
        <f t="shared" si="53"/>
        <v>45199.291666666664</v>
      </c>
      <c r="BA117" s="137">
        <f t="shared" si="54"/>
        <v>17.708333333328483</v>
      </c>
      <c r="BB117" s="165">
        <v>45181.583333333336</v>
      </c>
      <c r="BC117" s="165">
        <v>45181.583333333336</v>
      </c>
      <c r="BD117" s="165">
        <v>45181.583333333336</v>
      </c>
      <c r="BE117" s="165">
        <v>45181.649305555555</v>
      </c>
      <c r="BF117" s="165">
        <v>45182.104166666664</v>
      </c>
      <c r="BG117" s="165">
        <v>45182.25</v>
      </c>
      <c r="BH117" s="165">
        <v>45182.25</v>
      </c>
      <c r="BI117" s="165">
        <v>45182.25</v>
      </c>
      <c r="BJ117" s="166" t="s">
        <v>196</v>
      </c>
      <c r="BK117" s="166" t="s">
        <v>196</v>
      </c>
      <c r="BL117" s="166" t="s">
        <v>196</v>
      </c>
      <c r="BM117" s="165">
        <v>45186</v>
      </c>
      <c r="BN117" s="165">
        <v>45198.84375</v>
      </c>
      <c r="BO117" s="165">
        <v>45199.260416666664</v>
      </c>
      <c r="BP117" s="165">
        <v>45199.291666666664</v>
      </c>
      <c r="BQ117" s="165">
        <v>45199.291666666664</v>
      </c>
      <c r="BR117" s="165">
        <v>45199.291666666664</v>
      </c>
      <c r="BU117" s="136">
        <f t="shared" si="55"/>
        <v>0</v>
      </c>
      <c r="BV117" s="136">
        <f t="shared" si="56"/>
        <v>10.916666666627862</v>
      </c>
      <c r="BW117" s="136">
        <f t="shared" si="57"/>
        <v>0</v>
      </c>
      <c r="BX117" s="136">
        <f>(BM117-BI117)*24</f>
        <v>90</v>
      </c>
      <c r="BY117" s="135">
        <f t="shared" si="58"/>
        <v>9.9999999999417923</v>
      </c>
      <c r="BZ117" s="135">
        <f t="shared" si="59"/>
        <v>0</v>
      </c>
      <c r="CA117" s="134">
        <f t="shared" si="60"/>
        <v>4.6215277777737356</v>
      </c>
      <c r="CB117" s="134">
        <f t="shared" si="61"/>
        <v>17.708333333328483</v>
      </c>
      <c r="CC117" s="133">
        <f t="shared" si="62"/>
        <v>0.26098039215670599</v>
      </c>
    </row>
    <row r="118" spans="1:83" s="126" customFormat="1">
      <c r="A118" s="192">
        <f t="shared" si="65"/>
        <v>45182.333333333336</v>
      </c>
      <c r="B118" s="126" t="s">
        <v>188</v>
      </c>
      <c r="C118" s="126" t="s">
        <v>183</v>
      </c>
      <c r="D118" s="126" t="s">
        <v>189</v>
      </c>
      <c r="E118" s="65" t="s">
        <v>2816</v>
      </c>
      <c r="G118" s="316">
        <v>45199.25</v>
      </c>
      <c r="H118" s="316">
        <v>45199.25</v>
      </c>
      <c r="I118" s="126" t="s">
        <v>791</v>
      </c>
      <c r="J118" s="126" t="s">
        <v>192</v>
      </c>
      <c r="K118" s="126" t="s">
        <v>192</v>
      </c>
      <c r="L118" s="126" t="s">
        <v>2821</v>
      </c>
      <c r="M118" s="529"/>
      <c r="N118" s="126" t="s">
        <v>2822</v>
      </c>
      <c r="O118" s="126" t="s">
        <v>794</v>
      </c>
      <c r="P118" s="126" t="s">
        <v>183</v>
      </c>
      <c r="Q118" s="181">
        <v>5300</v>
      </c>
      <c r="R118" s="181">
        <v>5300</v>
      </c>
      <c r="S118" s="181">
        <v>5211.683</v>
      </c>
      <c r="T118" s="181"/>
      <c r="AT118" s="181">
        <f t="shared" si="66"/>
        <v>5211.683</v>
      </c>
      <c r="AY118" s="165">
        <f t="shared" si="52"/>
        <v>45182.3125</v>
      </c>
      <c r="AZ118" s="165">
        <f t="shared" si="53"/>
        <v>45200.600694444445</v>
      </c>
      <c r="BA118" s="137">
        <f t="shared" si="54"/>
        <v>18.288194444445253</v>
      </c>
      <c r="BB118" s="165">
        <v>45182.3125</v>
      </c>
      <c r="BC118" s="165">
        <v>45182.3125</v>
      </c>
      <c r="BD118" s="165">
        <v>45182.3125</v>
      </c>
      <c r="BE118" s="165">
        <v>45182.333333333336</v>
      </c>
      <c r="BF118" s="165">
        <v>45182.736111111109</v>
      </c>
      <c r="BG118" s="165">
        <v>45182.770833333336</v>
      </c>
      <c r="BH118" s="165">
        <v>45182.770833333336</v>
      </c>
      <c r="BI118" s="165">
        <v>45182.770833333336</v>
      </c>
      <c r="BJ118" s="166" t="s">
        <v>196</v>
      </c>
      <c r="BK118" s="166" t="s">
        <v>196</v>
      </c>
      <c r="BL118" s="166" t="s">
        <v>196</v>
      </c>
      <c r="BM118" s="165">
        <v>45186.208333333336</v>
      </c>
      <c r="BN118" s="165">
        <v>45199.416666666664</v>
      </c>
      <c r="BO118" s="165">
        <v>45200.579861111109</v>
      </c>
      <c r="BP118" s="165">
        <v>45200.597222222219</v>
      </c>
      <c r="BQ118" s="165">
        <v>45200.600694444445</v>
      </c>
      <c r="BR118" s="165">
        <v>45200.600694444445</v>
      </c>
      <c r="BU118" s="136">
        <f t="shared" si="55"/>
        <v>0</v>
      </c>
      <c r="BV118" s="136">
        <f t="shared" si="56"/>
        <v>9.6666666665696539</v>
      </c>
      <c r="BW118" s="136">
        <f t="shared" si="57"/>
        <v>0</v>
      </c>
      <c r="BX118" s="136">
        <f>(BM118-BI118)*24</f>
        <v>82.5</v>
      </c>
      <c r="BY118" s="135">
        <f t="shared" si="58"/>
        <v>27.916666666686069</v>
      </c>
      <c r="BZ118" s="135">
        <f t="shared" si="59"/>
        <v>0</v>
      </c>
      <c r="CA118" s="134">
        <f t="shared" si="60"/>
        <v>5.0034722222189885</v>
      </c>
      <c r="CB118" s="134">
        <f t="shared" si="61"/>
        <v>18.288194444445253</v>
      </c>
      <c r="CC118" s="133">
        <f t="shared" si="62"/>
        <v>0.27359027909607081</v>
      </c>
    </row>
    <row r="119" spans="1:83" s="126" customFormat="1">
      <c r="A119" s="192">
        <f t="shared" si="65"/>
        <v>45184.833333333336</v>
      </c>
      <c r="B119" s="126" t="s">
        <v>188</v>
      </c>
      <c r="C119" s="126" t="s">
        <v>183</v>
      </c>
      <c r="D119" s="126" t="s">
        <v>189</v>
      </c>
      <c r="E119" s="65" t="s">
        <v>2816</v>
      </c>
      <c r="G119" s="316">
        <v>45199.25</v>
      </c>
      <c r="H119" s="316">
        <v>45199.25</v>
      </c>
      <c r="I119" s="126" t="s">
        <v>791</v>
      </c>
      <c r="J119" s="126" t="s">
        <v>192</v>
      </c>
      <c r="K119" s="126" t="s">
        <v>192</v>
      </c>
      <c r="L119" s="126" t="s">
        <v>2823</v>
      </c>
      <c r="M119" s="529"/>
      <c r="N119" s="126" t="s">
        <v>2824</v>
      </c>
      <c r="O119" s="126" t="s">
        <v>1929</v>
      </c>
      <c r="P119" s="126" t="s">
        <v>183</v>
      </c>
      <c r="Q119" s="181">
        <v>5300</v>
      </c>
      <c r="R119" s="181">
        <v>5300</v>
      </c>
      <c r="S119" s="181">
        <v>5194.6279999999997</v>
      </c>
      <c r="T119" s="181"/>
      <c r="AT119" s="181">
        <f t="shared" si="66"/>
        <v>5194.6279999999997</v>
      </c>
      <c r="AY119" s="165">
        <f t="shared" si="52"/>
        <v>45183.680555555555</v>
      </c>
      <c r="AZ119" s="165">
        <f t="shared" si="53"/>
        <v>45201.201388888891</v>
      </c>
      <c r="BA119" s="137">
        <f t="shared" si="54"/>
        <v>17.520833333335759</v>
      </c>
      <c r="BB119" s="165">
        <v>45183.680555555555</v>
      </c>
      <c r="BC119" s="165">
        <v>45183.680555555555</v>
      </c>
      <c r="BD119" s="165">
        <v>45183.680555555555</v>
      </c>
      <c r="BE119" s="165">
        <v>45184.833333333336</v>
      </c>
      <c r="BF119" s="165">
        <v>45185.065972222219</v>
      </c>
      <c r="BG119" s="165">
        <v>45185.3125</v>
      </c>
      <c r="BH119" s="165">
        <v>45185.3125</v>
      </c>
      <c r="BI119" s="165">
        <v>45185.3125</v>
      </c>
      <c r="BJ119" s="166" t="s">
        <v>196</v>
      </c>
      <c r="BK119" s="166" t="s">
        <v>196</v>
      </c>
      <c r="BL119" s="166" t="s">
        <v>196</v>
      </c>
      <c r="BM119" s="165">
        <v>45190.003472222219</v>
      </c>
      <c r="BN119" s="165">
        <v>45200.677083333336</v>
      </c>
      <c r="BO119" s="165">
        <v>45201.180555555555</v>
      </c>
      <c r="BP119" s="165">
        <v>45201.197916666664</v>
      </c>
      <c r="BQ119" s="165">
        <v>45201.201388888891</v>
      </c>
      <c r="BR119" s="165">
        <v>45201.201388888891</v>
      </c>
      <c r="BU119" s="136">
        <f t="shared" si="55"/>
        <v>0</v>
      </c>
      <c r="BV119" s="136">
        <f t="shared" si="56"/>
        <v>5.5833333331975155</v>
      </c>
      <c r="BW119" s="136">
        <f t="shared" si="57"/>
        <v>0</v>
      </c>
      <c r="BX119" s="136">
        <f>(BM119-BI119)*24</f>
        <v>112.58333333325572</v>
      </c>
      <c r="BY119" s="135">
        <f t="shared" si="58"/>
        <v>12.083333333255723</v>
      </c>
      <c r="BZ119" s="135">
        <f t="shared" si="59"/>
        <v>0</v>
      </c>
      <c r="CA119" s="134">
        <f t="shared" si="60"/>
        <v>5.4270833333212067</v>
      </c>
      <c r="CB119" s="134">
        <f t="shared" si="61"/>
        <v>17.520833333335759</v>
      </c>
      <c r="CC119" s="133">
        <f t="shared" si="62"/>
        <v>0.30975029726442554</v>
      </c>
    </row>
    <row r="120" spans="1:83" s="126" customFormat="1">
      <c r="A120" s="192">
        <f t="shared" si="65"/>
        <v>45185.333333333336</v>
      </c>
      <c r="B120" s="126" t="s">
        <v>188</v>
      </c>
      <c r="C120" s="126" t="s">
        <v>183</v>
      </c>
      <c r="D120" s="126" t="s">
        <v>189</v>
      </c>
      <c r="E120" s="65" t="s">
        <v>2816</v>
      </c>
      <c r="G120" s="316">
        <v>45199.25</v>
      </c>
      <c r="H120" s="316">
        <v>45199.25</v>
      </c>
      <c r="I120" s="126" t="s">
        <v>791</v>
      </c>
      <c r="J120" s="126" t="s">
        <v>192</v>
      </c>
      <c r="K120" s="126" t="s">
        <v>192</v>
      </c>
      <c r="L120" s="126" t="s">
        <v>2825</v>
      </c>
      <c r="M120" s="529"/>
      <c r="N120" s="126" t="s">
        <v>1626</v>
      </c>
      <c r="O120" s="126" t="s">
        <v>2654</v>
      </c>
      <c r="P120" s="126" t="s">
        <v>183</v>
      </c>
      <c r="Q120" s="181">
        <v>5300</v>
      </c>
      <c r="R120" s="181">
        <v>5300</v>
      </c>
      <c r="S120" s="181">
        <v>5240.8109999999997</v>
      </c>
      <c r="T120" s="181"/>
      <c r="AT120" s="181">
        <f t="shared" si="66"/>
        <v>5240.8109999999997</v>
      </c>
      <c r="AY120" s="165">
        <f t="shared" si="52"/>
        <v>45185.319444444445</v>
      </c>
      <c r="AZ120" s="165">
        <f t="shared" si="53"/>
        <v>45200.361111111109</v>
      </c>
      <c r="BA120" s="137">
        <f t="shared" si="54"/>
        <v>15.041666666664241</v>
      </c>
      <c r="BB120" s="165">
        <v>45185.319444444445</v>
      </c>
      <c r="BC120" s="165">
        <v>45185.319444444445</v>
      </c>
      <c r="BD120" s="165">
        <v>45185.319444444445</v>
      </c>
      <c r="BE120" s="165">
        <v>45185.333333333336</v>
      </c>
      <c r="BF120" s="165">
        <v>45186.048611111109</v>
      </c>
      <c r="BG120" s="165">
        <v>45186.270833333336</v>
      </c>
      <c r="BH120" s="165">
        <v>45186.270833333336</v>
      </c>
      <c r="BI120" s="165">
        <v>45186.270833333336</v>
      </c>
      <c r="BJ120" s="166" t="s">
        <v>196</v>
      </c>
      <c r="BK120" s="166" t="s">
        <v>196</v>
      </c>
      <c r="BL120" s="166" t="s">
        <v>196</v>
      </c>
      <c r="BM120" s="165">
        <v>45192.208333333336</v>
      </c>
      <c r="BN120" s="165">
        <v>45198.842361111114</v>
      </c>
      <c r="BO120" s="165">
        <v>45200.34375</v>
      </c>
      <c r="BP120" s="165">
        <v>45200.361111111109</v>
      </c>
      <c r="BQ120" s="165">
        <v>45200.361111111109</v>
      </c>
      <c r="BR120" s="165">
        <v>45200.361111111109</v>
      </c>
      <c r="BU120" s="136">
        <f t="shared" si="55"/>
        <v>0</v>
      </c>
      <c r="BV120" s="136">
        <f t="shared" si="56"/>
        <v>17.166666666569654</v>
      </c>
      <c r="BW120" s="136">
        <f t="shared" si="57"/>
        <v>0</v>
      </c>
      <c r="BX120" s="136">
        <f>(BM120-BI120)*24</f>
        <v>142.5</v>
      </c>
      <c r="BY120" s="135">
        <f t="shared" si="58"/>
        <v>36.033333333267365</v>
      </c>
      <c r="BZ120" s="135">
        <f t="shared" si="59"/>
        <v>0</v>
      </c>
      <c r="CA120" s="134">
        <f t="shared" si="60"/>
        <v>8.1541666666598758</v>
      </c>
      <c r="CB120" s="134">
        <f t="shared" si="61"/>
        <v>15.041666666664241</v>
      </c>
      <c r="CC120" s="133">
        <f t="shared" si="62"/>
        <v>0.54210526315753071</v>
      </c>
    </row>
    <row r="121" spans="1:83" s="126" customFormat="1">
      <c r="A121" s="192">
        <f t="shared" si="65"/>
        <v>45190.347222222219</v>
      </c>
      <c r="B121" s="126" t="s">
        <v>188</v>
      </c>
      <c r="C121" s="126" t="s">
        <v>183</v>
      </c>
      <c r="D121" s="126" t="s">
        <v>197</v>
      </c>
      <c r="E121" s="65" t="s">
        <v>2826</v>
      </c>
      <c r="G121" s="316">
        <v>45207.000694444447</v>
      </c>
      <c r="H121" s="316">
        <v>45207.004166666666</v>
      </c>
      <c r="I121" s="126" t="s">
        <v>791</v>
      </c>
      <c r="J121" s="126" t="s">
        <v>192</v>
      </c>
      <c r="K121" s="126" t="s">
        <v>192</v>
      </c>
      <c r="L121" s="126" t="s">
        <v>2827</v>
      </c>
      <c r="M121" s="529"/>
      <c r="N121" s="126" t="s">
        <v>263</v>
      </c>
      <c r="O121" s="126" t="s">
        <v>264</v>
      </c>
      <c r="P121" s="662" t="s">
        <v>183</v>
      </c>
      <c r="Q121" s="181">
        <f>3136*2.4</f>
        <v>7526.4</v>
      </c>
      <c r="R121" s="181">
        <f>7550+100</f>
        <v>7650</v>
      </c>
      <c r="S121" s="181">
        <v>7504.1530000000002</v>
      </c>
      <c r="T121" s="181"/>
      <c r="AT121" s="181">
        <f t="shared" si="66"/>
        <v>7504.1530000000002</v>
      </c>
      <c r="AY121" s="165">
        <f t="shared" si="52"/>
        <v>45185.388888888891</v>
      </c>
      <c r="AZ121" s="165">
        <f t="shared" si="53"/>
        <v>45206.347222222219</v>
      </c>
      <c r="BA121" s="137">
        <f t="shared" si="54"/>
        <v>20.958333333328483</v>
      </c>
      <c r="BB121" s="165">
        <v>45185.388888888891</v>
      </c>
      <c r="BC121" s="165">
        <v>45187.791666666664</v>
      </c>
      <c r="BD121" s="165">
        <v>45190.1875</v>
      </c>
      <c r="BE121" s="165">
        <v>45190.347222222219</v>
      </c>
      <c r="BF121" s="165">
        <v>45191.0625</v>
      </c>
      <c r="BG121" s="165">
        <v>45191.25</v>
      </c>
      <c r="BH121" s="165">
        <v>45191.25</v>
      </c>
      <c r="BI121" s="165">
        <f>BH121+(51/24)</f>
        <v>45193.375</v>
      </c>
      <c r="BJ121" s="165">
        <v>45193.541666666664</v>
      </c>
      <c r="BK121" s="166">
        <v>45193.708333333336</v>
      </c>
      <c r="BL121" s="210">
        <v>45193.579861111109</v>
      </c>
      <c r="BM121" s="165">
        <v>45195.125</v>
      </c>
      <c r="BN121" s="165">
        <v>45205.253472222219</v>
      </c>
      <c r="BO121" s="165">
        <v>45205.715277777781</v>
      </c>
      <c r="BP121" s="165">
        <v>45205.729166666664</v>
      </c>
      <c r="BQ121" s="165">
        <v>45205.9375</v>
      </c>
      <c r="BR121" s="165">
        <v>45206.347222222219</v>
      </c>
      <c r="BU121" s="136">
        <f t="shared" si="55"/>
        <v>57.500000000058208</v>
      </c>
      <c r="BV121" s="136">
        <f t="shared" si="56"/>
        <v>17.166666666744277</v>
      </c>
      <c r="BW121" s="136">
        <f t="shared" si="57"/>
        <v>51</v>
      </c>
      <c r="BX121" s="136">
        <f>(BM121-BK121)*24</f>
        <v>33.999999999941792</v>
      </c>
      <c r="BY121" s="135">
        <f t="shared" si="58"/>
        <v>11.083333333488554</v>
      </c>
      <c r="BZ121" s="135">
        <f t="shared" si="59"/>
        <v>9.8333333332557231</v>
      </c>
      <c r="CA121" s="134">
        <f t="shared" si="60"/>
        <v>7.5243055555620231</v>
      </c>
      <c r="CB121" s="134">
        <f t="shared" si="61"/>
        <v>20.958333333328483</v>
      </c>
      <c r="CC121" s="133">
        <f t="shared" si="62"/>
        <v>0.35901259112033868</v>
      </c>
    </row>
    <row r="122" spans="1:83" s="126" customFormat="1">
      <c r="A122" s="192">
        <f t="shared" si="65"/>
        <v>45191.680555555555</v>
      </c>
      <c r="B122" s="126" t="s">
        <v>188</v>
      </c>
      <c r="C122" s="126" t="s">
        <v>183</v>
      </c>
      <c r="D122" s="126" t="s">
        <v>197</v>
      </c>
      <c r="E122" s="65" t="s">
        <v>2826</v>
      </c>
      <c r="F122" s="662"/>
      <c r="G122" s="316">
        <v>45207.000694444447</v>
      </c>
      <c r="H122" s="316">
        <v>45207.004166666666</v>
      </c>
      <c r="I122" s="126" t="s">
        <v>791</v>
      </c>
      <c r="J122" s="126" t="s">
        <v>192</v>
      </c>
      <c r="K122" s="126" t="s">
        <v>192</v>
      </c>
      <c r="L122" s="126" t="s">
        <v>2828</v>
      </c>
      <c r="M122" s="529"/>
      <c r="N122" s="126" t="s">
        <v>1313</v>
      </c>
      <c r="O122" s="126" t="s">
        <v>2486</v>
      </c>
      <c r="P122" s="662" t="s">
        <v>183</v>
      </c>
      <c r="Q122" s="181">
        <f>3171*2.4</f>
        <v>7610.4</v>
      </c>
      <c r="R122" s="181">
        <f>7550+100</f>
        <v>7650</v>
      </c>
      <c r="S122" s="181">
        <v>7516.7790000000005</v>
      </c>
      <c r="T122" s="181"/>
      <c r="U122" s="663"/>
      <c r="V122" s="663"/>
      <c r="W122" s="663"/>
      <c r="X122" s="663"/>
      <c r="Y122" s="663"/>
      <c r="Z122" s="663"/>
      <c r="AA122" s="663"/>
      <c r="AT122" s="181">
        <f t="shared" si="66"/>
        <v>7516.7790000000005</v>
      </c>
      <c r="AY122" s="165">
        <f t="shared" si="52"/>
        <v>45186.006944444445</v>
      </c>
      <c r="AZ122" s="165">
        <f t="shared" si="53"/>
        <v>45207.208333333336</v>
      </c>
      <c r="BA122" s="137">
        <f t="shared" si="54"/>
        <v>21.201388888890506</v>
      </c>
      <c r="BB122" s="165">
        <v>45186.006944444445</v>
      </c>
      <c r="BC122" s="165">
        <v>45188.590277777781</v>
      </c>
      <c r="BD122" s="165">
        <v>45191.625</v>
      </c>
      <c r="BE122" s="165">
        <v>45191.680555555555</v>
      </c>
      <c r="BF122" s="165">
        <v>45192.652777777781</v>
      </c>
      <c r="BG122" s="165">
        <v>45192.6875</v>
      </c>
      <c r="BH122" s="165">
        <v>45192.708333333336</v>
      </c>
      <c r="BI122" s="165">
        <f>BH122+(51/24)</f>
        <v>45194.833333333336</v>
      </c>
      <c r="BJ122" s="165">
        <v>45195.583333333336</v>
      </c>
      <c r="BK122" s="165">
        <v>45195.75</v>
      </c>
      <c r="BL122" s="210">
        <v>45194.527777777781</v>
      </c>
      <c r="BM122" s="165">
        <v>45196.333333333336</v>
      </c>
      <c r="BN122" s="165">
        <v>45205.8125</v>
      </c>
      <c r="BO122" s="165">
        <v>45206.753472222219</v>
      </c>
      <c r="BP122" s="165">
        <v>45206.770833333336</v>
      </c>
      <c r="BQ122" s="165">
        <v>45206.774305555555</v>
      </c>
      <c r="BR122" s="165">
        <v>45207.208333333336</v>
      </c>
      <c r="BU122" s="136">
        <f t="shared" si="55"/>
        <v>72.833333333255723</v>
      </c>
      <c r="BV122" s="136">
        <f t="shared" si="56"/>
        <v>23.333333333430346</v>
      </c>
      <c r="BW122" s="136">
        <f t="shared" si="57"/>
        <v>51</v>
      </c>
      <c r="BX122" s="136">
        <f>(BM122-BK122)*24</f>
        <v>14.000000000058208</v>
      </c>
      <c r="BY122" s="135">
        <f t="shared" si="58"/>
        <v>22.583333333255723</v>
      </c>
      <c r="BZ122" s="135">
        <f t="shared" si="59"/>
        <v>10.416666666744277</v>
      </c>
      <c r="CA122" s="134">
        <f t="shared" si="60"/>
        <v>8.0902777777810115</v>
      </c>
      <c r="CB122" s="134">
        <f t="shared" si="61"/>
        <v>21.201388888890506</v>
      </c>
      <c r="CC122" s="133">
        <f t="shared" si="62"/>
        <v>0.38159187684257345</v>
      </c>
    </row>
    <row r="123" spans="1:83" s="126" customFormat="1">
      <c r="A123" s="192">
        <f t="shared" si="65"/>
        <v>45192.861111111109</v>
      </c>
      <c r="B123" s="126" t="s">
        <v>188</v>
      </c>
      <c r="C123" s="126" t="s">
        <v>183</v>
      </c>
      <c r="D123" s="126" t="s">
        <v>197</v>
      </c>
      <c r="E123" s="65" t="s">
        <v>2816</v>
      </c>
      <c r="G123" s="316">
        <v>45199.25</v>
      </c>
      <c r="H123" s="316">
        <v>45199.25</v>
      </c>
      <c r="I123" s="126" t="s">
        <v>791</v>
      </c>
      <c r="J123" s="126" t="s">
        <v>192</v>
      </c>
      <c r="K123" s="126" t="s">
        <v>192</v>
      </c>
      <c r="L123" s="126" t="s">
        <v>2829</v>
      </c>
      <c r="M123" s="529"/>
      <c r="N123" s="126" t="s">
        <v>1874</v>
      </c>
      <c r="O123" s="126" t="s">
        <v>1875</v>
      </c>
      <c r="P123" s="662" t="s">
        <v>183</v>
      </c>
      <c r="Q123" s="181">
        <f>2205*2.4</f>
        <v>5292</v>
      </c>
      <c r="R123" s="181">
        <f>5300+100</f>
        <v>5400</v>
      </c>
      <c r="S123" s="181">
        <v>5402.8140000000003</v>
      </c>
      <c r="T123" s="181"/>
      <c r="U123" s="663"/>
      <c r="V123" s="663"/>
      <c r="AT123" s="181">
        <f t="shared" si="66"/>
        <v>5402.8140000000003</v>
      </c>
      <c r="AY123" s="165">
        <f t="shared" si="52"/>
        <v>45187.631944444445</v>
      </c>
      <c r="AZ123" s="165">
        <f t="shared" si="53"/>
        <v>45207.71875</v>
      </c>
      <c r="BA123" s="137">
        <f t="shared" si="54"/>
        <v>20.086805555554747</v>
      </c>
      <c r="BB123" s="165">
        <v>45187.631944444445</v>
      </c>
      <c r="BC123" s="165">
        <v>45189.791666666664</v>
      </c>
      <c r="BD123" s="165">
        <v>45192.836805555555</v>
      </c>
      <c r="BE123" s="165">
        <v>45192.861111111109</v>
      </c>
      <c r="BF123" s="165">
        <v>45193.618055555555</v>
      </c>
      <c r="BG123" s="165">
        <v>45193.638888888891</v>
      </c>
      <c r="BH123" s="165">
        <v>45193.638888888891</v>
      </c>
      <c r="BI123" s="165">
        <f>BH123+(51/24)</f>
        <v>45195.763888888891</v>
      </c>
      <c r="BJ123" s="362">
        <v>45197.229166608799</v>
      </c>
      <c r="BK123" s="362">
        <v>45197.395833333336</v>
      </c>
      <c r="BL123" s="362">
        <v>45197.34375</v>
      </c>
      <c r="BM123" s="165">
        <v>45198.979166666664</v>
      </c>
      <c r="BN123" s="165">
        <v>45206.854166666664</v>
      </c>
      <c r="BO123" s="165">
        <v>45207.1875</v>
      </c>
      <c r="BP123" s="165">
        <v>45207.229166666664</v>
      </c>
      <c r="BQ123" s="165">
        <v>45207.232638888891</v>
      </c>
      <c r="BR123" s="165">
        <v>45207.71875</v>
      </c>
      <c r="BU123" s="136">
        <f t="shared" si="55"/>
        <v>73.083333333372138</v>
      </c>
      <c r="BV123" s="136">
        <f t="shared" si="56"/>
        <v>18.166666666686069</v>
      </c>
      <c r="BW123" s="136">
        <f t="shared" si="57"/>
        <v>51</v>
      </c>
      <c r="BX123" s="136">
        <f>(BM123-BK123)*24</f>
        <v>37.999999999883585</v>
      </c>
      <c r="BY123" s="135">
        <f t="shared" si="58"/>
        <v>8.0000000000582077</v>
      </c>
      <c r="BZ123" s="135">
        <f t="shared" si="59"/>
        <v>11.666666666627862</v>
      </c>
      <c r="CA123" s="134">
        <f t="shared" si="60"/>
        <v>8.3298611111094942</v>
      </c>
      <c r="CB123" s="134">
        <f t="shared" si="61"/>
        <v>20.086805555554747</v>
      </c>
      <c r="CC123" s="133">
        <f t="shared" si="62"/>
        <v>0.41469317199647898</v>
      </c>
    </row>
    <row r="124" spans="1:83" s="126" customFormat="1">
      <c r="A124" s="474">
        <f t="shared" si="65"/>
        <v>45193.680555555555</v>
      </c>
      <c r="B124" s="475" t="s">
        <v>188</v>
      </c>
      <c r="C124" s="475" t="s">
        <v>183</v>
      </c>
      <c r="D124" s="475" t="s">
        <v>189</v>
      </c>
      <c r="E124" s="476" t="s">
        <v>2830</v>
      </c>
      <c r="F124" s="475"/>
      <c r="G124" s="473">
        <v>45218.166666666664</v>
      </c>
      <c r="H124" s="473">
        <v>45218.3</v>
      </c>
      <c r="I124" s="475" t="s">
        <v>791</v>
      </c>
      <c r="J124" s="126" t="s">
        <v>192</v>
      </c>
      <c r="K124" s="126" t="s">
        <v>192</v>
      </c>
      <c r="L124" s="475" t="s">
        <v>2831</v>
      </c>
      <c r="M124" s="529"/>
      <c r="N124" s="475" t="s">
        <v>2832</v>
      </c>
      <c r="O124" s="475" t="s">
        <v>2833</v>
      </c>
      <c r="P124" s="399" t="s">
        <v>183</v>
      </c>
      <c r="Q124" s="477">
        <f>2205*2.4</f>
        <v>5292</v>
      </c>
      <c r="R124" s="477">
        <f>5300+100</f>
        <v>5400</v>
      </c>
      <c r="S124" s="477">
        <v>5191.3029999999999</v>
      </c>
      <c r="T124" s="477"/>
      <c r="U124" s="401"/>
      <c r="V124" s="401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7">
        <f t="shared" si="66"/>
        <v>5191.3029999999999</v>
      </c>
      <c r="AU124" s="475"/>
      <c r="AV124" s="475"/>
      <c r="AW124" s="475"/>
      <c r="AX124" s="475"/>
      <c r="AY124" s="473">
        <f t="shared" si="52"/>
        <v>45193.666666666664</v>
      </c>
      <c r="AZ124" s="473">
        <f t="shared" si="53"/>
        <v>45208.409722222219</v>
      </c>
      <c r="BA124" s="479">
        <f t="shared" si="54"/>
        <v>14.743055555554747</v>
      </c>
      <c r="BB124" s="473">
        <v>45193.666666666664</v>
      </c>
      <c r="BC124" s="473">
        <v>45193.666666666664</v>
      </c>
      <c r="BD124" s="473">
        <v>45193.666666666664</v>
      </c>
      <c r="BE124" s="473">
        <v>45193.680555555555</v>
      </c>
      <c r="BF124" s="473">
        <v>45194.576388888891</v>
      </c>
      <c r="BG124" s="473">
        <v>45194.645833333336</v>
      </c>
      <c r="BH124" s="473">
        <v>45194.645833333336</v>
      </c>
      <c r="BI124" s="473">
        <v>45194.645833333336</v>
      </c>
      <c r="BJ124" s="579" t="s">
        <v>196</v>
      </c>
      <c r="BK124" s="579" t="s">
        <v>196</v>
      </c>
      <c r="BL124" s="579" t="s">
        <v>196</v>
      </c>
      <c r="BM124" s="473">
        <v>45199.583333333336</v>
      </c>
      <c r="BN124" s="473">
        <v>45207.756944444445</v>
      </c>
      <c r="BO124" s="473">
        <v>45208.402777777781</v>
      </c>
      <c r="BP124" s="473">
        <v>45208.40625</v>
      </c>
      <c r="BQ124" s="473">
        <v>45208.409722222219</v>
      </c>
      <c r="BR124" s="473">
        <v>45208.409722222219</v>
      </c>
      <c r="BS124" s="475"/>
      <c r="BT124" s="475"/>
      <c r="BU124" s="481">
        <f t="shared" si="55"/>
        <v>0</v>
      </c>
      <c r="BV124" s="481">
        <f t="shared" si="56"/>
        <v>21.500000000058208</v>
      </c>
      <c r="BW124" s="481">
        <f t="shared" si="57"/>
        <v>0</v>
      </c>
      <c r="BX124" s="481">
        <f t="shared" ref="BX124:BX129" si="67">(BM124-BI124)*24</f>
        <v>118.5</v>
      </c>
      <c r="BY124" s="482">
        <f t="shared" si="58"/>
        <v>15.500000000058208</v>
      </c>
      <c r="BZ124" s="482">
        <f t="shared" si="59"/>
        <v>0</v>
      </c>
      <c r="CA124" s="483">
        <f t="shared" si="60"/>
        <v>6.4791666666715173</v>
      </c>
      <c r="CB124" s="483">
        <f t="shared" si="61"/>
        <v>14.743055555554747</v>
      </c>
      <c r="CC124" s="484">
        <f t="shared" si="62"/>
        <v>0.43947244465414492</v>
      </c>
      <c r="CD124" s="475"/>
      <c r="CE124" s="475"/>
    </row>
    <row r="125" spans="1:83" s="126" customFormat="1">
      <c r="A125" s="474">
        <f t="shared" si="65"/>
        <v>45195.861111111109</v>
      </c>
      <c r="B125" s="475" t="s">
        <v>188</v>
      </c>
      <c r="C125" s="475" t="s">
        <v>183</v>
      </c>
      <c r="D125" s="475" t="s">
        <v>189</v>
      </c>
      <c r="E125" s="476" t="s">
        <v>2826</v>
      </c>
      <c r="F125" s="475"/>
      <c r="G125" s="316">
        <v>45207.000694444447</v>
      </c>
      <c r="H125" s="316">
        <v>45207.004166666666</v>
      </c>
      <c r="I125" s="475" t="s">
        <v>791</v>
      </c>
      <c r="J125" s="475" t="s">
        <v>192</v>
      </c>
      <c r="K125" s="475" t="s">
        <v>192</v>
      </c>
      <c r="L125" s="475" t="s">
        <v>2834</v>
      </c>
      <c r="M125" s="529"/>
      <c r="N125" s="475" t="s">
        <v>809</v>
      </c>
      <c r="O125" s="475" t="s">
        <v>1365</v>
      </c>
      <c r="P125" s="399" t="s">
        <v>183</v>
      </c>
      <c r="Q125" s="477">
        <f>2205*2.4</f>
        <v>5292</v>
      </c>
      <c r="R125" s="477">
        <f>5300+100</f>
        <v>5400</v>
      </c>
      <c r="S125" s="477">
        <v>5257.5410000000002</v>
      </c>
      <c r="T125" s="477"/>
      <c r="U125" s="401"/>
      <c r="V125" s="401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7">
        <f t="shared" si="66"/>
        <v>5257.5410000000002</v>
      </c>
      <c r="AU125" s="475"/>
      <c r="AV125" s="475"/>
      <c r="AW125" s="475"/>
      <c r="AX125" s="475"/>
      <c r="AY125" s="473">
        <f t="shared" si="52"/>
        <v>45195.833333333336</v>
      </c>
      <c r="AZ125" s="473">
        <f t="shared" si="53"/>
        <v>45211.402777777781</v>
      </c>
      <c r="BA125" s="479">
        <f t="shared" si="54"/>
        <v>15.569444444445253</v>
      </c>
      <c r="BB125" s="473">
        <v>45195.833333333336</v>
      </c>
      <c r="BC125" s="473">
        <v>45195.833333333336</v>
      </c>
      <c r="BD125" s="473">
        <v>45195.833333333336</v>
      </c>
      <c r="BE125" s="473">
        <v>45195.861111111109</v>
      </c>
      <c r="BF125" s="473">
        <v>45196.166666666664</v>
      </c>
      <c r="BG125" s="473">
        <v>45196.3125</v>
      </c>
      <c r="BH125" s="473">
        <v>45196.3125</v>
      </c>
      <c r="BI125" s="473">
        <v>45196.3125</v>
      </c>
      <c r="BJ125" s="579" t="s">
        <v>196</v>
      </c>
      <c r="BK125" s="579" t="s">
        <v>196</v>
      </c>
      <c r="BL125" s="579" t="s">
        <v>196</v>
      </c>
      <c r="BM125" s="473">
        <v>45201.225694444445</v>
      </c>
      <c r="BN125" s="473">
        <v>45211.076388888891</v>
      </c>
      <c r="BO125" s="473">
        <v>45211.378472222219</v>
      </c>
      <c r="BP125" s="473">
        <v>45211.402777777781</v>
      </c>
      <c r="BQ125" s="473">
        <v>45211.402777777781</v>
      </c>
      <c r="BR125" s="473">
        <v>45211.402777777781</v>
      </c>
      <c r="BS125" s="475"/>
      <c r="BT125" s="475"/>
      <c r="BU125" s="481">
        <f t="shared" si="55"/>
        <v>0</v>
      </c>
      <c r="BV125" s="481">
        <f t="shared" si="56"/>
        <v>7.3333333333139308</v>
      </c>
      <c r="BW125" s="481">
        <f t="shared" si="57"/>
        <v>0</v>
      </c>
      <c r="BX125" s="481">
        <f t="shared" si="67"/>
        <v>117.91666666668607</v>
      </c>
      <c r="BY125" s="482">
        <f t="shared" si="58"/>
        <v>7.2499999998835847</v>
      </c>
      <c r="BZ125" s="482">
        <f t="shared" si="59"/>
        <v>0</v>
      </c>
      <c r="CA125" s="483">
        <f t="shared" si="60"/>
        <v>5.5208333333284827</v>
      </c>
      <c r="CB125" s="483">
        <f t="shared" si="61"/>
        <v>15.569444444445253</v>
      </c>
      <c r="CC125" s="484">
        <f t="shared" si="62"/>
        <v>0.35459411239931321</v>
      </c>
      <c r="CD125" s="475"/>
      <c r="CE125" s="475"/>
    </row>
    <row r="126" spans="1:83" s="126" customFormat="1">
      <c r="A126" s="474">
        <f t="shared" si="65"/>
        <v>45196.333333333336</v>
      </c>
      <c r="B126" s="475" t="s">
        <v>188</v>
      </c>
      <c r="C126" s="475" t="s">
        <v>183</v>
      </c>
      <c r="D126" s="475" t="s">
        <v>189</v>
      </c>
      <c r="E126" s="476" t="s">
        <v>2826</v>
      </c>
      <c r="F126" s="475"/>
      <c r="G126" s="316">
        <v>45207.000694444447</v>
      </c>
      <c r="H126" s="316">
        <v>45207.004166666666</v>
      </c>
      <c r="I126" s="475" t="s">
        <v>791</v>
      </c>
      <c r="J126" s="126" t="s">
        <v>192</v>
      </c>
      <c r="K126" s="126" t="s">
        <v>192</v>
      </c>
      <c r="L126" s="475" t="s">
        <v>2835</v>
      </c>
      <c r="M126" s="529"/>
      <c r="N126" s="475" t="s">
        <v>2836</v>
      </c>
      <c r="O126" s="475" t="s">
        <v>2837</v>
      </c>
      <c r="P126" s="399" t="s">
        <v>183</v>
      </c>
      <c r="Q126" s="477">
        <f>2205*2.4</f>
        <v>5292</v>
      </c>
      <c r="R126" s="477">
        <f>5300+100</f>
        <v>5400</v>
      </c>
      <c r="S126" s="477">
        <v>5251.0190000000002</v>
      </c>
      <c r="T126" s="477"/>
      <c r="U126" s="401"/>
      <c r="V126" s="401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7">
        <f t="shared" si="66"/>
        <v>5251.0190000000002</v>
      </c>
      <c r="AU126" s="475"/>
      <c r="AV126" s="475"/>
      <c r="AW126" s="475"/>
      <c r="AX126" s="475"/>
      <c r="AY126" s="473">
        <f t="shared" si="52"/>
        <v>45196.319444444445</v>
      </c>
      <c r="AZ126" s="473">
        <f t="shared" si="53"/>
        <v>45210.215277777781</v>
      </c>
      <c r="BA126" s="479">
        <f t="shared" si="54"/>
        <v>13.895833333335759</v>
      </c>
      <c r="BB126" s="473">
        <v>45196.319444444445</v>
      </c>
      <c r="BC126" s="473">
        <v>45196.319444444445</v>
      </c>
      <c r="BD126" s="473">
        <v>45196.319444444445</v>
      </c>
      <c r="BE126" s="473">
        <v>45196.333333333336</v>
      </c>
      <c r="BF126" s="473">
        <v>45196.923611111109</v>
      </c>
      <c r="BG126" s="473">
        <v>45196.979166666664</v>
      </c>
      <c r="BH126" s="473">
        <v>45196.979166666664</v>
      </c>
      <c r="BI126" s="473">
        <v>45196.979166666664</v>
      </c>
      <c r="BJ126" s="579" t="s">
        <v>196</v>
      </c>
      <c r="BK126" s="579" t="s">
        <v>196</v>
      </c>
      <c r="BL126" s="579" t="s">
        <v>196</v>
      </c>
      <c r="BM126" s="473">
        <v>45205.260416666664</v>
      </c>
      <c r="BN126" s="473">
        <v>45209.510416666664</v>
      </c>
      <c r="BO126" s="473">
        <v>45210.194444444445</v>
      </c>
      <c r="BP126" s="473">
        <v>45210.211805555555</v>
      </c>
      <c r="BQ126" s="473">
        <v>45210.215277777781</v>
      </c>
      <c r="BR126" s="473">
        <v>45210.215277777781</v>
      </c>
      <c r="BS126" s="475"/>
      <c r="BT126" s="475"/>
      <c r="BU126" s="481">
        <f t="shared" si="55"/>
        <v>0</v>
      </c>
      <c r="BV126" s="481">
        <f t="shared" si="56"/>
        <v>14.166666666569654</v>
      </c>
      <c r="BW126" s="481">
        <f t="shared" si="57"/>
        <v>0</v>
      </c>
      <c r="BX126" s="481">
        <f t="shared" si="67"/>
        <v>198.75</v>
      </c>
      <c r="BY126" s="482">
        <f t="shared" si="58"/>
        <v>16.416666666744277</v>
      </c>
      <c r="BZ126" s="482">
        <f t="shared" si="59"/>
        <v>0</v>
      </c>
      <c r="CA126" s="483">
        <f t="shared" si="60"/>
        <v>9.5555555555547471</v>
      </c>
      <c r="CB126" s="483">
        <f t="shared" si="61"/>
        <v>13.895833333335759</v>
      </c>
      <c r="CC126" s="484">
        <f t="shared" si="62"/>
        <v>0.68765617191386474</v>
      </c>
      <c r="CD126" s="475"/>
      <c r="CE126" s="475"/>
    </row>
    <row r="127" spans="1:83" s="126" customFormat="1">
      <c r="A127" s="192">
        <f t="shared" si="65"/>
        <v>45180.583333333336</v>
      </c>
      <c r="B127" s="126" t="s">
        <v>188</v>
      </c>
      <c r="C127" s="126" t="s">
        <v>184</v>
      </c>
      <c r="D127" s="126" t="s">
        <v>189</v>
      </c>
      <c r="E127" s="65" t="s">
        <v>2806</v>
      </c>
      <c r="G127" s="165">
        <v>45188.9375</v>
      </c>
      <c r="H127" s="165">
        <v>45188.9375</v>
      </c>
      <c r="I127" s="126" t="s">
        <v>818</v>
      </c>
      <c r="J127" s="369" t="s">
        <v>192</v>
      </c>
      <c r="K127" s="369" t="s">
        <v>192</v>
      </c>
      <c r="L127" s="126" t="s">
        <v>2838</v>
      </c>
      <c r="M127" s="530"/>
      <c r="N127" s="126" t="s">
        <v>823</v>
      </c>
      <c r="O127" s="126" t="s">
        <v>824</v>
      </c>
      <c r="P127" s="126" t="s">
        <v>184</v>
      </c>
      <c r="Q127" s="181">
        <v>7500</v>
      </c>
      <c r="R127" s="181">
        <v>7500</v>
      </c>
      <c r="S127" s="181">
        <v>7501.116</v>
      </c>
      <c r="T127" s="181"/>
      <c r="AU127" s="181">
        <f>S127</f>
        <v>7501.116</v>
      </c>
      <c r="AY127" s="165">
        <f t="shared" si="52"/>
        <v>45180.576388888891</v>
      </c>
      <c r="AZ127" s="165">
        <f t="shared" si="53"/>
        <v>45195.604166666664</v>
      </c>
      <c r="BA127" s="137">
        <f t="shared" si="54"/>
        <v>15.027777777773736</v>
      </c>
      <c r="BB127" s="165">
        <v>45180.576388888891</v>
      </c>
      <c r="BC127" s="165">
        <v>45180.576388888891</v>
      </c>
      <c r="BD127" s="165">
        <v>45180.576388888891</v>
      </c>
      <c r="BE127" s="165">
        <v>45180.583333333336</v>
      </c>
      <c r="BF127" s="165">
        <v>45181.347222222219</v>
      </c>
      <c r="BG127" s="165">
        <v>45181.361111111109</v>
      </c>
      <c r="BH127" s="165">
        <v>45181.361111111109</v>
      </c>
      <c r="BI127" s="165">
        <v>45181.361111111109</v>
      </c>
      <c r="BJ127" s="166" t="s">
        <v>196</v>
      </c>
      <c r="BK127" s="166" t="s">
        <v>196</v>
      </c>
      <c r="BL127" s="166" t="s">
        <v>196</v>
      </c>
      <c r="BM127" s="165">
        <v>45184.708333333336</v>
      </c>
      <c r="BN127" s="165">
        <v>45194.715277777781</v>
      </c>
      <c r="BO127" s="165">
        <v>45195.590277777781</v>
      </c>
      <c r="BP127" s="165">
        <v>45195.604166666664</v>
      </c>
      <c r="BQ127" s="165">
        <v>45195.604166666664</v>
      </c>
      <c r="BR127" s="165">
        <v>45195.604166666664</v>
      </c>
      <c r="BU127" s="136">
        <f t="shared" si="55"/>
        <v>0</v>
      </c>
      <c r="BV127" s="136">
        <f t="shared" si="56"/>
        <v>18.333333333197515</v>
      </c>
      <c r="BW127" s="136">
        <f t="shared" si="57"/>
        <v>0</v>
      </c>
      <c r="BX127" s="136">
        <f t="shared" si="67"/>
        <v>80.333333333430346</v>
      </c>
      <c r="BY127" s="135">
        <f t="shared" si="58"/>
        <v>21</v>
      </c>
      <c r="BZ127" s="135">
        <f t="shared" si="59"/>
        <v>0</v>
      </c>
      <c r="CA127" s="134">
        <f t="shared" si="60"/>
        <v>4.9861111111094942</v>
      </c>
      <c r="CB127" s="134">
        <f t="shared" si="61"/>
        <v>15.027777777773736</v>
      </c>
      <c r="CC127" s="133">
        <f t="shared" si="62"/>
        <v>0.3317929759704068</v>
      </c>
    </row>
    <row r="128" spans="1:83" s="126" customFormat="1">
      <c r="A128" s="192">
        <f t="shared" si="65"/>
        <v>45181.416666666664</v>
      </c>
      <c r="B128" s="126" t="s">
        <v>188</v>
      </c>
      <c r="C128" s="126" t="s">
        <v>184</v>
      </c>
      <c r="D128" s="126" t="s">
        <v>189</v>
      </c>
      <c r="E128" s="65" t="s">
        <v>2826</v>
      </c>
      <c r="G128" s="316">
        <v>45207.000694444447</v>
      </c>
      <c r="H128" s="316">
        <v>45207.004166666666</v>
      </c>
      <c r="I128" s="126" t="s">
        <v>818</v>
      </c>
      <c r="J128" s="126" t="s">
        <v>192</v>
      </c>
      <c r="K128" s="126" t="s">
        <v>192</v>
      </c>
      <c r="L128" s="126" t="s">
        <v>2839</v>
      </c>
      <c r="M128" s="167"/>
      <c r="N128" s="126" t="s">
        <v>1367</v>
      </c>
      <c r="O128" s="126" t="s">
        <v>1939</v>
      </c>
      <c r="P128" s="126" t="s">
        <v>184</v>
      </c>
      <c r="Q128" s="181">
        <v>7500</v>
      </c>
      <c r="R128" s="181">
        <v>7500</v>
      </c>
      <c r="S128" s="181">
        <v>7502.1350000000002</v>
      </c>
      <c r="T128" s="181"/>
      <c r="AU128" s="181">
        <f>S128</f>
        <v>7502.1350000000002</v>
      </c>
      <c r="AY128" s="165">
        <f t="shared" si="52"/>
        <v>45181.409722222219</v>
      </c>
      <c r="AZ128" s="165">
        <f t="shared" si="53"/>
        <v>45197.961805555555</v>
      </c>
      <c r="BA128" s="137">
        <f t="shared" si="54"/>
        <v>16.552083333335759</v>
      </c>
      <c r="BB128" s="165">
        <v>45181.409722222219</v>
      </c>
      <c r="BC128" s="165">
        <v>45181.409722222219</v>
      </c>
      <c r="BD128" s="165">
        <v>45181.409722222219</v>
      </c>
      <c r="BE128" s="165">
        <v>45181.416666666664</v>
      </c>
      <c r="BF128" s="165">
        <v>45182.25</v>
      </c>
      <c r="BG128" s="165">
        <v>45182.305555555555</v>
      </c>
      <c r="BH128" s="165">
        <v>45182.305555555555</v>
      </c>
      <c r="BI128" s="165">
        <v>45182.305555555555</v>
      </c>
      <c r="BJ128" s="166" t="s">
        <v>196</v>
      </c>
      <c r="BK128" s="166" t="s">
        <v>196</v>
      </c>
      <c r="BL128" s="166" t="s">
        <v>196</v>
      </c>
      <c r="BM128" s="165">
        <v>45186.59375</v>
      </c>
      <c r="BN128" s="165">
        <v>45197.319444444445</v>
      </c>
      <c r="BO128" s="165">
        <v>45197.934027777781</v>
      </c>
      <c r="BP128" s="165">
        <v>45197.961805555555</v>
      </c>
      <c r="BQ128" s="165">
        <v>45197.961805555555</v>
      </c>
      <c r="BR128" s="165">
        <v>45197.961805555555</v>
      </c>
      <c r="BU128" s="136">
        <f t="shared" si="55"/>
        <v>0</v>
      </c>
      <c r="BV128" s="136">
        <f t="shared" si="56"/>
        <v>20.000000000058208</v>
      </c>
      <c r="BW128" s="136">
        <f t="shared" si="57"/>
        <v>0</v>
      </c>
      <c r="BX128" s="136">
        <f t="shared" si="67"/>
        <v>102.91666666668607</v>
      </c>
      <c r="BY128" s="135">
        <f t="shared" si="58"/>
        <v>14.750000000058208</v>
      </c>
      <c r="BZ128" s="135">
        <f t="shared" si="59"/>
        <v>0</v>
      </c>
      <c r="CA128" s="134">
        <f t="shared" si="60"/>
        <v>5.7361111111167702</v>
      </c>
      <c r="CB128" s="134">
        <f t="shared" si="61"/>
        <v>16.552083333335759</v>
      </c>
      <c r="CC128" s="133">
        <f t="shared" si="62"/>
        <v>0.34654919236446147</v>
      </c>
    </row>
    <row r="129" spans="1:83" s="126" customFormat="1">
      <c r="A129" s="192">
        <f t="shared" si="65"/>
        <v>45182.375</v>
      </c>
      <c r="B129" s="126" t="s">
        <v>188</v>
      </c>
      <c r="C129" s="126" t="s">
        <v>184</v>
      </c>
      <c r="D129" s="126" t="s">
        <v>189</v>
      </c>
      <c r="E129" s="65" t="s">
        <v>2826</v>
      </c>
      <c r="G129" s="316">
        <v>45207.000694444447</v>
      </c>
      <c r="H129" s="316">
        <v>45207.004166666666</v>
      </c>
      <c r="I129" s="126" t="s">
        <v>818</v>
      </c>
      <c r="J129" s="126" t="s">
        <v>192</v>
      </c>
      <c r="K129" s="126" t="s">
        <v>192</v>
      </c>
      <c r="L129" s="126" t="s">
        <v>2840</v>
      </c>
      <c r="M129" s="529"/>
      <c r="N129" s="126" t="s">
        <v>820</v>
      </c>
      <c r="O129" s="126" t="s">
        <v>1368</v>
      </c>
      <c r="P129" s="126" t="s">
        <v>184</v>
      </c>
      <c r="Q129" s="181">
        <v>7500</v>
      </c>
      <c r="R129" s="181">
        <v>7500</v>
      </c>
      <c r="S129" s="181">
        <v>7505.6670000000004</v>
      </c>
      <c r="T129" s="181"/>
      <c r="AU129" s="181">
        <f>S129</f>
        <v>7505.6670000000004</v>
      </c>
      <c r="AY129" s="165">
        <f t="shared" si="52"/>
        <v>45182.364583333336</v>
      </c>
      <c r="AZ129" s="165">
        <f t="shared" si="53"/>
        <v>45198.78125</v>
      </c>
      <c r="BA129" s="137">
        <f t="shared" si="54"/>
        <v>16.416666666664241</v>
      </c>
      <c r="BB129" s="165">
        <v>45182.364583333336</v>
      </c>
      <c r="BC129" s="165">
        <v>45182.364583333336</v>
      </c>
      <c r="BD129" s="165">
        <v>45182.364583333336</v>
      </c>
      <c r="BE129" s="165">
        <v>45182.375</v>
      </c>
      <c r="BF129" s="165">
        <v>45183.427083333336</v>
      </c>
      <c r="BG129" s="165">
        <v>45183.451388888891</v>
      </c>
      <c r="BH129" s="165">
        <v>45183.451388888891</v>
      </c>
      <c r="BI129" s="165">
        <v>45183.451388888891</v>
      </c>
      <c r="BJ129" s="166" t="s">
        <v>196</v>
      </c>
      <c r="BK129" s="166" t="s">
        <v>196</v>
      </c>
      <c r="BL129" s="166" t="s">
        <v>196</v>
      </c>
      <c r="BM129" s="165">
        <v>45187.833333333336</v>
      </c>
      <c r="BN129" s="165">
        <v>45198.048611111109</v>
      </c>
      <c r="BO129" s="165">
        <v>45198.767361111109</v>
      </c>
      <c r="BP129" s="165">
        <v>45198.78125</v>
      </c>
      <c r="BQ129" s="165">
        <v>45198.78125</v>
      </c>
      <c r="BR129" s="165">
        <v>45198.78125</v>
      </c>
      <c r="BU129" s="136">
        <f t="shared" si="55"/>
        <v>0</v>
      </c>
      <c r="BV129" s="136">
        <f t="shared" si="56"/>
        <v>25.250000000058208</v>
      </c>
      <c r="BW129" s="136">
        <f t="shared" si="57"/>
        <v>0</v>
      </c>
      <c r="BX129" s="136">
        <f t="shared" si="67"/>
        <v>105.16666666668607</v>
      </c>
      <c r="BY129" s="135">
        <f t="shared" si="58"/>
        <v>17.25</v>
      </c>
      <c r="BZ129" s="135">
        <f t="shared" si="59"/>
        <v>0</v>
      </c>
      <c r="CA129" s="134">
        <f t="shared" si="60"/>
        <v>6.1527777777810115</v>
      </c>
      <c r="CB129" s="134">
        <f t="shared" si="61"/>
        <v>16.416666666664241</v>
      </c>
      <c r="CC129" s="133">
        <f t="shared" si="62"/>
        <v>0.37478849407808651</v>
      </c>
    </row>
    <row r="130" spans="1:83" s="126" customFormat="1">
      <c r="A130" s="192">
        <f t="shared" si="65"/>
        <v>45170.125</v>
      </c>
      <c r="B130" s="126" t="s">
        <v>228</v>
      </c>
      <c r="C130" s="126" t="s">
        <v>229</v>
      </c>
      <c r="D130" s="126" t="s">
        <v>215</v>
      </c>
      <c r="E130" s="65" t="s">
        <v>2746</v>
      </c>
      <c r="G130" s="316">
        <v>45165.458333333336</v>
      </c>
      <c r="H130" s="316">
        <v>45165.444444444445</v>
      </c>
      <c r="I130" s="126" t="s">
        <v>490</v>
      </c>
      <c r="J130" s="126" t="s">
        <v>192</v>
      </c>
      <c r="K130" s="126" t="s">
        <v>192</v>
      </c>
      <c r="L130" s="126" t="s">
        <v>2453</v>
      </c>
      <c r="M130" s="167"/>
      <c r="N130" s="126" t="s">
        <v>1230</v>
      </c>
      <c r="O130" s="126" t="s">
        <v>1231</v>
      </c>
      <c r="P130" s="126" t="s">
        <v>494</v>
      </c>
      <c r="Q130" s="181">
        <f>3107*2.4</f>
        <v>7456.7999999999993</v>
      </c>
      <c r="R130" s="181">
        <f>7500+100</f>
        <v>7600</v>
      </c>
      <c r="S130" s="181">
        <f>7528.558</f>
        <v>7528.558</v>
      </c>
      <c r="T130" s="181"/>
      <c r="U130" s="181">
        <f t="shared" ref="U130:U137" si="68">S130</f>
        <v>7528.558</v>
      </c>
      <c r="AY130" s="165">
        <f t="shared" si="52"/>
        <v>45162.555555555555</v>
      </c>
      <c r="AZ130" s="165">
        <f t="shared" si="53"/>
        <v>45176.520833333336</v>
      </c>
      <c r="BA130" s="137">
        <f t="shared" si="54"/>
        <v>13.965277777781012</v>
      </c>
      <c r="BB130" s="165">
        <v>45162.555555555555</v>
      </c>
      <c r="BC130" s="165">
        <v>45166.770833333336</v>
      </c>
      <c r="BD130" s="165">
        <v>45168.8125</v>
      </c>
      <c r="BE130" s="165">
        <v>45170.125</v>
      </c>
      <c r="BF130" s="165">
        <v>45170.763888888891</v>
      </c>
      <c r="BG130" s="165">
        <v>45170.767361111109</v>
      </c>
      <c r="BH130" s="165">
        <v>45170.767361111109</v>
      </c>
      <c r="BI130" s="165">
        <f t="shared" ref="BI130:BI161" si="69">BH130+(41/24)</f>
        <v>45172.475694444445</v>
      </c>
      <c r="BJ130" s="362">
        <v>45173.25</v>
      </c>
      <c r="BK130" s="362">
        <v>45173.416666608799</v>
      </c>
      <c r="BL130" s="362">
        <v>45173.295138888891</v>
      </c>
      <c r="BM130" s="165">
        <v>45174.541666666664</v>
      </c>
      <c r="BN130" s="165">
        <v>45175.795138888891</v>
      </c>
      <c r="BO130" s="165">
        <v>45176.1875</v>
      </c>
      <c r="BP130" s="165">
        <v>45176.236111111109</v>
      </c>
      <c r="BQ130" s="165">
        <v>45176.236111111109</v>
      </c>
      <c r="BR130" s="165">
        <v>45176.520833333336</v>
      </c>
      <c r="BU130" s="136">
        <f t="shared" si="55"/>
        <v>48.999999999941792</v>
      </c>
      <c r="BV130" s="136">
        <f t="shared" si="56"/>
        <v>15.333333333372138</v>
      </c>
      <c r="BW130" s="136">
        <f t="shared" si="57"/>
        <v>41.000000000058208</v>
      </c>
      <c r="BX130" s="136">
        <f t="shared" ref="BX130:BX162" si="70">(BM130-BK130)*24</f>
        <v>27.000001388776582</v>
      </c>
      <c r="BY130" s="135">
        <f t="shared" si="58"/>
        <v>9.4166666666278616</v>
      </c>
      <c r="BZ130" s="135">
        <f t="shared" si="59"/>
        <v>6.8333333334303461</v>
      </c>
      <c r="CA130" s="134">
        <f t="shared" si="60"/>
        <v>6.1909722800919553</v>
      </c>
      <c r="CB130" s="134">
        <f t="shared" si="61"/>
        <v>13.965277777781012</v>
      </c>
      <c r="CC130" s="133">
        <f t="shared" si="62"/>
        <v>0.4433117893252288</v>
      </c>
    </row>
    <row r="131" spans="1:83" s="126" customFormat="1">
      <c r="A131" s="192">
        <f t="shared" si="65"/>
        <v>45171.8</v>
      </c>
      <c r="B131" s="126" t="s">
        <v>228</v>
      </c>
      <c r="C131" s="126" t="s">
        <v>229</v>
      </c>
      <c r="D131" s="126" t="s">
        <v>215</v>
      </c>
      <c r="E131" s="65" t="s">
        <v>2746</v>
      </c>
      <c r="G131" s="316">
        <v>45165.458333333336</v>
      </c>
      <c r="H131" s="316">
        <v>45165.444444444445</v>
      </c>
      <c r="I131" s="126" t="s">
        <v>490</v>
      </c>
      <c r="J131" s="126" t="s">
        <v>192</v>
      </c>
      <c r="K131" s="126" t="s">
        <v>192</v>
      </c>
      <c r="L131" s="126" t="s">
        <v>2455</v>
      </c>
      <c r="M131" s="167"/>
      <c r="N131" s="126" t="s">
        <v>422</v>
      </c>
      <c r="O131" s="126" t="s">
        <v>375</v>
      </c>
      <c r="P131" s="126" t="s">
        <v>494</v>
      </c>
      <c r="Q131" s="181">
        <f>3097*2.4</f>
        <v>7432.7999999999993</v>
      </c>
      <c r="R131" s="181">
        <f>7450+100</f>
        <v>7550</v>
      </c>
      <c r="S131" s="181">
        <f>7453.302-3376.415</f>
        <v>4076.8869999999997</v>
      </c>
      <c r="T131" s="181"/>
      <c r="U131" s="181">
        <f t="shared" si="68"/>
        <v>4076.8869999999997</v>
      </c>
      <c r="AY131" s="165">
        <f t="shared" si="52"/>
        <v>45160.434027777781</v>
      </c>
      <c r="AZ131" s="165">
        <f t="shared" si="53"/>
        <v>45176.479166666664</v>
      </c>
      <c r="BA131" s="137">
        <f t="shared" si="54"/>
        <v>16.04513888888323</v>
      </c>
      <c r="BB131" s="165">
        <v>45160.434027777781</v>
      </c>
      <c r="BC131" s="165">
        <v>45164.819444444445</v>
      </c>
      <c r="BD131" s="165">
        <v>45166.541666666664</v>
      </c>
      <c r="BE131" s="165">
        <v>45171.8</v>
      </c>
      <c r="BF131" s="165">
        <v>45171.982638888891</v>
      </c>
      <c r="BG131" s="165">
        <v>45171.986111111109</v>
      </c>
      <c r="BH131" s="165">
        <v>45171.989583333336</v>
      </c>
      <c r="BI131" s="165">
        <f t="shared" si="69"/>
        <v>45173.697916666672</v>
      </c>
      <c r="BJ131" s="210">
        <v>45174.25</v>
      </c>
      <c r="BK131" s="210">
        <v>45174.416666608799</v>
      </c>
      <c r="BL131" s="210">
        <v>45174.34375</v>
      </c>
      <c r="BM131" s="165">
        <v>45175.798611111109</v>
      </c>
      <c r="BN131" s="165">
        <v>45176.263888888891</v>
      </c>
      <c r="BO131" s="165">
        <v>45176.430555555555</v>
      </c>
      <c r="BP131" s="165">
        <v>45176.479166666664</v>
      </c>
      <c r="BQ131" s="165">
        <v>45176.479166666664</v>
      </c>
      <c r="BR131" s="165">
        <v>45176.479166666664</v>
      </c>
      <c r="BU131" s="136">
        <f t="shared" si="55"/>
        <v>41.333333333255723</v>
      </c>
      <c r="BV131" s="136">
        <f t="shared" si="56"/>
        <v>4.3833333333022892</v>
      </c>
      <c r="BW131" s="136">
        <f t="shared" si="57"/>
        <v>41.000000000058208</v>
      </c>
      <c r="BX131" s="136">
        <f t="shared" si="70"/>
        <v>33.166668055462651</v>
      </c>
      <c r="BY131" s="135">
        <f t="shared" si="58"/>
        <v>3.9999999999417923</v>
      </c>
      <c r="BZ131" s="135">
        <f t="shared" si="59"/>
        <v>0</v>
      </c>
      <c r="CA131" s="134">
        <f t="shared" si="60"/>
        <v>5.1618056134175276</v>
      </c>
      <c r="CB131" s="134">
        <f t="shared" si="61"/>
        <v>16.04513888888323</v>
      </c>
      <c r="CC131" s="133">
        <f t="shared" si="62"/>
        <v>0.32170526220834716</v>
      </c>
    </row>
    <row r="132" spans="1:83" s="126" customFormat="1">
      <c r="A132" s="474">
        <f t="shared" si="65"/>
        <v>45171.8</v>
      </c>
      <c r="B132" s="475" t="s">
        <v>228</v>
      </c>
      <c r="C132" s="475" t="s">
        <v>229</v>
      </c>
      <c r="D132" s="475" t="s">
        <v>215</v>
      </c>
      <c r="E132" s="476" t="s">
        <v>2500</v>
      </c>
      <c r="F132" s="475"/>
      <c r="G132" s="472">
        <v>45173.5</v>
      </c>
      <c r="H132" s="472">
        <v>45173.447916666664</v>
      </c>
      <c r="I132" s="475" t="s">
        <v>490</v>
      </c>
      <c r="J132" s="475" t="s">
        <v>192</v>
      </c>
      <c r="K132" s="475" t="s">
        <v>192</v>
      </c>
      <c r="L132" s="475" t="s">
        <v>2455</v>
      </c>
      <c r="M132" s="167"/>
      <c r="N132" s="475" t="s">
        <v>422</v>
      </c>
      <c r="O132" s="475" t="s">
        <v>375</v>
      </c>
      <c r="P132" s="475" t="s">
        <v>494</v>
      </c>
      <c r="Q132" s="477">
        <f>3097*2.4</f>
        <v>7432.7999999999993</v>
      </c>
      <c r="R132" s="477">
        <f>7450+100</f>
        <v>7550</v>
      </c>
      <c r="S132" s="477">
        <v>2232.7289999999998</v>
      </c>
      <c r="T132" s="477"/>
      <c r="U132" s="477">
        <f t="shared" si="68"/>
        <v>2232.7289999999998</v>
      </c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3">
        <f t="shared" ref="AY132:AY162" si="71">BB132</f>
        <v>45160.434027777781</v>
      </c>
      <c r="AZ132" s="473">
        <f t="shared" ref="AZ132:AZ162" si="72">BR132</f>
        <v>45183.493055555555</v>
      </c>
      <c r="BA132" s="479">
        <f t="shared" ref="BA132:BA162" si="73">AZ132-AY132</f>
        <v>23.059027777773736</v>
      </c>
      <c r="BB132" s="473">
        <v>45160.434027777781</v>
      </c>
      <c r="BC132" s="473">
        <v>45164.819444444445</v>
      </c>
      <c r="BD132" s="473">
        <v>45166.541666666664</v>
      </c>
      <c r="BE132" s="473">
        <v>45171.8</v>
      </c>
      <c r="BF132" s="473">
        <v>45171.982638888891</v>
      </c>
      <c r="BG132" s="473">
        <v>45171.986111111109</v>
      </c>
      <c r="BH132" s="473">
        <v>45171.989583333336</v>
      </c>
      <c r="BI132" s="473">
        <f t="shared" si="69"/>
        <v>45173.697916666672</v>
      </c>
      <c r="BJ132" s="480">
        <v>45174.25</v>
      </c>
      <c r="BK132" s="480">
        <v>45174.416666608799</v>
      </c>
      <c r="BL132" s="480">
        <v>45174.34375</v>
      </c>
      <c r="BM132" s="473">
        <v>45176.479166666664</v>
      </c>
      <c r="BN132" s="473">
        <v>45182.875</v>
      </c>
      <c r="BO132" s="473">
        <v>45182.986111111109</v>
      </c>
      <c r="BP132" s="473">
        <v>45183.013888888891</v>
      </c>
      <c r="BQ132" s="473">
        <v>45183.21875</v>
      </c>
      <c r="BR132" s="473">
        <v>45183.493055555555</v>
      </c>
      <c r="BS132" s="475"/>
      <c r="BT132" s="475"/>
      <c r="BU132" s="481">
        <f t="shared" ref="BU132:BU162" si="74">(BD132-BC132)*24</f>
        <v>41.333333333255723</v>
      </c>
      <c r="BV132" s="481">
        <f t="shared" ref="BV132:BV162" si="75">(BF132-BE132)*24</f>
        <v>4.3833333333022892</v>
      </c>
      <c r="BW132" s="481">
        <f t="shared" ref="BW132:BW162" si="76">(BI132-BH132)*24</f>
        <v>41.000000000058208</v>
      </c>
      <c r="BX132" s="481">
        <f t="shared" si="70"/>
        <v>49.500001388776582</v>
      </c>
      <c r="BY132" s="482">
        <f t="shared" ref="BY132:BY162" si="77">(BO132-BN132)*24</f>
        <v>2.6666666666278616</v>
      </c>
      <c r="BZ132" s="482">
        <f t="shared" ref="BZ132:BZ162" si="78">(BR132-BQ132)*24</f>
        <v>6.5833333333139308</v>
      </c>
      <c r="CA132" s="483">
        <f t="shared" ref="CA132:CA162" si="79">SUM(BU132:BZ132)/24</f>
        <v>6.0611111689722748</v>
      </c>
      <c r="CB132" s="483">
        <f t="shared" ref="CB132:CB162" si="80">BA132</f>
        <v>23.059027777773736</v>
      </c>
      <c r="CC132" s="484">
        <f t="shared" ref="CC132:CC162" si="81">CA132/CB132</f>
        <v>0.26285198263278436</v>
      </c>
      <c r="CD132" s="475"/>
      <c r="CE132" s="475"/>
    </row>
    <row r="133" spans="1:83" s="126" customFormat="1">
      <c r="A133" s="192">
        <f t="shared" si="65"/>
        <v>45175.486111111109</v>
      </c>
      <c r="B133" s="126" t="s">
        <v>228</v>
      </c>
      <c r="C133" s="126" t="s">
        <v>229</v>
      </c>
      <c r="D133" s="126" t="s">
        <v>215</v>
      </c>
      <c r="E133" s="65" t="s">
        <v>2487</v>
      </c>
      <c r="G133" s="316">
        <v>45167.625</v>
      </c>
      <c r="H133" s="316">
        <v>45167.583333333336</v>
      </c>
      <c r="I133" s="126" t="s">
        <v>497</v>
      </c>
      <c r="J133" s="126" t="s">
        <v>192</v>
      </c>
      <c r="K133" s="126" t="s">
        <v>192</v>
      </c>
      <c r="L133" s="126" t="s">
        <v>2491</v>
      </c>
      <c r="M133" s="167"/>
      <c r="N133" s="126" t="s">
        <v>343</v>
      </c>
      <c r="O133" s="126" t="s">
        <v>344</v>
      </c>
      <c r="P133" s="126" t="s">
        <v>494</v>
      </c>
      <c r="Q133" s="181">
        <f>3136*2.4</f>
        <v>7526.4</v>
      </c>
      <c r="R133" s="181">
        <f>7550+100</f>
        <v>7650</v>
      </c>
      <c r="S133" s="181">
        <v>7416.4269999999997</v>
      </c>
      <c r="T133" s="181"/>
      <c r="U133" s="181">
        <f t="shared" si="68"/>
        <v>7416.4269999999997</v>
      </c>
      <c r="V133" s="172"/>
      <c r="AY133" s="165">
        <f t="shared" si="71"/>
        <v>45166.3125</v>
      </c>
      <c r="AZ133" s="165">
        <f t="shared" si="72"/>
        <v>45182.5</v>
      </c>
      <c r="BA133" s="137">
        <f t="shared" si="73"/>
        <v>16.1875</v>
      </c>
      <c r="BB133" s="165">
        <v>45166.3125</v>
      </c>
      <c r="BC133" s="165">
        <v>45169.625</v>
      </c>
      <c r="BD133" s="165">
        <v>45171.083333333336</v>
      </c>
      <c r="BE133" s="165">
        <v>45175.486111111109</v>
      </c>
      <c r="BF133" s="165">
        <v>45175.708333333336</v>
      </c>
      <c r="BG133" s="165">
        <v>45175.711805555555</v>
      </c>
      <c r="BH133" s="165">
        <v>45175.711805555555</v>
      </c>
      <c r="BI133" s="165">
        <f t="shared" si="69"/>
        <v>45177.420138888891</v>
      </c>
      <c r="BJ133" s="165">
        <v>45178.229166608799</v>
      </c>
      <c r="BK133" s="165">
        <v>45178.395833333336</v>
      </c>
      <c r="BL133" s="165">
        <v>45178.302083333336</v>
      </c>
      <c r="BM133" s="165">
        <v>45179.8125</v>
      </c>
      <c r="BN133" s="165">
        <v>45181.506944444445</v>
      </c>
      <c r="BO133" s="165">
        <v>45181.826388888891</v>
      </c>
      <c r="BP133" s="165">
        <v>45181.84375</v>
      </c>
      <c r="BQ133" s="165">
        <v>45181.996527777781</v>
      </c>
      <c r="BR133" s="165">
        <v>45182.5</v>
      </c>
      <c r="BU133" s="136">
        <f t="shared" si="74"/>
        <v>35.000000000058208</v>
      </c>
      <c r="BV133" s="136">
        <f t="shared" si="75"/>
        <v>5.3333333334303461</v>
      </c>
      <c r="BW133" s="136">
        <f t="shared" si="76"/>
        <v>41.000000000058208</v>
      </c>
      <c r="BX133" s="136">
        <f t="shared" si="70"/>
        <v>33.999999999941792</v>
      </c>
      <c r="BY133" s="135">
        <f t="shared" si="77"/>
        <v>7.6666666666860692</v>
      </c>
      <c r="BZ133" s="135">
        <f t="shared" si="78"/>
        <v>12.083333333255723</v>
      </c>
      <c r="CA133" s="134">
        <f t="shared" si="79"/>
        <v>5.6284722222262644</v>
      </c>
      <c r="CB133" s="134">
        <f t="shared" si="80"/>
        <v>16.1875</v>
      </c>
      <c r="CC133" s="133">
        <f t="shared" si="81"/>
        <v>0.34770484770509741</v>
      </c>
    </row>
    <row r="134" spans="1:83" s="126" customFormat="1">
      <c r="A134" s="192">
        <f t="shared" si="65"/>
        <v>45175.736111111109</v>
      </c>
      <c r="B134" s="126" t="s">
        <v>228</v>
      </c>
      <c r="C134" s="126" t="s">
        <v>229</v>
      </c>
      <c r="D134" s="126" t="s">
        <v>197</v>
      </c>
      <c r="E134" s="65" t="s">
        <v>2487</v>
      </c>
      <c r="G134" s="316">
        <v>45167.625</v>
      </c>
      <c r="H134" s="316">
        <v>45167.583333333336</v>
      </c>
      <c r="I134" s="126" t="s">
        <v>497</v>
      </c>
      <c r="J134" s="126" t="s">
        <v>192</v>
      </c>
      <c r="K134" s="126" t="s">
        <v>192</v>
      </c>
      <c r="L134" s="126" t="s">
        <v>2490</v>
      </c>
      <c r="M134" s="167"/>
      <c r="N134" s="126" t="s">
        <v>429</v>
      </c>
      <c r="O134" s="126" t="s">
        <v>430</v>
      </c>
      <c r="P134" s="126" t="s">
        <v>494</v>
      </c>
      <c r="Q134" s="181">
        <f>3145 *2.4</f>
        <v>7548</v>
      </c>
      <c r="R134" s="181">
        <f>7550+100</f>
        <v>7650</v>
      </c>
      <c r="S134" s="181">
        <v>7569.7259999999997</v>
      </c>
      <c r="T134" s="181"/>
      <c r="U134" s="181">
        <f t="shared" si="68"/>
        <v>7569.7259999999997</v>
      </c>
      <c r="V134" s="172"/>
      <c r="AY134" s="165">
        <f t="shared" si="71"/>
        <v>45166.694444444445</v>
      </c>
      <c r="AZ134" s="165">
        <f t="shared" si="72"/>
        <v>45182.625</v>
      </c>
      <c r="BA134" s="137">
        <f t="shared" si="73"/>
        <v>15.930555555554747</v>
      </c>
      <c r="BB134" s="165">
        <v>45166.694444444445</v>
      </c>
      <c r="BC134" s="165">
        <v>45169.545138888891</v>
      </c>
      <c r="BD134" s="165">
        <v>45171.166666666664</v>
      </c>
      <c r="BE134" s="165">
        <v>45175.736111111109</v>
      </c>
      <c r="BF134" s="165">
        <v>45175.930555555555</v>
      </c>
      <c r="BG134" s="165">
        <v>45175.934027777781</v>
      </c>
      <c r="BH134" s="165">
        <v>45176.236111111109</v>
      </c>
      <c r="BI134" s="165">
        <f t="shared" si="69"/>
        <v>45177.944444444445</v>
      </c>
      <c r="BJ134" s="210">
        <v>45178.229166608799</v>
      </c>
      <c r="BK134" s="210">
        <v>45178.395833333336</v>
      </c>
      <c r="BL134" s="165">
        <v>45178.305555555555</v>
      </c>
      <c r="BM134" s="165">
        <v>45179.791666666664</v>
      </c>
      <c r="BN134" s="165">
        <v>45181.069444444445</v>
      </c>
      <c r="BO134" s="165">
        <v>45181.871527777781</v>
      </c>
      <c r="BP134" s="165">
        <v>45181.902777777781</v>
      </c>
      <c r="BQ134" s="165">
        <v>45181.90625</v>
      </c>
      <c r="BR134" s="165">
        <v>45182.625</v>
      </c>
      <c r="BU134" s="136">
        <f t="shared" si="74"/>
        <v>38.916666666569654</v>
      </c>
      <c r="BV134" s="136">
        <f t="shared" si="75"/>
        <v>4.6666666666860692</v>
      </c>
      <c r="BW134" s="136">
        <f t="shared" si="76"/>
        <v>41.000000000058208</v>
      </c>
      <c r="BX134" s="136">
        <f t="shared" si="70"/>
        <v>33.499999999883585</v>
      </c>
      <c r="BY134" s="135">
        <f t="shared" si="77"/>
        <v>19.250000000058208</v>
      </c>
      <c r="BZ134" s="135">
        <f t="shared" si="78"/>
        <v>17.25</v>
      </c>
      <c r="CA134" s="134">
        <f t="shared" si="79"/>
        <v>6.4409722222189885</v>
      </c>
      <c r="CB134" s="134">
        <f t="shared" si="80"/>
        <v>15.930555555554747</v>
      </c>
      <c r="CC134" s="133">
        <f t="shared" si="81"/>
        <v>0.40431560592832666</v>
      </c>
    </row>
    <row r="135" spans="1:83" s="126" customFormat="1">
      <c r="A135" s="192">
        <f t="shared" si="65"/>
        <v>45176.326388888891</v>
      </c>
      <c r="B135" s="126" t="s">
        <v>228</v>
      </c>
      <c r="C135" s="126" t="s">
        <v>229</v>
      </c>
      <c r="D135" s="126" t="s">
        <v>197</v>
      </c>
      <c r="E135" s="65" t="s">
        <v>2487</v>
      </c>
      <c r="G135" s="316">
        <v>45167.625</v>
      </c>
      <c r="H135" s="316">
        <v>45167.583333333336</v>
      </c>
      <c r="I135" s="126" t="s">
        <v>497</v>
      </c>
      <c r="J135" s="126" t="s">
        <v>192</v>
      </c>
      <c r="K135" s="126" t="s">
        <v>192</v>
      </c>
      <c r="L135" s="126" t="s">
        <v>2492</v>
      </c>
      <c r="M135" s="167"/>
      <c r="N135" s="126" t="s">
        <v>295</v>
      </c>
      <c r="O135" s="126" t="s">
        <v>296</v>
      </c>
      <c r="P135" s="126" t="s">
        <v>494</v>
      </c>
      <c r="Q135" s="181">
        <f>4118*2.4</f>
        <v>9883.1999999999989</v>
      </c>
      <c r="R135" s="181">
        <f>9900+100</f>
        <v>10000</v>
      </c>
      <c r="S135" s="181">
        <v>8214.6720000000005</v>
      </c>
      <c r="T135" s="181"/>
      <c r="U135" s="181">
        <f t="shared" si="68"/>
        <v>8214.6720000000005</v>
      </c>
      <c r="AY135" s="165">
        <f t="shared" si="71"/>
        <v>45168.350694444445</v>
      </c>
      <c r="AZ135" s="165">
        <f t="shared" si="72"/>
        <v>45183.201388888891</v>
      </c>
      <c r="BA135" s="137">
        <f t="shared" si="73"/>
        <v>14.850694444445253</v>
      </c>
      <c r="BB135" s="165">
        <v>45168.350694444445</v>
      </c>
      <c r="BC135" s="165">
        <v>45170.756944444445</v>
      </c>
      <c r="BD135" s="165">
        <v>45172.166666666664</v>
      </c>
      <c r="BE135" s="165">
        <v>45176.326388888891</v>
      </c>
      <c r="BF135" s="165">
        <v>45176.538194444445</v>
      </c>
      <c r="BG135" s="165">
        <v>45176.541666666664</v>
      </c>
      <c r="BH135" s="165">
        <v>45176.541666666664</v>
      </c>
      <c r="BI135" s="165">
        <f t="shared" si="69"/>
        <v>45178.25</v>
      </c>
      <c r="BJ135" s="210">
        <v>45178.229166608799</v>
      </c>
      <c r="BK135" s="210">
        <v>45178.395833333336</v>
      </c>
      <c r="BL135" s="165">
        <v>45178.270833333336</v>
      </c>
      <c r="BM135" s="165">
        <v>45179.5625</v>
      </c>
      <c r="BN135" s="165">
        <v>45182.170138888891</v>
      </c>
      <c r="BO135" s="165">
        <v>45182.569444444445</v>
      </c>
      <c r="BP135" s="165">
        <v>45182.579861111109</v>
      </c>
      <c r="BQ135" s="165">
        <v>45182.770833333336</v>
      </c>
      <c r="BR135" s="165">
        <v>45183.201388888891</v>
      </c>
      <c r="BU135" s="136">
        <f t="shared" si="74"/>
        <v>33.833333333255723</v>
      </c>
      <c r="BV135" s="136">
        <f t="shared" si="75"/>
        <v>5.0833333333139308</v>
      </c>
      <c r="BW135" s="136">
        <f t="shared" si="76"/>
        <v>41.000000000058208</v>
      </c>
      <c r="BX135" s="136">
        <f t="shared" si="70"/>
        <v>27.999999999941792</v>
      </c>
      <c r="BY135" s="135">
        <f t="shared" si="77"/>
        <v>9.5833333333139308</v>
      </c>
      <c r="BZ135" s="135">
        <f t="shared" si="78"/>
        <v>10.333333333313931</v>
      </c>
      <c r="CA135" s="134">
        <f t="shared" si="79"/>
        <v>5.3263888888832298</v>
      </c>
      <c r="CB135" s="134">
        <f t="shared" si="80"/>
        <v>14.850694444445253</v>
      </c>
      <c r="CC135" s="133">
        <f t="shared" si="81"/>
        <v>0.35866261398136234</v>
      </c>
    </row>
    <row r="136" spans="1:83" s="126" customFormat="1">
      <c r="A136" s="474">
        <f t="shared" si="65"/>
        <v>45176.565972222219</v>
      </c>
      <c r="B136" s="475" t="s">
        <v>228</v>
      </c>
      <c r="C136" s="475" t="s">
        <v>229</v>
      </c>
      <c r="D136" s="475" t="s">
        <v>197</v>
      </c>
      <c r="E136" s="476" t="s">
        <v>2487</v>
      </c>
      <c r="F136" s="475"/>
      <c r="G136" s="472">
        <v>45167.625</v>
      </c>
      <c r="H136" s="472">
        <v>45167.583333333336</v>
      </c>
      <c r="I136" s="475" t="s">
        <v>497</v>
      </c>
      <c r="J136" s="475" t="s">
        <v>192</v>
      </c>
      <c r="K136" s="475" t="s">
        <v>192</v>
      </c>
      <c r="L136" s="475" t="s">
        <v>2496</v>
      </c>
      <c r="M136" s="530"/>
      <c r="N136" s="475" t="s">
        <v>208</v>
      </c>
      <c r="O136" s="475" t="s">
        <v>328</v>
      </c>
      <c r="P136" s="475" t="s">
        <v>494</v>
      </c>
      <c r="Q136" s="477">
        <f>3128*2.4</f>
        <v>7507.2</v>
      </c>
      <c r="R136" s="477">
        <f>7550+100</f>
        <v>7650</v>
      </c>
      <c r="S136" s="477">
        <v>7256.7489999999998</v>
      </c>
      <c r="T136" s="477"/>
      <c r="U136" s="477">
        <f t="shared" si="68"/>
        <v>7256.7489999999998</v>
      </c>
      <c r="V136" s="475"/>
      <c r="W136" s="475"/>
      <c r="X136" s="475"/>
      <c r="Y136" s="475"/>
      <c r="Z136" s="475"/>
      <c r="AA136" s="475"/>
      <c r="AB136" s="475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  <c r="AW136" s="475"/>
      <c r="AX136" s="475"/>
      <c r="AY136" s="473">
        <f t="shared" si="71"/>
        <v>45168.25</v>
      </c>
      <c r="AZ136" s="473">
        <f t="shared" si="72"/>
        <v>45184.3125</v>
      </c>
      <c r="BA136" s="479">
        <f t="shared" si="73"/>
        <v>16.0625</v>
      </c>
      <c r="BB136" s="473">
        <v>45168.25</v>
      </c>
      <c r="BC136" s="473">
        <v>45170.798611111109</v>
      </c>
      <c r="BD136" s="473">
        <v>45172.173611111109</v>
      </c>
      <c r="BE136" s="473">
        <v>45176.565972222219</v>
      </c>
      <c r="BF136" s="473">
        <v>45176.743055555555</v>
      </c>
      <c r="BG136" s="473">
        <v>45176.746527777781</v>
      </c>
      <c r="BH136" s="473">
        <v>45176.746527777781</v>
      </c>
      <c r="BI136" s="473">
        <f t="shared" si="69"/>
        <v>45178.454861111117</v>
      </c>
      <c r="BJ136" s="485">
        <v>45179.229166608799</v>
      </c>
      <c r="BK136" s="485">
        <v>45179.395833333336</v>
      </c>
      <c r="BL136" s="473">
        <v>45179.274305555555</v>
      </c>
      <c r="BM136" s="473">
        <v>45180.524305555555</v>
      </c>
      <c r="BN136" s="473">
        <v>45183.059027777781</v>
      </c>
      <c r="BO136" s="473">
        <v>45183.340277777781</v>
      </c>
      <c r="BP136" s="473">
        <v>45183.354166666664</v>
      </c>
      <c r="BQ136" s="473">
        <v>45183.774305555555</v>
      </c>
      <c r="BR136" s="473">
        <v>45184.3125</v>
      </c>
      <c r="BS136" s="475"/>
      <c r="BT136" s="475"/>
      <c r="BU136" s="481">
        <f t="shared" si="74"/>
        <v>33</v>
      </c>
      <c r="BV136" s="481">
        <f t="shared" si="75"/>
        <v>4.2500000000582077</v>
      </c>
      <c r="BW136" s="481">
        <f t="shared" si="76"/>
        <v>41.000000000058208</v>
      </c>
      <c r="BX136" s="481">
        <f t="shared" si="70"/>
        <v>27.083333333255723</v>
      </c>
      <c r="BY136" s="482">
        <f t="shared" si="77"/>
        <v>6.75</v>
      </c>
      <c r="BZ136" s="482">
        <f t="shared" si="78"/>
        <v>12.916666666686069</v>
      </c>
      <c r="CA136" s="483">
        <f t="shared" si="79"/>
        <v>5.2083333333357587</v>
      </c>
      <c r="CB136" s="483">
        <f t="shared" si="80"/>
        <v>16.0625</v>
      </c>
      <c r="CC136" s="484">
        <f t="shared" si="81"/>
        <v>0.32425421530494997</v>
      </c>
      <c r="CD136" s="475"/>
      <c r="CE136" s="475"/>
    </row>
    <row r="137" spans="1:83" s="126" customFormat="1">
      <c r="A137" s="474">
        <f t="shared" si="65"/>
        <v>45177.055555555555</v>
      </c>
      <c r="B137" s="475" t="s">
        <v>228</v>
      </c>
      <c r="C137" s="475" t="s">
        <v>229</v>
      </c>
      <c r="D137" s="475" t="s">
        <v>215</v>
      </c>
      <c r="E137" s="476" t="s">
        <v>2487</v>
      </c>
      <c r="F137" s="475"/>
      <c r="G137" s="472">
        <v>45167.625</v>
      </c>
      <c r="H137" s="472">
        <v>45167.583333333336</v>
      </c>
      <c r="I137" s="475" t="s">
        <v>497</v>
      </c>
      <c r="J137" s="475" t="s">
        <v>192</v>
      </c>
      <c r="K137" s="475" t="s">
        <v>192</v>
      </c>
      <c r="L137" s="475" t="s">
        <v>2499</v>
      </c>
      <c r="M137" s="530"/>
      <c r="N137" s="475" t="s">
        <v>271</v>
      </c>
      <c r="O137" s="475" t="s">
        <v>272</v>
      </c>
      <c r="P137" s="475" t="s">
        <v>494</v>
      </c>
      <c r="Q137" s="477">
        <f>3852*2.4</f>
        <v>9244.7999999999993</v>
      </c>
      <c r="R137" s="477">
        <f>9250+100</f>
        <v>9350</v>
      </c>
      <c r="S137" s="477">
        <v>8401.9159999999993</v>
      </c>
      <c r="T137" s="477"/>
      <c r="U137" s="477">
        <f t="shared" si="68"/>
        <v>8401.9159999999993</v>
      </c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  <c r="AW137" s="475"/>
      <c r="AX137" s="475"/>
      <c r="AY137" s="473">
        <f t="shared" si="71"/>
        <v>45170.111111111109</v>
      </c>
      <c r="AZ137" s="473">
        <f t="shared" si="72"/>
        <v>45184.625</v>
      </c>
      <c r="BA137" s="479">
        <f t="shared" si="73"/>
        <v>14.513888888890506</v>
      </c>
      <c r="BB137" s="473">
        <v>45170.111111111109</v>
      </c>
      <c r="BC137" s="473">
        <v>45173.489583333336</v>
      </c>
      <c r="BD137" s="473">
        <v>45175.354166666664</v>
      </c>
      <c r="BE137" s="473">
        <v>45177.055555555555</v>
      </c>
      <c r="BF137" s="473">
        <v>45177.260416666664</v>
      </c>
      <c r="BG137" s="473">
        <v>45177.267361111109</v>
      </c>
      <c r="BH137" s="473">
        <v>45177.267361111109</v>
      </c>
      <c r="BI137" s="473">
        <f t="shared" si="69"/>
        <v>45178.975694444445</v>
      </c>
      <c r="BJ137" s="485">
        <v>45179.229166608799</v>
      </c>
      <c r="BK137" s="485">
        <v>45179.395833333336</v>
      </c>
      <c r="BL137" s="473">
        <v>45179.288194444445</v>
      </c>
      <c r="BM137" s="473">
        <v>45180.534722222219</v>
      </c>
      <c r="BN137" s="473">
        <v>45183.809027777781</v>
      </c>
      <c r="BO137" s="473">
        <v>45184.100694444445</v>
      </c>
      <c r="BP137" s="473">
        <v>45184.121527777781</v>
      </c>
      <c r="BQ137" s="473">
        <v>45184.125</v>
      </c>
      <c r="BR137" s="473">
        <v>45184.625</v>
      </c>
      <c r="BS137" s="475"/>
      <c r="BT137" s="475"/>
      <c r="BU137" s="481">
        <f t="shared" si="74"/>
        <v>44.749999999883585</v>
      </c>
      <c r="BV137" s="481">
        <f t="shared" si="75"/>
        <v>4.9166666666278616</v>
      </c>
      <c r="BW137" s="481">
        <f t="shared" si="76"/>
        <v>41.000000000058208</v>
      </c>
      <c r="BX137" s="481">
        <f t="shared" si="70"/>
        <v>27.333333333197515</v>
      </c>
      <c r="BY137" s="482">
        <f t="shared" si="77"/>
        <v>6.9999999999417923</v>
      </c>
      <c r="BZ137" s="482">
        <f t="shared" si="78"/>
        <v>12</v>
      </c>
      <c r="CA137" s="483">
        <f t="shared" si="79"/>
        <v>5.7083333333212067</v>
      </c>
      <c r="CB137" s="483">
        <f t="shared" si="80"/>
        <v>14.513888888890506</v>
      </c>
      <c r="CC137" s="484">
        <f t="shared" si="81"/>
        <v>0.39330143540581924</v>
      </c>
      <c r="CD137" s="475"/>
      <c r="CE137" s="475"/>
    </row>
    <row r="138" spans="1:83" s="126" customFormat="1">
      <c r="A138" s="474">
        <f t="shared" si="65"/>
        <v>45177.71875</v>
      </c>
      <c r="B138" s="475" t="s">
        <v>228</v>
      </c>
      <c r="C138" s="475" t="s">
        <v>229</v>
      </c>
      <c r="D138" s="475" t="s">
        <v>197</v>
      </c>
      <c r="E138" s="476" t="s">
        <v>2500</v>
      </c>
      <c r="F138" s="475"/>
      <c r="G138" s="472">
        <v>45173.5</v>
      </c>
      <c r="H138" s="472">
        <v>45173.447916666664</v>
      </c>
      <c r="I138" s="475" t="s">
        <v>490</v>
      </c>
      <c r="J138" s="475" t="s">
        <v>192</v>
      </c>
      <c r="K138" s="475" t="s">
        <v>192</v>
      </c>
      <c r="L138" s="475" t="s">
        <v>2505</v>
      </c>
      <c r="M138" s="530"/>
      <c r="N138" s="475" t="s">
        <v>323</v>
      </c>
      <c r="O138" s="475" t="s">
        <v>324</v>
      </c>
      <c r="P138" s="475" t="s">
        <v>835</v>
      </c>
      <c r="Q138" s="477">
        <f>3095*2.4</f>
        <v>7428</v>
      </c>
      <c r="R138" s="477">
        <f>7450+100</f>
        <v>7550</v>
      </c>
      <c r="S138" s="477">
        <v>7439.1130000000003</v>
      </c>
      <c r="T138" s="477"/>
      <c r="U138" s="475"/>
      <c r="V138" s="477">
        <f>S138</f>
        <v>7439.1130000000003</v>
      </c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  <c r="AW138" s="475"/>
      <c r="AX138" s="475"/>
      <c r="AY138" s="473">
        <f t="shared" si="71"/>
        <v>45168.072222222225</v>
      </c>
      <c r="AZ138" s="473">
        <f t="shared" si="72"/>
        <v>45184.334722222222</v>
      </c>
      <c r="BA138" s="479">
        <f t="shared" si="73"/>
        <v>16.26249999999709</v>
      </c>
      <c r="BB138" s="473">
        <v>45168.072222222225</v>
      </c>
      <c r="BC138" s="473">
        <v>45171.484722222223</v>
      </c>
      <c r="BD138" s="473">
        <v>45173.229166666664</v>
      </c>
      <c r="BE138" s="473">
        <v>45177.71875</v>
      </c>
      <c r="BF138" s="473">
        <v>45177.899305555555</v>
      </c>
      <c r="BG138" s="473">
        <v>45177.902777777781</v>
      </c>
      <c r="BH138" s="473">
        <v>45178.25</v>
      </c>
      <c r="BI138" s="473">
        <f t="shared" si="69"/>
        <v>45179.958333333336</v>
      </c>
      <c r="BJ138" s="485">
        <v>45180.229166608799</v>
      </c>
      <c r="BK138" s="485">
        <v>45180.395833333336</v>
      </c>
      <c r="BL138" s="473">
        <v>45180.286111111112</v>
      </c>
      <c r="BM138" s="473">
        <v>45181.916666666664</v>
      </c>
      <c r="BN138" s="473">
        <v>45183.569444444445</v>
      </c>
      <c r="BO138" s="473">
        <v>45183.791666666664</v>
      </c>
      <c r="BP138" s="473">
        <v>45183.819444444445</v>
      </c>
      <c r="BQ138" s="473">
        <v>45184.138888888891</v>
      </c>
      <c r="BR138" s="473">
        <v>45184.334722222222</v>
      </c>
      <c r="BS138" s="475"/>
      <c r="BT138" s="475"/>
      <c r="BU138" s="481">
        <f t="shared" si="74"/>
        <v>41.866666666581295</v>
      </c>
      <c r="BV138" s="481">
        <f t="shared" si="75"/>
        <v>4.3333333333139308</v>
      </c>
      <c r="BW138" s="481">
        <f t="shared" si="76"/>
        <v>41.000000000058208</v>
      </c>
      <c r="BX138" s="481">
        <f t="shared" si="70"/>
        <v>36.499999999883585</v>
      </c>
      <c r="BY138" s="482">
        <f t="shared" si="77"/>
        <v>5.3333333332557231</v>
      </c>
      <c r="BZ138" s="482">
        <f t="shared" si="78"/>
        <v>4.6999999999534339</v>
      </c>
      <c r="CA138" s="483">
        <f t="shared" si="79"/>
        <v>5.5722222222102573</v>
      </c>
      <c r="CB138" s="483">
        <f t="shared" si="80"/>
        <v>16.26249999999709</v>
      </c>
      <c r="CC138" s="484">
        <f t="shared" si="81"/>
        <v>0.34264241181929311</v>
      </c>
      <c r="CD138" s="475"/>
      <c r="CE138" s="475"/>
    </row>
    <row r="139" spans="1:83" s="126" customFormat="1">
      <c r="A139" s="474">
        <f t="shared" si="65"/>
        <v>45177.921527777777</v>
      </c>
      <c r="B139" s="475" t="s">
        <v>228</v>
      </c>
      <c r="C139" s="475" t="s">
        <v>229</v>
      </c>
      <c r="D139" s="475" t="s">
        <v>197</v>
      </c>
      <c r="E139" s="476" t="s">
        <v>2500</v>
      </c>
      <c r="F139" s="475"/>
      <c r="G139" s="472">
        <v>45173.5</v>
      </c>
      <c r="H139" s="472">
        <v>45173.447916666664</v>
      </c>
      <c r="I139" s="475" t="s">
        <v>490</v>
      </c>
      <c r="J139" s="475" t="s">
        <v>192</v>
      </c>
      <c r="K139" s="475" t="s">
        <v>192</v>
      </c>
      <c r="L139" s="475" t="s">
        <v>2504</v>
      </c>
      <c r="M139" s="167"/>
      <c r="N139" s="475" t="s">
        <v>406</v>
      </c>
      <c r="O139" s="475" t="s">
        <v>407</v>
      </c>
      <c r="P139" s="475" t="s">
        <v>835</v>
      </c>
      <c r="Q139" s="477">
        <f>3107*2.4</f>
        <v>7456.7999999999993</v>
      </c>
      <c r="R139" s="477">
        <f>7500+100</f>
        <v>7600</v>
      </c>
      <c r="S139" s="477">
        <v>7327.0370000000003</v>
      </c>
      <c r="T139" s="477"/>
      <c r="U139" s="475"/>
      <c r="V139" s="477">
        <f>S139</f>
        <v>7327.0370000000003</v>
      </c>
      <c r="W139" s="475"/>
      <c r="X139" s="475"/>
      <c r="Y139" s="475"/>
      <c r="Z139" s="475"/>
      <c r="AA139" s="475"/>
      <c r="AB139" s="475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  <c r="AW139" s="475"/>
      <c r="AX139" s="475"/>
      <c r="AY139" s="473">
        <f t="shared" si="71"/>
        <v>45169.225694444445</v>
      </c>
      <c r="AZ139" s="473">
        <f t="shared" si="72"/>
        <v>45183.861111111109</v>
      </c>
      <c r="BA139" s="479">
        <f t="shared" si="73"/>
        <v>14.635416666664241</v>
      </c>
      <c r="BB139" s="473">
        <v>45169.225694444445</v>
      </c>
      <c r="BC139" s="473">
        <v>45173.8125</v>
      </c>
      <c r="BD139" s="473">
        <v>45175.118055555555</v>
      </c>
      <c r="BE139" s="473">
        <v>45177.921527777777</v>
      </c>
      <c r="BF139" s="473">
        <v>45178.072916666664</v>
      </c>
      <c r="BG139" s="473">
        <v>45178.079861111109</v>
      </c>
      <c r="BH139" s="473">
        <v>45178.291666666664</v>
      </c>
      <c r="BI139" s="473">
        <f t="shared" si="69"/>
        <v>45180</v>
      </c>
      <c r="BJ139" s="485">
        <v>45180.229166608799</v>
      </c>
      <c r="BK139" s="485">
        <v>45180.395833333336</v>
      </c>
      <c r="BL139" s="480">
        <v>45180.340277777781</v>
      </c>
      <c r="BM139" s="473">
        <v>45181.378472222219</v>
      </c>
      <c r="BN139" s="473">
        <v>45183.072916666664</v>
      </c>
      <c r="BO139" s="473">
        <v>45183.493055555555</v>
      </c>
      <c r="BP139" s="473">
        <v>45183.527777777781</v>
      </c>
      <c r="BQ139" s="473">
        <v>45183.541666666664</v>
      </c>
      <c r="BR139" s="473">
        <v>45183.861111111109</v>
      </c>
      <c r="BS139" s="475"/>
      <c r="BT139" s="475"/>
      <c r="BU139" s="481">
        <f t="shared" si="74"/>
        <v>31.333333333313931</v>
      </c>
      <c r="BV139" s="481">
        <f t="shared" si="75"/>
        <v>3.6333333333022892</v>
      </c>
      <c r="BW139" s="481">
        <f t="shared" si="76"/>
        <v>41.000000000058208</v>
      </c>
      <c r="BX139" s="481">
        <f t="shared" si="70"/>
        <v>23.583333333197515</v>
      </c>
      <c r="BY139" s="482">
        <f t="shared" si="77"/>
        <v>10.083333333372138</v>
      </c>
      <c r="BZ139" s="482">
        <f t="shared" si="78"/>
        <v>7.6666666666860692</v>
      </c>
      <c r="CA139" s="483">
        <f t="shared" si="79"/>
        <v>4.8874999999970896</v>
      </c>
      <c r="CB139" s="483">
        <f t="shared" si="80"/>
        <v>14.635416666664241</v>
      </c>
      <c r="CC139" s="484">
        <f t="shared" si="81"/>
        <v>0.33395017793579956</v>
      </c>
      <c r="CD139" s="475"/>
      <c r="CE139" s="475"/>
    </row>
    <row r="140" spans="1:83" s="126" customFormat="1">
      <c r="A140" s="474">
        <f t="shared" ref="A140:A161" si="82">BE140</f>
        <v>45178.489583333336</v>
      </c>
      <c r="B140" s="475" t="s">
        <v>228</v>
      </c>
      <c r="C140" s="475" t="s">
        <v>229</v>
      </c>
      <c r="D140" s="475" t="s">
        <v>197</v>
      </c>
      <c r="E140" s="476" t="s">
        <v>2500</v>
      </c>
      <c r="F140" s="475"/>
      <c r="G140" s="472">
        <v>45173.5</v>
      </c>
      <c r="H140" s="472">
        <v>45173.447916666664</v>
      </c>
      <c r="I140" s="475" t="s">
        <v>490</v>
      </c>
      <c r="J140" s="475" t="s">
        <v>192</v>
      </c>
      <c r="K140" s="475" t="s">
        <v>192</v>
      </c>
      <c r="L140" s="475" t="s">
        <v>2507</v>
      </c>
      <c r="M140" s="530"/>
      <c r="N140" s="475" t="s">
        <v>2207</v>
      </c>
      <c r="O140" s="475" t="s">
        <v>2208</v>
      </c>
      <c r="P140" s="475" t="s">
        <v>835</v>
      </c>
      <c r="Q140" s="477">
        <f>3031*2.4</f>
        <v>7274.4</v>
      </c>
      <c r="R140" s="477">
        <f>7300+100</f>
        <v>7400</v>
      </c>
      <c r="S140" s="477">
        <v>7469.8540000000003</v>
      </c>
      <c r="T140" s="477"/>
      <c r="U140" s="475"/>
      <c r="V140" s="477">
        <f>S140</f>
        <v>7469.8540000000003</v>
      </c>
      <c r="W140" s="475"/>
      <c r="X140" s="475"/>
      <c r="Y140" s="475"/>
      <c r="Z140" s="475"/>
      <c r="AA140" s="475"/>
      <c r="AB140" s="475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  <c r="AW140" s="475"/>
      <c r="AX140" s="475"/>
      <c r="AY140" s="473">
        <f t="shared" si="71"/>
        <v>45168.888888888891</v>
      </c>
      <c r="AZ140" s="473">
        <f t="shared" si="72"/>
        <v>45184.447916666664</v>
      </c>
      <c r="BA140" s="479">
        <f t="shared" si="73"/>
        <v>15.559027777773736</v>
      </c>
      <c r="BB140" s="473">
        <v>45168.888888888891</v>
      </c>
      <c r="BC140" s="473">
        <v>45173.618055555555</v>
      </c>
      <c r="BD140" s="473">
        <v>45175.166666666664</v>
      </c>
      <c r="BE140" s="473">
        <v>45178.489583333336</v>
      </c>
      <c r="BF140" s="473">
        <v>45178.621527777781</v>
      </c>
      <c r="BG140" s="473">
        <v>45178.625</v>
      </c>
      <c r="BH140" s="473">
        <v>45178.625</v>
      </c>
      <c r="BI140" s="473">
        <f t="shared" si="69"/>
        <v>45180.333333333336</v>
      </c>
      <c r="BJ140" s="485">
        <v>45181.229166608799</v>
      </c>
      <c r="BK140" s="485">
        <v>45181.395833333336</v>
      </c>
      <c r="BL140" s="473">
        <v>45181.3125</v>
      </c>
      <c r="BM140" s="473">
        <v>45182.434027777781</v>
      </c>
      <c r="BN140" s="473">
        <v>45183.861111111109</v>
      </c>
      <c r="BO140" s="473">
        <v>45184.083333333336</v>
      </c>
      <c r="BP140" s="473">
        <v>45184.118055555555</v>
      </c>
      <c r="BQ140" s="473">
        <v>45184.204861111109</v>
      </c>
      <c r="BR140" s="473">
        <v>45184.447916666664</v>
      </c>
      <c r="BS140" s="475"/>
      <c r="BT140" s="475"/>
      <c r="BU140" s="481">
        <f t="shared" si="74"/>
        <v>37.166666666627862</v>
      </c>
      <c r="BV140" s="481">
        <f t="shared" si="75"/>
        <v>3.1666666666860692</v>
      </c>
      <c r="BW140" s="481">
        <f t="shared" si="76"/>
        <v>41.000000000058208</v>
      </c>
      <c r="BX140" s="481">
        <f t="shared" si="70"/>
        <v>24.916666666686069</v>
      </c>
      <c r="BY140" s="482">
        <f t="shared" si="77"/>
        <v>5.3333333334303461</v>
      </c>
      <c r="BZ140" s="482">
        <f t="shared" si="78"/>
        <v>5.8333333333139308</v>
      </c>
      <c r="CA140" s="483">
        <f t="shared" si="79"/>
        <v>4.8923611111167702</v>
      </c>
      <c r="CB140" s="483">
        <f t="shared" si="80"/>
        <v>15.559027777773736</v>
      </c>
      <c r="CC140" s="484">
        <f t="shared" si="81"/>
        <v>0.31443874135282213</v>
      </c>
      <c r="CD140" s="475"/>
      <c r="CE140" s="475"/>
    </row>
    <row r="141" spans="1:83" s="475" customFormat="1">
      <c r="A141" s="474">
        <f t="shared" si="82"/>
        <v>45178.864583333336</v>
      </c>
      <c r="B141" s="475" t="s">
        <v>228</v>
      </c>
      <c r="C141" s="475" t="s">
        <v>229</v>
      </c>
      <c r="D141" s="475" t="s">
        <v>215</v>
      </c>
      <c r="E141" s="476" t="s">
        <v>2500</v>
      </c>
      <c r="G141" s="472">
        <v>45173.5</v>
      </c>
      <c r="H141" s="472">
        <v>45173.447916666664</v>
      </c>
      <c r="I141" s="475" t="s">
        <v>490</v>
      </c>
      <c r="J141" s="475" t="s">
        <v>192</v>
      </c>
      <c r="K141" s="475" t="s">
        <v>192</v>
      </c>
      <c r="L141" s="475" t="s">
        <v>2508</v>
      </c>
      <c r="M141" s="530"/>
      <c r="N141" s="475" t="s">
        <v>301</v>
      </c>
      <c r="O141" s="475" t="s">
        <v>302</v>
      </c>
      <c r="P141" s="475" t="s">
        <v>835</v>
      </c>
      <c r="Q141" s="477">
        <f>3852*2.4</f>
        <v>9244.7999999999993</v>
      </c>
      <c r="R141" s="477">
        <v>9250</v>
      </c>
      <c r="S141" s="477">
        <v>9027.3459999999995</v>
      </c>
      <c r="T141" s="477"/>
      <c r="V141" s="477">
        <f>S141</f>
        <v>9027.3459999999995</v>
      </c>
      <c r="AY141" s="473">
        <f t="shared" si="71"/>
        <v>45172.34375</v>
      </c>
      <c r="AZ141" s="473">
        <f t="shared" si="72"/>
        <v>45184.885416666664</v>
      </c>
      <c r="BA141" s="479">
        <f t="shared" si="73"/>
        <v>12.541666666664241</v>
      </c>
      <c r="BB141" s="473">
        <v>45172.34375</v>
      </c>
      <c r="BC141" s="473">
        <v>45174.784722222219</v>
      </c>
      <c r="BD141" s="473">
        <v>45176.1875</v>
      </c>
      <c r="BE141" s="473">
        <v>45178.864583333336</v>
      </c>
      <c r="BF141" s="473">
        <v>45179.017361111109</v>
      </c>
      <c r="BG141" s="473">
        <v>45179.024305555555</v>
      </c>
      <c r="BH141" s="473">
        <v>45179.274305555555</v>
      </c>
      <c r="BI141" s="473">
        <f t="shared" si="69"/>
        <v>45180.982638888891</v>
      </c>
      <c r="BJ141" s="485">
        <v>45181.229166608799</v>
      </c>
      <c r="BK141" s="485">
        <v>45181.395833333336</v>
      </c>
      <c r="BL141" s="473">
        <v>45181.288194444445</v>
      </c>
      <c r="BM141" s="473">
        <v>45182.350694444445</v>
      </c>
      <c r="BN141" s="473">
        <v>45184.166666666664</v>
      </c>
      <c r="BO141" s="473">
        <v>45184.465277777781</v>
      </c>
      <c r="BP141" s="473">
        <v>45184.493055555555</v>
      </c>
      <c r="BQ141" s="473">
        <v>45184.659722222219</v>
      </c>
      <c r="BR141" s="473">
        <v>45184.885416666664</v>
      </c>
      <c r="BU141" s="481">
        <f t="shared" si="74"/>
        <v>33.666666666744277</v>
      </c>
      <c r="BV141" s="481">
        <f t="shared" si="75"/>
        <v>3.6666666665696539</v>
      </c>
      <c r="BW141" s="481">
        <f t="shared" si="76"/>
        <v>41.000000000058208</v>
      </c>
      <c r="BX141" s="481">
        <f t="shared" si="70"/>
        <v>22.916666666627862</v>
      </c>
      <c r="BY141" s="482">
        <f t="shared" si="77"/>
        <v>7.1666666668024845</v>
      </c>
      <c r="BZ141" s="482">
        <f t="shared" si="78"/>
        <v>5.4166666666860692</v>
      </c>
      <c r="CA141" s="483">
        <f t="shared" si="79"/>
        <v>4.7430555555620231</v>
      </c>
      <c r="CB141" s="483">
        <f t="shared" si="80"/>
        <v>12.541666666664241</v>
      </c>
      <c r="CC141" s="484">
        <f t="shared" si="81"/>
        <v>0.37818383167279257</v>
      </c>
    </row>
    <row r="142" spans="1:83" s="126" customFormat="1">
      <c r="A142" s="521">
        <f t="shared" si="82"/>
        <v>45179.085416666669</v>
      </c>
      <c r="B142" s="369" t="s">
        <v>228</v>
      </c>
      <c r="C142" s="369" t="s">
        <v>229</v>
      </c>
      <c r="D142" s="369" t="s">
        <v>215</v>
      </c>
      <c r="E142" s="271" t="s">
        <v>2500</v>
      </c>
      <c r="F142" s="369"/>
      <c r="G142" s="492">
        <v>45173.5</v>
      </c>
      <c r="H142" s="492">
        <v>45173.447916666664</v>
      </c>
      <c r="I142" s="369" t="s">
        <v>490</v>
      </c>
      <c r="J142" s="369" t="s">
        <v>192</v>
      </c>
      <c r="K142" s="369" t="s">
        <v>192</v>
      </c>
      <c r="L142" s="369" t="s">
        <v>2510</v>
      </c>
      <c r="M142" s="529"/>
      <c r="N142" s="369" t="s">
        <v>352</v>
      </c>
      <c r="O142" s="369" t="s">
        <v>353</v>
      </c>
      <c r="P142" s="369" t="s">
        <v>835</v>
      </c>
      <c r="Q142" s="520">
        <f>3852*2.4</f>
        <v>9244.7999999999993</v>
      </c>
      <c r="R142" s="520">
        <f>9250+100</f>
        <v>9350</v>
      </c>
      <c r="S142" s="520">
        <v>9012.1350000000002</v>
      </c>
      <c r="T142" s="520"/>
      <c r="U142" s="369"/>
      <c r="V142" s="520">
        <f>S142</f>
        <v>9012.1350000000002</v>
      </c>
      <c r="W142" s="369"/>
      <c r="X142" s="369"/>
      <c r="Y142" s="369"/>
      <c r="Z142" s="369"/>
      <c r="AA142" s="369"/>
      <c r="AB142" s="369"/>
      <c r="AC142" s="369"/>
      <c r="AD142" s="369"/>
      <c r="AE142" s="369"/>
      <c r="AF142" s="369"/>
      <c r="AG142" s="369"/>
      <c r="AH142" s="369"/>
      <c r="AI142" s="369"/>
      <c r="AJ142" s="369"/>
      <c r="AK142" s="369"/>
      <c r="AL142" s="369"/>
      <c r="AM142" s="369"/>
      <c r="AN142" s="369"/>
      <c r="AO142" s="369"/>
      <c r="AP142" s="369"/>
      <c r="AQ142" s="369"/>
      <c r="AR142" s="369"/>
      <c r="AS142" s="369"/>
      <c r="AT142" s="369"/>
      <c r="AU142" s="369"/>
      <c r="AV142" s="369"/>
      <c r="AW142" s="369"/>
      <c r="AX142" s="369"/>
      <c r="AY142" s="522">
        <f t="shared" si="71"/>
        <v>45171.395833333336</v>
      </c>
      <c r="AZ142" s="522">
        <f t="shared" si="72"/>
        <v>45185.388888888891</v>
      </c>
      <c r="BA142" s="523">
        <f t="shared" si="73"/>
        <v>13.993055555554747</v>
      </c>
      <c r="BB142" s="522">
        <v>45171.395833333336</v>
      </c>
      <c r="BC142" s="522">
        <v>45174.795138888891</v>
      </c>
      <c r="BD142" s="522">
        <v>45176.333333333336</v>
      </c>
      <c r="BE142" s="522">
        <v>45179.085416666669</v>
      </c>
      <c r="BF142" s="522">
        <v>45179.21875</v>
      </c>
      <c r="BG142" s="522">
        <v>45179.229166666664</v>
      </c>
      <c r="BH142" s="522">
        <v>45179.229166666664</v>
      </c>
      <c r="BI142" s="522">
        <f t="shared" si="69"/>
        <v>45180.9375</v>
      </c>
      <c r="BJ142" s="524">
        <v>45181.229166608799</v>
      </c>
      <c r="BK142" s="524">
        <v>45181.395833333336</v>
      </c>
      <c r="BL142" s="522">
        <v>45181.267361111109</v>
      </c>
      <c r="BM142" s="522">
        <v>45182.375</v>
      </c>
      <c r="BN142" s="522">
        <v>45184.541666666664</v>
      </c>
      <c r="BO142" s="522">
        <v>45184.798611111109</v>
      </c>
      <c r="BP142" s="522">
        <v>45184.833333333336</v>
      </c>
      <c r="BQ142" s="522">
        <v>45185.166666666664</v>
      </c>
      <c r="BR142" s="522">
        <v>45185.388888888891</v>
      </c>
      <c r="BS142" s="369"/>
      <c r="BT142" s="369"/>
      <c r="BU142" s="525">
        <f t="shared" si="74"/>
        <v>36.916666666686069</v>
      </c>
      <c r="BV142" s="525">
        <f t="shared" si="75"/>
        <v>3.1999999999534339</v>
      </c>
      <c r="BW142" s="525">
        <f t="shared" si="76"/>
        <v>41.000000000058208</v>
      </c>
      <c r="BX142" s="525">
        <f t="shared" si="70"/>
        <v>23.499999999941792</v>
      </c>
      <c r="BY142" s="526">
        <f t="shared" si="77"/>
        <v>6.1666666666860692</v>
      </c>
      <c r="BZ142" s="526">
        <f t="shared" si="78"/>
        <v>5.3333333334303461</v>
      </c>
      <c r="CA142" s="304">
        <f t="shared" si="79"/>
        <v>4.8381944444481633</v>
      </c>
      <c r="CB142" s="304">
        <f t="shared" si="80"/>
        <v>13.993055555554747</v>
      </c>
      <c r="CC142" s="305">
        <f t="shared" si="81"/>
        <v>0.3457568238216257</v>
      </c>
      <c r="CD142" s="369"/>
      <c r="CE142" s="369"/>
    </row>
    <row r="143" spans="1:83" s="369" customFormat="1">
      <c r="A143" s="474">
        <f t="shared" si="82"/>
        <v>45179.322916666664</v>
      </c>
      <c r="B143" s="475" t="s">
        <v>228</v>
      </c>
      <c r="C143" s="475" t="s">
        <v>229</v>
      </c>
      <c r="D143" s="475" t="s">
        <v>197</v>
      </c>
      <c r="E143" s="476" t="s">
        <v>230</v>
      </c>
      <c r="F143" s="475"/>
      <c r="G143" s="472">
        <v>45180.333333333336</v>
      </c>
      <c r="H143" s="472">
        <v>45180.291666666664</v>
      </c>
      <c r="I143" s="475" t="s">
        <v>490</v>
      </c>
      <c r="J143" s="369" t="s">
        <v>192</v>
      </c>
      <c r="K143" s="369" t="s">
        <v>192</v>
      </c>
      <c r="L143" s="475" t="s">
        <v>2511</v>
      </c>
      <c r="M143" s="529"/>
      <c r="N143" s="475" t="s">
        <v>277</v>
      </c>
      <c r="O143" s="475" t="s">
        <v>278</v>
      </c>
      <c r="P143" s="475" t="s">
        <v>501</v>
      </c>
      <c r="Q143" s="477">
        <f>3117*2.4</f>
        <v>7480.7999999999993</v>
      </c>
      <c r="R143" s="477">
        <f>7500+100</f>
        <v>7600</v>
      </c>
      <c r="S143" s="477">
        <v>3033.6439999999998</v>
      </c>
      <c r="T143" s="477"/>
      <c r="U143" s="477">
        <f>S143*0.45</f>
        <v>1365.1397999999999</v>
      </c>
      <c r="V143" s="477">
        <f>S143*0.55</f>
        <v>1668.5042000000001</v>
      </c>
      <c r="W143" s="475"/>
      <c r="X143" s="475"/>
      <c r="Y143" s="475"/>
      <c r="Z143" s="475"/>
      <c r="AA143" s="475"/>
      <c r="AB143" s="475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  <c r="AW143" s="475"/>
      <c r="AX143" s="475"/>
      <c r="AY143" s="473">
        <f t="shared" si="71"/>
        <v>45172.9375</v>
      </c>
      <c r="AZ143" s="473">
        <f t="shared" si="72"/>
        <v>45191.902777777781</v>
      </c>
      <c r="BA143" s="479">
        <f t="shared" si="73"/>
        <v>18.965277777781012</v>
      </c>
      <c r="BB143" s="473">
        <v>45172.9375</v>
      </c>
      <c r="BC143" s="473">
        <v>45175.583333333336</v>
      </c>
      <c r="BD143" s="473">
        <v>45177.041666666664</v>
      </c>
      <c r="BE143" s="473">
        <v>45179.322916666664</v>
      </c>
      <c r="BF143" s="473">
        <v>45179.513888888891</v>
      </c>
      <c r="BG143" s="473">
        <v>45179.517361111109</v>
      </c>
      <c r="BH143" s="473">
        <v>45179.517361111109</v>
      </c>
      <c r="BI143" s="473">
        <f t="shared" si="69"/>
        <v>45181.225694444445</v>
      </c>
      <c r="BJ143" s="485">
        <v>45181.229166608799</v>
      </c>
      <c r="BK143" s="485">
        <v>45181.395833333336</v>
      </c>
      <c r="BL143" s="473">
        <v>45181.284722222219</v>
      </c>
      <c r="BM143" s="473">
        <v>45185.163194444453</v>
      </c>
      <c r="BN143" s="473">
        <v>45191.333333333336</v>
      </c>
      <c r="BO143" s="473">
        <v>45191.590277777781</v>
      </c>
      <c r="BP143" s="473">
        <v>45191.618055555555</v>
      </c>
      <c r="BQ143" s="473">
        <v>45191.618055555555</v>
      </c>
      <c r="BR143" s="473">
        <v>45191.902777777781</v>
      </c>
      <c r="BS143" s="475"/>
      <c r="BT143" s="475"/>
      <c r="BU143" s="481">
        <f t="shared" si="74"/>
        <v>34.999999999883585</v>
      </c>
      <c r="BV143" s="481">
        <f t="shared" si="75"/>
        <v>4.5833333334303461</v>
      </c>
      <c r="BW143" s="481">
        <f t="shared" si="76"/>
        <v>41.000000000058208</v>
      </c>
      <c r="BX143" s="481">
        <f t="shared" si="70"/>
        <v>90.416666666802485</v>
      </c>
      <c r="BY143" s="482">
        <f t="shared" si="77"/>
        <v>6.1666666666860692</v>
      </c>
      <c r="BZ143" s="482">
        <f t="shared" si="78"/>
        <v>6.8333333334303461</v>
      </c>
      <c r="CA143" s="483">
        <f t="shared" si="79"/>
        <v>7.6666666666787933</v>
      </c>
      <c r="CB143" s="483">
        <f t="shared" si="80"/>
        <v>18.965277777781012</v>
      </c>
      <c r="CC143" s="484">
        <f t="shared" si="81"/>
        <v>0.40424752837845407</v>
      </c>
      <c r="CD143" s="475"/>
      <c r="CE143" s="475"/>
    </row>
    <row r="144" spans="1:83" s="369" customFormat="1">
      <c r="A144" s="474">
        <f t="shared" si="82"/>
        <v>45179.322916666664</v>
      </c>
      <c r="B144" s="475" t="s">
        <v>228</v>
      </c>
      <c r="C144" s="475" t="s">
        <v>229</v>
      </c>
      <c r="D144" s="475" t="s">
        <v>197</v>
      </c>
      <c r="E144" s="476" t="s">
        <v>2500</v>
      </c>
      <c r="F144" s="475"/>
      <c r="G144" s="472">
        <v>45173.5</v>
      </c>
      <c r="H144" s="472">
        <v>45173.447916666664</v>
      </c>
      <c r="I144" s="475" t="s">
        <v>490</v>
      </c>
      <c r="J144" s="369" t="s">
        <v>192</v>
      </c>
      <c r="K144" s="369" t="s">
        <v>192</v>
      </c>
      <c r="L144" s="475" t="s">
        <v>2511</v>
      </c>
      <c r="M144" s="530"/>
      <c r="N144" s="475" t="s">
        <v>277</v>
      </c>
      <c r="O144" s="475" t="s">
        <v>278</v>
      </c>
      <c r="P144" s="475" t="s">
        <v>501</v>
      </c>
      <c r="Q144" s="477">
        <f>3117*2.4</f>
        <v>7480.7999999999993</v>
      </c>
      <c r="R144" s="477">
        <f>7500+100</f>
        <v>7600</v>
      </c>
      <c r="S144" s="477">
        <f>7628.012-3824.665</f>
        <v>3803.3469999999998</v>
      </c>
      <c r="T144" s="477"/>
      <c r="U144" s="477">
        <f>S144*0.45</f>
        <v>1711.5061499999999</v>
      </c>
      <c r="V144" s="477">
        <f>S144*0.55</f>
        <v>2091.84085</v>
      </c>
      <c r="W144" s="475"/>
      <c r="X144" s="475"/>
      <c r="Y144" s="475"/>
      <c r="Z144" s="475"/>
      <c r="AA144" s="475"/>
      <c r="AB144" s="475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3">
        <f t="shared" si="71"/>
        <v>45172.9375</v>
      </c>
      <c r="AZ144" s="473">
        <f t="shared" si="72"/>
        <v>45185.079861111117</v>
      </c>
      <c r="BA144" s="479">
        <f t="shared" si="73"/>
        <v>12.14236111111677</v>
      </c>
      <c r="BB144" s="473">
        <v>45172.9375</v>
      </c>
      <c r="BC144" s="473">
        <v>45175.583333333336</v>
      </c>
      <c r="BD144" s="473">
        <v>45177.041666666664</v>
      </c>
      <c r="BE144" s="473">
        <v>45179.322916666664</v>
      </c>
      <c r="BF144" s="473">
        <v>45179.513888888891</v>
      </c>
      <c r="BG144" s="473">
        <v>45179.517361111109</v>
      </c>
      <c r="BH144" s="473">
        <v>45179.517361111109</v>
      </c>
      <c r="BI144" s="473">
        <f t="shared" si="69"/>
        <v>45181.225694444445</v>
      </c>
      <c r="BJ144" s="485">
        <v>45181.229166608799</v>
      </c>
      <c r="BK144" s="485">
        <v>45181.395833333336</v>
      </c>
      <c r="BL144" s="473">
        <v>45181.284722222219</v>
      </c>
      <c r="BM144" s="473">
        <v>45182.625</v>
      </c>
      <c r="BN144" s="473">
        <v>45184.854166666664</v>
      </c>
      <c r="BO144" s="473">
        <v>45184.993055555555</v>
      </c>
      <c r="BP144" s="473">
        <v>45185.059027777781</v>
      </c>
      <c r="BQ144" s="473">
        <v>45185.079861111117</v>
      </c>
      <c r="BR144" s="473">
        <v>45185.079861111117</v>
      </c>
      <c r="BS144" s="475"/>
      <c r="BT144" s="475"/>
      <c r="BU144" s="481">
        <f t="shared" si="74"/>
        <v>34.999999999883585</v>
      </c>
      <c r="BV144" s="481">
        <f t="shared" si="75"/>
        <v>4.5833333334303461</v>
      </c>
      <c r="BW144" s="481">
        <f t="shared" si="76"/>
        <v>41.000000000058208</v>
      </c>
      <c r="BX144" s="481">
        <f t="shared" si="70"/>
        <v>29.499999999941792</v>
      </c>
      <c r="BY144" s="482">
        <f t="shared" si="77"/>
        <v>3.3333333333721384</v>
      </c>
      <c r="BZ144" s="482">
        <f t="shared" si="78"/>
        <v>0</v>
      </c>
      <c r="CA144" s="483">
        <f t="shared" si="79"/>
        <v>4.7256944444452529</v>
      </c>
      <c r="CB144" s="483">
        <f t="shared" si="80"/>
        <v>12.14236111111677</v>
      </c>
      <c r="CC144" s="484">
        <f t="shared" si="81"/>
        <v>0.38919073491552719</v>
      </c>
      <c r="CD144" s="475"/>
      <c r="CE144" s="475"/>
    </row>
    <row r="145" spans="1:83" s="475" customFormat="1">
      <c r="A145" s="474">
        <f t="shared" si="82"/>
        <v>45184.701388888891</v>
      </c>
      <c r="B145" s="475" t="s">
        <v>228</v>
      </c>
      <c r="C145" s="475" t="s">
        <v>229</v>
      </c>
      <c r="D145" s="475" t="s">
        <v>197</v>
      </c>
      <c r="E145" s="476" t="s">
        <v>230</v>
      </c>
      <c r="G145" s="472">
        <v>45180.333333333336</v>
      </c>
      <c r="H145" s="472">
        <v>45180.291666666664</v>
      </c>
      <c r="I145" s="475" t="s">
        <v>490</v>
      </c>
      <c r="J145" s="369" t="s">
        <v>192</v>
      </c>
      <c r="K145" s="369" t="s">
        <v>192</v>
      </c>
      <c r="L145" s="475" t="s">
        <v>2535</v>
      </c>
      <c r="M145" s="529"/>
      <c r="N145" s="475" t="s">
        <v>298</v>
      </c>
      <c r="O145" s="475" t="s">
        <v>299</v>
      </c>
      <c r="P145" s="475" t="s">
        <v>1968</v>
      </c>
      <c r="Q145" s="477">
        <f>4337*2.4</f>
        <v>10408.799999999999</v>
      </c>
      <c r="R145" s="477">
        <f>10450+100</f>
        <v>10550</v>
      </c>
      <c r="S145" s="477">
        <v>10206.279</v>
      </c>
      <c r="T145" s="477"/>
      <c r="U145" s="477">
        <f>S145*0.55</f>
        <v>5613.4534500000009</v>
      </c>
      <c r="V145" s="477">
        <f>S145*0.45</f>
        <v>4592.8255500000005</v>
      </c>
      <c r="AY145" s="473">
        <f t="shared" si="71"/>
        <v>45180.895833333336</v>
      </c>
      <c r="AZ145" s="473">
        <f t="shared" si="72"/>
        <v>45192.541666666664</v>
      </c>
      <c r="BA145" s="479">
        <f t="shared" si="73"/>
        <v>11.645833333328483</v>
      </c>
      <c r="BB145" s="473">
        <v>45180.895833333336</v>
      </c>
      <c r="BC145" s="473">
        <v>45181.489583333336</v>
      </c>
      <c r="BD145" s="473">
        <v>45182.9375</v>
      </c>
      <c r="BE145" s="473">
        <v>45184.701388888891</v>
      </c>
      <c r="BF145" s="473">
        <v>45184.944444444445</v>
      </c>
      <c r="BG145" s="473">
        <v>45184.951388888891</v>
      </c>
      <c r="BH145" s="473">
        <v>45185.284722222219</v>
      </c>
      <c r="BI145" s="473">
        <f t="shared" si="69"/>
        <v>45186.993055555555</v>
      </c>
      <c r="BJ145" s="485">
        <v>45187.25</v>
      </c>
      <c r="BK145" s="485">
        <v>45187.416666608799</v>
      </c>
      <c r="BL145" s="473">
        <v>45187.347222222219</v>
      </c>
      <c r="BM145" s="473">
        <v>45188.59375</v>
      </c>
      <c r="BN145" s="473">
        <v>45191.680555555555</v>
      </c>
      <c r="BO145" s="473">
        <v>45192.09375</v>
      </c>
      <c r="BP145" s="473">
        <v>45192.135416666664</v>
      </c>
      <c r="BQ145" s="473">
        <v>45192.267361111109</v>
      </c>
      <c r="BR145" s="473">
        <v>45192.541666666664</v>
      </c>
      <c r="BU145" s="481">
        <f t="shared" si="74"/>
        <v>34.749999999941792</v>
      </c>
      <c r="BV145" s="481">
        <f t="shared" si="75"/>
        <v>5.8333333333139308</v>
      </c>
      <c r="BW145" s="481">
        <f t="shared" si="76"/>
        <v>41.000000000058208</v>
      </c>
      <c r="BX145" s="481">
        <f t="shared" si="70"/>
        <v>28.250001388834789</v>
      </c>
      <c r="BY145" s="482">
        <f t="shared" si="77"/>
        <v>9.9166666666860692</v>
      </c>
      <c r="BZ145" s="482">
        <f t="shared" si="78"/>
        <v>6.5833333333139308</v>
      </c>
      <c r="CA145" s="483">
        <f t="shared" si="79"/>
        <v>5.2638889467561967</v>
      </c>
      <c r="CB145" s="483">
        <f t="shared" si="80"/>
        <v>11.645833333328483</v>
      </c>
      <c r="CC145" s="484">
        <f t="shared" si="81"/>
        <v>0.45199761975742875</v>
      </c>
    </row>
    <row r="146" spans="1:83" s="475" customFormat="1">
      <c r="A146" s="474">
        <f t="shared" si="82"/>
        <v>45184.975694444445</v>
      </c>
      <c r="B146" s="475" t="s">
        <v>228</v>
      </c>
      <c r="C146" s="475" t="s">
        <v>229</v>
      </c>
      <c r="D146" s="475" t="s">
        <v>197</v>
      </c>
      <c r="E146" s="476" t="s">
        <v>230</v>
      </c>
      <c r="G146" s="472">
        <v>45180.333333333336</v>
      </c>
      <c r="H146" s="472">
        <v>45180.291666666664</v>
      </c>
      <c r="I146" s="475" t="s">
        <v>490</v>
      </c>
      <c r="J146" s="369" t="s">
        <v>192</v>
      </c>
      <c r="K146" s="369" t="s">
        <v>192</v>
      </c>
      <c r="L146" s="475" t="s">
        <v>2532</v>
      </c>
      <c r="M146" s="530"/>
      <c r="N146" s="475" t="s">
        <v>292</v>
      </c>
      <c r="O146" s="475" t="s">
        <v>293</v>
      </c>
      <c r="P146" s="475" t="s">
        <v>494</v>
      </c>
      <c r="Q146" s="477">
        <f>3142*2.4</f>
        <v>7540.7999999999993</v>
      </c>
      <c r="R146" s="477">
        <f>7550+100</f>
        <v>7650</v>
      </c>
      <c r="S146" s="477">
        <v>7628.03</v>
      </c>
      <c r="T146" s="477"/>
      <c r="U146" s="477">
        <f>S146</f>
        <v>7628.03</v>
      </c>
      <c r="AY146" s="473">
        <f t="shared" si="71"/>
        <v>45179.791666666664</v>
      </c>
      <c r="AZ146" s="473">
        <f t="shared" si="72"/>
        <v>45191.951388888891</v>
      </c>
      <c r="BA146" s="479">
        <f t="shared" si="73"/>
        <v>12.159722222226264</v>
      </c>
      <c r="BB146" s="473">
        <v>45179.791666666664</v>
      </c>
      <c r="BC146" s="473">
        <v>45181.513888888891</v>
      </c>
      <c r="BD146" s="473">
        <v>45182.958333333336</v>
      </c>
      <c r="BE146" s="473">
        <v>45184.975694444445</v>
      </c>
      <c r="BF146" s="473">
        <v>45185.107638888891</v>
      </c>
      <c r="BG146" s="473">
        <v>45185.114583333336</v>
      </c>
      <c r="BH146" s="473">
        <v>45185.125</v>
      </c>
      <c r="BI146" s="473">
        <f t="shared" si="69"/>
        <v>45186.833333333336</v>
      </c>
      <c r="BJ146" s="485">
        <v>45187.25</v>
      </c>
      <c r="BK146" s="485">
        <v>45187.416666608799</v>
      </c>
      <c r="BL146" s="473">
        <v>45187.319444444445</v>
      </c>
      <c r="BM146" s="473">
        <v>45188.583333333336</v>
      </c>
      <c r="BN146" s="473">
        <v>45191.333333333336</v>
      </c>
      <c r="BO146" s="473">
        <v>45191.590277777781</v>
      </c>
      <c r="BP146" s="473">
        <v>45191.631944444445</v>
      </c>
      <c r="BQ146" s="473">
        <v>45191.631944444445</v>
      </c>
      <c r="BR146" s="473">
        <v>45191.951388888891</v>
      </c>
      <c r="BU146" s="481">
        <f t="shared" si="74"/>
        <v>34.666666666686069</v>
      </c>
      <c r="BV146" s="481">
        <f t="shared" si="75"/>
        <v>3.1666666666860692</v>
      </c>
      <c r="BW146" s="481">
        <f t="shared" si="76"/>
        <v>41.000000000058208</v>
      </c>
      <c r="BX146" s="481">
        <f t="shared" si="70"/>
        <v>28.000001388892997</v>
      </c>
      <c r="BY146" s="482">
        <f t="shared" si="77"/>
        <v>6.1666666666860692</v>
      </c>
      <c r="BZ146" s="482">
        <f t="shared" si="78"/>
        <v>7.6666666666860692</v>
      </c>
      <c r="CA146" s="483">
        <f t="shared" si="79"/>
        <v>5.0277778356539784</v>
      </c>
      <c r="CB146" s="483">
        <f t="shared" si="80"/>
        <v>12.159722222226264</v>
      </c>
      <c r="CC146" s="484">
        <f t="shared" si="81"/>
        <v>0.41347801732377626</v>
      </c>
    </row>
    <row r="147" spans="1:83" s="369" customFormat="1">
      <c r="A147" s="474">
        <f t="shared" si="82"/>
        <v>45185.322916666664</v>
      </c>
      <c r="B147" s="475" t="s">
        <v>228</v>
      </c>
      <c r="C147" s="475" t="s">
        <v>229</v>
      </c>
      <c r="D147" s="475" t="s">
        <v>197</v>
      </c>
      <c r="E147" s="476" t="s">
        <v>230</v>
      </c>
      <c r="F147" s="475"/>
      <c r="G147" s="472">
        <v>45180.333333333336</v>
      </c>
      <c r="H147" s="472">
        <v>45180.291666666664</v>
      </c>
      <c r="I147" s="475" t="s">
        <v>490</v>
      </c>
      <c r="J147" s="369" t="s">
        <v>192</v>
      </c>
      <c r="K147" s="369" t="s">
        <v>192</v>
      </c>
      <c r="L147" s="475" t="s">
        <v>2536</v>
      </c>
      <c r="M147" s="529"/>
      <c r="N147" s="475" t="s">
        <v>70</v>
      </c>
      <c r="O147" s="475" t="s">
        <v>1982</v>
      </c>
      <c r="P147" s="475" t="s">
        <v>494</v>
      </c>
      <c r="Q147" s="477">
        <f>3142*2.4</f>
        <v>7540.7999999999993</v>
      </c>
      <c r="R147" s="477">
        <f>7550+100</f>
        <v>7650</v>
      </c>
      <c r="S147" s="477">
        <v>7564.2030000000004</v>
      </c>
      <c r="T147" s="477"/>
      <c r="U147" s="477">
        <f>S147</f>
        <v>7564.2030000000004</v>
      </c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3">
        <f t="shared" si="71"/>
        <v>45181.097222222219</v>
      </c>
      <c r="AZ147" s="473">
        <f t="shared" si="72"/>
        <v>45192.75277777778</v>
      </c>
      <c r="BA147" s="479">
        <f t="shared" si="73"/>
        <v>11.655555555560568</v>
      </c>
      <c r="BB147" s="473">
        <v>45181.097222222219</v>
      </c>
      <c r="BC147" s="473">
        <v>45182.875</v>
      </c>
      <c r="BD147" s="473">
        <v>45183.538194444445</v>
      </c>
      <c r="BE147" s="473">
        <v>45185.322916666664</v>
      </c>
      <c r="BF147" s="473">
        <v>45185.47152777778</v>
      </c>
      <c r="BG147" s="473">
        <v>45185.474305555559</v>
      </c>
      <c r="BH147" s="473">
        <v>45185.477083333331</v>
      </c>
      <c r="BI147" s="473">
        <f t="shared" si="69"/>
        <v>45187.185416666667</v>
      </c>
      <c r="BJ147" s="485">
        <v>45187.25</v>
      </c>
      <c r="BK147" s="485">
        <v>45187.416666608799</v>
      </c>
      <c r="BL147" s="473">
        <v>45187.309027777781</v>
      </c>
      <c r="BM147" s="473">
        <v>45188.604166666664</v>
      </c>
      <c r="BN147" s="473">
        <v>45192.180555555555</v>
      </c>
      <c r="BO147" s="473">
        <v>45192.458333333336</v>
      </c>
      <c r="BP147" s="473">
        <v>45192.5</v>
      </c>
      <c r="BQ147" s="473">
        <v>45192.5</v>
      </c>
      <c r="BR147" s="473">
        <v>45192.75277777778</v>
      </c>
      <c r="BS147" s="475"/>
      <c r="BT147" s="475"/>
      <c r="BU147" s="481">
        <f t="shared" si="74"/>
        <v>15.916666666686069</v>
      </c>
      <c r="BV147" s="481">
        <f t="shared" si="75"/>
        <v>3.5666666667675599</v>
      </c>
      <c r="BW147" s="481">
        <f t="shared" si="76"/>
        <v>41.000000000058208</v>
      </c>
      <c r="BX147" s="481">
        <f t="shared" si="70"/>
        <v>28.500001388776582</v>
      </c>
      <c r="BY147" s="482">
        <f t="shared" si="77"/>
        <v>6.6666666667442769</v>
      </c>
      <c r="BZ147" s="482">
        <f t="shared" si="78"/>
        <v>6.0666666667093523</v>
      </c>
      <c r="CA147" s="483">
        <f t="shared" si="79"/>
        <v>4.2381945023225853</v>
      </c>
      <c r="CB147" s="483">
        <f t="shared" si="80"/>
        <v>11.655555555560568</v>
      </c>
      <c r="CC147" s="484">
        <f t="shared" si="81"/>
        <v>0.36362011936021799</v>
      </c>
      <c r="CD147" s="475"/>
      <c r="CE147" s="475"/>
    </row>
    <row r="148" spans="1:83" s="475" customFormat="1">
      <c r="A148" s="192">
        <f t="shared" si="82"/>
        <v>45185.496527777781</v>
      </c>
      <c r="B148" s="126" t="s">
        <v>228</v>
      </c>
      <c r="C148" s="126" t="s">
        <v>229</v>
      </c>
      <c r="D148" s="126" t="s">
        <v>197</v>
      </c>
      <c r="E148" s="65" t="s">
        <v>230</v>
      </c>
      <c r="F148" s="126"/>
      <c r="G148" s="316">
        <v>45180.333333333336</v>
      </c>
      <c r="H148" s="316">
        <v>45180.291666666664</v>
      </c>
      <c r="I148" s="126" t="s">
        <v>490</v>
      </c>
      <c r="J148" s="126" t="s">
        <v>192</v>
      </c>
      <c r="K148" s="126" t="s">
        <v>192</v>
      </c>
      <c r="L148" s="126" t="s">
        <v>2537</v>
      </c>
      <c r="M148" s="529"/>
      <c r="N148" s="126" t="s">
        <v>2156</v>
      </c>
      <c r="O148" s="126" t="s">
        <v>1835</v>
      </c>
      <c r="P148" s="126" t="s">
        <v>494</v>
      </c>
      <c r="Q148" s="181">
        <f>3131*2.4</f>
        <v>7514.4</v>
      </c>
      <c r="R148" s="181">
        <f>7550+100</f>
        <v>7650</v>
      </c>
      <c r="S148" s="181">
        <v>7508.7629999999999</v>
      </c>
      <c r="T148" s="181"/>
      <c r="U148" s="181">
        <f>S148</f>
        <v>7508.7629999999999</v>
      </c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65">
        <f t="shared" si="71"/>
        <v>45180.972222222219</v>
      </c>
      <c r="AZ148" s="165">
        <f t="shared" si="72"/>
        <v>45193.409722222219</v>
      </c>
      <c r="BA148" s="137">
        <f t="shared" si="73"/>
        <v>12.4375</v>
      </c>
      <c r="BB148" s="165">
        <v>45180.972222222219</v>
      </c>
      <c r="BC148" s="165">
        <v>45181.791666666664</v>
      </c>
      <c r="BD148" s="165">
        <v>45183.75</v>
      </c>
      <c r="BE148" s="165">
        <v>45185.496527777781</v>
      </c>
      <c r="BF148" s="165">
        <v>45185.630555555559</v>
      </c>
      <c r="BG148" s="165">
        <v>45185.633333333331</v>
      </c>
      <c r="BH148" s="165">
        <v>45185.638888888891</v>
      </c>
      <c r="BI148" s="165">
        <f t="shared" si="69"/>
        <v>45187.347222222226</v>
      </c>
      <c r="BJ148" s="362">
        <v>45187.25</v>
      </c>
      <c r="BK148" s="362">
        <v>45187.416666608799</v>
      </c>
      <c r="BL148" s="165">
        <v>45187.371527777781</v>
      </c>
      <c r="BM148" s="165">
        <v>45188.75</v>
      </c>
      <c r="BN148" s="165">
        <v>45192.555555555555</v>
      </c>
      <c r="BO148" s="165">
        <v>45192.982638888891</v>
      </c>
      <c r="BP148" s="165">
        <v>45193.006944444445</v>
      </c>
      <c r="BQ148" s="165">
        <v>45193.006944444445</v>
      </c>
      <c r="BR148" s="165">
        <v>45193.409722222219</v>
      </c>
      <c r="BS148" s="126"/>
      <c r="BT148" s="126"/>
      <c r="BU148" s="136">
        <f t="shared" si="74"/>
        <v>47.000000000058208</v>
      </c>
      <c r="BV148" s="136">
        <f t="shared" si="75"/>
        <v>3.2166666666744277</v>
      </c>
      <c r="BW148" s="136">
        <f t="shared" si="76"/>
        <v>41.000000000058208</v>
      </c>
      <c r="BX148" s="136">
        <f t="shared" si="70"/>
        <v>32.000001388834789</v>
      </c>
      <c r="BY148" s="135">
        <f t="shared" si="77"/>
        <v>10.250000000058208</v>
      </c>
      <c r="BZ148" s="135">
        <f t="shared" si="78"/>
        <v>9.6666666665696539</v>
      </c>
      <c r="CA148" s="134">
        <f t="shared" si="79"/>
        <v>5.9638889467605622</v>
      </c>
      <c r="CB148" s="134">
        <f t="shared" si="80"/>
        <v>12.4375</v>
      </c>
      <c r="CC148" s="133">
        <f t="shared" si="81"/>
        <v>0.47950865903602513</v>
      </c>
      <c r="CD148" s="126"/>
      <c r="CE148" s="126"/>
    </row>
    <row r="149" spans="1:83" s="475" customFormat="1">
      <c r="A149" s="192">
        <f t="shared" si="82"/>
        <v>45187.545138888891</v>
      </c>
      <c r="B149" s="126" t="s">
        <v>228</v>
      </c>
      <c r="C149" s="126" t="s">
        <v>229</v>
      </c>
      <c r="D149" s="126" t="s">
        <v>197</v>
      </c>
      <c r="E149" s="65" t="s">
        <v>230</v>
      </c>
      <c r="F149" s="126"/>
      <c r="G149" s="316">
        <v>45180.333333333336</v>
      </c>
      <c r="H149" s="316">
        <v>45180.291666666664</v>
      </c>
      <c r="I149" s="126" t="s">
        <v>490</v>
      </c>
      <c r="J149" s="126" t="s">
        <v>192</v>
      </c>
      <c r="K149" s="126" t="s">
        <v>192</v>
      </c>
      <c r="L149" s="126" t="s">
        <v>2539</v>
      </c>
      <c r="M149" s="529"/>
      <c r="N149" s="126" t="s">
        <v>346</v>
      </c>
      <c r="O149" s="126" t="s">
        <v>347</v>
      </c>
      <c r="P149" s="126" t="s">
        <v>1968</v>
      </c>
      <c r="Q149" s="181">
        <f>3136*2.4</f>
        <v>7526.4</v>
      </c>
      <c r="R149" s="181">
        <f>7550+100</f>
        <v>7650</v>
      </c>
      <c r="S149" s="181">
        <f>7547.358-7514.872</f>
        <v>32.485999999999876</v>
      </c>
      <c r="T149" s="181"/>
      <c r="U149" s="181">
        <f>S149*0.7</f>
        <v>22.740199999999913</v>
      </c>
      <c r="V149" s="181">
        <f>S149*0.3</f>
        <v>9.7457999999999618</v>
      </c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65">
        <f t="shared" si="71"/>
        <v>45182.905555555553</v>
      </c>
      <c r="AZ149" s="165">
        <f t="shared" si="72"/>
        <v>45193.090277777781</v>
      </c>
      <c r="BA149" s="137">
        <f t="shared" si="73"/>
        <v>10.18472222222772</v>
      </c>
      <c r="BB149" s="165">
        <v>45182.905555555553</v>
      </c>
      <c r="BC149" s="165">
        <v>45184.760416666664</v>
      </c>
      <c r="BD149" s="165">
        <v>45186.770833333336</v>
      </c>
      <c r="BE149" s="165">
        <v>45187.545138888891</v>
      </c>
      <c r="BF149" s="165">
        <v>45187.708333333336</v>
      </c>
      <c r="BG149" s="165">
        <v>45187.715277777781</v>
      </c>
      <c r="BH149" s="165">
        <v>45187.715277777781</v>
      </c>
      <c r="BI149" s="165">
        <f t="shared" si="69"/>
        <v>45189.423611111117</v>
      </c>
      <c r="BJ149" s="362">
        <v>45189.25</v>
      </c>
      <c r="BK149" s="362">
        <v>45189.416666608799</v>
      </c>
      <c r="BL149" s="210">
        <v>45189.444444444445</v>
      </c>
      <c r="BM149" s="165">
        <v>45190.986111111109</v>
      </c>
      <c r="BN149" s="165">
        <v>45193.041666666664</v>
      </c>
      <c r="BO149" s="165">
        <v>45193.048611111109</v>
      </c>
      <c r="BP149" s="165">
        <v>45193.090277777781</v>
      </c>
      <c r="BQ149" s="165">
        <v>45193.090277777781</v>
      </c>
      <c r="BR149" s="165">
        <v>45193.090277777781</v>
      </c>
      <c r="BS149" s="126"/>
      <c r="BT149" s="126"/>
      <c r="BU149" s="136">
        <f t="shared" si="74"/>
        <v>48.250000000116415</v>
      </c>
      <c r="BV149" s="136">
        <f t="shared" si="75"/>
        <v>3.9166666666860692</v>
      </c>
      <c r="BW149" s="136">
        <f t="shared" si="76"/>
        <v>41.000000000058208</v>
      </c>
      <c r="BX149" s="136">
        <f t="shared" si="70"/>
        <v>37.666668055462651</v>
      </c>
      <c r="BY149" s="135">
        <f t="shared" si="77"/>
        <v>0.16666666668606922</v>
      </c>
      <c r="BZ149" s="135">
        <f t="shared" si="78"/>
        <v>0</v>
      </c>
      <c r="CA149" s="134">
        <f t="shared" si="79"/>
        <v>5.4583333912087255</v>
      </c>
      <c r="CB149" s="134">
        <f t="shared" si="80"/>
        <v>10.18472222222772</v>
      </c>
      <c r="CC149" s="133">
        <f t="shared" si="81"/>
        <v>0.53593345720280394</v>
      </c>
      <c r="CD149" s="126"/>
      <c r="CE149" s="126"/>
    </row>
    <row r="150" spans="1:83" s="475" customFormat="1">
      <c r="A150" s="192">
        <f t="shared" si="82"/>
        <v>45187.545138888891</v>
      </c>
      <c r="B150" s="126" t="s">
        <v>228</v>
      </c>
      <c r="C150" s="126" t="s">
        <v>229</v>
      </c>
      <c r="D150" s="126" t="s">
        <v>197</v>
      </c>
      <c r="E150" s="65" t="s">
        <v>2574</v>
      </c>
      <c r="F150" s="126"/>
      <c r="G150" s="316">
        <v>45189.000694444447</v>
      </c>
      <c r="H150" s="316">
        <v>45189.024305555555</v>
      </c>
      <c r="I150" s="126" t="s">
        <v>490</v>
      </c>
      <c r="J150" s="126" t="s">
        <v>192</v>
      </c>
      <c r="K150" s="126" t="s">
        <v>192</v>
      </c>
      <c r="L150" s="126" t="s">
        <v>2539</v>
      </c>
      <c r="M150" s="529"/>
      <c r="N150" s="126" t="s">
        <v>346</v>
      </c>
      <c r="O150" s="126" t="s">
        <v>347</v>
      </c>
      <c r="P150" s="126" t="s">
        <v>1968</v>
      </c>
      <c r="Q150" s="181">
        <f>3136*2.4</f>
        <v>7526.4</v>
      </c>
      <c r="R150" s="181">
        <f>7550+100</f>
        <v>7650</v>
      </c>
      <c r="S150" s="181">
        <v>7233.4250000000002</v>
      </c>
      <c r="T150" s="181"/>
      <c r="U150" s="181">
        <f>S150*0.7</f>
        <v>5063.3975</v>
      </c>
      <c r="V150" s="181">
        <f>S150*0.3</f>
        <v>2170.0275000000001</v>
      </c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65">
        <f t="shared" si="71"/>
        <v>45182.905555555553</v>
      </c>
      <c r="AZ150" s="165">
        <f t="shared" si="72"/>
        <v>45198.416666666664</v>
      </c>
      <c r="BA150" s="137">
        <f t="shared" si="73"/>
        <v>15.511111111110949</v>
      </c>
      <c r="BB150" s="165">
        <v>45182.905555555553</v>
      </c>
      <c r="BC150" s="165">
        <v>45184.760416666664</v>
      </c>
      <c r="BD150" s="165">
        <v>45186.770833333336</v>
      </c>
      <c r="BE150" s="165">
        <v>45187.545138888891</v>
      </c>
      <c r="BF150" s="165">
        <v>45187.708333333336</v>
      </c>
      <c r="BG150" s="165">
        <v>45187.715277777781</v>
      </c>
      <c r="BH150" s="165">
        <v>45187.715277777781</v>
      </c>
      <c r="BI150" s="165">
        <f t="shared" si="69"/>
        <v>45189.423611111117</v>
      </c>
      <c r="BJ150" s="362">
        <v>45189.25</v>
      </c>
      <c r="BK150" s="362">
        <v>45189.416666608799</v>
      </c>
      <c r="BL150" s="165">
        <v>45189.444444444445</v>
      </c>
      <c r="BM150" s="165">
        <v>45193.090277777781</v>
      </c>
      <c r="BN150" s="165">
        <v>45197.625</v>
      </c>
      <c r="BO150" s="165">
        <v>45197.979166666664</v>
      </c>
      <c r="BP150" s="165">
        <v>45198</v>
      </c>
      <c r="BQ150" s="165">
        <v>45198</v>
      </c>
      <c r="BR150" s="165">
        <v>45198.416666666664</v>
      </c>
      <c r="BS150" s="126"/>
      <c r="BT150" s="126"/>
      <c r="BU150" s="136">
        <f t="shared" si="74"/>
        <v>48.250000000116415</v>
      </c>
      <c r="BV150" s="136">
        <f t="shared" si="75"/>
        <v>3.9166666666860692</v>
      </c>
      <c r="BW150" s="136">
        <f t="shared" si="76"/>
        <v>41.000000000058208</v>
      </c>
      <c r="BX150" s="136">
        <f t="shared" si="70"/>
        <v>88.166668055579066</v>
      </c>
      <c r="BY150" s="135">
        <f t="shared" si="77"/>
        <v>8.4999999999417923</v>
      </c>
      <c r="BZ150" s="135">
        <f t="shared" si="78"/>
        <v>9.9999999999417923</v>
      </c>
      <c r="CA150" s="134">
        <f t="shared" si="79"/>
        <v>8.3263889467634726</v>
      </c>
      <c r="CB150" s="134">
        <f t="shared" si="80"/>
        <v>15.511111111110949</v>
      </c>
      <c r="CC150" s="133">
        <f t="shared" si="81"/>
        <v>0.53680157966240716</v>
      </c>
      <c r="CD150" s="126"/>
      <c r="CE150" s="126"/>
    </row>
    <row r="151" spans="1:83" s="475" customFormat="1">
      <c r="A151" s="192">
        <f t="shared" si="82"/>
        <v>45189.618055555555</v>
      </c>
      <c r="B151" s="126" t="s">
        <v>228</v>
      </c>
      <c r="C151" s="126" t="s">
        <v>229</v>
      </c>
      <c r="D151" s="126" t="s">
        <v>215</v>
      </c>
      <c r="E151" s="65" t="s">
        <v>2574</v>
      </c>
      <c r="F151" s="126"/>
      <c r="G151" s="316">
        <v>45189.000694444447</v>
      </c>
      <c r="H151" s="316">
        <v>45189.024305555555</v>
      </c>
      <c r="I151" s="126" t="s">
        <v>490</v>
      </c>
      <c r="J151" s="126" t="s">
        <v>192</v>
      </c>
      <c r="K151" s="126" t="s">
        <v>192</v>
      </c>
      <c r="L151" s="126" t="s">
        <v>2581</v>
      </c>
      <c r="M151" s="167"/>
      <c r="N151" s="126" t="s">
        <v>422</v>
      </c>
      <c r="O151" s="126" t="s">
        <v>375</v>
      </c>
      <c r="P151" s="126" t="s">
        <v>1968</v>
      </c>
      <c r="Q151" s="181">
        <f>3097*2.4</f>
        <v>7432.7999999999993</v>
      </c>
      <c r="R151" s="181">
        <f>7450+100</f>
        <v>7550</v>
      </c>
      <c r="S151" s="181">
        <v>7449.1790000000001</v>
      </c>
      <c r="T151" s="181"/>
      <c r="U151" s="181">
        <f>S151*0.7</f>
        <v>5214.4252999999999</v>
      </c>
      <c r="V151" s="181">
        <f>S151*0.3</f>
        <v>2234.7536999999998</v>
      </c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65">
        <f t="shared" si="71"/>
        <v>45183.493055555555</v>
      </c>
      <c r="AZ151" s="165">
        <f t="shared" si="72"/>
        <v>45196.263888888891</v>
      </c>
      <c r="BA151" s="137">
        <f t="shared" si="73"/>
        <v>12.770833333335759</v>
      </c>
      <c r="BB151" s="165">
        <v>45183.493055555555</v>
      </c>
      <c r="BC151" s="165">
        <v>45185.607638888891</v>
      </c>
      <c r="BD151" s="165">
        <v>45187.434027777781</v>
      </c>
      <c r="BE151" s="165">
        <v>45189.618055555555</v>
      </c>
      <c r="BF151" s="165">
        <v>45189.75</v>
      </c>
      <c r="BG151" s="165">
        <v>45189.753472222219</v>
      </c>
      <c r="BH151" s="165">
        <v>45190.291666666664</v>
      </c>
      <c r="BI151" s="165">
        <f t="shared" si="69"/>
        <v>45192</v>
      </c>
      <c r="BJ151" s="362">
        <v>45192.25</v>
      </c>
      <c r="BK151" s="362">
        <v>45192.416666608799</v>
      </c>
      <c r="BL151" s="210">
        <v>45192.375</v>
      </c>
      <c r="BM151" s="210">
        <v>45193.493055555555</v>
      </c>
      <c r="BN151" s="165">
        <v>45195.4375</v>
      </c>
      <c r="BO151" s="165">
        <v>45195.6875</v>
      </c>
      <c r="BP151" s="165">
        <v>45195.708333333336</v>
      </c>
      <c r="BQ151" s="165">
        <v>45196.045138888891</v>
      </c>
      <c r="BR151" s="165">
        <v>45196.263888888891</v>
      </c>
      <c r="BS151" s="126"/>
      <c r="BT151" s="126"/>
      <c r="BU151" s="136">
        <f t="shared" si="74"/>
        <v>43.833333333372138</v>
      </c>
      <c r="BV151" s="136">
        <f t="shared" si="75"/>
        <v>3.1666666666860692</v>
      </c>
      <c r="BW151" s="136">
        <f t="shared" si="76"/>
        <v>41.000000000058208</v>
      </c>
      <c r="BX151" s="136">
        <f t="shared" si="70"/>
        <v>25.83333472214872</v>
      </c>
      <c r="BY151" s="135">
        <f t="shared" si="77"/>
        <v>6</v>
      </c>
      <c r="BZ151" s="135">
        <f t="shared" si="78"/>
        <v>5.25</v>
      </c>
      <c r="CA151" s="134">
        <f t="shared" si="79"/>
        <v>5.211805613427714</v>
      </c>
      <c r="CB151" s="134">
        <f t="shared" si="80"/>
        <v>12.770833333335759</v>
      </c>
      <c r="CC151" s="133">
        <f t="shared" si="81"/>
        <v>0.40810223400405016</v>
      </c>
      <c r="CD151" s="126"/>
      <c r="CE151" s="126"/>
    </row>
    <row r="152" spans="1:83" s="475" customFormat="1">
      <c r="A152" s="192">
        <f t="shared" si="82"/>
        <v>45189.805555555555</v>
      </c>
      <c r="B152" s="126" t="s">
        <v>228</v>
      </c>
      <c r="C152" s="126" t="s">
        <v>229</v>
      </c>
      <c r="D152" s="126" t="s">
        <v>197</v>
      </c>
      <c r="E152" s="65" t="s">
        <v>2574</v>
      </c>
      <c r="F152" s="126"/>
      <c r="G152" s="316">
        <v>45189.000694444447</v>
      </c>
      <c r="H152" s="316">
        <v>45189.024305555555</v>
      </c>
      <c r="I152" s="126" t="s">
        <v>490</v>
      </c>
      <c r="J152" s="126" t="s">
        <v>192</v>
      </c>
      <c r="K152" s="126" t="s">
        <v>192</v>
      </c>
      <c r="L152" s="126" t="s">
        <v>2582</v>
      </c>
      <c r="M152" s="529"/>
      <c r="N152" s="126" t="s">
        <v>2207</v>
      </c>
      <c r="O152" s="126" t="s">
        <v>2208</v>
      </c>
      <c r="P152" s="126" t="s">
        <v>1968</v>
      </c>
      <c r="Q152" s="181">
        <f>3031*2.4</f>
        <v>7274.4</v>
      </c>
      <c r="R152" s="181">
        <f>7300+100</f>
        <v>7400</v>
      </c>
      <c r="S152" s="181">
        <v>7348.8040000000001</v>
      </c>
      <c r="T152" s="181"/>
      <c r="U152" s="181">
        <f>S152*0.7</f>
        <v>5144.1628000000001</v>
      </c>
      <c r="V152" s="181">
        <f>S152*0.3</f>
        <v>2204.6412</v>
      </c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65">
        <f t="shared" si="71"/>
        <v>45184.447916666664</v>
      </c>
      <c r="AZ152" s="165">
        <f t="shared" si="72"/>
        <v>45196.315972222219</v>
      </c>
      <c r="BA152" s="137">
        <f t="shared" si="73"/>
        <v>11.868055555554747</v>
      </c>
      <c r="BB152" s="165">
        <v>45184.447916666664</v>
      </c>
      <c r="BC152" s="165">
        <v>45185.677083333336</v>
      </c>
      <c r="BD152" s="165">
        <v>45187.444444444445</v>
      </c>
      <c r="BE152" s="165">
        <v>45189.805555555555</v>
      </c>
      <c r="BF152" s="165">
        <v>45189.944444444445</v>
      </c>
      <c r="BG152" s="165">
        <v>45189.951388888891</v>
      </c>
      <c r="BH152" s="165">
        <v>45190.263888888891</v>
      </c>
      <c r="BI152" s="165">
        <f t="shared" si="69"/>
        <v>45191.972222222226</v>
      </c>
      <c r="BJ152" s="362">
        <v>45192.25</v>
      </c>
      <c r="BK152" s="651">
        <v>45192.416666608799</v>
      </c>
      <c r="BL152" s="210">
        <v>45192.364583333336</v>
      </c>
      <c r="BM152" s="165">
        <v>45193.510416666664</v>
      </c>
      <c r="BN152" s="165">
        <v>45195.75</v>
      </c>
      <c r="BO152" s="165">
        <v>45195.979166666664</v>
      </c>
      <c r="BP152" s="165">
        <v>45196</v>
      </c>
      <c r="BQ152" s="165">
        <v>45196</v>
      </c>
      <c r="BR152" s="165">
        <v>45196.315972222219</v>
      </c>
      <c r="BS152" s="126"/>
      <c r="BT152" s="126"/>
      <c r="BU152" s="136">
        <f t="shared" si="74"/>
        <v>42.416666666627862</v>
      </c>
      <c r="BV152" s="136">
        <f t="shared" si="75"/>
        <v>3.3333333333721384</v>
      </c>
      <c r="BW152" s="136">
        <f t="shared" si="76"/>
        <v>41.000000000058208</v>
      </c>
      <c r="BX152" s="136">
        <f t="shared" si="70"/>
        <v>26.250001388776582</v>
      </c>
      <c r="BY152" s="135">
        <f t="shared" si="77"/>
        <v>5.4999999999417923</v>
      </c>
      <c r="BZ152" s="135">
        <f t="shared" si="78"/>
        <v>7.5833333332557231</v>
      </c>
      <c r="CA152" s="134">
        <f t="shared" si="79"/>
        <v>5.2534722800846794</v>
      </c>
      <c r="CB152" s="134">
        <f t="shared" si="80"/>
        <v>11.868055555554747</v>
      </c>
      <c r="CC152" s="133">
        <f t="shared" si="81"/>
        <v>0.44265652915871584</v>
      </c>
      <c r="CD152" s="126"/>
      <c r="CE152" s="126"/>
    </row>
    <row r="153" spans="1:83" s="475" customFormat="1">
      <c r="A153" s="192">
        <f t="shared" si="82"/>
        <v>45189.975694444445</v>
      </c>
      <c r="B153" s="126" t="s">
        <v>228</v>
      </c>
      <c r="C153" s="126" t="s">
        <v>229</v>
      </c>
      <c r="D153" s="126" t="s">
        <v>215</v>
      </c>
      <c r="E153" s="65" t="s">
        <v>2574</v>
      </c>
      <c r="F153" s="126"/>
      <c r="G153" s="316">
        <v>45189.000694444447</v>
      </c>
      <c r="H153" s="316">
        <v>45189.024305555555</v>
      </c>
      <c r="I153" s="126" t="s">
        <v>490</v>
      </c>
      <c r="J153" s="126" t="s">
        <v>192</v>
      </c>
      <c r="K153" s="126" t="s">
        <v>192</v>
      </c>
      <c r="L153" s="126" t="s">
        <v>2580</v>
      </c>
      <c r="M153" s="529"/>
      <c r="N153" s="126" t="s">
        <v>310</v>
      </c>
      <c r="O153" s="126" t="s">
        <v>219</v>
      </c>
      <c r="P153" s="126" t="s">
        <v>1968</v>
      </c>
      <c r="Q153" s="181">
        <f>3087*2.4</f>
        <v>7408.7999999999993</v>
      </c>
      <c r="R153" s="181">
        <f>7450+100</f>
        <v>7550</v>
      </c>
      <c r="S153" s="181">
        <v>7595.866</v>
      </c>
      <c r="T153" s="181"/>
      <c r="U153" s="181">
        <f>S153*0.7</f>
        <v>5317.1061999999993</v>
      </c>
      <c r="V153" s="181">
        <f>S153*0.3</f>
        <v>2278.7597999999998</v>
      </c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65">
        <f t="shared" si="71"/>
        <v>45184.329861111109</v>
      </c>
      <c r="AZ153" s="165">
        <f t="shared" si="72"/>
        <v>45195.913194444445</v>
      </c>
      <c r="BA153" s="137">
        <f t="shared" si="73"/>
        <v>11.583333333335759</v>
      </c>
      <c r="BB153" s="165">
        <v>45184.329861111109</v>
      </c>
      <c r="BC153" s="165">
        <v>45185.59375</v>
      </c>
      <c r="BD153" s="165">
        <v>45187.503472222219</v>
      </c>
      <c r="BE153" s="165">
        <v>45189.975694444445</v>
      </c>
      <c r="BF153" s="165">
        <v>45190.125</v>
      </c>
      <c r="BG153" s="165">
        <v>45190.135416666664</v>
      </c>
      <c r="BH153" s="165">
        <v>45190.25</v>
      </c>
      <c r="BI153" s="165">
        <f t="shared" si="69"/>
        <v>45191.958333333336</v>
      </c>
      <c r="BJ153" s="362">
        <v>45192.25</v>
      </c>
      <c r="BK153" s="362">
        <v>45192.416666608799</v>
      </c>
      <c r="BL153" s="165">
        <v>45192.28125</v>
      </c>
      <c r="BM153" s="165">
        <v>45193.385416666664</v>
      </c>
      <c r="BN153" s="165">
        <v>45195.0625</v>
      </c>
      <c r="BO153" s="165">
        <v>45195.375</v>
      </c>
      <c r="BP153" s="165">
        <v>45195.395833333336</v>
      </c>
      <c r="BQ153" s="165">
        <v>45195.625</v>
      </c>
      <c r="BR153" s="165">
        <v>45195.913194444445</v>
      </c>
      <c r="BS153" s="126"/>
      <c r="BT153" s="126"/>
      <c r="BU153" s="136">
        <f t="shared" si="74"/>
        <v>45.833333333255723</v>
      </c>
      <c r="BV153" s="136">
        <f t="shared" si="75"/>
        <v>3.5833333333139308</v>
      </c>
      <c r="BW153" s="136">
        <f t="shared" si="76"/>
        <v>41.000000000058208</v>
      </c>
      <c r="BX153" s="136">
        <f t="shared" si="70"/>
        <v>23.250001388776582</v>
      </c>
      <c r="BY153" s="135">
        <f t="shared" si="77"/>
        <v>7.5</v>
      </c>
      <c r="BZ153" s="135">
        <f t="shared" si="78"/>
        <v>6.9166666666860692</v>
      </c>
      <c r="CA153" s="134">
        <f t="shared" si="79"/>
        <v>5.336805613420438</v>
      </c>
      <c r="CB153" s="134">
        <f t="shared" si="80"/>
        <v>11.583333333335759</v>
      </c>
      <c r="CC153" s="133">
        <f t="shared" si="81"/>
        <v>0.46073141986353849</v>
      </c>
      <c r="CD153" s="126"/>
      <c r="CE153" s="126"/>
    </row>
    <row r="154" spans="1:83" s="475" customFormat="1">
      <c r="A154" s="192">
        <f t="shared" si="82"/>
        <v>45190.166666666664</v>
      </c>
      <c r="B154" s="126" t="s">
        <v>228</v>
      </c>
      <c r="C154" s="126" t="s">
        <v>229</v>
      </c>
      <c r="D154" s="126" t="s">
        <v>197</v>
      </c>
      <c r="E154" s="65" t="s">
        <v>2574</v>
      </c>
      <c r="F154" s="126"/>
      <c r="G154" s="316">
        <v>45189.000694444447</v>
      </c>
      <c r="H154" s="316">
        <v>45189.024305555555</v>
      </c>
      <c r="I154" s="126" t="s">
        <v>490</v>
      </c>
      <c r="J154" s="126" t="s">
        <v>192</v>
      </c>
      <c r="K154" s="126" t="s">
        <v>192</v>
      </c>
      <c r="L154" s="126" t="s">
        <v>2583</v>
      </c>
      <c r="M154" s="529"/>
      <c r="N154" s="126" t="s">
        <v>1848</v>
      </c>
      <c r="O154" s="126" t="s">
        <v>350</v>
      </c>
      <c r="P154" s="126" t="s">
        <v>494</v>
      </c>
      <c r="Q154" s="181">
        <f>3077*2.4</f>
        <v>7384.7999999999993</v>
      </c>
      <c r="R154" s="181">
        <f>7400+100</f>
        <v>7500</v>
      </c>
      <c r="S154" s="181">
        <f>7502.34-5674.843</f>
        <v>1827.4970000000003</v>
      </c>
      <c r="T154" s="181"/>
      <c r="U154" s="181">
        <f>S154</f>
        <v>1827.4970000000003</v>
      </c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65">
        <f t="shared" si="71"/>
        <v>45184.569444444445</v>
      </c>
      <c r="AZ154" s="165">
        <f t="shared" si="72"/>
        <v>45198.243055555555</v>
      </c>
      <c r="BA154" s="137">
        <f t="shared" si="73"/>
        <v>13.673611111109494</v>
      </c>
      <c r="BB154" s="165">
        <v>45184.569444444445</v>
      </c>
      <c r="BC154" s="165">
        <v>45185.760416666664</v>
      </c>
      <c r="BD154" s="165">
        <v>45187.53125</v>
      </c>
      <c r="BE154" s="165">
        <v>45190.166666666664</v>
      </c>
      <c r="BF154" s="165">
        <v>45190.413194444445</v>
      </c>
      <c r="BG154" s="165">
        <v>45190.416666666664</v>
      </c>
      <c r="BH154" s="165">
        <v>45190.416666666664</v>
      </c>
      <c r="BI154" s="165">
        <f t="shared" si="69"/>
        <v>45192.125</v>
      </c>
      <c r="BJ154" s="210">
        <v>45194.541666608799</v>
      </c>
      <c r="BK154" s="210">
        <v>45194.708333333336</v>
      </c>
      <c r="BL154" s="210">
        <v>45194.625</v>
      </c>
      <c r="BM154" s="165">
        <v>45195.729166666664</v>
      </c>
      <c r="BN154" s="165">
        <v>45198.041666666664</v>
      </c>
      <c r="BO154" s="165">
        <v>45198.159722222219</v>
      </c>
      <c r="BP154" s="165">
        <v>45198.243055555555</v>
      </c>
      <c r="BQ154" s="165">
        <v>45198.243055555555</v>
      </c>
      <c r="BR154" s="165">
        <v>45198.243055555555</v>
      </c>
      <c r="BS154" s="126"/>
      <c r="BT154" s="126"/>
      <c r="BU154" s="136">
        <f t="shared" si="74"/>
        <v>42.500000000058208</v>
      </c>
      <c r="BV154" s="136">
        <f t="shared" si="75"/>
        <v>5.9166666667442769</v>
      </c>
      <c r="BW154" s="136">
        <f t="shared" si="76"/>
        <v>41.000000000058208</v>
      </c>
      <c r="BX154" s="136">
        <f t="shared" si="70"/>
        <v>24.499999999883585</v>
      </c>
      <c r="BY154" s="135">
        <f t="shared" si="77"/>
        <v>2.8333333333139308</v>
      </c>
      <c r="BZ154" s="135">
        <f t="shared" si="78"/>
        <v>0</v>
      </c>
      <c r="CA154" s="134">
        <f t="shared" si="79"/>
        <v>4.8645833333357587</v>
      </c>
      <c r="CB154" s="134">
        <f t="shared" si="80"/>
        <v>13.673611111109494</v>
      </c>
      <c r="CC154" s="133">
        <f t="shared" si="81"/>
        <v>0.35576434738467855</v>
      </c>
      <c r="CD154" s="126"/>
      <c r="CE154" s="126"/>
    </row>
    <row r="155" spans="1:83" s="475" customFormat="1">
      <c r="A155" s="521">
        <f t="shared" si="82"/>
        <v>45190.166666666664</v>
      </c>
      <c r="B155" s="369" t="s">
        <v>228</v>
      </c>
      <c r="C155" s="369" t="s">
        <v>229</v>
      </c>
      <c r="D155" s="369" t="s">
        <v>197</v>
      </c>
      <c r="E155" s="271" t="s">
        <v>1084</v>
      </c>
      <c r="F155" s="369"/>
      <c r="G155" s="492">
        <v>45188.666666666664</v>
      </c>
      <c r="H155" s="492">
        <v>45188.574999999997</v>
      </c>
      <c r="I155" s="369" t="s">
        <v>490</v>
      </c>
      <c r="J155" s="369" t="s">
        <v>192</v>
      </c>
      <c r="K155" s="369" t="s">
        <v>192</v>
      </c>
      <c r="L155" s="126" t="s">
        <v>2583</v>
      </c>
      <c r="M155" s="529"/>
      <c r="N155" s="369" t="s">
        <v>1848</v>
      </c>
      <c r="O155" s="369" t="s">
        <v>350</v>
      </c>
      <c r="P155" s="369" t="s">
        <v>494</v>
      </c>
      <c r="Q155" s="520">
        <f>3077*2.4</f>
        <v>7384.7999999999993</v>
      </c>
      <c r="R155" s="520">
        <f>7400+100</f>
        <v>7500</v>
      </c>
      <c r="S155" s="520">
        <v>4150.9120000000003</v>
      </c>
      <c r="T155" s="520"/>
      <c r="U155" s="520">
        <f>S155</f>
        <v>4150.9120000000003</v>
      </c>
      <c r="V155" s="369"/>
      <c r="W155" s="369"/>
      <c r="X155" s="369"/>
      <c r="Y155" s="369"/>
      <c r="Z155" s="369"/>
      <c r="AA155" s="369"/>
      <c r="AB155" s="369"/>
      <c r="AC155" s="369"/>
      <c r="AD155" s="369"/>
      <c r="AE155" s="369"/>
      <c r="AF155" s="369"/>
      <c r="AG155" s="369"/>
      <c r="AH155" s="369"/>
      <c r="AI155" s="369"/>
      <c r="AJ155" s="369"/>
      <c r="AK155" s="369"/>
      <c r="AL155" s="369"/>
      <c r="AM155" s="369"/>
      <c r="AN155" s="369"/>
      <c r="AO155" s="369"/>
      <c r="AP155" s="369"/>
      <c r="AQ155" s="369"/>
      <c r="AR155" s="369"/>
      <c r="AS155" s="369"/>
      <c r="AT155" s="369"/>
      <c r="AU155" s="369"/>
      <c r="AV155" s="369"/>
      <c r="AW155" s="369"/>
      <c r="AX155" s="369"/>
      <c r="AY155" s="522">
        <f t="shared" si="71"/>
        <v>45184.569444444445</v>
      </c>
      <c r="AZ155" s="522">
        <f t="shared" si="72"/>
        <v>45208.958333333336</v>
      </c>
      <c r="BA155" s="523">
        <f t="shared" si="73"/>
        <v>24.388888888890506</v>
      </c>
      <c r="BB155" s="522">
        <v>45184.569444444445</v>
      </c>
      <c r="BC155" s="522">
        <v>45185.760416666664</v>
      </c>
      <c r="BD155" s="522">
        <v>45187.53125</v>
      </c>
      <c r="BE155" s="522">
        <v>45190.166666666664</v>
      </c>
      <c r="BF155" s="522">
        <v>45190.413194444445</v>
      </c>
      <c r="BG155" s="522">
        <v>45190.416666666664</v>
      </c>
      <c r="BH155" s="522">
        <v>45190.416666666664</v>
      </c>
      <c r="BI155" s="522">
        <f t="shared" si="69"/>
        <v>45192.125</v>
      </c>
      <c r="BJ155" s="522">
        <v>45194.541666608799</v>
      </c>
      <c r="BK155" s="522">
        <v>45194.708333333336</v>
      </c>
      <c r="BL155" s="522">
        <v>45194.625</v>
      </c>
      <c r="BM155" s="522">
        <v>45198.243055555555</v>
      </c>
      <c r="BN155" s="522">
        <v>45208.479166666664</v>
      </c>
      <c r="BO155" s="522">
        <v>45208.645833333336</v>
      </c>
      <c r="BP155" s="522">
        <v>45208.666666666664</v>
      </c>
      <c r="BQ155" s="522">
        <v>45208.6875</v>
      </c>
      <c r="BR155" s="522">
        <v>45208.958333333336</v>
      </c>
      <c r="BS155" s="369"/>
      <c r="BT155" s="369"/>
      <c r="BU155" s="525">
        <f t="shared" si="74"/>
        <v>42.500000000058208</v>
      </c>
      <c r="BV155" s="525">
        <f t="shared" si="75"/>
        <v>5.9166666667442769</v>
      </c>
      <c r="BW155" s="525">
        <f t="shared" si="76"/>
        <v>41.000000000058208</v>
      </c>
      <c r="BX155" s="525">
        <f t="shared" si="70"/>
        <v>84.833333333255723</v>
      </c>
      <c r="BY155" s="526">
        <f t="shared" si="77"/>
        <v>4.0000000001164153</v>
      </c>
      <c r="BZ155" s="526">
        <f t="shared" si="78"/>
        <v>6.5000000000582077</v>
      </c>
      <c r="CA155" s="304">
        <f t="shared" si="79"/>
        <v>7.6979166666787933</v>
      </c>
      <c r="CB155" s="304">
        <f t="shared" si="80"/>
        <v>24.388888888890506</v>
      </c>
      <c r="CC155" s="305">
        <f t="shared" si="81"/>
        <v>0.31563211845150135</v>
      </c>
      <c r="CD155" s="369"/>
      <c r="CE155" s="369"/>
    </row>
    <row r="156" spans="1:83" s="475" customFormat="1">
      <c r="A156" s="474">
        <f t="shared" si="82"/>
        <v>45191.166666666664</v>
      </c>
      <c r="B156" s="475" t="s">
        <v>228</v>
      </c>
      <c r="C156" s="475" t="s">
        <v>229</v>
      </c>
      <c r="D156" s="475" t="s">
        <v>215</v>
      </c>
      <c r="E156" s="476" t="s">
        <v>1084</v>
      </c>
      <c r="G156" s="472">
        <v>45188.666666666664</v>
      </c>
      <c r="H156" s="472">
        <v>45188.574999999997</v>
      </c>
      <c r="I156" s="475" t="s">
        <v>490</v>
      </c>
      <c r="J156" s="475" t="s">
        <v>192</v>
      </c>
      <c r="K156" s="475" t="s">
        <v>192</v>
      </c>
      <c r="L156" s="475" t="s">
        <v>2841</v>
      </c>
      <c r="M156" s="529"/>
      <c r="N156" s="475" t="s">
        <v>352</v>
      </c>
      <c r="O156" s="475" t="s">
        <v>353</v>
      </c>
      <c r="P156" s="475" t="s">
        <v>494</v>
      </c>
      <c r="Q156" s="477">
        <f>3852*2.4</f>
        <v>9244.7999999999993</v>
      </c>
      <c r="R156" s="477">
        <f>9250+100</f>
        <v>9350</v>
      </c>
      <c r="S156" s="477">
        <v>9183.6</v>
      </c>
      <c r="T156" s="477"/>
      <c r="U156" s="477">
        <f>S156</f>
        <v>9183.6</v>
      </c>
      <c r="AY156" s="473">
        <f t="shared" si="71"/>
        <v>45185.388888888891</v>
      </c>
      <c r="AZ156" s="473">
        <f t="shared" si="72"/>
        <v>45209.5</v>
      </c>
      <c r="BA156" s="479">
        <f t="shared" si="73"/>
        <v>24.111111111109494</v>
      </c>
      <c r="BB156" s="473">
        <v>45185.388888888891</v>
      </c>
      <c r="BC156" s="473">
        <v>45185.756944444445</v>
      </c>
      <c r="BD156" s="473">
        <v>45187.472222222219</v>
      </c>
      <c r="BE156" s="473">
        <v>45191.166666666664</v>
      </c>
      <c r="BF156" s="473">
        <v>45191.487500000003</v>
      </c>
      <c r="BG156" s="473">
        <v>45191.496527777781</v>
      </c>
      <c r="BH156" s="473">
        <v>45191.5</v>
      </c>
      <c r="BI156" s="473">
        <f t="shared" si="69"/>
        <v>45193.208333333336</v>
      </c>
      <c r="BJ156" s="485">
        <v>45198.25</v>
      </c>
      <c r="BK156" s="485">
        <v>45198.416666666664</v>
      </c>
      <c r="BL156" s="473">
        <v>45198.444444444445</v>
      </c>
      <c r="BM156" s="473">
        <v>45200.3125</v>
      </c>
      <c r="BN156" s="473">
        <v>45208.708333333336</v>
      </c>
      <c r="BO156" s="473">
        <v>45209.041666666672</v>
      </c>
      <c r="BP156" s="473">
        <v>45209.0625</v>
      </c>
      <c r="BQ156" s="473">
        <v>45209.069444444445</v>
      </c>
      <c r="BR156" s="473">
        <v>45209.5</v>
      </c>
      <c r="BU156" s="481">
        <f t="shared" si="74"/>
        <v>41.166666666569654</v>
      </c>
      <c r="BV156" s="481">
        <f t="shared" si="75"/>
        <v>7.7000000001280569</v>
      </c>
      <c r="BW156" s="481">
        <f t="shared" si="76"/>
        <v>41.000000000058208</v>
      </c>
      <c r="BX156" s="481">
        <f t="shared" si="70"/>
        <v>45.500000000058208</v>
      </c>
      <c r="BY156" s="482">
        <f t="shared" si="77"/>
        <v>8.0000000000582077</v>
      </c>
      <c r="BZ156" s="482">
        <f t="shared" si="78"/>
        <v>10.333333333313931</v>
      </c>
      <c r="CA156" s="483">
        <f t="shared" si="79"/>
        <v>6.4041666666744277</v>
      </c>
      <c r="CB156" s="483">
        <f t="shared" si="80"/>
        <v>24.111111111109494</v>
      </c>
      <c r="CC156" s="484">
        <f t="shared" si="81"/>
        <v>0.26561059907868073</v>
      </c>
    </row>
    <row r="157" spans="1:83" s="475" customFormat="1">
      <c r="A157" s="474">
        <f t="shared" si="82"/>
        <v>45191.520833333336</v>
      </c>
      <c r="B157" s="475" t="s">
        <v>228</v>
      </c>
      <c r="C157" s="475" t="s">
        <v>229</v>
      </c>
      <c r="D157" s="475" t="s">
        <v>215</v>
      </c>
      <c r="E157" s="476" t="s">
        <v>1084</v>
      </c>
      <c r="G157" s="472">
        <v>45188.666666666664</v>
      </c>
      <c r="H157" s="472">
        <v>45188.574999999997</v>
      </c>
      <c r="I157" s="475" t="s">
        <v>490</v>
      </c>
      <c r="J157" s="475" t="s">
        <v>192</v>
      </c>
      <c r="K157" s="475" t="s">
        <v>192</v>
      </c>
      <c r="L157" s="475" t="s">
        <v>2842</v>
      </c>
      <c r="M157" s="529"/>
      <c r="N157" s="475" t="s">
        <v>271</v>
      </c>
      <c r="O157" s="475" t="s">
        <v>272</v>
      </c>
      <c r="P157" s="475" t="s">
        <v>494</v>
      </c>
      <c r="Q157" s="477">
        <f>3852*2.4</f>
        <v>9244.7999999999993</v>
      </c>
      <c r="R157" s="477">
        <f>9250+100</f>
        <v>9350</v>
      </c>
      <c r="S157" s="477">
        <v>9213.4380000000001</v>
      </c>
      <c r="T157" s="477"/>
      <c r="U157" s="477">
        <f>S157</f>
        <v>9213.4380000000001</v>
      </c>
      <c r="AY157" s="473">
        <f t="shared" si="71"/>
        <v>45184.625</v>
      </c>
      <c r="AZ157" s="473">
        <f t="shared" si="72"/>
        <v>45209.694444444445</v>
      </c>
      <c r="BA157" s="479">
        <f t="shared" si="73"/>
        <v>25.069444444445253</v>
      </c>
      <c r="BB157" s="473">
        <v>45184.625</v>
      </c>
      <c r="BC157" s="473">
        <v>45187.776388888888</v>
      </c>
      <c r="BD157" s="473">
        <v>45189.694444444445</v>
      </c>
      <c r="BE157" s="473">
        <v>45191.520833333336</v>
      </c>
      <c r="BF157" s="473">
        <v>45191.694444444445</v>
      </c>
      <c r="BG157" s="473">
        <v>45191.701388888891</v>
      </c>
      <c r="BH157" s="473">
        <v>45191.708333333336</v>
      </c>
      <c r="BI157" s="473">
        <f t="shared" si="69"/>
        <v>45193.416666666672</v>
      </c>
      <c r="BJ157" s="485">
        <v>45198.25</v>
      </c>
      <c r="BK157" s="485">
        <v>45198.416666666664</v>
      </c>
      <c r="BL157" s="473">
        <v>45198.302083333336</v>
      </c>
      <c r="BM157" s="473">
        <v>45199.4375</v>
      </c>
      <c r="BN157" s="473">
        <v>45209.104166666664</v>
      </c>
      <c r="BO157" s="473">
        <v>45209.375</v>
      </c>
      <c r="BP157" s="473">
        <v>45209.395833333336</v>
      </c>
      <c r="BQ157" s="473">
        <v>45209.399305555555</v>
      </c>
      <c r="BR157" s="473">
        <v>45209.694444444445</v>
      </c>
      <c r="BU157" s="481">
        <f t="shared" si="74"/>
        <v>46.03333333338378</v>
      </c>
      <c r="BV157" s="481">
        <f t="shared" si="75"/>
        <v>4.1666666666278616</v>
      </c>
      <c r="BW157" s="481">
        <f t="shared" si="76"/>
        <v>41.000000000058208</v>
      </c>
      <c r="BX157" s="481">
        <f t="shared" si="70"/>
        <v>24.500000000058208</v>
      </c>
      <c r="BY157" s="482">
        <f t="shared" si="77"/>
        <v>6.5000000000582077</v>
      </c>
      <c r="BZ157" s="482">
        <f t="shared" si="78"/>
        <v>7.0833333333721384</v>
      </c>
      <c r="CA157" s="483">
        <f t="shared" si="79"/>
        <v>5.3868055555649335</v>
      </c>
      <c r="CB157" s="483">
        <f t="shared" si="80"/>
        <v>25.069444444445253</v>
      </c>
      <c r="CC157" s="484">
        <f t="shared" si="81"/>
        <v>0.21487534626075497</v>
      </c>
    </row>
    <row r="158" spans="1:83" s="475" customFormat="1">
      <c r="A158" s="474">
        <f t="shared" si="82"/>
        <v>45192.15625</v>
      </c>
      <c r="B158" s="475" t="s">
        <v>228</v>
      </c>
      <c r="C158" s="475" t="s">
        <v>229</v>
      </c>
      <c r="D158" s="475" t="s">
        <v>197</v>
      </c>
      <c r="E158" s="476" t="s">
        <v>1084</v>
      </c>
      <c r="G158" s="472">
        <v>45188.666666666664</v>
      </c>
      <c r="H158" s="472">
        <v>45188.574999999997</v>
      </c>
      <c r="I158" s="475" t="s">
        <v>490</v>
      </c>
      <c r="J158" s="475" t="s">
        <v>192</v>
      </c>
      <c r="K158" s="475" t="s">
        <v>192</v>
      </c>
      <c r="L158" s="475" t="s">
        <v>2843</v>
      </c>
      <c r="M158" s="529"/>
      <c r="N158" s="475" t="s">
        <v>238</v>
      </c>
      <c r="O158" s="475" t="s">
        <v>239</v>
      </c>
      <c r="P158" s="475" t="s">
        <v>494</v>
      </c>
      <c r="Q158" s="477">
        <f>3161*2.4</f>
        <v>7586.4</v>
      </c>
      <c r="R158" s="477">
        <f>7600+100</f>
        <v>7700</v>
      </c>
      <c r="S158" s="477">
        <v>7308.8320000000003</v>
      </c>
      <c r="T158" s="477"/>
      <c r="U158" s="477">
        <f>S158</f>
        <v>7308.8320000000003</v>
      </c>
      <c r="AA158" s="401"/>
      <c r="AY158" s="473">
        <f t="shared" si="71"/>
        <v>45187.0625</v>
      </c>
      <c r="AZ158" s="473">
        <f t="shared" si="72"/>
        <v>45209.958333333336</v>
      </c>
      <c r="BA158" s="479">
        <f t="shared" si="73"/>
        <v>22.895833333335759</v>
      </c>
      <c r="BB158" s="473">
        <v>45187.0625</v>
      </c>
      <c r="BC158" s="473">
        <v>45188.586805555555</v>
      </c>
      <c r="BD158" s="473">
        <v>45190.381944444445</v>
      </c>
      <c r="BE158" s="473">
        <v>45192.15625</v>
      </c>
      <c r="BF158" s="473">
        <v>45192.378472222219</v>
      </c>
      <c r="BG158" s="473">
        <v>45192.385416666664</v>
      </c>
      <c r="BH158" s="473">
        <v>45192.385416666664</v>
      </c>
      <c r="BI158" s="473">
        <f t="shared" si="69"/>
        <v>45194.09375</v>
      </c>
      <c r="BJ158" s="485">
        <v>45198.25</v>
      </c>
      <c r="BK158" s="485">
        <v>45198.416666666664</v>
      </c>
      <c r="BL158" s="473">
        <v>45198.392361111109</v>
      </c>
      <c r="BM158" s="473">
        <v>45199.732638888891</v>
      </c>
      <c r="BN158" s="473">
        <v>45209.4375</v>
      </c>
      <c r="BO158" s="473">
        <v>45209.666666666664</v>
      </c>
      <c r="BP158" s="473">
        <v>45209.6875</v>
      </c>
      <c r="BQ158" s="473">
        <v>45209.694444444445</v>
      </c>
      <c r="BR158" s="473">
        <v>45209.958333333336</v>
      </c>
      <c r="BU158" s="481">
        <f t="shared" si="74"/>
        <v>43.083333333372138</v>
      </c>
      <c r="BV158" s="481">
        <f t="shared" si="75"/>
        <v>5.3333333332557231</v>
      </c>
      <c r="BW158" s="481">
        <f t="shared" si="76"/>
        <v>41.000000000058208</v>
      </c>
      <c r="BX158" s="481">
        <f t="shared" si="70"/>
        <v>31.583333333430346</v>
      </c>
      <c r="BY158" s="482">
        <f t="shared" si="77"/>
        <v>5.4999999999417923</v>
      </c>
      <c r="BZ158" s="482">
        <f t="shared" si="78"/>
        <v>6.3333333333721384</v>
      </c>
      <c r="CA158" s="483">
        <f t="shared" si="79"/>
        <v>5.5347222222262644</v>
      </c>
      <c r="CB158" s="483">
        <f t="shared" si="80"/>
        <v>22.895833333335759</v>
      </c>
      <c r="CC158" s="484">
        <f t="shared" si="81"/>
        <v>0.24173491052487039</v>
      </c>
    </row>
    <row r="159" spans="1:83" s="475" customFormat="1">
      <c r="A159" s="474">
        <f t="shared" si="82"/>
        <v>45192.414583333331</v>
      </c>
      <c r="B159" s="475" t="s">
        <v>228</v>
      </c>
      <c r="C159" s="475" t="s">
        <v>229</v>
      </c>
      <c r="D159" s="475" t="s">
        <v>197</v>
      </c>
      <c r="E159" s="476" t="s">
        <v>1084</v>
      </c>
      <c r="G159" s="472">
        <v>45188.666666666664</v>
      </c>
      <c r="H159" s="472">
        <v>45188.574999999997</v>
      </c>
      <c r="I159" s="475" t="s">
        <v>490</v>
      </c>
      <c r="J159" s="475" t="s">
        <v>192</v>
      </c>
      <c r="K159" s="475" t="s">
        <v>192</v>
      </c>
      <c r="L159" s="475" t="s">
        <v>2844</v>
      </c>
      <c r="M159" s="529"/>
      <c r="N159" s="475" t="s">
        <v>1240</v>
      </c>
      <c r="O159" s="475" t="s">
        <v>1241</v>
      </c>
      <c r="P159" s="475" t="s">
        <v>1968</v>
      </c>
      <c r="Q159" s="477">
        <f>3243*2.4</f>
        <v>7783.2</v>
      </c>
      <c r="R159" s="477">
        <f>7800+100</f>
        <v>7900</v>
      </c>
      <c r="S159" s="477">
        <f>7510.636-804.631</f>
        <v>6706.0050000000001</v>
      </c>
      <c r="T159" s="477"/>
      <c r="U159" s="477">
        <f>S159*0.8</f>
        <v>5364.8040000000001</v>
      </c>
      <c r="V159" s="477">
        <f>S159*0.2</f>
        <v>1341.201</v>
      </c>
      <c r="W159" s="401"/>
      <c r="Y159" s="401"/>
      <c r="Z159" s="401"/>
      <c r="AA159" s="401"/>
      <c r="AY159" s="473">
        <f t="shared" si="71"/>
        <v>45186.895833333336</v>
      </c>
      <c r="AZ159" s="473">
        <f t="shared" si="72"/>
        <v>45210.3125</v>
      </c>
      <c r="BA159" s="479">
        <f t="shared" si="73"/>
        <v>23.416666666664241</v>
      </c>
      <c r="BB159" s="473">
        <v>45186.895833333336</v>
      </c>
      <c r="BC159" s="473">
        <v>45188.62777777778</v>
      </c>
      <c r="BD159" s="473">
        <v>45190.388888888891</v>
      </c>
      <c r="BE159" s="473">
        <v>45192.414583333331</v>
      </c>
      <c r="BF159" s="473">
        <v>45192.5625</v>
      </c>
      <c r="BG159" s="473">
        <v>45192.569444444445</v>
      </c>
      <c r="BH159" s="473">
        <v>45192.569444444445</v>
      </c>
      <c r="BI159" s="473">
        <f t="shared" si="69"/>
        <v>45194.277777777781</v>
      </c>
      <c r="BJ159" s="485">
        <v>45198.25</v>
      </c>
      <c r="BK159" s="485">
        <v>45198.416666666664</v>
      </c>
      <c r="BL159" s="473">
        <v>45198.420138888891</v>
      </c>
      <c r="BM159" s="473">
        <v>45199.826388888891</v>
      </c>
      <c r="BN159" s="473">
        <v>45209.729166666664</v>
      </c>
      <c r="BO159" s="473">
        <v>45210.020833333328</v>
      </c>
      <c r="BP159" s="473">
        <v>45210.041666666664</v>
      </c>
      <c r="BQ159" s="473">
        <v>45210.041666666664</v>
      </c>
      <c r="BR159" s="473">
        <v>45210.3125</v>
      </c>
      <c r="BU159" s="481">
        <f t="shared" si="74"/>
        <v>42.266666666662786</v>
      </c>
      <c r="BV159" s="481">
        <f t="shared" si="75"/>
        <v>3.5500000000465661</v>
      </c>
      <c r="BW159" s="481">
        <f t="shared" si="76"/>
        <v>41.000000000058208</v>
      </c>
      <c r="BX159" s="481">
        <f t="shared" si="70"/>
        <v>33.833333333430346</v>
      </c>
      <c r="BY159" s="482">
        <f t="shared" si="77"/>
        <v>6.9999999999417923</v>
      </c>
      <c r="BZ159" s="482">
        <f t="shared" si="78"/>
        <v>6.5000000000582077</v>
      </c>
      <c r="CA159" s="483">
        <f t="shared" si="79"/>
        <v>5.5895833333415794</v>
      </c>
      <c r="CB159" s="483">
        <f t="shared" si="80"/>
        <v>23.416666666664241</v>
      </c>
      <c r="CC159" s="484">
        <f t="shared" si="81"/>
        <v>0.23870106761603524</v>
      </c>
    </row>
    <row r="160" spans="1:83" s="369" customFormat="1">
      <c r="A160" s="192">
        <f t="shared" si="82"/>
        <v>45192.600694444445</v>
      </c>
      <c r="B160" s="126" t="s">
        <v>228</v>
      </c>
      <c r="C160" s="126" t="s">
        <v>229</v>
      </c>
      <c r="D160" s="126" t="s">
        <v>197</v>
      </c>
      <c r="E160" s="65" t="s">
        <v>2780</v>
      </c>
      <c r="F160" s="126"/>
      <c r="G160" s="316">
        <v>45198.607638888891</v>
      </c>
      <c r="H160" s="316">
        <v>45198.607638888891</v>
      </c>
      <c r="I160" s="126" t="s">
        <v>497</v>
      </c>
      <c r="J160" s="126" t="s">
        <v>192</v>
      </c>
      <c r="K160" s="126" t="s">
        <v>192</v>
      </c>
      <c r="L160" s="126" t="s">
        <v>2845</v>
      </c>
      <c r="M160" s="529"/>
      <c r="N160" s="126" t="s">
        <v>1799</v>
      </c>
      <c r="O160" s="126" t="s">
        <v>2437</v>
      </c>
      <c r="P160" s="662" t="s">
        <v>2846</v>
      </c>
      <c r="Q160" s="181">
        <f>3147*2.4</f>
        <v>7552.7999999999993</v>
      </c>
      <c r="R160" s="181">
        <f>7550+100</f>
        <v>7650</v>
      </c>
      <c r="S160" s="181">
        <v>7407.1559999999999</v>
      </c>
      <c r="T160" s="181"/>
      <c r="U160" s="329">
        <f>S160*0.5</f>
        <v>3703.578</v>
      </c>
      <c r="V160" s="329">
        <f>S160*0.5</f>
        <v>3703.578</v>
      </c>
      <c r="W160" s="290"/>
      <c r="X160" s="126"/>
      <c r="Y160" s="290"/>
      <c r="Z160" s="290"/>
      <c r="AA160" s="290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65">
        <f t="shared" si="71"/>
        <v>45185.993055555555</v>
      </c>
      <c r="AZ160" s="165">
        <f t="shared" si="72"/>
        <v>45204.260416666664</v>
      </c>
      <c r="BA160" s="137">
        <f t="shared" si="73"/>
        <v>18.267361111109494</v>
      </c>
      <c r="BB160" s="165">
        <v>45185.993055555555</v>
      </c>
      <c r="BC160" s="165">
        <v>45188.628472222219</v>
      </c>
      <c r="BD160" s="165">
        <v>45190.375</v>
      </c>
      <c r="BE160" s="165">
        <v>45192.600694444445</v>
      </c>
      <c r="BF160" s="165">
        <v>45192.732638888891</v>
      </c>
      <c r="BG160" s="165">
        <v>45192.739583333336</v>
      </c>
      <c r="BH160" s="165">
        <v>45192.739583333336</v>
      </c>
      <c r="BI160" s="165">
        <f t="shared" si="69"/>
        <v>45194.447916666672</v>
      </c>
      <c r="BJ160" s="362">
        <v>45199.25</v>
      </c>
      <c r="BK160" s="362">
        <v>45199.416666666664</v>
      </c>
      <c r="BL160" s="362">
        <v>45199.357638888891</v>
      </c>
      <c r="BM160" s="165">
        <v>45201.034722222219</v>
      </c>
      <c r="BN160" s="165">
        <v>45203.1875</v>
      </c>
      <c r="BO160" s="165">
        <v>45203.559027777781</v>
      </c>
      <c r="BP160" s="165">
        <v>45203.576388888891</v>
      </c>
      <c r="BQ160" s="165">
        <v>45203.805555555555</v>
      </c>
      <c r="BR160" s="165">
        <v>45204.260416666664</v>
      </c>
      <c r="BS160" s="126" t="s">
        <v>2847</v>
      </c>
      <c r="BT160" s="126"/>
      <c r="BU160" s="136">
        <f t="shared" si="74"/>
        <v>41.916666666744277</v>
      </c>
      <c r="BV160" s="136">
        <f t="shared" si="75"/>
        <v>3.1666666666860692</v>
      </c>
      <c r="BW160" s="136">
        <f t="shared" si="76"/>
        <v>41.000000000058208</v>
      </c>
      <c r="BX160" s="136">
        <f t="shared" si="70"/>
        <v>38.833333333313931</v>
      </c>
      <c r="BY160" s="135">
        <f t="shared" si="77"/>
        <v>8.9166666667442769</v>
      </c>
      <c r="BZ160" s="135">
        <f t="shared" si="78"/>
        <v>10.916666666627862</v>
      </c>
      <c r="CA160" s="134">
        <f t="shared" si="79"/>
        <v>6.031250000007276</v>
      </c>
      <c r="CB160" s="134">
        <f t="shared" si="80"/>
        <v>18.267361111109494</v>
      </c>
      <c r="CC160" s="133">
        <f t="shared" si="81"/>
        <v>0.33016536780122585</v>
      </c>
      <c r="CD160" s="126"/>
      <c r="CE160" s="126"/>
    </row>
    <row r="161" spans="1:81" s="475" customFormat="1">
      <c r="A161" s="474">
        <f t="shared" si="82"/>
        <v>45198.013888888891</v>
      </c>
      <c r="B161" s="475" t="s">
        <v>228</v>
      </c>
      <c r="C161" s="475" t="s">
        <v>229</v>
      </c>
      <c r="D161" s="475" t="s">
        <v>197</v>
      </c>
      <c r="E161" s="476" t="s">
        <v>994</v>
      </c>
      <c r="G161" s="472">
        <v>45194.916666666664</v>
      </c>
      <c r="H161" s="472">
        <v>45194.895833333336</v>
      </c>
      <c r="I161" s="475" t="s">
        <v>231</v>
      </c>
      <c r="J161" s="475" t="s">
        <v>192</v>
      </c>
      <c r="K161" s="475" t="s">
        <v>192</v>
      </c>
      <c r="L161" s="475" t="s">
        <v>2848</v>
      </c>
      <c r="M161" s="529"/>
      <c r="N161" s="475" t="s">
        <v>2295</v>
      </c>
      <c r="O161" s="475" t="s">
        <v>2296</v>
      </c>
      <c r="P161" s="399" t="s">
        <v>418</v>
      </c>
      <c r="Q161" s="477">
        <f>4272*2.4</f>
        <v>10252.799999999999</v>
      </c>
      <c r="R161" s="477">
        <f>10300+100</f>
        <v>10400</v>
      </c>
      <c r="S161" s="477">
        <f>10147.249-806.858</f>
        <v>9340.3909999999996</v>
      </c>
      <c r="T161" s="477"/>
      <c r="U161" s="575"/>
      <c r="W161" s="401"/>
      <c r="X161" s="477">
        <f>S161*0.6</f>
        <v>5604.2345999999998</v>
      </c>
      <c r="Y161" s="477">
        <f>S161*0.4</f>
        <v>3736.1563999999998</v>
      </c>
      <c r="Z161" s="401"/>
      <c r="AA161" s="401"/>
      <c r="AY161" s="473">
        <f t="shared" si="71"/>
        <v>45186.458333333336</v>
      </c>
      <c r="AZ161" s="473">
        <f t="shared" si="72"/>
        <v>45212.916666666664</v>
      </c>
      <c r="BA161" s="479">
        <f t="shared" si="73"/>
        <v>26.458333333328483</v>
      </c>
      <c r="BB161" s="473">
        <v>45186.458333333336</v>
      </c>
      <c r="BC161" s="473">
        <v>45188.621527777781</v>
      </c>
      <c r="BD161" s="473">
        <v>45190.416666666664</v>
      </c>
      <c r="BE161" s="473">
        <v>45198.013888888891</v>
      </c>
      <c r="BF161" s="473">
        <v>45198.208333333336</v>
      </c>
      <c r="BG161" s="473">
        <v>45198.211805555555</v>
      </c>
      <c r="BH161" s="473">
        <v>45198.211805555555</v>
      </c>
      <c r="BI161" s="473">
        <f t="shared" si="69"/>
        <v>45199.920138888891</v>
      </c>
      <c r="BJ161" s="473">
        <v>45207.583333333336</v>
      </c>
      <c r="BK161" s="473">
        <v>45207.75</v>
      </c>
      <c r="BL161" s="473">
        <v>45207.642361111109</v>
      </c>
      <c r="BM161" s="473">
        <v>45209.770833333336</v>
      </c>
      <c r="BN161" s="473">
        <v>45211.319444444445</v>
      </c>
      <c r="BO161" s="473">
        <v>45211.833333333336</v>
      </c>
      <c r="BP161" s="473">
        <v>45211.847222222219</v>
      </c>
      <c r="BQ161" s="473">
        <v>45212.666666666664</v>
      </c>
      <c r="BR161" s="473">
        <v>45212.916666666664</v>
      </c>
      <c r="BU161" s="481">
        <f t="shared" si="74"/>
        <v>43.083333333197515</v>
      </c>
      <c r="BV161" s="481">
        <f t="shared" si="75"/>
        <v>4.6666666666860692</v>
      </c>
      <c r="BW161" s="481">
        <f t="shared" si="76"/>
        <v>41.000000000058208</v>
      </c>
      <c r="BX161" s="481">
        <f t="shared" si="70"/>
        <v>48.500000000058208</v>
      </c>
      <c r="BY161" s="482">
        <f t="shared" si="77"/>
        <v>12.333333333372138</v>
      </c>
      <c r="BZ161" s="482">
        <f t="shared" si="78"/>
        <v>6</v>
      </c>
      <c r="CA161" s="483">
        <f t="shared" si="79"/>
        <v>6.4826388888905058</v>
      </c>
      <c r="CB161" s="483">
        <f t="shared" si="80"/>
        <v>26.458333333328483</v>
      </c>
      <c r="CC161" s="484">
        <f t="shared" si="81"/>
        <v>0.24501312335968609</v>
      </c>
    </row>
    <row r="162" spans="1:81" s="126" customFormat="1">
      <c r="A162" s="192"/>
      <c r="D162" s="126" t="s">
        <v>215</v>
      </c>
      <c r="E162" s="65"/>
      <c r="G162" s="166"/>
      <c r="H162" s="166"/>
      <c r="J162" s="126" t="s">
        <v>2757</v>
      </c>
      <c r="L162" s="126" t="s">
        <v>2849</v>
      </c>
      <c r="M162" s="529"/>
      <c r="N162" s="126" t="s">
        <v>403</v>
      </c>
      <c r="O162" s="126" t="s">
        <v>404</v>
      </c>
      <c r="Q162" s="181">
        <f>3107*2.4</f>
        <v>7456.7999999999993</v>
      </c>
      <c r="R162" s="181">
        <f>7500+100</f>
        <v>7600</v>
      </c>
      <c r="S162" s="181"/>
      <c r="T162" s="181"/>
      <c r="AA162" s="663"/>
      <c r="AY162" s="165">
        <f t="shared" si="71"/>
        <v>45185.354166666664</v>
      </c>
      <c r="AZ162" s="165">
        <f t="shared" si="72"/>
        <v>45200</v>
      </c>
      <c r="BA162" s="137">
        <f t="shared" si="73"/>
        <v>14.645833333335759</v>
      </c>
      <c r="BB162" s="165">
        <v>45185.354166666664</v>
      </c>
      <c r="BC162" s="165"/>
      <c r="BD162" s="165"/>
      <c r="BE162" s="165"/>
      <c r="BF162" s="165"/>
      <c r="BG162" s="165"/>
      <c r="BH162" s="165"/>
      <c r="BI162" s="165"/>
      <c r="BJ162" s="362"/>
      <c r="BK162" s="362"/>
      <c r="BL162" s="166"/>
      <c r="BM162" s="165"/>
      <c r="BN162" s="165"/>
      <c r="BO162" s="165"/>
      <c r="BP162" s="165"/>
      <c r="BQ162" s="165"/>
      <c r="BR162" s="165">
        <v>45200</v>
      </c>
      <c r="BU162" s="136">
        <f t="shared" si="74"/>
        <v>0</v>
      </c>
      <c r="BV162" s="136">
        <f t="shared" si="75"/>
        <v>0</v>
      </c>
      <c r="BW162" s="136">
        <f t="shared" si="76"/>
        <v>0</v>
      </c>
      <c r="BX162" s="136">
        <f t="shared" si="70"/>
        <v>0</v>
      </c>
      <c r="BY162" s="135">
        <f t="shared" si="77"/>
        <v>0</v>
      </c>
      <c r="BZ162" s="135">
        <f t="shared" si="78"/>
        <v>1084800</v>
      </c>
      <c r="CA162" s="134">
        <f t="shared" si="79"/>
        <v>45200</v>
      </c>
      <c r="CB162" s="134">
        <f t="shared" si="80"/>
        <v>14.645833333335759</v>
      </c>
      <c r="CC162" s="133">
        <f t="shared" si="81"/>
        <v>3086.2019914646385</v>
      </c>
    </row>
    <row r="163" spans="1:81" s="126" customFormat="1">
      <c r="A163" s="168"/>
      <c r="G163" s="166"/>
      <c r="H163" s="166"/>
      <c r="I163" s="181"/>
      <c r="M163" s="529"/>
      <c r="Q163" s="181"/>
      <c r="R163" s="181"/>
      <c r="S163" s="191">
        <f t="shared" ref="S163:AX163" si="83">SUM(S4:S162)</f>
        <v>1100222.0690000001</v>
      </c>
      <c r="T163" s="191">
        <f t="shared" si="83"/>
        <v>0</v>
      </c>
      <c r="U163" s="191">
        <f t="shared" si="83"/>
        <v>145603.25240000003</v>
      </c>
      <c r="V163" s="191">
        <f t="shared" si="83"/>
        <v>62571.3626</v>
      </c>
      <c r="W163" s="191">
        <f t="shared" si="83"/>
        <v>0</v>
      </c>
      <c r="X163" s="191">
        <f t="shared" si="83"/>
        <v>311254.56774999993</v>
      </c>
      <c r="Y163" s="191">
        <f t="shared" si="83"/>
        <v>225489.34224999999</v>
      </c>
      <c r="Z163" s="191">
        <f t="shared" si="83"/>
        <v>89561.098000000013</v>
      </c>
      <c r="AA163" s="191">
        <f t="shared" si="83"/>
        <v>15069.136999999999</v>
      </c>
      <c r="AB163" s="191">
        <f t="shared" si="83"/>
        <v>14648.534</v>
      </c>
      <c r="AC163" s="191">
        <f t="shared" si="83"/>
        <v>0</v>
      </c>
      <c r="AD163" s="191">
        <f t="shared" si="83"/>
        <v>7508.7</v>
      </c>
      <c r="AE163" s="191">
        <f t="shared" si="83"/>
        <v>7526.5870000000004</v>
      </c>
      <c r="AF163" s="191">
        <f t="shared" si="83"/>
        <v>0</v>
      </c>
      <c r="AG163" s="191">
        <f t="shared" si="83"/>
        <v>0</v>
      </c>
      <c r="AH163" s="191">
        <f t="shared" si="83"/>
        <v>0</v>
      </c>
      <c r="AI163" s="191">
        <f t="shared" si="83"/>
        <v>0</v>
      </c>
      <c r="AJ163" s="191">
        <f t="shared" si="83"/>
        <v>0</v>
      </c>
      <c r="AK163" s="191">
        <f t="shared" si="83"/>
        <v>15191.657999999999</v>
      </c>
      <c r="AL163" s="191">
        <f t="shared" si="83"/>
        <v>22500</v>
      </c>
      <c r="AM163" s="191">
        <f t="shared" si="83"/>
        <v>15056</v>
      </c>
      <c r="AN163" s="191">
        <f t="shared" si="83"/>
        <v>10019.005999999999</v>
      </c>
      <c r="AO163" s="191">
        <f t="shared" si="83"/>
        <v>15000</v>
      </c>
      <c r="AP163" s="191">
        <f t="shared" si="83"/>
        <v>0</v>
      </c>
      <c r="AQ163" s="191">
        <f t="shared" si="83"/>
        <v>0</v>
      </c>
      <c r="AR163" s="191">
        <f t="shared" si="83"/>
        <v>31454</v>
      </c>
      <c r="AS163" s="191">
        <f t="shared" si="83"/>
        <v>11803.788</v>
      </c>
      <c r="AT163" s="191">
        <f t="shared" si="83"/>
        <v>62227.370999999999</v>
      </c>
      <c r="AU163" s="191">
        <f t="shared" si="83"/>
        <v>22508.918000000001</v>
      </c>
      <c r="AV163" s="191">
        <f t="shared" si="83"/>
        <v>0</v>
      </c>
      <c r="AW163" s="191">
        <f t="shared" si="83"/>
        <v>15000</v>
      </c>
      <c r="AX163" s="191">
        <f t="shared" si="83"/>
        <v>0</v>
      </c>
      <c r="AY163" s="165"/>
      <c r="AZ163" s="165"/>
      <c r="BA163" s="165"/>
      <c r="BB163" s="165"/>
      <c r="BC163" s="165"/>
      <c r="BD163" s="165"/>
      <c r="BE163" s="165"/>
      <c r="BF163" s="165"/>
      <c r="BG163" s="165"/>
      <c r="BH163" s="165"/>
      <c r="BI163" s="165"/>
      <c r="BJ163" s="165"/>
      <c r="BK163" s="165"/>
      <c r="BL163" s="165"/>
      <c r="BM163" s="165"/>
      <c r="BN163" s="165"/>
      <c r="BO163" s="165"/>
      <c r="BP163" s="165"/>
      <c r="BQ163" s="165"/>
      <c r="BR163" s="165"/>
      <c r="BU163" s="136"/>
      <c r="BV163" s="136"/>
      <c r="BW163" s="136"/>
      <c r="BX163" s="136"/>
      <c r="BY163" s="135"/>
      <c r="BZ163" s="135"/>
      <c r="CA163" s="165"/>
      <c r="CB163" s="165"/>
    </row>
    <row r="164" spans="1:81">
      <c r="BB164" s="120">
        <v>45200.458333333336</v>
      </c>
      <c r="BC164" s="120">
        <v>45200.625</v>
      </c>
      <c r="BJ164" s="120">
        <v>45200.25</v>
      </c>
      <c r="BK164" s="120">
        <v>45200.416666666664</v>
      </c>
    </row>
    <row r="165" spans="1:81">
      <c r="BB165" s="120">
        <v>45201.458333333336</v>
      </c>
      <c r="BC165" s="120">
        <v>45201.625</v>
      </c>
      <c r="BJ165" s="120">
        <v>45201.25</v>
      </c>
      <c r="BK165" s="120">
        <v>45201.416666666664</v>
      </c>
    </row>
    <row r="166" spans="1:81">
      <c r="BB166" s="120">
        <v>45202.458333333336</v>
      </c>
      <c r="BC166" s="120">
        <v>45202.625</v>
      </c>
      <c r="BJ166" s="120">
        <v>45202.25</v>
      </c>
      <c r="BK166" s="120">
        <v>45202.416666666664</v>
      </c>
    </row>
    <row r="167" spans="1:81">
      <c r="BB167" s="120">
        <v>45203.458333333336</v>
      </c>
      <c r="BC167" s="120">
        <v>45203.625</v>
      </c>
      <c r="BJ167" s="120">
        <v>45203.25</v>
      </c>
      <c r="BK167" s="120">
        <v>45203.416666666664</v>
      </c>
    </row>
    <row r="168" spans="1:81">
      <c r="BB168" s="120">
        <v>45204.458333333336</v>
      </c>
      <c r="BC168" s="120">
        <v>45204.625</v>
      </c>
      <c r="BJ168" s="120">
        <v>45204.25</v>
      </c>
      <c r="BK168" s="120">
        <v>45204.416666666664</v>
      </c>
    </row>
    <row r="169" spans="1:81">
      <c r="BB169" s="120">
        <v>45205.458333333336</v>
      </c>
      <c r="BC169" s="120">
        <v>45205.625</v>
      </c>
      <c r="BJ169" s="120">
        <v>45205.25</v>
      </c>
      <c r="BK169" s="120">
        <v>45205.416666666664</v>
      </c>
    </row>
    <row r="170" spans="1:81">
      <c r="BB170" s="120">
        <v>45206.458333333336</v>
      </c>
      <c r="BC170" s="120">
        <v>45206.625</v>
      </c>
      <c r="BJ170" s="120">
        <v>45206.25</v>
      </c>
      <c r="BK170" s="120">
        <v>45206.416666666664</v>
      </c>
    </row>
    <row r="171" spans="1:81">
      <c r="BB171" s="120">
        <v>45207.291666666664</v>
      </c>
      <c r="BC171" s="120">
        <v>45207.416666666664</v>
      </c>
      <c r="BJ171" s="120">
        <v>45207.583333333336</v>
      </c>
      <c r="BK171" s="120">
        <v>45207.75</v>
      </c>
    </row>
    <row r="172" spans="1:81">
      <c r="BB172" s="120">
        <v>45208.291666608799</v>
      </c>
      <c r="BC172" s="120">
        <v>45208.416666608799</v>
      </c>
      <c r="BJ172" s="120">
        <v>45208.583333333336</v>
      </c>
      <c r="BK172" s="120">
        <v>45208.75</v>
      </c>
    </row>
    <row r="173" spans="1:81">
      <c r="BB173" s="120">
        <v>45209.291666608799</v>
      </c>
      <c r="BC173" s="120">
        <v>45209.416666608799</v>
      </c>
      <c r="BJ173" s="120">
        <v>45209.583333333336</v>
      </c>
      <c r="BK173" s="120">
        <v>45209.75</v>
      </c>
    </row>
    <row r="174" spans="1:81">
      <c r="BB174" s="120">
        <v>45210.291666608799</v>
      </c>
      <c r="BC174" s="120">
        <v>45210.416666608799</v>
      </c>
      <c r="BJ174" s="120">
        <v>45210.583333333336</v>
      </c>
      <c r="BK174" s="120">
        <v>45210.75</v>
      </c>
    </row>
    <row r="175" spans="1:81">
      <c r="BB175" s="120">
        <v>45211.4375</v>
      </c>
      <c r="BC175" s="120">
        <v>45211.604166666664</v>
      </c>
      <c r="BJ175" s="120">
        <v>45211.229166666664</v>
      </c>
      <c r="BK175" s="120">
        <v>45211.395833333328</v>
      </c>
    </row>
    <row r="176" spans="1:81">
      <c r="BB176" s="120">
        <v>45212.4375</v>
      </c>
      <c r="BC176" s="120">
        <v>45212.604166666664</v>
      </c>
      <c r="BJ176" s="120">
        <v>45212.229166608799</v>
      </c>
      <c r="BK176" s="120">
        <v>45212.395833275463</v>
      </c>
    </row>
    <row r="177" spans="54:63">
      <c r="BB177" s="120">
        <v>45213.458333333336</v>
      </c>
      <c r="BC177" s="120">
        <v>45213.625</v>
      </c>
      <c r="BJ177" s="120">
        <v>45213.25</v>
      </c>
      <c r="BK177" s="120">
        <v>45213.416666666664</v>
      </c>
    </row>
    <row r="178" spans="54:63">
      <c r="BB178" s="120">
        <v>45214.458333333336</v>
      </c>
      <c r="BC178" s="120">
        <v>45214.625</v>
      </c>
      <c r="BJ178" s="120">
        <v>45214.25</v>
      </c>
      <c r="BK178" s="120">
        <v>45214.416666666664</v>
      </c>
    </row>
    <row r="179" spans="54:63">
      <c r="BB179" s="120">
        <v>45215.458333333336</v>
      </c>
      <c r="BC179" s="120">
        <v>45215.625</v>
      </c>
      <c r="BJ179" s="120">
        <v>45215.25</v>
      </c>
      <c r="BK179" s="120">
        <v>45215.416666666664</v>
      </c>
    </row>
    <row r="180" spans="54:63">
      <c r="BB180" s="120">
        <v>45216.458333333336</v>
      </c>
      <c r="BC180" s="120">
        <v>45216.625</v>
      </c>
      <c r="BJ180" s="120">
        <v>45216.25</v>
      </c>
      <c r="BK180" s="120">
        <v>45216.416666666664</v>
      </c>
    </row>
    <row r="181" spans="54:63">
      <c r="BB181" s="120">
        <v>45217.458333333336</v>
      </c>
      <c r="BC181" s="120">
        <v>45217.625</v>
      </c>
      <c r="BJ181" s="120">
        <v>45217.25</v>
      </c>
      <c r="BK181" s="120">
        <v>45217.416666666664</v>
      </c>
    </row>
    <row r="182" spans="54:63">
      <c r="BB182" s="120">
        <v>45218.458333333336</v>
      </c>
      <c r="BC182" s="120">
        <v>45218.625</v>
      </c>
      <c r="BJ182" s="120">
        <v>45218.25</v>
      </c>
      <c r="BK182" s="120">
        <v>45218.416666666664</v>
      </c>
    </row>
    <row r="183" spans="54:63">
      <c r="BB183" s="120">
        <v>45219.458333333336</v>
      </c>
      <c r="BC183" s="120">
        <v>45219.625</v>
      </c>
      <c r="BJ183" s="120">
        <v>45219.25</v>
      </c>
      <c r="BK183" s="120">
        <v>45219.416666666664</v>
      </c>
    </row>
    <row r="184" spans="54:63">
      <c r="BB184" s="120">
        <v>45220.458333333336</v>
      </c>
      <c r="BC184" s="120">
        <v>45220.625</v>
      </c>
      <c r="BJ184" s="120">
        <v>45220.25</v>
      </c>
      <c r="BK184" s="120">
        <v>45220.416666666664</v>
      </c>
    </row>
    <row r="185" spans="54:63">
      <c r="BB185" s="120">
        <v>45221.458333333336</v>
      </c>
      <c r="BC185" s="120">
        <v>45221.625</v>
      </c>
      <c r="BJ185" s="120">
        <v>45221.25</v>
      </c>
      <c r="BK185" s="120">
        <v>45221.416666666664</v>
      </c>
    </row>
    <row r="186" spans="54:63">
      <c r="BB186" s="120">
        <v>45222.291666666664</v>
      </c>
      <c r="BC186" s="120">
        <v>45222.416666666664</v>
      </c>
      <c r="BJ186" s="120">
        <v>45222.541666666664</v>
      </c>
      <c r="BK186" s="120">
        <v>45222.708333333328</v>
      </c>
    </row>
    <row r="187" spans="54:63">
      <c r="BB187" s="120">
        <v>45223.291666608799</v>
      </c>
      <c r="BC187" s="120">
        <v>45223.416666608799</v>
      </c>
      <c r="BJ187" s="120">
        <v>45223.541666608799</v>
      </c>
      <c r="BK187" s="120">
        <v>45223.708333275463</v>
      </c>
    </row>
    <row r="188" spans="54:63">
      <c r="BB188" s="120">
        <v>45224.291666608799</v>
      </c>
      <c r="BC188" s="120">
        <v>45224.416666608799</v>
      </c>
      <c r="BJ188" s="120">
        <v>45224.541666608799</v>
      </c>
      <c r="BK188" s="120">
        <v>45224.708333275463</v>
      </c>
    </row>
    <row r="189" spans="54:63">
      <c r="BB189" s="120">
        <v>45225.291666608799</v>
      </c>
      <c r="BC189" s="120">
        <v>45225.416666608799</v>
      </c>
      <c r="BJ189" s="120">
        <v>45225.583333333336</v>
      </c>
      <c r="BK189" s="120">
        <v>45225.75</v>
      </c>
    </row>
    <row r="190" spans="54:63">
      <c r="BB190" s="120">
        <v>45226.291666608799</v>
      </c>
      <c r="BC190" s="120">
        <v>45226.416666608799</v>
      </c>
      <c r="BJ190" s="120">
        <v>45226.583333333336</v>
      </c>
      <c r="BK190" s="120">
        <v>45226.75</v>
      </c>
    </row>
    <row r="191" spans="54:63">
      <c r="BB191" s="120">
        <v>45227.4375</v>
      </c>
      <c r="BC191" s="120">
        <v>45227.604166666664</v>
      </c>
      <c r="BJ191" s="120">
        <v>45227.229166666664</v>
      </c>
      <c r="BK191" s="120">
        <v>45227.395833333328</v>
      </c>
    </row>
    <row r="192" spans="54:63">
      <c r="BB192" s="120">
        <v>45228.458333333336</v>
      </c>
      <c r="BC192" s="120">
        <v>45228.625</v>
      </c>
      <c r="BJ192" s="120">
        <v>45228.25</v>
      </c>
      <c r="BK192" s="120">
        <v>45228.416666666664</v>
      </c>
    </row>
    <row r="193" spans="54:63">
      <c r="BB193" s="120">
        <v>45229.458333333336</v>
      </c>
      <c r="BC193" s="120">
        <v>45229.625</v>
      </c>
      <c r="BJ193" s="120">
        <v>45229.25</v>
      </c>
      <c r="BK193" s="120">
        <v>45229.416666666664</v>
      </c>
    </row>
    <row r="194" spans="54:63">
      <c r="BB194" s="120">
        <v>45230.458333333336</v>
      </c>
      <c r="BC194" s="120">
        <v>45230.625</v>
      </c>
      <c r="BJ194" s="120">
        <v>45230.25</v>
      </c>
      <c r="BK194" s="120">
        <v>45230.416666666664</v>
      </c>
    </row>
  </sheetData>
  <mergeCells count="53">
    <mergeCell ref="M1:M2"/>
    <mergeCell ref="A1:A2"/>
    <mergeCell ref="B1:B2"/>
    <mergeCell ref="C1:C2"/>
    <mergeCell ref="D1:D2"/>
    <mergeCell ref="E1:F2"/>
    <mergeCell ref="G1:G2"/>
    <mergeCell ref="H1:H2"/>
    <mergeCell ref="I1:I2"/>
    <mergeCell ref="J1:J2"/>
    <mergeCell ref="K1:K2"/>
    <mergeCell ref="L1:L2"/>
    <mergeCell ref="AY1:AY2"/>
    <mergeCell ref="N1:N2"/>
    <mergeCell ref="O1:O2"/>
    <mergeCell ref="P1:P2"/>
    <mergeCell ref="Q1:Q2"/>
    <mergeCell ref="R1:R2"/>
    <mergeCell ref="S1:S2"/>
    <mergeCell ref="U1:W1"/>
    <mergeCell ref="X1:Y1"/>
    <mergeCell ref="Z1:AA1"/>
    <mergeCell ref="AD1:AH1"/>
    <mergeCell ref="AI1:AX1"/>
    <mergeCell ref="BK1:BK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X1:BX2"/>
    <mergeCell ref="BL1:BL2"/>
    <mergeCell ref="BM1:BM2"/>
    <mergeCell ref="BN1:BN2"/>
    <mergeCell ref="BO1:BO2"/>
    <mergeCell ref="BP1:BP2"/>
    <mergeCell ref="BQ1:BQ2"/>
    <mergeCell ref="BR1:BR2"/>
    <mergeCell ref="BS1:BS2"/>
    <mergeCell ref="BU1:BU2"/>
    <mergeCell ref="BV1:BV2"/>
    <mergeCell ref="BW1:BW2"/>
    <mergeCell ref="BY1:BY2"/>
    <mergeCell ref="BZ1:BZ2"/>
    <mergeCell ref="CA1:CA2"/>
    <mergeCell ref="CB1:CB2"/>
    <mergeCell ref="CC1:CC2"/>
  </mergeCells>
  <pageMargins left="0.7" right="0.7" top="0.75" bottom="0.75" header="0.3" footer="0.3"/>
  <pageSetup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H15"/>
  <sheetViews>
    <sheetView workbookViewId="0">
      <selection activeCell="B2" sqref="B2"/>
    </sheetView>
  </sheetViews>
  <sheetFormatPr defaultRowHeight="14.4"/>
  <cols>
    <col min="2" max="2" width="3.5546875" style="759" bestFit="1" customWidth="1"/>
    <col min="3" max="3" width="14.6640625" bestFit="1" customWidth="1"/>
    <col min="4" max="4" width="1.5546875" bestFit="1" customWidth="1"/>
    <col min="5" max="5" width="24.6640625" customWidth="1"/>
    <col min="6" max="6" width="22.44140625" bestFit="1" customWidth="1"/>
    <col min="7" max="7" width="22.44140625" customWidth="1"/>
    <col min="8" max="8" width="13.88671875" customWidth="1"/>
  </cols>
  <sheetData>
    <row r="2" spans="2:8">
      <c r="B2" s="1109" t="s">
        <v>526</v>
      </c>
      <c r="C2" s="1110" t="s">
        <v>527</v>
      </c>
      <c r="D2" s="1110" t="s">
        <v>2850</v>
      </c>
      <c r="E2" s="1110" t="s">
        <v>528</v>
      </c>
      <c r="F2" s="1110" t="s">
        <v>529</v>
      </c>
      <c r="G2" s="1110" t="s">
        <v>530</v>
      </c>
      <c r="H2" s="1110" t="s">
        <v>531</v>
      </c>
    </row>
    <row r="3" spans="2:8">
      <c r="B3" s="1116">
        <v>1</v>
      </c>
      <c r="C3" s="1103" t="s">
        <v>2851</v>
      </c>
      <c r="D3" s="1103" t="s">
        <v>2850</v>
      </c>
      <c r="E3" s="1103" t="s">
        <v>352</v>
      </c>
      <c r="F3" s="1103" t="s">
        <v>353</v>
      </c>
      <c r="G3" s="1111" t="s">
        <v>173</v>
      </c>
      <c r="H3" s="1118">
        <v>8500</v>
      </c>
    </row>
    <row r="4" spans="2:8">
      <c r="B4" s="1116">
        <v>2</v>
      </c>
      <c r="C4" s="1103" t="s">
        <v>2852</v>
      </c>
      <c r="D4" s="1103" t="s">
        <v>2850</v>
      </c>
      <c r="E4" s="1103" t="s">
        <v>222</v>
      </c>
      <c r="F4" s="1103" t="s">
        <v>223</v>
      </c>
      <c r="G4" s="1111" t="s">
        <v>172</v>
      </c>
      <c r="H4" s="1114">
        <v>7500</v>
      </c>
    </row>
    <row r="5" spans="2:8">
      <c r="B5" s="1116">
        <v>3</v>
      </c>
      <c r="C5" s="1103" t="s">
        <v>2853</v>
      </c>
      <c r="D5" s="1103" t="s">
        <v>2850</v>
      </c>
      <c r="E5" s="1103" t="s">
        <v>1767</v>
      </c>
      <c r="F5" s="1103" t="s">
        <v>2854</v>
      </c>
      <c r="G5" s="1111" t="s">
        <v>172</v>
      </c>
      <c r="H5" s="1114">
        <v>7500</v>
      </c>
    </row>
    <row r="6" spans="2:8">
      <c r="B6" s="1116">
        <v>4</v>
      </c>
      <c r="C6" s="1103" t="s">
        <v>2855</v>
      </c>
      <c r="D6" s="1103" t="s">
        <v>2850</v>
      </c>
      <c r="E6" s="1103" t="s">
        <v>310</v>
      </c>
      <c r="F6" s="1103" t="s">
        <v>219</v>
      </c>
      <c r="G6" s="1111" t="s">
        <v>2856</v>
      </c>
      <c r="H6" s="1114">
        <v>7500</v>
      </c>
    </row>
    <row r="7" spans="2:8">
      <c r="B7" s="1116">
        <v>5</v>
      </c>
      <c r="C7" s="1103" t="s">
        <v>2857</v>
      </c>
      <c r="D7" s="1103" t="s">
        <v>2850</v>
      </c>
      <c r="E7" s="1103" t="s">
        <v>492</v>
      </c>
      <c r="F7" s="1103" t="s">
        <v>493</v>
      </c>
      <c r="G7" s="1111" t="s">
        <v>184</v>
      </c>
      <c r="H7" s="1114">
        <v>7550</v>
      </c>
    </row>
    <row r="8" spans="2:8">
      <c r="B8" s="1117">
        <v>6</v>
      </c>
      <c r="C8" s="1104" t="s">
        <v>2858</v>
      </c>
      <c r="D8" s="1104" t="s">
        <v>2850</v>
      </c>
      <c r="E8" s="1104" t="s">
        <v>2859</v>
      </c>
      <c r="F8" s="1104" t="s">
        <v>324</v>
      </c>
      <c r="G8" s="1112" t="s">
        <v>1164</v>
      </c>
      <c r="H8" s="1114">
        <v>7500</v>
      </c>
    </row>
    <row r="9" spans="2:8">
      <c r="B9" s="1117">
        <v>7</v>
      </c>
      <c r="C9" s="1104" t="s">
        <v>2858</v>
      </c>
      <c r="D9" s="1104" t="s">
        <v>2850</v>
      </c>
      <c r="E9" s="1104" t="s">
        <v>201</v>
      </c>
      <c r="F9" s="1104" t="s">
        <v>202</v>
      </c>
      <c r="G9" s="1112" t="s">
        <v>1164</v>
      </c>
      <c r="H9" s="1114">
        <v>7550</v>
      </c>
    </row>
    <row r="10" spans="2:8">
      <c r="B10" s="1117">
        <v>8</v>
      </c>
      <c r="C10" s="1104" t="s">
        <v>2860</v>
      </c>
      <c r="D10" s="1105" t="s">
        <v>2850</v>
      </c>
      <c r="E10" s="1106" t="s">
        <v>64</v>
      </c>
      <c r="F10" s="1106" t="s">
        <v>64</v>
      </c>
      <c r="G10" s="1112" t="s">
        <v>172</v>
      </c>
      <c r="H10" s="1114">
        <v>7500</v>
      </c>
    </row>
    <row r="11" spans="2:8">
      <c r="B11" s="1117">
        <v>9</v>
      </c>
      <c r="C11" s="1104" t="s">
        <v>2861</v>
      </c>
      <c r="D11" s="1104" t="s">
        <v>2850</v>
      </c>
      <c r="E11" s="1104" t="s">
        <v>383</v>
      </c>
      <c r="F11" s="1104" t="s">
        <v>384</v>
      </c>
      <c r="G11" s="1112" t="s">
        <v>2862</v>
      </c>
      <c r="H11" s="1114">
        <v>4000</v>
      </c>
    </row>
    <row r="12" spans="2:8">
      <c r="B12" s="1117">
        <v>10</v>
      </c>
      <c r="C12" s="1104" t="s">
        <v>2863</v>
      </c>
      <c r="D12" s="1105" t="s">
        <v>2850</v>
      </c>
      <c r="E12" s="1104" t="s">
        <v>2864</v>
      </c>
      <c r="F12" s="1104" t="s">
        <v>2865</v>
      </c>
      <c r="G12" s="1112" t="s">
        <v>183</v>
      </c>
      <c r="H12" s="1114">
        <v>7500</v>
      </c>
    </row>
    <row r="13" spans="2:8">
      <c r="B13" s="1373" t="s">
        <v>556</v>
      </c>
      <c r="C13" s="1374"/>
      <c r="D13" s="1374"/>
      <c r="E13" s="1374"/>
      <c r="F13" s="1374"/>
      <c r="G13" s="1375"/>
      <c r="H13" s="1107">
        <f>SUM(H3:H12)</f>
        <v>72600</v>
      </c>
    </row>
    <row r="14" spans="2:8">
      <c r="B14" s="1376" t="s">
        <v>557</v>
      </c>
      <c r="C14" s="1377"/>
      <c r="D14" s="1377"/>
      <c r="E14" s="1377"/>
      <c r="F14" s="1377"/>
      <c r="G14" s="1378"/>
      <c r="H14" s="1108">
        <v>72450</v>
      </c>
    </row>
    <row r="15" spans="2:8">
      <c r="B15" s="1376" t="s">
        <v>559</v>
      </c>
      <c r="C15" s="1377"/>
      <c r="D15" s="1377"/>
      <c r="E15" s="1377"/>
      <c r="F15" s="1377"/>
      <c r="G15" s="1379"/>
      <c r="H15" s="1113">
        <f>H13-H14</f>
        <v>150</v>
      </c>
    </row>
  </sheetData>
  <mergeCells count="3">
    <mergeCell ref="B13:G13"/>
    <mergeCell ref="B14:G14"/>
    <mergeCell ref="B15:G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">
    <tabColor rgb="FFFFC000"/>
    <pageSetUpPr fitToPage="1"/>
  </sheetPr>
  <dimension ref="A1:AFF284"/>
  <sheetViews>
    <sheetView showGridLines="0" tabSelected="1" zoomScale="70" zoomScaleNormal="70" workbookViewId="0">
      <pane xSplit="15" ySplit="3" topLeftCell="P119" activePane="bottomRight" state="frozen"/>
      <selection pane="topRight" activeCell="B2" sqref="B2"/>
      <selection pane="bottomLeft" activeCell="B2" sqref="B2"/>
      <selection pane="bottomRight" activeCell="BJ236" sqref="BJ236"/>
    </sheetView>
  </sheetViews>
  <sheetFormatPr defaultRowHeight="15" customHeight="1" outlineLevelRow="1"/>
  <cols>
    <col min="1" max="1" width="1" style="77" customWidth="1"/>
    <col min="2" max="2" width="5.6640625" style="76" customWidth="1"/>
    <col min="3" max="3" width="7.6640625" style="75" hidden="1" customWidth="1"/>
    <col min="4" max="4" width="4.44140625" style="76" hidden="1" customWidth="1"/>
    <col min="5" max="6" width="8.33203125" style="78" hidden="1" customWidth="1"/>
    <col min="7" max="7" width="7.5546875" style="79" hidden="1" customWidth="1"/>
    <col min="8" max="8" width="16.21875" style="77" hidden="1" customWidth="1"/>
    <col min="9" max="9" width="17" style="77" hidden="1" customWidth="1"/>
    <col min="10" max="10" width="14.109375" style="77" hidden="1" customWidth="1"/>
    <col min="11" max="11" width="16" style="77" hidden="1" customWidth="1"/>
    <col min="12" max="12" width="14.77734375" style="77" hidden="1" customWidth="1"/>
    <col min="13" max="13" width="15.5546875" style="65" hidden="1" customWidth="1"/>
    <col min="14" max="14" width="15.5546875" style="77" hidden="1" customWidth="1"/>
    <col min="15" max="15" width="16.5546875" style="1185" customWidth="1"/>
    <col min="16" max="17" width="8" style="80" hidden="1" customWidth="1"/>
    <col min="18" max="19" width="7.44140625" style="80" hidden="1" customWidth="1"/>
    <col min="20" max="20" width="8" style="80" hidden="1" customWidth="1"/>
    <col min="21" max="22" width="8.5546875" style="80" hidden="1" customWidth="1"/>
    <col min="23" max="23" width="8.33203125" style="80" hidden="1" customWidth="1"/>
    <col min="24" max="24" width="9" style="80" hidden="1" customWidth="1"/>
    <col min="25" max="25" width="9.33203125" style="80" hidden="1" customWidth="1"/>
    <col min="26" max="26" width="8.33203125" style="81" hidden="1" customWidth="1"/>
    <col min="27" max="27" width="4.88671875" style="80" hidden="1" customWidth="1"/>
    <col min="28" max="43" width="7.5546875" style="80" hidden="1" customWidth="1"/>
    <col min="44" max="44" width="8.5546875" style="80" hidden="1" customWidth="1"/>
    <col min="45" max="46" width="7.5546875" style="80" hidden="1" customWidth="1"/>
    <col min="47" max="47" width="8.5546875" style="80" hidden="1" customWidth="1"/>
    <col min="48" max="56" width="7.5546875" style="80" hidden="1" customWidth="1"/>
    <col min="57" max="57" width="10.33203125" style="82" hidden="1" customWidth="1"/>
    <col min="58" max="58" width="10.5546875" style="82" hidden="1" customWidth="1"/>
    <col min="59" max="59" width="10.33203125" style="1177" customWidth="1"/>
    <col min="60" max="60" width="10.5546875" style="79" hidden="1" customWidth="1"/>
    <col min="61" max="61" width="14.6640625" style="1185" customWidth="1"/>
    <col min="62" max="62" width="16.44140625" style="1185" customWidth="1"/>
    <col min="63" max="63" width="10.5546875" style="76" customWidth="1"/>
    <col min="64" max="64" width="17" style="76" bestFit="1" customWidth="1"/>
    <col min="65" max="65" width="9.44140625" style="76" customWidth="1"/>
    <col min="66" max="66" width="9.44140625" style="76" hidden="1" customWidth="1"/>
    <col min="67" max="67" width="10.33203125" style="83" customWidth="1"/>
    <col min="68" max="68" width="18" style="77" customWidth="1"/>
    <col min="69" max="75" width="10.5546875" style="76" hidden="1" customWidth="1"/>
    <col min="76" max="76" width="104.44140625" style="77" customWidth="1"/>
    <col min="77" max="78" width="3.5546875" style="65" hidden="1" customWidth="1"/>
    <col min="79" max="79" width="3.5546875" style="84" hidden="1" customWidth="1"/>
    <col min="80" max="591" width="3.5546875" style="65" hidden="1" customWidth="1"/>
    <col min="592" max="806" width="3.5546875" style="77" hidden="1" customWidth="1"/>
    <col min="807" max="814" width="3.5546875" style="77" customWidth="1"/>
    <col min="815" max="838" width="4" style="77" customWidth="1"/>
    <col min="839" max="946" width="9.33203125" style="77"/>
    <col min="947" max="948" width="5.6640625" style="77" customWidth="1"/>
    <col min="949" max="949" width="4.6640625" style="77" customWidth="1"/>
    <col min="950" max="950" width="4.33203125" style="77" bestFit="1" customWidth="1"/>
    <col min="951" max="951" width="22.5546875" style="77" bestFit="1" customWidth="1"/>
    <col min="952" max="952" width="10" style="77" customWidth="1"/>
    <col min="953" max="953" width="10.33203125" style="77" bestFit="1" customWidth="1"/>
    <col min="954" max="954" width="7.6640625" style="77" customWidth="1"/>
    <col min="955" max="955" width="7.33203125" style="77" customWidth="1"/>
    <col min="956" max="959" width="9.33203125" style="77" customWidth="1"/>
    <col min="960" max="960" width="12.6640625" style="77" customWidth="1"/>
    <col min="961" max="961" width="22.5546875" style="77" customWidth="1"/>
    <col min="962" max="962" width="11.33203125" style="77" customWidth="1"/>
    <col min="963" max="963" width="5.6640625" style="77" customWidth="1"/>
    <col min="964" max="964" width="6.6640625" style="77" customWidth="1"/>
    <col min="965" max="965" width="10" style="77" customWidth="1"/>
    <col min="966" max="966" width="8.33203125" style="77" customWidth="1"/>
    <col min="967" max="967" width="9.44140625" style="77" customWidth="1"/>
    <col min="968" max="968" width="7.6640625" style="77" customWidth="1"/>
    <col min="969" max="969" width="9.33203125" style="77" customWidth="1"/>
    <col min="970" max="970" width="9.44140625" style="77" customWidth="1"/>
    <col min="971" max="971" width="8.44140625" style="77" customWidth="1"/>
    <col min="972" max="972" width="9.33203125" style="77" customWidth="1"/>
    <col min="973" max="973" width="10.33203125" style="77" customWidth="1"/>
    <col min="974" max="974" width="12.6640625" style="77" bestFit="1" customWidth="1"/>
    <col min="975" max="975" width="9.33203125" style="77"/>
    <col min="976" max="976" width="11.44140625" style="77" bestFit="1" customWidth="1"/>
    <col min="977" max="1202" width="9.33203125" style="77"/>
    <col min="1203" max="1204" width="5.6640625" style="77" customWidth="1"/>
    <col min="1205" max="1205" width="4.6640625" style="77" customWidth="1"/>
    <col min="1206" max="1206" width="4.33203125" style="77" bestFit="1" customWidth="1"/>
    <col min="1207" max="1207" width="22.5546875" style="77" bestFit="1" customWidth="1"/>
    <col min="1208" max="1208" width="10" style="77" customWidth="1"/>
    <col min="1209" max="1209" width="10.33203125" style="77" bestFit="1" customWidth="1"/>
    <col min="1210" max="1210" width="7.6640625" style="77" customWidth="1"/>
    <col min="1211" max="1211" width="7.33203125" style="77" customWidth="1"/>
    <col min="1212" max="1215" width="9.33203125" style="77" customWidth="1"/>
    <col min="1216" max="1216" width="12.6640625" style="77" customWidth="1"/>
    <col min="1217" max="1217" width="22.5546875" style="77" customWidth="1"/>
    <col min="1218" max="1218" width="11.33203125" style="77" customWidth="1"/>
    <col min="1219" max="1219" width="5.6640625" style="77" customWidth="1"/>
    <col min="1220" max="1220" width="6.6640625" style="77" customWidth="1"/>
    <col min="1221" max="1221" width="10" style="77" customWidth="1"/>
    <col min="1222" max="1222" width="8.33203125" style="77" customWidth="1"/>
    <col min="1223" max="1223" width="9.44140625" style="77" customWidth="1"/>
    <col min="1224" max="1224" width="7.6640625" style="77" customWidth="1"/>
    <col min="1225" max="1225" width="9.33203125" style="77" customWidth="1"/>
    <col min="1226" max="1226" width="9.44140625" style="77" customWidth="1"/>
    <col min="1227" max="1227" width="8.44140625" style="77" customWidth="1"/>
    <col min="1228" max="1228" width="9.33203125" style="77" customWidth="1"/>
    <col min="1229" max="1229" width="10.33203125" style="77" customWidth="1"/>
    <col min="1230" max="1230" width="12.6640625" style="77" bestFit="1" customWidth="1"/>
    <col min="1231" max="1231" width="9.33203125" style="77"/>
    <col min="1232" max="1232" width="11.44140625" style="77" bestFit="1" customWidth="1"/>
    <col min="1233" max="1458" width="9.33203125" style="77"/>
    <col min="1459" max="1460" width="5.6640625" style="77" customWidth="1"/>
    <col min="1461" max="1461" width="4.6640625" style="77" customWidth="1"/>
    <col min="1462" max="1462" width="4.33203125" style="77" bestFit="1" customWidth="1"/>
    <col min="1463" max="1463" width="22.5546875" style="77" bestFit="1" customWidth="1"/>
    <col min="1464" max="1464" width="10" style="77" customWidth="1"/>
    <col min="1465" max="1465" width="10.33203125" style="77" bestFit="1" customWidth="1"/>
    <col min="1466" max="1466" width="7.6640625" style="77" customWidth="1"/>
    <col min="1467" max="1467" width="7.33203125" style="77" customWidth="1"/>
    <col min="1468" max="1471" width="9.33203125" style="77" customWidth="1"/>
    <col min="1472" max="1472" width="12.6640625" style="77" customWidth="1"/>
    <col min="1473" max="1473" width="22.5546875" style="77" customWidth="1"/>
    <col min="1474" max="1474" width="11.33203125" style="77" customWidth="1"/>
    <col min="1475" max="1475" width="5.6640625" style="77" customWidth="1"/>
    <col min="1476" max="1476" width="6.6640625" style="77" customWidth="1"/>
    <col min="1477" max="1477" width="10" style="77" customWidth="1"/>
    <col min="1478" max="1478" width="8.33203125" style="77" customWidth="1"/>
    <col min="1479" max="1479" width="9.44140625" style="77" customWidth="1"/>
    <col min="1480" max="1480" width="7.6640625" style="77" customWidth="1"/>
    <col min="1481" max="1481" width="9.33203125" style="77" customWidth="1"/>
    <col min="1482" max="1482" width="9.44140625" style="77" customWidth="1"/>
    <col min="1483" max="1483" width="8.44140625" style="77" customWidth="1"/>
    <col min="1484" max="1484" width="9.33203125" style="77" customWidth="1"/>
    <col min="1485" max="1485" width="10.33203125" style="77" customWidth="1"/>
    <col min="1486" max="1486" width="12.6640625" style="77" bestFit="1" customWidth="1"/>
    <col min="1487" max="1487" width="9.33203125" style="77"/>
    <col min="1488" max="1488" width="11.44140625" style="77" bestFit="1" customWidth="1"/>
    <col min="1489" max="1714" width="9.33203125" style="77"/>
    <col min="1715" max="1716" width="5.6640625" style="77" customWidth="1"/>
    <col min="1717" max="1717" width="4.6640625" style="77" customWidth="1"/>
    <col min="1718" max="1718" width="4.33203125" style="77" bestFit="1" customWidth="1"/>
    <col min="1719" max="1719" width="22.5546875" style="77" bestFit="1" customWidth="1"/>
    <col min="1720" max="1720" width="10" style="77" customWidth="1"/>
    <col min="1721" max="1721" width="10.33203125" style="77" bestFit="1" customWidth="1"/>
    <col min="1722" max="1722" width="7.6640625" style="77" customWidth="1"/>
    <col min="1723" max="1723" width="7.33203125" style="77" customWidth="1"/>
    <col min="1724" max="1727" width="9.33203125" style="77" customWidth="1"/>
    <col min="1728" max="1728" width="12.6640625" style="77" customWidth="1"/>
    <col min="1729" max="1729" width="22.5546875" style="77" customWidth="1"/>
    <col min="1730" max="1730" width="11.33203125" style="77" customWidth="1"/>
    <col min="1731" max="1731" width="5.6640625" style="77" customWidth="1"/>
    <col min="1732" max="1732" width="6.6640625" style="77" customWidth="1"/>
    <col min="1733" max="1733" width="10" style="77" customWidth="1"/>
    <col min="1734" max="1734" width="8.33203125" style="77" customWidth="1"/>
    <col min="1735" max="1735" width="9.44140625" style="77" customWidth="1"/>
    <col min="1736" max="1736" width="7.6640625" style="77" customWidth="1"/>
    <col min="1737" max="1737" width="9.33203125" style="77" customWidth="1"/>
    <col min="1738" max="1738" width="9.44140625" style="77" customWidth="1"/>
    <col min="1739" max="1739" width="8.44140625" style="77" customWidth="1"/>
    <col min="1740" max="1740" width="9.33203125" style="77" customWidth="1"/>
    <col min="1741" max="1741" width="10.33203125" style="77" customWidth="1"/>
    <col min="1742" max="1742" width="12.6640625" style="77" bestFit="1" customWidth="1"/>
    <col min="1743" max="1743" width="9.33203125" style="77"/>
    <col min="1744" max="1744" width="11.44140625" style="77" bestFit="1" customWidth="1"/>
    <col min="1745" max="1970" width="9.33203125" style="77"/>
    <col min="1971" max="1972" width="5.6640625" style="77" customWidth="1"/>
    <col min="1973" max="1973" width="4.6640625" style="77" customWidth="1"/>
    <col min="1974" max="1974" width="4.33203125" style="77" bestFit="1" customWidth="1"/>
    <col min="1975" max="1975" width="22.5546875" style="77" bestFit="1" customWidth="1"/>
    <col min="1976" max="1976" width="10" style="77" customWidth="1"/>
    <col min="1977" max="1977" width="10.33203125" style="77" bestFit="1" customWidth="1"/>
    <col min="1978" max="1978" width="7.6640625" style="77" customWidth="1"/>
    <col min="1979" max="1979" width="7.33203125" style="77" customWidth="1"/>
    <col min="1980" max="1983" width="9.33203125" style="77" customWidth="1"/>
    <col min="1984" max="1984" width="12.6640625" style="77" customWidth="1"/>
    <col min="1985" max="1985" width="22.5546875" style="77" customWidth="1"/>
    <col min="1986" max="1986" width="11.33203125" style="77" customWidth="1"/>
    <col min="1987" max="1987" width="5.6640625" style="77" customWidth="1"/>
    <col min="1988" max="1988" width="6.6640625" style="77" customWidth="1"/>
    <col min="1989" max="1989" width="10" style="77" customWidth="1"/>
    <col min="1990" max="1990" width="8.33203125" style="77" customWidth="1"/>
    <col min="1991" max="1991" width="9.44140625" style="77" customWidth="1"/>
    <col min="1992" max="1992" width="7.6640625" style="77" customWidth="1"/>
    <col min="1993" max="1993" width="9.33203125" style="77" customWidth="1"/>
    <col min="1994" max="1994" width="9.44140625" style="77" customWidth="1"/>
    <col min="1995" max="1995" width="8.44140625" style="77" customWidth="1"/>
    <col min="1996" max="1996" width="9.33203125" style="77" customWidth="1"/>
    <col min="1997" max="1997" width="10.33203125" style="77" customWidth="1"/>
    <col min="1998" max="1998" width="12.6640625" style="77" bestFit="1" customWidth="1"/>
    <col min="1999" max="1999" width="9.33203125" style="77"/>
    <col min="2000" max="2000" width="11.44140625" style="77" bestFit="1" customWidth="1"/>
    <col min="2001" max="2226" width="9.33203125" style="77"/>
    <col min="2227" max="2228" width="5.6640625" style="77" customWidth="1"/>
    <col min="2229" max="2229" width="4.6640625" style="77" customWidth="1"/>
    <col min="2230" max="2230" width="4.33203125" style="77" bestFit="1" customWidth="1"/>
    <col min="2231" max="2231" width="22.5546875" style="77" bestFit="1" customWidth="1"/>
    <col min="2232" max="2232" width="10" style="77" customWidth="1"/>
    <col min="2233" max="2233" width="10.33203125" style="77" bestFit="1" customWidth="1"/>
    <col min="2234" max="2234" width="7.6640625" style="77" customWidth="1"/>
    <col min="2235" max="2235" width="7.33203125" style="77" customWidth="1"/>
    <col min="2236" max="2239" width="9.33203125" style="77" customWidth="1"/>
    <col min="2240" max="2240" width="12.6640625" style="77" customWidth="1"/>
    <col min="2241" max="2241" width="22.5546875" style="77" customWidth="1"/>
    <col min="2242" max="2242" width="11.33203125" style="77" customWidth="1"/>
    <col min="2243" max="2243" width="5.6640625" style="77" customWidth="1"/>
    <col min="2244" max="2244" width="6.6640625" style="77" customWidth="1"/>
    <col min="2245" max="2245" width="10" style="77" customWidth="1"/>
    <col min="2246" max="2246" width="8.33203125" style="77" customWidth="1"/>
    <col min="2247" max="2247" width="9.44140625" style="77" customWidth="1"/>
    <col min="2248" max="2248" width="7.6640625" style="77" customWidth="1"/>
    <col min="2249" max="2249" width="9.33203125" style="77" customWidth="1"/>
    <col min="2250" max="2250" width="9.44140625" style="77" customWidth="1"/>
    <col min="2251" max="2251" width="8.44140625" style="77" customWidth="1"/>
    <col min="2252" max="2252" width="9.33203125" style="77" customWidth="1"/>
    <col min="2253" max="2253" width="10.33203125" style="77" customWidth="1"/>
    <col min="2254" max="2254" width="12.6640625" style="77" bestFit="1" customWidth="1"/>
    <col min="2255" max="2255" width="9.33203125" style="77"/>
    <col min="2256" max="2256" width="11.44140625" style="77" bestFit="1" customWidth="1"/>
    <col min="2257" max="2482" width="9.33203125" style="77"/>
    <col min="2483" max="2484" width="5.6640625" style="77" customWidth="1"/>
    <col min="2485" max="2485" width="4.6640625" style="77" customWidth="1"/>
    <col min="2486" max="2486" width="4.33203125" style="77" bestFit="1" customWidth="1"/>
    <col min="2487" max="2487" width="22.5546875" style="77" bestFit="1" customWidth="1"/>
    <col min="2488" max="2488" width="10" style="77" customWidth="1"/>
    <col min="2489" max="2489" width="10.33203125" style="77" bestFit="1" customWidth="1"/>
    <col min="2490" max="2490" width="7.6640625" style="77" customWidth="1"/>
    <col min="2491" max="2491" width="7.33203125" style="77" customWidth="1"/>
    <col min="2492" max="2495" width="9.33203125" style="77" customWidth="1"/>
    <col min="2496" max="2496" width="12.6640625" style="77" customWidth="1"/>
    <col min="2497" max="2497" width="22.5546875" style="77" customWidth="1"/>
    <col min="2498" max="2498" width="11.33203125" style="77" customWidth="1"/>
    <col min="2499" max="2499" width="5.6640625" style="77" customWidth="1"/>
    <col min="2500" max="2500" width="6.6640625" style="77" customWidth="1"/>
    <col min="2501" max="2501" width="10" style="77" customWidth="1"/>
    <col min="2502" max="2502" width="8.33203125" style="77" customWidth="1"/>
    <col min="2503" max="2503" width="9.44140625" style="77" customWidth="1"/>
    <col min="2504" max="2504" width="7.6640625" style="77" customWidth="1"/>
    <col min="2505" max="2505" width="9.33203125" style="77" customWidth="1"/>
    <col min="2506" max="2506" width="9.44140625" style="77" customWidth="1"/>
    <col min="2507" max="2507" width="8.44140625" style="77" customWidth="1"/>
    <col min="2508" max="2508" width="9.33203125" style="77" customWidth="1"/>
    <col min="2509" max="2509" width="10.33203125" style="77" customWidth="1"/>
    <col min="2510" max="2510" width="12.6640625" style="77" bestFit="1" customWidth="1"/>
    <col min="2511" max="2511" width="9.33203125" style="77"/>
    <col min="2512" max="2512" width="11.44140625" style="77" bestFit="1" customWidth="1"/>
    <col min="2513" max="2738" width="9.33203125" style="77"/>
    <col min="2739" max="2740" width="5.6640625" style="77" customWidth="1"/>
    <col min="2741" max="2741" width="4.6640625" style="77" customWidth="1"/>
    <col min="2742" max="2742" width="4.33203125" style="77" bestFit="1" customWidth="1"/>
    <col min="2743" max="2743" width="22.5546875" style="77" bestFit="1" customWidth="1"/>
    <col min="2744" max="2744" width="10" style="77" customWidth="1"/>
    <col min="2745" max="2745" width="10.33203125" style="77" bestFit="1" customWidth="1"/>
    <col min="2746" max="2746" width="7.6640625" style="77" customWidth="1"/>
    <col min="2747" max="2747" width="7.33203125" style="77" customWidth="1"/>
    <col min="2748" max="2751" width="9.33203125" style="77" customWidth="1"/>
    <col min="2752" max="2752" width="12.6640625" style="77" customWidth="1"/>
    <col min="2753" max="2753" width="22.5546875" style="77" customWidth="1"/>
    <col min="2754" max="2754" width="11.33203125" style="77" customWidth="1"/>
    <col min="2755" max="2755" width="5.6640625" style="77" customWidth="1"/>
    <col min="2756" max="2756" width="6.6640625" style="77" customWidth="1"/>
    <col min="2757" max="2757" width="10" style="77" customWidth="1"/>
    <col min="2758" max="2758" width="8.33203125" style="77" customWidth="1"/>
    <col min="2759" max="2759" width="9.44140625" style="77" customWidth="1"/>
    <col min="2760" max="2760" width="7.6640625" style="77" customWidth="1"/>
    <col min="2761" max="2761" width="9.33203125" style="77" customWidth="1"/>
    <col min="2762" max="2762" width="9.44140625" style="77" customWidth="1"/>
    <col min="2763" max="2763" width="8.44140625" style="77" customWidth="1"/>
    <col min="2764" max="2764" width="9.33203125" style="77" customWidth="1"/>
    <col min="2765" max="2765" width="10.33203125" style="77" customWidth="1"/>
    <col min="2766" max="2766" width="12.6640625" style="77" bestFit="1" customWidth="1"/>
    <col min="2767" max="2767" width="9.33203125" style="77"/>
    <col min="2768" max="2768" width="11.44140625" style="77" bestFit="1" customWidth="1"/>
    <col min="2769" max="2994" width="9.33203125" style="77"/>
    <col min="2995" max="2996" width="5.6640625" style="77" customWidth="1"/>
    <col min="2997" max="2997" width="4.6640625" style="77" customWidth="1"/>
    <col min="2998" max="2998" width="4.33203125" style="77" bestFit="1" customWidth="1"/>
    <col min="2999" max="2999" width="22.5546875" style="77" bestFit="1" customWidth="1"/>
    <col min="3000" max="3000" width="10" style="77" customWidth="1"/>
    <col min="3001" max="3001" width="10.33203125" style="77" bestFit="1" customWidth="1"/>
    <col min="3002" max="3002" width="7.6640625" style="77" customWidth="1"/>
    <col min="3003" max="3003" width="7.33203125" style="77" customWidth="1"/>
    <col min="3004" max="3007" width="9.33203125" style="77" customWidth="1"/>
    <col min="3008" max="3008" width="12.6640625" style="77" customWidth="1"/>
    <col min="3009" max="3009" width="22.5546875" style="77" customWidth="1"/>
    <col min="3010" max="3010" width="11.33203125" style="77" customWidth="1"/>
    <col min="3011" max="3011" width="5.6640625" style="77" customWidth="1"/>
    <col min="3012" max="3012" width="6.6640625" style="77" customWidth="1"/>
    <col min="3013" max="3013" width="10" style="77" customWidth="1"/>
    <col min="3014" max="3014" width="8.33203125" style="77" customWidth="1"/>
    <col min="3015" max="3015" width="9.44140625" style="77" customWidth="1"/>
    <col min="3016" max="3016" width="7.6640625" style="77" customWidth="1"/>
    <col min="3017" max="3017" width="9.33203125" style="77" customWidth="1"/>
    <col min="3018" max="3018" width="9.44140625" style="77" customWidth="1"/>
    <col min="3019" max="3019" width="8.44140625" style="77" customWidth="1"/>
    <col min="3020" max="3020" width="9.33203125" style="77" customWidth="1"/>
    <col min="3021" max="3021" width="10.33203125" style="77" customWidth="1"/>
    <col min="3022" max="3022" width="12.6640625" style="77" bestFit="1" customWidth="1"/>
    <col min="3023" max="3023" width="9.33203125" style="77"/>
    <col min="3024" max="3024" width="11.44140625" style="77" bestFit="1" customWidth="1"/>
    <col min="3025" max="3250" width="9.33203125" style="77"/>
    <col min="3251" max="3252" width="5.6640625" style="77" customWidth="1"/>
    <col min="3253" max="3253" width="4.6640625" style="77" customWidth="1"/>
    <col min="3254" max="3254" width="4.33203125" style="77" bestFit="1" customWidth="1"/>
    <col min="3255" max="3255" width="22.5546875" style="77" bestFit="1" customWidth="1"/>
    <col min="3256" max="3256" width="10" style="77" customWidth="1"/>
    <col min="3257" max="3257" width="10.33203125" style="77" bestFit="1" customWidth="1"/>
    <col min="3258" max="3258" width="7.6640625" style="77" customWidth="1"/>
    <col min="3259" max="3259" width="7.33203125" style="77" customWidth="1"/>
    <col min="3260" max="3263" width="9.33203125" style="77" customWidth="1"/>
    <col min="3264" max="3264" width="12.6640625" style="77" customWidth="1"/>
    <col min="3265" max="3265" width="22.5546875" style="77" customWidth="1"/>
    <col min="3266" max="3266" width="11.33203125" style="77" customWidth="1"/>
    <col min="3267" max="3267" width="5.6640625" style="77" customWidth="1"/>
    <col min="3268" max="3268" width="6.6640625" style="77" customWidth="1"/>
    <col min="3269" max="3269" width="10" style="77" customWidth="1"/>
    <col min="3270" max="3270" width="8.33203125" style="77" customWidth="1"/>
    <col min="3271" max="3271" width="9.44140625" style="77" customWidth="1"/>
    <col min="3272" max="3272" width="7.6640625" style="77" customWidth="1"/>
    <col min="3273" max="3273" width="9.33203125" style="77" customWidth="1"/>
    <col min="3274" max="3274" width="9.44140625" style="77" customWidth="1"/>
    <col min="3275" max="3275" width="8.44140625" style="77" customWidth="1"/>
    <col min="3276" max="3276" width="9.33203125" style="77" customWidth="1"/>
    <col min="3277" max="3277" width="10.33203125" style="77" customWidth="1"/>
    <col min="3278" max="3278" width="12.6640625" style="77" bestFit="1" customWidth="1"/>
    <col min="3279" max="3279" width="9.33203125" style="77"/>
    <col min="3280" max="3280" width="11.44140625" style="77" bestFit="1" customWidth="1"/>
    <col min="3281" max="3506" width="9.33203125" style="77"/>
    <col min="3507" max="3508" width="5.6640625" style="77" customWidth="1"/>
    <col min="3509" max="3509" width="4.6640625" style="77" customWidth="1"/>
    <col min="3510" max="3510" width="4.33203125" style="77" bestFit="1" customWidth="1"/>
    <col min="3511" max="3511" width="22.5546875" style="77" bestFit="1" customWidth="1"/>
    <col min="3512" max="3512" width="10" style="77" customWidth="1"/>
    <col min="3513" max="3513" width="10.33203125" style="77" bestFit="1" customWidth="1"/>
    <col min="3514" max="3514" width="7.6640625" style="77" customWidth="1"/>
    <col min="3515" max="3515" width="7.33203125" style="77" customWidth="1"/>
    <col min="3516" max="3519" width="9.33203125" style="77" customWidth="1"/>
    <col min="3520" max="3520" width="12.6640625" style="77" customWidth="1"/>
    <col min="3521" max="3521" width="22.5546875" style="77" customWidth="1"/>
    <col min="3522" max="3522" width="11.33203125" style="77" customWidth="1"/>
    <col min="3523" max="3523" width="5.6640625" style="77" customWidth="1"/>
    <col min="3524" max="3524" width="6.6640625" style="77" customWidth="1"/>
    <col min="3525" max="3525" width="10" style="77" customWidth="1"/>
    <col min="3526" max="3526" width="8.33203125" style="77" customWidth="1"/>
    <col min="3527" max="3527" width="9.44140625" style="77" customWidth="1"/>
    <col min="3528" max="3528" width="7.6640625" style="77" customWidth="1"/>
    <col min="3529" max="3529" width="9.33203125" style="77" customWidth="1"/>
    <col min="3530" max="3530" width="9.44140625" style="77" customWidth="1"/>
    <col min="3531" max="3531" width="8.44140625" style="77" customWidth="1"/>
    <col min="3532" max="3532" width="9.33203125" style="77" customWidth="1"/>
    <col min="3533" max="3533" width="10.33203125" style="77" customWidth="1"/>
    <col min="3534" max="3534" width="12.6640625" style="77" bestFit="1" customWidth="1"/>
    <col min="3535" max="3535" width="9.33203125" style="77"/>
    <col min="3536" max="3536" width="11.44140625" style="77" bestFit="1" customWidth="1"/>
    <col min="3537" max="3762" width="9.33203125" style="77"/>
    <col min="3763" max="3764" width="5.6640625" style="77" customWidth="1"/>
    <col min="3765" max="3765" width="4.6640625" style="77" customWidth="1"/>
    <col min="3766" max="3766" width="4.33203125" style="77" bestFit="1" customWidth="1"/>
    <col min="3767" max="3767" width="22.5546875" style="77" bestFit="1" customWidth="1"/>
    <col min="3768" max="3768" width="10" style="77" customWidth="1"/>
    <col min="3769" max="3769" width="10.33203125" style="77" bestFit="1" customWidth="1"/>
    <col min="3770" max="3770" width="7.6640625" style="77" customWidth="1"/>
    <col min="3771" max="3771" width="7.33203125" style="77" customWidth="1"/>
    <col min="3772" max="3775" width="9.33203125" style="77" customWidth="1"/>
    <col min="3776" max="3776" width="12.6640625" style="77" customWidth="1"/>
    <col min="3777" max="3777" width="22.5546875" style="77" customWidth="1"/>
    <col min="3778" max="3778" width="11.33203125" style="77" customWidth="1"/>
    <col min="3779" max="3779" width="5.6640625" style="77" customWidth="1"/>
    <col min="3780" max="3780" width="6.6640625" style="77" customWidth="1"/>
    <col min="3781" max="3781" width="10" style="77" customWidth="1"/>
    <col min="3782" max="3782" width="8.33203125" style="77" customWidth="1"/>
    <col min="3783" max="3783" width="9.44140625" style="77" customWidth="1"/>
    <col min="3784" max="3784" width="7.6640625" style="77" customWidth="1"/>
    <col min="3785" max="3785" width="9.33203125" style="77" customWidth="1"/>
    <col min="3786" max="3786" width="9.44140625" style="77" customWidth="1"/>
    <col min="3787" max="3787" width="8.44140625" style="77" customWidth="1"/>
    <col min="3788" max="3788" width="9.33203125" style="77" customWidth="1"/>
    <col min="3789" max="3789" width="10.33203125" style="77" customWidth="1"/>
    <col min="3790" max="3790" width="12.6640625" style="77" bestFit="1" customWidth="1"/>
    <col min="3791" max="3791" width="9.33203125" style="77"/>
    <col min="3792" max="3792" width="11.44140625" style="77" bestFit="1" customWidth="1"/>
    <col min="3793" max="4018" width="9.33203125" style="77"/>
    <col min="4019" max="4020" width="5.6640625" style="77" customWidth="1"/>
    <col min="4021" max="4021" width="4.6640625" style="77" customWidth="1"/>
    <col min="4022" max="4022" width="4.33203125" style="77" bestFit="1" customWidth="1"/>
    <col min="4023" max="4023" width="22.5546875" style="77" bestFit="1" customWidth="1"/>
    <col min="4024" max="4024" width="10" style="77" customWidth="1"/>
    <col min="4025" max="4025" width="10.33203125" style="77" bestFit="1" customWidth="1"/>
    <col min="4026" max="4026" width="7.6640625" style="77" customWidth="1"/>
    <col min="4027" max="4027" width="7.33203125" style="77" customWidth="1"/>
    <col min="4028" max="4031" width="9.33203125" style="77" customWidth="1"/>
    <col min="4032" max="4032" width="12.6640625" style="77" customWidth="1"/>
    <col min="4033" max="4033" width="22.5546875" style="77" customWidth="1"/>
    <col min="4034" max="4034" width="11.33203125" style="77" customWidth="1"/>
    <col min="4035" max="4035" width="5.6640625" style="77" customWidth="1"/>
    <col min="4036" max="4036" width="6.6640625" style="77" customWidth="1"/>
    <col min="4037" max="4037" width="10" style="77" customWidth="1"/>
    <col min="4038" max="4038" width="8.33203125" style="77" customWidth="1"/>
    <col min="4039" max="4039" width="9.44140625" style="77" customWidth="1"/>
    <col min="4040" max="4040" width="7.6640625" style="77" customWidth="1"/>
    <col min="4041" max="4041" width="9.33203125" style="77" customWidth="1"/>
    <col min="4042" max="4042" width="9.44140625" style="77" customWidth="1"/>
    <col min="4043" max="4043" width="8.44140625" style="77" customWidth="1"/>
    <col min="4044" max="4044" width="9.33203125" style="77" customWidth="1"/>
    <col min="4045" max="4045" width="10.33203125" style="77" customWidth="1"/>
    <col min="4046" max="4046" width="12.6640625" style="77" bestFit="1" customWidth="1"/>
    <col min="4047" max="4047" width="9.33203125" style="77"/>
    <col min="4048" max="4048" width="11.44140625" style="77" bestFit="1" customWidth="1"/>
    <col min="4049" max="4274" width="9.33203125" style="77"/>
    <col min="4275" max="4276" width="5.6640625" style="77" customWidth="1"/>
    <col min="4277" max="4277" width="4.6640625" style="77" customWidth="1"/>
    <col min="4278" max="4278" width="4.33203125" style="77" bestFit="1" customWidth="1"/>
    <col min="4279" max="4279" width="22.5546875" style="77" bestFit="1" customWidth="1"/>
    <col min="4280" max="4280" width="10" style="77" customWidth="1"/>
    <col min="4281" max="4281" width="10.33203125" style="77" bestFit="1" customWidth="1"/>
    <col min="4282" max="4282" width="7.6640625" style="77" customWidth="1"/>
    <col min="4283" max="4283" width="7.33203125" style="77" customWidth="1"/>
    <col min="4284" max="4287" width="9.33203125" style="77" customWidth="1"/>
    <col min="4288" max="4288" width="12.6640625" style="77" customWidth="1"/>
    <col min="4289" max="4289" width="22.5546875" style="77" customWidth="1"/>
    <col min="4290" max="4290" width="11.33203125" style="77" customWidth="1"/>
    <col min="4291" max="4291" width="5.6640625" style="77" customWidth="1"/>
    <col min="4292" max="4292" width="6.6640625" style="77" customWidth="1"/>
    <col min="4293" max="4293" width="10" style="77" customWidth="1"/>
    <col min="4294" max="4294" width="8.33203125" style="77" customWidth="1"/>
    <col min="4295" max="4295" width="9.44140625" style="77" customWidth="1"/>
    <col min="4296" max="4296" width="7.6640625" style="77" customWidth="1"/>
    <col min="4297" max="4297" width="9.33203125" style="77" customWidth="1"/>
    <col min="4298" max="4298" width="9.44140625" style="77" customWidth="1"/>
    <col min="4299" max="4299" width="8.44140625" style="77" customWidth="1"/>
    <col min="4300" max="4300" width="9.33203125" style="77" customWidth="1"/>
    <col min="4301" max="4301" width="10.33203125" style="77" customWidth="1"/>
    <col min="4302" max="4302" width="12.6640625" style="77" bestFit="1" customWidth="1"/>
    <col min="4303" max="4303" width="9.33203125" style="77"/>
    <col min="4304" max="4304" width="11.44140625" style="77" bestFit="1" customWidth="1"/>
    <col min="4305" max="4530" width="9.33203125" style="77"/>
    <col min="4531" max="4532" width="5.6640625" style="77" customWidth="1"/>
    <col min="4533" max="4533" width="4.6640625" style="77" customWidth="1"/>
    <col min="4534" max="4534" width="4.33203125" style="77" bestFit="1" customWidth="1"/>
    <col min="4535" max="4535" width="22.5546875" style="77" bestFit="1" customWidth="1"/>
    <col min="4536" max="4536" width="10" style="77" customWidth="1"/>
    <col min="4537" max="4537" width="10.33203125" style="77" bestFit="1" customWidth="1"/>
    <col min="4538" max="4538" width="7.6640625" style="77" customWidth="1"/>
    <col min="4539" max="4539" width="7.33203125" style="77" customWidth="1"/>
    <col min="4540" max="4543" width="9.33203125" style="77" customWidth="1"/>
    <col min="4544" max="4544" width="12.6640625" style="77" customWidth="1"/>
    <col min="4545" max="4545" width="22.5546875" style="77" customWidth="1"/>
    <col min="4546" max="4546" width="11.33203125" style="77" customWidth="1"/>
    <col min="4547" max="4547" width="5.6640625" style="77" customWidth="1"/>
    <col min="4548" max="4548" width="6.6640625" style="77" customWidth="1"/>
    <col min="4549" max="4549" width="10" style="77" customWidth="1"/>
    <col min="4550" max="4550" width="8.33203125" style="77" customWidth="1"/>
    <col min="4551" max="4551" width="9.44140625" style="77" customWidth="1"/>
    <col min="4552" max="4552" width="7.6640625" style="77" customWidth="1"/>
    <col min="4553" max="4553" width="9.33203125" style="77" customWidth="1"/>
    <col min="4554" max="4554" width="9.44140625" style="77" customWidth="1"/>
    <col min="4555" max="4555" width="8.44140625" style="77" customWidth="1"/>
    <col min="4556" max="4556" width="9.33203125" style="77" customWidth="1"/>
    <col min="4557" max="4557" width="10.33203125" style="77" customWidth="1"/>
    <col min="4558" max="4558" width="12.6640625" style="77" bestFit="1" customWidth="1"/>
    <col min="4559" max="4559" width="9.33203125" style="77"/>
    <col min="4560" max="4560" width="11.44140625" style="77" bestFit="1" customWidth="1"/>
    <col min="4561" max="4786" width="9.33203125" style="77"/>
    <col min="4787" max="4788" width="5.6640625" style="77" customWidth="1"/>
    <col min="4789" max="4789" width="4.6640625" style="77" customWidth="1"/>
    <col min="4790" max="4790" width="4.33203125" style="77" bestFit="1" customWidth="1"/>
    <col min="4791" max="4791" width="22.5546875" style="77" bestFit="1" customWidth="1"/>
    <col min="4792" max="4792" width="10" style="77" customWidth="1"/>
    <col min="4793" max="4793" width="10.33203125" style="77" bestFit="1" customWidth="1"/>
    <col min="4794" max="4794" width="7.6640625" style="77" customWidth="1"/>
    <col min="4795" max="4795" width="7.33203125" style="77" customWidth="1"/>
    <col min="4796" max="4799" width="9.33203125" style="77" customWidth="1"/>
    <col min="4800" max="4800" width="12.6640625" style="77" customWidth="1"/>
    <col min="4801" max="4801" width="22.5546875" style="77" customWidth="1"/>
    <col min="4802" max="4802" width="11.33203125" style="77" customWidth="1"/>
    <col min="4803" max="4803" width="5.6640625" style="77" customWidth="1"/>
    <col min="4804" max="4804" width="6.6640625" style="77" customWidth="1"/>
    <col min="4805" max="4805" width="10" style="77" customWidth="1"/>
    <col min="4806" max="4806" width="8.33203125" style="77" customWidth="1"/>
    <col min="4807" max="4807" width="9.44140625" style="77" customWidth="1"/>
    <col min="4808" max="4808" width="7.6640625" style="77" customWidth="1"/>
    <col min="4809" max="4809" width="9.33203125" style="77" customWidth="1"/>
    <col min="4810" max="4810" width="9.44140625" style="77" customWidth="1"/>
    <col min="4811" max="4811" width="8.44140625" style="77" customWidth="1"/>
    <col min="4812" max="4812" width="9.33203125" style="77" customWidth="1"/>
    <col min="4813" max="4813" width="10.33203125" style="77" customWidth="1"/>
    <col min="4814" max="4814" width="12.6640625" style="77" bestFit="1" customWidth="1"/>
    <col min="4815" max="4815" width="9.33203125" style="77"/>
    <col min="4816" max="4816" width="11.44140625" style="77" bestFit="1" customWidth="1"/>
    <col min="4817" max="5042" width="9.33203125" style="77"/>
    <col min="5043" max="5044" width="5.6640625" style="77" customWidth="1"/>
    <col min="5045" max="5045" width="4.6640625" style="77" customWidth="1"/>
    <col min="5046" max="5046" width="4.33203125" style="77" bestFit="1" customWidth="1"/>
    <col min="5047" max="5047" width="22.5546875" style="77" bestFit="1" customWidth="1"/>
    <col min="5048" max="5048" width="10" style="77" customWidth="1"/>
    <col min="5049" max="5049" width="10.33203125" style="77" bestFit="1" customWidth="1"/>
    <col min="5050" max="5050" width="7.6640625" style="77" customWidth="1"/>
    <col min="5051" max="5051" width="7.33203125" style="77" customWidth="1"/>
    <col min="5052" max="5055" width="9.33203125" style="77" customWidth="1"/>
    <col min="5056" max="5056" width="12.6640625" style="77" customWidth="1"/>
    <col min="5057" max="5057" width="22.5546875" style="77" customWidth="1"/>
    <col min="5058" max="5058" width="11.33203125" style="77" customWidth="1"/>
    <col min="5059" max="5059" width="5.6640625" style="77" customWidth="1"/>
    <col min="5060" max="5060" width="6.6640625" style="77" customWidth="1"/>
    <col min="5061" max="5061" width="10" style="77" customWidth="1"/>
    <col min="5062" max="5062" width="8.33203125" style="77" customWidth="1"/>
    <col min="5063" max="5063" width="9.44140625" style="77" customWidth="1"/>
    <col min="5064" max="5064" width="7.6640625" style="77" customWidth="1"/>
    <col min="5065" max="5065" width="9.33203125" style="77" customWidth="1"/>
    <col min="5066" max="5066" width="9.44140625" style="77" customWidth="1"/>
    <col min="5067" max="5067" width="8.44140625" style="77" customWidth="1"/>
    <col min="5068" max="5068" width="9.33203125" style="77" customWidth="1"/>
    <col min="5069" max="5069" width="10.33203125" style="77" customWidth="1"/>
    <col min="5070" max="5070" width="12.6640625" style="77" bestFit="1" customWidth="1"/>
    <col min="5071" max="5071" width="9.33203125" style="77"/>
    <col min="5072" max="5072" width="11.44140625" style="77" bestFit="1" customWidth="1"/>
    <col min="5073" max="5298" width="9.33203125" style="77"/>
    <col min="5299" max="5300" width="5.6640625" style="77" customWidth="1"/>
    <col min="5301" max="5301" width="4.6640625" style="77" customWidth="1"/>
    <col min="5302" max="5302" width="4.33203125" style="77" bestFit="1" customWidth="1"/>
    <col min="5303" max="5303" width="22.5546875" style="77" bestFit="1" customWidth="1"/>
    <col min="5304" max="5304" width="10" style="77" customWidth="1"/>
    <col min="5305" max="5305" width="10.33203125" style="77" bestFit="1" customWidth="1"/>
    <col min="5306" max="5306" width="7.6640625" style="77" customWidth="1"/>
    <col min="5307" max="5307" width="7.33203125" style="77" customWidth="1"/>
    <col min="5308" max="5311" width="9.33203125" style="77" customWidth="1"/>
    <col min="5312" max="5312" width="12.6640625" style="77" customWidth="1"/>
    <col min="5313" max="5313" width="22.5546875" style="77" customWidth="1"/>
    <col min="5314" max="5314" width="11.33203125" style="77" customWidth="1"/>
    <col min="5315" max="5315" width="5.6640625" style="77" customWidth="1"/>
    <col min="5316" max="5316" width="6.6640625" style="77" customWidth="1"/>
    <col min="5317" max="5317" width="10" style="77" customWidth="1"/>
    <col min="5318" max="5318" width="8.33203125" style="77" customWidth="1"/>
    <col min="5319" max="5319" width="9.44140625" style="77" customWidth="1"/>
    <col min="5320" max="5320" width="7.6640625" style="77" customWidth="1"/>
    <col min="5321" max="5321" width="9.33203125" style="77" customWidth="1"/>
    <col min="5322" max="5322" width="9.44140625" style="77" customWidth="1"/>
    <col min="5323" max="5323" width="8.44140625" style="77" customWidth="1"/>
    <col min="5324" max="5324" width="9.33203125" style="77" customWidth="1"/>
    <col min="5325" max="5325" width="10.33203125" style="77" customWidth="1"/>
    <col min="5326" max="5326" width="12.6640625" style="77" bestFit="1" customWidth="1"/>
    <col min="5327" max="5327" width="9.33203125" style="77"/>
    <col min="5328" max="5328" width="11.44140625" style="77" bestFit="1" customWidth="1"/>
    <col min="5329" max="5554" width="9.33203125" style="77"/>
    <col min="5555" max="5556" width="5.6640625" style="77" customWidth="1"/>
    <col min="5557" max="5557" width="4.6640625" style="77" customWidth="1"/>
    <col min="5558" max="5558" width="4.33203125" style="77" bestFit="1" customWidth="1"/>
    <col min="5559" max="5559" width="22.5546875" style="77" bestFit="1" customWidth="1"/>
    <col min="5560" max="5560" width="10" style="77" customWidth="1"/>
    <col min="5561" max="5561" width="10.33203125" style="77" bestFit="1" customWidth="1"/>
    <col min="5562" max="5562" width="7.6640625" style="77" customWidth="1"/>
    <col min="5563" max="5563" width="7.33203125" style="77" customWidth="1"/>
    <col min="5564" max="5567" width="9.33203125" style="77" customWidth="1"/>
    <col min="5568" max="5568" width="12.6640625" style="77" customWidth="1"/>
    <col min="5569" max="5569" width="22.5546875" style="77" customWidth="1"/>
    <col min="5570" max="5570" width="11.33203125" style="77" customWidth="1"/>
    <col min="5571" max="5571" width="5.6640625" style="77" customWidth="1"/>
    <col min="5572" max="5572" width="6.6640625" style="77" customWidth="1"/>
    <col min="5573" max="5573" width="10" style="77" customWidth="1"/>
    <col min="5574" max="5574" width="8.33203125" style="77" customWidth="1"/>
    <col min="5575" max="5575" width="9.44140625" style="77" customWidth="1"/>
    <col min="5576" max="5576" width="7.6640625" style="77" customWidth="1"/>
    <col min="5577" max="5577" width="9.33203125" style="77" customWidth="1"/>
    <col min="5578" max="5578" width="9.44140625" style="77" customWidth="1"/>
    <col min="5579" max="5579" width="8.44140625" style="77" customWidth="1"/>
    <col min="5580" max="5580" width="9.33203125" style="77" customWidth="1"/>
    <col min="5581" max="5581" width="10.33203125" style="77" customWidth="1"/>
    <col min="5582" max="5582" width="12.6640625" style="77" bestFit="1" customWidth="1"/>
    <col min="5583" max="5583" width="9.33203125" style="77"/>
    <col min="5584" max="5584" width="11.44140625" style="77" bestFit="1" customWidth="1"/>
    <col min="5585" max="5810" width="9.33203125" style="77"/>
    <col min="5811" max="5812" width="5.6640625" style="77" customWidth="1"/>
    <col min="5813" max="5813" width="4.6640625" style="77" customWidth="1"/>
    <col min="5814" max="5814" width="4.33203125" style="77" bestFit="1" customWidth="1"/>
    <col min="5815" max="5815" width="22.5546875" style="77" bestFit="1" customWidth="1"/>
    <col min="5816" max="5816" width="10" style="77" customWidth="1"/>
    <col min="5817" max="5817" width="10.33203125" style="77" bestFit="1" customWidth="1"/>
    <col min="5818" max="5818" width="7.6640625" style="77" customWidth="1"/>
    <col min="5819" max="5819" width="7.33203125" style="77" customWidth="1"/>
    <col min="5820" max="5823" width="9.33203125" style="77" customWidth="1"/>
    <col min="5824" max="5824" width="12.6640625" style="77" customWidth="1"/>
    <col min="5825" max="5825" width="22.5546875" style="77" customWidth="1"/>
    <col min="5826" max="5826" width="11.33203125" style="77" customWidth="1"/>
    <col min="5827" max="5827" width="5.6640625" style="77" customWidth="1"/>
    <col min="5828" max="5828" width="6.6640625" style="77" customWidth="1"/>
    <col min="5829" max="5829" width="10" style="77" customWidth="1"/>
    <col min="5830" max="5830" width="8.33203125" style="77" customWidth="1"/>
    <col min="5831" max="5831" width="9.44140625" style="77" customWidth="1"/>
    <col min="5832" max="5832" width="7.6640625" style="77" customWidth="1"/>
    <col min="5833" max="5833" width="9.33203125" style="77" customWidth="1"/>
    <col min="5834" max="5834" width="9.44140625" style="77" customWidth="1"/>
    <col min="5835" max="5835" width="8.44140625" style="77" customWidth="1"/>
    <col min="5836" max="5836" width="9.33203125" style="77" customWidth="1"/>
    <col min="5837" max="5837" width="10.33203125" style="77" customWidth="1"/>
    <col min="5838" max="5838" width="12.6640625" style="77" bestFit="1" customWidth="1"/>
    <col min="5839" max="5839" width="9.33203125" style="77"/>
    <col min="5840" max="5840" width="11.44140625" style="77" bestFit="1" customWidth="1"/>
    <col min="5841" max="6066" width="9.33203125" style="77"/>
    <col min="6067" max="6068" width="5.6640625" style="77" customWidth="1"/>
    <col min="6069" max="6069" width="4.6640625" style="77" customWidth="1"/>
    <col min="6070" max="6070" width="4.33203125" style="77" bestFit="1" customWidth="1"/>
    <col min="6071" max="6071" width="22.5546875" style="77" bestFit="1" customWidth="1"/>
    <col min="6072" max="6072" width="10" style="77" customWidth="1"/>
    <col min="6073" max="6073" width="10.33203125" style="77" bestFit="1" customWidth="1"/>
    <col min="6074" max="6074" width="7.6640625" style="77" customWidth="1"/>
    <col min="6075" max="6075" width="7.33203125" style="77" customWidth="1"/>
    <col min="6076" max="6079" width="9.33203125" style="77" customWidth="1"/>
    <col min="6080" max="6080" width="12.6640625" style="77" customWidth="1"/>
    <col min="6081" max="6081" width="22.5546875" style="77" customWidth="1"/>
    <col min="6082" max="6082" width="11.33203125" style="77" customWidth="1"/>
    <col min="6083" max="6083" width="5.6640625" style="77" customWidth="1"/>
    <col min="6084" max="6084" width="6.6640625" style="77" customWidth="1"/>
    <col min="6085" max="6085" width="10" style="77" customWidth="1"/>
    <col min="6086" max="6086" width="8.33203125" style="77" customWidth="1"/>
    <col min="6087" max="6087" width="9.44140625" style="77" customWidth="1"/>
    <col min="6088" max="6088" width="7.6640625" style="77" customWidth="1"/>
    <col min="6089" max="6089" width="9.33203125" style="77" customWidth="1"/>
    <col min="6090" max="6090" width="9.44140625" style="77" customWidth="1"/>
    <col min="6091" max="6091" width="8.44140625" style="77" customWidth="1"/>
    <col min="6092" max="6092" width="9.33203125" style="77" customWidth="1"/>
    <col min="6093" max="6093" width="10.33203125" style="77" customWidth="1"/>
    <col min="6094" max="6094" width="12.6640625" style="77" bestFit="1" customWidth="1"/>
    <col min="6095" max="6095" width="9.33203125" style="77"/>
    <col min="6096" max="6096" width="11.44140625" style="77" bestFit="1" customWidth="1"/>
    <col min="6097" max="6322" width="9.33203125" style="77"/>
    <col min="6323" max="6324" width="5.6640625" style="77" customWidth="1"/>
    <col min="6325" max="6325" width="4.6640625" style="77" customWidth="1"/>
    <col min="6326" max="6326" width="4.33203125" style="77" bestFit="1" customWidth="1"/>
    <col min="6327" max="6327" width="22.5546875" style="77" bestFit="1" customWidth="1"/>
    <col min="6328" max="6328" width="10" style="77" customWidth="1"/>
    <col min="6329" max="6329" width="10.33203125" style="77" bestFit="1" customWidth="1"/>
    <col min="6330" max="6330" width="7.6640625" style="77" customWidth="1"/>
    <col min="6331" max="6331" width="7.33203125" style="77" customWidth="1"/>
    <col min="6332" max="6335" width="9.33203125" style="77" customWidth="1"/>
    <col min="6336" max="6336" width="12.6640625" style="77" customWidth="1"/>
    <col min="6337" max="6337" width="22.5546875" style="77" customWidth="1"/>
    <col min="6338" max="6338" width="11.33203125" style="77" customWidth="1"/>
    <col min="6339" max="6339" width="5.6640625" style="77" customWidth="1"/>
    <col min="6340" max="6340" width="6.6640625" style="77" customWidth="1"/>
    <col min="6341" max="6341" width="10" style="77" customWidth="1"/>
    <col min="6342" max="6342" width="8.33203125" style="77" customWidth="1"/>
    <col min="6343" max="6343" width="9.44140625" style="77" customWidth="1"/>
    <col min="6344" max="6344" width="7.6640625" style="77" customWidth="1"/>
    <col min="6345" max="6345" width="9.33203125" style="77" customWidth="1"/>
    <col min="6346" max="6346" width="9.44140625" style="77" customWidth="1"/>
    <col min="6347" max="6347" width="8.44140625" style="77" customWidth="1"/>
    <col min="6348" max="6348" width="9.33203125" style="77" customWidth="1"/>
    <col min="6349" max="6349" width="10.33203125" style="77" customWidth="1"/>
    <col min="6350" max="6350" width="12.6640625" style="77" bestFit="1" customWidth="1"/>
    <col min="6351" max="6351" width="9.33203125" style="77"/>
    <col min="6352" max="6352" width="11.44140625" style="77" bestFit="1" customWidth="1"/>
    <col min="6353" max="6578" width="9.33203125" style="77"/>
    <col min="6579" max="6580" width="5.6640625" style="77" customWidth="1"/>
    <col min="6581" max="6581" width="4.6640625" style="77" customWidth="1"/>
    <col min="6582" max="6582" width="4.33203125" style="77" bestFit="1" customWidth="1"/>
    <col min="6583" max="6583" width="22.5546875" style="77" bestFit="1" customWidth="1"/>
    <col min="6584" max="6584" width="10" style="77" customWidth="1"/>
    <col min="6585" max="6585" width="10.33203125" style="77" bestFit="1" customWidth="1"/>
    <col min="6586" max="6586" width="7.6640625" style="77" customWidth="1"/>
    <col min="6587" max="6587" width="7.33203125" style="77" customWidth="1"/>
    <col min="6588" max="6591" width="9.33203125" style="77" customWidth="1"/>
    <col min="6592" max="6592" width="12.6640625" style="77" customWidth="1"/>
    <col min="6593" max="6593" width="22.5546875" style="77" customWidth="1"/>
    <col min="6594" max="6594" width="11.33203125" style="77" customWidth="1"/>
    <col min="6595" max="6595" width="5.6640625" style="77" customWidth="1"/>
    <col min="6596" max="6596" width="6.6640625" style="77" customWidth="1"/>
    <col min="6597" max="6597" width="10" style="77" customWidth="1"/>
    <col min="6598" max="6598" width="8.33203125" style="77" customWidth="1"/>
    <col min="6599" max="6599" width="9.44140625" style="77" customWidth="1"/>
    <col min="6600" max="6600" width="7.6640625" style="77" customWidth="1"/>
    <col min="6601" max="6601" width="9.33203125" style="77" customWidth="1"/>
    <col min="6602" max="6602" width="9.44140625" style="77" customWidth="1"/>
    <col min="6603" max="6603" width="8.44140625" style="77" customWidth="1"/>
    <col min="6604" max="6604" width="9.33203125" style="77" customWidth="1"/>
    <col min="6605" max="6605" width="10.33203125" style="77" customWidth="1"/>
    <col min="6606" max="6606" width="12.6640625" style="77" bestFit="1" customWidth="1"/>
    <col min="6607" max="6607" width="9.33203125" style="77"/>
    <col min="6608" max="6608" width="11.44140625" style="77" bestFit="1" customWidth="1"/>
    <col min="6609" max="6834" width="9.33203125" style="77"/>
    <col min="6835" max="6836" width="5.6640625" style="77" customWidth="1"/>
    <col min="6837" max="6837" width="4.6640625" style="77" customWidth="1"/>
    <col min="6838" max="6838" width="4.33203125" style="77" bestFit="1" customWidth="1"/>
    <col min="6839" max="6839" width="22.5546875" style="77" bestFit="1" customWidth="1"/>
    <col min="6840" max="6840" width="10" style="77" customWidth="1"/>
    <col min="6841" max="6841" width="10.33203125" style="77" bestFit="1" customWidth="1"/>
    <col min="6842" max="6842" width="7.6640625" style="77" customWidth="1"/>
    <col min="6843" max="6843" width="7.33203125" style="77" customWidth="1"/>
    <col min="6844" max="6847" width="9.33203125" style="77" customWidth="1"/>
    <col min="6848" max="6848" width="12.6640625" style="77" customWidth="1"/>
    <col min="6849" max="6849" width="22.5546875" style="77" customWidth="1"/>
    <col min="6850" max="6850" width="11.33203125" style="77" customWidth="1"/>
    <col min="6851" max="6851" width="5.6640625" style="77" customWidth="1"/>
    <col min="6852" max="6852" width="6.6640625" style="77" customWidth="1"/>
    <col min="6853" max="6853" width="10" style="77" customWidth="1"/>
    <col min="6854" max="6854" width="8.33203125" style="77" customWidth="1"/>
    <col min="6855" max="6855" width="9.44140625" style="77" customWidth="1"/>
    <col min="6856" max="6856" width="7.6640625" style="77" customWidth="1"/>
    <col min="6857" max="6857" width="9.33203125" style="77" customWidth="1"/>
    <col min="6858" max="6858" width="9.44140625" style="77" customWidth="1"/>
    <col min="6859" max="6859" width="8.44140625" style="77" customWidth="1"/>
    <col min="6860" max="6860" width="9.33203125" style="77" customWidth="1"/>
    <col min="6861" max="6861" width="10.33203125" style="77" customWidth="1"/>
    <col min="6862" max="6862" width="12.6640625" style="77" bestFit="1" customWidth="1"/>
    <col min="6863" max="6863" width="9.33203125" style="77"/>
    <col min="6864" max="6864" width="11.44140625" style="77" bestFit="1" customWidth="1"/>
    <col min="6865" max="7090" width="9.33203125" style="77"/>
    <col min="7091" max="7092" width="5.6640625" style="77" customWidth="1"/>
    <col min="7093" max="7093" width="4.6640625" style="77" customWidth="1"/>
    <col min="7094" max="7094" width="4.33203125" style="77" bestFit="1" customWidth="1"/>
    <col min="7095" max="7095" width="22.5546875" style="77" bestFit="1" customWidth="1"/>
    <col min="7096" max="7096" width="10" style="77" customWidth="1"/>
    <col min="7097" max="7097" width="10.33203125" style="77" bestFit="1" customWidth="1"/>
    <col min="7098" max="7098" width="7.6640625" style="77" customWidth="1"/>
    <col min="7099" max="7099" width="7.33203125" style="77" customWidth="1"/>
    <col min="7100" max="7103" width="9.33203125" style="77" customWidth="1"/>
    <col min="7104" max="7104" width="12.6640625" style="77" customWidth="1"/>
    <col min="7105" max="7105" width="22.5546875" style="77" customWidth="1"/>
    <col min="7106" max="7106" width="11.33203125" style="77" customWidth="1"/>
    <col min="7107" max="7107" width="5.6640625" style="77" customWidth="1"/>
    <col min="7108" max="7108" width="6.6640625" style="77" customWidth="1"/>
    <col min="7109" max="7109" width="10" style="77" customWidth="1"/>
    <col min="7110" max="7110" width="8.33203125" style="77" customWidth="1"/>
    <col min="7111" max="7111" width="9.44140625" style="77" customWidth="1"/>
    <col min="7112" max="7112" width="7.6640625" style="77" customWidth="1"/>
    <col min="7113" max="7113" width="9.33203125" style="77" customWidth="1"/>
    <col min="7114" max="7114" width="9.44140625" style="77" customWidth="1"/>
    <col min="7115" max="7115" width="8.44140625" style="77" customWidth="1"/>
    <col min="7116" max="7116" width="9.33203125" style="77" customWidth="1"/>
    <col min="7117" max="7117" width="10.33203125" style="77" customWidth="1"/>
    <col min="7118" max="7118" width="12.6640625" style="77" bestFit="1" customWidth="1"/>
    <col min="7119" max="7119" width="9.33203125" style="77"/>
    <col min="7120" max="7120" width="11.44140625" style="77" bestFit="1" customWidth="1"/>
    <col min="7121" max="7346" width="9.33203125" style="77"/>
    <col min="7347" max="7348" width="5.6640625" style="77" customWidth="1"/>
    <col min="7349" max="7349" width="4.6640625" style="77" customWidth="1"/>
    <col min="7350" max="7350" width="4.33203125" style="77" bestFit="1" customWidth="1"/>
    <col min="7351" max="7351" width="22.5546875" style="77" bestFit="1" customWidth="1"/>
    <col min="7352" max="7352" width="10" style="77" customWidth="1"/>
    <col min="7353" max="7353" width="10.33203125" style="77" bestFit="1" customWidth="1"/>
    <col min="7354" max="7354" width="7.6640625" style="77" customWidth="1"/>
    <col min="7355" max="7355" width="7.33203125" style="77" customWidth="1"/>
    <col min="7356" max="7359" width="9.33203125" style="77" customWidth="1"/>
    <col min="7360" max="7360" width="12.6640625" style="77" customWidth="1"/>
    <col min="7361" max="7361" width="22.5546875" style="77" customWidth="1"/>
    <col min="7362" max="7362" width="11.33203125" style="77" customWidth="1"/>
    <col min="7363" max="7363" width="5.6640625" style="77" customWidth="1"/>
    <col min="7364" max="7364" width="6.6640625" style="77" customWidth="1"/>
    <col min="7365" max="7365" width="10" style="77" customWidth="1"/>
    <col min="7366" max="7366" width="8.33203125" style="77" customWidth="1"/>
    <col min="7367" max="7367" width="9.44140625" style="77" customWidth="1"/>
    <col min="7368" max="7368" width="7.6640625" style="77" customWidth="1"/>
    <col min="7369" max="7369" width="9.33203125" style="77" customWidth="1"/>
    <col min="7370" max="7370" width="9.44140625" style="77" customWidth="1"/>
    <col min="7371" max="7371" width="8.44140625" style="77" customWidth="1"/>
    <col min="7372" max="7372" width="9.33203125" style="77" customWidth="1"/>
    <col min="7373" max="7373" width="10.33203125" style="77" customWidth="1"/>
    <col min="7374" max="7374" width="12.6640625" style="77" bestFit="1" customWidth="1"/>
    <col min="7375" max="7375" width="9.33203125" style="77"/>
    <col min="7376" max="7376" width="11.44140625" style="77" bestFit="1" customWidth="1"/>
    <col min="7377" max="7602" width="9.33203125" style="77"/>
    <col min="7603" max="7604" width="5.6640625" style="77" customWidth="1"/>
    <col min="7605" max="7605" width="4.6640625" style="77" customWidth="1"/>
    <col min="7606" max="7606" width="4.33203125" style="77" bestFit="1" customWidth="1"/>
    <col min="7607" max="7607" width="22.5546875" style="77" bestFit="1" customWidth="1"/>
    <col min="7608" max="7608" width="10" style="77" customWidth="1"/>
    <col min="7609" max="7609" width="10.33203125" style="77" bestFit="1" customWidth="1"/>
    <col min="7610" max="7610" width="7.6640625" style="77" customWidth="1"/>
    <col min="7611" max="7611" width="7.33203125" style="77" customWidth="1"/>
    <col min="7612" max="7615" width="9.33203125" style="77" customWidth="1"/>
    <col min="7616" max="7616" width="12.6640625" style="77" customWidth="1"/>
    <col min="7617" max="7617" width="22.5546875" style="77" customWidth="1"/>
    <col min="7618" max="7618" width="11.33203125" style="77" customWidth="1"/>
    <col min="7619" max="7619" width="5.6640625" style="77" customWidth="1"/>
    <col min="7620" max="7620" width="6.6640625" style="77" customWidth="1"/>
    <col min="7621" max="7621" width="10" style="77" customWidth="1"/>
    <col min="7622" max="7622" width="8.33203125" style="77" customWidth="1"/>
    <col min="7623" max="7623" width="9.44140625" style="77" customWidth="1"/>
    <col min="7624" max="7624" width="7.6640625" style="77" customWidth="1"/>
    <col min="7625" max="7625" width="9.33203125" style="77" customWidth="1"/>
    <col min="7626" max="7626" width="9.44140625" style="77" customWidth="1"/>
    <col min="7627" max="7627" width="8.44140625" style="77" customWidth="1"/>
    <col min="7628" max="7628" width="9.33203125" style="77" customWidth="1"/>
    <col min="7629" max="7629" width="10.33203125" style="77" customWidth="1"/>
    <col min="7630" max="7630" width="12.6640625" style="77" bestFit="1" customWidth="1"/>
    <col min="7631" max="7631" width="9.33203125" style="77"/>
    <col min="7632" max="7632" width="11.44140625" style="77" bestFit="1" customWidth="1"/>
    <col min="7633" max="7858" width="9.33203125" style="77"/>
    <col min="7859" max="7860" width="5.6640625" style="77" customWidth="1"/>
    <col min="7861" max="7861" width="4.6640625" style="77" customWidth="1"/>
    <col min="7862" max="7862" width="4.33203125" style="77" bestFit="1" customWidth="1"/>
    <col min="7863" max="7863" width="22.5546875" style="77" bestFit="1" customWidth="1"/>
    <col min="7864" max="7864" width="10" style="77" customWidth="1"/>
    <col min="7865" max="7865" width="10.33203125" style="77" bestFit="1" customWidth="1"/>
    <col min="7866" max="7866" width="7.6640625" style="77" customWidth="1"/>
    <col min="7867" max="7867" width="7.33203125" style="77" customWidth="1"/>
    <col min="7868" max="7871" width="9.33203125" style="77" customWidth="1"/>
    <col min="7872" max="7872" width="12.6640625" style="77" customWidth="1"/>
    <col min="7873" max="7873" width="22.5546875" style="77" customWidth="1"/>
    <col min="7874" max="7874" width="11.33203125" style="77" customWidth="1"/>
    <col min="7875" max="7875" width="5.6640625" style="77" customWidth="1"/>
    <col min="7876" max="7876" width="6.6640625" style="77" customWidth="1"/>
    <col min="7877" max="7877" width="10" style="77" customWidth="1"/>
    <col min="7878" max="7878" width="8.33203125" style="77" customWidth="1"/>
    <col min="7879" max="7879" width="9.44140625" style="77" customWidth="1"/>
    <col min="7880" max="7880" width="7.6640625" style="77" customWidth="1"/>
    <col min="7881" max="7881" width="9.33203125" style="77" customWidth="1"/>
    <col min="7882" max="7882" width="9.44140625" style="77" customWidth="1"/>
    <col min="7883" max="7883" width="8.44140625" style="77" customWidth="1"/>
    <col min="7884" max="7884" width="9.33203125" style="77" customWidth="1"/>
    <col min="7885" max="7885" width="10.33203125" style="77" customWidth="1"/>
    <col min="7886" max="7886" width="12.6640625" style="77" bestFit="1" customWidth="1"/>
    <col min="7887" max="7887" width="9.33203125" style="77"/>
    <col min="7888" max="7888" width="11.44140625" style="77" bestFit="1" customWidth="1"/>
    <col min="7889" max="8114" width="9.33203125" style="77"/>
    <col min="8115" max="8116" width="5.6640625" style="77" customWidth="1"/>
    <col min="8117" max="8117" width="4.6640625" style="77" customWidth="1"/>
    <col min="8118" max="8118" width="4.33203125" style="77" bestFit="1" customWidth="1"/>
    <col min="8119" max="8119" width="22.5546875" style="77" bestFit="1" customWidth="1"/>
    <col min="8120" max="8120" width="10" style="77" customWidth="1"/>
    <col min="8121" max="8121" width="10.33203125" style="77" bestFit="1" customWidth="1"/>
    <col min="8122" max="8122" width="7.6640625" style="77" customWidth="1"/>
    <col min="8123" max="8123" width="7.33203125" style="77" customWidth="1"/>
    <col min="8124" max="8127" width="9.33203125" style="77" customWidth="1"/>
    <col min="8128" max="8128" width="12.6640625" style="77" customWidth="1"/>
    <col min="8129" max="8129" width="22.5546875" style="77" customWidth="1"/>
    <col min="8130" max="8130" width="11.33203125" style="77" customWidth="1"/>
    <col min="8131" max="8131" width="5.6640625" style="77" customWidth="1"/>
    <col min="8132" max="8132" width="6.6640625" style="77" customWidth="1"/>
    <col min="8133" max="8133" width="10" style="77" customWidth="1"/>
    <col min="8134" max="8134" width="8.33203125" style="77" customWidth="1"/>
    <col min="8135" max="8135" width="9.44140625" style="77" customWidth="1"/>
    <col min="8136" max="8136" width="7.6640625" style="77" customWidth="1"/>
    <col min="8137" max="8137" width="9.33203125" style="77" customWidth="1"/>
    <col min="8138" max="8138" width="9.44140625" style="77" customWidth="1"/>
    <col min="8139" max="8139" width="8.44140625" style="77" customWidth="1"/>
    <col min="8140" max="8140" width="9.33203125" style="77" customWidth="1"/>
    <col min="8141" max="8141" width="10.33203125" style="77" customWidth="1"/>
    <col min="8142" max="8142" width="12.6640625" style="77" bestFit="1" customWidth="1"/>
    <col min="8143" max="8143" width="9.33203125" style="77"/>
    <col min="8144" max="8144" width="11.44140625" style="77" bestFit="1" customWidth="1"/>
    <col min="8145" max="8370" width="9.33203125" style="77"/>
    <col min="8371" max="8372" width="5.6640625" style="77" customWidth="1"/>
    <col min="8373" max="8373" width="4.6640625" style="77" customWidth="1"/>
    <col min="8374" max="8374" width="4.33203125" style="77" bestFit="1" customWidth="1"/>
    <col min="8375" max="8375" width="22.5546875" style="77" bestFit="1" customWidth="1"/>
    <col min="8376" max="8376" width="10" style="77" customWidth="1"/>
    <col min="8377" max="8377" width="10.33203125" style="77" bestFit="1" customWidth="1"/>
    <col min="8378" max="8378" width="7.6640625" style="77" customWidth="1"/>
    <col min="8379" max="8379" width="7.33203125" style="77" customWidth="1"/>
    <col min="8380" max="8383" width="9.33203125" style="77" customWidth="1"/>
    <col min="8384" max="8384" width="12.6640625" style="77" customWidth="1"/>
    <col min="8385" max="8385" width="22.5546875" style="77" customWidth="1"/>
    <col min="8386" max="8386" width="11.33203125" style="77" customWidth="1"/>
    <col min="8387" max="8387" width="5.6640625" style="77" customWidth="1"/>
    <col min="8388" max="8388" width="6.6640625" style="77" customWidth="1"/>
    <col min="8389" max="8389" width="10" style="77" customWidth="1"/>
    <col min="8390" max="8390" width="8.33203125" style="77" customWidth="1"/>
    <col min="8391" max="8391" width="9.44140625" style="77" customWidth="1"/>
    <col min="8392" max="8392" width="7.6640625" style="77" customWidth="1"/>
    <col min="8393" max="8393" width="9.33203125" style="77" customWidth="1"/>
    <col min="8394" max="8394" width="9.44140625" style="77" customWidth="1"/>
    <col min="8395" max="8395" width="8.44140625" style="77" customWidth="1"/>
    <col min="8396" max="8396" width="9.33203125" style="77" customWidth="1"/>
    <col min="8397" max="8397" width="10.33203125" style="77" customWidth="1"/>
    <col min="8398" max="8398" width="12.6640625" style="77" bestFit="1" customWidth="1"/>
    <col min="8399" max="8399" width="9.33203125" style="77"/>
    <col min="8400" max="8400" width="11.44140625" style="77" bestFit="1" customWidth="1"/>
    <col min="8401" max="8626" width="9.33203125" style="77"/>
    <col min="8627" max="8628" width="5.6640625" style="77" customWidth="1"/>
    <col min="8629" max="8629" width="4.6640625" style="77" customWidth="1"/>
    <col min="8630" max="8630" width="4.33203125" style="77" bestFit="1" customWidth="1"/>
    <col min="8631" max="8631" width="22.5546875" style="77" bestFit="1" customWidth="1"/>
    <col min="8632" max="8632" width="10" style="77" customWidth="1"/>
    <col min="8633" max="8633" width="10.33203125" style="77" bestFit="1" customWidth="1"/>
    <col min="8634" max="8634" width="7.6640625" style="77" customWidth="1"/>
    <col min="8635" max="8635" width="7.33203125" style="77" customWidth="1"/>
    <col min="8636" max="8639" width="9.33203125" style="77" customWidth="1"/>
    <col min="8640" max="8640" width="12.6640625" style="77" customWidth="1"/>
    <col min="8641" max="8641" width="22.5546875" style="77" customWidth="1"/>
    <col min="8642" max="8642" width="11.33203125" style="77" customWidth="1"/>
    <col min="8643" max="8643" width="5.6640625" style="77" customWidth="1"/>
    <col min="8644" max="8644" width="6.6640625" style="77" customWidth="1"/>
    <col min="8645" max="8645" width="10" style="77" customWidth="1"/>
    <col min="8646" max="8646" width="8.33203125" style="77" customWidth="1"/>
    <col min="8647" max="8647" width="9.44140625" style="77" customWidth="1"/>
    <col min="8648" max="8648" width="7.6640625" style="77" customWidth="1"/>
    <col min="8649" max="8649" width="9.33203125" style="77" customWidth="1"/>
    <col min="8650" max="8650" width="9.44140625" style="77" customWidth="1"/>
    <col min="8651" max="8651" width="8.44140625" style="77" customWidth="1"/>
    <col min="8652" max="8652" width="9.33203125" style="77" customWidth="1"/>
    <col min="8653" max="8653" width="10.33203125" style="77" customWidth="1"/>
    <col min="8654" max="8654" width="12.6640625" style="77" bestFit="1" customWidth="1"/>
    <col min="8655" max="8655" width="9.33203125" style="77"/>
    <col min="8656" max="8656" width="11.44140625" style="77" bestFit="1" customWidth="1"/>
    <col min="8657" max="8882" width="9.33203125" style="77"/>
    <col min="8883" max="8884" width="5.6640625" style="77" customWidth="1"/>
    <col min="8885" max="8885" width="4.6640625" style="77" customWidth="1"/>
    <col min="8886" max="8886" width="4.33203125" style="77" bestFit="1" customWidth="1"/>
    <col min="8887" max="8887" width="22.5546875" style="77" bestFit="1" customWidth="1"/>
    <col min="8888" max="8888" width="10" style="77" customWidth="1"/>
    <col min="8889" max="8889" width="10.33203125" style="77" bestFit="1" customWidth="1"/>
    <col min="8890" max="8890" width="7.6640625" style="77" customWidth="1"/>
    <col min="8891" max="8891" width="7.33203125" style="77" customWidth="1"/>
    <col min="8892" max="8895" width="9.33203125" style="77" customWidth="1"/>
    <col min="8896" max="8896" width="12.6640625" style="77" customWidth="1"/>
    <col min="8897" max="8897" width="22.5546875" style="77" customWidth="1"/>
    <col min="8898" max="8898" width="11.33203125" style="77" customWidth="1"/>
    <col min="8899" max="8899" width="5.6640625" style="77" customWidth="1"/>
    <col min="8900" max="8900" width="6.6640625" style="77" customWidth="1"/>
    <col min="8901" max="8901" width="10" style="77" customWidth="1"/>
    <col min="8902" max="8902" width="8.33203125" style="77" customWidth="1"/>
    <col min="8903" max="8903" width="9.44140625" style="77" customWidth="1"/>
    <col min="8904" max="8904" width="7.6640625" style="77" customWidth="1"/>
    <col min="8905" max="8905" width="9.33203125" style="77" customWidth="1"/>
    <col min="8906" max="8906" width="9.44140625" style="77" customWidth="1"/>
    <col min="8907" max="8907" width="8.44140625" style="77" customWidth="1"/>
    <col min="8908" max="8908" width="9.33203125" style="77" customWidth="1"/>
    <col min="8909" max="8909" width="10.33203125" style="77" customWidth="1"/>
    <col min="8910" max="8910" width="12.6640625" style="77" bestFit="1" customWidth="1"/>
    <col min="8911" max="8911" width="9.33203125" style="77"/>
    <col min="8912" max="8912" width="11.44140625" style="77" bestFit="1" customWidth="1"/>
    <col min="8913" max="9138" width="9.33203125" style="77"/>
    <col min="9139" max="9140" width="5.6640625" style="77" customWidth="1"/>
    <col min="9141" max="9141" width="4.6640625" style="77" customWidth="1"/>
    <col min="9142" max="9142" width="4.33203125" style="77" bestFit="1" customWidth="1"/>
    <col min="9143" max="9143" width="22.5546875" style="77" bestFit="1" customWidth="1"/>
    <col min="9144" max="9144" width="10" style="77" customWidth="1"/>
    <col min="9145" max="9145" width="10.33203125" style="77" bestFit="1" customWidth="1"/>
    <col min="9146" max="9146" width="7.6640625" style="77" customWidth="1"/>
    <col min="9147" max="9147" width="7.33203125" style="77" customWidth="1"/>
    <col min="9148" max="9151" width="9.33203125" style="77" customWidth="1"/>
    <col min="9152" max="9152" width="12.6640625" style="77" customWidth="1"/>
    <col min="9153" max="9153" width="22.5546875" style="77" customWidth="1"/>
    <col min="9154" max="9154" width="11.33203125" style="77" customWidth="1"/>
    <col min="9155" max="9155" width="5.6640625" style="77" customWidth="1"/>
    <col min="9156" max="9156" width="6.6640625" style="77" customWidth="1"/>
    <col min="9157" max="9157" width="10" style="77" customWidth="1"/>
    <col min="9158" max="9158" width="8.33203125" style="77" customWidth="1"/>
    <col min="9159" max="9159" width="9.44140625" style="77" customWidth="1"/>
    <col min="9160" max="9160" width="7.6640625" style="77" customWidth="1"/>
    <col min="9161" max="9161" width="9.33203125" style="77" customWidth="1"/>
    <col min="9162" max="9162" width="9.44140625" style="77" customWidth="1"/>
    <col min="9163" max="9163" width="8.44140625" style="77" customWidth="1"/>
    <col min="9164" max="9164" width="9.33203125" style="77" customWidth="1"/>
    <col min="9165" max="9165" width="10.33203125" style="77" customWidth="1"/>
    <col min="9166" max="9166" width="12.6640625" style="77" bestFit="1" customWidth="1"/>
    <col min="9167" max="9167" width="9.33203125" style="77"/>
    <col min="9168" max="9168" width="11.44140625" style="77" bestFit="1" customWidth="1"/>
    <col min="9169" max="9394" width="9.33203125" style="77"/>
    <col min="9395" max="9396" width="5.6640625" style="77" customWidth="1"/>
    <col min="9397" max="9397" width="4.6640625" style="77" customWidth="1"/>
    <col min="9398" max="9398" width="4.33203125" style="77" bestFit="1" customWidth="1"/>
    <col min="9399" max="9399" width="22.5546875" style="77" bestFit="1" customWidth="1"/>
    <col min="9400" max="9400" width="10" style="77" customWidth="1"/>
    <col min="9401" max="9401" width="10.33203125" style="77" bestFit="1" customWidth="1"/>
    <col min="9402" max="9402" width="7.6640625" style="77" customWidth="1"/>
    <col min="9403" max="9403" width="7.33203125" style="77" customWidth="1"/>
    <col min="9404" max="9407" width="9.33203125" style="77" customWidth="1"/>
    <col min="9408" max="9408" width="12.6640625" style="77" customWidth="1"/>
    <col min="9409" max="9409" width="22.5546875" style="77" customWidth="1"/>
    <col min="9410" max="9410" width="11.33203125" style="77" customWidth="1"/>
    <col min="9411" max="9411" width="5.6640625" style="77" customWidth="1"/>
    <col min="9412" max="9412" width="6.6640625" style="77" customWidth="1"/>
    <col min="9413" max="9413" width="10" style="77" customWidth="1"/>
    <col min="9414" max="9414" width="8.33203125" style="77" customWidth="1"/>
    <col min="9415" max="9415" width="9.44140625" style="77" customWidth="1"/>
    <col min="9416" max="9416" width="7.6640625" style="77" customWidth="1"/>
    <col min="9417" max="9417" width="9.33203125" style="77" customWidth="1"/>
    <col min="9418" max="9418" width="9.44140625" style="77" customWidth="1"/>
    <col min="9419" max="9419" width="8.44140625" style="77" customWidth="1"/>
    <col min="9420" max="9420" width="9.33203125" style="77" customWidth="1"/>
    <col min="9421" max="9421" width="10.33203125" style="77" customWidth="1"/>
    <col min="9422" max="9422" width="12.6640625" style="77" bestFit="1" customWidth="1"/>
    <col min="9423" max="9423" width="9.33203125" style="77"/>
    <col min="9424" max="9424" width="11.44140625" style="77" bestFit="1" customWidth="1"/>
    <col min="9425" max="9650" width="9.33203125" style="77"/>
    <col min="9651" max="9652" width="5.6640625" style="77" customWidth="1"/>
    <col min="9653" max="9653" width="4.6640625" style="77" customWidth="1"/>
    <col min="9654" max="9654" width="4.33203125" style="77" bestFit="1" customWidth="1"/>
    <col min="9655" max="9655" width="22.5546875" style="77" bestFit="1" customWidth="1"/>
    <col min="9656" max="9656" width="10" style="77" customWidth="1"/>
    <col min="9657" max="9657" width="10.33203125" style="77" bestFit="1" customWidth="1"/>
    <col min="9658" max="9658" width="7.6640625" style="77" customWidth="1"/>
    <col min="9659" max="9659" width="7.33203125" style="77" customWidth="1"/>
    <col min="9660" max="9663" width="9.33203125" style="77" customWidth="1"/>
    <col min="9664" max="9664" width="12.6640625" style="77" customWidth="1"/>
    <col min="9665" max="9665" width="22.5546875" style="77" customWidth="1"/>
    <col min="9666" max="9666" width="11.33203125" style="77" customWidth="1"/>
    <col min="9667" max="9667" width="5.6640625" style="77" customWidth="1"/>
    <col min="9668" max="9668" width="6.6640625" style="77" customWidth="1"/>
    <col min="9669" max="9669" width="10" style="77" customWidth="1"/>
    <col min="9670" max="9670" width="8.33203125" style="77" customWidth="1"/>
    <col min="9671" max="9671" width="9.44140625" style="77" customWidth="1"/>
    <col min="9672" max="9672" width="7.6640625" style="77" customWidth="1"/>
    <col min="9673" max="9673" width="9.33203125" style="77" customWidth="1"/>
    <col min="9674" max="9674" width="9.44140625" style="77" customWidth="1"/>
    <col min="9675" max="9675" width="8.44140625" style="77" customWidth="1"/>
    <col min="9676" max="9676" width="9.33203125" style="77" customWidth="1"/>
    <col min="9677" max="9677" width="10.33203125" style="77" customWidth="1"/>
    <col min="9678" max="9678" width="12.6640625" style="77" bestFit="1" customWidth="1"/>
    <col min="9679" max="9679" width="9.33203125" style="77"/>
    <col min="9680" max="9680" width="11.44140625" style="77" bestFit="1" customWidth="1"/>
    <col min="9681" max="9906" width="9.33203125" style="77"/>
    <col min="9907" max="9908" width="5.6640625" style="77" customWidth="1"/>
    <col min="9909" max="9909" width="4.6640625" style="77" customWidth="1"/>
    <col min="9910" max="9910" width="4.33203125" style="77" bestFit="1" customWidth="1"/>
    <col min="9911" max="9911" width="22.5546875" style="77" bestFit="1" customWidth="1"/>
    <col min="9912" max="9912" width="10" style="77" customWidth="1"/>
    <col min="9913" max="9913" width="10.33203125" style="77" bestFit="1" customWidth="1"/>
    <col min="9914" max="9914" width="7.6640625" style="77" customWidth="1"/>
    <col min="9915" max="9915" width="7.33203125" style="77" customWidth="1"/>
    <col min="9916" max="9919" width="9.33203125" style="77" customWidth="1"/>
    <col min="9920" max="9920" width="12.6640625" style="77" customWidth="1"/>
    <col min="9921" max="9921" width="22.5546875" style="77" customWidth="1"/>
    <col min="9922" max="9922" width="11.33203125" style="77" customWidth="1"/>
    <col min="9923" max="9923" width="5.6640625" style="77" customWidth="1"/>
    <col min="9924" max="9924" width="6.6640625" style="77" customWidth="1"/>
    <col min="9925" max="9925" width="10" style="77" customWidth="1"/>
    <col min="9926" max="9926" width="8.33203125" style="77" customWidth="1"/>
    <col min="9927" max="9927" width="9.44140625" style="77" customWidth="1"/>
    <col min="9928" max="9928" width="7.6640625" style="77" customWidth="1"/>
    <col min="9929" max="9929" width="9.33203125" style="77" customWidth="1"/>
    <col min="9930" max="9930" width="9.44140625" style="77" customWidth="1"/>
    <col min="9931" max="9931" width="8.44140625" style="77" customWidth="1"/>
    <col min="9932" max="9932" width="9.33203125" style="77" customWidth="1"/>
    <col min="9933" max="9933" width="10.33203125" style="77" customWidth="1"/>
    <col min="9934" max="9934" width="12.6640625" style="77" bestFit="1" customWidth="1"/>
    <col min="9935" max="9935" width="9.33203125" style="77"/>
    <col min="9936" max="9936" width="11.44140625" style="77" bestFit="1" customWidth="1"/>
    <col min="9937" max="10162" width="9.33203125" style="77"/>
    <col min="10163" max="10164" width="5.6640625" style="77" customWidth="1"/>
    <col min="10165" max="10165" width="4.6640625" style="77" customWidth="1"/>
    <col min="10166" max="10166" width="4.33203125" style="77" bestFit="1" customWidth="1"/>
    <col min="10167" max="10167" width="22.5546875" style="77" bestFit="1" customWidth="1"/>
    <col min="10168" max="10168" width="10" style="77" customWidth="1"/>
    <col min="10169" max="10169" width="10.33203125" style="77" bestFit="1" customWidth="1"/>
    <col min="10170" max="10170" width="7.6640625" style="77" customWidth="1"/>
    <col min="10171" max="10171" width="7.33203125" style="77" customWidth="1"/>
    <col min="10172" max="10175" width="9.33203125" style="77" customWidth="1"/>
    <col min="10176" max="10176" width="12.6640625" style="77" customWidth="1"/>
    <col min="10177" max="10177" width="22.5546875" style="77" customWidth="1"/>
    <col min="10178" max="10178" width="11.33203125" style="77" customWidth="1"/>
    <col min="10179" max="10179" width="5.6640625" style="77" customWidth="1"/>
    <col min="10180" max="10180" width="6.6640625" style="77" customWidth="1"/>
    <col min="10181" max="10181" width="10" style="77" customWidth="1"/>
    <col min="10182" max="10182" width="8.33203125" style="77" customWidth="1"/>
    <col min="10183" max="10183" width="9.44140625" style="77" customWidth="1"/>
    <col min="10184" max="10184" width="7.6640625" style="77" customWidth="1"/>
    <col min="10185" max="10185" width="9.33203125" style="77" customWidth="1"/>
    <col min="10186" max="10186" width="9.44140625" style="77" customWidth="1"/>
    <col min="10187" max="10187" width="8.44140625" style="77" customWidth="1"/>
    <col min="10188" max="10188" width="9.33203125" style="77" customWidth="1"/>
    <col min="10189" max="10189" width="10.33203125" style="77" customWidth="1"/>
    <col min="10190" max="10190" width="12.6640625" style="77" bestFit="1" customWidth="1"/>
    <col min="10191" max="10191" width="9.33203125" style="77"/>
    <col min="10192" max="10192" width="11.44140625" style="77" bestFit="1" customWidth="1"/>
    <col min="10193" max="10418" width="9.33203125" style="77"/>
    <col min="10419" max="10420" width="5.6640625" style="77" customWidth="1"/>
    <col min="10421" max="10421" width="4.6640625" style="77" customWidth="1"/>
    <col min="10422" max="10422" width="4.33203125" style="77" bestFit="1" customWidth="1"/>
    <col min="10423" max="10423" width="22.5546875" style="77" bestFit="1" customWidth="1"/>
    <col min="10424" max="10424" width="10" style="77" customWidth="1"/>
    <col min="10425" max="10425" width="10.33203125" style="77" bestFit="1" customWidth="1"/>
    <col min="10426" max="10426" width="7.6640625" style="77" customWidth="1"/>
    <col min="10427" max="10427" width="7.33203125" style="77" customWidth="1"/>
    <col min="10428" max="10431" width="9.33203125" style="77" customWidth="1"/>
    <col min="10432" max="10432" width="12.6640625" style="77" customWidth="1"/>
    <col min="10433" max="10433" width="22.5546875" style="77" customWidth="1"/>
    <col min="10434" max="10434" width="11.33203125" style="77" customWidth="1"/>
    <col min="10435" max="10435" width="5.6640625" style="77" customWidth="1"/>
    <col min="10436" max="10436" width="6.6640625" style="77" customWidth="1"/>
    <col min="10437" max="10437" width="10" style="77" customWidth="1"/>
    <col min="10438" max="10438" width="8.33203125" style="77" customWidth="1"/>
    <col min="10439" max="10439" width="9.44140625" style="77" customWidth="1"/>
    <col min="10440" max="10440" width="7.6640625" style="77" customWidth="1"/>
    <col min="10441" max="10441" width="9.33203125" style="77" customWidth="1"/>
    <col min="10442" max="10442" width="9.44140625" style="77" customWidth="1"/>
    <col min="10443" max="10443" width="8.44140625" style="77" customWidth="1"/>
    <col min="10444" max="10444" width="9.33203125" style="77" customWidth="1"/>
    <col min="10445" max="10445" width="10.33203125" style="77" customWidth="1"/>
    <col min="10446" max="10446" width="12.6640625" style="77" bestFit="1" customWidth="1"/>
    <col min="10447" max="10447" width="9.33203125" style="77"/>
    <col min="10448" max="10448" width="11.44140625" style="77" bestFit="1" customWidth="1"/>
    <col min="10449" max="10674" width="9.33203125" style="77"/>
    <col min="10675" max="10676" width="5.6640625" style="77" customWidth="1"/>
    <col min="10677" max="10677" width="4.6640625" style="77" customWidth="1"/>
    <col min="10678" max="10678" width="4.33203125" style="77" bestFit="1" customWidth="1"/>
    <col min="10679" max="10679" width="22.5546875" style="77" bestFit="1" customWidth="1"/>
    <col min="10680" max="10680" width="10" style="77" customWidth="1"/>
    <col min="10681" max="10681" width="10.33203125" style="77" bestFit="1" customWidth="1"/>
    <col min="10682" max="10682" width="7.6640625" style="77" customWidth="1"/>
    <col min="10683" max="10683" width="7.33203125" style="77" customWidth="1"/>
    <col min="10684" max="10687" width="9.33203125" style="77" customWidth="1"/>
    <col min="10688" max="10688" width="12.6640625" style="77" customWidth="1"/>
    <col min="10689" max="10689" width="22.5546875" style="77" customWidth="1"/>
    <col min="10690" max="10690" width="11.33203125" style="77" customWidth="1"/>
    <col min="10691" max="10691" width="5.6640625" style="77" customWidth="1"/>
    <col min="10692" max="10692" width="6.6640625" style="77" customWidth="1"/>
    <col min="10693" max="10693" width="10" style="77" customWidth="1"/>
    <col min="10694" max="10694" width="8.33203125" style="77" customWidth="1"/>
    <col min="10695" max="10695" width="9.44140625" style="77" customWidth="1"/>
    <col min="10696" max="10696" width="7.6640625" style="77" customWidth="1"/>
    <col min="10697" max="10697" width="9.33203125" style="77" customWidth="1"/>
    <col min="10698" max="10698" width="9.44140625" style="77" customWidth="1"/>
    <col min="10699" max="10699" width="8.44140625" style="77" customWidth="1"/>
    <col min="10700" max="10700" width="9.33203125" style="77" customWidth="1"/>
    <col min="10701" max="10701" width="10.33203125" style="77" customWidth="1"/>
    <col min="10702" max="10702" width="12.6640625" style="77" bestFit="1" customWidth="1"/>
    <col min="10703" max="10703" width="9.33203125" style="77"/>
    <col min="10704" max="10704" width="11.44140625" style="77" bestFit="1" customWidth="1"/>
    <col min="10705" max="10930" width="9.33203125" style="77"/>
    <col min="10931" max="10932" width="5.6640625" style="77" customWidth="1"/>
    <col min="10933" max="10933" width="4.6640625" style="77" customWidth="1"/>
    <col min="10934" max="10934" width="4.33203125" style="77" bestFit="1" customWidth="1"/>
    <col min="10935" max="10935" width="22.5546875" style="77" bestFit="1" customWidth="1"/>
    <col min="10936" max="10936" width="10" style="77" customWidth="1"/>
    <col min="10937" max="10937" width="10.33203125" style="77" bestFit="1" customWidth="1"/>
    <col min="10938" max="10938" width="7.6640625" style="77" customWidth="1"/>
    <col min="10939" max="10939" width="7.33203125" style="77" customWidth="1"/>
    <col min="10940" max="10943" width="9.33203125" style="77" customWidth="1"/>
    <col min="10944" max="10944" width="12.6640625" style="77" customWidth="1"/>
    <col min="10945" max="10945" width="22.5546875" style="77" customWidth="1"/>
    <col min="10946" max="10946" width="11.33203125" style="77" customWidth="1"/>
    <col min="10947" max="10947" width="5.6640625" style="77" customWidth="1"/>
    <col min="10948" max="10948" width="6.6640625" style="77" customWidth="1"/>
    <col min="10949" max="10949" width="10" style="77" customWidth="1"/>
    <col min="10950" max="10950" width="8.33203125" style="77" customWidth="1"/>
    <col min="10951" max="10951" width="9.44140625" style="77" customWidth="1"/>
    <col min="10952" max="10952" width="7.6640625" style="77" customWidth="1"/>
    <col min="10953" max="10953" width="9.33203125" style="77" customWidth="1"/>
    <col min="10954" max="10954" width="9.44140625" style="77" customWidth="1"/>
    <col min="10955" max="10955" width="8.44140625" style="77" customWidth="1"/>
    <col min="10956" max="10956" width="9.33203125" style="77" customWidth="1"/>
    <col min="10957" max="10957" width="10.33203125" style="77" customWidth="1"/>
    <col min="10958" max="10958" width="12.6640625" style="77" bestFit="1" customWidth="1"/>
    <col min="10959" max="10959" width="9.33203125" style="77"/>
    <col min="10960" max="10960" width="11.44140625" style="77" bestFit="1" customWidth="1"/>
    <col min="10961" max="11186" width="9.33203125" style="77"/>
    <col min="11187" max="11188" width="5.6640625" style="77" customWidth="1"/>
    <col min="11189" max="11189" width="4.6640625" style="77" customWidth="1"/>
    <col min="11190" max="11190" width="4.33203125" style="77" bestFit="1" customWidth="1"/>
    <col min="11191" max="11191" width="22.5546875" style="77" bestFit="1" customWidth="1"/>
    <col min="11192" max="11192" width="10" style="77" customWidth="1"/>
    <col min="11193" max="11193" width="10.33203125" style="77" bestFit="1" customWidth="1"/>
    <col min="11194" max="11194" width="7.6640625" style="77" customWidth="1"/>
    <col min="11195" max="11195" width="7.33203125" style="77" customWidth="1"/>
    <col min="11196" max="11199" width="9.33203125" style="77" customWidth="1"/>
    <col min="11200" max="11200" width="12.6640625" style="77" customWidth="1"/>
    <col min="11201" max="11201" width="22.5546875" style="77" customWidth="1"/>
    <col min="11202" max="11202" width="11.33203125" style="77" customWidth="1"/>
    <col min="11203" max="11203" width="5.6640625" style="77" customWidth="1"/>
    <col min="11204" max="11204" width="6.6640625" style="77" customWidth="1"/>
    <col min="11205" max="11205" width="10" style="77" customWidth="1"/>
    <col min="11206" max="11206" width="8.33203125" style="77" customWidth="1"/>
    <col min="11207" max="11207" width="9.44140625" style="77" customWidth="1"/>
    <col min="11208" max="11208" width="7.6640625" style="77" customWidth="1"/>
    <col min="11209" max="11209" width="9.33203125" style="77" customWidth="1"/>
    <col min="11210" max="11210" width="9.44140625" style="77" customWidth="1"/>
    <col min="11211" max="11211" width="8.44140625" style="77" customWidth="1"/>
    <col min="11212" max="11212" width="9.33203125" style="77" customWidth="1"/>
    <col min="11213" max="11213" width="10.33203125" style="77" customWidth="1"/>
    <col min="11214" max="11214" width="12.6640625" style="77" bestFit="1" customWidth="1"/>
    <col min="11215" max="11215" width="9.33203125" style="77"/>
    <col min="11216" max="11216" width="11.44140625" style="77" bestFit="1" customWidth="1"/>
    <col min="11217" max="11442" width="9.33203125" style="77"/>
    <col min="11443" max="11444" width="5.6640625" style="77" customWidth="1"/>
    <col min="11445" max="11445" width="4.6640625" style="77" customWidth="1"/>
    <col min="11446" max="11446" width="4.33203125" style="77" bestFit="1" customWidth="1"/>
    <col min="11447" max="11447" width="22.5546875" style="77" bestFit="1" customWidth="1"/>
    <col min="11448" max="11448" width="10" style="77" customWidth="1"/>
    <col min="11449" max="11449" width="10.33203125" style="77" bestFit="1" customWidth="1"/>
    <col min="11450" max="11450" width="7.6640625" style="77" customWidth="1"/>
    <col min="11451" max="11451" width="7.33203125" style="77" customWidth="1"/>
    <col min="11452" max="11455" width="9.33203125" style="77" customWidth="1"/>
    <col min="11456" max="11456" width="12.6640625" style="77" customWidth="1"/>
    <col min="11457" max="11457" width="22.5546875" style="77" customWidth="1"/>
    <col min="11458" max="11458" width="11.33203125" style="77" customWidth="1"/>
    <col min="11459" max="11459" width="5.6640625" style="77" customWidth="1"/>
    <col min="11460" max="11460" width="6.6640625" style="77" customWidth="1"/>
    <col min="11461" max="11461" width="10" style="77" customWidth="1"/>
    <col min="11462" max="11462" width="8.33203125" style="77" customWidth="1"/>
    <col min="11463" max="11463" width="9.44140625" style="77" customWidth="1"/>
    <col min="11464" max="11464" width="7.6640625" style="77" customWidth="1"/>
    <col min="11465" max="11465" width="9.33203125" style="77" customWidth="1"/>
    <col min="11466" max="11466" width="9.44140625" style="77" customWidth="1"/>
    <col min="11467" max="11467" width="8.44140625" style="77" customWidth="1"/>
    <col min="11468" max="11468" width="9.33203125" style="77" customWidth="1"/>
    <col min="11469" max="11469" width="10.33203125" style="77" customWidth="1"/>
    <col min="11470" max="11470" width="12.6640625" style="77" bestFit="1" customWidth="1"/>
    <col min="11471" max="11471" width="9.33203125" style="77"/>
    <col min="11472" max="11472" width="11.44140625" style="77" bestFit="1" customWidth="1"/>
    <col min="11473" max="11698" width="9.33203125" style="77"/>
    <col min="11699" max="11700" width="5.6640625" style="77" customWidth="1"/>
    <col min="11701" max="11701" width="4.6640625" style="77" customWidth="1"/>
    <col min="11702" max="11702" width="4.33203125" style="77" bestFit="1" customWidth="1"/>
    <col min="11703" max="11703" width="22.5546875" style="77" bestFit="1" customWidth="1"/>
    <col min="11704" max="11704" width="10" style="77" customWidth="1"/>
    <col min="11705" max="11705" width="10.33203125" style="77" bestFit="1" customWidth="1"/>
    <col min="11706" max="11706" width="7.6640625" style="77" customWidth="1"/>
    <col min="11707" max="11707" width="7.33203125" style="77" customWidth="1"/>
    <col min="11708" max="11711" width="9.33203125" style="77" customWidth="1"/>
    <col min="11712" max="11712" width="12.6640625" style="77" customWidth="1"/>
    <col min="11713" max="11713" width="22.5546875" style="77" customWidth="1"/>
    <col min="11714" max="11714" width="11.33203125" style="77" customWidth="1"/>
    <col min="11715" max="11715" width="5.6640625" style="77" customWidth="1"/>
    <col min="11716" max="11716" width="6.6640625" style="77" customWidth="1"/>
    <col min="11717" max="11717" width="10" style="77" customWidth="1"/>
    <col min="11718" max="11718" width="8.33203125" style="77" customWidth="1"/>
    <col min="11719" max="11719" width="9.44140625" style="77" customWidth="1"/>
    <col min="11720" max="11720" width="7.6640625" style="77" customWidth="1"/>
    <col min="11721" max="11721" width="9.33203125" style="77" customWidth="1"/>
    <col min="11722" max="11722" width="9.44140625" style="77" customWidth="1"/>
    <col min="11723" max="11723" width="8.44140625" style="77" customWidth="1"/>
    <col min="11724" max="11724" width="9.33203125" style="77" customWidth="1"/>
    <col min="11725" max="11725" width="10.33203125" style="77" customWidth="1"/>
    <col min="11726" max="11726" width="12.6640625" style="77" bestFit="1" customWidth="1"/>
    <col min="11727" max="11727" width="9.33203125" style="77"/>
    <col min="11728" max="11728" width="11.44140625" style="77" bestFit="1" customWidth="1"/>
    <col min="11729" max="11954" width="9.33203125" style="77"/>
    <col min="11955" max="11956" width="5.6640625" style="77" customWidth="1"/>
    <col min="11957" max="11957" width="4.6640625" style="77" customWidth="1"/>
    <col min="11958" max="11958" width="4.33203125" style="77" bestFit="1" customWidth="1"/>
    <col min="11959" max="11959" width="22.5546875" style="77" bestFit="1" customWidth="1"/>
    <col min="11960" max="11960" width="10" style="77" customWidth="1"/>
    <col min="11961" max="11961" width="10.33203125" style="77" bestFit="1" customWidth="1"/>
    <col min="11962" max="11962" width="7.6640625" style="77" customWidth="1"/>
    <col min="11963" max="11963" width="7.33203125" style="77" customWidth="1"/>
    <col min="11964" max="11967" width="9.33203125" style="77" customWidth="1"/>
    <col min="11968" max="11968" width="12.6640625" style="77" customWidth="1"/>
    <col min="11969" max="11969" width="22.5546875" style="77" customWidth="1"/>
    <col min="11970" max="11970" width="11.33203125" style="77" customWidth="1"/>
    <col min="11971" max="11971" width="5.6640625" style="77" customWidth="1"/>
    <col min="11972" max="11972" width="6.6640625" style="77" customWidth="1"/>
    <col min="11973" max="11973" width="10" style="77" customWidth="1"/>
    <col min="11974" max="11974" width="8.33203125" style="77" customWidth="1"/>
    <col min="11975" max="11975" width="9.44140625" style="77" customWidth="1"/>
    <col min="11976" max="11976" width="7.6640625" style="77" customWidth="1"/>
    <col min="11977" max="11977" width="9.33203125" style="77" customWidth="1"/>
    <col min="11978" max="11978" width="9.44140625" style="77" customWidth="1"/>
    <col min="11979" max="11979" width="8.44140625" style="77" customWidth="1"/>
    <col min="11980" max="11980" width="9.33203125" style="77" customWidth="1"/>
    <col min="11981" max="11981" width="10.33203125" style="77" customWidth="1"/>
    <col min="11982" max="11982" width="12.6640625" style="77" bestFit="1" customWidth="1"/>
    <col min="11983" max="11983" width="9.33203125" style="77"/>
    <col min="11984" max="11984" width="11.44140625" style="77" bestFit="1" customWidth="1"/>
    <col min="11985" max="12210" width="9.33203125" style="77"/>
    <col min="12211" max="12212" width="5.6640625" style="77" customWidth="1"/>
    <col min="12213" max="12213" width="4.6640625" style="77" customWidth="1"/>
    <col min="12214" max="12214" width="4.33203125" style="77" bestFit="1" customWidth="1"/>
    <col min="12215" max="12215" width="22.5546875" style="77" bestFit="1" customWidth="1"/>
    <col min="12216" max="12216" width="10" style="77" customWidth="1"/>
    <col min="12217" max="12217" width="10.33203125" style="77" bestFit="1" customWidth="1"/>
    <col min="12218" max="12218" width="7.6640625" style="77" customWidth="1"/>
    <col min="12219" max="12219" width="7.33203125" style="77" customWidth="1"/>
    <col min="12220" max="12223" width="9.33203125" style="77" customWidth="1"/>
    <col min="12224" max="12224" width="12.6640625" style="77" customWidth="1"/>
    <col min="12225" max="12225" width="22.5546875" style="77" customWidth="1"/>
    <col min="12226" max="12226" width="11.33203125" style="77" customWidth="1"/>
    <col min="12227" max="12227" width="5.6640625" style="77" customWidth="1"/>
    <col min="12228" max="12228" width="6.6640625" style="77" customWidth="1"/>
    <col min="12229" max="12229" width="10" style="77" customWidth="1"/>
    <col min="12230" max="12230" width="8.33203125" style="77" customWidth="1"/>
    <col min="12231" max="12231" width="9.44140625" style="77" customWidth="1"/>
    <col min="12232" max="12232" width="7.6640625" style="77" customWidth="1"/>
    <col min="12233" max="12233" width="9.33203125" style="77" customWidth="1"/>
    <col min="12234" max="12234" width="9.44140625" style="77" customWidth="1"/>
    <col min="12235" max="12235" width="8.44140625" style="77" customWidth="1"/>
    <col min="12236" max="12236" width="9.33203125" style="77" customWidth="1"/>
    <col min="12237" max="12237" width="10.33203125" style="77" customWidth="1"/>
    <col min="12238" max="12238" width="12.6640625" style="77" bestFit="1" customWidth="1"/>
    <col min="12239" max="12239" width="9.33203125" style="77"/>
    <col min="12240" max="12240" width="11.44140625" style="77" bestFit="1" customWidth="1"/>
    <col min="12241" max="12466" width="9.33203125" style="77"/>
    <col min="12467" max="12468" width="5.6640625" style="77" customWidth="1"/>
    <col min="12469" max="12469" width="4.6640625" style="77" customWidth="1"/>
    <col min="12470" max="12470" width="4.33203125" style="77" bestFit="1" customWidth="1"/>
    <col min="12471" max="12471" width="22.5546875" style="77" bestFit="1" customWidth="1"/>
    <col min="12472" max="12472" width="10" style="77" customWidth="1"/>
    <col min="12473" max="12473" width="10.33203125" style="77" bestFit="1" customWidth="1"/>
    <col min="12474" max="12474" width="7.6640625" style="77" customWidth="1"/>
    <col min="12475" max="12475" width="7.33203125" style="77" customWidth="1"/>
    <col min="12476" max="12479" width="9.33203125" style="77" customWidth="1"/>
    <col min="12480" max="12480" width="12.6640625" style="77" customWidth="1"/>
    <col min="12481" max="12481" width="22.5546875" style="77" customWidth="1"/>
    <col min="12482" max="12482" width="11.33203125" style="77" customWidth="1"/>
    <col min="12483" max="12483" width="5.6640625" style="77" customWidth="1"/>
    <col min="12484" max="12484" width="6.6640625" style="77" customWidth="1"/>
    <col min="12485" max="12485" width="10" style="77" customWidth="1"/>
    <col min="12486" max="12486" width="8.33203125" style="77" customWidth="1"/>
    <col min="12487" max="12487" width="9.44140625" style="77" customWidth="1"/>
    <col min="12488" max="12488" width="7.6640625" style="77" customWidth="1"/>
    <col min="12489" max="12489" width="9.33203125" style="77" customWidth="1"/>
    <col min="12490" max="12490" width="9.44140625" style="77" customWidth="1"/>
    <col min="12491" max="12491" width="8.44140625" style="77" customWidth="1"/>
    <col min="12492" max="12492" width="9.33203125" style="77" customWidth="1"/>
    <col min="12493" max="12493" width="10.33203125" style="77" customWidth="1"/>
    <col min="12494" max="12494" width="12.6640625" style="77" bestFit="1" customWidth="1"/>
    <col min="12495" max="12495" width="9.33203125" style="77"/>
    <col min="12496" max="12496" width="11.44140625" style="77" bestFit="1" customWidth="1"/>
    <col min="12497" max="12722" width="9.33203125" style="77"/>
    <col min="12723" max="12724" width="5.6640625" style="77" customWidth="1"/>
    <col min="12725" max="12725" width="4.6640625" style="77" customWidth="1"/>
    <col min="12726" max="12726" width="4.33203125" style="77" bestFit="1" customWidth="1"/>
    <col min="12727" max="12727" width="22.5546875" style="77" bestFit="1" customWidth="1"/>
    <col min="12728" max="12728" width="10" style="77" customWidth="1"/>
    <col min="12729" max="12729" width="10.33203125" style="77" bestFit="1" customWidth="1"/>
    <col min="12730" max="12730" width="7.6640625" style="77" customWidth="1"/>
    <col min="12731" max="12731" width="7.33203125" style="77" customWidth="1"/>
    <col min="12732" max="12735" width="9.33203125" style="77" customWidth="1"/>
    <col min="12736" max="12736" width="12.6640625" style="77" customWidth="1"/>
    <col min="12737" max="12737" width="22.5546875" style="77" customWidth="1"/>
    <col min="12738" max="12738" width="11.33203125" style="77" customWidth="1"/>
    <col min="12739" max="12739" width="5.6640625" style="77" customWidth="1"/>
    <col min="12740" max="12740" width="6.6640625" style="77" customWidth="1"/>
    <col min="12741" max="12741" width="10" style="77" customWidth="1"/>
    <col min="12742" max="12742" width="8.33203125" style="77" customWidth="1"/>
    <col min="12743" max="12743" width="9.44140625" style="77" customWidth="1"/>
    <col min="12744" max="12744" width="7.6640625" style="77" customWidth="1"/>
    <col min="12745" max="12745" width="9.33203125" style="77" customWidth="1"/>
    <col min="12746" max="12746" width="9.44140625" style="77" customWidth="1"/>
    <col min="12747" max="12747" width="8.44140625" style="77" customWidth="1"/>
    <col min="12748" max="12748" width="9.33203125" style="77" customWidth="1"/>
    <col min="12749" max="12749" width="10.33203125" style="77" customWidth="1"/>
    <col min="12750" max="12750" width="12.6640625" style="77" bestFit="1" customWidth="1"/>
    <col min="12751" max="12751" width="9.33203125" style="77"/>
    <col min="12752" max="12752" width="11.44140625" style="77" bestFit="1" customWidth="1"/>
    <col min="12753" max="12978" width="9.33203125" style="77"/>
    <col min="12979" max="12980" width="5.6640625" style="77" customWidth="1"/>
    <col min="12981" max="12981" width="4.6640625" style="77" customWidth="1"/>
    <col min="12982" max="12982" width="4.33203125" style="77" bestFit="1" customWidth="1"/>
    <col min="12983" max="12983" width="22.5546875" style="77" bestFit="1" customWidth="1"/>
    <col min="12984" max="12984" width="10" style="77" customWidth="1"/>
    <col min="12985" max="12985" width="10.33203125" style="77" bestFit="1" customWidth="1"/>
    <col min="12986" max="12986" width="7.6640625" style="77" customWidth="1"/>
    <col min="12987" max="12987" width="7.33203125" style="77" customWidth="1"/>
    <col min="12988" max="12991" width="9.33203125" style="77" customWidth="1"/>
    <col min="12992" max="12992" width="12.6640625" style="77" customWidth="1"/>
    <col min="12993" max="12993" width="22.5546875" style="77" customWidth="1"/>
    <col min="12994" max="12994" width="11.33203125" style="77" customWidth="1"/>
    <col min="12995" max="12995" width="5.6640625" style="77" customWidth="1"/>
    <col min="12996" max="12996" width="6.6640625" style="77" customWidth="1"/>
    <col min="12997" max="12997" width="10" style="77" customWidth="1"/>
    <col min="12998" max="12998" width="8.33203125" style="77" customWidth="1"/>
    <col min="12999" max="12999" width="9.44140625" style="77" customWidth="1"/>
    <col min="13000" max="13000" width="7.6640625" style="77" customWidth="1"/>
    <col min="13001" max="13001" width="9.33203125" style="77" customWidth="1"/>
    <col min="13002" max="13002" width="9.44140625" style="77" customWidth="1"/>
    <col min="13003" max="13003" width="8.44140625" style="77" customWidth="1"/>
    <col min="13004" max="13004" width="9.33203125" style="77" customWidth="1"/>
    <col min="13005" max="13005" width="10.33203125" style="77" customWidth="1"/>
    <col min="13006" max="13006" width="12.6640625" style="77" bestFit="1" customWidth="1"/>
    <col min="13007" max="13007" width="9.33203125" style="77"/>
    <col min="13008" max="13008" width="11.44140625" style="77" bestFit="1" customWidth="1"/>
    <col min="13009" max="13234" width="9.33203125" style="77"/>
    <col min="13235" max="13236" width="5.6640625" style="77" customWidth="1"/>
    <col min="13237" max="13237" width="4.6640625" style="77" customWidth="1"/>
    <col min="13238" max="13238" width="4.33203125" style="77" bestFit="1" customWidth="1"/>
    <col min="13239" max="13239" width="22.5546875" style="77" bestFit="1" customWidth="1"/>
    <col min="13240" max="13240" width="10" style="77" customWidth="1"/>
    <col min="13241" max="13241" width="10.33203125" style="77" bestFit="1" customWidth="1"/>
    <col min="13242" max="13242" width="7.6640625" style="77" customWidth="1"/>
    <col min="13243" max="13243" width="7.33203125" style="77" customWidth="1"/>
    <col min="13244" max="13247" width="9.33203125" style="77" customWidth="1"/>
    <col min="13248" max="13248" width="12.6640625" style="77" customWidth="1"/>
    <col min="13249" max="13249" width="22.5546875" style="77" customWidth="1"/>
    <col min="13250" max="13250" width="11.33203125" style="77" customWidth="1"/>
    <col min="13251" max="13251" width="5.6640625" style="77" customWidth="1"/>
    <col min="13252" max="13252" width="6.6640625" style="77" customWidth="1"/>
    <col min="13253" max="13253" width="10" style="77" customWidth="1"/>
    <col min="13254" max="13254" width="8.33203125" style="77" customWidth="1"/>
    <col min="13255" max="13255" width="9.44140625" style="77" customWidth="1"/>
    <col min="13256" max="13256" width="7.6640625" style="77" customWidth="1"/>
    <col min="13257" max="13257" width="9.33203125" style="77" customWidth="1"/>
    <col min="13258" max="13258" width="9.44140625" style="77" customWidth="1"/>
    <col min="13259" max="13259" width="8.44140625" style="77" customWidth="1"/>
    <col min="13260" max="13260" width="9.33203125" style="77" customWidth="1"/>
    <col min="13261" max="13261" width="10.33203125" style="77" customWidth="1"/>
    <col min="13262" max="13262" width="12.6640625" style="77" bestFit="1" customWidth="1"/>
    <col min="13263" max="13263" width="9.33203125" style="77"/>
    <col min="13264" max="13264" width="11.44140625" style="77" bestFit="1" customWidth="1"/>
    <col min="13265" max="13490" width="9.33203125" style="77"/>
    <col min="13491" max="13492" width="5.6640625" style="77" customWidth="1"/>
    <col min="13493" max="13493" width="4.6640625" style="77" customWidth="1"/>
    <col min="13494" max="13494" width="4.33203125" style="77" bestFit="1" customWidth="1"/>
    <col min="13495" max="13495" width="22.5546875" style="77" bestFit="1" customWidth="1"/>
    <col min="13496" max="13496" width="10" style="77" customWidth="1"/>
    <col min="13497" max="13497" width="10.33203125" style="77" bestFit="1" customWidth="1"/>
    <col min="13498" max="13498" width="7.6640625" style="77" customWidth="1"/>
    <col min="13499" max="13499" width="7.33203125" style="77" customWidth="1"/>
    <col min="13500" max="13503" width="9.33203125" style="77" customWidth="1"/>
    <col min="13504" max="13504" width="12.6640625" style="77" customWidth="1"/>
    <col min="13505" max="13505" width="22.5546875" style="77" customWidth="1"/>
    <col min="13506" max="13506" width="11.33203125" style="77" customWidth="1"/>
    <col min="13507" max="13507" width="5.6640625" style="77" customWidth="1"/>
    <col min="13508" max="13508" width="6.6640625" style="77" customWidth="1"/>
    <col min="13509" max="13509" width="10" style="77" customWidth="1"/>
    <col min="13510" max="13510" width="8.33203125" style="77" customWidth="1"/>
    <col min="13511" max="13511" width="9.44140625" style="77" customWidth="1"/>
    <col min="13512" max="13512" width="7.6640625" style="77" customWidth="1"/>
    <col min="13513" max="13513" width="9.33203125" style="77" customWidth="1"/>
    <col min="13514" max="13514" width="9.44140625" style="77" customWidth="1"/>
    <col min="13515" max="13515" width="8.44140625" style="77" customWidth="1"/>
    <col min="13516" max="13516" width="9.33203125" style="77" customWidth="1"/>
    <col min="13517" max="13517" width="10.33203125" style="77" customWidth="1"/>
    <col min="13518" max="13518" width="12.6640625" style="77" bestFit="1" customWidth="1"/>
    <col min="13519" max="13519" width="9.33203125" style="77"/>
    <col min="13520" max="13520" width="11.44140625" style="77" bestFit="1" customWidth="1"/>
    <col min="13521" max="13746" width="9.33203125" style="77"/>
    <col min="13747" max="13748" width="5.6640625" style="77" customWidth="1"/>
    <col min="13749" max="13749" width="4.6640625" style="77" customWidth="1"/>
    <col min="13750" max="13750" width="4.33203125" style="77" bestFit="1" customWidth="1"/>
    <col min="13751" max="13751" width="22.5546875" style="77" bestFit="1" customWidth="1"/>
    <col min="13752" max="13752" width="10" style="77" customWidth="1"/>
    <col min="13753" max="13753" width="10.33203125" style="77" bestFit="1" customWidth="1"/>
    <col min="13754" max="13754" width="7.6640625" style="77" customWidth="1"/>
    <col min="13755" max="13755" width="7.33203125" style="77" customWidth="1"/>
    <col min="13756" max="13759" width="9.33203125" style="77" customWidth="1"/>
    <col min="13760" max="13760" width="12.6640625" style="77" customWidth="1"/>
    <col min="13761" max="13761" width="22.5546875" style="77" customWidth="1"/>
    <col min="13762" max="13762" width="11.33203125" style="77" customWidth="1"/>
    <col min="13763" max="13763" width="5.6640625" style="77" customWidth="1"/>
    <col min="13764" max="13764" width="6.6640625" style="77" customWidth="1"/>
    <col min="13765" max="13765" width="10" style="77" customWidth="1"/>
    <col min="13766" max="13766" width="8.33203125" style="77" customWidth="1"/>
    <col min="13767" max="13767" width="9.44140625" style="77" customWidth="1"/>
    <col min="13768" max="13768" width="7.6640625" style="77" customWidth="1"/>
    <col min="13769" max="13769" width="9.33203125" style="77" customWidth="1"/>
    <col min="13770" max="13770" width="9.44140625" style="77" customWidth="1"/>
    <col min="13771" max="13771" width="8.44140625" style="77" customWidth="1"/>
    <col min="13772" max="13772" width="9.33203125" style="77" customWidth="1"/>
    <col min="13773" max="13773" width="10.33203125" style="77" customWidth="1"/>
    <col min="13774" max="13774" width="12.6640625" style="77" bestFit="1" customWidth="1"/>
    <col min="13775" max="13775" width="9.33203125" style="77"/>
    <col min="13776" max="13776" width="11.44140625" style="77" bestFit="1" customWidth="1"/>
    <col min="13777" max="14002" width="9.33203125" style="77"/>
    <col min="14003" max="14004" width="5.6640625" style="77" customWidth="1"/>
    <col min="14005" max="14005" width="4.6640625" style="77" customWidth="1"/>
    <col min="14006" max="14006" width="4.33203125" style="77" bestFit="1" customWidth="1"/>
    <col min="14007" max="14007" width="22.5546875" style="77" bestFit="1" customWidth="1"/>
    <col min="14008" max="14008" width="10" style="77" customWidth="1"/>
    <col min="14009" max="14009" width="10.33203125" style="77" bestFit="1" customWidth="1"/>
    <col min="14010" max="14010" width="7.6640625" style="77" customWidth="1"/>
    <col min="14011" max="14011" width="7.33203125" style="77" customWidth="1"/>
    <col min="14012" max="14015" width="9.33203125" style="77" customWidth="1"/>
    <col min="14016" max="14016" width="12.6640625" style="77" customWidth="1"/>
    <col min="14017" max="14017" width="22.5546875" style="77" customWidth="1"/>
    <col min="14018" max="14018" width="11.33203125" style="77" customWidth="1"/>
    <col min="14019" max="14019" width="5.6640625" style="77" customWidth="1"/>
    <col min="14020" max="14020" width="6.6640625" style="77" customWidth="1"/>
    <col min="14021" max="14021" width="10" style="77" customWidth="1"/>
    <col min="14022" max="14022" width="8.33203125" style="77" customWidth="1"/>
    <col min="14023" max="14023" width="9.44140625" style="77" customWidth="1"/>
    <col min="14024" max="14024" width="7.6640625" style="77" customWidth="1"/>
    <col min="14025" max="14025" width="9.33203125" style="77" customWidth="1"/>
    <col min="14026" max="14026" width="9.44140625" style="77" customWidth="1"/>
    <col min="14027" max="14027" width="8.44140625" style="77" customWidth="1"/>
    <col min="14028" max="14028" width="9.33203125" style="77" customWidth="1"/>
    <col min="14029" max="14029" width="10.33203125" style="77" customWidth="1"/>
    <col min="14030" max="14030" width="12.6640625" style="77" bestFit="1" customWidth="1"/>
    <col min="14031" max="14031" width="9.33203125" style="77"/>
    <col min="14032" max="14032" width="11.44140625" style="77" bestFit="1" customWidth="1"/>
    <col min="14033" max="14258" width="9.33203125" style="77"/>
    <col min="14259" max="14260" width="5.6640625" style="77" customWidth="1"/>
    <col min="14261" max="14261" width="4.6640625" style="77" customWidth="1"/>
    <col min="14262" max="14262" width="4.33203125" style="77" bestFit="1" customWidth="1"/>
    <col min="14263" max="14263" width="22.5546875" style="77" bestFit="1" customWidth="1"/>
    <col min="14264" max="14264" width="10" style="77" customWidth="1"/>
    <col min="14265" max="14265" width="10.33203125" style="77" bestFit="1" customWidth="1"/>
    <col min="14266" max="14266" width="7.6640625" style="77" customWidth="1"/>
    <col min="14267" max="14267" width="7.33203125" style="77" customWidth="1"/>
    <col min="14268" max="14271" width="9.33203125" style="77" customWidth="1"/>
    <col min="14272" max="14272" width="12.6640625" style="77" customWidth="1"/>
    <col min="14273" max="14273" width="22.5546875" style="77" customWidth="1"/>
    <col min="14274" max="14274" width="11.33203125" style="77" customWidth="1"/>
    <col min="14275" max="14275" width="5.6640625" style="77" customWidth="1"/>
    <col min="14276" max="14276" width="6.6640625" style="77" customWidth="1"/>
    <col min="14277" max="14277" width="10" style="77" customWidth="1"/>
    <col min="14278" max="14278" width="8.33203125" style="77" customWidth="1"/>
    <col min="14279" max="14279" width="9.44140625" style="77" customWidth="1"/>
    <col min="14280" max="14280" width="7.6640625" style="77" customWidth="1"/>
    <col min="14281" max="14281" width="9.33203125" style="77" customWidth="1"/>
    <col min="14282" max="14282" width="9.44140625" style="77" customWidth="1"/>
    <col min="14283" max="14283" width="8.44140625" style="77" customWidth="1"/>
    <col min="14284" max="14284" width="9.33203125" style="77" customWidth="1"/>
    <col min="14285" max="14285" width="10.33203125" style="77" customWidth="1"/>
    <col min="14286" max="14286" width="12.6640625" style="77" bestFit="1" customWidth="1"/>
    <col min="14287" max="14287" width="9.33203125" style="77"/>
    <col min="14288" max="14288" width="11.44140625" style="77" bestFit="1" customWidth="1"/>
    <col min="14289" max="14514" width="9.33203125" style="77"/>
    <col min="14515" max="14516" width="5.6640625" style="77" customWidth="1"/>
    <col min="14517" max="14517" width="4.6640625" style="77" customWidth="1"/>
    <col min="14518" max="14518" width="4.33203125" style="77" bestFit="1" customWidth="1"/>
    <col min="14519" max="14519" width="22.5546875" style="77" bestFit="1" customWidth="1"/>
    <col min="14520" max="14520" width="10" style="77" customWidth="1"/>
    <col min="14521" max="14521" width="10.33203125" style="77" bestFit="1" customWidth="1"/>
    <col min="14522" max="14522" width="7.6640625" style="77" customWidth="1"/>
    <col min="14523" max="14523" width="7.33203125" style="77" customWidth="1"/>
    <col min="14524" max="14527" width="9.33203125" style="77" customWidth="1"/>
    <col min="14528" max="14528" width="12.6640625" style="77" customWidth="1"/>
    <col min="14529" max="14529" width="22.5546875" style="77" customWidth="1"/>
    <col min="14530" max="14530" width="11.33203125" style="77" customWidth="1"/>
    <col min="14531" max="14531" width="5.6640625" style="77" customWidth="1"/>
    <col min="14532" max="14532" width="6.6640625" style="77" customWidth="1"/>
    <col min="14533" max="14533" width="10" style="77" customWidth="1"/>
    <col min="14534" max="14534" width="8.33203125" style="77" customWidth="1"/>
    <col min="14535" max="14535" width="9.44140625" style="77" customWidth="1"/>
    <col min="14536" max="14536" width="7.6640625" style="77" customWidth="1"/>
    <col min="14537" max="14537" width="9.33203125" style="77" customWidth="1"/>
    <col min="14538" max="14538" width="9.44140625" style="77" customWidth="1"/>
    <col min="14539" max="14539" width="8.44140625" style="77" customWidth="1"/>
    <col min="14540" max="14540" width="9.33203125" style="77" customWidth="1"/>
    <col min="14541" max="14541" width="10.33203125" style="77" customWidth="1"/>
    <col min="14542" max="14542" width="12.6640625" style="77" bestFit="1" customWidth="1"/>
    <col min="14543" max="14543" width="9.33203125" style="77"/>
    <col min="14544" max="14544" width="11.44140625" style="77" bestFit="1" customWidth="1"/>
    <col min="14545" max="14770" width="9.33203125" style="77"/>
    <col min="14771" max="14772" width="5.6640625" style="77" customWidth="1"/>
    <col min="14773" max="14773" width="4.6640625" style="77" customWidth="1"/>
    <col min="14774" max="14774" width="4.33203125" style="77" bestFit="1" customWidth="1"/>
    <col min="14775" max="14775" width="22.5546875" style="77" bestFit="1" customWidth="1"/>
    <col min="14776" max="14776" width="10" style="77" customWidth="1"/>
    <col min="14777" max="14777" width="10.33203125" style="77" bestFit="1" customWidth="1"/>
    <col min="14778" max="14778" width="7.6640625" style="77" customWidth="1"/>
    <col min="14779" max="14779" width="7.33203125" style="77" customWidth="1"/>
    <col min="14780" max="14783" width="9.33203125" style="77" customWidth="1"/>
    <col min="14784" max="14784" width="12.6640625" style="77" customWidth="1"/>
    <col min="14785" max="14785" width="22.5546875" style="77" customWidth="1"/>
    <col min="14786" max="14786" width="11.33203125" style="77" customWidth="1"/>
    <col min="14787" max="14787" width="5.6640625" style="77" customWidth="1"/>
    <col min="14788" max="14788" width="6.6640625" style="77" customWidth="1"/>
    <col min="14789" max="14789" width="10" style="77" customWidth="1"/>
    <col min="14790" max="14790" width="8.33203125" style="77" customWidth="1"/>
    <col min="14791" max="14791" width="9.44140625" style="77" customWidth="1"/>
    <col min="14792" max="14792" width="7.6640625" style="77" customWidth="1"/>
    <col min="14793" max="14793" width="9.33203125" style="77" customWidth="1"/>
    <col min="14794" max="14794" width="9.44140625" style="77" customWidth="1"/>
    <col min="14795" max="14795" width="8.44140625" style="77" customWidth="1"/>
    <col min="14796" max="14796" width="9.33203125" style="77" customWidth="1"/>
    <col min="14797" max="14797" width="10.33203125" style="77" customWidth="1"/>
    <col min="14798" max="14798" width="12.6640625" style="77" bestFit="1" customWidth="1"/>
    <col min="14799" max="14799" width="9.33203125" style="77"/>
    <col min="14800" max="14800" width="11.44140625" style="77" bestFit="1" customWidth="1"/>
    <col min="14801" max="15026" width="9.33203125" style="77"/>
    <col min="15027" max="15028" width="5.6640625" style="77" customWidth="1"/>
    <col min="15029" max="15029" width="4.6640625" style="77" customWidth="1"/>
    <col min="15030" max="15030" width="4.33203125" style="77" bestFit="1" customWidth="1"/>
    <col min="15031" max="15031" width="22.5546875" style="77" bestFit="1" customWidth="1"/>
    <col min="15032" max="15032" width="10" style="77" customWidth="1"/>
    <col min="15033" max="15033" width="10.33203125" style="77" bestFit="1" customWidth="1"/>
    <col min="15034" max="15034" width="7.6640625" style="77" customWidth="1"/>
    <col min="15035" max="15035" width="7.33203125" style="77" customWidth="1"/>
    <col min="15036" max="15039" width="9.33203125" style="77" customWidth="1"/>
    <col min="15040" max="15040" width="12.6640625" style="77" customWidth="1"/>
    <col min="15041" max="15041" width="22.5546875" style="77" customWidth="1"/>
    <col min="15042" max="15042" width="11.33203125" style="77" customWidth="1"/>
    <col min="15043" max="15043" width="5.6640625" style="77" customWidth="1"/>
    <col min="15044" max="15044" width="6.6640625" style="77" customWidth="1"/>
    <col min="15045" max="15045" width="10" style="77" customWidth="1"/>
    <col min="15046" max="15046" width="8.33203125" style="77" customWidth="1"/>
    <col min="15047" max="15047" width="9.44140625" style="77" customWidth="1"/>
    <col min="15048" max="15048" width="7.6640625" style="77" customWidth="1"/>
    <col min="15049" max="15049" width="9.33203125" style="77" customWidth="1"/>
    <col min="15050" max="15050" width="9.44140625" style="77" customWidth="1"/>
    <col min="15051" max="15051" width="8.44140625" style="77" customWidth="1"/>
    <col min="15052" max="15052" width="9.33203125" style="77" customWidth="1"/>
    <col min="15053" max="15053" width="10.33203125" style="77" customWidth="1"/>
    <col min="15054" max="15054" width="12.6640625" style="77" bestFit="1" customWidth="1"/>
    <col min="15055" max="15055" width="9.33203125" style="77"/>
    <col min="15056" max="15056" width="11.44140625" style="77" bestFit="1" customWidth="1"/>
    <col min="15057" max="15282" width="9.33203125" style="77"/>
    <col min="15283" max="15284" width="5.6640625" style="77" customWidth="1"/>
    <col min="15285" max="15285" width="4.6640625" style="77" customWidth="1"/>
    <col min="15286" max="15286" width="4.33203125" style="77" bestFit="1" customWidth="1"/>
    <col min="15287" max="15287" width="22.5546875" style="77" bestFit="1" customWidth="1"/>
    <col min="15288" max="15288" width="10" style="77" customWidth="1"/>
    <col min="15289" max="15289" width="10.33203125" style="77" bestFit="1" customWidth="1"/>
    <col min="15290" max="15290" width="7.6640625" style="77" customWidth="1"/>
    <col min="15291" max="15291" width="7.33203125" style="77" customWidth="1"/>
    <col min="15292" max="15295" width="9.33203125" style="77" customWidth="1"/>
    <col min="15296" max="15296" width="12.6640625" style="77" customWidth="1"/>
    <col min="15297" max="15297" width="22.5546875" style="77" customWidth="1"/>
    <col min="15298" max="15298" width="11.33203125" style="77" customWidth="1"/>
    <col min="15299" max="15299" width="5.6640625" style="77" customWidth="1"/>
    <col min="15300" max="15300" width="6.6640625" style="77" customWidth="1"/>
    <col min="15301" max="15301" width="10" style="77" customWidth="1"/>
    <col min="15302" max="15302" width="8.33203125" style="77" customWidth="1"/>
    <col min="15303" max="15303" width="9.44140625" style="77" customWidth="1"/>
    <col min="15304" max="15304" width="7.6640625" style="77" customWidth="1"/>
    <col min="15305" max="15305" width="9.33203125" style="77" customWidth="1"/>
    <col min="15306" max="15306" width="9.44140625" style="77" customWidth="1"/>
    <col min="15307" max="15307" width="8.44140625" style="77" customWidth="1"/>
    <col min="15308" max="15308" width="9.33203125" style="77" customWidth="1"/>
    <col min="15309" max="15309" width="10.33203125" style="77" customWidth="1"/>
    <col min="15310" max="15310" width="12.6640625" style="77" bestFit="1" customWidth="1"/>
    <col min="15311" max="15311" width="9.33203125" style="77"/>
    <col min="15312" max="15312" width="11.44140625" style="77" bestFit="1" customWidth="1"/>
    <col min="15313" max="15538" width="9.33203125" style="77"/>
    <col min="15539" max="15540" width="5.6640625" style="77" customWidth="1"/>
    <col min="15541" max="15541" width="4.6640625" style="77" customWidth="1"/>
    <col min="15542" max="15542" width="4.33203125" style="77" bestFit="1" customWidth="1"/>
    <col min="15543" max="15543" width="22.5546875" style="77" bestFit="1" customWidth="1"/>
    <col min="15544" max="15544" width="10" style="77" customWidth="1"/>
    <col min="15545" max="15545" width="10.33203125" style="77" bestFit="1" customWidth="1"/>
    <col min="15546" max="15546" width="7.6640625" style="77" customWidth="1"/>
    <col min="15547" max="15547" width="7.33203125" style="77" customWidth="1"/>
    <col min="15548" max="15551" width="9.33203125" style="77" customWidth="1"/>
    <col min="15552" max="15552" width="12.6640625" style="77" customWidth="1"/>
    <col min="15553" max="15553" width="22.5546875" style="77" customWidth="1"/>
    <col min="15554" max="15554" width="11.33203125" style="77" customWidth="1"/>
    <col min="15555" max="15555" width="5.6640625" style="77" customWidth="1"/>
    <col min="15556" max="15556" width="6.6640625" style="77" customWidth="1"/>
    <col min="15557" max="15557" width="10" style="77" customWidth="1"/>
    <col min="15558" max="15558" width="8.33203125" style="77" customWidth="1"/>
    <col min="15559" max="15559" width="9.44140625" style="77" customWidth="1"/>
    <col min="15560" max="15560" width="7.6640625" style="77" customWidth="1"/>
    <col min="15561" max="15561" width="9.33203125" style="77" customWidth="1"/>
    <col min="15562" max="15562" width="9.44140625" style="77" customWidth="1"/>
    <col min="15563" max="15563" width="8.44140625" style="77" customWidth="1"/>
    <col min="15564" max="15564" width="9.33203125" style="77" customWidth="1"/>
    <col min="15565" max="15565" width="10.33203125" style="77" customWidth="1"/>
    <col min="15566" max="15566" width="12.6640625" style="77" bestFit="1" customWidth="1"/>
    <col min="15567" max="15567" width="9.33203125" style="77"/>
    <col min="15568" max="15568" width="11.44140625" style="77" bestFit="1" customWidth="1"/>
    <col min="15569" max="15794" width="9.33203125" style="77"/>
    <col min="15795" max="15796" width="5.6640625" style="77" customWidth="1"/>
    <col min="15797" max="15797" width="4.6640625" style="77" customWidth="1"/>
    <col min="15798" max="15798" width="4.33203125" style="77" bestFit="1" customWidth="1"/>
    <col min="15799" max="15799" width="22.5546875" style="77" bestFit="1" customWidth="1"/>
    <col min="15800" max="15800" width="10" style="77" customWidth="1"/>
    <col min="15801" max="15801" width="10.33203125" style="77" bestFit="1" customWidth="1"/>
    <col min="15802" max="15802" width="7.6640625" style="77" customWidth="1"/>
    <col min="15803" max="15803" width="7.33203125" style="77" customWidth="1"/>
    <col min="15804" max="15807" width="9.33203125" style="77" customWidth="1"/>
    <col min="15808" max="15808" width="12.6640625" style="77" customWidth="1"/>
    <col min="15809" max="15809" width="22.5546875" style="77" customWidth="1"/>
    <col min="15810" max="15810" width="11.33203125" style="77" customWidth="1"/>
    <col min="15811" max="15811" width="5.6640625" style="77" customWidth="1"/>
    <col min="15812" max="15812" width="6.6640625" style="77" customWidth="1"/>
    <col min="15813" max="15813" width="10" style="77" customWidth="1"/>
    <col min="15814" max="15814" width="8.33203125" style="77" customWidth="1"/>
    <col min="15815" max="15815" width="9.44140625" style="77" customWidth="1"/>
    <col min="15816" max="15816" width="7.6640625" style="77" customWidth="1"/>
    <col min="15817" max="15817" width="9.33203125" style="77" customWidth="1"/>
    <col min="15818" max="15818" width="9.44140625" style="77" customWidth="1"/>
    <col min="15819" max="15819" width="8.44140625" style="77" customWidth="1"/>
    <col min="15820" max="15820" width="9.33203125" style="77" customWidth="1"/>
    <col min="15821" max="15821" width="10.33203125" style="77" customWidth="1"/>
    <col min="15822" max="15822" width="12.6640625" style="77" bestFit="1" customWidth="1"/>
    <col min="15823" max="15823" width="9.33203125" style="77"/>
    <col min="15824" max="15824" width="11.44140625" style="77" bestFit="1" customWidth="1"/>
    <col min="15825" max="16050" width="9.33203125" style="77"/>
    <col min="16051" max="16052" width="5.6640625" style="77" customWidth="1"/>
    <col min="16053" max="16053" width="4.6640625" style="77" customWidth="1"/>
    <col min="16054" max="16054" width="4.33203125" style="77" bestFit="1" customWidth="1"/>
    <col min="16055" max="16055" width="22.5546875" style="77" bestFit="1" customWidth="1"/>
    <col min="16056" max="16056" width="10" style="77" customWidth="1"/>
    <col min="16057" max="16057" width="10.33203125" style="77" bestFit="1" customWidth="1"/>
    <col min="16058" max="16058" width="7.6640625" style="77" customWidth="1"/>
    <col min="16059" max="16059" width="7.33203125" style="77" customWidth="1"/>
    <col min="16060" max="16063" width="9.33203125" style="77" customWidth="1"/>
    <col min="16064" max="16064" width="12.6640625" style="77" customWidth="1"/>
    <col min="16065" max="16065" width="22.5546875" style="77" customWidth="1"/>
    <col min="16066" max="16066" width="11.33203125" style="77" customWidth="1"/>
    <col min="16067" max="16067" width="5.6640625" style="77" customWidth="1"/>
    <col min="16068" max="16068" width="6.6640625" style="77" customWidth="1"/>
    <col min="16069" max="16069" width="10" style="77" customWidth="1"/>
    <col min="16070" max="16070" width="8.33203125" style="77" customWidth="1"/>
    <col min="16071" max="16071" width="9.44140625" style="77" customWidth="1"/>
    <col min="16072" max="16072" width="7.6640625" style="77" customWidth="1"/>
    <col min="16073" max="16073" width="9.33203125" style="77" customWidth="1"/>
    <col min="16074" max="16074" width="9.44140625" style="77" customWidth="1"/>
    <col min="16075" max="16075" width="8.44140625" style="77" customWidth="1"/>
    <col min="16076" max="16076" width="9.33203125" style="77" customWidth="1"/>
    <col min="16077" max="16077" width="10.33203125" style="77" customWidth="1"/>
    <col min="16078" max="16078" width="12.6640625" style="77" bestFit="1" customWidth="1"/>
    <col min="16079" max="16079" width="9.33203125" style="77"/>
    <col min="16080" max="16080" width="11.44140625" style="77" bestFit="1" customWidth="1"/>
    <col min="16081" max="16384" width="9.33203125" style="77"/>
  </cols>
  <sheetData>
    <row r="1" spans="2:838" ht="4.95" customHeight="1">
      <c r="BG1" s="1174"/>
    </row>
    <row r="2" spans="2:838" s="88" customFormat="1" ht="14.4">
      <c r="B2" s="87"/>
      <c r="C2" s="86"/>
      <c r="D2" s="87"/>
      <c r="E2" s="89"/>
      <c r="F2" s="89"/>
      <c r="G2" s="90"/>
      <c r="I2" s="90"/>
      <c r="M2" s="85"/>
      <c r="O2" s="1196"/>
      <c r="P2" s="1397" t="s">
        <v>87</v>
      </c>
      <c r="Q2" s="1398"/>
      <c r="R2" s="1398"/>
      <c r="S2" s="1398"/>
      <c r="T2" s="1399"/>
      <c r="U2" s="1396" t="s">
        <v>73</v>
      </c>
      <c r="V2" s="1396"/>
      <c r="W2" s="1396"/>
      <c r="X2" s="1396" t="s">
        <v>74</v>
      </c>
      <c r="Y2" s="1396"/>
      <c r="Z2" s="448" t="s">
        <v>85</v>
      </c>
      <c r="AA2" s="448" t="s">
        <v>77</v>
      </c>
      <c r="AB2" s="1397" t="s">
        <v>525</v>
      </c>
      <c r="AC2" s="1398"/>
      <c r="AD2" s="1398"/>
      <c r="AE2" s="1398"/>
      <c r="AF2" s="1398"/>
      <c r="AG2" s="1398"/>
      <c r="AH2" s="1398"/>
      <c r="AI2" s="1398"/>
      <c r="AJ2" s="1398"/>
      <c r="AK2" s="1398"/>
      <c r="AL2" s="1398"/>
      <c r="AM2" s="1398"/>
      <c r="AN2" s="1398"/>
      <c r="AO2" s="1398"/>
      <c r="AP2" s="1398"/>
      <c r="AQ2" s="1398"/>
      <c r="AR2" s="1398"/>
      <c r="AS2" s="1398"/>
      <c r="AT2" s="1398"/>
      <c r="AU2" s="1398"/>
      <c r="AV2" s="1398"/>
      <c r="AW2" s="1398"/>
      <c r="AX2" s="1398"/>
      <c r="AY2" s="1398"/>
      <c r="AZ2" s="1398"/>
      <c r="BA2" s="1398"/>
      <c r="BB2" s="1398"/>
      <c r="BC2" s="1398"/>
      <c r="BD2" s="1399"/>
      <c r="BE2" s="1408" t="s">
        <v>2866</v>
      </c>
      <c r="BF2" s="1408"/>
      <c r="BG2" s="1408"/>
      <c r="BH2" s="392"/>
      <c r="BI2" s="1400" t="s">
        <v>2867</v>
      </c>
      <c r="BJ2" s="1401"/>
      <c r="BK2" s="1402" t="s">
        <v>2868</v>
      </c>
      <c r="BL2" s="1403"/>
      <c r="BM2" s="1404"/>
      <c r="BN2" s="368"/>
      <c r="BO2" s="1402" t="s">
        <v>2869</v>
      </c>
      <c r="BP2" s="1404"/>
      <c r="BQ2" s="1409" t="s">
        <v>2870</v>
      </c>
      <c r="BR2" s="1410"/>
      <c r="BS2" s="1410"/>
      <c r="BT2" s="1410"/>
      <c r="BU2" s="1410"/>
      <c r="BV2" s="1411"/>
      <c r="BW2" s="393"/>
      <c r="BX2" s="449"/>
      <c r="BY2" s="1387" t="s">
        <v>2871</v>
      </c>
      <c r="BZ2" s="1388"/>
      <c r="CA2" s="1388"/>
      <c r="CB2" s="1388"/>
      <c r="CC2" s="1388"/>
      <c r="CD2" s="1388"/>
      <c r="CE2" s="1388"/>
      <c r="CF2" s="1388"/>
      <c r="CG2" s="1388"/>
      <c r="CH2" s="1388"/>
      <c r="CI2" s="1388"/>
      <c r="CJ2" s="1388"/>
      <c r="CK2" s="1388"/>
      <c r="CL2" s="1388"/>
      <c r="CM2" s="1388"/>
      <c r="CN2" s="1388"/>
      <c r="CO2" s="1388"/>
      <c r="CP2" s="1388"/>
      <c r="CQ2" s="1388"/>
      <c r="CR2" s="1388"/>
      <c r="CS2" s="1388"/>
      <c r="CT2" s="1388"/>
      <c r="CU2" s="1388"/>
      <c r="CV2" s="1388"/>
      <c r="CW2" s="1388"/>
      <c r="CX2" s="1388"/>
      <c r="CY2" s="1388"/>
      <c r="CZ2" s="1388"/>
      <c r="DA2" s="1388"/>
      <c r="DB2" s="1388"/>
      <c r="DC2" s="1388"/>
      <c r="DD2" s="1390" t="s">
        <v>2872</v>
      </c>
      <c r="DE2" s="1391"/>
      <c r="DF2" s="1391"/>
      <c r="DG2" s="1391"/>
      <c r="DH2" s="1391"/>
      <c r="DI2" s="1391"/>
      <c r="DJ2" s="1391"/>
      <c r="DK2" s="1391"/>
      <c r="DL2" s="1391"/>
      <c r="DM2" s="1391"/>
      <c r="DN2" s="1391"/>
      <c r="DO2" s="1391"/>
      <c r="DP2" s="1391"/>
      <c r="DQ2" s="1391"/>
      <c r="DR2" s="1391"/>
      <c r="DS2" s="1391"/>
      <c r="DT2" s="1391"/>
      <c r="DU2" s="1391"/>
      <c r="DV2" s="1391"/>
      <c r="DW2" s="1391"/>
      <c r="DX2" s="1391"/>
      <c r="DY2" s="1391"/>
      <c r="DZ2" s="1391"/>
      <c r="EA2" s="1391"/>
      <c r="EB2" s="1391"/>
      <c r="EC2" s="1391"/>
      <c r="ED2" s="1391"/>
      <c r="EE2" s="1392"/>
      <c r="EF2" s="1387" t="s">
        <v>2873</v>
      </c>
      <c r="EG2" s="1388"/>
      <c r="EH2" s="1388"/>
      <c r="EI2" s="1388"/>
      <c r="EJ2" s="1388"/>
      <c r="EK2" s="1388"/>
      <c r="EL2" s="1388"/>
      <c r="EM2" s="1388"/>
      <c r="EN2" s="1388"/>
      <c r="EO2" s="1388"/>
      <c r="EP2" s="1388"/>
      <c r="EQ2" s="1388"/>
      <c r="ER2" s="1388"/>
      <c r="ES2" s="1388"/>
      <c r="ET2" s="1388"/>
      <c r="EU2" s="1388"/>
      <c r="EV2" s="1388"/>
      <c r="EW2" s="1388"/>
      <c r="EX2" s="1388"/>
      <c r="EY2" s="1388"/>
      <c r="EZ2" s="1388"/>
      <c r="FA2" s="1388"/>
      <c r="FB2" s="1388"/>
      <c r="FC2" s="1388"/>
      <c r="FD2" s="1388"/>
      <c r="FE2" s="1388"/>
      <c r="FF2" s="1388"/>
      <c r="FG2" s="1388"/>
      <c r="FH2" s="1388"/>
      <c r="FI2" s="1388"/>
      <c r="FJ2" s="1389"/>
      <c r="FK2" s="1387" t="s">
        <v>2874</v>
      </c>
      <c r="FL2" s="1388"/>
      <c r="FM2" s="1388"/>
      <c r="FN2" s="1388"/>
      <c r="FO2" s="1388"/>
      <c r="FP2" s="1388"/>
      <c r="FQ2" s="1388"/>
      <c r="FR2" s="1388"/>
      <c r="FS2" s="1388"/>
      <c r="FT2" s="1388"/>
      <c r="FU2" s="1388"/>
      <c r="FV2" s="1388"/>
      <c r="FW2" s="1388"/>
      <c r="FX2" s="1388"/>
      <c r="FY2" s="1388"/>
      <c r="FZ2" s="1388"/>
      <c r="GA2" s="1388"/>
      <c r="GB2" s="1388"/>
      <c r="GC2" s="1388"/>
      <c r="GD2" s="1388"/>
      <c r="GE2" s="1388"/>
      <c r="GF2" s="1388"/>
      <c r="GG2" s="1388"/>
      <c r="GH2" s="1388"/>
      <c r="GI2" s="1388"/>
      <c r="GJ2" s="1388"/>
      <c r="GK2" s="1388"/>
      <c r="GL2" s="1388"/>
      <c r="GM2" s="1388"/>
      <c r="GN2" s="1389"/>
      <c r="GO2" s="1387" t="s">
        <v>2875</v>
      </c>
      <c r="GP2" s="1388"/>
      <c r="GQ2" s="1388"/>
      <c r="GR2" s="1388"/>
      <c r="GS2" s="1388"/>
      <c r="GT2" s="1388"/>
      <c r="GU2" s="1388"/>
      <c r="GV2" s="1388"/>
      <c r="GW2" s="1388"/>
      <c r="GX2" s="1388"/>
      <c r="GY2" s="1388"/>
      <c r="GZ2" s="1388"/>
      <c r="HA2" s="1388"/>
      <c r="HB2" s="1388"/>
      <c r="HC2" s="1388"/>
      <c r="HD2" s="1388"/>
      <c r="HE2" s="1388"/>
      <c r="HF2" s="1388"/>
      <c r="HG2" s="1388"/>
      <c r="HH2" s="1388"/>
      <c r="HI2" s="1388"/>
      <c r="HJ2" s="1388"/>
      <c r="HK2" s="1388"/>
      <c r="HL2" s="1388"/>
      <c r="HM2" s="1388"/>
      <c r="HN2" s="1388"/>
      <c r="HO2" s="1388"/>
      <c r="HP2" s="1388"/>
      <c r="HQ2" s="1388"/>
      <c r="HR2" s="1388"/>
      <c r="HS2" s="1389"/>
      <c r="HT2" s="1387" t="s">
        <v>2876</v>
      </c>
      <c r="HU2" s="1388"/>
      <c r="HV2" s="1388"/>
      <c r="HW2" s="1388"/>
      <c r="HX2" s="1388"/>
      <c r="HY2" s="1388"/>
      <c r="HZ2" s="1388"/>
      <c r="IA2" s="1388"/>
      <c r="IB2" s="1388"/>
      <c r="IC2" s="1388"/>
      <c r="ID2" s="1388"/>
      <c r="IE2" s="1388"/>
      <c r="IF2" s="1388"/>
      <c r="IG2" s="1388"/>
      <c r="IH2" s="1388"/>
      <c r="II2" s="1388"/>
      <c r="IJ2" s="1388"/>
      <c r="IK2" s="1388"/>
      <c r="IL2" s="1388"/>
      <c r="IM2" s="1388"/>
      <c r="IN2" s="1388"/>
      <c r="IO2" s="1388"/>
      <c r="IP2" s="1388"/>
      <c r="IQ2" s="1388"/>
      <c r="IR2" s="1388"/>
      <c r="IS2" s="1388"/>
      <c r="IT2" s="1388"/>
      <c r="IU2" s="1388"/>
      <c r="IV2" s="1388"/>
      <c r="IW2" s="1389"/>
      <c r="IX2" s="1387" t="s">
        <v>2877</v>
      </c>
      <c r="IY2" s="1388"/>
      <c r="IZ2" s="1388"/>
      <c r="JA2" s="1388"/>
      <c r="JB2" s="1388"/>
      <c r="JC2" s="1388"/>
      <c r="JD2" s="1388"/>
      <c r="JE2" s="1388"/>
      <c r="JF2" s="1388"/>
      <c r="JG2" s="1388"/>
      <c r="JH2" s="1388"/>
      <c r="JI2" s="1388"/>
      <c r="JJ2" s="1388"/>
      <c r="JK2" s="1388"/>
      <c r="JL2" s="1388"/>
      <c r="JM2" s="1388"/>
      <c r="JN2" s="1388"/>
      <c r="JO2" s="1388"/>
      <c r="JP2" s="1388"/>
      <c r="JQ2" s="1388"/>
      <c r="JR2" s="1388"/>
      <c r="JS2" s="1388"/>
      <c r="JT2" s="1388"/>
      <c r="JU2" s="1388"/>
      <c r="JV2" s="1388"/>
      <c r="JW2" s="1388"/>
      <c r="JX2" s="1388"/>
      <c r="JY2" s="1388"/>
      <c r="JZ2" s="1388"/>
      <c r="KA2" s="1388"/>
      <c r="KB2" s="1389"/>
      <c r="KC2" s="1387" t="s">
        <v>2878</v>
      </c>
      <c r="KD2" s="1388"/>
      <c r="KE2" s="1388"/>
      <c r="KF2" s="1388"/>
      <c r="KG2" s="1388"/>
      <c r="KH2" s="1388"/>
      <c r="KI2" s="1388"/>
      <c r="KJ2" s="1388"/>
      <c r="KK2" s="1388"/>
      <c r="KL2" s="1388"/>
      <c r="KM2" s="1388"/>
      <c r="KN2" s="1388"/>
      <c r="KO2" s="1388"/>
      <c r="KP2" s="1388"/>
      <c r="KQ2" s="1388"/>
      <c r="KR2" s="1388"/>
      <c r="KS2" s="1388"/>
      <c r="KT2" s="1388"/>
      <c r="KU2" s="1388"/>
      <c r="KV2" s="1388"/>
      <c r="KW2" s="1388"/>
      <c r="KX2" s="1388"/>
      <c r="KY2" s="1388"/>
      <c r="KZ2" s="1388"/>
      <c r="LA2" s="1388"/>
      <c r="LB2" s="1388"/>
      <c r="LC2" s="1388"/>
      <c r="LD2" s="1388"/>
      <c r="LE2" s="1388"/>
      <c r="LF2" s="1388"/>
      <c r="LG2" s="1389"/>
      <c r="LH2" s="1387" t="s">
        <v>2879</v>
      </c>
      <c r="LI2" s="1388"/>
      <c r="LJ2" s="1388"/>
      <c r="LK2" s="1388"/>
      <c r="LL2" s="1388"/>
      <c r="LM2" s="1388"/>
      <c r="LN2" s="1388"/>
      <c r="LO2" s="1388"/>
      <c r="LP2" s="1388"/>
      <c r="LQ2" s="1388"/>
      <c r="LR2" s="1388"/>
      <c r="LS2" s="1388"/>
      <c r="LT2" s="1388"/>
      <c r="LU2" s="1388"/>
      <c r="LV2" s="1388"/>
      <c r="LW2" s="1388"/>
      <c r="LX2" s="1388"/>
      <c r="LY2" s="1388"/>
      <c r="LZ2" s="1388"/>
      <c r="MA2" s="1388"/>
      <c r="MB2" s="1388"/>
      <c r="MC2" s="1388"/>
      <c r="MD2" s="1388"/>
      <c r="ME2" s="1388"/>
      <c r="MF2" s="1388"/>
      <c r="MG2" s="1388"/>
      <c r="MH2" s="1388"/>
      <c r="MI2" s="1388"/>
      <c r="MJ2" s="1388"/>
      <c r="MK2" s="1389"/>
      <c r="ML2" s="1387" t="s">
        <v>2880</v>
      </c>
      <c r="MM2" s="1388"/>
      <c r="MN2" s="1388"/>
      <c r="MO2" s="1388"/>
      <c r="MP2" s="1388"/>
      <c r="MQ2" s="1388"/>
      <c r="MR2" s="1388"/>
      <c r="MS2" s="1388"/>
      <c r="MT2" s="1388"/>
      <c r="MU2" s="1388"/>
      <c r="MV2" s="1388"/>
      <c r="MW2" s="1388"/>
      <c r="MX2" s="1388"/>
      <c r="MY2" s="1388"/>
      <c r="MZ2" s="1388"/>
      <c r="NA2" s="1388"/>
      <c r="NB2" s="1388"/>
      <c r="NC2" s="1388"/>
      <c r="ND2" s="1388"/>
      <c r="NE2" s="1388"/>
      <c r="NF2" s="1388"/>
      <c r="NG2" s="1388"/>
      <c r="NH2" s="1388"/>
      <c r="NI2" s="1388"/>
      <c r="NJ2" s="1388"/>
      <c r="NK2" s="1388"/>
      <c r="NL2" s="1388"/>
      <c r="NM2" s="1388"/>
      <c r="NN2" s="1388"/>
      <c r="NO2" s="1388"/>
      <c r="NP2" s="1389"/>
      <c r="NQ2" s="1387" t="s">
        <v>2881</v>
      </c>
      <c r="NR2" s="1388"/>
      <c r="NS2" s="1388"/>
      <c r="NT2" s="1388"/>
      <c r="NU2" s="1388"/>
      <c r="NV2" s="1388"/>
      <c r="NW2" s="1388"/>
      <c r="NX2" s="1388"/>
      <c r="NY2" s="1388"/>
      <c r="NZ2" s="1388"/>
      <c r="OA2" s="1388"/>
      <c r="OB2" s="1388"/>
      <c r="OC2" s="1388"/>
      <c r="OD2" s="1388"/>
      <c r="OE2" s="1388"/>
      <c r="OF2" s="1388"/>
      <c r="OG2" s="1388"/>
      <c r="OH2" s="1388"/>
      <c r="OI2" s="1388"/>
      <c r="OJ2" s="1388"/>
      <c r="OK2" s="1388"/>
      <c r="OL2" s="1388"/>
      <c r="OM2" s="1388"/>
      <c r="ON2" s="1388"/>
      <c r="OO2" s="1388"/>
      <c r="OP2" s="1388"/>
      <c r="OQ2" s="1388"/>
      <c r="OR2" s="1388"/>
      <c r="OS2" s="1388"/>
      <c r="OT2" s="1389"/>
      <c r="OU2" s="1387" t="s">
        <v>2882</v>
      </c>
      <c r="OV2" s="1388"/>
      <c r="OW2" s="1388"/>
      <c r="OX2" s="1388"/>
      <c r="OY2" s="1388"/>
      <c r="OZ2" s="1388"/>
      <c r="PA2" s="1388"/>
      <c r="PB2" s="1388"/>
      <c r="PC2" s="1388"/>
      <c r="PD2" s="1388"/>
      <c r="PE2" s="1388"/>
      <c r="PF2" s="1388"/>
      <c r="PG2" s="1388"/>
      <c r="PH2" s="1388"/>
      <c r="PI2" s="1388"/>
      <c r="PJ2" s="1388"/>
      <c r="PK2" s="1388"/>
      <c r="PL2" s="1388"/>
      <c r="PM2" s="1388"/>
      <c r="PN2" s="1388"/>
      <c r="PO2" s="1388"/>
      <c r="PP2" s="1388"/>
      <c r="PQ2" s="1388"/>
      <c r="PR2" s="1388"/>
      <c r="PS2" s="1388"/>
      <c r="PT2" s="1388"/>
      <c r="PU2" s="1388"/>
      <c r="PV2" s="1388"/>
      <c r="PW2" s="1388"/>
      <c r="PX2" s="1388"/>
      <c r="PY2" s="1389"/>
      <c r="PZ2" s="1383" t="s">
        <v>185</v>
      </c>
      <c r="QA2" s="1383"/>
      <c r="QB2" s="1383"/>
      <c r="QC2" s="1383"/>
      <c r="QD2" s="1383"/>
      <c r="QE2" s="1383"/>
      <c r="QF2" s="1383"/>
      <c r="QG2" s="1383"/>
      <c r="QH2" s="1383"/>
      <c r="QI2" s="1383"/>
      <c r="QJ2" s="1383"/>
      <c r="QK2" s="1383"/>
      <c r="QL2" s="1383"/>
      <c r="QM2" s="1383"/>
      <c r="QN2" s="1383"/>
      <c r="QO2" s="1383"/>
      <c r="QP2" s="1383"/>
      <c r="QQ2" s="1383"/>
      <c r="QR2" s="1383"/>
      <c r="QS2" s="1383"/>
      <c r="QT2" s="1383"/>
      <c r="QU2" s="1383"/>
      <c r="QV2" s="1383"/>
      <c r="QW2" s="1383"/>
      <c r="QX2" s="1383"/>
      <c r="QY2" s="1383"/>
      <c r="QZ2" s="1383"/>
      <c r="RA2" s="1383"/>
      <c r="RB2" s="1383"/>
      <c r="RC2" s="1383"/>
      <c r="RD2" s="1383"/>
      <c r="RE2" s="1412" t="s">
        <v>672</v>
      </c>
      <c r="RF2" s="1413"/>
      <c r="RG2" s="1413"/>
      <c r="RH2" s="1413"/>
      <c r="RI2" s="1413"/>
      <c r="RJ2" s="1413"/>
      <c r="RK2" s="1413"/>
      <c r="RL2" s="1413"/>
      <c r="RM2" s="1413"/>
      <c r="RN2" s="1413"/>
      <c r="RO2" s="1413"/>
      <c r="RP2" s="1413"/>
      <c r="RQ2" s="1413"/>
      <c r="RR2" s="1413"/>
      <c r="RS2" s="1413"/>
      <c r="RT2" s="1413"/>
      <c r="RU2" s="1413"/>
      <c r="RV2" s="1413"/>
      <c r="RW2" s="1413"/>
      <c r="RX2" s="1413"/>
      <c r="RY2" s="1413"/>
      <c r="RZ2" s="1413"/>
      <c r="SA2" s="1413"/>
      <c r="SB2" s="1413"/>
      <c r="SC2" s="1413"/>
      <c r="SD2" s="1413"/>
      <c r="SE2" s="1413"/>
      <c r="SF2" s="1413"/>
      <c r="SG2" s="1383" t="s">
        <v>914</v>
      </c>
      <c r="SH2" s="1383"/>
      <c r="SI2" s="1383"/>
      <c r="SJ2" s="1383"/>
      <c r="SK2" s="1383"/>
      <c r="SL2" s="1383"/>
      <c r="SM2" s="1383"/>
      <c r="SN2" s="1383"/>
      <c r="SO2" s="1383"/>
      <c r="SP2" s="1383"/>
      <c r="SQ2" s="1383"/>
      <c r="SR2" s="1383"/>
      <c r="SS2" s="1383"/>
      <c r="ST2" s="1383"/>
      <c r="SU2" s="1383"/>
      <c r="SV2" s="1383"/>
      <c r="SW2" s="1383"/>
      <c r="SX2" s="1383"/>
      <c r="SY2" s="1383"/>
      <c r="SZ2" s="1383"/>
      <c r="TA2" s="1383"/>
      <c r="TB2" s="1383"/>
      <c r="TC2" s="1383"/>
      <c r="TD2" s="1383"/>
      <c r="TE2" s="1383"/>
      <c r="TF2" s="1383"/>
      <c r="TG2" s="1383"/>
      <c r="TH2" s="1383"/>
      <c r="TI2" s="1383"/>
      <c r="TJ2" s="1383"/>
      <c r="TK2" s="1383"/>
      <c r="TL2" s="1383" t="s">
        <v>1178</v>
      </c>
      <c r="TM2" s="1383"/>
      <c r="TN2" s="1383"/>
      <c r="TO2" s="1383"/>
      <c r="TP2" s="1383"/>
      <c r="TQ2" s="1383"/>
      <c r="TR2" s="1383"/>
      <c r="TS2" s="1383"/>
      <c r="TT2" s="1383"/>
      <c r="TU2" s="1383"/>
      <c r="TV2" s="1383"/>
      <c r="TW2" s="1383"/>
      <c r="TX2" s="1383"/>
      <c r="TY2" s="1383"/>
      <c r="TZ2" s="1383"/>
      <c r="UA2" s="1383"/>
      <c r="UB2" s="1383"/>
      <c r="UC2" s="1383"/>
      <c r="UD2" s="1383"/>
      <c r="UE2" s="1383"/>
      <c r="UF2" s="1383"/>
      <c r="UG2" s="1383"/>
      <c r="UH2" s="1383"/>
      <c r="UI2" s="1383"/>
      <c r="UJ2" s="1383"/>
      <c r="UK2" s="1383"/>
      <c r="UL2" s="1383"/>
      <c r="UM2" s="1383"/>
      <c r="UN2" s="1383"/>
      <c r="UO2" s="1383"/>
      <c r="UP2" s="1414" t="s">
        <v>1439</v>
      </c>
      <c r="UQ2" s="1414"/>
      <c r="UR2" s="1414"/>
      <c r="US2" s="1414"/>
      <c r="UT2" s="1414"/>
      <c r="UU2" s="1414"/>
      <c r="UV2" s="1414"/>
      <c r="UW2" s="1414"/>
      <c r="UX2" s="1414"/>
      <c r="UY2" s="1414"/>
      <c r="UZ2" s="1414"/>
      <c r="VA2" s="1414"/>
      <c r="VB2" s="1414"/>
      <c r="VC2" s="1414"/>
      <c r="VD2" s="1414"/>
      <c r="VE2" s="1414"/>
      <c r="VF2" s="1414"/>
      <c r="VG2" s="1414"/>
      <c r="VH2" s="1414"/>
      <c r="VI2" s="1414"/>
      <c r="VJ2" s="1414"/>
      <c r="VK2" s="1414"/>
      <c r="VL2" s="1414"/>
      <c r="VM2" s="1414"/>
      <c r="VN2" s="1414"/>
      <c r="VO2" s="1414"/>
      <c r="VP2" s="1414"/>
      <c r="VQ2" s="1414"/>
      <c r="VR2" s="1414"/>
      <c r="VS2" s="1414"/>
      <c r="VT2" s="1414"/>
      <c r="VU2" s="1381" t="s">
        <v>2883</v>
      </c>
      <c r="VV2" s="1381"/>
      <c r="VW2" s="1381"/>
      <c r="VX2" s="1381"/>
      <c r="VY2" s="1381"/>
      <c r="VZ2" s="1381"/>
      <c r="WA2" s="1381"/>
      <c r="WB2" s="1381"/>
      <c r="WC2" s="1381"/>
      <c r="WD2" s="1381"/>
      <c r="WE2" s="1381"/>
      <c r="WF2" s="1381"/>
      <c r="WG2" s="1381"/>
      <c r="WH2" s="1381"/>
      <c r="WI2" s="1381"/>
      <c r="WJ2" s="1381"/>
      <c r="WK2" s="1381"/>
      <c r="WL2" s="1381"/>
      <c r="WM2" s="1381"/>
      <c r="WN2" s="1381"/>
      <c r="WO2" s="1381"/>
      <c r="WP2" s="1381"/>
      <c r="WQ2" s="1381"/>
      <c r="WR2" s="1381"/>
      <c r="WS2" s="1381"/>
      <c r="WT2" s="1381"/>
      <c r="WU2" s="1381"/>
      <c r="WV2" s="1381"/>
      <c r="WW2" s="1381"/>
      <c r="WX2" s="1381"/>
      <c r="WY2" s="1380" t="s">
        <v>2884</v>
      </c>
      <c r="WZ2" s="1380"/>
      <c r="XA2" s="1380"/>
      <c r="XB2" s="1380"/>
      <c r="XC2" s="1380"/>
      <c r="XD2" s="1380"/>
      <c r="XE2" s="1380"/>
      <c r="XF2" s="1380"/>
      <c r="XG2" s="1380"/>
      <c r="XH2" s="1380"/>
      <c r="XI2" s="1380"/>
      <c r="XJ2" s="1380"/>
      <c r="XK2" s="1380"/>
      <c r="XL2" s="1380"/>
      <c r="XM2" s="1380"/>
      <c r="XN2" s="1380"/>
      <c r="XO2" s="1380"/>
      <c r="XP2" s="1380"/>
      <c r="XQ2" s="1380"/>
      <c r="XR2" s="1380"/>
      <c r="XS2" s="1380"/>
      <c r="XT2" s="1380"/>
      <c r="XU2" s="1380"/>
      <c r="XV2" s="1380"/>
      <c r="XW2" s="1380"/>
      <c r="XX2" s="1380"/>
      <c r="XY2" s="1380"/>
      <c r="XZ2" s="1380"/>
      <c r="YA2" s="1380"/>
      <c r="YB2" s="1380"/>
      <c r="YC2" s="1380"/>
      <c r="YD2" s="1381" t="s">
        <v>2662</v>
      </c>
      <c r="YE2" s="1381"/>
      <c r="YF2" s="1381"/>
      <c r="YG2" s="1381"/>
      <c r="YH2" s="1381"/>
      <c r="YI2" s="1381"/>
      <c r="YJ2" s="1381"/>
      <c r="YK2" s="1381"/>
      <c r="YL2" s="1381"/>
      <c r="YM2" s="1381"/>
      <c r="YN2" s="1381"/>
      <c r="YO2" s="1381"/>
      <c r="YP2" s="1381"/>
      <c r="YQ2" s="1381"/>
      <c r="YR2" s="1381"/>
      <c r="YS2" s="1381"/>
      <c r="YT2" s="1381"/>
      <c r="YU2" s="1381"/>
      <c r="YV2" s="1381"/>
      <c r="YW2" s="1381"/>
      <c r="YX2" s="1381"/>
      <c r="YY2" s="1381"/>
      <c r="YZ2" s="1381"/>
      <c r="ZA2" s="1381"/>
      <c r="ZB2" s="1381"/>
      <c r="ZC2" s="1381"/>
      <c r="ZD2" s="1381"/>
      <c r="ZE2" s="1381"/>
      <c r="ZF2" s="1381"/>
      <c r="ZG2" s="1381"/>
      <c r="ZH2" s="1381"/>
      <c r="ZI2" s="1380" t="s">
        <v>2748</v>
      </c>
      <c r="ZJ2" s="1380"/>
      <c r="ZK2" s="1380"/>
      <c r="ZL2" s="1380"/>
      <c r="ZM2" s="1380"/>
      <c r="ZN2" s="1380"/>
      <c r="ZO2" s="1380"/>
      <c r="ZP2" s="1380"/>
      <c r="ZQ2" s="1380"/>
      <c r="ZR2" s="1380"/>
      <c r="ZS2" s="1380"/>
      <c r="ZT2" s="1380"/>
      <c r="ZU2" s="1380"/>
      <c r="ZV2" s="1380"/>
      <c r="ZW2" s="1380"/>
      <c r="ZX2" s="1380"/>
      <c r="ZY2" s="1380"/>
      <c r="ZZ2" s="1380"/>
      <c r="AAA2" s="1380"/>
      <c r="AAB2" s="1380"/>
      <c r="AAC2" s="1380"/>
      <c r="AAD2" s="1380"/>
      <c r="AAE2" s="1380"/>
      <c r="AAF2" s="1380"/>
      <c r="AAG2" s="1380"/>
      <c r="AAH2" s="1380"/>
      <c r="AAI2" s="1380"/>
      <c r="AAJ2" s="1380"/>
      <c r="AAK2" s="1380"/>
      <c r="AAL2" s="1380"/>
      <c r="AAM2" s="1381" t="s">
        <v>2885</v>
      </c>
      <c r="AAN2" s="1381"/>
      <c r="AAO2" s="1381"/>
      <c r="AAP2" s="1381"/>
      <c r="AAQ2" s="1381"/>
      <c r="AAR2" s="1381"/>
      <c r="AAS2" s="1381"/>
      <c r="AAT2" s="1381"/>
      <c r="AAU2" s="1381"/>
      <c r="AAV2" s="1381"/>
      <c r="AAW2" s="1381"/>
      <c r="AAX2" s="1381"/>
      <c r="AAY2" s="1381"/>
      <c r="AAZ2" s="1381"/>
      <c r="ABA2" s="1381"/>
      <c r="ABB2" s="1381"/>
      <c r="ABC2" s="1381"/>
      <c r="ABD2" s="1381"/>
      <c r="ABE2" s="1381"/>
      <c r="ABF2" s="1381"/>
      <c r="ABG2" s="1381"/>
      <c r="ABH2" s="1381"/>
      <c r="ABI2" s="1381"/>
      <c r="ABJ2" s="1381"/>
      <c r="ABK2" s="1381"/>
      <c r="ABL2" s="1381"/>
      <c r="ABM2" s="1381"/>
      <c r="ABN2" s="1381"/>
      <c r="ABO2" s="1381"/>
      <c r="ABP2" s="1381"/>
      <c r="ABQ2" s="1381"/>
      <c r="ABR2" s="1381" t="s">
        <v>2886</v>
      </c>
      <c r="ABS2" s="1381"/>
      <c r="ABT2" s="1381"/>
      <c r="ABU2" s="1381"/>
      <c r="ABV2" s="1381"/>
      <c r="ABW2" s="1381"/>
      <c r="ABX2" s="1381"/>
      <c r="ABY2" s="1381"/>
      <c r="ABZ2" s="1381"/>
      <c r="ACA2" s="1381"/>
      <c r="ACB2" s="1381"/>
      <c r="ACC2" s="1381"/>
      <c r="ACD2" s="1381"/>
      <c r="ACE2" s="1381"/>
      <c r="ACF2" s="1381"/>
      <c r="ACG2" s="1381"/>
      <c r="ACH2" s="1381"/>
      <c r="ACI2" s="1381"/>
      <c r="ACJ2" s="1381"/>
      <c r="ACK2" s="1381"/>
      <c r="ACL2" s="1381"/>
      <c r="ACM2" s="1381"/>
      <c r="ACN2" s="1381"/>
      <c r="ACO2" s="1381"/>
      <c r="ACP2" s="1381"/>
      <c r="ACQ2" s="1381"/>
      <c r="ACR2" s="1381"/>
      <c r="ACS2" s="1381"/>
      <c r="ACT2" s="1381"/>
      <c r="ACU2" s="1381"/>
      <c r="ACV2" s="1380"/>
      <c r="ACW2" s="1380"/>
      <c r="ACX2" s="1380"/>
      <c r="ACY2" s="1380"/>
      <c r="ACZ2" s="1380"/>
      <c r="ADA2" s="1380"/>
      <c r="ADB2" s="1380"/>
      <c r="ADC2" s="1380"/>
      <c r="ADD2" s="1380"/>
      <c r="ADE2" s="1380"/>
      <c r="ADF2" s="1380"/>
      <c r="ADG2" s="1380"/>
      <c r="ADH2" s="1380"/>
      <c r="ADI2" s="1380"/>
      <c r="ADJ2" s="1380"/>
      <c r="ADK2" s="1380"/>
      <c r="ADL2" s="1380"/>
      <c r="ADM2" s="1380"/>
      <c r="ADN2" s="1380"/>
      <c r="ADO2" s="1380"/>
      <c r="ADP2" s="1380"/>
      <c r="ADQ2" s="1380"/>
      <c r="ADR2" s="1380"/>
      <c r="ADS2" s="1380"/>
      <c r="ADT2" s="1380"/>
      <c r="ADU2" s="1380"/>
      <c r="ADV2" s="1380"/>
      <c r="ADW2" s="1380"/>
      <c r="ADX2" s="1380"/>
      <c r="ADY2" s="1380"/>
      <c r="ADZ2" s="1382"/>
      <c r="AEA2" s="1380" t="s">
        <v>2887</v>
      </c>
      <c r="AEB2" s="1380"/>
      <c r="AEC2" s="1380"/>
      <c r="AED2" s="1380"/>
      <c r="AEE2" s="1380"/>
      <c r="AEF2" s="1380"/>
      <c r="AEG2" s="1380"/>
      <c r="AEH2" s="1380"/>
      <c r="AEI2" s="1380"/>
      <c r="AEJ2" s="1380"/>
      <c r="AEK2" s="1380"/>
      <c r="AEL2" s="1380"/>
      <c r="AEM2" s="1380"/>
      <c r="AEN2" s="1380"/>
      <c r="AEO2" s="1380"/>
      <c r="AEP2" s="1380"/>
      <c r="AEQ2" s="1380"/>
      <c r="AER2" s="1380"/>
      <c r="AES2" s="1380"/>
      <c r="AET2" s="1380"/>
      <c r="AEU2" s="1380"/>
      <c r="AEV2" s="1380"/>
      <c r="AEW2" s="1380"/>
      <c r="AEX2" s="1380"/>
      <c r="AEY2" s="1380"/>
      <c r="AEZ2" s="1380"/>
      <c r="AFA2" s="1380"/>
      <c r="AFB2" s="1380"/>
      <c r="AFC2" s="1380"/>
      <c r="AFD2" s="1380"/>
      <c r="AFE2" s="1380"/>
    </row>
    <row r="3" spans="2:838" s="92" customFormat="1" ht="45" customHeight="1">
      <c r="B3" s="450" t="s">
        <v>2888</v>
      </c>
      <c r="C3" s="451" t="s">
        <v>2889</v>
      </c>
      <c r="D3" s="450" t="s">
        <v>536</v>
      </c>
      <c r="E3" s="1394" t="s">
        <v>2890</v>
      </c>
      <c r="F3" s="1395"/>
      <c r="G3" s="452" t="s">
        <v>124</v>
      </c>
      <c r="H3" s="450" t="s">
        <v>2891</v>
      </c>
      <c r="I3" s="453" t="s">
        <v>521</v>
      </c>
      <c r="J3" s="450" t="s">
        <v>2892</v>
      </c>
      <c r="K3" s="450" t="s">
        <v>127</v>
      </c>
      <c r="L3" s="450" t="s">
        <v>2893</v>
      </c>
      <c r="M3" s="451" t="s">
        <v>2894</v>
      </c>
      <c r="N3" s="453" t="s">
        <v>2895</v>
      </c>
      <c r="O3" s="1197" t="s">
        <v>130</v>
      </c>
      <c r="P3" s="454" t="s">
        <v>537</v>
      </c>
      <c r="Q3" s="454" t="s">
        <v>538</v>
      </c>
      <c r="R3" s="454" t="s">
        <v>539</v>
      </c>
      <c r="S3" s="454" t="s">
        <v>540</v>
      </c>
      <c r="T3" s="454" t="s">
        <v>541</v>
      </c>
      <c r="U3" s="454" t="s">
        <v>167</v>
      </c>
      <c r="V3" s="454" t="s">
        <v>168</v>
      </c>
      <c r="W3" s="454" t="s">
        <v>169</v>
      </c>
      <c r="X3" s="454" t="s">
        <v>235</v>
      </c>
      <c r="Y3" s="454" t="s">
        <v>240</v>
      </c>
      <c r="Z3" s="448" t="s">
        <v>85</v>
      </c>
      <c r="AA3" s="454" t="s">
        <v>139</v>
      </c>
      <c r="AB3" s="454" t="s">
        <v>72</v>
      </c>
      <c r="AC3" s="454" t="s">
        <v>88</v>
      </c>
      <c r="AD3" s="454" t="s">
        <v>75</v>
      </c>
      <c r="AE3" s="454" t="s">
        <v>543</v>
      </c>
      <c r="AF3" s="454" t="s">
        <v>78</v>
      </c>
      <c r="AG3" s="454" t="s">
        <v>76</v>
      </c>
      <c r="AH3" s="454" t="s">
        <v>544</v>
      </c>
      <c r="AI3" s="454" t="s">
        <v>545</v>
      </c>
      <c r="AJ3" s="454" t="s">
        <v>86</v>
      </c>
      <c r="AK3" s="454" t="s">
        <v>83</v>
      </c>
      <c r="AL3" s="454" t="s">
        <v>84</v>
      </c>
      <c r="AM3" s="454" t="s">
        <v>180</v>
      </c>
      <c r="AN3" s="454" t="s">
        <v>81</v>
      </c>
      <c r="AO3" s="454" t="s">
        <v>80</v>
      </c>
      <c r="AP3" s="454" t="s">
        <v>82</v>
      </c>
      <c r="AQ3" s="454" t="s">
        <v>181</v>
      </c>
      <c r="AR3" s="454" t="s">
        <v>183</v>
      </c>
      <c r="AS3" s="454" t="s">
        <v>547</v>
      </c>
      <c r="AT3" s="454" t="s">
        <v>182</v>
      </c>
      <c r="AU3" s="454" t="s">
        <v>172</v>
      </c>
      <c r="AV3" s="454" t="s">
        <v>173</v>
      </c>
      <c r="AW3" s="454" t="s">
        <v>184</v>
      </c>
      <c r="AX3" s="454" t="s">
        <v>100</v>
      </c>
      <c r="AY3" s="454" t="s">
        <v>913</v>
      </c>
      <c r="AZ3" s="454" t="s">
        <v>2896</v>
      </c>
      <c r="BA3" s="454" t="s">
        <v>2747</v>
      </c>
      <c r="BB3" s="454" t="s">
        <v>2862</v>
      </c>
      <c r="BC3" s="454" t="s">
        <v>2897</v>
      </c>
      <c r="BD3" s="454" t="s">
        <v>2856</v>
      </c>
      <c r="BE3" s="455" t="s">
        <v>2898</v>
      </c>
      <c r="BF3" s="455" t="s">
        <v>2899</v>
      </c>
      <c r="BG3" s="1175" t="s">
        <v>2900</v>
      </c>
      <c r="BH3" s="452" t="s">
        <v>2901</v>
      </c>
      <c r="BI3" s="1186" t="s">
        <v>2902</v>
      </c>
      <c r="BJ3" s="1186" t="s">
        <v>523</v>
      </c>
      <c r="BK3" s="450" t="s">
        <v>2903</v>
      </c>
      <c r="BL3" s="450" t="s">
        <v>2904</v>
      </c>
      <c r="BM3" s="453" t="s">
        <v>2905</v>
      </c>
      <c r="BN3" s="453" t="s">
        <v>2906</v>
      </c>
      <c r="BO3" s="456" t="s">
        <v>2907</v>
      </c>
      <c r="BP3" s="450" t="s">
        <v>2908</v>
      </c>
      <c r="BQ3" s="1405" t="s">
        <v>2909</v>
      </c>
      <c r="BR3" s="1406"/>
      <c r="BS3" s="1406"/>
      <c r="BT3" s="1407"/>
      <c r="BU3" s="451" t="s">
        <v>2910</v>
      </c>
      <c r="BV3" s="451" t="s">
        <v>2911</v>
      </c>
      <c r="BW3" s="451" t="s">
        <v>2912</v>
      </c>
      <c r="BX3" s="450" t="s">
        <v>2913</v>
      </c>
      <c r="BY3" s="91">
        <v>1</v>
      </c>
      <c r="BZ3" s="91">
        <v>2</v>
      </c>
      <c r="CA3" s="91">
        <v>3</v>
      </c>
      <c r="CB3" s="91">
        <v>4</v>
      </c>
      <c r="CC3" s="91">
        <v>5</v>
      </c>
      <c r="CD3" s="91">
        <v>6</v>
      </c>
      <c r="CE3" s="91">
        <v>7</v>
      </c>
      <c r="CF3" s="91">
        <v>8</v>
      </c>
      <c r="CG3" s="91">
        <v>9</v>
      </c>
      <c r="CH3" s="91">
        <v>10</v>
      </c>
      <c r="CI3" s="91">
        <v>11</v>
      </c>
      <c r="CJ3" s="91">
        <v>12</v>
      </c>
      <c r="CK3" s="91">
        <v>13</v>
      </c>
      <c r="CL3" s="91">
        <v>14</v>
      </c>
      <c r="CM3" s="91">
        <v>15</v>
      </c>
      <c r="CN3" s="91">
        <v>16</v>
      </c>
      <c r="CO3" s="91">
        <v>17</v>
      </c>
      <c r="CP3" s="91">
        <v>18</v>
      </c>
      <c r="CQ3" s="91">
        <v>19</v>
      </c>
      <c r="CR3" s="91">
        <v>20</v>
      </c>
      <c r="CS3" s="91">
        <v>21</v>
      </c>
      <c r="CT3" s="91">
        <v>22</v>
      </c>
      <c r="CU3" s="91">
        <v>23</v>
      </c>
      <c r="CV3" s="91">
        <v>24</v>
      </c>
      <c r="CW3" s="91">
        <v>25</v>
      </c>
      <c r="CX3" s="91">
        <v>26</v>
      </c>
      <c r="CY3" s="91">
        <v>27</v>
      </c>
      <c r="CZ3" s="91">
        <v>28</v>
      </c>
      <c r="DA3" s="91">
        <v>29</v>
      </c>
      <c r="DB3" s="91">
        <v>30</v>
      </c>
      <c r="DC3" s="91">
        <v>31</v>
      </c>
      <c r="DD3" s="91">
        <v>1</v>
      </c>
      <c r="DE3" s="91">
        <v>2</v>
      </c>
      <c r="DF3" s="91">
        <v>3</v>
      </c>
      <c r="DG3" s="91">
        <v>4</v>
      </c>
      <c r="DH3" s="91">
        <v>5</v>
      </c>
      <c r="DI3" s="91">
        <v>6</v>
      </c>
      <c r="DJ3" s="91">
        <v>7</v>
      </c>
      <c r="DK3" s="91">
        <v>8</v>
      </c>
      <c r="DL3" s="91">
        <v>9</v>
      </c>
      <c r="DM3" s="91">
        <v>10</v>
      </c>
      <c r="DN3" s="91">
        <v>11</v>
      </c>
      <c r="DO3" s="91">
        <v>12</v>
      </c>
      <c r="DP3" s="91">
        <v>13</v>
      </c>
      <c r="DQ3" s="91">
        <v>14</v>
      </c>
      <c r="DR3" s="91">
        <v>15</v>
      </c>
      <c r="DS3" s="91">
        <v>16</v>
      </c>
      <c r="DT3" s="91">
        <v>17</v>
      </c>
      <c r="DU3" s="91">
        <v>18</v>
      </c>
      <c r="DV3" s="91">
        <v>19</v>
      </c>
      <c r="DW3" s="91">
        <v>20</v>
      </c>
      <c r="DX3" s="91">
        <v>21</v>
      </c>
      <c r="DY3" s="91">
        <v>22</v>
      </c>
      <c r="DZ3" s="91">
        <v>23</v>
      </c>
      <c r="EA3" s="91">
        <v>24</v>
      </c>
      <c r="EB3" s="91">
        <v>25</v>
      </c>
      <c r="EC3" s="91">
        <v>26</v>
      </c>
      <c r="ED3" s="91">
        <v>27</v>
      </c>
      <c r="EE3" s="91">
        <v>28</v>
      </c>
      <c r="EF3" s="91">
        <v>1</v>
      </c>
      <c r="EG3" s="91">
        <v>2</v>
      </c>
      <c r="EH3" s="91">
        <v>3</v>
      </c>
      <c r="EI3" s="91">
        <v>4</v>
      </c>
      <c r="EJ3" s="91">
        <v>5</v>
      </c>
      <c r="EK3" s="91">
        <v>6</v>
      </c>
      <c r="EL3" s="91">
        <v>7</v>
      </c>
      <c r="EM3" s="91">
        <v>8</v>
      </c>
      <c r="EN3" s="91">
        <v>9</v>
      </c>
      <c r="EO3" s="91">
        <v>10</v>
      </c>
      <c r="EP3" s="91">
        <v>11</v>
      </c>
      <c r="EQ3" s="91">
        <v>12</v>
      </c>
      <c r="ER3" s="91">
        <v>13</v>
      </c>
      <c r="ES3" s="91">
        <v>14</v>
      </c>
      <c r="ET3" s="91">
        <v>15</v>
      </c>
      <c r="EU3" s="91">
        <v>16</v>
      </c>
      <c r="EV3" s="91">
        <v>17</v>
      </c>
      <c r="EW3" s="91">
        <v>18</v>
      </c>
      <c r="EX3" s="91">
        <v>19</v>
      </c>
      <c r="EY3" s="91">
        <v>20</v>
      </c>
      <c r="EZ3" s="91">
        <v>21</v>
      </c>
      <c r="FA3" s="91">
        <v>22</v>
      </c>
      <c r="FB3" s="91">
        <v>23</v>
      </c>
      <c r="FC3" s="91">
        <v>24</v>
      </c>
      <c r="FD3" s="91">
        <v>25</v>
      </c>
      <c r="FE3" s="91">
        <v>26</v>
      </c>
      <c r="FF3" s="91">
        <v>27</v>
      </c>
      <c r="FG3" s="91">
        <v>28</v>
      </c>
      <c r="FH3" s="91">
        <v>29</v>
      </c>
      <c r="FI3" s="91">
        <v>30</v>
      </c>
      <c r="FJ3" s="91">
        <v>31</v>
      </c>
      <c r="FK3" s="91">
        <v>1</v>
      </c>
      <c r="FL3" s="91">
        <v>2</v>
      </c>
      <c r="FM3" s="91">
        <v>3</v>
      </c>
      <c r="FN3" s="91">
        <v>4</v>
      </c>
      <c r="FO3" s="91">
        <v>5</v>
      </c>
      <c r="FP3" s="91">
        <v>6</v>
      </c>
      <c r="FQ3" s="91">
        <v>7</v>
      </c>
      <c r="FR3" s="91">
        <v>8</v>
      </c>
      <c r="FS3" s="91">
        <v>9</v>
      </c>
      <c r="FT3" s="91">
        <v>10</v>
      </c>
      <c r="FU3" s="91">
        <v>11</v>
      </c>
      <c r="FV3" s="91">
        <v>12</v>
      </c>
      <c r="FW3" s="91">
        <v>13</v>
      </c>
      <c r="FX3" s="91">
        <v>14</v>
      </c>
      <c r="FY3" s="91">
        <v>15</v>
      </c>
      <c r="FZ3" s="91">
        <v>16</v>
      </c>
      <c r="GA3" s="91">
        <v>17</v>
      </c>
      <c r="GB3" s="91">
        <v>18</v>
      </c>
      <c r="GC3" s="91">
        <v>19</v>
      </c>
      <c r="GD3" s="91">
        <v>20</v>
      </c>
      <c r="GE3" s="91">
        <v>21</v>
      </c>
      <c r="GF3" s="91">
        <v>22</v>
      </c>
      <c r="GG3" s="91">
        <v>23</v>
      </c>
      <c r="GH3" s="91">
        <v>24</v>
      </c>
      <c r="GI3" s="91">
        <v>25</v>
      </c>
      <c r="GJ3" s="91">
        <v>26</v>
      </c>
      <c r="GK3" s="91">
        <v>27</v>
      </c>
      <c r="GL3" s="91">
        <v>28</v>
      </c>
      <c r="GM3" s="91">
        <v>29</v>
      </c>
      <c r="GN3" s="91">
        <v>30</v>
      </c>
      <c r="GO3" s="91">
        <v>1</v>
      </c>
      <c r="GP3" s="91">
        <v>2</v>
      </c>
      <c r="GQ3" s="91">
        <v>3</v>
      </c>
      <c r="GR3" s="91">
        <v>4</v>
      </c>
      <c r="GS3" s="91">
        <v>5</v>
      </c>
      <c r="GT3" s="91">
        <v>6</v>
      </c>
      <c r="GU3" s="91">
        <v>7</v>
      </c>
      <c r="GV3" s="91">
        <v>8</v>
      </c>
      <c r="GW3" s="91">
        <v>9</v>
      </c>
      <c r="GX3" s="91">
        <v>10</v>
      </c>
      <c r="GY3" s="91">
        <v>11</v>
      </c>
      <c r="GZ3" s="91">
        <v>12</v>
      </c>
      <c r="HA3" s="91">
        <v>13</v>
      </c>
      <c r="HB3" s="91">
        <v>14</v>
      </c>
      <c r="HC3" s="91">
        <v>15</v>
      </c>
      <c r="HD3" s="91">
        <v>16</v>
      </c>
      <c r="HE3" s="91">
        <v>17</v>
      </c>
      <c r="HF3" s="91">
        <v>18</v>
      </c>
      <c r="HG3" s="91">
        <v>19</v>
      </c>
      <c r="HH3" s="91">
        <v>20</v>
      </c>
      <c r="HI3" s="91">
        <v>21</v>
      </c>
      <c r="HJ3" s="91">
        <v>22</v>
      </c>
      <c r="HK3" s="91">
        <v>23</v>
      </c>
      <c r="HL3" s="91">
        <v>24</v>
      </c>
      <c r="HM3" s="91">
        <v>25</v>
      </c>
      <c r="HN3" s="91">
        <v>26</v>
      </c>
      <c r="HO3" s="91">
        <v>27</v>
      </c>
      <c r="HP3" s="91">
        <v>28</v>
      </c>
      <c r="HQ3" s="91">
        <v>29</v>
      </c>
      <c r="HR3" s="91">
        <v>30</v>
      </c>
      <c r="HS3" s="91">
        <v>31</v>
      </c>
      <c r="HT3" s="91">
        <v>1</v>
      </c>
      <c r="HU3" s="91">
        <v>2</v>
      </c>
      <c r="HV3" s="91">
        <v>3</v>
      </c>
      <c r="HW3" s="91">
        <v>4</v>
      </c>
      <c r="HX3" s="91">
        <v>5</v>
      </c>
      <c r="HY3" s="91">
        <v>6</v>
      </c>
      <c r="HZ3" s="91">
        <v>7</v>
      </c>
      <c r="IA3" s="91">
        <v>8</v>
      </c>
      <c r="IB3" s="91">
        <v>9</v>
      </c>
      <c r="IC3" s="91">
        <v>10</v>
      </c>
      <c r="ID3" s="91">
        <v>11</v>
      </c>
      <c r="IE3" s="91">
        <v>12</v>
      </c>
      <c r="IF3" s="91">
        <v>13</v>
      </c>
      <c r="IG3" s="91">
        <v>14</v>
      </c>
      <c r="IH3" s="91">
        <v>15</v>
      </c>
      <c r="II3" s="91">
        <v>16</v>
      </c>
      <c r="IJ3" s="91">
        <v>17</v>
      </c>
      <c r="IK3" s="91">
        <v>18</v>
      </c>
      <c r="IL3" s="91">
        <v>19</v>
      </c>
      <c r="IM3" s="91">
        <v>20</v>
      </c>
      <c r="IN3" s="91">
        <v>21</v>
      </c>
      <c r="IO3" s="91">
        <v>22</v>
      </c>
      <c r="IP3" s="91">
        <v>23</v>
      </c>
      <c r="IQ3" s="91">
        <v>24</v>
      </c>
      <c r="IR3" s="91">
        <v>25</v>
      </c>
      <c r="IS3" s="91">
        <v>26</v>
      </c>
      <c r="IT3" s="91">
        <v>27</v>
      </c>
      <c r="IU3" s="91">
        <v>28</v>
      </c>
      <c r="IV3" s="91">
        <v>29</v>
      </c>
      <c r="IW3" s="91">
        <v>30</v>
      </c>
      <c r="IX3" s="91">
        <v>1</v>
      </c>
      <c r="IY3" s="91">
        <v>2</v>
      </c>
      <c r="IZ3" s="91">
        <v>3</v>
      </c>
      <c r="JA3" s="91">
        <v>4</v>
      </c>
      <c r="JB3" s="91">
        <v>5</v>
      </c>
      <c r="JC3" s="91">
        <v>6</v>
      </c>
      <c r="JD3" s="91">
        <v>7</v>
      </c>
      <c r="JE3" s="91">
        <v>8</v>
      </c>
      <c r="JF3" s="91">
        <v>9</v>
      </c>
      <c r="JG3" s="91">
        <v>10</v>
      </c>
      <c r="JH3" s="91">
        <v>11</v>
      </c>
      <c r="JI3" s="91">
        <v>12</v>
      </c>
      <c r="JJ3" s="91">
        <v>13</v>
      </c>
      <c r="JK3" s="91">
        <v>14</v>
      </c>
      <c r="JL3" s="91">
        <v>15</v>
      </c>
      <c r="JM3" s="91">
        <v>16</v>
      </c>
      <c r="JN3" s="91">
        <v>17</v>
      </c>
      <c r="JO3" s="91">
        <v>18</v>
      </c>
      <c r="JP3" s="91">
        <v>19</v>
      </c>
      <c r="JQ3" s="91">
        <v>20</v>
      </c>
      <c r="JR3" s="91">
        <v>21</v>
      </c>
      <c r="JS3" s="91">
        <v>22</v>
      </c>
      <c r="JT3" s="91">
        <v>23</v>
      </c>
      <c r="JU3" s="91">
        <v>24</v>
      </c>
      <c r="JV3" s="91">
        <v>25</v>
      </c>
      <c r="JW3" s="91">
        <v>26</v>
      </c>
      <c r="JX3" s="91">
        <v>27</v>
      </c>
      <c r="JY3" s="91">
        <v>28</v>
      </c>
      <c r="JZ3" s="91">
        <v>29</v>
      </c>
      <c r="KA3" s="91">
        <v>30</v>
      </c>
      <c r="KB3" s="91">
        <v>31</v>
      </c>
      <c r="KC3" s="91">
        <v>1</v>
      </c>
      <c r="KD3" s="91">
        <v>2</v>
      </c>
      <c r="KE3" s="91">
        <v>3</v>
      </c>
      <c r="KF3" s="91">
        <v>4</v>
      </c>
      <c r="KG3" s="91">
        <v>5</v>
      </c>
      <c r="KH3" s="91">
        <v>6</v>
      </c>
      <c r="KI3" s="91">
        <v>7</v>
      </c>
      <c r="KJ3" s="91">
        <v>8</v>
      </c>
      <c r="KK3" s="91">
        <v>9</v>
      </c>
      <c r="KL3" s="91">
        <v>10</v>
      </c>
      <c r="KM3" s="91">
        <v>11</v>
      </c>
      <c r="KN3" s="91">
        <v>12</v>
      </c>
      <c r="KO3" s="91">
        <v>13</v>
      </c>
      <c r="KP3" s="91">
        <v>14</v>
      </c>
      <c r="KQ3" s="91">
        <v>15</v>
      </c>
      <c r="KR3" s="91">
        <v>16</v>
      </c>
      <c r="KS3" s="91">
        <v>17</v>
      </c>
      <c r="KT3" s="91">
        <v>18</v>
      </c>
      <c r="KU3" s="91">
        <v>19</v>
      </c>
      <c r="KV3" s="91">
        <v>20</v>
      </c>
      <c r="KW3" s="91">
        <v>21</v>
      </c>
      <c r="KX3" s="91">
        <v>22</v>
      </c>
      <c r="KY3" s="91">
        <v>23</v>
      </c>
      <c r="KZ3" s="91">
        <v>24</v>
      </c>
      <c r="LA3" s="91">
        <v>25</v>
      </c>
      <c r="LB3" s="91">
        <v>26</v>
      </c>
      <c r="LC3" s="91">
        <v>27</v>
      </c>
      <c r="LD3" s="91">
        <v>28</v>
      </c>
      <c r="LE3" s="91">
        <v>29</v>
      </c>
      <c r="LF3" s="91">
        <v>30</v>
      </c>
      <c r="LG3" s="91">
        <v>31</v>
      </c>
      <c r="LH3" s="91">
        <v>1</v>
      </c>
      <c r="LI3" s="91">
        <v>2</v>
      </c>
      <c r="LJ3" s="91">
        <v>3</v>
      </c>
      <c r="LK3" s="91">
        <v>4</v>
      </c>
      <c r="LL3" s="91">
        <v>5</v>
      </c>
      <c r="LM3" s="91">
        <v>6</v>
      </c>
      <c r="LN3" s="91">
        <v>7</v>
      </c>
      <c r="LO3" s="91">
        <v>8</v>
      </c>
      <c r="LP3" s="91">
        <v>9</v>
      </c>
      <c r="LQ3" s="91">
        <v>10</v>
      </c>
      <c r="LR3" s="91">
        <v>11</v>
      </c>
      <c r="LS3" s="91">
        <v>12</v>
      </c>
      <c r="LT3" s="91">
        <v>13</v>
      </c>
      <c r="LU3" s="91">
        <v>14</v>
      </c>
      <c r="LV3" s="91">
        <v>15</v>
      </c>
      <c r="LW3" s="91">
        <v>16</v>
      </c>
      <c r="LX3" s="91">
        <v>17</v>
      </c>
      <c r="LY3" s="91">
        <v>18</v>
      </c>
      <c r="LZ3" s="91">
        <v>19</v>
      </c>
      <c r="MA3" s="91">
        <v>20</v>
      </c>
      <c r="MB3" s="91">
        <v>21</v>
      </c>
      <c r="MC3" s="91">
        <v>22</v>
      </c>
      <c r="MD3" s="91">
        <v>23</v>
      </c>
      <c r="ME3" s="91">
        <v>24</v>
      </c>
      <c r="MF3" s="91">
        <v>25</v>
      </c>
      <c r="MG3" s="91">
        <v>26</v>
      </c>
      <c r="MH3" s="91">
        <v>27</v>
      </c>
      <c r="MI3" s="91">
        <v>28</v>
      </c>
      <c r="MJ3" s="91">
        <v>29</v>
      </c>
      <c r="MK3" s="91">
        <v>30</v>
      </c>
      <c r="ML3" s="91">
        <v>1</v>
      </c>
      <c r="MM3" s="91">
        <v>2</v>
      </c>
      <c r="MN3" s="91">
        <v>3</v>
      </c>
      <c r="MO3" s="91">
        <v>4</v>
      </c>
      <c r="MP3" s="91">
        <v>5</v>
      </c>
      <c r="MQ3" s="91">
        <v>6</v>
      </c>
      <c r="MR3" s="91">
        <v>7</v>
      </c>
      <c r="MS3" s="91">
        <v>8</v>
      </c>
      <c r="MT3" s="91">
        <v>9</v>
      </c>
      <c r="MU3" s="91">
        <v>10</v>
      </c>
      <c r="MV3" s="91">
        <v>11</v>
      </c>
      <c r="MW3" s="91">
        <v>12</v>
      </c>
      <c r="MX3" s="91">
        <v>13</v>
      </c>
      <c r="MY3" s="91">
        <v>14</v>
      </c>
      <c r="MZ3" s="91">
        <v>15</v>
      </c>
      <c r="NA3" s="91">
        <v>16</v>
      </c>
      <c r="NB3" s="91">
        <v>17</v>
      </c>
      <c r="NC3" s="91">
        <v>18</v>
      </c>
      <c r="ND3" s="91">
        <v>19</v>
      </c>
      <c r="NE3" s="91">
        <v>20</v>
      </c>
      <c r="NF3" s="91">
        <v>21</v>
      </c>
      <c r="NG3" s="91">
        <v>22</v>
      </c>
      <c r="NH3" s="91">
        <v>23</v>
      </c>
      <c r="NI3" s="91">
        <v>24</v>
      </c>
      <c r="NJ3" s="91">
        <v>25</v>
      </c>
      <c r="NK3" s="91">
        <v>26</v>
      </c>
      <c r="NL3" s="91">
        <v>27</v>
      </c>
      <c r="NM3" s="91">
        <v>28</v>
      </c>
      <c r="NN3" s="91">
        <v>29</v>
      </c>
      <c r="NO3" s="91">
        <v>30</v>
      </c>
      <c r="NP3" s="91">
        <v>31</v>
      </c>
      <c r="NQ3" s="91">
        <v>1</v>
      </c>
      <c r="NR3" s="91">
        <v>2</v>
      </c>
      <c r="NS3" s="91">
        <v>3</v>
      </c>
      <c r="NT3" s="91">
        <v>4</v>
      </c>
      <c r="NU3" s="91">
        <v>5</v>
      </c>
      <c r="NV3" s="91">
        <v>6</v>
      </c>
      <c r="NW3" s="91">
        <v>7</v>
      </c>
      <c r="NX3" s="91">
        <v>8</v>
      </c>
      <c r="NY3" s="91">
        <v>9</v>
      </c>
      <c r="NZ3" s="91">
        <v>10</v>
      </c>
      <c r="OA3" s="91">
        <v>11</v>
      </c>
      <c r="OB3" s="91">
        <v>12</v>
      </c>
      <c r="OC3" s="91">
        <v>13</v>
      </c>
      <c r="OD3" s="91">
        <v>14</v>
      </c>
      <c r="OE3" s="91">
        <v>15</v>
      </c>
      <c r="OF3" s="91">
        <v>16</v>
      </c>
      <c r="OG3" s="91">
        <v>17</v>
      </c>
      <c r="OH3" s="91">
        <v>18</v>
      </c>
      <c r="OI3" s="91">
        <v>19</v>
      </c>
      <c r="OJ3" s="91">
        <v>20</v>
      </c>
      <c r="OK3" s="91">
        <v>21</v>
      </c>
      <c r="OL3" s="91">
        <v>22</v>
      </c>
      <c r="OM3" s="91">
        <v>23</v>
      </c>
      <c r="ON3" s="91">
        <v>24</v>
      </c>
      <c r="OO3" s="91">
        <v>25</v>
      </c>
      <c r="OP3" s="91">
        <v>26</v>
      </c>
      <c r="OQ3" s="91">
        <v>27</v>
      </c>
      <c r="OR3" s="91">
        <v>28</v>
      </c>
      <c r="OS3" s="91">
        <v>29</v>
      </c>
      <c r="OT3" s="91">
        <v>30</v>
      </c>
      <c r="OU3" s="91">
        <v>1</v>
      </c>
      <c r="OV3" s="91">
        <v>2</v>
      </c>
      <c r="OW3" s="91">
        <v>3</v>
      </c>
      <c r="OX3" s="91">
        <v>4</v>
      </c>
      <c r="OY3" s="91">
        <v>5</v>
      </c>
      <c r="OZ3" s="91">
        <v>6</v>
      </c>
      <c r="PA3" s="91">
        <v>7</v>
      </c>
      <c r="PB3" s="91">
        <v>8</v>
      </c>
      <c r="PC3" s="91">
        <v>9</v>
      </c>
      <c r="PD3" s="91">
        <v>10</v>
      </c>
      <c r="PE3" s="91">
        <v>11</v>
      </c>
      <c r="PF3" s="91">
        <v>12</v>
      </c>
      <c r="PG3" s="91">
        <v>13</v>
      </c>
      <c r="PH3" s="91">
        <v>14</v>
      </c>
      <c r="PI3" s="91">
        <v>15</v>
      </c>
      <c r="PJ3" s="91">
        <v>16</v>
      </c>
      <c r="PK3" s="91">
        <v>17</v>
      </c>
      <c r="PL3" s="91">
        <v>18</v>
      </c>
      <c r="PM3" s="91">
        <v>19</v>
      </c>
      <c r="PN3" s="91">
        <v>20</v>
      </c>
      <c r="PO3" s="91">
        <v>21</v>
      </c>
      <c r="PP3" s="91">
        <v>22</v>
      </c>
      <c r="PQ3" s="91">
        <v>23</v>
      </c>
      <c r="PR3" s="91">
        <v>24</v>
      </c>
      <c r="PS3" s="91">
        <v>25</v>
      </c>
      <c r="PT3" s="91">
        <v>26</v>
      </c>
      <c r="PU3" s="91">
        <v>27</v>
      </c>
      <c r="PV3" s="91">
        <v>28</v>
      </c>
      <c r="PW3" s="91">
        <v>29</v>
      </c>
      <c r="PX3" s="91">
        <v>30</v>
      </c>
      <c r="PY3" s="91">
        <v>31</v>
      </c>
      <c r="PZ3" s="457">
        <v>1</v>
      </c>
      <c r="QA3" s="457">
        <v>2</v>
      </c>
      <c r="QB3" s="457">
        <v>3</v>
      </c>
      <c r="QC3" s="457">
        <v>4</v>
      </c>
      <c r="QD3" s="457">
        <v>5</v>
      </c>
      <c r="QE3" s="457">
        <v>6</v>
      </c>
      <c r="QF3" s="457">
        <v>7</v>
      </c>
      <c r="QG3" s="457">
        <v>8</v>
      </c>
      <c r="QH3" s="457">
        <v>9</v>
      </c>
      <c r="QI3" s="457">
        <v>10</v>
      </c>
      <c r="QJ3" s="457">
        <v>11</v>
      </c>
      <c r="QK3" s="457">
        <v>12</v>
      </c>
      <c r="QL3" s="457">
        <v>13</v>
      </c>
      <c r="QM3" s="457">
        <v>14</v>
      </c>
      <c r="QN3" s="457">
        <v>15</v>
      </c>
      <c r="QO3" s="457">
        <v>16</v>
      </c>
      <c r="QP3" s="457">
        <v>17</v>
      </c>
      <c r="QQ3" s="457">
        <v>18</v>
      </c>
      <c r="QR3" s="457">
        <v>19</v>
      </c>
      <c r="QS3" s="457">
        <v>20</v>
      </c>
      <c r="QT3" s="457">
        <v>21</v>
      </c>
      <c r="QU3" s="457">
        <v>22</v>
      </c>
      <c r="QV3" s="457">
        <v>23</v>
      </c>
      <c r="QW3" s="457">
        <v>24</v>
      </c>
      <c r="QX3" s="457">
        <v>25</v>
      </c>
      <c r="QY3" s="457">
        <v>26</v>
      </c>
      <c r="QZ3" s="457">
        <v>27</v>
      </c>
      <c r="RA3" s="457">
        <v>28</v>
      </c>
      <c r="RB3" s="457">
        <v>29</v>
      </c>
      <c r="RC3" s="457">
        <v>30</v>
      </c>
      <c r="RD3" s="457">
        <v>31</v>
      </c>
      <c r="RE3" s="457">
        <v>1</v>
      </c>
      <c r="RF3" s="457">
        <v>2</v>
      </c>
      <c r="RG3" s="457">
        <v>3</v>
      </c>
      <c r="RH3" s="457">
        <v>4</v>
      </c>
      <c r="RI3" s="457">
        <v>5</v>
      </c>
      <c r="RJ3" s="457">
        <v>6</v>
      </c>
      <c r="RK3" s="457">
        <v>7</v>
      </c>
      <c r="RL3" s="457">
        <v>8</v>
      </c>
      <c r="RM3" s="457">
        <v>9</v>
      </c>
      <c r="RN3" s="457">
        <v>10</v>
      </c>
      <c r="RO3" s="457">
        <v>11</v>
      </c>
      <c r="RP3" s="457">
        <v>12</v>
      </c>
      <c r="RQ3" s="457">
        <v>13</v>
      </c>
      <c r="RR3" s="457">
        <v>14</v>
      </c>
      <c r="RS3" s="457">
        <v>15</v>
      </c>
      <c r="RT3" s="457">
        <v>16</v>
      </c>
      <c r="RU3" s="457">
        <v>17</v>
      </c>
      <c r="RV3" s="457">
        <v>18</v>
      </c>
      <c r="RW3" s="457">
        <v>19</v>
      </c>
      <c r="RX3" s="457">
        <v>20</v>
      </c>
      <c r="RY3" s="457">
        <v>21</v>
      </c>
      <c r="RZ3" s="457">
        <v>22</v>
      </c>
      <c r="SA3" s="457">
        <v>23</v>
      </c>
      <c r="SB3" s="457">
        <v>24</v>
      </c>
      <c r="SC3" s="457">
        <v>25</v>
      </c>
      <c r="SD3" s="457">
        <v>26</v>
      </c>
      <c r="SE3" s="457">
        <v>27</v>
      </c>
      <c r="SF3" s="457">
        <v>28</v>
      </c>
      <c r="SG3" s="457">
        <v>1</v>
      </c>
      <c r="SH3" s="457">
        <v>2</v>
      </c>
      <c r="SI3" s="457">
        <v>3</v>
      </c>
      <c r="SJ3" s="457">
        <v>4</v>
      </c>
      <c r="SK3" s="457">
        <v>5</v>
      </c>
      <c r="SL3" s="457">
        <v>6</v>
      </c>
      <c r="SM3" s="457">
        <v>7</v>
      </c>
      <c r="SN3" s="457">
        <v>8</v>
      </c>
      <c r="SO3" s="457">
        <v>9</v>
      </c>
      <c r="SP3" s="457">
        <v>10</v>
      </c>
      <c r="SQ3" s="457">
        <v>11</v>
      </c>
      <c r="SR3" s="457">
        <v>12</v>
      </c>
      <c r="SS3" s="457">
        <v>13</v>
      </c>
      <c r="ST3" s="457">
        <v>14</v>
      </c>
      <c r="SU3" s="457">
        <v>15</v>
      </c>
      <c r="SV3" s="457">
        <v>16</v>
      </c>
      <c r="SW3" s="457">
        <v>17</v>
      </c>
      <c r="SX3" s="457">
        <v>18</v>
      </c>
      <c r="SY3" s="457">
        <v>19</v>
      </c>
      <c r="SZ3" s="457">
        <v>20</v>
      </c>
      <c r="TA3" s="457">
        <v>21</v>
      </c>
      <c r="TB3" s="457">
        <v>22</v>
      </c>
      <c r="TC3" s="457">
        <v>23</v>
      </c>
      <c r="TD3" s="457">
        <v>24</v>
      </c>
      <c r="TE3" s="457">
        <v>25</v>
      </c>
      <c r="TF3" s="457">
        <v>26</v>
      </c>
      <c r="TG3" s="457">
        <v>27</v>
      </c>
      <c r="TH3" s="457">
        <v>28</v>
      </c>
      <c r="TI3" s="457">
        <v>29</v>
      </c>
      <c r="TJ3" s="457">
        <v>30</v>
      </c>
      <c r="TK3" s="457">
        <v>31</v>
      </c>
      <c r="TL3" s="457">
        <v>1</v>
      </c>
      <c r="TM3" s="457">
        <v>2</v>
      </c>
      <c r="TN3" s="457">
        <v>3</v>
      </c>
      <c r="TO3" s="457">
        <v>4</v>
      </c>
      <c r="TP3" s="457">
        <v>5</v>
      </c>
      <c r="TQ3" s="457">
        <v>6</v>
      </c>
      <c r="TR3" s="457">
        <v>7</v>
      </c>
      <c r="TS3" s="457">
        <v>8</v>
      </c>
      <c r="TT3" s="457">
        <v>9</v>
      </c>
      <c r="TU3" s="457">
        <v>10</v>
      </c>
      <c r="TV3" s="457">
        <v>11</v>
      </c>
      <c r="TW3" s="457">
        <v>12</v>
      </c>
      <c r="TX3" s="457">
        <v>13</v>
      </c>
      <c r="TY3" s="457">
        <v>14</v>
      </c>
      <c r="TZ3" s="457">
        <v>15</v>
      </c>
      <c r="UA3" s="457">
        <v>16</v>
      </c>
      <c r="UB3" s="457">
        <v>17</v>
      </c>
      <c r="UC3" s="457">
        <v>18</v>
      </c>
      <c r="UD3" s="457">
        <v>19</v>
      </c>
      <c r="UE3" s="457">
        <v>20</v>
      </c>
      <c r="UF3" s="457">
        <v>21</v>
      </c>
      <c r="UG3" s="457">
        <v>22</v>
      </c>
      <c r="UH3" s="457">
        <v>23</v>
      </c>
      <c r="UI3" s="457">
        <v>24</v>
      </c>
      <c r="UJ3" s="457">
        <v>25</v>
      </c>
      <c r="UK3" s="457">
        <v>26</v>
      </c>
      <c r="UL3" s="457">
        <v>27</v>
      </c>
      <c r="UM3" s="457">
        <v>28</v>
      </c>
      <c r="UN3" s="457">
        <v>29</v>
      </c>
      <c r="UO3" s="457">
        <v>30</v>
      </c>
      <c r="UP3" s="457">
        <v>1</v>
      </c>
      <c r="UQ3" s="457">
        <v>2</v>
      </c>
      <c r="UR3" s="457">
        <v>3</v>
      </c>
      <c r="US3" s="457">
        <v>4</v>
      </c>
      <c r="UT3" s="457">
        <v>5</v>
      </c>
      <c r="UU3" s="457">
        <v>6</v>
      </c>
      <c r="UV3" s="457">
        <v>7</v>
      </c>
      <c r="UW3" s="457">
        <v>8</v>
      </c>
      <c r="UX3" s="457">
        <v>9</v>
      </c>
      <c r="UY3" s="457">
        <v>10</v>
      </c>
      <c r="UZ3" s="457">
        <v>11</v>
      </c>
      <c r="VA3" s="457">
        <v>12</v>
      </c>
      <c r="VB3" s="457">
        <v>13</v>
      </c>
      <c r="VC3" s="457">
        <v>14</v>
      </c>
      <c r="VD3" s="457">
        <v>15</v>
      </c>
      <c r="VE3" s="457">
        <v>16</v>
      </c>
      <c r="VF3" s="457">
        <v>17</v>
      </c>
      <c r="VG3" s="457">
        <v>18</v>
      </c>
      <c r="VH3" s="457">
        <v>19</v>
      </c>
      <c r="VI3" s="457">
        <v>20</v>
      </c>
      <c r="VJ3" s="457">
        <v>21</v>
      </c>
      <c r="VK3" s="457">
        <v>22</v>
      </c>
      <c r="VL3" s="457">
        <v>23</v>
      </c>
      <c r="VM3" s="457">
        <v>24</v>
      </c>
      <c r="VN3" s="457">
        <v>25</v>
      </c>
      <c r="VO3" s="457">
        <v>26</v>
      </c>
      <c r="VP3" s="457">
        <v>27</v>
      </c>
      <c r="VQ3" s="457">
        <v>28</v>
      </c>
      <c r="VR3" s="457">
        <v>29</v>
      </c>
      <c r="VS3" s="457">
        <v>30</v>
      </c>
      <c r="VT3" s="457">
        <v>31</v>
      </c>
      <c r="VU3" s="457">
        <v>1</v>
      </c>
      <c r="VV3" s="457">
        <v>2</v>
      </c>
      <c r="VW3" s="457">
        <v>3</v>
      </c>
      <c r="VX3" s="457">
        <v>4</v>
      </c>
      <c r="VY3" s="457">
        <v>5</v>
      </c>
      <c r="VZ3" s="457">
        <v>6</v>
      </c>
      <c r="WA3" s="457">
        <v>7</v>
      </c>
      <c r="WB3" s="457">
        <v>8</v>
      </c>
      <c r="WC3" s="457">
        <v>9</v>
      </c>
      <c r="WD3" s="457">
        <v>10</v>
      </c>
      <c r="WE3" s="457">
        <v>11</v>
      </c>
      <c r="WF3" s="457">
        <v>12</v>
      </c>
      <c r="WG3" s="457">
        <v>13</v>
      </c>
      <c r="WH3" s="457">
        <v>14</v>
      </c>
      <c r="WI3" s="457">
        <v>15</v>
      </c>
      <c r="WJ3" s="457">
        <v>16</v>
      </c>
      <c r="WK3" s="457">
        <v>17</v>
      </c>
      <c r="WL3" s="457">
        <v>18</v>
      </c>
      <c r="WM3" s="457">
        <v>19</v>
      </c>
      <c r="WN3" s="457">
        <v>20</v>
      </c>
      <c r="WO3" s="457">
        <v>21</v>
      </c>
      <c r="WP3" s="457">
        <v>22</v>
      </c>
      <c r="WQ3" s="457">
        <v>23</v>
      </c>
      <c r="WR3" s="457">
        <v>24</v>
      </c>
      <c r="WS3" s="457">
        <v>25</v>
      </c>
      <c r="WT3" s="457">
        <v>26</v>
      </c>
      <c r="WU3" s="457">
        <v>27</v>
      </c>
      <c r="WV3" s="457">
        <v>28</v>
      </c>
      <c r="WW3" s="457">
        <v>29</v>
      </c>
      <c r="WX3" s="457">
        <v>30</v>
      </c>
      <c r="WY3" s="91">
        <v>1</v>
      </c>
      <c r="WZ3" s="91">
        <v>2</v>
      </c>
      <c r="XA3" s="91">
        <v>3</v>
      </c>
      <c r="XB3" s="91">
        <v>4</v>
      </c>
      <c r="XC3" s="91">
        <v>5</v>
      </c>
      <c r="XD3" s="91">
        <v>6</v>
      </c>
      <c r="XE3" s="91">
        <v>7</v>
      </c>
      <c r="XF3" s="91">
        <v>8</v>
      </c>
      <c r="XG3" s="91">
        <v>9</v>
      </c>
      <c r="XH3" s="91">
        <v>10</v>
      </c>
      <c r="XI3" s="91">
        <v>11</v>
      </c>
      <c r="XJ3" s="91">
        <v>12</v>
      </c>
      <c r="XK3" s="91">
        <v>13</v>
      </c>
      <c r="XL3" s="91">
        <v>14</v>
      </c>
      <c r="XM3" s="91">
        <v>15</v>
      </c>
      <c r="XN3" s="91">
        <v>16</v>
      </c>
      <c r="XO3" s="91">
        <v>17</v>
      </c>
      <c r="XP3" s="91">
        <v>18</v>
      </c>
      <c r="XQ3" s="91">
        <v>19</v>
      </c>
      <c r="XR3" s="91">
        <v>20</v>
      </c>
      <c r="XS3" s="91">
        <v>21</v>
      </c>
      <c r="XT3" s="91">
        <v>22</v>
      </c>
      <c r="XU3" s="91">
        <v>23</v>
      </c>
      <c r="XV3" s="91">
        <v>24</v>
      </c>
      <c r="XW3" s="91">
        <v>25</v>
      </c>
      <c r="XX3" s="91">
        <v>26</v>
      </c>
      <c r="XY3" s="91">
        <v>27</v>
      </c>
      <c r="XZ3" s="91">
        <v>28</v>
      </c>
      <c r="YA3" s="91">
        <v>29</v>
      </c>
      <c r="YB3" s="91">
        <v>30</v>
      </c>
      <c r="YC3" s="91">
        <v>31</v>
      </c>
      <c r="YD3" s="457">
        <v>1</v>
      </c>
      <c r="YE3" s="457">
        <v>2</v>
      </c>
      <c r="YF3" s="457">
        <v>3</v>
      </c>
      <c r="YG3" s="457">
        <v>4</v>
      </c>
      <c r="YH3" s="457">
        <v>5</v>
      </c>
      <c r="YI3" s="457">
        <v>6</v>
      </c>
      <c r="YJ3" s="457">
        <v>7</v>
      </c>
      <c r="YK3" s="457">
        <v>8</v>
      </c>
      <c r="YL3" s="457">
        <v>9</v>
      </c>
      <c r="YM3" s="457">
        <v>10</v>
      </c>
      <c r="YN3" s="457">
        <v>11</v>
      </c>
      <c r="YO3" s="457">
        <v>12</v>
      </c>
      <c r="YP3" s="457">
        <v>13</v>
      </c>
      <c r="YQ3" s="457">
        <v>14</v>
      </c>
      <c r="YR3" s="457">
        <v>15</v>
      </c>
      <c r="YS3" s="457">
        <v>16</v>
      </c>
      <c r="YT3" s="457">
        <v>17</v>
      </c>
      <c r="YU3" s="457">
        <v>18</v>
      </c>
      <c r="YV3" s="457">
        <v>19</v>
      </c>
      <c r="YW3" s="457">
        <v>20</v>
      </c>
      <c r="YX3" s="457">
        <v>21</v>
      </c>
      <c r="YY3" s="457">
        <v>22</v>
      </c>
      <c r="YZ3" s="457">
        <v>23</v>
      </c>
      <c r="ZA3" s="457">
        <v>24</v>
      </c>
      <c r="ZB3" s="457">
        <v>25</v>
      </c>
      <c r="ZC3" s="457">
        <v>26</v>
      </c>
      <c r="ZD3" s="457">
        <v>27</v>
      </c>
      <c r="ZE3" s="457">
        <v>28</v>
      </c>
      <c r="ZF3" s="457">
        <v>29</v>
      </c>
      <c r="ZG3" s="1143">
        <v>30</v>
      </c>
      <c r="ZH3" s="1091">
        <v>31</v>
      </c>
      <c r="ZI3" s="1145">
        <v>1</v>
      </c>
      <c r="ZJ3" s="91">
        <v>2</v>
      </c>
      <c r="ZK3" s="91">
        <v>3</v>
      </c>
      <c r="ZL3" s="91">
        <v>4</v>
      </c>
      <c r="ZM3" s="91">
        <v>5</v>
      </c>
      <c r="ZN3" s="91">
        <v>6</v>
      </c>
      <c r="ZO3" s="91">
        <v>7</v>
      </c>
      <c r="ZP3" s="91">
        <v>8</v>
      </c>
      <c r="ZQ3" s="91">
        <v>9</v>
      </c>
      <c r="ZR3" s="91">
        <v>10</v>
      </c>
      <c r="ZS3" s="91">
        <v>11</v>
      </c>
      <c r="ZT3" s="91">
        <v>12</v>
      </c>
      <c r="ZU3" s="91">
        <v>13</v>
      </c>
      <c r="ZV3" s="91">
        <v>14</v>
      </c>
      <c r="ZW3" s="91">
        <v>15</v>
      </c>
      <c r="ZX3" s="91">
        <v>16</v>
      </c>
      <c r="ZY3" s="91">
        <v>17</v>
      </c>
      <c r="ZZ3" s="91">
        <v>18</v>
      </c>
      <c r="AAA3" s="91">
        <v>19</v>
      </c>
      <c r="AAB3" s="91">
        <v>20</v>
      </c>
      <c r="AAC3" s="91">
        <v>21</v>
      </c>
      <c r="AAD3" s="91">
        <v>22</v>
      </c>
      <c r="AAE3" s="91">
        <v>23</v>
      </c>
      <c r="AAF3" s="91">
        <v>24</v>
      </c>
      <c r="AAG3" s="91">
        <v>25</v>
      </c>
      <c r="AAH3" s="91">
        <v>26</v>
      </c>
      <c r="AAI3" s="91">
        <v>27</v>
      </c>
      <c r="AAJ3" s="91">
        <v>28</v>
      </c>
      <c r="AAK3" s="91">
        <v>29</v>
      </c>
      <c r="AAL3" s="91">
        <v>30</v>
      </c>
      <c r="AAM3" s="457">
        <v>1</v>
      </c>
      <c r="AAN3" s="457">
        <v>2</v>
      </c>
      <c r="AAO3" s="457">
        <v>3</v>
      </c>
      <c r="AAP3" s="457">
        <v>4</v>
      </c>
      <c r="AAQ3" s="457">
        <v>5</v>
      </c>
      <c r="AAR3" s="457">
        <v>6</v>
      </c>
      <c r="AAS3" s="457">
        <v>7</v>
      </c>
      <c r="AAT3" s="457">
        <v>8</v>
      </c>
      <c r="AAU3" s="457">
        <v>9</v>
      </c>
      <c r="AAV3" s="457">
        <v>10</v>
      </c>
      <c r="AAW3" s="457">
        <v>11</v>
      </c>
      <c r="AAX3" s="457">
        <v>12</v>
      </c>
      <c r="AAY3" s="457">
        <v>13</v>
      </c>
      <c r="AAZ3" s="457">
        <v>14</v>
      </c>
      <c r="ABA3" s="457">
        <v>15</v>
      </c>
      <c r="ABB3" s="457">
        <v>16</v>
      </c>
      <c r="ABC3" s="457">
        <v>17</v>
      </c>
      <c r="ABD3" s="457">
        <v>18</v>
      </c>
      <c r="ABE3" s="457">
        <v>19</v>
      </c>
      <c r="ABF3" s="457">
        <v>20</v>
      </c>
      <c r="ABG3" s="457">
        <v>21</v>
      </c>
      <c r="ABH3" s="457">
        <v>22</v>
      </c>
      <c r="ABI3" s="457">
        <v>23</v>
      </c>
      <c r="ABJ3" s="457">
        <v>24</v>
      </c>
      <c r="ABK3" s="457">
        <v>25</v>
      </c>
      <c r="ABL3" s="457">
        <v>26</v>
      </c>
      <c r="ABM3" s="457">
        <v>27</v>
      </c>
      <c r="ABN3" s="457">
        <v>28</v>
      </c>
      <c r="ABO3" s="457">
        <v>29</v>
      </c>
      <c r="ABP3" s="457">
        <v>30</v>
      </c>
      <c r="ABQ3" s="457">
        <v>31</v>
      </c>
      <c r="ABR3" s="457">
        <v>1</v>
      </c>
      <c r="ABS3" s="457">
        <v>2</v>
      </c>
      <c r="ABT3" s="457">
        <v>3</v>
      </c>
      <c r="ABU3" s="457">
        <v>4</v>
      </c>
      <c r="ABV3" s="457">
        <v>5</v>
      </c>
      <c r="ABW3" s="457">
        <v>6</v>
      </c>
      <c r="ABX3" s="457">
        <v>7</v>
      </c>
      <c r="ABY3" s="457">
        <v>8</v>
      </c>
      <c r="ABZ3" s="457">
        <v>9</v>
      </c>
      <c r="ACA3" s="457">
        <v>10</v>
      </c>
      <c r="ACB3" s="457">
        <v>11</v>
      </c>
      <c r="ACC3" s="457">
        <v>12</v>
      </c>
      <c r="ACD3" s="457">
        <v>13</v>
      </c>
      <c r="ACE3" s="457">
        <v>14</v>
      </c>
      <c r="ACF3" s="457">
        <v>15</v>
      </c>
      <c r="ACG3" s="457">
        <v>16</v>
      </c>
      <c r="ACH3" s="457">
        <v>17</v>
      </c>
      <c r="ACI3" s="457">
        <v>18</v>
      </c>
      <c r="ACJ3" s="457">
        <v>19</v>
      </c>
      <c r="ACK3" s="457">
        <v>20</v>
      </c>
      <c r="ACL3" s="457">
        <v>21</v>
      </c>
      <c r="ACM3" s="457">
        <v>22</v>
      </c>
      <c r="ACN3" s="457">
        <v>23</v>
      </c>
      <c r="ACO3" s="457">
        <v>24</v>
      </c>
      <c r="ACP3" s="457">
        <v>25</v>
      </c>
      <c r="ACQ3" s="457">
        <v>26</v>
      </c>
      <c r="ACR3" s="457">
        <v>27</v>
      </c>
      <c r="ACS3" s="457">
        <v>28</v>
      </c>
      <c r="ACT3" s="457">
        <v>29</v>
      </c>
      <c r="ACU3" s="457">
        <v>30</v>
      </c>
      <c r="ACV3" s="1090">
        <v>1</v>
      </c>
      <c r="ACW3" s="1090">
        <v>2</v>
      </c>
      <c r="ACX3" s="1090">
        <v>3</v>
      </c>
      <c r="ACY3" s="1090">
        <v>4</v>
      </c>
      <c r="ACZ3" s="1090">
        <v>5</v>
      </c>
      <c r="ADA3" s="1090">
        <v>6</v>
      </c>
      <c r="ADB3" s="1090">
        <v>7</v>
      </c>
      <c r="ADC3" s="1090">
        <v>8</v>
      </c>
      <c r="ADD3" s="1090">
        <v>9</v>
      </c>
      <c r="ADE3" s="1090">
        <v>10</v>
      </c>
      <c r="ADF3" s="1090">
        <v>11</v>
      </c>
      <c r="ADG3" s="1090">
        <v>12</v>
      </c>
      <c r="ADH3" s="1090">
        <v>13</v>
      </c>
      <c r="ADI3" s="1090">
        <v>14</v>
      </c>
      <c r="ADJ3" s="1090">
        <v>15</v>
      </c>
      <c r="ADK3" s="1090">
        <v>16</v>
      </c>
      <c r="ADL3" s="1090">
        <v>17</v>
      </c>
      <c r="ADM3" s="1090">
        <v>18</v>
      </c>
      <c r="ADN3" s="1090">
        <v>19</v>
      </c>
      <c r="ADO3" s="1090">
        <v>20</v>
      </c>
      <c r="ADP3" s="1090">
        <v>21</v>
      </c>
      <c r="ADQ3" s="1090">
        <v>22</v>
      </c>
      <c r="ADR3" s="1090">
        <v>23</v>
      </c>
      <c r="ADS3" s="1090">
        <v>24</v>
      </c>
      <c r="ADT3" s="1090">
        <v>25</v>
      </c>
      <c r="ADU3" s="1090">
        <v>26</v>
      </c>
      <c r="ADV3" s="1090">
        <v>27</v>
      </c>
      <c r="ADW3" s="1090">
        <v>28</v>
      </c>
      <c r="ADX3" s="1090">
        <v>29</v>
      </c>
      <c r="ADY3" s="1090">
        <v>30</v>
      </c>
      <c r="ADZ3" s="1090">
        <v>31</v>
      </c>
      <c r="AEA3" s="1090">
        <v>1</v>
      </c>
      <c r="AEB3" s="1090">
        <v>2</v>
      </c>
      <c r="AEC3" s="1090">
        <v>3</v>
      </c>
      <c r="AED3" s="1090">
        <v>4</v>
      </c>
      <c r="AEE3" s="1090">
        <v>5</v>
      </c>
      <c r="AEF3" s="1090">
        <v>6</v>
      </c>
      <c r="AEG3" s="1090">
        <v>7</v>
      </c>
      <c r="AEH3" s="1090">
        <v>8</v>
      </c>
      <c r="AEI3" s="1090">
        <v>9</v>
      </c>
      <c r="AEJ3" s="1090">
        <v>10</v>
      </c>
      <c r="AEK3" s="1090">
        <v>11</v>
      </c>
      <c r="AEL3" s="1090">
        <v>12</v>
      </c>
      <c r="AEM3" s="1090">
        <v>13</v>
      </c>
      <c r="AEN3" s="1090">
        <v>14</v>
      </c>
      <c r="AEO3" s="1090">
        <v>15</v>
      </c>
      <c r="AEP3" s="1090">
        <v>16</v>
      </c>
      <c r="AEQ3" s="1090">
        <v>17</v>
      </c>
      <c r="AER3" s="1090">
        <v>18</v>
      </c>
      <c r="AES3" s="1090">
        <v>19</v>
      </c>
      <c r="AET3" s="1090">
        <v>20</v>
      </c>
      <c r="AEU3" s="1090">
        <v>21</v>
      </c>
      <c r="AEV3" s="1090">
        <v>22</v>
      </c>
      <c r="AEW3" s="1090">
        <v>23</v>
      </c>
      <c r="AEX3" s="1090">
        <v>24</v>
      </c>
      <c r="AEY3" s="1090">
        <v>25</v>
      </c>
      <c r="AEZ3" s="1090">
        <v>26</v>
      </c>
      <c r="AFA3" s="1090">
        <v>27</v>
      </c>
      <c r="AFB3" s="1090">
        <v>28</v>
      </c>
      <c r="AFC3" s="1090">
        <v>29</v>
      </c>
      <c r="AFD3" s="1090">
        <v>30</v>
      </c>
      <c r="AFE3" s="1092">
        <v>31</v>
      </c>
      <c r="AFF3" s="1091">
        <v>1</v>
      </c>
    </row>
    <row r="4" spans="2:838" s="92" customFormat="1" ht="1.2" customHeight="1">
      <c r="B4" s="87"/>
      <c r="C4" s="93"/>
      <c r="D4" s="87"/>
      <c r="E4" s="89"/>
      <c r="F4" s="89"/>
      <c r="G4" s="95"/>
      <c r="H4" s="87"/>
      <c r="I4" s="94"/>
      <c r="J4" s="87"/>
      <c r="K4" s="87"/>
      <c r="L4" s="87"/>
      <c r="M4" s="93"/>
      <c r="N4" s="94"/>
      <c r="O4" s="1198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7"/>
      <c r="BF4" s="97"/>
      <c r="BG4" s="1176"/>
      <c r="BH4" s="95"/>
      <c r="BI4" s="1187"/>
      <c r="BJ4" s="1187"/>
      <c r="BK4" s="87"/>
      <c r="BL4" s="87"/>
      <c r="BM4" s="94"/>
      <c r="BN4" s="94"/>
      <c r="BO4" s="98"/>
      <c r="BP4" s="87"/>
      <c r="BQ4" s="94"/>
      <c r="BR4" s="94"/>
      <c r="BS4" s="94"/>
      <c r="BT4" s="94"/>
      <c r="BU4" s="94"/>
      <c r="BV4" s="94"/>
      <c r="BW4" s="94"/>
      <c r="BX4" s="87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  <c r="DT4" s="86"/>
      <c r="DU4" s="86"/>
      <c r="DV4" s="86"/>
      <c r="DW4" s="86"/>
      <c r="DX4" s="86"/>
      <c r="DY4" s="86"/>
      <c r="DZ4" s="86"/>
      <c r="EA4" s="86"/>
      <c r="EB4" s="86"/>
      <c r="EC4" s="86"/>
      <c r="ED4" s="86"/>
      <c r="EE4" s="86"/>
      <c r="EF4" s="86"/>
      <c r="EG4" s="86"/>
      <c r="EH4" s="86"/>
      <c r="EI4" s="86"/>
      <c r="EJ4" s="86"/>
      <c r="EK4" s="86"/>
      <c r="EL4" s="86"/>
      <c r="EM4" s="86"/>
      <c r="EN4" s="86"/>
      <c r="EO4" s="86"/>
      <c r="EP4" s="86"/>
      <c r="EQ4" s="86"/>
      <c r="ER4" s="86"/>
      <c r="ES4" s="86"/>
      <c r="ET4" s="86"/>
      <c r="EU4" s="86"/>
      <c r="EV4" s="86"/>
      <c r="EW4" s="86"/>
      <c r="EX4" s="86"/>
      <c r="EY4" s="86"/>
      <c r="EZ4" s="86"/>
      <c r="FA4" s="86"/>
      <c r="FB4" s="86"/>
      <c r="FC4" s="86"/>
      <c r="FD4" s="86"/>
      <c r="FE4" s="86"/>
      <c r="FF4" s="86"/>
      <c r="FG4" s="86"/>
      <c r="FH4" s="86"/>
      <c r="FI4" s="86"/>
      <c r="FJ4" s="86"/>
      <c r="FK4" s="86"/>
      <c r="FL4" s="86"/>
      <c r="FM4" s="86"/>
      <c r="FN4" s="86"/>
      <c r="FO4" s="86"/>
      <c r="FP4" s="86"/>
      <c r="FQ4" s="86"/>
      <c r="FR4" s="86"/>
      <c r="FS4" s="86"/>
      <c r="FT4" s="86"/>
      <c r="FU4" s="86"/>
      <c r="FV4" s="86"/>
      <c r="FW4" s="86"/>
      <c r="FX4" s="86"/>
      <c r="FY4" s="86"/>
      <c r="FZ4" s="86"/>
      <c r="GA4" s="86"/>
      <c r="GB4" s="86"/>
      <c r="GC4" s="86"/>
      <c r="GD4" s="86"/>
      <c r="GE4" s="86"/>
      <c r="GF4" s="86"/>
      <c r="GG4" s="86"/>
      <c r="GH4" s="86"/>
      <c r="GI4" s="86"/>
      <c r="GJ4" s="86"/>
      <c r="GK4" s="86"/>
      <c r="GL4" s="86"/>
      <c r="GM4" s="86"/>
      <c r="GN4" s="86"/>
      <c r="GO4" s="86"/>
      <c r="GP4" s="86"/>
      <c r="GQ4" s="86"/>
      <c r="GR4" s="86"/>
      <c r="GS4" s="86"/>
      <c r="GT4" s="86"/>
      <c r="GU4" s="86"/>
      <c r="GV4" s="86"/>
      <c r="GW4" s="86"/>
      <c r="GX4" s="86"/>
      <c r="GY4" s="86"/>
      <c r="GZ4" s="86"/>
      <c r="HA4" s="86"/>
      <c r="HB4" s="86"/>
      <c r="HC4" s="86"/>
      <c r="HD4" s="86"/>
      <c r="HE4" s="86"/>
      <c r="HF4" s="86"/>
      <c r="HG4" s="86"/>
      <c r="HH4" s="86"/>
      <c r="HI4" s="86"/>
      <c r="HJ4" s="86"/>
      <c r="HK4" s="86"/>
      <c r="HL4" s="86"/>
      <c r="HM4" s="86"/>
      <c r="HN4" s="86"/>
      <c r="HO4" s="86"/>
      <c r="HP4" s="86"/>
      <c r="HQ4" s="86"/>
      <c r="HR4" s="86"/>
      <c r="HS4" s="86"/>
      <c r="HT4" s="86"/>
      <c r="HU4" s="86"/>
      <c r="HV4" s="86"/>
      <c r="HW4" s="86"/>
      <c r="HX4" s="86"/>
      <c r="HY4" s="86"/>
      <c r="HZ4" s="86"/>
      <c r="IA4" s="86"/>
      <c r="IB4" s="86"/>
      <c r="IC4" s="86"/>
      <c r="ID4" s="86"/>
      <c r="IE4" s="86"/>
      <c r="IF4" s="86"/>
      <c r="IG4" s="86"/>
      <c r="IH4" s="86"/>
      <c r="II4" s="86"/>
      <c r="IJ4" s="86"/>
      <c r="IK4" s="86"/>
      <c r="IL4" s="86"/>
      <c r="IM4" s="86"/>
      <c r="IN4" s="86"/>
      <c r="IO4" s="86"/>
      <c r="IP4" s="86"/>
      <c r="IQ4" s="86"/>
      <c r="IR4" s="86"/>
      <c r="IS4" s="86"/>
      <c r="IT4" s="86"/>
      <c r="IU4" s="86"/>
      <c r="IV4" s="86"/>
      <c r="IW4" s="86"/>
      <c r="IX4" s="86"/>
      <c r="IY4" s="86"/>
      <c r="IZ4" s="86"/>
      <c r="JA4" s="86"/>
      <c r="JB4" s="86"/>
      <c r="JC4" s="86"/>
      <c r="JD4" s="86"/>
      <c r="JE4" s="86"/>
      <c r="JF4" s="86"/>
      <c r="JG4" s="86"/>
      <c r="JH4" s="86"/>
      <c r="JI4" s="86"/>
      <c r="JJ4" s="86"/>
      <c r="JK4" s="86"/>
      <c r="JL4" s="86"/>
      <c r="JM4" s="86"/>
      <c r="JN4" s="86"/>
      <c r="JO4" s="86"/>
      <c r="JP4" s="86"/>
      <c r="JQ4" s="86"/>
      <c r="JR4" s="86"/>
      <c r="JS4" s="86"/>
      <c r="JT4" s="86"/>
      <c r="JU4" s="86"/>
      <c r="JV4" s="86"/>
      <c r="JW4" s="86"/>
      <c r="JX4" s="86"/>
      <c r="JY4" s="86"/>
      <c r="JZ4" s="86"/>
      <c r="KA4" s="86"/>
      <c r="KB4" s="86"/>
      <c r="KC4" s="86"/>
      <c r="KD4" s="86"/>
      <c r="KE4" s="86"/>
      <c r="KF4" s="86"/>
      <c r="KG4" s="86"/>
      <c r="KH4" s="86"/>
      <c r="KI4" s="86"/>
      <c r="KJ4" s="86"/>
      <c r="KK4" s="86"/>
      <c r="KL4" s="86"/>
      <c r="KM4" s="86"/>
      <c r="KN4" s="86"/>
      <c r="KO4" s="86"/>
      <c r="KP4" s="86"/>
      <c r="KQ4" s="86"/>
      <c r="KR4" s="86"/>
      <c r="KS4" s="86"/>
      <c r="KT4" s="86"/>
      <c r="KU4" s="86"/>
      <c r="KV4" s="86"/>
      <c r="KW4" s="86"/>
      <c r="KX4" s="86"/>
      <c r="KY4" s="86"/>
      <c r="KZ4" s="86"/>
      <c r="LA4" s="86"/>
      <c r="LB4" s="86"/>
      <c r="LC4" s="86"/>
      <c r="LD4" s="86"/>
      <c r="LE4" s="86"/>
      <c r="LF4" s="86"/>
      <c r="LG4" s="86"/>
      <c r="LH4" s="86"/>
      <c r="LI4" s="86"/>
      <c r="LJ4" s="86"/>
      <c r="LK4" s="86"/>
      <c r="LL4" s="86"/>
      <c r="LM4" s="86"/>
      <c r="LN4" s="86"/>
      <c r="LO4" s="86"/>
      <c r="LP4" s="86"/>
      <c r="LQ4" s="86"/>
      <c r="LR4" s="86"/>
      <c r="LS4" s="86"/>
      <c r="LT4" s="86"/>
      <c r="LU4" s="86"/>
      <c r="LV4" s="86"/>
      <c r="LW4" s="86"/>
      <c r="LX4" s="86"/>
      <c r="LY4" s="86"/>
      <c r="LZ4" s="86"/>
      <c r="MA4" s="86"/>
      <c r="MB4" s="86"/>
      <c r="MC4" s="86"/>
      <c r="MD4" s="86"/>
      <c r="ME4" s="86"/>
      <c r="MF4" s="86"/>
      <c r="MG4" s="86"/>
      <c r="MH4" s="86"/>
      <c r="MI4" s="86"/>
      <c r="MJ4" s="86"/>
      <c r="MK4" s="86"/>
      <c r="ML4" s="86"/>
      <c r="MM4" s="86"/>
      <c r="MN4" s="86"/>
      <c r="MO4" s="86"/>
      <c r="MP4" s="86"/>
      <c r="MQ4" s="86"/>
      <c r="MR4" s="86"/>
      <c r="MS4" s="86"/>
      <c r="MT4" s="86"/>
      <c r="MU4" s="86"/>
      <c r="MV4" s="86"/>
      <c r="MW4" s="86"/>
      <c r="MX4" s="86"/>
      <c r="MY4" s="86"/>
      <c r="MZ4" s="86"/>
      <c r="NA4" s="86"/>
      <c r="NB4" s="86"/>
      <c r="NC4" s="86"/>
      <c r="ND4" s="86"/>
      <c r="NE4" s="86"/>
      <c r="NF4" s="86"/>
      <c r="NG4" s="86"/>
      <c r="NH4" s="86"/>
      <c r="NI4" s="86"/>
      <c r="NJ4" s="86"/>
      <c r="NK4" s="86"/>
      <c r="NL4" s="86"/>
      <c r="NM4" s="86"/>
      <c r="NN4" s="86"/>
      <c r="NO4" s="86"/>
      <c r="NP4" s="86"/>
      <c r="NQ4" s="86"/>
      <c r="NR4" s="86"/>
      <c r="NS4" s="86"/>
      <c r="NT4" s="86"/>
      <c r="NU4" s="86"/>
      <c r="NV4" s="86"/>
      <c r="NW4" s="86"/>
      <c r="NX4" s="86"/>
      <c r="NY4" s="86"/>
      <c r="NZ4" s="86"/>
      <c r="OA4" s="86"/>
      <c r="OB4" s="86"/>
      <c r="OC4" s="86"/>
      <c r="OD4" s="86"/>
      <c r="OE4" s="86"/>
      <c r="OF4" s="86"/>
      <c r="OG4" s="86"/>
      <c r="OH4" s="86"/>
      <c r="OI4" s="86"/>
      <c r="OJ4" s="86"/>
      <c r="OK4" s="86"/>
      <c r="OL4" s="86"/>
      <c r="OM4" s="86"/>
      <c r="ON4" s="86"/>
      <c r="OO4" s="86"/>
      <c r="OP4" s="86"/>
      <c r="OQ4" s="86"/>
      <c r="OR4" s="86"/>
      <c r="OS4" s="86"/>
      <c r="OT4" s="86"/>
      <c r="OU4" s="86"/>
      <c r="OV4" s="86"/>
      <c r="OW4" s="86"/>
      <c r="OX4" s="86"/>
      <c r="OY4" s="86"/>
      <c r="OZ4" s="86"/>
      <c r="PA4" s="86"/>
      <c r="PB4" s="86"/>
      <c r="PC4" s="86"/>
      <c r="PD4" s="86"/>
      <c r="PE4" s="86"/>
      <c r="PF4" s="86"/>
      <c r="PG4" s="86"/>
      <c r="PH4" s="86"/>
      <c r="PI4" s="86"/>
      <c r="PJ4" s="86"/>
      <c r="PK4" s="86"/>
      <c r="PL4" s="86"/>
      <c r="PM4" s="86"/>
      <c r="PN4" s="86"/>
      <c r="PO4" s="86"/>
      <c r="PP4" s="86"/>
      <c r="PQ4" s="86"/>
      <c r="PR4" s="86"/>
      <c r="PS4" s="86"/>
      <c r="PT4" s="86"/>
      <c r="PU4" s="86"/>
      <c r="PV4" s="86"/>
      <c r="PW4" s="86"/>
      <c r="PX4" s="86"/>
      <c r="PY4" s="86"/>
      <c r="PZ4" s="86"/>
      <c r="QA4" s="86"/>
      <c r="QB4" s="86"/>
      <c r="QC4" s="86"/>
      <c r="QD4" s="86"/>
      <c r="QE4" s="86"/>
      <c r="QF4" s="86"/>
      <c r="QG4" s="86"/>
      <c r="QH4" s="86"/>
      <c r="QI4" s="86"/>
      <c r="QJ4" s="86"/>
      <c r="QK4" s="86"/>
      <c r="QL4" s="86"/>
      <c r="QM4" s="86"/>
      <c r="QN4" s="86"/>
      <c r="QO4" s="86"/>
      <c r="QP4" s="86"/>
      <c r="QQ4" s="86"/>
      <c r="QR4" s="86"/>
      <c r="QS4" s="86"/>
      <c r="QT4" s="86"/>
      <c r="QU4" s="86"/>
      <c r="QV4" s="86"/>
      <c r="QW4" s="86"/>
      <c r="QX4" s="86"/>
      <c r="QY4" s="86"/>
      <c r="QZ4" s="86"/>
      <c r="RA4" s="86"/>
      <c r="RB4" s="86"/>
      <c r="RC4" s="86"/>
      <c r="RD4" s="86"/>
      <c r="RE4" s="86"/>
      <c r="RF4" s="86"/>
      <c r="RG4" s="86"/>
      <c r="RH4" s="86"/>
      <c r="RI4" s="86"/>
      <c r="RJ4" s="86"/>
      <c r="RK4" s="86"/>
      <c r="RL4" s="86"/>
      <c r="RM4" s="86"/>
      <c r="RN4" s="86"/>
      <c r="RO4" s="86"/>
      <c r="RP4" s="86"/>
      <c r="RQ4" s="86"/>
      <c r="RR4" s="86"/>
      <c r="RS4" s="86"/>
      <c r="RT4" s="86"/>
      <c r="RU4" s="86"/>
      <c r="RV4" s="86"/>
      <c r="RW4" s="86"/>
      <c r="RX4" s="86"/>
      <c r="RY4" s="86"/>
      <c r="RZ4" s="86"/>
      <c r="SA4" s="86"/>
      <c r="SB4" s="86"/>
      <c r="SC4" s="86"/>
      <c r="SD4" s="86"/>
      <c r="SE4" s="86"/>
      <c r="SF4" s="86"/>
      <c r="SG4" s="86"/>
      <c r="SH4" s="86"/>
      <c r="SI4" s="86"/>
      <c r="SJ4" s="86"/>
      <c r="SK4" s="86"/>
      <c r="SL4" s="86"/>
      <c r="SM4" s="86"/>
      <c r="SN4" s="86"/>
      <c r="SO4" s="86"/>
      <c r="SP4" s="86"/>
      <c r="SQ4" s="86"/>
      <c r="SR4" s="86"/>
      <c r="SS4" s="86"/>
      <c r="ST4" s="86"/>
      <c r="SU4" s="86"/>
      <c r="SV4" s="86"/>
      <c r="SW4" s="86"/>
      <c r="SX4" s="86"/>
      <c r="SY4" s="86"/>
      <c r="SZ4" s="86"/>
      <c r="TA4" s="86"/>
      <c r="TB4" s="86"/>
      <c r="TC4" s="86"/>
      <c r="TD4" s="86"/>
      <c r="TE4" s="86"/>
      <c r="TF4" s="86"/>
      <c r="TG4" s="86"/>
      <c r="TH4" s="86"/>
      <c r="TI4" s="86"/>
      <c r="TJ4" s="86"/>
      <c r="TK4" s="86"/>
      <c r="TL4" s="86"/>
      <c r="TM4" s="86"/>
      <c r="TN4" s="86"/>
      <c r="TO4" s="86"/>
      <c r="TP4" s="86"/>
      <c r="TQ4" s="86"/>
      <c r="TR4" s="86"/>
      <c r="TS4" s="86"/>
      <c r="TT4" s="86"/>
      <c r="TU4" s="86"/>
      <c r="TV4" s="86"/>
      <c r="TW4" s="86"/>
      <c r="TX4" s="86"/>
      <c r="TY4" s="86"/>
      <c r="TZ4" s="86"/>
      <c r="UA4" s="86"/>
      <c r="UB4" s="86"/>
      <c r="UC4" s="86"/>
      <c r="UD4" s="86"/>
      <c r="UE4" s="86"/>
      <c r="UF4" s="86"/>
      <c r="UG4" s="86"/>
      <c r="UH4" s="86"/>
      <c r="UI4" s="86"/>
      <c r="UJ4" s="86"/>
      <c r="UK4" s="86"/>
      <c r="UL4" s="86"/>
      <c r="UM4" s="86"/>
      <c r="UN4" s="86"/>
      <c r="UO4" s="86"/>
      <c r="UP4" s="86"/>
      <c r="UQ4" s="86"/>
      <c r="UR4" s="86"/>
      <c r="US4" s="86"/>
      <c r="UT4" s="86"/>
      <c r="UU4" s="86"/>
      <c r="UV4" s="86"/>
      <c r="UW4" s="86"/>
      <c r="UX4" s="86"/>
      <c r="UY4" s="86"/>
      <c r="UZ4" s="86"/>
      <c r="VA4" s="86"/>
      <c r="VB4" s="86"/>
      <c r="VC4" s="86"/>
      <c r="VD4" s="86"/>
      <c r="VE4" s="86"/>
      <c r="VF4" s="86"/>
      <c r="VG4" s="86"/>
      <c r="VH4" s="86"/>
      <c r="VI4" s="86"/>
      <c r="VJ4" s="86"/>
      <c r="VK4" s="86"/>
      <c r="VL4" s="86"/>
      <c r="VM4" s="86"/>
      <c r="VN4" s="86"/>
      <c r="VO4" s="86"/>
      <c r="VP4" s="86"/>
      <c r="VQ4" s="86"/>
      <c r="VR4" s="86"/>
      <c r="VS4" s="86"/>
    </row>
    <row r="5" spans="2:838" ht="14.4" outlineLevel="1">
      <c r="B5" s="99" t="s">
        <v>185</v>
      </c>
      <c r="M5" s="74"/>
      <c r="N5" s="74"/>
    </row>
    <row r="6" spans="2:838" s="65" customFormat="1" ht="14.4" outlineLevel="1">
      <c r="B6" s="200">
        <v>1</v>
      </c>
      <c r="C6" s="194">
        <v>44896</v>
      </c>
      <c r="D6" s="195" t="s">
        <v>74</v>
      </c>
      <c r="E6" s="72">
        <v>44915</v>
      </c>
      <c r="F6" s="72">
        <v>44924</v>
      </c>
      <c r="G6" s="69" t="s">
        <v>2914</v>
      </c>
      <c r="H6" s="65" t="s">
        <v>512</v>
      </c>
      <c r="I6" s="65" t="s">
        <v>522</v>
      </c>
      <c r="J6" s="73" t="s">
        <v>2915</v>
      </c>
      <c r="K6" s="73">
        <v>44926.854166666664</v>
      </c>
      <c r="L6" s="73">
        <v>44926.729166666664</v>
      </c>
      <c r="M6" s="196">
        <v>44927.013888888891</v>
      </c>
      <c r="N6" s="196">
        <v>44928.208333333336</v>
      </c>
      <c r="O6" s="1188" t="s">
        <v>2916</v>
      </c>
      <c r="P6" s="214"/>
      <c r="Q6" s="214"/>
      <c r="R6" s="214"/>
      <c r="S6" s="214"/>
      <c r="T6" s="214"/>
      <c r="U6" s="214"/>
      <c r="V6" s="214"/>
      <c r="W6" s="214"/>
      <c r="X6" s="214"/>
      <c r="Y6" s="62">
        <v>24009</v>
      </c>
      <c r="Z6" s="62"/>
      <c r="AA6" s="62"/>
      <c r="AB6" s="62"/>
      <c r="AC6" s="62"/>
      <c r="AD6" s="62"/>
      <c r="AE6" s="62"/>
      <c r="AF6" s="62">
        <v>7500</v>
      </c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6">
        <v>31700</v>
      </c>
      <c r="BF6" s="66">
        <v>31700</v>
      </c>
      <c r="BG6" s="1178">
        <f>SUM(P6:AV6)</f>
        <v>31509</v>
      </c>
      <c r="BH6" s="254"/>
      <c r="BI6" s="1188" t="s">
        <v>2917</v>
      </c>
      <c r="BJ6" s="1188" t="s">
        <v>32</v>
      </c>
      <c r="BK6" s="75" t="s">
        <v>2918</v>
      </c>
      <c r="BL6" s="197">
        <v>44921.518750000003</v>
      </c>
      <c r="BM6" s="197">
        <v>44921.518750000003</v>
      </c>
      <c r="BN6" s="197"/>
      <c r="BO6" s="198">
        <v>34655</v>
      </c>
      <c r="BP6" s="65" t="str">
        <f t="shared" ref="BP6:BP16" si="0">IF(BO6=0,"0",IF(BO6&lt;=50000,"HANDYMAX",IF(BO6&lt;=58000,"SUPER HANDYMAX",IF(BO6&lt;=80000,"PANAMAX",IF(BO6&gt;=80001,"POST PANAMAX")))))</f>
        <v>HANDYMAX</v>
      </c>
      <c r="BQ6" s="197"/>
      <c r="BR6" s="197"/>
      <c r="BS6" s="197"/>
      <c r="BT6" s="197"/>
      <c r="BU6" s="197"/>
      <c r="BV6" s="197"/>
      <c r="BW6" s="197"/>
      <c r="BX6" s="65" t="s">
        <v>2919</v>
      </c>
      <c r="PN6" s="26"/>
      <c r="PO6" s="26"/>
      <c r="PP6" s="26"/>
      <c r="PQ6" s="26"/>
      <c r="PR6" s="26"/>
      <c r="PS6" s="26"/>
      <c r="PT6" s="26"/>
      <c r="PU6" s="26"/>
      <c r="PV6" s="26">
        <v>1</v>
      </c>
      <c r="PW6" s="26"/>
      <c r="PX6" s="65">
        <v>2</v>
      </c>
      <c r="PY6" s="65">
        <v>3</v>
      </c>
    </row>
    <row r="7" spans="2:838" s="65" customFormat="1" ht="14.4" outlineLevel="1">
      <c r="B7" s="200">
        <v>2</v>
      </c>
      <c r="C7" s="194">
        <v>44896</v>
      </c>
      <c r="D7" s="195" t="s">
        <v>73</v>
      </c>
      <c r="E7" s="72">
        <v>44920</v>
      </c>
      <c r="F7" s="72">
        <v>44929</v>
      </c>
      <c r="G7" s="69" t="s">
        <v>2914</v>
      </c>
      <c r="H7" s="65" t="s">
        <v>563</v>
      </c>
      <c r="I7" s="65" t="s">
        <v>565</v>
      </c>
      <c r="J7" s="73" t="s">
        <v>2915</v>
      </c>
      <c r="K7" s="73">
        <v>44922.458333333336</v>
      </c>
      <c r="L7" s="73">
        <v>44922.291666666664</v>
      </c>
      <c r="M7" s="196">
        <v>44925.458333333336</v>
      </c>
      <c r="N7" s="196">
        <v>44934.333333333336</v>
      </c>
      <c r="O7" s="1188" t="s">
        <v>2916</v>
      </c>
      <c r="P7" s="214"/>
      <c r="Q7" s="214"/>
      <c r="R7" s="214"/>
      <c r="S7" s="214"/>
      <c r="T7" s="214"/>
      <c r="U7" s="62">
        <v>14099.16325</v>
      </c>
      <c r="V7" s="62"/>
      <c r="W7" s="62">
        <v>25023.447749999999</v>
      </c>
      <c r="X7" s="62"/>
      <c r="Y7" s="62"/>
      <c r="Z7" s="62"/>
      <c r="AA7" s="62"/>
      <c r="AB7" s="62"/>
      <c r="AC7" s="62"/>
      <c r="AD7" s="62"/>
      <c r="AE7" s="62"/>
      <c r="AF7" s="62">
        <v>7500</v>
      </c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>
        <v>7526.3890000000001</v>
      </c>
      <c r="AW7" s="62"/>
      <c r="AX7" s="62"/>
      <c r="AY7" s="62"/>
      <c r="AZ7" s="62"/>
      <c r="BA7" s="62"/>
      <c r="BB7" s="62"/>
      <c r="BC7" s="62"/>
      <c r="BD7" s="62"/>
      <c r="BE7" s="66">
        <v>58000</v>
      </c>
      <c r="BF7" s="66">
        <v>58000</v>
      </c>
      <c r="BG7" s="1178">
        <f>SUM(P7:AV7)</f>
        <v>54149</v>
      </c>
      <c r="BH7" s="254">
        <v>12000</v>
      </c>
      <c r="BI7" s="1188" t="s">
        <v>16</v>
      </c>
      <c r="BJ7" s="1188" t="s">
        <v>45</v>
      </c>
      <c r="BK7" s="75" t="s">
        <v>2920</v>
      </c>
      <c r="BL7" s="199">
        <v>44918.440972222219</v>
      </c>
      <c r="BM7" s="199">
        <v>44918.440972222219</v>
      </c>
      <c r="BN7" s="197"/>
      <c r="BO7" s="198">
        <v>58081</v>
      </c>
      <c r="BP7" s="65" t="str">
        <f t="shared" si="0"/>
        <v>PANAMAX</v>
      </c>
      <c r="BQ7" s="197"/>
      <c r="BR7" s="197"/>
      <c r="BS7" s="197"/>
      <c r="BT7" s="197"/>
      <c r="BU7" s="197"/>
      <c r="BV7" s="197"/>
      <c r="BW7" s="197"/>
      <c r="BX7" s="65" t="s">
        <v>2921</v>
      </c>
      <c r="PQ7" s="65">
        <v>1</v>
      </c>
      <c r="PS7" s="26"/>
      <c r="PT7" s="26"/>
      <c r="PU7" s="26">
        <v>2</v>
      </c>
      <c r="PV7" s="26"/>
      <c r="PW7" s="26"/>
      <c r="PX7" s="26"/>
      <c r="PY7" s="26"/>
    </row>
    <row r="8" spans="2:838" s="65" customFormat="1" ht="14.4" outlineLevel="1">
      <c r="B8" s="200">
        <v>3</v>
      </c>
      <c r="C8" s="194">
        <v>44896</v>
      </c>
      <c r="D8" s="195" t="s">
        <v>74</v>
      </c>
      <c r="E8" s="72">
        <v>44907</v>
      </c>
      <c r="F8" s="72">
        <v>44916</v>
      </c>
      <c r="G8" s="69" t="s">
        <v>107</v>
      </c>
      <c r="H8" s="65" t="s">
        <v>577</v>
      </c>
      <c r="I8" s="65" t="s">
        <v>579</v>
      </c>
      <c r="J8" s="73" t="s">
        <v>2922</v>
      </c>
      <c r="K8" s="73">
        <v>44930</v>
      </c>
      <c r="L8" s="73">
        <v>44929.944444444445</v>
      </c>
      <c r="M8" s="196">
        <v>44932.93472222222</v>
      </c>
      <c r="N8" s="196">
        <v>44934.681944444441</v>
      </c>
      <c r="O8" s="1188" t="s">
        <v>2916</v>
      </c>
      <c r="P8" s="214"/>
      <c r="Q8" s="214"/>
      <c r="R8" s="214"/>
      <c r="S8" s="214"/>
      <c r="T8" s="214"/>
      <c r="U8" s="214"/>
      <c r="V8" s="214"/>
      <c r="W8" s="214"/>
      <c r="X8" s="62">
        <v>49964.131600000008</v>
      </c>
      <c r="Y8" s="62">
        <v>1748.8104000000005</v>
      </c>
      <c r="Z8" s="62"/>
      <c r="AA8" s="62"/>
      <c r="AB8" s="62"/>
      <c r="AC8" s="62"/>
      <c r="AD8" s="62"/>
      <c r="AE8" s="62"/>
      <c r="AF8" s="62">
        <v>7500</v>
      </c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>
        <v>12587.058000000001</v>
      </c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6">
        <v>71800</v>
      </c>
      <c r="BF8" s="66">
        <v>71800</v>
      </c>
      <c r="BG8" s="1178">
        <f>SUM(P8:AV8)</f>
        <v>71800.000000000015</v>
      </c>
      <c r="BH8" s="254">
        <v>16000</v>
      </c>
      <c r="BI8" s="1188" t="s">
        <v>20</v>
      </c>
      <c r="BJ8" s="1188" t="s">
        <v>2923</v>
      </c>
      <c r="BK8" s="75" t="s">
        <v>2924</v>
      </c>
      <c r="BL8" s="197">
        <v>44926.737500000003</v>
      </c>
      <c r="BM8" s="197">
        <v>44928.397916666669</v>
      </c>
      <c r="BN8" s="197"/>
      <c r="BO8" s="198">
        <v>73763</v>
      </c>
      <c r="BP8" s="65" t="str">
        <f t="shared" si="0"/>
        <v>PANAMAX</v>
      </c>
      <c r="BQ8" s="197"/>
      <c r="BR8" s="197"/>
      <c r="BS8" s="197"/>
      <c r="BT8" s="197"/>
      <c r="BU8" s="197"/>
      <c r="BV8" s="197"/>
      <c r="BW8" s="197"/>
      <c r="BX8" s="65" t="s">
        <v>2925</v>
      </c>
      <c r="PD8" s="65">
        <v>2</v>
      </c>
      <c r="PF8" s="26">
        <v>1</v>
      </c>
      <c r="PG8" s="26"/>
      <c r="PH8" s="26"/>
      <c r="PI8" s="26"/>
      <c r="PJ8" s="26"/>
      <c r="PK8" s="26"/>
      <c r="PL8" s="26"/>
      <c r="PM8" s="26"/>
      <c r="PN8" s="26"/>
      <c r="PO8" s="26"/>
      <c r="PY8" s="65">
        <v>2</v>
      </c>
      <c r="PZ8" s="65">
        <v>2</v>
      </c>
      <c r="QB8" s="65">
        <v>4</v>
      </c>
      <c r="QC8" s="65">
        <v>3</v>
      </c>
    </row>
    <row r="9" spans="2:838" s="65" customFormat="1" ht="14.4" outlineLevel="1">
      <c r="B9" s="200">
        <v>4</v>
      </c>
      <c r="C9" s="194">
        <v>44896</v>
      </c>
      <c r="D9" s="195" t="s">
        <v>74</v>
      </c>
      <c r="E9" s="72">
        <v>44917</v>
      </c>
      <c r="F9" s="72">
        <v>44926</v>
      </c>
      <c r="G9" s="69" t="s">
        <v>107</v>
      </c>
      <c r="H9" s="65" t="s">
        <v>599</v>
      </c>
      <c r="I9" s="65" t="s">
        <v>601</v>
      </c>
      <c r="J9" s="73" t="s">
        <v>2926</v>
      </c>
      <c r="K9" s="73">
        <v>44926.791666666664</v>
      </c>
      <c r="L9" s="73">
        <v>44926.758333333331</v>
      </c>
      <c r="M9" s="196">
        <v>44934.791666666664</v>
      </c>
      <c r="N9" s="196">
        <v>44936.484027777777</v>
      </c>
      <c r="O9" s="1188" t="s">
        <v>2916</v>
      </c>
      <c r="P9" s="62">
        <v>4317.1549999999988</v>
      </c>
      <c r="Q9" s="62"/>
      <c r="R9" s="62"/>
      <c r="S9" s="62"/>
      <c r="T9" s="62"/>
      <c r="U9" s="62"/>
      <c r="V9" s="62"/>
      <c r="W9" s="62"/>
      <c r="X9" s="62">
        <v>24055.517</v>
      </c>
      <c r="Y9" s="62">
        <v>15127.328</v>
      </c>
      <c r="Z9" s="62"/>
      <c r="AA9" s="62"/>
      <c r="AB9" s="62"/>
      <c r="AC9" s="62"/>
      <c r="AD9" s="62"/>
      <c r="AE9" s="62"/>
      <c r="AF9" s="62">
        <v>15000</v>
      </c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6">
        <v>58500</v>
      </c>
      <c r="BF9" s="66">
        <v>58500</v>
      </c>
      <c r="BG9" s="1178">
        <f>SUM(P9:AV9)</f>
        <v>58500</v>
      </c>
      <c r="BH9" s="254">
        <v>11655</v>
      </c>
      <c r="BI9" s="1188" t="s">
        <v>20</v>
      </c>
      <c r="BJ9" s="1188" t="s">
        <v>2923</v>
      </c>
      <c r="BK9" s="75" t="s">
        <v>2927</v>
      </c>
      <c r="BL9" s="197">
        <v>44917.928472222222</v>
      </c>
      <c r="BM9" s="197">
        <v>44920.65347222222</v>
      </c>
      <c r="BN9" s="197"/>
      <c r="BO9" s="198">
        <v>79392.899999999994</v>
      </c>
      <c r="BP9" s="65" t="str">
        <f t="shared" si="0"/>
        <v>PANAMAX</v>
      </c>
      <c r="BQ9" s="197"/>
      <c r="BR9" s="197"/>
      <c r="BS9" s="197"/>
      <c r="BT9" s="197"/>
      <c r="BU9" s="197"/>
      <c r="BV9" s="197"/>
      <c r="BW9" s="197"/>
      <c r="BX9" s="65" t="s">
        <v>2928</v>
      </c>
      <c r="PP9" s="26"/>
      <c r="PQ9" s="26"/>
      <c r="PR9" s="26"/>
      <c r="PS9" s="26"/>
      <c r="PT9" s="26">
        <v>1</v>
      </c>
      <c r="PU9" s="26"/>
      <c r="PV9" s="26">
        <v>2</v>
      </c>
      <c r="PW9" s="26">
        <v>2</v>
      </c>
      <c r="PX9" s="26">
        <v>3</v>
      </c>
      <c r="PY9" s="26" t="s">
        <v>2929</v>
      </c>
    </row>
    <row r="10" spans="2:838" s="65" customFormat="1" ht="14.4" outlineLevel="1">
      <c r="B10" s="200">
        <v>5</v>
      </c>
      <c r="C10" s="194">
        <v>44927</v>
      </c>
      <c r="D10" s="195" t="s">
        <v>73</v>
      </c>
      <c r="E10" s="72">
        <v>44931</v>
      </c>
      <c r="F10" s="72">
        <v>44940</v>
      </c>
      <c r="G10" s="69" t="s">
        <v>2914</v>
      </c>
      <c r="H10" s="65" t="s">
        <v>230</v>
      </c>
      <c r="I10" s="65" t="s">
        <v>615</v>
      </c>
      <c r="J10" s="73" t="s">
        <v>2915</v>
      </c>
      <c r="K10" s="73">
        <v>44934.75</v>
      </c>
      <c r="L10" s="73">
        <v>44934.758333333331</v>
      </c>
      <c r="M10" s="196">
        <v>44935.402777777781</v>
      </c>
      <c r="N10" s="196">
        <v>44937.333333333336</v>
      </c>
      <c r="O10" s="1188" t="s">
        <v>2916</v>
      </c>
      <c r="P10" s="214"/>
      <c r="Q10" s="214"/>
      <c r="R10" s="214"/>
      <c r="S10" s="214"/>
      <c r="T10" s="214"/>
      <c r="U10" s="62">
        <v>40290.634999999995</v>
      </c>
      <c r="V10" s="62"/>
      <c r="W10" s="62"/>
      <c r="X10" s="62">
        <v>15309.365</v>
      </c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6">
        <v>55600</v>
      </c>
      <c r="BF10" s="66">
        <v>55600</v>
      </c>
      <c r="BG10" s="1178">
        <f t="shared" ref="BG10:BG16" si="1">SUM(P10:AW10)</f>
        <v>55599.999999999993</v>
      </c>
      <c r="BH10" s="254"/>
      <c r="BI10" s="1188" t="s">
        <v>4</v>
      </c>
      <c r="BJ10" s="1188" t="s">
        <v>5</v>
      </c>
      <c r="BK10" s="75" t="s">
        <v>2924</v>
      </c>
      <c r="BL10" s="197">
        <v>44929.617361111108</v>
      </c>
      <c r="BM10" s="197">
        <v>44932.400694444441</v>
      </c>
      <c r="BN10" s="197"/>
      <c r="BO10" s="198">
        <v>56028</v>
      </c>
      <c r="BP10" s="65" t="str">
        <f t="shared" si="0"/>
        <v>SUPER HANDYMAX</v>
      </c>
      <c r="BQ10" s="197"/>
      <c r="BR10" s="197"/>
      <c r="BS10" s="197"/>
      <c r="BT10" s="197"/>
      <c r="BU10" s="197"/>
      <c r="BV10" s="197"/>
      <c r="BW10" s="197"/>
      <c r="QD10" s="26">
        <v>1</v>
      </c>
      <c r="QE10" s="26"/>
      <c r="QF10" s="26"/>
      <c r="QG10" s="26"/>
      <c r="QH10" s="26"/>
      <c r="QI10" s="26"/>
      <c r="QJ10" s="26"/>
      <c r="QK10" s="26"/>
      <c r="QL10" s="26"/>
      <c r="QM10" s="26"/>
    </row>
    <row r="11" spans="2:838" s="65" customFormat="1" ht="14.4" outlineLevel="1">
      <c r="B11" s="200">
        <v>6</v>
      </c>
      <c r="C11" s="194">
        <v>44927</v>
      </c>
      <c r="D11" s="195" t="s">
        <v>74</v>
      </c>
      <c r="E11" s="72">
        <v>44928</v>
      </c>
      <c r="F11" s="72">
        <v>44937</v>
      </c>
      <c r="G11" s="69" t="s">
        <v>107</v>
      </c>
      <c r="H11" s="65" t="s">
        <v>628</v>
      </c>
      <c r="I11" s="65" t="s">
        <v>630</v>
      </c>
      <c r="J11" s="73" t="s">
        <v>2922</v>
      </c>
      <c r="K11" s="73">
        <v>44929.25</v>
      </c>
      <c r="L11" s="73">
        <v>44929.195833333331</v>
      </c>
      <c r="M11" s="196">
        <v>44937.902083333334</v>
      </c>
      <c r="N11" s="196">
        <v>44939.46597222222</v>
      </c>
      <c r="O11" s="1188" t="s">
        <v>2916</v>
      </c>
      <c r="P11" s="62">
        <v>1364.3609339042191</v>
      </c>
      <c r="Q11" s="62"/>
      <c r="R11" s="62"/>
      <c r="S11" s="62"/>
      <c r="T11" s="62">
        <v>1359.3809341272145</v>
      </c>
      <c r="U11" s="62">
        <v>2689.3698999999997</v>
      </c>
      <c r="V11" s="62">
        <v>4994.5441000000001</v>
      </c>
      <c r="W11" s="62"/>
      <c r="X11" s="62"/>
      <c r="Y11" s="62">
        <v>41134.991999999998</v>
      </c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>
        <v>7057.3519999999999</v>
      </c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6">
        <v>58600</v>
      </c>
      <c r="BF11" s="66">
        <v>58600</v>
      </c>
      <c r="BG11" s="1178">
        <f t="shared" si="1"/>
        <v>58599.999868031431</v>
      </c>
      <c r="BH11" s="254">
        <v>13500</v>
      </c>
      <c r="BI11" s="1188" t="s">
        <v>20</v>
      </c>
      <c r="BJ11" s="1188" t="s">
        <v>2923</v>
      </c>
      <c r="BK11" s="75" t="s">
        <v>2924</v>
      </c>
      <c r="BL11" s="197">
        <v>44924.79583333333</v>
      </c>
      <c r="BM11" s="197">
        <v>44925.512499999997</v>
      </c>
      <c r="BN11" s="197"/>
      <c r="BO11" s="198">
        <v>75725.19</v>
      </c>
      <c r="BP11" s="65" t="str">
        <f t="shared" si="0"/>
        <v>PANAMAX</v>
      </c>
      <c r="BQ11" s="197"/>
      <c r="BR11" s="197"/>
      <c r="BS11" s="197"/>
      <c r="BT11" s="197"/>
      <c r="BU11" s="197"/>
      <c r="BV11" s="197"/>
      <c r="BW11" s="197"/>
      <c r="BX11" s="65" t="s">
        <v>2930</v>
      </c>
      <c r="QA11" s="26">
        <v>1</v>
      </c>
      <c r="QB11" s="26">
        <v>2</v>
      </c>
      <c r="QC11" s="26"/>
      <c r="QD11" s="26"/>
      <c r="QE11" s="26"/>
      <c r="QF11" s="26"/>
      <c r="QG11" s="26"/>
      <c r="QH11" s="26"/>
      <c r="QI11" s="26"/>
      <c r="QJ11" s="26"/>
    </row>
    <row r="12" spans="2:838" s="65" customFormat="1" ht="14.4" outlineLevel="1">
      <c r="B12" s="200">
        <v>7</v>
      </c>
      <c r="C12" s="194">
        <v>44927</v>
      </c>
      <c r="D12" s="195" t="s">
        <v>74</v>
      </c>
      <c r="E12" s="72">
        <v>44938</v>
      </c>
      <c r="F12" s="72">
        <v>44947</v>
      </c>
      <c r="G12" s="69" t="s">
        <v>2914</v>
      </c>
      <c r="H12" s="65" t="s">
        <v>236</v>
      </c>
      <c r="I12" s="65" t="s">
        <v>642</v>
      </c>
      <c r="J12" s="73" t="s">
        <v>2915</v>
      </c>
      <c r="K12" s="73">
        <v>44944.166666666664</v>
      </c>
      <c r="L12" s="73">
        <v>44944.133333333331</v>
      </c>
      <c r="M12" s="196">
        <v>44945.076388888891</v>
      </c>
      <c r="N12" s="196">
        <v>44947.9375</v>
      </c>
      <c r="O12" s="1188" t="s">
        <v>2916</v>
      </c>
      <c r="P12" s="214"/>
      <c r="Q12" s="214"/>
      <c r="R12" s="214"/>
      <c r="S12" s="214"/>
      <c r="T12" s="214"/>
      <c r="U12" s="214"/>
      <c r="V12" s="214"/>
      <c r="W12" s="214"/>
      <c r="X12" s="214"/>
      <c r="Y12" s="62">
        <v>57000</v>
      </c>
      <c r="Z12" s="62"/>
      <c r="AA12" s="62"/>
      <c r="AB12" s="62"/>
      <c r="AC12" s="62"/>
      <c r="AD12" s="62"/>
      <c r="AE12" s="62"/>
      <c r="AF12" s="62"/>
      <c r="AG12" s="62">
        <v>15000</v>
      </c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66">
        <v>72000</v>
      </c>
      <c r="BF12" s="66">
        <v>72000</v>
      </c>
      <c r="BG12" s="1178">
        <f t="shared" si="1"/>
        <v>72000</v>
      </c>
      <c r="BH12" s="254"/>
      <c r="BI12" s="1188" t="s">
        <v>2917</v>
      </c>
      <c r="BJ12" s="1188" t="s">
        <v>32</v>
      </c>
      <c r="BK12" s="75" t="s">
        <v>2927</v>
      </c>
      <c r="BL12" s="199">
        <v>44937.441666666666</v>
      </c>
      <c r="BM12" s="197">
        <v>44938.668055555558</v>
      </c>
      <c r="BN12" s="197"/>
      <c r="BO12" s="198">
        <v>73461</v>
      </c>
      <c r="BP12" s="65" t="str">
        <f t="shared" si="0"/>
        <v>PANAMAX</v>
      </c>
      <c r="BQ12" s="197"/>
      <c r="BR12" s="197"/>
      <c r="BS12" s="197"/>
      <c r="BT12" s="197"/>
      <c r="BU12" s="197"/>
      <c r="BV12" s="197"/>
      <c r="BW12" s="197"/>
      <c r="BX12" s="65" t="s">
        <v>2931</v>
      </c>
      <c r="QK12" s="26"/>
      <c r="QL12" s="26"/>
      <c r="QM12" s="26"/>
      <c r="QN12" s="26">
        <v>1</v>
      </c>
      <c r="QO12" s="26">
        <v>2</v>
      </c>
      <c r="QP12" s="26"/>
      <c r="QQ12" s="26">
        <v>3</v>
      </c>
      <c r="QR12" s="26"/>
      <c r="QS12" s="26"/>
      <c r="QT12" s="26"/>
    </row>
    <row r="13" spans="2:838" s="65" customFormat="1" ht="14.4" outlineLevel="1">
      <c r="B13" s="200">
        <v>8</v>
      </c>
      <c r="C13" s="194">
        <v>44927</v>
      </c>
      <c r="D13" s="195" t="s">
        <v>74</v>
      </c>
      <c r="E13" s="72">
        <v>44942</v>
      </c>
      <c r="F13" s="72">
        <v>44951</v>
      </c>
      <c r="G13" s="69" t="s">
        <v>2914</v>
      </c>
      <c r="H13" s="65" t="s">
        <v>282</v>
      </c>
      <c r="I13" s="65" t="s">
        <v>648</v>
      </c>
      <c r="J13" s="73" t="s">
        <v>2932</v>
      </c>
      <c r="K13" s="73">
        <v>44940.5</v>
      </c>
      <c r="L13" s="73">
        <v>44940.510416666664</v>
      </c>
      <c r="M13" s="196">
        <v>44946.798611111109</v>
      </c>
      <c r="N13" s="196">
        <v>44951.1875</v>
      </c>
      <c r="O13" s="1188" t="s">
        <v>2916</v>
      </c>
      <c r="P13" s="214"/>
      <c r="Q13" s="214"/>
      <c r="R13" s="214"/>
      <c r="S13" s="214"/>
      <c r="T13" s="214"/>
      <c r="U13" s="214"/>
      <c r="V13" s="214"/>
      <c r="W13" s="214"/>
      <c r="X13" s="62">
        <v>52270.155999999995</v>
      </c>
      <c r="Y13" s="62">
        <v>28643.023999999998</v>
      </c>
      <c r="Z13" s="62"/>
      <c r="AA13" s="62"/>
      <c r="AB13" s="62"/>
      <c r="AC13" s="62"/>
      <c r="AD13" s="62"/>
      <c r="AE13" s="62"/>
      <c r="AF13" s="62">
        <v>7500</v>
      </c>
      <c r="AG13" s="62">
        <v>7500</v>
      </c>
      <c r="AH13" s="62"/>
      <c r="AI13" s="62"/>
      <c r="AJ13" s="62"/>
      <c r="AK13" s="62"/>
      <c r="AL13" s="62"/>
      <c r="AM13" s="62"/>
      <c r="AN13" s="62">
        <v>5072</v>
      </c>
      <c r="AO13" s="62"/>
      <c r="AP13" s="62"/>
      <c r="AQ13" s="62"/>
      <c r="AR13" s="62"/>
      <c r="AS13" s="62"/>
      <c r="AT13" s="62"/>
      <c r="AU13" s="62">
        <v>7514.82</v>
      </c>
      <c r="AV13" s="62"/>
      <c r="AW13" s="62"/>
      <c r="AX13" s="62"/>
      <c r="AY13" s="62"/>
      <c r="AZ13" s="62"/>
      <c r="BA13" s="62"/>
      <c r="BB13" s="62"/>
      <c r="BC13" s="62"/>
      <c r="BD13" s="62"/>
      <c r="BE13" s="66">
        <v>108500</v>
      </c>
      <c r="BF13" s="66">
        <v>108500</v>
      </c>
      <c r="BG13" s="1178">
        <f t="shared" si="1"/>
        <v>108500</v>
      </c>
      <c r="BH13" s="254">
        <v>15000</v>
      </c>
      <c r="BI13" s="1188" t="s">
        <v>2917</v>
      </c>
      <c r="BJ13" s="1188" t="s">
        <v>41</v>
      </c>
      <c r="BK13" s="75" t="s">
        <v>2918</v>
      </c>
      <c r="BL13" s="197">
        <v>44937.792361111111</v>
      </c>
      <c r="BM13" s="197">
        <v>44938.756249999999</v>
      </c>
      <c r="BN13" s="197"/>
      <c r="BO13" s="198">
        <v>121301</v>
      </c>
      <c r="BP13" s="65" t="str">
        <f t="shared" si="0"/>
        <v>POST PANAMAX</v>
      </c>
      <c r="BQ13" s="197"/>
      <c r="BR13" s="197"/>
      <c r="BS13" s="197"/>
      <c r="BT13" s="197"/>
      <c r="BU13" s="197"/>
      <c r="BV13" s="197"/>
      <c r="BW13" s="197"/>
      <c r="QM13" s="65">
        <v>2</v>
      </c>
      <c r="QO13" s="26">
        <v>1</v>
      </c>
      <c r="QP13" s="26">
        <v>1</v>
      </c>
      <c r="QQ13" s="26"/>
      <c r="QR13" s="26"/>
      <c r="QS13" s="26"/>
      <c r="QT13" s="26"/>
      <c r="QU13" s="26"/>
      <c r="QV13" s="26"/>
      <c r="QW13" s="26"/>
      <c r="QX13" s="26"/>
    </row>
    <row r="14" spans="2:838" s="65" customFormat="1" ht="14.4" outlineLevel="1">
      <c r="B14" s="200">
        <v>9</v>
      </c>
      <c r="C14" s="194">
        <v>44927</v>
      </c>
      <c r="D14" s="195" t="s">
        <v>74</v>
      </c>
      <c r="E14" s="72">
        <v>44944</v>
      </c>
      <c r="F14" s="72">
        <v>44953</v>
      </c>
      <c r="G14" s="69" t="s">
        <v>107</v>
      </c>
      <c r="H14" s="65" t="s">
        <v>241</v>
      </c>
      <c r="I14" s="65" t="s">
        <v>660</v>
      </c>
      <c r="J14" s="73" t="s">
        <v>2933</v>
      </c>
      <c r="K14" s="73">
        <v>44952.4375</v>
      </c>
      <c r="L14" s="73">
        <v>44952.388888888891</v>
      </c>
      <c r="M14" s="73">
        <v>44952.705555555556</v>
      </c>
      <c r="N14" s="196">
        <v>44954.172222222223</v>
      </c>
      <c r="O14" s="1188" t="s">
        <v>2916</v>
      </c>
      <c r="P14" s="62">
        <v>1197.9860000000044</v>
      </c>
      <c r="Q14" s="62">
        <v>242</v>
      </c>
      <c r="R14" s="62"/>
      <c r="S14" s="62"/>
      <c r="T14" s="62"/>
      <c r="U14" s="62">
        <v>6206.2034000000003</v>
      </c>
      <c r="V14" s="62">
        <v>3375.9846000000002</v>
      </c>
      <c r="W14" s="62"/>
      <c r="X14" s="62">
        <v>15004.77</v>
      </c>
      <c r="Y14" s="62">
        <v>29786.429</v>
      </c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>
        <v>7530.6409999999996</v>
      </c>
      <c r="AV14" s="62"/>
      <c r="AW14" s="62"/>
      <c r="AX14" s="62"/>
      <c r="AY14" s="62"/>
      <c r="AZ14" s="62"/>
      <c r="BA14" s="62"/>
      <c r="BB14" s="62"/>
      <c r="BC14" s="62"/>
      <c r="BD14" s="62"/>
      <c r="BE14" s="66">
        <v>64297.000000000015</v>
      </c>
      <c r="BF14" s="66">
        <v>64297.000000000015</v>
      </c>
      <c r="BG14" s="1178">
        <f t="shared" si="1"/>
        <v>63344.01400000001</v>
      </c>
      <c r="BH14" s="254">
        <v>15976.47</v>
      </c>
      <c r="BI14" s="1188" t="s">
        <v>20</v>
      </c>
      <c r="BJ14" s="1188" t="s">
        <v>2923</v>
      </c>
      <c r="BK14" s="75" t="s">
        <v>2924</v>
      </c>
      <c r="BL14" s="197">
        <v>44944.420138888891</v>
      </c>
      <c r="BM14" s="197">
        <v>44944.872916666667</v>
      </c>
      <c r="BN14" s="197"/>
      <c r="BO14" s="198">
        <v>81691</v>
      </c>
      <c r="BP14" s="65" t="str">
        <f t="shared" si="0"/>
        <v>POST PANAMAX</v>
      </c>
      <c r="BQ14" s="197"/>
      <c r="BR14" s="197"/>
      <c r="BS14" s="197"/>
      <c r="BT14" s="197"/>
      <c r="BU14" s="197"/>
      <c r="BV14" s="197"/>
      <c r="BW14" s="197"/>
      <c r="BX14" s="65" t="s">
        <v>2934</v>
      </c>
      <c r="QQ14" s="26">
        <v>1</v>
      </c>
      <c r="QR14" s="26"/>
      <c r="QS14" s="26"/>
      <c r="QT14" s="26"/>
      <c r="QU14" s="26"/>
      <c r="QV14" s="26">
        <v>2</v>
      </c>
      <c r="QW14" s="26">
        <v>3</v>
      </c>
      <c r="QX14" s="26"/>
      <c r="QY14" s="26">
        <v>4</v>
      </c>
      <c r="QZ14" s="26"/>
    </row>
    <row r="15" spans="2:838" s="65" customFormat="1" ht="14.4" outlineLevel="1">
      <c r="B15" s="200">
        <v>10</v>
      </c>
      <c r="C15" s="194">
        <v>44927</v>
      </c>
      <c r="D15" s="195" t="s">
        <v>74</v>
      </c>
      <c r="E15" s="72">
        <v>44948</v>
      </c>
      <c r="F15" s="72">
        <v>44957</v>
      </c>
      <c r="G15" s="69" t="s">
        <v>107</v>
      </c>
      <c r="H15" s="65" t="s">
        <v>220</v>
      </c>
      <c r="I15" s="65" t="s">
        <v>664</v>
      </c>
      <c r="J15" s="73" t="s">
        <v>2922</v>
      </c>
      <c r="K15" s="73">
        <v>44953.208333333336</v>
      </c>
      <c r="L15" s="73">
        <v>44953.104166666664</v>
      </c>
      <c r="M15" s="196">
        <v>44954.34375</v>
      </c>
      <c r="N15" s="196">
        <v>44956.3125</v>
      </c>
      <c r="O15" s="1188" t="s">
        <v>2916</v>
      </c>
      <c r="P15" s="214"/>
      <c r="Q15" s="62">
        <v>617.28299999999581</v>
      </c>
      <c r="R15" s="62"/>
      <c r="S15" s="62"/>
      <c r="T15" s="62"/>
      <c r="U15" s="62"/>
      <c r="V15" s="62"/>
      <c r="W15" s="62"/>
      <c r="X15" s="62">
        <v>58482.717000000004</v>
      </c>
      <c r="Y15" s="62"/>
      <c r="Z15" s="62"/>
      <c r="AA15" s="62"/>
      <c r="AB15" s="62"/>
      <c r="AC15" s="62"/>
      <c r="AD15" s="62"/>
      <c r="AE15" s="62"/>
      <c r="AF15" s="62">
        <v>7500</v>
      </c>
      <c r="AG15" s="62">
        <v>7500</v>
      </c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6">
        <v>74100</v>
      </c>
      <c r="BF15" s="66">
        <v>74100</v>
      </c>
      <c r="BG15" s="1178">
        <f t="shared" si="1"/>
        <v>74100</v>
      </c>
      <c r="BH15" s="254">
        <v>6000</v>
      </c>
      <c r="BI15" s="1188" t="s">
        <v>20</v>
      </c>
      <c r="BJ15" s="1188" t="s">
        <v>2923</v>
      </c>
      <c r="BK15" s="75" t="s">
        <v>2924</v>
      </c>
      <c r="BL15" s="197">
        <v>44945.422222222223</v>
      </c>
      <c r="BM15" s="197">
        <v>44946.773611111108</v>
      </c>
      <c r="BN15" s="197"/>
      <c r="BO15" s="198">
        <v>75597</v>
      </c>
      <c r="BP15" s="65" t="str">
        <f t="shared" si="0"/>
        <v>PANAMAX</v>
      </c>
      <c r="BQ15" s="197"/>
      <c r="BR15" s="197"/>
      <c r="BS15" s="197"/>
      <c r="BT15" s="197"/>
      <c r="BU15" s="197"/>
      <c r="BV15" s="197"/>
      <c r="BW15" s="197"/>
      <c r="BX15" s="65" t="s">
        <v>2935</v>
      </c>
      <c r="QU15" s="26">
        <v>1</v>
      </c>
      <c r="QV15" s="26"/>
      <c r="QW15" s="26"/>
      <c r="QX15" s="26">
        <v>2</v>
      </c>
      <c r="QY15" s="26" t="s">
        <v>2936</v>
      </c>
      <c r="QZ15" s="26">
        <v>4</v>
      </c>
      <c r="RA15" s="26"/>
      <c r="RB15" s="26"/>
      <c r="RC15" s="26"/>
      <c r="RD15" s="26"/>
    </row>
    <row r="16" spans="2:838" s="65" customFormat="1" ht="14.4" outlineLevel="1">
      <c r="B16" s="200">
        <v>11</v>
      </c>
      <c r="C16" s="194">
        <v>44927</v>
      </c>
      <c r="D16" s="195" t="s">
        <v>74</v>
      </c>
      <c r="E16" s="72">
        <v>44943</v>
      </c>
      <c r="F16" s="72">
        <v>44952</v>
      </c>
      <c r="G16" s="69" t="s">
        <v>2914</v>
      </c>
      <c r="H16" s="65" t="s">
        <v>325</v>
      </c>
      <c r="I16" s="65" t="s">
        <v>667</v>
      </c>
      <c r="J16" s="73" t="s">
        <v>2933</v>
      </c>
      <c r="K16" s="73">
        <v>44951.541666666664</v>
      </c>
      <c r="L16" s="73">
        <v>44951.54583333333</v>
      </c>
      <c r="M16" s="196">
        <v>44954.25</v>
      </c>
      <c r="N16" s="196">
        <v>44956.930555555555</v>
      </c>
      <c r="O16" s="1188" t="s">
        <v>2916</v>
      </c>
      <c r="P16" s="214"/>
      <c r="Q16" s="214"/>
      <c r="R16" s="214"/>
      <c r="S16" s="214"/>
      <c r="T16" s="214"/>
      <c r="U16" s="62">
        <v>22032.135999999999</v>
      </c>
      <c r="V16" s="62"/>
      <c r="W16" s="62"/>
      <c r="X16" s="62">
        <v>22754.699800000002</v>
      </c>
      <c r="Y16" s="62">
        <v>28603.164199999999</v>
      </c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6">
        <v>73390</v>
      </c>
      <c r="BF16" s="66">
        <v>73390</v>
      </c>
      <c r="BG16" s="1178">
        <f t="shared" si="1"/>
        <v>73390</v>
      </c>
      <c r="BH16" s="254">
        <v>17000</v>
      </c>
      <c r="BI16" s="1188" t="s">
        <v>4</v>
      </c>
      <c r="BJ16" s="1188" t="s">
        <v>5</v>
      </c>
      <c r="BK16" s="75" t="s">
        <v>2937</v>
      </c>
      <c r="BL16" s="197">
        <v>44938.495138888888</v>
      </c>
      <c r="BM16" s="199">
        <v>44941.334027777775</v>
      </c>
      <c r="BN16" s="197"/>
      <c r="BO16" s="198">
        <v>98697</v>
      </c>
      <c r="BP16" s="65" t="str">
        <f t="shared" si="0"/>
        <v>POST PANAMAX</v>
      </c>
      <c r="BQ16" s="197"/>
      <c r="BR16" s="197"/>
      <c r="BS16" s="197"/>
      <c r="BT16" s="197"/>
      <c r="BU16" s="197"/>
      <c r="BV16" s="197"/>
      <c r="BW16" s="197"/>
      <c r="QP16" s="26"/>
      <c r="QQ16" s="26"/>
      <c r="QR16" s="26"/>
      <c r="QS16" s="26"/>
      <c r="QT16" s="26"/>
      <c r="QU16" s="26">
        <v>1</v>
      </c>
      <c r="QV16" s="26"/>
      <c r="QW16" s="26"/>
      <c r="QX16" s="26">
        <v>2</v>
      </c>
      <c r="QY16" s="26"/>
    </row>
    <row r="17" spans="2:591" s="71" customFormat="1" ht="14.4" outlineLevel="1">
      <c r="B17" s="104"/>
      <c r="C17" s="101"/>
      <c r="D17" s="104"/>
      <c r="E17" s="70"/>
      <c r="F17" s="70"/>
      <c r="G17" s="247"/>
      <c r="K17" s="102"/>
      <c r="L17" s="102"/>
      <c r="M17" s="103"/>
      <c r="N17" s="103"/>
      <c r="O17" s="1199" t="s">
        <v>96</v>
      </c>
      <c r="P17" s="458">
        <f>SUM(P6:P16)</f>
        <v>6879.5019339042228</v>
      </c>
      <c r="Q17" s="458">
        <f t="shared" ref="Q17:BG17" si="2">SUM(Q6:Q16)</f>
        <v>859.28299999999581</v>
      </c>
      <c r="R17" s="458">
        <f t="shared" si="2"/>
        <v>0</v>
      </c>
      <c r="S17" s="458">
        <f t="shared" si="2"/>
        <v>0</v>
      </c>
      <c r="T17" s="458">
        <f t="shared" si="2"/>
        <v>1359.3809341272145</v>
      </c>
      <c r="U17" s="458">
        <f t="shared" si="2"/>
        <v>85317.50754999998</v>
      </c>
      <c r="V17" s="458">
        <f t="shared" si="2"/>
        <v>8370.5287000000008</v>
      </c>
      <c r="W17" s="458">
        <f t="shared" si="2"/>
        <v>25023.447749999999</v>
      </c>
      <c r="X17" s="458">
        <f t="shared" si="2"/>
        <v>237841.35640000002</v>
      </c>
      <c r="Y17" s="458">
        <f t="shared" si="2"/>
        <v>226052.7476</v>
      </c>
      <c r="Z17" s="458">
        <f t="shared" si="2"/>
        <v>0</v>
      </c>
      <c r="AA17" s="458">
        <f t="shared" si="2"/>
        <v>0</v>
      </c>
      <c r="AB17" s="458">
        <f t="shared" si="2"/>
        <v>0</v>
      </c>
      <c r="AC17" s="458">
        <f t="shared" si="2"/>
        <v>0</v>
      </c>
      <c r="AD17" s="458">
        <f t="shared" si="2"/>
        <v>0</v>
      </c>
      <c r="AE17" s="458">
        <f t="shared" si="2"/>
        <v>0</v>
      </c>
      <c r="AF17" s="458">
        <f t="shared" si="2"/>
        <v>52500</v>
      </c>
      <c r="AG17" s="458">
        <f t="shared" si="2"/>
        <v>30000</v>
      </c>
      <c r="AH17" s="458">
        <f t="shared" si="2"/>
        <v>0</v>
      </c>
      <c r="AI17" s="458">
        <f t="shared" si="2"/>
        <v>0</v>
      </c>
      <c r="AJ17" s="458">
        <f t="shared" si="2"/>
        <v>0</v>
      </c>
      <c r="AK17" s="458">
        <f t="shared" si="2"/>
        <v>0</v>
      </c>
      <c r="AL17" s="458">
        <f t="shared" si="2"/>
        <v>0</v>
      </c>
      <c r="AM17" s="458">
        <f t="shared" si="2"/>
        <v>0</v>
      </c>
      <c r="AN17" s="458">
        <f t="shared" si="2"/>
        <v>5072</v>
      </c>
      <c r="AO17" s="458">
        <f t="shared" si="2"/>
        <v>0</v>
      </c>
      <c r="AP17" s="458">
        <f t="shared" si="2"/>
        <v>0</v>
      </c>
      <c r="AQ17" s="458">
        <f t="shared" si="2"/>
        <v>12587.058000000001</v>
      </c>
      <c r="AR17" s="458">
        <f t="shared" si="2"/>
        <v>0</v>
      </c>
      <c r="AS17" s="458">
        <f t="shared" si="2"/>
        <v>0</v>
      </c>
      <c r="AT17" s="458">
        <f t="shared" si="2"/>
        <v>7057.3519999999999</v>
      </c>
      <c r="AU17" s="458">
        <f t="shared" si="2"/>
        <v>15045.460999999999</v>
      </c>
      <c r="AV17" s="458">
        <f t="shared" si="2"/>
        <v>7526.3890000000001</v>
      </c>
      <c r="AW17" s="458">
        <f t="shared" si="2"/>
        <v>0</v>
      </c>
      <c r="AX17" s="458">
        <f t="shared" si="2"/>
        <v>0</v>
      </c>
      <c r="AY17" s="458">
        <f>SUM(AY6:AY16)</f>
        <v>0</v>
      </c>
      <c r="AZ17" s="458"/>
      <c r="BA17" s="458"/>
      <c r="BB17" s="458"/>
      <c r="BC17" s="458"/>
      <c r="BD17" s="458"/>
      <c r="BE17" s="458">
        <f t="shared" si="2"/>
        <v>726487</v>
      </c>
      <c r="BF17" s="458">
        <f t="shared" si="2"/>
        <v>726487</v>
      </c>
      <c r="BG17" s="1179">
        <f t="shared" si="2"/>
        <v>721492.01386803144</v>
      </c>
      <c r="BH17" s="68"/>
      <c r="BI17" s="1189"/>
      <c r="BJ17" s="1189"/>
      <c r="BK17" s="104"/>
      <c r="BL17" s="105"/>
      <c r="BM17" s="105"/>
      <c r="BN17" s="105"/>
      <c r="BO17" s="106"/>
      <c r="BQ17" s="105"/>
      <c r="BR17" s="105"/>
      <c r="BS17" s="105"/>
      <c r="BT17" s="105"/>
      <c r="BU17" s="105"/>
      <c r="BV17" s="105"/>
      <c r="BW17" s="10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  <c r="JM17" s="65"/>
      <c r="JN17" s="65"/>
      <c r="JO17" s="65"/>
      <c r="JP17" s="65"/>
      <c r="JQ17" s="65"/>
      <c r="JR17" s="65"/>
      <c r="JS17" s="65"/>
      <c r="JT17" s="65"/>
      <c r="JU17" s="65"/>
      <c r="JV17" s="65"/>
      <c r="JW17" s="65"/>
      <c r="JX17" s="65"/>
      <c r="JY17" s="65"/>
      <c r="JZ17" s="65"/>
      <c r="KA17" s="65"/>
      <c r="KB17" s="65"/>
      <c r="KC17" s="65"/>
      <c r="KD17" s="65"/>
      <c r="KE17" s="65"/>
      <c r="KF17" s="65"/>
      <c r="KG17" s="65"/>
      <c r="KH17" s="65"/>
      <c r="KI17" s="65"/>
      <c r="KJ17" s="65"/>
      <c r="KK17" s="65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/>
      <c r="KX17" s="65"/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/>
      <c r="LL17" s="65"/>
      <c r="LM17" s="65"/>
      <c r="LN17" s="65"/>
      <c r="LO17" s="65"/>
      <c r="LP17" s="65"/>
      <c r="LQ17" s="65"/>
      <c r="LR17" s="65"/>
      <c r="LS17" s="65"/>
      <c r="LT17" s="65"/>
      <c r="LU17" s="65"/>
      <c r="LV17" s="65"/>
      <c r="LW17" s="65"/>
      <c r="LX17" s="65"/>
      <c r="LY17" s="65"/>
      <c r="LZ17" s="65"/>
      <c r="MA17" s="65"/>
      <c r="MB17" s="65"/>
      <c r="MC17" s="65"/>
      <c r="MD17" s="65"/>
      <c r="ME17" s="65"/>
      <c r="MF17" s="65"/>
      <c r="MG17" s="65"/>
      <c r="MH17" s="65"/>
      <c r="MI17" s="65"/>
      <c r="MJ17" s="65"/>
      <c r="MK17" s="65"/>
      <c r="ML17" s="65"/>
      <c r="MM17" s="65"/>
      <c r="MN17" s="65"/>
      <c r="MO17" s="65"/>
      <c r="MP17" s="65"/>
      <c r="MQ17" s="65"/>
      <c r="MR17" s="65"/>
      <c r="MS17" s="65"/>
      <c r="MT17" s="65"/>
      <c r="MU17" s="65"/>
      <c r="MV17" s="65"/>
      <c r="MW17" s="65"/>
      <c r="MX17" s="65"/>
      <c r="MY17" s="65"/>
      <c r="MZ17" s="65"/>
      <c r="NA17" s="65"/>
      <c r="NB17" s="65"/>
      <c r="NC17" s="65"/>
      <c r="ND17" s="65"/>
      <c r="NE17" s="65"/>
      <c r="NF17" s="65"/>
      <c r="NG17" s="65"/>
      <c r="NH17" s="65"/>
      <c r="NI17" s="65"/>
      <c r="NJ17" s="65"/>
      <c r="NK17" s="65"/>
      <c r="NL17" s="65"/>
      <c r="NM17" s="65"/>
      <c r="NN17" s="65"/>
      <c r="NO17" s="65"/>
      <c r="NP17" s="65"/>
      <c r="NQ17" s="65"/>
      <c r="NR17" s="65"/>
      <c r="NS17" s="65"/>
      <c r="NT17" s="65"/>
      <c r="NU17" s="65"/>
      <c r="NV17" s="65"/>
      <c r="NW17" s="65"/>
      <c r="NX17" s="65"/>
      <c r="NY17" s="65"/>
      <c r="NZ17" s="65"/>
      <c r="OA17" s="65"/>
      <c r="OB17" s="65"/>
      <c r="OC17" s="65"/>
      <c r="OD17" s="65"/>
      <c r="OE17" s="65"/>
      <c r="OF17" s="65"/>
      <c r="OG17" s="65"/>
      <c r="OH17" s="65"/>
      <c r="OI17" s="65"/>
      <c r="OJ17" s="65"/>
      <c r="OK17" s="65"/>
      <c r="OL17" s="65"/>
      <c r="OM17" s="65"/>
      <c r="ON17" s="65"/>
      <c r="OO17" s="65"/>
      <c r="OP17" s="65"/>
      <c r="OQ17" s="65"/>
      <c r="OR17" s="65"/>
      <c r="OS17" s="65"/>
      <c r="OT17" s="65"/>
      <c r="OU17" s="65"/>
      <c r="OV17" s="65"/>
      <c r="OW17" s="65"/>
      <c r="OX17" s="65"/>
      <c r="OY17" s="65"/>
      <c r="OZ17" s="65"/>
      <c r="PA17" s="65"/>
      <c r="PB17" s="65"/>
      <c r="PC17" s="65"/>
      <c r="PD17" s="65"/>
      <c r="PE17" s="65"/>
      <c r="PF17" s="65"/>
      <c r="PG17" s="65"/>
      <c r="PH17" s="65"/>
      <c r="PI17" s="65"/>
      <c r="PJ17" s="65"/>
      <c r="PK17" s="65"/>
      <c r="PL17" s="65"/>
      <c r="PM17" s="65"/>
      <c r="PN17" s="65"/>
      <c r="PO17" s="65"/>
      <c r="PP17" s="65"/>
      <c r="PQ17" s="65"/>
      <c r="PR17" s="65"/>
      <c r="PS17" s="65"/>
      <c r="PT17" s="65"/>
      <c r="PU17" s="65"/>
      <c r="PV17" s="65"/>
      <c r="PW17" s="65"/>
      <c r="PX17" s="65"/>
      <c r="PY17" s="65"/>
      <c r="PZ17" s="65"/>
      <c r="QA17" s="65"/>
      <c r="QB17" s="65"/>
      <c r="QC17" s="65"/>
      <c r="QD17" s="65"/>
      <c r="QE17" s="65"/>
      <c r="QF17" s="65"/>
      <c r="QG17" s="65"/>
      <c r="QH17" s="65"/>
      <c r="QI17" s="65"/>
      <c r="QJ17" s="65"/>
      <c r="QK17" s="65"/>
      <c r="QL17" s="65"/>
      <c r="QM17" s="65"/>
      <c r="QN17" s="65"/>
      <c r="QO17" s="65"/>
      <c r="QP17" s="65"/>
      <c r="QQ17" s="65"/>
      <c r="QR17" s="65"/>
      <c r="QS17" s="65"/>
      <c r="QT17" s="65"/>
      <c r="QU17" s="65"/>
      <c r="QV17" s="65"/>
      <c r="QW17" s="65"/>
      <c r="QX17" s="65"/>
      <c r="QY17" s="65"/>
      <c r="QZ17" s="65"/>
      <c r="RA17" s="65"/>
      <c r="RB17" s="65"/>
      <c r="RC17" s="65"/>
      <c r="RD17" s="65"/>
      <c r="RE17" s="65"/>
      <c r="RF17" s="65"/>
      <c r="RG17" s="65"/>
      <c r="RH17" s="65"/>
      <c r="RI17" s="65"/>
      <c r="RJ17" s="65"/>
      <c r="RK17" s="65"/>
      <c r="RL17" s="65"/>
      <c r="RM17" s="65"/>
      <c r="RN17" s="65"/>
      <c r="RO17" s="65"/>
      <c r="RP17" s="65"/>
      <c r="RQ17" s="65"/>
      <c r="RR17" s="65"/>
      <c r="RS17" s="65"/>
      <c r="RT17" s="65"/>
      <c r="RU17" s="65"/>
      <c r="RV17" s="65"/>
      <c r="RW17" s="65"/>
      <c r="RX17" s="65"/>
      <c r="RY17" s="65"/>
      <c r="RZ17" s="65"/>
      <c r="SA17" s="65"/>
      <c r="SB17" s="65"/>
      <c r="SC17" s="65"/>
      <c r="SD17" s="65"/>
      <c r="SE17" s="65"/>
      <c r="SF17" s="65"/>
      <c r="SG17" s="65"/>
      <c r="SH17" s="65"/>
      <c r="SI17" s="65"/>
      <c r="SJ17" s="65"/>
      <c r="SK17" s="65"/>
      <c r="SL17" s="65"/>
      <c r="SM17" s="65"/>
      <c r="SN17" s="65"/>
      <c r="SO17" s="65"/>
      <c r="SP17" s="65"/>
      <c r="SQ17" s="65"/>
      <c r="SR17" s="65"/>
      <c r="SS17" s="65"/>
      <c r="ST17" s="65"/>
      <c r="SU17" s="65"/>
      <c r="SV17" s="65"/>
      <c r="SW17" s="65"/>
      <c r="SX17" s="65"/>
      <c r="SY17" s="65"/>
      <c r="SZ17" s="65"/>
      <c r="TA17" s="65"/>
      <c r="TB17" s="65"/>
      <c r="TC17" s="65"/>
      <c r="TD17" s="65"/>
      <c r="TE17" s="65"/>
      <c r="TF17" s="65"/>
      <c r="TG17" s="65"/>
      <c r="TH17" s="65"/>
      <c r="TI17" s="65"/>
      <c r="TJ17" s="65"/>
      <c r="TK17" s="65"/>
      <c r="TL17" s="65"/>
      <c r="TM17" s="65"/>
      <c r="TN17" s="65"/>
      <c r="TO17" s="65"/>
      <c r="TP17" s="65"/>
      <c r="TQ17" s="65"/>
      <c r="TR17" s="65"/>
      <c r="TS17" s="65"/>
      <c r="TT17" s="65"/>
      <c r="TU17" s="65"/>
      <c r="TV17" s="65"/>
      <c r="TW17" s="65"/>
      <c r="TX17" s="65"/>
      <c r="TY17" s="65"/>
      <c r="TZ17" s="65"/>
      <c r="UA17" s="65"/>
      <c r="UB17" s="65"/>
      <c r="UC17" s="65"/>
      <c r="UD17" s="65"/>
      <c r="UE17" s="65"/>
      <c r="UF17" s="65"/>
      <c r="UG17" s="65"/>
      <c r="UH17" s="65"/>
      <c r="UI17" s="65"/>
      <c r="UJ17" s="65"/>
      <c r="UK17" s="65"/>
      <c r="UL17" s="65"/>
      <c r="UM17" s="65"/>
      <c r="UN17" s="65"/>
      <c r="UO17" s="65"/>
      <c r="UP17" s="65"/>
      <c r="UQ17" s="65"/>
      <c r="UR17" s="65"/>
      <c r="US17" s="65"/>
      <c r="UT17" s="65"/>
      <c r="UU17" s="65"/>
      <c r="UV17" s="65"/>
      <c r="UW17" s="65"/>
      <c r="UX17" s="65"/>
      <c r="UY17" s="65"/>
      <c r="UZ17" s="65"/>
      <c r="VA17" s="65"/>
      <c r="VB17" s="65"/>
      <c r="VC17" s="65"/>
      <c r="VD17" s="65"/>
      <c r="VE17" s="65"/>
      <c r="VF17" s="65"/>
      <c r="VG17" s="65"/>
      <c r="VH17" s="65"/>
      <c r="VI17" s="65"/>
      <c r="VJ17" s="65"/>
      <c r="VK17" s="65"/>
      <c r="VL17" s="65"/>
      <c r="VM17" s="65"/>
      <c r="VN17" s="65"/>
      <c r="VO17" s="65"/>
      <c r="VP17" s="65"/>
      <c r="VQ17" s="65"/>
      <c r="VR17" s="65"/>
      <c r="VS17" s="65"/>
    </row>
    <row r="18" spans="2:591" s="99" customFormat="1" ht="14.4" outlineLevel="1">
      <c r="B18" s="108"/>
      <c r="C18" s="107"/>
      <c r="D18" s="108"/>
      <c r="E18" s="109"/>
      <c r="F18" s="109"/>
      <c r="K18" s="110"/>
      <c r="L18" s="110"/>
      <c r="M18" s="111"/>
      <c r="N18" s="111"/>
      <c r="O18" s="1185"/>
      <c r="P18" s="1384">
        <f>SUM(P17:T17)</f>
        <v>9098.1658680314322</v>
      </c>
      <c r="Q18" s="1385"/>
      <c r="R18" s="1385"/>
      <c r="S18" s="1385"/>
      <c r="T18" s="1386"/>
      <c r="U18" s="1384">
        <f>SUM(U17:W17)</f>
        <v>118711.48399999997</v>
      </c>
      <c r="V18" s="1385"/>
      <c r="W18" s="1386"/>
      <c r="X18" s="1384">
        <f>SUM(X17:Y17)</f>
        <v>463894.10400000005</v>
      </c>
      <c r="Y18" s="1386"/>
      <c r="Z18" s="459">
        <f>Z17</f>
        <v>0</v>
      </c>
      <c r="AA18" s="459">
        <f>AA17</f>
        <v>0</v>
      </c>
      <c r="AB18" s="1384">
        <f>SUM(AB17:AV17)</f>
        <v>129788.26</v>
      </c>
      <c r="AC18" s="1385"/>
      <c r="AD18" s="1385"/>
      <c r="AE18" s="1385"/>
      <c r="AF18" s="1385"/>
      <c r="AG18" s="1385"/>
      <c r="AH18" s="1385"/>
      <c r="AI18" s="1385"/>
      <c r="AJ18" s="1385"/>
      <c r="AK18" s="1385"/>
      <c r="AL18" s="1385"/>
      <c r="AM18" s="1385"/>
      <c r="AN18" s="1385"/>
      <c r="AO18" s="1385"/>
      <c r="AP18" s="1385"/>
      <c r="AQ18" s="1385"/>
      <c r="AR18" s="1385"/>
      <c r="AS18" s="1385"/>
      <c r="AT18" s="1385"/>
      <c r="AU18" s="1385"/>
      <c r="AV18" s="1385"/>
      <c r="AW18" s="1385"/>
      <c r="AX18" s="1386"/>
      <c r="AY18" s="394"/>
      <c r="AZ18" s="394"/>
      <c r="BA18" s="394"/>
      <c r="BB18" s="394"/>
      <c r="BC18" s="394"/>
      <c r="BD18" s="394"/>
      <c r="BE18" s="460"/>
      <c r="BF18" s="460"/>
      <c r="BG18" s="1179"/>
      <c r="BH18" s="112"/>
      <c r="BI18" s="1190"/>
      <c r="BJ18" s="1190"/>
      <c r="BK18" s="108"/>
      <c r="BL18" s="113"/>
      <c r="BM18" s="113"/>
      <c r="BN18" s="113"/>
      <c r="BO18" s="114"/>
      <c r="BQ18" s="113"/>
      <c r="BR18" s="113"/>
      <c r="BS18" s="113"/>
      <c r="BT18" s="113"/>
      <c r="BU18" s="113"/>
      <c r="BV18" s="113"/>
      <c r="BW18" s="113"/>
    </row>
    <row r="19" spans="2:591" ht="14.4" outlineLevel="1">
      <c r="BE19" s="245"/>
    </row>
    <row r="20" spans="2:591" ht="14.4" outlineLevel="1">
      <c r="B20" s="99" t="s">
        <v>672</v>
      </c>
      <c r="M20" s="74"/>
      <c r="N20" s="74"/>
    </row>
    <row r="21" spans="2:591" s="65" customFormat="1" ht="14.4" outlineLevel="1">
      <c r="B21" s="200">
        <v>1</v>
      </c>
      <c r="C21" s="194">
        <v>44927</v>
      </c>
      <c r="D21" s="195" t="s">
        <v>74</v>
      </c>
      <c r="E21" s="72">
        <v>44948</v>
      </c>
      <c r="F21" s="72">
        <v>44957</v>
      </c>
      <c r="G21" s="69" t="s">
        <v>2914</v>
      </c>
      <c r="H21" s="65" t="s">
        <v>337</v>
      </c>
      <c r="I21" s="65" t="s">
        <v>866</v>
      </c>
      <c r="J21" s="73" t="s">
        <v>2922</v>
      </c>
      <c r="K21" s="73">
        <v>44949.729166666664</v>
      </c>
      <c r="L21" s="73">
        <v>44949.722222222219</v>
      </c>
      <c r="M21" s="196">
        <v>44957.5625</v>
      </c>
      <c r="N21" s="196">
        <v>44960.614583333336</v>
      </c>
      <c r="O21" s="1188" t="s">
        <v>2916</v>
      </c>
      <c r="P21" s="214"/>
      <c r="Q21" s="214"/>
      <c r="R21" s="214"/>
      <c r="S21" s="214"/>
      <c r="T21" s="214"/>
      <c r="U21" s="214"/>
      <c r="V21" s="214"/>
      <c r="W21" s="214"/>
      <c r="X21" s="214"/>
      <c r="Y21" s="62">
        <v>71996.999999999985</v>
      </c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>
        <v>7503</v>
      </c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4"/>
      <c r="AY21" s="214"/>
      <c r="AZ21" s="214"/>
      <c r="BA21" s="214"/>
      <c r="BB21" s="214"/>
      <c r="BC21" s="214"/>
      <c r="BD21" s="214"/>
      <c r="BE21" s="66">
        <v>79500</v>
      </c>
      <c r="BF21" s="66">
        <v>79500</v>
      </c>
      <c r="BG21" s="1178">
        <f t="shared" ref="BG21:BG33" si="3">SUM(P21:AW21)</f>
        <v>79499.999999999985</v>
      </c>
      <c r="BH21" s="254">
        <v>6500</v>
      </c>
      <c r="BI21" s="1188" t="s">
        <v>4</v>
      </c>
      <c r="BJ21" s="1188" t="s">
        <v>5</v>
      </c>
      <c r="BK21" s="75" t="s">
        <v>2937</v>
      </c>
      <c r="BL21" s="197">
        <v>44943.699305555558</v>
      </c>
      <c r="BM21" s="197">
        <v>44944.46875</v>
      </c>
      <c r="BN21" s="197"/>
      <c r="BO21" s="198">
        <v>81513.399999999994</v>
      </c>
      <c r="BP21" s="65" t="str">
        <f t="shared" ref="BP21:BP33" si="4">IF(BO21=0,"0",IF(BO21&lt;=50000,"HANDYMAX",IF(BO21&lt;=58000,"SUPER HANDYMAX",IF(BO21&lt;=80000,"PANAMAX",IF(BO21&gt;=80001,"POST PANAMAX")))))</f>
        <v>POST PANAMAX</v>
      </c>
      <c r="BQ21" s="197"/>
      <c r="BR21" s="197"/>
      <c r="BS21" s="197"/>
      <c r="BT21" s="197"/>
      <c r="BU21" s="197"/>
      <c r="BV21" s="197"/>
      <c r="BW21" s="197"/>
      <c r="QU21" s="26"/>
      <c r="QV21" s="26">
        <v>2</v>
      </c>
      <c r="QW21" s="26">
        <v>1</v>
      </c>
      <c r="QX21" s="26">
        <v>1</v>
      </c>
      <c r="QY21" s="26"/>
      <c r="QZ21" s="26"/>
      <c r="RA21" s="26"/>
      <c r="RB21" s="26"/>
      <c r="RC21" s="26"/>
      <c r="RD21" s="26"/>
    </row>
    <row r="22" spans="2:591" s="65" customFormat="1" ht="14.4" outlineLevel="1">
      <c r="B22" s="200">
        <v>2</v>
      </c>
      <c r="C22" s="194">
        <v>44958</v>
      </c>
      <c r="D22" s="195" t="s">
        <v>74</v>
      </c>
      <c r="E22" s="72">
        <v>44953</v>
      </c>
      <c r="F22" s="72">
        <v>44965</v>
      </c>
      <c r="G22" s="69" t="s">
        <v>2914</v>
      </c>
      <c r="H22" s="65" t="s">
        <v>224</v>
      </c>
      <c r="I22" s="65" t="s">
        <v>871</v>
      </c>
      <c r="J22" s="65" t="s">
        <v>2922</v>
      </c>
      <c r="K22" s="73">
        <v>44952.666666666664</v>
      </c>
      <c r="L22" s="73">
        <v>44952.694444444445</v>
      </c>
      <c r="M22" s="196">
        <v>44957.965277777781</v>
      </c>
      <c r="N22" s="196">
        <v>44961.538194444445</v>
      </c>
      <c r="O22" s="1188" t="s">
        <v>2916</v>
      </c>
      <c r="P22" s="214"/>
      <c r="Q22" s="214"/>
      <c r="R22" s="214"/>
      <c r="S22" s="214"/>
      <c r="T22" s="214"/>
      <c r="U22" s="214"/>
      <c r="V22" s="214"/>
      <c r="W22" s="214"/>
      <c r="X22" s="62">
        <v>43378.999999999978</v>
      </c>
      <c r="Y22" s="62">
        <v>7321</v>
      </c>
      <c r="Z22" s="62"/>
      <c r="AA22" s="62"/>
      <c r="AB22" s="62"/>
      <c r="AC22" s="62"/>
      <c r="AD22" s="62"/>
      <c r="AE22" s="62"/>
      <c r="AF22" s="62">
        <v>7500</v>
      </c>
      <c r="AG22" s="62">
        <v>7500</v>
      </c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66">
        <v>65700</v>
      </c>
      <c r="BF22" s="66">
        <v>65700</v>
      </c>
      <c r="BG22" s="1178">
        <f t="shared" si="3"/>
        <v>65699.999999999971</v>
      </c>
      <c r="BH22" s="254">
        <v>8000</v>
      </c>
      <c r="BI22" s="1188" t="s">
        <v>2917</v>
      </c>
      <c r="BJ22" s="1188" t="s">
        <v>41</v>
      </c>
      <c r="BK22" s="75" t="s">
        <v>2937</v>
      </c>
      <c r="BL22" s="197">
        <v>44945.615277777775</v>
      </c>
      <c r="BM22" s="197">
        <v>44946.588888888888</v>
      </c>
      <c r="BN22" s="197"/>
      <c r="BO22" s="198">
        <v>75396.94</v>
      </c>
      <c r="BP22" s="65" t="str">
        <f t="shared" si="4"/>
        <v>PANAMAX</v>
      </c>
      <c r="BQ22" s="197"/>
      <c r="BR22" s="197"/>
      <c r="BS22" s="197"/>
      <c r="BT22" s="197"/>
      <c r="BU22" s="197"/>
      <c r="BV22" s="197"/>
      <c r="BW22" s="197"/>
      <c r="QY22" s="65">
        <v>2</v>
      </c>
      <c r="QZ22" s="26">
        <v>1</v>
      </c>
      <c r="RA22" s="26"/>
      <c r="RB22" s="26"/>
      <c r="RC22" s="26"/>
      <c r="RD22" s="26"/>
      <c r="RE22" s="26"/>
      <c r="RF22" s="26"/>
      <c r="RG22" s="26"/>
      <c r="RH22" s="26"/>
      <c r="RI22" s="26"/>
      <c r="RJ22" s="26"/>
      <c r="RK22" s="26"/>
      <c r="RL22" s="26"/>
    </row>
    <row r="23" spans="2:591" s="65" customFormat="1" ht="14.4" outlineLevel="1">
      <c r="B23" s="200">
        <v>3</v>
      </c>
      <c r="C23" s="194">
        <v>44958</v>
      </c>
      <c r="D23" s="195" t="s">
        <v>74</v>
      </c>
      <c r="E23" s="72">
        <v>44951</v>
      </c>
      <c r="F23" s="72">
        <v>44960</v>
      </c>
      <c r="G23" s="69" t="s">
        <v>2914</v>
      </c>
      <c r="H23" s="65" t="s">
        <v>394</v>
      </c>
      <c r="I23" s="65" t="s">
        <v>876</v>
      </c>
      <c r="J23" s="65" t="s">
        <v>2915</v>
      </c>
      <c r="K23" s="73">
        <v>44956.833333333336</v>
      </c>
      <c r="L23" s="73">
        <v>44956.833333333336</v>
      </c>
      <c r="M23" s="196">
        <v>44961.611111111109</v>
      </c>
      <c r="N23" s="196">
        <v>44963.229166666664</v>
      </c>
      <c r="O23" s="1188" t="s">
        <v>2916</v>
      </c>
      <c r="P23" s="214"/>
      <c r="Q23" s="214"/>
      <c r="R23" s="214"/>
      <c r="S23" s="214"/>
      <c r="T23" s="214"/>
      <c r="U23" s="214"/>
      <c r="V23" s="214"/>
      <c r="W23" s="62">
        <v>7350.3149999999996</v>
      </c>
      <c r="X23" s="62">
        <v>27207.166000000001</v>
      </c>
      <c r="Y23" s="62">
        <v>6560.6579999999994</v>
      </c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>
        <v>5180</v>
      </c>
      <c r="AO23" s="214"/>
      <c r="AP23" s="214"/>
      <c r="AQ23" s="214"/>
      <c r="AR23" s="214"/>
      <c r="AS23" s="214"/>
      <c r="AT23" s="214"/>
      <c r="AU23" s="62">
        <v>7501.8609999999999</v>
      </c>
      <c r="AV23" s="214"/>
      <c r="AW23" s="214"/>
      <c r="AX23" s="214"/>
      <c r="AY23" s="214"/>
      <c r="AZ23" s="214"/>
      <c r="BA23" s="214"/>
      <c r="BB23" s="214"/>
      <c r="BC23" s="214"/>
      <c r="BD23" s="214"/>
      <c r="BE23" s="214">
        <v>53800</v>
      </c>
      <c r="BF23" s="214">
        <v>53800</v>
      </c>
      <c r="BG23" s="1178">
        <f t="shared" si="3"/>
        <v>53799.999999999993</v>
      </c>
      <c r="BH23" s="254">
        <v>8000</v>
      </c>
      <c r="BI23" s="1188" t="s">
        <v>4</v>
      </c>
      <c r="BJ23" s="1188" t="s">
        <v>5</v>
      </c>
      <c r="BK23" s="75" t="s">
        <v>2920</v>
      </c>
      <c r="BL23" s="197">
        <v>44952.800694444442</v>
      </c>
      <c r="BM23" s="197">
        <v>44952.800694444442</v>
      </c>
      <c r="BN23" s="197"/>
      <c r="BO23" s="198">
        <v>53549</v>
      </c>
      <c r="BP23" s="65" t="str">
        <f t="shared" si="4"/>
        <v>SUPER HANDYMAX</v>
      </c>
      <c r="BQ23" s="197"/>
      <c r="BR23" s="197"/>
      <c r="BS23" s="197"/>
      <c r="BT23" s="197"/>
      <c r="BU23" s="197"/>
      <c r="BV23" s="197"/>
      <c r="BW23" s="197"/>
      <c r="BX23" s="65" t="s">
        <v>2938</v>
      </c>
      <c r="QX23" s="26"/>
      <c r="QY23" s="26"/>
      <c r="QZ23" s="26"/>
      <c r="RA23" s="26"/>
      <c r="RB23" s="26"/>
      <c r="RC23" s="26" t="s">
        <v>2939</v>
      </c>
      <c r="RD23" s="26"/>
      <c r="RE23" s="26"/>
      <c r="RF23" s="26"/>
      <c r="RG23" s="26">
        <v>2</v>
      </c>
    </row>
    <row r="24" spans="2:591" s="65" customFormat="1" ht="14.4" outlineLevel="1">
      <c r="B24" s="200">
        <v>4</v>
      </c>
      <c r="C24" s="194">
        <v>44958</v>
      </c>
      <c r="D24" s="195" t="s">
        <v>74</v>
      </c>
      <c r="E24" s="72">
        <v>44961</v>
      </c>
      <c r="F24" s="72">
        <v>44973</v>
      </c>
      <c r="G24" s="69" t="s">
        <v>107</v>
      </c>
      <c r="H24" s="65" t="s">
        <v>393</v>
      </c>
      <c r="I24" s="65" t="s">
        <v>881</v>
      </c>
      <c r="J24" s="65" t="s">
        <v>2922</v>
      </c>
      <c r="K24" s="73">
        <v>44961.854166666664</v>
      </c>
      <c r="L24" s="73">
        <v>44961.895833333336</v>
      </c>
      <c r="M24" s="196">
        <v>44962.043749999997</v>
      </c>
      <c r="N24" s="196">
        <v>44963.538888888892</v>
      </c>
      <c r="O24" s="1188" t="s">
        <v>2916</v>
      </c>
      <c r="P24" s="214"/>
      <c r="Q24" s="62">
        <v>1682.8660000000091</v>
      </c>
      <c r="R24" s="62"/>
      <c r="S24" s="62"/>
      <c r="T24" s="62"/>
      <c r="U24" s="62"/>
      <c r="V24" s="62"/>
      <c r="W24" s="62"/>
      <c r="X24" s="62">
        <v>52282.03</v>
      </c>
      <c r="Y24" s="214"/>
      <c r="Z24" s="214"/>
      <c r="AA24" s="214"/>
      <c r="AB24" s="214"/>
      <c r="AC24" s="214"/>
      <c r="AD24" s="214"/>
      <c r="AE24" s="214"/>
      <c r="AF24" s="214"/>
      <c r="AG24" s="62">
        <v>7500</v>
      </c>
      <c r="AH24" s="214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4"/>
      <c r="AT24" s="214"/>
      <c r="AU24" s="62">
        <v>7535.1040000000003</v>
      </c>
      <c r="AV24" s="214"/>
      <c r="AW24" s="214"/>
      <c r="AX24" s="214"/>
      <c r="AY24" s="214"/>
      <c r="AZ24" s="214"/>
      <c r="BA24" s="214"/>
      <c r="BB24" s="214"/>
      <c r="BC24" s="214"/>
      <c r="BD24" s="214"/>
      <c r="BE24" s="214">
        <v>69000</v>
      </c>
      <c r="BF24" s="214">
        <v>69000</v>
      </c>
      <c r="BG24" s="1178">
        <f t="shared" si="3"/>
        <v>69000.000000000015</v>
      </c>
      <c r="BH24" s="254">
        <v>10000</v>
      </c>
      <c r="BI24" s="1188" t="s">
        <v>20</v>
      </c>
      <c r="BJ24" s="1188" t="s">
        <v>2923</v>
      </c>
      <c r="BK24" s="75" t="s">
        <v>2924</v>
      </c>
      <c r="BL24" s="197">
        <v>44952.692361111112</v>
      </c>
      <c r="BM24" s="197">
        <v>44957.381249999999</v>
      </c>
      <c r="BN24" s="197"/>
      <c r="BO24" s="198">
        <v>75410</v>
      </c>
      <c r="BP24" s="65" t="str">
        <f t="shared" si="4"/>
        <v>PANAMAX</v>
      </c>
      <c r="BQ24" s="197"/>
      <c r="BR24" s="197"/>
      <c r="BS24" s="197"/>
      <c r="BT24" s="197"/>
      <c r="BU24" s="197"/>
      <c r="BV24" s="197"/>
      <c r="BW24" s="197"/>
      <c r="BX24" s="65" t="s">
        <v>2940</v>
      </c>
      <c r="RH24" s="26" t="s">
        <v>2939</v>
      </c>
      <c r="RI24" s="26">
        <v>2</v>
      </c>
      <c r="RJ24" s="26"/>
      <c r="RK24" s="26"/>
      <c r="RL24" s="26"/>
      <c r="RM24" s="26"/>
      <c r="RN24" s="26"/>
      <c r="RO24" s="26"/>
      <c r="RP24" s="26"/>
      <c r="RQ24" s="26"/>
      <c r="RR24" s="26"/>
      <c r="RS24" s="26"/>
      <c r="RT24" s="26"/>
    </row>
    <row r="25" spans="2:591" s="65" customFormat="1" ht="14.4" outlineLevel="1">
      <c r="B25" s="200">
        <v>5</v>
      </c>
      <c r="C25" s="194">
        <v>44958</v>
      </c>
      <c r="D25" s="195" t="s">
        <v>74</v>
      </c>
      <c r="E25" s="72">
        <v>44958</v>
      </c>
      <c r="F25" s="72">
        <v>44967</v>
      </c>
      <c r="G25" s="69" t="s">
        <v>2914</v>
      </c>
      <c r="H25" s="65" t="s">
        <v>416</v>
      </c>
      <c r="I25" s="65" t="s">
        <v>883</v>
      </c>
      <c r="J25" s="65" t="s">
        <v>2926</v>
      </c>
      <c r="K25" s="73">
        <v>44955.895833333336</v>
      </c>
      <c r="L25" s="73">
        <v>44955.895833333336</v>
      </c>
      <c r="M25" s="196">
        <v>44962.770833333336</v>
      </c>
      <c r="N25" s="196">
        <v>44964.548611111109</v>
      </c>
      <c r="O25" s="1188" t="s">
        <v>2916</v>
      </c>
      <c r="P25" s="214"/>
      <c r="Q25" s="214"/>
      <c r="R25" s="214"/>
      <c r="S25" s="214"/>
      <c r="T25" s="214"/>
      <c r="U25" s="62">
        <v>7441.35</v>
      </c>
      <c r="V25" s="62"/>
      <c r="W25" s="62"/>
      <c r="X25" s="62">
        <v>27470.058999999997</v>
      </c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>
        <v>15088.591</v>
      </c>
      <c r="AV25" s="214"/>
      <c r="AW25" s="214"/>
      <c r="AX25" s="214"/>
      <c r="AY25" s="214"/>
      <c r="AZ25" s="214"/>
      <c r="BA25" s="214"/>
      <c r="BB25" s="214"/>
      <c r="BC25" s="214"/>
      <c r="BD25" s="214"/>
      <c r="BE25" s="214">
        <v>50000</v>
      </c>
      <c r="BF25" s="66">
        <v>50000</v>
      </c>
      <c r="BG25" s="1178">
        <f t="shared" si="3"/>
        <v>50000</v>
      </c>
      <c r="BH25" s="254"/>
      <c r="BI25" s="1188" t="s">
        <v>2917</v>
      </c>
      <c r="BJ25" s="1188" t="s">
        <v>41</v>
      </c>
      <c r="BK25" s="75" t="s">
        <v>2937</v>
      </c>
      <c r="BL25" s="197">
        <v>44955.546527777777</v>
      </c>
      <c r="BM25" s="197">
        <v>44958.55972222222</v>
      </c>
      <c r="BN25" s="197"/>
      <c r="BO25" s="198">
        <v>95740</v>
      </c>
      <c r="BP25" s="65" t="str">
        <f t="shared" si="4"/>
        <v>POST PANAMAX</v>
      </c>
      <c r="BQ25" s="197"/>
      <c r="BR25" s="197"/>
      <c r="BS25" s="197"/>
      <c r="BT25" s="197"/>
      <c r="BU25" s="197"/>
      <c r="BV25" s="197"/>
      <c r="BW25" s="197"/>
      <c r="BX25" s="65" t="s">
        <v>2941</v>
      </c>
      <c r="RB25" s="65">
        <v>1</v>
      </c>
      <c r="RE25" s="26"/>
      <c r="RF25" s="26"/>
      <c r="RG25" s="26"/>
      <c r="RH25" s="26"/>
      <c r="RI25" s="26"/>
      <c r="RJ25" s="26"/>
      <c r="RK25" s="26"/>
      <c r="RL25" s="26"/>
      <c r="RM25" s="26"/>
      <c r="RN25" s="26"/>
    </row>
    <row r="26" spans="2:591" s="65" customFormat="1" ht="14.4" outlineLevel="1">
      <c r="B26" s="200">
        <v>6</v>
      </c>
      <c r="C26" s="194">
        <v>44958</v>
      </c>
      <c r="D26" s="195" t="s">
        <v>85</v>
      </c>
      <c r="E26" s="72">
        <v>44959</v>
      </c>
      <c r="F26" s="72">
        <v>44968</v>
      </c>
      <c r="G26" s="69" t="s">
        <v>2942</v>
      </c>
      <c r="H26" s="65" t="s">
        <v>433</v>
      </c>
      <c r="I26" s="65" t="s">
        <v>888</v>
      </c>
      <c r="J26" s="65" t="s">
        <v>2943</v>
      </c>
      <c r="K26" s="73">
        <v>44964.125</v>
      </c>
      <c r="L26" s="73">
        <v>44964.195833333331</v>
      </c>
      <c r="M26" s="196">
        <v>44964.833333333336</v>
      </c>
      <c r="N26" s="196">
        <v>44971.923611111109</v>
      </c>
      <c r="O26" s="1188" t="s">
        <v>2916</v>
      </c>
      <c r="P26" s="214"/>
      <c r="Q26" s="214"/>
      <c r="R26" s="214"/>
      <c r="S26" s="214"/>
      <c r="T26" s="214"/>
      <c r="U26" s="62">
        <v>5606.3189999999995</v>
      </c>
      <c r="V26" s="62">
        <v>1868.7729999999999</v>
      </c>
      <c r="W26" s="62"/>
      <c r="X26" s="62"/>
      <c r="Y26" s="62">
        <v>15220.831999999999</v>
      </c>
      <c r="Z26" s="62">
        <v>32304.076000000001</v>
      </c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66">
        <v>55000</v>
      </c>
      <c r="BF26" s="66">
        <v>55000</v>
      </c>
      <c r="BG26" s="1178">
        <f t="shared" si="3"/>
        <v>55000</v>
      </c>
      <c r="BH26" s="254">
        <v>10000</v>
      </c>
      <c r="BI26" s="1188" t="s">
        <v>16</v>
      </c>
      <c r="BJ26" s="1188" t="s">
        <v>45</v>
      </c>
      <c r="BK26" s="75" t="s">
        <v>2944</v>
      </c>
      <c r="BL26" s="197">
        <v>44949.411805555559</v>
      </c>
      <c r="BM26" s="197">
        <v>44955.584027777775</v>
      </c>
      <c r="BN26" s="197"/>
      <c r="BO26" s="198">
        <v>61392</v>
      </c>
      <c r="BP26" s="65" t="str">
        <f t="shared" si="4"/>
        <v>PANAMAX</v>
      </c>
      <c r="BQ26" s="197"/>
      <c r="BR26" s="197"/>
      <c r="BS26" s="197"/>
      <c r="BT26" s="197"/>
      <c r="BU26" s="197"/>
      <c r="BV26" s="197"/>
      <c r="BW26" s="197"/>
      <c r="BX26" s="65" t="s">
        <v>2945</v>
      </c>
      <c r="RA26" s="65">
        <v>3</v>
      </c>
      <c r="RF26" s="26"/>
      <c r="RG26" s="26">
        <v>1</v>
      </c>
      <c r="RH26" s="26"/>
      <c r="RI26" s="26"/>
      <c r="RJ26" s="26"/>
      <c r="RK26" s="26">
        <v>4</v>
      </c>
      <c r="RL26" s="26" t="s">
        <v>2946</v>
      </c>
      <c r="RM26" s="26"/>
      <c r="RN26" s="26"/>
      <c r="RO26" s="26"/>
    </row>
    <row r="27" spans="2:591" s="65" customFormat="1" ht="14.4" outlineLevel="1">
      <c r="B27" s="200">
        <v>7</v>
      </c>
      <c r="C27" s="194">
        <v>44958</v>
      </c>
      <c r="D27" s="195" t="s">
        <v>74</v>
      </c>
      <c r="E27" s="72">
        <v>44971</v>
      </c>
      <c r="F27" s="72">
        <v>44980</v>
      </c>
      <c r="G27" s="69" t="s">
        <v>2914</v>
      </c>
      <c r="H27" s="65" t="s">
        <v>693</v>
      </c>
      <c r="I27" s="65" t="s">
        <v>891</v>
      </c>
      <c r="J27" s="65" t="s">
        <v>2922</v>
      </c>
      <c r="K27" s="73">
        <v>44973.989583333336</v>
      </c>
      <c r="L27" s="73">
        <v>44973.999305555553</v>
      </c>
      <c r="M27" s="165">
        <v>44974.666666666664</v>
      </c>
      <c r="N27" s="196">
        <v>44976.864583333336</v>
      </c>
      <c r="O27" s="1188" t="s">
        <v>2916</v>
      </c>
      <c r="P27" s="214"/>
      <c r="Q27" s="214"/>
      <c r="R27" s="214"/>
      <c r="S27" s="214"/>
      <c r="T27" s="214"/>
      <c r="U27" s="214"/>
      <c r="V27" s="214"/>
      <c r="W27" s="214"/>
      <c r="X27" s="214"/>
      <c r="Y27" s="62">
        <v>62600</v>
      </c>
      <c r="Z27" s="214"/>
      <c r="AA27" s="214"/>
      <c r="AB27" s="214"/>
      <c r="AC27" s="214"/>
      <c r="AD27" s="214"/>
      <c r="AE27" s="214"/>
      <c r="AF27" s="214"/>
      <c r="AG27" s="62">
        <v>7500</v>
      </c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4"/>
      <c r="BB27" s="214"/>
      <c r="BC27" s="214"/>
      <c r="BD27" s="214"/>
      <c r="BE27" s="66">
        <v>70100</v>
      </c>
      <c r="BF27" s="66">
        <v>70100</v>
      </c>
      <c r="BG27" s="1178">
        <f t="shared" si="3"/>
        <v>70100</v>
      </c>
      <c r="BH27" s="254">
        <v>8500</v>
      </c>
      <c r="BI27" s="1188" t="s">
        <v>4</v>
      </c>
      <c r="BJ27" s="1188" t="s">
        <v>5</v>
      </c>
      <c r="BK27" s="75" t="s">
        <v>2937</v>
      </c>
      <c r="BL27" s="197">
        <v>44965.44027777778</v>
      </c>
      <c r="BM27" s="197">
        <v>44967.745833333334</v>
      </c>
      <c r="BN27" s="197"/>
      <c r="BO27" s="198">
        <v>72495</v>
      </c>
      <c r="BP27" s="65" t="str">
        <f t="shared" si="4"/>
        <v>PANAMAX</v>
      </c>
      <c r="BQ27" s="197"/>
      <c r="BR27" s="197"/>
      <c r="BS27" s="197"/>
      <c r="BT27" s="197"/>
      <c r="BU27" s="197"/>
      <c r="BV27" s="197"/>
      <c r="BW27" s="197"/>
      <c r="BX27" s="65" t="s">
        <v>2947</v>
      </c>
      <c r="RR27" s="26"/>
      <c r="RS27" s="26">
        <v>1</v>
      </c>
      <c r="RT27" s="26" t="s">
        <v>2946</v>
      </c>
      <c r="RU27" s="26">
        <v>3</v>
      </c>
      <c r="RV27" s="26"/>
      <c r="RW27" s="26"/>
      <c r="RX27" s="26"/>
      <c r="RY27" s="26"/>
      <c r="RZ27" s="26"/>
      <c r="SA27" s="26"/>
    </row>
    <row r="28" spans="2:591" s="65" customFormat="1" ht="14.4" outlineLevel="1">
      <c r="B28" s="200">
        <v>8</v>
      </c>
      <c r="C28" s="194">
        <v>44958</v>
      </c>
      <c r="D28" s="195" t="s">
        <v>73</v>
      </c>
      <c r="E28" s="72">
        <v>44973</v>
      </c>
      <c r="F28" s="72">
        <v>44982</v>
      </c>
      <c r="G28" s="69" t="s">
        <v>2914</v>
      </c>
      <c r="H28" s="65" t="s">
        <v>776</v>
      </c>
      <c r="I28" s="65" t="s">
        <v>895</v>
      </c>
      <c r="J28" s="65" t="s">
        <v>2933</v>
      </c>
      <c r="K28" s="73">
        <v>44971.8125</v>
      </c>
      <c r="L28" s="73">
        <v>44971.791666666664</v>
      </c>
      <c r="M28" s="196">
        <v>44978.083333333336</v>
      </c>
      <c r="N28" s="165">
        <v>44979.631944444445</v>
      </c>
      <c r="O28" s="1188" t="s">
        <v>2916</v>
      </c>
      <c r="P28" s="62">
        <v>7527.8490000000002</v>
      </c>
      <c r="Q28" s="62"/>
      <c r="R28" s="62"/>
      <c r="S28" s="62"/>
      <c r="T28" s="62"/>
      <c r="U28" s="62">
        <v>31252.151000000002</v>
      </c>
      <c r="V28" s="62"/>
      <c r="W28" s="62"/>
      <c r="X28" s="62"/>
      <c r="Y28" s="62"/>
      <c r="Z28" s="62"/>
      <c r="AA28" s="214"/>
      <c r="AB28" s="214"/>
      <c r="AC28" s="214"/>
      <c r="AD28" s="214"/>
      <c r="AE28" s="214"/>
      <c r="AF28" s="214"/>
      <c r="AG28" s="62">
        <v>7500</v>
      </c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66">
        <v>46280</v>
      </c>
      <c r="BF28" s="66">
        <v>46280</v>
      </c>
      <c r="BG28" s="1178">
        <f t="shared" si="3"/>
        <v>46280</v>
      </c>
      <c r="BH28" s="254"/>
      <c r="BI28" s="1188" t="s">
        <v>12</v>
      </c>
      <c r="BJ28" s="1188" t="s">
        <v>37</v>
      </c>
      <c r="BK28" s="75" t="s">
        <v>2927</v>
      </c>
      <c r="BL28" s="197">
        <v>44964.998611111114</v>
      </c>
      <c r="BM28" s="197">
        <v>44970.497916666667</v>
      </c>
      <c r="BN28" s="197"/>
      <c r="BO28" s="198">
        <v>62587</v>
      </c>
      <c r="BP28" s="65" t="str">
        <f t="shared" si="4"/>
        <v>PANAMAX</v>
      </c>
      <c r="BQ28" s="197"/>
      <c r="BR28" s="197"/>
      <c r="BS28" s="197"/>
      <c r="BT28" s="197"/>
      <c r="BU28" s="197"/>
      <c r="BV28" s="197"/>
      <c r="BW28" s="197"/>
      <c r="RR28" s="65" t="s">
        <v>2946</v>
      </c>
      <c r="RS28" s="65">
        <v>3</v>
      </c>
      <c r="RT28" s="26">
        <v>1</v>
      </c>
      <c r="RU28" s="26"/>
      <c r="RV28" s="26"/>
      <c r="RW28" s="26"/>
      <c r="RX28" s="26"/>
      <c r="RY28" s="26"/>
      <c r="RZ28" s="26"/>
      <c r="SA28" s="26"/>
      <c r="SB28" s="26"/>
      <c r="SC28" s="26"/>
    </row>
    <row r="29" spans="2:591" s="65" customFormat="1" ht="14.4" outlineLevel="1">
      <c r="B29" s="200">
        <v>9</v>
      </c>
      <c r="C29" s="194">
        <v>44958</v>
      </c>
      <c r="D29" s="195" t="s">
        <v>74</v>
      </c>
      <c r="E29" s="72">
        <v>44972</v>
      </c>
      <c r="F29" s="72">
        <v>44977</v>
      </c>
      <c r="G29" s="69" t="s">
        <v>2914</v>
      </c>
      <c r="H29" s="65" t="s">
        <v>684</v>
      </c>
      <c r="I29" s="65" t="s">
        <v>899</v>
      </c>
      <c r="J29" s="65" t="s">
        <v>2948</v>
      </c>
      <c r="K29" s="73">
        <v>44972.000694444447</v>
      </c>
      <c r="L29" s="73">
        <v>44972.000694444447</v>
      </c>
      <c r="M29" s="196">
        <v>44977.875</v>
      </c>
      <c r="N29" s="165">
        <v>44979.90625</v>
      </c>
      <c r="O29" s="1188" t="s">
        <v>2916</v>
      </c>
      <c r="P29" s="214"/>
      <c r="Q29" s="62"/>
      <c r="R29" s="62"/>
      <c r="S29" s="62"/>
      <c r="T29" s="62"/>
      <c r="U29" s="62">
        <v>15023.315000000001</v>
      </c>
      <c r="V29" s="62"/>
      <c r="W29" s="62"/>
      <c r="X29" s="62">
        <v>54476.685000000005</v>
      </c>
      <c r="Y29" s="62"/>
      <c r="Z29" s="62"/>
      <c r="AA29" s="62"/>
      <c r="AB29" s="62"/>
      <c r="AC29" s="62"/>
      <c r="AD29" s="62"/>
      <c r="AE29" s="62"/>
      <c r="AF29" s="62"/>
      <c r="AG29" s="62">
        <v>7500</v>
      </c>
      <c r="AH29" s="62"/>
      <c r="AI29" s="62"/>
      <c r="AJ29" s="62"/>
      <c r="AK29" s="62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66">
        <v>77000</v>
      </c>
      <c r="BF29" s="66">
        <v>77000</v>
      </c>
      <c r="BG29" s="1178">
        <f t="shared" si="3"/>
        <v>77000</v>
      </c>
      <c r="BH29" s="254"/>
      <c r="BI29" s="1188" t="s">
        <v>4</v>
      </c>
      <c r="BJ29" s="1188" t="s">
        <v>5</v>
      </c>
      <c r="BK29" s="75" t="s">
        <v>2937</v>
      </c>
      <c r="BL29" s="197">
        <v>44967.48333333333</v>
      </c>
      <c r="BM29" s="197">
        <v>44968.567361111112</v>
      </c>
      <c r="BN29" s="197"/>
      <c r="BO29" s="198">
        <v>80283</v>
      </c>
      <c r="BP29" s="65" t="str">
        <f t="shared" si="4"/>
        <v>POST PANAMAX</v>
      </c>
      <c r="BQ29" s="197"/>
      <c r="BR29" s="197"/>
      <c r="BS29" s="197"/>
      <c r="BT29" s="197"/>
      <c r="BU29" s="197"/>
      <c r="BV29" s="197"/>
      <c r="BW29" s="197"/>
      <c r="BX29" s="65" t="s">
        <v>2949</v>
      </c>
      <c r="RS29" s="26">
        <v>1</v>
      </c>
      <c r="RT29" s="26"/>
      <c r="RU29" s="26"/>
      <c r="RV29" s="26"/>
      <c r="RW29" s="26"/>
      <c r="RX29" s="26"/>
    </row>
    <row r="30" spans="2:591" s="65" customFormat="1" ht="14.4" outlineLevel="1">
      <c r="B30" s="200">
        <v>10</v>
      </c>
      <c r="C30" s="194">
        <v>44958</v>
      </c>
      <c r="D30" s="195" t="s">
        <v>74</v>
      </c>
      <c r="E30" s="72">
        <v>44973</v>
      </c>
      <c r="F30" s="72">
        <v>44982</v>
      </c>
      <c r="G30" s="69" t="s">
        <v>107</v>
      </c>
      <c r="H30" s="65" t="s">
        <v>680</v>
      </c>
      <c r="I30" s="65" t="s">
        <v>902</v>
      </c>
      <c r="J30" s="65" t="s">
        <v>2926</v>
      </c>
      <c r="K30" s="73">
        <v>44978.833333333336</v>
      </c>
      <c r="L30" s="73">
        <v>44978.833333333336</v>
      </c>
      <c r="M30" s="196">
        <v>44980.762499999997</v>
      </c>
      <c r="N30" s="196">
        <v>44982.34375</v>
      </c>
      <c r="O30" s="1188" t="s">
        <v>2916</v>
      </c>
      <c r="P30" s="58">
        <v>3911</v>
      </c>
      <c r="Q30" s="62"/>
      <c r="R30" s="62"/>
      <c r="S30" s="62"/>
      <c r="T30" s="62"/>
      <c r="U30" s="58">
        <v>2996</v>
      </c>
      <c r="V30" s="62"/>
      <c r="W30" s="62"/>
      <c r="X30" s="62">
        <v>39362.745599999995</v>
      </c>
      <c r="Y30" s="62">
        <v>8335.1864000000005</v>
      </c>
      <c r="Z30" s="214"/>
      <c r="AA30" s="214"/>
      <c r="AB30" s="214"/>
      <c r="AC30" s="214"/>
      <c r="AD30" s="214"/>
      <c r="AE30" s="214"/>
      <c r="AF30" s="62">
        <v>15000</v>
      </c>
      <c r="AG30" s="214"/>
      <c r="AH30" s="214"/>
      <c r="AI30" s="214"/>
      <c r="AJ30" s="214"/>
      <c r="AK30" s="214"/>
      <c r="AL30" s="214"/>
      <c r="AM30" s="214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6">
        <v>69602</v>
      </c>
      <c r="BF30" s="66">
        <v>69602</v>
      </c>
      <c r="BG30" s="1178">
        <f t="shared" si="3"/>
        <v>69604.932000000001</v>
      </c>
      <c r="BH30" s="254">
        <v>8937</v>
      </c>
      <c r="BI30" s="1188" t="s">
        <v>20</v>
      </c>
      <c r="BJ30" s="1188" t="s">
        <v>2923</v>
      </c>
      <c r="BK30" s="75" t="s">
        <v>2927</v>
      </c>
      <c r="BL30" s="197">
        <v>44971.457638888889</v>
      </c>
      <c r="BM30" s="197">
        <v>44974.607638888891</v>
      </c>
      <c r="BN30" s="197"/>
      <c r="BO30" s="198">
        <v>83416</v>
      </c>
      <c r="BP30" s="65" t="str">
        <f t="shared" si="4"/>
        <v>POST PANAMAX</v>
      </c>
      <c r="BQ30" s="197"/>
      <c r="BR30" s="197"/>
      <c r="BS30" s="197"/>
      <c r="BT30" s="197"/>
      <c r="BU30" s="197"/>
      <c r="BV30" s="197"/>
      <c r="BW30" s="197"/>
      <c r="BX30" s="65" t="s">
        <v>2950</v>
      </c>
      <c r="RT30" s="26">
        <v>1</v>
      </c>
      <c r="RU30" s="26"/>
      <c r="RV30" s="26"/>
      <c r="RW30" s="26"/>
      <c r="RX30" s="26">
        <v>2</v>
      </c>
      <c r="RY30" s="26">
        <v>3</v>
      </c>
      <c r="RZ30" s="26"/>
      <c r="SA30" s="26"/>
      <c r="SB30" s="26"/>
      <c r="SC30" s="26"/>
    </row>
    <row r="31" spans="2:591" s="65" customFormat="1" ht="14.4" outlineLevel="1">
      <c r="B31" s="200">
        <v>11</v>
      </c>
      <c r="C31" s="194">
        <v>44958</v>
      </c>
      <c r="D31" s="195" t="s">
        <v>73</v>
      </c>
      <c r="E31" s="72">
        <v>44976</v>
      </c>
      <c r="F31" s="72">
        <v>44985</v>
      </c>
      <c r="G31" s="69" t="s">
        <v>2914</v>
      </c>
      <c r="H31" s="65" t="s">
        <v>753</v>
      </c>
      <c r="I31" s="65" t="s">
        <v>905</v>
      </c>
      <c r="J31" s="65" t="s">
        <v>2933</v>
      </c>
      <c r="K31" s="73">
        <v>44976.541666666664</v>
      </c>
      <c r="L31" s="73">
        <v>44976.583333333336</v>
      </c>
      <c r="M31" s="196">
        <v>44980.743055555555</v>
      </c>
      <c r="N31" s="196">
        <v>44983.038194444445</v>
      </c>
      <c r="O31" s="1188" t="s">
        <v>2916</v>
      </c>
      <c r="P31" s="62">
        <v>15021.486000000001</v>
      </c>
      <c r="Q31" s="62"/>
      <c r="R31" s="62"/>
      <c r="S31" s="62"/>
      <c r="T31" s="62"/>
      <c r="U31" s="62">
        <v>3916.4909999999995</v>
      </c>
      <c r="V31" s="62">
        <v>49462.023000000001</v>
      </c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6">
        <v>68400</v>
      </c>
      <c r="BF31" s="66">
        <v>68400</v>
      </c>
      <c r="BG31" s="1178">
        <f t="shared" si="3"/>
        <v>68400</v>
      </c>
      <c r="BH31" s="254">
        <v>18000</v>
      </c>
      <c r="BI31" s="1188" t="s">
        <v>4</v>
      </c>
      <c r="BJ31" s="1188" t="s">
        <v>5</v>
      </c>
      <c r="BK31" s="75" t="s">
        <v>2937</v>
      </c>
      <c r="BL31" s="197">
        <v>44967.463194444441</v>
      </c>
      <c r="BM31" s="197">
        <v>44972.584722222222</v>
      </c>
      <c r="BN31" s="197"/>
      <c r="BO31" s="198">
        <v>82122</v>
      </c>
      <c r="BP31" s="65" t="str">
        <f t="shared" si="4"/>
        <v>POST PANAMAX</v>
      </c>
      <c r="BQ31" s="197"/>
      <c r="BR31" s="197"/>
      <c r="BS31" s="197"/>
      <c r="BT31" s="197"/>
      <c r="BU31" s="197"/>
      <c r="BV31" s="197"/>
      <c r="BW31" s="197"/>
      <c r="BX31" s="65" t="s">
        <v>2951</v>
      </c>
      <c r="RW31" s="26">
        <v>1</v>
      </c>
      <c r="RX31" s="26"/>
      <c r="RY31" s="26"/>
      <c r="RZ31" s="26"/>
      <c r="SA31" s="26"/>
      <c r="SB31" s="26"/>
      <c r="SC31" s="26"/>
      <c r="SD31" s="26"/>
      <c r="SE31" s="26"/>
      <c r="SF31" s="26"/>
    </row>
    <row r="32" spans="2:591" s="65" customFormat="1" ht="14.4" outlineLevel="1">
      <c r="B32" s="200">
        <v>12</v>
      </c>
      <c r="C32" s="194">
        <v>44958</v>
      </c>
      <c r="D32" s="195" t="s">
        <v>74</v>
      </c>
      <c r="E32" s="72">
        <v>44975</v>
      </c>
      <c r="F32" s="72">
        <v>44984</v>
      </c>
      <c r="G32" s="69" t="s">
        <v>107</v>
      </c>
      <c r="H32" s="65" t="s">
        <v>724</v>
      </c>
      <c r="I32" s="65" t="s">
        <v>908</v>
      </c>
      <c r="J32" s="65" t="s">
        <v>2926</v>
      </c>
      <c r="K32" s="73">
        <v>44977.541666666664</v>
      </c>
      <c r="L32" s="73">
        <v>44977.520833333336</v>
      </c>
      <c r="M32" s="165">
        <v>44982.522916666669</v>
      </c>
      <c r="N32" s="196">
        <v>44983.955555555556</v>
      </c>
      <c r="O32" s="1188" t="s">
        <v>2916</v>
      </c>
      <c r="P32" s="62">
        <v>2177.4599999999919</v>
      </c>
      <c r="Q32" s="62"/>
      <c r="R32" s="62"/>
      <c r="S32" s="62"/>
      <c r="T32" s="62"/>
      <c r="U32" s="62"/>
      <c r="V32" s="62"/>
      <c r="W32" s="62"/>
      <c r="X32" s="62">
        <v>43252.677999999993</v>
      </c>
      <c r="Y32" s="62">
        <v>18536.861999999997</v>
      </c>
      <c r="Z32" s="62"/>
      <c r="AA32" s="62"/>
      <c r="AB32" s="62"/>
      <c r="AC32" s="62"/>
      <c r="AD32" s="62"/>
      <c r="AE32" s="62"/>
      <c r="AF32" s="62"/>
      <c r="AG32" s="62">
        <v>7500</v>
      </c>
      <c r="AH32" s="214"/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  <c r="AS32" s="214"/>
      <c r="AT32" s="214"/>
      <c r="AU32" s="214"/>
      <c r="AV32" s="214"/>
      <c r="AW32" s="214"/>
      <c r="AX32" s="214"/>
      <c r="AY32" s="214"/>
      <c r="AZ32" s="214"/>
      <c r="BA32" s="214"/>
      <c r="BB32" s="214"/>
      <c r="BC32" s="214"/>
      <c r="BD32" s="214"/>
      <c r="BE32" s="66">
        <v>71500</v>
      </c>
      <c r="BF32" s="66">
        <v>71500</v>
      </c>
      <c r="BG32" s="1178">
        <f t="shared" si="3"/>
        <v>71466.999999999985</v>
      </c>
      <c r="BH32" s="254">
        <v>8937</v>
      </c>
      <c r="BI32" s="1188" t="s">
        <v>20</v>
      </c>
      <c r="BJ32" s="1188" t="s">
        <v>2923</v>
      </c>
      <c r="BK32" s="75" t="s">
        <v>2927</v>
      </c>
      <c r="BL32" s="199">
        <v>44971.931944444441</v>
      </c>
      <c r="BM32" s="197">
        <v>44974.727083333331</v>
      </c>
      <c r="BN32" s="197"/>
      <c r="BO32" s="198">
        <v>82338</v>
      </c>
      <c r="BP32" s="65" t="str">
        <f t="shared" si="4"/>
        <v>POST PANAMAX</v>
      </c>
      <c r="BQ32" s="197"/>
      <c r="BR32" s="197"/>
      <c r="BS32" s="197"/>
      <c r="BT32" s="197"/>
      <c r="BU32" s="197"/>
      <c r="BV32" s="197"/>
      <c r="BW32" s="197"/>
      <c r="BX32" s="65" t="s">
        <v>2952</v>
      </c>
      <c r="RV32" s="26">
        <v>1</v>
      </c>
      <c r="RW32" s="26"/>
      <c r="RX32" s="26">
        <v>2</v>
      </c>
      <c r="RY32" s="26"/>
      <c r="RZ32" s="26"/>
      <c r="SA32" s="26"/>
      <c r="SB32" s="26"/>
      <c r="SC32" s="26"/>
      <c r="SD32" s="26"/>
      <c r="SE32" s="26"/>
    </row>
    <row r="33" spans="2:591" s="65" customFormat="1" ht="14.4" outlineLevel="1">
      <c r="B33" s="200">
        <v>13</v>
      </c>
      <c r="C33" s="194">
        <v>44958</v>
      </c>
      <c r="D33" s="195" t="s">
        <v>73</v>
      </c>
      <c r="E33" s="72">
        <v>44974</v>
      </c>
      <c r="F33" s="72">
        <v>44983</v>
      </c>
      <c r="G33" s="69" t="s">
        <v>2914</v>
      </c>
      <c r="H33" s="65" t="s">
        <v>756</v>
      </c>
      <c r="I33" s="65" t="s">
        <v>910</v>
      </c>
      <c r="J33" s="65" t="s">
        <v>2933</v>
      </c>
      <c r="K33" s="73">
        <v>44981.375</v>
      </c>
      <c r="L33" s="73">
        <v>44981.375</v>
      </c>
      <c r="M33" s="196">
        <v>44981.885416666664</v>
      </c>
      <c r="N33" s="196">
        <v>44984.100694444445</v>
      </c>
      <c r="O33" s="1188" t="s">
        <v>2916</v>
      </c>
      <c r="P33" s="62">
        <v>15037.330999999998</v>
      </c>
      <c r="Q33" s="62"/>
      <c r="R33" s="62"/>
      <c r="S33" s="62"/>
      <c r="T33" s="62"/>
      <c r="U33" s="62">
        <v>18887.821550000001</v>
      </c>
      <c r="V33" s="62">
        <v>28815.847450000001</v>
      </c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214"/>
      <c r="AL33" s="62">
        <v>7509</v>
      </c>
      <c r="AM33" s="214"/>
      <c r="AN33" s="214"/>
      <c r="AO33" s="214"/>
      <c r="AP33" s="214"/>
      <c r="AQ33" s="214"/>
      <c r="AR33" s="214"/>
      <c r="AS33" s="214"/>
      <c r="AT33" s="214"/>
      <c r="AU33" s="214"/>
      <c r="AV33" s="214"/>
      <c r="AW33" s="214"/>
      <c r="AX33" s="214"/>
      <c r="AY33" s="214"/>
      <c r="AZ33" s="214"/>
      <c r="BA33" s="214"/>
      <c r="BB33" s="214"/>
      <c r="BC33" s="214"/>
      <c r="BD33" s="214"/>
      <c r="BE33" s="214">
        <v>70250</v>
      </c>
      <c r="BF33" s="214">
        <v>70250</v>
      </c>
      <c r="BG33" s="1178">
        <f t="shared" si="3"/>
        <v>70250</v>
      </c>
      <c r="BH33" s="254">
        <v>16950</v>
      </c>
      <c r="BI33" s="1188" t="s">
        <v>12</v>
      </c>
      <c r="BJ33" s="1188" t="s">
        <v>32</v>
      </c>
      <c r="BK33" s="75" t="s">
        <v>2924</v>
      </c>
      <c r="BL33" s="197">
        <v>44966.65</v>
      </c>
      <c r="BM33" s="197">
        <v>44973.42083333333</v>
      </c>
      <c r="BN33" s="197"/>
      <c r="BO33" s="198">
        <v>88703</v>
      </c>
      <c r="BP33" s="65" t="str">
        <f t="shared" si="4"/>
        <v>POST PANAMAX</v>
      </c>
      <c r="BQ33" s="197"/>
      <c r="BR33" s="197"/>
      <c r="BS33" s="197"/>
      <c r="BT33" s="197"/>
      <c r="BU33" s="197"/>
      <c r="BV33" s="197"/>
      <c r="BW33" s="197"/>
      <c r="BX33" s="65" t="s">
        <v>2953</v>
      </c>
      <c r="RU33" s="26"/>
      <c r="RV33" s="26">
        <v>1</v>
      </c>
      <c r="RW33" s="26"/>
      <c r="RX33" s="26"/>
      <c r="RY33" s="26"/>
      <c r="RZ33" s="26">
        <v>3</v>
      </c>
      <c r="SA33" s="26"/>
      <c r="SB33" s="26">
        <v>5</v>
      </c>
      <c r="SC33" s="26" t="s">
        <v>2946</v>
      </c>
      <c r="SD33" s="26"/>
    </row>
    <row r="34" spans="2:591" s="71" customFormat="1" ht="14.4" outlineLevel="1">
      <c r="B34" s="104"/>
      <c r="C34" s="101"/>
      <c r="D34" s="104"/>
      <c r="E34" s="70"/>
      <c r="F34" s="70"/>
      <c r="G34" s="247"/>
      <c r="K34" s="102"/>
      <c r="L34" s="102"/>
      <c r="M34" s="103"/>
      <c r="N34" s="103"/>
      <c r="O34" s="1199" t="s">
        <v>96</v>
      </c>
      <c r="P34" s="458">
        <f>SUM(P21:P33)</f>
        <v>43675.125999999989</v>
      </c>
      <c r="Q34" s="458">
        <f>SUM(Q21:Q33)</f>
        <v>1682.8660000000091</v>
      </c>
      <c r="R34" s="458">
        <f t="shared" ref="R34:BG34" si="5">SUM(R21:R33)</f>
        <v>0</v>
      </c>
      <c r="S34" s="458">
        <f t="shared" si="5"/>
        <v>0</v>
      </c>
      <c r="T34" s="458">
        <f t="shared" si="5"/>
        <v>0</v>
      </c>
      <c r="U34" s="458">
        <f t="shared" si="5"/>
        <v>85123.447550000012</v>
      </c>
      <c r="V34" s="458">
        <f t="shared" si="5"/>
        <v>80146.643450000003</v>
      </c>
      <c r="W34" s="458">
        <f t="shared" si="5"/>
        <v>7350.3149999999996</v>
      </c>
      <c r="X34" s="458">
        <f t="shared" si="5"/>
        <v>287430.36359999998</v>
      </c>
      <c r="Y34" s="458">
        <f t="shared" si="5"/>
        <v>190571.53839999999</v>
      </c>
      <c r="Z34" s="458">
        <f t="shared" si="5"/>
        <v>32304.076000000001</v>
      </c>
      <c r="AA34" s="458">
        <f t="shared" si="5"/>
        <v>0</v>
      </c>
      <c r="AB34" s="458">
        <f t="shared" si="5"/>
        <v>0</v>
      </c>
      <c r="AC34" s="458">
        <f t="shared" si="5"/>
        <v>0</v>
      </c>
      <c r="AD34" s="458">
        <f t="shared" si="5"/>
        <v>0</v>
      </c>
      <c r="AE34" s="458">
        <f t="shared" si="5"/>
        <v>0</v>
      </c>
      <c r="AF34" s="458">
        <f t="shared" si="5"/>
        <v>22500</v>
      </c>
      <c r="AG34" s="458">
        <f t="shared" si="5"/>
        <v>45000</v>
      </c>
      <c r="AH34" s="458">
        <f t="shared" si="5"/>
        <v>0</v>
      </c>
      <c r="AI34" s="458">
        <f t="shared" si="5"/>
        <v>0</v>
      </c>
      <c r="AJ34" s="458">
        <f t="shared" si="5"/>
        <v>0</v>
      </c>
      <c r="AK34" s="458">
        <f t="shared" si="5"/>
        <v>0</v>
      </c>
      <c r="AL34" s="458">
        <f t="shared" si="5"/>
        <v>15012</v>
      </c>
      <c r="AM34" s="458">
        <f t="shared" si="5"/>
        <v>0</v>
      </c>
      <c r="AN34" s="458">
        <f t="shared" si="5"/>
        <v>5180</v>
      </c>
      <c r="AO34" s="458">
        <f t="shared" si="5"/>
        <v>0</v>
      </c>
      <c r="AP34" s="458">
        <f t="shared" si="5"/>
        <v>0</v>
      </c>
      <c r="AQ34" s="458">
        <f t="shared" si="5"/>
        <v>0</v>
      </c>
      <c r="AR34" s="458">
        <f t="shared" si="5"/>
        <v>0</v>
      </c>
      <c r="AS34" s="458">
        <f t="shared" si="5"/>
        <v>0</v>
      </c>
      <c r="AT34" s="458">
        <f t="shared" si="5"/>
        <v>0</v>
      </c>
      <c r="AU34" s="458">
        <f t="shared" si="5"/>
        <v>30125.556</v>
      </c>
      <c r="AV34" s="458">
        <f t="shared" si="5"/>
        <v>0</v>
      </c>
      <c r="AW34" s="458">
        <f t="shared" si="5"/>
        <v>0</v>
      </c>
      <c r="AX34" s="458">
        <f t="shared" si="5"/>
        <v>0</v>
      </c>
      <c r="AY34" s="458">
        <f>SUM(AY21:AY33)</f>
        <v>0</v>
      </c>
      <c r="AZ34" s="458"/>
      <c r="BA34" s="458"/>
      <c r="BB34" s="458"/>
      <c r="BC34" s="458"/>
      <c r="BD34" s="458"/>
      <c r="BE34" s="458">
        <f t="shared" si="5"/>
        <v>846132</v>
      </c>
      <c r="BF34" s="458">
        <f t="shared" si="5"/>
        <v>846132</v>
      </c>
      <c r="BG34" s="1179">
        <f t="shared" si="5"/>
        <v>846101.93200000003</v>
      </c>
      <c r="BH34" s="68"/>
      <c r="BI34" s="1189"/>
      <c r="BJ34" s="1189"/>
      <c r="BK34" s="104"/>
      <c r="BL34" s="105"/>
      <c r="BM34" s="105"/>
      <c r="BN34" s="105"/>
      <c r="BO34" s="106"/>
      <c r="BQ34" s="105"/>
      <c r="BR34" s="105"/>
      <c r="BS34" s="105"/>
      <c r="BT34" s="105"/>
      <c r="BU34" s="105"/>
      <c r="BV34" s="105"/>
      <c r="BW34" s="10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  <c r="IW34" s="65"/>
      <c r="IX34" s="65"/>
      <c r="IY34" s="65"/>
      <c r="IZ34" s="65"/>
      <c r="JA34" s="65"/>
      <c r="JB34" s="65"/>
      <c r="JC34" s="65"/>
      <c r="JD34" s="65"/>
      <c r="JE34" s="65"/>
      <c r="JF34" s="65"/>
      <c r="JG34" s="65"/>
      <c r="JH34" s="65"/>
      <c r="JI34" s="65"/>
      <c r="JJ34" s="65"/>
      <c r="JK34" s="65"/>
      <c r="JL34" s="65"/>
      <c r="JM34" s="65"/>
      <c r="JN34" s="65"/>
      <c r="JO34" s="65"/>
      <c r="JP34" s="65"/>
      <c r="JQ34" s="65"/>
      <c r="JR34" s="65"/>
      <c r="JS34" s="65"/>
      <c r="JT34" s="65"/>
      <c r="JU34" s="65"/>
      <c r="JV34" s="65"/>
      <c r="JW34" s="65"/>
      <c r="JX34" s="65"/>
      <c r="JY34" s="65"/>
      <c r="JZ34" s="65"/>
      <c r="KA34" s="65"/>
      <c r="KB34" s="65"/>
      <c r="KC34" s="65"/>
      <c r="KD34" s="65"/>
      <c r="KE34" s="65"/>
      <c r="KF34" s="65"/>
      <c r="KG34" s="65"/>
      <c r="KH34" s="65"/>
      <c r="KI34" s="65"/>
      <c r="KJ34" s="65"/>
      <c r="KK34" s="65"/>
      <c r="KL34" s="65"/>
      <c r="KM34" s="65"/>
      <c r="KN34" s="65"/>
      <c r="KO34" s="65"/>
      <c r="KP34" s="65"/>
      <c r="KQ34" s="65"/>
      <c r="KR34" s="65"/>
      <c r="KS34" s="65"/>
      <c r="KT34" s="65"/>
      <c r="KU34" s="65"/>
      <c r="KV34" s="65"/>
      <c r="KW34" s="65"/>
      <c r="KX34" s="65"/>
      <c r="KY34" s="65"/>
      <c r="KZ34" s="65"/>
      <c r="LA34" s="65"/>
      <c r="LB34" s="65"/>
      <c r="LC34" s="65"/>
      <c r="LD34" s="65"/>
      <c r="LE34" s="65"/>
      <c r="LF34" s="65"/>
      <c r="LG34" s="65"/>
      <c r="LH34" s="65"/>
      <c r="LI34" s="65"/>
      <c r="LJ34" s="65"/>
      <c r="LK34" s="65"/>
      <c r="LL34" s="65"/>
      <c r="LM34" s="65"/>
      <c r="LN34" s="65"/>
      <c r="LO34" s="65"/>
      <c r="LP34" s="65"/>
      <c r="LQ34" s="65"/>
      <c r="LR34" s="65"/>
      <c r="LS34" s="65"/>
      <c r="LT34" s="65"/>
      <c r="LU34" s="65"/>
      <c r="LV34" s="65"/>
      <c r="LW34" s="65"/>
      <c r="LX34" s="65"/>
      <c r="LY34" s="65"/>
      <c r="LZ34" s="65"/>
      <c r="MA34" s="65"/>
      <c r="MB34" s="65"/>
      <c r="MC34" s="65"/>
      <c r="MD34" s="65"/>
      <c r="ME34" s="65"/>
      <c r="MF34" s="65"/>
      <c r="MG34" s="65"/>
      <c r="MH34" s="65"/>
      <c r="MI34" s="65"/>
      <c r="MJ34" s="65"/>
      <c r="MK34" s="65"/>
      <c r="ML34" s="65"/>
      <c r="MM34" s="65"/>
      <c r="MN34" s="65"/>
      <c r="MO34" s="65"/>
      <c r="MP34" s="65"/>
      <c r="MQ34" s="65"/>
      <c r="MR34" s="65"/>
      <c r="MS34" s="65"/>
      <c r="MT34" s="65"/>
      <c r="MU34" s="65"/>
      <c r="MV34" s="65"/>
      <c r="MW34" s="65"/>
      <c r="MX34" s="65"/>
      <c r="MY34" s="65"/>
      <c r="MZ34" s="65"/>
      <c r="NA34" s="65"/>
      <c r="NB34" s="65"/>
      <c r="NC34" s="65"/>
      <c r="ND34" s="65"/>
      <c r="NE34" s="65"/>
      <c r="NF34" s="65"/>
      <c r="NG34" s="65"/>
      <c r="NH34" s="65"/>
      <c r="NI34" s="65"/>
      <c r="NJ34" s="65"/>
      <c r="NK34" s="65"/>
      <c r="NL34" s="65"/>
      <c r="NM34" s="65"/>
      <c r="NN34" s="65"/>
      <c r="NO34" s="65"/>
      <c r="NP34" s="65"/>
      <c r="NQ34" s="65"/>
      <c r="NR34" s="65"/>
      <c r="NS34" s="65"/>
      <c r="NT34" s="65"/>
      <c r="NU34" s="65"/>
      <c r="NV34" s="65"/>
      <c r="NW34" s="65"/>
      <c r="NX34" s="65"/>
      <c r="NY34" s="65"/>
      <c r="NZ34" s="65"/>
      <c r="OA34" s="65"/>
      <c r="OB34" s="65"/>
      <c r="OC34" s="65"/>
      <c r="OD34" s="65"/>
      <c r="OE34" s="65"/>
      <c r="OF34" s="65"/>
      <c r="OG34" s="65"/>
      <c r="OH34" s="65"/>
      <c r="OI34" s="65"/>
      <c r="OJ34" s="65"/>
      <c r="OK34" s="65"/>
      <c r="OL34" s="65"/>
      <c r="OM34" s="65"/>
      <c r="ON34" s="65"/>
      <c r="OO34" s="65"/>
      <c r="OP34" s="65"/>
      <c r="OQ34" s="65"/>
      <c r="OR34" s="65"/>
      <c r="OS34" s="65"/>
      <c r="OT34" s="65"/>
      <c r="OU34" s="65"/>
      <c r="OV34" s="65"/>
      <c r="OW34" s="65"/>
      <c r="OX34" s="65"/>
      <c r="OY34" s="65"/>
      <c r="OZ34" s="65"/>
      <c r="PA34" s="65"/>
      <c r="PB34" s="65"/>
      <c r="PC34" s="65"/>
      <c r="PD34" s="65"/>
      <c r="PE34" s="65"/>
      <c r="PF34" s="65"/>
      <c r="PG34" s="65"/>
      <c r="PH34" s="65"/>
      <c r="PI34" s="65"/>
      <c r="PJ34" s="65"/>
      <c r="PK34" s="65"/>
      <c r="PL34" s="65"/>
      <c r="PM34" s="65"/>
      <c r="PN34" s="65"/>
      <c r="PO34" s="65"/>
      <c r="PP34" s="65"/>
      <c r="PQ34" s="65"/>
      <c r="PR34" s="65"/>
      <c r="PS34" s="65"/>
      <c r="PT34" s="65"/>
      <c r="PU34" s="65"/>
      <c r="PV34" s="65"/>
      <c r="PW34" s="65"/>
      <c r="PX34" s="65"/>
      <c r="PY34" s="65"/>
      <c r="PZ34" s="65"/>
      <c r="QA34" s="65"/>
      <c r="QB34" s="65"/>
      <c r="QC34" s="65"/>
      <c r="QD34" s="65"/>
      <c r="QE34" s="65"/>
      <c r="QF34" s="65"/>
      <c r="QG34" s="65"/>
      <c r="QH34" s="65"/>
      <c r="QI34" s="65"/>
      <c r="QJ34" s="65"/>
      <c r="QK34" s="65"/>
      <c r="QL34" s="65"/>
      <c r="QM34" s="65"/>
      <c r="QN34" s="65"/>
      <c r="QO34" s="65"/>
      <c r="QP34" s="65"/>
      <c r="QQ34" s="65"/>
      <c r="QR34" s="65"/>
      <c r="QS34" s="65"/>
      <c r="QT34" s="65"/>
      <c r="QU34" s="65"/>
      <c r="QV34" s="65"/>
      <c r="QW34" s="65"/>
      <c r="QX34" s="65"/>
      <c r="QY34" s="65"/>
      <c r="QZ34" s="65"/>
      <c r="RA34" s="65"/>
      <c r="RB34" s="65"/>
      <c r="RC34" s="65"/>
      <c r="RD34" s="65"/>
      <c r="RE34" s="65"/>
      <c r="RF34" s="65"/>
      <c r="RG34" s="65"/>
      <c r="RH34" s="65"/>
      <c r="RI34" s="65"/>
      <c r="RJ34" s="65"/>
      <c r="RK34" s="65"/>
      <c r="RL34" s="65"/>
      <c r="RM34" s="65"/>
      <c r="RN34" s="65"/>
      <c r="RO34" s="65"/>
      <c r="RP34" s="65"/>
      <c r="RQ34" s="65"/>
      <c r="RR34" s="65"/>
      <c r="RS34" s="65"/>
      <c r="RT34" s="65"/>
      <c r="RU34" s="65"/>
      <c r="RV34" s="65"/>
      <c r="RW34" s="65"/>
      <c r="RX34" s="65"/>
      <c r="RY34" s="65"/>
      <c r="RZ34" s="65"/>
      <c r="SA34" s="65"/>
      <c r="SB34" s="65"/>
      <c r="SC34" s="65"/>
      <c r="SD34" s="65"/>
      <c r="SE34" s="65"/>
      <c r="SF34" s="65"/>
      <c r="SG34" s="65"/>
      <c r="SH34" s="65"/>
      <c r="SI34" s="65"/>
      <c r="SJ34" s="65"/>
      <c r="SK34" s="65"/>
      <c r="SL34" s="65"/>
      <c r="SM34" s="65"/>
      <c r="SN34" s="65"/>
      <c r="SO34" s="65"/>
      <c r="SP34" s="65"/>
      <c r="SQ34" s="65"/>
      <c r="SR34" s="65"/>
      <c r="SS34" s="65"/>
      <c r="ST34" s="65"/>
      <c r="SU34" s="65"/>
      <c r="SV34" s="65"/>
      <c r="SW34" s="65"/>
      <c r="SX34" s="65"/>
      <c r="SY34" s="65"/>
      <c r="SZ34" s="65"/>
      <c r="TA34" s="65"/>
      <c r="TB34" s="65"/>
      <c r="TC34" s="65"/>
      <c r="TD34" s="65"/>
      <c r="TE34" s="65"/>
      <c r="TF34" s="65"/>
      <c r="TG34" s="65"/>
      <c r="TH34" s="65"/>
      <c r="TI34" s="65"/>
      <c r="TJ34" s="65"/>
      <c r="TK34" s="65"/>
      <c r="TL34" s="65"/>
      <c r="TM34" s="65"/>
      <c r="TN34" s="65"/>
      <c r="TO34" s="65"/>
      <c r="TP34" s="65"/>
      <c r="TQ34" s="65"/>
      <c r="TR34" s="65"/>
      <c r="TS34" s="65"/>
      <c r="TT34" s="65"/>
      <c r="TU34" s="65"/>
      <c r="TV34" s="65"/>
      <c r="TW34" s="65"/>
      <c r="TX34" s="65"/>
      <c r="TY34" s="65"/>
      <c r="TZ34" s="65"/>
      <c r="UA34" s="65"/>
      <c r="UB34" s="65"/>
      <c r="UC34" s="65"/>
      <c r="UD34" s="65"/>
      <c r="UE34" s="65"/>
      <c r="UF34" s="65"/>
      <c r="UG34" s="65"/>
      <c r="UH34" s="65"/>
      <c r="UI34" s="65"/>
      <c r="UJ34" s="65"/>
      <c r="UK34" s="65"/>
      <c r="UL34" s="65"/>
      <c r="UM34" s="65"/>
      <c r="UN34" s="65"/>
      <c r="UO34" s="65"/>
      <c r="UP34" s="65"/>
      <c r="UQ34" s="65"/>
      <c r="UR34" s="65"/>
      <c r="US34" s="65"/>
      <c r="UT34" s="65"/>
      <c r="UU34" s="65"/>
      <c r="UV34" s="65"/>
      <c r="UW34" s="65"/>
      <c r="UX34" s="65"/>
      <c r="UY34" s="65"/>
      <c r="UZ34" s="65"/>
      <c r="VA34" s="65"/>
      <c r="VB34" s="65"/>
      <c r="VC34" s="65"/>
      <c r="VD34" s="65"/>
      <c r="VE34" s="65"/>
      <c r="VF34" s="65"/>
      <c r="VG34" s="65"/>
      <c r="VH34" s="65"/>
      <c r="VI34" s="65"/>
      <c r="VJ34" s="65"/>
      <c r="VK34" s="65"/>
      <c r="VL34" s="65"/>
      <c r="VM34" s="65"/>
      <c r="VN34" s="65"/>
      <c r="VO34" s="65"/>
      <c r="VP34" s="65"/>
      <c r="VQ34" s="65"/>
      <c r="VR34" s="65"/>
      <c r="VS34" s="65"/>
    </row>
    <row r="35" spans="2:591" s="99" customFormat="1" ht="14.4" outlineLevel="1">
      <c r="B35" s="108"/>
      <c r="C35" s="107"/>
      <c r="D35" s="108"/>
      <c r="E35" s="109"/>
      <c r="F35" s="109"/>
      <c r="K35" s="110"/>
      <c r="L35" s="110"/>
      <c r="M35" s="111"/>
      <c r="N35" s="111"/>
      <c r="O35" s="1185"/>
      <c r="P35" s="1384">
        <f>SUM(P34:T34)</f>
        <v>45357.991999999998</v>
      </c>
      <c r="Q35" s="1385"/>
      <c r="R35" s="1385"/>
      <c r="S35" s="1385"/>
      <c r="T35" s="1386"/>
      <c r="U35" s="1384">
        <f>SUM(U34:W34)</f>
        <v>172620.40600000002</v>
      </c>
      <c r="V35" s="1385"/>
      <c r="W35" s="1386"/>
      <c r="X35" s="1384">
        <f>SUM(X34:Y34)</f>
        <v>478001.902</v>
      </c>
      <c r="Y35" s="1386"/>
      <c r="Z35" s="459">
        <f>Z34</f>
        <v>32304.076000000001</v>
      </c>
      <c r="AA35" s="459">
        <f>AA34</f>
        <v>0</v>
      </c>
      <c r="AB35" s="1384">
        <f>SUM(AB34:AV34)</f>
        <v>117817.556</v>
      </c>
      <c r="AC35" s="1385"/>
      <c r="AD35" s="1385"/>
      <c r="AE35" s="1385"/>
      <c r="AF35" s="1385"/>
      <c r="AG35" s="1385"/>
      <c r="AH35" s="1385"/>
      <c r="AI35" s="1385"/>
      <c r="AJ35" s="1385"/>
      <c r="AK35" s="1385"/>
      <c r="AL35" s="1385"/>
      <c r="AM35" s="1385"/>
      <c r="AN35" s="1385"/>
      <c r="AO35" s="1385"/>
      <c r="AP35" s="1385"/>
      <c r="AQ35" s="1385"/>
      <c r="AR35" s="1385"/>
      <c r="AS35" s="1385"/>
      <c r="AT35" s="1385"/>
      <c r="AU35" s="1385"/>
      <c r="AV35" s="1385"/>
      <c r="AW35" s="1385"/>
      <c r="AX35" s="1386"/>
      <c r="AY35" s="394"/>
      <c r="AZ35" s="394"/>
      <c r="BA35" s="394"/>
      <c r="BB35" s="394"/>
      <c r="BC35" s="394"/>
      <c r="BD35" s="394"/>
      <c r="BE35" s="460"/>
      <c r="BF35" s="460"/>
      <c r="BG35" s="1179"/>
      <c r="BH35" s="112"/>
      <c r="BI35" s="1190"/>
      <c r="BJ35" s="1190"/>
      <c r="BK35" s="108"/>
      <c r="BL35" s="113"/>
      <c r="BM35" s="113"/>
      <c r="BN35" s="113"/>
      <c r="BO35" s="114"/>
      <c r="BQ35" s="113"/>
      <c r="BR35" s="113"/>
      <c r="BS35" s="113"/>
      <c r="BT35" s="113"/>
      <c r="BU35" s="113"/>
      <c r="BV35" s="113"/>
      <c r="BW35" s="113"/>
    </row>
    <row r="36" spans="2:591" ht="14.4" outlineLevel="1">
      <c r="E36" s="70"/>
      <c r="F36" s="70"/>
      <c r="G36" s="68"/>
      <c r="H36" s="71"/>
      <c r="I36" s="71"/>
      <c r="J36" s="71"/>
      <c r="K36" s="71"/>
      <c r="L36" s="71"/>
    </row>
    <row r="37" spans="2:591" ht="14.4" outlineLevel="1">
      <c r="B37" s="99" t="s">
        <v>914</v>
      </c>
    </row>
    <row r="38" spans="2:591" s="65" customFormat="1" ht="14.4" outlineLevel="1">
      <c r="B38" s="200">
        <v>1</v>
      </c>
      <c r="C38" s="194">
        <v>44958</v>
      </c>
      <c r="D38" s="195" t="s">
        <v>73</v>
      </c>
      <c r="E38" s="72">
        <v>44979</v>
      </c>
      <c r="F38" s="72">
        <v>44988</v>
      </c>
      <c r="G38" s="69" t="s">
        <v>2914</v>
      </c>
      <c r="H38" s="65" t="s">
        <v>759</v>
      </c>
      <c r="I38" s="65" t="s">
        <v>1120</v>
      </c>
      <c r="J38" s="65" t="s">
        <v>2933</v>
      </c>
      <c r="K38" s="73">
        <v>44981.333333333336</v>
      </c>
      <c r="L38" s="73">
        <v>44981.356944444444</v>
      </c>
      <c r="M38" s="196">
        <v>44984.791666666664</v>
      </c>
      <c r="N38" s="196">
        <v>44987.40625</v>
      </c>
      <c r="O38" s="1188" t="s">
        <v>2916</v>
      </c>
      <c r="P38" s="62">
        <v>7527.3950000000004</v>
      </c>
      <c r="Q38" s="62"/>
      <c r="R38" s="62"/>
      <c r="S38" s="62"/>
      <c r="T38" s="62"/>
      <c r="U38" s="62">
        <v>26932.805399999994</v>
      </c>
      <c r="V38" s="62">
        <v>27980.799599999998</v>
      </c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>
        <v>7509</v>
      </c>
      <c r="AM38" s="214"/>
      <c r="AN38" s="214"/>
      <c r="AO38" s="214"/>
      <c r="AP38" s="214"/>
      <c r="AQ38" s="214"/>
      <c r="AR38" s="214"/>
      <c r="AS38" s="214"/>
      <c r="AT38" s="214"/>
      <c r="AU38" s="214"/>
      <c r="AV38" s="214"/>
      <c r="AW38" s="214"/>
      <c r="AX38" s="214"/>
      <c r="AY38" s="214"/>
      <c r="AZ38" s="214"/>
      <c r="BA38" s="214"/>
      <c r="BB38" s="214"/>
      <c r="BC38" s="214"/>
      <c r="BD38" s="214"/>
      <c r="BE38" s="66">
        <v>69950</v>
      </c>
      <c r="BF38" s="66">
        <v>69950</v>
      </c>
      <c r="BG38" s="1178">
        <f t="shared" ref="BG38:BG44" si="6">SUM(P38:AW38)</f>
        <v>69950</v>
      </c>
      <c r="BH38" s="254">
        <v>15000</v>
      </c>
      <c r="BI38" s="1188" t="s">
        <v>12</v>
      </c>
      <c r="BJ38" s="1188" t="s">
        <v>32</v>
      </c>
      <c r="BK38" s="75" t="s">
        <v>2954</v>
      </c>
      <c r="BL38" s="197">
        <v>44973.508333333331</v>
      </c>
      <c r="BM38" s="197">
        <v>44974.401388888888</v>
      </c>
      <c r="BN38" s="197"/>
      <c r="BO38" s="198">
        <v>88269</v>
      </c>
      <c r="BP38" s="65" t="str">
        <f t="shared" ref="BP38:BP44" si="7">IF(BO38=0,"0",IF(BO38&lt;=50000,"HANDYMAX",IF(BO38&lt;=58000,"SUPER HANDYMAX",IF(BO38&lt;=80000,"PANAMAX",IF(BO38&gt;=80001,"POST PANAMAX")))))</f>
        <v>POST PANAMAX</v>
      </c>
      <c r="BQ38" s="197"/>
      <c r="BR38" s="197"/>
      <c r="BS38" s="197"/>
      <c r="BT38" s="197"/>
      <c r="BU38" s="197"/>
      <c r="BV38" s="197"/>
      <c r="BW38" s="197"/>
      <c r="BX38" s="65" t="s">
        <v>2955</v>
      </c>
      <c r="RZ38" s="26">
        <v>1</v>
      </c>
      <c r="SA38" s="26"/>
      <c r="SB38" s="26">
        <v>2</v>
      </c>
      <c r="SC38" s="26"/>
      <c r="SD38" s="26"/>
      <c r="SE38" s="26"/>
      <c r="SF38" s="26"/>
      <c r="SG38" s="26"/>
      <c r="SH38" s="26"/>
      <c r="SI38" s="26"/>
    </row>
    <row r="39" spans="2:591" s="65" customFormat="1" ht="14.4" outlineLevel="1">
      <c r="B39" s="200">
        <v>2</v>
      </c>
      <c r="C39" s="194">
        <v>44958</v>
      </c>
      <c r="D39" s="195" t="s">
        <v>74</v>
      </c>
      <c r="E39" s="72">
        <v>44979</v>
      </c>
      <c r="F39" s="72">
        <v>44985</v>
      </c>
      <c r="G39" s="69" t="s">
        <v>2914</v>
      </c>
      <c r="H39" s="65" t="s">
        <v>699</v>
      </c>
      <c r="I39" s="65" t="s">
        <v>1125</v>
      </c>
      <c r="J39" s="65" t="s">
        <v>2922</v>
      </c>
      <c r="K39" s="73">
        <v>44982.416666666664</v>
      </c>
      <c r="L39" s="73">
        <v>44982.378472222219</v>
      </c>
      <c r="M39" s="196">
        <v>44988.673611111109</v>
      </c>
      <c r="N39" s="196">
        <v>44991.4375</v>
      </c>
      <c r="O39" s="1188" t="s">
        <v>2916</v>
      </c>
      <c r="P39" s="62"/>
      <c r="Q39" s="62"/>
      <c r="R39" s="62"/>
      <c r="S39" s="62"/>
      <c r="T39" s="62"/>
      <c r="U39" s="62">
        <v>3290.1379999999999</v>
      </c>
      <c r="V39" s="62"/>
      <c r="W39" s="62"/>
      <c r="X39" s="62">
        <v>41124.333799999993</v>
      </c>
      <c r="Y39" s="62">
        <v>19834.513199999998</v>
      </c>
      <c r="Z39" s="62"/>
      <c r="AA39" s="62"/>
      <c r="AB39" s="62"/>
      <c r="AC39" s="62"/>
      <c r="AD39" s="62"/>
      <c r="AE39" s="62"/>
      <c r="AF39" s="62"/>
      <c r="AG39" s="62">
        <v>7500</v>
      </c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>
        <v>5251.0150000000003</v>
      </c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6">
        <v>77000</v>
      </c>
      <c r="BF39" s="66">
        <v>77000</v>
      </c>
      <c r="BG39" s="1178">
        <f t="shared" si="6"/>
        <v>76999.999999999985</v>
      </c>
      <c r="BH39" s="254">
        <v>12000</v>
      </c>
      <c r="BI39" s="1188" t="s">
        <v>12</v>
      </c>
      <c r="BJ39" s="1188" t="s">
        <v>37</v>
      </c>
      <c r="BK39" s="75" t="s">
        <v>2924</v>
      </c>
      <c r="BL39" s="197">
        <v>44972.72152777778</v>
      </c>
      <c r="BM39" s="197">
        <v>44974.63958333333</v>
      </c>
      <c r="BN39" s="197"/>
      <c r="BO39" s="198">
        <v>77697</v>
      </c>
      <c r="BP39" s="65" t="str">
        <f t="shared" si="7"/>
        <v>PANAMAX</v>
      </c>
      <c r="BQ39" s="197"/>
      <c r="BR39" s="197"/>
      <c r="BS39" s="197"/>
      <c r="BT39" s="197"/>
      <c r="BU39" s="197"/>
      <c r="BV39" s="197"/>
      <c r="BW39" s="197"/>
      <c r="BX39" s="65" t="s">
        <v>2956</v>
      </c>
      <c r="RZ39" s="26"/>
      <c r="SA39" s="26">
        <v>1</v>
      </c>
      <c r="SB39" s="26" t="s">
        <v>2957</v>
      </c>
      <c r="SC39" s="26" t="s">
        <v>2936</v>
      </c>
      <c r="SD39" s="26"/>
      <c r="SE39" s="26"/>
      <c r="SF39" s="26"/>
    </row>
    <row r="40" spans="2:591" s="71" customFormat="1" ht="14.4" outlineLevel="1">
      <c r="B40" s="200">
        <v>3</v>
      </c>
      <c r="C40" s="194">
        <v>44986</v>
      </c>
      <c r="D40" s="195" t="s">
        <v>74</v>
      </c>
      <c r="E40" s="72">
        <v>44986</v>
      </c>
      <c r="F40" s="72">
        <v>44995</v>
      </c>
      <c r="G40" s="69" t="s">
        <v>2914</v>
      </c>
      <c r="H40" s="65" t="s">
        <v>745</v>
      </c>
      <c r="I40" s="65" t="s">
        <v>1132</v>
      </c>
      <c r="J40" s="65" t="s">
        <v>2926</v>
      </c>
      <c r="K40" s="73">
        <v>44985.75</v>
      </c>
      <c r="L40" s="73">
        <v>44985.75</v>
      </c>
      <c r="M40" s="196">
        <v>44991.684027777781</v>
      </c>
      <c r="N40" s="165">
        <v>44994.822916666664</v>
      </c>
      <c r="O40" s="1188" t="s">
        <v>2916</v>
      </c>
      <c r="P40" s="261"/>
      <c r="Q40" s="261"/>
      <c r="R40" s="261"/>
      <c r="S40" s="261"/>
      <c r="T40" s="261"/>
      <c r="U40" s="261"/>
      <c r="V40" s="261"/>
      <c r="W40" s="261"/>
      <c r="X40" s="62">
        <v>45670.450699999994</v>
      </c>
      <c r="Y40" s="62">
        <v>15404.348299999998</v>
      </c>
      <c r="Z40" s="261"/>
      <c r="AA40" s="261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  <c r="AT40" s="261"/>
      <c r="AU40" s="62">
        <v>7622.201</v>
      </c>
      <c r="AV40" s="261"/>
      <c r="AW40" s="245"/>
      <c r="AX40" s="245"/>
      <c r="AY40" s="245"/>
      <c r="AZ40" s="245"/>
      <c r="BA40" s="245"/>
      <c r="BB40" s="245"/>
      <c r="BC40" s="245"/>
      <c r="BD40" s="245"/>
      <c r="BE40" s="214">
        <v>68697</v>
      </c>
      <c r="BF40" s="66">
        <v>68697</v>
      </c>
      <c r="BG40" s="1178">
        <f t="shared" si="6"/>
        <v>68696.999999999985</v>
      </c>
      <c r="BH40" s="254">
        <v>10110</v>
      </c>
      <c r="BI40" s="1188" t="s">
        <v>4</v>
      </c>
      <c r="BJ40" s="1188" t="s">
        <v>5</v>
      </c>
      <c r="BK40" s="75" t="s">
        <v>2937</v>
      </c>
      <c r="BL40" s="197">
        <v>44984.734722222223</v>
      </c>
      <c r="BM40" s="197">
        <v>44985.59375</v>
      </c>
      <c r="BN40" s="197"/>
      <c r="BO40" s="198">
        <v>76361</v>
      </c>
      <c r="BP40" s="65" t="str">
        <f t="shared" si="7"/>
        <v>PANAMAX</v>
      </c>
      <c r="BQ40" s="197"/>
      <c r="BR40" s="197"/>
      <c r="BS40" s="197"/>
      <c r="BT40" s="197"/>
      <c r="BU40" s="197"/>
      <c r="BV40" s="197"/>
      <c r="BW40" s="197"/>
      <c r="BX40" s="65" t="s">
        <v>2958</v>
      </c>
      <c r="RU40" s="65"/>
      <c r="RV40" s="65"/>
      <c r="RW40" s="65"/>
      <c r="RX40" s="65"/>
      <c r="RY40" s="65"/>
      <c r="RZ40" s="65"/>
      <c r="SA40" s="65"/>
      <c r="SB40" s="65"/>
      <c r="SC40" s="65"/>
      <c r="SD40" s="65"/>
      <c r="SE40" s="65"/>
      <c r="SF40" s="65">
        <v>3</v>
      </c>
      <c r="SG40" s="26">
        <v>2</v>
      </c>
      <c r="SH40" s="26"/>
      <c r="SI40" s="26"/>
      <c r="SJ40" s="26">
        <v>1</v>
      </c>
      <c r="SK40" s="26"/>
      <c r="SL40" s="26"/>
      <c r="SM40" s="26"/>
      <c r="SN40" s="26"/>
      <c r="SO40" s="26"/>
      <c r="SP40" s="26"/>
      <c r="SQ40" s="65"/>
      <c r="SR40" s="65"/>
      <c r="SS40" s="65"/>
      <c r="ST40" s="65"/>
      <c r="SU40" s="65"/>
      <c r="SV40" s="65"/>
      <c r="SW40" s="65"/>
      <c r="SX40" s="65"/>
      <c r="SY40" s="65"/>
      <c r="SZ40" s="65"/>
      <c r="TA40" s="65"/>
      <c r="TB40" s="65"/>
      <c r="TC40" s="65"/>
      <c r="TD40" s="65"/>
      <c r="TE40" s="65"/>
      <c r="TF40" s="65"/>
    </row>
    <row r="41" spans="2:591" s="65" customFormat="1" ht="14.4" outlineLevel="1">
      <c r="B41" s="200">
        <v>4</v>
      </c>
      <c r="C41" s="194">
        <v>44986</v>
      </c>
      <c r="D41" s="195" t="s">
        <v>74</v>
      </c>
      <c r="E41" s="72">
        <v>44987</v>
      </c>
      <c r="F41" s="72">
        <v>44996</v>
      </c>
      <c r="G41" s="69" t="s">
        <v>2914</v>
      </c>
      <c r="H41" s="65" t="s">
        <v>814</v>
      </c>
      <c r="I41" s="65" t="s">
        <v>1135</v>
      </c>
      <c r="J41" s="65" t="s">
        <v>2922</v>
      </c>
      <c r="K41" s="73">
        <v>44989.875</v>
      </c>
      <c r="L41" s="73">
        <v>44989.79583333333</v>
      </c>
      <c r="M41" s="196">
        <v>44995.71875</v>
      </c>
      <c r="N41" s="165">
        <v>44997.489583333336</v>
      </c>
      <c r="O41" s="1188" t="s">
        <v>2916</v>
      </c>
      <c r="P41" s="62"/>
      <c r="Q41" s="62"/>
      <c r="R41" s="62"/>
      <c r="S41" s="62"/>
      <c r="T41" s="62"/>
      <c r="U41" s="62">
        <v>7322.9070000000002</v>
      </c>
      <c r="V41" s="62"/>
      <c r="W41" s="62"/>
      <c r="X41" s="62">
        <v>34117.397400000002</v>
      </c>
      <c r="Y41" s="62">
        <v>21843.181600000004</v>
      </c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>
        <v>5010.5360000000001</v>
      </c>
      <c r="AQ41" s="62"/>
      <c r="AR41" s="62">
        <v>5205.9780000000001</v>
      </c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6">
        <v>73500</v>
      </c>
      <c r="BF41" s="66">
        <v>73500</v>
      </c>
      <c r="BG41" s="1178">
        <f t="shared" si="6"/>
        <v>73500</v>
      </c>
      <c r="BH41" s="254">
        <v>16000</v>
      </c>
      <c r="BI41" s="1188" t="s">
        <v>4</v>
      </c>
      <c r="BJ41" s="1188" t="s">
        <v>5</v>
      </c>
      <c r="BK41" s="75" t="s">
        <v>2927</v>
      </c>
      <c r="BL41" s="197">
        <v>44985.418749999997</v>
      </c>
      <c r="BM41" s="197">
        <v>44986.96597222222</v>
      </c>
      <c r="BN41" s="197"/>
      <c r="BO41" s="198">
        <v>75563</v>
      </c>
      <c r="BP41" s="65" t="str">
        <f t="shared" si="7"/>
        <v>PANAMAX</v>
      </c>
      <c r="BQ41" s="197"/>
      <c r="BR41" s="197"/>
      <c r="BS41" s="197"/>
      <c r="BT41" s="197"/>
      <c r="BU41" s="197"/>
      <c r="BV41" s="197"/>
      <c r="BW41" s="197"/>
      <c r="SH41" s="26">
        <v>1</v>
      </c>
      <c r="SI41" s="26"/>
      <c r="SJ41" s="26">
        <v>3</v>
      </c>
      <c r="SK41" s="26">
        <v>2</v>
      </c>
      <c r="SL41" s="26">
        <v>2</v>
      </c>
      <c r="SM41" s="26"/>
      <c r="SN41" s="26"/>
      <c r="SO41" s="26"/>
      <c r="SP41" s="26"/>
      <c r="SQ41" s="26"/>
    </row>
    <row r="42" spans="2:591" s="65" customFormat="1" ht="14.4" outlineLevel="1">
      <c r="B42" s="200">
        <v>5</v>
      </c>
      <c r="C42" s="194">
        <v>44958</v>
      </c>
      <c r="D42" s="195" t="s">
        <v>74</v>
      </c>
      <c r="E42" s="72">
        <v>44982</v>
      </c>
      <c r="F42" s="72">
        <v>44993</v>
      </c>
      <c r="G42" s="69" t="s">
        <v>2914</v>
      </c>
      <c r="H42" s="65" t="s">
        <v>944</v>
      </c>
      <c r="I42" s="65" t="s">
        <v>1139</v>
      </c>
      <c r="J42" s="65" t="s">
        <v>2915</v>
      </c>
      <c r="K42" s="73">
        <v>44992.416666666664</v>
      </c>
      <c r="L42" s="73">
        <v>44992.416666666664</v>
      </c>
      <c r="M42" s="196">
        <v>44996.430555555555</v>
      </c>
      <c r="N42" s="196">
        <v>44997.9375</v>
      </c>
      <c r="O42" s="1188" t="s">
        <v>2916</v>
      </c>
      <c r="P42" s="214"/>
      <c r="Q42" s="214"/>
      <c r="R42" s="214"/>
      <c r="S42" s="214"/>
      <c r="T42" s="214"/>
      <c r="U42" s="214"/>
      <c r="V42" s="214"/>
      <c r="W42" s="214"/>
      <c r="X42" s="62">
        <v>20516.146750000004</v>
      </c>
      <c r="Y42" s="62">
        <v>16785.938249999999</v>
      </c>
      <c r="Z42" s="62"/>
      <c r="AA42" s="62"/>
      <c r="AB42" s="62"/>
      <c r="AC42" s="62"/>
      <c r="AD42" s="62"/>
      <c r="AE42" s="62"/>
      <c r="AF42" s="62"/>
      <c r="AG42" s="62">
        <v>7500</v>
      </c>
      <c r="AH42" s="214"/>
      <c r="AI42" s="214"/>
      <c r="AJ42" s="214"/>
      <c r="AK42" s="214"/>
      <c r="AL42" s="214"/>
      <c r="AM42" s="214"/>
      <c r="AN42" s="214"/>
      <c r="AO42" s="214"/>
      <c r="AP42" s="214"/>
      <c r="AQ42" s="62">
        <v>7701.915</v>
      </c>
      <c r="AR42" s="214"/>
      <c r="AS42" s="214"/>
      <c r="AT42" s="214"/>
      <c r="AU42" s="214"/>
      <c r="AV42" s="214"/>
      <c r="AW42" s="214"/>
      <c r="AX42" s="214"/>
      <c r="AY42" s="214"/>
      <c r="AZ42" s="214"/>
      <c r="BA42" s="214"/>
      <c r="BB42" s="214"/>
      <c r="BC42" s="214"/>
      <c r="BD42" s="214"/>
      <c r="BE42" s="66">
        <v>52504</v>
      </c>
      <c r="BF42" s="66">
        <v>52504</v>
      </c>
      <c r="BG42" s="1178">
        <f t="shared" si="6"/>
        <v>52504.000000000007</v>
      </c>
      <c r="BH42" s="254">
        <v>12000</v>
      </c>
      <c r="BI42" s="1188" t="s">
        <v>12</v>
      </c>
      <c r="BJ42" s="1188" t="s">
        <v>32</v>
      </c>
      <c r="BK42" s="75" t="s">
        <v>2918</v>
      </c>
      <c r="BL42" s="197">
        <v>44986.722916666666</v>
      </c>
      <c r="BM42" s="199">
        <v>44986.722916666666</v>
      </c>
      <c r="BN42" s="197"/>
      <c r="BO42" s="198">
        <v>52338</v>
      </c>
      <c r="BP42" s="65" t="str">
        <f t="shared" si="7"/>
        <v>SUPER HANDYMAX</v>
      </c>
      <c r="BQ42" s="197"/>
      <c r="BR42" s="197"/>
      <c r="BS42" s="197"/>
      <c r="BT42" s="197"/>
      <c r="BU42" s="197"/>
      <c r="BV42" s="197"/>
      <c r="BW42" s="197"/>
      <c r="BX42" s="65" t="s">
        <v>2959</v>
      </c>
      <c r="SC42" s="26"/>
      <c r="SD42" s="26"/>
      <c r="SE42" s="26"/>
      <c r="SF42" s="26"/>
      <c r="SG42" s="26"/>
      <c r="SH42" s="26"/>
      <c r="SI42" s="26"/>
      <c r="SJ42" s="26"/>
      <c r="SK42" s="26"/>
      <c r="SL42" s="26">
        <v>1</v>
      </c>
      <c r="SM42" s="26"/>
      <c r="SN42" s="26"/>
    </row>
    <row r="43" spans="2:591" s="65" customFormat="1" ht="14.4" outlineLevel="1">
      <c r="B43" s="200">
        <v>6</v>
      </c>
      <c r="C43" s="194">
        <v>44986</v>
      </c>
      <c r="D43" s="195" t="s">
        <v>85</v>
      </c>
      <c r="E43" s="72">
        <v>44993</v>
      </c>
      <c r="F43" s="72">
        <v>45002</v>
      </c>
      <c r="G43" s="69" t="s">
        <v>2942</v>
      </c>
      <c r="H43" s="65" t="s">
        <v>929</v>
      </c>
      <c r="I43" s="65" t="s">
        <v>1141</v>
      </c>
      <c r="J43" s="65" t="s">
        <v>2943</v>
      </c>
      <c r="K43" s="73">
        <v>44993.125</v>
      </c>
      <c r="L43" s="73">
        <v>44993.083333333336</v>
      </c>
      <c r="M43" s="73">
        <v>44993.864583333336</v>
      </c>
      <c r="N43" s="196">
        <v>44998.208333333336</v>
      </c>
      <c r="O43" s="1188" t="s">
        <v>2916</v>
      </c>
      <c r="P43" s="62"/>
      <c r="Q43" s="62"/>
      <c r="R43" s="62"/>
      <c r="S43" s="62"/>
      <c r="T43" s="62"/>
      <c r="U43" s="62">
        <v>15006.333999999999</v>
      </c>
      <c r="V43" s="62"/>
      <c r="W43" s="62"/>
      <c r="X43" s="62"/>
      <c r="Y43" s="62">
        <v>7505</v>
      </c>
      <c r="Z43" s="62">
        <v>32007</v>
      </c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214"/>
      <c r="AX43" s="214"/>
      <c r="AY43" s="214"/>
      <c r="AZ43" s="214"/>
      <c r="BA43" s="214"/>
      <c r="BB43" s="214"/>
      <c r="BC43" s="214"/>
      <c r="BD43" s="214"/>
      <c r="BE43" s="66">
        <v>54518</v>
      </c>
      <c r="BF43" s="66">
        <v>54518</v>
      </c>
      <c r="BG43" s="1178">
        <f t="shared" si="6"/>
        <v>54518.334000000003</v>
      </c>
      <c r="BH43" s="254">
        <v>25000</v>
      </c>
      <c r="BI43" s="1188" t="s">
        <v>16</v>
      </c>
      <c r="BJ43" s="1188" t="s">
        <v>45</v>
      </c>
      <c r="BK43" s="75" t="s">
        <v>2944</v>
      </c>
      <c r="BL43" s="197">
        <v>44984.661805555559</v>
      </c>
      <c r="BM43" s="197">
        <v>44986.479166666664</v>
      </c>
      <c r="BN43" s="197"/>
      <c r="BO43" s="198">
        <v>61268</v>
      </c>
      <c r="BP43" s="65" t="str">
        <f t="shared" si="7"/>
        <v>PANAMAX</v>
      </c>
      <c r="BQ43" s="197"/>
      <c r="BR43" s="197"/>
      <c r="BS43" s="197"/>
      <c r="BT43" s="197"/>
      <c r="BU43" s="197"/>
      <c r="BV43" s="197"/>
      <c r="BW43" s="197"/>
      <c r="BX43" s="65" t="s">
        <v>2960</v>
      </c>
      <c r="SN43" s="26" t="s">
        <v>2946</v>
      </c>
      <c r="SO43" s="26">
        <v>3</v>
      </c>
      <c r="SP43" s="26">
        <v>3</v>
      </c>
      <c r="SQ43" s="26"/>
      <c r="SR43" s="26">
        <v>1</v>
      </c>
      <c r="SS43" s="26"/>
      <c r="ST43" s="26"/>
      <c r="SU43" s="26"/>
      <c r="SV43" s="26"/>
      <c r="SW43" s="26"/>
    </row>
    <row r="44" spans="2:591" s="65" customFormat="1" ht="14.4" outlineLevel="1">
      <c r="B44" s="200">
        <v>7</v>
      </c>
      <c r="C44" s="194">
        <v>44986</v>
      </c>
      <c r="D44" s="195" t="s">
        <v>73</v>
      </c>
      <c r="E44" s="72">
        <v>44994</v>
      </c>
      <c r="F44" s="72">
        <v>45003</v>
      </c>
      <c r="G44" s="69" t="s">
        <v>2914</v>
      </c>
      <c r="H44" s="65" t="s">
        <v>1052</v>
      </c>
      <c r="I44" s="65" t="s">
        <v>1143</v>
      </c>
      <c r="J44" s="65" t="s">
        <v>2933</v>
      </c>
      <c r="K44" s="73">
        <v>44993.833333333336</v>
      </c>
      <c r="L44" s="73">
        <v>44993.809027777781</v>
      </c>
      <c r="M44" s="196">
        <v>44998.527777777781</v>
      </c>
      <c r="N44" s="196">
        <v>44999.909722222219</v>
      </c>
      <c r="O44" s="1188" t="s">
        <v>2916</v>
      </c>
      <c r="P44" s="62"/>
      <c r="Q44" s="62"/>
      <c r="R44" s="62"/>
      <c r="S44" s="62"/>
      <c r="T44" s="62"/>
      <c r="U44" s="62">
        <v>37680</v>
      </c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>
        <v>7500</v>
      </c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6">
        <v>45180</v>
      </c>
      <c r="BF44" s="66">
        <v>45180</v>
      </c>
      <c r="BG44" s="1178">
        <f t="shared" si="6"/>
        <v>45180</v>
      </c>
      <c r="BH44" s="254">
        <v>17500</v>
      </c>
      <c r="BI44" s="1188" t="s">
        <v>12</v>
      </c>
      <c r="BJ44" s="1188" t="s">
        <v>37</v>
      </c>
      <c r="BK44" s="75" t="s">
        <v>2924</v>
      </c>
      <c r="BL44" s="197">
        <v>44982.444444444445</v>
      </c>
      <c r="BM44" s="197">
        <v>44985.94027777778</v>
      </c>
      <c r="BN44" s="197"/>
      <c r="BO44" s="198">
        <v>49999</v>
      </c>
      <c r="BP44" s="65" t="str">
        <f t="shared" si="7"/>
        <v>HANDYMAX</v>
      </c>
      <c r="BQ44" s="197"/>
      <c r="BR44" s="197"/>
      <c r="BS44" s="197"/>
      <c r="BT44" s="197"/>
      <c r="BU44" s="197"/>
      <c r="BV44" s="197"/>
      <c r="BW44" s="197"/>
      <c r="SN44" s="65">
        <v>3</v>
      </c>
      <c r="SO44" s="26">
        <v>2</v>
      </c>
      <c r="SP44" s="26">
        <v>1</v>
      </c>
      <c r="SQ44" s="26"/>
      <c r="SR44" s="26"/>
      <c r="SS44" s="26"/>
      <c r="ST44" s="26"/>
      <c r="SU44" s="26"/>
      <c r="SV44" s="26"/>
      <c r="SW44" s="26"/>
      <c r="SX44" s="26"/>
    </row>
    <row r="45" spans="2:591" s="65" customFormat="1" ht="14.4" outlineLevel="1">
      <c r="B45" s="200">
        <v>8</v>
      </c>
      <c r="C45" s="194">
        <v>44986</v>
      </c>
      <c r="D45" s="195" t="s">
        <v>73</v>
      </c>
      <c r="E45" s="72">
        <v>45000</v>
      </c>
      <c r="F45" s="72">
        <v>45009</v>
      </c>
      <c r="G45" s="69" t="s">
        <v>107</v>
      </c>
      <c r="H45" s="65" t="s">
        <v>1084</v>
      </c>
      <c r="I45" s="65" t="s">
        <v>1146</v>
      </c>
      <c r="J45" s="65" t="s">
        <v>2933</v>
      </c>
      <c r="K45" s="73">
        <v>45000</v>
      </c>
      <c r="L45" s="73">
        <v>45000.007638888892</v>
      </c>
      <c r="M45" s="73">
        <v>45000.143750000003</v>
      </c>
      <c r="N45" s="73">
        <v>45001.268055555556</v>
      </c>
      <c r="O45" s="1188" t="s">
        <v>2916</v>
      </c>
      <c r="P45" s="62">
        <v>5276.0170000000071</v>
      </c>
      <c r="Q45" s="62"/>
      <c r="R45" s="62"/>
      <c r="S45" s="62"/>
      <c r="T45" s="62"/>
      <c r="U45" s="62">
        <v>54623.982999999993</v>
      </c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214"/>
      <c r="AX45" s="214"/>
      <c r="AY45" s="214"/>
      <c r="AZ45" s="214"/>
      <c r="BA45" s="214"/>
      <c r="BB45" s="214"/>
      <c r="BC45" s="214"/>
      <c r="BD45" s="214"/>
      <c r="BE45" s="66">
        <v>59900</v>
      </c>
      <c r="BF45" s="66">
        <v>59900</v>
      </c>
      <c r="BG45" s="1178">
        <f t="shared" ref="BG45:BG51" si="8">SUM(P45:AW45)</f>
        <v>59900</v>
      </c>
      <c r="BH45" s="254">
        <v>21000</v>
      </c>
      <c r="BI45" s="1188" t="s">
        <v>20</v>
      </c>
      <c r="BJ45" s="1188" t="s">
        <v>2923</v>
      </c>
      <c r="BK45" s="75" t="s">
        <v>2927</v>
      </c>
      <c r="BL45" s="197">
        <v>44994.934027777781</v>
      </c>
      <c r="BM45" s="197">
        <v>44996.913194444445</v>
      </c>
      <c r="BN45" s="197"/>
      <c r="BO45" s="198">
        <v>87340</v>
      </c>
      <c r="BP45" s="65" t="str">
        <f t="shared" ref="BP45:BP51" si="9">IF(BO45=0,"0",IF(BO45&lt;=50000,"HANDYMAX",IF(BO45&lt;=58000,"SUPER HANDYMAX",IF(BO45&lt;=80000,"PANAMAX",IF(BO45&gt;=80001,"POST PANAMAX")))))</f>
        <v>POST PANAMAX</v>
      </c>
      <c r="BQ45" s="197"/>
      <c r="BR45" s="197"/>
      <c r="BS45" s="197"/>
      <c r="BT45" s="197"/>
      <c r="BU45" s="197"/>
      <c r="BV45" s="197"/>
      <c r="BW45" s="197"/>
      <c r="BX45" s="65" t="s">
        <v>2961</v>
      </c>
      <c r="SU45" s="26">
        <v>2</v>
      </c>
      <c r="SV45" s="26"/>
      <c r="SW45" s="26"/>
      <c r="SX45" s="26">
        <v>1</v>
      </c>
      <c r="SY45" s="26"/>
      <c r="SZ45" s="26"/>
      <c r="TA45" s="26"/>
      <c r="TB45" s="26"/>
      <c r="TC45" s="26"/>
      <c r="TD45" s="26"/>
    </row>
    <row r="46" spans="2:591" s="65" customFormat="1" ht="14.4" outlineLevel="1">
      <c r="B46" s="200">
        <v>9</v>
      </c>
      <c r="C46" s="194">
        <v>44986</v>
      </c>
      <c r="D46" s="195" t="s">
        <v>74</v>
      </c>
      <c r="E46" s="72">
        <v>45001</v>
      </c>
      <c r="F46" s="72">
        <v>45010</v>
      </c>
      <c r="G46" s="69" t="s">
        <v>2914</v>
      </c>
      <c r="H46" s="65" t="s">
        <v>943</v>
      </c>
      <c r="I46" s="65" t="s">
        <v>2962</v>
      </c>
      <c r="J46" s="65" t="s">
        <v>2963</v>
      </c>
      <c r="K46" s="73">
        <v>44992.25</v>
      </c>
      <c r="L46" s="73">
        <v>44992.25</v>
      </c>
      <c r="M46" s="196">
        <v>45000.888888888891</v>
      </c>
      <c r="N46" s="196">
        <v>45004.347222222219</v>
      </c>
      <c r="O46" s="1188" t="s">
        <v>2916</v>
      </c>
      <c r="P46" s="62"/>
      <c r="Q46" s="62"/>
      <c r="R46" s="62"/>
      <c r="S46" s="62"/>
      <c r="T46" s="62"/>
      <c r="U46" s="62"/>
      <c r="V46" s="62"/>
      <c r="W46" s="62"/>
      <c r="X46" s="62">
        <v>10632.9005</v>
      </c>
      <c r="Y46" s="62">
        <v>41360.912499999999</v>
      </c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>
        <v>7434</v>
      </c>
      <c r="AM46" s="62"/>
      <c r="AN46" s="62"/>
      <c r="AO46" s="62"/>
      <c r="AP46" s="62"/>
      <c r="AQ46" s="62"/>
      <c r="AR46" s="62"/>
      <c r="AS46" s="62"/>
      <c r="AT46" s="62"/>
      <c r="AU46" s="62">
        <v>7572.1869999999999</v>
      </c>
      <c r="AV46" s="62"/>
      <c r="AW46" s="214"/>
      <c r="AX46" s="214"/>
      <c r="AY46" s="214"/>
      <c r="AZ46" s="214"/>
      <c r="BA46" s="214"/>
      <c r="BB46" s="214"/>
      <c r="BC46" s="214"/>
      <c r="BD46" s="214"/>
      <c r="BE46" s="214">
        <v>67000</v>
      </c>
      <c r="BF46" s="214">
        <v>67000</v>
      </c>
      <c r="BG46" s="1178">
        <f t="shared" si="8"/>
        <v>67000</v>
      </c>
      <c r="BH46" s="254">
        <v>25000</v>
      </c>
      <c r="BI46" s="1188" t="s">
        <v>12</v>
      </c>
      <c r="BJ46" s="26" t="s">
        <v>59</v>
      </c>
      <c r="BK46" s="75" t="s">
        <v>2918</v>
      </c>
      <c r="BL46" s="199">
        <v>44986.590277777781</v>
      </c>
      <c r="BM46" s="197">
        <v>44986.654861111114</v>
      </c>
      <c r="BN46" s="197"/>
      <c r="BO46" s="198">
        <v>88004.5</v>
      </c>
      <c r="BP46" s="65" t="str">
        <f t="shared" si="9"/>
        <v>POST PANAMAX</v>
      </c>
      <c r="BQ46" s="197"/>
      <c r="BR46" s="197"/>
      <c r="BS46" s="197"/>
      <c r="BT46" s="197"/>
      <c r="BU46" s="197"/>
      <c r="BV46" s="197"/>
      <c r="BW46" s="197"/>
      <c r="BX46" s="65" t="s">
        <v>2964</v>
      </c>
      <c r="SI46" s="266"/>
      <c r="SJ46" s="266"/>
      <c r="SK46" s="266"/>
      <c r="SL46" s="266"/>
      <c r="SM46" s="266">
        <v>2</v>
      </c>
      <c r="SN46" s="266">
        <v>1</v>
      </c>
      <c r="SO46" s="266"/>
      <c r="SP46" s="266"/>
      <c r="SQ46" s="266"/>
      <c r="SR46" s="266"/>
      <c r="SS46" s="266"/>
      <c r="ST46" s="266"/>
      <c r="SU46" s="266"/>
      <c r="SV46" s="26"/>
      <c r="SW46" s="26"/>
      <c r="SX46" s="26"/>
      <c r="SY46" s="26"/>
      <c r="SZ46" s="26"/>
      <c r="TA46" s="26"/>
      <c r="TB46" s="26"/>
      <c r="TC46" s="26"/>
      <c r="TD46" s="26"/>
      <c r="TE46" s="26"/>
    </row>
    <row r="47" spans="2:591" s="65" customFormat="1" ht="14.4" outlineLevel="1">
      <c r="B47" s="200">
        <v>10</v>
      </c>
      <c r="C47" s="194">
        <v>44986</v>
      </c>
      <c r="D47" s="195" t="s">
        <v>73</v>
      </c>
      <c r="E47" s="72">
        <v>45000</v>
      </c>
      <c r="F47" s="72">
        <v>45009</v>
      </c>
      <c r="G47" s="69" t="s">
        <v>2914</v>
      </c>
      <c r="H47" s="65" t="s">
        <v>1030</v>
      </c>
      <c r="I47" s="65" t="s">
        <v>1150</v>
      </c>
      <c r="J47" s="65" t="s">
        <v>2965</v>
      </c>
      <c r="K47" s="73">
        <v>45002.25</v>
      </c>
      <c r="L47" s="73">
        <v>45002.208333333336</v>
      </c>
      <c r="M47" s="196">
        <v>45004.548611111109</v>
      </c>
      <c r="N47" s="196">
        <v>45006.444444444445</v>
      </c>
      <c r="O47" s="1188" t="s">
        <v>2916</v>
      </c>
      <c r="P47" s="62"/>
      <c r="Q47" s="62"/>
      <c r="R47" s="62"/>
      <c r="S47" s="62"/>
      <c r="T47" s="62"/>
      <c r="U47" s="62">
        <v>46541.926999999996</v>
      </c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>
        <v>7458.0730000000003</v>
      </c>
      <c r="AW47" s="214"/>
      <c r="AX47" s="214"/>
      <c r="AY47" s="214"/>
      <c r="AZ47" s="214"/>
      <c r="BA47" s="214"/>
      <c r="BB47" s="214"/>
      <c r="BC47" s="214"/>
      <c r="BD47" s="214"/>
      <c r="BE47" s="214">
        <v>54000</v>
      </c>
      <c r="BF47" s="66">
        <v>54000</v>
      </c>
      <c r="BG47" s="1178">
        <f t="shared" si="8"/>
        <v>54000</v>
      </c>
      <c r="BH47" s="254">
        <v>16578</v>
      </c>
      <c r="BI47" s="1188" t="s">
        <v>4</v>
      </c>
      <c r="BJ47" s="1188" t="s">
        <v>5</v>
      </c>
      <c r="BK47" s="75" t="s">
        <v>2937</v>
      </c>
      <c r="BL47" s="197">
        <v>44994.591666666667</v>
      </c>
      <c r="BM47" s="197">
        <v>44996.829861111109</v>
      </c>
      <c r="BN47" s="197"/>
      <c r="BO47" s="198">
        <v>77198</v>
      </c>
      <c r="BP47" s="65" t="str">
        <f t="shared" si="9"/>
        <v>PANAMAX</v>
      </c>
      <c r="BQ47" s="197"/>
      <c r="BR47" s="197"/>
      <c r="BS47" s="197"/>
      <c r="BT47" s="197"/>
      <c r="BU47" s="197"/>
      <c r="BV47" s="197"/>
      <c r="BW47" s="197"/>
      <c r="BX47" s="65" t="s">
        <v>2966</v>
      </c>
      <c r="SU47" s="26">
        <v>1</v>
      </c>
      <c r="SV47" s="26"/>
      <c r="SW47" s="26">
        <v>2</v>
      </c>
      <c r="SX47" s="26"/>
      <c r="SY47" s="26"/>
      <c r="SZ47" s="26"/>
      <c r="TA47" s="26"/>
      <c r="TB47" s="26"/>
      <c r="TC47" s="26"/>
      <c r="TD47" s="26"/>
    </row>
    <row r="48" spans="2:591" s="65" customFormat="1" ht="14.4" outlineLevel="1">
      <c r="B48" s="200">
        <v>11</v>
      </c>
      <c r="C48" s="194">
        <v>44986</v>
      </c>
      <c r="D48" s="195" t="s">
        <v>73</v>
      </c>
      <c r="E48" s="72">
        <v>44997</v>
      </c>
      <c r="F48" s="72">
        <v>45003</v>
      </c>
      <c r="G48" s="69" t="s">
        <v>2914</v>
      </c>
      <c r="H48" s="65" t="s">
        <v>969</v>
      </c>
      <c r="I48" s="65" t="s">
        <v>1153</v>
      </c>
      <c r="J48" s="65" t="s">
        <v>2915</v>
      </c>
      <c r="K48" s="73">
        <v>44998.854166666664</v>
      </c>
      <c r="L48" s="73">
        <v>44998.784722222219</v>
      </c>
      <c r="M48" s="196">
        <v>45004.71875</v>
      </c>
      <c r="N48" s="196">
        <v>45006.5</v>
      </c>
      <c r="O48" s="1188" t="s">
        <v>2916</v>
      </c>
      <c r="P48" s="62"/>
      <c r="Q48" s="62"/>
      <c r="R48" s="62"/>
      <c r="S48" s="62"/>
      <c r="T48" s="62"/>
      <c r="U48" s="62">
        <v>45499.278999999995</v>
      </c>
      <c r="V48" s="62"/>
      <c r="W48" s="62"/>
      <c r="X48" s="62"/>
      <c r="Y48" s="62">
        <v>7500.7209999999995</v>
      </c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214"/>
      <c r="AX48" s="214"/>
      <c r="AY48" s="214"/>
      <c r="AZ48" s="214"/>
      <c r="BA48" s="214"/>
      <c r="BB48" s="214"/>
      <c r="BC48" s="214"/>
      <c r="BD48" s="214"/>
      <c r="BE48" s="214">
        <v>53000</v>
      </c>
      <c r="BF48" s="66">
        <v>53000</v>
      </c>
      <c r="BG48" s="1178">
        <f t="shared" si="8"/>
        <v>52999.999999999993</v>
      </c>
      <c r="BH48" s="254">
        <v>12000</v>
      </c>
      <c r="BI48" s="1188" t="s">
        <v>12</v>
      </c>
      <c r="BJ48" s="1188" t="s">
        <v>32</v>
      </c>
      <c r="BK48" s="75" t="s">
        <v>2924</v>
      </c>
      <c r="BL48" s="199">
        <v>44994.606944444444</v>
      </c>
      <c r="BM48" s="197">
        <v>44998.618055555555</v>
      </c>
      <c r="BN48" s="197"/>
      <c r="BO48" s="198">
        <v>53503</v>
      </c>
      <c r="BP48" s="65" t="str">
        <f t="shared" si="9"/>
        <v>SUPER HANDYMAX</v>
      </c>
      <c r="BQ48" s="197"/>
      <c r="BR48" s="197"/>
      <c r="BS48" s="197"/>
      <c r="BT48" s="197"/>
      <c r="BU48" s="197"/>
      <c r="BV48" s="197"/>
      <c r="BW48" s="197"/>
      <c r="BX48" s="65" t="s">
        <v>2967</v>
      </c>
      <c r="SR48" s="26"/>
      <c r="SS48" s="26">
        <v>4</v>
      </c>
      <c r="ST48" s="26">
        <v>3</v>
      </c>
      <c r="SU48" s="26">
        <v>3</v>
      </c>
      <c r="SV48" s="26">
        <v>1</v>
      </c>
      <c r="SW48" s="26"/>
      <c r="SX48" s="26"/>
      <c r="TE48" s="65">
        <v>2</v>
      </c>
    </row>
    <row r="49" spans="2:591" s="65" customFormat="1" ht="14.4" outlineLevel="1">
      <c r="B49" s="200">
        <v>12</v>
      </c>
      <c r="C49" s="194">
        <v>44986</v>
      </c>
      <c r="D49" s="195" t="s">
        <v>74</v>
      </c>
      <c r="E49" s="72">
        <v>44997</v>
      </c>
      <c r="F49" s="72">
        <v>45006</v>
      </c>
      <c r="G49" s="69" t="s">
        <v>2914</v>
      </c>
      <c r="H49" s="65" t="s">
        <v>965</v>
      </c>
      <c r="I49" s="65" t="s">
        <v>1156</v>
      </c>
      <c r="J49" s="65" t="s">
        <v>2915</v>
      </c>
      <c r="K49" s="73">
        <v>44998.583333333336</v>
      </c>
      <c r="L49" s="73">
        <v>44998.604166666664</v>
      </c>
      <c r="M49" s="196">
        <v>45005.1875</v>
      </c>
      <c r="N49" s="196">
        <v>45007.447916666664</v>
      </c>
      <c r="O49" s="1188" t="s">
        <v>2916</v>
      </c>
      <c r="P49" s="62"/>
      <c r="Q49" s="62"/>
      <c r="R49" s="62"/>
      <c r="S49" s="62"/>
      <c r="T49" s="62"/>
      <c r="U49" s="62"/>
      <c r="V49" s="62"/>
      <c r="W49" s="62"/>
      <c r="X49" s="62">
        <v>19012.465499999998</v>
      </c>
      <c r="Y49" s="62">
        <v>19288.786500000002</v>
      </c>
      <c r="Z49" s="62"/>
      <c r="AA49" s="62"/>
      <c r="AB49" s="62"/>
      <c r="AC49" s="62"/>
      <c r="AD49" s="62"/>
      <c r="AE49" s="62"/>
      <c r="AF49" s="62"/>
      <c r="AG49" s="62">
        <v>7500</v>
      </c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>
        <v>7548.7479999999996</v>
      </c>
      <c r="AV49" s="62"/>
      <c r="AW49" s="214"/>
      <c r="AX49" s="214"/>
      <c r="AY49" s="214"/>
      <c r="AZ49" s="214"/>
      <c r="BA49" s="214"/>
      <c r="BB49" s="214"/>
      <c r="BC49" s="214"/>
      <c r="BD49" s="214"/>
      <c r="BE49" s="66">
        <v>53350</v>
      </c>
      <c r="BF49" s="66">
        <v>53350</v>
      </c>
      <c r="BG49" s="1178">
        <f t="shared" si="8"/>
        <v>53350</v>
      </c>
      <c r="BH49" s="254">
        <v>12000</v>
      </c>
      <c r="BI49" s="1188" t="s">
        <v>12</v>
      </c>
      <c r="BJ49" s="1188" t="s">
        <v>37</v>
      </c>
      <c r="BK49" s="75" t="s">
        <v>2968</v>
      </c>
      <c r="BL49" s="199">
        <v>44995.924305555556</v>
      </c>
      <c r="BM49" s="197">
        <v>44996.42291666667</v>
      </c>
      <c r="BN49" s="197"/>
      <c r="BO49" s="198">
        <v>53462</v>
      </c>
      <c r="BP49" s="65" t="str">
        <f t="shared" si="9"/>
        <v>SUPER HANDYMAX</v>
      </c>
      <c r="BQ49" s="197"/>
      <c r="BR49" s="197"/>
      <c r="BS49" s="197"/>
      <c r="BT49" s="197"/>
      <c r="BU49" s="197"/>
      <c r="BV49" s="197"/>
      <c r="BW49" s="197"/>
      <c r="BX49" s="65" t="s">
        <v>2969</v>
      </c>
      <c r="SR49" s="26"/>
      <c r="SS49" s="26">
        <v>3</v>
      </c>
      <c r="ST49" s="26">
        <v>2</v>
      </c>
      <c r="SU49" s="26"/>
      <c r="SV49" s="26"/>
      <c r="SW49" s="26"/>
      <c r="SX49" s="26">
        <v>1</v>
      </c>
      <c r="SY49" s="26"/>
      <c r="SZ49" s="26"/>
      <c r="TA49" s="26"/>
    </row>
    <row r="50" spans="2:591" s="65" customFormat="1" ht="14.4" outlineLevel="1">
      <c r="B50" s="200">
        <v>13</v>
      </c>
      <c r="C50" s="194">
        <v>44958</v>
      </c>
      <c r="D50" s="195" t="s">
        <v>74</v>
      </c>
      <c r="E50" s="72">
        <v>44975</v>
      </c>
      <c r="F50" s="72">
        <v>44984</v>
      </c>
      <c r="G50" s="69" t="s">
        <v>2914</v>
      </c>
      <c r="H50" s="65" t="s">
        <v>977</v>
      </c>
      <c r="I50" s="65" t="s">
        <v>1160</v>
      </c>
      <c r="J50" s="65" t="s">
        <v>2915</v>
      </c>
      <c r="K50" s="73">
        <v>45003.479166666664</v>
      </c>
      <c r="L50" s="73">
        <v>45003.479166666664</v>
      </c>
      <c r="M50" s="196">
        <v>45007.693055555559</v>
      </c>
      <c r="N50" s="196">
        <v>45009.284722222219</v>
      </c>
      <c r="O50" s="1188" t="s">
        <v>2916</v>
      </c>
      <c r="P50" s="214"/>
      <c r="Q50" s="214"/>
      <c r="R50" s="214"/>
      <c r="S50" s="214"/>
      <c r="T50" s="214"/>
      <c r="U50" s="214"/>
      <c r="V50" s="214"/>
      <c r="W50" s="214"/>
      <c r="X50" s="214"/>
      <c r="Y50" s="62">
        <v>35983</v>
      </c>
      <c r="Z50" s="62"/>
      <c r="AA50" s="62"/>
      <c r="AB50" s="62"/>
      <c r="AC50" s="62"/>
      <c r="AD50" s="62"/>
      <c r="AE50" s="62"/>
      <c r="AF50" s="62"/>
      <c r="AG50" s="62">
        <v>7500</v>
      </c>
      <c r="AH50" s="62"/>
      <c r="AI50" s="62"/>
      <c r="AJ50" s="62"/>
      <c r="AK50" s="62"/>
      <c r="AL50" s="62"/>
      <c r="AM50" s="62"/>
      <c r="AN50" s="62">
        <v>5117</v>
      </c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6">
        <v>48600</v>
      </c>
      <c r="BF50" s="66">
        <v>48600</v>
      </c>
      <c r="BG50" s="1178">
        <f t="shared" si="8"/>
        <v>48600</v>
      </c>
      <c r="BH50" s="254"/>
      <c r="BI50" s="1188" t="s">
        <v>12</v>
      </c>
      <c r="BJ50" s="1188" t="s">
        <v>37</v>
      </c>
      <c r="BK50" s="75" t="s">
        <v>2920</v>
      </c>
      <c r="BL50" s="197">
        <v>45001.495138888888</v>
      </c>
      <c r="BM50" s="197">
        <v>45001.495138888888</v>
      </c>
      <c r="BN50" s="197"/>
      <c r="BO50" s="198">
        <v>73461</v>
      </c>
      <c r="BP50" s="65" t="str">
        <f t="shared" si="9"/>
        <v>PANAMAX</v>
      </c>
      <c r="BQ50" s="197"/>
      <c r="BR50" s="197"/>
      <c r="BS50" s="197"/>
      <c r="BT50" s="197"/>
      <c r="BU50" s="197"/>
      <c r="BV50" s="197"/>
      <c r="BW50" s="197"/>
      <c r="BX50" s="65" t="s">
        <v>2970</v>
      </c>
      <c r="RV50" s="26">
        <v>1</v>
      </c>
      <c r="RW50" s="26">
        <v>1</v>
      </c>
      <c r="RX50" s="26">
        <v>1</v>
      </c>
      <c r="RY50" s="26"/>
      <c r="RZ50" s="26"/>
      <c r="SA50" s="26"/>
      <c r="SB50" s="26"/>
      <c r="SC50" s="26">
        <v>2</v>
      </c>
      <c r="SD50" s="26"/>
      <c r="SE50" s="26">
        <v>3</v>
      </c>
      <c r="SN50" s="65">
        <v>4</v>
      </c>
      <c r="SP50" s="65">
        <v>5</v>
      </c>
      <c r="SV50" s="65">
        <v>6</v>
      </c>
      <c r="SX50" s="65">
        <v>8</v>
      </c>
      <c r="TB50" s="65">
        <v>7</v>
      </c>
      <c r="TC50" s="65">
        <v>7</v>
      </c>
    </row>
    <row r="51" spans="2:591" s="65" customFormat="1" ht="14.4" outlineLevel="1">
      <c r="B51" s="200">
        <v>14</v>
      </c>
      <c r="C51" s="194">
        <v>44986</v>
      </c>
      <c r="D51" s="195" t="s">
        <v>74</v>
      </c>
      <c r="E51" s="72">
        <v>44997</v>
      </c>
      <c r="F51" s="72">
        <v>45006</v>
      </c>
      <c r="G51" s="69" t="s">
        <v>107</v>
      </c>
      <c r="H51" s="65" t="s">
        <v>950</v>
      </c>
      <c r="I51" s="65" t="s">
        <v>1163</v>
      </c>
      <c r="J51" s="65" t="s">
        <v>2922</v>
      </c>
      <c r="K51" s="73">
        <v>45003.5625</v>
      </c>
      <c r="L51" s="73">
        <v>45003.54583333333</v>
      </c>
      <c r="M51" s="196">
        <v>45008.244444444441</v>
      </c>
      <c r="N51" s="196">
        <v>45009.675000000003</v>
      </c>
      <c r="O51" s="1188" t="s">
        <v>2916</v>
      </c>
      <c r="P51" s="62"/>
      <c r="Q51" s="62"/>
      <c r="R51" s="62"/>
      <c r="S51" s="62"/>
      <c r="T51" s="62">
        <v>2638.268999999993</v>
      </c>
      <c r="U51" s="62"/>
      <c r="V51" s="62"/>
      <c r="W51" s="62"/>
      <c r="X51" s="62">
        <v>45166.261000000013</v>
      </c>
      <c r="Y51" s="62">
        <v>7418.3019999999997</v>
      </c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>
        <v>5213.2250000000004</v>
      </c>
      <c r="AS51" s="62"/>
      <c r="AT51" s="62">
        <v>7563.9430000000002</v>
      </c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214">
        <v>67900</v>
      </c>
      <c r="BF51" s="66">
        <v>67900</v>
      </c>
      <c r="BG51" s="1178">
        <f t="shared" si="8"/>
        <v>68000.000000000015</v>
      </c>
      <c r="BH51" s="254">
        <v>16000</v>
      </c>
      <c r="BI51" s="1188" t="s">
        <v>20</v>
      </c>
      <c r="BJ51" s="1188" t="s">
        <v>2923</v>
      </c>
      <c r="BK51" s="75" t="s">
        <v>2924</v>
      </c>
      <c r="BL51" s="197">
        <v>44994.402083333334</v>
      </c>
      <c r="BM51" s="197">
        <v>44994.640277777777</v>
      </c>
      <c r="BN51" s="197"/>
      <c r="BO51" s="198">
        <v>72424</v>
      </c>
      <c r="BP51" s="65" t="str">
        <f t="shared" si="9"/>
        <v>PANAMAX</v>
      </c>
      <c r="BQ51" s="197"/>
      <c r="BR51" s="197"/>
      <c r="BS51" s="197"/>
      <c r="BT51" s="197"/>
      <c r="BU51" s="197"/>
      <c r="BV51" s="197"/>
      <c r="BW51" s="197"/>
      <c r="BX51" s="65" t="s">
        <v>2971</v>
      </c>
      <c r="SR51" s="26">
        <v>1</v>
      </c>
      <c r="SS51" s="26"/>
      <c r="ST51" s="26"/>
      <c r="SU51" s="26"/>
      <c r="SV51" s="26"/>
      <c r="SW51" s="26">
        <v>2</v>
      </c>
      <c r="SX51" s="26">
        <v>3</v>
      </c>
      <c r="SY51" s="26">
        <v>3</v>
      </c>
      <c r="SZ51" s="26"/>
      <c r="TA51" s="26"/>
    </row>
    <row r="52" spans="2:591" s="65" customFormat="1" ht="14.4" outlineLevel="1">
      <c r="B52" s="200">
        <v>15</v>
      </c>
      <c r="C52" s="194">
        <v>44986</v>
      </c>
      <c r="D52" s="195" t="s">
        <v>74</v>
      </c>
      <c r="E52" s="72">
        <v>45002</v>
      </c>
      <c r="F52" s="72">
        <v>45011</v>
      </c>
      <c r="G52" s="69" t="s">
        <v>2914</v>
      </c>
      <c r="H52" s="65" t="s">
        <v>988</v>
      </c>
      <c r="I52" s="65" t="s">
        <v>1166</v>
      </c>
      <c r="J52" s="65" t="s">
        <v>2922</v>
      </c>
      <c r="K52" s="73">
        <v>45008.541666666664</v>
      </c>
      <c r="L52" s="73">
        <v>45008.541666666664</v>
      </c>
      <c r="M52" s="196">
        <v>45011.416666666664</v>
      </c>
      <c r="N52" s="196">
        <v>45013.916666666664</v>
      </c>
      <c r="O52" s="1188" t="s">
        <v>2916</v>
      </c>
      <c r="P52" s="62"/>
      <c r="Q52" s="62"/>
      <c r="R52" s="62"/>
      <c r="S52" s="62"/>
      <c r="T52" s="62"/>
      <c r="U52" s="62"/>
      <c r="V52" s="62"/>
      <c r="W52" s="62"/>
      <c r="X52" s="62"/>
      <c r="Y52" s="62">
        <v>69343</v>
      </c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>
        <v>5007</v>
      </c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6">
        <v>74350</v>
      </c>
      <c r="BF52" s="66">
        <v>74350</v>
      </c>
      <c r="BG52" s="1178">
        <f>SUM(P52:AW52)</f>
        <v>74350</v>
      </c>
      <c r="BH52" s="254">
        <v>15000</v>
      </c>
      <c r="BI52" s="1188" t="s">
        <v>4</v>
      </c>
      <c r="BJ52" s="1188" t="s">
        <v>5</v>
      </c>
      <c r="BK52" s="75" t="s">
        <v>2937</v>
      </c>
      <c r="BL52" s="197">
        <v>44995.449305555558</v>
      </c>
      <c r="BM52" s="197">
        <v>45000.384722222225</v>
      </c>
      <c r="BN52" s="197"/>
      <c r="BO52" s="198">
        <v>76212.800000000003</v>
      </c>
      <c r="BP52" s="65" t="str">
        <f>IF(BO52=0,"0",IF(BO52&lt;=50000,"HANDYMAX",IF(BO52&lt;=58000,"SUPER HANDYMAX",IF(BO52&lt;=80000,"PANAMAX",IF(BO52&gt;=80001,"POST PANAMAX")))))</f>
        <v>PANAMAX</v>
      </c>
      <c r="BQ52" s="197"/>
      <c r="BR52" s="197"/>
      <c r="BS52" s="197"/>
      <c r="BT52" s="197"/>
      <c r="BU52" s="197"/>
      <c r="BV52" s="197"/>
      <c r="BW52" s="197"/>
      <c r="SW52" s="26"/>
      <c r="SX52" s="26"/>
      <c r="SY52" s="26">
        <v>1</v>
      </c>
      <c r="SZ52" s="26">
        <v>2</v>
      </c>
      <c r="TA52" s="26">
        <v>3</v>
      </c>
      <c r="TB52" s="26">
        <v>4</v>
      </c>
      <c r="TC52" s="26">
        <v>5</v>
      </c>
      <c r="TD52" s="26"/>
      <c r="TE52" s="26"/>
      <c r="TF52" s="26"/>
    </row>
    <row r="53" spans="2:591" s="65" customFormat="1" ht="15" customHeight="1" outlineLevel="1">
      <c r="B53" s="200">
        <v>16</v>
      </c>
      <c r="C53" s="194">
        <v>44986</v>
      </c>
      <c r="D53" s="195" t="s">
        <v>74</v>
      </c>
      <c r="E53" s="72">
        <v>45003</v>
      </c>
      <c r="F53" s="72">
        <v>45012</v>
      </c>
      <c r="G53" s="69" t="s">
        <v>107</v>
      </c>
      <c r="H53" s="65" t="s">
        <v>979</v>
      </c>
      <c r="I53" s="65" t="s">
        <v>1169</v>
      </c>
      <c r="J53" s="65" t="s">
        <v>2922</v>
      </c>
      <c r="K53" s="73">
        <v>45009.208333333336</v>
      </c>
      <c r="L53" s="73">
        <v>45009.116666666669</v>
      </c>
      <c r="M53" s="196">
        <v>45013.020833333336</v>
      </c>
      <c r="N53" s="196">
        <v>45014.035416666666</v>
      </c>
      <c r="O53" s="1188" t="s">
        <v>2916</v>
      </c>
      <c r="P53" s="62"/>
      <c r="Q53" s="62"/>
      <c r="R53" s="62"/>
      <c r="S53" s="62"/>
      <c r="T53" s="62">
        <v>3267.7930000000051</v>
      </c>
      <c r="U53" s="62"/>
      <c r="V53" s="62"/>
      <c r="W53" s="62"/>
      <c r="X53" s="62">
        <v>39386.285000000003</v>
      </c>
      <c r="Y53" s="62">
        <v>22425.675000000003</v>
      </c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>
        <v>7420.2470000000003</v>
      </c>
      <c r="AV53" s="62"/>
      <c r="AW53" s="62"/>
      <c r="AX53" s="62"/>
      <c r="AY53" s="62"/>
      <c r="AZ53" s="62"/>
      <c r="BA53" s="62"/>
      <c r="BB53" s="62"/>
      <c r="BC53" s="62"/>
      <c r="BD53" s="62"/>
      <c r="BE53" s="66">
        <v>72500</v>
      </c>
      <c r="BF53" s="66">
        <v>72500</v>
      </c>
      <c r="BG53" s="1178">
        <f>SUM(P53:AW53)</f>
        <v>72500.000000000015</v>
      </c>
      <c r="BH53" s="254">
        <v>21000</v>
      </c>
      <c r="BI53" s="1188" t="s">
        <v>20</v>
      </c>
      <c r="BJ53" s="1188" t="s">
        <v>2923</v>
      </c>
      <c r="BK53" s="75" t="s">
        <v>2927</v>
      </c>
      <c r="BL53" s="197">
        <v>45000.534722222219</v>
      </c>
      <c r="BM53" s="197">
        <v>45002.463194444441</v>
      </c>
      <c r="BN53" s="197"/>
      <c r="BO53" s="198">
        <v>76099</v>
      </c>
      <c r="BP53" s="65" t="str">
        <f>IF(BO53=0,"0",IF(BO53&lt;=50000,"HANDYMAX",IF(BO53&lt;=58000,"SUPER HANDYMAX",IF(BO53&lt;=80000,"PANAMAX",IF(BO53&gt;=80001,"POST PANAMAX")))))</f>
        <v>PANAMAX</v>
      </c>
      <c r="BQ53" s="197"/>
      <c r="BR53" s="197"/>
      <c r="BS53" s="197"/>
      <c r="BT53" s="197"/>
      <c r="BU53" s="197"/>
      <c r="BV53" s="197"/>
      <c r="BW53" s="197"/>
      <c r="BX53" s="65" t="s">
        <v>2972</v>
      </c>
      <c r="SX53" s="26"/>
      <c r="SY53" s="26"/>
      <c r="SZ53" s="26"/>
      <c r="TA53" s="26"/>
      <c r="TB53" s="26">
        <v>3</v>
      </c>
      <c r="TC53" s="26">
        <v>1</v>
      </c>
      <c r="TD53" s="26" t="s">
        <v>2973</v>
      </c>
      <c r="TE53" s="26">
        <v>2</v>
      </c>
      <c r="TF53" s="26"/>
      <c r="TG53" s="26"/>
    </row>
    <row r="54" spans="2:591" s="65" customFormat="1" ht="14.4" outlineLevel="1">
      <c r="B54" s="200">
        <v>17</v>
      </c>
      <c r="C54" s="194">
        <v>44986</v>
      </c>
      <c r="D54" s="195" t="s">
        <v>73</v>
      </c>
      <c r="E54" s="72">
        <v>45007</v>
      </c>
      <c r="F54" s="72">
        <v>45016</v>
      </c>
      <c r="G54" s="69" t="s">
        <v>2914</v>
      </c>
      <c r="H54" s="65" t="s">
        <v>1064</v>
      </c>
      <c r="I54" s="65" t="s">
        <v>1171</v>
      </c>
      <c r="J54" s="65" t="s">
        <v>2933</v>
      </c>
      <c r="K54" s="73">
        <v>45007.354166666664</v>
      </c>
      <c r="L54" s="73">
        <v>45007.277777777781</v>
      </c>
      <c r="M54" s="196">
        <v>45013.388888888891</v>
      </c>
      <c r="N54" s="196">
        <v>45015.65625</v>
      </c>
      <c r="O54" s="1188" t="s">
        <v>2916</v>
      </c>
      <c r="P54" s="62"/>
      <c r="Q54" s="62"/>
      <c r="R54" s="62"/>
      <c r="S54" s="62"/>
      <c r="T54" s="62"/>
      <c r="U54" s="62">
        <v>15214.969799999999</v>
      </c>
      <c r="V54" s="62">
        <v>44049.280199999994</v>
      </c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>
        <v>7565.75</v>
      </c>
      <c r="AV54" s="62"/>
      <c r="AW54" s="62"/>
      <c r="AX54" s="62"/>
      <c r="AY54" s="62"/>
      <c r="AZ54" s="62"/>
      <c r="BA54" s="62"/>
      <c r="BB54" s="62"/>
      <c r="BC54" s="62"/>
      <c r="BD54" s="62"/>
      <c r="BE54" s="214">
        <v>66829.999999999985</v>
      </c>
      <c r="BF54" s="214">
        <v>66829.999999999985</v>
      </c>
      <c r="BG54" s="1178">
        <f>SUM(P54:AW54)</f>
        <v>66830</v>
      </c>
      <c r="BH54" s="254">
        <v>18000</v>
      </c>
      <c r="BI54" s="1188" t="s">
        <v>12</v>
      </c>
      <c r="BJ54" s="1188" t="s">
        <v>32</v>
      </c>
      <c r="BK54" s="75" t="s">
        <v>2937</v>
      </c>
      <c r="BL54" s="197">
        <v>45000.521527777775</v>
      </c>
      <c r="BM54" s="197">
        <v>45002.492361111108</v>
      </c>
      <c r="BN54" s="197"/>
      <c r="BO54" s="198">
        <v>81093</v>
      </c>
      <c r="BP54" s="65" t="str">
        <f>IF(BO54=0,"0",IF(BO54&lt;=50000,"HANDYMAX",IF(BO54&lt;=58000,"SUPER HANDYMAX",IF(BO54&lt;=80000,"PANAMAX",IF(BO54&gt;=80001,"POST PANAMAX")))))</f>
        <v>POST PANAMAX</v>
      </c>
      <c r="BQ54" s="197"/>
      <c r="BR54" s="197"/>
      <c r="BS54" s="197"/>
      <c r="BT54" s="197"/>
      <c r="BU54" s="197"/>
      <c r="BV54" s="197"/>
      <c r="BW54" s="197"/>
      <c r="TB54" s="26">
        <v>1</v>
      </c>
      <c r="TC54" s="26"/>
      <c r="TD54" s="26"/>
      <c r="TE54" s="26"/>
      <c r="TF54" s="26"/>
      <c r="TG54" s="26"/>
      <c r="TH54" s="26"/>
      <c r="TI54" s="26"/>
      <c r="TJ54" s="26"/>
      <c r="TK54" s="26"/>
    </row>
    <row r="55" spans="2:591" s="65" customFormat="1" ht="14.4" outlineLevel="1">
      <c r="B55" s="200">
        <v>18</v>
      </c>
      <c r="C55" s="194">
        <v>44986</v>
      </c>
      <c r="D55" s="195" t="s">
        <v>74</v>
      </c>
      <c r="E55" s="72">
        <v>45005</v>
      </c>
      <c r="F55" s="72">
        <v>45014</v>
      </c>
      <c r="G55" s="69" t="s">
        <v>107</v>
      </c>
      <c r="H55" s="65" t="s">
        <v>986</v>
      </c>
      <c r="I55" s="65" t="s">
        <v>1176</v>
      </c>
      <c r="J55" s="65" t="s">
        <v>2926</v>
      </c>
      <c r="K55" s="73">
        <v>45011.125</v>
      </c>
      <c r="L55" s="73">
        <v>45011.091666666667</v>
      </c>
      <c r="M55" s="196">
        <v>45015.354861111111</v>
      </c>
      <c r="N55" s="196">
        <v>45016.835416666669</v>
      </c>
      <c r="O55" s="1188" t="s">
        <v>2916</v>
      </c>
      <c r="P55" s="62">
        <v>3800.4880000000048</v>
      </c>
      <c r="Q55" s="62"/>
      <c r="R55" s="62"/>
      <c r="S55" s="62"/>
      <c r="T55" s="62"/>
      <c r="U55" s="62"/>
      <c r="V55" s="62"/>
      <c r="W55" s="62"/>
      <c r="X55" s="62">
        <v>39638.282999999996</v>
      </c>
      <c r="Y55" s="62">
        <v>10855.178</v>
      </c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>
        <v>5010</v>
      </c>
      <c r="AO55" s="62"/>
      <c r="AP55" s="62"/>
      <c r="AQ55" s="62"/>
      <c r="AR55" s="62"/>
      <c r="AS55" s="62"/>
      <c r="AT55" s="62"/>
      <c r="AU55" s="62">
        <v>7526.0510000000004</v>
      </c>
      <c r="AV55" s="62"/>
      <c r="AW55" s="62"/>
      <c r="AX55" s="62"/>
      <c r="AY55" s="62"/>
      <c r="AZ55" s="62"/>
      <c r="BA55" s="62"/>
      <c r="BB55" s="62"/>
      <c r="BC55" s="62"/>
      <c r="BD55" s="62"/>
      <c r="BE55" s="66">
        <v>66830</v>
      </c>
      <c r="BF55" s="66">
        <v>66830</v>
      </c>
      <c r="BG55" s="1178">
        <f>SUM(P55:AW55)</f>
        <v>66830</v>
      </c>
      <c r="BH55" s="254">
        <v>15818</v>
      </c>
      <c r="BI55" s="1188" t="s">
        <v>20</v>
      </c>
      <c r="BJ55" s="1188" t="s">
        <v>2923</v>
      </c>
      <c r="BK55" s="75" t="s">
        <v>2927</v>
      </c>
      <c r="BL55" s="197">
        <v>44999.384027777778</v>
      </c>
      <c r="BM55" s="197">
        <v>45003.423611111109</v>
      </c>
      <c r="BN55" s="197"/>
      <c r="BO55" s="198">
        <v>76154</v>
      </c>
      <c r="BP55" s="65" t="str">
        <f>IF(BO55=0,"0",IF(BO55&lt;=50000,"HANDYMAX",IF(BO55&lt;=58000,"SUPER HANDYMAX",IF(BO55&lt;=80000,"PANAMAX",IF(BO55&gt;=80001,"POST PANAMAX")))))</f>
        <v>PANAMAX</v>
      </c>
      <c r="BQ55" s="197"/>
      <c r="BR55" s="197"/>
      <c r="BS55" s="197"/>
      <c r="BT55" s="197"/>
      <c r="BU55" s="197"/>
      <c r="BV55" s="197"/>
      <c r="BW55" s="197"/>
      <c r="SZ55" s="26"/>
      <c r="TA55" s="26"/>
      <c r="TB55" s="26"/>
      <c r="TC55" s="26">
        <v>1</v>
      </c>
      <c r="TD55" s="26">
        <v>1</v>
      </c>
      <c r="TE55" s="26"/>
      <c r="TF55" s="26">
        <v>2</v>
      </c>
      <c r="TG55" s="26"/>
      <c r="TH55" s="26"/>
      <c r="TI55" s="26"/>
    </row>
    <row r="56" spans="2:591" s="71" customFormat="1" ht="14.4" outlineLevel="1">
      <c r="B56" s="104"/>
      <c r="C56" s="101"/>
      <c r="D56" s="104"/>
      <c r="E56" s="70"/>
      <c r="F56" s="70"/>
      <c r="G56" s="247"/>
      <c r="K56" s="102"/>
      <c r="L56" s="102"/>
      <c r="M56" s="103"/>
      <c r="N56" s="103"/>
      <c r="O56" s="1199" t="s">
        <v>96</v>
      </c>
      <c r="P56" s="458">
        <f>SUM(P38:P55)</f>
        <v>16603.900000000012</v>
      </c>
      <c r="Q56" s="458">
        <f t="shared" ref="Q56:BG56" si="10">SUM(Q38:Q55)</f>
        <v>0</v>
      </c>
      <c r="R56" s="458">
        <f t="shared" si="10"/>
        <v>0</v>
      </c>
      <c r="S56" s="458">
        <f t="shared" si="10"/>
        <v>0</v>
      </c>
      <c r="T56" s="458">
        <f t="shared" si="10"/>
        <v>5906.0619999999981</v>
      </c>
      <c r="U56" s="458">
        <f t="shared" si="10"/>
        <v>252112.34319999997</v>
      </c>
      <c r="V56" s="458">
        <f t="shared" si="10"/>
        <v>72030.079799999992</v>
      </c>
      <c r="W56" s="458">
        <f t="shared" si="10"/>
        <v>0</v>
      </c>
      <c r="X56" s="458">
        <f t="shared" si="10"/>
        <v>295264.52364999999</v>
      </c>
      <c r="Y56" s="458">
        <f t="shared" si="10"/>
        <v>295548.55634999997</v>
      </c>
      <c r="Z56" s="458">
        <f t="shared" si="10"/>
        <v>32007</v>
      </c>
      <c r="AA56" s="458">
        <f t="shared" si="10"/>
        <v>0</v>
      </c>
      <c r="AB56" s="458">
        <f t="shared" si="10"/>
        <v>0</v>
      </c>
      <c r="AC56" s="458">
        <f t="shared" si="10"/>
        <v>0</v>
      </c>
      <c r="AD56" s="458">
        <f t="shared" si="10"/>
        <v>0</v>
      </c>
      <c r="AE56" s="458">
        <f t="shared" si="10"/>
        <v>0</v>
      </c>
      <c r="AF56" s="458">
        <f t="shared" si="10"/>
        <v>0</v>
      </c>
      <c r="AG56" s="458">
        <f t="shared" si="10"/>
        <v>37500</v>
      </c>
      <c r="AH56" s="458">
        <f t="shared" si="10"/>
        <v>0</v>
      </c>
      <c r="AI56" s="458">
        <f t="shared" si="10"/>
        <v>0</v>
      </c>
      <c r="AJ56" s="458">
        <f t="shared" si="10"/>
        <v>0</v>
      </c>
      <c r="AK56" s="458">
        <f t="shared" si="10"/>
        <v>0</v>
      </c>
      <c r="AL56" s="458">
        <f t="shared" si="10"/>
        <v>14943</v>
      </c>
      <c r="AM56" s="458">
        <f t="shared" si="10"/>
        <v>0</v>
      </c>
      <c r="AN56" s="458">
        <f t="shared" si="10"/>
        <v>15134</v>
      </c>
      <c r="AO56" s="458">
        <f t="shared" si="10"/>
        <v>0</v>
      </c>
      <c r="AP56" s="458">
        <f t="shared" si="10"/>
        <v>5010.5360000000001</v>
      </c>
      <c r="AQ56" s="458">
        <f t="shared" si="10"/>
        <v>7701.915</v>
      </c>
      <c r="AR56" s="458">
        <f t="shared" si="10"/>
        <v>15670.218000000001</v>
      </c>
      <c r="AS56" s="458">
        <f t="shared" si="10"/>
        <v>0</v>
      </c>
      <c r="AT56" s="458">
        <f t="shared" si="10"/>
        <v>7563.9430000000002</v>
      </c>
      <c r="AU56" s="458">
        <f t="shared" si="10"/>
        <v>45255.184000000001</v>
      </c>
      <c r="AV56" s="458">
        <f t="shared" si="10"/>
        <v>7458.0730000000003</v>
      </c>
      <c r="AW56" s="458">
        <f t="shared" si="10"/>
        <v>0</v>
      </c>
      <c r="AX56" s="458">
        <f t="shared" si="10"/>
        <v>0</v>
      </c>
      <c r="AY56" s="458">
        <f>SUM(AY38:AY55)</f>
        <v>0</v>
      </c>
      <c r="AZ56" s="458"/>
      <c r="BA56" s="458"/>
      <c r="BB56" s="458"/>
      <c r="BC56" s="458"/>
      <c r="BD56" s="458"/>
      <c r="BE56" s="458">
        <f t="shared" si="10"/>
        <v>1125609</v>
      </c>
      <c r="BF56" s="458">
        <f t="shared" si="10"/>
        <v>1125609</v>
      </c>
      <c r="BG56" s="1179">
        <f t="shared" si="10"/>
        <v>1125709.334</v>
      </c>
      <c r="BH56" s="68"/>
      <c r="BI56" s="1189"/>
      <c r="BJ56" s="1189"/>
      <c r="BK56" s="104"/>
      <c r="BL56" s="105"/>
      <c r="BM56" s="105"/>
      <c r="BN56" s="105"/>
      <c r="BO56" s="106"/>
      <c r="BQ56" s="105"/>
      <c r="BR56" s="105"/>
      <c r="BS56" s="105"/>
      <c r="BT56" s="105"/>
      <c r="BU56" s="105"/>
      <c r="BV56" s="105"/>
      <c r="BW56" s="10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  <c r="FK56" s="65"/>
      <c r="FL56" s="65"/>
      <c r="FM56" s="65"/>
      <c r="FN56" s="65"/>
      <c r="FO56" s="65"/>
      <c r="FP56" s="65"/>
      <c r="FQ56" s="65"/>
      <c r="FR56" s="65"/>
      <c r="FS56" s="65"/>
      <c r="FT56" s="65"/>
      <c r="FU56" s="65"/>
      <c r="FV56" s="65"/>
      <c r="FW56" s="65"/>
      <c r="FX56" s="65"/>
      <c r="FY56" s="65"/>
      <c r="FZ56" s="65"/>
      <c r="GA56" s="65"/>
      <c r="GB56" s="65"/>
      <c r="GC56" s="65"/>
      <c r="GD56" s="65"/>
      <c r="GE56" s="65"/>
      <c r="GF56" s="65"/>
      <c r="GG56" s="65"/>
      <c r="GH56" s="65"/>
      <c r="GI56" s="65"/>
      <c r="GJ56" s="65"/>
      <c r="GK56" s="65"/>
      <c r="GL56" s="65"/>
      <c r="GM56" s="65"/>
      <c r="GN56" s="65"/>
      <c r="GO56" s="65"/>
      <c r="GP56" s="65"/>
      <c r="GQ56" s="65"/>
      <c r="GR56" s="65"/>
      <c r="GS56" s="65"/>
      <c r="GT56" s="65"/>
      <c r="GU56" s="65"/>
      <c r="GV56" s="65"/>
      <c r="GW56" s="65"/>
      <c r="GX56" s="65"/>
      <c r="GY56" s="65"/>
      <c r="GZ56" s="65"/>
      <c r="HA56" s="65"/>
      <c r="HB56" s="65"/>
      <c r="HC56" s="65"/>
      <c r="HD56" s="65"/>
      <c r="HE56" s="65"/>
      <c r="HF56" s="65"/>
      <c r="HG56" s="65"/>
      <c r="HH56" s="65"/>
      <c r="HI56" s="65"/>
      <c r="HJ56" s="65"/>
      <c r="HK56" s="65"/>
      <c r="HL56" s="65"/>
      <c r="HM56" s="65"/>
      <c r="HN56" s="65"/>
      <c r="HO56" s="65"/>
      <c r="HP56" s="65"/>
      <c r="HQ56" s="65"/>
      <c r="HR56" s="65"/>
      <c r="HS56" s="65"/>
      <c r="HT56" s="65"/>
      <c r="HU56" s="65"/>
      <c r="HV56" s="65"/>
      <c r="HW56" s="65"/>
      <c r="HX56" s="65"/>
      <c r="HY56" s="65"/>
      <c r="HZ56" s="65"/>
      <c r="IA56" s="65"/>
      <c r="IB56" s="65"/>
      <c r="IC56" s="65"/>
      <c r="ID56" s="65"/>
      <c r="IE56" s="65"/>
      <c r="IF56" s="65"/>
      <c r="IG56" s="65"/>
      <c r="IH56" s="65"/>
      <c r="II56" s="65"/>
      <c r="IJ56" s="65"/>
      <c r="IK56" s="65"/>
      <c r="IL56" s="65"/>
      <c r="IM56" s="65"/>
      <c r="IN56" s="65"/>
      <c r="IO56" s="65"/>
      <c r="IP56" s="65"/>
      <c r="IQ56" s="65"/>
      <c r="IR56" s="65"/>
      <c r="IS56" s="65"/>
      <c r="IT56" s="65"/>
      <c r="IU56" s="65"/>
      <c r="IV56" s="65"/>
      <c r="IW56" s="65"/>
      <c r="IX56" s="65"/>
      <c r="IY56" s="65"/>
      <c r="IZ56" s="65"/>
      <c r="JA56" s="65"/>
      <c r="JB56" s="65"/>
      <c r="JC56" s="65"/>
      <c r="JD56" s="65"/>
      <c r="JE56" s="65"/>
      <c r="JF56" s="65"/>
      <c r="JG56" s="65"/>
      <c r="JH56" s="65"/>
      <c r="JI56" s="65"/>
      <c r="JJ56" s="65"/>
      <c r="JK56" s="65"/>
      <c r="JL56" s="65"/>
      <c r="JM56" s="65"/>
      <c r="JN56" s="65"/>
      <c r="JO56" s="65"/>
      <c r="JP56" s="65"/>
      <c r="JQ56" s="65"/>
      <c r="JR56" s="65"/>
      <c r="JS56" s="65"/>
      <c r="JT56" s="65"/>
      <c r="JU56" s="65"/>
      <c r="JV56" s="65"/>
      <c r="JW56" s="65"/>
      <c r="JX56" s="65"/>
      <c r="JY56" s="65"/>
      <c r="JZ56" s="65"/>
      <c r="KA56" s="65"/>
      <c r="KB56" s="65"/>
      <c r="KC56" s="65"/>
      <c r="KD56" s="65"/>
      <c r="KE56" s="65"/>
      <c r="KF56" s="65"/>
      <c r="KG56" s="65"/>
      <c r="KH56" s="65"/>
      <c r="KI56" s="65"/>
      <c r="KJ56" s="65"/>
      <c r="KK56" s="65"/>
      <c r="KL56" s="65"/>
      <c r="KM56" s="65"/>
      <c r="KN56" s="65"/>
      <c r="KO56" s="65"/>
      <c r="KP56" s="65"/>
      <c r="KQ56" s="65"/>
      <c r="KR56" s="65"/>
      <c r="KS56" s="65"/>
      <c r="KT56" s="65"/>
      <c r="KU56" s="65"/>
      <c r="KV56" s="65"/>
      <c r="KW56" s="65"/>
      <c r="KX56" s="65"/>
      <c r="KY56" s="65"/>
      <c r="KZ56" s="65"/>
      <c r="LA56" s="65"/>
      <c r="LB56" s="65"/>
      <c r="LC56" s="65"/>
      <c r="LD56" s="65"/>
      <c r="LE56" s="65"/>
      <c r="LF56" s="65"/>
      <c r="LG56" s="65"/>
      <c r="LH56" s="65"/>
      <c r="LI56" s="65"/>
      <c r="LJ56" s="65"/>
      <c r="LK56" s="65"/>
      <c r="LL56" s="65"/>
      <c r="LM56" s="65"/>
      <c r="LN56" s="65"/>
      <c r="LO56" s="65"/>
      <c r="LP56" s="65"/>
      <c r="LQ56" s="65"/>
      <c r="LR56" s="65"/>
      <c r="LS56" s="65"/>
      <c r="LT56" s="65"/>
      <c r="LU56" s="65"/>
      <c r="LV56" s="65"/>
      <c r="LW56" s="65"/>
      <c r="LX56" s="65"/>
      <c r="LY56" s="65"/>
      <c r="LZ56" s="65"/>
      <c r="MA56" s="65"/>
      <c r="MB56" s="65"/>
      <c r="MC56" s="65"/>
      <c r="MD56" s="65"/>
      <c r="ME56" s="65"/>
      <c r="MF56" s="65"/>
      <c r="MG56" s="65"/>
      <c r="MH56" s="65"/>
      <c r="MI56" s="65"/>
      <c r="MJ56" s="65"/>
      <c r="MK56" s="65"/>
      <c r="ML56" s="65"/>
      <c r="MM56" s="65"/>
      <c r="MN56" s="65"/>
      <c r="MO56" s="65"/>
      <c r="MP56" s="65"/>
      <c r="MQ56" s="65"/>
      <c r="MR56" s="65"/>
      <c r="MS56" s="65"/>
      <c r="MT56" s="65"/>
      <c r="MU56" s="65"/>
      <c r="MV56" s="65"/>
      <c r="MW56" s="65"/>
      <c r="MX56" s="65"/>
      <c r="MY56" s="65"/>
      <c r="MZ56" s="65"/>
      <c r="NA56" s="65"/>
      <c r="NB56" s="65"/>
      <c r="NC56" s="65"/>
      <c r="ND56" s="65"/>
      <c r="NE56" s="65"/>
      <c r="NF56" s="65"/>
      <c r="NG56" s="65"/>
      <c r="NH56" s="65"/>
      <c r="NI56" s="65"/>
      <c r="NJ56" s="65"/>
      <c r="NK56" s="65"/>
      <c r="NL56" s="65"/>
      <c r="NM56" s="65"/>
      <c r="NN56" s="65"/>
      <c r="NO56" s="65"/>
      <c r="NP56" s="65"/>
      <c r="NQ56" s="65"/>
      <c r="NR56" s="65"/>
      <c r="NS56" s="65"/>
      <c r="NT56" s="65"/>
      <c r="NU56" s="65"/>
      <c r="NV56" s="65"/>
      <c r="NW56" s="65"/>
      <c r="NX56" s="65"/>
      <c r="NY56" s="65"/>
      <c r="NZ56" s="65"/>
      <c r="OA56" s="65"/>
      <c r="OB56" s="65"/>
      <c r="OC56" s="65"/>
      <c r="OD56" s="65"/>
      <c r="OE56" s="65"/>
      <c r="OF56" s="65"/>
      <c r="OG56" s="65"/>
      <c r="OH56" s="65"/>
      <c r="OI56" s="65"/>
      <c r="OJ56" s="65"/>
      <c r="OK56" s="65"/>
      <c r="OL56" s="65"/>
      <c r="OM56" s="65"/>
      <c r="ON56" s="65"/>
      <c r="OO56" s="65"/>
      <c r="OP56" s="65"/>
      <c r="OQ56" s="65"/>
      <c r="OR56" s="65"/>
      <c r="OS56" s="65"/>
      <c r="OT56" s="65"/>
      <c r="OU56" s="65"/>
      <c r="OV56" s="65"/>
      <c r="OW56" s="65"/>
      <c r="OX56" s="65"/>
      <c r="OY56" s="65"/>
      <c r="OZ56" s="65"/>
      <c r="PA56" s="65"/>
      <c r="PB56" s="65"/>
      <c r="PC56" s="65"/>
      <c r="PD56" s="65"/>
      <c r="PE56" s="65"/>
      <c r="PF56" s="65"/>
      <c r="PG56" s="65"/>
      <c r="PH56" s="65"/>
      <c r="PI56" s="65"/>
      <c r="PJ56" s="65"/>
      <c r="PK56" s="65"/>
      <c r="PL56" s="65"/>
      <c r="PM56" s="65"/>
      <c r="PN56" s="65"/>
      <c r="PO56" s="65"/>
      <c r="PP56" s="65"/>
      <c r="PQ56" s="65"/>
      <c r="PR56" s="65"/>
      <c r="PS56" s="65"/>
      <c r="PT56" s="65"/>
      <c r="PU56" s="65"/>
      <c r="PV56" s="65"/>
      <c r="PW56" s="65"/>
      <c r="PX56" s="65"/>
      <c r="PY56" s="65"/>
      <c r="PZ56" s="65"/>
      <c r="QA56" s="65"/>
      <c r="QB56" s="65"/>
      <c r="QC56" s="65"/>
      <c r="QD56" s="65"/>
      <c r="QE56" s="65"/>
      <c r="QF56" s="65"/>
      <c r="QG56" s="65"/>
      <c r="QH56" s="65"/>
      <c r="QI56" s="65"/>
      <c r="QJ56" s="65"/>
      <c r="QK56" s="65"/>
      <c r="QL56" s="65"/>
      <c r="QM56" s="65"/>
      <c r="QN56" s="65"/>
      <c r="QO56" s="65"/>
      <c r="QP56" s="65"/>
      <c r="QQ56" s="65"/>
      <c r="QR56" s="65"/>
      <c r="QS56" s="65"/>
      <c r="QT56" s="65"/>
      <c r="QU56" s="65"/>
      <c r="QV56" s="65"/>
      <c r="QW56" s="65"/>
      <c r="QX56" s="65"/>
      <c r="QY56" s="65"/>
      <c r="QZ56" s="65"/>
      <c r="RA56" s="65"/>
      <c r="RB56" s="65"/>
      <c r="RC56" s="65"/>
      <c r="RD56" s="65"/>
      <c r="RE56" s="65"/>
      <c r="RF56" s="65"/>
      <c r="RG56" s="65"/>
      <c r="RH56" s="65"/>
      <c r="RI56" s="65"/>
      <c r="RJ56" s="65"/>
      <c r="RK56" s="65"/>
      <c r="RL56" s="65"/>
      <c r="RM56" s="65"/>
      <c r="RN56" s="65"/>
      <c r="RO56" s="65"/>
      <c r="RP56" s="65"/>
      <c r="RQ56" s="65"/>
      <c r="RR56" s="65"/>
      <c r="RS56" s="65"/>
      <c r="RT56" s="65"/>
      <c r="RU56" s="65"/>
      <c r="RV56" s="65"/>
      <c r="RW56" s="65"/>
      <c r="RX56" s="65"/>
      <c r="RY56" s="65"/>
      <c r="RZ56" s="65"/>
      <c r="SA56" s="65"/>
      <c r="SB56" s="65"/>
      <c r="SC56" s="65"/>
      <c r="SD56" s="65"/>
      <c r="SE56" s="65"/>
      <c r="SF56" s="65"/>
      <c r="SG56" s="65"/>
      <c r="SH56" s="65"/>
      <c r="SI56" s="65"/>
      <c r="SJ56" s="65"/>
      <c r="SK56" s="65"/>
      <c r="SL56" s="65"/>
      <c r="SM56" s="65"/>
      <c r="SN56" s="65"/>
      <c r="SO56" s="65"/>
      <c r="SP56" s="65"/>
      <c r="SQ56" s="65"/>
      <c r="SR56" s="65"/>
      <c r="SS56" s="65"/>
      <c r="ST56" s="65"/>
      <c r="SU56" s="65"/>
      <c r="SV56" s="65"/>
      <c r="SW56" s="65"/>
      <c r="SX56" s="65"/>
      <c r="SY56" s="65"/>
      <c r="SZ56" s="65"/>
      <c r="TA56" s="65"/>
      <c r="TB56" s="65"/>
      <c r="TC56" s="65"/>
      <c r="TD56" s="65"/>
      <c r="TE56" s="65"/>
      <c r="TF56" s="65"/>
      <c r="TG56" s="65"/>
      <c r="TH56" s="65"/>
      <c r="TI56" s="65"/>
      <c r="TJ56" s="65"/>
      <c r="TK56" s="65"/>
      <c r="TL56" s="65"/>
      <c r="TM56" s="65"/>
      <c r="TN56" s="65"/>
      <c r="TO56" s="65"/>
      <c r="TP56" s="65"/>
      <c r="TQ56" s="65"/>
      <c r="TR56" s="65"/>
      <c r="TS56" s="65"/>
      <c r="TT56" s="65"/>
      <c r="TU56" s="65"/>
      <c r="TV56" s="65"/>
      <c r="TW56" s="65"/>
      <c r="TX56" s="65"/>
      <c r="TY56" s="65"/>
      <c r="TZ56" s="65"/>
      <c r="UA56" s="65"/>
      <c r="UB56" s="65"/>
      <c r="UC56" s="65"/>
      <c r="UD56" s="65"/>
      <c r="UE56" s="65"/>
      <c r="UF56" s="65"/>
      <c r="UG56" s="65"/>
      <c r="UH56" s="65"/>
      <c r="UI56" s="65"/>
      <c r="UJ56" s="65"/>
      <c r="UK56" s="65"/>
      <c r="UL56" s="65"/>
      <c r="UM56" s="65"/>
      <c r="UN56" s="65"/>
      <c r="UO56" s="65"/>
      <c r="UP56" s="65"/>
      <c r="UQ56" s="65"/>
      <c r="UR56" s="65"/>
      <c r="US56" s="65"/>
      <c r="UT56" s="65"/>
      <c r="UU56" s="65"/>
      <c r="UV56" s="65"/>
      <c r="UW56" s="65"/>
      <c r="UX56" s="65"/>
      <c r="UY56" s="65"/>
      <c r="UZ56" s="65"/>
      <c r="VA56" s="65"/>
      <c r="VB56" s="65"/>
      <c r="VC56" s="65"/>
      <c r="VD56" s="65"/>
      <c r="VE56" s="65"/>
      <c r="VF56" s="65"/>
      <c r="VG56" s="65"/>
      <c r="VH56" s="65"/>
      <c r="VI56" s="65"/>
      <c r="VJ56" s="65"/>
      <c r="VK56" s="65"/>
      <c r="VL56" s="65"/>
      <c r="VM56" s="65"/>
      <c r="VN56" s="65"/>
      <c r="VO56" s="65"/>
      <c r="VP56" s="65"/>
      <c r="VQ56" s="65"/>
      <c r="VR56" s="65"/>
      <c r="VS56" s="65"/>
    </row>
    <row r="57" spans="2:591" s="99" customFormat="1" ht="14.4" outlineLevel="1">
      <c r="B57" s="108"/>
      <c r="C57" s="107"/>
      <c r="D57" s="108"/>
      <c r="E57" s="109"/>
      <c r="F57" s="109"/>
      <c r="K57" s="110"/>
      <c r="L57" s="110"/>
      <c r="M57" s="111"/>
      <c r="N57" s="111"/>
      <c r="O57" s="1185"/>
      <c r="P57" s="1384">
        <f>SUM(P56:T56)</f>
        <v>22509.96200000001</v>
      </c>
      <c r="Q57" s="1385"/>
      <c r="R57" s="1385"/>
      <c r="S57" s="1385"/>
      <c r="T57" s="1386"/>
      <c r="U57" s="1384">
        <f>SUM(U56:W56)</f>
        <v>324142.42299999995</v>
      </c>
      <c r="V57" s="1385"/>
      <c r="W57" s="1386"/>
      <c r="X57" s="1384">
        <f>SUM(X56:Y56)</f>
        <v>590813.07999999996</v>
      </c>
      <c r="Y57" s="1386"/>
      <c r="Z57" s="459">
        <f>Z56</f>
        <v>32007</v>
      </c>
      <c r="AA57" s="459">
        <f>AA56</f>
        <v>0</v>
      </c>
      <c r="AB57" s="1384">
        <f>SUM(AB56:AV56)</f>
        <v>156236.86900000001</v>
      </c>
      <c r="AC57" s="1385"/>
      <c r="AD57" s="1385"/>
      <c r="AE57" s="1385"/>
      <c r="AF57" s="1385"/>
      <c r="AG57" s="1385"/>
      <c r="AH57" s="1385"/>
      <c r="AI57" s="1385"/>
      <c r="AJ57" s="1385"/>
      <c r="AK57" s="1385"/>
      <c r="AL57" s="1385"/>
      <c r="AM57" s="1385"/>
      <c r="AN57" s="1385"/>
      <c r="AO57" s="1385"/>
      <c r="AP57" s="1385"/>
      <c r="AQ57" s="1385"/>
      <c r="AR57" s="1385"/>
      <c r="AS57" s="1385"/>
      <c r="AT57" s="1385"/>
      <c r="AU57" s="1385"/>
      <c r="AV57" s="1385"/>
      <c r="AW57" s="1385"/>
      <c r="AX57" s="1386"/>
      <c r="AY57" s="394"/>
      <c r="AZ57" s="394"/>
      <c r="BA57" s="394"/>
      <c r="BB57" s="394"/>
      <c r="BC57" s="394"/>
      <c r="BD57" s="394"/>
      <c r="BE57" s="460"/>
      <c r="BF57" s="460"/>
      <c r="BG57" s="1179"/>
      <c r="BH57" s="112"/>
      <c r="BI57" s="1190"/>
      <c r="BJ57" s="1190"/>
      <c r="BK57" s="108"/>
      <c r="BL57" s="113"/>
      <c r="BM57" s="113"/>
      <c r="BN57" s="113"/>
      <c r="BO57" s="114"/>
      <c r="BQ57" s="113"/>
      <c r="BR57" s="113"/>
      <c r="BS57" s="113"/>
      <c r="BT57" s="113"/>
      <c r="BU57" s="113"/>
      <c r="BV57" s="113"/>
      <c r="BW57" s="113"/>
    </row>
    <row r="58" spans="2:591" ht="14.4" outlineLevel="1"/>
    <row r="59" spans="2:591" ht="14.4" outlineLevel="1">
      <c r="B59" s="99" t="s">
        <v>1178</v>
      </c>
    </row>
    <row r="60" spans="2:591" s="65" customFormat="1" ht="14.4" outlineLevel="1">
      <c r="B60" s="200">
        <v>1</v>
      </c>
      <c r="C60" s="194">
        <v>44986</v>
      </c>
      <c r="D60" s="195" t="s">
        <v>74</v>
      </c>
      <c r="E60" s="72">
        <v>45004</v>
      </c>
      <c r="F60" s="72">
        <v>45013</v>
      </c>
      <c r="G60" s="69" t="s">
        <v>2914</v>
      </c>
      <c r="H60" s="65" t="s">
        <v>1398</v>
      </c>
      <c r="I60" s="65" t="s">
        <v>1400</v>
      </c>
      <c r="J60" s="65" t="s">
        <v>2915</v>
      </c>
      <c r="K60" s="73">
        <v>45009.75</v>
      </c>
      <c r="L60" s="73">
        <v>45009.583333333336</v>
      </c>
      <c r="M60" s="196">
        <v>45016.760416666664</v>
      </c>
      <c r="N60" s="196">
        <v>45018.559027777781</v>
      </c>
      <c r="O60" s="1188" t="s">
        <v>2916</v>
      </c>
      <c r="P60" s="62">
        <v>7510.1959999999999</v>
      </c>
      <c r="Q60" s="62"/>
      <c r="R60" s="62"/>
      <c r="S60" s="62"/>
      <c r="T60" s="62"/>
      <c r="U60" s="62"/>
      <c r="V60" s="62"/>
      <c r="W60" s="62"/>
      <c r="X60" s="62">
        <v>22237.815999999992</v>
      </c>
      <c r="Y60" s="62">
        <v>19264.281999999999</v>
      </c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>
        <v>7537.7060000000001</v>
      </c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6">
        <v>56550</v>
      </c>
      <c r="BF60" s="66">
        <v>56550</v>
      </c>
      <c r="BG60" s="1178">
        <f t="shared" ref="BG60:BG73" si="11">SUM(P60:AY60)</f>
        <v>56549.999999999993</v>
      </c>
      <c r="BH60" s="254">
        <v>8000</v>
      </c>
      <c r="BI60" s="1188" t="s">
        <v>12</v>
      </c>
      <c r="BJ60" s="1188" t="s">
        <v>37</v>
      </c>
      <c r="BK60" s="75" t="s">
        <v>2920</v>
      </c>
      <c r="BL60" s="197">
        <v>45005.362500000003</v>
      </c>
      <c r="BM60" s="197">
        <v>45005.454861111109</v>
      </c>
      <c r="BN60" s="197"/>
      <c r="BO60" s="198">
        <v>57000</v>
      </c>
      <c r="BP60" s="65" t="str">
        <f t="shared" ref="BP60:BP65" si="12">IF(BO60=0,"0",IF(BO60&lt;=50000,"HANDYMAX",IF(BO60&lt;=58000,"SUPER HANDYMAX",IF(BO60&lt;=80000,"PANAMAX",IF(BO60&gt;=80001,"POST PANAMAX")))))</f>
        <v>SUPER HANDYMAX</v>
      </c>
      <c r="BQ60" s="197"/>
      <c r="BR60" s="197"/>
      <c r="BS60" s="197"/>
      <c r="BT60" s="197"/>
      <c r="BU60" s="197"/>
      <c r="BV60" s="197"/>
      <c r="BW60" s="197"/>
      <c r="BX60" s="65" t="s">
        <v>2974</v>
      </c>
      <c r="SY60" s="26"/>
      <c r="SZ60" s="26"/>
      <c r="TA60" s="26"/>
      <c r="TB60" s="26"/>
      <c r="TC60" s="26">
        <v>1</v>
      </c>
      <c r="TD60" s="26">
        <v>2</v>
      </c>
      <c r="TE60" s="26"/>
      <c r="TF60" s="26"/>
      <c r="TG60" s="26"/>
      <c r="TH60" s="26"/>
    </row>
    <row r="61" spans="2:591" s="65" customFormat="1" ht="14.4" outlineLevel="1">
      <c r="B61" s="200">
        <v>2</v>
      </c>
      <c r="C61" s="194">
        <v>44986</v>
      </c>
      <c r="D61" s="195" t="s">
        <v>74</v>
      </c>
      <c r="E61" s="72">
        <v>45008</v>
      </c>
      <c r="F61" s="72">
        <v>45017</v>
      </c>
      <c r="G61" s="69" t="s">
        <v>2914</v>
      </c>
      <c r="H61" s="65" t="s">
        <v>919</v>
      </c>
      <c r="I61" s="65" t="s">
        <v>1404</v>
      </c>
      <c r="J61" s="65" t="s">
        <v>2922</v>
      </c>
      <c r="K61" s="73">
        <v>45010.666666666664</v>
      </c>
      <c r="L61" s="73">
        <v>45010.654166666667</v>
      </c>
      <c r="M61" s="196">
        <v>45019.805555555555</v>
      </c>
      <c r="N61" s="196">
        <v>45022.072916666664</v>
      </c>
      <c r="O61" s="1188" t="s">
        <v>2916</v>
      </c>
      <c r="P61" s="62"/>
      <c r="Q61" s="62"/>
      <c r="R61" s="62"/>
      <c r="S61" s="62"/>
      <c r="T61" s="62"/>
      <c r="U61" s="62"/>
      <c r="V61" s="62"/>
      <c r="W61" s="62"/>
      <c r="X61" s="62">
        <v>2056</v>
      </c>
      <c r="Y61" s="62">
        <v>65444.000000000007</v>
      </c>
      <c r="Z61" s="62"/>
      <c r="AA61" s="62"/>
      <c r="AB61" s="62"/>
      <c r="AC61" s="62"/>
      <c r="AD61" s="62"/>
      <c r="AE61" s="62"/>
      <c r="AF61" s="62">
        <v>7500</v>
      </c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214"/>
      <c r="AX61" s="214"/>
      <c r="AY61" s="214"/>
      <c r="AZ61" s="214"/>
      <c r="BA61" s="214"/>
      <c r="BB61" s="214"/>
      <c r="BC61" s="214"/>
      <c r="BD61" s="214"/>
      <c r="BE61" s="214">
        <v>75000</v>
      </c>
      <c r="BF61" s="66">
        <v>75000</v>
      </c>
      <c r="BG61" s="1178">
        <f t="shared" si="11"/>
        <v>75000</v>
      </c>
      <c r="BH61" s="254">
        <v>21000</v>
      </c>
      <c r="BI61" s="1188" t="s">
        <v>4</v>
      </c>
      <c r="BJ61" s="1188" t="s">
        <v>5</v>
      </c>
      <c r="BK61" s="75" t="s">
        <v>2937</v>
      </c>
      <c r="BL61" s="197">
        <v>45000.618750000001</v>
      </c>
      <c r="BM61" s="197">
        <v>45002.423611111109</v>
      </c>
      <c r="BN61" s="197"/>
      <c r="BO61" s="198">
        <v>77672</v>
      </c>
      <c r="BP61" s="65" t="str">
        <f t="shared" si="12"/>
        <v>PANAMAX</v>
      </c>
      <c r="BQ61" s="197"/>
      <c r="BR61" s="197"/>
      <c r="BS61" s="197"/>
      <c r="BT61" s="197"/>
      <c r="BU61" s="197"/>
      <c r="BV61" s="197"/>
      <c r="BW61" s="197"/>
      <c r="BX61" s="65" t="s">
        <v>2975</v>
      </c>
      <c r="TB61" s="65">
        <v>1</v>
      </c>
      <c r="TC61" s="26"/>
      <c r="TD61" s="26"/>
      <c r="TE61" s="26">
        <v>2</v>
      </c>
      <c r="TF61" s="26"/>
      <c r="TG61" s="26"/>
      <c r="TH61" s="26"/>
      <c r="TI61" s="26"/>
      <c r="TJ61" s="26"/>
      <c r="TK61" s="26"/>
      <c r="TL61" s="26"/>
    </row>
    <row r="62" spans="2:591" s="65" customFormat="1" ht="14.4" outlineLevel="1">
      <c r="B62" s="200">
        <v>3</v>
      </c>
      <c r="C62" s="194">
        <v>45017</v>
      </c>
      <c r="D62" s="195" t="s">
        <v>74</v>
      </c>
      <c r="E62" s="72">
        <v>45021</v>
      </c>
      <c r="F62" s="72">
        <v>45030</v>
      </c>
      <c r="G62" s="69" t="s">
        <v>2914</v>
      </c>
      <c r="H62" s="65" t="s">
        <v>1333</v>
      </c>
      <c r="I62" s="65" t="s">
        <v>1407</v>
      </c>
      <c r="J62" s="65" t="s">
        <v>2922</v>
      </c>
      <c r="K62" s="73">
        <v>45022.208333333336</v>
      </c>
      <c r="L62" s="73">
        <v>45022.216666666667</v>
      </c>
      <c r="M62" s="196">
        <v>45023.979166666664</v>
      </c>
      <c r="N62" s="196">
        <v>45026.5625</v>
      </c>
      <c r="O62" s="1188" t="s">
        <v>2916</v>
      </c>
      <c r="P62" s="62"/>
      <c r="Q62" s="62"/>
      <c r="R62" s="62"/>
      <c r="S62" s="62"/>
      <c r="T62" s="62"/>
      <c r="U62" s="62"/>
      <c r="V62" s="62"/>
      <c r="W62" s="62"/>
      <c r="X62" s="62">
        <v>51185.032999999996</v>
      </c>
      <c r="Y62" s="62">
        <v>11314.967000000001</v>
      </c>
      <c r="Z62" s="62"/>
      <c r="AA62" s="62"/>
      <c r="AB62" s="62"/>
      <c r="AC62" s="62"/>
      <c r="AD62" s="62"/>
      <c r="AE62" s="62"/>
      <c r="AF62" s="62"/>
      <c r="AG62" s="62">
        <v>7500</v>
      </c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6">
        <v>70000</v>
      </c>
      <c r="BF62" s="66">
        <v>70000</v>
      </c>
      <c r="BG62" s="1178">
        <f t="shared" si="11"/>
        <v>70000</v>
      </c>
      <c r="BH62" s="254">
        <v>12000</v>
      </c>
      <c r="BI62" s="1188" t="s">
        <v>4</v>
      </c>
      <c r="BJ62" s="1188" t="s">
        <v>5</v>
      </c>
      <c r="BK62" s="75" t="s">
        <v>2937</v>
      </c>
      <c r="BL62" s="197">
        <v>45015.472222222219</v>
      </c>
      <c r="BM62" s="197">
        <v>45017.422222222223</v>
      </c>
      <c r="BN62" s="197"/>
      <c r="BO62" s="198">
        <v>75614.92</v>
      </c>
      <c r="BP62" s="65" t="str">
        <f t="shared" si="12"/>
        <v>PANAMAX</v>
      </c>
      <c r="BQ62" s="197"/>
      <c r="BR62" s="197"/>
      <c r="BS62" s="197"/>
      <c r="BT62" s="197"/>
      <c r="BU62" s="197"/>
      <c r="BV62" s="197"/>
      <c r="BW62" s="197"/>
      <c r="TP62" s="26">
        <v>2</v>
      </c>
      <c r="TQ62" s="26">
        <v>1</v>
      </c>
      <c r="TR62" s="26">
        <v>1</v>
      </c>
      <c r="TS62" s="26"/>
      <c r="TT62" s="26"/>
      <c r="TU62" s="26"/>
      <c r="TV62" s="26"/>
      <c r="TW62" s="26"/>
      <c r="TX62" s="26"/>
      <c r="TY62" s="26"/>
    </row>
    <row r="63" spans="2:591" s="65" customFormat="1" ht="14.4" outlineLevel="1">
      <c r="B63" s="200">
        <v>4</v>
      </c>
      <c r="C63" s="194">
        <v>45017</v>
      </c>
      <c r="D63" s="195" t="s">
        <v>74</v>
      </c>
      <c r="E63" s="72">
        <v>45027</v>
      </c>
      <c r="F63" s="72">
        <v>45036</v>
      </c>
      <c r="G63" s="69" t="s">
        <v>2914</v>
      </c>
      <c r="H63" s="65" t="s">
        <v>1207</v>
      </c>
      <c r="I63" s="65" t="s">
        <v>1412</v>
      </c>
      <c r="J63" s="65" t="s">
        <v>2963</v>
      </c>
      <c r="K63" s="73">
        <v>45016.291666666664</v>
      </c>
      <c r="L63" s="73">
        <v>45016.208333333336</v>
      </c>
      <c r="M63" s="196">
        <v>45028.229166666664</v>
      </c>
      <c r="N63" s="196">
        <v>45030.486111111109</v>
      </c>
      <c r="O63" s="1188" t="s">
        <v>2916</v>
      </c>
      <c r="P63" s="62"/>
      <c r="Q63" s="62"/>
      <c r="R63" s="62"/>
      <c r="S63" s="62"/>
      <c r="T63" s="62">
        <v>7516.3739999999998</v>
      </c>
      <c r="U63" s="62"/>
      <c r="V63" s="62"/>
      <c r="W63" s="62"/>
      <c r="X63" s="62">
        <v>21154.362999999998</v>
      </c>
      <c r="Y63" s="62">
        <v>25817.627</v>
      </c>
      <c r="Z63" s="62"/>
      <c r="AA63" s="62"/>
      <c r="AB63" s="62"/>
      <c r="AC63" s="62"/>
      <c r="AD63" s="62"/>
      <c r="AE63" s="62"/>
      <c r="AF63" s="62"/>
      <c r="AG63" s="62">
        <v>7500</v>
      </c>
      <c r="AH63" s="62"/>
      <c r="AI63" s="62"/>
      <c r="AJ63" s="62"/>
      <c r="AK63" s="62"/>
      <c r="AL63" s="62"/>
      <c r="AM63" s="62"/>
      <c r="AN63" s="62">
        <v>5011.6360000000004</v>
      </c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214">
        <v>67000</v>
      </c>
      <c r="BF63" s="214">
        <v>67000</v>
      </c>
      <c r="BG63" s="1178">
        <f t="shared" si="11"/>
        <v>67000</v>
      </c>
      <c r="BH63" s="254">
        <v>25000</v>
      </c>
      <c r="BI63" s="1188" t="s">
        <v>12</v>
      </c>
      <c r="BJ63" s="1188" t="s">
        <v>41</v>
      </c>
      <c r="BK63" s="75" t="s">
        <v>2920</v>
      </c>
      <c r="BL63" s="197">
        <v>45014.709722222222</v>
      </c>
      <c r="BM63" s="197">
        <v>45015.477083333331</v>
      </c>
      <c r="BN63" s="197"/>
      <c r="BO63" s="198">
        <v>73592</v>
      </c>
      <c r="BP63" s="65" t="str">
        <f>IF(BO63=0,"0",IF(BO63&lt;=50000,"HANDYMAX",IF(BO63&lt;=58000,"SUPER HANDYMAX",IF(BO63&lt;=80000,"PANAMAX",IF(BO63&gt;=80001,"POST PANAMAX")))))</f>
        <v>PANAMAX</v>
      </c>
      <c r="BQ63" s="197"/>
      <c r="BR63" s="197"/>
      <c r="BS63" s="197"/>
      <c r="BT63" s="197"/>
      <c r="BU63" s="197"/>
      <c r="BV63" s="197"/>
      <c r="BW63" s="197"/>
      <c r="BX63" s="65" t="s">
        <v>2976</v>
      </c>
      <c r="TK63" s="65">
        <v>2</v>
      </c>
      <c r="TO63" s="65">
        <v>1</v>
      </c>
      <c r="TV63" s="26"/>
      <c r="TW63" s="26"/>
      <c r="TX63" s="26"/>
      <c r="TY63" s="26"/>
      <c r="TZ63" s="26"/>
      <c r="UA63" s="26"/>
      <c r="UB63" s="26"/>
      <c r="UC63" s="26"/>
      <c r="UD63" s="26"/>
      <c r="UE63" s="26"/>
    </row>
    <row r="64" spans="2:591" s="65" customFormat="1" ht="14.4" outlineLevel="1">
      <c r="B64" s="200">
        <v>5</v>
      </c>
      <c r="C64" s="194">
        <v>45017</v>
      </c>
      <c r="D64" s="195" t="s">
        <v>74</v>
      </c>
      <c r="E64" s="72">
        <v>45024</v>
      </c>
      <c r="F64" s="72">
        <v>45033</v>
      </c>
      <c r="G64" s="69" t="s">
        <v>2914</v>
      </c>
      <c r="H64" s="65" t="s">
        <v>394</v>
      </c>
      <c r="I64" s="65" t="s">
        <v>1415</v>
      </c>
      <c r="J64" s="65" t="s">
        <v>2915</v>
      </c>
      <c r="K64" s="73">
        <v>45021.958333333336</v>
      </c>
      <c r="L64" s="73">
        <v>45021.92083333333</v>
      </c>
      <c r="M64" s="196">
        <v>45028.118055555555</v>
      </c>
      <c r="N64" s="196">
        <v>45030.708333333336</v>
      </c>
      <c r="O64" s="1188" t="s">
        <v>2916</v>
      </c>
      <c r="P64" s="62"/>
      <c r="Q64" s="62"/>
      <c r="R64" s="62"/>
      <c r="S64" s="62"/>
      <c r="T64" s="62"/>
      <c r="U64" s="62"/>
      <c r="V64" s="62"/>
      <c r="W64" s="62"/>
      <c r="X64" s="62">
        <v>41230</v>
      </c>
      <c r="Y64" s="62"/>
      <c r="Z64" s="62"/>
      <c r="AA64" s="62"/>
      <c r="AB64" s="62"/>
      <c r="AC64" s="62"/>
      <c r="AD64" s="62"/>
      <c r="AE64" s="62"/>
      <c r="AF64" s="62"/>
      <c r="AG64" s="62">
        <v>7500</v>
      </c>
      <c r="AH64" s="62"/>
      <c r="AI64" s="62"/>
      <c r="AJ64" s="62"/>
      <c r="AK64" s="62"/>
      <c r="AL64" s="62"/>
      <c r="AM64" s="62"/>
      <c r="AN64" s="62">
        <v>5070</v>
      </c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214">
        <v>53800</v>
      </c>
      <c r="BF64" s="66">
        <v>53800</v>
      </c>
      <c r="BG64" s="1178">
        <f t="shared" si="11"/>
        <v>53800</v>
      </c>
      <c r="BH64" s="254">
        <v>8000</v>
      </c>
      <c r="BI64" s="1188" t="s">
        <v>8</v>
      </c>
      <c r="BJ64" s="1188" t="s">
        <v>13</v>
      </c>
      <c r="BK64" s="75" t="s">
        <v>2920</v>
      </c>
      <c r="BL64" s="197">
        <v>45020.43472222222</v>
      </c>
      <c r="BM64" s="197">
        <v>45020.589583333334</v>
      </c>
      <c r="BN64" s="197"/>
      <c r="BO64" s="198">
        <v>53549</v>
      </c>
      <c r="BP64" s="65" t="str">
        <f>IF(BO64=0,"0",IF(BO64&lt;=50000,"HANDYMAX",IF(BO64&lt;=58000,"SUPER HANDYMAX",IF(BO64&lt;=80000,"PANAMAX",IF(BO64&gt;=80001,"POST PANAMAX")))))</f>
        <v>SUPER HANDYMAX</v>
      </c>
      <c r="BQ64" s="197"/>
      <c r="BR64" s="197"/>
      <c r="BS64" s="197"/>
      <c r="BT64" s="197"/>
      <c r="BU64" s="197"/>
      <c r="BV64" s="197"/>
      <c r="BW64" s="197"/>
      <c r="BX64" s="65" t="s">
        <v>2977</v>
      </c>
      <c r="TP64" s="65">
        <v>2</v>
      </c>
      <c r="TS64" s="26"/>
      <c r="TT64" s="26">
        <v>1</v>
      </c>
      <c r="TU64" s="26"/>
      <c r="TV64" s="26"/>
      <c r="TW64" s="26"/>
      <c r="TX64" s="26"/>
      <c r="TY64" s="26"/>
      <c r="TZ64" s="26"/>
      <c r="UA64" s="26"/>
      <c r="UB64" s="26"/>
    </row>
    <row r="65" spans="2:591" s="65" customFormat="1" ht="14.4" outlineLevel="1">
      <c r="B65" s="200">
        <v>6</v>
      </c>
      <c r="C65" s="194">
        <v>45017</v>
      </c>
      <c r="D65" s="195" t="s">
        <v>74</v>
      </c>
      <c r="E65" s="72">
        <v>45017</v>
      </c>
      <c r="F65" s="72">
        <v>45026</v>
      </c>
      <c r="G65" s="69" t="s">
        <v>107</v>
      </c>
      <c r="H65" s="65" t="s">
        <v>1023</v>
      </c>
      <c r="I65" s="65" t="s">
        <v>1418</v>
      </c>
      <c r="J65" s="65" t="s">
        <v>2932</v>
      </c>
      <c r="K65" s="73">
        <v>45019.583333333336</v>
      </c>
      <c r="L65" s="73">
        <v>45019.604166666664</v>
      </c>
      <c r="M65" s="196">
        <v>45030.121527777781</v>
      </c>
      <c r="N65" s="196">
        <v>45031.697916666664</v>
      </c>
      <c r="O65" s="1188" t="s">
        <v>2916</v>
      </c>
      <c r="P65" s="62"/>
      <c r="Q65" s="62"/>
      <c r="R65" s="62"/>
      <c r="S65" s="62"/>
      <c r="T65" s="62">
        <v>4654.3819999999978</v>
      </c>
      <c r="U65" s="62">
        <v>925.12829999999997</v>
      </c>
      <c r="V65" s="62">
        <v>2158.6326999999997</v>
      </c>
      <c r="W65" s="62"/>
      <c r="X65" s="62">
        <v>62146.460000000006</v>
      </c>
      <c r="Y65" s="62">
        <v>7495.3969999999999</v>
      </c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>
        <v>5120</v>
      </c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6">
        <v>82500</v>
      </c>
      <c r="BF65" s="66">
        <v>82500</v>
      </c>
      <c r="BG65" s="1178">
        <f t="shared" si="11"/>
        <v>82500</v>
      </c>
      <c r="BH65" s="254">
        <v>19500</v>
      </c>
      <c r="BI65" s="1188" t="s">
        <v>20</v>
      </c>
      <c r="BJ65" s="1188" t="s">
        <v>2923</v>
      </c>
      <c r="BK65" s="75" t="s">
        <v>2924</v>
      </c>
      <c r="BL65" s="197">
        <v>45013.454861111109</v>
      </c>
      <c r="BM65" s="197">
        <v>45014.6</v>
      </c>
      <c r="BN65" s="197"/>
      <c r="BO65" s="198">
        <v>87052</v>
      </c>
      <c r="BP65" s="65" t="str">
        <f t="shared" si="12"/>
        <v>POST PANAMAX</v>
      </c>
      <c r="BQ65" s="197"/>
      <c r="BR65" s="197"/>
      <c r="BS65" s="197"/>
      <c r="BT65" s="197"/>
      <c r="BU65" s="197"/>
      <c r="BV65" s="197"/>
      <c r="BW65" s="197"/>
      <c r="TL65" s="26">
        <v>1</v>
      </c>
      <c r="TM65" s="26">
        <v>1</v>
      </c>
      <c r="TN65" s="26">
        <v>2</v>
      </c>
      <c r="TO65" s="26"/>
      <c r="TP65" s="26"/>
      <c r="TQ65" s="26"/>
      <c r="TR65" s="26"/>
      <c r="TS65" s="26"/>
      <c r="TT65" s="26"/>
      <c r="TU65" s="26"/>
    </row>
    <row r="66" spans="2:591" s="65" customFormat="1" ht="14.4" outlineLevel="1">
      <c r="B66" s="200">
        <v>7</v>
      </c>
      <c r="C66" s="194">
        <v>45017</v>
      </c>
      <c r="D66" s="195" t="s">
        <v>74</v>
      </c>
      <c r="E66" s="72">
        <v>45021</v>
      </c>
      <c r="F66" s="72">
        <v>45030</v>
      </c>
      <c r="G66" s="69" t="s">
        <v>107</v>
      </c>
      <c r="H66" s="65" t="s">
        <v>1222</v>
      </c>
      <c r="I66" s="65" t="s">
        <v>1420</v>
      </c>
      <c r="J66" s="65" t="s">
        <v>2922</v>
      </c>
      <c r="K66" s="73">
        <v>45028.354166666664</v>
      </c>
      <c r="L66" s="73">
        <v>45028.270833333336</v>
      </c>
      <c r="M66" s="196">
        <v>45032.220833333333</v>
      </c>
      <c r="N66" s="196">
        <v>45033.739583333336</v>
      </c>
      <c r="O66" s="1188" t="s">
        <v>2916</v>
      </c>
      <c r="P66" s="62"/>
      <c r="Q66" s="62"/>
      <c r="R66" s="62"/>
      <c r="S66" s="62"/>
      <c r="T66" s="62">
        <v>5246.9539999999906</v>
      </c>
      <c r="U66" s="62"/>
      <c r="V66" s="62"/>
      <c r="W66" s="62"/>
      <c r="X66" s="62">
        <v>14813.362000000001</v>
      </c>
      <c r="Y66" s="62">
        <v>44706.684000000001</v>
      </c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>
        <v>5111</v>
      </c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6">
        <v>69878</v>
      </c>
      <c r="BF66" s="66">
        <v>69878</v>
      </c>
      <c r="BG66" s="1178">
        <f t="shared" si="11"/>
        <v>69878</v>
      </c>
      <c r="BH66" s="254">
        <v>14500</v>
      </c>
      <c r="BI66" s="1188" t="s">
        <v>20</v>
      </c>
      <c r="BJ66" s="1188" t="s">
        <v>2923</v>
      </c>
      <c r="BK66" s="75" t="s">
        <v>2927</v>
      </c>
      <c r="BL66" s="197">
        <v>45015.65902777778</v>
      </c>
      <c r="BM66" s="197">
        <v>45018.341666666667</v>
      </c>
      <c r="BN66" s="197"/>
      <c r="BO66" s="198">
        <v>75735</v>
      </c>
      <c r="BP66" s="65" t="str">
        <f t="shared" ref="BP66:BP73" si="13">IF(BO66=0,"0",IF(BO66&lt;=50000,"HANDYMAX",IF(BO66&lt;=58000,"SUPER HANDYMAX",IF(BO66&lt;=80000,"PANAMAX",IF(BO66&gt;=80001,"POST PANAMAX")))))</f>
        <v>PANAMAX</v>
      </c>
      <c r="BQ66" s="197"/>
      <c r="BR66" s="197"/>
      <c r="BS66" s="197"/>
      <c r="BT66" s="197"/>
      <c r="BU66" s="197"/>
      <c r="BV66" s="197"/>
      <c r="BW66" s="197"/>
      <c r="BX66" s="65" t="s">
        <v>2978</v>
      </c>
      <c r="TP66" s="26">
        <v>1</v>
      </c>
      <c r="TQ66" s="26"/>
      <c r="TR66" s="26">
        <v>2</v>
      </c>
      <c r="TS66" s="26">
        <v>2</v>
      </c>
      <c r="TT66" s="26">
        <v>3</v>
      </c>
      <c r="TU66" s="26">
        <v>3</v>
      </c>
      <c r="TV66" s="26">
        <v>4</v>
      </c>
      <c r="TW66" s="26">
        <v>5</v>
      </c>
      <c r="TX66" s="26"/>
      <c r="TY66" s="26"/>
    </row>
    <row r="67" spans="2:591" s="65" customFormat="1" ht="14.4" outlineLevel="1">
      <c r="B67" s="200">
        <v>8</v>
      </c>
      <c r="C67" s="194">
        <v>45017</v>
      </c>
      <c r="D67" s="195" t="s">
        <v>73</v>
      </c>
      <c r="E67" s="72">
        <v>45026</v>
      </c>
      <c r="F67" s="72">
        <v>45035</v>
      </c>
      <c r="G67" s="69" t="s">
        <v>2914</v>
      </c>
      <c r="H67" s="65" t="s">
        <v>1184</v>
      </c>
      <c r="I67" s="65" t="s">
        <v>1422</v>
      </c>
      <c r="J67" s="65" t="s">
        <v>2979</v>
      </c>
      <c r="K67" s="73">
        <v>45026.083333333336</v>
      </c>
      <c r="L67" s="73">
        <v>45026.107638888891</v>
      </c>
      <c r="M67" s="196">
        <v>45032.625</v>
      </c>
      <c r="N67" s="196">
        <v>45035.020833333336</v>
      </c>
      <c r="O67" s="1188" t="s">
        <v>2916</v>
      </c>
      <c r="P67" s="62">
        <v>7505.5659999999998</v>
      </c>
      <c r="Q67" s="62"/>
      <c r="R67" s="62"/>
      <c r="S67" s="62"/>
      <c r="T67" s="62"/>
      <c r="U67" s="62">
        <v>28020.103050000005</v>
      </c>
      <c r="V67" s="62">
        <v>13212.33095</v>
      </c>
      <c r="W67" s="62"/>
      <c r="X67" s="62"/>
      <c r="Y67" s="62"/>
      <c r="Z67" s="62"/>
      <c r="AA67" s="62"/>
      <c r="AB67" s="62"/>
      <c r="AC67" s="62"/>
      <c r="AD67" s="62"/>
      <c r="AE67" s="62"/>
      <c r="AF67" s="62">
        <v>22500</v>
      </c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6">
        <v>71238</v>
      </c>
      <c r="BF67" s="66">
        <v>71238</v>
      </c>
      <c r="BG67" s="1178">
        <f t="shared" si="11"/>
        <v>71238</v>
      </c>
      <c r="BH67" s="254"/>
      <c r="BI67" s="1188" t="s">
        <v>4</v>
      </c>
      <c r="BJ67" s="1188" t="s">
        <v>5</v>
      </c>
      <c r="BK67" s="75" t="s">
        <v>2924</v>
      </c>
      <c r="BL67" s="199">
        <v>45021.40902777778</v>
      </c>
      <c r="BM67" s="197">
        <v>45025.503472222219</v>
      </c>
      <c r="BN67" s="197"/>
      <c r="BO67" s="198">
        <v>76361</v>
      </c>
      <c r="BP67" s="65" t="str">
        <f t="shared" si="13"/>
        <v>PANAMAX</v>
      </c>
      <c r="BQ67" s="197"/>
      <c r="BR67" s="197"/>
      <c r="BS67" s="197"/>
      <c r="BT67" s="197"/>
      <c r="BU67" s="197"/>
      <c r="BV67" s="197"/>
      <c r="BW67" s="197"/>
      <c r="BX67" s="65" t="s">
        <v>2980</v>
      </c>
      <c r="TU67" s="26" t="s">
        <v>2973</v>
      </c>
      <c r="TV67" s="26">
        <v>3</v>
      </c>
      <c r="TW67" s="26">
        <v>2</v>
      </c>
      <c r="TX67" s="26"/>
      <c r="TY67" s="26"/>
      <c r="TZ67" s="26"/>
      <c r="UA67" s="26"/>
      <c r="UB67" s="26"/>
      <c r="UC67" s="26"/>
      <c r="UD67" s="26"/>
    </row>
    <row r="68" spans="2:591" s="65" customFormat="1" ht="14.4" outlineLevel="1">
      <c r="B68" s="200">
        <v>9</v>
      </c>
      <c r="C68" s="194">
        <v>45017</v>
      </c>
      <c r="D68" s="195" t="s">
        <v>74</v>
      </c>
      <c r="E68" s="72">
        <v>45028</v>
      </c>
      <c r="F68" s="72">
        <v>45037</v>
      </c>
      <c r="G68" s="69" t="s">
        <v>2914</v>
      </c>
      <c r="H68" s="65" t="s">
        <v>1189</v>
      </c>
      <c r="I68" s="65" t="s">
        <v>1425</v>
      </c>
      <c r="J68" s="65" t="s">
        <v>2922</v>
      </c>
      <c r="K68" s="73">
        <v>45029.4375</v>
      </c>
      <c r="L68" s="73">
        <v>45029.415972222225</v>
      </c>
      <c r="M68" s="196">
        <v>45032.930555555555</v>
      </c>
      <c r="N68" s="196">
        <v>45035.166666666664</v>
      </c>
      <c r="O68" s="1188" t="s">
        <v>2916</v>
      </c>
      <c r="P68" s="62"/>
      <c r="Q68" s="62"/>
      <c r="R68" s="62"/>
      <c r="S68" s="62"/>
      <c r="T68" s="62"/>
      <c r="U68" s="62"/>
      <c r="V68" s="62"/>
      <c r="W68" s="62"/>
      <c r="X68" s="62">
        <v>49602.894999999997</v>
      </c>
      <c r="Y68" s="62">
        <v>6097.1049999999996</v>
      </c>
      <c r="Z68" s="62"/>
      <c r="AA68" s="62"/>
      <c r="AB68" s="62"/>
      <c r="AC68" s="62"/>
      <c r="AD68" s="62"/>
      <c r="AE68" s="62"/>
      <c r="AF68" s="62">
        <v>7500</v>
      </c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6">
        <v>63200</v>
      </c>
      <c r="BF68" s="66">
        <v>63200</v>
      </c>
      <c r="BG68" s="1178">
        <f t="shared" si="11"/>
        <v>63200</v>
      </c>
      <c r="BH68" s="254">
        <v>18000</v>
      </c>
      <c r="BI68" s="1188" t="s">
        <v>12</v>
      </c>
      <c r="BJ68" s="1188" t="s">
        <v>41</v>
      </c>
      <c r="BK68" s="75" t="s">
        <v>2937</v>
      </c>
      <c r="BL68" s="199">
        <v>45021.542361111111</v>
      </c>
      <c r="BM68" s="197">
        <v>45024.298611111109</v>
      </c>
      <c r="BN68" s="197"/>
      <c r="BO68" s="198">
        <v>71694</v>
      </c>
      <c r="BP68" s="65" t="str">
        <f t="shared" si="13"/>
        <v>PANAMAX</v>
      </c>
      <c r="BQ68" s="197"/>
      <c r="BR68" s="197"/>
      <c r="BS68" s="197"/>
      <c r="BT68" s="197"/>
      <c r="BU68" s="197"/>
      <c r="BV68" s="197"/>
      <c r="BW68" s="197"/>
      <c r="BX68" s="65" t="s">
        <v>2981</v>
      </c>
      <c r="TR68" s="65">
        <v>1</v>
      </c>
      <c r="TS68" s="65">
        <v>1</v>
      </c>
      <c r="TW68" s="26">
        <v>2</v>
      </c>
      <c r="TX68" s="26"/>
      <c r="TY68" s="26"/>
      <c r="TZ68" s="26"/>
      <c r="UA68" s="26"/>
      <c r="UB68" s="26"/>
      <c r="UC68" s="26"/>
      <c r="UD68" s="26"/>
      <c r="UE68" s="26"/>
      <c r="UF68" s="26"/>
    </row>
    <row r="69" spans="2:591" s="65" customFormat="1" ht="14.4" outlineLevel="1">
      <c r="B69" s="200">
        <v>10</v>
      </c>
      <c r="C69" s="194">
        <v>45017</v>
      </c>
      <c r="D69" s="195" t="s">
        <v>85</v>
      </c>
      <c r="E69" s="72">
        <v>45032</v>
      </c>
      <c r="F69" s="72">
        <v>45041</v>
      </c>
      <c r="G69" s="69" t="s">
        <v>2942</v>
      </c>
      <c r="H69" s="65" t="s">
        <v>1234</v>
      </c>
      <c r="I69" s="65" t="s">
        <v>1427</v>
      </c>
      <c r="J69" s="65" t="s">
        <v>2943</v>
      </c>
      <c r="K69" s="73">
        <v>45031.458333333336</v>
      </c>
      <c r="L69" s="73">
        <v>45031.402777777781</v>
      </c>
      <c r="M69" s="196">
        <v>45032.000694444447</v>
      </c>
      <c r="N69" s="196">
        <v>45035.9375</v>
      </c>
      <c r="O69" s="1188" t="s">
        <v>2916</v>
      </c>
      <c r="P69" s="62"/>
      <c r="Q69" s="62"/>
      <c r="R69" s="62"/>
      <c r="S69" s="62"/>
      <c r="T69" s="62"/>
      <c r="U69" s="62">
        <v>7488.7459999999992</v>
      </c>
      <c r="V69" s="62">
        <v>7488.7459999999992</v>
      </c>
      <c r="W69" s="62"/>
      <c r="X69" s="62"/>
      <c r="Y69" s="62">
        <v>7572.2240000000002</v>
      </c>
      <c r="Z69" s="62">
        <v>32450.284</v>
      </c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6">
        <v>55000</v>
      </c>
      <c r="BF69" s="66">
        <v>55000</v>
      </c>
      <c r="BG69" s="1178">
        <f t="shared" si="11"/>
        <v>55000</v>
      </c>
      <c r="BH69" s="254">
        <v>14536</v>
      </c>
      <c r="BI69" s="1188" t="s">
        <v>16</v>
      </c>
      <c r="BJ69" s="1188" t="s">
        <v>45</v>
      </c>
      <c r="BK69" s="75" t="s">
        <v>2944</v>
      </c>
      <c r="BL69" s="197">
        <v>45023.273611111108</v>
      </c>
      <c r="BM69" s="199">
        <v>45027.539583333331</v>
      </c>
      <c r="BN69" s="197"/>
      <c r="BO69" s="198">
        <v>60155</v>
      </c>
      <c r="BP69" s="65" t="str">
        <f t="shared" si="13"/>
        <v>PANAMAX</v>
      </c>
      <c r="BQ69" s="197"/>
      <c r="BR69" s="197"/>
      <c r="BS69" s="197"/>
      <c r="BT69" s="197"/>
      <c r="BU69" s="197"/>
      <c r="BV69" s="197"/>
      <c r="BW69" s="197"/>
      <c r="BX69" s="65" t="s">
        <v>2982</v>
      </c>
      <c r="TU69" s="65">
        <v>1</v>
      </c>
      <c r="TZ69" s="65">
        <v>3</v>
      </c>
      <c r="UA69" s="26">
        <v>2</v>
      </c>
      <c r="UB69" s="26"/>
      <c r="UC69" s="26"/>
      <c r="UD69" s="26"/>
      <c r="UE69" s="26"/>
      <c r="UF69" s="26"/>
      <c r="UG69" s="26"/>
      <c r="UH69" s="26"/>
      <c r="UI69" s="26"/>
      <c r="UJ69" s="26"/>
    </row>
    <row r="70" spans="2:591" s="65" customFormat="1" ht="14.4" outlineLevel="1">
      <c r="B70" s="200">
        <v>11</v>
      </c>
      <c r="C70" s="194">
        <v>45017</v>
      </c>
      <c r="D70" s="195" t="s">
        <v>2983</v>
      </c>
      <c r="E70" s="72">
        <v>45031</v>
      </c>
      <c r="F70" s="72">
        <v>45035</v>
      </c>
      <c r="G70" s="69" t="s">
        <v>107</v>
      </c>
      <c r="H70" s="65" t="s">
        <v>2984</v>
      </c>
      <c r="I70" s="65" t="s">
        <v>2985</v>
      </c>
      <c r="J70" s="65" t="s">
        <v>2943</v>
      </c>
      <c r="K70" s="73">
        <v>45035.25</v>
      </c>
      <c r="L70" s="73">
        <v>45035.229166666664</v>
      </c>
      <c r="M70" s="196">
        <v>45035.59652777778</v>
      </c>
      <c r="N70" s="196">
        <v>45039.711805555555</v>
      </c>
      <c r="O70" s="1188" t="s">
        <v>2916</v>
      </c>
      <c r="P70" s="62"/>
      <c r="Q70" s="62"/>
      <c r="R70" s="62"/>
      <c r="S70" s="62"/>
      <c r="T70" s="62">
        <v>9841.3260000000009</v>
      </c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>
        <v>5102</v>
      </c>
      <c r="AO70" s="62"/>
      <c r="AP70" s="62"/>
      <c r="AQ70" s="62">
        <v>7740.8059999999996</v>
      </c>
      <c r="AS70" s="62"/>
      <c r="AT70" s="62"/>
      <c r="AU70" s="62">
        <v>22735.368999999999</v>
      </c>
      <c r="AV70" s="62"/>
      <c r="AW70" s="62">
        <v>15080.499</v>
      </c>
      <c r="AX70" s="62"/>
      <c r="AY70" s="62"/>
      <c r="AZ70" s="62"/>
      <c r="BA70" s="62"/>
      <c r="BB70" s="62"/>
      <c r="BC70" s="62"/>
      <c r="BD70" s="62"/>
      <c r="BE70" s="66">
        <v>60500</v>
      </c>
      <c r="BF70" s="66">
        <v>60500</v>
      </c>
      <c r="BG70" s="1178">
        <f t="shared" si="11"/>
        <v>60500</v>
      </c>
      <c r="BH70" s="254">
        <v>15941</v>
      </c>
      <c r="BI70" s="1188" t="s">
        <v>20</v>
      </c>
      <c r="BJ70" s="1188" t="s">
        <v>2923</v>
      </c>
      <c r="BK70" s="75" t="s">
        <v>2924</v>
      </c>
      <c r="BL70" s="197">
        <v>45023.967361111114</v>
      </c>
      <c r="BM70" s="199">
        <v>45026.390277777777</v>
      </c>
      <c r="BN70" s="197"/>
      <c r="BO70" s="198">
        <v>62619</v>
      </c>
      <c r="BP70" s="65" t="str">
        <f t="shared" si="13"/>
        <v>PANAMAX</v>
      </c>
      <c r="BQ70" s="197"/>
      <c r="BR70" s="197"/>
      <c r="BS70" s="197"/>
      <c r="BT70" s="197"/>
      <c r="BU70" s="197"/>
      <c r="BV70" s="197"/>
      <c r="BW70" s="197"/>
      <c r="BX70" s="65" t="s">
        <v>2986</v>
      </c>
      <c r="TY70" s="65">
        <v>2</v>
      </c>
      <c r="TZ70" s="26">
        <v>1</v>
      </c>
      <c r="UA70" s="26">
        <v>3</v>
      </c>
      <c r="UB70" s="26">
        <v>3</v>
      </c>
      <c r="UC70" s="26">
        <v>4</v>
      </c>
      <c r="UD70" s="26">
        <v>5</v>
      </c>
    </row>
    <row r="71" spans="2:591" s="65" customFormat="1" ht="14.4" outlineLevel="1">
      <c r="B71" s="200">
        <v>12</v>
      </c>
      <c r="C71" s="194">
        <v>45017</v>
      </c>
      <c r="D71" s="195" t="s">
        <v>74</v>
      </c>
      <c r="E71" s="72">
        <v>45023</v>
      </c>
      <c r="F71" s="72">
        <v>45032</v>
      </c>
      <c r="G71" s="69" t="s">
        <v>2914</v>
      </c>
      <c r="H71" s="65" t="s">
        <v>1270</v>
      </c>
      <c r="I71" s="65" t="s">
        <v>1429</v>
      </c>
      <c r="J71" s="65" t="s">
        <v>2915</v>
      </c>
      <c r="K71" s="73">
        <v>45039.34375</v>
      </c>
      <c r="L71" s="73">
        <v>45039.42083333333</v>
      </c>
      <c r="M71" s="196">
        <v>45041.194444444445</v>
      </c>
      <c r="N71" s="196">
        <v>45042.864583333336</v>
      </c>
      <c r="O71" s="1188" t="s">
        <v>2916</v>
      </c>
      <c r="P71" s="62"/>
      <c r="Q71" s="62"/>
      <c r="R71" s="62"/>
      <c r="S71" s="62"/>
      <c r="T71" s="62"/>
      <c r="U71" s="62"/>
      <c r="V71" s="62"/>
      <c r="W71" s="62"/>
      <c r="X71" s="62">
        <v>3939.6140000000005</v>
      </c>
      <c r="Y71" s="62">
        <v>38060.385999999999</v>
      </c>
      <c r="Z71" s="62"/>
      <c r="AA71" s="62"/>
      <c r="AB71" s="62"/>
      <c r="AC71" s="62"/>
      <c r="AD71" s="62"/>
      <c r="AE71" s="62"/>
      <c r="AF71" s="62"/>
      <c r="AG71" s="62">
        <v>7500</v>
      </c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6">
        <v>49500</v>
      </c>
      <c r="BF71" s="66">
        <v>49500</v>
      </c>
      <c r="BG71" s="1178">
        <f t="shared" si="11"/>
        <v>49500</v>
      </c>
      <c r="BH71" s="254"/>
      <c r="BI71" s="1188" t="s">
        <v>12</v>
      </c>
      <c r="BJ71" s="1188" t="s">
        <v>37</v>
      </c>
      <c r="BK71" s="75" t="s">
        <v>2987</v>
      </c>
      <c r="BL71" s="197">
        <v>45028.845138888886</v>
      </c>
      <c r="BM71" s="197">
        <v>45035.52847222222</v>
      </c>
      <c r="BN71" s="197"/>
      <c r="BO71" s="198">
        <v>50203</v>
      </c>
      <c r="BP71" s="65" t="str">
        <f t="shared" si="13"/>
        <v>SUPER HANDYMAX</v>
      </c>
      <c r="BQ71" s="197"/>
      <c r="BR71" s="197"/>
      <c r="BS71" s="197"/>
      <c r="BT71" s="197"/>
      <c r="BU71" s="197"/>
      <c r="BV71" s="197"/>
      <c r="BW71" s="197"/>
      <c r="TP71" s="65">
        <v>1</v>
      </c>
      <c r="TR71" s="26"/>
      <c r="TS71" s="26"/>
      <c r="TT71" s="26"/>
      <c r="TU71" s="26"/>
      <c r="TV71" s="26"/>
      <c r="TW71" s="26"/>
      <c r="TX71" s="26"/>
      <c r="TY71" s="26"/>
      <c r="TZ71" s="26"/>
      <c r="UA71" s="26"/>
      <c r="UD71" s="65">
        <v>2</v>
      </c>
      <c r="UG71" s="65">
        <v>3</v>
      </c>
      <c r="UH71" s="65">
        <v>4</v>
      </c>
    </row>
    <row r="72" spans="2:591" s="65" customFormat="1" ht="14.4" outlineLevel="1">
      <c r="B72" s="200">
        <v>13</v>
      </c>
      <c r="C72" s="194">
        <v>45017</v>
      </c>
      <c r="D72" s="195" t="s">
        <v>74</v>
      </c>
      <c r="E72" s="72">
        <v>45029</v>
      </c>
      <c r="F72" s="72">
        <v>45038</v>
      </c>
      <c r="G72" s="69" t="s">
        <v>2914</v>
      </c>
      <c r="H72" s="65" t="s">
        <v>1244</v>
      </c>
      <c r="I72" s="65" t="s">
        <v>1432</v>
      </c>
      <c r="J72" s="65" t="s">
        <v>2926</v>
      </c>
      <c r="K72" s="73">
        <v>45036.708333333336</v>
      </c>
      <c r="L72" s="73">
        <f>K72</f>
        <v>45036.708333333336</v>
      </c>
      <c r="M72" s="196">
        <v>45040.965277777774</v>
      </c>
      <c r="N72" s="196">
        <v>45044.166666666664</v>
      </c>
      <c r="O72" s="1188" t="s">
        <v>2916</v>
      </c>
      <c r="P72" s="58">
        <v>15035</v>
      </c>
      <c r="Q72" s="62"/>
      <c r="R72" s="62"/>
      <c r="S72" s="62"/>
      <c r="T72" s="62"/>
      <c r="U72" s="62">
        <v>3984.605</v>
      </c>
      <c r="V72" s="62"/>
      <c r="W72" s="62"/>
      <c r="X72" s="58">
        <v>62627</v>
      </c>
      <c r="Y72" s="62">
        <v>2513.165</v>
      </c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6">
        <v>84160</v>
      </c>
      <c r="BF72" s="66">
        <v>84160</v>
      </c>
      <c r="BG72" s="1178">
        <f t="shared" si="11"/>
        <v>84159.76999999999</v>
      </c>
      <c r="BH72" s="254">
        <v>16675</v>
      </c>
      <c r="BI72" s="1188" t="s">
        <v>4</v>
      </c>
      <c r="BJ72" s="1188" t="s">
        <v>5</v>
      </c>
      <c r="BK72" s="75" t="s">
        <v>2937</v>
      </c>
      <c r="BL72" s="197">
        <v>45033.600694444445</v>
      </c>
      <c r="BM72" s="197">
        <v>45034.459722222222</v>
      </c>
      <c r="BN72" s="197"/>
      <c r="BO72" s="198">
        <v>95740</v>
      </c>
      <c r="BP72" s="65" t="str">
        <f t="shared" si="13"/>
        <v>POST PANAMAX</v>
      </c>
      <c r="BQ72" s="197"/>
      <c r="BR72" s="197"/>
      <c r="BS72" s="197"/>
      <c r="BT72" s="197"/>
      <c r="BU72" s="197"/>
      <c r="BV72" s="197"/>
      <c r="BW72" s="197"/>
      <c r="BX72" s="65" t="s">
        <v>2988</v>
      </c>
      <c r="TX72" s="26"/>
      <c r="TY72" s="26"/>
      <c r="TZ72" s="26"/>
      <c r="UA72" s="26">
        <v>1</v>
      </c>
      <c r="UB72" s="26"/>
      <c r="UC72" s="26"/>
      <c r="UD72" s="26"/>
      <c r="UE72" s="26" t="s">
        <v>2936</v>
      </c>
      <c r="UF72" s="26">
        <v>2</v>
      </c>
      <c r="UG72" s="26"/>
    </row>
    <row r="73" spans="2:591" s="65" customFormat="1" ht="14.4" outlineLevel="1">
      <c r="B73" s="200">
        <v>14</v>
      </c>
      <c r="C73" s="194">
        <v>45017</v>
      </c>
      <c r="D73" s="195" t="s">
        <v>74</v>
      </c>
      <c r="E73" s="72">
        <v>45029</v>
      </c>
      <c r="F73" s="72">
        <v>45038</v>
      </c>
      <c r="G73" s="69" t="s">
        <v>107</v>
      </c>
      <c r="H73" s="65" t="s">
        <v>1246</v>
      </c>
      <c r="I73" s="65" t="s">
        <v>1433</v>
      </c>
      <c r="J73" s="65" t="s">
        <v>2932</v>
      </c>
      <c r="K73" s="73">
        <v>45030.541666666664</v>
      </c>
      <c r="L73" s="73">
        <v>45030.525000000001</v>
      </c>
      <c r="M73" s="196">
        <v>45042.678472222222</v>
      </c>
      <c r="N73" s="196">
        <v>45044.411805555559</v>
      </c>
      <c r="O73" s="1188" t="s">
        <v>2916</v>
      </c>
      <c r="P73" s="62"/>
      <c r="Q73" s="62"/>
      <c r="R73" s="62"/>
      <c r="S73" s="62"/>
      <c r="T73" s="62">
        <v>8823.5399999999863</v>
      </c>
      <c r="U73" s="62"/>
      <c r="V73" s="62"/>
      <c r="W73" s="62"/>
      <c r="X73" s="62">
        <v>18340.03</v>
      </c>
      <c r="Y73" s="62">
        <v>30236.036</v>
      </c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>
        <v>7755.7910000000002</v>
      </c>
      <c r="AR73" s="62"/>
      <c r="AS73" s="62"/>
      <c r="AT73" s="62"/>
      <c r="AU73" s="62"/>
      <c r="AV73" s="62"/>
      <c r="AW73" s="62"/>
      <c r="AX73" s="62"/>
      <c r="AY73" s="62">
        <v>7741.6030000000001</v>
      </c>
      <c r="AZ73" s="62"/>
      <c r="BA73" s="62"/>
      <c r="BB73" s="62"/>
      <c r="BC73" s="62"/>
      <c r="BD73" s="62"/>
      <c r="BE73" s="66">
        <v>72897</v>
      </c>
      <c r="BF73" s="66">
        <v>72897</v>
      </c>
      <c r="BG73" s="1178">
        <f t="shared" si="11"/>
        <v>72896.999999999985</v>
      </c>
      <c r="BH73" s="254">
        <v>19000</v>
      </c>
      <c r="BI73" s="1188" t="s">
        <v>20</v>
      </c>
      <c r="BJ73" s="1188" t="s">
        <v>2923</v>
      </c>
      <c r="BK73" s="75" t="s">
        <v>2927</v>
      </c>
      <c r="BL73" s="199">
        <v>45023.75277777778</v>
      </c>
      <c r="BM73" s="197">
        <v>45024.441666666666</v>
      </c>
      <c r="BN73" s="197"/>
      <c r="BO73" s="198">
        <v>75611</v>
      </c>
      <c r="BP73" s="65" t="str">
        <f t="shared" si="13"/>
        <v>PANAMAX</v>
      </c>
      <c r="BQ73" s="197"/>
      <c r="BR73" s="197"/>
      <c r="BS73" s="197"/>
      <c r="BT73" s="197"/>
      <c r="BU73" s="197"/>
      <c r="BV73" s="197"/>
      <c r="BW73" s="197"/>
      <c r="TX73" s="26">
        <v>1</v>
      </c>
      <c r="TY73" s="26" t="s">
        <v>2939</v>
      </c>
      <c r="TZ73" s="26">
        <v>2</v>
      </c>
      <c r="UA73" s="26"/>
      <c r="UB73" s="26"/>
      <c r="UC73" s="26"/>
      <c r="UD73" s="26"/>
      <c r="UE73" s="26"/>
      <c r="UF73" s="26"/>
      <c r="UG73" s="26"/>
    </row>
    <row r="74" spans="2:591" s="71" customFormat="1" ht="14.4" outlineLevel="1">
      <c r="B74" s="104"/>
      <c r="C74" s="101"/>
      <c r="D74" s="104"/>
      <c r="E74" s="70"/>
      <c r="F74" s="70"/>
      <c r="G74" s="247"/>
      <c r="K74" s="102"/>
      <c r="L74" s="102"/>
      <c r="M74" s="103"/>
      <c r="N74" s="103"/>
      <c r="O74" s="1199" t="s">
        <v>96</v>
      </c>
      <c r="P74" s="458">
        <f>SUM(P60:P73)</f>
        <v>30050.761999999999</v>
      </c>
      <c r="Q74" s="458">
        <f t="shared" ref="Q74:BG74" si="14">SUM(Q60:Q73)</f>
        <v>0</v>
      </c>
      <c r="R74" s="458">
        <f t="shared" si="14"/>
        <v>0</v>
      </c>
      <c r="S74" s="458">
        <f t="shared" si="14"/>
        <v>0</v>
      </c>
      <c r="T74" s="458">
        <f t="shared" si="14"/>
        <v>36082.575999999972</v>
      </c>
      <c r="U74" s="458">
        <f t="shared" si="14"/>
        <v>40418.582350000004</v>
      </c>
      <c r="V74" s="458">
        <f t="shared" si="14"/>
        <v>22859.709649999997</v>
      </c>
      <c r="W74" s="458">
        <f t="shared" si="14"/>
        <v>0</v>
      </c>
      <c r="X74" s="458">
        <f t="shared" si="14"/>
        <v>349332.57299999997</v>
      </c>
      <c r="Y74" s="458">
        <f t="shared" si="14"/>
        <v>258521.87300000002</v>
      </c>
      <c r="Z74" s="458">
        <f t="shared" si="14"/>
        <v>32450.284</v>
      </c>
      <c r="AA74" s="458">
        <f t="shared" si="14"/>
        <v>0</v>
      </c>
      <c r="AB74" s="458">
        <f t="shared" si="14"/>
        <v>0</v>
      </c>
      <c r="AC74" s="458">
        <f t="shared" si="14"/>
        <v>0</v>
      </c>
      <c r="AD74" s="458">
        <f t="shared" si="14"/>
        <v>0</v>
      </c>
      <c r="AE74" s="458">
        <f t="shared" si="14"/>
        <v>0</v>
      </c>
      <c r="AF74" s="458">
        <f t="shared" si="14"/>
        <v>37500</v>
      </c>
      <c r="AG74" s="458">
        <f t="shared" si="14"/>
        <v>30000</v>
      </c>
      <c r="AH74" s="458">
        <f t="shared" si="14"/>
        <v>0</v>
      </c>
      <c r="AI74" s="458">
        <f t="shared" si="14"/>
        <v>0</v>
      </c>
      <c r="AJ74" s="458">
        <f t="shared" si="14"/>
        <v>0</v>
      </c>
      <c r="AK74" s="458">
        <f t="shared" si="14"/>
        <v>0</v>
      </c>
      <c r="AL74" s="458">
        <f t="shared" si="14"/>
        <v>0</v>
      </c>
      <c r="AM74" s="458">
        <f t="shared" si="14"/>
        <v>0</v>
      </c>
      <c r="AN74" s="458">
        <f t="shared" si="14"/>
        <v>25414.635999999999</v>
      </c>
      <c r="AO74" s="458">
        <f t="shared" si="14"/>
        <v>0</v>
      </c>
      <c r="AP74" s="458">
        <f t="shared" si="14"/>
        <v>0</v>
      </c>
      <c r="AQ74" s="458">
        <f t="shared" si="14"/>
        <v>23034.303</v>
      </c>
      <c r="AR74" s="458">
        <f t="shared" si="14"/>
        <v>0</v>
      </c>
      <c r="AS74" s="458">
        <f t="shared" si="14"/>
        <v>0</v>
      </c>
      <c r="AT74" s="458">
        <f t="shared" si="14"/>
        <v>0</v>
      </c>
      <c r="AU74" s="458">
        <f t="shared" si="14"/>
        <v>22735.368999999999</v>
      </c>
      <c r="AV74" s="458">
        <f t="shared" si="14"/>
        <v>0</v>
      </c>
      <c r="AW74" s="458">
        <f t="shared" si="14"/>
        <v>15080.499</v>
      </c>
      <c r="AX74" s="458">
        <f t="shared" si="14"/>
        <v>0</v>
      </c>
      <c r="AY74" s="458">
        <f t="shared" si="14"/>
        <v>7741.6030000000001</v>
      </c>
      <c r="AZ74" s="458"/>
      <c r="BA74" s="458"/>
      <c r="BB74" s="458"/>
      <c r="BC74" s="458"/>
      <c r="BD74" s="458"/>
      <c r="BE74" s="458">
        <f t="shared" si="14"/>
        <v>931223</v>
      </c>
      <c r="BF74" s="458">
        <f t="shared" si="14"/>
        <v>931223</v>
      </c>
      <c r="BG74" s="1179">
        <f t="shared" si="14"/>
        <v>931222.77</v>
      </c>
      <c r="BH74" s="68"/>
      <c r="BI74" s="1189"/>
      <c r="BJ74" s="1189"/>
      <c r="BK74" s="104"/>
      <c r="BL74" s="105"/>
      <c r="BM74" s="105"/>
      <c r="BN74" s="105"/>
      <c r="BO74" s="106"/>
      <c r="BQ74" s="105"/>
      <c r="BR74" s="105"/>
      <c r="BS74" s="105"/>
      <c r="BT74" s="105"/>
      <c r="BU74" s="105"/>
      <c r="BV74" s="105"/>
      <c r="BW74" s="10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/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  <c r="LT74" s="65"/>
      <c r="LU74" s="65"/>
      <c r="LV74" s="65"/>
      <c r="LW74" s="65"/>
      <c r="LX74" s="65"/>
      <c r="LY74" s="65"/>
      <c r="LZ74" s="65"/>
      <c r="MA74" s="65"/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65"/>
      <c r="MX74" s="65"/>
      <c r="MY74" s="65"/>
      <c r="MZ74" s="65"/>
      <c r="NA74" s="65"/>
      <c r="NB74" s="65"/>
      <c r="NC74" s="65"/>
      <c r="ND74" s="65"/>
      <c r="NE74" s="65"/>
      <c r="NF74" s="65"/>
      <c r="NG74" s="65"/>
      <c r="NH74" s="65"/>
      <c r="NI74" s="65"/>
      <c r="NJ74" s="65"/>
      <c r="NK74" s="65"/>
      <c r="NL74" s="65"/>
      <c r="NM74" s="65"/>
      <c r="NN74" s="65"/>
      <c r="NO74" s="65"/>
      <c r="NP74" s="65"/>
      <c r="NQ74" s="65"/>
      <c r="NR74" s="65"/>
      <c r="NS74" s="65"/>
      <c r="NT74" s="65"/>
      <c r="NU74" s="65"/>
      <c r="NV74" s="65"/>
      <c r="NW74" s="65"/>
      <c r="NX74" s="65"/>
      <c r="NY74" s="65"/>
      <c r="NZ74" s="65"/>
      <c r="OA74" s="65"/>
      <c r="OB74" s="65"/>
      <c r="OC74" s="65"/>
      <c r="OD74" s="65"/>
      <c r="OE74" s="65"/>
      <c r="OF74" s="65"/>
      <c r="OG74" s="65"/>
      <c r="OH74" s="65"/>
      <c r="OI74" s="65"/>
      <c r="OJ74" s="65"/>
      <c r="OK74" s="65"/>
      <c r="OL74" s="65"/>
      <c r="OM74" s="65"/>
      <c r="ON74" s="65"/>
      <c r="OO74" s="65"/>
      <c r="OP74" s="65"/>
      <c r="OQ74" s="65"/>
      <c r="OR74" s="65"/>
      <c r="OS74" s="65"/>
      <c r="OT74" s="65"/>
      <c r="OU74" s="65"/>
      <c r="OV74" s="65"/>
      <c r="OW74" s="65"/>
      <c r="OX74" s="65"/>
      <c r="OY74" s="65"/>
      <c r="OZ74" s="65"/>
      <c r="PA74" s="65"/>
      <c r="PB74" s="65"/>
      <c r="PC74" s="65"/>
      <c r="PD74" s="65"/>
      <c r="PE74" s="65"/>
      <c r="PF74" s="65"/>
      <c r="PG74" s="65"/>
      <c r="PH74" s="65"/>
      <c r="PI74" s="65"/>
      <c r="PJ74" s="65"/>
      <c r="PK74" s="65"/>
      <c r="PL74" s="65"/>
      <c r="PM74" s="65"/>
      <c r="PN74" s="65"/>
      <c r="PO74" s="65"/>
      <c r="PP74" s="65"/>
      <c r="PQ74" s="65"/>
      <c r="PR74" s="65"/>
      <c r="PS74" s="65"/>
      <c r="PT74" s="65"/>
      <c r="PU74" s="65"/>
      <c r="PV74" s="65"/>
      <c r="PW74" s="65"/>
      <c r="PX74" s="65"/>
      <c r="PY74" s="65"/>
      <c r="PZ74" s="65"/>
      <c r="QA74" s="65"/>
      <c r="QB74" s="65"/>
      <c r="QC74" s="65"/>
      <c r="QD74" s="65"/>
      <c r="QE74" s="65"/>
      <c r="QF74" s="65"/>
      <c r="QG74" s="65"/>
      <c r="QH74" s="65"/>
      <c r="QI74" s="65"/>
      <c r="QJ74" s="65"/>
      <c r="QK74" s="65"/>
      <c r="QL74" s="65"/>
      <c r="QM74" s="65"/>
      <c r="QN74" s="65"/>
      <c r="QO74" s="65"/>
      <c r="QP74" s="65"/>
      <c r="QQ74" s="65"/>
      <c r="QR74" s="65"/>
      <c r="QS74" s="65"/>
      <c r="QT74" s="65"/>
      <c r="QU74" s="65"/>
      <c r="QV74" s="65"/>
      <c r="QW74" s="65"/>
      <c r="QX74" s="65"/>
      <c r="QY74" s="65"/>
      <c r="QZ74" s="65"/>
      <c r="RA74" s="65"/>
      <c r="RB74" s="65"/>
      <c r="RC74" s="65"/>
      <c r="RD74" s="65"/>
      <c r="RE74" s="65"/>
      <c r="RF74" s="65"/>
      <c r="RG74" s="65"/>
      <c r="RH74" s="65"/>
      <c r="RI74" s="65"/>
      <c r="RJ74" s="65"/>
      <c r="RK74" s="65"/>
      <c r="RL74" s="65"/>
      <c r="RM74" s="65"/>
      <c r="RN74" s="65"/>
      <c r="RO74" s="65"/>
      <c r="RP74" s="65"/>
      <c r="RQ74" s="65"/>
      <c r="RR74" s="65"/>
      <c r="RS74" s="65"/>
      <c r="RT74" s="65"/>
      <c r="RU74" s="65"/>
      <c r="RV74" s="65"/>
      <c r="RW74" s="65"/>
      <c r="RX74" s="65"/>
      <c r="RY74" s="65"/>
      <c r="RZ74" s="65"/>
      <c r="SA74" s="65"/>
      <c r="SB74" s="65"/>
      <c r="SC74" s="65"/>
      <c r="SD74" s="65"/>
      <c r="SE74" s="65"/>
      <c r="SF74" s="65"/>
      <c r="SG74" s="65"/>
      <c r="SH74" s="65"/>
      <c r="SI74" s="65"/>
      <c r="SJ74" s="65"/>
      <c r="SK74" s="65"/>
      <c r="SL74" s="65"/>
      <c r="SM74" s="65"/>
      <c r="SN74" s="65"/>
      <c r="SO74" s="65"/>
      <c r="SP74" s="65"/>
      <c r="SQ74" s="65"/>
      <c r="SR74" s="65"/>
      <c r="SS74" s="65"/>
      <c r="ST74" s="65"/>
      <c r="SU74" s="65"/>
      <c r="SV74" s="65"/>
      <c r="SW74" s="65"/>
      <c r="SX74" s="65"/>
      <c r="SY74" s="65"/>
      <c r="SZ74" s="65"/>
      <c r="TA74" s="65"/>
      <c r="TB74" s="65"/>
      <c r="TC74" s="65"/>
      <c r="TD74" s="65"/>
      <c r="TE74" s="65"/>
      <c r="TF74" s="65"/>
      <c r="TG74" s="65"/>
      <c r="TH74" s="65"/>
      <c r="TI74" s="65"/>
      <c r="TJ74" s="65"/>
      <c r="TK74" s="65"/>
      <c r="TL74" s="65"/>
      <c r="TM74" s="65"/>
      <c r="TN74" s="65"/>
      <c r="TO74" s="65"/>
      <c r="TP74" s="65"/>
      <c r="TQ74" s="65"/>
      <c r="TR74" s="65"/>
      <c r="TS74" s="65"/>
      <c r="TT74" s="65"/>
      <c r="TU74" s="65"/>
      <c r="TV74" s="65"/>
      <c r="TW74" s="65"/>
      <c r="TX74" s="65"/>
      <c r="TY74" s="65"/>
      <c r="TZ74" s="65"/>
      <c r="UA74" s="65"/>
      <c r="UB74" s="65"/>
      <c r="UC74" s="65"/>
      <c r="UD74" s="65"/>
      <c r="UE74" s="65"/>
      <c r="UF74" s="65"/>
      <c r="UG74" s="65"/>
      <c r="UH74" s="65"/>
      <c r="UI74" s="65"/>
      <c r="UJ74" s="65"/>
      <c r="UK74" s="65"/>
      <c r="UL74" s="65"/>
      <c r="UM74" s="65"/>
      <c r="UN74" s="65"/>
      <c r="UO74" s="65"/>
      <c r="UP74" s="65"/>
      <c r="UQ74" s="65"/>
      <c r="UR74" s="65"/>
      <c r="US74" s="65"/>
      <c r="UT74" s="65"/>
      <c r="UU74" s="65"/>
      <c r="UV74" s="65"/>
      <c r="UW74" s="65"/>
      <c r="UX74" s="65"/>
      <c r="UY74" s="65"/>
      <c r="UZ74" s="65"/>
      <c r="VA74" s="65"/>
      <c r="VB74" s="65"/>
      <c r="VC74" s="65"/>
      <c r="VD74" s="65"/>
      <c r="VE74" s="65"/>
      <c r="VF74" s="65"/>
      <c r="VG74" s="65"/>
      <c r="VH74" s="65"/>
      <c r="VI74" s="65"/>
      <c r="VJ74" s="65"/>
      <c r="VK74" s="65"/>
      <c r="VL74" s="65"/>
      <c r="VM74" s="65"/>
      <c r="VN74" s="65"/>
      <c r="VO74" s="65"/>
      <c r="VP74" s="65"/>
      <c r="VQ74" s="65"/>
      <c r="VR74" s="65"/>
      <c r="VS74" s="65"/>
    </row>
    <row r="75" spans="2:591" s="99" customFormat="1" ht="14.4" outlineLevel="1">
      <c r="B75" s="108"/>
      <c r="C75" s="107"/>
      <c r="D75" s="108"/>
      <c r="E75" s="109"/>
      <c r="F75" s="109"/>
      <c r="K75" s="110"/>
      <c r="L75" s="110"/>
      <c r="M75" s="111"/>
      <c r="N75" s="111"/>
      <c r="O75" s="1185"/>
      <c r="P75" s="1384">
        <f>SUM(P74:T74)</f>
        <v>66133.337999999974</v>
      </c>
      <c r="Q75" s="1385"/>
      <c r="R75" s="1385"/>
      <c r="S75" s="1385"/>
      <c r="T75" s="1386"/>
      <c r="U75" s="1384">
        <f>SUM(U74:W74)</f>
        <v>63278.292000000001</v>
      </c>
      <c r="V75" s="1385"/>
      <c r="W75" s="1386"/>
      <c r="X75" s="1384">
        <f>SUM(X74:Y74)</f>
        <v>607854.446</v>
      </c>
      <c r="Y75" s="1386"/>
      <c r="Z75" s="459">
        <f>Z74</f>
        <v>32450.284</v>
      </c>
      <c r="AA75" s="459">
        <f>AA74</f>
        <v>0</v>
      </c>
      <c r="AB75" s="1384">
        <f>SUM(AB74:AY74)</f>
        <v>161506.41</v>
      </c>
      <c r="AC75" s="1385"/>
      <c r="AD75" s="1385"/>
      <c r="AE75" s="1385"/>
      <c r="AF75" s="1385"/>
      <c r="AG75" s="1385"/>
      <c r="AH75" s="1385"/>
      <c r="AI75" s="1385"/>
      <c r="AJ75" s="1385"/>
      <c r="AK75" s="1385"/>
      <c r="AL75" s="1385"/>
      <c r="AM75" s="1385"/>
      <c r="AN75" s="1385"/>
      <c r="AO75" s="1385"/>
      <c r="AP75" s="1385"/>
      <c r="AQ75" s="1385"/>
      <c r="AR75" s="1385"/>
      <c r="AS75" s="1385"/>
      <c r="AT75" s="1385"/>
      <c r="AU75" s="1385"/>
      <c r="AV75" s="1385"/>
      <c r="AW75" s="1385"/>
      <c r="AX75" s="1385"/>
      <c r="AY75" s="1386"/>
      <c r="AZ75" s="394"/>
      <c r="BA75" s="394"/>
      <c r="BB75" s="394"/>
      <c r="BC75" s="394"/>
      <c r="BD75" s="394"/>
      <c r="BE75" s="460"/>
      <c r="BF75" s="460"/>
      <c r="BG75" s="1179"/>
      <c r="BH75" s="112"/>
      <c r="BI75" s="1190"/>
      <c r="BJ75" s="1190"/>
      <c r="BK75" s="108"/>
      <c r="BL75" s="113"/>
      <c r="BM75" s="113"/>
      <c r="BN75" s="113"/>
      <c r="BO75" s="114"/>
      <c r="BQ75" s="113"/>
      <c r="BR75" s="113"/>
      <c r="BS75" s="113"/>
      <c r="BT75" s="113"/>
      <c r="BU75" s="113"/>
      <c r="BV75" s="113"/>
      <c r="BW75" s="113"/>
    </row>
    <row r="76" spans="2:591" ht="14.4" outlineLevel="1"/>
    <row r="77" spans="2:591" ht="14.4" outlineLevel="1">
      <c r="B77" s="99" t="s">
        <v>1439</v>
      </c>
    </row>
    <row r="78" spans="2:591" s="65" customFormat="1" ht="14.4" outlineLevel="1">
      <c r="B78" s="200">
        <v>1</v>
      </c>
      <c r="C78" s="194">
        <v>45017</v>
      </c>
      <c r="D78" s="195" t="s">
        <v>74</v>
      </c>
      <c r="E78" s="72">
        <v>45032</v>
      </c>
      <c r="F78" s="72">
        <v>45041</v>
      </c>
      <c r="G78" s="69" t="s">
        <v>2914</v>
      </c>
      <c r="H78" s="65" t="s">
        <v>1269</v>
      </c>
      <c r="I78" s="65" t="s">
        <v>1697</v>
      </c>
      <c r="J78" s="65" t="s">
        <v>2922</v>
      </c>
      <c r="K78" s="73">
        <v>45039.541666666664</v>
      </c>
      <c r="L78" s="73">
        <v>45039.548611111109</v>
      </c>
      <c r="M78" s="196">
        <v>45044.715277777781</v>
      </c>
      <c r="N78" s="165">
        <v>45047.017361111109</v>
      </c>
      <c r="O78" s="1188" t="s">
        <v>2916</v>
      </c>
      <c r="P78" s="62"/>
      <c r="Q78" s="62"/>
      <c r="R78" s="62"/>
      <c r="S78" s="62"/>
      <c r="T78" s="62"/>
      <c r="U78" s="214"/>
      <c r="V78" s="214"/>
      <c r="W78" s="62"/>
      <c r="X78" s="62">
        <v>36439.584999999999</v>
      </c>
      <c r="Y78" s="62">
        <v>7769.9369999999999</v>
      </c>
      <c r="Z78" s="62"/>
      <c r="AA78" s="62"/>
      <c r="AB78" s="62"/>
      <c r="AC78" s="62"/>
      <c r="AD78" s="62"/>
      <c r="AE78" s="62"/>
      <c r="AF78" s="62"/>
      <c r="AG78" s="62">
        <v>7500</v>
      </c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>
        <v>14990.477999999999</v>
      </c>
      <c r="AV78" s="62"/>
      <c r="AW78" s="62"/>
      <c r="AX78" s="62"/>
      <c r="AY78" s="62"/>
      <c r="AZ78" s="62"/>
      <c r="BA78" s="62"/>
      <c r="BB78" s="62"/>
      <c r="BC78" s="62"/>
      <c r="BD78" s="62"/>
      <c r="BE78" s="66">
        <v>66700</v>
      </c>
      <c r="BF78" s="66">
        <v>66700</v>
      </c>
      <c r="BG78" s="1178">
        <f t="shared" ref="BG78:BG91" si="15">SUM(P78:AY78)</f>
        <v>66700</v>
      </c>
      <c r="BH78" s="254">
        <v>16500</v>
      </c>
      <c r="BI78" s="1188" t="s">
        <v>12</v>
      </c>
      <c r="BJ78" s="1188" t="s">
        <v>41</v>
      </c>
      <c r="BK78" s="75" t="s">
        <v>2924</v>
      </c>
      <c r="BL78" s="197">
        <v>45033.686111111114</v>
      </c>
      <c r="BM78" s="197">
        <v>45035.660416666666</v>
      </c>
      <c r="BN78" s="197"/>
      <c r="BO78" s="198">
        <v>74381</v>
      </c>
      <c r="BP78" s="65" t="str">
        <f t="shared" ref="BP78:BP92" si="16">IF(BO78=0,"0",IF(BO78&lt;=50000,"HANDYMAX",IF(BO78&lt;=58000,"SUPER HANDYMAX",IF(BO78&lt;=80000,"PANAMAX",IF(BO78&gt;=80001,"POST PANAMAX")))))</f>
        <v>PANAMAX</v>
      </c>
      <c r="BQ78" s="197"/>
      <c r="BR78" s="197"/>
      <c r="BS78" s="197"/>
      <c r="BT78" s="197"/>
      <c r="BU78" s="197"/>
      <c r="BV78" s="197"/>
      <c r="BW78" s="197"/>
      <c r="BX78" s="65" t="s">
        <v>2989</v>
      </c>
      <c r="UA78" s="26"/>
      <c r="UB78" s="26"/>
      <c r="UC78" s="26"/>
      <c r="UD78" s="26">
        <v>1</v>
      </c>
      <c r="UE78" s="26">
        <v>2</v>
      </c>
      <c r="UF78" s="26"/>
      <c r="UG78" s="26"/>
      <c r="UH78" s="26">
        <v>3</v>
      </c>
      <c r="UI78" s="26"/>
      <c r="UJ78" s="26"/>
    </row>
    <row r="79" spans="2:591" s="65" customFormat="1" ht="14.4" outlineLevel="1">
      <c r="B79" s="200">
        <v>2</v>
      </c>
      <c r="C79" s="194">
        <v>45017</v>
      </c>
      <c r="D79" s="195" t="s">
        <v>73</v>
      </c>
      <c r="E79" s="72">
        <v>45036</v>
      </c>
      <c r="F79" s="72">
        <v>45047</v>
      </c>
      <c r="G79" s="69" t="s">
        <v>2914</v>
      </c>
      <c r="H79" s="65" t="s">
        <v>1283</v>
      </c>
      <c r="I79" s="65" t="s">
        <v>1701</v>
      </c>
      <c r="J79" s="65" t="s">
        <v>2915</v>
      </c>
      <c r="K79" s="73">
        <v>45045.833333333336</v>
      </c>
      <c r="L79" s="73">
        <v>45045.78125</v>
      </c>
      <c r="M79" s="196">
        <v>45046.104166666664</v>
      </c>
      <c r="N79" s="196">
        <v>45049.506944444445</v>
      </c>
      <c r="O79" s="1188" t="s">
        <v>2916</v>
      </c>
      <c r="P79" s="62"/>
      <c r="Q79" s="62"/>
      <c r="R79" s="62"/>
      <c r="S79" s="62"/>
      <c r="T79" s="62"/>
      <c r="U79" s="62">
        <v>31360</v>
      </c>
      <c r="V79" s="62">
        <v>14618</v>
      </c>
      <c r="W79" s="62"/>
      <c r="X79" s="62">
        <v>4423</v>
      </c>
      <c r="Y79" s="62">
        <v>2949</v>
      </c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6">
        <v>53350</v>
      </c>
      <c r="BF79" s="66">
        <v>53350</v>
      </c>
      <c r="BG79" s="1178">
        <f t="shared" si="15"/>
        <v>53350</v>
      </c>
      <c r="BH79" s="254">
        <v>12000</v>
      </c>
      <c r="BI79" s="1188" t="s">
        <v>16</v>
      </c>
      <c r="BJ79" s="1188" t="s">
        <v>45</v>
      </c>
      <c r="BK79" s="75" t="s">
        <v>2968</v>
      </c>
      <c r="BL79" s="197">
        <v>45033.722222222219</v>
      </c>
      <c r="BM79" s="197">
        <v>45041.385416666664</v>
      </c>
      <c r="BN79" s="197"/>
      <c r="BO79" s="198">
        <v>53026</v>
      </c>
      <c r="BP79" s="65" t="str">
        <f t="shared" si="16"/>
        <v>SUPER HANDYMAX</v>
      </c>
      <c r="BQ79" s="197"/>
      <c r="BR79" s="197"/>
      <c r="BS79" s="197"/>
      <c r="BT79" s="197"/>
      <c r="BU79" s="197"/>
      <c r="BV79" s="197"/>
      <c r="BW79" s="197"/>
      <c r="BX79" s="65" t="s">
        <v>2990</v>
      </c>
      <c r="UE79" s="26">
        <v>1</v>
      </c>
      <c r="UF79" s="26"/>
      <c r="UG79" s="26"/>
      <c r="UH79" s="26"/>
      <c r="UI79" s="26"/>
      <c r="UJ79" s="26">
        <v>2</v>
      </c>
      <c r="UK79" s="26"/>
      <c r="UL79" s="26">
        <v>3</v>
      </c>
      <c r="UM79" s="26">
        <v>3</v>
      </c>
      <c r="UN79" s="26">
        <v>5</v>
      </c>
      <c r="UO79" s="26">
        <v>4</v>
      </c>
      <c r="UP79" s="26"/>
    </row>
    <row r="80" spans="2:591" s="65" customFormat="1" ht="14.4" outlineLevel="1">
      <c r="B80" s="200">
        <v>3</v>
      </c>
      <c r="C80" s="194">
        <v>45017</v>
      </c>
      <c r="D80" s="195" t="s">
        <v>73</v>
      </c>
      <c r="E80" s="72">
        <v>45033</v>
      </c>
      <c r="F80" s="72">
        <v>45042</v>
      </c>
      <c r="G80" s="69" t="s">
        <v>107</v>
      </c>
      <c r="H80" s="65" t="s">
        <v>1345</v>
      </c>
      <c r="I80" s="65" t="s">
        <v>1704</v>
      </c>
      <c r="J80" s="65" t="s">
        <v>2926</v>
      </c>
      <c r="K80" s="73">
        <v>45038.333333333336</v>
      </c>
      <c r="L80" s="73">
        <v>45038.324999999997</v>
      </c>
      <c r="M80" s="196">
        <v>45048.361111111109</v>
      </c>
      <c r="N80" s="196">
        <v>45049.692361111112</v>
      </c>
      <c r="O80" s="1188" t="s">
        <v>2916</v>
      </c>
      <c r="P80" s="62">
        <v>4606.6659999999974</v>
      </c>
      <c r="Q80" s="62"/>
      <c r="R80" s="62"/>
      <c r="S80" s="62"/>
      <c r="T80" s="62"/>
      <c r="U80" s="62">
        <v>44786</v>
      </c>
      <c r="V80" s="62">
        <v>9826</v>
      </c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>
        <v>7551</v>
      </c>
      <c r="AV80" s="62"/>
      <c r="AW80" s="62"/>
      <c r="AX80" s="62"/>
      <c r="AY80" s="62"/>
      <c r="AZ80" s="62"/>
      <c r="BA80" s="62"/>
      <c r="BB80" s="62"/>
      <c r="BC80" s="62"/>
      <c r="BD80" s="62"/>
      <c r="BE80" s="66">
        <v>66770</v>
      </c>
      <c r="BF80" s="66">
        <v>66770</v>
      </c>
      <c r="BG80" s="1178">
        <f t="shared" si="15"/>
        <v>66769.665999999997</v>
      </c>
      <c r="BH80" s="254"/>
      <c r="BI80" s="1188" t="s">
        <v>20</v>
      </c>
      <c r="BJ80" s="1188" t="s">
        <v>2923</v>
      </c>
      <c r="BK80" s="75" t="s">
        <v>2927</v>
      </c>
      <c r="BL80" s="197">
        <v>45031.522222222222</v>
      </c>
      <c r="BM80" s="197">
        <v>45033.497916666667</v>
      </c>
      <c r="BN80" s="197"/>
      <c r="BO80" s="198">
        <v>75474</v>
      </c>
      <c r="BP80" s="65" t="str">
        <f t="shared" si="16"/>
        <v>PANAMAX</v>
      </c>
      <c r="BQ80" s="197"/>
      <c r="BR80" s="197"/>
      <c r="BS80" s="197"/>
      <c r="BT80" s="197"/>
      <c r="BU80" s="197"/>
      <c r="BV80" s="197"/>
      <c r="BW80" s="197"/>
      <c r="BX80" s="65" t="s">
        <v>2991</v>
      </c>
      <c r="UB80" s="26"/>
      <c r="UC80" s="26"/>
      <c r="UD80" s="26"/>
      <c r="UE80" s="26"/>
      <c r="UF80" s="26"/>
      <c r="UG80" s="26">
        <v>1</v>
      </c>
      <c r="UH80" s="26"/>
      <c r="UI80" s="26"/>
      <c r="UJ80" s="26"/>
      <c r="UK80" s="26"/>
    </row>
    <row r="81" spans="2:592" s="65" customFormat="1" ht="14.4" outlineLevel="1">
      <c r="B81" s="200">
        <v>4</v>
      </c>
      <c r="C81" s="194">
        <v>45017</v>
      </c>
      <c r="D81" s="195" t="s">
        <v>74</v>
      </c>
      <c r="E81" s="72">
        <v>45040</v>
      </c>
      <c r="F81" s="72">
        <v>45049</v>
      </c>
      <c r="G81" s="69" t="s">
        <v>2914</v>
      </c>
      <c r="H81" s="65" t="s">
        <v>1280</v>
      </c>
      <c r="I81" s="65" t="s">
        <v>1706</v>
      </c>
      <c r="J81" s="65" t="s">
        <v>2922</v>
      </c>
      <c r="K81" s="73">
        <v>45041.458333333336</v>
      </c>
      <c r="L81" s="73">
        <v>45041.458333333336</v>
      </c>
      <c r="M81" s="196">
        <v>45047.923611111109</v>
      </c>
      <c r="N81" s="196">
        <v>45050.284722222219</v>
      </c>
      <c r="O81" s="1188" t="s">
        <v>2916</v>
      </c>
      <c r="P81" s="62"/>
      <c r="Q81" s="62"/>
      <c r="R81" s="62"/>
      <c r="S81" s="62"/>
      <c r="T81" s="62">
        <v>15043.161</v>
      </c>
      <c r="U81" s="62"/>
      <c r="V81" s="62"/>
      <c r="W81" s="62"/>
      <c r="X81" s="62">
        <v>10727.598999999989</v>
      </c>
      <c r="Y81" s="62">
        <v>41722.239999999998</v>
      </c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>
        <v>5015</v>
      </c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214">
        <v>72508</v>
      </c>
      <c r="BF81" s="214">
        <v>72508</v>
      </c>
      <c r="BG81" s="1178">
        <f t="shared" si="15"/>
        <v>72507.999999999985</v>
      </c>
      <c r="BH81" s="254">
        <v>20000</v>
      </c>
      <c r="BI81" s="1188" t="s">
        <v>12</v>
      </c>
      <c r="BJ81" s="1188" t="s">
        <v>41</v>
      </c>
      <c r="BK81" s="75" t="s">
        <v>2992</v>
      </c>
      <c r="BL81" s="197">
        <v>45035.458113425928</v>
      </c>
      <c r="BM81" s="197">
        <v>45041.529861111114</v>
      </c>
      <c r="BN81" s="197"/>
      <c r="BO81" s="198">
        <v>74381</v>
      </c>
      <c r="BP81" s="65" t="str">
        <f t="shared" si="16"/>
        <v>PANAMAX</v>
      </c>
      <c r="BQ81" s="197"/>
      <c r="BR81" s="197"/>
      <c r="BS81" s="197"/>
      <c r="BT81" s="197"/>
      <c r="BU81" s="197"/>
      <c r="BV81" s="197"/>
      <c r="BW81" s="197"/>
      <c r="BX81" s="65" t="s">
        <v>2993</v>
      </c>
      <c r="UI81" s="26">
        <v>1</v>
      </c>
      <c r="UJ81" s="26">
        <v>2</v>
      </c>
      <c r="UK81" s="26"/>
      <c r="UL81" s="26"/>
      <c r="UM81" s="26"/>
      <c r="UN81" s="26"/>
      <c r="UO81" s="26"/>
      <c r="UP81" s="26"/>
      <c r="UQ81" s="26"/>
      <c r="UR81" s="26"/>
    </row>
    <row r="82" spans="2:592" s="65" customFormat="1" ht="14.4" outlineLevel="1">
      <c r="B82" s="200">
        <v>5</v>
      </c>
      <c r="C82" s="194">
        <v>45017</v>
      </c>
      <c r="D82" s="195" t="s">
        <v>74</v>
      </c>
      <c r="E82" s="72">
        <v>45040</v>
      </c>
      <c r="F82" s="72">
        <v>45049</v>
      </c>
      <c r="G82" s="69" t="s">
        <v>107</v>
      </c>
      <c r="H82" s="65" t="s">
        <v>1293</v>
      </c>
      <c r="I82" s="65" t="s">
        <v>1711</v>
      </c>
      <c r="J82" s="65" t="s">
        <v>2922</v>
      </c>
      <c r="K82" s="73">
        <v>45043.833333333336</v>
      </c>
      <c r="L82" s="73">
        <v>45043.770833333336</v>
      </c>
      <c r="M82" s="196">
        <v>45055.630555555559</v>
      </c>
      <c r="N82" s="196">
        <v>45056.895833333336</v>
      </c>
      <c r="O82" s="1188" t="s">
        <v>2916</v>
      </c>
      <c r="P82" s="62"/>
      <c r="Q82" s="62"/>
      <c r="R82" s="62"/>
      <c r="S82" s="62"/>
      <c r="T82" s="62">
        <v>2467.6640000000043</v>
      </c>
      <c r="U82" s="62"/>
      <c r="V82" s="62"/>
      <c r="W82" s="62"/>
      <c r="X82" s="62">
        <v>37973.165000000001</v>
      </c>
      <c r="Y82" s="62">
        <v>7446.4359999999997</v>
      </c>
      <c r="Z82" s="62"/>
      <c r="AA82" s="62"/>
      <c r="AB82" s="62"/>
      <c r="AC82" s="62"/>
      <c r="AD82" s="62"/>
      <c r="AE82" s="62"/>
      <c r="AF82" s="62">
        <v>7500</v>
      </c>
      <c r="AG82" s="62">
        <v>7500</v>
      </c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>
        <v>5252.7349999999997</v>
      </c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6">
        <v>68140</v>
      </c>
      <c r="BF82" s="66">
        <v>68140</v>
      </c>
      <c r="BG82" s="1178">
        <f t="shared" si="15"/>
        <v>68140</v>
      </c>
      <c r="BH82" s="254">
        <v>17500</v>
      </c>
      <c r="BI82" s="1188" t="s">
        <v>20</v>
      </c>
      <c r="BJ82" s="1188" t="s">
        <v>2923</v>
      </c>
      <c r="BK82" s="75" t="s">
        <v>2924</v>
      </c>
      <c r="BL82" s="197">
        <v>45035.445138888892</v>
      </c>
      <c r="BM82" s="197">
        <v>45039.45208333333</v>
      </c>
      <c r="BN82" s="197"/>
      <c r="BO82" s="198">
        <v>76633</v>
      </c>
      <c r="BP82" s="65" t="str">
        <f t="shared" si="16"/>
        <v>PANAMAX</v>
      </c>
      <c r="BQ82" s="197"/>
      <c r="BR82" s="197"/>
      <c r="BS82" s="197"/>
      <c r="BT82" s="197"/>
      <c r="BU82" s="197"/>
      <c r="BV82" s="197"/>
      <c r="BW82" s="197"/>
      <c r="BX82" s="65" t="s">
        <v>2994</v>
      </c>
      <c r="UI82" s="26">
        <v>1</v>
      </c>
      <c r="UJ82" s="26"/>
      <c r="UK82" s="26"/>
      <c r="UL82" s="26" t="s">
        <v>2946</v>
      </c>
      <c r="UM82" s="26" t="s">
        <v>2995</v>
      </c>
      <c r="UN82" s="26"/>
      <c r="UO82" s="26"/>
      <c r="UP82" s="26"/>
      <c r="UQ82" s="26"/>
      <c r="UR82" s="26"/>
    </row>
    <row r="83" spans="2:592" s="65" customFormat="1" ht="14.4" outlineLevel="1">
      <c r="B83" s="200">
        <v>6</v>
      </c>
      <c r="C83" s="194">
        <v>45047</v>
      </c>
      <c r="D83" s="195" t="s">
        <v>73</v>
      </c>
      <c r="E83" s="72">
        <v>45048</v>
      </c>
      <c r="F83" s="72">
        <v>45057</v>
      </c>
      <c r="G83" s="69" t="s">
        <v>107</v>
      </c>
      <c r="H83" s="65" t="s">
        <v>1583</v>
      </c>
      <c r="I83" s="65" t="s">
        <v>1714</v>
      </c>
      <c r="J83" s="65" t="s">
        <v>2926</v>
      </c>
      <c r="K83" s="73">
        <v>45049.25</v>
      </c>
      <c r="L83" s="73">
        <v>45049.197916666664</v>
      </c>
      <c r="M83" s="196">
        <v>45057.027083333334</v>
      </c>
      <c r="N83" s="196">
        <v>45058.282638888886</v>
      </c>
      <c r="O83" s="1188" t="s">
        <v>2916</v>
      </c>
      <c r="P83" s="62">
        <v>1239.2079999999987</v>
      </c>
      <c r="Q83" s="62"/>
      <c r="R83" s="62"/>
      <c r="S83" s="62"/>
      <c r="T83" s="62">
        <v>3685.5839999999998</v>
      </c>
      <c r="U83" s="62">
        <v>29977.133999999998</v>
      </c>
      <c r="V83" s="62">
        <v>16961.455000000002</v>
      </c>
      <c r="W83" s="62"/>
      <c r="X83" s="62"/>
      <c r="Y83" s="62"/>
      <c r="Z83" s="62">
        <v>7308.6189999999997</v>
      </c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>
        <v>7501</v>
      </c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6">
        <v>66673</v>
      </c>
      <c r="BF83" s="66">
        <v>66673</v>
      </c>
      <c r="BG83" s="1178">
        <f t="shared" si="15"/>
        <v>66673</v>
      </c>
      <c r="BH83" s="254">
        <v>13940</v>
      </c>
      <c r="BI83" s="1188" t="s">
        <v>20</v>
      </c>
      <c r="BJ83" s="1191" t="s">
        <v>2923</v>
      </c>
      <c r="BK83" s="75" t="s">
        <v>2927</v>
      </c>
      <c r="BL83" s="197">
        <v>45044.435416666667</v>
      </c>
      <c r="BM83" s="197">
        <v>45048.915972222225</v>
      </c>
      <c r="BN83" s="197"/>
      <c r="BO83" s="198">
        <v>74940</v>
      </c>
      <c r="BP83" s="65" t="str">
        <f t="shared" si="16"/>
        <v>PANAMAX</v>
      </c>
      <c r="BQ83" s="197"/>
      <c r="BR83" s="197"/>
      <c r="BS83" s="197"/>
      <c r="BT83" s="197"/>
      <c r="BU83" s="197"/>
      <c r="BV83" s="197"/>
      <c r="BW83" s="197"/>
      <c r="BX83" s="65" t="s">
        <v>2996</v>
      </c>
      <c r="UQ83" s="26"/>
      <c r="UR83" s="26">
        <v>2</v>
      </c>
      <c r="US83" s="26">
        <v>1</v>
      </c>
      <c r="UT83" s="26"/>
      <c r="UU83" s="26"/>
      <c r="UV83" s="26"/>
      <c r="UW83" s="26"/>
      <c r="UX83" s="26"/>
      <c r="UY83" s="26"/>
      <c r="UZ83" s="26"/>
    </row>
    <row r="84" spans="2:592" s="65" customFormat="1" ht="14.4" outlineLevel="1">
      <c r="B84" s="200">
        <v>7</v>
      </c>
      <c r="C84" s="194">
        <v>45017</v>
      </c>
      <c r="D84" s="195" t="s">
        <v>74</v>
      </c>
      <c r="E84" s="72">
        <v>45045</v>
      </c>
      <c r="F84" s="72">
        <v>45054</v>
      </c>
      <c r="G84" s="69" t="s">
        <v>2914</v>
      </c>
      <c r="H84" s="65" t="s">
        <v>1465</v>
      </c>
      <c r="I84" s="65" t="s">
        <v>1716</v>
      </c>
      <c r="J84" s="65" t="s">
        <v>2922</v>
      </c>
      <c r="K84" s="73">
        <v>45047.666666666664</v>
      </c>
      <c r="L84" s="73">
        <v>45047.708333333336</v>
      </c>
      <c r="M84" s="196">
        <v>45058.520833333336</v>
      </c>
      <c r="N84" s="196">
        <v>45060.875</v>
      </c>
      <c r="O84" s="1188" t="s">
        <v>2916</v>
      </c>
      <c r="P84" s="62">
        <v>15051.147000000001</v>
      </c>
      <c r="Q84" s="62"/>
      <c r="R84" s="62"/>
      <c r="S84" s="62"/>
      <c r="T84" s="62"/>
      <c r="U84" s="62"/>
      <c r="V84" s="62"/>
      <c r="W84" s="62"/>
      <c r="X84" s="62">
        <v>7679.4169999654341</v>
      </c>
      <c r="Y84" s="62">
        <v>41430.76000003457</v>
      </c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>
        <v>5285</v>
      </c>
      <c r="AO84" s="62"/>
      <c r="AP84" s="62"/>
      <c r="AQ84" s="62"/>
      <c r="AR84" s="62"/>
      <c r="AS84" s="62"/>
      <c r="AT84" s="62"/>
      <c r="AU84" s="62">
        <v>7503.6760000000004</v>
      </c>
      <c r="AV84" s="62"/>
      <c r="AW84" s="62"/>
      <c r="AX84" s="62"/>
      <c r="AY84" s="62"/>
      <c r="AZ84" s="62"/>
      <c r="BA84" s="62"/>
      <c r="BB84" s="62"/>
      <c r="BC84" s="62"/>
      <c r="BD84" s="62"/>
      <c r="BE84" s="66">
        <v>76950</v>
      </c>
      <c r="BF84" s="66">
        <v>76950</v>
      </c>
      <c r="BG84" s="1178">
        <f t="shared" si="15"/>
        <v>76950.000000000015</v>
      </c>
      <c r="BH84" s="254">
        <v>19000</v>
      </c>
      <c r="BI84" s="1188" t="s">
        <v>12</v>
      </c>
      <c r="BJ84" s="1188" t="s">
        <v>41</v>
      </c>
      <c r="BK84" s="75" t="s">
        <v>2937</v>
      </c>
      <c r="BL84" s="197">
        <v>45042.780555555553</v>
      </c>
      <c r="BM84" s="197">
        <v>45043.556944444441</v>
      </c>
      <c r="BN84" s="197"/>
      <c r="BO84" s="198">
        <v>81800</v>
      </c>
      <c r="BP84" s="65" t="str">
        <f t="shared" si="16"/>
        <v>POST PANAMAX</v>
      </c>
      <c r="BQ84" s="197"/>
      <c r="BR84" s="197"/>
      <c r="BS84" s="197"/>
      <c r="BT84" s="197"/>
      <c r="BU84" s="197"/>
      <c r="BV84" s="197"/>
      <c r="BW84" s="197"/>
      <c r="BX84" s="65" t="s">
        <v>2997</v>
      </c>
      <c r="UN84" s="26">
        <v>1</v>
      </c>
      <c r="UO84" s="26">
        <v>4</v>
      </c>
      <c r="UP84" s="26">
        <v>6</v>
      </c>
      <c r="UQ84" s="26">
        <v>5</v>
      </c>
      <c r="UR84" s="26">
        <v>2</v>
      </c>
      <c r="US84" s="26">
        <v>3</v>
      </c>
      <c r="UT84" s="26"/>
      <c r="UU84" s="26"/>
      <c r="UV84" s="26"/>
      <c r="UW84" s="26"/>
    </row>
    <row r="85" spans="2:592" s="65" customFormat="1" ht="14.4" outlineLevel="1">
      <c r="B85" s="200">
        <v>8</v>
      </c>
      <c r="C85" s="194">
        <v>45047</v>
      </c>
      <c r="D85" s="195" t="s">
        <v>74</v>
      </c>
      <c r="E85" s="72">
        <v>45049</v>
      </c>
      <c r="F85" s="72">
        <v>45054</v>
      </c>
      <c r="G85" s="69" t="s">
        <v>2914</v>
      </c>
      <c r="H85" s="65" t="s">
        <v>1292</v>
      </c>
      <c r="I85" s="65" t="s">
        <v>1720</v>
      </c>
      <c r="J85" s="65" t="s">
        <v>2948</v>
      </c>
      <c r="K85" s="73">
        <v>45051.354166666664</v>
      </c>
      <c r="L85" s="73">
        <v>45051.3125</v>
      </c>
      <c r="M85" s="196">
        <v>45058.930555555555</v>
      </c>
      <c r="N85" s="196">
        <v>45060.875</v>
      </c>
      <c r="O85" s="1188" t="s">
        <v>2916</v>
      </c>
      <c r="P85" s="62">
        <v>15041.075000000001</v>
      </c>
      <c r="Q85" s="62"/>
      <c r="R85" s="62"/>
      <c r="S85" s="62"/>
      <c r="T85" s="62"/>
      <c r="U85" s="62">
        <v>7968.8069999999998</v>
      </c>
      <c r="V85" s="62">
        <v>345.6</v>
      </c>
      <c r="W85" s="62"/>
      <c r="X85" s="62">
        <v>26030.2978</v>
      </c>
      <c r="Y85" s="62">
        <v>16640.995200000005</v>
      </c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>
        <v>7550.2250000000004</v>
      </c>
      <c r="AV85" s="62"/>
      <c r="AW85" s="62"/>
      <c r="AX85" s="62"/>
      <c r="AY85" s="62"/>
      <c r="AZ85" s="62"/>
      <c r="BA85" s="62"/>
      <c r="BB85" s="62"/>
      <c r="BC85" s="62"/>
      <c r="BD85" s="62"/>
      <c r="BE85" s="66">
        <v>73577</v>
      </c>
      <c r="BF85" s="66">
        <v>73577</v>
      </c>
      <c r="BG85" s="1178">
        <f t="shared" si="15"/>
        <v>73577.000000000015</v>
      </c>
      <c r="BH85" s="254">
        <v>14866</v>
      </c>
      <c r="BI85" s="1188" t="s">
        <v>4</v>
      </c>
      <c r="BJ85" s="1188" t="s">
        <v>5</v>
      </c>
      <c r="BK85" s="75" t="s">
        <v>2937</v>
      </c>
      <c r="BL85" s="197">
        <v>45044.708333333336</v>
      </c>
      <c r="BM85" s="197">
        <v>45049.295138888891</v>
      </c>
      <c r="BN85" s="197"/>
      <c r="BO85" s="198">
        <v>75491</v>
      </c>
      <c r="BP85" s="65" t="str">
        <f t="shared" si="16"/>
        <v>PANAMAX</v>
      </c>
      <c r="BQ85" s="197"/>
      <c r="BR85" s="197"/>
      <c r="BS85" s="197"/>
      <c r="BT85" s="197"/>
      <c r="BU85" s="197"/>
      <c r="BV85" s="197"/>
      <c r="BW85" s="197"/>
      <c r="UR85" s="26">
        <v>1</v>
      </c>
      <c r="US85" s="26"/>
      <c r="UT85" s="26">
        <v>2</v>
      </c>
      <c r="UU85" s="26"/>
      <c r="UV85" s="26"/>
      <c r="UW85" s="26"/>
    </row>
    <row r="86" spans="2:592" s="65" customFormat="1" ht="28.8" outlineLevel="1">
      <c r="B86" s="200">
        <v>9</v>
      </c>
      <c r="C86" s="194">
        <v>45047</v>
      </c>
      <c r="D86" s="195" t="s">
        <v>73</v>
      </c>
      <c r="E86" s="72">
        <v>45050</v>
      </c>
      <c r="F86" s="72">
        <v>45059</v>
      </c>
      <c r="G86" s="69" t="s">
        <v>2914</v>
      </c>
      <c r="H86" s="288" t="s">
        <v>1571</v>
      </c>
      <c r="I86" s="65" t="s">
        <v>1724</v>
      </c>
      <c r="J86" s="65" t="s">
        <v>2933</v>
      </c>
      <c r="K86" s="73">
        <v>45054.645833333336</v>
      </c>
      <c r="L86" s="73">
        <v>45054.5625</v>
      </c>
      <c r="M86" s="196">
        <v>45061.34375</v>
      </c>
      <c r="N86" s="196">
        <v>45063.430555555555</v>
      </c>
      <c r="O86" s="1188" t="s">
        <v>2916</v>
      </c>
      <c r="P86" s="62"/>
      <c r="Q86" s="62"/>
      <c r="R86" s="62"/>
      <c r="S86" s="62"/>
      <c r="T86" s="62">
        <v>7556.8</v>
      </c>
      <c r="U86" s="62">
        <v>18525.29</v>
      </c>
      <c r="V86" s="62">
        <v>27932.91</v>
      </c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6">
        <v>54015</v>
      </c>
      <c r="BF86" s="66">
        <v>54015</v>
      </c>
      <c r="BG86" s="1178">
        <f t="shared" si="15"/>
        <v>54015</v>
      </c>
      <c r="BH86" s="254">
        <v>11000</v>
      </c>
      <c r="BI86" s="1188" t="s">
        <v>12</v>
      </c>
      <c r="BJ86" s="1191" t="s">
        <v>37</v>
      </c>
      <c r="BK86" s="75" t="s">
        <v>2998</v>
      </c>
      <c r="BL86" s="197">
        <v>45049.402777777781</v>
      </c>
      <c r="BM86" s="197">
        <v>45051.37222222222</v>
      </c>
      <c r="BN86" s="197"/>
      <c r="BO86" s="198">
        <v>56425.1</v>
      </c>
      <c r="BP86" s="65" t="str">
        <f t="shared" si="16"/>
        <v>SUPER HANDYMAX</v>
      </c>
      <c r="BQ86" s="197"/>
      <c r="BR86" s="197"/>
      <c r="BS86" s="197"/>
      <c r="BT86" s="197"/>
      <c r="BU86" s="197"/>
      <c r="BV86" s="197"/>
      <c r="BW86" s="197"/>
      <c r="US86" s="26"/>
      <c r="UT86" s="26"/>
      <c r="UU86" s="26"/>
      <c r="UV86" s="26"/>
      <c r="UW86" s="26">
        <v>1</v>
      </c>
      <c r="UX86" s="26"/>
      <c r="UY86" s="26"/>
      <c r="UZ86" s="26"/>
      <c r="VA86" s="26"/>
      <c r="VB86" s="26"/>
    </row>
    <row r="87" spans="2:592" s="65" customFormat="1" ht="14.4" outlineLevel="1">
      <c r="B87" s="200">
        <v>10</v>
      </c>
      <c r="C87" s="194">
        <v>45047</v>
      </c>
      <c r="D87" s="195" t="s">
        <v>74</v>
      </c>
      <c r="E87" s="72">
        <v>45047</v>
      </c>
      <c r="F87" s="72">
        <v>45056</v>
      </c>
      <c r="G87" s="69" t="s">
        <v>2914</v>
      </c>
      <c r="H87" s="65" t="s">
        <v>1464</v>
      </c>
      <c r="I87" s="65" t="s">
        <v>1727</v>
      </c>
      <c r="J87" s="65" t="s">
        <v>2922</v>
      </c>
      <c r="K87" s="73">
        <v>45051.395833333336</v>
      </c>
      <c r="L87" s="73">
        <v>45051.395833333336</v>
      </c>
      <c r="M87" s="196">
        <v>45062.958333333336</v>
      </c>
      <c r="N87" s="196">
        <v>45065.138888888891</v>
      </c>
      <c r="O87" s="1188" t="s">
        <v>2916</v>
      </c>
      <c r="P87" s="62">
        <v>7519.7129999999997</v>
      </c>
      <c r="Q87" s="62"/>
      <c r="R87" s="62"/>
      <c r="S87" s="62"/>
      <c r="T87" s="62">
        <v>7503.1090000000004</v>
      </c>
      <c r="U87" s="62"/>
      <c r="V87" s="62">
        <v>7486.6270000000004</v>
      </c>
      <c r="W87" s="62"/>
      <c r="X87" s="62">
        <v>5344.4489999999996</v>
      </c>
      <c r="Y87" s="62">
        <v>42239.916999999994</v>
      </c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>
        <v>5006.1850000000004</v>
      </c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6">
        <v>75100</v>
      </c>
      <c r="BF87" s="66">
        <v>75100</v>
      </c>
      <c r="BG87" s="1178">
        <f t="shared" si="15"/>
        <v>75100</v>
      </c>
      <c r="BH87" s="254">
        <v>16000</v>
      </c>
      <c r="BI87" s="1188" t="s">
        <v>4</v>
      </c>
      <c r="BJ87" s="1188" t="s">
        <v>5</v>
      </c>
      <c r="BK87" s="75" t="s">
        <v>2937</v>
      </c>
      <c r="BL87" s="199">
        <v>45048.361111111109</v>
      </c>
      <c r="BM87" s="197">
        <v>45050.547222222223</v>
      </c>
      <c r="BN87" s="197"/>
      <c r="BO87" s="198">
        <v>76633</v>
      </c>
      <c r="BP87" s="65" t="str">
        <f t="shared" si="16"/>
        <v>PANAMAX</v>
      </c>
      <c r="BQ87" s="197"/>
      <c r="BR87" s="197"/>
      <c r="BS87" s="197"/>
      <c r="BT87" s="197"/>
      <c r="BU87" s="197"/>
      <c r="BV87" s="197"/>
      <c r="BW87" s="197"/>
      <c r="BX87" s="65" t="s">
        <v>2999</v>
      </c>
      <c r="UP87" s="26"/>
      <c r="UQ87" s="26"/>
      <c r="UR87" s="26">
        <v>1</v>
      </c>
      <c r="US87" s="26">
        <v>3</v>
      </c>
      <c r="UT87" s="26" t="s">
        <v>2946</v>
      </c>
      <c r="UU87" s="26">
        <v>2</v>
      </c>
      <c r="UV87" s="26"/>
      <c r="UW87" s="26"/>
      <c r="UX87" s="26"/>
      <c r="UY87" s="26"/>
    </row>
    <row r="88" spans="2:592" s="65" customFormat="1" ht="14.4" outlineLevel="1">
      <c r="B88" s="200">
        <v>11</v>
      </c>
      <c r="C88" s="194">
        <v>45047</v>
      </c>
      <c r="D88" s="195" t="s">
        <v>74</v>
      </c>
      <c r="E88" s="72">
        <v>45051</v>
      </c>
      <c r="F88" s="72">
        <v>45060</v>
      </c>
      <c r="G88" s="69" t="s">
        <v>107</v>
      </c>
      <c r="H88" s="65" t="s">
        <v>1481</v>
      </c>
      <c r="I88" s="65" t="s">
        <v>1730</v>
      </c>
      <c r="J88" s="65" t="s">
        <v>2922</v>
      </c>
      <c r="K88" s="73">
        <v>45054.291666666664</v>
      </c>
      <c r="L88" s="73">
        <v>45054.270833333336</v>
      </c>
      <c r="M88" s="196">
        <v>45065.779166666667</v>
      </c>
      <c r="N88" s="196">
        <v>45067.201388888891</v>
      </c>
      <c r="O88" s="1188" t="s">
        <v>2916</v>
      </c>
      <c r="P88" s="62">
        <v>18149.53899999999</v>
      </c>
      <c r="Q88" s="62"/>
      <c r="R88" s="62"/>
      <c r="S88" s="62"/>
      <c r="T88" s="62">
        <v>7528.1450000000004</v>
      </c>
      <c r="U88" s="62"/>
      <c r="V88" s="62"/>
      <c r="W88" s="62"/>
      <c r="X88" s="62">
        <v>22834.225999999999</v>
      </c>
      <c r="Y88" s="62">
        <v>14911.369999999999</v>
      </c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>
        <v>7726.72</v>
      </c>
      <c r="AR88" s="62"/>
      <c r="AS88" s="62"/>
      <c r="AT88" s="62"/>
      <c r="AU88" s="62"/>
      <c r="AV88" s="62"/>
      <c r="AX88" s="62"/>
      <c r="AY88" s="62"/>
      <c r="AZ88" s="62"/>
      <c r="BA88" s="62"/>
      <c r="BB88" s="62"/>
      <c r="BC88" s="62"/>
      <c r="BD88" s="62"/>
      <c r="BE88" s="66">
        <v>71150</v>
      </c>
      <c r="BF88" s="66">
        <v>71150</v>
      </c>
      <c r="BG88" s="1178">
        <f t="shared" si="15"/>
        <v>71149.999999999985</v>
      </c>
      <c r="BH88" s="254">
        <v>16000</v>
      </c>
      <c r="BI88" s="1188" t="s">
        <v>20</v>
      </c>
      <c r="BJ88" s="1191" t="s">
        <v>2923</v>
      </c>
      <c r="BK88" s="75" t="s">
        <v>2927</v>
      </c>
      <c r="BL88" s="197">
        <v>45049.734722222223</v>
      </c>
      <c r="BM88" s="197">
        <v>45053.588194444441</v>
      </c>
      <c r="BN88" s="197"/>
      <c r="BO88" s="198">
        <v>73322</v>
      </c>
      <c r="BP88" s="65" t="str">
        <f t="shared" si="16"/>
        <v>PANAMAX</v>
      </c>
      <c r="BQ88" s="197"/>
      <c r="BR88" s="197"/>
      <c r="BS88" s="197"/>
      <c r="BT88" s="197"/>
      <c r="BU88" s="197"/>
      <c r="BV88" s="197"/>
      <c r="BW88" s="197"/>
      <c r="UT88" s="26">
        <v>1</v>
      </c>
      <c r="UU88" s="26"/>
      <c r="UV88" s="26"/>
      <c r="UW88" s="26"/>
      <c r="UX88" s="26"/>
      <c r="UY88" s="26"/>
      <c r="UZ88" s="26"/>
      <c r="VA88" s="26"/>
      <c r="VB88" s="26"/>
      <c r="VC88" s="26"/>
    </row>
    <row r="89" spans="2:592" s="65" customFormat="1" ht="14.4" outlineLevel="1">
      <c r="B89" s="200">
        <v>12</v>
      </c>
      <c r="C89" s="194">
        <v>45047</v>
      </c>
      <c r="D89" s="195" t="s">
        <v>73</v>
      </c>
      <c r="E89" s="72">
        <v>45064</v>
      </c>
      <c r="F89" s="72">
        <v>45073</v>
      </c>
      <c r="G89" s="69" t="s">
        <v>2914</v>
      </c>
      <c r="H89" s="65" t="s">
        <v>1668</v>
      </c>
      <c r="I89" s="65" t="s">
        <v>1732</v>
      </c>
      <c r="J89" s="65" t="s">
        <v>2933</v>
      </c>
      <c r="K89" s="73">
        <v>45066.416666666664</v>
      </c>
      <c r="L89" s="73">
        <v>45066.375</v>
      </c>
      <c r="M89" s="73">
        <v>45066.625</v>
      </c>
      <c r="N89" s="196">
        <v>45068.354166666664</v>
      </c>
      <c r="O89" s="1188" t="s">
        <v>2916</v>
      </c>
      <c r="P89" s="62"/>
      <c r="Q89" s="62"/>
      <c r="R89" s="62"/>
      <c r="S89" s="62"/>
      <c r="T89" s="62"/>
      <c r="U89" s="62">
        <v>14640.14575</v>
      </c>
      <c r="V89" s="62">
        <v>2959.8542499999999</v>
      </c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6">
        <v>17600</v>
      </c>
      <c r="BF89" s="66">
        <v>17600</v>
      </c>
      <c r="BG89" s="1178">
        <f t="shared" si="15"/>
        <v>17600</v>
      </c>
      <c r="BH89" s="254">
        <v>12000</v>
      </c>
      <c r="BI89" s="1188" t="s">
        <v>16</v>
      </c>
      <c r="BJ89" s="1191" t="s">
        <v>45</v>
      </c>
      <c r="BK89" s="75" t="s">
        <v>2944</v>
      </c>
      <c r="BL89" s="197">
        <v>45048.886111111111</v>
      </c>
      <c r="BM89" s="197">
        <v>45054.85</v>
      </c>
      <c r="BN89" s="197"/>
      <c r="BO89" s="198">
        <v>20095</v>
      </c>
      <c r="BP89" s="65" t="str">
        <f>IF(BO89=0,"0",IF(BO89&lt;=50000,"HANDYMAX",IF(BO89&lt;=58000,"SUPER HANDYMAX",IF(BO89&lt;=80000,"PANAMAX",IF(BO89&gt;=80001,"POST PANAMAX")))))</f>
        <v>HANDYMAX</v>
      </c>
      <c r="BQ89" s="197"/>
      <c r="BR89" s="197"/>
      <c r="BS89" s="197"/>
      <c r="BT89" s="197"/>
      <c r="BU89" s="197"/>
      <c r="BV89" s="197"/>
      <c r="BW89" s="197"/>
      <c r="VG89" s="26">
        <v>1</v>
      </c>
      <c r="VH89" s="26"/>
      <c r="VI89" s="26">
        <v>2</v>
      </c>
      <c r="VJ89" s="26"/>
      <c r="VK89" s="26"/>
      <c r="VL89" s="26"/>
      <c r="VM89" s="26"/>
      <c r="VN89" s="26"/>
      <c r="VO89" s="26"/>
      <c r="VP89" s="26"/>
    </row>
    <row r="90" spans="2:592" s="65" customFormat="1" ht="14.4" outlineLevel="1">
      <c r="B90" s="200">
        <v>13</v>
      </c>
      <c r="C90" s="194">
        <v>45047</v>
      </c>
      <c r="D90" s="195" t="s">
        <v>74</v>
      </c>
      <c r="E90" s="72">
        <v>45064</v>
      </c>
      <c r="F90" s="72">
        <v>45073</v>
      </c>
      <c r="G90" s="69" t="s">
        <v>2914</v>
      </c>
      <c r="H90" s="65" t="s">
        <v>944</v>
      </c>
      <c r="I90" s="65" t="s">
        <v>1734</v>
      </c>
      <c r="J90" s="65" t="s">
        <v>2915</v>
      </c>
      <c r="K90" s="73">
        <v>45066.083333333336</v>
      </c>
      <c r="L90" s="73">
        <v>45066.125</v>
      </c>
      <c r="M90" s="196">
        <v>45066.871527777781</v>
      </c>
      <c r="N90" s="196">
        <v>45068.458333333336</v>
      </c>
      <c r="O90" s="1188" t="s">
        <v>2916</v>
      </c>
      <c r="P90" s="62">
        <v>7512.2619999999997</v>
      </c>
      <c r="Q90" s="62"/>
      <c r="R90" s="62"/>
      <c r="S90" s="62"/>
      <c r="T90" s="62">
        <v>7500.61</v>
      </c>
      <c r="U90" s="62"/>
      <c r="V90" s="62"/>
      <c r="W90" s="62"/>
      <c r="X90" s="62">
        <v>23478.21</v>
      </c>
      <c r="Y90" s="62">
        <v>6007.6729999999998</v>
      </c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>
        <v>7651.2449999999999</v>
      </c>
      <c r="AV90" s="62"/>
      <c r="AW90" s="62"/>
      <c r="AX90" s="62"/>
      <c r="AY90" s="62"/>
      <c r="AZ90" s="62"/>
      <c r="BA90" s="62"/>
      <c r="BB90" s="62"/>
      <c r="BC90" s="62"/>
      <c r="BD90" s="62"/>
      <c r="BE90" s="66">
        <v>52150</v>
      </c>
      <c r="BF90" s="66">
        <v>52150</v>
      </c>
      <c r="BG90" s="1178">
        <f t="shared" si="15"/>
        <v>52150</v>
      </c>
      <c r="BH90" s="254">
        <v>12000</v>
      </c>
      <c r="BI90" s="1188" t="s">
        <v>12</v>
      </c>
      <c r="BJ90" s="1191" t="s">
        <v>37</v>
      </c>
      <c r="BK90" s="75" t="s">
        <v>2927</v>
      </c>
      <c r="BL90" s="197">
        <v>45061.598611111112</v>
      </c>
      <c r="BM90" s="197">
        <v>45061.598611111112</v>
      </c>
      <c r="BN90" s="197"/>
      <c r="BO90" s="198">
        <v>52388</v>
      </c>
      <c r="BP90" s="65" t="str">
        <f>IF(BO90=0,"0",IF(BO90&lt;=50000,"HANDYMAX",IF(BO90&lt;=58000,"SUPER HANDYMAX",IF(BO90&lt;=80000,"PANAMAX",IF(BO90&gt;=80001,"POST PANAMAX")))))</f>
        <v>SUPER HANDYMAX</v>
      </c>
      <c r="BQ90" s="197"/>
      <c r="BR90" s="197"/>
      <c r="BS90" s="197"/>
      <c r="BT90" s="197"/>
      <c r="BU90" s="197"/>
      <c r="BV90" s="197"/>
      <c r="BW90" s="197"/>
      <c r="BX90" s="65" t="s">
        <v>3000</v>
      </c>
      <c r="VG90" s="26">
        <v>1</v>
      </c>
      <c r="VH90" s="26">
        <v>2</v>
      </c>
      <c r="VI90" s="26">
        <v>3</v>
      </c>
      <c r="VJ90" s="26"/>
      <c r="VK90" s="26"/>
      <c r="VL90" s="26"/>
      <c r="VM90" s="26"/>
      <c r="VN90" s="26"/>
      <c r="VO90" s="26"/>
      <c r="VP90" s="26"/>
    </row>
    <row r="91" spans="2:592" s="65" customFormat="1" ht="14.4" outlineLevel="1">
      <c r="B91" s="200">
        <v>14</v>
      </c>
      <c r="C91" s="194">
        <v>45047</v>
      </c>
      <c r="D91" s="195" t="s">
        <v>73</v>
      </c>
      <c r="E91" s="72">
        <v>45060</v>
      </c>
      <c r="F91" s="72">
        <v>45069</v>
      </c>
      <c r="G91" s="69" t="s">
        <v>107</v>
      </c>
      <c r="H91" s="65" t="s">
        <v>1600</v>
      </c>
      <c r="I91" s="65" t="s">
        <v>1738</v>
      </c>
      <c r="J91" s="65" t="s">
        <v>2915</v>
      </c>
      <c r="K91" s="73">
        <v>45059.291666666664</v>
      </c>
      <c r="L91" s="73">
        <v>45059.291666666664</v>
      </c>
      <c r="M91" s="73">
        <v>45067.371527777781</v>
      </c>
      <c r="N91" s="196">
        <v>45068.590277777781</v>
      </c>
      <c r="O91" s="1188" t="s">
        <v>2916</v>
      </c>
      <c r="P91" s="62"/>
      <c r="Q91" s="62"/>
      <c r="R91" s="62"/>
      <c r="S91" s="62"/>
      <c r="T91" s="62">
        <v>1499.8009999999995</v>
      </c>
      <c r="U91" s="62">
        <v>30093.233</v>
      </c>
      <c r="V91" s="62">
        <v>16656.966</v>
      </c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>
        <v>7500</v>
      </c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>
        <v>55750</v>
      </c>
      <c r="BF91" s="62">
        <v>55750</v>
      </c>
      <c r="BG91" s="1178">
        <f t="shared" si="15"/>
        <v>55750</v>
      </c>
      <c r="BH91" s="254"/>
      <c r="BI91" s="1188" t="s">
        <v>20</v>
      </c>
      <c r="BJ91" s="1191" t="s">
        <v>2923</v>
      </c>
      <c r="BK91" s="75" t="s">
        <v>2924</v>
      </c>
      <c r="BL91" s="197">
        <v>45056.402083333334</v>
      </c>
      <c r="BM91" s="197">
        <v>45056.627083333333</v>
      </c>
      <c r="BN91" s="197"/>
      <c r="BO91" s="198">
        <v>55688</v>
      </c>
      <c r="BP91" s="65" t="str">
        <f>IF(BO91=0,"0",IF(BO91&lt;=50000,"HANDYMAX",IF(BO91&lt;=58000,"SUPER HANDYMAX",IF(BO91&lt;=80000,"PANAMAX",IF(BO91&gt;=80001,"POST PANAMAX")))))</f>
        <v>SUPER HANDYMAX</v>
      </c>
      <c r="BQ91" s="197"/>
      <c r="BR91" s="197"/>
      <c r="BS91" s="197"/>
      <c r="BT91" s="197"/>
      <c r="BU91" s="197"/>
      <c r="BV91" s="197"/>
      <c r="BW91" s="197"/>
      <c r="BX91" s="65" t="s">
        <v>3001</v>
      </c>
      <c r="VB91" s="65">
        <v>3</v>
      </c>
      <c r="VC91" s="26">
        <v>2</v>
      </c>
      <c r="VD91" s="26"/>
      <c r="VE91" s="26"/>
      <c r="VF91" s="26"/>
      <c r="VG91" s="26"/>
      <c r="VH91" s="26"/>
      <c r="VI91" s="26">
        <v>1</v>
      </c>
      <c r="VJ91" s="26"/>
      <c r="VK91" s="26"/>
      <c r="VL91" s="26"/>
    </row>
    <row r="92" spans="2:592" s="65" customFormat="1" ht="14.4" outlineLevel="1">
      <c r="B92" s="200">
        <v>15</v>
      </c>
      <c r="C92" s="194">
        <v>45047</v>
      </c>
      <c r="D92" s="195" t="s">
        <v>74</v>
      </c>
      <c r="E92" s="72">
        <v>45058</v>
      </c>
      <c r="F92" s="72">
        <v>45067</v>
      </c>
      <c r="G92" s="69" t="s">
        <v>2914</v>
      </c>
      <c r="H92" s="65" t="s">
        <v>1493</v>
      </c>
      <c r="I92" s="65" t="s">
        <v>1740</v>
      </c>
      <c r="J92" s="65" t="s">
        <v>2922</v>
      </c>
      <c r="K92" s="73">
        <v>45061.625</v>
      </c>
      <c r="L92" s="73">
        <v>45061.629166666666</v>
      </c>
      <c r="M92" s="196">
        <v>45068</v>
      </c>
      <c r="N92" s="196">
        <v>45071.25</v>
      </c>
      <c r="O92" s="1188" t="s">
        <v>2916</v>
      </c>
      <c r="P92" s="62">
        <v>4846.9719999999998</v>
      </c>
      <c r="Q92" s="62">
        <v>2663.634</v>
      </c>
      <c r="R92" s="62"/>
      <c r="S92" s="62"/>
      <c r="T92" s="62"/>
      <c r="U92" s="62"/>
      <c r="V92" s="62"/>
      <c r="W92" s="62"/>
      <c r="X92" s="62">
        <v>40072</v>
      </c>
      <c r="Y92" s="62">
        <v>5880</v>
      </c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>
        <v>7511</v>
      </c>
      <c r="AM92" s="62"/>
      <c r="AN92" s="62"/>
      <c r="AO92" s="62"/>
      <c r="AP92" s="62"/>
      <c r="AQ92" s="62"/>
      <c r="AR92" s="62"/>
      <c r="AS92" s="62"/>
      <c r="AT92" s="62"/>
      <c r="AU92" s="62">
        <v>7526</v>
      </c>
      <c r="AV92" s="62"/>
      <c r="AW92" s="62"/>
      <c r="AX92" s="62"/>
      <c r="AY92" s="62"/>
      <c r="AZ92" s="62"/>
      <c r="BA92" s="62"/>
      <c r="BB92" s="62"/>
      <c r="BC92" s="62"/>
      <c r="BD92" s="62"/>
      <c r="BE92" s="66">
        <v>68500</v>
      </c>
      <c r="BF92" s="66">
        <v>68500</v>
      </c>
      <c r="BG92" s="1178">
        <f t="shared" ref="BG92:BG95" si="17">SUM(P92:AY92)</f>
        <v>68499.606</v>
      </c>
      <c r="BH92" s="254">
        <v>16000</v>
      </c>
      <c r="BI92" s="1188" t="s">
        <v>8</v>
      </c>
      <c r="BJ92" s="1188" t="s">
        <v>13</v>
      </c>
      <c r="BK92" s="75" t="s">
        <v>2924</v>
      </c>
      <c r="BL92" s="199">
        <v>45056.707638888889</v>
      </c>
      <c r="BM92" s="197">
        <v>45057.697222222225</v>
      </c>
      <c r="BN92" s="197"/>
      <c r="BO92" s="198">
        <v>76945</v>
      </c>
      <c r="BP92" s="65" t="str">
        <f t="shared" si="16"/>
        <v>PANAMAX</v>
      </c>
      <c r="BQ92" s="197"/>
      <c r="BR92" s="197"/>
      <c r="BS92" s="197"/>
      <c r="BT92" s="197"/>
      <c r="BU92" s="197"/>
      <c r="BV92" s="197"/>
      <c r="BW92" s="197"/>
      <c r="BX92" s="65" t="s">
        <v>3002</v>
      </c>
      <c r="VA92" s="26" t="s">
        <v>2939</v>
      </c>
      <c r="VB92" s="26" t="s">
        <v>2929</v>
      </c>
      <c r="VC92" s="26" t="s">
        <v>3003</v>
      </c>
      <c r="VD92" s="26" t="s">
        <v>3003</v>
      </c>
      <c r="VE92" s="26"/>
      <c r="VF92" s="26"/>
      <c r="VG92" s="26"/>
      <c r="VH92" s="26"/>
      <c r="VI92" s="26"/>
      <c r="VJ92" s="26"/>
    </row>
    <row r="93" spans="2:592" s="65" customFormat="1" ht="14.4" outlineLevel="1">
      <c r="B93" s="200">
        <v>16</v>
      </c>
      <c r="C93" s="194">
        <v>45047</v>
      </c>
      <c r="D93" s="195" t="s">
        <v>74</v>
      </c>
      <c r="E93" s="72">
        <v>45068</v>
      </c>
      <c r="F93" s="72">
        <v>45077</v>
      </c>
      <c r="G93" s="69" t="s">
        <v>2914</v>
      </c>
      <c r="H93" s="65" t="s">
        <v>1515</v>
      </c>
      <c r="I93" s="65" t="s">
        <v>1743</v>
      </c>
      <c r="J93" s="65" t="s">
        <v>2963</v>
      </c>
      <c r="K93" s="73">
        <v>45069.666666666664</v>
      </c>
      <c r="L93" s="73">
        <v>45069.708333333336</v>
      </c>
      <c r="M93" s="196">
        <v>45071.125</v>
      </c>
      <c r="N93" s="196">
        <v>45073.28125</v>
      </c>
      <c r="O93" s="1188" t="s">
        <v>2916</v>
      </c>
      <c r="P93" s="62">
        <v>7504</v>
      </c>
      <c r="Q93" s="62"/>
      <c r="R93" s="62"/>
      <c r="S93" s="62"/>
      <c r="T93" s="62"/>
      <c r="U93" s="62"/>
      <c r="V93" s="62"/>
      <c r="W93" s="62"/>
      <c r="X93" s="62"/>
      <c r="Y93" s="62">
        <v>36844</v>
      </c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>
        <v>7644</v>
      </c>
      <c r="AV93" s="62">
        <v>7503.3360000000002</v>
      </c>
      <c r="AW93" s="62">
        <v>7505</v>
      </c>
      <c r="AX93" s="62"/>
      <c r="AY93" s="62"/>
      <c r="AZ93" s="62"/>
      <c r="BA93" s="62"/>
      <c r="BB93" s="62"/>
      <c r="BC93" s="62"/>
      <c r="BD93" s="62"/>
      <c r="BE93" s="62">
        <v>67000</v>
      </c>
      <c r="BF93" s="66">
        <v>67000</v>
      </c>
      <c r="BG93" s="1178">
        <f>SUM(P93:AY93)</f>
        <v>67000.33600000001</v>
      </c>
      <c r="BH93" s="254">
        <v>25000</v>
      </c>
      <c r="BI93" s="1188" t="s">
        <v>12</v>
      </c>
      <c r="BJ93" s="1188" t="s">
        <v>41</v>
      </c>
      <c r="BK93" s="75" t="s">
        <v>2920</v>
      </c>
      <c r="BL93" s="197">
        <v>45066.854166666664</v>
      </c>
      <c r="BM93" s="197">
        <v>45067.62777777778</v>
      </c>
      <c r="BN93" s="197"/>
      <c r="BO93" s="198">
        <v>76243</v>
      </c>
      <c r="BP93" s="65" t="str">
        <f>IF(BO93=0,"0",IF(BO93&lt;=50000,"HANDYMAX",IF(BO93&lt;=58000,"SUPER HANDYMAX",IF(BO93&lt;=80000,"PANAMAX",IF(BO93&gt;=80001,"POST PANAMAX")))))</f>
        <v>PANAMAX</v>
      </c>
      <c r="BQ93" s="197"/>
      <c r="BR93" s="197"/>
      <c r="BS93" s="197"/>
      <c r="BT93" s="197"/>
      <c r="BU93" s="197"/>
      <c r="BV93" s="197"/>
      <c r="BW93" s="197"/>
      <c r="BX93" s="65" t="s">
        <v>3004</v>
      </c>
      <c r="VC93" s="65">
        <v>1</v>
      </c>
      <c r="VD93" s="65">
        <v>2</v>
      </c>
      <c r="VI93" s="65">
        <v>3</v>
      </c>
      <c r="VK93" s="26"/>
      <c r="VL93" s="26">
        <v>5</v>
      </c>
      <c r="VM93" s="26">
        <v>4</v>
      </c>
      <c r="VN93" s="26"/>
      <c r="VO93" s="26"/>
      <c r="VP93" s="26"/>
      <c r="VQ93" s="26"/>
      <c r="VR93" s="26"/>
      <c r="VS93" s="26"/>
      <c r="VT93" s="26"/>
    </row>
    <row r="94" spans="2:592" s="65" customFormat="1" ht="14.4" outlineLevel="1">
      <c r="B94" s="200">
        <v>17</v>
      </c>
      <c r="C94" s="194">
        <v>45047</v>
      </c>
      <c r="D94" s="195" t="s">
        <v>74</v>
      </c>
      <c r="E94" s="72">
        <v>45056</v>
      </c>
      <c r="F94" s="72">
        <v>45065</v>
      </c>
      <c r="G94" s="69" t="s">
        <v>107</v>
      </c>
      <c r="H94" s="65" t="s">
        <v>1501</v>
      </c>
      <c r="I94" s="65" t="s">
        <v>1746</v>
      </c>
      <c r="J94" s="65" t="s">
        <v>2932</v>
      </c>
      <c r="K94" s="73">
        <v>45062.25</v>
      </c>
      <c r="L94" s="73">
        <v>45062.241666666669</v>
      </c>
      <c r="M94" s="196">
        <v>45072.993750000001</v>
      </c>
      <c r="N94" s="196">
        <v>45074.359722222223</v>
      </c>
      <c r="O94" s="1188" t="s">
        <v>2916</v>
      </c>
      <c r="P94" s="62"/>
      <c r="Q94" s="62"/>
      <c r="R94" s="62"/>
      <c r="S94" s="62"/>
      <c r="T94" s="62">
        <v>12373.298999999999</v>
      </c>
      <c r="U94" s="62"/>
      <c r="V94" s="62"/>
      <c r="W94" s="62"/>
      <c r="X94" s="62">
        <v>31904.480000000003</v>
      </c>
      <c r="Y94" s="62">
        <v>15126.541999999999</v>
      </c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>
        <v>5328</v>
      </c>
      <c r="AQ94" s="62"/>
      <c r="AR94" s="62">
        <v>10317.679</v>
      </c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6">
        <v>75050</v>
      </c>
      <c r="BF94" s="66">
        <v>75050</v>
      </c>
      <c r="BG94" s="1178">
        <f t="shared" si="17"/>
        <v>75050</v>
      </c>
      <c r="BH94" s="254">
        <v>18500</v>
      </c>
      <c r="BI94" s="1188" t="s">
        <v>20</v>
      </c>
      <c r="BJ94" s="1191" t="s">
        <v>2923</v>
      </c>
      <c r="BK94" s="75" t="s">
        <v>2927</v>
      </c>
      <c r="BL94" s="197">
        <v>45053.768750000003</v>
      </c>
      <c r="BM94" s="197">
        <v>45055.642361111109</v>
      </c>
      <c r="BN94" s="197"/>
      <c r="BO94" s="198">
        <v>81712</v>
      </c>
      <c r="BP94" s="65" t="str">
        <f t="shared" ref="BP94" si="18">IF(BO94=0,"0",IF(BO94&lt;=50000,"HANDYMAX",IF(BO94&lt;=58000,"SUPER HANDYMAX",IF(BO94&lt;=80000,"PANAMAX",IF(BO94&gt;=80001,"POST PANAMAX")))))</f>
        <v>POST PANAMAX</v>
      </c>
      <c r="BQ94" s="197"/>
      <c r="BR94" s="197"/>
      <c r="BS94" s="197"/>
      <c r="BT94" s="197"/>
      <c r="BU94" s="197"/>
      <c r="BV94" s="197"/>
      <c r="BW94" s="197"/>
      <c r="UY94" s="26">
        <v>1</v>
      </c>
      <c r="UZ94" s="26">
        <v>1</v>
      </c>
      <c r="VA94" s="26"/>
      <c r="VB94" s="26"/>
      <c r="VC94" s="26"/>
      <c r="VD94" s="26"/>
      <c r="VE94" s="26">
        <v>2</v>
      </c>
      <c r="VF94" s="26"/>
      <c r="VG94" s="26"/>
      <c r="VH94" s="26"/>
    </row>
    <row r="95" spans="2:592" s="65" customFormat="1" ht="14.4" outlineLevel="1">
      <c r="B95" s="290">
        <v>18</v>
      </c>
      <c r="C95" s="194">
        <v>45047</v>
      </c>
      <c r="D95" s="195" t="s">
        <v>73</v>
      </c>
      <c r="E95" s="72">
        <v>45068</v>
      </c>
      <c r="F95" s="72">
        <v>45077</v>
      </c>
      <c r="G95" s="69" t="s">
        <v>2914</v>
      </c>
      <c r="H95" s="65" t="s">
        <v>1678</v>
      </c>
      <c r="I95" s="65" t="s">
        <v>1747</v>
      </c>
      <c r="J95" s="65" t="s">
        <v>2933</v>
      </c>
      <c r="K95" s="73">
        <v>45072.625</v>
      </c>
      <c r="L95" s="73">
        <v>45072.616666666669</v>
      </c>
      <c r="M95" s="196">
        <v>45073.125</v>
      </c>
      <c r="N95" s="196">
        <v>45074.833333333336</v>
      </c>
      <c r="O95" s="1188" t="s">
        <v>2916</v>
      </c>
      <c r="P95" s="62"/>
      <c r="Q95" s="62"/>
      <c r="R95" s="62"/>
      <c r="S95" s="62"/>
      <c r="T95" s="62"/>
      <c r="U95" s="62">
        <v>53211.550149999995</v>
      </c>
      <c r="V95" s="62">
        <v>4388.4498500000009</v>
      </c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6">
        <v>57600</v>
      </c>
      <c r="BF95" s="66">
        <v>57600</v>
      </c>
      <c r="BG95" s="1178">
        <f t="shared" si="17"/>
        <v>57600</v>
      </c>
      <c r="BH95" s="254">
        <v>16500</v>
      </c>
      <c r="BI95" s="1188" t="s">
        <v>4</v>
      </c>
      <c r="BJ95" s="1188" t="s">
        <v>5</v>
      </c>
      <c r="BK95" s="75" t="s">
        <v>2968</v>
      </c>
      <c r="BL95" s="197">
        <v>45064.593055555553</v>
      </c>
      <c r="BM95" s="197">
        <v>45065.740972222222</v>
      </c>
      <c r="BN95" s="197"/>
      <c r="BO95" s="198">
        <v>75051</v>
      </c>
      <c r="BP95" s="65" t="str">
        <f t="shared" ref="BP95" si="19">IF(BO95=0,"0",IF(BO95&lt;=50000,"HANDYMAX",IF(BO95&lt;=58000,"SUPER HANDYMAX",IF(BO95&lt;=80000,"PANAMAX",IF(BO95&gt;=80001,"POST PANAMAX")))))</f>
        <v>PANAMAX</v>
      </c>
      <c r="BQ95" s="197"/>
      <c r="BR95" s="197"/>
      <c r="BS95" s="197"/>
      <c r="BT95" s="197"/>
      <c r="BU95" s="197"/>
      <c r="BV95" s="197"/>
      <c r="BW95" s="197"/>
      <c r="BX95" s="65" t="s">
        <v>3005</v>
      </c>
      <c r="VK95" s="26"/>
      <c r="VL95" s="26"/>
      <c r="VM95" s="26"/>
      <c r="VN95" s="26">
        <v>1</v>
      </c>
      <c r="VO95" s="26">
        <v>2</v>
      </c>
      <c r="VP95" s="26"/>
      <c r="VQ95" s="26"/>
      <c r="VR95" s="26"/>
      <c r="VS95" s="26"/>
      <c r="VT95" s="26"/>
    </row>
    <row r="96" spans="2:592" s="71" customFormat="1" ht="14.4" outlineLevel="1">
      <c r="B96" s="104"/>
      <c r="C96" s="101"/>
      <c r="D96" s="104"/>
      <c r="E96" s="70"/>
      <c r="F96" s="70"/>
      <c r="G96" s="247"/>
      <c r="K96" s="102"/>
      <c r="L96" s="102"/>
      <c r="M96" s="103"/>
      <c r="N96" s="103"/>
      <c r="O96" s="1199" t="s">
        <v>96</v>
      </c>
      <c r="P96" s="458">
        <f>SUM(P78:P95)</f>
        <v>81470.58199999998</v>
      </c>
      <c r="Q96" s="458">
        <f t="shared" ref="Q96:BG96" si="20">SUM(Q78:Q95)</f>
        <v>2663.634</v>
      </c>
      <c r="R96" s="458">
        <f t="shared" si="20"/>
        <v>0</v>
      </c>
      <c r="S96" s="458">
        <f t="shared" si="20"/>
        <v>0</v>
      </c>
      <c r="T96" s="458">
        <f t="shared" si="20"/>
        <v>65158.173000000003</v>
      </c>
      <c r="U96" s="458">
        <f t="shared" si="20"/>
        <v>230562.1599</v>
      </c>
      <c r="V96" s="458">
        <f t="shared" si="20"/>
        <v>101175.86210000001</v>
      </c>
      <c r="W96" s="458">
        <f t="shared" si="20"/>
        <v>0</v>
      </c>
      <c r="X96" s="458">
        <f t="shared" si="20"/>
        <v>246906.42879996542</v>
      </c>
      <c r="Y96" s="458">
        <f t="shared" si="20"/>
        <v>238968.87020003455</v>
      </c>
      <c r="Z96" s="458">
        <f t="shared" si="20"/>
        <v>7308.6189999999997</v>
      </c>
      <c r="AA96" s="458">
        <f t="shared" si="20"/>
        <v>0</v>
      </c>
      <c r="AB96" s="458">
        <f t="shared" si="20"/>
        <v>0</v>
      </c>
      <c r="AC96" s="458">
        <f t="shared" si="20"/>
        <v>0</v>
      </c>
      <c r="AD96" s="458">
        <f t="shared" si="20"/>
        <v>0</v>
      </c>
      <c r="AE96" s="458">
        <f t="shared" si="20"/>
        <v>0</v>
      </c>
      <c r="AF96" s="458">
        <f t="shared" si="20"/>
        <v>7500</v>
      </c>
      <c r="AG96" s="458">
        <f t="shared" si="20"/>
        <v>22500</v>
      </c>
      <c r="AH96" s="458">
        <f t="shared" si="20"/>
        <v>0</v>
      </c>
      <c r="AI96" s="458">
        <f t="shared" si="20"/>
        <v>0</v>
      </c>
      <c r="AJ96" s="458">
        <f t="shared" si="20"/>
        <v>0</v>
      </c>
      <c r="AK96" s="458">
        <f t="shared" si="20"/>
        <v>0</v>
      </c>
      <c r="AL96" s="458">
        <f t="shared" si="20"/>
        <v>15012</v>
      </c>
      <c r="AM96" s="458">
        <f t="shared" si="20"/>
        <v>0</v>
      </c>
      <c r="AN96" s="458">
        <f t="shared" si="20"/>
        <v>5285</v>
      </c>
      <c r="AO96" s="458">
        <f t="shared" si="20"/>
        <v>0</v>
      </c>
      <c r="AP96" s="458">
        <f t="shared" si="20"/>
        <v>10343</v>
      </c>
      <c r="AQ96" s="458">
        <f t="shared" si="20"/>
        <v>7726.72</v>
      </c>
      <c r="AR96" s="458">
        <f t="shared" si="20"/>
        <v>20576.599000000002</v>
      </c>
      <c r="AS96" s="458">
        <f t="shared" si="20"/>
        <v>0</v>
      </c>
      <c r="AT96" s="458">
        <f t="shared" si="20"/>
        <v>0</v>
      </c>
      <c r="AU96" s="458">
        <f t="shared" si="20"/>
        <v>60416.624000000003</v>
      </c>
      <c r="AV96" s="458">
        <f t="shared" si="20"/>
        <v>7503.3360000000002</v>
      </c>
      <c r="AW96" s="458">
        <f t="shared" si="20"/>
        <v>7505</v>
      </c>
      <c r="AX96" s="458">
        <f t="shared" si="20"/>
        <v>0</v>
      </c>
      <c r="AY96" s="458">
        <f t="shared" si="20"/>
        <v>0</v>
      </c>
      <c r="AZ96" s="458"/>
      <c r="BA96" s="458"/>
      <c r="BB96" s="458"/>
      <c r="BC96" s="458"/>
      <c r="BD96" s="458"/>
      <c r="BE96" s="458">
        <f t="shared" si="20"/>
        <v>1138583</v>
      </c>
      <c r="BF96" s="458">
        <f t="shared" si="20"/>
        <v>1138583</v>
      </c>
      <c r="BG96" s="1179">
        <f t="shared" si="20"/>
        <v>1138582.608</v>
      </c>
      <c r="BH96" s="68"/>
      <c r="BI96" s="1189"/>
      <c r="BJ96" s="1189"/>
      <c r="BK96" s="104"/>
      <c r="BL96" s="105"/>
      <c r="BM96" s="105"/>
      <c r="BN96" s="105"/>
      <c r="BO96" s="106"/>
      <c r="BQ96" s="105"/>
      <c r="BR96" s="105"/>
      <c r="BS96" s="105"/>
      <c r="BT96" s="105"/>
      <c r="BU96" s="105"/>
      <c r="BV96" s="105"/>
      <c r="BW96" s="10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  <c r="HG96" s="65"/>
      <c r="HH96" s="65"/>
      <c r="HI96" s="65"/>
      <c r="HJ96" s="65"/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65"/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5"/>
      <c r="JJ96" s="65"/>
      <c r="JK96" s="65"/>
      <c r="JL96" s="65"/>
      <c r="JM96" s="65"/>
      <c r="JN96" s="65"/>
      <c r="JO96" s="65"/>
      <c r="JP96" s="65"/>
      <c r="JQ96" s="65"/>
      <c r="JR96" s="65"/>
      <c r="JS96" s="65"/>
      <c r="JT96" s="65"/>
      <c r="JU96" s="65"/>
      <c r="JV96" s="65"/>
      <c r="JW96" s="65"/>
      <c r="JX96" s="65"/>
      <c r="JY96" s="65"/>
      <c r="JZ96" s="65"/>
      <c r="KA96" s="65"/>
      <c r="KB96" s="65"/>
      <c r="KC96" s="65"/>
      <c r="KD96" s="65"/>
      <c r="KE96" s="65"/>
      <c r="KF96" s="65"/>
      <c r="KG96" s="65"/>
      <c r="KH96" s="65"/>
      <c r="KI96" s="65"/>
      <c r="KJ96" s="65"/>
      <c r="KK96" s="65"/>
      <c r="KL96" s="65"/>
      <c r="KM96" s="65"/>
      <c r="KN96" s="65"/>
      <c r="KO96" s="65"/>
      <c r="KP96" s="65"/>
      <c r="KQ96" s="65"/>
      <c r="KR96" s="65"/>
      <c r="KS96" s="65"/>
      <c r="KT96" s="65"/>
      <c r="KU96" s="65"/>
      <c r="KV96" s="65"/>
      <c r="KW96" s="65"/>
      <c r="KX96" s="65"/>
      <c r="KY96" s="65"/>
      <c r="KZ96" s="65"/>
      <c r="LA96" s="65"/>
      <c r="LB96" s="65"/>
      <c r="LC96" s="65"/>
      <c r="LD96" s="65"/>
      <c r="LE96" s="65"/>
      <c r="LF96" s="65"/>
      <c r="LG96" s="65"/>
      <c r="LH96" s="65"/>
      <c r="LI96" s="65"/>
      <c r="LJ96" s="65"/>
      <c r="LK96" s="65"/>
      <c r="LL96" s="65"/>
      <c r="LM96" s="65"/>
      <c r="LN96" s="65"/>
      <c r="LO96" s="65"/>
      <c r="LP96" s="65"/>
      <c r="LQ96" s="65"/>
      <c r="LR96" s="65"/>
      <c r="LS96" s="65"/>
      <c r="LT96" s="65"/>
      <c r="LU96" s="65"/>
      <c r="LV96" s="65"/>
      <c r="LW96" s="65"/>
      <c r="LX96" s="65"/>
      <c r="LY96" s="65"/>
      <c r="LZ96" s="65"/>
      <c r="MA96" s="65"/>
      <c r="MB96" s="65"/>
      <c r="MC96" s="65"/>
      <c r="MD96" s="65"/>
      <c r="ME96" s="65"/>
      <c r="MF96" s="65"/>
      <c r="MG96" s="65"/>
      <c r="MH96" s="65"/>
      <c r="MI96" s="65"/>
      <c r="MJ96" s="65"/>
      <c r="MK96" s="65"/>
      <c r="ML96" s="65"/>
      <c r="MM96" s="65"/>
      <c r="MN96" s="65"/>
      <c r="MO96" s="65"/>
      <c r="MP96" s="65"/>
      <c r="MQ96" s="65"/>
      <c r="MR96" s="65"/>
      <c r="MS96" s="65"/>
      <c r="MT96" s="65"/>
      <c r="MU96" s="65"/>
      <c r="MV96" s="65"/>
      <c r="MW96" s="65"/>
      <c r="MX96" s="65"/>
      <c r="MY96" s="65"/>
      <c r="MZ96" s="65"/>
      <c r="NA96" s="65"/>
      <c r="NB96" s="65"/>
      <c r="NC96" s="65"/>
      <c r="ND96" s="65"/>
      <c r="NE96" s="65"/>
      <c r="NF96" s="65"/>
      <c r="NG96" s="65"/>
      <c r="NH96" s="65"/>
      <c r="NI96" s="65"/>
      <c r="NJ96" s="65"/>
      <c r="NK96" s="65"/>
      <c r="NL96" s="65"/>
      <c r="NM96" s="65"/>
      <c r="NN96" s="65"/>
      <c r="NO96" s="65"/>
      <c r="NP96" s="65"/>
      <c r="NQ96" s="65"/>
      <c r="NR96" s="65"/>
      <c r="NS96" s="65"/>
      <c r="NT96" s="65"/>
      <c r="NU96" s="65"/>
      <c r="NV96" s="65"/>
      <c r="NW96" s="65"/>
      <c r="NX96" s="65"/>
      <c r="NY96" s="65"/>
      <c r="NZ96" s="65"/>
      <c r="OA96" s="65"/>
      <c r="OB96" s="65"/>
      <c r="OC96" s="65"/>
      <c r="OD96" s="65"/>
      <c r="OE96" s="65"/>
      <c r="OF96" s="65"/>
      <c r="OG96" s="65"/>
      <c r="OH96" s="65"/>
      <c r="OI96" s="65"/>
      <c r="OJ96" s="65"/>
      <c r="OK96" s="65"/>
      <c r="OL96" s="65"/>
      <c r="OM96" s="65"/>
      <c r="ON96" s="65"/>
      <c r="OO96" s="65"/>
      <c r="OP96" s="65"/>
      <c r="OQ96" s="65"/>
      <c r="OR96" s="65"/>
      <c r="OS96" s="65"/>
      <c r="OT96" s="65"/>
      <c r="OU96" s="65"/>
      <c r="OV96" s="65"/>
      <c r="OW96" s="65"/>
      <c r="OX96" s="65"/>
      <c r="OY96" s="65"/>
      <c r="OZ96" s="65"/>
      <c r="PA96" s="65"/>
      <c r="PB96" s="65"/>
      <c r="PC96" s="65"/>
      <c r="PD96" s="65"/>
      <c r="PE96" s="65"/>
      <c r="PF96" s="65"/>
      <c r="PG96" s="65"/>
      <c r="PH96" s="65"/>
      <c r="PI96" s="65"/>
      <c r="PJ96" s="65"/>
      <c r="PK96" s="65"/>
      <c r="PL96" s="65"/>
      <c r="PM96" s="65"/>
      <c r="PN96" s="65"/>
      <c r="PO96" s="65"/>
      <c r="PP96" s="65"/>
      <c r="PQ96" s="65"/>
      <c r="PR96" s="65"/>
      <c r="PS96" s="65"/>
      <c r="PT96" s="65"/>
      <c r="PU96" s="65"/>
      <c r="PV96" s="65"/>
      <c r="PW96" s="65"/>
      <c r="PX96" s="65"/>
      <c r="PY96" s="65"/>
      <c r="PZ96" s="65"/>
      <c r="QA96" s="65"/>
      <c r="QB96" s="65"/>
      <c r="QC96" s="65"/>
      <c r="QD96" s="65"/>
      <c r="QE96" s="65"/>
      <c r="QF96" s="65"/>
      <c r="QG96" s="65"/>
      <c r="QH96" s="65"/>
      <c r="QI96" s="65"/>
      <c r="QJ96" s="65"/>
      <c r="QK96" s="65"/>
      <c r="QL96" s="65"/>
      <c r="QM96" s="65"/>
      <c r="QN96" s="65"/>
      <c r="QO96" s="65"/>
      <c r="QP96" s="65"/>
      <c r="QQ96" s="65"/>
      <c r="QR96" s="65"/>
      <c r="QS96" s="65"/>
      <c r="QT96" s="65"/>
      <c r="QU96" s="65"/>
      <c r="QV96" s="65"/>
      <c r="QW96" s="65"/>
      <c r="QX96" s="65"/>
      <c r="QY96" s="65"/>
      <c r="QZ96" s="65"/>
      <c r="RA96" s="65"/>
      <c r="RB96" s="65"/>
      <c r="RC96" s="65"/>
      <c r="RD96" s="65"/>
      <c r="RE96" s="65"/>
      <c r="RF96" s="65"/>
      <c r="RG96" s="65"/>
      <c r="RH96" s="65"/>
      <c r="RI96" s="65"/>
      <c r="RJ96" s="65"/>
      <c r="RK96" s="65"/>
      <c r="RL96" s="65"/>
      <c r="RM96" s="65"/>
      <c r="RN96" s="65"/>
      <c r="RO96" s="65"/>
      <c r="RP96" s="65"/>
      <c r="RQ96" s="65"/>
      <c r="RR96" s="65"/>
      <c r="RS96" s="65"/>
      <c r="RT96" s="65"/>
      <c r="RU96" s="65"/>
      <c r="RV96" s="65"/>
      <c r="RW96" s="65"/>
      <c r="RX96" s="65"/>
      <c r="RY96" s="65"/>
      <c r="RZ96" s="65"/>
      <c r="SA96" s="65"/>
      <c r="SB96" s="65"/>
      <c r="SC96" s="65"/>
      <c r="SD96" s="65"/>
      <c r="SE96" s="65"/>
      <c r="SF96" s="65"/>
      <c r="SG96" s="65"/>
      <c r="SH96" s="65"/>
      <c r="SI96" s="65"/>
      <c r="SJ96" s="65"/>
      <c r="SK96" s="65"/>
      <c r="SL96" s="65"/>
      <c r="SM96" s="65"/>
      <c r="SN96" s="65"/>
      <c r="SO96" s="65"/>
      <c r="SP96" s="65"/>
      <c r="SQ96" s="65"/>
      <c r="SR96" s="65"/>
      <c r="SS96" s="65"/>
      <c r="ST96" s="65"/>
      <c r="SU96" s="65"/>
      <c r="SV96" s="65"/>
      <c r="SW96" s="65"/>
      <c r="SX96" s="65"/>
      <c r="SY96" s="65"/>
      <c r="SZ96" s="65"/>
      <c r="TA96" s="65"/>
      <c r="TB96" s="65"/>
      <c r="TC96" s="65"/>
      <c r="TD96" s="65"/>
      <c r="TE96" s="65"/>
      <c r="TF96" s="65"/>
      <c r="TG96" s="65"/>
      <c r="TH96" s="65"/>
      <c r="TI96" s="65"/>
      <c r="TJ96" s="65"/>
      <c r="TK96" s="65"/>
      <c r="TL96" s="65"/>
      <c r="TM96" s="65"/>
      <c r="TN96" s="65"/>
      <c r="TO96" s="65"/>
      <c r="TP96" s="65"/>
      <c r="TQ96" s="65"/>
      <c r="TR96" s="65"/>
      <c r="TS96" s="65"/>
      <c r="TT96" s="65"/>
      <c r="TU96" s="65"/>
      <c r="TV96" s="65"/>
      <c r="TW96" s="65"/>
      <c r="TX96" s="65"/>
      <c r="TY96" s="65"/>
      <c r="TZ96" s="65"/>
      <c r="UA96" s="65"/>
      <c r="UB96" s="65"/>
      <c r="UC96" s="65"/>
      <c r="UD96" s="65"/>
      <c r="UE96" s="65"/>
      <c r="UF96" s="65"/>
      <c r="UG96" s="65"/>
      <c r="UH96" s="65"/>
      <c r="UI96" s="65"/>
      <c r="UJ96" s="65"/>
      <c r="UK96" s="65"/>
      <c r="UL96" s="65"/>
      <c r="UM96" s="65"/>
      <c r="UN96" s="65"/>
      <c r="UO96" s="65"/>
      <c r="UP96" s="65"/>
      <c r="UQ96" s="65"/>
      <c r="UR96" s="65"/>
      <c r="US96" s="65"/>
      <c r="UT96" s="65"/>
      <c r="UU96" s="65"/>
      <c r="UV96" s="65"/>
      <c r="UW96" s="65"/>
      <c r="UX96" s="65"/>
      <c r="UY96" s="65"/>
      <c r="UZ96" s="65"/>
      <c r="VA96" s="65"/>
      <c r="VB96" s="65"/>
      <c r="VC96" s="65"/>
      <c r="VD96" s="65"/>
      <c r="VE96" s="65"/>
      <c r="VF96" s="65"/>
      <c r="VG96" s="65"/>
      <c r="VH96" s="65"/>
      <c r="VI96" s="65"/>
      <c r="VJ96" s="65"/>
      <c r="VK96" s="65"/>
      <c r="VL96" s="65"/>
      <c r="VM96" s="65"/>
      <c r="VN96" s="65"/>
      <c r="VO96" s="65"/>
      <c r="VP96" s="65"/>
      <c r="VQ96" s="65"/>
      <c r="VR96" s="65"/>
      <c r="VS96" s="65"/>
    </row>
    <row r="97" spans="2:619" s="99" customFormat="1" ht="14.4" outlineLevel="1">
      <c r="B97" s="108"/>
      <c r="C97" s="107"/>
      <c r="D97" s="108"/>
      <c r="E97" s="109"/>
      <c r="F97" s="109"/>
      <c r="K97" s="110"/>
      <c r="L97" s="110"/>
      <c r="M97" s="111"/>
      <c r="N97" s="111"/>
      <c r="O97" s="1185"/>
      <c r="P97" s="1384">
        <f>SUM(P96:T96)</f>
        <v>149292.389</v>
      </c>
      <c r="Q97" s="1385"/>
      <c r="R97" s="1385"/>
      <c r="S97" s="1385"/>
      <c r="T97" s="1386"/>
      <c r="U97" s="1384">
        <f>SUM(U96:W96)</f>
        <v>331738.022</v>
      </c>
      <c r="V97" s="1385"/>
      <c r="W97" s="1386"/>
      <c r="X97" s="1384">
        <f>SUM(X96:Y96)</f>
        <v>485875.299</v>
      </c>
      <c r="Y97" s="1386"/>
      <c r="Z97" s="459">
        <f>Z96</f>
        <v>7308.6189999999997</v>
      </c>
      <c r="AA97" s="459">
        <f>AA96</f>
        <v>0</v>
      </c>
      <c r="AB97" s="1384">
        <f>SUM(AB96:AY96)</f>
        <v>164368.27900000001</v>
      </c>
      <c r="AC97" s="1385"/>
      <c r="AD97" s="1385"/>
      <c r="AE97" s="1385"/>
      <c r="AF97" s="1385"/>
      <c r="AG97" s="1385"/>
      <c r="AH97" s="1385"/>
      <c r="AI97" s="1385"/>
      <c r="AJ97" s="1385"/>
      <c r="AK97" s="1385"/>
      <c r="AL97" s="1385"/>
      <c r="AM97" s="1385"/>
      <c r="AN97" s="1385"/>
      <c r="AO97" s="1385"/>
      <c r="AP97" s="1385"/>
      <c r="AQ97" s="1385"/>
      <c r="AR97" s="1385"/>
      <c r="AS97" s="1385"/>
      <c r="AT97" s="1385"/>
      <c r="AU97" s="1385"/>
      <c r="AV97" s="1385"/>
      <c r="AW97" s="1385"/>
      <c r="AX97" s="1385"/>
      <c r="AY97" s="1386"/>
      <c r="AZ97" s="394"/>
      <c r="BA97" s="394"/>
      <c r="BB97" s="394"/>
      <c r="BC97" s="394"/>
      <c r="BD97" s="394"/>
      <c r="BE97" s="460"/>
      <c r="BF97" s="460"/>
      <c r="BG97" s="1179"/>
      <c r="BH97" s="112"/>
      <c r="BI97" s="1190"/>
      <c r="BJ97" s="1190"/>
      <c r="BK97" s="108"/>
      <c r="BL97" s="113"/>
      <c r="BM97" s="113"/>
      <c r="BN97" s="113"/>
      <c r="BO97" s="114"/>
      <c r="BQ97" s="113"/>
      <c r="BR97" s="113"/>
      <c r="BS97" s="113"/>
      <c r="BT97" s="113"/>
      <c r="BU97" s="113"/>
      <c r="BV97" s="113"/>
      <c r="BW97" s="113"/>
    </row>
    <row r="98" spans="2:619" ht="14.4" outlineLevel="1"/>
    <row r="99" spans="2:619" ht="14.4" outlineLevel="1">
      <c r="B99" s="99" t="s">
        <v>2883</v>
      </c>
    </row>
    <row r="100" spans="2:619" s="65" customFormat="1" ht="14.4" outlineLevel="1">
      <c r="B100" s="290">
        <v>1</v>
      </c>
      <c r="C100" s="194">
        <v>45047</v>
      </c>
      <c r="D100" s="195" t="s">
        <v>74</v>
      </c>
      <c r="E100" s="72">
        <v>45060</v>
      </c>
      <c r="F100" s="72">
        <v>45069</v>
      </c>
      <c r="G100" s="69" t="s">
        <v>107</v>
      </c>
      <c r="H100" s="65" t="s">
        <v>224</v>
      </c>
      <c r="I100" s="65" t="s">
        <v>1992</v>
      </c>
      <c r="J100" s="65" t="s">
        <v>2922</v>
      </c>
      <c r="K100" s="73">
        <v>45065.625</v>
      </c>
      <c r="L100" s="73">
        <v>45065.637499999997</v>
      </c>
      <c r="M100" s="196">
        <v>45077.769444444442</v>
      </c>
      <c r="N100" s="196">
        <v>45079.289583333331</v>
      </c>
      <c r="O100" s="1188" t="s">
        <v>2916</v>
      </c>
      <c r="P100" s="62">
        <v>10121</v>
      </c>
      <c r="Q100" s="62"/>
      <c r="R100" s="62"/>
      <c r="S100" s="62"/>
      <c r="T100" s="62">
        <v>5065</v>
      </c>
      <c r="U100" s="62"/>
      <c r="V100" s="62"/>
      <c r="W100" s="62"/>
      <c r="X100" s="62">
        <v>30162.27</v>
      </c>
      <c r="Y100" s="62">
        <v>7347.5950000000003</v>
      </c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>
        <v>5289</v>
      </c>
      <c r="AO100" s="62"/>
      <c r="AP100" s="62"/>
      <c r="AQ100" s="62"/>
      <c r="AR100" s="62"/>
      <c r="AS100" s="62"/>
      <c r="AT100" s="62"/>
      <c r="AU100" s="62"/>
      <c r="AV100" s="62"/>
      <c r="AW100" s="62">
        <v>8014.6639999999998</v>
      </c>
      <c r="AX100" s="62"/>
      <c r="AY100" s="62"/>
      <c r="AZ100" s="62"/>
      <c r="BA100" s="62"/>
      <c r="BB100" s="62"/>
      <c r="BC100" s="62"/>
      <c r="BD100" s="62"/>
      <c r="BE100" s="62">
        <v>66000</v>
      </c>
      <c r="BF100" s="66">
        <v>66000</v>
      </c>
      <c r="BG100" s="1178">
        <f t="shared" ref="BG100:BG106" si="21">SUM(P100:AY100)</f>
        <v>65999.52900000001</v>
      </c>
      <c r="BH100" s="254">
        <v>16000</v>
      </c>
      <c r="BI100" s="1188" t="s">
        <v>20</v>
      </c>
      <c r="BJ100" s="1191" t="s">
        <v>2923</v>
      </c>
      <c r="BK100" s="75" t="s">
        <v>2924</v>
      </c>
      <c r="BL100" s="197">
        <v>45062.409722222219</v>
      </c>
      <c r="BM100" s="197">
        <v>45062.409722222219</v>
      </c>
      <c r="BN100" s="197"/>
      <c r="BO100" s="198">
        <v>75396.94</v>
      </c>
      <c r="BP100" s="65" t="str">
        <f t="shared" ref="BP100:BP106" si="22">IF(BO100=0,"0",IF(BO100&lt;=50000,"HANDYMAX",IF(BO100&lt;=58000,"SUPER HANDYMAX",IF(BO100&lt;=80000,"PANAMAX",IF(BO100&gt;=80001,"POST PANAMAX")))))</f>
        <v>PANAMAX</v>
      </c>
      <c r="BQ100" s="197"/>
      <c r="BR100" s="197"/>
      <c r="BS100" s="197"/>
      <c r="BT100" s="197"/>
      <c r="BU100" s="197"/>
      <c r="BV100" s="197"/>
      <c r="BW100" s="197"/>
      <c r="VC100" s="26"/>
      <c r="VD100" s="26"/>
      <c r="VE100" s="26"/>
      <c r="VF100" s="26"/>
      <c r="VG100" s="26"/>
      <c r="VH100" s="26">
        <v>1</v>
      </c>
      <c r="VI100" s="26"/>
      <c r="VJ100" s="26"/>
      <c r="VK100" s="26"/>
      <c r="VL100" s="26"/>
    </row>
    <row r="101" spans="2:619" s="65" customFormat="1" ht="14.4" outlineLevel="1">
      <c r="B101" s="290">
        <v>2</v>
      </c>
      <c r="C101" s="194">
        <v>45047</v>
      </c>
      <c r="D101" s="195" t="s">
        <v>74</v>
      </c>
      <c r="E101" s="72">
        <v>45070</v>
      </c>
      <c r="F101" s="72">
        <v>45079</v>
      </c>
      <c r="G101" s="69" t="s">
        <v>2914</v>
      </c>
      <c r="H101" s="65" t="s">
        <v>1520</v>
      </c>
      <c r="I101" s="65" t="s">
        <v>1994</v>
      </c>
      <c r="J101" s="65" t="s">
        <v>2926</v>
      </c>
      <c r="K101" s="73">
        <v>45071.583333333336</v>
      </c>
      <c r="L101" s="73">
        <v>45071.583333333336</v>
      </c>
      <c r="M101" s="196">
        <v>45077.506944444445</v>
      </c>
      <c r="N101" s="196">
        <v>45080.791666666664</v>
      </c>
      <c r="O101" s="1188" t="s">
        <v>2916</v>
      </c>
      <c r="P101" s="62">
        <v>13057.852999999999</v>
      </c>
      <c r="Q101" s="62"/>
      <c r="R101" s="62"/>
      <c r="S101" s="62"/>
      <c r="T101" s="62">
        <v>2002.1329999999998</v>
      </c>
      <c r="U101" s="62">
        <v>750.12099999999998</v>
      </c>
      <c r="V101" s="62"/>
      <c r="W101" s="62"/>
      <c r="X101" s="62">
        <v>54607.07699999999</v>
      </c>
      <c r="Y101" s="62">
        <v>2971</v>
      </c>
      <c r="Z101" s="62"/>
      <c r="AA101" s="62"/>
      <c r="AB101" s="62"/>
      <c r="AC101" s="62"/>
      <c r="AD101" s="62"/>
      <c r="AE101" s="62"/>
      <c r="AF101" s="62">
        <v>7500</v>
      </c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>
        <v>5311.8159999999998</v>
      </c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6">
        <v>86200</v>
      </c>
      <c r="BF101" s="66">
        <v>86200</v>
      </c>
      <c r="BG101" s="1178">
        <f t="shared" si="21"/>
        <v>86200</v>
      </c>
      <c r="BH101" s="254">
        <v>12345</v>
      </c>
      <c r="BI101" s="1188" t="s">
        <v>12</v>
      </c>
      <c r="BJ101" s="1191" t="s">
        <v>41</v>
      </c>
      <c r="BK101" s="75" t="s">
        <v>2968</v>
      </c>
      <c r="BL101" s="197">
        <v>45068.306944444441</v>
      </c>
      <c r="BM101" s="197">
        <v>45069.998611111114</v>
      </c>
      <c r="BN101" s="197"/>
      <c r="BO101" s="198">
        <v>93296</v>
      </c>
      <c r="BP101" s="65" t="str">
        <f t="shared" si="22"/>
        <v>POST PANAMAX</v>
      </c>
      <c r="BQ101" s="197"/>
      <c r="BR101" s="197"/>
      <c r="BS101" s="197"/>
      <c r="BT101" s="197"/>
      <c r="BU101" s="197"/>
      <c r="BV101" s="197"/>
      <c r="BW101" s="197"/>
      <c r="VM101" s="26">
        <v>1</v>
      </c>
      <c r="VN101" s="26" t="s">
        <v>2957</v>
      </c>
      <c r="VO101" s="26"/>
      <c r="VP101" s="26"/>
      <c r="VQ101" s="26"/>
      <c r="VR101" s="26"/>
      <c r="VS101" s="26"/>
      <c r="VT101" s="26"/>
      <c r="VU101" s="26"/>
      <c r="VV101" s="26"/>
    </row>
    <row r="102" spans="2:619" s="65" customFormat="1" ht="14.4" outlineLevel="1">
      <c r="B102" s="200">
        <v>3</v>
      </c>
      <c r="C102" s="194">
        <v>45047</v>
      </c>
      <c r="D102" s="195" t="s">
        <v>74</v>
      </c>
      <c r="E102" s="72">
        <v>45067</v>
      </c>
      <c r="F102" s="72">
        <v>45081</v>
      </c>
      <c r="G102" s="69" t="s">
        <v>107</v>
      </c>
      <c r="H102" s="65" t="s">
        <v>1521</v>
      </c>
      <c r="I102" s="65" t="s">
        <v>2001</v>
      </c>
      <c r="J102" s="65" t="s">
        <v>3006</v>
      </c>
      <c r="K102" s="73">
        <v>45082.0625</v>
      </c>
      <c r="L102" s="73">
        <v>45082.104166666664</v>
      </c>
      <c r="M102" s="196">
        <v>45082.689583333333</v>
      </c>
      <c r="N102" s="196">
        <v>45083.493055555555</v>
      </c>
      <c r="O102" s="1188" t="s">
        <v>2916</v>
      </c>
      <c r="P102" s="62">
        <v>1371</v>
      </c>
      <c r="Q102" s="62">
        <v>506</v>
      </c>
      <c r="R102" s="62"/>
      <c r="S102" s="62"/>
      <c r="T102" s="62"/>
      <c r="U102" s="62"/>
      <c r="V102" s="62"/>
      <c r="W102" s="62"/>
      <c r="X102" s="62">
        <v>15765.0913</v>
      </c>
      <c r="Y102" s="62">
        <v>6756.4676999999992</v>
      </c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>
        <v>5302</v>
      </c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6">
        <v>29700</v>
      </c>
      <c r="BF102" s="66">
        <v>29700</v>
      </c>
      <c r="BG102" s="1178">
        <f>SUM(P102:AY102)</f>
        <v>29700.559000000001</v>
      </c>
      <c r="BH102" s="254">
        <v>10500</v>
      </c>
      <c r="BI102" s="1188" t="s">
        <v>20</v>
      </c>
      <c r="BJ102" s="1191" t="s">
        <v>2923</v>
      </c>
      <c r="BK102" s="75" t="s">
        <v>2927</v>
      </c>
      <c r="BL102" s="197">
        <v>45068.747916666667</v>
      </c>
      <c r="BM102" s="197">
        <v>45073.640277777777</v>
      </c>
      <c r="BN102" s="197"/>
      <c r="BO102" s="198">
        <v>30634</v>
      </c>
      <c r="BP102" s="65" t="str">
        <f>IF(BO102=0,"0",IF(BO102&lt;=50000,"HANDYMAX",IF(BO102&lt;=58000,"SUPER HANDYMAX",IF(BO102&lt;=80000,"PANAMAX",IF(BO102&gt;=80001,"POST PANAMAX")))))</f>
        <v>HANDYMAX</v>
      </c>
      <c r="BQ102" s="197"/>
      <c r="BR102" s="197"/>
      <c r="BS102" s="197"/>
      <c r="BT102" s="197"/>
      <c r="BU102" s="197"/>
      <c r="BV102" s="197"/>
      <c r="BW102" s="197"/>
      <c r="BX102" s="65" t="s">
        <v>3007</v>
      </c>
      <c r="VJ102" s="26"/>
      <c r="VK102" s="26"/>
      <c r="VL102" s="26"/>
      <c r="VM102" s="26">
        <v>1</v>
      </c>
      <c r="VN102" s="26">
        <v>1</v>
      </c>
      <c r="VO102" s="26"/>
      <c r="VP102" s="26"/>
      <c r="VQ102" s="26">
        <v>2</v>
      </c>
      <c r="VR102" s="26" t="s">
        <v>2936</v>
      </c>
      <c r="VS102" s="26"/>
      <c r="VT102" s="26"/>
      <c r="VU102" s="26">
        <v>4</v>
      </c>
      <c r="VV102" s="26">
        <v>5</v>
      </c>
      <c r="VW102" s="26">
        <v>6</v>
      </c>
      <c r="VX102" s="26"/>
      <c r="VY102" s="65">
        <v>7</v>
      </c>
    </row>
    <row r="103" spans="2:619" s="65" customFormat="1" ht="14.4" outlineLevel="1">
      <c r="B103" s="200">
        <v>4</v>
      </c>
      <c r="C103" s="194">
        <v>45078</v>
      </c>
      <c r="D103" s="195" t="s">
        <v>74</v>
      </c>
      <c r="E103" s="72">
        <v>45078</v>
      </c>
      <c r="F103" s="72">
        <v>45087</v>
      </c>
      <c r="G103" s="69" t="s">
        <v>107</v>
      </c>
      <c r="H103" s="65" t="s">
        <v>1445</v>
      </c>
      <c r="I103" s="65" t="s">
        <v>2003</v>
      </c>
      <c r="J103" s="65" t="s">
        <v>2963</v>
      </c>
      <c r="K103" s="73">
        <v>45077.833333333336</v>
      </c>
      <c r="L103" s="73">
        <v>45077.804166666669</v>
      </c>
      <c r="M103" s="196">
        <v>45083.822916666664</v>
      </c>
      <c r="N103" s="196">
        <v>45085.166666666664</v>
      </c>
      <c r="O103" s="1188" t="s">
        <v>2916</v>
      </c>
      <c r="P103" s="62"/>
      <c r="Q103" s="62"/>
      <c r="R103" s="62"/>
      <c r="S103" s="62"/>
      <c r="T103" s="62">
        <v>7469.8430000000008</v>
      </c>
      <c r="U103" s="62"/>
      <c r="V103" s="62"/>
      <c r="W103" s="62"/>
      <c r="X103" s="62"/>
      <c r="Y103" s="62">
        <v>46891.156999999999</v>
      </c>
      <c r="Z103" s="62"/>
      <c r="AA103" s="62"/>
      <c r="AB103" s="62"/>
      <c r="AC103" s="62"/>
      <c r="AD103" s="62"/>
      <c r="AE103" s="62"/>
      <c r="AF103" s="62">
        <v>7500</v>
      </c>
      <c r="AG103" s="62"/>
      <c r="AH103" s="62"/>
      <c r="AI103" s="62"/>
      <c r="AJ103" s="62"/>
      <c r="AK103" s="62"/>
      <c r="AL103" s="62"/>
      <c r="AM103" s="62"/>
      <c r="AN103" s="62">
        <v>5144</v>
      </c>
      <c r="AO103" s="62"/>
      <c r="AP103" s="62"/>
      <c r="AQ103" s="62"/>
      <c r="AR103" s="62"/>
      <c r="AS103" s="62"/>
      <c r="AT103" s="62"/>
      <c r="AU103" s="62"/>
      <c r="AV103" s="62"/>
      <c r="AX103" s="62"/>
      <c r="AY103" s="62"/>
      <c r="AZ103" s="62"/>
      <c r="BA103" s="62"/>
      <c r="BB103" s="62"/>
      <c r="BC103" s="62"/>
      <c r="BD103" s="62"/>
      <c r="BE103" s="62">
        <v>67000</v>
      </c>
      <c r="BF103" s="66">
        <v>67000</v>
      </c>
      <c r="BG103" s="1178">
        <f t="shared" si="21"/>
        <v>67005</v>
      </c>
      <c r="BH103" s="254">
        <v>25000</v>
      </c>
      <c r="BI103" s="1188" t="s">
        <v>20</v>
      </c>
      <c r="BJ103" s="1188" t="s">
        <v>2923</v>
      </c>
      <c r="BK103" s="75" t="s">
        <v>2924</v>
      </c>
      <c r="BL103" s="197">
        <v>45069.767361111109</v>
      </c>
      <c r="BM103" s="197">
        <v>45076.401388888888</v>
      </c>
      <c r="BN103" s="197"/>
      <c r="BO103" s="198">
        <v>76243</v>
      </c>
      <c r="BP103" s="65" t="str">
        <f t="shared" si="22"/>
        <v>PANAMAX</v>
      </c>
      <c r="BQ103" s="197"/>
      <c r="BR103" s="197"/>
      <c r="BS103" s="197"/>
      <c r="BT103" s="197"/>
      <c r="BU103" s="197"/>
      <c r="BV103" s="197"/>
      <c r="BW103" s="197"/>
      <c r="VT103" s="65">
        <v>1</v>
      </c>
      <c r="VU103" s="26"/>
      <c r="VV103" s="26"/>
      <c r="VW103" s="26"/>
      <c r="VX103" s="26"/>
      <c r="VY103" s="26"/>
      <c r="VZ103" s="26"/>
      <c r="WA103" s="26"/>
      <c r="WB103" s="26"/>
      <c r="WC103" s="26"/>
      <c r="WD103" s="26"/>
    </row>
    <row r="104" spans="2:619" s="65" customFormat="1" ht="14.4" outlineLevel="1">
      <c r="B104" s="200">
        <v>5</v>
      </c>
      <c r="C104" s="194">
        <v>45078</v>
      </c>
      <c r="D104" s="195" t="s">
        <v>74</v>
      </c>
      <c r="E104" s="72">
        <v>45083</v>
      </c>
      <c r="F104" s="72">
        <v>45092</v>
      </c>
      <c r="G104" s="69" t="s">
        <v>2914</v>
      </c>
      <c r="H104" s="65" t="s">
        <v>1270</v>
      </c>
      <c r="I104" s="65" t="s">
        <v>2006</v>
      </c>
      <c r="J104" s="65" t="s">
        <v>2915</v>
      </c>
      <c r="K104" s="73">
        <v>45084.875</v>
      </c>
      <c r="L104" s="73">
        <v>45085.076388888891</v>
      </c>
      <c r="M104" s="196" t="s">
        <v>2004</v>
      </c>
      <c r="N104" s="196">
        <v>45088.326388888891</v>
      </c>
      <c r="O104" s="1188" t="s">
        <v>2916</v>
      </c>
      <c r="P104" s="62"/>
      <c r="Q104" s="62"/>
      <c r="R104" s="62"/>
      <c r="S104" s="62"/>
      <c r="T104" s="62">
        <v>7522.905999999999</v>
      </c>
      <c r="U104" s="62"/>
      <c r="V104" s="62"/>
      <c r="W104" s="62"/>
      <c r="X104" s="62">
        <v>22729.095000000001</v>
      </c>
      <c r="Y104" s="62">
        <v>4096.316000000008</v>
      </c>
      <c r="Z104" s="62"/>
      <c r="AA104" s="62"/>
      <c r="AB104" s="62"/>
      <c r="AC104" s="62"/>
      <c r="AD104" s="62"/>
      <c r="AE104" s="62"/>
      <c r="AF104" s="62"/>
      <c r="AG104" s="62">
        <v>7500</v>
      </c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>
        <v>7651.683</v>
      </c>
      <c r="AV104" s="62"/>
      <c r="AW104" s="62"/>
      <c r="AX104" s="62"/>
      <c r="AY104" s="62"/>
      <c r="AZ104" s="62"/>
      <c r="BA104" s="62"/>
      <c r="BB104" s="62"/>
      <c r="BC104" s="62"/>
      <c r="BD104" s="62"/>
      <c r="BE104" s="66">
        <v>49500</v>
      </c>
      <c r="BF104" s="66">
        <v>49500</v>
      </c>
      <c r="BG104" s="1178">
        <f>SUM(P104:AY104)</f>
        <v>49500.000000000007</v>
      </c>
      <c r="BH104" s="254">
        <v>12000</v>
      </c>
      <c r="BI104" s="1188" t="s">
        <v>12</v>
      </c>
      <c r="BJ104" s="1188" t="s">
        <v>37</v>
      </c>
      <c r="BK104" s="75" t="s">
        <v>2937</v>
      </c>
      <c r="BL104" s="197">
        <v>45077.794444444444</v>
      </c>
      <c r="BM104" s="197">
        <v>45080.845833333333</v>
      </c>
      <c r="BN104" s="197"/>
      <c r="BO104" s="198">
        <v>50202</v>
      </c>
      <c r="BP104" s="65" t="str">
        <f>IF(BO104=0,"0",IF(BO104&lt;=50000,"HANDYMAX",IF(BO104&lt;=58000,"SUPER HANDYMAX",IF(BO104&lt;=80000,"PANAMAX",IF(BO104&gt;=80001,"POST PANAMAX")))))</f>
        <v>SUPER HANDYMAX</v>
      </c>
      <c r="BQ104" s="197"/>
      <c r="BR104" s="197"/>
      <c r="BS104" s="197"/>
      <c r="BT104" s="197"/>
      <c r="BU104" s="197"/>
      <c r="BV104" s="197"/>
      <c r="BW104" s="197"/>
      <c r="VY104" s="65">
        <v>2</v>
      </c>
      <c r="VZ104" s="26">
        <v>1</v>
      </c>
      <c r="WA104" s="26">
        <v>4</v>
      </c>
      <c r="WB104" s="26">
        <v>3</v>
      </c>
      <c r="WC104" s="26"/>
      <c r="WD104" s="26"/>
      <c r="WE104" s="26"/>
      <c r="WF104" s="26"/>
      <c r="WG104" s="26"/>
      <c r="WH104" s="26"/>
      <c r="WI104" s="26"/>
    </row>
    <row r="105" spans="2:619" s="65" customFormat="1" ht="14.4" outlineLevel="1">
      <c r="B105" s="200">
        <v>6</v>
      </c>
      <c r="C105" s="194">
        <v>45078</v>
      </c>
      <c r="D105" s="195" t="s">
        <v>74</v>
      </c>
      <c r="E105" s="72">
        <v>45079</v>
      </c>
      <c r="F105" s="72">
        <v>45084</v>
      </c>
      <c r="G105" s="69" t="s">
        <v>2914</v>
      </c>
      <c r="H105" s="65" t="s">
        <v>1548</v>
      </c>
      <c r="I105" s="65" t="s">
        <v>2009</v>
      </c>
      <c r="J105" s="65" t="s">
        <v>2948</v>
      </c>
      <c r="K105" s="73">
        <v>45078.958333333336</v>
      </c>
      <c r="L105" s="73">
        <v>45078.916666666664</v>
      </c>
      <c r="M105" s="196">
        <v>45087.034722222219</v>
      </c>
      <c r="N105" s="196">
        <v>45089.173611111109</v>
      </c>
      <c r="O105" s="1188" t="s">
        <v>2916</v>
      </c>
      <c r="P105" s="62">
        <v>15053.014999999999</v>
      </c>
      <c r="Q105" s="62"/>
      <c r="R105" s="62"/>
      <c r="S105" s="62"/>
      <c r="T105" s="62"/>
      <c r="U105" s="62">
        <v>7711.4920000000002</v>
      </c>
      <c r="V105" s="62"/>
      <c r="W105" s="62"/>
      <c r="X105" s="62">
        <v>25235.406999999999</v>
      </c>
      <c r="Y105" s="62">
        <v>18526.534000000003</v>
      </c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>
        <v>7613.5519999999997</v>
      </c>
      <c r="AV105" s="62"/>
      <c r="AW105" s="62"/>
      <c r="AX105" s="62"/>
      <c r="AY105" s="62"/>
      <c r="AZ105" s="62"/>
      <c r="BA105" s="62"/>
      <c r="BB105" s="62"/>
      <c r="BC105" s="62"/>
      <c r="BD105" s="62"/>
      <c r="BE105" s="66">
        <v>74572</v>
      </c>
      <c r="BF105" s="66">
        <v>74572</v>
      </c>
      <c r="BG105" s="1178">
        <f>SUM(P105:AY105)</f>
        <v>74140</v>
      </c>
      <c r="BH105" s="254">
        <v>10453</v>
      </c>
      <c r="BI105" s="1188" t="s">
        <v>4</v>
      </c>
      <c r="BJ105" s="1188" t="s">
        <v>5</v>
      </c>
      <c r="BK105" s="75" t="s">
        <v>2937</v>
      </c>
      <c r="BL105" s="197">
        <v>45073.929166666669</v>
      </c>
      <c r="BM105" s="197">
        <v>45076.861111111109</v>
      </c>
      <c r="BN105" s="197"/>
      <c r="BO105" s="198">
        <v>76424</v>
      </c>
      <c r="BP105" s="65" t="str">
        <f>IF(BO105=0,"0",IF(BO105&lt;=50000,"HANDYMAX",IF(BO105&lt;=58000,"SUPER HANDYMAX",IF(BO105&lt;=80000,"PANAMAX",IF(BO105&gt;=80001,"POST PANAMAX")))))</f>
        <v>PANAMAX</v>
      </c>
      <c r="BQ105" s="197"/>
      <c r="BR105" s="197"/>
      <c r="BS105" s="197"/>
      <c r="BT105" s="197"/>
      <c r="BU105" s="197"/>
      <c r="BV105" s="197"/>
      <c r="BW105" s="197"/>
      <c r="VU105" s="65">
        <v>2</v>
      </c>
      <c r="VV105" s="26">
        <v>1</v>
      </c>
      <c r="VW105" s="26"/>
      <c r="VX105" s="26"/>
      <c r="VY105" s="26"/>
      <c r="VZ105" s="26"/>
      <c r="WA105" s="26"/>
    </row>
    <row r="106" spans="2:619" s="65" customFormat="1" ht="14.4" outlineLevel="1">
      <c r="B106" s="200">
        <v>7</v>
      </c>
      <c r="C106" s="194">
        <v>45078</v>
      </c>
      <c r="D106" s="195" t="s">
        <v>73</v>
      </c>
      <c r="E106" s="72">
        <v>45086</v>
      </c>
      <c r="F106" s="72">
        <v>45095</v>
      </c>
      <c r="G106" s="69" t="s">
        <v>107</v>
      </c>
      <c r="H106" s="65" t="s">
        <v>1689</v>
      </c>
      <c r="I106" s="65" t="s">
        <v>2013</v>
      </c>
      <c r="J106" s="65" t="s">
        <v>2979</v>
      </c>
      <c r="K106" s="73">
        <v>45085.958333333336</v>
      </c>
      <c r="L106" s="73">
        <v>45085.895833333336</v>
      </c>
      <c r="M106" s="196">
        <v>45090.143055555556</v>
      </c>
      <c r="N106" s="196">
        <v>45091.447916666664</v>
      </c>
      <c r="O106" s="1188" t="s">
        <v>2916</v>
      </c>
      <c r="P106" s="62"/>
      <c r="Q106" s="62"/>
      <c r="R106" s="62"/>
      <c r="S106" s="62"/>
      <c r="T106" s="62">
        <v>1505.9030000000057</v>
      </c>
      <c r="U106" s="62">
        <v>37393.775249999999</v>
      </c>
      <c r="V106" s="62">
        <v>20135.109749999996</v>
      </c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>
        <v>7551.2120000000004</v>
      </c>
      <c r="AM106" s="62"/>
      <c r="AN106" s="62">
        <v>5339</v>
      </c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6">
        <v>71925</v>
      </c>
      <c r="BF106" s="66">
        <v>71925</v>
      </c>
      <c r="BG106" s="1178">
        <f t="shared" si="21"/>
        <v>71925</v>
      </c>
      <c r="BH106" s="254">
        <v>25000</v>
      </c>
      <c r="BI106" s="1188" t="s">
        <v>20</v>
      </c>
      <c r="BJ106" s="1188" t="s">
        <v>2923</v>
      </c>
      <c r="BK106" s="75" t="s">
        <v>2924</v>
      </c>
      <c r="BL106" s="197">
        <v>45079.443749999999</v>
      </c>
      <c r="BM106" s="197">
        <v>45083.595138888886</v>
      </c>
      <c r="BN106" s="197"/>
      <c r="BO106" s="198">
        <v>78821</v>
      </c>
      <c r="BP106" s="65" t="str">
        <f t="shared" si="22"/>
        <v>PANAMAX</v>
      </c>
      <c r="BQ106" s="197"/>
      <c r="BR106" s="197"/>
      <c r="BS106" s="197"/>
      <c r="BT106" s="197"/>
      <c r="BU106" s="197"/>
      <c r="BV106" s="197"/>
      <c r="BW106" s="197"/>
      <c r="BX106" s="65" t="s">
        <v>3008</v>
      </c>
      <c r="WA106" s="65">
        <v>1</v>
      </c>
      <c r="WC106" s="26">
        <v>2</v>
      </c>
      <c r="WD106" s="26"/>
      <c r="WE106" s="26"/>
      <c r="WF106" s="26"/>
      <c r="WG106" s="26"/>
      <c r="WH106" s="26"/>
      <c r="WI106" s="26"/>
      <c r="WJ106" s="26"/>
      <c r="WK106" s="26"/>
      <c r="WL106" s="26"/>
    </row>
    <row r="107" spans="2:619" s="65" customFormat="1" ht="14.4" outlineLevel="1">
      <c r="B107" s="200">
        <v>8</v>
      </c>
      <c r="C107" s="194">
        <v>45078</v>
      </c>
      <c r="D107" s="195" t="s">
        <v>73</v>
      </c>
      <c r="E107" s="72">
        <v>45081</v>
      </c>
      <c r="F107" s="72">
        <v>45090</v>
      </c>
      <c r="G107" s="69" t="s">
        <v>2914</v>
      </c>
      <c r="H107" s="65" t="s">
        <v>1781</v>
      </c>
      <c r="I107" s="65" t="s">
        <v>2015</v>
      </c>
      <c r="J107" s="65" t="s">
        <v>2933</v>
      </c>
      <c r="K107" s="73">
        <v>45086.431944444441</v>
      </c>
      <c r="L107" s="73">
        <f>K107</f>
        <v>45086.431944444441</v>
      </c>
      <c r="M107" s="196">
        <v>45090.215277777781</v>
      </c>
      <c r="N107" s="196">
        <v>45093.072916666664</v>
      </c>
      <c r="O107" s="1188" t="s">
        <v>2916</v>
      </c>
      <c r="P107" s="62"/>
      <c r="Q107" s="62"/>
      <c r="R107" s="62"/>
      <c r="S107" s="62"/>
      <c r="T107" s="62"/>
      <c r="U107" s="62">
        <v>39680.117150000005</v>
      </c>
      <c r="V107" s="62">
        <v>22941.845850000002</v>
      </c>
      <c r="W107" s="62"/>
      <c r="X107" s="62">
        <v>4903.6240500000004</v>
      </c>
      <c r="Y107" s="62">
        <v>2640.4129499999999</v>
      </c>
      <c r="Z107" s="62"/>
      <c r="AA107" s="62"/>
      <c r="AB107" s="62"/>
      <c r="AC107" s="62"/>
      <c r="AD107" s="62"/>
      <c r="AE107" s="62"/>
      <c r="AF107" s="62"/>
      <c r="AG107" s="62">
        <v>7500</v>
      </c>
      <c r="AH107" s="62"/>
      <c r="AI107" s="62"/>
      <c r="AJ107" s="62"/>
      <c r="AK107" s="62"/>
      <c r="AL107" s="62"/>
      <c r="AM107" s="62"/>
      <c r="AN107" s="62">
        <v>10334</v>
      </c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>
        <v>88000</v>
      </c>
      <c r="BF107" s="62">
        <v>88000</v>
      </c>
      <c r="BG107" s="1178">
        <f t="shared" ref="BG107" si="23">SUM(P107:AY107)</f>
        <v>88000</v>
      </c>
      <c r="BH107" s="254">
        <v>17700</v>
      </c>
      <c r="BI107" s="1188" t="s">
        <v>4</v>
      </c>
      <c r="BJ107" s="1188" t="s">
        <v>5</v>
      </c>
      <c r="BK107" s="75" t="s">
        <v>2937</v>
      </c>
      <c r="BL107" s="197">
        <v>45075.725694444445</v>
      </c>
      <c r="BM107" s="197">
        <v>45077.909722222219</v>
      </c>
      <c r="BN107" s="197"/>
      <c r="BO107" s="198">
        <v>91439</v>
      </c>
      <c r="BP107" s="65" t="str">
        <f t="shared" ref="BP107:BP112" si="24">IF(BO107=0,"0",IF(BO107&lt;=50000,"HANDYMAX",IF(BO107&lt;=58000,"SUPER HANDYMAX",IF(BO107&lt;=80000,"PANAMAX",IF(BO107&gt;=80001,"POST PANAMAX")))))</f>
        <v>POST PANAMAX</v>
      </c>
      <c r="BQ107" s="197"/>
      <c r="BR107" s="197"/>
      <c r="BS107" s="197"/>
      <c r="BT107" s="197"/>
      <c r="BU107" s="197"/>
      <c r="BV107" s="197"/>
      <c r="BW107" s="197"/>
      <c r="BX107" s="65" t="s">
        <v>3009</v>
      </c>
      <c r="VX107" s="26"/>
      <c r="VY107" s="26"/>
      <c r="VZ107" s="26"/>
      <c r="WA107" s="26">
        <v>1</v>
      </c>
      <c r="WB107" s="26"/>
      <c r="WC107" s="26">
        <v>2</v>
      </c>
      <c r="WD107" s="26"/>
      <c r="WE107" s="26"/>
      <c r="WF107" s="26"/>
      <c r="WG107" s="26"/>
    </row>
    <row r="108" spans="2:619" s="65" customFormat="1" ht="14.4" outlineLevel="1">
      <c r="B108" s="200">
        <v>9</v>
      </c>
      <c r="C108" s="194">
        <v>45078</v>
      </c>
      <c r="D108" s="195" t="s">
        <v>74</v>
      </c>
      <c r="E108" s="72">
        <v>45090</v>
      </c>
      <c r="F108" s="72">
        <v>45099</v>
      </c>
      <c r="G108" s="69" t="s">
        <v>2914</v>
      </c>
      <c r="H108" s="65" t="s">
        <v>1785</v>
      </c>
      <c r="I108" s="65" t="s">
        <v>2017</v>
      </c>
      <c r="J108" s="65" t="s">
        <v>2932</v>
      </c>
      <c r="K108" s="73">
        <v>45084.958333333336</v>
      </c>
      <c r="L108" s="73">
        <v>45084.925000000003</v>
      </c>
      <c r="M108" s="196">
        <v>45092.083333333336</v>
      </c>
      <c r="N108" s="196">
        <v>45095.631944444445</v>
      </c>
      <c r="O108" s="1188" t="s">
        <v>2916</v>
      </c>
      <c r="P108" s="62"/>
      <c r="Q108" s="62"/>
      <c r="R108" s="62"/>
      <c r="S108" s="62"/>
      <c r="T108" s="62">
        <v>15027.657999999999</v>
      </c>
      <c r="U108" s="62"/>
      <c r="V108" s="62"/>
      <c r="W108" s="62"/>
      <c r="X108" s="62">
        <v>15795.839150000002</v>
      </c>
      <c r="Y108" s="62">
        <v>53853.919849999998</v>
      </c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>
        <v>7501</v>
      </c>
      <c r="AM108" s="62"/>
      <c r="AN108" s="62"/>
      <c r="AO108" s="62"/>
      <c r="AP108" s="62"/>
      <c r="AQ108" s="62"/>
      <c r="AR108" s="62"/>
      <c r="AS108" s="62"/>
      <c r="AT108" s="62">
        <v>7598.5829999999996</v>
      </c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6">
        <v>99777</v>
      </c>
      <c r="BF108" s="66">
        <v>99777</v>
      </c>
      <c r="BG108" s="1178">
        <f t="shared" ref="BG108:BG112" si="25">SUM(P108:AY108)</f>
        <v>99777</v>
      </c>
      <c r="BH108" s="254">
        <v>17800</v>
      </c>
      <c r="BI108" s="1188" t="s">
        <v>12</v>
      </c>
      <c r="BJ108" s="1188" t="s">
        <v>41</v>
      </c>
      <c r="BK108" s="75" t="s">
        <v>2918</v>
      </c>
      <c r="BL108" s="199">
        <v>45080.902777777781</v>
      </c>
      <c r="BM108" s="197">
        <v>45083.457638888889</v>
      </c>
      <c r="BN108" s="197"/>
      <c r="BO108" s="198">
        <v>114047</v>
      </c>
      <c r="BP108" s="65" t="str">
        <f>IF(BO108=0,"0",IF(BO108&lt;=50000,"HANDYMAX",IF(BO108&lt;=58000,"SUPER HANDYMAX",IF(BO108&lt;=80000,"PANAMAX",IF(BO108&gt;=80001,"POST PANAMAX")))))</f>
        <v>POST PANAMAX</v>
      </c>
      <c r="BQ108" s="197"/>
      <c r="BR108" s="197"/>
      <c r="BS108" s="197"/>
      <c r="BT108" s="197"/>
      <c r="BU108" s="197"/>
      <c r="BV108" s="197"/>
      <c r="BW108" s="197"/>
      <c r="WA108" s="65">
        <v>3</v>
      </c>
      <c r="WB108" s="65">
        <v>2</v>
      </c>
      <c r="WE108" s="65">
        <v>1</v>
      </c>
      <c r="WF108" s="65">
        <v>1</v>
      </c>
      <c r="WG108" s="26"/>
      <c r="WH108" s="26"/>
      <c r="WI108" s="26"/>
      <c r="WJ108" s="26"/>
      <c r="WK108" s="26"/>
      <c r="WL108" s="26"/>
      <c r="WM108" s="26"/>
      <c r="WN108" s="26"/>
      <c r="WO108" s="26"/>
      <c r="WP108" s="26"/>
    </row>
    <row r="109" spans="2:619" s="65" customFormat="1" ht="14.4" outlineLevel="1">
      <c r="B109" s="200">
        <v>10</v>
      </c>
      <c r="C109" s="194">
        <v>45078</v>
      </c>
      <c r="D109" s="195" t="s">
        <v>74</v>
      </c>
      <c r="E109" s="72">
        <v>45085</v>
      </c>
      <c r="F109" s="72">
        <v>45094</v>
      </c>
      <c r="G109" s="69" t="s">
        <v>2914</v>
      </c>
      <c r="H109" s="65" t="s">
        <v>1184</v>
      </c>
      <c r="I109" s="65" t="s">
        <v>2020</v>
      </c>
      <c r="J109" s="65" t="s">
        <v>2926</v>
      </c>
      <c r="K109" s="73">
        <v>45090.4375</v>
      </c>
      <c r="L109" s="73">
        <v>45090.440972222219</v>
      </c>
      <c r="M109" s="196">
        <v>45094.319444444445</v>
      </c>
      <c r="N109" s="196">
        <v>45096.270833333336</v>
      </c>
      <c r="O109" s="1188" t="s">
        <v>2916</v>
      </c>
      <c r="P109" s="62">
        <v>15012.258000000002</v>
      </c>
      <c r="Q109" s="62"/>
      <c r="R109" s="62"/>
      <c r="S109" s="62"/>
      <c r="T109" s="62"/>
      <c r="U109" s="62">
        <v>672.18399999999997</v>
      </c>
      <c r="V109" s="62"/>
      <c r="W109" s="62"/>
      <c r="X109" s="62">
        <v>25696.162699999993</v>
      </c>
      <c r="Y109" s="62">
        <v>17119.395299999996</v>
      </c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>
        <v>58500</v>
      </c>
      <c r="BF109" s="62">
        <v>58500</v>
      </c>
      <c r="BG109" s="1178">
        <f>SUM(P109:AY109)</f>
        <v>58499.999999999993</v>
      </c>
      <c r="BH109" s="254">
        <v>10291</v>
      </c>
      <c r="BI109" s="1188" t="s">
        <v>12</v>
      </c>
      <c r="BJ109" s="1188" t="s">
        <v>32</v>
      </c>
      <c r="BK109" s="75" t="s">
        <v>2937</v>
      </c>
      <c r="BL109" s="197">
        <v>45085.450694444444</v>
      </c>
      <c r="BM109" s="197">
        <v>45086.614583333336</v>
      </c>
      <c r="BN109" s="197"/>
      <c r="BO109" s="198">
        <v>76361</v>
      </c>
      <c r="BP109" s="65" t="str">
        <f>IF(BO109=0,"0",IF(BO109&lt;=50000,"HANDYMAX",IF(BO109&lt;=58000,"SUPER HANDYMAX",IF(BO109&lt;=80000,"PANAMAX",IF(BO109&gt;=80001,"POST PANAMAX")))))</f>
        <v>PANAMAX</v>
      </c>
      <c r="BQ109" s="197"/>
      <c r="BR109" s="197"/>
      <c r="BS109" s="197"/>
      <c r="BT109" s="197"/>
      <c r="BU109" s="197"/>
      <c r="BV109" s="197"/>
      <c r="BW109" s="197"/>
      <c r="BX109" s="65" t="s">
        <v>3010</v>
      </c>
      <c r="WB109" s="26"/>
      <c r="WC109" s="26"/>
      <c r="WD109" s="26">
        <v>1</v>
      </c>
      <c r="WE109" s="26"/>
      <c r="WF109" s="26"/>
      <c r="WG109" s="26" t="s">
        <v>2936</v>
      </c>
      <c r="WH109" s="26" t="s">
        <v>2995</v>
      </c>
      <c r="WI109" s="26"/>
      <c r="WJ109" s="26">
        <v>3</v>
      </c>
      <c r="WK109" s="26"/>
    </row>
    <row r="110" spans="2:619" s="65" customFormat="1" ht="14.4" outlineLevel="1">
      <c r="B110" s="200">
        <v>11</v>
      </c>
      <c r="C110" s="194">
        <v>45078</v>
      </c>
      <c r="D110" s="195" t="s">
        <v>73</v>
      </c>
      <c r="E110" s="72">
        <v>45088</v>
      </c>
      <c r="F110" s="72">
        <v>45097</v>
      </c>
      <c r="G110" s="69" t="s">
        <v>2914</v>
      </c>
      <c r="H110" s="65" t="s">
        <v>1891</v>
      </c>
      <c r="I110" s="65" t="s">
        <v>2023</v>
      </c>
      <c r="J110" s="65" t="s">
        <v>2922</v>
      </c>
      <c r="K110" s="73">
        <v>45084.666666666664</v>
      </c>
      <c r="L110" s="73">
        <v>45084.708333333336</v>
      </c>
      <c r="M110" s="196">
        <v>45094.722222222219</v>
      </c>
      <c r="N110" s="196">
        <v>45096.635416666664</v>
      </c>
      <c r="O110" s="1188" t="s">
        <v>2916</v>
      </c>
      <c r="P110" s="62"/>
      <c r="Q110" s="62"/>
      <c r="R110" s="62"/>
      <c r="S110" s="62"/>
      <c r="T110" s="62"/>
      <c r="U110" s="62">
        <v>30981.145200000006</v>
      </c>
      <c r="V110" s="62">
        <v>20963.198800000002</v>
      </c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>
        <v>7331.5309999999999</v>
      </c>
      <c r="AR110" s="62">
        <v>4966.0209999999997</v>
      </c>
      <c r="AS110" s="62"/>
      <c r="AT110" s="62"/>
      <c r="AU110" s="62"/>
      <c r="AV110" s="62"/>
      <c r="AW110" s="62">
        <v>7558.1040000000003</v>
      </c>
      <c r="AX110" s="62"/>
      <c r="AY110" s="62"/>
      <c r="AZ110" s="62"/>
      <c r="BA110" s="62"/>
      <c r="BB110" s="62"/>
      <c r="BC110" s="62"/>
      <c r="BD110" s="62"/>
      <c r="BE110" s="62">
        <v>71800.000000000015</v>
      </c>
      <c r="BF110" s="62">
        <v>71800.000000000015</v>
      </c>
      <c r="BG110" s="1178">
        <f t="shared" si="25"/>
        <v>71800.000000000015</v>
      </c>
      <c r="BH110" s="254">
        <v>14000</v>
      </c>
      <c r="BI110" s="1188" t="s">
        <v>4</v>
      </c>
      <c r="BJ110" s="1188" t="s">
        <v>5</v>
      </c>
      <c r="BK110" s="75" t="s">
        <v>3011</v>
      </c>
      <c r="BL110" s="197">
        <v>45080.588194444441</v>
      </c>
      <c r="BM110" s="197">
        <v>45083.629861111112</v>
      </c>
      <c r="BN110" s="197"/>
      <c r="BO110" s="198">
        <v>74716</v>
      </c>
      <c r="BP110" s="65" t="str">
        <f>IF(BO110=0,"0",IF(BO110&lt;=50000,"HANDYMAX",IF(BO110&lt;=58000,"SUPER HANDYMAX",IF(BO110&lt;=80000,"PANAMAX",IF(BO110&gt;=80001,"POST PANAMAX")))))</f>
        <v>PANAMAX</v>
      </c>
      <c r="BQ110" s="197"/>
      <c r="BR110" s="197"/>
      <c r="BS110" s="197"/>
      <c r="BT110" s="197"/>
      <c r="BU110" s="197"/>
      <c r="BV110" s="197"/>
      <c r="BW110" s="197"/>
      <c r="BX110" s="65" t="s">
        <v>3012</v>
      </c>
      <c r="WA110" s="65">
        <v>2</v>
      </c>
      <c r="WD110" s="65">
        <v>1</v>
      </c>
      <c r="WE110" s="26">
        <v>1</v>
      </c>
      <c r="WF110" s="26"/>
      <c r="WG110" s="26"/>
      <c r="WH110" s="26"/>
      <c r="WI110" s="26"/>
      <c r="WJ110" s="26"/>
      <c r="WK110" s="26"/>
      <c r="WL110" s="26"/>
      <c r="WM110" s="26"/>
      <c r="WN110" s="26"/>
    </row>
    <row r="111" spans="2:619" s="65" customFormat="1" ht="14.4" outlineLevel="1">
      <c r="B111" s="200">
        <v>12</v>
      </c>
      <c r="C111" s="194">
        <v>45078</v>
      </c>
      <c r="D111" s="195" t="s">
        <v>74</v>
      </c>
      <c r="E111" s="72">
        <v>45095</v>
      </c>
      <c r="F111" s="72">
        <v>45104</v>
      </c>
      <c r="G111" s="69" t="s">
        <v>2914</v>
      </c>
      <c r="H111" s="65" t="s">
        <v>1801</v>
      </c>
      <c r="I111" s="65" t="s">
        <v>2026</v>
      </c>
      <c r="J111" s="65" t="s">
        <v>2922</v>
      </c>
      <c r="K111" s="73">
        <v>45095.3125</v>
      </c>
      <c r="L111" s="73">
        <v>45095.275000000001</v>
      </c>
      <c r="M111" s="196">
        <v>45097.583333333336</v>
      </c>
      <c r="N111" s="196">
        <v>45099.5625</v>
      </c>
      <c r="O111" s="1188" t="s">
        <v>2916</v>
      </c>
      <c r="P111" s="62"/>
      <c r="Q111" s="62"/>
      <c r="R111" s="62"/>
      <c r="S111" s="62"/>
      <c r="T111" s="62"/>
      <c r="U111" s="62"/>
      <c r="V111" s="62"/>
      <c r="W111" s="62"/>
      <c r="X111" s="62">
        <v>41959.149600000004</v>
      </c>
      <c r="Y111" s="62">
        <v>1361.7743999999998</v>
      </c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>
        <v>15074.727999999999</v>
      </c>
      <c r="AV111" s="62">
        <v>7504.348</v>
      </c>
      <c r="AW111" s="62"/>
      <c r="AX111" s="62"/>
      <c r="AY111" s="62"/>
      <c r="AZ111" s="62"/>
      <c r="BA111" s="62"/>
      <c r="BB111" s="62"/>
      <c r="BC111" s="62"/>
      <c r="BD111" s="62"/>
      <c r="BE111" s="66">
        <v>65900</v>
      </c>
      <c r="BF111" s="66">
        <v>65900</v>
      </c>
      <c r="BG111" s="1178">
        <f>SUM(P111:AY111)</f>
        <v>65900</v>
      </c>
      <c r="BH111" s="254">
        <v>13000</v>
      </c>
      <c r="BI111" s="1188" t="s">
        <v>12</v>
      </c>
      <c r="BJ111" s="1188" t="s">
        <v>32</v>
      </c>
      <c r="BK111" s="75" t="s">
        <v>2937</v>
      </c>
      <c r="BL111" s="199">
        <v>45090.885416666664</v>
      </c>
      <c r="BM111" s="197">
        <v>45091.511111111111</v>
      </c>
      <c r="BN111" s="197"/>
      <c r="BO111" s="198">
        <v>75466.55</v>
      </c>
      <c r="BP111" s="65" t="str">
        <f>IF(BO111=0,"0",IF(BO111&lt;=50000,"HANDYMAX",IF(BO111&lt;=58000,"SUPER HANDYMAX",IF(BO111&lt;=80000,"PANAMAX",IF(BO111&gt;=80001,"POST PANAMAX")))))</f>
        <v>PANAMAX</v>
      </c>
      <c r="BQ111" s="197"/>
      <c r="BR111" s="197"/>
      <c r="BS111" s="197"/>
      <c r="BT111" s="197"/>
      <c r="BU111" s="197"/>
      <c r="BV111" s="197"/>
      <c r="BW111" s="197"/>
      <c r="WL111" s="26">
        <v>1</v>
      </c>
      <c r="WM111" s="26"/>
      <c r="WN111" s="26"/>
      <c r="WO111" s="26"/>
      <c r="WP111" s="26"/>
      <c r="WQ111" s="26"/>
      <c r="WR111" s="26"/>
      <c r="WS111" s="26"/>
      <c r="WT111" s="26"/>
      <c r="WU111" s="26"/>
    </row>
    <row r="112" spans="2:619" s="65" customFormat="1" ht="14.4" outlineLevel="1">
      <c r="B112" s="200">
        <v>13</v>
      </c>
      <c r="C112" s="194">
        <v>45078</v>
      </c>
      <c r="D112" s="195" t="s">
        <v>74</v>
      </c>
      <c r="E112" s="72">
        <v>45093</v>
      </c>
      <c r="F112" s="72">
        <v>45102</v>
      </c>
      <c r="G112" s="69" t="s">
        <v>107</v>
      </c>
      <c r="H112" s="65" t="s">
        <v>2028</v>
      </c>
      <c r="I112" s="65" t="s">
        <v>2030</v>
      </c>
      <c r="J112" s="65" t="s">
        <v>2933</v>
      </c>
      <c r="K112" s="73">
        <v>45095.041666666664</v>
      </c>
      <c r="L112" s="73">
        <v>45095.041666666664</v>
      </c>
      <c r="M112" s="196">
        <v>45098.645833333336</v>
      </c>
      <c r="N112" s="196">
        <v>45099.850694444445</v>
      </c>
      <c r="O112" s="1188" t="s">
        <v>2916</v>
      </c>
      <c r="P112" s="62">
        <v>11170.54800000001</v>
      </c>
      <c r="Q112" s="62"/>
      <c r="R112" s="62"/>
      <c r="S112" s="62"/>
      <c r="T112" s="62"/>
      <c r="U112" s="62"/>
      <c r="V112" s="62"/>
      <c r="W112" s="62"/>
      <c r="X112" s="62">
        <v>7561.9129999999996</v>
      </c>
      <c r="Y112" s="62">
        <v>47717.538999999997</v>
      </c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>
        <v>66450</v>
      </c>
      <c r="BF112" s="62">
        <v>66450</v>
      </c>
      <c r="BG112" s="1178">
        <f t="shared" si="25"/>
        <v>66450</v>
      </c>
      <c r="BH112" s="254">
        <v>21000</v>
      </c>
      <c r="BI112" s="1188" t="s">
        <v>20</v>
      </c>
      <c r="BJ112" s="1188" t="s">
        <v>2923</v>
      </c>
      <c r="BK112" s="75" t="s">
        <v>2924</v>
      </c>
      <c r="BL112" s="197">
        <v>45092.96597222222</v>
      </c>
      <c r="BM112" s="197">
        <v>45093.393750000003</v>
      </c>
      <c r="BN112" s="197"/>
      <c r="BO112" s="198">
        <v>87594</v>
      </c>
      <c r="BP112" s="65" t="str">
        <f t="shared" si="24"/>
        <v>POST PANAMAX</v>
      </c>
      <c r="BQ112" s="197"/>
      <c r="BR112" s="197"/>
      <c r="BS112" s="197"/>
      <c r="BT112" s="197"/>
      <c r="BU112" s="197"/>
      <c r="BV112" s="197"/>
      <c r="BW112" s="197"/>
      <c r="WJ112" s="26">
        <v>1</v>
      </c>
      <c r="WK112" s="26">
        <v>2</v>
      </c>
      <c r="WL112" s="26">
        <v>3</v>
      </c>
      <c r="WM112" s="26"/>
      <c r="WN112" s="26"/>
      <c r="WO112" s="26"/>
      <c r="WP112" s="26"/>
      <c r="WQ112" s="26"/>
      <c r="WR112" s="26"/>
      <c r="WS112" s="26"/>
    </row>
    <row r="113" spans="2:642" s="65" customFormat="1" ht="14.4" outlineLevel="1">
      <c r="B113" s="200">
        <v>14</v>
      </c>
      <c r="C113" s="194">
        <v>45078</v>
      </c>
      <c r="D113" s="195" t="s">
        <v>74</v>
      </c>
      <c r="E113" s="72">
        <v>45098</v>
      </c>
      <c r="F113" s="72">
        <v>45107</v>
      </c>
      <c r="G113" s="69" t="s">
        <v>2914</v>
      </c>
      <c r="H113" s="65" t="s">
        <v>1827</v>
      </c>
      <c r="I113" s="65" t="s">
        <v>2032</v>
      </c>
      <c r="J113" s="65" t="s">
        <v>2963</v>
      </c>
      <c r="K113" s="73">
        <v>45097.333333333336</v>
      </c>
      <c r="L113" s="73">
        <v>45097.324999999997</v>
      </c>
      <c r="M113" s="196">
        <v>45099.770833333336</v>
      </c>
      <c r="N113" s="196">
        <v>45102.458333333336</v>
      </c>
      <c r="O113" s="1188" t="s">
        <v>2916</v>
      </c>
      <c r="P113" s="62"/>
      <c r="Q113" s="62"/>
      <c r="R113" s="62"/>
      <c r="S113" s="62"/>
      <c r="T113" s="62">
        <v>15044.815999999999</v>
      </c>
      <c r="U113" s="62"/>
      <c r="V113" s="62"/>
      <c r="W113" s="62"/>
      <c r="X113" s="62">
        <v>9071.0660000000007</v>
      </c>
      <c r="Y113" s="62">
        <v>37581.810999999994</v>
      </c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>
        <v>5302.3069999999998</v>
      </c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>
        <v>67000</v>
      </c>
      <c r="BF113" s="62">
        <v>67000</v>
      </c>
      <c r="BG113" s="1178">
        <f>SUM(P113:AY113)</f>
        <v>66999.999999999985</v>
      </c>
      <c r="BH113" s="254">
        <v>25000</v>
      </c>
      <c r="BI113" s="1188" t="s">
        <v>12</v>
      </c>
      <c r="BJ113" s="26" t="s">
        <v>3013</v>
      </c>
      <c r="BK113" s="75" t="s">
        <v>2920</v>
      </c>
      <c r="BL113" s="197">
        <v>45089.732638888891</v>
      </c>
      <c r="BM113" s="197">
        <v>45090.979861111111</v>
      </c>
      <c r="BN113" s="197"/>
      <c r="BO113" s="198">
        <v>76536</v>
      </c>
      <c r="BP113" s="65" t="str">
        <f t="shared" ref="BP113:BP114" si="26">IF(BO113=0,"0",IF(BO113&lt;=50000,"HANDYMAX",IF(BO113&lt;=58000,"SUPER HANDYMAX",IF(BO113&lt;=80000,"PANAMAX",IF(BO113&gt;=80001,"POST PANAMAX")))))</f>
        <v>PANAMAX</v>
      </c>
      <c r="BQ113" s="197"/>
      <c r="BR113" s="197"/>
      <c r="BS113" s="197"/>
      <c r="BT113" s="197"/>
      <c r="BU113" s="197"/>
      <c r="BV113" s="197"/>
      <c r="BW113" s="197"/>
      <c r="BX113" s="65" t="s">
        <v>3014</v>
      </c>
      <c r="WL113" s="65">
        <v>1</v>
      </c>
      <c r="WM113" s="65">
        <v>2</v>
      </c>
      <c r="WO113" s="26">
        <v>3</v>
      </c>
      <c r="WP113" s="26"/>
      <c r="WQ113" s="26"/>
      <c r="WR113" s="26"/>
      <c r="WS113" s="26"/>
      <c r="WT113" s="26"/>
      <c r="WU113" s="26"/>
      <c r="WV113" s="26"/>
      <c r="WW113" s="26"/>
      <c r="WX113" s="26"/>
    </row>
    <row r="114" spans="2:642" s="65" customFormat="1" ht="14.4" outlineLevel="1">
      <c r="B114" s="200">
        <v>15</v>
      </c>
      <c r="C114" s="194">
        <v>45078</v>
      </c>
      <c r="D114" s="195" t="s">
        <v>73</v>
      </c>
      <c r="E114" s="72">
        <v>45093</v>
      </c>
      <c r="F114" s="72">
        <v>45102</v>
      </c>
      <c r="G114" s="69" t="s">
        <v>2914</v>
      </c>
      <c r="H114" s="65" t="s">
        <v>1922</v>
      </c>
      <c r="I114" s="65" t="s">
        <v>2034</v>
      </c>
      <c r="J114" s="65" t="s">
        <v>2965</v>
      </c>
      <c r="K114" s="73">
        <v>45098.708333333336</v>
      </c>
      <c r="L114" s="73">
        <v>45098.695833333331</v>
      </c>
      <c r="M114" s="196">
        <v>45100.885416666664</v>
      </c>
      <c r="N114" s="196">
        <v>45102.680555555555</v>
      </c>
      <c r="O114" s="1188" t="s">
        <v>2916</v>
      </c>
      <c r="P114" s="62"/>
      <c r="Q114" s="62"/>
      <c r="R114" s="62"/>
      <c r="S114" s="62"/>
      <c r="T114" s="62"/>
      <c r="U114" s="62">
        <v>36194.542399999998</v>
      </c>
      <c r="V114" s="62">
        <v>10263.063599999999</v>
      </c>
      <c r="W114" s="62"/>
      <c r="X114" s="62"/>
      <c r="Y114" s="62"/>
      <c r="Z114" s="62"/>
      <c r="AA114" s="62"/>
      <c r="AB114" s="62"/>
      <c r="AC114" s="62"/>
      <c r="AD114" s="62"/>
      <c r="AE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>
        <v>7542.3940000000002</v>
      </c>
      <c r="AV114" s="62"/>
      <c r="AW114" s="62"/>
      <c r="AX114" s="62"/>
      <c r="AY114" s="62"/>
      <c r="AZ114" s="62"/>
      <c r="BA114" s="62"/>
      <c r="BB114" s="62"/>
      <c r="BC114" s="62"/>
      <c r="BD114" s="62"/>
      <c r="BE114" s="62">
        <v>54000</v>
      </c>
      <c r="BF114" s="66">
        <v>54000</v>
      </c>
      <c r="BG114" s="1178">
        <f>SUM(P114:AY114)</f>
        <v>54000</v>
      </c>
      <c r="BH114" s="254">
        <v>12150</v>
      </c>
      <c r="BI114" s="1188" t="s">
        <v>12</v>
      </c>
      <c r="BJ114" s="1188" t="s">
        <v>37</v>
      </c>
      <c r="BK114" s="75" t="s">
        <v>2924</v>
      </c>
      <c r="BL114" s="197">
        <v>45093.760416666664</v>
      </c>
      <c r="BM114" s="197">
        <v>45096.713888888888</v>
      </c>
      <c r="BN114" s="197"/>
      <c r="BO114" s="198">
        <v>77095</v>
      </c>
      <c r="BP114" s="65" t="str">
        <f t="shared" si="26"/>
        <v>PANAMAX</v>
      </c>
      <c r="BQ114" s="197"/>
      <c r="BR114" s="197"/>
      <c r="BS114" s="197"/>
      <c r="BT114" s="197"/>
      <c r="BU114" s="197"/>
      <c r="BV114" s="197"/>
      <c r="BW114" s="197"/>
      <c r="BX114" s="65" t="s">
        <v>3015</v>
      </c>
      <c r="WJ114" s="26">
        <v>1</v>
      </c>
      <c r="WK114" s="26"/>
      <c r="WL114" s="26"/>
      <c r="WM114" s="26"/>
      <c r="WN114" s="26">
        <v>2</v>
      </c>
      <c r="WO114" s="26" t="s">
        <v>2936</v>
      </c>
      <c r="WP114" s="26">
        <v>3</v>
      </c>
      <c r="WQ114" s="26"/>
      <c r="WR114" s="26"/>
      <c r="WS114" s="26"/>
    </row>
    <row r="115" spans="2:642" s="65" customFormat="1" ht="14.4" outlineLevel="1">
      <c r="B115" s="200">
        <v>16</v>
      </c>
      <c r="C115" s="317">
        <v>45108</v>
      </c>
      <c r="D115" s="75" t="s">
        <v>74</v>
      </c>
      <c r="E115" s="72">
        <v>45110</v>
      </c>
      <c r="F115" s="72">
        <v>45119</v>
      </c>
      <c r="G115" s="69" t="s">
        <v>2914</v>
      </c>
      <c r="H115" s="65" t="s">
        <v>1207</v>
      </c>
      <c r="I115" s="65" t="s">
        <v>2037</v>
      </c>
      <c r="J115" s="65" t="s">
        <v>2963</v>
      </c>
      <c r="K115" s="315">
        <v>45103.5</v>
      </c>
      <c r="L115" s="316">
        <v>45103.354166666664</v>
      </c>
      <c r="M115" s="196">
        <v>45104.284722222219</v>
      </c>
      <c r="N115" s="196">
        <v>45106.447916666664</v>
      </c>
      <c r="O115" s="1188" t="s">
        <v>2916</v>
      </c>
      <c r="P115" s="62"/>
      <c r="Q115" s="62"/>
      <c r="R115" s="62"/>
      <c r="S115" s="62"/>
      <c r="T115" s="62">
        <v>15060.620999999999</v>
      </c>
      <c r="U115" s="62"/>
      <c r="V115" s="62"/>
      <c r="W115" s="62"/>
      <c r="X115" s="62"/>
      <c r="Y115" s="62">
        <v>38716.053000000007</v>
      </c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>
        <v>5389</v>
      </c>
      <c r="AQ115" s="62">
        <v>7834.326</v>
      </c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318">
        <v>67000</v>
      </c>
      <c r="BF115" s="318">
        <v>67000</v>
      </c>
      <c r="BG115" s="1178">
        <f>SUM(P115:AY115)</f>
        <v>67000</v>
      </c>
      <c r="BH115" s="69">
        <v>25000</v>
      </c>
      <c r="BI115" s="1188" t="s">
        <v>12</v>
      </c>
      <c r="BJ115" s="1188" t="s">
        <v>41</v>
      </c>
      <c r="BK115" s="75" t="s">
        <v>2920</v>
      </c>
      <c r="BL115" s="197">
        <v>45097.689583333333</v>
      </c>
      <c r="BM115" s="197">
        <v>45100.811111111114</v>
      </c>
      <c r="BN115" s="75"/>
      <c r="BO115" s="198">
        <v>76243</v>
      </c>
      <c r="BP115" s="65" t="str">
        <f>IF(BO115=0,"0",IF(BO115&lt;=50000,"HANDYMAX",IF(BO115&lt;=58000,"SUPER HANDYMAX",IF(BO115&lt;=80000,"PANAMAX",IF(BO115&gt;=80001,"POST PANAMAX")))))</f>
        <v>PANAMAX</v>
      </c>
      <c r="BQ115" s="75"/>
      <c r="BR115" s="75"/>
      <c r="BS115" s="75"/>
      <c r="BT115" s="75"/>
      <c r="BU115" s="75"/>
      <c r="BV115" s="75"/>
      <c r="BW115" s="75"/>
      <c r="BX115" s="65" t="s">
        <v>3016</v>
      </c>
      <c r="CA115" s="84"/>
      <c r="WT115" s="65">
        <v>3</v>
      </c>
      <c r="WU115" s="65">
        <v>2</v>
      </c>
      <c r="WX115" s="65">
        <v>1</v>
      </c>
      <c r="XA115" s="26"/>
      <c r="XB115" s="26"/>
      <c r="XC115" s="26"/>
      <c r="XD115" s="26"/>
      <c r="XE115" s="26"/>
      <c r="XF115" s="26"/>
      <c r="XG115" s="26"/>
      <c r="XH115" s="26"/>
      <c r="XI115" s="26"/>
      <c r="XJ115" s="26"/>
    </row>
    <row r="116" spans="2:642" s="65" customFormat="1" ht="14.4" outlineLevel="1">
      <c r="B116" s="200">
        <v>17</v>
      </c>
      <c r="C116" s="194">
        <v>45078</v>
      </c>
      <c r="D116" s="195" t="s">
        <v>74</v>
      </c>
      <c r="E116" s="72">
        <v>45100</v>
      </c>
      <c r="F116" s="72">
        <v>45109</v>
      </c>
      <c r="G116" s="69" t="s">
        <v>107</v>
      </c>
      <c r="H116" s="65" t="s">
        <v>1345</v>
      </c>
      <c r="I116" s="65" t="s">
        <v>2041</v>
      </c>
      <c r="J116" s="65" t="s">
        <v>2922</v>
      </c>
      <c r="K116" s="73">
        <v>45105.625</v>
      </c>
      <c r="L116" s="73">
        <v>45105.616666666669</v>
      </c>
      <c r="M116" s="73">
        <v>45105.802083333336</v>
      </c>
      <c r="N116" s="196" t="s">
        <v>2040</v>
      </c>
      <c r="O116" s="1188" t="s">
        <v>2916</v>
      </c>
      <c r="P116" s="62">
        <v>5015.2635264103783</v>
      </c>
      <c r="Q116" s="62"/>
      <c r="R116" s="62"/>
      <c r="S116" s="62"/>
      <c r="T116" s="62">
        <v>5565.3846071228481</v>
      </c>
      <c r="U116" s="62"/>
      <c r="V116" s="62"/>
      <c r="W116" s="62"/>
      <c r="X116" s="62">
        <v>47468.457000000002</v>
      </c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>
        <v>7550.8950000000004</v>
      </c>
      <c r="AV116" s="62"/>
      <c r="AW116" s="62"/>
      <c r="AX116" s="62"/>
      <c r="AY116" s="62"/>
      <c r="AZ116" s="62"/>
      <c r="BA116" s="62"/>
      <c r="BB116" s="62"/>
      <c r="BC116" s="62"/>
      <c r="BD116" s="62"/>
      <c r="BE116" s="66">
        <v>65600</v>
      </c>
      <c r="BF116" s="66">
        <v>65600</v>
      </c>
      <c r="BG116" s="1178">
        <f>SUM(P116:AY116)</f>
        <v>65600.000133533234</v>
      </c>
      <c r="BH116" s="254">
        <v>15000</v>
      </c>
      <c r="BI116" s="1188" t="s">
        <v>20</v>
      </c>
      <c r="BJ116" s="1188" t="s">
        <v>2923</v>
      </c>
      <c r="BK116" s="75" t="s">
        <v>2924</v>
      </c>
      <c r="BL116" s="197">
        <v>45098.738194444442</v>
      </c>
      <c r="BM116" s="197">
        <v>45099.738888888889</v>
      </c>
      <c r="BN116" s="197"/>
      <c r="BO116" s="198">
        <v>75474.100000000006</v>
      </c>
      <c r="BP116" s="65" t="str">
        <f>IF(BO116=0,"0",IF(BO116&lt;=50000,"HANDYMAX",IF(BO116&lt;=58000,"SUPER HANDYMAX",IF(BO116&lt;=80000,"PANAMAX",IF(BO116&gt;=80001,"POST PANAMAX")))))</f>
        <v>PANAMAX</v>
      </c>
      <c r="BQ116" s="197"/>
      <c r="BR116" s="197"/>
      <c r="BS116" s="197"/>
      <c r="BT116" s="197"/>
      <c r="BU116" s="197"/>
      <c r="BV116" s="197"/>
      <c r="BW116" s="197"/>
      <c r="BX116" s="65" t="s">
        <v>3017</v>
      </c>
      <c r="WQ116" s="26">
        <v>1</v>
      </c>
      <c r="WR116" s="26"/>
      <c r="WS116" s="26"/>
      <c r="WT116" s="26"/>
      <c r="WU116" s="26"/>
      <c r="WV116" s="26">
        <v>3</v>
      </c>
      <c r="WW116" s="26">
        <v>2</v>
      </c>
      <c r="WX116" s="26">
        <v>2</v>
      </c>
      <c r="WY116" s="26"/>
      <c r="WZ116" s="26"/>
    </row>
    <row r="117" spans="2:642" s="71" customFormat="1" ht="14.4" outlineLevel="1">
      <c r="B117" s="104"/>
      <c r="C117" s="101"/>
      <c r="D117" s="104"/>
      <c r="E117" s="70"/>
      <c r="F117" s="70"/>
      <c r="G117" s="247"/>
      <c r="K117" s="102"/>
      <c r="L117" s="102"/>
      <c r="M117" s="103"/>
      <c r="N117" s="103"/>
      <c r="O117" s="1199" t="s">
        <v>96</v>
      </c>
      <c r="P117" s="458">
        <f>SUM(P100:P116)</f>
        <v>70800.937526410387</v>
      </c>
      <c r="Q117" s="458">
        <f t="shared" ref="Q117:BG117" si="27">SUM(Q100:Q116)</f>
        <v>506</v>
      </c>
      <c r="R117" s="458">
        <f t="shared" si="27"/>
        <v>0</v>
      </c>
      <c r="S117" s="458">
        <f t="shared" si="27"/>
        <v>0</v>
      </c>
      <c r="T117" s="458">
        <f t="shared" si="27"/>
        <v>74264.264607122852</v>
      </c>
      <c r="U117" s="458">
        <f t="shared" si="27"/>
        <v>153383.37700000001</v>
      </c>
      <c r="V117" s="458">
        <f t="shared" si="27"/>
        <v>74303.217999999993</v>
      </c>
      <c r="W117" s="458">
        <f t="shared" si="27"/>
        <v>0</v>
      </c>
      <c r="X117" s="458">
        <f t="shared" si="27"/>
        <v>300955.15179999999</v>
      </c>
      <c r="Y117" s="458">
        <f t="shared" si="27"/>
        <v>285579.97519999999</v>
      </c>
      <c r="Z117" s="458">
        <f t="shared" si="27"/>
        <v>0</v>
      </c>
      <c r="AA117" s="458">
        <f t="shared" si="27"/>
        <v>0</v>
      </c>
      <c r="AB117" s="458">
        <f t="shared" si="27"/>
        <v>0</v>
      </c>
      <c r="AC117" s="458">
        <f t="shared" si="27"/>
        <v>0</v>
      </c>
      <c r="AD117" s="458">
        <f t="shared" si="27"/>
        <v>0</v>
      </c>
      <c r="AE117" s="458">
        <f t="shared" si="27"/>
        <v>0</v>
      </c>
      <c r="AF117" s="458">
        <f t="shared" si="27"/>
        <v>15000</v>
      </c>
      <c r="AG117" s="458">
        <f t="shared" si="27"/>
        <v>15000</v>
      </c>
      <c r="AH117" s="458">
        <f t="shared" si="27"/>
        <v>0</v>
      </c>
      <c r="AI117" s="458">
        <f t="shared" si="27"/>
        <v>0</v>
      </c>
      <c r="AJ117" s="458">
        <f t="shared" si="27"/>
        <v>0</v>
      </c>
      <c r="AK117" s="458">
        <f t="shared" si="27"/>
        <v>0</v>
      </c>
      <c r="AL117" s="458">
        <f t="shared" si="27"/>
        <v>15052.212</v>
      </c>
      <c r="AM117" s="458">
        <f t="shared" si="27"/>
        <v>0</v>
      </c>
      <c r="AN117" s="458">
        <f t="shared" si="27"/>
        <v>31408</v>
      </c>
      <c r="AO117" s="458">
        <f t="shared" si="27"/>
        <v>0</v>
      </c>
      <c r="AP117" s="458">
        <f t="shared" si="27"/>
        <v>5389</v>
      </c>
      <c r="AQ117" s="458">
        <f t="shared" si="27"/>
        <v>15165.857</v>
      </c>
      <c r="AR117" s="458">
        <f t="shared" si="27"/>
        <v>10277.837</v>
      </c>
      <c r="AS117" s="458">
        <f t="shared" si="27"/>
        <v>0</v>
      </c>
      <c r="AT117" s="458">
        <f t="shared" si="27"/>
        <v>12900.89</v>
      </c>
      <c r="AU117" s="458">
        <f t="shared" si="27"/>
        <v>45433.252000000008</v>
      </c>
      <c r="AV117" s="458">
        <f t="shared" si="27"/>
        <v>7504.348</v>
      </c>
      <c r="AW117" s="458">
        <f t="shared" si="27"/>
        <v>15572.768</v>
      </c>
      <c r="AX117" s="458">
        <f t="shared" si="27"/>
        <v>0</v>
      </c>
      <c r="AY117" s="458">
        <f t="shared" si="27"/>
        <v>0</v>
      </c>
      <c r="AZ117" s="458"/>
      <c r="BA117" s="458"/>
      <c r="BB117" s="458"/>
      <c r="BC117" s="458"/>
      <c r="BD117" s="458"/>
      <c r="BE117" s="458">
        <f t="shared" si="27"/>
        <v>1148924</v>
      </c>
      <c r="BF117" s="458">
        <f t="shared" si="27"/>
        <v>1148924</v>
      </c>
      <c r="BG117" s="1179">
        <f t="shared" si="27"/>
        <v>1148497.0881335333</v>
      </c>
      <c r="BH117" s="68"/>
      <c r="BI117" s="1189"/>
      <c r="BJ117" s="1189"/>
      <c r="BK117" s="104"/>
      <c r="BL117" s="105"/>
      <c r="BM117" s="105"/>
      <c r="BN117" s="105"/>
      <c r="BO117" s="106"/>
      <c r="BQ117" s="105"/>
      <c r="BR117" s="105"/>
      <c r="BS117" s="105"/>
      <c r="BT117" s="105"/>
      <c r="BU117" s="105"/>
      <c r="BV117" s="105"/>
      <c r="BW117" s="10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  <c r="JT117" s="65"/>
      <c r="JU117" s="65"/>
      <c r="JV117" s="65"/>
      <c r="JW117" s="65"/>
      <c r="JX117" s="65"/>
      <c r="JY117" s="65"/>
      <c r="JZ117" s="65"/>
      <c r="KA117" s="65"/>
      <c r="KB117" s="65"/>
      <c r="KC117" s="65"/>
      <c r="KD117" s="65"/>
      <c r="KE117" s="65"/>
      <c r="KF117" s="65"/>
      <c r="KG117" s="65"/>
      <c r="KH117" s="65"/>
      <c r="KI117" s="65"/>
      <c r="KJ117" s="65"/>
      <c r="KK117" s="65"/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/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/>
      <c r="LL117" s="65"/>
      <c r="LM117" s="65"/>
      <c r="LN117" s="65"/>
      <c r="LO117" s="65"/>
      <c r="LP117" s="65"/>
      <c r="LQ117" s="65"/>
      <c r="LR117" s="65"/>
      <c r="LS117" s="65"/>
      <c r="LT117" s="65"/>
      <c r="LU117" s="65"/>
      <c r="LV117" s="65"/>
      <c r="LW117" s="65"/>
      <c r="LX117" s="65"/>
      <c r="LY117" s="65"/>
      <c r="LZ117" s="65"/>
      <c r="MA117" s="65"/>
      <c r="MB117" s="65"/>
      <c r="MC117" s="65"/>
      <c r="MD117" s="65"/>
      <c r="ME117" s="65"/>
      <c r="MF117" s="65"/>
      <c r="MG117" s="65"/>
      <c r="MH117" s="65"/>
      <c r="MI117" s="65"/>
      <c r="MJ117" s="65"/>
      <c r="MK117" s="65"/>
      <c r="ML117" s="65"/>
      <c r="MM117" s="65"/>
      <c r="MN117" s="65"/>
      <c r="MO117" s="65"/>
      <c r="MP117" s="65"/>
      <c r="MQ117" s="65"/>
      <c r="MR117" s="65"/>
      <c r="MS117" s="65"/>
      <c r="MT117" s="65"/>
      <c r="MU117" s="65"/>
      <c r="MV117" s="65"/>
      <c r="MW117" s="65"/>
      <c r="MX117" s="65"/>
      <c r="MY117" s="65"/>
      <c r="MZ117" s="65"/>
      <c r="NA117" s="65"/>
      <c r="NB117" s="65"/>
      <c r="NC117" s="65"/>
      <c r="ND117" s="65"/>
      <c r="NE117" s="65"/>
      <c r="NF117" s="65"/>
      <c r="NG117" s="65"/>
      <c r="NH117" s="65"/>
      <c r="NI117" s="65"/>
      <c r="NJ117" s="65"/>
      <c r="NK117" s="65"/>
      <c r="NL117" s="65"/>
      <c r="NM117" s="65"/>
      <c r="NN117" s="65"/>
      <c r="NO117" s="65"/>
      <c r="NP117" s="65"/>
      <c r="NQ117" s="65"/>
      <c r="NR117" s="65"/>
      <c r="NS117" s="65"/>
      <c r="NT117" s="65"/>
      <c r="NU117" s="65"/>
      <c r="NV117" s="65"/>
      <c r="NW117" s="65"/>
      <c r="NX117" s="65"/>
      <c r="NY117" s="65"/>
      <c r="NZ117" s="65"/>
      <c r="OA117" s="65"/>
      <c r="OB117" s="65"/>
      <c r="OC117" s="65"/>
      <c r="OD117" s="65"/>
      <c r="OE117" s="65"/>
      <c r="OF117" s="65"/>
      <c r="OG117" s="65"/>
      <c r="OH117" s="65"/>
      <c r="OI117" s="65"/>
      <c r="OJ117" s="65"/>
      <c r="OK117" s="65"/>
      <c r="OL117" s="65"/>
      <c r="OM117" s="65"/>
      <c r="ON117" s="65"/>
      <c r="OO117" s="65"/>
      <c r="OP117" s="65"/>
      <c r="OQ117" s="65"/>
      <c r="OR117" s="65"/>
      <c r="OS117" s="65"/>
      <c r="OT117" s="65"/>
      <c r="OU117" s="65"/>
      <c r="OV117" s="65"/>
      <c r="OW117" s="65"/>
      <c r="OX117" s="65"/>
      <c r="OY117" s="65"/>
      <c r="OZ117" s="65"/>
      <c r="PA117" s="65"/>
      <c r="PB117" s="65"/>
      <c r="PC117" s="65"/>
      <c r="PD117" s="65"/>
      <c r="PE117" s="65"/>
      <c r="PF117" s="65"/>
      <c r="PG117" s="65"/>
      <c r="PH117" s="65"/>
      <c r="PI117" s="65"/>
      <c r="PJ117" s="65"/>
      <c r="PK117" s="65"/>
      <c r="PL117" s="65"/>
      <c r="PM117" s="65"/>
      <c r="PN117" s="65"/>
      <c r="PO117" s="65"/>
      <c r="PP117" s="65"/>
      <c r="PQ117" s="65"/>
      <c r="PR117" s="65"/>
      <c r="PS117" s="65"/>
      <c r="PT117" s="65"/>
      <c r="PU117" s="65"/>
      <c r="PV117" s="65"/>
      <c r="PW117" s="65"/>
      <c r="PX117" s="65"/>
      <c r="PY117" s="65"/>
      <c r="PZ117" s="65"/>
      <c r="QA117" s="65"/>
      <c r="QB117" s="65"/>
      <c r="QC117" s="65"/>
      <c r="QD117" s="65"/>
      <c r="QE117" s="65"/>
      <c r="QF117" s="65"/>
      <c r="QG117" s="65"/>
      <c r="QH117" s="65"/>
      <c r="QI117" s="65"/>
      <c r="QJ117" s="65"/>
      <c r="QK117" s="65"/>
      <c r="QL117" s="65"/>
      <c r="QM117" s="65"/>
      <c r="QN117" s="65"/>
      <c r="QO117" s="65"/>
      <c r="QP117" s="65"/>
      <c r="QQ117" s="65"/>
      <c r="QR117" s="65"/>
      <c r="QS117" s="65"/>
      <c r="QT117" s="65"/>
      <c r="QU117" s="65"/>
      <c r="QV117" s="65"/>
      <c r="QW117" s="65"/>
      <c r="QX117" s="65"/>
      <c r="QY117" s="65"/>
      <c r="QZ117" s="65"/>
      <c r="RA117" s="65"/>
      <c r="RB117" s="65"/>
      <c r="RC117" s="65"/>
      <c r="RD117" s="65"/>
      <c r="RE117" s="65"/>
      <c r="RF117" s="65"/>
      <c r="RG117" s="65"/>
      <c r="RH117" s="65"/>
      <c r="RI117" s="65"/>
      <c r="RJ117" s="65"/>
      <c r="RK117" s="65"/>
      <c r="RL117" s="65"/>
      <c r="RM117" s="65"/>
      <c r="RN117" s="65"/>
      <c r="RO117" s="65"/>
      <c r="RP117" s="65"/>
      <c r="RQ117" s="65"/>
      <c r="RR117" s="65"/>
      <c r="RS117" s="65"/>
      <c r="RT117" s="65"/>
      <c r="RU117" s="65"/>
      <c r="RV117" s="65"/>
      <c r="RW117" s="65"/>
      <c r="RX117" s="65"/>
      <c r="RY117" s="65"/>
      <c r="RZ117" s="65"/>
      <c r="SA117" s="65"/>
      <c r="SB117" s="65"/>
      <c r="SC117" s="65"/>
      <c r="SD117" s="65"/>
      <c r="SE117" s="65"/>
      <c r="SF117" s="65"/>
      <c r="SG117" s="65"/>
      <c r="SH117" s="65"/>
      <c r="SI117" s="65"/>
      <c r="SJ117" s="65"/>
      <c r="SK117" s="65"/>
      <c r="SL117" s="65"/>
      <c r="SM117" s="65"/>
      <c r="SN117" s="65"/>
      <c r="SO117" s="65"/>
      <c r="SP117" s="65"/>
      <c r="SQ117" s="65"/>
      <c r="SR117" s="65"/>
      <c r="SS117" s="65"/>
      <c r="ST117" s="65"/>
      <c r="SU117" s="65"/>
      <c r="SV117" s="65"/>
      <c r="SW117" s="65"/>
      <c r="SX117" s="65"/>
      <c r="SY117" s="65"/>
      <c r="SZ117" s="65"/>
      <c r="TA117" s="65"/>
      <c r="TB117" s="65"/>
      <c r="TC117" s="65"/>
      <c r="TD117" s="65"/>
      <c r="TE117" s="65"/>
      <c r="TF117" s="65"/>
      <c r="TG117" s="65"/>
      <c r="TH117" s="65"/>
      <c r="TI117" s="65"/>
      <c r="TJ117" s="65"/>
      <c r="TK117" s="65"/>
      <c r="TL117" s="65"/>
      <c r="TM117" s="65"/>
      <c r="TN117" s="65"/>
      <c r="TO117" s="65"/>
      <c r="TP117" s="65"/>
      <c r="TQ117" s="65"/>
      <c r="TR117" s="65"/>
      <c r="TS117" s="65"/>
      <c r="TT117" s="65"/>
      <c r="TU117" s="65"/>
      <c r="TV117" s="65"/>
      <c r="TW117" s="65"/>
      <c r="TX117" s="65"/>
      <c r="TY117" s="65"/>
      <c r="TZ117" s="65"/>
      <c r="UA117" s="65"/>
      <c r="UB117" s="65"/>
      <c r="UC117" s="65"/>
      <c r="UD117" s="65"/>
      <c r="UE117" s="65"/>
      <c r="UF117" s="65"/>
      <c r="UG117" s="65"/>
      <c r="UH117" s="65"/>
      <c r="UI117" s="65"/>
      <c r="UJ117" s="65"/>
      <c r="UK117" s="65"/>
      <c r="UL117" s="65"/>
      <c r="UM117" s="65"/>
      <c r="UN117" s="65"/>
      <c r="UO117" s="65"/>
      <c r="UP117" s="65"/>
      <c r="UQ117" s="65"/>
      <c r="UR117" s="65"/>
      <c r="US117" s="65"/>
      <c r="UT117" s="65"/>
      <c r="UU117" s="65"/>
      <c r="UV117" s="65"/>
      <c r="UW117" s="65"/>
      <c r="UX117" s="65"/>
      <c r="UY117" s="65"/>
      <c r="UZ117" s="65"/>
      <c r="VA117" s="65"/>
      <c r="VB117" s="65"/>
      <c r="VC117" s="65"/>
      <c r="VD117" s="65"/>
      <c r="VE117" s="65"/>
      <c r="VF117" s="65"/>
      <c r="VG117" s="65"/>
      <c r="VH117" s="65"/>
      <c r="VI117" s="65"/>
      <c r="VJ117" s="65"/>
      <c r="VK117" s="65"/>
      <c r="VL117" s="65"/>
      <c r="VM117" s="65"/>
      <c r="VN117" s="65"/>
      <c r="VO117" s="65"/>
      <c r="VP117" s="65"/>
      <c r="VQ117" s="65"/>
      <c r="VR117" s="65"/>
      <c r="VS117" s="65"/>
    </row>
    <row r="118" spans="2:642" s="99" customFormat="1" ht="14.4" outlineLevel="1">
      <c r="B118" s="108"/>
      <c r="C118" s="107"/>
      <c r="D118" s="108"/>
      <c r="E118" s="109"/>
      <c r="F118" s="109"/>
      <c r="K118" s="110"/>
      <c r="L118" s="110"/>
      <c r="M118" s="111"/>
      <c r="N118" s="111"/>
      <c r="O118" s="1185"/>
      <c r="P118" s="1384">
        <f>SUM(P117:T117)</f>
        <v>145571.20213353325</v>
      </c>
      <c r="Q118" s="1385"/>
      <c r="R118" s="1385"/>
      <c r="S118" s="1385"/>
      <c r="T118" s="1386"/>
      <c r="U118" s="1384">
        <f>SUM(U117:W117)</f>
        <v>227686.595</v>
      </c>
      <c r="V118" s="1385"/>
      <c r="W118" s="1386"/>
      <c r="X118" s="1384">
        <f>SUM(X117:Y117)</f>
        <v>586535.12699999998</v>
      </c>
      <c r="Y118" s="1386"/>
      <c r="Z118" s="459">
        <f>Z117</f>
        <v>0</v>
      </c>
      <c r="AA118" s="459">
        <f>AA117</f>
        <v>0</v>
      </c>
      <c r="AB118" s="1384">
        <f>SUM(AB117:AY117)</f>
        <v>188704.16400000002</v>
      </c>
      <c r="AC118" s="1385"/>
      <c r="AD118" s="1385"/>
      <c r="AE118" s="1385"/>
      <c r="AF118" s="1385"/>
      <c r="AG118" s="1385"/>
      <c r="AH118" s="1385"/>
      <c r="AI118" s="1385"/>
      <c r="AJ118" s="1385"/>
      <c r="AK118" s="1385"/>
      <c r="AL118" s="1385"/>
      <c r="AM118" s="1385"/>
      <c r="AN118" s="1385"/>
      <c r="AO118" s="1385"/>
      <c r="AP118" s="1385"/>
      <c r="AQ118" s="1385"/>
      <c r="AR118" s="1385"/>
      <c r="AS118" s="1385"/>
      <c r="AT118" s="1385"/>
      <c r="AU118" s="1385"/>
      <c r="AV118" s="1385"/>
      <c r="AW118" s="1385"/>
      <c r="AX118" s="1385"/>
      <c r="AY118" s="1386"/>
      <c r="AZ118" s="394"/>
      <c r="BA118" s="394"/>
      <c r="BB118" s="394"/>
      <c r="BC118" s="394"/>
      <c r="BD118" s="394"/>
      <c r="BE118" s="460"/>
      <c r="BF118" s="460"/>
      <c r="BG118" s="1179"/>
      <c r="BH118" s="112"/>
      <c r="BI118" s="1190"/>
      <c r="BJ118" s="1190"/>
      <c r="BK118" s="108"/>
      <c r="BL118" s="113"/>
      <c r="BM118" s="113"/>
      <c r="BN118" s="113"/>
      <c r="BO118" s="114"/>
      <c r="BQ118" s="113"/>
      <c r="BR118" s="113"/>
      <c r="BS118" s="113"/>
      <c r="BT118" s="113"/>
      <c r="BU118" s="113"/>
      <c r="BV118" s="113"/>
      <c r="BW118" s="113"/>
    </row>
    <row r="119" spans="2:642" ht="14.4" outlineLevel="1"/>
    <row r="120" spans="2:642" ht="14.4" outlineLevel="1">
      <c r="B120" s="99" t="s">
        <v>2884</v>
      </c>
    </row>
    <row r="121" spans="2:642" s="65" customFormat="1" ht="14.4" outlineLevel="1">
      <c r="B121" s="200">
        <v>1</v>
      </c>
      <c r="C121" s="194">
        <v>45078</v>
      </c>
      <c r="D121" s="195" t="s">
        <v>2983</v>
      </c>
      <c r="E121" s="72">
        <v>45098</v>
      </c>
      <c r="F121" s="72">
        <v>45107</v>
      </c>
      <c r="G121" s="69" t="s">
        <v>107</v>
      </c>
      <c r="H121" s="65" t="s">
        <v>3018</v>
      </c>
      <c r="I121" s="65" t="s">
        <v>3019</v>
      </c>
      <c r="J121" s="65" t="s">
        <v>2922</v>
      </c>
      <c r="K121" s="73">
        <v>45104.958333333336</v>
      </c>
      <c r="L121" s="73">
        <v>45104.845833333333</v>
      </c>
      <c r="M121" s="196">
        <v>45109.286111111112</v>
      </c>
      <c r="N121" s="196">
        <v>45111.271527777775</v>
      </c>
      <c r="O121" s="1188" t="s">
        <v>2916</v>
      </c>
      <c r="P121" s="62"/>
      <c r="Q121" s="62">
        <v>5005.62</v>
      </c>
      <c r="R121" s="62"/>
      <c r="S121" s="62"/>
      <c r="T121" s="62">
        <v>26028.705000000002</v>
      </c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>
        <v>20823.798000000003</v>
      </c>
      <c r="AS121" s="62"/>
      <c r="AT121" s="62"/>
      <c r="AU121" s="62">
        <v>7738.2489999999998</v>
      </c>
      <c r="AV121" s="62"/>
      <c r="AW121" s="62">
        <v>15003.628000000001</v>
      </c>
      <c r="AX121" s="62"/>
      <c r="AY121" s="62"/>
      <c r="AZ121" s="62"/>
      <c r="BA121" s="62"/>
      <c r="BB121" s="62"/>
      <c r="BC121" s="62"/>
      <c r="BD121" s="62"/>
      <c r="BE121" s="66">
        <v>74600</v>
      </c>
      <c r="BF121" s="66">
        <v>74600</v>
      </c>
      <c r="BG121" s="1178">
        <f>SUM(P121:AY121)</f>
        <v>74600</v>
      </c>
      <c r="BH121" s="254">
        <v>13000</v>
      </c>
      <c r="BI121" s="1188" t="s">
        <v>20</v>
      </c>
      <c r="BJ121" s="1188" t="s">
        <v>2923</v>
      </c>
      <c r="BK121" s="75" t="s">
        <v>2927</v>
      </c>
      <c r="BL121" s="197">
        <v>45094.591666666667</v>
      </c>
      <c r="BM121" s="199">
        <v>45097.484722222223</v>
      </c>
      <c r="BN121" s="197"/>
      <c r="BO121" s="198">
        <v>76633</v>
      </c>
      <c r="BP121" s="65" t="str">
        <f>IF(BO121=0,"0",IF(BO121&lt;=50000,"HANDYMAX",IF(BO121&lt;=58000,"SUPER HANDYMAX",IF(BO121&lt;=80000,"PANAMAX",IF(BO121&gt;=80001,"POST PANAMAX")))))</f>
        <v>PANAMAX</v>
      </c>
      <c r="BQ121" s="197"/>
      <c r="BR121" s="197"/>
      <c r="BS121" s="197"/>
      <c r="BT121" s="197"/>
      <c r="BU121" s="197"/>
      <c r="BV121" s="197"/>
      <c r="BW121" s="197"/>
      <c r="WO121" s="26"/>
      <c r="WP121" s="26"/>
      <c r="WQ121" s="26"/>
      <c r="WR121" s="26"/>
      <c r="WS121" s="26"/>
      <c r="WT121" s="26"/>
      <c r="WU121" s="26">
        <v>1</v>
      </c>
      <c r="WV121" s="26"/>
      <c r="WW121" s="26"/>
      <c r="WX121" s="26"/>
    </row>
    <row r="122" spans="2:642" s="65" customFormat="1" ht="14.4" outlineLevel="1">
      <c r="B122" s="290">
        <v>2</v>
      </c>
      <c r="C122" s="194">
        <v>45108</v>
      </c>
      <c r="D122" s="75" t="s">
        <v>74</v>
      </c>
      <c r="E122" s="72">
        <v>45105</v>
      </c>
      <c r="F122" s="72">
        <v>45114</v>
      </c>
      <c r="G122" s="69" t="s">
        <v>2914</v>
      </c>
      <c r="H122" s="65" t="s">
        <v>1852</v>
      </c>
      <c r="I122" s="65" t="s">
        <v>1166</v>
      </c>
      <c r="J122" s="65" t="s">
        <v>2922</v>
      </c>
      <c r="K122" s="315">
        <v>45107.25</v>
      </c>
      <c r="L122" s="315">
        <v>45107.256944444445</v>
      </c>
      <c r="M122" s="196">
        <v>45109.708333333336</v>
      </c>
      <c r="N122" s="196">
        <v>45112.083333333336</v>
      </c>
      <c r="O122" s="1188" t="s">
        <v>2916</v>
      </c>
      <c r="P122" s="62"/>
      <c r="Q122" s="62"/>
      <c r="R122" s="62"/>
      <c r="S122" s="62"/>
      <c r="T122" s="62">
        <v>7528.8270000000002</v>
      </c>
      <c r="U122" s="62"/>
      <c r="V122" s="62"/>
      <c r="W122" s="62"/>
      <c r="X122" s="62">
        <v>10035.335999999999</v>
      </c>
      <c r="Y122" s="62">
        <v>50461.837</v>
      </c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>
        <v>7574</v>
      </c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318">
        <v>75600</v>
      </c>
      <c r="BF122" s="318">
        <v>75600</v>
      </c>
      <c r="BG122" s="1178">
        <f>SUM(P122:AY122)</f>
        <v>75600</v>
      </c>
      <c r="BH122" s="69">
        <v>15000</v>
      </c>
      <c r="BI122" s="1188" t="s">
        <v>12</v>
      </c>
      <c r="BJ122" s="1188" t="s">
        <v>32</v>
      </c>
      <c r="BK122" s="75" t="s">
        <v>2937</v>
      </c>
      <c r="BL122" s="197">
        <v>45097.701388888891</v>
      </c>
      <c r="BM122" s="197">
        <v>45102.426388888889</v>
      </c>
      <c r="BN122" s="75"/>
      <c r="BO122" s="198">
        <v>77679</v>
      </c>
      <c r="BP122" s="65" t="str">
        <f>IF(BO122=0,"0",IF(BO122&lt;=50000,"HANDYMAX",IF(BO122&lt;=58000,"SUPER HANDYMAX",IF(BO122&lt;=80000,"PANAMAX",IF(BO122&gt;=80001,"POST PANAMAX")))))</f>
        <v>PANAMAX</v>
      </c>
      <c r="BQ122" s="75"/>
      <c r="BR122" s="75"/>
      <c r="BS122" s="75"/>
      <c r="BT122" s="75"/>
      <c r="BU122" s="75"/>
      <c r="BV122" s="75"/>
      <c r="BW122" s="75"/>
      <c r="CA122" s="84"/>
      <c r="WV122" s="26">
        <v>1</v>
      </c>
      <c r="WW122" s="26" t="s">
        <v>2957</v>
      </c>
      <c r="WX122" s="26" t="s">
        <v>2939</v>
      </c>
      <c r="WY122" s="26"/>
      <c r="WZ122" s="26"/>
      <c r="XA122" s="26"/>
      <c r="XB122" s="26"/>
      <c r="XC122" s="26"/>
      <c r="XD122" s="26"/>
      <c r="XE122" s="26"/>
    </row>
    <row r="123" spans="2:642" s="65" customFormat="1" ht="14.4" outlineLevel="1">
      <c r="B123" s="200">
        <v>3</v>
      </c>
      <c r="C123" s="194">
        <v>45078</v>
      </c>
      <c r="D123" s="195" t="s">
        <v>73</v>
      </c>
      <c r="E123" s="72">
        <v>45101</v>
      </c>
      <c r="F123" s="72">
        <v>45110</v>
      </c>
      <c r="G123" s="69" t="s">
        <v>2914</v>
      </c>
      <c r="H123" s="65" t="s">
        <v>1763</v>
      </c>
      <c r="I123" s="65" t="s">
        <v>2045</v>
      </c>
      <c r="J123" s="65" t="s">
        <v>2933</v>
      </c>
      <c r="K123" s="73">
        <v>45106.104166666664</v>
      </c>
      <c r="L123" s="73">
        <v>45106.1</v>
      </c>
      <c r="M123" s="196">
        <v>45110.729166666664</v>
      </c>
      <c r="N123" s="196">
        <v>45113.069444444445</v>
      </c>
      <c r="O123" s="1188" t="s">
        <v>2916</v>
      </c>
      <c r="P123" s="62"/>
      <c r="Q123" s="62"/>
      <c r="R123" s="62"/>
      <c r="S123" s="62"/>
      <c r="T123" s="62"/>
      <c r="U123" s="62">
        <v>50149.764600000002</v>
      </c>
      <c r="V123" s="62">
        <v>7584.5393999999997</v>
      </c>
      <c r="W123" s="62"/>
      <c r="X123" s="62">
        <v>7639.6959999999999</v>
      </c>
      <c r="Y123" s="62"/>
      <c r="Z123" s="62"/>
      <c r="AA123" s="62"/>
      <c r="AB123" s="62"/>
      <c r="AC123" s="62"/>
      <c r="AD123" s="62"/>
      <c r="AE123" s="62"/>
      <c r="AF123" s="62">
        <v>7500</v>
      </c>
      <c r="AG123" s="62"/>
      <c r="AH123" s="62"/>
      <c r="AI123" s="62"/>
      <c r="AJ123" s="62"/>
      <c r="AK123" s="62"/>
      <c r="AL123" s="62"/>
      <c r="AM123" s="62"/>
      <c r="AN123" s="62">
        <v>5111</v>
      </c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6">
        <v>77985</v>
      </c>
      <c r="BF123" s="66">
        <v>77985</v>
      </c>
      <c r="BG123" s="1178">
        <f>SUM(P123:AY123)</f>
        <v>77985</v>
      </c>
      <c r="BH123" s="254">
        <v>17500</v>
      </c>
      <c r="BI123" s="1188" t="s">
        <v>4</v>
      </c>
      <c r="BJ123" s="1188" t="s">
        <v>5</v>
      </c>
      <c r="BK123" s="75" t="s">
        <v>2924</v>
      </c>
      <c r="BL123" s="197">
        <v>45091.713888888888</v>
      </c>
      <c r="BM123" s="197">
        <v>45092.4375</v>
      </c>
      <c r="BN123" s="197"/>
      <c r="BO123" s="198">
        <v>88876</v>
      </c>
      <c r="BP123" s="65" t="str">
        <f>IF(BO123=0,"0",IF(BO123&lt;=50000,"HANDYMAX",IF(BO123&lt;=58000,"SUPER HANDYMAX",IF(BO123&lt;=80000,"PANAMAX",IF(BO123&gt;=80001,"POST PANAMAX")))))</f>
        <v>POST PANAMAX</v>
      </c>
      <c r="BQ123" s="197"/>
      <c r="BR123" s="197"/>
      <c r="BS123" s="197"/>
      <c r="BT123" s="197"/>
      <c r="BU123" s="197"/>
      <c r="BV123" s="197"/>
      <c r="BW123" s="197"/>
      <c r="BX123" s="65" t="s">
        <v>3020</v>
      </c>
      <c r="WR123" s="26"/>
      <c r="WS123" s="26"/>
      <c r="WT123" s="26"/>
      <c r="WU123" s="26"/>
      <c r="WV123" s="26"/>
      <c r="WW123" s="26">
        <v>2</v>
      </c>
      <c r="WX123" s="26"/>
      <c r="WY123" s="26">
        <v>1</v>
      </c>
      <c r="WZ123" s="26"/>
      <c r="XA123" s="26"/>
    </row>
    <row r="124" spans="2:642" s="65" customFormat="1" ht="14.4" outlineLevel="1">
      <c r="B124" s="200">
        <v>4</v>
      </c>
      <c r="C124" s="194">
        <v>45078</v>
      </c>
      <c r="D124" s="195" t="s">
        <v>85</v>
      </c>
      <c r="E124" s="72">
        <v>45097</v>
      </c>
      <c r="F124" s="72">
        <v>45106</v>
      </c>
      <c r="G124" s="69" t="s">
        <v>2942</v>
      </c>
      <c r="H124" s="65" t="s">
        <v>1817</v>
      </c>
      <c r="I124" s="65" t="s">
        <v>2047</v>
      </c>
      <c r="J124" s="65" t="s">
        <v>2943</v>
      </c>
      <c r="K124" s="73">
        <v>45103.458333333336</v>
      </c>
      <c r="L124" s="73">
        <v>45103.425000000003</v>
      </c>
      <c r="M124" s="73">
        <v>45103.8125</v>
      </c>
      <c r="N124" s="196">
        <v>45113.854166666664</v>
      </c>
      <c r="O124" s="1188" t="s">
        <v>2916</v>
      </c>
      <c r="P124" s="62"/>
      <c r="Q124" s="62"/>
      <c r="R124" s="62"/>
      <c r="S124" s="62"/>
      <c r="T124" s="62"/>
      <c r="U124" s="62"/>
      <c r="V124" s="62"/>
      <c r="W124" s="62"/>
      <c r="X124" s="62"/>
      <c r="Y124" s="62">
        <v>22527.249</v>
      </c>
      <c r="Z124" s="62">
        <v>29822.751</v>
      </c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6">
        <v>52350</v>
      </c>
      <c r="BF124" s="66">
        <v>52350</v>
      </c>
      <c r="BG124" s="1178">
        <f>SUM(P124:AY124)</f>
        <v>52350</v>
      </c>
      <c r="BH124" s="254">
        <v>13500</v>
      </c>
      <c r="BI124" s="1188" t="s">
        <v>16</v>
      </c>
      <c r="BJ124" s="1188" t="s">
        <v>45</v>
      </c>
      <c r="BK124" s="75" t="s">
        <v>2944</v>
      </c>
      <c r="BL124" s="197">
        <v>45093.751388888886</v>
      </c>
      <c r="BM124" s="197">
        <v>45096.476388888892</v>
      </c>
      <c r="BN124" s="197"/>
      <c r="BO124" s="198">
        <v>56892</v>
      </c>
      <c r="BP124" s="65" t="str">
        <f>IF(BO124=0,"0",IF(BO124&lt;=50000,"HANDYMAX",IF(BO124&lt;=58000,"SUPER HANDYMAX",IF(BO124&lt;=80000,"PANAMAX",IF(BO124&gt;=80001,"POST PANAMAX")))))</f>
        <v>SUPER HANDYMAX</v>
      </c>
      <c r="BQ124" s="197"/>
      <c r="BR124" s="197"/>
      <c r="BS124" s="197"/>
      <c r="BT124" s="197"/>
      <c r="BU124" s="197"/>
      <c r="BV124" s="197"/>
      <c r="BW124" s="197"/>
      <c r="BX124" s="65" t="s">
        <v>3021</v>
      </c>
      <c r="WN124" s="26">
        <v>1</v>
      </c>
      <c r="WO124" s="26">
        <v>2</v>
      </c>
      <c r="WP124" s="26"/>
      <c r="WQ124" s="26"/>
      <c r="WR124" s="26">
        <v>3</v>
      </c>
      <c r="WS124" s="26">
        <v>4</v>
      </c>
      <c r="WT124" s="26">
        <v>5</v>
      </c>
      <c r="WU124" s="26"/>
      <c r="WV124" s="26"/>
      <c r="WW124" s="26"/>
    </row>
    <row r="125" spans="2:642" s="65" customFormat="1" ht="14.4" outlineLevel="1">
      <c r="B125" s="200">
        <v>5</v>
      </c>
      <c r="C125" s="194">
        <v>45078</v>
      </c>
      <c r="D125" s="195" t="s">
        <v>73</v>
      </c>
      <c r="E125" s="72">
        <v>45099</v>
      </c>
      <c r="F125" s="72">
        <v>45110</v>
      </c>
      <c r="G125" s="69" t="s">
        <v>2914</v>
      </c>
      <c r="H125" s="65" t="s">
        <v>944</v>
      </c>
      <c r="I125" s="65" t="s">
        <v>2049</v>
      </c>
      <c r="J125" s="65" t="s">
        <v>2915</v>
      </c>
      <c r="K125" s="73">
        <v>45111.458333333336</v>
      </c>
      <c r="L125" s="73">
        <v>45111.458333333336</v>
      </c>
      <c r="M125" s="196">
        <v>45113.194444444445</v>
      </c>
      <c r="N125" s="196">
        <v>45115.826388888891</v>
      </c>
      <c r="O125" s="1188" t="s">
        <v>2916</v>
      </c>
      <c r="P125" s="62"/>
      <c r="Q125" s="62"/>
      <c r="R125" s="62"/>
      <c r="S125" s="62"/>
      <c r="T125" s="62"/>
      <c r="U125" s="62">
        <v>44578.292000000016</v>
      </c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>
        <v>7571.7079999999996</v>
      </c>
      <c r="AV125" s="62"/>
      <c r="AW125" s="62"/>
      <c r="AX125" s="62"/>
      <c r="AY125" s="62"/>
      <c r="AZ125" s="62"/>
      <c r="BA125" s="62"/>
      <c r="BB125" s="62"/>
      <c r="BC125" s="62"/>
      <c r="BD125" s="62"/>
      <c r="BE125" s="66">
        <v>52150</v>
      </c>
      <c r="BF125" s="66">
        <v>52150</v>
      </c>
      <c r="BG125" s="1178">
        <f t="shared" ref="BG125" si="28">SUM(P125:AY125)</f>
        <v>52150.000000000015</v>
      </c>
      <c r="BH125" s="254">
        <v>12000</v>
      </c>
      <c r="BI125" s="1188" t="s">
        <v>3022</v>
      </c>
      <c r="BJ125" s="1188" t="s">
        <v>13</v>
      </c>
      <c r="BK125" s="75" t="s">
        <v>2927</v>
      </c>
      <c r="BL125" s="197">
        <v>45105.541666666664</v>
      </c>
      <c r="BM125" s="197">
        <v>45105.541666666664</v>
      </c>
      <c r="BN125" s="197"/>
      <c r="BO125" s="198">
        <v>52300</v>
      </c>
      <c r="BP125" s="65" t="str">
        <f t="shared" ref="BP125" si="29">IF(BO125=0,"0",IF(BO125&lt;=50000,"HANDYMAX",IF(BO125&lt;=58000,"SUPER HANDYMAX",IF(BO125&lt;=80000,"PANAMAX",IF(BO125&gt;=80001,"POST PANAMAX")))))</f>
        <v>SUPER HANDYMAX</v>
      </c>
      <c r="BQ125" s="197"/>
      <c r="BR125" s="197"/>
      <c r="BS125" s="197"/>
      <c r="BT125" s="197"/>
      <c r="BU125" s="197"/>
      <c r="BV125" s="197"/>
      <c r="BW125" s="197"/>
      <c r="BX125" s="65" t="s">
        <v>3023</v>
      </c>
      <c r="WP125" s="26"/>
      <c r="WQ125" s="26"/>
      <c r="WR125" s="26"/>
      <c r="WS125" s="26"/>
      <c r="WT125" s="26"/>
      <c r="WU125" s="26"/>
      <c r="WV125" s="26"/>
      <c r="WW125" s="26"/>
      <c r="WX125" s="26">
        <v>1</v>
      </c>
      <c r="WY125" s="26"/>
      <c r="WZ125" s="26">
        <v>2</v>
      </c>
      <c r="XA125" s="26">
        <v>3</v>
      </c>
      <c r="XB125" s="65">
        <v>4</v>
      </c>
    </row>
    <row r="126" spans="2:642" s="65" customFormat="1" ht="14.4" outlineLevel="1">
      <c r="B126" s="75">
        <v>6</v>
      </c>
      <c r="C126" s="194">
        <v>45108</v>
      </c>
      <c r="D126" s="75" t="s">
        <v>74</v>
      </c>
      <c r="E126" s="72">
        <v>45112</v>
      </c>
      <c r="F126" s="72">
        <v>45121</v>
      </c>
      <c r="G126" s="69" t="s">
        <v>107</v>
      </c>
      <c r="H126" s="65" t="s">
        <v>1751</v>
      </c>
      <c r="I126" s="65" t="s">
        <v>2054</v>
      </c>
      <c r="J126" s="65" t="s">
        <v>2922</v>
      </c>
      <c r="K126" s="315">
        <v>45115.083333333336</v>
      </c>
      <c r="L126" s="315">
        <v>45115.041666666664</v>
      </c>
      <c r="M126" s="196">
        <v>45116.024305555555</v>
      </c>
      <c r="N126" s="196">
        <v>45117.51666666667</v>
      </c>
      <c r="O126" s="1188" t="s">
        <v>2916</v>
      </c>
      <c r="P126" s="62"/>
      <c r="Q126" s="62"/>
      <c r="R126" s="62"/>
      <c r="S126" s="62"/>
      <c r="T126" s="62">
        <v>3019.6960000000108</v>
      </c>
      <c r="U126" s="62"/>
      <c r="V126" s="62"/>
      <c r="W126" s="62"/>
      <c r="X126" s="62">
        <v>42395.131000000001</v>
      </c>
      <c r="Y126" s="62">
        <v>24380.616999999998</v>
      </c>
      <c r="Z126" s="62"/>
      <c r="AA126" s="62"/>
      <c r="AB126" s="62"/>
      <c r="AC126" s="62">
        <v>5009.8490000000002</v>
      </c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>
        <v>7694.7070000000003</v>
      </c>
      <c r="AW126" s="62"/>
      <c r="AX126" s="62"/>
      <c r="AY126" s="62"/>
      <c r="AZ126" s="62"/>
      <c r="BA126" s="62"/>
      <c r="BB126" s="62"/>
      <c r="BC126" s="62"/>
      <c r="BD126" s="62"/>
      <c r="BE126" s="318">
        <v>82500</v>
      </c>
      <c r="BF126" s="318">
        <v>82500</v>
      </c>
      <c r="BG126" s="1178">
        <f t="shared" ref="BG126" si="30">SUM(P126:AY126)</f>
        <v>82500.000000000015</v>
      </c>
      <c r="BH126" s="69">
        <v>13000</v>
      </c>
      <c r="BI126" s="1188" t="s">
        <v>20</v>
      </c>
      <c r="BJ126" s="1188" t="s">
        <v>2923</v>
      </c>
      <c r="BK126" s="75" t="s">
        <v>2924</v>
      </c>
      <c r="BL126" s="197">
        <v>45107.956250000003</v>
      </c>
      <c r="BM126" s="197">
        <v>45109.666666666664</v>
      </c>
      <c r="BN126" s="75"/>
      <c r="BO126" s="198">
        <v>92667</v>
      </c>
      <c r="BP126" s="65" t="str">
        <f t="shared" ref="BP126" si="31">IF(BO126=0,"0",IF(BO126&lt;=50000,"HANDYMAX",IF(BO126&lt;=58000,"SUPER HANDYMAX",IF(BO126&lt;=80000,"PANAMAX",IF(BO126&gt;=80001,"POST PANAMAX")))))</f>
        <v>POST PANAMAX</v>
      </c>
      <c r="BQ126" s="75"/>
      <c r="BR126" s="75"/>
      <c r="BS126" s="75"/>
      <c r="BT126" s="75"/>
      <c r="BU126" s="75"/>
      <c r="BV126" s="75"/>
      <c r="BW126" s="75"/>
      <c r="BX126" s="65" t="s">
        <v>3024</v>
      </c>
      <c r="CA126" s="84"/>
      <c r="XC126" s="26">
        <v>1</v>
      </c>
      <c r="XD126" s="26"/>
      <c r="XE126" s="26">
        <v>2</v>
      </c>
      <c r="XF126" s="26">
        <v>3</v>
      </c>
      <c r="XG126" s="26"/>
      <c r="XH126" s="26"/>
      <c r="XI126" s="26"/>
      <c r="XJ126" s="26"/>
      <c r="XK126" s="26"/>
      <c r="XL126" s="26"/>
    </row>
    <row r="127" spans="2:642" s="65" customFormat="1" ht="14.4" outlineLevel="1">
      <c r="B127" s="75">
        <v>7</v>
      </c>
      <c r="C127" s="194">
        <v>45108</v>
      </c>
      <c r="D127" s="75" t="s">
        <v>74</v>
      </c>
      <c r="E127" s="72">
        <v>45118</v>
      </c>
      <c r="F127" s="72">
        <v>45127</v>
      </c>
      <c r="G127" s="69" t="s">
        <v>2914</v>
      </c>
      <c r="H127" s="65" t="s">
        <v>2060</v>
      </c>
      <c r="I127" s="65" t="s">
        <v>2062</v>
      </c>
      <c r="J127" s="65" t="s">
        <v>2933</v>
      </c>
      <c r="K127" s="315">
        <v>45118.375</v>
      </c>
      <c r="L127" s="315">
        <v>45118.384722222225</v>
      </c>
      <c r="M127" s="196">
        <v>45120.447916666664</v>
      </c>
      <c r="N127" s="196">
        <v>45121.645833333336</v>
      </c>
      <c r="O127" s="1188" t="s">
        <v>2916</v>
      </c>
      <c r="P127" s="62"/>
      <c r="Q127" s="62"/>
      <c r="R127" s="62"/>
      <c r="S127" s="62"/>
      <c r="T127" s="62"/>
      <c r="U127" s="62"/>
      <c r="V127" s="62"/>
      <c r="W127" s="62"/>
      <c r="X127" s="62">
        <v>27092.3295</v>
      </c>
      <c r="Y127" s="62">
        <v>3723.6705000000002</v>
      </c>
      <c r="Z127" s="325"/>
      <c r="AA127" s="62"/>
      <c r="AB127" s="62"/>
      <c r="AC127" s="62"/>
      <c r="AD127" s="62"/>
      <c r="AE127" s="62"/>
      <c r="AF127" s="62"/>
      <c r="AG127" s="62">
        <v>7500</v>
      </c>
      <c r="AH127" s="62"/>
      <c r="AI127" s="62"/>
      <c r="AJ127" s="62"/>
      <c r="AK127" s="62"/>
      <c r="AL127" s="62"/>
      <c r="AM127" s="62"/>
      <c r="AN127" s="62">
        <v>5182</v>
      </c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318">
        <v>43498</v>
      </c>
      <c r="BF127" s="318">
        <v>43498</v>
      </c>
      <c r="BG127" s="1178">
        <f>SUM(P127:AY127)</f>
        <v>43498</v>
      </c>
      <c r="BH127" s="69">
        <v>11500</v>
      </c>
      <c r="BI127" s="1188" t="s">
        <v>4</v>
      </c>
      <c r="BJ127" s="1188" t="s">
        <v>5</v>
      </c>
      <c r="BK127" s="75" t="s">
        <v>2937</v>
      </c>
      <c r="BL127" s="197">
        <v>45113.595138888886</v>
      </c>
      <c r="BM127" s="197">
        <v>45114.704861111109</v>
      </c>
      <c r="BN127" s="75"/>
      <c r="BO127" s="198">
        <v>55873</v>
      </c>
      <c r="BP127" s="65" t="str">
        <f>IF(BO127=0,"0",IF(BO127&lt;=50000,"HANDYMAX",IF(BO127&lt;=58000,"SUPER HANDYMAX",IF(BO127&lt;=80000,"PANAMAX",IF(BO127&gt;=80001,"POST PANAMAX")))))</f>
        <v>SUPER HANDYMAX</v>
      </c>
      <c r="BQ127" s="75"/>
      <c r="BR127" s="75"/>
      <c r="BS127" s="75"/>
      <c r="BT127" s="75"/>
      <c r="BU127" s="75"/>
      <c r="BV127" s="75"/>
      <c r="BW127" s="75"/>
      <c r="BX127" s="65" t="s">
        <v>3025</v>
      </c>
      <c r="CA127" s="84"/>
      <c r="XI127" s="26" t="s">
        <v>2939</v>
      </c>
      <c r="XJ127" s="26">
        <v>2</v>
      </c>
      <c r="XK127" s="26"/>
      <c r="XL127" s="26"/>
      <c r="XM127" s="26"/>
      <c r="XN127" s="26"/>
      <c r="XO127" s="26"/>
      <c r="XP127" s="26"/>
      <c r="XQ127" s="26"/>
      <c r="XR127" s="26"/>
    </row>
    <row r="128" spans="2:642" s="65" customFormat="1" ht="14.4" outlineLevel="1">
      <c r="B128" s="75">
        <v>8</v>
      </c>
      <c r="C128" s="194">
        <v>45108</v>
      </c>
      <c r="D128" s="75" t="s">
        <v>73</v>
      </c>
      <c r="E128" s="72">
        <v>45117</v>
      </c>
      <c r="F128" s="72">
        <v>45126</v>
      </c>
      <c r="G128" s="69" t="s">
        <v>2914</v>
      </c>
      <c r="H128" s="65" t="s">
        <v>2071</v>
      </c>
      <c r="I128" s="65" t="s">
        <v>2073</v>
      </c>
      <c r="J128" s="65" t="s">
        <v>2933</v>
      </c>
      <c r="K128" s="315">
        <v>45122.333333333336</v>
      </c>
      <c r="L128" s="315">
        <v>45122.338194444441</v>
      </c>
      <c r="M128" s="196">
        <v>45122.572916666664</v>
      </c>
      <c r="N128" s="196">
        <v>45124.15625</v>
      </c>
      <c r="O128" s="1188" t="s">
        <v>2916</v>
      </c>
      <c r="P128" s="62"/>
      <c r="Q128" s="62"/>
      <c r="R128" s="62"/>
      <c r="S128" s="62"/>
      <c r="T128" s="62"/>
      <c r="U128" s="62">
        <v>44646.81</v>
      </c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>
        <v>7500</v>
      </c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>
        <v>7573.19</v>
      </c>
      <c r="AV128" s="62"/>
      <c r="AW128" s="62"/>
      <c r="AX128" s="62"/>
      <c r="AY128" s="62"/>
      <c r="AZ128" s="62"/>
      <c r="BA128" s="62"/>
      <c r="BB128" s="62"/>
      <c r="BC128" s="62"/>
      <c r="BD128" s="62"/>
      <c r="BE128" s="318">
        <v>59720</v>
      </c>
      <c r="BF128" s="318">
        <v>59720</v>
      </c>
      <c r="BG128" s="1178">
        <f>SUM(P128:AY128)</f>
        <v>59720</v>
      </c>
      <c r="BH128" s="69">
        <v>22000</v>
      </c>
      <c r="BI128" s="1188" t="s">
        <v>4</v>
      </c>
      <c r="BJ128" s="1188" t="s">
        <v>5</v>
      </c>
      <c r="BK128" s="75" t="s">
        <v>3026</v>
      </c>
      <c r="BL128" s="197">
        <v>45104.51458333333</v>
      </c>
      <c r="BM128" s="197">
        <v>45112.593055555553</v>
      </c>
      <c r="BN128" s="75"/>
      <c r="BO128" s="198">
        <v>76544</v>
      </c>
      <c r="BP128" s="65" t="str">
        <f>IF(BO128=0,"0",IF(BO128&lt;=50000,"HANDYMAX",IF(BO128&lt;=58000,"SUPER HANDYMAX",IF(BO128&lt;=80000,"PANAMAX",IF(BO128&gt;=80001,"POST PANAMAX")))))</f>
        <v>PANAMAX</v>
      </c>
      <c r="BQ128" s="75"/>
      <c r="BR128" s="75"/>
      <c r="BS128" s="75"/>
      <c r="BT128" s="75"/>
      <c r="BU128" s="75"/>
      <c r="BV128" s="75"/>
      <c r="BW128" s="75"/>
      <c r="CA128" s="84"/>
      <c r="XH128" s="26"/>
      <c r="XI128" s="26"/>
      <c r="XJ128" s="26"/>
      <c r="XK128" s="26">
        <v>1</v>
      </c>
      <c r="XL128" s="26"/>
      <c r="XM128" s="26">
        <v>2</v>
      </c>
      <c r="XN128" s="26"/>
      <c r="XO128" s="26"/>
      <c r="XP128" s="26"/>
      <c r="XQ128" s="26"/>
    </row>
    <row r="129" spans="2:653" s="65" customFormat="1" ht="14.4" outlineLevel="1">
      <c r="B129" s="75">
        <v>9</v>
      </c>
      <c r="C129" s="194">
        <v>45108</v>
      </c>
      <c r="D129" s="75" t="s">
        <v>74</v>
      </c>
      <c r="E129" s="72">
        <v>45117</v>
      </c>
      <c r="F129" s="72">
        <v>45126</v>
      </c>
      <c r="G129" s="69" t="s">
        <v>107</v>
      </c>
      <c r="H129" s="65" t="s">
        <v>2083</v>
      </c>
      <c r="I129" s="65" t="s">
        <v>2001</v>
      </c>
      <c r="J129" s="65" t="s">
        <v>3006</v>
      </c>
      <c r="K129" s="315">
        <v>45121.666666666664</v>
      </c>
      <c r="L129" s="315">
        <v>45121.616666666669</v>
      </c>
      <c r="M129" s="196">
        <v>45123.25</v>
      </c>
      <c r="N129" s="196">
        <v>45124.190972222219</v>
      </c>
      <c r="O129" s="1188" t="s">
        <v>2916</v>
      </c>
      <c r="P129" s="62"/>
      <c r="Q129" s="62"/>
      <c r="R129" s="62"/>
      <c r="S129" s="62"/>
      <c r="T129" s="62">
        <v>3529.4429999999993</v>
      </c>
      <c r="U129" s="62"/>
      <c r="V129" s="62"/>
      <c r="W129" s="62"/>
      <c r="X129" s="62">
        <v>22854.557000000001</v>
      </c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>
        <v>5116</v>
      </c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318">
        <v>31500</v>
      </c>
      <c r="BF129" s="318">
        <v>31500</v>
      </c>
      <c r="BG129" s="1178">
        <f>SUM(P129:AY129)</f>
        <v>31500</v>
      </c>
      <c r="BH129" s="69">
        <v>9000</v>
      </c>
      <c r="BI129" s="1188" t="s">
        <v>20</v>
      </c>
      <c r="BJ129" s="1188" t="s">
        <v>2923</v>
      </c>
      <c r="BK129" s="75" t="s">
        <v>2927</v>
      </c>
      <c r="BL129" s="197">
        <v>45117.763888888891</v>
      </c>
      <c r="BM129" s="197">
        <v>45118.522916666669</v>
      </c>
      <c r="BN129" s="75"/>
      <c r="BO129" s="198">
        <v>37168</v>
      </c>
      <c r="BP129" s="65" t="str">
        <f>IF(BO129=0,"0",IF(BO129&lt;=50000,"HANDYMAX",IF(BO129&lt;=58000,"SUPER HANDYMAX",IF(BO129&lt;=80000,"PANAMAX",IF(BO129&gt;=80001,"POST PANAMAX")))))</f>
        <v>HANDYMAX</v>
      </c>
      <c r="BQ129" s="75"/>
      <c r="BR129" s="75"/>
      <c r="BS129" s="75"/>
      <c r="BT129" s="75"/>
      <c r="BU129" s="75"/>
      <c r="BV129" s="75"/>
      <c r="BW129" s="75"/>
      <c r="BX129" s="65" t="s">
        <v>3027</v>
      </c>
      <c r="CA129" s="84"/>
      <c r="XH129" s="26">
        <v>1</v>
      </c>
      <c r="XI129" s="26"/>
      <c r="XJ129" s="26"/>
      <c r="XK129" s="26"/>
      <c r="XL129" s="26">
        <v>3</v>
      </c>
      <c r="XM129" s="26">
        <v>2</v>
      </c>
      <c r="XN129" s="26"/>
      <c r="XO129" s="26"/>
      <c r="XP129" s="26"/>
      <c r="XQ129" s="26"/>
    </row>
    <row r="130" spans="2:653" s="65" customFormat="1" ht="14.4" outlineLevel="1">
      <c r="B130" s="75">
        <v>10</v>
      </c>
      <c r="C130" s="194">
        <v>45108</v>
      </c>
      <c r="D130" s="75" t="s">
        <v>73</v>
      </c>
      <c r="E130" s="72">
        <v>45117</v>
      </c>
      <c r="F130" s="72">
        <v>45126</v>
      </c>
      <c r="G130" s="69" t="s">
        <v>2914</v>
      </c>
      <c r="H130" s="65" t="s">
        <v>2088</v>
      </c>
      <c r="I130" s="65" t="s">
        <v>2089</v>
      </c>
      <c r="J130" s="65" t="s">
        <v>2933</v>
      </c>
      <c r="K130" s="315">
        <v>45123.583333333336</v>
      </c>
      <c r="L130" s="315">
        <v>45123.574999999997</v>
      </c>
      <c r="M130" s="196">
        <v>45124.375</v>
      </c>
      <c r="N130" s="196">
        <v>45126.729166666664</v>
      </c>
      <c r="O130" s="1188" t="s">
        <v>2916</v>
      </c>
      <c r="P130" s="62"/>
      <c r="Q130" s="62"/>
      <c r="R130" s="62"/>
      <c r="S130" s="62"/>
      <c r="T130" s="62">
        <v>2933.8809999999999</v>
      </c>
      <c r="U130" s="62">
        <v>30346.928599999999</v>
      </c>
      <c r="V130" s="62">
        <v>6004.8624000000009</v>
      </c>
      <c r="W130" s="62"/>
      <c r="X130" s="62"/>
      <c r="Y130" s="62">
        <v>27864.328000000001</v>
      </c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318">
        <v>67150</v>
      </c>
      <c r="BF130" s="318">
        <v>67150</v>
      </c>
      <c r="BG130" s="1178">
        <f>SUM(P130:AY130)</f>
        <v>67150</v>
      </c>
      <c r="BH130" s="69">
        <v>18000</v>
      </c>
      <c r="BI130" s="1188" t="s">
        <v>12</v>
      </c>
      <c r="BJ130" s="1188" t="s">
        <v>37</v>
      </c>
      <c r="BK130" s="75" t="s">
        <v>2937</v>
      </c>
      <c r="BL130" s="197">
        <v>45114.820138888892</v>
      </c>
      <c r="BM130" s="197">
        <v>45117.456944444442</v>
      </c>
      <c r="BN130" s="75"/>
      <c r="BO130" s="198">
        <v>81105</v>
      </c>
      <c r="BP130" s="65" t="str">
        <f>IF(BO130=0,"0",IF(BO130&lt;=50000,"HANDYMAX",IF(BO130&lt;=58000,"SUPER HANDYMAX",IF(BO130&lt;=80000,"PANAMAX",IF(BO130&gt;=80001,"POST PANAMAX")))))</f>
        <v>POST PANAMAX</v>
      </c>
      <c r="BQ130" s="75"/>
      <c r="BR130" s="75"/>
      <c r="BS130" s="75"/>
      <c r="BT130" s="75"/>
      <c r="BU130" s="75"/>
      <c r="BV130" s="75"/>
      <c r="BW130" s="75"/>
      <c r="BX130" s="65" t="s">
        <v>3028</v>
      </c>
      <c r="CA130" s="84"/>
      <c r="XH130" s="26">
        <v>1</v>
      </c>
      <c r="XI130" s="26"/>
      <c r="XJ130" s="26">
        <v>2</v>
      </c>
      <c r="XK130" s="26"/>
      <c r="XL130" s="26"/>
      <c r="XM130" s="26" t="s">
        <v>3029</v>
      </c>
      <c r="XN130" s="26" t="s">
        <v>3030</v>
      </c>
      <c r="XO130" s="26"/>
      <c r="XP130" s="26"/>
      <c r="XQ130" s="26"/>
    </row>
    <row r="131" spans="2:653" s="65" customFormat="1" ht="14.4" outlineLevel="1">
      <c r="B131" s="75">
        <v>11</v>
      </c>
      <c r="C131" s="194">
        <v>45108</v>
      </c>
      <c r="D131" s="75" t="s">
        <v>74</v>
      </c>
      <c r="E131" s="72">
        <v>45118</v>
      </c>
      <c r="F131" s="72">
        <v>45127</v>
      </c>
      <c r="G131" s="69" t="s">
        <v>2914</v>
      </c>
      <c r="H131" s="65" t="s">
        <v>2102</v>
      </c>
      <c r="I131" s="65" t="s">
        <v>2103</v>
      </c>
      <c r="J131" s="65" t="s">
        <v>2932</v>
      </c>
      <c r="K131" s="315">
        <v>45117.541666666664</v>
      </c>
      <c r="L131" s="315">
        <v>45117.520833333336</v>
      </c>
      <c r="M131" s="196">
        <v>45123.537499999999</v>
      </c>
      <c r="N131" s="196">
        <v>45127.041666666664</v>
      </c>
      <c r="O131" s="1188" t="s">
        <v>2916</v>
      </c>
      <c r="P131" s="62"/>
      <c r="Q131" s="62"/>
      <c r="R131" s="62"/>
      <c r="S131" s="62"/>
      <c r="T131" s="62">
        <v>7594.4939999999997</v>
      </c>
      <c r="U131" s="62"/>
      <c r="V131" s="62"/>
      <c r="W131" s="62"/>
      <c r="X131" s="62">
        <v>20465.390399999975</v>
      </c>
      <c r="Y131" s="62">
        <v>57179.073600000003</v>
      </c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>
        <v>5116</v>
      </c>
      <c r="AQ131" s="62">
        <v>7443.1669999999995</v>
      </c>
      <c r="AR131" s="62"/>
      <c r="AS131" s="62"/>
      <c r="AT131" s="62"/>
      <c r="AU131" s="62"/>
      <c r="AV131" s="62"/>
      <c r="AW131" s="62">
        <v>7501.875</v>
      </c>
      <c r="AX131" s="62"/>
      <c r="AY131" s="62"/>
      <c r="AZ131" s="62"/>
      <c r="BA131" s="62"/>
      <c r="BB131" s="62"/>
      <c r="BC131" s="62"/>
      <c r="BD131" s="62"/>
      <c r="BE131" s="318">
        <v>105300</v>
      </c>
      <c r="BF131" s="318">
        <v>105300</v>
      </c>
      <c r="BG131" s="1178">
        <f t="shared" ref="BG131" si="32">SUM(P131:AY131)</f>
        <v>105299.99999999999</v>
      </c>
      <c r="BH131" s="69">
        <v>17000</v>
      </c>
      <c r="BI131" s="1188" t="s">
        <v>12</v>
      </c>
      <c r="BJ131" s="1188" t="s">
        <v>41</v>
      </c>
      <c r="BK131" s="75" t="s">
        <v>2918</v>
      </c>
      <c r="BL131" s="197">
        <v>45111.498611111114</v>
      </c>
      <c r="BM131" s="197">
        <v>45112.506944444445</v>
      </c>
      <c r="BN131" s="75"/>
      <c r="BO131" s="198">
        <v>114475</v>
      </c>
      <c r="BP131" s="65" t="str">
        <f t="shared" ref="BP131" si="33">IF(BO131=0,"0",IF(BO131&lt;=50000,"HANDYMAX",IF(BO131&lt;=58000,"SUPER HANDYMAX",IF(BO131&lt;=80000,"PANAMAX",IF(BO131&gt;=80001,"POST PANAMAX")))))</f>
        <v>POST PANAMAX</v>
      </c>
      <c r="BQ131" s="75"/>
      <c r="BR131" s="75"/>
      <c r="BS131" s="75"/>
      <c r="BT131" s="75"/>
      <c r="BU131" s="75"/>
      <c r="BV131" s="75"/>
      <c r="BW131" s="75"/>
      <c r="BX131" s="65" t="s">
        <v>3031</v>
      </c>
      <c r="CA131" s="84"/>
      <c r="XH131" s="65">
        <v>2</v>
      </c>
      <c r="XI131" s="26" t="s">
        <v>2939</v>
      </c>
      <c r="XJ131" s="26"/>
      <c r="XK131" s="26"/>
      <c r="XL131" s="26"/>
      <c r="XM131" s="26"/>
      <c r="XN131" s="26"/>
      <c r="XO131" s="26"/>
      <c r="XP131" s="26"/>
      <c r="XQ131" s="26"/>
      <c r="XR131" s="26"/>
    </row>
    <row r="132" spans="2:653" s="65" customFormat="1" ht="14.4" outlineLevel="1">
      <c r="B132" s="75">
        <v>12</v>
      </c>
      <c r="C132" s="194">
        <v>45108</v>
      </c>
      <c r="D132" s="75" t="s">
        <v>73</v>
      </c>
      <c r="E132" s="72">
        <v>45124</v>
      </c>
      <c r="F132" s="72">
        <v>45133</v>
      </c>
      <c r="G132" s="69" t="s">
        <v>2914</v>
      </c>
      <c r="H132" s="65" t="s">
        <v>2120</v>
      </c>
      <c r="I132" s="65" t="s">
        <v>2122</v>
      </c>
      <c r="J132" s="65" t="s">
        <v>2933</v>
      </c>
      <c r="K132" s="315">
        <v>45123.75</v>
      </c>
      <c r="L132" s="315">
        <v>45123.729166666664</v>
      </c>
      <c r="M132" s="196">
        <v>45125.090277777781</v>
      </c>
      <c r="N132" s="196">
        <v>45127.270833333336</v>
      </c>
      <c r="O132" s="1188" t="s">
        <v>2916</v>
      </c>
      <c r="P132" s="62"/>
      <c r="Q132" s="62"/>
      <c r="R132" s="62"/>
      <c r="S132" s="62"/>
      <c r="T132" s="62"/>
      <c r="U132" s="62">
        <v>43623.298000000003</v>
      </c>
      <c r="V132" s="62"/>
      <c r="W132" s="62"/>
      <c r="X132" s="62">
        <v>7335.9049999999997</v>
      </c>
      <c r="Y132" s="62"/>
      <c r="Z132" s="62"/>
      <c r="AA132" s="62"/>
      <c r="AB132" s="62"/>
      <c r="AC132" s="62"/>
      <c r="AD132" s="62"/>
      <c r="AE132" s="62"/>
      <c r="AF132" s="62">
        <v>7500</v>
      </c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>
        <v>7540.7969999999996</v>
      </c>
      <c r="AV132" s="62"/>
      <c r="AW132" s="62"/>
      <c r="AX132" s="62"/>
      <c r="AY132" s="62"/>
      <c r="AZ132" s="62"/>
      <c r="BA132" s="62"/>
      <c r="BB132" s="62"/>
      <c r="BC132" s="62"/>
      <c r="BD132" s="62"/>
      <c r="BE132" s="318">
        <v>66000</v>
      </c>
      <c r="BF132" s="318">
        <v>66000</v>
      </c>
      <c r="BG132" s="1178">
        <f>SUM(P132:AY132)</f>
        <v>66000</v>
      </c>
      <c r="BH132" s="69">
        <v>16950</v>
      </c>
      <c r="BI132" s="1188" t="s">
        <v>12</v>
      </c>
      <c r="BJ132" s="1188" t="s">
        <v>32</v>
      </c>
      <c r="BK132" s="75" t="s">
        <v>2924</v>
      </c>
      <c r="BL132" s="197">
        <v>45112.905555555553</v>
      </c>
      <c r="BM132" s="197">
        <v>45115.506944444445</v>
      </c>
      <c r="BN132" s="75"/>
      <c r="BO132" s="198">
        <v>88869</v>
      </c>
      <c r="BP132" s="65" t="str">
        <f>IF(BO132=0,"0",IF(BO132&lt;=50000,"HANDYMAX",IF(BO132&lt;=58000,"SUPER HANDYMAX",IF(BO132&lt;=80000,"PANAMAX",IF(BO132&gt;=80001,"POST PANAMAX")))))</f>
        <v>POST PANAMAX</v>
      </c>
      <c r="BQ132" s="75"/>
      <c r="BR132" s="75"/>
      <c r="BS132" s="75"/>
      <c r="BT132" s="75"/>
      <c r="BU132" s="75"/>
      <c r="BV132" s="75"/>
      <c r="BW132" s="75"/>
      <c r="BX132" s="65" t="s">
        <v>3032</v>
      </c>
      <c r="CA132" s="84"/>
      <c r="XN132" s="65">
        <v>3</v>
      </c>
      <c r="XO132" s="26">
        <v>2</v>
      </c>
      <c r="XP132" s="26">
        <v>1</v>
      </c>
      <c r="XQ132" s="26"/>
      <c r="XR132" s="26"/>
      <c r="XS132" s="26"/>
      <c r="XT132" s="26"/>
      <c r="XU132" s="26"/>
      <c r="XV132" s="26"/>
      <c r="XW132" s="26"/>
      <c r="XX132" s="26"/>
    </row>
    <row r="133" spans="2:653" s="65" customFormat="1" ht="14.4" outlineLevel="1">
      <c r="B133" s="75">
        <v>13</v>
      </c>
      <c r="C133" s="194">
        <v>45108</v>
      </c>
      <c r="D133" s="75" t="s">
        <v>2983</v>
      </c>
      <c r="E133" s="72">
        <v>45119</v>
      </c>
      <c r="F133" s="72">
        <v>45128</v>
      </c>
      <c r="G133" s="69" t="s">
        <v>107</v>
      </c>
      <c r="H133" s="65" t="s">
        <v>3033</v>
      </c>
      <c r="I133" s="65" t="s">
        <v>3034</v>
      </c>
      <c r="J133" s="65" t="s">
        <v>2922</v>
      </c>
      <c r="K133" s="315">
        <v>45125.583333333336</v>
      </c>
      <c r="L133" s="315">
        <v>45125.591666666667</v>
      </c>
      <c r="M133" s="315">
        <v>45125.834722222222</v>
      </c>
      <c r="N133" s="196">
        <v>45128.431944444441</v>
      </c>
      <c r="O133" s="1188" t="s">
        <v>2916</v>
      </c>
      <c r="P133" s="62"/>
      <c r="Q133" s="62"/>
      <c r="R133" s="62"/>
      <c r="S133" s="62"/>
      <c r="T133" s="62">
        <v>33730.474000000002</v>
      </c>
      <c r="U133" s="62"/>
      <c r="V133" s="62"/>
      <c r="W133" s="62"/>
      <c r="X133" s="62"/>
      <c r="Y133" s="62"/>
      <c r="Z133" s="325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>
        <v>15905.105</v>
      </c>
      <c r="AS133" s="62"/>
      <c r="AT133" s="62"/>
      <c r="AU133" s="62">
        <v>7641.7820000000002</v>
      </c>
      <c r="AV133" s="62"/>
      <c r="AW133" s="62">
        <v>15072.638999999999</v>
      </c>
      <c r="AX133" s="62"/>
      <c r="AY133" s="62"/>
      <c r="AZ133" s="62"/>
      <c r="BA133" s="62"/>
      <c r="BB133" s="62"/>
      <c r="BC133" s="62"/>
      <c r="BD133" s="62"/>
      <c r="BE133" s="318">
        <v>72350</v>
      </c>
      <c r="BF133" s="318">
        <v>72350</v>
      </c>
      <c r="BG133" s="1178">
        <f t="shared" ref="BG133" si="34">SUM(P133:AY133)</f>
        <v>72350</v>
      </c>
      <c r="BH133" s="69">
        <v>14000</v>
      </c>
      <c r="BI133" s="1188" t="s">
        <v>20</v>
      </c>
      <c r="BJ133" s="1188" t="s">
        <v>2923</v>
      </c>
      <c r="BK133" s="75" t="s">
        <v>2927</v>
      </c>
      <c r="BL133" s="197">
        <v>45118.450694444444</v>
      </c>
      <c r="BM133" s="197">
        <v>45120.431250000001</v>
      </c>
      <c r="BN133" s="75"/>
      <c r="BO133" s="198">
        <v>69999</v>
      </c>
      <c r="BP133" s="65" t="str">
        <f t="shared" ref="BP133" si="35">IF(BO133=0,"0",IF(BO133&lt;=50000,"HANDYMAX",IF(BO133&lt;=58000,"SUPER HANDYMAX",IF(BO133&lt;=80000,"PANAMAX",IF(BO133&gt;=80001,"POST PANAMAX")))))</f>
        <v>PANAMAX</v>
      </c>
      <c r="BQ133" s="75"/>
      <c r="BR133" s="75"/>
      <c r="BS133" s="75"/>
      <c r="BT133" s="75"/>
      <c r="BU133" s="75"/>
      <c r="BV133" s="75"/>
      <c r="BW133" s="75"/>
      <c r="CA133" s="84"/>
      <c r="XJ133" s="26"/>
      <c r="XK133" s="26"/>
      <c r="XL133" s="26"/>
      <c r="XM133" s="26"/>
      <c r="XN133" s="26"/>
      <c r="XO133" s="26">
        <v>1</v>
      </c>
      <c r="XP133" s="26">
        <v>2</v>
      </c>
      <c r="XQ133" s="26"/>
      <c r="XR133" s="26"/>
      <c r="XS133" s="26"/>
    </row>
    <row r="134" spans="2:653" s="65" customFormat="1" ht="14.4" outlineLevel="1">
      <c r="B134" s="75">
        <v>14</v>
      </c>
      <c r="C134" s="194">
        <v>45108</v>
      </c>
      <c r="D134" s="75" t="s">
        <v>74</v>
      </c>
      <c r="E134" s="72">
        <v>45124</v>
      </c>
      <c r="F134" s="72">
        <v>45133</v>
      </c>
      <c r="G134" s="69" t="s">
        <v>107</v>
      </c>
      <c r="H134" s="65" t="s">
        <v>2134</v>
      </c>
      <c r="I134" s="65" t="s">
        <v>2135</v>
      </c>
      <c r="J134" s="65" t="s">
        <v>2963</v>
      </c>
      <c r="K134" s="315">
        <v>45131.166666666664</v>
      </c>
      <c r="L134" s="315">
        <v>45131.025000000001</v>
      </c>
      <c r="M134" s="196">
        <v>45131.505555555559</v>
      </c>
      <c r="N134" s="196">
        <v>45132.90902777778</v>
      </c>
      <c r="O134" s="1188" t="s">
        <v>2916</v>
      </c>
      <c r="P134" s="62"/>
      <c r="Q134" s="62"/>
      <c r="R134" s="62"/>
      <c r="S134" s="62"/>
      <c r="T134" s="62">
        <v>4729.1359999999913</v>
      </c>
      <c r="U134" s="62"/>
      <c r="V134" s="62"/>
      <c r="W134" s="62"/>
      <c r="X134" s="62">
        <v>16484.894</v>
      </c>
      <c r="Y134" s="62">
        <v>33239.665000000001</v>
      </c>
      <c r="Z134" s="62"/>
      <c r="AA134" s="62"/>
      <c r="AB134" s="62"/>
      <c r="AC134" s="62">
        <v>5049.3050000000003</v>
      </c>
      <c r="AD134" s="62"/>
      <c r="AE134" s="62"/>
      <c r="AF134" s="62"/>
      <c r="AG134" s="62">
        <v>7500</v>
      </c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318">
        <v>67000</v>
      </c>
      <c r="BF134" s="318">
        <v>67000</v>
      </c>
      <c r="BG134" s="1178">
        <f t="shared" ref="BG134" si="36">SUM(P134:AY134)</f>
        <v>67003</v>
      </c>
      <c r="BH134" s="69">
        <v>25000</v>
      </c>
      <c r="BI134" s="1188" t="s">
        <v>20</v>
      </c>
      <c r="BJ134" s="1188" t="s">
        <v>2923</v>
      </c>
      <c r="BK134" s="75" t="s">
        <v>2924</v>
      </c>
      <c r="BL134" s="197">
        <v>45127.509027777778</v>
      </c>
      <c r="BM134" s="197">
        <v>45128.404166666667</v>
      </c>
      <c r="BN134" s="75"/>
      <c r="BO134" s="198">
        <v>75162</v>
      </c>
      <c r="BP134" s="65" t="str">
        <f t="shared" ref="BP134" si="37">IF(BO134=0,"0",IF(BO134&lt;=50000,"HANDYMAX",IF(BO134&lt;=58000,"SUPER HANDYMAX",IF(BO134&lt;=80000,"PANAMAX",IF(BO134&gt;=80001,"POST PANAMAX")))))</f>
        <v>PANAMAX</v>
      </c>
      <c r="BQ134" s="75"/>
      <c r="BR134" s="75"/>
      <c r="BS134" s="75"/>
      <c r="BT134" s="75"/>
      <c r="BU134" s="75"/>
      <c r="BV134" s="75"/>
      <c r="BW134" s="75"/>
      <c r="BX134" s="65" t="s">
        <v>3035</v>
      </c>
      <c r="CA134" s="84"/>
      <c r="XO134" s="26">
        <v>1</v>
      </c>
      <c r="XP134" s="26"/>
      <c r="XQ134" s="26"/>
      <c r="XR134" s="26">
        <v>2</v>
      </c>
      <c r="XS134" s="26"/>
      <c r="XT134" s="26">
        <v>3</v>
      </c>
      <c r="XU134" s="26">
        <v>4</v>
      </c>
      <c r="XV134" s="26"/>
      <c r="XW134" s="26"/>
      <c r="XX134" s="26"/>
    </row>
    <row r="135" spans="2:653" s="65" customFormat="1" ht="14.4" outlineLevel="1">
      <c r="B135" s="75">
        <v>15</v>
      </c>
      <c r="C135" s="194">
        <v>45108</v>
      </c>
      <c r="D135" s="75" t="s">
        <v>73</v>
      </c>
      <c r="E135" s="72">
        <v>45129</v>
      </c>
      <c r="F135" s="72">
        <v>45138</v>
      </c>
      <c r="G135" s="69" t="s">
        <v>2914</v>
      </c>
      <c r="H135" s="65" t="s">
        <v>2146</v>
      </c>
      <c r="I135" s="65" t="s">
        <v>2148</v>
      </c>
      <c r="J135" s="65" t="s">
        <v>2915</v>
      </c>
      <c r="K135" s="315">
        <v>45130.833333333336</v>
      </c>
      <c r="L135" s="315">
        <v>45130.8125</v>
      </c>
      <c r="M135" s="196">
        <v>45132.048611111109</v>
      </c>
      <c r="N135" s="196">
        <v>45133.75</v>
      </c>
      <c r="O135" s="1188" t="s">
        <v>2916</v>
      </c>
      <c r="P135" s="62"/>
      <c r="Q135" s="62"/>
      <c r="R135" s="62"/>
      <c r="S135" s="62"/>
      <c r="T135" s="62"/>
      <c r="U135" s="62">
        <v>38200</v>
      </c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>
        <v>15000</v>
      </c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318">
        <v>53200</v>
      </c>
      <c r="BF135" s="318">
        <v>53200</v>
      </c>
      <c r="BG135" s="1178">
        <f t="shared" ref="BG135" si="38">SUM(P135:AY135)</f>
        <v>53200</v>
      </c>
      <c r="BH135" s="69">
        <v>12000</v>
      </c>
      <c r="BI135" s="1188" t="s">
        <v>12</v>
      </c>
      <c r="BJ135" s="1188" t="s">
        <v>32</v>
      </c>
      <c r="BK135" s="75" t="s">
        <v>2924</v>
      </c>
      <c r="BL135" s="197">
        <v>45121.46875</v>
      </c>
      <c r="BM135" s="197">
        <v>45125.401388888888</v>
      </c>
      <c r="BN135" s="75"/>
      <c r="BO135" s="198">
        <v>55688</v>
      </c>
      <c r="BP135" s="65" t="str">
        <f t="shared" ref="BP135" si="39">IF(BO135=0,"0",IF(BO135&lt;=50000,"HANDYMAX",IF(BO135&lt;=58000,"SUPER HANDYMAX",IF(BO135&lt;=80000,"PANAMAX",IF(BO135&gt;=80001,"POST PANAMAX")))))</f>
        <v>SUPER HANDYMAX</v>
      </c>
      <c r="BQ135" s="75"/>
      <c r="BR135" s="75"/>
      <c r="BS135" s="75"/>
      <c r="BT135" s="75"/>
      <c r="BU135" s="75"/>
      <c r="BV135" s="75"/>
      <c r="BW135" s="75"/>
      <c r="BX135" s="65" t="s">
        <v>3036</v>
      </c>
      <c r="CA135" s="84"/>
      <c r="XT135" s="26">
        <v>2</v>
      </c>
      <c r="XU135" s="26" t="s">
        <v>3029</v>
      </c>
      <c r="XV135" s="26">
        <v>4</v>
      </c>
      <c r="XW135" s="26">
        <v>1</v>
      </c>
      <c r="XX135" s="26"/>
      <c r="XY135" s="26"/>
      <c r="XZ135" s="26"/>
      <c r="YA135" s="26"/>
      <c r="YB135" s="26"/>
      <c r="YC135" s="26"/>
    </row>
    <row r="136" spans="2:653" s="65" customFormat="1" ht="14.4" outlineLevel="1">
      <c r="B136" s="75">
        <v>16</v>
      </c>
      <c r="C136" s="194">
        <v>45108</v>
      </c>
      <c r="D136" s="75" t="s">
        <v>74</v>
      </c>
      <c r="E136" s="72">
        <v>45119</v>
      </c>
      <c r="F136" s="72">
        <v>45130</v>
      </c>
      <c r="G136" s="69" t="s">
        <v>2914</v>
      </c>
      <c r="H136" s="65" t="s">
        <v>2158</v>
      </c>
      <c r="I136" s="65" t="s">
        <v>2160</v>
      </c>
      <c r="J136" s="65" t="s">
        <v>2915</v>
      </c>
      <c r="K136" s="315">
        <v>45127.440972222219</v>
      </c>
      <c r="L136" s="315">
        <v>45127.416666666664</v>
      </c>
      <c r="M136" s="196">
        <v>45134.041666666664</v>
      </c>
      <c r="N136" s="196">
        <v>45135.916666666664</v>
      </c>
      <c r="O136" s="1188" t="s">
        <v>2916</v>
      </c>
      <c r="P136" s="62"/>
      <c r="Q136" s="62"/>
      <c r="R136" s="62"/>
      <c r="S136" s="62"/>
      <c r="T136" s="62"/>
      <c r="U136" s="62"/>
      <c r="V136" s="62"/>
      <c r="W136" s="62"/>
      <c r="X136" s="62">
        <v>21940.207599999998</v>
      </c>
      <c r="Y136" s="62">
        <v>22744.167400000002</v>
      </c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>
        <v>5250.4690000000001</v>
      </c>
      <c r="AS136" s="62"/>
      <c r="AT136" s="62"/>
      <c r="AU136" s="62"/>
      <c r="AV136" s="62">
        <v>7565.1559999999999</v>
      </c>
      <c r="AW136" s="62"/>
      <c r="AX136" s="62"/>
      <c r="AY136" s="62"/>
      <c r="AZ136" s="62"/>
      <c r="BA136" s="62"/>
      <c r="BB136" s="62"/>
      <c r="BC136" s="62"/>
      <c r="BD136" s="62"/>
      <c r="BE136" s="318">
        <v>57500</v>
      </c>
      <c r="BF136" s="318">
        <v>57500</v>
      </c>
      <c r="BG136" s="1178">
        <f>SUM(P136:AY136)</f>
        <v>57500</v>
      </c>
      <c r="BH136" s="69">
        <v>12000</v>
      </c>
      <c r="BI136" s="1188" t="s">
        <v>12</v>
      </c>
      <c r="BJ136" s="1188" t="s">
        <v>32</v>
      </c>
      <c r="BK136" s="75" t="s">
        <v>3011</v>
      </c>
      <c r="BL136" s="197">
        <v>45125.435416666667</v>
      </c>
      <c r="BM136" s="197">
        <v>45127.561805555553</v>
      </c>
      <c r="BN136" s="75"/>
      <c r="BO136" s="198">
        <v>57000</v>
      </c>
      <c r="BP136" s="65" t="str">
        <f>IF(BO136=0,"0",IF(BO136&lt;=50000,"HANDYMAX",IF(BO136&lt;=58000,"SUPER HANDYMAX",IF(BO136&lt;=80000,"PANAMAX",IF(BO136&gt;=80001,"POST PANAMAX")))))</f>
        <v>SUPER HANDYMAX</v>
      </c>
      <c r="BQ136" s="75"/>
      <c r="BR136" s="75"/>
      <c r="BS136" s="75"/>
      <c r="BT136" s="75"/>
      <c r="BU136" s="75"/>
      <c r="BV136" s="75"/>
      <c r="BW136" s="75"/>
      <c r="BX136" s="65" t="s">
        <v>3037</v>
      </c>
      <c r="CA136" s="84"/>
      <c r="XJ136" s="26">
        <v>1</v>
      </c>
      <c r="XK136" s="26"/>
      <c r="XL136" s="26"/>
      <c r="XM136" s="26"/>
      <c r="XN136" s="26"/>
      <c r="XO136" s="26"/>
      <c r="XP136" s="26"/>
      <c r="XQ136" s="26">
        <v>3</v>
      </c>
      <c r="XR136" s="26" t="s">
        <v>2936</v>
      </c>
      <c r="XS136" s="26">
        <v>2</v>
      </c>
      <c r="XT136" s="26"/>
      <c r="XU136" s="26"/>
    </row>
    <row r="137" spans="2:653" s="65" customFormat="1" ht="14.4" outlineLevel="1">
      <c r="B137" s="75">
        <v>17</v>
      </c>
      <c r="C137" s="194">
        <v>45108</v>
      </c>
      <c r="D137" s="75" t="s">
        <v>74</v>
      </c>
      <c r="E137" s="72">
        <v>45125</v>
      </c>
      <c r="F137" s="72">
        <v>45134</v>
      </c>
      <c r="G137" s="69" t="s">
        <v>2914</v>
      </c>
      <c r="H137" s="65" t="s">
        <v>2172</v>
      </c>
      <c r="I137" s="65" t="s">
        <v>2174</v>
      </c>
      <c r="J137" s="65" t="s">
        <v>2926</v>
      </c>
      <c r="K137" s="315">
        <v>45129.291666666664</v>
      </c>
      <c r="L137" s="315">
        <v>45129.291666666664</v>
      </c>
      <c r="M137" s="196">
        <v>45132.607638888891</v>
      </c>
      <c r="N137" s="196">
        <v>45136.166666666664</v>
      </c>
      <c r="O137" s="1188" t="s">
        <v>2916</v>
      </c>
      <c r="P137" s="62">
        <v>7535.6120000000001</v>
      </c>
      <c r="Q137" s="62">
        <v>5066.6540000000005</v>
      </c>
      <c r="R137" s="62"/>
      <c r="S137" s="62">
        <v>2452.6410000000001</v>
      </c>
      <c r="T137" s="62"/>
      <c r="U137" s="62"/>
      <c r="V137" s="62"/>
      <c r="W137" s="62"/>
      <c r="X137" s="62">
        <v>53179.809400000006</v>
      </c>
      <c r="Y137" s="62">
        <v>9662.2836000000007</v>
      </c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>
        <v>10103</v>
      </c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318">
        <v>88000</v>
      </c>
      <c r="BF137" s="318">
        <v>88000</v>
      </c>
      <c r="BG137" s="1178">
        <f>SUM(P137:AY137)</f>
        <v>88000</v>
      </c>
      <c r="BH137" s="69">
        <v>10508</v>
      </c>
      <c r="BI137" s="1188" t="s">
        <v>4</v>
      </c>
      <c r="BJ137" s="1188" t="s">
        <v>5</v>
      </c>
      <c r="BK137" s="75" t="s">
        <v>2937</v>
      </c>
      <c r="BL137" s="197">
        <v>45121.791666666664</v>
      </c>
      <c r="BM137" s="197">
        <v>45125.89166666667</v>
      </c>
      <c r="BN137" s="75"/>
      <c r="BO137" s="198">
        <v>100309</v>
      </c>
      <c r="BP137" s="65" t="str">
        <f>IF(BO137=0,"0",IF(BO137&lt;=50000,"HANDYMAX",IF(BO137&lt;=58000,"SUPER HANDYMAX",IF(BO137&lt;=80000,"PANAMAX",IF(BO137&gt;=80001,"POST PANAMAX")))))</f>
        <v>POST PANAMAX</v>
      </c>
      <c r="BQ137" s="75"/>
      <c r="BR137" s="75"/>
      <c r="BS137" s="75"/>
      <c r="BT137" s="75"/>
      <c r="BU137" s="75"/>
      <c r="BV137" s="75"/>
      <c r="BW137" s="75"/>
      <c r="BX137" s="65" t="s">
        <v>3038</v>
      </c>
      <c r="CA137" s="84"/>
      <c r="XP137" s="26"/>
      <c r="XQ137" s="26"/>
      <c r="XR137" s="26"/>
      <c r="XS137" s="26"/>
      <c r="XT137" s="26"/>
      <c r="XU137" s="26">
        <v>1</v>
      </c>
      <c r="XV137" s="26">
        <v>1</v>
      </c>
      <c r="XW137" s="26">
        <v>1</v>
      </c>
      <c r="XX137" s="26">
        <v>1</v>
      </c>
      <c r="XY137" s="26">
        <v>1</v>
      </c>
    </row>
    <row r="138" spans="2:653" s="65" customFormat="1" ht="14.4" outlineLevel="1">
      <c r="B138" s="75">
        <v>18</v>
      </c>
      <c r="C138" s="194">
        <v>45108</v>
      </c>
      <c r="D138" s="75" t="s">
        <v>73</v>
      </c>
      <c r="E138" s="72">
        <v>45125</v>
      </c>
      <c r="F138" s="72">
        <v>45136</v>
      </c>
      <c r="G138" s="69" t="s">
        <v>2914</v>
      </c>
      <c r="H138" s="65" t="s">
        <v>2189</v>
      </c>
      <c r="I138" s="65" t="s">
        <v>2190</v>
      </c>
      <c r="J138" s="65" t="s">
        <v>2915</v>
      </c>
      <c r="K138" s="315">
        <v>45135.875</v>
      </c>
      <c r="L138" s="315">
        <v>45135.775000000001</v>
      </c>
      <c r="M138" s="196">
        <v>45136.256944444445</v>
      </c>
      <c r="N138" s="196">
        <v>45138.40625</v>
      </c>
      <c r="O138" s="1188" t="s">
        <v>2916</v>
      </c>
      <c r="P138" s="62"/>
      <c r="Q138" s="62"/>
      <c r="R138" s="62"/>
      <c r="S138" s="62"/>
      <c r="T138" s="62"/>
      <c r="U138" s="62">
        <v>52500</v>
      </c>
      <c r="V138" s="62"/>
      <c r="W138" s="62"/>
      <c r="X138" s="62"/>
      <c r="Y138" s="62"/>
      <c r="Z138" s="325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318">
        <v>52500</v>
      </c>
      <c r="BF138" s="318">
        <v>52500</v>
      </c>
      <c r="BG138" s="1178">
        <f>SUM(P138:AY138)</f>
        <v>52500</v>
      </c>
      <c r="BH138" s="69">
        <v>12000</v>
      </c>
      <c r="BI138" s="1188" t="s">
        <v>12</v>
      </c>
      <c r="BJ138" s="1188" t="s">
        <v>32</v>
      </c>
      <c r="BK138" s="75" t="s">
        <v>2920</v>
      </c>
      <c r="BL138" s="199">
        <v>45132.431250000001</v>
      </c>
      <c r="BM138" s="199">
        <v>45132.431250000001</v>
      </c>
      <c r="BN138" s="75"/>
      <c r="BO138" s="198">
        <v>53514</v>
      </c>
      <c r="BP138" s="65" t="str">
        <f>IF(BO138=0,"0",IF(BO138&lt;=50000,"HANDYMAX",IF(BO138&lt;=58000,"SUPER HANDYMAX",IF(BO138&lt;=80000,"PANAMAX",IF(BO138&gt;=80001,"POST PANAMAX")))))</f>
        <v>SUPER HANDYMAX</v>
      </c>
      <c r="BQ138" s="75"/>
      <c r="BR138" s="75"/>
      <c r="BS138" s="75"/>
      <c r="BT138" s="75"/>
      <c r="BU138" s="75"/>
      <c r="BV138" s="75"/>
      <c r="BW138" s="75"/>
      <c r="CA138" s="84"/>
      <c r="XP138" s="26"/>
      <c r="XQ138" s="26"/>
      <c r="XR138" s="26"/>
      <c r="XS138" s="26"/>
      <c r="XT138" s="26"/>
      <c r="XU138" s="26"/>
      <c r="XV138" s="26"/>
      <c r="XW138" s="26"/>
      <c r="XX138" s="26"/>
      <c r="XY138" s="26">
        <v>1</v>
      </c>
      <c r="XZ138" s="26">
        <v>2</v>
      </c>
      <c r="YA138" s="26"/>
    </row>
    <row r="139" spans="2:653" s="71" customFormat="1" ht="14.4" outlineLevel="1">
      <c r="B139" s="104"/>
      <c r="C139" s="101"/>
      <c r="D139" s="104"/>
      <c r="E139" s="70"/>
      <c r="F139" s="70"/>
      <c r="G139" s="247"/>
      <c r="K139" s="102"/>
      <c r="L139" s="102"/>
      <c r="M139" s="103"/>
      <c r="N139" s="103"/>
      <c r="O139" s="1199" t="s">
        <v>96</v>
      </c>
      <c r="P139" s="458">
        <f>SUM(P121:P138)</f>
        <v>7535.6120000000001</v>
      </c>
      <c r="Q139" s="458">
        <f t="shared" ref="Q139:BG139" si="40">SUM(Q121:Q138)</f>
        <v>10072.274000000001</v>
      </c>
      <c r="R139" s="458">
        <f t="shared" si="40"/>
        <v>0</v>
      </c>
      <c r="S139" s="458">
        <f t="shared" si="40"/>
        <v>2452.6410000000001</v>
      </c>
      <c r="T139" s="458">
        <f t="shared" si="40"/>
        <v>89094.656000000017</v>
      </c>
      <c r="U139" s="458">
        <f t="shared" si="40"/>
        <v>304045.0932</v>
      </c>
      <c r="V139" s="458">
        <f t="shared" si="40"/>
        <v>13589.4018</v>
      </c>
      <c r="W139" s="458">
        <f t="shared" si="40"/>
        <v>0</v>
      </c>
      <c r="X139" s="458">
        <f t="shared" si="40"/>
        <v>229423.25589999996</v>
      </c>
      <c r="Y139" s="458">
        <f t="shared" si="40"/>
        <v>251782.89110000001</v>
      </c>
      <c r="Z139" s="458">
        <f t="shared" si="40"/>
        <v>29822.751</v>
      </c>
      <c r="AA139" s="458">
        <f t="shared" si="40"/>
        <v>0</v>
      </c>
      <c r="AB139" s="458">
        <f t="shared" si="40"/>
        <v>0</v>
      </c>
      <c r="AC139" s="458">
        <f t="shared" si="40"/>
        <v>10059.154</v>
      </c>
      <c r="AD139" s="458">
        <f t="shared" si="40"/>
        <v>0</v>
      </c>
      <c r="AE139" s="458">
        <f t="shared" si="40"/>
        <v>0</v>
      </c>
      <c r="AF139" s="458">
        <f t="shared" si="40"/>
        <v>15000</v>
      </c>
      <c r="AG139" s="458">
        <f t="shared" si="40"/>
        <v>37500</v>
      </c>
      <c r="AH139" s="458">
        <f t="shared" si="40"/>
        <v>0</v>
      </c>
      <c r="AI139" s="458">
        <f t="shared" si="40"/>
        <v>0</v>
      </c>
      <c r="AJ139" s="458">
        <f t="shared" si="40"/>
        <v>0</v>
      </c>
      <c r="AK139" s="458">
        <f t="shared" si="40"/>
        <v>0</v>
      </c>
      <c r="AL139" s="458">
        <f t="shared" si="40"/>
        <v>7574</v>
      </c>
      <c r="AM139" s="458">
        <f t="shared" si="40"/>
        <v>0</v>
      </c>
      <c r="AN139" s="458">
        <f t="shared" si="40"/>
        <v>25512</v>
      </c>
      <c r="AO139" s="458">
        <f t="shared" si="40"/>
        <v>0</v>
      </c>
      <c r="AP139" s="458">
        <f t="shared" si="40"/>
        <v>5116</v>
      </c>
      <c r="AQ139" s="458">
        <f t="shared" si="40"/>
        <v>7443.1669999999995</v>
      </c>
      <c r="AR139" s="458">
        <f t="shared" si="40"/>
        <v>41979.372000000003</v>
      </c>
      <c r="AS139" s="458">
        <f t="shared" si="40"/>
        <v>0</v>
      </c>
      <c r="AT139" s="458">
        <f t="shared" si="40"/>
        <v>0</v>
      </c>
      <c r="AU139" s="458">
        <f t="shared" si="40"/>
        <v>38065.725999999995</v>
      </c>
      <c r="AV139" s="458">
        <f t="shared" si="40"/>
        <v>15259.863000000001</v>
      </c>
      <c r="AW139" s="458">
        <f t="shared" si="40"/>
        <v>37578.142</v>
      </c>
      <c r="AX139" s="458">
        <f t="shared" si="40"/>
        <v>0</v>
      </c>
      <c r="AY139" s="458">
        <f t="shared" si="40"/>
        <v>0</v>
      </c>
      <c r="AZ139" s="458"/>
      <c r="BA139" s="458"/>
      <c r="BB139" s="458"/>
      <c r="BC139" s="458"/>
      <c r="BD139" s="458"/>
      <c r="BE139" s="458">
        <f t="shared" si="40"/>
        <v>1178903</v>
      </c>
      <c r="BF139" s="458">
        <f t="shared" si="40"/>
        <v>1178903</v>
      </c>
      <c r="BG139" s="1179">
        <f t="shared" si="40"/>
        <v>1178906</v>
      </c>
      <c r="BH139" s="68"/>
      <c r="BI139" s="1189"/>
      <c r="BJ139" s="1189"/>
      <c r="BK139" s="104"/>
      <c r="BL139" s="105"/>
      <c r="BM139" s="105"/>
      <c r="BN139" s="105"/>
      <c r="BO139" s="106"/>
      <c r="BQ139" s="105"/>
      <c r="BR139" s="105"/>
      <c r="BS139" s="105"/>
      <c r="BT139" s="105"/>
      <c r="BU139" s="105"/>
      <c r="BV139" s="105"/>
      <c r="BW139" s="10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5"/>
      <c r="JR139" s="65"/>
      <c r="JS139" s="65"/>
      <c r="JT139" s="65"/>
      <c r="JU139" s="65"/>
      <c r="JV139" s="65"/>
      <c r="JW139" s="65"/>
      <c r="JX139" s="65"/>
      <c r="JY139" s="65"/>
      <c r="JZ139" s="65"/>
      <c r="KA139" s="65"/>
      <c r="KB139" s="65"/>
      <c r="KC139" s="65"/>
      <c r="KD139" s="65"/>
      <c r="KE139" s="65"/>
      <c r="KF139" s="65"/>
      <c r="KG139" s="65"/>
      <c r="KH139" s="65"/>
      <c r="KI139" s="65"/>
      <c r="KJ139" s="65"/>
      <c r="KK139" s="65"/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/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/>
      <c r="LL139" s="65"/>
      <c r="LM139" s="65"/>
      <c r="LN139" s="65"/>
      <c r="LO139" s="65"/>
      <c r="LP139" s="65"/>
      <c r="LQ139" s="65"/>
      <c r="LR139" s="65"/>
      <c r="LS139" s="65"/>
      <c r="LT139" s="65"/>
      <c r="LU139" s="65"/>
      <c r="LV139" s="65"/>
      <c r="LW139" s="65"/>
      <c r="LX139" s="65"/>
      <c r="LY139" s="65"/>
      <c r="LZ139" s="65"/>
      <c r="MA139" s="65"/>
      <c r="MB139" s="65"/>
      <c r="MC139" s="65"/>
      <c r="MD139" s="65"/>
      <c r="ME139" s="65"/>
      <c r="MF139" s="65"/>
      <c r="MG139" s="65"/>
      <c r="MH139" s="65"/>
      <c r="MI139" s="65"/>
      <c r="MJ139" s="65"/>
      <c r="MK139" s="65"/>
      <c r="ML139" s="65"/>
      <c r="MM139" s="65"/>
      <c r="MN139" s="65"/>
      <c r="MO139" s="65"/>
      <c r="MP139" s="65"/>
      <c r="MQ139" s="65"/>
      <c r="MR139" s="65"/>
      <c r="MS139" s="65"/>
      <c r="MT139" s="65"/>
      <c r="MU139" s="65"/>
      <c r="MV139" s="65"/>
      <c r="MW139" s="65"/>
      <c r="MX139" s="65"/>
      <c r="MY139" s="65"/>
      <c r="MZ139" s="65"/>
      <c r="NA139" s="65"/>
      <c r="NB139" s="65"/>
      <c r="NC139" s="65"/>
      <c r="ND139" s="65"/>
      <c r="NE139" s="65"/>
      <c r="NF139" s="65"/>
      <c r="NG139" s="65"/>
      <c r="NH139" s="65"/>
      <c r="NI139" s="65"/>
      <c r="NJ139" s="65"/>
      <c r="NK139" s="65"/>
      <c r="NL139" s="65"/>
      <c r="NM139" s="65"/>
      <c r="NN139" s="65"/>
      <c r="NO139" s="65"/>
      <c r="NP139" s="65"/>
      <c r="NQ139" s="65"/>
      <c r="NR139" s="65"/>
      <c r="NS139" s="65"/>
      <c r="NT139" s="65"/>
      <c r="NU139" s="65"/>
      <c r="NV139" s="65"/>
      <c r="NW139" s="65"/>
      <c r="NX139" s="65"/>
      <c r="NY139" s="65"/>
      <c r="NZ139" s="65"/>
      <c r="OA139" s="65"/>
      <c r="OB139" s="65"/>
      <c r="OC139" s="65"/>
      <c r="OD139" s="65"/>
      <c r="OE139" s="65"/>
      <c r="OF139" s="65"/>
      <c r="OG139" s="65"/>
      <c r="OH139" s="65"/>
      <c r="OI139" s="65"/>
      <c r="OJ139" s="65"/>
      <c r="OK139" s="65"/>
      <c r="OL139" s="65"/>
      <c r="OM139" s="65"/>
      <c r="ON139" s="65"/>
      <c r="OO139" s="65"/>
      <c r="OP139" s="65"/>
      <c r="OQ139" s="65"/>
      <c r="OR139" s="65"/>
      <c r="OS139" s="65"/>
      <c r="OT139" s="65"/>
      <c r="OU139" s="65"/>
      <c r="OV139" s="65"/>
      <c r="OW139" s="65"/>
      <c r="OX139" s="65"/>
      <c r="OY139" s="65"/>
      <c r="OZ139" s="65"/>
      <c r="PA139" s="65"/>
      <c r="PB139" s="65"/>
      <c r="PC139" s="65"/>
      <c r="PD139" s="65"/>
      <c r="PE139" s="65"/>
      <c r="PF139" s="65"/>
      <c r="PG139" s="65"/>
      <c r="PH139" s="65"/>
      <c r="PI139" s="65"/>
      <c r="PJ139" s="65"/>
      <c r="PK139" s="65"/>
      <c r="PL139" s="65"/>
      <c r="PM139" s="65"/>
      <c r="PN139" s="65"/>
      <c r="PO139" s="65"/>
      <c r="PP139" s="65"/>
      <c r="PQ139" s="65"/>
      <c r="PR139" s="65"/>
      <c r="PS139" s="65"/>
      <c r="PT139" s="65"/>
      <c r="PU139" s="65"/>
      <c r="PV139" s="65"/>
      <c r="PW139" s="65"/>
      <c r="PX139" s="65"/>
      <c r="PY139" s="65"/>
      <c r="PZ139" s="65"/>
      <c r="QA139" s="65"/>
      <c r="QB139" s="65"/>
      <c r="QC139" s="65"/>
      <c r="QD139" s="65"/>
      <c r="QE139" s="65"/>
      <c r="QF139" s="65"/>
      <c r="QG139" s="65"/>
      <c r="QH139" s="65"/>
      <c r="QI139" s="65"/>
      <c r="QJ139" s="65"/>
      <c r="QK139" s="65"/>
      <c r="QL139" s="65"/>
      <c r="QM139" s="65"/>
      <c r="QN139" s="65"/>
      <c r="QO139" s="65"/>
      <c r="QP139" s="65"/>
      <c r="QQ139" s="65"/>
      <c r="QR139" s="65"/>
      <c r="QS139" s="65"/>
      <c r="QT139" s="65"/>
      <c r="QU139" s="65"/>
      <c r="QV139" s="65"/>
      <c r="QW139" s="65"/>
      <c r="QX139" s="65"/>
      <c r="QY139" s="65"/>
      <c r="QZ139" s="65"/>
      <c r="RA139" s="65"/>
      <c r="RB139" s="65"/>
      <c r="RC139" s="65"/>
      <c r="RD139" s="65"/>
      <c r="RE139" s="65"/>
      <c r="RF139" s="65"/>
      <c r="RG139" s="65"/>
      <c r="RH139" s="65"/>
      <c r="RI139" s="65"/>
      <c r="RJ139" s="65"/>
      <c r="RK139" s="65"/>
      <c r="RL139" s="65"/>
      <c r="RM139" s="65"/>
      <c r="RN139" s="65"/>
      <c r="RO139" s="65"/>
      <c r="RP139" s="65"/>
      <c r="RQ139" s="65"/>
      <c r="RR139" s="65"/>
      <c r="RS139" s="65"/>
      <c r="RT139" s="65"/>
      <c r="RU139" s="65"/>
      <c r="RV139" s="65"/>
      <c r="RW139" s="65"/>
      <c r="RX139" s="65"/>
      <c r="RY139" s="65"/>
      <c r="RZ139" s="65"/>
      <c r="SA139" s="65"/>
      <c r="SB139" s="65"/>
      <c r="SC139" s="65"/>
      <c r="SD139" s="65"/>
      <c r="SE139" s="65"/>
      <c r="SF139" s="65"/>
      <c r="SG139" s="65"/>
      <c r="SH139" s="65"/>
      <c r="SI139" s="65"/>
      <c r="SJ139" s="65"/>
      <c r="SK139" s="65"/>
      <c r="SL139" s="65"/>
      <c r="SM139" s="65"/>
      <c r="SN139" s="65"/>
      <c r="SO139" s="65"/>
      <c r="SP139" s="65"/>
      <c r="SQ139" s="65"/>
      <c r="SR139" s="65"/>
      <c r="SS139" s="65"/>
      <c r="ST139" s="65"/>
      <c r="SU139" s="65"/>
      <c r="SV139" s="65"/>
      <c r="SW139" s="65"/>
      <c r="SX139" s="65"/>
      <c r="SY139" s="65"/>
      <c r="SZ139" s="65"/>
      <c r="TA139" s="65"/>
      <c r="TB139" s="65"/>
      <c r="TC139" s="65"/>
      <c r="TD139" s="65"/>
      <c r="TE139" s="65"/>
      <c r="TF139" s="65"/>
      <c r="TG139" s="65"/>
      <c r="TH139" s="65"/>
      <c r="TI139" s="65"/>
      <c r="TJ139" s="65"/>
      <c r="TK139" s="65"/>
      <c r="TL139" s="65"/>
      <c r="TM139" s="65"/>
      <c r="TN139" s="65"/>
      <c r="TO139" s="65"/>
      <c r="TP139" s="65"/>
      <c r="TQ139" s="65"/>
      <c r="TR139" s="65"/>
      <c r="TS139" s="65"/>
      <c r="TT139" s="65"/>
      <c r="TU139" s="65"/>
      <c r="TV139" s="65"/>
      <c r="TW139" s="65"/>
      <c r="TX139" s="65"/>
      <c r="TY139" s="65"/>
      <c r="TZ139" s="65"/>
      <c r="UA139" s="65"/>
      <c r="UB139" s="65"/>
      <c r="UC139" s="65"/>
      <c r="UD139" s="65"/>
      <c r="UE139" s="65"/>
      <c r="UF139" s="65"/>
      <c r="UG139" s="65"/>
      <c r="UH139" s="65"/>
      <c r="UI139" s="65"/>
      <c r="UJ139" s="65"/>
      <c r="UK139" s="65"/>
      <c r="UL139" s="65"/>
      <c r="UM139" s="65"/>
      <c r="UN139" s="65"/>
      <c r="UO139" s="65"/>
      <c r="UP139" s="65"/>
      <c r="UQ139" s="65"/>
      <c r="UR139" s="65"/>
      <c r="US139" s="65"/>
      <c r="UT139" s="65"/>
      <c r="UU139" s="65"/>
      <c r="UV139" s="65"/>
      <c r="UW139" s="65"/>
      <c r="UX139" s="65"/>
      <c r="UY139" s="65"/>
      <c r="UZ139" s="65"/>
      <c r="VA139" s="65"/>
      <c r="VB139" s="65"/>
      <c r="VC139" s="65"/>
      <c r="VD139" s="65"/>
      <c r="VE139" s="65"/>
      <c r="VF139" s="65"/>
      <c r="VG139" s="65"/>
      <c r="VH139" s="65"/>
      <c r="VI139" s="65"/>
      <c r="VJ139" s="65"/>
      <c r="VK139" s="65"/>
      <c r="VL139" s="65"/>
      <c r="VM139" s="65"/>
      <c r="VN139" s="65"/>
      <c r="VO139" s="65"/>
      <c r="VP139" s="65"/>
      <c r="VQ139" s="65"/>
      <c r="VR139" s="65"/>
      <c r="VS139" s="65"/>
    </row>
    <row r="140" spans="2:653" s="99" customFormat="1" ht="14.4" outlineLevel="1">
      <c r="B140" s="108"/>
      <c r="C140" s="107"/>
      <c r="D140" s="108"/>
      <c r="E140" s="109"/>
      <c r="F140" s="109"/>
      <c r="K140" s="110"/>
      <c r="L140" s="110"/>
      <c r="M140" s="111"/>
      <c r="N140" s="111"/>
      <c r="O140" s="1185"/>
      <c r="P140" s="1384">
        <f>SUM(P139:T139)</f>
        <v>109155.18300000002</v>
      </c>
      <c r="Q140" s="1385"/>
      <c r="R140" s="1385"/>
      <c r="S140" s="1385"/>
      <c r="T140" s="1386"/>
      <c r="U140" s="1384">
        <f>SUM(U139:W139)</f>
        <v>317634.495</v>
      </c>
      <c r="V140" s="1385"/>
      <c r="W140" s="1386"/>
      <c r="X140" s="1384">
        <f>SUM(X139:Y139)</f>
        <v>481206.147</v>
      </c>
      <c r="Y140" s="1386"/>
      <c r="Z140" s="459">
        <f>Z139</f>
        <v>29822.751</v>
      </c>
      <c r="AA140" s="459">
        <f>AA139</f>
        <v>0</v>
      </c>
      <c r="AB140" s="1384">
        <f>SUM(AB139:AY139)</f>
        <v>241087.42400000003</v>
      </c>
      <c r="AC140" s="1385"/>
      <c r="AD140" s="1385"/>
      <c r="AE140" s="1385"/>
      <c r="AF140" s="1385"/>
      <c r="AG140" s="1385"/>
      <c r="AH140" s="1385"/>
      <c r="AI140" s="1385"/>
      <c r="AJ140" s="1385"/>
      <c r="AK140" s="1385"/>
      <c r="AL140" s="1385"/>
      <c r="AM140" s="1385"/>
      <c r="AN140" s="1385"/>
      <c r="AO140" s="1385"/>
      <c r="AP140" s="1385"/>
      <c r="AQ140" s="1385"/>
      <c r="AR140" s="1385"/>
      <c r="AS140" s="1385"/>
      <c r="AT140" s="1385"/>
      <c r="AU140" s="1385"/>
      <c r="AV140" s="1385"/>
      <c r="AW140" s="1385"/>
      <c r="AX140" s="1385"/>
      <c r="AY140" s="1386"/>
      <c r="AZ140" s="394"/>
      <c r="BA140" s="394"/>
      <c r="BB140" s="394"/>
      <c r="BC140" s="394"/>
      <c r="BD140" s="394"/>
      <c r="BE140" s="460"/>
      <c r="BF140" s="460"/>
      <c r="BG140" s="1179"/>
      <c r="BH140" s="112"/>
      <c r="BI140" s="1190"/>
      <c r="BJ140" s="1190"/>
      <c r="BK140" s="108"/>
      <c r="BL140" s="113"/>
      <c r="BM140" s="113"/>
      <c r="BN140" s="113"/>
      <c r="BO140" s="114"/>
      <c r="BQ140" s="113"/>
      <c r="BR140" s="113"/>
      <c r="BS140" s="113"/>
      <c r="BT140" s="113"/>
      <c r="BU140" s="113"/>
      <c r="BV140" s="113"/>
      <c r="BW140" s="113"/>
    </row>
    <row r="141" spans="2:653" ht="14.4" outlineLevel="1"/>
    <row r="142" spans="2:653" ht="14.4" outlineLevel="1">
      <c r="B142" s="99" t="s">
        <v>2662</v>
      </c>
    </row>
    <row r="143" spans="2:653" s="65" customFormat="1" ht="14.4" outlineLevel="1">
      <c r="B143" s="75">
        <v>1</v>
      </c>
      <c r="C143" s="194">
        <v>45108</v>
      </c>
      <c r="D143" s="75" t="s">
        <v>2983</v>
      </c>
      <c r="E143" s="72">
        <v>45128</v>
      </c>
      <c r="F143" s="72">
        <v>45134</v>
      </c>
      <c r="G143" s="69" t="s">
        <v>107</v>
      </c>
      <c r="H143" s="65" t="s">
        <v>3039</v>
      </c>
      <c r="I143" s="65" t="s">
        <v>3040</v>
      </c>
      <c r="J143" s="65" t="s">
        <v>2943</v>
      </c>
      <c r="K143" s="315">
        <v>45130.375</v>
      </c>
      <c r="L143" s="315">
        <v>45130.275000000001</v>
      </c>
      <c r="M143" s="196">
        <v>45139.024305555555</v>
      </c>
      <c r="N143" s="196">
        <v>45140.35</v>
      </c>
      <c r="O143" s="1188" t="s">
        <v>2916</v>
      </c>
      <c r="P143" s="62"/>
      <c r="Q143" s="62"/>
      <c r="R143" s="62"/>
      <c r="S143" s="62">
        <v>6313</v>
      </c>
      <c r="T143" s="62">
        <v>5239</v>
      </c>
      <c r="U143" s="62"/>
      <c r="V143" s="62"/>
      <c r="W143" s="62"/>
      <c r="X143" s="62"/>
      <c r="Y143" s="62"/>
      <c r="Z143" s="325"/>
      <c r="AA143" s="62"/>
      <c r="AB143" s="62"/>
      <c r="AC143" s="62">
        <v>5009.1790000000001</v>
      </c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>
        <v>15851.882000000001</v>
      </c>
      <c r="AS143" s="62"/>
      <c r="AT143" s="62"/>
      <c r="AU143" s="62">
        <v>22586.952000000001</v>
      </c>
      <c r="AV143" s="62"/>
      <c r="AW143" s="62"/>
      <c r="AX143" s="62"/>
      <c r="AY143" s="62"/>
      <c r="AZ143" s="62"/>
      <c r="BA143" s="62"/>
      <c r="BB143" s="62"/>
      <c r="BC143" s="62"/>
      <c r="BD143" s="62"/>
      <c r="BE143" s="318">
        <v>55000</v>
      </c>
      <c r="BF143" s="318">
        <v>55000</v>
      </c>
      <c r="BG143" s="1178">
        <f t="shared" ref="BG143:BG155" si="41">SUM(P143:AY143)</f>
        <v>55000.013000000006</v>
      </c>
      <c r="BH143" s="69">
        <v>13000</v>
      </c>
      <c r="BI143" s="1188" t="s">
        <v>20</v>
      </c>
      <c r="BJ143" s="1188" t="s">
        <v>2923</v>
      </c>
      <c r="BK143" s="75" t="s">
        <v>2924</v>
      </c>
      <c r="BL143" s="197">
        <v>45120.627083333333</v>
      </c>
      <c r="BM143" s="197">
        <v>45123.467361111114</v>
      </c>
      <c r="BN143" s="75"/>
      <c r="BO143" s="198">
        <v>61353</v>
      </c>
      <c r="BP143" s="65" t="str">
        <f t="shared" ref="BP143:BP155" si="42">IF(BO143=0,"0",IF(BO143&lt;=50000,"HANDYMAX",IF(BO143&lt;=58000,"SUPER HANDYMAX",IF(BO143&lt;=80000,"PANAMAX",IF(BO143&gt;=80001,"POST PANAMAX")))))</f>
        <v>PANAMAX</v>
      </c>
      <c r="BQ143" s="75"/>
      <c r="BR143" s="75"/>
      <c r="BS143" s="75"/>
      <c r="BT143" s="75"/>
      <c r="BU143" s="75"/>
      <c r="BV143" s="75"/>
      <c r="BW143" s="75"/>
      <c r="CA143" s="84"/>
      <c r="XS143" s="26">
        <v>1</v>
      </c>
      <c r="XT143" s="26"/>
      <c r="XU143" s="26">
        <v>2</v>
      </c>
      <c r="XV143" s="26"/>
      <c r="XW143" s="26"/>
      <c r="XX143" s="26"/>
      <c r="XY143" s="26"/>
    </row>
    <row r="144" spans="2:653" s="65" customFormat="1" ht="14.4" outlineLevel="1">
      <c r="B144" s="75">
        <v>2</v>
      </c>
      <c r="C144" s="194">
        <v>45108</v>
      </c>
      <c r="D144" s="75" t="s">
        <v>74</v>
      </c>
      <c r="E144" s="72">
        <v>45127</v>
      </c>
      <c r="F144" s="72">
        <v>45136</v>
      </c>
      <c r="G144" s="69" t="s">
        <v>107</v>
      </c>
      <c r="H144" s="65" t="s">
        <v>2199</v>
      </c>
      <c r="I144" s="65" t="s">
        <v>2201</v>
      </c>
      <c r="J144" s="65" t="s">
        <v>2926</v>
      </c>
      <c r="K144" s="315">
        <v>45131.375</v>
      </c>
      <c r="L144" s="315">
        <v>45131.3</v>
      </c>
      <c r="M144" s="196">
        <v>45140.520138888889</v>
      </c>
      <c r="N144" s="196">
        <v>45141.711805555555</v>
      </c>
      <c r="O144" s="1188" t="s">
        <v>2916</v>
      </c>
      <c r="P144" s="62">
        <v>12044.467000000004</v>
      </c>
      <c r="Q144" s="62"/>
      <c r="R144" s="62"/>
      <c r="S144" s="62"/>
      <c r="T144" s="62"/>
      <c r="U144" s="62"/>
      <c r="V144" s="62"/>
      <c r="W144" s="62"/>
      <c r="X144" s="62">
        <v>14925.004000000001</v>
      </c>
      <c r="Y144" s="62">
        <v>24000.464000000004</v>
      </c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>
        <v>7530.0649999999996</v>
      </c>
      <c r="AW144" s="62"/>
      <c r="AX144" s="62"/>
      <c r="AY144" s="62"/>
      <c r="AZ144" s="62"/>
      <c r="BA144" s="62"/>
      <c r="BB144" s="62"/>
      <c r="BC144" s="62"/>
      <c r="BD144" s="62"/>
      <c r="BE144" s="318">
        <v>58500</v>
      </c>
      <c r="BF144" s="318">
        <v>58500</v>
      </c>
      <c r="BG144" s="1178">
        <f t="shared" si="41"/>
        <v>58500.000000000015</v>
      </c>
      <c r="BH144" s="69">
        <v>9142</v>
      </c>
      <c r="BI144" s="1188" t="s">
        <v>20</v>
      </c>
      <c r="BJ144" s="1188" t="s">
        <v>2923</v>
      </c>
      <c r="BK144" s="75" t="s">
        <v>2927</v>
      </c>
      <c r="BL144" s="197">
        <v>45126.665277777778</v>
      </c>
      <c r="BM144" s="197">
        <v>45126.929166666669</v>
      </c>
      <c r="BN144" s="75"/>
      <c r="BO144" s="198">
        <v>81841</v>
      </c>
      <c r="BP144" s="65" t="str">
        <f t="shared" si="42"/>
        <v>POST PANAMAX</v>
      </c>
      <c r="BQ144" s="75"/>
      <c r="BR144" s="75"/>
      <c r="BS144" s="75"/>
      <c r="BT144" s="75"/>
      <c r="BU144" s="75"/>
      <c r="BV144" s="75"/>
      <c r="BW144" s="75"/>
      <c r="BX144" s="65" t="s">
        <v>3041</v>
      </c>
      <c r="CA144" s="84"/>
      <c r="XR144" s="26">
        <v>1</v>
      </c>
      <c r="XS144" s="26"/>
      <c r="XT144" s="26"/>
      <c r="XU144" s="26"/>
      <c r="XV144" s="26">
        <v>2</v>
      </c>
      <c r="XW144" s="26"/>
      <c r="XX144" s="26"/>
      <c r="XY144" s="26"/>
      <c r="XZ144" s="26"/>
      <c r="YA144" s="26"/>
    </row>
    <row r="145" spans="2:681" s="65" customFormat="1" ht="14.4" outlineLevel="1">
      <c r="B145" s="75">
        <v>3</v>
      </c>
      <c r="C145" s="194">
        <v>45108</v>
      </c>
      <c r="D145" s="75" t="s">
        <v>74</v>
      </c>
      <c r="E145" s="72">
        <v>45130</v>
      </c>
      <c r="F145" s="72">
        <v>45139</v>
      </c>
      <c r="G145" s="69" t="s">
        <v>2914</v>
      </c>
      <c r="H145" s="65" t="s">
        <v>2211</v>
      </c>
      <c r="I145" s="65" t="s">
        <v>2213</v>
      </c>
      <c r="J145" s="65" t="s">
        <v>2933</v>
      </c>
      <c r="K145" s="315">
        <v>45129.083333333336</v>
      </c>
      <c r="L145" s="315">
        <v>45129.125</v>
      </c>
      <c r="M145" s="196">
        <v>45141.364583333336</v>
      </c>
      <c r="N145" s="196">
        <v>45145.847222222219</v>
      </c>
      <c r="O145" s="1188" t="s">
        <v>2916</v>
      </c>
      <c r="P145" s="62"/>
      <c r="Q145" s="62"/>
      <c r="R145" s="62"/>
      <c r="S145" s="62"/>
      <c r="T145" s="62"/>
      <c r="U145" s="62">
        <v>15226.745999999999</v>
      </c>
      <c r="V145" s="62"/>
      <c r="W145" s="62"/>
      <c r="X145" s="62">
        <v>32062.299500000001</v>
      </c>
      <c r="Y145" s="62">
        <v>25710.6005</v>
      </c>
      <c r="Z145" s="325"/>
      <c r="AA145" s="62"/>
      <c r="AB145" s="62"/>
      <c r="AC145" s="62"/>
      <c r="AD145" s="62"/>
      <c r="AE145" s="62"/>
      <c r="AF145" s="62"/>
      <c r="AG145" s="62">
        <v>7500</v>
      </c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>
        <v>7500.3540000000003</v>
      </c>
      <c r="AV145" s="62"/>
      <c r="AW145" s="62"/>
      <c r="AX145" s="62"/>
      <c r="AY145" s="62"/>
      <c r="AZ145" s="62"/>
      <c r="BA145" s="62"/>
      <c r="BB145" s="62"/>
      <c r="BC145" s="62"/>
      <c r="BD145" s="62"/>
      <c r="BE145" s="318">
        <v>88000</v>
      </c>
      <c r="BF145" s="318">
        <v>88000</v>
      </c>
      <c r="BG145" s="1178">
        <f t="shared" si="41"/>
        <v>88000.000000000015</v>
      </c>
      <c r="BH145" s="69">
        <v>17700</v>
      </c>
      <c r="BI145" s="1188" t="s">
        <v>4</v>
      </c>
      <c r="BJ145" s="1188" t="s">
        <v>5</v>
      </c>
      <c r="BK145" s="75" t="s">
        <v>2924</v>
      </c>
      <c r="BL145" s="197">
        <v>45121.462500000001</v>
      </c>
      <c r="BM145" s="197">
        <v>45126.563888888886</v>
      </c>
      <c r="BN145" s="75"/>
      <c r="BO145" s="198">
        <v>91439</v>
      </c>
      <c r="BP145" s="65" t="str">
        <f t="shared" si="42"/>
        <v>POST PANAMAX</v>
      </c>
      <c r="BQ145" s="75"/>
      <c r="BR145" s="75"/>
      <c r="BS145" s="75"/>
      <c r="BT145" s="75"/>
      <c r="BU145" s="75"/>
      <c r="BV145" s="75"/>
      <c r="BW145" s="75"/>
      <c r="BX145" s="65" t="s">
        <v>3042</v>
      </c>
      <c r="CA145" s="84"/>
      <c r="XS145" s="65">
        <v>2</v>
      </c>
      <c r="XT145" s="65">
        <v>3</v>
      </c>
      <c r="XU145" s="26"/>
      <c r="XV145" s="26">
        <v>1</v>
      </c>
      <c r="XW145" s="26"/>
      <c r="XX145" s="26"/>
      <c r="XY145" s="26"/>
      <c r="XZ145" s="26"/>
      <c r="YA145" s="26"/>
      <c r="YB145" s="26"/>
      <c r="YC145" s="26"/>
      <c r="YD145" s="26"/>
    </row>
    <row r="146" spans="2:681" s="65" customFormat="1" ht="14.4" outlineLevel="1">
      <c r="B146" s="75">
        <v>4</v>
      </c>
      <c r="C146" s="194">
        <v>45139</v>
      </c>
      <c r="D146" s="75" t="s">
        <v>74</v>
      </c>
      <c r="E146" s="72">
        <v>45141</v>
      </c>
      <c r="F146" s="72">
        <v>45150</v>
      </c>
      <c r="G146" s="69" t="s">
        <v>107</v>
      </c>
      <c r="H146" s="65" t="s">
        <v>2226</v>
      </c>
      <c r="I146" s="65" t="s">
        <v>2228</v>
      </c>
      <c r="J146" s="65" t="s">
        <v>2933</v>
      </c>
      <c r="K146" s="316">
        <v>45140.875</v>
      </c>
      <c r="L146" s="316">
        <v>45140.872916666667</v>
      </c>
      <c r="M146" s="196">
        <v>45146.716666666667</v>
      </c>
      <c r="N146" s="196">
        <v>45148.852083333331</v>
      </c>
      <c r="O146" s="1188" t="s">
        <v>2916</v>
      </c>
      <c r="P146" s="62">
        <v>12441.812</v>
      </c>
      <c r="Q146" s="62">
        <v>7212.4650000000001</v>
      </c>
      <c r="R146" s="62"/>
      <c r="S146" s="62"/>
      <c r="T146" s="62"/>
      <c r="U146" s="62">
        <v>6108.8509999999997</v>
      </c>
      <c r="V146" s="62"/>
      <c r="W146" s="62"/>
      <c r="X146" s="62">
        <v>17750.292000000001</v>
      </c>
      <c r="Y146" s="62">
        <v>29986.58</v>
      </c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318">
        <v>73500</v>
      </c>
      <c r="BF146" s="318">
        <v>73500</v>
      </c>
      <c r="BG146" s="1180">
        <f t="shared" si="41"/>
        <v>73500</v>
      </c>
      <c r="BH146" s="69">
        <v>25000</v>
      </c>
      <c r="BI146" s="1188" t="s">
        <v>20</v>
      </c>
      <c r="BJ146" s="1188" t="s">
        <v>2923</v>
      </c>
      <c r="BK146" s="75" t="s">
        <v>2924</v>
      </c>
      <c r="BL146" s="72">
        <v>45135.408333333333</v>
      </c>
      <c r="BM146" s="72">
        <v>45139.477083333331</v>
      </c>
      <c r="BN146" s="75"/>
      <c r="BO146" s="198">
        <v>84973</v>
      </c>
      <c r="BP146" s="65" t="str">
        <f t="shared" si="42"/>
        <v>POST PANAMAX</v>
      </c>
      <c r="BQ146" s="75"/>
      <c r="BR146" s="75"/>
      <c r="BS146" s="75"/>
      <c r="BT146" s="75"/>
      <c r="BU146" s="75"/>
      <c r="BV146" s="75"/>
      <c r="BW146" s="75"/>
      <c r="BX146" s="65" t="s">
        <v>3043</v>
      </c>
      <c r="CA146" s="84"/>
      <c r="YE146" s="65">
        <v>2</v>
      </c>
      <c r="YF146" s="26">
        <v>1</v>
      </c>
      <c r="YG146" s="26"/>
      <c r="YH146" s="26"/>
      <c r="YI146" s="26"/>
      <c r="YJ146" s="26"/>
      <c r="YK146" s="26"/>
      <c r="YL146" s="26"/>
      <c r="YM146" s="26"/>
      <c r="YN146" s="26"/>
      <c r="YO146" s="26"/>
    </row>
    <row r="147" spans="2:681" s="65" customFormat="1" ht="14.4" outlineLevel="1">
      <c r="B147" s="75">
        <v>5</v>
      </c>
      <c r="C147" s="194">
        <v>45108</v>
      </c>
      <c r="D147" s="195" t="s">
        <v>74</v>
      </c>
      <c r="E147" s="72">
        <v>45133</v>
      </c>
      <c r="F147" s="72">
        <v>45142</v>
      </c>
      <c r="G147" s="69" t="s">
        <v>2914</v>
      </c>
      <c r="H147" s="65" t="s">
        <v>2134</v>
      </c>
      <c r="I147" s="65" t="s">
        <v>2239</v>
      </c>
      <c r="J147" s="65" t="s">
        <v>3044</v>
      </c>
      <c r="K147" s="316">
        <v>45144.5</v>
      </c>
      <c r="L147" s="315">
        <v>45144.375</v>
      </c>
      <c r="M147" s="196">
        <v>45146.510416666664</v>
      </c>
      <c r="N147" s="196">
        <v>45148.9375</v>
      </c>
      <c r="O147" s="1188" t="s">
        <v>2916</v>
      </c>
      <c r="P147" s="62"/>
      <c r="Q147" s="62"/>
      <c r="R147" s="62"/>
      <c r="S147" s="62"/>
      <c r="T147" s="62">
        <v>7513.826</v>
      </c>
      <c r="U147" s="62"/>
      <c r="V147" s="62"/>
      <c r="W147" s="62"/>
      <c r="X147" s="62">
        <v>15003.757000000001</v>
      </c>
      <c r="Y147" s="62">
        <v>38680.417000000001</v>
      </c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>
        <v>7562</v>
      </c>
      <c r="AM147" s="62"/>
      <c r="AN147" s="62"/>
      <c r="AO147" s="62"/>
      <c r="AP147" s="62">
        <v>5040</v>
      </c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6">
        <v>73800</v>
      </c>
      <c r="BF147" s="66">
        <v>73800</v>
      </c>
      <c r="BG147" s="1178">
        <f t="shared" si="41"/>
        <v>73800</v>
      </c>
      <c r="BH147" s="254" t="s">
        <v>3045</v>
      </c>
      <c r="BI147" s="1188" t="s">
        <v>12</v>
      </c>
      <c r="BJ147" s="1188" t="s">
        <v>32</v>
      </c>
      <c r="BK147" s="75" t="s">
        <v>2924</v>
      </c>
      <c r="BL147" s="197">
        <v>45142.777777777781</v>
      </c>
      <c r="BM147" s="197">
        <v>45144.557638888888</v>
      </c>
      <c r="BN147" s="197"/>
      <c r="BO147" s="198">
        <v>75162</v>
      </c>
      <c r="BP147" s="65" t="str">
        <f t="shared" si="42"/>
        <v>PANAMAX</v>
      </c>
      <c r="BQ147" s="197"/>
      <c r="BR147" s="197"/>
      <c r="BS147" s="197"/>
      <c r="BT147" s="197"/>
      <c r="BU147" s="197"/>
      <c r="BV147" s="197"/>
      <c r="BW147" s="197"/>
      <c r="BX147" s="65" t="s">
        <v>3046</v>
      </c>
      <c r="XU147" s="65">
        <v>1</v>
      </c>
      <c r="XX147" s="26"/>
      <c r="XY147" s="26">
        <v>2</v>
      </c>
      <c r="XZ147" s="26">
        <v>3</v>
      </c>
      <c r="YA147" s="26">
        <v>4</v>
      </c>
      <c r="YB147" s="26"/>
      <c r="YC147" s="26"/>
      <c r="YD147" s="26">
        <v>5</v>
      </c>
      <c r="YE147" s="26">
        <v>6</v>
      </c>
      <c r="YF147" s="26"/>
    </row>
    <row r="148" spans="2:681" s="65" customFormat="1" ht="14.4" outlineLevel="1">
      <c r="B148" s="75">
        <v>6</v>
      </c>
      <c r="C148" s="194">
        <v>45139</v>
      </c>
      <c r="D148" s="75" t="s">
        <v>73</v>
      </c>
      <c r="E148" s="72">
        <v>45139</v>
      </c>
      <c r="F148" s="72">
        <v>45148</v>
      </c>
      <c r="G148" s="69" t="s">
        <v>2914</v>
      </c>
      <c r="H148" s="65" t="s">
        <v>2253</v>
      </c>
      <c r="I148" s="65" t="s">
        <v>2255</v>
      </c>
      <c r="J148" s="65" t="s">
        <v>2979</v>
      </c>
      <c r="K148" s="316">
        <v>45141.875</v>
      </c>
      <c r="L148" s="316">
        <v>45141.866666666669</v>
      </c>
      <c r="M148" s="196">
        <v>45147.798611111109</v>
      </c>
      <c r="N148" s="196">
        <v>45150.298611111109</v>
      </c>
      <c r="O148" s="1188" t="s">
        <v>2916</v>
      </c>
      <c r="P148" s="62"/>
      <c r="Q148" s="62"/>
      <c r="R148" s="62"/>
      <c r="S148" s="62"/>
      <c r="T148" s="62"/>
      <c r="U148" s="62">
        <v>50130.608</v>
      </c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>
        <v>7500</v>
      </c>
      <c r="AG148" s="62">
        <v>7500</v>
      </c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>
        <v>6139.3919999999998</v>
      </c>
      <c r="AV148" s="62"/>
      <c r="AW148" s="62"/>
      <c r="AX148" s="62"/>
      <c r="AY148" s="62"/>
      <c r="AZ148" s="62"/>
      <c r="BA148" s="62"/>
      <c r="BB148" s="62"/>
      <c r="BC148" s="62"/>
      <c r="BD148" s="62"/>
      <c r="BE148" s="318">
        <v>71270</v>
      </c>
      <c r="BF148" s="318">
        <v>71270</v>
      </c>
      <c r="BG148" s="1180">
        <f t="shared" si="41"/>
        <v>71270</v>
      </c>
      <c r="BH148" s="69">
        <v>25000</v>
      </c>
      <c r="BI148" s="1188" t="s">
        <v>4</v>
      </c>
      <c r="BJ148" s="1188" t="s">
        <v>5</v>
      </c>
      <c r="BK148" s="75" t="s">
        <v>2937</v>
      </c>
      <c r="BL148" s="72">
        <v>45133.564583333333</v>
      </c>
      <c r="BM148" s="72">
        <v>45134.567361111112</v>
      </c>
      <c r="BN148" s="75"/>
      <c r="BO148" s="198">
        <v>75384.7</v>
      </c>
      <c r="BP148" s="65" t="str">
        <f t="shared" si="42"/>
        <v>PANAMAX</v>
      </c>
      <c r="BQ148" s="75"/>
      <c r="BR148" s="75"/>
      <c r="BS148" s="75"/>
      <c r="BT148" s="75"/>
      <c r="BU148" s="75"/>
      <c r="BV148" s="75"/>
      <c r="BW148" s="75"/>
      <c r="BX148" s="65" t="s">
        <v>3047</v>
      </c>
      <c r="CA148" s="84"/>
      <c r="YD148" s="26">
        <v>1</v>
      </c>
      <c r="YE148" s="26">
        <v>1</v>
      </c>
      <c r="YF148" s="26" t="s">
        <v>2957</v>
      </c>
      <c r="YG148" s="26">
        <v>3</v>
      </c>
      <c r="YH148" s="26"/>
      <c r="YI148" s="26"/>
      <c r="YJ148" s="26"/>
      <c r="YK148" s="26"/>
      <c r="YL148" s="26"/>
      <c r="YM148" s="26"/>
    </row>
    <row r="149" spans="2:681" s="65" customFormat="1" ht="14.4" outlineLevel="1">
      <c r="B149" s="342">
        <v>7</v>
      </c>
      <c r="C149" s="194">
        <v>45139</v>
      </c>
      <c r="D149" s="75" t="s">
        <v>73</v>
      </c>
      <c r="E149" s="72">
        <v>45144</v>
      </c>
      <c r="F149" s="72">
        <v>45153</v>
      </c>
      <c r="G149" s="69" t="s">
        <v>2914</v>
      </c>
      <c r="H149" s="65" t="s">
        <v>745</v>
      </c>
      <c r="I149" s="65" t="s">
        <v>2269</v>
      </c>
      <c r="J149" s="65" t="s">
        <v>2933</v>
      </c>
      <c r="K149" s="316">
        <v>45146.677083333336</v>
      </c>
      <c r="L149" s="316">
        <v>45146.686805555553</v>
      </c>
      <c r="M149" s="196">
        <v>45147.0625</v>
      </c>
      <c r="N149" s="196">
        <v>45150.798611111109</v>
      </c>
      <c r="O149" s="1188" t="s">
        <v>2916</v>
      </c>
      <c r="P149" s="62"/>
      <c r="Q149" s="62"/>
      <c r="R149" s="62"/>
      <c r="S149" s="62"/>
      <c r="T149" s="62"/>
      <c r="U149" s="62">
        <v>40962.240000000005</v>
      </c>
      <c r="V149" s="62"/>
      <c r="W149" s="62"/>
      <c r="X149" s="62"/>
      <c r="Y149" s="62"/>
      <c r="Z149" s="325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>
        <v>6350.5239999999994</v>
      </c>
      <c r="AV149" s="62">
        <v>6687.2359999999999</v>
      </c>
      <c r="AW149" s="62"/>
      <c r="AX149" s="62"/>
      <c r="AY149" s="62"/>
      <c r="AZ149" s="62"/>
      <c r="BA149" s="62"/>
      <c r="BB149" s="62"/>
      <c r="BC149" s="62"/>
      <c r="BD149" s="62"/>
      <c r="BE149" s="318">
        <v>54000</v>
      </c>
      <c r="BF149" s="318">
        <v>54000</v>
      </c>
      <c r="BG149" s="1180">
        <f>SUM(P149:AY149)</f>
        <v>54000</v>
      </c>
      <c r="BH149" s="69">
        <v>18000</v>
      </c>
      <c r="BI149" s="1188" t="s">
        <v>12</v>
      </c>
      <c r="BJ149" s="1188" t="s">
        <v>41</v>
      </c>
      <c r="BK149" s="75" t="s">
        <v>2924</v>
      </c>
      <c r="BL149" s="72">
        <v>45139.771527777775</v>
      </c>
      <c r="BM149" s="72">
        <v>45140.595833333333</v>
      </c>
      <c r="BN149" s="75"/>
      <c r="BO149" s="198">
        <v>76361</v>
      </c>
      <c r="BP149" s="65" t="str">
        <f>IF(BO149=0,"0",IF(BO149&lt;=50000,"HANDYMAX",IF(BO149&lt;=58000,"SUPER HANDYMAX",IF(BO149&lt;=80000,"PANAMAX",IF(BO149&gt;=80001,"POST PANAMAX")))))</f>
        <v>PANAMAX</v>
      </c>
      <c r="BQ149" s="75"/>
      <c r="BR149" s="75"/>
      <c r="BS149" s="75"/>
      <c r="BT149" s="75"/>
      <c r="BU149" s="75"/>
      <c r="BV149" s="75"/>
      <c r="BW149" s="75"/>
      <c r="BX149" s="65" t="s">
        <v>3048</v>
      </c>
      <c r="CA149" s="84"/>
      <c r="YI149" s="26">
        <v>1</v>
      </c>
      <c r="YJ149" s="26">
        <v>2</v>
      </c>
      <c r="YK149" s="26"/>
      <c r="YL149" s="26"/>
      <c r="YM149" s="26"/>
      <c r="YN149" s="26"/>
      <c r="YO149" s="26"/>
      <c r="YP149" s="26"/>
      <c r="YQ149" s="26"/>
      <c r="YR149" s="26"/>
    </row>
    <row r="150" spans="2:681" s="65" customFormat="1" ht="14.4" outlineLevel="1">
      <c r="B150" s="75">
        <v>8</v>
      </c>
      <c r="C150" s="194">
        <v>45139</v>
      </c>
      <c r="D150" s="75" t="s">
        <v>2983</v>
      </c>
      <c r="E150" s="72">
        <v>45143</v>
      </c>
      <c r="F150" s="72">
        <v>45152</v>
      </c>
      <c r="G150" s="69" t="s">
        <v>107</v>
      </c>
      <c r="H150" s="65" t="s">
        <v>3049</v>
      </c>
      <c r="I150" s="65" t="s">
        <v>3050</v>
      </c>
      <c r="J150" s="65" t="s">
        <v>2922</v>
      </c>
      <c r="K150" s="316">
        <v>45143</v>
      </c>
      <c r="L150" s="316">
        <v>45143.000694444447</v>
      </c>
      <c r="M150" s="196">
        <v>45150.620138888888</v>
      </c>
      <c r="N150" s="196">
        <v>45152.244444444441</v>
      </c>
      <c r="O150" s="1188" t="s">
        <v>2916</v>
      </c>
      <c r="P150" s="62"/>
      <c r="Q150" s="62">
        <v>7090</v>
      </c>
      <c r="R150" s="62"/>
      <c r="S150" s="62"/>
      <c r="T150" s="62">
        <v>30980</v>
      </c>
      <c r="U150" s="62"/>
      <c r="V150" s="62"/>
      <c r="W150" s="62"/>
      <c r="X150" s="62"/>
      <c r="Y150" s="62"/>
      <c r="Z150" s="325"/>
      <c r="AA150" s="62"/>
      <c r="AB150" s="62"/>
      <c r="AC150" s="62">
        <v>5509.34</v>
      </c>
      <c r="AD150" s="62"/>
      <c r="AE150" s="62"/>
      <c r="AF150" s="62"/>
      <c r="AG150" s="62"/>
      <c r="AH150" s="62"/>
      <c r="AI150" s="62"/>
      <c r="AJ150" s="62"/>
      <c r="AK150" s="62"/>
      <c r="AL150" s="62">
        <v>7504</v>
      </c>
      <c r="AM150" s="62"/>
      <c r="AN150" s="62">
        <v>10650</v>
      </c>
      <c r="AO150" s="62"/>
      <c r="AP150" s="62"/>
      <c r="AQ150" s="62">
        <v>7523.8519999999999</v>
      </c>
      <c r="AR150" s="62"/>
      <c r="AS150" s="62"/>
      <c r="AT150" s="62"/>
      <c r="AU150" s="62">
        <v>7692.9040000000005</v>
      </c>
      <c r="AV150" s="62"/>
      <c r="AW150" s="62"/>
      <c r="AX150" s="62"/>
      <c r="AY150" s="62"/>
      <c r="AZ150" s="62"/>
      <c r="BA150" s="62"/>
      <c r="BB150" s="62"/>
      <c r="BC150" s="62"/>
      <c r="BD150" s="62"/>
      <c r="BE150" s="318">
        <v>76950</v>
      </c>
      <c r="BF150" s="318">
        <v>76950</v>
      </c>
      <c r="BG150" s="1180">
        <f t="shared" si="41"/>
        <v>76950.09599999999</v>
      </c>
      <c r="BH150" s="69">
        <v>11000</v>
      </c>
      <c r="BI150" s="1188" t="s">
        <v>20</v>
      </c>
      <c r="BJ150" s="1188" t="s">
        <v>2923</v>
      </c>
      <c r="BK150" s="75" t="s">
        <v>2927</v>
      </c>
      <c r="BL150" s="72">
        <v>45135.085416666669</v>
      </c>
      <c r="BM150" s="72">
        <v>45135.910416666666</v>
      </c>
      <c r="BN150" s="75"/>
      <c r="BO150" s="198">
        <v>81354</v>
      </c>
      <c r="BP150" s="65" t="str">
        <f t="shared" si="42"/>
        <v>POST PANAMAX</v>
      </c>
      <c r="BQ150" s="75"/>
      <c r="BR150" s="75"/>
      <c r="BS150" s="75"/>
      <c r="BT150" s="75"/>
      <c r="BU150" s="75"/>
      <c r="BV150" s="75"/>
      <c r="BW150" s="75"/>
      <c r="BX150" s="65" t="s">
        <v>3051</v>
      </c>
      <c r="CA150" s="84"/>
      <c r="YH150" s="26">
        <v>1</v>
      </c>
      <c r="YI150" s="26"/>
      <c r="YJ150" s="26"/>
      <c r="YK150" s="26"/>
      <c r="YL150" s="26"/>
      <c r="YM150" s="26"/>
      <c r="YN150" s="26"/>
      <c r="YO150" s="26"/>
      <c r="YP150" s="26"/>
      <c r="YQ150" s="26"/>
    </row>
    <row r="151" spans="2:681" s="65" customFormat="1" ht="14.4" outlineLevel="1">
      <c r="B151" s="342">
        <v>9</v>
      </c>
      <c r="C151" s="194">
        <v>45139</v>
      </c>
      <c r="D151" s="75" t="s">
        <v>74</v>
      </c>
      <c r="E151" s="72">
        <v>45141</v>
      </c>
      <c r="F151" s="72">
        <v>45150</v>
      </c>
      <c r="G151" s="69" t="s">
        <v>2914</v>
      </c>
      <c r="H151" s="65" t="s">
        <v>2283</v>
      </c>
      <c r="I151" s="65" t="s">
        <v>2284</v>
      </c>
      <c r="J151" s="65" t="s">
        <v>2922</v>
      </c>
      <c r="K151" s="316">
        <v>45150.59375</v>
      </c>
      <c r="L151" s="316">
        <v>45150.613888888889</v>
      </c>
      <c r="M151" s="196">
        <v>45152.722222222219</v>
      </c>
      <c r="N151" s="196">
        <v>45155.020833333336</v>
      </c>
      <c r="O151" s="1188" t="s">
        <v>2916</v>
      </c>
      <c r="P151" s="62"/>
      <c r="Q151" s="62">
        <v>7506.6030000000001</v>
      </c>
      <c r="R151" s="62"/>
      <c r="S151" s="62"/>
      <c r="T151" s="62">
        <v>7507.1480000000001</v>
      </c>
      <c r="U151" s="62"/>
      <c r="V151" s="62"/>
      <c r="W151" s="62"/>
      <c r="X151" s="62">
        <v>6978.9110000000001</v>
      </c>
      <c r="Y151" s="62">
        <v>36639.338000000003</v>
      </c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>
        <v>5101</v>
      </c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318">
        <v>63733</v>
      </c>
      <c r="BF151" s="318">
        <v>63733</v>
      </c>
      <c r="BG151" s="1180">
        <f>SUM(P151:AY151)</f>
        <v>63733</v>
      </c>
      <c r="BH151" s="69">
        <v>12000</v>
      </c>
      <c r="BI151" s="1188" t="s">
        <v>12</v>
      </c>
      <c r="BJ151" s="1188" t="s">
        <v>32</v>
      </c>
      <c r="BK151" s="75" t="s">
        <v>2937</v>
      </c>
      <c r="BL151" s="72">
        <v>45138.784722222219</v>
      </c>
      <c r="BM151" s="72">
        <v>45141.618055555555</v>
      </c>
      <c r="BN151" s="75"/>
      <c r="BO151" s="198">
        <v>70296</v>
      </c>
      <c r="BP151" s="65" t="str">
        <f>IF(BO151=0,"0",IF(BO151&lt;=50000,"HANDYMAX",IF(BO151&lt;=58000,"SUPER HANDYMAX",IF(BO151&lt;=80000,"PANAMAX",IF(BO151&gt;=80001,"POST PANAMAX")))))</f>
        <v>PANAMAX</v>
      </c>
      <c r="BQ151" s="75"/>
      <c r="BR151" s="75"/>
      <c r="BS151" s="75"/>
      <c r="BT151" s="75"/>
      <c r="BU151" s="75"/>
      <c r="BV151" s="75"/>
      <c r="BW151" s="75"/>
      <c r="BX151" s="65" t="s">
        <v>3052</v>
      </c>
      <c r="CA151" s="84"/>
      <c r="YF151" s="26"/>
      <c r="YG151" s="26"/>
      <c r="YH151" s="26">
        <v>1</v>
      </c>
      <c r="YI151" s="26">
        <v>2</v>
      </c>
      <c r="YJ151" s="26"/>
      <c r="YK151" s="26"/>
      <c r="YL151" s="26">
        <v>4</v>
      </c>
      <c r="YM151" s="26">
        <v>3</v>
      </c>
      <c r="YN151" s="26">
        <v>5</v>
      </c>
      <c r="YO151" s="26">
        <v>6</v>
      </c>
      <c r="YR151" s="65">
        <v>4</v>
      </c>
    </row>
    <row r="152" spans="2:681" s="65" customFormat="1" ht="14.4" outlineLevel="1">
      <c r="B152" s="75">
        <v>10</v>
      </c>
      <c r="C152" s="194">
        <v>45139</v>
      </c>
      <c r="D152" s="75" t="s">
        <v>73</v>
      </c>
      <c r="E152" s="72">
        <v>45148</v>
      </c>
      <c r="F152" s="72">
        <v>45157</v>
      </c>
      <c r="G152" s="69" t="s">
        <v>107</v>
      </c>
      <c r="H152" s="65" t="s">
        <v>2298</v>
      </c>
      <c r="I152" s="65" t="s">
        <v>2300</v>
      </c>
      <c r="J152" s="65" t="s">
        <v>2926</v>
      </c>
      <c r="K152" s="316">
        <v>45147.25</v>
      </c>
      <c r="L152" s="316">
        <v>45147.245833333334</v>
      </c>
      <c r="M152" s="196">
        <v>45155.982638888891</v>
      </c>
      <c r="N152" s="196">
        <v>45157.083333333336</v>
      </c>
      <c r="O152" s="1188" t="s">
        <v>2916</v>
      </c>
      <c r="P152" s="62"/>
      <c r="Q152" s="62"/>
      <c r="R152" s="62"/>
      <c r="S152" s="62"/>
      <c r="T152" s="62"/>
      <c r="U152" s="62">
        <v>36881.184000000001</v>
      </c>
      <c r="V152" s="62"/>
      <c r="W152" s="62"/>
      <c r="X152" s="62">
        <v>7337.6030000000001</v>
      </c>
      <c r="Y152" s="62"/>
      <c r="Z152" s="62"/>
      <c r="AA152" s="62"/>
      <c r="AB152" s="62"/>
      <c r="AC152" s="62"/>
      <c r="AD152" s="62"/>
      <c r="AE152" s="62"/>
      <c r="AF152" s="62">
        <v>7500</v>
      </c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>
        <v>6786.2129999999997</v>
      </c>
      <c r="AW152" s="62"/>
      <c r="AX152" s="62"/>
      <c r="AY152" s="62"/>
      <c r="AZ152" s="62"/>
      <c r="BA152" s="62"/>
      <c r="BB152" s="62"/>
      <c r="BC152" s="62"/>
      <c r="BD152" s="62"/>
      <c r="BE152" s="318">
        <v>58500</v>
      </c>
      <c r="BF152" s="318">
        <v>58500</v>
      </c>
      <c r="BG152" s="1180">
        <f>SUM(P152:AY152)</f>
        <v>58505</v>
      </c>
      <c r="BH152" s="69">
        <v>8170</v>
      </c>
      <c r="BI152" s="1188" t="s">
        <v>20</v>
      </c>
      <c r="BJ152" s="1188" t="s">
        <v>2923</v>
      </c>
      <c r="BK152" s="75" t="s">
        <v>2927</v>
      </c>
      <c r="BL152" s="72">
        <v>45141.488194444442</v>
      </c>
      <c r="BM152" s="72">
        <v>45144.7</v>
      </c>
      <c r="BN152" s="75"/>
      <c r="BO152" s="198">
        <v>76529</v>
      </c>
      <c r="BP152" s="65" t="str">
        <f>IF(BO152=0,"0",IF(BO152&lt;=50000,"HANDYMAX",IF(BO152&lt;=58000,"SUPER HANDYMAX",IF(BO152&lt;=80000,"PANAMAX",IF(BO152&gt;=80001,"POST PANAMAX")))))</f>
        <v>PANAMAX</v>
      </c>
      <c r="BQ152" s="75"/>
      <c r="BR152" s="75"/>
      <c r="BS152" s="75"/>
      <c r="BT152" s="75"/>
      <c r="BU152" s="75"/>
      <c r="BV152" s="75"/>
      <c r="BW152" s="75"/>
      <c r="BX152" s="65" t="s">
        <v>3053</v>
      </c>
      <c r="CA152" s="84"/>
      <c r="YL152" s="65">
        <v>1</v>
      </c>
      <c r="YM152" s="26">
        <v>1</v>
      </c>
      <c r="YN152" s="26"/>
      <c r="YO152" s="26"/>
      <c r="YP152" s="26"/>
      <c r="YQ152" s="26"/>
      <c r="YR152" s="26"/>
      <c r="YS152" s="26"/>
      <c r="YT152" s="26"/>
      <c r="YU152" s="26"/>
      <c r="YV152" s="26"/>
    </row>
    <row r="153" spans="2:681" s="65" customFormat="1" ht="14.4" outlineLevel="1">
      <c r="B153" s="75">
        <v>11</v>
      </c>
      <c r="C153" s="194">
        <v>45139</v>
      </c>
      <c r="D153" s="75" t="s">
        <v>74</v>
      </c>
      <c r="E153" s="72">
        <v>45146</v>
      </c>
      <c r="F153" s="72">
        <v>45155</v>
      </c>
      <c r="G153" s="69" t="s">
        <v>2914</v>
      </c>
      <c r="H153" s="65" t="s">
        <v>2309</v>
      </c>
      <c r="I153" s="65" t="s">
        <v>2311</v>
      </c>
      <c r="J153" s="65" t="s">
        <v>2932</v>
      </c>
      <c r="K153" s="316">
        <v>45142.708333333336</v>
      </c>
      <c r="L153" s="316">
        <v>45142.716666666667</v>
      </c>
      <c r="M153" s="196">
        <v>45153.972222222219</v>
      </c>
      <c r="N153" s="196">
        <v>45157.458333333336</v>
      </c>
      <c r="O153" s="1188" t="s">
        <v>2916</v>
      </c>
      <c r="P153" s="62"/>
      <c r="Q153" s="62"/>
      <c r="R153" s="62"/>
      <c r="S153" s="62"/>
      <c r="T153" s="62">
        <v>7506.2049999999999</v>
      </c>
      <c r="U153" s="62"/>
      <c r="V153" s="62"/>
      <c r="W153" s="62"/>
      <c r="X153" s="58">
        <v>7797.9480000000003</v>
      </c>
      <c r="Y153" s="58">
        <v>53649.974999999999</v>
      </c>
      <c r="Z153" s="62">
        <v>14655.082999999999</v>
      </c>
      <c r="AA153" s="62"/>
      <c r="AB153" s="62"/>
      <c r="AC153" s="62"/>
      <c r="AD153" s="62"/>
      <c r="AE153" s="62"/>
      <c r="AF153" s="62"/>
      <c r="AG153" s="62">
        <v>7500</v>
      </c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>
        <v>13097.789000000001</v>
      </c>
      <c r="AV153" s="62"/>
      <c r="AW153" s="62"/>
      <c r="AX153" s="62"/>
      <c r="AY153" s="62"/>
      <c r="AZ153" s="62"/>
      <c r="BA153" s="62"/>
      <c r="BB153" s="62"/>
      <c r="BC153" s="62"/>
      <c r="BD153" s="62"/>
      <c r="BE153" s="318">
        <v>104207</v>
      </c>
      <c r="BF153" s="318">
        <v>104207</v>
      </c>
      <c r="BG153" s="1180">
        <f t="shared" si="41"/>
        <v>104207</v>
      </c>
      <c r="BH153" s="69">
        <v>17000</v>
      </c>
      <c r="BI153" s="1188" t="s">
        <v>4</v>
      </c>
      <c r="BJ153" s="1188" t="s">
        <v>5</v>
      </c>
      <c r="BK153" s="75" t="s">
        <v>2918</v>
      </c>
      <c r="BL153" s="72">
        <v>45133.430555555555</v>
      </c>
      <c r="BM153" s="72">
        <v>45136.592361111114</v>
      </c>
      <c r="BN153" s="75"/>
      <c r="BO153" s="198">
        <v>114470</v>
      </c>
      <c r="BP153" s="65" t="str">
        <f t="shared" si="42"/>
        <v>POST PANAMAX</v>
      </c>
      <c r="BQ153" s="75"/>
      <c r="BR153" s="75"/>
      <c r="BS153" s="75"/>
      <c r="BT153" s="75"/>
      <c r="BU153" s="75"/>
      <c r="BV153" s="75"/>
      <c r="BW153" s="75"/>
      <c r="BX153" s="65" t="s">
        <v>3054</v>
      </c>
      <c r="CA153" s="84"/>
      <c r="YG153" s="65">
        <v>1</v>
      </c>
      <c r="YK153" s="26"/>
      <c r="YL153" s="26"/>
      <c r="YM153" s="26"/>
      <c r="YN153" s="26"/>
      <c r="YO153" s="26"/>
      <c r="YP153" s="26"/>
      <c r="YQ153" s="26"/>
      <c r="YR153" s="26"/>
      <c r="YS153" s="26"/>
      <c r="YT153" s="26"/>
    </row>
    <row r="154" spans="2:681" s="65" customFormat="1" ht="14.4" outlineLevel="1">
      <c r="B154" s="75">
        <v>12</v>
      </c>
      <c r="C154" s="194">
        <v>45139</v>
      </c>
      <c r="D154" s="75" t="s">
        <v>74</v>
      </c>
      <c r="E154" s="72">
        <v>45148</v>
      </c>
      <c r="F154" s="72">
        <v>45157</v>
      </c>
      <c r="G154" s="69" t="s">
        <v>2914</v>
      </c>
      <c r="H154" s="288" t="s">
        <v>628</v>
      </c>
      <c r="I154" s="65" t="s">
        <v>2343</v>
      </c>
      <c r="J154" s="65" t="s">
        <v>2922</v>
      </c>
      <c r="K154" s="316">
        <v>45148.791666666664</v>
      </c>
      <c r="L154" s="316">
        <v>45148.762499999997</v>
      </c>
      <c r="M154" s="196">
        <v>45155.5</v>
      </c>
      <c r="N154" s="196">
        <v>45158.486111111109</v>
      </c>
      <c r="O154" s="1188" t="s">
        <v>2916</v>
      </c>
      <c r="P154" s="62"/>
      <c r="Q154" s="62"/>
      <c r="R154" s="62"/>
      <c r="S154" s="62"/>
      <c r="T154" s="62"/>
      <c r="U154" s="62"/>
      <c r="V154" s="62"/>
      <c r="W154" s="62"/>
      <c r="X154" s="62">
        <v>9932.1939999999995</v>
      </c>
      <c r="Y154" s="62">
        <v>54207.350999999995</v>
      </c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>
        <v>7560.4549999999999</v>
      </c>
      <c r="AV154" s="62"/>
      <c r="AW154" s="62"/>
      <c r="AX154" s="62"/>
      <c r="AY154" s="62"/>
      <c r="AZ154" s="62"/>
      <c r="BA154" s="62"/>
      <c r="BB154" s="62"/>
      <c r="BC154" s="62"/>
      <c r="BD154" s="62"/>
      <c r="BE154" s="318">
        <v>71700</v>
      </c>
      <c r="BF154" s="318">
        <v>71700</v>
      </c>
      <c r="BG154" s="1180">
        <f>SUM(P154:AY154)</f>
        <v>71700</v>
      </c>
      <c r="BH154" s="69">
        <v>9000</v>
      </c>
      <c r="BI154" s="1188" t="s">
        <v>12</v>
      </c>
      <c r="BJ154" s="1188" t="s">
        <v>32</v>
      </c>
      <c r="BK154" s="75" t="s">
        <v>2924</v>
      </c>
      <c r="BL154" s="72">
        <v>45141.515277777777</v>
      </c>
      <c r="BM154" s="72">
        <v>45145.460416666669</v>
      </c>
      <c r="BN154" s="75"/>
      <c r="BO154" s="198">
        <v>75725</v>
      </c>
      <c r="BP154" s="65" t="str">
        <f>IF(BO154=0,"0",IF(BO154&lt;=50000,"HANDYMAX",IF(BO154&lt;=58000,"SUPER HANDYMAX",IF(BO154&lt;=80000,"PANAMAX",IF(BO154&gt;=80001,"POST PANAMAX")))))</f>
        <v>PANAMAX</v>
      </c>
      <c r="BQ154" s="75"/>
      <c r="BR154" s="75"/>
      <c r="BS154" s="75"/>
      <c r="BT154" s="75"/>
      <c r="BU154" s="75"/>
      <c r="BV154" s="75"/>
      <c r="BW154" s="75"/>
      <c r="CA154" s="84"/>
      <c r="YM154" s="26">
        <v>2</v>
      </c>
      <c r="YN154" s="26">
        <v>1</v>
      </c>
      <c r="YO154" s="26"/>
      <c r="YP154" s="26"/>
      <c r="YQ154" s="26"/>
      <c r="YR154" s="26"/>
      <c r="YS154" s="26"/>
      <c r="YT154" s="26"/>
      <c r="YU154" s="26"/>
      <c r="YV154" s="26"/>
    </row>
    <row r="155" spans="2:681" s="65" customFormat="1" ht="14.4" outlineLevel="1">
      <c r="B155" s="75">
        <v>13</v>
      </c>
      <c r="C155" s="194">
        <v>45139</v>
      </c>
      <c r="D155" s="75" t="s">
        <v>85</v>
      </c>
      <c r="E155" s="72">
        <v>45150</v>
      </c>
      <c r="F155" s="72">
        <v>45159</v>
      </c>
      <c r="G155" s="69" t="s">
        <v>2942</v>
      </c>
      <c r="H155" s="65" t="s">
        <v>2355</v>
      </c>
      <c r="I155" s="65" t="s">
        <v>2357</v>
      </c>
      <c r="J155" s="65" t="s">
        <v>2943</v>
      </c>
      <c r="K155" s="316">
        <v>45152.916666666664</v>
      </c>
      <c r="L155" s="316">
        <v>45152.850694444445</v>
      </c>
      <c r="M155" s="196">
        <v>45153.833333333336</v>
      </c>
      <c r="N155" s="196">
        <v>45159.458333333336</v>
      </c>
      <c r="O155" s="1188" t="s">
        <v>2916</v>
      </c>
      <c r="P155" s="62"/>
      <c r="Q155" s="62"/>
      <c r="R155" s="62"/>
      <c r="S155" s="62"/>
      <c r="T155" s="62"/>
      <c r="U155" s="62">
        <v>17828.578999999998</v>
      </c>
      <c r="V155" s="62"/>
      <c r="W155" s="62"/>
      <c r="X155" s="62"/>
      <c r="Y155" s="62"/>
      <c r="Z155" s="62">
        <v>36921.421000000002</v>
      </c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318">
        <v>54750</v>
      </c>
      <c r="BF155" s="318">
        <v>54750</v>
      </c>
      <c r="BG155" s="1180">
        <f t="shared" si="41"/>
        <v>54750</v>
      </c>
      <c r="BH155" s="69">
        <v>11531</v>
      </c>
      <c r="BI155" s="1188" t="s">
        <v>16</v>
      </c>
      <c r="BJ155" s="1188" t="s">
        <v>45</v>
      </c>
      <c r="BK155" s="75" t="s">
        <v>2944</v>
      </c>
      <c r="BL155" s="72">
        <v>45141.911111111112</v>
      </c>
      <c r="BM155" s="72">
        <v>45143.286111111112</v>
      </c>
      <c r="BN155" s="75"/>
      <c r="BO155" s="198">
        <v>58732</v>
      </c>
      <c r="BP155" s="65" t="str">
        <f t="shared" si="42"/>
        <v>PANAMAX</v>
      </c>
      <c r="BQ155" s="75"/>
      <c r="BR155" s="75"/>
      <c r="BS155" s="75"/>
      <c r="BT155" s="75"/>
      <c r="BU155" s="75"/>
      <c r="BV155" s="75"/>
      <c r="BW155" s="75"/>
      <c r="BX155" s="65" t="s">
        <v>3055</v>
      </c>
      <c r="CA155" s="84"/>
      <c r="YO155" s="26">
        <v>1</v>
      </c>
      <c r="YP155" s="26"/>
      <c r="YQ155" s="26">
        <v>3</v>
      </c>
      <c r="YR155" s="26">
        <v>2</v>
      </c>
      <c r="YS155" s="26"/>
      <c r="YT155" s="26"/>
      <c r="YU155" s="26"/>
      <c r="YV155" s="26"/>
      <c r="YW155" s="26"/>
      <c r="YX155" s="26"/>
    </row>
    <row r="156" spans="2:681" s="65" customFormat="1" ht="14.4" outlineLevel="1">
      <c r="B156" s="75">
        <v>14</v>
      </c>
      <c r="C156" s="194">
        <v>45139</v>
      </c>
      <c r="D156" s="75" t="s">
        <v>74</v>
      </c>
      <c r="E156" s="72">
        <v>45154</v>
      </c>
      <c r="F156" s="72">
        <v>45163</v>
      </c>
      <c r="G156" s="69" t="s">
        <v>2914</v>
      </c>
      <c r="H156" s="65" t="s">
        <v>2361</v>
      </c>
      <c r="I156" s="65" t="s">
        <v>2363</v>
      </c>
      <c r="J156" s="65" t="s">
        <v>2915</v>
      </c>
      <c r="K156" s="316">
        <v>45151.166666666664</v>
      </c>
      <c r="L156" s="316">
        <v>45151.112500000003</v>
      </c>
      <c r="M156" s="196">
        <v>45158.763888888891</v>
      </c>
      <c r="N156" s="196">
        <v>45160.361111111109</v>
      </c>
      <c r="O156" s="1188" t="s">
        <v>2916</v>
      </c>
      <c r="P156" s="62"/>
      <c r="Q156" s="62"/>
      <c r="R156" s="62"/>
      <c r="S156" s="62"/>
      <c r="T156" s="62"/>
      <c r="U156" s="62">
        <v>7303.4250000000002</v>
      </c>
      <c r="V156" s="62"/>
      <c r="W156" s="62"/>
      <c r="X156" s="62">
        <v>23214.654000000002</v>
      </c>
      <c r="Y156" s="62">
        <v>14671.005000000001</v>
      </c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>
        <v>7510.9160000000002</v>
      </c>
      <c r="AW156" s="62"/>
      <c r="AX156" s="62"/>
      <c r="AY156" s="62"/>
      <c r="AZ156" s="62"/>
      <c r="BA156" s="62"/>
      <c r="BB156" s="62"/>
      <c r="BC156" s="62"/>
      <c r="BD156" s="62"/>
      <c r="BE156" s="318">
        <v>52700</v>
      </c>
      <c r="BF156" s="318">
        <v>52700</v>
      </c>
      <c r="BG156" s="1180">
        <f t="shared" ref="BG156:BG160" si="43">SUM(P156:AY156)</f>
        <v>52700</v>
      </c>
      <c r="BH156" s="69">
        <v>8000</v>
      </c>
      <c r="BI156" s="1188" t="s">
        <v>12</v>
      </c>
      <c r="BJ156" s="1188" t="s">
        <v>32</v>
      </c>
      <c r="BK156" s="75" t="s">
        <v>3011</v>
      </c>
      <c r="BL156" s="72">
        <v>45149.429861111108</v>
      </c>
      <c r="BM156" s="72">
        <v>45149.429861111108</v>
      </c>
      <c r="BN156" s="75"/>
      <c r="BO156" s="198">
        <v>53743</v>
      </c>
      <c r="BP156" s="65" t="str">
        <f t="shared" ref="BP156:BP160" si="44">IF(BO156=0,"0",IF(BO156&lt;=50000,"HANDYMAX",IF(BO156&lt;=58000,"SUPER HANDYMAX",IF(BO156&lt;=80000,"PANAMAX",IF(BO156&gt;=80001,"POST PANAMAX")))))</f>
        <v>SUPER HANDYMAX</v>
      </c>
      <c r="BQ156" s="75"/>
      <c r="BR156" s="75"/>
      <c r="BS156" s="75"/>
      <c r="BT156" s="75"/>
      <c r="BU156" s="75"/>
      <c r="BV156" s="75"/>
      <c r="BW156" s="75"/>
      <c r="BX156" s="65" t="s">
        <v>3056</v>
      </c>
      <c r="CA156" s="84"/>
      <c r="YP156" s="65">
        <v>1</v>
      </c>
      <c r="YQ156" s="65">
        <v>1</v>
      </c>
      <c r="YS156" s="26"/>
      <c r="YT156" s="26"/>
      <c r="YU156" s="26"/>
      <c r="YV156" s="26"/>
      <c r="YW156" s="26"/>
      <c r="YX156" s="26"/>
      <c r="YY156" s="26"/>
      <c r="YZ156" s="26"/>
      <c r="ZA156" s="26"/>
      <c r="ZB156" s="26"/>
    </row>
    <row r="157" spans="2:681" s="65" customFormat="1" ht="14.4" outlineLevel="1">
      <c r="B157" s="75">
        <v>15</v>
      </c>
      <c r="C157" s="194">
        <v>45139</v>
      </c>
      <c r="D157" s="75" t="s">
        <v>73</v>
      </c>
      <c r="E157" s="72">
        <v>45155</v>
      </c>
      <c r="F157" s="72">
        <v>45164</v>
      </c>
      <c r="G157" s="69" t="s">
        <v>2914</v>
      </c>
      <c r="H157" s="65" t="s">
        <v>2371</v>
      </c>
      <c r="I157" s="65" t="s">
        <v>2373</v>
      </c>
      <c r="J157" s="65" t="s">
        <v>2933</v>
      </c>
      <c r="K157" s="316">
        <v>45160.0625</v>
      </c>
      <c r="L157" s="316">
        <v>45160.04583333333</v>
      </c>
      <c r="M157" s="196">
        <v>45161.729166666664</v>
      </c>
      <c r="N157" s="196">
        <v>45163.489583333336</v>
      </c>
      <c r="O157" s="1188" t="s">
        <v>2916</v>
      </c>
      <c r="P157" s="62"/>
      <c r="Q157" s="62"/>
      <c r="R157" s="62"/>
      <c r="S157" s="62"/>
      <c r="T157" s="62"/>
      <c r="U157" s="62">
        <v>19530</v>
      </c>
      <c r="V157" s="62"/>
      <c r="W157" s="62"/>
      <c r="X157" s="62"/>
      <c r="Y157" s="62"/>
      <c r="Z157" s="325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318">
        <v>19530</v>
      </c>
      <c r="BF157" s="318">
        <v>19530</v>
      </c>
      <c r="BG157" s="1180">
        <f>SUM(P157:AY157)</f>
        <v>19530</v>
      </c>
      <c r="BH157" s="69">
        <v>16000</v>
      </c>
      <c r="BI157" s="1188" t="s">
        <v>16</v>
      </c>
      <c r="BJ157" s="1188" t="s">
        <v>45</v>
      </c>
      <c r="BK157" s="75" t="s">
        <v>2968</v>
      </c>
      <c r="BL157" s="72">
        <v>45151.661805555559</v>
      </c>
      <c r="BM157" s="72">
        <v>45156.61041666667</v>
      </c>
      <c r="BN157" s="75"/>
      <c r="BO157" s="198">
        <v>28396</v>
      </c>
      <c r="BP157" s="65" t="str">
        <f>IF(BO157=0,"0",IF(BO157&lt;=50000,"HANDYMAX",IF(BO157&lt;=58000,"SUPER HANDYMAX",IF(BO157&lt;=80000,"PANAMAX",IF(BO157&gt;=80001,"POST PANAMAX")))))</f>
        <v>HANDYMAX</v>
      </c>
      <c r="BQ157" s="75"/>
      <c r="BR157" s="75"/>
      <c r="BS157" s="75"/>
      <c r="BT157" s="75"/>
      <c r="BU157" s="75"/>
      <c r="BV157" s="75"/>
      <c r="BW157" s="75"/>
      <c r="CA157" s="84"/>
      <c r="YT157" s="26"/>
      <c r="YU157" s="26"/>
      <c r="YV157" s="26">
        <v>1</v>
      </c>
      <c r="YW157" s="26"/>
      <c r="YX157" s="26"/>
      <c r="YY157" s="26">
        <v>2</v>
      </c>
      <c r="YZ157" s="26"/>
      <c r="ZA157" s="26"/>
      <c r="ZB157" s="26"/>
      <c r="ZC157" s="26"/>
    </row>
    <row r="158" spans="2:681" s="65" customFormat="1" ht="14.4" outlineLevel="1">
      <c r="B158" s="75">
        <v>16</v>
      </c>
      <c r="C158" s="194">
        <v>45139</v>
      </c>
      <c r="D158" s="75" t="s">
        <v>74</v>
      </c>
      <c r="E158" s="72">
        <v>45151</v>
      </c>
      <c r="F158" s="72">
        <v>45160</v>
      </c>
      <c r="G158" s="69" t="s">
        <v>2914</v>
      </c>
      <c r="H158" s="65" t="s">
        <v>2199</v>
      </c>
      <c r="I158" s="65" t="s">
        <v>2378</v>
      </c>
      <c r="J158" s="65" t="s">
        <v>2948</v>
      </c>
      <c r="K158" s="316">
        <v>45156.625</v>
      </c>
      <c r="L158" s="316">
        <v>45156.616666666669</v>
      </c>
      <c r="M158" s="196">
        <v>45160.465277777781</v>
      </c>
      <c r="N158" s="196">
        <v>45164.645833333336</v>
      </c>
      <c r="O158" s="1188" t="s">
        <v>2916</v>
      </c>
      <c r="P158" s="62">
        <v>7017.3819999999996</v>
      </c>
      <c r="Q158" s="62"/>
      <c r="R158" s="62"/>
      <c r="S158" s="62"/>
      <c r="T158" s="62"/>
      <c r="U158" s="62">
        <v>1840.454</v>
      </c>
      <c r="V158" s="62"/>
      <c r="W158" s="62"/>
      <c r="X158" s="62">
        <v>53384.485499999995</v>
      </c>
      <c r="Y158" s="62">
        <v>18157.678500000002</v>
      </c>
      <c r="Z158" s="325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318">
        <v>80400</v>
      </c>
      <c r="BF158" s="318">
        <v>80400</v>
      </c>
      <c r="BG158" s="1180">
        <f t="shared" si="43"/>
        <v>80400</v>
      </c>
      <c r="BH158" s="69">
        <v>8874</v>
      </c>
      <c r="BI158" s="1188" t="s">
        <v>4</v>
      </c>
      <c r="BJ158" s="1188" t="s">
        <v>5</v>
      </c>
      <c r="BK158" s="75" t="s">
        <v>2937</v>
      </c>
      <c r="BL158" s="72">
        <v>45150.501388888886</v>
      </c>
      <c r="BM158" s="72">
        <v>45153.807638888888</v>
      </c>
      <c r="BN158" s="75"/>
      <c r="BO158" s="198">
        <v>81841</v>
      </c>
      <c r="BP158" s="65" t="str">
        <f t="shared" si="44"/>
        <v>POST PANAMAX</v>
      </c>
      <c r="BQ158" s="75"/>
      <c r="BR158" s="75"/>
      <c r="BS158" s="75"/>
      <c r="BT158" s="75"/>
      <c r="BU158" s="75"/>
      <c r="BV158" s="75"/>
      <c r="BW158" s="75"/>
      <c r="BX158" s="65" t="s">
        <v>3057</v>
      </c>
      <c r="CA158" s="84"/>
      <c r="YP158" s="26"/>
      <c r="YQ158" s="26"/>
      <c r="YR158" s="26"/>
      <c r="YS158" s="26">
        <v>1</v>
      </c>
      <c r="YT158" s="26"/>
      <c r="YU158" s="26">
        <v>2</v>
      </c>
      <c r="YV158" s="26"/>
      <c r="YW158" s="26"/>
      <c r="YX158" s="26"/>
      <c r="YY158" s="26"/>
    </row>
    <row r="159" spans="2:681" s="65" customFormat="1" ht="14.4" outlineLevel="1">
      <c r="B159" s="75">
        <v>17</v>
      </c>
      <c r="C159" s="194">
        <v>45139</v>
      </c>
      <c r="D159" s="75" t="s">
        <v>73</v>
      </c>
      <c r="E159" s="72">
        <v>45153</v>
      </c>
      <c r="F159" s="72">
        <v>45162</v>
      </c>
      <c r="G159" s="69" t="s">
        <v>2914</v>
      </c>
      <c r="H159" s="65" t="s">
        <v>2392</v>
      </c>
      <c r="I159" s="65" t="s">
        <v>2394</v>
      </c>
      <c r="J159" s="65" t="s">
        <v>2933</v>
      </c>
      <c r="K159" s="316">
        <v>45159.354166666664</v>
      </c>
      <c r="L159" s="316">
        <v>45159.354166666664</v>
      </c>
      <c r="M159" s="196">
        <v>45165.96875</v>
      </c>
      <c r="N159" s="196">
        <v>45167.722222222219</v>
      </c>
      <c r="O159" s="1188" t="s">
        <v>2916</v>
      </c>
      <c r="P159" s="62"/>
      <c r="Q159" s="62"/>
      <c r="R159" s="62"/>
      <c r="S159" s="62"/>
      <c r="T159" s="62"/>
      <c r="U159" s="62">
        <v>52354.881999999998</v>
      </c>
      <c r="V159" s="62"/>
      <c r="W159" s="62"/>
      <c r="X159" s="62">
        <v>7545.1180000000004</v>
      </c>
      <c r="Y159" s="62"/>
      <c r="Z159" s="325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318">
        <v>59900</v>
      </c>
      <c r="BF159" s="318">
        <v>59900</v>
      </c>
      <c r="BG159" s="1180">
        <f t="shared" si="43"/>
        <v>59900</v>
      </c>
      <c r="BH159" s="69">
        <v>16500</v>
      </c>
      <c r="BI159" s="1188" t="s">
        <v>4</v>
      </c>
      <c r="BJ159" s="1188" t="s">
        <v>5</v>
      </c>
      <c r="BK159" s="75" t="s">
        <v>2924</v>
      </c>
      <c r="BL159" s="72">
        <v>45154.431944444441</v>
      </c>
      <c r="BM159" s="72">
        <v>45154.574305555558</v>
      </c>
      <c r="BN159" s="75"/>
      <c r="BO159" s="198">
        <v>81531</v>
      </c>
      <c r="BP159" s="65" t="str">
        <f t="shared" si="44"/>
        <v>POST PANAMAX</v>
      </c>
      <c r="BQ159" s="75"/>
      <c r="BR159" s="75"/>
      <c r="BS159" s="75"/>
      <c r="BT159" s="75"/>
      <c r="BU159" s="75"/>
      <c r="BV159" s="75"/>
      <c r="BW159" s="75"/>
      <c r="BX159" s="65" t="s">
        <v>3058</v>
      </c>
      <c r="CA159" s="84"/>
      <c r="YR159" s="26"/>
      <c r="YS159" s="26"/>
      <c r="YT159" s="26"/>
      <c r="YU159" s="26"/>
      <c r="YV159" s="26"/>
      <c r="YW159" s="26">
        <v>1</v>
      </c>
      <c r="YX159" s="26"/>
      <c r="YY159" s="26"/>
      <c r="YZ159" s="26"/>
      <c r="ZA159" s="26"/>
    </row>
    <row r="160" spans="2:681" s="65" customFormat="1" ht="14.4" outlineLevel="1">
      <c r="B160" s="75">
        <v>18</v>
      </c>
      <c r="C160" s="194">
        <v>45139</v>
      </c>
      <c r="D160" s="75" t="s">
        <v>74</v>
      </c>
      <c r="E160" s="72">
        <v>45157</v>
      </c>
      <c r="F160" s="72">
        <v>45166</v>
      </c>
      <c r="G160" s="69" t="s">
        <v>2914</v>
      </c>
      <c r="H160" s="65" t="s">
        <v>1827</v>
      </c>
      <c r="I160" s="65" t="s">
        <v>2408</v>
      </c>
      <c r="J160" s="65" t="s">
        <v>2963</v>
      </c>
      <c r="K160" s="316">
        <v>45159.447916666664</v>
      </c>
      <c r="L160" s="316">
        <v>45159.404166666667</v>
      </c>
      <c r="M160" s="196">
        <v>45166.770833333336</v>
      </c>
      <c r="N160" s="196">
        <v>45169.104166666664</v>
      </c>
      <c r="O160" s="1188" t="s">
        <v>2916</v>
      </c>
      <c r="P160" s="62"/>
      <c r="Q160" s="62"/>
      <c r="R160" s="62"/>
      <c r="S160" s="62"/>
      <c r="T160" s="62"/>
      <c r="U160" s="62"/>
      <c r="V160" s="62"/>
      <c r="W160" s="62"/>
      <c r="X160" s="62"/>
      <c r="Y160" s="62">
        <v>59695.243999999999</v>
      </c>
      <c r="Z160" s="62">
        <v>7304.7559999999994</v>
      </c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318">
        <v>67000</v>
      </c>
      <c r="BF160" s="318">
        <v>67000</v>
      </c>
      <c r="BG160" s="1180">
        <f t="shared" si="43"/>
        <v>67000</v>
      </c>
      <c r="BH160" s="69">
        <v>25000</v>
      </c>
      <c r="BI160" s="1188" t="s">
        <v>12</v>
      </c>
      <c r="BJ160" s="1188" t="s">
        <v>41</v>
      </c>
      <c r="BK160" s="75" t="s">
        <v>2920</v>
      </c>
      <c r="BL160" s="72">
        <v>45151.326388888891</v>
      </c>
      <c r="BM160" s="72">
        <v>45152.604166666664</v>
      </c>
      <c r="BN160" s="75"/>
      <c r="BO160" s="198">
        <v>76536</v>
      </c>
      <c r="BP160" s="65" t="str">
        <f t="shared" si="44"/>
        <v>PANAMAX</v>
      </c>
      <c r="BQ160" s="75"/>
      <c r="BR160" s="75"/>
      <c r="BS160" s="75"/>
      <c r="BT160" s="75"/>
      <c r="BU160" s="75"/>
      <c r="BV160" s="75"/>
      <c r="BW160" s="75"/>
      <c r="CA160" s="84"/>
      <c r="YV160" s="26"/>
      <c r="YW160" s="26"/>
      <c r="YX160" s="26">
        <v>2</v>
      </c>
      <c r="YY160" s="26">
        <v>1</v>
      </c>
      <c r="YZ160" s="26"/>
      <c r="ZA160" s="26"/>
      <c r="ZB160" s="26"/>
      <c r="ZC160" s="26"/>
      <c r="ZD160" s="26"/>
      <c r="ZE160" s="26"/>
    </row>
    <row r="161" spans="1:709" ht="14.4" outlineLevel="1">
      <c r="O161" s="1199" t="s">
        <v>96</v>
      </c>
      <c r="P161" s="458">
        <f>SUM(P143:P160)</f>
        <v>31503.661</v>
      </c>
      <c r="Q161" s="458">
        <f t="shared" ref="Q161:BG161" si="45">SUM(Q143:Q160)</f>
        <v>21809.067999999999</v>
      </c>
      <c r="R161" s="458">
        <f t="shared" si="45"/>
        <v>0</v>
      </c>
      <c r="S161" s="458">
        <f t="shared" si="45"/>
        <v>6313</v>
      </c>
      <c r="T161" s="458">
        <f t="shared" si="45"/>
        <v>58746.179000000004</v>
      </c>
      <c r="U161" s="458">
        <f t="shared" si="45"/>
        <v>248166.96899999998</v>
      </c>
      <c r="V161" s="458">
        <f t="shared" si="45"/>
        <v>0</v>
      </c>
      <c r="W161" s="458">
        <f t="shared" si="45"/>
        <v>0</v>
      </c>
      <c r="X161" s="458">
        <f t="shared" si="45"/>
        <v>195932.26599999997</v>
      </c>
      <c r="Y161" s="458">
        <f t="shared" si="45"/>
        <v>355398.65299999999</v>
      </c>
      <c r="Z161" s="458">
        <f t="shared" si="45"/>
        <v>58881.26</v>
      </c>
      <c r="AA161" s="458">
        <f t="shared" si="45"/>
        <v>0</v>
      </c>
      <c r="AB161" s="458">
        <f t="shared" si="45"/>
        <v>0</v>
      </c>
      <c r="AC161" s="458">
        <f t="shared" si="45"/>
        <v>10518.519</v>
      </c>
      <c r="AD161" s="458">
        <f t="shared" si="45"/>
        <v>0</v>
      </c>
      <c r="AE161" s="458">
        <f t="shared" si="45"/>
        <v>0</v>
      </c>
      <c r="AF161" s="458">
        <f t="shared" si="45"/>
        <v>15000</v>
      </c>
      <c r="AG161" s="458">
        <f t="shared" si="45"/>
        <v>22500</v>
      </c>
      <c r="AH161" s="458">
        <f t="shared" si="45"/>
        <v>0</v>
      </c>
      <c r="AI161" s="458">
        <f t="shared" si="45"/>
        <v>0</v>
      </c>
      <c r="AJ161" s="458">
        <f t="shared" si="45"/>
        <v>0</v>
      </c>
      <c r="AK161" s="458">
        <f t="shared" si="45"/>
        <v>0</v>
      </c>
      <c r="AL161" s="458">
        <f t="shared" si="45"/>
        <v>15066</v>
      </c>
      <c r="AM161" s="458">
        <f t="shared" si="45"/>
        <v>0</v>
      </c>
      <c r="AN161" s="458">
        <f t="shared" si="45"/>
        <v>10650</v>
      </c>
      <c r="AO161" s="458">
        <f t="shared" si="45"/>
        <v>0</v>
      </c>
      <c r="AP161" s="458">
        <f t="shared" si="45"/>
        <v>10141</v>
      </c>
      <c r="AQ161" s="458">
        <f t="shared" si="45"/>
        <v>7523.8519999999999</v>
      </c>
      <c r="AR161" s="458">
        <f t="shared" si="45"/>
        <v>15851.882000000001</v>
      </c>
      <c r="AS161" s="458">
        <f t="shared" si="45"/>
        <v>0</v>
      </c>
      <c r="AT161" s="458">
        <f t="shared" si="45"/>
        <v>0</v>
      </c>
      <c r="AU161" s="458">
        <f t="shared" si="45"/>
        <v>70928.37000000001</v>
      </c>
      <c r="AV161" s="458">
        <f t="shared" si="45"/>
        <v>28514.43</v>
      </c>
      <c r="AW161" s="458">
        <f t="shared" si="45"/>
        <v>0</v>
      </c>
      <c r="AX161" s="458">
        <f t="shared" si="45"/>
        <v>0</v>
      </c>
      <c r="AY161" s="458">
        <f t="shared" si="45"/>
        <v>0</v>
      </c>
      <c r="AZ161" s="458"/>
      <c r="BA161" s="458"/>
      <c r="BB161" s="458"/>
      <c r="BC161" s="458"/>
      <c r="BD161" s="458"/>
      <c r="BE161" s="458">
        <f t="shared" si="45"/>
        <v>1183440</v>
      </c>
      <c r="BF161" s="458">
        <f t="shared" si="45"/>
        <v>1183440</v>
      </c>
      <c r="BG161" s="1179">
        <f t="shared" si="45"/>
        <v>1183445.1090000002</v>
      </c>
    </row>
    <row r="162" spans="1:709" ht="14.4" outlineLevel="1">
      <c r="P162" s="1384">
        <f>SUM(P161:T161)</f>
        <v>118371.908</v>
      </c>
      <c r="Q162" s="1385"/>
      <c r="R162" s="1385"/>
      <c r="S162" s="1385"/>
      <c r="T162" s="1386"/>
      <c r="U162" s="1384">
        <f>SUM(U161:W161)</f>
        <v>248166.96899999998</v>
      </c>
      <c r="V162" s="1385"/>
      <c r="W162" s="1386"/>
      <c r="X162" s="1384">
        <f>SUM(X161:Y161)</f>
        <v>551330.91899999999</v>
      </c>
      <c r="Y162" s="1386"/>
      <c r="Z162" s="459">
        <f>Z161</f>
        <v>58881.26</v>
      </c>
      <c r="AA162" s="459">
        <f>AA161</f>
        <v>0</v>
      </c>
      <c r="AB162" s="1384">
        <f>SUM(AB161:AY161)</f>
        <v>206694.05300000001</v>
      </c>
      <c r="AC162" s="1385"/>
      <c r="AD162" s="1385"/>
      <c r="AE162" s="1385"/>
      <c r="AF162" s="1385"/>
      <c r="AG162" s="1385"/>
      <c r="AH162" s="1385"/>
      <c r="AI162" s="1385"/>
      <c r="AJ162" s="1385"/>
      <c r="AK162" s="1385"/>
      <c r="AL162" s="1385"/>
      <c r="AM162" s="1385"/>
      <c r="AN162" s="1385"/>
      <c r="AO162" s="1385"/>
      <c r="AP162" s="1385"/>
      <c r="AQ162" s="1385"/>
      <c r="AR162" s="1385"/>
      <c r="AS162" s="1385"/>
      <c r="AT162" s="1385"/>
      <c r="AU162" s="1385"/>
      <c r="AV162" s="1385"/>
      <c r="AW162" s="1385"/>
      <c r="AX162" s="1385"/>
      <c r="AY162" s="1386"/>
      <c r="AZ162" s="394"/>
      <c r="BA162" s="394"/>
      <c r="BB162" s="394"/>
      <c r="BC162" s="394"/>
      <c r="BD162" s="394"/>
      <c r="BE162" s="460"/>
      <c r="BF162" s="460"/>
      <c r="BG162" s="1179"/>
    </row>
    <row r="163" spans="1:709" ht="14.4" outlineLevel="1"/>
    <row r="164" spans="1:709" ht="14.4" outlineLevel="1">
      <c r="B164" s="99" t="s">
        <v>2748</v>
      </c>
    </row>
    <row r="165" spans="1:709" s="65" customFormat="1" ht="14.4" outlineLevel="1">
      <c r="B165" s="75">
        <v>1</v>
      </c>
      <c r="C165" s="194">
        <v>45139</v>
      </c>
      <c r="D165" s="75" t="s">
        <v>73</v>
      </c>
      <c r="E165" s="72">
        <v>45157</v>
      </c>
      <c r="F165" s="72">
        <v>45166</v>
      </c>
      <c r="G165" s="69" t="s">
        <v>107</v>
      </c>
      <c r="H165" s="65" t="s">
        <v>2420</v>
      </c>
      <c r="I165" s="65" t="s">
        <v>2421</v>
      </c>
      <c r="J165" s="65" t="s">
        <v>2933</v>
      </c>
      <c r="K165" s="316">
        <v>45157.375</v>
      </c>
      <c r="L165" s="316">
        <v>45157.375</v>
      </c>
      <c r="M165" s="196">
        <v>45171.989583333336</v>
      </c>
      <c r="N165" s="196">
        <v>45173.445833333331</v>
      </c>
      <c r="O165" s="1188" t="s">
        <v>2916</v>
      </c>
      <c r="P165" s="62"/>
      <c r="Q165" s="62"/>
      <c r="R165" s="62"/>
      <c r="S165" s="62"/>
      <c r="T165" s="62"/>
      <c r="U165" s="62">
        <v>41939.477000000014</v>
      </c>
      <c r="V165" s="62"/>
      <c r="W165" s="62"/>
      <c r="X165" s="62">
        <v>31310.523000000001</v>
      </c>
      <c r="Y165" s="325"/>
      <c r="Z165" s="325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318">
        <v>73250</v>
      </c>
      <c r="BF165" s="318">
        <v>73250</v>
      </c>
      <c r="BG165" s="1180">
        <f>SUM(P165:AY165)</f>
        <v>73250.000000000015</v>
      </c>
      <c r="BH165" s="69">
        <v>16000</v>
      </c>
      <c r="BI165" s="1188" t="s">
        <v>20</v>
      </c>
      <c r="BJ165" s="1188" t="s">
        <v>2923</v>
      </c>
      <c r="BK165" s="75" t="s">
        <v>2924</v>
      </c>
      <c r="BL165" s="72">
        <v>45154.74722222222</v>
      </c>
      <c r="BM165" s="72">
        <v>45155.953472222223</v>
      </c>
      <c r="BN165" s="75"/>
      <c r="BO165" s="198">
        <v>82205</v>
      </c>
      <c r="BP165" s="65" t="str">
        <f>IF(BO165=0,"0",IF(BO165&lt;=50000,"HANDYMAX",IF(BO165&lt;=58000,"SUPER HANDYMAX",IF(BO165&lt;=80000,"PANAMAX",IF(BO165&gt;=80001,"POST PANAMAX")))))</f>
        <v>POST PANAMAX</v>
      </c>
      <c r="BQ165" s="75"/>
      <c r="BR165" s="75"/>
      <c r="BS165" s="75"/>
      <c r="BT165" s="75"/>
      <c r="BU165" s="75"/>
      <c r="BV165" s="75"/>
      <c r="BW165" s="75"/>
      <c r="BX165" s="65" t="s">
        <v>3059</v>
      </c>
      <c r="CA165" s="84"/>
      <c r="YV165" s="26">
        <v>3</v>
      </c>
      <c r="YW165" s="26">
        <v>2</v>
      </c>
      <c r="YX165" s="26">
        <v>2</v>
      </c>
      <c r="YY165" s="26"/>
      <c r="YZ165" s="26"/>
      <c r="ZA165" s="26">
        <v>1</v>
      </c>
      <c r="ZB165" s="26">
        <v>1</v>
      </c>
      <c r="ZC165" s="26"/>
      <c r="ZD165" s="26"/>
      <c r="ZE165" s="26"/>
    </row>
    <row r="166" spans="1:709" s="65" customFormat="1" ht="14.4" outlineLevel="1">
      <c r="B166" s="75">
        <v>2</v>
      </c>
      <c r="C166" s="194">
        <v>45139</v>
      </c>
      <c r="D166" s="75" t="s">
        <v>74</v>
      </c>
      <c r="E166" s="72">
        <v>45158</v>
      </c>
      <c r="F166" s="72">
        <v>45167</v>
      </c>
      <c r="G166" s="69" t="s">
        <v>2914</v>
      </c>
      <c r="H166" s="65" t="s">
        <v>2431</v>
      </c>
      <c r="I166" s="65" t="s">
        <v>2433</v>
      </c>
      <c r="J166" s="65" t="s">
        <v>2926</v>
      </c>
      <c r="K166" s="316">
        <v>45158.4375</v>
      </c>
      <c r="L166" s="316">
        <v>45158.4375</v>
      </c>
      <c r="M166" s="196">
        <v>45171.5625</v>
      </c>
      <c r="N166" s="196">
        <v>45173.625</v>
      </c>
      <c r="O166" s="1188" t="s">
        <v>2916</v>
      </c>
      <c r="P166" s="62"/>
      <c r="Q166" s="62"/>
      <c r="R166" s="62"/>
      <c r="S166" s="62"/>
      <c r="T166" s="62"/>
      <c r="U166" s="62"/>
      <c r="V166" s="62"/>
      <c r="W166" s="62"/>
      <c r="X166" s="62">
        <v>50022.769</v>
      </c>
      <c r="Y166" s="62">
        <v>1275.0519999999999</v>
      </c>
      <c r="Z166" s="325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>
        <v>5325</v>
      </c>
      <c r="AQ166" s="62"/>
      <c r="AR166" s="62"/>
      <c r="AS166" s="62"/>
      <c r="AT166" s="62"/>
      <c r="AU166" s="62">
        <v>7545.9989999999998</v>
      </c>
      <c r="AV166" s="62">
        <v>5231.18</v>
      </c>
      <c r="AW166" s="62"/>
      <c r="AX166" s="62"/>
      <c r="AY166" s="62"/>
      <c r="AZ166" s="62"/>
      <c r="BA166" s="62"/>
      <c r="BB166" s="62"/>
      <c r="BC166" s="62"/>
      <c r="BD166" s="62"/>
      <c r="BE166" s="318">
        <v>69400</v>
      </c>
      <c r="BF166" s="318">
        <v>69400</v>
      </c>
      <c r="BG166" s="1180">
        <f t="shared" ref="BG166" si="46">SUM(P166:AY166)</f>
        <v>69400</v>
      </c>
      <c r="BH166" s="69">
        <v>11553</v>
      </c>
      <c r="BI166" s="1188" t="s">
        <v>12</v>
      </c>
      <c r="BJ166" s="1188" t="s">
        <v>37</v>
      </c>
      <c r="BK166" s="75" t="s">
        <v>2937</v>
      </c>
      <c r="BL166" s="72">
        <v>45155.842361111114</v>
      </c>
      <c r="BM166" s="72">
        <v>45155.852777777778</v>
      </c>
      <c r="BN166" s="75"/>
      <c r="BO166" s="198">
        <v>81886</v>
      </c>
      <c r="BP166" s="65" t="str">
        <f t="shared" ref="BP166" si="47">IF(BO166=0,"0",IF(BO166&lt;=50000,"HANDYMAX",IF(BO166&lt;=58000,"SUPER HANDYMAX",IF(BO166&lt;=80000,"PANAMAX",IF(BO166&gt;=80001,"POST PANAMAX")))))</f>
        <v>POST PANAMAX</v>
      </c>
      <c r="BQ166" s="75"/>
      <c r="BR166" s="75"/>
      <c r="BS166" s="75"/>
      <c r="BT166" s="75"/>
      <c r="BU166" s="75"/>
      <c r="BV166" s="75"/>
      <c r="BW166" s="75"/>
      <c r="BX166" s="65" t="s">
        <v>3060</v>
      </c>
      <c r="CA166" s="84"/>
      <c r="YW166" s="26">
        <v>1</v>
      </c>
      <c r="YX166" s="26">
        <v>2</v>
      </c>
      <c r="YY166" s="26">
        <v>2</v>
      </c>
      <c r="YZ166" s="26"/>
      <c r="ZA166" s="26"/>
      <c r="ZB166" s="26"/>
      <c r="ZC166" s="26"/>
      <c r="ZD166" s="26"/>
      <c r="ZE166" s="26"/>
      <c r="ZF166" s="26"/>
    </row>
    <row r="167" spans="1:709" s="65" customFormat="1" ht="14.4" outlineLevel="1">
      <c r="A167" s="266"/>
      <c r="B167" s="75">
        <v>3</v>
      </c>
      <c r="C167" s="194">
        <v>45139</v>
      </c>
      <c r="D167" s="75" t="s">
        <v>73</v>
      </c>
      <c r="E167" s="72">
        <v>45160</v>
      </c>
      <c r="F167" s="72">
        <v>45169</v>
      </c>
      <c r="G167" s="69" t="s">
        <v>2914</v>
      </c>
      <c r="H167" s="65" t="s">
        <v>1052</v>
      </c>
      <c r="I167" s="65" t="s">
        <v>2448</v>
      </c>
      <c r="J167" s="65" t="s">
        <v>2933</v>
      </c>
      <c r="K167" s="316">
        <v>45165.458333333336</v>
      </c>
      <c r="L167" s="316">
        <v>45165.444444444445</v>
      </c>
      <c r="M167" s="196">
        <v>45174.5</v>
      </c>
      <c r="N167" s="196">
        <v>45176.430555555555</v>
      </c>
      <c r="O167" s="1188" t="s">
        <v>2916</v>
      </c>
      <c r="P167" s="62"/>
      <c r="Q167" s="62"/>
      <c r="R167" s="62"/>
      <c r="S167" s="62"/>
      <c r="T167" s="62"/>
      <c r="U167" s="62">
        <v>30006.265000000007</v>
      </c>
      <c r="V167" s="62"/>
      <c r="W167" s="62"/>
      <c r="X167" s="62">
        <v>7544.4189999999999</v>
      </c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>
        <v>7549.3159999999998</v>
      </c>
      <c r="AV167" s="62"/>
      <c r="AW167" s="62"/>
      <c r="AX167" s="62"/>
      <c r="AY167" s="62"/>
      <c r="AZ167" s="62"/>
      <c r="BA167" s="62"/>
      <c r="BB167" s="62"/>
      <c r="BC167" s="62"/>
      <c r="BD167" s="62"/>
      <c r="BE167" s="318">
        <v>45100</v>
      </c>
      <c r="BF167" s="318">
        <v>45100</v>
      </c>
      <c r="BG167" s="1180">
        <f>SUM(P167:AY167)</f>
        <v>45100.000000000007</v>
      </c>
      <c r="BH167" s="69">
        <v>17500</v>
      </c>
      <c r="BI167" s="1188" t="s">
        <v>12</v>
      </c>
      <c r="BJ167" s="1188" t="s">
        <v>32</v>
      </c>
      <c r="BK167" s="75" t="s">
        <v>2924</v>
      </c>
      <c r="BL167" s="72">
        <v>45153.703472222223</v>
      </c>
      <c r="BM167" s="72">
        <v>45160.497916666667</v>
      </c>
      <c r="BN167" s="75"/>
      <c r="BO167" s="198">
        <v>49999</v>
      </c>
      <c r="BP167" s="65" t="str">
        <f>IF(BO167=0,"0",IF(BO167&lt;=50000,"HANDYMAX",IF(BO167&lt;=58000,"SUPER HANDYMAX",IF(BO167&lt;=80000,"PANAMAX",IF(BO167&gt;=80001,"POST PANAMAX")))))</f>
        <v>HANDYMAX</v>
      </c>
      <c r="BQ167" s="75"/>
      <c r="BR167" s="75"/>
      <c r="BS167" s="75"/>
      <c r="BT167" s="75"/>
      <c r="BU167" s="75"/>
      <c r="BV167" s="75"/>
      <c r="BW167" s="75"/>
      <c r="CA167" s="84"/>
      <c r="YY167" s="26"/>
      <c r="YZ167" s="26"/>
      <c r="ZA167" s="26"/>
      <c r="ZB167" s="26"/>
      <c r="ZC167" s="26"/>
      <c r="ZD167" s="26">
        <v>3</v>
      </c>
      <c r="ZE167" s="26">
        <v>1</v>
      </c>
      <c r="ZF167" s="26">
        <v>2</v>
      </c>
      <c r="ZG167" s="26"/>
      <c r="ZH167" s="26"/>
    </row>
    <row r="168" spans="1:709" s="65" customFormat="1" ht="14.4" outlineLevel="1">
      <c r="A168" s="266"/>
      <c r="B168" s="75">
        <v>4</v>
      </c>
      <c r="C168" s="194">
        <v>45170</v>
      </c>
      <c r="D168" s="75" t="s">
        <v>85</v>
      </c>
      <c r="E168" s="72">
        <v>45173</v>
      </c>
      <c r="F168" s="72">
        <v>45178</v>
      </c>
      <c r="G168" s="69" t="s">
        <v>2942</v>
      </c>
      <c r="H168" s="65" t="s">
        <v>2457</v>
      </c>
      <c r="I168" s="65" t="s">
        <v>2459</v>
      </c>
      <c r="J168" s="65" t="s">
        <v>2943</v>
      </c>
      <c r="K168" s="316">
        <v>45175.375</v>
      </c>
      <c r="L168" s="316">
        <v>45175.34375</v>
      </c>
      <c r="M168" s="316">
        <v>45175.892361111109</v>
      </c>
      <c r="N168" s="196">
        <v>45179.708333333336</v>
      </c>
      <c r="O168" s="1188" t="s">
        <v>2916</v>
      </c>
      <c r="P168" s="62"/>
      <c r="Q168" s="62"/>
      <c r="R168" s="62"/>
      <c r="S168" s="62"/>
      <c r="T168" s="62"/>
      <c r="U168" s="62">
        <v>7505.2219999999998</v>
      </c>
      <c r="V168" s="62"/>
      <c r="W168" s="62"/>
      <c r="X168" s="62"/>
      <c r="Y168" s="62">
        <v>14973.337</v>
      </c>
      <c r="Z168" s="62">
        <v>31591.440999999999</v>
      </c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318">
        <v>54070</v>
      </c>
      <c r="BF168" s="318">
        <v>54070</v>
      </c>
      <c r="BG168" s="1180">
        <f>SUM(P168:AY168)</f>
        <v>54070</v>
      </c>
      <c r="BH168" s="69">
        <v>15500</v>
      </c>
      <c r="BI168" s="1188" t="s">
        <v>16</v>
      </c>
      <c r="BJ168" s="1188" t="s">
        <v>45</v>
      </c>
      <c r="BK168" s="75" t="s">
        <v>2944</v>
      </c>
      <c r="BL168" s="72">
        <v>45161.486805555556</v>
      </c>
      <c r="BM168" s="72">
        <v>45163.704861111109</v>
      </c>
      <c r="BN168" s="75"/>
      <c r="BO168" s="198">
        <v>58110</v>
      </c>
      <c r="BP168" s="65" t="str">
        <f>IF(BO168=0,"0",IF(BO168&lt;=50000,"HANDYMAX",IF(BO168&lt;=58000,"SUPER HANDYMAX",IF(BO168&lt;=80000,"PANAMAX",IF(BO168&gt;=80001,"POST PANAMAX")))))</f>
        <v>PANAMAX</v>
      </c>
      <c r="BQ168" s="75"/>
      <c r="BR168" s="75"/>
      <c r="BS168" s="75"/>
      <c r="BT168" s="75"/>
      <c r="BU168" s="75"/>
      <c r="BV168" s="75"/>
      <c r="BW168" s="75"/>
      <c r="BX168" s="65" t="s">
        <v>3061</v>
      </c>
      <c r="CA168" s="84"/>
      <c r="ZK168" s="65">
        <v>1</v>
      </c>
      <c r="ZL168" s="26">
        <v>2</v>
      </c>
      <c r="ZM168" s="26"/>
      <c r="ZN168" s="26">
        <v>3</v>
      </c>
      <c r="ZO168" s="26"/>
      <c r="ZP168" s="26"/>
      <c r="ZQ168" s="26"/>
    </row>
    <row r="169" spans="1:709" s="65" customFormat="1" ht="14.4" outlineLevel="1">
      <c r="A169" s="266"/>
      <c r="B169" s="75">
        <v>5</v>
      </c>
      <c r="C169" s="194">
        <v>45139</v>
      </c>
      <c r="D169" s="75" t="s">
        <v>74</v>
      </c>
      <c r="E169" s="72">
        <v>45161</v>
      </c>
      <c r="F169" s="72">
        <v>45170</v>
      </c>
      <c r="G169" s="69" t="s">
        <v>2914</v>
      </c>
      <c r="H169" s="65" t="s">
        <v>2463</v>
      </c>
      <c r="I169" s="65" t="s">
        <v>2465</v>
      </c>
      <c r="J169" s="65" t="s">
        <v>2915</v>
      </c>
      <c r="K169" s="316">
        <v>45165.4375</v>
      </c>
      <c r="L169" s="316">
        <v>45165.408333333333</v>
      </c>
      <c r="M169" s="196">
        <v>45178.333333333336</v>
      </c>
      <c r="N169" s="196">
        <v>45181.375</v>
      </c>
      <c r="O169" s="1188" t="s">
        <v>2916</v>
      </c>
      <c r="P169" s="62">
        <v>7508.7</v>
      </c>
      <c r="Q169" s="62"/>
      <c r="R169" s="62"/>
      <c r="S169" s="62"/>
      <c r="T169" s="62"/>
      <c r="U169" s="62"/>
      <c r="V169" s="62"/>
      <c r="W169" s="62"/>
      <c r="X169" s="62">
        <v>40088.190999999999</v>
      </c>
      <c r="Y169" s="62">
        <v>7403.1090000000004</v>
      </c>
      <c r="Z169" s="325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318">
        <v>55000</v>
      </c>
      <c r="BF169" s="318">
        <v>55000</v>
      </c>
      <c r="BG169" s="1180">
        <f>SUM(P169:AY169)</f>
        <v>55000</v>
      </c>
      <c r="BH169" s="69">
        <v>12000</v>
      </c>
      <c r="BI169" s="1188" t="s">
        <v>8</v>
      </c>
      <c r="BJ169" s="1188" t="s">
        <v>13</v>
      </c>
      <c r="BK169" s="75" t="s">
        <v>2920</v>
      </c>
      <c r="BL169" s="72">
        <v>45161.631249999999</v>
      </c>
      <c r="BM169" s="72">
        <v>45161.863194444442</v>
      </c>
      <c r="BN169" s="75"/>
      <c r="BO169" s="198">
        <v>56011</v>
      </c>
      <c r="BP169" s="65" t="str">
        <f>IF(BO169=0,"0",IF(BO169&lt;=50000,"HANDYMAX",IF(BO169&lt;=58000,"SUPER HANDYMAX",IF(BO169&lt;=80000,"PANAMAX",IF(BO169&gt;=80001,"POST PANAMAX")))))</f>
        <v>SUPER HANDYMAX</v>
      </c>
      <c r="BQ169" s="75"/>
      <c r="BR169" s="75"/>
      <c r="BS169" s="75"/>
      <c r="BT169" s="75"/>
      <c r="BU169" s="75"/>
      <c r="BV169" s="75"/>
      <c r="BW169" s="75"/>
      <c r="BX169" s="65" t="s">
        <v>3062</v>
      </c>
      <c r="CA169" s="84"/>
      <c r="YZ169" s="26"/>
      <c r="ZA169" s="26"/>
      <c r="ZB169" s="26"/>
      <c r="ZC169" s="26">
        <v>1</v>
      </c>
      <c r="ZD169" s="26">
        <v>3</v>
      </c>
      <c r="ZE169" s="26">
        <v>2</v>
      </c>
      <c r="ZF169" s="26"/>
      <c r="ZG169" s="26"/>
      <c r="ZH169" s="26"/>
      <c r="ZI169" s="26"/>
    </row>
    <row r="170" spans="1:709" s="65" customFormat="1" ht="14.4" outlineLevel="1">
      <c r="A170" s="266"/>
      <c r="B170" s="75">
        <v>6</v>
      </c>
      <c r="C170" s="194">
        <v>45170</v>
      </c>
      <c r="D170" s="75" t="s">
        <v>2983</v>
      </c>
      <c r="E170" s="72">
        <v>45175</v>
      </c>
      <c r="F170" s="72">
        <v>45184</v>
      </c>
      <c r="G170" s="69" t="s">
        <v>107</v>
      </c>
      <c r="H170" s="65" t="s">
        <v>3063</v>
      </c>
      <c r="I170" s="65" t="s">
        <v>3064</v>
      </c>
      <c r="J170" s="65" t="s">
        <v>2922</v>
      </c>
      <c r="K170" s="316">
        <v>45179.75</v>
      </c>
      <c r="L170" s="316">
        <v>45179.741666666669</v>
      </c>
      <c r="M170" s="196">
        <v>45180.558333333334</v>
      </c>
      <c r="N170" s="196">
        <v>45182.30972222222</v>
      </c>
      <c r="O170" s="1188" t="s">
        <v>2916</v>
      </c>
      <c r="P170" s="62"/>
      <c r="Q170" s="62">
        <v>3342.6869999999999</v>
      </c>
      <c r="R170" s="62"/>
      <c r="S170" s="62"/>
      <c r="T170" s="62">
        <v>31082.870000000003</v>
      </c>
      <c r="U170" s="62"/>
      <c r="V170" s="62"/>
      <c r="W170" s="62"/>
      <c r="X170" s="62"/>
      <c r="Y170" s="62"/>
      <c r="Z170" s="62"/>
      <c r="AA170" s="62"/>
      <c r="AB170" s="62"/>
      <c r="AC170" s="62">
        <v>5009.3509999999997</v>
      </c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>
        <v>22733.614999999998</v>
      </c>
      <c r="AS170" s="62"/>
      <c r="AT170" s="62"/>
      <c r="AU170" s="62">
        <v>7229.3270000000002</v>
      </c>
      <c r="AV170" s="62"/>
      <c r="AW170" s="62">
        <v>7502.15</v>
      </c>
      <c r="AX170" s="62"/>
      <c r="AY170" s="62"/>
      <c r="AZ170" s="62"/>
      <c r="BA170" s="62"/>
      <c r="BB170" s="62"/>
      <c r="BC170" s="62"/>
      <c r="BD170" s="62"/>
      <c r="BE170" s="318">
        <v>75870</v>
      </c>
      <c r="BF170" s="318">
        <v>75870</v>
      </c>
      <c r="BG170" s="1180">
        <f>SUM(P170:AY170)</f>
        <v>76900</v>
      </c>
      <c r="BH170" s="69">
        <v>15000</v>
      </c>
      <c r="BI170" s="1188" t="s">
        <v>20</v>
      </c>
      <c r="BJ170" s="1188" t="s">
        <v>2923</v>
      </c>
      <c r="BK170" s="75" t="s">
        <v>2924</v>
      </c>
      <c r="BL170" s="72">
        <v>45175.673611111109</v>
      </c>
      <c r="BM170" s="72">
        <v>45177.563194444447</v>
      </c>
      <c r="BN170" s="75"/>
      <c r="BO170" s="198">
        <v>75541</v>
      </c>
      <c r="BP170" s="65" t="str">
        <f>IF(BO170=0,"0",IF(BO170&lt;=50000,"HANDYMAX",IF(BO170&lt;=58000,"SUPER HANDYMAX",IF(BO170&lt;=80000,"PANAMAX",IF(BO170&gt;=80001,"POST PANAMAX")))))</f>
        <v>PANAMAX</v>
      </c>
      <c r="BQ170" s="75"/>
      <c r="BR170" s="75"/>
      <c r="BS170" s="75"/>
      <c r="BT170" s="75"/>
      <c r="BU170" s="75"/>
      <c r="BV170" s="75"/>
      <c r="BW170" s="75"/>
      <c r="BX170" s="65" t="s">
        <v>3065</v>
      </c>
      <c r="CA170" s="84"/>
      <c r="ZN170" s="26">
        <v>1</v>
      </c>
      <c r="ZO170" s="26"/>
      <c r="ZP170" s="26"/>
      <c r="ZQ170" s="26">
        <v>2</v>
      </c>
      <c r="ZR170" s="26"/>
      <c r="ZS170" s="26">
        <v>3</v>
      </c>
      <c r="ZT170" s="26"/>
      <c r="ZU170" s="26"/>
      <c r="ZV170" s="26"/>
      <c r="ZW170" s="26"/>
    </row>
    <row r="171" spans="1:709" s="65" customFormat="1" ht="14.4" outlineLevel="1">
      <c r="A171" s="266"/>
      <c r="B171" s="75">
        <v>7</v>
      </c>
      <c r="C171" s="194">
        <v>45139</v>
      </c>
      <c r="D171" s="75" t="s">
        <v>74</v>
      </c>
      <c r="E171" s="72">
        <v>45165</v>
      </c>
      <c r="F171" s="72">
        <v>45174</v>
      </c>
      <c r="G171" s="69" t="s">
        <v>2914</v>
      </c>
      <c r="H171" s="65" t="s">
        <v>2474</v>
      </c>
      <c r="I171" s="65" t="s">
        <v>2476</v>
      </c>
      <c r="J171" s="65" t="s">
        <v>2963</v>
      </c>
      <c r="K171" s="316">
        <v>45173.854166666664</v>
      </c>
      <c r="L171" s="316">
        <v>45173.75</v>
      </c>
      <c r="M171" s="196">
        <v>45181.145833333336</v>
      </c>
      <c r="N171" s="196">
        <v>45183.159722222219</v>
      </c>
      <c r="O171" s="1188" t="s">
        <v>2916</v>
      </c>
      <c r="P171" s="62"/>
      <c r="Q171" s="62"/>
      <c r="R171" s="62"/>
      <c r="S171" s="62"/>
      <c r="T171" s="62"/>
      <c r="U171" s="62"/>
      <c r="V171" s="62"/>
      <c r="W171" s="62"/>
      <c r="X171" s="62"/>
      <c r="Y171" s="62">
        <v>59694.149000000005</v>
      </c>
      <c r="Z171" s="62">
        <v>7305.8509999999997</v>
      </c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318">
        <v>67000</v>
      </c>
      <c r="BF171" s="318">
        <v>67000</v>
      </c>
      <c r="BG171" s="1180">
        <f t="shared" ref="BG171" si="48">SUM(P171:AY171)</f>
        <v>67000</v>
      </c>
      <c r="BH171" s="69">
        <v>25000</v>
      </c>
      <c r="BI171" s="1188" t="s">
        <v>4</v>
      </c>
      <c r="BJ171" s="1188" t="s">
        <v>5</v>
      </c>
      <c r="BK171" s="75" t="s">
        <v>2924</v>
      </c>
      <c r="BL171" s="72">
        <v>45173.547222222223</v>
      </c>
      <c r="BM171" s="72">
        <v>45174.510416666664</v>
      </c>
      <c r="BN171" s="75"/>
      <c r="BO171" s="198">
        <v>75510.729000000007</v>
      </c>
      <c r="BP171" s="65" t="str">
        <f t="shared" ref="BP171" si="49">IF(BO171=0,"0",IF(BO171&lt;=50000,"HANDYMAX",IF(BO171&lt;=58000,"SUPER HANDYMAX",IF(BO171&lt;=80000,"PANAMAX",IF(BO171&gt;=80001,"POST PANAMAX")))))</f>
        <v>PANAMAX</v>
      </c>
      <c r="BQ171" s="75"/>
      <c r="BR171" s="75"/>
      <c r="BS171" s="75"/>
      <c r="BT171" s="75"/>
      <c r="BU171" s="75"/>
      <c r="BV171" s="75"/>
      <c r="BW171" s="75"/>
      <c r="BX171" s="65" t="s">
        <v>3066</v>
      </c>
      <c r="CA171" s="84"/>
      <c r="ZD171" s="26"/>
      <c r="ZE171" s="26"/>
      <c r="ZF171" s="26"/>
      <c r="ZG171" s="26">
        <v>1</v>
      </c>
      <c r="ZH171" s="26">
        <v>2</v>
      </c>
      <c r="ZI171" s="26"/>
      <c r="ZJ171" s="26"/>
      <c r="ZK171" s="26"/>
      <c r="ZL171" s="26">
        <v>3</v>
      </c>
      <c r="ZM171" s="26"/>
    </row>
    <row r="172" spans="1:709" s="271" customFormat="1" ht="14.4" outlineLevel="1">
      <c r="A172" s="487"/>
      <c r="B172" s="488">
        <v>8</v>
      </c>
      <c r="C172" s="489">
        <v>45170</v>
      </c>
      <c r="D172" s="488" t="s">
        <v>73</v>
      </c>
      <c r="E172" s="490">
        <v>45167</v>
      </c>
      <c r="F172" s="490">
        <v>45176</v>
      </c>
      <c r="G172" s="491" t="s">
        <v>107</v>
      </c>
      <c r="H172" s="271" t="s">
        <v>2487</v>
      </c>
      <c r="I172" s="271" t="s">
        <v>2489</v>
      </c>
      <c r="J172" s="271" t="s">
        <v>2926</v>
      </c>
      <c r="K172" s="492">
        <v>45167.625</v>
      </c>
      <c r="L172" s="492">
        <v>45167.583333333336</v>
      </c>
      <c r="M172" s="493">
        <v>45183.445833333331</v>
      </c>
      <c r="N172" s="493">
        <v>45184.725694444445</v>
      </c>
      <c r="O172" s="1192" t="s">
        <v>2916</v>
      </c>
      <c r="P172" s="246"/>
      <c r="Q172" s="246"/>
      <c r="R172" s="246"/>
      <c r="S172" s="246"/>
      <c r="T172" s="246"/>
      <c r="U172" s="246">
        <v>38846.767999999996</v>
      </c>
      <c r="V172" s="246"/>
      <c r="W172" s="246"/>
      <c r="X172" s="246">
        <v>22399.232</v>
      </c>
      <c r="Y172" s="246"/>
      <c r="Z172" s="246"/>
      <c r="AA172" s="246"/>
      <c r="AB172" s="246"/>
      <c r="AC172" s="246"/>
      <c r="AD172" s="246"/>
      <c r="AE172" s="246"/>
      <c r="AF172" s="246"/>
      <c r="AG172" s="246"/>
      <c r="AH172" s="246"/>
      <c r="AI172" s="246"/>
      <c r="AJ172" s="246"/>
      <c r="AK172" s="246"/>
      <c r="AL172" s="246"/>
      <c r="AM172" s="246"/>
      <c r="AN172" s="246"/>
      <c r="AO172" s="246"/>
      <c r="AP172" s="246">
        <v>5304</v>
      </c>
      <c r="AQ172" s="246"/>
      <c r="AR172" s="246"/>
      <c r="AS172" s="246"/>
      <c r="AT172" s="246"/>
      <c r="AU172" s="246"/>
      <c r="AV172" s="246"/>
      <c r="AW172" s="246"/>
      <c r="AX172" s="246"/>
      <c r="AY172" s="246"/>
      <c r="AZ172" s="246"/>
      <c r="BA172" s="246"/>
      <c r="BB172" s="246"/>
      <c r="BC172" s="246"/>
      <c r="BD172" s="246"/>
      <c r="BE172" s="232">
        <v>66550</v>
      </c>
      <c r="BF172" s="232">
        <v>66550</v>
      </c>
      <c r="BG172" s="1174">
        <f t="shared" ref="BG172:BG178" si="50">SUM(P172:AY172)</f>
        <v>66550</v>
      </c>
      <c r="BH172" s="491">
        <v>12542</v>
      </c>
      <c r="BI172" s="1192" t="s">
        <v>20</v>
      </c>
      <c r="BJ172" s="1192" t="s">
        <v>2923</v>
      </c>
      <c r="BK172" s="488" t="s">
        <v>2924</v>
      </c>
      <c r="BL172" s="490">
        <v>45162.46597222222</v>
      </c>
      <c r="BM172" s="490">
        <v>45166.611805555556</v>
      </c>
      <c r="BN172" s="488"/>
      <c r="BO172" s="494">
        <v>74866</v>
      </c>
      <c r="BP172" s="271" t="str">
        <f t="shared" ref="BP172:BP178" si="51">IF(BO172=0,"0",IF(BO172&lt;=50000,"HANDYMAX",IF(BO172&lt;=58000,"SUPER HANDYMAX",IF(BO172&lt;=80000,"PANAMAX",IF(BO172&gt;=80001,"POST PANAMAX")))))</f>
        <v>PANAMAX</v>
      </c>
      <c r="BQ172" s="488"/>
      <c r="BR172" s="488"/>
      <c r="BS172" s="488"/>
      <c r="BT172" s="488"/>
      <c r="BU172" s="488"/>
      <c r="BV172" s="488"/>
      <c r="BW172" s="488"/>
      <c r="CA172" s="495"/>
      <c r="ZF172" s="353" t="s">
        <v>2939</v>
      </c>
      <c r="ZG172" s="353" t="s">
        <v>2957</v>
      </c>
      <c r="ZH172" s="353"/>
      <c r="ZI172" s="353"/>
      <c r="ZJ172" s="353"/>
      <c r="ZK172" s="353"/>
      <c r="ZL172" s="353"/>
      <c r="ZM172" s="353"/>
      <c r="ZN172" s="353"/>
      <c r="ZO172" s="353"/>
    </row>
    <row r="173" spans="1:709" s="271" customFormat="1" ht="14.4" outlineLevel="1">
      <c r="A173" s="487"/>
      <c r="B173" s="488">
        <v>9</v>
      </c>
      <c r="C173" s="489">
        <v>45170</v>
      </c>
      <c r="D173" s="488" t="s">
        <v>73</v>
      </c>
      <c r="E173" s="490">
        <v>45170</v>
      </c>
      <c r="F173" s="490">
        <v>45179</v>
      </c>
      <c r="G173" s="491" t="s">
        <v>2914</v>
      </c>
      <c r="H173" s="271" t="s">
        <v>2500</v>
      </c>
      <c r="I173" s="271" t="s">
        <v>2501</v>
      </c>
      <c r="J173" s="271" t="s">
        <v>2933</v>
      </c>
      <c r="K173" s="492">
        <v>45173.5</v>
      </c>
      <c r="L173" s="492">
        <v>45173.447916666664</v>
      </c>
      <c r="M173" s="493">
        <v>45182.875</v>
      </c>
      <c r="N173" s="493">
        <v>45184.993055555555</v>
      </c>
      <c r="O173" s="1192" t="s">
        <v>2916</v>
      </c>
      <c r="P173" s="246"/>
      <c r="Q173" s="246"/>
      <c r="R173" s="246"/>
      <c r="S173" s="246"/>
      <c r="T173" s="246"/>
      <c r="U173" s="246">
        <v>3944.235149999995</v>
      </c>
      <c r="V173" s="246">
        <v>42367.325849999994</v>
      </c>
      <c r="W173" s="246"/>
      <c r="X173" s="246"/>
      <c r="Y173" s="246">
        <v>22188.439000000002</v>
      </c>
      <c r="Z173" s="246"/>
      <c r="AA173" s="246"/>
      <c r="AB173" s="246"/>
      <c r="AC173" s="246"/>
      <c r="AD173" s="246"/>
      <c r="AE173" s="246"/>
      <c r="AF173" s="246"/>
      <c r="AG173" s="246"/>
      <c r="AH173" s="246"/>
      <c r="AI173" s="246"/>
      <c r="AJ173" s="246"/>
      <c r="AK173" s="246"/>
      <c r="AL173" s="246"/>
      <c r="AM173" s="246"/>
      <c r="AN173" s="246"/>
      <c r="AO173" s="246"/>
      <c r="AP173" s="246"/>
      <c r="AQ173" s="246"/>
      <c r="AR173" s="246"/>
      <c r="AS173" s="246"/>
      <c r="AT173" s="246"/>
      <c r="AU173" s="246"/>
      <c r="AV173" s="246"/>
      <c r="AW173" s="246"/>
      <c r="AX173" s="246"/>
      <c r="AY173" s="246"/>
      <c r="AZ173" s="246"/>
      <c r="BA173" s="246"/>
      <c r="BB173" s="246"/>
      <c r="BC173" s="246"/>
      <c r="BD173" s="246"/>
      <c r="BE173" s="232">
        <v>68500</v>
      </c>
      <c r="BF173" s="232">
        <v>68500</v>
      </c>
      <c r="BG173" s="1174">
        <f t="shared" si="50"/>
        <v>68499.999999999985</v>
      </c>
      <c r="BH173" s="491">
        <v>18000</v>
      </c>
      <c r="BI173" s="1192" t="s">
        <v>12</v>
      </c>
      <c r="BJ173" s="1192" t="s">
        <v>32</v>
      </c>
      <c r="BK173" s="488" t="s">
        <v>2937</v>
      </c>
      <c r="BL173" s="490">
        <v>45162.55972222222</v>
      </c>
      <c r="BM173" s="490">
        <v>45169.319444444445</v>
      </c>
      <c r="BN173" s="488"/>
      <c r="BO173" s="494">
        <v>82265</v>
      </c>
      <c r="BP173" s="271" t="str">
        <f t="shared" si="51"/>
        <v>POST PANAMAX</v>
      </c>
      <c r="BQ173" s="488"/>
      <c r="BR173" s="488"/>
      <c r="BS173" s="488"/>
      <c r="BT173" s="488"/>
      <c r="BU173" s="488"/>
      <c r="BV173" s="488"/>
      <c r="BW173" s="488"/>
      <c r="CA173" s="495"/>
      <c r="ZI173" s="353"/>
      <c r="ZJ173" s="353">
        <v>1</v>
      </c>
      <c r="ZK173" s="353"/>
      <c r="ZL173" s="353">
        <v>2</v>
      </c>
      <c r="ZM173" s="353"/>
      <c r="ZN173" s="353"/>
      <c r="ZO173" s="353"/>
      <c r="ZP173" s="353"/>
      <c r="ZQ173" s="353"/>
      <c r="ZR173" s="353"/>
    </row>
    <row r="174" spans="1:709" s="476" customFormat="1" ht="14.4" outlineLevel="1">
      <c r="A174" s="533"/>
      <c r="B174" s="534">
        <v>10</v>
      </c>
      <c r="C174" s="535">
        <v>45170</v>
      </c>
      <c r="D174" s="534" t="s">
        <v>74</v>
      </c>
      <c r="E174" s="536">
        <v>45176</v>
      </c>
      <c r="F174" s="536">
        <v>45185</v>
      </c>
      <c r="G174" s="537" t="s">
        <v>2914</v>
      </c>
      <c r="H174" s="476" t="s">
        <v>1283</v>
      </c>
      <c r="I174" s="476" t="s">
        <v>2514</v>
      </c>
      <c r="J174" s="476" t="s">
        <v>2915</v>
      </c>
      <c r="K174" s="472">
        <v>45179.520833333336</v>
      </c>
      <c r="L174" s="472">
        <v>45179.458333333336</v>
      </c>
      <c r="M174" s="538">
        <v>45185.145833333336</v>
      </c>
      <c r="N174" s="538">
        <v>45186.902777777781</v>
      </c>
      <c r="O174" s="1192" t="s">
        <v>2916</v>
      </c>
      <c r="P174" s="539"/>
      <c r="Q174" s="539"/>
      <c r="R174" s="539"/>
      <c r="S174" s="539"/>
      <c r="T174" s="539"/>
      <c r="U174" s="539"/>
      <c r="V174" s="539"/>
      <c r="W174" s="539"/>
      <c r="X174" s="539">
        <v>43708.582000000002</v>
      </c>
      <c r="Y174" s="539">
        <v>9591.4179999999997</v>
      </c>
      <c r="Z174" s="539"/>
      <c r="AA174" s="539"/>
      <c r="AB174" s="539"/>
      <c r="AC174" s="539"/>
      <c r="AD174" s="539"/>
      <c r="AE174" s="539"/>
      <c r="AF174" s="539"/>
      <c r="AG174" s="539"/>
      <c r="AH174" s="539"/>
      <c r="AI174" s="539"/>
      <c r="AJ174" s="539"/>
      <c r="AK174" s="539"/>
      <c r="AL174" s="539"/>
      <c r="AM174" s="539"/>
      <c r="AN174" s="539"/>
      <c r="AO174" s="539"/>
      <c r="AP174" s="539"/>
      <c r="AQ174" s="539"/>
      <c r="AR174" s="539"/>
      <c r="AS174" s="539"/>
      <c r="AT174" s="539"/>
      <c r="AU174" s="539"/>
      <c r="AV174" s="539"/>
      <c r="AW174" s="539"/>
      <c r="AX174" s="539"/>
      <c r="AY174" s="539"/>
      <c r="AZ174" s="539"/>
      <c r="BA174" s="539"/>
      <c r="BB174" s="539"/>
      <c r="BC174" s="539"/>
      <c r="BD174" s="539"/>
      <c r="BE174" s="540">
        <v>53300</v>
      </c>
      <c r="BF174" s="540">
        <v>53300</v>
      </c>
      <c r="BG174" s="1181">
        <f t="shared" si="50"/>
        <v>53300</v>
      </c>
      <c r="BH174" s="537">
        <v>12000</v>
      </c>
      <c r="BI174" s="1193" t="s">
        <v>12</v>
      </c>
      <c r="BJ174" s="1193" t="s">
        <v>37</v>
      </c>
      <c r="BK174" s="534" t="s">
        <v>2968</v>
      </c>
      <c r="BL174" s="536">
        <v>45175.638888888891</v>
      </c>
      <c r="BM174" s="536">
        <v>45176.840277777781</v>
      </c>
      <c r="BN174" s="534"/>
      <c r="BO174" s="541">
        <v>53026</v>
      </c>
      <c r="BP174" s="476" t="str">
        <f t="shared" si="51"/>
        <v>SUPER HANDYMAX</v>
      </c>
      <c r="BQ174" s="534"/>
      <c r="BR174" s="534"/>
      <c r="BS174" s="534"/>
      <c r="BT174" s="534"/>
      <c r="BU174" s="534"/>
      <c r="BV174" s="534"/>
      <c r="BW174" s="534"/>
      <c r="BX174" s="476" t="s">
        <v>3067</v>
      </c>
      <c r="CA174" s="542"/>
      <c r="ZL174" s="476">
        <v>1</v>
      </c>
      <c r="ZM174" s="476">
        <v>2</v>
      </c>
      <c r="ZO174" s="543"/>
      <c r="ZP174" s="543"/>
      <c r="ZQ174" s="543"/>
      <c r="ZR174" s="543">
        <v>4</v>
      </c>
      <c r="ZS174" s="543">
        <v>3</v>
      </c>
      <c r="ZT174" s="543"/>
      <c r="ZU174" s="543"/>
      <c r="ZV174" s="543"/>
      <c r="ZW174" s="543"/>
      <c r="ZX174" s="543"/>
    </row>
    <row r="175" spans="1:709" s="476" customFormat="1" ht="14.4" outlineLevel="1">
      <c r="A175" s="533"/>
      <c r="B175" s="534">
        <v>11</v>
      </c>
      <c r="C175" s="535">
        <v>45170</v>
      </c>
      <c r="D175" s="534" t="s">
        <v>74</v>
      </c>
      <c r="E175" s="536">
        <v>45175</v>
      </c>
      <c r="F175" s="536">
        <v>45184</v>
      </c>
      <c r="G175" s="537" t="s">
        <v>107</v>
      </c>
      <c r="H175" s="476" t="s">
        <v>2523</v>
      </c>
      <c r="I175" s="476" t="s">
        <v>2525</v>
      </c>
      <c r="J175" s="476" t="s">
        <v>3006</v>
      </c>
      <c r="K175" s="472">
        <v>45177.291666666664</v>
      </c>
      <c r="L175" s="472">
        <v>45177.29583333333</v>
      </c>
      <c r="M175" s="538">
        <v>45187.378472222219</v>
      </c>
      <c r="N175" s="538">
        <v>45188.918749999997</v>
      </c>
      <c r="O175" s="1193" t="s">
        <v>2916</v>
      </c>
      <c r="P175" s="539"/>
      <c r="Q175" s="539"/>
      <c r="R175" s="539"/>
      <c r="S175" s="539"/>
      <c r="T175" s="539">
        <v>3844.6179999999986</v>
      </c>
      <c r="U175" s="539"/>
      <c r="V175" s="539"/>
      <c r="W175" s="539"/>
      <c r="X175" s="539">
        <v>22445.382000000001</v>
      </c>
      <c r="Y175" s="539"/>
      <c r="Z175" s="539"/>
      <c r="AA175" s="539"/>
      <c r="AB175" s="539"/>
      <c r="AC175" s="539"/>
      <c r="AD175" s="539"/>
      <c r="AE175" s="539"/>
      <c r="AF175" s="539"/>
      <c r="AG175" s="539"/>
      <c r="AH175" s="539"/>
      <c r="AI175" s="539"/>
      <c r="AJ175" s="539"/>
      <c r="AK175" s="539"/>
      <c r="AL175" s="539"/>
      <c r="AM175" s="539"/>
      <c r="AN175" s="539"/>
      <c r="AO175" s="539"/>
      <c r="AP175" s="539">
        <v>5210</v>
      </c>
      <c r="AQ175" s="539"/>
      <c r="AR175" s="539"/>
      <c r="AS175" s="539"/>
      <c r="AT175" s="539"/>
      <c r="AU175" s="539"/>
      <c r="AV175" s="539"/>
      <c r="AW175" s="539"/>
      <c r="AX175" s="539"/>
      <c r="AY175" s="539"/>
      <c r="AZ175" s="539"/>
      <c r="BA175" s="539"/>
      <c r="BB175" s="539"/>
      <c r="BC175" s="539"/>
      <c r="BD175" s="539"/>
      <c r="BE175" s="540">
        <v>31500</v>
      </c>
      <c r="BF175" s="540">
        <v>31500</v>
      </c>
      <c r="BG175" s="1181">
        <f t="shared" si="50"/>
        <v>31500</v>
      </c>
      <c r="BH175" s="537">
        <v>11500</v>
      </c>
      <c r="BI175" s="1193" t="s">
        <v>20</v>
      </c>
      <c r="BJ175" s="1193" t="s">
        <v>2923</v>
      </c>
      <c r="BK175" s="534" t="s">
        <v>2927</v>
      </c>
      <c r="BL175" s="536">
        <v>45170.656944444447</v>
      </c>
      <c r="BM175" s="536">
        <v>45174.431250000001</v>
      </c>
      <c r="BN175" s="534"/>
      <c r="BO175" s="541">
        <v>36570</v>
      </c>
      <c r="BP175" s="476" t="str">
        <f t="shared" si="51"/>
        <v>HANDYMAX</v>
      </c>
      <c r="BQ175" s="534"/>
      <c r="BR175" s="534"/>
      <c r="BS175" s="534"/>
      <c r="BT175" s="534"/>
      <c r="BU175" s="534"/>
      <c r="BV175" s="534"/>
      <c r="BW175" s="534"/>
      <c r="CA175" s="542"/>
      <c r="ZN175" s="543"/>
      <c r="ZO175" s="543">
        <v>1</v>
      </c>
      <c r="ZP175" s="543">
        <v>2</v>
      </c>
      <c r="ZQ175" s="543"/>
      <c r="ZR175" s="543"/>
      <c r="ZS175" s="543"/>
      <c r="ZT175" s="543"/>
      <c r="ZU175" s="543"/>
      <c r="ZV175" s="543"/>
      <c r="ZW175" s="543"/>
    </row>
    <row r="176" spans="1:709" s="476" customFormat="1" ht="14.4" outlineLevel="1">
      <c r="A176" s="533"/>
      <c r="B176" s="534">
        <v>12</v>
      </c>
      <c r="C176" s="535">
        <v>45170</v>
      </c>
      <c r="D176" s="534" t="s">
        <v>2983</v>
      </c>
      <c r="E176" s="536">
        <v>45185</v>
      </c>
      <c r="F176" s="536">
        <v>45194</v>
      </c>
      <c r="G176" s="537" t="s">
        <v>107</v>
      </c>
      <c r="H176" s="476" t="s">
        <v>1852</v>
      </c>
      <c r="I176" s="476" t="s">
        <v>3068</v>
      </c>
      <c r="J176" s="476" t="s">
        <v>2922</v>
      </c>
      <c r="K176" s="472">
        <v>45186.5</v>
      </c>
      <c r="L176" s="472">
        <v>45186.25</v>
      </c>
      <c r="M176" s="538">
        <v>45189.072916666664</v>
      </c>
      <c r="N176" s="538">
        <v>45190.765277777777</v>
      </c>
      <c r="O176" s="1193" t="s">
        <v>2916</v>
      </c>
      <c r="P176" s="539"/>
      <c r="Q176" s="539"/>
      <c r="R176" s="539"/>
      <c r="S176" s="539"/>
      <c r="T176" s="539">
        <v>31027</v>
      </c>
      <c r="U176" s="539"/>
      <c r="V176" s="539"/>
      <c r="W176" s="539"/>
      <c r="X176" s="539"/>
      <c r="Y176" s="539"/>
      <c r="Z176" s="539"/>
      <c r="AA176" s="539"/>
      <c r="AB176" s="539"/>
      <c r="AC176" s="539">
        <v>5009.2179999999998</v>
      </c>
      <c r="AD176" s="539"/>
      <c r="AE176" s="539"/>
      <c r="AF176" s="539"/>
      <c r="AG176" s="539"/>
      <c r="AH176" s="539"/>
      <c r="AI176" s="539"/>
      <c r="AJ176" s="539"/>
      <c r="AK176" s="539"/>
      <c r="AL176" s="539"/>
      <c r="AM176" s="539"/>
      <c r="AN176" s="539"/>
      <c r="AO176" s="539"/>
      <c r="AP176" s="539"/>
      <c r="AQ176" s="539"/>
      <c r="AR176" s="539">
        <v>24356.973999999998</v>
      </c>
      <c r="AS176" s="539"/>
      <c r="AT176" s="539"/>
      <c r="AU176" s="539">
        <v>7501.7920000000004</v>
      </c>
      <c r="AV176" s="539"/>
      <c r="AW176" s="539">
        <v>7505</v>
      </c>
      <c r="AX176" s="539"/>
      <c r="AY176" s="539"/>
      <c r="AZ176" s="539"/>
      <c r="BA176" s="539"/>
      <c r="BB176" s="539"/>
      <c r="BC176" s="539"/>
      <c r="BD176" s="539"/>
      <c r="BE176" s="540">
        <v>75400</v>
      </c>
      <c r="BF176" s="540">
        <v>75400</v>
      </c>
      <c r="BG176" s="1181">
        <f t="shared" si="50"/>
        <v>75399.983999999997</v>
      </c>
      <c r="BH176" s="537">
        <v>15000</v>
      </c>
      <c r="BI176" s="1193" t="s">
        <v>20</v>
      </c>
      <c r="BJ176" s="1193" t="s">
        <v>2923</v>
      </c>
      <c r="BK176" s="534" t="s">
        <v>2927</v>
      </c>
      <c r="BL176" s="536">
        <v>45178.55</v>
      </c>
      <c r="BM176" s="536">
        <v>45180.393750000003</v>
      </c>
      <c r="BN176" s="534"/>
      <c r="BO176" s="541">
        <v>77679</v>
      </c>
      <c r="BP176" s="476" t="str">
        <f t="shared" si="51"/>
        <v>PANAMAX</v>
      </c>
      <c r="BQ176" s="534"/>
      <c r="BR176" s="534"/>
      <c r="BS176" s="534"/>
      <c r="BT176" s="534"/>
      <c r="BU176" s="534"/>
      <c r="BV176" s="534"/>
      <c r="BW176" s="534"/>
      <c r="CA176" s="542"/>
      <c r="ZW176" s="476">
        <v>1</v>
      </c>
      <c r="ZX176" s="543" t="s">
        <v>3069</v>
      </c>
      <c r="ZY176" s="543">
        <v>3</v>
      </c>
      <c r="ZZ176" s="543"/>
      <c r="AAA176" s="543"/>
      <c r="AAB176" s="543"/>
      <c r="AAC176" s="543"/>
      <c r="AAD176" s="543"/>
      <c r="AAE176" s="543"/>
      <c r="AAF176" s="543"/>
      <c r="AAG176" s="543"/>
    </row>
    <row r="177" spans="1:728" s="476" customFormat="1" ht="14.4" outlineLevel="1">
      <c r="A177" s="533"/>
      <c r="B177" s="534">
        <v>13</v>
      </c>
      <c r="C177" s="535">
        <v>45170</v>
      </c>
      <c r="D177" s="534" t="s">
        <v>73</v>
      </c>
      <c r="E177" s="536">
        <v>45177</v>
      </c>
      <c r="F177" s="536">
        <v>45186</v>
      </c>
      <c r="G177" s="537" t="s">
        <v>2914</v>
      </c>
      <c r="H177" s="476" t="s">
        <v>230</v>
      </c>
      <c r="I177" s="476" t="s">
        <v>2531</v>
      </c>
      <c r="J177" s="476" t="s">
        <v>2915</v>
      </c>
      <c r="K177" s="472">
        <v>45180.333333333336</v>
      </c>
      <c r="L177" s="472">
        <v>45180.291666666664</v>
      </c>
      <c r="M177" s="538">
        <v>45191.333333333336</v>
      </c>
      <c r="N177" s="538">
        <v>45193.048611111109</v>
      </c>
      <c r="O177" s="1193" t="s">
        <v>2916</v>
      </c>
      <c r="P177" s="539"/>
      <c r="Q177" s="539"/>
      <c r="R177" s="539"/>
      <c r="S177" s="539"/>
      <c r="T177" s="539"/>
      <c r="U177" s="539">
        <v>29702.329450000001</v>
      </c>
      <c r="V177" s="539">
        <v>6271.0755500000005</v>
      </c>
      <c r="W177" s="539"/>
      <c r="X177" s="539">
        <v>8846.6030500000015</v>
      </c>
      <c r="Y177" s="539">
        <v>3392.3929499999999</v>
      </c>
      <c r="Z177" s="539"/>
      <c r="AA177" s="539"/>
      <c r="AB177" s="539"/>
      <c r="AC177" s="539"/>
      <c r="AD177" s="539"/>
      <c r="AE177" s="539"/>
      <c r="AF177" s="539"/>
      <c r="AG177" s="539"/>
      <c r="AH177" s="539"/>
      <c r="AI177" s="539"/>
      <c r="AJ177" s="539"/>
      <c r="AK177" s="539"/>
      <c r="AL177" s="539"/>
      <c r="AM177" s="539"/>
      <c r="AN177" s="539"/>
      <c r="AO177" s="539"/>
      <c r="AP177" s="539"/>
      <c r="AQ177" s="539"/>
      <c r="AR177" s="539"/>
      <c r="AS177" s="539"/>
      <c r="AT177" s="539"/>
      <c r="AU177" s="539">
        <v>7387.5990000000002</v>
      </c>
      <c r="AV177" s="539"/>
      <c r="AW177" s="539"/>
      <c r="AX177" s="539"/>
      <c r="AY177" s="539"/>
      <c r="AZ177" s="539"/>
      <c r="BA177" s="539"/>
      <c r="BB177" s="539"/>
      <c r="BC177" s="539"/>
      <c r="BD177" s="539"/>
      <c r="BE177" s="540">
        <v>55600</v>
      </c>
      <c r="BF177" s="540">
        <v>55600</v>
      </c>
      <c r="BG177" s="1181">
        <f t="shared" si="50"/>
        <v>55600.000000000007</v>
      </c>
      <c r="BH177" s="537">
        <v>12000</v>
      </c>
      <c r="BI177" s="1193" t="s">
        <v>12</v>
      </c>
      <c r="BJ177" s="1193" t="s">
        <v>32</v>
      </c>
      <c r="BK177" s="534" t="s">
        <v>2924</v>
      </c>
      <c r="BL177" s="536">
        <v>45176.642361111109</v>
      </c>
      <c r="BM177" s="536">
        <v>45177.706250000003</v>
      </c>
      <c r="BN177" s="534"/>
      <c r="BO177" s="541">
        <v>53549</v>
      </c>
      <c r="BP177" s="476" t="str">
        <f t="shared" si="51"/>
        <v>SUPER HANDYMAX</v>
      </c>
      <c r="BQ177" s="534"/>
      <c r="BR177" s="534"/>
      <c r="BS177" s="534"/>
      <c r="BT177" s="534"/>
      <c r="BU177" s="534"/>
      <c r="BV177" s="534"/>
      <c r="BW177" s="534"/>
      <c r="BX177" s="476" t="s">
        <v>3070</v>
      </c>
      <c r="CA177" s="542"/>
      <c r="ZP177" s="543"/>
      <c r="ZQ177" s="543"/>
      <c r="ZR177" s="543">
        <v>1</v>
      </c>
      <c r="ZS177" s="543" t="s">
        <v>3030</v>
      </c>
      <c r="ZT177" s="543">
        <v>5</v>
      </c>
      <c r="ZU177" s="543">
        <v>3</v>
      </c>
      <c r="ZV177" s="543">
        <v>2</v>
      </c>
      <c r="ZW177" s="543"/>
      <c r="ZX177" s="543"/>
      <c r="ZY177" s="543"/>
    </row>
    <row r="178" spans="1:728" s="476" customFormat="1" ht="14.4" outlineLevel="1">
      <c r="A178" s="533">
        <v>4</v>
      </c>
      <c r="B178" s="534">
        <v>14</v>
      </c>
      <c r="C178" s="535">
        <v>45170</v>
      </c>
      <c r="D178" s="534" t="s">
        <v>74</v>
      </c>
      <c r="E178" s="536">
        <v>45185</v>
      </c>
      <c r="F178" s="536">
        <v>45194</v>
      </c>
      <c r="G178" s="537" t="s">
        <v>2914</v>
      </c>
      <c r="H178" s="476" t="s">
        <v>1827</v>
      </c>
      <c r="I178" s="476" t="s">
        <v>2542</v>
      </c>
      <c r="J178" s="476" t="s">
        <v>2963</v>
      </c>
      <c r="K178" s="472">
        <v>45178.572916666664</v>
      </c>
      <c r="L178" s="472">
        <v>45178.55</v>
      </c>
      <c r="M178" s="538">
        <v>45191.402777777781</v>
      </c>
      <c r="N178" s="538">
        <v>45193.71875</v>
      </c>
      <c r="O178" s="1193" t="s">
        <v>2916</v>
      </c>
      <c r="P178" s="539"/>
      <c r="Q178" s="539">
        <v>7526.5870000000004</v>
      </c>
      <c r="R178" s="539"/>
      <c r="S178" s="539"/>
      <c r="T178" s="539"/>
      <c r="U178" s="539"/>
      <c r="V178" s="539"/>
      <c r="W178" s="539"/>
      <c r="X178" s="539"/>
      <c r="Y178" s="539">
        <v>52130.729999999989</v>
      </c>
      <c r="Z178" s="539">
        <v>7342.683</v>
      </c>
      <c r="AA178" s="539"/>
      <c r="AB178" s="539"/>
      <c r="AC178" s="539"/>
      <c r="AD178" s="539"/>
      <c r="AE178" s="539"/>
      <c r="AF178" s="539"/>
      <c r="AG178" s="539"/>
      <c r="AH178" s="539"/>
      <c r="AI178" s="539"/>
      <c r="AJ178" s="539"/>
      <c r="AK178" s="539"/>
      <c r="AL178" s="539"/>
      <c r="AM178" s="539"/>
      <c r="AN178" s="539"/>
      <c r="AO178" s="539"/>
      <c r="AP178" s="539"/>
      <c r="AQ178" s="539"/>
      <c r="AR178" s="539"/>
      <c r="AS178" s="539"/>
      <c r="AT178" s="539"/>
      <c r="AU178" s="539"/>
      <c r="AV178" s="539"/>
      <c r="AW178" s="539"/>
      <c r="AX178" s="539"/>
      <c r="AY178" s="539"/>
      <c r="AZ178" s="539"/>
      <c r="BA178" s="539"/>
      <c r="BB178" s="539"/>
      <c r="BC178" s="539"/>
      <c r="BD178" s="539"/>
      <c r="BE178" s="540">
        <v>67000</v>
      </c>
      <c r="BF178" s="540">
        <v>67000</v>
      </c>
      <c r="BG178" s="1181">
        <f t="shared" si="50"/>
        <v>66999.999999999985</v>
      </c>
      <c r="BH178" s="537">
        <v>25000</v>
      </c>
      <c r="BI178" s="1193" t="s">
        <v>4</v>
      </c>
      <c r="BJ178" s="1193" t="s">
        <v>5</v>
      </c>
      <c r="BK178" s="534" t="s">
        <v>2920</v>
      </c>
      <c r="BL178" s="536">
        <v>45176.45208333333</v>
      </c>
      <c r="BM178" s="536">
        <v>45176.45208333333</v>
      </c>
      <c r="BN178" s="534"/>
      <c r="BO178" s="541">
        <v>76243</v>
      </c>
      <c r="BP178" s="476" t="str">
        <f t="shared" si="51"/>
        <v>PANAMAX</v>
      </c>
      <c r="BQ178" s="534"/>
      <c r="BR178" s="534"/>
      <c r="BS178" s="534"/>
      <c r="BT178" s="534"/>
      <c r="BU178" s="534"/>
      <c r="BV178" s="534"/>
      <c r="BW178" s="534"/>
      <c r="BX178" s="476" t="s">
        <v>3071</v>
      </c>
      <c r="CA178" s="542"/>
      <c r="ZQ178" s="476">
        <v>1</v>
      </c>
      <c r="ZX178" s="543"/>
      <c r="ZY178" s="543"/>
      <c r="ZZ178" s="543"/>
      <c r="AAA178" s="543"/>
      <c r="AAB178" s="543"/>
      <c r="AAC178" s="543"/>
      <c r="AAD178" s="543"/>
      <c r="AAE178" s="543"/>
      <c r="AAF178" s="543"/>
      <c r="AAG178" s="543"/>
    </row>
    <row r="179" spans="1:728" s="476" customFormat="1" ht="14.4" outlineLevel="1">
      <c r="A179" s="533"/>
      <c r="B179" s="534">
        <v>15</v>
      </c>
      <c r="C179" s="535">
        <v>45170</v>
      </c>
      <c r="D179" s="534" t="s">
        <v>74</v>
      </c>
      <c r="E179" s="536">
        <v>45184</v>
      </c>
      <c r="F179" s="536">
        <v>45193</v>
      </c>
      <c r="G179" s="537" t="s">
        <v>2914</v>
      </c>
      <c r="H179" s="476" t="s">
        <v>2552</v>
      </c>
      <c r="I179" s="476" t="s">
        <v>2554</v>
      </c>
      <c r="J179" s="476" t="s">
        <v>2915</v>
      </c>
      <c r="K179" s="472">
        <v>45190.729166666664</v>
      </c>
      <c r="L179" s="472">
        <v>45190.695833333331</v>
      </c>
      <c r="M179" s="538">
        <v>45192.444444444445</v>
      </c>
      <c r="N179" s="538">
        <v>45194.076388888891</v>
      </c>
      <c r="O179" s="1193" t="s">
        <v>2916</v>
      </c>
      <c r="P179" s="539"/>
      <c r="Q179" s="539"/>
      <c r="R179" s="539"/>
      <c r="S179" s="539"/>
      <c r="T179" s="539"/>
      <c r="U179" s="539"/>
      <c r="V179" s="539"/>
      <c r="W179" s="539"/>
      <c r="X179" s="539">
        <v>23195.621900000002</v>
      </c>
      <c r="Y179" s="539">
        <v>18978.236100000002</v>
      </c>
      <c r="Z179" s="539"/>
      <c r="AA179" s="539"/>
      <c r="AB179" s="539"/>
      <c r="AC179" s="539"/>
      <c r="AD179" s="539"/>
      <c r="AE179" s="539"/>
      <c r="AF179" s="539"/>
      <c r="AG179" s="539"/>
      <c r="AH179" s="539"/>
      <c r="AI179" s="539"/>
      <c r="AJ179" s="539"/>
      <c r="AK179" s="539"/>
      <c r="AL179" s="539"/>
      <c r="AM179" s="539"/>
      <c r="AN179" s="539"/>
      <c r="AO179" s="539"/>
      <c r="AP179" s="539">
        <v>5258</v>
      </c>
      <c r="AQ179" s="539"/>
      <c r="AR179" s="539"/>
      <c r="AS179" s="539"/>
      <c r="AT179" s="539"/>
      <c r="AU179" s="539"/>
      <c r="AV179" s="539">
        <v>7568.1419999999998</v>
      </c>
      <c r="AW179" s="539"/>
      <c r="AX179" s="539"/>
      <c r="AY179" s="539"/>
      <c r="AZ179" s="539"/>
      <c r="BA179" s="539"/>
      <c r="BB179" s="539"/>
      <c r="BC179" s="539"/>
      <c r="BD179" s="539"/>
      <c r="BE179" s="540">
        <v>55000</v>
      </c>
      <c r="BF179" s="540">
        <v>55000</v>
      </c>
      <c r="BG179" s="1181">
        <f t="shared" ref="BG179" si="52">SUM(P179:AY179)</f>
        <v>55000.000000000007</v>
      </c>
      <c r="BH179" s="537">
        <v>8000</v>
      </c>
      <c r="BI179" s="1193" t="s">
        <v>12</v>
      </c>
      <c r="BJ179" s="1193" t="s">
        <v>37</v>
      </c>
      <c r="BK179" s="534" t="s">
        <v>2920</v>
      </c>
      <c r="BL179" s="536">
        <v>45187.461805555555</v>
      </c>
      <c r="BM179" s="536">
        <v>45187.473611111112</v>
      </c>
      <c r="BN179" s="534"/>
      <c r="BO179" s="541">
        <v>56011</v>
      </c>
      <c r="BP179" s="476" t="str">
        <f t="shared" ref="BP179" si="53">IF(BO179=0,"0",IF(BO179&lt;=50000,"HANDYMAX",IF(BO179&lt;=58000,"SUPER HANDYMAX",IF(BO179&lt;=80000,"PANAMAX",IF(BO179&gt;=80001,"POST PANAMAX")))))</f>
        <v>SUPER HANDYMAX</v>
      </c>
      <c r="BQ179" s="534"/>
      <c r="BR179" s="534"/>
      <c r="BS179" s="534"/>
      <c r="BT179" s="534"/>
      <c r="BU179" s="534"/>
      <c r="BV179" s="534"/>
      <c r="BW179" s="534"/>
      <c r="BX179" s="476" t="s">
        <v>3072</v>
      </c>
      <c r="CA179" s="542"/>
      <c r="ZW179" s="543"/>
      <c r="ZX179" s="543"/>
      <c r="ZY179" s="543"/>
      <c r="ZZ179" s="543">
        <v>1</v>
      </c>
      <c r="AAA179" s="543"/>
      <c r="AAB179" s="543">
        <v>3</v>
      </c>
      <c r="AAC179" s="543" t="s">
        <v>3073</v>
      </c>
      <c r="AAD179" s="543">
        <v>5</v>
      </c>
      <c r="AAE179" s="543"/>
      <c r="AAF179" s="543"/>
    </row>
    <row r="180" spans="1:728" s="271" customFormat="1" ht="14.4" outlineLevel="1">
      <c r="A180" s="487"/>
      <c r="B180" s="488">
        <v>16</v>
      </c>
      <c r="C180" s="489">
        <v>45170</v>
      </c>
      <c r="D180" s="488" t="s">
        <v>74</v>
      </c>
      <c r="E180" s="490">
        <v>45181</v>
      </c>
      <c r="F180" s="490">
        <v>45190</v>
      </c>
      <c r="G180" s="491" t="s">
        <v>107</v>
      </c>
      <c r="H180" s="271" t="s">
        <v>2563</v>
      </c>
      <c r="I180" s="271" t="s">
        <v>2565</v>
      </c>
      <c r="J180" s="271" t="s">
        <v>2926</v>
      </c>
      <c r="K180" s="492">
        <v>45178.875</v>
      </c>
      <c r="L180" s="492">
        <v>45178.762499999997</v>
      </c>
      <c r="M180" s="493">
        <v>45192.548611111109</v>
      </c>
      <c r="N180" s="612">
        <v>45194.4375</v>
      </c>
      <c r="O180" s="1193" t="s">
        <v>2916</v>
      </c>
      <c r="P180" s="246">
        <v>13980.392</v>
      </c>
      <c r="Q180" s="246"/>
      <c r="R180" s="246"/>
      <c r="S180" s="246"/>
      <c r="T180" s="246">
        <v>1250.952</v>
      </c>
      <c r="U180" s="246"/>
      <c r="V180" s="246"/>
      <c r="W180" s="246"/>
      <c r="X180" s="246">
        <v>42933.558000000005</v>
      </c>
      <c r="Y180" s="246">
        <v>15135.31</v>
      </c>
      <c r="Z180" s="246"/>
      <c r="AA180" s="246"/>
      <c r="AB180" s="246"/>
      <c r="AC180" s="246">
        <v>5009.7879999999996</v>
      </c>
      <c r="AD180" s="246"/>
      <c r="AE180" s="246"/>
      <c r="AF180" s="246"/>
      <c r="AG180" s="246"/>
      <c r="AH180" s="246"/>
      <c r="AI180" s="246"/>
      <c r="AJ180" s="246"/>
      <c r="AK180" s="246"/>
      <c r="AL180" s="246"/>
      <c r="AM180" s="246"/>
      <c r="AN180" s="246"/>
      <c r="AO180" s="246"/>
      <c r="AP180" s="246"/>
      <c r="AQ180" s="246"/>
      <c r="AR180" s="246"/>
      <c r="AS180" s="246"/>
      <c r="AT180" s="246"/>
      <c r="AU180" s="246"/>
      <c r="AV180" s="246"/>
      <c r="AW180" s="246"/>
      <c r="AX180" s="246"/>
      <c r="AY180" s="246"/>
      <c r="AZ180" s="246"/>
      <c r="BA180" s="246"/>
      <c r="BB180" s="246"/>
      <c r="BC180" s="246"/>
      <c r="BD180" s="246"/>
      <c r="BE180" s="232">
        <v>78310</v>
      </c>
      <c r="BF180" s="232">
        <v>78310</v>
      </c>
      <c r="BG180" s="1174">
        <f>SUM(P180:AY180)</f>
        <v>78310</v>
      </c>
      <c r="BH180" s="491">
        <v>15000</v>
      </c>
      <c r="BI180" s="1192" t="s">
        <v>20</v>
      </c>
      <c r="BJ180" s="1192" t="s">
        <v>2923</v>
      </c>
      <c r="BK180" s="488" t="s">
        <v>2927</v>
      </c>
      <c r="BL180" s="490">
        <v>45170.712500000001</v>
      </c>
      <c r="BM180" s="490">
        <v>45174.85833333333</v>
      </c>
      <c r="BN180" s="488"/>
      <c r="BO180" s="494">
        <v>80895</v>
      </c>
      <c r="BP180" s="271" t="str">
        <f>IF(BO180=0,"0",IF(BO180&lt;=50000,"HANDYMAX",IF(BO180&lt;=58000,"SUPER HANDYMAX",IF(BO180&lt;=80000,"PANAMAX",IF(BO180&gt;=80001,"POST PANAMAX")))))</f>
        <v>POST PANAMAX</v>
      </c>
      <c r="BQ180" s="488"/>
      <c r="BR180" s="488"/>
      <c r="BS180" s="488"/>
      <c r="BT180" s="488"/>
      <c r="BU180" s="488"/>
      <c r="BV180" s="488"/>
      <c r="BW180" s="488"/>
      <c r="BX180" s="271" t="s">
        <v>3074</v>
      </c>
      <c r="CA180" s="495"/>
      <c r="ZQ180" s="271">
        <v>3</v>
      </c>
      <c r="ZR180" s="271">
        <v>2</v>
      </c>
      <c r="ZS180" s="271">
        <v>1</v>
      </c>
      <c r="ZT180" s="353">
        <v>1</v>
      </c>
      <c r="ZU180" s="353"/>
      <c r="ZV180" s="353"/>
      <c r="ZW180" s="353"/>
      <c r="ZX180" s="353"/>
      <c r="ZY180" s="353"/>
      <c r="ZZ180" s="353"/>
      <c r="AAA180" s="353"/>
      <c r="AAB180" s="353"/>
      <c r="AAC180" s="353"/>
    </row>
    <row r="181" spans="1:728" s="65" customFormat="1" ht="14.4" outlineLevel="1">
      <c r="A181" s="266"/>
      <c r="B181" s="75">
        <v>17</v>
      </c>
      <c r="C181" s="194">
        <v>45170</v>
      </c>
      <c r="D181" s="75" t="s">
        <v>73</v>
      </c>
      <c r="E181" s="72">
        <v>45187</v>
      </c>
      <c r="F181" s="72">
        <v>45196</v>
      </c>
      <c r="G181" s="69" t="s">
        <v>2914</v>
      </c>
      <c r="H181" s="65" t="s">
        <v>2574</v>
      </c>
      <c r="I181" s="65" t="s">
        <v>2576</v>
      </c>
      <c r="J181" s="65" t="s">
        <v>2965</v>
      </c>
      <c r="K181" s="316">
        <v>45189.000694444447</v>
      </c>
      <c r="L181" s="316">
        <v>45189.024305555555</v>
      </c>
      <c r="M181" s="315">
        <v>45195.0625</v>
      </c>
      <c r="N181" s="196">
        <v>45198.159722222219</v>
      </c>
      <c r="O181" s="1192" t="s">
        <v>2916</v>
      </c>
      <c r="P181" s="62"/>
      <c r="Q181" s="62"/>
      <c r="R181" s="62"/>
      <c r="S181" s="62"/>
      <c r="T181" s="62"/>
      <c r="U181" s="62">
        <v>22566.588799999998</v>
      </c>
      <c r="V181" s="62">
        <v>8888.1821999999993</v>
      </c>
      <c r="W181" s="62"/>
      <c r="X181" s="62">
        <v>10531.6603</v>
      </c>
      <c r="Y181" s="62">
        <v>4513.5686999999998</v>
      </c>
      <c r="Z181" s="62"/>
      <c r="AA181" s="62"/>
      <c r="AB181" s="62"/>
      <c r="AC181" s="62"/>
      <c r="AD181" s="62"/>
      <c r="AE181" s="62"/>
      <c r="AF181" s="62"/>
      <c r="AG181" s="62">
        <v>7500</v>
      </c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318">
        <v>54000</v>
      </c>
      <c r="BF181" s="318">
        <v>54000</v>
      </c>
      <c r="BG181" s="1180">
        <f>SUM(P181:AY181)</f>
        <v>54000</v>
      </c>
      <c r="BH181" s="69">
        <v>16420</v>
      </c>
      <c r="BI181" s="1188" t="s">
        <v>4</v>
      </c>
      <c r="BJ181" s="1188" t="s">
        <v>5</v>
      </c>
      <c r="BK181" s="75" t="s">
        <v>3075</v>
      </c>
      <c r="BL181" s="72">
        <v>45177.68472222222</v>
      </c>
      <c r="BM181" s="72">
        <v>45183.373611111114</v>
      </c>
      <c r="BN181" s="75"/>
      <c r="BO181" s="198">
        <v>81794</v>
      </c>
      <c r="BP181" s="65" t="str">
        <f>IF(BO181=0,"0",IF(BO181&lt;=50000,"HANDYMAX",IF(BO181&lt;=58000,"SUPER HANDYMAX",IF(BO181&lt;=80000,"PANAMAX",IF(BO181&gt;=80001,"POST PANAMAX")))))</f>
        <v>POST PANAMAX</v>
      </c>
      <c r="BQ181" s="75"/>
      <c r="BR181" s="75"/>
      <c r="BS181" s="75"/>
      <c r="BT181" s="75"/>
      <c r="BU181" s="75"/>
      <c r="BV181" s="75"/>
      <c r="BW181" s="75"/>
      <c r="CA181" s="84"/>
      <c r="ZY181" s="65">
        <v>2</v>
      </c>
      <c r="ZZ181" s="26">
        <v>1</v>
      </c>
      <c r="AAA181" s="26"/>
      <c r="AAB181" s="26">
        <v>3</v>
      </c>
      <c r="AAC181" s="26"/>
      <c r="AAD181" s="26"/>
      <c r="AAE181" s="26"/>
      <c r="AAF181" s="26"/>
      <c r="AAG181" s="26"/>
      <c r="AAH181" s="26"/>
      <c r="AAI181" s="26"/>
    </row>
    <row r="182" spans="1:728" ht="14.4" outlineLevel="1">
      <c r="O182" s="1199" t="s">
        <v>96</v>
      </c>
      <c r="P182" s="458">
        <f>SUM(P165:P181)</f>
        <v>21489.092000000001</v>
      </c>
      <c r="Q182" s="458">
        <f t="shared" ref="Q182:BG182" si="54">SUM(Q165:Q181)</f>
        <v>10869.274000000001</v>
      </c>
      <c r="R182" s="458">
        <f t="shared" si="54"/>
        <v>0</v>
      </c>
      <c r="S182" s="458">
        <f t="shared" si="54"/>
        <v>0</v>
      </c>
      <c r="T182" s="458">
        <f t="shared" si="54"/>
        <v>67205.440000000002</v>
      </c>
      <c r="U182" s="458">
        <f t="shared" si="54"/>
        <v>174510.8854</v>
      </c>
      <c r="V182" s="458">
        <f t="shared" si="54"/>
        <v>57526.583599999998</v>
      </c>
      <c r="W182" s="458">
        <f t="shared" si="54"/>
        <v>0</v>
      </c>
      <c r="X182" s="458">
        <f t="shared" si="54"/>
        <v>303026.54125000001</v>
      </c>
      <c r="Y182" s="458">
        <f t="shared" si="54"/>
        <v>209275.74174999999</v>
      </c>
      <c r="Z182" s="458">
        <f t="shared" si="54"/>
        <v>46239.974999999999</v>
      </c>
      <c r="AA182" s="458">
        <f t="shared" si="54"/>
        <v>0</v>
      </c>
      <c r="AB182" s="458">
        <f t="shared" si="54"/>
        <v>0</v>
      </c>
      <c r="AC182" s="458">
        <f t="shared" si="54"/>
        <v>15028.357</v>
      </c>
      <c r="AD182" s="458">
        <f t="shared" si="54"/>
        <v>0</v>
      </c>
      <c r="AE182" s="458">
        <f t="shared" si="54"/>
        <v>0</v>
      </c>
      <c r="AF182" s="458">
        <f t="shared" si="54"/>
        <v>0</v>
      </c>
      <c r="AG182" s="458">
        <f t="shared" si="54"/>
        <v>7500</v>
      </c>
      <c r="AH182" s="458">
        <f t="shared" si="54"/>
        <v>0</v>
      </c>
      <c r="AI182" s="458">
        <f t="shared" si="54"/>
        <v>0</v>
      </c>
      <c r="AJ182" s="458">
        <f t="shared" si="54"/>
        <v>0</v>
      </c>
      <c r="AK182" s="458">
        <f t="shared" si="54"/>
        <v>0</v>
      </c>
      <c r="AL182" s="458">
        <f t="shared" si="54"/>
        <v>0</v>
      </c>
      <c r="AM182" s="458">
        <f t="shared" si="54"/>
        <v>0</v>
      </c>
      <c r="AN182" s="458">
        <f t="shared" si="54"/>
        <v>0</v>
      </c>
      <c r="AO182" s="458">
        <f t="shared" si="54"/>
        <v>0</v>
      </c>
      <c r="AP182" s="458">
        <f t="shared" si="54"/>
        <v>21097</v>
      </c>
      <c r="AQ182" s="458">
        <f t="shared" si="54"/>
        <v>0</v>
      </c>
      <c r="AR182" s="458">
        <f t="shared" si="54"/>
        <v>47090.588999999993</v>
      </c>
      <c r="AS182" s="458">
        <f t="shared" si="54"/>
        <v>0</v>
      </c>
      <c r="AT182" s="458">
        <f t="shared" si="54"/>
        <v>0</v>
      </c>
      <c r="AU182" s="458">
        <f t="shared" si="54"/>
        <v>37214.033000000003</v>
      </c>
      <c r="AV182" s="458">
        <f t="shared" si="54"/>
        <v>12799.322</v>
      </c>
      <c r="AW182" s="458">
        <f t="shared" si="54"/>
        <v>15007.15</v>
      </c>
      <c r="AX182" s="458">
        <f t="shared" si="54"/>
        <v>0</v>
      </c>
      <c r="AY182" s="458">
        <f t="shared" si="54"/>
        <v>0</v>
      </c>
      <c r="AZ182" s="458"/>
      <c r="BA182" s="458"/>
      <c r="BB182" s="458"/>
      <c r="BC182" s="458"/>
      <c r="BD182" s="458"/>
      <c r="BE182" s="458">
        <f t="shared" si="54"/>
        <v>1044850</v>
      </c>
      <c r="BF182" s="458">
        <f t="shared" si="54"/>
        <v>1044850</v>
      </c>
      <c r="BG182" s="1179">
        <f t="shared" si="54"/>
        <v>1045879.9839999999</v>
      </c>
    </row>
    <row r="183" spans="1:728" ht="14.4" outlineLevel="1">
      <c r="P183" s="1384">
        <f>SUM(P182:T182)</f>
        <v>99563.806000000011</v>
      </c>
      <c r="Q183" s="1385"/>
      <c r="R183" s="1385"/>
      <c r="S183" s="1385"/>
      <c r="T183" s="1386"/>
      <c r="U183" s="1384">
        <f>SUM(U182:W182)</f>
        <v>232037.46899999998</v>
      </c>
      <c r="V183" s="1385"/>
      <c r="W183" s="1386"/>
      <c r="X183" s="1384">
        <f>SUM(X182:Y182)</f>
        <v>512302.283</v>
      </c>
      <c r="Y183" s="1386"/>
      <c r="Z183" s="459">
        <f>Z182</f>
        <v>46239.974999999999</v>
      </c>
      <c r="AA183" s="459">
        <f>AA182</f>
        <v>0</v>
      </c>
      <c r="AB183" s="1384">
        <f>SUM(AB182:AY182)</f>
        <v>155736.45099999997</v>
      </c>
      <c r="AC183" s="1385"/>
      <c r="AD183" s="1385"/>
      <c r="AE183" s="1385"/>
      <c r="AF183" s="1385"/>
      <c r="AG183" s="1385"/>
      <c r="AH183" s="1385"/>
      <c r="AI183" s="1385"/>
      <c r="AJ183" s="1385"/>
      <c r="AK183" s="1385"/>
      <c r="AL183" s="1385"/>
      <c r="AM183" s="1385"/>
      <c r="AN183" s="1385"/>
      <c r="AO183" s="1385"/>
      <c r="AP183" s="1385"/>
      <c r="AQ183" s="1385"/>
      <c r="AR183" s="1385"/>
      <c r="AS183" s="1385"/>
      <c r="AT183" s="1385"/>
      <c r="AU183" s="1385"/>
      <c r="AV183" s="1385"/>
      <c r="AW183" s="1385"/>
      <c r="AX183" s="1385"/>
      <c r="AY183" s="1386"/>
      <c r="AZ183" s="394"/>
      <c r="BA183" s="394"/>
      <c r="BB183" s="394"/>
      <c r="BC183" s="394"/>
      <c r="BD183" s="394"/>
      <c r="BE183" s="460"/>
      <c r="BF183" s="460"/>
      <c r="BG183" s="1179"/>
    </row>
    <row r="184" spans="1:728" ht="14.4" outlineLevel="1"/>
    <row r="185" spans="1:728" ht="14.4" outlineLevel="1">
      <c r="B185" s="99" t="s">
        <v>2885</v>
      </c>
    </row>
    <row r="186" spans="1:728" s="65" customFormat="1" ht="14.4" outlineLevel="1">
      <c r="A186" s="266"/>
      <c r="B186" s="75">
        <v>1</v>
      </c>
      <c r="C186" s="194">
        <v>45170</v>
      </c>
      <c r="D186" s="75" t="s">
        <v>74</v>
      </c>
      <c r="E186" s="72">
        <v>45196</v>
      </c>
      <c r="F186" s="72">
        <v>45205</v>
      </c>
      <c r="G186" s="69" t="s">
        <v>2914</v>
      </c>
      <c r="H186" s="65" t="s">
        <v>2746</v>
      </c>
      <c r="I186" s="65" t="s">
        <v>3076</v>
      </c>
      <c r="J186" s="65" t="s">
        <v>2933</v>
      </c>
      <c r="K186" s="316">
        <v>45198.416666666664</v>
      </c>
      <c r="L186" s="316">
        <v>45198.395833333336</v>
      </c>
      <c r="M186" s="196">
        <v>45205.8125</v>
      </c>
      <c r="N186" s="196">
        <v>45207.131944444445</v>
      </c>
      <c r="O186" s="1188" t="s">
        <v>2916</v>
      </c>
      <c r="P186" s="62"/>
      <c r="Q186" s="62"/>
      <c r="R186" s="62"/>
      <c r="S186" s="62"/>
      <c r="T186" s="62"/>
      <c r="U186" s="62"/>
      <c r="V186" s="62"/>
      <c r="W186" s="62"/>
      <c r="X186" s="62">
        <v>29940.554799999998</v>
      </c>
      <c r="Y186" s="62">
        <v>15059.4452</v>
      </c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318">
        <v>45000</v>
      </c>
      <c r="BF186" s="318">
        <v>45000</v>
      </c>
      <c r="BG186" s="1180">
        <f t="shared" ref="BG186:BG200" si="55">SUM(P186:BA186)</f>
        <v>45000</v>
      </c>
      <c r="BH186" s="69">
        <v>17500</v>
      </c>
      <c r="BI186" s="1188" t="s">
        <v>12</v>
      </c>
      <c r="BJ186" s="1188" t="s">
        <v>32</v>
      </c>
      <c r="BK186" s="75" t="s">
        <v>2924</v>
      </c>
      <c r="BL186" s="72">
        <v>45189.427083333336</v>
      </c>
      <c r="BM186" s="72">
        <v>45196.468055555553</v>
      </c>
      <c r="BN186" s="75"/>
      <c r="BO186" s="198">
        <v>52447</v>
      </c>
      <c r="BP186" s="65" t="str">
        <f>IF(BO186=0,"0",IF(BO186&lt;=50000,"HANDYMAX",IF(BO186&lt;=58000,"SUPER HANDYMAX",IF(BO186&lt;=80000,"PANAMAX",IF(BO186&gt;=80001,"POST PANAMAX")))))</f>
        <v>SUPER HANDYMAX</v>
      </c>
      <c r="BQ186" s="75"/>
      <c r="BR186" s="75"/>
      <c r="BS186" s="75"/>
      <c r="BT186" s="75"/>
      <c r="BU186" s="75"/>
      <c r="BV186" s="75"/>
      <c r="BW186" s="75"/>
      <c r="CA186" s="84"/>
      <c r="AAI186" s="26"/>
      <c r="AAJ186" s="26"/>
      <c r="AAK186" s="26">
        <v>1</v>
      </c>
      <c r="AAL186" s="26"/>
      <c r="AAM186" s="26"/>
      <c r="AAN186" s="26"/>
      <c r="AAO186" s="26"/>
      <c r="AAP186" s="26"/>
      <c r="AAQ186" s="26"/>
      <c r="AAR186" s="26"/>
    </row>
    <row r="187" spans="1:728" s="476" customFormat="1" ht="14.4" outlineLevel="1">
      <c r="A187" s="533"/>
      <c r="B187" s="534">
        <v>2</v>
      </c>
      <c r="C187" s="535">
        <v>45170</v>
      </c>
      <c r="D187" s="534" t="s">
        <v>73</v>
      </c>
      <c r="E187" s="536">
        <v>45183</v>
      </c>
      <c r="F187" s="536">
        <v>45192</v>
      </c>
      <c r="G187" s="537" t="s">
        <v>2914</v>
      </c>
      <c r="H187" s="476" t="s">
        <v>1084</v>
      </c>
      <c r="I187" s="476" t="s">
        <v>3077</v>
      </c>
      <c r="J187" s="476" t="s">
        <v>2933</v>
      </c>
      <c r="K187" s="472">
        <v>45188.666666666664</v>
      </c>
      <c r="L187" s="472">
        <v>45188.574999999997</v>
      </c>
      <c r="M187" s="538">
        <v>45208.479166666664</v>
      </c>
      <c r="N187" s="679">
        <v>45210.020833333328</v>
      </c>
      <c r="O187" s="1188" t="s">
        <v>2916</v>
      </c>
      <c r="P187" s="539"/>
      <c r="Q187" s="539"/>
      <c r="R187" s="539"/>
      <c r="S187" s="539"/>
      <c r="T187" s="539"/>
      <c r="U187" s="539">
        <v>35221.586000000003</v>
      </c>
      <c r="V187" s="539">
        <v>1341.2010000000014</v>
      </c>
      <c r="W187" s="539"/>
      <c r="X187" s="539">
        <v>14920.030999999999</v>
      </c>
      <c r="Y187" s="539"/>
      <c r="Z187" s="539"/>
      <c r="AA187" s="539"/>
      <c r="AB187" s="539"/>
      <c r="AC187" s="539"/>
      <c r="AD187" s="539"/>
      <c r="AE187" s="539"/>
      <c r="AF187" s="539"/>
      <c r="AG187" s="539"/>
      <c r="AH187" s="539"/>
      <c r="AI187" s="539"/>
      <c r="AJ187" s="539"/>
      <c r="AK187" s="539"/>
      <c r="AL187" s="539"/>
      <c r="AM187" s="539"/>
      <c r="AN187" s="539"/>
      <c r="AO187" s="539"/>
      <c r="AP187" s="539"/>
      <c r="AQ187" s="539"/>
      <c r="AR187" s="539"/>
      <c r="AS187" s="539"/>
      <c r="AT187" s="539"/>
      <c r="AU187" s="539">
        <v>7543.1819999999998</v>
      </c>
      <c r="AV187" s="539"/>
      <c r="AW187" s="539"/>
      <c r="AX187" s="539"/>
      <c r="AY187" s="539"/>
      <c r="AZ187" s="539"/>
      <c r="BA187" s="539"/>
      <c r="BB187" s="539"/>
      <c r="BC187" s="539"/>
      <c r="BD187" s="539"/>
      <c r="BE187" s="540">
        <v>59900</v>
      </c>
      <c r="BF187" s="540">
        <v>59900</v>
      </c>
      <c r="BG187" s="1181">
        <f t="shared" si="55"/>
        <v>59026</v>
      </c>
      <c r="BH187" s="537">
        <v>16500</v>
      </c>
      <c r="BI187" s="1193" t="s">
        <v>4</v>
      </c>
      <c r="BJ187" s="1193" t="s">
        <v>5</v>
      </c>
      <c r="BK187" s="534" t="s">
        <v>2924</v>
      </c>
      <c r="BL187" s="536">
        <v>45183.609027777777</v>
      </c>
      <c r="BM187" s="536">
        <v>45184.359027777777</v>
      </c>
      <c r="BN187" s="534"/>
      <c r="BO187" s="541">
        <v>87340</v>
      </c>
      <c r="BP187" s="476" t="str">
        <f t="shared" ref="BP187" si="56">IF(BO187=0,"0",IF(BO187&lt;=50000,"HANDYMAX",IF(BO187&lt;=58000,"SUPER HANDYMAX",IF(BO187&lt;=80000,"PANAMAX",IF(BO187&gt;=80001,"POST PANAMAX")))))</f>
        <v>POST PANAMAX</v>
      </c>
      <c r="BQ187" s="534"/>
      <c r="BR187" s="534"/>
      <c r="BS187" s="534"/>
      <c r="BT187" s="534"/>
      <c r="BU187" s="534"/>
      <c r="BV187" s="534"/>
      <c r="BW187" s="534"/>
      <c r="BX187" s="476" t="s">
        <v>3078</v>
      </c>
      <c r="CA187" s="542"/>
      <c r="ZV187" s="543"/>
      <c r="ZW187" s="543"/>
      <c r="ZX187" s="543"/>
      <c r="ZY187" s="543"/>
      <c r="ZZ187" s="543">
        <v>2</v>
      </c>
      <c r="AAA187" s="543" t="s">
        <v>3079</v>
      </c>
      <c r="AAB187" s="543">
        <v>4</v>
      </c>
      <c r="AAC187" s="543">
        <v>3</v>
      </c>
      <c r="AAD187" s="543"/>
      <c r="AAE187" s="543"/>
    </row>
    <row r="188" spans="1:728" s="476" customFormat="1" ht="14.4" outlineLevel="1">
      <c r="A188" s="533"/>
      <c r="B188" s="534">
        <v>3</v>
      </c>
      <c r="C188" s="535">
        <v>45170</v>
      </c>
      <c r="D188" s="534" t="s">
        <v>74</v>
      </c>
      <c r="E188" s="536">
        <v>45192</v>
      </c>
      <c r="F188" s="536">
        <v>45201</v>
      </c>
      <c r="G188" s="537" t="s">
        <v>2914</v>
      </c>
      <c r="H188" s="476" t="s">
        <v>994</v>
      </c>
      <c r="I188" s="476" t="s">
        <v>3080</v>
      </c>
      <c r="J188" s="476" t="s">
        <v>2915</v>
      </c>
      <c r="K188" s="472">
        <v>45194.916666666664</v>
      </c>
      <c r="L188" s="472">
        <v>45194.895833333336</v>
      </c>
      <c r="M188" s="538">
        <v>45209.083333333336</v>
      </c>
      <c r="N188" s="538">
        <v>45211.833333333336</v>
      </c>
      <c r="O188" s="1188" t="s">
        <v>2916</v>
      </c>
      <c r="P188" s="539"/>
      <c r="Q188" s="539"/>
      <c r="R188" s="539"/>
      <c r="S188" s="539"/>
      <c r="T188" s="539"/>
      <c r="U188" s="539"/>
      <c r="V188" s="539"/>
      <c r="W188" s="539"/>
      <c r="X188" s="539">
        <v>30083.699399999998</v>
      </c>
      <c r="Y188" s="539">
        <v>20055.799599999998</v>
      </c>
      <c r="Z188" s="539"/>
      <c r="AA188" s="539"/>
      <c r="AB188" s="539"/>
      <c r="AC188" s="539"/>
      <c r="AD188" s="539"/>
      <c r="AE188" s="539"/>
      <c r="AF188" s="539"/>
      <c r="AG188" s="539"/>
      <c r="AH188" s="539"/>
      <c r="AI188" s="539"/>
      <c r="AJ188" s="539"/>
      <c r="AK188" s="539"/>
      <c r="AL188" s="539"/>
      <c r="AM188" s="539"/>
      <c r="AN188" s="539"/>
      <c r="AO188" s="539"/>
      <c r="AP188" s="539"/>
      <c r="AQ188" s="539"/>
      <c r="AR188" s="539"/>
      <c r="AS188" s="539"/>
      <c r="AT188" s="539">
        <v>6460.5010000000002</v>
      </c>
      <c r="AU188" s="539"/>
      <c r="AV188" s="539"/>
      <c r="AW188" s="539"/>
      <c r="AX188" s="539"/>
      <c r="AY188" s="539"/>
      <c r="AZ188" s="539"/>
      <c r="BA188" s="539"/>
      <c r="BB188" s="539"/>
      <c r="BC188" s="539"/>
      <c r="BD188" s="539"/>
      <c r="BE188" s="540">
        <v>56600</v>
      </c>
      <c r="BF188" s="540">
        <v>56600</v>
      </c>
      <c r="BG188" s="1181">
        <f t="shared" si="55"/>
        <v>56600</v>
      </c>
      <c r="BH188" s="537">
        <v>8000</v>
      </c>
      <c r="BI188" s="1193" t="s">
        <v>8</v>
      </c>
      <c r="BJ188" s="1193" t="s">
        <v>13</v>
      </c>
      <c r="BK188" s="534" t="s">
        <v>2920</v>
      </c>
      <c r="BL188" s="536">
        <v>45190.472916666666</v>
      </c>
      <c r="BM188" s="536">
        <v>45190.472916666666</v>
      </c>
      <c r="BN188" s="534"/>
      <c r="BO188" s="541">
        <v>56882</v>
      </c>
      <c r="BP188" s="476" t="str">
        <f t="shared" ref="BP188" si="57">IF(BO188=0,"0",IF(BO188&lt;=50000,"HANDYMAX",IF(BO188&lt;=58000,"SUPER HANDYMAX",IF(BO188&lt;=80000,"PANAMAX",IF(BO188&gt;=80001,"POST PANAMAX")))))</f>
        <v>SUPER HANDYMAX</v>
      </c>
      <c r="BQ188" s="534"/>
      <c r="BR188" s="534"/>
      <c r="BS188" s="534"/>
      <c r="BT188" s="534"/>
      <c r="BU188" s="534"/>
      <c r="BV188" s="534"/>
      <c r="BW188" s="534"/>
      <c r="BX188" s="476" t="s">
        <v>3081</v>
      </c>
      <c r="CA188" s="542"/>
      <c r="AAE188" s="543"/>
      <c r="AAF188" s="543"/>
      <c r="AAG188" s="543">
        <v>2</v>
      </c>
      <c r="AAH188" s="543">
        <v>1</v>
      </c>
      <c r="AAI188" s="543"/>
      <c r="AAJ188" s="543"/>
      <c r="AAK188" s="543"/>
      <c r="AAL188" s="543"/>
    </row>
    <row r="189" spans="1:728" s="476" customFormat="1" ht="14.4" outlineLevel="1">
      <c r="A189" s="533"/>
      <c r="B189" s="534">
        <v>4</v>
      </c>
      <c r="C189" s="535">
        <v>45170</v>
      </c>
      <c r="D189" s="534" t="s">
        <v>2983</v>
      </c>
      <c r="E189" s="536">
        <v>45198</v>
      </c>
      <c r="F189" s="536">
        <v>45207</v>
      </c>
      <c r="G189" s="537" t="s">
        <v>107</v>
      </c>
      <c r="H189" s="476" t="s">
        <v>3082</v>
      </c>
      <c r="I189" s="476" t="s">
        <v>3083</v>
      </c>
      <c r="J189" s="476" t="s">
        <v>2922</v>
      </c>
      <c r="K189" s="472">
        <v>45199.25</v>
      </c>
      <c r="L189" s="472">
        <v>45199.25</v>
      </c>
      <c r="M189" s="538">
        <v>45212.288194444445</v>
      </c>
      <c r="N189" s="538">
        <v>45214.033333333333</v>
      </c>
      <c r="O189" s="1188" t="s">
        <v>2916</v>
      </c>
      <c r="P189" s="539"/>
      <c r="Q189" s="539"/>
      <c r="R189" s="539"/>
      <c r="S189" s="539">
        <v>8574</v>
      </c>
      <c r="T189" s="539"/>
      <c r="U189" s="539">
        <v>4502.3420000000006</v>
      </c>
      <c r="V189" s="539">
        <v>18009.368000000002</v>
      </c>
      <c r="W189" s="539"/>
      <c r="X189" s="539"/>
      <c r="Y189" s="539"/>
      <c r="Z189" s="539"/>
      <c r="AA189" s="539"/>
      <c r="AB189" s="539"/>
      <c r="AC189" s="539"/>
      <c r="AD189" s="539"/>
      <c r="AE189" s="539"/>
      <c r="AF189" s="539"/>
      <c r="AG189" s="539"/>
      <c r="AH189" s="539"/>
      <c r="AI189" s="539"/>
      <c r="AJ189" s="539"/>
      <c r="AK189" s="539"/>
      <c r="AL189" s="539"/>
      <c r="AM189" s="539"/>
      <c r="AN189" s="539"/>
      <c r="AO189" s="539"/>
      <c r="AP189" s="539"/>
      <c r="AQ189" s="539"/>
      <c r="AR189" s="539">
        <v>26257.004000000001</v>
      </c>
      <c r="AS189" s="539"/>
      <c r="AT189" s="539"/>
      <c r="AU189" s="539">
        <v>15057.065999999999</v>
      </c>
      <c r="AV189" s="539"/>
      <c r="AW189" s="539"/>
      <c r="AX189" s="539"/>
      <c r="AY189" s="539"/>
      <c r="AZ189" s="539"/>
      <c r="BA189" s="539"/>
      <c r="BB189" s="539"/>
      <c r="BC189" s="539"/>
      <c r="BD189" s="539"/>
      <c r="BE189" s="540">
        <v>72400</v>
      </c>
      <c r="BF189" s="540">
        <v>72400</v>
      </c>
      <c r="BG189" s="1181">
        <f t="shared" si="55"/>
        <v>72399.78</v>
      </c>
      <c r="BH189" s="537">
        <v>17000</v>
      </c>
      <c r="BI189" s="1193" t="s">
        <v>20</v>
      </c>
      <c r="BJ189" s="1193" t="s">
        <v>2923</v>
      </c>
      <c r="BK189" s="534" t="s">
        <v>2924</v>
      </c>
      <c r="BL189" s="536">
        <v>45196.580555555556</v>
      </c>
      <c r="BM189" s="536">
        <v>45197.459027777775</v>
      </c>
      <c r="BN189" s="534"/>
      <c r="BO189" s="541">
        <v>82181</v>
      </c>
      <c r="BP189" s="476" t="str">
        <f>IF(BO189=0,"0",IF(BO189&lt;=50000,"HANDYMAX",IF(BO189&lt;=58000,"SUPER HANDYMAX",IF(BO189&lt;=80000,"PANAMAX",IF(BO189&gt;=80001,"POST PANAMAX")))))</f>
        <v>POST PANAMAX</v>
      </c>
      <c r="BQ189" s="534"/>
      <c r="BR189" s="534"/>
      <c r="BS189" s="534"/>
      <c r="BT189" s="534"/>
      <c r="BU189" s="534"/>
      <c r="BV189" s="534"/>
      <c r="BW189" s="534"/>
      <c r="BX189" s="476" t="s">
        <v>3084</v>
      </c>
      <c r="CA189" s="542"/>
      <c r="AAK189" s="543">
        <v>1</v>
      </c>
      <c r="AAL189" s="543">
        <v>2</v>
      </c>
      <c r="AAM189" s="543"/>
      <c r="AAN189" s="543"/>
      <c r="AAO189" s="543"/>
      <c r="AAP189" s="543"/>
      <c r="AAQ189" s="543"/>
      <c r="AAR189" s="543"/>
      <c r="AAS189" s="543"/>
      <c r="AAT189" s="543"/>
    </row>
    <row r="190" spans="1:728" s="476" customFormat="1" ht="14.4" outlineLevel="1">
      <c r="A190" s="533"/>
      <c r="B190" s="534">
        <v>5</v>
      </c>
      <c r="C190" s="535">
        <v>45200</v>
      </c>
      <c r="D190" s="534" t="s">
        <v>74</v>
      </c>
      <c r="E190" s="536">
        <v>45200</v>
      </c>
      <c r="F190" s="536">
        <v>45209</v>
      </c>
      <c r="G190" s="537" t="s">
        <v>2914</v>
      </c>
      <c r="H190" s="476" t="s">
        <v>3085</v>
      </c>
      <c r="I190" s="476" t="s">
        <v>3086</v>
      </c>
      <c r="J190" s="476" t="s">
        <v>2926</v>
      </c>
      <c r="K190" s="472">
        <v>45202.666666666664</v>
      </c>
      <c r="L190" s="472">
        <v>45202.662499999999</v>
      </c>
      <c r="M190" s="538">
        <v>45210.416666666664</v>
      </c>
      <c r="N190" s="538">
        <v>45214.104166666664</v>
      </c>
      <c r="O190" s="1188" t="s">
        <v>2916</v>
      </c>
      <c r="P190" s="539"/>
      <c r="Q190" s="539"/>
      <c r="R190" s="539"/>
      <c r="S190" s="539"/>
      <c r="T190" s="539"/>
      <c r="U190" s="539"/>
      <c r="V190" s="539"/>
      <c r="W190" s="539"/>
      <c r="X190" s="539">
        <v>69924.574200000003</v>
      </c>
      <c r="Y190" s="539">
        <v>17275.425800000001</v>
      </c>
      <c r="Z190" s="539"/>
      <c r="AA190" s="539"/>
      <c r="AB190" s="539"/>
      <c r="AC190" s="539"/>
      <c r="AD190" s="539"/>
      <c r="AE190" s="539"/>
      <c r="AF190" s="539"/>
      <c r="AG190" s="539"/>
      <c r="AH190" s="539"/>
      <c r="AI190" s="539"/>
      <c r="AJ190" s="539"/>
      <c r="AK190" s="539"/>
      <c r="AL190" s="539"/>
      <c r="AM190" s="539"/>
      <c r="AN190" s="539"/>
      <c r="AO190" s="539"/>
      <c r="AP190" s="539"/>
      <c r="AQ190" s="539"/>
      <c r="AR190" s="539"/>
      <c r="AS190" s="539"/>
      <c r="AT190" s="539"/>
      <c r="AU190" s="539"/>
      <c r="AV190" s="539"/>
      <c r="AW190" s="539"/>
      <c r="AX190" s="539"/>
      <c r="AY190" s="539"/>
      <c r="AZ190" s="539"/>
      <c r="BA190" s="539"/>
      <c r="BB190" s="539"/>
      <c r="BC190" s="539"/>
      <c r="BD190" s="539"/>
      <c r="BE190" s="540">
        <v>87200</v>
      </c>
      <c r="BF190" s="540">
        <v>87200</v>
      </c>
      <c r="BG190" s="1181">
        <f t="shared" si="55"/>
        <v>87200</v>
      </c>
      <c r="BH190" s="537">
        <v>16198</v>
      </c>
      <c r="BI190" s="1193" t="s">
        <v>4</v>
      </c>
      <c r="BJ190" s="1193" t="s">
        <v>5</v>
      </c>
      <c r="BK190" s="534" t="s">
        <v>2968</v>
      </c>
      <c r="BL190" s="536">
        <v>45198.598611111112</v>
      </c>
      <c r="BM190" s="536">
        <v>45201.407638888886</v>
      </c>
      <c r="BN190" s="534"/>
      <c r="BO190" s="541">
        <v>93249</v>
      </c>
      <c r="BP190" s="476" t="str">
        <f t="shared" ref="BP190:BP196" si="58">IF(BO190=0,"0",IF(BO190&lt;=50000,"HANDYMAX",IF(BO190&lt;=58000,"SUPER HANDYMAX",IF(BO190&lt;=80000,"PANAMAX",IF(BO190&gt;=80001,"POST PANAMAX")))))</f>
        <v>POST PANAMAX</v>
      </c>
      <c r="BQ190" s="534"/>
      <c r="BR190" s="534"/>
      <c r="BS190" s="534"/>
      <c r="BT190" s="534"/>
      <c r="BU190" s="534"/>
      <c r="BV190" s="534"/>
      <c r="BW190" s="534"/>
      <c r="CA190" s="542"/>
      <c r="AAM190" s="543"/>
      <c r="AAN190" s="543"/>
      <c r="AAO190" s="543">
        <v>2</v>
      </c>
      <c r="AAP190" s="543">
        <v>1</v>
      </c>
      <c r="AAQ190" s="543">
        <v>1</v>
      </c>
      <c r="AAR190" s="543"/>
      <c r="AAS190" s="543"/>
      <c r="AAT190" s="543"/>
      <c r="AAU190" s="543"/>
      <c r="AAV190" s="543"/>
    </row>
    <row r="191" spans="1:728" s="476" customFormat="1" ht="14.4" outlineLevel="1">
      <c r="A191" s="533"/>
      <c r="B191" s="534">
        <v>6</v>
      </c>
      <c r="C191" s="535">
        <v>45200</v>
      </c>
      <c r="D191" s="534" t="s">
        <v>73</v>
      </c>
      <c r="E191" s="536">
        <v>45200</v>
      </c>
      <c r="F191" s="536">
        <v>45209</v>
      </c>
      <c r="G191" s="537" t="s">
        <v>2914</v>
      </c>
      <c r="H191" s="476" t="s">
        <v>3087</v>
      </c>
      <c r="I191" s="476" t="s">
        <v>3088</v>
      </c>
      <c r="J191" s="476" t="s">
        <v>2933</v>
      </c>
      <c r="K191" s="472">
        <v>45212.041666666664</v>
      </c>
      <c r="L191" s="472">
        <v>45212.041666666664</v>
      </c>
      <c r="M191" s="538">
        <v>45213.451388888891</v>
      </c>
      <c r="N191" s="679">
        <v>45216.625</v>
      </c>
      <c r="O191" s="1188" t="s">
        <v>2916</v>
      </c>
      <c r="P191" s="539"/>
      <c r="Q191" s="539"/>
      <c r="R191" s="539"/>
      <c r="S191" s="539"/>
      <c r="T191" s="539"/>
      <c r="U191" s="539">
        <v>2176.33635</v>
      </c>
      <c r="V191" s="539">
        <v>45704.992650000007</v>
      </c>
      <c r="W191" s="539"/>
      <c r="X191" s="539"/>
      <c r="Y191" s="539">
        <v>29118.670999999998</v>
      </c>
      <c r="Z191" s="539"/>
      <c r="AA191" s="539"/>
      <c r="AB191" s="539"/>
      <c r="AC191" s="539"/>
      <c r="AD191" s="539"/>
      <c r="AE191" s="539"/>
      <c r="AF191" s="539"/>
      <c r="AG191" s="539"/>
      <c r="AH191" s="539"/>
      <c r="AI191" s="539"/>
      <c r="AJ191" s="539"/>
      <c r="AK191" s="539"/>
      <c r="AL191" s="539"/>
      <c r="AM191" s="539"/>
      <c r="AN191" s="539"/>
      <c r="AO191" s="539"/>
      <c r="AP191" s="539"/>
      <c r="AQ191" s="539"/>
      <c r="AR191" s="539"/>
      <c r="AS191" s="539"/>
      <c r="AT191" s="539"/>
      <c r="AU191" s="539"/>
      <c r="AV191" s="539"/>
      <c r="AW191" s="539"/>
      <c r="AX191" s="539"/>
      <c r="AY191" s="539"/>
      <c r="AZ191" s="539"/>
      <c r="BA191" s="539"/>
      <c r="BB191" s="539"/>
      <c r="BC191" s="539"/>
      <c r="BD191" s="539"/>
      <c r="BE191" s="540">
        <v>77000</v>
      </c>
      <c r="BF191" s="540">
        <v>77000</v>
      </c>
      <c r="BG191" s="1181">
        <f t="shared" si="55"/>
        <v>77000</v>
      </c>
      <c r="BH191" s="537">
        <v>16500</v>
      </c>
      <c r="BI191" s="1193" t="s">
        <v>12</v>
      </c>
      <c r="BJ191" s="1193" t="s">
        <v>32</v>
      </c>
      <c r="BK191" s="534" t="s">
        <v>2924</v>
      </c>
      <c r="BL191" s="536">
        <v>45198.512499999997</v>
      </c>
      <c r="BM191" s="536">
        <v>45201.887499999997</v>
      </c>
      <c r="BN191" s="534"/>
      <c r="BO191" s="541">
        <v>88172</v>
      </c>
      <c r="BP191" s="476" t="str">
        <f>IF(BO191=0,"0",IF(BO191&lt;=50000,"HANDYMAX",IF(BO191&lt;=58000,"SUPER HANDYMAX",IF(BO191&lt;=80000,"PANAMAX",IF(BO191&gt;=80001,"POST PANAMAX")))))</f>
        <v>POST PANAMAX</v>
      </c>
      <c r="BQ191" s="534"/>
      <c r="BR191" s="534"/>
      <c r="BS191" s="534"/>
      <c r="BT191" s="534"/>
      <c r="BU191" s="534"/>
      <c r="BV191" s="534"/>
      <c r="BW191" s="534"/>
      <c r="BX191" s="476" t="s">
        <v>3089</v>
      </c>
      <c r="CA191" s="542"/>
      <c r="AAM191" s="543"/>
      <c r="AAN191" s="543"/>
      <c r="AAO191" s="543">
        <v>1</v>
      </c>
      <c r="AAP191" s="543">
        <v>1</v>
      </c>
      <c r="AAQ191" s="543"/>
      <c r="AAR191" s="543">
        <v>2</v>
      </c>
      <c r="AAS191" s="543"/>
      <c r="AAT191" s="543"/>
      <c r="AAU191" s="543"/>
      <c r="AAV191" s="543"/>
      <c r="AAY191" s="476">
        <v>3</v>
      </c>
      <c r="AAZ191" s="476">
        <v>3</v>
      </c>
    </row>
    <row r="192" spans="1:728" s="476" customFormat="1" ht="14.4" outlineLevel="1">
      <c r="A192" s="533"/>
      <c r="B192" s="534">
        <v>7</v>
      </c>
      <c r="C192" s="535">
        <v>45170</v>
      </c>
      <c r="D192" s="534" t="s">
        <v>73</v>
      </c>
      <c r="E192" s="536">
        <v>45190</v>
      </c>
      <c r="F192" s="536">
        <v>45199</v>
      </c>
      <c r="G192" s="537" t="s">
        <v>107</v>
      </c>
      <c r="H192" s="476" t="s">
        <v>3090</v>
      </c>
      <c r="I192" s="476" t="s">
        <v>3091</v>
      </c>
      <c r="J192" s="476" t="s">
        <v>2933</v>
      </c>
      <c r="K192" s="472">
        <v>45196.333333333336</v>
      </c>
      <c r="L192" s="472">
        <v>45196.212500000001</v>
      </c>
      <c r="M192" s="538">
        <v>45215.432638888888</v>
      </c>
      <c r="N192" s="679">
        <v>45216.939583333333</v>
      </c>
      <c r="O192" s="1188" t="s">
        <v>2916</v>
      </c>
      <c r="P192" s="539"/>
      <c r="Q192" s="539"/>
      <c r="R192" s="539"/>
      <c r="S192" s="539"/>
      <c r="T192" s="539"/>
      <c r="U192" s="539">
        <v>49944.453999999983</v>
      </c>
      <c r="V192" s="539"/>
      <c r="W192" s="539"/>
      <c r="X192" s="539"/>
      <c r="Y192" s="539">
        <v>28161.154000000002</v>
      </c>
      <c r="Z192" s="539"/>
      <c r="AA192" s="539"/>
      <c r="AB192" s="539"/>
      <c r="AC192" s="539"/>
      <c r="AD192" s="539"/>
      <c r="AE192" s="539"/>
      <c r="AF192" s="539"/>
      <c r="AG192" s="539"/>
      <c r="AH192" s="539"/>
      <c r="AI192" s="539"/>
      <c r="AJ192" s="539"/>
      <c r="AK192" s="539"/>
      <c r="AL192" s="539"/>
      <c r="AM192" s="539"/>
      <c r="AN192" s="539"/>
      <c r="AO192" s="539"/>
      <c r="AP192" s="539"/>
      <c r="AQ192" s="539"/>
      <c r="AR192" s="539"/>
      <c r="AS192" s="539"/>
      <c r="AT192" s="539"/>
      <c r="AU192" s="539">
        <v>5550.3919999999998</v>
      </c>
      <c r="AV192" s="539"/>
      <c r="AW192" s="539"/>
      <c r="AX192" s="539"/>
      <c r="AY192" s="539"/>
      <c r="AZ192" s="539"/>
      <c r="BA192" s="539"/>
      <c r="BB192" s="539"/>
      <c r="BC192" s="539"/>
      <c r="BD192" s="539"/>
      <c r="BE192" s="540">
        <v>83656</v>
      </c>
      <c r="BF192" s="540">
        <v>83656</v>
      </c>
      <c r="BG192" s="1181">
        <f t="shared" si="55"/>
        <v>83655.999999999971</v>
      </c>
      <c r="BH192" s="537">
        <v>16018.77</v>
      </c>
      <c r="BI192" s="1193" t="s">
        <v>20</v>
      </c>
      <c r="BJ192" s="1193" t="s">
        <v>2923</v>
      </c>
      <c r="BK192" s="534" t="s">
        <v>2924</v>
      </c>
      <c r="BL192" s="536">
        <v>45180.431944444441</v>
      </c>
      <c r="BM192" s="536">
        <v>45191.42291666667</v>
      </c>
      <c r="BN192" s="534"/>
      <c r="BO192" s="541">
        <v>84854</v>
      </c>
      <c r="BP192" s="476" t="str">
        <f>IF(BO192=0,"0",IF(BO192&lt;=50000,"HANDYMAX",IF(BO192&lt;=58000,"SUPER HANDYMAX",IF(BO192&lt;=80000,"PANAMAX",IF(BO192&gt;=80001,"POST PANAMAX")))))</f>
        <v>POST PANAMAX</v>
      </c>
      <c r="BQ192" s="534"/>
      <c r="BR192" s="534"/>
      <c r="BS192" s="534"/>
      <c r="BT192" s="534"/>
      <c r="BU192" s="534"/>
      <c r="BV192" s="534"/>
      <c r="BW192" s="534"/>
      <c r="BX192" s="476" t="s">
        <v>3092</v>
      </c>
      <c r="CA192" s="542"/>
      <c r="AAC192" s="543"/>
      <c r="AAD192" s="543"/>
      <c r="AAE192" s="543"/>
      <c r="AAF192" s="543"/>
      <c r="AAG192" s="543"/>
      <c r="AAH192" s="543"/>
      <c r="AAI192" s="543">
        <v>1</v>
      </c>
      <c r="AAJ192" s="543"/>
      <c r="AAK192" s="543"/>
      <c r="AAL192" s="543"/>
    </row>
    <row r="193" spans="1:752" s="476" customFormat="1" ht="14.4" outlineLevel="1">
      <c r="A193" s="533"/>
      <c r="B193" s="534">
        <v>8</v>
      </c>
      <c r="C193" s="535">
        <v>45200</v>
      </c>
      <c r="D193" s="534" t="s">
        <v>85</v>
      </c>
      <c r="E193" s="536">
        <v>45213</v>
      </c>
      <c r="F193" s="536">
        <v>45222</v>
      </c>
      <c r="G193" s="537" t="s">
        <v>2942</v>
      </c>
      <c r="H193" s="476" t="s">
        <v>3093</v>
      </c>
      <c r="I193" s="476" t="s">
        <v>3094</v>
      </c>
      <c r="J193" s="476" t="s">
        <v>2943</v>
      </c>
      <c r="K193" s="472">
        <v>45213.75</v>
      </c>
      <c r="L193" s="472">
        <v>45213.729166666664</v>
      </c>
      <c r="M193" s="679">
        <v>45214.833333333336</v>
      </c>
      <c r="N193" s="538">
        <v>45219.666666666664</v>
      </c>
      <c r="O193" s="1188" t="s">
        <v>2916</v>
      </c>
      <c r="P193" s="539"/>
      <c r="Q193" s="539"/>
      <c r="R193" s="539"/>
      <c r="S193" s="539"/>
      <c r="T193" s="539"/>
      <c r="U193" s="539"/>
      <c r="V193" s="539">
        <v>6190.6319999999996</v>
      </c>
      <c r="W193" s="539"/>
      <c r="X193" s="539"/>
      <c r="Y193" s="539">
        <v>13653.121999999999</v>
      </c>
      <c r="Z193" s="539">
        <v>33056.245999999999</v>
      </c>
      <c r="AA193" s="539"/>
      <c r="AB193" s="539"/>
      <c r="AC193" s="539"/>
      <c r="AD193" s="539"/>
      <c r="AE193" s="539"/>
      <c r="AF193" s="539"/>
      <c r="AG193" s="539"/>
      <c r="AH193" s="539"/>
      <c r="AI193" s="539"/>
      <c r="AJ193" s="539"/>
      <c r="AK193" s="539"/>
      <c r="AL193" s="539"/>
      <c r="AM193" s="539"/>
      <c r="AN193" s="539"/>
      <c r="AO193" s="539"/>
      <c r="AP193" s="539"/>
      <c r="AQ193" s="539"/>
      <c r="AR193" s="539"/>
      <c r="AS193" s="539"/>
      <c r="AT193" s="539"/>
      <c r="AU193" s="539"/>
      <c r="AV193" s="539"/>
      <c r="AW193" s="539"/>
      <c r="AX193" s="539"/>
      <c r="AY193" s="539"/>
      <c r="AZ193" s="539"/>
      <c r="BA193" s="539"/>
      <c r="BB193" s="539"/>
      <c r="BC193" s="539"/>
      <c r="BD193" s="539"/>
      <c r="BE193" s="540">
        <v>52900</v>
      </c>
      <c r="BF193" s="540">
        <v>52900</v>
      </c>
      <c r="BG193" s="1181">
        <f t="shared" si="55"/>
        <v>52900</v>
      </c>
      <c r="BH193" s="537">
        <v>16550</v>
      </c>
      <c r="BI193" s="1193" t="s">
        <v>16</v>
      </c>
      <c r="BJ193" s="1193" t="s">
        <v>45</v>
      </c>
      <c r="BK193" s="534" t="s">
        <v>2944</v>
      </c>
      <c r="BL193" s="536">
        <v>45208.534722222219</v>
      </c>
      <c r="BM193" s="536">
        <v>45210.620138888888</v>
      </c>
      <c r="BN193" s="534"/>
      <c r="BO193" s="541">
        <v>56132</v>
      </c>
      <c r="BP193" s="476" t="str">
        <f>IF(BO193=0,"0",IF(BO193&lt;=50000,"HANDYMAX",IF(BO193&lt;=58000,"SUPER HANDYMAX",IF(BO193&lt;=80000,"PANAMAX",IF(BO193&gt;=80001,"POST PANAMAX")))))</f>
        <v>SUPER HANDYMAX</v>
      </c>
      <c r="BQ193" s="534"/>
      <c r="BR193" s="534"/>
      <c r="BS193" s="534"/>
      <c r="BT193" s="534"/>
      <c r="BU193" s="534"/>
      <c r="BV193" s="534"/>
      <c r="BW193" s="534"/>
      <c r="BX193" s="476" t="s">
        <v>3095</v>
      </c>
      <c r="CA193" s="542"/>
      <c r="AAZ193" s="543" t="s">
        <v>2939</v>
      </c>
      <c r="ABA193" s="543">
        <v>2</v>
      </c>
      <c r="ABB193" s="543"/>
      <c r="ABC193" s="543"/>
      <c r="ABD193" s="543"/>
      <c r="ABE193" s="543"/>
      <c r="ABF193" s="543"/>
      <c r="ABG193" s="543"/>
      <c r="ABH193" s="543"/>
      <c r="ABI193" s="543"/>
    </row>
    <row r="194" spans="1:752" s="476" customFormat="1" ht="14.4" outlineLevel="1">
      <c r="A194" s="533"/>
      <c r="B194" s="534">
        <v>9</v>
      </c>
      <c r="C194" s="535">
        <v>45200</v>
      </c>
      <c r="D194" s="534" t="s">
        <v>2983</v>
      </c>
      <c r="E194" s="536">
        <v>45207</v>
      </c>
      <c r="F194" s="536">
        <v>45216</v>
      </c>
      <c r="G194" s="537" t="s">
        <v>107</v>
      </c>
      <c r="H194" s="476" t="s">
        <v>3096</v>
      </c>
      <c r="I194" s="476" t="s">
        <v>3097</v>
      </c>
      <c r="J194" s="476" t="s">
        <v>2922</v>
      </c>
      <c r="K194" s="472">
        <v>45207.000694444447</v>
      </c>
      <c r="L194" s="472">
        <v>45207.004166666666</v>
      </c>
      <c r="M194" s="679">
        <v>45217.081250000003</v>
      </c>
      <c r="N194" s="538">
        <v>45220.097222222219</v>
      </c>
      <c r="O194" s="1188" t="s">
        <v>2916</v>
      </c>
      <c r="P194" s="539"/>
      <c r="Q194" s="539">
        <v>15202</v>
      </c>
      <c r="R194" s="539"/>
      <c r="S194" s="539"/>
      <c r="T194" s="539">
        <v>12011</v>
      </c>
      <c r="U194" s="539"/>
      <c r="V194" s="539"/>
      <c r="W194" s="539"/>
      <c r="X194" s="539"/>
      <c r="Y194" s="539"/>
      <c r="Z194" s="539"/>
      <c r="AA194" s="539"/>
      <c r="AB194" s="539"/>
      <c r="AC194" s="539"/>
      <c r="AD194" s="539"/>
      <c r="AE194" s="539"/>
      <c r="AF194" s="539"/>
      <c r="AG194" s="539"/>
      <c r="AH194" s="539"/>
      <c r="AI194" s="539"/>
      <c r="AJ194" s="539"/>
      <c r="AK194" s="539"/>
      <c r="AL194" s="539"/>
      <c r="AM194" s="539"/>
      <c r="AN194" s="539"/>
      <c r="AO194" s="539"/>
      <c r="AP194" s="539"/>
      <c r="AQ194" s="539"/>
      <c r="AR194" s="539">
        <v>25529.492000000002</v>
      </c>
      <c r="AS194" s="539"/>
      <c r="AT194" s="539"/>
      <c r="AU194" s="539">
        <v>7037.4679999999998</v>
      </c>
      <c r="AV194" s="539"/>
      <c r="AW194" s="539">
        <v>15007.802</v>
      </c>
      <c r="AX194" s="539"/>
      <c r="AY194" s="539"/>
      <c r="AZ194" s="539"/>
      <c r="BA194" s="539"/>
      <c r="BB194" s="539"/>
      <c r="BC194" s="539"/>
      <c r="BD194" s="539"/>
      <c r="BE194" s="540">
        <v>74868</v>
      </c>
      <c r="BF194" s="540">
        <v>74868</v>
      </c>
      <c r="BG194" s="1181">
        <f t="shared" si="55"/>
        <v>74787.762000000002</v>
      </c>
      <c r="BH194" s="537">
        <v>19000</v>
      </c>
      <c r="BI194" s="1193" t="s">
        <v>20</v>
      </c>
      <c r="BJ194" s="1193" t="s">
        <v>2923</v>
      </c>
      <c r="BK194" s="534" t="s">
        <v>2927</v>
      </c>
      <c r="BL194" s="536">
        <v>45203.636805555558</v>
      </c>
      <c r="BM194" s="536">
        <v>45204.698611111111</v>
      </c>
      <c r="BN194" s="534"/>
      <c r="BO194" s="541">
        <v>72270</v>
      </c>
      <c r="BP194" s="476" t="str">
        <f t="shared" si="58"/>
        <v>PANAMAX</v>
      </c>
      <c r="BQ194" s="534"/>
      <c r="BR194" s="534"/>
      <c r="BS194" s="534"/>
      <c r="BT194" s="534"/>
      <c r="BU194" s="534"/>
      <c r="BV194" s="534"/>
      <c r="BW194" s="534"/>
      <c r="BX194" s="476" t="s">
        <v>3098</v>
      </c>
      <c r="CA194" s="542"/>
      <c r="AAT194" s="543">
        <v>2</v>
      </c>
      <c r="AAU194" s="543"/>
      <c r="AAV194" s="543"/>
      <c r="AAW194" s="543">
        <v>1</v>
      </c>
      <c r="AAX194" s="543">
        <v>1</v>
      </c>
      <c r="AAY194" s="543">
        <v>1</v>
      </c>
      <c r="AAZ194" s="543"/>
      <c r="ABA194" s="543"/>
      <c r="ABB194" s="543"/>
      <c r="ABC194" s="543"/>
    </row>
    <row r="195" spans="1:752" s="476" customFormat="1" ht="14.4" outlineLevel="1">
      <c r="A195" s="533"/>
      <c r="B195" s="534">
        <v>10</v>
      </c>
      <c r="C195" s="535">
        <v>45200</v>
      </c>
      <c r="D195" s="534" t="s">
        <v>74</v>
      </c>
      <c r="E195" s="536">
        <v>45211</v>
      </c>
      <c r="F195" s="536">
        <v>45220</v>
      </c>
      <c r="G195" s="537" t="s">
        <v>2914</v>
      </c>
      <c r="H195" s="476" t="s">
        <v>3099</v>
      </c>
      <c r="I195" s="476" t="s">
        <v>3100</v>
      </c>
      <c r="J195" s="476" t="s">
        <v>2922</v>
      </c>
      <c r="K195" s="472">
        <v>45213.333333333336</v>
      </c>
      <c r="L195" s="472">
        <v>45213.3125</v>
      </c>
      <c r="M195" s="538">
        <v>45217.489583333336</v>
      </c>
      <c r="N195" s="538" t="s">
        <v>3101</v>
      </c>
      <c r="O195" s="1188" t="s">
        <v>2916</v>
      </c>
      <c r="P195" s="539"/>
      <c r="Q195" s="539"/>
      <c r="R195" s="539"/>
      <c r="S195" s="539"/>
      <c r="T195" s="539"/>
      <c r="U195" s="539"/>
      <c r="V195" s="539"/>
      <c r="W195" s="539"/>
      <c r="X195" s="539">
        <v>40233.680499999995</v>
      </c>
      <c r="Y195" s="539">
        <v>12563.3195</v>
      </c>
      <c r="Z195" s="539"/>
      <c r="AA195" s="539"/>
      <c r="AB195" s="539"/>
      <c r="AC195" s="539"/>
      <c r="AD195" s="539"/>
      <c r="AE195" s="539"/>
      <c r="AF195" s="539"/>
      <c r="AG195" s="539"/>
      <c r="AH195" s="539"/>
      <c r="AI195" s="539"/>
      <c r="AJ195" s="539"/>
      <c r="AK195" s="539"/>
      <c r="AL195" s="539"/>
      <c r="AM195" s="539"/>
      <c r="AN195" s="539">
        <v>5002</v>
      </c>
      <c r="AO195" s="539"/>
      <c r="AP195" s="539">
        <v>5201</v>
      </c>
      <c r="AQ195" s="539"/>
      <c r="AR195" s="539"/>
      <c r="AS195" s="539"/>
      <c r="AT195" s="539"/>
      <c r="AU195" s="539"/>
      <c r="AV195" s="539"/>
      <c r="AW195" s="539"/>
      <c r="AX195" s="539"/>
      <c r="AY195" s="539"/>
      <c r="AZ195" s="539"/>
      <c r="BA195" s="539"/>
      <c r="BB195" s="539"/>
      <c r="BC195" s="539"/>
      <c r="BD195" s="539"/>
      <c r="BE195" s="540">
        <v>63000</v>
      </c>
      <c r="BF195" s="540">
        <v>63000</v>
      </c>
      <c r="BG195" s="1181">
        <f t="shared" si="55"/>
        <v>62999.999999999993</v>
      </c>
      <c r="BH195" s="537">
        <v>18000</v>
      </c>
      <c r="BI195" s="1193" t="s">
        <v>12</v>
      </c>
      <c r="BJ195" s="1193" t="s">
        <v>3102</v>
      </c>
      <c r="BK195" s="534" t="s">
        <v>3011</v>
      </c>
      <c r="BL195" s="536">
        <v>45208.688194444447</v>
      </c>
      <c r="BM195" s="536">
        <v>45209.484722222223</v>
      </c>
      <c r="BN195" s="534"/>
      <c r="BO195" s="541">
        <v>76358.759999999995</v>
      </c>
      <c r="BP195" s="476" t="str">
        <f>IF(BO195=0,"0",IF(BO195&lt;=50000,"HANDYMAX",IF(BO195&lt;=58000,"SUPER HANDYMAX",IF(BO195&lt;=80000,"PANAMAX",IF(BO195&gt;=80001,"POST PANAMAX")))))</f>
        <v>PANAMAX</v>
      </c>
      <c r="BQ195" s="534"/>
      <c r="BR195" s="534"/>
      <c r="BS195" s="534"/>
      <c r="BT195" s="534"/>
      <c r="BU195" s="534"/>
      <c r="BV195" s="534"/>
      <c r="BW195" s="534"/>
      <c r="BX195" s="476" t="s">
        <v>3103</v>
      </c>
      <c r="CA195" s="542"/>
      <c r="AAX195" s="543"/>
      <c r="AAY195" s="543"/>
      <c r="AAZ195" s="543">
        <v>1</v>
      </c>
      <c r="ABA195" s="543"/>
      <c r="ABB195" s="543"/>
      <c r="ABC195" s="543"/>
      <c r="ABD195" s="543"/>
      <c r="ABE195" s="543"/>
      <c r="ABF195" s="543"/>
      <c r="ABG195" s="543"/>
    </row>
    <row r="196" spans="1:752" s="476" customFormat="1" ht="14.4" outlineLevel="1">
      <c r="A196" s="533"/>
      <c r="B196" s="534">
        <v>11</v>
      </c>
      <c r="C196" s="535">
        <v>45170</v>
      </c>
      <c r="D196" s="534" t="s">
        <v>73</v>
      </c>
      <c r="E196" s="536">
        <v>45188</v>
      </c>
      <c r="F196" s="536">
        <v>45197</v>
      </c>
      <c r="G196" s="537" t="s">
        <v>2914</v>
      </c>
      <c r="H196" s="476" t="s">
        <v>3104</v>
      </c>
      <c r="I196" s="476" t="s">
        <v>3105</v>
      </c>
      <c r="J196" s="476" t="s">
        <v>2933</v>
      </c>
      <c r="K196" s="472">
        <v>45192.333333333336</v>
      </c>
      <c r="L196" s="472">
        <v>45192.347222222219</v>
      </c>
      <c r="M196" s="538">
        <v>45218.618055555555</v>
      </c>
      <c r="N196" s="538">
        <v>45221.930555555555</v>
      </c>
      <c r="O196" s="1193" t="s">
        <v>2916</v>
      </c>
      <c r="P196" s="539"/>
      <c r="Q196" s="539"/>
      <c r="R196" s="539"/>
      <c r="S196" s="539"/>
      <c r="T196" s="539"/>
      <c r="U196" s="539">
        <v>39717.03349999999</v>
      </c>
      <c r="V196" s="539">
        <v>8576.6305000000011</v>
      </c>
      <c r="W196" s="539"/>
      <c r="X196" s="539">
        <v>19236.450550000001</v>
      </c>
      <c r="Y196" s="539">
        <v>10932.498449999999</v>
      </c>
      <c r="Z196" s="539"/>
      <c r="AA196" s="539"/>
      <c r="AB196" s="539"/>
      <c r="AC196" s="539"/>
      <c r="AD196" s="539"/>
      <c r="AE196" s="539"/>
      <c r="AF196" s="539"/>
      <c r="AG196" s="539"/>
      <c r="AH196" s="539"/>
      <c r="AI196" s="539"/>
      <c r="AJ196" s="539"/>
      <c r="AK196" s="539"/>
      <c r="AL196" s="539"/>
      <c r="AM196" s="539"/>
      <c r="AN196" s="539"/>
      <c r="AO196" s="539"/>
      <c r="AP196" s="539"/>
      <c r="AQ196" s="539"/>
      <c r="AR196" s="539"/>
      <c r="AS196" s="539"/>
      <c r="AT196" s="539"/>
      <c r="AU196" s="539">
        <v>7577.3869999999997</v>
      </c>
      <c r="AV196" s="539"/>
      <c r="AW196" s="539"/>
      <c r="AX196" s="539"/>
      <c r="AY196" s="539"/>
      <c r="AZ196" s="539"/>
      <c r="BA196" s="539"/>
      <c r="BB196" s="539"/>
      <c r="BC196" s="539"/>
      <c r="BD196" s="539"/>
      <c r="BE196" s="540">
        <v>86040</v>
      </c>
      <c r="BF196" s="540">
        <v>86040</v>
      </c>
      <c r="BG196" s="1181">
        <f t="shared" si="55"/>
        <v>86040</v>
      </c>
      <c r="BH196" s="537"/>
      <c r="BI196" s="1193" t="s">
        <v>4</v>
      </c>
      <c r="BJ196" s="1193" t="s">
        <v>5</v>
      </c>
      <c r="BK196" s="534" t="s">
        <v>2924</v>
      </c>
      <c r="BL196" s="536">
        <v>45177.643750000003</v>
      </c>
      <c r="BM196" s="536">
        <v>45183.411805555559</v>
      </c>
      <c r="BN196" s="534"/>
      <c r="BO196" s="541">
        <v>90839</v>
      </c>
      <c r="BP196" s="476" t="str">
        <f t="shared" si="58"/>
        <v>POST PANAMAX</v>
      </c>
      <c r="BQ196" s="534"/>
      <c r="BR196" s="534"/>
      <c r="BS196" s="534"/>
      <c r="BT196" s="534"/>
      <c r="BU196" s="534"/>
      <c r="BV196" s="534"/>
      <c r="BW196" s="534"/>
      <c r="CA196" s="542"/>
      <c r="AAA196" s="543"/>
      <c r="AAB196" s="543"/>
      <c r="AAC196" s="543"/>
      <c r="AAD196" s="543"/>
      <c r="AAE196" s="543">
        <v>1</v>
      </c>
      <c r="AAF196" s="543"/>
      <c r="AAG196" s="543"/>
      <c r="AAH196" s="543"/>
      <c r="AAI196" s="543"/>
      <c r="AAJ196" s="543"/>
    </row>
    <row r="197" spans="1:752" s="476" customFormat="1" ht="14.4" outlineLevel="1">
      <c r="A197" s="533"/>
      <c r="B197" s="534">
        <v>12</v>
      </c>
      <c r="C197" s="535">
        <v>45200</v>
      </c>
      <c r="D197" s="534" t="s">
        <v>74</v>
      </c>
      <c r="E197" s="536">
        <v>45216</v>
      </c>
      <c r="F197" s="536">
        <v>45225</v>
      </c>
      <c r="G197" s="537" t="s">
        <v>2914</v>
      </c>
      <c r="H197" s="476" t="s">
        <v>2361</v>
      </c>
      <c r="I197" s="476" t="s">
        <v>3106</v>
      </c>
      <c r="J197" s="476" t="s">
        <v>2915</v>
      </c>
      <c r="K197" s="472">
        <v>45214.375</v>
      </c>
      <c r="L197" s="472">
        <v>45214.308333333334</v>
      </c>
      <c r="M197" s="538">
        <v>45220.743055555555</v>
      </c>
      <c r="N197" s="538">
        <v>45222.326388888891</v>
      </c>
      <c r="O197" s="1193" t="s">
        <v>2916</v>
      </c>
      <c r="P197" s="539"/>
      <c r="Q197" s="539"/>
      <c r="R197" s="539"/>
      <c r="S197" s="539"/>
      <c r="T197" s="539"/>
      <c r="U197" s="539"/>
      <c r="V197" s="539"/>
      <c r="W197" s="539"/>
      <c r="X197" s="539">
        <v>29457.738800000003</v>
      </c>
      <c r="Y197" s="539">
        <v>18266.261200000001</v>
      </c>
      <c r="Z197" s="539"/>
      <c r="AA197" s="539"/>
      <c r="AB197" s="539"/>
      <c r="AC197" s="539"/>
      <c r="AD197" s="539"/>
      <c r="AE197" s="539"/>
      <c r="AF197" s="539"/>
      <c r="AG197" s="539"/>
      <c r="AH197" s="539"/>
      <c r="AI197" s="539"/>
      <c r="AJ197" s="539"/>
      <c r="AK197" s="539"/>
      <c r="AL197" s="539"/>
      <c r="AM197" s="539"/>
      <c r="AN197" s="539">
        <v>5276</v>
      </c>
      <c r="AO197" s="539"/>
      <c r="AP197" s="539"/>
      <c r="AQ197" s="539"/>
      <c r="AR197" s="539"/>
      <c r="AS197" s="539"/>
      <c r="AT197" s="539"/>
      <c r="AU197" s="539"/>
      <c r="AV197" s="539"/>
      <c r="AW197" s="539"/>
      <c r="AX197" s="539"/>
      <c r="AY197" s="539"/>
      <c r="AZ197" s="539"/>
      <c r="BA197" s="539"/>
      <c r="BB197" s="539"/>
      <c r="BC197" s="539"/>
      <c r="BD197" s="539"/>
      <c r="BE197" s="540">
        <v>53000</v>
      </c>
      <c r="BF197" s="540">
        <v>53000</v>
      </c>
      <c r="BG197" s="1181">
        <f t="shared" si="55"/>
        <v>53000</v>
      </c>
      <c r="BH197" s="537">
        <v>8000</v>
      </c>
      <c r="BI197" s="1193" t="s">
        <v>12</v>
      </c>
      <c r="BJ197" s="1193" t="s">
        <v>32</v>
      </c>
      <c r="BK197" s="534" t="s">
        <v>2918</v>
      </c>
      <c r="BL197" s="536">
        <v>45212.522222222222</v>
      </c>
      <c r="BM197" s="536">
        <v>45212.522222222222</v>
      </c>
      <c r="BN197" s="534"/>
      <c r="BO197" s="541">
        <v>53716</v>
      </c>
      <c r="BP197" s="476" t="str">
        <f>IF(BO197=0,"0",IF(BO197&lt;=50000,"HANDYMAX",IF(BO197&lt;=58000,"SUPER HANDYMAX",IF(BO197&lt;=80000,"PANAMAX",IF(BO197&gt;=80001,"POST PANAMAX")))))</f>
        <v>SUPER HANDYMAX</v>
      </c>
      <c r="BQ197" s="534"/>
      <c r="BR197" s="534"/>
      <c r="BS197" s="534"/>
      <c r="BT197" s="534"/>
      <c r="BU197" s="534"/>
      <c r="BV197" s="534"/>
      <c r="BW197" s="534"/>
      <c r="BX197" s="476" t="s">
        <v>3107</v>
      </c>
      <c r="CA197" s="542"/>
      <c r="ABA197" s="476">
        <v>2</v>
      </c>
      <c r="ABC197" s="543"/>
      <c r="ABD197" s="543">
        <v>1</v>
      </c>
      <c r="ABE197" s="543"/>
      <c r="ABF197" s="543"/>
      <c r="ABG197" s="543"/>
      <c r="ABH197" s="543"/>
      <c r="ABI197" s="543"/>
      <c r="ABJ197" s="543"/>
      <c r="ABK197" s="543"/>
      <c r="ABL197" s="543"/>
    </row>
    <row r="198" spans="1:752" s="476" customFormat="1" ht="14.4" outlineLevel="1">
      <c r="A198" s="533"/>
      <c r="B198" s="534">
        <v>13</v>
      </c>
      <c r="C198" s="535">
        <v>45200</v>
      </c>
      <c r="D198" s="534" t="s">
        <v>74</v>
      </c>
      <c r="E198" s="536">
        <v>45218</v>
      </c>
      <c r="F198" s="536">
        <v>45227</v>
      </c>
      <c r="G198" s="537" t="s">
        <v>2914</v>
      </c>
      <c r="H198" s="476" t="s">
        <v>1445</v>
      </c>
      <c r="I198" s="476" t="s">
        <v>3108</v>
      </c>
      <c r="J198" s="476" t="s">
        <v>2963</v>
      </c>
      <c r="K198" s="472">
        <v>45220.458333333336</v>
      </c>
      <c r="L198" s="472">
        <v>45220.4375</v>
      </c>
      <c r="M198" s="538">
        <v>45222.451388888891</v>
      </c>
      <c r="N198" s="679">
        <v>45224.819444444445</v>
      </c>
      <c r="O198" s="1193" t="s">
        <v>2916</v>
      </c>
      <c r="P198" s="539"/>
      <c r="Q198" s="539"/>
      <c r="R198" s="539"/>
      <c r="S198" s="539"/>
      <c r="T198" s="539"/>
      <c r="U198" s="539"/>
      <c r="V198" s="539"/>
      <c r="W198" s="539"/>
      <c r="X198" s="539"/>
      <c r="Y198" s="539">
        <v>51911.997000000003</v>
      </c>
      <c r="Z198" s="539"/>
      <c r="AA198" s="539"/>
      <c r="AB198" s="539"/>
      <c r="AC198" s="539"/>
      <c r="AD198" s="539"/>
      <c r="AE198" s="539"/>
      <c r="AF198" s="539"/>
      <c r="AG198" s="539"/>
      <c r="AH198" s="539"/>
      <c r="AI198" s="539"/>
      <c r="AJ198" s="539"/>
      <c r="AK198" s="539"/>
      <c r="AL198" s="539">
        <v>7543</v>
      </c>
      <c r="AM198" s="539"/>
      <c r="AN198" s="539"/>
      <c r="AO198" s="539"/>
      <c r="AP198" s="539"/>
      <c r="AQ198" s="539"/>
      <c r="AR198" s="539"/>
      <c r="AS198" s="539"/>
      <c r="AT198" s="539"/>
      <c r="AU198" s="539">
        <v>7545.0029999999997</v>
      </c>
      <c r="AV198" s="539"/>
      <c r="AW198" s="539"/>
      <c r="AX198" s="539"/>
      <c r="AY198" s="539"/>
      <c r="AZ198" s="539"/>
      <c r="BA198" s="539"/>
      <c r="BB198" s="539"/>
      <c r="BC198" s="539"/>
      <c r="BD198" s="539"/>
      <c r="BE198" s="540">
        <v>67000</v>
      </c>
      <c r="BF198" s="540">
        <v>67000</v>
      </c>
      <c r="BG198" s="1181">
        <f t="shared" si="55"/>
        <v>67000</v>
      </c>
      <c r="BH198" s="537">
        <v>25000</v>
      </c>
      <c r="BI198" s="1193" t="s">
        <v>4</v>
      </c>
      <c r="BJ198" s="1193" t="s">
        <v>5</v>
      </c>
      <c r="BK198" s="534" t="s">
        <v>2920</v>
      </c>
      <c r="BL198" s="536">
        <v>45211.07916666667</v>
      </c>
      <c r="BM198" s="536">
        <v>45216.520138888889</v>
      </c>
      <c r="BN198" s="534"/>
      <c r="BO198" s="541">
        <v>75698</v>
      </c>
      <c r="BP198" s="476" t="str">
        <f>IF(BO198=0,"0",IF(BO198&lt;=50000,"HANDYMAX",IF(BO198&lt;=58000,"SUPER HANDYMAX",IF(BO198&lt;=80000,"PANAMAX",IF(BO198&gt;=80001,"POST PANAMAX")))))</f>
        <v>PANAMAX</v>
      </c>
      <c r="BQ198" s="534"/>
      <c r="BR198" s="534"/>
      <c r="BS198" s="534"/>
      <c r="BT198" s="534"/>
      <c r="BU198" s="534"/>
      <c r="BV198" s="534"/>
      <c r="BW198" s="534"/>
      <c r="BX198" s="476" t="s">
        <v>3109</v>
      </c>
      <c r="CA198" s="542"/>
      <c r="ABA198" s="476">
        <v>1</v>
      </c>
      <c r="ABD198" s="476">
        <v>2</v>
      </c>
      <c r="ABE198" s="543"/>
      <c r="ABF198" s="543"/>
      <c r="ABG198" s="543"/>
      <c r="ABH198" s="543">
        <v>3</v>
      </c>
      <c r="ABI198" s="543"/>
      <c r="ABJ198" s="543"/>
      <c r="ABK198" s="543"/>
      <c r="ABL198" s="543"/>
      <c r="ABM198" s="543"/>
      <c r="ABN198" s="543"/>
    </row>
    <row r="199" spans="1:752" s="476" customFormat="1" ht="14.4" outlineLevel="1">
      <c r="A199" s="533"/>
      <c r="B199" s="534">
        <v>14</v>
      </c>
      <c r="C199" s="535">
        <v>45200</v>
      </c>
      <c r="D199" s="534" t="s">
        <v>2983</v>
      </c>
      <c r="E199" s="536">
        <v>45216</v>
      </c>
      <c r="F199" s="536">
        <v>45225</v>
      </c>
      <c r="G199" s="537" t="s">
        <v>107</v>
      </c>
      <c r="H199" s="476" t="s">
        <v>3110</v>
      </c>
      <c r="I199" s="476" t="s">
        <v>3111</v>
      </c>
      <c r="J199" s="476" t="s">
        <v>2922</v>
      </c>
      <c r="K199" s="472">
        <v>45218.166666666664</v>
      </c>
      <c r="L199" s="472">
        <v>45218.3</v>
      </c>
      <c r="M199" s="679">
        <v>45223.74722222222</v>
      </c>
      <c r="N199" s="538">
        <v>45225.71875</v>
      </c>
      <c r="O199" s="1193" t="s">
        <v>2916</v>
      </c>
      <c r="P199" s="539"/>
      <c r="Q199" s="539">
        <v>9984</v>
      </c>
      <c r="R199" s="539"/>
      <c r="S199" s="539"/>
      <c r="T199" s="539">
        <v>10686</v>
      </c>
      <c r="U199" s="539"/>
      <c r="V199" s="539"/>
      <c r="W199" s="539"/>
      <c r="X199" s="539"/>
      <c r="Y199" s="539"/>
      <c r="Z199" s="539"/>
      <c r="AA199" s="539"/>
      <c r="AB199" s="539"/>
      <c r="AC199" s="539">
        <v>5006.1850000000004</v>
      </c>
      <c r="AD199" s="539"/>
      <c r="AE199" s="539"/>
      <c r="AF199" s="539"/>
      <c r="AG199" s="539"/>
      <c r="AH199" s="539"/>
      <c r="AI199" s="539"/>
      <c r="AJ199" s="539"/>
      <c r="AK199" s="539"/>
      <c r="AL199" s="539"/>
      <c r="AM199" s="539"/>
      <c r="AN199" s="539"/>
      <c r="AO199" s="539"/>
      <c r="AP199" s="539"/>
      <c r="AQ199" s="539"/>
      <c r="AR199" s="539">
        <v>25546.526999999998</v>
      </c>
      <c r="AS199" s="539"/>
      <c r="AT199" s="539"/>
      <c r="AU199" s="539">
        <v>15131.786</v>
      </c>
      <c r="AV199" s="539"/>
      <c r="AW199" s="539"/>
      <c r="AX199" s="539"/>
      <c r="AY199" s="539"/>
      <c r="AZ199" s="539"/>
      <c r="BA199" s="539">
        <v>7510.009</v>
      </c>
      <c r="BB199" s="539"/>
      <c r="BC199" s="539"/>
      <c r="BD199" s="539"/>
      <c r="BE199" s="540">
        <v>73865</v>
      </c>
      <c r="BF199" s="540">
        <v>73865</v>
      </c>
      <c r="BG199" s="1181">
        <f t="shared" si="55"/>
        <v>73864.506999999998</v>
      </c>
      <c r="BH199" s="537">
        <v>17000</v>
      </c>
      <c r="BI199" s="1193" t="s">
        <v>20</v>
      </c>
      <c r="BJ199" s="1193" t="s">
        <v>2923</v>
      </c>
      <c r="BK199" s="534" t="s">
        <v>2927</v>
      </c>
      <c r="BL199" s="536">
        <v>45211.482638888891</v>
      </c>
      <c r="BM199" s="536">
        <v>45213.599999999999</v>
      </c>
      <c r="BN199" s="534"/>
      <c r="BO199" s="541">
        <v>76248.92</v>
      </c>
      <c r="BP199" s="476" t="str">
        <f t="shared" ref="BP199" si="59">IF(BO199=0,"0",IF(BO199&lt;=50000,"HANDYMAX",IF(BO199&lt;=58000,"SUPER HANDYMAX",IF(BO199&lt;=80000,"PANAMAX",IF(BO199&gt;=80001,"POST PANAMAX")))))</f>
        <v>PANAMAX</v>
      </c>
      <c r="BQ199" s="534"/>
      <c r="BR199" s="534"/>
      <c r="BS199" s="534"/>
      <c r="BT199" s="534"/>
      <c r="BU199" s="534"/>
      <c r="BV199" s="534"/>
      <c r="BW199" s="534"/>
      <c r="BX199" s="476" t="s">
        <v>3112</v>
      </c>
      <c r="CA199" s="542"/>
      <c r="ABC199" s="543"/>
      <c r="ABD199" s="543"/>
      <c r="ABE199" s="543">
        <v>2</v>
      </c>
      <c r="ABF199" s="543">
        <v>1</v>
      </c>
      <c r="ABG199" s="543"/>
      <c r="ABH199" s="543"/>
      <c r="ABI199" s="543"/>
      <c r="ABJ199" s="543"/>
      <c r="ABK199" s="543"/>
      <c r="ABL199" s="543"/>
    </row>
    <row r="200" spans="1:752" s="476" customFormat="1" ht="14.4" outlineLevel="1">
      <c r="A200" s="533"/>
      <c r="B200" s="534">
        <v>15</v>
      </c>
      <c r="C200" s="535">
        <v>45200</v>
      </c>
      <c r="D200" s="534" t="s">
        <v>74</v>
      </c>
      <c r="E200" s="536">
        <v>45219</v>
      </c>
      <c r="F200" s="536">
        <v>45228</v>
      </c>
      <c r="G200" s="537" t="s">
        <v>2914</v>
      </c>
      <c r="H200" s="476" t="s">
        <v>3113</v>
      </c>
      <c r="I200" s="476" t="s">
        <v>3114</v>
      </c>
      <c r="J200" s="476" t="s">
        <v>2915</v>
      </c>
      <c r="K200" s="472">
        <v>45218.104166666664</v>
      </c>
      <c r="L200" s="472">
        <v>45218.020833333336</v>
      </c>
      <c r="M200" s="538">
        <v>45226.208333333336</v>
      </c>
      <c r="N200" s="538">
        <v>45227.934027777781</v>
      </c>
      <c r="O200" s="1193" t="s">
        <v>2916</v>
      </c>
      <c r="P200" s="539"/>
      <c r="Q200" s="539"/>
      <c r="R200" s="539"/>
      <c r="S200" s="539"/>
      <c r="T200" s="539"/>
      <c r="U200" s="539">
        <v>2118.741</v>
      </c>
      <c r="V200" s="539"/>
      <c r="W200" s="539"/>
      <c r="X200" s="539">
        <v>27130.548600000002</v>
      </c>
      <c r="Y200" s="539">
        <v>18087.032400000004</v>
      </c>
      <c r="Z200" s="539"/>
      <c r="AA200" s="539"/>
      <c r="AB200" s="539"/>
      <c r="AC200" s="539"/>
      <c r="AD200" s="539"/>
      <c r="AE200" s="539"/>
      <c r="AF200" s="539"/>
      <c r="AG200" s="539"/>
      <c r="AH200" s="539"/>
      <c r="AI200" s="539"/>
      <c r="AJ200" s="539"/>
      <c r="AK200" s="539"/>
      <c r="AL200" s="539"/>
      <c r="AM200" s="539"/>
      <c r="AN200" s="539"/>
      <c r="AO200" s="539"/>
      <c r="AP200" s="539"/>
      <c r="AQ200" s="539"/>
      <c r="AR200" s="539"/>
      <c r="AS200" s="539"/>
      <c r="AT200" s="539"/>
      <c r="AU200" s="539"/>
      <c r="AV200" s="539">
        <v>7663.6779999999999</v>
      </c>
      <c r="AW200" s="539"/>
      <c r="AX200" s="539"/>
      <c r="AY200" s="539"/>
      <c r="AZ200" s="539"/>
      <c r="BA200" s="539"/>
      <c r="BB200" s="539"/>
      <c r="BC200" s="539"/>
      <c r="BD200" s="539"/>
      <c r="BE200" s="540">
        <v>55000</v>
      </c>
      <c r="BF200" s="540">
        <v>55000</v>
      </c>
      <c r="BG200" s="1181">
        <f t="shared" si="55"/>
        <v>55000.000000000007</v>
      </c>
      <c r="BH200" s="537">
        <v>12000</v>
      </c>
      <c r="BI200" s="1193" t="s">
        <v>12</v>
      </c>
      <c r="BJ200" s="1193" t="s">
        <v>37</v>
      </c>
      <c r="BK200" s="534" t="s">
        <v>2920</v>
      </c>
      <c r="BL200" s="536">
        <v>45215.707638888889</v>
      </c>
      <c r="BM200" s="536">
        <v>45215.707638888889</v>
      </c>
      <c r="BN200" s="534"/>
      <c r="BO200" s="541">
        <v>53398</v>
      </c>
      <c r="BP200" s="476" t="str">
        <f>IF(BO200=0,"0",IF(BO200&lt;=50000,"HANDYMAX",IF(BO200&lt;=58000,"SUPER HANDYMAX",IF(BO200&lt;=80000,"PANAMAX",IF(BO200&gt;=80001,"POST PANAMAX")))))</f>
        <v>SUPER HANDYMAX</v>
      </c>
      <c r="BQ200" s="534"/>
      <c r="BR200" s="534"/>
      <c r="BS200" s="534"/>
      <c r="BT200" s="534"/>
      <c r="BU200" s="534"/>
      <c r="BV200" s="534"/>
      <c r="BW200" s="534"/>
      <c r="BX200" s="476" t="s">
        <v>3115</v>
      </c>
      <c r="CA200" s="542"/>
      <c r="ABE200" s="476">
        <v>1</v>
      </c>
      <c r="ABF200" s="543"/>
      <c r="ABG200" s="543"/>
      <c r="ABH200" s="543"/>
      <c r="ABI200" s="543"/>
      <c r="ABJ200" s="543"/>
      <c r="ABK200" s="543"/>
      <c r="ABL200" s="543"/>
      <c r="ABM200" s="543"/>
      <c r="ABN200" s="543"/>
      <c r="ABO200" s="543"/>
    </row>
    <row r="201" spans="1:752" s="476" customFormat="1" ht="14.4" outlineLevel="1">
      <c r="A201" s="533"/>
      <c r="B201" s="534">
        <v>16</v>
      </c>
      <c r="C201" s="535">
        <v>45200</v>
      </c>
      <c r="D201" s="534" t="s">
        <v>74</v>
      </c>
      <c r="E201" s="536">
        <v>45216</v>
      </c>
      <c r="F201" s="536">
        <v>45225</v>
      </c>
      <c r="G201" s="537" t="s">
        <v>2914</v>
      </c>
      <c r="H201" s="476" t="s">
        <v>1465</v>
      </c>
      <c r="I201" s="476" t="s">
        <v>3116</v>
      </c>
      <c r="J201" s="476" t="s">
        <v>2922</v>
      </c>
      <c r="K201" s="472">
        <v>45221.333333333336</v>
      </c>
      <c r="L201" s="472">
        <v>45221.270833333336</v>
      </c>
      <c r="M201" s="538">
        <v>45227.208333333336</v>
      </c>
      <c r="N201" s="538">
        <v>45229.777777777781</v>
      </c>
      <c r="O201" s="1193" t="s">
        <v>2916</v>
      </c>
      <c r="P201" s="539"/>
      <c r="Q201" s="539"/>
      <c r="R201" s="539"/>
      <c r="S201" s="539"/>
      <c r="T201" s="539"/>
      <c r="U201" s="539"/>
      <c r="V201" s="539"/>
      <c r="W201" s="539"/>
      <c r="X201" s="539">
        <v>39386.073599999996</v>
      </c>
      <c r="Y201" s="539">
        <v>32763.521400000001</v>
      </c>
      <c r="Z201" s="539"/>
      <c r="AA201" s="539"/>
      <c r="AB201" s="539"/>
      <c r="AC201" s="539"/>
      <c r="AD201" s="539"/>
      <c r="AE201" s="539"/>
      <c r="AF201" s="539"/>
      <c r="AG201" s="539"/>
      <c r="AH201" s="539"/>
      <c r="AI201" s="539"/>
      <c r="AJ201" s="539"/>
      <c r="AK201" s="539"/>
      <c r="AL201" s="539"/>
      <c r="AM201" s="539"/>
      <c r="AN201" s="539"/>
      <c r="AO201" s="539"/>
      <c r="AP201" s="539"/>
      <c r="AQ201" s="539"/>
      <c r="AR201" s="539"/>
      <c r="AS201" s="539"/>
      <c r="AT201" s="539"/>
      <c r="AU201" s="539">
        <v>7650.4049999999997</v>
      </c>
      <c r="AV201" s="539"/>
      <c r="AW201" s="539"/>
      <c r="AX201" s="539"/>
      <c r="AY201" s="539"/>
      <c r="AZ201" s="539"/>
      <c r="BA201" s="539"/>
      <c r="BB201" s="539"/>
      <c r="BC201" s="539"/>
      <c r="BD201" s="539"/>
      <c r="BE201" s="540">
        <v>79800</v>
      </c>
      <c r="BF201" s="540">
        <v>79800</v>
      </c>
      <c r="BG201" s="1181">
        <f t="shared" ref="BG201" si="60">SUM(P201:BA201)</f>
        <v>79800</v>
      </c>
      <c r="BH201" s="537">
        <v>17500</v>
      </c>
      <c r="BI201" s="1193" t="s">
        <v>4</v>
      </c>
      <c r="BJ201" s="1193" t="s">
        <v>5</v>
      </c>
      <c r="BK201" s="534" t="s">
        <v>2937</v>
      </c>
      <c r="BL201" s="536">
        <v>45210.914583333331</v>
      </c>
      <c r="BM201" s="536">
        <v>45212.790277777778</v>
      </c>
      <c r="BN201" s="534"/>
      <c r="BO201" s="541">
        <v>81800</v>
      </c>
      <c r="BP201" s="476" t="str">
        <f>IF(BO201=0,"0",IF(BO201&lt;=50000,"HANDYMAX",IF(BO201&lt;=58000,"SUPER HANDYMAX",IF(BO201&lt;=80000,"PANAMAX",IF(BO201&gt;=80001,"POST PANAMAX")))))</f>
        <v>POST PANAMAX</v>
      </c>
      <c r="BQ201" s="534"/>
      <c r="BR201" s="534"/>
      <c r="BS201" s="534"/>
      <c r="BT201" s="534"/>
      <c r="BU201" s="534"/>
      <c r="BV201" s="534"/>
      <c r="BW201" s="534"/>
      <c r="BX201" s="476" t="s">
        <v>3117</v>
      </c>
      <c r="CA201" s="542"/>
      <c r="ABC201" s="543"/>
      <c r="ABD201" s="543">
        <v>2</v>
      </c>
      <c r="ABE201" s="543"/>
      <c r="ABF201" s="543">
        <v>1</v>
      </c>
      <c r="ABG201" s="543">
        <v>3</v>
      </c>
      <c r="ABH201" s="543">
        <v>4</v>
      </c>
      <c r="ABI201" s="543"/>
      <c r="ABJ201" s="543"/>
      <c r="ABK201" s="543"/>
      <c r="ABL201" s="543"/>
    </row>
    <row r="202" spans="1:752" s="476" customFormat="1" ht="14.4" outlineLevel="1">
      <c r="A202" s="533"/>
      <c r="B202" s="534">
        <v>17</v>
      </c>
      <c r="C202" s="535">
        <v>45200</v>
      </c>
      <c r="D202" s="534" t="s">
        <v>74</v>
      </c>
      <c r="E202" s="536">
        <v>45224</v>
      </c>
      <c r="F202" s="536">
        <v>45233</v>
      </c>
      <c r="G202" s="537" t="s">
        <v>2914</v>
      </c>
      <c r="H202" s="476" t="s">
        <v>3118</v>
      </c>
      <c r="I202" s="476" t="s">
        <v>3119</v>
      </c>
      <c r="J202" s="476" t="s">
        <v>2915</v>
      </c>
      <c r="K202" s="472">
        <v>45223.833333333336</v>
      </c>
      <c r="L202" s="472">
        <v>45223.791666666664</v>
      </c>
      <c r="M202" s="538">
        <v>45228.270833333336</v>
      </c>
      <c r="N202" s="538">
        <v>45230.388888888891</v>
      </c>
      <c r="O202" s="1193" t="s">
        <v>2916</v>
      </c>
      <c r="P202" s="539"/>
      <c r="Q202" s="539"/>
      <c r="R202" s="539"/>
      <c r="S202" s="539"/>
      <c r="T202" s="539"/>
      <c r="U202" s="539"/>
      <c r="V202" s="539"/>
      <c r="W202" s="539"/>
      <c r="X202" s="539">
        <v>41851.506999999998</v>
      </c>
      <c r="Y202" s="539">
        <v>1363.6000000000001</v>
      </c>
      <c r="Z202" s="539"/>
      <c r="AA202" s="539"/>
      <c r="AB202" s="539"/>
      <c r="AC202" s="539"/>
      <c r="AD202" s="539"/>
      <c r="AE202" s="539"/>
      <c r="AF202" s="539"/>
      <c r="AG202" s="539"/>
      <c r="AH202" s="539"/>
      <c r="AI202" s="539"/>
      <c r="AJ202" s="539"/>
      <c r="AK202" s="539"/>
      <c r="AL202" s="539"/>
      <c r="AM202" s="539"/>
      <c r="AN202" s="539"/>
      <c r="AO202" s="539"/>
      <c r="AP202" s="539">
        <v>5283</v>
      </c>
      <c r="AQ202" s="539"/>
      <c r="AR202" s="539"/>
      <c r="AS202" s="539"/>
      <c r="AT202" s="539"/>
      <c r="AU202" s="539">
        <v>7451.893</v>
      </c>
      <c r="AV202" s="539"/>
      <c r="AW202" s="539"/>
      <c r="AX202" s="539"/>
      <c r="AY202" s="539"/>
      <c r="AZ202" s="539"/>
      <c r="BA202" s="539"/>
      <c r="BB202" s="539"/>
      <c r="BC202" s="539"/>
      <c r="BD202" s="539"/>
      <c r="BE202" s="540">
        <v>55950</v>
      </c>
      <c r="BF202" s="540">
        <v>55950</v>
      </c>
      <c r="BG202" s="1181">
        <f>SUM(P202:BA202)</f>
        <v>55950</v>
      </c>
      <c r="BH202" s="537">
        <v>12000</v>
      </c>
      <c r="BI202" s="1193" t="s">
        <v>12</v>
      </c>
      <c r="BJ202" s="1193" t="s">
        <v>37</v>
      </c>
      <c r="BK202" s="534" t="s">
        <v>2968</v>
      </c>
      <c r="BL202" s="536">
        <v>45222.413888888892</v>
      </c>
      <c r="BM202" s="536">
        <v>45222.572222222225</v>
      </c>
      <c r="BN202" s="534"/>
      <c r="BO202" s="541">
        <v>55610</v>
      </c>
      <c r="BP202" s="476" t="str">
        <f>IF(BO202=0,"0",IF(BO202&lt;=50000,"HANDYMAX",IF(BO202&lt;=58000,"SUPER HANDYMAX",IF(BO202&lt;=80000,"PANAMAX",IF(BO202&gt;=80001,"POST PANAMAX")))))</f>
        <v>SUPER HANDYMAX</v>
      </c>
      <c r="BQ202" s="534"/>
      <c r="BR202" s="534"/>
      <c r="BS202" s="534"/>
      <c r="BT202" s="534"/>
      <c r="BU202" s="534"/>
      <c r="BV202" s="534"/>
      <c r="BW202" s="534"/>
      <c r="BX202" s="476" t="s">
        <v>3120</v>
      </c>
      <c r="CA202" s="542"/>
      <c r="ABJ202" s="476">
        <v>2</v>
      </c>
      <c r="ABK202" s="543"/>
      <c r="ABL202" s="543"/>
      <c r="ABM202" s="543">
        <v>1</v>
      </c>
      <c r="ABN202" s="543"/>
      <c r="ABO202" s="543"/>
      <c r="ABP202" s="543"/>
      <c r="ABQ202" s="543"/>
      <c r="ABR202" s="543"/>
      <c r="ABS202" s="543"/>
      <c r="ABT202" s="543"/>
    </row>
    <row r="203" spans="1:752" ht="14.4" outlineLevel="1">
      <c r="O203" s="1199" t="s">
        <v>96</v>
      </c>
      <c r="P203" s="458">
        <f>SUM(P186:P202)</f>
        <v>0</v>
      </c>
      <c r="Q203" s="458">
        <f t="shared" ref="Q203:BG203" si="61">SUM(Q186:Q202)</f>
        <v>25186</v>
      </c>
      <c r="R203" s="458">
        <f t="shared" si="61"/>
        <v>0</v>
      </c>
      <c r="S203" s="458">
        <f t="shared" si="61"/>
        <v>8574</v>
      </c>
      <c r="T203" s="458">
        <f t="shared" si="61"/>
        <v>22697</v>
      </c>
      <c r="U203" s="458">
        <f t="shared" si="61"/>
        <v>133680.49284999998</v>
      </c>
      <c r="V203" s="458">
        <f t="shared" si="61"/>
        <v>79822.824150000015</v>
      </c>
      <c r="W203" s="458">
        <f t="shared" si="61"/>
        <v>0</v>
      </c>
      <c r="X203" s="458">
        <f t="shared" si="61"/>
        <v>342164.85845</v>
      </c>
      <c r="Y203" s="458">
        <f t="shared" si="61"/>
        <v>269211.84755000001</v>
      </c>
      <c r="Z203" s="458">
        <f t="shared" si="61"/>
        <v>33056.245999999999</v>
      </c>
      <c r="AA203" s="458">
        <f t="shared" si="61"/>
        <v>0</v>
      </c>
      <c r="AB203" s="458">
        <f t="shared" si="61"/>
        <v>0</v>
      </c>
      <c r="AC203" s="458">
        <f t="shared" si="61"/>
        <v>5006.1850000000004</v>
      </c>
      <c r="AD203" s="458">
        <f t="shared" si="61"/>
        <v>0</v>
      </c>
      <c r="AE203" s="458">
        <f t="shared" si="61"/>
        <v>0</v>
      </c>
      <c r="AF203" s="458">
        <f t="shared" si="61"/>
        <v>0</v>
      </c>
      <c r="AG203" s="458">
        <f t="shared" si="61"/>
        <v>0</v>
      </c>
      <c r="AH203" s="458">
        <f t="shared" si="61"/>
        <v>0</v>
      </c>
      <c r="AI203" s="458">
        <f t="shared" si="61"/>
        <v>0</v>
      </c>
      <c r="AJ203" s="458">
        <f t="shared" si="61"/>
        <v>0</v>
      </c>
      <c r="AK203" s="458">
        <f t="shared" si="61"/>
        <v>0</v>
      </c>
      <c r="AL203" s="458">
        <f t="shared" si="61"/>
        <v>7543</v>
      </c>
      <c r="AM203" s="458">
        <f t="shared" si="61"/>
        <v>0</v>
      </c>
      <c r="AN203" s="458">
        <f t="shared" si="61"/>
        <v>10278</v>
      </c>
      <c r="AO203" s="458">
        <f t="shared" si="61"/>
        <v>0</v>
      </c>
      <c r="AP203" s="458">
        <f t="shared" si="61"/>
        <v>10484</v>
      </c>
      <c r="AQ203" s="458">
        <f t="shared" si="61"/>
        <v>0</v>
      </c>
      <c r="AR203" s="458">
        <f t="shared" si="61"/>
        <v>77333.023000000001</v>
      </c>
      <c r="AS203" s="458">
        <f t="shared" si="61"/>
        <v>0</v>
      </c>
      <c r="AT203" s="458">
        <f t="shared" si="61"/>
        <v>6460.5010000000002</v>
      </c>
      <c r="AU203" s="458">
        <f t="shared" si="61"/>
        <v>80544.581999999995</v>
      </c>
      <c r="AV203" s="458">
        <f t="shared" si="61"/>
        <v>7663.6779999999999</v>
      </c>
      <c r="AW203" s="458">
        <f t="shared" si="61"/>
        <v>15007.802</v>
      </c>
      <c r="AX203" s="458">
        <f t="shared" si="61"/>
        <v>0</v>
      </c>
      <c r="AY203" s="458">
        <f t="shared" si="61"/>
        <v>0</v>
      </c>
      <c r="AZ203" s="458"/>
      <c r="BA203" s="458">
        <f t="shared" si="61"/>
        <v>7510.009</v>
      </c>
      <c r="BB203" s="458"/>
      <c r="BC203" s="458"/>
      <c r="BD203" s="458"/>
      <c r="BE203" s="458">
        <f t="shared" si="61"/>
        <v>1143179</v>
      </c>
      <c r="BF203" s="458">
        <f t="shared" si="61"/>
        <v>1143179</v>
      </c>
      <c r="BG203" s="1179">
        <f t="shared" si="61"/>
        <v>1142224.0490000001</v>
      </c>
    </row>
    <row r="204" spans="1:752" ht="14.4" outlineLevel="1">
      <c r="P204" s="1384">
        <f>SUM(P203:T203)</f>
        <v>56457</v>
      </c>
      <c r="Q204" s="1385"/>
      <c r="R204" s="1385"/>
      <c r="S204" s="1385"/>
      <c r="T204" s="1386"/>
      <c r="U204" s="1384">
        <f>SUM(U203:W203)</f>
        <v>213503.31699999998</v>
      </c>
      <c r="V204" s="1385"/>
      <c r="W204" s="1386"/>
      <c r="X204" s="1384">
        <f>SUM(X203:Y203)</f>
        <v>611376.70600000001</v>
      </c>
      <c r="Y204" s="1386"/>
      <c r="Z204" s="459">
        <f>Z203</f>
        <v>33056.245999999999</v>
      </c>
      <c r="AA204" s="459">
        <f>AA203</f>
        <v>0</v>
      </c>
      <c r="AB204" s="1384">
        <f>SUM(AB203:BA203)</f>
        <v>227830.77999999997</v>
      </c>
      <c r="AC204" s="1385"/>
      <c r="AD204" s="1385"/>
      <c r="AE204" s="1385"/>
      <c r="AF204" s="1385"/>
      <c r="AG204" s="1385"/>
      <c r="AH204" s="1385"/>
      <c r="AI204" s="1385"/>
      <c r="AJ204" s="1385"/>
      <c r="AK204" s="1385"/>
      <c r="AL204" s="1385"/>
      <c r="AM204" s="1385"/>
      <c r="AN204" s="1385"/>
      <c r="AO204" s="1385"/>
      <c r="AP204" s="1385"/>
      <c r="AQ204" s="1385"/>
      <c r="AR204" s="1385"/>
      <c r="AS204" s="1385"/>
      <c r="AT204" s="1385"/>
      <c r="AU204" s="1385"/>
      <c r="AV204" s="1385"/>
      <c r="AW204" s="1385"/>
      <c r="AX204" s="1385"/>
      <c r="AY204" s="1385"/>
      <c r="AZ204" s="1385"/>
      <c r="BA204" s="1386"/>
      <c r="BB204" s="394"/>
      <c r="BC204" s="394"/>
      <c r="BD204" s="394"/>
      <c r="BE204" s="460"/>
      <c r="BF204" s="460"/>
      <c r="BG204" s="1179"/>
    </row>
    <row r="205" spans="1:752" ht="15" customHeight="1" outlineLevel="1"/>
    <row r="206" spans="1:752" ht="14.4" outlineLevel="1" collapsed="1">
      <c r="B206" s="99" t="s">
        <v>2886</v>
      </c>
    </row>
    <row r="207" spans="1:752" s="476" customFormat="1" ht="14.4" outlineLevel="1">
      <c r="A207" s="533"/>
      <c r="B207" s="534">
        <v>1</v>
      </c>
      <c r="C207" s="535" t="s">
        <v>3121</v>
      </c>
      <c r="D207" s="534" t="s">
        <v>74</v>
      </c>
      <c r="E207" s="536">
        <v>45226</v>
      </c>
      <c r="F207" s="536">
        <v>45235</v>
      </c>
      <c r="G207" s="537" t="s">
        <v>2914</v>
      </c>
      <c r="H207" s="476" t="s">
        <v>3122</v>
      </c>
      <c r="I207" s="476" t="s">
        <v>3123</v>
      </c>
      <c r="J207" s="476" t="s">
        <v>2926</v>
      </c>
      <c r="K207" s="679">
        <v>45224.375</v>
      </c>
      <c r="L207" s="679">
        <v>45224.404166666667</v>
      </c>
      <c r="M207" s="679">
        <v>45231.979166666664</v>
      </c>
      <c r="N207" s="538">
        <v>45234.423611111109</v>
      </c>
      <c r="O207" s="1193" t="s">
        <v>2916</v>
      </c>
      <c r="P207" s="539"/>
      <c r="Q207" s="539"/>
      <c r="R207" s="539"/>
      <c r="S207" s="539"/>
      <c r="T207" s="539"/>
      <c r="U207" s="539"/>
      <c r="V207" s="539"/>
      <c r="W207" s="539"/>
      <c r="X207" s="539">
        <v>58507.888800000001</v>
      </c>
      <c r="Y207" s="539">
        <v>8020.6711999999998</v>
      </c>
      <c r="Z207" s="539"/>
      <c r="AA207" s="539"/>
      <c r="AB207" s="539"/>
      <c r="AC207" s="539"/>
      <c r="AD207" s="539"/>
      <c r="AE207" s="539"/>
      <c r="AF207" s="539"/>
      <c r="AG207" s="539"/>
      <c r="AH207" s="539"/>
      <c r="AI207" s="539"/>
      <c r="AJ207" s="539"/>
      <c r="AK207" s="539"/>
      <c r="AL207" s="539"/>
      <c r="AM207" s="539"/>
      <c r="AN207" s="539"/>
      <c r="AO207" s="539"/>
      <c r="AP207" s="539"/>
      <c r="AQ207" s="539"/>
      <c r="AR207" s="539"/>
      <c r="AS207" s="539"/>
      <c r="AT207" s="539"/>
      <c r="AU207" s="539">
        <v>7531.44</v>
      </c>
      <c r="AV207" s="539"/>
      <c r="AW207" s="539"/>
      <c r="AX207" s="539"/>
      <c r="AY207" s="539"/>
      <c r="AZ207" s="539"/>
      <c r="BA207" s="539"/>
      <c r="BB207" s="539"/>
      <c r="BC207" s="539"/>
      <c r="BD207" s="539"/>
      <c r="BE207" s="540">
        <v>74060</v>
      </c>
      <c r="BF207" s="540">
        <v>74060</v>
      </c>
      <c r="BG207" s="1181">
        <f t="shared" ref="BG207:BG216" si="62">SUM(P207:BA207)</f>
        <v>74060</v>
      </c>
      <c r="BH207" s="537">
        <v>19000</v>
      </c>
      <c r="BI207" s="1193" t="s">
        <v>12</v>
      </c>
      <c r="BJ207" s="1193" t="s">
        <v>32</v>
      </c>
      <c r="BK207" s="534" t="s">
        <v>3026</v>
      </c>
      <c r="BL207" s="536">
        <v>45219.337500000001</v>
      </c>
      <c r="BM207" s="536">
        <v>45219.892361111109</v>
      </c>
      <c r="BN207" s="534"/>
      <c r="BO207" s="541">
        <v>81601</v>
      </c>
      <c r="BP207" s="476" t="str">
        <f>IF(BO207=0,"0",IF(BO207&lt;=50000,"HANDYMAX",IF(BO207&lt;=58000,"SUPER HANDYMAX",IF(BO207&lt;=80000,"PANAMAX",IF(BO207&gt;=80001,"POST PANAMAX")))))</f>
        <v>POST PANAMAX</v>
      </c>
      <c r="BQ207" s="534"/>
      <c r="BR207" s="534"/>
      <c r="BS207" s="534"/>
      <c r="BT207" s="534"/>
      <c r="BU207" s="534"/>
      <c r="BV207" s="534"/>
      <c r="BW207" s="534"/>
      <c r="BX207" s="476" t="s">
        <v>3124</v>
      </c>
      <c r="CA207" s="542"/>
      <c r="ABK207" s="476">
        <v>2</v>
      </c>
      <c r="ABL207" s="476">
        <v>1</v>
      </c>
      <c r="ABM207" s="543">
        <v>1</v>
      </c>
      <c r="ABN207" s="543"/>
      <c r="ABO207" s="543"/>
      <c r="ABP207" s="543"/>
      <c r="ABQ207" s="543"/>
      <c r="ABR207" s="543"/>
      <c r="ABS207" s="543"/>
      <c r="ABT207" s="543"/>
      <c r="ABU207" s="543"/>
      <c r="ABV207" s="543"/>
    </row>
    <row r="208" spans="1:752" s="476" customFormat="1" ht="14.4" outlineLevel="1">
      <c r="A208" s="533"/>
      <c r="B208" s="534">
        <v>2</v>
      </c>
      <c r="C208" s="535" t="s">
        <v>3121</v>
      </c>
      <c r="D208" s="534" t="s">
        <v>74</v>
      </c>
      <c r="E208" s="536">
        <v>45228</v>
      </c>
      <c r="F208" s="536">
        <v>45237</v>
      </c>
      <c r="G208" s="537" t="s">
        <v>2914</v>
      </c>
      <c r="H208" s="476" t="s">
        <v>3125</v>
      </c>
      <c r="I208" s="476" t="s">
        <v>3126</v>
      </c>
      <c r="J208" s="476" t="s">
        <v>2948</v>
      </c>
      <c r="K208" s="472">
        <v>45228.125</v>
      </c>
      <c r="L208" s="472">
        <v>45228.087500000001</v>
      </c>
      <c r="M208" s="538">
        <v>45232.645833333336</v>
      </c>
      <c r="N208" s="538">
        <v>45235.666666666664</v>
      </c>
      <c r="O208" s="1193" t="s">
        <v>2916</v>
      </c>
      <c r="P208" s="539">
        <v>7308.1840000000002</v>
      </c>
      <c r="Q208" s="539"/>
      <c r="R208" s="539"/>
      <c r="S208" s="539"/>
      <c r="T208" s="539"/>
      <c r="U208" s="539"/>
      <c r="V208" s="539"/>
      <c r="W208" s="539"/>
      <c r="X208" s="539">
        <v>53113.452800000006</v>
      </c>
      <c r="Y208" s="539">
        <v>13278.363200000002</v>
      </c>
      <c r="Z208" s="539"/>
      <c r="AA208" s="539"/>
      <c r="AB208" s="539"/>
      <c r="AC208" s="539"/>
      <c r="AD208" s="539"/>
      <c r="AE208" s="539"/>
      <c r="AF208" s="539"/>
      <c r="AG208" s="539"/>
      <c r="AH208" s="539"/>
      <c r="AI208" s="539"/>
      <c r="AJ208" s="539"/>
      <c r="AK208" s="539"/>
      <c r="AL208" s="539"/>
      <c r="AM208" s="539"/>
      <c r="AN208" s="539"/>
      <c r="AO208" s="539"/>
      <c r="AP208" s="539"/>
      <c r="AQ208" s="539"/>
      <c r="AR208" s="539"/>
      <c r="AS208" s="539"/>
      <c r="AT208" s="539"/>
      <c r="AU208" s="539"/>
      <c r="AV208" s="539"/>
      <c r="AW208" s="539"/>
      <c r="AX208" s="539"/>
      <c r="AY208" s="539"/>
      <c r="AZ208" s="539"/>
      <c r="BA208" s="539"/>
      <c r="BB208" s="539"/>
      <c r="BC208" s="539"/>
      <c r="BD208" s="539"/>
      <c r="BE208" s="540">
        <v>73700</v>
      </c>
      <c r="BF208" s="540">
        <v>73700</v>
      </c>
      <c r="BG208" s="1181">
        <f t="shared" si="62"/>
        <v>73700.000000000015</v>
      </c>
      <c r="BH208" s="537">
        <v>14192</v>
      </c>
      <c r="BI208" s="1193" t="s">
        <v>4</v>
      </c>
      <c r="BJ208" s="1193" t="s">
        <v>5</v>
      </c>
      <c r="BK208" s="534" t="s">
        <v>2937</v>
      </c>
      <c r="BL208" s="536">
        <v>45221.39166666667</v>
      </c>
      <c r="BM208" s="536">
        <v>45225.701388888891</v>
      </c>
      <c r="BN208" s="534"/>
      <c r="BO208" s="541">
        <v>75378</v>
      </c>
      <c r="BP208" s="476" t="str">
        <f>IF(BO208=0,"0",IF(BO208&lt;=50000,"HANDYMAX",IF(BO208&lt;=58000,"SUPER HANDYMAX",IF(BO208&lt;=80000,"PANAMAX",IF(BO208&gt;=80001,"POST PANAMAX")))))</f>
        <v>PANAMAX</v>
      </c>
      <c r="BQ208" s="534"/>
      <c r="BR208" s="534"/>
      <c r="BS208" s="534"/>
      <c r="BT208" s="534"/>
      <c r="BU208" s="534"/>
      <c r="BV208" s="534"/>
      <c r="BW208" s="534"/>
      <c r="BX208" s="476" t="s">
        <v>3127</v>
      </c>
      <c r="CA208" s="542"/>
      <c r="ABO208" s="543">
        <v>1</v>
      </c>
      <c r="ABP208" s="543"/>
      <c r="ABQ208" s="543"/>
      <c r="ABR208" s="543"/>
      <c r="ABS208" s="543"/>
      <c r="ABT208" s="543"/>
      <c r="ABU208" s="543"/>
      <c r="ABV208" s="543"/>
      <c r="ABW208" s="543"/>
      <c r="ABX208" s="543"/>
    </row>
    <row r="209" spans="1:782" s="476" customFormat="1" ht="14.4" outlineLevel="1">
      <c r="A209" s="533"/>
      <c r="B209" s="534">
        <v>3</v>
      </c>
      <c r="C209" s="535">
        <v>45200</v>
      </c>
      <c r="D209" s="534" t="s">
        <v>74</v>
      </c>
      <c r="E209" s="536">
        <v>45223</v>
      </c>
      <c r="F209" s="536">
        <v>45232</v>
      </c>
      <c r="G209" s="537" t="s">
        <v>2914</v>
      </c>
      <c r="H209" s="476" t="s">
        <v>1515</v>
      </c>
      <c r="I209" s="476" t="s">
        <v>3128</v>
      </c>
      <c r="J209" s="476" t="s">
        <v>2963</v>
      </c>
      <c r="K209" s="472">
        <v>45230.479166666664</v>
      </c>
      <c r="L209" s="472">
        <v>45230.429166666669</v>
      </c>
      <c r="M209" s="538">
        <v>45234.708333333336</v>
      </c>
      <c r="N209" s="538">
        <v>45236.583333333336</v>
      </c>
      <c r="O209" s="1193" t="s">
        <v>2916</v>
      </c>
      <c r="P209" s="539"/>
      <c r="Q209" s="539"/>
      <c r="R209" s="539"/>
      <c r="S209" s="539"/>
      <c r="T209" s="539">
        <v>7523.4219999999996</v>
      </c>
      <c r="U209" s="539"/>
      <c r="V209" s="539"/>
      <c r="W209" s="539"/>
      <c r="X209" s="539"/>
      <c r="Y209" s="539">
        <v>51973.539999999986</v>
      </c>
      <c r="Z209" s="539"/>
      <c r="AA209" s="539"/>
      <c r="AB209" s="539"/>
      <c r="AC209" s="539"/>
      <c r="AD209" s="539"/>
      <c r="AE209" s="539"/>
      <c r="AF209" s="539"/>
      <c r="AG209" s="539"/>
      <c r="AH209" s="539"/>
      <c r="AI209" s="539"/>
      <c r="AJ209" s="539"/>
      <c r="AK209" s="539"/>
      <c r="AL209" s="539"/>
      <c r="AM209" s="539"/>
      <c r="AN209" s="539"/>
      <c r="AO209" s="539"/>
      <c r="AP209" s="539"/>
      <c r="AQ209" s="539"/>
      <c r="AR209" s="539"/>
      <c r="AS209" s="539"/>
      <c r="AT209" s="539"/>
      <c r="AU209" s="539">
        <v>7503.0379999999996</v>
      </c>
      <c r="AV209" s="539"/>
      <c r="AW209" s="539"/>
      <c r="AX209" s="539"/>
      <c r="AY209" s="539"/>
      <c r="AZ209" s="539"/>
      <c r="BA209" s="539"/>
      <c r="BB209" s="539"/>
      <c r="BC209" s="539"/>
      <c r="BD209" s="539"/>
      <c r="BE209" s="540">
        <v>67000</v>
      </c>
      <c r="BF209" s="540">
        <v>67000</v>
      </c>
      <c r="BG209" s="1181">
        <f t="shared" si="62"/>
        <v>66999.999999999985</v>
      </c>
      <c r="BH209" s="537">
        <v>25000</v>
      </c>
      <c r="BI209" s="1193" t="s">
        <v>12</v>
      </c>
      <c r="BJ209" s="1193" t="s">
        <v>32</v>
      </c>
      <c r="BK209" s="534" t="s">
        <v>2920</v>
      </c>
      <c r="BL209" s="536">
        <v>45227.446527777778</v>
      </c>
      <c r="BM209" s="536">
        <v>45229.724999999999</v>
      </c>
      <c r="BN209" s="534"/>
      <c r="BO209" s="541">
        <v>76243</v>
      </c>
      <c r="BP209" s="476" t="str">
        <f>IF(BO209=0,"0",IF(BO209&lt;=50000,"HANDYMAX",IF(BO209&lt;=58000,"SUPER HANDYMAX",IF(BO209&lt;=80000,"PANAMAX",IF(BO209&gt;=80001,"POST PANAMAX")))))</f>
        <v>PANAMAX</v>
      </c>
      <c r="BQ209" s="534"/>
      <c r="BR209" s="534"/>
      <c r="BS209" s="534"/>
      <c r="BT209" s="534"/>
      <c r="BU209" s="534"/>
      <c r="BV209" s="534"/>
      <c r="BW209" s="534"/>
      <c r="BX209" s="476" t="s">
        <v>3129</v>
      </c>
      <c r="CA209" s="542"/>
      <c r="ABJ209" s="543"/>
      <c r="ABK209" s="543"/>
      <c r="ABL209" s="543"/>
      <c r="ABM209" s="543">
        <v>1</v>
      </c>
      <c r="ABN209" s="543"/>
      <c r="ABO209" s="543"/>
      <c r="ABP209" s="543">
        <v>2</v>
      </c>
      <c r="ABQ209" s="543">
        <v>3</v>
      </c>
      <c r="ABR209" s="543"/>
      <c r="ABS209" s="543"/>
    </row>
    <row r="210" spans="1:782" s="476" customFormat="1" ht="14.4" outlineLevel="1">
      <c r="A210" s="533"/>
      <c r="B210" s="534">
        <v>4</v>
      </c>
      <c r="C210" s="535" t="s">
        <v>3121</v>
      </c>
      <c r="D210" s="534" t="s">
        <v>73</v>
      </c>
      <c r="E210" s="536">
        <v>45231</v>
      </c>
      <c r="F210" s="536">
        <v>45240</v>
      </c>
      <c r="G210" s="537" t="s">
        <v>2914</v>
      </c>
      <c r="H210" s="476" t="s">
        <v>230</v>
      </c>
      <c r="I210" s="476" t="s">
        <v>3130</v>
      </c>
      <c r="J210" s="476" t="s">
        <v>2915</v>
      </c>
      <c r="K210" s="472">
        <v>45226.041666666664</v>
      </c>
      <c r="L210" s="472">
        <v>45226.05</v>
      </c>
      <c r="M210" s="538">
        <v>45237.236111111109</v>
      </c>
      <c r="N210" s="538">
        <v>45238.993055555555</v>
      </c>
      <c r="O210" s="1193" t="s">
        <v>2916</v>
      </c>
      <c r="P210" s="539"/>
      <c r="Q210" s="539"/>
      <c r="R210" s="539"/>
      <c r="S210" s="539"/>
      <c r="T210" s="539"/>
      <c r="U210" s="539">
        <v>29784.968699999998</v>
      </c>
      <c r="V210" s="539">
        <v>11272.132299999999</v>
      </c>
      <c r="W210" s="539"/>
      <c r="X210" s="539">
        <v>14542.899000000001</v>
      </c>
      <c r="Y210" s="539"/>
      <c r="Z210" s="539"/>
      <c r="AA210" s="539"/>
      <c r="AB210" s="539"/>
      <c r="AC210" s="539"/>
      <c r="AD210" s="539"/>
      <c r="AE210" s="539"/>
      <c r="AF210" s="539"/>
      <c r="AG210" s="539"/>
      <c r="AH210" s="539"/>
      <c r="AI210" s="539"/>
      <c r="AJ210" s="539"/>
      <c r="AK210" s="539"/>
      <c r="AL210" s="539"/>
      <c r="AM210" s="539"/>
      <c r="AN210" s="539"/>
      <c r="AO210" s="539"/>
      <c r="AP210" s="539"/>
      <c r="AQ210" s="539"/>
      <c r="AR210" s="539"/>
      <c r="AS210" s="539"/>
      <c r="AT210" s="539"/>
      <c r="AU210" s="539"/>
      <c r="AV210" s="539"/>
      <c r="AW210" s="539"/>
      <c r="AX210" s="539"/>
      <c r="AY210" s="539"/>
      <c r="AZ210" s="539"/>
      <c r="BA210" s="539"/>
      <c r="BB210" s="539"/>
      <c r="BC210" s="539"/>
      <c r="BD210" s="539"/>
      <c r="BE210" s="540">
        <v>55600</v>
      </c>
      <c r="BF210" s="540">
        <v>55600</v>
      </c>
      <c r="BG210" s="1181">
        <f>SUM(P210:BA210)</f>
        <v>55600</v>
      </c>
      <c r="BH210" s="537">
        <v>12000</v>
      </c>
      <c r="BI210" s="1193" t="s">
        <v>4</v>
      </c>
      <c r="BJ210" s="1193" t="s">
        <v>5</v>
      </c>
      <c r="BK210" s="534" t="s">
        <v>2924</v>
      </c>
      <c r="BL210" s="536">
        <v>45220.532638888886</v>
      </c>
      <c r="BM210" s="536">
        <v>45221.425000000003</v>
      </c>
      <c r="BN210" s="534"/>
      <c r="BO210" s="541">
        <v>56028</v>
      </c>
      <c r="BP210" s="476" t="str">
        <f>IF(BO210=0,"0",IF(BO210&lt;=50000,"HANDYMAX",IF(BO210&lt;=58000,"SUPER HANDYMAX",IF(BO210&lt;=80000,"PANAMAX",IF(BO210&gt;=80001,"POST PANAMAX")))))</f>
        <v>SUPER HANDYMAX</v>
      </c>
      <c r="BQ210" s="534"/>
      <c r="BR210" s="534"/>
      <c r="BS210" s="534"/>
      <c r="BT210" s="534"/>
      <c r="BU210" s="534"/>
      <c r="BV210" s="534"/>
      <c r="BW210" s="534"/>
      <c r="BX210" s="476" t="s">
        <v>3131</v>
      </c>
      <c r="CA210" s="542"/>
      <c r="ABM210" s="476">
        <v>2</v>
      </c>
      <c r="ABN210" s="476">
        <v>1</v>
      </c>
      <c r="ABR210" s="543"/>
      <c r="ABS210" s="543"/>
      <c r="ABT210" s="543"/>
      <c r="ABU210" s="543"/>
      <c r="ABV210" s="543"/>
      <c r="ABW210" s="543"/>
      <c r="ABX210" s="543"/>
    </row>
    <row r="211" spans="1:782" s="476" customFormat="1" ht="14.4" outlineLevel="1">
      <c r="A211" s="533"/>
      <c r="B211" s="534">
        <v>5</v>
      </c>
      <c r="C211" s="535">
        <v>45200</v>
      </c>
      <c r="D211" s="534" t="s">
        <v>73</v>
      </c>
      <c r="E211" s="536">
        <v>45228</v>
      </c>
      <c r="F211" s="536">
        <v>45237</v>
      </c>
      <c r="G211" s="537" t="s">
        <v>2914</v>
      </c>
      <c r="H211" s="476" t="s">
        <v>2746</v>
      </c>
      <c r="I211" s="476" t="s">
        <v>3132</v>
      </c>
      <c r="J211" s="476" t="s">
        <v>2933</v>
      </c>
      <c r="K211" s="472">
        <v>45232.291666666664</v>
      </c>
      <c r="L211" s="472">
        <v>45232.291666666664</v>
      </c>
      <c r="M211" s="538">
        <v>45238.368055555555</v>
      </c>
      <c r="N211" s="538">
        <v>45240</v>
      </c>
      <c r="O211" s="1193" t="s">
        <v>2916</v>
      </c>
      <c r="P211" s="539"/>
      <c r="Q211" s="539"/>
      <c r="R211" s="539"/>
      <c r="S211" s="539"/>
      <c r="T211" s="539"/>
      <c r="U211" s="539">
        <v>36367.368999999999</v>
      </c>
      <c r="V211" s="539">
        <v>1131.6580000000001</v>
      </c>
      <c r="W211" s="539"/>
      <c r="X211" s="539"/>
      <c r="Y211" s="539">
        <v>7500.973</v>
      </c>
      <c r="Z211" s="539"/>
      <c r="AA211" s="539"/>
      <c r="AB211" s="539"/>
      <c r="AC211" s="539"/>
      <c r="AD211" s="539"/>
      <c r="AE211" s="539"/>
      <c r="AF211" s="539"/>
      <c r="AG211" s="539"/>
      <c r="AH211" s="539"/>
      <c r="AI211" s="539"/>
      <c r="AJ211" s="539"/>
      <c r="AK211" s="539"/>
      <c r="AL211" s="539"/>
      <c r="AM211" s="539"/>
      <c r="AN211" s="539"/>
      <c r="AO211" s="539"/>
      <c r="AP211" s="539"/>
      <c r="AQ211" s="539"/>
      <c r="AR211" s="539"/>
      <c r="AS211" s="539"/>
      <c r="AT211" s="539"/>
      <c r="AU211" s="539"/>
      <c r="AV211" s="539"/>
      <c r="AW211" s="539"/>
      <c r="AX211" s="539"/>
      <c r="AY211" s="539"/>
      <c r="AZ211" s="539"/>
      <c r="BA211" s="539"/>
      <c r="BB211" s="539"/>
      <c r="BC211" s="539"/>
      <c r="BD211" s="539"/>
      <c r="BE211" s="540">
        <v>45000</v>
      </c>
      <c r="BF211" s="540">
        <v>45000</v>
      </c>
      <c r="BG211" s="1181">
        <f t="shared" si="62"/>
        <v>45000</v>
      </c>
      <c r="BH211" s="537">
        <v>17500</v>
      </c>
      <c r="BI211" s="1193" t="s">
        <v>12</v>
      </c>
      <c r="BJ211" s="1193" t="s">
        <v>32</v>
      </c>
      <c r="BK211" s="534" t="s">
        <v>2924</v>
      </c>
      <c r="BL211" s="536">
        <v>45218.491666666669</v>
      </c>
      <c r="BM211" s="536">
        <v>45225.408333333333</v>
      </c>
      <c r="BN211" s="534"/>
      <c r="BO211" s="541">
        <v>49999</v>
      </c>
      <c r="BP211" s="476" t="str">
        <f t="shared" ref="BP211" si="63">IF(BO211=0,"0",IF(BO211&lt;=50000,"HANDYMAX",IF(BO211&lt;=58000,"SUPER HANDYMAX",IF(BO211&lt;=80000,"PANAMAX",IF(BO211&gt;=80001,"POST PANAMAX")))))</f>
        <v>HANDYMAX</v>
      </c>
      <c r="BQ211" s="534"/>
      <c r="BR211" s="534"/>
      <c r="BS211" s="534"/>
      <c r="BT211" s="534"/>
      <c r="BU211" s="534"/>
      <c r="BV211" s="534"/>
      <c r="BW211" s="534"/>
      <c r="CA211" s="542"/>
      <c r="ABO211" s="543">
        <v>1</v>
      </c>
      <c r="ABP211" s="543"/>
      <c r="ABQ211" s="543"/>
      <c r="ABR211" s="543"/>
      <c r="ABS211" s="543">
        <v>2</v>
      </c>
      <c r="ABT211" s="543"/>
      <c r="ABU211" s="543"/>
      <c r="ABV211" s="543"/>
      <c r="ABW211" s="543"/>
      <c r="ABX211" s="543"/>
    </row>
    <row r="212" spans="1:782" s="476" customFormat="1" ht="14.4" outlineLevel="1">
      <c r="A212" s="533"/>
      <c r="B212" s="534">
        <v>6</v>
      </c>
      <c r="C212" s="535" t="s">
        <v>3121</v>
      </c>
      <c r="D212" s="534" t="s">
        <v>74</v>
      </c>
      <c r="E212" s="536">
        <v>45236</v>
      </c>
      <c r="F212" s="536">
        <v>45245</v>
      </c>
      <c r="G212" s="537" t="s">
        <v>107</v>
      </c>
      <c r="H212" s="476" t="s">
        <v>3133</v>
      </c>
      <c r="I212" s="476" t="s">
        <v>3134</v>
      </c>
      <c r="J212" s="476" t="s">
        <v>2922</v>
      </c>
      <c r="K212" s="858">
        <v>45239.916666666664</v>
      </c>
      <c r="L212" s="858">
        <v>45239.875</v>
      </c>
      <c r="M212" s="538">
        <v>45241.659722222219</v>
      </c>
      <c r="N212" s="538">
        <v>45243.065972222219</v>
      </c>
      <c r="O212" s="1193" t="s">
        <v>2916</v>
      </c>
      <c r="P212" s="539"/>
      <c r="Q212" s="539"/>
      <c r="R212" s="539"/>
      <c r="S212" s="539"/>
      <c r="T212" s="539">
        <v>8455.2940000000017</v>
      </c>
      <c r="U212" s="539"/>
      <c r="V212" s="539"/>
      <c r="W212" s="539"/>
      <c r="X212" s="539"/>
      <c r="Y212" s="539">
        <v>46846.663</v>
      </c>
      <c r="Z212" s="539"/>
      <c r="AA212" s="539"/>
      <c r="AB212" s="539"/>
      <c r="AC212" s="539">
        <v>5198.0429999999997</v>
      </c>
      <c r="AD212" s="539"/>
      <c r="AE212" s="539"/>
      <c r="AF212" s="539"/>
      <c r="AG212" s="539"/>
      <c r="AH212" s="539"/>
      <c r="AI212" s="539"/>
      <c r="AJ212" s="539"/>
      <c r="AK212" s="539"/>
      <c r="AL212" s="539"/>
      <c r="AM212" s="539"/>
      <c r="AN212" s="539"/>
      <c r="AO212" s="539"/>
      <c r="AP212" s="539"/>
      <c r="AQ212" s="539"/>
      <c r="AR212" s="539"/>
      <c r="AS212" s="539"/>
      <c r="AT212" s="539"/>
      <c r="AU212" s="539"/>
      <c r="AV212" s="539"/>
      <c r="AW212" s="539"/>
      <c r="AX212" s="539"/>
      <c r="AY212" s="539"/>
      <c r="AZ212" s="539"/>
      <c r="BA212" s="539"/>
      <c r="BB212" s="539"/>
      <c r="BC212" s="539"/>
      <c r="BD212" s="539"/>
      <c r="BE212" s="540">
        <v>60500</v>
      </c>
      <c r="BF212" s="540">
        <v>60500</v>
      </c>
      <c r="BG212" s="1181">
        <f>SUM(P212:BA212)</f>
        <v>60500</v>
      </c>
      <c r="BH212" s="537">
        <v>19000</v>
      </c>
      <c r="BI212" s="1193" t="s">
        <v>20</v>
      </c>
      <c r="BJ212" s="1193" t="s">
        <v>2923</v>
      </c>
      <c r="BK212" s="534" t="s">
        <v>2927</v>
      </c>
      <c r="BL212" s="536">
        <v>45233.415277777778</v>
      </c>
      <c r="BM212" s="536">
        <v>45235.783333333333</v>
      </c>
      <c r="BN212" s="534"/>
      <c r="BO212" s="541">
        <v>63562.400000000001</v>
      </c>
      <c r="BP212" s="476" t="str">
        <f>IF(BO212=0,"0",IF(BO212&lt;=50000,"HANDYMAX",IF(BO212&lt;=58000,"SUPER HANDYMAX",IF(BO212&lt;=80000,"PANAMAX",IF(BO212&gt;=80001,"POST PANAMAX")))))</f>
        <v>PANAMAX</v>
      </c>
      <c r="BQ212" s="534"/>
      <c r="BR212" s="534"/>
      <c r="BS212" s="534"/>
      <c r="BT212" s="534"/>
      <c r="BU212" s="534"/>
      <c r="BV212" s="534"/>
      <c r="BW212" s="534"/>
      <c r="CA212" s="542"/>
      <c r="ABW212" s="543"/>
      <c r="ABX212" s="543"/>
      <c r="ABY212" s="543"/>
      <c r="ABZ212" s="543" t="s">
        <v>2939</v>
      </c>
      <c r="ACA212" s="543">
        <v>2</v>
      </c>
      <c r="ACB212" s="543"/>
      <c r="ACC212" s="543"/>
      <c r="ACD212" s="543"/>
      <c r="ACE212" s="543"/>
      <c r="ACF212" s="543"/>
    </row>
    <row r="213" spans="1:782" s="476" customFormat="1" ht="14.4" outlineLevel="1">
      <c r="A213" s="533"/>
      <c r="B213" s="534">
        <v>7</v>
      </c>
      <c r="C213" s="535" t="s">
        <v>3121</v>
      </c>
      <c r="D213" s="534" t="s">
        <v>74</v>
      </c>
      <c r="E213" s="536">
        <v>45237</v>
      </c>
      <c r="F213" s="536">
        <v>45246</v>
      </c>
      <c r="G213" s="537" t="s">
        <v>2914</v>
      </c>
      <c r="H213" s="667" t="s">
        <v>3135</v>
      </c>
      <c r="I213" s="667" t="s">
        <v>3136</v>
      </c>
      <c r="J213" s="667" t="s">
        <v>2933</v>
      </c>
      <c r="K213" s="858">
        <v>45239.145833333336</v>
      </c>
      <c r="L213" s="858">
        <v>45238.958333333336</v>
      </c>
      <c r="M213" s="538">
        <v>45242.173611111109</v>
      </c>
      <c r="N213" s="679">
        <v>45243.979166666664</v>
      </c>
      <c r="O213" s="1193" t="s">
        <v>2916</v>
      </c>
      <c r="P213" s="539">
        <v>15042.503000000001</v>
      </c>
      <c r="Q213" s="539"/>
      <c r="R213" s="539"/>
      <c r="S213" s="539"/>
      <c r="T213" s="539"/>
      <c r="U213" s="539"/>
      <c r="V213" s="539"/>
      <c r="W213" s="539"/>
      <c r="X213" s="539">
        <v>35698.835249999996</v>
      </c>
      <c r="Y213" s="539">
        <v>9418.6617499999993</v>
      </c>
      <c r="Z213" s="539"/>
      <c r="AA213" s="539"/>
      <c r="AB213" s="539"/>
      <c r="AC213" s="539"/>
      <c r="AD213" s="539"/>
      <c r="AE213" s="539"/>
      <c r="AF213" s="539"/>
      <c r="AG213" s="539"/>
      <c r="AH213" s="539"/>
      <c r="AI213" s="539"/>
      <c r="AJ213" s="539"/>
      <c r="AK213" s="539"/>
      <c r="AL213" s="539"/>
      <c r="AM213" s="539"/>
      <c r="AN213" s="539"/>
      <c r="AO213" s="539"/>
      <c r="AP213" s="539"/>
      <c r="AQ213" s="539"/>
      <c r="AR213" s="539"/>
      <c r="AS213" s="539"/>
      <c r="AT213" s="539"/>
      <c r="AU213" s="539"/>
      <c r="AV213" s="539"/>
      <c r="AW213" s="539"/>
      <c r="AX213" s="539"/>
      <c r="AY213" s="539"/>
      <c r="AZ213" s="539"/>
      <c r="BA213" s="539"/>
      <c r="BB213" s="539"/>
      <c r="BC213" s="539"/>
      <c r="BD213" s="539"/>
      <c r="BE213" s="540">
        <v>60160</v>
      </c>
      <c r="BF213" s="540">
        <v>60160</v>
      </c>
      <c r="BG213" s="1181">
        <f>SUM(P213:BA213)</f>
        <v>60160</v>
      </c>
      <c r="BH213" s="537"/>
      <c r="BI213" s="1193" t="s">
        <v>4</v>
      </c>
      <c r="BJ213" s="1193" t="s">
        <v>5</v>
      </c>
      <c r="BK213" s="534" t="s">
        <v>2924</v>
      </c>
      <c r="BL213" s="536">
        <v>45230.654861111114</v>
      </c>
      <c r="BM213" s="536">
        <v>45231.463888888888</v>
      </c>
      <c r="BN213" s="534"/>
      <c r="BO213" s="541">
        <v>75906.3</v>
      </c>
      <c r="BP213" s="476" t="str">
        <f>IF(BO213=0,"0",IF(BO213&lt;=50000,"HANDYMAX",IF(BO213&lt;=58000,"SUPER HANDYMAX",IF(BO213&lt;=80000,"PANAMAX",IF(BO213&gt;=80001,"POST PANAMAX")))))</f>
        <v>PANAMAX</v>
      </c>
      <c r="BQ213" s="534"/>
      <c r="BR213" s="534"/>
      <c r="BS213" s="534"/>
      <c r="BT213" s="534"/>
      <c r="BU213" s="534"/>
      <c r="BV213" s="534"/>
      <c r="BW213" s="534"/>
      <c r="CA213" s="542"/>
      <c r="ABX213" s="543"/>
      <c r="ABY213" s="543"/>
      <c r="ABZ213" s="543">
        <v>1</v>
      </c>
      <c r="ACA213" s="543"/>
      <c r="ACB213" s="543"/>
      <c r="ACC213" s="543"/>
      <c r="ACD213" s="543"/>
      <c r="ACE213" s="543"/>
      <c r="ACF213" s="543"/>
      <c r="ACG213" s="543"/>
    </row>
    <row r="214" spans="1:782" s="476" customFormat="1" ht="14.4" outlineLevel="1">
      <c r="A214" s="533"/>
      <c r="B214" s="534">
        <v>8</v>
      </c>
      <c r="C214" s="535" t="s">
        <v>3121</v>
      </c>
      <c r="D214" s="534" t="s">
        <v>2983</v>
      </c>
      <c r="E214" s="536">
        <v>45240</v>
      </c>
      <c r="F214" s="536">
        <v>45246</v>
      </c>
      <c r="G214" s="537" t="s">
        <v>107</v>
      </c>
      <c r="H214" s="476" t="s">
        <v>3137</v>
      </c>
      <c r="I214" s="476" t="s">
        <v>3138</v>
      </c>
      <c r="J214" s="476" t="s">
        <v>2943</v>
      </c>
      <c r="K214" s="858">
        <v>45241.541666666664</v>
      </c>
      <c r="L214" s="858">
        <v>45241.506944444445</v>
      </c>
      <c r="M214" s="538">
        <v>45245.098611111112</v>
      </c>
      <c r="N214" s="538">
        <v>45246.40625</v>
      </c>
      <c r="O214" s="1193" t="s">
        <v>2916</v>
      </c>
      <c r="P214" s="539"/>
      <c r="Q214" s="539"/>
      <c r="R214" s="539"/>
      <c r="S214" s="539">
        <v>3740</v>
      </c>
      <c r="T214" s="539">
        <v>3002</v>
      </c>
      <c r="U214" s="539"/>
      <c r="V214" s="539"/>
      <c r="W214" s="539"/>
      <c r="X214" s="539"/>
      <c r="Y214" s="539"/>
      <c r="Z214" s="539"/>
      <c r="AA214" s="539"/>
      <c r="AB214" s="539"/>
      <c r="AC214" s="539"/>
      <c r="AD214" s="539"/>
      <c r="AE214" s="539"/>
      <c r="AF214" s="539"/>
      <c r="AG214" s="539"/>
      <c r="AH214" s="539"/>
      <c r="AI214" s="539"/>
      <c r="AJ214" s="539"/>
      <c r="AK214" s="539"/>
      <c r="AL214" s="539"/>
      <c r="AM214" s="539"/>
      <c r="AN214" s="539"/>
      <c r="AO214" s="539"/>
      <c r="AP214" s="539"/>
      <c r="AQ214" s="539"/>
      <c r="AR214" s="539">
        <v>10616.103999999999</v>
      </c>
      <c r="AS214" s="539"/>
      <c r="AT214" s="539"/>
      <c r="AU214" s="539">
        <v>15093.329</v>
      </c>
      <c r="AV214" s="539">
        <v>7539.0640000000003</v>
      </c>
      <c r="AW214" s="539"/>
      <c r="AX214" s="539"/>
      <c r="AY214" s="539">
        <v>7504.5230000000001</v>
      </c>
      <c r="AZ214" s="539"/>
      <c r="BA214" s="539">
        <v>7504.7209999999995</v>
      </c>
      <c r="BB214" s="539"/>
      <c r="BC214" s="539"/>
      <c r="BD214" s="539"/>
      <c r="BE214" s="540">
        <v>55000</v>
      </c>
      <c r="BF214" s="540">
        <v>55000</v>
      </c>
      <c r="BG214" s="1181">
        <f>SUM(P214:BA214)</f>
        <v>54999.740999999995</v>
      </c>
      <c r="BH214" s="537">
        <v>14250</v>
      </c>
      <c r="BI214" s="1193" t="s">
        <v>20</v>
      </c>
      <c r="BJ214" s="1193" t="s">
        <v>2923</v>
      </c>
      <c r="BK214" s="534" t="s">
        <v>2924</v>
      </c>
      <c r="BL214" s="536">
        <v>45232.920138888891</v>
      </c>
      <c r="BM214" s="536">
        <v>45233.643055555556</v>
      </c>
      <c r="BN214" s="534"/>
      <c r="BO214" s="541">
        <v>55659</v>
      </c>
      <c r="BP214" s="476" t="str">
        <f>IF(BO214=0,"0",IF(BO214&lt;=50000,"HANDYMAX",IF(BO214&lt;=58000,"SUPER HANDYMAX",IF(BO214&lt;=80000,"PANAMAX",IF(BO214&gt;=80001,"POST PANAMAX")))))</f>
        <v>SUPER HANDYMAX</v>
      </c>
      <c r="BQ214" s="534"/>
      <c r="BR214" s="534"/>
      <c r="BS214" s="534"/>
      <c r="BT214" s="534"/>
      <c r="BU214" s="534"/>
      <c r="BV214" s="534"/>
      <c r="BW214" s="534"/>
      <c r="CA214" s="542"/>
      <c r="ACA214" s="543">
        <v>1</v>
      </c>
      <c r="ACB214" s="543">
        <v>2</v>
      </c>
      <c r="ACC214" s="543"/>
      <c r="ACD214" s="543"/>
      <c r="ACE214" s="543"/>
      <c r="ACF214" s="543"/>
      <c r="ACG214" s="543"/>
    </row>
    <row r="215" spans="1:782" s="476" customFormat="1" ht="14.4" outlineLevel="1">
      <c r="A215" s="533"/>
      <c r="B215" s="534">
        <v>9</v>
      </c>
      <c r="C215" s="535" t="s">
        <v>3121</v>
      </c>
      <c r="D215" s="534" t="s">
        <v>74</v>
      </c>
      <c r="E215" s="536">
        <v>45241</v>
      </c>
      <c r="F215" s="536">
        <v>45250</v>
      </c>
      <c r="G215" s="537" t="s">
        <v>2914</v>
      </c>
      <c r="H215" s="476" t="s">
        <v>3139</v>
      </c>
      <c r="I215" s="476" t="s">
        <v>3140</v>
      </c>
      <c r="J215" s="476" t="s">
        <v>2926</v>
      </c>
      <c r="K215" s="679">
        <v>45243.375</v>
      </c>
      <c r="L215" s="679">
        <v>45243.321527777778</v>
      </c>
      <c r="M215" s="538">
        <v>45244.958333333336</v>
      </c>
      <c r="N215" s="538">
        <v>45247.4375</v>
      </c>
      <c r="O215" s="1193" t="s">
        <v>2916</v>
      </c>
      <c r="P215" s="539"/>
      <c r="Q215" s="539"/>
      <c r="R215" s="539"/>
      <c r="S215" s="539"/>
      <c r="T215" s="539"/>
      <c r="U215" s="539"/>
      <c r="V215" s="539"/>
      <c r="W215" s="539"/>
      <c r="X215" s="539">
        <v>52924.064400000003</v>
      </c>
      <c r="Y215" s="539">
        <v>18933.2196</v>
      </c>
      <c r="Z215" s="539">
        <v>7321.7160000000003</v>
      </c>
      <c r="AA215" s="539"/>
      <c r="AB215" s="539"/>
      <c r="AC215" s="539"/>
      <c r="AD215" s="539"/>
      <c r="AE215" s="539"/>
      <c r="AF215" s="539"/>
      <c r="AG215" s="539"/>
      <c r="AH215" s="539"/>
      <c r="AI215" s="539"/>
      <c r="AJ215" s="539"/>
      <c r="AK215" s="539"/>
      <c r="AL215" s="539"/>
      <c r="AM215" s="539"/>
      <c r="AN215" s="539"/>
      <c r="AO215" s="539"/>
      <c r="AP215" s="539"/>
      <c r="AQ215" s="539"/>
      <c r="AR215" s="539"/>
      <c r="AS215" s="539"/>
      <c r="AT215" s="539"/>
      <c r="AU215" s="539"/>
      <c r="AV215" s="539"/>
      <c r="AW215" s="539"/>
      <c r="AX215" s="539"/>
      <c r="AY215" s="539"/>
      <c r="AZ215" s="539"/>
      <c r="BA215" s="539"/>
      <c r="BB215" s="539"/>
      <c r="BC215" s="539"/>
      <c r="BD215" s="539"/>
      <c r="BE215" s="540">
        <v>79450</v>
      </c>
      <c r="BF215" s="540">
        <v>79450</v>
      </c>
      <c r="BG215" s="1181">
        <f>SUM(P215:BA215)</f>
        <v>79179</v>
      </c>
      <c r="BH215" s="537">
        <v>14150</v>
      </c>
      <c r="BI215" s="1193" t="s">
        <v>4</v>
      </c>
      <c r="BJ215" s="1193" t="s">
        <v>5</v>
      </c>
      <c r="BK215" s="534" t="s">
        <v>2937</v>
      </c>
      <c r="BL215" s="536">
        <v>45239.457638888889</v>
      </c>
      <c r="BM215" s="536">
        <v>45240.800694444442</v>
      </c>
      <c r="BN215" s="534"/>
      <c r="BO215" s="541">
        <v>81793</v>
      </c>
      <c r="BP215" s="476" t="str">
        <f>IF(BO215=0,"0",IF(BO215&lt;=50000,"HANDYMAX",IF(BO215&lt;=58000,"SUPER HANDYMAX",IF(BO215&lt;=80000,"PANAMAX",IF(BO215&gt;=80001,"POST PANAMAX")))))</f>
        <v>POST PANAMAX</v>
      </c>
      <c r="BQ215" s="534"/>
      <c r="BR215" s="534"/>
      <c r="BS215" s="534"/>
      <c r="BT215" s="534"/>
      <c r="BU215" s="534"/>
      <c r="BV215" s="534"/>
      <c r="BW215" s="534"/>
      <c r="CA215" s="542"/>
      <c r="ACB215" s="543"/>
      <c r="ACC215" s="543"/>
      <c r="ACD215" s="543">
        <v>2</v>
      </c>
      <c r="ACE215" s="543">
        <v>1</v>
      </c>
      <c r="ACF215" s="543"/>
      <c r="ACG215" s="543"/>
      <c r="ACH215" s="543"/>
      <c r="ACI215" s="543"/>
      <c r="ACJ215" s="543"/>
      <c r="ACK215" s="543"/>
    </row>
    <row r="216" spans="1:782" s="476" customFormat="1" ht="14.4" outlineLevel="1">
      <c r="A216" s="533"/>
      <c r="B216" s="534">
        <v>10</v>
      </c>
      <c r="C216" s="535" t="s">
        <v>3121</v>
      </c>
      <c r="D216" s="534" t="s">
        <v>85</v>
      </c>
      <c r="E216" s="536">
        <v>45240</v>
      </c>
      <c r="F216" s="536">
        <v>45249</v>
      </c>
      <c r="G216" s="537" t="s">
        <v>2942</v>
      </c>
      <c r="H216" s="476" t="s">
        <v>3141</v>
      </c>
      <c r="I216" s="476" t="s">
        <v>3142</v>
      </c>
      <c r="J216" s="476" t="s">
        <v>2943</v>
      </c>
      <c r="K216" s="858">
        <v>45242.875</v>
      </c>
      <c r="L216" s="858">
        <v>45242.837500000001</v>
      </c>
      <c r="M216" s="538">
        <v>45243.645833333336</v>
      </c>
      <c r="N216" s="538">
        <v>45248.708333333336</v>
      </c>
      <c r="O216" s="1193" t="s">
        <v>2916</v>
      </c>
      <c r="P216" s="539"/>
      <c r="Q216" s="539"/>
      <c r="R216" s="539"/>
      <c r="S216" s="539"/>
      <c r="T216" s="539"/>
      <c r="U216" s="539"/>
      <c r="V216" s="539"/>
      <c r="W216" s="539"/>
      <c r="X216" s="539"/>
      <c r="Y216" s="539">
        <v>24717.08</v>
      </c>
      <c r="Z216" s="539">
        <v>27822.92</v>
      </c>
      <c r="AA216" s="539"/>
      <c r="AB216" s="539"/>
      <c r="AC216" s="539"/>
      <c r="AD216" s="539"/>
      <c r="AE216" s="539"/>
      <c r="AF216" s="539"/>
      <c r="AG216" s="539"/>
      <c r="AH216" s="539"/>
      <c r="AI216" s="539"/>
      <c r="AJ216" s="539"/>
      <c r="AK216" s="539"/>
      <c r="AL216" s="539"/>
      <c r="AM216" s="539"/>
      <c r="AN216" s="539"/>
      <c r="AO216" s="539"/>
      <c r="AP216" s="539"/>
      <c r="AQ216" s="539"/>
      <c r="AR216" s="539"/>
      <c r="AS216" s="539"/>
      <c r="AT216" s="539"/>
      <c r="AU216" s="539"/>
      <c r="AV216" s="539"/>
      <c r="AW216" s="539"/>
      <c r="AX216" s="539"/>
      <c r="AY216" s="539"/>
      <c r="AZ216" s="539"/>
      <c r="BA216" s="539"/>
      <c r="BB216" s="539"/>
      <c r="BC216" s="539"/>
      <c r="BD216" s="539"/>
      <c r="BE216" s="540">
        <v>52540</v>
      </c>
      <c r="BF216" s="540">
        <v>52540</v>
      </c>
      <c r="BG216" s="1181">
        <f t="shared" si="62"/>
        <v>52540</v>
      </c>
      <c r="BH216" s="537">
        <v>15000</v>
      </c>
      <c r="BI216" s="1193" t="s">
        <v>16</v>
      </c>
      <c r="BJ216" s="1193" t="s">
        <v>45</v>
      </c>
      <c r="BK216" s="534" t="s">
        <v>2944</v>
      </c>
      <c r="BL216" s="536">
        <v>45230.543749999997</v>
      </c>
      <c r="BM216" s="536">
        <v>45234.364583333336</v>
      </c>
      <c r="BN216" s="534"/>
      <c r="BO216" s="541">
        <v>56697.1</v>
      </c>
      <c r="BP216" s="476" t="str">
        <f t="shared" ref="BP216" si="64">IF(BO216=0,"0",IF(BO216&lt;=50000,"HANDYMAX",IF(BO216&lt;=58000,"SUPER HANDYMAX",IF(BO216&lt;=80000,"PANAMAX",IF(BO216&gt;=80001,"POST PANAMAX")))))</f>
        <v>SUPER HANDYMAX</v>
      </c>
      <c r="BQ216" s="534"/>
      <c r="BR216" s="534"/>
      <c r="BS216" s="534"/>
      <c r="BT216" s="534"/>
      <c r="BU216" s="534"/>
      <c r="BV216" s="534"/>
      <c r="BW216" s="534"/>
      <c r="CA216" s="542"/>
      <c r="ABY216" s="476">
        <v>1</v>
      </c>
      <c r="ABZ216" s="476" t="s">
        <v>3029</v>
      </c>
      <c r="ACA216" s="543" t="s">
        <v>2946</v>
      </c>
      <c r="ACB216" s="543">
        <v>6</v>
      </c>
      <c r="ACC216" s="543" t="s">
        <v>3143</v>
      </c>
      <c r="ACD216" s="543">
        <v>8</v>
      </c>
      <c r="ACE216" s="543"/>
      <c r="ACF216" s="543"/>
      <c r="ACG216" s="543"/>
      <c r="ACH216" s="543"/>
      <c r="ACI216" s="543"/>
      <c r="ACJ216" s="543"/>
    </row>
    <row r="217" spans="1:782" s="476" customFormat="1" ht="14.4" outlineLevel="1">
      <c r="A217" s="533"/>
      <c r="B217" s="534">
        <v>11</v>
      </c>
      <c r="C217" s="535" t="s">
        <v>3121</v>
      </c>
      <c r="D217" s="534" t="s">
        <v>73</v>
      </c>
      <c r="E217" s="536">
        <v>45231</v>
      </c>
      <c r="F217" s="536">
        <v>45240</v>
      </c>
      <c r="G217" s="537" t="s">
        <v>107</v>
      </c>
      <c r="H217" s="476" t="s">
        <v>3144</v>
      </c>
      <c r="I217" s="476" t="s">
        <v>3145</v>
      </c>
      <c r="J217" s="476" t="s">
        <v>2933</v>
      </c>
      <c r="K217" s="472">
        <v>45241.104166666664</v>
      </c>
      <c r="L217" s="472">
        <v>45241.162499999999</v>
      </c>
      <c r="M217" s="538">
        <v>45248.554166666669</v>
      </c>
      <c r="N217" s="538">
        <v>45250.086805555555</v>
      </c>
      <c r="O217" s="1193" t="s">
        <v>2916</v>
      </c>
      <c r="P217" s="539"/>
      <c r="Q217" s="539"/>
      <c r="R217" s="539"/>
      <c r="S217" s="539"/>
      <c r="T217" s="539"/>
      <c r="U217" s="539">
        <v>39783.841400000005</v>
      </c>
      <c r="V217" s="539">
        <v>12869.821599999999</v>
      </c>
      <c r="W217" s="539"/>
      <c r="X217" s="539">
        <v>21046.272199999999</v>
      </c>
      <c r="Y217" s="539">
        <v>1500.0648000000001</v>
      </c>
      <c r="Z217" s="539"/>
      <c r="AA217" s="539"/>
      <c r="AB217" s="539"/>
      <c r="AC217" s="539"/>
      <c r="AD217" s="539"/>
      <c r="AE217" s="539"/>
      <c r="AF217" s="539"/>
      <c r="AG217" s="539">
        <v>7500</v>
      </c>
      <c r="AH217" s="539"/>
      <c r="AI217" s="539"/>
      <c r="AJ217" s="539"/>
      <c r="AK217" s="539"/>
      <c r="AL217" s="539"/>
      <c r="AM217" s="539"/>
      <c r="AN217" s="539"/>
      <c r="AO217" s="539"/>
      <c r="AP217" s="539"/>
      <c r="AQ217" s="539"/>
      <c r="AR217" s="539"/>
      <c r="AS217" s="539"/>
      <c r="AT217" s="539"/>
      <c r="AU217" s="539"/>
      <c r="AV217" s="539"/>
      <c r="AW217" s="539"/>
      <c r="AX217" s="539"/>
      <c r="AY217" s="539"/>
      <c r="AZ217" s="539"/>
      <c r="BA217" s="539"/>
      <c r="BB217" s="539"/>
      <c r="BC217" s="539"/>
      <c r="BD217" s="539"/>
      <c r="BE217" s="540">
        <v>82700</v>
      </c>
      <c r="BF217" s="540">
        <v>82700</v>
      </c>
      <c r="BG217" s="1181">
        <f t="shared" ref="BG217:BG222" si="65">SUM(P217:BA217)</f>
        <v>82700</v>
      </c>
      <c r="BH217" s="537">
        <v>17000</v>
      </c>
      <c r="BI217" s="1193" t="s">
        <v>20</v>
      </c>
      <c r="BJ217" s="1193" t="s">
        <v>2923</v>
      </c>
      <c r="BK217" s="534" t="s">
        <v>2924</v>
      </c>
      <c r="BL217" s="536">
        <v>45225.509027777778</v>
      </c>
      <c r="BM217" s="536">
        <v>45230.425694444442</v>
      </c>
      <c r="BN217" s="534"/>
      <c r="BO217" s="541">
        <v>85295</v>
      </c>
      <c r="BP217" s="476" t="str">
        <f t="shared" ref="BP217:BP222" si="66">IF(BO217=0,"0",IF(BO217&lt;=50000,"HANDYMAX",IF(BO217&lt;=58000,"SUPER HANDYMAX",IF(BO217&lt;=80000,"PANAMAX",IF(BO217&gt;=80001,"POST PANAMAX")))))</f>
        <v>POST PANAMAX</v>
      </c>
      <c r="BQ217" s="534"/>
      <c r="BR217" s="534"/>
      <c r="BS217" s="534"/>
      <c r="BT217" s="534"/>
      <c r="BU217" s="534"/>
      <c r="BV217" s="534"/>
      <c r="BW217" s="534"/>
      <c r="BX217" s="476" t="s">
        <v>3146</v>
      </c>
      <c r="CA217" s="542"/>
      <c r="ABR217" s="543">
        <v>1</v>
      </c>
      <c r="ABS217" s="543"/>
      <c r="ABT217" s="543">
        <v>2</v>
      </c>
      <c r="ABU217" s="543">
        <v>3</v>
      </c>
      <c r="ABV217" s="543"/>
      <c r="ABW217" s="543"/>
      <c r="ABX217" s="543"/>
      <c r="ABY217" s="543">
        <v>4</v>
      </c>
      <c r="ABZ217" s="543"/>
      <c r="ACA217" s="543">
        <v>5</v>
      </c>
      <c r="ACB217" s="476">
        <v>6</v>
      </c>
    </row>
    <row r="218" spans="1:782" s="476" customFormat="1" ht="14.4" outlineLevel="1">
      <c r="A218" s="533"/>
      <c r="B218" s="534">
        <v>12</v>
      </c>
      <c r="C218" s="535" t="s">
        <v>3121</v>
      </c>
      <c r="D218" s="534" t="s">
        <v>74</v>
      </c>
      <c r="E218" s="536">
        <v>45242</v>
      </c>
      <c r="F218" s="536">
        <v>45251</v>
      </c>
      <c r="G218" s="537" t="s">
        <v>2914</v>
      </c>
      <c r="H218" s="476" t="s">
        <v>944</v>
      </c>
      <c r="I218" s="476" t="s">
        <v>3147</v>
      </c>
      <c r="J218" s="476" t="s">
        <v>2915</v>
      </c>
      <c r="K218" s="472">
        <v>45243.791666666664</v>
      </c>
      <c r="L218" s="472">
        <v>45243.916666666664</v>
      </c>
      <c r="M218" s="538">
        <v>45250.180555555555</v>
      </c>
      <c r="N218" s="538">
        <v>45251.947916666664</v>
      </c>
      <c r="O218" s="1193" t="s">
        <v>2916</v>
      </c>
      <c r="P218" s="539"/>
      <c r="Q218" s="539"/>
      <c r="R218" s="539"/>
      <c r="S218" s="539"/>
      <c r="T218" s="539"/>
      <c r="U218" s="539"/>
      <c r="V218" s="539"/>
      <c r="W218" s="539"/>
      <c r="X218" s="539">
        <v>26305.365450000001</v>
      </c>
      <c r="Y218" s="539">
        <v>14164.42755</v>
      </c>
      <c r="Z218" s="539"/>
      <c r="AA218" s="539"/>
      <c r="AB218" s="539"/>
      <c r="AC218" s="539"/>
      <c r="AD218" s="539"/>
      <c r="AE218" s="539"/>
      <c r="AF218" s="539"/>
      <c r="AG218" s="539"/>
      <c r="AH218" s="539"/>
      <c r="AI218" s="539"/>
      <c r="AJ218" s="539"/>
      <c r="AK218" s="539"/>
      <c r="AL218" s="539"/>
      <c r="AM218" s="539"/>
      <c r="AN218" s="539"/>
      <c r="AO218" s="539"/>
      <c r="AP218" s="539"/>
      <c r="AQ218" s="539"/>
      <c r="AR218" s="539"/>
      <c r="AS218" s="539"/>
      <c r="AT218" s="539">
        <v>4201.643</v>
      </c>
      <c r="AU218" s="539">
        <v>7528.5640000000003</v>
      </c>
      <c r="AV218" s="539"/>
      <c r="AW218" s="539"/>
      <c r="AX218" s="539"/>
      <c r="AY218" s="539"/>
      <c r="AZ218" s="539"/>
      <c r="BA218" s="539"/>
      <c r="BB218" s="539"/>
      <c r="BC218" s="539"/>
      <c r="BD218" s="539"/>
      <c r="BE218" s="540">
        <v>52200</v>
      </c>
      <c r="BF218" s="540">
        <v>52200</v>
      </c>
      <c r="BG218" s="1181">
        <f t="shared" si="65"/>
        <v>52200</v>
      </c>
      <c r="BH218" s="537">
        <v>12000</v>
      </c>
      <c r="BI218" s="1193" t="s">
        <v>12</v>
      </c>
      <c r="BJ218" s="1193" t="s">
        <v>32</v>
      </c>
      <c r="BK218" s="534" t="s">
        <v>2927</v>
      </c>
      <c r="BL218" s="536">
        <v>45237.789583333331</v>
      </c>
      <c r="BM218" s="536">
        <v>45239.634722222225</v>
      </c>
      <c r="BN218" s="534"/>
      <c r="BO218" s="541">
        <v>52338</v>
      </c>
      <c r="BP218" s="476" t="str">
        <f t="shared" si="66"/>
        <v>SUPER HANDYMAX</v>
      </c>
      <c r="BQ218" s="534"/>
      <c r="BR218" s="534"/>
      <c r="BS218" s="534"/>
      <c r="BT218" s="534"/>
      <c r="BU218" s="534"/>
      <c r="BV218" s="534"/>
      <c r="BW218" s="534"/>
      <c r="CA218" s="542"/>
      <c r="ACC218" s="543">
        <v>1</v>
      </c>
      <c r="ACD218" s="543">
        <v>2</v>
      </c>
      <c r="ACE218" s="543"/>
      <c r="ACF218" s="543"/>
      <c r="ACG218" s="543"/>
      <c r="ACH218" s="543"/>
      <c r="ACI218" s="543"/>
      <c r="ACJ218" s="543"/>
      <c r="ACK218" s="543"/>
      <c r="ACL218" s="543"/>
    </row>
    <row r="219" spans="1:782" s="476" customFormat="1" ht="14.4" outlineLevel="1">
      <c r="A219" s="533"/>
      <c r="B219" s="534">
        <v>13</v>
      </c>
      <c r="C219" s="535" t="s">
        <v>3121</v>
      </c>
      <c r="D219" s="534" t="s">
        <v>74</v>
      </c>
      <c r="E219" s="536">
        <v>45232</v>
      </c>
      <c r="F219" s="536">
        <v>45241</v>
      </c>
      <c r="G219" s="537" t="s">
        <v>107</v>
      </c>
      <c r="H219" s="476" t="s">
        <v>3148</v>
      </c>
      <c r="I219" s="476" t="s">
        <v>3149</v>
      </c>
      <c r="J219" s="476" t="s">
        <v>2922</v>
      </c>
      <c r="K219" s="858">
        <v>45241.000694444447</v>
      </c>
      <c r="L219" s="858">
        <v>45240.929166666669</v>
      </c>
      <c r="M219" s="538">
        <v>45251.604861111111</v>
      </c>
      <c r="N219" s="538">
        <v>45252.9</v>
      </c>
      <c r="O219" s="1193" t="s">
        <v>2916</v>
      </c>
      <c r="P219" s="539">
        <v>1056.61977543834</v>
      </c>
      <c r="Q219" s="539"/>
      <c r="R219" s="539"/>
      <c r="S219" s="539"/>
      <c r="T219" s="539">
        <v>1778.8654704917101</v>
      </c>
      <c r="U219" s="539"/>
      <c r="V219" s="539"/>
      <c r="W219" s="539"/>
      <c r="X219" s="539">
        <v>34899.480600000003</v>
      </c>
      <c r="Y219" s="539">
        <v>6854.0214000000005</v>
      </c>
      <c r="Z219" s="539"/>
      <c r="AA219" s="539"/>
      <c r="AB219" s="539"/>
      <c r="AC219" s="539"/>
      <c r="AD219" s="539"/>
      <c r="AE219" s="539"/>
      <c r="AF219" s="539"/>
      <c r="AG219" s="539"/>
      <c r="AH219" s="539"/>
      <c r="AI219" s="539"/>
      <c r="AJ219" s="539"/>
      <c r="AK219" s="539"/>
      <c r="AL219" s="539"/>
      <c r="AM219" s="539"/>
      <c r="AN219" s="539"/>
      <c r="AO219" s="539"/>
      <c r="AP219" s="539"/>
      <c r="AQ219" s="539"/>
      <c r="AR219" s="539">
        <v>10411.012999999999</v>
      </c>
      <c r="AS219" s="539"/>
      <c r="AT219" s="539"/>
      <c r="AU219" s="539"/>
      <c r="AV219" s="539"/>
      <c r="AW219" s="539"/>
      <c r="AX219" s="539"/>
      <c r="AY219" s="539"/>
      <c r="AZ219" s="539"/>
      <c r="BA219" s="539"/>
      <c r="BB219" s="539"/>
      <c r="BC219" s="539"/>
      <c r="BD219" s="539"/>
      <c r="BE219" s="540">
        <v>55000</v>
      </c>
      <c r="BF219" s="540">
        <v>55000</v>
      </c>
      <c r="BG219" s="1181">
        <f t="shared" si="65"/>
        <v>55000.000245930052</v>
      </c>
      <c r="BH219" s="537">
        <v>18000</v>
      </c>
      <c r="BI219" s="1193" t="s">
        <v>20</v>
      </c>
      <c r="BJ219" s="1193" t="s">
        <v>2923</v>
      </c>
      <c r="BK219" s="534" t="s">
        <v>2927</v>
      </c>
      <c r="BL219" s="536">
        <v>45237.17291666667</v>
      </c>
      <c r="BM219" s="536">
        <v>45237.881249999999</v>
      </c>
      <c r="BN219" s="534"/>
      <c r="BO219" s="541">
        <v>57015</v>
      </c>
      <c r="BP219" s="476" t="str">
        <f t="shared" si="66"/>
        <v>SUPER HANDYMAX</v>
      </c>
      <c r="BQ219" s="534"/>
      <c r="BR219" s="534"/>
      <c r="BS219" s="534"/>
      <c r="BT219" s="534"/>
      <c r="BU219" s="534"/>
      <c r="BV219" s="534"/>
      <c r="BW219" s="534"/>
      <c r="BX219" s="476" t="s">
        <v>3150</v>
      </c>
      <c r="CA219" s="542"/>
      <c r="ABS219" s="543"/>
      <c r="ABT219" s="543"/>
      <c r="ABU219" s="543"/>
      <c r="ABV219" s="543">
        <v>1</v>
      </c>
      <c r="ABW219" s="543"/>
      <c r="ABX219" s="543"/>
      <c r="ABY219" s="543">
        <v>2</v>
      </c>
      <c r="ABZ219" s="543">
        <v>2</v>
      </c>
      <c r="ACA219" s="543"/>
      <c r="ACB219" s="543"/>
      <c r="ACC219" s="476">
        <v>3</v>
      </c>
    </row>
    <row r="220" spans="1:782" s="476" customFormat="1" ht="14.4" outlineLevel="1">
      <c r="A220" s="533"/>
      <c r="B220" s="534">
        <v>14</v>
      </c>
      <c r="C220" s="535" t="s">
        <v>3121</v>
      </c>
      <c r="D220" s="534" t="s">
        <v>74</v>
      </c>
      <c r="E220" s="536">
        <v>45251</v>
      </c>
      <c r="F220" s="536">
        <v>45260</v>
      </c>
      <c r="G220" s="537" t="s">
        <v>2914</v>
      </c>
      <c r="H220" s="476" t="s">
        <v>3151</v>
      </c>
      <c r="I220" s="476" t="s">
        <v>2174</v>
      </c>
      <c r="J220" s="476" t="s">
        <v>2926</v>
      </c>
      <c r="K220" s="472">
        <v>45250.25</v>
      </c>
      <c r="L220" s="472">
        <v>45250.166666666664</v>
      </c>
      <c r="M220" s="538">
        <v>45253.895833333336</v>
      </c>
      <c r="N220" s="538">
        <v>45256.659722222219</v>
      </c>
      <c r="O220" s="1193" t="s">
        <v>2916</v>
      </c>
      <c r="P220" s="539"/>
      <c r="Q220" s="539"/>
      <c r="R220" s="539"/>
      <c r="S220" s="539"/>
      <c r="T220" s="539"/>
      <c r="U220" s="539"/>
      <c r="V220" s="539"/>
      <c r="W220" s="539"/>
      <c r="X220" s="486">
        <v>34620.152450000001</v>
      </c>
      <c r="Y220" s="486">
        <v>18641.62055</v>
      </c>
      <c r="Z220" s="486">
        <v>7309.2740000000003</v>
      </c>
      <c r="AA220" s="539"/>
      <c r="AB220" s="539"/>
      <c r="AC220" s="539"/>
      <c r="AD220" s="539"/>
      <c r="AE220" s="539"/>
      <c r="AF220" s="539">
        <v>15000</v>
      </c>
      <c r="AG220" s="539"/>
      <c r="AH220" s="539"/>
      <c r="AI220" s="539"/>
      <c r="AJ220" s="539"/>
      <c r="AK220" s="539"/>
      <c r="AL220" s="539"/>
      <c r="AM220" s="539"/>
      <c r="AN220" s="539"/>
      <c r="AO220" s="539"/>
      <c r="AP220" s="539"/>
      <c r="AQ220" s="539"/>
      <c r="AR220" s="539"/>
      <c r="AS220" s="539"/>
      <c r="AT220" s="539"/>
      <c r="AU220" s="539">
        <v>7562.9530000000004</v>
      </c>
      <c r="AV220" s="539"/>
      <c r="AW220" s="539"/>
      <c r="AX220" s="539"/>
      <c r="AY220" s="539"/>
      <c r="AZ220" s="539"/>
      <c r="BA220" s="539"/>
      <c r="BB220" s="539"/>
      <c r="BC220" s="539"/>
      <c r="BD220" s="539"/>
      <c r="BE220" s="540">
        <v>83134</v>
      </c>
      <c r="BF220" s="540">
        <v>83134</v>
      </c>
      <c r="BG220" s="1181">
        <f t="shared" si="65"/>
        <v>83133.999999999985</v>
      </c>
      <c r="BH220" s="537">
        <v>14000</v>
      </c>
      <c r="BI220" s="1193" t="s">
        <v>4</v>
      </c>
      <c r="BJ220" s="1193" t="s">
        <v>5</v>
      </c>
      <c r="BK220" s="534" t="s">
        <v>2927</v>
      </c>
      <c r="BL220" s="536">
        <v>45246.67083333333</v>
      </c>
      <c r="BM220" s="536">
        <v>45248.544444444444</v>
      </c>
      <c r="BN220" s="534"/>
      <c r="BO220" s="541">
        <v>85180</v>
      </c>
      <c r="BP220" s="476" t="str">
        <f t="shared" si="66"/>
        <v>POST PANAMAX</v>
      </c>
      <c r="BQ220" s="534"/>
      <c r="BR220" s="534"/>
      <c r="BS220" s="534"/>
      <c r="BT220" s="534"/>
      <c r="BU220" s="534"/>
      <c r="BV220" s="534"/>
      <c r="BW220" s="534"/>
      <c r="CA220" s="542"/>
      <c r="ACK220" s="476">
        <v>2</v>
      </c>
      <c r="ACL220" s="543">
        <v>1</v>
      </c>
      <c r="ACM220" s="543"/>
      <c r="ACN220" s="543"/>
      <c r="ACO220" s="543"/>
      <c r="ACP220" s="543"/>
      <c r="ACQ220" s="543"/>
      <c r="ACR220" s="543"/>
      <c r="ACS220" s="543"/>
      <c r="ACT220" s="543"/>
      <c r="ACU220" s="543"/>
    </row>
    <row r="221" spans="1:782" s="476" customFormat="1" ht="14.4" outlineLevel="1">
      <c r="A221" s="533"/>
      <c r="B221" s="534">
        <v>15</v>
      </c>
      <c r="C221" s="535" t="s">
        <v>3121</v>
      </c>
      <c r="D221" s="534" t="s">
        <v>74</v>
      </c>
      <c r="E221" s="536">
        <v>45245</v>
      </c>
      <c r="F221" s="536">
        <v>45254</v>
      </c>
      <c r="G221" s="537" t="s">
        <v>2914</v>
      </c>
      <c r="H221" s="476" t="s">
        <v>3152</v>
      </c>
      <c r="I221" s="476" t="s">
        <v>3153</v>
      </c>
      <c r="J221" s="476" t="s">
        <v>2915</v>
      </c>
      <c r="K221" s="472">
        <v>45251.416666666664</v>
      </c>
      <c r="L221" s="472">
        <v>45251.387499999997</v>
      </c>
      <c r="M221" s="538">
        <v>45253.701388888891</v>
      </c>
      <c r="N221" s="538">
        <v>45258</v>
      </c>
      <c r="O221" s="1193" t="s">
        <v>2916</v>
      </c>
      <c r="P221" s="539"/>
      <c r="Q221" s="539"/>
      <c r="R221" s="539"/>
      <c r="S221" s="539"/>
      <c r="T221" s="539"/>
      <c r="U221" s="539"/>
      <c r="V221" s="539"/>
      <c r="W221" s="539"/>
      <c r="X221" s="539">
        <v>22837.792299999997</v>
      </c>
      <c r="Y221" s="539">
        <v>16950.5357</v>
      </c>
      <c r="Z221" s="539"/>
      <c r="AA221" s="539"/>
      <c r="AB221" s="539"/>
      <c r="AC221" s="539"/>
      <c r="AD221" s="539"/>
      <c r="AE221" s="539"/>
      <c r="AF221" s="539"/>
      <c r="AG221" s="539"/>
      <c r="AH221" s="539"/>
      <c r="AI221" s="539"/>
      <c r="AJ221" s="539"/>
      <c r="AK221" s="539"/>
      <c r="AL221" s="539"/>
      <c r="AM221" s="539"/>
      <c r="AN221" s="539"/>
      <c r="AO221" s="539"/>
      <c r="AP221" s="539"/>
      <c r="AQ221" s="539"/>
      <c r="AR221" s="539">
        <v>10411.671999999999</v>
      </c>
      <c r="AS221" s="539"/>
      <c r="AT221" s="539"/>
      <c r="AU221" s="896"/>
      <c r="AV221" s="539"/>
      <c r="AW221" s="539"/>
      <c r="AX221" s="539"/>
      <c r="AY221" s="539"/>
      <c r="AZ221" s="539"/>
      <c r="BA221" s="539"/>
      <c r="BB221" s="539"/>
      <c r="BC221" s="539"/>
      <c r="BD221" s="539"/>
      <c r="BE221" s="540">
        <v>50200</v>
      </c>
      <c r="BF221" s="540">
        <v>50200</v>
      </c>
      <c r="BG221" s="1181">
        <f t="shared" si="65"/>
        <v>50199.999999999993</v>
      </c>
      <c r="BH221" s="537">
        <v>8000</v>
      </c>
      <c r="BI221" s="1193" t="s">
        <v>12</v>
      </c>
      <c r="BJ221" s="1193" t="s">
        <v>32</v>
      </c>
      <c r="BK221" s="534" t="s">
        <v>2937</v>
      </c>
      <c r="BL221" s="536">
        <v>45245.373611111114</v>
      </c>
      <c r="BM221" s="536">
        <v>45247.393750000003</v>
      </c>
      <c r="BN221" s="534"/>
      <c r="BO221" s="541">
        <v>52301</v>
      </c>
      <c r="BP221" s="476" t="str">
        <f t="shared" si="66"/>
        <v>SUPER HANDYMAX</v>
      </c>
      <c r="BQ221" s="534"/>
      <c r="BR221" s="534"/>
      <c r="BS221" s="534"/>
      <c r="BT221" s="534"/>
      <c r="BU221" s="534"/>
      <c r="BV221" s="534"/>
      <c r="BW221" s="534"/>
      <c r="CA221" s="542"/>
      <c r="ACF221" s="543"/>
      <c r="ACG221" s="543"/>
      <c r="ACH221" s="543"/>
      <c r="ACI221" s="543"/>
      <c r="ACJ221" s="543">
        <v>1</v>
      </c>
      <c r="ACK221" s="543">
        <v>2</v>
      </c>
      <c r="ACL221" s="543">
        <v>3</v>
      </c>
      <c r="ACM221" s="543"/>
      <c r="ACN221" s="543"/>
      <c r="ACO221" s="543"/>
    </row>
    <row r="222" spans="1:782" s="476" customFormat="1" ht="14.4" outlineLevel="1">
      <c r="A222" s="533"/>
      <c r="B222" s="534">
        <v>16</v>
      </c>
      <c r="C222" s="535" t="s">
        <v>3121</v>
      </c>
      <c r="D222" s="534" t="s">
        <v>2983</v>
      </c>
      <c r="E222" s="536">
        <v>45248</v>
      </c>
      <c r="F222" s="536">
        <v>45257</v>
      </c>
      <c r="G222" s="537" t="s">
        <v>107</v>
      </c>
      <c r="H222" s="476" t="s">
        <v>3154</v>
      </c>
      <c r="I222" s="476" t="s">
        <v>3097</v>
      </c>
      <c r="J222" s="476" t="s">
        <v>2922</v>
      </c>
      <c r="K222" s="472">
        <v>45248.541666666664</v>
      </c>
      <c r="L222" s="472">
        <v>45248.55</v>
      </c>
      <c r="M222" s="538">
        <v>45255.946527777778</v>
      </c>
      <c r="N222" s="679">
        <v>45258.462500000001</v>
      </c>
      <c r="O222" s="1193" t="s">
        <v>2916</v>
      </c>
      <c r="P222" s="539"/>
      <c r="Q222" s="539">
        <v>5035</v>
      </c>
      <c r="R222" s="539"/>
      <c r="S222" s="539"/>
      <c r="T222" s="539">
        <v>24107</v>
      </c>
      <c r="U222" s="539"/>
      <c r="V222" s="539"/>
      <c r="W222" s="539"/>
      <c r="X222" s="539"/>
      <c r="Y222" s="539"/>
      <c r="Z222" s="539"/>
      <c r="AA222" s="539"/>
      <c r="AB222" s="539"/>
      <c r="AC222" s="539">
        <v>5009.2910000000002</v>
      </c>
      <c r="AD222" s="539"/>
      <c r="AE222" s="539"/>
      <c r="AF222" s="539"/>
      <c r="AG222" s="539"/>
      <c r="AH222" s="539"/>
      <c r="AI222" s="539"/>
      <c r="AJ222" s="539"/>
      <c r="AK222" s="539"/>
      <c r="AL222" s="539"/>
      <c r="AM222" s="539"/>
      <c r="AN222" s="539"/>
      <c r="AO222" s="539"/>
      <c r="AP222" s="539"/>
      <c r="AQ222" s="539"/>
      <c r="AR222" s="539">
        <v>15628.635999999999</v>
      </c>
      <c r="AS222" s="539"/>
      <c r="AT222" s="539"/>
      <c r="AU222" s="539">
        <v>7502.0420000000004</v>
      </c>
      <c r="AV222" s="539">
        <v>7490.0050000000001</v>
      </c>
      <c r="AW222" s="539"/>
      <c r="AX222" s="539"/>
      <c r="AY222" s="539"/>
      <c r="AZ222" s="539"/>
      <c r="BA222" s="539">
        <v>7507.4719999999998</v>
      </c>
      <c r="BB222" s="539"/>
      <c r="BC222" s="539"/>
      <c r="BD222" s="539"/>
      <c r="BE222" s="540">
        <v>72279</v>
      </c>
      <c r="BF222" s="540">
        <v>72279</v>
      </c>
      <c r="BG222" s="1181">
        <f t="shared" si="65"/>
        <v>72279.445999999996</v>
      </c>
      <c r="BH222" s="537">
        <v>15000</v>
      </c>
      <c r="BI222" s="1193" t="s">
        <v>20</v>
      </c>
      <c r="BJ222" s="1193" t="s">
        <v>2923</v>
      </c>
      <c r="BK222" s="534" t="s">
        <v>2927</v>
      </c>
      <c r="BL222" s="536">
        <v>45242.894444444442</v>
      </c>
      <c r="BM222" s="536">
        <v>45242.895138888889</v>
      </c>
      <c r="BN222" s="534"/>
      <c r="BO222" s="541">
        <v>74400.800000000003</v>
      </c>
      <c r="BP222" s="476" t="str">
        <f t="shared" si="66"/>
        <v>PANAMAX</v>
      </c>
      <c r="BQ222" s="534"/>
      <c r="BR222" s="534"/>
      <c r="BS222" s="534"/>
      <c r="BT222" s="534"/>
      <c r="BU222" s="534"/>
      <c r="BV222" s="534"/>
      <c r="BW222" s="534"/>
      <c r="BX222" s="476" t="s">
        <v>3155</v>
      </c>
      <c r="CA222" s="542"/>
      <c r="ACH222" s="476">
        <v>2</v>
      </c>
      <c r="ACI222" s="543" t="s">
        <v>2939</v>
      </c>
      <c r="ACJ222" s="543"/>
      <c r="ACK222" s="543"/>
      <c r="ACL222" s="543"/>
      <c r="ACM222" s="543"/>
      <c r="ACN222" s="543"/>
      <c r="ACO222" s="543"/>
      <c r="ACP222" s="543"/>
      <c r="ACQ222" s="543"/>
      <c r="ACR222" s="543"/>
    </row>
    <row r="223" spans="1:782" s="476" customFormat="1" ht="14.4" outlineLevel="1">
      <c r="A223" s="533"/>
      <c r="B223" s="534">
        <v>17</v>
      </c>
      <c r="C223" s="535" t="s">
        <v>3121</v>
      </c>
      <c r="D223" s="534" t="s">
        <v>74</v>
      </c>
      <c r="E223" s="536">
        <v>45253</v>
      </c>
      <c r="F223" s="536">
        <v>45262</v>
      </c>
      <c r="G223" s="537" t="s">
        <v>2914</v>
      </c>
      <c r="H223" s="476" t="s">
        <v>3156</v>
      </c>
      <c r="I223" s="476" t="s">
        <v>3157</v>
      </c>
      <c r="J223" s="476" t="s">
        <v>2963</v>
      </c>
      <c r="K223" s="472">
        <v>45252.083333333336</v>
      </c>
      <c r="L223" s="472">
        <v>45252.01666666667</v>
      </c>
      <c r="M223" s="538">
        <v>45257.677083333336</v>
      </c>
      <c r="N223" s="538">
        <v>45260.03125</v>
      </c>
      <c r="O223" s="1193" t="s">
        <v>2916</v>
      </c>
      <c r="P223" s="539"/>
      <c r="Q223" s="539"/>
      <c r="R223" s="539"/>
      <c r="S223" s="539"/>
      <c r="T223" s="539">
        <v>7531.1040000000003</v>
      </c>
      <c r="U223" s="539"/>
      <c r="V223" s="539"/>
      <c r="W223" s="539"/>
      <c r="X223" s="539">
        <v>8080.8184499999998</v>
      </c>
      <c r="Y223" s="539">
        <v>36549.409549999997</v>
      </c>
      <c r="Z223" s="539">
        <v>7319.5739999999996</v>
      </c>
      <c r="AA223" s="539"/>
      <c r="AB223" s="539"/>
      <c r="AC223" s="539"/>
      <c r="AD223" s="539"/>
      <c r="AE223" s="539"/>
      <c r="AF223" s="539"/>
      <c r="AG223" s="539"/>
      <c r="AH223" s="539"/>
      <c r="AI223" s="539"/>
      <c r="AJ223" s="539"/>
      <c r="AK223" s="539"/>
      <c r="AL223" s="539"/>
      <c r="AM223" s="539"/>
      <c r="AN223" s="539"/>
      <c r="AO223" s="539"/>
      <c r="AP223" s="539"/>
      <c r="AQ223" s="539"/>
      <c r="AR223" s="539"/>
      <c r="AS223" s="539"/>
      <c r="AT223" s="539"/>
      <c r="AU223" s="539">
        <v>7519.0940000000001</v>
      </c>
      <c r="AV223" s="539"/>
      <c r="AW223" s="539"/>
      <c r="AX223" s="539"/>
      <c r="AY223" s="539"/>
      <c r="AZ223" s="539"/>
      <c r="BA223" s="539"/>
      <c r="BB223" s="539"/>
      <c r="BC223" s="539"/>
      <c r="BD223" s="539"/>
      <c r="BE223" s="540">
        <v>67000</v>
      </c>
      <c r="BF223" s="540">
        <v>67000</v>
      </c>
      <c r="BG223" s="1181">
        <f>SUM(P223:BA223)</f>
        <v>67000</v>
      </c>
      <c r="BH223" s="537">
        <v>25000</v>
      </c>
      <c r="BI223" s="1193" t="s">
        <v>4</v>
      </c>
      <c r="BJ223" s="1193" t="s">
        <v>5</v>
      </c>
      <c r="BK223" s="534" t="s">
        <v>2918</v>
      </c>
      <c r="BL223" s="536">
        <v>45250.381249999999</v>
      </c>
      <c r="BM223" s="536">
        <v>45250.381249999999</v>
      </c>
      <c r="BN223" s="534"/>
      <c r="BO223" s="541">
        <v>76716</v>
      </c>
      <c r="BP223" s="476" t="str">
        <f>IF(BO223=0,"0",IF(BO223&lt;=50000,"HANDYMAX",IF(BO223&lt;=58000,"SUPER HANDYMAX",IF(BO223&lt;=80000,"PANAMAX",IF(BO223&gt;=80001,"POST PANAMAX")))))</f>
        <v>PANAMAX</v>
      </c>
      <c r="BQ223" s="534"/>
      <c r="BR223" s="534"/>
      <c r="BS223" s="534"/>
      <c r="BT223" s="534"/>
      <c r="BU223" s="534"/>
      <c r="BV223" s="534"/>
      <c r="BW223" s="534"/>
      <c r="BX223" s="476" t="s">
        <v>3158</v>
      </c>
      <c r="CA223" s="542"/>
      <c r="ACM223" s="476">
        <v>3</v>
      </c>
      <c r="ACN223" s="543"/>
      <c r="ACO223" s="543">
        <v>1</v>
      </c>
      <c r="ACP223" s="543">
        <v>2</v>
      </c>
      <c r="ACQ223" s="543"/>
      <c r="ACR223" s="543"/>
      <c r="ACS223" s="543"/>
      <c r="ACT223" s="543"/>
      <c r="ACU223" s="543"/>
      <c r="ACV223" s="543"/>
      <c r="ACW223" s="543"/>
    </row>
    <row r="224" spans="1:782" s="476" customFormat="1" ht="14.4" outlineLevel="1">
      <c r="A224" s="533"/>
      <c r="B224" s="534">
        <v>18</v>
      </c>
      <c r="C224" s="535" t="s">
        <v>3121</v>
      </c>
      <c r="D224" s="534" t="s">
        <v>74</v>
      </c>
      <c r="E224" s="536">
        <v>45258</v>
      </c>
      <c r="F224" s="536">
        <v>45267</v>
      </c>
      <c r="G224" s="537" t="s">
        <v>2914</v>
      </c>
      <c r="H224" s="476" t="s">
        <v>3159</v>
      </c>
      <c r="I224" s="476" t="s">
        <v>3160</v>
      </c>
      <c r="J224" s="476" t="s">
        <v>2933</v>
      </c>
      <c r="K224" s="472">
        <v>45255.166666666664</v>
      </c>
      <c r="L224" s="472">
        <v>45255.055555555555</v>
      </c>
      <c r="M224" s="538">
        <v>45258.381944444445</v>
      </c>
      <c r="N224" s="538">
        <v>45260.590277777781</v>
      </c>
      <c r="O224" s="1193" t="s">
        <v>2916</v>
      </c>
      <c r="P224" s="539">
        <v>15044.875</v>
      </c>
      <c r="Q224" s="539"/>
      <c r="R224" s="539"/>
      <c r="S224" s="539"/>
      <c r="T224" s="539"/>
      <c r="U224" s="539">
        <v>5616.6022499999999</v>
      </c>
      <c r="V224" s="539">
        <v>1872.20075</v>
      </c>
      <c r="W224" s="539"/>
      <c r="X224" s="539">
        <v>20833.3449</v>
      </c>
      <c r="Y224" s="539">
        <v>25462.977100000004</v>
      </c>
      <c r="Z224" s="539"/>
      <c r="AA224" s="539"/>
      <c r="AB224" s="539"/>
      <c r="AC224" s="539"/>
      <c r="AD224" s="539"/>
      <c r="AE224" s="539"/>
      <c r="AF224" s="539"/>
      <c r="AG224" s="539"/>
      <c r="AH224" s="539"/>
      <c r="AI224" s="539"/>
      <c r="AJ224" s="539"/>
      <c r="AK224" s="539"/>
      <c r="AL224" s="539"/>
      <c r="AM224" s="539"/>
      <c r="AN224" s="539"/>
      <c r="AO224" s="539"/>
      <c r="AP224" s="539"/>
      <c r="AQ224" s="539"/>
      <c r="AR224" s="539"/>
      <c r="AS224" s="539"/>
      <c r="AT224" s="539"/>
      <c r="AU224" s="539"/>
      <c r="AV224" s="539"/>
      <c r="AW224" s="539"/>
      <c r="AX224" s="539"/>
      <c r="AY224" s="539"/>
      <c r="AZ224" s="539"/>
      <c r="BA224" s="539"/>
      <c r="BB224" s="539"/>
      <c r="BC224" s="539"/>
      <c r="BD224" s="539"/>
      <c r="BE224" s="540">
        <v>68830</v>
      </c>
      <c r="BF224" s="540">
        <v>68830</v>
      </c>
      <c r="BG224" s="1181">
        <f>SUM(P224:BA224)</f>
        <v>68830</v>
      </c>
      <c r="BH224" s="537">
        <v>12900</v>
      </c>
      <c r="BI224" s="1193" t="s">
        <v>12</v>
      </c>
      <c r="BJ224" s="1193" t="s">
        <v>32</v>
      </c>
      <c r="BK224" s="534" t="s">
        <v>2924</v>
      </c>
      <c r="BL224" s="536">
        <v>45244.52847222222</v>
      </c>
      <c r="BM224" s="536">
        <v>45250.686111111114</v>
      </c>
      <c r="BN224" s="534"/>
      <c r="BO224" s="541">
        <v>86356</v>
      </c>
      <c r="BP224" s="476" t="str">
        <f>IF(BO224=0,"0",IF(BO224&lt;=50000,"HANDYMAX",IF(BO224&lt;=58000,"SUPER HANDYMAX",IF(BO224&lt;=80000,"PANAMAX",IF(BO224&gt;=80001,"POST PANAMAX")))))</f>
        <v>POST PANAMAX</v>
      </c>
      <c r="BQ224" s="534"/>
      <c r="BR224" s="534"/>
      <c r="BS224" s="534"/>
      <c r="BT224" s="534"/>
      <c r="BU224" s="534"/>
      <c r="BV224" s="534"/>
      <c r="BW224" s="534"/>
      <c r="CA224" s="542"/>
      <c r="ACO224" s="476">
        <v>2</v>
      </c>
      <c r="ACP224" s="476">
        <v>3</v>
      </c>
      <c r="ACS224" s="543">
        <v>1</v>
      </c>
      <c r="ACT224" s="543"/>
      <c r="ACU224" s="543"/>
      <c r="ACV224" s="543"/>
      <c r="ACW224" s="543"/>
      <c r="ACX224" s="543"/>
      <c r="ACY224" s="543"/>
      <c r="ACZ224" s="543"/>
      <c r="ADA224" s="543"/>
      <c r="ADB224" s="543"/>
    </row>
    <row r="225" spans="1:799" ht="14.4" outlineLevel="1">
      <c r="O225" s="1199" t="s">
        <v>96</v>
      </c>
      <c r="P225" s="458">
        <f t="shared" ref="P225:AY225" si="67">SUM(P207:P224)</f>
        <v>38452.181775438337</v>
      </c>
      <c r="Q225" s="458">
        <f t="shared" si="67"/>
        <v>5035</v>
      </c>
      <c r="R225" s="458">
        <f t="shared" si="67"/>
        <v>0</v>
      </c>
      <c r="S225" s="458">
        <f t="shared" si="67"/>
        <v>3740</v>
      </c>
      <c r="T225" s="458">
        <f t="shared" si="67"/>
        <v>52397.685470491713</v>
      </c>
      <c r="U225" s="458">
        <f t="shared" si="67"/>
        <v>111552.78135</v>
      </c>
      <c r="V225" s="458">
        <f t="shared" si="67"/>
        <v>27145.812649999996</v>
      </c>
      <c r="W225" s="458">
        <f t="shared" si="67"/>
        <v>0</v>
      </c>
      <c r="X225" s="458">
        <f t="shared" si="67"/>
        <v>383410.36660000007</v>
      </c>
      <c r="Y225" s="458">
        <f t="shared" si="67"/>
        <v>300812.22839999996</v>
      </c>
      <c r="Z225" s="458">
        <f t="shared" si="67"/>
        <v>49773.483999999997</v>
      </c>
      <c r="AA225" s="458">
        <f t="shared" si="67"/>
        <v>0</v>
      </c>
      <c r="AB225" s="458">
        <f t="shared" si="67"/>
        <v>0</v>
      </c>
      <c r="AC225" s="458">
        <f t="shared" si="67"/>
        <v>10207.333999999999</v>
      </c>
      <c r="AD225" s="458">
        <f t="shared" si="67"/>
        <v>0</v>
      </c>
      <c r="AE225" s="458">
        <f t="shared" si="67"/>
        <v>0</v>
      </c>
      <c r="AF225" s="458">
        <f t="shared" si="67"/>
        <v>15000</v>
      </c>
      <c r="AG225" s="458">
        <f t="shared" si="67"/>
        <v>7500</v>
      </c>
      <c r="AH225" s="458">
        <f t="shared" si="67"/>
        <v>0</v>
      </c>
      <c r="AI225" s="458">
        <f t="shared" si="67"/>
        <v>0</v>
      </c>
      <c r="AJ225" s="458">
        <f t="shared" si="67"/>
        <v>0</v>
      </c>
      <c r="AK225" s="458">
        <f t="shared" si="67"/>
        <v>0</v>
      </c>
      <c r="AL225" s="458">
        <f t="shared" si="67"/>
        <v>0</v>
      </c>
      <c r="AM225" s="458">
        <f t="shared" si="67"/>
        <v>0</v>
      </c>
      <c r="AN225" s="458">
        <f t="shared" si="67"/>
        <v>0</v>
      </c>
      <c r="AO225" s="458">
        <f t="shared" si="67"/>
        <v>0</v>
      </c>
      <c r="AP225" s="458">
        <f t="shared" si="67"/>
        <v>0</v>
      </c>
      <c r="AQ225" s="458">
        <f t="shared" si="67"/>
        <v>0</v>
      </c>
      <c r="AR225" s="458">
        <f t="shared" si="67"/>
        <v>47067.424999999996</v>
      </c>
      <c r="AS225" s="458">
        <f t="shared" si="67"/>
        <v>0</v>
      </c>
      <c r="AT225" s="458">
        <f t="shared" si="67"/>
        <v>4201.643</v>
      </c>
      <c r="AU225" s="458">
        <f t="shared" si="67"/>
        <v>60240.46</v>
      </c>
      <c r="AV225" s="458">
        <f t="shared" si="67"/>
        <v>15029.069</v>
      </c>
      <c r="AW225" s="458">
        <f t="shared" si="67"/>
        <v>0</v>
      </c>
      <c r="AX225" s="458">
        <f t="shared" si="67"/>
        <v>0</v>
      </c>
      <c r="AY225" s="458">
        <f t="shared" si="67"/>
        <v>7504.5230000000001</v>
      </c>
      <c r="AZ225" s="458"/>
      <c r="BA225" s="458">
        <f>SUM(BA207:BA224)</f>
        <v>15012.192999999999</v>
      </c>
      <c r="BB225" s="458"/>
      <c r="BC225" s="458"/>
      <c r="BD225" s="458"/>
      <c r="BE225" s="458">
        <f>SUM(BE207:BE224)</f>
        <v>1154353</v>
      </c>
      <c r="BF225" s="458">
        <f>SUM(BF207:BF224)</f>
        <v>1154353</v>
      </c>
      <c r="BG225" s="1179">
        <f>SUM(BG207:BG224)</f>
        <v>1154082.1872459301</v>
      </c>
    </row>
    <row r="226" spans="1:799" ht="14.4" outlineLevel="1">
      <c r="P226" s="1384">
        <f>SUM(P225:T225)</f>
        <v>99624.867245930043</v>
      </c>
      <c r="Q226" s="1385"/>
      <c r="R226" s="1385"/>
      <c r="S226" s="1385"/>
      <c r="T226" s="1386"/>
      <c r="U226" s="1384">
        <f>SUM(U225:W225)</f>
        <v>138698.59400000001</v>
      </c>
      <c r="V226" s="1385"/>
      <c r="W226" s="1386"/>
      <c r="X226" s="1384">
        <f>SUM(X225:Y225)</f>
        <v>684222.59499999997</v>
      </c>
      <c r="Y226" s="1386"/>
      <c r="Z226" s="459">
        <f>Z225</f>
        <v>49773.483999999997</v>
      </c>
      <c r="AA226" s="459">
        <f>AA225</f>
        <v>0</v>
      </c>
      <c r="AB226" s="1384">
        <f>SUM(AB225:BA225)</f>
        <v>181762.64699999997</v>
      </c>
      <c r="AC226" s="1385"/>
      <c r="AD226" s="1385"/>
      <c r="AE226" s="1385"/>
      <c r="AF226" s="1385"/>
      <c r="AG226" s="1385"/>
      <c r="AH226" s="1385"/>
      <c r="AI226" s="1385"/>
      <c r="AJ226" s="1385"/>
      <c r="AK226" s="1385"/>
      <c r="AL226" s="1385"/>
      <c r="AM226" s="1385"/>
      <c r="AN226" s="1385"/>
      <c r="AO226" s="1385"/>
      <c r="AP226" s="1385"/>
      <c r="AQ226" s="1385"/>
      <c r="AR226" s="1385"/>
      <c r="AS226" s="1385"/>
      <c r="AT226" s="1385"/>
      <c r="AU226" s="1385"/>
      <c r="AV226" s="1385"/>
      <c r="AW226" s="1385"/>
      <c r="AX226" s="1385"/>
      <c r="AY226" s="1385"/>
      <c r="AZ226" s="1385"/>
      <c r="BA226" s="1386"/>
      <c r="BB226" s="394"/>
      <c r="BC226" s="394"/>
      <c r="BD226" s="394"/>
      <c r="BE226" s="460"/>
      <c r="BF226" s="460"/>
      <c r="BG226" s="1179"/>
    </row>
    <row r="227" spans="1:799" ht="15" customHeight="1" outlineLevel="1"/>
    <row r="228" spans="1:799" ht="15" customHeight="1">
      <c r="B228" s="99" t="s">
        <v>3161</v>
      </c>
    </row>
    <row r="229" spans="1:799" s="476" customFormat="1" ht="14.4">
      <c r="A229" s="533"/>
      <c r="B229" s="534">
        <v>1</v>
      </c>
      <c r="C229" s="535" t="s">
        <v>3121</v>
      </c>
      <c r="D229" s="534" t="s">
        <v>74</v>
      </c>
      <c r="E229" s="536">
        <v>45248</v>
      </c>
      <c r="F229" s="536">
        <v>45257</v>
      </c>
      <c r="G229" s="537" t="s">
        <v>107</v>
      </c>
      <c r="H229" s="476" t="s">
        <v>3162</v>
      </c>
      <c r="I229" s="476" t="s">
        <v>3163</v>
      </c>
      <c r="J229" s="476" t="s">
        <v>2922</v>
      </c>
      <c r="K229" s="472">
        <v>45256.770833333336</v>
      </c>
      <c r="L229" s="472">
        <v>45256.779166666667</v>
      </c>
      <c r="M229" s="538">
        <v>45261.050694444442</v>
      </c>
      <c r="N229" s="538">
        <v>45262.98333333333</v>
      </c>
      <c r="O229" s="1193" t="s">
        <v>2916</v>
      </c>
      <c r="P229" s="539"/>
      <c r="Q229" s="539"/>
      <c r="R229" s="539"/>
      <c r="S229" s="539"/>
      <c r="T229" s="539">
        <v>2195.8949999999968</v>
      </c>
      <c r="U229" s="539"/>
      <c r="V229" s="539"/>
      <c r="W229" s="539"/>
      <c r="X229" s="539">
        <v>37359.0455</v>
      </c>
      <c r="Y229" s="539">
        <v>8793.6165000000001</v>
      </c>
      <c r="Z229" s="539"/>
      <c r="AA229" s="539"/>
      <c r="AB229" s="539"/>
      <c r="AC229" s="539"/>
      <c r="AD229" s="539"/>
      <c r="AE229" s="539"/>
      <c r="AF229" s="539">
        <v>7500</v>
      </c>
      <c r="AG229" s="539"/>
      <c r="AH229" s="539"/>
      <c r="AI229" s="539"/>
      <c r="AJ229" s="539"/>
      <c r="AK229" s="539"/>
      <c r="AL229" s="539"/>
      <c r="AM229" s="539"/>
      <c r="AN229" s="539"/>
      <c r="AO229" s="539"/>
      <c r="AP229" s="539"/>
      <c r="AQ229" s="539"/>
      <c r="AR229" s="539"/>
      <c r="AS229" s="539"/>
      <c r="AT229" s="539"/>
      <c r="AU229" s="539"/>
      <c r="AV229" s="539"/>
      <c r="AW229" s="539">
        <v>8501.4429999999993</v>
      </c>
      <c r="AX229" s="539"/>
      <c r="AY229" s="539"/>
      <c r="AZ229" s="539"/>
      <c r="BA229" s="539"/>
      <c r="BB229" s="539"/>
      <c r="BC229" s="539"/>
      <c r="BD229" s="539"/>
      <c r="BE229" s="540">
        <v>64350</v>
      </c>
      <c r="BF229" s="540">
        <v>64350</v>
      </c>
      <c r="BG229" s="1181">
        <f>SUM(P229:BC229)</f>
        <v>64350</v>
      </c>
      <c r="BH229" s="537">
        <v>15000</v>
      </c>
      <c r="BI229" s="1193" t="s">
        <v>20</v>
      </c>
      <c r="BJ229" s="1193" t="s">
        <v>2923</v>
      </c>
      <c r="BK229" s="534" t="s">
        <v>2924</v>
      </c>
      <c r="BL229" s="536">
        <v>45250.468055555553</v>
      </c>
      <c r="BM229" s="536">
        <v>45253.736111111109</v>
      </c>
      <c r="BN229" s="534"/>
      <c r="BO229" s="541">
        <v>74350.2</v>
      </c>
      <c r="BP229" s="476" t="str">
        <f t="shared" ref="BP229" si="68">IF(BO229=0,"0",IF(BO229&lt;=50000,"HANDYMAX",IF(BO229&lt;=58000,"SUPER HANDYMAX",IF(BO229&lt;=80000,"PANAMAX",IF(BO229&gt;=80001,"POST PANAMAX")))))</f>
        <v>PANAMAX</v>
      </c>
      <c r="BQ229" s="534"/>
      <c r="BR229" s="534"/>
      <c r="BS229" s="534"/>
      <c r="BT229" s="534"/>
      <c r="BU229" s="534"/>
      <c r="BV229" s="534"/>
      <c r="BW229" s="534"/>
      <c r="CA229" s="542"/>
      <c r="ACI229" s="543"/>
      <c r="ACJ229" s="543"/>
      <c r="ACK229" s="543"/>
      <c r="ACL229" s="543"/>
      <c r="ACM229" s="543"/>
      <c r="ACN229" s="543"/>
      <c r="ACO229" s="543">
        <v>1</v>
      </c>
      <c r="ACP229" s="543">
        <v>1</v>
      </c>
      <c r="ACQ229" s="543">
        <v>3</v>
      </c>
      <c r="ACR229" s="543">
        <v>2</v>
      </c>
    </row>
    <row r="230" spans="1:799" s="476" customFormat="1" ht="14.4">
      <c r="A230" s="533"/>
      <c r="B230" s="534">
        <v>2</v>
      </c>
      <c r="C230" s="535" t="s">
        <v>3121</v>
      </c>
      <c r="D230" s="534" t="s">
        <v>74</v>
      </c>
      <c r="E230" s="536">
        <v>45256</v>
      </c>
      <c r="F230" s="536">
        <v>45265</v>
      </c>
      <c r="G230" s="537" t="s">
        <v>2914</v>
      </c>
      <c r="H230" s="476" t="s">
        <v>3164</v>
      </c>
      <c r="I230" s="476" t="s">
        <v>3165</v>
      </c>
      <c r="J230" s="476" t="s">
        <v>2963</v>
      </c>
      <c r="K230" s="472">
        <v>45259.458333333336</v>
      </c>
      <c r="L230" s="472">
        <v>45259.461805555555</v>
      </c>
      <c r="M230" s="538">
        <v>45261.333333333336</v>
      </c>
      <c r="N230" s="538">
        <v>45265.166666666664</v>
      </c>
      <c r="O230" s="1193" t="s">
        <v>2916</v>
      </c>
      <c r="P230" s="539"/>
      <c r="Q230" s="539"/>
      <c r="R230" s="539"/>
      <c r="S230" s="539"/>
      <c r="T230" s="539"/>
      <c r="U230" s="539"/>
      <c r="V230" s="539"/>
      <c r="W230" s="539"/>
      <c r="X230" s="539">
        <v>5709.5818000000027</v>
      </c>
      <c r="Y230" s="539">
        <v>53090.101200000005</v>
      </c>
      <c r="Z230" s="539"/>
      <c r="AA230" s="539"/>
      <c r="AB230" s="539"/>
      <c r="AC230" s="539"/>
      <c r="AD230" s="539"/>
      <c r="AE230" s="539"/>
      <c r="AF230" s="539"/>
      <c r="AG230" s="539"/>
      <c r="AH230" s="539"/>
      <c r="AI230" s="539"/>
      <c r="AJ230" s="539"/>
      <c r="AK230" s="539"/>
      <c r="AL230" s="539"/>
      <c r="AM230" s="539"/>
      <c r="AN230" s="539"/>
      <c r="AO230" s="539"/>
      <c r="AP230" s="539"/>
      <c r="AQ230" s="539"/>
      <c r="AR230" s="539"/>
      <c r="AS230" s="539"/>
      <c r="AT230" s="539"/>
      <c r="AU230" s="539"/>
      <c r="AV230" s="539"/>
      <c r="AW230" s="539">
        <v>8200.3169999999991</v>
      </c>
      <c r="AX230" s="539"/>
      <c r="AY230" s="539"/>
      <c r="AZ230" s="539"/>
      <c r="BA230" s="539"/>
      <c r="BB230" s="539"/>
      <c r="BC230" s="539"/>
      <c r="BD230" s="539"/>
      <c r="BE230" s="540">
        <v>67000</v>
      </c>
      <c r="BF230" s="540">
        <v>67000</v>
      </c>
      <c r="BG230" s="1181">
        <f t="shared" ref="BG230:BG234" si="69">SUM(P230:BC230)</f>
        <v>67000</v>
      </c>
      <c r="BH230" s="537">
        <v>25000</v>
      </c>
      <c r="BI230" s="1193" t="s">
        <v>4</v>
      </c>
      <c r="BJ230" s="1193" t="s">
        <v>5</v>
      </c>
      <c r="BK230" s="534" t="s">
        <v>2920</v>
      </c>
      <c r="BL230" s="536">
        <v>45250.826388888891</v>
      </c>
      <c r="BM230" s="536">
        <v>45253.544444444444</v>
      </c>
      <c r="BN230" s="534"/>
      <c r="BO230" s="541">
        <v>76243</v>
      </c>
      <c r="BP230" s="476" t="str">
        <f>IF(BO230=0,"0",IF(BO230&lt;=50000,"HANDYMAX",IF(BO230&lt;=58000,"SUPER HANDYMAX",IF(BO230&lt;=80000,"PANAMAX",IF(BO230&gt;=80001,"POST PANAMAX")))))</f>
        <v>PANAMAX</v>
      </c>
      <c r="BQ230" s="534"/>
      <c r="BR230" s="534"/>
      <c r="BS230" s="534"/>
      <c r="BT230" s="534"/>
      <c r="BU230" s="534"/>
      <c r="BV230" s="534"/>
      <c r="BW230" s="534"/>
      <c r="BX230" s="476" t="s">
        <v>3166</v>
      </c>
      <c r="CA230" s="542"/>
      <c r="ACP230" s="476">
        <v>1</v>
      </c>
      <c r="ACQ230" s="543">
        <v>2</v>
      </c>
      <c r="ACR230" s="543"/>
      <c r="ACS230" s="543"/>
      <c r="ACT230" s="543">
        <v>3</v>
      </c>
      <c r="ACU230" s="543"/>
      <c r="ACV230" s="543"/>
      <c r="ACW230" s="543"/>
      <c r="ACX230" s="543"/>
      <c r="ACY230" s="543"/>
      <c r="ACZ230" s="543"/>
    </row>
    <row r="231" spans="1:799" s="271" customFormat="1" ht="15" customHeight="1">
      <c r="A231" s="487"/>
      <c r="B231" s="488">
        <v>3</v>
      </c>
      <c r="C231" s="488" t="s">
        <v>3167</v>
      </c>
      <c r="D231" s="488" t="s">
        <v>74</v>
      </c>
      <c r="E231" s="490">
        <v>45260</v>
      </c>
      <c r="F231" s="490">
        <v>45265</v>
      </c>
      <c r="G231" s="491" t="s">
        <v>2914</v>
      </c>
      <c r="H231" s="271" t="s">
        <v>3168</v>
      </c>
      <c r="I231" s="271" t="s">
        <v>3169</v>
      </c>
      <c r="J231" s="271" t="s">
        <v>2948</v>
      </c>
      <c r="K231" s="492">
        <v>45259.041666666664</v>
      </c>
      <c r="L231" s="492">
        <v>45259.041666666664</v>
      </c>
      <c r="M231" s="493">
        <v>45263.895833333336</v>
      </c>
      <c r="N231" s="612">
        <v>45266.128472222219</v>
      </c>
      <c r="O231" s="1192" t="s">
        <v>2916</v>
      </c>
      <c r="P231" s="246">
        <v>15047.679</v>
      </c>
      <c r="Q231" s="246"/>
      <c r="R231" s="246"/>
      <c r="S231" s="246"/>
      <c r="T231" s="246"/>
      <c r="U231" s="246"/>
      <c r="V231" s="246"/>
      <c r="W231" s="246"/>
      <c r="X231" s="246">
        <v>41041.986600000004</v>
      </c>
      <c r="Y231" s="246">
        <v>10659.7834</v>
      </c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46"/>
      <c r="AN231" s="246"/>
      <c r="AO231" s="246"/>
      <c r="AP231" s="246"/>
      <c r="AQ231" s="246"/>
      <c r="AR231" s="246"/>
      <c r="AS231" s="246"/>
      <c r="AT231" s="246"/>
      <c r="AU231" s="246"/>
      <c r="AV231" s="246">
        <v>7560.5509999999995</v>
      </c>
      <c r="AW231" s="246"/>
      <c r="AX231" s="246"/>
      <c r="AY231" s="246"/>
      <c r="AZ231" s="246"/>
      <c r="BA231" s="246"/>
      <c r="BB231" s="246"/>
      <c r="BC231" s="246"/>
      <c r="BD231" s="246"/>
      <c r="BE231" s="232">
        <v>74310</v>
      </c>
      <c r="BF231" s="232">
        <v>74310</v>
      </c>
      <c r="BG231" s="1181">
        <f t="shared" si="69"/>
        <v>74310</v>
      </c>
      <c r="BH231" s="491">
        <v>15201</v>
      </c>
      <c r="BI231" s="1192" t="s">
        <v>12</v>
      </c>
      <c r="BJ231" s="1192" t="s">
        <v>32</v>
      </c>
      <c r="BK231" s="488" t="s">
        <v>2937</v>
      </c>
      <c r="BL231" s="490">
        <v>45254.436111111114</v>
      </c>
      <c r="BM231" s="490">
        <v>45256.734027777777</v>
      </c>
      <c r="BN231" s="488"/>
      <c r="BO231" s="494">
        <v>76463</v>
      </c>
      <c r="BP231" s="271" t="str">
        <f t="shared" ref="BP231" si="70">IF(BO231=0,"0",IF(BO231&lt;=50000,"HANDYMAX",IF(BO231&lt;=58000,"SUPER HANDYMAX",IF(BO231&lt;=80000,"PANAMAX",IF(BO231&gt;=80001,"POST PANAMAX")))))</f>
        <v>PANAMAX</v>
      </c>
      <c r="BQ231" s="488"/>
      <c r="BR231" s="488"/>
      <c r="BS231" s="488"/>
      <c r="BT231" s="488"/>
      <c r="BU231" s="488"/>
      <c r="BV231" s="488"/>
      <c r="BW231" s="488"/>
      <c r="BX231" s="271" t="s">
        <v>3170</v>
      </c>
      <c r="CA231" s="495"/>
      <c r="ACS231" s="271">
        <v>2</v>
      </c>
      <c r="ACT231" s="271">
        <v>3</v>
      </c>
      <c r="ACU231" s="353">
        <v>1</v>
      </c>
      <c r="ACV231" s="353"/>
      <c r="ACW231" s="353"/>
      <c r="ACX231" s="353"/>
      <c r="ACY231" s="353"/>
      <c r="ACZ231" s="353"/>
    </row>
    <row r="232" spans="1:799" s="476" customFormat="1" ht="14.4">
      <c r="A232" s="533"/>
      <c r="B232" s="534">
        <v>4</v>
      </c>
      <c r="C232" s="534" t="s">
        <v>3167</v>
      </c>
      <c r="D232" s="534" t="s">
        <v>74</v>
      </c>
      <c r="E232" s="536">
        <v>45263</v>
      </c>
      <c r="F232" s="536">
        <v>45272</v>
      </c>
      <c r="G232" s="537" t="s">
        <v>107</v>
      </c>
      <c r="H232" s="476" t="s">
        <v>1052</v>
      </c>
      <c r="I232" s="476" t="s">
        <v>3171</v>
      </c>
      <c r="J232" s="476" t="s">
        <v>2933</v>
      </c>
      <c r="K232" s="472">
        <v>45263.5</v>
      </c>
      <c r="L232" s="472">
        <v>45263.458333333336</v>
      </c>
      <c r="M232" s="679">
        <v>45265.260416666664</v>
      </c>
      <c r="N232" s="679">
        <v>45266.320833333331</v>
      </c>
      <c r="O232" s="1192" t="s">
        <v>2916</v>
      </c>
      <c r="P232" s="539">
        <v>6327.8140000000058</v>
      </c>
      <c r="Q232" s="539"/>
      <c r="R232" s="539"/>
      <c r="S232" s="539"/>
      <c r="T232" s="539"/>
      <c r="U232" s="539"/>
      <c r="V232" s="539">
        <v>9204.625</v>
      </c>
      <c r="W232" s="539"/>
      <c r="X232" s="539">
        <v>25075.010000000002</v>
      </c>
      <c r="Y232" s="539">
        <v>4392.5510000000004</v>
      </c>
      <c r="Z232" s="539"/>
      <c r="AA232" s="539"/>
      <c r="AB232" s="539"/>
      <c r="AC232" s="539"/>
      <c r="AD232" s="539"/>
      <c r="AE232" s="539"/>
      <c r="AF232" s="539"/>
      <c r="AG232" s="539"/>
      <c r="AH232" s="539"/>
      <c r="AI232" s="539"/>
      <c r="AJ232" s="539"/>
      <c r="AK232" s="539"/>
      <c r="AL232" s="539"/>
      <c r="AM232" s="539"/>
      <c r="AN232" s="539"/>
      <c r="AO232" s="539"/>
      <c r="AP232" s="539"/>
      <c r="AQ232" s="539"/>
      <c r="AR232" s="539"/>
      <c r="AS232" s="539"/>
      <c r="AT232" s="539"/>
      <c r="AU232" s="539"/>
      <c r="AV232" s="539"/>
      <c r="AW232" s="539"/>
      <c r="AX232" s="539"/>
      <c r="AY232" s="539"/>
      <c r="AZ232" s="539"/>
      <c r="BA232" s="539"/>
      <c r="BB232" s="539"/>
      <c r="BC232" s="539"/>
      <c r="BD232" s="539"/>
      <c r="BE232" s="540">
        <v>45000</v>
      </c>
      <c r="BF232" s="540">
        <v>45000</v>
      </c>
      <c r="BG232" s="1181">
        <f t="shared" si="69"/>
        <v>45000.000000000007</v>
      </c>
      <c r="BH232" s="537">
        <v>17500</v>
      </c>
      <c r="BI232" s="1193" t="s">
        <v>20</v>
      </c>
      <c r="BJ232" s="1193" t="s">
        <v>2923</v>
      </c>
      <c r="BK232" s="534" t="s">
        <v>2924</v>
      </c>
      <c r="BL232" s="536">
        <v>45252.449305555558</v>
      </c>
      <c r="BM232" s="536">
        <v>45258.395833333336</v>
      </c>
      <c r="BN232" s="534"/>
      <c r="BO232" s="541">
        <v>49999</v>
      </c>
      <c r="BP232" s="476" t="str">
        <f t="shared" ref="BP232:BP240" si="71">IF(BO232=0,"0",IF(BO232&lt;=50000,"HANDYMAX",IF(BO232&lt;=58000,"SUPER HANDYMAX",IF(BO232&lt;=80000,"PANAMAX",IF(BO232&gt;=80001,"POST PANAMAX")))))</f>
        <v>HANDYMAX</v>
      </c>
      <c r="BQ232" s="534"/>
      <c r="BR232" s="534"/>
      <c r="BS232" s="534"/>
      <c r="BT232" s="534"/>
      <c r="BU232" s="534"/>
      <c r="BV232" s="534"/>
      <c r="BW232" s="534"/>
      <c r="BX232" s="476" t="s">
        <v>3172</v>
      </c>
      <c r="CA232" s="542"/>
      <c r="ACX232" s="543">
        <v>1</v>
      </c>
      <c r="ACY232" s="543"/>
      <c r="ACZ232" s="543"/>
      <c r="ADA232" s="543"/>
      <c r="ADB232" s="543"/>
      <c r="ADC232" s="543"/>
      <c r="ADD232" s="543"/>
      <c r="ADE232" s="543"/>
      <c r="ADF232" s="543"/>
      <c r="ADG232" s="543"/>
    </row>
    <row r="233" spans="1:799" s="476" customFormat="1" ht="14.4">
      <c r="A233" s="533"/>
      <c r="B233" s="534">
        <v>5</v>
      </c>
      <c r="C233" s="535" t="s">
        <v>3121</v>
      </c>
      <c r="D233" s="534" t="s">
        <v>73</v>
      </c>
      <c r="E233" s="536">
        <v>45255</v>
      </c>
      <c r="F233" s="536">
        <v>45264</v>
      </c>
      <c r="G233" s="537" t="s">
        <v>2914</v>
      </c>
      <c r="H233" s="476" t="s">
        <v>1270</v>
      </c>
      <c r="I233" s="476" t="s">
        <v>3173</v>
      </c>
      <c r="J233" s="476" t="s">
        <v>2915</v>
      </c>
      <c r="K233" s="472">
        <v>45261.333333333336</v>
      </c>
      <c r="L233" s="472">
        <v>45261.291666666664</v>
      </c>
      <c r="M233" s="538">
        <v>45263.399305555555</v>
      </c>
      <c r="N233" s="538">
        <v>45266.635416666664</v>
      </c>
      <c r="O233" s="1192" t="s">
        <v>2916</v>
      </c>
      <c r="P233" s="539">
        <v>7578.4870000000001</v>
      </c>
      <c r="Q233" s="539"/>
      <c r="R233" s="539"/>
      <c r="S233" s="539"/>
      <c r="T233" s="539"/>
      <c r="U233" s="539">
        <v>23944.751399999994</v>
      </c>
      <c r="V233" s="539">
        <v>10245.707599999998</v>
      </c>
      <c r="W233" s="539"/>
      <c r="X233" s="539"/>
      <c r="Y233" s="539"/>
      <c r="Z233" s="539"/>
      <c r="AA233" s="539"/>
      <c r="AB233" s="539"/>
      <c r="AC233" s="539"/>
      <c r="AD233" s="539"/>
      <c r="AE233" s="539"/>
      <c r="AF233" s="539"/>
      <c r="AG233" s="539"/>
      <c r="AH233" s="539"/>
      <c r="AI233" s="539"/>
      <c r="AJ233" s="539"/>
      <c r="AK233" s="539"/>
      <c r="AL233" s="539"/>
      <c r="AM233" s="539"/>
      <c r="AN233" s="539"/>
      <c r="AO233" s="539"/>
      <c r="AP233" s="539"/>
      <c r="AQ233" s="539"/>
      <c r="AR233" s="539"/>
      <c r="AS233" s="539"/>
      <c r="AT233" s="539"/>
      <c r="AU233" s="539">
        <v>7531.0540000000001</v>
      </c>
      <c r="AV233" s="539"/>
      <c r="AW233" s="539"/>
      <c r="AX233" s="539"/>
      <c r="AY233" s="539"/>
      <c r="AZ233" s="539"/>
      <c r="BA233" s="539"/>
      <c r="BB233" s="539"/>
      <c r="BC233" s="539"/>
      <c r="BD233" s="539"/>
      <c r="BE233" s="540">
        <v>49300</v>
      </c>
      <c r="BF233" s="540">
        <v>49300</v>
      </c>
      <c r="BG233" s="1181">
        <f t="shared" si="69"/>
        <v>49300</v>
      </c>
      <c r="BH233" s="537">
        <v>12000</v>
      </c>
      <c r="BI233" s="1193" t="s">
        <v>12</v>
      </c>
      <c r="BJ233" s="1193" t="s">
        <v>37</v>
      </c>
      <c r="BK233" s="534" t="s">
        <v>2920</v>
      </c>
      <c r="BL233" s="536">
        <v>45256.376388888886</v>
      </c>
      <c r="BM233" s="536">
        <v>45257.484722222223</v>
      </c>
      <c r="BN233" s="534"/>
      <c r="BO233" s="541">
        <v>50202</v>
      </c>
      <c r="BP233" s="476" t="str">
        <f t="shared" si="71"/>
        <v>SUPER HANDYMAX</v>
      </c>
      <c r="BQ233" s="534"/>
      <c r="BR233" s="534"/>
      <c r="BS233" s="534"/>
      <c r="BT233" s="534"/>
      <c r="BU233" s="534"/>
      <c r="BV233" s="534"/>
      <c r="BW233" s="534"/>
      <c r="BX233" s="476" t="s">
        <v>3174</v>
      </c>
      <c r="CA233" s="542"/>
      <c r="ACP233" s="543"/>
      <c r="ACQ233" s="543"/>
      <c r="ACR233" s="543"/>
      <c r="ACS233" s="543"/>
      <c r="ACT233" s="543"/>
      <c r="ACU233" s="543"/>
      <c r="ACV233" s="543">
        <v>2</v>
      </c>
      <c r="ACW233" s="543">
        <v>1</v>
      </c>
      <c r="ACX233" s="543"/>
      <c r="ACY233" s="543"/>
    </row>
    <row r="234" spans="1:799" s="476" customFormat="1" ht="15" customHeight="1">
      <c r="A234" s="533"/>
      <c r="B234" s="534">
        <v>6</v>
      </c>
      <c r="C234" s="534" t="s">
        <v>3167</v>
      </c>
      <c r="D234" s="534" t="s">
        <v>73</v>
      </c>
      <c r="E234" s="536">
        <v>45261</v>
      </c>
      <c r="F234" s="536">
        <v>45270</v>
      </c>
      <c r="G234" s="537" t="s">
        <v>2914</v>
      </c>
      <c r="H234" s="476" t="s">
        <v>3175</v>
      </c>
      <c r="I234" s="476" t="s">
        <v>3176</v>
      </c>
      <c r="J234" s="476" t="s">
        <v>2933</v>
      </c>
      <c r="K234" s="472">
        <v>45268.25</v>
      </c>
      <c r="L234" s="472">
        <v>45268.25</v>
      </c>
      <c r="M234" s="538">
        <v>45268.666666666664</v>
      </c>
      <c r="N234" s="538">
        <v>45269.708333333336</v>
      </c>
      <c r="O234" s="1192" t="s">
        <v>2916</v>
      </c>
      <c r="P234" s="539"/>
      <c r="Q234" s="539"/>
      <c r="R234" s="539"/>
      <c r="S234" s="539"/>
      <c r="T234" s="539"/>
      <c r="U234" s="539">
        <v>12000</v>
      </c>
      <c r="V234" s="539">
        <v>3000</v>
      </c>
      <c r="W234" s="539"/>
      <c r="X234" s="539"/>
      <c r="Y234" s="539"/>
      <c r="Z234" s="1059"/>
      <c r="AA234" s="539"/>
      <c r="AB234" s="539"/>
      <c r="AC234" s="539"/>
      <c r="AD234" s="539"/>
      <c r="AE234" s="539"/>
      <c r="AF234" s="539"/>
      <c r="AG234" s="539"/>
      <c r="AH234" s="539"/>
      <c r="AI234" s="539"/>
      <c r="AJ234" s="539"/>
      <c r="AK234" s="539"/>
      <c r="AL234" s="539"/>
      <c r="AM234" s="539"/>
      <c r="AN234" s="539"/>
      <c r="AO234" s="539"/>
      <c r="AP234" s="539"/>
      <c r="AQ234" s="539"/>
      <c r="AR234" s="539"/>
      <c r="AS234" s="539"/>
      <c r="AT234" s="539"/>
      <c r="AU234" s="539"/>
      <c r="AV234" s="539"/>
      <c r="AW234" s="539"/>
      <c r="AX234" s="539"/>
      <c r="AY234" s="539"/>
      <c r="AZ234" s="539"/>
      <c r="BA234" s="539"/>
      <c r="BB234" s="539"/>
      <c r="BC234" s="539"/>
      <c r="BD234" s="539"/>
      <c r="BE234" s="540">
        <v>15000</v>
      </c>
      <c r="BF234" s="540">
        <v>15000</v>
      </c>
      <c r="BG234" s="1181">
        <f t="shared" si="69"/>
        <v>15000</v>
      </c>
      <c r="BH234" s="537">
        <v>8800</v>
      </c>
      <c r="BI234" s="1193" t="s">
        <v>16</v>
      </c>
      <c r="BJ234" s="1193" t="s">
        <v>45</v>
      </c>
      <c r="BK234" s="534" t="s">
        <v>2968</v>
      </c>
      <c r="BL234" s="536">
        <v>45254.925694444442</v>
      </c>
      <c r="BM234" s="536">
        <v>45255.905555555553</v>
      </c>
      <c r="BN234" s="534"/>
      <c r="BO234" s="541">
        <v>28306</v>
      </c>
      <c r="BP234" s="476" t="str">
        <f t="shared" si="71"/>
        <v>HANDYMAX</v>
      </c>
      <c r="BQ234" s="534"/>
      <c r="BR234" s="534"/>
      <c r="BS234" s="534"/>
      <c r="BT234" s="534"/>
      <c r="BU234" s="534"/>
      <c r="BV234" s="534"/>
      <c r="BW234" s="534"/>
      <c r="CA234" s="542"/>
      <c r="ACU234" s="476">
        <v>3</v>
      </c>
      <c r="ACV234" s="543">
        <v>1</v>
      </c>
      <c r="ACW234" s="543">
        <v>1</v>
      </c>
      <c r="ACX234" s="543">
        <v>2</v>
      </c>
      <c r="ACY234" s="543">
        <v>4</v>
      </c>
      <c r="ACZ234" s="543">
        <v>5</v>
      </c>
      <c r="ADA234" s="543">
        <v>6</v>
      </c>
      <c r="ADB234" s="543">
        <v>7</v>
      </c>
      <c r="ADC234" s="543">
        <v>8</v>
      </c>
      <c r="ADD234" s="543"/>
      <c r="ADE234" s="543"/>
    </row>
    <row r="235" spans="1:799" s="476" customFormat="1" ht="15" customHeight="1">
      <c r="A235" s="533"/>
      <c r="B235" s="534">
        <v>7</v>
      </c>
      <c r="C235" s="534" t="s">
        <v>3167</v>
      </c>
      <c r="D235" s="534" t="s">
        <v>74</v>
      </c>
      <c r="E235" s="536">
        <v>45261</v>
      </c>
      <c r="F235" s="536">
        <v>45270</v>
      </c>
      <c r="G235" s="537" t="s">
        <v>2914</v>
      </c>
      <c r="H235" s="476" t="s">
        <v>3177</v>
      </c>
      <c r="I235" s="476" t="s">
        <v>3178</v>
      </c>
      <c r="J235" s="476" t="s">
        <v>2915</v>
      </c>
      <c r="K235" s="472">
        <v>45262.8125</v>
      </c>
      <c r="L235" s="472">
        <v>45262.770833333336</v>
      </c>
      <c r="M235" s="538">
        <v>45268.583333333336</v>
      </c>
      <c r="N235" s="538">
        <v>45271.458333333336</v>
      </c>
      <c r="O235" s="1192" t="s">
        <v>2916</v>
      </c>
      <c r="P235" s="539"/>
      <c r="Q235" s="539"/>
      <c r="R235" s="539"/>
      <c r="S235" s="539"/>
      <c r="T235" s="539"/>
      <c r="U235" s="539"/>
      <c r="V235" s="539"/>
      <c r="W235" s="539"/>
      <c r="X235" s="539">
        <v>60693.524200000007</v>
      </c>
      <c r="Y235" s="539">
        <v>9970.0817999999999</v>
      </c>
      <c r="Z235" s="1059"/>
      <c r="AA235" s="539"/>
      <c r="AB235" s="539"/>
      <c r="AC235" s="539"/>
      <c r="AD235" s="539"/>
      <c r="AE235" s="539"/>
      <c r="AF235" s="539"/>
      <c r="AG235" s="539"/>
      <c r="AH235" s="539"/>
      <c r="AI235" s="539"/>
      <c r="AJ235" s="539"/>
      <c r="AK235" s="539"/>
      <c r="AL235" s="539"/>
      <c r="AM235" s="539"/>
      <c r="AN235" s="539"/>
      <c r="AO235" s="539"/>
      <c r="AP235" s="539"/>
      <c r="AQ235" s="539"/>
      <c r="AR235" s="539">
        <v>5236.3940000000002</v>
      </c>
      <c r="AS235" s="539"/>
      <c r="AT235" s="539"/>
      <c r="AU235" s="539"/>
      <c r="AV235" s="539"/>
      <c r="AW235" s="539"/>
      <c r="AX235" s="539"/>
      <c r="AY235" s="539"/>
      <c r="AZ235" s="539"/>
      <c r="BA235" s="539"/>
      <c r="BB235" s="539"/>
      <c r="BC235" s="539"/>
      <c r="BD235" s="539"/>
      <c r="BE235" s="540">
        <v>75900</v>
      </c>
      <c r="BF235" s="540">
        <v>75900</v>
      </c>
      <c r="BG235" s="1181">
        <f>SUM(P235:BC235)</f>
        <v>75900</v>
      </c>
      <c r="BH235" s="537">
        <v>12000</v>
      </c>
      <c r="BI235" s="1193" t="s">
        <v>12</v>
      </c>
      <c r="BJ235" s="1193" t="s">
        <v>37</v>
      </c>
      <c r="BK235" s="534" t="s">
        <v>2920</v>
      </c>
      <c r="BL235" s="536">
        <v>45258.459722222222</v>
      </c>
      <c r="BM235" s="536">
        <v>45260.47152777778</v>
      </c>
      <c r="BN235" s="534"/>
      <c r="BO235" s="541">
        <v>76596</v>
      </c>
      <c r="BP235" s="476" t="str">
        <f t="shared" si="71"/>
        <v>PANAMAX</v>
      </c>
      <c r="BQ235" s="534"/>
      <c r="BR235" s="534"/>
      <c r="BS235" s="534"/>
      <c r="BT235" s="534"/>
      <c r="BU235" s="534"/>
      <c r="BV235" s="534"/>
      <c r="BW235" s="534"/>
      <c r="CA235" s="542"/>
      <c r="ACV235" s="543"/>
      <c r="ACW235" s="543">
        <v>2</v>
      </c>
      <c r="ACX235" s="543">
        <v>1</v>
      </c>
      <c r="ACY235" s="543">
        <v>1</v>
      </c>
      <c r="ACZ235" s="543"/>
      <c r="ADA235" s="543"/>
      <c r="ADB235" s="543"/>
      <c r="ADC235" s="543"/>
      <c r="ADD235" s="543"/>
      <c r="ADE235" s="543"/>
    </row>
    <row r="236" spans="1:799" s="476" customFormat="1" ht="15" customHeight="1">
      <c r="A236" s="533"/>
      <c r="B236" s="534">
        <v>8</v>
      </c>
      <c r="C236" s="534" t="s">
        <v>3167</v>
      </c>
      <c r="D236" s="534" t="s">
        <v>73</v>
      </c>
      <c r="E236" s="536">
        <v>45262</v>
      </c>
      <c r="F236" s="536">
        <v>45271</v>
      </c>
      <c r="G236" s="537" t="s">
        <v>2914</v>
      </c>
      <c r="H236" s="476" t="s">
        <v>3179</v>
      </c>
      <c r="I236" s="476" t="s">
        <v>3180</v>
      </c>
      <c r="J236" s="476" t="s">
        <v>2933</v>
      </c>
      <c r="K236" s="472">
        <v>45269.791666666664</v>
      </c>
      <c r="L236" s="472">
        <v>45269.805555555555</v>
      </c>
      <c r="M236" s="679">
        <v>45271.708333333336</v>
      </c>
      <c r="N236" s="538">
        <v>45273.274305555555</v>
      </c>
      <c r="O236" s="1192" t="s">
        <v>2916</v>
      </c>
      <c r="P236" s="539"/>
      <c r="Q236" s="539"/>
      <c r="R236" s="539"/>
      <c r="S236" s="539"/>
      <c r="T236" s="539"/>
      <c r="U236" s="539"/>
      <c r="V236" s="539">
        <v>39612.057000000001</v>
      </c>
      <c r="W236" s="539"/>
      <c r="X236" s="539">
        <v>7836.9889999999996</v>
      </c>
      <c r="Y236" s="539"/>
      <c r="Z236" s="1059"/>
      <c r="AA236" s="539"/>
      <c r="AB236" s="539"/>
      <c r="AC236" s="539"/>
      <c r="AD236" s="539"/>
      <c r="AE236" s="539"/>
      <c r="AF236" s="539"/>
      <c r="AG236" s="539"/>
      <c r="AH236" s="539"/>
      <c r="AI236" s="539"/>
      <c r="AJ236" s="539"/>
      <c r="AK236" s="539"/>
      <c r="AL236" s="539"/>
      <c r="AM236" s="539"/>
      <c r="AN236" s="539"/>
      <c r="AO236" s="539"/>
      <c r="AP236" s="539"/>
      <c r="AQ236" s="539"/>
      <c r="AR236" s="539"/>
      <c r="AS236" s="539"/>
      <c r="AT236" s="539"/>
      <c r="AU236" s="539">
        <v>7550.9539999999997</v>
      </c>
      <c r="AV236" s="539"/>
      <c r="AW236" s="539"/>
      <c r="AX236" s="539"/>
      <c r="AY236" s="539"/>
      <c r="AZ236" s="539"/>
      <c r="BA236" s="539"/>
      <c r="BB236" s="539"/>
      <c r="BC236" s="539"/>
      <c r="BD236" s="539"/>
      <c r="BE236" s="540">
        <v>55000</v>
      </c>
      <c r="BF236" s="540">
        <v>55000</v>
      </c>
      <c r="BG236" s="1181">
        <f t="shared" ref="BG236" si="72">SUM(P236:BC236)</f>
        <v>55000</v>
      </c>
      <c r="BH236" s="537">
        <v>14500</v>
      </c>
      <c r="BI236" s="1193" t="s">
        <v>12</v>
      </c>
      <c r="BJ236" s="1193" t="s">
        <v>37</v>
      </c>
      <c r="BK236" s="534" t="s">
        <v>3026</v>
      </c>
      <c r="BL236" s="536">
        <v>45259.657638888886</v>
      </c>
      <c r="BM236" s="536">
        <v>45263.698611111111</v>
      </c>
      <c r="BN236" s="534"/>
      <c r="BO236" s="541">
        <v>61622</v>
      </c>
      <c r="BP236" s="476" t="str">
        <f t="shared" si="71"/>
        <v>PANAMAX</v>
      </c>
      <c r="BQ236" s="534"/>
      <c r="BR236" s="534"/>
      <c r="BS236" s="534"/>
      <c r="BT236" s="534"/>
      <c r="BU236" s="534"/>
      <c r="BV236" s="534"/>
      <c r="BW236" s="534"/>
      <c r="BX236" s="476" t="s">
        <v>3181</v>
      </c>
      <c r="CA236" s="542"/>
      <c r="ACW236" s="543">
        <v>1</v>
      </c>
      <c r="ACX236" s="543"/>
      <c r="ACY236" s="543"/>
      <c r="ACZ236" s="543">
        <v>2</v>
      </c>
      <c r="ADA236" s="543"/>
      <c r="ADB236" s="543"/>
      <c r="ADC236" s="543"/>
      <c r="ADD236" s="543">
        <v>4</v>
      </c>
      <c r="ADE236" s="543">
        <v>3</v>
      </c>
      <c r="ADF236" s="543"/>
    </row>
    <row r="237" spans="1:799" s="476" customFormat="1" ht="15" customHeight="1">
      <c r="A237" s="533"/>
      <c r="B237" s="534">
        <v>9</v>
      </c>
      <c r="C237" s="534" t="s">
        <v>3167</v>
      </c>
      <c r="D237" s="534" t="s">
        <v>73</v>
      </c>
      <c r="E237" s="536">
        <v>45266</v>
      </c>
      <c r="F237" s="536">
        <v>45275</v>
      </c>
      <c r="G237" s="537" t="s">
        <v>2914</v>
      </c>
      <c r="H237" s="476" t="s">
        <v>3182</v>
      </c>
      <c r="I237" s="476" t="s">
        <v>3183</v>
      </c>
      <c r="J237" s="476" t="s">
        <v>2926</v>
      </c>
      <c r="K237" s="472">
        <v>45269.229166666664</v>
      </c>
      <c r="L237" s="472">
        <v>45269.25</v>
      </c>
      <c r="M237" s="679">
        <v>45272.388888888891</v>
      </c>
      <c r="N237" s="679">
        <v>45275.208333333336</v>
      </c>
      <c r="O237" s="1192" t="s">
        <v>2916</v>
      </c>
      <c r="P237" s="539">
        <v>7503.0820000000003</v>
      </c>
      <c r="Q237" s="539"/>
      <c r="R237" s="539"/>
      <c r="S237" s="539"/>
      <c r="T237" s="539"/>
      <c r="U237" s="539">
        <v>35819.783399999993</v>
      </c>
      <c r="V237" s="539">
        <v>14799.697599999996</v>
      </c>
      <c r="W237" s="539"/>
      <c r="X237" s="539">
        <v>7746.7659999999996</v>
      </c>
      <c r="Y237" s="539"/>
      <c r="Z237" s="539"/>
      <c r="AA237" s="539"/>
      <c r="AB237" s="539"/>
      <c r="AC237" s="539"/>
      <c r="AD237" s="539"/>
      <c r="AE237" s="539"/>
      <c r="AF237" s="539"/>
      <c r="AG237" s="539"/>
      <c r="AH237" s="539"/>
      <c r="AI237" s="539"/>
      <c r="AJ237" s="539"/>
      <c r="AK237" s="539"/>
      <c r="AL237" s="539"/>
      <c r="AM237" s="539"/>
      <c r="AN237" s="539"/>
      <c r="AO237" s="539"/>
      <c r="AP237" s="539"/>
      <c r="AQ237" s="539"/>
      <c r="AR237" s="539">
        <v>5200.6710000000003</v>
      </c>
      <c r="AS237" s="539"/>
      <c r="AT237" s="539"/>
      <c r="AU237" s="539"/>
      <c r="AV237" s="539"/>
      <c r="AW237" s="539"/>
      <c r="AX237" s="539"/>
      <c r="AY237" s="539"/>
      <c r="AZ237" s="539"/>
      <c r="BA237" s="539"/>
      <c r="BB237" s="539"/>
      <c r="BC237" s="539"/>
      <c r="BD237" s="539"/>
      <c r="BE237" s="540">
        <v>71070</v>
      </c>
      <c r="BF237" s="540">
        <v>71070</v>
      </c>
      <c r="BG237" s="1181">
        <f t="shared" ref="BG237:BG248" si="73">SUM(P237:BC237)</f>
        <v>71070</v>
      </c>
      <c r="BH237" s="537">
        <v>17694</v>
      </c>
      <c r="BI237" s="1193" t="s">
        <v>4</v>
      </c>
      <c r="BJ237" s="1193" t="s">
        <v>5</v>
      </c>
      <c r="BK237" s="534" t="s">
        <v>2937</v>
      </c>
      <c r="BL237" s="536">
        <v>45261.474999999999</v>
      </c>
      <c r="BM237" s="536">
        <v>45265.771527777775</v>
      </c>
      <c r="BN237" s="534"/>
      <c r="BO237" s="541">
        <v>82558</v>
      </c>
      <c r="BP237" s="476" t="str">
        <f t="shared" si="71"/>
        <v>POST PANAMAX</v>
      </c>
      <c r="BQ237" s="534"/>
      <c r="BR237" s="534"/>
      <c r="BS237" s="534"/>
      <c r="BT237" s="534"/>
      <c r="BU237" s="534"/>
      <c r="BV237" s="534"/>
      <c r="BW237" s="534"/>
      <c r="BX237" s="476" t="s">
        <v>3184</v>
      </c>
      <c r="CA237" s="542"/>
      <c r="ADA237" s="543"/>
      <c r="ADB237" s="543">
        <v>1</v>
      </c>
      <c r="ADC237" s="543">
        <v>1</v>
      </c>
      <c r="ADD237" s="543"/>
      <c r="ADE237" s="543">
        <v>3</v>
      </c>
      <c r="ADF237" s="543">
        <v>2</v>
      </c>
      <c r="ADG237" s="543"/>
      <c r="ADH237" s="543"/>
      <c r="ADI237" s="543"/>
      <c r="ADJ237" s="543"/>
    </row>
    <row r="238" spans="1:799" s="476" customFormat="1" ht="15" customHeight="1">
      <c r="A238" s="533"/>
      <c r="B238" s="534">
        <v>10</v>
      </c>
      <c r="C238" s="534" t="s">
        <v>3167</v>
      </c>
      <c r="D238" s="534" t="s">
        <v>2983</v>
      </c>
      <c r="E238" s="536">
        <v>45267</v>
      </c>
      <c r="F238" s="536">
        <v>45276</v>
      </c>
      <c r="G238" s="537" t="s">
        <v>107</v>
      </c>
      <c r="H238" s="476" t="s">
        <v>3033</v>
      </c>
      <c r="I238" s="476" t="s">
        <v>3185</v>
      </c>
      <c r="J238" s="476" t="s">
        <v>2922</v>
      </c>
      <c r="K238" s="472">
        <v>45267.770833333336</v>
      </c>
      <c r="L238" s="472">
        <v>45267.787499999999</v>
      </c>
      <c r="M238" s="538">
        <v>45273.969444444447</v>
      </c>
      <c r="N238" s="538">
        <v>45278.421527777777</v>
      </c>
      <c r="O238" s="1192" t="s">
        <v>2916</v>
      </c>
      <c r="P238" s="539"/>
      <c r="Q238" s="539">
        <v>2865</v>
      </c>
      <c r="R238" s="539"/>
      <c r="S238" s="539"/>
      <c r="T238" s="539">
        <v>18828</v>
      </c>
      <c r="U238" s="539"/>
      <c r="V238" s="539"/>
      <c r="W238" s="539"/>
      <c r="X238" s="539"/>
      <c r="Y238" s="539"/>
      <c r="Z238" s="1059"/>
      <c r="AA238" s="539"/>
      <c r="AB238" s="539"/>
      <c r="AC238" s="539"/>
      <c r="AD238" s="539"/>
      <c r="AE238" s="539"/>
      <c r="AF238" s="539"/>
      <c r="AG238" s="539"/>
      <c r="AH238" s="539"/>
      <c r="AI238" s="539"/>
      <c r="AJ238" s="539"/>
      <c r="AK238" s="539"/>
      <c r="AL238" s="539"/>
      <c r="AM238" s="539"/>
      <c r="AN238" s="539"/>
      <c r="AO238" s="539"/>
      <c r="AP238" s="539"/>
      <c r="AQ238" s="539"/>
      <c r="AR238" s="539">
        <v>20797.686999999998</v>
      </c>
      <c r="AS238" s="539"/>
      <c r="AT238" s="539"/>
      <c r="AU238" s="539">
        <v>7550.0079999999998</v>
      </c>
      <c r="AV238" s="539">
        <v>7552.942</v>
      </c>
      <c r="AW238" s="539">
        <v>15006.350999999999</v>
      </c>
      <c r="AX238" s="539"/>
      <c r="AY238" s="539"/>
      <c r="AZ238" s="539"/>
      <c r="BA238" s="539"/>
      <c r="BB238" s="539"/>
      <c r="BC238" s="539"/>
      <c r="BD238" s="539"/>
      <c r="BE238" s="540">
        <v>72600</v>
      </c>
      <c r="BF238" s="540">
        <v>72600</v>
      </c>
      <c r="BG238" s="1181">
        <f t="shared" si="73"/>
        <v>72599.987999999998</v>
      </c>
      <c r="BH238" s="537">
        <v>17000</v>
      </c>
      <c r="BI238" s="1193" t="s">
        <v>20</v>
      </c>
      <c r="BJ238" s="1193" t="s">
        <v>2923</v>
      </c>
      <c r="BK238" s="534" t="s">
        <v>2927</v>
      </c>
      <c r="BL238" s="536">
        <v>45258.913194444445</v>
      </c>
      <c r="BM238" s="536">
        <v>45259.87222222222</v>
      </c>
      <c r="BN238" s="534"/>
      <c r="BO238" s="541">
        <v>74009</v>
      </c>
      <c r="BP238" s="476" t="str">
        <f t="shared" si="71"/>
        <v>PANAMAX</v>
      </c>
      <c r="BQ238" s="534"/>
      <c r="BR238" s="534"/>
      <c r="BS238" s="534"/>
      <c r="BT238" s="534"/>
      <c r="BU238" s="534"/>
      <c r="BV238" s="534"/>
      <c r="BW238" s="534"/>
      <c r="CA238" s="542"/>
      <c r="ADA238" s="476">
        <v>2</v>
      </c>
      <c r="ADB238" s="543" t="s">
        <v>2939</v>
      </c>
      <c r="ADC238" s="543"/>
      <c r="ADD238" s="543"/>
      <c r="ADE238" s="543"/>
      <c r="ADF238" s="543"/>
      <c r="ADG238" s="543"/>
      <c r="ADH238" s="543"/>
      <c r="ADI238" s="543"/>
      <c r="ADJ238" s="543"/>
      <c r="ADK238" s="543"/>
    </row>
    <row r="239" spans="1:799" s="476" customFormat="1" ht="15" customHeight="1">
      <c r="A239" s="533"/>
      <c r="B239" s="534">
        <v>11</v>
      </c>
      <c r="C239" s="534" t="s">
        <v>3167</v>
      </c>
      <c r="D239" s="534" t="s">
        <v>73</v>
      </c>
      <c r="E239" s="536">
        <v>45268</v>
      </c>
      <c r="F239" s="536">
        <v>45277</v>
      </c>
      <c r="G239" s="537" t="s">
        <v>2914</v>
      </c>
      <c r="H239" s="476" t="s">
        <v>3186</v>
      </c>
      <c r="I239" s="476" t="s">
        <v>3187</v>
      </c>
      <c r="J239" s="476" t="s">
        <v>2933</v>
      </c>
      <c r="K239" s="472">
        <v>45274.708333333336</v>
      </c>
      <c r="L239" s="472">
        <v>45274.670138888891</v>
      </c>
      <c r="M239" s="538">
        <v>45276.208333333336</v>
      </c>
      <c r="N239" s="538">
        <v>45278.923611111109</v>
      </c>
      <c r="O239" s="1192" t="s">
        <v>2916</v>
      </c>
      <c r="P239" s="539"/>
      <c r="Q239" s="539"/>
      <c r="R239" s="539"/>
      <c r="S239" s="539"/>
      <c r="T239" s="539"/>
      <c r="U239" s="539">
        <v>38924.935200000007</v>
      </c>
      <c r="V239" s="539">
        <v>12191.660800000001</v>
      </c>
      <c r="W239" s="539"/>
      <c r="X239" s="539">
        <v>14883.404</v>
      </c>
      <c r="Y239" s="539"/>
      <c r="Z239" s="1059"/>
      <c r="AA239" s="539"/>
      <c r="AB239" s="539"/>
      <c r="AC239" s="539"/>
      <c r="AD239" s="539"/>
      <c r="AE239" s="539"/>
      <c r="AF239" s="896"/>
      <c r="AG239" s="539"/>
      <c r="AH239" s="539"/>
      <c r="AI239" s="539"/>
      <c r="AJ239" s="539"/>
      <c r="AK239" s="539"/>
      <c r="AL239" s="539"/>
      <c r="AM239" s="539"/>
      <c r="AN239" s="539"/>
      <c r="AO239" s="539"/>
      <c r="AP239" s="539"/>
      <c r="AQ239" s="539"/>
      <c r="AR239" s="539"/>
      <c r="AS239" s="539"/>
      <c r="AT239" s="539"/>
      <c r="AU239" s="539"/>
      <c r="AV239" s="539"/>
      <c r="AW239" s="539"/>
      <c r="AX239" s="539"/>
      <c r="AY239" s="539"/>
      <c r="AZ239" s="539"/>
      <c r="BA239" s="539"/>
      <c r="BB239" s="539"/>
      <c r="BC239" s="539"/>
      <c r="BD239" s="539"/>
      <c r="BE239" s="540">
        <v>66000</v>
      </c>
      <c r="BF239" s="540">
        <v>66000</v>
      </c>
      <c r="BG239" s="1181">
        <f t="shared" si="73"/>
        <v>66000</v>
      </c>
      <c r="BH239" s="537">
        <v>15250</v>
      </c>
      <c r="BI239" s="1193" t="s">
        <v>4</v>
      </c>
      <c r="BJ239" s="1193" t="s">
        <v>5</v>
      </c>
      <c r="BK239" s="534" t="s">
        <v>2924</v>
      </c>
      <c r="BL239" s="536">
        <v>45259.540972222225</v>
      </c>
      <c r="BM239" s="536">
        <v>45265.397222222222</v>
      </c>
      <c r="BN239" s="534"/>
      <c r="BO239" s="541">
        <v>88269</v>
      </c>
      <c r="BP239" s="476" t="str">
        <f t="shared" si="71"/>
        <v>POST PANAMAX</v>
      </c>
      <c r="BQ239" s="534"/>
      <c r="BR239" s="534"/>
      <c r="BS239" s="534"/>
      <c r="BT239" s="534"/>
      <c r="BU239" s="534"/>
      <c r="BV239" s="534"/>
      <c r="BW239" s="534"/>
      <c r="CA239" s="542"/>
      <c r="ADC239" s="543"/>
      <c r="ADD239" s="543"/>
      <c r="ADE239" s="543"/>
      <c r="ADF239" s="543"/>
      <c r="ADG239" s="543">
        <v>1</v>
      </c>
      <c r="ADH239" s="543"/>
      <c r="ADI239" s="543">
        <v>3</v>
      </c>
      <c r="ADJ239" s="543">
        <v>2</v>
      </c>
      <c r="ADK239" s="543"/>
      <c r="ADL239" s="543"/>
    </row>
    <row r="240" spans="1:799" s="476" customFormat="1" ht="15" customHeight="1">
      <c r="A240" s="533"/>
      <c r="B240" s="534">
        <v>12</v>
      </c>
      <c r="C240" s="534" t="s">
        <v>3167</v>
      </c>
      <c r="D240" s="534" t="s">
        <v>74</v>
      </c>
      <c r="E240" s="536">
        <v>45275</v>
      </c>
      <c r="F240" s="536">
        <v>45284</v>
      </c>
      <c r="G240" s="537" t="s">
        <v>2914</v>
      </c>
      <c r="H240" s="476" t="s">
        <v>3188</v>
      </c>
      <c r="I240" s="476" t="s">
        <v>3189</v>
      </c>
      <c r="J240" s="476" t="s">
        <v>2922</v>
      </c>
      <c r="K240" s="472">
        <v>45274.625</v>
      </c>
      <c r="L240" s="472">
        <v>45274.604166666664</v>
      </c>
      <c r="M240" s="538">
        <v>45276.083333333336</v>
      </c>
      <c r="N240" s="538">
        <v>45280.25</v>
      </c>
      <c r="O240" s="1192" t="s">
        <v>2916</v>
      </c>
      <c r="P240" s="539"/>
      <c r="Q240" s="539"/>
      <c r="R240" s="539"/>
      <c r="S240" s="539"/>
      <c r="T240" s="539"/>
      <c r="U240" s="539"/>
      <c r="V240" s="539">
        <v>7573.1149999999998</v>
      </c>
      <c r="W240" s="539"/>
      <c r="X240" s="539">
        <v>31727.448800000002</v>
      </c>
      <c r="Y240" s="539">
        <v>19003.303199999995</v>
      </c>
      <c r="Z240" s="1059"/>
      <c r="AA240" s="539"/>
      <c r="AB240" s="539"/>
      <c r="AC240" s="539"/>
      <c r="AD240" s="539"/>
      <c r="AE240" s="539"/>
      <c r="AF240" s="539"/>
      <c r="AG240" s="539"/>
      <c r="AH240" s="539"/>
      <c r="AI240" s="539"/>
      <c r="AJ240" s="539"/>
      <c r="AK240" s="539"/>
      <c r="AL240" s="539"/>
      <c r="AM240" s="539"/>
      <c r="AN240" s="539"/>
      <c r="AO240" s="539"/>
      <c r="AP240" s="539"/>
      <c r="AQ240" s="539"/>
      <c r="AR240" s="539"/>
      <c r="AS240" s="539"/>
      <c r="AT240" s="539"/>
      <c r="AU240" s="539">
        <v>15166.133000000002</v>
      </c>
      <c r="AV240" s="539"/>
      <c r="AW240" s="539"/>
      <c r="AX240" s="539"/>
      <c r="AY240" s="539"/>
      <c r="AZ240" s="539"/>
      <c r="BA240" s="539"/>
      <c r="BB240" s="539"/>
      <c r="BC240" s="539"/>
      <c r="BD240" s="539"/>
      <c r="BE240" s="540">
        <v>73470</v>
      </c>
      <c r="BF240" s="540">
        <v>73470</v>
      </c>
      <c r="BG240" s="1181">
        <f t="shared" si="73"/>
        <v>73470</v>
      </c>
      <c r="BH240" s="537">
        <v>18000</v>
      </c>
      <c r="BI240" s="1193" t="s">
        <v>12</v>
      </c>
      <c r="BJ240" s="1193" t="s">
        <v>37</v>
      </c>
      <c r="BK240" s="534" t="s">
        <v>2937</v>
      </c>
      <c r="BL240" s="536">
        <v>45269.754861111112</v>
      </c>
      <c r="BM240" s="536">
        <v>45271.724305555559</v>
      </c>
      <c r="BN240" s="534"/>
      <c r="BO240" s="541">
        <v>74786</v>
      </c>
      <c r="BP240" s="476" t="str">
        <f t="shared" si="71"/>
        <v>PANAMAX</v>
      </c>
      <c r="BQ240" s="534"/>
      <c r="BR240" s="534"/>
      <c r="BS240" s="534"/>
      <c r="BT240" s="534"/>
      <c r="BU240" s="534"/>
      <c r="BV240" s="534"/>
      <c r="BW240" s="534"/>
      <c r="BX240" s="476" t="s">
        <v>3190</v>
      </c>
      <c r="CA240" s="542"/>
      <c r="ADI240" s="476">
        <v>2</v>
      </c>
      <c r="ADJ240" s="543">
        <v>1</v>
      </c>
      <c r="ADK240" s="543"/>
      <c r="ADL240" s="543"/>
      <c r="ADM240" s="543"/>
      <c r="ADN240" s="543"/>
      <c r="ADO240" s="543"/>
      <c r="ADP240" s="543"/>
      <c r="ADQ240" s="543"/>
      <c r="ADR240" s="543"/>
      <c r="ADS240" s="543"/>
    </row>
    <row r="241" spans="1:809" s="476" customFormat="1" ht="15" customHeight="1">
      <c r="A241" s="533"/>
      <c r="B241" s="534">
        <v>13</v>
      </c>
      <c r="C241" s="534" t="s">
        <v>3167</v>
      </c>
      <c r="D241" s="534" t="s">
        <v>73</v>
      </c>
      <c r="E241" s="536">
        <v>45272</v>
      </c>
      <c r="F241" s="536">
        <v>45281</v>
      </c>
      <c r="G241" s="537" t="s">
        <v>2914</v>
      </c>
      <c r="H241" s="476" t="s">
        <v>3191</v>
      </c>
      <c r="I241" s="476" t="s">
        <v>3192</v>
      </c>
      <c r="J241" s="476" t="s">
        <v>2915</v>
      </c>
      <c r="K241" s="472">
        <v>45276.3125</v>
      </c>
      <c r="L241" s="472">
        <v>45276.341666666667</v>
      </c>
      <c r="M241" s="538">
        <v>45280.6875</v>
      </c>
      <c r="N241" s="538">
        <v>45282.243055555555</v>
      </c>
      <c r="O241" s="1192" t="s">
        <v>2916</v>
      </c>
      <c r="P241" s="539">
        <v>15102.465</v>
      </c>
      <c r="Q241" s="539"/>
      <c r="R241" s="539"/>
      <c r="S241" s="539"/>
      <c r="T241" s="539"/>
      <c r="U241" s="539">
        <v>23615.984049999999</v>
      </c>
      <c r="V241" s="539">
        <v>11781.550949999999</v>
      </c>
      <c r="W241" s="539"/>
      <c r="X241" s="539"/>
      <c r="Y241" s="539"/>
      <c r="Z241" s="1059"/>
      <c r="AA241" s="539"/>
      <c r="AB241" s="539"/>
      <c r="AC241" s="539"/>
      <c r="AD241" s="539"/>
      <c r="AE241" s="539"/>
      <c r="AF241" s="539"/>
      <c r="AG241" s="539"/>
      <c r="AH241" s="539"/>
      <c r="AI241" s="539"/>
      <c r="AJ241" s="539"/>
      <c r="AK241" s="539"/>
      <c r="AL241" s="896"/>
      <c r="AM241" s="539"/>
      <c r="AN241" s="539"/>
      <c r="AO241" s="539"/>
      <c r="AP241" s="539"/>
      <c r="AQ241" s="539"/>
      <c r="AR241" s="539"/>
      <c r="AS241" s="539"/>
      <c r="AT241" s="539"/>
      <c r="AU241" s="539"/>
      <c r="AV241" s="539"/>
      <c r="AW241" s="539"/>
      <c r="AX241" s="539"/>
      <c r="AY241" s="539"/>
      <c r="AZ241" s="539"/>
      <c r="BA241" s="539"/>
      <c r="BB241" s="539"/>
      <c r="BC241" s="539"/>
      <c r="BD241" s="539"/>
      <c r="BE241" s="540">
        <v>50500</v>
      </c>
      <c r="BF241" s="540">
        <v>50500</v>
      </c>
      <c r="BG241" s="1181">
        <f t="shared" si="73"/>
        <v>50499.999999999993</v>
      </c>
      <c r="BH241" s="537">
        <v>12000</v>
      </c>
      <c r="BI241" s="1193" t="s">
        <v>12</v>
      </c>
      <c r="BJ241" s="1193" t="s">
        <v>37</v>
      </c>
      <c r="BK241" s="534" t="s">
        <v>3011</v>
      </c>
      <c r="BL241" s="536">
        <v>45272.479166666664</v>
      </c>
      <c r="BM241" s="536">
        <v>45272.547222222223</v>
      </c>
      <c r="BN241" s="534"/>
      <c r="BO241" s="541">
        <v>50962</v>
      </c>
      <c r="BP241" s="476" t="str">
        <f t="shared" ref="BP241" si="74">IF(BO241=0,"0",IF(BO241&lt;=50000,"HANDYMAX",IF(BO241&lt;=58000,"SUPER HANDYMAX",IF(BO241&lt;=80000,"PANAMAX",IF(BO241&gt;=80001,"POST PANAMAX")))))</f>
        <v>SUPER HANDYMAX</v>
      </c>
      <c r="BQ241" s="534"/>
      <c r="BR241" s="534"/>
      <c r="BS241" s="534"/>
      <c r="BT241" s="534"/>
      <c r="BU241" s="534"/>
      <c r="BV241" s="534"/>
      <c r="BW241" s="534"/>
      <c r="BX241" s="476" t="s">
        <v>3193</v>
      </c>
      <c r="CA241" s="542"/>
      <c r="ADG241" s="543"/>
      <c r="ADH241" s="543"/>
      <c r="ADI241" s="543"/>
      <c r="ADJ241" s="543"/>
      <c r="ADK241" s="543"/>
      <c r="ADL241" s="543"/>
      <c r="ADM241" s="543">
        <v>1</v>
      </c>
      <c r="ADN241" s="543"/>
      <c r="ADO241" s="543"/>
      <c r="ADP241" s="543"/>
    </row>
    <row r="242" spans="1:809" s="476" customFormat="1" ht="15" customHeight="1">
      <c r="A242" s="533"/>
      <c r="B242" s="534">
        <v>14</v>
      </c>
      <c r="C242" s="534" t="s">
        <v>3167</v>
      </c>
      <c r="D242" s="534" t="s">
        <v>74</v>
      </c>
      <c r="E242" s="536">
        <v>45276</v>
      </c>
      <c r="F242" s="536">
        <v>45285</v>
      </c>
      <c r="G242" s="537" t="s">
        <v>2914</v>
      </c>
      <c r="H242" s="476" t="s">
        <v>3194</v>
      </c>
      <c r="I242" s="476" t="s">
        <v>664</v>
      </c>
      <c r="J242" s="476" t="s">
        <v>2922</v>
      </c>
      <c r="K242" s="472">
        <v>45278.166666666664</v>
      </c>
      <c r="L242" s="472">
        <v>45278.170138888891</v>
      </c>
      <c r="M242" s="538">
        <v>45281.388888888891</v>
      </c>
      <c r="N242" s="538">
        <v>45284.333333333336</v>
      </c>
      <c r="O242" s="1192" t="s">
        <v>2916</v>
      </c>
      <c r="P242" s="539"/>
      <c r="Q242" s="539"/>
      <c r="R242" s="539"/>
      <c r="S242" s="539"/>
      <c r="T242" s="539"/>
      <c r="U242" s="896"/>
      <c r="V242" s="896"/>
      <c r="W242" s="539"/>
      <c r="X242" s="539">
        <v>57619.276300000005</v>
      </c>
      <c r="Y242" s="539">
        <v>7062.7277000000013</v>
      </c>
      <c r="Z242" s="1059"/>
      <c r="AA242" s="539"/>
      <c r="AB242" s="539"/>
      <c r="AC242" s="539"/>
      <c r="AD242" s="539"/>
      <c r="AE242" s="539"/>
      <c r="AF242" s="539"/>
      <c r="AG242" s="539"/>
      <c r="AH242" s="539"/>
      <c r="AI242" s="539"/>
      <c r="AJ242" s="539"/>
      <c r="AK242" s="539"/>
      <c r="AL242" s="539"/>
      <c r="AM242" s="539"/>
      <c r="AN242" s="539"/>
      <c r="AO242" s="539"/>
      <c r="AP242" s="539"/>
      <c r="AQ242" s="539"/>
      <c r="AR242" s="539"/>
      <c r="AS242" s="539"/>
      <c r="AT242" s="539"/>
      <c r="AU242" s="539"/>
      <c r="AV242" s="539">
        <v>7517.9960000000001</v>
      </c>
      <c r="AW242" s="539"/>
      <c r="AX242" s="539"/>
      <c r="AY242" s="539"/>
      <c r="AZ242" s="539"/>
      <c r="BA242" s="539"/>
      <c r="BB242" s="539"/>
      <c r="BC242" s="539"/>
      <c r="BD242" s="539"/>
      <c r="BE242" s="540">
        <v>72200</v>
      </c>
      <c r="BF242" s="540">
        <v>72200</v>
      </c>
      <c r="BG242" s="1181">
        <f t="shared" si="73"/>
        <v>72200.000000000015</v>
      </c>
      <c r="BH242" s="537">
        <v>20000</v>
      </c>
      <c r="BI242" s="1193" t="s">
        <v>4</v>
      </c>
      <c r="BJ242" s="1193" t="s">
        <v>5</v>
      </c>
      <c r="BK242" s="534" t="s">
        <v>2937</v>
      </c>
      <c r="BL242" s="536">
        <v>45272.397916666669</v>
      </c>
      <c r="BM242" s="536">
        <v>45274.911805555559</v>
      </c>
      <c r="BN242" s="534"/>
      <c r="BO242" s="541">
        <v>74133</v>
      </c>
      <c r="BP242" s="476" t="str">
        <f t="shared" ref="BP242" si="75">IF(BO242=0,"0",IF(BO242&lt;=50000,"HANDYMAX",IF(BO242&lt;=58000,"SUPER HANDYMAX",IF(BO242&lt;=80000,"PANAMAX",IF(BO242&gt;=80001,"POST PANAMAX")))))</f>
        <v>PANAMAX</v>
      </c>
      <c r="BQ242" s="534"/>
      <c r="BR242" s="534"/>
      <c r="BS242" s="534"/>
      <c r="BT242" s="534"/>
      <c r="BU242" s="534"/>
      <c r="BV242" s="534"/>
      <c r="BW242" s="534"/>
      <c r="BX242" s="476" t="s">
        <v>3195</v>
      </c>
      <c r="CA242" s="542"/>
      <c r="ADK242" s="543">
        <v>1</v>
      </c>
      <c r="ADL242" s="543"/>
      <c r="ADM242" s="543"/>
      <c r="ADN242" s="543"/>
      <c r="ADO242" s="543"/>
      <c r="ADP242" s="543"/>
      <c r="ADQ242" s="543"/>
      <c r="ADR242" s="543"/>
      <c r="ADS242" s="543"/>
      <c r="ADT242" s="543"/>
    </row>
    <row r="243" spans="1:809" s="476" customFormat="1" ht="15" customHeight="1">
      <c r="A243" s="533"/>
      <c r="B243" s="534">
        <v>15</v>
      </c>
      <c r="C243" s="534" t="s">
        <v>3167</v>
      </c>
      <c r="D243" s="534" t="s">
        <v>2983</v>
      </c>
      <c r="E243" s="536">
        <v>45272</v>
      </c>
      <c r="F243" s="536">
        <v>45281</v>
      </c>
      <c r="G243" s="537" t="s">
        <v>107</v>
      </c>
      <c r="H243" s="476" t="s">
        <v>1481</v>
      </c>
      <c r="I243" s="476" t="s">
        <v>3196</v>
      </c>
      <c r="J243" s="476" t="s">
        <v>2922</v>
      </c>
      <c r="K243" s="472">
        <v>45273.416666666664</v>
      </c>
      <c r="L243" s="472">
        <v>45273.416666666664</v>
      </c>
      <c r="M243" s="679">
        <v>45282.085416666669</v>
      </c>
      <c r="N243" s="538" t="s">
        <v>3197</v>
      </c>
      <c r="O243" s="1192" t="s">
        <v>2916</v>
      </c>
      <c r="P243" s="539"/>
      <c r="Q243" s="539">
        <v>3019.83365323097</v>
      </c>
      <c r="R243" s="539"/>
      <c r="S243" s="539"/>
      <c r="T243" s="1128">
        <v>11650.3470835999</v>
      </c>
      <c r="U243" s="539"/>
      <c r="V243" s="539"/>
      <c r="W243" s="539"/>
      <c r="X243" s="539"/>
      <c r="Y243" s="539"/>
      <c r="Z243" s="1059"/>
      <c r="AA243" s="539"/>
      <c r="AB243" s="539"/>
      <c r="AC243" s="539"/>
      <c r="AD243" s="539"/>
      <c r="AE243" s="539"/>
      <c r="AF243" s="539"/>
      <c r="AG243" s="539"/>
      <c r="AH243" s="539"/>
      <c r="AI243" s="539"/>
      <c r="AJ243" s="539"/>
      <c r="AK243" s="539"/>
      <c r="AL243" s="539"/>
      <c r="AM243" s="539"/>
      <c r="AN243" s="539"/>
      <c r="AO243" s="539"/>
      <c r="AP243" s="539"/>
      <c r="AQ243" s="539"/>
      <c r="AR243" s="539">
        <v>7516.1639999999998</v>
      </c>
      <c r="AS243" s="539"/>
      <c r="AT243" s="539"/>
      <c r="AU243" s="539">
        <v>22518.623</v>
      </c>
      <c r="AV243" s="539">
        <v>7550.9620000000004</v>
      </c>
      <c r="AW243" s="539">
        <v>15043.558000000001</v>
      </c>
      <c r="AX243" s="539"/>
      <c r="AY243" s="539"/>
      <c r="AZ243" s="539"/>
      <c r="BA243" s="539"/>
      <c r="BB243" s="539">
        <v>3500.5120000000002</v>
      </c>
      <c r="BC243" s="539"/>
      <c r="BD243" s="539"/>
      <c r="BE243" s="540">
        <v>70800</v>
      </c>
      <c r="BF243" s="540">
        <v>70800</v>
      </c>
      <c r="BG243" s="1181">
        <f t="shared" si="73"/>
        <v>70799.999736830869</v>
      </c>
      <c r="BH243" s="537">
        <v>19000</v>
      </c>
      <c r="BI243" s="1193" t="s">
        <v>20</v>
      </c>
      <c r="BJ243" s="1193" t="s">
        <v>2923</v>
      </c>
      <c r="BK243" s="534" t="s">
        <v>2927</v>
      </c>
      <c r="BL243" s="536">
        <v>45266.811805555553</v>
      </c>
      <c r="BM243" s="536">
        <v>45269.474305555559</v>
      </c>
      <c r="BN243" s="534"/>
      <c r="BO243" s="541">
        <v>73322</v>
      </c>
      <c r="BP243" s="476" t="str">
        <f t="shared" ref="BP243:BP248" si="76">IF(BO243=0,"0",IF(BO243&lt;=50000,"HANDYMAX",IF(BO243&lt;=58000,"SUPER HANDYMAX",IF(BO243&lt;=80000,"PANAMAX",IF(BO243&gt;=80001,"POST PANAMAX")))))</f>
        <v>PANAMAX</v>
      </c>
      <c r="BQ243" s="534"/>
      <c r="BR243" s="534"/>
      <c r="BS243" s="534"/>
      <c r="BT243" s="534"/>
      <c r="BU243" s="534"/>
      <c r="BV243" s="534"/>
      <c r="BW243" s="534"/>
      <c r="CA243" s="542"/>
      <c r="ADG243" s="543">
        <v>1</v>
      </c>
      <c r="ADH243" s="543">
        <v>2</v>
      </c>
      <c r="ADI243" s="543"/>
      <c r="ADJ243" s="543"/>
      <c r="ADK243" s="543"/>
      <c r="ADL243" s="543"/>
      <c r="ADM243" s="543"/>
      <c r="ADN243" s="543"/>
      <c r="ADO243" s="543"/>
      <c r="ADP243" s="543"/>
    </row>
    <row r="244" spans="1:809" s="476" customFormat="1" ht="15" customHeight="1">
      <c r="A244" s="533"/>
      <c r="B244" s="534">
        <v>16</v>
      </c>
      <c r="C244" s="534" t="s">
        <v>3167</v>
      </c>
      <c r="D244" s="534" t="s">
        <v>74</v>
      </c>
      <c r="E244" s="536">
        <v>45271</v>
      </c>
      <c r="F244" s="536">
        <v>45280</v>
      </c>
      <c r="G244" s="537" t="s">
        <v>107</v>
      </c>
      <c r="H244" s="476" t="s">
        <v>986</v>
      </c>
      <c r="I244" s="476" t="s">
        <v>3086</v>
      </c>
      <c r="J244" s="476" t="s">
        <v>2926</v>
      </c>
      <c r="K244" s="472">
        <v>45277.375</v>
      </c>
      <c r="L244" s="472">
        <v>45277.366666666669</v>
      </c>
      <c r="M244" s="679">
        <v>45286.041666666664</v>
      </c>
      <c r="N244" s="538">
        <v>45287.613194444442</v>
      </c>
      <c r="O244" s="1192" t="s">
        <v>2916</v>
      </c>
      <c r="P244" s="896"/>
      <c r="Q244" s="539">
        <v>1224</v>
      </c>
      <c r="R244" s="896"/>
      <c r="S244" s="896"/>
      <c r="U244" s="539"/>
      <c r="V244" s="539">
        <v>15079</v>
      </c>
      <c r="W244" s="539"/>
      <c r="X244" s="539">
        <v>46609</v>
      </c>
      <c r="Y244" s="896"/>
      <c r="Z244" s="896"/>
      <c r="AA244" s="539"/>
      <c r="AB244" s="539"/>
      <c r="AC244" s="539"/>
      <c r="AD244" s="539"/>
      <c r="AE244" s="539"/>
      <c r="AF244" s="539"/>
      <c r="AG244" s="896"/>
      <c r="AH244" s="539"/>
      <c r="AI244" s="539"/>
      <c r="AJ244" s="539"/>
      <c r="AK244" s="539"/>
      <c r="AL244" s="539"/>
      <c r="AM244" s="539"/>
      <c r="AN244" s="539"/>
      <c r="AO244" s="539"/>
      <c r="AP244" s="539"/>
      <c r="AQ244" s="539"/>
      <c r="AR244" s="539">
        <v>5352</v>
      </c>
      <c r="AS244" s="539"/>
      <c r="AT244" s="539">
        <v>5286</v>
      </c>
      <c r="AU244" s="539"/>
      <c r="AV244" s="539"/>
      <c r="AW244" s="539"/>
      <c r="AX244" s="539"/>
      <c r="AY244" s="539"/>
      <c r="AZ244" s="539"/>
      <c r="BA244" s="539"/>
      <c r="BB244" s="539"/>
      <c r="BC244" s="539"/>
      <c r="BD244" s="539"/>
      <c r="BE244" s="540">
        <v>73550</v>
      </c>
      <c r="BF244" s="540">
        <v>73550</v>
      </c>
      <c r="BG244" s="1181">
        <f t="shared" si="73"/>
        <v>73550</v>
      </c>
      <c r="BH244" s="537">
        <v>19600</v>
      </c>
      <c r="BI244" s="1193" t="s">
        <v>20</v>
      </c>
      <c r="BJ244" s="1193" t="s">
        <v>2923</v>
      </c>
      <c r="BK244" s="534" t="s">
        <v>2927</v>
      </c>
      <c r="BL244" s="536">
        <v>45272.664583333331</v>
      </c>
      <c r="BM244" s="536">
        <v>45272.957638888889</v>
      </c>
      <c r="BN244" s="534"/>
      <c r="BO244" s="541">
        <v>76154</v>
      </c>
      <c r="BP244" s="476" t="str">
        <f t="shared" si="76"/>
        <v>PANAMAX</v>
      </c>
      <c r="BQ244" s="534"/>
      <c r="BR244" s="534"/>
      <c r="BS244" s="534"/>
      <c r="BT244" s="534"/>
      <c r="BU244" s="534"/>
      <c r="BV244" s="534"/>
      <c r="BW244" s="534"/>
      <c r="BX244" s="832" t="s">
        <v>3198</v>
      </c>
      <c r="CA244" s="542"/>
      <c r="ADF244" s="543"/>
      <c r="ADG244" s="543"/>
      <c r="ADH244" s="543"/>
      <c r="ADI244" s="543"/>
      <c r="ADJ244" s="543"/>
      <c r="ADK244" s="543">
        <v>1</v>
      </c>
      <c r="ADL244" s="543">
        <v>2</v>
      </c>
      <c r="ADM244" s="543"/>
      <c r="ADN244" s="543"/>
      <c r="ADO244" s="543"/>
    </row>
    <row r="245" spans="1:809" s="476" customFormat="1" ht="15" customHeight="1">
      <c r="A245" s="533"/>
      <c r="B245" s="534">
        <v>17</v>
      </c>
      <c r="C245" s="534" t="s">
        <v>3167</v>
      </c>
      <c r="D245" s="534" t="s">
        <v>74</v>
      </c>
      <c r="E245" s="536">
        <v>45276</v>
      </c>
      <c r="F245" s="536">
        <v>45285</v>
      </c>
      <c r="G245" s="537" t="s">
        <v>2914</v>
      </c>
      <c r="H245" s="476" t="s">
        <v>3199</v>
      </c>
      <c r="I245" s="476" t="s">
        <v>3200</v>
      </c>
      <c r="J245" s="476" t="s">
        <v>2933</v>
      </c>
      <c r="K245" s="472">
        <v>45281.104166666664</v>
      </c>
      <c r="L245" s="472">
        <v>45281.104166666664</v>
      </c>
      <c r="M245" s="538">
        <v>45285.756944444445</v>
      </c>
      <c r="N245" s="538">
        <v>45288.194444444445</v>
      </c>
      <c r="O245" s="1192" t="s">
        <v>2916</v>
      </c>
      <c r="P245" s="539">
        <v>9507.0280000000002</v>
      </c>
      <c r="Q245" s="539"/>
      <c r="R245" s="539"/>
      <c r="S245" s="539"/>
      <c r="T245" s="539"/>
      <c r="U245" s="539"/>
      <c r="V245" s="539">
        <v>14968.291000000001</v>
      </c>
      <c r="W245" s="539"/>
      <c r="X245" s="539">
        <v>47957.803599999999</v>
      </c>
      <c r="Y245" s="539">
        <v>1066.8774000000001</v>
      </c>
      <c r="Z245" s="539"/>
      <c r="AA245" s="539"/>
      <c r="AB245" s="539"/>
      <c r="AC245" s="539"/>
      <c r="AD245" s="539"/>
      <c r="AE245" s="539"/>
      <c r="AF245" s="539"/>
      <c r="AG245" s="539"/>
      <c r="AH245" s="539"/>
      <c r="AI245" s="539"/>
      <c r="AJ245" s="539"/>
      <c r="AK245" s="539"/>
      <c r="AL245" s="539"/>
      <c r="AM245" s="539"/>
      <c r="AN245" s="539"/>
      <c r="AO245" s="539"/>
      <c r="AP245" s="539"/>
      <c r="AQ245" s="539"/>
      <c r="AR245" s="539"/>
      <c r="AS245" s="539"/>
      <c r="AT245" s="539"/>
      <c r="AU245" s="539"/>
      <c r="AV245" s="539"/>
      <c r="AW245" s="539"/>
      <c r="AX245" s="539"/>
      <c r="AY245" s="539"/>
      <c r="AZ245" s="539"/>
      <c r="BA245" s="539"/>
      <c r="BB245" s="539"/>
      <c r="BC245" s="539"/>
      <c r="BD245" s="539"/>
      <c r="BE245" s="540">
        <v>73500</v>
      </c>
      <c r="BF245" s="540">
        <v>73500</v>
      </c>
      <c r="BG245" s="1181">
        <f t="shared" si="73"/>
        <v>73500</v>
      </c>
      <c r="BH245" s="537">
        <v>21500</v>
      </c>
      <c r="BI245" s="1193" t="s">
        <v>4</v>
      </c>
      <c r="BJ245" s="1193" t="s">
        <v>5</v>
      </c>
      <c r="BK245" s="534" t="s">
        <v>3201</v>
      </c>
      <c r="BL245" s="536">
        <v>45279.508333333331</v>
      </c>
      <c r="BM245" s="536">
        <v>45279.552083333336</v>
      </c>
      <c r="BN245" s="534"/>
      <c r="BO245" s="541">
        <v>98697</v>
      </c>
      <c r="BP245" s="476" t="str">
        <f t="shared" si="76"/>
        <v>POST PANAMAX</v>
      </c>
      <c r="BQ245" s="534"/>
      <c r="BR245" s="534"/>
      <c r="BS245" s="534"/>
      <c r="BT245" s="534"/>
      <c r="BU245" s="534"/>
      <c r="BV245" s="534"/>
      <c r="BW245" s="534"/>
      <c r="BX245" s="476" t="s">
        <v>3202</v>
      </c>
      <c r="CA245" s="542"/>
      <c r="ADK245" s="543"/>
      <c r="ADL245" s="543"/>
      <c r="ADM245" s="543"/>
      <c r="ADN245" s="543">
        <v>1</v>
      </c>
      <c r="ADO245" s="543">
        <v>1</v>
      </c>
      <c r="ADP245" s="543"/>
      <c r="ADQ245" s="543"/>
      <c r="ADR245" s="543"/>
      <c r="ADS245" s="543"/>
      <c r="ADT245" s="543"/>
    </row>
    <row r="246" spans="1:809" s="476" customFormat="1" ht="15" customHeight="1">
      <c r="A246" s="533"/>
      <c r="B246" s="534">
        <v>18</v>
      </c>
      <c r="C246" s="534" t="s">
        <v>3167</v>
      </c>
      <c r="D246" s="534" t="s">
        <v>74</v>
      </c>
      <c r="E246" s="536">
        <v>45281</v>
      </c>
      <c r="F246" s="536">
        <v>45290</v>
      </c>
      <c r="G246" s="537" t="s">
        <v>2914</v>
      </c>
      <c r="H246" s="476" t="s">
        <v>3156</v>
      </c>
      <c r="I246" s="476" t="s">
        <v>3203</v>
      </c>
      <c r="J246" s="476" t="s">
        <v>2963</v>
      </c>
      <c r="K246" s="472">
        <v>45271</v>
      </c>
      <c r="L246" s="472">
        <v>45271.366666666669</v>
      </c>
      <c r="M246" s="538">
        <v>45287.666666666664</v>
      </c>
      <c r="N246" s="538">
        <v>45289.555555555555</v>
      </c>
      <c r="O246" s="1192" t="s">
        <v>2916</v>
      </c>
      <c r="P246" s="539"/>
      <c r="Q246" s="539"/>
      <c r="R246" s="539"/>
      <c r="S246" s="539"/>
      <c r="T246" s="539">
        <v>7533.0609999999997</v>
      </c>
      <c r="U246" s="539"/>
      <c r="V246" s="539"/>
      <c r="W246" s="539"/>
      <c r="X246" s="539">
        <v>14758.043</v>
      </c>
      <c r="Y246" s="539">
        <v>37208.896000000001</v>
      </c>
      <c r="Z246" s="1059"/>
      <c r="AA246" s="539"/>
      <c r="AB246" s="539"/>
      <c r="AC246" s="539"/>
      <c r="AD246" s="539"/>
      <c r="AE246" s="539"/>
      <c r="AF246" s="539">
        <v>7500</v>
      </c>
      <c r="AG246" s="896"/>
      <c r="AH246" s="539"/>
      <c r="AI246" s="539"/>
      <c r="AJ246" s="539"/>
      <c r="AK246" s="539"/>
      <c r="AL246" s="539"/>
      <c r="AM246" s="539"/>
      <c r="AN246" s="539"/>
      <c r="AO246" s="539"/>
      <c r="AP246" s="539"/>
      <c r="AQ246" s="539"/>
      <c r="AR246" s="539"/>
      <c r="AS246" s="539"/>
      <c r="AT246" s="539"/>
      <c r="AU246" s="539"/>
      <c r="AV246" s="539"/>
      <c r="AW246" s="539"/>
      <c r="AX246" s="539"/>
      <c r="AY246" s="539"/>
      <c r="AZ246" s="539"/>
      <c r="BA246" s="539"/>
      <c r="BB246" s="539"/>
      <c r="BC246" s="539"/>
      <c r="BD246" s="539"/>
      <c r="BE246" s="540">
        <v>67000</v>
      </c>
      <c r="BF246" s="540">
        <v>67000</v>
      </c>
      <c r="BG246" s="1181">
        <f t="shared" si="73"/>
        <v>67000</v>
      </c>
      <c r="BH246" s="537">
        <v>25000</v>
      </c>
      <c r="BI246" s="1193" t="s">
        <v>12</v>
      </c>
      <c r="BJ246" s="1193" t="s">
        <v>32</v>
      </c>
      <c r="BK246" s="534" t="s">
        <v>2918</v>
      </c>
      <c r="BL246" s="536">
        <v>45271.448472222219</v>
      </c>
      <c r="BM246" s="536">
        <v>45271.448472222219</v>
      </c>
      <c r="BN246" s="534"/>
      <c r="BO246" s="541">
        <v>74759</v>
      </c>
      <c r="BP246" s="476" t="str">
        <f t="shared" si="76"/>
        <v>PANAMAX</v>
      </c>
      <c r="BQ246" s="534"/>
      <c r="BR246" s="534"/>
      <c r="BS246" s="534"/>
      <c r="BT246" s="534"/>
      <c r="BU246" s="534"/>
      <c r="BV246" s="534"/>
      <c r="BW246" s="534"/>
      <c r="BX246" s="476" t="s">
        <v>3204</v>
      </c>
      <c r="CA246" s="542"/>
      <c r="ADF246" s="476">
        <v>2</v>
      </c>
      <c r="ADP246" s="543">
        <v>1</v>
      </c>
      <c r="ADQ246" s="543"/>
      <c r="ADR246" s="543"/>
      <c r="ADS246" s="543"/>
      <c r="ADT246" s="543"/>
      <c r="ADU246" s="543"/>
      <c r="ADV246" s="543"/>
      <c r="ADW246" s="543"/>
      <c r="ADX246" s="543"/>
      <c r="ADY246" s="543"/>
    </row>
    <row r="247" spans="1:809" s="476" customFormat="1" ht="15" customHeight="1">
      <c r="A247" s="533"/>
      <c r="B247" s="534">
        <v>19</v>
      </c>
      <c r="C247" s="534" t="s">
        <v>3167</v>
      </c>
      <c r="D247" s="534" t="s">
        <v>74</v>
      </c>
      <c r="E247" s="536">
        <v>45281</v>
      </c>
      <c r="F247" s="536">
        <v>45290</v>
      </c>
      <c r="G247" s="537" t="s">
        <v>2914</v>
      </c>
      <c r="H247" s="476" t="s">
        <v>965</v>
      </c>
      <c r="I247" s="476" t="s">
        <v>3205</v>
      </c>
      <c r="J247" s="476" t="s">
        <v>2915</v>
      </c>
      <c r="K247" s="472">
        <v>45281</v>
      </c>
      <c r="L247" s="472">
        <v>45281.033333333333</v>
      </c>
      <c r="M247" s="538">
        <v>45287.840277777781</v>
      </c>
      <c r="N247" s="538">
        <v>45290.388888888891</v>
      </c>
      <c r="O247" s="1192" t="s">
        <v>2916</v>
      </c>
      <c r="P247" s="539"/>
      <c r="Q247" s="539"/>
      <c r="R247" s="539"/>
      <c r="S247" s="539"/>
      <c r="T247" s="539"/>
      <c r="U247" s="539"/>
      <c r="V247" s="539"/>
      <c r="W247" s="539"/>
      <c r="X247" s="539">
        <v>45816.824000000001</v>
      </c>
      <c r="Y247" s="539">
        <v>7433.1760000000004</v>
      </c>
      <c r="Z247" s="1059"/>
      <c r="AA247" s="539"/>
      <c r="AB247" s="539"/>
      <c r="AC247" s="539"/>
      <c r="AD247" s="539"/>
      <c r="AE247" s="539"/>
      <c r="AF247" s="539"/>
      <c r="AG247" s="539"/>
      <c r="AH247" s="539"/>
      <c r="AI247" s="539"/>
      <c r="AJ247" s="539"/>
      <c r="AK247" s="539"/>
      <c r="AL247" s="539"/>
      <c r="AM247" s="539"/>
      <c r="AN247" s="539"/>
      <c r="AO247" s="539"/>
      <c r="AP247" s="539"/>
      <c r="AQ247" s="539"/>
      <c r="AR247" s="539"/>
      <c r="AS247" s="539"/>
      <c r="AT247" s="539"/>
      <c r="AU247" s="539"/>
      <c r="AV247" s="539"/>
      <c r="AW247" s="539"/>
      <c r="AX247" s="539"/>
      <c r="AY247" s="539"/>
      <c r="AZ247" s="539"/>
      <c r="BA247" s="539"/>
      <c r="BB247" s="539"/>
      <c r="BC247" s="539"/>
      <c r="BD247" s="539"/>
      <c r="BE247" s="540">
        <v>53250</v>
      </c>
      <c r="BF247" s="540">
        <v>53250</v>
      </c>
      <c r="BG247" s="1181">
        <f t="shared" si="73"/>
        <v>53250</v>
      </c>
      <c r="BH247" s="537">
        <v>12000</v>
      </c>
      <c r="BI247" s="1193" t="s">
        <v>12</v>
      </c>
      <c r="BJ247" s="1193" t="s">
        <v>3102</v>
      </c>
      <c r="BK247" s="534" t="s">
        <v>2968</v>
      </c>
      <c r="BL247" s="536">
        <v>45278.257638888892</v>
      </c>
      <c r="BM247" s="536">
        <v>45278.257638888892</v>
      </c>
      <c r="BN247" s="534"/>
      <c r="BO247" s="541">
        <v>53462</v>
      </c>
      <c r="BP247" s="476" t="str">
        <f t="shared" si="76"/>
        <v>SUPER HANDYMAX</v>
      </c>
      <c r="BQ247" s="534"/>
      <c r="BR247" s="534"/>
      <c r="BS247" s="534"/>
      <c r="BT247" s="534"/>
      <c r="BU247" s="534"/>
      <c r="BV247" s="534"/>
      <c r="BW247" s="534"/>
      <c r="BX247" s="476" t="s">
        <v>3206</v>
      </c>
      <c r="CA247" s="542"/>
      <c r="ADO247" s="476">
        <v>1</v>
      </c>
      <c r="ADP247" s="543">
        <v>2</v>
      </c>
      <c r="ADQ247" s="543"/>
      <c r="ADR247" s="543"/>
      <c r="ADS247" s="543"/>
      <c r="ADT247" s="543"/>
      <c r="ADU247" s="543"/>
      <c r="ADV247" s="543"/>
      <c r="ADW247" s="543"/>
      <c r="ADX247" s="543"/>
      <c r="ADY247" s="543"/>
    </row>
    <row r="248" spans="1:809" s="476" customFormat="1" ht="15" customHeight="1">
      <c r="A248" s="533"/>
      <c r="B248" s="534">
        <v>20</v>
      </c>
      <c r="C248" s="534" t="s">
        <v>3167</v>
      </c>
      <c r="D248" s="534" t="s">
        <v>73</v>
      </c>
      <c r="E248" s="536">
        <v>45280</v>
      </c>
      <c r="F248" s="536">
        <v>45289</v>
      </c>
      <c r="G248" s="537" t="s">
        <v>2914</v>
      </c>
      <c r="H248" s="476" t="s">
        <v>3207</v>
      </c>
      <c r="I248" s="476" t="s">
        <v>3208</v>
      </c>
      <c r="J248" s="476" t="s">
        <v>2933</v>
      </c>
      <c r="K248" s="472">
        <v>45282.125</v>
      </c>
      <c r="L248" s="472">
        <v>45282.184027777781</v>
      </c>
      <c r="M248" s="538">
        <v>45289.479166666664</v>
      </c>
      <c r="N248" s="538">
        <v>45291.326388888891</v>
      </c>
      <c r="O248" s="1192" t="s">
        <v>2916</v>
      </c>
      <c r="P248" s="539"/>
      <c r="Q248" s="539"/>
      <c r="R248" s="539"/>
      <c r="S248" s="539"/>
      <c r="T248" s="539"/>
      <c r="U248" s="539">
        <v>32335.124799999994</v>
      </c>
      <c r="V248" s="539">
        <v>8997.5532000000003</v>
      </c>
      <c r="W248" s="539"/>
      <c r="X248" s="539">
        <v>14967.322</v>
      </c>
      <c r="Y248" s="539"/>
      <c r="Z248" s="1059"/>
      <c r="AA248" s="539"/>
      <c r="AB248" s="539"/>
      <c r="AC248" s="539"/>
      <c r="AD248" s="539"/>
      <c r="AE248" s="539"/>
      <c r="AF248" s="896"/>
      <c r="AG248" s="539"/>
      <c r="AH248" s="539"/>
      <c r="AI248" s="539"/>
      <c r="AJ248" s="539"/>
      <c r="AK248" s="539"/>
      <c r="AL248" s="539"/>
      <c r="AM248" s="539"/>
      <c r="AN248" s="539"/>
      <c r="AO248" s="539"/>
      <c r="AP248" s="539"/>
      <c r="AQ248" s="539"/>
      <c r="AR248" s="539"/>
      <c r="AS248" s="539"/>
      <c r="AT248" s="539"/>
      <c r="AU248" s="539"/>
      <c r="AV248" s="539"/>
      <c r="AW248" s="539"/>
      <c r="AX248" s="539"/>
      <c r="AY248" s="539"/>
      <c r="AZ248" s="539"/>
      <c r="BA248" s="539"/>
      <c r="BB248" s="539"/>
      <c r="BC248" s="539"/>
      <c r="BD248" s="539"/>
      <c r="BE248" s="540">
        <v>56300</v>
      </c>
      <c r="BF248" s="540">
        <v>56300</v>
      </c>
      <c r="BG248" s="1181">
        <f t="shared" si="73"/>
        <v>56299.999999999993</v>
      </c>
      <c r="BH248" s="537">
        <v>18000</v>
      </c>
      <c r="BI248" s="1193" t="s">
        <v>4</v>
      </c>
      <c r="BJ248" s="1193" t="s">
        <v>5</v>
      </c>
      <c r="BK248" s="534" t="s">
        <v>2924</v>
      </c>
      <c r="BL248" s="536">
        <v>45274.699305555558</v>
      </c>
      <c r="BM248" s="536">
        <v>45276.362500000003</v>
      </c>
      <c r="BN248" s="534"/>
      <c r="BO248" s="541">
        <v>74979</v>
      </c>
      <c r="BP248" s="476" t="str">
        <f t="shared" si="76"/>
        <v>PANAMAX</v>
      </c>
      <c r="BQ248" s="534"/>
      <c r="BR248" s="534"/>
      <c r="BS248" s="534"/>
      <c r="BT248" s="534"/>
      <c r="BU248" s="534"/>
      <c r="BV248" s="534"/>
      <c r="BW248" s="534"/>
      <c r="BX248" s="476" t="s">
        <v>3209</v>
      </c>
      <c r="CA248" s="542"/>
      <c r="ADO248" s="543">
        <v>2</v>
      </c>
      <c r="ADP248" s="543">
        <v>2</v>
      </c>
      <c r="ADQ248" s="543"/>
      <c r="ADR248" s="543">
        <v>1</v>
      </c>
      <c r="ADS248" s="543">
        <v>1</v>
      </c>
      <c r="ADT248" s="543"/>
      <c r="ADU248" s="543"/>
      <c r="ADV248" s="543"/>
      <c r="ADW248" s="543"/>
      <c r="ADX248" s="543"/>
    </row>
    <row r="249" spans="1:809" ht="14.4">
      <c r="O249" s="1199" t="s">
        <v>96</v>
      </c>
      <c r="P249" s="458">
        <f>SUM(P229:P248)</f>
        <v>61066.555</v>
      </c>
      <c r="Q249" s="458">
        <f>SUM(Q229:Q248)</f>
        <v>7108.8336532309695</v>
      </c>
      <c r="R249" s="458">
        <f t="shared" ref="R249:BG249" si="77">SUM(R229:R248)</f>
        <v>0</v>
      </c>
      <c r="S249" s="458">
        <f t="shared" si="77"/>
        <v>0</v>
      </c>
      <c r="T249" s="458">
        <f t="shared" si="77"/>
        <v>40207.303083599894</v>
      </c>
      <c r="U249" s="458">
        <f t="shared" si="77"/>
        <v>166640.57884999999</v>
      </c>
      <c r="V249" s="458">
        <f t="shared" si="77"/>
        <v>147453.25815000001</v>
      </c>
      <c r="W249" s="458">
        <f t="shared" si="77"/>
        <v>0</v>
      </c>
      <c r="X249" s="458">
        <f t="shared" si="77"/>
        <v>459802.02480000007</v>
      </c>
      <c r="Y249" s="458">
        <f t="shared" si="77"/>
        <v>158681.11420000001</v>
      </c>
      <c r="Z249" s="458">
        <f t="shared" si="77"/>
        <v>0</v>
      </c>
      <c r="AA249" s="458">
        <f t="shared" si="77"/>
        <v>0</v>
      </c>
      <c r="AB249" s="1154">
        <f t="shared" si="77"/>
        <v>0</v>
      </c>
      <c r="AC249" s="1154">
        <f t="shared" si="77"/>
        <v>0</v>
      </c>
      <c r="AD249" s="1154">
        <f t="shared" si="77"/>
        <v>0</v>
      </c>
      <c r="AE249" s="1154">
        <f t="shared" si="77"/>
        <v>0</v>
      </c>
      <c r="AF249" s="1154">
        <f t="shared" si="77"/>
        <v>15000</v>
      </c>
      <c r="AG249" s="1154">
        <f t="shared" si="77"/>
        <v>0</v>
      </c>
      <c r="AH249" s="1154">
        <f t="shared" si="77"/>
        <v>0</v>
      </c>
      <c r="AI249" s="1154">
        <f t="shared" si="77"/>
        <v>0</v>
      </c>
      <c r="AJ249" s="1154">
        <f t="shared" si="77"/>
        <v>0</v>
      </c>
      <c r="AK249" s="1154">
        <f t="shared" si="77"/>
        <v>0</v>
      </c>
      <c r="AL249" s="1154">
        <f t="shared" si="77"/>
        <v>0</v>
      </c>
      <c r="AM249" s="1154">
        <f t="shared" si="77"/>
        <v>0</v>
      </c>
      <c r="AN249" s="1154">
        <f t="shared" si="77"/>
        <v>0</v>
      </c>
      <c r="AO249" s="1154">
        <f t="shared" si="77"/>
        <v>0</v>
      </c>
      <c r="AP249" s="1154">
        <f t="shared" si="77"/>
        <v>0</v>
      </c>
      <c r="AQ249" s="1154">
        <f t="shared" si="77"/>
        <v>0</v>
      </c>
      <c r="AR249" s="1154">
        <f t="shared" si="77"/>
        <v>44102.915999999997</v>
      </c>
      <c r="AS249" s="1154">
        <f t="shared" si="77"/>
        <v>0</v>
      </c>
      <c r="AT249" s="1154">
        <f t="shared" si="77"/>
        <v>5286</v>
      </c>
      <c r="AU249" s="1154">
        <f t="shared" si="77"/>
        <v>60316.772000000004</v>
      </c>
      <c r="AV249" s="1154">
        <f t="shared" si="77"/>
        <v>30182.450999999997</v>
      </c>
      <c r="AW249" s="1154">
        <f t="shared" si="77"/>
        <v>46751.668999999994</v>
      </c>
      <c r="AX249" s="1154">
        <f t="shared" si="77"/>
        <v>0</v>
      </c>
      <c r="AY249" s="1154">
        <f t="shared" si="77"/>
        <v>0</v>
      </c>
      <c r="AZ249" s="1154">
        <f t="shared" si="77"/>
        <v>0</v>
      </c>
      <c r="BA249" s="1154">
        <f t="shared" si="77"/>
        <v>0</v>
      </c>
      <c r="BB249" s="1154">
        <f t="shared" si="77"/>
        <v>3500.5120000000002</v>
      </c>
      <c r="BC249" s="1154">
        <f t="shared" si="77"/>
        <v>0</v>
      </c>
      <c r="BD249" s="1154">
        <f>SUM(BD229:BD248)</f>
        <v>0</v>
      </c>
      <c r="BE249" s="458">
        <f>SUM(BE229:BE248)</f>
        <v>1246100</v>
      </c>
      <c r="BF249" s="458">
        <f>SUM(BF229:BF248)</f>
        <v>1246100</v>
      </c>
      <c r="BG249" s="1179">
        <f t="shared" si="77"/>
        <v>1246099.987736831</v>
      </c>
    </row>
    <row r="250" spans="1:809" ht="14.4">
      <c r="P250" s="1384">
        <f>SUM(P249:T249)</f>
        <v>108382.69173683086</v>
      </c>
      <c r="Q250" s="1385"/>
      <c r="R250" s="1385"/>
      <c r="S250" s="1385"/>
      <c r="T250" s="1386"/>
      <c r="U250" s="1384">
        <f>SUM(U249:W249)</f>
        <v>314093.837</v>
      </c>
      <c r="V250" s="1385"/>
      <c r="W250" s="1386"/>
      <c r="X250" s="1384">
        <f>SUM(X249:Y249)</f>
        <v>618483.13900000008</v>
      </c>
      <c r="Y250" s="1386"/>
      <c r="Z250" s="459">
        <f>Z249</f>
        <v>0</v>
      </c>
      <c r="AA250" s="1146">
        <f>AA249</f>
        <v>0</v>
      </c>
      <c r="AB250" s="1393">
        <f>SUM(AB249:BD249)</f>
        <v>205140.31999999998</v>
      </c>
      <c r="AC250" s="1393"/>
      <c r="AD250" s="1393"/>
      <c r="AE250" s="1393"/>
      <c r="AF250" s="1393"/>
      <c r="AG250" s="1393"/>
      <c r="AH250" s="1393"/>
      <c r="AI250" s="1393"/>
      <c r="AJ250" s="1393"/>
      <c r="AK250" s="1393"/>
      <c r="AL250" s="1393"/>
      <c r="AM250" s="1393"/>
      <c r="AN250" s="1393"/>
      <c r="AO250" s="1393"/>
      <c r="AP250" s="1393"/>
      <c r="AQ250" s="1393"/>
      <c r="AR250" s="1393"/>
      <c r="AS250" s="1393"/>
      <c r="AT250" s="1393"/>
      <c r="AU250" s="1393"/>
      <c r="AV250" s="1393"/>
      <c r="AW250" s="1393"/>
      <c r="AX250" s="1393"/>
      <c r="AY250" s="1393"/>
      <c r="AZ250" s="1393"/>
      <c r="BA250" s="1393"/>
      <c r="BB250" s="1393"/>
      <c r="BC250" s="1393"/>
      <c r="BD250" s="1393"/>
      <c r="BE250" s="1153"/>
      <c r="BF250" s="460"/>
      <c r="BG250" s="1179"/>
    </row>
    <row r="252" spans="1:809" ht="15" customHeight="1" collapsed="1">
      <c r="B252" s="99" t="s">
        <v>2887</v>
      </c>
    </row>
    <row r="253" spans="1:809" ht="15" customHeight="1">
      <c r="A253" s="487"/>
      <c r="B253" s="260">
        <v>1</v>
      </c>
      <c r="C253" s="260" t="s">
        <v>3167</v>
      </c>
      <c r="D253" s="260" t="s">
        <v>74</v>
      </c>
      <c r="E253" s="257">
        <v>45285</v>
      </c>
      <c r="F253" s="257">
        <v>44927</v>
      </c>
      <c r="G253" s="258" t="s">
        <v>2914</v>
      </c>
      <c r="H253" s="100" t="s">
        <v>1852</v>
      </c>
      <c r="I253" s="100" t="s">
        <v>3210</v>
      </c>
      <c r="J253" s="100" t="s">
        <v>2922</v>
      </c>
      <c r="K253" s="339">
        <v>45287.458333333336</v>
      </c>
      <c r="L253" s="339">
        <v>45287.461805555555</v>
      </c>
      <c r="M253" s="74" t="s">
        <v>3211</v>
      </c>
      <c r="N253" s="74" t="s">
        <v>3212</v>
      </c>
      <c r="O253" s="1194" t="s">
        <v>3213</v>
      </c>
      <c r="P253" s="660">
        <f>'MBR MV. CHANG MING'!T24</f>
        <v>7591.6610000000001</v>
      </c>
      <c r="Q253" s="261"/>
      <c r="R253" s="261"/>
      <c r="S253" s="261"/>
      <c r="T253" s="261"/>
      <c r="U253" s="261"/>
      <c r="V253" s="261"/>
      <c r="W253" s="261"/>
      <c r="X253" s="660">
        <f>'MBR MV. CHANG MING'!AB24</f>
        <v>9408.2050000000054</v>
      </c>
      <c r="Y253" s="660">
        <f>'MBR MV. CHANG MING'!AC24</f>
        <v>50884.499000000011</v>
      </c>
      <c r="Z253" s="261"/>
      <c r="AA253" s="261"/>
      <c r="AB253" s="261"/>
      <c r="AC253" s="261"/>
      <c r="AD253" s="261"/>
      <c r="AE253" s="261"/>
      <c r="AF253" s="261"/>
      <c r="AG253" s="261"/>
      <c r="AH253" s="261"/>
      <c r="AI253" s="261"/>
      <c r="AJ253" s="261"/>
      <c r="AK253" s="261"/>
      <c r="AL253" s="261"/>
      <c r="AM253" s="261"/>
      <c r="AN253" s="261"/>
      <c r="AO253" s="261"/>
      <c r="AP253" s="261"/>
      <c r="AQ253" s="261"/>
      <c r="AR253" s="261"/>
      <c r="AS253" s="261"/>
      <c r="AT253" s="261"/>
      <c r="AU253" s="261"/>
      <c r="AV253" s="660">
        <f>'MBR MV. CHANG MING'!AZ24</f>
        <v>7615.6350000000002</v>
      </c>
      <c r="AW253" s="261"/>
      <c r="AX253" s="261"/>
      <c r="AY253" s="261"/>
      <c r="AZ253" s="261"/>
      <c r="BA253" s="261"/>
      <c r="BB253" s="261"/>
      <c r="BC253" s="261"/>
      <c r="BD253" s="261"/>
      <c r="BE253" s="323">
        <v>75500</v>
      </c>
      <c r="BF253" s="323">
        <v>75500</v>
      </c>
      <c r="BG253" s="1182">
        <f>SUM(P253:BD253)</f>
        <v>75500.000000000015</v>
      </c>
      <c r="BH253" s="258">
        <v>15000</v>
      </c>
      <c r="BI253" s="1194" t="s">
        <v>12</v>
      </c>
      <c r="BJ253" s="1194" t="s">
        <v>37</v>
      </c>
      <c r="BK253" s="260" t="s">
        <v>2924</v>
      </c>
      <c r="BL253" s="257">
        <v>45280.757638888892</v>
      </c>
      <c r="BM253" s="257">
        <v>45284.328472222223</v>
      </c>
      <c r="BN253" s="260"/>
      <c r="BO253" s="324">
        <v>77679</v>
      </c>
      <c r="BP253" s="100" t="str">
        <f t="shared" ref="BP253" si="78">IF(BO253=0,"0",IF(BO253&lt;=50000,"HANDYMAX",IF(BO253&lt;=58000,"SUPER HANDYMAX",IF(BO253&lt;=80000,"PANAMAX",IF(BO253&gt;=80001,"POST PANAMAX")))))</f>
        <v>PANAMAX</v>
      </c>
      <c r="BQ253" s="260"/>
      <c r="BR253" s="260"/>
      <c r="BS253" s="260"/>
      <c r="BT253" s="260"/>
      <c r="BU253" s="260"/>
      <c r="BV253" s="260"/>
      <c r="BW253" s="260"/>
      <c r="BX253" s="100" t="s">
        <v>3214</v>
      </c>
      <c r="BY253" s="71"/>
      <c r="BZ253" s="71"/>
      <c r="CA253" s="848"/>
      <c r="CB253" s="71"/>
      <c r="CC253" s="71"/>
      <c r="CD253" s="71"/>
      <c r="CE253" s="71"/>
      <c r="CF253" s="71"/>
      <c r="CG253" s="71"/>
      <c r="CH253" s="71"/>
      <c r="CI253" s="71"/>
      <c r="CJ253" s="71"/>
      <c r="CK253" s="71"/>
      <c r="CL253" s="71"/>
      <c r="CM253" s="71"/>
      <c r="CN253" s="71"/>
      <c r="CO253" s="71"/>
      <c r="CP253" s="71"/>
      <c r="CQ253" s="71"/>
      <c r="CR253" s="71"/>
      <c r="CS253" s="71"/>
      <c r="CT253" s="71"/>
      <c r="CU253" s="71"/>
      <c r="CV253" s="71"/>
      <c r="CW253" s="71"/>
      <c r="CX253" s="71"/>
      <c r="CY253" s="71"/>
      <c r="CZ253" s="71"/>
      <c r="DA253" s="71"/>
      <c r="DB253" s="71"/>
      <c r="DC253" s="71"/>
      <c r="DD253" s="71"/>
      <c r="DE253" s="71"/>
      <c r="DF253" s="71"/>
      <c r="DG253" s="71"/>
      <c r="DH253" s="71"/>
      <c r="DI253" s="71"/>
      <c r="DJ253" s="71"/>
      <c r="DK253" s="71"/>
      <c r="DL253" s="71"/>
      <c r="DM253" s="71"/>
      <c r="DN253" s="71"/>
      <c r="DO253" s="71"/>
      <c r="DP253" s="71"/>
      <c r="DQ253" s="71"/>
      <c r="DR253" s="71"/>
      <c r="DS253" s="71"/>
      <c r="DT253" s="71"/>
      <c r="DU253" s="71"/>
      <c r="DV253" s="71"/>
      <c r="DW253" s="71"/>
      <c r="DX253" s="71"/>
      <c r="DY253" s="71"/>
      <c r="DZ253" s="71"/>
      <c r="EA253" s="71"/>
      <c r="EB253" s="71"/>
      <c r="EC253" s="71"/>
      <c r="ED253" s="71"/>
      <c r="EE253" s="71"/>
      <c r="EF253" s="71"/>
      <c r="EG253" s="71"/>
      <c r="EH253" s="71"/>
      <c r="EI253" s="71"/>
      <c r="EJ253" s="71"/>
      <c r="EK253" s="71"/>
      <c r="EL253" s="71"/>
      <c r="EM253" s="71"/>
      <c r="EN253" s="71"/>
      <c r="EO253" s="71"/>
      <c r="EP253" s="71"/>
      <c r="EQ253" s="71"/>
      <c r="ER253" s="71"/>
      <c r="ES253" s="71"/>
      <c r="ET253" s="71"/>
      <c r="EU253" s="71"/>
      <c r="EV253" s="71"/>
      <c r="EW253" s="71"/>
      <c r="EX253" s="71"/>
      <c r="EY253" s="71"/>
      <c r="EZ253" s="71"/>
      <c r="FA253" s="71"/>
      <c r="FB253" s="71"/>
      <c r="FC253" s="71"/>
      <c r="FD253" s="71"/>
      <c r="FE253" s="71"/>
      <c r="FF253" s="71"/>
      <c r="FG253" s="71"/>
      <c r="FH253" s="71"/>
      <c r="FI253" s="71"/>
      <c r="FJ253" s="71"/>
      <c r="FK253" s="71"/>
      <c r="FL253" s="71"/>
      <c r="ADT253" s="353">
        <v>1</v>
      </c>
      <c r="ADU253" s="353">
        <v>1</v>
      </c>
      <c r="ADV253" s="353">
        <v>2</v>
      </c>
      <c r="ADW253" s="353"/>
      <c r="ADX253" s="353"/>
      <c r="ADY253" s="353"/>
      <c r="ADZ253" s="353"/>
      <c r="AEA253" s="353"/>
      <c r="AEB253" s="353"/>
      <c r="AEC253" s="353"/>
    </row>
    <row r="254" spans="1:809" ht="15" customHeight="1">
      <c r="A254" s="487"/>
      <c r="B254" s="260">
        <v>2</v>
      </c>
      <c r="C254" s="260" t="s">
        <v>3167</v>
      </c>
      <c r="D254" s="260" t="s">
        <v>74</v>
      </c>
      <c r="E254" s="257">
        <v>45286</v>
      </c>
      <c r="F254" s="257">
        <v>44927</v>
      </c>
      <c r="G254" s="258" t="s">
        <v>2914</v>
      </c>
      <c r="H254" s="100" t="s">
        <v>3215</v>
      </c>
      <c r="I254" s="100" t="s">
        <v>3216</v>
      </c>
      <c r="J254" s="100" t="s">
        <v>2933</v>
      </c>
      <c r="K254" s="339">
        <v>45287.333333333336</v>
      </c>
      <c r="L254" s="339">
        <v>45287.333333333336</v>
      </c>
      <c r="M254" s="74" t="s">
        <v>3217</v>
      </c>
      <c r="N254" s="74" t="s">
        <v>3212</v>
      </c>
      <c r="O254" s="1194" t="s">
        <v>3213</v>
      </c>
      <c r="P254" s="261"/>
      <c r="Q254" s="261"/>
      <c r="R254" s="261"/>
      <c r="S254" s="261"/>
      <c r="T254" s="261"/>
      <c r="U254" s="261"/>
      <c r="V254" s="660">
        <f>'MBR MV. VINCA (voy.02)'!Z19</f>
        <v>15084.712000000001</v>
      </c>
      <c r="W254" s="261"/>
      <c r="X254" s="660">
        <f>'MBR MV. VINCA (voy.02)'!AB19</f>
        <v>29915.287999999993</v>
      </c>
      <c r="Y254" s="261"/>
      <c r="Z254" s="847"/>
      <c r="AA254" s="261"/>
      <c r="AB254" s="261"/>
      <c r="AC254" s="261"/>
      <c r="AD254" s="261"/>
      <c r="AE254" s="261"/>
      <c r="AF254" s="261"/>
      <c r="AG254" s="261"/>
      <c r="AH254" s="261"/>
      <c r="AI254" s="261"/>
      <c r="AJ254" s="261"/>
      <c r="AK254" s="261"/>
      <c r="AL254" s="261"/>
      <c r="AM254" s="261"/>
      <c r="AN254" s="261"/>
      <c r="AO254" s="261"/>
      <c r="AP254" s="261"/>
      <c r="AQ254" s="261"/>
      <c r="AR254" s="261"/>
      <c r="AS254" s="261"/>
      <c r="AT254" s="261"/>
      <c r="AU254" s="261"/>
      <c r="AV254" s="261"/>
      <c r="AW254" s="261"/>
      <c r="AX254" s="261"/>
      <c r="AY254" s="261"/>
      <c r="AZ254" s="261"/>
      <c r="BA254" s="261"/>
      <c r="BB254" s="261"/>
      <c r="BC254" s="261"/>
      <c r="BD254" s="261"/>
      <c r="BE254" s="323">
        <v>45000</v>
      </c>
      <c r="BF254" s="323">
        <v>45000</v>
      </c>
      <c r="BG254" s="1182">
        <f t="shared" ref="BG254:BG258" si="79">SUM(P254:BD254)</f>
        <v>44999.999999999993</v>
      </c>
      <c r="BH254" s="258">
        <v>17500</v>
      </c>
      <c r="BI254" s="1194" t="s">
        <v>12</v>
      </c>
      <c r="BJ254" s="1194" t="s">
        <v>32</v>
      </c>
      <c r="BK254" s="260" t="s">
        <v>2924</v>
      </c>
      <c r="BL254" s="257">
        <v>45274.443055555559</v>
      </c>
      <c r="BM254" s="257">
        <v>45278.772916666669</v>
      </c>
      <c r="BN254" s="260"/>
      <c r="BO254" s="324">
        <v>49999</v>
      </c>
      <c r="BP254" s="100" t="str">
        <f t="shared" ref="BP254" si="80">IF(BO254=0,"0",IF(BO254&lt;=50000,"HANDYMAX",IF(BO254&lt;=58000,"SUPER HANDYMAX",IF(BO254&lt;=80000,"PANAMAX",IF(BO254&gt;=80001,"POST PANAMAX")))))</f>
        <v>HANDYMAX</v>
      </c>
      <c r="BQ254" s="260"/>
      <c r="BR254" s="260"/>
      <c r="BS254" s="260"/>
      <c r="BT254" s="260"/>
      <c r="BU254" s="260"/>
      <c r="BV254" s="260"/>
      <c r="BW254" s="260"/>
      <c r="BX254" s="100"/>
      <c r="BY254" s="71"/>
      <c r="BZ254" s="71"/>
      <c r="CA254" s="848"/>
      <c r="CB254" s="71"/>
      <c r="CC254" s="71"/>
      <c r="CD254" s="71"/>
      <c r="CE254" s="71"/>
      <c r="CF254" s="71"/>
      <c r="CG254" s="71"/>
      <c r="CH254" s="71"/>
      <c r="CI254" s="71"/>
      <c r="CJ254" s="71"/>
      <c r="CK254" s="71"/>
      <c r="CL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B254" s="71"/>
      <c r="DC254" s="71"/>
      <c r="DD254" s="71"/>
      <c r="DE254" s="71"/>
      <c r="DF254" s="71"/>
      <c r="DG254" s="71"/>
      <c r="DH254" s="71"/>
      <c r="DI254" s="71"/>
      <c r="DJ254" s="71"/>
      <c r="DK254" s="71"/>
      <c r="DL254" s="71"/>
      <c r="DM254" s="71"/>
      <c r="DN254" s="71"/>
      <c r="DO254" s="71"/>
      <c r="DP254" s="71"/>
      <c r="DQ254" s="71"/>
      <c r="DR254" s="71"/>
      <c r="DS254" s="71"/>
      <c r="DT254" s="71"/>
      <c r="DU254" s="71"/>
      <c r="DV254" s="71"/>
      <c r="DW254" s="71"/>
      <c r="DX254" s="71"/>
      <c r="DY254" s="71"/>
      <c r="DZ254" s="71"/>
      <c r="EA254" s="71"/>
      <c r="EB254" s="71"/>
      <c r="EC254" s="71"/>
      <c r="ED254" s="71"/>
      <c r="EE254" s="71"/>
      <c r="EF254" s="71"/>
      <c r="EG254" s="71"/>
      <c r="EH254" s="71"/>
      <c r="EI254" s="71"/>
      <c r="EJ254" s="71"/>
      <c r="EK254" s="71"/>
      <c r="EL254" s="71"/>
      <c r="EM254" s="71"/>
      <c r="EN254" s="71"/>
      <c r="EO254" s="71"/>
      <c r="EP254" s="71"/>
      <c r="EQ254" s="71"/>
      <c r="ER254" s="71"/>
      <c r="ES254" s="71"/>
      <c r="ET254" s="71"/>
      <c r="EU254" s="71"/>
      <c r="EV254" s="71"/>
      <c r="EW254" s="71"/>
      <c r="EX254" s="71"/>
      <c r="EY254" s="71"/>
      <c r="EZ254" s="71"/>
      <c r="FA254" s="71"/>
      <c r="FB254" s="71"/>
      <c r="FC254" s="71"/>
      <c r="FD254" s="71"/>
      <c r="FE254" s="71"/>
      <c r="FF254" s="71"/>
      <c r="FG254" s="71"/>
      <c r="FH254" s="71"/>
      <c r="FI254" s="71"/>
      <c r="FJ254" s="71"/>
      <c r="FK254" s="71"/>
      <c r="FL254" s="71"/>
      <c r="ADU254" s="353">
        <v>1</v>
      </c>
      <c r="ADV254" s="353">
        <v>2</v>
      </c>
      <c r="ADW254" s="353"/>
      <c r="ADX254" s="353"/>
      <c r="ADY254" s="353"/>
      <c r="ADZ254" s="353"/>
      <c r="AEA254" s="353"/>
    </row>
    <row r="255" spans="1:809" ht="15" customHeight="1">
      <c r="A255" s="487"/>
      <c r="B255" s="260">
        <v>3</v>
      </c>
      <c r="C255" s="260" t="s">
        <v>3167</v>
      </c>
      <c r="D255" s="260" t="s">
        <v>2983</v>
      </c>
      <c r="E255" s="257">
        <v>45278</v>
      </c>
      <c r="F255" s="257">
        <v>45287</v>
      </c>
      <c r="G255" s="258" t="s">
        <v>107</v>
      </c>
      <c r="H255" s="100" t="s">
        <v>3218</v>
      </c>
      <c r="I255" s="100" t="s">
        <v>3219</v>
      </c>
      <c r="J255" s="100" t="s">
        <v>2922</v>
      </c>
      <c r="K255" s="339">
        <v>45276.333333333336</v>
      </c>
      <c r="L255" s="339">
        <v>45276.241666666669</v>
      </c>
      <c r="M255" s="74" t="s">
        <v>3220</v>
      </c>
      <c r="N255" s="74" t="s">
        <v>3212</v>
      </c>
      <c r="O255" s="1194" t="s">
        <v>3213</v>
      </c>
      <c r="P255" s="261"/>
      <c r="Q255" s="261"/>
      <c r="R255" s="261"/>
      <c r="S255" s="261"/>
      <c r="T255" s="660">
        <f>BF255-AU255-AV255-BB255-BC255-BD255</f>
        <v>15538.957999999997</v>
      </c>
      <c r="U255" s="261"/>
      <c r="V255" s="261"/>
      <c r="W255" s="261"/>
      <c r="X255" s="261"/>
      <c r="Y255" s="261"/>
      <c r="Z255" s="847"/>
      <c r="AA255" s="261"/>
      <c r="AB255" s="261"/>
      <c r="AC255" s="261"/>
      <c r="AD255" s="261"/>
      <c r="AE255" s="261"/>
      <c r="AF255" s="261"/>
      <c r="AG255" s="261"/>
      <c r="AH255" s="261"/>
      <c r="AI255" s="261"/>
      <c r="AJ255" s="261"/>
      <c r="AK255" s="261"/>
      <c r="AL255" s="261"/>
      <c r="AM255" s="261"/>
      <c r="AN255" s="261"/>
      <c r="AO255" s="261"/>
      <c r="AP255" s="261"/>
      <c r="AQ255" s="261"/>
      <c r="AR255" s="261"/>
      <c r="AS255" s="261"/>
      <c r="AT255" s="261"/>
      <c r="AU255" s="660">
        <f>BOCT!V485</f>
        <v>22763.368000000002</v>
      </c>
      <c r="AV255" s="660">
        <f>BOCT!V484</f>
        <v>8000.41</v>
      </c>
      <c r="AW255" s="261"/>
      <c r="AX255" s="261"/>
      <c r="AY255" s="261"/>
      <c r="AZ255" s="261"/>
      <c r="BA255" s="261"/>
      <c r="BB255" s="660">
        <f>BOCT!V482</f>
        <v>3590.4580000000001</v>
      </c>
      <c r="BC255" s="660">
        <f>BOCT!V486</f>
        <v>7560.4939999999997</v>
      </c>
      <c r="BD255" s="660">
        <f>BOCT!V483</f>
        <v>14996.312</v>
      </c>
      <c r="BE255" s="323">
        <v>72450</v>
      </c>
      <c r="BF255" s="323">
        <v>72450</v>
      </c>
      <c r="BG255" s="1182">
        <f t="shared" si="79"/>
        <v>72450</v>
      </c>
      <c r="BH255" s="1083">
        <v>19000</v>
      </c>
      <c r="BI255" s="1194" t="s">
        <v>20</v>
      </c>
      <c r="BJ255" s="1194" t="s">
        <v>2923</v>
      </c>
      <c r="BK255" s="260" t="s">
        <v>2927</v>
      </c>
      <c r="BL255" s="257">
        <v>45272.573611111111</v>
      </c>
      <c r="BM255" s="257">
        <v>45273.407638888886</v>
      </c>
      <c r="BN255" s="260"/>
      <c r="BO255" s="324">
        <v>74694</v>
      </c>
      <c r="BP255" s="100" t="str">
        <f>IF(BO255=0,"0",IF(BO255&lt;=50000,"HANDYMAX",IF(BO255&lt;=58000,"SUPER HANDYMAX",IF(BO255&lt;=80000,"PANAMAX",IF(BO255&gt;=80001,"POST PANAMAX")))))</f>
        <v>PANAMAX</v>
      </c>
      <c r="BQ255" s="260"/>
      <c r="BR255" s="260"/>
      <c r="BS255" s="260"/>
      <c r="BT255" s="260"/>
      <c r="BU255" s="260"/>
      <c r="BV255" s="260"/>
      <c r="BW255" s="260"/>
      <c r="BX255" s="100"/>
      <c r="BY255" s="253"/>
      <c r="BZ255" s="253"/>
      <c r="CA255" s="1071"/>
      <c r="CB255" s="253"/>
      <c r="CC255" s="253"/>
      <c r="CD255" s="253"/>
      <c r="CE255" s="253"/>
      <c r="CF255" s="253"/>
      <c r="CG255" s="253"/>
      <c r="CH255" s="253"/>
      <c r="CI255" s="253"/>
      <c r="CJ255" s="253"/>
      <c r="CK255" s="253"/>
      <c r="CL255" s="253"/>
      <c r="CM255" s="253"/>
      <c r="CN255" s="253"/>
      <c r="CO255" s="253"/>
      <c r="CP255" s="253"/>
      <c r="CQ255" s="253"/>
      <c r="CR255" s="253"/>
      <c r="CS255" s="253"/>
      <c r="CT255" s="253"/>
      <c r="CU255" s="253"/>
      <c r="CV255" s="253"/>
      <c r="CW255" s="253"/>
      <c r="CX255" s="253"/>
      <c r="CY255" s="253"/>
      <c r="CZ255" s="253"/>
      <c r="DA255" s="253"/>
      <c r="DB255" s="253"/>
      <c r="DC255" s="253"/>
      <c r="DD255" s="253"/>
      <c r="DE255" s="253"/>
      <c r="DF255" s="253"/>
      <c r="DG255" s="253"/>
      <c r="DH255" s="253"/>
      <c r="DI255" s="253"/>
      <c r="DJ255" s="253"/>
      <c r="DK255" s="253"/>
      <c r="DL255" s="253"/>
      <c r="DM255" s="253"/>
      <c r="DN255" s="253"/>
      <c r="DO255" s="253"/>
      <c r="DP255" s="253"/>
      <c r="DQ255" s="253"/>
      <c r="DR255" s="253"/>
      <c r="DS255" s="253"/>
      <c r="DT255" s="253"/>
      <c r="DU255" s="253"/>
      <c r="DV255" s="253"/>
      <c r="DW255" s="253"/>
      <c r="DX255" s="253"/>
      <c r="DY255" s="253"/>
      <c r="DZ255" s="253"/>
      <c r="EA255" s="253"/>
      <c r="EB255" s="253"/>
      <c r="EC255" s="253"/>
      <c r="ED255" s="253"/>
      <c r="EE255" s="253"/>
      <c r="EF255" s="253"/>
      <c r="EG255" s="253"/>
      <c r="EH255" s="253"/>
      <c r="EI255" s="253"/>
      <c r="EJ255" s="253"/>
      <c r="EK255" s="253"/>
      <c r="EL255" s="253"/>
      <c r="EM255" s="253"/>
      <c r="EN255" s="253"/>
      <c r="EO255" s="253"/>
      <c r="EP255" s="253"/>
      <c r="EQ255" s="253"/>
      <c r="ER255" s="253"/>
      <c r="ES255" s="253"/>
      <c r="ET255" s="253"/>
      <c r="EU255" s="253"/>
      <c r="EV255" s="253"/>
      <c r="EW255" s="253"/>
      <c r="EX255" s="253"/>
      <c r="EY255" s="253"/>
      <c r="EZ255" s="253"/>
      <c r="FA255" s="253"/>
      <c r="FB255" s="253"/>
      <c r="FC255" s="253"/>
      <c r="FD255" s="253"/>
      <c r="FE255" s="253"/>
      <c r="FF255" s="253"/>
      <c r="FG255" s="253"/>
      <c r="FH255" s="253"/>
      <c r="FI255" s="253"/>
      <c r="FJ255" s="253"/>
      <c r="FK255" s="253"/>
      <c r="FL255" s="253"/>
      <c r="FM255" s="253"/>
      <c r="FN255" s="253"/>
      <c r="FO255" s="253"/>
      <c r="FP255" s="253"/>
      <c r="FQ255" s="253"/>
      <c r="FR255" s="253"/>
      <c r="FS255" s="253"/>
      <c r="FT255" s="253"/>
      <c r="FU255" s="253"/>
      <c r="FV255" s="253"/>
      <c r="FW255" s="253"/>
      <c r="FX255" s="253"/>
      <c r="FY255" s="253"/>
      <c r="FZ255" s="253"/>
      <c r="GA255" s="253"/>
      <c r="GB255" s="253"/>
      <c r="GC255" s="253"/>
      <c r="GD255" s="253"/>
      <c r="GE255" s="253"/>
      <c r="GF255" s="253"/>
      <c r="GG255" s="253"/>
      <c r="GH255" s="253"/>
      <c r="GI255" s="253"/>
      <c r="GJ255" s="253"/>
      <c r="GK255" s="253"/>
      <c r="GL255" s="253"/>
      <c r="GM255" s="253"/>
      <c r="GN255" s="253"/>
      <c r="GO255" s="253"/>
      <c r="GP255" s="253"/>
      <c r="GQ255" s="253"/>
      <c r="GR255" s="253"/>
      <c r="GS255" s="253"/>
      <c r="GT255" s="253"/>
      <c r="GU255" s="253"/>
      <c r="GV255" s="253"/>
      <c r="GW255" s="253"/>
      <c r="GX255" s="253"/>
      <c r="GY255" s="253"/>
      <c r="GZ255" s="253"/>
      <c r="HA255" s="253"/>
      <c r="HB255" s="253"/>
      <c r="HC255" s="253"/>
      <c r="HD255" s="253"/>
      <c r="HE255" s="253"/>
      <c r="HF255" s="253"/>
      <c r="HG255" s="253"/>
      <c r="HH255" s="253"/>
      <c r="HI255" s="253"/>
      <c r="HJ255" s="253"/>
      <c r="HK255" s="253"/>
      <c r="HL255" s="253"/>
      <c r="HM255" s="253"/>
      <c r="HN255" s="253"/>
      <c r="HO255" s="253"/>
      <c r="HP255" s="253"/>
      <c r="HQ255" s="253"/>
      <c r="HR255" s="253"/>
      <c r="HS255" s="253"/>
      <c r="HT255" s="253"/>
      <c r="HU255" s="253"/>
      <c r="HV255" s="253"/>
      <c r="HW255" s="253"/>
      <c r="HX255" s="253"/>
      <c r="HY255" s="253"/>
      <c r="HZ255" s="253"/>
      <c r="IA255" s="253"/>
      <c r="IB255" s="253"/>
      <c r="IC255" s="253"/>
      <c r="ID255" s="253"/>
      <c r="IE255" s="253"/>
      <c r="IF255" s="253"/>
      <c r="IG255" s="253"/>
      <c r="IH255" s="253"/>
      <c r="II255" s="253"/>
      <c r="IJ255" s="253"/>
      <c r="IK255" s="253"/>
      <c r="IL255" s="253"/>
      <c r="IM255" s="253"/>
      <c r="IN255" s="253"/>
      <c r="IO255" s="253"/>
      <c r="IP255" s="253"/>
      <c r="IQ255" s="253"/>
      <c r="IR255" s="253"/>
      <c r="IS255" s="253"/>
      <c r="IT255" s="253"/>
      <c r="IU255" s="253"/>
      <c r="IV255" s="253"/>
      <c r="IW255" s="253"/>
      <c r="IX255" s="253"/>
      <c r="IY255" s="253"/>
      <c r="IZ255" s="253"/>
      <c r="JA255" s="253"/>
      <c r="JB255" s="253"/>
      <c r="JC255" s="253"/>
      <c r="JD255" s="253"/>
      <c r="JE255" s="253"/>
      <c r="JF255" s="253"/>
      <c r="JG255" s="253"/>
      <c r="JH255" s="253"/>
      <c r="JI255" s="253"/>
      <c r="JJ255" s="253"/>
      <c r="JK255" s="253"/>
      <c r="JL255" s="253"/>
      <c r="JM255" s="253"/>
      <c r="JN255" s="253"/>
      <c r="JO255" s="253"/>
      <c r="JP255" s="253"/>
      <c r="JQ255" s="253"/>
      <c r="JR255" s="253"/>
      <c r="JS255" s="253"/>
      <c r="JT255" s="253"/>
      <c r="JU255" s="253"/>
      <c r="JV255" s="253"/>
      <c r="JW255" s="253"/>
      <c r="JX255" s="253"/>
      <c r="JY255" s="253"/>
      <c r="JZ255" s="253"/>
      <c r="KA255" s="253"/>
      <c r="KB255" s="253"/>
      <c r="KC255" s="253"/>
      <c r="KD255" s="253"/>
      <c r="KE255" s="253"/>
      <c r="KF255" s="253"/>
      <c r="KG255" s="253"/>
      <c r="KH255" s="253"/>
      <c r="KI255" s="253"/>
      <c r="KJ255" s="253"/>
      <c r="KK255" s="253"/>
      <c r="KL255" s="253"/>
      <c r="KM255" s="253"/>
      <c r="KN255" s="253"/>
      <c r="KO255" s="253"/>
      <c r="KP255" s="253"/>
      <c r="KQ255" s="253"/>
      <c r="KR255" s="253"/>
      <c r="KS255" s="253"/>
      <c r="KT255" s="253"/>
      <c r="KU255" s="253"/>
      <c r="KV255" s="253"/>
      <c r="KW255" s="253"/>
      <c r="KX255" s="253"/>
      <c r="KY255" s="253"/>
      <c r="KZ255" s="253"/>
      <c r="LA255" s="253"/>
      <c r="LB255" s="253"/>
      <c r="LC255" s="253"/>
      <c r="LD255" s="253"/>
      <c r="LE255" s="253"/>
      <c r="LF255" s="253"/>
      <c r="LG255" s="253"/>
      <c r="LH255" s="253"/>
      <c r="LI255" s="253"/>
      <c r="LJ255" s="253"/>
      <c r="LK255" s="253"/>
      <c r="LL255" s="253"/>
      <c r="LM255" s="253"/>
      <c r="LN255" s="253"/>
      <c r="LO255" s="253"/>
      <c r="LP255" s="253"/>
      <c r="LQ255" s="253"/>
      <c r="LR255" s="253"/>
      <c r="LS255" s="253"/>
      <c r="LT255" s="253"/>
      <c r="LU255" s="253"/>
      <c r="LV255" s="253"/>
      <c r="LW255" s="253"/>
      <c r="LX255" s="253"/>
      <c r="LY255" s="253"/>
      <c r="LZ255" s="253"/>
      <c r="MA255" s="253"/>
      <c r="MB255" s="253"/>
      <c r="MC255" s="253"/>
      <c r="MD255" s="253"/>
      <c r="ME255" s="253"/>
      <c r="MF255" s="253"/>
      <c r="MG255" s="253"/>
      <c r="MH255" s="253"/>
      <c r="MI255" s="253"/>
      <c r="MJ255" s="253"/>
      <c r="MK255" s="253"/>
      <c r="ML255" s="253"/>
      <c r="MM255" s="253"/>
      <c r="MN255" s="253"/>
      <c r="MO255" s="253"/>
      <c r="MP255" s="253"/>
      <c r="MQ255" s="253"/>
      <c r="MR255" s="253"/>
      <c r="MS255" s="253"/>
      <c r="MT255" s="253"/>
      <c r="MU255" s="253"/>
      <c r="MV255" s="253"/>
      <c r="MW255" s="253"/>
      <c r="MX255" s="253"/>
      <c r="MY255" s="253"/>
      <c r="MZ255" s="253"/>
      <c r="NA255" s="253"/>
      <c r="NB255" s="253"/>
      <c r="NC255" s="253"/>
      <c r="ND255" s="253"/>
      <c r="NE255" s="253"/>
      <c r="NF255" s="253"/>
      <c r="NG255" s="253"/>
      <c r="NH255" s="253"/>
      <c r="NI255" s="253"/>
      <c r="NJ255" s="253"/>
      <c r="NK255" s="253"/>
      <c r="NL255" s="253"/>
      <c r="NM255" s="253"/>
      <c r="NN255" s="253"/>
      <c r="NO255" s="253"/>
      <c r="NP255" s="253"/>
      <c r="NQ255" s="253"/>
      <c r="NR255" s="253"/>
      <c r="NS255" s="253"/>
      <c r="NT255" s="253"/>
      <c r="NU255" s="253"/>
      <c r="NV255" s="253"/>
      <c r="NW255" s="253"/>
      <c r="NX255" s="253"/>
      <c r="NY255" s="253"/>
      <c r="NZ255" s="253"/>
      <c r="OA255" s="253"/>
      <c r="OB255" s="253"/>
      <c r="OC255" s="253"/>
      <c r="OD255" s="253"/>
      <c r="OE255" s="253"/>
      <c r="OF255" s="253"/>
      <c r="OG255" s="253"/>
      <c r="OH255" s="253"/>
      <c r="OI255" s="253"/>
      <c r="OJ255" s="253"/>
      <c r="OK255" s="253"/>
      <c r="OL255" s="253"/>
      <c r="OM255" s="253"/>
      <c r="ON255" s="253"/>
      <c r="OO255" s="253"/>
      <c r="OP255" s="253"/>
      <c r="OQ255" s="253"/>
      <c r="OR255" s="253"/>
      <c r="OS255" s="253"/>
      <c r="OT255" s="253"/>
      <c r="OU255" s="253"/>
      <c r="OV255" s="253"/>
      <c r="OW255" s="253"/>
      <c r="OX255" s="253"/>
      <c r="OY255" s="253"/>
      <c r="OZ255" s="253"/>
      <c r="PA255" s="253"/>
      <c r="PB255" s="253"/>
      <c r="PC255" s="253"/>
      <c r="PD255" s="253"/>
      <c r="PE255" s="253"/>
      <c r="PF255" s="253"/>
      <c r="PG255" s="253"/>
      <c r="PH255" s="253"/>
      <c r="PI255" s="253"/>
      <c r="PJ255" s="253"/>
      <c r="PK255" s="253"/>
      <c r="PL255" s="253"/>
      <c r="PM255" s="253"/>
      <c r="PN255" s="253"/>
      <c r="PO255" s="253"/>
      <c r="PP255" s="253"/>
      <c r="PQ255" s="253"/>
      <c r="PR255" s="253"/>
      <c r="PS255" s="253"/>
      <c r="PT255" s="253"/>
      <c r="PU255" s="253"/>
      <c r="PV255" s="253"/>
      <c r="PW255" s="253"/>
      <c r="PX255" s="253"/>
      <c r="PY255" s="253"/>
      <c r="PZ255" s="253"/>
      <c r="QA255" s="253"/>
      <c r="QB255" s="253"/>
      <c r="QC255" s="253"/>
      <c r="QD255" s="253"/>
      <c r="QE255" s="253"/>
      <c r="QF255" s="253"/>
      <c r="QG255" s="253"/>
      <c r="QH255" s="253"/>
      <c r="QI255" s="253"/>
      <c r="QJ255" s="253"/>
      <c r="QK255" s="253"/>
      <c r="QL255" s="253"/>
      <c r="QM255" s="253"/>
      <c r="QN255" s="253"/>
      <c r="QO255" s="253"/>
      <c r="QP255" s="253"/>
      <c r="QQ255" s="253"/>
      <c r="QR255" s="253"/>
      <c r="QS255" s="253"/>
      <c r="QT255" s="253"/>
      <c r="QU255" s="253"/>
      <c r="QV255" s="253"/>
      <c r="QW255" s="253"/>
      <c r="QX255" s="253"/>
      <c r="QY255" s="253"/>
      <c r="QZ255" s="253"/>
      <c r="RA255" s="253"/>
      <c r="RB255" s="253"/>
      <c r="RC255" s="253"/>
      <c r="RD255" s="253"/>
      <c r="RE255" s="253"/>
      <c r="RF255" s="253"/>
      <c r="RG255" s="253"/>
      <c r="RH255" s="253"/>
      <c r="RI255" s="253"/>
      <c r="RJ255" s="253"/>
      <c r="RK255" s="253"/>
      <c r="RL255" s="253"/>
      <c r="RM255" s="253"/>
      <c r="RN255" s="253"/>
      <c r="RO255" s="253"/>
      <c r="RP255" s="253"/>
      <c r="RQ255" s="253"/>
      <c r="RR255" s="253"/>
      <c r="RS255" s="253"/>
      <c r="RT255" s="253"/>
      <c r="RU255" s="253"/>
      <c r="RV255" s="253"/>
      <c r="RW255" s="253"/>
      <c r="RX255" s="253"/>
      <c r="RY255" s="253"/>
      <c r="RZ255" s="253"/>
      <c r="SA255" s="253"/>
      <c r="SB255" s="253"/>
      <c r="SC255" s="253"/>
      <c r="SD255" s="253"/>
      <c r="SE255" s="253"/>
      <c r="SF255" s="253"/>
      <c r="SG255" s="253"/>
      <c r="SH255" s="253"/>
      <c r="SI255" s="253"/>
      <c r="SJ255" s="253"/>
      <c r="SK255" s="253"/>
      <c r="SL255" s="253"/>
      <c r="SM255" s="253"/>
      <c r="SN255" s="253"/>
      <c r="SO255" s="253"/>
      <c r="SP255" s="253"/>
      <c r="SQ255" s="253"/>
      <c r="SR255" s="253"/>
      <c r="SS255" s="253"/>
      <c r="ST255" s="253"/>
      <c r="SU255" s="253"/>
      <c r="SV255" s="253"/>
      <c r="SW255" s="253"/>
      <c r="SX255" s="253"/>
      <c r="SY255" s="253"/>
      <c r="SZ255" s="253"/>
      <c r="TA255" s="253"/>
      <c r="TB255" s="253"/>
      <c r="TC255" s="253"/>
      <c r="TD255" s="253"/>
      <c r="TE255" s="253"/>
      <c r="TF255" s="253"/>
      <c r="TG255" s="253"/>
      <c r="TH255" s="253"/>
      <c r="TI255" s="253"/>
      <c r="TJ255" s="253"/>
      <c r="TK255" s="253"/>
      <c r="TL255" s="253"/>
      <c r="TM255" s="253"/>
      <c r="TN255" s="253"/>
      <c r="TO255" s="253"/>
      <c r="TP255" s="253"/>
      <c r="TQ255" s="253"/>
      <c r="TR255" s="253"/>
      <c r="TS255" s="253"/>
      <c r="TT255" s="253"/>
      <c r="TU255" s="253"/>
      <c r="TV255" s="253"/>
      <c r="TW255" s="253"/>
      <c r="TX255" s="253"/>
      <c r="TY255" s="253"/>
      <c r="TZ255" s="253"/>
      <c r="UA255" s="253"/>
      <c r="UB255" s="253"/>
      <c r="UC255" s="253"/>
      <c r="UD255" s="253"/>
      <c r="UE255" s="253"/>
      <c r="UF255" s="253"/>
      <c r="UG255" s="253"/>
      <c r="UH255" s="253"/>
      <c r="UI255" s="253"/>
      <c r="UJ255" s="253"/>
      <c r="UK255" s="253"/>
      <c r="UL255" s="253"/>
      <c r="UM255" s="253"/>
      <c r="UN255" s="253"/>
      <c r="UO255" s="253"/>
      <c r="UP255" s="253"/>
      <c r="UQ255" s="253"/>
      <c r="UR255" s="253"/>
      <c r="US255" s="253"/>
      <c r="UT255" s="253"/>
      <c r="UU255" s="253"/>
      <c r="UV255" s="253"/>
      <c r="UW255" s="253"/>
      <c r="UX255" s="253"/>
      <c r="UY255" s="253"/>
      <c r="UZ255" s="253"/>
      <c r="VA255" s="253"/>
      <c r="VB255" s="253"/>
      <c r="VC255" s="253"/>
      <c r="VD255" s="253"/>
      <c r="VE255" s="253"/>
      <c r="VF255" s="253"/>
      <c r="VG255" s="253"/>
      <c r="VH255" s="253"/>
      <c r="VI255" s="253"/>
      <c r="VJ255" s="253"/>
      <c r="VK255" s="253"/>
      <c r="VL255" s="253"/>
      <c r="VM255" s="253"/>
      <c r="VN255" s="253"/>
      <c r="VO255" s="253"/>
      <c r="VP255" s="253"/>
      <c r="VQ255" s="253"/>
      <c r="VR255" s="253"/>
      <c r="VS255" s="253"/>
      <c r="VT255" s="253"/>
      <c r="VU255" s="253"/>
      <c r="VV255" s="253"/>
      <c r="VW255" s="253"/>
      <c r="VX255" s="253"/>
      <c r="VY255" s="253"/>
      <c r="VZ255" s="253"/>
      <c r="WA255" s="253"/>
      <c r="WB255" s="253"/>
      <c r="WC255" s="253"/>
      <c r="WD255" s="253"/>
      <c r="WE255" s="253"/>
      <c r="WF255" s="253"/>
      <c r="WG255" s="253"/>
      <c r="WH255" s="253"/>
      <c r="WI255" s="253"/>
      <c r="WJ255" s="253"/>
      <c r="WK255" s="253"/>
      <c r="WL255" s="253"/>
      <c r="WM255" s="253"/>
      <c r="WN255" s="253"/>
      <c r="WO255" s="253"/>
      <c r="WP255" s="253"/>
      <c r="WQ255" s="253"/>
      <c r="WR255" s="253"/>
      <c r="WS255" s="253"/>
      <c r="WT255" s="253"/>
      <c r="WU255" s="253"/>
      <c r="WV255" s="253"/>
      <c r="WW255" s="253"/>
      <c r="WX255" s="253"/>
      <c r="WY255" s="253"/>
      <c r="WZ255" s="253"/>
      <c r="XA255" s="253"/>
      <c r="XB255" s="253"/>
      <c r="XC255" s="253"/>
      <c r="XD255" s="253"/>
      <c r="XE255" s="253"/>
      <c r="XF255" s="253"/>
      <c r="XG255" s="253"/>
      <c r="XH255" s="253"/>
      <c r="XI255" s="253"/>
      <c r="XJ255" s="253"/>
      <c r="XK255" s="253"/>
      <c r="XL255" s="253"/>
      <c r="XM255" s="253"/>
      <c r="XN255" s="253"/>
      <c r="XO255" s="253"/>
      <c r="XP255" s="253"/>
      <c r="XQ255" s="253"/>
      <c r="XR255" s="253"/>
      <c r="XS255" s="253"/>
      <c r="XT255" s="253"/>
      <c r="XU255" s="253"/>
      <c r="XV255" s="253"/>
      <c r="XW255" s="253"/>
      <c r="XX255" s="253"/>
      <c r="XY255" s="253"/>
      <c r="XZ255" s="253"/>
      <c r="YA255" s="253"/>
      <c r="YB255" s="253"/>
      <c r="YC255" s="253"/>
      <c r="YD255" s="253"/>
      <c r="YE255" s="253"/>
      <c r="YF255" s="253"/>
      <c r="YG255" s="253"/>
      <c r="YH255" s="253"/>
      <c r="YI255" s="253"/>
      <c r="YJ255" s="253"/>
      <c r="YK255" s="253"/>
      <c r="YL255" s="253"/>
      <c r="YM255" s="253"/>
      <c r="YN255" s="253"/>
      <c r="YO255" s="253"/>
      <c r="YP255" s="253"/>
      <c r="YQ255" s="253"/>
      <c r="YR255" s="253"/>
      <c r="YS255" s="253"/>
      <c r="YT255" s="253"/>
      <c r="YU255" s="253"/>
      <c r="YV255" s="253"/>
      <c r="YW255" s="253"/>
      <c r="YX255" s="253"/>
      <c r="YY255" s="253"/>
      <c r="YZ255" s="253"/>
      <c r="ZA255" s="253"/>
      <c r="ZB255" s="253"/>
      <c r="ZC255" s="253"/>
      <c r="ZD255" s="253"/>
      <c r="ZE255" s="253"/>
      <c r="ZF255" s="253"/>
      <c r="ZG255" s="253"/>
      <c r="ZH255" s="253"/>
      <c r="ZI255" s="253"/>
      <c r="ZJ255" s="253"/>
      <c r="ZK255" s="253"/>
      <c r="ZL255" s="253"/>
      <c r="ZM255" s="253"/>
      <c r="ZN255" s="253"/>
      <c r="ZO255" s="253"/>
      <c r="ZP255" s="253"/>
      <c r="ZQ255" s="253"/>
      <c r="ZR255" s="253"/>
      <c r="ZS255" s="253"/>
      <c r="ZT255" s="253"/>
      <c r="ZU255" s="253"/>
      <c r="ZV255" s="253"/>
      <c r="ZW255" s="253"/>
      <c r="ZX255" s="253"/>
      <c r="ZY255" s="253"/>
      <c r="ZZ255" s="253"/>
      <c r="AAA255" s="253"/>
      <c r="AAB255" s="253"/>
      <c r="AAC255" s="253"/>
      <c r="AAD255" s="253"/>
      <c r="AAE255" s="253"/>
      <c r="AAF255" s="253"/>
      <c r="AAG255" s="253"/>
      <c r="AAH255" s="253"/>
      <c r="AAI255" s="253"/>
      <c r="AAJ255" s="253"/>
      <c r="AAK255" s="253"/>
      <c r="AAL255" s="253"/>
      <c r="AAM255" s="253"/>
      <c r="AAN255" s="253"/>
      <c r="AAO255" s="253"/>
      <c r="AAP255" s="253"/>
      <c r="AAQ255" s="253"/>
      <c r="AAR255" s="253"/>
      <c r="AAS255" s="253"/>
      <c r="AAT255" s="253"/>
      <c r="AAU255" s="253"/>
      <c r="AAV255" s="253"/>
      <c r="AAW255" s="253"/>
      <c r="AAX255" s="253"/>
      <c r="AAY255" s="253"/>
      <c r="AAZ255" s="253"/>
      <c r="ABA255" s="253"/>
      <c r="ABB255" s="253"/>
      <c r="ABC255" s="253"/>
      <c r="ABD255" s="253"/>
      <c r="ABE255" s="253"/>
      <c r="ABF255" s="253"/>
      <c r="ABG255" s="253"/>
      <c r="ABH255" s="253"/>
      <c r="ABI255" s="253"/>
      <c r="ABJ255" s="253"/>
      <c r="ABK255" s="253"/>
      <c r="ABL255" s="253"/>
      <c r="ABM255" s="253"/>
      <c r="ABN255" s="253"/>
      <c r="ABO255" s="253"/>
      <c r="ABP255" s="253"/>
      <c r="ABQ255" s="253"/>
      <c r="ABR255" s="253"/>
      <c r="ADK255" s="77">
        <v>1</v>
      </c>
      <c r="ADM255" s="353"/>
      <c r="ADN255" s="353"/>
      <c r="ADO255" s="353"/>
      <c r="ADP255" s="353"/>
      <c r="ADQ255" s="353"/>
      <c r="ADR255" s="353"/>
      <c r="ADS255" s="353"/>
      <c r="ADT255" s="353"/>
      <c r="ADU255" s="353"/>
      <c r="ADV255" s="353"/>
    </row>
    <row r="256" spans="1:809" ht="15" customHeight="1">
      <c r="A256" s="487"/>
      <c r="B256" s="260">
        <v>4</v>
      </c>
      <c r="C256" s="260" t="s">
        <v>3167</v>
      </c>
      <c r="D256" s="260" t="s">
        <v>73</v>
      </c>
      <c r="E256" s="257">
        <v>45282</v>
      </c>
      <c r="F256" s="257">
        <v>45291</v>
      </c>
      <c r="G256" s="258" t="s">
        <v>2914</v>
      </c>
      <c r="H256" s="100" t="s">
        <v>3221</v>
      </c>
      <c r="I256" s="100" t="s">
        <v>3222</v>
      </c>
      <c r="J256" s="100" t="s">
        <v>2933</v>
      </c>
      <c r="K256" s="339">
        <v>45286.5</v>
      </c>
      <c r="L256" s="339">
        <v>45286.493055555555</v>
      </c>
      <c r="M256" s="74" t="s">
        <v>3223</v>
      </c>
      <c r="N256" s="74" t="s">
        <v>3224</v>
      </c>
      <c r="O256" s="1194" t="s">
        <v>3213</v>
      </c>
      <c r="P256" s="660">
        <f>'MBR MV. RIN YO'!T23</f>
        <v>15040.876</v>
      </c>
      <c r="Q256" s="261"/>
      <c r="R256" s="261"/>
      <c r="S256" s="261"/>
      <c r="T256" s="261"/>
      <c r="U256" s="814">
        <f>'MBR MV. RIN YO'!Y23</f>
        <v>22506.189699999999</v>
      </c>
      <c r="V256" s="814">
        <f>'MBR MV. RIN YO'!Z23</f>
        <v>26968.201299999997</v>
      </c>
      <c r="W256" s="261"/>
      <c r="X256" s="660">
        <f>'MBR MV. RIN YO'!AB23</f>
        <v>22404.733</v>
      </c>
      <c r="Y256" s="261"/>
      <c r="Z256" s="261"/>
      <c r="AA256" s="261"/>
      <c r="AB256" s="261"/>
      <c r="AC256" s="261"/>
      <c r="AD256" s="261"/>
      <c r="AE256" s="261"/>
      <c r="AF256" s="261"/>
      <c r="AG256" s="261"/>
      <c r="AH256" s="261"/>
      <c r="AI256" s="261"/>
      <c r="AJ256" s="261"/>
      <c r="AK256" s="261"/>
      <c r="AL256" s="261"/>
      <c r="AM256" s="261"/>
      <c r="AN256" s="261"/>
      <c r="AO256" s="261"/>
      <c r="AP256" s="261"/>
      <c r="AQ256" s="261"/>
      <c r="AR256" s="261"/>
      <c r="AS256" s="261"/>
      <c r="AT256" s="261"/>
      <c r="AU256" s="261"/>
      <c r="AV256" s="261"/>
      <c r="AW256" s="261"/>
      <c r="AX256" s="261"/>
      <c r="AY256" s="261"/>
      <c r="AZ256" s="261"/>
      <c r="BA256" s="261"/>
      <c r="BB256" s="261"/>
      <c r="BC256" s="261"/>
      <c r="BD256" s="261"/>
      <c r="BE256" s="323">
        <v>86920</v>
      </c>
      <c r="BF256" s="323">
        <v>86920</v>
      </c>
      <c r="BG256" s="1182">
        <f t="shared" si="79"/>
        <v>86920</v>
      </c>
      <c r="BH256" s="258"/>
      <c r="BI256" s="1194" t="s">
        <v>4</v>
      </c>
      <c r="BJ256" s="1194" t="s">
        <v>5</v>
      </c>
      <c r="BK256" s="260" t="s">
        <v>2968</v>
      </c>
      <c r="BL256" s="257">
        <v>45275.72152777778</v>
      </c>
      <c r="BM256" s="257">
        <v>45280.419444444444</v>
      </c>
      <c r="BN256" s="260"/>
      <c r="BO256" s="324">
        <v>91597</v>
      </c>
      <c r="BP256" s="100" t="str">
        <f>IF(BO256=0,"0",IF(BO256&lt;=50000,"HANDYMAX",IF(BO256&lt;=58000,"SUPER HANDYMAX",IF(BO256&lt;=80000,"PANAMAX",IF(BO256&gt;=80001,"POST PANAMAX")))))</f>
        <v>POST PANAMAX</v>
      </c>
      <c r="BQ256" s="260"/>
      <c r="BR256" s="260"/>
      <c r="BS256" s="260"/>
      <c r="BT256" s="260"/>
      <c r="BU256" s="260"/>
      <c r="BV256" s="260"/>
      <c r="BW256" s="260"/>
      <c r="BX256" s="100"/>
      <c r="BY256" s="71"/>
      <c r="BZ256" s="71"/>
      <c r="CA256" s="848"/>
      <c r="CB256" s="71"/>
      <c r="CC256" s="71"/>
      <c r="CD256" s="71"/>
      <c r="CE256" s="71"/>
      <c r="CF256" s="71"/>
      <c r="CG256" s="71"/>
      <c r="CH256" s="71"/>
      <c r="CI256" s="71"/>
      <c r="CJ256" s="71"/>
      <c r="CK256" s="71"/>
      <c r="CL256" s="71"/>
      <c r="CM256" s="71"/>
      <c r="CN256" s="71"/>
      <c r="CO256" s="71"/>
      <c r="CP256" s="71"/>
      <c r="CQ256" s="71"/>
      <c r="CR256" s="71"/>
      <c r="CS256" s="71"/>
      <c r="CT256" s="71"/>
      <c r="CU256" s="71"/>
      <c r="CV256" s="71"/>
      <c r="CW256" s="71"/>
      <c r="CX256" s="71"/>
      <c r="CY256" s="71"/>
      <c r="CZ256" s="71"/>
      <c r="DA256" s="71"/>
      <c r="DB256" s="71"/>
      <c r="DC256" s="71"/>
      <c r="DD256" s="71"/>
      <c r="DE256" s="71"/>
      <c r="DF256" s="71"/>
      <c r="DG256" s="71"/>
      <c r="DH256" s="71"/>
      <c r="DI256" s="71"/>
      <c r="DJ256" s="71"/>
      <c r="DK256" s="71"/>
      <c r="DL256" s="71"/>
      <c r="DM256" s="71"/>
      <c r="DN256" s="71"/>
      <c r="DO256" s="71"/>
      <c r="DP256" s="71"/>
      <c r="DQ256" s="71"/>
      <c r="DR256" s="71"/>
      <c r="DS256" s="71"/>
      <c r="DT256" s="71"/>
      <c r="DU256" s="71"/>
      <c r="DV256" s="71"/>
      <c r="DW256" s="71"/>
      <c r="DX256" s="71"/>
      <c r="DY256" s="71"/>
      <c r="DZ256" s="71"/>
      <c r="EA256" s="71"/>
      <c r="EB256" s="71"/>
      <c r="EC256" s="71"/>
      <c r="ED256" s="71"/>
      <c r="EE256" s="71"/>
      <c r="EF256" s="71"/>
      <c r="EG256" s="71"/>
      <c r="EH256" s="71"/>
      <c r="EI256" s="71"/>
      <c r="EJ256" s="71"/>
      <c r="EK256" s="71"/>
      <c r="EL256" s="71"/>
      <c r="EM256" s="71"/>
      <c r="EN256" s="71"/>
      <c r="EO256" s="71"/>
      <c r="EP256" s="71"/>
      <c r="EQ256" s="71"/>
      <c r="ER256" s="71"/>
      <c r="ES256" s="71"/>
      <c r="ET256" s="71"/>
      <c r="EU256" s="71"/>
      <c r="EV256" s="71"/>
      <c r="EW256" s="71"/>
      <c r="EX256" s="71"/>
      <c r="EY256" s="71"/>
      <c r="EZ256" s="71"/>
      <c r="FA256" s="71"/>
      <c r="FB256" s="71"/>
      <c r="FC256" s="71"/>
      <c r="FD256" s="71"/>
      <c r="FE256" s="71"/>
      <c r="FF256" s="71"/>
      <c r="FG256" s="71"/>
      <c r="FH256" s="71"/>
      <c r="FI256" s="71"/>
      <c r="FJ256" s="71"/>
      <c r="FK256" s="71"/>
      <c r="FL256" s="71"/>
      <c r="ADQ256" s="353"/>
      <c r="ADR256" s="353"/>
      <c r="ADS256" s="353">
        <v>1</v>
      </c>
      <c r="ADT256" s="353">
        <v>2</v>
      </c>
      <c r="ADU256" s="353">
        <v>3</v>
      </c>
      <c r="ADV256" s="353"/>
      <c r="ADW256" s="353"/>
      <c r="ADX256" s="353"/>
      <c r="ADY256" s="353"/>
      <c r="ADZ256" s="353"/>
    </row>
    <row r="257" spans="1:833" ht="15" customHeight="1">
      <c r="A257" s="487"/>
      <c r="B257" s="260">
        <v>5</v>
      </c>
      <c r="C257" s="260" t="s">
        <v>3167</v>
      </c>
      <c r="D257" s="260" t="s">
        <v>74</v>
      </c>
      <c r="E257" s="257">
        <v>45285</v>
      </c>
      <c r="F257" s="257">
        <v>45294</v>
      </c>
      <c r="G257" s="258" t="s">
        <v>2914</v>
      </c>
      <c r="H257" s="100" t="s">
        <v>3225</v>
      </c>
      <c r="I257" s="100" t="s">
        <v>3226</v>
      </c>
      <c r="J257" s="100" t="s">
        <v>2922</v>
      </c>
      <c r="K257" s="339">
        <v>45290.552083333336</v>
      </c>
      <c r="L257" s="339">
        <v>45290.55</v>
      </c>
      <c r="M257" s="74" t="s">
        <v>3227</v>
      </c>
      <c r="N257" s="74" t="s">
        <v>3228</v>
      </c>
      <c r="O257" s="1194" t="s">
        <v>3213</v>
      </c>
      <c r="P257" s="261"/>
      <c r="Q257" s="261"/>
      <c r="R257" s="261"/>
      <c r="S257" s="261"/>
      <c r="T257" s="486">
        <f>'MBR MV. XIN WU ZHOU 1'!X21</f>
        <v>7500</v>
      </c>
      <c r="U257" s="261"/>
      <c r="V257" s="261"/>
      <c r="W257" s="261"/>
      <c r="X257" s="486">
        <f>'MBR MV. XIN WU ZHOU 1'!AB21</f>
        <v>58600</v>
      </c>
      <c r="Y257" s="261"/>
      <c r="Z257" s="261"/>
      <c r="AA257" s="261"/>
      <c r="AB257" s="261"/>
      <c r="AC257" s="261"/>
      <c r="AD257" s="261"/>
      <c r="AE257" s="261"/>
      <c r="AF257" s="486">
        <f>'MBR MV. XIN WU ZHOU 1'!AJ21</f>
        <v>7500</v>
      </c>
      <c r="AG257" s="261"/>
      <c r="AH257" s="261"/>
      <c r="AI257" s="261"/>
      <c r="AJ257" s="261"/>
      <c r="AK257" s="261"/>
      <c r="AL257" s="261"/>
      <c r="AM257" s="261"/>
      <c r="AN257" s="261"/>
      <c r="AO257" s="261"/>
      <c r="AP257" s="261"/>
      <c r="AQ257" s="261"/>
      <c r="AR257" s="261"/>
      <c r="AS257" s="261"/>
      <c r="AT257" s="261"/>
      <c r="AU257" s="261"/>
      <c r="AV257" s="261"/>
      <c r="AW257" s="261"/>
      <c r="AX257" s="261"/>
      <c r="AY257" s="261"/>
      <c r="AZ257" s="261"/>
      <c r="BA257" s="261"/>
      <c r="BB257" s="261"/>
      <c r="BC257" s="261"/>
      <c r="BD257" s="261"/>
      <c r="BE257" s="323">
        <v>73600</v>
      </c>
      <c r="BF257" s="323">
        <v>73600</v>
      </c>
      <c r="BG257" s="1182">
        <f t="shared" si="79"/>
        <v>73600</v>
      </c>
      <c r="BH257" s="258">
        <v>16000</v>
      </c>
      <c r="BI257" s="1194" t="s">
        <v>4</v>
      </c>
      <c r="BJ257" s="1194" t="s">
        <v>5</v>
      </c>
      <c r="BK257" s="260" t="s">
        <v>2927</v>
      </c>
      <c r="BL257" s="257">
        <v>45288.493750000001</v>
      </c>
      <c r="BM257" s="257">
        <v>45290.713194444441</v>
      </c>
      <c r="BN257" s="260"/>
      <c r="BO257" s="324">
        <v>75668</v>
      </c>
      <c r="BP257" s="100" t="str">
        <f t="shared" ref="BP257" si="81">IF(BO257=0,"0",IF(BO257&lt;=50000,"HANDYMAX",IF(BO257&lt;=58000,"SUPER HANDYMAX",IF(BO257&lt;=80000,"PANAMAX",IF(BO257&gt;=80001,"POST PANAMAX")))))</f>
        <v>PANAMAX</v>
      </c>
      <c r="BQ257" s="260"/>
      <c r="BR257" s="260"/>
      <c r="BS257" s="260"/>
      <c r="BT257" s="260"/>
      <c r="BU257" s="260"/>
      <c r="BV257" s="260"/>
      <c r="BW257" s="260"/>
      <c r="BX257" s="100" t="s">
        <v>3229</v>
      </c>
      <c r="BY257" s="71"/>
      <c r="BZ257" s="71"/>
      <c r="CA257" s="848"/>
      <c r="CB257" s="71"/>
      <c r="CC257" s="71"/>
      <c r="CD257" s="71"/>
      <c r="CE257" s="71"/>
      <c r="CF257" s="71"/>
      <c r="CG257" s="71"/>
      <c r="CH257" s="71"/>
      <c r="CI257" s="71"/>
      <c r="CJ257" s="71"/>
      <c r="CK257" s="71"/>
      <c r="CL257" s="71"/>
      <c r="CM257" s="71"/>
      <c r="CN257" s="71"/>
      <c r="CO257" s="71"/>
      <c r="CP257" s="71"/>
      <c r="CQ257" s="71"/>
      <c r="CR257" s="71"/>
      <c r="CS257" s="71"/>
      <c r="CT257" s="71"/>
      <c r="CU257" s="71"/>
      <c r="CV257" s="71"/>
      <c r="CW257" s="71"/>
      <c r="CX257" s="71"/>
      <c r="CY257" s="71"/>
      <c r="CZ257" s="71"/>
      <c r="DA257" s="71"/>
      <c r="DB257" s="71"/>
      <c r="DC257" s="71"/>
      <c r="DD257" s="71"/>
      <c r="DE257" s="71"/>
      <c r="DF257" s="71"/>
      <c r="DG257" s="71"/>
      <c r="DH257" s="71"/>
      <c r="DI257" s="71"/>
      <c r="DJ257" s="71"/>
      <c r="DK257" s="71"/>
      <c r="DL257" s="71"/>
      <c r="DM257" s="71"/>
      <c r="DN257" s="71"/>
      <c r="DO257" s="71"/>
      <c r="DP257" s="71"/>
      <c r="DQ257" s="71"/>
      <c r="DR257" s="71"/>
      <c r="DS257" s="71"/>
      <c r="DT257" s="71"/>
      <c r="DU257" s="71"/>
      <c r="DV257" s="71"/>
      <c r="DW257" s="71"/>
      <c r="DX257" s="71"/>
      <c r="DY257" s="71"/>
      <c r="DZ257" s="71"/>
      <c r="EA257" s="71"/>
      <c r="EB257" s="71"/>
      <c r="EC257" s="71"/>
      <c r="ED257" s="71"/>
      <c r="EE257" s="71"/>
      <c r="EF257" s="71"/>
      <c r="EG257" s="71"/>
      <c r="EH257" s="71"/>
      <c r="EI257" s="71"/>
      <c r="EJ257" s="71"/>
      <c r="EK257" s="71"/>
      <c r="EL257" s="71"/>
      <c r="EM257" s="71"/>
      <c r="EN257" s="71"/>
      <c r="EO257" s="71"/>
      <c r="EP257" s="71"/>
      <c r="EQ257" s="71"/>
      <c r="ER257" s="71"/>
      <c r="ES257" s="71"/>
      <c r="ET257" s="71"/>
      <c r="EU257" s="71"/>
      <c r="EV257" s="71"/>
      <c r="EW257" s="71"/>
      <c r="EX257" s="71"/>
      <c r="EY257" s="71"/>
      <c r="EZ257" s="71"/>
      <c r="FA257" s="71"/>
      <c r="FB257" s="71"/>
      <c r="FC257" s="71"/>
      <c r="FD257" s="71"/>
      <c r="FE257" s="71"/>
      <c r="FF257" s="71"/>
      <c r="FG257" s="71"/>
      <c r="FH257" s="71"/>
      <c r="FI257" s="71"/>
      <c r="FJ257" s="71"/>
      <c r="FK257" s="71"/>
      <c r="FL257" s="71"/>
      <c r="ADT257" s="353"/>
      <c r="ADU257" s="353"/>
      <c r="ADV257" s="353"/>
      <c r="ADW257" s="353"/>
      <c r="ADX257" s="353">
        <v>1</v>
      </c>
      <c r="ADY257" s="353">
        <v>2</v>
      </c>
      <c r="ADZ257" s="353"/>
      <c r="AEA257" s="353"/>
    </row>
    <row r="258" spans="1:833" ht="15" customHeight="1">
      <c r="A258" s="766"/>
      <c r="B258" s="260">
        <v>6</v>
      </c>
      <c r="C258" s="260" t="s">
        <v>3230</v>
      </c>
      <c r="D258" s="260" t="s">
        <v>74</v>
      </c>
      <c r="E258" s="257">
        <v>45292</v>
      </c>
      <c r="F258" s="257">
        <v>45301</v>
      </c>
      <c r="G258" s="258" t="s">
        <v>107</v>
      </c>
      <c r="H258" s="100" t="s">
        <v>3231</v>
      </c>
      <c r="I258" s="100" t="s">
        <v>3232</v>
      </c>
      <c r="J258" s="100" t="s">
        <v>2933</v>
      </c>
      <c r="K258" s="339">
        <v>45291.583333333336</v>
      </c>
      <c r="L258" s="339">
        <v>45291.583333333336</v>
      </c>
      <c r="M258" s="74" t="s">
        <v>3233</v>
      </c>
      <c r="N258" s="74" t="s">
        <v>3234</v>
      </c>
      <c r="O258" s="1194" t="s">
        <v>3213</v>
      </c>
      <c r="P258" s="486">
        <v>14750</v>
      </c>
      <c r="Q258" s="261"/>
      <c r="R258" s="261"/>
      <c r="S258" s="261"/>
      <c r="T258" s="261"/>
      <c r="U258" s="261"/>
      <c r="V258" s="261"/>
      <c r="W258" s="261"/>
      <c r="X258" s="486">
        <v>32500</v>
      </c>
      <c r="Y258" s="486">
        <v>15000</v>
      </c>
      <c r="Z258" s="261"/>
      <c r="AA258" s="261"/>
      <c r="AB258" s="261"/>
      <c r="AC258" s="261"/>
      <c r="AD258" s="261"/>
      <c r="AE258" s="261"/>
      <c r="AF258" s="486">
        <v>7500</v>
      </c>
      <c r="AG258" s="261"/>
      <c r="AH258" s="261"/>
      <c r="AI258" s="261"/>
      <c r="AJ258" s="261"/>
      <c r="AK258" s="261"/>
      <c r="AL258" s="261"/>
      <c r="AM258" s="261"/>
      <c r="AN258" s="261"/>
      <c r="AO258" s="261"/>
      <c r="AP258" s="261"/>
      <c r="AQ258" s="261"/>
      <c r="AR258" s="261"/>
      <c r="AS258" s="261"/>
      <c r="AT258" s="261"/>
      <c r="AU258" s="261"/>
      <c r="AV258" s="261"/>
      <c r="AW258" s="261"/>
      <c r="AX258" s="261"/>
      <c r="AY258" s="261"/>
      <c r="AZ258" s="261"/>
      <c r="BA258" s="261"/>
      <c r="BB258" s="261"/>
      <c r="BC258" s="261"/>
      <c r="BD258" s="261"/>
      <c r="BE258" s="323">
        <v>69750</v>
      </c>
      <c r="BF258" s="323">
        <v>69750</v>
      </c>
      <c r="BG258" s="1182">
        <f t="shared" si="79"/>
        <v>69750</v>
      </c>
      <c r="BH258" s="258">
        <v>14404</v>
      </c>
      <c r="BI258" s="1194" t="s">
        <v>20</v>
      </c>
      <c r="BJ258" s="1194" t="s">
        <v>2923</v>
      </c>
      <c r="BK258" s="260" t="s">
        <v>2924</v>
      </c>
      <c r="BL258" s="257">
        <v>45284.791666666664</v>
      </c>
      <c r="BM258" s="257">
        <v>45287.423611111109</v>
      </c>
      <c r="BN258" s="260"/>
      <c r="BO258" s="324">
        <v>88915</v>
      </c>
      <c r="BP258" s="100" t="str">
        <f t="shared" ref="BP258:BP260" si="82">IF(BO258=0,"0",IF(BO258&lt;=50000,"HANDYMAX",IF(BO258&lt;=58000,"SUPER HANDYMAX",IF(BO258&lt;=80000,"PANAMAX",IF(BO258&gt;=80001,"POST PANAMAX")))))</f>
        <v>POST PANAMAX</v>
      </c>
      <c r="BQ258" s="260"/>
      <c r="BR258" s="260"/>
      <c r="BS258" s="260"/>
      <c r="BT258" s="260"/>
      <c r="BU258" s="260"/>
      <c r="BV258" s="260"/>
      <c r="BW258" s="260"/>
      <c r="BX258" s="100"/>
      <c r="BY258" s="100"/>
      <c r="BZ258" s="71"/>
      <c r="CA258" s="848"/>
      <c r="CB258" s="71"/>
      <c r="CC258" s="71"/>
      <c r="CD258" s="71"/>
      <c r="CE258" s="71"/>
      <c r="CF258" s="71"/>
      <c r="CG258" s="71"/>
      <c r="CH258" s="71"/>
      <c r="CI258" s="71"/>
      <c r="CJ258" s="71"/>
      <c r="CK258" s="71"/>
      <c r="CL258" s="71"/>
      <c r="CM258" s="71"/>
      <c r="CN258" s="71"/>
      <c r="CO258" s="71"/>
      <c r="CP258" s="71"/>
      <c r="CQ258" s="71"/>
      <c r="CR258" s="71"/>
      <c r="CS258" s="71"/>
      <c r="CT258" s="71"/>
      <c r="CU258" s="71"/>
      <c r="CV258" s="71"/>
      <c r="CW258" s="71"/>
      <c r="CX258" s="71"/>
      <c r="CY258" s="71"/>
      <c r="CZ258" s="71"/>
      <c r="DA258" s="71"/>
      <c r="DB258" s="71"/>
      <c r="DC258" s="71"/>
      <c r="DD258" s="71"/>
      <c r="DE258" s="71"/>
      <c r="DF258" s="71"/>
      <c r="DG258" s="71"/>
      <c r="DH258" s="71"/>
      <c r="DI258" s="71"/>
      <c r="DJ258" s="71"/>
      <c r="DK258" s="71"/>
      <c r="DL258" s="71"/>
      <c r="DM258" s="71"/>
      <c r="DN258" s="71"/>
      <c r="DO258" s="71"/>
      <c r="DP258" s="71"/>
      <c r="DQ258" s="71"/>
      <c r="DR258" s="71"/>
      <c r="DS258" s="71"/>
      <c r="DT258" s="71"/>
      <c r="DU258" s="71"/>
      <c r="DV258" s="71"/>
      <c r="DW258" s="71"/>
      <c r="DX258" s="71"/>
      <c r="DY258" s="71"/>
      <c r="DZ258" s="71"/>
      <c r="EA258" s="71"/>
      <c r="EB258" s="71"/>
      <c r="EC258" s="71"/>
      <c r="ED258" s="71"/>
      <c r="EE258" s="71"/>
      <c r="EF258" s="71"/>
      <c r="EG258" s="71"/>
      <c r="EH258" s="71"/>
      <c r="EI258" s="71"/>
      <c r="EJ258" s="71"/>
      <c r="EK258" s="71"/>
      <c r="EL258" s="71"/>
      <c r="EM258" s="71"/>
      <c r="EN258" s="71"/>
      <c r="EO258" s="71"/>
      <c r="EP258" s="71"/>
      <c r="EQ258" s="71"/>
      <c r="ER258" s="71"/>
      <c r="ES258" s="71"/>
      <c r="ET258" s="71"/>
      <c r="EU258" s="71"/>
      <c r="EV258" s="71"/>
      <c r="EW258" s="71"/>
      <c r="EX258" s="71"/>
      <c r="EY258" s="71"/>
      <c r="EZ258" s="71"/>
      <c r="FA258" s="71"/>
      <c r="FB258" s="71"/>
      <c r="FC258" s="71"/>
      <c r="FD258" s="71"/>
      <c r="FE258" s="71"/>
      <c r="FF258" s="71"/>
      <c r="FG258" s="71"/>
      <c r="FH258" s="71"/>
      <c r="FI258" s="71"/>
      <c r="FJ258" s="71"/>
      <c r="FK258" s="71"/>
      <c r="FL258" s="71"/>
      <c r="ADZ258" s="77">
        <v>2</v>
      </c>
      <c r="AEA258" s="327">
        <v>1</v>
      </c>
      <c r="AEB258" s="327"/>
      <c r="AEC258" s="327"/>
      <c r="AED258" s="327"/>
      <c r="AEE258" s="327"/>
      <c r="AEF258" s="327"/>
      <c r="AEG258" s="327"/>
      <c r="AEH258" s="327"/>
      <c r="AEI258" s="327"/>
      <c r="AEJ258" s="327"/>
    </row>
    <row r="259" spans="1:833" ht="15" customHeight="1">
      <c r="A259" s="766"/>
      <c r="B259" s="330">
        <v>7</v>
      </c>
      <c r="C259" s="330" t="s">
        <v>3230</v>
      </c>
      <c r="D259" s="330" t="s">
        <v>73</v>
      </c>
      <c r="E259" s="331">
        <v>45290</v>
      </c>
      <c r="F259" s="331">
        <v>45298</v>
      </c>
      <c r="G259" s="332" t="s">
        <v>2914</v>
      </c>
      <c r="H259" s="253" t="s">
        <v>230</v>
      </c>
      <c r="I259" s="253" t="s">
        <v>3235</v>
      </c>
      <c r="J259" s="253" t="s">
        <v>2915</v>
      </c>
      <c r="K259" s="335">
        <v>45295</v>
      </c>
      <c r="L259" s="335">
        <f>K259</f>
        <v>45295</v>
      </c>
      <c r="M259" s="74" t="s">
        <v>3236</v>
      </c>
      <c r="N259" s="74" t="s">
        <v>3234</v>
      </c>
      <c r="O259" s="1195" t="s">
        <v>3237</v>
      </c>
      <c r="P259" s="486">
        <v>7500</v>
      </c>
      <c r="Q259" s="261"/>
      <c r="R259" s="261"/>
      <c r="S259" s="261"/>
      <c r="T259" s="261"/>
      <c r="U259" s="486">
        <v>18100</v>
      </c>
      <c r="V259" s="486">
        <v>15000</v>
      </c>
      <c r="W259" s="261"/>
      <c r="X259" s="486">
        <v>7500</v>
      </c>
      <c r="Y259" s="261"/>
      <c r="Z259" s="261"/>
      <c r="AA259" s="261"/>
      <c r="AB259" s="261"/>
      <c r="AC259" s="261"/>
      <c r="AD259" s="261"/>
      <c r="AE259" s="261"/>
      <c r="AF259" s="261"/>
      <c r="AG259" s="261"/>
      <c r="AH259" s="261"/>
      <c r="AI259" s="261"/>
      <c r="AJ259" s="261"/>
      <c r="AK259" s="261"/>
      <c r="AL259" s="261"/>
      <c r="AM259" s="261"/>
      <c r="AN259" s="261"/>
      <c r="AO259" s="261"/>
      <c r="AP259" s="261"/>
      <c r="AQ259" s="261"/>
      <c r="AR259" s="261"/>
      <c r="AS259" s="261"/>
      <c r="AT259" s="261"/>
      <c r="AU259" s="486">
        <v>7500</v>
      </c>
      <c r="AV259" s="261"/>
      <c r="AW259" s="261"/>
      <c r="AX259" s="261"/>
      <c r="AY259" s="261"/>
      <c r="AZ259" s="261"/>
      <c r="BA259" s="261"/>
      <c r="BB259" s="261"/>
      <c r="BC259" s="261"/>
      <c r="BD259" s="261"/>
      <c r="BE259" s="333">
        <v>55600</v>
      </c>
      <c r="BF259" s="333"/>
      <c r="BG259" s="1183">
        <f>SUM(P259:BD259)</f>
        <v>55600</v>
      </c>
      <c r="BH259" s="332">
        <v>12000</v>
      </c>
      <c r="BI259" s="1195" t="s">
        <v>12</v>
      </c>
      <c r="BJ259" s="1195"/>
      <c r="BK259" s="330" t="s">
        <v>2924</v>
      </c>
      <c r="BL259" s="331">
        <v>45289.677083333336</v>
      </c>
      <c r="BM259" s="331"/>
      <c r="BN259" s="330"/>
      <c r="BO259" s="334">
        <v>56028</v>
      </c>
      <c r="BP259" s="253" t="str">
        <f>IF(BO259=0,"0",IF(BO259&lt;=50000,"HANDYMAX",IF(BO259&lt;=58000,"SUPER HANDYMAX",IF(BO259&lt;=80000,"PANAMAX",IF(BO259&gt;=80001,"POST PANAMAX")))))</f>
        <v>SUPER HANDYMAX</v>
      </c>
      <c r="BQ259" s="104"/>
      <c r="BR259" s="104"/>
      <c r="BS259" s="104"/>
      <c r="BT259" s="104"/>
      <c r="BU259" s="104"/>
      <c r="BV259" s="104"/>
      <c r="BW259" s="104"/>
      <c r="BX259" s="71" t="s">
        <v>3238</v>
      </c>
      <c r="BY259" s="71"/>
      <c r="BZ259" s="71"/>
      <c r="CA259" s="848"/>
      <c r="CB259" s="71"/>
      <c r="CC259" s="71"/>
      <c r="CD259" s="71"/>
      <c r="CE259" s="71"/>
      <c r="CF259" s="71"/>
      <c r="CG259" s="71"/>
      <c r="CH259" s="71"/>
      <c r="CI259" s="71"/>
      <c r="CJ259" s="71"/>
      <c r="CK259" s="71"/>
      <c r="CL259" s="71"/>
      <c r="CM259" s="71"/>
      <c r="CN259" s="71"/>
      <c r="CO259" s="71"/>
      <c r="CP259" s="71"/>
      <c r="CQ259" s="71"/>
      <c r="CR259" s="71"/>
      <c r="CS259" s="71"/>
      <c r="CT259" s="71"/>
      <c r="CU259" s="71"/>
      <c r="CV259" s="71"/>
      <c r="CW259" s="71"/>
      <c r="CX259" s="71"/>
      <c r="CY259" s="71"/>
      <c r="CZ259" s="71"/>
      <c r="DA259" s="71"/>
      <c r="DB259" s="71"/>
      <c r="DC259" s="71"/>
      <c r="DD259" s="71"/>
      <c r="DE259" s="71"/>
      <c r="DF259" s="71"/>
      <c r="DG259" s="71"/>
      <c r="DH259" s="71"/>
      <c r="DI259" s="71"/>
      <c r="DJ259" s="71"/>
      <c r="DK259" s="71"/>
      <c r="DL259" s="71"/>
      <c r="DM259" s="71"/>
      <c r="DN259" s="71"/>
      <c r="DO259" s="71"/>
      <c r="DP259" s="71"/>
      <c r="DQ259" s="71"/>
      <c r="DR259" s="71"/>
      <c r="DS259" s="71"/>
      <c r="DT259" s="71"/>
      <c r="DU259" s="71"/>
      <c r="DV259" s="71"/>
      <c r="DW259" s="71"/>
      <c r="DX259" s="71"/>
      <c r="DY259" s="71"/>
      <c r="DZ259" s="71"/>
      <c r="EA259" s="71"/>
      <c r="EB259" s="71"/>
      <c r="EC259" s="71"/>
      <c r="ED259" s="71"/>
      <c r="EE259" s="71"/>
      <c r="EF259" s="71"/>
      <c r="EG259" s="71"/>
      <c r="EH259" s="71"/>
      <c r="EI259" s="71"/>
      <c r="EJ259" s="71"/>
      <c r="EK259" s="71"/>
      <c r="EL259" s="71"/>
      <c r="EM259" s="71"/>
      <c r="EN259" s="71"/>
      <c r="EO259" s="71"/>
      <c r="EP259" s="71"/>
      <c r="EQ259" s="71"/>
      <c r="ER259" s="71"/>
      <c r="ES259" s="71"/>
      <c r="ET259" s="71"/>
      <c r="EU259" s="71"/>
      <c r="EV259" s="71"/>
      <c r="EW259" s="71"/>
      <c r="EX259" s="71"/>
      <c r="EY259" s="71"/>
      <c r="EZ259" s="71"/>
      <c r="FA259" s="71"/>
      <c r="FB259" s="71"/>
      <c r="FC259" s="71"/>
      <c r="FD259" s="71"/>
      <c r="FE259" s="71"/>
      <c r="FF259" s="71"/>
      <c r="FG259" s="71"/>
      <c r="FH259" s="71"/>
      <c r="FI259" s="71"/>
      <c r="FJ259" s="71"/>
      <c r="FK259" s="71"/>
      <c r="FL259" s="71"/>
      <c r="ADY259" s="327"/>
      <c r="ADZ259" s="327"/>
      <c r="AEA259" s="327"/>
      <c r="AEB259" s="327"/>
      <c r="AEC259" s="327">
        <v>1</v>
      </c>
      <c r="AED259" s="327">
        <v>2</v>
      </c>
      <c r="AEE259" s="327"/>
      <c r="AEF259" s="327"/>
      <c r="AEG259" s="327"/>
    </row>
    <row r="260" spans="1:833" ht="15" customHeight="1">
      <c r="A260" s="766"/>
      <c r="B260" s="104">
        <v>8</v>
      </c>
      <c r="C260" s="104" t="s">
        <v>3230</v>
      </c>
      <c r="D260" s="104" t="s">
        <v>74</v>
      </c>
      <c r="E260" s="70">
        <v>45292</v>
      </c>
      <c r="F260" s="70">
        <v>45301</v>
      </c>
      <c r="G260" s="68" t="s">
        <v>2914</v>
      </c>
      <c r="H260" s="71" t="s">
        <v>2463</v>
      </c>
      <c r="I260" s="71" t="s">
        <v>3239</v>
      </c>
      <c r="J260" s="71" t="s">
        <v>2915</v>
      </c>
      <c r="K260" s="326">
        <v>45297</v>
      </c>
      <c r="L260" s="326">
        <f>K260</f>
        <v>45297</v>
      </c>
      <c r="M260" s="103" t="s">
        <v>3234</v>
      </c>
      <c r="N260" s="103" t="s">
        <v>3240</v>
      </c>
      <c r="O260" s="1189" t="s">
        <v>3237</v>
      </c>
      <c r="P260" s="261"/>
      <c r="Q260" s="486">
        <v>7500</v>
      </c>
      <c r="R260" s="261"/>
      <c r="S260" s="261"/>
      <c r="T260" s="261"/>
      <c r="U260" s="261"/>
      <c r="V260" s="261"/>
      <c r="W260" s="261"/>
      <c r="X260" s="486">
        <v>32500</v>
      </c>
      <c r="Y260" s="261"/>
      <c r="Z260" s="261"/>
      <c r="AA260" s="261"/>
      <c r="AB260" s="261"/>
      <c r="AC260" s="261"/>
      <c r="AD260" s="261"/>
      <c r="AE260" s="261"/>
      <c r="AF260" s="261"/>
      <c r="AG260" s="261"/>
      <c r="AH260" s="261"/>
      <c r="AI260" s="261"/>
      <c r="AJ260" s="261"/>
      <c r="AK260" s="261"/>
      <c r="AL260" s="261"/>
      <c r="AM260" s="261"/>
      <c r="AN260" s="261"/>
      <c r="AO260" s="261"/>
      <c r="AP260" s="261"/>
      <c r="AQ260" s="261"/>
      <c r="AR260" s="261"/>
      <c r="AS260" s="261"/>
      <c r="AT260" s="261"/>
      <c r="AU260" s="486">
        <v>7500</v>
      </c>
      <c r="AV260" s="261"/>
      <c r="AW260" s="486">
        <v>7500</v>
      </c>
      <c r="AX260" s="261"/>
      <c r="AY260" s="261"/>
      <c r="AZ260" s="261"/>
      <c r="BA260" s="261"/>
      <c r="BB260" s="261"/>
      <c r="BC260" s="261"/>
      <c r="BD260" s="261"/>
      <c r="BE260" s="309">
        <v>55000</v>
      </c>
      <c r="BF260" s="309">
        <v>55000</v>
      </c>
      <c r="BG260" s="1184">
        <f>SUM(P260:BD260)</f>
        <v>55000</v>
      </c>
      <c r="BH260" s="68">
        <v>12000</v>
      </c>
      <c r="BI260" s="1189" t="s">
        <v>12</v>
      </c>
      <c r="BJ260" s="1189"/>
      <c r="BK260" s="104"/>
      <c r="BL260" s="331"/>
      <c r="BM260" s="331"/>
      <c r="BN260" s="104"/>
      <c r="BO260" s="106">
        <v>50962</v>
      </c>
      <c r="BP260" s="71" t="str">
        <f t="shared" si="82"/>
        <v>SUPER HANDYMAX</v>
      </c>
      <c r="BQ260" s="104"/>
      <c r="BR260" s="104"/>
      <c r="BS260" s="104"/>
      <c r="BT260" s="104"/>
      <c r="BU260" s="104"/>
      <c r="BV260" s="104"/>
      <c r="BW260" s="104"/>
      <c r="BX260" s="71" t="s">
        <v>3241</v>
      </c>
      <c r="BY260" s="71"/>
      <c r="BZ260" s="71"/>
      <c r="CA260" s="848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71"/>
      <c r="CR260" s="71"/>
      <c r="CS260" s="71"/>
      <c r="CT260" s="71"/>
      <c r="CU260" s="71"/>
      <c r="CV260" s="71"/>
      <c r="CW260" s="71"/>
      <c r="CX260" s="71"/>
      <c r="CY260" s="71"/>
      <c r="CZ260" s="71"/>
      <c r="DA260" s="71"/>
      <c r="DB260" s="71"/>
      <c r="DC260" s="71"/>
      <c r="DD260" s="71"/>
      <c r="DE260" s="71"/>
      <c r="DF260" s="71"/>
      <c r="DG260" s="71"/>
      <c r="DH260" s="71"/>
      <c r="DI260" s="71"/>
      <c r="DJ260" s="71"/>
      <c r="DK260" s="71"/>
      <c r="DL260" s="71"/>
      <c r="DM260" s="71"/>
      <c r="DN260" s="71"/>
      <c r="DO260" s="71"/>
      <c r="DP260" s="71"/>
      <c r="DQ260" s="71"/>
      <c r="DR260" s="71"/>
      <c r="DS260" s="71"/>
      <c r="DT260" s="71"/>
      <c r="DU260" s="71"/>
      <c r="DV260" s="71"/>
      <c r="DW260" s="71"/>
      <c r="DX260" s="71"/>
      <c r="DY260" s="71"/>
      <c r="DZ260" s="71"/>
      <c r="EA260" s="71"/>
      <c r="EB260" s="71"/>
      <c r="EC260" s="71"/>
      <c r="ED260" s="71"/>
      <c r="EE260" s="71"/>
      <c r="EF260" s="71"/>
      <c r="EG260" s="71"/>
      <c r="EH260" s="71"/>
      <c r="EI260" s="71"/>
      <c r="EJ260" s="71"/>
      <c r="EK260" s="71"/>
      <c r="EL260" s="71"/>
      <c r="EM260" s="71"/>
      <c r="EN260" s="71"/>
      <c r="EO260" s="71"/>
      <c r="EP260" s="71"/>
      <c r="EQ260" s="71"/>
      <c r="ER260" s="71"/>
      <c r="ES260" s="71"/>
      <c r="ET260" s="71"/>
      <c r="EU260" s="71"/>
      <c r="EV260" s="71"/>
      <c r="EW260" s="71"/>
      <c r="EX260" s="71"/>
      <c r="EY260" s="71"/>
      <c r="EZ260" s="71"/>
      <c r="FA260" s="71"/>
      <c r="FB260" s="71"/>
      <c r="FC260" s="71"/>
      <c r="FD260" s="71"/>
      <c r="FE260" s="71"/>
      <c r="FF260" s="71"/>
      <c r="FG260" s="71"/>
      <c r="FH260" s="71"/>
      <c r="FI260" s="71"/>
      <c r="FJ260" s="71"/>
      <c r="FK260" s="71"/>
      <c r="FL260" s="71"/>
      <c r="AEA260" s="327"/>
      <c r="AEB260" s="327"/>
      <c r="AEC260" s="327">
        <v>1</v>
      </c>
      <c r="AED260" s="327"/>
      <c r="AEE260" s="327"/>
      <c r="AEF260" s="327"/>
      <c r="AEG260" s="327"/>
      <c r="AEH260" s="327"/>
      <c r="AEI260" s="327"/>
      <c r="AEJ260" s="327"/>
    </row>
    <row r="261" spans="1:833" ht="15" customHeight="1">
      <c r="A261" s="766"/>
      <c r="B261" s="104">
        <v>9</v>
      </c>
      <c r="C261" s="104" t="s">
        <v>3230</v>
      </c>
      <c r="D261" s="104" t="s">
        <v>74</v>
      </c>
      <c r="E261" s="70">
        <v>45297</v>
      </c>
      <c r="F261" s="70">
        <v>45306</v>
      </c>
      <c r="G261" s="68" t="s">
        <v>2914</v>
      </c>
      <c r="H261" s="71" t="s">
        <v>1515</v>
      </c>
      <c r="I261" s="71" t="s">
        <v>3242</v>
      </c>
      <c r="J261" s="71" t="s">
        <v>2963</v>
      </c>
      <c r="K261" s="326">
        <v>45294</v>
      </c>
      <c r="L261" s="326">
        <f>K261</f>
        <v>45294</v>
      </c>
      <c r="M261" s="103" t="s">
        <v>3240</v>
      </c>
      <c r="N261" s="103" t="s">
        <v>3243</v>
      </c>
      <c r="O261" s="1189" t="s">
        <v>3237</v>
      </c>
      <c r="P261" s="261"/>
      <c r="Q261" s="261"/>
      <c r="R261" s="261"/>
      <c r="S261" s="261"/>
      <c r="T261" s="486">
        <v>7500</v>
      </c>
      <c r="U261" s="261"/>
      <c r="V261" s="261"/>
      <c r="W261" s="261"/>
      <c r="X261" s="486">
        <v>3100</v>
      </c>
      <c r="Y261" s="486">
        <v>41400</v>
      </c>
      <c r="Z261" s="261"/>
      <c r="AA261" s="261"/>
      <c r="AB261" s="261"/>
      <c r="AC261" s="261"/>
      <c r="AD261" s="261"/>
      <c r="AE261" s="261"/>
      <c r="AF261" s="486">
        <v>7500</v>
      </c>
      <c r="AG261" s="261"/>
      <c r="AH261" s="261"/>
      <c r="AI261" s="261"/>
      <c r="AJ261" s="261"/>
      <c r="AK261" s="261"/>
      <c r="AL261" s="261"/>
      <c r="AM261" s="261"/>
      <c r="AN261" s="261"/>
      <c r="AO261" s="261"/>
      <c r="AP261" s="261"/>
      <c r="AQ261" s="261"/>
      <c r="AR261" s="261"/>
      <c r="AS261" s="261"/>
      <c r="AT261" s="261"/>
      <c r="AU261" s="261"/>
      <c r="AV261" s="261"/>
      <c r="AW261" s="261"/>
      <c r="AX261" s="261"/>
      <c r="AY261" s="486">
        <v>7500</v>
      </c>
      <c r="AZ261" s="261"/>
      <c r="BA261" s="261"/>
      <c r="BB261" s="261"/>
      <c r="BC261" s="261"/>
      <c r="BD261" s="261"/>
      <c r="BE261" s="309">
        <v>67000</v>
      </c>
      <c r="BF261" s="309"/>
      <c r="BG261" s="1184">
        <f t="shared" ref="BG261:BG275" si="83">SUM(P261:BD261)</f>
        <v>67000</v>
      </c>
      <c r="BH261" s="68">
        <v>25000</v>
      </c>
      <c r="BI261" s="1189" t="s">
        <v>12</v>
      </c>
      <c r="BJ261" s="1189"/>
      <c r="BK261" s="104"/>
      <c r="BL261" s="331"/>
      <c r="BM261" s="331"/>
      <c r="BN261" s="104"/>
      <c r="BO261" s="106"/>
      <c r="BP261" s="71" t="str">
        <f t="shared" ref="BP261" si="84">IF(BO261=0,"0",IF(BO261&lt;=50000,"HANDYMAX",IF(BO261&lt;=58000,"SUPER HANDYMAX",IF(BO261&lt;=80000,"PANAMAX",IF(BO261&gt;=80001,"POST PANAMAX")))))</f>
        <v>0</v>
      </c>
      <c r="BQ261" s="104"/>
      <c r="BR261" s="104"/>
      <c r="BS261" s="104"/>
      <c r="BT261" s="104"/>
      <c r="BU261" s="104"/>
      <c r="BV261" s="104"/>
      <c r="BW261" s="104"/>
      <c r="BX261" s="71"/>
      <c r="BY261" s="71"/>
      <c r="BZ261" s="71"/>
      <c r="CA261" s="848"/>
      <c r="CB261" s="71"/>
      <c r="CC261" s="71"/>
      <c r="CD261" s="71"/>
      <c r="CE261" s="71"/>
      <c r="CF261" s="71"/>
      <c r="CG261" s="71"/>
      <c r="CH261" s="71"/>
      <c r="CI261" s="71"/>
      <c r="CJ261" s="71"/>
      <c r="CK261" s="71"/>
      <c r="CL261" s="71"/>
      <c r="CM261" s="71"/>
      <c r="CN261" s="71"/>
      <c r="CO261" s="71"/>
      <c r="CP261" s="71"/>
      <c r="CQ261" s="71"/>
      <c r="CR261" s="71"/>
      <c r="CS261" s="71"/>
      <c r="CT261" s="71"/>
      <c r="CU261" s="71"/>
      <c r="CV261" s="71"/>
      <c r="CW261" s="71"/>
      <c r="CX261" s="71"/>
      <c r="CY261" s="71"/>
      <c r="CZ261" s="71"/>
      <c r="DA261" s="71"/>
      <c r="DB261" s="71"/>
      <c r="DC261" s="71"/>
      <c r="DD261" s="71"/>
      <c r="DE261" s="71"/>
      <c r="DF261" s="71"/>
      <c r="DG261" s="71"/>
      <c r="DH261" s="71"/>
      <c r="DI261" s="71"/>
      <c r="DJ261" s="71"/>
      <c r="DK261" s="71"/>
      <c r="DL261" s="71"/>
      <c r="DM261" s="71"/>
      <c r="DN261" s="71"/>
      <c r="DO261" s="71"/>
      <c r="DP261" s="71"/>
      <c r="DQ261" s="71"/>
      <c r="DR261" s="71"/>
      <c r="DS261" s="71"/>
      <c r="DT261" s="71"/>
      <c r="DU261" s="71"/>
      <c r="DV261" s="71"/>
      <c r="DW261" s="71"/>
      <c r="DX261" s="71"/>
      <c r="DY261" s="71"/>
      <c r="DZ261" s="71"/>
      <c r="EA261" s="71"/>
      <c r="EB261" s="71"/>
      <c r="EC261" s="71"/>
      <c r="ED261" s="71"/>
      <c r="EE261" s="71"/>
      <c r="EF261" s="71"/>
      <c r="EG261" s="71"/>
      <c r="EH261" s="71"/>
      <c r="EI261" s="71"/>
      <c r="EJ261" s="71"/>
      <c r="EK261" s="71"/>
      <c r="EL261" s="71"/>
      <c r="EM261" s="71"/>
      <c r="EN261" s="71"/>
      <c r="EO261" s="71"/>
      <c r="EP261" s="71"/>
      <c r="EQ261" s="71"/>
      <c r="ER261" s="71"/>
      <c r="ES261" s="71"/>
      <c r="ET261" s="71"/>
      <c r="EU261" s="71"/>
      <c r="EV261" s="71"/>
      <c r="EW261" s="71"/>
      <c r="EX261" s="71"/>
      <c r="EY261" s="71"/>
      <c r="EZ261" s="71"/>
      <c r="FA261" s="71"/>
      <c r="FB261" s="71"/>
      <c r="FC261" s="71"/>
      <c r="FD261" s="71"/>
      <c r="FE261" s="71"/>
      <c r="FF261" s="71"/>
      <c r="FG261" s="71"/>
      <c r="FH261" s="71"/>
      <c r="FI261" s="71"/>
      <c r="FJ261" s="71"/>
      <c r="FK261" s="71"/>
      <c r="FL261" s="71"/>
      <c r="AEC261" s="77">
        <v>2</v>
      </c>
      <c r="AEF261" s="327"/>
      <c r="AEG261" s="327">
        <v>1</v>
      </c>
      <c r="AEH261" s="327"/>
      <c r="AEI261" s="327"/>
      <c r="AEJ261" s="327"/>
      <c r="AEK261" s="327"/>
      <c r="AEL261" s="327"/>
      <c r="AEM261" s="327"/>
      <c r="AEN261" s="327"/>
      <c r="AEO261" s="327"/>
    </row>
    <row r="262" spans="1:833" ht="15" customHeight="1">
      <c r="A262" s="766"/>
      <c r="B262" s="104">
        <v>10</v>
      </c>
      <c r="C262" s="104" t="s">
        <v>3230</v>
      </c>
      <c r="D262" s="104" t="s">
        <v>74</v>
      </c>
      <c r="E262" s="70">
        <v>45302</v>
      </c>
      <c r="F262" s="70">
        <v>45311</v>
      </c>
      <c r="G262" s="68" t="s">
        <v>107</v>
      </c>
      <c r="H262" s="71" t="s">
        <v>3244</v>
      </c>
      <c r="I262" s="71" t="s">
        <v>3245</v>
      </c>
      <c r="J262" s="71" t="s">
        <v>2933</v>
      </c>
      <c r="K262" s="71"/>
      <c r="L262" s="71"/>
      <c r="M262" s="103" t="s">
        <v>3246</v>
      </c>
      <c r="N262" s="103" t="s">
        <v>3247</v>
      </c>
      <c r="O262" s="1189" t="s">
        <v>3237</v>
      </c>
      <c r="P262" s="486">
        <v>15000</v>
      </c>
      <c r="Q262" s="261"/>
      <c r="R262" s="261"/>
      <c r="S262" s="261"/>
      <c r="T262" s="261"/>
      <c r="U262" s="261"/>
      <c r="V262" s="261"/>
      <c r="W262" s="261"/>
      <c r="X262" s="486">
        <v>45000</v>
      </c>
      <c r="Y262" s="261"/>
      <c r="Z262" s="261"/>
      <c r="AA262" s="261"/>
      <c r="AB262" s="261"/>
      <c r="AC262" s="261"/>
      <c r="AD262" s="261"/>
      <c r="AE262" s="261"/>
      <c r="AF262" s="486">
        <v>7500</v>
      </c>
      <c r="AG262" s="261"/>
      <c r="AH262" s="261"/>
      <c r="AI262" s="261"/>
      <c r="AJ262" s="261"/>
      <c r="AK262" s="261"/>
      <c r="AL262" s="261"/>
      <c r="AM262" s="261"/>
      <c r="AN262" s="261"/>
      <c r="AO262" s="261"/>
      <c r="AP262" s="261"/>
      <c r="AQ262" s="261"/>
      <c r="AR262" s="261"/>
      <c r="AS262" s="261"/>
      <c r="AT262" s="261"/>
      <c r="AU262" s="486">
        <v>7500</v>
      </c>
      <c r="AV262" s="261"/>
      <c r="AW262" s="261"/>
      <c r="AX262" s="261"/>
      <c r="AY262" s="261"/>
      <c r="AZ262" s="261"/>
      <c r="BA262" s="261"/>
      <c r="BB262" s="261"/>
      <c r="BC262" s="261"/>
      <c r="BD262" s="261"/>
      <c r="BE262" s="309">
        <v>75000</v>
      </c>
      <c r="BF262" s="309"/>
      <c r="BG262" s="1184">
        <f t="shared" si="83"/>
        <v>75000</v>
      </c>
      <c r="BH262" s="68"/>
      <c r="BI262" s="1189" t="s">
        <v>20</v>
      </c>
      <c r="BJ262" s="1189" t="s">
        <v>2923</v>
      </c>
      <c r="BK262" s="104"/>
      <c r="BL262" s="331"/>
      <c r="BM262" s="331"/>
      <c r="BN262" s="104"/>
      <c r="BO262" s="106"/>
      <c r="BP262" s="71" t="str">
        <f t="shared" ref="BP262:BP275" si="85">IF(BO262=0,"0",IF(BO262&lt;=50000,"HANDYMAX",IF(BO262&lt;=58000,"SUPER HANDYMAX",IF(BO262&lt;=80000,"PANAMAX",IF(BO262&gt;=80001,"POST PANAMAX")))))</f>
        <v>0</v>
      </c>
      <c r="BQ262" s="104"/>
      <c r="BR262" s="104"/>
      <c r="BS262" s="104"/>
      <c r="BT262" s="104"/>
      <c r="BU262" s="104"/>
      <c r="BV262" s="104"/>
      <c r="BW262" s="104"/>
      <c r="BX262" s="71"/>
      <c r="BY262" s="71"/>
      <c r="BZ262" s="71"/>
      <c r="CA262" s="848"/>
      <c r="CB262" s="71"/>
      <c r="CC262" s="71"/>
      <c r="CD262" s="71"/>
      <c r="CE262" s="71"/>
      <c r="CF262" s="71"/>
      <c r="CG262" s="71"/>
      <c r="CH262" s="71"/>
      <c r="CI262" s="71"/>
      <c r="CJ262" s="71"/>
      <c r="CK262" s="71"/>
      <c r="CL262" s="71"/>
      <c r="CM262" s="71"/>
      <c r="CN262" s="71"/>
      <c r="CO262" s="71"/>
      <c r="CP262" s="71"/>
      <c r="CQ262" s="71"/>
      <c r="CR262" s="71"/>
      <c r="CS262" s="71"/>
      <c r="CT262" s="71"/>
      <c r="CU262" s="71"/>
      <c r="CV262" s="71"/>
      <c r="CW262" s="71"/>
      <c r="CX262" s="71"/>
      <c r="CY262" s="71"/>
      <c r="CZ262" s="71"/>
      <c r="DA262" s="71"/>
      <c r="DB262" s="71"/>
      <c r="DC262" s="71"/>
      <c r="DD262" s="71"/>
      <c r="DE262" s="71"/>
      <c r="DF262" s="71"/>
      <c r="DG262" s="71"/>
      <c r="DH262" s="71"/>
      <c r="DI262" s="71"/>
      <c r="DJ262" s="71"/>
      <c r="DK262" s="71"/>
      <c r="DL262" s="71"/>
      <c r="DM262" s="71"/>
      <c r="DN262" s="71"/>
      <c r="DO262" s="71"/>
      <c r="DP262" s="71"/>
      <c r="DQ262" s="71"/>
      <c r="DR262" s="71"/>
      <c r="DS262" s="71"/>
      <c r="DT262" s="71"/>
      <c r="DU262" s="71"/>
      <c r="DV262" s="71"/>
      <c r="DW262" s="71"/>
      <c r="DX262" s="71"/>
      <c r="DY262" s="71"/>
      <c r="DZ262" s="71"/>
      <c r="EA262" s="71"/>
      <c r="EB262" s="71"/>
      <c r="EC262" s="71"/>
      <c r="ED262" s="71"/>
      <c r="EE262" s="71"/>
      <c r="EF262" s="71"/>
      <c r="EG262" s="71"/>
      <c r="EH262" s="71"/>
      <c r="EI262" s="71"/>
      <c r="EJ262" s="71"/>
      <c r="EK262" s="71"/>
      <c r="EL262" s="71"/>
      <c r="EM262" s="71"/>
      <c r="EN262" s="71"/>
      <c r="EO262" s="71"/>
      <c r="EP262" s="71"/>
      <c r="EQ262" s="71"/>
      <c r="ER262" s="71"/>
      <c r="ES262" s="71"/>
      <c r="ET262" s="71"/>
      <c r="EU262" s="71"/>
      <c r="EV262" s="71"/>
      <c r="EW262" s="71"/>
      <c r="EX262" s="71"/>
      <c r="EY262" s="71"/>
      <c r="EZ262" s="71"/>
      <c r="FA262" s="71"/>
      <c r="FB262" s="71"/>
      <c r="FC262" s="71"/>
      <c r="FD262" s="71"/>
      <c r="FE262" s="71"/>
      <c r="FF262" s="71"/>
      <c r="FG262" s="71"/>
      <c r="FH262" s="71"/>
      <c r="FI262" s="71"/>
      <c r="FJ262" s="71"/>
      <c r="FK262" s="71"/>
      <c r="FL262" s="71"/>
      <c r="AEK262" s="327"/>
      <c r="AEL262" s="327"/>
      <c r="AEM262" s="327"/>
      <c r="AEN262" s="327"/>
      <c r="AEO262" s="327"/>
      <c r="AEP262" s="327"/>
      <c r="AEQ262" s="327"/>
      <c r="AER262" s="327"/>
      <c r="AES262" s="327"/>
      <c r="AET262" s="327"/>
    </row>
    <row r="263" spans="1:833" ht="15" customHeight="1">
      <c r="A263" s="766"/>
      <c r="B263" s="104">
        <v>11</v>
      </c>
      <c r="C263" s="104" t="s">
        <v>3230</v>
      </c>
      <c r="D263" s="104" t="s">
        <v>73</v>
      </c>
      <c r="E263" s="70">
        <v>45302</v>
      </c>
      <c r="F263" s="70">
        <v>45311</v>
      </c>
      <c r="G263" s="68" t="s">
        <v>2914</v>
      </c>
      <c r="H263" s="71" t="s">
        <v>3248</v>
      </c>
      <c r="I263" s="71" t="s">
        <v>3249</v>
      </c>
      <c r="J263" s="71" t="s">
        <v>2933</v>
      </c>
      <c r="K263" s="326">
        <v>45302</v>
      </c>
      <c r="L263" s="326">
        <f>K263</f>
        <v>45302</v>
      </c>
      <c r="M263" s="103" t="s">
        <v>3250</v>
      </c>
      <c r="N263" s="103" t="s">
        <v>3251</v>
      </c>
      <c r="O263" s="1189" t="s">
        <v>3237</v>
      </c>
      <c r="P263" s="486">
        <v>7500</v>
      </c>
      <c r="Q263" s="261"/>
      <c r="R263" s="261"/>
      <c r="S263" s="261"/>
      <c r="T263" s="261"/>
      <c r="U263" s="486">
        <v>30000</v>
      </c>
      <c r="V263" s="486">
        <v>17500</v>
      </c>
      <c r="W263" s="261"/>
      <c r="X263" s="486">
        <v>7500</v>
      </c>
      <c r="Y263" s="261"/>
      <c r="Z263" s="261"/>
      <c r="AA263" s="261"/>
      <c r="AB263" s="261"/>
      <c r="AC263" s="261"/>
      <c r="AD263" s="261"/>
      <c r="AE263" s="261"/>
      <c r="AF263" s="261"/>
      <c r="AG263" s="261"/>
      <c r="AH263" s="261"/>
      <c r="AI263" s="261"/>
      <c r="AJ263" s="261"/>
      <c r="AK263" s="261"/>
      <c r="AL263" s="261"/>
      <c r="AM263" s="261"/>
      <c r="AN263" s="261"/>
      <c r="AO263" s="261"/>
      <c r="AP263" s="261"/>
      <c r="AQ263" s="261"/>
      <c r="AR263" s="261"/>
      <c r="AS263" s="261"/>
      <c r="AT263" s="261"/>
      <c r="AU263" s="261"/>
      <c r="AV263" s="261"/>
      <c r="AW263" s="261"/>
      <c r="AX263" s="261"/>
      <c r="AY263" s="261"/>
      <c r="AZ263" s="261"/>
      <c r="BA263" s="486">
        <v>7500</v>
      </c>
      <c r="BB263" s="261"/>
      <c r="BC263" s="261"/>
      <c r="BD263" s="261"/>
      <c r="BE263" s="309">
        <v>70000</v>
      </c>
      <c r="BF263" s="309"/>
      <c r="BG263" s="1184">
        <f t="shared" si="83"/>
        <v>70000</v>
      </c>
      <c r="BH263" s="68"/>
      <c r="BI263" s="1189" t="s">
        <v>4</v>
      </c>
      <c r="BJ263" s="1189" t="s">
        <v>5</v>
      </c>
      <c r="BK263" s="104"/>
      <c r="BL263" s="331"/>
      <c r="BM263" s="331"/>
      <c r="BN263" s="104"/>
      <c r="BO263" s="106">
        <v>81247</v>
      </c>
      <c r="BP263" s="71" t="str">
        <f t="shared" si="85"/>
        <v>POST PANAMAX</v>
      </c>
      <c r="BQ263" s="104"/>
      <c r="BR263" s="104"/>
      <c r="BS263" s="104"/>
      <c r="BT263" s="104"/>
      <c r="BU263" s="104"/>
      <c r="BV263" s="104"/>
      <c r="BW263" s="104"/>
      <c r="BX263" s="71"/>
      <c r="BY263" s="71"/>
      <c r="BZ263" s="71"/>
      <c r="CA263" s="848"/>
      <c r="CB263" s="71"/>
      <c r="CC263" s="71"/>
      <c r="CD263" s="71"/>
      <c r="CE263" s="71"/>
      <c r="CF263" s="71"/>
      <c r="CG263" s="71"/>
      <c r="CH263" s="71"/>
      <c r="CI263" s="71"/>
      <c r="CJ263" s="71"/>
      <c r="CK263" s="71"/>
      <c r="CL263" s="71"/>
      <c r="CM263" s="71"/>
      <c r="CN263" s="71"/>
      <c r="CO263" s="71"/>
      <c r="CP263" s="71"/>
      <c r="CQ263" s="71"/>
      <c r="CR263" s="71"/>
      <c r="CS263" s="71"/>
      <c r="CT263" s="71"/>
      <c r="CU263" s="71"/>
      <c r="CV263" s="71"/>
      <c r="CW263" s="71"/>
      <c r="CX263" s="71"/>
      <c r="CY263" s="71"/>
      <c r="CZ263" s="71"/>
      <c r="DA263" s="71"/>
      <c r="DB263" s="71"/>
      <c r="DC263" s="71"/>
      <c r="DD263" s="71"/>
      <c r="DE263" s="71"/>
      <c r="DF263" s="71"/>
      <c r="DG263" s="71"/>
      <c r="DH263" s="71"/>
      <c r="DI263" s="71"/>
      <c r="DJ263" s="71"/>
      <c r="DK263" s="71"/>
      <c r="DL263" s="71"/>
      <c r="DM263" s="71"/>
      <c r="DN263" s="71"/>
      <c r="DO263" s="71"/>
      <c r="DP263" s="71"/>
      <c r="DQ263" s="71"/>
      <c r="DR263" s="71"/>
      <c r="DS263" s="71"/>
      <c r="DT263" s="71"/>
      <c r="DU263" s="71"/>
      <c r="DV263" s="71"/>
      <c r="DW263" s="71"/>
      <c r="DX263" s="71"/>
      <c r="DY263" s="71"/>
      <c r="DZ263" s="71"/>
      <c r="EA263" s="71"/>
      <c r="EB263" s="71"/>
      <c r="EC263" s="71"/>
      <c r="ED263" s="71"/>
      <c r="EE263" s="71"/>
      <c r="EF263" s="71"/>
      <c r="EG263" s="71"/>
      <c r="EH263" s="71"/>
      <c r="EI263" s="71"/>
      <c r="EJ263" s="71"/>
      <c r="EK263" s="71"/>
      <c r="EL263" s="71"/>
      <c r="EM263" s="71"/>
      <c r="EN263" s="71"/>
      <c r="EO263" s="71"/>
      <c r="EP263" s="71"/>
      <c r="EQ263" s="71"/>
      <c r="ER263" s="71"/>
      <c r="ES263" s="71"/>
      <c r="ET263" s="71"/>
      <c r="EU263" s="71"/>
      <c r="EV263" s="71"/>
      <c r="EW263" s="71"/>
      <c r="EX263" s="71"/>
      <c r="EY263" s="71"/>
      <c r="EZ263" s="71"/>
      <c r="FA263" s="71"/>
      <c r="FB263" s="71"/>
      <c r="FC263" s="71"/>
      <c r="FD263" s="71"/>
      <c r="FE263" s="71"/>
      <c r="FF263" s="71"/>
      <c r="FG263" s="71"/>
      <c r="FH263" s="71"/>
      <c r="FI263" s="71"/>
      <c r="FJ263" s="71"/>
      <c r="FK263" s="71"/>
      <c r="FL263" s="71"/>
      <c r="AEK263" s="327">
        <v>1</v>
      </c>
      <c r="AEL263" s="327"/>
      <c r="AEM263" s="327"/>
      <c r="AEN263" s="327"/>
      <c r="AEO263" s="327"/>
      <c r="AEP263" s="327"/>
      <c r="AEQ263" s="327"/>
      <c r="AER263" s="327"/>
      <c r="AES263" s="327"/>
      <c r="AET263" s="327"/>
    </row>
    <row r="264" spans="1:833" ht="15" customHeight="1">
      <c r="A264" s="766"/>
      <c r="B264" s="104">
        <v>12</v>
      </c>
      <c r="C264" s="104" t="s">
        <v>3230</v>
      </c>
      <c r="D264" s="104" t="s">
        <v>73</v>
      </c>
      <c r="E264" s="70">
        <v>45299</v>
      </c>
      <c r="F264" s="70">
        <v>45308</v>
      </c>
      <c r="G264" s="68" t="s">
        <v>2914</v>
      </c>
      <c r="H264" s="71" t="s">
        <v>2158</v>
      </c>
      <c r="I264" s="71" t="s">
        <v>3252</v>
      </c>
      <c r="J264" s="71" t="s">
        <v>2915</v>
      </c>
      <c r="K264" s="326">
        <v>45303</v>
      </c>
      <c r="L264" s="326">
        <f>K264</f>
        <v>45303</v>
      </c>
      <c r="M264" s="103" t="s">
        <v>3243</v>
      </c>
      <c r="N264" s="103" t="s">
        <v>3251</v>
      </c>
      <c r="O264" s="1189" t="s">
        <v>3237</v>
      </c>
      <c r="P264" s="486">
        <v>7500</v>
      </c>
      <c r="Q264" s="261"/>
      <c r="R264" s="261"/>
      <c r="S264" s="261"/>
      <c r="T264" s="261"/>
      <c r="U264" s="486">
        <v>10000</v>
      </c>
      <c r="V264" s="486">
        <v>22500</v>
      </c>
      <c r="W264" s="261"/>
      <c r="X264" s="486">
        <v>7500</v>
      </c>
      <c r="Y264" s="261"/>
      <c r="Z264" s="261"/>
      <c r="AA264" s="261"/>
      <c r="AB264" s="261"/>
      <c r="AC264" s="261"/>
      <c r="AD264" s="261"/>
      <c r="AE264" s="261"/>
      <c r="AF264" s="261"/>
      <c r="AG264" s="261"/>
      <c r="AH264" s="261"/>
      <c r="AI264" s="261"/>
      <c r="AJ264" s="261"/>
      <c r="AK264" s="261"/>
      <c r="AL264" s="261"/>
      <c r="AM264" s="261"/>
      <c r="AN264" s="261"/>
      <c r="AO264" s="261"/>
      <c r="AP264" s="261"/>
      <c r="AQ264" s="261"/>
      <c r="AR264" s="261"/>
      <c r="AS264" s="261"/>
      <c r="AT264" s="261"/>
      <c r="AU264" s="486">
        <v>7500</v>
      </c>
      <c r="AV264" s="261"/>
      <c r="AW264" s="261"/>
      <c r="AX264" s="261"/>
      <c r="AY264" s="261"/>
      <c r="AZ264" s="261"/>
      <c r="BA264" s="261"/>
      <c r="BB264" s="261"/>
      <c r="BC264" s="261"/>
      <c r="BD264" s="261"/>
      <c r="BE264" s="309">
        <v>55000</v>
      </c>
      <c r="BF264" s="309"/>
      <c r="BG264" s="1184">
        <f>SUM(P264:BD264)</f>
        <v>55000</v>
      </c>
      <c r="BH264" s="68">
        <v>12000</v>
      </c>
      <c r="BI264" s="1189" t="s">
        <v>12</v>
      </c>
      <c r="BJ264" s="1189"/>
      <c r="BK264" s="104"/>
      <c r="BL264" s="331"/>
      <c r="BM264" s="331"/>
      <c r="BN264" s="104"/>
      <c r="BO264" s="106"/>
      <c r="BP264" s="71" t="str">
        <f t="shared" si="85"/>
        <v>0</v>
      </c>
      <c r="BQ264" s="104"/>
      <c r="BR264" s="104"/>
      <c r="BS264" s="104"/>
      <c r="BT264" s="104"/>
      <c r="BU264" s="104"/>
      <c r="BV264" s="104"/>
      <c r="BW264" s="104"/>
      <c r="BX264" s="71"/>
      <c r="BY264" s="71"/>
      <c r="BZ264" s="71"/>
      <c r="CA264" s="848"/>
      <c r="CB264" s="71"/>
      <c r="CC264" s="71"/>
      <c r="CD264" s="71"/>
      <c r="CE264" s="71"/>
      <c r="CF264" s="71"/>
      <c r="CG264" s="71"/>
      <c r="CH264" s="71"/>
      <c r="CI264" s="71"/>
      <c r="CJ264" s="71"/>
      <c r="CK264" s="71"/>
      <c r="CL264" s="71"/>
      <c r="CM264" s="71"/>
      <c r="CN264" s="71"/>
      <c r="CO264" s="71"/>
      <c r="CP264" s="71"/>
      <c r="CQ264" s="71"/>
      <c r="CR264" s="71"/>
      <c r="CS264" s="71"/>
      <c r="CT264" s="71"/>
      <c r="CU264" s="71"/>
      <c r="CV264" s="71"/>
      <c r="CW264" s="71"/>
      <c r="CX264" s="71"/>
      <c r="CY264" s="71"/>
      <c r="CZ264" s="71"/>
      <c r="DA264" s="71"/>
      <c r="DB264" s="71"/>
      <c r="DC264" s="71"/>
      <c r="DD264" s="71"/>
      <c r="DE264" s="71"/>
      <c r="DF264" s="71"/>
      <c r="DG264" s="71"/>
      <c r="DH264" s="71"/>
      <c r="DI264" s="71"/>
      <c r="DJ264" s="71"/>
      <c r="DK264" s="71"/>
      <c r="DL264" s="71"/>
      <c r="DM264" s="71"/>
      <c r="DN264" s="71"/>
      <c r="DO264" s="71"/>
      <c r="DP264" s="71"/>
      <c r="DQ264" s="71"/>
      <c r="DR264" s="71"/>
      <c r="DS264" s="71"/>
      <c r="DT264" s="71"/>
      <c r="DU264" s="71"/>
      <c r="DV264" s="71"/>
      <c r="DW264" s="71"/>
      <c r="DX264" s="71"/>
      <c r="DY264" s="71"/>
      <c r="DZ264" s="71"/>
      <c r="EA264" s="71"/>
      <c r="EB264" s="71"/>
      <c r="EC264" s="71"/>
      <c r="ED264" s="71"/>
      <c r="EE264" s="71"/>
      <c r="EF264" s="71"/>
      <c r="EG264" s="71"/>
      <c r="EH264" s="71"/>
      <c r="EI264" s="71"/>
      <c r="EJ264" s="71"/>
      <c r="EK264" s="71"/>
      <c r="EL264" s="71"/>
      <c r="EM264" s="71"/>
      <c r="EN264" s="71"/>
      <c r="EO264" s="71"/>
      <c r="EP264" s="71"/>
      <c r="EQ264" s="71"/>
      <c r="ER264" s="71"/>
      <c r="ES264" s="71"/>
      <c r="ET264" s="71"/>
      <c r="EU264" s="71"/>
      <c r="EV264" s="71"/>
      <c r="EW264" s="71"/>
      <c r="EX264" s="71"/>
      <c r="EY264" s="71"/>
      <c r="EZ264" s="71"/>
      <c r="FA264" s="71"/>
      <c r="FB264" s="71"/>
      <c r="FC264" s="71"/>
      <c r="FD264" s="71"/>
      <c r="FE264" s="71"/>
      <c r="FF264" s="71"/>
      <c r="FG264" s="71"/>
      <c r="FH264" s="71"/>
      <c r="FI264" s="71"/>
      <c r="FJ264" s="71"/>
      <c r="FK264" s="71"/>
      <c r="FL264" s="71"/>
      <c r="AEH264" s="327"/>
      <c r="AEI264" s="327"/>
      <c r="AEJ264" s="327"/>
      <c r="AEK264" s="327"/>
      <c r="AEL264" s="327">
        <v>1</v>
      </c>
      <c r="AEM264" s="327"/>
      <c r="AEN264" s="327"/>
      <c r="AEO264" s="327"/>
      <c r="AEP264" s="327"/>
      <c r="AEQ264" s="327"/>
    </row>
    <row r="265" spans="1:833" ht="15" customHeight="1">
      <c r="A265" s="766"/>
      <c r="B265" s="104">
        <v>13</v>
      </c>
      <c r="C265" s="104" t="s">
        <v>3230</v>
      </c>
      <c r="D265" s="104" t="s">
        <v>74</v>
      </c>
      <c r="E265" s="70">
        <v>45303</v>
      </c>
      <c r="F265" s="70">
        <v>45312</v>
      </c>
      <c r="G265" s="68" t="s">
        <v>2914</v>
      </c>
      <c r="H265" s="71" t="s">
        <v>3253</v>
      </c>
      <c r="I265" s="71" t="s">
        <v>3254</v>
      </c>
      <c r="J265" s="71" t="s">
        <v>2915</v>
      </c>
      <c r="K265" s="71"/>
      <c r="L265" s="71"/>
      <c r="M265" s="103" t="s">
        <v>3251</v>
      </c>
      <c r="N265" s="103" t="s">
        <v>3255</v>
      </c>
      <c r="O265" s="1189" t="s">
        <v>3237</v>
      </c>
      <c r="P265" s="261"/>
      <c r="Q265" s="261"/>
      <c r="R265" s="261"/>
      <c r="S265" s="261"/>
      <c r="T265" s="486">
        <v>7500</v>
      </c>
      <c r="U265" s="261"/>
      <c r="V265" s="261"/>
      <c r="W265" s="261"/>
      <c r="X265" s="486">
        <v>25000</v>
      </c>
      <c r="Y265" s="486">
        <v>7500</v>
      </c>
      <c r="Z265" s="261"/>
      <c r="AA265" s="261"/>
      <c r="AB265" s="261"/>
      <c r="AC265" s="261"/>
      <c r="AD265" s="261"/>
      <c r="AE265" s="261"/>
      <c r="AF265" s="486">
        <v>7500</v>
      </c>
      <c r="AG265" s="261"/>
      <c r="AH265" s="261"/>
      <c r="AI265" s="261"/>
      <c r="AJ265" s="261"/>
      <c r="AK265" s="261"/>
      <c r="AL265" s="261"/>
      <c r="AM265" s="261"/>
      <c r="AN265" s="261"/>
      <c r="AO265" s="261"/>
      <c r="AP265" s="261"/>
      <c r="AQ265" s="486">
        <v>7500</v>
      </c>
      <c r="AR265" s="261"/>
      <c r="AS265" s="261"/>
      <c r="AT265" s="261"/>
      <c r="AU265" s="261"/>
      <c r="AV265" s="261"/>
      <c r="AW265" s="261"/>
      <c r="AX265" s="261"/>
      <c r="AY265" s="261"/>
      <c r="AZ265" s="261"/>
      <c r="BA265" s="261"/>
      <c r="BB265" s="261"/>
      <c r="BC265" s="261"/>
      <c r="BD265" s="261"/>
      <c r="BE265" s="309">
        <v>55000</v>
      </c>
      <c r="BF265" s="309"/>
      <c r="BG265" s="1184">
        <f t="shared" si="83"/>
        <v>55000</v>
      </c>
      <c r="BH265" s="68"/>
      <c r="BI265" s="1189" t="s">
        <v>12</v>
      </c>
      <c r="BJ265" s="1189"/>
      <c r="BK265" s="104"/>
      <c r="BL265" s="331"/>
      <c r="BM265" s="331"/>
      <c r="BN265" s="104"/>
      <c r="BO265" s="106"/>
      <c r="BP265" s="71" t="str">
        <f t="shared" si="85"/>
        <v>0</v>
      </c>
      <c r="BQ265" s="104"/>
      <c r="BR265" s="104"/>
      <c r="BS265" s="104"/>
      <c r="BT265" s="104"/>
      <c r="BU265" s="104"/>
      <c r="BV265" s="104"/>
      <c r="BW265" s="104"/>
      <c r="BX265" s="71"/>
      <c r="BY265" s="71"/>
      <c r="BZ265" s="71"/>
      <c r="CA265" s="848"/>
      <c r="CB265" s="71"/>
      <c r="CC265" s="71"/>
      <c r="CD265" s="71"/>
      <c r="CE265" s="71"/>
      <c r="CF265" s="71"/>
      <c r="CG265" s="71"/>
      <c r="CH265" s="71"/>
      <c r="CI265" s="71"/>
      <c r="CJ265" s="71"/>
      <c r="CK265" s="71"/>
      <c r="CL265" s="71"/>
      <c r="CM265" s="71"/>
      <c r="CN265" s="71"/>
      <c r="CO265" s="71"/>
      <c r="CP265" s="71"/>
      <c r="CQ265" s="71"/>
      <c r="CR265" s="71"/>
      <c r="CS265" s="71"/>
      <c r="CT265" s="71"/>
      <c r="CU265" s="71"/>
      <c r="CV265" s="71"/>
      <c r="CW265" s="71"/>
      <c r="CX265" s="71"/>
      <c r="CY265" s="71"/>
      <c r="CZ265" s="71"/>
      <c r="DA265" s="71"/>
      <c r="DB265" s="71"/>
      <c r="DC265" s="71"/>
      <c r="DD265" s="71"/>
      <c r="DE265" s="71"/>
      <c r="DF265" s="71"/>
      <c r="DG265" s="71"/>
      <c r="DH265" s="71"/>
      <c r="DI265" s="71"/>
      <c r="DJ265" s="71"/>
      <c r="DK265" s="71"/>
      <c r="DL265" s="71"/>
      <c r="DM265" s="71"/>
      <c r="DN265" s="71"/>
      <c r="DO265" s="71"/>
      <c r="DP265" s="71"/>
      <c r="DQ265" s="71"/>
      <c r="DR265" s="71"/>
      <c r="DS265" s="71"/>
      <c r="DT265" s="71"/>
      <c r="DU265" s="71"/>
      <c r="DV265" s="71"/>
      <c r="DW265" s="71"/>
      <c r="DX265" s="71"/>
      <c r="DY265" s="71"/>
      <c r="DZ265" s="71"/>
      <c r="EA265" s="71"/>
      <c r="EB265" s="71"/>
      <c r="EC265" s="71"/>
      <c r="ED265" s="71"/>
      <c r="EE265" s="71"/>
      <c r="EF265" s="71"/>
      <c r="EG265" s="71"/>
      <c r="EH265" s="71"/>
      <c r="EI265" s="71"/>
      <c r="EJ265" s="71"/>
      <c r="EK265" s="71"/>
      <c r="EL265" s="71"/>
      <c r="EM265" s="71"/>
      <c r="EN265" s="71"/>
      <c r="EO265" s="71"/>
      <c r="EP265" s="71"/>
      <c r="EQ265" s="71"/>
      <c r="ER265" s="71"/>
      <c r="ES265" s="71"/>
      <c r="ET265" s="71"/>
      <c r="EU265" s="71"/>
      <c r="EV265" s="71"/>
      <c r="EW265" s="71"/>
      <c r="EX265" s="71"/>
      <c r="EY265" s="71"/>
      <c r="EZ265" s="71"/>
      <c r="FA265" s="71"/>
      <c r="FB265" s="71"/>
      <c r="FC265" s="71"/>
      <c r="FD265" s="71"/>
      <c r="FE265" s="71"/>
      <c r="FF265" s="71"/>
      <c r="FG265" s="71"/>
      <c r="FH265" s="71"/>
      <c r="FI265" s="71"/>
      <c r="FJ265" s="71"/>
      <c r="FK265" s="71"/>
      <c r="FL265" s="71"/>
      <c r="AEL265" s="327"/>
      <c r="AEM265" s="327"/>
      <c r="AEN265" s="327"/>
      <c r="AEO265" s="327"/>
      <c r="AEP265" s="327"/>
      <c r="AEQ265" s="327"/>
      <c r="AER265" s="327"/>
      <c r="AES265" s="327"/>
      <c r="AET265" s="327"/>
      <c r="AEU265" s="327"/>
    </row>
    <row r="266" spans="1:833" ht="15" customHeight="1">
      <c r="A266" s="766"/>
      <c r="B266" s="104">
        <v>14</v>
      </c>
      <c r="C266" s="104" t="s">
        <v>3230</v>
      </c>
      <c r="D266" s="104" t="s">
        <v>2983</v>
      </c>
      <c r="E266" s="70">
        <v>45303</v>
      </c>
      <c r="F266" s="70">
        <v>45312</v>
      </c>
      <c r="G266" s="1163" t="s">
        <v>3256</v>
      </c>
      <c r="H266" s="71" t="s">
        <v>3253</v>
      </c>
      <c r="I266" s="71" t="s">
        <v>3257</v>
      </c>
      <c r="J266" s="71" t="s">
        <v>2922</v>
      </c>
      <c r="K266" s="71"/>
      <c r="L266" s="71"/>
      <c r="M266" s="103" t="s">
        <v>3247</v>
      </c>
      <c r="N266" s="103" t="s">
        <v>3258</v>
      </c>
      <c r="O266" s="1189" t="s">
        <v>3237</v>
      </c>
      <c r="P266" s="261"/>
      <c r="Q266" s="261"/>
      <c r="R266" s="261"/>
      <c r="S266" s="261"/>
      <c r="T266" s="486">
        <v>20340</v>
      </c>
      <c r="U266" s="261"/>
      <c r="V266" s="261"/>
      <c r="W266" s="261"/>
      <c r="X266" s="261"/>
      <c r="Y266" s="261"/>
      <c r="Z266" s="261"/>
      <c r="AA266" s="261"/>
      <c r="AB266" s="261"/>
      <c r="AC266" s="261"/>
      <c r="AD266" s="261"/>
      <c r="AE266" s="261"/>
      <c r="AF266" s="261"/>
      <c r="AG266" s="261"/>
      <c r="AH266" s="261"/>
      <c r="AI266" s="261"/>
      <c r="AJ266" s="261"/>
      <c r="AK266" s="261"/>
      <c r="AL266" s="261"/>
      <c r="AM266" s="261"/>
      <c r="AN266" s="261"/>
      <c r="AO266" s="261"/>
      <c r="AP266" s="261"/>
      <c r="AQ266" s="261"/>
      <c r="AR266" s="486">
        <v>10600</v>
      </c>
      <c r="AS266" s="486">
        <v>7500</v>
      </c>
      <c r="AT266" s="261"/>
      <c r="AU266" s="261"/>
      <c r="AV266" s="486">
        <v>7500</v>
      </c>
      <c r="AW266" s="261"/>
      <c r="AX266" s="261"/>
      <c r="AY266" s="261"/>
      <c r="AZ266" s="261"/>
      <c r="BA266" s="486">
        <v>7500</v>
      </c>
      <c r="BB266" s="486">
        <v>4000</v>
      </c>
      <c r="BC266" s="486">
        <v>7560</v>
      </c>
      <c r="BD266" s="261"/>
      <c r="BE266" s="309">
        <v>65000</v>
      </c>
      <c r="BF266" s="309"/>
      <c r="BG266" s="1184">
        <f t="shared" si="83"/>
        <v>65000</v>
      </c>
      <c r="BH266" s="68"/>
      <c r="BI266" s="1189" t="s">
        <v>64</v>
      </c>
      <c r="BJ266" s="1189"/>
      <c r="BK266" s="104"/>
      <c r="BL266" s="331"/>
      <c r="BM266" s="331"/>
      <c r="BN266" s="104"/>
      <c r="BO266" s="106"/>
      <c r="BP266" s="71" t="str">
        <f t="shared" si="85"/>
        <v>0</v>
      </c>
      <c r="BQ266" s="104"/>
      <c r="BR266" s="104"/>
      <c r="BS266" s="104"/>
      <c r="BT266" s="104"/>
      <c r="BU266" s="104"/>
      <c r="BV266" s="104"/>
      <c r="BW266" s="104"/>
      <c r="BX266" s="71" t="s">
        <v>3259</v>
      </c>
      <c r="BY266" s="71"/>
      <c r="BZ266" s="71"/>
      <c r="CA266" s="848"/>
      <c r="CB266" s="71"/>
      <c r="CC266" s="71"/>
      <c r="CD266" s="71"/>
      <c r="CE266" s="71"/>
      <c r="CF266" s="71"/>
      <c r="CG266" s="71"/>
      <c r="CH266" s="71"/>
      <c r="CI266" s="71"/>
      <c r="CJ266" s="71"/>
      <c r="CK266" s="71"/>
      <c r="CL266" s="71"/>
      <c r="CM266" s="71"/>
      <c r="CN266" s="71"/>
      <c r="CO266" s="71"/>
      <c r="CP266" s="71"/>
      <c r="CQ266" s="71"/>
      <c r="CR266" s="71"/>
      <c r="CS266" s="71"/>
      <c r="CT266" s="71"/>
      <c r="CU266" s="71"/>
      <c r="CV266" s="71"/>
      <c r="CW266" s="71"/>
      <c r="CX266" s="71"/>
      <c r="CY266" s="71"/>
      <c r="CZ266" s="71"/>
      <c r="DA266" s="71"/>
      <c r="DB266" s="71"/>
      <c r="DC266" s="71"/>
      <c r="DD266" s="71"/>
      <c r="DE266" s="71"/>
      <c r="DF266" s="71"/>
      <c r="DG266" s="71"/>
      <c r="DH266" s="71"/>
      <c r="DI266" s="71"/>
      <c r="DJ266" s="71"/>
      <c r="DK266" s="71"/>
      <c r="DL266" s="71"/>
      <c r="DM266" s="71"/>
      <c r="DN266" s="71"/>
      <c r="DO266" s="71"/>
      <c r="DP266" s="71"/>
      <c r="DQ266" s="71"/>
      <c r="DR266" s="71"/>
      <c r="DS266" s="71"/>
      <c r="DT266" s="71"/>
      <c r="DU266" s="71"/>
      <c r="DV266" s="71"/>
      <c r="DW266" s="71"/>
      <c r="DX266" s="71"/>
      <c r="DY266" s="71"/>
      <c r="DZ266" s="71"/>
      <c r="EA266" s="71"/>
      <c r="EB266" s="71"/>
      <c r="EC266" s="71"/>
      <c r="ED266" s="71"/>
      <c r="EE266" s="71"/>
      <c r="EF266" s="71"/>
      <c r="EG266" s="71"/>
      <c r="EH266" s="71"/>
      <c r="EI266" s="71"/>
      <c r="EJ266" s="71"/>
      <c r="EK266" s="71"/>
      <c r="EL266" s="71"/>
      <c r="EM266" s="71"/>
      <c r="EN266" s="71"/>
      <c r="EO266" s="71"/>
      <c r="EP266" s="71"/>
      <c r="EQ266" s="71"/>
      <c r="ER266" s="71"/>
      <c r="ES266" s="71"/>
      <c r="ET266" s="71"/>
      <c r="EU266" s="71"/>
      <c r="EV266" s="71"/>
      <c r="EW266" s="71"/>
      <c r="EX266" s="71"/>
      <c r="EY266" s="71"/>
      <c r="EZ266" s="71"/>
      <c r="FA266" s="71"/>
      <c r="FB266" s="71"/>
      <c r="FC266" s="71"/>
      <c r="FD266" s="71"/>
      <c r="FE266" s="71"/>
      <c r="FF266" s="71"/>
      <c r="FG266" s="71"/>
      <c r="FH266" s="71"/>
      <c r="FI266" s="71"/>
      <c r="FJ266" s="71"/>
      <c r="FK266" s="71"/>
      <c r="FL266" s="71"/>
      <c r="AEL266" s="327"/>
      <c r="AEM266" s="327"/>
      <c r="AEN266" s="327"/>
      <c r="AEO266" s="327"/>
      <c r="AEP266" s="327"/>
      <c r="AEQ266" s="327"/>
      <c r="AER266" s="327"/>
      <c r="AES266" s="327"/>
      <c r="AET266" s="327"/>
      <c r="AEU266" s="327"/>
    </row>
    <row r="267" spans="1:833" ht="15" customHeight="1">
      <c r="A267" s="766"/>
      <c r="B267" s="104">
        <v>15</v>
      </c>
      <c r="C267" s="104" t="s">
        <v>3230</v>
      </c>
      <c r="D267" s="104" t="s">
        <v>2983</v>
      </c>
      <c r="E267" s="70">
        <v>45305</v>
      </c>
      <c r="F267" s="70">
        <v>45311</v>
      </c>
      <c r="G267" s="68" t="s">
        <v>107</v>
      </c>
      <c r="H267" s="71" t="s">
        <v>3260</v>
      </c>
      <c r="I267" s="71" t="s">
        <v>3040</v>
      </c>
      <c r="J267" s="71" t="s">
        <v>2943</v>
      </c>
      <c r="K267" s="326">
        <v>45306</v>
      </c>
      <c r="L267" s="326">
        <f>K267</f>
        <v>45306</v>
      </c>
      <c r="M267" s="103" t="s">
        <v>3258</v>
      </c>
      <c r="N267" s="103" t="s">
        <v>3261</v>
      </c>
      <c r="O267" s="1189" t="s">
        <v>3237</v>
      </c>
      <c r="P267" s="261"/>
      <c r="Q267" s="261"/>
      <c r="R267" s="261"/>
      <c r="S267" s="261"/>
      <c r="T267" s="486">
        <v>20100</v>
      </c>
      <c r="U267" s="261"/>
      <c r="V267" s="261"/>
      <c r="W267" s="261"/>
      <c r="X267" s="261"/>
      <c r="Y267" s="261"/>
      <c r="Z267" s="261"/>
      <c r="AA267" s="261"/>
      <c r="AB267" s="261"/>
      <c r="AC267" s="261"/>
      <c r="AD267" s="261"/>
      <c r="AE267" s="261"/>
      <c r="AF267" s="261"/>
      <c r="AG267" s="261"/>
      <c r="AH267" s="261"/>
      <c r="AI267" s="261"/>
      <c r="AJ267" s="261"/>
      <c r="AK267" s="261"/>
      <c r="AL267" s="486">
        <v>7500</v>
      </c>
      <c r="AM267" s="261"/>
      <c r="AN267" s="261"/>
      <c r="AO267" s="261"/>
      <c r="AP267" s="261"/>
      <c r="AQ267" s="261"/>
      <c r="AR267" s="486">
        <v>15900</v>
      </c>
      <c r="AS267" s="261"/>
      <c r="AT267" s="261"/>
      <c r="AU267" s="486">
        <v>7500</v>
      </c>
      <c r="AV267" s="261"/>
      <c r="AW267" s="261"/>
      <c r="AX267" s="261"/>
      <c r="AY267" s="261"/>
      <c r="AZ267" s="261"/>
      <c r="BA267" s="261"/>
      <c r="BB267" s="486">
        <v>4000</v>
      </c>
      <c r="BC267" s="261"/>
      <c r="BD267" s="261"/>
      <c r="BE267" s="309">
        <v>55000</v>
      </c>
      <c r="BF267" s="309"/>
      <c r="BG267" s="1184">
        <f t="shared" si="83"/>
        <v>55000</v>
      </c>
      <c r="BH267" s="68"/>
      <c r="BI267" s="1189" t="s">
        <v>20</v>
      </c>
      <c r="BJ267" s="1189" t="s">
        <v>2923</v>
      </c>
      <c r="BK267" s="104"/>
      <c r="BL267" s="331"/>
      <c r="BM267" s="331"/>
      <c r="BN267" s="104"/>
      <c r="BO267" s="106"/>
      <c r="BP267" s="71" t="str">
        <f t="shared" si="85"/>
        <v>0</v>
      </c>
      <c r="BQ267" s="104"/>
      <c r="BR267" s="104"/>
      <c r="BS267" s="104"/>
      <c r="BT267" s="104"/>
      <c r="BU267" s="104"/>
      <c r="BV267" s="104"/>
      <c r="BW267" s="104"/>
      <c r="BX267" s="71"/>
      <c r="BY267" s="71"/>
      <c r="BZ267" s="71"/>
      <c r="CA267" s="848"/>
      <c r="CB267" s="71"/>
      <c r="CC267" s="71"/>
      <c r="CD267" s="71"/>
      <c r="CE267" s="71"/>
      <c r="CF267" s="71"/>
      <c r="CG267" s="71"/>
      <c r="CH267" s="71"/>
      <c r="CI267" s="71"/>
      <c r="CJ267" s="71"/>
      <c r="CK267" s="71"/>
      <c r="CL267" s="71"/>
      <c r="CM267" s="71"/>
      <c r="CN267" s="71"/>
      <c r="CO267" s="71"/>
      <c r="CP267" s="71"/>
      <c r="CQ267" s="71"/>
      <c r="CR267" s="71"/>
      <c r="CS267" s="71"/>
      <c r="CT267" s="71"/>
      <c r="CU267" s="71"/>
      <c r="CV267" s="71"/>
      <c r="CW267" s="71"/>
      <c r="CX267" s="71"/>
      <c r="CY267" s="71"/>
      <c r="CZ267" s="71"/>
      <c r="DA267" s="71"/>
      <c r="DB267" s="71"/>
      <c r="DC267" s="71"/>
      <c r="DD267" s="71"/>
      <c r="DE267" s="71"/>
      <c r="DF267" s="71"/>
      <c r="DG267" s="71"/>
      <c r="DH267" s="71"/>
      <c r="DI267" s="71"/>
      <c r="DJ267" s="71"/>
      <c r="DK267" s="71"/>
      <c r="DL267" s="71"/>
      <c r="DM267" s="71"/>
      <c r="DN267" s="71"/>
      <c r="DO267" s="71"/>
      <c r="DP267" s="71"/>
      <c r="DQ267" s="71"/>
      <c r="DR267" s="71"/>
      <c r="DS267" s="71"/>
      <c r="DT267" s="71"/>
      <c r="DU267" s="71"/>
      <c r="DV267" s="71"/>
      <c r="DW267" s="71"/>
      <c r="DX267" s="71"/>
      <c r="DY267" s="71"/>
      <c r="DZ267" s="71"/>
      <c r="EA267" s="71"/>
      <c r="EB267" s="71"/>
      <c r="EC267" s="71"/>
      <c r="ED267" s="71"/>
      <c r="EE267" s="71"/>
      <c r="EF267" s="71"/>
      <c r="EG267" s="71"/>
      <c r="EH267" s="71"/>
      <c r="EI267" s="71"/>
      <c r="EJ267" s="71"/>
      <c r="EK267" s="71"/>
      <c r="EL267" s="71"/>
      <c r="EM267" s="71"/>
      <c r="EN267" s="71"/>
      <c r="EO267" s="71"/>
      <c r="EP267" s="71"/>
      <c r="EQ267" s="71"/>
      <c r="ER267" s="71"/>
      <c r="ES267" s="71"/>
      <c r="ET267" s="71"/>
      <c r="EU267" s="71"/>
      <c r="EV267" s="71"/>
      <c r="EW267" s="71"/>
      <c r="EX267" s="71"/>
      <c r="EY267" s="71"/>
      <c r="EZ267" s="71"/>
      <c r="FA267" s="71"/>
      <c r="FB267" s="71"/>
      <c r="FC267" s="71"/>
      <c r="FD267" s="71"/>
      <c r="FE267" s="71"/>
      <c r="FF267" s="71"/>
      <c r="FG267" s="71"/>
      <c r="FH267" s="71"/>
      <c r="FI267" s="71"/>
      <c r="FJ267" s="71"/>
      <c r="FK267" s="71"/>
      <c r="FL267" s="71"/>
      <c r="AEN267" s="327"/>
      <c r="AEO267" s="327"/>
      <c r="AEP267" s="327"/>
      <c r="AEQ267" s="327"/>
      <c r="AER267" s="327"/>
      <c r="AES267" s="327"/>
      <c r="AET267" s="327"/>
    </row>
    <row r="268" spans="1:833" ht="15" customHeight="1">
      <c r="A268" s="766"/>
      <c r="B268" s="104">
        <v>16</v>
      </c>
      <c r="C268" s="104" t="s">
        <v>3230</v>
      </c>
      <c r="D268" s="104" t="s">
        <v>74</v>
      </c>
      <c r="E268" s="70">
        <v>45306</v>
      </c>
      <c r="F268" s="70">
        <v>45315</v>
      </c>
      <c r="G268" s="68" t="s">
        <v>2914</v>
      </c>
      <c r="H268" s="71" t="s">
        <v>3253</v>
      </c>
      <c r="I268" s="71" t="s">
        <v>1746</v>
      </c>
      <c r="J268" s="71" t="s">
        <v>2932</v>
      </c>
      <c r="K268" s="71"/>
      <c r="L268" s="71"/>
      <c r="M268" s="103" t="s">
        <v>3255</v>
      </c>
      <c r="N268" s="103" t="s">
        <v>3262</v>
      </c>
      <c r="O268" s="1189" t="s">
        <v>3237</v>
      </c>
      <c r="P268" s="261"/>
      <c r="Q268" s="261"/>
      <c r="R268" s="261"/>
      <c r="S268" s="261"/>
      <c r="T268" s="486">
        <v>7500</v>
      </c>
      <c r="U268" s="261"/>
      <c r="V268" s="261"/>
      <c r="W268" s="261"/>
      <c r="X268" s="486">
        <v>2500</v>
      </c>
      <c r="Y268" s="486">
        <v>60000</v>
      </c>
      <c r="Z268" s="261"/>
      <c r="AA268" s="261"/>
      <c r="AB268" s="261"/>
      <c r="AC268" s="261"/>
      <c r="AD268" s="261"/>
      <c r="AE268" s="261"/>
      <c r="AF268" s="261"/>
      <c r="AG268" s="261"/>
      <c r="AH268" s="261"/>
      <c r="AI268" s="261"/>
      <c r="AJ268" s="261"/>
      <c r="AK268" s="261"/>
      <c r="AL268" s="261"/>
      <c r="AM268" s="261"/>
      <c r="AN268" s="261"/>
      <c r="AO268" s="261"/>
      <c r="AP268" s="261"/>
      <c r="AQ268" s="261"/>
      <c r="AR268" s="261"/>
      <c r="AS268" s="261"/>
      <c r="AT268" s="486">
        <v>7500</v>
      </c>
      <c r="AU268" s="486">
        <v>7500</v>
      </c>
      <c r="AV268" s="261"/>
      <c r="AW268" s="486">
        <v>15000</v>
      </c>
      <c r="AX268" s="261"/>
      <c r="AY268" s="261"/>
      <c r="AZ268" s="261"/>
      <c r="BA268" s="261"/>
      <c r="BB268" s="261"/>
      <c r="BC268" s="261"/>
      <c r="BD268" s="261"/>
      <c r="BE268" s="309">
        <v>100000</v>
      </c>
      <c r="BF268" s="309"/>
      <c r="BG268" s="1184">
        <f t="shared" si="83"/>
        <v>100000</v>
      </c>
      <c r="BH268" s="68"/>
      <c r="BI268" s="1189" t="s">
        <v>12</v>
      </c>
      <c r="BJ268" s="1189"/>
      <c r="BK268" s="104"/>
      <c r="BL268" s="331"/>
      <c r="BM268" s="331"/>
      <c r="BN268" s="104"/>
      <c r="BO268" s="106"/>
      <c r="BP268" s="71" t="str">
        <f t="shared" si="85"/>
        <v>0</v>
      </c>
      <c r="BQ268" s="104"/>
      <c r="BR268" s="104"/>
      <c r="BS268" s="104"/>
      <c r="BT268" s="104"/>
      <c r="BU268" s="104"/>
      <c r="BV268" s="104"/>
      <c r="BW268" s="104"/>
      <c r="BX268" s="71"/>
      <c r="BY268" s="71"/>
      <c r="BZ268" s="71"/>
      <c r="CA268" s="848"/>
      <c r="CB268" s="71"/>
      <c r="CC268" s="71"/>
      <c r="CD268" s="71"/>
      <c r="CE268" s="71"/>
      <c r="CF268" s="71"/>
      <c r="CG268" s="71"/>
      <c r="CH268" s="71"/>
      <c r="CI268" s="71"/>
      <c r="CJ268" s="71"/>
      <c r="CK268" s="71"/>
      <c r="CL268" s="71"/>
      <c r="CM268" s="71"/>
      <c r="CN268" s="71"/>
      <c r="CO268" s="71"/>
      <c r="CP268" s="71"/>
      <c r="CQ268" s="71"/>
      <c r="CR268" s="71"/>
      <c r="CS268" s="71"/>
      <c r="CT268" s="71"/>
      <c r="CU268" s="71"/>
      <c r="CV268" s="71"/>
      <c r="CW268" s="71"/>
      <c r="CX268" s="71"/>
      <c r="CY268" s="71"/>
      <c r="CZ268" s="71"/>
      <c r="DA268" s="71"/>
      <c r="DB268" s="71"/>
      <c r="DC268" s="71"/>
      <c r="DD268" s="71"/>
      <c r="DE268" s="71"/>
      <c r="DF268" s="71"/>
      <c r="DG268" s="71"/>
      <c r="DH268" s="71"/>
      <c r="DI268" s="71"/>
      <c r="DJ268" s="71"/>
      <c r="DK268" s="71"/>
      <c r="DL268" s="71"/>
      <c r="DM268" s="71"/>
      <c r="DN268" s="71"/>
      <c r="DO268" s="71"/>
      <c r="DP268" s="71"/>
      <c r="DQ268" s="71"/>
      <c r="DR268" s="71"/>
      <c r="DS268" s="71"/>
      <c r="DT268" s="71"/>
      <c r="DU268" s="71"/>
      <c r="DV268" s="71"/>
      <c r="DW268" s="71"/>
      <c r="DX268" s="71"/>
      <c r="DY268" s="71"/>
      <c r="DZ268" s="71"/>
      <c r="EA268" s="71"/>
      <c r="EB268" s="71"/>
      <c r="EC268" s="71"/>
      <c r="ED268" s="71"/>
      <c r="EE268" s="71"/>
      <c r="EF268" s="71"/>
      <c r="EG268" s="71"/>
      <c r="EH268" s="71"/>
      <c r="EI268" s="71"/>
      <c r="EJ268" s="71"/>
      <c r="EK268" s="71"/>
      <c r="EL268" s="71"/>
      <c r="EM268" s="71"/>
      <c r="EN268" s="71"/>
      <c r="EO268" s="71"/>
      <c r="EP268" s="71"/>
      <c r="EQ268" s="71"/>
      <c r="ER268" s="71"/>
      <c r="ES268" s="71"/>
      <c r="ET268" s="71"/>
      <c r="EU268" s="71"/>
      <c r="EV268" s="71"/>
      <c r="EW268" s="71"/>
      <c r="EX268" s="71"/>
      <c r="EY268" s="71"/>
      <c r="EZ268" s="71"/>
      <c r="FA268" s="71"/>
      <c r="FB268" s="71"/>
      <c r="FC268" s="71"/>
      <c r="FD268" s="71"/>
      <c r="FE268" s="71"/>
      <c r="FF268" s="71"/>
      <c r="FG268" s="71"/>
      <c r="FH268" s="71"/>
      <c r="FI268" s="71"/>
      <c r="FJ268" s="71"/>
      <c r="FK268" s="71"/>
      <c r="FL268" s="71"/>
      <c r="AEO268" s="327"/>
      <c r="AEP268" s="327"/>
      <c r="AEQ268" s="327"/>
      <c r="AER268" s="327"/>
      <c r="AES268" s="327"/>
      <c r="AET268" s="327"/>
      <c r="AEU268" s="327"/>
      <c r="AEV268" s="327"/>
      <c r="AEW268" s="327"/>
      <c r="AEX268" s="327"/>
    </row>
    <row r="269" spans="1:833" ht="15" customHeight="1">
      <c r="A269" s="766"/>
      <c r="B269" s="104">
        <v>17</v>
      </c>
      <c r="C269" s="104" t="s">
        <v>3230</v>
      </c>
      <c r="D269" s="104" t="s">
        <v>73</v>
      </c>
      <c r="E269" s="70">
        <v>45307</v>
      </c>
      <c r="F269" s="70">
        <v>45316</v>
      </c>
      <c r="G269" s="68" t="s">
        <v>2914</v>
      </c>
      <c r="H269" s="71" t="s">
        <v>3263</v>
      </c>
      <c r="I269" s="71" t="s">
        <v>3264</v>
      </c>
      <c r="J269" s="71" t="s">
        <v>2933</v>
      </c>
      <c r="K269" s="326">
        <v>45309</v>
      </c>
      <c r="L269" s="326">
        <f>K269</f>
        <v>45309</v>
      </c>
      <c r="M269" s="103" t="s">
        <v>3261</v>
      </c>
      <c r="N269" s="103" t="s">
        <v>3265</v>
      </c>
      <c r="O269" s="1189" t="s">
        <v>3237</v>
      </c>
      <c r="P269" s="486">
        <v>7500</v>
      </c>
      <c r="Q269" s="261"/>
      <c r="R269" s="261"/>
      <c r="S269" s="261"/>
      <c r="T269" s="261"/>
      <c r="U269" s="486">
        <v>30000</v>
      </c>
      <c r="V269" s="486">
        <v>7500</v>
      </c>
      <c r="W269" s="261"/>
      <c r="X269" s="486">
        <v>7500</v>
      </c>
      <c r="Y269" s="261"/>
      <c r="Z269" s="261"/>
      <c r="AA269" s="261"/>
      <c r="AB269" s="261"/>
      <c r="AC269" s="261"/>
      <c r="AD269" s="261"/>
      <c r="AE269" s="261"/>
      <c r="AF269" s="261"/>
      <c r="AG269" s="486">
        <v>7500</v>
      </c>
      <c r="AH269" s="261"/>
      <c r="AI269" s="261"/>
      <c r="AJ269" s="261"/>
      <c r="AK269" s="261"/>
      <c r="AL269" s="261"/>
      <c r="AM269" s="261"/>
      <c r="AN269" s="261"/>
      <c r="AO269" s="261"/>
      <c r="AP269" s="261"/>
      <c r="AQ269" s="261"/>
      <c r="AR269" s="261"/>
      <c r="AS269" s="261"/>
      <c r="AT269" s="261"/>
      <c r="AU269" s="261"/>
      <c r="AV269" s="261"/>
      <c r="AW269" s="261"/>
      <c r="AX269" s="261"/>
      <c r="AY269" s="261"/>
      <c r="AZ269" s="261"/>
      <c r="BA269" s="261"/>
      <c r="BB269" s="261"/>
      <c r="BC269" s="261"/>
      <c r="BD269" s="261"/>
      <c r="BE269" s="309">
        <v>60000</v>
      </c>
      <c r="BF269" s="309"/>
      <c r="BG269" s="1184">
        <f t="shared" si="83"/>
        <v>60000</v>
      </c>
      <c r="BH269" s="68">
        <v>16500</v>
      </c>
      <c r="BI269" s="1189" t="s">
        <v>4</v>
      </c>
      <c r="BJ269" s="1189" t="s">
        <v>5</v>
      </c>
      <c r="BK269" s="104"/>
      <c r="BL269" s="331"/>
      <c r="BM269" s="331"/>
      <c r="BN269" s="104"/>
      <c r="BO269" s="106"/>
      <c r="BP269" s="71" t="str">
        <f t="shared" si="85"/>
        <v>0</v>
      </c>
      <c r="BQ269" s="104"/>
      <c r="BR269" s="104"/>
      <c r="BS269" s="104"/>
      <c r="BT269" s="104"/>
      <c r="BU269" s="104"/>
      <c r="BV269" s="104"/>
      <c r="BW269" s="104"/>
      <c r="BX269" s="71"/>
      <c r="BY269" s="71"/>
      <c r="BZ269" s="71"/>
      <c r="CA269" s="848"/>
      <c r="CB269" s="71"/>
      <c r="CC269" s="71"/>
      <c r="CD269" s="71"/>
      <c r="CE269" s="71"/>
      <c r="CF269" s="71"/>
      <c r="CG269" s="71"/>
      <c r="CH269" s="71"/>
      <c r="CI269" s="71"/>
      <c r="CJ269" s="71"/>
      <c r="CK269" s="71"/>
      <c r="CL269" s="71"/>
      <c r="CM269" s="71"/>
      <c r="CN269" s="71"/>
      <c r="CO269" s="71"/>
      <c r="CP269" s="71"/>
      <c r="CQ269" s="71"/>
      <c r="CR269" s="71"/>
      <c r="CS269" s="71"/>
      <c r="CT269" s="71"/>
      <c r="CU269" s="71"/>
      <c r="CV269" s="71"/>
      <c r="CW269" s="71"/>
      <c r="CX269" s="71"/>
      <c r="CY269" s="71"/>
      <c r="CZ269" s="71"/>
      <c r="DA269" s="71"/>
      <c r="DB269" s="71"/>
      <c r="DC269" s="71"/>
      <c r="DD269" s="71"/>
      <c r="DE269" s="71"/>
      <c r="DF269" s="71"/>
      <c r="DG269" s="71"/>
      <c r="DH269" s="71"/>
      <c r="DI269" s="71"/>
      <c r="DJ269" s="71"/>
      <c r="DK269" s="71"/>
      <c r="DL269" s="71"/>
      <c r="DM269" s="71"/>
      <c r="DN269" s="71"/>
      <c r="DO269" s="71"/>
      <c r="DP269" s="71"/>
      <c r="DQ269" s="71"/>
      <c r="DR269" s="71"/>
      <c r="DS269" s="71"/>
      <c r="DT269" s="71"/>
      <c r="DU269" s="71"/>
      <c r="DV269" s="71"/>
      <c r="DW269" s="71"/>
      <c r="DX269" s="71"/>
      <c r="DY269" s="71"/>
      <c r="DZ269" s="71"/>
      <c r="EA269" s="71"/>
      <c r="EB269" s="71"/>
      <c r="EC269" s="71"/>
      <c r="ED269" s="71"/>
      <c r="EE269" s="71"/>
      <c r="EF269" s="71"/>
      <c r="EG269" s="71"/>
      <c r="EH269" s="71"/>
      <c r="EI269" s="71"/>
      <c r="EJ269" s="71"/>
      <c r="EK269" s="71"/>
      <c r="EL269" s="71"/>
      <c r="EM269" s="71"/>
      <c r="EN269" s="71"/>
      <c r="EO269" s="71"/>
      <c r="EP269" s="71"/>
      <c r="EQ269" s="71"/>
      <c r="ER269" s="71"/>
      <c r="ES269" s="71"/>
      <c r="ET269" s="71"/>
      <c r="EU269" s="71"/>
      <c r="EV269" s="71"/>
      <c r="EW269" s="71"/>
      <c r="EX269" s="71"/>
      <c r="EY269" s="71"/>
      <c r="EZ269" s="71"/>
      <c r="FA269" s="71"/>
      <c r="FB269" s="71"/>
      <c r="FC269" s="71"/>
      <c r="FD269" s="71"/>
      <c r="FE269" s="71"/>
      <c r="FF269" s="71"/>
      <c r="FG269" s="71"/>
      <c r="FH269" s="71"/>
      <c r="FI269" s="71"/>
      <c r="FJ269" s="71"/>
      <c r="FK269" s="71"/>
      <c r="FL269" s="71"/>
      <c r="AEP269" s="327"/>
      <c r="AEQ269" s="327"/>
      <c r="AER269" s="327">
        <v>1</v>
      </c>
      <c r="AES269" s="327"/>
      <c r="AET269" s="327"/>
      <c r="AEU269" s="327"/>
      <c r="AEV269" s="327"/>
      <c r="AEW269" s="327"/>
      <c r="AEX269" s="327"/>
      <c r="AEY269" s="327"/>
    </row>
    <row r="270" spans="1:833" ht="15" customHeight="1">
      <c r="A270" s="766"/>
      <c r="B270" s="104">
        <v>18</v>
      </c>
      <c r="C270" s="104" t="s">
        <v>3230</v>
      </c>
      <c r="D270" s="104" t="s">
        <v>74</v>
      </c>
      <c r="E270" s="70">
        <v>45308</v>
      </c>
      <c r="F270" s="70">
        <v>45317</v>
      </c>
      <c r="G270" s="68" t="s">
        <v>2914</v>
      </c>
      <c r="H270" s="71" t="s">
        <v>1445</v>
      </c>
      <c r="I270" s="71" t="s">
        <v>3266</v>
      </c>
      <c r="J270" s="71" t="s">
        <v>2963</v>
      </c>
      <c r="K270" s="326">
        <v>45309</v>
      </c>
      <c r="L270" s="326">
        <f>K270</f>
        <v>45309</v>
      </c>
      <c r="M270" s="103" t="s">
        <v>3265</v>
      </c>
      <c r="N270" s="103" t="s">
        <v>3267</v>
      </c>
      <c r="O270" s="1189" t="s">
        <v>3237</v>
      </c>
      <c r="P270" s="261"/>
      <c r="Q270" s="261"/>
      <c r="R270" s="261"/>
      <c r="S270" s="261"/>
      <c r="T270" s="261"/>
      <c r="U270" s="261"/>
      <c r="V270" s="261"/>
      <c r="W270" s="261"/>
      <c r="X270" s="486">
        <v>9600</v>
      </c>
      <c r="Y270" s="486">
        <v>29600</v>
      </c>
      <c r="Z270" s="261"/>
      <c r="AA270" s="261"/>
      <c r="AB270" s="261"/>
      <c r="AC270" s="261"/>
      <c r="AD270" s="261"/>
      <c r="AE270" s="261"/>
      <c r="AF270" s="486">
        <v>15000</v>
      </c>
      <c r="AG270" s="486">
        <v>7500</v>
      </c>
      <c r="AH270" s="261"/>
      <c r="AI270" s="261"/>
      <c r="AJ270" s="261"/>
      <c r="AK270" s="261"/>
      <c r="AL270" s="261"/>
      <c r="AM270" s="261"/>
      <c r="AN270" s="486">
        <v>5300</v>
      </c>
      <c r="AO270" s="261"/>
      <c r="AP270" s="261"/>
      <c r="AQ270" s="261"/>
      <c r="AR270" s="261"/>
      <c r="AS270" s="261"/>
      <c r="AT270" s="261"/>
      <c r="AU270" s="261"/>
      <c r="AV270" s="261"/>
      <c r="AW270" s="261"/>
      <c r="AX270" s="261"/>
      <c r="AY270" s="261"/>
      <c r="AZ270" s="261"/>
      <c r="BA270" s="261"/>
      <c r="BB270" s="261"/>
      <c r="BC270" s="261"/>
      <c r="BD270" s="261"/>
      <c r="BE270" s="309">
        <v>67000</v>
      </c>
      <c r="BF270" s="309"/>
      <c r="BG270" s="1184">
        <f t="shared" si="83"/>
        <v>67000</v>
      </c>
      <c r="BH270" s="68">
        <v>25000</v>
      </c>
      <c r="BI270" s="1189" t="s">
        <v>12</v>
      </c>
      <c r="BJ270" s="1189"/>
      <c r="BK270" s="104"/>
      <c r="BL270" s="331"/>
      <c r="BM270" s="331"/>
      <c r="BN270" s="104"/>
      <c r="BO270" s="106"/>
      <c r="BP270" s="71" t="str">
        <f t="shared" si="85"/>
        <v>0</v>
      </c>
      <c r="BQ270" s="104"/>
      <c r="BR270" s="104"/>
      <c r="BS270" s="104"/>
      <c r="BT270" s="104"/>
      <c r="BU270" s="104"/>
      <c r="BV270" s="104"/>
      <c r="BW270" s="104"/>
      <c r="BX270" s="71"/>
      <c r="BY270" s="71"/>
      <c r="BZ270" s="71"/>
      <c r="CA270" s="848"/>
      <c r="CB270" s="71"/>
      <c r="CC270" s="71"/>
      <c r="CD270" s="71"/>
      <c r="CE270" s="71"/>
      <c r="CF270" s="71"/>
      <c r="CG270" s="71"/>
      <c r="CH270" s="71"/>
      <c r="CI270" s="71"/>
      <c r="CJ270" s="71"/>
      <c r="CK270" s="71"/>
      <c r="CL270" s="71"/>
      <c r="CM270" s="71"/>
      <c r="CN270" s="71"/>
      <c r="CO270" s="71"/>
      <c r="CP270" s="71"/>
      <c r="CQ270" s="71"/>
      <c r="CR270" s="71"/>
      <c r="CS270" s="71"/>
      <c r="CT270" s="71"/>
      <c r="CU270" s="71"/>
      <c r="CV270" s="71"/>
      <c r="CW270" s="71"/>
      <c r="CX270" s="71"/>
      <c r="CY270" s="71"/>
      <c r="CZ270" s="71"/>
      <c r="DA270" s="71"/>
      <c r="DB270" s="71"/>
      <c r="DC270" s="71"/>
      <c r="DD270" s="71"/>
      <c r="DE270" s="71"/>
      <c r="DF270" s="71"/>
      <c r="DG270" s="71"/>
      <c r="DH270" s="71"/>
      <c r="DI270" s="71"/>
      <c r="DJ270" s="71"/>
      <c r="DK270" s="71"/>
      <c r="DL270" s="71"/>
      <c r="DM270" s="71"/>
      <c r="DN270" s="71"/>
      <c r="DO270" s="71"/>
      <c r="DP270" s="71"/>
      <c r="DQ270" s="71"/>
      <c r="DR270" s="71"/>
      <c r="DS270" s="71"/>
      <c r="DT270" s="71"/>
      <c r="DU270" s="71"/>
      <c r="DV270" s="71"/>
      <c r="DW270" s="71"/>
      <c r="DX270" s="71"/>
      <c r="DY270" s="71"/>
      <c r="DZ270" s="71"/>
      <c r="EA270" s="71"/>
      <c r="EB270" s="71"/>
      <c r="EC270" s="71"/>
      <c r="ED270" s="71"/>
      <c r="EE270" s="71"/>
      <c r="EF270" s="71"/>
      <c r="EG270" s="71"/>
      <c r="EH270" s="71"/>
      <c r="EI270" s="71"/>
      <c r="EJ270" s="71"/>
      <c r="EK270" s="71"/>
      <c r="EL270" s="71"/>
      <c r="EM270" s="71"/>
      <c r="EN270" s="71"/>
      <c r="EO270" s="71"/>
      <c r="EP270" s="71"/>
      <c r="EQ270" s="71"/>
      <c r="ER270" s="71"/>
      <c r="ES270" s="71"/>
      <c r="ET270" s="71"/>
      <c r="EU270" s="71"/>
      <c r="EV270" s="71"/>
      <c r="EW270" s="71"/>
      <c r="EX270" s="71"/>
      <c r="EY270" s="71"/>
      <c r="EZ270" s="71"/>
      <c r="FA270" s="71"/>
      <c r="FB270" s="71"/>
      <c r="FC270" s="71"/>
      <c r="FD270" s="71"/>
      <c r="FE270" s="71"/>
      <c r="FF270" s="71"/>
      <c r="FG270" s="71"/>
      <c r="FH270" s="71"/>
      <c r="FI270" s="71"/>
      <c r="FJ270" s="71"/>
      <c r="FK270" s="71"/>
      <c r="FL270" s="71"/>
      <c r="AEQ270" s="327"/>
      <c r="AER270" s="327">
        <v>1</v>
      </c>
      <c r="AES270" s="327"/>
      <c r="AET270" s="327"/>
      <c r="AEU270" s="327"/>
      <c r="AEV270" s="327"/>
      <c r="AEW270" s="327"/>
      <c r="AEX270" s="327"/>
      <c r="AEY270" s="327"/>
      <c r="AEZ270" s="327"/>
    </row>
    <row r="271" spans="1:833" ht="15" customHeight="1">
      <c r="A271" s="766"/>
      <c r="B271" s="104">
        <v>19</v>
      </c>
      <c r="C271" s="104" t="s">
        <v>3230</v>
      </c>
      <c r="D271" s="104" t="s">
        <v>2983</v>
      </c>
      <c r="E271" s="70">
        <v>45308</v>
      </c>
      <c r="F271" s="70">
        <v>45317</v>
      </c>
      <c r="G271" s="1163" t="s">
        <v>3256</v>
      </c>
      <c r="H271" s="71" t="s">
        <v>3253</v>
      </c>
      <c r="I271" s="71" t="s">
        <v>3268</v>
      </c>
      <c r="J271" s="71" t="s">
        <v>2922</v>
      </c>
      <c r="K271" s="71"/>
      <c r="L271" s="71"/>
      <c r="M271" s="103" t="s">
        <v>3261</v>
      </c>
      <c r="N271" s="103" t="s">
        <v>3265</v>
      </c>
      <c r="O271" s="1189" t="s">
        <v>3237</v>
      </c>
      <c r="P271" s="261"/>
      <c r="Q271" s="486">
        <v>3000</v>
      </c>
      <c r="R271" s="261"/>
      <c r="S271" s="261"/>
      <c r="T271" s="486">
        <v>34500</v>
      </c>
      <c r="U271" s="261"/>
      <c r="V271" s="261"/>
      <c r="W271" s="261"/>
      <c r="X271" s="261"/>
      <c r="Y271" s="261"/>
      <c r="Z271" s="261"/>
      <c r="AA271" s="261"/>
      <c r="AB271" s="261"/>
      <c r="AC271" s="486">
        <v>5000</v>
      </c>
      <c r="AD271" s="261"/>
      <c r="AE271" s="261"/>
      <c r="AF271" s="261"/>
      <c r="AG271" s="261"/>
      <c r="AH271" s="261"/>
      <c r="AI271" s="261"/>
      <c r="AJ271" s="261"/>
      <c r="AK271" s="261"/>
      <c r="AL271" s="261"/>
      <c r="AM271" s="261"/>
      <c r="AN271" s="261"/>
      <c r="AO271" s="261"/>
      <c r="AP271" s="261"/>
      <c r="AQ271" s="261"/>
      <c r="AR271" s="261"/>
      <c r="AS271" s="261"/>
      <c r="AT271" s="486">
        <v>7500</v>
      </c>
      <c r="AU271" s="261"/>
      <c r="AV271" s="261"/>
      <c r="AW271" s="486">
        <v>7500</v>
      </c>
      <c r="AX271" s="261"/>
      <c r="AY271" s="486">
        <v>7500</v>
      </c>
      <c r="AZ271" s="261"/>
      <c r="BA271" s="261"/>
      <c r="BB271" s="261"/>
      <c r="BC271" s="261"/>
      <c r="BD271" s="261"/>
      <c r="BE271" s="309">
        <v>65000</v>
      </c>
      <c r="BF271" s="309"/>
      <c r="BG271" s="1184">
        <f>SUM(P271:BD271)</f>
        <v>65000</v>
      </c>
      <c r="BH271" s="68"/>
      <c r="BI271" s="1189" t="s">
        <v>4</v>
      </c>
      <c r="BJ271" s="1189" t="s">
        <v>5</v>
      </c>
      <c r="BK271" s="104"/>
      <c r="BL271" s="331"/>
      <c r="BM271" s="331"/>
      <c r="BN271" s="104"/>
      <c r="BO271" s="106"/>
      <c r="BP271" s="71" t="str">
        <f t="shared" si="85"/>
        <v>0</v>
      </c>
      <c r="BQ271" s="104"/>
      <c r="BR271" s="104"/>
      <c r="BS271" s="104"/>
      <c r="BT271" s="104"/>
      <c r="BU271" s="104"/>
      <c r="BV271" s="104"/>
      <c r="BW271" s="104"/>
      <c r="BX271" s="71"/>
      <c r="BY271" s="71"/>
      <c r="BZ271" s="71"/>
      <c r="CA271" s="848"/>
      <c r="CB271" s="71"/>
      <c r="CC271" s="71"/>
      <c r="CD271" s="71"/>
      <c r="CE271" s="71"/>
      <c r="CF271" s="71"/>
      <c r="CG271" s="71"/>
      <c r="CH271" s="71"/>
      <c r="CI271" s="71"/>
      <c r="CJ271" s="71"/>
      <c r="CK271" s="71"/>
      <c r="CL271" s="71"/>
      <c r="CM271" s="71"/>
      <c r="CN271" s="71"/>
      <c r="CO271" s="71"/>
      <c r="CP271" s="71"/>
      <c r="CQ271" s="71"/>
      <c r="CR271" s="71"/>
      <c r="CS271" s="71"/>
      <c r="CT271" s="71"/>
      <c r="CU271" s="71"/>
      <c r="CV271" s="71"/>
      <c r="CW271" s="71"/>
      <c r="CX271" s="71"/>
      <c r="CY271" s="71"/>
      <c r="CZ271" s="71"/>
      <c r="DA271" s="71"/>
      <c r="DB271" s="71"/>
      <c r="DC271" s="71"/>
      <c r="DD271" s="71"/>
      <c r="DE271" s="71"/>
      <c r="DF271" s="71"/>
      <c r="DG271" s="71"/>
      <c r="DH271" s="71"/>
      <c r="DI271" s="71"/>
      <c r="DJ271" s="71"/>
      <c r="DK271" s="71"/>
      <c r="DL271" s="71"/>
      <c r="DM271" s="71"/>
      <c r="DN271" s="71"/>
      <c r="DO271" s="71"/>
      <c r="DP271" s="71"/>
      <c r="DQ271" s="71"/>
      <c r="DR271" s="71"/>
      <c r="DS271" s="71"/>
      <c r="DT271" s="71"/>
      <c r="DU271" s="71"/>
      <c r="DV271" s="71"/>
      <c r="DW271" s="71"/>
      <c r="DX271" s="71"/>
      <c r="DY271" s="71"/>
      <c r="DZ271" s="71"/>
      <c r="EA271" s="71"/>
      <c r="EB271" s="71"/>
      <c r="EC271" s="71"/>
      <c r="ED271" s="71"/>
      <c r="EE271" s="71"/>
      <c r="EF271" s="71"/>
      <c r="EG271" s="71"/>
      <c r="EH271" s="71"/>
      <c r="EI271" s="71"/>
      <c r="EJ271" s="71"/>
      <c r="EK271" s="71"/>
      <c r="EL271" s="71"/>
      <c r="EM271" s="71"/>
      <c r="EN271" s="71"/>
      <c r="EO271" s="71"/>
      <c r="EP271" s="71"/>
      <c r="EQ271" s="71"/>
      <c r="ER271" s="71"/>
      <c r="ES271" s="71"/>
      <c r="ET271" s="71"/>
      <c r="EU271" s="71"/>
      <c r="EV271" s="71"/>
      <c r="EW271" s="71"/>
      <c r="EX271" s="71"/>
      <c r="EY271" s="71"/>
      <c r="EZ271" s="71"/>
      <c r="FA271" s="71"/>
      <c r="FB271" s="71"/>
      <c r="FC271" s="71"/>
      <c r="FD271" s="71"/>
      <c r="FE271" s="71"/>
      <c r="FF271" s="71"/>
      <c r="FG271" s="71"/>
      <c r="FH271" s="71"/>
      <c r="FI271" s="71"/>
      <c r="FJ271" s="71"/>
      <c r="FK271" s="71"/>
      <c r="FL271" s="71"/>
      <c r="AEQ271" s="327"/>
      <c r="AER271" s="327"/>
      <c r="AES271" s="327"/>
      <c r="AET271" s="327"/>
      <c r="AEU271" s="327"/>
      <c r="AEV271" s="327"/>
      <c r="AEW271" s="327"/>
      <c r="AEX271" s="327"/>
      <c r="AEY271" s="327"/>
      <c r="AEZ271" s="327"/>
    </row>
    <row r="272" spans="1:833" ht="15" customHeight="1">
      <c r="A272" s="766"/>
      <c r="B272" s="104">
        <v>20</v>
      </c>
      <c r="C272" s="104" t="s">
        <v>3230</v>
      </c>
      <c r="D272" s="104" t="s">
        <v>73</v>
      </c>
      <c r="E272" s="70">
        <v>45309</v>
      </c>
      <c r="F272" s="70">
        <v>45318</v>
      </c>
      <c r="G272" s="68" t="s">
        <v>2914</v>
      </c>
      <c r="H272" s="71" t="s">
        <v>3269</v>
      </c>
      <c r="I272" s="71" t="s">
        <v>905</v>
      </c>
      <c r="J272" s="71" t="s">
        <v>2933</v>
      </c>
      <c r="K272" s="326">
        <v>45309</v>
      </c>
      <c r="L272" s="326">
        <f>K272</f>
        <v>45309</v>
      </c>
      <c r="M272" s="103" t="s">
        <v>3267</v>
      </c>
      <c r="N272" s="103" t="s">
        <v>3270</v>
      </c>
      <c r="O272" s="1189" t="s">
        <v>3237</v>
      </c>
      <c r="P272" s="261"/>
      <c r="Q272" s="261"/>
      <c r="R272" s="261"/>
      <c r="S272" s="261"/>
      <c r="T272" s="261"/>
      <c r="U272" s="261"/>
      <c r="V272" s="486">
        <v>32500</v>
      </c>
      <c r="W272" s="261"/>
      <c r="X272" s="261"/>
      <c r="Y272" s="486">
        <v>15000</v>
      </c>
      <c r="Z272" s="261"/>
      <c r="AA272" s="261"/>
      <c r="AB272" s="261"/>
      <c r="AC272" s="261"/>
      <c r="AD272" s="261"/>
      <c r="AE272" s="261"/>
      <c r="AF272" s="486">
        <v>7500</v>
      </c>
      <c r="AG272" s="261"/>
      <c r="AH272" s="261"/>
      <c r="AI272" s="261"/>
      <c r="AJ272" s="261"/>
      <c r="AK272" s="261"/>
      <c r="AL272" s="261"/>
      <c r="AM272" s="261"/>
      <c r="AN272" s="261"/>
      <c r="AO272" s="261"/>
      <c r="AP272" s="261"/>
      <c r="AQ272" s="261"/>
      <c r="AR272" s="261"/>
      <c r="AS272" s="261"/>
      <c r="AT272" s="261"/>
      <c r="AU272" s="261"/>
      <c r="AV272" s="261"/>
      <c r="AW272" s="261"/>
      <c r="AX272" s="261"/>
      <c r="AY272" s="261"/>
      <c r="AZ272" s="261"/>
      <c r="BA272" s="261"/>
      <c r="BB272" s="261"/>
      <c r="BC272" s="261"/>
      <c r="BD272" s="261"/>
      <c r="BE272" s="309">
        <v>55000</v>
      </c>
      <c r="BF272" s="309"/>
      <c r="BG272" s="1184">
        <f t="shared" si="83"/>
        <v>55000</v>
      </c>
      <c r="BH272" s="68"/>
      <c r="BI272" s="1189" t="s">
        <v>12</v>
      </c>
      <c r="BJ272" s="1189"/>
      <c r="BK272" s="104"/>
      <c r="BL272" s="331"/>
      <c r="BM272" s="331"/>
      <c r="BN272" s="104"/>
      <c r="BO272" s="106"/>
      <c r="BP272" s="71" t="str">
        <f t="shared" si="85"/>
        <v>0</v>
      </c>
      <c r="BQ272" s="104"/>
      <c r="BR272" s="104"/>
      <c r="BS272" s="104"/>
      <c r="BT272" s="104"/>
      <c r="BU272" s="104"/>
      <c r="BV272" s="104"/>
      <c r="BW272" s="104"/>
      <c r="BX272" s="71"/>
      <c r="BY272" s="71"/>
      <c r="BZ272" s="71"/>
      <c r="CA272" s="848"/>
      <c r="CB272" s="71"/>
      <c r="CC272" s="71"/>
      <c r="CD272" s="71"/>
      <c r="CE272" s="71"/>
      <c r="CF272" s="71"/>
      <c r="CG272" s="71"/>
      <c r="CH272" s="71"/>
      <c r="CI272" s="71"/>
      <c r="CJ272" s="71"/>
      <c r="CK272" s="71"/>
      <c r="CL272" s="71"/>
      <c r="CM272" s="71"/>
      <c r="CN272" s="71"/>
      <c r="CO272" s="71"/>
      <c r="CP272" s="71"/>
      <c r="CQ272" s="71"/>
      <c r="CR272" s="71"/>
      <c r="CS272" s="71"/>
      <c r="CT272" s="71"/>
      <c r="CU272" s="71"/>
      <c r="CV272" s="71"/>
      <c r="CW272" s="71"/>
      <c r="CX272" s="71"/>
      <c r="CY272" s="71"/>
      <c r="CZ272" s="71"/>
      <c r="DA272" s="71"/>
      <c r="DB272" s="71"/>
      <c r="DC272" s="71"/>
      <c r="DD272" s="71"/>
      <c r="DE272" s="71"/>
      <c r="DF272" s="71"/>
      <c r="DG272" s="71"/>
      <c r="DH272" s="71"/>
      <c r="DI272" s="71"/>
      <c r="DJ272" s="71"/>
      <c r="DK272" s="71"/>
      <c r="DL272" s="71"/>
      <c r="DM272" s="71"/>
      <c r="DN272" s="71"/>
      <c r="DO272" s="71"/>
      <c r="DP272" s="71"/>
      <c r="DQ272" s="71"/>
      <c r="DR272" s="71"/>
      <c r="DS272" s="71"/>
      <c r="DT272" s="71"/>
      <c r="DU272" s="71"/>
      <c r="DV272" s="71"/>
      <c r="DW272" s="71"/>
      <c r="DX272" s="71"/>
      <c r="DY272" s="71"/>
      <c r="DZ272" s="71"/>
      <c r="EA272" s="71"/>
      <c r="EB272" s="71"/>
      <c r="EC272" s="71"/>
      <c r="ED272" s="71"/>
      <c r="EE272" s="71"/>
      <c r="EF272" s="71"/>
      <c r="EG272" s="71"/>
      <c r="EH272" s="71"/>
      <c r="EI272" s="71"/>
      <c r="EJ272" s="71"/>
      <c r="EK272" s="71"/>
      <c r="EL272" s="71"/>
      <c r="EM272" s="71"/>
      <c r="EN272" s="71"/>
      <c r="EO272" s="71"/>
      <c r="EP272" s="71"/>
      <c r="EQ272" s="71"/>
      <c r="ER272" s="71"/>
      <c r="ES272" s="71"/>
      <c r="ET272" s="71"/>
      <c r="EU272" s="71"/>
      <c r="EV272" s="71"/>
      <c r="EW272" s="71"/>
      <c r="EX272" s="71"/>
      <c r="EY272" s="71"/>
      <c r="EZ272" s="71"/>
      <c r="FA272" s="71"/>
      <c r="FB272" s="71"/>
      <c r="FC272" s="71"/>
      <c r="FD272" s="71"/>
      <c r="FE272" s="71"/>
      <c r="FF272" s="71"/>
      <c r="FG272" s="71"/>
      <c r="FH272" s="71"/>
      <c r="FI272" s="71"/>
      <c r="FJ272" s="71"/>
      <c r="FK272" s="71"/>
      <c r="FL272" s="71"/>
      <c r="AER272" s="327">
        <v>1</v>
      </c>
      <c r="AES272" s="327"/>
      <c r="AET272" s="327"/>
      <c r="AEU272" s="327"/>
      <c r="AEV272" s="327"/>
      <c r="AEW272" s="327"/>
      <c r="AEX272" s="327"/>
      <c r="AEY272" s="327"/>
      <c r="AEZ272" s="327"/>
      <c r="AFA272" s="327"/>
    </row>
    <row r="273" spans="1:838" ht="15" customHeight="1">
      <c r="A273" s="766"/>
      <c r="B273" s="104">
        <v>21</v>
      </c>
      <c r="C273" s="104" t="s">
        <v>3230</v>
      </c>
      <c r="D273" s="104" t="s">
        <v>74</v>
      </c>
      <c r="E273" s="70">
        <v>45309</v>
      </c>
      <c r="F273" s="70">
        <v>45318</v>
      </c>
      <c r="G273" s="68" t="s">
        <v>2914</v>
      </c>
      <c r="H273" s="71" t="s">
        <v>3253</v>
      </c>
      <c r="I273" s="71" t="s">
        <v>3271</v>
      </c>
      <c r="J273" s="71" t="s">
        <v>2922</v>
      </c>
      <c r="K273" s="71"/>
      <c r="L273" s="71"/>
      <c r="M273" s="103" t="s">
        <v>3270</v>
      </c>
      <c r="N273" s="103" t="s">
        <v>3272</v>
      </c>
      <c r="O273" s="1189" t="s">
        <v>3237</v>
      </c>
      <c r="P273" s="261"/>
      <c r="Q273" s="261"/>
      <c r="R273" s="261"/>
      <c r="S273" s="261"/>
      <c r="T273" s="486">
        <v>7200</v>
      </c>
      <c r="U273" s="261"/>
      <c r="V273" s="261"/>
      <c r="W273" s="261"/>
      <c r="X273" s="1144">
        <v>37500</v>
      </c>
      <c r="Y273" s="486">
        <v>7500</v>
      </c>
      <c r="Z273" s="261"/>
      <c r="AA273" s="261"/>
      <c r="AB273" s="261"/>
      <c r="AC273" s="261"/>
      <c r="AD273" s="261"/>
      <c r="AE273" s="261"/>
      <c r="AF273" s="261"/>
      <c r="AG273" s="261"/>
      <c r="AH273" s="261"/>
      <c r="AI273" s="261"/>
      <c r="AJ273" s="261"/>
      <c r="AK273" s="261"/>
      <c r="AL273" s="261"/>
      <c r="AM273" s="261"/>
      <c r="AN273" s="261"/>
      <c r="AO273" s="261"/>
      <c r="AP273" s="261"/>
      <c r="AQ273" s="261"/>
      <c r="AR273" s="261"/>
      <c r="AS273" s="261"/>
      <c r="AT273" s="486">
        <v>5300</v>
      </c>
      <c r="AU273" s="261"/>
      <c r="AV273" s="261"/>
      <c r="AW273" s="261"/>
      <c r="AX273" s="486">
        <v>7500</v>
      </c>
      <c r="AY273" s="261"/>
      <c r="AZ273" s="261"/>
      <c r="BA273" s="261"/>
      <c r="BB273" s="261"/>
      <c r="BC273" s="261"/>
      <c r="BD273" s="261"/>
      <c r="BE273" s="309">
        <v>65000</v>
      </c>
      <c r="BF273" s="309"/>
      <c r="BG273" s="1184">
        <f t="shared" si="83"/>
        <v>65000</v>
      </c>
      <c r="BH273" s="68"/>
      <c r="BI273" s="1189" t="s">
        <v>12</v>
      </c>
      <c r="BJ273" s="1189"/>
      <c r="BK273" s="104"/>
      <c r="BL273" s="331"/>
      <c r="BM273" s="331"/>
      <c r="BN273" s="104"/>
      <c r="BO273" s="106"/>
      <c r="BP273" s="71" t="str">
        <f t="shared" si="85"/>
        <v>0</v>
      </c>
      <c r="BQ273" s="104"/>
      <c r="BR273" s="104"/>
      <c r="BS273" s="104"/>
      <c r="BT273" s="104"/>
      <c r="BU273" s="104"/>
      <c r="BV273" s="104"/>
      <c r="BW273" s="104"/>
      <c r="BX273" s="71"/>
      <c r="BY273" s="71"/>
      <c r="BZ273" s="71"/>
      <c r="CA273" s="848"/>
      <c r="CB273" s="71"/>
      <c r="CC273" s="71"/>
      <c r="CD273" s="71"/>
      <c r="CE273" s="71"/>
      <c r="CF273" s="71"/>
      <c r="CG273" s="71"/>
      <c r="CH273" s="71"/>
      <c r="CI273" s="71"/>
      <c r="CJ273" s="71"/>
      <c r="CK273" s="71"/>
      <c r="CL273" s="71"/>
      <c r="CM273" s="71"/>
      <c r="CN273" s="71"/>
      <c r="CO273" s="71"/>
      <c r="CP273" s="71"/>
      <c r="CQ273" s="71"/>
      <c r="CR273" s="71"/>
      <c r="CS273" s="71"/>
      <c r="CT273" s="71"/>
      <c r="CU273" s="71"/>
      <c r="CV273" s="71"/>
      <c r="CW273" s="71"/>
      <c r="CX273" s="71"/>
      <c r="CY273" s="71"/>
      <c r="CZ273" s="71"/>
      <c r="DA273" s="71"/>
      <c r="DB273" s="71"/>
      <c r="DC273" s="71"/>
      <c r="DD273" s="71"/>
      <c r="DE273" s="71"/>
      <c r="DF273" s="71"/>
      <c r="DG273" s="71"/>
      <c r="DH273" s="71"/>
      <c r="DI273" s="71"/>
      <c r="DJ273" s="71"/>
      <c r="DK273" s="71"/>
      <c r="DL273" s="71"/>
      <c r="DM273" s="71"/>
      <c r="DN273" s="71"/>
      <c r="DO273" s="71"/>
      <c r="DP273" s="71"/>
      <c r="DQ273" s="71"/>
      <c r="DR273" s="71"/>
      <c r="DS273" s="71"/>
      <c r="DT273" s="71"/>
      <c r="DU273" s="71"/>
      <c r="DV273" s="71"/>
      <c r="DW273" s="71"/>
      <c r="DX273" s="71"/>
      <c r="DY273" s="71"/>
      <c r="DZ273" s="71"/>
      <c r="EA273" s="71"/>
      <c r="EB273" s="71"/>
      <c r="EC273" s="71"/>
      <c r="ED273" s="71"/>
      <c r="EE273" s="71"/>
      <c r="EF273" s="71"/>
      <c r="EG273" s="71"/>
      <c r="EH273" s="71"/>
      <c r="EI273" s="71"/>
      <c r="EJ273" s="71"/>
      <c r="EK273" s="71"/>
      <c r="EL273" s="71"/>
      <c r="EM273" s="71"/>
      <c r="EN273" s="71"/>
      <c r="EO273" s="71"/>
      <c r="EP273" s="71"/>
      <c r="EQ273" s="71"/>
      <c r="ER273" s="71"/>
      <c r="ES273" s="71"/>
      <c r="ET273" s="71"/>
      <c r="EU273" s="71"/>
      <c r="EV273" s="71"/>
      <c r="EW273" s="71"/>
      <c r="EX273" s="71"/>
      <c r="EY273" s="71"/>
      <c r="EZ273" s="71"/>
      <c r="FA273" s="71"/>
      <c r="FB273" s="71"/>
      <c r="FC273" s="71"/>
      <c r="FD273" s="71"/>
      <c r="FE273" s="71"/>
      <c r="FF273" s="71"/>
      <c r="FG273" s="71"/>
      <c r="FH273" s="71"/>
      <c r="FI273" s="71"/>
      <c r="FJ273" s="71"/>
      <c r="FK273" s="71"/>
      <c r="FL273" s="71"/>
      <c r="AER273" s="327"/>
      <c r="AES273" s="327"/>
      <c r="AET273" s="327"/>
      <c r="AEU273" s="327"/>
      <c r="AEV273" s="327"/>
      <c r="AEW273" s="327"/>
      <c r="AEX273" s="327"/>
      <c r="AEY273" s="327"/>
      <c r="AEZ273" s="327"/>
      <c r="AFA273" s="327"/>
    </row>
    <row r="274" spans="1:838" ht="15" customHeight="1">
      <c r="A274" s="766"/>
      <c r="B274" s="104">
        <v>22</v>
      </c>
      <c r="C274" s="104" t="s">
        <v>3230</v>
      </c>
      <c r="D274" s="104" t="s">
        <v>85</v>
      </c>
      <c r="E274" s="70">
        <v>45314</v>
      </c>
      <c r="F274" s="70">
        <v>44958</v>
      </c>
      <c r="G274" s="68" t="s">
        <v>2942</v>
      </c>
      <c r="H274" s="71" t="s">
        <v>3273</v>
      </c>
      <c r="I274" s="71" t="s">
        <v>888</v>
      </c>
      <c r="J274" s="71" t="s">
        <v>2943</v>
      </c>
      <c r="K274" s="71"/>
      <c r="L274" s="71"/>
      <c r="M274" s="103" t="s">
        <v>3261</v>
      </c>
      <c r="N274" s="103" t="s">
        <v>3274</v>
      </c>
      <c r="O274" s="1189" t="s">
        <v>3237</v>
      </c>
      <c r="P274" s="261"/>
      <c r="Q274" s="261"/>
      <c r="R274" s="261"/>
      <c r="S274" s="261"/>
      <c r="T274" s="261"/>
      <c r="U274" s="261"/>
      <c r="V274" s="261"/>
      <c r="W274" s="261"/>
      <c r="X274" s="261"/>
      <c r="Y274" s="261">
        <v>22500</v>
      </c>
      <c r="Z274" s="261">
        <v>29500</v>
      </c>
      <c r="AA274" s="261"/>
      <c r="AB274" s="261"/>
      <c r="AC274" s="261"/>
      <c r="AD274" s="261"/>
      <c r="AE274" s="261"/>
      <c r="AF274" s="261"/>
      <c r="AG274" s="261"/>
      <c r="AH274" s="261"/>
      <c r="AI274" s="261"/>
      <c r="AJ274" s="261"/>
      <c r="AK274" s="261"/>
      <c r="AL274" s="261"/>
      <c r="AM274" s="261"/>
      <c r="AN274" s="261"/>
      <c r="AO274" s="261"/>
      <c r="AP274" s="261"/>
      <c r="AQ274" s="261"/>
      <c r="AR274" s="261"/>
      <c r="AS274" s="261"/>
      <c r="AT274" s="261"/>
      <c r="AU274" s="261"/>
      <c r="AV274" s="261"/>
      <c r="AW274" s="261"/>
      <c r="AX274" s="261"/>
      <c r="AY274" s="261"/>
      <c r="AZ274" s="261"/>
      <c r="BA274" s="261"/>
      <c r="BB274" s="261"/>
      <c r="BC274" s="261"/>
      <c r="BD274" s="261"/>
      <c r="BE274" s="309">
        <v>52000</v>
      </c>
      <c r="BF274" s="309"/>
      <c r="BG274" s="1184">
        <f t="shared" si="83"/>
        <v>52000</v>
      </c>
      <c r="BH274" s="68"/>
      <c r="BI274" s="1189" t="s">
        <v>16</v>
      </c>
      <c r="BJ274" s="1189" t="s">
        <v>45</v>
      </c>
      <c r="BK274" s="104"/>
      <c r="BL274" s="331"/>
      <c r="BM274" s="331"/>
      <c r="BN274" s="104"/>
      <c r="BO274" s="106"/>
      <c r="BP274" s="71" t="str">
        <f t="shared" si="85"/>
        <v>0</v>
      </c>
      <c r="BQ274" s="104"/>
      <c r="BR274" s="104"/>
      <c r="BS274" s="104"/>
      <c r="BT274" s="104"/>
      <c r="BU274" s="104"/>
      <c r="BV274" s="104"/>
      <c r="BW274" s="104"/>
      <c r="BX274" s="71"/>
      <c r="BY274" s="71"/>
      <c r="BZ274" s="71"/>
      <c r="CA274" s="848"/>
      <c r="CB274" s="71"/>
      <c r="CC274" s="71"/>
      <c r="CD274" s="71"/>
      <c r="CE274" s="71"/>
      <c r="CF274" s="71"/>
      <c r="CG274" s="71"/>
      <c r="CH274" s="71"/>
      <c r="CI274" s="71"/>
      <c r="CJ274" s="71"/>
      <c r="CK274" s="71"/>
      <c r="CL274" s="71"/>
      <c r="CM274" s="71"/>
      <c r="CN274" s="71"/>
      <c r="CO274" s="71"/>
      <c r="CP274" s="71"/>
      <c r="CQ274" s="71"/>
      <c r="CR274" s="71"/>
      <c r="CS274" s="71"/>
      <c r="CT274" s="71"/>
      <c r="CU274" s="71"/>
      <c r="CV274" s="71"/>
      <c r="CW274" s="71"/>
      <c r="CX274" s="71"/>
      <c r="CY274" s="71"/>
      <c r="CZ274" s="71"/>
      <c r="DA274" s="71"/>
      <c r="DB274" s="71"/>
      <c r="DC274" s="71"/>
      <c r="DD274" s="71"/>
      <c r="DE274" s="71"/>
      <c r="DF274" s="71"/>
      <c r="DG274" s="71"/>
      <c r="DH274" s="71"/>
      <c r="DI274" s="71"/>
      <c r="DJ274" s="71"/>
      <c r="DK274" s="71"/>
      <c r="DL274" s="71"/>
      <c r="DM274" s="71"/>
      <c r="DN274" s="71"/>
      <c r="DO274" s="71"/>
      <c r="DP274" s="71"/>
      <c r="DQ274" s="71"/>
      <c r="DR274" s="71"/>
      <c r="DS274" s="71"/>
      <c r="DT274" s="71"/>
      <c r="DU274" s="71"/>
      <c r="DV274" s="71"/>
      <c r="DW274" s="71"/>
      <c r="DX274" s="71"/>
      <c r="DY274" s="71"/>
      <c r="DZ274" s="71"/>
      <c r="EA274" s="71"/>
      <c r="EB274" s="71"/>
      <c r="EC274" s="71"/>
      <c r="ED274" s="71"/>
      <c r="EE274" s="71"/>
      <c r="EF274" s="71"/>
      <c r="EG274" s="71"/>
      <c r="EH274" s="71"/>
      <c r="EI274" s="71"/>
      <c r="EJ274" s="71"/>
      <c r="EK274" s="71"/>
      <c r="EL274" s="71"/>
      <c r="EM274" s="71"/>
      <c r="EN274" s="71"/>
      <c r="EO274" s="71"/>
      <c r="EP274" s="71"/>
      <c r="EQ274" s="71"/>
      <c r="ER274" s="71"/>
      <c r="ES274" s="71"/>
      <c r="ET274" s="71"/>
      <c r="EU274" s="71"/>
      <c r="EV274" s="71"/>
      <c r="EW274" s="71"/>
      <c r="EX274" s="71"/>
      <c r="EY274" s="71"/>
      <c r="EZ274" s="71"/>
      <c r="FA274" s="71"/>
      <c r="FB274" s="71"/>
      <c r="FC274" s="71"/>
      <c r="FD274" s="71"/>
      <c r="FE274" s="71"/>
      <c r="FF274" s="71"/>
      <c r="FG274" s="71"/>
      <c r="FH274" s="71"/>
      <c r="FI274" s="71"/>
      <c r="FJ274" s="71"/>
      <c r="FK274" s="71"/>
      <c r="FL274" s="71"/>
      <c r="AEW274" s="327"/>
      <c r="AEX274" s="327"/>
      <c r="AEY274" s="327"/>
      <c r="AEZ274" s="327"/>
      <c r="AFA274" s="327"/>
      <c r="AFB274" s="327"/>
      <c r="AFC274" s="327"/>
      <c r="AFD274" s="327"/>
      <c r="AFE274" s="327"/>
      <c r="AFF274" s="327"/>
    </row>
    <row r="275" spans="1:838" ht="15" customHeight="1">
      <c r="A275" s="766"/>
      <c r="B275" s="104">
        <v>23</v>
      </c>
      <c r="C275" s="104" t="s">
        <v>3230</v>
      </c>
      <c r="D275" s="104" t="s">
        <v>74</v>
      </c>
      <c r="E275" s="70"/>
      <c r="F275" s="70"/>
      <c r="G275" s="68" t="s">
        <v>2914</v>
      </c>
      <c r="H275" s="71" t="s">
        <v>3253</v>
      </c>
      <c r="I275" s="71" t="s">
        <v>3275</v>
      </c>
      <c r="J275" s="71" t="s">
        <v>2933</v>
      </c>
      <c r="K275" s="71"/>
      <c r="L275" s="71"/>
      <c r="M275" s="103" t="s">
        <v>3272</v>
      </c>
      <c r="N275" s="103" t="s">
        <v>3276</v>
      </c>
      <c r="O275" s="1189" t="s">
        <v>3237</v>
      </c>
      <c r="P275" s="261">
        <v>15000</v>
      </c>
      <c r="Q275" s="261"/>
      <c r="R275" s="261"/>
      <c r="S275" s="261"/>
      <c r="T275" s="261"/>
      <c r="U275" s="261"/>
      <c r="V275" s="261"/>
      <c r="W275" s="261"/>
      <c r="X275" s="261">
        <v>28000</v>
      </c>
      <c r="Y275" s="261"/>
      <c r="Z275" s="261"/>
      <c r="AA275" s="261"/>
      <c r="AB275" s="261"/>
      <c r="AC275" s="261"/>
      <c r="AD275" s="261"/>
      <c r="AE275" s="261"/>
      <c r="AF275" s="261"/>
      <c r="AG275" s="261"/>
      <c r="AH275" s="261"/>
      <c r="AI275" s="261"/>
      <c r="AJ275" s="261"/>
      <c r="AK275" s="261"/>
      <c r="AL275" s="261"/>
      <c r="AM275" s="261"/>
      <c r="AN275" s="261"/>
      <c r="AO275" s="261"/>
      <c r="AP275" s="261"/>
      <c r="AQ275" s="261"/>
      <c r="AR275" s="261"/>
      <c r="AS275" s="261"/>
      <c r="AT275" s="261"/>
      <c r="AU275" s="261"/>
      <c r="AV275" s="261"/>
      <c r="AW275" s="261"/>
      <c r="AX275" s="261"/>
      <c r="AY275" s="261"/>
      <c r="AZ275" s="261"/>
      <c r="BA275" s="261"/>
      <c r="BB275" s="261"/>
      <c r="BC275" s="261"/>
      <c r="BD275" s="261"/>
      <c r="BE275" s="309">
        <v>43000</v>
      </c>
      <c r="BF275" s="309"/>
      <c r="BG275" s="1184">
        <f t="shared" si="83"/>
        <v>43000</v>
      </c>
      <c r="BH275" s="68"/>
      <c r="BI275" s="1189" t="s">
        <v>12</v>
      </c>
      <c r="BJ275" s="1189"/>
      <c r="BK275" s="104"/>
      <c r="BL275" s="331"/>
      <c r="BM275" s="331"/>
      <c r="BN275" s="104"/>
      <c r="BO275" s="106"/>
      <c r="BP275" s="71" t="str">
        <f t="shared" si="85"/>
        <v>0</v>
      </c>
      <c r="BQ275" s="104"/>
      <c r="BR275" s="104"/>
      <c r="BS275" s="104"/>
      <c r="BT275" s="104"/>
      <c r="BU275" s="104"/>
      <c r="BV275" s="104"/>
      <c r="BW275" s="104"/>
      <c r="BX275" s="71"/>
      <c r="BY275" s="71"/>
      <c r="BZ275" s="71"/>
      <c r="CA275" s="848"/>
      <c r="CB275" s="71"/>
      <c r="CC275" s="71"/>
      <c r="CD275" s="71"/>
      <c r="CE275" s="71"/>
      <c r="CF275" s="71"/>
      <c r="CG275" s="71"/>
      <c r="CH275" s="71"/>
      <c r="CI275" s="71"/>
      <c r="CJ275" s="71"/>
      <c r="CK275" s="71"/>
      <c r="CL275" s="71"/>
      <c r="CM275" s="71"/>
      <c r="CN275" s="71"/>
      <c r="CO275" s="71"/>
      <c r="CP275" s="71"/>
      <c r="CQ275" s="71"/>
      <c r="CR275" s="71"/>
      <c r="CS275" s="71"/>
      <c r="CT275" s="71"/>
      <c r="CU275" s="71"/>
      <c r="CV275" s="71"/>
      <c r="CW275" s="71"/>
      <c r="CX275" s="71"/>
      <c r="CY275" s="71"/>
      <c r="CZ275" s="71"/>
      <c r="DA275" s="71"/>
      <c r="DB275" s="71"/>
      <c r="DC275" s="71"/>
      <c r="DD275" s="71"/>
      <c r="DE275" s="71"/>
      <c r="DF275" s="71"/>
      <c r="DG275" s="71"/>
      <c r="DH275" s="71"/>
      <c r="DI275" s="71"/>
      <c r="DJ275" s="71"/>
      <c r="DK275" s="71"/>
      <c r="DL275" s="71"/>
      <c r="DM275" s="71"/>
      <c r="DN275" s="71"/>
      <c r="DO275" s="71"/>
      <c r="DP275" s="71"/>
      <c r="DQ275" s="71"/>
      <c r="DR275" s="71"/>
      <c r="DS275" s="71"/>
      <c r="DT275" s="71"/>
      <c r="DU275" s="71"/>
      <c r="DV275" s="71"/>
      <c r="DW275" s="71"/>
      <c r="DX275" s="71"/>
      <c r="DY275" s="71"/>
      <c r="DZ275" s="71"/>
      <c r="EA275" s="71"/>
      <c r="EB275" s="71"/>
      <c r="EC275" s="71"/>
      <c r="ED275" s="71"/>
      <c r="EE275" s="71"/>
      <c r="EF275" s="71"/>
      <c r="EG275" s="71"/>
      <c r="EH275" s="71"/>
      <c r="EI275" s="71"/>
      <c r="EJ275" s="71"/>
      <c r="EK275" s="71"/>
      <c r="EL275" s="71"/>
      <c r="EM275" s="71"/>
      <c r="EN275" s="71"/>
      <c r="EO275" s="71"/>
      <c r="EP275" s="71"/>
      <c r="EQ275" s="71"/>
      <c r="ER275" s="71"/>
      <c r="ES275" s="71"/>
      <c r="ET275" s="71"/>
      <c r="EU275" s="71"/>
      <c r="EV275" s="71"/>
      <c r="EW275" s="71"/>
      <c r="EX275" s="71"/>
      <c r="EY275" s="71"/>
      <c r="EZ275" s="71"/>
      <c r="FA275" s="71"/>
      <c r="FB275" s="71"/>
      <c r="FC275" s="71"/>
      <c r="FD275" s="71"/>
      <c r="FE275" s="71"/>
      <c r="FF275" s="71"/>
      <c r="FG275" s="71"/>
      <c r="FH275" s="71"/>
      <c r="FI275" s="71"/>
      <c r="FJ275" s="71"/>
      <c r="FK275" s="71"/>
      <c r="FL275" s="71"/>
    </row>
    <row r="276" spans="1:838" ht="14.4">
      <c r="O276" s="1199" t="s">
        <v>96</v>
      </c>
      <c r="P276" s="458">
        <f t="shared" ref="P276:BG276" si="86">SUM(P253:P275)</f>
        <v>97382.536999999997</v>
      </c>
      <c r="Q276" s="458">
        <f t="shared" si="86"/>
        <v>10500</v>
      </c>
      <c r="R276" s="458">
        <f t="shared" si="86"/>
        <v>0</v>
      </c>
      <c r="S276" s="458">
        <f t="shared" si="86"/>
        <v>0</v>
      </c>
      <c r="T276" s="458">
        <f t="shared" si="86"/>
        <v>127678.958</v>
      </c>
      <c r="U276" s="458">
        <f t="shared" si="86"/>
        <v>110606.1897</v>
      </c>
      <c r="V276" s="458">
        <f t="shared" si="86"/>
        <v>137052.91330000001</v>
      </c>
      <c r="W276" s="458">
        <f t="shared" si="86"/>
        <v>0</v>
      </c>
      <c r="X276" s="458">
        <f t="shared" si="86"/>
        <v>366028.22600000002</v>
      </c>
      <c r="Y276" s="458">
        <f t="shared" si="86"/>
        <v>249384.49900000001</v>
      </c>
      <c r="Z276" s="458">
        <f t="shared" si="86"/>
        <v>29500</v>
      </c>
      <c r="AA276" s="458">
        <f t="shared" si="86"/>
        <v>0</v>
      </c>
      <c r="AB276" s="458">
        <f t="shared" si="86"/>
        <v>0</v>
      </c>
      <c r="AC276" s="458">
        <f t="shared" si="86"/>
        <v>5000</v>
      </c>
      <c r="AD276" s="458">
        <f t="shared" si="86"/>
        <v>0</v>
      </c>
      <c r="AE276" s="458">
        <f t="shared" si="86"/>
        <v>0</v>
      </c>
      <c r="AF276" s="458">
        <f t="shared" si="86"/>
        <v>60000</v>
      </c>
      <c r="AG276" s="458">
        <f t="shared" si="86"/>
        <v>15000</v>
      </c>
      <c r="AH276" s="458">
        <f t="shared" si="86"/>
        <v>0</v>
      </c>
      <c r="AI276" s="458">
        <f t="shared" si="86"/>
        <v>0</v>
      </c>
      <c r="AJ276" s="458">
        <f t="shared" si="86"/>
        <v>0</v>
      </c>
      <c r="AK276" s="458">
        <f t="shared" si="86"/>
        <v>0</v>
      </c>
      <c r="AL276" s="458">
        <f t="shared" si="86"/>
        <v>7500</v>
      </c>
      <c r="AM276" s="458">
        <f t="shared" si="86"/>
        <v>0</v>
      </c>
      <c r="AN276" s="458">
        <f t="shared" si="86"/>
        <v>5300</v>
      </c>
      <c r="AO276" s="458">
        <f t="shared" si="86"/>
        <v>0</v>
      </c>
      <c r="AP276" s="458">
        <f t="shared" si="86"/>
        <v>0</v>
      </c>
      <c r="AQ276" s="458">
        <f t="shared" si="86"/>
        <v>7500</v>
      </c>
      <c r="AR276" s="458">
        <f t="shared" si="86"/>
        <v>26500</v>
      </c>
      <c r="AS276" s="458">
        <f t="shared" si="86"/>
        <v>7500</v>
      </c>
      <c r="AT276" s="458">
        <f t="shared" si="86"/>
        <v>20300</v>
      </c>
      <c r="AU276" s="458">
        <f t="shared" si="86"/>
        <v>67763.368000000002</v>
      </c>
      <c r="AV276" s="458">
        <f t="shared" si="86"/>
        <v>23116.044999999998</v>
      </c>
      <c r="AW276" s="458">
        <f t="shared" si="86"/>
        <v>30000</v>
      </c>
      <c r="AX276" s="458">
        <f t="shared" si="86"/>
        <v>7500</v>
      </c>
      <c r="AY276" s="458">
        <f t="shared" si="86"/>
        <v>15000</v>
      </c>
      <c r="AZ276" s="458">
        <f t="shared" si="86"/>
        <v>0</v>
      </c>
      <c r="BA276" s="458">
        <f t="shared" si="86"/>
        <v>15000</v>
      </c>
      <c r="BB276" s="458">
        <f t="shared" si="86"/>
        <v>11590.458000000001</v>
      </c>
      <c r="BC276" s="458">
        <f t="shared" si="86"/>
        <v>15120.493999999999</v>
      </c>
      <c r="BD276" s="458">
        <f t="shared" si="86"/>
        <v>14996.312</v>
      </c>
      <c r="BE276" s="458">
        <f t="shared" si="86"/>
        <v>1482820</v>
      </c>
      <c r="BF276" s="458">
        <f t="shared" si="86"/>
        <v>478220</v>
      </c>
      <c r="BG276" s="1179">
        <f t="shared" si="86"/>
        <v>1482820</v>
      </c>
    </row>
    <row r="277" spans="1:838" ht="14.4">
      <c r="P277" s="1384">
        <f>SUM(P276:T276)</f>
        <v>235561.495</v>
      </c>
      <c r="Q277" s="1385"/>
      <c r="R277" s="1385"/>
      <c r="S277" s="1385"/>
      <c r="T277" s="1386"/>
      <c r="U277" s="1384">
        <f>SUM(U276:W276)</f>
        <v>247659.103</v>
      </c>
      <c r="V277" s="1385"/>
      <c r="W277" s="1386"/>
      <c r="X277" s="1384">
        <f>SUM(X276:Y276)</f>
        <v>615412.72500000009</v>
      </c>
      <c r="Y277" s="1386"/>
      <c r="Z277" s="459">
        <f>Z276</f>
        <v>29500</v>
      </c>
      <c r="AA277" s="459">
        <f>AA276</f>
        <v>0</v>
      </c>
      <c r="AB277" s="1384">
        <f>SUM(AB276:BD276)</f>
        <v>354686.67699999997</v>
      </c>
      <c r="AC277" s="1385"/>
      <c r="AD277" s="1385"/>
      <c r="AE277" s="1385"/>
      <c r="AF277" s="1385"/>
      <c r="AG277" s="1385"/>
      <c r="AH277" s="1385"/>
      <c r="AI277" s="1385"/>
      <c r="AJ277" s="1385"/>
      <c r="AK277" s="1385"/>
      <c r="AL277" s="1385"/>
      <c r="AM277" s="1385"/>
      <c r="AN277" s="1385"/>
      <c r="AO277" s="1385"/>
      <c r="AP277" s="1385"/>
      <c r="AQ277" s="1385"/>
      <c r="AR277" s="1385"/>
      <c r="AS277" s="1385"/>
      <c r="AT277" s="1385"/>
      <c r="AU277" s="1385"/>
      <c r="AV277" s="1385"/>
      <c r="AW277" s="1385"/>
      <c r="AX277" s="1385"/>
      <c r="AY277" s="1385"/>
      <c r="AZ277" s="1385"/>
      <c r="BA277" s="1385"/>
      <c r="BB277" s="1385"/>
      <c r="BC277" s="1385"/>
      <c r="BD277" s="1386"/>
      <c r="BE277" s="460"/>
      <c r="BF277" s="460"/>
      <c r="BG277" s="1179"/>
    </row>
    <row r="280" spans="1:838" ht="15" customHeight="1">
      <c r="G280" s="283" t="s">
        <v>3277</v>
      </c>
      <c r="H280" s="849"/>
    </row>
    <row r="281" spans="1:838" ht="15" customHeight="1">
      <c r="G281" s="850" t="s">
        <v>2914</v>
      </c>
      <c r="H281" s="851">
        <f>COUNTIF(G253:G275, "Samarinda")</f>
        <v>16</v>
      </c>
    </row>
    <row r="282" spans="1:838" ht="15" customHeight="1">
      <c r="G282" s="850" t="s">
        <v>3256</v>
      </c>
      <c r="H282" s="851">
        <f>COUNTIF(G254:G276, "MUARA JAWA")</f>
        <v>2</v>
      </c>
    </row>
    <row r="283" spans="1:838" ht="15" customHeight="1">
      <c r="G283" s="850" t="s">
        <v>107</v>
      </c>
      <c r="H283" s="851">
        <f>COUNTIF(G253:G275, "BoCT")</f>
        <v>4</v>
      </c>
    </row>
    <row r="284" spans="1:838" ht="15" customHeight="1">
      <c r="G284" s="850" t="s">
        <v>2942</v>
      </c>
      <c r="H284" s="851">
        <f>COUNTIF(G253:G275, "JBGAnchorage")</f>
        <v>1</v>
      </c>
    </row>
  </sheetData>
  <sortState xmlns:xlrd2="http://schemas.microsoft.com/office/spreadsheetml/2017/richdata2" ref="A262:XFD275">
    <sortCondition ref="E262:E275"/>
  </sortState>
  <mergeCells count="88">
    <mergeCell ref="P226:T226"/>
    <mergeCell ref="UP2:VT2"/>
    <mergeCell ref="P277:T277"/>
    <mergeCell ref="U277:W277"/>
    <mergeCell ref="X277:Y277"/>
    <mergeCell ref="AB35:AX35"/>
    <mergeCell ref="X35:Y35"/>
    <mergeCell ref="AB18:AX18"/>
    <mergeCell ref="AB277:BD277"/>
    <mergeCell ref="AB204:BA204"/>
    <mergeCell ref="P250:T250"/>
    <mergeCell ref="U250:W250"/>
    <mergeCell ref="X250:Y250"/>
    <mergeCell ref="X162:Y162"/>
    <mergeCell ref="AB162:AY162"/>
    <mergeCell ref="P75:T75"/>
    <mergeCell ref="P18:T18"/>
    <mergeCell ref="U18:W18"/>
    <mergeCell ref="X18:Y18"/>
    <mergeCell ref="SG2:TK2"/>
    <mergeCell ref="P35:T35"/>
    <mergeCell ref="U35:W35"/>
    <mergeCell ref="OU2:PY2"/>
    <mergeCell ref="PZ2:RD2"/>
    <mergeCell ref="RE2:SF2"/>
    <mergeCell ref="P57:T57"/>
    <mergeCell ref="U57:W57"/>
    <mergeCell ref="X57:Y57"/>
    <mergeCell ref="U97:W97"/>
    <mergeCell ref="X97:Y97"/>
    <mergeCell ref="X75:Y75"/>
    <mergeCell ref="U75:W75"/>
    <mergeCell ref="P140:T140"/>
    <mergeCell ref="U140:W140"/>
    <mergeCell ref="X140:Y140"/>
    <mergeCell ref="AB140:AY140"/>
    <mergeCell ref="AB75:AY75"/>
    <mergeCell ref="AB97:AY97"/>
    <mergeCell ref="P118:T118"/>
    <mergeCell ref="P97:T97"/>
    <mergeCell ref="U118:W118"/>
    <mergeCell ref="X118:Y118"/>
    <mergeCell ref="AB118:AY118"/>
    <mergeCell ref="P162:T162"/>
    <mergeCell ref="P204:T204"/>
    <mergeCell ref="U204:W204"/>
    <mergeCell ref="X204:Y204"/>
    <mergeCell ref="P183:T183"/>
    <mergeCell ref="U183:W183"/>
    <mergeCell ref="X183:Y183"/>
    <mergeCell ref="U162:W162"/>
    <mergeCell ref="E3:F3"/>
    <mergeCell ref="X2:Y2"/>
    <mergeCell ref="BY2:DC2"/>
    <mergeCell ref="P2:T2"/>
    <mergeCell ref="U2:W2"/>
    <mergeCell ref="BI2:BJ2"/>
    <mergeCell ref="BK2:BM2"/>
    <mergeCell ref="BQ3:BT3"/>
    <mergeCell ref="BO2:BP2"/>
    <mergeCell ref="BE2:BG2"/>
    <mergeCell ref="BQ2:BV2"/>
    <mergeCell ref="AB2:BD2"/>
    <mergeCell ref="U226:W226"/>
    <mergeCell ref="X226:Y226"/>
    <mergeCell ref="AB226:BA226"/>
    <mergeCell ref="AB183:AY183"/>
    <mergeCell ref="AB250:BD250"/>
    <mergeCell ref="TL2:UO2"/>
    <mergeCell ref="AB57:AX57"/>
    <mergeCell ref="IX2:KB2"/>
    <mergeCell ref="KC2:LG2"/>
    <mergeCell ref="LH2:MK2"/>
    <mergeCell ref="ML2:NP2"/>
    <mergeCell ref="NQ2:OT2"/>
    <mergeCell ref="DD2:EE2"/>
    <mergeCell ref="EF2:FJ2"/>
    <mergeCell ref="FK2:GN2"/>
    <mergeCell ref="GO2:HS2"/>
    <mergeCell ref="HT2:IW2"/>
    <mergeCell ref="AEA2:AFE2"/>
    <mergeCell ref="VU2:WX2"/>
    <mergeCell ref="WY2:YC2"/>
    <mergeCell ref="YD2:ZH2"/>
    <mergeCell ref="ZI2:AAL2"/>
    <mergeCell ref="AAM2:ABQ2"/>
    <mergeCell ref="ACV2:ADZ2"/>
    <mergeCell ref="ABR2:ACU2"/>
  </mergeCells>
  <pageMargins left="0.25" right="0.25" top="0.75" bottom="0.75" header="0.3" footer="0.3"/>
  <pageSetup paperSize="9" scale="10" orientation="landscape" r:id="rId1"/>
  <ignoredErrors>
    <ignoredError sqref="BG10:BG16 BG21:BG25 BG27:BG33 BG38:BG43 BG45 BG60:BG68 BG70:BG71 BG73 BG78:BG95 BG100:BG106 BG110:BG116 BG121:BG125 BG127:BG132 BG136:BG138 BG143:BG155 BG157:BG160 BG165:BG181 BG207:BG218 BG258:BG275" formulaRange="1"/>
    <ignoredError sqref="BG26 BG44 BG69 BG107:BG109 BG126 BG133:BG135 BG156" formula="1" formulaRange="1"/>
    <ignoredError sqref="BG52:BG53 L107" formula="1"/>
  </ignoredError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CF175"/>
  <sheetViews>
    <sheetView zoomScale="70" zoomScaleNormal="70" zoomScaleSheetLayoutView="73" workbookViewId="0">
      <pane xSplit="16" ySplit="2" topLeftCell="Q3" activePane="bottomRight" state="frozen"/>
      <selection pane="topRight" activeCell="G346" sqref="G346"/>
      <selection pane="bottomLeft" activeCell="G346" sqref="G346"/>
      <selection pane="bottomRight" activeCell="G346" sqref="G346"/>
    </sheetView>
  </sheetViews>
  <sheetFormatPr defaultColWidth="9.33203125" defaultRowHeight="14.4" outlineLevelCol="1"/>
  <cols>
    <col min="1" max="1" width="12" style="119" customWidth="1"/>
    <col min="2" max="2" width="8.44140625" style="119" customWidth="1"/>
    <col min="3" max="3" width="11.109375" style="115" customWidth="1"/>
    <col min="4" max="4" width="6" style="115" customWidth="1"/>
    <col min="5" max="5" width="22.109375" style="115" customWidth="1"/>
    <col min="6" max="6" width="10.33203125" style="115" customWidth="1"/>
    <col min="7" max="8" width="14.88671875" style="252" hidden="1" customWidth="1"/>
    <col min="9" max="9" width="11.109375" style="117" customWidth="1"/>
    <col min="10" max="10" width="23" style="115" customWidth="1"/>
    <col min="11" max="11" width="18.44140625" style="115" customWidth="1"/>
    <col min="12" max="12" width="14.6640625" style="115" customWidth="1"/>
    <col min="13" max="13" width="1.88671875" style="118" customWidth="1"/>
    <col min="14" max="14" width="23.33203125" style="115" bestFit="1" customWidth="1"/>
    <col min="15" max="15" width="23.88671875" style="115" bestFit="1" customWidth="1"/>
    <col min="16" max="16" width="21.109375" style="115" customWidth="1"/>
    <col min="17" max="18" width="9.33203125" style="117" customWidth="1"/>
    <col min="19" max="19" width="10.109375" style="117" customWidth="1"/>
    <col min="20" max="20" width="0.5546875" style="117" customWidth="1"/>
    <col min="21" max="21" width="10.88671875" style="115" customWidth="1"/>
    <col min="22" max="22" width="10.33203125" style="115" customWidth="1"/>
    <col min="23" max="23" width="9.33203125" style="115" customWidth="1"/>
    <col min="24" max="24" width="11.109375" style="115" customWidth="1"/>
    <col min="25" max="25" width="10.5546875" style="115" customWidth="1"/>
    <col min="26" max="29" width="9.33203125" style="115" customWidth="1"/>
    <col min="30" max="30" width="10.33203125" style="115" customWidth="1"/>
    <col min="31" max="32" width="10.5546875" style="115" customWidth="1"/>
    <col min="33" max="33" width="11.6640625" style="115" customWidth="1"/>
    <col min="34" max="34" width="11.109375" style="115" customWidth="1"/>
    <col min="35" max="45" width="9.33203125" style="115" customWidth="1"/>
    <col min="46" max="46" width="10" style="115" customWidth="1"/>
    <col min="47" max="47" width="9.88671875" style="115" customWidth="1"/>
    <col min="48" max="51" width="9.33203125" style="115" customWidth="1"/>
    <col min="52" max="52" width="16.33203125" style="251" customWidth="1"/>
    <col min="53" max="53" width="16.109375" style="251" customWidth="1"/>
    <col min="54" max="54" width="9.33203125" style="251" customWidth="1"/>
    <col min="55" max="55" width="16.33203125" style="251" customWidth="1"/>
    <col min="56" max="56" width="16.109375" style="251" customWidth="1"/>
    <col min="57" max="57" width="16.44140625" style="251" customWidth="1"/>
    <col min="58" max="58" width="16" style="251" customWidth="1"/>
    <col min="59" max="59" width="15.5546875" style="251" customWidth="1"/>
    <col min="60" max="60" width="16.44140625" style="251" customWidth="1"/>
    <col min="61" max="61" width="15.5546875" style="251" customWidth="1"/>
    <col min="62" max="62" width="15.44140625" style="251" customWidth="1"/>
    <col min="63" max="63" width="15.5546875" style="251" customWidth="1"/>
    <col min="64" max="64" width="16.33203125" style="252" customWidth="1"/>
    <col min="65" max="65" width="16.109375" style="251" customWidth="1"/>
    <col min="66" max="66" width="16.33203125" style="251" customWidth="1"/>
    <col min="67" max="67" width="15.5546875" style="251" customWidth="1"/>
    <col min="68" max="68" width="16.44140625" style="251" customWidth="1"/>
    <col min="69" max="70" width="15.5546875" style="115" customWidth="1"/>
    <col min="71" max="71" width="16.44140625" style="115" customWidth="1"/>
    <col min="72" max="72" width="49.5546875" style="116" customWidth="1"/>
    <col min="73" max="73" width="1.33203125" style="116" customWidth="1"/>
    <col min="74" max="74" width="10.5546875" style="251" customWidth="1" outlineLevel="1"/>
    <col min="75" max="81" width="9.6640625" style="251" customWidth="1" outlineLevel="1"/>
    <col min="82" max="82" width="11.33203125" style="115" customWidth="1" outlineLevel="1"/>
    <col min="83" max="16384" width="9.33203125" style="115"/>
  </cols>
  <sheetData>
    <row r="1" spans="1:84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125</v>
      </c>
      <c r="E1" s="1239" t="s">
        <v>126</v>
      </c>
      <c r="F1" s="1240"/>
      <c r="G1" s="1230" t="s">
        <v>127</v>
      </c>
      <c r="H1" s="1230" t="s">
        <v>128</v>
      </c>
      <c r="I1" s="1232" t="s">
        <v>129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1436</v>
      </c>
      <c r="R1" s="1286" t="s">
        <v>136</v>
      </c>
      <c r="S1" s="1236" t="s">
        <v>1437</v>
      </c>
      <c r="T1" s="403"/>
      <c r="U1" s="1224" t="s">
        <v>73</v>
      </c>
      <c r="V1" s="1224"/>
      <c r="W1" s="1224"/>
      <c r="X1" s="1220" t="s">
        <v>74</v>
      </c>
      <c r="Y1" s="1221"/>
      <c r="Z1" s="1222" t="s">
        <v>138</v>
      </c>
      <c r="AA1" s="1223"/>
      <c r="AB1" s="404" t="s">
        <v>85</v>
      </c>
      <c r="AC1" s="404" t="s">
        <v>139</v>
      </c>
      <c r="AD1" s="1224" t="s">
        <v>87</v>
      </c>
      <c r="AE1" s="1224"/>
      <c r="AF1" s="1224"/>
      <c r="AG1" s="1224"/>
      <c r="AH1" s="1224"/>
      <c r="AI1" s="1225" t="s">
        <v>138</v>
      </c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0"/>
      <c r="AW1" s="1220"/>
      <c r="AX1" s="1220"/>
      <c r="AY1" s="1221"/>
      <c r="AZ1" s="1218" t="s">
        <v>140</v>
      </c>
      <c r="BA1" s="1218" t="s">
        <v>141</v>
      </c>
      <c r="BB1" s="1226" t="s">
        <v>142</v>
      </c>
      <c r="BC1" s="1228" t="s">
        <v>143</v>
      </c>
      <c r="BD1" s="1228" t="s">
        <v>144</v>
      </c>
      <c r="BE1" s="1219" t="s">
        <v>1438</v>
      </c>
      <c r="BF1" s="1218" t="s">
        <v>146</v>
      </c>
      <c r="BG1" s="1218" t="s">
        <v>147</v>
      </c>
      <c r="BH1" s="1218" t="s">
        <v>148</v>
      </c>
      <c r="BI1" s="1218" t="s">
        <v>149</v>
      </c>
      <c r="BJ1" s="1219" t="s">
        <v>150</v>
      </c>
      <c r="BK1" s="1219" t="s">
        <v>151</v>
      </c>
      <c r="BL1" s="1219" t="s">
        <v>152</v>
      </c>
      <c r="BM1" s="1219" t="s">
        <v>153</v>
      </c>
      <c r="BN1" s="1219" t="s">
        <v>154</v>
      </c>
      <c r="BO1" s="1218" t="s">
        <v>155</v>
      </c>
      <c r="BP1" s="1218" t="s">
        <v>156</v>
      </c>
      <c r="BQ1" s="1218" t="s">
        <v>157</v>
      </c>
      <c r="BR1" s="1218" t="s">
        <v>149</v>
      </c>
      <c r="BS1" s="1218" t="s">
        <v>158</v>
      </c>
      <c r="BT1" s="1217" t="s">
        <v>159</v>
      </c>
      <c r="BU1" s="569"/>
      <c r="BV1" s="1213" t="s">
        <v>160</v>
      </c>
      <c r="BW1" s="1213" t="s">
        <v>111</v>
      </c>
      <c r="BX1" s="1213" t="s">
        <v>161</v>
      </c>
      <c r="BY1" s="1213" t="s">
        <v>162</v>
      </c>
      <c r="BZ1" s="1213" t="s">
        <v>120</v>
      </c>
      <c r="CA1" s="1213" t="s">
        <v>163</v>
      </c>
      <c r="CB1" s="1215" t="s">
        <v>164</v>
      </c>
      <c r="CC1" s="1215" t="s">
        <v>165</v>
      </c>
      <c r="CD1" s="1215" t="s">
        <v>166</v>
      </c>
    </row>
    <row r="2" spans="1:84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87"/>
      <c r="S2" s="1236"/>
      <c r="T2" s="403"/>
      <c r="U2" s="404" t="s">
        <v>167</v>
      </c>
      <c r="V2" s="404" t="s">
        <v>168</v>
      </c>
      <c r="W2" s="405" t="s">
        <v>169</v>
      </c>
      <c r="X2" s="404" t="s">
        <v>170</v>
      </c>
      <c r="Y2" s="404" t="s">
        <v>171</v>
      </c>
      <c r="Z2" s="406" t="s">
        <v>172</v>
      </c>
      <c r="AA2" s="406" t="s">
        <v>173</v>
      </c>
      <c r="AB2" s="404" t="s">
        <v>174</v>
      </c>
      <c r="AC2" s="404" t="s">
        <v>139</v>
      </c>
      <c r="AD2" s="405" t="s">
        <v>175</v>
      </c>
      <c r="AE2" s="405" t="s">
        <v>176</v>
      </c>
      <c r="AF2" s="405" t="s">
        <v>177</v>
      </c>
      <c r="AG2" s="405" t="s">
        <v>178</v>
      </c>
      <c r="AH2" s="405" t="s">
        <v>179</v>
      </c>
      <c r="AI2" s="404" t="s">
        <v>81</v>
      </c>
      <c r="AJ2" s="404" t="s">
        <v>180</v>
      </c>
      <c r="AK2" s="404" t="s">
        <v>181</v>
      </c>
      <c r="AL2" s="404" t="s">
        <v>76</v>
      </c>
      <c r="AM2" s="404" t="s">
        <v>84</v>
      </c>
      <c r="AN2" s="404" t="s">
        <v>88</v>
      </c>
      <c r="AO2" s="404" t="s">
        <v>78</v>
      </c>
      <c r="AP2" s="404" t="s">
        <v>80</v>
      </c>
      <c r="AQ2" s="404" t="s">
        <v>86</v>
      </c>
      <c r="AR2" s="404" t="s">
        <v>82</v>
      </c>
      <c r="AS2" s="404" t="s">
        <v>182</v>
      </c>
      <c r="AT2" s="404" t="s">
        <v>183</v>
      </c>
      <c r="AU2" s="404" t="s">
        <v>184</v>
      </c>
      <c r="AV2" s="404" t="s">
        <v>100</v>
      </c>
      <c r="AW2" s="404" t="s">
        <v>913</v>
      </c>
      <c r="AX2" s="404" t="s">
        <v>2747</v>
      </c>
      <c r="AY2" s="405" t="s">
        <v>3278</v>
      </c>
      <c r="AZ2" s="1218"/>
      <c r="BA2" s="1218"/>
      <c r="BB2" s="1227"/>
      <c r="BC2" s="1229"/>
      <c r="BD2" s="1229"/>
      <c r="BE2" s="1219"/>
      <c r="BF2" s="1218"/>
      <c r="BG2" s="1218"/>
      <c r="BH2" s="1218"/>
      <c r="BI2" s="1218"/>
      <c r="BJ2" s="1219"/>
      <c r="BK2" s="1219"/>
      <c r="BL2" s="1219"/>
      <c r="BM2" s="1219"/>
      <c r="BN2" s="1219"/>
      <c r="BO2" s="1218"/>
      <c r="BP2" s="1218"/>
      <c r="BQ2" s="1218"/>
      <c r="BR2" s="1218"/>
      <c r="BS2" s="1218"/>
      <c r="BT2" s="1217"/>
      <c r="BU2" s="250"/>
      <c r="BV2" s="1214"/>
      <c r="BW2" s="1214"/>
      <c r="BX2" s="1214"/>
      <c r="BY2" s="1214"/>
      <c r="BZ2" s="1214"/>
      <c r="CA2" s="1214"/>
      <c r="CB2" s="1216"/>
      <c r="CC2" s="1216"/>
      <c r="CD2" s="1216"/>
    </row>
    <row r="3" spans="1:84">
      <c r="A3" s="208" t="s">
        <v>2885</v>
      </c>
      <c r="B3" s="115"/>
      <c r="E3" s="77"/>
      <c r="G3" s="299"/>
      <c r="H3" s="299"/>
      <c r="I3" s="115"/>
      <c r="M3" s="529"/>
      <c r="Z3" s="117"/>
      <c r="BB3" s="300"/>
      <c r="BL3" s="251"/>
      <c r="BQ3" s="251"/>
      <c r="BR3" s="251"/>
      <c r="BS3" s="251"/>
      <c r="BT3" s="115"/>
      <c r="BU3" s="115"/>
      <c r="BV3" s="302"/>
      <c r="BW3" s="302"/>
      <c r="BX3" s="302"/>
      <c r="BY3" s="302"/>
      <c r="BZ3" s="303"/>
      <c r="CA3" s="303"/>
      <c r="CB3" s="304"/>
      <c r="CC3" s="304"/>
      <c r="CD3" s="305"/>
    </row>
    <row r="4" spans="1:84" s="126" customFormat="1">
      <c r="A4" s="474">
        <f>BF4</f>
        <v>45210.788194444445</v>
      </c>
      <c r="B4" s="475" t="s">
        <v>188</v>
      </c>
      <c r="C4" s="475" t="s">
        <v>88</v>
      </c>
      <c r="D4" s="475" t="s">
        <v>189</v>
      </c>
      <c r="E4" s="476" t="s">
        <v>2830</v>
      </c>
      <c r="F4" s="475"/>
      <c r="G4" s="473">
        <v>45218.166666666664</v>
      </c>
      <c r="H4" s="473">
        <v>45218.3</v>
      </c>
      <c r="I4" s="475" t="s">
        <v>191</v>
      </c>
      <c r="J4" s="475" t="s">
        <v>192</v>
      </c>
      <c r="K4" s="475" t="s">
        <v>192</v>
      </c>
      <c r="L4" s="475" t="s">
        <v>3279</v>
      </c>
      <c r="M4" s="530"/>
      <c r="N4" s="475" t="s">
        <v>3280</v>
      </c>
      <c r="O4" s="475" t="s">
        <v>3281</v>
      </c>
      <c r="P4" s="399" t="s">
        <v>88</v>
      </c>
      <c r="Q4" s="477">
        <v>5000</v>
      </c>
      <c r="R4" s="477">
        <v>5000</v>
      </c>
      <c r="S4" s="477">
        <v>5006.1850000000004</v>
      </c>
      <c r="T4" s="477"/>
      <c r="U4" s="577"/>
      <c r="V4" s="475"/>
      <c r="W4" s="577"/>
      <c r="X4" s="475"/>
      <c r="Y4" s="475"/>
      <c r="Z4" s="577"/>
      <c r="AA4" s="577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75"/>
      <c r="AM4" s="401"/>
      <c r="AN4" s="724">
        <f>S4</f>
        <v>5006.1850000000004</v>
      </c>
      <c r="AO4" s="401"/>
      <c r="AP4" s="401"/>
      <c r="AQ4" s="401"/>
      <c r="AR4" s="401"/>
      <c r="AS4" s="401"/>
      <c r="AT4" s="401"/>
      <c r="AU4" s="401"/>
      <c r="AV4" s="475"/>
      <c r="AW4" s="475"/>
      <c r="AX4" s="475"/>
      <c r="AY4" s="475"/>
      <c r="AZ4" s="473">
        <f t="shared" ref="AZ4:AZ67" si="0">BC4</f>
        <v>45210.78125</v>
      </c>
      <c r="BA4" s="473">
        <f t="shared" ref="BA4:BA67" si="1">BS4</f>
        <v>45217.697916666664</v>
      </c>
      <c r="BB4" s="479">
        <f t="shared" ref="BB4:BB67" si="2">BA4-AZ4</f>
        <v>6.9166666666642413</v>
      </c>
      <c r="BC4" s="473">
        <v>45210.78125</v>
      </c>
      <c r="BD4" s="473">
        <v>45210.78125</v>
      </c>
      <c r="BE4" s="473">
        <v>45210.78125</v>
      </c>
      <c r="BF4" s="473">
        <v>45210.788194444445</v>
      </c>
      <c r="BG4" s="473">
        <v>45211.347222222219</v>
      </c>
      <c r="BH4" s="473">
        <v>45211.375</v>
      </c>
      <c r="BI4" s="473">
        <v>45211.375</v>
      </c>
      <c r="BJ4" s="473">
        <v>45211.375</v>
      </c>
      <c r="BK4" s="518" t="s">
        <v>196</v>
      </c>
      <c r="BL4" s="518" t="s">
        <v>196</v>
      </c>
      <c r="BM4" s="518" t="s">
        <v>196</v>
      </c>
      <c r="BN4" s="473">
        <v>45216.270833333336</v>
      </c>
      <c r="BO4" s="473">
        <v>45217.319444444445</v>
      </c>
      <c r="BP4" s="473">
        <v>45217.680555555555</v>
      </c>
      <c r="BQ4" s="473">
        <v>45217.694444444445</v>
      </c>
      <c r="BR4" s="473">
        <v>45217.697916666664</v>
      </c>
      <c r="BS4" s="473">
        <v>45217.697916666664</v>
      </c>
      <c r="BT4" s="475"/>
      <c r="BU4" s="475"/>
      <c r="BV4" s="481">
        <f t="shared" ref="BV4:BV67" si="3">(BE4-BD4)*24</f>
        <v>0</v>
      </c>
      <c r="BW4" s="481">
        <f t="shared" ref="BW4:BW67" si="4">(BG4-BF4)*24</f>
        <v>13.416666666569654</v>
      </c>
      <c r="BX4" s="481">
        <f t="shared" ref="BX4:BX67" si="5">(BJ4-BI4)*24</f>
        <v>0</v>
      </c>
      <c r="BY4" s="481">
        <f>(BN4-BJ4)*24</f>
        <v>117.50000000005821</v>
      </c>
      <c r="BZ4" s="482">
        <f t="shared" ref="BZ4:BZ67" si="6">(BP4-BO4)*24</f>
        <v>8.6666666666278616</v>
      </c>
      <c r="CA4" s="482">
        <f t="shared" ref="CA4:CA67" si="7">(BS4-BR4)*24</f>
        <v>0</v>
      </c>
      <c r="CB4" s="483">
        <f t="shared" ref="CB4:CB67" si="8">SUM(BV4:CA4)/24</f>
        <v>5.8159722222189885</v>
      </c>
      <c r="CC4" s="483">
        <f t="shared" ref="CC4:CC67" si="9">BB4</f>
        <v>6.9166666666642413</v>
      </c>
      <c r="CD4" s="484">
        <f t="shared" ref="CD4:CD67" si="10">CB4/CC4</f>
        <v>0.84086345381508831</v>
      </c>
      <c r="CE4" s="475"/>
      <c r="CF4" s="475"/>
    </row>
    <row r="5" spans="1:84" s="126" customFormat="1">
      <c r="A5" s="474"/>
      <c r="B5" s="475"/>
      <c r="C5" s="475"/>
      <c r="D5" s="475" t="s">
        <v>215</v>
      </c>
      <c r="E5" s="476"/>
      <c r="F5" s="475"/>
      <c r="G5" s="518"/>
      <c r="H5" s="518"/>
      <c r="I5" s="475"/>
      <c r="J5" s="475" t="s">
        <v>2757</v>
      </c>
      <c r="K5" s="475"/>
      <c r="L5" s="475" t="s">
        <v>3282</v>
      </c>
      <c r="M5" s="530"/>
      <c r="N5" s="475" t="s">
        <v>1230</v>
      </c>
      <c r="O5" s="475" t="s">
        <v>1231</v>
      </c>
      <c r="P5" s="475"/>
      <c r="Q5" s="477">
        <f>3107*2.4</f>
        <v>7456.7999999999993</v>
      </c>
      <c r="R5" s="477">
        <f>7500+100</f>
        <v>7600</v>
      </c>
      <c r="S5" s="477"/>
      <c r="T5" s="477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  <c r="AO5" s="475"/>
      <c r="AP5" s="475"/>
      <c r="AQ5" s="475"/>
      <c r="AR5" s="475"/>
      <c r="AS5" s="475"/>
      <c r="AT5" s="475"/>
      <c r="AU5" s="475"/>
      <c r="AV5" s="475"/>
      <c r="AW5" s="475"/>
      <c r="AX5" s="475"/>
      <c r="AY5" s="475"/>
      <c r="AZ5" s="473">
        <f t="shared" si="0"/>
        <v>45200</v>
      </c>
      <c r="BA5" s="473">
        <f t="shared" si="1"/>
        <v>45231</v>
      </c>
      <c r="BB5" s="479">
        <f t="shared" si="2"/>
        <v>31</v>
      </c>
      <c r="BC5" s="473">
        <v>45200</v>
      </c>
      <c r="BD5" s="473"/>
      <c r="BE5" s="473"/>
      <c r="BF5" s="473"/>
      <c r="BG5" s="473"/>
      <c r="BH5" s="473"/>
      <c r="BI5" s="473"/>
      <c r="BJ5" s="473"/>
      <c r="BK5" s="485"/>
      <c r="BL5" s="485"/>
      <c r="BM5" s="518"/>
      <c r="BN5" s="473"/>
      <c r="BO5" s="473"/>
      <c r="BP5" s="473"/>
      <c r="BQ5" s="473"/>
      <c r="BR5" s="473"/>
      <c r="BS5" s="473">
        <v>45231</v>
      </c>
      <c r="BT5" s="475"/>
      <c r="BU5" s="475"/>
      <c r="BV5" s="481">
        <f t="shared" si="3"/>
        <v>0</v>
      </c>
      <c r="BW5" s="481">
        <f t="shared" si="4"/>
        <v>0</v>
      </c>
      <c r="BX5" s="481">
        <f t="shared" si="5"/>
        <v>0</v>
      </c>
      <c r="BY5" s="481">
        <f t="shared" ref="BY5:BY68" si="11">(BN5-BL5)*24</f>
        <v>0</v>
      </c>
      <c r="BZ5" s="482">
        <f t="shared" si="6"/>
        <v>0</v>
      </c>
      <c r="CA5" s="482">
        <f t="shared" si="7"/>
        <v>1085544</v>
      </c>
      <c r="CB5" s="483">
        <f t="shared" si="8"/>
        <v>45231</v>
      </c>
      <c r="CC5" s="483">
        <f t="shared" si="9"/>
        <v>31</v>
      </c>
      <c r="CD5" s="484">
        <f t="shared" si="10"/>
        <v>1459.0645161290322</v>
      </c>
      <c r="CE5" s="475"/>
      <c r="CF5" s="475"/>
    </row>
    <row r="6" spans="1:84" s="126" customFormat="1">
      <c r="A6" s="474"/>
      <c r="B6" s="475"/>
      <c r="C6" s="475"/>
      <c r="D6" s="475" t="s">
        <v>197</v>
      </c>
      <c r="E6" s="476"/>
      <c r="F6" s="475"/>
      <c r="G6" s="518"/>
      <c r="H6" s="518"/>
      <c r="I6" s="475"/>
      <c r="J6" s="475" t="s">
        <v>2693</v>
      </c>
      <c r="K6" s="399"/>
      <c r="L6" s="475" t="s">
        <v>3283</v>
      </c>
      <c r="M6" s="530"/>
      <c r="N6" s="475" t="s">
        <v>505</v>
      </c>
      <c r="O6" s="475" t="s">
        <v>340</v>
      </c>
      <c r="P6" s="475"/>
      <c r="Q6" s="477">
        <f>3141*2.4</f>
        <v>7538.4</v>
      </c>
      <c r="R6" s="477">
        <f>7550+100</f>
        <v>7650</v>
      </c>
      <c r="S6" s="477"/>
      <c r="T6" s="477"/>
      <c r="U6" s="401"/>
      <c r="V6" s="475"/>
      <c r="W6" s="401"/>
      <c r="X6" s="401"/>
      <c r="Y6" s="401"/>
      <c r="Z6" s="401"/>
      <c r="AA6" s="401"/>
      <c r="AB6" s="475"/>
      <c r="AC6" s="475"/>
      <c r="AD6" s="475"/>
      <c r="AE6" s="475"/>
      <c r="AF6" s="475"/>
      <c r="AG6" s="475"/>
      <c r="AH6" s="475"/>
      <c r="AI6" s="475"/>
      <c r="AJ6" s="475"/>
      <c r="AK6" s="475"/>
      <c r="AL6" s="475"/>
      <c r="AM6" s="475"/>
      <c r="AN6" s="475"/>
      <c r="AO6" s="475"/>
      <c r="AP6" s="475"/>
      <c r="AQ6" s="475"/>
      <c r="AR6" s="475"/>
      <c r="AS6" s="475"/>
      <c r="AT6" s="475"/>
      <c r="AU6" s="475"/>
      <c r="AV6" s="475"/>
      <c r="AW6" s="475"/>
      <c r="AX6" s="475"/>
      <c r="AY6" s="475"/>
      <c r="AZ6" s="473">
        <f t="shared" si="0"/>
        <v>45200</v>
      </c>
      <c r="BA6" s="473">
        <f t="shared" si="1"/>
        <v>45218.65625</v>
      </c>
      <c r="BB6" s="479">
        <f t="shared" si="2"/>
        <v>18.65625</v>
      </c>
      <c r="BC6" s="473">
        <v>45200</v>
      </c>
      <c r="BD6" s="473"/>
      <c r="BE6" s="473"/>
      <c r="BF6" s="473"/>
      <c r="BG6" s="473"/>
      <c r="BH6" s="473"/>
      <c r="BI6" s="473"/>
      <c r="BJ6" s="473"/>
      <c r="BK6" s="485"/>
      <c r="BL6" s="485"/>
      <c r="BM6" s="518"/>
      <c r="BN6" s="473"/>
      <c r="BO6" s="473"/>
      <c r="BP6" s="473"/>
      <c r="BQ6" s="473"/>
      <c r="BR6" s="473"/>
      <c r="BS6" s="473">
        <v>45218.65625</v>
      </c>
      <c r="BT6" s="475"/>
      <c r="BU6" s="475"/>
      <c r="BV6" s="481">
        <f t="shared" si="3"/>
        <v>0</v>
      </c>
      <c r="BW6" s="481">
        <f t="shared" si="4"/>
        <v>0</v>
      </c>
      <c r="BX6" s="481">
        <f t="shared" si="5"/>
        <v>0</v>
      </c>
      <c r="BY6" s="481">
        <f t="shared" si="11"/>
        <v>0</v>
      </c>
      <c r="BZ6" s="482">
        <f t="shared" si="6"/>
        <v>0</v>
      </c>
      <c r="CA6" s="482">
        <f t="shared" si="7"/>
        <v>1085247.75</v>
      </c>
      <c r="CB6" s="483">
        <f t="shared" si="8"/>
        <v>45218.65625</v>
      </c>
      <c r="CC6" s="483">
        <f t="shared" si="9"/>
        <v>18.65625</v>
      </c>
      <c r="CD6" s="484">
        <f t="shared" si="10"/>
        <v>2423.7805695142379</v>
      </c>
      <c r="CE6" s="475"/>
      <c r="CF6" s="475"/>
    </row>
    <row r="7" spans="1:84" s="475" customFormat="1">
      <c r="A7" s="192">
        <f t="shared" ref="A7:A70" si="12">BF7</f>
        <v>45200.256944444445</v>
      </c>
      <c r="B7" s="126" t="s">
        <v>228</v>
      </c>
      <c r="C7" s="126" t="s">
        <v>229</v>
      </c>
      <c r="D7" s="126" t="s">
        <v>215</v>
      </c>
      <c r="E7" s="675" t="s">
        <v>1052</v>
      </c>
      <c r="F7" s="662"/>
      <c r="G7" s="316">
        <v>45198.416666666664</v>
      </c>
      <c r="H7" s="316">
        <v>45198.395833333336</v>
      </c>
      <c r="I7" s="662" t="s">
        <v>231</v>
      </c>
      <c r="J7" s="126" t="s">
        <v>192</v>
      </c>
      <c r="K7" s="126" t="s">
        <v>192</v>
      </c>
      <c r="L7" s="126" t="s">
        <v>3284</v>
      </c>
      <c r="M7" s="529"/>
      <c r="N7" s="126" t="s">
        <v>274</v>
      </c>
      <c r="O7" s="126" t="s">
        <v>1093</v>
      </c>
      <c r="P7" s="662" t="s">
        <v>1472</v>
      </c>
      <c r="Q7" s="181">
        <f>3136*2.4</f>
        <v>7526.4</v>
      </c>
      <c r="R7" s="181">
        <f>7550+100</f>
        <v>7650</v>
      </c>
      <c r="S7" s="181">
        <v>7415.0190000000002</v>
      </c>
      <c r="T7" s="181"/>
      <c r="U7" s="290"/>
      <c r="V7" s="290"/>
      <c r="W7" s="290"/>
      <c r="X7" s="329">
        <f>S7*0.6</f>
        <v>4449.0114000000003</v>
      </c>
      <c r="Y7" s="329">
        <f>S7*0.4</f>
        <v>2966.0076000000004</v>
      </c>
      <c r="Z7" s="290"/>
      <c r="AA7" s="290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65">
        <f t="shared" si="0"/>
        <v>45192.493055555555</v>
      </c>
      <c r="BA7" s="165">
        <f t="shared" si="1"/>
        <v>45207.194444444445</v>
      </c>
      <c r="BB7" s="137">
        <f t="shared" si="2"/>
        <v>14.701388888890506</v>
      </c>
      <c r="BC7" s="165">
        <v>45192.493055555555</v>
      </c>
      <c r="BD7" s="165">
        <v>45193.333333333336</v>
      </c>
      <c r="BE7" s="165">
        <v>45196</v>
      </c>
      <c r="BF7" s="165">
        <v>45200.256944444445</v>
      </c>
      <c r="BG7" s="165">
        <v>45200.722222222219</v>
      </c>
      <c r="BH7" s="165">
        <v>45200.725694444445</v>
      </c>
      <c r="BI7" s="165">
        <v>45200.725694444445</v>
      </c>
      <c r="BJ7" s="165">
        <f t="shared" ref="BJ7:BJ70" si="13">BI7+(41/24)</f>
        <v>45202.434027777781</v>
      </c>
      <c r="BK7" s="362">
        <v>45203.25</v>
      </c>
      <c r="BL7" s="362">
        <v>45203.416666608799</v>
      </c>
      <c r="BM7" s="362">
        <v>45203.28125</v>
      </c>
      <c r="BN7" s="165">
        <v>45204.416666666664</v>
      </c>
      <c r="BO7" s="165">
        <v>45206.472222222219</v>
      </c>
      <c r="BP7" s="165">
        <v>45206.833333333336</v>
      </c>
      <c r="BQ7" s="165">
        <v>45206.881944444445</v>
      </c>
      <c r="BR7" s="165">
        <v>45206.881944444445</v>
      </c>
      <c r="BS7" s="165">
        <v>45207.194444444445</v>
      </c>
      <c r="BT7" s="126"/>
      <c r="BU7" s="126"/>
      <c r="BV7" s="136">
        <f t="shared" si="3"/>
        <v>63.999999999941792</v>
      </c>
      <c r="BW7" s="136">
        <f t="shared" si="4"/>
        <v>11.166666666569654</v>
      </c>
      <c r="BX7" s="136">
        <f t="shared" si="5"/>
        <v>41.000000000058208</v>
      </c>
      <c r="BY7" s="136">
        <f t="shared" si="11"/>
        <v>24.000001388776582</v>
      </c>
      <c r="BZ7" s="135">
        <f t="shared" si="6"/>
        <v>8.6666666668024845</v>
      </c>
      <c r="CA7" s="135">
        <f t="shared" si="7"/>
        <v>7.5</v>
      </c>
      <c r="CB7" s="134">
        <f t="shared" si="8"/>
        <v>6.5138889467561967</v>
      </c>
      <c r="CC7" s="134">
        <f t="shared" si="9"/>
        <v>14.701388888890506</v>
      </c>
      <c r="CD7" s="133">
        <f t="shared" si="10"/>
        <v>0.4430798338841706</v>
      </c>
      <c r="CE7" s="126"/>
      <c r="CF7" s="126"/>
    </row>
    <row r="8" spans="1:84" s="475" customFormat="1">
      <c r="A8" s="192">
        <f t="shared" si="12"/>
        <v>45200.746527777781</v>
      </c>
      <c r="B8" s="126" t="s">
        <v>228</v>
      </c>
      <c r="C8" s="126" t="s">
        <v>229</v>
      </c>
      <c r="D8" s="126" t="s">
        <v>215</v>
      </c>
      <c r="E8" s="675" t="s">
        <v>1052</v>
      </c>
      <c r="F8" s="662"/>
      <c r="G8" s="316">
        <v>45198.416666666664</v>
      </c>
      <c r="H8" s="316">
        <v>45198.395833333336</v>
      </c>
      <c r="I8" s="662" t="s">
        <v>231</v>
      </c>
      <c r="J8" s="126" t="s">
        <v>192</v>
      </c>
      <c r="K8" s="126" t="s">
        <v>192</v>
      </c>
      <c r="L8" s="126" t="s">
        <v>3285</v>
      </c>
      <c r="M8" s="529"/>
      <c r="N8" s="126" t="s">
        <v>774</v>
      </c>
      <c r="O8" s="126" t="s">
        <v>423</v>
      </c>
      <c r="P8" s="662" t="s">
        <v>1472</v>
      </c>
      <c r="Q8" s="181">
        <f>3156*2.4</f>
        <v>7574.4</v>
      </c>
      <c r="R8" s="181">
        <f>7600+100</f>
        <v>7700</v>
      </c>
      <c r="S8" s="181">
        <v>7679.4939999999997</v>
      </c>
      <c r="T8" s="181"/>
      <c r="U8" s="290"/>
      <c r="V8" s="290"/>
      <c r="W8" s="290"/>
      <c r="X8" s="329">
        <f>S8*0.6</f>
        <v>4607.6963999999998</v>
      </c>
      <c r="Y8" s="329">
        <f>S8*0.4</f>
        <v>3071.7975999999999</v>
      </c>
      <c r="Z8" s="290"/>
      <c r="AA8" s="290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65">
        <f t="shared" si="0"/>
        <v>45192.798611111109</v>
      </c>
      <c r="BA8" s="165">
        <f t="shared" si="1"/>
        <v>45207.1875</v>
      </c>
      <c r="BB8" s="137">
        <f t="shared" si="2"/>
        <v>14.388888888890506</v>
      </c>
      <c r="BC8" s="165">
        <v>45192.798611111109</v>
      </c>
      <c r="BD8" s="165">
        <v>45193.368055555555</v>
      </c>
      <c r="BE8" s="165">
        <v>45196.53125</v>
      </c>
      <c r="BF8" s="165">
        <v>45200.746527777781</v>
      </c>
      <c r="BG8" s="165">
        <v>45200.934027777781</v>
      </c>
      <c r="BH8" s="165">
        <v>45200.9375</v>
      </c>
      <c r="BI8" s="165">
        <v>45200.9375</v>
      </c>
      <c r="BJ8" s="165">
        <f t="shared" si="13"/>
        <v>45202.645833333336</v>
      </c>
      <c r="BK8" s="362">
        <v>45203.25</v>
      </c>
      <c r="BL8" s="362">
        <v>45203.416666608799</v>
      </c>
      <c r="BM8" s="362">
        <v>45203.388888888891</v>
      </c>
      <c r="BN8" s="165">
        <v>45204.604166666664</v>
      </c>
      <c r="BO8" s="165">
        <v>45206.472222222219</v>
      </c>
      <c r="BP8" s="165">
        <v>45206.833333333336</v>
      </c>
      <c r="BQ8" s="165">
        <v>45206.868055555555</v>
      </c>
      <c r="BR8" s="165">
        <v>45206.868055555555</v>
      </c>
      <c r="BS8" s="165">
        <v>45207.1875</v>
      </c>
      <c r="BT8" s="126"/>
      <c r="BU8" s="126"/>
      <c r="BV8" s="136">
        <f t="shared" si="3"/>
        <v>75.916666666686069</v>
      </c>
      <c r="BW8" s="136">
        <f t="shared" si="4"/>
        <v>4.5</v>
      </c>
      <c r="BX8" s="136">
        <f t="shared" si="5"/>
        <v>41.000000000058208</v>
      </c>
      <c r="BY8" s="136">
        <f t="shared" si="11"/>
        <v>28.500001388776582</v>
      </c>
      <c r="BZ8" s="135">
        <f t="shared" si="6"/>
        <v>8.6666666668024845</v>
      </c>
      <c r="CA8" s="135">
        <f t="shared" si="7"/>
        <v>7.6666666666860692</v>
      </c>
      <c r="CB8" s="134">
        <f t="shared" si="8"/>
        <v>6.9270833912087255</v>
      </c>
      <c r="CC8" s="134">
        <f t="shared" si="9"/>
        <v>14.388888888890506</v>
      </c>
      <c r="CD8" s="133">
        <f t="shared" si="10"/>
        <v>0.48141892294109284</v>
      </c>
      <c r="CE8" s="126"/>
      <c r="CF8" s="126"/>
    </row>
    <row r="9" spans="1:84" s="475" customFormat="1">
      <c r="A9" s="192">
        <f t="shared" si="12"/>
        <v>45200.954861111109</v>
      </c>
      <c r="B9" s="126" t="s">
        <v>228</v>
      </c>
      <c r="C9" s="126" t="s">
        <v>229</v>
      </c>
      <c r="D9" s="126" t="s">
        <v>197</v>
      </c>
      <c r="E9" s="675" t="s">
        <v>1052</v>
      </c>
      <c r="F9" s="662"/>
      <c r="G9" s="316">
        <v>45198.416666666664</v>
      </c>
      <c r="H9" s="316">
        <v>45198.395833333336</v>
      </c>
      <c r="I9" s="662" t="s">
        <v>231</v>
      </c>
      <c r="J9" s="126" t="s">
        <v>192</v>
      </c>
      <c r="K9" s="126" t="s">
        <v>192</v>
      </c>
      <c r="L9" s="126" t="s">
        <v>3286</v>
      </c>
      <c r="M9" s="529"/>
      <c r="N9" s="126" t="s">
        <v>377</v>
      </c>
      <c r="O9" s="126" t="s">
        <v>378</v>
      </c>
      <c r="P9" s="662" t="s">
        <v>235</v>
      </c>
      <c r="Q9" s="181">
        <f>3271*2.4</f>
        <v>7850.4</v>
      </c>
      <c r="R9" s="181">
        <f>7900+100</f>
        <v>8000</v>
      </c>
      <c r="S9" s="181">
        <f>7918.516-567.129</f>
        <v>7351.3869999999997</v>
      </c>
      <c r="T9" s="181"/>
      <c r="U9" s="290"/>
      <c r="V9" s="290"/>
      <c r="W9" s="290"/>
      <c r="X9" s="329">
        <f>S9</f>
        <v>7351.3869999999997</v>
      </c>
      <c r="Y9" s="290"/>
      <c r="Z9" s="290"/>
      <c r="AA9" s="29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65">
        <f t="shared" si="0"/>
        <v>45193.604166666664</v>
      </c>
      <c r="BA9" s="165">
        <f t="shared" si="1"/>
        <v>45207.208333333336</v>
      </c>
      <c r="BB9" s="137">
        <f t="shared" si="2"/>
        <v>13.604166666671517</v>
      </c>
      <c r="BC9" s="165">
        <v>45193.604166666664</v>
      </c>
      <c r="BD9" s="165">
        <v>45194.357638888891</v>
      </c>
      <c r="BE9" s="165">
        <v>45198.375</v>
      </c>
      <c r="BF9" s="165">
        <v>45200.954861111109</v>
      </c>
      <c r="BG9" s="165">
        <v>45201.118055555555</v>
      </c>
      <c r="BH9" s="165">
        <v>45201.121527777781</v>
      </c>
      <c r="BI9" s="165">
        <v>45201.121527777781</v>
      </c>
      <c r="BJ9" s="165">
        <f t="shared" si="13"/>
        <v>45202.829861111117</v>
      </c>
      <c r="BK9" s="362">
        <v>45203.25</v>
      </c>
      <c r="BL9" s="362">
        <v>45203.416666608799</v>
      </c>
      <c r="BM9" s="165">
        <v>45203.291666666664</v>
      </c>
      <c r="BN9" s="165">
        <v>45204.430555555555</v>
      </c>
      <c r="BO9" s="165">
        <v>45206.909722222219</v>
      </c>
      <c r="BP9" s="165">
        <v>45207.131944444445</v>
      </c>
      <c r="BQ9" s="165">
        <v>45207.208333333336</v>
      </c>
      <c r="BR9" s="165">
        <v>45207.208333333336</v>
      </c>
      <c r="BS9" s="165">
        <v>45207.208333333336</v>
      </c>
      <c r="BT9" s="126"/>
      <c r="BU9" s="126"/>
      <c r="BV9" s="136">
        <f t="shared" si="3"/>
        <v>96.416666666627862</v>
      </c>
      <c r="BW9" s="136">
        <f t="shared" si="4"/>
        <v>3.9166666666860692</v>
      </c>
      <c r="BX9" s="136">
        <f t="shared" si="5"/>
        <v>41.000000000058208</v>
      </c>
      <c r="BY9" s="136">
        <f t="shared" si="11"/>
        <v>24.33333472214872</v>
      </c>
      <c r="BZ9" s="135">
        <f t="shared" si="6"/>
        <v>5.3333333334303461</v>
      </c>
      <c r="CA9" s="135">
        <f t="shared" si="7"/>
        <v>0</v>
      </c>
      <c r="CB9" s="134">
        <f t="shared" si="8"/>
        <v>7.1250000578729669</v>
      </c>
      <c r="CC9" s="134">
        <f t="shared" si="9"/>
        <v>13.604166666671517</v>
      </c>
      <c r="CD9" s="133">
        <f t="shared" si="10"/>
        <v>0.52373660456015381</v>
      </c>
      <c r="CE9" s="126"/>
      <c r="CF9" s="126"/>
    </row>
    <row r="10" spans="1:84" s="475" customFormat="1">
      <c r="A10" s="474">
        <f t="shared" si="12"/>
        <v>45200.954861111109</v>
      </c>
      <c r="B10" s="475" t="s">
        <v>228</v>
      </c>
      <c r="C10" s="475" t="s">
        <v>229</v>
      </c>
      <c r="D10" s="475" t="s">
        <v>197</v>
      </c>
      <c r="E10" s="476" t="s">
        <v>3085</v>
      </c>
      <c r="F10" s="399"/>
      <c r="G10" s="472">
        <v>45198.416666666664</v>
      </c>
      <c r="H10" s="472">
        <v>45198.395833333336</v>
      </c>
      <c r="I10" s="399" t="s">
        <v>231</v>
      </c>
      <c r="J10" s="475" t="s">
        <v>192</v>
      </c>
      <c r="K10" s="475" t="s">
        <v>192</v>
      </c>
      <c r="L10" s="475" t="s">
        <v>3286</v>
      </c>
      <c r="M10" s="530"/>
      <c r="N10" s="475" t="s">
        <v>377</v>
      </c>
      <c r="O10" s="475" t="s">
        <v>378</v>
      </c>
      <c r="P10" s="667" t="s">
        <v>235</v>
      </c>
      <c r="Q10" s="477">
        <f>3271*2.4</f>
        <v>7850.4</v>
      </c>
      <c r="R10" s="477">
        <f>7900+100</f>
        <v>8000</v>
      </c>
      <c r="S10" s="477">
        <v>822.87099999999998</v>
      </c>
      <c r="T10" s="477"/>
      <c r="U10" s="575"/>
      <c r="V10" s="575"/>
      <c r="W10" s="575"/>
      <c r="X10" s="724">
        <f>S10</f>
        <v>822.87099999999998</v>
      </c>
      <c r="Y10" s="577"/>
      <c r="Z10" s="575"/>
      <c r="AA10" s="575"/>
      <c r="AZ10" s="473">
        <f t="shared" si="0"/>
        <v>45193.604166666664</v>
      </c>
      <c r="BA10" s="473">
        <f t="shared" si="1"/>
        <v>45210.833333333336</v>
      </c>
      <c r="BB10" s="479">
        <f t="shared" si="2"/>
        <v>17.229166666671517</v>
      </c>
      <c r="BC10" s="473">
        <v>45193.604166666664</v>
      </c>
      <c r="BD10" s="473">
        <v>45194.357638888891</v>
      </c>
      <c r="BE10" s="473">
        <v>45198.375</v>
      </c>
      <c r="BF10" s="473">
        <v>45200.954861111109</v>
      </c>
      <c r="BG10" s="473">
        <v>45201.118055555555</v>
      </c>
      <c r="BH10" s="473">
        <v>45201.121527777781</v>
      </c>
      <c r="BI10" s="473">
        <v>45201.121527777781</v>
      </c>
      <c r="BJ10" s="473">
        <f t="shared" si="13"/>
        <v>45202.829861111117</v>
      </c>
      <c r="BK10" s="485">
        <v>45203.25</v>
      </c>
      <c r="BL10" s="485">
        <v>45203.416666608799</v>
      </c>
      <c r="BM10" s="473">
        <v>45203.291666666664</v>
      </c>
      <c r="BN10" s="473">
        <v>45207.208333333336</v>
      </c>
      <c r="BO10" s="473">
        <v>45210.416666666664</v>
      </c>
      <c r="BP10" s="473">
        <v>45210.4375</v>
      </c>
      <c r="BQ10" s="473">
        <v>45210.458333333336</v>
      </c>
      <c r="BR10" s="473">
        <v>45210.604166666664</v>
      </c>
      <c r="BS10" s="473">
        <v>45210.833333333336</v>
      </c>
      <c r="BV10" s="481">
        <f t="shared" si="3"/>
        <v>96.416666666627862</v>
      </c>
      <c r="BW10" s="481">
        <f t="shared" si="4"/>
        <v>3.9166666666860692</v>
      </c>
      <c r="BX10" s="481">
        <f t="shared" si="5"/>
        <v>41.000000000058208</v>
      </c>
      <c r="BY10" s="481">
        <f t="shared" si="11"/>
        <v>91.000001388892997</v>
      </c>
      <c r="BZ10" s="482">
        <f t="shared" si="6"/>
        <v>0.50000000005820766</v>
      </c>
      <c r="CA10" s="482">
        <f t="shared" si="7"/>
        <v>5.5000000001164153</v>
      </c>
      <c r="CB10" s="483">
        <f t="shared" si="8"/>
        <v>9.9305556134349899</v>
      </c>
      <c r="CC10" s="483">
        <f t="shared" si="9"/>
        <v>17.229166666671517</v>
      </c>
      <c r="CD10" s="484">
        <f t="shared" si="10"/>
        <v>0.57638049509642719</v>
      </c>
    </row>
    <row r="11" spans="1:84" s="475" customFormat="1">
      <c r="A11" s="474">
        <f t="shared" si="12"/>
        <v>45201.142361111109</v>
      </c>
      <c r="B11" s="475" t="s">
        <v>228</v>
      </c>
      <c r="C11" s="475" t="s">
        <v>229</v>
      </c>
      <c r="D11" s="475" t="s">
        <v>197</v>
      </c>
      <c r="E11" s="476" t="s">
        <v>3085</v>
      </c>
      <c r="G11" s="472">
        <v>45202.666666666664</v>
      </c>
      <c r="H11" s="472">
        <v>45202.662499999999</v>
      </c>
      <c r="I11" s="475" t="s">
        <v>231</v>
      </c>
      <c r="J11" s="475" t="s">
        <v>192</v>
      </c>
      <c r="K11" s="475" t="s">
        <v>192</v>
      </c>
      <c r="L11" s="475" t="s">
        <v>3287</v>
      </c>
      <c r="M11" s="530"/>
      <c r="N11" s="475" t="s">
        <v>70</v>
      </c>
      <c r="O11" s="475" t="s">
        <v>1982</v>
      </c>
      <c r="P11" s="667" t="s">
        <v>742</v>
      </c>
      <c r="Q11" s="477">
        <f>3142*2.4</f>
        <v>7540.7999999999993</v>
      </c>
      <c r="R11" s="477">
        <f>7550+100</f>
        <v>7650</v>
      </c>
      <c r="S11" s="477">
        <v>7638.5039999999999</v>
      </c>
      <c r="T11" s="477"/>
      <c r="U11" s="401"/>
      <c r="V11" s="401"/>
      <c r="W11" s="401"/>
      <c r="X11" s="724">
        <f t="shared" ref="X11:X23" si="14">S11*0.8</f>
        <v>6110.8032000000003</v>
      </c>
      <c r="Y11" s="726">
        <f t="shared" ref="Y11:Y23" si="15">S11*0.2</f>
        <v>1527.7008000000001</v>
      </c>
      <c r="Z11" s="401"/>
      <c r="AA11" s="577"/>
      <c r="AZ11" s="473">
        <f t="shared" si="0"/>
        <v>45192.75277777778</v>
      </c>
      <c r="BA11" s="473">
        <f t="shared" si="1"/>
        <v>45212.854166666664</v>
      </c>
      <c r="BB11" s="479">
        <f t="shared" si="2"/>
        <v>20.101388888884685</v>
      </c>
      <c r="BC11" s="473">
        <v>45192.75277777778</v>
      </c>
      <c r="BD11" s="473">
        <v>45193.329861111109</v>
      </c>
      <c r="BE11" s="473">
        <v>45196.520833333336</v>
      </c>
      <c r="BF11" s="473">
        <v>45201.142361111109</v>
      </c>
      <c r="BG11" s="473">
        <v>45201.350694444445</v>
      </c>
      <c r="BH11" s="473">
        <v>45201.357638888891</v>
      </c>
      <c r="BI11" s="473">
        <v>45201.357638888891</v>
      </c>
      <c r="BJ11" s="473">
        <f t="shared" si="13"/>
        <v>45203.065972222226</v>
      </c>
      <c r="BK11" s="480">
        <v>45208.583333333336</v>
      </c>
      <c r="BL11" s="480">
        <v>45208.75</v>
      </c>
      <c r="BM11" s="480">
        <v>45208.59375</v>
      </c>
      <c r="BN11" s="473">
        <v>45209.78125</v>
      </c>
      <c r="BO11" s="473">
        <v>45212.340277777774</v>
      </c>
      <c r="BP11" s="473">
        <v>45212.555555555555</v>
      </c>
      <c r="BQ11" s="473">
        <v>45212.576388888891</v>
      </c>
      <c r="BR11" s="473">
        <v>45212.597222222226</v>
      </c>
      <c r="BS11" s="473">
        <v>45212.854166666664</v>
      </c>
      <c r="BV11" s="481">
        <f t="shared" si="3"/>
        <v>76.583333333430346</v>
      </c>
      <c r="BW11" s="481">
        <f t="shared" si="4"/>
        <v>5.0000000000582077</v>
      </c>
      <c r="BX11" s="481">
        <f t="shared" si="5"/>
        <v>41.000000000058208</v>
      </c>
      <c r="BY11" s="481">
        <f t="shared" si="11"/>
        <v>24.75</v>
      </c>
      <c r="BZ11" s="482">
        <f t="shared" si="6"/>
        <v>5.1666666667442769</v>
      </c>
      <c r="CA11" s="482">
        <f t="shared" si="7"/>
        <v>6.1666666665114462</v>
      </c>
      <c r="CB11" s="483">
        <f t="shared" si="8"/>
        <v>6.6111111111167702</v>
      </c>
      <c r="CC11" s="483">
        <f t="shared" si="9"/>
        <v>20.101388888884685</v>
      </c>
      <c r="CD11" s="484">
        <f t="shared" si="10"/>
        <v>0.32888827471879156</v>
      </c>
    </row>
    <row r="12" spans="1:84" s="475" customFormat="1">
      <c r="A12" s="474">
        <f t="shared" si="12"/>
        <v>45201.375</v>
      </c>
      <c r="B12" s="475" t="s">
        <v>228</v>
      </c>
      <c r="C12" s="475" t="s">
        <v>229</v>
      </c>
      <c r="D12" s="475" t="s">
        <v>215</v>
      </c>
      <c r="E12" s="476" t="s">
        <v>3085</v>
      </c>
      <c r="F12" s="399"/>
      <c r="G12" s="472">
        <v>45202.666666666664</v>
      </c>
      <c r="H12" s="472">
        <v>45202.662499999999</v>
      </c>
      <c r="I12" s="475" t="s">
        <v>231</v>
      </c>
      <c r="J12" s="475" t="s">
        <v>192</v>
      </c>
      <c r="K12" s="475" t="s">
        <v>192</v>
      </c>
      <c r="L12" s="475" t="s">
        <v>3288</v>
      </c>
      <c r="M12" s="530"/>
      <c r="N12" s="475" t="s">
        <v>399</v>
      </c>
      <c r="O12" s="475" t="s">
        <v>275</v>
      </c>
      <c r="P12" s="667" t="s">
        <v>742</v>
      </c>
      <c r="Q12" s="477">
        <f>3097*2.4</f>
        <v>7432.7999999999993</v>
      </c>
      <c r="R12" s="477">
        <f>7450+100</f>
        <v>7550</v>
      </c>
      <c r="S12" s="477">
        <v>7594.6040000000003</v>
      </c>
      <c r="T12" s="477"/>
      <c r="U12" s="401"/>
      <c r="V12" s="401"/>
      <c r="W12" s="401"/>
      <c r="X12" s="724">
        <f t="shared" si="14"/>
        <v>6075.6832000000004</v>
      </c>
      <c r="Y12" s="726">
        <f t="shared" si="15"/>
        <v>1518.9208000000001</v>
      </c>
      <c r="Z12" s="401"/>
      <c r="AA12" s="577"/>
      <c r="AZ12" s="473">
        <f t="shared" si="0"/>
        <v>45193.125</v>
      </c>
      <c r="BA12" s="473">
        <f t="shared" si="1"/>
        <v>45211.3125</v>
      </c>
      <c r="BB12" s="479">
        <f t="shared" si="2"/>
        <v>18.1875</v>
      </c>
      <c r="BC12" s="473">
        <v>45193.125</v>
      </c>
      <c r="BD12" s="473">
        <v>45193.381944444445</v>
      </c>
      <c r="BE12" s="473">
        <v>45195.729166666664</v>
      </c>
      <c r="BF12" s="473">
        <v>45201.375</v>
      </c>
      <c r="BG12" s="473">
        <v>45201.493055555555</v>
      </c>
      <c r="BH12" s="473">
        <v>45201.503472222219</v>
      </c>
      <c r="BI12" s="473">
        <v>45201.503472222219</v>
      </c>
      <c r="BJ12" s="473">
        <f t="shared" si="13"/>
        <v>45203.211805555555</v>
      </c>
      <c r="BK12" s="480">
        <v>45208.583333333336</v>
      </c>
      <c r="BL12" s="480">
        <v>45208.75</v>
      </c>
      <c r="BM12" s="480">
        <v>45208.645833333336</v>
      </c>
      <c r="BN12" s="473">
        <v>45209.729166666664</v>
      </c>
      <c r="BO12" s="473">
        <v>45210.756944444445</v>
      </c>
      <c r="BP12" s="473">
        <v>45210.979166666664</v>
      </c>
      <c r="BQ12" s="473">
        <v>45211</v>
      </c>
      <c r="BR12" s="473">
        <v>45211.006944444445</v>
      </c>
      <c r="BS12" s="473">
        <v>45211.3125</v>
      </c>
      <c r="BV12" s="481">
        <f t="shared" si="3"/>
        <v>56.333333333255723</v>
      </c>
      <c r="BW12" s="481">
        <f t="shared" si="4"/>
        <v>2.8333333333139308</v>
      </c>
      <c r="BX12" s="481">
        <f t="shared" si="5"/>
        <v>41.000000000058208</v>
      </c>
      <c r="BY12" s="481">
        <f t="shared" si="11"/>
        <v>23.499999999941792</v>
      </c>
      <c r="BZ12" s="482">
        <f t="shared" si="6"/>
        <v>5.3333333332557231</v>
      </c>
      <c r="CA12" s="482">
        <f t="shared" si="7"/>
        <v>7.3333333333139308</v>
      </c>
      <c r="CB12" s="483">
        <f t="shared" si="8"/>
        <v>5.6805555555474712</v>
      </c>
      <c r="CC12" s="483">
        <f t="shared" si="9"/>
        <v>18.1875</v>
      </c>
      <c r="CD12" s="484">
        <f t="shared" si="10"/>
        <v>0.31233295150776474</v>
      </c>
    </row>
    <row r="13" spans="1:84" s="475" customFormat="1">
      <c r="A13" s="474">
        <f t="shared" si="12"/>
        <v>45201.524305555555</v>
      </c>
      <c r="B13" s="475" t="s">
        <v>228</v>
      </c>
      <c r="C13" s="475" t="s">
        <v>229</v>
      </c>
      <c r="D13" s="475" t="s">
        <v>197</v>
      </c>
      <c r="E13" s="476" t="s">
        <v>3085</v>
      </c>
      <c r="G13" s="472">
        <v>45202.666666666664</v>
      </c>
      <c r="H13" s="472">
        <v>45202.662499999999</v>
      </c>
      <c r="I13" s="475" t="s">
        <v>231</v>
      </c>
      <c r="J13" s="475" t="s">
        <v>192</v>
      </c>
      <c r="K13" s="475" t="s">
        <v>192</v>
      </c>
      <c r="L13" s="475" t="s">
        <v>3289</v>
      </c>
      <c r="M13" s="530"/>
      <c r="N13" s="475" t="s">
        <v>201</v>
      </c>
      <c r="O13" s="475" t="s">
        <v>202</v>
      </c>
      <c r="P13" s="667" t="s">
        <v>742</v>
      </c>
      <c r="Q13" s="477">
        <f>3141*2.4</f>
        <v>7538.4</v>
      </c>
      <c r="R13" s="477">
        <f>7550+100</f>
        <v>7650</v>
      </c>
      <c r="S13" s="477">
        <v>7546.6450000000004</v>
      </c>
      <c r="T13" s="477"/>
      <c r="U13" s="401"/>
      <c r="V13" s="401"/>
      <c r="W13" s="401"/>
      <c r="X13" s="724">
        <f t="shared" si="14"/>
        <v>6037.3160000000007</v>
      </c>
      <c r="Y13" s="726">
        <f t="shared" si="15"/>
        <v>1509.3290000000002</v>
      </c>
      <c r="Z13" s="401"/>
      <c r="AA13" s="577"/>
      <c r="AZ13" s="473">
        <f t="shared" si="0"/>
        <v>45192.083333333336</v>
      </c>
      <c r="BA13" s="473">
        <f t="shared" si="1"/>
        <v>45212.309027777781</v>
      </c>
      <c r="BB13" s="479">
        <f t="shared" si="2"/>
        <v>20.225694444445253</v>
      </c>
      <c r="BC13" s="473">
        <v>45192.083333333336</v>
      </c>
      <c r="BD13" s="473">
        <v>45193.381944444445</v>
      </c>
      <c r="BE13" s="473">
        <v>45197.666666666664</v>
      </c>
      <c r="BF13" s="473">
        <v>45201.524305555555</v>
      </c>
      <c r="BG13" s="473">
        <v>45201.658333333333</v>
      </c>
      <c r="BH13" s="473">
        <v>45201.666666666664</v>
      </c>
      <c r="BI13" s="473">
        <v>45201.666666666664</v>
      </c>
      <c r="BJ13" s="473">
        <f t="shared" si="13"/>
        <v>45203.375</v>
      </c>
      <c r="BK13" s="473">
        <v>45208.583333333336</v>
      </c>
      <c r="BL13" s="473">
        <v>45208.75</v>
      </c>
      <c r="BM13" s="480">
        <v>45208.649305555555</v>
      </c>
      <c r="BN13" s="473">
        <v>45209.763888888891</v>
      </c>
      <c r="BO13" s="473">
        <v>45211.75</v>
      </c>
      <c r="BP13" s="473">
        <v>45211.993055555555</v>
      </c>
      <c r="BQ13" s="473">
        <v>45212.013888888891</v>
      </c>
      <c r="BR13" s="473">
        <v>45212.048611111109</v>
      </c>
      <c r="BS13" s="473">
        <v>45212.309027777781</v>
      </c>
      <c r="BV13" s="481">
        <f t="shared" si="3"/>
        <v>102.83333333325572</v>
      </c>
      <c r="BW13" s="481">
        <f t="shared" si="4"/>
        <v>3.2166666666744277</v>
      </c>
      <c r="BX13" s="481">
        <f t="shared" si="5"/>
        <v>41.000000000058208</v>
      </c>
      <c r="BY13" s="481">
        <f t="shared" si="11"/>
        <v>24.333333333372138</v>
      </c>
      <c r="BZ13" s="482">
        <f t="shared" si="6"/>
        <v>5.8333333333139308</v>
      </c>
      <c r="CA13" s="482">
        <f t="shared" si="7"/>
        <v>6.2500000001164153</v>
      </c>
      <c r="CB13" s="483">
        <f t="shared" si="8"/>
        <v>7.6444444444496185</v>
      </c>
      <c r="CC13" s="483">
        <f t="shared" si="9"/>
        <v>20.225694444445253</v>
      </c>
      <c r="CD13" s="484">
        <f t="shared" si="10"/>
        <v>0.37795708154530511</v>
      </c>
    </row>
    <row r="14" spans="1:84" s="475" customFormat="1">
      <c r="A14" s="474">
        <f t="shared" si="12"/>
        <v>45201.701388888891</v>
      </c>
      <c r="B14" s="475" t="s">
        <v>228</v>
      </c>
      <c r="C14" s="475" t="s">
        <v>229</v>
      </c>
      <c r="D14" s="475" t="s">
        <v>197</v>
      </c>
      <c r="E14" s="476" t="s">
        <v>3085</v>
      </c>
      <c r="G14" s="472">
        <v>45202.666666666664</v>
      </c>
      <c r="H14" s="472">
        <v>45202.662499999999</v>
      </c>
      <c r="I14" s="475" t="s">
        <v>231</v>
      </c>
      <c r="J14" s="475" t="s">
        <v>192</v>
      </c>
      <c r="K14" s="475" t="s">
        <v>192</v>
      </c>
      <c r="L14" s="475" t="s">
        <v>3290</v>
      </c>
      <c r="M14" s="530"/>
      <c r="N14" s="475" t="s">
        <v>307</v>
      </c>
      <c r="O14" s="475" t="s">
        <v>308</v>
      </c>
      <c r="P14" s="667" t="s">
        <v>742</v>
      </c>
      <c r="Q14" s="477">
        <f>3170*2.4</f>
        <v>7608</v>
      </c>
      <c r="R14" s="477">
        <f>7550+100</f>
        <v>7650</v>
      </c>
      <c r="S14" s="477">
        <f>7612.403-6688.261</f>
        <v>924.14199999999983</v>
      </c>
      <c r="T14" s="477"/>
      <c r="U14" s="401"/>
      <c r="V14" s="401"/>
      <c r="W14" s="401"/>
      <c r="X14" s="724">
        <f t="shared" si="14"/>
        <v>739.31359999999995</v>
      </c>
      <c r="Y14" s="726">
        <f t="shared" si="15"/>
        <v>184.82839999999999</v>
      </c>
      <c r="Z14" s="401"/>
      <c r="AA14" s="577"/>
      <c r="AZ14" s="473">
        <f t="shared" si="0"/>
        <v>45191.824305555558</v>
      </c>
      <c r="BA14" s="473">
        <f t="shared" si="1"/>
        <v>45214.180555555555</v>
      </c>
      <c r="BB14" s="479">
        <f t="shared" si="2"/>
        <v>22.35624999999709</v>
      </c>
      <c r="BC14" s="473">
        <v>45191.824305555558</v>
      </c>
      <c r="BD14" s="473">
        <v>45193.399305555555</v>
      </c>
      <c r="BE14" s="473">
        <v>45199.291666666664</v>
      </c>
      <c r="BF14" s="473">
        <v>45201.701388888891</v>
      </c>
      <c r="BG14" s="473">
        <v>45201.888888888891</v>
      </c>
      <c r="BH14" s="473">
        <v>45201.90625</v>
      </c>
      <c r="BI14" s="473">
        <v>45202.260416666664</v>
      </c>
      <c r="BJ14" s="473">
        <f t="shared" si="13"/>
        <v>45203.96875</v>
      </c>
      <c r="BK14" s="480">
        <v>45208.583333333336</v>
      </c>
      <c r="BL14" s="480">
        <v>45208.75</v>
      </c>
      <c r="BM14" s="480">
        <v>45208.614583333336</v>
      </c>
      <c r="BN14" s="473">
        <v>45210.354166666664</v>
      </c>
      <c r="BO14" s="473">
        <v>45214.069444444445</v>
      </c>
      <c r="BP14" s="473">
        <v>45214.104166666664</v>
      </c>
      <c r="BQ14" s="473">
        <v>45214.180555555555</v>
      </c>
      <c r="BR14" s="473">
        <v>45214.180555555555</v>
      </c>
      <c r="BS14" s="473">
        <v>45214.180555555555</v>
      </c>
      <c r="BV14" s="481">
        <f t="shared" si="3"/>
        <v>141.41666666662786</v>
      </c>
      <c r="BW14" s="481">
        <f t="shared" si="4"/>
        <v>4.5</v>
      </c>
      <c r="BX14" s="481">
        <f t="shared" si="5"/>
        <v>41.000000000058208</v>
      </c>
      <c r="BY14" s="481">
        <f t="shared" si="11"/>
        <v>38.499999999941792</v>
      </c>
      <c r="BZ14" s="482">
        <f t="shared" si="6"/>
        <v>0.83333333325572312</v>
      </c>
      <c r="CA14" s="482">
        <f t="shared" si="7"/>
        <v>0</v>
      </c>
      <c r="CB14" s="483">
        <f t="shared" si="8"/>
        <v>9.4270833333284827</v>
      </c>
      <c r="CC14" s="483">
        <f t="shared" si="9"/>
        <v>22.35624999999709</v>
      </c>
      <c r="CD14" s="484">
        <f t="shared" si="10"/>
        <v>0.42167551952271559</v>
      </c>
    </row>
    <row r="15" spans="1:84" s="475" customFormat="1">
      <c r="A15" s="474">
        <f t="shared" si="12"/>
        <v>45201.701388888891</v>
      </c>
      <c r="B15" s="475" t="s">
        <v>228</v>
      </c>
      <c r="C15" s="475" t="s">
        <v>229</v>
      </c>
      <c r="D15" s="475" t="s">
        <v>197</v>
      </c>
      <c r="E15" s="476" t="s">
        <v>3099</v>
      </c>
      <c r="G15" s="472">
        <v>45213.333333333336</v>
      </c>
      <c r="H15" s="472">
        <v>45213.3125</v>
      </c>
      <c r="I15" s="475" t="s">
        <v>231</v>
      </c>
      <c r="J15" s="475" t="s">
        <v>192</v>
      </c>
      <c r="K15" s="475" t="s">
        <v>192</v>
      </c>
      <c r="L15" s="475" t="s">
        <v>3290</v>
      </c>
      <c r="M15" s="530"/>
      <c r="N15" s="475" t="s">
        <v>307</v>
      </c>
      <c r="O15" s="475" t="s">
        <v>308</v>
      </c>
      <c r="P15" s="667" t="s">
        <v>742</v>
      </c>
      <c r="Q15" s="477">
        <f>3170*2.4</f>
        <v>7608</v>
      </c>
      <c r="R15" s="477">
        <f>7550+100</f>
        <v>7650</v>
      </c>
      <c r="S15" s="477">
        <f>6381.663</f>
        <v>6381.6629999999996</v>
      </c>
      <c r="T15" s="477"/>
      <c r="U15" s="401"/>
      <c r="V15" s="401"/>
      <c r="W15" s="401"/>
      <c r="X15" s="724">
        <f t="shared" si="14"/>
        <v>5105.3303999999998</v>
      </c>
      <c r="Y15" s="726">
        <f t="shared" si="15"/>
        <v>1276.3326</v>
      </c>
      <c r="Z15" s="401"/>
      <c r="AA15" s="577"/>
      <c r="AZ15" s="473">
        <f t="shared" si="0"/>
        <v>45191.824305555558</v>
      </c>
      <c r="BA15" s="473">
        <f t="shared" si="1"/>
        <v>45218.291666666664</v>
      </c>
      <c r="BB15" s="479">
        <f t="shared" si="2"/>
        <v>26.467361111106584</v>
      </c>
      <c r="BC15" s="473">
        <v>45191.824305555558</v>
      </c>
      <c r="BD15" s="473">
        <v>45193.399305555555</v>
      </c>
      <c r="BE15" s="473">
        <v>45199.291666666664</v>
      </c>
      <c r="BF15" s="473">
        <v>45201.701388888891</v>
      </c>
      <c r="BG15" s="473">
        <v>45201.888888888891</v>
      </c>
      <c r="BH15" s="473">
        <v>45201.90625</v>
      </c>
      <c r="BI15" s="473">
        <v>45202.260416666664</v>
      </c>
      <c r="BJ15" s="473">
        <f t="shared" si="13"/>
        <v>45203.96875</v>
      </c>
      <c r="BK15" s="480">
        <v>45208.583333333336</v>
      </c>
      <c r="BL15" s="480">
        <v>45208.75</v>
      </c>
      <c r="BM15" s="480">
        <v>45208.614583333336</v>
      </c>
      <c r="BN15" s="473">
        <v>45214.180555555555</v>
      </c>
      <c r="BO15" s="473">
        <f>BO28</f>
        <v>45214.833333333336</v>
      </c>
      <c r="BP15" s="473">
        <v>45217.694444444445</v>
      </c>
      <c r="BQ15" s="473">
        <v>45217.736111111109</v>
      </c>
      <c r="BR15" s="473">
        <v>45217.041666666664</v>
      </c>
      <c r="BS15" s="473">
        <v>45218.291666666664</v>
      </c>
      <c r="BV15" s="481">
        <f t="shared" si="3"/>
        <v>141.41666666662786</v>
      </c>
      <c r="BW15" s="481">
        <f t="shared" si="4"/>
        <v>4.5</v>
      </c>
      <c r="BX15" s="481">
        <f t="shared" si="5"/>
        <v>41.000000000058208</v>
      </c>
      <c r="BY15" s="481">
        <f t="shared" si="11"/>
        <v>130.33333333331393</v>
      </c>
      <c r="BZ15" s="482">
        <f t="shared" si="6"/>
        <v>68.666666666627862</v>
      </c>
      <c r="CA15" s="482">
        <f t="shared" si="7"/>
        <v>30</v>
      </c>
      <c r="CB15" s="483">
        <f t="shared" si="8"/>
        <v>17.329861111109494</v>
      </c>
      <c r="CC15" s="483">
        <f t="shared" si="9"/>
        <v>26.467361111106584</v>
      </c>
      <c r="CD15" s="484">
        <f t="shared" si="10"/>
        <v>0.65476346653377959</v>
      </c>
    </row>
    <row r="16" spans="1:84" s="475" customFormat="1">
      <c r="A16" s="474">
        <f t="shared" si="12"/>
        <v>45201.913194444445</v>
      </c>
      <c r="B16" s="475" t="s">
        <v>228</v>
      </c>
      <c r="C16" s="475" t="s">
        <v>229</v>
      </c>
      <c r="D16" s="475" t="s">
        <v>215</v>
      </c>
      <c r="E16" s="476" t="s">
        <v>3085</v>
      </c>
      <c r="F16" s="399"/>
      <c r="G16" s="472">
        <v>45202.666666666664</v>
      </c>
      <c r="H16" s="472">
        <v>45202.662499999999</v>
      </c>
      <c r="I16" s="475" t="s">
        <v>231</v>
      </c>
      <c r="J16" s="475" t="s">
        <v>192</v>
      </c>
      <c r="K16" s="475" t="s">
        <v>192</v>
      </c>
      <c r="L16" s="475" t="s">
        <v>3291</v>
      </c>
      <c r="M16" s="530"/>
      <c r="N16" s="475" t="s">
        <v>252</v>
      </c>
      <c r="O16" s="475" t="s">
        <v>253</v>
      </c>
      <c r="P16" s="667" t="s">
        <v>742</v>
      </c>
      <c r="Q16" s="477">
        <f>3107*2.4</f>
        <v>7456.7999999999993</v>
      </c>
      <c r="R16" s="477">
        <f>7500+100</f>
        <v>7600</v>
      </c>
      <c r="S16" s="477">
        <v>7583.5069999999996</v>
      </c>
      <c r="T16" s="477"/>
      <c r="U16" s="401"/>
      <c r="V16" s="401"/>
      <c r="W16" s="401"/>
      <c r="X16" s="724">
        <f t="shared" si="14"/>
        <v>6066.8055999999997</v>
      </c>
      <c r="Y16" s="726">
        <f t="shared" si="15"/>
        <v>1516.7013999999999</v>
      </c>
      <c r="Z16" s="401"/>
      <c r="AA16" s="577"/>
      <c r="AZ16" s="473">
        <f t="shared" si="0"/>
        <v>45193.385416666664</v>
      </c>
      <c r="BA16" s="473">
        <f t="shared" si="1"/>
        <v>45213.322916666672</v>
      </c>
      <c r="BB16" s="479">
        <f t="shared" si="2"/>
        <v>19.937500000007276</v>
      </c>
      <c r="BC16" s="473">
        <v>45193.385416666664</v>
      </c>
      <c r="BD16" s="473">
        <v>45193.753472222219</v>
      </c>
      <c r="BE16" s="473">
        <v>45198.142361111109</v>
      </c>
      <c r="BF16" s="473">
        <v>45201.913194444445</v>
      </c>
      <c r="BG16" s="473">
        <v>45202.090277777781</v>
      </c>
      <c r="BH16" s="473">
        <v>45202.097222222219</v>
      </c>
      <c r="BI16" s="473">
        <v>45202.097222222219</v>
      </c>
      <c r="BJ16" s="473">
        <f t="shared" si="13"/>
        <v>45203.805555555555</v>
      </c>
      <c r="BK16" s="480">
        <v>45208.583333333336</v>
      </c>
      <c r="BL16" s="480">
        <v>45208.75</v>
      </c>
      <c r="BM16" s="480">
        <v>45208.645833333336</v>
      </c>
      <c r="BN16" s="473">
        <v>45209.8125</v>
      </c>
      <c r="BO16" s="473">
        <v>45212.645833333336</v>
      </c>
      <c r="BP16" s="473">
        <v>45212.864583333336</v>
      </c>
      <c r="BQ16" s="473">
        <v>45212.885416666672</v>
      </c>
      <c r="BR16" s="473">
        <v>45213.142361111109</v>
      </c>
      <c r="BS16" s="473">
        <v>45213.322916666672</v>
      </c>
      <c r="BV16" s="481">
        <f t="shared" si="3"/>
        <v>105.33333333337214</v>
      </c>
      <c r="BW16" s="481">
        <f t="shared" si="4"/>
        <v>4.2500000000582077</v>
      </c>
      <c r="BX16" s="481">
        <f t="shared" si="5"/>
        <v>41.000000000058208</v>
      </c>
      <c r="BY16" s="481">
        <f t="shared" si="11"/>
        <v>25.5</v>
      </c>
      <c r="BZ16" s="482">
        <f t="shared" si="6"/>
        <v>5.25</v>
      </c>
      <c r="CA16" s="482">
        <f t="shared" si="7"/>
        <v>4.3333333334885538</v>
      </c>
      <c r="CB16" s="483">
        <f t="shared" si="8"/>
        <v>7.7361111111240461</v>
      </c>
      <c r="CC16" s="483">
        <f t="shared" si="9"/>
        <v>19.937500000007276</v>
      </c>
      <c r="CD16" s="484">
        <f t="shared" si="10"/>
        <v>0.38801811215655035</v>
      </c>
    </row>
    <row r="17" spans="1:84" s="475" customFormat="1">
      <c r="A17" s="474">
        <f t="shared" si="12"/>
        <v>45202.128472222219</v>
      </c>
      <c r="B17" s="475" t="s">
        <v>228</v>
      </c>
      <c r="C17" s="475" t="s">
        <v>229</v>
      </c>
      <c r="D17" s="475" t="s">
        <v>197</v>
      </c>
      <c r="E17" s="476" t="s">
        <v>3085</v>
      </c>
      <c r="F17" s="399"/>
      <c r="G17" s="472">
        <v>45202.666666666664</v>
      </c>
      <c r="H17" s="472">
        <v>45202.662499999999</v>
      </c>
      <c r="I17" s="475" t="s">
        <v>231</v>
      </c>
      <c r="J17" s="475" t="s">
        <v>192</v>
      </c>
      <c r="K17" s="475" t="s">
        <v>192</v>
      </c>
      <c r="L17" s="475" t="s">
        <v>3292</v>
      </c>
      <c r="M17" s="530"/>
      <c r="N17" s="475" t="s">
        <v>371</v>
      </c>
      <c r="O17" s="475" t="s">
        <v>372</v>
      </c>
      <c r="P17" s="399" t="s">
        <v>742</v>
      </c>
      <c r="Q17" s="477">
        <f>3117*2.4</f>
        <v>7480.7999999999993</v>
      </c>
      <c r="R17" s="477">
        <f>7500+100</f>
        <v>7600</v>
      </c>
      <c r="S17" s="477">
        <v>7563.8310000000001</v>
      </c>
      <c r="T17" s="477"/>
      <c r="U17" s="401"/>
      <c r="V17" s="401"/>
      <c r="W17" s="401"/>
      <c r="X17" s="724">
        <f t="shared" si="14"/>
        <v>6051.0648000000001</v>
      </c>
      <c r="Y17" s="726">
        <f t="shared" si="15"/>
        <v>1512.7662</v>
      </c>
      <c r="Z17" s="401"/>
      <c r="AA17" s="577"/>
      <c r="AZ17" s="473">
        <f t="shared" si="0"/>
        <v>45193.36041666667</v>
      </c>
      <c r="BA17" s="473">
        <f t="shared" si="1"/>
        <v>45211.634722222225</v>
      </c>
      <c r="BB17" s="479">
        <f t="shared" si="2"/>
        <v>18.274305555554747</v>
      </c>
      <c r="BC17" s="473">
        <v>45193.36041666667</v>
      </c>
      <c r="BD17" s="473">
        <v>45193.796527777777</v>
      </c>
      <c r="BE17" s="473">
        <v>45198.6875</v>
      </c>
      <c r="BF17" s="473">
        <v>45202.128472222219</v>
      </c>
      <c r="BG17" s="473">
        <v>45202.357638888891</v>
      </c>
      <c r="BH17" s="473">
        <v>45202.361111111109</v>
      </c>
      <c r="BI17" s="473">
        <v>45202.361111111109</v>
      </c>
      <c r="BJ17" s="473">
        <f t="shared" si="13"/>
        <v>45204.069444444445</v>
      </c>
      <c r="BK17" s="473">
        <v>45208.583333333336</v>
      </c>
      <c r="BL17" s="473">
        <v>45208.75</v>
      </c>
      <c r="BM17" s="473">
        <v>45208.590277777781</v>
      </c>
      <c r="BN17" s="473">
        <v>45209.748611111114</v>
      </c>
      <c r="BO17" s="473">
        <v>45211.041666666664</v>
      </c>
      <c r="BP17" s="473">
        <v>45211.25</v>
      </c>
      <c r="BQ17" s="473">
        <v>45211.270833333336</v>
      </c>
      <c r="BR17" s="473">
        <v>45211.291666666672</v>
      </c>
      <c r="BS17" s="473">
        <v>45211.634722222225</v>
      </c>
      <c r="BV17" s="481">
        <f t="shared" si="3"/>
        <v>117.3833333333605</v>
      </c>
      <c r="BW17" s="481">
        <f t="shared" si="4"/>
        <v>5.5000000001164153</v>
      </c>
      <c r="BX17" s="481">
        <f t="shared" si="5"/>
        <v>41.000000000058208</v>
      </c>
      <c r="BY17" s="481">
        <f t="shared" si="11"/>
        <v>23.966666666732635</v>
      </c>
      <c r="BZ17" s="482">
        <f t="shared" si="6"/>
        <v>5.0000000000582077</v>
      </c>
      <c r="CA17" s="482">
        <f t="shared" si="7"/>
        <v>8.2333333332790062</v>
      </c>
      <c r="CB17" s="483">
        <f t="shared" si="8"/>
        <v>8.3784722222335404</v>
      </c>
      <c r="CC17" s="483">
        <f t="shared" si="9"/>
        <v>18.274305555554747</v>
      </c>
      <c r="CD17" s="484">
        <f t="shared" si="10"/>
        <v>0.458483754513275</v>
      </c>
    </row>
    <row r="18" spans="1:84" s="475" customFormat="1">
      <c r="A18" s="474">
        <f t="shared" si="12"/>
        <v>45202.385416666664</v>
      </c>
      <c r="B18" s="475" t="s">
        <v>228</v>
      </c>
      <c r="C18" s="475" t="s">
        <v>229</v>
      </c>
      <c r="D18" s="475" t="s">
        <v>197</v>
      </c>
      <c r="E18" s="725" t="s">
        <v>3085</v>
      </c>
      <c r="F18" s="399"/>
      <c r="G18" s="472">
        <v>45202.666666666664</v>
      </c>
      <c r="H18" s="472">
        <v>45202.662499999999</v>
      </c>
      <c r="I18" s="475" t="s">
        <v>231</v>
      </c>
      <c r="J18" s="475" t="s">
        <v>192</v>
      </c>
      <c r="K18" s="475" t="s">
        <v>192</v>
      </c>
      <c r="L18" s="475" t="s">
        <v>3293</v>
      </c>
      <c r="M18" s="530"/>
      <c r="N18" s="475" t="s">
        <v>260</v>
      </c>
      <c r="O18" s="475" t="s">
        <v>261</v>
      </c>
      <c r="P18" s="399" t="s">
        <v>742</v>
      </c>
      <c r="Q18" s="477">
        <f>3107*2.4</f>
        <v>7456.7999999999993</v>
      </c>
      <c r="R18" s="477">
        <f>7500+100</f>
        <v>7600</v>
      </c>
      <c r="S18" s="477">
        <v>7509.7430000000004</v>
      </c>
      <c r="T18" s="477"/>
      <c r="U18" s="401"/>
      <c r="V18" s="401"/>
      <c r="W18" s="401"/>
      <c r="X18" s="724">
        <f t="shared" si="14"/>
        <v>6007.7944000000007</v>
      </c>
      <c r="Y18" s="726">
        <f t="shared" si="15"/>
        <v>1501.9486000000002</v>
      </c>
      <c r="Z18" s="401"/>
      <c r="AA18" s="577"/>
      <c r="AZ18" s="473">
        <f t="shared" si="0"/>
        <v>45193.6875</v>
      </c>
      <c r="BA18" s="473">
        <f t="shared" si="1"/>
        <v>45213.809027777781</v>
      </c>
      <c r="BB18" s="479">
        <f t="shared" si="2"/>
        <v>20.121527777781012</v>
      </c>
      <c r="BC18" s="473">
        <v>45193.6875</v>
      </c>
      <c r="BD18" s="473">
        <v>45194.805555555555</v>
      </c>
      <c r="BE18" s="473">
        <v>45199.618055555555</v>
      </c>
      <c r="BF18" s="473">
        <v>45202.385416666664</v>
      </c>
      <c r="BG18" s="473">
        <v>45202.524305555555</v>
      </c>
      <c r="BH18" s="473">
        <v>45202.538194444445</v>
      </c>
      <c r="BI18" s="473">
        <v>45202.538194444445</v>
      </c>
      <c r="BJ18" s="473">
        <f t="shared" si="13"/>
        <v>45204.246527777781</v>
      </c>
      <c r="BK18" s="480">
        <v>45208.583333333336</v>
      </c>
      <c r="BL18" s="480">
        <v>45208.75</v>
      </c>
      <c r="BM18" s="480">
        <v>45208.5</v>
      </c>
      <c r="BN18" s="473">
        <v>45209.805555555555</v>
      </c>
      <c r="BO18" s="473">
        <v>45212.927083333336</v>
      </c>
      <c r="BP18" s="473">
        <v>45213.364583333336</v>
      </c>
      <c r="BQ18" s="473">
        <v>45213.385416666672</v>
      </c>
      <c r="BR18" s="473">
        <v>45213.385416666672</v>
      </c>
      <c r="BS18" s="473">
        <v>45213.809027777781</v>
      </c>
      <c r="BV18" s="481">
        <f t="shared" si="3"/>
        <v>115.5</v>
      </c>
      <c r="BW18" s="481">
        <f t="shared" si="4"/>
        <v>3.3333333333721384</v>
      </c>
      <c r="BX18" s="481">
        <f t="shared" si="5"/>
        <v>41.000000000058208</v>
      </c>
      <c r="BY18" s="481">
        <f t="shared" si="11"/>
        <v>25.333333333313931</v>
      </c>
      <c r="BZ18" s="482">
        <f t="shared" si="6"/>
        <v>10.5</v>
      </c>
      <c r="CA18" s="482">
        <f t="shared" si="7"/>
        <v>10.166666666627862</v>
      </c>
      <c r="CB18" s="483">
        <f t="shared" si="8"/>
        <v>8.5763888888905058</v>
      </c>
      <c r="CC18" s="483">
        <f t="shared" si="9"/>
        <v>20.121527777781012</v>
      </c>
      <c r="CD18" s="484">
        <f t="shared" si="10"/>
        <v>0.42622950819673316</v>
      </c>
    </row>
    <row r="19" spans="1:84" s="475" customFormat="1">
      <c r="A19" s="474">
        <f t="shared" si="12"/>
        <v>45202.559027777781</v>
      </c>
      <c r="B19" s="475" t="s">
        <v>228</v>
      </c>
      <c r="C19" s="475" t="s">
        <v>229</v>
      </c>
      <c r="D19" s="475" t="s">
        <v>197</v>
      </c>
      <c r="E19" s="725" t="s">
        <v>3085</v>
      </c>
      <c r="F19" s="399"/>
      <c r="G19" s="472">
        <v>45202.666666666664</v>
      </c>
      <c r="H19" s="472">
        <v>45202.662499999999</v>
      </c>
      <c r="I19" s="475" t="s">
        <v>231</v>
      </c>
      <c r="J19" s="475" t="s">
        <v>192</v>
      </c>
      <c r="K19" s="475" t="s">
        <v>192</v>
      </c>
      <c r="L19" s="475" t="s">
        <v>3294</v>
      </c>
      <c r="M19" s="530"/>
      <c r="N19" s="475" t="s">
        <v>257</v>
      </c>
      <c r="O19" s="475" t="s">
        <v>258</v>
      </c>
      <c r="P19" s="399" t="s">
        <v>742</v>
      </c>
      <c r="Q19" s="477">
        <f>3139*2.4</f>
        <v>7533.5999999999995</v>
      </c>
      <c r="R19" s="477">
        <f>7550+100</f>
        <v>7650</v>
      </c>
      <c r="S19" s="477">
        <v>7500.3779999999997</v>
      </c>
      <c r="T19" s="477"/>
      <c r="U19" s="401"/>
      <c r="V19" s="401"/>
      <c r="W19" s="401"/>
      <c r="X19" s="724">
        <f t="shared" si="14"/>
        <v>6000.3024000000005</v>
      </c>
      <c r="Y19" s="726">
        <f t="shared" si="15"/>
        <v>1500.0756000000001</v>
      </c>
      <c r="Z19" s="401"/>
      <c r="AA19" s="577"/>
      <c r="AZ19" s="473">
        <f t="shared" si="0"/>
        <v>45192.458333333336</v>
      </c>
      <c r="BA19" s="473">
        <f t="shared" si="1"/>
        <v>45213.9375</v>
      </c>
      <c r="BB19" s="479">
        <f t="shared" si="2"/>
        <v>21.479166666664241</v>
      </c>
      <c r="BC19" s="473">
        <v>45192.458333333336</v>
      </c>
      <c r="BD19" s="473">
        <v>45195.347222222219</v>
      </c>
      <c r="BE19" s="473">
        <v>45200.895833333336</v>
      </c>
      <c r="BF19" s="473">
        <v>45202.559027777781</v>
      </c>
      <c r="BG19" s="473">
        <v>45202.725694444445</v>
      </c>
      <c r="BH19" s="473">
        <v>45202.729166666664</v>
      </c>
      <c r="BI19" s="473">
        <v>45202.729166666664</v>
      </c>
      <c r="BJ19" s="473">
        <f t="shared" si="13"/>
        <v>45204.4375</v>
      </c>
      <c r="BK19" s="473">
        <v>45208.583333333336</v>
      </c>
      <c r="BL19" s="473">
        <v>45208.75</v>
      </c>
      <c r="BM19" s="473">
        <v>45208.690972222219</v>
      </c>
      <c r="BN19" s="473">
        <v>45209.822916666664</v>
      </c>
      <c r="BO19" s="473">
        <v>45213.427083333336</v>
      </c>
      <c r="BP19" s="473">
        <v>45213.638888888891</v>
      </c>
      <c r="BQ19" s="473">
        <v>45213.659722222219</v>
      </c>
      <c r="BR19" s="473">
        <v>45213.659722222219</v>
      </c>
      <c r="BS19" s="473">
        <v>45213.9375</v>
      </c>
      <c r="BV19" s="481">
        <f t="shared" si="3"/>
        <v>133.16666666680248</v>
      </c>
      <c r="BW19" s="481">
        <f t="shared" si="4"/>
        <v>3.9999999999417923</v>
      </c>
      <c r="BX19" s="481">
        <f t="shared" si="5"/>
        <v>41.000000000058208</v>
      </c>
      <c r="BY19" s="481">
        <f t="shared" si="11"/>
        <v>25.749999999941792</v>
      </c>
      <c r="BZ19" s="482">
        <f t="shared" si="6"/>
        <v>5.0833333333139308</v>
      </c>
      <c r="CA19" s="482">
        <f t="shared" si="7"/>
        <v>6.6666666667442769</v>
      </c>
      <c r="CB19" s="483">
        <f t="shared" si="8"/>
        <v>8.9861111111167702</v>
      </c>
      <c r="CC19" s="483">
        <f t="shared" si="9"/>
        <v>21.479166666664241</v>
      </c>
      <c r="CD19" s="484">
        <f t="shared" si="10"/>
        <v>0.41836404785029452</v>
      </c>
    </row>
    <row r="20" spans="1:84" s="475" customFormat="1">
      <c r="A20" s="474">
        <f t="shared" si="12"/>
        <v>45202.75</v>
      </c>
      <c r="B20" s="475" t="s">
        <v>228</v>
      </c>
      <c r="C20" s="475" t="s">
        <v>229</v>
      </c>
      <c r="D20" s="475" t="s">
        <v>197</v>
      </c>
      <c r="E20" s="725" t="s">
        <v>3085</v>
      </c>
      <c r="F20" s="399"/>
      <c r="G20" s="472">
        <v>45202.666666666664</v>
      </c>
      <c r="H20" s="472">
        <v>45202.662499999999</v>
      </c>
      <c r="I20" s="475" t="s">
        <v>231</v>
      </c>
      <c r="J20" s="475" t="s">
        <v>192</v>
      </c>
      <c r="K20" s="475" t="s">
        <v>192</v>
      </c>
      <c r="L20" s="475" t="s">
        <v>3295</v>
      </c>
      <c r="M20" s="530"/>
      <c r="N20" s="475" t="s">
        <v>295</v>
      </c>
      <c r="O20" s="475" t="s">
        <v>296</v>
      </c>
      <c r="P20" s="399" t="s">
        <v>742</v>
      </c>
      <c r="Q20" s="477">
        <f>4118*2.4</f>
        <v>9883.1999999999989</v>
      </c>
      <c r="R20" s="477">
        <f>9900+100</f>
        <v>10000</v>
      </c>
      <c r="S20" s="477">
        <v>9959.5220000000008</v>
      </c>
      <c r="T20" s="477"/>
      <c r="U20" s="401"/>
      <c r="V20" s="401"/>
      <c r="W20" s="401"/>
      <c r="X20" s="724">
        <f t="shared" si="14"/>
        <v>7967.6176000000014</v>
      </c>
      <c r="Y20" s="726">
        <f t="shared" si="15"/>
        <v>1991.9044000000004</v>
      </c>
      <c r="Z20" s="401"/>
      <c r="AA20" s="577"/>
      <c r="AZ20" s="473">
        <f t="shared" si="0"/>
        <v>45193.365277777775</v>
      </c>
      <c r="BA20" s="473">
        <f t="shared" si="1"/>
        <v>45212.104861111111</v>
      </c>
      <c r="BB20" s="479">
        <f t="shared" si="2"/>
        <v>18.739583333335759</v>
      </c>
      <c r="BC20" s="473">
        <v>45193.365277777775</v>
      </c>
      <c r="BD20" s="473">
        <v>45195.341666666667</v>
      </c>
      <c r="BE20" s="473">
        <v>45200.520833333336</v>
      </c>
      <c r="BF20" s="473">
        <v>45202.75</v>
      </c>
      <c r="BG20" s="473">
        <v>45203.005555555559</v>
      </c>
      <c r="BH20" s="473">
        <v>45203.013888888891</v>
      </c>
      <c r="BI20" s="473">
        <v>45203.013888888891</v>
      </c>
      <c r="BJ20" s="473">
        <f t="shared" si="13"/>
        <v>45204.722222222226</v>
      </c>
      <c r="BK20" s="480">
        <v>45208.583333333336</v>
      </c>
      <c r="BL20" s="480">
        <v>45208.75</v>
      </c>
      <c r="BM20" s="480">
        <v>45208.5625</v>
      </c>
      <c r="BN20" s="473">
        <v>45209.756944444445</v>
      </c>
      <c r="BO20" s="473">
        <v>45211.3125</v>
      </c>
      <c r="BP20" s="473">
        <v>45211.6875</v>
      </c>
      <c r="BQ20" s="473">
        <v>45211.708333333336</v>
      </c>
      <c r="BR20" s="473">
        <v>45211.725694444445</v>
      </c>
      <c r="BS20" s="473">
        <v>45212.104861111111</v>
      </c>
      <c r="BV20" s="481">
        <f t="shared" si="3"/>
        <v>124.30000000004657</v>
      </c>
      <c r="BW20" s="481">
        <f t="shared" si="4"/>
        <v>6.1333333334187046</v>
      </c>
      <c r="BX20" s="481">
        <f t="shared" si="5"/>
        <v>41.000000000058208</v>
      </c>
      <c r="BY20" s="481">
        <f t="shared" si="11"/>
        <v>24.166666666686069</v>
      </c>
      <c r="BZ20" s="482">
        <f t="shared" si="6"/>
        <v>9</v>
      </c>
      <c r="CA20" s="482">
        <f t="shared" si="7"/>
        <v>9.0999999999767169</v>
      </c>
      <c r="CB20" s="483">
        <f t="shared" si="8"/>
        <v>8.9041666666744277</v>
      </c>
      <c r="CC20" s="483">
        <f t="shared" si="9"/>
        <v>18.739583333335759</v>
      </c>
      <c r="CD20" s="484">
        <f t="shared" si="10"/>
        <v>0.47515286270185347</v>
      </c>
    </row>
    <row r="21" spans="1:84" s="475" customFormat="1">
      <c r="A21" s="474">
        <f t="shared" si="12"/>
        <v>45203.038194444445</v>
      </c>
      <c r="B21" s="475" t="s">
        <v>228</v>
      </c>
      <c r="C21" s="475" t="s">
        <v>229</v>
      </c>
      <c r="D21" s="475" t="s">
        <v>197</v>
      </c>
      <c r="E21" s="725" t="s">
        <v>3085</v>
      </c>
      <c r="F21" s="399"/>
      <c r="G21" s="472">
        <v>45202.666666666664</v>
      </c>
      <c r="H21" s="472">
        <v>45202.662499999999</v>
      </c>
      <c r="I21" s="475" t="s">
        <v>231</v>
      </c>
      <c r="J21" s="475" t="s">
        <v>192</v>
      </c>
      <c r="K21" s="475" t="s">
        <v>192</v>
      </c>
      <c r="L21" s="475" t="s">
        <v>3296</v>
      </c>
      <c r="M21" s="530"/>
      <c r="N21" s="475" t="s">
        <v>2156</v>
      </c>
      <c r="O21" s="475" t="s">
        <v>1835</v>
      </c>
      <c r="P21" s="399" t="s">
        <v>742</v>
      </c>
      <c r="Q21" s="477">
        <f>3131*2.4</f>
        <v>7514.4</v>
      </c>
      <c r="R21" s="477">
        <f>7550+100</f>
        <v>7650</v>
      </c>
      <c r="S21" s="477">
        <v>7672.88</v>
      </c>
      <c r="T21" s="477"/>
      <c r="U21" s="401"/>
      <c r="V21" s="401"/>
      <c r="W21" s="401"/>
      <c r="X21" s="724">
        <f t="shared" si="14"/>
        <v>6138.3040000000001</v>
      </c>
      <c r="Y21" s="726">
        <f t="shared" si="15"/>
        <v>1534.576</v>
      </c>
      <c r="Z21" s="401"/>
      <c r="AA21" s="577"/>
      <c r="AZ21" s="473">
        <f t="shared" si="0"/>
        <v>45193.409722222219</v>
      </c>
      <c r="BA21" s="473">
        <f t="shared" si="1"/>
        <v>45214.506944444445</v>
      </c>
      <c r="BB21" s="479">
        <f t="shared" si="2"/>
        <v>21.097222222226264</v>
      </c>
      <c r="BC21" s="473">
        <v>45193.409722222219</v>
      </c>
      <c r="BD21" s="473">
        <v>45194.375</v>
      </c>
      <c r="BE21" s="473">
        <v>45202.125</v>
      </c>
      <c r="BF21" s="473">
        <v>45203.038194444445</v>
      </c>
      <c r="BG21" s="473">
        <v>45203.203472222223</v>
      </c>
      <c r="BH21" s="473">
        <v>45203.229166666664</v>
      </c>
      <c r="BI21" s="473">
        <v>45203.229166666664</v>
      </c>
      <c r="BJ21" s="473">
        <f t="shared" si="13"/>
        <v>45204.9375</v>
      </c>
      <c r="BK21" s="473">
        <v>45208.583333333336</v>
      </c>
      <c r="BL21" s="473">
        <v>45208.75</v>
      </c>
      <c r="BM21" s="480">
        <v>45208.618055555555</v>
      </c>
      <c r="BN21" s="473">
        <v>45209.993055555555</v>
      </c>
      <c r="BO21" s="473">
        <v>45213.701388888891</v>
      </c>
      <c r="BP21" s="473">
        <v>45214.006944444445</v>
      </c>
      <c r="BQ21" s="473">
        <v>45214.027777777781</v>
      </c>
      <c r="BR21" s="473">
        <v>45214.145833333336</v>
      </c>
      <c r="BS21" s="473">
        <v>45214.506944444445</v>
      </c>
      <c r="BV21" s="481">
        <f t="shared" si="3"/>
        <v>186</v>
      </c>
      <c r="BW21" s="481">
        <f t="shared" si="4"/>
        <v>3.9666666666744277</v>
      </c>
      <c r="BX21" s="481">
        <f t="shared" si="5"/>
        <v>41.000000000058208</v>
      </c>
      <c r="BY21" s="481">
        <f t="shared" si="11"/>
        <v>29.833333333313931</v>
      </c>
      <c r="BZ21" s="482">
        <f t="shared" si="6"/>
        <v>7.3333333333139308</v>
      </c>
      <c r="CA21" s="482">
        <f t="shared" si="7"/>
        <v>8.6666666666278616</v>
      </c>
      <c r="CB21" s="483">
        <f t="shared" si="8"/>
        <v>11.533333333332848</v>
      </c>
      <c r="CC21" s="483">
        <f t="shared" si="9"/>
        <v>21.097222222226264</v>
      </c>
      <c r="CD21" s="484">
        <f t="shared" si="10"/>
        <v>0.54667544437116922</v>
      </c>
    </row>
    <row r="22" spans="1:84" s="475" customFormat="1">
      <c r="A22" s="474">
        <f t="shared" si="12"/>
        <v>45203.252083333333</v>
      </c>
      <c r="B22" s="475" t="s">
        <v>228</v>
      </c>
      <c r="C22" s="475" t="s">
        <v>229</v>
      </c>
      <c r="D22" s="475" t="s">
        <v>197</v>
      </c>
      <c r="E22" s="725" t="s">
        <v>3085</v>
      </c>
      <c r="F22" s="399"/>
      <c r="G22" s="472">
        <v>45202.666666666664</v>
      </c>
      <c r="H22" s="472">
        <v>45202.662499999999</v>
      </c>
      <c r="I22" s="475" t="s">
        <v>231</v>
      </c>
      <c r="J22" s="475" t="s">
        <v>192</v>
      </c>
      <c r="K22" s="475" t="s">
        <v>192</v>
      </c>
      <c r="L22" s="475" t="s">
        <v>3297</v>
      </c>
      <c r="M22" s="530"/>
      <c r="N22" s="475" t="s">
        <v>205</v>
      </c>
      <c r="O22" s="475" t="s">
        <v>206</v>
      </c>
      <c r="P22" s="475" t="s">
        <v>742</v>
      </c>
      <c r="Q22" s="477">
        <f>3015*2.4</f>
        <v>7236</v>
      </c>
      <c r="R22" s="477">
        <f>7250+100</f>
        <v>7350</v>
      </c>
      <c r="S22" s="477">
        <v>7455.57</v>
      </c>
      <c r="T22" s="477"/>
      <c r="U22" s="401"/>
      <c r="V22" s="401"/>
      <c r="W22" s="401"/>
      <c r="X22" s="724">
        <f t="shared" si="14"/>
        <v>5964.4560000000001</v>
      </c>
      <c r="Y22" s="726">
        <f t="shared" si="15"/>
        <v>1491.114</v>
      </c>
      <c r="Z22" s="401"/>
      <c r="AA22" s="577"/>
      <c r="AZ22" s="473">
        <f t="shared" si="0"/>
        <v>45192.416666666664</v>
      </c>
      <c r="BA22" s="473">
        <f t="shared" si="1"/>
        <v>45212.8125</v>
      </c>
      <c r="BB22" s="479">
        <f t="shared" si="2"/>
        <v>20.395833333335759</v>
      </c>
      <c r="BC22" s="473">
        <v>45192.416666666664</v>
      </c>
      <c r="BD22" s="473">
        <v>45200.600694444445</v>
      </c>
      <c r="BE22" s="473">
        <v>45202.131944444445</v>
      </c>
      <c r="BF22" s="473">
        <v>45203.252083333333</v>
      </c>
      <c r="BG22" s="473">
        <v>45203.475694444445</v>
      </c>
      <c r="BH22" s="473">
        <v>45203.479166666664</v>
      </c>
      <c r="BI22" s="473">
        <v>45203.479166666664</v>
      </c>
      <c r="BJ22" s="473">
        <f t="shared" si="13"/>
        <v>45205.1875</v>
      </c>
      <c r="BK22" s="480">
        <v>45208.583333333336</v>
      </c>
      <c r="BL22" s="480">
        <v>45208.75</v>
      </c>
      <c r="BM22" s="480">
        <v>45208.604166666664</v>
      </c>
      <c r="BN22" s="473">
        <v>45209.770833333336</v>
      </c>
      <c r="BO22" s="473">
        <v>45212.055555555555</v>
      </c>
      <c r="BP22" s="473">
        <v>45212.277777777781</v>
      </c>
      <c r="BQ22" s="473">
        <v>45212.298611111109</v>
      </c>
      <c r="BR22" s="473">
        <v>45212.611111111109</v>
      </c>
      <c r="BS22" s="473">
        <v>45212.8125</v>
      </c>
      <c r="BV22" s="481">
        <f t="shared" si="3"/>
        <v>36.75</v>
      </c>
      <c r="BW22" s="481">
        <f t="shared" si="4"/>
        <v>5.3666666666977108</v>
      </c>
      <c r="BX22" s="481">
        <f t="shared" si="5"/>
        <v>41.000000000058208</v>
      </c>
      <c r="BY22" s="481">
        <f t="shared" si="11"/>
        <v>24.500000000058208</v>
      </c>
      <c r="BZ22" s="482">
        <f t="shared" si="6"/>
        <v>5.3333333334303461</v>
      </c>
      <c r="CA22" s="482">
        <f t="shared" si="7"/>
        <v>4.8333333333721384</v>
      </c>
      <c r="CB22" s="483">
        <f t="shared" si="8"/>
        <v>4.9076388889006921</v>
      </c>
      <c r="CC22" s="483">
        <f t="shared" si="9"/>
        <v>20.395833333335759</v>
      </c>
      <c r="CD22" s="484">
        <f t="shared" si="10"/>
        <v>0.24061967994607272</v>
      </c>
    </row>
    <row r="23" spans="1:84" s="475" customFormat="1">
      <c r="A23" s="474">
        <f t="shared" si="12"/>
        <v>45203.506944444445</v>
      </c>
      <c r="B23" s="475" t="s">
        <v>228</v>
      </c>
      <c r="C23" s="475" t="s">
        <v>229</v>
      </c>
      <c r="D23" s="475" t="s">
        <v>197</v>
      </c>
      <c r="E23" s="725" t="s">
        <v>3085</v>
      </c>
      <c r="F23" s="399"/>
      <c r="G23" s="472">
        <v>45202.666666666664</v>
      </c>
      <c r="H23" s="472">
        <v>45202.662499999999</v>
      </c>
      <c r="I23" s="475" t="s">
        <v>231</v>
      </c>
      <c r="J23" s="475" t="s">
        <v>192</v>
      </c>
      <c r="K23" s="475" t="s">
        <v>192</v>
      </c>
      <c r="L23" s="475" t="s">
        <v>3298</v>
      </c>
      <c r="M23" s="530"/>
      <c r="N23" s="475" t="s">
        <v>686</v>
      </c>
      <c r="O23" s="475" t="s">
        <v>1186</v>
      </c>
      <c r="P23" s="475" t="s">
        <v>742</v>
      </c>
      <c r="Q23" s="477">
        <f>3136*2.4</f>
        <v>7526.4</v>
      </c>
      <c r="R23" s="477">
        <f>7550+100</f>
        <v>7650</v>
      </c>
      <c r="S23" s="477">
        <v>7427.8029999999999</v>
      </c>
      <c r="T23" s="477"/>
      <c r="U23" s="401"/>
      <c r="V23" s="401"/>
      <c r="W23" s="401"/>
      <c r="X23" s="724">
        <f t="shared" si="14"/>
        <v>5942.2424000000001</v>
      </c>
      <c r="Y23" s="726">
        <f t="shared" si="15"/>
        <v>1485.5606</v>
      </c>
      <c r="Z23" s="575"/>
      <c r="AA23" s="577"/>
      <c r="AZ23" s="473">
        <f t="shared" si="0"/>
        <v>45193.270833333336</v>
      </c>
      <c r="BA23" s="473">
        <f t="shared" si="1"/>
        <v>45211.03125</v>
      </c>
      <c r="BB23" s="479">
        <f t="shared" si="2"/>
        <v>17.760416666664241</v>
      </c>
      <c r="BC23" s="473">
        <v>45193.270833333336</v>
      </c>
      <c r="BD23" s="473">
        <v>45200.555555555555</v>
      </c>
      <c r="BE23" s="473">
        <v>45202.138888888891</v>
      </c>
      <c r="BF23" s="473">
        <v>45203.506944444445</v>
      </c>
      <c r="BG23" s="473">
        <v>45203.640277777777</v>
      </c>
      <c r="BH23" s="473">
        <v>45203.645833333336</v>
      </c>
      <c r="BI23" s="473">
        <v>45203.645833333336</v>
      </c>
      <c r="BJ23" s="473">
        <f t="shared" si="13"/>
        <v>45205.354166666672</v>
      </c>
      <c r="BK23" s="480">
        <v>45208.583333333336</v>
      </c>
      <c r="BL23" s="480">
        <v>45208.75</v>
      </c>
      <c r="BM23" s="480">
        <v>45208.559027777781</v>
      </c>
      <c r="BN23" s="473">
        <v>45209.625</v>
      </c>
      <c r="BO23" s="473">
        <v>45210.5</v>
      </c>
      <c r="BP23" s="473">
        <v>45210.694444444445</v>
      </c>
      <c r="BQ23" s="473">
        <v>45210.715277777781</v>
      </c>
      <c r="BR23" s="473">
        <v>45210.739583333336</v>
      </c>
      <c r="BS23" s="473">
        <v>45211.03125</v>
      </c>
      <c r="BV23" s="481">
        <f t="shared" si="3"/>
        <v>38.000000000058208</v>
      </c>
      <c r="BW23" s="481">
        <f t="shared" si="4"/>
        <v>3.1999999999534339</v>
      </c>
      <c r="BX23" s="481">
        <f t="shared" si="5"/>
        <v>41.000000000058208</v>
      </c>
      <c r="BY23" s="481">
        <f t="shared" si="11"/>
        <v>21</v>
      </c>
      <c r="BZ23" s="482">
        <f t="shared" si="6"/>
        <v>4.6666666666860692</v>
      </c>
      <c r="CA23" s="482">
        <f t="shared" si="7"/>
        <v>6.9999999999417923</v>
      </c>
      <c r="CB23" s="483">
        <f t="shared" si="8"/>
        <v>4.7861111111124046</v>
      </c>
      <c r="CC23" s="483">
        <f t="shared" si="9"/>
        <v>17.760416666664241</v>
      </c>
      <c r="CD23" s="484">
        <f t="shared" si="10"/>
        <v>0.26948191593363846</v>
      </c>
    </row>
    <row r="24" spans="1:84" s="475" customFormat="1">
      <c r="A24" s="474">
        <f t="shared" si="12"/>
        <v>45205.711805555555</v>
      </c>
      <c r="B24" s="475" t="s">
        <v>228</v>
      </c>
      <c r="C24" s="475" t="s">
        <v>229</v>
      </c>
      <c r="D24" s="475" t="s">
        <v>197</v>
      </c>
      <c r="E24" s="725" t="s">
        <v>3090</v>
      </c>
      <c r="F24" s="399"/>
      <c r="G24" s="472">
        <v>45196.333333333336</v>
      </c>
      <c r="H24" s="472">
        <v>45196.212500000001</v>
      </c>
      <c r="I24" s="667" t="s">
        <v>243</v>
      </c>
      <c r="J24" s="475" t="s">
        <v>192</v>
      </c>
      <c r="K24" s="475" t="s">
        <v>192</v>
      </c>
      <c r="L24" s="475" t="s">
        <v>3299</v>
      </c>
      <c r="M24" s="530"/>
      <c r="N24" s="475" t="s">
        <v>334</v>
      </c>
      <c r="O24" s="475" t="s">
        <v>335</v>
      </c>
      <c r="P24" s="667" t="s">
        <v>240</v>
      </c>
      <c r="Q24" s="477">
        <f>3242 *2.4</f>
        <v>7780.7999999999993</v>
      </c>
      <c r="R24" s="477">
        <f>7800+100</f>
        <v>7900</v>
      </c>
      <c r="S24" s="477">
        <v>7248.2939999999999</v>
      </c>
      <c r="T24" s="477"/>
      <c r="U24" s="575"/>
      <c r="W24" s="575"/>
      <c r="X24" s="575"/>
      <c r="Y24" s="724">
        <f t="shared" ref="Y24:Y29" si="16">S24</f>
        <v>7248.2939999999999</v>
      </c>
      <c r="Z24" s="575"/>
      <c r="AA24" s="575"/>
      <c r="AZ24" s="473">
        <f t="shared" si="0"/>
        <v>45194.166666666664</v>
      </c>
      <c r="BA24" s="473">
        <f t="shared" si="1"/>
        <v>45215.649305555555</v>
      </c>
      <c r="BB24" s="479">
        <f t="shared" si="2"/>
        <v>21.482638888890506</v>
      </c>
      <c r="BC24" s="473">
        <v>45194.166666666664</v>
      </c>
      <c r="BD24" s="473">
        <v>45201.590277777781</v>
      </c>
      <c r="BE24" s="473">
        <v>45203.333333333336</v>
      </c>
      <c r="BF24" s="473">
        <v>45205.711805555555</v>
      </c>
      <c r="BG24" s="473">
        <v>45205.897916666669</v>
      </c>
      <c r="BH24" s="473">
        <v>45205.902777777781</v>
      </c>
      <c r="BI24" s="473">
        <v>45206.347222222219</v>
      </c>
      <c r="BJ24" s="473">
        <f t="shared" si="13"/>
        <v>45208.055555555555</v>
      </c>
      <c r="BK24" s="473">
        <v>45208.583333333336</v>
      </c>
      <c r="BL24" s="473">
        <v>45208.75</v>
      </c>
      <c r="BM24" s="473">
        <v>45208.607638888891</v>
      </c>
      <c r="BN24" s="473">
        <v>45210.479166666664</v>
      </c>
      <c r="BO24" s="473">
        <v>45214.743055555555</v>
      </c>
      <c r="BP24" s="473">
        <v>45214.090277777781</v>
      </c>
      <c r="BQ24" s="473">
        <v>45215.107638888891</v>
      </c>
      <c r="BR24" s="473">
        <v>45215.111111111109</v>
      </c>
      <c r="BS24" s="473">
        <v>45215.649305555555</v>
      </c>
      <c r="BV24" s="481">
        <f t="shared" si="3"/>
        <v>41.833333333313931</v>
      </c>
      <c r="BW24" s="481">
        <f t="shared" si="4"/>
        <v>4.4666666667326353</v>
      </c>
      <c r="BX24" s="481">
        <f t="shared" si="5"/>
        <v>41.000000000058208</v>
      </c>
      <c r="BY24" s="481">
        <f t="shared" si="11"/>
        <v>41.499999999941792</v>
      </c>
      <c r="BZ24" s="482">
        <f t="shared" si="6"/>
        <v>-15.666666666569654</v>
      </c>
      <c r="CA24" s="482">
        <f t="shared" si="7"/>
        <v>12.916666666686069</v>
      </c>
      <c r="CB24" s="483">
        <f t="shared" si="8"/>
        <v>5.2520833333401242</v>
      </c>
      <c r="CC24" s="483">
        <f t="shared" si="9"/>
        <v>21.482638888890506</v>
      </c>
      <c r="CD24" s="484">
        <f t="shared" si="10"/>
        <v>0.24448036204975626</v>
      </c>
    </row>
    <row r="25" spans="1:84" s="475" customFormat="1">
      <c r="A25" s="474">
        <f t="shared" si="12"/>
        <v>45205.927083333336</v>
      </c>
      <c r="B25" s="475" t="s">
        <v>228</v>
      </c>
      <c r="C25" s="475" t="s">
        <v>229</v>
      </c>
      <c r="D25" s="475" t="s">
        <v>197</v>
      </c>
      <c r="E25" s="725" t="s">
        <v>3090</v>
      </c>
      <c r="F25" s="399"/>
      <c r="G25" s="472">
        <v>45196.333333333336</v>
      </c>
      <c r="H25" s="472">
        <v>45196.212500000001</v>
      </c>
      <c r="I25" s="667" t="s">
        <v>243</v>
      </c>
      <c r="J25" s="475" t="s">
        <v>192</v>
      </c>
      <c r="K25" s="475" t="s">
        <v>192</v>
      </c>
      <c r="L25" s="475" t="s">
        <v>3300</v>
      </c>
      <c r="M25" s="530"/>
      <c r="N25" s="475" t="s">
        <v>2820</v>
      </c>
      <c r="O25" s="475" t="s">
        <v>381</v>
      </c>
      <c r="P25" s="667" t="s">
        <v>240</v>
      </c>
      <c r="Q25" s="477">
        <f>3100*2.4</f>
        <v>7440</v>
      </c>
      <c r="R25" s="477">
        <f>7450+100</f>
        <v>7550</v>
      </c>
      <c r="S25" s="477">
        <v>7210.4870000000001</v>
      </c>
      <c r="T25" s="477"/>
      <c r="U25" s="575"/>
      <c r="W25" s="575"/>
      <c r="X25" s="575"/>
      <c r="Y25" s="724">
        <f t="shared" si="16"/>
        <v>7210.4870000000001</v>
      </c>
      <c r="Z25" s="575"/>
      <c r="AA25" s="575"/>
      <c r="AZ25" s="473">
        <f t="shared" si="0"/>
        <v>45193.715277777781</v>
      </c>
      <c r="BA25" s="473">
        <f t="shared" si="1"/>
        <v>45215.375</v>
      </c>
      <c r="BB25" s="479">
        <f t="shared" si="2"/>
        <v>21.659722222218988</v>
      </c>
      <c r="BC25" s="473">
        <v>45193.715277777781</v>
      </c>
      <c r="BD25" s="473">
        <v>45202.784722222219</v>
      </c>
      <c r="BE25" s="473">
        <v>45204.375</v>
      </c>
      <c r="BF25" s="473">
        <v>45205.927083333336</v>
      </c>
      <c r="BG25" s="473">
        <v>45206.076388888891</v>
      </c>
      <c r="BH25" s="473">
        <v>45206.079861111109</v>
      </c>
      <c r="BI25" s="473">
        <v>45206.319444444445</v>
      </c>
      <c r="BJ25" s="473">
        <f t="shared" si="13"/>
        <v>45208.027777777781</v>
      </c>
      <c r="BK25" s="473">
        <v>45208.583333333336</v>
      </c>
      <c r="BL25" s="473">
        <v>45208.75</v>
      </c>
      <c r="BM25" s="473">
        <v>45208.572916666664</v>
      </c>
      <c r="BN25" s="473">
        <v>45210.315972222219</v>
      </c>
      <c r="BO25" s="473">
        <v>45213.673611111109</v>
      </c>
      <c r="BP25" s="473">
        <v>45214.670138888891</v>
      </c>
      <c r="BQ25" s="473">
        <v>45214.697916666664</v>
      </c>
      <c r="BR25" s="473">
        <v>45214.902777777781</v>
      </c>
      <c r="BS25" s="473">
        <v>45215.375</v>
      </c>
      <c r="BT25" s="475" t="s">
        <v>3301</v>
      </c>
      <c r="BV25" s="481">
        <f t="shared" si="3"/>
        <v>38.166666666744277</v>
      </c>
      <c r="BW25" s="481">
        <f t="shared" si="4"/>
        <v>3.5833333333139308</v>
      </c>
      <c r="BX25" s="481">
        <f t="shared" si="5"/>
        <v>41.000000000058208</v>
      </c>
      <c r="BY25" s="481">
        <f t="shared" si="11"/>
        <v>37.583333333255723</v>
      </c>
      <c r="BZ25" s="482">
        <f t="shared" si="6"/>
        <v>23.916666666744277</v>
      </c>
      <c r="CA25" s="482">
        <f t="shared" si="7"/>
        <v>11.333333333255723</v>
      </c>
      <c r="CB25" s="483">
        <f t="shared" si="8"/>
        <v>6.4826388888905058</v>
      </c>
      <c r="CC25" s="483">
        <f t="shared" si="9"/>
        <v>21.659722222218988</v>
      </c>
      <c r="CD25" s="484">
        <f t="shared" si="10"/>
        <v>0.29929464571990133</v>
      </c>
    </row>
    <row r="26" spans="1:84" s="475" customFormat="1">
      <c r="A26" s="474">
        <f t="shared" si="12"/>
        <v>45206.100694444445</v>
      </c>
      <c r="B26" s="475" t="s">
        <v>228</v>
      </c>
      <c r="C26" s="475" t="s">
        <v>229</v>
      </c>
      <c r="D26" s="475" t="s">
        <v>215</v>
      </c>
      <c r="E26" s="725" t="s">
        <v>3090</v>
      </c>
      <c r="F26" s="399"/>
      <c r="G26" s="472">
        <v>45196.333333333336</v>
      </c>
      <c r="H26" s="472">
        <v>45196.212500000001</v>
      </c>
      <c r="I26" s="667" t="s">
        <v>243</v>
      </c>
      <c r="J26" s="475" t="s">
        <v>192</v>
      </c>
      <c r="K26" s="475" t="s">
        <v>192</v>
      </c>
      <c r="L26" s="475" t="s">
        <v>3302</v>
      </c>
      <c r="M26" s="530"/>
      <c r="N26" s="475" t="s">
        <v>310</v>
      </c>
      <c r="O26" s="475" t="s">
        <v>219</v>
      </c>
      <c r="P26" s="667" t="s">
        <v>240</v>
      </c>
      <c r="Q26" s="477">
        <f>3087*2.4</f>
        <v>7408.7999999999993</v>
      </c>
      <c r="R26" s="477">
        <f>7450+100</f>
        <v>7550</v>
      </c>
      <c r="S26" s="477">
        <v>7001.7219999999998</v>
      </c>
      <c r="T26" s="477"/>
      <c r="U26" s="575"/>
      <c r="W26" s="575"/>
      <c r="X26" s="575"/>
      <c r="Y26" s="724">
        <f t="shared" si="16"/>
        <v>7001.7219999999998</v>
      </c>
      <c r="Z26" s="575"/>
      <c r="AA26" s="575"/>
      <c r="AZ26" s="473">
        <f t="shared" si="0"/>
        <v>45195.913194444445</v>
      </c>
      <c r="BA26" s="473">
        <f t="shared" si="1"/>
        <v>45214.923611111109</v>
      </c>
      <c r="BB26" s="479">
        <f t="shared" si="2"/>
        <v>19.010416666664241</v>
      </c>
      <c r="BC26" s="473">
        <v>45195.913194444445</v>
      </c>
      <c r="BD26" s="473">
        <v>45200.784722222219</v>
      </c>
      <c r="BE26" s="473">
        <v>45204.510416666664</v>
      </c>
      <c r="BF26" s="473">
        <v>45206.100694444445</v>
      </c>
      <c r="BG26" s="473">
        <v>45206.260416666664</v>
      </c>
      <c r="BH26" s="473">
        <v>45206.263888888891</v>
      </c>
      <c r="BI26" s="473">
        <v>45206.333333333336</v>
      </c>
      <c r="BJ26" s="473">
        <f t="shared" si="13"/>
        <v>45208.041666666672</v>
      </c>
      <c r="BK26" s="480">
        <v>45208.583333333336</v>
      </c>
      <c r="BL26" s="480">
        <v>45208.75</v>
      </c>
      <c r="BM26" s="480">
        <v>45208.628472222219</v>
      </c>
      <c r="BN26" s="473">
        <v>45210.305555555555</v>
      </c>
      <c r="BO26" s="473">
        <v>45213.930555555555</v>
      </c>
      <c r="BP26" s="473">
        <v>45214.246527777781</v>
      </c>
      <c r="BQ26" s="473">
        <v>45214.256944444445</v>
      </c>
      <c r="BR26" s="473">
        <v>45214.260416666664</v>
      </c>
      <c r="BS26" s="480">
        <v>45214.923611111109</v>
      </c>
      <c r="BV26" s="481">
        <f t="shared" si="3"/>
        <v>89.416666666686069</v>
      </c>
      <c r="BW26" s="481">
        <f t="shared" si="4"/>
        <v>3.8333333332557231</v>
      </c>
      <c r="BX26" s="481">
        <f t="shared" si="5"/>
        <v>41.000000000058208</v>
      </c>
      <c r="BY26" s="481">
        <f t="shared" si="11"/>
        <v>37.333333333313931</v>
      </c>
      <c r="BZ26" s="482">
        <f t="shared" si="6"/>
        <v>7.5833333334303461</v>
      </c>
      <c r="CA26" s="482">
        <f t="shared" si="7"/>
        <v>15.916666666686069</v>
      </c>
      <c r="CB26" s="483">
        <f t="shared" si="8"/>
        <v>8.1284722222262644</v>
      </c>
      <c r="CC26" s="483">
        <f t="shared" si="9"/>
        <v>19.010416666664241</v>
      </c>
      <c r="CD26" s="484">
        <f t="shared" si="10"/>
        <v>0.42757990867606627</v>
      </c>
    </row>
    <row r="27" spans="1:84" s="475" customFormat="1">
      <c r="A27" s="474">
        <f t="shared" si="12"/>
        <v>45206.319444444445</v>
      </c>
      <c r="B27" s="475" t="s">
        <v>228</v>
      </c>
      <c r="C27" s="475" t="s">
        <v>229</v>
      </c>
      <c r="D27" s="475" t="s">
        <v>215</v>
      </c>
      <c r="E27" s="725" t="s">
        <v>3090</v>
      </c>
      <c r="F27" s="399"/>
      <c r="G27" s="472">
        <v>45196.333333333336</v>
      </c>
      <c r="H27" s="472">
        <v>45196.212500000001</v>
      </c>
      <c r="I27" s="667" t="s">
        <v>243</v>
      </c>
      <c r="J27" s="475" t="s">
        <v>192</v>
      </c>
      <c r="K27" s="475" t="s">
        <v>192</v>
      </c>
      <c r="L27" s="475" t="s">
        <v>3303</v>
      </c>
      <c r="M27" s="530"/>
      <c r="N27" s="475" t="s">
        <v>422</v>
      </c>
      <c r="O27" s="475" t="s">
        <v>375</v>
      </c>
      <c r="P27" s="667" t="s">
        <v>240</v>
      </c>
      <c r="Q27" s="477">
        <f>3097*2.4</f>
        <v>7432.7999999999993</v>
      </c>
      <c r="R27" s="477">
        <f>7450+100</f>
        <v>7550</v>
      </c>
      <c r="S27" s="477">
        <v>6700.6509999999998</v>
      </c>
      <c r="T27" s="477"/>
      <c r="U27" s="575"/>
      <c r="W27" s="575"/>
      <c r="X27" s="575"/>
      <c r="Y27" s="724">
        <f t="shared" si="16"/>
        <v>6700.6509999999998</v>
      </c>
      <c r="Z27" s="577"/>
      <c r="AA27" s="575"/>
      <c r="AZ27" s="473">
        <f t="shared" si="0"/>
        <v>45196.263888888891</v>
      </c>
      <c r="BA27" s="473">
        <f t="shared" si="1"/>
        <v>45214.361111111109</v>
      </c>
      <c r="BB27" s="479">
        <f t="shared" si="2"/>
        <v>18.097222222218988</v>
      </c>
      <c r="BC27" s="473">
        <v>45196.263888888891</v>
      </c>
      <c r="BD27" s="473">
        <v>45203.524305555555</v>
      </c>
      <c r="BE27" s="473">
        <v>45205.052083333336</v>
      </c>
      <c r="BF27" s="473">
        <v>45206.319444444445</v>
      </c>
      <c r="BG27" s="473">
        <v>45206.451388888891</v>
      </c>
      <c r="BH27" s="473">
        <v>45206.458333333336</v>
      </c>
      <c r="BI27" s="473">
        <v>45206.458333333336</v>
      </c>
      <c r="BJ27" s="473">
        <f t="shared" si="13"/>
        <v>45208.166666666672</v>
      </c>
      <c r="BK27" s="480">
        <v>45208.583333333336</v>
      </c>
      <c r="BL27" s="480">
        <v>45208.75</v>
      </c>
      <c r="BM27" s="480">
        <v>45208.631944444445</v>
      </c>
      <c r="BN27" s="473">
        <v>45210.048611111109</v>
      </c>
      <c r="BO27" s="473">
        <v>45212.385416666664</v>
      </c>
      <c r="BP27" s="473">
        <v>45213.513888888891</v>
      </c>
      <c r="BQ27" s="473">
        <v>45213.534722222219</v>
      </c>
      <c r="BR27" s="473">
        <v>45213.788194444445</v>
      </c>
      <c r="BS27" s="473">
        <v>45214.361111111109</v>
      </c>
      <c r="BV27" s="481">
        <f t="shared" si="3"/>
        <v>36.666666666744277</v>
      </c>
      <c r="BW27" s="481">
        <f t="shared" si="4"/>
        <v>3.1666666666860692</v>
      </c>
      <c r="BX27" s="481">
        <f t="shared" si="5"/>
        <v>41.000000000058208</v>
      </c>
      <c r="BY27" s="481">
        <f t="shared" si="11"/>
        <v>31.166666666627862</v>
      </c>
      <c r="BZ27" s="482">
        <f t="shared" si="6"/>
        <v>27.083333333430346</v>
      </c>
      <c r="CA27" s="482">
        <f t="shared" si="7"/>
        <v>13.749999999941792</v>
      </c>
      <c r="CB27" s="483">
        <f t="shared" si="8"/>
        <v>6.3680555555620231</v>
      </c>
      <c r="CC27" s="483">
        <f t="shared" si="9"/>
        <v>18.097222222218988</v>
      </c>
      <c r="CD27" s="484">
        <f t="shared" si="10"/>
        <v>0.35188027628591528</v>
      </c>
    </row>
    <row r="28" spans="1:84" s="475" customFormat="1">
      <c r="A28" s="521">
        <f t="shared" si="12"/>
        <v>45207.238194444442</v>
      </c>
      <c r="B28" s="369" t="s">
        <v>228</v>
      </c>
      <c r="C28" s="369" t="s">
        <v>229</v>
      </c>
      <c r="D28" s="369" t="s">
        <v>197</v>
      </c>
      <c r="E28" s="661" t="s">
        <v>3093</v>
      </c>
      <c r="F28" s="369"/>
      <c r="G28" s="398">
        <v>45213.75</v>
      </c>
      <c r="H28" s="398">
        <v>45213.729166666664</v>
      </c>
      <c r="I28" s="661" t="s">
        <v>434</v>
      </c>
      <c r="J28" s="369" t="s">
        <v>192</v>
      </c>
      <c r="K28" s="369" t="s">
        <v>192</v>
      </c>
      <c r="L28" s="369" t="s">
        <v>3304</v>
      </c>
      <c r="M28" s="529"/>
      <c r="N28" s="369" t="s">
        <v>429</v>
      </c>
      <c r="O28" s="369" t="s">
        <v>430</v>
      </c>
      <c r="P28" s="661" t="s">
        <v>240</v>
      </c>
      <c r="Q28" s="520">
        <f>3145 *2.4</f>
        <v>7548</v>
      </c>
      <c r="R28" s="520">
        <f>7550+100</f>
        <v>7650</v>
      </c>
      <c r="S28" s="520">
        <v>6873.9380000000001</v>
      </c>
      <c r="T28" s="520"/>
      <c r="U28" s="759"/>
      <c r="V28" s="759"/>
      <c r="W28" s="759"/>
      <c r="X28" s="369"/>
      <c r="Y28" s="760">
        <f t="shared" si="16"/>
        <v>6873.9380000000001</v>
      </c>
      <c r="Z28" s="1173"/>
      <c r="AA28" s="650"/>
      <c r="AB28" s="369"/>
      <c r="AC28" s="369"/>
      <c r="AD28" s="369"/>
      <c r="AE28" s="369"/>
      <c r="AF28" s="369"/>
      <c r="AG28" s="369"/>
      <c r="AH28" s="369"/>
      <c r="AI28" s="369"/>
      <c r="AJ28" s="369"/>
      <c r="AK28" s="369"/>
      <c r="AL28" s="369"/>
      <c r="AM28" s="369"/>
      <c r="AN28" s="369"/>
      <c r="AO28" s="369"/>
      <c r="AP28" s="369"/>
      <c r="AQ28" s="369"/>
      <c r="AR28" s="369"/>
      <c r="AS28" s="369"/>
      <c r="AT28" s="369"/>
      <c r="AU28" s="369"/>
      <c r="AV28" s="369"/>
      <c r="AW28" s="369"/>
      <c r="AX28" s="369"/>
      <c r="AY28" s="369"/>
      <c r="AZ28" s="522">
        <f t="shared" si="0"/>
        <v>45202.583333333336</v>
      </c>
      <c r="BA28" s="522">
        <f t="shared" si="1"/>
        <v>45218.611111111109</v>
      </c>
      <c r="BB28" s="523">
        <f t="shared" si="2"/>
        <v>16.027777777773736</v>
      </c>
      <c r="BC28" s="522">
        <v>45202.583333333336</v>
      </c>
      <c r="BD28" s="522">
        <v>45204.472222222219</v>
      </c>
      <c r="BE28" s="522">
        <v>45206.104166666664</v>
      </c>
      <c r="BF28" s="522">
        <v>45207.238194444442</v>
      </c>
      <c r="BG28" s="522">
        <v>45207.413194444445</v>
      </c>
      <c r="BH28" s="522">
        <v>45207.420138888891</v>
      </c>
      <c r="BI28" s="522">
        <v>45207.420138888891</v>
      </c>
      <c r="BJ28" s="522">
        <f t="shared" si="13"/>
        <v>45209.128472222226</v>
      </c>
      <c r="BK28" s="527">
        <v>45209.583333333336</v>
      </c>
      <c r="BL28" s="527">
        <v>45209.75</v>
      </c>
      <c r="BM28" s="527">
        <v>45209.572916666664</v>
      </c>
      <c r="BN28" s="522">
        <v>45213.583333333336</v>
      </c>
      <c r="BO28" s="522">
        <v>45214.833333333336</v>
      </c>
      <c r="BP28" s="522">
        <v>45215.298611111109</v>
      </c>
      <c r="BQ28" s="522">
        <v>45215.3125</v>
      </c>
      <c r="BR28" s="522">
        <v>45215.996527777781</v>
      </c>
      <c r="BS28" s="522">
        <v>45218.611111111109</v>
      </c>
      <c r="BT28" s="369"/>
      <c r="BU28" s="369"/>
      <c r="BV28" s="525">
        <f t="shared" si="3"/>
        <v>39.166666666686069</v>
      </c>
      <c r="BW28" s="525">
        <f t="shared" si="4"/>
        <v>4.2000000000698492</v>
      </c>
      <c r="BX28" s="525">
        <f t="shared" si="5"/>
        <v>41.000000000058208</v>
      </c>
      <c r="BY28" s="525">
        <f t="shared" si="11"/>
        <v>92.000000000058208</v>
      </c>
      <c r="BZ28" s="526">
        <f t="shared" si="6"/>
        <v>11.166666666569654</v>
      </c>
      <c r="CA28" s="526">
        <f t="shared" si="7"/>
        <v>62.749999999883585</v>
      </c>
      <c r="CB28" s="304">
        <f t="shared" si="8"/>
        <v>10.428472222221899</v>
      </c>
      <c r="CC28" s="304">
        <f t="shared" si="9"/>
        <v>16.027777777773736</v>
      </c>
      <c r="CD28" s="305">
        <f t="shared" si="10"/>
        <v>0.65064991334503131</v>
      </c>
      <c r="CE28" s="369"/>
      <c r="CF28" s="369"/>
    </row>
    <row r="29" spans="1:84" s="475" customFormat="1">
      <c r="A29" s="521">
        <f t="shared" si="12"/>
        <v>45207.614583333336</v>
      </c>
      <c r="B29" s="369" t="s">
        <v>228</v>
      </c>
      <c r="C29" s="369" t="s">
        <v>229</v>
      </c>
      <c r="D29" s="369" t="s">
        <v>197</v>
      </c>
      <c r="E29" s="661" t="s">
        <v>3093</v>
      </c>
      <c r="F29" s="369"/>
      <c r="G29" s="398">
        <v>45213.75</v>
      </c>
      <c r="H29" s="398">
        <v>45213.729166666664</v>
      </c>
      <c r="I29" s="661" t="s">
        <v>434</v>
      </c>
      <c r="J29" s="369" t="s">
        <v>192</v>
      </c>
      <c r="K29" s="369" t="s">
        <v>192</v>
      </c>
      <c r="L29" s="369" t="s">
        <v>3305</v>
      </c>
      <c r="M29" s="529"/>
      <c r="N29" s="369" t="s">
        <v>355</v>
      </c>
      <c r="O29" s="369" t="s">
        <v>356</v>
      </c>
      <c r="P29" s="661" t="s">
        <v>240</v>
      </c>
      <c r="Q29" s="520">
        <f>3107*2.4</f>
        <v>7456.7999999999993</v>
      </c>
      <c r="R29" s="520">
        <f>7500+100</f>
        <v>7600</v>
      </c>
      <c r="S29" s="520">
        <v>6779.1840000000002</v>
      </c>
      <c r="T29" s="520"/>
      <c r="U29" s="759"/>
      <c r="V29" s="759"/>
      <c r="W29" s="759"/>
      <c r="X29" s="369"/>
      <c r="Y29" s="760">
        <f t="shared" si="16"/>
        <v>6779.1840000000002</v>
      </c>
      <c r="Z29" s="650"/>
      <c r="AA29" s="650"/>
      <c r="AB29" s="369"/>
      <c r="AC29" s="369"/>
      <c r="AD29" s="369"/>
      <c r="AE29" s="369"/>
      <c r="AF29" s="369"/>
      <c r="AG29" s="369"/>
      <c r="AH29" s="369"/>
      <c r="AI29" s="369"/>
      <c r="AJ29" s="369"/>
      <c r="AK29" s="369"/>
      <c r="AL29" s="369"/>
      <c r="AM29" s="369"/>
      <c r="AN29" s="369"/>
      <c r="AO29" s="369"/>
      <c r="AP29" s="369"/>
      <c r="AQ29" s="369"/>
      <c r="AR29" s="369"/>
      <c r="AS29" s="369"/>
      <c r="AT29" s="369"/>
      <c r="AU29" s="369"/>
      <c r="AV29" s="369"/>
      <c r="AW29" s="369"/>
      <c r="AX29" s="369"/>
      <c r="AY29" s="369"/>
      <c r="AZ29" s="522">
        <f t="shared" si="0"/>
        <v>45202.895833333336</v>
      </c>
      <c r="BA29" s="522">
        <f t="shared" si="1"/>
        <v>45219.190972222219</v>
      </c>
      <c r="BB29" s="523">
        <f t="shared" si="2"/>
        <v>16.29513888888323</v>
      </c>
      <c r="BC29" s="522">
        <v>45202.895833333336</v>
      </c>
      <c r="BD29" s="522">
        <v>45204.784722222219</v>
      </c>
      <c r="BE29" s="522">
        <v>45206.166666666664</v>
      </c>
      <c r="BF29" s="522">
        <v>45207.614583333336</v>
      </c>
      <c r="BG29" s="522">
        <v>45207.725694444445</v>
      </c>
      <c r="BH29" s="522">
        <v>45207.732638888891</v>
      </c>
      <c r="BI29" s="522">
        <v>45208.270833333336</v>
      </c>
      <c r="BJ29" s="522">
        <f t="shared" si="13"/>
        <v>45209.979166666672</v>
      </c>
      <c r="BK29" s="527">
        <v>45210.583333333336</v>
      </c>
      <c r="BL29" s="527">
        <v>45210.75</v>
      </c>
      <c r="BM29" s="527">
        <v>45210.579861111109</v>
      </c>
      <c r="BN29" s="522">
        <v>45214.291666666664</v>
      </c>
      <c r="BO29" s="522">
        <v>45216.013888888891</v>
      </c>
      <c r="BP29" s="522">
        <v>45216.416666666664</v>
      </c>
      <c r="BQ29" s="522">
        <v>45216.4375</v>
      </c>
      <c r="BR29" s="522">
        <v>45217.052083333336</v>
      </c>
      <c r="BS29" s="522">
        <v>45219.190972222219</v>
      </c>
      <c r="BT29" s="369"/>
      <c r="BU29" s="369"/>
      <c r="BV29" s="525">
        <f t="shared" si="3"/>
        <v>33.166666666686069</v>
      </c>
      <c r="BW29" s="525">
        <f t="shared" si="4"/>
        <v>2.6666666666278616</v>
      </c>
      <c r="BX29" s="525">
        <f t="shared" si="5"/>
        <v>41.000000000058208</v>
      </c>
      <c r="BY29" s="525">
        <f t="shared" si="11"/>
        <v>84.999999999941792</v>
      </c>
      <c r="BZ29" s="526">
        <f t="shared" si="6"/>
        <v>9.6666666665696539</v>
      </c>
      <c r="CA29" s="526">
        <f t="shared" si="7"/>
        <v>51.333333333197515</v>
      </c>
      <c r="CB29" s="304">
        <f t="shared" si="8"/>
        <v>9.2847222222117125</v>
      </c>
      <c r="CC29" s="304">
        <f t="shared" si="9"/>
        <v>16.29513888888323</v>
      </c>
      <c r="CD29" s="305">
        <f t="shared" si="10"/>
        <v>0.56978478585082082</v>
      </c>
      <c r="CE29" s="369"/>
      <c r="CF29" s="369"/>
    </row>
    <row r="30" spans="1:84" s="475" customFormat="1">
      <c r="A30" s="474">
        <f t="shared" si="12"/>
        <v>45207.993055555555</v>
      </c>
      <c r="B30" s="475" t="s">
        <v>228</v>
      </c>
      <c r="C30" s="475" t="s">
        <v>229</v>
      </c>
      <c r="D30" s="475" t="s">
        <v>215</v>
      </c>
      <c r="E30" s="667" t="s">
        <v>2605</v>
      </c>
      <c r="G30" s="472">
        <v>45215.458333333336</v>
      </c>
      <c r="H30" s="472">
        <v>45215.458333333336</v>
      </c>
      <c r="I30" s="667" t="s">
        <v>243</v>
      </c>
      <c r="J30" s="475" t="s">
        <v>192</v>
      </c>
      <c r="K30" s="475" t="s">
        <v>192</v>
      </c>
      <c r="L30" s="475" t="s">
        <v>3306</v>
      </c>
      <c r="M30" s="530"/>
      <c r="N30" s="475" t="s">
        <v>721</v>
      </c>
      <c r="O30" s="475" t="s">
        <v>1349</v>
      </c>
      <c r="P30" s="667" t="s">
        <v>235</v>
      </c>
      <c r="Q30" s="477">
        <f>3136*2.4</f>
        <v>7526.4</v>
      </c>
      <c r="R30" s="477">
        <f>7550+100</f>
        <v>7650</v>
      </c>
      <c r="S30" s="477">
        <v>5817.1729999999998</v>
      </c>
      <c r="T30" s="477"/>
      <c r="U30" s="577"/>
      <c r="V30" s="577"/>
      <c r="W30" s="577"/>
      <c r="X30" s="726">
        <f>S30</f>
        <v>5817.1729999999998</v>
      </c>
      <c r="Y30" s="577"/>
      <c r="Z30" s="577"/>
      <c r="AA30" s="577"/>
      <c r="AZ30" s="473">
        <f t="shared" si="0"/>
        <v>45203.229166666664</v>
      </c>
      <c r="BA30" s="473">
        <f t="shared" si="1"/>
        <v>45217.208333333336</v>
      </c>
      <c r="BB30" s="479">
        <f t="shared" si="2"/>
        <v>13.979166666671517</v>
      </c>
      <c r="BC30" s="473">
        <v>45203.229166666664</v>
      </c>
      <c r="BD30" s="473">
        <v>45204.46875</v>
      </c>
      <c r="BE30" s="473">
        <v>45205.833333333336</v>
      </c>
      <c r="BF30" s="473">
        <v>45207.993055555555</v>
      </c>
      <c r="BG30" s="473">
        <v>45208.149305555555</v>
      </c>
      <c r="BH30" s="473">
        <v>45208.159722222219</v>
      </c>
      <c r="BI30" s="473">
        <v>45208.159722222219</v>
      </c>
      <c r="BJ30" s="473">
        <f t="shared" si="13"/>
        <v>45209.868055555555</v>
      </c>
      <c r="BK30" s="480">
        <v>45210.583333333336</v>
      </c>
      <c r="BL30" s="480">
        <v>45210.75</v>
      </c>
      <c r="BM30" s="480">
        <v>45210.590277777781</v>
      </c>
      <c r="BN30" s="473">
        <v>45211.75</v>
      </c>
      <c r="BO30" s="473">
        <v>45216.371527777781</v>
      </c>
      <c r="BP30" s="473">
        <v>45216.65625</v>
      </c>
      <c r="BQ30" s="473">
        <v>45216.673611111109</v>
      </c>
      <c r="BR30" s="473">
        <v>45216.746527777781</v>
      </c>
      <c r="BS30" s="473">
        <v>45217.208333333336</v>
      </c>
      <c r="BV30" s="481">
        <f t="shared" si="3"/>
        <v>32.750000000058208</v>
      </c>
      <c r="BW30" s="481">
        <f t="shared" si="4"/>
        <v>3.75</v>
      </c>
      <c r="BX30" s="481">
        <f t="shared" si="5"/>
        <v>41.000000000058208</v>
      </c>
      <c r="BY30" s="481">
        <f t="shared" si="11"/>
        <v>24</v>
      </c>
      <c r="BZ30" s="482">
        <f t="shared" si="6"/>
        <v>6.8333333332557231</v>
      </c>
      <c r="CA30" s="482">
        <f t="shared" si="7"/>
        <v>11.083333333313931</v>
      </c>
      <c r="CB30" s="483">
        <f t="shared" si="8"/>
        <v>4.9756944444452529</v>
      </c>
      <c r="CC30" s="483">
        <f t="shared" si="9"/>
        <v>13.979166666671517</v>
      </c>
      <c r="CD30" s="484">
        <f t="shared" si="10"/>
        <v>0.35593641331339682</v>
      </c>
    </row>
    <row r="31" spans="1:84" s="475" customFormat="1">
      <c r="A31" s="474">
        <f t="shared" si="12"/>
        <v>45208.184027777781</v>
      </c>
      <c r="B31" s="475" t="s">
        <v>228</v>
      </c>
      <c r="C31" s="475" t="s">
        <v>229</v>
      </c>
      <c r="D31" s="475" t="s">
        <v>197</v>
      </c>
      <c r="E31" s="667" t="s">
        <v>2605</v>
      </c>
      <c r="F31" s="399"/>
      <c r="G31" s="472">
        <v>45215.458333333336</v>
      </c>
      <c r="H31" s="472">
        <v>45215.458333333336</v>
      </c>
      <c r="I31" s="667" t="s">
        <v>243</v>
      </c>
      <c r="J31" s="475" t="s">
        <v>192</v>
      </c>
      <c r="K31" s="475" t="s">
        <v>192</v>
      </c>
      <c r="L31" s="475" t="s">
        <v>3307</v>
      </c>
      <c r="M31" s="530"/>
      <c r="N31" s="475" t="s">
        <v>695</v>
      </c>
      <c r="O31" s="475" t="s">
        <v>281</v>
      </c>
      <c r="P31" s="667" t="s">
        <v>235</v>
      </c>
      <c r="Q31" s="477">
        <f>3102*2.4</f>
        <v>7444.7999999999993</v>
      </c>
      <c r="R31" s="477">
        <f>7450+100</f>
        <v>7550</v>
      </c>
      <c r="S31" s="477">
        <v>6423.12</v>
      </c>
      <c r="T31" s="477"/>
      <c r="U31" s="577"/>
      <c r="V31" s="577"/>
      <c r="W31" s="577"/>
      <c r="X31" s="580">
        <f>S31</f>
        <v>6423.12</v>
      </c>
      <c r="Y31" s="577"/>
      <c r="Z31" s="577"/>
      <c r="AA31" s="577"/>
      <c r="AZ31" s="473">
        <f t="shared" si="0"/>
        <v>45192.916666666664</v>
      </c>
      <c r="BA31" s="473">
        <f t="shared" si="1"/>
        <v>45217.444444444445</v>
      </c>
      <c r="BB31" s="479">
        <f t="shared" si="2"/>
        <v>24.527777777781012</v>
      </c>
      <c r="BC31" s="473">
        <v>45192.916666666664</v>
      </c>
      <c r="BD31" s="473">
        <v>45193.815972222219</v>
      </c>
      <c r="BE31" s="473">
        <v>45206.5625</v>
      </c>
      <c r="BF31" s="473">
        <v>45208.184027777781</v>
      </c>
      <c r="BG31" s="473">
        <v>45208.392361111109</v>
      </c>
      <c r="BH31" s="473">
        <v>45208.40625</v>
      </c>
      <c r="BI31" s="473">
        <v>45208.427083333336</v>
      </c>
      <c r="BJ31" s="473">
        <f t="shared" si="13"/>
        <v>45210.135416666672</v>
      </c>
      <c r="BK31" s="480">
        <v>45210.583333333336</v>
      </c>
      <c r="BL31" s="480">
        <v>45210.75</v>
      </c>
      <c r="BM31" s="480">
        <v>45210.586805555555</v>
      </c>
      <c r="BN31" s="473">
        <v>45212.104166666664</v>
      </c>
      <c r="BO31" s="473">
        <v>45216.722222222219</v>
      </c>
      <c r="BP31" s="473">
        <v>45216.902777777781</v>
      </c>
      <c r="BQ31" s="473">
        <v>45216.913194444445</v>
      </c>
      <c r="BR31" s="473">
        <v>45216.916666666664</v>
      </c>
      <c r="BS31" s="473">
        <v>45217.444444444445</v>
      </c>
      <c r="BV31" s="481">
        <f t="shared" si="3"/>
        <v>305.91666666674428</v>
      </c>
      <c r="BW31" s="481">
        <f t="shared" si="4"/>
        <v>4.9999999998835847</v>
      </c>
      <c r="BX31" s="481">
        <f t="shared" si="5"/>
        <v>41.000000000058208</v>
      </c>
      <c r="BY31" s="481">
        <f t="shared" si="11"/>
        <v>32.499999999941792</v>
      </c>
      <c r="BZ31" s="482">
        <f t="shared" si="6"/>
        <v>4.3333333334885538</v>
      </c>
      <c r="CA31" s="482">
        <f t="shared" si="7"/>
        <v>12.666666666744277</v>
      </c>
      <c r="CB31" s="483">
        <f t="shared" si="8"/>
        <v>16.725694444452529</v>
      </c>
      <c r="CC31" s="483">
        <f t="shared" si="9"/>
        <v>24.527777777781012</v>
      </c>
      <c r="CD31" s="484">
        <f t="shared" si="10"/>
        <v>0.68190826727090792</v>
      </c>
    </row>
    <row r="32" spans="1:84" s="475" customFormat="1">
      <c r="A32" s="474">
        <f t="shared" si="12"/>
        <v>45208.444444444445</v>
      </c>
      <c r="B32" s="475" t="s">
        <v>228</v>
      </c>
      <c r="C32" s="475" t="s">
        <v>229</v>
      </c>
      <c r="D32" s="475" t="s">
        <v>197</v>
      </c>
      <c r="E32" s="667" t="s">
        <v>3087</v>
      </c>
      <c r="G32" s="472">
        <v>45212.041666666664</v>
      </c>
      <c r="H32" s="472">
        <v>45212.041666666664</v>
      </c>
      <c r="I32" s="667" t="s">
        <v>231</v>
      </c>
      <c r="J32" s="475" t="s">
        <v>192</v>
      </c>
      <c r="K32" s="475" t="s">
        <v>192</v>
      </c>
      <c r="L32" s="475" t="s">
        <v>3308</v>
      </c>
      <c r="M32" s="530"/>
      <c r="N32" s="475" t="s">
        <v>292</v>
      </c>
      <c r="O32" s="475" t="s">
        <v>293</v>
      </c>
      <c r="P32" s="667" t="s">
        <v>240</v>
      </c>
      <c r="Q32" s="477">
        <f>3142*2.4</f>
        <v>7540.7999999999993</v>
      </c>
      <c r="R32" s="477">
        <f>7550+100</f>
        <v>7650</v>
      </c>
      <c r="S32" s="477">
        <v>6430.1450000000004</v>
      </c>
      <c r="T32" s="477"/>
      <c r="U32" s="577"/>
      <c r="W32" s="577"/>
      <c r="X32" s="577"/>
      <c r="Y32" s="724">
        <f>S32</f>
        <v>6430.1450000000004</v>
      </c>
      <c r="Z32" s="577"/>
      <c r="AA32" s="577"/>
      <c r="AZ32" s="473">
        <f t="shared" si="0"/>
        <v>45204.277777777781</v>
      </c>
      <c r="BA32" s="473">
        <f t="shared" si="1"/>
        <v>45214.326388888891</v>
      </c>
      <c r="BB32" s="479">
        <f t="shared" si="2"/>
        <v>10.048611111109494</v>
      </c>
      <c r="BC32" s="473">
        <v>45204.277777777781</v>
      </c>
      <c r="BD32" s="473">
        <v>45205.579861111109</v>
      </c>
      <c r="BE32" s="473">
        <v>45207.055555555555</v>
      </c>
      <c r="BF32" s="473">
        <v>45208.444444444445</v>
      </c>
      <c r="BG32" s="473">
        <v>45208.545138888891</v>
      </c>
      <c r="BH32" s="473">
        <v>45208.559027777781</v>
      </c>
      <c r="BI32" s="473">
        <v>45208.572916666664</v>
      </c>
      <c r="BJ32" s="473">
        <f t="shared" si="13"/>
        <v>45210.28125</v>
      </c>
      <c r="BK32" s="480">
        <v>45210.583333333336</v>
      </c>
      <c r="BL32" s="480">
        <v>45210.75</v>
      </c>
      <c r="BM32" s="480">
        <v>45210.572916666664</v>
      </c>
      <c r="BN32" s="473">
        <v>45211.541666666664</v>
      </c>
      <c r="BO32" s="473">
        <v>45213.451388888891</v>
      </c>
      <c r="BP32" s="473">
        <v>45213.777777777781</v>
      </c>
      <c r="BQ32" s="473">
        <v>45213.826388888891</v>
      </c>
      <c r="BR32" s="473">
        <v>45214.125</v>
      </c>
      <c r="BS32" s="473">
        <v>45214.326388888891</v>
      </c>
      <c r="BV32" s="481">
        <f t="shared" si="3"/>
        <v>35.416666666686069</v>
      </c>
      <c r="BW32" s="481">
        <f t="shared" si="4"/>
        <v>2.4166666666860692</v>
      </c>
      <c r="BX32" s="481">
        <f t="shared" si="5"/>
        <v>41.000000000058208</v>
      </c>
      <c r="BY32" s="481">
        <f t="shared" si="11"/>
        <v>18.999999999941792</v>
      </c>
      <c r="BZ32" s="482">
        <f t="shared" si="6"/>
        <v>7.8333333333721384</v>
      </c>
      <c r="CA32" s="482">
        <f t="shared" si="7"/>
        <v>4.8333333333721384</v>
      </c>
      <c r="CB32" s="483">
        <f t="shared" si="8"/>
        <v>4.6041666666715173</v>
      </c>
      <c r="CC32" s="483">
        <f t="shared" si="9"/>
        <v>10.048611111109494</v>
      </c>
      <c r="CD32" s="484">
        <f t="shared" si="10"/>
        <v>0.45818935729150323</v>
      </c>
    </row>
    <row r="33" spans="1:84" s="475" customFormat="1">
      <c r="A33" s="474">
        <f t="shared" si="12"/>
        <v>45208.979166666664</v>
      </c>
      <c r="B33" s="475" t="s">
        <v>228</v>
      </c>
      <c r="C33" s="475" t="s">
        <v>229</v>
      </c>
      <c r="D33" s="475" t="s">
        <v>215</v>
      </c>
      <c r="E33" s="667" t="s">
        <v>3087</v>
      </c>
      <c r="F33" s="667"/>
      <c r="G33" s="472">
        <v>45212.041666666664</v>
      </c>
      <c r="H33" s="472">
        <v>45212.041666666664</v>
      </c>
      <c r="I33" s="667" t="s">
        <v>231</v>
      </c>
      <c r="J33" s="475" t="s">
        <v>192</v>
      </c>
      <c r="K33" s="475" t="s">
        <v>192</v>
      </c>
      <c r="L33" s="475" t="s">
        <v>3309</v>
      </c>
      <c r="M33" s="530"/>
      <c r="N33" s="475" t="s">
        <v>222</v>
      </c>
      <c r="O33" s="475" t="s">
        <v>223</v>
      </c>
      <c r="P33" s="667" t="s">
        <v>240</v>
      </c>
      <c r="Q33" s="477">
        <f>3137*2.4</f>
        <v>7528.7999999999993</v>
      </c>
      <c r="R33" s="477">
        <f>7550+100</f>
        <v>7650</v>
      </c>
      <c r="S33" s="477">
        <v>7596.0640000000003</v>
      </c>
      <c r="T33" s="477"/>
      <c r="U33" s="577"/>
      <c r="W33" s="577"/>
      <c r="X33" s="577"/>
      <c r="Y33" s="724">
        <f>S33</f>
        <v>7596.0640000000003</v>
      </c>
      <c r="Z33" s="577"/>
      <c r="AA33" s="577"/>
      <c r="AZ33" s="473">
        <f t="shared" si="0"/>
        <v>45196.625</v>
      </c>
      <c r="BA33" s="473">
        <f t="shared" si="1"/>
        <v>45214.795138888891</v>
      </c>
      <c r="BB33" s="479">
        <f t="shared" si="2"/>
        <v>18.170138888890506</v>
      </c>
      <c r="BC33" s="473">
        <v>45196.625</v>
      </c>
      <c r="BD33" s="473">
        <v>45206.576388888891</v>
      </c>
      <c r="BE33" s="473">
        <v>45208.274305555555</v>
      </c>
      <c r="BF33" s="473">
        <v>45208.979166666664</v>
      </c>
      <c r="BG33" s="473">
        <v>45209.145833333336</v>
      </c>
      <c r="BH33" s="473">
        <v>45209.152777777781</v>
      </c>
      <c r="BI33" s="473">
        <v>45209.15625</v>
      </c>
      <c r="BJ33" s="473">
        <f t="shared" si="13"/>
        <v>45210.864583333336</v>
      </c>
      <c r="BK33" s="480">
        <v>45211.229166666664</v>
      </c>
      <c r="BL33" s="480">
        <v>45211.395833333328</v>
      </c>
      <c r="BM33" s="480">
        <v>45211.298611111109</v>
      </c>
      <c r="BN33" s="473">
        <v>45212.416666666664</v>
      </c>
      <c r="BO33" s="473">
        <v>45213.868055555555</v>
      </c>
      <c r="BP33" s="473">
        <v>45214.305555555555</v>
      </c>
      <c r="BQ33" s="473">
        <v>45214.333333333336</v>
      </c>
      <c r="BR33" s="473">
        <v>45214.590277777781</v>
      </c>
      <c r="BS33" s="473">
        <v>45214.795138888891</v>
      </c>
      <c r="BV33" s="481">
        <f t="shared" si="3"/>
        <v>40.749999999941792</v>
      </c>
      <c r="BW33" s="481">
        <f t="shared" si="4"/>
        <v>4.0000000001164153</v>
      </c>
      <c r="BX33" s="481">
        <f t="shared" si="5"/>
        <v>41.000000000058208</v>
      </c>
      <c r="BY33" s="481">
        <f t="shared" si="11"/>
        <v>24.500000000058208</v>
      </c>
      <c r="BZ33" s="482">
        <f t="shared" si="6"/>
        <v>10.5</v>
      </c>
      <c r="CA33" s="482">
        <f t="shared" si="7"/>
        <v>4.9166666666278616</v>
      </c>
      <c r="CB33" s="483">
        <f t="shared" si="8"/>
        <v>5.2361111111167702</v>
      </c>
      <c r="CC33" s="483">
        <f t="shared" si="9"/>
        <v>18.170138888890506</v>
      </c>
      <c r="CD33" s="484">
        <f t="shared" si="10"/>
        <v>0.28817122109717097</v>
      </c>
    </row>
    <row r="34" spans="1:84" s="475" customFormat="1">
      <c r="A34" s="474">
        <f t="shared" si="12"/>
        <v>45209.444444444445</v>
      </c>
      <c r="B34" s="475" t="s">
        <v>228</v>
      </c>
      <c r="C34" s="475" t="s">
        <v>229</v>
      </c>
      <c r="D34" s="475" t="s">
        <v>197</v>
      </c>
      <c r="E34" s="667" t="s">
        <v>3087</v>
      </c>
      <c r="G34" s="472">
        <v>45212.041666666664</v>
      </c>
      <c r="H34" s="472">
        <v>45212.041666666664</v>
      </c>
      <c r="I34" s="667" t="s">
        <v>231</v>
      </c>
      <c r="J34" s="475" t="s">
        <v>192</v>
      </c>
      <c r="K34" s="475" t="s">
        <v>192</v>
      </c>
      <c r="L34" s="475" t="s">
        <v>3310</v>
      </c>
      <c r="M34" s="530"/>
      <c r="N34" s="475" t="s">
        <v>2277</v>
      </c>
      <c r="O34" s="475" t="s">
        <v>2278</v>
      </c>
      <c r="P34" s="667" t="s">
        <v>240</v>
      </c>
      <c r="Q34" s="477">
        <f>3099 *2.4</f>
        <v>7437.5999999999995</v>
      </c>
      <c r="R34" s="477">
        <f>7500+100</f>
        <v>7600</v>
      </c>
      <c r="S34" s="477">
        <v>7449.6189999999997</v>
      </c>
      <c r="T34" s="477"/>
      <c r="U34" s="577"/>
      <c r="W34" s="577"/>
      <c r="X34" s="577"/>
      <c r="Y34" s="724">
        <f>S34</f>
        <v>7449.6189999999997</v>
      </c>
      <c r="Z34" s="577"/>
      <c r="AA34" s="577"/>
      <c r="AB34" s="575"/>
      <c r="AC34" s="575"/>
      <c r="AD34" s="575"/>
      <c r="AE34" s="575"/>
      <c r="AF34" s="575"/>
      <c r="AG34" s="575"/>
      <c r="AZ34" s="473">
        <f t="shared" si="0"/>
        <v>45206.520833333336</v>
      </c>
      <c r="BA34" s="473">
        <f t="shared" si="1"/>
        <v>45216.125</v>
      </c>
      <c r="BB34" s="479">
        <f t="shared" si="2"/>
        <v>9.6041666666642413</v>
      </c>
      <c r="BC34" s="473">
        <v>45206.520833333336</v>
      </c>
      <c r="BD34" s="473">
        <v>45207.326388888891</v>
      </c>
      <c r="BE34" s="473">
        <v>45208.875</v>
      </c>
      <c r="BF34" s="473">
        <v>45209.444444444445</v>
      </c>
      <c r="BG34" s="473">
        <v>45209.570138888892</v>
      </c>
      <c r="BH34" s="473">
        <v>45209.576388888891</v>
      </c>
      <c r="BI34" s="473">
        <v>45209.579861111109</v>
      </c>
      <c r="BJ34" s="473">
        <f t="shared" si="13"/>
        <v>45211.288194444445</v>
      </c>
      <c r="BK34" s="480">
        <v>45212.229166608799</v>
      </c>
      <c r="BL34" s="480">
        <v>45212.395833275463</v>
      </c>
      <c r="BM34" s="480">
        <v>45212.329861111109</v>
      </c>
      <c r="BN34" s="473">
        <v>45213.625</v>
      </c>
      <c r="BO34" s="473">
        <v>45214.993055555555</v>
      </c>
      <c r="BP34" s="473">
        <v>45215.694444444445</v>
      </c>
      <c r="BQ34" s="473">
        <v>45215.739583333336</v>
      </c>
      <c r="BR34" s="473">
        <v>45215.729166666664</v>
      </c>
      <c r="BS34" s="473">
        <v>45216.125</v>
      </c>
      <c r="BV34" s="481">
        <f t="shared" si="3"/>
        <v>37.166666666627862</v>
      </c>
      <c r="BW34" s="481">
        <f t="shared" si="4"/>
        <v>3.0166666667209938</v>
      </c>
      <c r="BX34" s="481">
        <f t="shared" si="5"/>
        <v>41.000000000058208</v>
      </c>
      <c r="BY34" s="481">
        <f t="shared" si="11"/>
        <v>29.500001388892997</v>
      </c>
      <c r="BZ34" s="482">
        <f t="shared" si="6"/>
        <v>16.833333333372138</v>
      </c>
      <c r="CA34" s="482">
        <f t="shared" si="7"/>
        <v>9.5000000000582077</v>
      </c>
      <c r="CB34" s="483">
        <f t="shared" si="8"/>
        <v>5.7090278356554336</v>
      </c>
      <c r="CC34" s="483">
        <f t="shared" si="9"/>
        <v>9.6041666666642413</v>
      </c>
      <c r="CD34" s="484">
        <f t="shared" si="10"/>
        <v>0.59443239937425163</v>
      </c>
    </row>
    <row r="35" spans="1:84" s="475" customFormat="1">
      <c r="A35" s="474">
        <f t="shared" si="12"/>
        <v>45209.600694444445</v>
      </c>
      <c r="B35" s="475" t="s">
        <v>228</v>
      </c>
      <c r="C35" s="475" t="s">
        <v>229</v>
      </c>
      <c r="D35" s="475" t="s">
        <v>197</v>
      </c>
      <c r="E35" s="667" t="s">
        <v>3087</v>
      </c>
      <c r="G35" s="472">
        <v>45212.041666666664</v>
      </c>
      <c r="H35" s="472">
        <v>45212.041666666664</v>
      </c>
      <c r="I35" s="667" t="s">
        <v>231</v>
      </c>
      <c r="J35" s="475" t="s">
        <v>192</v>
      </c>
      <c r="K35" s="475" t="s">
        <v>192</v>
      </c>
      <c r="L35" s="475" t="s">
        <v>3311</v>
      </c>
      <c r="M35" s="530"/>
      <c r="N35" s="475" t="s">
        <v>339</v>
      </c>
      <c r="O35" s="475" t="s">
        <v>506</v>
      </c>
      <c r="P35" s="667" t="s">
        <v>240</v>
      </c>
      <c r="Q35" s="477">
        <f>3071*2.4</f>
        <v>7370.4</v>
      </c>
      <c r="R35" s="477">
        <f>7400+100</f>
        <v>7500</v>
      </c>
      <c r="S35" s="477">
        <v>7642.8429999999998</v>
      </c>
      <c r="T35" s="477"/>
      <c r="U35" s="577"/>
      <c r="V35" s="577"/>
      <c r="W35" s="577"/>
      <c r="Y35" s="580">
        <f>S35</f>
        <v>7642.8429999999998</v>
      </c>
      <c r="Z35" s="577"/>
      <c r="AA35" s="577"/>
      <c r="AC35" s="575"/>
      <c r="AD35" s="575"/>
      <c r="AZ35" s="473">
        <f t="shared" si="0"/>
        <v>45205.625</v>
      </c>
      <c r="BA35" s="473">
        <f t="shared" si="1"/>
        <v>45215.364583333336</v>
      </c>
      <c r="BB35" s="479">
        <f t="shared" si="2"/>
        <v>9.7395833333357587</v>
      </c>
      <c r="BC35" s="473">
        <v>45205.625</v>
      </c>
      <c r="BD35" s="473">
        <v>45207.375</v>
      </c>
      <c r="BE35" s="473">
        <v>45209.076388888891</v>
      </c>
      <c r="BF35" s="473">
        <v>45209.600694444445</v>
      </c>
      <c r="BG35" s="473">
        <v>45209.744444444441</v>
      </c>
      <c r="BH35" s="473">
        <v>45209.746527777781</v>
      </c>
      <c r="BI35" s="473">
        <v>45209.756944444445</v>
      </c>
      <c r="BJ35" s="473">
        <f t="shared" si="13"/>
        <v>45211.465277777781</v>
      </c>
      <c r="BK35" s="480">
        <v>45211.229166666664</v>
      </c>
      <c r="BL35" s="480">
        <v>45211.395833333328</v>
      </c>
      <c r="BM35" s="480">
        <v>45211.267361111109</v>
      </c>
      <c r="BN35" s="473">
        <v>45212.354166666664</v>
      </c>
      <c r="BO35" s="473">
        <v>45214.388888888891</v>
      </c>
      <c r="BP35" s="473">
        <v>45214.875</v>
      </c>
      <c r="BQ35" s="473">
        <v>45214.951388888891</v>
      </c>
      <c r="BR35" s="473">
        <v>45215.15625</v>
      </c>
      <c r="BS35" s="473">
        <v>45215.364583333336</v>
      </c>
      <c r="BV35" s="481">
        <f t="shared" si="3"/>
        <v>40.833333333372138</v>
      </c>
      <c r="BW35" s="481">
        <f t="shared" si="4"/>
        <v>3.4499999998952262</v>
      </c>
      <c r="BX35" s="481">
        <f t="shared" si="5"/>
        <v>41.000000000058208</v>
      </c>
      <c r="BY35" s="481">
        <f t="shared" si="11"/>
        <v>23.000000000058208</v>
      </c>
      <c r="BZ35" s="482">
        <f t="shared" si="6"/>
        <v>11.666666666627862</v>
      </c>
      <c r="CA35" s="482">
        <f t="shared" si="7"/>
        <v>5.0000000000582077</v>
      </c>
      <c r="CB35" s="483">
        <f t="shared" si="8"/>
        <v>5.2062500000029104</v>
      </c>
      <c r="CC35" s="483">
        <f t="shared" si="9"/>
        <v>9.7395833333357587</v>
      </c>
      <c r="CD35" s="484">
        <f t="shared" si="10"/>
        <v>0.5345454545456203</v>
      </c>
    </row>
    <row r="36" spans="1:84" s="475" customFormat="1">
      <c r="A36" s="521">
        <f t="shared" si="12"/>
        <v>45211.210416666669</v>
      </c>
      <c r="B36" s="369" t="s">
        <v>228</v>
      </c>
      <c r="C36" s="369" t="s">
        <v>229</v>
      </c>
      <c r="D36" s="369" t="s">
        <v>197</v>
      </c>
      <c r="E36" s="661" t="s">
        <v>3104</v>
      </c>
      <c r="F36" s="271"/>
      <c r="G36" s="492">
        <v>45192.333333333336</v>
      </c>
      <c r="H36" s="492">
        <v>45192.347222222219</v>
      </c>
      <c r="I36" s="661" t="s">
        <v>231</v>
      </c>
      <c r="J36" s="369" t="s">
        <v>192</v>
      </c>
      <c r="K36" s="369" t="s">
        <v>192</v>
      </c>
      <c r="L36" s="369" t="s">
        <v>3312</v>
      </c>
      <c r="M36" s="529"/>
      <c r="N36" s="369" t="s">
        <v>437</v>
      </c>
      <c r="O36" s="369" t="s">
        <v>320</v>
      </c>
      <c r="P36" s="649" t="s">
        <v>742</v>
      </c>
      <c r="Q36" s="520">
        <f>3136*2.4</f>
        <v>7526.4</v>
      </c>
      <c r="R36" s="520">
        <f>7550+100</f>
        <v>7650</v>
      </c>
      <c r="S36" s="520">
        <v>7576.4889999999996</v>
      </c>
      <c r="T36" s="520"/>
      <c r="U36" s="759"/>
      <c r="V36" s="759"/>
      <c r="W36" s="759"/>
      <c r="X36" s="677">
        <f>S36*0.65</f>
        <v>4924.71785</v>
      </c>
      <c r="Y36" s="677">
        <f>S36*0.35</f>
        <v>2651.7711499999996</v>
      </c>
      <c r="Z36" s="369"/>
      <c r="AA36" s="369"/>
      <c r="AB36" s="1173"/>
      <c r="AC36" s="650"/>
      <c r="AD36" s="650"/>
      <c r="AE36" s="650"/>
      <c r="AF36" s="650"/>
      <c r="AG36" s="650"/>
      <c r="AH36" s="650"/>
      <c r="AI36" s="650"/>
      <c r="AJ36" s="650"/>
      <c r="AK36" s="650"/>
      <c r="AL36" s="650"/>
      <c r="AM36" s="650"/>
      <c r="AN36" s="650"/>
      <c r="AO36" s="650"/>
      <c r="AP36" s="650"/>
      <c r="AQ36" s="650"/>
      <c r="AR36" s="650"/>
      <c r="AS36" s="650"/>
      <c r="AT36" s="650"/>
      <c r="AU36" s="650"/>
      <c r="AV36" s="369"/>
      <c r="AW36" s="369"/>
      <c r="AX36" s="369"/>
      <c r="AY36" s="369"/>
      <c r="AZ36" s="522">
        <f t="shared" si="0"/>
        <v>45208.020833333336</v>
      </c>
      <c r="BA36" s="522">
        <f t="shared" si="1"/>
        <v>45218.510416666664</v>
      </c>
      <c r="BB36" s="523">
        <f t="shared" si="2"/>
        <v>10.489583333328483</v>
      </c>
      <c r="BC36" s="522">
        <v>45208.020833333336</v>
      </c>
      <c r="BD36" s="522">
        <v>45208.805555555555</v>
      </c>
      <c r="BE36" s="522">
        <v>45210.364583333336</v>
      </c>
      <c r="BF36" s="522">
        <v>45211.210416666669</v>
      </c>
      <c r="BG36" s="522">
        <v>45211.411805555559</v>
      </c>
      <c r="BH36" s="522">
        <v>45211.416666666664</v>
      </c>
      <c r="BI36" s="522">
        <v>45211.420138888891</v>
      </c>
      <c r="BJ36" s="522">
        <f t="shared" si="13"/>
        <v>45213.128472222226</v>
      </c>
      <c r="BK36" s="522">
        <v>45213.25</v>
      </c>
      <c r="BL36" s="522">
        <v>45213.416666666664</v>
      </c>
      <c r="BM36" s="522">
        <v>45213.361111111109</v>
      </c>
      <c r="BN36" s="522">
        <v>45214.489583333336</v>
      </c>
      <c r="BO36" s="522">
        <v>45217.552083333336</v>
      </c>
      <c r="BP36" s="522">
        <v>45217.809027777781</v>
      </c>
      <c r="BQ36" s="522">
        <v>45217.829861111109</v>
      </c>
      <c r="BR36" s="522">
        <v>45218.232638888891</v>
      </c>
      <c r="BS36" s="522">
        <v>45218.510416666664</v>
      </c>
      <c r="BT36" s="369"/>
      <c r="BU36" s="369"/>
      <c r="BV36" s="525">
        <f t="shared" si="3"/>
        <v>37.416666666744277</v>
      </c>
      <c r="BW36" s="525">
        <f t="shared" si="4"/>
        <v>4.8333333333721384</v>
      </c>
      <c r="BX36" s="525">
        <f t="shared" si="5"/>
        <v>41.000000000058208</v>
      </c>
      <c r="BY36" s="525">
        <f t="shared" si="11"/>
        <v>25.750000000116415</v>
      </c>
      <c r="BZ36" s="526">
        <f t="shared" si="6"/>
        <v>6.1666666666860692</v>
      </c>
      <c r="CA36" s="526">
        <f t="shared" si="7"/>
        <v>6.6666666665696539</v>
      </c>
      <c r="CB36" s="304">
        <f t="shared" si="8"/>
        <v>5.0763888888977817</v>
      </c>
      <c r="CC36" s="304">
        <f t="shared" si="9"/>
        <v>10.489583333328483</v>
      </c>
      <c r="CD36" s="305">
        <f t="shared" si="10"/>
        <v>0.48394571334102521</v>
      </c>
      <c r="CE36" s="369"/>
      <c r="CF36" s="369"/>
    </row>
    <row r="37" spans="1:84" s="475" customFormat="1">
      <c r="A37" s="521">
        <f t="shared" si="12"/>
        <v>45211.670138888891</v>
      </c>
      <c r="B37" s="369" t="s">
        <v>228</v>
      </c>
      <c r="C37" s="369" t="s">
        <v>229</v>
      </c>
      <c r="D37" s="369" t="s">
        <v>197</v>
      </c>
      <c r="E37" s="661" t="s">
        <v>3104</v>
      </c>
      <c r="F37" s="271"/>
      <c r="G37" s="492">
        <v>45192.333333333336</v>
      </c>
      <c r="H37" s="492">
        <v>45192.347222222219</v>
      </c>
      <c r="I37" s="661" t="s">
        <v>231</v>
      </c>
      <c r="J37" s="369" t="s">
        <v>192</v>
      </c>
      <c r="K37" s="369" t="s">
        <v>192</v>
      </c>
      <c r="L37" s="369" t="s">
        <v>3313</v>
      </c>
      <c r="M37" s="529"/>
      <c r="N37" s="369" t="s">
        <v>1313</v>
      </c>
      <c r="O37" s="369" t="s">
        <v>2486</v>
      </c>
      <c r="P37" s="649" t="s">
        <v>742</v>
      </c>
      <c r="Q37" s="520">
        <f>3071*2.4</f>
        <v>7370.4</v>
      </c>
      <c r="R37" s="520">
        <f>7550+100</f>
        <v>7650</v>
      </c>
      <c r="S37" s="520">
        <v>7602.5990000000002</v>
      </c>
      <c r="T37" s="520"/>
      <c r="U37" s="759"/>
      <c r="V37" s="759"/>
      <c r="W37" s="759"/>
      <c r="X37" s="677">
        <f>S37*0.65</f>
        <v>4941.6893500000006</v>
      </c>
      <c r="Y37" s="677">
        <f>S37*0.35</f>
        <v>2660.9096500000001</v>
      </c>
      <c r="Z37" s="369"/>
      <c r="AA37" s="369"/>
      <c r="AB37" s="369"/>
      <c r="AC37" s="369"/>
      <c r="AD37" s="369"/>
      <c r="AE37" s="369"/>
      <c r="AF37" s="369"/>
      <c r="AG37" s="369"/>
      <c r="AH37" s="369"/>
      <c r="AI37" s="369"/>
      <c r="AJ37" s="369"/>
      <c r="AK37" s="369"/>
      <c r="AL37" s="369"/>
      <c r="AM37" s="369"/>
      <c r="AN37" s="369"/>
      <c r="AO37" s="369"/>
      <c r="AP37" s="369"/>
      <c r="AQ37" s="369"/>
      <c r="AR37" s="369"/>
      <c r="AS37" s="369"/>
      <c r="AT37" s="369"/>
      <c r="AU37" s="369"/>
      <c r="AV37" s="369"/>
      <c r="AW37" s="369"/>
      <c r="AX37" s="369"/>
      <c r="AY37" s="369"/>
      <c r="AZ37" s="522">
        <f t="shared" si="0"/>
        <v>45207.208333333336</v>
      </c>
      <c r="BA37" s="522">
        <f t="shared" si="1"/>
        <v>45218.888888888891</v>
      </c>
      <c r="BB37" s="523">
        <f t="shared" si="2"/>
        <v>11.680555555554747</v>
      </c>
      <c r="BC37" s="522">
        <v>45207.208333333336</v>
      </c>
      <c r="BD37" s="522">
        <v>45208.809027777781</v>
      </c>
      <c r="BE37" s="522">
        <v>45210.75</v>
      </c>
      <c r="BF37" s="522">
        <v>45211.670138888891</v>
      </c>
      <c r="BG37" s="522">
        <v>45211.850694444445</v>
      </c>
      <c r="BH37" s="522">
        <v>45211.854166666664</v>
      </c>
      <c r="BI37" s="522">
        <v>45211.864583333336</v>
      </c>
      <c r="BJ37" s="522">
        <f t="shared" si="13"/>
        <v>45213.572916666672</v>
      </c>
      <c r="BK37" s="522">
        <v>45213.25</v>
      </c>
      <c r="BL37" s="522">
        <v>45213.416666666664</v>
      </c>
      <c r="BM37" s="522">
        <v>45213.413194444445</v>
      </c>
      <c r="BN37" s="522">
        <v>45214.895833333336</v>
      </c>
      <c r="BO37" s="522">
        <v>45218.201388888891</v>
      </c>
      <c r="BP37" s="522">
        <v>45218.430555555555</v>
      </c>
      <c r="BQ37" s="522">
        <v>45218.451388888891</v>
      </c>
      <c r="BR37" s="522">
        <v>45218.708333333336</v>
      </c>
      <c r="BS37" s="522">
        <v>45218.888888888891</v>
      </c>
      <c r="BT37" s="369"/>
      <c r="BU37" s="369"/>
      <c r="BV37" s="525">
        <f t="shared" si="3"/>
        <v>46.583333333255723</v>
      </c>
      <c r="BW37" s="525">
        <f t="shared" si="4"/>
        <v>4.3333333333139308</v>
      </c>
      <c r="BX37" s="525">
        <f t="shared" si="5"/>
        <v>41.000000000058208</v>
      </c>
      <c r="BY37" s="525">
        <f t="shared" si="11"/>
        <v>35.500000000116415</v>
      </c>
      <c r="BZ37" s="526">
        <f t="shared" si="6"/>
        <v>5.4999999999417923</v>
      </c>
      <c r="CA37" s="526">
        <f t="shared" si="7"/>
        <v>4.3333333333139308</v>
      </c>
      <c r="CB37" s="304">
        <f t="shared" si="8"/>
        <v>5.71875</v>
      </c>
      <c r="CC37" s="304">
        <f t="shared" si="9"/>
        <v>11.680555555554747</v>
      </c>
      <c r="CD37" s="305">
        <f t="shared" si="10"/>
        <v>0.48959571938172236</v>
      </c>
      <c r="CE37" s="369"/>
      <c r="CF37" s="369"/>
    </row>
    <row r="38" spans="1:84" s="475" customFormat="1">
      <c r="A38" s="474">
        <f t="shared" si="12"/>
        <v>45213.315972222219</v>
      </c>
      <c r="B38" s="475" t="s">
        <v>228</v>
      </c>
      <c r="C38" s="475" t="s">
        <v>229</v>
      </c>
      <c r="D38" s="475" t="s">
        <v>197</v>
      </c>
      <c r="E38" s="399" t="s">
        <v>3104</v>
      </c>
      <c r="G38" s="472">
        <v>45192.333333333336</v>
      </c>
      <c r="H38" s="472">
        <v>45192.347222222219</v>
      </c>
      <c r="I38" s="399" t="s">
        <v>231</v>
      </c>
      <c r="J38" s="475" t="s">
        <v>192</v>
      </c>
      <c r="K38" s="475" t="s">
        <v>192</v>
      </c>
      <c r="L38" s="475" t="s">
        <v>3314</v>
      </c>
      <c r="M38" s="530"/>
      <c r="N38" s="475" t="s">
        <v>1392</v>
      </c>
      <c r="O38" s="475" t="s">
        <v>365</v>
      </c>
      <c r="P38" s="399" t="s">
        <v>742</v>
      </c>
      <c r="Q38" s="477">
        <f>3142*2.4</f>
        <v>7540.7999999999993</v>
      </c>
      <c r="R38" s="477">
        <f>7550+100</f>
        <v>7650</v>
      </c>
      <c r="S38" s="477">
        <v>7485.7290000000003</v>
      </c>
      <c r="T38" s="477"/>
      <c r="U38" s="577"/>
      <c r="V38" s="577"/>
      <c r="W38" s="577"/>
      <c r="X38" s="724">
        <f>S38*0.55</f>
        <v>4117.1509500000002</v>
      </c>
      <c r="Y38" s="724">
        <f>S38*0.45</f>
        <v>3368.5780500000001</v>
      </c>
      <c r="AC38" s="401"/>
      <c r="AD38" s="401"/>
      <c r="AE38" s="401"/>
      <c r="AF38" s="577"/>
      <c r="AG38" s="577"/>
      <c r="AZ38" s="473">
        <f t="shared" si="0"/>
        <v>45209.215277777781</v>
      </c>
      <c r="BA38" s="473">
        <f t="shared" si="1"/>
        <v>45220.434027777781</v>
      </c>
      <c r="BB38" s="479">
        <f t="shared" si="2"/>
        <v>11.21875</v>
      </c>
      <c r="BC38" s="473">
        <v>45209.215277777781</v>
      </c>
      <c r="BD38" s="473">
        <v>45210.78125</v>
      </c>
      <c r="BE38" s="473">
        <v>45212.673611111109</v>
      </c>
      <c r="BF38" s="473">
        <v>45213.315972222219</v>
      </c>
      <c r="BG38" s="473">
        <v>45213.458333333336</v>
      </c>
      <c r="BH38" s="473">
        <v>45213.46875</v>
      </c>
      <c r="BI38" s="473">
        <v>45213.46875</v>
      </c>
      <c r="BJ38" s="473">
        <f t="shared" si="13"/>
        <v>45215.177083333336</v>
      </c>
      <c r="BK38" s="480">
        <v>45215.25</v>
      </c>
      <c r="BL38" s="480">
        <v>45215.416666666664</v>
      </c>
      <c r="BM38" s="480">
        <v>45215.336805555555</v>
      </c>
      <c r="BN38" s="473">
        <v>45216.809027777781</v>
      </c>
      <c r="BO38" s="473">
        <v>45219.722222222219</v>
      </c>
      <c r="BP38" s="473">
        <v>45220.020833333336</v>
      </c>
      <c r="BQ38" s="473">
        <v>45220.048611111109</v>
      </c>
      <c r="BR38" s="473">
        <v>45220.222222222219</v>
      </c>
      <c r="BS38" s="473">
        <v>45220.434027777781</v>
      </c>
      <c r="BV38" s="481">
        <f t="shared" si="3"/>
        <v>45.416666666627862</v>
      </c>
      <c r="BW38" s="481">
        <f t="shared" si="4"/>
        <v>3.4166666668024845</v>
      </c>
      <c r="BX38" s="481">
        <f t="shared" si="5"/>
        <v>41.000000000058208</v>
      </c>
      <c r="BY38" s="481">
        <f t="shared" si="11"/>
        <v>33.416666666802485</v>
      </c>
      <c r="BZ38" s="482">
        <f t="shared" si="6"/>
        <v>7.1666666668024845</v>
      </c>
      <c r="CA38" s="482">
        <f t="shared" si="7"/>
        <v>5.0833333334885538</v>
      </c>
      <c r="CB38" s="483">
        <f t="shared" si="8"/>
        <v>5.6458333333575865</v>
      </c>
      <c r="CC38" s="483">
        <f t="shared" si="9"/>
        <v>11.21875</v>
      </c>
      <c r="CD38" s="484">
        <f t="shared" si="10"/>
        <v>0.50324976787588516</v>
      </c>
    </row>
    <row r="39" spans="1:84" s="475" customFormat="1">
      <c r="A39" s="474">
        <f t="shared" si="12"/>
        <v>45214.041666666664</v>
      </c>
      <c r="B39" s="475" t="s">
        <v>228</v>
      </c>
      <c r="C39" s="475" t="s">
        <v>229</v>
      </c>
      <c r="D39" s="765" t="s">
        <v>1248</v>
      </c>
      <c r="E39" s="476" t="s">
        <v>3104</v>
      </c>
      <c r="G39" s="472">
        <v>45192.333333333336</v>
      </c>
      <c r="H39" s="472">
        <v>45192.347222222219</v>
      </c>
      <c r="I39" s="475" t="s">
        <v>231</v>
      </c>
      <c r="J39" s="475" t="s">
        <v>192</v>
      </c>
      <c r="K39" s="475" t="s">
        <v>192</v>
      </c>
      <c r="L39" s="667" t="s">
        <v>3315</v>
      </c>
      <c r="M39" s="530"/>
      <c r="N39" s="475" t="s">
        <v>2325</v>
      </c>
      <c r="O39" s="475" t="s">
        <v>2326</v>
      </c>
      <c r="P39" s="399" t="s">
        <v>742</v>
      </c>
      <c r="Q39" s="477">
        <f>3103*2.4</f>
        <v>7447.2</v>
      </c>
      <c r="R39" s="477">
        <v>7500</v>
      </c>
      <c r="S39" s="477">
        <v>7504.1319999999996</v>
      </c>
      <c r="T39" s="477"/>
      <c r="U39" s="577"/>
      <c r="V39" s="577"/>
      <c r="W39" s="577"/>
      <c r="X39" s="724">
        <f>S39*0.7</f>
        <v>5252.8923999999997</v>
      </c>
      <c r="Y39" s="724">
        <f>S39*0.3</f>
        <v>2251.2395999999999</v>
      </c>
      <c r="Z39" s="577"/>
      <c r="AA39" s="577"/>
      <c r="AC39" s="401"/>
      <c r="AD39" s="401"/>
      <c r="AE39" s="401"/>
      <c r="AF39" s="401"/>
      <c r="AG39" s="401"/>
      <c r="AH39" s="401"/>
      <c r="AI39" s="401"/>
      <c r="AJ39" s="401"/>
      <c r="AK39" s="401"/>
      <c r="AL39" s="401"/>
      <c r="AM39" s="401"/>
      <c r="AN39" s="401"/>
      <c r="AO39" s="401"/>
      <c r="AP39" s="401"/>
      <c r="AQ39" s="401"/>
      <c r="AR39" s="401"/>
      <c r="AS39" s="401"/>
      <c r="AT39" s="401"/>
      <c r="AU39" s="401"/>
      <c r="AZ39" s="473">
        <f t="shared" si="0"/>
        <v>45210.774305555555</v>
      </c>
      <c r="BA39" s="473">
        <f t="shared" si="1"/>
        <v>45220.833333333336</v>
      </c>
      <c r="BB39" s="479">
        <f t="shared" si="2"/>
        <v>10.059027777781012</v>
      </c>
      <c r="BC39" s="473">
        <v>45210.774305555555</v>
      </c>
      <c r="BD39" s="473">
        <v>45210.774305555555</v>
      </c>
      <c r="BE39" s="473">
        <v>45212.951388888891</v>
      </c>
      <c r="BF39" s="473">
        <v>45214.041666666664</v>
      </c>
      <c r="BG39" s="473">
        <v>45214.1875</v>
      </c>
      <c r="BH39" s="473">
        <v>45214.194444444445</v>
      </c>
      <c r="BI39" s="473">
        <v>45214.194444444445</v>
      </c>
      <c r="BJ39" s="473">
        <f t="shared" si="13"/>
        <v>45215.902777777781</v>
      </c>
      <c r="BK39" s="473">
        <v>45216.25</v>
      </c>
      <c r="BL39" s="473">
        <v>45216.416666666664</v>
      </c>
      <c r="BM39" s="480">
        <v>45216.402777777781</v>
      </c>
      <c r="BN39" s="473">
        <v>45219.3125</v>
      </c>
      <c r="BO39" s="473">
        <v>45220.576388888891</v>
      </c>
      <c r="BP39" s="473">
        <v>45220.8125</v>
      </c>
      <c r="BQ39" s="473">
        <v>45220.833333333336</v>
      </c>
      <c r="BR39" s="473">
        <v>45220.833333333336</v>
      </c>
      <c r="BS39" s="473">
        <v>45220.833333333336</v>
      </c>
      <c r="BV39" s="481">
        <f t="shared" si="3"/>
        <v>52.250000000058208</v>
      </c>
      <c r="BW39" s="481">
        <f t="shared" si="4"/>
        <v>3.5000000000582077</v>
      </c>
      <c r="BX39" s="481">
        <f t="shared" si="5"/>
        <v>41.000000000058208</v>
      </c>
      <c r="BY39" s="481">
        <f t="shared" si="11"/>
        <v>69.500000000058208</v>
      </c>
      <c r="BZ39" s="482">
        <f t="shared" si="6"/>
        <v>5.6666666666278616</v>
      </c>
      <c r="CA39" s="482">
        <f t="shared" si="7"/>
        <v>0</v>
      </c>
      <c r="CB39" s="483">
        <f t="shared" si="8"/>
        <v>7.1631944444525288</v>
      </c>
      <c r="CC39" s="483">
        <f t="shared" si="9"/>
        <v>10.059027777781012</v>
      </c>
      <c r="CD39" s="484">
        <f t="shared" si="10"/>
        <v>0.71211598205097171</v>
      </c>
    </row>
    <row r="40" spans="1:84" s="475" customFormat="1">
      <c r="A40" s="521">
        <f t="shared" si="12"/>
        <v>45213.5</v>
      </c>
      <c r="B40" s="369" t="s">
        <v>228</v>
      </c>
      <c r="C40" s="369" t="s">
        <v>229</v>
      </c>
      <c r="D40" s="369" t="s">
        <v>215</v>
      </c>
      <c r="E40" s="271" t="s">
        <v>3099</v>
      </c>
      <c r="F40" s="649"/>
      <c r="G40" s="492">
        <v>45213.333333333336</v>
      </c>
      <c r="H40" s="492">
        <v>45213.3125</v>
      </c>
      <c r="I40" s="661" t="s">
        <v>231</v>
      </c>
      <c r="J40" s="369" t="s">
        <v>192</v>
      </c>
      <c r="K40" s="369" t="s">
        <v>192</v>
      </c>
      <c r="L40" s="661" t="s">
        <v>3316</v>
      </c>
      <c r="M40" s="529"/>
      <c r="N40" s="369" t="s">
        <v>358</v>
      </c>
      <c r="O40" s="369" t="s">
        <v>359</v>
      </c>
      <c r="P40" s="369" t="s">
        <v>3317</v>
      </c>
      <c r="Q40" s="520">
        <f>3852*2.4</f>
        <v>9244.7999999999993</v>
      </c>
      <c r="R40" s="520">
        <v>9250</v>
      </c>
      <c r="S40" s="520">
        <v>9210.4189999999999</v>
      </c>
      <c r="T40" s="520"/>
      <c r="U40" s="520"/>
      <c r="V40" s="520"/>
      <c r="W40" s="759"/>
      <c r="X40" s="677">
        <f>S40*0.65</f>
        <v>5986.7723500000002</v>
      </c>
      <c r="Y40" s="677">
        <f>S40*0.35</f>
        <v>3223.6466499999997</v>
      </c>
      <c r="Z40" s="759"/>
      <c r="AA40" s="759"/>
      <c r="AB40" s="369"/>
      <c r="AC40" s="650"/>
      <c r="AD40" s="650"/>
      <c r="AE40" s="650"/>
      <c r="AF40" s="1173"/>
      <c r="AG40" s="1173"/>
      <c r="AH40" s="1173"/>
      <c r="AI40" s="1173"/>
      <c r="AJ40" s="369"/>
      <c r="AK40" s="369"/>
      <c r="AL40" s="369"/>
      <c r="AM40" s="369"/>
      <c r="AN40" s="369"/>
      <c r="AO40" s="369"/>
      <c r="AP40" s="369"/>
      <c r="AQ40" s="369"/>
      <c r="AR40" s="369"/>
      <c r="AS40" s="369"/>
      <c r="AT40" s="369"/>
      <c r="AU40" s="369"/>
      <c r="AV40" s="369"/>
      <c r="AW40" s="369"/>
      <c r="AX40" s="369"/>
      <c r="AY40" s="369"/>
      <c r="AZ40" s="522">
        <f t="shared" si="0"/>
        <v>45209.791666666664</v>
      </c>
      <c r="BA40" s="522">
        <f t="shared" si="1"/>
        <v>45218.385416666664</v>
      </c>
      <c r="BB40" s="523">
        <f t="shared" si="2"/>
        <v>8.59375</v>
      </c>
      <c r="BC40" s="522">
        <v>45209.791666666664</v>
      </c>
      <c r="BD40" s="522">
        <v>45211.524305555555</v>
      </c>
      <c r="BE40" s="522">
        <v>45213.208333333336</v>
      </c>
      <c r="BF40" s="522">
        <v>45213.5</v>
      </c>
      <c r="BG40" s="522">
        <v>45213.684027777781</v>
      </c>
      <c r="BH40" s="522">
        <v>45213.690972222219</v>
      </c>
      <c r="BI40" s="522">
        <v>45213.690972222219</v>
      </c>
      <c r="BJ40" s="522">
        <f t="shared" si="13"/>
        <v>45215.399305555555</v>
      </c>
      <c r="BK40" s="527">
        <v>45215.25</v>
      </c>
      <c r="BL40" s="527">
        <v>45215.416666666664</v>
      </c>
      <c r="BM40" s="527">
        <v>45215.3125</v>
      </c>
      <c r="BN40" s="522">
        <v>45217.479166666664</v>
      </c>
      <c r="BO40" s="522">
        <v>45217.763888888891</v>
      </c>
      <c r="BP40" s="522">
        <v>45218.034722222219</v>
      </c>
      <c r="BQ40" s="522">
        <v>45218.0625</v>
      </c>
      <c r="BR40" s="522">
        <v>45218.0625</v>
      </c>
      <c r="BS40" s="522">
        <v>45218.385416666664</v>
      </c>
      <c r="BT40" s="369"/>
      <c r="BU40" s="369"/>
      <c r="BV40" s="525">
        <f t="shared" si="3"/>
        <v>40.416666666744277</v>
      </c>
      <c r="BW40" s="525">
        <f t="shared" si="4"/>
        <v>4.4166666667442769</v>
      </c>
      <c r="BX40" s="525">
        <f t="shared" si="5"/>
        <v>41.000000000058208</v>
      </c>
      <c r="BY40" s="525">
        <f t="shared" si="11"/>
        <v>49.5</v>
      </c>
      <c r="BZ40" s="526">
        <f t="shared" si="6"/>
        <v>6.4999999998835847</v>
      </c>
      <c r="CA40" s="526">
        <f t="shared" si="7"/>
        <v>7.7499999999417923</v>
      </c>
      <c r="CB40" s="304">
        <f t="shared" si="8"/>
        <v>6.2326388888905058</v>
      </c>
      <c r="CC40" s="304">
        <f t="shared" si="9"/>
        <v>8.59375</v>
      </c>
      <c r="CD40" s="305">
        <f t="shared" si="10"/>
        <v>0.72525252525271344</v>
      </c>
      <c r="CE40" s="369"/>
      <c r="CF40" s="369"/>
    </row>
    <row r="41" spans="1:84" s="475" customFormat="1">
      <c r="A41" s="474">
        <f t="shared" si="12"/>
        <v>45214.458333333336</v>
      </c>
      <c r="B41" s="475" t="s">
        <v>228</v>
      </c>
      <c r="C41" s="475" t="s">
        <v>229</v>
      </c>
      <c r="D41" s="475" t="s">
        <v>215</v>
      </c>
      <c r="E41" s="476" t="s">
        <v>3099</v>
      </c>
      <c r="G41" s="472">
        <v>45213.333333333336</v>
      </c>
      <c r="H41" s="472">
        <v>45213.3125</v>
      </c>
      <c r="I41" s="667" t="s">
        <v>231</v>
      </c>
      <c r="J41" s="475" t="s">
        <v>192</v>
      </c>
      <c r="K41" s="475" t="s">
        <v>192</v>
      </c>
      <c r="L41" s="667" t="s">
        <v>3318</v>
      </c>
      <c r="M41" s="530"/>
      <c r="N41" s="475" t="s">
        <v>399</v>
      </c>
      <c r="O41" s="475" t="s">
        <v>275</v>
      </c>
      <c r="P41" s="475" t="s">
        <v>3317</v>
      </c>
      <c r="Q41" s="477">
        <f>3097*2.4</f>
        <v>7432.7999999999993</v>
      </c>
      <c r="R41" s="477">
        <f>7450+100</f>
        <v>7550</v>
      </c>
      <c r="S41" s="477">
        <v>7525.0569999999998</v>
      </c>
      <c r="T41" s="667"/>
      <c r="U41" s="581"/>
      <c r="V41" s="581"/>
      <c r="W41" s="581"/>
      <c r="X41" s="724">
        <f>S41*0.65</f>
        <v>4891.2870499999999</v>
      </c>
      <c r="Y41" s="724">
        <f>S41*0.35</f>
        <v>2633.7699499999999</v>
      </c>
      <c r="Z41" s="577"/>
      <c r="AA41" s="577"/>
      <c r="AB41" s="575"/>
      <c r="AC41" s="575"/>
      <c r="AD41" s="575"/>
      <c r="AE41" s="575"/>
      <c r="AF41" s="575"/>
      <c r="AG41" s="575"/>
      <c r="AH41" s="575"/>
      <c r="AI41" s="575"/>
      <c r="AZ41" s="473">
        <f t="shared" si="0"/>
        <v>45211.3125</v>
      </c>
      <c r="BA41" s="473">
        <f t="shared" si="1"/>
        <v>45219.6875</v>
      </c>
      <c r="BB41" s="479">
        <f t="shared" si="2"/>
        <v>8.375</v>
      </c>
      <c r="BC41" s="473">
        <v>45211.3125</v>
      </c>
      <c r="BD41" s="473">
        <v>45211.756944444445</v>
      </c>
      <c r="BE41" s="473">
        <v>45213.4375</v>
      </c>
      <c r="BF41" s="473">
        <v>45214.458333333336</v>
      </c>
      <c r="BG41" s="473">
        <v>45214.590277777781</v>
      </c>
      <c r="BH41" s="473">
        <v>45214.59375</v>
      </c>
      <c r="BI41" s="473">
        <v>45214.597222222219</v>
      </c>
      <c r="BJ41" s="473">
        <f t="shared" si="13"/>
        <v>45216.305555555555</v>
      </c>
      <c r="BK41" s="473">
        <v>45216.25</v>
      </c>
      <c r="BL41" s="473">
        <v>45216.416666666664</v>
      </c>
      <c r="BM41" s="473">
        <v>45216.288194444445</v>
      </c>
      <c r="BN41" s="480">
        <v>45217.625</v>
      </c>
      <c r="BO41" s="473">
        <f>BO55</f>
        <v>45223.048611111109</v>
      </c>
      <c r="BP41" s="473">
        <v>45219.270833333336</v>
      </c>
      <c r="BQ41" s="473">
        <v>45219.3125</v>
      </c>
      <c r="BR41" s="473">
        <v>45219.3125</v>
      </c>
      <c r="BS41" s="473">
        <v>45219.6875</v>
      </c>
      <c r="BV41" s="481">
        <f t="shared" si="3"/>
        <v>40.333333333313931</v>
      </c>
      <c r="BW41" s="481">
        <f t="shared" si="4"/>
        <v>3.1666666666860692</v>
      </c>
      <c r="BX41" s="481">
        <f t="shared" si="5"/>
        <v>41.000000000058208</v>
      </c>
      <c r="BY41" s="481">
        <f t="shared" si="11"/>
        <v>29.000000000058208</v>
      </c>
      <c r="BZ41" s="482">
        <f t="shared" si="6"/>
        <v>-90.666666666569654</v>
      </c>
      <c r="CA41" s="482">
        <f t="shared" si="7"/>
        <v>9</v>
      </c>
      <c r="CB41" s="483">
        <f t="shared" si="8"/>
        <v>1.3263888888977817</v>
      </c>
      <c r="CC41" s="483">
        <f t="shared" si="9"/>
        <v>8.375</v>
      </c>
      <c r="CD41" s="484">
        <f t="shared" si="10"/>
        <v>0.15837479270421273</v>
      </c>
    </row>
    <row r="42" spans="1:84" s="475" customFormat="1">
      <c r="A42" s="474">
        <f t="shared" si="12"/>
        <v>45214.225694444445</v>
      </c>
      <c r="B42" s="475" t="s">
        <v>228</v>
      </c>
      <c r="C42" s="475" t="s">
        <v>229</v>
      </c>
      <c r="D42" s="475" t="s">
        <v>197</v>
      </c>
      <c r="E42" s="476" t="s">
        <v>3099</v>
      </c>
      <c r="F42" s="399"/>
      <c r="G42" s="472">
        <v>45213.333333333336</v>
      </c>
      <c r="H42" s="472">
        <v>45213.3125</v>
      </c>
      <c r="I42" s="667" t="s">
        <v>231</v>
      </c>
      <c r="J42" s="475" t="s">
        <v>192</v>
      </c>
      <c r="K42" s="475" t="s">
        <v>192</v>
      </c>
      <c r="L42" s="667" t="s">
        <v>3319</v>
      </c>
      <c r="M42" s="530"/>
      <c r="N42" s="475" t="s">
        <v>377</v>
      </c>
      <c r="O42" s="475" t="s">
        <v>378</v>
      </c>
      <c r="P42" s="475" t="s">
        <v>3317</v>
      </c>
      <c r="Q42" s="477">
        <f>3271*2.4</f>
        <v>7850.4</v>
      </c>
      <c r="R42" s="477">
        <f>7900+100</f>
        <v>8000</v>
      </c>
      <c r="S42" s="477">
        <v>7916.8580000000002</v>
      </c>
      <c r="T42" s="477"/>
      <c r="U42" s="577"/>
      <c r="V42" s="577"/>
      <c r="W42" s="577"/>
      <c r="X42" s="724">
        <f>S42*0.65</f>
        <v>5145.9576999999999</v>
      </c>
      <c r="Y42" s="724">
        <f>S42*0.35</f>
        <v>2770.9002999999998</v>
      </c>
      <c r="Z42" s="577"/>
      <c r="AA42" s="577"/>
      <c r="AB42" s="581"/>
      <c r="AZ42" s="473">
        <f t="shared" si="0"/>
        <v>45210.833333333336</v>
      </c>
      <c r="BA42" s="473">
        <f t="shared" si="1"/>
        <v>45220.458333333336</v>
      </c>
      <c r="BB42" s="479">
        <f t="shared" si="2"/>
        <v>9.625</v>
      </c>
      <c r="BC42" s="473">
        <v>45210.833333333336</v>
      </c>
      <c r="BD42" s="473">
        <v>45211.75</v>
      </c>
      <c r="BE42" s="473">
        <v>45213.4375</v>
      </c>
      <c r="BF42" s="473">
        <v>45214.225694444445</v>
      </c>
      <c r="BG42" s="473">
        <v>45214.430555555555</v>
      </c>
      <c r="BH42" s="473">
        <v>45214.434027777781</v>
      </c>
      <c r="BI42" s="473">
        <v>45214.444444444445</v>
      </c>
      <c r="BJ42" s="473">
        <f t="shared" si="13"/>
        <v>45216.152777777781</v>
      </c>
      <c r="BK42" s="480">
        <v>45216.25</v>
      </c>
      <c r="BL42" s="480">
        <v>45216.416666666664</v>
      </c>
      <c r="BM42" s="480">
        <v>45216.329861111109</v>
      </c>
      <c r="BN42" s="473">
        <v>45218.041666666664</v>
      </c>
      <c r="BO42" s="473">
        <v>45219.354166666664</v>
      </c>
      <c r="BP42" s="473">
        <v>45219.548611111109</v>
      </c>
      <c r="BQ42" s="473">
        <v>45219.590277777781</v>
      </c>
      <c r="BR42" s="473">
        <v>45220.208333333336</v>
      </c>
      <c r="BS42" s="473">
        <v>45220.458333333336</v>
      </c>
      <c r="BV42" s="481">
        <f t="shared" si="3"/>
        <v>40.5</v>
      </c>
      <c r="BW42" s="481">
        <f t="shared" si="4"/>
        <v>4.9166666666278616</v>
      </c>
      <c r="BX42" s="481">
        <f t="shared" si="5"/>
        <v>41.000000000058208</v>
      </c>
      <c r="BY42" s="481">
        <f t="shared" si="11"/>
        <v>39</v>
      </c>
      <c r="BZ42" s="482">
        <f t="shared" si="6"/>
        <v>4.6666666666860692</v>
      </c>
      <c r="CA42" s="482">
        <f t="shared" si="7"/>
        <v>6</v>
      </c>
      <c r="CB42" s="483">
        <f t="shared" si="8"/>
        <v>5.6701388888905058</v>
      </c>
      <c r="CC42" s="483">
        <f t="shared" si="9"/>
        <v>9.625</v>
      </c>
      <c r="CD42" s="484">
        <f t="shared" si="10"/>
        <v>0.58910533910550711</v>
      </c>
    </row>
    <row r="43" spans="1:84" s="475" customFormat="1">
      <c r="A43" s="474">
        <f t="shared" si="12"/>
        <v>45214.618055555555</v>
      </c>
      <c r="B43" s="475" t="s">
        <v>228</v>
      </c>
      <c r="C43" s="475" t="s">
        <v>229</v>
      </c>
      <c r="D43" s="765" t="s">
        <v>1248</v>
      </c>
      <c r="E43" s="476" t="s">
        <v>3099</v>
      </c>
      <c r="F43" s="399"/>
      <c r="G43" s="472">
        <v>45213.333333333336</v>
      </c>
      <c r="H43" s="472">
        <v>45213.3125</v>
      </c>
      <c r="I43" s="667" t="s">
        <v>231</v>
      </c>
      <c r="J43" s="475" t="s">
        <v>192</v>
      </c>
      <c r="K43" s="475" t="s">
        <v>192</v>
      </c>
      <c r="L43" s="667" t="s">
        <v>3320</v>
      </c>
      <c r="M43" s="530"/>
      <c r="N43" s="475" t="s">
        <v>2322</v>
      </c>
      <c r="O43" s="475" t="s">
        <v>3321</v>
      </c>
      <c r="P43" s="475" t="s">
        <v>3317</v>
      </c>
      <c r="Q43" s="477">
        <f>3103*2.4</f>
        <v>7447.2</v>
      </c>
      <c r="R43" s="477">
        <v>7500</v>
      </c>
      <c r="S43" s="477">
        <v>7596.2</v>
      </c>
      <c r="T43" s="477"/>
      <c r="U43" s="577"/>
      <c r="V43" s="577"/>
      <c r="W43" s="577"/>
      <c r="X43" s="724">
        <f>S43*0.65</f>
        <v>4937.53</v>
      </c>
      <c r="Y43" s="724">
        <f>S43*0.35</f>
        <v>2658.6699999999996</v>
      </c>
      <c r="Z43" s="577"/>
      <c r="AA43" s="577"/>
      <c r="AC43" s="401"/>
      <c r="AD43" s="401"/>
      <c r="AE43" s="401"/>
      <c r="AZ43" s="473">
        <f t="shared" si="0"/>
        <v>45211.760416666664</v>
      </c>
      <c r="BA43" s="473">
        <f t="shared" si="1"/>
        <v>45219.84375</v>
      </c>
      <c r="BB43" s="479">
        <f t="shared" si="2"/>
        <v>8.0833333333357587</v>
      </c>
      <c r="BC43" s="473">
        <v>45211.760416666664</v>
      </c>
      <c r="BD43" s="473">
        <v>45211.760416666664</v>
      </c>
      <c r="BE43" s="473">
        <v>45213.972222222219</v>
      </c>
      <c r="BF43" s="473">
        <v>45214.618055555555</v>
      </c>
      <c r="BG43" s="473">
        <v>45214.740972222222</v>
      </c>
      <c r="BH43" s="473">
        <v>45214.746527777781</v>
      </c>
      <c r="BI43" s="473">
        <v>45214.75</v>
      </c>
      <c r="BJ43" s="473">
        <f t="shared" si="13"/>
        <v>45216.458333333336</v>
      </c>
      <c r="BK43" s="480">
        <v>45217.25</v>
      </c>
      <c r="BL43" s="480">
        <v>45217.416666666664</v>
      </c>
      <c r="BM43" s="480">
        <v>45217.392361111109</v>
      </c>
      <c r="BN43" s="473">
        <v>45219.020833333336</v>
      </c>
      <c r="BO43" s="473">
        <v>45219.638888888891</v>
      </c>
      <c r="BP43" s="473">
        <v>45219.809027777781</v>
      </c>
      <c r="BQ43" s="473">
        <v>45219.84375</v>
      </c>
      <c r="BR43" s="473">
        <v>45219.84375</v>
      </c>
      <c r="BS43" s="473">
        <v>45219.84375</v>
      </c>
      <c r="BV43" s="481">
        <f t="shared" si="3"/>
        <v>53.083333333313931</v>
      </c>
      <c r="BW43" s="481">
        <f t="shared" si="4"/>
        <v>2.9500000000116415</v>
      </c>
      <c r="BX43" s="481">
        <f t="shared" si="5"/>
        <v>41.000000000058208</v>
      </c>
      <c r="BY43" s="481">
        <f t="shared" si="11"/>
        <v>38.500000000116415</v>
      </c>
      <c r="BZ43" s="482">
        <f t="shared" si="6"/>
        <v>4.0833333333721384</v>
      </c>
      <c r="CA43" s="482">
        <f t="shared" si="7"/>
        <v>0</v>
      </c>
      <c r="CB43" s="483">
        <f t="shared" si="8"/>
        <v>5.8173611111196806</v>
      </c>
      <c r="CC43" s="483">
        <f t="shared" si="9"/>
        <v>8.0833333333357587</v>
      </c>
      <c r="CD43" s="484">
        <f t="shared" si="10"/>
        <v>0.71967353951974455</v>
      </c>
    </row>
    <row r="44" spans="1:84" s="475" customFormat="1">
      <c r="A44" s="474">
        <f t="shared" si="12"/>
        <v>45214.795138888891</v>
      </c>
      <c r="B44" s="475" t="s">
        <v>228</v>
      </c>
      <c r="C44" s="475" t="s">
        <v>229</v>
      </c>
      <c r="D44" s="475" t="s">
        <v>197</v>
      </c>
      <c r="E44" s="476" t="s">
        <v>3099</v>
      </c>
      <c r="F44" s="667"/>
      <c r="G44" s="472">
        <v>45213.333333333336</v>
      </c>
      <c r="H44" s="472">
        <v>45213.3125</v>
      </c>
      <c r="I44" s="667" t="s">
        <v>231</v>
      </c>
      <c r="J44" s="475" t="s">
        <v>192</v>
      </c>
      <c r="K44" s="475" t="s">
        <v>192</v>
      </c>
      <c r="L44" s="667" t="s">
        <v>3322</v>
      </c>
      <c r="M44" s="530"/>
      <c r="N44" s="475" t="s">
        <v>284</v>
      </c>
      <c r="O44" s="475" t="s">
        <v>285</v>
      </c>
      <c r="P44" s="667" t="s">
        <v>235</v>
      </c>
      <c r="Q44" s="477">
        <f>3852*2.4</f>
        <v>9244.7999999999993</v>
      </c>
      <c r="R44" s="477">
        <f>9250+100</f>
        <v>9350</v>
      </c>
      <c r="S44" s="477">
        <v>8925.0759999999991</v>
      </c>
      <c r="T44" s="477"/>
      <c r="U44" s="577"/>
      <c r="W44" s="577"/>
      <c r="X44" s="724">
        <f>S44</f>
        <v>8925.0759999999991</v>
      </c>
      <c r="Y44" s="577"/>
      <c r="Z44" s="577"/>
      <c r="AA44" s="577"/>
      <c r="AZ44" s="473">
        <f t="shared" si="0"/>
        <v>45210.854166666664</v>
      </c>
      <c r="BA44" s="473">
        <f t="shared" si="1"/>
        <v>45220.5</v>
      </c>
      <c r="BB44" s="479">
        <f t="shared" si="2"/>
        <v>9.6458333333357587</v>
      </c>
      <c r="BC44" s="473">
        <v>45210.854166666664</v>
      </c>
      <c r="BD44" s="473">
        <v>45211.777777777781</v>
      </c>
      <c r="BE44" s="473">
        <v>45213.458333333336</v>
      </c>
      <c r="BF44" s="473">
        <v>45214.795138888891</v>
      </c>
      <c r="BG44" s="473">
        <v>45214.994444444441</v>
      </c>
      <c r="BH44" s="473">
        <v>45215.006944444445</v>
      </c>
      <c r="BI44" s="473">
        <v>45215.020833333336</v>
      </c>
      <c r="BJ44" s="473">
        <f t="shared" si="13"/>
        <v>45216.729166666672</v>
      </c>
      <c r="BK44" s="480">
        <v>45217.25</v>
      </c>
      <c r="BL44" s="480">
        <v>45217.416666666664</v>
      </c>
      <c r="BM44" s="480">
        <v>45217.388888888891</v>
      </c>
      <c r="BN44" s="473">
        <v>45218.854166666664</v>
      </c>
      <c r="BO44" s="473">
        <v>45219.899305555555</v>
      </c>
      <c r="BP44" s="473">
        <v>45220.125</v>
      </c>
      <c r="BQ44" s="473">
        <v>45220.166666666664</v>
      </c>
      <c r="BR44" s="473">
        <v>45220.166666666664</v>
      </c>
      <c r="BS44" s="473">
        <v>45220.5</v>
      </c>
      <c r="BV44" s="481">
        <f t="shared" si="3"/>
        <v>40.333333333313931</v>
      </c>
      <c r="BW44" s="481">
        <f t="shared" si="4"/>
        <v>4.783333333209157</v>
      </c>
      <c r="BX44" s="481">
        <f t="shared" si="5"/>
        <v>41.000000000058208</v>
      </c>
      <c r="BY44" s="481">
        <f t="shared" si="11"/>
        <v>34.5</v>
      </c>
      <c r="BZ44" s="482">
        <f t="shared" si="6"/>
        <v>5.4166666666860692</v>
      </c>
      <c r="CA44" s="482">
        <f t="shared" si="7"/>
        <v>8.0000000000582077</v>
      </c>
      <c r="CB44" s="483">
        <f t="shared" si="8"/>
        <v>5.5847222222218988</v>
      </c>
      <c r="CC44" s="483">
        <f t="shared" si="9"/>
        <v>9.6458333333357587</v>
      </c>
      <c r="CD44" s="484">
        <f t="shared" si="10"/>
        <v>0.57897768178527809</v>
      </c>
    </row>
    <row r="45" spans="1:84" s="475" customFormat="1">
      <c r="A45" s="474">
        <f t="shared" si="12"/>
        <v>45215.03125</v>
      </c>
      <c r="B45" s="475" t="s">
        <v>228</v>
      </c>
      <c r="C45" s="475" t="s">
        <v>229</v>
      </c>
      <c r="D45" s="475" t="s">
        <v>197</v>
      </c>
      <c r="E45" s="476" t="s">
        <v>3099</v>
      </c>
      <c r="F45" s="399"/>
      <c r="G45" s="472">
        <v>45213.333333333336</v>
      </c>
      <c r="H45" s="472">
        <v>45213.3125</v>
      </c>
      <c r="I45" s="667" t="s">
        <v>231</v>
      </c>
      <c r="J45" s="475" t="s">
        <v>192</v>
      </c>
      <c r="K45" s="475" t="s">
        <v>192</v>
      </c>
      <c r="L45" s="667" t="s">
        <v>3323</v>
      </c>
      <c r="M45" s="530"/>
      <c r="N45" s="475" t="s">
        <v>1767</v>
      </c>
      <c r="O45" s="475" t="s">
        <v>2352</v>
      </c>
      <c r="P45" s="667" t="s">
        <v>235</v>
      </c>
      <c r="Q45" s="477">
        <f>3139*2.4</f>
        <v>7533.5999999999995</v>
      </c>
      <c r="R45" s="477">
        <f>7550+100</f>
        <v>7650</v>
      </c>
      <c r="S45" s="477">
        <f>7561.003-2319.276</f>
        <v>5241.7269999999999</v>
      </c>
      <c r="T45" s="477"/>
      <c r="U45" s="724"/>
      <c r="V45" s="767"/>
      <c r="W45" s="577"/>
      <c r="X45" s="724">
        <f>S45</f>
        <v>5241.7269999999999</v>
      </c>
      <c r="Y45" s="725"/>
      <c r="Z45" s="577"/>
      <c r="AA45" s="577"/>
      <c r="AZ45" s="473">
        <f t="shared" si="0"/>
        <v>45210.670138888891</v>
      </c>
      <c r="BA45" s="473">
        <f t="shared" si="1"/>
        <v>45220.388888888891</v>
      </c>
      <c r="BB45" s="479">
        <f t="shared" si="2"/>
        <v>9.71875</v>
      </c>
      <c r="BC45" s="473">
        <v>45210.670138888891</v>
      </c>
      <c r="BD45" s="473">
        <v>45211.802083333336</v>
      </c>
      <c r="BE45" s="473">
        <v>45213.881944444445</v>
      </c>
      <c r="BF45" s="473">
        <v>45215.03125</v>
      </c>
      <c r="BG45" s="473">
        <v>45215.180555555555</v>
      </c>
      <c r="BH45" s="473">
        <v>45215.184027777781</v>
      </c>
      <c r="BI45" s="473">
        <v>45215.190972222219</v>
      </c>
      <c r="BJ45" s="473">
        <f t="shared" si="13"/>
        <v>45216.899305555555</v>
      </c>
      <c r="BK45" s="480">
        <v>45217.25</v>
      </c>
      <c r="BL45" s="480">
        <v>45217.416666666664</v>
      </c>
      <c r="BM45" s="480">
        <v>45217.409722222219</v>
      </c>
      <c r="BN45" s="473">
        <v>45218.961805555555</v>
      </c>
      <c r="BO45" s="473">
        <v>45220.194444444445</v>
      </c>
      <c r="BP45" s="473">
        <v>45220.354166666664</v>
      </c>
      <c r="BQ45" s="473">
        <v>45220.388888888891</v>
      </c>
      <c r="BR45" s="473">
        <v>45220.388888888891</v>
      </c>
      <c r="BS45" s="473">
        <v>45220.388888888891</v>
      </c>
      <c r="BV45" s="481">
        <f t="shared" si="3"/>
        <v>49.916666666627862</v>
      </c>
      <c r="BW45" s="481">
        <f t="shared" si="4"/>
        <v>3.5833333333139308</v>
      </c>
      <c r="BX45" s="481">
        <f t="shared" si="5"/>
        <v>41.000000000058208</v>
      </c>
      <c r="BY45" s="481">
        <f t="shared" si="11"/>
        <v>37.083333333372138</v>
      </c>
      <c r="BZ45" s="482">
        <f t="shared" si="6"/>
        <v>3.8333333332557231</v>
      </c>
      <c r="CA45" s="482">
        <f t="shared" si="7"/>
        <v>0</v>
      </c>
      <c r="CB45" s="483">
        <f t="shared" si="8"/>
        <v>5.6423611111094942</v>
      </c>
      <c r="CC45" s="483">
        <f t="shared" si="9"/>
        <v>9.71875</v>
      </c>
      <c r="CD45" s="484">
        <f t="shared" si="10"/>
        <v>0.58056448731673249</v>
      </c>
    </row>
    <row r="46" spans="1:84" s="475" customFormat="1" ht="13.5" customHeight="1">
      <c r="A46" s="474">
        <f t="shared" si="12"/>
        <v>45215.03125</v>
      </c>
      <c r="B46" s="475" t="s">
        <v>228</v>
      </c>
      <c r="C46" s="475" t="s">
        <v>229</v>
      </c>
      <c r="D46" s="475" t="s">
        <v>197</v>
      </c>
      <c r="E46" s="476" t="s">
        <v>2361</v>
      </c>
      <c r="F46" s="399"/>
      <c r="G46" s="472">
        <v>45214.375</v>
      </c>
      <c r="H46" s="472">
        <v>45214.308333333334</v>
      </c>
      <c r="I46" s="667" t="s">
        <v>231</v>
      </c>
      <c r="J46" s="475" t="s">
        <v>192</v>
      </c>
      <c r="K46" s="475" t="s">
        <v>192</v>
      </c>
      <c r="L46" s="667" t="s">
        <v>3323</v>
      </c>
      <c r="M46" s="530"/>
      <c r="N46" s="475" t="s">
        <v>1767</v>
      </c>
      <c r="O46" s="475" t="s">
        <v>2352</v>
      </c>
      <c r="P46" s="667" t="s">
        <v>235</v>
      </c>
      <c r="Q46" s="477">
        <f>3139*2.4</f>
        <v>7533.5999999999995</v>
      </c>
      <c r="R46" s="477">
        <f>7550+100</f>
        <v>7650</v>
      </c>
      <c r="S46" s="477">
        <v>2058.3470000000002</v>
      </c>
      <c r="T46" s="477"/>
      <c r="U46" s="724"/>
      <c r="V46" s="767"/>
      <c r="W46" s="577"/>
      <c r="X46" s="724">
        <f>S46</f>
        <v>2058.3470000000002</v>
      </c>
      <c r="Y46" s="725"/>
      <c r="Z46" s="577"/>
      <c r="AA46" s="577"/>
      <c r="AZ46" s="473">
        <f t="shared" si="0"/>
        <v>45210.670138888891</v>
      </c>
      <c r="BA46" s="473">
        <f t="shared" si="1"/>
        <v>45222.256944444445</v>
      </c>
      <c r="BB46" s="479">
        <f t="shared" si="2"/>
        <v>11.586805555554747</v>
      </c>
      <c r="BC46" s="473">
        <v>45210.670138888891</v>
      </c>
      <c r="BD46" s="473">
        <v>45211.802083333336</v>
      </c>
      <c r="BE46" s="473">
        <v>45213.881944444445</v>
      </c>
      <c r="BF46" s="473">
        <v>45215.03125</v>
      </c>
      <c r="BG46" s="473">
        <v>45215.180555555555</v>
      </c>
      <c r="BH46" s="473">
        <v>45215.184027777781</v>
      </c>
      <c r="BI46" s="473">
        <v>45215.190972222219</v>
      </c>
      <c r="BJ46" s="473">
        <f t="shared" si="13"/>
        <v>45216.899305555555</v>
      </c>
      <c r="BK46" s="480">
        <v>45217.25</v>
      </c>
      <c r="BL46" s="480">
        <v>45217.416666666664</v>
      </c>
      <c r="BM46" s="480">
        <v>45217.409722222219</v>
      </c>
      <c r="BN46" s="473">
        <v>45220.388888888891</v>
      </c>
      <c r="BO46" s="473">
        <v>45221.809027777781</v>
      </c>
      <c r="BP46" s="473">
        <v>45221.847222222219</v>
      </c>
      <c r="BQ46" s="473">
        <v>45221.875</v>
      </c>
      <c r="BR46" s="473">
        <v>45221.875</v>
      </c>
      <c r="BS46" s="473">
        <v>45222.256944444445</v>
      </c>
      <c r="BV46" s="481">
        <f t="shared" si="3"/>
        <v>49.916666666627862</v>
      </c>
      <c r="BW46" s="481">
        <f t="shared" si="4"/>
        <v>3.5833333333139308</v>
      </c>
      <c r="BX46" s="481">
        <f t="shared" si="5"/>
        <v>41.000000000058208</v>
      </c>
      <c r="BY46" s="481">
        <f t="shared" si="11"/>
        <v>71.333333333430346</v>
      </c>
      <c r="BZ46" s="482">
        <f t="shared" si="6"/>
        <v>0.91666666651144624</v>
      </c>
      <c r="CA46" s="482">
        <f t="shared" si="7"/>
        <v>9.1666666666860692</v>
      </c>
      <c r="CB46" s="483">
        <f t="shared" si="8"/>
        <v>7.3298611111094942</v>
      </c>
      <c r="CC46" s="483">
        <f t="shared" si="9"/>
        <v>11.586805555554747</v>
      </c>
      <c r="CD46" s="484">
        <f t="shared" si="10"/>
        <v>0.63260413545090854</v>
      </c>
    </row>
    <row r="47" spans="1:84" s="475" customFormat="1">
      <c r="A47" s="474">
        <f t="shared" si="12"/>
        <v>45215.215277777781</v>
      </c>
      <c r="B47" s="475" t="s">
        <v>228</v>
      </c>
      <c r="C47" s="475" t="s">
        <v>229</v>
      </c>
      <c r="D47" s="475" t="s">
        <v>197</v>
      </c>
      <c r="E47" s="476" t="s">
        <v>2361</v>
      </c>
      <c r="G47" s="472">
        <v>45214.375</v>
      </c>
      <c r="H47" s="472">
        <v>45214.308333333334</v>
      </c>
      <c r="I47" s="399" t="s">
        <v>231</v>
      </c>
      <c r="J47" s="475" t="s">
        <v>192</v>
      </c>
      <c r="K47" s="475" t="s">
        <v>192</v>
      </c>
      <c r="L47" s="667" t="s">
        <v>3324</v>
      </c>
      <c r="M47" s="530"/>
      <c r="N47" s="475" t="s">
        <v>208</v>
      </c>
      <c r="O47" s="475" t="s">
        <v>328</v>
      </c>
      <c r="P47" s="667" t="s">
        <v>418</v>
      </c>
      <c r="Q47" s="477">
        <f>3128*2.4</f>
        <v>7507.2</v>
      </c>
      <c r="R47" s="477">
        <f>7550+100</f>
        <v>7650</v>
      </c>
      <c r="S47" s="477">
        <v>7512.1379999999999</v>
      </c>
      <c r="T47" s="667"/>
      <c r="U47" s="577"/>
      <c r="W47" s="577"/>
      <c r="X47" s="724">
        <f t="shared" ref="X47:X53" si="17">S47*0.6</f>
        <v>4507.2828</v>
      </c>
      <c r="Y47" s="724">
        <f t="shared" ref="Y47:Y53" si="18">S47*0.4</f>
        <v>3004.8552</v>
      </c>
      <c r="Z47" s="577"/>
      <c r="AA47" s="577"/>
      <c r="AC47" s="401"/>
      <c r="AD47" s="401"/>
      <c r="AE47" s="401"/>
      <c r="AZ47" s="473">
        <f t="shared" si="0"/>
        <v>45211.021527777775</v>
      </c>
      <c r="BA47" s="473">
        <f t="shared" si="1"/>
        <v>45221.430555555555</v>
      </c>
      <c r="BB47" s="479">
        <f t="shared" si="2"/>
        <v>10.409027777779556</v>
      </c>
      <c r="BC47" s="473">
        <v>45211.021527777775</v>
      </c>
      <c r="BD47" s="473">
        <v>45212.576388888891</v>
      </c>
      <c r="BE47" s="473">
        <v>45214.152777777781</v>
      </c>
      <c r="BF47" s="473">
        <v>45215.215277777781</v>
      </c>
      <c r="BG47" s="473">
        <v>45215.420138888891</v>
      </c>
      <c r="BH47" s="473">
        <v>45215.427083333336</v>
      </c>
      <c r="BI47" s="473">
        <v>45215.4375</v>
      </c>
      <c r="BJ47" s="473">
        <f t="shared" si="13"/>
        <v>45217.145833333336</v>
      </c>
      <c r="BK47" s="480">
        <v>45217.25</v>
      </c>
      <c r="BL47" s="480">
        <v>45217.416666666664</v>
      </c>
      <c r="BM47" s="480">
        <v>45217.302083333336</v>
      </c>
      <c r="BN47" s="473">
        <v>45218.958333333336</v>
      </c>
      <c r="BO47" s="473">
        <v>45221.034722222219</v>
      </c>
      <c r="BP47" s="473">
        <v>45221.194444444445</v>
      </c>
      <c r="BQ47" s="473">
        <v>45221.222222222219</v>
      </c>
      <c r="BR47" s="473">
        <v>45221.222222222219</v>
      </c>
      <c r="BS47" s="473">
        <v>45221.430555555555</v>
      </c>
      <c r="BV47" s="481">
        <f t="shared" si="3"/>
        <v>37.833333333372138</v>
      </c>
      <c r="BW47" s="481">
        <f t="shared" si="4"/>
        <v>4.9166666666278616</v>
      </c>
      <c r="BX47" s="481">
        <f t="shared" si="5"/>
        <v>41.000000000058208</v>
      </c>
      <c r="BY47" s="481">
        <f t="shared" si="11"/>
        <v>37.000000000116415</v>
      </c>
      <c r="BZ47" s="482">
        <f t="shared" si="6"/>
        <v>3.8333333334303461</v>
      </c>
      <c r="CA47" s="482">
        <f t="shared" si="7"/>
        <v>5.0000000000582077</v>
      </c>
      <c r="CB47" s="483">
        <f t="shared" si="8"/>
        <v>5.399305555569299</v>
      </c>
      <c r="CC47" s="483">
        <f t="shared" si="9"/>
        <v>10.409027777779556</v>
      </c>
      <c r="CD47" s="484">
        <f t="shared" si="10"/>
        <v>0.51871372339838961</v>
      </c>
    </row>
    <row r="48" spans="1:84" s="475" customFormat="1">
      <c r="A48" s="474">
        <f t="shared" si="12"/>
        <v>45215.444444444445</v>
      </c>
      <c r="B48" s="475" t="s">
        <v>228</v>
      </c>
      <c r="C48" s="475" t="s">
        <v>229</v>
      </c>
      <c r="D48" s="475" t="s">
        <v>197</v>
      </c>
      <c r="E48" s="667" t="s">
        <v>2361</v>
      </c>
      <c r="F48" s="667"/>
      <c r="G48" s="472">
        <v>45214.375</v>
      </c>
      <c r="H48" s="472">
        <v>45214.308333333334</v>
      </c>
      <c r="I48" s="399" t="s">
        <v>231</v>
      </c>
      <c r="J48" s="475" t="s">
        <v>192</v>
      </c>
      <c r="K48" s="475" t="s">
        <v>192</v>
      </c>
      <c r="L48" s="667" t="s">
        <v>3325</v>
      </c>
      <c r="M48" s="530"/>
      <c r="N48" s="475" t="s">
        <v>295</v>
      </c>
      <c r="O48" s="475" t="s">
        <v>296</v>
      </c>
      <c r="P48" s="667" t="s">
        <v>418</v>
      </c>
      <c r="Q48" s="477">
        <f>4118*2.4</f>
        <v>9883.1999999999989</v>
      </c>
      <c r="R48" s="477">
        <f>9900+100</f>
        <v>10000</v>
      </c>
      <c r="S48" s="477">
        <v>9479.9639999999999</v>
      </c>
      <c r="T48" s="667"/>
      <c r="U48" s="667"/>
      <c r="V48" s="667"/>
      <c r="W48" s="667"/>
      <c r="X48" s="724">
        <f t="shared" si="17"/>
        <v>5687.9784</v>
      </c>
      <c r="Y48" s="724">
        <f t="shared" si="18"/>
        <v>3791.9856</v>
      </c>
      <c r="Z48" s="577"/>
      <c r="AA48" s="577"/>
      <c r="AB48" s="581"/>
      <c r="AZ48" s="473">
        <f t="shared" si="0"/>
        <v>45212.104861111111</v>
      </c>
      <c r="BA48" s="473">
        <f t="shared" si="1"/>
        <v>45221.302083333336</v>
      </c>
      <c r="BB48" s="479">
        <f t="shared" si="2"/>
        <v>9.1972222222248092</v>
      </c>
      <c r="BC48" s="473">
        <v>45212.104861111111</v>
      </c>
      <c r="BD48" s="473">
        <v>45212.556250000001</v>
      </c>
      <c r="BE48" s="473">
        <v>45214.145833333336</v>
      </c>
      <c r="BF48" s="473">
        <v>45215.444444444445</v>
      </c>
      <c r="BG48" s="473">
        <v>45215.598611111112</v>
      </c>
      <c r="BH48" s="473">
        <v>45215.604166666664</v>
      </c>
      <c r="BI48" s="473">
        <v>45215.607638888891</v>
      </c>
      <c r="BJ48" s="473">
        <f t="shared" si="13"/>
        <v>45217.315972222226</v>
      </c>
      <c r="BK48" s="480">
        <v>45217.25</v>
      </c>
      <c r="BL48" s="480">
        <v>45217.416666666664</v>
      </c>
      <c r="BM48" s="480">
        <v>45217.280555555553</v>
      </c>
      <c r="BN48" s="473">
        <v>45218.729166666664</v>
      </c>
      <c r="BO48" s="473">
        <v>45220.743055555555</v>
      </c>
      <c r="BP48" s="473">
        <v>45220.951388888891</v>
      </c>
      <c r="BQ48" s="473">
        <v>45220.979166666664</v>
      </c>
      <c r="BR48" s="473">
        <v>45220.993055555555</v>
      </c>
      <c r="BS48" s="473">
        <v>45221.302083333336</v>
      </c>
      <c r="BV48" s="481">
        <f t="shared" si="3"/>
        <v>38.150000000023283</v>
      </c>
      <c r="BW48" s="481">
        <f t="shared" si="4"/>
        <v>3.7000000000116415</v>
      </c>
      <c r="BX48" s="481">
        <f t="shared" si="5"/>
        <v>41.000000000058208</v>
      </c>
      <c r="BY48" s="481">
        <f t="shared" si="11"/>
        <v>31.5</v>
      </c>
      <c r="BZ48" s="482">
        <f t="shared" si="6"/>
        <v>5.0000000000582077</v>
      </c>
      <c r="CA48" s="482">
        <f t="shared" si="7"/>
        <v>7.4166666667442769</v>
      </c>
      <c r="CB48" s="483">
        <f t="shared" si="8"/>
        <v>5.281944444453984</v>
      </c>
      <c r="CC48" s="483">
        <f t="shared" si="9"/>
        <v>9.1972222222248092</v>
      </c>
      <c r="CD48" s="484">
        <f t="shared" si="10"/>
        <v>0.57429779522890345</v>
      </c>
    </row>
    <row r="49" spans="1:84" s="475" customFormat="1" ht="15" customHeight="1">
      <c r="A49" s="474">
        <f t="shared" si="12"/>
        <v>45215.979166666664</v>
      </c>
      <c r="B49" s="475" t="s">
        <v>228</v>
      </c>
      <c r="C49" s="475" t="s">
        <v>229</v>
      </c>
      <c r="D49" s="475" t="s">
        <v>197</v>
      </c>
      <c r="E49" s="476" t="s">
        <v>2361</v>
      </c>
      <c r="G49" s="472">
        <v>45214.375</v>
      </c>
      <c r="H49" s="472">
        <v>45214.308333333334</v>
      </c>
      <c r="I49" s="667" t="s">
        <v>231</v>
      </c>
      <c r="J49" s="475" t="s">
        <v>192</v>
      </c>
      <c r="K49" s="475" t="s">
        <v>192</v>
      </c>
      <c r="L49" s="667" t="s">
        <v>3326</v>
      </c>
      <c r="M49" s="530"/>
      <c r="N49" s="475" t="s">
        <v>201</v>
      </c>
      <c r="O49" s="475" t="s">
        <v>202</v>
      </c>
      <c r="P49" s="667" t="s">
        <v>418</v>
      </c>
      <c r="Q49" s="477">
        <f>3141*2.4</f>
        <v>7538.4</v>
      </c>
      <c r="R49" s="477">
        <f>7550+100</f>
        <v>7650</v>
      </c>
      <c r="S49" s="477">
        <v>7697.451</v>
      </c>
      <c r="T49" s="667"/>
      <c r="U49" s="667"/>
      <c r="V49" s="667"/>
      <c r="W49" s="667"/>
      <c r="X49" s="724">
        <f t="shared" si="17"/>
        <v>4618.4705999999996</v>
      </c>
      <c r="Y49" s="724">
        <f t="shared" si="18"/>
        <v>3078.9804000000004</v>
      </c>
      <c r="Z49" s="577"/>
      <c r="AA49" s="577"/>
      <c r="AB49" s="581"/>
      <c r="AZ49" s="473">
        <f t="shared" si="0"/>
        <v>45212.309027777781</v>
      </c>
      <c r="BA49" s="473">
        <f t="shared" si="1"/>
        <v>45221.895833333336</v>
      </c>
      <c r="BB49" s="479">
        <f t="shared" si="2"/>
        <v>9.5868055555547471</v>
      </c>
      <c r="BC49" s="473">
        <v>45212.309027777781</v>
      </c>
      <c r="BD49" s="473">
        <v>45212.739583333336</v>
      </c>
      <c r="BE49" s="473">
        <v>45214.375</v>
      </c>
      <c r="BF49" s="473">
        <v>45215.979166666664</v>
      </c>
      <c r="BG49" s="473">
        <v>45216.111111111109</v>
      </c>
      <c r="BH49" s="473">
        <v>45216.114583333336</v>
      </c>
      <c r="BI49" s="473">
        <v>45216.131944444445</v>
      </c>
      <c r="BJ49" s="473">
        <f t="shared" si="13"/>
        <v>45217.840277777781</v>
      </c>
      <c r="BK49" s="473">
        <v>45218.25</v>
      </c>
      <c r="BL49" s="473">
        <v>45218.416666666664</v>
      </c>
      <c r="BM49" s="480">
        <v>45218.284722222219</v>
      </c>
      <c r="BN49" s="473">
        <v>45219.5625</v>
      </c>
      <c r="BO49" s="473">
        <v>45221.277777777781</v>
      </c>
      <c r="BP49" s="473">
        <v>45221.46875</v>
      </c>
      <c r="BQ49" s="473">
        <v>45221.510416666664</v>
      </c>
      <c r="BR49" s="473">
        <v>45221.708333333336</v>
      </c>
      <c r="BS49" s="473">
        <v>45221.895833333336</v>
      </c>
      <c r="BV49" s="481">
        <f t="shared" si="3"/>
        <v>39.249999999941792</v>
      </c>
      <c r="BW49" s="481">
        <f t="shared" si="4"/>
        <v>3.1666666666860692</v>
      </c>
      <c r="BX49" s="481">
        <f t="shared" si="5"/>
        <v>41.000000000058208</v>
      </c>
      <c r="BY49" s="481">
        <f t="shared" si="11"/>
        <v>27.500000000058208</v>
      </c>
      <c r="BZ49" s="482">
        <f t="shared" si="6"/>
        <v>4.5833333332557231</v>
      </c>
      <c r="CA49" s="482">
        <f t="shared" si="7"/>
        <v>4.5</v>
      </c>
      <c r="CB49" s="483">
        <f t="shared" si="8"/>
        <v>5</v>
      </c>
      <c r="CC49" s="483">
        <f t="shared" si="9"/>
        <v>9.5868055555547471</v>
      </c>
      <c r="CD49" s="484">
        <f t="shared" si="10"/>
        <v>0.52155016298446988</v>
      </c>
    </row>
    <row r="50" spans="1:84" s="475" customFormat="1">
      <c r="A50" s="474">
        <f t="shared" si="12"/>
        <v>45216.142361111109</v>
      </c>
      <c r="B50" s="475" t="s">
        <v>228</v>
      </c>
      <c r="C50" s="475" t="s">
        <v>229</v>
      </c>
      <c r="D50" s="475" t="s">
        <v>197</v>
      </c>
      <c r="E50" s="667" t="s">
        <v>2361</v>
      </c>
      <c r="F50" s="667"/>
      <c r="G50" s="472">
        <v>45214.375</v>
      </c>
      <c r="H50" s="472">
        <v>45214.308333333334</v>
      </c>
      <c r="I50" s="399" t="s">
        <v>231</v>
      </c>
      <c r="J50" s="475" t="s">
        <v>192</v>
      </c>
      <c r="K50" s="475" t="s">
        <v>192</v>
      </c>
      <c r="L50" s="667" t="s">
        <v>3327</v>
      </c>
      <c r="M50" s="530"/>
      <c r="N50" s="475" t="s">
        <v>492</v>
      </c>
      <c r="O50" s="475" t="s">
        <v>493</v>
      </c>
      <c r="P50" s="667" t="s">
        <v>418</v>
      </c>
      <c r="Q50" s="477">
        <f>3141*2.4</f>
        <v>7538.4</v>
      </c>
      <c r="R50" s="477">
        <f>7550+100</f>
        <v>7650</v>
      </c>
      <c r="S50" s="477">
        <f>7545.216-1294.512</f>
        <v>6250.7040000000006</v>
      </c>
      <c r="T50" s="667"/>
      <c r="U50" s="667"/>
      <c r="V50" s="667"/>
      <c r="W50" s="667"/>
      <c r="X50" s="724">
        <f t="shared" si="17"/>
        <v>3750.4224000000004</v>
      </c>
      <c r="Y50" s="724">
        <f t="shared" si="18"/>
        <v>2500.2816000000003</v>
      </c>
      <c r="Z50" s="577"/>
      <c r="AA50" s="577"/>
      <c r="AZ50" s="473">
        <f t="shared" si="0"/>
        <v>45211.75</v>
      </c>
      <c r="BA50" s="473">
        <f t="shared" si="1"/>
        <v>45222.375</v>
      </c>
      <c r="BB50" s="479">
        <f t="shared" si="2"/>
        <v>10.625</v>
      </c>
      <c r="BC50" s="473">
        <v>45211.75</v>
      </c>
      <c r="BD50" s="473">
        <v>45212.743055555555</v>
      </c>
      <c r="BE50" s="473">
        <v>45214.395833333336</v>
      </c>
      <c r="BF50" s="473">
        <v>45216.142361111109</v>
      </c>
      <c r="BG50" s="473">
        <v>45216.357638888891</v>
      </c>
      <c r="BH50" s="473">
        <v>45216.361111111109</v>
      </c>
      <c r="BI50" s="473">
        <v>45216.368055555555</v>
      </c>
      <c r="BJ50" s="473">
        <f t="shared" si="13"/>
        <v>45218.076388888891</v>
      </c>
      <c r="BK50" s="480">
        <v>45218.25</v>
      </c>
      <c r="BL50" s="480">
        <v>45218.416666666664</v>
      </c>
      <c r="BM50" s="480">
        <v>45218.309027777781</v>
      </c>
      <c r="BN50" s="473">
        <v>45219.666666666664</v>
      </c>
      <c r="BO50" s="473">
        <v>45222.135416666664</v>
      </c>
      <c r="BP50" s="473">
        <v>45222.326388888891</v>
      </c>
      <c r="BQ50" s="473">
        <v>45222.375</v>
      </c>
      <c r="BR50" s="473">
        <v>45222.375</v>
      </c>
      <c r="BS50" s="473">
        <v>45222.375</v>
      </c>
      <c r="BT50" s="475" t="s">
        <v>2727</v>
      </c>
      <c r="BV50" s="481">
        <f t="shared" si="3"/>
        <v>39.666666666744277</v>
      </c>
      <c r="BW50" s="481">
        <f t="shared" si="4"/>
        <v>5.1666666667442769</v>
      </c>
      <c r="BX50" s="481">
        <f t="shared" si="5"/>
        <v>41.000000000058208</v>
      </c>
      <c r="BY50" s="481">
        <f t="shared" si="11"/>
        <v>30</v>
      </c>
      <c r="BZ50" s="482">
        <f t="shared" si="6"/>
        <v>4.5833333334303461</v>
      </c>
      <c r="CA50" s="482">
        <f t="shared" si="7"/>
        <v>0</v>
      </c>
      <c r="CB50" s="483">
        <f t="shared" si="8"/>
        <v>5.0173611111240461</v>
      </c>
      <c r="CC50" s="483">
        <f t="shared" si="9"/>
        <v>10.625</v>
      </c>
      <c r="CD50" s="484">
        <f t="shared" si="10"/>
        <v>0.47222222222343962</v>
      </c>
    </row>
    <row r="51" spans="1:84" s="475" customFormat="1">
      <c r="A51" s="474">
        <f t="shared" si="12"/>
        <v>45216.142361111109</v>
      </c>
      <c r="B51" s="475" t="s">
        <v>228</v>
      </c>
      <c r="C51" s="475" t="s">
        <v>229</v>
      </c>
      <c r="D51" s="475" t="s">
        <v>197</v>
      </c>
      <c r="E51" s="399" t="s">
        <v>3113</v>
      </c>
      <c r="F51" s="667"/>
      <c r="G51" s="472">
        <v>45218.104166666664</v>
      </c>
      <c r="H51" s="472">
        <v>45218.020833333336</v>
      </c>
      <c r="I51" s="399" t="s">
        <v>231</v>
      </c>
      <c r="J51" s="475" t="s">
        <v>192</v>
      </c>
      <c r="K51" s="475" t="s">
        <v>192</v>
      </c>
      <c r="L51" s="667" t="s">
        <v>3327</v>
      </c>
      <c r="M51" s="530"/>
      <c r="N51" s="475" t="s">
        <v>492</v>
      </c>
      <c r="O51" s="475" t="s">
        <v>493</v>
      </c>
      <c r="P51" s="667" t="s">
        <v>418</v>
      </c>
      <c r="Q51" s="477">
        <f>3141*2.4</f>
        <v>7538.4</v>
      </c>
      <c r="R51" s="477">
        <f>7550+100</f>
        <v>7650</v>
      </c>
      <c r="S51" s="477">
        <v>1326</v>
      </c>
      <c r="T51" s="667"/>
      <c r="U51" s="667"/>
      <c r="V51" s="667"/>
      <c r="W51" s="667"/>
      <c r="X51" s="724">
        <f t="shared" si="17"/>
        <v>795.6</v>
      </c>
      <c r="Y51" s="724">
        <f t="shared" si="18"/>
        <v>530.4</v>
      </c>
      <c r="Z51" s="577"/>
      <c r="AA51" s="577"/>
      <c r="AZ51" s="473">
        <f t="shared" si="0"/>
        <v>45211.75</v>
      </c>
      <c r="BA51" s="473">
        <f t="shared" si="1"/>
        <v>45226.770833333336</v>
      </c>
      <c r="BB51" s="479">
        <f t="shared" si="2"/>
        <v>15.020833333335759</v>
      </c>
      <c r="BC51" s="473">
        <v>45211.75</v>
      </c>
      <c r="BD51" s="473">
        <v>45212.743055555555</v>
      </c>
      <c r="BE51" s="473">
        <v>45214.395833333336</v>
      </c>
      <c r="BF51" s="473">
        <v>45216.142361111109</v>
      </c>
      <c r="BG51" s="473">
        <v>45216.357638888891</v>
      </c>
      <c r="BH51" s="473">
        <v>45216.361111111109</v>
      </c>
      <c r="BI51" s="473">
        <v>45216.368055555555</v>
      </c>
      <c r="BJ51" s="473">
        <f t="shared" si="13"/>
        <v>45218.076388888891</v>
      </c>
      <c r="BK51" s="480">
        <v>45218.25</v>
      </c>
      <c r="BL51" s="480">
        <v>45218.416666666664</v>
      </c>
      <c r="BM51" s="480">
        <v>45218.309027777781</v>
      </c>
      <c r="BN51" s="473">
        <v>45222.375</v>
      </c>
      <c r="BO51" s="473">
        <v>45226.208333333336</v>
      </c>
      <c r="BP51" s="473">
        <v>45226.291666666664</v>
      </c>
      <c r="BQ51" s="473">
        <v>45226.3125</v>
      </c>
      <c r="BR51" s="473">
        <v>45226.604166666664</v>
      </c>
      <c r="BS51" s="473">
        <v>45226.770833333336</v>
      </c>
      <c r="BT51" s="475" t="s">
        <v>2727</v>
      </c>
      <c r="BV51" s="481">
        <f t="shared" si="3"/>
        <v>39.666666666744277</v>
      </c>
      <c r="BW51" s="481">
        <f t="shared" si="4"/>
        <v>5.1666666667442769</v>
      </c>
      <c r="BX51" s="481">
        <f t="shared" si="5"/>
        <v>41.000000000058208</v>
      </c>
      <c r="BY51" s="481">
        <f t="shared" si="11"/>
        <v>95.000000000058208</v>
      </c>
      <c r="BZ51" s="482">
        <f t="shared" si="6"/>
        <v>1.9999999998835847</v>
      </c>
      <c r="CA51" s="482">
        <f t="shared" si="7"/>
        <v>4.0000000001164153</v>
      </c>
      <c r="CB51" s="483">
        <f t="shared" si="8"/>
        <v>7.7847222222335404</v>
      </c>
      <c r="CC51" s="483">
        <f t="shared" si="9"/>
        <v>15.020833333335759</v>
      </c>
      <c r="CD51" s="484">
        <f t="shared" si="10"/>
        <v>0.51826167360214925</v>
      </c>
    </row>
    <row r="52" spans="1:84" s="475" customFormat="1">
      <c r="A52" s="474">
        <f t="shared" si="12"/>
        <v>45216.388888888891</v>
      </c>
      <c r="B52" s="475" t="s">
        <v>228</v>
      </c>
      <c r="C52" s="475" t="s">
        <v>229</v>
      </c>
      <c r="D52" s="475" t="s">
        <v>197</v>
      </c>
      <c r="E52" s="476" t="s">
        <v>2361</v>
      </c>
      <c r="G52" s="472">
        <v>45214.375</v>
      </c>
      <c r="H52" s="472">
        <v>45214.308333333334</v>
      </c>
      <c r="I52" s="399" t="s">
        <v>231</v>
      </c>
      <c r="J52" s="475" t="s">
        <v>192</v>
      </c>
      <c r="K52" s="475" t="s">
        <v>192</v>
      </c>
      <c r="L52" s="667" t="s">
        <v>3328</v>
      </c>
      <c r="M52" s="530"/>
      <c r="N52" s="475" t="s">
        <v>218</v>
      </c>
      <c r="O52" s="475" t="s">
        <v>350</v>
      </c>
      <c r="P52" s="667" t="s">
        <v>418</v>
      </c>
      <c r="Q52" s="477">
        <f>3077*2.4</f>
        <v>7384.7999999999993</v>
      </c>
      <c r="R52" s="477">
        <f>7400+100</f>
        <v>7500</v>
      </c>
      <c r="S52" s="477">
        <v>7333.7640000000001</v>
      </c>
      <c r="T52" s="477"/>
      <c r="U52" s="577"/>
      <c r="W52" s="577"/>
      <c r="X52" s="724">
        <f t="shared" si="17"/>
        <v>4400.2583999999997</v>
      </c>
      <c r="Y52" s="724">
        <f t="shared" si="18"/>
        <v>2933.5056000000004</v>
      </c>
      <c r="Z52" s="577"/>
      <c r="AA52" s="577"/>
      <c r="AZ52" s="473">
        <f t="shared" si="0"/>
        <v>45208.958333333336</v>
      </c>
      <c r="BA52" s="473">
        <f t="shared" si="1"/>
        <v>45222.100694444445</v>
      </c>
      <c r="BB52" s="479">
        <f t="shared" si="2"/>
        <v>13.142361111109494</v>
      </c>
      <c r="BC52" s="473">
        <v>45208.958333333336</v>
      </c>
      <c r="BD52" s="473">
        <v>45213.543055555558</v>
      </c>
      <c r="BE52" s="473">
        <v>45215.25</v>
      </c>
      <c r="BF52" s="473">
        <v>45216.388888888891</v>
      </c>
      <c r="BG52" s="473">
        <v>45216.510416666664</v>
      </c>
      <c r="BH52" s="473">
        <v>45216.513888888891</v>
      </c>
      <c r="BI52" s="473">
        <v>45216.517361111109</v>
      </c>
      <c r="BJ52" s="473">
        <f t="shared" si="13"/>
        <v>45218.225694444445</v>
      </c>
      <c r="BK52" s="480">
        <v>45218.25</v>
      </c>
      <c r="BL52" s="480">
        <v>45218.416666666664</v>
      </c>
      <c r="BM52" s="480">
        <v>45218.302777777775</v>
      </c>
      <c r="BN52" s="473">
        <v>45219.569444444445</v>
      </c>
      <c r="BO52" s="473">
        <v>45221.555555555555</v>
      </c>
      <c r="BP52" s="473">
        <v>45221.743055555555</v>
      </c>
      <c r="BQ52" s="473">
        <v>45221.784722222219</v>
      </c>
      <c r="BR52" s="473">
        <v>45221.805555555555</v>
      </c>
      <c r="BS52" s="473">
        <v>45222.100694444445</v>
      </c>
      <c r="BT52" s="475" t="s">
        <v>3329</v>
      </c>
      <c r="BV52" s="481">
        <f t="shared" si="3"/>
        <v>40.96666666661622</v>
      </c>
      <c r="BW52" s="481">
        <f t="shared" si="4"/>
        <v>2.9166666665696539</v>
      </c>
      <c r="BX52" s="481">
        <f t="shared" si="5"/>
        <v>41.000000000058208</v>
      </c>
      <c r="BY52" s="481">
        <f t="shared" si="11"/>
        <v>27.666666666744277</v>
      </c>
      <c r="BZ52" s="482">
        <f t="shared" si="6"/>
        <v>4.5</v>
      </c>
      <c r="CA52" s="482">
        <f t="shared" si="7"/>
        <v>7.0833333333721384</v>
      </c>
      <c r="CB52" s="483">
        <f t="shared" si="8"/>
        <v>5.172222222223354</v>
      </c>
      <c r="CC52" s="483">
        <f t="shared" si="9"/>
        <v>13.142361111109494</v>
      </c>
      <c r="CD52" s="484">
        <f t="shared" si="10"/>
        <v>0.39355350066063655</v>
      </c>
    </row>
    <row r="53" spans="1:84" s="475" customFormat="1">
      <c r="A53" s="474">
        <f t="shared" si="12"/>
        <v>45216.538194444445</v>
      </c>
      <c r="B53" s="475" t="s">
        <v>228</v>
      </c>
      <c r="C53" s="475" t="s">
        <v>229</v>
      </c>
      <c r="D53" s="475" t="s">
        <v>197</v>
      </c>
      <c r="E53" s="476" t="s">
        <v>2361</v>
      </c>
      <c r="G53" s="472">
        <v>45214.375</v>
      </c>
      <c r="H53" s="472">
        <v>45214.308333333334</v>
      </c>
      <c r="I53" s="399" t="s">
        <v>231</v>
      </c>
      <c r="J53" s="475" t="s">
        <v>192</v>
      </c>
      <c r="K53" s="475" t="s">
        <v>192</v>
      </c>
      <c r="L53" s="399" t="s">
        <v>3330</v>
      </c>
      <c r="M53" s="530"/>
      <c r="N53" s="475" t="s">
        <v>205</v>
      </c>
      <c r="O53" s="475" t="s">
        <v>206</v>
      </c>
      <c r="P53" s="667" t="s">
        <v>418</v>
      </c>
      <c r="Q53" s="477">
        <f>3015*2.4</f>
        <v>7236</v>
      </c>
      <c r="R53" s="477">
        <f>7250+100</f>
        <v>7350</v>
      </c>
      <c r="S53" s="477">
        <v>7391.6319999999996</v>
      </c>
      <c r="T53" s="667"/>
      <c r="U53" s="667"/>
      <c r="V53" s="667"/>
      <c r="W53" s="577"/>
      <c r="X53" s="724">
        <f t="shared" si="17"/>
        <v>4434.9791999999998</v>
      </c>
      <c r="Y53" s="724">
        <f t="shared" si="18"/>
        <v>2956.6527999999998</v>
      </c>
      <c r="Z53" s="577"/>
      <c r="AA53" s="577"/>
      <c r="AB53" s="577"/>
      <c r="AC53" s="577"/>
      <c r="AD53" s="577"/>
      <c r="AE53" s="575"/>
      <c r="AF53" s="575"/>
      <c r="AG53" s="575"/>
      <c r="AH53" s="575"/>
      <c r="AI53" s="575"/>
      <c r="AZ53" s="473">
        <f t="shared" si="0"/>
        <v>45212.8125</v>
      </c>
      <c r="BA53" s="473">
        <f t="shared" si="1"/>
        <v>45222.379861111112</v>
      </c>
      <c r="BB53" s="479">
        <f t="shared" si="2"/>
        <v>9.5673611111124046</v>
      </c>
      <c r="BC53" s="473">
        <v>45212.8125</v>
      </c>
      <c r="BD53" s="473">
        <v>45213.767361111109</v>
      </c>
      <c r="BE53" s="473">
        <v>45215.333333333336</v>
      </c>
      <c r="BF53" s="473">
        <v>45216.538194444445</v>
      </c>
      <c r="BG53" s="473">
        <v>45216.6875</v>
      </c>
      <c r="BH53" s="473">
        <v>45216.697916666664</v>
      </c>
      <c r="BI53" s="473">
        <v>45216.708333333336</v>
      </c>
      <c r="BJ53" s="473">
        <f t="shared" si="13"/>
        <v>45218.416666666672</v>
      </c>
      <c r="BK53" s="480">
        <v>45218.25</v>
      </c>
      <c r="BL53" s="480">
        <v>45218.416666666664</v>
      </c>
      <c r="BM53" s="480">
        <v>45218.291666666664</v>
      </c>
      <c r="BN53" s="473">
        <v>45219.576388888891</v>
      </c>
      <c r="BO53" s="473">
        <v>45221.895833333336</v>
      </c>
      <c r="BP53" s="473">
        <v>45222.076388888891</v>
      </c>
      <c r="BQ53" s="473">
        <v>45222.090277777781</v>
      </c>
      <c r="BR53" s="473">
        <v>45222.111111111109</v>
      </c>
      <c r="BS53" s="473">
        <v>45222.379861111112</v>
      </c>
      <c r="BV53" s="481">
        <f t="shared" si="3"/>
        <v>37.583333333430346</v>
      </c>
      <c r="BW53" s="481">
        <f t="shared" si="4"/>
        <v>3.5833333333139308</v>
      </c>
      <c r="BX53" s="481">
        <f t="shared" si="5"/>
        <v>41.000000000058208</v>
      </c>
      <c r="BY53" s="481">
        <f t="shared" si="11"/>
        <v>27.833333333430346</v>
      </c>
      <c r="BZ53" s="482">
        <f t="shared" si="6"/>
        <v>4.3333333333139308</v>
      </c>
      <c r="CA53" s="482">
        <f t="shared" si="7"/>
        <v>6.4500000000698492</v>
      </c>
      <c r="CB53" s="483">
        <f t="shared" si="8"/>
        <v>5.0326388889006921</v>
      </c>
      <c r="CC53" s="483">
        <f t="shared" si="9"/>
        <v>9.5673611111124046</v>
      </c>
      <c r="CD53" s="484">
        <f t="shared" si="10"/>
        <v>0.52602163025448334</v>
      </c>
    </row>
    <row r="54" spans="1:84" s="475" customFormat="1">
      <c r="A54" s="474">
        <f t="shared" si="12"/>
        <v>45217.111111111109</v>
      </c>
      <c r="B54" s="475" t="s">
        <v>228</v>
      </c>
      <c r="C54" s="475" t="s">
        <v>229</v>
      </c>
      <c r="D54" s="475" t="s">
        <v>197</v>
      </c>
      <c r="E54" s="476" t="s">
        <v>1445</v>
      </c>
      <c r="G54" s="472">
        <v>45220.458333333336</v>
      </c>
      <c r="H54" s="472">
        <v>45220.4375</v>
      </c>
      <c r="I54" s="667" t="s">
        <v>231</v>
      </c>
      <c r="J54" s="475" t="s">
        <v>192</v>
      </c>
      <c r="K54" s="475" t="s">
        <v>192</v>
      </c>
      <c r="L54" s="667" t="s">
        <v>3331</v>
      </c>
      <c r="M54" s="530"/>
      <c r="N54" s="475" t="s">
        <v>257</v>
      </c>
      <c r="O54" s="475" t="s">
        <v>258</v>
      </c>
      <c r="P54" s="667" t="s">
        <v>240</v>
      </c>
      <c r="Q54" s="477">
        <f>3139*2.4</f>
        <v>7533.5999999999995</v>
      </c>
      <c r="R54" s="477">
        <f>7550+100</f>
        <v>7650</v>
      </c>
      <c r="S54" s="477">
        <v>7671.4719999999998</v>
      </c>
      <c r="T54" s="667"/>
      <c r="U54" s="667"/>
      <c r="V54" s="667"/>
      <c r="W54" s="667"/>
      <c r="X54" s="667"/>
      <c r="Y54" s="726">
        <f t="shared" ref="Y54:Y61" si="19">S54</f>
        <v>7671.4719999999998</v>
      </c>
      <c r="Z54" s="581"/>
      <c r="AA54" s="581"/>
      <c r="AB54" s="575"/>
      <c r="AG54" s="575"/>
      <c r="AH54" s="575"/>
      <c r="AI54" s="575"/>
      <c r="AZ54" s="473">
        <f t="shared" si="0"/>
        <v>45213.9375</v>
      </c>
      <c r="BA54" s="473">
        <f t="shared" si="1"/>
        <v>45222.9375</v>
      </c>
      <c r="BB54" s="479">
        <f t="shared" si="2"/>
        <v>9</v>
      </c>
      <c r="BC54" s="473">
        <v>45213.9375</v>
      </c>
      <c r="BD54" s="473">
        <v>45214.743055555555</v>
      </c>
      <c r="BE54" s="473">
        <v>45216.333333333336</v>
      </c>
      <c r="BF54" s="473">
        <v>45217.111111111109</v>
      </c>
      <c r="BG54" s="473">
        <v>45217.25</v>
      </c>
      <c r="BH54" s="473">
        <v>45217.256944444445</v>
      </c>
      <c r="BI54" s="473">
        <v>45217.260416666664</v>
      </c>
      <c r="BJ54" s="473">
        <f t="shared" si="13"/>
        <v>45218.96875</v>
      </c>
      <c r="BK54" s="480">
        <v>45219.25</v>
      </c>
      <c r="BL54" s="480">
        <v>45219.416666666664</v>
      </c>
      <c r="BM54" s="480">
        <v>45219.295138888891</v>
      </c>
      <c r="BN54" s="473">
        <v>45220.5</v>
      </c>
      <c r="BO54" s="473">
        <v>45222.451388888883</v>
      </c>
      <c r="BP54" s="473">
        <v>45222.659722222219</v>
      </c>
      <c r="BQ54" s="473">
        <v>45222.680555555555</v>
      </c>
      <c r="BR54" s="473">
        <v>45222.694444444445</v>
      </c>
      <c r="BS54" s="473">
        <v>45222.9375</v>
      </c>
      <c r="BV54" s="481">
        <f t="shared" si="3"/>
        <v>38.166666666744277</v>
      </c>
      <c r="BW54" s="481">
        <f t="shared" si="4"/>
        <v>3.3333333333721384</v>
      </c>
      <c r="BX54" s="481">
        <f t="shared" si="5"/>
        <v>41.000000000058208</v>
      </c>
      <c r="BY54" s="481">
        <f t="shared" si="11"/>
        <v>26.000000000058208</v>
      </c>
      <c r="BZ54" s="482">
        <f t="shared" si="6"/>
        <v>5.0000000000582077</v>
      </c>
      <c r="CA54" s="482">
        <f t="shared" si="7"/>
        <v>5.8333333333139308</v>
      </c>
      <c r="CB54" s="483">
        <f t="shared" si="8"/>
        <v>4.9722222222335404</v>
      </c>
      <c r="CC54" s="483">
        <f t="shared" si="9"/>
        <v>9</v>
      </c>
      <c r="CD54" s="484">
        <f t="shared" si="10"/>
        <v>0.5524691358037267</v>
      </c>
    </row>
    <row r="55" spans="1:84" s="369" customFormat="1">
      <c r="A55" s="474">
        <f t="shared" si="12"/>
        <v>45217.3125</v>
      </c>
      <c r="B55" s="475" t="s">
        <v>228</v>
      </c>
      <c r="C55" s="475" t="s">
        <v>229</v>
      </c>
      <c r="D55" s="475" t="s">
        <v>197</v>
      </c>
      <c r="E55" s="476" t="s">
        <v>1445</v>
      </c>
      <c r="F55" s="475"/>
      <c r="G55" s="472">
        <v>45220.458333333336</v>
      </c>
      <c r="H55" s="472">
        <v>45220.4375</v>
      </c>
      <c r="I55" s="399" t="s">
        <v>231</v>
      </c>
      <c r="J55" s="475" t="s">
        <v>192</v>
      </c>
      <c r="K55" s="475" t="s">
        <v>192</v>
      </c>
      <c r="L55" s="667" t="s">
        <v>3332</v>
      </c>
      <c r="M55" s="530"/>
      <c r="N55" s="475" t="s">
        <v>2156</v>
      </c>
      <c r="O55" s="475" t="s">
        <v>1835</v>
      </c>
      <c r="P55" s="475" t="s">
        <v>240</v>
      </c>
      <c r="Q55" s="477">
        <f>3131*2.4</f>
        <v>7514.4</v>
      </c>
      <c r="R55" s="477">
        <f>7550+100</f>
        <v>7650</v>
      </c>
      <c r="S55" s="477">
        <v>7578.1760000000004</v>
      </c>
      <c r="T55" s="399"/>
      <c r="U55" s="401"/>
      <c r="V55" s="401"/>
      <c r="W55" s="401"/>
      <c r="X55" s="667"/>
      <c r="Y55" s="726">
        <f t="shared" si="19"/>
        <v>7578.1760000000004</v>
      </c>
      <c r="Z55" s="401"/>
      <c r="AA55" s="401"/>
      <c r="AB55" s="401"/>
      <c r="AC55" s="577"/>
      <c r="AD55" s="577"/>
      <c r="AE55" s="475"/>
      <c r="AF55" s="475"/>
      <c r="AG55" s="475"/>
      <c r="AH55" s="475"/>
      <c r="AI55" s="475"/>
      <c r="AJ55" s="475"/>
      <c r="AK55" s="475"/>
      <c r="AL55" s="475"/>
      <c r="AM55" s="475"/>
      <c r="AN55" s="475"/>
      <c r="AO55" s="475"/>
      <c r="AP55" s="475"/>
      <c r="AQ55" s="475"/>
      <c r="AR55" s="475"/>
      <c r="AS55" s="475"/>
      <c r="AT55" s="475"/>
      <c r="AU55" s="475"/>
      <c r="AV55" s="475"/>
      <c r="AW55" s="475"/>
      <c r="AX55" s="475"/>
      <c r="AY55" s="475"/>
      <c r="AZ55" s="473">
        <f t="shared" si="0"/>
        <v>45214.506944444445</v>
      </c>
      <c r="BA55" s="473">
        <f t="shared" si="1"/>
        <v>45223.791666666664</v>
      </c>
      <c r="BB55" s="479">
        <f t="shared" si="2"/>
        <v>9.2847222222189885</v>
      </c>
      <c r="BC55" s="473">
        <v>45214.506944444445</v>
      </c>
      <c r="BD55" s="473">
        <v>45214.784722222219</v>
      </c>
      <c r="BE55" s="473">
        <v>45216.805555555555</v>
      </c>
      <c r="BF55" s="473">
        <v>45217.3125</v>
      </c>
      <c r="BG55" s="473">
        <v>45217.475694444445</v>
      </c>
      <c r="BH55" s="473">
        <v>45217.479166666664</v>
      </c>
      <c r="BI55" s="473">
        <v>45217.482638888891</v>
      </c>
      <c r="BJ55" s="473">
        <f t="shared" si="13"/>
        <v>45219.190972222226</v>
      </c>
      <c r="BK55" s="473">
        <v>45219.25</v>
      </c>
      <c r="BL55" s="473">
        <v>45219.416666666664</v>
      </c>
      <c r="BM55" s="473">
        <v>45219.333333333336</v>
      </c>
      <c r="BN55" s="473">
        <v>45220.701388888891</v>
      </c>
      <c r="BO55" s="473">
        <v>45223.048611111109</v>
      </c>
      <c r="BP55" s="473">
        <v>45223.340277777774</v>
      </c>
      <c r="BQ55" s="473">
        <v>45223.361111111109</v>
      </c>
      <c r="BR55" s="473">
        <v>45223.479166666664</v>
      </c>
      <c r="BS55" s="473">
        <v>45223.791666666664</v>
      </c>
      <c r="BT55" s="475"/>
      <c r="BU55" s="475"/>
      <c r="BV55" s="481">
        <f t="shared" si="3"/>
        <v>48.500000000058208</v>
      </c>
      <c r="BW55" s="481">
        <f t="shared" si="4"/>
        <v>3.9166666666860692</v>
      </c>
      <c r="BX55" s="481">
        <f t="shared" si="5"/>
        <v>41.000000000058208</v>
      </c>
      <c r="BY55" s="481">
        <f t="shared" si="11"/>
        <v>30.833333333430346</v>
      </c>
      <c r="BZ55" s="482">
        <f t="shared" si="6"/>
        <v>6.9999999999417923</v>
      </c>
      <c r="CA55" s="482">
        <f t="shared" si="7"/>
        <v>7.5</v>
      </c>
      <c r="CB55" s="483">
        <f t="shared" si="8"/>
        <v>5.781250000007276</v>
      </c>
      <c r="CC55" s="483">
        <f t="shared" si="9"/>
        <v>9.2847222222189885</v>
      </c>
      <c r="CD55" s="484">
        <f t="shared" si="10"/>
        <v>0.62266267763750016</v>
      </c>
      <c r="CE55" s="475"/>
      <c r="CF55" s="475"/>
    </row>
    <row r="56" spans="1:84" s="369" customFormat="1">
      <c r="A56" s="474">
        <f t="shared" si="12"/>
        <v>45217.503472222219</v>
      </c>
      <c r="B56" s="475" t="s">
        <v>228</v>
      </c>
      <c r="C56" s="475" t="s">
        <v>229</v>
      </c>
      <c r="D56" s="475" t="s">
        <v>197</v>
      </c>
      <c r="E56" s="476" t="s">
        <v>1445</v>
      </c>
      <c r="F56" s="475"/>
      <c r="G56" s="472">
        <v>45220.458333333336</v>
      </c>
      <c r="H56" s="472">
        <v>45220.4375</v>
      </c>
      <c r="I56" s="667" t="s">
        <v>231</v>
      </c>
      <c r="J56" s="475" t="s">
        <v>192</v>
      </c>
      <c r="K56" s="475" t="s">
        <v>192</v>
      </c>
      <c r="L56" s="667" t="s">
        <v>3333</v>
      </c>
      <c r="M56" s="530"/>
      <c r="N56" s="475" t="s">
        <v>2295</v>
      </c>
      <c r="O56" s="475" t="s">
        <v>2296</v>
      </c>
      <c r="P56" s="667" t="s">
        <v>240</v>
      </c>
      <c r="Q56" s="477">
        <f>4272*2.4</f>
        <v>10252.799999999999</v>
      </c>
      <c r="R56" s="477">
        <f>10300+100</f>
        <v>10400</v>
      </c>
      <c r="S56" s="477">
        <v>8606.1810000000005</v>
      </c>
      <c r="T56" s="667"/>
      <c r="U56" s="667"/>
      <c r="V56" s="667"/>
      <c r="W56" s="667"/>
      <c r="X56" s="667"/>
      <c r="Y56" s="726">
        <f t="shared" si="19"/>
        <v>8606.1810000000005</v>
      </c>
      <c r="Z56" s="667"/>
      <c r="AA56" s="667"/>
      <c r="AB56" s="475"/>
      <c r="AC56" s="401"/>
      <c r="AD56" s="401"/>
      <c r="AE56" s="401"/>
      <c r="AF56" s="401"/>
      <c r="AG56" s="401"/>
      <c r="AH56" s="401"/>
      <c r="AI56" s="401"/>
      <c r="AJ56" s="401"/>
      <c r="AK56" s="401"/>
      <c r="AL56" s="401"/>
      <c r="AM56" s="401"/>
      <c r="AN56" s="401"/>
      <c r="AO56" s="401"/>
      <c r="AP56" s="401"/>
      <c r="AQ56" s="401"/>
      <c r="AR56" s="401"/>
      <c r="AS56" s="401"/>
      <c r="AT56" s="401"/>
      <c r="AU56" s="401"/>
      <c r="AV56" s="475"/>
      <c r="AW56" s="475"/>
      <c r="AX56" s="475"/>
      <c r="AY56" s="475"/>
      <c r="AZ56" s="473">
        <f t="shared" si="0"/>
        <v>45212.916666666664</v>
      </c>
      <c r="BA56" s="473">
        <f t="shared" si="1"/>
        <v>45223.375</v>
      </c>
      <c r="BB56" s="479">
        <f t="shared" si="2"/>
        <v>10.458333333335759</v>
      </c>
      <c r="BC56" s="473">
        <v>45212.916666666664</v>
      </c>
      <c r="BD56" s="473">
        <v>45214.763888888891</v>
      </c>
      <c r="BE56" s="473">
        <v>45216.854166666664</v>
      </c>
      <c r="BF56" s="473">
        <v>45217.503472222219</v>
      </c>
      <c r="BG56" s="473">
        <v>45217.645833333336</v>
      </c>
      <c r="BH56" s="473">
        <v>45217.663194444445</v>
      </c>
      <c r="BI56" s="473">
        <v>45217.777777777781</v>
      </c>
      <c r="BJ56" s="473">
        <f t="shared" si="13"/>
        <v>45219.486111111117</v>
      </c>
      <c r="BK56" s="480">
        <v>45219.25</v>
      </c>
      <c r="BL56" s="480">
        <v>45219.416666666664</v>
      </c>
      <c r="BM56" s="480">
        <v>45219.336805555555</v>
      </c>
      <c r="BN56" s="473">
        <v>45220.541666666664</v>
      </c>
      <c r="BO56" s="473">
        <v>45222.722222222219</v>
      </c>
      <c r="BP56" s="473">
        <v>45222.986111111109</v>
      </c>
      <c r="BQ56" s="473">
        <v>45223.006944444445</v>
      </c>
      <c r="BR56" s="473">
        <v>45223.041666666664</v>
      </c>
      <c r="BS56" s="473">
        <v>45223.375</v>
      </c>
      <c r="BT56" s="475"/>
      <c r="BU56" s="475"/>
      <c r="BV56" s="481">
        <f t="shared" si="3"/>
        <v>50.166666666569654</v>
      </c>
      <c r="BW56" s="481">
        <f t="shared" si="4"/>
        <v>3.4166666668024845</v>
      </c>
      <c r="BX56" s="481">
        <f t="shared" si="5"/>
        <v>41.000000000058208</v>
      </c>
      <c r="BY56" s="481">
        <f t="shared" si="11"/>
        <v>27</v>
      </c>
      <c r="BZ56" s="482">
        <f t="shared" si="6"/>
        <v>6.3333333333721384</v>
      </c>
      <c r="CA56" s="482">
        <f t="shared" si="7"/>
        <v>8.0000000000582077</v>
      </c>
      <c r="CB56" s="483">
        <f t="shared" si="8"/>
        <v>5.6631944444525288</v>
      </c>
      <c r="CC56" s="483">
        <f t="shared" si="9"/>
        <v>10.458333333335759</v>
      </c>
      <c r="CD56" s="484">
        <f t="shared" si="10"/>
        <v>0.54150066401127162</v>
      </c>
      <c r="CE56" s="475"/>
      <c r="CF56" s="475"/>
    </row>
    <row r="57" spans="1:84" s="369" customFormat="1">
      <c r="A57" s="474">
        <f t="shared" si="12"/>
        <v>45217.690972222219</v>
      </c>
      <c r="B57" s="475" t="s">
        <v>228</v>
      </c>
      <c r="C57" s="475" t="s">
        <v>229</v>
      </c>
      <c r="D57" s="475" t="s">
        <v>197</v>
      </c>
      <c r="E57" s="476" t="s">
        <v>1445</v>
      </c>
      <c r="F57" s="475"/>
      <c r="G57" s="472">
        <v>45220.458333333336</v>
      </c>
      <c r="H57" s="472">
        <v>45220.4375</v>
      </c>
      <c r="I57" s="667" t="s">
        <v>231</v>
      </c>
      <c r="J57" s="475" t="s">
        <v>192</v>
      </c>
      <c r="K57" s="475" t="s">
        <v>192</v>
      </c>
      <c r="L57" s="667" t="s">
        <v>3334</v>
      </c>
      <c r="M57" s="530"/>
      <c r="N57" s="475" t="s">
        <v>277</v>
      </c>
      <c r="O57" s="475" t="s">
        <v>278</v>
      </c>
      <c r="P57" s="399" t="s">
        <v>240</v>
      </c>
      <c r="Q57" s="477">
        <f>3117*2.4</f>
        <v>7480.7999999999993</v>
      </c>
      <c r="R57" s="477">
        <f>7500+100</f>
        <v>7600</v>
      </c>
      <c r="S57" s="477">
        <v>7711.0320000000002</v>
      </c>
      <c r="T57" s="399"/>
      <c r="U57" s="399"/>
      <c r="V57" s="399"/>
      <c r="W57" s="399"/>
      <c r="X57" s="401"/>
      <c r="Y57" s="580">
        <f t="shared" si="19"/>
        <v>7711.0320000000002</v>
      </c>
      <c r="Z57" s="401"/>
      <c r="AA57" s="401"/>
      <c r="AB57" s="401"/>
      <c r="AC57" s="577"/>
      <c r="AD57" s="475"/>
      <c r="AE57" s="475"/>
      <c r="AF57" s="475"/>
      <c r="AG57" s="475"/>
      <c r="AH57" s="475"/>
      <c r="AI57" s="475"/>
      <c r="AJ57" s="475"/>
      <c r="AK57" s="475"/>
      <c r="AL57" s="475"/>
      <c r="AM57" s="475"/>
      <c r="AN57" s="475"/>
      <c r="AO57" s="475"/>
      <c r="AP57" s="475"/>
      <c r="AQ57" s="475"/>
      <c r="AR57" s="475"/>
      <c r="AS57" s="475"/>
      <c r="AT57" s="475"/>
      <c r="AU57" s="475"/>
      <c r="AV57" s="475"/>
      <c r="AW57" s="475"/>
      <c r="AX57" s="475"/>
      <c r="AY57" s="475"/>
      <c r="AZ57" s="473">
        <f t="shared" si="0"/>
        <v>45214.798611111109</v>
      </c>
      <c r="BA57" s="473">
        <f t="shared" si="1"/>
        <v>45224.743055555555</v>
      </c>
      <c r="BB57" s="479">
        <f t="shared" si="2"/>
        <v>9.9444444444452529</v>
      </c>
      <c r="BC57" s="473">
        <v>45214.798611111109</v>
      </c>
      <c r="BD57" s="473">
        <v>45215.493055555555</v>
      </c>
      <c r="BE57" s="473">
        <v>45217.072916666664</v>
      </c>
      <c r="BF57" s="473">
        <v>45217.690972222219</v>
      </c>
      <c r="BG57" s="473">
        <v>45217.89166666667</v>
      </c>
      <c r="BH57" s="473">
        <v>45217.893750000003</v>
      </c>
      <c r="BI57" s="473">
        <v>45217.895833333336</v>
      </c>
      <c r="BJ57" s="473">
        <f t="shared" si="13"/>
        <v>45219.604166666672</v>
      </c>
      <c r="BK57" s="480">
        <v>45220.25</v>
      </c>
      <c r="BL57" s="480">
        <v>45220.416666666664</v>
      </c>
      <c r="BM57" s="480">
        <v>45220.34375</v>
      </c>
      <c r="BN57" s="473">
        <v>45222.420138888891</v>
      </c>
      <c r="BO57" s="473">
        <v>45224.138888888891</v>
      </c>
      <c r="BP57" s="473">
        <v>45224.378472222219</v>
      </c>
      <c r="BQ57" s="473">
        <v>45224.440972222219</v>
      </c>
      <c r="BR57" s="473">
        <v>45224.5</v>
      </c>
      <c r="BS57" s="473">
        <v>45224.743055555555</v>
      </c>
      <c r="BT57" s="475"/>
      <c r="BU57" s="475"/>
      <c r="BV57" s="481">
        <f t="shared" si="3"/>
        <v>37.916666666627862</v>
      </c>
      <c r="BW57" s="481">
        <f t="shared" si="4"/>
        <v>4.8166666668257676</v>
      </c>
      <c r="BX57" s="481">
        <f t="shared" si="5"/>
        <v>41.000000000058208</v>
      </c>
      <c r="BY57" s="481">
        <f t="shared" si="11"/>
        <v>48.083333333430346</v>
      </c>
      <c r="BZ57" s="482">
        <f t="shared" si="6"/>
        <v>5.7499999998835847</v>
      </c>
      <c r="CA57" s="482">
        <f t="shared" si="7"/>
        <v>5.8333333333139308</v>
      </c>
      <c r="CB57" s="483">
        <f t="shared" si="8"/>
        <v>5.9750000000058208</v>
      </c>
      <c r="CC57" s="483">
        <f t="shared" si="9"/>
        <v>9.9444444444452529</v>
      </c>
      <c r="CD57" s="484">
        <f t="shared" si="10"/>
        <v>0.60083798882735218</v>
      </c>
      <c r="CE57" s="475"/>
      <c r="CF57" s="475"/>
    </row>
    <row r="58" spans="1:84" s="369" customFormat="1">
      <c r="A58" s="474">
        <f t="shared" si="12"/>
        <v>45218.038194444445</v>
      </c>
      <c r="B58" s="475" t="s">
        <v>228</v>
      </c>
      <c r="C58" s="475" t="s">
        <v>229</v>
      </c>
      <c r="D58" s="475" t="s">
        <v>197</v>
      </c>
      <c r="E58" s="476" t="s">
        <v>1445</v>
      </c>
      <c r="F58" s="475"/>
      <c r="G58" s="472">
        <v>45220.458333333336</v>
      </c>
      <c r="H58" s="472">
        <v>45220.4375</v>
      </c>
      <c r="I58" s="667" t="s">
        <v>231</v>
      </c>
      <c r="J58" s="475" t="s">
        <v>192</v>
      </c>
      <c r="K58" s="475" t="s">
        <v>192</v>
      </c>
      <c r="L58" s="667" t="s">
        <v>3335</v>
      </c>
      <c r="M58" s="530"/>
      <c r="N58" s="475" t="s">
        <v>298</v>
      </c>
      <c r="O58" s="475" t="s">
        <v>299</v>
      </c>
      <c r="P58" s="667" t="s">
        <v>240</v>
      </c>
      <c r="Q58" s="477">
        <f>4337*2.4</f>
        <v>10408.799999999999</v>
      </c>
      <c r="R58" s="477">
        <f>10450+100</f>
        <v>10550</v>
      </c>
      <c r="S58" s="477">
        <v>10438.445</v>
      </c>
      <c r="T58" s="667"/>
      <c r="U58" s="667"/>
      <c r="V58" s="667"/>
      <c r="W58" s="667"/>
      <c r="X58" s="667"/>
      <c r="Y58" s="726">
        <f t="shared" si="19"/>
        <v>10438.445</v>
      </c>
      <c r="Z58" s="581"/>
      <c r="AA58" s="581"/>
      <c r="AB58" s="475"/>
      <c r="AC58" s="575"/>
      <c r="AD58" s="575"/>
      <c r="AE58" s="575"/>
      <c r="AF58" s="575"/>
      <c r="AG58" s="575"/>
      <c r="AH58" s="575"/>
      <c r="AI58" s="575"/>
      <c r="AJ58" s="475"/>
      <c r="AK58" s="475"/>
      <c r="AL58" s="475"/>
      <c r="AM58" s="475"/>
      <c r="AN58" s="475"/>
      <c r="AO58" s="475"/>
      <c r="AP58" s="475"/>
      <c r="AQ58" s="475"/>
      <c r="AR58" s="475"/>
      <c r="AS58" s="475"/>
      <c r="AT58" s="475"/>
      <c r="AU58" s="475"/>
      <c r="AV58" s="475"/>
      <c r="AW58" s="475"/>
      <c r="AX58" s="475"/>
      <c r="AY58" s="475"/>
      <c r="AZ58" s="473">
        <f t="shared" si="0"/>
        <v>45213.357638888891</v>
      </c>
      <c r="BA58" s="473">
        <f t="shared" si="1"/>
        <v>45224.430555555555</v>
      </c>
      <c r="BB58" s="479">
        <f t="shared" si="2"/>
        <v>11.072916666664241</v>
      </c>
      <c r="BC58" s="473">
        <v>45213.357638888891</v>
      </c>
      <c r="BD58" s="473">
        <v>45215.756944444445</v>
      </c>
      <c r="BE58" s="473">
        <v>45217.208333333336</v>
      </c>
      <c r="BF58" s="473">
        <v>45218.038194444445</v>
      </c>
      <c r="BG58" s="473">
        <v>45218.243055555555</v>
      </c>
      <c r="BH58" s="473">
        <v>45218.25</v>
      </c>
      <c r="BI58" s="473">
        <v>45218.260416666664</v>
      </c>
      <c r="BJ58" s="473">
        <f t="shared" si="13"/>
        <v>45219.96875</v>
      </c>
      <c r="BK58" s="473">
        <v>45220.25</v>
      </c>
      <c r="BL58" s="473">
        <v>45220.416666666664</v>
      </c>
      <c r="BM58" s="473">
        <v>45220.295138888891</v>
      </c>
      <c r="BN58" s="473">
        <v>45221.645833333336</v>
      </c>
      <c r="BO58" s="473">
        <v>45223.774305555555</v>
      </c>
      <c r="BP58" s="473">
        <v>45224.076388888891</v>
      </c>
      <c r="BQ58" s="473">
        <v>45224.097222222219</v>
      </c>
      <c r="BR58" s="473">
        <v>45224.121527777781</v>
      </c>
      <c r="BS58" s="473">
        <v>45224.430555555555</v>
      </c>
      <c r="BT58" s="475"/>
      <c r="BU58" s="475"/>
      <c r="BV58" s="481">
        <f t="shared" si="3"/>
        <v>34.833333333372138</v>
      </c>
      <c r="BW58" s="481">
        <f t="shared" si="4"/>
        <v>4.9166666666278616</v>
      </c>
      <c r="BX58" s="481">
        <f t="shared" si="5"/>
        <v>41.000000000058208</v>
      </c>
      <c r="BY58" s="481">
        <f t="shared" si="11"/>
        <v>29.500000000116415</v>
      </c>
      <c r="BZ58" s="482">
        <f t="shared" si="6"/>
        <v>7.2500000000582077</v>
      </c>
      <c r="CA58" s="482">
        <f t="shared" si="7"/>
        <v>7.4166666665696539</v>
      </c>
      <c r="CB58" s="483">
        <f t="shared" si="8"/>
        <v>5.2048611111167702</v>
      </c>
      <c r="CC58" s="483">
        <f t="shared" si="9"/>
        <v>11.072916666664241</v>
      </c>
      <c r="CD58" s="484">
        <f t="shared" si="10"/>
        <v>0.47005330824771341</v>
      </c>
      <c r="CE58" s="475"/>
      <c r="CF58" s="475"/>
    </row>
    <row r="59" spans="1:84" s="369" customFormat="1">
      <c r="A59" s="474">
        <f t="shared" si="12"/>
        <v>45218.34375</v>
      </c>
      <c r="B59" s="475" t="s">
        <v>228</v>
      </c>
      <c r="C59" s="475" t="s">
        <v>229</v>
      </c>
      <c r="D59" s="475" t="s">
        <v>215</v>
      </c>
      <c r="E59" s="476" t="s">
        <v>1445</v>
      </c>
      <c r="F59" s="475"/>
      <c r="G59" s="472">
        <v>45220.458333333336</v>
      </c>
      <c r="H59" s="472">
        <v>45220.4375</v>
      </c>
      <c r="I59" s="667" t="s">
        <v>231</v>
      </c>
      <c r="J59" s="475" t="s">
        <v>192</v>
      </c>
      <c r="K59" s="475" t="s">
        <v>192</v>
      </c>
      <c r="L59" s="667" t="s">
        <v>3336</v>
      </c>
      <c r="M59" s="530"/>
      <c r="N59" s="475" t="s">
        <v>301</v>
      </c>
      <c r="O59" s="475" t="s">
        <v>302</v>
      </c>
      <c r="P59" s="667" t="s">
        <v>240</v>
      </c>
      <c r="Q59" s="477">
        <f>3852*2.4</f>
        <v>9244.7999999999993</v>
      </c>
      <c r="R59" s="477">
        <v>9250</v>
      </c>
      <c r="S59" s="477">
        <f>9212.506-6859.404</f>
        <v>2353.101999999999</v>
      </c>
      <c r="T59" s="667"/>
      <c r="U59" s="581"/>
      <c r="V59" s="581"/>
      <c r="W59" s="581"/>
      <c r="X59" s="667"/>
      <c r="Y59" s="726">
        <f t="shared" si="19"/>
        <v>2353.101999999999</v>
      </c>
      <c r="Z59" s="581"/>
      <c r="AA59" s="581"/>
      <c r="AB59" s="575"/>
      <c r="AC59" s="475"/>
      <c r="AD59" s="475"/>
      <c r="AE59" s="475"/>
      <c r="AF59" s="475"/>
      <c r="AG59" s="475"/>
      <c r="AH59" s="475"/>
      <c r="AI59" s="475"/>
      <c r="AJ59" s="475"/>
      <c r="AK59" s="475"/>
      <c r="AL59" s="475"/>
      <c r="AM59" s="475"/>
      <c r="AN59" s="475"/>
      <c r="AO59" s="475"/>
      <c r="AP59" s="475"/>
      <c r="AQ59" s="475"/>
      <c r="AR59" s="475"/>
      <c r="AS59" s="475"/>
      <c r="AT59" s="475"/>
      <c r="AU59" s="475"/>
      <c r="AV59" s="475"/>
      <c r="AW59" s="475"/>
      <c r="AX59" s="475"/>
      <c r="AY59" s="475"/>
      <c r="AZ59" s="473">
        <f t="shared" si="0"/>
        <v>45213.923611111109</v>
      </c>
      <c r="BA59" s="473">
        <f t="shared" si="1"/>
        <v>45224.875</v>
      </c>
      <c r="BB59" s="479">
        <f t="shared" si="2"/>
        <v>10.951388888890506</v>
      </c>
      <c r="BC59" s="473">
        <v>45213.923611111109</v>
      </c>
      <c r="BD59" s="473">
        <v>45215.729166666664</v>
      </c>
      <c r="BE59" s="473">
        <v>45217.260416666664</v>
      </c>
      <c r="BF59" s="473">
        <v>45218.34375</v>
      </c>
      <c r="BG59" s="473">
        <v>45218.607638888891</v>
      </c>
      <c r="BH59" s="473">
        <v>45218.614583333336</v>
      </c>
      <c r="BI59" s="473">
        <v>45218.621527777781</v>
      </c>
      <c r="BJ59" s="473">
        <f t="shared" si="13"/>
        <v>45220.329861111117</v>
      </c>
      <c r="BK59" s="480">
        <v>45220.25</v>
      </c>
      <c r="BL59" s="480">
        <v>45220.416666666664</v>
      </c>
      <c r="BM59" s="480">
        <v>45220.416666666664</v>
      </c>
      <c r="BN59" s="473">
        <v>45221.954861111109</v>
      </c>
      <c r="BO59" s="473">
        <v>45224.736111111109</v>
      </c>
      <c r="BP59" s="473">
        <v>45224.819444444445</v>
      </c>
      <c r="BQ59" s="473">
        <v>45224.875</v>
      </c>
      <c r="BR59" s="473">
        <v>45224.875</v>
      </c>
      <c r="BS59" s="473">
        <v>45224.875</v>
      </c>
      <c r="BT59" s="475"/>
      <c r="BU59" s="475"/>
      <c r="BV59" s="481">
        <f t="shared" si="3"/>
        <v>36.75</v>
      </c>
      <c r="BW59" s="481">
        <f t="shared" si="4"/>
        <v>6.3333333333721384</v>
      </c>
      <c r="BX59" s="481">
        <f t="shared" si="5"/>
        <v>41.000000000058208</v>
      </c>
      <c r="BY59" s="481">
        <f t="shared" si="11"/>
        <v>36.916666666686069</v>
      </c>
      <c r="BZ59" s="482">
        <f t="shared" si="6"/>
        <v>2.0000000000582077</v>
      </c>
      <c r="CA59" s="482">
        <f t="shared" si="7"/>
        <v>0</v>
      </c>
      <c r="CB59" s="483">
        <f t="shared" si="8"/>
        <v>5.125000000007276</v>
      </c>
      <c r="CC59" s="483">
        <f t="shared" si="9"/>
        <v>10.951388888890506</v>
      </c>
      <c r="CD59" s="484">
        <f t="shared" si="10"/>
        <v>0.46797717184587112</v>
      </c>
      <c r="CE59" s="475"/>
      <c r="CF59" s="475"/>
    </row>
    <row r="60" spans="1:84" s="369" customFormat="1">
      <c r="A60" s="474">
        <f t="shared" si="12"/>
        <v>45218.34375</v>
      </c>
      <c r="B60" s="475" t="s">
        <v>228</v>
      </c>
      <c r="C60" s="475" t="s">
        <v>229</v>
      </c>
      <c r="D60" s="475" t="s">
        <v>215</v>
      </c>
      <c r="E60" s="667" t="s">
        <v>1465</v>
      </c>
      <c r="F60" s="475"/>
      <c r="G60" s="472">
        <v>45221.333333333336</v>
      </c>
      <c r="H60" s="472">
        <v>45221.270833333336</v>
      </c>
      <c r="I60" s="667" t="s">
        <v>231</v>
      </c>
      <c r="J60" s="475" t="s">
        <v>192</v>
      </c>
      <c r="K60" s="475" t="s">
        <v>192</v>
      </c>
      <c r="L60" s="667" t="s">
        <v>3336</v>
      </c>
      <c r="M60" s="530"/>
      <c r="N60" s="475" t="s">
        <v>301</v>
      </c>
      <c r="O60" s="475" t="s">
        <v>302</v>
      </c>
      <c r="P60" s="667" t="s">
        <v>240</v>
      </c>
      <c r="Q60" s="477">
        <f>3852*2.4</f>
        <v>9244.7999999999993</v>
      </c>
      <c r="R60" s="477">
        <v>9250</v>
      </c>
      <c r="S60" s="477">
        <f>6506.139</f>
        <v>6506.1390000000001</v>
      </c>
      <c r="T60" s="399"/>
      <c r="U60" s="581"/>
      <c r="V60" s="581"/>
      <c r="W60" s="581"/>
      <c r="X60" s="667"/>
      <c r="Y60" s="726">
        <f t="shared" si="19"/>
        <v>6506.1390000000001</v>
      </c>
      <c r="Z60" s="581"/>
      <c r="AA60" s="581"/>
      <c r="AB60" s="575"/>
      <c r="AC60" s="475"/>
      <c r="AD60" s="475"/>
      <c r="AE60" s="475"/>
      <c r="AF60" s="475"/>
      <c r="AG60" s="475"/>
      <c r="AH60" s="475"/>
      <c r="AI60" s="475"/>
      <c r="AJ60" s="475"/>
      <c r="AK60" s="475"/>
      <c r="AL60" s="475"/>
      <c r="AM60" s="475"/>
      <c r="AN60" s="475"/>
      <c r="AO60" s="475"/>
      <c r="AP60" s="475"/>
      <c r="AQ60" s="475"/>
      <c r="AR60" s="475"/>
      <c r="AS60" s="475"/>
      <c r="AT60" s="475"/>
      <c r="AU60" s="475"/>
      <c r="AV60" s="475"/>
      <c r="AW60" s="475"/>
      <c r="AX60" s="475"/>
      <c r="AY60" s="475"/>
      <c r="AZ60" s="473">
        <f t="shared" si="0"/>
        <v>45213.923611111109</v>
      </c>
      <c r="BA60" s="473">
        <f t="shared" si="1"/>
        <v>45227.315972222219</v>
      </c>
      <c r="BB60" s="479">
        <f t="shared" si="2"/>
        <v>13.392361111109494</v>
      </c>
      <c r="BC60" s="473">
        <v>45213.923611111109</v>
      </c>
      <c r="BD60" s="473">
        <v>45215.729166666664</v>
      </c>
      <c r="BE60" s="473">
        <v>45217.260416666664</v>
      </c>
      <c r="BF60" s="473">
        <v>45218.34375</v>
      </c>
      <c r="BG60" s="473">
        <v>45218.607638888891</v>
      </c>
      <c r="BH60" s="473">
        <v>45218.614583333336</v>
      </c>
      <c r="BI60" s="473">
        <v>45218.621527777781</v>
      </c>
      <c r="BJ60" s="473">
        <f t="shared" si="13"/>
        <v>45220.329861111117</v>
      </c>
      <c r="BK60" s="473">
        <v>45220.25</v>
      </c>
      <c r="BL60" s="473">
        <v>45220.416666666664</v>
      </c>
      <c r="BM60" s="473">
        <v>45220.416666666664</v>
      </c>
      <c r="BN60" s="473">
        <v>45224.875</v>
      </c>
      <c r="BO60" s="473">
        <v>45226.53125</v>
      </c>
      <c r="BP60" s="473">
        <v>45226.84375</v>
      </c>
      <c r="BQ60" s="473">
        <v>45226.864583333336</v>
      </c>
      <c r="BR60" s="473">
        <v>45226.864583333336</v>
      </c>
      <c r="BS60" s="473">
        <v>45227.315972222219</v>
      </c>
      <c r="BT60" s="475"/>
      <c r="BU60" s="475"/>
      <c r="BV60" s="481">
        <f t="shared" si="3"/>
        <v>36.75</v>
      </c>
      <c r="BW60" s="481">
        <f t="shared" si="4"/>
        <v>6.3333333333721384</v>
      </c>
      <c r="BX60" s="481">
        <f t="shared" si="5"/>
        <v>41.000000000058208</v>
      </c>
      <c r="BY60" s="481">
        <f t="shared" si="11"/>
        <v>107.00000000005821</v>
      </c>
      <c r="BZ60" s="482">
        <f t="shared" si="6"/>
        <v>7.5</v>
      </c>
      <c r="CA60" s="482">
        <f t="shared" si="7"/>
        <v>10.833333333197515</v>
      </c>
      <c r="CB60" s="483">
        <f t="shared" si="8"/>
        <v>8.7256944444452529</v>
      </c>
      <c r="CC60" s="483">
        <f t="shared" si="9"/>
        <v>13.392361111109494</v>
      </c>
      <c r="CD60" s="484">
        <f t="shared" si="10"/>
        <v>0.65154264972790676</v>
      </c>
      <c r="CE60" s="475"/>
      <c r="CF60" s="475"/>
    </row>
    <row r="61" spans="1:84" s="369" customFormat="1">
      <c r="A61" s="474">
        <f t="shared" si="12"/>
        <v>45218.970138888886</v>
      </c>
      <c r="B61" s="475" t="s">
        <v>228</v>
      </c>
      <c r="C61" s="475" t="s">
        <v>229</v>
      </c>
      <c r="D61" s="475" t="s">
        <v>197</v>
      </c>
      <c r="E61" s="476" t="s">
        <v>1445</v>
      </c>
      <c r="F61" s="475"/>
      <c r="G61" s="472">
        <v>45220.458333333336</v>
      </c>
      <c r="H61" s="472">
        <v>45220.4375</v>
      </c>
      <c r="I61" s="667" t="s">
        <v>231</v>
      </c>
      <c r="J61" s="475" t="s">
        <v>192</v>
      </c>
      <c r="K61" s="475" t="s">
        <v>192</v>
      </c>
      <c r="L61" s="667" t="s">
        <v>3337</v>
      </c>
      <c r="M61" s="530"/>
      <c r="N61" s="475" t="s">
        <v>213</v>
      </c>
      <c r="O61" s="475" t="s">
        <v>214</v>
      </c>
      <c r="P61" s="667" t="s">
        <v>240</v>
      </c>
      <c r="Q61" s="477">
        <f>3113*2.4</f>
        <v>7471.2</v>
      </c>
      <c r="R61" s="477">
        <f>7500+100</f>
        <v>7600</v>
      </c>
      <c r="S61" s="477">
        <v>7553.5889999999999</v>
      </c>
      <c r="T61" s="667"/>
      <c r="U61" s="667"/>
      <c r="V61" s="667"/>
      <c r="W61" s="667"/>
      <c r="X61" s="667"/>
      <c r="Y61" s="726">
        <f t="shared" si="19"/>
        <v>7553.5889999999999</v>
      </c>
      <c r="Z61" s="581"/>
      <c r="AA61" s="581"/>
      <c r="AB61" s="581"/>
      <c r="AC61" s="475"/>
      <c r="AD61" s="475"/>
      <c r="AE61" s="475"/>
      <c r="AF61" s="475"/>
      <c r="AG61" s="475"/>
      <c r="AH61" s="475"/>
      <c r="AI61" s="475"/>
      <c r="AJ61" s="475"/>
      <c r="AK61" s="475"/>
      <c r="AL61" s="475"/>
      <c r="AM61" s="475"/>
      <c r="AN61" s="475"/>
      <c r="AO61" s="475"/>
      <c r="AP61" s="475"/>
      <c r="AQ61" s="475"/>
      <c r="AR61" s="475"/>
      <c r="AS61" s="475"/>
      <c r="AT61" s="475"/>
      <c r="AU61" s="475"/>
      <c r="AV61" s="475"/>
      <c r="AW61" s="475"/>
      <c r="AX61" s="475"/>
      <c r="AY61" s="475"/>
      <c r="AZ61" s="473">
        <f t="shared" si="0"/>
        <v>45213.104166666664</v>
      </c>
      <c r="BA61" s="473">
        <f t="shared" si="1"/>
        <v>45224.979166666664</v>
      </c>
      <c r="BB61" s="479">
        <f t="shared" si="2"/>
        <v>11.875</v>
      </c>
      <c r="BC61" s="473">
        <v>45213.104166666664</v>
      </c>
      <c r="BD61" s="473">
        <v>45215.802083333336</v>
      </c>
      <c r="BE61" s="473">
        <v>45217.347222222219</v>
      </c>
      <c r="BF61" s="473">
        <v>45218.970138888886</v>
      </c>
      <c r="BG61" s="473">
        <v>45219.109027777777</v>
      </c>
      <c r="BH61" s="473">
        <v>45219.118055555555</v>
      </c>
      <c r="BI61" s="473">
        <v>45219.267361111109</v>
      </c>
      <c r="BJ61" s="473">
        <f t="shared" si="13"/>
        <v>45220.975694444445</v>
      </c>
      <c r="BK61" s="480">
        <v>45221.25</v>
      </c>
      <c r="BL61" s="480">
        <v>45221.416666666664</v>
      </c>
      <c r="BM61" s="480">
        <v>45221.277777777781</v>
      </c>
      <c r="BN61" s="473">
        <v>45222.482638888891</v>
      </c>
      <c r="BO61" s="473">
        <v>45224.440972222219</v>
      </c>
      <c r="BP61" s="473">
        <v>45224.673611111109</v>
      </c>
      <c r="BQ61" s="473">
        <v>45224.694444444445</v>
      </c>
      <c r="BR61" s="473">
        <v>45224.708333333336</v>
      </c>
      <c r="BS61" s="473">
        <v>45224.979166666664</v>
      </c>
      <c r="BT61" s="475"/>
      <c r="BU61" s="475"/>
      <c r="BV61" s="481">
        <f t="shared" si="3"/>
        <v>37.083333333197515</v>
      </c>
      <c r="BW61" s="481">
        <f t="shared" si="4"/>
        <v>3.3333333333721384</v>
      </c>
      <c r="BX61" s="481">
        <f t="shared" si="5"/>
        <v>41.000000000058208</v>
      </c>
      <c r="BY61" s="481">
        <f t="shared" si="11"/>
        <v>25.583333333430346</v>
      </c>
      <c r="BZ61" s="482">
        <f t="shared" si="6"/>
        <v>5.5833333333721384</v>
      </c>
      <c r="CA61" s="482">
        <f t="shared" si="7"/>
        <v>6.4999999998835847</v>
      </c>
      <c r="CB61" s="483">
        <f t="shared" si="8"/>
        <v>4.9618055555547471</v>
      </c>
      <c r="CC61" s="483">
        <f t="shared" si="9"/>
        <v>11.875</v>
      </c>
      <c r="CD61" s="484">
        <f t="shared" si="10"/>
        <v>0.41783625730987345</v>
      </c>
      <c r="CE61" s="475"/>
      <c r="CF61" s="475"/>
    </row>
    <row r="62" spans="1:84" s="475" customFormat="1">
      <c r="A62" s="474">
        <f t="shared" si="12"/>
        <v>45219.713194444441</v>
      </c>
      <c r="B62" s="475" t="s">
        <v>228</v>
      </c>
      <c r="C62" s="475" t="s">
        <v>229</v>
      </c>
      <c r="D62" s="475" t="s">
        <v>215</v>
      </c>
      <c r="E62" s="667" t="s">
        <v>3338</v>
      </c>
      <c r="G62" s="472">
        <v>45227.458333333336</v>
      </c>
      <c r="H62" s="472">
        <v>45227.458333333336</v>
      </c>
      <c r="I62" s="667" t="s">
        <v>243</v>
      </c>
      <c r="J62" s="475" t="s">
        <v>192</v>
      </c>
      <c r="K62" s="475" t="s">
        <v>192</v>
      </c>
      <c r="L62" s="667" t="s">
        <v>3339</v>
      </c>
      <c r="M62" s="530"/>
      <c r="N62" s="475" t="s">
        <v>310</v>
      </c>
      <c r="O62" s="475" t="s">
        <v>219</v>
      </c>
      <c r="P62" s="667" t="s">
        <v>235</v>
      </c>
      <c r="Q62" s="477">
        <f>3087*2.4</f>
        <v>7408.7999999999993</v>
      </c>
      <c r="R62" s="477">
        <f>7450+100</f>
        <v>7550</v>
      </c>
      <c r="S62" s="477">
        <v>7670.9849999999997</v>
      </c>
      <c r="T62" s="399"/>
      <c r="U62" s="399"/>
      <c r="V62" s="399"/>
      <c r="W62" s="399"/>
      <c r="X62" s="724">
        <f>S62</f>
        <v>7670.9849999999997</v>
      </c>
      <c r="Y62" s="399"/>
      <c r="Z62" s="401"/>
      <c r="AA62" s="401"/>
      <c r="AB62" s="401"/>
      <c r="AZ62" s="473">
        <f t="shared" si="0"/>
        <v>45214.923611111109</v>
      </c>
      <c r="BA62" s="473">
        <f t="shared" si="1"/>
        <v>45227.090277777781</v>
      </c>
      <c r="BB62" s="479">
        <f t="shared" si="2"/>
        <v>12.166666666671517</v>
      </c>
      <c r="BC62" s="473">
        <v>45214.923611111109</v>
      </c>
      <c r="BD62" s="473">
        <v>45215.833333333336</v>
      </c>
      <c r="BE62" s="473">
        <v>45217.690972222219</v>
      </c>
      <c r="BF62" s="473">
        <v>45219.713194444441</v>
      </c>
      <c r="BG62" s="473">
        <v>45219.930555555555</v>
      </c>
      <c r="BH62" s="473">
        <v>45219.934027777781</v>
      </c>
      <c r="BI62" s="473">
        <v>45220.298611111109</v>
      </c>
      <c r="BJ62" s="473">
        <f t="shared" si="13"/>
        <v>45222.006944444445</v>
      </c>
      <c r="BK62" s="480">
        <v>45222.541666666664</v>
      </c>
      <c r="BL62" s="480">
        <v>45222.708333333328</v>
      </c>
      <c r="BM62" s="480">
        <v>45222.649305555555</v>
      </c>
      <c r="BN62" s="473">
        <v>45224.392361111109</v>
      </c>
      <c r="BO62" s="473">
        <v>45226.243055555555</v>
      </c>
      <c r="BP62" s="473">
        <v>45226.510416666664</v>
      </c>
      <c r="BQ62" s="473">
        <v>45226.545138888891</v>
      </c>
      <c r="BR62" s="473">
        <v>45226.645833333336</v>
      </c>
      <c r="BS62" s="473">
        <v>45227.090277777781</v>
      </c>
      <c r="BV62" s="481">
        <f t="shared" si="3"/>
        <v>44.583333333197515</v>
      </c>
      <c r="BW62" s="481">
        <f t="shared" si="4"/>
        <v>5.2166666667326353</v>
      </c>
      <c r="BX62" s="481">
        <f t="shared" si="5"/>
        <v>41.000000000058208</v>
      </c>
      <c r="BY62" s="481">
        <f t="shared" si="11"/>
        <v>40.416666666744277</v>
      </c>
      <c r="BZ62" s="482">
        <f t="shared" si="6"/>
        <v>6.4166666666278616</v>
      </c>
      <c r="CA62" s="482">
        <f t="shared" si="7"/>
        <v>10.666666666686069</v>
      </c>
      <c r="CB62" s="483">
        <f t="shared" si="8"/>
        <v>6.1791666666686069</v>
      </c>
      <c r="CC62" s="483">
        <f t="shared" si="9"/>
        <v>12.166666666671517</v>
      </c>
      <c r="CD62" s="484">
        <f t="shared" si="10"/>
        <v>0.50787671232872411</v>
      </c>
    </row>
    <row r="63" spans="1:84" s="475" customFormat="1">
      <c r="A63" s="474">
        <f t="shared" si="12"/>
        <v>45220.138888888891</v>
      </c>
      <c r="B63" s="475" t="s">
        <v>228</v>
      </c>
      <c r="C63" s="475" t="s">
        <v>229</v>
      </c>
      <c r="D63" s="475" t="s">
        <v>197</v>
      </c>
      <c r="E63" s="667" t="s">
        <v>3338</v>
      </c>
      <c r="G63" s="472">
        <v>45227.458333333336</v>
      </c>
      <c r="H63" s="472">
        <v>45227.458333333336</v>
      </c>
      <c r="I63" s="667" t="s">
        <v>243</v>
      </c>
      <c r="J63" s="475" t="s">
        <v>192</v>
      </c>
      <c r="K63" s="475" t="s">
        <v>192</v>
      </c>
      <c r="L63" s="667" t="s">
        <v>3340</v>
      </c>
      <c r="M63" s="530"/>
      <c r="N63" s="475" t="s">
        <v>805</v>
      </c>
      <c r="O63" s="475" t="s">
        <v>381</v>
      </c>
      <c r="P63" s="667" t="s">
        <v>235</v>
      </c>
      <c r="Q63" s="477">
        <f>3100*2.4</f>
        <v>7440</v>
      </c>
      <c r="R63" s="477">
        <f>7450+100</f>
        <v>7550</v>
      </c>
      <c r="S63" s="477">
        <v>7510.1440000000002</v>
      </c>
      <c r="T63" s="667"/>
      <c r="U63" s="581"/>
      <c r="V63" s="581"/>
      <c r="W63" s="581"/>
      <c r="X63" s="724">
        <f>S63</f>
        <v>7510.1440000000002</v>
      </c>
      <c r="Y63" s="399"/>
      <c r="Z63" s="401"/>
      <c r="AA63" s="401"/>
      <c r="AB63" s="401"/>
      <c r="AZ63" s="473">
        <f t="shared" si="0"/>
        <v>45215.375</v>
      </c>
      <c r="BA63" s="473">
        <f t="shared" si="1"/>
        <v>45227.5</v>
      </c>
      <c r="BB63" s="479">
        <f t="shared" si="2"/>
        <v>12.125</v>
      </c>
      <c r="BC63" s="473">
        <v>45215.375</v>
      </c>
      <c r="BD63" s="473">
        <v>45216.597222222219</v>
      </c>
      <c r="BE63" s="473">
        <v>45218.375</v>
      </c>
      <c r="BF63" s="473">
        <v>45220.138888888891</v>
      </c>
      <c r="BG63" s="473">
        <v>45220.409722222219</v>
      </c>
      <c r="BH63" s="473">
        <v>45220.413194444445</v>
      </c>
      <c r="BI63" s="473">
        <v>45220.520833333336</v>
      </c>
      <c r="BJ63" s="473">
        <f t="shared" si="13"/>
        <v>45222.229166666672</v>
      </c>
      <c r="BK63" s="480">
        <v>45222.541666666664</v>
      </c>
      <c r="BL63" s="480">
        <v>45222.708333333328</v>
      </c>
      <c r="BM63" s="480">
        <v>45222.583333333336</v>
      </c>
      <c r="BN63" s="473">
        <v>45224.631944444445</v>
      </c>
      <c r="BO63" s="473">
        <v>45226.597222222219</v>
      </c>
      <c r="BP63" s="473">
        <v>45226.875</v>
      </c>
      <c r="BQ63" s="473">
        <v>45226.885416666664</v>
      </c>
      <c r="BR63" s="473">
        <v>45227.041666666664</v>
      </c>
      <c r="BS63" s="473">
        <v>45227.5</v>
      </c>
      <c r="BV63" s="481">
        <f t="shared" si="3"/>
        <v>42.666666666744277</v>
      </c>
      <c r="BW63" s="481">
        <f t="shared" si="4"/>
        <v>6.4999999998835847</v>
      </c>
      <c r="BX63" s="481">
        <f t="shared" si="5"/>
        <v>41.000000000058208</v>
      </c>
      <c r="BY63" s="481">
        <f t="shared" si="11"/>
        <v>46.166666666802485</v>
      </c>
      <c r="BZ63" s="482">
        <f t="shared" si="6"/>
        <v>6.6666666667442769</v>
      </c>
      <c r="CA63" s="482">
        <f t="shared" si="7"/>
        <v>11.000000000058208</v>
      </c>
      <c r="CB63" s="483">
        <f t="shared" si="8"/>
        <v>6.4166666666787933</v>
      </c>
      <c r="CC63" s="483">
        <f t="shared" si="9"/>
        <v>12.125</v>
      </c>
      <c r="CD63" s="484">
        <f t="shared" si="10"/>
        <v>0.52920962199412724</v>
      </c>
    </row>
    <row r="64" spans="1:84" s="475" customFormat="1">
      <c r="A64" s="474">
        <f t="shared" si="12"/>
        <v>45219.956944444442</v>
      </c>
      <c r="B64" s="475" t="s">
        <v>228</v>
      </c>
      <c r="C64" s="475" t="s">
        <v>229</v>
      </c>
      <c r="D64" s="475" t="s">
        <v>215</v>
      </c>
      <c r="E64" s="667" t="s">
        <v>3113</v>
      </c>
      <c r="G64" s="472">
        <v>45218.104166666664</v>
      </c>
      <c r="H64" s="472">
        <v>45218.020833333336</v>
      </c>
      <c r="I64" s="667" t="s">
        <v>231</v>
      </c>
      <c r="J64" s="475" t="s">
        <v>192</v>
      </c>
      <c r="K64" s="475" t="s">
        <v>192</v>
      </c>
      <c r="L64" s="667" t="s">
        <v>3341</v>
      </c>
      <c r="M64" s="530"/>
      <c r="N64" s="475" t="s">
        <v>422</v>
      </c>
      <c r="O64" s="475" t="s">
        <v>3342</v>
      </c>
      <c r="P64" s="399" t="s">
        <v>418</v>
      </c>
      <c r="Q64" s="477">
        <f>3094*2.4</f>
        <v>7425.5999999999995</v>
      </c>
      <c r="R64" s="477">
        <f>7450+100</f>
        <v>7550</v>
      </c>
      <c r="S64" s="477">
        <v>7505.0569999999998</v>
      </c>
      <c r="T64" s="399"/>
      <c r="U64" s="399"/>
      <c r="V64" s="399"/>
      <c r="W64" s="399"/>
      <c r="X64" s="724">
        <f t="shared" ref="X64:X80" si="20">S64*0.6</f>
        <v>4503.0342000000001</v>
      </c>
      <c r="Y64" s="724">
        <f t="shared" ref="Y64:Y80" si="21">S64*0.4</f>
        <v>3002.0228000000002</v>
      </c>
      <c r="Z64" s="581"/>
      <c r="AA64" s="581"/>
      <c r="AB64" s="401"/>
      <c r="AZ64" s="473">
        <f t="shared" si="0"/>
        <v>45214.361111111109</v>
      </c>
      <c r="BA64" s="473">
        <f t="shared" si="1"/>
        <v>45226.875</v>
      </c>
      <c r="BB64" s="479">
        <f t="shared" si="2"/>
        <v>12.513888888890506</v>
      </c>
      <c r="BC64" s="473">
        <v>45214.361111111109</v>
      </c>
      <c r="BD64" s="473">
        <v>45216.600694444445</v>
      </c>
      <c r="BE64" s="473">
        <v>45218.232638888891</v>
      </c>
      <c r="BF64" s="473">
        <v>45219.956944444442</v>
      </c>
      <c r="BG64" s="473">
        <v>45220.114583333336</v>
      </c>
      <c r="BH64" s="473">
        <v>45220.121527777781</v>
      </c>
      <c r="BI64" s="473">
        <v>45220.291666666664</v>
      </c>
      <c r="BJ64" s="473">
        <f t="shared" si="13"/>
        <v>45222</v>
      </c>
      <c r="BK64" s="480">
        <v>45222.541666666664</v>
      </c>
      <c r="BL64" s="480">
        <v>45222.708333333328</v>
      </c>
      <c r="BM64" s="480">
        <v>45222.666666666664</v>
      </c>
      <c r="BN64" s="473">
        <v>45223.84375</v>
      </c>
      <c r="BO64" s="473">
        <v>45226.364583333336</v>
      </c>
      <c r="BP64" s="473">
        <v>45226.611111111109</v>
      </c>
      <c r="BQ64" s="473">
        <v>45226.638888888891</v>
      </c>
      <c r="BR64" s="473">
        <v>45226.638888888891</v>
      </c>
      <c r="BS64" s="473">
        <v>45226.875</v>
      </c>
      <c r="BT64" s="475" t="s">
        <v>3343</v>
      </c>
      <c r="BV64" s="481">
        <f t="shared" si="3"/>
        <v>39.166666666686069</v>
      </c>
      <c r="BW64" s="481">
        <f t="shared" si="4"/>
        <v>3.7833333334419876</v>
      </c>
      <c r="BX64" s="481">
        <f t="shared" si="5"/>
        <v>41.000000000058208</v>
      </c>
      <c r="BY64" s="481">
        <f t="shared" si="11"/>
        <v>27.250000000116415</v>
      </c>
      <c r="BZ64" s="482">
        <f t="shared" si="6"/>
        <v>5.9166666665696539</v>
      </c>
      <c r="CA64" s="482">
        <f t="shared" si="7"/>
        <v>5.6666666666278616</v>
      </c>
      <c r="CB64" s="483">
        <f t="shared" si="8"/>
        <v>5.1159722222291748</v>
      </c>
      <c r="CC64" s="483">
        <f t="shared" si="9"/>
        <v>12.513888888890506</v>
      </c>
      <c r="CD64" s="484">
        <f t="shared" si="10"/>
        <v>0.40882352941226746</v>
      </c>
    </row>
    <row r="65" spans="1:82" s="475" customFormat="1">
      <c r="A65" s="474">
        <f t="shared" si="12"/>
        <v>45220.621527777781</v>
      </c>
      <c r="B65" s="475" t="s">
        <v>228</v>
      </c>
      <c r="C65" s="475" t="s">
        <v>229</v>
      </c>
      <c r="D65" s="475" t="s">
        <v>197</v>
      </c>
      <c r="E65" s="667" t="s">
        <v>3113</v>
      </c>
      <c r="G65" s="472">
        <v>45218.104166666664</v>
      </c>
      <c r="H65" s="472">
        <v>45218.020833333336</v>
      </c>
      <c r="I65" s="667" t="s">
        <v>231</v>
      </c>
      <c r="J65" s="475" t="s">
        <v>192</v>
      </c>
      <c r="K65" s="475" t="s">
        <v>192</v>
      </c>
      <c r="L65" s="667" t="s">
        <v>3344</v>
      </c>
      <c r="M65" s="530"/>
      <c r="N65" s="475" t="s">
        <v>2404</v>
      </c>
      <c r="O65" s="475" t="s">
        <v>2405</v>
      </c>
      <c r="P65" s="399" t="s">
        <v>418</v>
      </c>
      <c r="Q65" s="477">
        <f>4337*2.4</f>
        <v>10408.799999999999</v>
      </c>
      <c r="R65" s="477">
        <f>10500+100</f>
        <v>10600</v>
      </c>
      <c r="S65" s="477">
        <v>10406.924999999999</v>
      </c>
      <c r="T65" s="399"/>
      <c r="U65" s="401"/>
      <c r="V65" s="401"/>
      <c r="W65" s="401"/>
      <c r="X65" s="724">
        <f t="shared" si="20"/>
        <v>6244.1549999999997</v>
      </c>
      <c r="Y65" s="724">
        <f t="shared" si="21"/>
        <v>4162.7699999999995</v>
      </c>
      <c r="Z65" s="581"/>
      <c r="AA65" s="581"/>
      <c r="AB65" s="401"/>
      <c r="AZ65" s="473">
        <f t="shared" si="0"/>
        <v>45214.336805555555</v>
      </c>
      <c r="BA65" s="473">
        <f t="shared" si="1"/>
        <v>45227.333333333336</v>
      </c>
      <c r="BB65" s="479">
        <f t="shared" si="2"/>
        <v>12.996527777781012</v>
      </c>
      <c r="BC65" s="473">
        <v>45214.336805555555</v>
      </c>
      <c r="BD65" s="473">
        <v>45216.805555555555</v>
      </c>
      <c r="BE65" s="473">
        <v>45218.4375</v>
      </c>
      <c r="BF65" s="473">
        <v>45220.621527777781</v>
      </c>
      <c r="BG65" s="473">
        <v>45220.887499999997</v>
      </c>
      <c r="BH65" s="473">
        <v>45220.899305555555</v>
      </c>
      <c r="BI65" s="473">
        <v>45221.229166666664</v>
      </c>
      <c r="BJ65" s="473">
        <f t="shared" si="13"/>
        <v>45222.9375</v>
      </c>
      <c r="BK65" s="480">
        <v>45222.541666666664</v>
      </c>
      <c r="BL65" s="480">
        <v>45222.708333333328</v>
      </c>
      <c r="BM65" s="480">
        <v>45222.75</v>
      </c>
      <c r="BN65" s="473">
        <v>45224.284722222219</v>
      </c>
      <c r="BO65" s="473">
        <v>45226.680555555555</v>
      </c>
      <c r="BP65" s="473">
        <v>45227.013888888891</v>
      </c>
      <c r="BQ65" s="473">
        <v>45227.041666666664</v>
      </c>
      <c r="BR65" s="473">
        <v>45227.041666666664</v>
      </c>
      <c r="BS65" s="473">
        <v>45227.333333333336</v>
      </c>
      <c r="BV65" s="481">
        <f t="shared" si="3"/>
        <v>39.166666666686069</v>
      </c>
      <c r="BW65" s="481">
        <f t="shared" si="4"/>
        <v>6.3833333331858739</v>
      </c>
      <c r="BX65" s="481">
        <f t="shared" si="5"/>
        <v>41.000000000058208</v>
      </c>
      <c r="BY65" s="481">
        <f t="shared" si="11"/>
        <v>37.833333333372138</v>
      </c>
      <c r="BZ65" s="482">
        <f t="shared" si="6"/>
        <v>8.0000000000582077</v>
      </c>
      <c r="CA65" s="482">
        <f t="shared" si="7"/>
        <v>7.0000000001164153</v>
      </c>
      <c r="CB65" s="483">
        <f t="shared" si="8"/>
        <v>5.8076388888948713</v>
      </c>
      <c r="CC65" s="483">
        <f t="shared" si="9"/>
        <v>12.996527777781012</v>
      </c>
      <c r="CD65" s="484">
        <f t="shared" si="10"/>
        <v>0.44686080683978274</v>
      </c>
    </row>
    <row r="66" spans="1:82" s="475" customFormat="1">
      <c r="A66" s="474">
        <f t="shared" si="12"/>
        <v>45220.923611111109</v>
      </c>
      <c r="B66" s="475" t="s">
        <v>228</v>
      </c>
      <c r="C66" s="475" t="s">
        <v>229</v>
      </c>
      <c r="D66" s="475" t="s">
        <v>215</v>
      </c>
      <c r="E66" s="667" t="s">
        <v>3113</v>
      </c>
      <c r="G66" s="472">
        <v>45218.104166666664</v>
      </c>
      <c r="H66" s="472">
        <v>45218.020833333336</v>
      </c>
      <c r="I66" s="667" t="s">
        <v>231</v>
      </c>
      <c r="J66" s="475" t="s">
        <v>192</v>
      </c>
      <c r="K66" s="475" t="s">
        <v>192</v>
      </c>
      <c r="L66" s="399" t="s">
        <v>3345</v>
      </c>
      <c r="M66" s="530"/>
      <c r="N66" s="475" t="s">
        <v>390</v>
      </c>
      <c r="O66" s="475" t="s">
        <v>3346</v>
      </c>
      <c r="P66" s="399" t="s">
        <v>418</v>
      </c>
      <c r="Q66" s="477">
        <f>3094*2.4</f>
        <v>7425.5999999999995</v>
      </c>
      <c r="R66" s="477">
        <f>7450+100</f>
        <v>7550</v>
      </c>
      <c r="S66" s="477">
        <v>7539.5680000000002</v>
      </c>
      <c r="T66" s="667"/>
      <c r="U66" s="581"/>
      <c r="V66" s="581"/>
      <c r="W66" s="581"/>
      <c r="X66" s="724">
        <f t="shared" si="20"/>
        <v>4523.7407999999996</v>
      </c>
      <c r="Y66" s="724">
        <f t="shared" si="21"/>
        <v>3015.8272000000002</v>
      </c>
      <c r="Z66" s="581"/>
      <c r="AA66" s="581"/>
      <c r="AB66" s="401"/>
      <c r="AC66" s="577"/>
      <c r="AD66" s="577"/>
      <c r="AZ66" s="473">
        <f t="shared" si="0"/>
        <v>45216.114583333336</v>
      </c>
      <c r="BA66" s="473">
        <f t="shared" si="1"/>
        <v>45227.909722222219</v>
      </c>
      <c r="BB66" s="479">
        <f t="shared" si="2"/>
        <v>11.79513888888323</v>
      </c>
      <c r="BC66" s="473">
        <v>45216.114583333336</v>
      </c>
      <c r="BD66" s="473">
        <v>45216.75</v>
      </c>
      <c r="BE66" s="473">
        <v>45218.4375</v>
      </c>
      <c r="BF66" s="473">
        <v>45220.923611111109</v>
      </c>
      <c r="BG66" s="473">
        <v>45221.069444444445</v>
      </c>
      <c r="BH66" s="473">
        <v>45221.079861111109</v>
      </c>
      <c r="BI66" s="473">
        <v>45221.25</v>
      </c>
      <c r="BJ66" s="473">
        <f t="shared" si="13"/>
        <v>45222.958333333336</v>
      </c>
      <c r="BK66" s="480">
        <v>45223.541666608799</v>
      </c>
      <c r="BL66" s="480">
        <v>45223.708333275463</v>
      </c>
      <c r="BM66" s="480">
        <v>45223.552083333336</v>
      </c>
      <c r="BN66" s="473">
        <v>45224.777777777781</v>
      </c>
      <c r="BO66" s="473">
        <v>45227.350694444445</v>
      </c>
      <c r="BP66" s="473">
        <v>45227.534722222219</v>
      </c>
      <c r="BQ66" s="473">
        <v>45227.555555555555</v>
      </c>
      <c r="BR66" s="473">
        <v>45227.5625</v>
      </c>
      <c r="BS66" s="473">
        <v>45227.909722222219</v>
      </c>
      <c r="BV66" s="481">
        <f t="shared" si="3"/>
        <v>40.5</v>
      </c>
      <c r="BW66" s="481">
        <f t="shared" si="4"/>
        <v>3.5000000000582077</v>
      </c>
      <c r="BX66" s="481">
        <f t="shared" si="5"/>
        <v>41.000000000058208</v>
      </c>
      <c r="BY66" s="481">
        <f t="shared" si="11"/>
        <v>25.666668055637274</v>
      </c>
      <c r="BZ66" s="482">
        <f t="shared" si="6"/>
        <v>4.4166666665696539</v>
      </c>
      <c r="CA66" s="482">
        <f t="shared" si="7"/>
        <v>8.3333333332557231</v>
      </c>
      <c r="CB66" s="483">
        <f t="shared" si="8"/>
        <v>5.1423611689824611</v>
      </c>
      <c r="CC66" s="483">
        <f t="shared" si="9"/>
        <v>11.79513888888323</v>
      </c>
      <c r="CD66" s="484">
        <f t="shared" si="10"/>
        <v>0.43597292218653499</v>
      </c>
    </row>
    <row r="67" spans="1:82" s="475" customFormat="1">
      <c r="A67" s="474">
        <f t="shared" si="12"/>
        <v>45220.434027777781</v>
      </c>
      <c r="B67" s="475" t="s">
        <v>228</v>
      </c>
      <c r="C67" s="475" t="s">
        <v>229</v>
      </c>
      <c r="D67" s="475" t="s">
        <v>197</v>
      </c>
      <c r="E67" s="667" t="s">
        <v>3113</v>
      </c>
      <c r="G67" s="472">
        <v>45218.104166666664</v>
      </c>
      <c r="H67" s="472">
        <v>45218.020833333336</v>
      </c>
      <c r="I67" s="667" t="s">
        <v>231</v>
      </c>
      <c r="J67" s="475" t="s">
        <v>192</v>
      </c>
      <c r="K67" s="475" t="s">
        <v>192</v>
      </c>
      <c r="L67" s="667" t="s">
        <v>3347</v>
      </c>
      <c r="M67" s="530"/>
      <c r="N67" s="475" t="s">
        <v>2277</v>
      </c>
      <c r="O67" s="475" t="s">
        <v>2278</v>
      </c>
      <c r="P67" s="399" t="s">
        <v>418</v>
      </c>
      <c r="Q67" s="477">
        <f>3099 *2.4</f>
        <v>7437.5999999999995</v>
      </c>
      <c r="R67" s="477">
        <f>7500+100</f>
        <v>7600</v>
      </c>
      <c r="S67" s="477">
        <v>7385.8860000000004</v>
      </c>
      <c r="T67" s="667"/>
      <c r="U67" s="581"/>
      <c r="V67" s="581"/>
      <c r="W67" s="581"/>
      <c r="X67" s="724">
        <f t="shared" si="20"/>
        <v>4431.5316000000003</v>
      </c>
      <c r="Y67" s="724">
        <f t="shared" si="21"/>
        <v>2954.3544000000002</v>
      </c>
      <c r="Z67" s="581"/>
      <c r="AA67" s="581"/>
      <c r="AB67" s="401"/>
      <c r="AC67" s="577"/>
      <c r="AD67" s="575"/>
      <c r="AE67" s="575"/>
      <c r="AF67" s="575"/>
      <c r="AG67" s="575"/>
      <c r="AZ67" s="473">
        <f t="shared" si="0"/>
        <v>45216.125</v>
      </c>
      <c r="BA67" s="473">
        <f t="shared" si="1"/>
        <v>45228.166666666664</v>
      </c>
      <c r="BB67" s="479">
        <f t="shared" si="2"/>
        <v>12.041666666664241</v>
      </c>
      <c r="BC67" s="473">
        <v>45216.125</v>
      </c>
      <c r="BD67" s="473">
        <v>45216.736111111109</v>
      </c>
      <c r="BE67" s="473">
        <v>45218.46875</v>
      </c>
      <c r="BF67" s="473">
        <v>45220.434027777781</v>
      </c>
      <c r="BG67" s="473">
        <v>45220.569444444445</v>
      </c>
      <c r="BH67" s="473">
        <v>45220.59375</v>
      </c>
      <c r="BI67" s="473">
        <v>45220.604166666664</v>
      </c>
      <c r="BJ67" s="473">
        <f t="shared" si="13"/>
        <v>45222.3125</v>
      </c>
      <c r="BK67" s="480">
        <v>45223.541666608799</v>
      </c>
      <c r="BL67" s="480">
        <v>45223.708333275463</v>
      </c>
      <c r="BM67" s="480">
        <v>45223.607638888891</v>
      </c>
      <c r="BN67" s="473">
        <v>45225</v>
      </c>
      <c r="BO67" s="473">
        <v>45227.576388888891</v>
      </c>
      <c r="BP67" s="473">
        <v>45227.739583333336</v>
      </c>
      <c r="BQ67" s="473">
        <v>45227.760416666664</v>
      </c>
      <c r="BR67" s="473">
        <v>45227.760416666664</v>
      </c>
      <c r="BS67" s="473">
        <v>45228.166666666664</v>
      </c>
      <c r="BV67" s="481">
        <f t="shared" si="3"/>
        <v>41.583333333372138</v>
      </c>
      <c r="BW67" s="481">
        <f t="shared" si="4"/>
        <v>3.2499999999417923</v>
      </c>
      <c r="BX67" s="481">
        <f t="shared" si="5"/>
        <v>41.000000000058208</v>
      </c>
      <c r="BY67" s="481">
        <f t="shared" si="11"/>
        <v>31.000001388892997</v>
      </c>
      <c r="BZ67" s="482">
        <f t="shared" si="6"/>
        <v>3.9166666666860692</v>
      </c>
      <c r="CA67" s="482">
        <f t="shared" si="7"/>
        <v>9.75</v>
      </c>
      <c r="CB67" s="483">
        <f t="shared" si="8"/>
        <v>5.4375000578729669</v>
      </c>
      <c r="CC67" s="483">
        <f t="shared" si="9"/>
        <v>12.041666666664241</v>
      </c>
      <c r="CD67" s="484">
        <f t="shared" si="10"/>
        <v>0.45155709823175599</v>
      </c>
    </row>
    <row r="68" spans="1:82" s="475" customFormat="1">
      <c r="A68" s="474">
        <f t="shared" si="12"/>
        <v>45221.099305555559</v>
      </c>
      <c r="B68" s="475" t="s">
        <v>228</v>
      </c>
      <c r="C68" s="475" t="s">
        <v>229</v>
      </c>
      <c r="D68" s="475" t="s">
        <v>215</v>
      </c>
      <c r="E68" s="667" t="s">
        <v>3113</v>
      </c>
      <c r="G68" s="472">
        <v>45218.104166666664</v>
      </c>
      <c r="H68" s="472">
        <v>45218.020833333336</v>
      </c>
      <c r="I68" s="667" t="s">
        <v>231</v>
      </c>
      <c r="J68" s="475" t="s">
        <v>192</v>
      </c>
      <c r="K68" s="475" t="s">
        <v>192</v>
      </c>
      <c r="L68" s="667" t="s">
        <v>3348</v>
      </c>
      <c r="M68" s="530"/>
      <c r="N68" s="475" t="s">
        <v>274</v>
      </c>
      <c r="O68" s="475" t="s">
        <v>1093</v>
      </c>
      <c r="P68" s="399" t="s">
        <v>418</v>
      </c>
      <c r="Q68" s="477">
        <f>3136*2.4</f>
        <v>7526.4</v>
      </c>
      <c r="R68" s="477">
        <f>7550+100</f>
        <v>7650</v>
      </c>
      <c r="S68" s="477">
        <v>7501.7449999999999</v>
      </c>
      <c r="T68" s="399"/>
      <c r="U68" s="401"/>
      <c r="V68" s="401"/>
      <c r="W68" s="401"/>
      <c r="X68" s="724">
        <f t="shared" si="20"/>
        <v>4501.0469999999996</v>
      </c>
      <c r="Y68" s="724">
        <f t="shared" si="21"/>
        <v>3000.6980000000003</v>
      </c>
      <c r="Z68" s="581"/>
      <c r="AA68" s="581"/>
      <c r="AB68" s="401"/>
      <c r="AC68" s="577"/>
      <c r="AD68" s="577"/>
      <c r="AE68" s="577"/>
      <c r="AF68" s="577"/>
      <c r="AG68" s="577"/>
      <c r="AH68" s="577"/>
      <c r="AI68" s="577"/>
      <c r="AZ68" s="473">
        <f t="shared" ref="AZ68:AZ131" si="22">BC68</f>
        <v>45216.402777777781</v>
      </c>
      <c r="BA68" s="473">
        <f t="shared" ref="BA68:BA131" si="23">BS68</f>
        <v>45227.673611111109</v>
      </c>
      <c r="BB68" s="479">
        <f t="shared" ref="BB68:BB131" si="24">BA68-AZ68</f>
        <v>11.270833333328483</v>
      </c>
      <c r="BC68" s="473">
        <v>45216.402777777781</v>
      </c>
      <c r="BD68" s="473">
        <v>45217.579861111109</v>
      </c>
      <c r="BE68" s="473">
        <v>45219.104166666664</v>
      </c>
      <c r="BF68" s="473">
        <v>45221.099305555559</v>
      </c>
      <c r="BG68" s="473">
        <v>45221.258333333331</v>
      </c>
      <c r="BH68" s="473">
        <v>45221.263888888891</v>
      </c>
      <c r="BI68" s="473">
        <v>45221.267361111109</v>
      </c>
      <c r="BJ68" s="473">
        <f t="shared" si="13"/>
        <v>45222.975694444445</v>
      </c>
      <c r="BK68" s="480">
        <v>45223.541666608799</v>
      </c>
      <c r="BL68" s="480">
        <v>45223.708333275463</v>
      </c>
      <c r="BM68" s="480">
        <v>45223.548611111109</v>
      </c>
      <c r="BN68" s="473">
        <v>45224.694444444445</v>
      </c>
      <c r="BO68" s="473">
        <v>45227.083333333336</v>
      </c>
      <c r="BP68" s="473">
        <v>45227.298611111109</v>
      </c>
      <c r="BQ68" s="473">
        <v>45227.329861111109</v>
      </c>
      <c r="BR68" s="473">
        <v>45227.340277777781</v>
      </c>
      <c r="BS68" s="473">
        <v>45227.673611111109</v>
      </c>
      <c r="BV68" s="481">
        <f t="shared" ref="BV68:BV131" si="25">(BE68-BD68)*24</f>
        <v>36.583333333313931</v>
      </c>
      <c r="BW68" s="481">
        <f t="shared" ref="BW68:BW131" si="26">(BG68-BF68)*24</f>
        <v>3.8166666665347293</v>
      </c>
      <c r="BX68" s="481">
        <f t="shared" ref="BX68:BX131" si="27">(BJ68-BI68)*24</f>
        <v>41.000000000058208</v>
      </c>
      <c r="BY68" s="481">
        <f t="shared" si="11"/>
        <v>23.666668055579066</v>
      </c>
      <c r="BZ68" s="482">
        <f t="shared" ref="BZ68:BZ131" si="28">(BP68-BO68)*24</f>
        <v>5.1666666665696539</v>
      </c>
      <c r="CA68" s="482">
        <f t="shared" ref="CA68:CA131" si="29">(BS68-BR68)*24</f>
        <v>7.9999999998835847</v>
      </c>
      <c r="CB68" s="483">
        <f t="shared" ref="CB68:CB131" si="30">SUM(BV68:CA68)/24</f>
        <v>4.9263889467474655</v>
      </c>
      <c r="CC68" s="483">
        <f t="shared" ref="CC68:CC131" si="31">BB68</f>
        <v>11.270833333328483</v>
      </c>
      <c r="CD68" s="484">
        <f t="shared" ref="CD68:CD131" si="32">CB68/CC68</f>
        <v>0.43709181043249556</v>
      </c>
    </row>
    <row r="69" spans="1:82" s="475" customFormat="1">
      <c r="A69" s="474">
        <f t="shared" si="12"/>
        <v>45221.336805555555</v>
      </c>
      <c r="B69" s="475" t="s">
        <v>228</v>
      </c>
      <c r="C69" s="475" t="s">
        <v>229</v>
      </c>
      <c r="D69" s="475" t="s">
        <v>197</v>
      </c>
      <c r="E69" s="667" t="s">
        <v>3113</v>
      </c>
      <c r="G69" s="472">
        <v>45218.104166666664</v>
      </c>
      <c r="H69" s="472">
        <v>45218.020833333336</v>
      </c>
      <c r="I69" s="667" t="s">
        <v>231</v>
      </c>
      <c r="J69" s="475" t="s">
        <v>192</v>
      </c>
      <c r="K69" s="475" t="s">
        <v>192</v>
      </c>
      <c r="L69" s="667" t="s">
        <v>3349</v>
      </c>
      <c r="M69" s="530"/>
      <c r="N69" s="475" t="s">
        <v>406</v>
      </c>
      <c r="O69" s="475" t="s">
        <v>407</v>
      </c>
      <c r="P69" s="399" t="s">
        <v>418</v>
      </c>
      <c r="Q69" s="477">
        <f>3107*2.4</f>
        <v>7456.7999999999993</v>
      </c>
      <c r="R69" s="477">
        <f>7500+100</f>
        <v>7600</v>
      </c>
      <c r="S69" s="477">
        <f>7485.486-3933.086</f>
        <v>3552.4</v>
      </c>
      <c r="T69" s="399"/>
      <c r="U69" s="401"/>
      <c r="V69" s="401"/>
      <c r="W69" s="401"/>
      <c r="X69" s="724">
        <f t="shared" si="20"/>
        <v>2131.44</v>
      </c>
      <c r="Y69" s="724">
        <f t="shared" si="21"/>
        <v>1420.96</v>
      </c>
      <c r="Z69" s="581"/>
      <c r="AA69" s="581"/>
      <c r="AB69" s="401"/>
      <c r="AZ69" s="473">
        <f t="shared" si="22"/>
        <v>45216.878472222219</v>
      </c>
      <c r="BA69" s="473">
        <f t="shared" si="23"/>
        <v>45227.989583333336</v>
      </c>
      <c r="BB69" s="479">
        <f t="shared" si="24"/>
        <v>11.11111111111677</v>
      </c>
      <c r="BC69" s="473">
        <v>45216.878472222219</v>
      </c>
      <c r="BD69" s="473">
        <v>45217.815972222219</v>
      </c>
      <c r="BE69" s="473">
        <v>45219.149305555555</v>
      </c>
      <c r="BF69" s="473">
        <v>45221.336805555555</v>
      </c>
      <c r="BG69" s="473">
        <v>45221.472222222219</v>
      </c>
      <c r="BH69" s="473">
        <v>45221.475694444445</v>
      </c>
      <c r="BI69" s="473">
        <v>45221.489583333336</v>
      </c>
      <c r="BJ69" s="473">
        <f t="shared" si="13"/>
        <v>45223.197916666672</v>
      </c>
      <c r="BK69" s="473">
        <v>45226.583333333336</v>
      </c>
      <c r="BL69" s="473">
        <v>45226.75</v>
      </c>
      <c r="BM69" s="473">
        <v>45225.694444444445</v>
      </c>
      <c r="BN69" s="473">
        <v>45226.840277777781</v>
      </c>
      <c r="BO69" s="473">
        <v>45227.78125</v>
      </c>
      <c r="BP69" s="473">
        <v>45227.934027777781</v>
      </c>
      <c r="BQ69" s="473">
        <v>45227.989583333336</v>
      </c>
      <c r="BR69" s="473">
        <v>45227.989583333336</v>
      </c>
      <c r="BS69" s="473">
        <v>45227.989583333336</v>
      </c>
      <c r="BV69" s="481">
        <f t="shared" si="25"/>
        <v>32.000000000058208</v>
      </c>
      <c r="BW69" s="481">
        <f t="shared" si="26"/>
        <v>3.2499999999417923</v>
      </c>
      <c r="BX69" s="481">
        <f t="shared" si="27"/>
        <v>41.000000000058208</v>
      </c>
      <c r="BY69" s="481">
        <f t="shared" ref="BY69:BY112" si="33">(BN69-BL69)*24</f>
        <v>2.1666666667442769</v>
      </c>
      <c r="BZ69" s="482">
        <f t="shared" si="28"/>
        <v>3.6666666667442769</v>
      </c>
      <c r="CA69" s="482">
        <f t="shared" si="29"/>
        <v>0</v>
      </c>
      <c r="CB69" s="483">
        <f t="shared" si="30"/>
        <v>3.4201388888977817</v>
      </c>
      <c r="CC69" s="483">
        <f t="shared" si="31"/>
        <v>11.11111111111677</v>
      </c>
      <c r="CD69" s="484">
        <f t="shared" si="32"/>
        <v>0.30781250000064359</v>
      </c>
    </row>
    <row r="70" spans="1:82" s="475" customFormat="1">
      <c r="A70" s="474">
        <f t="shared" si="12"/>
        <v>45221.336805555555</v>
      </c>
      <c r="B70" s="475" t="s">
        <v>228</v>
      </c>
      <c r="C70" s="475" t="s">
        <v>229</v>
      </c>
      <c r="D70" s="475" t="s">
        <v>197</v>
      </c>
      <c r="E70" s="667" t="s">
        <v>3118</v>
      </c>
      <c r="G70" s="472">
        <v>45223.833333333336</v>
      </c>
      <c r="H70" s="472">
        <v>45223.791666666664</v>
      </c>
      <c r="I70" s="667" t="s">
        <v>231</v>
      </c>
      <c r="J70" s="475" t="s">
        <v>192</v>
      </c>
      <c r="K70" s="475" t="s">
        <v>192</v>
      </c>
      <c r="L70" s="667" t="s">
        <v>3349</v>
      </c>
      <c r="M70" s="530"/>
      <c r="N70" s="475" t="s">
        <v>406</v>
      </c>
      <c r="O70" s="475" t="s">
        <v>407</v>
      </c>
      <c r="P70" s="399" t="s">
        <v>418</v>
      </c>
      <c r="Q70" s="477">
        <f>3107*2.4</f>
        <v>7456.7999999999993</v>
      </c>
      <c r="R70" s="477">
        <f>7500+100</f>
        <v>7600</v>
      </c>
      <c r="S70" s="477">
        <v>3409</v>
      </c>
      <c r="T70" s="399"/>
      <c r="U70" s="401"/>
      <c r="V70" s="401"/>
      <c r="W70" s="401"/>
      <c r="X70" s="724">
        <f t="shared" si="20"/>
        <v>2045.3999999999999</v>
      </c>
      <c r="Y70" s="724">
        <f t="shared" si="21"/>
        <v>1363.6000000000001</v>
      </c>
      <c r="Z70" s="581"/>
      <c r="AA70" s="581"/>
      <c r="AB70" s="401"/>
      <c r="AZ70" s="473">
        <f t="shared" si="22"/>
        <v>45216.878472222219</v>
      </c>
      <c r="BA70" s="473">
        <f t="shared" si="23"/>
        <v>45229.447916666664</v>
      </c>
      <c r="BB70" s="479">
        <f t="shared" si="24"/>
        <v>12.569444444445253</v>
      </c>
      <c r="BC70" s="473">
        <v>45216.878472222219</v>
      </c>
      <c r="BD70" s="473">
        <v>45217.815972222219</v>
      </c>
      <c r="BE70" s="473">
        <v>45219.149305555555</v>
      </c>
      <c r="BF70" s="473">
        <v>45221.336805555555</v>
      </c>
      <c r="BG70" s="473">
        <v>45221.472222222219</v>
      </c>
      <c r="BH70" s="473">
        <v>45221.475694444445</v>
      </c>
      <c r="BI70" s="473">
        <v>45221.489583333336</v>
      </c>
      <c r="BJ70" s="473">
        <f t="shared" si="13"/>
        <v>45223.197916666672</v>
      </c>
      <c r="BK70" s="473">
        <v>45226.583333333336</v>
      </c>
      <c r="BL70" s="473">
        <v>45226.75</v>
      </c>
      <c r="BM70" s="473">
        <v>45225.694444444445</v>
      </c>
      <c r="BN70" s="473">
        <v>45227.989583333336</v>
      </c>
      <c r="BO70" s="473">
        <v>45228.708333333336</v>
      </c>
      <c r="BP70" s="473">
        <v>45228.791666666664</v>
      </c>
      <c r="BQ70" s="473">
        <v>45228.8125</v>
      </c>
      <c r="BR70" s="473">
        <v>45229.229166666664</v>
      </c>
      <c r="BS70" s="473">
        <v>45229.447916666664</v>
      </c>
      <c r="BV70" s="481">
        <f t="shared" si="25"/>
        <v>32.000000000058208</v>
      </c>
      <c r="BW70" s="481">
        <f t="shared" si="26"/>
        <v>3.2499999999417923</v>
      </c>
      <c r="BX70" s="481">
        <f t="shared" si="27"/>
        <v>41.000000000058208</v>
      </c>
      <c r="BY70" s="481">
        <f t="shared" si="33"/>
        <v>29.750000000058208</v>
      </c>
      <c r="BZ70" s="482">
        <f t="shared" si="28"/>
        <v>1.9999999998835847</v>
      </c>
      <c r="CA70" s="482">
        <f t="shared" si="29"/>
        <v>5.25</v>
      </c>
      <c r="CB70" s="483">
        <f t="shared" si="30"/>
        <v>4.71875</v>
      </c>
      <c r="CC70" s="483">
        <f t="shared" si="31"/>
        <v>12.569444444445253</v>
      </c>
      <c r="CD70" s="484">
        <f t="shared" si="32"/>
        <v>0.37541436464085981</v>
      </c>
    </row>
    <row r="71" spans="1:82" s="475" customFormat="1">
      <c r="A71" s="474">
        <f t="shared" ref="A71:A134" si="34">BF71</f>
        <v>45221.972222222219</v>
      </c>
      <c r="B71" s="475" t="s">
        <v>228</v>
      </c>
      <c r="C71" s="475" t="s">
        <v>229</v>
      </c>
      <c r="D71" s="475" t="s">
        <v>197</v>
      </c>
      <c r="E71" s="667" t="s">
        <v>1465</v>
      </c>
      <c r="F71" s="667"/>
      <c r="G71" s="472">
        <v>45221.333333333336</v>
      </c>
      <c r="H71" s="472">
        <v>45221.270833333336</v>
      </c>
      <c r="I71" s="399" t="s">
        <v>231</v>
      </c>
      <c r="J71" s="475" t="s">
        <v>192</v>
      </c>
      <c r="K71" s="475" t="s">
        <v>192</v>
      </c>
      <c r="L71" s="399" t="s">
        <v>3350</v>
      </c>
      <c r="M71" s="530"/>
      <c r="N71" s="475" t="s">
        <v>334</v>
      </c>
      <c r="O71" s="475" t="s">
        <v>335</v>
      </c>
      <c r="P71" s="399" t="s">
        <v>418</v>
      </c>
      <c r="Q71" s="477">
        <f>3242 *2.4</f>
        <v>7780.7999999999993</v>
      </c>
      <c r="R71" s="477">
        <f>7800+100</f>
        <v>7900</v>
      </c>
      <c r="S71" s="477">
        <v>7848.56</v>
      </c>
      <c r="T71" s="667"/>
      <c r="U71" s="401"/>
      <c r="V71" s="401"/>
      <c r="W71" s="401"/>
      <c r="X71" s="724">
        <f t="shared" si="20"/>
        <v>4709.1360000000004</v>
      </c>
      <c r="Y71" s="724">
        <f t="shared" si="21"/>
        <v>3139.4240000000004</v>
      </c>
      <c r="Z71" s="581"/>
      <c r="AA71" s="581"/>
      <c r="AZ71" s="473">
        <f t="shared" si="22"/>
        <v>45215.649305555555</v>
      </c>
      <c r="BA71" s="473">
        <f t="shared" si="23"/>
        <v>45228.458333333336</v>
      </c>
      <c r="BB71" s="479">
        <f t="shared" si="24"/>
        <v>12.809027777781012</v>
      </c>
      <c r="BC71" s="473">
        <v>45215.649305555555</v>
      </c>
      <c r="BD71" s="473">
        <v>45217.572916666664</v>
      </c>
      <c r="BE71" s="473">
        <v>45219.395833333336</v>
      </c>
      <c r="BF71" s="473">
        <v>45221.972222222219</v>
      </c>
      <c r="BG71" s="473">
        <v>45221.125</v>
      </c>
      <c r="BH71" s="473">
        <v>45222.131944444445</v>
      </c>
      <c r="BI71" s="473">
        <v>45222.135416666664</v>
      </c>
      <c r="BJ71" s="473">
        <f t="shared" ref="BJ71:BJ112" si="35">BI71+(41/24)</f>
        <v>45223.84375</v>
      </c>
      <c r="BK71" s="480">
        <v>45225.583333333336</v>
      </c>
      <c r="BL71" s="480">
        <v>45225.75</v>
      </c>
      <c r="BM71" s="480">
        <v>45225.638888888891</v>
      </c>
      <c r="BN71" s="473">
        <v>45226.833333333336</v>
      </c>
      <c r="BO71" s="473">
        <v>45227.784722222219</v>
      </c>
      <c r="BP71" s="473">
        <v>45227.993055555555</v>
      </c>
      <c r="BQ71" s="473">
        <v>45228.013888888891</v>
      </c>
      <c r="BR71" s="473">
        <v>45228.145833333336</v>
      </c>
      <c r="BS71" s="473">
        <v>45228.458333333336</v>
      </c>
      <c r="BV71" s="481">
        <f t="shared" si="25"/>
        <v>43.750000000116415</v>
      </c>
      <c r="BW71" s="481">
        <f t="shared" si="26"/>
        <v>-20.333333333255723</v>
      </c>
      <c r="BX71" s="481">
        <f t="shared" si="27"/>
        <v>41.000000000058208</v>
      </c>
      <c r="BY71" s="481">
        <f t="shared" si="33"/>
        <v>26.000000000058208</v>
      </c>
      <c r="BZ71" s="482">
        <f t="shared" si="28"/>
        <v>5.0000000000582077</v>
      </c>
      <c r="CA71" s="482">
        <f t="shared" si="29"/>
        <v>7.5</v>
      </c>
      <c r="CB71" s="483">
        <f t="shared" si="30"/>
        <v>4.2881944444598048</v>
      </c>
      <c r="CC71" s="483">
        <f t="shared" si="31"/>
        <v>12.809027777781012</v>
      </c>
      <c r="CD71" s="484">
        <f t="shared" si="32"/>
        <v>0.33477907292060505</v>
      </c>
    </row>
    <row r="72" spans="1:82" s="475" customFormat="1">
      <c r="A72" s="474">
        <f t="shared" si="34"/>
        <v>45222.381944444445</v>
      </c>
      <c r="B72" s="475" t="s">
        <v>228</v>
      </c>
      <c r="C72" s="475" t="s">
        <v>229</v>
      </c>
      <c r="D72" s="475" t="s">
        <v>197</v>
      </c>
      <c r="E72" s="667" t="s">
        <v>1465</v>
      </c>
      <c r="F72" s="667"/>
      <c r="G72" s="472">
        <v>45221.333333333336</v>
      </c>
      <c r="H72" s="472">
        <v>45221.270833333336</v>
      </c>
      <c r="I72" s="667" t="s">
        <v>231</v>
      </c>
      <c r="J72" s="475" t="s">
        <v>192</v>
      </c>
      <c r="K72" s="475" t="s">
        <v>192</v>
      </c>
      <c r="L72" s="667" t="s">
        <v>3351</v>
      </c>
      <c r="M72" s="530"/>
      <c r="N72" s="475" t="s">
        <v>2207</v>
      </c>
      <c r="O72" s="475" t="s">
        <v>2208</v>
      </c>
      <c r="P72" s="399" t="s">
        <v>418</v>
      </c>
      <c r="Q72" s="477">
        <f>3031*2.4</f>
        <v>7274.4</v>
      </c>
      <c r="R72" s="477">
        <f>7300+100</f>
        <v>7400</v>
      </c>
      <c r="S72" s="477">
        <v>7464.1459999999997</v>
      </c>
      <c r="T72" s="399"/>
      <c r="U72" s="401"/>
      <c r="V72" s="401"/>
      <c r="W72" s="401"/>
      <c r="X72" s="724">
        <f t="shared" si="20"/>
        <v>4478.4875999999995</v>
      </c>
      <c r="Y72" s="724">
        <f t="shared" si="21"/>
        <v>2985.6584000000003</v>
      </c>
      <c r="Z72" s="581"/>
      <c r="AA72" s="581"/>
      <c r="AB72" s="401"/>
      <c r="AC72" s="577"/>
      <c r="AD72" s="577"/>
      <c r="AZ72" s="473">
        <f t="shared" si="22"/>
        <v>45216.489583333336</v>
      </c>
      <c r="BA72" s="473">
        <f t="shared" si="23"/>
        <v>45227.961805555555</v>
      </c>
      <c r="BB72" s="479">
        <f t="shared" si="24"/>
        <v>11.472222222218988</v>
      </c>
      <c r="BC72" s="473">
        <v>45216.489583333336</v>
      </c>
      <c r="BD72" s="473">
        <v>45217.642361111109</v>
      </c>
      <c r="BE72" s="473">
        <v>45219.402777777781</v>
      </c>
      <c r="BF72" s="473">
        <v>45222.381944444445</v>
      </c>
      <c r="BG72" s="473">
        <v>45222.513888888891</v>
      </c>
      <c r="BH72" s="473">
        <v>45222.517361111109</v>
      </c>
      <c r="BI72" s="473">
        <v>45222.520833333336</v>
      </c>
      <c r="BJ72" s="473">
        <f t="shared" si="35"/>
        <v>45224.229166666672</v>
      </c>
      <c r="BK72" s="480">
        <v>45225.583333333336</v>
      </c>
      <c r="BL72" s="480">
        <v>45225.75</v>
      </c>
      <c r="BM72" s="480">
        <v>45225.5625</v>
      </c>
      <c r="BN72" s="473">
        <v>45226.836805555555</v>
      </c>
      <c r="BO72" s="473">
        <v>45227.482638888891</v>
      </c>
      <c r="BP72" s="473">
        <v>45227.722222222219</v>
      </c>
      <c r="BQ72" s="473">
        <v>45227.743055555555</v>
      </c>
      <c r="BR72" s="473">
        <v>45227.770833333336</v>
      </c>
      <c r="BS72" s="473">
        <v>45227.961805555555</v>
      </c>
      <c r="BV72" s="481">
        <f t="shared" si="25"/>
        <v>42.250000000116415</v>
      </c>
      <c r="BW72" s="481">
        <f t="shared" si="26"/>
        <v>3.1666666666860692</v>
      </c>
      <c r="BX72" s="481">
        <f t="shared" si="27"/>
        <v>41.000000000058208</v>
      </c>
      <c r="BY72" s="481">
        <f t="shared" si="33"/>
        <v>26.083333333313931</v>
      </c>
      <c r="BZ72" s="482">
        <f t="shared" si="28"/>
        <v>5.7499999998835847</v>
      </c>
      <c r="CA72" s="482">
        <f t="shared" si="29"/>
        <v>4.5833333332557231</v>
      </c>
      <c r="CB72" s="483">
        <f t="shared" si="30"/>
        <v>5.1180555555547471</v>
      </c>
      <c r="CC72" s="483">
        <f t="shared" si="31"/>
        <v>11.472222222218988</v>
      </c>
      <c r="CD72" s="484">
        <f t="shared" si="32"/>
        <v>0.44612590799037005</v>
      </c>
    </row>
    <row r="73" spans="1:82" s="475" customFormat="1">
      <c r="A73" s="474">
        <f t="shared" si="34"/>
        <v>45222.152777777781</v>
      </c>
      <c r="B73" s="475" t="s">
        <v>228</v>
      </c>
      <c r="C73" s="475" t="s">
        <v>229</v>
      </c>
      <c r="D73" s="475" t="s">
        <v>197</v>
      </c>
      <c r="E73" s="667" t="s">
        <v>1465</v>
      </c>
      <c r="F73" s="667"/>
      <c r="G73" s="472">
        <v>45221.333333333336</v>
      </c>
      <c r="H73" s="472">
        <v>45221.270833333336</v>
      </c>
      <c r="I73" s="667" t="s">
        <v>231</v>
      </c>
      <c r="J73" s="475" t="s">
        <v>192</v>
      </c>
      <c r="K73" s="475" t="s">
        <v>192</v>
      </c>
      <c r="L73" s="667" t="s">
        <v>3352</v>
      </c>
      <c r="M73" s="530"/>
      <c r="N73" s="475" t="s">
        <v>1799</v>
      </c>
      <c r="O73" s="475" t="s">
        <v>2437</v>
      </c>
      <c r="P73" s="399" t="s">
        <v>418</v>
      </c>
      <c r="Q73" s="477">
        <f>3147*2.4</f>
        <v>7552.7999999999993</v>
      </c>
      <c r="R73" s="477">
        <f>7550+100</f>
        <v>7650</v>
      </c>
      <c r="S73" s="477">
        <v>7655.2449999999999</v>
      </c>
      <c r="T73" s="667"/>
      <c r="U73" s="401"/>
      <c r="V73" s="401"/>
      <c r="W73" s="401"/>
      <c r="X73" s="724">
        <f t="shared" si="20"/>
        <v>4593.1469999999999</v>
      </c>
      <c r="Y73" s="724">
        <f t="shared" si="21"/>
        <v>3062.098</v>
      </c>
      <c r="Z73" s="581"/>
      <c r="AA73" s="581"/>
      <c r="AB73" s="401"/>
      <c r="AC73" s="577"/>
      <c r="AD73" s="577"/>
      <c r="AZ73" s="473">
        <f t="shared" si="22"/>
        <v>45215.375</v>
      </c>
      <c r="BA73" s="473">
        <f t="shared" si="23"/>
        <v>45229.833333333336</v>
      </c>
      <c r="BB73" s="479">
        <f t="shared" si="24"/>
        <v>14.458333333335759</v>
      </c>
      <c r="BC73" s="473">
        <v>45215.375</v>
      </c>
      <c r="BD73" s="473">
        <v>45217.649305555555</v>
      </c>
      <c r="BE73" s="473">
        <v>45219.409722222219</v>
      </c>
      <c r="BF73" s="473">
        <v>45222.152777777781</v>
      </c>
      <c r="BG73" s="473">
        <v>45222.350694444445</v>
      </c>
      <c r="BH73" s="473">
        <v>45222.354166666664</v>
      </c>
      <c r="BI73" s="473">
        <v>45222.364583333336</v>
      </c>
      <c r="BJ73" s="473">
        <f t="shared" si="35"/>
        <v>45224.072916666672</v>
      </c>
      <c r="BK73" s="473">
        <v>45226.583333333336</v>
      </c>
      <c r="BL73" s="473">
        <v>45226.75</v>
      </c>
      <c r="BM73" s="473">
        <v>45226.600694444445</v>
      </c>
      <c r="BN73" s="473">
        <v>45227.871527777781</v>
      </c>
      <c r="BO73" s="473">
        <v>45229.034722222219</v>
      </c>
      <c r="BP73" s="473">
        <v>45229.298611111109</v>
      </c>
      <c r="BQ73" s="473">
        <v>45229.319444444445</v>
      </c>
      <c r="BR73" s="473">
        <v>45229.652777777781</v>
      </c>
      <c r="BS73" s="473">
        <v>45229.833333333336</v>
      </c>
      <c r="BV73" s="481">
        <f t="shared" si="25"/>
        <v>42.249999999941792</v>
      </c>
      <c r="BW73" s="481">
        <f t="shared" si="26"/>
        <v>4.7499999999417923</v>
      </c>
      <c r="BX73" s="481">
        <f t="shared" si="27"/>
        <v>41.000000000058208</v>
      </c>
      <c r="BY73" s="481">
        <f t="shared" si="33"/>
        <v>26.916666666744277</v>
      </c>
      <c r="BZ73" s="482">
        <f t="shared" si="28"/>
        <v>6.3333333333721384</v>
      </c>
      <c r="CA73" s="482">
        <f t="shared" si="29"/>
        <v>4.3333333333139308</v>
      </c>
      <c r="CB73" s="483">
        <f t="shared" si="30"/>
        <v>5.2326388888905058</v>
      </c>
      <c r="CC73" s="483">
        <f t="shared" si="31"/>
        <v>14.458333333335759</v>
      </c>
      <c r="CD73" s="484">
        <f t="shared" si="32"/>
        <v>0.36191162343905209</v>
      </c>
    </row>
    <row r="74" spans="1:82" s="475" customFormat="1">
      <c r="A74" s="474">
        <f t="shared" si="34"/>
        <v>45222.534722222219</v>
      </c>
      <c r="B74" s="475" t="s">
        <v>228</v>
      </c>
      <c r="C74" s="475" t="s">
        <v>229</v>
      </c>
      <c r="D74" s="475" t="s">
        <v>197</v>
      </c>
      <c r="E74" s="667" t="s">
        <v>1465</v>
      </c>
      <c r="F74" s="667"/>
      <c r="G74" s="472">
        <v>45221.333333333336</v>
      </c>
      <c r="H74" s="472">
        <v>45221.270833333336</v>
      </c>
      <c r="I74" s="667" t="s">
        <v>231</v>
      </c>
      <c r="J74" s="475" t="s">
        <v>192</v>
      </c>
      <c r="K74" s="475" t="s">
        <v>192</v>
      </c>
      <c r="L74" s="399" t="s">
        <v>3353</v>
      </c>
      <c r="M74" s="530"/>
      <c r="N74" s="475" t="s">
        <v>361</v>
      </c>
      <c r="O74" s="475" t="s">
        <v>362</v>
      </c>
      <c r="P74" s="399" t="s">
        <v>418</v>
      </c>
      <c r="Q74" s="477">
        <f>3117*2.4</f>
        <v>7480.7999999999993</v>
      </c>
      <c r="R74" s="477">
        <f>7500+100</f>
        <v>7600</v>
      </c>
      <c r="S74" s="477">
        <v>7506.8040000000001</v>
      </c>
      <c r="T74" s="399"/>
      <c r="U74" s="401"/>
      <c r="V74" s="401"/>
      <c r="W74" s="401"/>
      <c r="X74" s="724">
        <f t="shared" si="20"/>
        <v>4504.0824000000002</v>
      </c>
      <c r="Y74" s="724">
        <f t="shared" si="21"/>
        <v>3002.7216000000003</v>
      </c>
      <c r="Z74" s="581"/>
      <c r="AA74" s="581"/>
      <c r="AB74" s="401"/>
      <c r="AC74" s="577"/>
      <c r="AD74" s="577"/>
      <c r="AE74" s="577"/>
      <c r="AF74" s="577"/>
      <c r="AG74" s="577"/>
      <c r="AH74" s="577"/>
      <c r="AI74" s="577"/>
      <c r="AZ74" s="473">
        <f t="shared" si="22"/>
        <v>45216.375</v>
      </c>
      <c r="BA74" s="473">
        <f t="shared" si="23"/>
        <v>45229.041666666664</v>
      </c>
      <c r="BB74" s="479">
        <f t="shared" si="24"/>
        <v>12.666666666664241</v>
      </c>
      <c r="BC74" s="473">
        <v>45216.375</v>
      </c>
      <c r="BD74" s="473">
        <v>45217.861111111109</v>
      </c>
      <c r="BE74" s="473">
        <v>45220.114583333336</v>
      </c>
      <c r="BF74" s="473">
        <v>45222.534722222219</v>
      </c>
      <c r="BG74" s="473">
        <v>45222.666666666664</v>
      </c>
      <c r="BH74" s="473">
        <v>45222.673611111109</v>
      </c>
      <c r="BI74" s="473">
        <v>45222.708333333336</v>
      </c>
      <c r="BJ74" s="473">
        <f t="shared" si="35"/>
        <v>45224.416666666672</v>
      </c>
      <c r="BK74" s="480">
        <v>45225.583333333336</v>
      </c>
      <c r="BL74" s="480">
        <v>45225.75</v>
      </c>
      <c r="BM74" s="480">
        <v>45225.71875</v>
      </c>
      <c r="BN74" s="473">
        <v>45226.864583333336</v>
      </c>
      <c r="BO74" s="473">
        <v>45228.423611111109</v>
      </c>
      <c r="BP74" s="473">
        <v>45228.645833333336</v>
      </c>
      <c r="BQ74" s="473">
        <v>45228.666666666672</v>
      </c>
      <c r="BR74" s="473">
        <v>45228.739583333336</v>
      </c>
      <c r="BS74" s="473">
        <v>45229.041666666664</v>
      </c>
      <c r="BV74" s="481">
        <f t="shared" si="25"/>
        <v>54.083333333430346</v>
      </c>
      <c r="BW74" s="481">
        <f t="shared" si="26"/>
        <v>3.1666666666860692</v>
      </c>
      <c r="BX74" s="481">
        <f t="shared" si="27"/>
        <v>41.000000000058208</v>
      </c>
      <c r="BY74" s="481">
        <f t="shared" si="33"/>
        <v>26.750000000058208</v>
      </c>
      <c r="BZ74" s="482">
        <f t="shared" si="28"/>
        <v>5.3333333334303461</v>
      </c>
      <c r="CA74" s="482">
        <f t="shared" si="29"/>
        <v>7.2499999998835847</v>
      </c>
      <c r="CB74" s="483">
        <f t="shared" si="30"/>
        <v>5.7326388888977817</v>
      </c>
      <c r="CC74" s="483">
        <f t="shared" si="31"/>
        <v>12.666666666664241</v>
      </c>
      <c r="CD74" s="484">
        <f t="shared" si="32"/>
        <v>0.45257675438675365</v>
      </c>
    </row>
    <row r="75" spans="1:82" s="475" customFormat="1">
      <c r="A75" s="474">
        <f t="shared" si="34"/>
        <v>45222.697916666664</v>
      </c>
      <c r="B75" s="475" t="s">
        <v>228</v>
      </c>
      <c r="C75" s="475" t="s">
        <v>229</v>
      </c>
      <c r="D75" s="475" t="s">
        <v>215</v>
      </c>
      <c r="E75" s="667" t="s">
        <v>1465</v>
      </c>
      <c r="G75" s="472">
        <v>45221.333333333336</v>
      </c>
      <c r="H75" s="472">
        <v>45221.270833333336</v>
      </c>
      <c r="I75" s="667" t="s">
        <v>231</v>
      </c>
      <c r="J75" s="475" t="s">
        <v>192</v>
      </c>
      <c r="K75" s="475" t="s">
        <v>192</v>
      </c>
      <c r="L75" s="667" t="s">
        <v>3354</v>
      </c>
      <c r="M75" s="530"/>
      <c r="N75" s="475" t="s">
        <v>358</v>
      </c>
      <c r="O75" s="475" t="s">
        <v>359</v>
      </c>
      <c r="P75" s="399" t="s">
        <v>418</v>
      </c>
      <c r="Q75" s="477">
        <f>3852*2.4</f>
        <v>9244.7999999999993</v>
      </c>
      <c r="R75" s="477">
        <v>9250</v>
      </c>
      <c r="S75" s="477">
        <v>9165.1569999999992</v>
      </c>
      <c r="T75" s="667"/>
      <c r="U75" s="581"/>
      <c r="V75" s="581"/>
      <c r="W75" s="581"/>
      <c r="X75" s="724">
        <f t="shared" si="20"/>
        <v>5499.0941999999995</v>
      </c>
      <c r="Y75" s="724">
        <f t="shared" si="21"/>
        <v>3666.0627999999997</v>
      </c>
      <c r="Z75" s="581"/>
      <c r="AA75" s="581"/>
      <c r="AB75" s="581"/>
      <c r="AC75" s="575"/>
      <c r="AD75" s="401"/>
      <c r="AE75" s="401"/>
      <c r="AF75" s="575"/>
      <c r="AG75" s="575"/>
      <c r="AH75" s="575"/>
      <c r="AI75" s="575"/>
      <c r="AZ75" s="473">
        <f t="shared" si="22"/>
        <v>45218.385416666664</v>
      </c>
      <c r="BA75" s="473">
        <f t="shared" si="23"/>
        <v>45229.3125</v>
      </c>
      <c r="BB75" s="479">
        <f t="shared" si="24"/>
        <v>10.927083333335759</v>
      </c>
      <c r="BC75" s="473">
        <v>45218.385416666664</v>
      </c>
      <c r="BD75" s="473">
        <v>45218.739583333336</v>
      </c>
      <c r="BE75" s="473">
        <v>45220.3125</v>
      </c>
      <c r="BF75" s="473">
        <v>45222.697916666664</v>
      </c>
      <c r="BG75" s="473">
        <v>45222.922222222223</v>
      </c>
      <c r="BH75" s="473">
        <v>45222.930555555555</v>
      </c>
      <c r="BI75" s="473">
        <v>45223.25</v>
      </c>
      <c r="BJ75" s="473">
        <f t="shared" si="35"/>
        <v>45224.958333333336</v>
      </c>
      <c r="BK75" s="480">
        <v>45225.583333333336</v>
      </c>
      <c r="BL75" s="480">
        <v>45225.75</v>
      </c>
      <c r="BM75" s="480">
        <v>45225.572916666664</v>
      </c>
      <c r="BN75" s="473">
        <v>45227.166666666664</v>
      </c>
      <c r="BO75" s="473">
        <v>45228.708333333336</v>
      </c>
      <c r="BP75" s="473">
        <v>45228.972222222219</v>
      </c>
      <c r="BQ75" s="473">
        <v>45228.993055555555</v>
      </c>
      <c r="BR75" s="473">
        <v>45229.006944444445</v>
      </c>
      <c r="BS75" s="473">
        <v>45229.3125</v>
      </c>
      <c r="BV75" s="481">
        <f t="shared" si="25"/>
        <v>37.749999999941792</v>
      </c>
      <c r="BW75" s="481">
        <f t="shared" si="26"/>
        <v>5.3833333334187046</v>
      </c>
      <c r="BX75" s="481">
        <f t="shared" si="27"/>
        <v>41.000000000058208</v>
      </c>
      <c r="BY75" s="481">
        <f t="shared" si="33"/>
        <v>33.999999999941792</v>
      </c>
      <c r="BZ75" s="482">
        <f t="shared" si="28"/>
        <v>6.3333333331975155</v>
      </c>
      <c r="CA75" s="482">
        <f t="shared" si="29"/>
        <v>7.3333333333139308</v>
      </c>
      <c r="CB75" s="483">
        <f t="shared" si="30"/>
        <v>5.491666666661331</v>
      </c>
      <c r="CC75" s="483">
        <f t="shared" si="31"/>
        <v>10.927083333335759</v>
      </c>
      <c r="CD75" s="484">
        <f t="shared" si="32"/>
        <v>0.50257387988500546</v>
      </c>
    </row>
    <row r="76" spans="1:82" s="475" customFormat="1">
      <c r="A76" s="474">
        <f t="shared" si="34"/>
        <v>45222.951388888891</v>
      </c>
      <c r="B76" s="475" t="s">
        <v>228</v>
      </c>
      <c r="C76" s="475" t="s">
        <v>229</v>
      </c>
      <c r="D76" s="475" t="s">
        <v>215</v>
      </c>
      <c r="E76" s="667" t="s">
        <v>1465</v>
      </c>
      <c r="F76" s="667"/>
      <c r="G76" s="472">
        <v>45221.333333333336</v>
      </c>
      <c r="H76" s="472">
        <v>45221.270833333336</v>
      </c>
      <c r="I76" s="667" t="s">
        <v>231</v>
      </c>
      <c r="J76" s="475" t="s">
        <v>192</v>
      </c>
      <c r="K76" s="475" t="s">
        <v>192</v>
      </c>
      <c r="L76" s="667" t="s">
        <v>3355</v>
      </c>
      <c r="M76" s="530"/>
      <c r="N76" s="475" t="s">
        <v>1972</v>
      </c>
      <c r="O76" s="475" t="s">
        <v>1973</v>
      </c>
      <c r="P76" s="399" t="s">
        <v>418</v>
      </c>
      <c r="Q76" s="477">
        <f>3107*2.4</f>
        <v>7456.7999999999993</v>
      </c>
      <c r="R76" s="477">
        <f>7500+100</f>
        <v>7600</v>
      </c>
      <c r="S76" s="477">
        <v>7546.5519999999997</v>
      </c>
      <c r="T76" s="399"/>
      <c r="U76" s="401"/>
      <c r="V76" s="401"/>
      <c r="W76" s="401"/>
      <c r="X76" s="724">
        <f t="shared" si="20"/>
        <v>4527.9312</v>
      </c>
      <c r="Y76" s="724">
        <f t="shared" si="21"/>
        <v>3018.6208000000001</v>
      </c>
      <c r="Z76" s="581"/>
      <c r="AA76" s="581"/>
      <c r="AB76" s="401"/>
      <c r="AC76" s="577"/>
      <c r="AD76" s="401"/>
      <c r="AE76" s="401"/>
      <c r="AF76" s="401"/>
      <c r="AG76" s="401"/>
      <c r="AH76" s="401"/>
      <c r="AI76" s="401"/>
      <c r="AJ76" s="401"/>
      <c r="AK76" s="401"/>
      <c r="AL76" s="401"/>
      <c r="AM76" s="401"/>
      <c r="AN76" s="401"/>
      <c r="AO76" s="401"/>
      <c r="AP76" s="401"/>
      <c r="AQ76" s="401"/>
      <c r="AR76" s="401"/>
      <c r="AS76" s="401"/>
      <c r="AT76" s="401"/>
      <c r="AU76" s="401"/>
      <c r="AZ76" s="473">
        <f t="shared" si="22"/>
        <v>45218.027777777781</v>
      </c>
      <c r="BA76" s="473">
        <f t="shared" si="23"/>
        <v>45227.875</v>
      </c>
      <c r="BB76" s="479">
        <f t="shared" si="24"/>
        <v>9.8472222222189885</v>
      </c>
      <c r="BC76" s="473">
        <v>45218.027777777781</v>
      </c>
      <c r="BD76" s="473">
        <v>45218.861111111109</v>
      </c>
      <c r="BE76" s="473">
        <v>45220.333333333336</v>
      </c>
      <c r="BF76" s="473">
        <v>45222.951388888891</v>
      </c>
      <c r="BG76" s="473">
        <v>45223.118055555555</v>
      </c>
      <c r="BH76" s="473">
        <v>45223.125</v>
      </c>
      <c r="BI76" s="473">
        <v>45223.3125</v>
      </c>
      <c r="BJ76" s="473">
        <f t="shared" si="35"/>
        <v>45225.020833333336</v>
      </c>
      <c r="BK76" s="480">
        <v>45225.583333333336</v>
      </c>
      <c r="BL76" s="480">
        <v>45225.75</v>
      </c>
      <c r="BM76" s="480">
        <v>45225.694444444445</v>
      </c>
      <c r="BN76" s="473">
        <v>45226.819444444445</v>
      </c>
      <c r="BO76" s="473">
        <v>45227.208333333336</v>
      </c>
      <c r="BP76" s="473">
        <v>45227.420138888891</v>
      </c>
      <c r="BQ76" s="473">
        <v>45227.440972222219</v>
      </c>
      <c r="BR76" s="473">
        <v>45227.625</v>
      </c>
      <c r="BS76" s="473">
        <v>45227.875</v>
      </c>
      <c r="BV76" s="481">
        <f t="shared" si="25"/>
        <v>35.333333333430346</v>
      </c>
      <c r="BW76" s="481">
        <f t="shared" si="26"/>
        <v>3.9999999999417923</v>
      </c>
      <c r="BX76" s="481">
        <f t="shared" si="27"/>
        <v>41.000000000058208</v>
      </c>
      <c r="BY76" s="481">
        <f t="shared" si="33"/>
        <v>25.666666666686069</v>
      </c>
      <c r="BZ76" s="482">
        <f t="shared" si="28"/>
        <v>5.0833333333139308</v>
      </c>
      <c r="CA76" s="482">
        <f t="shared" si="29"/>
        <v>6</v>
      </c>
      <c r="CB76" s="483">
        <f t="shared" si="30"/>
        <v>4.8784722222262644</v>
      </c>
      <c r="CC76" s="483">
        <f t="shared" si="31"/>
        <v>9.8472222222189885</v>
      </c>
      <c r="CD76" s="484">
        <f t="shared" si="32"/>
        <v>0.49541607898505835</v>
      </c>
    </row>
    <row r="77" spans="1:82" s="475" customFormat="1">
      <c r="A77" s="474">
        <f t="shared" si="34"/>
        <v>45223.149305555555</v>
      </c>
      <c r="B77" s="475" t="s">
        <v>228</v>
      </c>
      <c r="C77" s="475" t="s">
        <v>229</v>
      </c>
      <c r="D77" s="475" t="s">
        <v>197</v>
      </c>
      <c r="E77" s="667" t="s">
        <v>1465</v>
      </c>
      <c r="F77" s="667"/>
      <c r="G77" s="472">
        <v>45221.333333333336</v>
      </c>
      <c r="H77" s="472">
        <v>45221.270833333336</v>
      </c>
      <c r="I77" s="667" t="s">
        <v>231</v>
      </c>
      <c r="J77" s="475" t="s">
        <v>192</v>
      </c>
      <c r="K77" s="475" t="s">
        <v>192</v>
      </c>
      <c r="L77" s="399" t="s">
        <v>3356</v>
      </c>
      <c r="M77" s="530"/>
      <c r="N77" s="475" t="s">
        <v>367</v>
      </c>
      <c r="O77" s="475" t="s">
        <v>368</v>
      </c>
      <c r="P77" s="399" t="s">
        <v>418</v>
      </c>
      <c r="Q77" s="477">
        <f>4111*2.4</f>
        <v>9866.4</v>
      </c>
      <c r="R77" s="477">
        <f>9900+100</f>
        <v>10000</v>
      </c>
      <c r="S77" s="477">
        <v>9935.1959999999999</v>
      </c>
      <c r="T77" s="399"/>
      <c r="U77" s="401"/>
      <c r="V77" s="401"/>
      <c r="W77" s="401"/>
      <c r="X77" s="724">
        <f t="shared" si="20"/>
        <v>5961.1175999999996</v>
      </c>
      <c r="Y77" s="724">
        <f t="shared" si="21"/>
        <v>3974.0784000000003</v>
      </c>
      <c r="Z77" s="581"/>
      <c r="AA77" s="581"/>
      <c r="AB77" s="401"/>
      <c r="AC77" s="577"/>
      <c r="AD77" s="577"/>
      <c r="AZ77" s="473">
        <f t="shared" si="22"/>
        <v>45216.416666666664</v>
      </c>
      <c r="BA77" s="473">
        <f t="shared" si="23"/>
        <v>45228.802083333336</v>
      </c>
      <c r="BB77" s="479">
        <f t="shared" si="24"/>
        <v>12.385416666671517</v>
      </c>
      <c r="BC77" s="473">
        <v>45216.416666666664</v>
      </c>
      <c r="BD77" s="473">
        <v>45218.881944444445</v>
      </c>
      <c r="BE77" s="473">
        <v>45220.458333333336</v>
      </c>
      <c r="BF77" s="473">
        <v>45223.149305555555</v>
      </c>
      <c r="BG77" s="473">
        <v>45223.434027777781</v>
      </c>
      <c r="BH77" s="473">
        <v>45223.4375</v>
      </c>
      <c r="BI77" s="473">
        <v>45223.447916666664</v>
      </c>
      <c r="BJ77" s="473">
        <f t="shared" si="35"/>
        <v>45225.15625</v>
      </c>
      <c r="BK77" s="480">
        <v>45225.583333333336</v>
      </c>
      <c r="BL77" s="480">
        <v>45225.75</v>
      </c>
      <c r="BM77" s="480">
        <v>45225.708333333336</v>
      </c>
      <c r="BN77" s="473">
        <v>45226.875</v>
      </c>
      <c r="BO77" s="473">
        <v>45228.055555555555</v>
      </c>
      <c r="BP77" s="473">
        <v>45228.361111111109</v>
      </c>
      <c r="BQ77" s="473">
        <v>45228.381944444445</v>
      </c>
      <c r="BR77" s="473">
        <v>45228.625</v>
      </c>
      <c r="BS77" s="473">
        <v>45228.802083333336</v>
      </c>
      <c r="BV77" s="481">
        <f t="shared" si="25"/>
        <v>37.833333333372138</v>
      </c>
      <c r="BW77" s="481">
        <f t="shared" si="26"/>
        <v>6.8333333334303461</v>
      </c>
      <c r="BX77" s="481">
        <f t="shared" si="27"/>
        <v>41.000000000058208</v>
      </c>
      <c r="BY77" s="481">
        <f t="shared" si="33"/>
        <v>27</v>
      </c>
      <c r="BZ77" s="482">
        <f t="shared" si="28"/>
        <v>7.3333333333139308</v>
      </c>
      <c r="CA77" s="482">
        <f t="shared" si="29"/>
        <v>4.2500000000582077</v>
      </c>
      <c r="CB77" s="483">
        <f t="shared" si="30"/>
        <v>5.1770833333430346</v>
      </c>
      <c r="CC77" s="483">
        <f t="shared" si="31"/>
        <v>12.385416666671517</v>
      </c>
      <c r="CD77" s="484">
        <f t="shared" si="32"/>
        <v>0.41799831791483322</v>
      </c>
    </row>
    <row r="78" spans="1:82" s="475" customFormat="1">
      <c r="A78" s="474">
        <f t="shared" si="34"/>
        <v>45223.631944444445</v>
      </c>
      <c r="B78" s="475" t="s">
        <v>228</v>
      </c>
      <c r="C78" s="475" t="s">
        <v>229</v>
      </c>
      <c r="D78" s="475" t="s">
        <v>197</v>
      </c>
      <c r="E78" s="667" t="s">
        <v>1465</v>
      </c>
      <c r="F78" s="667"/>
      <c r="G78" s="472">
        <v>45221.333333333336</v>
      </c>
      <c r="H78" s="472">
        <v>45221.270833333336</v>
      </c>
      <c r="I78" s="667" t="s">
        <v>231</v>
      </c>
      <c r="J78" s="475" t="s">
        <v>192</v>
      </c>
      <c r="K78" s="475" t="s">
        <v>192</v>
      </c>
      <c r="L78" s="667" t="s">
        <v>3357</v>
      </c>
      <c r="M78" s="530"/>
      <c r="N78" s="475" t="s">
        <v>307</v>
      </c>
      <c r="O78" s="475" t="s">
        <v>308</v>
      </c>
      <c r="P78" s="399" t="s">
        <v>418</v>
      </c>
      <c r="Q78" s="477">
        <f>3170*2.4</f>
        <v>7608</v>
      </c>
      <c r="R78" s="477">
        <f>7550+100</f>
        <v>7650</v>
      </c>
      <c r="S78" s="477">
        <v>7784.3050000000003</v>
      </c>
      <c r="T78" s="477"/>
      <c r="U78" s="401"/>
      <c r="V78" s="401"/>
      <c r="W78" s="401"/>
      <c r="X78" s="724">
        <f t="shared" si="20"/>
        <v>4670.5829999999996</v>
      </c>
      <c r="Y78" s="724">
        <f t="shared" si="21"/>
        <v>3113.7220000000002</v>
      </c>
      <c r="Z78" s="581"/>
      <c r="AA78" s="581"/>
      <c r="AB78" s="401"/>
      <c r="AC78" s="577"/>
      <c r="AZ78" s="473">
        <f t="shared" si="22"/>
        <v>45218.291666666664</v>
      </c>
      <c r="BA78" s="473">
        <f t="shared" si="23"/>
        <v>45229.9375</v>
      </c>
      <c r="BB78" s="479">
        <f t="shared" si="24"/>
        <v>11.645833333335759</v>
      </c>
      <c r="BC78" s="473">
        <v>45218.291666666664</v>
      </c>
      <c r="BD78" s="473">
        <v>45219.615277777775</v>
      </c>
      <c r="BE78" s="473">
        <v>45222.145833333336</v>
      </c>
      <c r="BF78" s="473">
        <v>45223.631944444445</v>
      </c>
      <c r="BG78" s="473">
        <v>45223.815972222219</v>
      </c>
      <c r="BH78" s="473">
        <v>45223.822916666664</v>
      </c>
      <c r="BI78" s="473">
        <v>45224.25</v>
      </c>
      <c r="BJ78" s="473">
        <f t="shared" si="35"/>
        <v>45225.958333333336</v>
      </c>
      <c r="BK78" s="473">
        <v>45226.583333333336</v>
      </c>
      <c r="BL78" s="473">
        <v>45226.75</v>
      </c>
      <c r="BM78" s="473">
        <v>45226.724305555559</v>
      </c>
      <c r="BN78" s="473">
        <v>45228.208333333336</v>
      </c>
      <c r="BO78" s="473">
        <v>45229.361111111109</v>
      </c>
      <c r="BP78" s="473">
        <v>45229.628472222219</v>
      </c>
      <c r="BQ78" s="473">
        <v>45229.649305555555</v>
      </c>
      <c r="BR78" s="473">
        <v>45229.649305555555</v>
      </c>
      <c r="BS78" s="473">
        <v>45229.9375</v>
      </c>
      <c r="BV78" s="481">
        <f t="shared" si="25"/>
        <v>60.733333333453629</v>
      </c>
      <c r="BW78" s="481">
        <f t="shared" si="26"/>
        <v>4.4166666665696539</v>
      </c>
      <c r="BX78" s="481">
        <f t="shared" si="27"/>
        <v>41.000000000058208</v>
      </c>
      <c r="BY78" s="481">
        <f t="shared" si="33"/>
        <v>35.000000000058208</v>
      </c>
      <c r="BZ78" s="482">
        <f t="shared" si="28"/>
        <v>6.4166666666278616</v>
      </c>
      <c r="CA78" s="482">
        <f t="shared" si="29"/>
        <v>6.9166666666860692</v>
      </c>
      <c r="CB78" s="483">
        <f t="shared" si="30"/>
        <v>6.4368055555605679</v>
      </c>
      <c r="CC78" s="483">
        <f t="shared" si="31"/>
        <v>11.645833333335759</v>
      </c>
      <c r="CD78" s="484">
        <f t="shared" si="32"/>
        <v>0.55271317829488897</v>
      </c>
    </row>
    <row r="79" spans="1:82" s="475" customFormat="1">
      <c r="A79" s="474">
        <f t="shared" si="34"/>
        <v>45223.857638888891</v>
      </c>
      <c r="B79" s="475" t="s">
        <v>228</v>
      </c>
      <c r="C79" s="475" t="s">
        <v>229</v>
      </c>
      <c r="D79" s="475" t="s">
        <v>197</v>
      </c>
      <c r="E79" s="667" t="s">
        <v>1465</v>
      </c>
      <c r="F79" s="667"/>
      <c r="G79" s="472">
        <v>45221.333333333336</v>
      </c>
      <c r="H79" s="472">
        <v>45221.270833333336</v>
      </c>
      <c r="I79" s="667" t="s">
        <v>231</v>
      </c>
      <c r="J79" s="475" t="s">
        <v>192</v>
      </c>
      <c r="K79" s="475" t="s">
        <v>192</v>
      </c>
      <c r="L79" s="667" t="s">
        <v>3358</v>
      </c>
      <c r="M79" s="530"/>
      <c r="N79" s="475" t="s">
        <v>695</v>
      </c>
      <c r="O79" s="475" t="s">
        <v>281</v>
      </c>
      <c r="P79" s="399" t="s">
        <v>418</v>
      </c>
      <c r="Q79" s="477">
        <f>3102*2.4</f>
        <v>7444.7999999999993</v>
      </c>
      <c r="R79" s="477">
        <f>7450+100</f>
        <v>7550</v>
      </c>
      <c r="S79" s="477">
        <f>7623.117-6885.626</f>
        <v>737.49099999999999</v>
      </c>
      <c r="T79" s="399"/>
      <c r="U79" s="401"/>
      <c r="V79" s="401"/>
      <c r="W79" s="401"/>
      <c r="X79" s="724">
        <f t="shared" si="20"/>
        <v>442.49459999999999</v>
      </c>
      <c r="Y79" s="724">
        <f t="shared" si="21"/>
        <v>294.99639999999999</v>
      </c>
      <c r="Z79" s="581"/>
      <c r="AA79" s="581"/>
      <c r="AB79" s="401"/>
      <c r="AC79" s="577"/>
      <c r="AD79" s="577"/>
      <c r="AE79" s="577"/>
      <c r="AF79" s="577"/>
      <c r="AG79" s="577"/>
      <c r="AH79" s="577"/>
      <c r="AI79" s="577"/>
      <c r="AZ79" s="473">
        <f t="shared" si="22"/>
        <v>45217.444444444445</v>
      </c>
      <c r="BA79" s="473">
        <f t="shared" si="23"/>
        <v>45229.881944444445</v>
      </c>
      <c r="BB79" s="479">
        <f t="shared" si="24"/>
        <v>12.4375</v>
      </c>
      <c r="BC79" s="473">
        <v>45217.444444444445</v>
      </c>
      <c r="BD79" s="473">
        <v>45219.569444444445</v>
      </c>
      <c r="BE79" s="473">
        <v>45221.958333333336</v>
      </c>
      <c r="BF79" s="473">
        <v>45223.857638888891</v>
      </c>
      <c r="BG79" s="473">
        <v>45223.975694444445</v>
      </c>
      <c r="BH79" s="473">
        <v>45223.989583333336</v>
      </c>
      <c r="BI79" s="473">
        <v>45224</v>
      </c>
      <c r="BJ79" s="473">
        <f t="shared" si="35"/>
        <v>45225.708333333336</v>
      </c>
      <c r="BK79" s="473">
        <v>45226.583333333336</v>
      </c>
      <c r="BL79" s="473">
        <v>45226.75</v>
      </c>
      <c r="BM79" s="473">
        <v>45226.631944444445</v>
      </c>
      <c r="BN79" s="473">
        <v>45228.0625</v>
      </c>
      <c r="BO79" s="473">
        <v>45229.701388888891</v>
      </c>
      <c r="BP79" s="473">
        <v>45229.777777777781</v>
      </c>
      <c r="BQ79" s="473">
        <v>45229.881944444445</v>
      </c>
      <c r="BR79" s="473">
        <v>45229.881944444445</v>
      </c>
      <c r="BS79" s="473">
        <v>45229.881944444445</v>
      </c>
      <c r="BV79" s="481">
        <f t="shared" si="25"/>
        <v>57.333333333372138</v>
      </c>
      <c r="BW79" s="481">
        <f t="shared" si="26"/>
        <v>2.8333333333139308</v>
      </c>
      <c r="BX79" s="481">
        <f t="shared" si="27"/>
        <v>41.000000000058208</v>
      </c>
      <c r="BY79" s="481">
        <f t="shared" si="33"/>
        <v>31.5</v>
      </c>
      <c r="BZ79" s="482">
        <f t="shared" si="28"/>
        <v>1.8333333333721384</v>
      </c>
      <c r="CA79" s="482">
        <f t="shared" si="29"/>
        <v>0</v>
      </c>
      <c r="CB79" s="483">
        <f t="shared" si="30"/>
        <v>5.6041666666715173</v>
      </c>
      <c r="CC79" s="483">
        <f t="shared" si="31"/>
        <v>12.4375</v>
      </c>
      <c r="CD79" s="484">
        <f t="shared" si="32"/>
        <v>0.45058626465700641</v>
      </c>
    </row>
    <row r="80" spans="1:82" s="475" customFormat="1">
      <c r="A80" s="474">
        <f t="shared" si="34"/>
        <v>45223.857638888891</v>
      </c>
      <c r="B80" s="475" t="s">
        <v>228</v>
      </c>
      <c r="C80" s="475" t="s">
        <v>229</v>
      </c>
      <c r="D80" s="475" t="s">
        <v>197</v>
      </c>
      <c r="E80" s="667" t="s">
        <v>3122</v>
      </c>
      <c r="F80" s="667"/>
      <c r="G80" s="679">
        <v>45224.375</v>
      </c>
      <c r="H80" s="679">
        <v>45224.404166666667</v>
      </c>
      <c r="I80" s="667" t="s">
        <v>231</v>
      </c>
      <c r="J80" s="475" t="s">
        <v>192</v>
      </c>
      <c r="K80" s="475" t="s">
        <v>192</v>
      </c>
      <c r="L80" s="667" t="s">
        <v>3358</v>
      </c>
      <c r="M80" s="530"/>
      <c r="N80" s="475" t="s">
        <v>695</v>
      </c>
      <c r="O80" s="475" t="s">
        <v>281</v>
      </c>
      <c r="P80" s="399" t="s">
        <v>418</v>
      </c>
      <c r="Q80" s="477">
        <f>3102*2.4</f>
        <v>7444.7999999999993</v>
      </c>
      <c r="R80" s="477">
        <f>7450+100</f>
        <v>7550</v>
      </c>
      <c r="S80" s="477">
        <v>5450</v>
      </c>
      <c r="T80" s="399"/>
      <c r="U80" s="401"/>
      <c r="V80" s="401"/>
      <c r="W80" s="401"/>
      <c r="X80" s="724">
        <f t="shared" si="20"/>
        <v>3270</v>
      </c>
      <c r="Y80" s="724">
        <f t="shared" si="21"/>
        <v>2180</v>
      </c>
      <c r="Z80" s="581"/>
      <c r="AA80" s="581"/>
      <c r="AB80" s="401"/>
      <c r="AC80" s="577"/>
      <c r="AD80" s="577"/>
      <c r="AE80" s="577"/>
      <c r="AF80" s="577"/>
      <c r="AG80" s="577"/>
      <c r="AH80" s="577"/>
      <c r="AI80" s="577"/>
      <c r="AZ80" s="473">
        <f t="shared" si="22"/>
        <v>45217.444444444445</v>
      </c>
      <c r="BA80" s="473">
        <f t="shared" si="23"/>
        <v>45233.416666666664</v>
      </c>
      <c r="BB80" s="479">
        <f t="shared" si="24"/>
        <v>15.972222222218988</v>
      </c>
      <c r="BC80" s="473">
        <v>45217.444444444445</v>
      </c>
      <c r="BD80" s="473">
        <v>45219.569444444445</v>
      </c>
      <c r="BE80" s="473">
        <v>45221.958333333336</v>
      </c>
      <c r="BF80" s="473">
        <v>45223.857638888891</v>
      </c>
      <c r="BG80" s="473">
        <v>45223.975694444445</v>
      </c>
      <c r="BH80" s="473">
        <v>45223.989583333336</v>
      </c>
      <c r="BI80" s="473">
        <v>45224</v>
      </c>
      <c r="BJ80" s="473">
        <f t="shared" si="35"/>
        <v>45225.708333333336</v>
      </c>
      <c r="BK80" s="473">
        <v>45226.583333333336</v>
      </c>
      <c r="BL80" s="473">
        <v>45226.75</v>
      </c>
      <c r="BM80" s="473">
        <v>45226.631944444445</v>
      </c>
      <c r="BN80" s="473">
        <v>45229.881944444445</v>
      </c>
      <c r="BO80" s="473">
        <v>45232.590277777774</v>
      </c>
      <c r="BP80" s="473">
        <v>45232.847222222219</v>
      </c>
      <c r="BQ80" s="473">
        <v>45232.885416666664</v>
      </c>
      <c r="BR80" s="473">
        <v>45233.166666666664</v>
      </c>
      <c r="BS80" s="473">
        <v>45233.416666666664</v>
      </c>
      <c r="BV80" s="481">
        <f t="shared" si="25"/>
        <v>57.333333333372138</v>
      </c>
      <c r="BW80" s="481">
        <f t="shared" si="26"/>
        <v>2.8333333333139308</v>
      </c>
      <c r="BX80" s="481">
        <f t="shared" si="27"/>
        <v>41.000000000058208</v>
      </c>
      <c r="BY80" s="481">
        <f t="shared" si="33"/>
        <v>75.166666666686069</v>
      </c>
      <c r="BZ80" s="482">
        <f t="shared" si="28"/>
        <v>6.1666666666860692</v>
      </c>
      <c r="CA80" s="482">
        <f t="shared" si="29"/>
        <v>6</v>
      </c>
      <c r="CB80" s="483">
        <f t="shared" si="30"/>
        <v>7.8541666666715173</v>
      </c>
      <c r="CC80" s="483">
        <f t="shared" si="31"/>
        <v>15.972222222218988</v>
      </c>
      <c r="CD80" s="484">
        <f t="shared" si="32"/>
        <v>0.49173913043518586</v>
      </c>
    </row>
    <row r="81" spans="1:82" s="475" customFormat="1">
      <c r="A81" s="474">
        <f t="shared" si="34"/>
        <v>45224.015972222223</v>
      </c>
      <c r="B81" s="475" t="s">
        <v>228</v>
      </c>
      <c r="C81" s="475" t="s">
        <v>229</v>
      </c>
      <c r="D81" s="475" t="s">
        <v>197</v>
      </c>
      <c r="E81" s="667" t="s">
        <v>1552</v>
      </c>
      <c r="G81" s="472">
        <v>45228.041666666664</v>
      </c>
      <c r="H81" s="472">
        <v>45228.041666666664</v>
      </c>
      <c r="I81" s="667" t="s">
        <v>243</v>
      </c>
      <c r="J81" s="475" t="s">
        <v>192</v>
      </c>
      <c r="K81" s="475" t="s">
        <v>192</v>
      </c>
      <c r="L81" s="667" t="s">
        <v>3359</v>
      </c>
      <c r="M81" s="530"/>
      <c r="N81" s="475" t="s">
        <v>437</v>
      </c>
      <c r="O81" s="475" t="s">
        <v>320</v>
      </c>
      <c r="P81" s="667" t="s">
        <v>235</v>
      </c>
      <c r="Q81" s="477">
        <f>3136*2.4</f>
        <v>7526.4</v>
      </c>
      <c r="R81" s="477">
        <f>7550+100</f>
        <v>7650</v>
      </c>
      <c r="S81" s="477">
        <v>7630.98</v>
      </c>
      <c r="T81" s="667"/>
      <c r="U81" s="581"/>
      <c r="V81" s="581"/>
      <c r="W81" s="581"/>
      <c r="X81" s="724">
        <f t="shared" ref="X81:X89" si="36">S81</f>
        <v>7630.98</v>
      </c>
      <c r="AA81" s="401"/>
      <c r="AB81" s="401"/>
      <c r="AC81" s="401"/>
      <c r="AD81" s="401"/>
      <c r="AE81" s="401"/>
      <c r="AF81" s="401"/>
      <c r="AG81" s="401"/>
      <c r="AH81" s="401"/>
      <c r="AI81" s="401"/>
      <c r="AJ81" s="401"/>
      <c r="AK81" s="401"/>
      <c r="AL81" s="401"/>
      <c r="AM81" s="401"/>
      <c r="AN81" s="401"/>
      <c r="AO81" s="401"/>
      <c r="AP81" s="401"/>
      <c r="AQ81" s="401"/>
      <c r="AR81" s="401"/>
      <c r="AS81" s="401"/>
      <c r="AT81" s="401"/>
      <c r="AU81" s="401"/>
      <c r="AZ81" s="473">
        <f t="shared" si="22"/>
        <v>45218.510416666664</v>
      </c>
      <c r="BA81" s="473">
        <f t="shared" si="23"/>
        <v>45229.375</v>
      </c>
      <c r="BB81" s="479">
        <f t="shared" si="24"/>
        <v>10.864583333335759</v>
      </c>
      <c r="BC81" s="473">
        <v>45218.510416666664</v>
      </c>
      <c r="BD81" s="473">
        <v>45220.524305555555</v>
      </c>
      <c r="BE81" s="473">
        <v>45222.069444444445</v>
      </c>
      <c r="BF81" s="473">
        <v>45224.015972222223</v>
      </c>
      <c r="BG81" s="473">
        <v>45224.190972222219</v>
      </c>
      <c r="BH81" s="473">
        <v>45224.197916666664</v>
      </c>
      <c r="BI81" s="473">
        <v>45224.201388888891</v>
      </c>
      <c r="BJ81" s="473">
        <f t="shared" si="35"/>
        <v>45225.909722222226</v>
      </c>
      <c r="BK81" s="473">
        <v>45226.583333333336</v>
      </c>
      <c r="BL81" s="473">
        <v>45226.75</v>
      </c>
      <c r="BM81" s="473">
        <v>45226.670138888891</v>
      </c>
      <c r="BN81" s="473">
        <v>45228.21875</v>
      </c>
      <c r="BO81" s="473">
        <v>45228.375</v>
      </c>
      <c r="BP81" s="473">
        <v>45228.604166666664</v>
      </c>
      <c r="BQ81" s="473">
        <v>45228.65625</v>
      </c>
      <c r="BR81" s="473">
        <v>45228.677083333336</v>
      </c>
      <c r="BS81" s="473">
        <v>45229.375</v>
      </c>
      <c r="BV81" s="481">
        <f t="shared" si="25"/>
        <v>37.083333333372138</v>
      </c>
      <c r="BW81" s="481">
        <f t="shared" si="26"/>
        <v>4.1999999998952262</v>
      </c>
      <c r="BX81" s="481">
        <f t="shared" si="27"/>
        <v>41.000000000058208</v>
      </c>
      <c r="BY81" s="481">
        <f t="shared" si="33"/>
        <v>35.25</v>
      </c>
      <c r="BZ81" s="482">
        <f t="shared" si="28"/>
        <v>5.4999999999417923</v>
      </c>
      <c r="CA81" s="482">
        <f t="shared" si="29"/>
        <v>16.749999999941792</v>
      </c>
      <c r="CB81" s="483">
        <f t="shared" si="30"/>
        <v>5.8243055555503815</v>
      </c>
      <c r="CC81" s="483">
        <f t="shared" si="31"/>
        <v>10.864583333335759</v>
      </c>
      <c r="CD81" s="484">
        <f t="shared" si="32"/>
        <v>0.5360818152758503</v>
      </c>
    </row>
    <row r="82" spans="1:82" s="475" customFormat="1">
      <c r="A82" s="474">
        <f t="shared" si="34"/>
        <v>45224.493055555555</v>
      </c>
      <c r="B82" s="475" t="s">
        <v>228</v>
      </c>
      <c r="C82" s="475" t="s">
        <v>229</v>
      </c>
      <c r="D82" s="475" t="s">
        <v>197</v>
      </c>
      <c r="E82" s="667" t="s">
        <v>3118</v>
      </c>
      <c r="G82" s="472">
        <v>45223.833333333336</v>
      </c>
      <c r="H82" s="472">
        <v>45223.791666666664</v>
      </c>
      <c r="I82" s="667" t="s">
        <v>231</v>
      </c>
      <c r="J82" s="475" t="s">
        <v>192</v>
      </c>
      <c r="K82" s="475" t="s">
        <v>192</v>
      </c>
      <c r="L82" s="667" t="s">
        <v>3360</v>
      </c>
      <c r="M82" s="530"/>
      <c r="N82" s="475" t="s">
        <v>226</v>
      </c>
      <c r="O82" s="475" t="s">
        <v>227</v>
      </c>
      <c r="P82" s="399" t="s">
        <v>235</v>
      </c>
      <c r="Q82" s="477">
        <f>3100*2.4</f>
        <v>7440</v>
      </c>
      <c r="R82" s="477">
        <f>7450+100</f>
        <v>7550</v>
      </c>
      <c r="S82" s="477">
        <v>7608.7470000000003</v>
      </c>
      <c r="T82" s="667"/>
      <c r="U82" s="581"/>
      <c r="W82" s="581"/>
      <c r="X82" s="726">
        <f t="shared" si="36"/>
        <v>7608.7470000000003</v>
      </c>
      <c r="Z82" s="401"/>
      <c r="AA82" s="401"/>
      <c r="AB82" s="581"/>
      <c r="AC82" s="401"/>
      <c r="AD82" s="401"/>
      <c r="AE82" s="401"/>
      <c r="AF82" s="401"/>
      <c r="AG82" s="401"/>
      <c r="AH82" s="401"/>
      <c r="AI82" s="401"/>
      <c r="AJ82" s="401"/>
      <c r="AK82" s="401"/>
      <c r="AL82" s="401"/>
      <c r="AM82" s="401"/>
      <c r="AN82" s="401"/>
      <c r="AO82" s="401"/>
      <c r="AP82" s="401"/>
      <c r="AQ82" s="401"/>
      <c r="AR82" s="401"/>
      <c r="AS82" s="401"/>
      <c r="AT82" s="401"/>
      <c r="AU82" s="401"/>
      <c r="AZ82" s="473">
        <f t="shared" si="22"/>
        <v>45219.458333333336</v>
      </c>
      <c r="BA82" s="473">
        <f t="shared" si="23"/>
        <v>45228.96875</v>
      </c>
      <c r="BB82" s="479">
        <f t="shared" si="24"/>
        <v>9.5104166666642413</v>
      </c>
      <c r="BC82" s="473">
        <v>45219.458333333336</v>
      </c>
      <c r="BD82" s="473">
        <v>45220.53125</v>
      </c>
      <c r="BE82" s="473">
        <v>45222.076388888891</v>
      </c>
      <c r="BF82" s="473">
        <v>45224.493055555555</v>
      </c>
      <c r="BG82" s="473">
        <v>45224.645833333336</v>
      </c>
      <c r="BH82" s="473">
        <v>45224.652777777781</v>
      </c>
      <c r="BI82" s="473">
        <v>45224.65625</v>
      </c>
      <c r="BJ82" s="473">
        <f t="shared" si="35"/>
        <v>45226.364583333336</v>
      </c>
      <c r="BK82" s="473">
        <v>45226.583333333336</v>
      </c>
      <c r="BL82" s="473">
        <v>45226.75</v>
      </c>
      <c r="BM82" s="473">
        <v>45226.677083333336</v>
      </c>
      <c r="BN82" s="473">
        <v>45228</v>
      </c>
      <c r="BO82" s="473">
        <v>45228.270833333336</v>
      </c>
      <c r="BP82" s="473">
        <v>45228.659722222219</v>
      </c>
      <c r="BQ82" s="473">
        <v>45228.6875</v>
      </c>
      <c r="BR82" s="473">
        <v>45228.791666666664</v>
      </c>
      <c r="BS82" s="473">
        <v>45228.96875</v>
      </c>
      <c r="BV82" s="481">
        <f t="shared" si="25"/>
        <v>37.083333333372138</v>
      </c>
      <c r="BW82" s="481">
        <f t="shared" si="26"/>
        <v>3.6666666667442769</v>
      </c>
      <c r="BX82" s="481">
        <f t="shared" si="27"/>
        <v>41.000000000058208</v>
      </c>
      <c r="BY82" s="481">
        <f t="shared" si="33"/>
        <v>30</v>
      </c>
      <c r="BZ82" s="482">
        <f t="shared" si="28"/>
        <v>9.3333333331975155</v>
      </c>
      <c r="CA82" s="482">
        <f t="shared" si="29"/>
        <v>4.2500000000582077</v>
      </c>
      <c r="CB82" s="483">
        <f t="shared" si="30"/>
        <v>5.2222222222262644</v>
      </c>
      <c r="CC82" s="483">
        <f t="shared" si="31"/>
        <v>9.5104166666642413</v>
      </c>
      <c r="CD82" s="484">
        <f t="shared" si="32"/>
        <v>0.54910551296149968</v>
      </c>
    </row>
    <row r="83" spans="1:82" s="475" customFormat="1">
      <c r="A83" s="474">
        <f t="shared" si="34"/>
        <v>45224.673611111109</v>
      </c>
      <c r="B83" s="475" t="s">
        <v>228</v>
      </c>
      <c r="C83" s="475" t="s">
        <v>229</v>
      </c>
      <c r="D83" s="475" t="s">
        <v>215</v>
      </c>
      <c r="E83" s="667" t="s">
        <v>3118</v>
      </c>
      <c r="G83" s="472">
        <v>45223.833333333336</v>
      </c>
      <c r="H83" s="472">
        <v>45223.791666666664</v>
      </c>
      <c r="I83" s="667" t="s">
        <v>231</v>
      </c>
      <c r="J83" s="475" t="s">
        <v>192</v>
      </c>
      <c r="K83" s="475" t="s">
        <v>192</v>
      </c>
      <c r="L83" s="667" t="s">
        <v>3361</v>
      </c>
      <c r="M83" s="530"/>
      <c r="N83" s="475" t="s">
        <v>399</v>
      </c>
      <c r="O83" s="475" t="s">
        <v>275</v>
      </c>
      <c r="P83" s="667" t="s">
        <v>235</v>
      </c>
      <c r="Q83" s="477">
        <f>3097*2.4</f>
        <v>7432.7999999999993</v>
      </c>
      <c r="R83" s="477">
        <f>7450+100</f>
        <v>7550</v>
      </c>
      <c r="S83" s="477">
        <v>7449.8909999999996</v>
      </c>
      <c r="T83" s="667"/>
      <c r="U83" s="581"/>
      <c r="V83" s="581"/>
      <c r="W83" s="581"/>
      <c r="X83" s="726">
        <f t="shared" si="36"/>
        <v>7449.8909999999996</v>
      </c>
      <c r="Y83" s="581"/>
      <c r="Z83" s="581"/>
      <c r="AA83" s="581"/>
      <c r="AB83" s="581"/>
      <c r="AC83" s="575"/>
      <c r="AD83" s="575"/>
      <c r="AE83" s="575"/>
      <c r="AF83" s="575"/>
      <c r="AG83" s="575"/>
      <c r="AH83" s="575"/>
      <c r="AI83" s="575"/>
      <c r="AZ83" s="473">
        <f t="shared" si="22"/>
        <v>45219.6875</v>
      </c>
      <c r="BA83" s="473">
        <f t="shared" si="23"/>
        <v>45229.395833333336</v>
      </c>
      <c r="BB83" s="479">
        <f t="shared" si="24"/>
        <v>9.7083333333357587</v>
      </c>
      <c r="BC83" s="473">
        <v>45219.6875</v>
      </c>
      <c r="BD83" s="473">
        <v>45220.555555555555</v>
      </c>
      <c r="BE83" s="473">
        <v>45222.166666666664</v>
      </c>
      <c r="BF83" s="473">
        <v>45224.673611111109</v>
      </c>
      <c r="BG83" s="473">
        <v>45224.850694444445</v>
      </c>
      <c r="BH83" s="473">
        <v>45224.854166666664</v>
      </c>
      <c r="BI83" s="473">
        <v>45225.25</v>
      </c>
      <c r="BJ83" s="473">
        <f t="shared" si="35"/>
        <v>45226.958333333336</v>
      </c>
      <c r="BK83" s="473">
        <v>45227.229166666664</v>
      </c>
      <c r="BL83" s="473">
        <v>45227.395833333328</v>
      </c>
      <c r="BM83" s="473">
        <v>45227.295138888891</v>
      </c>
      <c r="BN83" s="473">
        <v>45228.291666666664</v>
      </c>
      <c r="BO83" s="473">
        <v>45228.833333333336</v>
      </c>
      <c r="BP83" s="473">
        <v>45229.006944444445</v>
      </c>
      <c r="BQ83" s="473">
        <v>45229.027777777781</v>
      </c>
      <c r="BR83" s="473">
        <v>45229.125</v>
      </c>
      <c r="BS83" s="473">
        <v>45229.395833333336</v>
      </c>
      <c r="BV83" s="481">
        <f t="shared" si="25"/>
        <v>38.666666666627862</v>
      </c>
      <c r="BW83" s="481">
        <f t="shared" si="26"/>
        <v>4.2500000000582077</v>
      </c>
      <c r="BX83" s="481">
        <f t="shared" si="27"/>
        <v>41.000000000058208</v>
      </c>
      <c r="BY83" s="481">
        <f t="shared" si="33"/>
        <v>21.500000000058208</v>
      </c>
      <c r="BZ83" s="482">
        <f t="shared" si="28"/>
        <v>4.1666666666278616</v>
      </c>
      <c r="CA83" s="482">
        <f t="shared" si="29"/>
        <v>6.5000000000582077</v>
      </c>
      <c r="CB83" s="483">
        <f t="shared" si="30"/>
        <v>4.8368055555620231</v>
      </c>
      <c r="CC83" s="483">
        <f t="shared" si="31"/>
        <v>9.7083333333357587</v>
      </c>
      <c r="CD83" s="484">
        <f t="shared" si="32"/>
        <v>0.4982117310448908</v>
      </c>
    </row>
    <row r="84" spans="1:82" s="475" customFormat="1">
      <c r="A84" s="474">
        <f t="shared" si="34"/>
        <v>45224.878472222219</v>
      </c>
      <c r="B84" s="475" t="s">
        <v>228</v>
      </c>
      <c r="C84" s="475" t="s">
        <v>229</v>
      </c>
      <c r="D84" s="475" t="s">
        <v>197</v>
      </c>
      <c r="E84" s="667" t="s">
        <v>3118</v>
      </c>
      <c r="G84" s="472">
        <v>45223.833333333336</v>
      </c>
      <c r="H84" s="472">
        <v>45223.791666666664</v>
      </c>
      <c r="I84" s="667" t="s">
        <v>231</v>
      </c>
      <c r="J84" s="475" t="s">
        <v>192</v>
      </c>
      <c r="K84" s="475" t="s">
        <v>192</v>
      </c>
      <c r="L84" s="667" t="s">
        <v>3362</v>
      </c>
      <c r="M84" s="530"/>
      <c r="N84" s="475" t="s">
        <v>489</v>
      </c>
      <c r="O84" s="475" t="s">
        <v>483</v>
      </c>
      <c r="P84" s="667" t="s">
        <v>235</v>
      </c>
      <c r="Q84" s="477">
        <f>3107*2.4</f>
        <v>7456.7999999999993</v>
      </c>
      <c r="R84" s="477">
        <f>7500+100</f>
        <v>7600</v>
      </c>
      <c r="S84" s="477">
        <v>7503.1589999999997</v>
      </c>
      <c r="T84" s="667"/>
      <c r="U84" s="581"/>
      <c r="V84" s="581"/>
      <c r="W84" s="581"/>
      <c r="X84" s="726">
        <f t="shared" si="36"/>
        <v>7503.1589999999997</v>
      </c>
      <c r="Y84" s="581"/>
      <c r="Z84" s="581"/>
      <c r="AA84" s="581"/>
      <c r="AB84" s="581"/>
      <c r="AC84" s="401"/>
      <c r="AD84" s="401"/>
      <c r="AE84" s="401"/>
      <c r="AF84" s="401"/>
      <c r="AG84" s="401"/>
      <c r="AH84" s="401"/>
      <c r="AI84" s="401"/>
      <c r="AJ84" s="401"/>
      <c r="AK84" s="401"/>
      <c r="AL84" s="401"/>
      <c r="AM84" s="401"/>
      <c r="AN84" s="401"/>
      <c r="AO84" s="401"/>
      <c r="AP84" s="401"/>
      <c r="AQ84" s="401"/>
      <c r="AR84" s="401"/>
      <c r="AS84" s="401"/>
      <c r="AT84" s="401"/>
      <c r="AU84" s="401"/>
      <c r="AZ84" s="473">
        <f t="shared" si="22"/>
        <v>45219.909722222219</v>
      </c>
      <c r="BA84" s="473">
        <f t="shared" si="23"/>
        <v>45230.375</v>
      </c>
      <c r="BB84" s="479">
        <f t="shared" si="24"/>
        <v>10.465277777781012</v>
      </c>
      <c r="BC84" s="473">
        <v>45219.909722222219</v>
      </c>
      <c r="BD84" s="473">
        <v>45220.635416666664</v>
      </c>
      <c r="BE84" s="473">
        <v>45222.270833333336</v>
      </c>
      <c r="BF84" s="473">
        <v>45224.878472222219</v>
      </c>
      <c r="BG84" s="473">
        <v>45224.996527777781</v>
      </c>
      <c r="BH84" s="473">
        <v>45225.003472222219</v>
      </c>
      <c r="BI84" s="473">
        <v>45225.020833333336</v>
      </c>
      <c r="BJ84" s="473">
        <f t="shared" si="35"/>
        <v>45226.729166666672</v>
      </c>
      <c r="BK84" s="473">
        <v>45227.229166666664</v>
      </c>
      <c r="BL84" s="473">
        <v>45227.395833333328</v>
      </c>
      <c r="BM84" s="473">
        <v>45227.370138888888</v>
      </c>
      <c r="BN84" s="473">
        <v>45228.359027777777</v>
      </c>
      <c r="BO84" s="473">
        <v>45229.75</v>
      </c>
      <c r="BP84" s="473">
        <v>45229.947916666664</v>
      </c>
      <c r="BQ84" s="473">
        <v>45229.979166666664</v>
      </c>
      <c r="BR84" s="473">
        <v>45230.166666666664</v>
      </c>
      <c r="BS84" s="473">
        <v>45230.375</v>
      </c>
      <c r="BV84" s="481">
        <f t="shared" si="25"/>
        <v>39.250000000116415</v>
      </c>
      <c r="BW84" s="481">
        <f t="shared" si="26"/>
        <v>2.8333333334885538</v>
      </c>
      <c r="BX84" s="481">
        <f t="shared" si="27"/>
        <v>41.000000000058208</v>
      </c>
      <c r="BY84" s="481">
        <f t="shared" si="33"/>
        <v>23.116666666755918</v>
      </c>
      <c r="BZ84" s="482">
        <f t="shared" si="28"/>
        <v>4.7499999999417923</v>
      </c>
      <c r="CA84" s="482">
        <f t="shared" si="29"/>
        <v>5.0000000000582077</v>
      </c>
      <c r="CB84" s="483">
        <f t="shared" si="30"/>
        <v>4.8312500000174623</v>
      </c>
      <c r="CC84" s="483">
        <f t="shared" si="31"/>
        <v>10.465277777781012</v>
      </c>
      <c r="CD84" s="484">
        <f t="shared" si="32"/>
        <v>0.46164565361798249</v>
      </c>
    </row>
    <row r="85" spans="1:82" s="475" customFormat="1">
      <c r="A85" s="474">
        <f t="shared" si="34"/>
        <v>45225.027777777781</v>
      </c>
      <c r="B85" s="475" t="s">
        <v>228</v>
      </c>
      <c r="C85" s="475" t="s">
        <v>229</v>
      </c>
      <c r="D85" s="475" t="s">
        <v>197</v>
      </c>
      <c r="E85" s="667" t="s">
        <v>3118</v>
      </c>
      <c r="G85" s="472">
        <v>45223.833333333336</v>
      </c>
      <c r="H85" s="472">
        <v>45223.791666666664</v>
      </c>
      <c r="I85" s="667" t="s">
        <v>231</v>
      </c>
      <c r="J85" s="475" t="s">
        <v>192</v>
      </c>
      <c r="K85" s="475" t="s">
        <v>192</v>
      </c>
      <c r="L85" s="667" t="s">
        <v>3363</v>
      </c>
      <c r="M85" s="530"/>
      <c r="N85" s="475" t="s">
        <v>429</v>
      </c>
      <c r="O85" s="475" t="s">
        <v>430</v>
      </c>
      <c r="P85" s="399" t="s">
        <v>235</v>
      </c>
      <c r="Q85" s="477">
        <f>3145 *2.4</f>
        <v>7548</v>
      </c>
      <c r="R85" s="477">
        <f>7550+100</f>
        <v>7650</v>
      </c>
      <c r="S85" s="477">
        <v>7593.2340000000004</v>
      </c>
      <c r="T85" s="667"/>
      <c r="U85" s="581"/>
      <c r="V85" s="581"/>
      <c r="W85" s="581"/>
      <c r="X85" s="726">
        <f t="shared" si="36"/>
        <v>7593.2340000000004</v>
      </c>
      <c r="Y85" s="581"/>
      <c r="Z85" s="581"/>
      <c r="AA85" s="581"/>
      <c r="AB85" s="581"/>
      <c r="AC85" s="577"/>
      <c r="AD85" s="577"/>
      <c r="AZ85" s="473">
        <f t="shared" si="22"/>
        <v>45218.611111111109</v>
      </c>
      <c r="BA85" s="473">
        <f t="shared" si="23"/>
        <v>45229.934027777781</v>
      </c>
      <c r="BB85" s="479">
        <f t="shared" si="24"/>
        <v>11.322916666671517</v>
      </c>
      <c r="BC85" s="473">
        <v>45218.611111111109</v>
      </c>
      <c r="BD85" s="473">
        <v>45220.538888888892</v>
      </c>
      <c r="BE85" s="473">
        <v>45222.333333333336</v>
      </c>
      <c r="BF85" s="473">
        <v>45225.027777777781</v>
      </c>
      <c r="BG85" s="473">
        <v>45225.177083333336</v>
      </c>
      <c r="BH85" s="473">
        <v>45225.190972222219</v>
      </c>
      <c r="BI85" s="473">
        <v>45225.201388888891</v>
      </c>
      <c r="BJ85" s="473">
        <f t="shared" si="35"/>
        <v>45226.909722222226</v>
      </c>
      <c r="BK85" s="473">
        <v>45227.229166666664</v>
      </c>
      <c r="BL85" s="473">
        <v>45227.395833333328</v>
      </c>
      <c r="BM85" s="473">
        <v>45227.3125</v>
      </c>
      <c r="BN85" s="473">
        <v>45228.333333333336</v>
      </c>
      <c r="BO85" s="473">
        <v>45229.479166666664</v>
      </c>
      <c r="BP85" s="473">
        <v>45229.6875</v>
      </c>
      <c r="BQ85" s="473">
        <v>45229.71875</v>
      </c>
      <c r="BR85" s="473">
        <v>45229.725694444445</v>
      </c>
      <c r="BS85" s="473">
        <v>45229.934027777781</v>
      </c>
      <c r="BV85" s="481">
        <f t="shared" si="25"/>
        <v>43.066666666651145</v>
      </c>
      <c r="BW85" s="481">
        <f t="shared" si="26"/>
        <v>3.5833333333139308</v>
      </c>
      <c r="BX85" s="481">
        <f t="shared" si="27"/>
        <v>41.000000000058208</v>
      </c>
      <c r="BY85" s="481">
        <f t="shared" si="33"/>
        <v>22.500000000174623</v>
      </c>
      <c r="BZ85" s="482">
        <f t="shared" si="28"/>
        <v>5.0000000000582077</v>
      </c>
      <c r="CA85" s="482">
        <f t="shared" si="29"/>
        <v>5.0000000000582077</v>
      </c>
      <c r="CB85" s="483">
        <f t="shared" si="30"/>
        <v>5.0062500000130967</v>
      </c>
      <c r="CC85" s="483">
        <f t="shared" si="31"/>
        <v>11.322916666671517</v>
      </c>
      <c r="CD85" s="484">
        <f t="shared" si="32"/>
        <v>0.44213431462838215</v>
      </c>
    </row>
    <row r="86" spans="1:82" s="475" customFormat="1">
      <c r="A86" s="474">
        <f t="shared" si="34"/>
        <v>45225.215277777781</v>
      </c>
      <c r="B86" s="475" t="s">
        <v>228</v>
      </c>
      <c r="C86" s="475" t="s">
        <v>229</v>
      </c>
      <c r="D86" s="475" t="s">
        <v>197</v>
      </c>
      <c r="E86" s="667" t="s">
        <v>3118</v>
      </c>
      <c r="G86" s="472">
        <v>45223.833333333336</v>
      </c>
      <c r="H86" s="472">
        <v>45223.791666666664</v>
      </c>
      <c r="I86" s="667" t="s">
        <v>231</v>
      </c>
      <c r="J86" s="475" t="s">
        <v>192</v>
      </c>
      <c r="K86" s="475" t="s">
        <v>192</v>
      </c>
      <c r="L86" s="667" t="s">
        <v>3364</v>
      </c>
      <c r="M86" s="530"/>
      <c r="N86" s="475" t="s">
        <v>263</v>
      </c>
      <c r="O86" s="475" t="s">
        <v>264</v>
      </c>
      <c r="P86" s="475" t="s">
        <v>235</v>
      </c>
      <c r="Q86" s="477">
        <f>3136*2.4</f>
        <v>7526.4</v>
      </c>
      <c r="R86" s="477">
        <f>7550+100</f>
        <v>7650</v>
      </c>
      <c r="S86" s="477">
        <v>7568.9</v>
      </c>
      <c r="T86" s="667"/>
      <c r="U86" s="581"/>
      <c r="V86" s="581"/>
      <c r="W86" s="581"/>
      <c r="X86" s="726">
        <f t="shared" si="36"/>
        <v>7568.9</v>
      </c>
      <c r="Y86" s="581"/>
      <c r="Z86" s="581"/>
      <c r="AA86" s="581"/>
      <c r="AB86" s="401"/>
      <c r="AC86" s="575"/>
      <c r="AZ86" s="473">
        <f t="shared" si="22"/>
        <v>45218.420138888891</v>
      </c>
      <c r="BA86" s="473">
        <f t="shared" si="23"/>
        <v>45230.680555555555</v>
      </c>
      <c r="BB86" s="479">
        <f t="shared" si="24"/>
        <v>12.260416666664241</v>
      </c>
      <c r="BC86" s="473">
        <v>45218.420138888891</v>
      </c>
      <c r="BD86" s="473">
        <v>45220.756944444445</v>
      </c>
      <c r="BE86" s="473">
        <v>45222.354166666664</v>
      </c>
      <c r="BF86" s="473">
        <v>45225.215277777781</v>
      </c>
      <c r="BG86" s="473">
        <v>45225.449305555558</v>
      </c>
      <c r="BH86" s="473">
        <v>45225.454861111109</v>
      </c>
      <c r="BI86" s="473">
        <v>45225.454861111109</v>
      </c>
      <c r="BJ86" s="473">
        <f t="shared" si="35"/>
        <v>45227.163194444445</v>
      </c>
      <c r="BK86" s="480">
        <v>45227.229166666664</v>
      </c>
      <c r="BL86" s="480">
        <v>45227.395833333328</v>
      </c>
      <c r="BM86" s="480">
        <v>45227.413194444445</v>
      </c>
      <c r="BN86" s="473">
        <v>45228.614583333336</v>
      </c>
      <c r="BO86" s="473">
        <v>45230.013888888891</v>
      </c>
      <c r="BP86" s="473">
        <v>45230.291666666664</v>
      </c>
      <c r="BQ86" s="473">
        <v>45230.319444444445</v>
      </c>
      <c r="BR86" s="473">
        <v>45230.319444444445</v>
      </c>
      <c r="BS86" s="473">
        <v>45230.680555555555</v>
      </c>
      <c r="BV86" s="481">
        <f t="shared" si="25"/>
        <v>38.333333333255723</v>
      </c>
      <c r="BW86" s="481">
        <f t="shared" si="26"/>
        <v>5.6166666666395031</v>
      </c>
      <c r="BX86" s="481">
        <f t="shared" si="27"/>
        <v>41.000000000058208</v>
      </c>
      <c r="BY86" s="481">
        <f t="shared" si="33"/>
        <v>29.250000000174623</v>
      </c>
      <c r="BZ86" s="482">
        <f t="shared" si="28"/>
        <v>6.6666666665696539</v>
      </c>
      <c r="CA86" s="482">
        <f t="shared" si="29"/>
        <v>8.6666666666278616</v>
      </c>
      <c r="CB86" s="483">
        <f t="shared" si="30"/>
        <v>5.3972222222218988</v>
      </c>
      <c r="CC86" s="483">
        <f t="shared" si="31"/>
        <v>12.260416666664241</v>
      </c>
      <c r="CD86" s="484">
        <f t="shared" si="32"/>
        <v>0.44021523647697941</v>
      </c>
    </row>
    <row r="87" spans="1:82" s="475" customFormat="1">
      <c r="A87" s="474">
        <f t="shared" si="34"/>
        <v>45225.697916666664</v>
      </c>
      <c r="B87" s="475" t="s">
        <v>228</v>
      </c>
      <c r="C87" s="475" t="s">
        <v>229</v>
      </c>
      <c r="D87" s="475" t="s">
        <v>197</v>
      </c>
      <c r="E87" s="667" t="s">
        <v>3118</v>
      </c>
      <c r="G87" s="472">
        <v>45223.833333333336</v>
      </c>
      <c r="H87" s="472">
        <v>45223.791666666664</v>
      </c>
      <c r="I87" s="667" t="s">
        <v>231</v>
      </c>
      <c r="J87" s="475" t="s">
        <v>192</v>
      </c>
      <c r="K87" s="475" t="s">
        <v>192</v>
      </c>
      <c r="L87" s="667" t="s">
        <v>3365</v>
      </c>
      <c r="M87" s="530"/>
      <c r="N87" s="475" t="s">
        <v>323</v>
      </c>
      <c r="O87" s="475" t="s">
        <v>324</v>
      </c>
      <c r="P87" s="399" t="s">
        <v>235</v>
      </c>
      <c r="Q87" s="477">
        <f>3095*2.4</f>
        <v>7428</v>
      </c>
      <c r="R87" s="477">
        <f>7450+100</f>
        <v>7550</v>
      </c>
      <c r="S87" s="477">
        <f>7485.899-5403.723</f>
        <v>2082.1760000000004</v>
      </c>
      <c r="T87" s="667"/>
      <c r="U87" s="581"/>
      <c r="V87" s="581"/>
      <c r="W87" s="581"/>
      <c r="X87" s="726">
        <f t="shared" si="36"/>
        <v>2082.1760000000004</v>
      </c>
      <c r="Y87" s="581"/>
      <c r="Z87" s="581"/>
      <c r="AA87" s="581"/>
      <c r="AB87" s="581"/>
      <c r="AC87" s="581"/>
      <c r="AZ87" s="473">
        <f t="shared" si="22"/>
        <v>45219.680555555555</v>
      </c>
      <c r="BA87" s="473">
        <f t="shared" si="23"/>
        <v>45230.4375</v>
      </c>
      <c r="BB87" s="479">
        <f t="shared" si="24"/>
        <v>10.756944444445253</v>
      </c>
      <c r="BC87" s="473">
        <v>45219.680555555555</v>
      </c>
      <c r="BD87" s="473">
        <v>45220.765972222223</v>
      </c>
      <c r="BE87" s="473">
        <v>45222.694444444445</v>
      </c>
      <c r="BF87" s="473">
        <v>45225.697916666664</v>
      </c>
      <c r="BG87" s="473">
        <v>45225.881944444445</v>
      </c>
      <c r="BH87" s="473">
        <v>45225.885416666664</v>
      </c>
      <c r="BI87" s="473">
        <v>45226.291666666664</v>
      </c>
      <c r="BJ87" s="473">
        <f t="shared" si="35"/>
        <v>45228</v>
      </c>
      <c r="BK87" s="480">
        <v>45228.25</v>
      </c>
      <c r="BL87" s="480">
        <v>45228.416666666664</v>
      </c>
      <c r="BM87" s="480">
        <v>45228.275694444441</v>
      </c>
      <c r="BN87" s="473">
        <v>45229.458333333336</v>
      </c>
      <c r="BO87" s="473">
        <v>45230.354166666664</v>
      </c>
      <c r="BP87" s="473">
        <v>45230.388888888891</v>
      </c>
      <c r="BQ87" s="473">
        <v>45230.4375</v>
      </c>
      <c r="BR87" s="473">
        <v>45230.4375</v>
      </c>
      <c r="BS87" s="473">
        <v>45230.4375</v>
      </c>
      <c r="BV87" s="481">
        <f t="shared" si="25"/>
        <v>46.283333333325572</v>
      </c>
      <c r="BW87" s="481">
        <f t="shared" si="26"/>
        <v>4.4166666667442769</v>
      </c>
      <c r="BX87" s="481">
        <f t="shared" si="27"/>
        <v>41.000000000058208</v>
      </c>
      <c r="BY87" s="481">
        <f t="shared" si="33"/>
        <v>25.000000000116415</v>
      </c>
      <c r="BZ87" s="482">
        <f t="shared" si="28"/>
        <v>0.8333333334303461</v>
      </c>
      <c r="CA87" s="482">
        <f t="shared" si="29"/>
        <v>0</v>
      </c>
      <c r="CB87" s="483">
        <f t="shared" si="30"/>
        <v>4.8972222222364508</v>
      </c>
      <c r="CC87" s="483">
        <f t="shared" si="31"/>
        <v>10.756944444445253</v>
      </c>
      <c r="CD87" s="484">
        <f t="shared" si="32"/>
        <v>0.45526145900709869</v>
      </c>
    </row>
    <row r="88" spans="1:82" s="475" customFormat="1">
      <c r="A88" s="474">
        <f t="shared" si="34"/>
        <v>45225.697916666664</v>
      </c>
      <c r="B88" s="475" t="s">
        <v>228</v>
      </c>
      <c r="C88" s="475" t="s">
        <v>229</v>
      </c>
      <c r="D88" s="475" t="s">
        <v>197</v>
      </c>
      <c r="E88" s="667" t="s">
        <v>3122</v>
      </c>
      <c r="G88" s="679">
        <v>45224.375</v>
      </c>
      <c r="H88" s="679">
        <v>45224.404166666667</v>
      </c>
      <c r="I88" s="667" t="s">
        <v>231</v>
      </c>
      <c r="J88" s="475" t="s">
        <v>192</v>
      </c>
      <c r="K88" s="475" t="s">
        <v>192</v>
      </c>
      <c r="L88" s="667" t="s">
        <v>3365</v>
      </c>
      <c r="M88" s="530"/>
      <c r="N88" s="475" t="s">
        <v>323</v>
      </c>
      <c r="O88" s="475" t="s">
        <v>324</v>
      </c>
      <c r="P88" s="399" t="s">
        <v>235</v>
      </c>
      <c r="Q88" s="477">
        <f>3095*2.4</f>
        <v>7428</v>
      </c>
      <c r="R88" s="477">
        <f>7450+100</f>
        <v>7550</v>
      </c>
      <c r="S88" s="477">
        <v>4926.5959999999995</v>
      </c>
      <c r="T88" s="667"/>
      <c r="U88" s="581"/>
      <c r="V88" s="581"/>
      <c r="W88" s="581"/>
      <c r="X88" s="726">
        <f t="shared" si="36"/>
        <v>4926.5959999999995</v>
      </c>
      <c r="Y88" s="581"/>
      <c r="Z88" s="581"/>
      <c r="AA88" s="581"/>
      <c r="AB88" s="581"/>
      <c r="AC88" s="581"/>
      <c r="AZ88" s="473">
        <f t="shared" si="22"/>
        <v>45219.680555555555</v>
      </c>
      <c r="BA88" s="473">
        <f t="shared" si="23"/>
        <v>45233.28125</v>
      </c>
      <c r="BB88" s="479">
        <f t="shared" si="24"/>
        <v>13.600694444445253</v>
      </c>
      <c r="BC88" s="473">
        <v>45219.680555555555</v>
      </c>
      <c r="BD88" s="473">
        <v>45220.765972222223</v>
      </c>
      <c r="BE88" s="473">
        <v>45222.694444444445</v>
      </c>
      <c r="BF88" s="473">
        <v>45225.697916666664</v>
      </c>
      <c r="BG88" s="473">
        <v>45225.881944444445</v>
      </c>
      <c r="BH88" s="473">
        <v>45225.885416666664</v>
      </c>
      <c r="BI88" s="473">
        <v>45226.291666666664</v>
      </c>
      <c r="BJ88" s="473">
        <f t="shared" si="35"/>
        <v>45228</v>
      </c>
      <c r="BK88" s="480">
        <v>45228.25</v>
      </c>
      <c r="BL88" s="480">
        <v>45228.416666666664</v>
      </c>
      <c r="BM88" s="480" t="str">
        <f>$BM$127</f>
        <v>N/A</v>
      </c>
      <c r="BN88" s="473">
        <v>45230.4375</v>
      </c>
      <c r="BO88" s="473">
        <v>45232.590277777774</v>
      </c>
      <c r="BP88" s="473">
        <v>45232.847222222219</v>
      </c>
      <c r="BQ88" s="473">
        <v>45232.875</v>
      </c>
      <c r="BR88" s="473">
        <v>45232.875</v>
      </c>
      <c r="BS88" s="473">
        <v>45233.28125</v>
      </c>
      <c r="BV88" s="481">
        <f t="shared" si="25"/>
        <v>46.283333333325572</v>
      </c>
      <c r="BW88" s="481">
        <f t="shared" si="26"/>
        <v>4.4166666667442769</v>
      </c>
      <c r="BX88" s="481">
        <f t="shared" si="27"/>
        <v>41.000000000058208</v>
      </c>
      <c r="BY88" s="481">
        <f t="shared" si="33"/>
        <v>48.500000000058208</v>
      </c>
      <c r="BZ88" s="482">
        <f t="shared" si="28"/>
        <v>6.1666666666860692</v>
      </c>
      <c r="CA88" s="482">
        <f t="shared" si="29"/>
        <v>9.75</v>
      </c>
      <c r="CB88" s="483">
        <f t="shared" si="30"/>
        <v>6.5048611111196806</v>
      </c>
      <c r="CC88" s="483">
        <f t="shared" si="31"/>
        <v>13.600694444445253</v>
      </c>
      <c r="CD88" s="484">
        <f t="shared" si="32"/>
        <v>0.47827418943128841</v>
      </c>
    </row>
    <row r="89" spans="1:82" s="475" customFormat="1">
      <c r="A89" s="474">
        <f t="shared" si="34"/>
        <v>45225.913194444445</v>
      </c>
      <c r="B89" s="475" t="s">
        <v>228</v>
      </c>
      <c r="C89" s="475" t="s">
        <v>229</v>
      </c>
      <c r="D89" s="475" t="s">
        <v>197</v>
      </c>
      <c r="E89" s="667" t="s">
        <v>3122</v>
      </c>
      <c r="G89" s="679">
        <v>45224.375</v>
      </c>
      <c r="H89" s="679">
        <v>45224.404166666667</v>
      </c>
      <c r="I89" s="667" t="s">
        <v>231</v>
      </c>
      <c r="J89" s="475" t="s">
        <v>192</v>
      </c>
      <c r="K89" s="475" t="s">
        <v>192</v>
      </c>
      <c r="L89" s="667" t="s">
        <v>3366</v>
      </c>
      <c r="M89" s="530"/>
      <c r="N89" s="475" t="s">
        <v>284</v>
      </c>
      <c r="O89" s="475" t="s">
        <v>285</v>
      </c>
      <c r="P89" s="667" t="s">
        <v>235</v>
      </c>
      <c r="Q89" s="477">
        <f>3852*2.4</f>
        <v>9244.7999999999993</v>
      </c>
      <c r="R89" s="477">
        <f>9250+100</f>
        <v>9350</v>
      </c>
      <c r="S89" s="477">
        <v>9118.6949999999997</v>
      </c>
      <c r="T89" s="477"/>
      <c r="U89" s="581"/>
      <c r="W89" s="581"/>
      <c r="X89" s="726">
        <f t="shared" si="36"/>
        <v>9118.6949999999997</v>
      </c>
      <c r="Y89" s="581"/>
      <c r="Z89" s="581"/>
      <c r="AA89" s="581"/>
      <c r="AB89" s="581"/>
      <c r="AC89" s="724"/>
      <c r="AD89" s="724"/>
      <c r="AE89" s="724"/>
      <c r="AF89" s="724"/>
      <c r="AG89" s="724"/>
      <c r="AH89" s="724"/>
      <c r="AZ89" s="473">
        <f t="shared" si="22"/>
        <v>45220.5</v>
      </c>
      <c r="BA89" s="473">
        <f t="shared" si="23"/>
        <v>45232.895833333336</v>
      </c>
      <c r="BB89" s="479">
        <f t="shared" si="24"/>
        <v>12.395833333335759</v>
      </c>
      <c r="BC89" s="473">
        <v>45220.5</v>
      </c>
      <c r="BD89" s="473">
        <v>45221.496527777781</v>
      </c>
      <c r="BE89" s="473">
        <v>45223.041666666664</v>
      </c>
      <c r="BF89" s="473">
        <v>45225.913194444445</v>
      </c>
      <c r="BG89" s="473">
        <v>45226.076388888891</v>
      </c>
      <c r="BH89" s="473">
        <v>45226.079861111109</v>
      </c>
      <c r="BI89" s="473">
        <v>45226.079861111109</v>
      </c>
      <c r="BJ89" s="473">
        <f t="shared" si="35"/>
        <v>45227.788194444445</v>
      </c>
      <c r="BK89" s="480">
        <v>45228.25</v>
      </c>
      <c r="BL89" s="480">
        <v>45228.416666666664</v>
      </c>
      <c r="BM89" s="480">
        <v>45228.354166666664</v>
      </c>
      <c r="BN89" s="473">
        <v>45229.75</v>
      </c>
      <c r="BO89" s="473">
        <v>45232.163194444445</v>
      </c>
      <c r="BP89" s="473">
        <v>45232.524305555555</v>
      </c>
      <c r="BQ89" s="473">
        <v>45232.548611111109</v>
      </c>
      <c r="BR89" s="473">
        <v>45232.548611111109</v>
      </c>
      <c r="BS89" s="473">
        <v>45232.895833333336</v>
      </c>
      <c r="BV89" s="481">
        <f t="shared" si="25"/>
        <v>37.083333333197515</v>
      </c>
      <c r="BW89" s="481">
        <f t="shared" si="26"/>
        <v>3.9166666666860692</v>
      </c>
      <c r="BX89" s="481">
        <f t="shared" si="27"/>
        <v>41.000000000058208</v>
      </c>
      <c r="BY89" s="481">
        <f t="shared" si="33"/>
        <v>32.000000000058208</v>
      </c>
      <c r="BZ89" s="482">
        <f t="shared" si="28"/>
        <v>8.6666666666278616</v>
      </c>
      <c r="CA89" s="482">
        <f t="shared" si="29"/>
        <v>8.3333333334303461</v>
      </c>
      <c r="CB89" s="483">
        <f t="shared" si="30"/>
        <v>5.4583333333357587</v>
      </c>
      <c r="CC89" s="483">
        <f t="shared" si="31"/>
        <v>12.395833333335759</v>
      </c>
      <c r="CD89" s="484">
        <f t="shared" si="32"/>
        <v>0.44033613445389103</v>
      </c>
    </row>
    <row r="90" spans="1:82" s="475" customFormat="1">
      <c r="A90" s="474">
        <f t="shared" si="34"/>
        <v>45226.097222222219</v>
      </c>
      <c r="B90" s="475" t="s">
        <v>228</v>
      </c>
      <c r="C90" s="475" t="s">
        <v>229</v>
      </c>
      <c r="D90" s="475" t="s">
        <v>197</v>
      </c>
      <c r="E90" s="667" t="s">
        <v>3122</v>
      </c>
      <c r="G90" s="679">
        <v>45224.375</v>
      </c>
      <c r="H90" s="679">
        <v>45224.404166666667</v>
      </c>
      <c r="I90" s="667" t="s">
        <v>231</v>
      </c>
      <c r="J90" s="475" t="s">
        <v>192</v>
      </c>
      <c r="K90" s="475" t="s">
        <v>192</v>
      </c>
      <c r="L90" s="667" t="s">
        <v>3367</v>
      </c>
      <c r="M90" s="530"/>
      <c r="N90" s="475" t="s">
        <v>238</v>
      </c>
      <c r="O90" s="475" t="s">
        <v>239</v>
      </c>
      <c r="P90" s="667" t="s">
        <v>2381</v>
      </c>
      <c r="Q90" s="477">
        <f>3161*2.4</f>
        <v>7586.4</v>
      </c>
      <c r="R90" s="477">
        <f>7550+100</f>
        <v>7650</v>
      </c>
      <c r="S90" s="477">
        <v>7356.7139999999999</v>
      </c>
      <c r="T90" s="667"/>
      <c r="V90" s="581"/>
      <c r="W90" s="581"/>
      <c r="X90" s="724">
        <f>S90*0.8</f>
        <v>5885.3712000000005</v>
      </c>
      <c r="Y90" s="724">
        <f>S90*0.2</f>
        <v>1471.3428000000001</v>
      </c>
      <c r="Z90" s="581"/>
      <c r="AA90" s="581"/>
      <c r="AB90" s="581"/>
      <c r="AC90" s="477"/>
      <c r="AD90" s="401"/>
      <c r="AE90" s="401"/>
      <c r="AF90" s="401"/>
      <c r="AG90" s="401"/>
      <c r="AH90" s="401"/>
      <c r="AI90" s="401"/>
      <c r="AJ90" s="401"/>
      <c r="AK90" s="401"/>
      <c r="AL90" s="401"/>
      <c r="AM90" s="401"/>
      <c r="AN90" s="401"/>
      <c r="AO90" s="401"/>
      <c r="AP90" s="401"/>
      <c r="AQ90" s="401"/>
      <c r="AR90" s="401"/>
      <c r="AS90" s="401"/>
      <c r="AT90" s="401"/>
      <c r="AU90" s="401"/>
      <c r="AZ90" s="473">
        <f t="shared" si="22"/>
        <v>45220.041666666664</v>
      </c>
      <c r="BA90" s="473">
        <f t="shared" si="23"/>
        <v>45232.4375</v>
      </c>
      <c r="BB90" s="479">
        <f t="shared" si="24"/>
        <v>12.395833333335759</v>
      </c>
      <c r="BC90" s="473">
        <v>45220.041666666664</v>
      </c>
      <c r="BD90" s="473">
        <v>45221.5</v>
      </c>
      <c r="BE90" s="473">
        <v>45223.048611111109</v>
      </c>
      <c r="BF90" s="473">
        <v>45226.097222222219</v>
      </c>
      <c r="BG90" s="473">
        <v>45226.253472222219</v>
      </c>
      <c r="BH90" s="473">
        <v>45226.256944444445</v>
      </c>
      <c r="BI90" s="473">
        <v>45226.263888888891</v>
      </c>
      <c r="BJ90" s="473">
        <f t="shared" si="35"/>
        <v>45227.972222222226</v>
      </c>
      <c r="BK90" s="480">
        <v>45228.25</v>
      </c>
      <c r="BL90" s="480">
        <v>45228.416666666664</v>
      </c>
      <c r="BM90" s="480">
        <v>45228.295138888891</v>
      </c>
      <c r="BN90" s="473">
        <v>45229.319444444445</v>
      </c>
      <c r="BO90" s="473">
        <v>45231.979166666664</v>
      </c>
      <c r="BP90" s="473">
        <v>45232.118055555555</v>
      </c>
      <c r="BQ90" s="473">
        <v>45232.142361111109</v>
      </c>
      <c r="BR90" s="473">
        <v>45232.145833333336</v>
      </c>
      <c r="BS90" s="473">
        <v>45232.4375</v>
      </c>
      <c r="BV90" s="481">
        <f t="shared" si="25"/>
        <v>37.166666666627862</v>
      </c>
      <c r="BW90" s="481">
        <f t="shared" si="26"/>
        <v>3.75</v>
      </c>
      <c r="BX90" s="481">
        <f t="shared" si="27"/>
        <v>41.000000000058208</v>
      </c>
      <c r="BY90" s="481">
        <f t="shared" si="33"/>
        <v>21.666666666744277</v>
      </c>
      <c r="BZ90" s="482">
        <f t="shared" si="28"/>
        <v>3.3333333333721384</v>
      </c>
      <c r="CA90" s="482">
        <f t="shared" si="29"/>
        <v>6.9999999999417923</v>
      </c>
      <c r="CB90" s="483">
        <f t="shared" si="30"/>
        <v>4.7465277777810115</v>
      </c>
      <c r="CC90" s="483">
        <f t="shared" si="31"/>
        <v>12.395833333335759</v>
      </c>
      <c r="CD90" s="484">
        <f t="shared" si="32"/>
        <v>0.38291316526629238</v>
      </c>
    </row>
    <row r="91" spans="1:82" s="475" customFormat="1">
      <c r="A91" s="474">
        <f t="shared" si="34"/>
        <v>45226.572916666664</v>
      </c>
      <c r="B91" s="475" t="s">
        <v>228</v>
      </c>
      <c r="C91" s="475" t="s">
        <v>229</v>
      </c>
      <c r="D91" s="475" t="s">
        <v>197</v>
      </c>
      <c r="E91" s="667" t="s">
        <v>3122</v>
      </c>
      <c r="G91" s="679">
        <v>45224.375</v>
      </c>
      <c r="H91" s="679">
        <v>45224.404166666667</v>
      </c>
      <c r="I91" s="667" t="s">
        <v>231</v>
      </c>
      <c r="J91" s="475" t="s">
        <v>192</v>
      </c>
      <c r="K91" s="475" t="s">
        <v>192</v>
      </c>
      <c r="L91" s="667" t="s">
        <v>3368</v>
      </c>
      <c r="M91" s="530"/>
      <c r="N91" s="475" t="s">
        <v>295</v>
      </c>
      <c r="O91" s="475" t="s">
        <v>296</v>
      </c>
      <c r="P91" s="667" t="s">
        <v>235</v>
      </c>
      <c r="Q91" s="477">
        <f>4118*2.4</f>
        <v>9883.1999999999989</v>
      </c>
      <c r="R91" s="477">
        <f>9900+100</f>
        <v>10000</v>
      </c>
      <c r="S91" s="477">
        <v>9913.0910000000003</v>
      </c>
      <c r="T91" s="667"/>
      <c r="U91" s="581"/>
      <c r="V91" s="581"/>
      <c r="W91" s="581"/>
      <c r="X91" s="726">
        <f>S91</f>
        <v>9913.0910000000003</v>
      </c>
      <c r="Y91" s="581"/>
      <c r="Z91" s="581"/>
      <c r="AA91" s="581"/>
      <c r="AB91" s="581"/>
      <c r="AZ91" s="473">
        <f t="shared" si="22"/>
        <v>45221.302083333336</v>
      </c>
      <c r="BA91" s="473">
        <f t="shared" si="23"/>
        <v>45233.910416666666</v>
      </c>
      <c r="BB91" s="479">
        <f t="shared" si="24"/>
        <v>12.608333333329938</v>
      </c>
      <c r="BC91" s="473">
        <v>45221.302083333336</v>
      </c>
      <c r="BD91" s="473">
        <v>45221.746527777781</v>
      </c>
      <c r="BE91" s="473">
        <v>45224.427083333336</v>
      </c>
      <c r="BF91" s="473">
        <v>45226.572916666664</v>
      </c>
      <c r="BG91" s="473">
        <v>45226.763888888891</v>
      </c>
      <c r="BH91" s="473">
        <v>45226.767361111109</v>
      </c>
      <c r="BI91" s="473">
        <v>45226.767361111109</v>
      </c>
      <c r="BJ91" s="473">
        <f t="shared" si="35"/>
        <v>45228.475694444445</v>
      </c>
      <c r="BK91" s="480">
        <v>45229.25</v>
      </c>
      <c r="BL91" s="480">
        <v>45229.416666666664</v>
      </c>
      <c r="BM91" s="480">
        <v>45229.259027777778</v>
      </c>
      <c r="BN91" s="473">
        <v>45230.423611111109</v>
      </c>
      <c r="BO91" s="473">
        <v>45233.256944444445</v>
      </c>
      <c r="BP91" s="473">
        <v>45233.618055555555</v>
      </c>
      <c r="BQ91" s="473">
        <v>45233.659722222219</v>
      </c>
      <c r="BR91" s="473">
        <v>45233.659722222219</v>
      </c>
      <c r="BS91" s="473">
        <v>45233.910416666666</v>
      </c>
      <c r="BV91" s="481">
        <f t="shared" si="25"/>
        <v>64.333333333313931</v>
      </c>
      <c r="BW91" s="481">
        <f t="shared" si="26"/>
        <v>4.5833333334303461</v>
      </c>
      <c r="BX91" s="481">
        <f t="shared" si="27"/>
        <v>41.000000000058208</v>
      </c>
      <c r="BY91" s="481">
        <f t="shared" si="33"/>
        <v>24.166666666686069</v>
      </c>
      <c r="BZ91" s="482">
        <f t="shared" si="28"/>
        <v>8.6666666666278616</v>
      </c>
      <c r="CA91" s="482">
        <f t="shared" si="29"/>
        <v>6.0166666667209938</v>
      </c>
      <c r="CB91" s="483">
        <f t="shared" si="30"/>
        <v>6.1986111111182254</v>
      </c>
      <c r="CC91" s="483">
        <f t="shared" si="31"/>
        <v>12.608333333329938</v>
      </c>
      <c r="CD91" s="484">
        <f t="shared" si="32"/>
        <v>0.49162811191962152</v>
      </c>
    </row>
    <row r="92" spans="1:82" s="475" customFormat="1">
      <c r="A92" s="474">
        <f t="shared" si="34"/>
        <v>45226.809027777781</v>
      </c>
      <c r="B92" s="475" t="s">
        <v>228</v>
      </c>
      <c r="C92" s="475" t="s">
        <v>229</v>
      </c>
      <c r="D92" s="475" t="s">
        <v>197</v>
      </c>
      <c r="E92" s="667" t="s">
        <v>3122</v>
      </c>
      <c r="G92" s="679">
        <v>45224.375</v>
      </c>
      <c r="H92" s="679">
        <v>45224.404166666667</v>
      </c>
      <c r="I92" s="667" t="s">
        <v>231</v>
      </c>
      <c r="J92" s="475" t="s">
        <v>192</v>
      </c>
      <c r="K92" s="475" t="s">
        <v>192</v>
      </c>
      <c r="L92" s="667" t="s">
        <v>3369</v>
      </c>
      <c r="M92" s="530"/>
      <c r="N92" s="475" t="s">
        <v>377</v>
      </c>
      <c r="O92" s="475" t="s">
        <v>378</v>
      </c>
      <c r="P92" s="667" t="s">
        <v>235</v>
      </c>
      <c r="Q92" s="477">
        <f>3271*2.4</f>
        <v>7850.4</v>
      </c>
      <c r="R92" s="477">
        <f>7900+100</f>
        <v>8000</v>
      </c>
      <c r="S92" s="477">
        <v>7916.8220000000001</v>
      </c>
      <c r="T92" s="477"/>
      <c r="U92" s="581"/>
      <c r="W92" s="581"/>
      <c r="X92" s="726">
        <f>S92</f>
        <v>7916.8220000000001</v>
      </c>
      <c r="Y92" s="581"/>
      <c r="Z92" s="581"/>
      <c r="AA92" s="581"/>
      <c r="AB92" s="581"/>
      <c r="AC92" s="575"/>
      <c r="AD92" s="724"/>
      <c r="AE92" s="724"/>
      <c r="AF92" s="724"/>
      <c r="AG92" s="724"/>
      <c r="AH92" s="724"/>
      <c r="AZ92" s="473">
        <f t="shared" si="22"/>
        <v>45220.458333333336</v>
      </c>
      <c r="BA92" s="473">
        <f t="shared" si="23"/>
        <v>45233.590277777781</v>
      </c>
      <c r="BB92" s="479">
        <f t="shared" si="24"/>
        <v>13.131944444445253</v>
      </c>
      <c r="BC92" s="473">
        <v>45220.458333333336</v>
      </c>
      <c r="BD92" s="473">
        <v>45221.753472222219</v>
      </c>
      <c r="BE92" s="473">
        <v>45224.458333333336</v>
      </c>
      <c r="BF92" s="473">
        <v>45226.809027777781</v>
      </c>
      <c r="BG92" s="473">
        <v>45226.944444444445</v>
      </c>
      <c r="BH92" s="473">
        <v>45226.947916666664</v>
      </c>
      <c r="BI92" s="473">
        <v>45226.947916666664</v>
      </c>
      <c r="BJ92" s="473">
        <f t="shared" si="35"/>
        <v>45228.65625</v>
      </c>
      <c r="BK92" s="480">
        <v>45229.25</v>
      </c>
      <c r="BL92" s="480">
        <v>45229.416666666664</v>
      </c>
      <c r="BM92" s="480">
        <v>45229.270833333336</v>
      </c>
      <c r="BN92" s="473">
        <v>45230.395833333336</v>
      </c>
      <c r="BO92" s="473">
        <v>45232.927083333336</v>
      </c>
      <c r="BP92" s="473">
        <v>45233.180555555555</v>
      </c>
      <c r="BQ92" s="473">
        <v>45233.215277777781</v>
      </c>
      <c r="BR92" s="473">
        <v>45233.215277777781</v>
      </c>
      <c r="BS92" s="473">
        <v>45233.590277777781</v>
      </c>
      <c r="BV92" s="481">
        <f t="shared" si="25"/>
        <v>64.916666666802485</v>
      </c>
      <c r="BW92" s="481">
        <f t="shared" si="26"/>
        <v>3.2499999999417923</v>
      </c>
      <c r="BX92" s="481">
        <f t="shared" si="27"/>
        <v>41.000000000058208</v>
      </c>
      <c r="BY92" s="481">
        <f t="shared" si="33"/>
        <v>23.500000000116415</v>
      </c>
      <c r="BZ92" s="482">
        <f t="shared" si="28"/>
        <v>6.0833333332557231</v>
      </c>
      <c r="CA92" s="482">
        <f t="shared" si="29"/>
        <v>9</v>
      </c>
      <c r="CB92" s="483">
        <f t="shared" si="30"/>
        <v>6.156250000007276</v>
      </c>
      <c r="CC92" s="483">
        <f t="shared" si="31"/>
        <v>13.131944444445253</v>
      </c>
      <c r="CD92" s="484">
        <f t="shared" si="32"/>
        <v>0.46879957694394137</v>
      </c>
    </row>
    <row r="93" spans="1:82" s="475" customFormat="1">
      <c r="A93" s="474">
        <f t="shared" si="34"/>
        <v>45226.972222222219</v>
      </c>
      <c r="B93" s="475" t="s">
        <v>228</v>
      </c>
      <c r="C93" s="475" t="s">
        <v>229</v>
      </c>
      <c r="D93" s="475" t="s">
        <v>197</v>
      </c>
      <c r="E93" s="667" t="s">
        <v>3122</v>
      </c>
      <c r="G93" s="679">
        <v>45224.375</v>
      </c>
      <c r="H93" s="679">
        <v>45224.404166666667</v>
      </c>
      <c r="I93" s="667" t="s">
        <v>231</v>
      </c>
      <c r="J93" s="475" t="s">
        <v>192</v>
      </c>
      <c r="K93" s="475" t="s">
        <v>192</v>
      </c>
      <c r="L93" s="667" t="s">
        <v>3370</v>
      </c>
      <c r="M93" s="530"/>
      <c r="N93" s="475" t="s">
        <v>473</v>
      </c>
      <c r="O93" s="475" t="s">
        <v>474</v>
      </c>
      <c r="P93" s="667" t="s">
        <v>2381</v>
      </c>
      <c r="Q93" s="477">
        <f>3136*2.4</f>
        <v>7526.4</v>
      </c>
      <c r="R93" s="477">
        <f t="shared" ref="R93:R100" si="37">7550+100</f>
        <v>7650</v>
      </c>
      <c r="S93" s="477">
        <f>7507.269-791.992</f>
        <v>6715.277</v>
      </c>
      <c r="T93" s="399"/>
      <c r="U93" s="581"/>
      <c r="V93" s="581"/>
      <c r="W93" s="581"/>
      <c r="X93" s="724">
        <f>S93*0.8</f>
        <v>5372.2216000000008</v>
      </c>
      <c r="Y93" s="724">
        <f>S93*0.2</f>
        <v>1343.0554000000002</v>
      </c>
      <c r="Z93" s="581"/>
      <c r="AA93" s="581"/>
      <c r="AB93" s="401"/>
      <c r="AC93" s="577"/>
      <c r="AZ93" s="473">
        <f t="shared" si="22"/>
        <v>45211.291666666664</v>
      </c>
      <c r="BA93" s="473">
        <f t="shared" si="23"/>
        <v>45234.895833333336</v>
      </c>
      <c r="BB93" s="479">
        <f t="shared" si="24"/>
        <v>23.604166666671517</v>
      </c>
      <c r="BC93" s="473">
        <v>45211.291666666664</v>
      </c>
      <c r="BD93" s="473">
        <v>45222.815972222219</v>
      </c>
      <c r="BE93" s="473">
        <v>45224.434027777781</v>
      </c>
      <c r="BF93" s="473">
        <v>45226.972222222219</v>
      </c>
      <c r="BG93" s="473">
        <v>45227.111111111109</v>
      </c>
      <c r="BH93" s="473">
        <v>45227.114583333336</v>
      </c>
      <c r="BI93" s="473">
        <v>45227.114583333336</v>
      </c>
      <c r="BJ93" s="473">
        <f t="shared" si="35"/>
        <v>45228.822916666672</v>
      </c>
      <c r="BK93" s="480">
        <v>45229.25</v>
      </c>
      <c r="BL93" s="480">
        <v>45229.416666666664</v>
      </c>
      <c r="BM93" s="480">
        <v>45229.309027777781</v>
      </c>
      <c r="BN93" s="473">
        <v>45230.4375</v>
      </c>
      <c r="BO93" s="473">
        <v>45234.15625</v>
      </c>
      <c r="BP93" s="473">
        <v>45234.423611111109</v>
      </c>
      <c r="BQ93" s="473">
        <v>45234.520833333336</v>
      </c>
      <c r="BR93" s="473">
        <v>45234.520833333336</v>
      </c>
      <c r="BS93" s="473">
        <v>45234.895833333336</v>
      </c>
      <c r="BV93" s="481">
        <f t="shared" si="25"/>
        <v>38.833333333488554</v>
      </c>
      <c r="BW93" s="481">
        <f t="shared" si="26"/>
        <v>3.3333333333721384</v>
      </c>
      <c r="BX93" s="481">
        <f t="shared" si="27"/>
        <v>41.000000000058208</v>
      </c>
      <c r="BY93" s="481">
        <f t="shared" si="33"/>
        <v>24.500000000058208</v>
      </c>
      <c r="BZ93" s="482">
        <f t="shared" si="28"/>
        <v>6.4166666666278616</v>
      </c>
      <c r="CA93" s="482">
        <f t="shared" si="29"/>
        <v>9</v>
      </c>
      <c r="CB93" s="483">
        <f t="shared" si="30"/>
        <v>5.1284722222335404</v>
      </c>
      <c r="CC93" s="483">
        <f t="shared" si="31"/>
        <v>23.604166666671517</v>
      </c>
      <c r="CD93" s="484">
        <f t="shared" si="32"/>
        <v>0.21726978523138513</v>
      </c>
    </row>
    <row r="94" spans="1:82" s="475" customFormat="1">
      <c r="A94" s="474">
        <f t="shared" si="34"/>
        <v>45227.135416666664</v>
      </c>
      <c r="B94" s="475" t="s">
        <v>228</v>
      </c>
      <c r="C94" s="475" t="s">
        <v>229</v>
      </c>
      <c r="D94" s="475" t="s">
        <v>197</v>
      </c>
      <c r="E94" s="667" t="s">
        <v>3122</v>
      </c>
      <c r="G94" s="679">
        <v>45224.375</v>
      </c>
      <c r="H94" s="679">
        <v>45224.404166666667</v>
      </c>
      <c r="I94" s="667" t="s">
        <v>231</v>
      </c>
      <c r="J94" s="475" t="s">
        <v>192</v>
      </c>
      <c r="K94" s="475" t="s">
        <v>192</v>
      </c>
      <c r="L94" s="667" t="s">
        <v>3371</v>
      </c>
      <c r="M94" s="530"/>
      <c r="N94" s="475" t="s">
        <v>70</v>
      </c>
      <c r="O94" s="475" t="s">
        <v>1982</v>
      </c>
      <c r="P94" s="667" t="s">
        <v>2381</v>
      </c>
      <c r="Q94" s="477">
        <f>3142*2.4</f>
        <v>7540.7999999999993</v>
      </c>
      <c r="R94" s="477">
        <f t="shared" si="37"/>
        <v>7650</v>
      </c>
      <c r="S94" s="477">
        <v>7607.1170000000002</v>
      </c>
      <c r="T94" s="667"/>
      <c r="U94" s="581"/>
      <c r="V94" s="581"/>
      <c r="W94" s="581"/>
      <c r="X94" s="724">
        <f>S94*0.8</f>
        <v>6085.6936000000005</v>
      </c>
      <c r="Y94" s="724">
        <f>S94*0.2</f>
        <v>1521.4234000000001</v>
      </c>
      <c r="Z94" s="581"/>
      <c r="AA94" s="581"/>
      <c r="AB94" s="581"/>
      <c r="AC94" s="667"/>
      <c r="AD94" s="667"/>
      <c r="AE94" s="667"/>
      <c r="AF94" s="667"/>
      <c r="AG94" s="667"/>
      <c r="AH94" s="667"/>
      <c r="AI94" s="667"/>
      <c r="AJ94" s="667"/>
      <c r="AK94" s="667"/>
      <c r="AL94" s="667"/>
      <c r="AM94" s="667"/>
      <c r="AN94" s="667"/>
      <c r="AO94" s="667"/>
      <c r="AP94" s="667"/>
      <c r="AQ94" s="667"/>
      <c r="AR94" s="667"/>
      <c r="AS94" s="667"/>
      <c r="AT94" s="667"/>
      <c r="AU94" s="667"/>
      <c r="AV94" s="667"/>
      <c r="AW94" s="667"/>
      <c r="AZ94" s="473">
        <f t="shared" si="22"/>
        <v>45221.069444444445</v>
      </c>
      <c r="BA94" s="473">
        <f t="shared" si="23"/>
        <v>45234.354166666664</v>
      </c>
      <c r="BB94" s="479">
        <f t="shared" si="24"/>
        <v>13.284722222218988</v>
      </c>
      <c r="BC94" s="473">
        <v>45221.069444444445</v>
      </c>
      <c r="BD94" s="473">
        <v>45224.336805555555</v>
      </c>
      <c r="BE94" s="473">
        <v>45225.958333333336</v>
      </c>
      <c r="BF94" s="473">
        <v>45227.135416666664</v>
      </c>
      <c r="BG94" s="473">
        <v>45227.260416666664</v>
      </c>
      <c r="BH94" s="473">
        <v>45227.263888888891</v>
      </c>
      <c r="BI94" s="473">
        <v>45227.263888888891</v>
      </c>
      <c r="BJ94" s="473">
        <f t="shared" si="35"/>
        <v>45228.972222222226</v>
      </c>
      <c r="BK94" s="480">
        <v>45229.25</v>
      </c>
      <c r="BL94" s="480">
        <v>45229.416666666664</v>
      </c>
      <c r="BM94" s="480">
        <v>45229.263888888891</v>
      </c>
      <c r="BN94" s="473">
        <v>45230.430555555555</v>
      </c>
      <c r="BO94" s="473">
        <v>45233.902777777781</v>
      </c>
      <c r="BP94" s="473">
        <v>45234.111111111109</v>
      </c>
      <c r="BQ94" s="473">
        <v>45234.135416666664</v>
      </c>
      <c r="BR94" s="473">
        <v>45234.135416666664</v>
      </c>
      <c r="BS94" s="473">
        <v>45234.354166666664</v>
      </c>
      <c r="BV94" s="481">
        <f t="shared" si="25"/>
        <v>38.916666666744277</v>
      </c>
      <c r="BW94" s="481">
        <f t="shared" si="26"/>
        <v>3</v>
      </c>
      <c r="BX94" s="481">
        <f t="shared" si="27"/>
        <v>41.000000000058208</v>
      </c>
      <c r="BY94" s="481">
        <f t="shared" si="33"/>
        <v>24.333333333372138</v>
      </c>
      <c r="BZ94" s="482">
        <f t="shared" si="28"/>
        <v>4.9999999998835847</v>
      </c>
      <c r="CA94" s="482">
        <f t="shared" si="29"/>
        <v>5.25</v>
      </c>
      <c r="CB94" s="483">
        <f t="shared" si="30"/>
        <v>4.8958333333357587</v>
      </c>
      <c r="CC94" s="483">
        <f t="shared" si="31"/>
        <v>13.284722222218988</v>
      </c>
      <c r="CD94" s="484">
        <f t="shared" si="32"/>
        <v>0.36853110297988545</v>
      </c>
    </row>
    <row r="95" spans="1:82" s="475" customFormat="1">
      <c r="A95" s="474">
        <f t="shared" si="34"/>
        <v>45227.309027777781</v>
      </c>
      <c r="B95" s="475" t="s">
        <v>228</v>
      </c>
      <c r="C95" s="475" t="s">
        <v>229</v>
      </c>
      <c r="D95" s="475" t="s">
        <v>197</v>
      </c>
      <c r="E95" s="667" t="s">
        <v>3122</v>
      </c>
      <c r="G95" s="679">
        <v>45224.375</v>
      </c>
      <c r="H95" s="679">
        <v>45224.404166666667</v>
      </c>
      <c r="I95" s="667" t="s">
        <v>231</v>
      </c>
      <c r="J95" s="475" t="s">
        <v>192</v>
      </c>
      <c r="K95" s="475" t="s">
        <v>192</v>
      </c>
      <c r="L95" s="667" t="s">
        <v>3372</v>
      </c>
      <c r="M95" s="530"/>
      <c r="N95" s="475" t="s">
        <v>208</v>
      </c>
      <c r="O95" s="475" t="s">
        <v>328</v>
      </c>
      <c r="P95" s="667" t="s">
        <v>2381</v>
      </c>
      <c r="Q95" s="477">
        <f>3128*2.4</f>
        <v>7507.2</v>
      </c>
      <c r="R95" s="477">
        <f t="shared" si="37"/>
        <v>7650</v>
      </c>
      <c r="S95" s="477">
        <v>7523.8440000000001</v>
      </c>
      <c r="T95" s="399"/>
      <c r="U95" s="581"/>
      <c r="V95" s="581"/>
      <c r="W95" s="581"/>
      <c r="X95" s="724">
        <f>S95*0.8</f>
        <v>6019.0752000000002</v>
      </c>
      <c r="Y95" s="724">
        <f>S95*0.2</f>
        <v>1504.7688000000001</v>
      </c>
      <c r="Z95" s="581"/>
      <c r="AA95" s="581"/>
      <c r="AB95" s="581"/>
      <c r="AC95" s="724"/>
      <c r="AD95" s="724"/>
      <c r="AE95" s="724"/>
      <c r="AF95" s="724"/>
      <c r="AG95" s="724"/>
      <c r="AH95" s="724"/>
      <c r="AZ95" s="473">
        <f t="shared" si="22"/>
        <v>45221.430555555555</v>
      </c>
      <c r="BA95" s="473">
        <f t="shared" si="23"/>
        <v>45234.420138888891</v>
      </c>
      <c r="BB95" s="479">
        <f t="shared" si="24"/>
        <v>12.989583333335759</v>
      </c>
      <c r="BC95" s="473">
        <v>45221.430555555555</v>
      </c>
      <c r="BD95" s="473">
        <v>45224.368055555555</v>
      </c>
      <c r="BE95" s="473">
        <v>45225.972222222219</v>
      </c>
      <c r="BF95" s="473">
        <v>45227.309027777781</v>
      </c>
      <c r="BG95" s="473">
        <v>45227.475694444445</v>
      </c>
      <c r="BH95" s="473">
        <v>45227.479166666664</v>
      </c>
      <c r="BI95" s="473">
        <v>45227.486111111109</v>
      </c>
      <c r="BJ95" s="473">
        <f t="shared" si="35"/>
        <v>45229.194444444445</v>
      </c>
      <c r="BK95" s="480">
        <v>45229.25</v>
      </c>
      <c r="BL95" s="480">
        <v>45229.416666666664</v>
      </c>
      <c r="BM95" s="480">
        <v>45229.284722222219</v>
      </c>
      <c r="BN95" s="473">
        <v>45230.416666666664</v>
      </c>
      <c r="BO95" s="473">
        <v>45233.680555555555</v>
      </c>
      <c r="BP95" s="473">
        <v>45233.84375</v>
      </c>
      <c r="BQ95" s="473">
        <v>45233.864583333336</v>
      </c>
      <c r="BR95" s="473">
        <v>45234.236111111109</v>
      </c>
      <c r="BS95" s="473">
        <v>45234.420138888891</v>
      </c>
      <c r="BV95" s="481">
        <f t="shared" si="25"/>
        <v>38.499999999941792</v>
      </c>
      <c r="BW95" s="481">
        <f t="shared" si="26"/>
        <v>3.9999999999417923</v>
      </c>
      <c r="BX95" s="481">
        <f t="shared" si="27"/>
        <v>41.000000000058208</v>
      </c>
      <c r="BY95" s="481">
        <f t="shared" si="33"/>
        <v>24</v>
      </c>
      <c r="BZ95" s="482">
        <f t="shared" si="28"/>
        <v>3.9166666666860692</v>
      </c>
      <c r="CA95" s="482">
        <f t="shared" si="29"/>
        <v>4.4166666667442769</v>
      </c>
      <c r="CB95" s="483">
        <f t="shared" si="30"/>
        <v>4.8263888888905058</v>
      </c>
      <c r="CC95" s="483">
        <f t="shared" si="31"/>
        <v>12.989583333335759</v>
      </c>
      <c r="CD95" s="484">
        <f t="shared" si="32"/>
        <v>0.37155840684314517</v>
      </c>
    </row>
    <row r="96" spans="1:82" s="475" customFormat="1">
      <c r="A96" s="474">
        <f t="shared" si="34"/>
        <v>45227.5</v>
      </c>
      <c r="B96" s="475" t="s">
        <v>228</v>
      </c>
      <c r="C96" s="475" t="s">
        <v>229</v>
      </c>
      <c r="D96" s="475" t="s">
        <v>197</v>
      </c>
      <c r="E96" s="667" t="s">
        <v>1789</v>
      </c>
      <c r="G96" s="473">
        <v>45233.345833333333</v>
      </c>
      <c r="H96" s="473">
        <v>45233.345833333333</v>
      </c>
      <c r="I96" s="667" t="s">
        <v>243</v>
      </c>
      <c r="J96" s="475" t="s">
        <v>192</v>
      </c>
      <c r="K96" s="475" t="s">
        <v>192</v>
      </c>
      <c r="L96" s="667" t="s">
        <v>3373</v>
      </c>
      <c r="M96" s="530"/>
      <c r="N96" s="475" t="s">
        <v>686</v>
      </c>
      <c r="O96" s="475" t="s">
        <v>1186</v>
      </c>
      <c r="P96" s="667" t="s">
        <v>235</v>
      </c>
      <c r="Q96" s="477">
        <f>3136*2.4</f>
        <v>7526.4</v>
      </c>
      <c r="R96" s="477">
        <f t="shared" si="37"/>
        <v>7650</v>
      </c>
      <c r="S96" s="477">
        <v>7510.018</v>
      </c>
      <c r="T96" s="667"/>
      <c r="U96" s="581"/>
      <c r="V96" s="581"/>
      <c r="W96" s="581"/>
      <c r="X96" s="724">
        <f>S96</f>
        <v>7510.018</v>
      </c>
      <c r="Y96" s="581"/>
      <c r="Z96" s="581"/>
      <c r="AA96" s="581"/>
      <c r="AB96" s="581"/>
      <c r="AC96" s="724"/>
      <c r="AD96" s="724"/>
      <c r="AE96" s="724"/>
      <c r="AF96" s="724"/>
      <c r="AG96" s="724"/>
      <c r="AH96" s="724"/>
      <c r="AI96" s="575"/>
      <c r="AZ96" s="473">
        <f t="shared" si="22"/>
        <v>45221.416666666664</v>
      </c>
      <c r="BA96" s="473">
        <f t="shared" si="23"/>
        <v>45233.048611111109</v>
      </c>
      <c r="BB96" s="479">
        <f t="shared" si="24"/>
        <v>11.631944444445253</v>
      </c>
      <c r="BC96" s="473">
        <v>45221.416666666664</v>
      </c>
      <c r="BD96" s="473">
        <v>45224.326388888891</v>
      </c>
      <c r="BE96" s="473">
        <v>45225.982638888891</v>
      </c>
      <c r="BF96" s="473">
        <v>45227.5</v>
      </c>
      <c r="BG96" s="473">
        <v>45227.657638888886</v>
      </c>
      <c r="BH96" s="473">
        <v>45227.670138888891</v>
      </c>
      <c r="BI96" s="473">
        <v>45227.670138888891</v>
      </c>
      <c r="BJ96" s="473">
        <f t="shared" si="35"/>
        <v>45229.378472222226</v>
      </c>
      <c r="BK96" s="480">
        <v>45230.25</v>
      </c>
      <c r="BL96" s="480">
        <v>45230.416666666664</v>
      </c>
      <c r="BM96" s="480">
        <v>45230.322916666664</v>
      </c>
      <c r="BN96" s="473">
        <v>45232.520833333336</v>
      </c>
      <c r="BO96" s="473">
        <v>45232.75</v>
      </c>
      <c r="BP96" s="473">
        <v>45233.048611111109</v>
      </c>
      <c r="BQ96" s="473">
        <v>45233.048611111109</v>
      </c>
      <c r="BR96" s="473">
        <v>45233.048611111109</v>
      </c>
      <c r="BS96" s="473">
        <v>45233.048611111109</v>
      </c>
      <c r="BT96" s="475" t="s">
        <v>1598</v>
      </c>
      <c r="BV96" s="481">
        <f t="shared" si="25"/>
        <v>39.75</v>
      </c>
      <c r="BW96" s="481">
        <f t="shared" si="26"/>
        <v>3.7833333332673647</v>
      </c>
      <c r="BX96" s="481">
        <f t="shared" si="27"/>
        <v>41.000000000058208</v>
      </c>
      <c r="BY96" s="481">
        <f t="shared" si="33"/>
        <v>50.500000000116415</v>
      </c>
      <c r="BZ96" s="482">
        <f t="shared" si="28"/>
        <v>7.1666666666278616</v>
      </c>
      <c r="CA96" s="482">
        <f t="shared" si="29"/>
        <v>0</v>
      </c>
      <c r="CB96" s="483">
        <f t="shared" si="30"/>
        <v>5.9250000000029104</v>
      </c>
      <c r="CC96" s="483">
        <f t="shared" si="31"/>
        <v>11.631944444445253</v>
      </c>
      <c r="CD96" s="484">
        <f t="shared" si="32"/>
        <v>0.50937313432857301</v>
      </c>
    </row>
    <row r="97" spans="1:82" s="475" customFormat="1">
      <c r="A97" s="474">
        <f>BF97</f>
        <v>45227.698611111111</v>
      </c>
      <c r="B97" s="475" t="s">
        <v>228</v>
      </c>
      <c r="C97" s="475" t="s">
        <v>229</v>
      </c>
      <c r="D97" s="475" t="s">
        <v>197</v>
      </c>
      <c r="E97" s="476" t="s">
        <v>3374</v>
      </c>
      <c r="G97" s="518"/>
      <c r="H97" s="518"/>
      <c r="K97" s="126" t="s">
        <v>2693</v>
      </c>
      <c r="L97" s="667" t="s">
        <v>3375</v>
      </c>
      <c r="M97" s="530"/>
      <c r="N97" s="475" t="s">
        <v>233</v>
      </c>
      <c r="O97" s="475" t="s">
        <v>234</v>
      </c>
      <c r="P97" s="667" t="s">
        <v>235</v>
      </c>
      <c r="Q97" s="477">
        <f>3215*2.4</f>
        <v>7716</v>
      </c>
      <c r="R97" s="477">
        <f>7750+100</f>
        <v>7850</v>
      </c>
      <c r="S97" s="880">
        <v>7820.9740000000002</v>
      </c>
      <c r="T97" s="477"/>
      <c r="U97" s="581"/>
      <c r="V97" s="581"/>
      <c r="W97" s="581"/>
      <c r="X97" s="724">
        <f>S97</f>
        <v>7820.9740000000002</v>
      </c>
      <c r="Y97" s="581"/>
      <c r="Z97" s="581"/>
      <c r="AA97" s="581"/>
      <c r="AB97" s="581"/>
      <c r="AE97" s="575"/>
      <c r="AF97" s="575"/>
      <c r="AG97" s="575"/>
      <c r="AZ97" s="473">
        <f>BC97</f>
        <v>45221.541666666664</v>
      </c>
      <c r="BA97" s="473">
        <f>BS97</f>
        <v>45253</v>
      </c>
      <c r="BB97" s="479">
        <f>BA97-AZ97</f>
        <v>31.458333333335759</v>
      </c>
      <c r="BC97" s="473">
        <v>45221.541666666664</v>
      </c>
      <c r="BD97" s="473">
        <v>45224.402777777781</v>
      </c>
      <c r="BE97" s="473">
        <v>45226.375</v>
      </c>
      <c r="BF97" s="473">
        <v>45227.698611111111</v>
      </c>
      <c r="BG97" s="473">
        <v>45227.875</v>
      </c>
      <c r="BH97" s="473">
        <v>45227.885416666664</v>
      </c>
      <c r="BI97" s="473">
        <v>45227.885416666664</v>
      </c>
      <c r="BJ97" s="473">
        <f>BI97+(41/24)</f>
        <v>45229.59375</v>
      </c>
      <c r="BK97" s="518" t="s">
        <v>196</v>
      </c>
      <c r="BL97" s="518" t="s">
        <v>196</v>
      </c>
      <c r="BM97" s="518" t="s">
        <v>196</v>
      </c>
      <c r="BN97" s="473">
        <v>45229.208333333336</v>
      </c>
      <c r="BO97" s="473">
        <v>45242.590277777781</v>
      </c>
      <c r="BP97" s="473">
        <v>45253</v>
      </c>
      <c r="BQ97" s="473">
        <v>45253</v>
      </c>
      <c r="BR97" s="473">
        <v>45253</v>
      </c>
      <c r="BS97" s="473">
        <v>45253</v>
      </c>
      <c r="BT97" s="475" t="s">
        <v>3376</v>
      </c>
      <c r="BV97" s="481">
        <f>(BE97-BD97)*24</f>
        <v>47.333333333255723</v>
      </c>
      <c r="BW97" s="481">
        <f>(BG97-BF97)*24</f>
        <v>4.2333333333372138</v>
      </c>
      <c r="BX97" s="481">
        <f>(BJ97-BI97)*24</f>
        <v>41.000000000058208</v>
      </c>
      <c r="BY97" s="481" t="e">
        <f>(BN97-BL97)*24</f>
        <v>#VALUE!</v>
      </c>
      <c r="BZ97" s="482">
        <f>(BP97-BO97)*24</f>
        <v>249.83333333325572</v>
      </c>
      <c r="CA97" s="482">
        <f>(BS97-BR97)*24</f>
        <v>0</v>
      </c>
      <c r="CB97" s="483" t="e">
        <f>SUM(BV97:CA97)/24</f>
        <v>#VALUE!</v>
      </c>
      <c r="CC97" s="483">
        <f>BB97</f>
        <v>31.458333333335759</v>
      </c>
      <c r="CD97" s="484" t="e">
        <f>CB97/CC97</f>
        <v>#VALUE!</v>
      </c>
    </row>
    <row r="98" spans="1:82" s="475" customFormat="1">
      <c r="A98" s="474">
        <f>BF98</f>
        <v>45242.590277777781</v>
      </c>
      <c r="B98" s="475" t="s">
        <v>188</v>
      </c>
      <c r="C98" s="475" t="s">
        <v>229</v>
      </c>
      <c r="D98" s="475" t="s">
        <v>197</v>
      </c>
      <c r="E98" s="399" t="s">
        <v>3377</v>
      </c>
      <c r="F98" s="475" t="s">
        <v>3378</v>
      </c>
      <c r="G98" s="901">
        <f>BOCT!$S$435</f>
        <v>45264.004166666666</v>
      </c>
      <c r="H98" s="901">
        <f>BOCT!$S$435</f>
        <v>45264.004166666666</v>
      </c>
      <c r="I98" s="475" t="s">
        <v>243</v>
      </c>
      <c r="J98" s="475" t="s">
        <v>192</v>
      </c>
      <c r="K98" s="475" t="s">
        <v>192</v>
      </c>
      <c r="L98" s="667" t="s">
        <v>3379</v>
      </c>
      <c r="M98" s="530"/>
      <c r="N98" s="475" t="s">
        <v>260</v>
      </c>
      <c r="O98" s="475" t="s">
        <v>261</v>
      </c>
      <c r="P98" s="667" t="s">
        <v>235</v>
      </c>
      <c r="Q98" s="477">
        <f>3107*2.4</f>
        <v>7456.7999999999993</v>
      </c>
      <c r="R98" s="477">
        <f>7500+100</f>
        <v>7600</v>
      </c>
      <c r="S98" s="880">
        <v>7747.35</v>
      </c>
      <c r="T98" s="667"/>
      <c r="U98" s="581"/>
      <c r="V98" s="581"/>
      <c r="W98" s="581"/>
      <c r="X98" s="724">
        <f>S98</f>
        <v>7747.35</v>
      </c>
      <c r="AA98" s="581"/>
      <c r="AB98" s="581"/>
      <c r="AZ98" s="473">
        <f>BC98</f>
        <v>45237.927083333336</v>
      </c>
      <c r="BA98" s="473">
        <f>BS98</f>
        <v>45263.538194444445</v>
      </c>
      <c r="BB98" s="479">
        <f>BA98-AZ98</f>
        <v>25.611111111109494</v>
      </c>
      <c r="BC98" s="473">
        <v>45237.927083333336</v>
      </c>
      <c r="BD98" s="473">
        <v>45241.795138888891</v>
      </c>
      <c r="BE98" s="473">
        <v>45242.267361111109</v>
      </c>
      <c r="BF98" s="473">
        <v>45242.590277777781</v>
      </c>
      <c r="BG98" s="473">
        <v>45253</v>
      </c>
      <c r="BH98" s="473">
        <v>45257.625</v>
      </c>
      <c r="BI98" s="473">
        <v>45257.791666666664</v>
      </c>
      <c r="BJ98" s="473">
        <f>BI98+(11/24)</f>
        <v>45258.25</v>
      </c>
      <c r="BK98" s="480">
        <v>45258.25</v>
      </c>
      <c r="BL98" s="480">
        <v>45258.416666608799</v>
      </c>
      <c r="BM98" s="480">
        <v>45258.302083333336</v>
      </c>
      <c r="BN98" s="473">
        <v>45260.041666666664</v>
      </c>
      <c r="BO98" s="473">
        <v>45262.805555555555</v>
      </c>
      <c r="BP98" s="473">
        <v>45263.065972222219</v>
      </c>
      <c r="BQ98" s="473">
        <v>45263.1875</v>
      </c>
      <c r="BR98" s="473">
        <v>45263.1875</v>
      </c>
      <c r="BS98" s="473">
        <v>45263.538194444445</v>
      </c>
      <c r="BV98" s="481">
        <f>(BE98-BD98)*24</f>
        <v>11.333333333255723</v>
      </c>
      <c r="BW98" s="481">
        <f>(BG98-BF98)*24</f>
        <v>249.83333333325572</v>
      </c>
      <c r="BX98" s="481">
        <f>(BJ98-BI98)*24</f>
        <v>11.000000000058208</v>
      </c>
      <c r="BY98" s="481">
        <f>(BN98-BL98)*24</f>
        <v>39.000001388776582</v>
      </c>
      <c r="BZ98" s="482">
        <f>(BP98-BO98)*24</f>
        <v>6.2499999999417923</v>
      </c>
      <c r="CA98" s="482">
        <f>(BS98-BR98)*24</f>
        <v>8.4166666666860692</v>
      </c>
      <c r="CB98" s="483">
        <f>SUM(BV98:CA98)/24</f>
        <v>13.576388946748921</v>
      </c>
      <c r="CC98" s="483">
        <f>BB98</f>
        <v>25.611111111109494</v>
      </c>
      <c r="CD98" s="484">
        <f>CB98/CC98</f>
        <v>0.53009761614207374</v>
      </c>
    </row>
    <row r="99" spans="1:82" s="475" customFormat="1">
      <c r="A99" s="474">
        <f t="shared" si="34"/>
        <v>45227.90625</v>
      </c>
      <c r="B99" s="475" t="s">
        <v>228</v>
      </c>
      <c r="C99" s="475" t="s">
        <v>229</v>
      </c>
      <c r="D99" s="475" t="s">
        <v>197</v>
      </c>
      <c r="E99" s="667" t="s">
        <v>3125</v>
      </c>
      <c r="G99" s="472">
        <v>45228.125</v>
      </c>
      <c r="H99" s="472">
        <v>45228.087500000001</v>
      </c>
      <c r="I99" s="667" t="s">
        <v>231</v>
      </c>
      <c r="J99" s="475" t="s">
        <v>192</v>
      </c>
      <c r="K99" s="475" t="s">
        <v>192</v>
      </c>
      <c r="L99" s="667" t="s">
        <v>3380</v>
      </c>
      <c r="M99" s="530"/>
      <c r="N99" s="475" t="s">
        <v>346</v>
      </c>
      <c r="O99" s="475" t="s">
        <v>347</v>
      </c>
      <c r="P99" s="667" t="s">
        <v>2381</v>
      </c>
      <c r="Q99" s="477">
        <f>3136*2.4</f>
        <v>7526.4</v>
      </c>
      <c r="R99" s="477">
        <f t="shared" si="37"/>
        <v>7650</v>
      </c>
      <c r="S99" s="477">
        <v>7512.3689999999997</v>
      </c>
      <c r="T99" s="667"/>
      <c r="U99" s="581"/>
      <c r="V99" s="581"/>
      <c r="W99" s="581"/>
      <c r="X99" s="724">
        <f t="shared" ref="X99:X106" si="38">S99*0.8</f>
        <v>6009.8951999999999</v>
      </c>
      <c r="Y99" s="724">
        <f t="shared" ref="Y99:Y106" si="39">S99*0.2</f>
        <v>1502.4738</v>
      </c>
      <c r="Z99" s="581"/>
      <c r="AA99" s="581"/>
      <c r="AB99" s="581"/>
      <c r="AC99" s="577"/>
      <c r="AD99" s="577"/>
      <c r="AZ99" s="473">
        <f t="shared" si="22"/>
        <v>45221.46875</v>
      </c>
      <c r="BA99" s="473">
        <f t="shared" si="23"/>
        <v>45233.956250000003</v>
      </c>
      <c r="BB99" s="479">
        <f t="shared" si="24"/>
        <v>12.48750000000291</v>
      </c>
      <c r="BC99" s="473">
        <v>45221.46875</v>
      </c>
      <c r="BD99" s="473">
        <v>45224.756944444445</v>
      </c>
      <c r="BE99" s="473">
        <v>45226.805555555555</v>
      </c>
      <c r="BF99" s="473">
        <v>45227.90625</v>
      </c>
      <c r="BG99" s="473">
        <v>45228.058333333334</v>
      </c>
      <c r="BH99" s="473">
        <v>45228.065972222219</v>
      </c>
      <c r="BI99" s="473">
        <v>45228.065972222219</v>
      </c>
      <c r="BJ99" s="473">
        <f t="shared" si="35"/>
        <v>45229.774305555555</v>
      </c>
      <c r="BK99" s="473">
        <v>45230.25</v>
      </c>
      <c r="BL99" s="473">
        <v>45230.416666666664</v>
      </c>
      <c r="BM99" s="480">
        <v>45230.319444444445</v>
      </c>
      <c r="BN99" s="473">
        <v>45232.013888888891</v>
      </c>
      <c r="BO99" s="473">
        <v>45233.256944444445</v>
      </c>
      <c r="BP99" s="473">
        <v>45233.479166666664</v>
      </c>
      <c r="BQ99" s="473">
        <v>45233.5</v>
      </c>
      <c r="BR99" s="473">
        <v>45233.666666666664</v>
      </c>
      <c r="BS99" s="473">
        <v>45233.956250000003</v>
      </c>
      <c r="BV99" s="481">
        <f t="shared" si="25"/>
        <v>49.166666666627862</v>
      </c>
      <c r="BW99" s="481">
        <f t="shared" si="26"/>
        <v>3.6500000000232831</v>
      </c>
      <c r="BX99" s="481">
        <f t="shared" si="27"/>
        <v>41.000000000058208</v>
      </c>
      <c r="BY99" s="481">
        <f t="shared" si="33"/>
        <v>38.333333333430346</v>
      </c>
      <c r="BZ99" s="482">
        <f t="shared" si="28"/>
        <v>5.3333333332557231</v>
      </c>
      <c r="CA99" s="482">
        <f t="shared" si="29"/>
        <v>6.9500000001280569</v>
      </c>
      <c r="CB99" s="483">
        <f t="shared" si="30"/>
        <v>6.0180555555634783</v>
      </c>
      <c r="CC99" s="483">
        <f t="shared" si="31"/>
        <v>12.48750000000291</v>
      </c>
      <c r="CD99" s="484">
        <f t="shared" si="32"/>
        <v>0.48192637081578182</v>
      </c>
    </row>
    <row r="100" spans="1:82" s="475" customFormat="1">
      <c r="A100" s="474">
        <f t="shared" si="34"/>
        <v>45228.086805555555</v>
      </c>
      <c r="B100" s="475" t="s">
        <v>228</v>
      </c>
      <c r="C100" s="475" t="s">
        <v>229</v>
      </c>
      <c r="D100" s="475" t="s">
        <v>197</v>
      </c>
      <c r="E100" s="667" t="s">
        <v>3125</v>
      </c>
      <c r="G100" s="472">
        <v>45228.125</v>
      </c>
      <c r="H100" s="472">
        <v>45228.087500000001</v>
      </c>
      <c r="I100" s="667" t="s">
        <v>231</v>
      </c>
      <c r="J100" s="475" t="s">
        <v>192</v>
      </c>
      <c r="K100" s="475" t="s">
        <v>192</v>
      </c>
      <c r="L100" s="667" t="s">
        <v>3381</v>
      </c>
      <c r="M100" s="530"/>
      <c r="N100" s="475" t="s">
        <v>257</v>
      </c>
      <c r="O100" s="475" t="s">
        <v>258</v>
      </c>
      <c r="P100" s="399" t="s">
        <v>2381</v>
      </c>
      <c r="Q100" s="477">
        <f>3139*2.4</f>
        <v>7533.5999999999995</v>
      </c>
      <c r="R100" s="477">
        <f t="shared" si="37"/>
        <v>7650</v>
      </c>
      <c r="S100" s="477">
        <v>7516.6670000000004</v>
      </c>
      <c r="T100" s="399"/>
      <c r="U100" s="401"/>
      <c r="V100" s="401"/>
      <c r="W100" s="401"/>
      <c r="X100" s="724">
        <f t="shared" si="38"/>
        <v>6013.3336000000008</v>
      </c>
      <c r="Y100" s="724">
        <f t="shared" si="39"/>
        <v>1503.3334000000002</v>
      </c>
      <c r="Z100" s="581"/>
      <c r="AA100" s="401"/>
      <c r="AB100" s="577"/>
      <c r="AG100" s="577"/>
      <c r="AH100" s="577"/>
      <c r="AI100" s="577"/>
      <c r="AZ100" s="473">
        <f t="shared" si="22"/>
        <v>45222.9375</v>
      </c>
      <c r="BA100" s="473">
        <f t="shared" si="23"/>
        <v>45233.5</v>
      </c>
      <c r="BB100" s="479">
        <f t="shared" si="24"/>
        <v>10.5625</v>
      </c>
      <c r="BC100" s="473">
        <v>45222.9375</v>
      </c>
      <c r="BD100" s="473">
        <v>45225.847222222219</v>
      </c>
      <c r="BE100" s="473">
        <v>45227.5</v>
      </c>
      <c r="BF100" s="473">
        <v>45228.086805555555</v>
      </c>
      <c r="BG100" s="473">
        <v>45228.234722222223</v>
      </c>
      <c r="BH100" s="473">
        <v>45228.239583333336</v>
      </c>
      <c r="BI100" s="473">
        <v>45228.239583333336</v>
      </c>
      <c r="BJ100" s="473">
        <f t="shared" si="35"/>
        <v>45229.947916666672</v>
      </c>
      <c r="BK100" s="473">
        <v>45230.25</v>
      </c>
      <c r="BL100" s="473">
        <v>45230.416666666664</v>
      </c>
      <c r="BM100" s="480">
        <v>45230.354166666664</v>
      </c>
      <c r="BN100" s="473">
        <v>45231.597222222219</v>
      </c>
      <c r="BO100" s="473">
        <v>45232.958333333336</v>
      </c>
      <c r="BP100" s="473">
        <v>45233.194444444445</v>
      </c>
      <c r="BQ100" s="473">
        <v>45233.215277777781</v>
      </c>
      <c r="BR100" s="473">
        <v>45233.222222222219</v>
      </c>
      <c r="BS100" s="473">
        <v>45233.5</v>
      </c>
      <c r="BV100" s="481">
        <f t="shared" si="25"/>
        <v>39.666666666744277</v>
      </c>
      <c r="BW100" s="481">
        <f t="shared" si="26"/>
        <v>3.5500000000465661</v>
      </c>
      <c r="BX100" s="481">
        <f t="shared" si="27"/>
        <v>41.000000000058208</v>
      </c>
      <c r="BY100" s="481">
        <f t="shared" si="33"/>
        <v>28.333333333313931</v>
      </c>
      <c r="BZ100" s="482">
        <f t="shared" si="28"/>
        <v>5.6666666666278616</v>
      </c>
      <c r="CA100" s="482">
        <f t="shared" si="29"/>
        <v>6.6666666667442769</v>
      </c>
      <c r="CB100" s="483">
        <f t="shared" si="30"/>
        <v>5.20347222223063</v>
      </c>
      <c r="CC100" s="483">
        <f t="shared" si="31"/>
        <v>10.5625</v>
      </c>
      <c r="CD100" s="484">
        <f t="shared" si="32"/>
        <v>0.4926364234064502</v>
      </c>
    </row>
    <row r="101" spans="1:82" s="475" customFormat="1">
      <c r="A101" s="474">
        <f t="shared" si="34"/>
        <v>45228.340277777781</v>
      </c>
      <c r="B101" s="475" t="s">
        <v>228</v>
      </c>
      <c r="C101" s="475" t="s">
        <v>229</v>
      </c>
      <c r="D101" s="475" t="s">
        <v>215</v>
      </c>
      <c r="E101" s="667" t="s">
        <v>3125</v>
      </c>
      <c r="G101" s="472">
        <v>45228.125</v>
      </c>
      <c r="H101" s="472">
        <v>45228.087500000001</v>
      </c>
      <c r="I101" s="667" t="s">
        <v>231</v>
      </c>
      <c r="J101" s="475" t="s">
        <v>192</v>
      </c>
      <c r="K101" s="475" t="s">
        <v>192</v>
      </c>
      <c r="L101" s="667" t="s">
        <v>3382</v>
      </c>
      <c r="M101" s="530"/>
      <c r="N101" s="475" t="s">
        <v>271</v>
      </c>
      <c r="O101" s="475" t="s">
        <v>272</v>
      </c>
      <c r="P101" s="667" t="s">
        <v>2381</v>
      </c>
      <c r="Q101" s="477">
        <f>3852*2.4</f>
        <v>9244.7999999999993</v>
      </c>
      <c r="R101" s="477">
        <f>9250+100</f>
        <v>9350</v>
      </c>
      <c r="S101" s="477">
        <v>9273.4760000000006</v>
      </c>
      <c r="T101" s="477"/>
      <c r="U101" s="581"/>
      <c r="V101" s="581"/>
      <c r="W101" s="581"/>
      <c r="X101" s="724">
        <f t="shared" si="38"/>
        <v>7418.7808000000005</v>
      </c>
      <c r="Y101" s="724">
        <f t="shared" si="39"/>
        <v>1854.6952000000001</v>
      </c>
      <c r="Z101" s="581"/>
      <c r="AA101" s="581"/>
      <c r="AB101" s="581"/>
      <c r="AC101" s="667"/>
      <c r="AD101" s="401"/>
      <c r="AE101" s="401"/>
      <c r="AZ101" s="473">
        <f t="shared" si="22"/>
        <v>45221.920138888891</v>
      </c>
      <c r="BA101" s="473">
        <f t="shared" si="23"/>
        <v>45233.263888888891</v>
      </c>
      <c r="BB101" s="479">
        <f t="shared" si="24"/>
        <v>11.34375</v>
      </c>
      <c r="BC101" s="473">
        <v>45221.920138888891</v>
      </c>
      <c r="BD101" s="473">
        <v>45225.850694444445</v>
      </c>
      <c r="BE101" s="473">
        <v>45227.513888888891</v>
      </c>
      <c r="BF101" s="473">
        <v>45228.340277777781</v>
      </c>
      <c r="BG101" s="473">
        <v>45228.524305555555</v>
      </c>
      <c r="BH101" s="473">
        <v>45228.527777777781</v>
      </c>
      <c r="BI101" s="473">
        <v>45228.532638888886</v>
      </c>
      <c r="BJ101" s="473">
        <f t="shared" si="35"/>
        <v>45230.240972222222</v>
      </c>
      <c r="BK101" s="473">
        <v>45230.25</v>
      </c>
      <c r="BL101" s="473">
        <v>45230.416666666664</v>
      </c>
      <c r="BM101" s="480">
        <v>45230.305555555555</v>
      </c>
      <c r="BN101" s="473">
        <v>45231.510416666664</v>
      </c>
      <c r="BO101" s="473">
        <v>45232.645833333336</v>
      </c>
      <c r="BP101" s="473">
        <v>45232.895833333336</v>
      </c>
      <c r="BQ101" s="473">
        <v>45232.916666666672</v>
      </c>
      <c r="BR101" s="473">
        <v>45232.972222222219</v>
      </c>
      <c r="BS101" s="473">
        <v>45233.263888888891</v>
      </c>
      <c r="BV101" s="481">
        <f t="shared" si="25"/>
        <v>39.916666666686069</v>
      </c>
      <c r="BW101" s="481">
        <f t="shared" si="26"/>
        <v>4.4166666665696539</v>
      </c>
      <c r="BX101" s="481">
        <f t="shared" si="27"/>
        <v>41.000000000058208</v>
      </c>
      <c r="BY101" s="481">
        <f t="shared" si="33"/>
        <v>26.25</v>
      </c>
      <c r="BZ101" s="482">
        <f t="shared" si="28"/>
        <v>6</v>
      </c>
      <c r="CA101" s="482">
        <f t="shared" si="29"/>
        <v>7.0000000001164153</v>
      </c>
      <c r="CB101" s="483">
        <f t="shared" si="30"/>
        <v>5.1909722222262644</v>
      </c>
      <c r="CC101" s="483">
        <f t="shared" si="31"/>
        <v>11.34375</v>
      </c>
      <c r="CD101" s="484">
        <f t="shared" si="32"/>
        <v>0.45760636669763211</v>
      </c>
    </row>
    <row r="102" spans="1:82" s="475" customFormat="1">
      <c r="A102" s="474">
        <f t="shared" si="34"/>
        <v>45228.809027777781</v>
      </c>
      <c r="B102" s="475" t="s">
        <v>228</v>
      </c>
      <c r="C102" s="475" t="s">
        <v>229</v>
      </c>
      <c r="D102" s="475" t="s">
        <v>197</v>
      </c>
      <c r="E102" s="667" t="s">
        <v>3125</v>
      </c>
      <c r="G102" s="472">
        <v>45228.125</v>
      </c>
      <c r="H102" s="472">
        <v>45228.087500000001</v>
      </c>
      <c r="I102" s="667" t="s">
        <v>231</v>
      </c>
      <c r="J102" s="475" t="s">
        <v>192</v>
      </c>
      <c r="K102" s="475" t="s">
        <v>192</v>
      </c>
      <c r="L102" s="667" t="s">
        <v>3383</v>
      </c>
      <c r="M102" s="530"/>
      <c r="N102" s="475" t="s">
        <v>201</v>
      </c>
      <c r="O102" s="475" t="s">
        <v>202</v>
      </c>
      <c r="P102" s="667" t="s">
        <v>2381</v>
      </c>
      <c r="Q102" s="477">
        <f>3141*2.4</f>
        <v>7538.4</v>
      </c>
      <c r="R102" s="477">
        <f>7550+100</f>
        <v>7650</v>
      </c>
      <c r="S102" s="477">
        <v>7643.4970000000003</v>
      </c>
      <c r="T102" s="667"/>
      <c r="U102" s="581"/>
      <c r="V102" s="581"/>
      <c r="W102" s="581"/>
      <c r="X102" s="724">
        <f t="shared" si="38"/>
        <v>6114.7976000000008</v>
      </c>
      <c r="Y102" s="724">
        <f t="shared" si="39"/>
        <v>1528.6994000000002</v>
      </c>
      <c r="Z102" s="581"/>
      <c r="AA102" s="581"/>
      <c r="AB102" s="581"/>
      <c r="AC102" s="667"/>
      <c r="AD102" s="667"/>
      <c r="AE102" s="667"/>
      <c r="AF102" s="667"/>
      <c r="AG102" s="667"/>
      <c r="AH102" s="667"/>
      <c r="AI102" s="667"/>
      <c r="AJ102" s="667"/>
      <c r="AK102" s="667"/>
      <c r="AL102" s="667"/>
      <c r="AM102" s="667"/>
      <c r="AN102" s="667"/>
      <c r="AO102" s="667"/>
      <c r="AP102" s="667"/>
      <c r="AQ102" s="667"/>
      <c r="AR102" s="667"/>
      <c r="AS102" s="667"/>
      <c r="AT102" s="667"/>
      <c r="AU102" s="667"/>
      <c r="AV102" s="667"/>
      <c r="AW102" s="667"/>
      <c r="AZ102" s="473">
        <f t="shared" si="22"/>
        <v>45221.895833333336</v>
      </c>
      <c r="BA102" s="473">
        <f t="shared" si="23"/>
        <v>45234.166666666664</v>
      </c>
      <c r="BB102" s="479">
        <f t="shared" si="24"/>
        <v>12.270833333328483</v>
      </c>
      <c r="BC102" s="473">
        <v>45221.895833333336</v>
      </c>
      <c r="BD102" s="473">
        <v>45225.833333333336</v>
      </c>
      <c r="BE102" s="473">
        <v>45227.506944444445</v>
      </c>
      <c r="BF102" s="473">
        <v>45228.809027777781</v>
      </c>
      <c r="BG102" s="473">
        <v>45228.934027777781</v>
      </c>
      <c r="BH102" s="473">
        <v>45228.940972222219</v>
      </c>
      <c r="BI102" s="473">
        <v>45229.267361111109</v>
      </c>
      <c r="BJ102" s="473">
        <f t="shared" si="35"/>
        <v>45230.975694444445</v>
      </c>
      <c r="BK102" s="480">
        <v>45231.25</v>
      </c>
      <c r="BL102" s="480">
        <v>45231.416666608799</v>
      </c>
      <c r="BM102" s="480">
        <v>45231.326388888891</v>
      </c>
      <c r="BN102" s="473">
        <v>45232.444444444445</v>
      </c>
      <c r="BO102" s="473">
        <v>45233.541666666664</v>
      </c>
      <c r="BP102" s="473">
        <v>45233.770833333336</v>
      </c>
      <c r="BQ102" s="473">
        <v>45233.791666666664</v>
      </c>
      <c r="BR102" s="473">
        <v>45233.791666666664</v>
      </c>
      <c r="BS102" s="473">
        <v>45234.166666666664</v>
      </c>
      <c r="BV102" s="481">
        <f t="shared" si="25"/>
        <v>40.166666666627862</v>
      </c>
      <c r="BW102" s="481">
        <f t="shared" si="26"/>
        <v>3</v>
      </c>
      <c r="BX102" s="481">
        <f t="shared" si="27"/>
        <v>41.000000000058208</v>
      </c>
      <c r="BY102" s="481">
        <f t="shared" si="33"/>
        <v>24.666668055520859</v>
      </c>
      <c r="BZ102" s="482">
        <f t="shared" si="28"/>
        <v>5.5000000001164153</v>
      </c>
      <c r="CA102" s="482">
        <f t="shared" si="29"/>
        <v>9</v>
      </c>
      <c r="CB102" s="483">
        <f t="shared" si="30"/>
        <v>5.1388889467634726</v>
      </c>
      <c r="CC102" s="483">
        <f t="shared" si="31"/>
        <v>12.270833333328483</v>
      </c>
      <c r="CD102" s="484">
        <f t="shared" si="32"/>
        <v>0.41878891246985434</v>
      </c>
    </row>
    <row r="103" spans="1:82" s="475" customFormat="1">
      <c r="A103" s="474">
        <f t="shared" si="34"/>
        <v>45228.958333333336</v>
      </c>
      <c r="B103" s="475" t="s">
        <v>228</v>
      </c>
      <c r="C103" s="475" t="s">
        <v>229</v>
      </c>
      <c r="D103" s="475" t="s">
        <v>197</v>
      </c>
      <c r="E103" s="667" t="s">
        <v>3125</v>
      </c>
      <c r="G103" s="472">
        <v>45228.125</v>
      </c>
      <c r="H103" s="472">
        <v>45228.087500000001</v>
      </c>
      <c r="I103" s="667" t="s">
        <v>231</v>
      </c>
      <c r="J103" s="475" t="s">
        <v>192</v>
      </c>
      <c r="K103" s="475" t="s">
        <v>192</v>
      </c>
      <c r="L103" s="667" t="s">
        <v>3384</v>
      </c>
      <c r="M103" s="530"/>
      <c r="N103" s="475" t="s">
        <v>218</v>
      </c>
      <c r="O103" s="475" t="s">
        <v>350</v>
      </c>
      <c r="P103" s="667" t="s">
        <v>2381</v>
      </c>
      <c r="Q103" s="477">
        <f>3077*2.4</f>
        <v>7384.7999999999993</v>
      </c>
      <c r="R103" s="477">
        <f>7400+100</f>
        <v>7500</v>
      </c>
      <c r="S103" s="477">
        <v>7461.5519999999997</v>
      </c>
      <c r="T103" s="477"/>
      <c r="U103" s="581"/>
      <c r="V103" s="581"/>
      <c r="W103" s="581"/>
      <c r="X103" s="724">
        <f t="shared" si="38"/>
        <v>5969.2416000000003</v>
      </c>
      <c r="Y103" s="724">
        <f t="shared" si="39"/>
        <v>1492.3104000000001</v>
      </c>
      <c r="Z103" s="581"/>
      <c r="AA103" s="581"/>
      <c r="AB103" s="581"/>
      <c r="AC103" s="667"/>
      <c r="AZ103" s="473">
        <f t="shared" si="22"/>
        <v>45222.100694444445</v>
      </c>
      <c r="BA103" s="473">
        <f t="shared" si="23"/>
        <v>45234.493055555555</v>
      </c>
      <c r="BB103" s="479">
        <f t="shared" si="24"/>
        <v>12.392361111109494</v>
      </c>
      <c r="BC103" s="473">
        <v>45222.100694444445</v>
      </c>
      <c r="BD103" s="473">
        <v>45223.34375</v>
      </c>
      <c r="BE103" s="473">
        <v>45226.909722222219</v>
      </c>
      <c r="BF103" s="473">
        <v>45228.958333333336</v>
      </c>
      <c r="BG103" s="473">
        <v>45229.09375</v>
      </c>
      <c r="BH103" s="473">
        <v>45229.100694444445</v>
      </c>
      <c r="BI103" s="473">
        <v>45229.291666666664</v>
      </c>
      <c r="BJ103" s="473">
        <f t="shared" si="35"/>
        <v>45231</v>
      </c>
      <c r="BK103" s="480">
        <v>45231.25</v>
      </c>
      <c r="BL103" s="480">
        <v>45231.416666608799</v>
      </c>
      <c r="BM103" s="480">
        <v>45231.305555555555</v>
      </c>
      <c r="BN103" s="473">
        <v>45232.517361111109</v>
      </c>
      <c r="BO103" s="473">
        <v>45233.857638888891</v>
      </c>
      <c r="BP103" s="473">
        <v>45234.090277777781</v>
      </c>
      <c r="BQ103" s="473">
        <v>45234.111111111109</v>
      </c>
      <c r="BR103" s="473">
        <v>45234.111111111109</v>
      </c>
      <c r="BS103" s="473">
        <v>45234.493055555555</v>
      </c>
      <c r="BV103" s="481">
        <f t="shared" si="25"/>
        <v>85.583333333255723</v>
      </c>
      <c r="BW103" s="481">
        <f t="shared" si="26"/>
        <v>3.2499999999417923</v>
      </c>
      <c r="BX103" s="481">
        <f t="shared" si="27"/>
        <v>41.000000000058208</v>
      </c>
      <c r="BY103" s="481">
        <f t="shared" si="33"/>
        <v>26.416668055462651</v>
      </c>
      <c r="BZ103" s="482">
        <f t="shared" si="28"/>
        <v>5.5833333333721384</v>
      </c>
      <c r="CA103" s="482">
        <f t="shared" si="29"/>
        <v>9.1666666666860692</v>
      </c>
      <c r="CB103" s="483">
        <f t="shared" si="30"/>
        <v>7.1250000578656909</v>
      </c>
      <c r="CC103" s="483">
        <f t="shared" si="31"/>
        <v>12.392361111109494</v>
      </c>
      <c r="CD103" s="484">
        <f t="shared" si="32"/>
        <v>0.57495097132686657</v>
      </c>
    </row>
    <row r="104" spans="1:82" s="475" customFormat="1">
      <c r="A104" s="474">
        <f t="shared" si="34"/>
        <v>45229.121527777781</v>
      </c>
      <c r="B104" s="475" t="s">
        <v>228</v>
      </c>
      <c r="C104" s="475" t="s">
        <v>229</v>
      </c>
      <c r="D104" s="475" t="s">
        <v>197</v>
      </c>
      <c r="E104" s="667" t="s">
        <v>3125</v>
      </c>
      <c r="G104" s="472">
        <v>45228.125</v>
      </c>
      <c r="H104" s="472">
        <v>45228.087500000001</v>
      </c>
      <c r="I104" s="667" t="s">
        <v>231</v>
      </c>
      <c r="J104" s="475" t="s">
        <v>192</v>
      </c>
      <c r="K104" s="475" t="s">
        <v>192</v>
      </c>
      <c r="L104" s="667" t="s">
        <v>3385</v>
      </c>
      <c r="M104" s="530"/>
      <c r="N104" s="475" t="s">
        <v>1767</v>
      </c>
      <c r="O104" s="475" t="s">
        <v>2352</v>
      </c>
      <c r="P104" s="667" t="s">
        <v>2381</v>
      </c>
      <c r="Q104" s="477">
        <f>3139*2.4</f>
        <v>7533.5999999999995</v>
      </c>
      <c r="R104" s="477">
        <f>7550+100</f>
        <v>7650</v>
      </c>
      <c r="S104" s="477">
        <v>7450.1840000000002</v>
      </c>
      <c r="T104" s="477"/>
      <c r="U104" s="581"/>
      <c r="V104" s="581"/>
      <c r="W104" s="581"/>
      <c r="X104" s="724">
        <f t="shared" si="38"/>
        <v>5960.1472000000003</v>
      </c>
      <c r="Y104" s="724">
        <f t="shared" si="39"/>
        <v>1490.0368000000001</v>
      </c>
      <c r="Z104" s="581"/>
      <c r="AA104" s="581"/>
      <c r="AB104" s="581"/>
      <c r="AC104" s="667"/>
      <c r="AD104" s="724"/>
      <c r="AE104" s="724"/>
      <c r="AF104" s="724"/>
      <c r="AG104" s="724"/>
      <c r="AH104" s="724"/>
      <c r="AZ104" s="473">
        <f t="shared" si="22"/>
        <v>45222.256944444445</v>
      </c>
      <c r="BA104" s="473">
        <f t="shared" si="23"/>
        <v>45235.006944444445</v>
      </c>
      <c r="BB104" s="479">
        <f t="shared" si="24"/>
        <v>12.75</v>
      </c>
      <c r="BC104" s="473">
        <v>45222.256944444445</v>
      </c>
      <c r="BD104" s="473">
        <v>45224.409722222219</v>
      </c>
      <c r="BE104" s="473">
        <v>45227.3125</v>
      </c>
      <c r="BF104" s="473">
        <v>45229.121527777781</v>
      </c>
      <c r="BG104" s="473">
        <v>45229.253472222219</v>
      </c>
      <c r="BH104" s="473">
        <v>45229.256944444445</v>
      </c>
      <c r="BI104" s="473">
        <v>45229.274305555555</v>
      </c>
      <c r="BJ104" s="473">
        <f t="shared" si="35"/>
        <v>45230.982638888891</v>
      </c>
      <c r="BK104" s="480">
        <v>45231.25</v>
      </c>
      <c r="BL104" s="480">
        <v>45231.416666608799</v>
      </c>
      <c r="BM104" s="480">
        <v>45231.392361111109</v>
      </c>
      <c r="BN104" s="473">
        <v>45232.909722222219</v>
      </c>
      <c r="BO104" s="473">
        <v>45234.152777777781</v>
      </c>
      <c r="BP104" s="473">
        <v>45234.4375</v>
      </c>
      <c r="BQ104" s="473">
        <v>45234.458333333336</v>
      </c>
      <c r="BR104" s="473">
        <v>45234.722222222219</v>
      </c>
      <c r="BS104" s="473">
        <v>45235.006944444445</v>
      </c>
      <c r="BV104" s="481">
        <f t="shared" si="25"/>
        <v>69.666666666744277</v>
      </c>
      <c r="BW104" s="481">
        <f t="shared" si="26"/>
        <v>3.1666666665114462</v>
      </c>
      <c r="BX104" s="481">
        <f t="shared" si="27"/>
        <v>41.000000000058208</v>
      </c>
      <c r="BY104" s="481">
        <f t="shared" si="33"/>
        <v>35.833334722090513</v>
      </c>
      <c r="BZ104" s="482">
        <f t="shared" si="28"/>
        <v>6.8333333332557231</v>
      </c>
      <c r="CA104" s="482">
        <f t="shared" si="29"/>
        <v>6.8333333334303461</v>
      </c>
      <c r="CB104" s="483">
        <f t="shared" si="30"/>
        <v>6.805555613420438</v>
      </c>
      <c r="CC104" s="483">
        <f t="shared" si="31"/>
        <v>12.75</v>
      </c>
      <c r="CD104" s="484">
        <f t="shared" si="32"/>
        <v>0.53376906771925003</v>
      </c>
    </row>
    <row r="105" spans="1:82" s="475" customFormat="1">
      <c r="A105" s="474">
        <f t="shared" si="34"/>
        <v>45229.347222222219</v>
      </c>
      <c r="B105" s="475" t="s">
        <v>228</v>
      </c>
      <c r="C105" s="475" t="s">
        <v>229</v>
      </c>
      <c r="D105" s="475" t="s">
        <v>197</v>
      </c>
      <c r="E105" s="667" t="s">
        <v>1789</v>
      </c>
      <c r="G105" s="473">
        <v>45233.345833333333</v>
      </c>
      <c r="H105" s="473">
        <v>45233.345833333333</v>
      </c>
      <c r="I105" s="667" t="s">
        <v>243</v>
      </c>
      <c r="J105" s="475" t="s">
        <v>192</v>
      </c>
      <c r="K105" s="475" t="s">
        <v>192</v>
      </c>
      <c r="L105" s="667" t="s">
        <v>3386</v>
      </c>
      <c r="M105" s="530"/>
      <c r="N105" s="475" t="s">
        <v>2388</v>
      </c>
      <c r="O105" s="475" t="s">
        <v>289</v>
      </c>
      <c r="P105" s="399" t="s">
        <v>2381</v>
      </c>
      <c r="Q105" s="477">
        <f>3107*2.4</f>
        <v>7456.7999999999993</v>
      </c>
      <c r="R105" s="477">
        <f>7500+100</f>
        <v>7600</v>
      </c>
      <c r="S105" s="477">
        <v>7451.4160000000002</v>
      </c>
      <c r="T105" s="477"/>
      <c r="U105" s="401"/>
      <c r="V105" s="401"/>
      <c r="W105" s="401"/>
      <c r="X105" s="724">
        <f t="shared" si="38"/>
        <v>5961.1328000000003</v>
      </c>
      <c r="Y105" s="724">
        <f t="shared" si="39"/>
        <v>1490.2832000000001</v>
      </c>
      <c r="Z105" s="581"/>
      <c r="AA105" s="401"/>
      <c r="AB105" s="401"/>
      <c r="AC105" s="399"/>
      <c r="AD105" s="724"/>
      <c r="AE105" s="724"/>
      <c r="AF105" s="724"/>
      <c r="AG105" s="724"/>
      <c r="AH105" s="724"/>
      <c r="AZ105" s="473">
        <f t="shared" si="22"/>
        <v>45223.145833333336</v>
      </c>
      <c r="BA105" s="473">
        <f t="shared" si="23"/>
        <v>45234.184027777781</v>
      </c>
      <c r="BB105" s="479">
        <f t="shared" si="24"/>
        <v>11.038194444445253</v>
      </c>
      <c r="BC105" s="473">
        <v>45223.145833333336</v>
      </c>
      <c r="BD105" s="473">
        <v>45225.885416666664</v>
      </c>
      <c r="BE105" s="473">
        <v>45227.5625</v>
      </c>
      <c r="BF105" s="473">
        <v>45229.347222222219</v>
      </c>
      <c r="BG105" s="473">
        <v>45229.503472222219</v>
      </c>
      <c r="BH105" s="473">
        <v>45229.506944444445</v>
      </c>
      <c r="BI105" s="473">
        <v>45229.520833333336</v>
      </c>
      <c r="BJ105" s="473">
        <f t="shared" si="35"/>
        <v>45231.229166666672</v>
      </c>
      <c r="BK105" s="480">
        <v>45231.25</v>
      </c>
      <c r="BL105" s="480">
        <v>45231.416666608799</v>
      </c>
      <c r="BM105" s="480">
        <v>45231.347222222219</v>
      </c>
      <c r="BN105" s="473">
        <v>45232.791666666664</v>
      </c>
      <c r="BO105" s="473">
        <v>45233.190972222219</v>
      </c>
      <c r="BP105" s="473">
        <v>45233.479166666664</v>
      </c>
      <c r="BQ105" s="473">
        <v>45233.767361111109</v>
      </c>
      <c r="BR105" s="473">
        <v>45233.770833333336</v>
      </c>
      <c r="BS105" s="473">
        <v>45234.184027777781</v>
      </c>
      <c r="BV105" s="481">
        <f t="shared" si="25"/>
        <v>40.250000000058208</v>
      </c>
      <c r="BW105" s="481">
        <f t="shared" si="26"/>
        <v>3.75</v>
      </c>
      <c r="BX105" s="481">
        <f t="shared" si="27"/>
        <v>41.000000000058208</v>
      </c>
      <c r="BY105" s="481">
        <f t="shared" si="33"/>
        <v>33.000001388776582</v>
      </c>
      <c r="BZ105" s="482">
        <f t="shared" si="28"/>
        <v>6.9166666666860692</v>
      </c>
      <c r="CA105" s="482">
        <f t="shared" si="29"/>
        <v>9.9166666666860692</v>
      </c>
      <c r="CB105" s="483">
        <f t="shared" si="30"/>
        <v>5.618055613427714</v>
      </c>
      <c r="CC105" s="483">
        <f t="shared" si="31"/>
        <v>11.038194444445253</v>
      </c>
      <c r="CD105" s="484">
        <f t="shared" si="32"/>
        <v>0.50896508860241052</v>
      </c>
    </row>
    <row r="106" spans="1:82" s="475" customFormat="1">
      <c r="A106" s="474">
        <f t="shared" si="34"/>
        <v>45229.555555555555</v>
      </c>
      <c r="B106" s="475" t="s">
        <v>228</v>
      </c>
      <c r="C106" s="475" t="s">
        <v>229</v>
      </c>
      <c r="D106" s="475" t="s">
        <v>197</v>
      </c>
      <c r="E106" s="667" t="s">
        <v>3125</v>
      </c>
      <c r="G106" s="472">
        <v>45228.125</v>
      </c>
      <c r="H106" s="472">
        <v>45228.087500000001</v>
      </c>
      <c r="I106" s="667" t="s">
        <v>231</v>
      </c>
      <c r="J106" s="475" t="s">
        <v>192</v>
      </c>
      <c r="K106" s="475" t="s">
        <v>192</v>
      </c>
      <c r="L106" s="667" t="s">
        <v>3387</v>
      </c>
      <c r="M106" s="530"/>
      <c r="N106" s="475" t="s">
        <v>2295</v>
      </c>
      <c r="O106" s="475" t="s">
        <v>2296</v>
      </c>
      <c r="P106" s="399" t="s">
        <v>2381</v>
      </c>
      <c r="Q106" s="477">
        <f>4272*2.4</f>
        <v>10252.799999999999</v>
      </c>
      <c r="R106" s="477">
        <f>10300+100</f>
        <v>10400</v>
      </c>
      <c r="S106" s="477">
        <f>10371.384-1220.443</f>
        <v>9150.9410000000007</v>
      </c>
      <c r="T106" s="667"/>
      <c r="U106" s="581"/>
      <c r="V106" s="581"/>
      <c r="W106" s="581"/>
      <c r="X106" s="724">
        <f t="shared" si="38"/>
        <v>7320.7528000000011</v>
      </c>
      <c r="Y106" s="724">
        <f t="shared" si="39"/>
        <v>1830.1882000000003</v>
      </c>
      <c r="Z106" s="581"/>
      <c r="AA106" s="581"/>
      <c r="AB106" s="581"/>
      <c r="AC106" s="667"/>
      <c r="AD106" s="667"/>
      <c r="AE106" s="667"/>
      <c r="AF106" s="667"/>
      <c r="AG106" s="667"/>
      <c r="AH106" s="667"/>
      <c r="AI106" s="667"/>
      <c r="AJ106" s="667"/>
      <c r="AK106" s="667"/>
      <c r="AL106" s="667"/>
      <c r="AM106" s="667"/>
      <c r="AN106" s="667"/>
      <c r="AO106" s="667"/>
      <c r="AP106" s="667"/>
      <c r="AQ106" s="667"/>
      <c r="AR106" s="667"/>
      <c r="AS106" s="667"/>
      <c r="AT106" s="667"/>
      <c r="AU106" s="667"/>
      <c r="AV106" s="667"/>
      <c r="AW106" s="667"/>
      <c r="AZ106" s="473">
        <f t="shared" si="22"/>
        <v>45223.375</v>
      </c>
      <c r="BA106" s="473">
        <f t="shared" si="23"/>
        <v>45236</v>
      </c>
      <c r="BB106" s="479">
        <f t="shared" si="24"/>
        <v>12.625</v>
      </c>
      <c r="BC106" s="473">
        <v>45223.375</v>
      </c>
      <c r="BD106" s="473">
        <v>45225.861111111109</v>
      </c>
      <c r="BE106" s="473">
        <v>45227.583333333336</v>
      </c>
      <c r="BF106" s="473">
        <v>45229.555555555555</v>
      </c>
      <c r="BG106" s="473">
        <v>45229.815972222219</v>
      </c>
      <c r="BH106" s="473">
        <v>45229.829861111109</v>
      </c>
      <c r="BI106" s="473">
        <v>45230.354166666664</v>
      </c>
      <c r="BJ106" s="473">
        <f t="shared" si="35"/>
        <v>45232.0625</v>
      </c>
      <c r="BK106" s="473">
        <v>45233.25</v>
      </c>
      <c r="BL106" s="473">
        <v>45233.416666608799</v>
      </c>
      <c r="BM106" s="473">
        <v>45233.333333333336</v>
      </c>
      <c r="BN106" s="473">
        <v>45235.083333333336</v>
      </c>
      <c r="BO106" s="473">
        <v>45235.236111111109</v>
      </c>
      <c r="BP106" s="473">
        <v>45235.666666666664</v>
      </c>
      <c r="BQ106" s="473">
        <v>45235.736111111109</v>
      </c>
      <c r="BR106" s="473">
        <v>45235.8125</v>
      </c>
      <c r="BS106" s="473">
        <v>45236</v>
      </c>
      <c r="BV106" s="481">
        <f t="shared" si="25"/>
        <v>41.333333333430346</v>
      </c>
      <c r="BW106" s="481">
        <f t="shared" si="26"/>
        <v>6.2499999999417923</v>
      </c>
      <c r="BX106" s="481">
        <f t="shared" si="27"/>
        <v>41.000000000058208</v>
      </c>
      <c r="BY106" s="481">
        <f t="shared" si="33"/>
        <v>40.000001388892997</v>
      </c>
      <c r="BZ106" s="482">
        <f t="shared" si="28"/>
        <v>10.333333333313931</v>
      </c>
      <c r="CA106" s="482">
        <f t="shared" si="29"/>
        <v>4.5</v>
      </c>
      <c r="CB106" s="483">
        <f t="shared" si="30"/>
        <v>5.9756945023182197</v>
      </c>
      <c r="CC106" s="483">
        <f t="shared" si="31"/>
        <v>12.625</v>
      </c>
      <c r="CD106" s="484">
        <f t="shared" si="32"/>
        <v>0.47332233681728475</v>
      </c>
    </row>
    <row r="107" spans="1:82" s="475" customFormat="1">
      <c r="A107" s="474">
        <f t="shared" si="34"/>
        <v>45229.850694444445</v>
      </c>
      <c r="B107" s="475" t="s">
        <v>228</v>
      </c>
      <c r="C107" s="475" t="s">
        <v>229</v>
      </c>
      <c r="D107" s="475" t="s">
        <v>197</v>
      </c>
      <c r="E107" s="399" t="s">
        <v>1515</v>
      </c>
      <c r="G107" s="472">
        <v>45230.479166666664</v>
      </c>
      <c r="H107" s="472">
        <v>45230.429166666669</v>
      </c>
      <c r="I107" s="667" t="s">
        <v>231</v>
      </c>
      <c r="J107" s="475" t="s">
        <v>192</v>
      </c>
      <c r="K107" s="475" t="s">
        <v>192</v>
      </c>
      <c r="L107" s="399" t="s">
        <v>3388</v>
      </c>
      <c r="M107" s="530"/>
      <c r="N107" s="475" t="s">
        <v>205</v>
      </c>
      <c r="O107" s="475" t="s">
        <v>206</v>
      </c>
      <c r="P107" s="399" t="s">
        <v>240</v>
      </c>
      <c r="Q107" s="477">
        <f>3015*2.4</f>
        <v>7236</v>
      </c>
      <c r="R107" s="477">
        <f>7250+100</f>
        <v>7350</v>
      </c>
      <c r="S107" s="477">
        <v>7430.3540000000003</v>
      </c>
      <c r="T107" s="399"/>
      <c r="V107" s="401"/>
      <c r="W107" s="401"/>
      <c r="Y107" s="580">
        <f>S107</f>
        <v>7430.3540000000003</v>
      </c>
      <c r="Z107" s="401"/>
      <c r="AA107" s="581"/>
      <c r="AB107" s="401"/>
      <c r="AC107" s="399"/>
      <c r="AD107" s="399"/>
      <c r="AE107" s="399"/>
      <c r="AF107" s="399"/>
      <c r="AG107" s="399"/>
      <c r="AH107" s="399"/>
      <c r="AI107" s="399"/>
      <c r="AJ107" s="399"/>
      <c r="AK107" s="399"/>
      <c r="AL107" s="399"/>
      <c r="AM107" s="399"/>
      <c r="AN107" s="399"/>
      <c r="AO107" s="399"/>
      <c r="AP107" s="399"/>
      <c r="AQ107" s="399"/>
      <c r="AR107" s="399"/>
      <c r="AS107" s="399"/>
      <c r="AT107" s="399"/>
      <c r="AU107" s="399"/>
      <c r="AV107" s="399"/>
      <c r="AW107" s="399"/>
      <c r="AZ107" s="473">
        <f t="shared" si="22"/>
        <v>45222.379861111112</v>
      </c>
      <c r="BA107" s="473">
        <f t="shared" si="23"/>
        <v>45235.59652777778</v>
      </c>
      <c r="BB107" s="479">
        <f t="shared" si="24"/>
        <v>13.216666666667152</v>
      </c>
      <c r="BC107" s="473">
        <v>45222.379861111112</v>
      </c>
      <c r="BD107" s="473">
        <v>45225.84375</v>
      </c>
      <c r="BE107" s="473">
        <v>45227.4375</v>
      </c>
      <c r="BF107" s="473">
        <v>45229.850694444445</v>
      </c>
      <c r="BG107" s="473">
        <v>45229.996527777781</v>
      </c>
      <c r="BH107" s="473">
        <v>45230</v>
      </c>
      <c r="BI107" s="473">
        <v>45230.013888888891</v>
      </c>
      <c r="BJ107" s="473">
        <f t="shared" si="35"/>
        <v>45231.722222222226</v>
      </c>
      <c r="BK107" s="473">
        <v>45232.25</v>
      </c>
      <c r="BL107" s="473">
        <v>45232.416666608799</v>
      </c>
      <c r="BM107" s="480">
        <v>45232.322916666664</v>
      </c>
      <c r="BN107" s="473">
        <v>45233.541666666664</v>
      </c>
      <c r="BO107" s="473">
        <v>45234.9375</v>
      </c>
      <c r="BP107" s="473">
        <v>45235.295138888891</v>
      </c>
      <c r="BQ107" s="473">
        <v>45235.326388888891</v>
      </c>
      <c r="BR107" s="473">
        <v>45235.347222222219</v>
      </c>
      <c r="BS107" s="473">
        <v>45235.59652777778</v>
      </c>
      <c r="BV107" s="481">
        <f t="shared" si="25"/>
        <v>38.25</v>
      </c>
      <c r="BW107" s="481">
        <f t="shared" si="26"/>
        <v>3.5000000000582077</v>
      </c>
      <c r="BX107" s="481">
        <f t="shared" si="27"/>
        <v>41.000000000058208</v>
      </c>
      <c r="BY107" s="481">
        <f t="shared" si="33"/>
        <v>27.000001388776582</v>
      </c>
      <c r="BZ107" s="482">
        <f t="shared" si="28"/>
        <v>8.5833333333721384</v>
      </c>
      <c r="CA107" s="482">
        <f t="shared" si="29"/>
        <v>5.9833333334536292</v>
      </c>
      <c r="CB107" s="483">
        <f t="shared" si="30"/>
        <v>5.1798611689882819</v>
      </c>
      <c r="CC107" s="483">
        <f t="shared" si="31"/>
        <v>13.216666666667152</v>
      </c>
      <c r="CD107" s="484">
        <f t="shared" si="32"/>
        <v>0.39191887785534113</v>
      </c>
    </row>
    <row r="108" spans="1:82" s="475" customFormat="1">
      <c r="A108" s="474">
        <f t="shared" si="34"/>
        <v>45230.020833333336</v>
      </c>
      <c r="B108" s="475" t="s">
        <v>228</v>
      </c>
      <c r="C108" s="475" t="s">
        <v>229</v>
      </c>
      <c r="D108" s="475" t="s">
        <v>197</v>
      </c>
      <c r="E108" s="399" t="s">
        <v>1515</v>
      </c>
      <c r="G108" s="472">
        <v>45230.479166666664</v>
      </c>
      <c r="H108" s="472">
        <v>45230.429166666669</v>
      </c>
      <c r="I108" s="667" t="s">
        <v>231</v>
      </c>
      <c r="J108" s="475" t="s">
        <v>192</v>
      </c>
      <c r="K108" s="475" t="s">
        <v>192</v>
      </c>
      <c r="L108" s="667" t="s">
        <v>3389</v>
      </c>
      <c r="M108" s="530"/>
      <c r="N108" s="475" t="s">
        <v>339</v>
      </c>
      <c r="O108" s="475" t="s">
        <v>506</v>
      </c>
      <c r="P108" s="399" t="s">
        <v>240</v>
      </c>
      <c r="Q108" s="477">
        <f>3071*2.4</f>
        <v>7370.4</v>
      </c>
      <c r="R108" s="477">
        <f>7400+100</f>
        <v>7500</v>
      </c>
      <c r="S108" s="477">
        <v>7550.2240000000002</v>
      </c>
      <c r="T108" s="399"/>
      <c r="V108" s="401"/>
      <c r="W108" s="401"/>
      <c r="Y108" s="726">
        <f>S108</f>
        <v>7550.2240000000002</v>
      </c>
      <c r="Z108" s="581"/>
      <c r="AA108" s="581"/>
      <c r="AB108" s="401"/>
      <c r="AC108" s="399"/>
      <c r="AD108" s="399"/>
      <c r="AE108" s="399"/>
      <c r="AF108" s="399"/>
      <c r="AG108" s="399"/>
      <c r="AH108" s="399"/>
      <c r="AI108" s="399"/>
      <c r="AJ108" s="399"/>
      <c r="AK108" s="399"/>
      <c r="AL108" s="399"/>
      <c r="AM108" s="399"/>
      <c r="AN108" s="399"/>
      <c r="AO108" s="399"/>
      <c r="AP108" s="399"/>
      <c r="AQ108" s="399"/>
      <c r="AR108" s="399"/>
      <c r="AS108" s="399"/>
      <c r="AT108" s="399"/>
      <c r="AU108" s="399"/>
      <c r="AV108" s="399"/>
      <c r="AW108" s="399"/>
      <c r="AX108" s="399"/>
      <c r="AY108" s="399"/>
      <c r="AZ108" s="473">
        <f t="shared" si="22"/>
        <v>45222.708333333336</v>
      </c>
      <c r="BA108" s="473">
        <f t="shared" si="23"/>
        <v>45235.166666666664</v>
      </c>
      <c r="BB108" s="479">
        <f t="shared" si="24"/>
        <v>12.458333333328483</v>
      </c>
      <c r="BC108" s="473">
        <v>45222.708333333336</v>
      </c>
      <c r="BD108" s="473">
        <v>45225.857638888891</v>
      </c>
      <c r="BE108" s="473">
        <v>45227.520833333336</v>
      </c>
      <c r="BF108" s="473">
        <v>45230.020833333336</v>
      </c>
      <c r="BG108" s="473">
        <v>45230.159722222219</v>
      </c>
      <c r="BH108" s="473">
        <v>45230.163194444445</v>
      </c>
      <c r="BI108" s="473">
        <v>45230.173611111109</v>
      </c>
      <c r="BJ108" s="473">
        <f t="shared" si="35"/>
        <v>45231.881944444445</v>
      </c>
      <c r="BK108" s="473">
        <v>45232.25</v>
      </c>
      <c r="BL108" s="473">
        <v>45232.416666608799</v>
      </c>
      <c r="BM108" s="480">
        <v>45232.274305555555</v>
      </c>
      <c r="BN108" s="473">
        <v>45233.385416666664</v>
      </c>
      <c r="BO108" s="473">
        <v>45234.708333333336</v>
      </c>
      <c r="BP108" s="473">
        <v>45234.868055555555</v>
      </c>
      <c r="BQ108" s="473">
        <v>45234.895833333336</v>
      </c>
      <c r="BR108" s="473">
        <v>45234.895833333336</v>
      </c>
      <c r="BS108" s="473">
        <v>45235.166666666664</v>
      </c>
      <c r="BV108" s="481">
        <f t="shared" si="25"/>
        <v>39.916666666686069</v>
      </c>
      <c r="BW108" s="481">
        <f t="shared" si="26"/>
        <v>3.3333333331975155</v>
      </c>
      <c r="BX108" s="481">
        <f t="shared" si="27"/>
        <v>41.000000000058208</v>
      </c>
      <c r="BY108" s="481">
        <f t="shared" si="33"/>
        <v>23.250001388776582</v>
      </c>
      <c r="BZ108" s="482">
        <f t="shared" si="28"/>
        <v>3.8333333332557231</v>
      </c>
      <c r="CA108" s="482">
        <f t="shared" si="29"/>
        <v>6.4999999998835847</v>
      </c>
      <c r="CB108" s="483">
        <f t="shared" si="30"/>
        <v>4.9097222800774034</v>
      </c>
      <c r="CC108" s="483">
        <f t="shared" si="31"/>
        <v>12.458333333328483</v>
      </c>
      <c r="CD108" s="484">
        <f t="shared" si="32"/>
        <v>0.39409142047459383</v>
      </c>
    </row>
    <row r="109" spans="1:82" s="475" customFormat="1">
      <c r="A109" s="474">
        <f t="shared" si="34"/>
        <v>45230.184027777781</v>
      </c>
      <c r="B109" s="475" t="s">
        <v>228</v>
      </c>
      <c r="C109" s="475" t="s">
        <v>229</v>
      </c>
      <c r="D109" s="475" t="s">
        <v>197</v>
      </c>
      <c r="E109" s="399" t="s">
        <v>1515</v>
      </c>
      <c r="F109" s="667"/>
      <c r="G109" s="472">
        <v>45230.479166666664</v>
      </c>
      <c r="H109" s="472">
        <v>45230.429166666669</v>
      </c>
      <c r="I109" s="667" t="s">
        <v>231</v>
      </c>
      <c r="J109" s="475" t="s">
        <v>192</v>
      </c>
      <c r="K109" s="475" t="s">
        <v>192</v>
      </c>
      <c r="L109" s="667" t="s">
        <v>3390</v>
      </c>
      <c r="M109" s="530"/>
      <c r="N109" s="475" t="s">
        <v>2156</v>
      </c>
      <c r="O109" s="475" t="s">
        <v>3391</v>
      </c>
      <c r="P109" s="667" t="s">
        <v>240</v>
      </c>
      <c r="Q109" s="477">
        <f>3034*2.4</f>
        <v>7281.5999999999995</v>
      </c>
      <c r="R109" s="477">
        <f>7300+100</f>
        <v>7400</v>
      </c>
      <c r="S109" s="477">
        <v>7316.2759999999998</v>
      </c>
      <c r="T109" s="667"/>
      <c r="U109" s="581"/>
      <c r="V109" s="581"/>
      <c r="W109" s="581"/>
      <c r="X109" s="581"/>
      <c r="Y109" s="726">
        <f>S109</f>
        <v>7316.2759999999998</v>
      </c>
      <c r="Z109" s="581"/>
      <c r="AA109" s="581"/>
      <c r="AB109" s="399"/>
      <c r="AC109" s="399"/>
      <c r="AD109" s="577"/>
      <c r="AZ109" s="473">
        <f t="shared" si="22"/>
        <v>45223.791666666664</v>
      </c>
      <c r="BA109" s="473">
        <f t="shared" si="23"/>
        <v>45235.9375</v>
      </c>
      <c r="BB109" s="479">
        <f t="shared" si="24"/>
        <v>12.145833333335759</v>
      </c>
      <c r="BC109" s="473">
        <v>45223.791666666664</v>
      </c>
      <c r="BD109" s="473">
        <v>45224.409722222219</v>
      </c>
      <c r="BE109" s="473">
        <v>45227.604166666664</v>
      </c>
      <c r="BF109" s="473">
        <v>45230.184027777781</v>
      </c>
      <c r="BG109" s="473">
        <v>45230.42083333333</v>
      </c>
      <c r="BH109" s="473">
        <v>45230.423611111109</v>
      </c>
      <c r="BI109" s="473">
        <v>45230.427083333336</v>
      </c>
      <c r="BJ109" s="473">
        <f t="shared" si="35"/>
        <v>45232.135416666672</v>
      </c>
      <c r="BK109" s="480">
        <v>45232.25</v>
      </c>
      <c r="BL109" s="480">
        <v>45232.416666608799</v>
      </c>
      <c r="BM109" s="480">
        <v>45232.319444444445</v>
      </c>
      <c r="BN109" s="473">
        <v>45233.6875</v>
      </c>
      <c r="BO109" s="473">
        <v>45235.347222222219</v>
      </c>
      <c r="BP109" s="473">
        <v>45235.493055555555</v>
      </c>
      <c r="BQ109" s="473">
        <v>45235.520833333336</v>
      </c>
      <c r="BR109" s="473">
        <v>45235.638888888891</v>
      </c>
      <c r="BS109" s="473">
        <v>45235.9375</v>
      </c>
      <c r="BT109" s="475" t="s">
        <v>3392</v>
      </c>
      <c r="BV109" s="481">
        <f t="shared" si="25"/>
        <v>76.666666666686069</v>
      </c>
      <c r="BW109" s="481">
        <f t="shared" si="26"/>
        <v>5.6833333331742324</v>
      </c>
      <c r="BX109" s="481">
        <f t="shared" si="27"/>
        <v>41.000000000058208</v>
      </c>
      <c r="BY109" s="481">
        <f t="shared" si="33"/>
        <v>30.500001388834789</v>
      </c>
      <c r="BZ109" s="482">
        <f t="shared" si="28"/>
        <v>3.5000000000582077</v>
      </c>
      <c r="CA109" s="482">
        <f t="shared" si="29"/>
        <v>7.1666666666278616</v>
      </c>
      <c r="CB109" s="483">
        <f t="shared" si="30"/>
        <v>6.8548611689766403</v>
      </c>
      <c r="CC109" s="483">
        <f t="shared" si="31"/>
        <v>12.145833333335759</v>
      </c>
      <c r="CD109" s="484">
        <f t="shared" si="32"/>
        <v>0.56437965027583714</v>
      </c>
    </row>
    <row r="110" spans="1:82" s="475" customFormat="1">
      <c r="A110" s="474">
        <f t="shared" si="34"/>
        <v>45230.694444444445</v>
      </c>
      <c r="B110" s="475" t="s">
        <v>228</v>
      </c>
      <c r="C110" s="475" t="s">
        <v>229</v>
      </c>
      <c r="D110" s="475" t="s">
        <v>197</v>
      </c>
      <c r="E110" s="399" t="s">
        <v>3125</v>
      </c>
      <c r="G110" s="472">
        <v>45228.125</v>
      </c>
      <c r="H110" s="472">
        <v>45228.087500000001</v>
      </c>
      <c r="I110" s="667" t="s">
        <v>231</v>
      </c>
      <c r="J110" s="475" t="s">
        <v>192</v>
      </c>
      <c r="K110" s="475" t="s">
        <v>192</v>
      </c>
      <c r="L110" s="667" t="s">
        <v>3393</v>
      </c>
      <c r="M110" s="530"/>
      <c r="N110" s="475" t="s">
        <v>298</v>
      </c>
      <c r="O110" s="475" t="s">
        <v>299</v>
      </c>
      <c r="P110" s="399" t="s">
        <v>2381</v>
      </c>
      <c r="Q110" s="477">
        <f>4337*2.4</f>
        <v>10408.799999999999</v>
      </c>
      <c r="R110" s="477">
        <f>10450+100</f>
        <v>10550</v>
      </c>
      <c r="S110" s="477">
        <v>10383.129999999999</v>
      </c>
      <c r="T110" s="399"/>
      <c r="V110" s="401"/>
      <c r="W110" s="401"/>
      <c r="X110" s="724">
        <f>S110*0.8</f>
        <v>8306.503999999999</v>
      </c>
      <c r="Y110" s="724">
        <f>S110*0.2</f>
        <v>2076.6259999999997</v>
      </c>
      <c r="Z110" s="401"/>
      <c r="AA110" s="401"/>
      <c r="AC110" s="577"/>
      <c r="AD110" s="577"/>
      <c r="AE110" s="577"/>
      <c r="AF110" s="577"/>
      <c r="AG110" s="577"/>
      <c r="AH110" s="577"/>
      <c r="AI110" s="577"/>
      <c r="AZ110" s="473">
        <f t="shared" si="22"/>
        <v>45224.430555555555</v>
      </c>
      <c r="BA110" s="473">
        <f t="shared" si="23"/>
        <v>45235.486111111109</v>
      </c>
      <c r="BB110" s="479">
        <f t="shared" si="24"/>
        <v>11.055555555554747</v>
      </c>
      <c r="BC110" s="473">
        <v>45224.430555555555</v>
      </c>
      <c r="BD110" s="473">
        <v>45226.809027777781</v>
      </c>
      <c r="BE110" s="473">
        <v>45228.354166666664</v>
      </c>
      <c r="BF110" s="473">
        <v>45230.694444444445</v>
      </c>
      <c r="BG110" s="473">
        <v>45230.9375</v>
      </c>
      <c r="BH110" s="473">
        <v>45230.940972222219</v>
      </c>
      <c r="BI110" s="473">
        <v>45231.284722222219</v>
      </c>
      <c r="BJ110" s="473">
        <f t="shared" si="35"/>
        <v>45232.993055555555</v>
      </c>
      <c r="BK110" s="480">
        <v>45233.25</v>
      </c>
      <c r="BL110" s="480">
        <v>45233.416666608799</v>
      </c>
      <c r="BM110" s="480">
        <v>45233.305555555555</v>
      </c>
      <c r="BN110" s="473">
        <v>45234.649305555555</v>
      </c>
      <c r="BO110" s="473">
        <v>45234.777777777781</v>
      </c>
      <c r="BP110" s="473">
        <v>45235.090277777781</v>
      </c>
      <c r="BQ110" s="473">
        <v>45235.111111111109</v>
      </c>
      <c r="BR110" s="473">
        <v>45235.270833333336</v>
      </c>
      <c r="BS110" s="473">
        <v>45235.486111111109</v>
      </c>
      <c r="BV110" s="481">
        <f t="shared" si="25"/>
        <v>37.083333333197515</v>
      </c>
      <c r="BW110" s="481">
        <f t="shared" si="26"/>
        <v>5.8333333333139308</v>
      </c>
      <c r="BX110" s="481">
        <f t="shared" si="27"/>
        <v>41.000000000058208</v>
      </c>
      <c r="BY110" s="481">
        <f t="shared" si="33"/>
        <v>29.58333472214872</v>
      </c>
      <c r="BZ110" s="482">
        <f t="shared" si="28"/>
        <v>7.5</v>
      </c>
      <c r="CA110" s="482">
        <f t="shared" si="29"/>
        <v>5.1666666665696539</v>
      </c>
      <c r="CB110" s="483">
        <f t="shared" si="30"/>
        <v>5.2569445023036678</v>
      </c>
      <c r="CC110" s="483">
        <f t="shared" si="31"/>
        <v>11.055555555554747</v>
      </c>
      <c r="CD110" s="484">
        <f t="shared" si="32"/>
        <v>0.47550251779634645</v>
      </c>
    </row>
    <row r="111" spans="1:82" s="475" customFormat="1">
      <c r="A111" s="474">
        <f t="shared" si="34"/>
        <v>45230.965277777781</v>
      </c>
      <c r="B111" s="475" t="s">
        <v>228</v>
      </c>
      <c r="C111" s="475" t="s">
        <v>229</v>
      </c>
      <c r="D111" s="475" t="s">
        <v>197</v>
      </c>
      <c r="E111" s="399" t="s">
        <v>1515</v>
      </c>
      <c r="G111" s="472">
        <v>45230.479166666664</v>
      </c>
      <c r="H111" s="472">
        <v>45230.429166666669</v>
      </c>
      <c r="I111" s="667" t="s">
        <v>231</v>
      </c>
      <c r="J111" s="475" t="s">
        <v>192</v>
      </c>
      <c r="K111" s="475" t="s">
        <v>192</v>
      </c>
      <c r="L111" s="667" t="s">
        <v>3394</v>
      </c>
      <c r="M111" s="530"/>
      <c r="N111" s="475" t="s">
        <v>371</v>
      </c>
      <c r="O111" s="475" t="s">
        <v>372</v>
      </c>
      <c r="P111" s="399" t="s">
        <v>240</v>
      </c>
      <c r="Q111" s="477">
        <f>3117*2.4</f>
        <v>7480.7999999999993</v>
      </c>
      <c r="R111" s="477">
        <f>7500+100</f>
        <v>7600</v>
      </c>
      <c r="S111" s="477">
        <v>7352.01</v>
      </c>
      <c r="T111" s="399"/>
      <c r="V111" s="401"/>
      <c r="W111" s="401"/>
      <c r="Y111" s="726">
        <f>S111</f>
        <v>7352.01</v>
      </c>
      <c r="Z111" s="401"/>
      <c r="AA111" s="401"/>
      <c r="AB111" s="401"/>
      <c r="AZ111" s="473">
        <f t="shared" si="22"/>
        <v>45225.214583333334</v>
      </c>
      <c r="BA111" s="473">
        <f t="shared" si="23"/>
        <v>45236.490277777775</v>
      </c>
      <c r="BB111" s="479">
        <f t="shared" si="24"/>
        <v>11.275694444440887</v>
      </c>
      <c r="BC111" s="473">
        <v>45225.214583333334</v>
      </c>
      <c r="BD111" s="473">
        <v>45227.620138888888</v>
      </c>
      <c r="BE111" s="473">
        <v>45229.090277777781</v>
      </c>
      <c r="BF111" s="473">
        <v>45230.965277777781</v>
      </c>
      <c r="BG111" s="473">
        <v>45231.083333333336</v>
      </c>
      <c r="BH111" s="473">
        <v>45231.090277777781</v>
      </c>
      <c r="BI111" s="473">
        <v>45231.099305555559</v>
      </c>
      <c r="BJ111" s="473">
        <f t="shared" si="35"/>
        <v>45232.807638888895</v>
      </c>
      <c r="BK111" s="480">
        <v>45233.25</v>
      </c>
      <c r="BL111" s="480">
        <v>45233.416666608799</v>
      </c>
      <c r="BM111" s="480">
        <v>45233.284722222219</v>
      </c>
      <c r="BN111" s="473">
        <v>45234.649305555555</v>
      </c>
      <c r="BO111" s="473">
        <v>45235.840277777781</v>
      </c>
      <c r="BP111" s="473">
        <v>45236.125</v>
      </c>
      <c r="BQ111" s="473">
        <v>45236.159722222219</v>
      </c>
      <c r="BR111" s="473">
        <v>45236.173611111109</v>
      </c>
      <c r="BS111" s="473">
        <v>45236.490277777775</v>
      </c>
      <c r="BV111" s="481">
        <f t="shared" si="25"/>
        <v>35.283333333441988</v>
      </c>
      <c r="BW111" s="481">
        <f t="shared" si="26"/>
        <v>2.8333333333139308</v>
      </c>
      <c r="BX111" s="481">
        <f t="shared" si="27"/>
        <v>41.000000000058208</v>
      </c>
      <c r="BY111" s="481">
        <f t="shared" si="33"/>
        <v>29.58333472214872</v>
      </c>
      <c r="BZ111" s="482">
        <f t="shared" si="28"/>
        <v>6.8333333332557231</v>
      </c>
      <c r="CA111" s="482">
        <f t="shared" si="29"/>
        <v>7.5999999999767169</v>
      </c>
      <c r="CB111" s="483">
        <f t="shared" si="30"/>
        <v>5.1305556134248036</v>
      </c>
      <c r="CC111" s="483">
        <f t="shared" si="31"/>
        <v>11.275694444440887</v>
      </c>
      <c r="CD111" s="484">
        <f t="shared" si="32"/>
        <v>0.45501016710808939</v>
      </c>
    </row>
    <row r="112" spans="1:82" s="475" customFormat="1">
      <c r="A112" s="474">
        <f t="shared" si="34"/>
        <v>45231.111111111109</v>
      </c>
      <c r="B112" s="475" t="s">
        <v>228</v>
      </c>
      <c r="C112" s="475" t="s">
        <v>229</v>
      </c>
      <c r="D112" s="475" t="s">
        <v>197</v>
      </c>
      <c r="E112" s="399" t="s">
        <v>1515</v>
      </c>
      <c r="G112" s="472">
        <v>45230.479166666664</v>
      </c>
      <c r="H112" s="472">
        <v>45230.429166666669</v>
      </c>
      <c r="I112" s="667" t="s">
        <v>231</v>
      </c>
      <c r="J112" s="475" t="s">
        <v>192</v>
      </c>
      <c r="K112" s="475" t="s">
        <v>192</v>
      </c>
      <c r="L112" s="667" t="s">
        <v>3395</v>
      </c>
      <c r="M112" s="530"/>
      <c r="N112" s="475" t="s">
        <v>277</v>
      </c>
      <c r="O112" s="475" t="s">
        <v>278</v>
      </c>
      <c r="P112" s="399" t="s">
        <v>240</v>
      </c>
      <c r="Q112" s="477">
        <f>3117*2.4</f>
        <v>7480.7999999999993</v>
      </c>
      <c r="R112" s="477">
        <f>7500+100</f>
        <v>7600</v>
      </c>
      <c r="S112" s="477">
        <v>7459.9669999999996</v>
      </c>
      <c r="T112" s="399"/>
      <c r="V112" s="401"/>
      <c r="W112" s="401"/>
      <c r="Y112" s="726">
        <f>S112</f>
        <v>7459.9669999999996</v>
      </c>
      <c r="Z112" s="401"/>
      <c r="AA112" s="401"/>
      <c r="AB112" s="399"/>
      <c r="AC112" s="399"/>
      <c r="AZ112" s="473">
        <f t="shared" si="22"/>
        <v>45224.743055555555</v>
      </c>
      <c r="BA112" s="473">
        <f t="shared" si="23"/>
        <v>45236.065972222219</v>
      </c>
      <c r="BB112" s="479">
        <f t="shared" si="24"/>
        <v>11.322916666664241</v>
      </c>
      <c r="BC112" s="473">
        <v>45224.743055555555</v>
      </c>
      <c r="BD112" s="473">
        <v>45227.545138888891</v>
      </c>
      <c r="BE112" s="473">
        <v>45229.125</v>
      </c>
      <c r="BF112" s="473">
        <v>45231.111111111109</v>
      </c>
      <c r="BG112" s="473">
        <v>45231.267361111109</v>
      </c>
      <c r="BH112" s="473">
        <v>45231.270833333336</v>
      </c>
      <c r="BI112" s="473">
        <v>45231.274305555555</v>
      </c>
      <c r="BJ112" s="473">
        <f t="shared" si="35"/>
        <v>45232.982638888891</v>
      </c>
      <c r="BK112" s="473">
        <v>45233.25</v>
      </c>
      <c r="BL112" s="473">
        <v>45233.416666608799</v>
      </c>
      <c r="BM112" s="473">
        <v>45233.368055555555</v>
      </c>
      <c r="BN112" s="473">
        <v>45234.760416666664</v>
      </c>
      <c r="BO112" s="473">
        <v>45235.5625</v>
      </c>
      <c r="BP112" s="473">
        <v>45235.763888888891</v>
      </c>
      <c r="BQ112" s="473">
        <v>45235.798611111109</v>
      </c>
      <c r="BR112" s="473">
        <v>45235.798611111109</v>
      </c>
      <c r="BS112" s="473">
        <v>45236.065972222219</v>
      </c>
      <c r="BV112" s="481">
        <f t="shared" si="25"/>
        <v>37.916666666627862</v>
      </c>
      <c r="BW112" s="481">
        <f t="shared" si="26"/>
        <v>3.75</v>
      </c>
      <c r="BX112" s="481">
        <f t="shared" si="27"/>
        <v>41.000000000058208</v>
      </c>
      <c r="BY112" s="481">
        <f t="shared" si="33"/>
        <v>32.250001388776582</v>
      </c>
      <c r="BZ112" s="482">
        <f t="shared" si="28"/>
        <v>4.8333333333721384</v>
      </c>
      <c r="CA112" s="482">
        <f t="shared" si="29"/>
        <v>6.4166666666278616</v>
      </c>
      <c r="CB112" s="483">
        <f t="shared" si="30"/>
        <v>5.2569445023109438</v>
      </c>
      <c r="CC112" s="483">
        <f t="shared" si="31"/>
        <v>11.322916666664241</v>
      </c>
      <c r="CD112" s="484">
        <f t="shared" si="32"/>
        <v>0.46427476745350388</v>
      </c>
    </row>
    <row r="113" spans="1:84" s="475" customFormat="1">
      <c r="A113" s="474">
        <f t="shared" si="34"/>
        <v>45229.927083333336</v>
      </c>
      <c r="B113" s="475" t="s">
        <v>188</v>
      </c>
      <c r="C113" s="475" t="s">
        <v>181</v>
      </c>
      <c r="D113" s="475" t="s">
        <v>189</v>
      </c>
      <c r="E113" s="476" t="s">
        <v>1789</v>
      </c>
      <c r="G113" s="473">
        <v>45233.345833333333</v>
      </c>
      <c r="H113" s="473">
        <v>45233.345833333333</v>
      </c>
      <c r="I113" s="399" t="s">
        <v>1298</v>
      </c>
      <c r="J113" s="475" t="s">
        <v>192</v>
      </c>
      <c r="K113" s="475" t="s">
        <v>192</v>
      </c>
      <c r="L113" s="475" t="s">
        <v>3396</v>
      </c>
      <c r="M113" s="530"/>
      <c r="N113" s="475" t="s">
        <v>453</v>
      </c>
      <c r="O113" s="475" t="s">
        <v>454</v>
      </c>
      <c r="P113" s="399" t="s">
        <v>913</v>
      </c>
      <c r="Q113" s="477">
        <v>7500</v>
      </c>
      <c r="R113" s="477">
        <v>7500</v>
      </c>
      <c r="S113" s="477">
        <v>7719.1220000000003</v>
      </c>
      <c r="T113" s="477"/>
      <c r="V113" s="577"/>
      <c r="W113" s="577"/>
      <c r="Z113" s="577"/>
      <c r="AA113" s="577"/>
      <c r="AC113" s="401"/>
      <c r="AD113" s="401"/>
      <c r="AE113" s="401"/>
      <c r="AW113" s="724">
        <f>S113</f>
        <v>7719.1220000000003</v>
      </c>
      <c r="AZ113" s="473">
        <f t="shared" si="22"/>
        <v>45229.833333333336</v>
      </c>
      <c r="BA113" s="473">
        <f t="shared" si="23"/>
        <v>45234.107638888891</v>
      </c>
      <c r="BB113" s="479">
        <f t="shared" si="24"/>
        <v>4.2743055555547471</v>
      </c>
      <c r="BC113" s="473">
        <v>45229.833333333336</v>
      </c>
      <c r="BD113" s="473">
        <v>45229.833333333336</v>
      </c>
      <c r="BE113" s="473">
        <v>45229.833333333336</v>
      </c>
      <c r="BF113" s="473">
        <v>45229.927083333336</v>
      </c>
      <c r="BG113" s="473">
        <v>45230.954861111109</v>
      </c>
      <c r="BH113" s="473">
        <v>45231.659722222219</v>
      </c>
      <c r="BI113" s="473">
        <v>45231.659722222219</v>
      </c>
      <c r="BJ113" s="473">
        <v>45231.659722222219</v>
      </c>
      <c r="BK113" s="518" t="s">
        <v>196</v>
      </c>
      <c r="BL113" s="518" t="s">
        <v>196</v>
      </c>
      <c r="BM113" s="518" t="s">
        <v>196</v>
      </c>
      <c r="BN113" s="473">
        <v>45233.729166666664</v>
      </c>
      <c r="BO113" s="473">
        <v>45233.833333333336</v>
      </c>
      <c r="BP113" s="473">
        <v>45234.086805555555</v>
      </c>
      <c r="BQ113" s="473">
        <v>45234.107638888891</v>
      </c>
      <c r="BR113" s="473">
        <v>45234.107638888891</v>
      </c>
      <c r="BS113" s="473">
        <v>45234.107638888891</v>
      </c>
      <c r="BV113" s="481">
        <f t="shared" si="25"/>
        <v>0</v>
      </c>
      <c r="BW113" s="481">
        <f t="shared" si="26"/>
        <v>24.666666666569654</v>
      </c>
      <c r="BX113" s="481">
        <f t="shared" si="27"/>
        <v>0</v>
      </c>
      <c r="BY113" s="481">
        <f>(BN113-BJ113)*24</f>
        <v>49.666666666686069</v>
      </c>
      <c r="BZ113" s="482">
        <f t="shared" si="28"/>
        <v>6.0833333332557231</v>
      </c>
      <c r="CA113" s="482">
        <f t="shared" si="29"/>
        <v>0</v>
      </c>
      <c r="CB113" s="483">
        <f t="shared" si="30"/>
        <v>3.3506944444379769</v>
      </c>
      <c r="CC113" s="483">
        <f t="shared" si="31"/>
        <v>4.2743055555547471</v>
      </c>
      <c r="CD113" s="484">
        <f t="shared" si="32"/>
        <v>0.78391551583941499</v>
      </c>
    </row>
    <row r="114" spans="1:84" s="475" customFormat="1">
      <c r="A114" s="474">
        <f t="shared" si="34"/>
        <v>45216.722222222219</v>
      </c>
      <c r="B114" s="475" t="s">
        <v>228</v>
      </c>
      <c r="C114" s="475" t="s">
        <v>229</v>
      </c>
      <c r="D114" s="475" t="s">
        <v>215</v>
      </c>
      <c r="E114" s="476" t="s">
        <v>3397</v>
      </c>
      <c r="G114" s="518">
        <v>45225.9375</v>
      </c>
      <c r="H114" s="518">
        <v>45225.9375</v>
      </c>
      <c r="I114" s="399" t="s">
        <v>1550</v>
      </c>
      <c r="J114" s="475" t="s">
        <v>192</v>
      </c>
      <c r="K114" s="475" t="s">
        <v>192</v>
      </c>
      <c r="L114" s="475" t="s">
        <v>3398</v>
      </c>
      <c r="M114" s="530"/>
      <c r="N114" s="475" t="s">
        <v>343</v>
      </c>
      <c r="O114" s="475" t="s">
        <v>344</v>
      </c>
      <c r="P114" s="667" t="s">
        <v>173</v>
      </c>
      <c r="Q114" s="477">
        <f>3136*2.4</f>
        <v>7526.4</v>
      </c>
      <c r="R114" s="477">
        <f>7550+100</f>
        <v>7650</v>
      </c>
      <c r="S114" s="477">
        <v>7568.866</v>
      </c>
      <c r="T114" s="667"/>
      <c r="U114" s="667"/>
      <c r="V114" s="667"/>
      <c r="W114" s="667"/>
      <c r="X114" s="399"/>
      <c r="Y114" s="399"/>
      <c r="AA114" s="724">
        <f>S114</f>
        <v>7568.866</v>
      </c>
      <c r="AZ114" s="473">
        <f t="shared" si="22"/>
        <v>45212.916666666664</v>
      </c>
      <c r="BA114" s="473">
        <f t="shared" si="23"/>
        <v>45223.9375</v>
      </c>
      <c r="BB114" s="479">
        <f t="shared" si="24"/>
        <v>11.020833333335759</v>
      </c>
      <c r="BC114" s="473">
        <v>45212.916666666664</v>
      </c>
      <c r="BD114" s="473">
        <v>45213.604166666664</v>
      </c>
      <c r="BE114" s="473">
        <v>45215.489583333336</v>
      </c>
      <c r="BF114" s="473">
        <v>45216.722222222219</v>
      </c>
      <c r="BG114" s="473">
        <v>45217.026388888888</v>
      </c>
      <c r="BH114" s="473">
        <v>45217.03125</v>
      </c>
      <c r="BI114" s="473">
        <v>45217.034722222219</v>
      </c>
      <c r="BJ114" s="473">
        <f>BI114+(41/24)</f>
        <v>45218.743055555555</v>
      </c>
      <c r="BK114" s="480">
        <v>45219.25</v>
      </c>
      <c r="BL114" s="480">
        <v>45219.416666666664</v>
      </c>
      <c r="BM114" s="480">
        <v>45219.274305555555</v>
      </c>
      <c r="BN114" s="473">
        <v>45221.270833333336</v>
      </c>
      <c r="BO114" s="473">
        <v>45222.878472222219</v>
      </c>
      <c r="BP114" s="473">
        <v>45223.225694444445</v>
      </c>
      <c r="BQ114" s="473">
        <v>45223.246527777781</v>
      </c>
      <c r="BR114" s="473">
        <v>45223.25</v>
      </c>
      <c r="BS114" s="473">
        <v>45223.9375</v>
      </c>
      <c r="BV114" s="481">
        <f t="shared" si="25"/>
        <v>45.250000000116415</v>
      </c>
      <c r="BW114" s="481">
        <f t="shared" si="26"/>
        <v>7.3000000000465661</v>
      </c>
      <c r="BX114" s="481">
        <f t="shared" si="27"/>
        <v>41.000000000058208</v>
      </c>
      <c r="BY114" s="481">
        <f>(BN114-BL114)*24</f>
        <v>44.500000000116415</v>
      </c>
      <c r="BZ114" s="482">
        <f t="shared" si="28"/>
        <v>8.3333333334303461</v>
      </c>
      <c r="CA114" s="482">
        <f t="shared" si="29"/>
        <v>16.5</v>
      </c>
      <c r="CB114" s="483">
        <f t="shared" si="30"/>
        <v>6.7868055555736646</v>
      </c>
      <c r="CC114" s="483">
        <f t="shared" si="31"/>
        <v>11.020833333335759</v>
      </c>
      <c r="CD114" s="484">
        <f t="shared" si="32"/>
        <v>0.61581600504246548</v>
      </c>
    </row>
    <row r="115" spans="1:84" s="475" customFormat="1">
      <c r="A115" s="474">
        <f t="shared" si="34"/>
        <v>45219.413194444445</v>
      </c>
      <c r="B115" s="475" t="s">
        <v>228</v>
      </c>
      <c r="C115" s="475" t="s">
        <v>229</v>
      </c>
      <c r="D115" s="475" t="s">
        <v>215</v>
      </c>
      <c r="E115" s="667" t="s">
        <v>3113</v>
      </c>
      <c r="G115" s="472">
        <v>45218.104166666664</v>
      </c>
      <c r="H115" s="472">
        <v>45218.020833333336</v>
      </c>
      <c r="I115" s="667" t="s">
        <v>1031</v>
      </c>
      <c r="J115" s="475" t="s">
        <v>192</v>
      </c>
      <c r="K115" s="475" t="s">
        <v>192</v>
      </c>
      <c r="L115" s="667" t="s">
        <v>3399</v>
      </c>
      <c r="M115" s="530"/>
      <c r="N115" s="475" t="s">
        <v>222</v>
      </c>
      <c r="O115" s="475" t="s">
        <v>223</v>
      </c>
      <c r="P115" s="667" t="s">
        <v>173</v>
      </c>
      <c r="Q115" s="477">
        <f>3137*2.4</f>
        <v>7528.7999999999993</v>
      </c>
      <c r="R115" s="477">
        <f>7550+100</f>
        <v>7650</v>
      </c>
      <c r="S115" s="477">
        <v>7663.6779999999999</v>
      </c>
      <c r="T115" s="399"/>
      <c r="U115" s="399"/>
      <c r="V115" s="399"/>
      <c r="W115" s="399"/>
      <c r="Y115" s="667"/>
      <c r="Z115" s="401"/>
      <c r="AA115" s="724">
        <f>S115</f>
        <v>7663.6779999999999</v>
      </c>
      <c r="AB115" s="401"/>
      <c r="AC115" s="577"/>
      <c r="AD115" s="577"/>
      <c r="AZ115" s="473">
        <f t="shared" si="22"/>
        <v>45214.795138888891</v>
      </c>
      <c r="BA115" s="473">
        <f t="shared" si="23"/>
        <v>45227.677083333336</v>
      </c>
      <c r="BB115" s="479">
        <f t="shared" si="24"/>
        <v>12.881944444445253</v>
      </c>
      <c r="BC115" s="473">
        <v>45214.795138888891</v>
      </c>
      <c r="BD115" s="473">
        <v>45215.739583333336</v>
      </c>
      <c r="BE115" s="473">
        <v>45217.666666666664</v>
      </c>
      <c r="BF115" s="473">
        <v>45219.413194444445</v>
      </c>
      <c r="BG115" s="473">
        <v>45219.680555555555</v>
      </c>
      <c r="BH115" s="473">
        <v>45219.684027777781</v>
      </c>
      <c r="BI115" s="473">
        <v>45219.684027777781</v>
      </c>
      <c r="BJ115" s="473">
        <f>BI115+(41/24)</f>
        <v>45221.392361111117</v>
      </c>
      <c r="BK115" s="480">
        <v>45222.541666666664</v>
      </c>
      <c r="BL115" s="480">
        <v>45222.708333333328</v>
      </c>
      <c r="BM115" s="480">
        <v>45222.607638888891</v>
      </c>
      <c r="BN115" s="473">
        <v>45223.791666666664</v>
      </c>
      <c r="BO115" s="473">
        <v>45226.364583333336</v>
      </c>
      <c r="BP115" s="473">
        <v>45227.298611111109</v>
      </c>
      <c r="BQ115" s="473">
        <v>45227.319444444445</v>
      </c>
      <c r="BR115" s="473">
        <v>45227.319444444445</v>
      </c>
      <c r="BS115" s="473">
        <v>45227.677083333336</v>
      </c>
      <c r="BV115" s="481">
        <f t="shared" si="25"/>
        <v>46.249999999883585</v>
      </c>
      <c r="BW115" s="481">
        <f t="shared" si="26"/>
        <v>6.4166666666278616</v>
      </c>
      <c r="BX115" s="481">
        <f t="shared" si="27"/>
        <v>41.000000000058208</v>
      </c>
      <c r="BY115" s="481">
        <f>(BN115-BL115)*24</f>
        <v>26.000000000058208</v>
      </c>
      <c r="BZ115" s="482">
        <f t="shared" si="28"/>
        <v>22.416666666569654</v>
      </c>
      <c r="CA115" s="482">
        <f t="shared" si="29"/>
        <v>8.5833333333721384</v>
      </c>
      <c r="CB115" s="483">
        <f t="shared" si="30"/>
        <v>6.2777777777737356</v>
      </c>
      <c r="CC115" s="483">
        <f t="shared" si="31"/>
        <v>12.881944444445253</v>
      </c>
      <c r="CD115" s="484">
        <f t="shared" si="32"/>
        <v>0.48733153638779581</v>
      </c>
    </row>
    <row r="116" spans="1:84" s="475" customFormat="1">
      <c r="A116" s="474">
        <f t="shared" si="34"/>
        <v>45221.506944444445</v>
      </c>
      <c r="B116" s="475" t="s">
        <v>228</v>
      </c>
      <c r="C116" s="475" t="s">
        <v>229</v>
      </c>
      <c r="D116" s="475" t="s">
        <v>197</v>
      </c>
      <c r="E116" s="667" t="s">
        <v>3397</v>
      </c>
      <c r="G116" s="518">
        <v>45225.9375</v>
      </c>
      <c r="H116" s="518">
        <v>45225.9375</v>
      </c>
      <c r="I116" s="667" t="s">
        <v>1550</v>
      </c>
      <c r="J116" s="475" t="s">
        <v>192</v>
      </c>
      <c r="K116" s="475" t="s">
        <v>192</v>
      </c>
      <c r="L116" s="667" t="s">
        <v>3400</v>
      </c>
      <c r="M116" s="530"/>
      <c r="N116" s="475" t="s">
        <v>330</v>
      </c>
      <c r="O116" s="475" t="s">
        <v>331</v>
      </c>
      <c r="P116" s="399" t="s">
        <v>173</v>
      </c>
      <c r="Q116" s="477">
        <f>3136*2.4</f>
        <v>7526.4</v>
      </c>
      <c r="R116" s="477">
        <f>7550+100</f>
        <v>7650</v>
      </c>
      <c r="S116" s="477">
        <v>7346.4449999999997</v>
      </c>
      <c r="T116" s="399"/>
      <c r="U116" s="399"/>
      <c r="V116" s="399"/>
      <c r="W116" s="577"/>
      <c r="X116" s="577"/>
      <c r="Y116" s="577"/>
      <c r="AA116" s="724">
        <f>S116</f>
        <v>7346.4449999999997</v>
      </c>
      <c r="AB116" s="401"/>
      <c r="AC116" s="577"/>
      <c r="AD116" s="577"/>
      <c r="AZ116" s="473">
        <f t="shared" si="22"/>
        <v>45215.166666666664</v>
      </c>
      <c r="BA116" s="473">
        <f t="shared" si="23"/>
        <v>45228.375</v>
      </c>
      <c r="BB116" s="479">
        <f t="shared" si="24"/>
        <v>13.208333333335759</v>
      </c>
      <c r="BC116" s="473">
        <v>45215.166666666664</v>
      </c>
      <c r="BD116" s="473">
        <v>45217.586805555555</v>
      </c>
      <c r="BE116" s="473">
        <v>45219.239583333336</v>
      </c>
      <c r="BF116" s="473">
        <v>45221.506944444445</v>
      </c>
      <c r="BG116" s="473">
        <v>45221.684027777781</v>
      </c>
      <c r="BH116" s="473">
        <v>45221.6875</v>
      </c>
      <c r="BI116" s="473">
        <v>45221.694444444445</v>
      </c>
      <c r="BJ116" s="473">
        <f>BI116+(41/24)</f>
        <v>45223.402777777781</v>
      </c>
      <c r="BK116" s="473">
        <v>45223.541666608799</v>
      </c>
      <c r="BL116" s="473">
        <v>45223.708333275463</v>
      </c>
      <c r="BM116" s="473">
        <v>45223.576388888891</v>
      </c>
      <c r="BN116" s="473">
        <v>45226.020833333336</v>
      </c>
      <c r="BO116" s="473">
        <v>45226.951388888891</v>
      </c>
      <c r="BP116" s="473">
        <v>45227.493055555555</v>
      </c>
      <c r="BQ116" s="473">
        <v>45227.527777777781</v>
      </c>
      <c r="BR116" s="473">
        <v>45227.96875</v>
      </c>
      <c r="BS116" s="473">
        <v>45228.375</v>
      </c>
      <c r="BV116" s="481">
        <f t="shared" si="25"/>
        <v>39.666666666744277</v>
      </c>
      <c r="BW116" s="481">
        <f t="shared" si="26"/>
        <v>4.2500000000582077</v>
      </c>
      <c r="BX116" s="481">
        <f t="shared" si="27"/>
        <v>41.000000000058208</v>
      </c>
      <c r="BY116" s="481">
        <f>(BN116-BL116)*24</f>
        <v>55.500001388951205</v>
      </c>
      <c r="BZ116" s="482">
        <f t="shared" si="28"/>
        <v>12.999999999941792</v>
      </c>
      <c r="CA116" s="482">
        <f t="shared" si="29"/>
        <v>9.75</v>
      </c>
      <c r="CB116" s="483">
        <f t="shared" si="30"/>
        <v>6.7986111689897371</v>
      </c>
      <c r="CC116" s="483">
        <f t="shared" si="31"/>
        <v>13.208333333335759</v>
      </c>
      <c r="CD116" s="484">
        <f t="shared" si="32"/>
        <v>0.51472135033351329</v>
      </c>
    </row>
    <row r="117" spans="1:84" s="475" customFormat="1">
      <c r="A117" s="474">
        <f t="shared" si="34"/>
        <v>45225.479166666664</v>
      </c>
      <c r="B117" s="475" t="s">
        <v>228</v>
      </c>
      <c r="C117" s="475" t="s">
        <v>229</v>
      </c>
      <c r="D117" s="475" t="s">
        <v>197</v>
      </c>
      <c r="E117" s="832" t="s">
        <v>3401</v>
      </c>
      <c r="F117" s="667"/>
      <c r="G117" s="473">
        <v>45238.887499999997</v>
      </c>
      <c r="H117" s="473">
        <v>45238.887499999997</v>
      </c>
      <c r="I117" s="667" t="s">
        <v>1550</v>
      </c>
      <c r="J117" s="475" t="s">
        <v>192</v>
      </c>
      <c r="K117" s="475" t="s">
        <v>192</v>
      </c>
      <c r="L117" s="667" t="s">
        <v>3402</v>
      </c>
      <c r="M117" s="530"/>
      <c r="N117" s="475" t="s">
        <v>3403</v>
      </c>
      <c r="O117" s="475" t="s">
        <v>255</v>
      </c>
      <c r="P117" s="399" t="s">
        <v>173</v>
      </c>
      <c r="Q117" s="477">
        <f>3047*2.4</f>
        <v>7312.8</v>
      </c>
      <c r="R117" s="477">
        <f>7400+100</f>
        <v>7500</v>
      </c>
      <c r="S117" s="477">
        <v>7208.732</v>
      </c>
      <c r="T117" s="477"/>
      <c r="U117" s="401"/>
      <c r="W117" s="401"/>
      <c r="X117" s="401"/>
      <c r="Z117" s="581"/>
      <c r="AA117" s="724">
        <f>S117</f>
        <v>7208.732</v>
      </c>
      <c r="AB117" s="401"/>
      <c r="AC117" s="577"/>
      <c r="AZ117" s="473">
        <f t="shared" si="22"/>
        <v>45218.65625</v>
      </c>
      <c r="BA117" s="473">
        <f t="shared" si="23"/>
        <v>45230.451388888891</v>
      </c>
      <c r="BB117" s="479">
        <f t="shared" si="24"/>
        <v>11.795138888890506</v>
      </c>
      <c r="BC117" s="473">
        <v>45218.65625</v>
      </c>
      <c r="BD117" s="473">
        <v>45219.784722222219</v>
      </c>
      <c r="BE117" s="473">
        <v>45222.177083333336</v>
      </c>
      <c r="BF117" s="473">
        <v>45225.479166666664</v>
      </c>
      <c r="BG117" s="473">
        <v>45225.649305555555</v>
      </c>
      <c r="BH117" s="473">
        <v>45225.652777777781</v>
      </c>
      <c r="BI117" s="473">
        <v>45225.65625</v>
      </c>
      <c r="BJ117" s="473">
        <f>BI117+(41/24)</f>
        <v>45227.364583333336</v>
      </c>
      <c r="BK117" s="480">
        <v>45228.25</v>
      </c>
      <c r="BL117" s="480">
        <v>45228.416666666664</v>
      </c>
      <c r="BM117" s="480">
        <v>45228.395833333336</v>
      </c>
      <c r="BN117" s="473">
        <v>45229.979166666664</v>
      </c>
      <c r="BO117" s="473">
        <v>45230.142361111109</v>
      </c>
      <c r="BP117" s="473">
        <v>45230.416666666664</v>
      </c>
      <c r="BQ117" s="473">
        <v>45230.451388888891</v>
      </c>
      <c r="BR117" s="473">
        <v>45230.451388888891</v>
      </c>
      <c r="BS117" s="473">
        <v>45230.451388888891</v>
      </c>
      <c r="BV117" s="481">
        <f t="shared" si="25"/>
        <v>57.416666666802485</v>
      </c>
      <c r="BW117" s="481">
        <f t="shared" si="26"/>
        <v>4.0833333333721384</v>
      </c>
      <c r="BX117" s="481">
        <f t="shared" si="27"/>
        <v>41.000000000058208</v>
      </c>
      <c r="BY117" s="481">
        <f>(BN117-BL117)*24</f>
        <v>37.5</v>
      </c>
      <c r="BZ117" s="482">
        <f t="shared" si="28"/>
        <v>6.5833333333139308</v>
      </c>
      <c r="CA117" s="482">
        <f t="shared" si="29"/>
        <v>0</v>
      </c>
      <c r="CB117" s="483">
        <f t="shared" si="30"/>
        <v>6.1076388888977817</v>
      </c>
      <c r="CC117" s="483">
        <f t="shared" si="31"/>
        <v>11.795138888890506</v>
      </c>
      <c r="CD117" s="484">
        <f t="shared" si="32"/>
        <v>0.51780983220556964</v>
      </c>
    </row>
    <row r="118" spans="1:84" s="475" customFormat="1">
      <c r="A118" s="474">
        <f t="shared" si="34"/>
        <v>45214.590277777781</v>
      </c>
      <c r="B118" s="475" t="s">
        <v>188</v>
      </c>
      <c r="C118" s="475" t="s">
        <v>81</v>
      </c>
      <c r="D118" s="475" t="s">
        <v>197</v>
      </c>
      <c r="E118" s="476" t="s">
        <v>3099</v>
      </c>
      <c r="G118" s="472">
        <v>45213.333333333336</v>
      </c>
      <c r="H118" s="472">
        <v>45213.3125</v>
      </c>
      <c r="I118" s="399" t="s">
        <v>439</v>
      </c>
      <c r="J118" s="475" t="s">
        <v>192</v>
      </c>
      <c r="K118" s="475" t="s">
        <v>192</v>
      </c>
      <c r="L118" s="475" t="s">
        <v>3404</v>
      </c>
      <c r="M118" s="530"/>
      <c r="N118" s="475" t="s">
        <v>383</v>
      </c>
      <c r="O118" s="475" t="s">
        <v>384</v>
      </c>
      <c r="P118" s="399" t="s">
        <v>81</v>
      </c>
      <c r="Q118" s="477">
        <f>2205*2.4</f>
        <v>5292</v>
      </c>
      <c r="R118" s="477">
        <f>5300+100</f>
        <v>5400</v>
      </c>
      <c r="S118" s="477">
        <v>5002</v>
      </c>
      <c r="T118" s="477"/>
      <c r="V118" s="577"/>
      <c r="W118" s="577"/>
      <c r="Z118" s="577"/>
      <c r="AA118" s="577"/>
      <c r="AC118" s="401"/>
      <c r="AD118" s="401"/>
      <c r="AE118" s="401"/>
      <c r="AI118" s="724">
        <f>S118</f>
        <v>5002</v>
      </c>
      <c r="AZ118" s="473">
        <f t="shared" si="22"/>
        <v>45212.989583333336</v>
      </c>
      <c r="BA118" s="473">
        <f t="shared" si="23"/>
        <v>45220.645833333336</v>
      </c>
      <c r="BB118" s="479">
        <f t="shared" si="24"/>
        <v>7.65625</v>
      </c>
      <c r="BC118" s="473">
        <v>45212.989583333336</v>
      </c>
      <c r="BD118" s="473">
        <v>45213.538194444445</v>
      </c>
      <c r="BE118" s="473">
        <v>45214.159722222219</v>
      </c>
      <c r="BF118" s="473">
        <v>45214.590277777781</v>
      </c>
      <c r="BG118" s="473">
        <v>45216.208333333336</v>
      </c>
      <c r="BH118" s="473">
        <v>45216.243055555555</v>
      </c>
      <c r="BI118" s="473">
        <v>45217.166666666664</v>
      </c>
      <c r="BJ118" s="473">
        <f>BI118</f>
        <v>45217.166666666664</v>
      </c>
      <c r="BK118" s="518" t="s">
        <v>196</v>
      </c>
      <c r="BL118" s="518" t="s">
        <v>196</v>
      </c>
      <c r="BM118" s="518" t="s">
        <v>196</v>
      </c>
      <c r="BN118" s="473">
        <v>45218.291666666664</v>
      </c>
      <c r="BO118" s="473">
        <v>45219.097222222219</v>
      </c>
      <c r="BP118" s="473">
        <v>45220.125</v>
      </c>
      <c r="BQ118" s="473">
        <v>45220.152777777781</v>
      </c>
      <c r="BR118" s="473">
        <v>45220.152777777781</v>
      </c>
      <c r="BS118" s="473">
        <v>45220.645833333336</v>
      </c>
      <c r="BV118" s="481">
        <f t="shared" si="25"/>
        <v>14.916666666569654</v>
      </c>
      <c r="BW118" s="481">
        <f t="shared" si="26"/>
        <v>38.833333333313931</v>
      </c>
      <c r="BX118" s="481">
        <f t="shared" si="27"/>
        <v>0</v>
      </c>
      <c r="BY118" s="481">
        <f t="shared" ref="BY118:BY127" si="40">(BN118-BJ118)*24</f>
        <v>27</v>
      </c>
      <c r="BZ118" s="482">
        <f t="shared" si="28"/>
        <v>24.666666666744277</v>
      </c>
      <c r="CA118" s="482">
        <f t="shared" si="29"/>
        <v>11.833333333313931</v>
      </c>
      <c r="CB118" s="483">
        <f t="shared" si="30"/>
        <v>4.8854166666642413</v>
      </c>
      <c r="CC118" s="483">
        <f t="shared" si="31"/>
        <v>7.65625</v>
      </c>
      <c r="CD118" s="484">
        <f t="shared" si="32"/>
        <v>0.6380952380949213</v>
      </c>
    </row>
    <row r="119" spans="1:84" s="475" customFormat="1">
      <c r="A119" s="474">
        <f t="shared" si="34"/>
        <v>45216.572916666664</v>
      </c>
      <c r="B119" s="475" t="s">
        <v>188</v>
      </c>
      <c r="C119" s="475" t="s">
        <v>81</v>
      </c>
      <c r="D119" s="475" t="s">
        <v>197</v>
      </c>
      <c r="E119" s="476" t="s">
        <v>2361</v>
      </c>
      <c r="G119" s="472">
        <v>45214.375</v>
      </c>
      <c r="H119" s="472">
        <v>45214.308333333334</v>
      </c>
      <c r="I119" s="399" t="s">
        <v>439</v>
      </c>
      <c r="J119" s="475" t="s">
        <v>192</v>
      </c>
      <c r="K119" s="475" t="s">
        <v>192</v>
      </c>
      <c r="L119" s="475" t="s">
        <v>3405</v>
      </c>
      <c r="M119" s="530"/>
      <c r="N119" s="475" t="s">
        <v>441</v>
      </c>
      <c r="O119" s="475" t="s">
        <v>1308</v>
      </c>
      <c r="P119" s="399" t="s">
        <v>81</v>
      </c>
      <c r="Q119" s="477">
        <f>2205*2.4</f>
        <v>5292</v>
      </c>
      <c r="R119" s="477">
        <f>5300+100</f>
        <v>5400</v>
      </c>
      <c r="S119" s="477">
        <v>5276</v>
      </c>
      <c r="T119" s="477"/>
      <c r="V119" s="577"/>
      <c r="W119" s="577"/>
      <c r="Z119" s="577"/>
      <c r="AA119" s="577"/>
      <c r="AC119" s="401"/>
      <c r="AD119" s="401"/>
      <c r="AE119" s="401"/>
      <c r="AI119" s="724">
        <f>S119</f>
        <v>5276</v>
      </c>
      <c r="AZ119" s="473">
        <f t="shared" si="22"/>
        <v>45214.4375</v>
      </c>
      <c r="BA119" s="473">
        <f t="shared" si="23"/>
        <v>45222.229166666664</v>
      </c>
      <c r="BB119" s="479">
        <f t="shared" si="24"/>
        <v>7.7916666666642413</v>
      </c>
      <c r="BC119" s="473">
        <v>45214.4375</v>
      </c>
      <c r="BD119" s="473">
        <v>45216.149305555555</v>
      </c>
      <c r="BE119" s="473">
        <v>45216.427083333336</v>
      </c>
      <c r="BF119" s="473">
        <v>45216.572916666664</v>
      </c>
      <c r="BG119" s="473">
        <v>45217.71875</v>
      </c>
      <c r="BH119" s="473">
        <v>45217.777777777781</v>
      </c>
      <c r="BI119" s="473">
        <v>45218.645833333336</v>
      </c>
      <c r="BJ119" s="473">
        <v>45218.645833333336</v>
      </c>
      <c r="BK119" s="518" t="s">
        <v>196</v>
      </c>
      <c r="BL119" s="518" t="s">
        <v>196</v>
      </c>
      <c r="BM119" s="518" t="s">
        <v>196</v>
      </c>
      <c r="BN119" s="473">
        <v>45220.010416666664</v>
      </c>
      <c r="BO119" s="473">
        <v>45220.743055555555</v>
      </c>
      <c r="BP119" s="473">
        <v>45221.743055555555</v>
      </c>
      <c r="BQ119" s="473">
        <v>45221.770833333336</v>
      </c>
      <c r="BR119" s="473">
        <v>45221.809027777781</v>
      </c>
      <c r="BS119" s="473">
        <v>45222.229166666664</v>
      </c>
      <c r="BV119" s="481">
        <f t="shared" si="25"/>
        <v>6.6666666667442769</v>
      </c>
      <c r="BW119" s="481">
        <f t="shared" si="26"/>
        <v>27.500000000058208</v>
      </c>
      <c r="BX119" s="481">
        <f t="shared" si="27"/>
        <v>0</v>
      </c>
      <c r="BY119" s="481">
        <f t="shared" si="40"/>
        <v>32.749999999883585</v>
      </c>
      <c r="BZ119" s="482">
        <f t="shared" si="28"/>
        <v>24</v>
      </c>
      <c r="CA119" s="482">
        <f t="shared" si="29"/>
        <v>10.083333333197515</v>
      </c>
      <c r="CB119" s="483">
        <f t="shared" si="30"/>
        <v>4.2083333333284827</v>
      </c>
      <c r="CC119" s="483">
        <f t="shared" si="31"/>
        <v>7.7916666666642413</v>
      </c>
      <c r="CD119" s="484">
        <f t="shared" si="32"/>
        <v>0.54010695187120328</v>
      </c>
    </row>
    <row r="120" spans="1:84" s="475" customFormat="1">
      <c r="A120" s="474">
        <f t="shared" si="34"/>
        <v>45215.534722222219</v>
      </c>
      <c r="B120" s="475" t="s">
        <v>188</v>
      </c>
      <c r="C120" s="475" t="s">
        <v>181</v>
      </c>
      <c r="D120" s="475" t="s">
        <v>189</v>
      </c>
      <c r="E120" s="476" t="s">
        <v>2605</v>
      </c>
      <c r="G120" s="472">
        <v>45215.458333333336</v>
      </c>
      <c r="H120" s="472">
        <v>45215.458333333336</v>
      </c>
      <c r="I120" s="475" t="s">
        <v>448</v>
      </c>
      <c r="J120" s="475" t="s">
        <v>192</v>
      </c>
      <c r="K120" s="475" t="s">
        <v>192</v>
      </c>
      <c r="L120" s="475" t="s">
        <v>3406</v>
      </c>
      <c r="M120" s="530"/>
      <c r="N120" s="475" t="s">
        <v>2788</v>
      </c>
      <c r="O120" s="475" t="s">
        <v>2789</v>
      </c>
      <c r="P120" s="399" t="s">
        <v>181</v>
      </c>
      <c r="Q120" s="477">
        <v>7500</v>
      </c>
      <c r="R120" s="477">
        <v>7500</v>
      </c>
      <c r="S120" s="477">
        <v>7579.4520000000002</v>
      </c>
      <c r="T120" s="477"/>
      <c r="U120" s="577"/>
      <c r="W120" s="577"/>
      <c r="Z120" s="577"/>
      <c r="AA120" s="577"/>
      <c r="AB120" s="401"/>
      <c r="AC120" s="401"/>
      <c r="AD120" s="401"/>
      <c r="AE120" s="401"/>
      <c r="AF120" s="401"/>
      <c r="AG120" s="401"/>
      <c r="AH120" s="401"/>
      <c r="AI120" s="401"/>
      <c r="AJ120" s="401"/>
      <c r="AK120" s="726">
        <f>S120</f>
        <v>7579.4520000000002</v>
      </c>
      <c r="AM120" s="401"/>
      <c r="AO120" s="401"/>
      <c r="AP120" s="401"/>
      <c r="AQ120" s="401"/>
      <c r="AR120" s="401"/>
      <c r="AS120" s="401"/>
      <c r="AT120" s="401"/>
      <c r="AU120" s="401"/>
      <c r="AZ120" s="473">
        <f t="shared" si="22"/>
        <v>45212.6875</v>
      </c>
      <c r="BA120" s="473">
        <f t="shared" si="23"/>
        <v>45220.680555555555</v>
      </c>
      <c r="BB120" s="479">
        <f t="shared" si="24"/>
        <v>7.9930555555547471</v>
      </c>
      <c r="BC120" s="473">
        <v>45212.6875</v>
      </c>
      <c r="BD120" s="473">
        <v>45212.6875</v>
      </c>
      <c r="BE120" s="473">
        <v>45212.6875</v>
      </c>
      <c r="BF120" s="473">
        <v>45215.534722222219</v>
      </c>
      <c r="BG120" s="473">
        <v>45217.458333333336</v>
      </c>
      <c r="BH120" s="473">
        <v>45217.763888888891</v>
      </c>
      <c r="BI120" s="473">
        <v>45217.763888888891</v>
      </c>
      <c r="BJ120" s="473">
        <v>45217.763888888891</v>
      </c>
      <c r="BK120" s="518" t="s">
        <v>196</v>
      </c>
      <c r="BL120" s="518" t="s">
        <v>196</v>
      </c>
      <c r="BM120" s="518" t="s">
        <v>196</v>
      </c>
      <c r="BN120" s="473">
        <v>45219.666666666664</v>
      </c>
      <c r="BO120" s="473">
        <v>45220.326388888891</v>
      </c>
      <c r="BP120" s="473">
        <v>45220.659722222226</v>
      </c>
      <c r="BQ120" s="473">
        <v>45220.677083333336</v>
      </c>
      <c r="BR120" s="473">
        <v>45220.680555555555</v>
      </c>
      <c r="BS120" s="473">
        <v>45220.680555555555</v>
      </c>
      <c r="BV120" s="481">
        <f t="shared" si="25"/>
        <v>0</v>
      </c>
      <c r="BW120" s="481">
        <f t="shared" si="26"/>
        <v>46.166666666802485</v>
      </c>
      <c r="BX120" s="481">
        <f t="shared" si="27"/>
        <v>0</v>
      </c>
      <c r="BY120" s="481">
        <f t="shared" si="40"/>
        <v>45.666666666569654</v>
      </c>
      <c r="BZ120" s="482">
        <f t="shared" si="28"/>
        <v>8.0000000000582077</v>
      </c>
      <c r="CA120" s="482">
        <f t="shared" si="29"/>
        <v>0</v>
      </c>
      <c r="CB120" s="483">
        <f t="shared" si="30"/>
        <v>4.1597222222262644</v>
      </c>
      <c r="CC120" s="483">
        <f t="shared" si="31"/>
        <v>7.9930555555547471</v>
      </c>
      <c r="CD120" s="484">
        <f t="shared" si="32"/>
        <v>0.52041702867127948</v>
      </c>
    </row>
    <row r="121" spans="1:84" s="475" customFormat="1">
      <c r="A121" s="474">
        <f t="shared" si="34"/>
        <v>45207.454861111109</v>
      </c>
      <c r="B121" s="475" t="s">
        <v>188</v>
      </c>
      <c r="C121" s="475" t="s">
        <v>82</v>
      </c>
      <c r="D121" s="475" t="s">
        <v>197</v>
      </c>
      <c r="E121" s="476" t="s">
        <v>2786</v>
      </c>
      <c r="F121" s="476"/>
      <c r="G121" s="316">
        <v>45204.826388888891</v>
      </c>
      <c r="H121" s="316">
        <v>45204.826388888891</v>
      </c>
      <c r="I121" s="475" t="s">
        <v>1046</v>
      </c>
      <c r="J121" s="475" t="s">
        <v>192</v>
      </c>
      <c r="K121" s="475" t="s">
        <v>192</v>
      </c>
      <c r="L121" s="475" t="s">
        <v>3407</v>
      </c>
      <c r="M121" s="530"/>
      <c r="N121" s="475" t="s">
        <v>2800</v>
      </c>
      <c r="O121" s="475" t="s">
        <v>2801</v>
      </c>
      <c r="P121" s="475" t="s">
        <v>82</v>
      </c>
      <c r="Q121" s="477">
        <f>2205*2.4</f>
        <v>5292</v>
      </c>
      <c r="R121" s="477">
        <f>5300+100</f>
        <v>5400</v>
      </c>
      <c r="S121" s="477">
        <v>5274</v>
      </c>
      <c r="T121" s="477"/>
      <c r="V121" s="478"/>
      <c r="AR121" s="477">
        <f>S121</f>
        <v>5274</v>
      </c>
      <c r="AZ121" s="473">
        <f t="shared" si="22"/>
        <v>45205.506944444445</v>
      </c>
      <c r="BA121" s="473">
        <f t="shared" si="23"/>
        <v>45211.003472222219</v>
      </c>
      <c r="BB121" s="479">
        <f t="shared" si="24"/>
        <v>5.4965277777737356</v>
      </c>
      <c r="BC121" s="473">
        <v>45205.506944444445</v>
      </c>
      <c r="BD121" s="473">
        <v>45206.826388888891</v>
      </c>
      <c r="BE121" s="473">
        <v>45207.0625</v>
      </c>
      <c r="BF121" s="473">
        <v>45207.454861111109</v>
      </c>
      <c r="BG121" s="473">
        <v>45208.4375</v>
      </c>
      <c r="BH121" s="473">
        <v>45208.493055555555</v>
      </c>
      <c r="BI121" s="473">
        <v>45209.100694444445</v>
      </c>
      <c r="BJ121" s="473">
        <v>45209.100694444445</v>
      </c>
      <c r="BK121" s="518" t="s">
        <v>196</v>
      </c>
      <c r="BL121" s="518" t="s">
        <v>196</v>
      </c>
      <c r="BM121" s="518" t="s">
        <v>196</v>
      </c>
      <c r="BN121" s="473">
        <v>45210.465277777781</v>
      </c>
      <c r="BO121" s="473">
        <v>45210.71875</v>
      </c>
      <c r="BP121" s="473">
        <v>45210.979166666664</v>
      </c>
      <c r="BQ121" s="473">
        <v>45211.003472222219</v>
      </c>
      <c r="BR121" s="473">
        <v>45211.003472222219</v>
      </c>
      <c r="BS121" s="473">
        <v>45211.003472222219</v>
      </c>
      <c r="BT121" s="475" t="s">
        <v>2617</v>
      </c>
      <c r="BV121" s="481">
        <f t="shared" si="25"/>
        <v>5.6666666666278616</v>
      </c>
      <c r="BW121" s="481">
        <f t="shared" si="26"/>
        <v>23.583333333372138</v>
      </c>
      <c r="BX121" s="481">
        <f t="shared" si="27"/>
        <v>0</v>
      </c>
      <c r="BY121" s="481">
        <f t="shared" si="40"/>
        <v>32.750000000058208</v>
      </c>
      <c r="BZ121" s="482">
        <f t="shared" si="28"/>
        <v>6.2499999999417923</v>
      </c>
      <c r="CA121" s="482">
        <f t="shared" si="29"/>
        <v>0</v>
      </c>
      <c r="CB121" s="483">
        <f t="shared" si="30"/>
        <v>2.84375</v>
      </c>
      <c r="CC121" s="483">
        <f t="shared" si="31"/>
        <v>5.4965277777737356</v>
      </c>
      <c r="CD121" s="484">
        <f t="shared" si="32"/>
        <v>0.51737207833266097</v>
      </c>
    </row>
    <row r="122" spans="1:84" s="475" customFormat="1">
      <c r="A122" s="521">
        <f t="shared" si="34"/>
        <v>45212.590277777781</v>
      </c>
      <c r="B122" s="369" t="s">
        <v>188</v>
      </c>
      <c r="C122" s="369" t="s">
        <v>82</v>
      </c>
      <c r="D122" s="369" t="s">
        <v>197</v>
      </c>
      <c r="E122" s="271" t="s">
        <v>3099</v>
      </c>
      <c r="F122" s="369"/>
      <c r="G122" s="492">
        <v>45213.333333333336</v>
      </c>
      <c r="H122" s="492">
        <v>45213.3125</v>
      </c>
      <c r="I122" s="649" t="s">
        <v>1043</v>
      </c>
      <c r="J122" s="369" t="s">
        <v>192</v>
      </c>
      <c r="K122" s="369" t="s">
        <v>192</v>
      </c>
      <c r="L122" s="369" t="s">
        <v>3408</v>
      </c>
      <c r="M122" s="529"/>
      <c r="N122" s="369" t="s">
        <v>2800</v>
      </c>
      <c r="O122" s="369" t="s">
        <v>2801</v>
      </c>
      <c r="P122" s="649" t="s">
        <v>82</v>
      </c>
      <c r="Q122" s="520">
        <f>2205*2.4</f>
        <v>5292</v>
      </c>
      <c r="R122" s="520">
        <f>5300+100</f>
        <v>5400</v>
      </c>
      <c r="S122" s="520">
        <v>5201</v>
      </c>
      <c r="T122" s="520"/>
      <c r="U122" s="369"/>
      <c r="V122" s="759"/>
      <c r="W122" s="759"/>
      <c r="X122" s="369"/>
      <c r="Y122" s="369"/>
      <c r="Z122" s="759"/>
      <c r="AA122" s="759"/>
      <c r="AB122" s="369"/>
      <c r="AC122" s="650"/>
      <c r="AD122" s="650"/>
      <c r="AE122" s="650"/>
      <c r="AF122" s="369"/>
      <c r="AG122" s="369"/>
      <c r="AH122" s="369"/>
      <c r="AI122" s="369"/>
      <c r="AJ122" s="369"/>
      <c r="AK122" s="369"/>
      <c r="AL122" s="369"/>
      <c r="AM122" s="369"/>
      <c r="AN122" s="369"/>
      <c r="AO122" s="369"/>
      <c r="AP122" s="369"/>
      <c r="AQ122" s="369"/>
      <c r="AR122" s="677">
        <f>S122</f>
        <v>5201</v>
      </c>
      <c r="AS122" s="369"/>
      <c r="AT122" s="369"/>
      <c r="AU122" s="369"/>
      <c r="AV122" s="369"/>
      <c r="AW122" s="369"/>
      <c r="AX122" s="369"/>
      <c r="AY122" s="369"/>
      <c r="AZ122" s="522">
        <f t="shared" si="22"/>
        <v>45211.003472222219</v>
      </c>
      <c r="BA122" s="522">
        <f t="shared" si="23"/>
        <v>45218.5</v>
      </c>
      <c r="BB122" s="523">
        <f t="shared" si="24"/>
        <v>7.4965277777810115</v>
      </c>
      <c r="BC122" s="522">
        <v>45211.003472222219</v>
      </c>
      <c r="BD122" s="522">
        <v>45211.479166666664</v>
      </c>
      <c r="BE122" s="522">
        <v>45212.267361111109</v>
      </c>
      <c r="BF122" s="522">
        <v>45212.590277777781</v>
      </c>
      <c r="BG122" s="522">
        <v>45213.9375</v>
      </c>
      <c r="BH122" s="522">
        <v>45214.097222222219</v>
      </c>
      <c r="BI122" s="522">
        <v>45214.597222222219</v>
      </c>
      <c r="BJ122" s="522">
        <f>BI122</f>
        <v>45214.597222222219</v>
      </c>
      <c r="BK122" s="398" t="s">
        <v>196</v>
      </c>
      <c r="BL122" s="398" t="s">
        <v>196</v>
      </c>
      <c r="BM122" s="398" t="s">
        <v>196</v>
      </c>
      <c r="BN122" s="522">
        <v>45215.729166666664</v>
      </c>
      <c r="BO122" s="522">
        <v>45217.489583333336</v>
      </c>
      <c r="BP122" s="522">
        <v>45218.034722222219</v>
      </c>
      <c r="BQ122" s="522">
        <v>45218.055555555555</v>
      </c>
      <c r="BR122" s="522">
        <v>45218.197916666664</v>
      </c>
      <c r="BS122" s="761">
        <v>45218.5</v>
      </c>
      <c r="BT122" s="369"/>
      <c r="BU122" s="369"/>
      <c r="BV122" s="525">
        <f t="shared" si="25"/>
        <v>18.916666666686069</v>
      </c>
      <c r="BW122" s="525">
        <f t="shared" si="26"/>
        <v>32.333333333255723</v>
      </c>
      <c r="BX122" s="525">
        <f t="shared" si="27"/>
        <v>0</v>
      </c>
      <c r="BY122" s="525">
        <f t="shared" si="40"/>
        <v>27.166666666686069</v>
      </c>
      <c r="BZ122" s="526">
        <f t="shared" si="28"/>
        <v>13.083333333197515</v>
      </c>
      <c r="CA122" s="526">
        <f t="shared" si="29"/>
        <v>7.2500000000582077</v>
      </c>
      <c r="CB122" s="304">
        <f t="shared" si="30"/>
        <v>4.1145833333284827</v>
      </c>
      <c r="CC122" s="304">
        <f t="shared" si="31"/>
        <v>7.4965277777810115</v>
      </c>
      <c r="CD122" s="305">
        <f t="shared" si="32"/>
        <v>0.54886521537660582</v>
      </c>
      <c r="CE122" s="369"/>
      <c r="CF122" s="369"/>
    </row>
    <row r="123" spans="1:84" s="475" customFormat="1">
      <c r="A123" s="474">
        <f t="shared" si="34"/>
        <v>45224.975694444445</v>
      </c>
      <c r="B123" s="475" t="s">
        <v>188</v>
      </c>
      <c r="C123" s="475" t="s">
        <v>82</v>
      </c>
      <c r="D123" s="475" t="s">
        <v>197</v>
      </c>
      <c r="E123" s="667" t="s">
        <v>1552</v>
      </c>
      <c r="G123" s="472">
        <v>45228.041666666664</v>
      </c>
      <c r="H123" s="472">
        <v>45228.041666666664</v>
      </c>
      <c r="I123" s="399" t="s">
        <v>1046</v>
      </c>
      <c r="J123" s="475" t="s">
        <v>192</v>
      </c>
      <c r="K123" s="475" t="s">
        <v>192</v>
      </c>
      <c r="L123" s="475" t="s">
        <v>3409</v>
      </c>
      <c r="M123" s="530"/>
      <c r="N123" s="475" t="s">
        <v>383</v>
      </c>
      <c r="O123" s="475" t="s">
        <v>384</v>
      </c>
      <c r="P123" s="399" t="s">
        <v>82</v>
      </c>
      <c r="Q123" s="477">
        <f>2205*2.4</f>
        <v>5292</v>
      </c>
      <c r="R123" s="477">
        <f>5300+100</f>
        <v>5400</v>
      </c>
      <c r="S123" s="477">
        <v>5133</v>
      </c>
      <c r="T123" s="477"/>
      <c r="V123" s="577"/>
      <c r="W123" s="577"/>
      <c r="Z123" s="577"/>
      <c r="AA123" s="577"/>
      <c r="AC123" s="401"/>
      <c r="AD123" s="401"/>
      <c r="AE123" s="401"/>
      <c r="AR123" s="724">
        <f>S123</f>
        <v>5133</v>
      </c>
      <c r="AZ123" s="473">
        <f t="shared" si="22"/>
        <v>45220.645833333336</v>
      </c>
      <c r="BA123" s="473">
        <f t="shared" si="23"/>
        <v>45229.4375</v>
      </c>
      <c r="BB123" s="479">
        <f t="shared" si="24"/>
        <v>8.7916666666642413</v>
      </c>
      <c r="BC123" s="473">
        <v>45220.645833333336</v>
      </c>
      <c r="BD123" s="473">
        <v>45222.895833333336</v>
      </c>
      <c r="BE123" s="473">
        <v>45223.069444444445</v>
      </c>
      <c r="BF123" s="473">
        <v>45224.975694444445</v>
      </c>
      <c r="BG123" s="473">
        <v>45225.96875</v>
      </c>
      <c r="BH123" s="473">
        <v>45226.010416666664</v>
      </c>
      <c r="BI123" s="473">
        <v>45227.076388888891</v>
      </c>
      <c r="BJ123" s="473">
        <f>BI123</f>
        <v>45227.076388888891</v>
      </c>
      <c r="BK123" s="518" t="s">
        <v>196</v>
      </c>
      <c r="BL123" s="518" t="s">
        <v>196</v>
      </c>
      <c r="BM123" s="518" t="s">
        <v>196</v>
      </c>
      <c r="BN123" s="473">
        <v>45228.322916666664</v>
      </c>
      <c r="BO123" s="473">
        <v>45228.708333333336</v>
      </c>
      <c r="BP123" s="473">
        <v>45228.895833333336</v>
      </c>
      <c r="BQ123" s="473">
        <v>45228.90625</v>
      </c>
      <c r="BR123" s="473">
        <v>45229</v>
      </c>
      <c r="BS123" s="473">
        <v>45229.4375</v>
      </c>
      <c r="BV123" s="481">
        <f t="shared" si="25"/>
        <v>4.1666666666278616</v>
      </c>
      <c r="BW123" s="481">
        <f t="shared" si="26"/>
        <v>23.833333333313931</v>
      </c>
      <c r="BX123" s="481">
        <f t="shared" si="27"/>
        <v>0</v>
      </c>
      <c r="BY123" s="481">
        <f t="shared" si="40"/>
        <v>29.916666666569654</v>
      </c>
      <c r="BZ123" s="482">
        <f t="shared" si="28"/>
        <v>4.5</v>
      </c>
      <c r="CA123" s="482">
        <f t="shared" si="29"/>
        <v>10.5</v>
      </c>
      <c r="CB123" s="483">
        <f t="shared" si="30"/>
        <v>3.0381944444379769</v>
      </c>
      <c r="CC123" s="483">
        <f t="shared" si="31"/>
        <v>8.7916666666642413</v>
      </c>
      <c r="CD123" s="484">
        <f t="shared" si="32"/>
        <v>0.34557661927266142</v>
      </c>
    </row>
    <row r="124" spans="1:84" s="475" customFormat="1">
      <c r="A124" s="474">
        <f t="shared" si="34"/>
        <v>45226.136111111111</v>
      </c>
      <c r="B124" s="475" t="s">
        <v>188</v>
      </c>
      <c r="C124" s="475" t="s">
        <v>82</v>
      </c>
      <c r="D124" s="475" t="s">
        <v>197</v>
      </c>
      <c r="E124" s="667" t="s">
        <v>3118</v>
      </c>
      <c r="G124" s="472">
        <v>45223.833333333336</v>
      </c>
      <c r="H124" s="472">
        <v>45223.791666666664</v>
      </c>
      <c r="I124" s="399" t="s">
        <v>1043</v>
      </c>
      <c r="J124" s="475" t="s">
        <v>192</v>
      </c>
      <c r="K124" s="475" t="s">
        <v>192</v>
      </c>
      <c r="L124" s="475" t="s">
        <v>3410</v>
      </c>
      <c r="M124" s="530"/>
      <c r="N124" s="475" t="s">
        <v>441</v>
      </c>
      <c r="O124" s="475" t="s">
        <v>1308</v>
      </c>
      <c r="P124" s="399" t="s">
        <v>82</v>
      </c>
      <c r="Q124" s="477">
        <f>2205*2.4</f>
        <v>5292</v>
      </c>
      <c r="R124" s="477">
        <f>5300+100</f>
        <v>5400</v>
      </c>
      <c r="S124" s="477">
        <v>5283</v>
      </c>
      <c r="T124" s="477"/>
      <c r="V124" s="577"/>
      <c r="W124" s="577"/>
      <c r="Z124" s="577"/>
      <c r="AA124" s="577"/>
      <c r="AC124" s="401"/>
      <c r="AD124" s="401"/>
      <c r="AE124" s="401"/>
      <c r="AR124" s="724">
        <f>S124</f>
        <v>5283</v>
      </c>
      <c r="AZ124" s="473">
        <f t="shared" si="22"/>
        <v>45222.229166666664</v>
      </c>
      <c r="BA124" s="473">
        <f t="shared" si="23"/>
        <v>45230.75</v>
      </c>
      <c r="BB124" s="479">
        <f t="shared" si="24"/>
        <v>8.5208333333357587</v>
      </c>
      <c r="BC124" s="473">
        <v>45222.229166666664</v>
      </c>
      <c r="BD124" s="473">
        <v>45224.125</v>
      </c>
      <c r="BE124" s="473">
        <v>45224.375</v>
      </c>
      <c r="BF124" s="473">
        <v>45226.136111111111</v>
      </c>
      <c r="BG124" s="473">
        <v>45227.166666666664</v>
      </c>
      <c r="BH124" s="473">
        <v>45227.225694444445</v>
      </c>
      <c r="BI124" s="473">
        <v>45228.097222222219</v>
      </c>
      <c r="BJ124" s="473">
        <f>BI124</f>
        <v>45228.097222222219</v>
      </c>
      <c r="BK124" s="518" t="s">
        <v>196</v>
      </c>
      <c r="BL124" s="518" t="s">
        <v>196</v>
      </c>
      <c r="BM124" s="518" t="s">
        <v>196</v>
      </c>
      <c r="BN124" s="473">
        <v>45229.333333333336</v>
      </c>
      <c r="BO124" s="473">
        <v>45229.5</v>
      </c>
      <c r="BP124" s="473">
        <v>45230.291666666664</v>
      </c>
      <c r="BQ124" s="473">
        <v>45230.3125</v>
      </c>
      <c r="BR124" s="473">
        <v>45230.3125</v>
      </c>
      <c r="BS124" s="473">
        <v>45230.75</v>
      </c>
      <c r="BV124" s="481">
        <f t="shared" si="25"/>
        <v>6</v>
      </c>
      <c r="BW124" s="481">
        <f t="shared" si="26"/>
        <v>24.733333333279006</v>
      </c>
      <c r="BX124" s="481">
        <f t="shared" si="27"/>
        <v>0</v>
      </c>
      <c r="BY124" s="481">
        <f t="shared" si="40"/>
        <v>29.666666666802485</v>
      </c>
      <c r="BZ124" s="482">
        <f t="shared" si="28"/>
        <v>18.999999999941792</v>
      </c>
      <c r="CA124" s="482">
        <f t="shared" si="29"/>
        <v>10.5</v>
      </c>
      <c r="CB124" s="483">
        <f t="shared" si="30"/>
        <v>3.7458333333343035</v>
      </c>
      <c r="CC124" s="483">
        <f t="shared" si="31"/>
        <v>8.5208333333357587</v>
      </c>
      <c r="CD124" s="484">
        <f t="shared" si="32"/>
        <v>0.43960880195597896</v>
      </c>
    </row>
    <row r="125" spans="1:84" s="475" customFormat="1">
      <c r="A125" s="474">
        <f t="shared" si="34"/>
        <v>45216.666666666664</v>
      </c>
      <c r="B125" s="475" t="s">
        <v>188</v>
      </c>
      <c r="C125" s="475" t="s">
        <v>84</v>
      </c>
      <c r="D125" s="475" t="s">
        <v>197</v>
      </c>
      <c r="E125" s="667" t="s">
        <v>2605</v>
      </c>
      <c r="F125" s="667"/>
      <c r="G125" s="472">
        <v>45215.458333333336</v>
      </c>
      <c r="H125" s="472">
        <v>45215.458333333336</v>
      </c>
      <c r="I125" s="667" t="s">
        <v>455</v>
      </c>
      <c r="J125" s="475" t="s">
        <v>192</v>
      </c>
      <c r="K125" s="475" t="s">
        <v>192</v>
      </c>
      <c r="L125" s="667" t="s">
        <v>3411</v>
      </c>
      <c r="M125" s="530"/>
      <c r="N125" s="475" t="s">
        <v>70</v>
      </c>
      <c r="O125" s="475" t="s">
        <v>1982</v>
      </c>
      <c r="P125" s="667" t="s">
        <v>84</v>
      </c>
      <c r="Q125" s="477">
        <f>3142*2.4</f>
        <v>7540.7999999999993</v>
      </c>
      <c r="R125" s="477">
        <f>7550+100</f>
        <v>7650</v>
      </c>
      <c r="S125" s="477">
        <v>7522</v>
      </c>
      <c r="T125" s="667"/>
      <c r="U125" s="667"/>
      <c r="V125" s="667"/>
      <c r="W125" s="667"/>
      <c r="X125" s="667"/>
      <c r="Z125" s="667"/>
      <c r="AA125" s="667"/>
      <c r="AD125" s="575"/>
      <c r="AE125" s="575"/>
      <c r="AF125" s="575"/>
      <c r="AG125" s="575"/>
      <c r="AH125" s="575"/>
      <c r="AI125" s="575"/>
      <c r="AM125" s="726">
        <f>S125</f>
        <v>7522</v>
      </c>
      <c r="AZ125" s="473">
        <f t="shared" si="22"/>
        <v>45212.854166666664</v>
      </c>
      <c r="BA125" s="473">
        <f t="shared" si="23"/>
        <v>45221.069444444445</v>
      </c>
      <c r="BB125" s="479">
        <f t="shared" si="24"/>
        <v>8.2152777777810115</v>
      </c>
      <c r="BC125" s="473">
        <v>45212.854166666664</v>
      </c>
      <c r="BD125" s="473">
        <v>45214.020833333336</v>
      </c>
      <c r="BE125" s="473">
        <v>45214.604166666664</v>
      </c>
      <c r="BF125" s="473">
        <v>45216.666666666664</v>
      </c>
      <c r="BG125" s="473">
        <v>45216.847222222219</v>
      </c>
      <c r="BH125" s="473">
        <v>45216.868055555555</v>
      </c>
      <c r="BI125" s="473">
        <v>45217.25</v>
      </c>
      <c r="BJ125" s="473">
        <v>45217.25</v>
      </c>
      <c r="BK125" s="518" t="s">
        <v>196</v>
      </c>
      <c r="BL125" s="518" t="s">
        <v>196</v>
      </c>
      <c r="BM125" s="518" t="s">
        <v>196</v>
      </c>
      <c r="BN125" s="473">
        <v>45219.541666666664</v>
      </c>
      <c r="BO125" s="473">
        <v>45219.788194444445</v>
      </c>
      <c r="BP125" s="473">
        <v>45220.201388888891</v>
      </c>
      <c r="BQ125" s="473">
        <v>45220.21875</v>
      </c>
      <c r="BR125" s="473">
        <v>45220.763888888891</v>
      </c>
      <c r="BS125" s="473">
        <v>45221.069444444445</v>
      </c>
      <c r="BV125" s="481">
        <f t="shared" si="25"/>
        <v>13.999999999883585</v>
      </c>
      <c r="BW125" s="481">
        <f t="shared" si="26"/>
        <v>4.3333333333139308</v>
      </c>
      <c r="BX125" s="481">
        <f t="shared" si="27"/>
        <v>0</v>
      </c>
      <c r="BY125" s="481">
        <f t="shared" si="40"/>
        <v>54.999999999941792</v>
      </c>
      <c r="BZ125" s="482">
        <f t="shared" si="28"/>
        <v>9.9166666666860692</v>
      </c>
      <c r="CA125" s="482">
        <f t="shared" si="29"/>
        <v>7.3333333333139308</v>
      </c>
      <c r="CB125" s="483">
        <f t="shared" si="30"/>
        <v>3.7743055555474712</v>
      </c>
      <c r="CC125" s="483">
        <f t="shared" si="31"/>
        <v>8.2152777777810115</v>
      </c>
      <c r="CD125" s="484">
        <f t="shared" si="32"/>
        <v>0.45942519019325606</v>
      </c>
    </row>
    <row r="126" spans="1:84" s="475" customFormat="1">
      <c r="A126" s="474">
        <f t="shared" si="34"/>
        <v>45217.8125</v>
      </c>
      <c r="B126" s="475" t="s">
        <v>188</v>
      </c>
      <c r="C126" s="475" t="s">
        <v>84</v>
      </c>
      <c r="D126" s="475" t="s">
        <v>197</v>
      </c>
      <c r="E126" s="667" t="s">
        <v>1445</v>
      </c>
      <c r="G126" s="472">
        <v>45220.458333333336</v>
      </c>
      <c r="H126" s="472">
        <v>45220.4375</v>
      </c>
      <c r="I126" s="667" t="s">
        <v>458</v>
      </c>
      <c r="J126" s="475" t="s">
        <v>192</v>
      </c>
      <c r="K126" s="475" t="s">
        <v>192</v>
      </c>
      <c r="L126" s="667" t="s">
        <v>3412</v>
      </c>
      <c r="M126" s="530"/>
      <c r="N126" s="475" t="s">
        <v>339</v>
      </c>
      <c r="O126" s="475" t="s">
        <v>506</v>
      </c>
      <c r="P126" s="667" t="s">
        <v>84</v>
      </c>
      <c r="Q126" s="477">
        <f>3071*2.4</f>
        <v>7370.4</v>
      </c>
      <c r="R126" s="477">
        <f>7400+100</f>
        <v>7500</v>
      </c>
      <c r="S126" s="477">
        <v>7543</v>
      </c>
      <c r="T126" s="667"/>
      <c r="U126" s="667"/>
      <c r="V126" s="667"/>
      <c r="W126" s="667"/>
      <c r="X126" s="581"/>
      <c r="Z126" s="581"/>
      <c r="AA126" s="581"/>
      <c r="AB126" s="577"/>
      <c r="AC126" s="577"/>
      <c r="AD126" s="577"/>
      <c r="AM126" s="580">
        <f>S126</f>
        <v>7543</v>
      </c>
      <c r="AZ126" s="473">
        <f t="shared" si="22"/>
        <v>45215.364583333336</v>
      </c>
      <c r="BA126" s="473">
        <f t="shared" si="23"/>
        <v>45222.708333333336</v>
      </c>
      <c r="BB126" s="479">
        <f t="shared" si="24"/>
        <v>7.34375</v>
      </c>
      <c r="BC126" s="473">
        <v>45215.364583333336</v>
      </c>
      <c r="BD126" s="473">
        <v>45216.743055555555</v>
      </c>
      <c r="BE126" s="473">
        <v>45217.5</v>
      </c>
      <c r="BF126" s="473">
        <v>45217.8125</v>
      </c>
      <c r="BG126" s="473">
        <v>45217.989583333336</v>
      </c>
      <c r="BH126" s="473">
        <v>45218.003472222219</v>
      </c>
      <c r="BI126" s="473">
        <v>45218.798611111109</v>
      </c>
      <c r="BJ126" s="473">
        <v>45218.798611111109</v>
      </c>
      <c r="BK126" s="518" t="s">
        <v>196</v>
      </c>
      <c r="BL126" s="518" t="s">
        <v>196</v>
      </c>
      <c r="BM126" s="518" t="s">
        <v>196</v>
      </c>
      <c r="BN126" s="473">
        <v>45220.291666666664</v>
      </c>
      <c r="BO126" s="473">
        <v>45222.052083333336</v>
      </c>
      <c r="BP126" s="473">
        <v>45222.381944444445</v>
      </c>
      <c r="BQ126" s="473">
        <v>45222.402777777781</v>
      </c>
      <c r="BR126" s="473">
        <v>45222.402777777781</v>
      </c>
      <c r="BS126" s="473">
        <v>45222.708333333336</v>
      </c>
      <c r="BV126" s="481">
        <f t="shared" si="25"/>
        <v>18.166666666686069</v>
      </c>
      <c r="BW126" s="481">
        <f t="shared" si="26"/>
        <v>4.2500000000582077</v>
      </c>
      <c r="BX126" s="481">
        <f t="shared" si="27"/>
        <v>0</v>
      </c>
      <c r="BY126" s="481">
        <f t="shared" si="40"/>
        <v>35.833333333313931</v>
      </c>
      <c r="BZ126" s="482">
        <f t="shared" si="28"/>
        <v>7.9166666666278616</v>
      </c>
      <c r="CA126" s="482">
        <f t="shared" si="29"/>
        <v>7.3333333333139308</v>
      </c>
      <c r="CB126" s="483">
        <f t="shared" si="30"/>
        <v>3.0625</v>
      </c>
      <c r="CC126" s="483">
        <f t="shared" si="31"/>
        <v>7.34375</v>
      </c>
      <c r="CD126" s="484">
        <f t="shared" si="32"/>
        <v>0.41702127659574467</v>
      </c>
    </row>
    <row r="127" spans="1:84" s="475" customFormat="1">
      <c r="A127" s="474">
        <f t="shared" si="34"/>
        <v>45215.479166666664</v>
      </c>
      <c r="B127" s="475" t="s">
        <v>188</v>
      </c>
      <c r="C127" s="475" t="s">
        <v>2747</v>
      </c>
      <c r="D127" s="475" t="s">
        <v>197</v>
      </c>
      <c r="E127" s="667" t="s">
        <v>2830</v>
      </c>
      <c r="F127" s="667"/>
      <c r="G127" s="473">
        <v>45218.166666666664</v>
      </c>
      <c r="H127" s="473">
        <v>45218.3</v>
      </c>
      <c r="I127" s="667" t="s">
        <v>3413</v>
      </c>
      <c r="J127" s="475" t="s">
        <v>192</v>
      </c>
      <c r="K127" s="475" t="s">
        <v>192</v>
      </c>
      <c r="L127" s="667" t="s">
        <v>3414</v>
      </c>
      <c r="M127" s="530"/>
      <c r="N127" s="475" t="s">
        <v>249</v>
      </c>
      <c r="O127" s="475" t="s">
        <v>2315</v>
      </c>
      <c r="P127" s="399" t="s">
        <v>2747</v>
      </c>
      <c r="Q127" s="477">
        <f>3139*2.4</f>
        <v>7533.5999999999995</v>
      </c>
      <c r="R127" s="477">
        <f>7550+100</f>
        <v>7650</v>
      </c>
      <c r="S127" s="477">
        <v>7510.009</v>
      </c>
      <c r="T127" s="667"/>
      <c r="U127" s="667"/>
      <c r="V127" s="667"/>
      <c r="W127" s="667"/>
      <c r="X127" s="667"/>
      <c r="Y127" s="667"/>
      <c r="Z127" s="667"/>
      <c r="AA127" s="667"/>
      <c r="AX127" s="724">
        <f>S127</f>
        <v>7510.009</v>
      </c>
      <c r="AY127" s="724"/>
      <c r="AZ127" s="473">
        <f t="shared" si="22"/>
        <v>45211.8125</v>
      </c>
      <c r="BA127" s="473">
        <f t="shared" si="23"/>
        <v>45224.791666666664</v>
      </c>
      <c r="BB127" s="479">
        <f t="shared" si="24"/>
        <v>12.979166666664241</v>
      </c>
      <c r="BC127" s="473">
        <v>45211.8125</v>
      </c>
      <c r="BD127" s="473">
        <v>45212.4375</v>
      </c>
      <c r="BE127" s="473">
        <v>45213.625</v>
      </c>
      <c r="BF127" s="473">
        <v>45215.479166666664</v>
      </c>
      <c r="BG127" s="473">
        <v>45218.958333333336</v>
      </c>
      <c r="BH127" s="473">
        <v>45219.708333333336</v>
      </c>
      <c r="BI127" s="473">
        <v>45219.715277777781</v>
      </c>
      <c r="BJ127" s="473">
        <v>45219.715277777781</v>
      </c>
      <c r="BK127" s="518" t="s">
        <v>196</v>
      </c>
      <c r="BL127" s="518" t="s">
        <v>196</v>
      </c>
      <c r="BM127" s="518" t="s">
        <v>196</v>
      </c>
      <c r="BN127" s="473">
        <v>45221.274305555555</v>
      </c>
      <c r="BO127" s="473">
        <v>45222.659722222219</v>
      </c>
      <c r="BP127" s="473">
        <v>45224.201388888883</v>
      </c>
      <c r="BQ127" s="473">
        <v>45224.225694444445</v>
      </c>
      <c r="BR127" s="473">
        <v>45224.229166666664</v>
      </c>
      <c r="BS127" s="473">
        <v>45224.791666666664</v>
      </c>
      <c r="BV127" s="481">
        <f t="shared" si="25"/>
        <v>28.5</v>
      </c>
      <c r="BW127" s="481">
        <f t="shared" si="26"/>
        <v>83.500000000116415</v>
      </c>
      <c r="BX127" s="481">
        <f t="shared" si="27"/>
        <v>0</v>
      </c>
      <c r="BY127" s="481">
        <f t="shared" si="40"/>
        <v>37.416666666569654</v>
      </c>
      <c r="BZ127" s="482">
        <f t="shared" si="28"/>
        <v>36.999999999941792</v>
      </c>
      <c r="CA127" s="482">
        <f t="shared" si="29"/>
        <v>13.5</v>
      </c>
      <c r="CB127" s="483">
        <f t="shared" si="30"/>
        <v>8.3298611111094942</v>
      </c>
      <c r="CC127" s="483">
        <f t="shared" si="31"/>
        <v>12.979166666664241</v>
      </c>
      <c r="CD127" s="484">
        <f t="shared" si="32"/>
        <v>0.64178705189940677</v>
      </c>
    </row>
    <row r="128" spans="1:84" s="475" customFormat="1">
      <c r="A128" s="474">
        <f t="shared" si="34"/>
        <v>45202.819444444445</v>
      </c>
      <c r="B128" s="475" t="s">
        <v>188</v>
      </c>
      <c r="C128" s="475" t="s">
        <v>76</v>
      </c>
      <c r="D128" s="475" t="s">
        <v>215</v>
      </c>
      <c r="E128" s="667" t="s">
        <v>3415</v>
      </c>
      <c r="G128" s="472">
        <v>45221.308333333334</v>
      </c>
      <c r="H128" s="472">
        <v>45221.308333333334</v>
      </c>
      <c r="I128" s="475" t="s">
        <v>464</v>
      </c>
      <c r="J128" s="475" t="s">
        <v>192</v>
      </c>
      <c r="K128" s="475" t="s">
        <v>192</v>
      </c>
      <c r="L128" s="475" t="s">
        <v>3416</v>
      </c>
      <c r="M128" s="530"/>
      <c r="N128" s="475" t="s">
        <v>1972</v>
      </c>
      <c r="O128" s="475" t="s">
        <v>1973</v>
      </c>
      <c r="P128" s="399" t="s">
        <v>76</v>
      </c>
      <c r="Q128" s="477">
        <f>3107*2.4</f>
        <v>7456.7999999999993</v>
      </c>
      <c r="R128" s="477">
        <f>7500+100</f>
        <v>7600</v>
      </c>
      <c r="S128" s="477">
        <v>7500</v>
      </c>
      <c r="T128" s="477"/>
      <c r="U128" s="577"/>
      <c r="W128" s="577"/>
      <c r="Z128" s="577"/>
      <c r="AA128" s="577"/>
      <c r="AB128" s="401"/>
      <c r="AC128" s="401"/>
      <c r="AD128" s="401"/>
      <c r="AE128" s="401"/>
      <c r="AF128" s="401"/>
      <c r="AG128" s="401"/>
      <c r="AH128" s="401"/>
      <c r="AI128" s="401"/>
      <c r="AJ128" s="401"/>
      <c r="AK128" s="401"/>
      <c r="AL128" s="724">
        <f>S128</f>
        <v>7500</v>
      </c>
      <c r="AM128" s="401"/>
      <c r="AN128" s="401"/>
      <c r="AO128" s="401"/>
      <c r="AP128" s="401"/>
      <c r="AQ128" s="401"/>
      <c r="AR128" s="401"/>
      <c r="AS128" s="401"/>
      <c r="AT128" s="401"/>
      <c r="AU128" s="401"/>
      <c r="AZ128" s="473">
        <f t="shared" si="22"/>
        <v>45194.895833333336</v>
      </c>
      <c r="BA128" s="473">
        <f t="shared" si="23"/>
        <v>45218.027777777781</v>
      </c>
      <c r="BB128" s="479">
        <f t="shared" si="24"/>
        <v>23.131944444445253</v>
      </c>
      <c r="BC128" s="473">
        <v>45194.895833333336</v>
      </c>
      <c r="BD128" s="473">
        <v>45196.923611111109</v>
      </c>
      <c r="BE128" s="473">
        <v>45197.333333333336</v>
      </c>
      <c r="BF128" s="473">
        <v>45202.819444444445</v>
      </c>
      <c r="BG128" s="473">
        <v>45203.229166666664</v>
      </c>
      <c r="BH128" s="473">
        <v>45203.253472222219</v>
      </c>
      <c r="BI128" s="473">
        <v>45203.253472222219</v>
      </c>
      <c r="BJ128" s="473">
        <f>BI128+(10/24)</f>
        <v>45203.670138888883</v>
      </c>
      <c r="BK128" s="473">
        <v>45213.25</v>
      </c>
      <c r="BL128" s="473">
        <v>45213.416666666664</v>
      </c>
      <c r="BM128" s="473">
        <v>45213.399305555555</v>
      </c>
      <c r="BN128" s="473">
        <v>45215.090277777781</v>
      </c>
      <c r="BO128" s="473">
        <v>45216.975694444445</v>
      </c>
      <c r="BP128" s="473">
        <v>45217.197916666664</v>
      </c>
      <c r="BQ128" s="473">
        <v>45217.21875</v>
      </c>
      <c r="BR128" s="473">
        <v>45217.663194444445</v>
      </c>
      <c r="BS128" s="473">
        <v>45218.027777777781</v>
      </c>
      <c r="BV128" s="481">
        <f t="shared" si="25"/>
        <v>9.8333333334303461</v>
      </c>
      <c r="BW128" s="481">
        <f t="shared" si="26"/>
        <v>9.8333333332557231</v>
      </c>
      <c r="BX128" s="481">
        <f t="shared" si="27"/>
        <v>9.9999999999417923</v>
      </c>
      <c r="BY128" s="481">
        <f t="shared" ref="BY128:BY142" si="41">(BN128-BL128)*24</f>
        <v>40.166666666802485</v>
      </c>
      <c r="BZ128" s="482">
        <f t="shared" si="28"/>
        <v>5.3333333332557231</v>
      </c>
      <c r="CA128" s="482">
        <f t="shared" si="29"/>
        <v>8.7500000000582077</v>
      </c>
      <c r="CB128" s="483">
        <f t="shared" si="30"/>
        <v>3.4965277777810115</v>
      </c>
      <c r="CC128" s="483">
        <f t="shared" si="31"/>
        <v>23.131944444445253</v>
      </c>
      <c r="CD128" s="484">
        <f t="shared" si="32"/>
        <v>0.15115580906648096</v>
      </c>
    </row>
    <row r="129" spans="1:84" s="475" customFormat="1">
      <c r="A129" s="474">
        <f t="shared" si="34"/>
        <v>45203.670138888891</v>
      </c>
      <c r="B129" s="475" t="s">
        <v>228</v>
      </c>
      <c r="C129" s="475" t="s">
        <v>229</v>
      </c>
      <c r="D129" s="475" t="s">
        <v>197</v>
      </c>
      <c r="E129" s="725" t="s">
        <v>2816</v>
      </c>
      <c r="F129" s="399"/>
      <c r="G129" s="472">
        <v>45199.25</v>
      </c>
      <c r="H129" s="472">
        <v>45199.25</v>
      </c>
      <c r="I129" s="667" t="s">
        <v>469</v>
      </c>
      <c r="J129" s="475" t="s">
        <v>192</v>
      </c>
      <c r="K129" s="475" t="s">
        <v>192</v>
      </c>
      <c r="L129" s="475" t="s">
        <v>3417</v>
      </c>
      <c r="M129" s="530"/>
      <c r="N129" s="475" t="s">
        <v>208</v>
      </c>
      <c r="O129" s="475" t="s">
        <v>328</v>
      </c>
      <c r="P129" s="667" t="s">
        <v>172</v>
      </c>
      <c r="Q129" s="477">
        <f>3128*2.4</f>
        <v>7507.2</v>
      </c>
      <c r="R129" s="477">
        <f>7550+100</f>
        <v>7650</v>
      </c>
      <c r="S129" s="477">
        <v>7546.5140000000001</v>
      </c>
      <c r="T129" s="477"/>
      <c r="U129" s="577"/>
      <c r="W129" s="575"/>
      <c r="Z129" s="724">
        <f t="shared" ref="Z129:Z141" si="42">S129</f>
        <v>7546.5140000000001</v>
      </c>
      <c r="AA129" s="575"/>
      <c r="AZ129" s="473">
        <f t="shared" si="22"/>
        <v>45194.003472222219</v>
      </c>
      <c r="BA129" s="473">
        <f t="shared" si="23"/>
        <v>45211.021527777775</v>
      </c>
      <c r="BB129" s="479">
        <f t="shared" si="24"/>
        <v>17.018055555556202</v>
      </c>
      <c r="BC129" s="473">
        <v>45194.003472222219</v>
      </c>
      <c r="BD129" s="473">
        <v>45201.583333333336</v>
      </c>
      <c r="BE129" s="473">
        <v>45203.024305555555</v>
      </c>
      <c r="BF129" s="473">
        <v>45203.670138888891</v>
      </c>
      <c r="BG129" s="473">
        <v>45203.930555555555</v>
      </c>
      <c r="BH129" s="473">
        <v>45203.940972222219</v>
      </c>
      <c r="BI129" s="473">
        <v>45203.940972222219</v>
      </c>
      <c r="BJ129" s="473">
        <f t="shared" ref="BJ129:BJ141" si="43">BI129+(41/24)</f>
        <v>45205.649305555555</v>
      </c>
      <c r="BK129" s="485">
        <v>45206.25</v>
      </c>
      <c r="BL129" s="485">
        <v>45206.416666608799</v>
      </c>
      <c r="BM129" s="473">
        <v>45206.336805555555</v>
      </c>
      <c r="BN129" s="473">
        <v>45207.8125</v>
      </c>
      <c r="BO129" s="473">
        <v>45210.309027777781</v>
      </c>
      <c r="BP129" s="473">
        <v>45210.645833333336</v>
      </c>
      <c r="BQ129" s="473">
        <v>45210.652777777781</v>
      </c>
      <c r="BR129" s="473">
        <v>45210.666666666664</v>
      </c>
      <c r="BS129" s="473">
        <v>45211.021527777775</v>
      </c>
      <c r="BV129" s="481">
        <f t="shared" si="25"/>
        <v>34.583333333255723</v>
      </c>
      <c r="BW129" s="481">
        <f t="shared" si="26"/>
        <v>6.2499999999417923</v>
      </c>
      <c r="BX129" s="481">
        <f t="shared" si="27"/>
        <v>41.000000000058208</v>
      </c>
      <c r="BY129" s="481">
        <f t="shared" si="41"/>
        <v>33.500001388834789</v>
      </c>
      <c r="BZ129" s="482">
        <f t="shared" si="28"/>
        <v>8.0833333333139308</v>
      </c>
      <c r="CA129" s="482">
        <f t="shared" si="29"/>
        <v>8.5166666666627862</v>
      </c>
      <c r="CB129" s="483">
        <f t="shared" si="30"/>
        <v>5.4972222800861346</v>
      </c>
      <c r="CC129" s="483">
        <f t="shared" si="31"/>
        <v>17.018055555556202</v>
      </c>
      <c r="CD129" s="484">
        <f t="shared" si="32"/>
        <v>0.32302293655936232</v>
      </c>
    </row>
    <row r="130" spans="1:84" s="475" customFormat="1">
      <c r="A130" s="474">
        <f t="shared" si="34"/>
        <v>45206.475694444445</v>
      </c>
      <c r="B130" s="475" t="s">
        <v>228</v>
      </c>
      <c r="C130" s="475" t="s">
        <v>229</v>
      </c>
      <c r="D130" s="475" t="s">
        <v>197</v>
      </c>
      <c r="E130" s="725" t="s">
        <v>2826</v>
      </c>
      <c r="F130" s="667"/>
      <c r="G130" s="472">
        <v>45207.000694444447</v>
      </c>
      <c r="H130" s="472">
        <v>45207.004166666666</v>
      </c>
      <c r="I130" s="667" t="s">
        <v>469</v>
      </c>
      <c r="J130" s="475" t="s">
        <v>192</v>
      </c>
      <c r="K130" s="475" t="s">
        <v>192</v>
      </c>
      <c r="L130" s="475" t="s">
        <v>3418</v>
      </c>
      <c r="M130" s="530"/>
      <c r="N130" s="475" t="s">
        <v>406</v>
      </c>
      <c r="O130" s="475" t="s">
        <v>407</v>
      </c>
      <c r="P130" s="667" t="s">
        <v>172</v>
      </c>
      <c r="Q130" s="477">
        <f>3107*2.4</f>
        <v>7456.7999999999993</v>
      </c>
      <c r="R130" s="477">
        <f>7500+100</f>
        <v>7600</v>
      </c>
      <c r="S130" s="477">
        <v>7037.4679999999998</v>
      </c>
      <c r="T130" s="477"/>
      <c r="U130" s="577"/>
      <c r="V130" s="577"/>
      <c r="W130" s="668"/>
      <c r="Y130" s="577"/>
      <c r="Z130" s="724">
        <f t="shared" si="42"/>
        <v>7037.4679999999998</v>
      </c>
      <c r="AA130" s="575"/>
      <c r="AZ130" s="473">
        <f t="shared" si="22"/>
        <v>45195.350694444445</v>
      </c>
      <c r="BA130" s="473">
        <f t="shared" si="23"/>
        <v>45216.878472222219</v>
      </c>
      <c r="BB130" s="479">
        <f t="shared" si="24"/>
        <v>21.527777777773736</v>
      </c>
      <c r="BC130" s="473">
        <v>45195.350694444445</v>
      </c>
      <c r="BD130" s="473">
        <v>45201.826388888891</v>
      </c>
      <c r="BE130" s="473">
        <v>45203.034722222219</v>
      </c>
      <c r="BF130" s="473">
        <v>45206.475694444445</v>
      </c>
      <c r="BG130" s="473">
        <v>45206.652777777781</v>
      </c>
      <c r="BH130" s="473">
        <v>45206.659722222219</v>
      </c>
      <c r="BI130" s="473">
        <v>45206.659722222219</v>
      </c>
      <c r="BJ130" s="473">
        <f t="shared" si="43"/>
        <v>45208.368055555555</v>
      </c>
      <c r="BK130" s="480">
        <v>45209.583333333336</v>
      </c>
      <c r="BL130" s="480">
        <v>45209.75</v>
      </c>
      <c r="BM130" s="480">
        <v>45209.607638888891</v>
      </c>
      <c r="BN130" s="473">
        <v>45211.013888888891</v>
      </c>
      <c r="BO130" s="473">
        <v>45215.979166666664</v>
      </c>
      <c r="BP130" s="473">
        <v>45216.256944444445</v>
      </c>
      <c r="BQ130" s="473">
        <v>45216.270833333336</v>
      </c>
      <c r="BR130" s="473">
        <v>45216.520833333336</v>
      </c>
      <c r="BS130" s="473">
        <v>45216.878472222219</v>
      </c>
      <c r="BV130" s="481">
        <f t="shared" si="25"/>
        <v>28.999999999883585</v>
      </c>
      <c r="BW130" s="481">
        <f t="shared" si="26"/>
        <v>4.2500000000582077</v>
      </c>
      <c r="BX130" s="481">
        <f t="shared" si="27"/>
        <v>41.000000000058208</v>
      </c>
      <c r="BY130" s="481">
        <f t="shared" si="41"/>
        <v>30.333333333372138</v>
      </c>
      <c r="BZ130" s="482">
        <f t="shared" si="28"/>
        <v>6.6666666667442769</v>
      </c>
      <c r="CA130" s="482">
        <f t="shared" si="29"/>
        <v>8.5833333331975155</v>
      </c>
      <c r="CB130" s="483">
        <f t="shared" si="30"/>
        <v>4.9930555555547471</v>
      </c>
      <c r="CC130" s="483">
        <f t="shared" si="31"/>
        <v>21.527777777773736</v>
      </c>
      <c r="CD130" s="484">
        <f t="shared" si="32"/>
        <v>0.23193548387097374</v>
      </c>
    </row>
    <row r="131" spans="1:84" s="475" customFormat="1">
      <c r="A131" s="474">
        <f t="shared" si="34"/>
        <v>45207.451388888891</v>
      </c>
      <c r="B131" s="475" t="s">
        <v>228</v>
      </c>
      <c r="C131" s="475" t="s">
        <v>229</v>
      </c>
      <c r="D131" s="475" t="s">
        <v>197</v>
      </c>
      <c r="E131" s="725" t="s">
        <v>3090</v>
      </c>
      <c r="F131" s="399"/>
      <c r="G131" s="472">
        <v>45196.333333333336</v>
      </c>
      <c r="H131" s="472">
        <v>45196.212500000001</v>
      </c>
      <c r="I131" s="667" t="s">
        <v>469</v>
      </c>
      <c r="J131" s="475" t="s">
        <v>192</v>
      </c>
      <c r="K131" s="475" t="s">
        <v>192</v>
      </c>
      <c r="L131" s="475" t="s">
        <v>3419</v>
      </c>
      <c r="M131" s="530"/>
      <c r="N131" s="475" t="s">
        <v>361</v>
      </c>
      <c r="O131" s="475" t="s">
        <v>362</v>
      </c>
      <c r="P131" s="667" t="s">
        <v>172</v>
      </c>
      <c r="Q131" s="477">
        <f>3117*2.4</f>
        <v>7480.7999999999993</v>
      </c>
      <c r="R131" s="477">
        <f>7500+100</f>
        <v>7600</v>
      </c>
      <c r="S131" s="477">
        <v>5550.3919999999998</v>
      </c>
      <c r="T131" s="477"/>
      <c r="V131" s="575"/>
      <c r="W131" s="575"/>
      <c r="X131" s="575"/>
      <c r="Y131" s="575"/>
      <c r="Z131" s="726">
        <f t="shared" si="42"/>
        <v>5550.3919999999998</v>
      </c>
      <c r="AA131" s="575"/>
      <c r="AZ131" s="473">
        <f t="shared" si="22"/>
        <v>45193.125</v>
      </c>
      <c r="BA131" s="473">
        <f t="shared" si="23"/>
        <v>45216.375</v>
      </c>
      <c r="BB131" s="479">
        <f t="shared" si="24"/>
        <v>23.25</v>
      </c>
      <c r="BC131" s="473">
        <v>45193.125</v>
      </c>
      <c r="BD131" s="473">
        <v>45201.569444444445</v>
      </c>
      <c r="BE131" s="473">
        <v>45203.3125</v>
      </c>
      <c r="BF131" s="473">
        <v>45207.451388888891</v>
      </c>
      <c r="BG131" s="473">
        <v>45207.583333333336</v>
      </c>
      <c r="BH131" s="473">
        <v>45207.423611111109</v>
      </c>
      <c r="BI131" s="473">
        <v>45207.423611111109</v>
      </c>
      <c r="BJ131" s="473">
        <f t="shared" si="43"/>
        <v>45209.131944444445</v>
      </c>
      <c r="BK131" s="480">
        <v>45209.583333333336</v>
      </c>
      <c r="BL131" s="480">
        <v>45209.75</v>
      </c>
      <c r="BM131" s="480">
        <v>45209.59375</v>
      </c>
      <c r="BN131" s="473">
        <v>45211.479166666664</v>
      </c>
      <c r="BO131" s="473">
        <v>45215.197916666664</v>
      </c>
      <c r="BP131" s="473">
        <v>45215.399305555555</v>
      </c>
      <c r="BQ131" s="473">
        <v>45215.420138888891</v>
      </c>
      <c r="BR131" s="473">
        <v>45215.916666666664</v>
      </c>
      <c r="BS131" s="473">
        <v>45216.375</v>
      </c>
      <c r="BV131" s="481">
        <f t="shared" si="25"/>
        <v>41.833333333313931</v>
      </c>
      <c r="BW131" s="481">
        <f t="shared" si="26"/>
        <v>3.1666666666860692</v>
      </c>
      <c r="BX131" s="481">
        <f t="shared" si="27"/>
        <v>41.000000000058208</v>
      </c>
      <c r="BY131" s="481">
        <f t="shared" si="41"/>
        <v>41.499999999941792</v>
      </c>
      <c r="BZ131" s="482">
        <f t="shared" si="28"/>
        <v>4.8333333333721384</v>
      </c>
      <c r="CA131" s="482">
        <f t="shared" si="29"/>
        <v>11.000000000058208</v>
      </c>
      <c r="CB131" s="483">
        <f t="shared" si="30"/>
        <v>5.9722222222262644</v>
      </c>
      <c r="CC131" s="483">
        <f t="shared" si="31"/>
        <v>23.25</v>
      </c>
      <c r="CD131" s="484">
        <f t="shared" si="32"/>
        <v>0.25686977299897912</v>
      </c>
    </row>
    <row r="132" spans="1:84" s="475" customFormat="1">
      <c r="A132" s="521">
        <f t="shared" si="34"/>
        <v>45211.447916666664</v>
      </c>
      <c r="B132" s="369" t="s">
        <v>228</v>
      </c>
      <c r="C132" s="369" t="s">
        <v>229</v>
      </c>
      <c r="D132" s="369" t="s">
        <v>197</v>
      </c>
      <c r="E132" s="661" t="s">
        <v>3104</v>
      </c>
      <c r="F132" s="369"/>
      <c r="G132" s="492">
        <v>45192.333333333336</v>
      </c>
      <c r="H132" s="492">
        <v>45192.347222222219</v>
      </c>
      <c r="I132" s="661" t="s">
        <v>471</v>
      </c>
      <c r="J132" s="369" t="s">
        <v>192</v>
      </c>
      <c r="K132" s="369" t="s">
        <v>192</v>
      </c>
      <c r="L132" s="369" t="s">
        <v>3420</v>
      </c>
      <c r="M132" s="529"/>
      <c r="N132" s="369" t="s">
        <v>263</v>
      </c>
      <c r="O132" s="369" t="s">
        <v>264</v>
      </c>
      <c r="P132" s="661" t="s">
        <v>172</v>
      </c>
      <c r="Q132" s="520">
        <f>3136*2.4</f>
        <v>7526.4</v>
      </c>
      <c r="R132" s="520">
        <f>7550+100</f>
        <v>7650</v>
      </c>
      <c r="S132" s="520">
        <v>7577.3869999999997</v>
      </c>
      <c r="T132" s="520"/>
      <c r="U132" s="759"/>
      <c r="V132" s="759"/>
      <c r="W132" s="759"/>
      <c r="X132" s="369"/>
      <c r="Y132" s="369"/>
      <c r="Z132" s="677">
        <f t="shared" si="42"/>
        <v>7577.3869999999997</v>
      </c>
      <c r="AA132" s="759"/>
      <c r="AB132" s="369"/>
      <c r="AC132" s="369"/>
      <c r="AD132" s="369"/>
      <c r="AE132" s="369"/>
      <c r="AF132" s="369"/>
      <c r="AG132" s="369"/>
      <c r="AH132" s="369"/>
      <c r="AI132" s="369"/>
      <c r="AJ132" s="369"/>
      <c r="AK132" s="369"/>
      <c r="AL132" s="369"/>
      <c r="AM132" s="369"/>
      <c r="AN132" s="369"/>
      <c r="AO132" s="369"/>
      <c r="AP132" s="369"/>
      <c r="AQ132" s="369"/>
      <c r="AR132" s="369"/>
      <c r="AS132" s="369"/>
      <c r="AT132" s="369"/>
      <c r="AU132" s="369"/>
      <c r="AV132" s="369"/>
      <c r="AW132" s="369"/>
      <c r="AX132" s="369"/>
      <c r="AY132" s="369"/>
      <c r="AZ132" s="522">
        <f t="shared" ref="AZ132:AZ174" si="44">BC132</f>
        <v>45206.347222222219</v>
      </c>
      <c r="BA132" s="522">
        <f t="shared" ref="BA132:BA174" si="45">BS132</f>
        <v>45218.420138888891</v>
      </c>
      <c r="BB132" s="523">
        <f t="shared" ref="BB132:BB174" si="46">BA132-AZ132</f>
        <v>12.072916666671517</v>
      </c>
      <c r="BC132" s="522">
        <v>45206.347222222219</v>
      </c>
      <c r="BD132" s="522">
        <v>45208.798611111109</v>
      </c>
      <c r="BE132" s="522">
        <v>45210.416666666664</v>
      </c>
      <c r="BF132" s="522">
        <v>45211.447916666664</v>
      </c>
      <c r="BG132" s="522">
        <v>45211.638888888891</v>
      </c>
      <c r="BH132" s="522">
        <v>45211.645833333336</v>
      </c>
      <c r="BI132" s="522">
        <v>45211.645833333336</v>
      </c>
      <c r="BJ132" s="522">
        <f t="shared" si="43"/>
        <v>45213.354166666672</v>
      </c>
      <c r="BK132" s="522">
        <v>45213.25</v>
      </c>
      <c r="BL132" s="522">
        <v>45213.416666666664</v>
      </c>
      <c r="BM132" s="522">
        <v>45213.3125</v>
      </c>
      <c r="BN132" s="522">
        <v>45214.458333333336</v>
      </c>
      <c r="BO132" s="522">
        <v>45217.871527777774</v>
      </c>
      <c r="BP132" s="522">
        <v>45218.138888888891</v>
      </c>
      <c r="BQ132" s="522">
        <v>45218.159722222219</v>
      </c>
      <c r="BR132" s="522">
        <v>45218.180555555555</v>
      </c>
      <c r="BS132" s="522">
        <v>45218.420138888891</v>
      </c>
      <c r="BT132" s="369"/>
      <c r="BU132" s="369"/>
      <c r="BV132" s="525">
        <f t="shared" ref="BV132:BV174" si="47">(BE132-BD132)*24</f>
        <v>38.833333333313931</v>
      </c>
      <c r="BW132" s="525">
        <f t="shared" ref="BW132:BW174" si="48">(BG132-BF132)*24</f>
        <v>4.5833333334303461</v>
      </c>
      <c r="BX132" s="525">
        <f t="shared" ref="BX132:BX174" si="49">(BJ132-BI132)*24</f>
        <v>41.000000000058208</v>
      </c>
      <c r="BY132" s="525">
        <f t="shared" si="41"/>
        <v>25.000000000116415</v>
      </c>
      <c r="BZ132" s="526">
        <f t="shared" ref="BZ132:BZ174" si="50">(BP132-BO132)*24</f>
        <v>6.4166666668024845</v>
      </c>
      <c r="CA132" s="526">
        <f t="shared" ref="CA132:CA174" si="51">(BS132-BR132)*24</f>
        <v>5.7500000000582077</v>
      </c>
      <c r="CB132" s="304">
        <f t="shared" ref="CB132:CB174" si="52">SUM(BV132:CA132)/24</f>
        <v>5.0659722222408163</v>
      </c>
      <c r="CC132" s="304">
        <f t="shared" ref="CC132:CC174" si="53">BB132</f>
        <v>12.072916666671517</v>
      </c>
      <c r="CD132" s="305">
        <f t="shared" ref="CD132:CD174" si="54">CB132/CC132</f>
        <v>0.41961461029760394</v>
      </c>
      <c r="CE132" s="369"/>
      <c r="CF132" s="369"/>
    </row>
    <row r="133" spans="1:84" s="475" customFormat="1">
      <c r="A133" s="474">
        <f t="shared" si="34"/>
        <v>45213.720138888886</v>
      </c>
      <c r="B133" s="475" t="s">
        <v>228</v>
      </c>
      <c r="C133" s="475" t="s">
        <v>229</v>
      </c>
      <c r="D133" s="475" t="s">
        <v>197</v>
      </c>
      <c r="E133" s="476" t="s">
        <v>2830</v>
      </c>
      <c r="G133" s="473">
        <v>45218.166666666664</v>
      </c>
      <c r="H133" s="473">
        <v>45218.3</v>
      </c>
      <c r="I133" s="667" t="s">
        <v>469</v>
      </c>
      <c r="J133" s="475" t="s">
        <v>192</v>
      </c>
      <c r="K133" s="475" t="s">
        <v>192</v>
      </c>
      <c r="L133" s="475" t="s">
        <v>3421</v>
      </c>
      <c r="M133" s="530"/>
      <c r="N133" s="475" t="s">
        <v>238</v>
      </c>
      <c r="O133" s="475" t="s">
        <v>239</v>
      </c>
      <c r="P133" s="475" t="s">
        <v>172</v>
      </c>
      <c r="Q133" s="477">
        <f>3161*2.4</f>
        <v>7586.4</v>
      </c>
      <c r="R133" s="477">
        <f>7550+100</f>
        <v>7650</v>
      </c>
      <c r="S133" s="477">
        <v>7603.3860000000004</v>
      </c>
      <c r="T133" s="477"/>
      <c r="U133" s="577"/>
      <c r="W133" s="577"/>
      <c r="X133" s="577"/>
      <c r="Y133" s="577"/>
      <c r="Z133" s="724">
        <f t="shared" si="42"/>
        <v>7603.3860000000004</v>
      </c>
      <c r="AA133" s="577"/>
      <c r="AC133" s="401"/>
      <c r="AD133" s="401"/>
      <c r="AE133" s="401"/>
      <c r="AF133" s="401"/>
      <c r="AG133" s="401"/>
      <c r="AH133" s="401"/>
      <c r="AI133" s="401"/>
      <c r="AJ133" s="401"/>
      <c r="AK133" s="401"/>
      <c r="AL133" s="401"/>
      <c r="AM133" s="401"/>
      <c r="AN133" s="401"/>
      <c r="AO133" s="401"/>
      <c r="AP133" s="401"/>
      <c r="AQ133" s="401"/>
      <c r="AR133" s="401"/>
      <c r="AS133" s="401"/>
      <c r="AT133" s="401"/>
      <c r="AU133" s="401"/>
      <c r="AZ133" s="473">
        <f t="shared" si="44"/>
        <v>45209.958333333336</v>
      </c>
      <c r="BA133" s="473">
        <f t="shared" si="45"/>
        <v>45220.041666666664</v>
      </c>
      <c r="BB133" s="479">
        <f t="shared" si="46"/>
        <v>10.083333333328483</v>
      </c>
      <c r="BC133" s="473">
        <v>45209.958333333336</v>
      </c>
      <c r="BD133" s="473">
        <v>45211.503472222219</v>
      </c>
      <c r="BE133" s="473">
        <v>45213.25</v>
      </c>
      <c r="BF133" s="473">
        <v>45213.720138888886</v>
      </c>
      <c r="BG133" s="473">
        <v>45214.010416666664</v>
      </c>
      <c r="BH133" s="473">
        <v>45214.013888888891</v>
      </c>
      <c r="BI133" s="473">
        <v>45214.013888888891</v>
      </c>
      <c r="BJ133" s="473">
        <f t="shared" si="43"/>
        <v>45215.722222222226</v>
      </c>
      <c r="BK133" s="480">
        <v>45217.25</v>
      </c>
      <c r="BL133" s="480">
        <v>45217.416666666664</v>
      </c>
      <c r="BM133" s="480">
        <v>45217.447916666664</v>
      </c>
      <c r="BN133" s="473">
        <v>45219.3125</v>
      </c>
      <c r="BO133" s="473">
        <v>45219.434027777781</v>
      </c>
      <c r="BP133" s="473">
        <v>45219.732638888891</v>
      </c>
      <c r="BQ133" s="473">
        <v>45219.743055555555</v>
      </c>
      <c r="BR133" s="473">
        <v>45219.746527777781</v>
      </c>
      <c r="BS133" s="473">
        <v>45220.041666666664</v>
      </c>
      <c r="BV133" s="481">
        <f t="shared" si="47"/>
        <v>41.916666666744277</v>
      </c>
      <c r="BW133" s="481">
        <f t="shared" si="48"/>
        <v>6.9666666666744277</v>
      </c>
      <c r="BX133" s="481">
        <f t="shared" si="49"/>
        <v>41.000000000058208</v>
      </c>
      <c r="BY133" s="481">
        <f t="shared" si="41"/>
        <v>45.500000000058208</v>
      </c>
      <c r="BZ133" s="482">
        <f t="shared" si="50"/>
        <v>7.1666666666278616</v>
      </c>
      <c r="CA133" s="482">
        <f t="shared" si="51"/>
        <v>7.0833333331975155</v>
      </c>
      <c r="CB133" s="483">
        <f t="shared" si="52"/>
        <v>6.234722222223354</v>
      </c>
      <c r="CC133" s="483">
        <f t="shared" si="53"/>
        <v>10.083333333328483</v>
      </c>
      <c r="CD133" s="484">
        <f t="shared" si="54"/>
        <v>0.61831955922905979</v>
      </c>
    </row>
    <row r="134" spans="1:84" s="475" customFormat="1">
      <c r="A134" s="474">
        <f t="shared" si="34"/>
        <v>45215.629861111112</v>
      </c>
      <c r="B134" s="475" t="s">
        <v>228</v>
      </c>
      <c r="C134" s="475" t="s">
        <v>229</v>
      </c>
      <c r="D134" s="475" t="s">
        <v>197</v>
      </c>
      <c r="E134" s="476" t="s">
        <v>2830</v>
      </c>
      <c r="G134" s="473">
        <v>45218.166666666664</v>
      </c>
      <c r="H134" s="473">
        <v>45218.3</v>
      </c>
      <c r="I134" s="667" t="s">
        <v>469</v>
      </c>
      <c r="J134" s="475" t="s">
        <v>192</v>
      </c>
      <c r="K134" s="475" t="s">
        <v>192</v>
      </c>
      <c r="L134" s="475" t="s">
        <v>3422</v>
      </c>
      <c r="M134" s="530"/>
      <c r="N134" s="475" t="s">
        <v>686</v>
      </c>
      <c r="O134" s="475" t="s">
        <v>1186</v>
      </c>
      <c r="P134" s="667" t="s">
        <v>172</v>
      </c>
      <c r="Q134" s="477">
        <f>3136*2.4</f>
        <v>7526.4</v>
      </c>
      <c r="R134" s="477">
        <f>7550+100</f>
        <v>7650</v>
      </c>
      <c r="S134" s="477">
        <v>7528.4</v>
      </c>
      <c r="T134" s="667"/>
      <c r="U134" s="577"/>
      <c r="V134" s="577"/>
      <c r="W134" s="577"/>
      <c r="X134" s="577"/>
      <c r="Z134" s="724">
        <f t="shared" si="42"/>
        <v>7528.4</v>
      </c>
      <c r="AA134" s="577"/>
      <c r="AB134" s="575"/>
      <c r="AC134" s="575"/>
      <c r="AD134" s="575"/>
      <c r="AE134" s="575"/>
      <c r="AF134" s="575"/>
      <c r="AG134" s="575"/>
      <c r="AH134" s="575"/>
      <c r="AI134" s="575"/>
      <c r="AZ134" s="473">
        <f t="shared" si="44"/>
        <v>45211.03125</v>
      </c>
      <c r="BA134" s="473">
        <f t="shared" si="45"/>
        <v>45221.416666666664</v>
      </c>
      <c r="BB134" s="479">
        <f t="shared" si="46"/>
        <v>10.385416666664241</v>
      </c>
      <c r="BC134" s="473">
        <v>45211.03125</v>
      </c>
      <c r="BD134" s="473">
        <v>45211.805555555555</v>
      </c>
      <c r="BE134" s="473">
        <v>45213.444444444445</v>
      </c>
      <c r="BF134" s="473">
        <v>45215.629861111112</v>
      </c>
      <c r="BG134" s="473">
        <v>45215.951388888891</v>
      </c>
      <c r="BH134" s="473">
        <v>45215.954861111109</v>
      </c>
      <c r="BI134" s="473">
        <v>45215.961805555555</v>
      </c>
      <c r="BJ134" s="473">
        <f t="shared" si="43"/>
        <v>45217.670138888891</v>
      </c>
      <c r="BK134" s="480">
        <v>45217.25</v>
      </c>
      <c r="BL134" s="480">
        <v>45217.416666666664</v>
      </c>
      <c r="BM134" s="518">
        <v>45217.475694444445</v>
      </c>
      <c r="BN134" s="473">
        <v>45219.458333333336</v>
      </c>
      <c r="BO134" s="473">
        <v>45220.729166666664</v>
      </c>
      <c r="BP134" s="473">
        <v>45220.989583333336</v>
      </c>
      <c r="BQ134" s="473">
        <v>45220.996527777781</v>
      </c>
      <c r="BR134" s="473">
        <v>45221</v>
      </c>
      <c r="BS134" s="473">
        <v>45221.416666666664</v>
      </c>
      <c r="BV134" s="481">
        <f t="shared" si="47"/>
        <v>39.333333333372138</v>
      </c>
      <c r="BW134" s="481">
        <f t="shared" si="48"/>
        <v>7.7166666666744277</v>
      </c>
      <c r="BX134" s="481">
        <f t="shared" si="49"/>
        <v>41.000000000058208</v>
      </c>
      <c r="BY134" s="481">
        <f t="shared" si="41"/>
        <v>49.000000000116415</v>
      </c>
      <c r="BZ134" s="482">
        <f t="shared" si="50"/>
        <v>6.2500000001164153</v>
      </c>
      <c r="CA134" s="482">
        <f t="shared" si="51"/>
        <v>9.9999999999417923</v>
      </c>
      <c r="CB134" s="483">
        <f t="shared" si="52"/>
        <v>6.3875000000116415</v>
      </c>
      <c r="CC134" s="483">
        <f t="shared" si="53"/>
        <v>10.385416666664241</v>
      </c>
      <c r="CD134" s="484">
        <f t="shared" si="54"/>
        <v>0.61504513540748329</v>
      </c>
    </row>
    <row r="135" spans="1:84" s="475" customFormat="1">
      <c r="A135" s="474">
        <f t="shared" ref="A135:A147" si="55">BF135</f>
        <v>45217.909722222219</v>
      </c>
      <c r="B135" s="475" t="s">
        <v>228</v>
      </c>
      <c r="C135" s="475" t="s">
        <v>229</v>
      </c>
      <c r="D135" s="475" t="s">
        <v>215</v>
      </c>
      <c r="E135" s="476" t="s">
        <v>1445</v>
      </c>
      <c r="G135" s="472">
        <v>45220.458333333336</v>
      </c>
      <c r="H135" s="472">
        <v>45220.4375</v>
      </c>
      <c r="I135" s="399" t="s">
        <v>471</v>
      </c>
      <c r="J135" s="475" t="s">
        <v>192</v>
      </c>
      <c r="K135" s="475" t="s">
        <v>192</v>
      </c>
      <c r="L135" s="475" t="s">
        <v>3423</v>
      </c>
      <c r="M135" s="530"/>
      <c r="N135" s="475" t="s">
        <v>252</v>
      </c>
      <c r="O135" s="475" t="s">
        <v>253</v>
      </c>
      <c r="P135" s="667" t="s">
        <v>172</v>
      </c>
      <c r="Q135" s="477">
        <f>3107*2.4</f>
        <v>7456.7999999999993</v>
      </c>
      <c r="R135" s="477">
        <f>7500+100</f>
        <v>7600</v>
      </c>
      <c r="S135" s="477">
        <v>7545.0029999999997</v>
      </c>
      <c r="T135" s="667"/>
      <c r="U135" s="667"/>
      <c r="V135" s="667"/>
      <c r="W135" s="667"/>
      <c r="X135" s="667"/>
      <c r="Y135" s="399"/>
      <c r="Z135" s="724">
        <f t="shared" si="42"/>
        <v>7545.0029999999997</v>
      </c>
      <c r="AA135" s="581"/>
      <c r="AB135" s="581"/>
      <c r="AZ135" s="473">
        <f t="shared" si="44"/>
        <v>45213.322916666672</v>
      </c>
      <c r="BA135" s="473">
        <f t="shared" si="45"/>
        <v>45224.0625</v>
      </c>
      <c r="BB135" s="479">
        <f t="shared" si="46"/>
        <v>10.739583333328483</v>
      </c>
      <c r="BC135" s="473">
        <v>45213.322916666672</v>
      </c>
      <c r="BD135" s="473">
        <v>45214.5625</v>
      </c>
      <c r="BE135" s="473">
        <v>45215.951388888891</v>
      </c>
      <c r="BF135" s="473">
        <v>45217.909722222219</v>
      </c>
      <c r="BG135" s="473">
        <v>45218.944444444445</v>
      </c>
      <c r="BH135" s="473">
        <v>45218.951388888891</v>
      </c>
      <c r="BI135" s="473">
        <v>45218.954861111109</v>
      </c>
      <c r="BJ135" s="473">
        <f t="shared" si="43"/>
        <v>45220.663194444445</v>
      </c>
      <c r="BK135" s="473">
        <v>45221.25</v>
      </c>
      <c r="BL135" s="473">
        <v>45221.416666666664</v>
      </c>
      <c r="BM135" s="473">
        <v>45221.270833333336</v>
      </c>
      <c r="BN135" s="473">
        <v>45222.34375</v>
      </c>
      <c r="BO135" s="473">
        <v>45223.402777777774</v>
      </c>
      <c r="BP135" s="473">
        <v>45223.711805555555</v>
      </c>
      <c r="BQ135" s="473">
        <v>45223.732638888891</v>
      </c>
      <c r="BR135" s="473">
        <v>45223.739583333336</v>
      </c>
      <c r="BS135" s="473">
        <v>45224.0625</v>
      </c>
      <c r="BV135" s="481">
        <f t="shared" si="47"/>
        <v>33.333333333372138</v>
      </c>
      <c r="BW135" s="481">
        <f t="shared" si="48"/>
        <v>24.833333333430346</v>
      </c>
      <c r="BX135" s="481">
        <f t="shared" si="49"/>
        <v>41.000000000058208</v>
      </c>
      <c r="BY135" s="481">
        <f t="shared" si="41"/>
        <v>22.250000000058208</v>
      </c>
      <c r="BZ135" s="482">
        <f t="shared" si="50"/>
        <v>7.4166666667442769</v>
      </c>
      <c r="CA135" s="482">
        <f t="shared" si="51"/>
        <v>7.7499999999417923</v>
      </c>
      <c r="CB135" s="483">
        <f t="shared" si="52"/>
        <v>5.6909722222335404</v>
      </c>
      <c r="CC135" s="483">
        <f t="shared" si="53"/>
        <v>10.739583333328483</v>
      </c>
      <c r="CD135" s="484">
        <f t="shared" si="54"/>
        <v>0.52990623989783381</v>
      </c>
    </row>
    <row r="136" spans="1:84" s="475" customFormat="1">
      <c r="A136" s="474">
        <f t="shared" si="55"/>
        <v>45219.137499999997</v>
      </c>
      <c r="B136" s="475" t="s">
        <v>228</v>
      </c>
      <c r="C136" s="475" t="s">
        <v>229</v>
      </c>
      <c r="D136" s="475" t="s">
        <v>197</v>
      </c>
      <c r="E136" s="476" t="s">
        <v>3415</v>
      </c>
      <c r="G136" s="473">
        <v>45221.308333333334</v>
      </c>
      <c r="H136" s="473">
        <v>45221.308333333334</v>
      </c>
      <c r="I136" s="667" t="s">
        <v>469</v>
      </c>
      <c r="J136" s="475" t="s">
        <v>192</v>
      </c>
      <c r="K136" s="475" t="s">
        <v>192</v>
      </c>
      <c r="L136" s="475" t="s">
        <v>3424</v>
      </c>
      <c r="M136" s="530"/>
      <c r="N136" s="475" t="s">
        <v>260</v>
      </c>
      <c r="O136" s="475" t="s">
        <v>261</v>
      </c>
      <c r="P136" s="667" t="s">
        <v>172</v>
      </c>
      <c r="Q136" s="477">
        <f>3107*2.4</f>
        <v>7456.7999999999993</v>
      </c>
      <c r="R136" s="477">
        <f>7500+100</f>
        <v>7600</v>
      </c>
      <c r="S136" s="477">
        <v>7582.5690000000004</v>
      </c>
      <c r="T136" s="667"/>
      <c r="U136" s="667"/>
      <c r="V136" s="667"/>
      <c r="W136" s="667"/>
      <c r="X136" s="667"/>
      <c r="Y136" s="667"/>
      <c r="Z136" s="724">
        <f t="shared" si="42"/>
        <v>7582.5690000000004</v>
      </c>
      <c r="AA136" s="581"/>
      <c r="AB136" s="575"/>
      <c r="AZ136" s="473">
        <f t="shared" si="44"/>
        <v>45213.809027777781</v>
      </c>
      <c r="BA136" s="473">
        <f t="shared" si="45"/>
        <v>45225.722222222219</v>
      </c>
      <c r="BB136" s="479">
        <f t="shared" si="46"/>
        <v>11.913194444437977</v>
      </c>
      <c r="BC136" s="473">
        <v>45213.809027777781</v>
      </c>
      <c r="BD136" s="473">
        <v>45215.736111111109</v>
      </c>
      <c r="BE136" s="473">
        <v>45217.458333333336</v>
      </c>
      <c r="BF136" s="473">
        <v>45219.137499999997</v>
      </c>
      <c r="BG136" s="473">
        <v>45219.381944444445</v>
      </c>
      <c r="BH136" s="473">
        <v>45219.388888888891</v>
      </c>
      <c r="BI136" s="473">
        <v>45219.388888888891</v>
      </c>
      <c r="BJ136" s="473">
        <f t="shared" si="43"/>
        <v>45221.097222222226</v>
      </c>
      <c r="BK136" s="480">
        <v>45221.25</v>
      </c>
      <c r="BL136" s="480">
        <v>45221.416666666664</v>
      </c>
      <c r="BM136" s="480">
        <v>45221.263888888891</v>
      </c>
      <c r="BN136" s="473">
        <v>45223.996527777781</v>
      </c>
      <c r="BO136" s="473">
        <v>45224.850694444445</v>
      </c>
      <c r="BP136" s="473">
        <v>45225.159722222219</v>
      </c>
      <c r="BQ136" s="473">
        <v>45225.34375</v>
      </c>
      <c r="BR136" s="473">
        <v>45225.347222222219</v>
      </c>
      <c r="BS136" s="473">
        <v>45225.722222222219</v>
      </c>
      <c r="BV136" s="481">
        <f t="shared" si="47"/>
        <v>41.333333333430346</v>
      </c>
      <c r="BW136" s="481">
        <f t="shared" si="48"/>
        <v>5.8666666667559184</v>
      </c>
      <c r="BX136" s="481">
        <f t="shared" si="49"/>
        <v>41.000000000058208</v>
      </c>
      <c r="BY136" s="481">
        <f t="shared" si="41"/>
        <v>61.916666666802485</v>
      </c>
      <c r="BZ136" s="482">
        <f t="shared" si="50"/>
        <v>7.4166666665696539</v>
      </c>
      <c r="CA136" s="482">
        <f t="shared" si="51"/>
        <v>9</v>
      </c>
      <c r="CB136" s="483">
        <f t="shared" si="52"/>
        <v>6.9388888889006921</v>
      </c>
      <c r="CC136" s="483">
        <f t="shared" si="53"/>
        <v>11.913194444437977</v>
      </c>
      <c r="CD136" s="484">
        <f t="shared" si="54"/>
        <v>0.58245409501733725</v>
      </c>
    </row>
    <row r="137" spans="1:84" s="475" customFormat="1">
      <c r="A137" s="474">
        <f t="shared" si="55"/>
        <v>45221.703472222223</v>
      </c>
      <c r="B137" s="475" t="s">
        <v>228</v>
      </c>
      <c r="C137" s="475" t="s">
        <v>229</v>
      </c>
      <c r="D137" s="475" t="s">
        <v>215</v>
      </c>
      <c r="E137" s="667" t="s">
        <v>1465</v>
      </c>
      <c r="G137" s="472">
        <v>45221.333333333336</v>
      </c>
      <c r="H137" s="472">
        <v>45221.270833333336</v>
      </c>
      <c r="I137" s="667" t="s">
        <v>471</v>
      </c>
      <c r="J137" s="475" t="s">
        <v>192</v>
      </c>
      <c r="K137" s="475" t="s">
        <v>192</v>
      </c>
      <c r="L137" s="475" t="s">
        <v>3425</v>
      </c>
      <c r="M137" s="530"/>
      <c r="N137" s="475" t="s">
        <v>774</v>
      </c>
      <c r="O137" s="475" t="s">
        <v>423</v>
      </c>
      <c r="P137" s="399" t="s">
        <v>172</v>
      </c>
      <c r="Q137" s="477">
        <f>3156*2.4</f>
        <v>7574.4</v>
      </c>
      <c r="R137" s="477">
        <f>7600+100</f>
        <v>7700</v>
      </c>
      <c r="S137" s="477">
        <v>7650.4049999999997</v>
      </c>
      <c r="T137" s="399"/>
      <c r="U137" s="401"/>
      <c r="V137" s="401"/>
      <c r="W137" s="401"/>
      <c r="X137" s="401"/>
      <c r="Y137" s="401"/>
      <c r="Z137" s="726">
        <f t="shared" si="42"/>
        <v>7650.4049999999997</v>
      </c>
      <c r="AA137" s="581"/>
      <c r="AB137" s="401"/>
      <c r="AC137" s="577"/>
      <c r="AD137" s="577"/>
      <c r="AE137" s="577"/>
      <c r="AF137" s="577"/>
      <c r="AG137" s="577"/>
      <c r="AH137" s="577"/>
      <c r="AI137" s="577"/>
      <c r="AZ137" s="473">
        <f t="shared" si="44"/>
        <v>45216.875</v>
      </c>
      <c r="BA137" s="473">
        <f t="shared" si="45"/>
        <v>45227.597222222219</v>
      </c>
      <c r="BB137" s="479">
        <f t="shared" si="46"/>
        <v>10.722222222218988</v>
      </c>
      <c r="BC137" s="473">
        <v>45216.875</v>
      </c>
      <c r="BD137" s="473">
        <v>45217.628472222219</v>
      </c>
      <c r="BE137" s="473">
        <v>45219.166666666664</v>
      </c>
      <c r="BF137" s="473">
        <v>45221.703472222223</v>
      </c>
      <c r="BG137" s="473">
        <v>45221.934027777781</v>
      </c>
      <c r="BH137" s="473">
        <v>45221.947916666664</v>
      </c>
      <c r="BI137" s="473">
        <v>45222.291666666664</v>
      </c>
      <c r="BJ137" s="473">
        <f t="shared" si="43"/>
        <v>45224</v>
      </c>
      <c r="BK137" s="480">
        <v>45225.583333333336</v>
      </c>
      <c r="BL137" s="480">
        <v>45225.75</v>
      </c>
      <c r="BM137" s="480">
        <v>45225.684027777781</v>
      </c>
      <c r="BN137" s="473">
        <v>45226.8125</v>
      </c>
      <c r="BO137" s="473">
        <v>45226.90625</v>
      </c>
      <c r="BP137" s="473">
        <v>45227.145833333336</v>
      </c>
      <c r="BQ137" s="473">
        <v>45227.166666666664</v>
      </c>
      <c r="BR137" s="473">
        <v>45227.166666666664</v>
      </c>
      <c r="BS137" s="473">
        <v>45227.597222222219</v>
      </c>
      <c r="BV137" s="481">
        <f t="shared" si="47"/>
        <v>36.916666666686069</v>
      </c>
      <c r="BW137" s="481">
        <f t="shared" si="48"/>
        <v>5.53333333338378</v>
      </c>
      <c r="BX137" s="481">
        <f t="shared" si="49"/>
        <v>41.000000000058208</v>
      </c>
      <c r="BY137" s="481">
        <f t="shared" si="41"/>
        <v>25.5</v>
      </c>
      <c r="BZ137" s="482">
        <f t="shared" si="50"/>
        <v>5.7500000000582077</v>
      </c>
      <c r="CA137" s="482">
        <f t="shared" si="51"/>
        <v>10.333333333313931</v>
      </c>
      <c r="CB137" s="483">
        <f t="shared" si="52"/>
        <v>5.2097222222291748</v>
      </c>
      <c r="CC137" s="483">
        <f t="shared" si="53"/>
        <v>10.722222222218988</v>
      </c>
      <c r="CD137" s="484">
        <f t="shared" si="54"/>
        <v>0.485880829016339</v>
      </c>
    </row>
    <row r="138" spans="1:84" s="475" customFormat="1">
      <c r="A138" s="474">
        <f t="shared" si="55"/>
        <v>45224.225694444445</v>
      </c>
      <c r="B138" s="475" t="s">
        <v>228</v>
      </c>
      <c r="C138" s="475" t="s">
        <v>229</v>
      </c>
      <c r="D138" s="475" t="s">
        <v>197</v>
      </c>
      <c r="E138" s="667" t="s">
        <v>3118</v>
      </c>
      <c r="F138" s="667"/>
      <c r="G138" s="472">
        <v>45223.833333333336</v>
      </c>
      <c r="H138" s="472">
        <v>45223.791666666664</v>
      </c>
      <c r="I138" s="667" t="s">
        <v>471</v>
      </c>
      <c r="J138" s="475" t="s">
        <v>192</v>
      </c>
      <c r="K138" s="475" t="s">
        <v>192</v>
      </c>
      <c r="L138" s="475" t="s">
        <v>3426</v>
      </c>
      <c r="M138" s="530"/>
      <c r="N138" s="475" t="s">
        <v>1313</v>
      </c>
      <c r="O138" s="475" t="s">
        <v>2486</v>
      </c>
      <c r="P138" s="475" t="s">
        <v>172</v>
      </c>
      <c r="Q138" s="477">
        <f>3071*2.4</f>
        <v>7370.4</v>
      </c>
      <c r="R138" s="477">
        <f>7400+100</f>
        <v>7500</v>
      </c>
      <c r="S138" s="477">
        <v>7451.893</v>
      </c>
      <c r="T138" s="667"/>
      <c r="U138" s="581"/>
      <c r="V138" s="581"/>
      <c r="W138" s="581"/>
      <c r="Z138" s="724">
        <f t="shared" si="42"/>
        <v>7451.893</v>
      </c>
      <c r="AA138" s="581"/>
      <c r="AB138" s="581"/>
      <c r="AC138" s="575"/>
      <c r="AZ138" s="473">
        <f t="shared" si="44"/>
        <v>45218.888888888891</v>
      </c>
      <c r="BA138" s="473">
        <f t="shared" si="45"/>
        <v>45229.375</v>
      </c>
      <c r="BB138" s="479">
        <f t="shared" si="46"/>
        <v>10.486111111109494</v>
      </c>
      <c r="BC138" s="473">
        <v>45218.888888888891</v>
      </c>
      <c r="BD138" s="473">
        <v>45219.805555555555</v>
      </c>
      <c r="BE138" s="473">
        <v>45221.791666666664</v>
      </c>
      <c r="BF138" s="473">
        <v>45224.225694444445</v>
      </c>
      <c r="BG138" s="473">
        <v>45224.46875</v>
      </c>
      <c r="BH138" s="473">
        <v>45224.475694444445</v>
      </c>
      <c r="BI138" s="473">
        <v>45224.482638888891</v>
      </c>
      <c r="BJ138" s="473">
        <f t="shared" si="43"/>
        <v>45226.190972222226</v>
      </c>
      <c r="BK138" s="473">
        <v>45226.583333333336</v>
      </c>
      <c r="BL138" s="473">
        <v>45226.75</v>
      </c>
      <c r="BM138" s="473">
        <v>45226.701388888891</v>
      </c>
      <c r="BN138" s="473">
        <v>45228.138888888891</v>
      </c>
      <c r="BO138" s="473">
        <v>45228.270833333336</v>
      </c>
      <c r="BP138" s="473">
        <v>45228.659722222219</v>
      </c>
      <c r="BQ138" s="473">
        <v>45228.673611111109</v>
      </c>
      <c r="BR138" s="473">
        <v>45229.145833333336</v>
      </c>
      <c r="BS138" s="473">
        <v>45229.375</v>
      </c>
      <c r="BV138" s="481">
        <f t="shared" si="47"/>
        <v>47.666666666627862</v>
      </c>
      <c r="BW138" s="481">
        <f t="shared" si="48"/>
        <v>5.8333333333139308</v>
      </c>
      <c r="BX138" s="481">
        <f t="shared" si="49"/>
        <v>41.000000000058208</v>
      </c>
      <c r="BY138" s="481">
        <f t="shared" si="41"/>
        <v>33.333333333372138</v>
      </c>
      <c r="BZ138" s="482">
        <f t="shared" si="50"/>
        <v>9.3333333331975155</v>
      </c>
      <c r="CA138" s="482">
        <f t="shared" si="51"/>
        <v>5.4999999999417923</v>
      </c>
      <c r="CB138" s="483">
        <f t="shared" si="52"/>
        <v>5.9444444444379769</v>
      </c>
      <c r="CC138" s="483">
        <f t="shared" si="53"/>
        <v>10.486111111109494</v>
      </c>
      <c r="CD138" s="484">
        <f t="shared" si="54"/>
        <v>0.56688741721801372</v>
      </c>
    </row>
    <row r="139" spans="1:84" s="475" customFormat="1">
      <c r="A139" s="474">
        <f t="shared" si="55"/>
        <v>45226.361111111109</v>
      </c>
      <c r="B139" s="475" t="s">
        <v>228</v>
      </c>
      <c r="C139" s="475" t="s">
        <v>229</v>
      </c>
      <c r="D139" s="475" t="s">
        <v>197</v>
      </c>
      <c r="E139" s="667" t="s">
        <v>1552</v>
      </c>
      <c r="G139" s="472">
        <v>45228.041666666664</v>
      </c>
      <c r="H139" s="472">
        <v>45228.041666666664</v>
      </c>
      <c r="I139" s="667" t="s">
        <v>469</v>
      </c>
      <c r="J139" s="475" t="s">
        <v>192</v>
      </c>
      <c r="K139" s="475" t="s">
        <v>192</v>
      </c>
      <c r="L139" s="475" t="s">
        <v>3427</v>
      </c>
      <c r="M139" s="530"/>
      <c r="N139" s="475" t="s">
        <v>355</v>
      </c>
      <c r="O139" s="475" t="s">
        <v>356</v>
      </c>
      <c r="P139" s="667" t="s">
        <v>172</v>
      </c>
      <c r="Q139" s="477">
        <f>3107*2.4</f>
        <v>7456.7999999999993</v>
      </c>
      <c r="R139" s="477">
        <f>7500+100</f>
        <v>7600</v>
      </c>
      <c r="S139" s="477">
        <v>7502.7240000000002</v>
      </c>
      <c r="T139" s="667"/>
      <c r="U139" s="581"/>
      <c r="V139" s="581"/>
      <c r="W139" s="581"/>
      <c r="Y139" s="581"/>
      <c r="Z139" s="724">
        <f t="shared" si="42"/>
        <v>7502.7240000000002</v>
      </c>
      <c r="AA139" s="581"/>
      <c r="AB139" s="581"/>
      <c r="AC139" s="577"/>
      <c r="AD139" s="577"/>
      <c r="AZ139" s="473">
        <f t="shared" si="44"/>
        <v>45219.190972222219</v>
      </c>
      <c r="BA139" s="473">
        <f t="shared" si="45"/>
        <v>45231.059027777781</v>
      </c>
      <c r="BB139" s="479">
        <f t="shared" si="46"/>
        <v>11.868055555562023</v>
      </c>
      <c r="BC139" s="473">
        <v>45219.190972222219</v>
      </c>
      <c r="BD139" s="473">
        <v>45220.784722222219</v>
      </c>
      <c r="BE139" s="473">
        <v>45222.361111111109</v>
      </c>
      <c r="BF139" s="473">
        <v>45226.361111111109</v>
      </c>
      <c r="BG139" s="473">
        <v>45226.541666666664</v>
      </c>
      <c r="BH139" s="473">
        <v>45226.548611111109</v>
      </c>
      <c r="BI139" s="473">
        <v>45226.548611111109</v>
      </c>
      <c r="BJ139" s="473">
        <f t="shared" si="43"/>
        <v>45228.256944444445</v>
      </c>
      <c r="BK139" s="480">
        <v>45228.25</v>
      </c>
      <c r="BL139" s="480">
        <v>45228.416666666664</v>
      </c>
      <c r="BM139" s="480">
        <v>45228.277777777781</v>
      </c>
      <c r="BN139" s="473">
        <v>45229.708333333336</v>
      </c>
      <c r="BO139" s="473">
        <v>45229.795138888891</v>
      </c>
      <c r="BP139" s="473">
        <v>45230.017361111109</v>
      </c>
      <c r="BQ139" s="473">
        <v>45230.034722222219</v>
      </c>
      <c r="BR139" s="473">
        <v>45230.666666666664</v>
      </c>
      <c r="BS139" s="473">
        <v>45231.059027777781</v>
      </c>
      <c r="BV139" s="481">
        <f t="shared" si="47"/>
        <v>37.833333333372138</v>
      </c>
      <c r="BW139" s="481">
        <f t="shared" si="48"/>
        <v>4.3333333333139308</v>
      </c>
      <c r="BX139" s="481">
        <f t="shared" si="49"/>
        <v>41.000000000058208</v>
      </c>
      <c r="BY139" s="481">
        <f t="shared" si="41"/>
        <v>31.000000000116415</v>
      </c>
      <c r="BZ139" s="482">
        <f t="shared" si="50"/>
        <v>5.3333333332557231</v>
      </c>
      <c r="CA139" s="482">
        <f t="shared" si="51"/>
        <v>9.4166666668024845</v>
      </c>
      <c r="CB139" s="483">
        <f t="shared" si="52"/>
        <v>5.3715277777882875</v>
      </c>
      <c r="CC139" s="483">
        <f t="shared" si="53"/>
        <v>11.868055555562023</v>
      </c>
      <c r="CD139" s="484">
        <f t="shared" si="54"/>
        <v>0.45260386190818719</v>
      </c>
    </row>
    <row r="140" spans="1:84" s="475" customFormat="1">
      <c r="A140" s="474">
        <f t="shared" si="55"/>
        <v>45228.565972222219</v>
      </c>
      <c r="B140" s="475" t="s">
        <v>228</v>
      </c>
      <c r="C140" s="475" t="s">
        <v>229</v>
      </c>
      <c r="D140" s="475" t="s">
        <v>197</v>
      </c>
      <c r="E140" s="667" t="s">
        <v>3122</v>
      </c>
      <c r="G140" s="679">
        <v>45224.375</v>
      </c>
      <c r="H140" s="679">
        <v>45224.404166666667</v>
      </c>
      <c r="I140" s="667" t="s">
        <v>471</v>
      </c>
      <c r="J140" s="475" t="s">
        <v>192</v>
      </c>
      <c r="K140" s="475" t="s">
        <v>192</v>
      </c>
      <c r="L140" s="475" t="s">
        <v>3428</v>
      </c>
      <c r="M140" s="530"/>
      <c r="N140" s="475" t="s">
        <v>1392</v>
      </c>
      <c r="O140" s="475" t="s">
        <v>365</v>
      </c>
      <c r="P140" s="667" t="s">
        <v>172</v>
      </c>
      <c r="Q140" s="477">
        <f>3142*2.4</f>
        <v>7540.7999999999993</v>
      </c>
      <c r="R140" s="477">
        <f>7550+100</f>
        <v>7650</v>
      </c>
      <c r="S140" s="477">
        <v>7531.44</v>
      </c>
      <c r="T140" s="667"/>
      <c r="U140" s="581"/>
      <c r="W140" s="581"/>
      <c r="Z140" s="724">
        <f t="shared" si="42"/>
        <v>7531.44</v>
      </c>
      <c r="AA140" s="581"/>
      <c r="AB140" s="581"/>
      <c r="AC140" s="401"/>
      <c r="AD140" s="401"/>
      <c r="AE140" s="401"/>
      <c r="AF140" s="575"/>
      <c r="AG140" s="575"/>
      <c r="AZ140" s="473">
        <f t="shared" si="44"/>
        <v>45220.434027777781</v>
      </c>
      <c r="BA140" s="473">
        <f t="shared" si="45"/>
        <v>45233.920138888891</v>
      </c>
      <c r="BB140" s="479">
        <f t="shared" si="46"/>
        <v>13.486111111109494</v>
      </c>
      <c r="BC140" s="473">
        <v>45220.434027777781</v>
      </c>
      <c r="BD140" s="473">
        <v>45221.493055555555</v>
      </c>
      <c r="BE140" s="473">
        <v>45223.072916666664</v>
      </c>
      <c r="BF140" s="473">
        <v>45228.565972222219</v>
      </c>
      <c r="BG140" s="473">
        <v>45228.770138888889</v>
      </c>
      <c r="BH140" s="473">
        <v>45228.774305555555</v>
      </c>
      <c r="BI140" s="473">
        <v>45228.788194444445</v>
      </c>
      <c r="BJ140" s="473">
        <f t="shared" si="43"/>
        <v>45230.496527777781</v>
      </c>
      <c r="BK140" s="473">
        <v>45230.25</v>
      </c>
      <c r="BL140" s="473">
        <v>45230.416666666664</v>
      </c>
      <c r="BM140" s="480">
        <v>45230.385416666664</v>
      </c>
      <c r="BN140" s="473">
        <v>45231.732638888891</v>
      </c>
      <c r="BO140" s="473">
        <v>45232.927083333336</v>
      </c>
      <c r="BP140" s="473">
        <v>45233.618055555555</v>
      </c>
      <c r="BQ140" s="473">
        <v>45233.649305555555</v>
      </c>
      <c r="BR140" s="473">
        <v>45233.649305555555</v>
      </c>
      <c r="BS140" s="473">
        <v>45233.920138888891</v>
      </c>
      <c r="BV140" s="481">
        <f t="shared" si="47"/>
        <v>37.916666666627862</v>
      </c>
      <c r="BW140" s="481">
        <f t="shared" si="48"/>
        <v>4.9000000000814907</v>
      </c>
      <c r="BX140" s="481">
        <f t="shared" si="49"/>
        <v>41.000000000058208</v>
      </c>
      <c r="BY140" s="481">
        <f t="shared" si="41"/>
        <v>31.583333333430346</v>
      </c>
      <c r="BZ140" s="482">
        <f t="shared" si="50"/>
        <v>16.583333333255723</v>
      </c>
      <c r="CA140" s="482">
        <f t="shared" si="51"/>
        <v>6.5000000000582077</v>
      </c>
      <c r="CB140" s="483">
        <f t="shared" si="52"/>
        <v>5.7701388888963265</v>
      </c>
      <c r="CC140" s="483">
        <f t="shared" si="53"/>
        <v>13.486111111109494</v>
      </c>
      <c r="CD140" s="484">
        <f t="shared" si="54"/>
        <v>0.42785787847640094</v>
      </c>
    </row>
    <row r="141" spans="1:84" s="475" customFormat="1">
      <c r="A141" s="474">
        <f t="shared" si="55"/>
        <v>45230.465277777781</v>
      </c>
      <c r="B141" s="475" t="s">
        <v>228</v>
      </c>
      <c r="C141" s="475" t="s">
        <v>229</v>
      </c>
      <c r="D141" s="475" t="s">
        <v>215</v>
      </c>
      <c r="E141" s="399" t="s">
        <v>1515</v>
      </c>
      <c r="G141" s="472">
        <v>45230.479166666664</v>
      </c>
      <c r="H141" s="472">
        <v>45230.429166666669</v>
      </c>
      <c r="I141" s="667" t="s">
        <v>471</v>
      </c>
      <c r="J141" s="475" t="s">
        <v>192</v>
      </c>
      <c r="K141" s="475" t="s">
        <v>192</v>
      </c>
      <c r="L141" s="475" t="s">
        <v>3429</v>
      </c>
      <c r="M141" s="530"/>
      <c r="N141" s="475" t="s">
        <v>252</v>
      </c>
      <c r="O141" s="475" t="s">
        <v>253</v>
      </c>
      <c r="P141" s="399" t="s">
        <v>172</v>
      </c>
      <c r="Q141" s="477">
        <f>3107*2.4</f>
        <v>7456.7999999999993</v>
      </c>
      <c r="R141" s="477">
        <f>7500+100</f>
        <v>7600</v>
      </c>
      <c r="S141" s="477">
        <v>7503.0379999999996</v>
      </c>
      <c r="T141" s="667"/>
      <c r="V141" s="401"/>
      <c r="W141" s="401"/>
      <c r="Y141" s="581"/>
      <c r="Z141" s="726">
        <f t="shared" si="42"/>
        <v>7503.0379999999996</v>
      </c>
      <c r="AA141" s="581"/>
      <c r="AB141" s="667"/>
      <c r="AC141" s="667"/>
      <c r="AD141" s="667"/>
      <c r="AE141" s="667"/>
      <c r="AF141" s="667"/>
      <c r="AG141" s="667"/>
      <c r="AH141" s="667"/>
      <c r="AI141" s="667"/>
      <c r="AJ141" s="667"/>
      <c r="AK141" s="667"/>
      <c r="AL141" s="667"/>
      <c r="AM141" s="667"/>
      <c r="AN141" s="667"/>
      <c r="AO141" s="667"/>
      <c r="AP141" s="667"/>
      <c r="AQ141" s="667"/>
      <c r="AR141" s="667"/>
      <c r="AS141" s="667"/>
      <c r="AT141" s="667"/>
      <c r="AU141" s="667"/>
      <c r="AV141" s="667"/>
      <c r="AW141" s="667"/>
      <c r="AZ141" s="473">
        <f t="shared" si="44"/>
        <v>45224.0625</v>
      </c>
      <c r="BA141" s="473">
        <f t="shared" si="45"/>
        <v>45235.625</v>
      </c>
      <c r="BB141" s="479">
        <f t="shared" si="46"/>
        <v>11.5625</v>
      </c>
      <c r="BC141" s="473">
        <v>45224.0625</v>
      </c>
      <c r="BD141" s="473">
        <v>45224.739583333336</v>
      </c>
      <c r="BE141" s="473">
        <v>45227.333333333336</v>
      </c>
      <c r="BF141" s="473">
        <v>45230.465277777781</v>
      </c>
      <c r="BG141" s="473">
        <v>45230.670138888891</v>
      </c>
      <c r="BH141" s="473">
        <v>45230.673611111109</v>
      </c>
      <c r="BI141" s="473">
        <v>45230.677083333336</v>
      </c>
      <c r="BJ141" s="473">
        <f t="shared" si="43"/>
        <v>45232.385416666672</v>
      </c>
      <c r="BK141" s="473">
        <v>45232.25</v>
      </c>
      <c r="BL141" s="473">
        <v>45232.416666608799</v>
      </c>
      <c r="BM141" s="480">
        <v>45232.333333333336</v>
      </c>
      <c r="BN141" s="473">
        <v>45233.447916666664</v>
      </c>
      <c r="BO141" s="473">
        <v>45234.9375</v>
      </c>
      <c r="BP141" s="473">
        <v>45235.295138888891</v>
      </c>
      <c r="BQ141" s="473">
        <v>45235.295138888891</v>
      </c>
      <c r="BR141" s="473">
        <v>45235.315972222226</v>
      </c>
      <c r="BS141" s="473">
        <v>45235.625</v>
      </c>
      <c r="BV141" s="481">
        <f t="shared" si="47"/>
        <v>62.25</v>
      </c>
      <c r="BW141" s="481">
        <f t="shared" si="48"/>
        <v>4.9166666666278616</v>
      </c>
      <c r="BX141" s="481">
        <f t="shared" si="49"/>
        <v>41.000000000058208</v>
      </c>
      <c r="BY141" s="481">
        <f t="shared" si="41"/>
        <v>24.750001388776582</v>
      </c>
      <c r="BZ141" s="482">
        <f t="shared" si="50"/>
        <v>8.5833333333721384</v>
      </c>
      <c r="CA141" s="482">
        <f t="shared" si="51"/>
        <v>7.4166666665696539</v>
      </c>
      <c r="CB141" s="483">
        <f t="shared" si="52"/>
        <v>6.2048611689751851</v>
      </c>
      <c r="CC141" s="483">
        <f t="shared" si="53"/>
        <v>11.5625</v>
      </c>
      <c r="CD141" s="484">
        <f t="shared" si="54"/>
        <v>0.53663664164109715</v>
      </c>
    </row>
    <row r="142" spans="1:84" s="475" customFormat="1">
      <c r="A142" s="474">
        <f t="shared" si="55"/>
        <v>45215.447916666664</v>
      </c>
      <c r="B142" s="475" t="s">
        <v>188</v>
      </c>
      <c r="C142" s="475" t="s">
        <v>183</v>
      </c>
      <c r="D142" s="475" t="s">
        <v>197</v>
      </c>
      <c r="E142" s="667" t="s">
        <v>2830</v>
      </c>
      <c r="F142" s="399"/>
      <c r="G142" s="473">
        <v>45218.166666666664</v>
      </c>
      <c r="H142" s="473">
        <v>45218.3</v>
      </c>
      <c r="I142" s="667" t="s">
        <v>791</v>
      </c>
      <c r="J142" s="475" t="s">
        <v>192</v>
      </c>
      <c r="K142" s="475" t="s">
        <v>192</v>
      </c>
      <c r="L142" s="667" t="s">
        <v>3430</v>
      </c>
      <c r="M142" s="530"/>
      <c r="N142" s="475" t="s">
        <v>2388</v>
      </c>
      <c r="O142" s="475" t="s">
        <v>289</v>
      </c>
      <c r="P142" s="399" t="s">
        <v>183</v>
      </c>
      <c r="Q142" s="477">
        <f>3107*2.4</f>
        <v>7456.7999999999993</v>
      </c>
      <c r="R142" s="477">
        <f>7500+100</f>
        <v>7600</v>
      </c>
      <c r="S142" s="477">
        <v>7502.9070000000002</v>
      </c>
      <c r="T142" s="477"/>
      <c r="U142" s="724"/>
      <c r="V142" s="767"/>
      <c r="W142" s="577"/>
      <c r="X142" s="577"/>
      <c r="Y142" s="577"/>
      <c r="Z142" s="577"/>
      <c r="AA142" s="577"/>
      <c r="AC142" s="401"/>
      <c r="AD142" s="401"/>
      <c r="AE142" s="401"/>
      <c r="AT142" s="724">
        <f>S142</f>
        <v>7502.9070000000002</v>
      </c>
      <c r="AZ142" s="473">
        <f t="shared" si="44"/>
        <v>45210.364583333336</v>
      </c>
      <c r="BA142" s="473">
        <f t="shared" si="45"/>
        <v>45223.145833333336</v>
      </c>
      <c r="BB142" s="479">
        <f t="shared" si="46"/>
        <v>12.78125</v>
      </c>
      <c r="BC142" s="473">
        <v>45210.364583333336</v>
      </c>
      <c r="BD142" s="473">
        <v>45211.590277777781</v>
      </c>
      <c r="BE142" s="473">
        <v>45214.774305555555</v>
      </c>
      <c r="BF142" s="473">
        <v>45215.447916666664</v>
      </c>
      <c r="BG142" s="473">
        <v>45216.381944444445</v>
      </c>
      <c r="BH142" s="473">
        <v>45216.40625</v>
      </c>
      <c r="BI142" s="473">
        <v>45216.416666666664</v>
      </c>
      <c r="BJ142" s="473">
        <f t="shared" ref="BJ142:BJ147" si="56">BI142+(51/24)</f>
        <v>45218.541666666664</v>
      </c>
      <c r="BK142" s="480">
        <v>45219.25</v>
      </c>
      <c r="BL142" s="480">
        <v>45219.416666666664</v>
      </c>
      <c r="BM142" s="480">
        <v>45219.288194444445</v>
      </c>
      <c r="BN142" s="473">
        <v>45221.114583333336</v>
      </c>
      <c r="BO142" s="473">
        <v>45221.975694444445</v>
      </c>
      <c r="BP142" s="473">
        <v>45222.576388888891</v>
      </c>
      <c r="BQ142" s="473">
        <v>45222.586805555555</v>
      </c>
      <c r="BR142" s="473">
        <v>45222.767361111109</v>
      </c>
      <c r="BS142" s="473">
        <v>45223.145833333336</v>
      </c>
      <c r="BV142" s="481">
        <f t="shared" si="47"/>
        <v>76.416666666569654</v>
      </c>
      <c r="BW142" s="481">
        <f t="shared" si="48"/>
        <v>22.416666666744277</v>
      </c>
      <c r="BX142" s="481">
        <f t="shared" si="49"/>
        <v>51</v>
      </c>
      <c r="BY142" s="481">
        <f t="shared" si="41"/>
        <v>40.750000000116415</v>
      </c>
      <c r="BZ142" s="482">
        <f t="shared" si="50"/>
        <v>14.416666666686069</v>
      </c>
      <c r="CA142" s="482">
        <f t="shared" si="51"/>
        <v>9.0833333334303461</v>
      </c>
      <c r="CB142" s="483">
        <f t="shared" si="52"/>
        <v>8.9201388888977817</v>
      </c>
      <c r="CC142" s="483">
        <f t="shared" si="53"/>
        <v>12.78125</v>
      </c>
      <c r="CD142" s="484">
        <f t="shared" si="54"/>
        <v>0.69790817712647679</v>
      </c>
    </row>
    <row r="143" spans="1:84" s="475" customFormat="1">
      <c r="A143" s="474">
        <f t="shared" si="55"/>
        <v>45214.572916666664</v>
      </c>
      <c r="B143" s="475" t="s">
        <v>188</v>
      </c>
      <c r="C143" s="475" t="s">
        <v>183</v>
      </c>
      <c r="D143" s="475" t="s">
        <v>197</v>
      </c>
      <c r="E143" s="667" t="s">
        <v>2830</v>
      </c>
      <c r="F143" s="399"/>
      <c r="G143" s="473">
        <v>45218.166666666664</v>
      </c>
      <c r="H143" s="473">
        <v>45218.3</v>
      </c>
      <c r="I143" s="667" t="s">
        <v>791</v>
      </c>
      <c r="J143" s="475" t="s">
        <v>192</v>
      </c>
      <c r="K143" s="475" t="s">
        <v>192</v>
      </c>
      <c r="L143" s="475" t="s">
        <v>3431</v>
      </c>
      <c r="M143" s="530"/>
      <c r="N143" s="475" t="s">
        <v>1874</v>
      </c>
      <c r="O143" s="475" t="s">
        <v>1875</v>
      </c>
      <c r="P143" s="399" t="s">
        <v>183</v>
      </c>
      <c r="Q143" s="477">
        <f>2205*2.4</f>
        <v>5292</v>
      </c>
      <c r="R143" s="477">
        <f>5300+100</f>
        <v>5400</v>
      </c>
      <c r="S143" s="477">
        <v>5347.1719999999996</v>
      </c>
      <c r="T143" s="477"/>
      <c r="W143" s="577"/>
      <c r="Z143" s="577"/>
      <c r="AA143" s="577"/>
      <c r="AT143" s="724">
        <f>S143</f>
        <v>5347.1719999999996</v>
      </c>
      <c r="AZ143" s="473">
        <f t="shared" si="44"/>
        <v>45207.71875</v>
      </c>
      <c r="BA143" s="473">
        <f t="shared" si="45"/>
        <v>45222.479166666664</v>
      </c>
      <c r="BB143" s="479">
        <f t="shared" si="46"/>
        <v>14.760416666664241</v>
      </c>
      <c r="BC143" s="473">
        <v>45207.71875</v>
      </c>
      <c r="BD143" s="473">
        <v>45209.840277777781</v>
      </c>
      <c r="BE143" s="473">
        <v>45213.836805555555</v>
      </c>
      <c r="BF143" s="473">
        <v>45214.572916666664</v>
      </c>
      <c r="BG143" s="473">
        <v>45215.385416666664</v>
      </c>
      <c r="BH143" s="473">
        <v>45215.416666666664</v>
      </c>
      <c r="BI143" s="473">
        <v>45215.416666666664</v>
      </c>
      <c r="BJ143" s="473">
        <f t="shared" si="56"/>
        <v>45217.541666666664</v>
      </c>
      <c r="BK143" s="480">
        <v>45218.25</v>
      </c>
      <c r="BL143" s="480">
        <v>45218.416666666664</v>
      </c>
      <c r="BM143" s="480">
        <v>45218.392361111109</v>
      </c>
      <c r="BN143" s="473">
        <v>45220.583333333336</v>
      </c>
      <c r="BO143" s="473">
        <v>45221.090277777781</v>
      </c>
      <c r="BP143" s="473">
        <v>45221.895833333336</v>
      </c>
      <c r="BQ143" s="473">
        <v>45221.909722222219</v>
      </c>
      <c r="BR143" s="473">
        <v>45221.916666666664</v>
      </c>
      <c r="BS143" s="473">
        <v>45222.479166666664</v>
      </c>
      <c r="BV143" s="481">
        <f t="shared" si="47"/>
        <v>95.916666666569654</v>
      </c>
      <c r="BW143" s="481">
        <f t="shared" si="48"/>
        <v>19.5</v>
      </c>
      <c r="BX143" s="481">
        <f t="shared" si="49"/>
        <v>51</v>
      </c>
      <c r="BY143" s="481">
        <f>(BN143-BJ143)*24</f>
        <v>73.000000000116415</v>
      </c>
      <c r="BZ143" s="482">
        <f t="shared" si="50"/>
        <v>19.333333333313931</v>
      </c>
      <c r="CA143" s="482">
        <f t="shared" si="51"/>
        <v>13.5</v>
      </c>
      <c r="CB143" s="483">
        <f t="shared" si="52"/>
        <v>11.34375</v>
      </c>
      <c r="CC143" s="483">
        <f t="shared" si="53"/>
        <v>14.760416666664241</v>
      </c>
      <c r="CD143" s="484">
        <f t="shared" si="54"/>
        <v>0.76852505292884898</v>
      </c>
    </row>
    <row r="144" spans="1:84" s="475" customFormat="1">
      <c r="A144" s="474">
        <f t="shared" si="55"/>
        <v>45216.444444444445</v>
      </c>
      <c r="B144" s="475" t="s">
        <v>188</v>
      </c>
      <c r="C144" s="475" t="s">
        <v>183</v>
      </c>
      <c r="D144" s="475" t="s">
        <v>197</v>
      </c>
      <c r="E144" s="667" t="s">
        <v>2830</v>
      </c>
      <c r="F144" s="399"/>
      <c r="G144" s="473">
        <v>45218.166666666664</v>
      </c>
      <c r="H144" s="473">
        <v>45218.3</v>
      </c>
      <c r="I144" s="667" t="s">
        <v>791</v>
      </c>
      <c r="J144" s="475" t="s">
        <v>192</v>
      </c>
      <c r="K144" s="475" t="s">
        <v>192</v>
      </c>
      <c r="L144" s="475" t="s">
        <v>3432</v>
      </c>
      <c r="M144" s="530"/>
      <c r="N144" s="475" t="s">
        <v>371</v>
      </c>
      <c r="O144" s="475" t="s">
        <v>372</v>
      </c>
      <c r="P144" s="399" t="s">
        <v>183</v>
      </c>
      <c r="Q144" s="477">
        <f>3117*2.4</f>
        <v>7480.7999999999993</v>
      </c>
      <c r="R144" s="477">
        <f>7500+100</f>
        <v>7600</v>
      </c>
      <c r="S144" s="477">
        <v>7505.1450000000004</v>
      </c>
      <c r="T144" s="667"/>
      <c r="U144" s="667"/>
      <c r="V144" s="667"/>
      <c r="W144" s="667"/>
      <c r="Z144" s="577"/>
      <c r="AA144" s="577"/>
      <c r="AB144" s="575"/>
      <c r="AT144" s="724">
        <f>S144</f>
        <v>7505.1450000000004</v>
      </c>
      <c r="AZ144" s="473">
        <f t="shared" si="44"/>
        <v>45211.634722222225</v>
      </c>
      <c r="BA144" s="473">
        <f t="shared" si="45"/>
        <v>45225.214583333334</v>
      </c>
      <c r="BB144" s="479">
        <f t="shared" si="46"/>
        <v>13.579861111109494</v>
      </c>
      <c r="BC144" s="473">
        <v>45211.634722222225</v>
      </c>
      <c r="BD144" s="473">
        <v>45212.597916666666</v>
      </c>
      <c r="BE144" s="473">
        <v>45215.875</v>
      </c>
      <c r="BF144" s="473">
        <v>45216.444444444445</v>
      </c>
      <c r="BG144" s="473">
        <v>45217.447916666664</v>
      </c>
      <c r="BH144" s="473">
        <v>45217.451388888891</v>
      </c>
      <c r="BI144" s="473">
        <v>45217.451388888891</v>
      </c>
      <c r="BJ144" s="473">
        <f t="shared" si="56"/>
        <v>45219.576388888891</v>
      </c>
      <c r="BK144" s="480">
        <v>45220.25</v>
      </c>
      <c r="BL144" s="480">
        <v>45220.416666666664</v>
      </c>
      <c r="BM144" s="480">
        <v>45220.371527777781</v>
      </c>
      <c r="BN144" s="473">
        <v>45222.25</v>
      </c>
      <c r="BO144" s="473">
        <v>45223.746527777781</v>
      </c>
      <c r="BP144" s="473">
        <v>45224.736111111109</v>
      </c>
      <c r="BQ144" s="473">
        <v>45224.763888888891</v>
      </c>
      <c r="BR144" s="473">
        <v>45224.767361111109</v>
      </c>
      <c r="BS144" s="473">
        <v>45225.214583333334</v>
      </c>
      <c r="BV144" s="481">
        <f t="shared" si="47"/>
        <v>78.650000000023283</v>
      </c>
      <c r="BW144" s="481">
        <f t="shared" si="48"/>
        <v>24.083333333255723</v>
      </c>
      <c r="BX144" s="481">
        <f t="shared" si="49"/>
        <v>51</v>
      </c>
      <c r="BY144" s="481">
        <f t="shared" ref="BY144:BY157" si="57">(BN144-BL144)*24</f>
        <v>44.000000000058208</v>
      </c>
      <c r="BZ144" s="482">
        <f t="shared" si="50"/>
        <v>23.749999999883585</v>
      </c>
      <c r="CA144" s="482">
        <f t="shared" si="51"/>
        <v>10.733333333395422</v>
      </c>
      <c r="CB144" s="483">
        <f t="shared" si="52"/>
        <v>9.6756944444423425</v>
      </c>
      <c r="CC144" s="483">
        <f t="shared" si="53"/>
        <v>13.579861111109494</v>
      </c>
      <c r="CD144" s="484">
        <f t="shared" si="54"/>
        <v>0.71250319611345603</v>
      </c>
    </row>
    <row r="145" spans="1:82" s="475" customFormat="1">
      <c r="A145" s="474">
        <f t="shared" si="55"/>
        <v>45228.34375</v>
      </c>
      <c r="B145" s="475" t="s">
        <v>188</v>
      </c>
      <c r="C145" s="475" t="s">
        <v>183</v>
      </c>
      <c r="D145" s="475" t="s">
        <v>197</v>
      </c>
      <c r="E145" s="476" t="s">
        <v>1789</v>
      </c>
      <c r="G145" s="473">
        <v>45233.345833333333</v>
      </c>
      <c r="H145" s="473">
        <v>45233.345833333333</v>
      </c>
      <c r="I145" s="399" t="s">
        <v>791</v>
      </c>
      <c r="J145" s="475" t="s">
        <v>192</v>
      </c>
      <c r="K145" s="475" t="s">
        <v>192</v>
      </c>
      <c r="L145" s="475" t="s">
        <v>3433</v>
      </c>
      <c r="M145" s="530"/>
      <c r="N145" s="475" t="s">
        <v>1874</v>
      </c>
      <c r="O145" s="475" t="s">
        <v>1875</v>
      </c>
      <c r="P145" s="399" t="s">
        <v>183</v>
      </c>
      <c r="Q145" s="477">
        <f>2205*2.4</f>
        <v>5292</v>
      </c>
      <c r="R145" s="477">
        <f>5300+100</f>
        <v>5400</v>
      </c>
      <c r="S145" s="477">
        <v>5272.2380000000003</v>
      </c>
      <c r="T145" s="477"/>
      <c r="V145" s="577"/>
      <c r="W145" s="577"/>
      <c r="Z145" s="577"/>
      <c r="AA145" s="577"/>
      <c r="AC145" s="401"/>
      <c r="AD145" s="401"/>
      <c r="AE145" s="401"/>
      <c r="AT145" s="724">
        <f>S145</f>
        <v>5272.2380000000003</v>
      </c>
      <c r="AZ145" s="473">
        <f t="shared" si="44"/>
        <v>45222.479166666664</v>
      </c>
      <c r="BA145" s="473">
        <f t="shared" si="45"/>
        <v>45235.208333333336</v>
      </c>
      <c r="BB145" s="479">
        <f t="shared" si="46"/>
        <v>12.729166666671517</v>
      </c>
      <c r="BC145" s="473">
        <v>45222.479166666664</v>
      </c>
      <c r="BD145" s="473">
        <v>45224.788194444445</v>
      </c>
      <c r="BE145" s="473">
        <v>45227.708333333336</v>
      </c>
      <c r="BF145" s="473">
        <v>45228.34375</v>
      </c>
      <c r="BG145" s="473">
        <v>45228.847222222219</v>
      </c>
      <c r="BH145" s="473">
        <v>45228.902777777781</v>
      </c>
      <c r="BI145" s="473">
        <v>45228.902777777781</v>
      </c>
      <c r="BJ145" s="473">
        <f t="shared" si="56"/>
        <v>45231.027777777781</v>
      </c>
      <c r="BK145" s="473">
        <v>45232.25</v>
      </c>
      <c r="BL145" s="473">
        <v>45232.416666608799</v>
      </c>
      <c r="BM145" s="518">
        <v>45232.392361111109</v>
      </c>
      <c r="BN145" s="473">
        <v>45234.208333333336</v>
      </c>
      <c r="BO145" s="473">
        <v>45234.329861111109</v>
      </c>
      <c r="BP145" s="473">
        <v>45234.559027777781</v>
      </c>
      <c r="BQ145" s="473">
        <v>45234.579861111109</v>
      </c>
      <c r="BR145" s="473">
        <v>45234.6875</v>
      </c>
      <c r="BS145" s="473">
        <v>45235.208333333336</v>
      </c>
      <c r="BV145" s="481">
        <f t="shared" si="47"/>
        <v>70.083333333372138</v>
      </c>
      <c r="BW145" s="481">
        <f t="shared" si="48"/>
        <v>12.083333333255723</v>
      </c>
      <c r="BX145" s="481">
        <f t="shared" si="49"/>
        <v>51</v>
      </c>
      <c r="BY145" s="481">
        <f t="shared" si="57"/>
        <v>43.000001388892997</v>
      </c>
      <c r="BZ145" s="482">
        <f t="shared" si="50"/>
        <v>5.5000000001164153</v>
      </c>
      <c r="CA145" s="482">
        <f t="shared" si="51"/>
        <v>12.500000000058208</v>
      </c>
      <c r="CB145" s="483">
        <f t="shared" si="52"/>
        <v>8.0902778356539784</v>
      </c>
      <c r="CC145" s="483">
        <f t="shared" si="53"/>
        <v>12.729166666671517</v>
      </c>
      <c r="CD145" s="484">
        <f t="shared" si="54"/>
        <v>0.63557010820170701</v>
      </c>
    </row>
    <row r="146" spans="1:82" s="475" customFormat="1">
      <c r="A146" s="474">
        <f t="shared" si="55"/>
        <v>45219.868055555555</v>
      </c>
      <c r="B146" s="475" t="s">
        <v>188</v>
      </c>
      <c r="C146" s="475" t="s">
        <v>184</v>
      </c>
      <c r="D146" s="475" t="s">
        <v>215</v>
      </c>
      <c r="E146" s="667" t="s">
        <v>3397</v>
      </c>
      <c r="F146" s="667"/>
      <c r="G146" s="518">
        <v>45225.9375</v>
      </c>
      <c r="H146" s="518">
        <v>45225.9375</v>
      </c>
      <c r="I146" s="667" t="s">
        <v>818</v>
      </c>
      <c r="J146" s="475" t="s">
        <v>192</v>
      </c>
      <c r="K146" s="475" t="s">
        <v>192</v>
      </c>
      <c r="L146" s="667" t="s">
        <v>3434</v>
      </c>
      <c r="M146" s="530"/>
      <c r="N146" s="475" t="s">
        <v>721</v>
      </c>
      <c r="O146" s="475" t="s">
        <v>1349</v>
      </c>
      <c r="P146" s="399" t="s">
        <v>184</v>
      </c>
      <c r="Q146" s="477">
        <f>3136*2.4</f>
        <v>7526.4</v>
      </c>
      <c r="R146" s="477">
        <f>7550+100</f>
        <v>7650</v>
      </c>
      <c r="S146" s="477">
        <v>7503.9530000000004</v>
      </c>
      <c r="T146" s="399"/>
      <c r="U146" s="401"/>
      <c r="V146" s="401"/>
      <c r="W146" s="401"/>
      <c r="X146" s="401"/>
      <c r="Y146" s="401"/>
      <c r="Z146" s="581"/>
      <c r="AA146" s="581"/>
      <c r="AB146" s="401"/>
      <c r="AC146" s="577"/>
      <c r="AD146" s="577"/>
      <c r="AU146" s="724">
        <f>S146</f>
        <v>7503.9530000000004</v>
      </c>
      <c r="AZ146" s="473">
        <f t="shared" si="44"/>
        <v>45217.208333333336</v>
      </c>
      <c r="BA146" s="473">
        <f t="shared" si="45"/>
        <v>45226.760416666664</v>
      </c>
      <c r="BB146" s="479">
        <f t="shared" si="46"/>
        <v>9.5520833333284827</v>
      </c>
      <c r="BC146" s="473">
        <v>45217.208333333336</v>
      </c>
      <c r="BD146" s="473">
        <v>45217.763888888891</v>
      </c>
      <c r="BE146" s="473">
        <v>45219.84375</v>
      </c>
      <c r="BF146" s="473">
        <v>45219.868055555555</v>
      </c>
      <c r="BG146" s="473">
        <v>45220.666666666664</v>
      </c>
      <c r="BH146" s="473">
        <v>45220.6875</v>
      </c>
      <c r="BI146" s="473">
        <v>45220.6875</v>
      </c>
      <c r="BJ146" s="473">
        <f t="shared" si="56"/>
        <v>45222.8125</v>
      </c>
      <c r="BK146" s="480">
        <v>45222.541666666664</v>
      </c>
      <c r="BL146" s="480">
        <v>45222.708333333328</v>
      </c>
      <c r="BM146" s="480">
        <v>45222.565972222219</v>
      </c>
      <c r="BN146" s="473">
        <v>45224.25</v>
      </c>
      <c r="BO146" s="473">
        <v>45225.569444444445</v>
      </c>
      <c r="BP146" s="473">
        <v>45226.163194444445</v>
      </c>
      <c r="BQ146" s="473">
        <v>45226.180555555555</v>
      </c>
      <c r="BR146" s="473">
        <v>45226.184027777781</v>
      </c>
      <c r="BS146" s="473">
        <v>45226.760416666664</v>
      </c>
      <c r="BV146" s="481">
        <f t="shared" si="47"/>
        <v>49.916666666627862</v>
      </c>
      <c r="BW146" s="481">
        <f t="shared" si="48"/>
        <v>19.166666666627862</v>
      </c>
      <c r="BX146" s="481">
        <f t="shared" si="49"/>
        <v>51</v>
      </c>
      <c r="BY146" s="481">
        <f t="shared" si="57"/>
        <v>37.000000000116415</v>
      </c>
      <c r="BZ146" s="482">
        <f t="shared" si="50"/>
        <v>14.25</v>
      </c>
      <c r="CA146" s="482">
        <f t="shared" si="51"/>
        <v>13.833333333197515</v>
      </c>
      <c r="CB146" s="483">
        <f t="shared" si="52"/>
        <v>7.7152777777737356</v>
      </c>
      <c r="CC146" s="483">
        <f t="shared" si="53"/>
        <v>9.5520833333284827</v>
      </c>
      <c r="CD146" s="484">
        <f t="shared" si="54"/>
        <v>0.80770628862230609</v>
      </c>
    </row>
    <row r="147" spans="1:82" s="475" customFormat="1">
      <c r="A147" s="474">
        <f t="shared" si="55"/>
        <v>45221.798611111109</v>
      </c>
      <c r="B147" s="475" t="s">
        <v>188</v>
      </c>
      <c r="C147" s="475" t="s">
        <v>184</v>
      </c>
      <c r="D147" s="475" t="s">
        <v>197</v>
      </c>
      <c r="E147" s="476" t="s">
        <v>3435</v>
      </c>
      <c r="G147" s="472">
        <v>45227.458333333336</v>
      </c>
      <c r="H147" s="472">
        <v>45227.458333333336</v>
      </c>
      <c r="I147" s="667" t="s">
        <v>818</v>
      </c>
      <c r="J147" s="475" t="s">
        <v>192</v>
      </c>
      <c r="K147" s="475" t="s">
        <v>192</v>
      </c>
      <c r="L147" s="667" t="s">
        <v>3436</v>
      </c>
      <c r="M147" s="530"/>
      <c r="N147" s="475" t="s">
        <v>292</v>
      </c>
      <c r="O147" s="475" t="s">
        <v>293</v>
      </c>
      <c r="P147" s="399" t="s">
        <v>184</v>
      </c>
      <c r="Q147" s="477">
        <f>3142*2.4</f>
        <v>7540.7999999999993</v>
      </c>
      <c r="R147" s="477">
        <f>7550+100</f>
        <v>7650</v>
      </c>
      <c r="S147" s="477">
        <v>7500.0609999999997</v>
      </c>
      <c r="T147" s="667"/>
      <c r="U147" s="581"/>
      <c r="V147" s="581"/>
      <c r="W147" s="581"/>
      <c r="X147" s="401"/>
      <c r="Y147" s="401"/>
      <c r="Z147" s="581"/>
      <c r="AA147" s="581"/>
      <c r="AB147" s="581"/>
      <c r="AC147" s="577"/>
      <c r="AD147" s="577"/>
      <c r="AU147" s="724">
        <f>S147</f>
        <v>7500.0609999999997</v>
      </c>
      <c r="AZ147" s="473">
        <f t="shared" si="44"/>
        <v>45214.326388888891</v>
      </c>
      <c r="BA147" s="473">
        <f t="shared" si="45"/>
        <v>45228.791666666664</v>
      </c>
      <c r="BB147" s="479">
        <f t="shared" si="46"/>
        <v>14.465277777773736</v>
      </c>
      <c r="BC147" s="473">
        <v>45214.326388888891</v>
      </c>
      <c r="BD147" s="473">
        <v>45217.635416666664</v>
      </c>
      <c r="BE147" s="473">
        <v>45219.850694444445</v>
      </c>
      <c r="BF147" s="473">
        <v>45221.798611111109</v>
      </c>
      <c r="BG147" s="473">
        <v>45222.861111111109</v>
      </c>
      <c r="BH147" s="473">
        <v>45222.878472222219</v>
      </c>
      <c r="BI147" s="473">
        <v>45222.888888888891</v>
      </c>
      <c r="BJ147" s="473">
        <f t="shared" si="56"/>
        <v>45225.013888888891</v>
      </c>
      <c r="BK147" s="473">
        <v>45225.583333333336</v>
      </c>
      <c r="BL147" s="473">
        <v>45225.75</v>
      </c>
      <c r="BM147" s="473">
        <v>45225.725694444445</v>
      </c>
      <c r="BN147" s="473">
        <v>45227.229166666664</v>
      </c>
      <c r="BO147" s="473">
        <v>45227.579861111109</v>
      </c>
      <c r="BP147" s="473">
        <v>45228.28125</v>
      </c>
      <c r="BQ147" s="473">
        <v>45228.309027777781</v>
      </c>
      <c r="BR147" s="473">
        <v>45228.3125</v>
      </c>
      <c r="BS147" s="473">
        <v>45228.791666666664</v>
      </c>
      <c r="BV147" s="481">
        <f t="shared" si="47"/>
        <v>53.166666666744277</v>
      </c>
      <c r="BW147" s="481">
        <f t="shared" si="48"/>
        <v>25.5</v>
      </c>
      <c r="BX147" s="481">
        <f t="shared" si="49"/>
        <v>51</v>
      </c>
      <c r="BY147" s="481">
        <f t="shared" si="57"/>
        <v>35.499999999941792</v>
      </c>
      <c r="BZ147" s="482">
        <f t="shared" si="50"/>
        <v>16.833333333372138</v>
      </c>
      <c r="CA147" s="482">
        <f t="shared" si="51"/>
        <v>11.499999999941792</v>
      </c>
      <c r="CB147" s="483">
        <f t="shared" si="52"/>
        <v>8.0625</v>
      </c>
      <c r="CC147" s="483">
        <f t="shared" si="53"/>
        <v>14.465277777773736</v>
      </c>
      <c r="CD147" s="484">
        <f t="shared" si="54"/>
        <v>0.55736917906880679</v>
      </c>
    </row>
    <row r="148" spans="1:82" s="475" customFormat="1">
      <c r="A148" s="474"/>
      <c r="D148" s="475" t="s">
        <v>215</v>
      </c>
      <c r="E148" s="476"/>
      <c r="G148" s="518"/>
      <c r="H148" s="518"/>
      <c r="J148" s="475" t="s">
        <v>2757</v>
      </c>
      <c r="L148" s="475" t="s">
        <v>3437</v>
      </c>
      <c r="M148" s="530"/>
      <c r="N148" s="475" t="s">
        <v>403</v>
      </c>
      <c r="O148" s="475" t="s">
        <v>404</v>
      </c>
      <c r="Q148" s="477">
        <f>3107*2.4</f>
        <v>7456.7999999999993</v>
      </c>
      <c r="R148" s="477">
        <f>7500+100</f>
        <v>7600</v>
      </c>
      <c r="S148" s="477"/>
      <c r="T148" s="477"/>
      <c r="AA148" s="401"/>
      <c r="AZ148" s="473">
        <f t="shared" si="44"/>
        <v>45200</v>
      </c>
      <c r="BA148" s="473">
        <f t="shared" si="45"/>
        <v>45229.720833333333</v>
      </c>
      <c r="BB148" s="479">
        <f t="shared" si="46"/>
        <v>29.720833333332848</v>
      </c>
      <c r="BC148" s="473">
        <v>45200</v>
      </c>
      <c r="BD148" s="518" t="s">
        <v>196</v>
      </c>
      <c r="BE148" s="518" t="s">
        <v>196</v>
      </c>
      <c r="BF148" s="518" t="s">
        <v>196</v>
      </c>
      <c r="BG148" s="518" t="s">
        <v>196</v>
      </c>
      <c r="BH148" s="518" t="s">
        <v>196</v>
      </c>
      <c r="BI148" s="518" t="s">
        <v>196</v>
      </c>
      <c r="BJ148" s="518" t="s">
        <v>196</v>
      </c>
      <c r="BK148" s="518" t="s">
        <v>196</v>
      </c>
      <c r="BL148" s="518" t="s">
        <v>196</v>
      </c>
      <c r="BM148" s="518" t="s">
        <v>196</v>
      </c>
      <c r="BN148" s="518" t="s">
        <v>196</v>
      </c>
      <c r="BO148" s="518" t="s">
        <v>196</v>
      </c>
      <c r="BP148" s="518" t="s">
        <v>196</v>
      </c>
      <c r="BQ148" s="518" t="s">
        <v>196</v>
      </c>
      <c r="BR148" s="518" t="s">
        <v>196</v>
      </c>
      <c r="BS148" s="473">
        <v>45229.720833333333</v>
      </c>
      <c r="BV148" s="481" t="e">
        <f t="shared" si="47"/>
        <v>#VALUE!</v>
      </c>
      <c r="BW148" s="481" t="e">
        <f t="shared" si="48"/>
        <v>#VALUE!</v>
      </c>
      <c r="BX148" s="481" t="e">
        <f t="shared" si="49"/>
        <v>#VALUE!</v>
      </c>
      <c r="BY148" s="481" t="e">
        <f t="shared" si="57"/>
        <v>#VALUE!</v>
      </c>
      <c r="BZ148" s="482" t="e">
        <f t="shared" si="50"/>
        <v>#VALUE!</v>
      </c>
      <c r="CA148" s="482" t="e">
        <f t="shared" si="51"/>
        <v>#VALUE!</v>
      </c>
      <c r="CB148" s="483" t="e">
        <f t="shared" si="52"/>
        <v>#VALUE!</v>
      </c>
      <c r="CC148" s="483">
        <f t="shared" si="53"/>
        <v>29.720833333332848</v>
      </c>
      <c r="CD148" s="484" t="e">
        <f t="shared" si="54"/>
        <v>#VALUE!</v>
      </c>
    </row>
    <row r="149" spans="1:82" s="475" customFormat="1">
      <c r="A149" s="474">
        <f t="shared" ref="A149:A174" si="58">BF149</f>
        <v>45203.996527777781</v>
      </c>
      <c r="B149" s="475" t="s">
        <v>228</v>
      </c>
      <c r="C149" s="475" t="s">
        <v>229</v>
      </c>
      <c r="D149" s="475" t="s">
        <v>197</v>
      </c>
      <c r="E149" s="725" t="s">
        <v>2816</v>
      </c>
      <c r="F149" s="399"/>
      <c r="G149" s="472">
        <v>45199.25</v>
      </c>
      <c r="H149" s="472">
        <v>45199.25</v>
      </c>
      <c r="I149" s="667" t="s">
        <v>497</v>
      </c>
      <c r="J149" s="475" t="s">
        <v>192</v>
      </c>
      <c r="K149" s="475" t="s">
        <v>192</v>
      </c>
      <c r="L149" s="475" t="s">
        <v>3438</v>
      </c>
      <c r="M149" s="530"/>
      <c r="N149" s="475" t="s">
        <v>249</v>
      </c>
      <c r="O149" s="475" t="s">
        <v>2315</v>
      </c>
      <c r="P149" s="667" t="s">
        <v>3439</v>
      </c>
      <c r="Q149" s="477">
        <f>3139*2.4</f>
        <v>7533.5999999999995</v>
      </c>
      <c r="R149" s="477">
        <f>7550+100</f>
        <v>7650</v>
      </c>
      <c r="S149" s="477">
        <v>7567.1710000000003</v>
      </c>
      <c r="T149" s="477"/>
      <c r="U149" s="724">
        <f>S149*0.2</f>
        <v>1513.4342000000001</v>
      </c>
      <c r="V149" s="724">
        <f>S149*0.8</f>
        <v>6053.7368000000006</v>
      </c>
      <c r="W149" s="575"/>
      <c r="X149" s="575"/>
      <c r="Y149" s="575"/>
      <c r="Z149" s="575"/>
      <c r="AA149" s="575"/>
      <c r="AZ149" s="473">
        <f t="shared" si="44"/>
        <v>45194.083333333336</v>
      </c>
      <c r="BA149" s="473">
        <f t="shared" si="45"/>
        <v>45211.8125</v>
      </c>
      <c r="BB149" s="479">
        <f t="shared" si="46"/>
        <v>17.729166666664241</v>
      </c>
      <c r="BC149" s="473">
        <v>45194.083333333336</v>
      </c>
      <c r="BD149" s="473">
        <v>45196.513888888891</v>
      </c>
      <c r="BE149" s="473">
        <v>45202.8125</v>
      </c>
      <c r="BF149" s="473">
        <v>45203.996527777781</v>
      </c>
      <c r="BG149" s="473">
        <v>45204.131944444445</v>
      </c>
      <c r="BH149" s="473">
        <v>45204.138888888891</v>
      </c>
      <c r="BI149" s="473">
        <v>45204.291666666664</v>
      </c>
      <c r="BJ149" s="473">
        <f t="shared" ref="BJ149:BJ174" si="59">BI149+(41/24)</f>
        <v>45206</v>
      </c>
      <c r="BK149" s="485">
        <v>45206.25</v>
      </c>
      <c r="BL149" s="485">
        <v>45206.416666608799</v>
      </c>
      <c r="BM149" s="485">
        <v>45206.298611111109</v>
      </c>
      <c r="BN149" s="473">
        <v>45207.993055555555</v>
      </c>
      <c r="BO149" s="473">
        <v>45211.475694444445</v>
      </c>
      <c r="BP149" s="473">
        <v>45211.798611111109</v>
      </c>
      <c r="BQ149" s="473">
        <v>45211.8125</v>
      </c>
      <c r="BR149" s="473">
        <v>45211.8125</v>
      </c>
      <c r="BS149" s="473">
        <v>45211.8125</v>
      </c>
      <c r="BT149" s="475" t="s">
        <v>3440</v>
      </c>
      <c r="BV149" s="481">
        <f t="shared" si="47"/>
        <v>151.16666666662786</v>
      </c>
      <c r="BW149" s="481">
        <f t="shared" si="48"/>
        <v>3.2499999999417923</v>
      </c>
      <c r="BX149" s="481">
        <f t="shared" si="49"/>
        <v>41.000000000058208</v>
      </c>
      <c r="BY149" s="481">
        <f t="shared" si="57"/>
        <v>37.83333472214872</v>
      </c>
      <c r="BZ149" s="482">
        <f t="shared" si="50"/>
        <v>7.7499999999417923</v>
      </c>
      <c r="CA149" s="482">
        <f t="shared" si="51"/>
        <v>0</v>
      </c>
      <c r="CB149" s="483">
        <f t="shared" si="52"/>
        <v>10.041666724529932</v>
      </c>
      <c r="CC149" s="483">
        <f t="shared" si="53"/>
        <v>17.729166666664241</v>
      </c>
      <c r="CD149" s="484">
        <f t="shared" si="54"/>
        <v>0.56639248269976816</v>
      </c>
    </row>
    <row r="150" spans="1:82" s="475" customFormat="1">
      <c r="A150" s="474">
        <f t="shared" si="58"/>
        <v>45204.163194444445</v>
      </c>
      <c r="B150" s="475" t="s">
        <v>228</v>
      </c>
      <c r="C150" s="475" t="s">
        <v>229</v>
      </c>
      <c r="D150" s="475" t="s">
        <v>197</v>
      </c>
      <c r="E150" s="725" t="s">
        <v>2816</v>
      </c>
      <c r="F150" s="399"/>
      <c r="G150" s="472">
        <v>45199.25</v>
      </c>
      <c r="H150" s="472">
        <v>45199.25</v>
      </c>
      <c r="I150" s="667" t="s">
        <v>497</v>
      </c>
      <c r="J150" s="475" t="s">
        <v>192</v>
      </c>
      <c r="K150" s="475" t="s">
        <v>192</v>
      </c>
      <c r="L150" s="475" t="s">
        <v>3441</v>
      </c>
      <c r="M150" s="530"/>
      <c r="N150" s="475" t="s">
        <v>213</v>
      </c>
      <c r="O150" s="475" t="s">
        <v>214</v>
      </c>
      <c r="P150" s="667" t="s">
        <v>3439</v>
      </c>
      <c r="Q150" s="477">
        <f>3113*2.4</f>
        <v>7471.2</v>
      </c>
      <c r="R150" s="477">
        <f>7500+100</f>
        <v>7600</v>
      </c>
      <c r="S150" s="477">
        <v>7531.4539999999997</v>
      </c>
      <c r="T150" s="477"/>
      <c r="U150" s="724">
        <f>S150*0.2</f>
        <v>1506.2908</v>
      </c>
      <c r="V150" s="724">
        <f>S150*0.8</f>
        <v>6025.1632</v>
      </c>
      <c r="W150" s="665"/>
      <c r="X150" s="575"/>
      <c r="Y150" s="575"/>
      <c r="Z150" s="575"/>
      <c r="AA150" s="575"/>
      <c r="AZ150" s="473">
        <f t="shared" si="44"/>
        <v>45194.104166666664</v>
      </c>
      <c r="BA150" s="473">
        <f t="shared" si="45"/>
        <v>45213.104166666664</v>
      </c>
      <c r="BB150" s="479">
        <f t="shared" si="46"/>
        <v>19</v>
      </c>
      <c r="BC150" s="473">
        <v>45194.104166666664</v>
      </c>
      <c r="BD150" s="473">
        <v>45201.611111111109</v>
      </c>
      <c r="BE150" s="473">
        <v>45203.006944444445</v>
      </c>
      <c r="BF150" s="473">
        <v>45204.163194444445</v>
      </c>
      <c r="BG150" s="473">
        <v>45204.418749999997</v>
      </c>
      <c r="BH150" s="473">
        <v>45204.423611111109</v>
      </c>
      <c r="BI150" s="473">
        <v>45204.423611111109</v>
      </c>
      <c r="BJ150" s="473">
        <f t="shared" si="59"/>
        <v>45206.131944444445</v>
      </c>
      <c r="BK150" s="485">
        <v>45206.25</v>
      </c>
      <c r="BL150" s="485">
        <v>45206.416666608799</v>
      </c>
      <c r="BM150" s="473">
        <v>45206.364583333336</v>
      </c>
      <c r="BN150" s="473">
        <v>45208.100694444445</v>
      </c>
      <c r="BO150" s="473">
        <v>45211.864583333336</v>
      </c>
      <c r="BP150" s="473">
        <v>45212.138888888891</v>
      </c>
      <c r="BQ150" s="473">
        <v>45212.232638888891</v>
      </c>
      <c r="BR150" s="473">
        <v>45212.684027777781</v>
      </c>
      <c r="BS150" s="473">
        <v>45213.104166666664</v>
      </c>
      <c r="BV150" s="481">
        <f t="shared" si="47"/>
        <v>33.500000000058208</v>
      </c>
      <c r="BW150" s="481">
        <f t="shared" si="48"/>
        <v>6.1333333332440816</v>
      </c>
      <c r="BX150" s="481">
        <f t="shared" si="49"/>
        <v>41.000000000058208</v>
      </c>
      <c r="BY150" s="481">
        <f t="shared" si="57"/>
        <v>40.416668055520859</v>
      </c>
      <c r="BZ150" s="482">
        <f t="shared" si="50"/>
        <v>6.5833333333139308</v>
      </c>
      <c r="CA150" s="482">
        <f t="shared" si="51"/>
        <v>10.083333333197515</v>
      </c>
      <c r="CB150" s="483">
        <f t="shared" si="52"/>
        <v>5.7381945023080334</v>
      </c>
      <c r="CC150" s="483">
        <f t="shared" si="53"/>
        <v>19</v>
      </c>
      <c r="CD150" s="484">
        <f t="shared" si="54"/>
        <v>0.3020102369635807</v>
      </c>
    </row>
    <row r="151" spans="1:82" s="475" customFormat="1">
      <c r="A151" s="474">
        <f t="shared" si="58"/>
        <v>45204.444444444445</v>
      </c>
      <c r="B151" s="475" t="s">
        <v>228</v>
      </c>
      <c r="C151" s="475" t="s">
        <v>229</v>
      </c>
      <c r="D151" s="475" t="s">
        <v>215</v>
      </c>
      <c r="E151" s="725" t="s">
        <v>2816</v>
      </c>
      <c r="G151" s="472">
        <v>45199.25</v>
      </c>
      <c r="H151" s="472">
        <v>45199.25</v>
      </c>
      <c r="I151" s="667" t="s">
        <v>497</v>
      </c>
      <c r="J151" s="475" t="s">
        <v>192</v>
      </c>
      <c r="K151" s="475" t="s">
        <v>192</v>
      </c>
      <c r="L151" s="475" t="s">
        <v>3442</v>
      </c>
      <c r="M151" s="530"/>
      <c r="N151" s="475" t="s">
        <v>343</v>
      </c>
      <c r="O151" s="475" t="s">
        <v>344</v>
      </c>
      <c r="P151" s="667" t="s">
        <v>3439</v>
      </c>
      <c r="Q151" s="477">
        <f>3136*2.4</f>
        <v>7526.4</v>
      </c>
      <c r="R151" s="477">
        <f>7550+100</f>
        <v>7650</v>
      </c>
      <c r="S151" s="477">
        <v>7413.085</v>
      </c>
      <c r="T151" s="477"/>
      <c r="U151" s="724">
        <f>S151*0.2</f>
        <v>1482.6170000000002</v>
      </c>
      <c r="V151" s="724">
        <f>S151*0.8</f>
        <v>5930.4680000000008</v>
      </c>
      <c r="W151" s="665"/>
      <c r="X151" s="575"/>
      <c r="Y151" s="575"/>
      <c r="Z151" s="575"/>
      <c r="AA151" s="575"/>
      <c r="AZ151" s="473">
        <f t="shared" si="44"/>
        <v>45195.3125</v>
      </c>
      <c r="BA151" s="473">
        <f t="shared" si="45"/>
        <v>45212.916666666664</v>
      </c>
      <c r="BB151" s="479">
        <f t="shared" si="46"/>
        <v>17.604166666664241</v>
      </c>
      <c r="BC151" s="473">
        <v>45195.3125</v>
      </c>
      <c r="BD151" s="473">
        <v>45201.555555555555</v>
      </c>
      <c r="BE151" s="473">
        <v>45203.326388888891</v>
      </c>
      <c r="BF151" s="473">
        <v>45204.444444444445</v>
      </c>
      <c r="BG151" s="473">
        <v>45204.583333333336</v>
      </c>
      <c r="BH151" s="473">
        <v>45204.590277777781</v>
      </c>
      <c r="BI151" s="473">
        <v>45204.590277777781</v>
      </c>
      <c r="BJ151" s="473">
        <f t="shared" si="59"/>
        <v>45206.298611111117</v>
      </c>
      <c r="BK151" s="473">
        <v>45207.583333333336</v>
      </c>
      <c r="BL151" s="473">
        <v>45207.75</v>
      </c>
      <c r="BM151" s="473">
        <v>45207.590277777781</v>
      </c>
      <c r="BN151" s="473">
        <v>45209.229166666664</v>
      </c>
      <c r="BO151" s="473">
        <v>45210.355555555558</v>
      </c>
      <c r="BP151" s="473">
        <v>45212.163194444445</v>
      </c>
      <c r="BQ151" s="473">
        <v>45212.277777777781</v>
      </c>
      <c r="BR151" s="473">
        <v>45212.28125</v>
      </c>
      <c r="BS151" s="473">
        <v>45212.916666666664</v>
      </c>
      <c r="BV151" s="481">
        <f t="shared" si="47"/>
        <v>42.500000000058208</v>
      </c>
      <c r="BW151" s="481">
        <f t="shared" si="48"/>
        <v>3.3333333333721384</v>
      </c>
      <c r="BX151" s="481">
        <f t="shared" si="49"/>
        <v>41.000000000058208</v>
      </c>
      <c r="BY151" s="481">
        <f t="shared" si="57"/>
        <v>35.499999999941792</v>
      </c>
      <c r="BZ151" s="482">
        <f t="shared" si="50"/>
        <v>43.383333333302289</v>
      </c>
      <c r="CA151" s="482">
        <f t="shared" si="51"/>
        <v>15.249999999941792</v>
      </c>
      <c r="CB151" s="483">
        <f t="shared" si="52"/>
        <v>7.5402777777781012</v>
      </c>
      <c r="CC151" s="483">
        <f t="shared" si="53"/>
        <v>17.604166666664241</v>
      </c>
      <c r="CD151" s="484">
        <f t="shared" si="54"/>
        <v>0.42832347140047183</v>
      </c>
    </row>
    <row r="152" spans="1:82" s="475" customFormat="1">
      <c r="A152" s="474">
        <f t="shared" si="58"/>
        <v>45204.838194444441</v>
      </c>
      <c r="B152" s="475" t="s">
        <v>228</v>
      </c>
      <c r="C152" s="475" t="s">
        <v>229</v>
      </c>
      <c r="D152" s="475" t="s">
        <v>197</v>
      </c>
      <c r="E152" s="725" t="s">
        <v>3090</v>
      </c>
      <c r="F152" s="399"/>
      <c r="G152" s="472">
        <v>45196.333333333336</v>
      </c>
      <c r="H152" s="472">
        <v>45196.212500000001</v>
      </c>
      <c r="I152" s="667" t="s">
        <v>497</v>
      </c>
      <c r="J152" s="475" t="s">
        <v>192</v>
      </c>
      <c r="K152" s="475" t="s">
        <v>192</v>
      </c>
      <c r="L152" s="475" t="s">
        <v>3443</v>
      </c>
      <c r="M152" s="530"/>
      <c r="N152" s="475" t="s">
        <v>298</v>
      </c>
      <c r="O152" s="475" t="s">
        <v>299</v>
      </c>
      <c r="P152" s="667" t="s">
        <v>494</v>
      </c>
      <c r="Q152" s="477">
        <f>4337*2.4</f>
        <v>10408.799999999999</v>
      </c>
      <c r="R152" s="477">
        <f>10450+100</f>
        <v>10550</v>
      </c>
      <c r="S152" s="477">
        <v>8229.9</v>
      </c>
      <c r="T152" s="477"/>
      <c r="U152" s="724">
        <f t="shared" ref="U152:U159" si="60">S152</f>
        <v>8229.9</v>
      </c>
      <c r="V152" s="577"/>
      <c r="W152" s="665"/>
      <c r="X152" s="575"/>
      <c r="Y152" s="575"/>
      <c r="Z152" s="575"/>
      <c r="AA152" s="575"/>
      <c r="AZ152" s="473">
        <f t="shared" si="44"/>
        <v>45192.541666666664</v>
      </c>
      <c r="BA152" s="473">
        <f t="shared" si="45"/>
        <v>45213.357638888891</v>
      </c>
      <c r="BB152" s="479">
        <f t="shared" si="46"/>
        <v>20.815972222226264</v>
      </c>
      <c r="BC152" s="473">
        <v>45192.541666666664</v>
      </c>
      <c r="BD152" s="473">
        <v>45200.5625</v>
      </c>
      <c r="BE152" s="473">
        <v>45202.020833333336</v>
      </c>
      <c r="BF152" s="473">
        <v>45204.838194444441</v>
      </c>
      <c r="BG152" s="473">
        <v>45205.013888888891</v>
      </c>
      <c r="BH152" s="473">
        <v>45205.017361111109</v>
      </c>
      <c r="BI152" s="473">
        <v>45205.291666666664</v>
      </c>
      <c r="BJ152" s="473">
        <f t="shared" si="59"/>
        <v>45207</v>
      </c>
      <c r="BK152" s="473">
        <v>45207.583333333336</v>
      </c>
      <c r="BL152" s="473">
        <v>45207.75</v>
      </c>
      <c r="BM152" s="473">
        <v>45207.559027777781</v>
      </c>
      <c r="BN152" s="473">
        <v>45209.125</v>
      </c>
      <c r="BO152" s="473">
        <v>45212.315972222219</v>
      </c>
      <c r="BP152" s="473">
        <v>45212.666666666664</v>
      </c>
      <c r="BQ152" s="473">
        <v>45212.711805555555</v>
      </c>
      <c r="BR152" s="473">
        <v>45212.715277777781</v>
      </c>
      <c r="BS152" s="473">
        <v>45213.357638888891</v>
      </c>
      <c r="BV152" s="481">
        <f t="shared" si="47"/>
        <v>35.000000000058208</v>
      </c>
      <c r="BW152" s="481">
        <f t="shared" si="48"/>
        <v>4.216666666790843</v>
      </c>
      <c r="BX152" s="481">
        <f t="shared" si="49"/>
        <v>41.000000000058208</v>
      </c>
      <c r="BY152" s="481">
        <f t="shared" si="57"/>
        <v>33</v>
      </c>
      <c r="BZ152" s="482">
        <f t="shared" si="50"/>
        <v>8.4166666666860692</v>
      </c>
      <c r="CA152" s="482">
        <f t="shared" si="51"/>
        <v>15.416666666627862</v>
      </c>
      <c r="CB152" s="483">
        <f t="shared" si="52"/>
        <v>5.7104166666758829</v>
      </c>
      <c r="CC152" s="483">
        <f t="shared" si="53"/>
        <v>20.815972222226264</v>
      </c>
      <c r="CD152" s="484">
        <f t="shared" si="54"/>
        <v>0.27432860717303337</v>
      </c>
    </row>
    <row r="153" spans="1:82" s="475" customFormat="1">
      <c r="A153" s="474">
        <f t="shared" si="58"/>
        <v>45205.041666666664</v>
      </c>
      <c r="B153" s="475" t="s">
        <v>228</v>
      </c>
      <c r="C153" s="475" t="s">
        <v>229</v>
      </c>
      <c r="D153" s="475" t="s">
        <v>215</v>
      </c>
      <c r="E153" s="725" t="s">
        <v>3090</v>
      </c>
      <c r="F153" s="399"/>
      <c r="G153" s="472">
        <v>45196.333333333336</v>
      </c>
      <c r="H153" s="472">
        <v>45196.212500000001</v>
      </c>
      <c r="I153" s="667" t="s">
        <v>497</v>
      </c>
      <c r="J153" s="475" t="s">
        <v>192</v>
      </c>
      <c r="K153" s="475" t="s">
        <v>192</v>
      </c>
      <c r="L153" s="475" t="s">
        <v>3444</v>
      </c>
      <c r="M153" s="530"/>
      <c r="N153" s="475" t="s">
        <v>301</v>
      </c>
      <c r="O153" s="475" t="s">
        <v>302</v>
      </c>
      <c r="P153" s="667" t="s">
        <v>494</v>
      </c>
      <c r="Q153" s="477">
        <f>3852*2.4</f>
        <v>9244.7999999999993</v>
      </c>
      <c r="R153" s="477">
        <v>9250</v>
      </c>
      <c r="S153" s="477">
        <v>8108.8469999999998</v>
      </c>
      <c r="T153" s="477"/>
      <c r="U153" s="724">
        <f t="shared" si="60"/>
        <v>8108.8469999999998</v>
      </c>
      <c r="V153" s="577"/>
      <c r="W153" s="665"/>
      <c r="X153" s="575"/>
      <c r="Y153" s="575"/>
      <c r="Z153" s="575"/>
      <c r="AA153" s="575"/>
      <c r="AZ153" s="473">
        <f t="shared" si="44"/>
        <v>45194.506944444445</v>
      </c>
      <c r="BA153" s="473">
        <f t="shared" si="45"/>
        <v>45213.923611111109</v>
      </c>
      <c r="BB153" s="479">
        <f t="shared" si="46"/>
        <v>19.416666666664241</v>
      </c>
      <c r="BC153" s="473">
        <v>45194.506944444445</v>
      </c>
      <c r="BD153" s="473">
        <v>45201.559027777781</v>
      </c>
      <c r="BE153" s="473">
        <v>45203.020833333336</v>
      </c>
      <c r="BF153" s="473">
        <v>45205.041666666664</v>
      </c>
      <c r="BG153" s="473">
        <v>45205.234722222223</v>
      </c>
      <c r="BH153" s="473">
        <v>45205.243055555555</v>
      </c>
      <c r="BI153" s="473">
        <v>45205.25</v>
      </c>
      <c r="BJ153" s="473">
        <f t="shared" si="59"/>
        <v>45206.958333333336</v>
      </c>
      <c r="BK153" s="473">
        <v>45207.583333333336</v>
      </c>
      <c r="BL153" s="473">
        <v>45207.75</v>
      </c>
      <c r="BM153" s="473">
        <v>45207.572916666664</v>
      </c>
      <c r="BN153" s="473">
        <v>45209.208333333336</v>
      </c>
      <c r="BO153" s="473">
        <v>45213.076388888891</v>
      </c>
      <c r="BP153" s="473">
        <v>45213.527777777781</v>
      </c>
      <c r="BQ153" s="473">
        <v>45213.545138888891</v>
      </c>
      <c r="BR153" s="473">
        <v>45213.548611111109</v>
      </c>
      <c r="BS153" s="473">
        <v>45213.923611111109</v>
      </c>
      <c r="BV153" s="481">
        <f t="shared" si="47"/>
        <v>35.083333333313931</v>
      </c>
      <c r="BW153" s="481">
        <f t="shared" si="48"/>
        <v>4.6333333334187046</v>
      </c>
      <c r="BX153" s="481">
        <f t="shared" si="49"/>
        <v>41.000000000058208</v>
      </c>
      <c r="BY153" s="481">
        <f t="shared" si="57"/>
        <v>35.000000000058208</v>
      </c>
      <c r="BZ153" s="482">
        <f t="shared" si="50"/>
        <v>10.833333333372138</v>
      </c>
      <c r="CA153" s="482">
        <f t="shared" si="51"/>
        <v>9</v>
      </c>
      <c r="CB153" s="483">
        <f t="shared" si="52"/>
        <v>5.6479166666758829</v>
      </c>
      <c r="CC153" s="483">
        <f t="shared" si="53"/>
        <v>19.416666666664241</v>
      </c>
      <c r="CD153" s="484">
        <f t="shared" si="54"/>
        <v>0.29087982832669124</v>
      </c>
    </row>
    <row r="154" spans="1:82" s="475" customFormat="1">
      <c r="A154" s="474">
        <f t="shared" si="58"/>
        <v>45205.329861111109</v>
      </c>
      <c r="B154" s="475" t="s">
        <v>228</v>
      </c>
      <c r="C154" s="475" t="s">
        <v>229</v>
      </c>
      <c r="D154" s="475" t="s">
        <v>197</v>
      </c>
      <c r="E154" s="725" t="s">
        <v>3090</v>
      </c>
      <c r="F154" s="399"/>
      <c r="G154" s="472">
        <v>45196.333333333336</v>
      </c>
      <c r="H154" s="472">
        <v>45196.212500000001</v>
      </c>
      <c r="I154" s="667" t="s">
        <v>497</v>
      </c>
      <c r="J154" s="475" t="s">
        <v>192</v>
      </c>
      <c r="K154" s="475" t="s">
        <v>192</v>
      </c>
      <c r="L154" s="475" t="s">
        <v>3445</v>
      </c>
      <c r="M154" s="530"/>
      <c r="N154" s="475" t="s">
        <v>2404</v>
      </c>
      <c r="O154" s="475" t="s">
        <v>2405</v>
      </c>
      <c r="P154" s="667" t="s">
        <v>494</v>
      </c>
      <c r="Q154" s="477">
        <f>3243*2.4</f>
        <v>7783.2</v>
      </c>
      <c r="R154" s="477">
        <f>7800+100</f>
        <v>7900</v>
      </c>
      <c r="S154" s="477">
        <v>7745.9160000000002</v>
      </c>
      <c r="T154" s="477"/>
      <c r="U154" s="724">
        <f t="shared" si="60"/>
        <v>7745.9160000000002</v>
      </c>
      <c r="V154" s="575"/>
      <c r="W154" s="575"/>
      <c r="X154" s="575"/>
      <c r="Y154" s="575"/>
      <c r="Z154" s="575"/>
      <c r="AA154" s="575"/>
      <c r="AZ154" s="473">
        <f t="shared" si="44"/>
        <v>45195.416666666664</v>
      </c>
      <c r="BA154" s="473">
        <f t="shared" si="45"/>
        <v>45214.336805555555</v>
      </c>
      <c r="BB154" s="479">
        <f t="shared" si="46"/>
        <v>18.920138888890506</v>
      </c>
      <c r="BC154" s="473">
        <v>45195.416666666664</v>
      </c>
      <c r="BD154" s="473">
        <v>45201.618055555555</v>
      </c>
      <c r="BE154" s="473">
        <v>45203.125</v>
      </c>
      <c r="BF154" s="473">
        <v>45205.329861111109</v>
      </c>
      <c r="BG154" s="473">
        <v>45205.475694444445</v>
      </c>
      <c r="BH154" s="473">
        <v>45205.479166666664</v>
      </c>
      <c r="BI154" s="473">
        <v>45205.479166666664</v>
      </c>
      <c r="BJ154" s="473">
        <f t="shared" si="59"/>
        <v>45207.1875</v>
      </c>
      <c r="BK154" s="473">
        <v>45207.583333333336</v>
      </c>
      <c r="BL154" s="473">
        <v>45207.75</v>
      </c>
      <c r="BM154" s="473">
        <v>45207.666666666664</v>
      </c>
      <c r="BN154" s="473">
        <v>45209.5</v>
      </c>
      <c r="BO154" s="473">
        <v>45213.597222222219</v>
      </c>
      <c r="BP154" s="473">
        <v>45213.836805555555</v>
      </c>
      <c r="BQ154" s="473">
        <v>45213.857638888891</v>
      </c>
      <c r="BR154" s="473">
        <v>45213.861111111109</v>
      </c>
      <c r="BS154" s="480">
        <v>45214.336805555555</v>
      </c>
      <c r="BV154" s="481">
        <f t="shared" si="47"/>
        <v>36.166666666686069</v>
      </c>
      <c r="BW154" s="481">
        <f t="shared" si="48"/>
        <v>3.5000000000582077</v>
      </c>
      <c r="BX154" s="481">
        <f t="shared" si="49"/>
        <v>41.000000000058208</v>
      </c>
      <c r="BY154" s="481">
        <f t="shared" si="57"/>
        <v>42</v>
      </c>
      <c r="BZ154" s="482">
        <f t="shared" si="50"/>
        <v>5.7500000000582077</v>
      </c>
      <c r="CA154" s="482">
        <f t="shared" si="51"/>
        <v>11.416666666686069</v>
      </c>
      <c r="CB154" s="483">
        <f t="shared" si="52"/>
        <v>5.8263888888977817</v>
      </c>
      <c r="CC154" s="483">
        <f t="shared" si="53"/>
        <v>18.920138888890506</v>
      </c>
      <c r="CD154" s="484">
        <f t="shared" si="54"/>
        <v>0.30794641218616586</v>
      </c>
    </row>
    <row r="155" spans="1:82" s="475" customFormat="1">
      <c r="A155" s="474">
        <f t="shared" si="58"/>
        <v>45205.506944444445</v>
      </c>
      <c r="B155" s="475" t="s">
        <v>228</v>
      </c>
      <c r="C155" s="475" t="s">
        <v>229</v>
      </c>
      <c r="D155" s="475" t="s">
        <v>197</v>
      </c>
      <c r="E155" s="725" t="s">
        <v>3090</v>
      </c>
      <c r="F155" s="399"/>
      <c r="G155" s="472">
        <v>45196.333333333336</v>
      </c>
      <c r="H155" s="472">
        <v>45196.212500000001</v>
      </c>
      <c r="I155" s="667" t="s">
        <v>497</v>
      </c>
      <c r="J155" s="475" t="s">
        <v>192</v>
      </c>
      <c r="K155" s="475" t="s">
        <v>192</v>
      </c>
      <c r="L155" s="475" t="s">
        <v>3446</v>
      </c>
      <c r="M155" s="530"/>
      <c r="N155" s="475" t="s">
        <v>367</v>
      </c>
      <c r="O155" s="475" t="s">
        <v>368</v>
      </c>
      <c r="P155" s="667" t="s">
        <v>494</v>
      </c>
      <c r="Q155" s="477">
        <f>4111*2.4</f>
        <v>9866.4</v>
      </c>
      <c r="R155" s="477">
        <f>9900+100</f>
        <v>10000</v>
      </c>
      <c r="S155" s="477">
        <v>7676.8329999999996</v>
      </c>
      <c r="T155" s="477"/>
      <c r="U155" s="724">
        <f t="shared" si="60"/>
        <v>7676.8329999999996</v>
      </c>
      <c r="V155" s="575"/>
      <c r="W155" s="575"/>
      <c r="X155" s="575"/>
      <c r="Y155" s="575"/>
      <c r="Z155" s="575"/>
      <c r="AA155" s="575"/>
      <c r="AZ155" s="473">
        <f t="shared" si="44"/>
        <v>45194.3125</v>
      </c>
      <c r="BA155" s="473">
        <f t="shared" si="45"/>
        <v>45216.416666666664</v>
      </c>
      <c r="BB155" s="479">
        <f t="shared" si="46"/>
        <v>22.104166666664241</v>
      </c>
      <c r="BC155" s="473">
        <v>45194.3125</v>
      </c>
      <c r="BD155" s="473">
        <v>45201.868055555555</v>
      </c>
      <c r="BE155" s="473">
        <v>45203.625</v>
      </c>
      <c r="BF155" s="473">
        <v>45205.506944444445</v>
      </c>
      <c r="BG155" s="473">
        <v>45205.679166666669</v>
      </c>
      <c r="BH155" s="473">
        <v>45205.684027777781</v>
      </c>
      <c r="BI155" s="473">
        <v>45205.684027777781</v>
      </c>
      <c r="BJ155" s="473">
        <f t="shared" si="59"/>
        <v>45207.392361111117</v>
      </c>
      <c r="BK155" s="473">
        <v>45207.583333333336</v>
      </c>
      <c r="BL155" s="473">
        <v>45207.75</v>
      </c>
      <c r="BM155" s="473">
        <v>45207.729166666664</v>
      </c>
      <c r="BN155" s="473">
        <v>45210.493055555555</v>
      </c>
      <c r="BO155" s="473">
        <v>45215.520833333336</v>
      </c>
      <c r="BP155" s="473">
        <v>45215.795138888891</v>
      </c>
      <c r="BQ155" s="473">
        <v>45215.909722222219</v>
      </c>
      <c r="BR155" s="473">
        <v>45215.913194444445</v>
      </c>
      <c r="BS155" s="473">
        <v>45216.416666666664</v>
      </c>
      <c r="BV155" s="481">
        <f t="shared" si="47"/>
        <v>42.166666666686069</v>
      </c>
      <c r="BW155" s="481">
        <f t="shared" si="48"/>
        <v>4.1333333333604969</v>
      </c>
      <c r="BX155" s="481">
        <f t="shared" si="49"/>
        <v>41.000000000058208</v>
      </c>
      <c r="BY155" s="481">
        <f t="shared" si="57"/>
        <v>65.833333333313931</v>
      </c>
      <c r="BZ155" s="482">
        <f t="shared" si="50"/>
        <v>6.5833333333139308</v>
      </c>
      <c r="CA155" s="482">
        <f t="shared" si="51"/>
        <v>12.083333333255723</v>
      </c>
      <c r="CB155" s="483">
        <f t="shared" si="52"/>
        <v>7.1583333333328483</v>
      </c>
      <c r="CC155" s="483">
        <f t="shared" si="53"/>
        <v>22.104166666664241</v>
      </c>
      <c r="CD155" s="484">
        <f t="shared" si="54"/>
        <v>0.32384542884072992</v>
      </c>
    </row>
    <row r="156" spans="1:82" s="475" customFormat="1">
      <c r="A156" s="474">
        <f t="shared" si="58"/>
        <v>45206.680555555555</v>
      </c>
      <c r="B156" s="475" t="s">
        <v>228</v>
      </c>
      <c r="C156" s="475" t="s">
        <v>229</v>
      </c>
      <c r="D156" s="475" t="s">
        <v>197</v>
      </c>
      <c r="E156" s="725" t="s">
        <v>3090</v>
      </c>
      <c r="F156" s="399"/>
      <c r="G156" s="472">
        <v>45196.333333333336</v>
      </c>
      <c r="H156" s="472">
        <v>45196.212500000001</v>
      </c>
      <c r="I156" s="667" t="s">
        <v>497</v>
      </c>
      <c r="J156" s="475" t="s">
        <v>192</v>
      </c>
      <c r="K156" s="475" t="s">
        <v>192</v>
      </c>
      <c r="L156" s="475" t="s">
        <v>3447</v>
      </c>
      <c r="M156" s="530"/>
      <c r="N156" s="475" t="s">
        <v>330</v>
      </c>
      <c r="O156" s="475" t="s">
        <v>331</v>
      </c>
      <c r="P156" s="667" t="s">
        <v>494</v>
      </c>
      <c r="Q156" s="477">
        <f>3136*2.4</f>
        <v>7526.4</v>
      </c>
      <c r="R156" s="477">
        <f>7550+100</f>
        <v>7650</v>
      </c>
      <c r="S156" s="477">
        <v>6818.7470000000003</v>
      </c>
      <c r="T156" s="477"/>
      <c r="U156" s="724">
        <f t="shared" si="60"/>
        <v>6818.7470000000003</v>
      </c>
      <c r="V156" s="575"/>
      <c r="W156" s="575"/>
      <c r="X156" s="575"/>
      <c r="Y156" s="575"/>
      <c r="Z156" s="575"/>
      <c r="AA156" s="575"/>
      <c r="AZ156" s="473">
        <f t="shared" si="44"/>
        <v>45198.097222222219</v>
      </c>
      <c r="BA156" s="473">
        <f t="shared" si="45"/>
        <v>45215.166666666664</v>
      </c>
      <c r="BB156" s="479">
        <f t="shared" si="46"/>
        <v>17.069444444445253</v>
      </c>
      <c r="BC156" s="473">
        <v>45198.097222222219</v>
      </c>
      <c r="BD156" s="473">
        <v>45203.486111111109</v>
      </c>
      <c r="BE156" s="473">
        <v>45205.083333333336</v>
      </c>
      <c r="BF156" s="473">
        <v>45206.680555555555</v>
      </c>
      <c r="BG156" s="473">
        <v>45206.868055555555</v>
      </c>
      <c r="BH156" s="473">
        <v>45206.871527777781</v>
      </c>
      <c r="BI156" s="473">
        <v>45206.871527777781</v>
      </c>
      <c r="BJ156" s="473">
        <f t="shared" si="59"/>
        <v>45208.579861111117</v>
      </c>
      <c r="BK156" s="480">
        <v>45208.583333333336</v>
      </c>
      <c r="BL156" s="480">
        <v>45208.75</v>
      </c>
      <c r="BM156" s="480">
        <v>45208.607638888891</v>
      </c>
      <c r="BN156" s="473">
        <v>45210.3125</v>
      </c>
      <c r="BO156" s="473">
        <v>45214.319444444445</v>
      </c>
      <c r="BP156" s="473">
        <v>45214.59375</v>
      </c>
      <c r="BQ156" s="473">
        <v>45214.604166666664</v>
      </c>
      <c r="BR156" s="473">
        <v>45214.673611111109</v>
      </c>
      <c r="BS156" s="473">
        <v>45215.166666666664</v>
      </c>
      <c r="BV156" s="481">
        <f t="shared" si="47"/>
        <v>38.333333333430346</v>
      </c>
      <c r="BW156" s="481">
        <f t="shared" si="48"/>
        <v>4.5</v>
      </c>
      <c r="BX156" s="481">
        <f t="shared" si="49"/>
        <v>41.000000000058208</v>
      </c>
      <c r="BY156" s="481">
        <f t="shared" si="57"/>
        <v>37.5</v>
      </c>
      <c r="BZ156" s="482">
        <f t="shared" si="50"/>
        <v>6.5833333333139308</v>
      </c>
      <c r="CA156" s="482">
        <f t="shared" si="51"/>
        <v>11.833333333313931</v>
      </c>
      <c r="CB156" s="483">
        <f t="shared" si="52"/>
        <v>5.8229166666715173</v>
      </c>
      <c r="CC156" s="483">
        <f t="shared" si="53"/>
        <v>17.069444444445253</v>
      </c>
      <c r="CD156" s="484">
        <f t="shared" si="54"/>
        <v>0.34113100081393766</v>
      </c>
    </row>
    <row r="157" spans="1:82" s="475" customFormat="1">
      <c r="A157" s="474">
        <f t="shared" si="58"/>
        <v>45206.892361111109</v>
      </c>
      <c r="B157" s="475" t="s">
        <v>228</v>
      </c>
      <c r="C157" s="475" t="s">
        <v>229</v>
      </c>
      <c r="D157" s="475" t="s">
        <v>197</v>
      </c>
      <c r="E157" s="725" t="s">
        <v>3090</v>
      </c>
      <c r="F157" s="399"/>
      <c r="G157" s="472">
        <v>45196.333333333336</v>
      </c>
      <c r="H157" s="472">
        <v>45196.212500000001</v>
      </c>
      <c r="I157" s="667" t="s">
        <v>497</v>
      </c>
      <c r="J157" s="475" t="s">
        <v>192</v>
      </c>
      <c r="K157" s="475" t="s">
        <v>192</v>
      </c>
      <c r="L157" s="475" t="s">
        <v>3448</v>
      </c>
      <c r="M157" s="530"/>
      <c r="N157" s="475" t="s">
        <v>2207</v>
      </c>
      <c r="O157" s="475" t="s">
        <v>2208</v>
      </c>
      <c r="P157" s="667" t="s">
        <v>494</v>
      </c>
      <c r="Q157" s="477">
        <f>3031*2.4</f>
        <v>7274.4</v>
      </c>
      <c r="R157" s="477">
        <f>7300+100</f>
        <v>7400</v>
      </c>
      <c r="S157" s="477">
        <f>6490.374-368.485</f>
        <v>6121.8890000000001</v>
      </c>
      <c r="T157" s="477"/>
      <c r="U157" s="724">
        <f t="shared" si="60"/>
        <v>6121.8890000000001</v>
      </c>
      <c r="V157" s="575"/>
      <c r="W157" s="575"/>
      <c r="X157" s="575"/>
      <c r="Y157" s="575"/>
      <c r="Z157" s="575"/>
      <c r="AA157" s="575"/>
      <c r="AZ157" s="473">
        <f t="shared" si="44"/>
        <v>45196.315972222219</v>
      </c>
      <c r="BA157" s="473">
        <f t="shared" si="45"/>
        <v>45216.489583333336</v>
      </c>
      <c r="BB157" s="479">
        <f t="shared" si="46"/>
        <v>20.17361111111677</v>
      </c>
      <c r="BC157" s="473">
        <v>45196.315972222219</v>
      </c>
      <c r="BD157" s="473">
        <v>45203.809027777781</v>
      </c>
      <c r="BE157" s="473">
        <v>45205.305555555555</v>
      </c>
      <c r="BF157" s="473">
        <v>45206.892361111109</v>
      </c>
      <c r="BG157" s="473">
        <v>45207.043749999997</v>
      </c>
      <c r="BH157" s="473">
        <v>45207.048611111109</v>
      </c>
      <c r="BI157" s="473">
        <v>45207.274305555555</v>
      </c>
      <c r="BJ157" s="473">
        <f t="shared" si="59"/>
        <v>45208.982638888891</v>
      </c>
      <c r="BK157" s="480">
        <v>45209.583333333336</v>
      </c>
      <c r="BL157" s="480">
        <v>45209.75</v>
      </c>
      <c r="BM157" s="480">
        <v>45209.611111111109</v>
      </c>
      <c r="BN157" s="473">
        <v>45211.444444444445</v>
      </c>
      <c r="BO157" s="473">
        <v>45214.788194444445</v>
      </c>
      <c r="BP157" s="473">
        <v>45215.708333333336</v>
      </c>
      <c r="BQ157" s="473">
        <v>45215.736111111109</v>
      </c>
      <c r="BR157" s="473">
        <v>45215.833333333336</v>
      </c>
      <c r="BS157" s="473">
        <v>45216.489583333336</v>
      </c>
      <c r="BV157" s="481">
        <f t="shared" si="47"/>
        <v>35.916666666569654</v>
      </c>
      <c r="BW157" s="481">
        <f t="shared" si="48"/>
        <v>3.6333333333022892</v>
      </c>
      <c r="BX157" s="481">
        <f t="shared" si="49"/>
        <v>41.000000000058208</v>
      </c>
      <c r="BY157" s="481">
        <f t="shared" si="57"/>
        <v>40.666666666686069</v>
      </c>
      <c r="BZ157" s="482">
        <f t="shared" si="50"/>
        <v>22.083333333372138</v>
      </c>
      <c r="CA157" s="482">
        <f t="shared" si="51"/>
        <v>15.75</v>
      </c>
      <c r="CB157" s="483">
        <f t="shared" si="52"/>
        <v>6.6270833333328483</v>
      </c>
      <c r="CC157" s="483">
        <f t="shared" si="53"/>
        <v>20.17361111111677</v>
      </c>
      <c r="CD157" s="484">
        <f t="shared" si="54"/>
        <v>0.32850258175547759</v>
      </c>
    </row>
    <row r="158" spans="1:82" s="475" customFormat="1">
      <c r="A158" s="474">
        <f t="shared" si="58"/>
        <v>45207.072916666664</v>
      </c>
      <c r="B158" s="475" t="s">
        <v>228</v>
      </c>
      <c r="C158" s="475" t="s">
        <v>229</v>
      </c>
      <c r="D158" s="475" t="s">
        <v>197</v>
      </c>
      <c r="E158" s="725" t="s">
        <v>3090</v>
      </c>
      <c r="F158" s="399"/>
      <c r="G158" s="472">
        <v>45196.333333333336</v>
      </c>
      <c r="H158" s="472">
        <v>45196.212500000001</v>
      </c>
      <c r="I158" s="667" t="s">
        <v>497</v>
      </c>
      <c r="J158" s="475" t="s">
        <v>192</v>
      </c>
      <c r="K158" s="475" t="s">
        <v>192</v>
      </c>
      <c r="L158" s="475" t="s">
        <v>3449</v>
      </c>
      <c r="M158" s="530"/>
      <c r="N158" s="475" t="s">
        <v>383</v>
      </c>
      <c r="O158" s="475" t="s">
        <v>384</v>
      </c>
      <c r="P158" s="667" t="s">
        <v>494</v>
      </c>
      <c r="Q158" s="477">
        <f>2205*2.4</f>
        <v>5292</v>
      </c>
      <c r="R158" s="477">
        <f>5300+100</f>
        <v>5400</v>
      </c>
      <c r="S158" s="477">
        <v>5242.3220000000001</v>
      </c>
      <c r="T158" s="477"/>
      <c r="U158" s="724">
        <f t="shared" si="60"/>
        <v>5242.3220000000001</v>
      </c>
      <c r="V158" s="575"/>
      <c r="W158" s="575"/>
      <c r="X158" s="575"/>
      <c r="Y158" s="575"/>
      <c r="Z158" s="575"/>
      <c r="AA158" s="575"/>
      <c r="AZ158" s="473">
        <f t="shared" si="44"/>
        <v>45198.375</v>
      </c>
      <c r="BA158" s="473">
        <f t="shared" si="45"/>
        <v>45212.989583333336</v>
      </c>
      <c r="BB158" s="479">
        <f t="shared" si="46"/>
        <v>14.614583333335759</v>
      </c>
      <c r="BC158" s="473">
        <v>45198.375</v>
      </c>
      <c r="BD158" s="473">
        <v>45204.506944444445</v>
      </c>
      <c r="BE158" s="473">
        <v>45206.125</v>
      </c>
      <c r="BF158" s="473">
        <v>45207.072916666664</v>
      </c>
      <c r="BG158" s="473">
        <v>45207.201388888891</v>
      </c>
      <c r="BH158" s="473">
        <v>45207.215277777781</v>
      </c>
      <c r="BI158" s="473">
        <v>45207.215277777781</v>
      </c>
      <c r="BJ158" s="473">
        <f t="shared" si="59"/>
        <v>45208.923611111117</v>
      </c>
      <c r="BK158" s="480">
        <v>45209.583333333336</v>
      </c>
      <c r="BL158" s="480">
        <v>45209.75</v>
      </c>
      <c r="BM158" s="480">
        <v>45209.559027777781</v>
      </c>
      <c r="BN158" s="473">
        <v>45211.291666666664</v>
      </c>
      <c r="BO158" s="473">
        <v>45212.777777777781</v>
      </c>
      <c r="BP158" s="473">
        <v>45212.940972222219</v>
      </c>
      <c r="BQ158" s="473">
        <v>45212.989583333336</v>
      </c>
      <c r="BR158" s="473">
        <v>45212.989583333336</v>
      </c>
      <c r="BS158" s="473">
        <v>45212.989583333336</v>
      </c>
      <c r="BT158" s="475" t="s">
        <v>1566</v>
      </c>
      <c r="BV158" s="481">
        <f t="shared" si="47"/>
        <v>38.833333333313931</v>
      </c>
      <c r="BW158" s="481">
        <f t="shared" si="48"/>
        <v>3.0833333334303461</v>
      </c>
      <c r="BX158" s="481">
        <f t="shared" si="49"/>
        <v>41.000000000058208</v>
      </c>
      <c r="BY158" s="481">
        <f>(BN158-BJ158)*24</f>
        <v>56.833333333139308</v>
      </c>
      <c r="BZ158" s="482">
        <f t="shared" si="50"/>
        <v>3.9166666665114462</v>
      </c>
      <c r="CA158" s="482">
        <f t="shared" si="51"/>
        <v>0</v>
      </c>
      <c r="CB158" s="483">
        <f t="shared" si="52"/>
        <v>5.9861111111022183</v>
      </c>
      <c r="CC158" s="483">
        <f t="shared" si="53"/>
        <v>14.614583333335759</v>
      </c>
      <c r="CD158" s="484">
        <f t="shared" si="54"/>
        <v>0.40959847944812372</v>
      </c>
    </row>
    <row r="159" spans="1:82" s="475" customFormat="1">
      <c r="A159" s="474">
        <f t="shared" si="58"/>
        <v>45207.762499999997</v>
      </c>
      <c r="B159" s="475" t="s">
        <v>228</v>
      </c>
      <c r="C159" s="475" t="s">
        <v>229</v>
      </c>
      <c r="D159" s="475" t="s">
        <v>197</v>
      </c>
      <c r="E159" s="667" t="s">
        <v>3093</v>
      </c>
      <c r="G159" s="518">
        <v>45213.75</v>
      </c>
      <c r="H159" s="518">
        <v>45213.729166666664</v>
      </c>
      <c r="I159" s="667" t="s">
        <v>507</v>
      </c>
      <c r="J159" s="475" t="s">
        <v>192</v>
      </c>
      <c r="K159" s="475" t="s">
        <v>192</v>
      </c>
      <c r="L159" s="475" t="s">
        <v>3450</v>
      </c>
      <c r="M159" s="530"/>
      <c r="N159" s="475" t="s">
        <v>346</v>
      </c>
      <c r="O159" s="475" t="s">
        <v>347</v>
      </c>
      <c r="P159" s="667" t="s">
        <v>494</v>
      </c>
      <c r="Q159" s="477">
        <f>3136*2.4</f>
        <v>7526.4</v>
      </c>
      <c r="R159" s="477">
        <f>7550+100</f>
        <v>7650</v>
      </c>
      <c r="S159" s="477">
        <v>6190.6319999999996</v>
      </c>
      <c r="T159" s="477"/>
      <c r="U159" s="726">
        <f t="shared" si="60"/>
        <v>6190.6319999999996</v>
      </c>
      <c r="V159" s="577"/>
      <c r="W159" s="577"/>
      <c r="Y159" s="577"/>
      <c r="Z159" s="577"/>
      <c r="AA159" s="577"/>
      <c r="AZ159" s="473">
        <f t="shared" si="44"/>
        <v>45198.416666666664</v>
      </c>
      <c r="BA159" s="473">
        <f t="shared" si="45"/>
        <v>45221.46875</v>
      </c>
      <c r="BB159" s="479">
        <f t="shared" si="46"/>
        <v>23.052083333335759</v>
      </c>
      <c r="BC159" s="473">
        <v>45198.416666666664</v>
      </c>
      <c r="BD159" s="473">
        <v>45204.479166666664</v>
      </c>
      <c r="BE159" s="473">
        <v>45206.194444444445</v>
      </c>
      <c r="BF159" s="473">
        <v>45207.762499999997</v>
      </c>
      <c r="BG159" s="473">
        <v>45207.958333333336</v>
      </c>
      <c r="BH159" s="473">
        <v>45207.96875</v>
      </c>
      <c r="BI159" s="473">
        <v>45207.96875</v>
      </c>
      <c r="BJ159" s="473">
        <f t="shared" si="59"/>
        <v>45209.677083333336</v>
      </c>
      <c r="BK159" s="480">
        <v>45210.583333333336</v>
      </c>
      <c r="BL159" s="480">
        <v>45210.75</v>
      </c>
      <c r="BM159" s="480">
        <v>45210.628472222219</v>
      </c>
      <c r="BN159" s="473">
        <v>45215.166666666664</v>
      </c>
      <c r="BO159" s="473">
        <v>45217.055555555555</v>
      </c>
      <c r="BP159" s="473">
        <v>45217.479166666664</v>
      </c>
      <c r="BQ159" s="473">
        <v>45217.489583333336</v>
      </c>
      <c r="BR159" s="473">
        <v>45218.645833333336</v>
      </c>
      <c r="BS159" s="473">
        <v>45221.46875</v>
      </c>
      <c r="BV159" s="481">
        <f t="shared" si="47"/>
        <v>41.166666666744277</v>
      </c>
      <c r="BW159" s="481">
        <f t="shared" si="48"/>
        <v>4.7000000001280569</v>
      </c>
      <c r="BX159" s="481">
        <f t="shared" si="49"/>
        <v>41.000000000058208</v>
      </c>
      <c r="BY159" s="481">
        <f>(BN159-BL159)*24</f>
        <v>105.99999999994179</v>
      </c>
      <c r="BZ159" s="482">
        <f t="shared" si="50"/>
        <v>10.166666666627862</v>
      </c>
      <c r="CA159" s="482">
        <f t="shared" si="51"/>
        <v>67.749999999941792</v>
      </c>
      <c r="CB159" s="483">
        <f t="shared" si="52"/>
        <v>11.282638888893416</v>
      </c>
      <c r="CC159" s="483">
        <f t="shared" si="53"/>
        <v>23.052083333335759</v>
      </c>
      <c r="CD159" s="484">
        <f t="shared" si="54"/>
        <v>0.48944118090088296</v>
      </c>
    </row>
    <row r="160" spans="1:82" s="475" customFormat="1">
      <c r="A160" s="474">
        <f t="shared" si="58"/>
        <v>45208.579861111109</v>
      </c>
      <c r="B160" s="475" t="s">
        <v>228</v>
      </c>
      <c r="C160" s="475" t="s">
        <v>229</v>
      </c>
      <c r="D160" s="475" t="s">
        <v>197</v>
      </c>
      <c r="E160" s="667" t="s">
        <v>3087</v>
      </c>
      <c r="G160" s="472">
        <v>45212.041666666664</v>
      </c>
      <c r="H160" s="472">
        <v>45212.041666666664</v>
      </c>
      <c r="I160" s="667" t="s">
        <v>490</v>
      </c>
      <c r="J160" s="475" t="s">
        <v>192</v>
      </c>
      <c r="K160" s="475" t="s">
        <v>192</v>
      </c>
      <c r="L160" s="475" t="s">
        <v>3451</v>
      </c>
      <c r="M160" s="530"/>
      <c r="N160" s="475" t="s">
        <v>441</v>
      </c>
      <c r="O160" s="475" t="s">
        <v>1308</v>
      </c>
      <c r="P160" s="667" t="s">
        <v>835</v>
      </c>
      <c r="Q160" s="477">
        <f>2205*2.4</f>
        <v>5292</v>
      </c>
      <c r="R160" s="477">
        <f>5300+100</f>
        <v>5400</v>
      </c>
      <c r="S160" s="477">
        <v>5467.6390000000001</v>
      </c>
      <c r="T160" s="477"/>
      <c r="U160" s="577"/>
      <c r="V160" s="580">
        <f>S160</f>
        <v>5467.6390000000001</v>
      </c>
      <c r="W160" s="577"/>
      <c r="X160" s="577"/>
      <c r="Z160" s="577"/>
      <c r="AA160" s="577"/>
      <c r="AZ160" s="473">
        <f t="shared" si="44"/>
        <v>45204.041666666664</v>
      </c>
      <c r="BA160" s="473">
        <f t="shared" si="45"/>
        <v>45214.4375</v>
      </c>
      <c r="BB160" s="479">
        <f t="shared" si="46"/>
        <v>10.395833333335759</v>
      </c>
      <c r="BC160" s="473">
        <v>45204.041666666664</v>
      </c>
      <c r="BD160" s="473">
        <v>45205.788194444445</v>
      </c>
      <c r="BE160" s="473">
        <v>45207.958333333336</v>
      </c>
      <c r="BF160" s="473">
        <v>45208.579861111109</v>
      </c>
      <c r="BG160" s="473">
        <v>45208.736111111109</v>
      </c>
      <c r="BH160" s="473">
        <v>45208.743055555555</v>
      </c>
      <c r="BI160" s="473">
        <v>45209.246527777781</v>
      </c>
      <c r="BJ160" s="473">
        <f t="shared" si="59"/>
        <v>45210.954861111117</v>
      </c>
      <c r="BK160" s="480">
        <v>45211.229166666664</v>
      </c>
      <c r="BL160" s="480">
        <v>45211.395833333328</v>
      </c>
      <c r="BM160" s="480">
        <v>45211.347222222219</v>
      </c>
      <c r="BN160" s="473">
        <v>45212.875</v>
      </c>
      <c r="BO160" s="473">
        <v>45213.451388888891</v>
      </c>
      <c r="BP160" s="473">
        <v>45213.777777777781</v>
      </c>
      <c r="BQ160" s="473">
        <v>45213.8125</v>
      </c>
      <c r="BR160" s="473">
        <v>45214.104166666664</v>
      </c>
      <c r="BS160" s="480">
        <v>45214.4375</v>
      </c>
      <c r="BV160" s="481">
        <f t="shared" si="47"/>
        <v>52.083333333372138</v>
      </c>
      <c r="BW160" s="481">
        <f t="shared" si="48"/>
        <v>3.75</v>
      </c>
      <c r="BX160" s="481">
        <f t="shared" si="49"/>
        <v>41.000000000058208</v>
      </c>
      <c r="BY160" s="481">
        <f>(BN160-BJ160)*24</f>
        <v>46.083333333197515</v>
      </c>
      <c r="BZ160" s="482">
        <f t="shared" si="50"/>
        <v>7.8333333333721384</v>
      </c>
      <c r="CA160" s="482">
        <f t="shared" si="51"/>
        <v>8.0000000000582077</v>
      </c>
      <c r="CB160" s="483">
        <f t="shared" si="52"/>
        <v>6.6145833333357587</v>
      </c>
      <c r="CC160" s="483">
        <f t="shared" si="53"/>
        <v>10.395833333335759</v>
      </c>
      <c r="CD160" s="484">
        <f t="shared" si="54"/>
        <v>0.63627254509026521</v>
      </c>
    </row>
    <row r="161" spans="1:82" s="475" customFormat="1">
      <c r="A161" s="474">
        <f t="shared" si="58"/>
        <v>45208.8125</v>
      </c>
      <c r="B161" s="475" t="s">
        <v>228</v>
      </c>
      <c r="C161" s="475" t="s">
        <v>229</v>
      </c>
      <c r="D161" s="475" t="s">
        <v>197</v>
      </c>
      <c r="E161" s="667" t="s">
        <v>3087</v>
      </c>
      <c r="G161" s="472">
        <v>45212.041666666664</v>
      </c>
      <c r="H161" s="472">
        <v>45212.041666666664</v>
      </c>
      <c r="I161" s="667" t="s">
        <v>490</v>
      </c>
      <c r="J161" s="475" t="s">
        <v>192</v>
      </c>
      <c r="K161" s="475" t="s">
        <v>192</v>
      </c>
      <c r="L161" s="475" t="s">
        <v>3452</v>
      </c>
      <c r="M161" s="530"/>
      <c r="N161" s="475" t="s">
        <v>1799</v>
      </c>
      <c r="O161" s="475" t="s">
        <v>2437</v>
      </c>
      <c r="P161" s="667" t="s">
        <v>835</v>
      </c>
      <c r="Q161" s="477">
        <f>3147*2.4</f>
        <v>7552.7999999999993</v>
      </c>
      <c r="R161" s="477">
        <f>7550+100</f>
        <v>7650</v>
      </c>
      <c r="S161" s="477">
        <v>7453.6149999999998</v>
      </c>
      <c r="T161" s="477"/>
      <c r="U161" s="577"/>
      <c r="V161" s="580">
        <f>S161</f>
        <v>7453.6149999999998</v>
      </c>
      <c r="W161" s="577"/>
      <c r="Z161" s="577"/>
      <c r="AA161" s="577"/>
      <c r="AZ161" s="473">
        <f t="shared" si="44"/>
        <v>45204.260416666664</v>
      </c>
      <c r="BA161" s="473">
        <f t="shared" si="45"/>
        <v>45215.375</v>
      </c>
      <c r="BB161" s="479">
        <f t="shared" si="46"/>
        <v>11.114583333335759</v>
      </c>
      <c r="BC161" s="473">
        <v>45204.260416666664</v>
      </c>
      <c r="BD161" s="473">
        <v>45206.579861111109</v>
      </c>
      <c r="BE161" s="473">
        <v>45208.1875</v>
      </c>
      <c r="BF161" s="473">
        <v>45208.8125</v>
      </c>
      <c r="BG161" s="473">
        <v>45208.951388888891</v>
      </c>
      <c r="BH161" s="473">
        <v>45208.961805555555</v>
      </c>
      <c r="BI161" s="473">
        <v>45209.28125</v>
      </c>
      <c r="BJ161" s="473">
        <f t="shared" si="59"/>
        <v>45210.989583333336</v>
      </c>
      <c r="BK161" s="480">
        <v>45211.229166666664</v>
      </c>
      <c r="BL161" s="480">
        <v>45211.395833333328</v>
      </c>
      <c r="BM161" s="480">
        <v>45211.298611111109</v>
      </c>
      <c r="BN161" s="473">
        <v>45212.690972222219</v>
      </c>
      <c r="BO161" s="473">
        <v>45214.388888888891</v>
      </c>
      <c r="BP161" s="473">
        <v>45214.875</v>
      </c>
      <c r="BQ161" s="473">
        <v>45214.9375</v>
      </c>
      <c r="BR161" s="473">
        <v>45215.166666666664</v>
      </c>
      <c r="BS161" s="473">
        <v>45215.375</v>
      </c>
      <c r="BV161" s="481">
        <f t="shared" si="47"/>
        <v>38.583333333372138</v>
      </c>
      <c r="BW161" s="481">
        <f t="shared" si="48"/>
        <v>3.3333333333721384</v>
      </c>
      <c r="BX161" s="481">
        <f t="shared" si="49"/>
        <v>41.000000000058208</v>
      </c>
      <c r="BY161" s="481">
        <f t="shared" ref="BY161:BY167" si="61">(BN161-BL161)*24</f>
        <v>31.083333333372138</v>
      </c>
      <c r="BZ161" s="482">
        <f t="shared" si="50"/>
        <v>11.666666666627862</v>
      </c>
      <c r="CA161" s="482">
        <f t="shared" si="51"/>
        <v>5.0000000000582077</v>
      </c>
      <c r="CB161" s="483">
        <f t="shared" si="52"/>
        <v>5.4444444444525288</v>
      </c>
      <c r="CC161" s="483">
        <f t="shared" si="53"/>
        <v>11.114583333335759</v>
      </c>
      <c r="CD161" s="484">
        <f t="shared" si="54"/>
        <v>0.48984692283723402</v>
      </c>
    </row>
    <row r="162" spans="1:82" s="475" customFormat="1">
      <c r="A162" s="474">
        <f t="shared" si="58"/>
        <v>45209.180555555555</v>
      </c>
      <c r="B162" s="475" t="s">
        <v>228</v>
      </c>
      <c r="C162" s="475" t="s">
        <v>229</v>
      </c>
      <c r="D162" s="475" t="s">
        <v>197</v>
      </c>
      <c r="E162" s="667" t="s">
        <v>3087</v>
      </c>
      <c r="G162" s="472">
        <v>45212.041666666664</v>
      </c>
      <c r="H162" s="472">
        <v>45212.041666666664</v>
      </c>
      <c r="I162" s="667" t="s">
        <v>490</v>
      </c>
      <c r="J162" s="475" t="s">
        <v>192</v>
      </c>
      <c r="K162" s="475" t="s">
        <v>192</v>
      </c>
      <c r="L162" s="475" t="s">
        <v>3453</v>
      </c>
      <c r="M162" s="530"/>
      <c r="N162" s="475" t="s">
        <v>277</v>
      </c>
      <c r="O162" s="475" t="s">
        <v>278</v>
      </c>
      <c r="P162" s="667" t="s">
        <v>835</v>
      </c>
      <c r="Q162" s="477">
        <f>3117*2.4</f>
        <v>7480.7999999999993</v>
      </c>
      <c r="R162" s="477">
        <f>7500+100</f>
        <v>7600</v>
      </c>
      <c r="S162" s="477">
        <v>7401.4589999999998</v>
      </c>
      <c r="U162" s="577"/>
      <c r="V162" s="580">
        <f>S162</f>
        <v>7401.4589999999998</v>
      </c>
      <c r="W162" s="577"/>
      <c r="Z162" s="577"/>
      <c r="AA162" s="577"/>
      <c r="AZ162" s="473">
        <f t="shared" si="44"/>
        <v>45206.868055555555</v>
      </c>
      <c r="BA162" s="473">
        <f t="shared" si="45"/>
        <v>45214.798611111109</v>
      </c>
      <c r="BB162" s="479">
        <f t="shared" si="46"/>
        <v>7.9305555555547471</v>
      </c>
      <c r="BC162" s="473">
        <v>45206.868055555555</v>
      </c>
      <c r="BD162" s="473">
        <v>45207.319444444445</v>
      </c>
      <c r="BE162" s="473">
        <v>45208.708333333336</v>
      </c>
      <c r="BF162" s="473">
        <v>45209.180555555555</v>
      </c>
      <c r="BG162" s="473">
        <v>45209.416666666664</v>
      </c>
      <c r="BH162" s="473">
        <v>45209.420138888891</v>
      </c>
      <c r="BI162" s="473">
        <v>45209.423611111109</v>
      </c>
      <c r="BJ162" s="473">
        <f t="shared" si="59"/>
        <v>45211.131944444445</v>
      </c>
      <c r="BK162" s="480">
        <v>45211.229166666664</v>
      </c>
      <c r="BL162" s="480">
        <v>45211.395833333328</v>
      </c>
      <c r="BM162" s="480">
        <v>45211.319444444445</v>
      </c>
      <c r="BN162" s="473">
        <v>45212.46875</v>
      </c>
      <c r="BO162" s="473">
        <v>45213.868055555555</v>
      </c>
      <c r="BP162" s="473">
        <v>45214.305555555555</v>
      </c>
      <c r="BQ162" s="473">
        <v>45214.347222222219</v>
      </c>
      <c r="BR162" s="473">
        <v>45214.548611111109</v>
      </c>
      <c r="BS162" s="473">
        <v>45214.798611111109</v>
      </c>
      <c r="BV162" s="481">
        <f t="shared" si="47"/>
        <v>33.333333333372138</v>
      </c>
      <c r="BW162" s="481">
        <f t="shared" si="48"/>
        <v>5.6666666666278616</v>
      </c>
      <c r="BX162" s="481">
        <f t="shared" si="49"/>
        <v>41.000000000058208</v>
      </c>
      <c r="BY162" s="481">
        <f t="shared" si="61"/>
        <v>25.750000000116415</v>
      </c>
      <c r="BZ162" s="482">
        <f t="shared" si="50"/>
        <v>10.5</v>
      </c>
      <c r="CA162" s="482">
        <f t="shared" si="51"/>
        <v>6</v>
      </c>
      <c r="CB162" s="483">
        <f t="shared" si="52"/>
        <v>5.093750000007276</v>
      </c>
      <c r="CC162" s="483">
        <f t="shared" si="53"/>
        <v>7.9305555555547471</v>
      </c>
      <c r="CD162" s="484">
        <f t="shared" si="54"/>
        <v>0.64229422066648201</v>
      </c>
    </row>
    <row r="163" spans="1:82" s="475" customFormat="1">
      <c r="A163" s="474">
        <f t="shared" si="58"/>
        <v>45209.854166666664</v>
      </c>
      <c r="B163" s="475" t="s">
        <v>228</v>
      </c>
      <c r="C163" s="475" t="s">
        <v>229</v>
      </c>
      <c r="D163" s="475" t="s">
        <v>215</v>
      </c>
      <c r="E163" s="667" t="s">
        <v>3087</v>
      </c>
      <c r="G163" s="472">
        <v>45212.041666666664</v>
      </c>
      <c r="H163" s="472">
        <v>45212.041666666664</v>
      </c>
      <c r="I163" s="667" t="s">
        <v>490</v>
      </c>
      <c r="J163" s="475" t="s">
        <v>192</v>
      </c>
      <c r="K163" s="475" t="s">
        <v>192</v>
      </c>
      <c r="L163" s="475" t="s">
        <v>3454</v>
      </c>
      <c r="M163" s="530"/>
      <c r="N163" s="475" t="s">
        <v>390</v>
      </c>
      <c r="O163" s="475" t="s">
        <v>3346</v>
      </c>
      <c r="P163" s="667" t="s">
        <v>835</v>
      </c>
      <c r="Q163" s="477">
        <f>3094*2.4</f>
        <v>7425.5999999999995</v>
      </c>
      <c r="R163" s="477">
        <f>7450+100</f>
        <v>7550</v>
      </c>
      <c r="S163" s="477">
        <v>7479.9880000000003</v>
      </c>
      <c r="T163" s="477"/>
      <c r="U163" s="577"/>
      <c r="V163" s="724">
        <f>S163</f>
        <v>7479.9880000000003</v>
      </c>
      <c r="W163" s="577"/>
      <c r="Z163" s="577"/>
      <c r="AA163" s="577"/>
      <c r="AZ163" s="473">
        <f t="shared" si="44"/>
        <v>45205.548611111109</v>
      </c>
      <c r="BA163" s="473">
        <f t="shared" si="45"/>
        <v>45216.114583333336</v>
      </c>
      <c r="BB163" s="479">
        <f t="shared" si="46"/>
        <v>10.565972222226264</v>
      </c>
      <c r="BC163" s="473">
        <v>45205.548611111109</v>
      </c>
      <c r="BD163" s="473">
        <v>45207.788194444445</v>
      </c>
      <c r="BE163" s="473">
        <v>45209.4375</v>
      </c>
      <c r="BF163" s="473">
        <v>45209.854166666664</v>
      </c>
      <c r="BG163" s="473">
        <v>45210.041666666664</v>
      </c>
      <c r="BH163" s="473">
        <v>45210.048611111109</v>
      </c>
      <c r="BI163" s="473">
        <v>45210.270833333336</v>
      </c>
      <c r="BJ163" s="473">
        <f t="shared" si="59"/>
        <v>45211.979166666672</v>
      </c>
      <c r="BK163" s="473">
        <v>45212.229166608799</v>
      </c>
      <c r="BL163" s="473">
        <v>45212.395833275463</v>
      </c>
      <c r="BM163" s="480">
        <v>45212.267361111109</v>
      </c>
      <c r="BN163" s="473">
        <v>45213.5</v>
      </c>
      <c r="BO163" s="473">
        <v>45214.993055555555</v>
      </c>
      <c r="BP163" s="473">
        <v>45215.694444444445</v>
      </c>
      <c r="BQ163" s="473">
        <v>45215.725694444445</v>
      </c>
      <c r="BR163" s="473">
        <v>45215.725694444445</v>
      </c>
      <c r="BS163" s="473">
        <v>45216.114583333336</v>
      </c>
      <c r="BT163" s="475" t="s">
        <v>3455</v>
      </c>
      <c r="BV163" s="481">
        <f t="shared" si="47"/>
        <v>39.583333333313931</v>
      </c>
      <c r="BW163" s="481">
        <f t="shared" si="48"/>
        <v>4.5</v>
      </c>
      <c r="BX163" s="481">
        <f t="shared" si="49"/>
        <v>41.000000000058208</v>
      </c>
      <c r="BY163" s="481">
        <f t="shared" si="61"/>
        <v>26.500001388892997</v>
      </c>
      <c r="BZ163" s="482">
        <f t="shared" si="50"/>
        <v>16.833333333372138</v>
      </c>
      <c r="CA163" s="482">
        <f t="shared" si="51"/>
        <v>9.3333333333721384</v>
      </c>
      <c r="CB163" s="483">
        <f t="shared" si="52"/>
        <v>5.7395833912087255</v>
      </c>
      <c r="CC163" s="483">
        <f t="shared" si="53"/>
        <v>10.565972222226264</v>
      </c>
      <c r="CD163" s="484">
        <f t="shared" si="54"/>
        <v>0.54321393909545856</v>
      </c>
    </row>
    <row r="164" spans="1:82" s="475" customFormat="1">
      <c r="A164" s="474">
        <f t="shared" si="58"/>
        <v>45210.090277777781</v>
      </c>
      <c r="B164" s="475" t="s">
        <v>228</v>
      </c>
      <c r="C164" s="475" t="s">
        <v>229</v>
      </c>
      <c r="D164" s="475" t="s">
        <v>197</v>
      </c>
      <c r="E164" s="667" t="s">
        <v>3087</v>
      </c>
      <c r="G164" s="472">
        <v>45212.041666666664</v>
      </c>
      <c r="H164" s="472">
        <v>45212.041666666664</v>
      </c>
      <c r="I164" s="667" t="s">
        <v>490</v>
      </c>
      <c r="J164" s="475" t="s">
        <v>192</v>
      </c>
      <c r="K164" s="475" t="s">
        <v>192</v>
      </c>
      <c r="L164" s="475" t="s">
        <v>3456</v>
      </c>
      <c r="M164" s="530"/>
      <c r="N164" s="475" t="s">
        <v>233</v>
      </c>
      <c r="O164" s="475" t="s">
        <v>234</v>
      </c>
      <c r="P164" s="667" t="s">
        <v>501</v>
      </c>
      <c r="Q164" s="477">
        <f>3215*2.4</f>
        <v>7716</v>
      </c>
      <c r="R164" s="477">
        <f>7750+100</f>
        <v>7850</v>
      </c>
      <c r="S164" s="477">
        <f>7605.524-2769.221</f>
        <v>4836.3029999999999</v>
      </c>
      <c r="T164" s="477"/>
      <c r="U164" s="724">
        <f>S164*0.45</f>
        <v>2176.33635</v>
      </c>
      <c r="V164" s="724">
        <f>S164*0.55</f>
        <v>2659.9666500000003</v>
      </c>
      <c r="W164" s="577"/>
      <c r="X164" s="577"/>
      <c r="Z164" s="577"/>
      <c r="AA164" s="577"/>
      <c r="AB164" s="575"/>
      <c r="AC164" s="575"/>
      <c r="AD164" s="575"/>
      <c r="AE164" s="575"/>
      <c r="AF164" s="575"/>
      <c r="AG164" s="575"/>
      <c r="AZ164" s="473">
        <f t="shared" si="44"/>
        <v>45206.416666666664</v>
      </c>
      <c r="BA164" s="473">
        <f t="shared" si="45"/>
        <v>45216.673611111109</v>
      </c>
      <c r="BB164" s="479">
        <f t="shared" si="46"/>
        <v>10.256944444445253</v>
      </c>
      <c r="BC164" s="473">
        <v>45206.416666666664</v>
      </c>
      <c r="BD164" s="473">
        <v>45207.833333333336</v>
      </c>
      <c r="BE164" s="473">
        <v>45209.479166666664</v>
      </c>
      <c r="BF164" s="473">
        <v>45210.090277777781</v>
      </c>
      <c r="BG164" s="473">
        <v>45210.225694444445</v>
      </c>
      <c r="BH164" s="473">
        <v>45210.232638888891</v>
      </c>
      <c r="BI164" s="473">
        <v>45210.253472222219</v>
      </c>
      <c r="BJ164" s="473">
        <f t="shared" si="59"/>
        <v>45211.961805555555</v>
      </c>
      <c r="BK164" s="480">
        <v>45212.229166608799</v>
      </c>
      <c r="BL164" s="480">
        <v>45212.395833275463</v>
      </c>
      <c r="BM164" s="480">
        <v>45212.326388888891</v>
      </c>
      <c r="BN164" s="473">
        <v>45213.541666666664</v>
      </c>
      <c r="BO164" s="473">
        <v>45216.423611111109</v>
      </c>
      <c r="BP164" s="473">
        <v>45216.625</v>
      </c>
      <c r="BQ164" s="473">
        <v>45216.673611111109</v>
      </c>
      <c r="BR164" s="473">
        <v>45216.673611111109</v>
      </c>
      <c r="BS164" s="473">
        <v>45216.673611111109</v>
      </c>
      <c r="BV164" s="481">
        <f t="shared" si="47"/>
        <v>39.499999999883585</v>
      </c>
      <c r="BW164" s="481">
        <f t="shared" si="48"/>
        <v>3.2499999999417923</v>
      </c>
      <c r="BX164" s="481">
        <f t="shared" si="49"/>
        <v>41.000000000058208</v>
      </c>
      <c r="BY164" s="481">
        <f t="shared" si="61"/>
        <v>27.500001388834789</v>
      </c>
      <c r="BZ164" s="482">
        <f t="shared" si="50"/>
        <v>4.8333333333721384</v>
      </c>
      <c r="CA164" s="482">
        <f t="shared" si="51"/>
        <v>0</v>
      </c>
      <c r="CB164" s="483">
        <f t="shared" si="52"/>
        <v>4.836805613420438</v>
      </c>
      <c r="CC164" s="483">
        <f t="shared" si="53"/>
        <v>10.256944444445253</v>
      </c>
      <c r="CD164" s="484">
        <f t="shared" si="54"/>
        <v>0.47156398668414906</v>
      </c>
    </row>
    <row r="165" spans="1:82" s="475" customFormat="1">
      <c r="A165" s="474">
        <f t="shared" si="58"/>
        <v>45210.090277777781</v>
      </c>
      <c r="B165" s="475" t="s">
        <v>228</v>
      </c>
      <c r="C165" s="475" t="s">
        <v>229</v>
      </c>
      <c r="D165" s="475" t="s">
        <v>197</v>
      </c>
      <c r="E165" s="667" t="s">
        <v>3104</v>
      </c>
      <c r="G165" s="472">
        <v>45192.333333333336</v>
      </c>
      <c r="H165" s="472">
        <v>45192.347222222219</v>
      </c>
      <c r="I165" s="667" t="s">
        <v>490</v>
      </c>
      <c r="J165" s="475" t="s">
        <v>192</v>
      </c>
      <c r="K165" s="475" t="s">
        <v>192</v>
      </c>
      <c r="L165" s="475" t="s">
        <v>3456</v>
      </c>
      <c r="M165" s="530"/>
      <c r="N165" s="475" t="s">
        <v>233</v>
      </c>
      <c r="O165" s="475" t="s">
        <v>234</v>
      </c>
      <c r="P165" s="667" t="s">
        <v>501</v>
      </c>
      <c r="Q165" s="477">
        <f>3215*2.4</f>
        <v>7716</v>
      </c>
      <c r="R165" s="477">
        <f>7750+100</f>
        <v>7850</v>
      </c>
      <c r="S165" s="477">
        <f>2340.106</f>
        <v>2340.1060000000002</v>
      </c>
      <c r="T165" s="477"/>
      <c r="U165" s="724">
        <f>S165*0.45</f>
        <v>1053.0477000000001</v>
      </c>
      <c r="V165" s="724">
        <f>S165*0.55</f>
        <v>1287.0583000000001</v>
      </c>
      <c r="W165" s="577"/>
      <c r="X165" s="577"/>
      <c r="Z165" s="577"/>
      <c r="AA165" s="577"/>
      <c r="AB165" s="575"/>
      <c r="AC165" s="575"/>
      <c r="AD165" s="575"/>
      <c r="AE165" s="575"/>
      <c r="AF165" s="575"/>
      <c r="AG165" s="575"/>
      <c r="AZ165" s="473">
        <f t="shared" si="44"/>
        <v>45206.416666666664</v>
      </c>
      <c r="BA165" s="473">
        <f t="shared" si="45"/>
        <v>45221.541666666664</v>
      </c>
      <c r="BB165" s="479">
        <f t="shared" si="46"/>
        <v>15.125</v>
      </c>
      <c r="BC165" s="473">
        <v>45206.416666666664</v>
      </c>
      <c r="BD165" s="473">
        <v>45207.833333333336</v>
      </c>
      <c r="BE165" s="473">
        <v>45209.479166666664</v>
      </c>
      <c r="BF165" s="473">
        <v>45210.090277777781</v>
      </c>
      <c r="BG165" s="473">
        <v>45210.225694444445</v>
      </c>
      <c r="BH165" s="473">
        <v>45210.232638888891</v>
      </c>
      <c r="BI165" s="473">
        <v>45210.253472222219</v>
      </c>
      <c r="BJ165" s="473">
        <f t="shared" si="59"/>
        <v>45211.961805555555</v>
      </c>
      <c r="BK165" s="480">
        <v>45212.229166608799</v>
      </c>
      <c r="BL165" s="480">
        <v>45212.395833275463</v>
      </c>
      <c r="BM165" s="480">
        <v>45212.326388888891</v>
      </c>
      <c r="BN165" s="473">
        <v>45216.673611111109</v>
      </c>
      <c r="BO165" s="473">
        <v>45220.875</v>
      </c>
      <c r="BP165" s="473">
        <v>45221.055555555555</v>
      </c>
      <c r="BQ165" s="473">
        <v>45221.076388888891</v>
      </c>
      <c r="BR165" s="473">
        <v>45221.284722222219</v>
      </c>
      <c r="BS165" s="473">
        <v>45221.541666666664</v>
      </c>
      <c r="BV165" s="481">
        <f t="shared" si="47"/>
        <v>39.499999999883585</v>
      </c>
      <c r="BW165" s="481">
        <f t="shared" si="48"/>
        <v>3.2499999999417923</v>
      </c>
      <c r="BX165" s="481">
        <f t="shared" si="49"/>
        <v>41.000000000058208</v>
      </c>
      <c r="BY165" s="481">
        <f t="shared" si="61"/>
        <v>102.66666805552086</v>
      </c>
      <c r="BZ165" s="482">
        <f t="shared" si="50"/>
        <v>4.3333333333139308</v>
      </c>
      <c r="CA165" s="482">
        <f t="shared" si="51"/>
        <v>6.1666666666860692</v>
      </c>
      <c r="CB165" s="483">
        <f t="shared" si="52"/>
        <v>8.2048611689751851</v>
      </c>
      <c r="CC165" s="483">
        <f t="shared" si="53"/>
        <v>15.125</v>
      </c>
      <c r="CD165" s="484">
        <f t="shared" si="54"/>
        <v>0.54247015993224368</v>
      </c>
    </row>
    <row r="166" spans="1:82" s="475" customFormat="1">
      <c r="A166" s="474">
        <f t="shared" si="58"/>
        <v>45210.848611111112</v>
      </c>
      <c r="B166" s="475" t="s">
        <v>228</v>
      </c>
      <c r="C166" s="475" t="s">
        <v>229</v>
      </c>
      <c r="D166" s="475" t="s">
        <v>215</v>
      </c>
      <c r="E166" s="667" t="s">
        <v>3087</v>
      </c>
      <c r="G166" s="472">
        <v>45212.041666666664</v>
      </c>
      <c r="H166" s="472">
        <v>45212.041666666664</v>
      </c>
      <c r="I166" s="667" t="s">
        <v>490</v>
      </c>
      <c r="J166" s="475" t="s">
        <v>192</v>
      </c>
      <c r="K166" s="475" t="s">
        <v>192</v>
      </c>
      <c r="L166" s="475" t="s">
        <v>3457</v>
      </c>
      <c r="M166" s="530"/>
      <c r="N166" s="475" t="s">
        <v>274</v>
      </c>
      <c r="O166" s="475" t="s">
        <v>1093</v>
      </c>
      <c r="P166" s="667" t="s">
        <v>835</v>
      </c>
      <c r="Q166" s="477">
        <f>3136*2.4</f>
        <v>7526.4</v>
      </c>
      <c r="R166" s="477">
        <f>7550+100</f>
        <v>7650</v>
      </c>
      <c r="S166" s="477">
        <v>7542.6329999999998</v>
      </c>
      <c r="T166" s="477"/>
      <c r="U166" s="577"/>
      <c r="V166" s="724">
        <f>S166</f>
        <v>7542.6329999999998</v>
      </c>
      <c r="W166" s="577"/>
      <c r="Z166" s="577"/>
      <c r="AA166" s="577"/>
      <c r="AB166" s="575"/>
      <c r="AC166" s="575"/>
      <c r="AD166" s="575"/>
      <c r="AE166" s="575"/>
      <c r="AF166" s="575"/>
      <c r="AG166" s="575"/>
      <c r="AH166" s="575"/>
      <c r="AI166" s="575"/>
      <c r="AZ166" s="473">
        <f t="shared" si="44"/>
        <v>45207.194444444445</v>
      </c>
      <c r="BA166" s="473">
        <f t="shared" si="45"/>
        <v>45216.402777777781</v>
      </c>
      <c r="BB166" s="479">
        <f t="shared" si="46"/>
        <v>9.2083333333357587</v>
      </c>
      <c r="BC166" s="473">
        <v>45207.194444444445</v>
      </c>
      <c r="BD166" s="473">
        <v>45208.743055555555</v>
      </c>
      <c r="BE166" s="473">
        <v>45210.333333333336</v>
      </c>
      <c r="BF166" s="473">
        <v>45210.848611111112</v>
      </c>
      <c r="BG166" s="473">
        <v>45211.006944444445</v>
      </c>
      <c r="BH166" s="473">
        <v>45211.010416666664</v>
      </c>
      <c r="BI166" s="473">
        <v>45211.013888888891</v>
      </c>
      <c r="BJ166" s="473">
        <f t="shared" si="59"/>
        <v>45212.722222222226</v>
      </c>
      <c r="BK166" s="480">
        <v>45213.25</v>
      </c>
      <c r="BL166" s="480">
        <v>45213.416666666664</v>
      </c>
      <c r="BM166" s="480">
        <v>45213.267361111109</v>
      </c>
      <c r="BN166" s="473">
        <v>45214.416666666664</v>
      </c>
      <c r="BO166" s="473">
        <v>45215.760416666664</v>
      </c>
      <c r="BP166" s="473">
        <v>45216.027777777781</v>
      </c>
      <c r="BQ166" s="473">
        <v>45216.0625</v>
      </c>
      <c r="BR166" s="473">
        <v>45216.0625</v>
      </c>
      <c r="BS166" s="473">
        <v>45216.402777777781</v>
      </c>
      <c r="BV166" s="481">
        <f t="shared" si="47"/>
        <v>38.166666666744277</v>
      </c>
      <c r="BW166" s="481">
        <f t="shared" si="48"/>
        <v>3.7999999999883585</v>
      </c>
      <c r="BX166" s="481">
        <f t="shared" si="49"/>
        <v>41.000000000058208</v>
      </c>
      <c r="BY166" s="481">
        <f t="shared" si="61"/>
        <v>24</v>
      </c>
      <c r="BZ166" s="482">
        <f t="shared" si="50"/>
        <v>6.4166666668024845</v>
      </c>
      <c r="CA166" s="482">
        <f t="shared" si="51"/>
        <v>8.1666666667442769</v>
      </c>
      <c r="CB166" s="483">
        <f t="shared" si="52"/>
        <v>5.0645833333474002</v>
      </c>
      <c r="CC166" s="483">
        <f t="shared" si="53"/>
        <v>9.2083333333357587</v>
      </c>
      <c r="CD166" s="484">
        <f t="shared" si="54"/>
        <v>0.55000000000138272</v>
      </c>
    </row>
    <row r="167" spans="1:82" s="475" customFormat="1">
      <c r="A167" s="474">
        <f t="shared" si="58"/>
        <v>45211.034722222219</v>
      </c>
      <c r="B167" s="475" t="s">
        <v>228</v>
      </c>
      <c r="C167" s="475" t="s">
        <v>229</v>
      </c>
      <c r="D167" s="475" t="s">
        <v>215</v>
      </c>
      <c r="E167" s="667" t="s">
        <v>3087</v>
      </c>
      <c r="G167" s="472">
        <v>45212.041666666664</v>
      </c>
      <c r="H167" s="472">
        <v>45212.041666666664</v>
      </c>
      <c r="I167" s="667" t="s">
        <v>490</v>
      </c>
      <c r="J167" s="475" t="s">
        <v>192</v>
      </c>
      <c r="K167" s="475" t="s">
        <v>192</v>
      </c>
      <c r="L167" s="475" t="s">
        <v>3458</v>
      </c>
      <c r="M167" s="530"/>
      <c r="N167" s="475" t="s">
        <v>774</v>
      </c>
      <c r="O167" s="475" t="s">
        <v>423</v>
      </c>
      <c r="P167" s="667" t="s">
        <v>835</v>
      </c>
      <c r="Q167" s="477">
        <f>3156*2.4</f>
        <v>7574.4</v>
      </c>
      <c r="R167" s="477">
        <f>7600+100</f>
        <v>7700</v>
      </c>
      <c r="S167" s="477">
        <v>7699.692</v>
      </c>
      <c r="T167" s="477"/>
      <c r="U167" s="577"/>
      <c r="V167" s="724">
        <f>S167</f>
        <v>7699.692</v>
      </c>
      <c r="W167" s="577"/>
      <c r="Z167" s="577"/>
      <c r="AA167" s="577"/>
      <c r="AB167" s="575"/>
      <c r="AC167" s="575"/>
      <c r="AD167" s="575"/>
      <c r="AE167" s="575"/>
      <c r="AF167" s="575"/>
      <c r="AG167" s="575"/>
      <c r="AH167" s="575"/>
      <c r="AI167" s="575"/>
      <c r="AZ167" s="473">
        <f t="shared" si="44"/>
        <v>45207.1875</v>
      </c>
      <c r="BA167" s="473">
        <f t="shared" si="45"/>
        <v>45216.875</v>
      </c>
      <c r="BB167" s="479">
        <f t="shared" si="46"/>
        <v>9.6875</v>
      </c>
      <c r="BC167" s="473">
        <v>45207.1875</v>
      </c>
      <c r="BD167" s="473">
        <v>45208.75</v>
      </c>
      <c r="BE167" s="473">
        <v>45210.354166666664</v>
      </c>
      <c r="BF167" s="473">
        <v>45211.034722222219</v>
      </c>
      <c r="BG167" s="473">
        <v>45211.173611111109</v>
      </c>
      <c r="BH167" s="473">
        <v>45211.180555555555</v>
      </c>
      <c r="BI167" s="473">
        <v>45211.184027777781</v>
      </c>
      <c r="BJ167" s="473">
        <f t="shared" si="59"/>
        <v>45212.892361111117</v>
      </c>
      <c r="BK167" s="473">
        <v>45213.25</v>
      </c>
      <c r="BL167" s="473">
        <v>45213.416666666664</v>
      </c>
      <c r="BM167" s="473">
        <v>45213.336805555555</v>
      </c>
      <c r="BN167" s="473">
        <v>45214.458333333336</v>
      </c>
      <c r="BO167" s="473">
        <v>45216.090277777781</v>
      </c>
      <c r="BP167" s="473">
        <v>45216.368055555555</v>
      </c>
      <c r="BQ167" s="473">
        <v>45216.402777777781</v>
      </c>
      <c r="BR167" s="473">
        <v>45216.635416666664</v>
      </c>
      <c r="BS167" s="473">
        <v>45216.875</v>
      </c>
      <c r="BV167" s="481">
        <f t="shared" si="47"/>
        <v>38.499999999941792</v>
      </c>
      <c r="BW167" s="481">
        <f t="shared" si="48"/>
        <v>3.3333333333721384</v>
      </c>
      <c r="BX167" s="481">
        <f t="shared" si="49"/>
        <v>41.000000000058208</v>
      </c>
      <c r="BY167" s="481">
        <f t="shared" si="61"/>
        <v>25.000000000116415</v>
      </c>
      <c r="BZ167" s="482">
        <f t="shared" si="50"/>
        <v>6.6666666665696539</v>
      </c>
      <c r="CA167" s="482">
        <f t="shared" si="51"/>
        <v>5.7500000000582077</v>
      </c>
      <c r="CB167" s="483">
        <f t="shared" si="52"/>
        <v>5.0104166666715173</v>
      </c>
      <c r="CC167" s="483">
        <f t="shared" si="53"/>
        <v>9.6875</v>
      </c>
      <c r="CD167" s="484">
        <f t="shared" si="54"/>
        <v>0.51720430107576953</v>
      </c>
    </row>
    <row r="168" spans="1:82" s="475" customFormat="1">
      <c r="A168" s="474">
        <f t="shared" si="58"/>
        <v>45211.875</v>
      </c>
      <c r="B168" s="475" t="s">
        <v>228</v>
      </c>
      <c r="C168" s="475" t="s">
        <v>229</v>
      </c>
      <c r="D168" s="475" t="s">
        <v>197</v>
      </c>
      <c r="E168" s="667" t="s">
        <v>3104</v>
      </c>
      <c r="F168" s="476"/>
      <c r="G168" s="472">
        <v>45192.333333333336</v>
      </c>
      <c r="H168" s="472">
        <v>45192.347222222219</v>
      </c>
      <c r="I168" s="399" t="s">
        <v>490</v>
      </c>
      <c r="J168" s="475" t="s">
        <v>192</v>
      </c>
      <c r="K168" s="475" t="s">
        <v>192</v>
      </c>
      <c r="L168" s="475" t="s">
        <v>3459</v>
      </c>
      <c r="M168" s="530"/>
      <c r="N168" s="475" t="s">
        <v>489</v>
      </c>
      <c r="O168" s="475" t="s">
        <v>483</v>
      </c>
      <c r="P168" s="399" t="s">
        <v>1372</v>
      </c>
      <c r="Q168" s="477">
        <f>3107*2.4</f>
        <v>7456.7999999999993</v>
      </c>
      <c r="R168" s="477">
        <f>7500+100</f>
        <v>7600</v>
      </c>
      <c r="S168" s="477">
        <v>7546.5820000000003</v>
      </c>
      <c r="T168" s="477"/>
      <c r="U168" s="724">
        <f>S168*0.7</f>
        <v>5282.6073999999999</v>
      </c>
      <c r="V168" s="724">
        <f>S168*0.3</f>
        <v>2263.9746</v>
      </c>
      <c r="W168" s="577"/>
      <c r="Z168" s="577"/>
      <c r="AA168" s="577"/>
      <c r="AB168" s="575"/>
      <c r="AC168" s="401"/>
      <c r="AD168" s="401"/>
      <c r="AE168" s="401"/>
      <c r="AF168" s="401"/>
      <c r="AG168" s="401"/>
      <c r="AH168" s="401"/>
      <c r="AI168" s="401"/>
      <c r="AJ168" s="401"/>
      <c r="AK168" s="401"/>
      <c r="AL168" s="401"/>
      <c r="AM168" s="401"/>
      <c r="AN168" s="401"/>
      <c r="AO168" s="401"/>
      <c r="AP168" s="401"/>
      <c r="AQ168" s="401"/>
      <c r="AR168" s="401"/>
      <c r="AS168" s="401"/>
      <c r="AT168" s="401"/>
      <c r="AU168" s="401"/>
      <c r="AZ168" s="473">
        <f t="shared" si="44"/>
        <v>45208.052083333336</v>
      </c>
      <c r="BA168" s="473">
        <f t="shared" si="45"/>
        <v>45219.909722222219</v>
      </c>
      <c r="BB168" s="479">
        <f t="shared" si="46"/>
        <v>11.85763888888323</v>
      </c>
      <c r="BC168" s="473">
        <v>45208.052083333336</v>
      </c>
      <c r="BD168" s="473">
        <v>45209.399305555555</v>
      </c>
      <c r="BE168" s="473">
        <v>45211.0625</v>
      </c>
      <c r="BF168" s="473">
        <v>45211.875</v>
      </c>
      <c r="BG168" s="473">
        <v>45212.013888888891</v>
      </c>
      <c r="BH168" s="473">
        <v>45212.017361111109</v>
      </c>
      <c r="BI168" s="473">
        <v>45212.270833333336</v>
      </c>
      <c r="BJ168" s="473">
        <f t="shared" si="59"/>
        <v>45213.979166666672</v>
      </c>
      <c r="BK168" s="480">
        <v>45214.25</v>
      </c>
      <c r="BL168" s="480">
        <v>45214.416666666664</v>
      </c>
      <c r="BM168" s="480">
        <v>45214.347222222219</v>
      </c>
      <c r="BN168" s="473">
        <v>45215.413194444445</v>
      </c>
      <c r="BO168" s="473">
        <v>45219.354166666664</v>
      </c>
      <c r="BP168" s="473">
        <v>45219.659722222219</v>
      </c>
      <c r="BQ168" s="473">
        <v>45219.680555555555</v>
      </c>
      <c r="BR168" s="473">
        <v>45219.680555555555</v>
      </c>
      <c r="BS168" s="473">
        <v>45219.909722222219</v>
      </c>
      <c r="BV168" s="481">
        <f t="shared" si="47"/>
        <v>39.916666666686069</v>
      </c>
      <c r="BW168" s="481">
        <f t="shared" si="48"/>
        <v>3.3333333333721384</v>
      </c>
      <c r="BX168" s="481">
        <f t="shared" si="49"/>
        <v>41.000000000058208</v>
      </c>
      <c r="BY168" s="481">
        <f>(BN168-BJ168)*24</f>
        <v>34.416666666569654</v>
      </c>
      <c r="BZ168" s="482">
        <f t="shared" si="50"/>
        <v>7.3333333333139308</v>
      </c>
      <c r="CA168" s="482">
        <f t="shared" si="51"/>
        <v>5.4999999999417923</v>
      </c>
      <c r="CB168" s="483">
        <f t="shared" si="52"/>
        <v>5.4791666666642413</v>
      </c>
      <c r="CC168" s="483">
        <f t="shared" si="53"/>
        <v>11.85763888888323</v>
      </c>
      <c r="CD168" s="484">
        <f t="shared" si="54"/>
        <v>0.46207906295755624</v>
      </c>
    </row>
    <row r="169" spans="1:82" s="475" customFormat="1">
      <c r="A169" s="474">
        <f t="shared" si="58"/>
        <v>45212.045138888891</v>
      </c>
      <c r="B169" s="475" t="s">
        <v>228</v>
      </c>
      <c r="C169" s="475" t="s">
        <v>229</v>
      </c>
      <c r="D169" s="475" t="s">
        <v>197</v>
      </c>
      <c r="E169" s="399" t="s">
        <v>3104</v>
      </c>
      <c r="G169" s="472">
        <v>45192.333333333336</v>
      </c>
      <c r="H169" s="472">
        <v>45192.347222222219</v>
      </c>
      <c r="I169" s="399" t="s">
        <v>490</v>
      </c>
      <c r="J169" s="475" t="s">
        <v>192</v>
      </c>
      <c r="K169" s="475" t="s">
        <v>192</v>
      </c>
      <c r="L169" s="475" t="s">
        <v>3460</v>
      </c>
      <c r="M169" s="530"/>
      <c r="N169" s="475" t="s">
        <v>226</v>
      </c>
      <c r="O169" s="475" t="s">
        <v>227</v>
      </c>
      <c r="P169" s="399" t="s">
        <v>1372</v>
      </c>
      <c r="Q169" s="477">
        <f>3100*2.4</f>
        <v>7440</v>
      </c>
      <c r="R169" s="477">
        <f>7450+100</f>
        <v>7550</v>
      </c>
      <c r="S169" s="477">
        <v>7567.3410000000003</v>
      </c>
      <c r="T169" s="477"/>
      <c r="U169" s="724">
        <f>S169*0.7</f>
        <v>5297.1386999999995</v>
      </c>
      <c r="V169" s="724">
        <f>S169*0.3</f>
        <v>2270.2022999999999</v>
      </c>
      <c r="W169" s="577"/>
      <c r="Z169" s="577"/>
      <c r="AA169" s="577"/>
      <c r="AB169" s="577"/>
      <c r="AC169" s="401"/>
      <c r="AD169" s="401"/>
      <c r="AE169" s="401"/>
      <c r="AF169" s="401"/>
      <c r="AG169" s="401"/>
      <c r="AH169" s="401"/>
      <c r="AI169" s="401"/>
      <c r="AJ169" s="401"/>
      <c r="AK169" s="401"/>
      <c r="AL169" s="401"/>
      <c r="AM169" s="401"/>
      <c r="AN169" s="401"/>
      <c r="AO169" s="401"/>
      <c r="AP169" s="401"/>
      <c r="AQ169" s="401"/>
      <c r="AR169" s="401"/>
      <c r="AS169" s="401"/>
      <c r="AT169" s="401"/>
      <c r="AU169" s="401"/>
      <c r="AZ169" s="473">
        <f t="shared" si="44"/>
        <v>45208.402777777781</v>
      </c>
      <c r="BA169" s="473">
        <f t="shared" si="45"/>
        <v>45219.458333333336</v>
      </c>
      <c r="BB169" s="479">
        <f t="shared" si="46"/>
        <v>11.055555555554747</v>
      </c>
      <c r="BC169" s="473">
        <v>45208.402777777781</v>
      </c>
      <c r="BD169" s="473">
        <v>45209.822916666664</v>
      </c>
      <c r="BE169" s="473">
        <v>45211.5625</v>
      </c>
      <c r="BF169" s="473">
        <v>45212.045138888891</v>
      </c>
      <c r="BG169" s="473">
        <v>45212.194444444445</v>
      </c>
      <c r="BH169" s="473">
        <v>45212.201388888891</v>
      </c>
      <c r="BI169" s="473">
        <v>45212.201388888891</v>
      </c>
      <c r="BJ169" s="473">
        <f t="shared" si="59"/>
        <v>45213.909722222226</v>
      </c>
      <c r="BK169" s="473">
        <v>45214.25</v>
      </c>
      <c r="BL169" s="473">
        <v>45214.416666666664</v>
      </c>
      <c r="BM169" s="473">
        <v>45214.288194444445</v>
      </c>
      <c r="BN169" s="473">
        <v>45215.604166666664</v>
      </c>
      <c r="BO169" s="473">
        <v>45218.618055555555</v>
      </c>
      <c r="BP169" s="473">
        <v>45218.934027777781</v>
      </c>
      <c r="BQ169" s="473">
        <v>45218.954861111109</v>
      </c>
      <c r="BR169" s="473">
        <v>45219.291666666664</v>
      </c>
      <c r="BS169" s="473">
        <v>45219.458333333336</v>
      </c>
      <c r="BV169" s="481">
        <f t="shared" si="47"/>
        <v>41.750000000058208</v>
      </c>
      <c r="BW169" s="481">
        <f t="shared" si="48"/>
        <v>3.5833333333139308</v>
      </c>
      <c r="BX169" s="481">
        <f t="shared" si="49"/>
        <v>41.000000000058208</v>
      </c>
      <c r="BY169" s="481">
        <f t="shared" ref="BY169:BY174" si="62">(BN169-BL169)*24</f>
        <v>28.5</v>
      </c>
      <c r="BZ169" s="482">
        <f t="shared" si="50"/>
        <v>7.5833333334303461</v>
      </c>
      <c r="CA169" s="482">
        <f t="shared" si="51"/>
        <v>4.0000000001164153</v>
      </c>
      <c r="CB169" s="483">
        <f t="shared" si="52"/>
        <v>5.2673611111240461</v>
      </c>
      <c r="CC169" s="483">
        <f t="shared" si="53"/>
        <v>11.055555555554747</v>
      </c>
      <c r="CD169" s="484">
        <f t="shared" si="54"/>
        <v>0.4764447236192953</v>
      </c>
    </row>
    <row r="170" spans="1:82" s="475" customFormat="1">
      <c r="A170" s="474">
        <f t="shared" si="58"/>
        <v>45212.243055555555</v>
      </c>
      <c r="B170" s="475" t="s">
        <v>228</v>
      </c>
      <c r="C170" s="475" t="s">
        <v>229</v>
      </c>
      <c r="D170" s="475" t="s">
        <v>197</v>
      </c>
      <c r="E170" s="399" t="s">
        <v>3104</v>
      </c>
      <c r="G170" s="472">
        <v>45192.333333333336</v>
      </c>
      <c r="H170" s="472">
        <v>45192.347222222219</v>
      </c>
      <c r="I170" s="399" t="s">
        <v>490</v>
      </c>
      <c r="J170" s="475" t="s">
        <v>192</v>
      </c>
      <c r="K170" s="475" t="s">
        <v>192</v>
      </c>
      <c r="L170" s="475" t="s">
        <v>3461</v>
      </c>
      <c r="M170" s="530"/>
      <c r="N170" s="475" t="s">
        <v>323</v>
      </c>
      <c r="O170" s="475" t="s">
        <v>324</v>
      </c>
      <c r="P170" s="399" t="s">
        <v>494</v>
      </c>
      <c r="Q170" s="477">
        <f>3095*2.4</f>
        <v>7428</v>
      </c>
      <c r="R170" s="477">
        <f>7450+100</f>
        <v>7550</v>
      </c>
      <c r="S170" s="477">
        <v>7556.5429999999997</v>
      </c>
      <c r="T170" s="477"/>
      <c r="U170" s="724">
        <f>S170</f>
        <v>7556.5429999999997</v>
      </c>
      <c r="V170" s="577"/>
      <c r="W170" s="577"/>
      <c r="Z170" s="577"/>
      <c r="AA170" s="577"/>
      <c r="AZ170" s="473">
        <f t="shared" si="44"/>
        <v>45208.928472222222</v>
      </c>
      <c r="BA170" s="473">
        <f t="shared" si="45"/>
        <v>45219.680555555555</v>
      </c>
      <c r="BB170" s="479">
        <f t="shared" si="46"/>
        <v>10.752083333332848</v>
      </c>
      <c r="BC170" s="473">
        <v>45208.928472222222</v>
      </c>
      <c r="BD170" s="473">
        <v>45209.801388888889</v>
      </c>
      <c r="BE170" s="473">
        <v>45211.875</v>
      </c>
      <c r="BF170" s="473">
        <v>45212.243055555555</v>
      </c>
      <c r="BG170" s="473">
        <v>45212.486111111109</v>
      </c>
      <c r="BH170" s="473">
        <v>45212.489583333336</v>
      </c>
      <c r="BI170" s="473">
        <v>45212.493055555555</v>
      </c>
      <c r="BJ170" s="473">
        <f t="shared" si="59"/>
        <v>45214.201388888891</v>
      </c>
      <c r="BK170" s="473">
        <v>45214.25</v>
      </c>
      <c r="BL170" s="473">
        <v>45214.416666666664</v>
      </c>
      <c r="BM170" s="473">
        <v>45214.274305555555</v>
      </c>
      <c r="BN170" s="473">
        <v>45215.583333333336</v>
      </c>
      <c r="BO170" s="473">
        <v>45218.996527777781</v>
      </c>
      <c r="BP170" s="473">
        <v>45219.270833333336</v>
      </c>
      <c r="BQ170" s="473">
        <v>45219.291666666664</v>
      </c>
      <c r="BR170" s="473">
        <v>45219.291666666664</v>
      </c>
      <c r="BS170" s="473">
        <v>45219.680555555555</v>
      </c>
      <c r="BV170" s="481">
        <f t="shared" si="47"/>
        <v>49.766666666662786</v>
      </c>
      <c r="BW170" s="481">
        <f t="shared" si="48"/>
        <v>5.8333333333139308</v>
      </c>
      <c r="BX170" s="481">
        <f t="shared" si="49"/>
        <v>41.000000000058208</v>
      </c>
      <c r="BY170" s="481">
        <f t="shared" si="62"/>
        <v>28.000000000116415</v>
      </c>
      <c r="BZ170" s="482">
        <f t="shared" si="50"/>
        <v>6.5833333333139308</v>
      </c>
      <c r="CA170" s="482">
        <f t="shared" si="51"/>
        <v>9.3333333333721384</v>
      </c>
      <c r="CB170" s="483">
        <f t="shared" si="52"/>
        <v>5.8548611111182254</v>
      </c>
      <c r="CC170" s="483">
        <f t="shared" si="53"/>
        <v>10.752083333332848</v>
      </c>
      <c r="CD170" s="484">
        <f t="shared" si="54"/>
        <v>0.54453271329914266</v>
      </c>
    </row>
    <row r="171" spans="1:82" s="475" customFormat="1">
      <c r="A171" s="474">
        <f t="shared" si="58"/>
        <v>45212.506944444445</v>
      </c>
      <c r="B171" s="475" t="s">
        <v>228</v>
      </c>
      <c r="C171" s="475" t="s">
        <v>229</v>
      </c>
      <c r="D171" s="475" t="s">
        <v>215</v>
      </c>
      <c r="E171" s="667" t="s">
        <v>3104</v>
      </c>
      <c r="G171" s="472">
        <v>45192.333333333336</v>
      </c>
      <c r="H171" s="472">
        <v>45192.347222222219</v>
      </c>
      <c r="I171" s="399" t="s">
        <v>490</v>
      </c>
      <c r="J171" s="475" t="s">
        <v>192</v>
      </c>
      <c r="K171" s="475" t="s">
        <v>192</v>
      </c>
      <c r="L171" s="475" t="s">
        <v>3462</v>
      </c>
      <c r="M171" s="530"/>
      <c r="N171" s="475" t="s">
        <v>352</v>
      </c>
      <c r="O171" s="475" t="s">
        <v>353</v>
      </c>
      <c r="P171" s="667" t="s">
        <v>1372</v>
      </c>
      <c r="Q171" s="477">
        <f>3852*2.4</f>
        <v>9244.7999999999993</v>
      </c>
      <c r="R171" s="477">
        <f>9250+100</f>
        <v>9350</v>
      </c>
      <c r="S171" s="477">
        <v>9184.6509999999998</v>
      </c>
      <c r="T171" s="477"/>
      <c r="U171" s="724">
        <f>S171*0.7</f>
        <v>6429.2556999999997</v>
      </c>
      <c r="V171" s="724">
        <f>S171*0.3</f>
        <v>2755.3952999999997</v>
      </c>
      <c r="W171" s="577"/>
      <c r="Z171" s="577"/>
      <c r="AA171" s="577"/>
      <c r="AC171" s="401"/>
      <c r="AD171" s="401"/>
      <c r="AE171" s="401"/>
      <c r="AZ171" s="473">
        <f t="shared" si="44"/>
        <v>45209.5</v>
      </c>
      <c r="BA171" s="473">
        <f t="shared" si="45"/>
        <v>45221.666666666664</v>
      </c>
      <c r="BB171" s="479">
        <f t="shared" si="46"/>
        <v>12.166666666664241</v>
      </c>
      <c r="BC171" s="473">
        <v>45209.5</v>
      </c>
      <c r="BD171" s="473">
        <v>45210.319444444445</v>
      </c>
      <c r="BE171" s="473">
        <v>45212.229166666664</v>
      </c>
      <c r="BF171" s="473">
        <v>45212.506944444445</v>
      </c>
      <c r="BG171" s="473">
        <v>45212.694444444445</v>
      </c>
      <c r="BH171" s="473">
        <v>45212.701388888891</v>
      </c>
      <c r="BI171" s="473">
        <v>45212.704861111109</v>
      </c>
      <c r="BJ171" s="473">
        <f t="shared" si="59"/>
        <v>45214.413194444445</v>
      </c>
      <c r="BK171" s="473">
        <v>45214.25</v>
      </c>
      <c r="BL171" s="473">
        <v>45214.416666666664</v>
      </c>
      <c r="BM171" s="480">
        <v>45214.320138888892</v>
      </c>
      <c r="BN171" s="473">
        <v>45218.041666666664</v>
      </c>
      <c r="BO171" s="473">
        <v>45220.104166666664</v>
      </c>
      <c r="BP171" s="473">
        <v>45220.513888888891</v>
      </c>
      <c r="BQ171" s="473">
        <v>45220.534722222219</v>
      </c>
      <c r="BR171" s="473">
        <v>45221.326388888891</v>
      </c>
      <c r="BS171" s="473">
        <v>45221.666666666664</v>
      </c>
      <c r="BV171" s="481">
        <f t="shared" si="47"/>
        <v>45.833333333255723</v>
      </c>
      <c r="BW171" s="481">
        <f t="shared" si="48"/>
        <v>4.5</v>
      </c>
      <c r="BX171" s="481">
        <f t="shared" si="49"/>
        <v>41.000000000058208</v>
      </c>
      <c r="BY171" s="481">
        <f t="shared" si="62"/>
        <v>87</v>
      </c>
      <c r="BZ171" s="482">
        <f t="shared" si="50"/>
        <v>9.8333333334303461</v>
      </c>
      <c r="CA171" s="482">
        <f t="shared" si="51"/>
        <v>8.1666666665696539</v>
      </c>
      <c r="CB171" s="483">
        <f t="shared" si="52"/>
        <v>8.1805555555547471</v>
      </c>
      <c r="CC171" s="483">
        <f t="shared" si="53"/>
        <v>12.166666666664241</v>
      </c>
      <c r="CD171" s="484">
        <f t="shared" si="54"/>
        <v>0.67237442922381185</v>
      </c>
    </row>
    <row r="172" spans="1:82" s="475" customFormat="1">
      <c r="A172" s="474">
        <f t="shared" si="58"/>
        <v>45212.975694444445</v>
      </c>
      <c r="B172" s="475" t="s">
        <v>228</v>
      </c>
      <c r="C172" s="475" t="s">
        <v>229</v>
      </c>
      <c r="D172" s="475" t="s">
        <v>215</v>
      </c>
      <c r="E172" s="667" t="s">
        <v>3104</v>
      </c>
      <c r="G172" s="472">
        <v>45192.333333333336</v>
      </c>
      <c r="H172" s="472">
        <v>45192.347222222219</v>
      </c>
      <c r="I172" s="399" t="s">
        <v>490</v>
      </c>
      <c r="J172" s="475" t="s">
        <v>192</v>
      </c>
      <c r="K172" s="475" t="s">
        <v>192</v>
      </c>
      <c r="L172" s="475" t="s">
        <v>3463</v>
      </c>
      <c r="M172" s="530"/>
      <c r="N172" s="475" t="s">
        <v>271</v>
      </c>
      <c r="O172" s="475" t="s">
        <v>272</v>
      </c>
      <c r="P172" s="399" t="s">
        <v>494</v>
      </c>
      <c r="Q172" s="477">
        <f>3852*2.4</f>
        <v>9244.7999999999993</v>
      </c>
      <c r="R172" s="477">
        <f>9250+100</f>
        <v>9350</v>
      </c>
      <c r="S172" s="477">
        <v>9205.8089999999993</v>
      </c>
      <c r="T172" s="477"/>
      <c r="U172" s="724">
        <f>S172</f>
        <v>9205.8089999999993</v>
      </c>
      <c r="V172" s="577"/>
      <c r="W172" s="577"/>
      <c r="Z172" s="577"/>
      <c r="AA172" s="577"/>
      <c r="AC172" s="401"/>
      <c r="AD172" s="401"/>
      <c r="AE172" s="401"/>
      <c r="AZ172" s="473">
        <f t="shared" si="44"/>
        <v>45209.694444444445</v>
      </c>
      <c r="BA172" s="473">
        <f t="shared" si="45"/>
        <v>45221.920138888891</v>
      </c>
      <c r="BB172" s="479">
        <f t="shared" si="46"/>
        <v>12.225694444445253</v>
      </c>
      <c r="BC172" s="473">
        <v>45209.694444444445</v>
      </c>
      <c r="BD172" s="473">
        <v>45210.756944444445</v>
      </c>
      <c r="BE172" s="473">
        <v>45212.583333333336</v>
      </c>
      <c r="BF172" s="473">
        <v>45212.975694444445</v>
      </c>
      <c r="BG172" s="473">
        <v>45213.177083333336</v>
      </c>
      <c r="BH172" s="473">
        <v>45213.180555555555</v>
      </c>
      <c r="BI172" s="473">
        <v>45213.1875</v>
      </c>
      <c r="BJ172" s="473">
        <f t="shared" si="59"/>
        <v>45214.895833333336</v>
      </c>
      <c r="BK172" s="480">
        <v>45215.25</v>
      </c>
      <c r="BL172" s="480">
        <v>45215.416666666664</v>
      </c>
      <c r="BM172" s="480">
        <v>45215.267361111109</v>
      </c>
      <c r="BN172" s="473">
        <v>45216.611111111109</v>
      </c>
      <c r="BO172" s="473">
        <v>45221.118055555555</v>
      </c>
      <c r="BP172" s="473">
        <v>45221.638888888891</v>
      </c>
      <c r="BQ172" s="473">
        <v>45221.659722222226</v>
      </c>
      <c r="BR172" s="473">
        <v>45221.722222222219</v>
      </c>
      <c r="BS172" s="473">
        <v>45221.920138888891</v>
      </c>
      <c r="BV172" s="481">
        <f t="shared" si="47"/>
        <v>43.833333333372138</v>
      </c>
      <c r="BW172" s="481">
        <f t="shared" si="48"/>
        <v>4.8333333333721384</v>
      </c>
      <c r="BX172" s="481">
        <f t="shared" si="49"/>
        <v>41.000000000058208</v>
      </c>
      <c r="BY172" s="481">
        <f t="shared" si="62"/>
        <v>28.666666666686069</v>
      </c>
      <c r="BZ172" s="482">
        <f t="shared" si="50"/>
        <v>12.500000000058208</v>
      </c>
      <c r="CA172" s="482">
        <f t="shared" si="51"/>
        <v>4.7500000001164153</v>
      </c>
      <c r="CB172" s="483">
        <f t="shared" si="52"/>
        <v>5.649305555569299</v>
      </c>
      <c r="CC172" s="483">
        <f t="shared" si="53"/>
        <v>12.225694444445253</v>
      </c>
      <c r="CD172" s="484">
        <f t="shared" si="54"/>
        <v>0.46208463504795527</v>
      </c>
    </row>
    <row r="173" spans="1:82" s="475" customFormat="1">
      <c r="A173" s="474">
        <f t="shared" si="58"/>
        <v>45212.725694444445</v>
      </c>
      <c r="B173" s="475" t="s">
        <v>228</v>
      </c>
      <c r="C173" s="475" t="s">
        <v>229</v>
      </c>
      <c r="D173" s="475" t="s">
        <v>197</v>
      </c>
      <c r="E173" s="399" t="s">
        <v>3113</v>
      </c>
      <c r="G173" s="472">
        <v>45218.104166666664</v>
      </c>
      <c r="H173" s="472">
        <v>45218.020833333336</v>
      </c>
      <c r="I173" s="399" t="s">
        <v>490</v>
      </c>
      <c r="J173" s="475" t="s">
        <v>192</v>
      </c>
      <c r="K173" s="475" t="s">
        <v>192</v>
      </c>
      <c r="L173" s="475" t="s">
        <v>3464</v>
      </c>
      <c r="M173" s="530"/>
      <c r="N173" s="475" t="s">
        <v>1240</v>
      </c>
      <c r="O173" s="475" t="s">
        <v>1241</v>
      </c>
      <c r="P173" s="667" t="s">
        <v>494</v>
      </c>
      <c r="Q173" s="477">
        <f>3243*2.4</f>
        <v>7783.2</v>
      </c>
      <c r="R173" s="477">
        <f>7800+100</f>
        <v>7900</v>
      </c>
      <c r="S173" s="477">
        <v>2118.741</v>
      </c>
      <c r="T173" s="477"/>
      <c r="U173" s="724">
        <f>S173</f>
        <v>2118.741</v>
      </c>
      <c r="V173" s="577"/>
      <c r="W173" s="577"/>
      <c r="Z173" s="577"/>
      <c r="AA173" s="577"/>
      <c r="AB173" s="401"/>
      <c r="AC173" s="401"/>
      <c r="AD173" s="401"/>
      <c r="AE173" s="401"/>
      <c r="AF173" s="401"/>
      <c r="AG173" s="401"/>
      <c r="AH173" s="401"/>
      <c r="AI173" s="401"/>
      <c r="AJ173" s="401"/>
      <c r="AK173" s="401"/>
      <c r="AL173" s="401"/>
      <c r="AM173" s="401"/>
      <c r="AN173" s="401"/>
      <c r="AO173" s="401"/>
      <c r="AP173" s="401"/>
      <c r="AQ173" s="401"/>
      <c r="AR173" s="401"/>
      <c r="AS173" s="401"/>
      <c r="AT173" s="401"/>
      <c r="AU173" s="401"/>
      <c r="AZ173" s="473">
        <f t="shared" si="44"/>
        <v>45210.3125</v>
      </c>
      <c r="BA173" s="473">
        <f t="shared" si="45"/>
        <v>45226.798611111109</v>
      </c>
      <c r="BB173" s="479">
        <f t="shared" si="46"/>
        <v>16.486111111109494</v>
      </c>
      <c r="BC173" s="473">
        <v>45210.3125</v>
      </c>
      <c r="BD173" s="473">
        <v>45210.798611111109</v>
      </c>
      <c r="BE173" s="473">
        <v>45212.5625</v>
      </c>
      <c r="BF173" s="473">
        <v>45212.725694444445</v>
      </c>
      <c r="BG173" s="473">
        <v>45212.944444444445</v>
      </c>
      <c r="BH173" s="473">
        <v>45212.947916666664</v>
      </c>
      <c r="BI173" s="473">
        <v>45213.256944444445</v>
      </c>
      <c r="BJ173" s="473">
        <f t="shared" si="59"/>
        <v>45214.965277777781</v>
      </c>
      <c r="BK173" s="480">
        <v>45215.25</v>
      </c>
      <c r="BL173" s="480">
        <v>45215.416666666664</v>
      </c>
      <c r="BM173" s="480">
        <v>45215.298611111109</v>
      </c>
      <c r="BN173" s="473">
        <v>45221.972222222219</v>
      </c>
      <c r="BO173" s="473">
        <v>45226.208333333336</v>
      </c>
      <c r="BP173" s="473">
        <v>45226.291666666664</v>
      </c>
      <c r="BQ173" s="473">
        <v>45226.322916666664</v>
      </c>
      <c r="BR173" s="473">
        <v>45226.618055555555</v>
      </c>
      <c r="BS173" s="473">
        <v>45226.798611111109</v>
      </c>
      <c r="BV173" s="481">
        <f t="shared" si="47"/>
        <v>42.333333333372138</v>
      </c>
      <c r="BW173" s="481">
        <f t="shared" si="48"/>
        <v>5.25</v>
      </c>
      <c r="BX173" s="481">
        <f t="shared" si="49"/>
        <v>41.000000000058208</v>
      </c>
      <c r="BY173" s="481">
        <f t="shared" si="62"/>
        <v>157.33333333331393</v>
      </c>
      <c r="BZ173" s="482">
        <f t="shared" si="50"/>
        <v>1.9999999998835847</v>
      </c>
      <c r="CA173" s="482">
        <f t="shared" si="51"/>
        <v>4.3333333333139308</v>
      </c>
      <c r="CB173" s="483">
        <f t="shared" si="52"/>
        <v>10.510416666664241</v>
      </c>
      <c r="CC173" s="483">
        <f t="shared" si="53"/>
        <v>16.486111111109494</v>
      </c>
      <c r="CD173" s="484">
        <f t="shared" si="54"/>
        <v>0.63753159224928357</v>
      </c>
    </row>
    <row r="174" spans="1:82" s="475" customFormat="1">
      <c r="A174" s="474">
        <f t="shared" si="58"/>
        <v>45212.725694444445</v>
      </c>
      <c r="B174" s="475" t="s">
        <v>228</v>
      </c>
      <c r="C174" s="475" t="s">
        <v>229</v>
      </c>
      <c r="D174" s="475" t="s">
        <v>197</v>
      </c>
      <c r="E174" s="399" t="s">
        <v>3104</v>
      </c>
      <c r="G174" s="472">
        <v>45192.333333333336</v>
      </c>
      <c r="H174" s="472">
        <v>45192.347222222219</v>
      </c>
      <c r="I174" s="399" t="s">
        <v>490</v>
      </c>
      <c r="J174" s="475" t="s">
        <v>192</v>
      </c>
      <c r="K174" s="475" t="s">
        <v>192</v>
      </c>
      <c r="L174" s="475" t="s">
        <v>3464</v>
      </c>
      <c r="M174" s="530"/>
      <c r="N174" s="475" t="s">
        <v>1240</v>
      </c>
      <c r="O174" s="475" t="s">
        <v>1241</v>
      </c>
      <c r="P174" s="667" t="s">
        <v>494</v>
      </c>
      <c r="Q174" s="477">
        <f>3243*2.4</f>
        <v>7783.2</v>
      </c>
      <c r="R174" s="477">
        <f>7800+100</f>
        <v>7900</v>
      </c>
      <c r="S174" s="477">
        <f>7713.134-2820.502</f>
        <v>4892.6319999999996</v>
      </c>
      <c r="T174" s="477"/>
      <c r="U174" s="724">
        <f>S174</f>
        <v>4892.6319999999996</v>
      </c>
      <c r="V174" s="577"/>
      <c r="W174" s="577"/>
      <c r="Z174" s="577"/>
      <c r="AA174" s="577"/>
      <c r="AB174" s="401"/>
      <c r="AC174" s="401"/>
      <c r="AD174" s="401"/>
      <c r="AE174" s="401"/>
      <c r="AF174" s="401"/>
      <c r="AG174" s="401"/>
      <c r="AH174" s="401"/>
      <c r="AI174" s="401"/>
      <c r="AJ174" s="401"/>
      <c r="AK174" s="401"/>
      <c r="AL174" s="401"/>
      <c r="AM174" s="401"/>
      <c r="AN174" s="401"/>
      <c r="AO174" s="401"/>
      <c r="AP174" s="401"/>
      <c r="AQ174" s="401"/>
      <c r="AR174" s="401"/>
      <c r="AS174" s="401"/>
      <c r="AT174" s="401"/>
      <c r="AU174" s="401"/>
      <c r="AZ174" s="473">
        <f t="shared" si="44"/>
        <v>45210.3125</v>
      </c>
      <c r="BA174" s="473">
        <f t="shared" si="45"/>
        <v>45221.972222222219</v>
      </c>
      <c r="BB174" s="479">
        <f t="shared" si="46"/>
        <v>11.659722222218988</v>
      </c>
      <c r="BC174" s="473">
        <v>45210.3125</v>
      </c>
      <c r="BD174" s="473">
        <v>45210.798611111109</v>
      </c>
      <c r="BE174" s="473">
        <v>45212.5625</v>
      </c>
      <c r="BF174" s="473">
        <v>45212.725694444445</v>
      </c>
      <c r="BG174" s="473">
        <v>45212.944444444445</v>
      </c>
      <c r="BH174" s="473">
        <v>45212.947916666664</v>
      </c>
      <c r="BI174" s="473">
        <v>45213.256944444445</v>
      </c>
      <c r="BJ174" s="473">
        <f t="shared" si="59"/>
        <v>45214.965277777781</v>
      </c>
      <c r="BK174" s="480">
        <v>45215.25</v>
      </c>
      <c r="BL174" s="480">
        <v>45215.416666666664</v>
      </c>
      <c r="BM174" s="480">
        <v>45215.298611111109</v>
      </c>
      <c r="BN174" s="473">
        <v>45216.791666666664</v>
      </c>
      <c r="BO174" s="473">
        <v>45221.701388888891</v>
      </c>
      <c r="BP174" s="473">
        <v>45221.930555555555</v>
      </c>
      <c r="BQ174" s="473">
        <v>45221.972222222219</v>
      </c>
      <c r="BR174" s="473">
        <v>45221.972222222219</v>
      </c>
      <c r="BS174" s="473">
        <v>45221.972222222219</v>
      </c>
      <c r="BV174" s="481">
        <f t="shared" si="47"/>
        <v>42.333333333372138</v>
      </c>
      <c r="BW174" s="481">
        <f t="shared" si="48"/>
        <v>5.25</v>
      </c>
      <c r="BX174" s="481">
        <f t="shared" si="49"/>
        <v>41.000000000058208</v>
      </c>
      <c r="BY174" s="481">
        <f t="shared" si="62"/>
        <v>33</v>
      </c>
      <c r="BZ174" s="482">
        <f t="shared" si="50"/>
        <v>5.4999999999417923</v>
      </c>
      <c r="CA174" s="482">
        <f t="shared" si="51"/>
        <v>0</v>
      </c>
      <c r="CB174" s="483">
        <f t="shared" si="52"/>
        <v>5.2951388888905058</v>
      </c>
      <c r="CC174" s="483">
        <f t="shared" si="53"/>
        <v>11.659722222218988</v>
      </c>
      <c r="CD174" s="484">
        <f t="shared" si="54"/>
        <v>0.45413936867209309</v>
      </c>
    </row>
    <row r="175" spans="1:82" s="126" customFormat="1">
      <c r="A175" s="168"/>
      <c r="G175" s="166"/>
      <c r="H175" s="166"/>
      <c r="I175" s="181"/>
      <c r="M175" s="529"/>
      <c r="Q175" s="181"/>
      <c r="R175" s="181"/>
      <c r="S175" s="191">
        <f>SUM(S4:S174)</f>
        <v>1183893.1529999997</v>
      </c>
      <c r="T175" s="191">
        <f t="shared" ref="T175:AY175" si="63">SUM(T4:T174)</f>
        <v>0</v>
      </c>
      <c r="U175" s="191">
        <f t="shared" si="63"/>
        <v>104649.53884999998</v>
      </c>
      <c r="V175" s="191">
        <f t="shared" si="63"/>
        <v>72290.991150000016</v>
      </c>
      <c r="W175" s="191">
        <f t="shared" si="63"/>
        <v>0</v>
      </c>
      <c r="X175" s="191">
        <f t="shared" si="63"/>
        <v>459341.56324999995</v>
      </c>
      <c r="Y175" s="191">
        <f t="shared" si="63"/>
        <v>300032.4757500001</v>
      </c>
      <c r="Z175" s="191">
        <f t="shared" si="63"/>
        <v>95610.619000000006</v>
      </c>
      <c r="AA175" s="191">
        <f t="shared" si="63"/>
        <v>29787.721000000001</v>
      </c>
      <c r="AB175" s="191">
        <f t="shared" si="63"/>
        <v>0</v>
      </c>
      <c r="AC175" s="191">
        <f t="shared" si="63"/>
        <v>0</v>
      </c>
      <c r="AD175" s="191">
        <f t="shared" si="63"/>
        <v>0</v>
      </c>
      <c r="AE175" s="191">
        <f t="shared" si="63"/>
        <v>0</v>
      </c>
      <c r="AF175" s="191">
        <f t="shared" si="63"/>
        <v>0</v>
      </c>
      <c r="AG175" s="191">
        <f t="shared" si="63"/>
        <v>0</v>
      </c>
      <c r="AH175" s="191">
        <f t="shared" si="63"/>
        <v>0</v>
      </c>
      <c r="AI175" s="191">
        <f t="shared" si="63"/>
        <v>10278</v>
      </c>
      <c r="AJ175" s="191">
        <f t="shared" si="63"/>
        <v>0</v>
      </c>
      <c r="AK175" s="191">
        <f t="shared" si="63"/>
        <v>7579.4520000000002</v>
      </c>
      <c r="AL175" s="191">
        <f t="shared" si="63"/>
        <v>7500</v>
      </c>
      <c r="AM175" s="191">
        <f t="shared" si="63"/>
        <v>15065</v>
      </c>
      <c r="AN175" s="191">
        <f t="shared" si="63"/>
        <v>5006.1850000000004</v>
      </c>
      <c r="AO175" s="191">
        <f t="shared" si="63"/>
        <v>0</v>
      </c>
      <c r="AP175" s="191">
        <f t="shared" si="63"/>
        <v>0</v>
      </c>
      <c r="AQ175" s="191">
        <f t="shared" si="63"/>
        <v>0</v>
      </c>
      <c r="AR175" s="191">
        <f t="shared" si="63"/>
        <v>20891</v>
      </c>
      <c r="AS175" s="191">
        <f t="shared" si="63"/>
        <v>0</v>
      </c>
      <c r="AT175" s="191">
        <f t="shared" si="63"/>
        <v>25627.462000000003</v>
      </c>
      <c r="AU175" s="191">
        <f t="shared" si="63"/>
        <v>15004.013999999999</v>
      </c>
      <c r="AV175" s="191">
        <f t="shared" si="63"/>
        <v>0</v>
      </c>
      <c r="AW175" s="191">
        <f t="shared" si="63"/>
        <v>7719.1220000000003</v>
      </c>
      <c r="AX175" s="191">
        <f t="shared" si="63"/>
        <v>7510.009</v>
      </c>
      <c r="AY175" s="191">
        <f t="shared" si="63"/>
        <v>0</v>
      </c>
      <c r="AZ175" s="165"/>
      <c r="BA175" s="165"/>
      <c r="BB175" s="165"/>
      <c r="BC175" s="165"/>
      <c r="BD175" s="165"/>
      <c r="BE175" s="165"/>
      <c r="BF175" s="165"/>
      <c r="BG175" s="165"/>
      <c r="BH175" s="165"/>
      <c r="BI175" s="165"/>
      <c r="BJ175" s="165"/>
      <c r="BK175" s="165"/>
      <c r="BL175" s="165"/>
      <c r="BM175" s="165"/>
      <c r="BN175" s="165"/>
      <c r="BO175" s="165"/>
      <c r="BP175" s="165"/>
      <c r="BQ175" s="165"/>
      <c r="BR175" s="165"/>
      <c r="BS175" s="165"/>
      <c r="BV175" s="136"/>
      <c r="BW175" s="136"/>
      <c r="BX175" s="136"/>
      <c r="BY175" s="136"/>
      <c r="BZ175" s="135"/>
      <c r="CA175" s="135"/>
      <c r="CB175" s="165"/>
      <c r="CC175" s="165"/>
    </row>
  </sheetData>
  <mergeCells count="53">
    <mergeCell ref="M1:M2"/>
    <mergeCell ref="A1:A2"/>
    <mergeCell ref="B1:B2"/>
    <mergeCell ref="C1:C2"/>
    <mergeCell ref="D1:D2"/>
    <mergeCell ref="E1:F2"/>
    <mergeCell ref="G1:G2"/>
    <mergeCell ref="H1:H2"/>
    <mergeCell ref="I1:I2"/>
    <mergeCell ref="J1:J2"/>
    <mergeCell ref="K1:K2"/>
    <mergeCell ref="L1:L2"/>
    <mergeCell ref="AZ1:AZ2"/>
    <mergeCell ref="N1:N2"/>
    <mergeCell ref="O1:O2"/>
    <mergeCell ref="P1:P2"/>
    <mergeCell ref="Q1:Q2"/>
    <mergeCell ref="R1:R2"/>
    <mergeCell ref="S1:S2"/>
    <mergeCell ref="U1:W1"/>
    <mergeCell ref="X1:Y1"/>
    <mergeCell ref="Z1:AA1"/>
    <mergeCell ref="AD1:AH1"/>
    <mergeCell ref="AI1:AY1"/>
    <mergeCell ref="BL1:BL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Y1:BY2"/>
    <mergeCell ref="BM1:BM2"/>
    <mergeCell ref="BN1:BN2"/>
    <mergeCell ref="BO1:BO2"/>
    <mergeCell ref="BP1:BP2"/>
    <mergeCell ref="BQ1:BQ2"/>
    <mergeCell ref="BR1:BR2"/>
    <mergeCell ref="BS1:BS2"/>
    <mergeCell ref="BT1:BT2"/>
    <mergeCell ref="BV1:BV2"/>
    <mergeCell ref="BW1:BW2"/>
    <mergeCell ref="BX1:BX2"/>
    <mergeCell ref="BZ1:BZ2"/>
    <mergeCell ref="CA1:CA2"/>
    <mergeCell ref="CB1:CB2"/>
    <mergeCell ref="CC1:CC2"/>
    <mergeCell ref="CD1:CD2"/>
  </mergeCells>
  <pageMargins left="0.7" right="0.7" top="0.75" bottom="0.75" header="0.3" footer="0.3"/>
  <pageSetup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CJ199"/>
  <sheetViews>
    <sheetView zoomScale="70" zoomScaleNormal="70" zoomScaleSheetLayoutView="73" workbookViewId="0">
      <pane xSplit="16" ySplit="2" topLeftCell="Q153" activePane="bottomRight" state="frozen"/>
      <selection pane="topRight" activeCell="G346" sqref="G346"/>
      <selection pane="bottomLeft" activeCell="G346" sqref="G346"/>
      <selection pane="bottomRight" activeCell="S105" sqref="S105"/>
    </sheetView>
  </sheetViews>
  <sheetFormatPr defaultColWidth="9.33203125" defaultRowHeight="14.4" outlineLevelCol="1"/>
  <cols>
    <col min="1" max="1" width="12" style="119" customWidth="1"/>
    <col min="2" max="2" width="8.44140625" style="119" customWidth="1"/>
    <col min="3" max="3" width="9.33203125" style="115" customWidth="1"/>
    <col min="4" max="4" width="6" style="115" customWidth="1"/>
    <col min="5" max="5" width="22.6640625" style="115" customWidth="1"/>
    <col min="6" max="6" width="10.33203125" style="115" customWidth="1"/>
    <col min="7" max="8" width="14.88671875" style="252" customWidth="1"/>
    <col min="9" max="9" width="11" style="117" customWidth="1"/>
    <col min="10" max="10" width="21" style="115" customWidth="1"/>
    <col min="11" max="11" width="18.44140625" style="115" customWidth="1"/>
    <col min="12" max="12" width="15" style="115" customWidth="1"/>
    <col min="13" max="13" width="0.5546875" style="118" customWidth="1"/>
    <col min="14" max="14" width="23.33203125" style="115" bestFit="1" customWidth="1"/>
    <col min="15" max="15" width="23.88671875" style="115" bestFit="1" customWidth="1"/>
    <col min="16" max="16" width="23.33203125" style="115" customWidth="1"/>
    <col min="17" max="19" width="9.33203125" style="117" customWidth="1"/>
    <col min="20" max="20" width="0.5546875" style="117" customWidth="1"/>
    <col min="21" max="23" width="9.33203125" style="115" customWidth="1"/>
    <col min="24" max="24" width="10.109375" style="115" bestFit="1" customWidth="1"/>
    <col min="25" max="29" width="9.33203125" style="115" customWidth="1"/>
    <col min="30" max="34" width="11.44140625" style="115" customWidth="1"/>
    <col min="35" max="55" width="9.33203125" style="115" customWidth="1"/>
    <col min="56" max="57" width="14.88671875" style="251" customWidth="1"/>
    <col min="58" max="58" width="9.33203125" style="251" customWidth="1"/>
    <col min="59" max="59" width="14.88671875" style="251" customWidth="1"/>
    <col min="60" max="60" width="16.109375" style="251" customWidth="1"/>
    <col min="61" max="61" width="16.44140625" style="251" customWidth="1"/>
    <col min="62" max="62" width="16" style="251" customWidth="1"/>
    <col min="63" max="63" width="15.5546875" style="251" customWidth="1"/>
    <col min="64" max="64" width="16.44140625" style="251" customWidth="1"/>
    <col min="65" max="65" width="15.5546875" style="251" customWidth="1"/>
    <col min="66" max="66" width="15.44140625" style="251" customWidth="1"/>
    <col min="67" max="67" width="16.44140625" style="251" customWidth="1"/>
    <col min="68" max="68" width="16.33203125" style="252" customWidth="1"/>
    <col min="69" max="69" width="16.109375" style="251" customWidth="1"/>
    <col min="70" max="70" width="16.33203125" style="251" customWidth="1"/>
    <col min="71" max="71" width="15.5546875" style="251" customWidth="1"/>
    <col min="72" max="72" width="16.44140625" style="251" customWidth="1"/>
    <col min="73" max="74" width="15.5546875" style="115" customWidth="1"/>
    <col min="75" max="75" width="16.44140625" style="115" customWidth="1"/>
    <col min="76" max="76" width="49.5546875" style="116" customWidth="1"/>
    <col min="77" max="77" width="1.33203125" style="116" customWidth="1"/>
    <col min="78" max="78" width="10.5546875" style="251" customWidth="1" outlineLevel="1"/>
    <col min="79" max="85" width="9.6640625" style="251" customWidth="1" outlineLevel="1"/>
    <col min="86" max="86" width="11.33203125" style="115" customWidth="1" outlineLevel="1"/>
    <col min="87" max="16384" width="9.33203125" style="115"/>
  </cols>
  <sheetData>
    <row r="1" spans="1:86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3465</v>
      </c>
      <c r="E1" s="1239" t="s">
        <v>126</v>
      </c>
      <c r="F1" s="1240"/>
      <c r="G1" s="1230" t="s">
        <v>127</v>
      </c>
      <c r="H1" s="1230" t="s">
        <v>128</v>
      </c>
      <c r="I1" s="1232" t="s">
        <v>3466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1436</v>
      </c>
      <c r="R1" s="1286" t="s">
        <v>136</v>
      </c>
      <c r="S1" s="1236" t="s">
        <v>1437</v>
      </c>
      <c r="T1" s="403"/>
      <c r="U1" s="1224" t="s">
        <v>73</v>
      </c>
      <c r="V1" s="1224"/>
      <c r="W1" s="1224"/>
      <c r="X1" s="1220" t="s">
        <v>74</v>
      </c>
      <c r="Y1" s="1221"/>
      <c r="Z1" s="1222" t="s">
        <v>138</v>
      </c>
      <c r="AA1" s="1223"/>
      <c r="AB1" s="404" t="s">
        <v>85</v>
      </c>
      <c r="AC1" s="404" t="s">
        <v>139</v>
      </c>
      <c r="AD1" s="1224" t="s">
        <v>87</v>
      </c>
      <c r="AE1" s="1224"/>
      <c r="AF1" s="1224"/>
      <c r="AG1" s="1224"/>
      <c r="AH1" s="1224"/>
      <c r="AI1" s="1225" t="s">
        <v>138</v>
      </c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0"/>
      <c r="AW1" s="1220"/>
      <c r="AX1" s="1220"/>
      <c r="AY1" s="1220"/>
      <c r="AZ1" s="1220"/>
      <c r="BA1" s="1220"/>
      <c r="BB1" s="1220"/>
      <c r="BC1" s="1221"/>
      <c r="BD1" s="1218" t="s">
        <v>140</v>
      </c>
      <c r="BE1" s="1218" t="s">
        <v>141</v>
      </c>
      <c r="BF1" s="1226" t="s">
        <v>142</v>
      </c>
      <c r="BG1" s="1228" t="s">
        <v>143</v>
      </c>
      <c r="BH1" s="1228" t="s">
        <v>144</v>
      </c>
      <c r="BI1" s="1219" t="s">
        <v>1438</v>
      </c>
      <c r="BJ1" s="1218" t="s">
        <v>146</v>
      </c>
      <c r="BK1" s="1218" t="s">
        <v>147</v>
      </c>
      <c r="BL1" s="1218" t="s">
        <v>148</v>
      </c>
      <c r="BM1" s="1218" t="s">
        <v>149</v>
      </c>
      <c r="BN1" s="1219" t="s">
        <v>150</v>
      </c>
      <c r="BO1" s="1219" t="s">
        <v>151</v>
      </c>
      <c r="BP1" s="1219" t="s">
        <v>152</v>
      </c>
      <c r="BQ1" s="1219" t="s">
        <v>153</v>
      </c>
      <c r="BR1" s="1219" t="s">
        <v>154</v>
      </c>
      <c r="BS1" s="1218" t="s">
        <v>155</v>
      </c>
      <c r="BT1" s="1218" t="s">
        <v>156</v>
      </c>
      <c r="BU1" s="1218" t="s">
        <v>157</v>
      </c>
      <c r="BV1" s="1218" t="s">
        <v>149</v>
      </c>
      <c r="BW1" s="1218" t="s">
        <v>158</v>
      </c>
      <c r="BX1" s="1217" t="s">
        <v>159</v>
      </c>
      <c r="BY1" s="569"/>
      <c r="BZ1" s="1213" t="s">
        <v>160</v>
      </c>
      <c r="CA1" s="1213" t="s">
        <v>111</v>
      </c>
      <c r="CB1" s="1213" t="s">
        <v>161</v>
      </c>
      <c r="CC1" s="1213" t="s">
        <v>162</v>
      </c>
      <c r="CD1" s="1213" t="s">
        <v>120</v>
      </c>
      <c r="CE1" s="1213" t="s">
        <v>163</v>
      </c>
      <c r="CF1" s="1215" t="s">
        <v>164</v>
      </c>
      <c r="CG1" s="1215" t="s">
        <v>165</v>
      </c>
      <c r="CH1" s="1215" t="s">
        <v>166</v>
      </c>
    </row>
    <row r="2" spans="1:86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87"/>
      <c r="S2" s="1236"/>
      <c r="T2" s="403"/>
      <c r="U2" s="404" t="s">
        <v>167</v>
      </c>
      <c r="V2" s="404" t="s">
        <v>168</v>
      </c>
      <c r="W2" s="405" t="s">
        <v>169</v>
      </c>
      <c r="X2" s="404" t="s">
        <v>170</v>
      </c>
      <c r="Y2" s="404" t="s">
        <v>171</v>
      </c>
      <c r="Z2" s="406" t="s">
        <v>172</v>
      </c>
      <c r="AA2" s="406" t="s">
        <v>173</v>
      </c>
      <c r="AB2" s="404" t="s">
        <v>174</v>
      </c>
      <c r="AC2" s="404" t="s">
        <v>139</v>
      </c>
      <c r="AD2" s="405" t="s">
        <v>175</v>
      </c>
      <c r="AE2" s="405" t="s">
        <v>176</v>
      </c>
      <c r="AF2" s="405" t="s">
        <v>177</v>
      </c>
      <c r="AG2" s="405" t="s">
        <v>178</v>
      </c>
      <c r="AH2" s="405" t="s">
        <v>179</v>
      </c>
      <c r="AI2" s="404" t="s">
        <v>81</v>
      </c>
      <c r="AJ2" s="404" t="s">
        <v>180</v>
      </c>
      <c r="AK2" s="404" t="s">
        <v>181</v>
      </c>
      <c r="AL2" s="404" t="s">
        <v>76</v>
      </c>
      <c r="AM2" s="404" t="s">
        <v>84</v>
      </c>
      <c r="AN2" s="404" t="s">
        <v>88</v>
      </c>
      <c r="AO2" s="404" t="s">
        <v>78</v>
      </c>
      <c r="AP2" s="404" t="s">
        <v>80</v>
      </c>
      <c r="AQ2" s="404" t="s">
        <v>86</v>
      </c>
      <c r="AR2" s="404" t="s">
        <v>82</v>
      </c>
      <c r="AS2" s="404" t="s">
        <v>182</v>
      </c>
      <c r="AT2" s="404" t="s">
        <v>183</v>
      </c>
      <c r="AU2" s="404" t="s">
        <v>184</v>
      </c>
      <c r="AV2" s="404" t="s">
        <v>100</v>
      </c>
      <c r="AW2" s="404" t="s">
        <v>913</v>
      </c>
      <c r="AX2" s="404" t="s">
        <v>2747</v>
      </c>
      <c r="AY2" s="405" t="s">
        <v>3278</v>
      </c>
      <c r="AZ2" s="405" t="s">
        <v>2896</v>
      </c>
      <c r="BA2" s="405" t="s">
        <v>2862</v>
      </c>
      <c r="BB2" s="405" t="s">
        <v>2856</v>
      </c>
      <c r="BC2" s="405" t="s">
        <v>2897</v>
      </c>
      <c r="BD2" s="1218"/>
      <c r="BE2" s="1218"/>
      <c r="BF2" s="1227"/>
      <c r="BG2" s="1229"/>
      <c r="BH2" s="1229"/>
      <c r="BI2" s="1219"/>
      <c r="BJ2" s="1218"/>
      <c r="BK2" s="1218"/>
      <c r="BL2" s="1218"/>
      <c r="BM2" s="1218"/>
      <c r="BN2" s="1219"/>
      <c r="BO2" s="1219"/>
      <c r="BP2" s="1219"/>
      <c r="BQ2" s="1219"/>
      <c r="BR2" s="1219"/>
      <c r="BS2" s="1218"/>
      <c r="BT2" s="1218"/>
      <c r="BU2" s="1218"/>
      <c r="BV2" s="1218"/>
      <c r="BW2" s="1218"/>
      <c r="BX2" s="1217"/>
      <c r="BY2" s="250"/>
      <c r="BZ2" s="1214"/>
      <c r="CA2" s="1214"/>
      <c r="CB2" s="1214"/>
      <c r="CC2" s="1214"/>
      <c r="CD2" s="1214"/>
      <c r="CE2" s="1214"/>
      <c r="CF2" s="1216"/>
      <c r="CG2" s="1216"/>
      <c r="CH2" s="1216"/>
    </row>
    <row r="3" spans="1:86">
      <c r="A3" s="208" t="s">
        <v>2886</v>
      </c>
      <c r="B3" s="115"/>
      <c r="E3" s="77"/>
      <c r="G3" s="299"/>
      <c r="H3" s="299"/>
      <c r="I3" s="115"/>
      <c r="M3" s="529"/>
      <c r="Z3" s="117"/>
      <c r="BF3" s="300"/>
      <c r="BP3" s="251"/>
      <c r="BU3" s="251"/>
      <c r="BV3" s="251"/>
      <c r="BW3" s="251"/>
      <c r="BX3" s="115"/>
      <c r="BY3" s="115"/>
      <c r="BZ3" s="302"/>
      <c r="CA3" s="302"/>
      <c r="CB3" s="302"/>
      <c r="CC3" s="302"/>
      <c r="CD3" s="303"/>
      <c r="CE3" s="303"/>
      <c r="CF3" s="304"/>
      <c r="CG3" s="304"/>
      <c r="CH3" s="305"/>
    </row>
    <row r="4" spans="1:86" s="475" customFormat="1">
      <c r="A4" s="474">
        <f t="shared" ref="A4:A11" si="0">BJ4</f>
        <v>45232.715277777781</v>
      </c>
      <c r="B4" s="475" t="s">
        <v>188</v>
      </c>
      <c r="C4" s="475" t="s">
        <v>88</v>
      </c>
      <c r="D4" s="475" t="s">
        <v>189</v>
      </c>
      <c r="E4" s="832" t="s">
        <v>3401</v>
      </c>
      <c r="F4" s="475" t="s">
        <v>3378</v>
      </c>
      <c r="G4" s="473">
        <v>45238.887499999997</v>
      </c>
      <c r="H4" s="473">
        <v>45238.887499999997</v>
      </c>
      <c r="I4" s="399" t="s">
        <v>191</v>
      </c>
      <c r="J4" s="475" t="s">
        <v>192</v>
      </c>
      <c r="K4" s="475" t="s">
        <v>192</v>
      </c>
      <c r="L4" s="475" t="s">
        <v>3467</v>
      </c>
      <c r="M4" s="530"/>
      <c r="N4" s="475" t="s">
        <v>1181</v>
      </c>
      <c r="O4" s="475" t="s">
        <v>1182</v>
      </c>
      <c r="P4" s="399" t="s">
        <v>88</v>
      </c>
      <c r="Q4" s="477">
        <v>5300</v>
      </c>
      <c r="R4" s="477">
        <v>5300</v>
      </c>
      <c r="S4" s="477">
        <v>5009.2190000000001</v>
      </c>
      <c r="T4" s="477"/>
      <c r="V4" s="577"/>
      <c r="W4" s="577"/>
      <c r="Z4" s="577"/>
      <c r="AA4" s="577"/>
      <c r="AC4" s="401"/>
      <c r="AD4" s="401"/>
      <c r="AE4" s="401"/>
      <c r="AN4" s="724">
        <f>S4</f>
        <v>5009.2190000000001</v>
      </c>
      <c r="BD4" s="473">
        <f t="shared" ref="BD4:BD35" si="1">BG4</f>
        <v>45232.708333333336</v>
      </c>
      <c r="BE4" s="473">
        <f t="shared" ref="BE4:BE35" si="2">BW4</f>
        <v>45238.197916666664</v>
      </c>
      <c r="BF4" s="479">
        <f t="shared" ref="BF4:BF35" si="3">BE4-BD4</f>
        <v>5.4895833333284827</v>
      </c>
      <c r="BG4" s="473">
        <v>45232.708333333336</v>
      </c>
      <c r="BH4" s="473">
        <v>45232.708333333336</v>
      </c>
      <c r="BI4" s="473">
        <v>45232.708333333336</v>
      </c>
      <c r="BJ4" s="473">
        <v>45232.715277777781</v>
      </c>
      <c r="BK4" s="473">
        <v>45233.166666666664</v>
      </c>
      <c r="BL4" s="473">
        <v>45233.208333333336</v>
      </c>
      <c r="BM4" s="473">
        <v>45233.208333333336</v>
      </c>
      <c r="BN4" s="473">
        <v>45233.208333333336</v>
      </c>
      <c r="BO4" s="518" t="s">
        <v>196</v>
      </c>
      <c r="BP4" s="518" t="s">
        <v>196</v>
      </c>
      <c r="BQ4" s="518" t="s">
        <v>196</v>
      </c>
      <c r="BR4" s="473">
        <v>45237.510416666664</v>
      </c>
      <c r="BS4" s="473">
        <v>45237.576388888891</v>
      </c>
      <c r="BT4" s="473">
        <v>45238.1875</v>
      </c>
      <c r="BU4" s="473">
        <v>45238.197916666664</v>
      </c>
      <c r="BV4" s="473">
        <v>45238.197916666664</v>
      </c>
      <c r="BW4" s="473">
        <v>45238.197916666664</v>
      </c>
      <c r="BZ4" s="481">
        <f t="shared" ref="BZ4:BZ35" si="4">(BI4-BH4)*24</f>
        <v>0</v>
      </c>
      <c r="CA4" s="481">
        <f t="shared" ref="CA4:CA35" si="5">(BK4-BJ4)*24</f>
        <v>10.833333333197515</v>
      </c>
      <c r="CB4" s="481">
        <f t="shared" ref="CB4:CB35" si="6">(BN4-BM4)*24</f>
        <v>0</v>
      </c>
      <c r="CC4" s="481">
        <f>(BR4-BN4)*24</f>
        <v>103.24999999988358</v>
      </c>
      <c r="CD4" s="482">
        <f t="shared" ref="CD4:CD35" si="7">(BT4-BS4)*24</f>
        <v>14.666666666627862</v>
      </c>
      <c r="CE4" s="482">
        <f t="shared" ref="CE4:CE35" si="8">(BW4-BV4)*24</f>
        <v>0</v>
      </c>
      <c r="CF4" s="483">
        <f t="shared" ref="CF4:CF35" si="9">SUM(BZ4:CE4)/24</f>
        <v>5.3645833333212067</v>
      </c>
      <c r="CG4" s="483">
        <f t="shared" ref="CG4:CG35" si="10">BF4</f>
        <v>5.4895833333284827</v>
      </c>
      <c r="CH4" s="484">
        <f t="shared" ref="CH4:CH35" si="11">CF4/CG4</f>
        <v>0.97722960151668103</v>
      </c>
    </row>
    <row r="5" spans="1:86" s="475" customFormat="1">
      <c r="A5" s="474">
        <f t="shared" si="0"/>
        <v>45234.072916666664</v>
      </c>
      <c r="B5" s="475" t="s">
        <v>188</v>
      </c>
      <c r="C5" s="475" t="s">
        <v>88</v>
      </c>
      <c r="D5" s="475" t="s">
        <v>189</v>
      </c>
      <c r="E5" s="832" t="s">
        <v>3133</v>
      </c>
      <c r="F5" s="475" t="s">
        <v>3378</v>
      </c>
      <c r="G5" s="858">
        <v>45239.916666666664</v>
      </c>
      <c r="H5" s="858">
        <v>45239.875</v>
      </c>
      <c r="I5" s="399" t="s">
        <v>191</v>
      </c>
      <c r="J5" s="475" t="s">
        <v>192</v>
      </c>
      <c r="K5" s="475" t="s">
        <v>192</v>
      </c>
      <c r="L5" s="475" t="s">
        <v>3468</v>
      </c>
      <c r="M5" s="530"/>
      <c r="N5" s="475" t="s">
        <v>3469</v>
      </c>
      <c r="O5" s="475" t="s">
        <v>3470</v>
      </c>
      <c r="P5" s="399" t="s">
        <v>88</v>
      </c>
      <c r="Q5" s="477">
        <v>5300</v>
      </c>
      <c r="R5" s="477">
        <v>5300</v>
      </c>
      <c r="S5" s="477">
        <v>5198.0429999999997</v>
      </c>
      <c r="T5" s="477"/>
      <c r="V5" s="577"/>
      <c r="W5" s="577"/>
      <c r="Z5" s="577"/>
      <c r="AA5" s="577"/>
      <c r="AC5" s="401"/>
      <c r="AD5" s="401"/>
      <c r="AE5" s="401"/>
      <c r="AN5" s="724">
        <f>S5</f>
        <v>5198.0429999999997</v>
      </c>
      <c r="BD5" s="473">
        <f t="shared" si="1"/>
        <v>45234.065972222219</v>
      </c>
      <c r="BE5" s="473">
        <f t="shared" si="2"/>
        <v>45241.756944444445</v>
      </c>
      <c r="BF5" s="479">
        <f t="shared" si="3"/>
        <v>7.6909722222262644</v>
      </c>
      <c r="BG5" s="473">
        <v>45234.065972222219</v>
      </c>
      <c r="BH5" s="473">
        <v>45234.065972222219</v>
      </c>
      <c r="BI5" s="473">
        <v>45234.065972222219</v>
      </c>
      <c r="BJ5" s="473">
        <v>45234.072916666664</v>
      </c>
      <c r="BK5" s="473">
        <v>45234.600694444445</v>
      </c>
      <c r="BL5" s="473">
        <v>45234.600694444445</v>
      </c>
      <c r="BM5" s="473">
        <v>45234.600694444445</v>
      </c>
      <c r="BN5" s="473">
        <v>45234.600694444445</v>
      </c>
      <c r="BO5" s="518" t="s">
        <v>196</v>
      </c>
      <c r="BP5" s="518" t="s">
        <v>196</v>
      </c>
      <c r="BQ5" s="518" t="s">
        <v>196</v>
      </c>
      <c r="BR5" s="473">
        <v>45239.666666666664</v>
      </c>
      <c r="BS5" s="473">
        <v>45241.489583333336</v>
      </c>
      <c r="BT5" s="473">
        <v>45241.71875</v>
      </c>
      <c r="BU5" s="473">
        <v>45241.756944444445</v>
      </c>
      <c r="BV5" s="473">
        <v>45241.756944444445</v>
      </c>
      <c r="BW5" s="473">
        <v>45241.756944444445</v>
      </c>
      <c r="BZ5" s="481">
        <f t="shared" si="4"/>
        <v>0</v>
      </c>
      <c r="CA5" s="481">
        <f t="shared" si="5"/>
        <v>12.666666666744277</v>
      </c>
      <c r="CB5" s="481">
        <f t="shared" si="6"/>
        <v>0</v>
      </c>
      <c r="CC5" s="481">
        <f>(BR5-BN5)*24</f>
        <v>121.58333333325572</v>
      </c>
      <c r="CD5" s="482">
        <f t="shared" si="7"/>
        <v>5.4999999999417923</v>
      </c>
      <c r="CE5" s="482">
        <f t="shared" si="8"/>
        <v>0</v>
      </c>
      <c r="CF5" s="483">
        <f t="shared" si="9"/>
        <v>5.8229166666642413</v>
      </c>
      <c r="CG5" s="483">
        <f t="shared" si="10"/>
        <v>7.6909722222262644</v>
      </c>
      <c r="CH5" s="484">
        <f t="shared" si="11"/>
        <v>0.75711060948009934</v>
      </c>
    </row>
    <row r="6" spans="1:86" s="475" customFormat="1">
      <c r="A6" s="474">
        <f t="shared" si="0"/>
        <v>45243.111111111109</v>
      </c>
      <c r="B6" s="475" t="s">
        <v>188</v>
      </c>
      <c r="C6" s="475" t="s">
        <v>88</v>
      </c>
      <c r="D6" s="475" t="s">
        <v>189</v>
      </c>
      <c r="E6" s="667" t="s">
        <v>3471</v>
      </c>
      <c r="F6" s="475" t="s">
        <v>3378</v>
      </c>
      <c r="G6" s="472">
        <v>45248.541666666664</v>
      </c>
      <c r="H6" s="472">
        <v>45248.55</v>
      </c>
      <c r="I6" s="475" t="s">
        <v>791</v>
      </c>
      <c r="J6" s="475" t="s">
        <v>192</v>
      </c>
      <c r="K6" s="475" t="s">
        <v>192</v>
      </c>
      <c r="L6" s="475" t="s">
        <v>3472</v>
      </c>
      <c r="M6" s="530"/>
      <c r="N6" s="475" t="s">
        <v>1753</v>
      </c>
      <c r="O6" s="475" t="s">
        <v>1754</v>
      </c>
      <c r="P6" s="667" t="s">
        <v>88</v>
      </c>
      <c r="Q6" s="477">
        <v>5300</v>
      </c>
      <c r="R6" s="477">
        <v>5300</v>
      </c>
      <c r="S6" s="477">
        <v>5009.2910000000002</v>
      </c>
      <c r="T6" s="667"/>
      <c r="U6" s="581"/>
      <c r="V6" s="581"/>
      <c r="W6" s="581"/>
      <c r="Y6" s="581"/>
      <c r="Z6" s="581"/>
      <c r="AA6" s="581"/>
      <c r="AB6" s="581"/>
      <c r="AC6" s="581"/>
      <c r="AD6" s="581"/>
      <c r="AE6" s="581"/>
      <c r="AF6" s="401"/>
      <c r="AG6" s="401"/>
      <c r="AH6" s="401"/>
      <c r="AI6" s="401"/>
      <c r="AJ6" s="401"/>
      <c r="AK6" s="401"/>
      <c r="AL6" s="401"/>
      <c r="AM6" s="401"/>
      <c r="AN6" s="580">
        <f>S6</f>
        <v>5009.2910000000002</v>
      </c>
      <c r="AO6" s="401"/>
      <c r="AP6" s="401"/>
      <c r="AQ6" s="401"/>
      <c r="AR6" s="401"/>
      <c r="AS6" s="401"/>
      <c r="AU6" s="401"/>
      <c r="BD6" s="473">
        <f t="shared" si="1"/>
        <v>45243.104166666664</v>
      </c>
      <c r="BE6" s="473">
        <f t="shared" si="2"/>
        <v>45257.201388888891</v>
      </c>
      <c r="BF6" s="479">
        <f t="shared" si="3"/>
        <v>14.097222222226264</v>
      </c>
      <c r="BG6" s="473">
        <v>45243.104166666664</v>
      </c>
      <c r="BH6" s="473">
        <v>45243.104166666664</v>
      </c>
      <c r="BI6" s="473">
        <v>45243.104166666664</v>
      </c>
      <c r="BJ6" s="473">
        <v>45243.111111111109</v>
      </c>
      <c r="BK6" s="473">
        <v>45243.625</v>
      </c>
      <c r="BL6" s="473">
        <v>45243.625</v>
      </c>
      <c r="BM6" s="473">
        <v>45243.625</v>
      </c>
      <c r="BN6" s="473">
        <v>45243.625</v>
      </c>
      <c r="BO6" s="518" t="s">
        <v>196</v>
      </c>
      <c r="BP6" s="518" t="s">
        <v>196</v>
      </c>
      <c r="BQ6" s="518" t="s">
        <v>196</v>
      </c>
      <c r="BR6" s="473">
        <v>45251.083333333336</v>
      </c>
      <c r="BS6" s="473">
        <v>45256.5625</v>
      </c>
      <c r="BT6" s="473">
        <v>45257.184027777781</v>
      </c>
      <c r="BU6" s="473">
        <v>45257.201388888891</v>
      </c>
      <c r="BV6" s="473">
        <v>45257.201388888891</v>
      </c>
      <c r="BW6" s="473">
        <v>45257.201388888891</v>
      </c>
      <c r="BZ6" s="481">
        <f t="shared" si="4"/>
        <v>0</v>
      </c>
      <c r="CA6" s="481">
        <f t="shared" si="5"/>
        <v>12.333333333372138</v>
      </c>
      <c r="CB6" s="481">
        <f t="shared" si="6"/>
        <v>0</v>
      </c>
      <c r="CC6" s="481">
        <f>(BR6-BN6)*24</f>
        <v>179.00000000005821</v>
      </c>
      <c r="CD6" s="482">
        <f t="shared" si="7"/>
        <v>14.916666666744277</v>
      </c>
      <c r="CE6" s="482">
        <f t="shared" si="8"/>
        <v>0</v>
      </c>
      <c r="CF6" s="483">
        <f t="shared" si="9"/>
        <v>8.593750000007276</v>
      </c>
      <c r="CG6" s="483">
        <f t="shared" si="10"/>
        <v>14.097222222226264</v>
      </c>
      <c r="CH6" s="484">
        <f t="shared" si="11"/>
        <v>0.60960591133039055</v>
      </c>
    </row>
    <row r="7" spans="1:86" s="475" customFormat="1">
      <c r="A7" s="474">
        <f t="shared" si="0"/>
        <v>45246.204861111109</v>
      </c>
      <c r="B7" s="475" t="s">
        <v>188</v>
      </c>
      <c r="C7" s="475" t="s">
        <v>78</v>
      </c>
      <c r="D7" s="475" t="s">
        <v>197</v>
      </c>
      <c r="E7" s="667" t="s">
        <v>3473</v>
      </c>
      <c r="F7" s="475" t="s">
        <v>3474</v>
      </c>
      <c r="G7" s="472">
        <v>45249.083333333336</v>
      </c>
      <c r="H7" s="472">
        <v>45249.083333333336</v>
      </c>
      <c r="I7" s="475" t="s">
        <v>199</v>
      </c>
      <c r="J7" s="475" t="s">
        <v>192</v>
      </c>
      <c r="K7" s="475" t="s">
        <v>192</v>
      </c>
      <c r="L7" s="667" t="s">
        <v>3475</v>
      </c>
      <c r="M7" s="530"/>
      <c r="N7" s="475" t="s">
        <v>437</v>
      </c>
      <c r="O7" s="475" t="s">
        <v>320</v>
      </c>
      <c r="P7" s="475" t="s">
        <v>78</v>
      </c>
      <c r="Q7" s="477">
        <f>3136*2.4</f>
        <v>7526.4</v>
      </c>
      <c r="R7" s="477">
        <f>7550+100</f>
        <v>7650</v>
      </c>
      <c r="S7" s="477">
        <v>7500</v>
      </c>
      <c r="T7" s="667"/>
      <c r="U7" s="581"/>
      <c r="V7" s="581"/>
      <c r="W7" s="581"/>
      <c r="Y7" s="581"/>
      <c r="Z7" s="581"/>
      <c r="AA7" s="581"/>
      <c r="AB7" s="581"/>
      <c r="AC7" s="581"/>
      <c r="AD7" s="581"/>
      <c r="AE7" s="581"/>
      <c r="AF7" s="401"/>
      <c r="AG7" s="401"/>
      <c r="AH7" s="401"/>
      <c r="AI7" s="401"/>
      <c r="AJ7" s="401"/>
      <c r="AK7" s="401"/>
      <c r="AL7" s="401"/>
      <c r="AM7" s="401"/>
      <c r="AN7" s="401"/>
      <c r="AO7" s="580">
        <f>S7</f>
        <v>7500</v>
      </c>
      <c r="AP7" s="401"/>
      <c r="AQ7" s="401"/>
      <c r="AR7" s="401"/>
      <c r="AS7" s="401"/>
      <c r="AT7" s="401"/>
      <c r="AU7" s="401"/>
      <c r="BD7" s="473">
        <f t="shared" si="1"/>
        <v>45241.375</v>
      </c>
      <c r="BE7" s="473">
        <f t="shared" si="2"/>
        <v>45253.46875</v>
      </c>
      <c r="BF7" s="479">
        <f t="shared" si="3"/>
        <v>12.09375</v>
      </c>
      <c r="BG7" s="473">
        <v>45241.375</v>
      </c>
      <c r="BH7" s="473">
        <v>45244.579861111109</v>
      </c>
      <c r="BI7" s="473">
        <v>45244.625</v>
      </c>
      <c r="BJ7" s="473">
        <v>45246.204861111109</v>
      </c>
      <c r="BK7" s="473">
        <v>45246.8125</v>
      </c>
      <c r="BL7" s="473">
        <v>45246.847222222219</v>
      </c>
      <c r="BM7" s="473">
        <v>45246.847222222219</v>
      </c>
      <c r="BN7" s="473">
        <f>BM7+(5/24)</f>
        <v>45247.055555555555</v>
      </c>
      <c r="BO7" s="473">
        <v>45247.229166608799</v>
      </c>
      <c r="BP7" s="473">
        <v>45247.395833333336</v>
      </c>
      <c r="BQ7" s="473">
        <v>45247.423611111109</v>
      </c>
      <c r="BR7" s="473">
        <v>45249.385416666664</v>
      </c>
      <c r="BS7" s="473">
        <v>45252.586805555555</v>
      </c>
      <c r="BT7" s="473">
        <v>45252.861111111109</v>
      </c>
      <c r="BU7" s="473">
        <v>45253.041666666664</v>
      </c>
      <c r="BV7" s="473">
        <v>45253.045138888891</v>
      </c>
      <c r="BW7" s="473">
        <v>45253.46875</v>
      </c>
      <c r="BZ7" s="481">
        <f t="shared" si="4"/>
        <v>1.0833333333721384</v>
      </c>
      <c r="CA7" s="481">
        <f t="shared" si="5"/>
        <v>14.583333333372138</v>
      </c>
      <c r="CB7" s="481">
        <f t="shared" si="6"/>
        <v>5.0000000000582077</v>
      </c>
      <c r="CC7" s="481">
        <f t="shared" ref="CC7:CC38" si="12">(BR7-BP7)*24</f>
        <v>47.749999999883585</v>
      </c>
      <c r="CD7" s="482">
        <f t="shared" si="7"/>
        <v>6.5833333333139308</v>
      </c>
      <c r="CE7" s="482">
        <f t="shared" si="8"/>
        <v>10.166666666627862</v>
      </c>
      <c r="CF7" s="483">
        <f t="shared" si="9"/>
        <v>3.5486111111094942</v>
      </c>
      <c r="CG7" s="483">
        <f t="shared" si="10"/>
        <v>12.09375</v>
      </c>
      <c r="CH7" s="484">
        <f t="shared" si="11"/>
        <v>0.29342520815375661</v>
      </c>
    </row>
    <row r="8" spans="1:86" s="475" customFormat="1">
      <c r="A8" s="474">
        <f t="shared" si="0"/>
        <v>45245.572916666664</v>
      </c>
      <c r="B8" s="475" t="s">
        <v>188</v>
      </c>
      <c r="C8" s="475" t="s">
        <v>78</v>
      </c>
      <c r="D8" s="475" t="s">
        <v>197</v>
      </c>
      <c r="E8" s="667" t="s">
        <v>3473</v>
      </c>
      <c r="F8" s="475" t="s">
        <v>3474</v>
      </c>
      <c r="G8" s="472">
        <v>45249.083333333336</v>
      </c>
      <c r="H8" s="472">
        <v>45249.083333333336</v>
      </c>
      <c r="I8" s="475" t="s">
        <v>199</v>
      </c>
      <c r="J8" s="475" t="s">
        <v>192</v>
      </c>
      <c r="K8" s="475" t="s">
        <v>192</v>
      </c>
      <c r="L8" s="667" t="s">
        <v>3476</v>
      </c>
      <c r="M8" s="530"/>
      <c r="N8" s="475" t="s">
        <v>489</v>
      </c>
      <c r="O8" s="475" t="s">
        <v>483</v>
      </c>
      <c r="P8" s="475" t="s">
        <v>78</v>
      </c>
      <c r="Q8" s="477">
        <f>3107*2.4</f>
        <v>7456.7999999999993</v>
      </c>
      <c r="R8" s="477">
        <f>7500+100</f>
        <v>7600</v>
      </c>
      <c r="S8" s="477">
        <v>7500</v>
      </c>
      <c r="T8" s="667"/>
      <c r="U8" s="581"/>
      <c r="V8" s="581"/>
      <c r="W8" s="581"/>
      <c r="Y8" s="581"/>
      <c r="Z8" s="581"/>
      <c r="AA8" s="581"/>
      <c r="AB8" s="581"/>
      <c r="AC8" s="581"/>
      <c r="AD8" s="581"/>
      <c r="AE8" s="581"/>
      <c r="AF8" s="581"/>
      <c r="AG8" s="401"/>
      <c r="AH8" s="401"/>
      <c r="AI8" s="401"/>
      <c r="AJ8" s="401"/>
      <c r="AK8" s="401"/>
      <c r="AL8" s="401"/>
      <c r="AM8" s="401"/>
      <c r="AN8" s="401"/>
      <c r="AO8" s="580">
        <f>S8</f>
        <v>7500</v>
      </c>
      <c r="AP8" s="401"/>
      <c r="AQ8" s="401"/>
      <c r="AR8" s="401"/>
      <c r="AS8" s="401"/>
      <c r="AT8" s="401"/>
      <c r="AU8" s="401"/>
      <c r="BD8" s="473">
        <f t="shared" si="1"/>
        <v>45241.777777777781</v>
      </c>
      <c r="BE8" s="473">
        <f t="shared" si="2"/>
        <v>45252.083333333336</v>
      </c>
      <c r="BF8" s="479">
        <f t="shared" si="3"/>
        <v>10.305555555554747</v>
      </c>
      <c r="BG8" s="473">
        <v>45241.777777777781</v>
      </c>
      <c r="BH8" s="473">
        <v>45244.5625</v>
      </c>
      <c r="BI8" s="473">
        <v>45244.666666666664</v>
      </c>
      <c r="BJ8" s="473">
        <v>45245.572916666664</v>
      </c>
      <c r="BK8" s="473">
        <v>45246.100694444445</v>
      </c>
      <c r="BL8" s="473">
        <v>45246.135416666664</v>
      </c>
      <c r="BM8" s="473">
        <v>45246.135416666664</v>
      </c>
      <c r="BN8" s="473">
        <f>BM8+(5/24)</f>
        <v>45246.34375</v>
      </c>
      <c r="BO8" s="480">
        <v>45247.229166608799</v>
      </c>
      <c r="BP8" s="480">
        <v>45247.395833333336</v>
      </c>
      <c r="BQ8" s="480">
        <v>45247.375</v>
      </c>
      <c r="BR8" s="473">
        <v>45249.118055555555</v>
      </c>
      <c r="BS8" s="473">
        <v>45251.864583333336</v>
      </c>
      <c r="BT8" s="473">
        <v>45252.083333333336</v>
      </c>
      <c r="BU8" s="473">
        <v>45252.083333333336</v>
      </c>
      <c r="BV8" s="473">
        <v>45252.083333333336</v>
      </c>
      <c r="BW8" s="473">
        <v>45252.083333333336</v>
      </c>
      <c r="BX8" s="475" t="s">
        <v>788</v>
      </c>
      <c r="BZ8" s="481">
        <f t="shared" si="4"/>
        <v>2.4999999999417923</v>
      </c>
      <c r="CA8" s="481">
        <f t="shared" si="5"/>
        <v>12.666666666744277</v>
      </c>
      <c r="CB8" s="481">
        <f t="shared" si="6"/>
        <v>5.0000000000582077</v>
      </c>
      <c r="CC8" s="481">
        <f t="shared" si="12"/>
        <v>41.333333333255723</v>
      </c>
      <c r="CD8" s="482">
        <f t="shared" si="7"/>
        <v>5.25</v>
      </c>
      <c r="CE8" s="482">
        <f t="shared" si="8"/>
        <v>0</v>
      </c>
      <c r="CF8" s="483">
        <f t="shared" si="9"/>
        <v>2.78125</v>
      </c>
      <c r="CG8" s="483">
        <f t="shared" si="10"/>
        <v>10.305555555554747</v>
      </c>
      <c r="CH8" s="484">
        <f t="shared" si="11"/>
        <v>0.26987870619948207</v>
      </c>
    </row>
    <row r="9" spans="1:86" s="475" customFormat="1">
      <c r="A9" s="474">
        <f t="shared" si="0"/>
        <v>45247.708333333336</v>
      </c>
      <c r="B9" s="475" t="s">
        <v>188</v>
      </c>
      <c r="C9" s="475" t="s">
        <v>78</v>
      </c>
      <c r="D9" s="475" t="s">
        <v>197</v>
      </c>
      <c r="E9" s="399" t="s">
        <v>3151</v>
      </c>
      <c r="F9" s="399" t="s">
        <v>3378</v>
      </c>
      <c r="G9" s="472">
        <v>45250.25</v>
      </c>
      <c r="H9" s="472">
        <v>45250.166666666664</v>
      </c>
      <c r="I9" s="399" t="s">
        <v>211</v>
      </c>
      <c r="J9" s="475" t="s">
        <v>192</v>
      </c>
      <c r="K9" s="475" t="s">
        <v>192</v>
      </c>
      <c r="L9" s="667" t="s">
        <v>3477</v>
      </c>
      <c r="M9" s="530"/>
      <c r="N9" s="475" t="s">
        <v>263</v>
      </c>
      <c r="O9" s="475" t="s">
        <v>264</v>
      </c>
      <c r="P9" s="475" t="s">
        <v>78</v>
      </c>
      <c r="Q9" s="477">
        <f>3136*2.4</f>
        <v>7526.4</v>
      </c>
      <c r="R9" s="477">
        <f>7550+100</f>
        <v>7650</v>
      </c>
      <c r="S9" s="477">
        <v>7500</v>
      </c>
      <c r="T9" s="667"/>
      <c r="U9" s="581"/>
      <c r="V9" s="581"/>
      <c r="W9" s="581"/>
      <c r="X9" s="581"/>
      <c r="Y9" s="581"/>
      <c r="Z9" s="581"/>
      <c r="AA9" s="581"/>
      <c r="AB9" s="581"/>
      <c r="AC9" s="581"/>
      <c r="AD9" s="581"/>
      <c r="AO9" s="580">
        <f>S9</f>
        <v>7500</v>
      </c>
      <c r="BD9" s="473">
        <f t="shared" si="1"/>
        <v>45244.614583333336</v>
      </c>
      <c r="BE9" s="473">
        <f t="shared" si="2"/>
        <v>45253.875</v>
      </c>
      <c r="BF9" s="479">
        <f t="shared" si="3"/>
        <v>9.2604166666642413</v>
      </c>
      <c r="BG9" s="473">
        <v>45244.614583333336</v>
      </c>
      <c r="BH9" s="473">
        <v>45246.569444444445</v>
      </c>
      <c r="BI9" s="473">
        <v>45246.642361111109</v>
      </c>
      <c r="BJ9" s="473">
        <v>45247.708333333336</v>
      </c>
      <c r="BK9" s="473">
        <v>45248.347222222219</v>
      </c>
      <c r="BL9" s="473">
        <v>45248.364583333336</v>
      </c>
      <c r="BM9" s="473">
        <v>45248.364583333336</v>
      </c>
      <c r="BN9" s="473">
        <f>BM9+(5/24)</f>
        <v>45248.572916666672</v>
      </c>
      <c r="BO9" s="473">
        <v>45249.25</v>
      </c>
      <c r="BP9" s="473">
        <v>45249.416666608799</v>
      </c>
      <c r="BQ9" s="473">
        <v>45249.305555555555</v>
      </c>
      <c r="BR9" s="473">
        <v>45250.458333333336</v>
      </c>
      <c r="BS9" s="473">
        <v>45253.333333333336</v>
      </c>
      <c r="BT9" s="473">
        <v>45253.5625</v>
      </c>
      <c r="BU9" s="473">
        <v>45253.583333333336</v>
      </c>
      <c r="BV9" s="473">
        <v>45253.638888888891</v>
      </c>
      <c r="BW9" s="473">
        <v>45253.875</v>
      </c>
      <c r="BZ9" s="481">
        <f t="shared" si="4"/>
        <v>1.7499999999417923</v>
      </c>
      <c r="CA9" s="481">
        <f t="shared" si="5"/>
        <v>15.333333333197515</v>
      </c>
      <c r="CB9" s="481">
        <f t="shared" si="6"/>
        <v>5.0000000000582077</v>
      </c>
      <c r="CC9" s="481">
        <f t="shared" si="12"/>
        <v>25.000001388892997</v>
      </c>
      <c r="CD9" s="482">
        <f t="shared" si="7"/>
        <v>5.4999999999417923</v>
      </c>
      <c r="CE9" s="482">
        <f t="shared" si="8"/>
        <v>5.6666666666278616</v>
      </c>
      <c r="CF9" s="483">
        <f t="shared" si="9"/>
        <v>2.4270833911941736</v>
      </c>
      <c r="CG9" s="483">
        <f t="shared" si="10"/>
        <v>9.2604166666642413</v>
      </c>
      <c r="CH9" s="484">
        <f t="shared" si="11"/>
        <v>0.26209224471844961</v>
      </c>
    </row>
    <row r="10" spans="1:86" s="475" customFormat="1">
      <c r="A10" s="474">
        <f t="shared" si="0"/>
        <v>45250.677083333336</v>
      </c>
      <c r="B10" s="475" t="s">
        <v>188</v>
      </c>
      <c r="C10" s="475" t="s">
        <v>78</v>
      </c>
      <c r="D10" s="475" t="s">
        <v>215</v>
      </c>
      <c r="E10" s="399" t="s">
        <v>3151</v>
      </c>
      <c r="F10" s="399" t="s">
        <v>3378</v>
      </c>
      <c r="G10" s="472">
        <v>45250.25</v>
      </c>
      <c r="H10" s="472">
        <v>45250.166666666664</v>
      </c>
      <c r="I10" s="399" t="s">
        <v>211</v>
      </c>
      <c r="J10" s="475" t="s">
        <v>192</v>
      </c>
      <c r="K10" s="475" t="s">
        <v>192</v>
      </c>
      <c r="L10" s="667" t="s">
        <v>3478</v>
      </c>
      <c r="M10" s="530"/>
      <c r="N10" s="475" t="s">
        <v>1972</v>
      </c>
      <c r="O10" s="475" t="s">
        <v>1973</v>
      </c>
      <c r="P10" s="475" t="s">
        <v>78</v>
      </c>
      <c r="Q10" s="477">
        <f>3107*2.4</f>
        <v>7456.7999999999993</v>
      </c>
      <c r="R10" s="477">
        <f>7500+100</f>
        <v>7600</v>
      </c>
      <c r="S10" s="477">
        <v>7500</v>
      </c>
      <c r="T10" s="667"/>
      <c r="U10" s="581"/>
      <c r="V10" s="581"/>
      <c r="W10" s="581"/>
      <c r="Y10" s="581"/>
      <c r="Z10" s="581"/>
      <c r="AA10" s="581"/>
      <c r="AB10" s="581"/>
      <c r="AC10" s="581"/>
      <c r="AD10" s="581"/>
      <c r="AE10" s="401"/>
      <c r="AF10" s="401"/>
      <c r="AG10" s="401"/>
      <c r="AH10" s="401"/>
      <c r="AI10" s="401"/>
      <c r="AJ10" s="401"/>
      <c r="AK10" s="401"/>
      <c r="AL10" s="401"/>
      <c r="AM10" s="401"/>
      <c r="AN10" s="401"/>
      <c r="AO10" s="580">
        <f>S10</f>
        <v>7500</v>
      </c>
      <c r="AP10" s="401"/>
      <c r="AQ10" s="401"/>
      <c r="AR10" s="401"/>
      <c r="AS10" s="401"/>
      <c r="AT10" s="401"/>
      <c r="AU10" s="401"/>
      <c r="BD10" s="473">
        <f t="shared" si="1"/>
        <v>45244.847222222219</v>
      </c>
      <c r="BE10" s="473">
        <f t="shared" si="2"/>
        <v>45254.152777777781</v>
      </c>
      <c r="BF10" s="479">
        <f t="shared" si="3"/>
        <v>9.3055555555620231</v>
      </c>
      <c r="BG10" s="473">
        <v>45244.847222222219</v>
      </c>
      <c r="BH10" s="473">
        <v>45247.767361111109</v>
      </c>
      <c r="BI10" s="473">
        <v>45247.854166666664</v>
      </c>
      <c r="BJ10" s="473">
        <v>45250.677083333336</v>
      </c>
      <c r="BK10" s="473">
        <v>45251.138888888891</v>
      </c>
      <c r="BL10" s="473">
        <v>45251.163194444445</v>
      </c>
      <c r="BM10" s="473">
        <v>45251.163194444445</v>
      </c>
      <c r="BN10" s="473">
        <f>BM10+(5/24)</f>
        <v>45251.371527777781</v>
      </c>
      <c r="BO10" s="480">
        <v>45251.5</v>
      </c>
      <c r="BP10" s="480">
        <v>45251.666666666664</v>
      </c>
      <c r="BQ10" s="480">
        <v>45251.579861111109</v>
      </c>
      <c r="BR10" s="473">
        <v>45252.708333333336</v>
      </c>
      <c r="BS10" s="473">
        <v>45253.625</v>
      </c>
      <c r="BT10" s="473">
        <v>45253.833333333336</v>
      </c>
      <c r="BU10" s="473">
        <v>45253.854166666664</v>
      </c>
      <c r="BV10" s="473">
        <v>45253.916666666664</v>
      </c>
      <c r="BW10" s="473">
        <v>45254.152777777781</v>
      </c>
      <c r="BZ10" s="481">
        <f t="shared" si="4"/>
        <v>2.0833333333139308</v>
      </c>
      <c r="CA10" s="481">
        <f t="shared" si="5"/>
        <v>11.083333333313931</v>
      </c>
      <c r="CB10" s="481">
        <f t="shared" si="6"/>
        <v>5.0000000000582077</v>
      </c>
      <c r="CC10" s="481">
        <f t="shared" si="12"/>
        <v>25.000000000116415</v>
      </c>
      <c r="CD10" s="482">
        <f t="shared" si="7"/>
        <v>5.0000000000582077</v>
      </c>
      <c r="CE10" s="482">
        <f t="shared" si="8"/>
        <v>5.6666666668024845</v>
      </c>
      <c r="CF10" s="483">
        <f t="shared" si="9"/>
        <v>2.243055555569299</v>
      </c>
      <c r="CG10" s="483">
        <f t="shared" si="10"/>
        <v>9.3055555555620231</v>
      </c>
      <c r="CH10" s="484">
        <f t="shared" si="11"/>
        <v>0.24104477612071237</v>
      </c>
    </row>
    <row r="11" spans="1:86" s="475" customFormat="1">
      <c r="A11" s="474">
        <f t="shared" si="0"/>
        <v>45253.0625</v>
      </c>
      <c r="B11" s="475" t="s">
        <v>188</v>
      </c>
      <c r="C11" s="475" t="s">
        <v>78</v>
      </c>
      <c r="D11" s="475" t="s">
        <v>215</v>
      </c>
      <c r="E11" s="399" t="s">
        <v>3162</v>
      </c>
      <c r="F11" s="399" t="s">
        <v>3378</v>
      </c>
      <c r="G11" s="472">
        <v>45256.770833333336</v>
      </c>
      <c r="H11" s="472">
        <v>45256.779166666667</v>
      </c>
      <c r="I11" s="399" t="s">
        <v>199</v>
      </c>
      <c r="J11" s="475" t="s">
        <v>192</v>
      </c>
      <c r="K11" s="475" t="s">
        <v>192</v>
      </c>
      <c r="L11" s="667" t="s">
        <v>3479</v>
      </c>
      <c r="M11" s="530"/>
      <c r="N11" s="475" t="s">
        <v>222</v>
      </c>
      <c r="O11" s="475" t="s">
        <v>223</v>
      </c>
      <c r="P11" s="399" t="s">
        <v>78</v>
      </c>
      <c r="Q11" s="477">
        <f>3137*2.4</f>
        <v>7528.7999999999993</v>
      </c>
      <c r="R11" s="477">
        <f>7550+100</f>
        <v>7650</v>
      </c>
      <c r="S11" s="477">
        <v>7500</v>
      </c>
      <c r="T11" s="667"/>
      <c r="U11" s="401"/>
      <c r="V11" s="401"/>
      <c r="W11" s="401"/>
      <c r="X11" s="401"/>
      <c r="Y11" s="401"/>
      <c r="Z11" s="401"/>
      <c r="AA11" s="401"/>
      <c r="AB11" s="581"/>
      <c r="AC11" s="581"/>
      <c r="AD11" s="581"/>
      <c r="AO11" s="580">
        <f>S11</f>
        <v>7500</v>
      </c>
      <c r="BD11" s="473">
        <f t="shared" si="1"/>
        <v>45248.076388888891</v>
      </c>
      <c r="BE11" s="473">
        <f t="shared" si="2"/>
        <v>45261.909722222219</v>
      </c>
      <c r="BF11" s="479">
        <f t="shared" si="3"/>
        <v>13.833333333328483</v>
      </c>
      <c r="BG11" s="473">
        <v>45248.076388888891</v>
      </c>
      <c r="BH11" s="473">
        <v>45251.399305555555</v>
      </c>
      <c r="BI11" s="473">
        <v>45251.493055555555</v>
      </c>
      <c r="BJ11" s="473">
        <v>45253.0625</v>
      </c>
      <c r="BK11" s="473">
        <v>45253.6875</v>
      </c>
      <c r="BL11" s="473">
        <v>45253.711805555555</v>
      </c>
      <c r="BM11" s="473">
        <v>45253.711805555555</v>
      </c>
      <c r="BN11" s="473">
        <f>BM11+(5/24)</f>
        <v>45253.920138888891</v>
      </c>
      <c r="BO11" s="480">
        <v>45254.541666666664</v>
      </c>
      <c r="BP11" s="480">
        <v>45254.708333333336</v>
      </c>
      <c r="BQ11" s="480">
        <v>45254.611111111109</v>
      </c>
      <c r="BR11" s="473">
        <v>45256.159722222219</v>
      </c>
      <c r="BS11" s="473">
        <v>45261.159722222219</v>
      </c>
      <c r="BT11" s="473">
        <v>45261.909722222219</v>
      </c>
      <c r="BU11" s="473">
        <v>45261.909722222219</v>
      </c>
      <c r="BV11" s="473">
        <v>45261.909722222219</v>
      </c>
      <c r="BW11" s="473">
        <v>45261.909722222219</v>
      </c>
      <c r="BZ11" s="481">
        <f t="shared" si="4"/>
        <v>2.25</v>
      </c>
      <c r="CA11" s="481">
        <f t="shared" si="5"/>
        <v>15</v>
      </c>
      <c r="CB11" s="481">
        <f t="shared" si="6"/>
        <v>5.0000000000582077</v>
      </c>
      <c r="CC11" s="481">
        <f t="shared" si="12"/>
        <v>34.833333333197515</v>
      </c>
      <c r="CD11" s="482">
        <f t="shared" si="7"/>
        <v>18</v>
      </c>
      <c r="CE11" s="482">
        <f t="shared" si="8"/>
        <v>0</v>
      </c>
      <c r="CF11" s="483">
        <f t="shared" si="9"/>
        <v>3.1284722222189885</v>
      </c>
      <c r="CG11" s="483">
        <f t="shared" si="10"/>
        <v>13.833333333328483</v>
      </c>
      <c r="CH11" s="484">
        <f t="shared" si="11"/>
        <v>0.2261546184737411</v>
      </c>
    </row>
    <row r="12" spans="1:86" s="475" customFormat="1">
      <c r="A12" s="474"/>
      <c r="D12" s="475" t="s">
        <v>215</v>
      </c>
      <c r="E12" s="476"/>
      <c r="G12" s="518"/>
      <c r="H12" s="518"/>
      <c r="J12" s="475" t="s">
        <v>312</v>
      </c>
      <c r="L12" s="475" t="s">
        <v>3480</v>
      </c>
      <c r="M12" s="530"/>
      <c r="N12" s="475" t="s">
        <v>1230</v>
      </c>
      <c r="O12" s="475" t="s">
        <v>1231</v>
      </c>
      <c r="Q12" s="477">
        <f>3107*2.4</f>
        <v>7456.7999999999993</v>
      </c>
      <c r="R12" s="477">
        <f>7500+100</f>
        <v>7600</v>
      </c>
      <c r="S12" s="477"/>
      <c r="T12" s="477"/>
      <c r="BD12" s="473">
        <f t="shared" si="1"/>
        <v>45231</v>
      </c>
      <c r="BE12" s="473">
        <f t="shared" si="2"/>
        <v>45261</v>
      </c>
      <c r="BF12" s="479">
        <f t="shared" si="3"/>
        <v>30</v>
      </c>
      <c r="BG12" s="473">
        <v>45231</v>
      </c>
      <c r="BH12" s="473"/>
      <c r="BI12" s="473"/>
      <c r="BJ12" s="473"/>
      <c r="BK12" s="473"/>
      <c r="BL12" s="473"/>
      <c r="BM12" s="473"/>
      <c r="BN12" s="473"/>
      <c r="BO12" s="485"/>
      <c r="BP12" s="485"/>
      <c r="BQ12" s="518"/>
      <c r="BR12" s="473"/>
      <c r="BS12" s="473"/>
      <c r="BT12" s="473"/>
      <c r="BU12" s="473"/>
      <c r="BV12" s="473"/>
      <c r="BW12" s="473">
        <v>45261</v>
      </c>
      <c r="BZ12" s="481">
        <f t="shared" si="4"/>
        <v>0</v>
      </c>
      <c r="CA12" s="481">
        <f t="shared" si="5"/>
        <v>0</v>
      </c>
      <c r="CB12" s="481">
        <f t="shared" si="6"/>
        <v>0</v>
      </c>
      <c r="CC12" s="481">
        <f t="shared" si="12"/>
        <v>0</v>
      </c>
      <c r="CD12" s="482">
        <f t="shared" si="7"/>
        <v>0</v>
      </c>
      <c r="CE12" s="482">
        <f t="shared" si="8"/>
        <v>1086264</v>
      </c>
      <c r="CF12" s="483">
        <f t="shared" si="9"/>
        <v>45261</v>
      </c>
      <c r="CG12" s="483">
        <f t="shared" si="10"/>
        <v>30</v>
      </c>
      <c r="CH12" s="484">
        <f t="shared" si="11"/>
        <v>1508.7</v>
      </c>
    </row>
    <row r="13" spans="1:86" s="475" customFormat="1">
      <c r="A13" s="474">
        <f t="shared" ref="A13:A44" si="13">BJ13</f>
        <v>45231.614583333336</v>
      </c>
      <c r="B13" s="475" t="s">
        <v>228</v>
      </c>
      <c r="C13" s="475" t="s">
        <v>229</v>
      </c>
      <c r="D13" s="475" t="s">
        <v>197</v>
      </c>
      <c r="E13" s="399" t="s">
        <v>1515</v>
      </c>
      <c r="F13" s="475" t="s">
        <v>3474</v>
      </c>
      <c r="G13" s="472">
        <v>45230.479166666664</v>
      </c>
      <c r="H13" s="472">
        <v>45230.429166666669</v>
      </c>
      <c r="I13" s="667" t="s">
        <v>231</v>
      </c>
      <c r="J13" s="475" t="s">
        <v>192</v>
      </c>
      <c r="K13" s="475" t="s">
        <v>192</v>
      </c>
      <c r="L13" s="667" t="s">
        <v>3481</v>
      </c>
      <c r="M13" s="530"/>
      <c r="N13" s="475" t="s">
        <v>213</v>
      </c>
      <c r="O13" s="475" t="s">
        <v>214</v>
      </c>
      <c r="P13" s="399" t="s">
        <v>240</v>
      </c>
      <c r="Q13" s="477">
        <f>3113*2.4</f>
        <v>7471.2</v>
      </c>
      <c r="R13" s="477">
        <f>7500+100</f>
        <v>7600</v>
      </c>
      <c r="S13" s="477">
        <v>7560.8209999999999</v>
      </c>
      <c r="T13" s="399"/>
      <c r="V13" s="401"/>
      <c r="W13" s="401"/>
      <c r="Y13" s="726">
        <f>S13</f>
        <v>7560.8209999999999</v>
      </c>
      <c r="Z13" s="401"/>
      <c r="AA13" s="581"/>
      <c r="AB13" s="399"/>
      <c r="AC13" s="399"/>
      <c r="AD13" s="399"/>
      <c r="AE13" s="399"/>
      <c r="AF13" s="399"/>
      <c r="AG13" s="399"/>
      <c r="AH13" s="399"/>
      <c r="AI13" s="399"/>
      <c r="AJ13" s="399"/>
      <c r="AK13" s="399"/>
      <c r="AL13" s="399"/>
      <c r="AM13" s="399"/>
      <c r="AN13" s="399"/>
      <c r="AO13" s="399"/>
      <c r="AP13" s="399"/>
      <c r="AQ13" s="399"/>
      <c r="AR13" s="399"/>
      <c r="AS13" s="399"/>
      <c r="AT13" s="399"/>
      <c r="AU13" s="399"/>
      <c r="AV13" s="399"/>
      <c r="AW13" s="399"/>
      <c r="BD13" s="473">
        <f t="shared" si="1"/>
        <v>45224.979166666664</v>
      </c>
      <c r="BE13" s="473">
        <f t="shared" si="2"/>
        <v>45236.565972222219</v>
      </c>
      <c r="BF13" s="479">
        <f t="shared" si="3"/>
        <v>11.586805555554747</v>
      </c>
      <c r="BG13" s="473">
        <v>45224.979166666664</v>
      </c>
      <c r="BH13" s="473">
        <v>45227.62222222222</v>
      </c>
      <c r="BI13" s="473">
        <v>45229.184027777781</v>
      </c>
      <c r="BJ13" s="473">
        <v>45231.614583333336</v>
      </c>
      <c r="BK13" s="473">
        <v>45231.628472222219</v>
      </c>
      <c r="BL13" s="473">
        <v>45231.84375</v>
      </c>
      <c r="BM13" s="473">
        <v>45231.857638888891</v>
      </c>
      <c r="BN13" s="473">
        <f t="shared" ref="BN13:BN44" si="14">BM13+(41/24)</f>
        <v>45233.565972222226</v>
      </c>
      <c r="BO13" s="473">
        <v>45234.25</v>
      </c>
      <c r="BP13" s="473">
        <v>45234.416666608799</v>
      </c>
      <c r="BQ13" s="473">
        <v>45234.333333333336</v>
      </c>
      <c r="BR13" s="473">
        <v>45235.534722222219</v>
      </c>
      <c r="BS13" s="473">
        <v>45236.180555555555</v>
      </c>
      <c r="BT13" s="473">
        <v>45236.333333333336</v>
      </c>
      <c r="BU13" s="473">
        <v>45236.361111111109</v>
      </c>
      <c r="BV13" s="473">
        <v>45236.368055555555</v>
      </c>
      <c r="BW13" s="473">
        <v>45236.565972222219</v>
      </c>
      <c r="BZ13" s="481">
        <f t="shared" si="4"/>
        <v>37.483333333453629</v>
      </c>
      <c r="CA13" s="481">
        <f t="shared" si="5"/>
        <v>0.33333333319751546</v>
      </c>
      <c r="CB13" s="481">
        <f t="shared" si="6"/>
        <v>41.000000000058208</v>
      </c>
      <c r="CC13" s="481">
        <f t="shared" si="12"/>
        <v>26.833334722090513</v>
      </c>
      <c r="CD13" s="482">
        <f t="shared" si="7"/>
        <v>3.6666666667442769</v>
      </c>
      <c r="CE13" s="482">
        <f t="shared" si="8"/>
        <v>4.7499999999417923</v>
      </c>
      <c r="CF13" s="483">
        <f t="shared" si="9"/>
        <v>4.7527778356452473</v>
      </c>
      <c r="CG13" s="483">
        <f t="shared" si="10"/>
        <v>11.586805555554747</v>
      </c>
      <c r="CH13" s="484">
        <f t="shared" si="11"/>
        <v>0.41018879732272301</v>
      </c>
    </row>
    <row r="14" spans="1:86" s="475" customFormat="1">
      <c r="A14" s="474">
        <f t="shared" si="13"/>
        <v>45231.864583333336</v>
      </c>
      <c r="B14" s="475" t="s">
        <v>228</v>
      </c>
      <c r="C14" s="475" t="s">
        <v>229</v>
      </c>
      <c r="D14" s="475" t="s">
        <v>215</v>
      </c>
      <c r="E14" s="399" t="s">
        <v>1515</v>
      </c>
      <c r="F14" s="475" t="s">
        <v>3474</v>
      </c>
      <c r="G14" s="472">
        <v>45230.479166666664</v>
      </c>
      <c r="H14" s="472">
        <v>45230.429166666669</v>
      </c>
      <c r="I14" s="667" t="s">
        <v>231</v>
      </c>
      <c r="J14" s="475" t="s">
        <v>192</v>
      </c>
      <c r="K14" s="475" t="s">
        <v>192</v>
      </c>
      <c r="L14" s="667" t="s">
        <v>3482</v>
      </c>
      <c r="M14" s="530"/>
      <c r="N14" s="475" t="s">
        <v>310</v>
      </c>
      <c r="O14" s="475" t="s">
        <v>219</v>
      </c>
      <c r="P14" s="399" t="s">
        <v>240</v>
      </c>
      <c r="Q14" s="477">
        <f>3087*2.4</f>
        <v>7408.7999999999993</v>
      </c>
      <c r="R14" s="477">
        <f>7450+100</f>
        <v>7550</v>
      </c>
      <c r="S14" s="477">
        <f>7562.683-258.795</f>
        <v>7303.8879999999999</v>
      </c>
      <c r="T14" s="667"/>
      <c r="V14" s="401"/>
      <c r="W14" s="401"/>
      <c r="Y14" s="726">
        <f>S14</f>
        <v>7303.8879999999999</v>
      </c>
      <c r="Z14" s="401"/>
      <c r="AA14" s="581"/>
      <c r="AB14" s="399"/>
      <c r="AC14" s="399"/>
      <c r="BD14" s="473">
        <f t="shared" si="1"/>
        <v>45227.090277777781</v>
      </c>
      <c r="BE14" s="473">
        <f t="shared" si="2"/>
        <v>45236.930555555555</v>
      </c>
      <c r="BF14" s="479">
        <f t="shared" si="3"/>
        <v>9.8402777777737356</v>
      </c>
      <c r="BG14" s="473">
        <v>45227.090277777781</v>
      </c>
      <c r="BH14" s="473">
        <v>45227.579861111109</v>
      </c>
      <c r="BI14" s="473">
        <v>45229.194444444445</v>
      </c>
      <c r="BJ14" s="473">
        <v>45231.864583333336</v>
      </c>
      <c r="BK14" s="473">
        <v>45231.871527777781</v>
      </c>
      <c r="BL14" s="473">
        <v>45232.006944444445</v>
      </c>
      <c r="BM14" s="473">
        <v>45232.295138888891</v>
      </c>
      <c r="BN14" s="473">
        <f t="shared" si="14"/>
        <v>45234.003472222226</v>
      </c>
      <c r="BO14" s="473">
        <v>45234.25</v>
      </c>
      <c r="BP14" s="473">
        <v>45234.416666608799</v>
      </c>
      <c r="BQ14" s="473">
        <v>45234.28125</v>
      </c>
      <c r="BR14" s="473">
        <v>45235.465277777781</v>
      </c>
      <c r="BS14" s="473">
        <v>45236.381944444445</v>
      </c>
      <c r="BT14" s="473">
        <v>45236.583333333336</v>
      </c>
      <c r="BU14" s="473">
        <v>45236.631944444445</v>
      </c>
      <c r="BV14" s="473">
        <v>45236.690972222219</v>
      </c>
      <c r="BW14" s="473">
        <v>45236.930555555555</v>
      </c>
      <c r="BZ14" s="481">
        <f t="shared" si="4"/>
        <v>38.750000000058208</v>
      </c>
      <c r="CA14" s="481">
        <f t="shared" si="5"/>
        <v>0.16666666668606922</v>
      </c>
      <c r="CB14" s="481">
        <f t="shared" si="6"/>
        <v>41.000000000058208</v>
      </c>
      <c r="CC14" s="481">
        <f t="shared" si="12"/>
        <v>25.166668055579066</v>
      </c>
      <c r="CD14" s="482">
        <f t="shared" si="7"/>
        <v>4.8333333333721384</v>
      </c>
      <c r="CE14" s="482">
        <f t="shared" si="8"/>
        <v>5.7500000000582077</v>
      </c>
      <c r="CF14" s="483">
        <f t="shared" si="9"/>
        <v>4.8194445023254957</v>
      </c>
      <c r="CG14" s="483">
        <f t="shared" si="10"/>
        <v>9.8402777777737356</v>
      </c>
      <c r="CH14" s="484">
        <f t="shared" si="11"/>
        <v>0.48976711950258045</v>
      </c>
    </row>
    <row r="15" spans="1:86" s="475" customFormat="1">
      <c r="A15" s="474">
        <f t="shared" si="13"/>
        <v>45232.475694444445</v>
      </c>
      <c r="B15" s="475" t="s">
        <v>228</v>
      </c>
      <c r="C15" s="475" t="s">
        <v>229</v>
      </c>
      <c r="D15" s="475" t="s">
        <v>197</v>
      </c>
      <c r="E15" s="476" t="s">
        <v>230</v>
      </c>
      <c r="F15" s="475" t="s">
        <v>3474</v>
      </c>
      <c r="G15" s="472">
        <v>45226.041666666664</v>
      </c>
      <c r="H15" s="472">
        <v>45226.05</v>
      </c>
      <c r="I15" s="399" t="s">
        <v>231</v>
      </c>
      <c r="J15" s="475" t="s">
        <v>192</v>
      </c>
      <c r="K15" s="475" t="s">
        <v>192</v>
      </c>
      <c r="L15" s="667" t="s">
        <v>3483</v>
      </c>
      <c r="M15" s="530"/>
      <c r="N15" s="475" t="s">
        <v>2800</v>
      </c>
      <c r="O15" s="475" t="s">
        <v>2801</v>
      </c>
      <c r="P15" s="667" t="s">
        <v>235</v>
      </c>
      <c r="Q15" s="477">
        <f>2205*2.4</f>
        <v>5292</v>
      </c>
      <c r="R15" s="477">
        <f>5300+100</f>
        <v>5400</v>
      </c>
      <c r="S15" s="477">
        <v>5313.5290000000005</v>
      </c>
      <c r="T15" s="477"/>
      <c r="V15" s="577"/>
      <c r="W15" s="577"/>
      <c r="X15" s="726">
        <f>S15</f>
        <v>5313.5290000000005</v>
      </c>
      <c r="Z15" s="577"/>
      <c r="AA15" s="577"/>
      <c r="AC15" s="401"/>
      <c r="AD15" s="401"/>
      <c r="AE15" s="401"/>
      <c r="BD15" s="473">
        <f t="shared" si="1"/>
        <v>45218.5</v>
      </c>
      <c r="BE15" s="473">
        <f t="shared" si="2"/>
        <v>45237.625</v>
      </c>
      <c r="BF15" s="479">
        <f t="shared" si="3"/>
        <v>19.125</v>
      </c>
      <c r="BG15" s="473">
        <v>45218.5</v>
      </c>
      <c r="BH15" s="473">
        <v>45219.753472222219</v>
      </c>
      <c r="BI15" s="473">
        <v>45229.875</v>
      </c>
      <c r="BJ15" s="473">
        <v>45232.475694444445</v>
      </c>
      <c r="BK15" s="473">
        <v>45232.565972222219</v>
      </c>
      <c r="BL15" s="473">
        <v>45232.569444444445</v>
      </c>
      <c r="BM15" s="473">
        <v>45232.572916666664</v>
      </c>
      <c r="BN15" s="473">
        <f t="shared" si="14"/>
        <v>45234.28125</v>
      </c>
      <c r="BO15" s="473">
        <v>45235.25</v>
      </c>
      <c r="BP15" s="473">
        <v>45235.416666608799</v>
      </c>
      <c r="BQ15" s="473">
        <v>45235.319444444445</v>
      </c>
      <c r="BR15" s="473">
        <v>45236.770833333336</v>
      </c>
      <c r="BS15" s="473">
        <v>45237.013888888891</v>
      </c>
      <c r="BT15" s="473">
        <v>45237.173611111109</v>
      </c>
      <c r="BU15" s="473">
        <v>45237.194444444445</v>
      </c>
      <c r="BV15" s="473">
        <v>45237.201388888891</v>
      </c>
      <c r="BW15" s="473">
        <v>45237.625</v>
      </c>
      <c r="BZ15" s="481">
        <f t="shared" si="4"/>
        <v>242.91666666674428</v>
      </c>
      <c r="CA15" s="481">
        <f t="shared" si="5"/>
        <v>2.1666666665696539</v>
      </c>
      <c r="CB15" s="481">
        <f t="shared" si="6"/>
        <v>41.000000000058208</v>
      </c>
      <c r="CC15" s="481">
        <f t="shared" si="12"/>
        <v>32.500001388892997</v>
      </c>
      <c r="CD15" s="482">
        <f t="shared" si="7"/>
        <v>3.8333333332557231</v>
      </c>
      <c r="CE15" s="482">
        <f t="shared" si="8"/>
        <v>10.166666666627862</v>
      </c>
      <c r="CF15" s="483">
        <f t="shared" si="9"/>
        <v>13.857638946756197</v>
      </c>
      <c r="CG15" s="483">
        <f t="shared" si="10"/>
        <v>19.125</v>
      </c>
      <c r="CH15" s="484">
        <f t="shared" si="11"/>
        <v>0.72458242858855926</v>
      </c>
    </row>
    <row r="16" spans="1:86" s="475" customFormat="1">
      <c r="A16" s="474">
        <f t="shared" si="13"/>
        <v>45232.590277777781</v>
      </c>
      <c r="B16" s="475" t="s">
        <v>228</v>
      </c>
      <c r="C16" s="475" t="s">
        <v>229</v>
      </c>
      <c r="D16" s="475" t="s">
        <v>215</v>
      </c>
      <c r="E16" s="667" t="s">
        <v>230</v>
      </c>
      <c r="F16" s="475" t="s">
        <v>3474</v>
      </c>
      <c r="G16" s="472">
        <v>45226.041666666664</v>
      </c>
      <c r="H16" s="472">
        <v>45226.05</v>
      </c>
      <c r="I16" s="667" t="s">
        <v>231</v>
      </c>
      <c r="J16" s="475" t="s">
        <v>192</v>
      </c>
      <c r="K16" s="475" t="s">
        <v>192</v>
      </c>
      <c r="L16" s="667" t="s">
        <v>3484</v>
      </c>
      <c r="M16" s="530"/>
      <c r="N16" s="475" t="s">
        <v>301</v>
      </c>
      <c r="O16" s="475" t="s">
        <v>302</v>
      </c>
      <c r="P16" s="667" t="s">
        <v>235</v>
      </c>
      <c r="Q16" s="477">
        <f>3852*2.4</f>
        <v>9244.7999999999993</v>
      </c>
      <c r="R16" s="477">
        <v>9250</v>
      </c>
      <c r="S16" s="477">
        <v>9229.3700000000008</v>
      </c>
      <c r="T16" s="399"/>
      <c r="V16" s="581"/>
      <c r="W16" s="581"/>
      <c r="X16" s="726">
        <f>S16</f>
        <v>9229.3700000000008</v>
      </c>
      <c r="Y16" s="581"/>
      <c r="Z16" s="581"/>
      <c r="AA16" s="581"/>
      <c r="AB16" s="581"/>
      <c r="BD16" s="473">
        <f t="shared" si="1"/>
        <v>45227.315972222219</v>
      </c>
      <c r="BE16" s="473">
        <f t="shared" si="2"/>
        <v>45237.291666666664</v>
      </c>
      <c r="BF16" s="479">
        <f t="shared" si="3"/>
        <v>9.9756944444452529</v>
      </c>
      <c r="BG16" s="473">
        <v>45227.315972222219</v>
      </c>
      <c r="BH16" s="473">
        <v>45228.739583333336</v>
      </c>
      <c r="BI16" s="473">
        <v>45230.3125</v>
      </c>
      <c r="BJ16" s="473">
        <v>45232.590277777781</v>
      </c>
      <c r="BK16" s="473">
        <v>45232.739583333336</v>
      </c>
      <c r="BL16" s="473">
        <v>45232.743055555555</v>
      </c>
      <c r="BM16" s="473">
        <v>45232.75</v>
      </c>
      <c r="BN16" s="473">
        <f t="shared" si="14"/>
        <v>45234.458333333336</v>
      </c>
      <c r="BO16" s="473">
        <v>45235.25</v>
      </c>
      <c r="BP16" s="473">
        <v>45235.416666608799</v>
      </c>
      <c r="BQ16" s="473">
        <v>45235.288194444445</v>
      </c>
      <c r="BR16" s="473">
        <v>45236.579861111109</v>
      </c>
      <c r="BS16" s="473">
        <v>45236.6875</v>
      </c>
      <c r="BT16" s="473">
        <v>45236.954861111109</v>
      </c>
      <c r="BU16" s="473">
        <v>45236.975694444445</v>
      </c>
      <c r="BV16" s="473">
        <v>45236.979166666664</v>
      </c>
      <c r="BW16" s="473">
        <v>45237.291666666664</v>
      </c>
      <c r="BZ16" s="481">
        <f t="shared" si="4"/>
        <v>37.749999999941792</v>
      </c>
      <c r="CA16" s="481">
        <f t="shared" si="5"/>
        <v>3.5833333333139308</v>
      </c>
      <c r="CB16" s="481">
        <f t="shared" si="6"/>
        <v>41.000000000058208</v>
      </c>
      <c r="CC16" s="481">
        <f t="shared" si="12"/>
        <v>27.916668055462651</v>
      </c>
      <c r="CD16" s="482">
        <f t="shared" si="7"/>
        <v>6.4166666666278616</v>
      </c>
      <c r="CE16" s="482">
        <f t="shared" si="8"/>
        <v>7.5</v>
      </c>
      <c r="CF16" s="483">
        <f t="shared" si="9"/>
        <v>5.1736111689751851</v>
      </c>
      <c r="CG16" s="483">
        <f t="shared" si="10"/>
        <v>9.9756944444452529</v>
      </c>
      <c r="CH16" s="484">
        <f t="shared" si="11"/>
        <v>0.51862165564383311</v>
      </c>
    </row>
    <row r="17" spans="1:86" s="475" customFormat="1">
      <c r="A17" s="474">
        <f t="shared" si="13"/>
        <v>45233.895833333336</v>
      </c>
      <c r="B17" s="475" t="s">
        <v>228</v>
      </c>
      <c r="C17" s="475" t="s">
        <v>229</v>
      </c>
      <c r="D17" s="475" t="s">
        <v>197</v>
      </c>
      <c r="E17" s="667" t="s">
        <v>1052</v>
      </c>
      <c r="F17" s="475" t="s">
        <v>3378</v>
      </c>
      <c r="G17" s="472">
        <v>45232.291666666664</v>
      </c>
      <c r="H17" s="472">
        <v>45232.291666666664</v>
      </c>
      <c r="I17" s="667" t="s">
        <v>231</v>
      </c>
      <c r="J17" s="475" t="s">
        <v>192</v>
      </c>
      <c r="K17" s="475" t="s">
        <v>192</v>
      </c>
      <c r="L17" s="667" t="s">
        <v>3485</v>
      </c>
      <c r="M17" s="530"/>
      <c r="N17" s="475" t="s">
        <v>492</v>
      </c>
      <c r="O17" s="475" t="s">
        <v>493</v>
      </c>
      <c r="P17" s="667" t="s">
        <v>240</v>
      </c>
      <c r="Q17" s="477">
        <f>3141*2.4</f>
        <v>7538.4</v>
      </c>
      <c r="R17" s="477">
        <f>7550+100</f>
        <v>7650</v>
      </c>
      <c r="S17" s="477">
        <v>7500.973</v>
      </c>
      <c r="T17" s="667"/>
      <c r="V17" s="581"/>
      <c r="W17" s="581"/>
      <c r="X17" s="581"/>
      <c r="Y17" s="726">
        <f t="shared" ref="Y17:Y26" si="15">S17</f>
        <v>7500.973</v>
      </c>
      <c r="Z17" s="581"/>
      <c r="AA17" s="581"/>
      <c r="AB17" s="581"/>
      <c r="BD17" s="473">
        <f t="shared" si="1"/>
        <v>45226.770833333336</v>
      </c>
      <c r="BE17" s="473">
        <f t="shared" si="2"/>
        <v>45240.041666666664</v>
      </c>
      <c r="BF17" s="479">
        <f t="shared" si="3"/>
        <v>13.270833333328483</v>
      </c>
      <c r="BG17" s="473">
        <v>45226.770833333336</v>
      </c>
      <c r="BH17" s="473">
        <v>45229.510416666664</v>
      </c>
      <c r="BI17" s="473">
        <v>45231.083333333336</v>
      </c>
      <c r="BJ17" s="473">
        <v>45233.895833333336</v>
      </c>
      <c r="BK17" s="473">
        <v>45234.069444444445</v>
      </c>
      <c r="BL17" s="473">
        <v>45234.076388888891</v>
      </c>
      <c r="BM17" s="473">
        <v>45234.291666666664</v>
      </c>
      <c r="BN17" s="473">
        <f t="shared" si="14"/>
        <v>45236</v>
      </c>
      <c r="BO17" s="480">
        <v>45236.541666666664</v>
      </c>
      <c r="BP17" s="480">
        <v>45236.708333333336</v>
      </c>
      <c r="BQ17" s="480">
        <v>45236.552083333336</v>
      </c>
      <c r="BR17" s="473">
        <v>45237.875</v>
      </c>
      <c r="BS17" s="473">
        <v>45238.368055555555</v>
      </c>
      <c r="BT17" s="473">
        <v>45239.694444444445</v>
      </c>
      <c r="BU17" s="473">
        <v>45239.715277777781</v>
      </c>
      <c r="BV17" s="473">
        <v>45239.715277777781</v>
      </c>
      <c r="BW17" s="473">
        <v>45240.041666666664</v>
      </c>
      <c r="BZ17" s="481">
        <f t="shared" si="4"/>
        <v>37.750000000116415</v>
      </c>
      <c r="CA17" s="481">
        <f t="shared" si="5"/>
        <v>4.1666666666278616</v>
      </c>
      <c r="CB17" s="481">
        <f t="shared" si="6"/>
        <v>41.000000000058208</v>
      </c>
      <c r="CC17" s="481">
        <f t="shared" si="12"/>
        <v>27.999999999941792</v>
      </c>
      <c r="CD17" s="482">
        <f t="shared" si="7"/>
        <v>31.833333333372138</v>
      </c>
      <c r="CE17" s="482">
        <f t="shared" si="8"/>
        <v>7.8333333331975155</v>
      </c>
      <c r="CF17" s="483">
        <f t="shared" si="9"/>
        <v>6.2743055555547471</v>
      </c>
      <c r="CG17" s="483">
        <f t="shared" si="10"/>
        <v>13.270833333328483</v>
      </c>
      <c r="CH17" s="484">
        <f t="shared" si="11"/>
        <v>0.47278911564637038</v>
      </c>
    </row>
    <row r="18" spans="1:86" s="475" customFormat="1">
      <c r="A18" s="474">
        <f t="shared" si="13"/>
        <v>45235.246527777781</v>
      </c>
      <c r="B18" s="475" t="s">
        <v>228</v>
      </c>
      <c r="C18" s="475" t="s">
        <v>229</v>
      </c>
      <c r="D18" s="475" t="s">
        <v>197</v>
      </c>
      <c r="E18" s="667" t="s">
        <v>3141</v>
      </c>
      <c r="F18" s="475" t="s">
        <v>3378</v>
      </c>
      <c r="G18" s="858">
        <v>45242.875</v>
      </c>
      <c r="H18" s="858">
        <v>45242.837500000001</v>
      </c>
      <c r="I18" s="667" t="s">
        <v>434</v>
      </c>
      <c r="J18" s="475" t="s">
        <v>192</v>
      </c>
      <c r="K18" s="475" t="s">
        <v>192</v>
      </c>
      <c r="L18" s="667" t="s">
        <v>3486</v>
      </c>
      <c r="M18" s="530"/>
      <c r="N18" s="475" t="s">
        <v>367</v>
      </c>
      <c r="O18" s="475" t="s">
        <v>368</v>
      </c>
      <c r="P18" s="667" t="s">
        <v>240</v>
      </c>
      <c r="Q18" s="477">
        <f>4111*2.4</f>
        <v>9866.4</v>
      </c>
      <c r="R18" s="477">
        <f>9900+100</f>
        <v>10000</v>
      </c>
      <c r="S18" s="477">
        <v>9709.8050000000003</v>
      </c>
      <c r="T18" s="667"/>
      <c r="V18" s="581"/>
      <c r="W18" s="581"/>
      <c r="X18" s="581"/>
      <c r="Y18" s="726">
        <f t="shared" si="15"/>
        <v>9709.8050000000003</v>
      </c>
      <c r="Z18" s="581"/>
      <c r="AA18" s="581"/>
      <c r="AB18" s="581"/>
      <c r="AC18" s="577"/>
      <c r="AD18" s="577"/>
      <c r="BD18" s="473">
        <f t="shared" si="1"/>
        <v>45228.802083333336</v>
      </c>
      <c r="BE18" s="473">
        <f t="shared" si="2"/>
        <v>45249.006944444445</v>
      </c>
      <c r="BF18" s="479">
        <f t="shared" si="3"/>
        <v>20.204861111109494</v>
      </c>
      <c r="BG18" s="473">
        <v>45228.802083333336</v>
      </c>
      <c r="BH18" s="473">
        <v>45229.875</v>
      </c>
      <c r="BI18" s="473">
        <v>45231.416666666664</v>
      </c>
      <c r="BJ18" s="473">
        <v>45235.246527777781</v>
      </c>
      <c r="BK18" s="473">
        <v>45235.493055555555</v>
      </c>
      <c r="BL18" s="473">
        <v>45235.496527777781</v>
      </c>
      <c r="BM18" s="473">
        <v>45235.513888888891</v>
      </c>
      <c r="BN18" s="473">
        <f t="shared" si="14"/>
        <v>45237.222222222226</v>
      </c>
      <c r="BO18" s="473">
        <v>45237.541666608799</v>
      </c>
      <c r="BP18" s="473">
        <v>45237.708333333336</v>
      </c>
      <c r="BQ18" s="473">
        <v>45237.5625</v>
      </c>
      <c r="BR18" s="473">
        <v>45241.680555555555</v>
      </c>
      <c r="BS18" s="473">
        <v>45245.777777777781</v>
      </c>
      <c r="BT18" s="473">
        <v>45246.583333333336</v>
      </c>
      <c r="BU18" s="473">
        <v>45246.59375</v>
      </c>
      <c r="BV18" s="473">
        <v>45247.194444444445</v>
      </c>
      <c r="BW18" s="473">
        <v>45249.006944444445</v>
      </c>
      <c r="BZ18" s="481">
        <f t="shared" si="4"/>
        <v>36.999999999941792</v>
      </c>
      <c r="CA18" s="481">
        <f t="shared" si="5"/>
        <v>5.9166666665696539</v>
      </c>
      <c r="CB18" s="481">
        <f t="shared" si="6"/>
        <v>41.000000000058208</v>
      </c>
      <c r="CC18" s="481">
        <f t="shared" si="12"/>
        <v>95.333333333255723</v>
      </c>
      <c r="CD18" s="482">
        <f t="shared" si="7"/>
        <v>19.333333333313931</v>
      </c>
      <c r="CE18" s="482">
        <f t="shared" si="8"/>
        <v>43.5</v>
      </c>
      <c r="CF18" s="483">
        <f t="shared" si="9"/>
        <v>10.086805555547471</v>
      </c>
      <c r="CG18" s="483">
        <f t="shared" si="10"/>
        <v>20.204861111109494</v>
      </c>
      <c r="CH18" s="484">
        <f t="shared" si="11"/>
        <v>0.49922667124899539</v>
      </c>
    </row>
    <row r="19" spans="1:86" s="475" customFormat="1">
      <c r="A19" s="474">
        <f t="shared" si="13"/>
        <v>45235.533333333333</v>
      </c>
      <c r="B19" s="475" t="s">
        <v>228</v>
      </c>
      <c r="C19" s="475" t="s">
        <v>229</v>
      </c>
      <c r="D19" s="475" t="s">
        <v>215</v>
      </c>
      <c r="E19" s="667" t="s">
        <v>3141</v>
      </c>
      <c r="F19" s="475" t="s">
        <v>3378</v>
      </c>
      <c r="G19" s="858">
        <v>45242.875</v>
      </c>
      <c r="H19" s="858">
        <v>45242.837500000001</v>
      </c>
      <c r="I19" s="667" t="s">
        <v>434</v>
      </c>
      <c r="J19" s="475" t="s">
        <v>192</v>
      </c>
      <c r="K19" s="475" t="s">
        <v>192</v>
      </c>
      <c r="L19" s="667" t="s">
        <v>3487</v>
      </c>
      <c r="M19" s="530"/>
      <c r="N19" s="475" t="s">
        <v>222</v>
      </c>
      <c r="O19" s="475" t="s">
        <v>223</v>
      </c>
      <c r="P19" s="667" t="s">
        <v>240</v>
      </c>
      <c r="Q19" s="477">
        <f>3137*2.4</f>
        <v>7528.7999999999993</v>
      </c>
      <c r="R19" s="477">
        <f>7550+100</f>
        <v>7650</v>
      </c>
      <c r="S19" s="477">
        <v>7505.4459999999999</v>
      </c>
      <c r="T19" s="667"/>
      <c r="V19" s="581"/>
      <c r="W19" s="581"/>
      <c r="X19" s="581"/>
      <c r="Y19" s="726">
        <f t="shared" si="15"/>
        <v>7505.4459999999999</v>
      </c>
      <c r="Z19" s="581"/>
      <c r="AA19" s="581"/>
      <c r="AB19" s="575"/>
      <c r="AC19" s="399"/>
      <c r="AD19" s="577"/>
      <c r="BD19" s="473">
        <f t="shared" si="1"/>
        <v>45227.677083333336</v>
      </c>
      <c r="BE19" s="473">
        <f t="shared" si="2"/>
        <v>45248.076388888891</v>
      </c>
      <c r="BF19" s="479">
        <f t="shared" si="3"/>
        <v>20.399305555554747</v>
      </c>
      <c r="BG19" s="473">
        <v>45227.677083333336</v>
      </c>
      <c r="BH19" s="473">
        <v>45230.548611111109</v>
      </c>
      <c r="BI19" s="473">
        <v>45232.965277777781</v>
      </c>
      <c r="BJ19" s="473">
        <v>45235.533333333333</v>
      </c>
      <c r="BK19" s="473">
        <v>45235.670138888891</v>
      </c>
      <c r="BL19" s="473">
        <v>45235.677083333336</v>
      </c>
      <c r="BM19" s="473">
        <v>45235.677083333336</v>
      </c>
      <c r="BN19" s="473">
        <f t="shared" si="14"/>
        <v>45237.385416666672</v>
      </c>
      <c r="BO19" s="473">
        <v>45237.541666608799</v>
      </c>
      <c r="BP19" s="473">
        <v>45237.708333333336</v>
      </c>
      <c r="BQ19" s="473">
        <v>45237.5625</v>
      </c>
      <c r="BR19" s="473">
        <v>45241.4375</v>
      </c>
      <c r="BS19" s="473">
        <v>45244.493055555555</v>
      </c>
      <c r="BT19" s="473">
        <v>45245</v>
      </c>
      <c r="BU19" s="473">
        <v>45245.010416666664</v>
      </c>
      <c r="BV19" s="473">
        <v>45245.5</v>
      </c>
      <c r="BW19" s="473">
        <v>45248.076388888891</v>
      </c>
      <c r="BZ19" s="481">
        <f t="shared" si="4"/>
        <v>58.000000000116415</v>
      </c>
      <c r="CA19" s="481">
        <f t="shared" si="5"/>
        <v>3.28333333338378</v>
      </c>
      <c r="CB19" s="481">
        <f t="shared" si="6"/>
        <v>41.000000000058208</v>
      </c>
      <c r="CC19" s="481">
        <f t="shared" si="12"/>
        <v>89.499999999941792</v>
      </c>
      <c r="CD19" s="482">
        <f t="shared" si="7"/>
        <v>12.166666666686069</v>
      </c>
      <c r="CE19" s="482">
        <f t="shared" si="8"/>
        <v>61.833333333372138</v>
      </c>
      <c r="CF19" s="483">
        <f t="shared" si="9"/>
        <v>11.074305555564933</v>
      </c>
      <c r="CG19" s="483">
        <f t="shared" si="10"/>
        <v>20.399305555554747</v>
      </c>
      <c r="CH19" s="484">
        <f t="shared" si="11"/>
        <v>0.54287659574516212</v>
      </c>
    </row>
    <row r="20" spans="1:86" s="475" customFormat="1">
      <c r="A20" s="474">
        <f t="shared" si="13"/>
        <v>45235.697916666664</v>
      </c>
      <c r="B20" s="475" t="s">
        <v>228</v>
      </c>
      <c r="C20" s="475" t="s">
        <v>229</v>
      </c>
      <c r="D20" s="475" t="s">
        <v>197</v>
      </c>
      <c r="E20" s="667" t="s">
        <v>3141</v>
      </c>
      <c r="F20" s="475" t="s">
        <v>3378</v>
      </c>
      <c r="G20" s="858">
        <v>45242.875</v>
      </c>
      <c r="H20" s="858">
        <v>45242.837500000001</v>
      </c>
      <c r="I20" s="667" t="s">
        <v>434</v>
      </c>
      <c r="J20" s="475" t="s">
        <v>192</v>
      </c>
      <c r="K20" s="475" t="s">
        <v>192</v>
      </c>
      <c r="L20" s="667" t="s">
        <v>3488</v>
      </c>
      <c r="M20" s="530"/>
      <c r="N20" s="475" t="s">
        <v>330</v>
      </c>
      <c r="O20" s="475" t="s">
        <v>331</v>
      </c>
      <c r="P20" s="667" t="s">
        <v>240</v>
      </c>
      <c r="Q20" s="477">
        <f>3136*2.4</f>
        <v>7526.4</v>
      </c>
      <c r="R20" s="477">
        <f>7550+100</f>
        <v>7650</v>
      </c>
      <c r="S20" s="477">
        <v>7501.8289999999997</v>
      </c>
      <c r="T20" s="667"/>
      <c r="V20" s="581"/>
      <c r="W20" s="581"/>
      <c r="X20" s="581"/>
      <c r="Y20" s="726">
        <f t="shared" si="15"/>
        <v>7501.8289999999997</v>
      </c>
      <c r="Z20" s="581"/>
      <c r="AA20" s="581"/>
      <c r="AB20" s="399"/>
      <c r="AC20" s="399"/>
      <c r="AD20" s="577"/>
      <c r="BD20" s="473">
        <f t="shared" si="1"/>
        <v>45228.375</v>
      </c>
      <c r="BE20" s="473">
        <f t="shared" si="2"/>
        <v>45248.708333333336</v>
      </c>
      <c r="BF20" s="479">
        <f t="shared" si="3"/>
        <v>20.333333333335759</v>
      </c>
      <c r="BG20" s="473">
        <v>45228.375</v>
      </c>
      <c r="BH20" s="473">
        <v>45231.572916666664</v>
      </c>
      <c r="BI20" s="473">
        <v>45233.208333333336</v>
      </c>
      <c r="BJ20" s="473">
        <v>45235.697916666664</v>
      </c>
      <c r="BK20" s="473">
        <v>45235.892361111109</v>
      </c>
      <c r="BL20" s="473">
        <v>45235.899305555555</v>
      </c>
      <c r="BM20" s="473">
        <v>45235.90625</v>
      </c>
      <c r="BN20" s="473">
        <f t="shared" si="14"/>
        <v>45237.614583333336</v>
      </c>
      <c r="BO20" s="473">
        <v>45237.541666608799</v>
      </c>
      <c r="BP20" s="473">
        <v>45237.708333333336</v>
      </c>
      <c r="BQ20" s="473">
        <v>45237.590277777781</v>
      </c>
      <c r="BR20" s="473">
        <v>45241.5625</v>
      </c>
      <c r="BS20" s="473">
        <v>45247.857638888891</v>
      </c>
      <c r="BT20" s="473">
        <v>45248.708333333336</v>
      </c>
      <c r="BU20" s="473">
        <v>45248.708333333336</v>
      </c>
      <c r="BV20" s="473">
        <v>45248.708333333336</v>
      </c>
      <c r="BW20" s="473">
        <v>45248.708333333336</v>
      </c>
      <c r="BX20" s="475" t="s">
        <v>3489</v>
      </c>
      <c r="BZ20" s="481">
        <f t="shared" si="4"/>
        <v>39.250000000116415</v>
      </c>
      <c r="CA20" s="481">
        <f t="shared" si="5"/>
        <v>4.6666666666860692</v>
      </c>
      <c r="CB20" s="481">
        <f t="shared" si="6"/>
        <v>41.000000000058208</v>
      </c>
      <c r="CC20" s="481">
        <f t="shared" si="12"/>
        <v>92.499999999941792</v>
      </c>
      <c r="CD20" s="482">
        <f t="shared" si="7"/>
        <v>20.416666666686069</v>
      </c>
      <c r="CE20" s="482">
        <f t="shared" si="8"/>
        <v>0</v>
      </c>
      <c r="CF20" s="483">
        <f t="shared" si="9"/>
        <v>8.2430555555620231</v>
      </c>
      <c r="CG20" s="483">
        <f t="shared" si="10"/>
        <v>20.333333333335759</v>
      </c>
      <c r="CH20" s="484">
        <f t="shared" si="11"/>
        <v>0.4053961748636577</v>
      </c>
    </row>
    <row r="21" spans="1:86" s="475" customFormat="1">
      <c r="A21" s="474">
        <f t="shared" si="13"/>
        <v>45236.166666666664</v>
      </c>
      <c r="B21" s="475" t="s">
        <v>228</v>
      </c>
      <c r="C21" s="475" t="s">
        <v>229</v>
      </c>
      <c r="D21" s="475" t="s">
        <v>197</v>
      </c>
      <c r="E21" s="667" t="s">
        <v>3133</v>
      </c>
      <c r="F21" s="399" t="s">
        <v>3378</v>
      </c>
      <c r="G21" s="858">
        <v>45239.916666666664</v>
      </c>
      <c r="H21" s="858">
        <v>45239.875</v>
      </c>
      <c r="I21" s="667" t="s">
        <v>243</v>
      </c>
      <c r="J21" s="475" t="s">
        <v>192</v>
      </c>
      <c r="K21" s="475" t="s">
        <v>192</v>
      </c>
      <c r="L21" s="667" t="s">
        <v>3490</v>
      </c>
      <c r="M21" s="530"/>
      <c r="N21" s="475" t="s">
        <v>437</v>
      </c>
      <c r="O21" s="475" t="s">
        <v>320</v>
      </c>
      <c r="P21" s="667" t="s">
        <v>240</v>
      </c>
      <c r="Q21" s="477">
        <f>3136*2.4</f>
        <v>7526.4</v>
      </c>
      <c r="R21" s="477">
        <f>7550+100</f>
        <v>7650</v>
      </c>
      <c r="S21" s="477">
        <v>7515.5690000000004</v>
      </c>
      <c r="T21" s="667"/>
      <c r="U21" s="726"/>
      <c r="V21" s="581"/>
      <c r="W21" s="581"/>
      <c r="X21" s="581"/>
      <c r="Y21" s="726">
        <f t="shared" si="15"/>
        <v>7515.5690000000004</v>
      </c>
      <c r="Z21" s="581"/>
      <c r="AA21" s="581"/>
      <c r="AB21" s="581"/>
      <c r="AC21" s="401"/>
      <c r="AD21" s="401"/>
      <c r="AE21" s="401"/>
      <c r="AF21" s="401"/>
      <c r="AG21" s="401"/>
      <c r="AH21" s="401"/>
      <c r="AI21" s="401"/>
      <c r="AJ21" s="401"/>
      <c r="AK21" s="401"/>
      <c r="AL21" s="401"/>
      <c r="AM21" s="401"/>
      <c r="AN21" s="401"/>
      <c r="AO21" s="401"/>
      <c r="AP21" s="401"/>
      <c r="AQ21" s="401"/>
      <c r="AR21" s="401"/>
      <c r="AS21" s="401"/>
      <c r="AT21" s="401"/>
      <c r="AU21" s="401"/>
      <c r="BD21" s="473">
        <f t="shared" si="1"/>
        <v>45229.375</v>
      </c>
      <c r="BE21" s="473">
        <f t="shared" si="2"/>
        <v>45241.375</v>
      </c>
      <c r="BF21" s="479">
        <f t="shared" si="3"/>
        <v>12</v>
      </c>
      <c r="BG21" s="473">
        <v>45229.375</v>
      </c>
      <c r="BH21" s="473">
        <v>45232.774305555555</v>
      </c>
      <c r="BI21" s="473">
        <v>45234.125</v>
      </c>
      <c r="BJ21" s="473">
        <v>45236.166666666664</v>
      </c>
      <c r="BK21" s="473">
        <v>45236.378472222219</v>
      </c>
      <c r="BL21" s="473">
        <v>45236.395833333336</v>
      </c>
      <c r="BM21" s="473">
        <v>45236.399305555555</v>
      </c>
      <c r="BN21" s="473">
        <f t="shared" si="14"/>
        <v>45238.107638888891</v>
      </c>
      <c r="BO21" s="480">
        <v>45238.541666608799</v>
      </c>
      <c r="BP21" s="480">
        <v>45238.708333333336</v>
      </c>
      <c r="BQ21" s="480">
        <v>45238.590277777781</v>
      </c>
      <c r="BR21" s="473">
        <v>45240.083333333336</v>
      </c>
      <c r="BS21" s="473">
        <v>45240.159722222219</v>
      </c>
      <c r="BT21" s="473">
        <v>45240.666666666664</v>
      </c>
      <c r="BU21" s="473">
        <v>45240.680555555555</v>
      </c>
      <c r="BV21" s="473">
        <v>45240.708333333336</v>
      </c>
      <c r="BW21" s="473">
        <v>45241.375</v>
      </c>
      <c r="BZ21" s="481">
        <f t="shared" si="4"/>
        <v>32.416666666686069</v>
      </c>
      <c r="CA21" s="481">
        <f t="shared" si="5"/>
        <v>5.0833333333139308</v>
      </c>
      <c r="CB21" s="481">
        <f t="shared" si="6"/>
        <v>41.000000000058208</v>
      </c>
      <c r="CC21" s="481">
        <f t="shared" si="12"/>
        <v>33</v>
      </c>
      <c r="CD21" s="482">
        <f t="shared" si="7"/>
        <v>12.166666666686069</v>
      </c>
      <c r="CE21" s="482">
        <f t="shared" si="8"/>
        <v>15.999999999941792</v>
      </c>
      <c r="CF21" s="483">
        <f t="shared" si="9"/>
        <v>5.8194444444452529</v>
      </c>
      <c r="CG21" s="483">
        <f t="shared" si="10"/>
        <v>12</v>
      </c>
      <c r="CH21" s="484">
        <f t="shared" si="11"/>
        <v>0.48495370370377106</v>
      </c>
    </row>
    <row r="22" spans="1:86" s="475" customFormat="1">
      <c r="A22" s="474">
        <f t="shared" si="13"/>
        <v>45236.413194444445</v>
      </c>
      <c r="B22" s="475" t="s">
        <v>228</v>
      </c>
      <c r="C22" s="475" t="s">
        <v>229</v>
      </c>
      <c r="D22" s="475" t="s">
        <v>197</v>
      </c>
      <c r="E22" s="667" t="s">
        <v>3133</v>
      </c>
      <c r="F22" s="399" t="s">
        <v>3378</v>
      </c>
      <c r="G22" s="858">
        <v>45239.916666666664</v>
      </c>
      <c r="H22" s="858">
        <v>45239.875</v>
      </c>
      <c r="I22" s="667" t="s">
        <v>243</v>
      </c>
      <c r="J22" s="475" t="s">
        <v>192</v>
      </c>
      <c r="K22" s="475" t="s">
        <v>192</v>
      </c>
      <c r="L22" s="667" t="s">
        <v>3491</v>
      </c>
      <c r="M22" s="530"/>
      <c r="N22" s="475" t="s">
        <v>489</v>
      </c>
      <c r="O22" s="475" t="s">
        <v>483</v>
      </c>
      <c r="P22" s="667" t="s">
        <v>240</v>
      </c>
      <c r="Q22" s="477">
        <f>3107*2.4</f>
        <v>7456.7999999999993</v>
      </c>
      <c r="R22" s="477">
        <f>7500+100</f>
        <v>7600</v>
      </c>
      <c r="S22" s="477">
        <v>7521.1959999999999</v>
      </c>
      <c r="T22" s="667"/>
      <c r="U22" s="581"/>
      <c r="V22" s="581"/>
      <c r="W22" s="581"/>
      <c r="X22" s="581"/>
      <c r="Y22" s="726">
        <f t="shared" si="15"/>
        <v>7521.1959999999999</v>
      </c>
      <c r="Z22" s="581"/>
      <c r="AA22" s="581"/>
      <c r="AB22" s="581"/>
      <c r="AC22" s="581"/>
      <c r="AD22" s="581"/>
      <c r="AE22" s="581"/>
      <c r="AF22" s="581"/>
      <c r="AG22" s="401"/>
      <c r="AH22" s="401"/>
      <c r="AI22" s="401"/>
      <c r="AJ22" s="401"/>
      <c r="AK22" s="401"/>
      <c r="AL22" s="401"/>
      <c r="AM22" s="401"/>
      <c r="AN22" s="401"/>
      <c r="AO22" s="401"/>
      <c r="AP22" s="401"/>
      <c r="AQ22" s="401"/>
      <c r="AR22" s="401"/>
      <c r="AS22" s="401"/>
      <c r="AT22" s="401"/>
      <c r="AU22" s="401"/>
      <c r="BD22" s="473">
        <f t="shared" si="1"/>
        <v>45230.375</v>
      </c>
      <c r="BE22" s="473">
        <f t="shared" si="2"/>
        <v>45241.777777777781</v>
      </c>
      <c r="BF22" s="479">
        <f t="shared" si="3"/>
        <v>11.402777777781012</v>
      </c>
      <c r="BG22" s="473">
        <v>45230.375</v>
      </c>
      <c r="BH22" s="473">
        <v>45233.635416666664</v>
      </c>
      <c r="BI22" s="473">
        <v>45235.041666666664</v>
      </c>
      <c r="BJ22" s="473">
        <v>45236.413194444445</v>
      </c>
      <c r="BK22" s="473">
        <v>45236.572916666664</v>
      </c>
      <c r="BL22" s="473">
        <v>45236.576388888891</v>
      </c>
      <c r="BM22" s="473">
        <v>45236.604166666664</v>
      </c>
      <c r="BN22" s="473">
        <f t="shared" si="14"/>
        <v>45238.3125</v>
      </c>
      <c r="BO22" s="480">
        <v>45238.541666608799</v>
      </c>
      <c r="BP22" s="480">
        <v>45238.708333333336</v>
      </c>
      <c r="BQ22" s="480">
        <v>45238.569444444445</v>
      </c>
      <c r="BR22" s="473">
        <v>45240.604166666664</v>
      </c>
      <c r="BS22" s="473">
        <v>45240.743055555555</v>
      </c>
      <c r="BT22" s="473">
        <v>45241.052083333336</v>
      </c>
      <c r="BU22" s="473">
        <v>45241.069444444445</v>
      </c>
      <c r="BV22" s="473">
        <v>45241.076388888891</v>
      </c>
      <c r="BW22" s="473">
        <v>45241.777777777781</v>
      </c>
      <c r="BZ22" s="481">
        <f t="shared" si="4"/>
        <v>33.75</v>
      </c>
      <c r="CA22" s="481">
        <f t="shared" si="5"/>
        <v>3.8333333332557231</v>
      </c>
      <c r="CB22" s="481">
        <f t="shared" si="6"/>
        <v>41.000000000058208</v>
      </c>
      <c r="CC22" s="481">
        <f t="shared" si="12"/>
        <v>45.499999999883585</v>
      </c>
      <c r="CD22" s="482">
        <f t="shared" si="7"/>
        <v>7.4166666667442769</v>
      </c>
      <c r="CE22" s="482">
        <f t="shared" si="8"/>
        <v>16.833333333372138</v>
      </c>
      <c r="CF22" s="483">
        <f t="shared" si="9"/>
        <v>6.1805555555547471</v>
      </c>
      <c r="CG22" s="483">
        <f t="shared" si="10"/>
        <v>11.402777777781012</v>
      </c>
      <c r="CH22" s="484">
        <f t="shared" si="11"/>
        <v>0.54202192448211395</v>
      </c>
    </row>
    <row r="23" spans="1:86" s="475" customFormat="1">
      <c r="A23" s="474">
        <f t="shared" si="13"/>
        <v>45236.620833333334</v>
      </c>
      <c r="B23" s="475" t="s">
        <v>228</v>
      </c>
      <c r="C23" s="475" t="s">
        <v>229</v>
      </c>
      <c r="D23" s="475" t="s">
        <v>215</v>
      </c>
      <c r="E23" s="667" t="s">
        <v>3133</v>
      </c>
      <c r="F23" s="399" t="s">
        <v>3378</v>
      </c>
      <c r="G23" s="858">
        <v>45239.916666666664</v>
      </c>
      <c r="H23" s="858">
        <v>45239.875</v>
      </c>
      <c r="I23" s="667" t="s">
        <v>243</v>
      </c>
      <c r="J23" s="475" t="s">
        <v>192</v>
      </c>
      <c r="K23" s="475" t="s">
        <v>192</v>
      </c>
      <c r="L23" s="667" t="s">
        <v>3492</v>
      </c>
      <c r="M23" s="530"/>
      <c r="N23" s="475" t="s">
        <v>358</v>
      </c>
      <c r="O23" s="475" t="s">
        <v>359</v>
      </c>
      <c r="P23" s="667" t="s">
        <v>240</v>
      </c>
      <c r="Q23" s="477">
        <f>3852*2.4</f>
        <v>9244.7999999999993</v>
      </c>
      <c r="R23" s="477">
        <v>9250</v>
      </c>
      <c r="S23" s="477">
        <v>9002.2939999999999</v>
      </c>
      <c r="T23" s="667"/>
      <c r="U23" s="581"/>
      <c r="V23" s="581"/>
      <c r="W23" s="581"/>
      <c r="X23" s="581"/>
      <c r="Y23" s="726">
        <f t="shared" si="15"/>
        <v>9002.2939999999999</v>
      </c>
      <c r="Z23" s="581"/>
      <c r="AA23" s="581"/>
      <c r="AB23" s="581"/>
      <c r="AC23" s="575"/>
      <c r="AD23" s="401"/>
      <c r="AE23" s="401"/>
      <c r="AF23" s="575"/>
      <c r="AG23" s="575"/>
      <c r="AH23" s="575"/>
      <c r="AI23" s="575"/>
      <c r="BD23" s="473">
        <f t="shared" si="1"/>
        <v>45229.3125</v>
      </c>
      <c r="BE23" s="473">
        <f t="shared" si="2"/>
        <v>45242.777777777781</v>
      </c>
      <c r="BF23" s="479">
        <f t="shared" si="3"/>
        <v>13.465277777781012</v>
      </c>
      <c r="BG23" s="473">
        <v>45229.3125</v>
      </c>
      <c r="BH23" s="473">
        <v>45233.559027777781</v>
      </c>
      <c r="BI23" s="473">
        <v>45235.052083333336</v>
      </c>
      <c r="BJ23" s="473">
        <v>45236.620833333334</v>
      </c>
      <c r="BK23" s="473">
        <v>45236.878472222219</v>
      </c>
      <c r="BL23" s="473">
        <v>45236.888888888891</v>
      </c>
      <c r="BM23" s="473">
        <v>45237.25</v>
      </c>
      <c r="BN23" s="473">
        <f t="shared" si="14"/>
        <v>45238.958333333336</v>
      </c>
      <c r="BO23" s="473">
        <v>45239.541666608799</v>
      </c>
      <c r="BP23" s="473">
        <v>45239.708333333336</v>
      </c>
      <c r="BQ23" s="473">
        <v>45239.583333333336</v>
      </c>
      <c r="BR23" s="473">
        <v>45241.013888888891</v>
      </c>
      <c r="BS23" s="473">
        <v>45241.829861111109</v>
      </c>
      <c r="BT23" s="473">
        <v>45242.131944444445</v>
      </c>
      <c r="BU23" s="473">
        <v>45242.152777777781</v>
      </c>
      <c r="BV23" s="473">
        <v>45242.159722222219</v>
      </c>
      <c r="BW23" s="473">
        <v>45242.777777777781</v>
      </c>
      <c r="BZ23" s="481">
        <f t="shared" si="4"/>
        <v>35.833333333313931</v>
      </c>
      <c r="CA23" s="481">
        <f t="shared" si="5"/>
        <v>6.1833333332324401</v>
      </c>
      <c r="CB23" s="481">
        <f t="shared" si="6"/>
        <v>41.000000000058208</v>
      </c>
      <c r="CC23" s="481">
        <f t="shared" si="12"/>
        <v>31.333333333313931</v>
      </c>
      <c r="CD23" s="482">
        <f t="shared" si="7"/>
        <v>7.2500000000582077</v>
      </c>
      <c r="CE23" s="482">
        <f t="shared" si="8"/>
        <v>14.833333333488554</v>
      </c>
      <c r="CF23" s="483">
        <f t="shared" si="9"/>
        <v>5.6847222222277196</v>
      </c>
      <c r="CG23" s="483">
        <f t="shared" si="10"/>
        <v>13.465277777781012</v>
      </c>
      <c r="CH23" s="484">
        <f t="shared" si="11"/>
        <v>0.4221763795774085</v>
      </c>
    </row>
    <row r="24" spans="1:86" s="475" customFormat="1">
      <c r="A24" s="474">
        <f t="shared" si="13"/>
        <v>45236.904861111114</v>
      </c>
      <c r="B24" s="475" t="s">
        <v>228</v>
      </c>
      <c r="C24" s="475" t="s">
        <v>229</v>
      </c>
      <c r="D24" s="475" t="s">
        <v>197</v>
      </c>
      <c r="E24" s="667" t="s">
        <v>3133</v>
      </c>
      <c r="F24" s="399" t="s">
        <v>3378</v>
      </c>
      <c r="G24" s="858">
        <v>45239.916666666664</v>
      </c>
      <c r="H24" s="858">
        <v>45239.875</v>
      </c>
      <c r="I24" s="667" t="s">
        <v>243</v>
      </c>
      <c r="J24" s="475" t="s">
        <v>192</v>
      </c>
      <c r="K24" s="475" t="s">
        <v>192</v>
      </c>
      <c r="L24" s="667" t="s">
        <v>3493</v>
      </c>
      <c r="M24" s="530"/>
      <c r="N24" s="475" t="s">
        <v>355</v>
      </c>
      <c r="O24" s="475" t="s">
        <v>356</v>
      </c>
      <c r="P24" s="667" t="s">
        <v>240</v>
      </c>
      <c r="Q24" s="477">
        <f>3107*2.4</f>
        <v>7456.7999999999993</v>
      </c>
      <c r="R24" s="477">
        <f>7500+100</f>
        <v>7600</v>
      </c>
      <c r="S24" s="477">
        <v>7643.7650000000003</v>
      </c>
      <c r="T24" s="667"/>
      <c r="U24" s="581"/>
      <c r="V24" s="581"/>
      <c r="W24" s="581"/>
      <c r="X24" s="581"/>
      <c r="Y24" s="726">
        <f t="shared" si="15"/>
        <v>7643.7650000000003</v>
      </c>
      <c r="Z24" s="581"/>
      <c r="AA24" s="581"/>
      <c r="AB24" s="581"/>
      <c r="AC24" s="577"/>
      <c r="AD24" s="577"/>
      <c r="BD24" s="473">
        <f t="shared" si="1"/>
        <v>45231.059027777781</v>
      </c>
      <c r="BE24" s="473">
        <f t="shared" si="2"/>
        <v>45242.243055555555</v>
      </c>
      <c r="BF24" s="479">
        <f t="shared" si="3"/>
        <v>11.184027777773736</v>
      </c>
      <c r="BG24" s="473">
        <v>45231.059027777781</v>
      </c>
      <c r="BH24" s="473">
        <v>45233.753472222219</v>
      </c>
      <c r="BI24" s="473">
        <v>45235.0625</v>
      </c>
      <c r="BJ24" s="473">
        <v>45236.904861111114</v>
      </c>
      <c r="BK24" s="473">
        <v>45237.048611111109</v>
      </c>
      <c r="BL24" s="473">
        <v>45237.055555555555</v>
      </c>
      <c r="BM24" s="473">
        <v>45237.065972222219</v>
      </c>
      <c r="BN24" s="473">
        <f t="shared" si="14"/>
        <v>45238.774305555555</v>
      </c>
      <c r="BO24" s="480">
        <v>45238.541666608799</v>
      </c>
      <c r="BP24" s="480">
        <v>45238.708333333336</v>
      </c>
      <c r="BQ24" s="480">
        <v>45238.590277777781</v>
      </c>
      <c r="BR24" s="473">
        <v>45240.666666666664</v>
      </c>
      <c r="BS24" s="473">
        <v>45241.135416666664</v>
      </c>
      <c r="BT24" s="473">
        <v>45241.409722222219</v>
      </c>
      <c r="BU24" s="473">
        <v>45241.423611111109</v>
      </c>
      <c r="BV24" s="473">
        <v>45241.871527777781</v>
      </c>
      <c r="BW24" s="473">
        <v>45242.243055555555</v>
      </c>
      <c r="BZ24" s="481">
        <f t="shared" si="4"/>
        <v>31.416666666744277</v>
      </c>
      <c r="CA24" s="481">
        <f t="shared" si="5"/>
        <v>3.4499999998952262</v>
      </c>
      <c r="CB24" s="481">
        <f t="shared" si="6"/>
        <v>41.000000000058208</v>
      </c>
      <c r="CC24" s="481">
        <f t="shared" si="12"/>
        <v>46.999999999883585</v>
      </c>
      <c r="CD24" s="482">
        <f t="shared" si="7"/>
        <v>6.5833333333139308</v>
      </c>
      <c r="CE24" s="482">
        <f t="shared" si="8"/>
        <v>8.9166666665696539</v>
      </c>
      <c r="CF24" s="483">
        <f t="shared" si="9"/>
        <v>5.76527777776937</v>
      </c>
      <c r="CG24" s="483">
        <f t="shared" si="10"/>
        <v>11.184027777773736</v>
      </c>
      <c r="CH24" s="484">
        <f t="shared" si="11"/>
        <v>0.51549208320340845</v>
      </c>
    </row>
    <row r="25" spans="1:86" s="475" customFormat="1">
      <c r="A25" s="474">
        <f t="shared" si="13"/>
        <v>45237.077777777777</v>
      </c>
      <c r="B25" s="475" t="s">
        <v>228</v>
      </c>
      <c r="C25" s="475" t="s">
        <v>229</v>
      </c>
      <c r="D25" s="475" t="s">
        <v>215</v>
      </c>
      <c r="E25" s="667" t="s">
        <v>3133</v>
      </c>
      <c r="F25" s="399" t="s">
        <v>3378</v>
      </c>
      <c r="G25" s="858">
        <v>45239.916666666664</v>
      </c>
      <c r="H25" s="858">
        <v>45239.875</v>
      </c>
      <c r="I25" s="667" t="s">
        <v>243</v>
      </c>
      <c r="J25" s="475" t="s">
        <v>192</v>
      </c>
      <c r="K25" s="475" t="s">
        <v>192</v>
      </c>
      <c r="L25" s="667" t="s">
        <v>3494</v>
      </c>
      <c r="M25" s="530"/>
      <c r="N25" s="475" t="s">
        <v>399</v>
      </c>
      <c r="O25" s="475" t="s">
        <v>275</v>
      </c>
      <c r="P25" s="667" t="s">
        <v>240</v>
      </c>
      <c r="Q25" s="477">
        <f>3097*2.4</f>
        <v>7432.7999999999993</v>
      </c>
      <c r="R25" s="477">
        <f>7450+100</f>
        <v>7550</v>
      </c>
      <c r="S25" s="477">
        <v>7580.7650000000003</v>
      </c>
      <c r="T25" s="667"/>
      <c r="U25" s="581"/>
      <c r="V25" s="581"/>
      <c r="W25" s="581"/>
      <c r="X25" s="581"/>
      <c r="Y25" s="726">
        <f t="shared" si="15"/>
        <v>7580.7650000000003</v>
      </c>
      <c r="Z25" s="581"/>
      <c r="AA25" s="581"/>
      <c r="AB25" s="581"/>
      <c r="AC25" s="581"/>
      <c r="AD25" s="581"/>
      <c r="AE25" s="581"/>
      <c r="AF25" s="581"/>
      <c r="AG25" s="575"/>
      <c r="AH25" s="575"/>
      <c r="AI25" s="575"/>
      <c r="BD25" s="473">
        <f t="shared" si="1"/>
        <v>45229.395833333336</v>
      </c>
      <c r="BE25" s="473">
        <f t="shared" si="2"/>
        <v>45242.4375</v>
      </c>
      <c r="BF25" s="479">
        <f t="shared" si="3"/>
        <v>13.041666666664241</v>
      </c>
      <c r="BG25" s="473">
        <v>45229.395833333336</v>
      </c>
      <c r="BH25" s="473">
        <v>45233.770833333336</v>
      </c>
      <c r="BI25" s="473">
        <v>45235.25</v>
      </c>
      <c r="BJ25" s="473">
        <v>45237.077777777777</v>
      </c>
      <c r="BK25" s="473">
        <v>45237.227083333331</v>
      </c>
      <c r="BL25" s="473">
        <v>45237.232638888891</v>
      </c>
      <c r="BM25" s="473">
        <v>45237.239583333336</v>
      </c>
      <c r="BN25" s="473">
        <f t="shared" si="14"/>
        <v>45238.947916666672</v>
      </c>
      <c r="BO25" s="480">
        <v>45238.541666608799</v>
      </c>
      <c r="BP25" s="480">
        <v>45238.708333333336</v>
      </c>
      <c r="BQ25" s="480">
        <v>45238.704861111109</v>
      </c>
      <c r="BR25" s="473">
        <v>45240.177083333336</v>
      </c>
      <c r="BS25" s="473">
        <v>45240.586805555555</v>
      </c>
      <c r="BT25" s="473">
        <v>45241.982638888891</v>
      </c>
      <c r="BU25" s="473">
        <v>45242.024305555555</v>
      </c>
      <c r="BV25" s="473">
        <v>45242.027777777781</v>
      </c>
      <c r="BW25" s="473">
        <v>45242.4375</v>
      </c>
      <c r="BZ25" s="481">
        <f t="shared" si="4"/>
        <v>35.499999999941792</v>
      </c>
      <c r="CA25" s="481">
        <f t="shared" si="5"/>
        <v>3.5833333333139308</v>
      </c>
      <c r="CB25" s="481">
        <f t="shared" si="6"/>
        <v>41.000000000058208</v>
      </c>
      <c r="CC25" s="481">
        <f t="shared" si="12"/>
        <v>35.25</v>
      </c>
      <c r="CD25" s="482">
        <f t="shared" si="7"/>
        <v>33.500000000058208</v>
      </c>
      <c r="CE25" s="482">
        <f t="shared" si="8"/>
        <v>9.8333333332557231</v>
      </c>
      <c r="CF25" s="483">
        <f t="shared" si="9"/>
        <v>6.6111111111094942</v>
      </c>
      <c r="CG25" s="483">
        <f t="shared" si="10"/>
        <v>13.041666666664241</v>
      </c>
      <c r="CH25" s="484">
        <f t="shared" si="11"/>
        <v>0.50692225772095001</v>
      </c>
    </row>
    <row r="26" spans="1:86" s="475" customFormat="1">
      <c r="A26" s="474">
        <f t="shared" si="13"/>
        <v>45237.256944444445</v>
      </c>
      <c r="B26" s="475" t="s">
        <v>228</v>
      </c>
      <c r="C26" s="475" t="s">
        <v>229</v>
      </c>
      <c r="D26" s="475" t="s">
        <v>197</v>
      </c>
      <c r="E26" s="667" t="s">
        <v>3133</v>
      </c>
      <c r="F26" s="399" t="s">
        <v>3378</v>
      </c>
      <c r="G26" s="858">
        <v>45239.916666666664</v>
      </c>
      <c r="H26" s="858">
        <v>45239.875</v>
      </c>
      <c r="I26" s="667" t="s">
        <v>243</v>
      </c>
      <c r="J26" s="475" t="s">
        <v>192</v>
      </c>
      <c r="K26" s="475" t="s">
        <v>192</v>
      </c>
      <c r="L26" s="667" t="s">
        <v>3495</v>
      </c>
      <c r="M26" s="530"/>
      <c r="N26" s="475" t="s">
        <v>429</v>
      </c>
      <c r="O26" s="475" t="s">
        <v>430</v>
      </c>
      <c r="P26" s="667" t="s">
        <v>240</v>
      </c>
      <c r="Q26" s="477">
        <f>3145 *2.4</f>
        <v>7548</v>
      </c>
      <c r="R26" s="477">
        <f>7550+100</f>
        <v>7650</v>
      </c>
      <c r="S26" s="477">
        <v>7583.0739999999996</v>
      </c>
      <c r="T26" s="667"/>
      <c r="U26" s="581"/>
      <c r="V26" s="581"/>
      <c r="W26" s="581"/>
      <c r="X26" s="401"/>
      <c r="Y26" s="580">
        <f t="shared" si="15"/>
        <v>7583.0739999999996</v>
      </c>
      <c r="Z26" s="581"/>
      <c r="AA26" s="581"/>
      <c r="AB26" s="581"/>
      <c r="AC26" s="577"/>
      <c r="AD26" s="577"/>
      <c r="BD26" s="473">
        <f t="shared" si="1"/>
        <v>45229.934027777781</v>
      </c>
      <c r="BE26" s="473">
        <f t="shared" si="2"/>
        <v>45243.340277777781</v>
      </c>
      <c r="BF26" s="479">
        <f t="shared" si="3"/>
        <v>13.40625</v>
      </c>
      <c r="BG26" s="473">
        <v>45229.934027777781</v>
      </c>
      <c r="BH26" s="473">
        <v>45233.746527777781</v>
      </c>
      <c r="BI26" s="473">
        <v>45235.350694444445</v>
      </c>
      <c r="BJ26" s="473">
        <v>45237.256944444445</v>
      </c>
      <c r="BK26" s="473">
        <v>45237.482638888891</v>
      </c>
      <c r="BL26" s="473">
        <v>45237.489583333336</v>
      </c>
      <c r="BM26" s="473">
        <v>45237.489583333336</v>
      </c>
      <c r="BN26" s="473">
        <f t="shared" si="14"/>
        <v>45239.197916666672</v>
      </c>
      <c r="BO26" s="480">
        <v>45239.541666608799</v>
      </c>
      <c r="BP26" s="480">
        <v>45239.708333333336</v>
      </c>
      <c r="BQ26" s="480">
        <v>45239.590277777781</v>
      </c>
      <c r="BR26" s="473">
        <v>45241.958333333336</v>
      </c>
      <c r="BS26" s="473">
        <v>45242.225694444445</v>
      </c>
      <c r="BT26" s="473">
        <v>45242.517361111109</v>
      </c>
      <c r="BU26" s="473">
        <v>45242.552083333336</v>
      </c>
      <c r="BV26" s="473">
        <v>45242.840277777781</v>
      </c>
      <c r="BW26" s="473">
        <v>45243.340277777781</v>
      </c>
      <c r="BZ26" s="481">
        <f t="shared" si="4"/>
        <v>38.499999999941792</v>
      </c>
      <c r="CA26" s="481">
        <f t="shared" si="5"/>
        <v>5.4166666666860692</v>
      </c>
      <c r="CB26" s="481">
        <f t="shared" si="6"/>
        <v>41.000000000058208</v>
      </c>
      <c r="CC26" s="481">
        <f t="shared" si="12"/>
        <v>54</v>
      </c>
      <c r="CD26" s="482">
        <f t="shared" si="7"/>
        <v>6.9999999999417923</v>
      </c>
      <c r="CE26" s="482">
        <f t="shared" si="8"/>
        <v>12</v>
      </c>
      <c r="CF26" s="483">
        <f t="shared" si="9"/>
        <v>6.5798611111094942</v>
      </c>
      <c r="CG26" s="483">
        <f t="shared" si="10"/>
        <v>13.40625</v>
      </c>
      <c r="CH26" s="484">
        <f t="shared" si="11"/>
        <v>0.49080549080537023</v>
      </c>
    </row>
    <row r="27" spans="1:86" s="475" customFormat="1">
      <c r="A27" s="474">
        <f t="shared" si="13"/>
        <v>45237.517361111109</v>
      </c>
      <c r="B27" s="475" t="s">
        <v>228</v>
      </c>
      <c r="C27" s="475" t="s">
        <v>229</v>
      </c>
      <c r="D27" s="475" t="s">
        <v>197</v>
      </c>
      <c r="E27" s="476" t="s">
        <v>3135</v>
      </c>
      <c r="F27" s="399" t="s">
        <v>3378</v>
      </c>
      <c r="G27" s="858">
        <v>45239.145833333336</v>
      </c>
      <c r="H27" s="858">
        <v>45238.958333333336</v>
      </c>
      <c r="I27" s="667" t="s">
        <v>231</v>
      </c>
      <c r="J27" s="475" t="s">
        <v>192</v>
      </c>
      <c r="K27" s="475" t="s">
        <v>192</v>
      </c>
      <c r="L27" s="667" t="s">
        <v>3496</v>
      </c>
      <c r="M27" s="530"/>
      <c r="N27" s="475" t="s">
        <v>292</v>
      </c>
      <c r="O27" s="475" t="s">
        <v>293</v>
      </c>
      <c r="P27" s="667" t="s">
        <v>742</v>
      </c>
      <c r="Q27" s="477">
        <f>3142*2.4</f>
        <v>7540.7999999999993</v>
      </c>
      <c r="R27" s="477">
        <f>7550+100</f>
        <v>7650</v>
      </c>
      <c r="S27" s="477">
        <v>7555.0439999999999</v>
      </c>
      <c r="T27" s="667"/>
      <c r="U27" s="581"/>
      <c r="V27" s="581"/>
      <c r="W27" s="581"/>
      <c r="X27" s="726">
        <f>S27*0.75</f>
        <v>5666.2829999999994</v>
      </c>
      <c r="Y27" s="726">
        <f>S27*0.25</f>
        <v>1888.761</v>
      </c>
      <c r="Z27" s="581"/>
      <c r="AA27" s="581"/>
      <c r="AB27" s="581"/>
      <c r="AC27" s="577"/>
      <c r="AD27" s="577"/>
      <c r="BD27" s="473">
        <f t="shared" si="1"/>
        <v>45228.791666666664</v>
      </c>
      <c r="BE27" s="473">
        <f t="shared" si="2"/>
        <v>45242.770833333336</v>
      </c>
      <c r="BF27" s="479">
        <f t="shared" si="3"/>
        <v>13.979166666671517</v>
      </c>
      <c r="BG27" s="473">
        <v>45228.791666666664</v>
      </c>
      <c r="BH27" s="473">
        <v>45232.767361111109</v>
      </c>
      <c r="BI27" s="473">
        <v>45234.138888888891</v>
      </c>
      <c r="BJ27" s="473">
        <v>45237.517361111109</v>
      </c>
      <c r="BK27" s="473">
        <v>45237.659722222219</v>
      </c>
      <c r="BL27" s="473">
        <v>45237.666666666664</v>
      </c>
      <c r="BM27" s="473">
        <v>45237.666666666664</v>
      </c>
      <c r="BN27" s="473">
        <f t="shared" si="14"/>
        <v>45239.375</v>
      </c>
      <c r="BO27" s="480">
        <v>45239.541666608799</v>
      </c>
      <c r="BP27" s="480">
        <v>45239.708333333336</v>
      </c>
      <c r="BQ27" s="480">
        <v>45239.611111111109</v>
      </c>
      <c r="BR27" s="473">
        <v>45240.9375</v>
      </c>
      <c r="BS27" s="473">
        <v>45242.173611111109</v>
      </c>
      <c r="BT27" s="473">
        <v>45242.395833333336</v>
      </c>
      <c r="BU27" s="473">
        <v>45242.416666666664</v>
      </c>
      <c r="BV27" s="473">
        <v>45242.604166666664</v>
      </c>
      <c r="BW27" s="473">
        <v>45242.770833333336</v>
      </c>
      <c r="BZ27" s="481">
        <f t="shared" si="4"/>
        <v>32.916666666744277</v>
      </c>
      <c r="CA27" s="481">
        <f t="shared" si="5"/>
        <v>3.4166666666278616</v>
      </c>
      <c r="CB27" s="481">
        <f t="shared" si="6"/>
        <v>41.000000000058208</v>
      </c>
      <c r="CC27" s="481">
        <f t="shared" si="12"/>
        <v>29.499999999941792</v>
      </c>
      <c r="CD27" s="482">
        <f t="shared" si="7"/>
        <v>5.3333333334303461</v>
      </c>
      <c r="CE27" s="482">
        <f t="shared" si="8"/>
        <v>4.0000000001164153</v>
      </c>
      <c r="CF27" s="483">
        <f t="shared" si="9"/>
        <v>4.8402777777882875</v>
      </c>
      <c r="CG27" s="483">
        <f t="shared" si="10"/>
        <v>13.979166666671517</v>
      </c>
      <c r="CH27" s="484">
        <f t="shared" si="11"/>
        <v>0.34624937903689595</v>
      </c>
    </row>
    <row r="28" spans="1:86" s="475" customFormat="1">
      <c r="A28" s="474">
        <f t="shared" si="13"/>
        <v>45237.694444444445</v>
      </c>
      <c r="B28" s="475" t="s">
        <v>228</v>
      </c>
      <c r="C28" s="475" t="s">
        <v>229</v>
      </c>
      <c r="D28" s="475" t="s">
        <v>215</v>
      </c>
      <c r="E28" s="476" t="s">
        <v>3135</v>
      </c>
      <c r="F28" s="399" t="s">
        <v>3378</v>
      </c>
      <c r="G28" s="858">
        <v>45239.145833333336</v>
      </c>
      <c r="H28" s="858">
        <v>45238.958333333336</v>
      </c>
      <c r="I28" s="667" t="s">
        <v>231</v>
      </c>
      <c r="J28" s="475" t="s">
        <v>192</v>
      </c>
      <c r="K28" s="475" t="s">
        <v>192</v>
      </c>
      <c r="L28" s="667" t="s">
        <v>3497</v>
      </c>
      <c r="M28" s="530"/>
      <c r="N28" s="475" t="s">
        <v>403</v>
      </c>
      <c r="O28" s="475" t="s">
        <v>404</v>
      </c>
      <c r="P28" s="667" t="s">
        <v>742</v>
      </c>
      <c r="Q28" s="477">
        <f>3107*2.4</f>
        <v>7456.7999999999993</v>
      </c>
      <c r="R28" s="477">
        <f>7500+100</f>
        <v>7600</v>
      </c>
      <c r="S28" s="477">
        <v>7477.8639999999996</v>
      </c>
      <c r="T28" s="477"/>
      <c r="U28" s="581"/>
      <c r="V28" s="581"/>
      <c r="W28" s="581"/>
      <c r="X28" s="726">
        <f>S28*0.75</f>
        <v>5608.3979999999992</v>
      </c>
      <c r="Y28" s="726">
        <f>S28*0.25</f>
        <v>1869.4659999999999</v>
      </c>
      <c r="Z28" s="581"/>
      <c r="AA28" s="581"/>
      <c r="BD28" s="473">
        <f t="shared" si="1"/>
        <v>45229.720833333333</v>
      </c>
      <c r="BE28" s="473">
        <f t="shared" si="2"/>
        <v>45243.076388888891</v>
      </c>
      <c r="BF28" s="479">
        <f t="shared" si="3"/>
        <v>13.355555555557657</v>
      </c>
      <c r="BG28" s="473">
        <v>45229.720833333333</v>
      </c>
      <c r="BH28" s="473">
        <v>45233.739583333336</v>
      </c>
      <c r="BI28" s="473">
        <v>45235.354166666664</v>
      </c>
      <c r="BJ28" s="473">
        <v>45237.694444444445</v>
      </c>
      <c r="BK28" s="473">
        <v>45237.875</v>
      </c>
      <c r="BL28" s="473">
        <v>45237.881944444445</v>
      </c>
      <c r="BM28" s="473">
        <v>45238.298611111109</v>
      </c>
      <c r="BN28" s="473">
        <f t="shared" si="14"/>
        <v>45240.006944444445</v>
      </c>
      <c r="BO28" s="480">
        <v>45240.583333333336</v>
      </c>
      <c r="BP28" s="480">
        <v>45240.75</v>
      </c>
      <c r="BQ28" s="480">
        <v>45240.586805555555</v>
      </c>
      <c r="BR28" s="473">
        <v>45241.805555555555</v>
      </c>
      <c r="BS28" s="473">
        <v>45242.458333333336</v>
      </c>
      <c r="BT28" s="473">
        <v>45242.659722222219</v>
      </c>
      <c r="BU28" s="473">
        <v>45242.680555555555</v>
      </c>
      <c r="BV28" s="473">
        <v>45242.694444444445</v>
      </c>
      <c r="BW28" s="473">
        <v>45243.076388888891</v>
      </c>
      <c r="BZ28" s="481">
        <f t="shared" si="4"/>
        <v>38.749999999883585</v>
      </c>
      <c r="CA28" s="481">
        <f t="shared" si="5"/>
        <v>4.3333333333139308</v>
      </c>
      <c r="CB28" s="481">
        <f t="shared" si="6"/>
        <v>41.000000000058208</v>
      </c>
      <c r="CC28" s="481">
        <f t="shared" si="12"/>
        <v>25.333333333313931</v>
      </c>
      <c r="CD28" s="482">
        <f t="shared" si="7"/>
        <v>4.8333333331975155</v>
      </c>
      <c r="CE28" s="482">
        <f t="shared" si="8"/>
        <v>9.1666666666860692</v>
      </c>
      <c r="CF28" s="483">
        <f t="shared" si="9"/>
        <v>5.1423611111022183</v>
      </c>
      <c r="CG28" s="483">
        <f t="shared" si="10"/>
        <v>13.355555555557657</v>
      </c>
      <c r="CH28" s="484">
        <f t="shared" si="11"/>
        <v>0.38503535773637837</v>
      </c>
    </row>
    <row r="29" spans="1:86" s="475" customFormat="1">
      <c r="A29" s="474">
        <f t="shared" si="13"/>
        <v>45237.90347222222</v>
      </c>
      <c r="B29" s="475" t="s">
        <v>228</v>
      </c>
      <c r="C29" s="475" t="s">
        <v>229</v>
      </c>
      <c r="D29" s="475" t="s">
        <v>197</v>
      </c>
      <c r="E29" s="476" t="s">
        <v>3135</v>
      </c>
      <c r="F29" s="399" t="s">
        <v>3378</v>
      </c>
      <c r="G29" s="858">
        <v>45239.145833333336</v>
      </c>
      <c r="H29" s="858">
        <v>45238.958333333336</v>
      </c>
      <c r="I29" s="667" t="s">
        <v>231</v>
      </c>
      <c r="J29" s="475" t="s">
        <v>192</v>
      </c>
      <c r="K29" s="475" t="s">
        <v>192</v>
      </c>
      <c r="L29" s="667" t="s">
        <v>3498</v>
      </c>
      <c r="M29" s="530"/>
      <c r="N29" s="475" t="s">
        <v>361</v>
      </c>
      <c r="O29" s="475" t="s">
        <v>362</v>
      </c>
      <c r="P29" s="667" t="s">
        <v>742</v>
      </c>
      <c r="Q29" s="477">
        <f>3117*2.4</f>
        <v>7480.7999999999993</v>
      </c>
      <c r="R29" s="477">
        <f>7500+100</f>
        <v>7600</v>
      </c>
      <c r="S29" s="477">
        <v>7530.7309999999998</v>
      </c>
      <c r="T29" s="667"/>
      <c r="U29" s="581"/>
      <c r="V29" s="581"/>
      <c r="W29" s="581"/>
      <c r="X29" s="726">
        <f>S29*0.75</f>
        <v>5648.0482499999998</v>
      </c>
      <c r="Y29" s="726">
        <f>S29*0.25</f>
        <v>1882.6827499999999</v>
      </c>
      <c r="Z29" s="581"/>
      <c r="AA29" s="581"/>
      <c r="AB29" s="581"/>
      <c r="AC29" s="577"/>
      <c r="AD29" s="577"/>
      <c r="AE29" s="575"/>
      <c r="AF29" s="575"/>
      <c r="AG29" s="575"/>
      <c r="AH29" s="575"/>
      <c r="AI29" s="575"/>
      <c r="BD29" s="473">
        <f t="shared" si="1"/>
        <v>45229.041666666664</v>
      </c>
      <c r="BE29" s="473">
        <f t="shared" si="2"/>
        <v>45243.416666666664</v>
      </c>
      <c r="BF29" s="479">
        <f t="shared" si="3"/>
        <v>14.375</v>
      </c>
      <c r="BG29" s="473">
        <v>45229.041666666664</v>
      </c>
      <c r="BH29" s="473">
        <v>45233.604166666664</v>
      </c>
      <c r="BI29" s="473">
        <v>45235.364583333336</v>
      </c>
      <c r="BJ29" s="473">
        <v>45237.90347222222</v>
      </c>
      <c r="BK29" s="473">
        <v>45238.027777777781</v>
      </c>
      <c r="BL29" s="473">
        <v>45238.038194444445</v>
      </c>
      <c r="BM29" s="473">
        <v>45238.291666666664</v>
      </c>
      <c r="BN29" s="473">
        <f t="shared" si="14"/>
        <v>45240</v>
      </c>
      <c r="BO29" s="480">
        <v>45240.583333333336</v>
      </c>
      <c r="BP29" s="480">
        <v>45240.75</v>
      </c>
      <c r="BQ29" s="480">
        <v>45240.638888888891</v>
      </c>
      <c r="BR29" s="473">
        <v>45241.822916666664</v>
      </c>
      <c r="BS29" s="473">
        <v>45242.722222222219</v>
      </c>
      <c r="BT29" s="473">
        <v>45242.920138888891</v>
      </c>
      <c r="BU29" s="473">
        <v>45242.940972222219</v>
      </c>
      <c r="BV29" s="473">
        <v>45243.15625</v>
      </c>
      <c r="BW29" s="473">
        <v>45243.416666666664</v>
      </c>
      <c r="BZ29" s="481">
        <f t="shared" si="4"/>
        <v>42.250000000116415</v>
      </c>
      <c r="CA29" s="481">
        <f t="shared" si="5"/>
        <v>2.9833333334536292</v>
      </c>
      <c r="CB29" s="481">
        <f t="shared" si="6"/>
        <v>41.000000000058208</v>
      </c>
      <c r="CC29" s="481">
        <f t="shared" si="12"/>
        <v>25.749999999941792</v>
      </c>
      <c r="CD29" s="482">
        <f t="shared" si="7"/>
        <v>4.7500000001164153</v>
      </c>
      <c r="CE29" s="482">
        <f t="shared" si="8"/>
        <v>6.2499999999417923</v>
      </c>
      <c r="CF29" s="483">
        <f t="shared" si="9"/>
        <v>5.1243055555678438</v>
      </c>
      <c r="CG29" s="483">
        <f t="shared" si="10"/>
        <v>14.375</v>
      </c>
      <c r="CH29" s="484">
        <f t="shared" si="11"/>
        <v>0.35647342995254566</v>
      </c>
    </row>
    <row r="30" spans="1:86" s="475" customFormat="1">
      <c r="A30" s="474">
        <f t="shared" si="13"/>
        <v>45238.806944444441</v>
      </c>
      <c r="B30" s="475" t="s">
        <v>228</v>
      </c>
      <c r="C30" s="475" t="s">
        <v>229</v>
      </c>
      <c r="D30" s="475" t="s">
        <v>197</v>
      </c>
      <c r="E30" s="476" t="s">
        <v>3135</v>
      </c>
      <c r="F30" s="399" t="s">
        <v>3378</v>
      </c>
      <c r="G30" s="858">
        <v>45239.145833333336</v>
      </c>
      <c r="H30" s="858">
        <v>45238.958333333336</v>
      </c>
      <c r="I30" s="667" t="s">
        <v>231</v>
      </c>
      <c r="J30" s="475" t="s">
        <v>192</v>
      </c>
      <c r="K30" s="475" t="s">
        <v>192</v>
      </c>
      <c r="L30" s="667" t="s">
        <v>3499</v>
      </c>
      <c r="M30" s="530"/>
      <c r="N30" s="475" t="s">
        <v>307</v>
      </c>
      <c r="O30" s="475" t="s">
        <v>308</v>
      </c>
      <c r="P30" s="667" t="s">
        <v>742</v>
      </c>
      <c r="Q30" s="477">
        <f>3170*2.4</f>
        <v>7608</v>
      </c>
      <c r="R30" s="477">
        <f>7550+100</f>
        <v>7650</v>
      </c>
      <c r="S30" s="477">
        <v>7566.1149999999998</v>
      </c>
      <c r="T30" s="667"/>
      <c r="U30" s="581"/>
      <c r="V30" s="581"/>
      <c r="W30" s="581"/>
      <c r="X30" s="726">
        <f>S30*0.75</f>
        <v>5674.5862500000003</v>
      </c>
      <c r="Y30" s="726">
        <f>S30*0.25</f>
        <v>1891.5287499999999</v>
      </c>
      <c r="Z30" s="581"/>
      <c r="AA30" s="581"/>
      <c r="AB30" s="581"/>
      <c r="AC30" s="401"/>
      <c r="BD30" s="473">
        <f t="shared" si="1"/>
        <v>45229.9375</v>
      </c>
      <c r="BE30" s="473">
        <f t="shared" si="2"/>
        <v>45243.981944444444</v>
      </c>
      <c r="BF30" s="479">
        <f t="shared" si="3"/>
        <v>14.044444444443798</v>
      </c>
      <c r="BG30" s="473">
        <v>45229.9375</v>
      </c>
      <c r="BH30" s="473">
        <v>45233.77847222222</v>
      </c>
      <c r="BI30" s="473">
        <v>45235.708333333336</v>
      </c>
      <c r="BJ30" s="473">
        <v>45238.806944444441</v>
      </c>
      <c r="BK30" s="473">
        <v>45238.965277777781</v>
      </c>
      <c r="BL30" s="473">
        <v>45238.979166666664</v>
      </c>
      <c r="BM30" s="473">
        <v>45239.25</v>
      </c>
      <c r="BN30" s="473">
        <f t="shared" si="14"/>
        <v>45240.958333333336</v>
      </c>
      <c r="BO30" s="480">
        <v>45241.583333333336</v>
      </c>
      <c r="BP30" s="480">
        <v>45241.75</v>
      </c>
      <c r="BQ30" s="480">
        <v>45241.600694444445</v>
      </c>
      <c r="BR30" s="473">
        <v>45243.208333333336</v>
      </c>
      <c r="BS30" s="473">
        <v>45243.381944444445</v>
      </c>
      <c r="BT30" s="473">
        <v>45243.604166666664</v>
      </c>
      <c r="BU30" s="473">
        <v>45243.625</v>
      </c>
      <c r="BV30" s="473">
        <v>45243.625</v>
      </c>
      <c r="BW30" s="473">
        <v>45243.981944444444</v>
      </c>
      <c r="BZ30" s="481">
        <f t="shared" si="4"/>
        <v>46.31666666676756</v>
      </c>
      <c r="CA30" s="481">
        <f t="shared" si="5"/>
        <v>3.8000000001629815</v>
      </c>
      <c r="CB30" s="481">
        <f t="shared" si="6"/>
        <v>41.000000000058208</v>
      </c>
      <c r="CC30" s="481">
        <f t="shared" si="12"/>
        <v>35.000000000058208</v>
      </c>
      <c r="CD30" s="482">
        <f t="shared" si="7"/>
        <v>5.3333333332557231</v>
      </c>
      <c r="CE30" s="482">
        <f t="shared" si="8"/>
        <v>8.5666666666511446</v>
      </c>
      <c r="CF30" s="483">
        <f t="shared" si="9"/>
        <v>5.8340277777897427</v>
      </c>
      <c r="CG30" s="483">
        <f t="shared" si="10"/>
        <v>14.044444444443798</v>
      </c>
      <c r="CH30" s="484">
        <f t="shared" si="11"/>
        <v>0.41539754746922547</v>
      </c>
    </row>
    <row r="31" spans="1:86" s="475" customFormat="1">
      <c r="A31" s="474">
        <f t="shared" si="13"/>
        <v>45239.069444444445</v>
      </c>
      <c r="B31" s="475" t="s">
        <v>228</v>
      </c>
      <c r="C31" s="475" t="s">
        <v>229</v>
      </c>
      <c r="D31" s="475" t="s">
        <v>215</v>
      </c>
      <c r="E31" s="476" t="s">
        <v>3135</v>
      </c>
      <c r="F31" s="399" t="s">
        <v>3378</v>
      </c>
      <c r="G31" s="858">
        <v>45239.145833333336</v>
      </c>
      <c r="H31" s="858">
        <v>45238.958333333336</v>
      </c>
      <c r="I31" s="667" t="s">
        <v>231</v>
      </c>
      <c r="J31" s="475" t="s">
        <v>192</v>
      </c>
      <c r="K31" s="475" t="s">
        <v>192</v>
      </c>
      <c r="L31" s="667" t="s">
        <v>3500</v>
      </c>
      <c r="M31" s="530"/>
      <c r="N31" s="475" t="s">
        <v>343</v>
      </c>
      <c r="O31" s="475" t="s">
        <v>344</v>
      </c>
      <c r="P31" s="667" t="s">
        <v>742</v>
      </c>
      <c r="Q31" s="477">
        <f>3136*2.4</f>
        <v>7526.4</v>
      </c>
      <c r="R31" s="477">
        <f>7550+100</f>
        <v>7650</v>
      </c>
      <c r="S31" s="477">
        <v>7544.893</v>
      </c>
      <c r="T31" s="667"/>
      <c r="U31" s="581"/>
      <c r="V31" s="581"/>
      <c r="W31" s="581"/>
      <c r="X31" s="726">
        <f>S31*0.75</f>
        <v>5658.66975</v>
      </c>
      <c r="Y31" s="726">
        <f>S31*0.25</f>
        <v>1886.22325</v>
      </c>
      <c r="Z31" s="581"/>
      <c r="AA31" s="581"/>
      <c r="AB31" s="581"/>
      <c r="AC31" s="667"/>
      <c r="AD31" s="667"/>
      <c r="AE31" s="667"/>
      <c r="AF31" s="667"/>
      <c r="AG31" s="667"/>
      <c r="AH31" s="667"/>
      <c r="AI31" s="667"/>
      <c r="AJ31" s="667"/>
      <c r="AK31" s="667"/>
      <c r="AL31" s="667"/>
      <c r="AM31" s="667"/>
      <c r="AN31" s="667"/>
      <c r="AO31" s="667"/>
      <c r="AP31" s="667"/>
      <c r="AQ31" s="667"/>
      <c r="AR31" s="667"/>
      <c r="AS31" s="667"/>
      <c r="AT31" s="667"/>
      <c r="AU31" s="667"/>
      <c r="AV31" s="667"/>
      <c r="AW31" s="667"/>
      <c r="BD31" s="473">
        <f t="shared" si="1"/>
        <v>45223.9375</v>
      </c>
      <c r="BE31" s="473">
        <f t="shared" si="2"/>
        <v>45243.861111111109</v>
      </c>
      <c r="BF31" s="479">
        <f t="shared" si="3"/>
        <v>19.923611111109494</v>
      </c>
      <c r="BG31" s="473">
        <v>45223.9375</v>
      </c>
      <c r="BH31" s="473">
        <v>45234.597222222219</v>
      </c>
      <c r="BI31" s="473">
        <v>45236.055555555555</v>
      </c>
      <c r="BJ31" s="473">
        <v>45239.069444444445</v>
      </c>
      <c r="BK31" s="473">
        <v>45239.208333333336</v>
      </c>
      <c r="BL31" s="473">
        <v>45239.215277777781</v>
      </c>
      <c r="BM31" s="473">
        <v>45239.222222222219</v>
      </c>
      <c r="BN31" s="473">
        <f t="shared" si="14"/>
        <v>45240.930555555555</v>
      </c>
      <c r="BO31" s="480">
        <v>45240.583333333336</v>
      </c>
      <c r="BP31" s="480">
        <v>45240.75</v>
      </c>
      <c r="BQ31" s="480">
        <v>45240.628472222219</v>
      </c>
      <c r="BR31" s="473">
        <v>45241.875</v>
      </c>
      <c r="BS31" s="473">
        <v>45242.982638888891</v>
      </c>
      <c r="BT31" s="473">
        <v>45243.319444444445</v>
      </c>
      <c r="BU31" s="473">
        <v>45243.340277777781</v>
      </c>
      <c r="BV31" s="473">
        <v>45242.618055555555</v>
      </c>
      <c r="BW31" s="473">
        <v>45243.861111111109</v>
      </c>
      <c r="BZ31" s="481">
        <f t="shared" si="4"/>
        <v>35.000000000058208</v>
      </c>
      <c r="CA31" s="481">
        <f t="shared" si="5"/>
        <v>3.3333333333721384</v>
      </c>
      <c r="CB31" s="481">
        <f t="shared" si="6"/>
        <v>41.000000000058208</v>
      </c>
      <c r="CC31" s="481">
        <f t="shared" si="12"/>
        <v>27</v>
      </c>
      <c r="CD31" s="482">
        <f t="shared" si="7"/>
        <v>8.0833333333139308</v>
      </c>
      <c r="CE31" s="482">
        <f t="shared" si="8"/>
        <v>29.833333333313931</v>
      </c>
      <c r="CF31" s="483">
        <f t="shared" si="9"/>
        <v>6.0104166666715173</v>
      </c>
      <c r="CG31" s="483">
        <f t="shared" si="10"/>
        <v>19.923611111109494</v>
      </c>
      <c r="CH31" s="484">
        <f t="shared" si="11"/>
        <v>0.30167305681448892</v>
      </c>
    </row>
    <row r="32" spans="1:86" s="475" customFormat="1">
      <c r="A32" s="474">
        <f t="shared" si="13"/>
        <v>45239.240277777775</v>
      </c>
      <c r="B32" s="475" t="s">
        <v>228</v>
      </c>
      <c r="C32" s="475" t="s">
        <v>229</v>
      </c>
      <c r="D32" s="475" t="s">
        <v>215</v>
      </c>
      <c r="E32" s="476" t="s">
        <v>3135</v>
      </c>
      <c r="F32" s="399" t="s">
        <v>3378</v>
      </c>
      <c r="G32" s="858">
        <v>45239.145833333336</v>
      </c>
      <c r="H32" s="858">
        <v>45238.958333333336</v>
      </c>
      <c r="I32" s="667" t="s">
        <v>231</v>
      </c>
      <c r="J32" s="475" t="s">
        <v>192</v>
      </c>
      <c r="K32" s="475" t="s">
        <v>192</v>
      </c>
      <c r="L32" s="667" t="s">
        <v>3501</v>
      </c>
      <c r="M32" s="530"/>
      <c r="N32" s="475" t="s">
        <v>271</v>
      </c>
      <c r="O32" s="475" t="s">
        <v>272</v>
      </c>
      <c r="P32" s="667" t="s">
        <v>235</v>
      </c>
      <c r="Q32" s="477">
        <f>3852*2.4</f>
        <v>9244.7999999999993</v>
      </c>
      <c r="R32" s="477">
        <f>9250+100</f>
        <v>9350</v>
      </c>
      <c r="S32" s="477">
        <f>9012.475-1569.625</f>
        <v>7442.85</v>
      </c>
      <c r="T32" s="477"/>
      <c r="U32" s="581"/>
      <c r="V32" s="581"/>
      <c r="W32" s="581"/>
      <c r="X32" s="726">
        <f>S32</f>
        <v>7442.85</v>
      </c>
      <c r="Z32" s="581"/>
      <c r="AA32" s="581"/>
      <c r="AB32" s="581"/>
      <c r="AC32" s="581"/>
      <c r="AD32" s="401"/>
      <c r="AE32" s="401"/>
      <c r="BD32" s="473">
        <f t="shared" si="1"/>
        <v>45233.263888888891</v>
      </c>
      <c r="BE32" s="473">
        <f t="shared" si="2"/>
        <v>45243.979166666664</v>
      </c>
      <c r="BF32" s="479">
        <f t="shared" si="3"/>
        <v>10.715277777773736</v>
      </c>
      <c r="BG32" s="473">
        <v>45233.263888888891</v>
      </c>
      <c r="BH32" s="473">
        <v>45234.746527777781</v>
      </c>
      <c r="BI32" s="473">
        <v>45236.333333333336</v>
      </c>
      <c r="BJ32" s="473">
        <v>45239.240277777775</v>
      </c>
      <c r="BK32" s="473">
        <v>45239.458333333336</v>
      </c>
      <c r="BL32" s="473">
        <v>45239.465277777781</v>
      </c>
      <c r="BM32" s="473">
        <v>45239.465277777781</v>
      </c>
      <c r="BN32" s="473">
        <f t="shared" si="14"/>
        <v>45241.173611111117</v>
      </c>
      <c r="BO32" s="480">
        <v>45242.25</v>
      </c>
      <c r="BP32" s="480">
        <v>45242.416666608799</v>
      </c>
      <c r="BQ32" s="480">
        <v>45242.288194444445</v>
      </c>
      <c r="BR32" s="480">
        <v>45243.635416666664</v>
      </c>
      <c r="BS32" s="473">
        <v>45243.680555555555</v>
      </c>
      <c r="BT32" s="473">
        <v>45243.979166666664</v>
      </c>
      <c r="BU32" s="473">
        <v>45243.979166666664</v>
      </c>
      <c r="BV32" s="473">
        <v>45243.979166666664</v>
      </c>
      <c r="BW32" s="473">
        <v>45243.979166666664</v>
      </c>
      <c r="BZ32" s="481">
        <f t="shared" si="4"/>
        <v>38.083333333313931</v>
      </c>
      <c r="CA32" s="481">
        <f t="shared" si="5"/>
        <v>5.2333333334536292</v>
      </c>
      <c r="CB32" s="481">
        <f t="shared" si="6"/>
        <v>41.000000000058208</v>
      </c>
      <c r="CC32" s="481">
        <f t="shared" si="12"/>
        <v>29.250001388776582</v>
      </c>
      <c r="CD32" s="482">
        <f t="shared" si="7"/>
        <v>7.1666666666278616</v>
      </c>
      <c r="CE32" s="482">
        <f t="shared" si="8"/>
        <v>0</v>
      </c>
      <c r="CF32" s="483">
        <f t="shared" si="9"/>
        <v>5.0305556134262588</v>
      </c>
      <c r="CG32" s="483">
        <f t="shared" si="10"/>
        <v>10.715277777773736</v>
      </c>
      <c r="CH32" s="484">
        <f t="shared" si="11"/>
        <v>0.46947505400755318</v>
      </c>
    </row>
    <row r="33" spans="1:88" s="475" customFormat="1">
      <c r="A33" s="474">
        <f t="shared" si="13"/>
        <v>45239.240277777775</v>
      </c>
      <c r="B33" s="475" t="s">
        <v>228</v>
      </c>
      <c r="C33" s="475" t="s">
        <v>229</v>
      </c>
      <c r="D33" s="475" t="s">
        <v>215</v>
      </c>
      <c r="E33" s="476" t="s">
        <v>3139</v>
      </c>
      <c r="F33" s="399" t="s">
        <v>3378</v>
      </c>
      <c r="G33" s="473">
        <v>45243.375</v>
      </c>
      <c r="H33" s="473">
        <v>45243.321527777778</v>
      </c>
      <c r="I33" s="667" t="s">
        <v>231</v>
      </c>
      <c r="J33" s="475" t="s">
        <v>192</v>
      </c>
      <c r="K33" s="475" t="s">
        <v>192</v>
      </c>
      <c r="L33" s="667" t="s">
        <v>3501</v>
      </c>
      <c r="M33" s="530"/>
      <c r="N33" s="475" t="s">
        <v>271</v>
      </c>
      <c r="O33" s="475" t="s">
        <v>272</v>
      </c>
      <c r="P33" s="667" t="s">
        <v>235</v>
      </c>
      <c r="Q33" s="477">
        <f>3852*2.4</f>
        <v>9244.7999999999993</v>
      </c>
      <c r="R33" s="477">
        <f>9250+100</f>
        <v>9350</v>
      </c>
      <c r="S33" s="477">
        <v>1304.124</v>
      </c>
      <c r="T33" s="477"/>
      <c r="U33" s="581"/>
      <c r="V33" s="581"/>
      <c r="W33" s="581"/>
      <c r="X33" s="726">
        <f>S33</f>
        <v>1304.124</v>
      </c>
      <c r="Z33" s="581"/>
      <c r="AA33" s="581"/>
      <c r="AB33" s="581"/>
      <c r="AC33" s="581"/>
      <c r="AD33" s="401"/>
      <c r="AE33" s="401"/>
      <c r="BD33" s="473">
        <f t="shared" si="1"/>
        <v>45233.263888888891</v>
      </c>
      <c r="BE33" s="473">
        <f t="shared" si="2"/>
        <v>45244.479166666664</v>
      </c>
      <c r="BF33" s="479">
        <f t="shared" si="3"/>
        <v>11.215277777773736</v>
      </c>
      <c r="BG33" s="473">
        <v>45233.263888888891</v>
      </c>
      <c r="BH33" s="473">
        <v>45234.746527777781</v>
      </c>
      <c r="BI33" s="473">
        <v>45236.333333333336</v>
      </c>
      <c r="BJ33" s="473">
        <v>45239.240277777775</v>
      </c>
      <c r="BK33" s="473">
        <v>45239.458333333336</v>
      </c>
      <c r="BL33" s="473">
        <v>45239.465277777781</v>
      </c>
      <c r="BM33" s="473">
        <v>45239.465277777781</v>
      </c>
      <c r="BN33" s="473">
        <f t="shared" si="14"/>
        <v>45241.173611111117</v>
      </c>
      <c r="BO33" s="473">
        <v>45242.25</v>
      </c>
      <c r="BP33" s="473">
        <v>45242.416666608799</v>
      </c>
      <c r="BQ33" s="473">
        <v>45242.288194444445</v>
      </c>
      <c r="BR33" s="473">
        <v>45243.979166666664</v>
      </c>
      <c r="BS33" s="473">
        <v>45244.104166666664</v>
      </c>
      <c r="BT33" s="473">
        <v>45244.152777777781</v>
      </c>
      <c r="BU33" s="473">
        <v>45244.173611111109</v>
      </c>
      <c r="BV33" s="473">
        <v>45244.225694444445</v>
      </c>
      <c r="BW33" s="473">
        <v>45244.479166666664</v>
      </c>
      <c r="BZ33" s="481">
        <f t="shared" si="4"/>
        <v>38.083333333313931</v>
      </c>
      <c r="CA33" s="481">
        <f t="shared" si="5"/>
        <v>5.2333333334536292</v>
      </c>
      <c r="CB33" s="481">
        <f t="shared" si="6"/>
        <v>41.000000000058208</v>
      </c>
      <c r="CC33" s="481">
        <f t="shared" si="12"/>
        <v>37.500001388776582</v>
      </c>
      <c r="CD33" s="482">
        <f t="shared" si="7"/>
        <v>1.1666666668024845</v>
      </c>
      <c r="CE33" s="482">
        <f t="shared" si="8"/>
        <v>6.0833333332557231</v>
      </c>
      <c r="CF33" s="483">
        <f t="shared" si="9"/>
        <v>5.3777778356525232</v>
      </c>
      <c r="CG33" s="483">
        <f t="shared" si="10"/>
        <v>11.215277777773736</v>
      </c>
      <c r="CH33" s="484">
        <f t="shared" si="11"/>
        <v>0.47950464912336993</v>
      </c>
    </row>
    <row r="34" spans="1:88" s="475" customFormat="1">
      <c r="A34" s="474">
        <f t="shared" si="13"/>
        <v>45239.482638888891</v>
      </c>
      <c r="B34" s="475" t="s">
        <v>228</v>
      </c>
      <c r="C34" s="475" t="s">
        <v>229</v>
      </c>
      <c r="D34" s="475" t="s">
        <v>197</v>
      </c>
      <c r="E34" s="667" t="s">
        <v>3139</v>
      </c>
      <c r="F34" s="399" t="s">
        <v>3378</v>
      </c>
      <c r="G34" s="473">
        <v>45243.375</v>
      </c>
      <c r="H34" s="473">
        <v>45243.321527777778</v>
      </c>
      <c r="I34" s="667" t="s">
        <v>231</v>
      </c>
      <c r="J34" s="475" t="s">
        <v>192</v>
      </c>
      <c r="K34" s="475" t="s">
        <v>192</v>
      </c>
      <c r="L34" s="667" t="s">
        <v>3502</v>
      </c>
      <c r="M34" s="530"/>
      <c r="N34" s="475" t="s">
        <v>406</v>
      </c>
      <c r="O34" s="475" t="s">
        <v>407</v>
      </c>
      <c r="P34" s="667" t="s">
        <v>235</v>
      </c>
      <c r="Q34" s="477">
        <f>3107*2.4</f>
        <v>7456.7999999999993</v>
      </c>
      <c r="R34" s="477">
        <f>7500+100</f>
        <v>7600</v>
      </c>
      <c r="S34" s="477">
        <v>7442.4279999999999</v>
      </c>
      <c r="T34" s="399"/>
      <c r="U34" s="581"/>
      <c r="V34" s="581"/>
      <c r="W34" s="581"/>
      <c r="X34" s="726">
        <f>S34</f>
        <v>7442.4279999999999</v>
      </c>
      <c r="AA34" s="581"/>
      <c r="AB34" s="581"/>
      <c r="BD34" s="473">
        <f t="shared" si="1"/>
        <v>45229.447916666664</v>
      </c>
      <c r="BE34" s="473">
        <f t="shared" si="2"/>
        <v>45245.510416666664</v>
      </c>
      <c r="BF34" s="479">
        <f t="shared" si="3"/>
        <v>16.0625</v>
      </c>
      <c r="BG34" s="473">
        <v>45229.447916666664</v>
      </c>
      <c r="BH34" s="473">
        <v>45233.802083333336</v>
      </c>
      <c r="BI34" s="473">
        <v>45236.388888888891</v>
      </c>
      <c r="BJ34" s="473">
        <v>45239.482638888891</v>
      </c>
      <c r="BK34" s="473">
        <v>45239.621527777781</v>
      </c>
      <c r="BL34" s="473">
        <v>45239.628472222219</v>
      </c>
      <c r="BM34" s="473">
        <v>45239.638888888891</v>
      </c>
      <c r="BN34" s="473">
        <f t="shared" si="14"/>
        <v>45241.347222222226</v>
      </c>
      <c r="BO34" s="480">
        <v>45242.25</v>
      </c>
      <c r="BP34" s="480">
        <v>45242.416666608799</v>
      </c>
      <c r="BQ34" s="480">
        <v>45242.357638888891</v>
      </c>
      <c r="BR34" s="473">
        <v>45243.645833333336</v>
      </c>
      <c r="BS34" s="473">
        <v>45244.645833333336</v>
      </c>
      <c r="BT34" s="473">
        <v>45244.895833333336</v>
      </c>
      <c r="BU34" s="473">
        <v>45244.916666666664</v>
      </c>
      <c r="BV34" s="473">
        <v>45245.229166666664</v>
      </c>
      <c r="BW34" s="473">
        <v>45245.510416666664</v>
      </c>
      <c r="BZ34" s="481">
        <f t="shared" si="4"/>
        <v>62.083333333313931</v>
      </c>
      <c r="CA34" s="481">
        <f t="shared" si="5"/>
        <v>3.3333333333721384</v>
      </c>
      <c r="CB34" s="481">
        <f t="shared" si="6"/>
        <v>41.000000000058208</v>
      </c>
      <c r="CC34" s="481">
        <f t="shared" si="12"/>
        <v>29.500001388892997</v>
      </c>
      <c r="CD34" s="482">
        <f t="shared" si="7"/>
        <v>6</v>
      </c>
      <c r="CE34" s="482">
        <f t="shared" si="8"/>
        <v>6.75</v>
      </c>
      <c r="CF34" s="483">
        <f t="shared" si="9"/>
        <v>6.1944445023182197</v>
      </c>
      <c r="CG34" s="483">
        <f t="shared" si="10"/>
        <v>16.0625</v>
      </c>
      <c r="CH34" s="484">
        <f t="shared" si="11"/>
        <v>0.38564635033887751</v>
      </c>
    </row>
    <row r="35" spans="1:88" s="475" customFormat="1">
      <c r="A35" s="474">
        <f t="shared" si="13"/>
        <v>45239.986111111109</v>
      </c>
      <c r="B35" s="475" t="s">
        <v>228</v>
      </c>
      <c r="C35" s="475" t="s">
        <v>229</v>
      </c>
      <c r="D35" s="475" t="s">
        <v>197</v>
      </c>
      <c r="E35" s="667" t="s">
        <v>3139</v>
      </c>
      <c r="F35" s="399" t="s">
        <v>3378</v>
      </c>
      <c r="G35" s="473">
        <v>45243.375</v>
      </c>
      <c r="H35" s="473">
        <v>45243.321527777778</v>
      </c>
      <c r="I35" s="667" t="s">
        <v>231</v>
      </c>
      <c r="J35" s="475" t="s">
        <v>192</v>
      </c>
      <c r="K35" s="475" t="s">
        <v>192</v>
      </c>
      <c r="L35" s="667" t="s">
        <v>3503</v>
      </c>
      <c r="M35" s="530"/>
      <c r="N35" s="475" t="s">
        <v>2859</v>
      </c>
      <c r="O35" s="475" t="s">
        <v>324</v>
      </c>
      <c r="P35" s="667" t="s">
        <v>418</v>
      </c>
      <c r="Q35" s="477">
        <f>3095*2.4</f>
        <v>7428</v>
      </c>
      <c r="R35" s="477">
        <f>7450+100</f>
        <v>7550</v>
      </c>
      <c r="S35" s="477">
        <f>7410.543-994.886</f>
        <v>6415.6569999999992</v>
      </c>
      <c r="T35" s="667"/>
      <c r="U35" s="581"/>
      <c r="V35" s="581"/>
      <c r="W35" s="581"/>
      <c r="X35" s="726">
        <f t="shared" ref="X35:X42" si="16">S35*0.7</f>
        <v>4490.9598999999989</v>
      </c>
      <c r="Y35" s="726">
        <f t="shared" ref="Y35:Y42" si="17">S35*0.3</f>
        <v>1924.6970999999996</v>
      </c>
      <c r="Z35" s="581"/>
      <c r="AA35" s="581"/>
      <c r="AB35" s="581"/>
      <c r="AC35" s="581"/>
      <c r="AD35" s="581"/>
      <c r="AE35" s="581"/>
      <c r="AF35" s="581"/>
      <c r="BD35" s="473">
        <f t="shared" si="1"/>
        <v>45233.28125</v>
      </c>
      <c r="BE35" s="473">
        <f t="shared" si="2"/>
        <v>45248.020833333336</v>
      </c>
      <c r="BF35" s="479">
        <f t="shared" si="3"/>
        <v>14.739583333335759</v>
      </c>
      <c r="BG35" s="473">
        <v>45233.28125</v>
      </c>
      <c r="BH35" s="473">
        <v>45234.795138888891</v>
      </c>
      <c r="BI35" s="473">
        <v>45236.746527777781</v>
      </c>
      <c r="BJ35" s="473">
        <v>45239.986111111109</v>
      </c>
      <c r="BK35" s="473">
        <v>45240.125</v>
      </c>
      <c r="BL35" s="473">
        <v>45240.135416666664</v>
      </c>
      <c r="BM35" s="473">
        <v>45241.541666666664</v>
      </c>
      <c r="BN35" s="473">
        <f t="shared" si="14"/>
        <v>45243.25</v>
      </c>
      <c r="BO35" s="480">
        <v>45243.25</v>
      </c>
      <c r="BP35" s="480">
        <v>45243.416666608799</v>
      </c>
      <c r="BQ35" s="480">
        <v>45243.381944444445</v>
      </c>
      <c r="BR35" s="473">
        <v>45245.180555555555</v>
      </c>
      <c r="BS35" s="473">
        <v>45247.055555555555</v>
      </c>
      <c r="BT35" s="473">
        <v>45247.4375</v>
      </c>
      <c r="BU35" s="473">
        <v>45247.527777777781</v>
      </c>
      <c r="BV35" s="473">
        <v>45247.645833333336</v>
      </c>
      <c r="BW35" s="473">
        <v>45248.020833333336</v>
      </c>
      <c r="BX35" s="475" t="s">
        <v>2620</v>
      </c>
      <c r="BZ35" s="481">
        <f t="shared" si="4"/>
        <v>46.833333333372138</v>
      </c>
      <c r="CA35" s="481">
        <f t="shared" si="5"/>
        <v>3.3333333333721384</v>
      </c>
      <c r="CB35" s="481">
        <f t="shared" si="6"/>
        <v>41.000000000058208</v>
      </c>
      <c r="CC35" s="481">
        <f t="shared" si="12"/>
        <v>42.33333472214872</v>
      </c>
      <c r="CD35" s="482">
        <f t="shared" si="7"/>
        <v>9.1666666666860692</v>
      </c>
      <c r="CE35" s="482">
        <f t="shared" si="8"/>
        <v>9</v>
      </c>
      <c r="CF35" s="483">
        <f t="shared" si="9"/>
        <v>6.3194445023182197</v>
      </c>
      <c r="CG35" s="483">
        <f t="shared" si="10"/>
        <v>14.739583333335759</v>
      </c>
      <c r="CH35" s="484">
        <f t="shared" si="11"/>
        <v>0.42873969768370973</v>
      </c>
    </row>
    <row r="36" spans="1:88" s="475" customFormat="1">
      <c r="A36" s="474">
        <f t="shared" si="13"/>
        <v>45240.400694444441</v>
      </c>
      <c r="B36" s="475" t="s">
        <v>228</v>
      </c>
      <c r="C36" s="475" t="s">
        <v>229</v>
      </c>
      <c r="D36" s="475" t="s">
        <v>197</v>
      </c>
      <c r="E36" s="667" t="s">
        <v>3139</v>
      </c>
      <c r="F36" s="399" t="s">
        <v>3378</v>
      </c>
      <c r="G36" s="473">
        <v>45243.375</v>
      </c>
      <c r="H36" s="473">
        <v>45243.321527777778</v>
      </c>
      <c r="I36" s="667" t="s">
        <v>231</v>
      </c>
      <c r="J36" s="475" t="s">
        <v>192</v>
      </c>
      <c r="K36" s="475" t="s">
        <v>192</v>
      </c>
      <c r="L36" s="667" t="s">
        <v>3504</v>
      </c>
      <c r="M36" s="530"/>
      <c r="N36" s="475" t="s">
        <v>284</v>
      </c>
      <c r="O36" s="475" t="s">
        <v>285</v>
      </c>
      <c r="P36" s="667" t="s">
        <v>418</v>
      </c>
      <c r="Q36" s="477">
        <f>3852*2.4</f>
        <v>9244.7999999999993</v>
      </c>
      <c r="R36" s="477">
        <f>9250+100</f>
        <v>9350</v>
      </c>
      <c r="S36" s="477">
        <v>9081.741</v>
      </c>
      <c r="T36" s="477"/>
      <c r="V36" s="581"/>
      <c r="W36" s="581"/>
      <c r="X36" s="726">
        <f t="shared" si="16"/>
        <v>6357.2186999999994</v>
      </c>
      <c r="Y36" s="726">
        <f t="shared" si="17"/>
        <v>2724.5223000000001</v>
      </c>
      <c r="Z36" s="581"/>
      <c r="AA36" s="581"/>
      <c r="AB36" s="581"/>
      <c r="AC36" s="724"/>
      <c r="AD36" s="724"/>
      <c r="AE36" s="724"/>
      <c r="AF36" s="724"/>
      <c r="AG36" s="724"/>
      <c r="AH36" s="724"/>
      <c r="BD36" s="473">
        <f t="shared" ref="BD36:BD67" si="18">BG36</f>
        <v>45232.895833333336</v>
      </c>
      <c r="BE36" s="473">
        <f t="shared" ref="BE36:BE67" si="19">BW36</f>
        <v>45245.625</v>
      </c>
      <c r="BF36" s="479">
        <f t="shared" ref="BF36:BF67" si="20">BE36-BD36</f>
        <v>12.729166666664241</v>
      </c>
      <c r="BG36" s="473">
        <v>45232.895833333336</v>
      </c>
      <c r="BH36" s="473">
        <v>45234.53125</v>
      </c>
      <c r="BI36" s="473">
        <v>45236.875</v>
      </c>
      <c r="BJ36" s="473">
        <v>45240.400694444441</v>
      </c>
      <c r="BK36" s="473">
        <v>45240.59375</v>
      </c>
      <c r="BL36" s="473">
        <v>45240.600694444445</v>
      </c>
      <c r="BM36" s="473">
        <v>45240.600694444445</v>
      </c>
      <c r="BN36" s="473">
        <f t="shared" si="14"/>
        <v>45242.309027777781</v>
      </c>
      <c r="BO36" s="473">
        <v>45242.25</v>
      </c>
      <c r="BP36" s="473">
        <v>45242.416666666664</v>
      </c>
      <c r="BQ36" s="480">
        <v>45242.336805555555</v>
      </c>
      <c r="BR36" s="473">
        <v>45243.680555555555</v>
      </c>
      <c r="BS36" s="473">
        <v>45244.958333333336</v>
      </c>
      <c r="BT36" s="473">
        <v>45245.208333333336</v>
      </c>
      <c r="BU36" s="473">
        <v>45245.229166666672</v>
      </c>
      <c r="BV36" s="473">
        <v>45245.236111111109</v>
      </c>
      <c r="BW36" s="473">
        <v>45245.625</v>
      </c>
      <c r="BZ36" s="481">
        <f t="shared" ref="BZ36:BZ67" si="21">(BI36-BH36)*24</f>
        <v>56.25</v>
      </c>
      <c r="CA36" s="481">
        <f t="shared" ref="CA36:CA67" si="22">(BK36-BJ36)*24</f>
        <v>4.6333333334187046</v>
      </c>
      <c r="CB36" s="481">
        <f t="shared" ref="CB36:CB67" si="23">(BN36-BM36)*24</f>
        <v>41.000000000058208</v>
      </c>
      <c r="CC36" s="481">
        <f t="shared" si="12"/>
        <v>30.333333333372138</v>
      </c>
      <c r="CD36" s="482">
        <f t="shared" ref="CD36:CD67" si="24">(BT36-BS36)*24</f>
        <v>6</v>
      </c>
      <c r="CE36" s="482">
        <f t="shared" ref="CE36:CE67" si="25">(BW36-BV36)*24</f>
        <v>9.3333333333721384</v>
      </c>
      <c r="CF36" s="483">
        <f t="shared" ref="CF36:CF67" si="26">SUM(BZ36:CE36)/24</f>
        <v>6.1479166666758829</v>
      </c>
      <c r="CG36" s="483">
        <f t="shared" ref="CG36:CG67" si="27">BF36</f>
        <v>12.729166666664241</v>
      </c>
      <c r="CH36" s="484">
        <f t="shared" ref="CH36:CH67" si="28">CF36/CG36</f>
        <v>0.48297872340507136</v>
      </c>
    </row>
    <row r="37" spans="1:88" s="475" customFormat="1">
      <c r="A37" s="474">
        <f t="shared" si="13"/>
        <v>45240.635416666664</v>
      </c>
      <c r="B37" s="475" t="s">
        <v>228</v>
      </c>
      <c r="C37" s="475" t="s">
        <v>229</v>
      </c>
      <c r="D37" s="475" t="s">
        <v>197</v>
      </c>
      <c r="E37" s="667" t="s">
        <v>3139</v>
      </c>
      <c r="F37" s="399" t="s">
        <v>3378</v>
      </c>
      <c r="G37" s="473">
        <v>45243.375</v>
      </c>
      <c r="H37" s="473">
        <v>45243.321527777778</v>
      </c>
      <c r="I37" s="667" t="s">
        <v>231</v>
      </c>
      <c r="J37" s="475" t="s">
        <v>192</v>
      </c>
      <c r="K37" s="475" t="s">
        <v>192</v>
      </c>
      <c r="L37" s="667" t="s">
        <v>3505</v>
      </c>
      <c r="M37" s="530"/>
      <c r="N37" s="475" t="s">
        <v>238</v>
      </c>
      <c r="O37" s="475" t="s">
        <v>239</v>
      </c>
      <c r="P37" s="667" t="s">
        <v>418</v>
      </c>
      <c r="Q37" s="477">
        <f>3161*2.4</f>
        <v>7586.4</v>
      </c>
      <c r="R37" s="477">
        <f>7550+100</f>
        <v>7650</v>
      </c>
      <c r="S37" s="477">
        <v>7541.4679999999998</v>
      </c>
      <c r="T37" s="667"/>
      <c r="V37" s="581"/>
      <c r="W37" s="581"/>
      <c r="X37" s="726">
        <f t="shared" si="16"/>
        <v>5279.0275999999994</v>
      </c>
      <c r="Y37" s="726">
        <f t="shared" si="17"/>
        <v>2262.4404</v>
      </c>
      <c r="Z37" s="873"/>
      <c r="AA37" s="581"/>
      <c r="AB37" s="581"/>
      <c r="AC37" s="581"/>
      <c r="AD37" s="581"/>
      <c r="AE37" s="581"/>
      <c r="AF37" s="581"/>
      <c r="AG37" s="401"/>
      <c r="AH37" s="401"/>
      <c r="AI37" s="401"/>
      <c r="AJ37" s="401"/>
      <c r="AK37" s="401"/>
      <c r="AL37" s="401"/>
      <c r="AM37" s="401"/>
      <c r="AN37" s="401"/>
      <c r="AO37" s="401"/>
      <c r="AP37" s="401"/>
      <c r="AQ37" s="401"/>
      <c r="AR37" s="401"/>
      <c r="AS37" s="401"/>
      <c r="AT37" s="401"/>
      <c r="AU37" s="401"/>
      <c r="BD37" s="473">
        <f t="shared" si="18"/>
        <v>45232.4375</v>
      </c>
      <c r="BE37" s="473">
        <f t="shared" si="19"/>
        <v>45247.395833333336</v>
      </c>
      <c r="BF37" s="479">
        <f t="shared" si="20"/>
        <v>14.958333333335759</v>
      </c>
      <c r="BG37" s="473">
        <v>45232.4375</v>
      </c>
      <c r="BH37" s="473">
        <v>45235.482638888891</v>
      </c>
      <c r="BI37" s="473">
        <v>45237.041666666664</v>
      </c>
      <c r="BJ37" s="473">
        <v>45240.635416666664</v>
      </c>
      <c r="BK37" s="473">
        <v>45240.805555555555</v>
      </c>
      <c r="BL37" s="473">
        <v>45240.809027777781</v>
      </c>
      <c r="BM37" s="473">
        <v>45241.756944444445</v>
      </c>
      <c r="BN37" s="473">
        <f t="shared" si="14"/>
        <v>45243.465277777781</v>
      </c>
      <c r="BO37" s="480">
        <v>45243.25</v>
      </c>
      <c r="BP37" s="480">
        <v>45243.416666608799</v>
      </c>
      <c r="BQ37" s="480">
        <v>45243.364583333336</v>
      </c>
      <c r="BR37" s="473">
        <v>45244.875</v>
      </c>
      <c r="BS37" s="473">
        <v>45246.71875</v>
      </c>
      <c r="BT37" s="473">
        <v>45246.993055555555</v>
      </c>
      <c r="BU37" s="473">
        <v>45247.013888888891</v>
      </c>
      <c r="BV37" s="473">
        <v>45247.208333333336</v>
      </c>
      <c r="BW37" s="473">
        <v>45247.395833333336</v>
      </c>
      <c r="BZ37" s="481">
        <f t="shared" si="21"/>
        <v>37.416666666569654</v>
      </c>
      <c r="CA37" s="481">
        <f t="shared" si="22"/>
        <v>4.0833333333721384</v>
      </c>
      <c r="CB37" s="481">
        <f t="shared" si="23"/>
        <v>41.000000000058208</v>
      </c>
      <c r="CC37" s="481">
        <f t="shared" si="12"/>
        <v>35.000001388834789</v>
      </c>
      <c r="CD37" s="482">
        <f t="shared" si="24"/>
        <v>6.5833333333139308</v>
      </c>
      <c r="CE37" s="482">
        <f t="shared" si="25"/>
        <v>4.5</v>
      </c>
      <c r="CF37" s="483">
        <f t="shared" si="26"/>
        <v>5.3576389467561967</v>
      </c>
      <c r="CG37" s="483">
        <f t="shared" si="27"/>
        <v>14.958333333335759</v>
      </c>
      <c r="CH37" s="484">
        <f t="shared" si="28"/>
        <v>0.35817084880815564</v>
      </c>
    </row>
    <row r="38" spans="1:88" s="475" customFormat="1">
      <c r="A38" s="474">
        <f t="shared" si="13"/>
        <v>45240.829861111109</v>
      </c>
      <c r="B38" s="475" t="s">
        <v>228</v>
      </c>
      <c r="C38" s="475" t="s">
        <v>229</v>
      </c>
      <c r="D38" s="475" t="s">
        <v>197</v>
      </c>
      <c r="E38" s="667" t="s">
        <v>3139</v>
      </c>
      <c r="F38" s="399" t="s">
        <v>3378</v>
      </c>
      <c r="G38" s="473">
        <v>45243.375</v>
      </c>
      <c r="H38" s="473">
        <v>45243.321527777778</v>
      </c>
      <c r="I38" s="667" t="s">
        <v>231</v>
      </c>
      <c r="J38" s="475" t="s">
        <v>192</v>
      </c>
      <c r="K38" s="475" t="s">
        <v>192</v>
      </c>
      <c r="L38" s="667" t="s">
        <v>3506</v>
      </c>
      <c r="M38" s="530"/>
      <c r="N38" s="475" t="s">
        <v>295</v>
      </c>
      <c r="O38" s="475" t="s">
        <v>296</v>
      </c>
      <c r="P38" s="475" t="s">
        <v>418</v>
      </c>
      <c r="Q38" s="477">
        <f>4118*2.4</f>
        <v>9883.1999999999989</v>
      </c>
      <c r="R38" s="477">
        <f>9900+100</f>
        <v>10000</v>
      </c>
      <c r="S38" s="477">
        <v>9694.85</v>
      </c>
      <c r="T38" s="667"/>
      <c r="U38" s="581"/>
      <c r="V38" s="581"/>
      <c r="W38" s="581"/>
      <c r="X38" s="726">
        <f t="shared" si="16"/>
        <v>6786.3949999999995</v>
      </c>
      <c r="Y38" s="726">
        <f t="shared" si="17"/>
        <v>2908.4549999999999</v>
      </c>
      <c r="Z38" s="581"/>
      <c r="AA38" s="581"/>
      <c r="AB38" s="581"/>
      <c r="BD38" s="473">
        <f t="shared" si="18"/>
        <v>45233.910416666666</v>
      </c>
      <c r="BE38" s="473">
        <f t="shared" si="19"/>
        <v>45246.781944444447</v>
      </c>
      <c r="BF38" s="479">
        <f t="shared" si="20"/>
        <v>12.871527777781012</v>
      </c>
      <c r="BG38" s="473">
        <v>45233.910416666666</v>
      </c>
      <c r="BH38" s="473">
        <v>45235.784722222219</v>
      </c>
      <c r="BI38" s="473">
        <v>45237.729166666664</v>
      </c>
      <c r="BJ38" s="473">
        <v>45240.829861111109</v>
      </c>
      <c r="BK38" s="473">
        <v>45241</v>
      </c>
      <c r="BL38" s="473">
        <v>45241.006944444445</v>
      </c>
      <c r="BM38" s="473">
        <v>45241.010416666664</v>
      </c>
      <c r="BN38" s="473">
        <f t="shared" si="14"/>
        <v>45242.71875</v>
      </c>
      <c r="BO38" s="480">
        <v>45243.25</v>
      </c>
      <c r="BP38" s="480">
        <v>45243.416666608799</v>
      </c>
      <c r="BQ38" s="480">
        <v>45243.295138888891</v>
      </c>
      <c r="BR38" s="473">
        <v>45244.506944444445</v>
      </c>
      <c r="BS38" s="473">
        <v>45246.069444444445</v>
      </c>
      <c r="BT38" s="473">
        <v>45246.381944444445</v>
      </c>
      <c r="BU38" s="473">
        <v>45246.402777777781</v>
      </c>
      <c r="BV38" s="473">
        <v>45246.597222222219</v>
      </c>
      <c r="BW38" s="473">
        <v>45246.781944444447</v>
      </c>
      <c r="BZ38" s="481">
        <f t="shared" si="21"/>
        <v>46.666666666686069</v>
      </c>
      <c r="CA38" s="481">
        <f t="shared" si="22"/>
        <v>4.0833333333721384</v>
      </c>
      <c r="CB38" s="481">
        <f t="shared" si="23"/>
        <v>41.000000000058208</v>
      </c>
      <c r="CC38" s="481">
        <f t="shared" si="12"/>
        <v>26.166668055520859</v>
      </c>
      <c r="CD38" s="482">
        <f t="shared" si="24"/>
        <v>7.5</v>
      </c>
      <c r="CE38" s="482">
        <f t="shared" si="25"/>
        <v>4.4333333334652707</v>
      </c>
      <c r="CF38" s="483">
        <f t="shared" si="26"/>
        <v>5.4104167245459394</v>
      </c>
      <c r="CG38" s="483">
        <f t="shared" si="27"/>
        <v>12.871527777781012</v>
      </c>
      <c r="CH38" s="484">
        <f t="shared" si="28"/>
        <v>0.4203399019878174</v>
      </c>
    </row>
    <row r="39" spans="1:88" s="475" customFormat="1">
      <c r="A39" s="474">
        <f t="shared" si="13"/>
        <v>45241.03125</v>
      </c>
      <c r="B39" s="475" t="s">
        <v>228</v>
      </c>
      <c r="C39" s="475" t="s">
        <v>229</v>
      </c>
      <c r="D39" s="475" t="s">
        <v>197</v>
      </c>
      <c r="E39" s="476" t="s">
        <v>3139</v>
      </c>
      <c r="F39" s="399" t="s">
        <v>3378</v>
      </c>
      <c r="G39" s="473">
        <v>45243.375</v>
      </c>
      <c r="H39" s="473">
        <v>45243.321527777778</v>
      </c>
      <c r="I39" s="667" t="s">
        <v>231</v>
      </c>
      <c r="J39" s="475" t="s">
        <v>192</v>
      </c>
      <c r="K39" s="475" t="s">
        <v>192</v>
      </c>
      <c r="L39" s="667" t="s">
        <v>3507</v>
      </c>
      <c r="M39" s="530"/>
      <c r="N39" s="475" t="s">
        <v>257</v>
      </c>
      <c r="O39" s="475" t="s">
        <v>258</v>
      </c>
      <c r="P39" s="475" t="s">
        <v>418</v>
      </c>
      <c r="Q39" s="477">
        <f>3139*2.4</f>
        <v>7533.5999999999995</v>
      </c>
      <c r="R39" s="477">
        <f>7550+100</f>
        <v>7650</v>
      </c>
      <c r="S39" s="477">
        <v>7420.1139999999996</v>
      </c>
      <c r="T39" s="667"/>
      <c r="U39" s="581"/>
      <c r="V39" s="581"/>
      <c r="W39" s="581"/>
      <c r="X39" s="726">
        <f t="shared" si="16"/>
        <v>5194.0797999999995</v>
      </c>
      <c r="Y39" s="726">
        <f t="shared" si="17"/>
        <v>2226.0341999999996</v>
      </c>
      <c r="Z39" s="581"/>
      <c r="AA39" s="581"/>
      <c r="AB39" s="581"/>
      <c r="AG39" s="575"/>
      <c r="AH39" s="575"/>
      <c r="AI39" s="575"/>
      <c r="BD39" s="473">
        <f t="shared" si="18"/>
        <v>45233.5</v>
      </c>
      <c r="BE39" s="473">
        <f t="shared" si="19"/>
        <v>45245.805555555555</v>
      </c>
      <c r="BF39" s="479">
        <f t="shared" si="20"/>
        <v>12.305555555554747</v>
      </c>
      <c r="BG39" s="473">
        <v>45233.5</v>
      </c>
      <c r="BH39" s="473">
        <v>45236.350694444445</v>
      </c>
      <c r="BI39" s="473">
        <v>45238.083333333336</v>
      </c>
      <c r="BJ39" s="473">
        <v>45241.03125</v>
      </c>
      <c r="BK39" s="473">
        <v>45241.157638888886</v>
      </c>
      <c r="BL39" s="473">
        <v>45241.166666666664</v>
      </c>
      <c r="BM39" s="473">
        <v>45241.173611111109</v>
      </c>
      <c r="BN39" s="473">
        <f t="shared" si="14"/>
        <v>45242.881944444445</v>
      </c>
      <c r="BO39" s="480">
        <v>45243.25</v>
      </c>
      <c r="BP39" s="480">
        <v>45243.416666608799</v>
      </c>
      <c r="BQ39" s="480">
        <v>45243.284722222219</v>
      </c>
      <c r="BR39" s="473">
        <v>45244.375</v>
      </c>
      <c r="BS39" s="473">
        <v>45245.270833333336</v>
      </c>
      <c r="BT39" s="473">
        <v>45245.458333333336</v>
      </c>
      <c r="BU39" s="473">
        <v>45245.479166666664</v>
      </c>
      <c r="BV39" s="473">
        <v>45245.625</v>
      </c>
      <c r="BW39" s="473">
        <v>45245.805555555555</v>
      </c>
      <c r="BZ39" s="481">
        <f t="shared" si="21"/>
        <v>41.583333333372138</v>
      </c>
      <c r="CA39" s="481">
        <f t="shared" si="22"/>
        <v>3.0333333332673647</v>
      </c>
      <c r="CB39" s="481">
        <f t="shared" si="23"/>
        <v>41.000000000058208</v>
      </c>
      <c r="CC39" s="481">
        <f t="shared" ref="CC39:CC70" si="29">(BR39-BP39)*24</f>
        <v>23.000001388834789</v>
      </c>
      <c r="CD39" s="482">
        <f t="shared" si="24"/>
        <v>4.5</v>
      </c>
      <c r="CE39" s="482">
        <f t="shared" si="25"/>
        <v>4.3333333333139308</v>
      </c>
      <c r="CF39" s="483">
        <f t="shared" si="26"/>
        <v>4.8937500578686013</v>
      </c>
      <c r="CG39" s="483">
        <f t="shared" si="27"/>
        <v>12.305555555554747</v>
      </c>
      <c r="CH39" s="484">
        <f t="shared" si="28"/>
        <v>0.39768623495097338</v>
      </c>
    </row>
    <row r="40" spans="1:88" s="475" customFormat="1">
      <c r="A40" s="474">
        <f t="shared" si="13"/>
        <v>45241.46875</v>
      </c>
      <c r="B40" s="475" t="s">
        <v>228</v>
      </c>
      <c r="C40" s="475" t="s">
        <v>229</v>
      </c>
      <c r="D40" s="475" t="s">
        <v>197</v>
      </c>
      <c r="E40" s="476" t="s">
        <v>3139</v>
      </c>
      <c r="F40" s="399" t="s">
        <v>3378</v>
      </c>
      <c r="G40" s="473">
        <v>45243.375</v>
      </c>
      <c r="H40" s="473">
        <v>45243.321527777778</v>
      </c>
      <c r="I40" s="667" t="s">
        <v>231</v>
      </c>
      <c r="J40" s="475" t="s">
        <v>192</v>
      </c>
      <c r="K40" s="475" t="s">
        <v>192</v>
      </c>
      <c r="L40" s="667" t="s">
        <v>3508</v>
      </c>
      <c r="M40" s="530"/>
      <c r="N40" s="475" t="s">
        <v>346</v>
      </c>
      <c r="O40" s="475" t="s">
        <v>347</v>
      </c>
      <c r="P40" s="475" t="s">
        <v>418</v>
      </c>
      <c r="Q40" s="477">
        <f>3136*2.4</f>
        <v>7526.4</v>
      </c>
      <c r="R40" s="477">
        <f>7550+100</f>
        <v>7650</v>
      </c>
      <c r="S40" s="477">
        <v>7572.8710000000001</v>
      </c>
      <c r="T40" s="667"/>
      <c r="U40" s="581"/>
      <c r="V40" s="581"/>
      <c r="W40" s="581"/>
      <c r="X40" s="726">
        <f t="shared" si="16"/>
        <v>5301.0096999999996</v>
      </c>
      <c r="Y40" s="726">
        <f t="shared" si="17"/>
        <v>2271.8613</v>
      </c>
      <c r="Z40" s="581"/>
      <c r="AA40" s="581"/>
      <c r="AB40" s="581"/>
      <c r="AD40" s="577"/>
      <c r="BD40" s="473">
        <f t="shared" si="18"/>
        <v>45233.956250000003</v>
      </c>
      <c r="BE40" s="473">
        <f t="shared" si="19"/>
        <v>45246.494444444441</v>
      </c>
      <c r="BF40" s="479">
        <f t="shared" si="20"/>
        <v>12.538194444437977</v>
      </c>
      <c r="BG40" s="473">
        <v>45233.956250000003</v>
      </c>
      <c r="BH40" s="473">
        <v>45236.347222222219</v>
      </c>
      <c r="BI40" s="473">
        <v>45238.388888888891</v>
      </c>
      <c r="BJ40" s="473">
        <v>45241.46875</v>
      </c>
      <c r="BK40" s="473">
        <v>45241.472222222219</v>
      </c>
      <c r="BL40" s="473">
        <v>45241.600694444445</v>
      </c>
      <c r="BM40" s="473">
        <v>45241.607638888891</v>
      </c>
      <c r="BN40" s="473">
        <f t="shared" si="14"/>
        <v>45243.315972222226</v>
      </c>
      <c r="BO40" s="480">
        <v>45243.25</v>
      </c>
      <c r="BP40" s="480">
        <v>45243.416666608799</v>
      </c>
      <c r="BQ40" s="480">
        <v>45243.28125</v>
      </c>
      <c r="BR40" s="473">
        <v>45244.5</v>
      </c>
      <c r="BS40" s="473">
        <v>45245.809027777781</v>
      </c>
      <c r="BT40" s="473">
        <v>45246.006944444445</v>
      </c>
      <c r="BU40" s="473">
        <v>45246.027777777781</v>
      </c>
      <c r="BV40" s="473">
        <v>45246.045138888891</v>
      </c>
      <c r="BW40" s="473">
        <v>45246.494444444441</v>
      </c>
      <c r="BZ40" s="481">
        <f t="shared" si="21"/>
        <v>49.000000000116415</v>
      </c>
      <c r="CA40" s="481">
        <f t="shared" si="22"/>
        <v>8.3333333255723119E-2</v>
      </c>
      <c r="CB40" s="481">
        <f t="shared" si="23"/>
        <v>41.000000000058208</v>
      </c>
      <c r="CC40" s="481">
        <f t="shared" si="29"/>
        <v>26.000001388834789</v>
      </c>
      <c r="CD40" s="482">
        <f t="shared" si="24"/>
        <v>4.7499999999417923</v>
      </c>
      <c r="CE40" s="482">
        <f t="shared" si="25"/>
        <v>10.783333333209157</v>
      </c>
      <c r="CF40" s="483">
        <f t="shared" si="26"/>
        <v>5.4840278356423369</v>
      </c>
      <c r="CG40" s="483">
        <f t="shared" si="27"/>
        <v>12.538194444437977</v>
      </c>
      <c r="CH40" s="484">
        <f t="shared" si="28"/>
        <v>0.43738577033115694</v>
      </c>
    </row>
    <row r="41" spans="1:88" s="475" customFormat="1">
      <c r="A41" s="474">
        <f t="shared" si="13"/>
        <v>45241.201388888891</v>
      </c>
      <c r="B41" s="475" t="s">
        <v>228</v>
      </c>
      <c r="C41" s="475" t="s">
        <v>229</v>
      </c>
      <c r="D41" s="475" t="s">
        <v>197</v>
      </c>
      <c r="E41" s="476" t="s">
        <v>3139</v>
      </c>
      <c r="F41" s="399" t="s">
        <v>3378</v>
      </c>
      <c r="G41" s="473">
        <v>45243.375</v>
      </c>
      <c r="H41" s="473">
        <v>45243.321527777778</v>
      </c>
      <c r="I41" s="667" t="s">
        <v>231</v>
      </c>
      <c r="J41" s="475" t="s">
        <v>192</v>
      </c>
      <c r="K41" s="475" t="s">
        <v>192</v>
      </c>
      <c r="L41" s="667" t="s">
        <v>3509</v>
      </c>
      <c r="M41" s="530"/>
      <c r="N41" s="475" t="s">
        <v>377</v>
      </c>
      <c r="O41" s="475" t="s">
        <v>378</v>
      </c>
      <c r="P41" s="475" t="s">
        <v>418</v>
      </c>
      <c r="Q41" s="477">
        <f>3271*2.4</f>
        <v>7850.4</v>
      </c>
      <c r="R41" s="477">
        <f>7900+100</f>
        <v>8000</v>
      </c>
      <c r="S41" s="477">
        <v>7852.3609999999999</v>
      </c>
      <c r="T41" s="477"/>
      <c r="U41" s="581"/>
      <c r="V41" s="581"/>
      <c r="W41" s="581"/>
      <c r="X41" s="726">
        <f t="shared" si="16"/>
        <v>5496.6526999999996</v>
      </c>
      <c r="Y41" s="726">
        <f t="shared" si="17"/>
        <v>2355.7082999999998</v>
      </c>
      <c r="Z41" s="581"/>
      <c r="AA41" s="581"/>
      <c r="AB41" s="581"/>
      <c r="AC41" s="575"/>
      <c r="AD41" s="724"/>
      <c r="AE41" s="724"/>
      <c r="AF41" s="724"/>
      <c r="AG41" s="724"/>
      <c r="AH41" s="724"/>
      <c r="BD41" s="473">
        <f t="shared" si="18"/>
        <v>45233.590277777781</v>
      </c>
      <c r="BE41" s="473">
        <f t="shared" si="19"/>
        <v>45246.166666666664</v>
      </c>
      <c r="BF41" s="479">
        <f t="shared" si="20"/>
        <v>12.57638888888323</v>
      </c>
      <c r="BG41" s="473">
        <v>45233.590277777781</v>
      </c>
      <c r="BH41" s="473">
        <v>45236.770833333336</v>
      </c>
      <c r="BI41" s="473">
        <v>45238.416666666664</v>
      </c>
      <c r="BJ41" s="473">
        <v>45241.201388888891</v>
      </c>
      <c r="BK41" s="473">
        <v>45241.204861111109</v>
      </c>
      <c r="BL41" s="473">
        <v>45241.447916666664</v>
      </c>
      <c r="BM41" s="473">
        <v>45241.454861111109</v>
      </c>
      <c r="BN41" s="473">
        <f t="shared" si="14"/>
        <v>45243.163194444445</v>
      </c>
      <c r="BO41" s="480">
        <v>45243.25</v>
      </c>
      <c r="BP41" s="480">
        <v>45243.416666608799</v>
      </c>
      <c r="BQ41" s="480">
        <v>45243.291666666664</v>
      </c>
      <c r="BR41" s="473">
        <v>45244.385416666664</v>
      </c>
      <c r="BS41" s="473">
        <v>45245.520833333336</v>
      </c>
      <c r="BT41" s="473">
        <v>45245.746527777781</v>
      </c>
      <c r="BU41" s="473">
        <v>45245.767361111109</v>
      </c>
      <c r="BV41" s="473">
        <v>45245.777777777781</v>
      </c>
      <c r="BW41" s="473">
        <v>45246.166666666664</v>
      </c>
      <c r="BZ41" s="481">
        <f t="shared" si="21"/>
        <v>39.499999999883585</v>
      </c>
      <c r="CA41" s="481">
        <f t="shared" si="22"/>
        <v>8.3333333255723119E-2</v>
      </c>
      <c r="CB41" s="481">
        <f t="shared" si="23"/>
        <v>41.000000000058208</v>
      </c>
      <c r="CC41" s="481">
        <f t="shared" si="29"/>
        <v>23.250001388776582</v>
      </c>
      <c r="CD41" s="482">
        <f t="shared" si="24"/>
        <v>5.4166666666860692</v>
      </c>
      <c r="CE41" s="482">
        <f t="shared" si="25"/>
        <v>9.3333333331975155</v>
      </c>
      <c r="CF41" s="483">
        <f t="shared" si="26"/>
        <v>4.9409722800774034</v>
      </c>
      <c r="CG41" s="483">
        <f t="shared" si="27"/>
        <v>12.57638888888323</v>
      </c>
      <c r="CH41" s="484">
        <f t="shared" si="28"/>
        <v>0.39287686821174284</v>
      </c>
    </row>
    <row r="42" spans="1:88" s="475" customFormat="1">
      <c r="A42" s="474">
        <f t="shared" si="13"/>
        <v>45241.618055555555</v>
      </c>
      <c r="B42" s="475" t="s">
        <v>228</v>
      </c>
      <c r="C42" s="475" t="s">
        <v>229</v>
      </c>
      <c r="D42" s="475" t="s">
        <v>197</v>
      </c>
      <c r="E42" s="476" t="s">
        <v>3139</v>
      </c>
      <c r="F42" s="399" t="s">
        <v>3378</v>
      </c>
      <c r="G42" s="473">
        <v>45243.375</v>
      </c>
      <c r="H42" s="473">
        <v>45243.321527777778</v>
      </c>
      <c r="I42" s="667" t="s">
        <v>231</v>
      </c>
      <c r="J42" s="475" t="s">
        <v>192</v>
      </c>
      <c r="K42" s="475" t="s">
        <v>192</v>
      </c>
      <c r="L42" s="667" t="s">
        <v>3510</v>
      </c>
      <c r="M42" s="530"/>
      <c r="N42" s="475" t="s">
        <v>208</v>
      </c>
      <c r="O42" s="475" t="s">
        <v>328</v>
      </c>
      <c r="P42" s="475" t="s">
        <v>418</v>
      </c>
      <c r="Q42" s="477">
        <f>3128*2.4</f>
        <v>7507.2</v>
      </c>
      <c r="R42" s="477">
        <f>7550+100</f>
        <v>7650</v>
      </c>
      <c r="S42" s="477">
        <v>7531.67</v>
      </c>
      <c r="T42" s="399"/>
      <c r="U42" s="581"/>
      <c r="V42" s="581"/>
      <c r="W42" s="581"/>
      <c r="X42" s="726">
        <f t="shared" si="16"/>
        <v>5272.1689999999999</v>
      </c>
      <c r="Y42" s="726">
        <f t="shared" si="17"/>
        <v>2259.5009999999997</v>
      </c>
      <c r="Z42" s="581"/>
      <c r="AA42" s="581"/>
      <c r="AB42" s="581"/>
      <c r="AD42" s="724"/>
      <c r="AE42" s="724"/>
      <c r="AF42" s="724"/>
      <c r="AG42" s="724"/>
      <c r="AH42" s="724"/>
      <c r="BD42" s="473">
        <f t="shared" si="18"/>
        <v>45234.420138888891</v>
      </c>
      <c r="BE42" s="473">
        <f t="shared" si="19"/>
        <v>45246.905555555553</v>
      </c>
      <c r="BF42" s="479">
        <f t="shared" si="20"/>
        <v>12.485416666662786</v>
      </c>
      <c r="BG42" s="473">
        <v>45234.420138888891</v>
      </c>
      <c r="BH42" s="473">
        <v>45237.340277777781</v>
      </c>
      <c r="BI42" s="473">
        <v>45238.916666666664</v>
      </c>
      <c r="BJ42" s="473">
        <v>45241.618055555555</v>
      </c>
      <c r="BK42" s="473">
        <v>45241.621527777781</v>
      </c>
      <c r="BL42" s="473">
        <v>45241.753472222219</v>
      </c>
      <c r="BM42" s="473">
        <v>45241.767361111109</v>
      </c>
      <c r="BN42" s="473">
        <f t="shared" si="14"/>
        <v>45243.475694444445</v>
      </c>
      <c r="BO42" s="473">
        <v>45243.25</v>
      </c>
      <c r="BP42" s="473">
        <v>45243.416666608799</v>
      </c>
      <c r="BQ42" s="473">
        <v>45243.395833333336</v>
      </c>
      <c r="BR42" s="473">
        <v>45244.517361111109</v>
      </c>
      <c r="BS42" s="473">
        <v>45246.402777777781</v>
      </c>
      <c r="BT42" s="473">
        <v>45246.65625</v>
      </c>
      <c r="BU42" s="473">
        <v>45246.677083333336</v>
      </c>
      <c r="BV42" s="473">
        <v>45246.694444444445</v>
      </c>
      <c r="BW42" s="473">
        <v>45246.905555555553</v>
      </c>
      <c r="BZ42" s="481">
        <f t="shared" si="21"/>
        <v>37.833333333197515</v>
      </c>
      <c r="CA42" s="481">
        <f t="shared" si="22"/>
        <v>8.3333333430346102E-2</v>
      </c>
      <c r="CB42" s="481">
        <f t="shared" si="23"/>
        <v>41.000000000058208</v>
      </c>
      <c r="CC42" s="481">
        <f t="shared" si="29"/>
        <v>26.416668055462651</v>
      </c>
      <c r="CD42" s="482">
        <f t="shared" si="24"/>
        <v>6.0833333332557231</v>
      </c>
      <c r="CE42" s="482">
        <f t="shared" si="25"/>
        <v>5.066666666592937</v>
      </c>
      <c r="CF42" s="483">
        <f t="shared" si="26"/>
        <v>4.8534722800832242</v>
      </c>
      <c r="CG42" s="483">
        <f t="shared" si="27"/>
        <v>12.485416666662786</v>
      </c>
      <c r="CH42" s="484">
        <f t="shared" si="28"/>
        <v>0.3887313022594146</v>
      </c>
    </row>
    <row r="43" spans="1:88" s="475" customFormat="1">
      <c r="A43" s="474">
        <f t="shared" si="13"/>
        <v>45241.78125</v>
      </c>
      <c r="B43" s="475" t="s">
        <v>228</v>
      </c>
      <c r="C43" s="475" t="s">
        <v>229</v>
      </c>
      <c r="D43" s="475" t="s">
        <v>197</v>
      </c>
      <c r="E43" s="476" t="s">
        <v>3144</v>
      </c>
      <c r="F43" s="399" t="s">
        <v>3378</v>
      </c>
      <c r="G43" s="472">
        <v>45241.104166666664</v>
      </c>
      <c r="H43" s="472">
        <v>45241.162499999999</v>
      </c>
      <c r="I43" s="475" t="s">
        <v>243</v>
      </c>
      <c r="J43" s="475" t="s">
        <v>192</v>
      </c>
      <c r="K43" s="475" t="s">
        <v>192</v>
      </c>
      <c r="L43" s="667" t="s">
        <v>3511</v>
      </c>
      <c r="M43" s="530"/>
      <c r="N43" s="475" t="s">
        <v>201</v>
      </c>
      <c r="O43" s="475" t="s">
        <v>202</v>
      </c>
      <c r="P43" s="475" t="s">
        <v>235</v>
      </c>
      <c r="Q43" s="477">
        <f>3141*2.4</f>
        <v>7538.4</v>
      </c>
      <c r="R43" s="477">
        <f>7550+100</f>
        <v>7650</v>
      </c>
      <c r="S43" s="477">
        <v>7500.4960000000001</v>
      </c>
      <c r="T43" s="667"/>
      <c r="U43" s="581"/>
      <c r="V43" s="581"/>
      <c r="W43" s="581"/>
      <c r="X43" s="726">
        <f>S43</f>
        <v>7500.4960000000001</v>
      </c>
      <c r="Y43" s="581"/>
      <c r="Z43" s="581"/>
      <c r="AB43" s="581"/>
      <c r="AD43" s="667"/>
      <c r="AE43" s="667"/>
      <c r="AF43" s="667"/>
      <c r="AG43" s="667"/>
      <c r="AH43" s="667"/>
      <c r="AI43" s="667"/>
      <c r="AJ43" s="667"/>
      <c r="AK43" s="667"/>
      <c r="AL43" s="667"/>
      <c r="AM43" s="667"/>
      <c r="AN43" s="667"/>
      <c r="AO43" s="667"/>
      <c r="AP43" s="667"/>
      <c r="AQ43" s="667"/>
      <c r="AR43" s="667"/>
      <c r="AS43" s="667"/>
      <c r="AT43" s="667"/>
      <c r="AU43" s="667"/>
      <c r="AV43" s="667"/>
      <c r="AW43" s="667"/>
      <c r="BD43" s="473">
        <f t="shared" si="18"/>
        <v>45234.166666666664</v>
      </c>
      <c r="BE43" s="473">
        <f t="shared" si="19"/>
        <v>45246.395833333336</v>
      </c>
      <c r="BF43" s="479">
        <f t="shared" si="20"/>
        <v>12.229166666671517</v>
      </c>
      <c r="BG43" s="473">
        <v>45234.166666666664</v>
      </c>
      <c r="BH43" s="473">
        <v>45237.347222222219</v>
      </c>
      <c r="BI43" s="473">
        <v>45239.256944444445</v>
      </c>
      <c r="BJ43" s="473">
        <v>45241.78125</v>
      </c>
      <c r="BK43" s="473">
        <v>45241.809027777781</v>
      </c>
      <c r="BL43" s="473">
        <v>45241.916666666664</v>
      </c>
      <c r="BM43" s="473">
        <v>45241.916666666664</v>
      </c>
      <c r="BN43" s="473">
        <f t="shared" si="14"/>
        <v>45243.625</v>
      </c>
      <c r="BO43" s="473">
        <v>45243.25</v>
      </c>
      <c r="BP43" s="473">
        <v>45243.416666608799</v>
      </c>
      <c r="BQ43" s="480">
        <v>45243.416666666664</v>
      </c>
      <c r="BR43" s="473">
        <v>45245.423611111109</v>
      </c>
      <c r="BS43" s="473">
        <v>45245.597222222219</v>
      </c>
      <c r="BT43" s="473">
        <v>45245.850694444445</v>
      </c>
      <c r="BU43" s="473">
        <v>45245.864583333336</v>
      </c>
      <c r="BV43" s="473">
        <v>45245.868055555555</v>
      </c>
      <c r="BW43" s="473">
        <v>45246.395833333336</v>
      </c>
      <c r="BZ43" s="481">
        <f t="shared" si="21"/>
        <v>45.833333333430346</v>
      </c>
      <c r="CA43" s="481">
        <f t="shared" si="22"/>
        <v>0.66666666674427688</v>
      </c>
      <c r="CB43" s="481">
        <f t="shared" si="23"/>
        <v>41.000000000058208</v>
      </c>
      <c r="CC43" s="481">
        <f t="shared" si="29"/>
        <v>48.166668055462651</v>
      </c>
      <c r="CD43" s="482">
        <f t="shared" si="24"/>
        <v>6.0833333334303461</v>
      </c>
      <c r="CE43" s="482">
        <f t="shared" si="25"/>
        <v>12.666666666744277</v>
      </c>
      <c r="CF43" s="483">
        <f t="shared" si="26"/>
        <v>6.4340278356612544</v>
      </c>
      <c r="CG43" s="483">
        <f t="shared" si="27"/>
        <v>12.229166666671517</v>
      </c>
      <c r="CH43" s="484">
        <f t="shared" si="28"/>
        <v>0.52612152659560085</v>
      </c>
    </row>
    <row r="44" spans="1:88" s="475" customFormat="1">
      <c r="A44" s="474">
        <f t="shared" si="13"/>
        <v>45241.947916666664</v>
      </c>
      <c r="B44" s="475" t="s">
        <v>228</v>
      </c>
      <c r="C44" s="475" t="s">
        <v>229</v>
      </c>
      <c r="D44" s="475" t="s">
        <v>197</v>
      </c>
      <c r="E44" s="476" t="s">
        <v>3148</v>
      </c>
      <c r="F44" s="399" t="s">
        <v>3378</v>
      </c>
      <c r="G44" s="858">
        <v>45241.000694444447</v>
      </c>
      <c r="H44" s="858">
        <v>45240.929166666669</v>
      </c>
      <c r="I44" s="475" t="s">
        <v>243</v>
      </c>
      <c r="J44" s="475" t="s">
        <v>192</v>
      </c>
      <c r="K44" s="475" t="s">
        <v>192</v>
      </c>
      <c r="L44" s="667" t="s">
        <v>3512</v>
      </c>
      <c r="M44" s="530"/>
      <c r="N44" s="475" t="s">
        <v>695</v>
      </c>
      <c r="O44" s="475" t="s">
        <v>281</v>
      </c>
      <c r="P44" s="475" t="s">
        <v>235</v>
      </c>
      <c r="Q44" s="477">
        <f>3102*2.4</f>
        <v>7444.7999999999993</v>
      </c>
      <c r="R44" s="477">
        <f>7450+100</f>
        <v>7550</v>
      </c>
      <c r="S44" s="477">
        <v>7483.3950000000004</v>
      </c>
      <c r="T44" s="667"/>
      <c r="U44" s="581"/>
      <c r="V44" s="581"/>
      <c r="W44" s="581"/>
      <c r="X44" s="726">
        <f>S44</f>
        <v>7483.3950000000004</v>
      </c>
      <c r="Y44" s="581"/>
      <c r="Z44" s="581"/>
      <c r="AB44" s="581"/>
      <c r="AC44" s="401"/>
      <c r="AD44" s="577"/>
      <c r="AE44" s="575"/>
      <c r="AF44" s="575"/>
      <c r="AG44" s="575"/>
      <c r="AH44" s="575"/>
      <c r="AI44" s="575"/>
      <c r="BD44" s="473">
        <f t="shared" si="18"/>
        <v>45233.416666666664</v>
      </c>
      <c r="BE44" s="473">
        <f t="shared" si="19"/>
        <v>45252.506944444445</v>
      </c>
      <c r="BF44" s="479">
        <f t="shared" si="20"/>
        <v>19.090277777781012</v>
      </c>
      <c r="BG44" s="473">
        <v>45233.416666666664</v>
      </c>
      <c r="BH44" s="473">
        <v>45236.774305555555</v>
      </c>
      <c r="BI44" s="473">
        <v>45239.333333333336</v>
      </c>
      <c r="BJ44" s="473">
        <v>45241.947916666664</v>
      </c>
      <c r="BK44" s="473">
        <v>45242.611111111109</v>
      </c>
      <c r="BL44" s="473">
        <v>45242.621527777781</v>
      </c>
      <c r="BM44" s="473">
        <v>45242.625</v>
      </c>
      <c r="BN44" s="473">
        <f t="shared" si="14"/>
        <v>45244.333333333336</v>
      </c>
      <c r="BO44" s="473">
        <v>45248.25</v>
      </c>
      <c r="BP44" s="473">
        <v>45248.416666608799</v>
      </c>
      <c r="BQ44" s="473">
        <v>45248.284722222219</v>
      </c>
      <c r="BR44" s="473">
        <v>45250.125</v>
      </c>
      <c r="BS44" s="473">
        <v>45251.038194444445</v>
      </c>
      <c r="BT44" s="473">
        <v>45251.78125</v>
      </c>
      <c r="BU44" s="473">
        <v>45251.798611111109</v>
      </c>
      <c r="BV44" s="473">
        <v>45251.947916666664</v>
      </c>
      <c r="BW44" s="473">
        <v>45252.506944444445</v>
      </c>
      <c r="BX44" s="475" t="s">
        <v>3513</v>
      </c>
      <c r="BZ44" s="481">
        <f t="shared" si="21"/>
        <v>61.416666666744277</v>
      </c>
      <c r="CA44" s="481">
        <f t="shared" si="22"/>
        <v>15.916666666686069</v>
      </c>
      <c r="CB44" s="481">
        <f t="shared" si="23"/>
        <v>41.000000000058208</v>
      </c>
      <c r="CC44" s="481">
        <f t="shared" si="29"/>
        <v>41.000001388834789</v>
      </c>
      <c r="CD44" s="482">
        <f t="shared" si="24"/>
        <v>17.833333333313931</v>
      </c>
      <c r="CE44" s="482">
        <f t="shared" si="25"/>
        <v>13.416666666744277</v>
      </c>
      <c r="CF44" s="483">
        <f t="shared" si="26"/>
        <v>7.9409722800992313</v>
      </c>
      <c r="CG44" s="483">
        <f t="shared" si="27"/>
        <v>19.090277777781012</v>
      </c>
      <c r="CH44" s="484">
        <f t="shared" si="28"/>
        <v>0.41596944646565864</v>
      </c>
    </row>
    <row r="45" spans="1:88" s="475" customFormat="1">
      <c r="A45" s="474">
        <f t="shared" ref="A45:A76" si="30">BJ45</f>
        <v>45242.638888888891</v>
      </c>
      <c r="B45" s="475" t="s">
        <v>228</v>
      </c>
      <c r="C45" s="475" t="s">
        <v>229</v>
      </c>
      <c r="D45" s="475" t="s">
        <v>197</v>
      </c>
      <c r="E45" s="476" t="s">
        <v>3144</v>
      </c>
      <c r="F45" s="399" t="s">
        <v>3378</v>
      </c>
      <c r="G45" s="472">
        <v>45241.104166666664</v>
      </c>
      <c r="H45" s="472">
        <v>45241.162499999999</v>
      </c>
      <c r="I45" s="475" t="s">
        <v>243</v>
      </c>
      <c r="J45" s="475" t="s">
        <v>192</v>
      </c>
      <c r="K45" s="475" t="s">
        <v>192</v>
      </c>
      <c r="L45" s="667" t="s">
        <v>3514</v>
      </c>
      <c r="M45" s="530"/>
      <c r="N45" s="475" t="s">
        <v>218</v>
      </c>
      <c r="O45" s="475" t="s">
        <v>350</v>
      </c>
      <c r="P45" s="475" t="s">
        <v>235</v>
      </c>
      <c r="Q45" s="477">
        <f>3077*2.4</f>
        <v>7384.7999999999993</v>
      </c>
      <c r="R45" s="477">
        <f>7400+100</f>
        <v>7500</v>
      </c>
      <c r="S45" s="477">
        <v>7545.5169999999998</v>
      </c>
      <c r="T45" s="477"/>
      <c r="U45" s="581"/>
      <c r="V45" s="581"/>
      <c r="W45" s="581"/>
      <c r="X45" s="726">
        <f>S45</f>
        <v>7545.5169999999998</v>
      </c>
      <c r="Y45" s="581"/>
      <c r="Z45" s="581"/>
      <c r="AB45" s="581"/>
      <c r="AD45" s="724"/>
      <c r="BD45" s="473">
        <f t="shared" si="18"/>
        <v>45234.493055555555</v>
      </c>
      <c r="BE45" s="473">
        <f t="shared" si="19"/>
        <v>45248.5</v>
      </c>
      <c r="BF45" s="479">
        <f t="shared" si="20"/>
        <v>14.006944444445253</v>
      </c>
      <c r="BG45" s="473">
        <v>45234.493055555555</v>
      </c>
      <c r="BH45" s="473">
        <v>45237.347222222219</v>
      </c>
      <c r="BI45" s="473">
        <v>45240.4375</v>
      </c>
      <c r="BJ45" s="473">
        <v>45242.638888888891</v>
      </c>
      <c r="BK45" s="473">
        <v>45242.760416666664</v>
      </c>
      <c r="BL45" s="473">
        <v>45242.763888888891</v>
      </c>
      <c r="BM45" s="473">
        <v>45243.291666666664</v>
      </c>
      <c r="BN45" s="473">
        <f t="shared" ref="BN45:BN76" si="31">BM45+(41/24)</f>
        <v>45245</v>
      </c>
      <c r="BO45" s="480">
        <v>45245.229166608799</v>
      </c>
      <c r="BP45" s="480">
        <v>45245.395833333336</v>
      </c>
      <c r="BQ45" s="480">
        <v>45245.3</v>
      </c>
      <c r="BR45" s="473">
        <v>45246.916666666664</v>
      </c>
      <c r="BS45" s="473">
        <v>45246.996527777781</v>
      </c>
      <c r="BT45" s="473">
        <v>45247.253472222219</v>
      </c>
      <c r="BU45" s="473">
        <v>45247.277777777781</v>
      </c>
      <c r="BV45" s="473">
        <v>45247.822916666664</v>
      </c>
      <c r="BW45" s="473">
        <v>45248.5</v>
      </c>
      <c r="BZ45" s="481">
        <f t="shared" si="21"/>
        <v>74.166666666744277</v>
      </c>
      <c r="CA45" s="481">
        <f t="shared" si="22"/>
        <v>2.9166666665696539</v>
      </c>
      <c r="CB45" s="481">
        <f t="shared" si="23"/>
        <v>41.000000000058208</v>
      </c>
      <c r="CC45" s="481">
        <f t="shared" si="29"/>
        <v>36.499999999883585</v>
      </c>
      <c r="CD45" s="482">
        <f t="shared" si="24"/>
        <v>6.1666666665114462</v>
      </c>
      <c r="CE45" s="482">
        <f t="shared" si="25"/>
        <v>16.250000000058208</v>
      </c>
      <c r="CF45" s="483">
        <f t="shared" si="26"/>
        <v>7.374999999992724</v>
      </c>
      <c r="CG45" s="483">
        <f t="shared" si="27"/>
        <v>14.006944444445253</v>
      </c>
      <c r="CH45" s="484">
        <f t="shared" si="28"/>
        <v>0.52652454139756621</v>
      </c>
    </row>
    <row r="46" spans="1:88" s="475" customFormat="1">
      <c r="A46" s="474">
        <f t="shared" si="30"/>
        <v>45244.184027777781</v>
      </c>
      <c r="B46" s="475" t="s">
        <v>228</v>
      </c>
      <c r="C46" s="475" t="s">
        <v>229</v>
      </c>
      <c r="D46" s="475" t="s">
        <v>197</v>
      </c>
      <c r="E46" s="476" t="s">
        <v>3144</v>
      </c>
      <c r="F46" s="399" t="s">
        <v>3378</v>
      </c>
      <c r="G46" s="472">
        <v>45241.104166666664</v>
      </c>
      <c r="H46" s="472">
        <v>45241.162499999999</v>
      </c>
      <c r="I46" s="667" t="s">
        <v>243</v>
      </c>
      <c r="J46" s="475" t="s">
        <v>192</v>
      </c>
      <c r="K46" s="475" t="s">
        <v>192</v>
      </c>
      <c r="L46" s="667" t="s">
        <v>3515</v>
      </c>
      <c r="M46" s="530"/>
      <c r="N46" s="475" t="s">
        <v>339</v>
      </c>
      <c r="O46" s="475" t="s">
        <v>506</v>
      </c>
      <c r="P46" s="475" t="s">
        <v>581</v>
      </c>
      <c r="Q46" s="477">
        <f>3071*2.4</f>
        <v>7370.4</v>
      </c>
      <c r="R46" s="477">
        <f>7400+100</f>
        <v>7500</v>
      </c>
      <c r="S46" s="477">
        <v>7500.3239999999996</v>
      </c>
      <c r="T46" s="399"/>
      <c r="U46" s="401"/>
      <c r="V46" s="401"/>
      <c r="W46" s="401"/>
      <c r="X46" s="726">
        <f>S46*0.8</f>
        <v>6000.2592000000004</v>
      </c>
      <c r="Y46" s="726">
        <f>S46*0.2</f>
        <v>1500.0648000000001</v>
      </c>
      <c r="Z46" s="401"/>
      <c r="AA46" s="401"/>
      <c r="AB46" s="581"/>
      <c r="AC46" s="667"/>
      <c r="AD46" s="667"/>
      <c r="AE46" s="667"/>
      <c r="AF46" s="667"/>
      <c r="AG46" s="667"/>
      <c r="AH46" s="667"/>
      <c r="AI46" s="667"/>
      <c r="AJ46" s="667"/>
      <c r="AK46" s="667"/>
      <c r="AL46" s="667"/>
      <c r="AM46" s="667"/>
      <c r="AN46" s="667"/>
      <c r="AO46" s="667"/>
      <c r="AP46" s="667"/>
      <c r="AQ46" s="667"/>
      <c r="AR46" s="667"/>
      <c r="AS46" s="667"/>
      <c r="AT46" s="667"/>
      <c r="AU46" s="667"/>
      <c r="AV46" s="667"/>
      <c r="AW46" s="667"/>
      <c r="AX46" s="667"/>
      <c r="AY46" s="667"/>
      <c r="AZ46" s="667"/>
      <c r="BA46" s="667"/>
      <c r="BB46" s="667"/>
      <c r="BC46" s="667"/>
      <c r="BD46" s="473">
        <f t="shared" si="18"/>
        <v>45235.166666666664</v>
      </c>
      <c r="BE46" s="473">
        <f t="shared" si="19"/>
        <v>45249.333333333336</v>
      </c>
      <c r="BF46" s="479">
        <f t="shared" si="20"/>
        <v>14.166666666671517</v>
      </c>
      <c r="BG46" s="473">
        <v>45235.166666666664</v>
      </c>
      <c r="BH46" s="473">
        <v>45238.746527777781</v>
      </c>
      <c r="BI46" s="473">
        <v>45241.479166666664</v>
      </c>
      <c r="BJ46" s="473">
        <v>45244.184027777781</v>
      </c>
      <c r="BK46" s="473">
        <v>45244.375</v>
      </c>
      <c r="BL46" s="473">
        <v>45244.385416666664</v>
      </c>
      <c r="BM46" s="473">
        <v>45244.395833333336</v>
      </c>
      <c r="BN46" s="473">
        <f t="shared" si="31"/>
        <v>45246.104166666672</v>
      </c>
      <c r="BO46" s="480">
        <v>45246.229166608799</v>
      </c>
      <c r="BP46" s="480">
        <v>45246.395833333336</v>
      </c>
      <c r="BQ46" s="480">
        <v>45246.309027777781</v>
      </c>
      <c r="BR46" s="473">
        <v>45247.90625</v>
      </c>
      <c r="BS46" s="473">
        <v>45248.5625</v>
      </c>
      <c r="BT46" s="473">
        <v>45248.75</v>
      </c>
      <c r="BU46" s="473">
        <v>45248.767361111109</v>
      </c>
      <c r="BV46" s="473">
        <v>45248.854166666664</v>
      </c>
      <c r="BW46" s="473">
        <v>45249.333333333336</v>
      </c>
      <c r="BX46" s="475" t="s">
        <v>3516</v>
      </c>
      <c r="BZ46" s="481">
        <f t="shared" si="21"/>
        <v>65.583333333197515</v>
      </c>
      <c r="CA46" s="481">
        <f t="shared" si="22"/>
        <v>4.5833333332557231</v>
      </c>
      <c r="CB46" s="481">
        <f t="shared" si="23"/>
        <v>41.000000000058208</v>
      </c>
      <c r="CC46" s="481">
        <f t="shared" si="29"/>
        <v>36.249999999941792</v>
      </c>
      <c r="CD46" s="482">
        <f t="shared" si="24"/>
        <v>4.5</v>
      </c>
      <c r="CE46" s="482">
        <f t="shared" si="25"/>
        <v>11.500000000116415</v>
      </c>
      <c r="CF46" s="483">
        <f t="shared" si="26"/>
        <v>6.8090277777737356</v>
      </c>
      <c r="CG46" s="483">
        <f t="shared" si="27"/>
        <v>14.166666666671517</v>
      </c>
      <c r="CH46" s="484">
        <f t="shared" si="28"/>
        <v>0.48063725490151088</v>
      </c>
    </row>
    <row r="47" spans="1:88" s="475" customFormat="1">
      <c r="A47" s="192">
        <f t="shared" si="30"/>
        <v>45244.402777777781</v>
      </c>
      <c r="B47" s="126" t="s">
        <v>228</v>
      </c>
      <c r="C47" s="126" t="s">
        <v>229</v>
      </c>
      <c r="D47" s="126" t="s">
        <v>215</v>
      </c>
      <c r="E47" s="65" t="s">
        <v>3148</v>
      </c>
      <c r="F47" s="662" t="s">
        <v>3378</v>
      </c>
      <c r="G47" s="879">
        <v>45241.000694444447</v>
      </c>
      <c r="H47" s="879">
        <v>45240.929166666669</v>
      </c>
      <c r="I47" s="662" t="s">
        <v>243</v>
      </c>
      <c r="J47" s="475" t="s">
        <v>192</v>
      </c>
      <c r="K47" s="475" t="s">
        <v>192</v>
      </c>
      <c r="L47" s="662" t="s">
        <v>3517</v>
      </c>
      <c r="M47" s="530"/>
      <c r="N47" s="126" t="s">
        <v>352</v>
      </c>
      <c r="O47" s="126" t="s">
        <v>353</v>
      </c>
      <c r="P47" s="126" t="s">
        <v>581</v>
      </c>
      <c r="Q47" s="181">
        <f>3852*2.4</f>
        <v>9244.7999999999993</v>
      </c>
      <c r="R47" s="181">
        <f>9250+100</f>
        <v>9350</v>
      </c>
      <c r="S47" s="181">
        <v>9369.4590000000007</v>
      </c>
      <c r="T47" s="662"/>
      <c r="U47" s="663"/>
      <c r="V47" s="663"/>
      <c r="W47" s="663"/>
      <c r="X47" s="878">
        <f>S47*0.8</f>
        <v>7495.5672000000013</v>
      </c>
      <c r="Y47" s="878">
        <f>S47*0.2</f>
        <v>1873.8918000000003</v>
      </c>
      <c r="Z47" s="663"/>
      <c r="AA47" s="663"/>
      <c r="AB47" s="663"/>
      <c r="AC47" s="181"/>
      <c r="AD47" s="663"/>
      <c r="AE47" s="663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65">
        <f t="shared" si="18"/>
        <v>45221.666666666664</v>
      </c>
      <c r="BE47" s="165">
        <f t="shared" si="19"/>
        <v>45251.715277777781</v>
      </c>
      <c r="BF47" s="137">
        <f t="shared" si="20"/>
        <v>30.04861111111677</v>
      </c>
      <c r="BG47" s="165">
        <v>45221.666666666664</v>
      </c>
      <c r="BH47" s="165">
        <v>45239.375</v>
      </c>
      <c r="BI47" s="165">
        <v>45241.302083333336</v>
      </c>
      <c r="BJ47" s="165">
        <v>45244.402777777781</v>
      </c>
      <c r="BK47" s="165">
        <v>45244.565972222219</v>
      </c>
      <c r="BL47" s="165">
        <v>45244.583333333336</v>
      </c>
      <c r="BM47" s="165">
        <v>45244.586805555555</v>
      </c>
      <c r="BN47" s="165">
        <f t="shared" si="31"/>
        <v>45246.295138888891</v>
      </c>
      <c r="BO47" s="210">
        <v>45246.229166608799</v>
      </c>
      <c r="BP47" s="210">
        <v>45246.395833333336</v>
      </c>
      <c r="BQ47" s="210">
        <v>45246.326388888891</v>
      </c>
      <c r="BR47" s="165">
        <v>45248.145833333336</v>
      </c>
      <c r="BS47" s="165">
        <v>45250.621527777781</v>
      </c>
      <c r="BT47" s="165">
        <v>45250.989583333336</v>
      </c>
      <c r="BU47" s="165">
        <v>45251.041666666664</v>
      </c>
      <c r="BV47" s="165">
        <v>45251.052083333336</v>
      </c>
      <c r="BW47" s="165">
        <v>45251.715277777781</v>
      </c>
      <c r="BX47" s="126"/>
      <c r="BY47" s="126"/>
      <c r="BZ47" s="136">
        <f t="shared" si="21"/>
        <v>46.250000000058208</v>
      </c>
      <c r="CA47" s="136">
        <f t="shared" si="22"/>
        <v>3.9166666665114462</v>
      </c>
      <c r="CB47" s="136">
        <f t="shared" si="23"/>
        <v>41.000000000058208</v>
      </c>
      <c r="CC47" s="136">
        <f t="shared" si="29"/>
        <v>42</v>
      </c>
      <c r="CD47" s="135">
        <f t="shared" si="24"/>
        <v>8.8333333333139308</v>
      </c>
      <c r="CE47" s="135">
        <f t="shared" si="25"/>
        <v>15.916666666686069</v>
      </c>
      <c r="CF47" s="134">
        <f t="shared" si="26"/>
        <v>6.5798611111094942</v>
      </c>
      <c r="CG47" s="134">
        <f t="shared" si="27"/>
        <v>30.04861111111677</v>
      </c>
      <c r="CH47" s="133">
        <f t="shared" si="28"/>
        <v>0.21897388490861769</v>
      </c>
      <c r="CI47" s="126"/>
      <c r="CJ47" s="126"/>
    </row>
    <row r="48" spans="1:88" s="475" customFormat="1">
      <c r="A48" s="192">
        <f t="shared" si="30"/>
        <v>45244.600694444445</v>
      </c>
      <c r="B48" s="126" t="s">
        <v>228</v>
      </c>
      <c r="C48" s="126" t="s">
        <v>229</v>
      </c>
      <c r="D48" s="126" t="s">
        <v>197</v>
      </c>
      <c r="E48" s="65" t="s">
        <v>3148</v>
      </c>
      <c r="F48" s="662" t="s">
        <v>3378</v>
      </c>
      <c r="G48" s="879">
        <v>45241.000694444447</v>
      </c>
      <c r="H48" s="879">
        <v>45240.929166666669</v>
      </c>
      <c r="I48" s="662" t="s">
        <v>243</v>
      </c>
      <c r="J48" s="475" t="s">
        <v>192</v>
      </c>
      <c r="K48" s="475" t="s">
        <v>192</v>
      </c>
      <c r="L48" s="662" t="s">
        <v>3518</v>
      </c>
      <c r="M48" s="530"/>
      <c r="N48" s="126" t="s">
        <v>1767</v>
      </c>
      <c r="O48" s="126" t="s">
        <v>2352</v>
      </c>
      <c r="P48" s="126" t="s">
        <v>581</v>
      </c>
      <c r="Q48" s="181">
        <f>3139*2.4</f>
        <v>7533.5999999999995</v>
      </c>
      <c r="R48" s="181">
        <f>7550+100</f>
        <v>7650</v>
      </c>
      <c r="S48" s="181">
        <v>7436.8059999999996</v>
      </c>
      <c r="T48" s="662"/>
      <c r="U48" s="663"/>
      <c r="V48" s="663"/>
      <c r="W48" s="663"/>
      <c r="X48" s="878">
        <f>S48*0.8</f>
        <v>5949.4448000000002</v>
      </c>
      <c r="Y48" s="878">
        <f>S48*0.2</f>
        <v>1487.3612000000001</v>
      </c>
      <c r="Z48" s="663"/>
      <c r="AA48" s="663"/>
      <c r="AB48" s="663"/>
      <c r="AC48" s="663"/>
      <c r="AD48" s="329"/>
      <c r="AE48" s="329"/>
      <c r="AF48" s="329"/>
      <c r="AG48" s="329"/>
      <c r="AH48" s="329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65">
        <f t="shared" si="18"/>
        <v>45235.006944444445</v>
      </c>
      <c r="BE48" s="165">
        <f t="shared" si="19"/>
        <v>45251.6875</v>
      </c>
      <c r="BF48" s="137">
        <f t="shared" si="20"/>
        <v>16.680555555554747</v>
      </c>
      <c r="BG48" s="165">
        <v>45235.006944444445</v>
      </c>
      <c r="BH48" s="165">
        <v>45238.375</v>
      </c>
      <c r="BI48" s="165">
        <v>45242.586805555555</v>
      </c>
      <c r="BJ48" s="165">
        <v>45244.600694444445</v>
      </c>
      <c r="BK48" s="165">
        <v>45244.734027777777</v>
      </c>
      <c r="BL48" s="165">
        <v>45244.743055555555</v>
      </c>
      <c r="BM48" s="165">
        <v>45244.739583333336</v>
      </c>
      <c r="BN48" s="165">
        <f t="shared" si="31"/>
        <v>45246.447916666672</v>
      </c>
      <c r="BO48" s="165">
        <v>45247.229166608799</v>
      </c>
      <c r="BP48" s="165">
        <v>45247.395833333336</v>
      </c>
      <c r="BQ48" s="165">
        <v>45247.388888888891</v>
      </c>
      <c r="BR48" s="165">
        <v>45249.444444444445</v>
      </c>
      <c r="BS48" s="165">
        <v>45249.597222222219</v>
      </c>
      <c r="BT48" s="165">
        <v>45250.934027777781</v>
      </c>
      <c r="BU48" s="165">
        <v>45250.96875</v>
      </c>
      <c r="BV48" s="165">
        <v>45251.0625</v>
      </c>
      <c r="BW48" s="165">
        <v>45251.6875</v>
      </c>
      <c r="BX48" s="126"/>
      <c r="BY48" s="126"/>
      <c r="BZ48" s="136">
        <f t="shared" si="21"/>
        <v>101.08333333331393</v>
      </c>
      <c r="CA48" s="136">
        <f t="shared" si="22"/>
        <v>3.1999999999534339</v>
      </c>
      <c r="CB48" s="136">
        <f t="shared" si="23"/>
        <v>41.000000000058208</v>
      </c>
      <c r="CC48" s="136">
        <f t="shared" si="29"/>
        <v>49.166666666627862</v>
      </c>
      <c r="CD48" s="135">
        <f t="shared" si="24"/>
        <v>32.083333333488554</v>
      </c>
      <c r="CE48" s="135">
        <f t="shared" si="25"/>
        <v>15</v>
      </c>
      <c r="CF48" s="134">
        <f t="shared" si="26"/>
        <v>10.063888888893416</v>
      </c>
      <c r="CG48" s="134">
        <f t="shared" si="27"/>
        <v>16.680555555554747</v>
      </c>
      <c r="CH48" s="133">
        <f t="shared" si="28"/>
        <v>0.60333055786874357</v>
      </c>
      <c r="CI48" s="126"/>
      <c r="CJ48" s="126"/>
    </row>
    <row r="49" spans="1:88" s="475" customFormat="1">
      <c r="A49" s="192">
        <f t="shared" si="30"/>
        <v>45245.083333333336</v>
      </c>
      <c r="B49" s="126" t="s">
        <v>228</v>
      </c>
      <c r="C49" s="126" t="s">
        <v>229</v>
      </c>
      <c r="D49" s="126" t="s">
        <v>197</v>
      </c>
      <c r="E49" s="65" t="s">
        <v>3148</v>
      </c>
      <c r="F49" s="662" t="s">
        <v>3378</v>
      </c>
      <c r="G49" s="879">
        <v>45241.000694444447</v>
      </c>
      <c r="H49" s="879">
        <v>45240.929166666669</v>
      </c>
      <c r="I49" s="662" t="s">
        <v>243</v>
      </c>
      <c r="J49" s="475" t="s">
        <v>192</v>
      </c>
      <c r="K49" s="475" t="s">
        <v>192</v>
      </c>
      <c r="L49" s="662" t="s">
        <v>3519</v>
      </c>
      <c r="M49" s="530"/>
      <c r="N49" s="126" t="s">
        <v>2156</v>
      </c>
      <c r="O49" s="126" t="s">
        <v>3391</v>
      </c>
      <c r="P49" s="126" t="s">
        <v>581</v>
      </c>
      <c r="Q49" s="181">
        <f>3034*2.4</f>
        <v>7281.5999999999995</v>
      </c>
      <c r="R49" s="181">
        <f>7300+100</f>
        <v>7400</v>
      </c>
      <c r="S49" s="181">
        <v>7210.87</v>
      </c>
      <c r="T49" s="662"/>
      <c r="U49" s="663"/>
      <c r="V49" s="663"/>
      <c r="W49" s="663"/>
      <c r="X49" s="878">
        <f>S49*0.8</f>
        <v>5768.6959999999999</v>
      </c>
      <c r="Y49" s="878">
        <f>S49*0.2</f>
        <v>1442.174</v>
      </c>
      <c r="Z49" s="663"/>
      <c r="AA49" s="663"/>
      <c r="AB49" s="663"/>
      <c r="AC49" s="662"/>
      <c r="AD49" s="662"/>
      <c r="AE49" s="662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65">
        <f t="shared" si="18"/>
        <v>45235.9375</v>
      </c>
      <c r="BE49" s="165">
        <f t="shared" si="19"/>
        <v>45252.256944444445</v>
      </c>
      <c r="BF49" s="137">
        <f t="shared" si="20"/>
        <v>16.319444444445253</v>
      </c>
      <c r="BG49" s="165">
        <v>45235.9375</v>
      </c>
      <c r="BH49" s="165">
        <v>45238.388888888891</v>
      </c>
      <c r="BI49" s="165">
        <v>45242.479166666664</v>
      </c>
      <c r="BJ49" s="165">
        <v>45245.083333333336</v>
      </c>
      <c r="BK49" s="165">
        <v>45245.229166666664</v>
      </c>
      <c r="BL49" s="165">
        <v>45245.239583333336</v>
      </c>
      <c r="BM49" s="165">
        <v>45245.25</v>
      </c>
      <c r="BN49" s="165">
        <f t="shared" si="31"/>
        <v>45246.958333333336</v>
      </c>
      <c r="BO49" s="210">
        <v>45247.229166608799</v>
      </c>
      <c r="BP49" s="210">
        <v>45247.395833333336</v>
      </c>
      <c r="BQ49" s="210">
        <v>45247.291666666664</v>
      </c>
      <c r="BR49" s="165">
        <v>45249.190972222219</v>
      </c>
      <c r="BS49" s="165">
        <v>45251.097222222219</v>
      </c>
      <c r="BT49" s="165">
        <v>45251.565972222219</v>
      </c>
      <c r="BU49" s="165">
        <v>45251.583333333336</v>
      </c>
      <c r="BV49" s="165">
        <v>45251.708333333336</v>
      </c>
      <c r="BW49" s="165">
        <v>45252.256944444445</v>
      </c>
      <c r="BX49" s="126"/>
      <c r="BY49" s="126"/>
      <c r="BZ49" s="136">
        <f t="shared" si="21"/>
        <v>98.166666666569654</v>
      </c>
      <c r="CA49" s="136">
        <f t="shared" si="22"/>
        <v>3.4999999998835847</v>
      </c>
      <c r="CB49" s="136">
        <f t="shared" si="23"/>
        <v>41.000000000058208</v>
      </c>
      <c r="CC49" s="136">
        <f t="shared" si="29"/>
        <v>43.083333333197515</v>
      </c>
      <c r="CD49" s="135">
        <f t="shared" si="24"/>
        <v>11.25</v>
      </c>
      <c r="CE49" s="135">
        <f t="shared" si="25"/>
        <v>13.166666666627862</v>
      </c>
      <c r="CF49" s="134">
        <f t="shared" si="26"/>
        <v>8.756944444430701</v>
      </c>
      <c r="CG49" s="134">
        <f t="shared" si="27"/>
        <v>16.319444444445253</v>
      </c>
      <c r="CH49" s="133">
        <f t="shared" si="28"/>
        <v>0.53659574467998228</v>
      </c>
      <c r="CI49" s="126"/>
      <c r="CJ49" s="126"/>
    </row>
    <row r="50" spans="1:88" s="475" customFormat="1">
      <c r="A50" s="474">
        <f t="shared" si="30"/>
        <v>45245.333333333336</v>
      </c>
      <c r="B50" s="475" t="s">
        <v>228</v>
      </c>
      <c r="C50" s="475" t="s">
        <v>229</v>
      </c>
      <c r="D50" s="475" t="s">
        <v>197</v>
      </c>
      <c r="E50" s="476" t="s">
        <v>3148</v>
      </c>
      <c r="F50" s="399" t="s">
        <v>3378</v>
      </c>
      <c r="G50" s="858">
        <v>45241.000694444447</v>
      </c>
      <c r="H50" s="858">
        <v>45240.929166666669</v>
      </c>
      <c r="I50" s="667" t="s">
        <v>243</v>
      </c>
      <c r="J50" s="475" t="s">
        <v>192</v>
      </c>
      <c r="K50" s="475" t="s">
        <v>192</v>
      </c>
      <c r="L50" s="667" t="s">
        <v>3520</v>
      </c>
      <c r="M50" s="530"/>
      <c r="N50" s="475" t="s">
        <v>2295</v>
      </c>
      <c r="O50" s="475" t="s">
        <v>2296</v>
      </c>
      <c r="P50" s="475" t="s">
        <v>581</v>
      </c>
      <c r="Q50" s="477">
        <f>4272*2.4</f>
        <v>10252.799999999999</v>
      </c>
      <c r="R50" s="477">
        <f>10300+100</f>
        <v>10400</v>
      </c>
      <c r="S50" s="477">
        <v>10252.972</v>
      </c>
      <c r="T50" s="399"/>
      <c r="U50" s="401"/>
      <c r="V50" s="401"/>
      <c r="W50" s="401"/>
      <c r="X50" s="726">
        <f>S50*0.8</f>
        <v>8202.3775999999998</v>
      </c>
      <c r="Y50" s="726">
        <f>S50*0.2</f>
        <v>2050.5944</v>
      </c>
      <c r="Z50" s="401"/>
      <c r="AA50" s="401"/>
      <c r="AB50" s="401"/>
      <c r="AC50" s="399"/>
      <c r="AD50" s="399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399"/>
      <c r="AP50" s="399"/>
      <c r="AQ50" s="399"/>
      <c r="AR50" s="399"/>
      <c r="AS50" s="399"/>
      <c r="AT50" s="399"/>
      <c r="AU50" s="399"/>
      <c r="AV50" s="399"/>
      <c r="AW50" s="399"/>
      <c r="BD50" s="473">
        <f t="shared" si="18"/>
        <v>45236</v>
      </c>
      <c r="BE50" s="473">
        <f t="shared" si="19"/>
        <v>45253.208333333336</v>
      </c>
      <c r="BF50" s="479">
        <f t="shared" si="20"/>
        <v>17.208333333335759</v>
      </c>
      <c r="BG50" s="473">
        <v>45236</v>
      </c>
      <c r="BH50" s="473">
        <v>45240.822916666664</v>
      </c>
      <c r="BI50" s="473">
        <v>45242.791666666664</v>
      </c>
      <c r="BJ50" s="473">
        <v>45245.333333333336</v>
      </c>
      <c r="BK50" s="473">
        <v>45245.554166666669</v>
      </c>
      <c r="BL50" s="473">
        <v>45245.559027777781</v>
      </c>
      <c r="BM50" s="473">
        <v>45245.565972222219</v>
      </c>
      <c r="BN50" s="473">
        <f t="shared" si="31"/>
        <v>45247.274305555555</v>
      </c>
      <c r="BO50" s="480">
        <v>45250.291666666664</v>
      </c>
      <c r="BP50" s="480">
        <v>45250.458333333336</v>
      </c>
      <c r="BQ50" s="480">
        <v>45250.413194444445</v>
      </c>
      <c r="BR50" s="473">
        <v>45251.947916666664</v>
      </c>
      <c r="BS50" s="473">
        <v>45252.163194444445</v>
      </c>
      <c r="BT50" s="473">
        <v>45252.5</v>
      </c>
      <c r="BU50" s="473">
        <v>45252.513888888891</v>
      </c>
      <c r="BV50" s="473">
        <v>45252.75</v>
      </c>
      <c r="BW50" s="473">
        <v>45253.208333333336</v>
      </c>
      <c r="BZ50" s="481">
        <f t="shared" si="21"/>
        <v>47.25</v>
      </c>
      <c r="CA50" s="481">
        <f t="shared" si="22"/>
        <v>5.2999999999883585</v>
      </c>
      <c r="CB50" s="481">
        <f t="shared" si="23"/>
        <v>41.000000000058208</v>
      </c>
      <c r="CC50" s="481">
        <f t="shared" si="29"/>
        <v>35.749999999883585</v>
      </c>
      <c r="CD50" s="482">
        <f t="shared" si="24"/>
        <v>8.0833333333139308</v>
      </c>
      <c r="CE50" s="482">
        <f t="shared" si="25"/>
        <v>11.000000000058208</v>
      </c>
      <c r="CF50" s="483">
        <f t="shared" si="26"/>
        <v>6.1826388888875954</v>
      </c>
      <c r="CG50" s="483">
        <f t="shared" si="27"/>
        <v>17.208333333335759</v>
      </c>
      <c r="CH50" s="484">
        <f t="shared" si="28"/>
        <v>0.35928167877307837</v>
      </c>
    </row>
    <row r="51" spans="1:88" s="475" customFormat="1">
      <c r="A51" s="474">
        <f t="shared" si="30"/>
        <v>45245.878472222219</v>
      </c>
      <c r="B51" s="475" t="s">
        <v>228</v>
      </c>
      <c r="C51" s="475" t="s">
        <v>229</v>
      </c>
      <c r="D51" s="475" t="s">
        <v>197</v>
      </c>
      <c r="E51" s="667" t="s">
        <v>3473</v>
      </c>
      <c r="F51" s="475" t="s">
        <v>3474</v>
      </c>
      <c r="G51" s="472">
        <v>45249.083333333336</v>
      </c>
      <c r="H51" s="472">
        <v>45249.083333333336</v>
      </c>
      <c r="I51" s="475" t="s">
        <v>243</v>
      </c>
      <c r="J51" s="475" t="s">
        <v>192</v>
      </c>
      <c r="K51" s="475" t="s">
        <v>192</v>
      </c>
      <c r="L51" s="667" t="s">
        <v>3521</v>
      </c>
      <c r="M51" s="530"/>
      <c r="N51" s="475" t="s">
        <v>686</v>
      </c>
      <c r="O51" s="475" t="s">
        <v>1186</v>
      </c>
      <c r="P51" s="667" t="s">
        <v>235</v>
      </c>
      <c r="Q51" s="477">
        <f>3136*2.4</f>
        <v>7526.4</v>
      </c>
      <c r="R51" s="477">
        <f>7550+100</f>
        <v>7650</v>
      </c>
      <c r="S51" s="477">
        <v>7512.7910000000002</v>
      </c>
      <c r="T51" s="667"/>
      <c r="U51" s="581"/>
      <c r="V51" s="581"/>
      <c r="W51" s="581"/>
      <c r="X51" s="726">
        <f>S51</f>
        <v>7512.7910000000002</v>
      </c>
      <c r="Y51" s="581"/>
      <c r="Z51" s="581"/>
      <c r="AA51" s="581"/>
      <c r="AB51" s="581"/>
      <c r="AC51" s="581"/>
      <c r="AD51" s="724"/>
      <c r="AE51" s="724"/>
      <c r="AF51" s="724"/>
      <c r="AG51" s="724"/>
      <c r="AH51" s="581"/>
      <c r="AI51" s="575"/>
      <c r="BD51" s="473">
        <f t="shared" si="18"/>
        <v>45236.458333333336</v>
      </c>
      <c r="BE51" s="473">
        <f t="shared" si="19"/>
        <v>45254.6875</v>
      </c>
      <c r="BF51" s="479">
        <f t="shared" si="20"/>
        <v>18.229166666664241</v>
      </c>
      <c r="BG51" s="473">
        <v>45236.458333333336</v>
      </c>
      <c r="BH51" s="473">
        <v>45240.788194444445</v>
      </c>
      <c r="BI51" s="473">
        <v>45242.597222222219</v>
      </c>
      <c r="BJ51" s="473">
        <v>45245.878472222219</v>
      </c>
      <c r="BK51" s="473">
        <v>45246.017361111109</v>
      </c>
      <c r="BL51" s="473">
        <v>45246.020833333336</v>
      </c>
      <c r="BM51" s="473">
        <v>45246.020833333336</v>
      </c>
      <c r="BN51" s="473">
        <f t="shared" si="31"/>
        <v>45247.729166666672</v>
      </c>
      <c r="BO51" s="480">
        <v>45248.25</v>
      </c>
      <c r="BP51" s="480">
        <v>45248.416666608799</v>
      </c>
      <c r="BQ51" s="480">
        <v>45248.336805555555</v>
      </c>
      <c r="BR51" s="473">
        <v>45249.829861111109</v>
      </c>
      <c r="BS51" s="473">
        <v>45251.836805555555</v>
      </c>
      <c r="BT51" s="473">
        <v>45254.086805555555</v>
      </c>
      <c r="BU51" s="473">
        <v>45254.104166666664</v>
      </c>
      <c r="BV51" s="473">
        <v>45254.107638888891</v>
      </c>
      <c r="BW51" s="473">
        <v>45254.6875</v>
      </c>
      <c r="BZ51" s="481">
        <f t="shared" si="21"/>
        <v>43.416666666569654</v>
      </c>
      <c r="CA51" s="481">
        <f t="shared" si="22"/>
        <v>3.3333333333721384</v>
      </c>
      <c r="CB51" s="481">
        <f t="shared" si="23"/>
        <v>41.000000000058208</v>
      </c>
      <c r="CC51" s="481">
        <f t="shared" si="29"/>
        <v>33.916668055462651</v>
      </c>
      <c r="CD51" s="482">
        <f t="shared" si="24"/>
        <v>54</v>
      </c>
      <c r="CE51" s="482">
        <f t="shared" si="25"/>
        <v>13.916666666627862</v>
      </c>
      <c r="CF51" s="483">
        <f t="shared" si="26"/>
        <v>7.899305613420438</v>
      </c>
      <c r="CG51" s="483">
        <f t="shared" si="27"/>
        <v>18.229166666664241</v>
      </c>
      <c r="CH51" s="484">
        <f t="shared" si="28"/>
        <v>0.43333333650769312</v>
      </c>
    </row>
    <row r="52" spans="1:88" s="475" customFormat="1">
      <c r="A52" s="474">
        <f t="shared" si="30"/>
        <v>45246.039583333331</v>
      </c>
      <c r="B52" s="475" t="s">
        <v>228</v>
      </c>
      <c r="C52" s="475" t="s">
        <v>229</v>
      </c>
      <c r="D52" s="475" t="s">
        <v>197</v>
      </c>
      <c r="E52" s="476" t="s">
        <v>944</v>
      </c>
      <c r="F52" s="475" t="s">
        <v>3474</v>
      </c>
      <c r="G52" s="472">
        <v>45243.791666666664</v>
      </c>
      <c r="H52" s="472">
        <v>45243.916666666664</v>
      </c>
      <c r="I52" s="475" t="s">
        <v>231</v>
      </c>
      <c r="J52" s="475" t="s">
        <v>192</v>
      </c>
      <c r="K52" s="475" t="s">
        <v>192</v>
      </c>
      <c r="L52" s="667" t="s">
        <v>3522</v>
      </c>
      <c r="M52" s="530"/>
      <c r="N52" s="475" t="s">
        <v>213</v>
      </c>
      <c r="O52" s="475" t="s">
        <v>214</v>
      </c>
      <c r="P52" s="667" t="s">
        <v>418</v>
      </c>
      <c r="Q52" s="477">
        <f>3113*2.4</f>
        <v>7471.2</v>
      </c>
      <c r="R52" s="477">
        <f>7500+100</f>
        <v>7600</v>
      </c>
      <c r="S52" s="477">
        <v>7622.8819999999996</v>
      </c>
      <c r="T52" s="667"/>
      <c r="U52" s="581"/>
      <c r="V52" s="581"/>
      <c r="W52" s="581"/>
      <c r="X52" s="726">
        <f t="shared" ref="X52:X58" si="32">S52*0.65</f>
        <v>4954.8733000000002</v>
      </c>
      <c r="Y52" s="726">
        <f t="shared" ref="Y52:Y58" si="33">S52*0.35</f>
        <v>2668.0086999999999</v>
      </c>
      <c r="Z52" s="581"/>
      <c r="AA52" s="581"/>
      <c r="AB52" s="581"/>
      <c r="AC52" s="667"/>
      <c r="AD52" s="667"/>
      <c r="AE52" s="667"/>
      <c r="AF52" s="667"/>
      <c r="AG52" s="667"/>
      <c r="AH52" s="667"/>
      <c r="AI52" s="667"/>
      <c r="AJ52" s="667"/>
      <c r="AK52" s="667"/>
      <c r="AL52" s="667"/>
      <c r="AM52" s="667"/>
      <c r="AN52" s="667"/>
      <c r="AO52" s="667"/>
      <c r="AP52" s="667"/>
      <c r="AQ52" s="667"/>
      <c r="AR52" s="667"/>
      <c r="AS52" s="667"/>
      <c r="AT52" s="667"/>
      <c r="AU52" s="667"/>
      <c r="AV52" s="667"/>
      <c r="AW52" s="667"/>
      <c r="BD52" s="473">
        <f t="shared" si="18"/>
        <v>45236.565972222219</v>
      </c>
      <c r="BE52" s="473">
        <f t="shared" si="19"/>
        <v>45250.625</v>
      </c>
      <c r="BF52" s="479">
        <f t="shared" si="20"/>
        <v>14.059027777781012</v>
      </c>
      <c r="BG52" s="473">
        <v>45236.565972222219</v>
      </c>
      <c r="BH52" s="473">
        <v>45240.850694444445</v>
      </c>
      <c r="BI52" s="473">
        <v>45242.618055555555</v>
      </c>
      <c r="BJ52" s="473">
        <v>45246.039583333331</v>
      </c>
      <c r="BK52" s="473">
        <v>45246.184027777781</v>
      </c>
      <c r="BL52" s="473">
        <v>45246.194444444445</v>
      </c>
      <c r="BM52" s="473">
        <v>45246.215277777781</v>
      </c>
      <c r="BN52" s="473">
        <f t="shared" si="31"/>
        <v>45247.923611111117</v>
      </c>
      <c r="BO52" s="480">
        <v>45248.25</v>
      </c>
      <c r="BP52" s="480">
        <v>45248.416666608799</v>
      </c>
      <c r="BQ52" s="480">
        <v>45248.399305555555</v>
      </c>
      <c r="BR52" s="473">
        <v>45249.538194444445</v>
      </c>
      <c r="BS52" s="473">
        <v>45250.180555555555</v>
      </c>
      <c r="BT52" s="473">
        <v>45250.388888888891</v>
      </c>
      <c r="BU52" s="473">
        <v>45250.416666666664</v>
      </c>
      <c r="BV52" s="473">
        <v>45250.416666666664</v>
      </c>
      <c r="BW52" s="473">
        <v>45250.625</v>
      </c>
      <c r="BZ52" s="481">
        <f t="shared" si="21"/>
        <v>42.416666666627862</v>
      </c>
      <c r="CA52" s="481">
        <f t="shared" si="22"/>
        <v>3.466666666790843</v>
      </c>
      <c r="CB52" s="481">
        <f t="shared" si="23"/>
        <v>41.000000000058208</v>
      </c>
      <c r="CC52" s="481">
        <f t="shared" si="29"/>
        <v>26.916668055520859</v>
      </c>
      <c r="CD52" s="482">
        <f t="shared" si="24"/>
        <v>5.0000000000582077</v>
      </c>
      <c r="CE52" s="482">
        <f t="shared" si="25"/>
        <v>5.0000000000582077</v>
      </c>
      <c r="CF52" s="483">
        <f t="shared" si="26"/>
        <v>5.1583333912130911</v>
      </c>
      <c r="CG52" s="483">
        <f t="shared" si="27"/>
        <v>14.059027777781012</v>
      </c>
      <c r="CH52" s="484">
        <f t="shared" si="28"/>
        <v>0.3669054128597255</v>
      </c>
    </row>
    <row r="53" spans="1:88" s="475" customFormat="1">
      <c r="A53" s="474">
        <f t="shared" si="30"/>
        <v>45246.253472222219</v>
      </c>
      <c r="B53" s="475" t="s">
        <v>228</v>
      </c>
      <c r="C53" s="475" t="s">
        <v>229</v>
      </c>
      <c r="D53" s="475" t="s">
        <v>215</v>
      </c>
      <c r="E53" s="476" t="s">
        <v>944</v>
      </c>
      <c r="F53" s="475" t="s">
        <v>3474</v>
      </c>
      <c r="G53" s="472">
        <v>45243.791666666664</v>
      </c>
      <c r="H53" s="472">
        <v>45243.916666666664</v>
      </c>
      <c r="I53" s="475" t="s">
        <v>231</v>
      </c>
      <c r="J53" s="475" t="s">
        <v>192</v>
      </c>
      <c r="K53" s="475" t="s">
        <v>192</v>
      </c>
      <c r="L53" s="667" t="s">
        <v>3523</v>
      </c>
      <c r="M53" s="530"/>
      <c r="N53" s="475" t="s">
        <v>774</v>
      </c>
      <c r="O53" s="475" t="s">
        <v>423</v>
      </c>
      <c r="P53" s="667" t="s">
        <v>418</v>
      </c>
      <c r="Q53" s="477">
        <f>3156*2.4</f>
        <v>7574.4</v>
      </c>
      <c r="R53" s="477">
        <f>7600+100</f>
        <v>7700</v>
      </c>
      <c r="S53" s="477">
        <v>7658.0259999999998</v>
      </c>
      <c r="T53" s="667"/>
      <c r="U53" s="581"/>
      <c r="V53" s="581"/>
      <c r="W53" s="581"/>
      <c r="X53" s="726">
        <f t="shared" si="32"/>
        <v>4977.7169000000004</v>
      </c>
      <c r="Y53" s="726">
        <f t="shared" si="33"/>
        <v>2680.3090999999999</v>
      </c>
      <c r="Z53" s="581"/>
      <c r="AA53" s="581"/>
      <c r="AB53" s="581"/>
      <c r="AC53" s="581"/>
      <c r="AD53" s="577"/>
      <c r="AE53" s="575"/>
      <c r="AF53" s="575"/>
      <c r="AG53" s="575"/>
      <c r="AH53" s="575"/>
      <c r="AI53" s="575"/>
      <c r="BD53" s="473">
        <f t="shared" si="18"/>
        <v>45238.541666666664</v>
      </c>
      <c r="BE53" s="473">
        <f t="shared" si="19"/>
        <v>45251.125</v>
      </c>
      <c r="BF53" s="479">
        <f t="shared" si="20"/>
        <v>12.583333333335759</v>
      </c>
      <c r="BG53" s="473">
        <v>45238.541666666664</v>
      </c>
      <c r="BH53" s="473">
        <v>45241.371527777781</v>
      </c>
      <c r="BI53" s="473">
        <v>45243.083333333336</v>
      </c>
      <c r="BJ53" s="473">
        <v>45246.253472222219</v>
      </c>
      <c r="BK53" s="473">
        <v>45246.447916666664</v>
      </c>
      <c r="BL53" s="473">
        <v>45246.451388888891</v>
      </c>
      <c r="BM53" s="473">
        <v>45246.454861111109</v>
      </c>
      <c r="BN53" s="473">
        <f t="shared" si="31"/>
        <v>45248.163194444445</v>
      </c>
      <c r="BO53" s="480">
        <v>45248.25</v>
      </c>
      <c r="BP53" s="480">
        <v>45248.416666608799</v>
      </c>
      <c r="BQ53" s="480">
        <v>45248.354166666664</v>
      </c>
      <c r="BR53" s="473">
        <v>45249.513888888891</v>
      </c>
      <c r="BS53" s="473">
        <v>45250.451388888891</v>
      </c>
      <c r="BT53" s="473">
        <v>45250.777777777781</v>
      </c>
      <c r="BU53" s="473">
        <v>45250.809027777781</v>
      </c>
      <c r="BV53" s="473">
        <v>45250.809027777781</v>
      </c>
      <c r="BW53" s="473">
        <v>45251.125</v>
      </c>
      <c r="BZ53" s="481">
        <f t="shared" si="21"/>
        <v>41.083333333313931</v>
      </c>
      <c r="CA53" s="481">
        <f t="shared" si="22"/>
        <v>4.6666666666860692</v>
      </c>
      <c r="CB53" s="481">
        <f t="shared" si="23"/>
        <v>41.000000000058208</v>
      </c>
      <c r="CC53" s="481">
        <f t="shared" si="29"/>
        <v>26.333334722206928</v>
      </c>
      <c r="CD53" s="482">
        <f t="shared" si="24"/>
        <v>7.8333333333721384</v>
      </c>
      <c r="CE53" s="482">
        <f t="shared" si="25"/>
        <v>7.5833333332557231</v>
      </c>
      <c r="CF53" s="483">
        <f t="shared" si="26"/>
        <v>5.3541667245372082</v>
      </c>
      <c r="CG53" s="483">
        <f t="shared" si="27"/>
        <v>12.583333333335759</v>
      </c>
      <c r="CH53" s="484">
        <f t="shared" si="28"/>
        <v>0.42549669334062329</v>
      </c>
    </row>
    <row r="54" spans="1:88" s="475" customFormat="1">
      <c r="A54" s="192">
        <f t="shared" si="30"/>
        <v>45246.6875</v>
      </c>
      <c r="B54" s="126" t="s">
        <v>228</v>
      </c>
      <c r="C54" s="126" t="s">
        <v>229</v>
      </c>
      <c r="D54" s="126" t="s">
        <v>215</v>
      </c>
      <c r="E54" s="65" t="s">
        <v>944</v>
      </c>
      <c r="F54" s="126" t="s">
        <v>3474</v>
      </c>
      <c r="G54" s="316">
        <v>45243.791666666664</v>
      </c>
      <c r="H54" s="316">
        <v>45243.916666666664</v>
      </c>
      <c r="I54" s="126" t="s">
        <v>231</v>
      </c>
      <c r="J54" s="475" t="s">
        <v>192</v>
      </c>
      <c r="K54" s="475" t="s">
        <v>192</v>
      </c>
      <c r="L54" s="662" t="s">
        <v>3524</v>
      </c>
      <c r="M54" s="530"/>
      <c r="N54" s="126" t="s">
        <v>301</v>
      </c>
      <c r="O54" s="126" t="s">
        <v>302</v>
      </c>
      <c r="P54" s="662" t="s">
        <v>418</v>
      </c>
      <c r="Q54" s="181">
        <f>3852*2.4</f>
        <v>9244.7999999999993</v>
      </c>
      <c r="R54" s="181">
        <v>9250</v>
      </c>
      <c r="S54" s="181">
        <v>9115.8729999999996</v>
      </c>
      <c r="T54" s="662"/>
      <c r="U54" s="663"/>
      <c r="V54" s="663"/>
      <c r="W54" s="663"/>
      <c r="X54" s="878">
        <f t="shared" si="32"/>
        <v>5925.3174499999996</v>
      </c>
      <c r="Y54" s="878">
        <f t="shared" si="33"/>
        <v>3190.5555499999996</v>
      </c>
      <c r="Z54" s="663"/>
      <c r="AA54" s="663"/>
      <c r="AB54" s="663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65">
        <f t="shared" si="18"/>
        <v>45237.291666666664</v>
      </c>
      <c r="BE54" s="165">
        <f t="shared" si="19"/>
        <v>45251.37222222222</v>
      </c>
      <c r="BF54" s="137">
        <f t="shared" si="20"/>
        <v>14.080555555556202</v>
      </c>
      <c r="BG54" s="165">
        <v>45237.291666666664</v>
      </c>
      <c r="BH54" s="165">
        <v>45241.78125</v>
      </c>
      <c r="BI54" s="165">
        <v>45243.517361111109</v>
      </c>
      <c r="BJ54" s="165">
        <v>45246.6875</v>
      </c>
      <c r="BK54" s="165">
        <v>45246.885416666664</v>
      </c>
      <c r="BL54" s="165">
        <v>45246.888888888891</v>
      </c>
      <c r="BM54" s="165">
        <v>45246.895833333336</v>
      </c>
      <c r="BN54" s="165">
        <f t="shared" si="31"/>
        <v>45248.604166666672</v>
      </c>
      <c r="BO54" s="210">
        <v>45248.25</v>
      </c>
      <c r="BP54" s="210">
        <v>45248.416666608799</v>
      </c>
      <c r="BQ54" s="210">
        <v>45248.392361111109</v>
      </c>
      <c r="BR54" s="165">
        <v>45249.763888888891</v>
      </c>
      <c r="BS54" s="165">
        <v>45250.847222222219</v>
      </c>
      <c r="BT54" s="165">
        <v>45251.048611111109</v>
      </c>
      <c r="BU54" s="165">
        <v>45251.083333333336</v>
      </c>
      <c r="BV54" s="165">
        <v>45251.083333333336</v>
      </c>
      <c r="BW54" s="165">
        <v>45251.37222222222</v>
      </c>
      <c r="BX54" s="126"/>
      <c r="BY54" s="126"/>
      <c r="BZ54" s="136">
        <f t="shared" si="21"/>
        <v>41.666666666627862</v>
      </c>
      <c r="CA54" s="136">
        <f t="shared" si="22"/>
        <v>4.7499999999417923</v>
      </c>
      <c r="CB54" s="136">
        <f t="shared" si="23"/>
        <v>41.000000000058208</v>
      </c>
      <c r="CC54" s="136">
        <f t="shared" si="29"/>
        <v>32.333334722206928</v>
      </c>
      <c r="CD54" s="135">
        <f t="shared" si="24"/>
        <v>4.8333333333721384</v>
      </c>
      <c r="CE54" s="135">
        <f t="shared" si="25"/>
        <v>6.9333333332324401</v>
      </c>
      <c r="CF54" s="134">
        <f t="shared" si="26"/>
        <v>5.4798611689766403</v>
      </c>
      <c r="CG54" s="134">
        <f t="shared" si="27"/>
        <v>14.080555555556202</v>
      </c>
      <c r="CH54" s="133">
        <f t="shared" si="28"/>
        <v>0.38917932942029987</v>
      </c>
      <c r="CI54" s="126"/>
      <c r="CJ54" s="126"/>
    </row>
    <row r="55" spans="1:88" s="475" customFormat="1">
      <c r="A55" s="192">
        <f t="shared" si="30"/>
        <v>45246.909722222219</v>
      </c>
      <c r="B55" s="126" t="s">
        <v>228</v>
      </c>
      <c r="C55" s="126" t="s">
        <v>229</v>
      </c>
      <c r="D55" s="126" t="s">
        <v>197</v>
      </c>
      <c r="E55" s="65" t="s">
        <v>944</v>
      </c>
      <c r="F55" s="126" t="s">
        <v>3474</v>
      </c>
      <c r="G55" s="316">
        <v>45243.791666666664</v>
      </c>
      <c r="H55" s="316">
        <v>45243.916666666664</v>
      </c>
      <c r="I55" s="126" t="s">
        <v>231</v>
      </c>
      <c r="J55" s="475" t="s">
        <v>192</v>
      </c>
      <c r="K55" s="475" t="s">
        <v>192</v>
      </c>
      <c r="L55" s="662" t="s">
        <v>3525</v>
      </c>
      <c r="M55" s="530"/>
      <c r="N55" s="126" t="s">
        <v>1313</v>
      </c>
      <c r="O55" s="126" t="s">
        <v>2486</v>
      </c>
      <c r="P55" s="126" t="s">
        <v>418</v>
      </c>
      <c r="Q55" s="181">
        <f>3071*2.4</f>
        <v>7370.4</v>
      </c>
      <c r="R55" s="181">
        <f>7400+100</f>
        <v>7500</v>
      </c>
      <c r="S55" s="181">
        <v>7454.99</v>
      </c>
      <c r="T55" s="662"/>
      <c r="U55" s="663"/>
      <c r="V55" s="663"/>
      <c r="W55" s="663"/>
      <c r="X55" s="878">
        <f t="shared" si="32"/>
        <v>4845.7434999999996</v>
      </c>
      <c r="Y55" s="878">
        <f t="shared" si="33"/>
        <v>2609.2464999999997</v>
      </c>
      <c r="Z55" s="663"/>
      <c r="AA55" s="663"/>
      <c r="AB55" s="663"/>
      <c r="AC55" s="663"/>
      <c r="AD55" s="663"/>
      <c r="AE55" s="663"/>
      <c r="AF55" s="126"/>
      <c r="AG55" s="126"/>
      <c r="AH55" s="126"/>
      <c r="AI55" s="126"/>
      <c r="AJ55" s="126"/>
      <c r="AK55" s="126"/>
      <c r="AL55" s="126"/>
      <c r="AM55" s="663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65">
        <f t="shared" si="18"/>
        <v>45237.125</v>
      </c>
      <c r="BE55" s="165">
        <f t="shared" si="19"/>
        <v>45251.680555555555</v>
      </c>
      <c r="BF55" s="137">
        <f t="shared" si="20"/>
        <v>14.555555555554747</v>
      </c>
      <c r="BG55" s="165">
        <v>45237.125</v>
      </c>
      <c r="BH55" s="165">
        <v>45241.364583333336</v>
      </c>
      <c r="BI55" s="165">
        <v>45243.708333333336</v>
      </c>
      <c r="BJ55" s="165">
        <v>45246.909722222219</v>
      </c>
      <c r="BK55" s="165">
        <v>45247.038194444445</v>
      </c>
      <c r="BL55" s="165">
        <v>45247.045138888891</v>
      </c>
      <c r="BM55" s="165">
        <v>45247.052083333336</v>
      </c>
      <c r="BN55" s="165">
        <f t="shared" si="31"/>
        <v>45248.760416666672</v>
      </c>
      <c r="BO55" s="210">
        <v>45249.25</v>
      </c>
      <c r="BP55" s="210">
        <v>45249.416666608799</v>
      </c>
      <c r="BQ55" s="210">
        <v>45249.361111111109</v>
      </c>
      <c r="BR55" s="165">
        <v>45250.75</v>
      </c>
      <c r="BS55" s="165">
        <v>45251.125</v>
      </c>
      <c r="BT55" s="165">
        <v>45251.347222222219</v>
      </c>
      <c r="BU55" s="165">
        <v>45251.375</v>
      </c>
      <c r="BV55" s="165">
        <v>45251.375</v>
      </c>
      <c r="BW55" s="165">
        <v>45251.680555555555</v>
      </c>
      <c r="BX55" s="126"/>
      <c r="BY55" s="126"/>
      <c r="BZ55" s="136">
        <f t="shared" si="21"/>
        <v>56.25</v>
      </c>
      <c r="CA55" s="136">
        <f t="shared" si="22"/>
        <v>3.0833333334303461</v>
      </c>
      <c r="CB55" s="136">
        <f t="shared" si="23"/>
        <v>41.000000000058208</v>
      </c>
      <c r="CC55" s="136">
        <f t="shared" si="29"/>
        <v>32.000001388834789</v>
      </c>
      <c r="CD55" s="135">
        <f t="shared" si="24"/>
        <v>5.3333333332557231</v>
      </c>
      <c r="CE55" s="135">
        <f t="shared" si="25"/>
        <v>7.3333333333139308</v>
      </c>
      <c r="CF55" s="134">
        <f t="shared" si="26"/>
        <v>6.0416667245372082</v>
      </c>
      <c r="CG55" s="134">
        <f t="shared" si="27"/>
        <v>14.555555555554747</v>
      </c>
      <c r="CH55" s="133">
        <f t="shared" si="28"/>
        <v>0.41507633985372439</v>
      </c>
      <c r="CI55" s="126"/>
      <c r="CJ55" s="126"/>
    </row>
    <row r="56" spans="1:88" s="475" customFormat="1">
      <c r="A56" s="192">
        <f t="shared" si="30"/>
        <v>45247.063888888886</v>
      </c>
      <c r="B56" s="126" t="s">
        <v>228</v>
      </c>
      <c r="C56" s="126" t="s">
        <v>229</v>
      </c>
      <c r="D56" s="126" t="s">
        <v>215</v>
      </c>
      <c r="E56" s="65" t="s">
        <v>944</v>
      </c>
      <c r="F56" s="126" t="s">
        <v>3474</v>
      </c>
      <c r="G56" s="316">
        <v>45243.791666666664</v>
      </c>
      <c r="H56" s="316">
        <v>45243.916666666664</v>
      </c>
      <c r="I56" s="126" t="s">
        <v>231</v>
      </c>
      <c r="J56" s="475" t="s">
        <v>192</v>
      </c>
      <c r="K56" s="475" t="s">
        <v>192</v>
      </c>
      <c r="L56" s="662" t="s">
        <v>3526</v>
      </c>
      <c r="M56" s="530"/>
      <c r="N56" s="126" t="s">
        <v>422</v>
      </c>
      <c r="O56" s="126" t="s">
        <v>3342</v>
      </c>
      <c r="P56" s="662" t="s">
        <v>418</v>
      </c>
      <c r="Q56" s="181">
        <f>3094*2.4</f>
        <v>7425.5999999999995</v>
      </c>
      <c r="R56" s="181">
        <f>7450+100</f>
        <v>7550</v>
      </c>
      <c r="S56" s="181">
        <v>7467.683</v>
      </c>
      <c r="T56" s="662"/>
      <c r="U56" s="663"/>
      <c r="V56" s="663"/>
      <c r="W56" s="663"/>
      <c r="X56" s="878">
        <f t="shared" si="32"/>
        <v>4853.99395</v>
      </c>
      <c r="Y56" s="878">
        <f t="shared" si="33"/>
        <v>2613.68905</v>
      </c>
      <c r="Z56" s="663"/>
      <c r="AA56" s="663"/>
      <c r="AB56" s="663"/>
      <c r="AC56" s="663"/>
      <c r="AD56" s="663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  <c r="BD56" s="165">
        <f t="shared" si="18"/>
        <v>45238.850694444445</v>
      </c>
      <c r="BE56" s="165">
        <f t="shared" si="19"/>
        <v>45252.256944444445</v>
      </c>
      <c r="BF56" s="137">
        <f t="shared" si="20"/>
        <v>13.40625</v>
      </c>
      <c r="BG56" s="165">
        <v>45238.850694444445</v>
      </c>
      <c r="BH56" s="165">
        <v>45243.569444444445</v>
      </c>
      <c r="BI56" s="165">
        <v>45245.270833333336</v>
      </c>
      <c r="BJ56" s="165">
        <v>45247.063888888886</v>
      </c>
      <c r="BK56" s="165">
        <v>45247.208333333336</v>
      </c>
      <c r="BL56" s="165">
        <v>45247.21875</v>
      </c>
      <c r="BM56" s="165">
        <v>45247.220833333333</v>
      </c>
      <c r="BN56" s="165">
        <f t="shared" si="31"/>
        <v>45248.929166666669</v>
      </c>
      <c r="BO56" s="165">
        <v>45249.25</v>
      </c>
      <c r="BP56" s="165">
        <v>45249.416666608799</v>
      </c>
      <c r="BQ56" s="165">
        <v>45249.388888888891</v>
      </c>
      <c r="BR56" s="165">
        <v>45250.440972222219</v>
      </c>
      <c r="BS56" s="165">
        <v>45251.416666666664</v>
      </c>
      <c r="BT56" s="165">
        <v>45251.854166666664</v>
      </c>
      <c r="BU56" s="165">
        <v>45251.878472222219</v>
      </c>
      <c r="BV56" s="165">
        <v>45251.878472222219</v>
      </c>
      <c r="BW56" s="165">
        <v>45252.256944444445</v>
      </c>
      <c r="BX56" s="126"/>
      <c r="BY56" s="126"/>
      <c r="BZ56" s="136">
        <f t="shared" si="21"/>
        <v>40.833333333372138</v>
      </c>
      <c r="CA56" s="136">
        <f t="shared" si="22"/>
        <v>3.466666666790843</v>
      </c>
      <c r="CB56" s="136">
        <f t="shared" si="23"/>
        <v>41.000000000058208</v>
      </c>
      <c r="CC56" s="136">
        <f t="shared" si="29"/>
        <v>24.583334722090513</v>
      </c>
      <c r="CD56" s="135">
        <f t="shared" si="24"/>
        <v>10.5</v>
      </c>
      <c r="CE56" s="135">
        <f t="shared" si="25"/>
        <v>9.0833333334303461</v>
      </c>
      <c r="CF56" s="134">
        <f t="shared" si="26"/>
        <v>5.3944445023225853</v>
      </c>
      <c r="CG56" s="134">
        <f t="shared" si="27"/>
        <v>13.40625</v>
      </c>
      <c r="CH56" s="133">
        <f t="shared" si="28"/>
        <v>0.402382806700053</v>
      </c>
      <c r="CI56" s="126"/>
      <c r="CJ56" s="126"/>
    </row>
    <row r="57" spans="1:88" s="475" customFormat="1">
      <c r="A57" s="474">
        <f t="shared" si="30"/>
        <v>45247.240972222222</v>
      </c>
      <c r="B57" s="475" t="s">
        <v>228</v>
      </c>
      <c r="C57" s="475" t="s">
        <v>229</v>
      </c>
      <c r="D57" s="475" t="s">
        <v>215</v>
      </c>
      <c r="E57" s="476" t="s">
        <v>944</v>
      </c>
      <c r="F57" s="475" t="s">
        <v>3474</v>
      </c>
      <c r="G57" s="472">
        <v>45243.791666666664</v>
      </c>
      <c r="H57" s="472">
        <v>45243.916666666664</v>
      </c>
      <c r="I57" s="475" t="s">
        <v>231</v>
      </c>
      <c r="J57" s="475" t="s">
        <v>192</v>
      </c>
      <c r="K57" s="475" t="s">
        <v>192</v>
      </c>
      <c r="L57" s="667" t="s">
        <v>3527</v>
      </c>
      <c r="M57" s="530"/>
      <c r="N57" s="475" t="s">
        <v>390</v>
      </c>
      <c r="O57" s="475" t="s">
        <v>3346</v>
      </c>
      <c r="P57" s="667" t="s">
        <v>418</v>
      </c>
      <c r="Q57" s="477">
        <f>3094*2.4</f>
        <v>7425.5999999999995</v>
      </c>
      <c r="R57" s="477">
        <f>7450+100</f>
        <v>7550</v>
      </c>
      <c r="S57" s="477">
        <f>7463.262-6312.923</f>
        <v>1150.3389999999999</v>
      </c>
      <c r="T57" s="667"/>
      <c r="U57" s="581"/>
      <c r="V57" s="581"/>
      <c r="W57" s="581"/>
      <c r="X57" s="726">
        <f t="shared" si="32"/>
        <v>747.72034999999994</v>
      </c>
      <c r="Y57" s="726">
        <f t="shared" si="33"/>
        <v>402.61864999999995</v>
      </c>
      <c r="Z57" s="581"/>
      <c r="AA57" s="581"/>
      <c r="AB57" s="581"/>
      <c r="AC57" s="581"/>
      <c r="AD57" s="581"/>
      <c r="AE57" s="667"/>
      <c r="AF57" s="667"/>
      <c r="AG57" s="667"/>
      <c r="AH57" s="667"/>
      <c r="AI57" s="667"/>
      <c r="AJ57" s="667"/>
      <c r="AK57" s="667"/>
      <c r="AL57" s="667"/>
      <c r="AM57" s="667"/>
      <c r="AN57" s="667"/>
      <c r="AO57" s="667"/>
      <c r="AP57" s="667"/>
      <c r="AQ57" s="667"/>
      <c r="AR57" s="667"/>
      <c r="AS57" s="667"/>
      <c r="AT57" s="667"/>
      <c r="AU57" s="667"/>
      <c r="AV57" s="667"/>
      <c r="AW57" s="667"/>
      <c r="AX57" s="667"/>
      <c r="AY57" s="667"/>
      <c r="AZ57" s="667"/>
      <c r="BA57" s="667"/>
      <c r="BB57" s="667"/>
      <c r="BC57" s="667"/>
      <c r="BD57" s="473">
        <f t="shared" si="18"/>
        <v>45238.9375</v>
      </c>
      <c r="BE57" s="473">
        <f t="shared" si="19"/>
        <v>45251.996527777781</v>
      </c>
      <c r="BF57" s="479">
        <f t="shared" si="20"/>
        <v>13.059027777781012</v>
      </c>
      <c r="BG57" s="473">
        <v>45238.9375</v>
      </c>
      <c r="BH57" s="473">
        <v>45243.583333333336</v>
      </c>
      <c r="BI57" s="473">
        <v>45245.4375</v>
      </c>
      <c r="BJ57" s="473">
        <v>45247.240972222222</v>
      </c>
      <c r="BK57" s="473">
        <v>45247.413194444445</v>
      </c>
      <c r="BL57" s="473">
        <v>45247.420138888891</v>
      </c>
      <c r="BM57" s="473">
        <v>45247.420138888891</v>
      </c>
      <c r="BN57" s="473">
        <f t="shared" si="31"/>
        <v>45249.128472222226</v>
      </c>
      <c r="BO57" s="480">
        <v>45249.25</v>
      </c>
      <c r="BP57" s="480">
        <v>45249.416666608799</v>
      </c>
      <c r="BQ57" s="480">
        <v>45249.291666666664</v>
      </c>
      <c r="BR57" s="473">
        <v>45250.458333333336</v>
      </c>
      <c r="BS57" s="473">
        <v>45251.909722222219</v>
      </c>
      <c r="BT57" s="473">
        <v>45251.947916666664</v>
      </c>
      <c r="BU57" s="473">
        <v>45251.996527777781</v>
      </c>
      <c r="BV57" s="473">
        <v>45251.996527777781</v>
      </c>
      <c r="BW57" s="473">
        <v>45251.996527777781</v>
      </c>
      <c r="BZ57" s="481">
        <f t="shared" si="21"/>
        <v>44.499999999941792</v>
      </c>
      <c r="CA57" s="481">
        <f t="shared" si="22"/>
        <v>4.1333333333604969</v>
      </c>
      <c r="CB57" s="481">
        <f t="shared" si="23"/>
        <v>41.000000000058208</v>
      </c>
      <c r="CC57" s="481">
        <f t="shared" si="29"/>
        <v>25.000001388892997</v>
      </c>
      <c r="CD57" s="482">
        <f t="shared" si="24"/>
        <v>0.91666666668606922</v>
      </c>
      <c r="CE57" s="482">
        <f t="shared" si="25"/>
        <v>0</v>
      </c>
      <c r="CF57" s="483">
        <f t="shared" si="26"/>
        <v>4.8145833912058151</v>
      </c>
      <c r="CG57" s="483">
        <f t="shared" si="27"/>
        <v>13.059027777781012</v>
      </c>
      <c r="CH57" s="484">
        <f t="shared" si="28"/>
        <v>0.36867854737222316</v>
      </c>
    </row>
    <row r="58" spans="1:88" s="475" customFormat="1">
      <c r="A58" s="474">
        <f t="shared" si="30"/>
        <v>45247.240972222222</v>
      </c>
      <c r="B58" s="475" t="s">
        <v>228</v>
      </c>
      <c r="C58" s="475" t="s">
        <v>229</v>
      </c>
      <c r="D58" s="475" t="s">
        <v>215</v>
      </c>
      <c r="E58" s="476" t="s">
        <v>3152</v>
      </c>
      <c r="F58" s="475" t="s">
        <v>3474</v>
      </c>
      <c r="G58" s="472">
        <v>45251.416666666664</v>
      </c>
      <c r="H58" s="472">
        <v>45251.387499999997</v>
      </c>
      <c r="I58" s="475" t="s">
        <v>231</v>
      </c>
      <c r="J58" s="475" t="s">
        <v>192</v>
      </c>
      <c r="K58" s="475" t="s">
        <v>192</v>
      </c>
      <c r="L58" s="667" t="s">
        <v>3527</v>
      </c>
      <c r="M58" s="530"/>
      <c r="N58" s="475" t="s">
        <v>390</v>
      </c>
      <c r="O58" s="475" t="s">
        <v>3346</v>
      </c>
      <c r="P58" s="667" t="s">
        <v>418</v>
      </c>
      <c r="Q58" s="477">
        <f>3094*2.4</f>
        <v>7425.5999999999995</v>
      </c>
      <c r="R58" s="477">
        <f>7450+100</f>
        <v>7550</v>
      </c>
      <c r="S58" s="477">
        <f>5366.608</f>
        <v>5366.6080000000002</v>
      </c>
      <c r="T58" s="667"/>
      <c r="U58" s="581"/>
      <c r="V58" s="581"/>
      <c r="W58" s="581"/>
      <c r="X58" s="726">
        <f t="shared" si="32"/>
        <v>3488.2952</v>
      </c>
      <c r="Y58" s="726">
        <f t="shared" si="33"/>
        <v>1878.3127999999999</v>
      </c>
      <c r="Z58" s="581"/>
      <c r="AA58" s="581"/>
      <c r="AB58" s="581"/>
      <c r="AC58" s="581"/>
      <c r="AD58" s="581"/>
      <c r="AE58" s="667"/>
      <c r="AF58" s="667"/>
      <c r="AG58" s="667"/>
      <c r="AH58" s="667"/>
      <c r="AI58" s="667"/>
      <c r="AJ58" s="667"/>
      <c r="AK58" s="667"/>
      <c r="AL58" s="667"/>
      <c r="AM58" s="667"/>
      <c r="AN58" s="667"/>
      <c r="AO58" s="667"/>
      <c r="AP58" s="667"/>
      <c r="AQ58" s="667"/>
      <c r="AR58" s="667"/>
      <c r="AS58" s="667"/>
      <c r="AT58" s="667"/>
      <c r="AU58" s="667"/>
      <c r="AV58" s="667"/>
      <c r="AW58" s="667"/>
      <c r="AX58" s="667"/>
      <c r="AY58" s="667"/>
      <c r="AZ58" s="667"/>
      <c r="BA58" s="667"/>
      <c r="BB58" s="667"/>
      <c r="BC58" s="667"/>
      <c r="BD58" s="473">
        <f t="shared" si="18"/>
        <v>45238.9375</v>
      </c>
      <c r="BE58" s="473">
        <f t="shared" si="19"/>
        <v>45254.729166666664</v>
      </c>
      <c r="BF58" s="479">
        <f t="shared" si="20"/>
        <v>15.791666666664241</v>
      </c>
      <c r="BG58" s="473">
        <v>45238.9375</v>
      </c>
      <c r="BH58" s="473">
        <v>45243.583333333336</v>
      </c>
      <c r="BI58" s="473">
        <v>45245.4375</v>
      </c>
      <c r="BJ58" s="473">
        <v>45247.240972222222</v>
      </c>
      <c r="BK58" s="473">
        <v>45247.413194444445</v>
      </c>
      <c r="BL58" s="473">
        <v>45247.420138888891</v>
      </c>
      <c r="BM58" s="473">
        <v>45247.420138888891</v>
      </c>
      <c r="BN58" s="473">
        <f t="shared" si="31"/>
        <v>45249.128472222226</v>
      </c>
      <c r="BO58" s="480">
        <v>45249.25</v>
      </c>
      <c r="BP58" s="480">
        <v>45249.416666608799</v>
      </c>
      <c r="BQ58" s="480">
        <v>45249.291666666664</v>
      </c>
      <c r="BR58" s="473">
        <v>45251.996527777781</v>
      </c>
      <c r="BS58" s="473">
        <v>45254.131944444445</v>
      </c>
      <c r="BT58" s="473">
        <v>45254.263888888891</v>
      </c>
      <c r="BU58" s="473">
        <v>45254.284722222219</v>
      </c>
      <c r="BV58" s="473">
        <v>45254.284722222219</v>
      </c>
      <c r="BW58" s="473">
        <v>45254.729166666664</v>
      </c>
      <c r="BZ58" s="481">
        <f t="shared" si="21"/>
        <v>44.499999999941792</v>
      </c>
      <c r="CA58" s="481">
        <f t="shared" si="22"/>
        <v>4.1333333333604969</v>
      </c>
      <c r="CB58" s="481">
        <f t="shared" si="23"/>
        <v>41.000000000058208</v>
      </c>
      <c r="CC58" s="481">
        <f t="shared" si="29"/>
        <v>61.916668055579066</v>
      </c>
      <c r="CD58" s="482">
        <f t="shared" si="24"/>
        <v>3.1666666666860692</v>
      </c>
      <c r="CE58" s="482">
        <f t="shared" si="25"/>
        <v>10.666666666686069</v>
      </c>
      <c r="CF58" s="483">
        <f t="shared" si="26"/>
        <v>6.8909722800963209</v>
      </c>
      <c r="CG58" s="483">
        <f t="shared" si="27"/>
        <v>15.791666666664241</v>
      </c>
      <c r="CH58" s="484">
        <f t="shared" si="28"/>
        <v>0.43636763778980764</v>
      </c>
    </row>
    <row r="59" spans="1:88" s="475" customFormat="1">
      <c r="A59" s="474">
        <f t="shared" si="30"/>
        <v>45247.649305555555</v>
      </c>
      <c r="B59" s="475" t="s">
        <v>228</v>
      </c>
      <c r="C59" s="475" t="s">
        <v>229</v>
      </c>
      <c r="D59" s="475" t="s">
        <v>197</v>
      </c>
      <c r="E59" s="667" t="s">
        <v>3152</v>
      </c>
      <c r="F59" s="475" t="s">
        <v>3474</v>
      </c>
      <c r="G59" s="472">
        <v>45251.416666666664</v>
      </c>
      <c r="H59" s="472">
        <v>45251.387499999997</v>
      </c>
      <c r="I59" s="667" t="s">
        <v>231</v>
      </c>
      <c r="J59" s="475" t="s">
        <v>192</v>
      </c>
      <c r="K59" s="475" t="s">
        <v>192</v>
      </c>
      <c r="L59" s="667" t="s">
        <v>3528</v>
      </c>
      <c r="M59" s="530"/>
      <c r="N59" s="475" t="s">
        <v>1240</v>
      </c>
      <c r="O59" s="475" t="s">
        <v>1241</v>
      </c>
      <c r="P59" s="667" t="s">
        <v>1472</v>
      </c>
      <c r="Q59" s="477">
        <f>3243*2.4</f>
        <v>7783.2</v>
      </c>
      <c r="R59" s="477">
        <f>7800+100</f>
        <v>7900</v>
      </c>
      <c r="S59" s="477">
        <v>7820.72</v>
      </c>
      <c r="T59" s="667"/>
      <c r="U59" s="581"/>
      <c r="V59" s="581"/>
      <c r="W59" s="581"/>
      <c r="X59" s="726">
        <f>S59*0.55</f>
        <v>4301.3960000000006</v>
      </c>
      <c r="Y59" s="726">
        <f>S59*0.45</f>
        <v>3519.3240000000001</v>
      </c>
      <c r="Z59" s="581"/>
      <c r="AA59" s="581"/>
      <c r="AB59" s="581"/>
      <c r="AC59" s="581"/>
      <c r="AD59" s="581"/>
      <c r="AE59" s="401"/>
      <c r="AF59" s="401"/>
      <c r="AG59" s="401"/>
      <c r="AH59" s="401"/>
      <c r="AI59" s="401"/>
      <c r="AJ59" s="401"/>
      <c r="AK59" s="401"/>
      <c r="AL59" s="401"/>
      <c r="AM59" s="401"/>
      <c r="AN59" s="401"/>
      <c r="AO59" s="401"/>
      <c r="AP59" s="401"/>
      <c r="AQ59" s="401"/>
      <c r="AR59" s="401"/>
      <c r="AS59" s="401"/>
      <c r="AT59" s="401"/>
      <c r="AU59" s="401"/>
      <c r="BD59" s="473">
        <f t="shared" si="18"/>
        <v>45239.194444444445</v>
      </c>
      <c r="BE59" s="473">
        <f t="shared" si="19"/>
        <v>45258.159722222219</v>
      </c>
      <c r="BF59" s="479">
        <f t="shared" si="20"/>
        <v>18.965277777773736</v>
      </c>
      <c r="BG59" s="473">
        <v>45239.194444444445</v>
      </c>
      <c r="BH59" s="473">
        <v>45243.795138888891</v>
      </c>
      <c r="BI59" s="473">
        <v>45245.756944444445</v>
      </c>
      <c r="BJ59" s="473">
        <v>45247.649305555555</v>
      </c>
      <c r="BK59" s="473">
        <v>45247.826388888891</v>
      </c>
      <c r="BL59" s="473">
        <v>45247.833333333336</v>
      </c>
      <c r="BM59" s="473">
        <v>45247.836805555555</v>
      </c>
      <c r="BN59" s="473">
        <f t="shared" si="31"/>
        <v>45249.545138888891</v>
      </c>
      <c r="BO59" s="480">
        <v>45250.291666666664</v>
      </c>
      <c r="BP59" s="480">
        <v>45250.458333333336</v>
      </c>
      <c r="BQ59" s="480">
        <v>45250.322916666664</v>
      </c>
      <c r="BR59" s="480">
        <v>45251.583333333336</v>
      </c>
      <c r="BS59" s="473">
        <v>45257.388888888891</v>
      </c>
      <c r="BT59" s="473">
        <v>45257.736111111109</v>
      </c>
      <c r="BU59" s="473">
        <v>45257.760416666664</v>
      </c>
      <c r="BV59" s="473">
        <v>45257.770833333336</v>
      </c>
      <c r="BW59" s="473">
        <v>45258.159722222219</v>
      </c>
      <c r="BZ59" s="481">
        <f t="shared" si="21"/>
        <v>47.083333333313931</v>
      </c>
      <c r="CA59" s="481">
        <f t="shared" si="22"/>
        <v>4.2500000000582077</v>
      </c>
      <c r="CB59" s="481">
        <f t="shared" si="23"/>
        <v>41.000000000058208</v>
      </c>
      <c r="CC59" s="481">
        <f t="shared" si="29"/>
        <v>27</v>
      </c>
      <c r="CD59" s="482">
        <f t="shared" si="24"/>
        <v>8.3333333332557231</v>
      </c>
      <c r="CE59" s="482">
        <f t="shared" si="25"/>
        <v>9.3333333331975155</v>
      </c>
      <c r="CF59" s="483">
        <f t="shared" si="26"/>
        <v>5.7083333333284827</v>
      </c>
      <c r="CG59" s="483">
        <f t="shared" si="27"/>
        <v>18.965277777773736</v>
      </c>
      <c r="CH59" s="484">
        <f t="shared" si="28"/>
        <v>0.30098864884638471</v>
      </c>
    </row>
    <row r="60" spans="1:88" s="475" customFormat="1">
      <c r="A60" s="474">
        <f t="shared" si="30"/>
        <v>45247.852083333331</v>
      </c>
      <c r="B60" s="475" t="s">
        <v>228</v>
      </c>
      <c r="C60" s="475" t="s">
        <v>229</v>
      </c>
      <c r="D60" s="475" t="s">
        <v>215</v>
      </c>
      <c r="E60" s="667" t="s">
        <v>3152</v>
      </c>
      <c r="F60" s="475" t="s">
        <v>3474</v>
      </c>
      <c r="G60" s="472">
        <v>45251.416666666664</v>
      </c>
      <c r="H60" s="472">
        <v>45251.387499999997</v>
      </c>
      <c r="I60" s="667" t="s">
        <v>231</v>
      </c>
      <c r="J60" s="475" t="s">
        <v>192</v>
      </c>
      <c r="K60" s="475" t="s">
        <v>192</v>
      </c>
      <c r="L60" s="667" t="s">
        <v>3529</v>
      </c>
      <c r="M60" s="530"/>
      <c r="N60" s="475" t="s">
        <v>721</v>
      </c>
      <c r="O60" s="475" t="s">
        <v>1349</v>
      </c>
      <c r="P60" s="667" t="s">
        <v>1472</v>
      </c>
      <c r="Q60" s="477">
        <f>3136*2.4</f>
        <v>7526.4</v>
      </c>
      <c r="R60" s="477">
        <f>7550+100</f>
        <v>7650</v>
      </c>
      <c r="S60" s="477">
        <v>7503.7</v>
      </c>
      <c r="T60" s="667"/>
      <c r="U60" s="581"/>
      <c r="V60" s="581"/>
      <c r="W60" s="581"/>
      <c r="X60" s="726">
        <f>S60*0.55</f>
        <v>4127.0349999999999</v>
      </c>
      <c r="Y60" s="726">
        <f>S60*0.45</f>
        <v>3376.665</v>
      </c>
      <c r="Z60" s="581"/>
      <c r="AA60" s="581"/>
      <c r="AB60" s="581"/>
      <c r="AC60" s="581"/>
      <c r="AD60" s="581"/>
      <c r="BD60" s="473">
        <f t="shared" si="18"/>
        <v>45240.201388888891</v>
      </c>
      <c r="BE60" s="473">
        <f t="shared" si="19"/>
        <v>45254.1875</v>
      </c>
      <c r="BF60" s="479">
        <f t="shared" si="20"/>
        <v>13.986111111109494</v>
      </c>
      <c r="BG60" s="473">
        <v>45240.201388888891</v>
      </c>
      <c r="BH60" s="473">
        <v>45244.565972222219</v>
      </c>
      <c r="BI60" s="473">
        <v>45246.208333333336</v>
      </c>
      <c r="BJ60" s="473">
        <v>45247.852083333331</v>
      </c>
      <c r="BK60" s="473">
        <v>45247.982638888891</v>
      </c>
      <c r="BL60" s="473">
        <v>45247.986111111109</v>
      </c>
      <c r="BM60" s="480">
        <v>45247.989583333336</v>
      </c>
      <c r="BN60" s="480">
        <f t="shared" si="31"/>
        <v>45249.697916666672</v>
      </c>
      <c r="BO60" s="480">
        <v>45250.291666666664</v>
      </c>
      <c r="BP60" s="480">
        <v>45250.458333333336</v>
      </c>
      <c r="BQ60" s="480">
        <v>45250.315972222219</v>
      </c>
      <c r="BR60" s="473">
        <v>45251.333333333336</v>
      </c>
      <c r="BS60" s="473">
        <v>45253.701388888891</v>
      </c>
      <c r="BT60" s="473">
        <v>45253.944444444445</v>
      </c>
      <c r="BU60" s="473">
        <v>45253.90625</v>
      </c>
      <c r="BV60" s="473">
        <v>45253.90625</v>
      </c>
      <c r="BW60" s="473">
        <v>45254.1875</v>
      </c>
      <c r="BZ60" s="481">
        <f t="shared" si="21"/>
        <v>39.416666666802485</v>
      </c>
      <c r="CA60" s="481">
        <f t="shared" si="22"/>
        <v>3.1333333334187046</v>
      </c>
      <c r="CB60" s="481">
        <f t="shared" si="23"/>
        <v>41.000000000058208</v>
      </c>
      <c r="CC60" s="481">
        <f t="shared" si="29"/>
        <v>21</v>
      </c>
      <c r="CD60" s="482">
        <f t="shared" si="24"/>
        <v>5.8333333333139308</v>
      </c>
      <c r="CE60" s="482">
        <f t="shared" si="25"/>
        <v>6.75</v>
      </c>
      <c r="CF60" s="483">
        <f t="shared" si="26"/>
        <v>4.8805555555663886</v>
      </c>
      <c r="CG60" s="483">
        <f t="shared" si="27"/>
        <v>13.986111111109494</v>
      </c>
      <c r="CH60" s="484">
        <f t="shared" si="28"/>
        <v>0.34895729890846139</v>
      </c>
    </row>
    <row r="61" spans="1:88" s="475" customFormat="1">
      <c r="A61" s="474">
        <f t="shared" si="30"/>
        <v>45248.005555555559</v>
      </c>
      <c r="B61" s="475" t="s">
        <v>228</v>
      </c>
      <c r="C61" s="475" t="s">
        <v>229</v>
      </c>
      <c r="D61" s="475" t="s">
        <v>197</v>
      </c>
      <c r="E61" s="667" t="s">
        <v>3152</v>
      </c>
      <c r="F61" s="475" t="s">
        <v>3474</v>
      </c>
      <c r="G61" s="472">
        <v>45251.416666666664</v>
      </c>
      <c r="H61" s="472">
        <v>45251.387499999997</v>
      </c>
      <c r="I61" s="667" t="s">
        <v>231</v>
      </c>
      <c r="J61" s="475" t="s">
        <v>192</v>
      </c>
      <c r="K61" s="475" t="s">
        <v>192</v>
      </c>
      <c r="L61" s="667" t="s">
        <v>3530</v>
      </c>
      <c r="M61" s="530"/>
      <c r="N61" s="475" t="s">
        <v>492</v>
      </c>
      <c r="O61" s="475" t="s">
        <v>493</v>
      </c>
      <c r="P61" s="667" t="s">
        <v>1472</v>
      </c>
      <c r="Q61" s="477">
        <f>3141*2.4</f>
        <v>7538.4</v>
      </c>
      <c r="R61" s="477">
        <f>7550+100</f>
        <v>7650</v>
      </c>
      <c r="S61" s="477">
        <v>7456.7309999999998</v>
      </c>
      <c r="T61" s="667"/>
      <c r="U61" s="581"/>
      <c r="V61" s="581"/>
      <c r="W61" s="581"/>
      <c r="X61" s="726">
        <f>S61*0.55</f>
        <v>4101.2020499999999</v>
      </c>
      <c r="Y61" s="726">
        <f>S61*0.45</f>
        <v>3355.5289499999999</v>
      </c>
      <c r="AA61" s="581"/>
      <c r="AB61" s="581"/>
      <c r="AC61" s="581"/>
      <c r="AD61" s="581"/>
      <c r="BD61" s="473">
        <f t="shared" si="18"/>
        <v>45240.041666666664</v>
      </c>
      <c r="BE61" s="473">
        <f t="shared" si="19"/>
        <v>45257.354166666664</v>
      </c>
      <c r="BF61" s="479">
        <f t="shared" si="20"/>
        <v>17.3125</v>
      </c>
      <c r="BG61" s="473">
        <v>45240.041666666664</v>
      </c>
      <c r="BH61" s="473">
        <v>45244.597222222219</v>
      </c>
      <c r="BI61" s="473">
        <v>45246.222222222219</v>
      </c>
      <c r="BJ61" s="473">
        <v>45248.005555555559</v>
      </c>
      <c r="BK61" s="473">
        <v>45248.208333333336</v>
      </c>
      <c r="BL61" s="473">
        <v>45248.222222222219</v>
      </c>
      <c r="BM61" s="473">
        <v>45248.222222222219</v>
      </c>
      <c r="BN61" s="473">
        <f t="shared" si="31"/>
        <v>45249.930555555555</v>
      </c>
      <c r="BO61" s="473">
        <v>45250.291666666664</v>
      </c>
      <c r="BP61" s="473">
        <v>45250.458333333336</v>
      </c>
      <c r="BQ61" s="473">
        <v>45250.291666666664</v>
      </c>
      <c r="BR61" s="473">
        <v>45251.458333333336</v>
      </c>
      <c r="BS61" s="473">
        <v>45256.673611111109</v>
      </c>
      <c r="BT61" s="473">
        <v>45257.034722222219</v>
      </c>
      <c r="BU61" s="473">
        <v>45257.0625</v>
      </c>
      <c r="BV61" s="473">
        <v>45257.0625</v>
      </c>
      <c r="BW61" s="473">
        <v>45257.354166666664</v>
      </c>
      <c r="BZ61" s="481">
        <f t="shared" si="21"/>
        <v>39</v>
      </c>
      <c r="CA61" s="481">
        <f t="shared" si="22"/>
        <v>4.8666666666395031</v>
      </c>
      <c r="CB61" s="481">
        <f t="shared" si="23"/>
        <v>41.000000000058208</v>
      </c>
      <c r="CC61" s="481">
        <f t="shared" si="29"/>
        <v>24</v>
      </c>
      <c r="CD61" s="482">
        <f t="shared" si="24"/>
        <v>8.6666666666278616</v>
      </c>
      <c r="CE61" s="482">
        <f t="shared" si="25"/>
        <v>6.9999999999417923</v>
      </c>
      <c r="CF61" s="483">
        <f t="shared" si="26"/>
        <v>5.1888888888861402</v>
      </c>
      <c r="CG61" s="483">
        <f t="shared" si="27"/>
        <v>17.3125</v>
      </c>
      <c r="CH61" s="484">
        <f t="shared" si="28"/>
        <v>0.29971921379847744</v>
      </c>
    </row>
    <row r="62" spans="1:88" s="475" customFormat="1">
      <c r="A62" s="474">
        <f t="shared" si="30"/>
        <v>45248.246527777781</v>
      </c>
      <c r="B62" s="475" t="s">
        <v>228</v>
      </c>
      <c r="C62" s="475" t="s">
        <v>229</v>
      </c>
      <c r="D62" s="475" t="s">
        <v>197</v>
      </c>
      <c r="E62" s="667" t="s">
        <v>3152</v>
      </c>
      <c r="F62" s="475" t="s">
        <v>3474</v>
      </c>
      <c r="G62" s="472">
        <v>45251.416666666664</v>
      </c>
      <c r="H62" s="472">
        <v>45251.387499999997</v>
      </c>
      <c r="I62" s="667" t="s">
        <v>231</v>
      </c>
      <c r="J62" s="475" t="s">
        <v>192</v>
      </c>
      <c r="K62" s="475" t="s">
        <v>192</v>
      </c>
      <c r="L62" s="667" t="s">
        <v>3531</v>
      </c>
      <c r="M62" s="530"/>
      <c r="N62" s="475" t="s">
        <v>355</v>
      </c>
      <c r="O62" s="475" t="s">
        <v>356</v>
      </c>
      <c r="P62" s="667" t="s">
        <v>1472</v>
      </c>
      <c r="Q62" s="477">
        <f>3107*2.4</f>
        <v>7456.7999999999993</v>
      </c>
      <c r="R62" s="477">
        <f>7500+100</f>
        <v>7600</v>
      </c>
      <c r="S62" s="477">
        <v>7465.058</v>
      </c>
      <c r="T62" s="667"/>
      <c r="U62" s="581"/>
      <c r="V62" s="581"/>
      <c r="W62" s="581"/>
      <c r="X62" s="726">
        <f>S62*0.55</f>
        <v>4105.7819</v>
      </c>
      <c r="Y62" s="726">
        <f>S62*0.45</f>
        <v>3359.2761</v>
      </c>
      <c r="AA62" s="581"/>
      <c r="AB62" s="581"/>
      <c r="AC62" s="581"/>
      <c r="AD62" s="581"/>
      <c r="BD62" s="473">
        <f t="shared" si="18"/>
        <v>45242.243055555555</v>
      </c>
      <c r="BE62" s="473">
        <f t="shared" si="19"/>
        <v>45254.361111111109</v>
      </c>
      <c r="BF62" s="479">
        <f t="shared" si="20"/>
        <v>12.118055555554747</v>
      </c>
      <c r="BG62" s="473">
        <v>45242.243055555555</v>
      </c>
      <c r="BH62" s="473">
        <v>45244.788194444445</v>
      </c>
      <c r="BI62" s="473">
        <v>45246.465277777781</v>
      </c>
      <c r="BJ62" s="473">
        <v>45248.246527777781</v>
      </c>
      <c r="BK62" s="473">
        <v>45248.409722222219</v>
      </c>
      <c r="BL62" s="473">
        <v>45248.416666666664</v>
      </c>
      <c r="BM62" s="473">
        <v>45248.423611111109</v>
      </c>
      <c r="BN62" s="473">
        <f t="shared" si="31"/>
        <v>45250.131944444445</v>
      </c>
      <c r="BO62" s="473">
        <v>45250.291666666664</v>
      </c>
      <c r="BP62" s="473">
        <v>45250.458333333336</v>
      </c>
      <c r="BQ62" s="473">
        <v>45250.30972222222</v>
      </c>
      <c r="BR62" s="473">
        <v>45251.336805555555</v>
      </c>
      <c r="BS62" s="473">
        <v>45253.927083333336</v>
      </c>
      <c r="BT62" s="473">
        <v>45254.090277777781</v>
      </c>
      <c r="BU62" s="473">
        <v>45254.111111111109</v>
      </c>
      <c r="BV62" s="473">
        <v>45254.125</v>
      </c>
      <c r="BW62" s="473">
        <v>45254.361111111109</v>
      </c>
      <c r="BZ62" s="481">
        <f t="shared" si="21"/>
        <v>40.250000000058208</v>
      </c>
      <c r="CA62" s="481">
        <f t="shared" si="22"/>
        <v>3.9166666665114462</v>
      </c>
      <c r="CB62" s="481">
        <f t="shared" si="23"/>
        <v>41.000000000058208</v>
      </c>
      <c r="CC62" s="481">
        <f t="shared" si="29"/>
        <v>21.083333333255723</v>
      </c>
      <c r="CD62" s="482">
        <f t="shared" si="24"/>
        <v>3.9166666666860692</v>
      </c>
      <c r="CE62" s="482">
        <f t="shared" si="25"/>
        <v>5.6666666666278616</v>
      </c>
      <c r="CF62" s="483">
        <f t="shared" si="26"/>
        <v>4.8263888888832298</v>
      </c>
      <c r="CG62" s="483">
        <f t="shared" si="27"/>
        <v>12.118055555554747</v>
      </c>
      <c r="CH62" s="484">
        <f t="shared" si="28"/>
        <v>0.39828080229182317</v>
      </c>
    </row>
    <row r="63" spans="1:88" s="475" customFormat="1">
      <c r="A63" s="474">
        <f t="shared" si="30"/>
        <v>45248.434027777781</v>
      </c>
      <c r="B63" s="475" t="s">
        <v>228</v>
      </c>
      <c r="C63" s="475" t="s">
        <v>229</v>
      </c>
      <c r="D63" s="475" t="s">
        <v>197</v>
      </c>
      <c r="E63" s="667" t="s">
        <v>3152</v>
      </c>
      <c r="F63" s="475" t="s">
        <v>3474</v>
      </c>
      <c r="G63" s="472">
        <v>45251.416666666664</v>
      </c>
      <c r="H63" s="472">
        <v>45251.387499999997</v>
      </c>
      <c r="I63" s="667" t="s">
        <v>231</v>
      </c>
      <c r="J63" s="475" t="s">
        <v>192</v>
      </c>
      <c r="K63" s="475" t="s">
        <v>192</v>
      </c>
      <c r="L63" s="667" t="s">
        <v>3532</v>
      </c>
      <c r="M63" s="530"/>
      <c r="N63" s="475" t="s">
        <v>249</v>
      </c>
      <c r="O63" s="475" t="s">
        <v>2315</v>
      </c>
      <c r="P63" s="667" t="s">
        <v>418</v>
      </c>
      <c r="Q63" s="477">
        <f>3139*2.4</f>
        <v>7533.5999999999995</v>
      </c>
      <c r="R63" s="477">
        <f>7550+100</f>
        <v>7650</v>
      </c>
      <c r="S63" s="477">
        <f>7472.915-3297.404</f>
        <v>4175.5110000000004</v>
      </c>
      <c r="T63" s="667"/>
      <c r="U63" s="581"/>
      <c r="V63" s="581"/>
      <c r="W63" s="581"/>
      <c r="X63" s="726">
        <f t="shared" ref="X63:X72" si="34">S63*0.65</f>
        <v>2714.0821500000002</v>
      </c>
      <c r="Y63" s="726">
        <f t="shared" ref="Y63:Y72" si="35">S63*0.35</f>
        <v>1461.42885</v>
      </c>
      <c r="Z63" s="581"/>
      <c r="AA63" s="581"/>
      <c r="AB63" s="581"/>
      <c r="AC63" s="581"/>
      <c r="AD63" s="581"/>
      <c r="AX63" s="667"/>
      <c r="AY63" s="667"/>
      <c r="AZ63" s="667"/>
      <c r="BA63" s="667"/>
      <c r="BB63" s="667"/>
      <c r="BC63" s="667"/>
      <c r="BD63" s="473">
        <f t="shared" si="18"/>
        <v>45242.541666666664</v>
      </c>
      <c r="BE63" s="473">
        <f t="shared" si="19"/>
        <v>45258.048611111109</v>
      </c>
      <c r="BF63" s="479">
        <f t="shared" si="20"/>
        <v>15.506944444445253</v>
      </c>
      <c r="BG63" s="473">
        <v>45242.541666666664</v>
      </c>
      <c r="BH63" s="473">
        <v>45244.746527777781</v>
      </c>
      <c r="BI63" s="473">
        <v>45246.708333333336</v>
      </c>
      <c r="BJ63" s="473">
        <v>45248.434027777781</v>
      </c>
      <c r="BK63" s="473">
        <v>45248.552083333336</v>
      </c>
      <c r="BL63" s="473">
        <v>45248.555555555555</v>
      </c>
      <c r="BM63" s="473">
        <v>45248.559027777781</v>
      </c>
      <c r="BN63" s="473">
        <f t="shared" si="31"/>
        <v>45250.267361111117</v>
      </c>
      <c r="BO63" s="480">
        <v>45251.5</v>
      </c>
      <c r="BP63" s="480">
        <v>45251.666666666664</v>
      </c>
      <c r="BQ63" s="480">
        <v>45251.576388888891</v>
      </c>
      <c r="BR63" s="473">
        <v>45252.763888888891</v>
      </c>
      <c r="BS63" s="473">
        <v>45257.791666666664</v>
      </c>
      <c r="BT63" s="473">
        <v>45258</v>
      </c>
      <c r="BU63" s="473">
        <v>45258.048611111109</v>
      </c>
      <c r="BV63" s="473">
        <v>45258.048611111109</v>
      </c>
      <c r="BW63" s="473">
        <v>45258.048611111109</v>
      </c>
      <c r="BZ63" s="481">
        <f t="shared" si="21"/>
        <v>47.083333333313931</v>
      </c>
      <c r="CA63" s="481">
        <f t="shared" si="22"/>
        <v>2.8333333333139308</v>
      </c>
      <c r="CB63" s="481">
        <f t="shared" si="23"/>
        <v>41.000000000058208</v>
      </c>
      <c r="CC63" s="481">
        <f t="shared" si="29"/>
        <v>26.333333333430346</v>
      </c>
      <c r="CD63" s="482">
        <f t="shared" si="24"/>
        <v>5.0000000000582077</v>
      </c>
      <c r="CE63" s="482">
        <f t="shared" si="25"/>
        <v>0</v>
      </c>
      <c r="CF63" s="483">
        <f t="shared" si="26"/>
        <v>5.093750000007276</v>
      </c>
      <c r="CG63" s="483">
        <f t="shared" si="27"/>
        <v>15.506944444445253</v>
      </c>
      <c r="CH63" s="484">
        <f t="shared" si="28"/>
        <v>0.32848186296507365</v>
      </c>
    </row>
    <row r="64" spans="1:88" s="475" customFormat="1">
      <c r="A64" s="474">
        <f t="shared" si="30"/>
        <v>45248.434027777781</v>
      </c>
      <c r="B64" s="475" t="s">
        <v>228</v>
      </c>
      <c r="C64" s="475" t="s">
        <v>229</v>
      </c>
      <c r="D64" s="475" t="s">
        <v>197</v>
      </c>
      <c r="E64" s="667" t="s">
        <v>3164</v>
      </c>
      <c r="F64" s="475" t="s">
        <v>3474</v>
      </c>
      <c r="G64" s="472">
        <v>45259.458333333336</v>
      </c>
      <c r="H64" s="472">
        <v>45259.461805555555</v>
      </c>
      <c r="I64" s="667" t="s">
        <v>231</v>
      </c>
      <c r="J64" s="475" t="s">
        <v>192</v>
      </c>
      <c r="K64" s="475" t="s">
        <v>192</v>
      </c>
      <c r="L64" s="667" t="s">
        <v>3532</v>
      </c>
      <c r="M64" s="530"/>
      <c r="N64" s="475" t="s">
        <v>249</v>
      </c>
      <c r="O64" s="475" t="s">
        <v>2315</v>
      </c>
      <c r="P64" s="667" t="s">
        <v>418</v>
      </c>
      <c r="Q64" s="477">
        <f>3139*2.4</f>
        <v>7533.5999999999995</v>
      </c>
      <c r="R64" s="477">
        <f>7550+100</f>
        <v>7650</v>
      </c>
      <c r="S64" s="477">
        <v>1571.1590000000001</v>
      </c>
      <c r="T64" s="667"/>
      <c r="U64" s="581"/>
      <c r="V64" s="581"/>
      <c r="W64" s="581"/>
      <c r="X64" s="726">
        <f t="shared" si="34"/>
        <v>1021.2533500000001</v>
      </c>
      <c r="Y64" s="726">
        <f t="shared" si="35"/>
        <v>549.90565000000004</v>
      </c>
      <c r="Z64" s="581"/>
      <c r="AA64" s="581"/>
      <c r="AB64" s="581"/>
      <c r="AC64" s="581"/>
      <c r="AD64" s="581"/>
      <c r="AX64" s="667"/>
      <c r="AY64" s="667"/>
      <c r="AZ64" s="667"/>
      <c r="BA64" s="667"/>
      <c r="BB64" s="667"/>
      <c r="BC64" s="667"/>
      <c r="BD64" s="473">
        <f t="shared" si="18"/>
        <v>45242.541666666664</v>
      </c>
      <c r="BE64" s="473">
        <f t="shared" si="19"/>
        <v>45260.409722222219</v>
      </c>
      <c r="BF64" s="479">
        <f t="shared" si="20"/>
        <v>17.868055555554747</v>
      </c>
      <c r="BG64" s="473">
        <v>45242.541666666664</v>
      </c>
      <c r="BH64" s="473">
        <v>45244.746527777781</v>
      </c>
      <c r="BI64" s="473">
        <v>45246.708333333336</v>
      </c>
      <c r="BJ64" s="473">
        <v>45248.434027777781</v>
      </c>
      <c r="BK64" s="473">
        <v>45248.552083333336</v>
      </c>
      <c r="BL64" s="473">
        <v>45248.555555555555</v>
      </c>
      <c r="BM64" s="473">
        <v>45248.559027777781</v>
      </c>
      <c r="BN64" s="473">
        <f t="shared" si="31"/>
        <v>45250.267361111117</v>
      </c>
      <c r="BO64" s="480">
        <v>45251.5</v>
      </c>
      <c r="BP64" s="480">
        <v>45251.666666666664</v>
      </c>
      <c r="BQ64" s="480">
        <v>45251.576388888891</v>
      </c>
      <c r="BR64" s="473">
        <v>45258.048611111109</v>
      </c>
      <c r="BS64" s="473">
        <v>45260.354166666664</v>
      </c>
      <c r="BT64" s="473">
        <v>45260.409722222219</v>
      </c>
      <c r="BU64" s="473">
        <v>45260.409722222219</v>
      </c>
      <c r="BV64" s="473">
        <v>45260.409722222219</v>
      </c>
      <c r="BW64" s="473">
        <v>45260.409722222219</v>
      </c>
      <c r="BX64" s="475" t="s">
        <v>3533</v>
      </c>
      <c r="BZ64" s="481">
        <f t="shared" si="21"/>
        <v>47.083333333313931</v>
      </c>
      <c r="CA64" s="481">
        <f t="shared" si="22"/>
        <v>2.8333333333139308</v>
      </c>
      <c r="CB64" s="481">
        <f t="shared" si="23"/>
        <v>41.000000000058208</v>
      </c>
      <c r="CC64" s="481">
        <f t="shared" si="29"/>
        <v>153.16666666668607</v>
      </c>
      <c r="CD64" s="482">
        <f t="shared" si="24"/>
        <v>1.3333333333139308</v>
      </c>
      <c r="CE64" s="482">
        <f t="shared" si="25"/>
        <v>0</v>
      </c>
      <c r="CF64" s="483">
        <f t="shared" si="26"/>
        <v>10.225694444445253</v>
      </c>
      <c r="CG64" s="483">
        <f t="shared" si="27"/>
        <v>17.868055555554747</v>
      </c>
      <c r="CH64" s="484">
        <f t="shared" si="28"/>
        <v>0.5722891566265772</v>
      </c>
    </row>
    <row r="65" spans="1:88" s="475" customFormat="1">
      <c r="A65" s="474">
        <f t="shared" si="30"/>
        <v>45248.576388888891</v>
      </c>
      <c r="B65" s="475" t="s">
        <v>228</v>
      </c>
      <c r="C65" s="475" t="s">
        <v>229</v>
      </c>
      <c r="D65" s="475" t="s">
        <v>197</v>
      </c>
      <c r="E65" s="667" t="s">
        <v>3151</v>
      </c>
      <c r="F65" s="475" t="s">
        <v>3378</v>
      </c>
      <c r="G65" s="472">
        <v>45250.25</v>
      </c>
      <c r="H65" s="472">
        <v>45250.166666666664</v>
      </c>
      <c r="I65" s="667" t="s">
        <v>231</v>
      </c>
      <c r="J65" s="475" t="s">
        <v>192</v>
      </c>
      <c r="K65" s="475" t="s">
        <v>192</v>
      </c>
      <c r="L65" s="667" t="s">
        <v>3534</v>
      </c>
      <c r="M65" s="530"/>
      <c r="N65" s="475" t="s">
        <v>2404</v>
      </c>
      <c r="O65" s="475" t="s">
        <v>2405</v>
      </c>
      <c r="P65" s="475" t="s">
        <v>418</v>
      </c>
      <c r="Q65" s="477">
        <f>4337*2.4</f>
        <v>10408.799999999999</v>
      </c>
      <c r="R65" s="477">
        <f>10500+100</f>
        <v>10600</v>
      </c>
      <c r="S65" s="477">
        <v>10311.334000000001</v>
      </c>
      <c r="T65" s="667"/>
      <c r="U65" s="581"/>
      <c r="V65" s="581"/>
      <c r="W65" s="581"/>
      <c r="X65" s="726">
        <f t="shared" si="34"/>
        <v>6702.3671000000004</v>
      </c>
      <c r="Y65" s="726">
        <f t="shared" si="35"/>
        <v>3608.9668999999999</v>
      </c>
      <c r="Z65" s="581"/>
      <c r="AA65" s="581"/>
      <c r="AB65" s="581"/>
      <c r="AC65" s="581"/>
      <c r="AD65" s="581"/>
      <c r="BD65" s="473">
        <f t="shared" si="18"/>
        <v>45239.194444444445</v>
      </c>
      <c r="BE65" s="473">
        <f t="shared" si="19"/>
        <v>45255.756944444445</v>
      </c>
      <c r="BF65" s="479">
        <f t="shared" si="20"/>
        <v>16.5625</v>
      </c>
      <c r="BG65" s="473">
        <v>45239.194444444445</v>
      </c>
      <c r="BH65" s="473">
        <v>45243.833333333336</v>
      </c>
      <c r="BI65" s="473">
        <v>45245.75</v>
      </c>
      <c r="BJ65" s="473">
        <v>45248.576388888891</v>
      </c>
      <c r="BK65" s="473">
        <v>45248.763888888891</v>
      </c>
      <c r="BL65" s="473">
        <v>45248.767361111109</v>
      </c>
      <c r="BM65" s="473">
        <v>45248.777777777781</v>
      </c>
      <c r="BN65" s="473">
        <f t="shared" si="31"/>
        <v>45250.486111111117</v>
      </c>
      <c r="BO65" s="473">
        <v>45250.291666666664</v>
      </c>
      <c r="BP65" s="473">
        <v>45250.458333333336</v>
      </c>
      <c r="BQ65" s="480">
        <v>45250.409722222219</v>
      </c>
      <c r="BR65" s="473">
        <v>45251.875</v>
      </c>
      <c r="BS65" s="473">
        <v>45254.965277777774</v>
      </c>
      <c r="BT65" s="473">
        <v>45255.277777777781</v>
      </c>
      <c r="BU65" s="473">
        <v>45255.298611111109</v>
      </c>
      <c r="BV65" s="473">
        <v>45255.298611111109</v>
      </c>
      <c r="BW65" s="473">
        <v>45255.756944444445</v>
      </c>
      <c r="BZ65" s="481">
        <f t="shared" si="21"/>
        <v>45.999999999941792</v>
      </c>
      <c r="CA65" s="481">
        <f t="shared" si="22"/>
        <v>4.5</v>
      </c>
      <c r="CB65" s="481">
        <f t="shared" si="23"/>
        <v>41.000000000058208</v>
      </c>
      <c r="CC65" s="481">
        <f t="shared" si="29"/>
        <v>33.999999999941792</v>
      </c>
      <c r="CD65" s="482">
        <f t="shared" si="24"/>
        <v>7.500000000174623</v>
      </c>
      <c r="CE65" s="482">
        <f t="shared" si="25"/>
        <v>11.000000000058208</v>
      </c>
      <c r="CF65" s="483">
        <f t="shared" si="26"/>
        <v>6.000000000007276</v>
      </c>
      <c r="CG65" s="483">
        <f t="shared" si="27"/>
        <v>16.5625</v>
      </c>
      <c r="CH65" s="484">
        <f t="shared" si="28"/>
        <v>0.36226415094383552</v>
      </c>
    </row>
    <row r="66" spans="1:88" s="475" customFormat="1">
      <c r="A66" s="474">
        <f t="shared" si="30"/>
        <v>45248.802083333336</v>
      </c>
      <c r="B66" s="475" t="s">
        <v>228</v>
      </c>
      <c r="C66" s="475" t="s">
        <v>229</v>
      </c>
      <c r="D66" s="475" t="s">
        <v>197</v>
      </c>
      <c r="E66" s="667" t="s">
        <v>3151</v>
      </c>
      <c r="F66" s="475" t="s">
        <v>3378</v>
      </c>
      <c r="G66" s="472">
        <v>45250.25</v>
      </c>
      <c r="H66" s="472">
        <v>45250.166666666664</v>
      </c>
      <c r="I66" s="667" t="s">
        <v>231</v>
      </c>
      <c r="J66" s="475" t="s">
        <v>192</v>
      </c>
      <c r="K66" s="475" t="s">
        <v>192</v>
      </c>
      <c r="L66" s="667" t="s">
        <v>3535</v>
      </c>
      <c r="M66" s="530"/>
      <c r="N66" s="475" t="s">
        <v>292</v>
      </c>
      <c r="O66" s="475" t="s">
        <v>293</v>
      </c>
      <c r="P66" s="475" t="s">
        <v>418</v>
      </c>
      <c r="Q66" s="477">
        <f>3142*2.4</f>
        <v>7540.7999999999993</v>
      </c>
      <c r="R66" s="477">
        <f>7550+100</f>
        <v>7650</v>
      </c>
      <c r="S66" s="477">
        <v>7517.4939999999997</v>
      </c>
      <c r="T66" s="667"/>
      <c r="U66" s="581"/>
      <c r="V66" s="581"/>
      <c r="W66" s="581"/>
      <c r="X66" s="726">
        <f t="shared" si="34"/>
        <v>4886.3711000000003</v>
      </c>
      <c r="Y66" s="726">
        <f t="shared" si="35"/>
        <v>2631.1228999999998</v>
      </c>
      <c r="Z66" s="581"/>
      <c r="AA66" s="581"/>
      <c r="AB66" s="581"/>
      <c r="AC66" s="581"/>
      <c r="AD66" s="581"/>
      <c r="AE66" s="581"/>
      <c r="AF66" s="581"/>
      <c r="AG66" s="581"/>
      <c r="AH66" s="581"/>
      <c r="BD66" s="473">
        <f t="shared" si="18"/>
        <v>45242.770833333336</v>
      </c>
      <c r="BE66" s="473">
        <f t="shared" si="19"/>
        <v>45255.815972222219</v>
      </c>
      <c r="BF66" s="479">
        <f t="shared" si="20"/>
        <v>13.04513888888323</v>
      </c>
      <c r="BG66" s="473">
        <v>45242.770833333336</v>
      </c>
      <c r="BH66" s="473">
        <v>45245.555555555555</v>
      </c>
      <c r="BI66" s="473">
        <v>45247.107638888891</v>
      </c>
      <c r="BJ66" s="473">
        <v>45248.802083333336</v>
      </c>
      <c r="BK66" s="473">
        <v>45248.951388888891</v>
      </c>
      <c r="BL66" s="473">
        <v>45248.954861111109</v>
      </c>
      <c r="BM66" s="473">
        <v>45249.322916666664</v>
      </c>
      <c r="BN66" s="473">
        <f t="shared" si="31"/>
        <v>45251.03125</v>
      </c>
      <c r="BO66" s="480">
        <v>45251.5</v>
      </c>
      <c r="BP66" s="480">
        <v>45251.666666666664</v>
      </c>
      <c r="BQ66" s="480">
        <v>45251.572916666664</v>
      </c>
      <c r="BR66" s="473">
        <v>45252.614583333336</v>
      </c>
      <c r="BS66" s="473">
        <v>45255.340277777781</v>
      </c>
      <c r="BT66" s="473">
        <v>45255.53125</v>
      </c>
      <c r="BU66" s="473">
        <v>45255.552083333336</v>
      </c>
      <c r="BV66" s="473">
        <v>45255.552083333336</v>
      </c>
      <c r="BW66" s="473">
        <v>45255.815972222219</v>
      </c>
      <c r="BZ66" s="481">
        <f t="shared" si="21"/>
        <v>37.250000000058208</v>
      </c>
      <c r="CA66" s="481">
        <f t="shared" si="22"/>
        <v>3.5833333333139308</v>
      </c>
      <c r="CB66" s="481">
        <f t="shared" si="23"/>
        <v>41.000000000058208</v>
      </c>
      <c r="CC66" s="481">
        <f t="shared" si="29"/>
        <v>22.750000000116415</v>
      </c>
      <c r="CD66" s="482">
        <f t="shared" si="24"/>
        <v>4.5833333332557231</v>
      </c>
      <c r="CE66" s="482">
        <f t="shared" si="25"/>
        <v>6.3333333331975155</v>
      </c>
      <c r="CF66" s="483">
        <f t="shared" si="26"/>
        <v>4.8125</v>
      </c>
      <c r="CG66" s="483">
        <f t="shared" si="27"/>
        <v>13.04513888888323</v>
      </c>
      <c r="CH66" s="484">
        <f t="shared" si="28"/>
        <v>0.36891136545131786</v>
      </c>
    </row>
    <row r="67" spans="1:88" s="475" customFormat="1">
      <c r="A67" s="474">
        <f t="shared" si="30"/>
        <v>45248.974999999999</v>
      </c>
      <c r="B67" s="475" t="s">
        <v>228</v>
      </c>
      <c r="C67" s="475" t="s">
        <v>229</v>
      </c>
      <c r="D67" s="475" t="s">
        <v>215</v>
      </c>
      <c r="E67" s="667" t="s">
        <v>3151</v>
      </c>
      <c r="F67" s="475" t="s">
        <v>3378</v>
      </c>
      <c r="G67" s="472">
        <v>45250.25</v>
      </c>
      <c r="H67" s="472">
        <v>45250.166666666664</v>
      </c>
      <c r="I67" s="667" t="s">
        <v>231</v>
      </c>
      <c r="J67" s="475" t="s">
        <v>192</v>
      </c>
      <c r="K67" s="475" t="s">
        <v>192</v>
      </c>
      <c r="L67" s="667" t="s">
        <v>3536</v>
      </c>
      <c r="M67" s="530"/>
      <c r="N67" s="475" t="s">
        <v>403</v>
      </c>
      <c r="O67" s="475" t="s">
        <v>404</v>
      </c>
      <c r="P67" s="667" t="s">
        <v>418</v>
      </c>
      <c r="Q67" s="477">
        <f>3107*2.4</f>
        <v>7456.7999999999993</v>
      </c>
      <c r="R67" s="477">
        <f>7500+100</f>
        <v>7600</v>
      </c>
      <c r="S67" s="477">
        <v>7363.7790000000005</v>
      </c>
      <c r="T67" s="477"/>
      <c r="U67" s="581"/>
      <c r="V67" s="581"/>
      <c r="W67" s="581"/>
      <c r="X67" s="726">
        <f t="shared" si="34"/>
        <v>4786.4563500000004</v>
      </c>
      <c r="Y67" s="726">
        <f t="shared" si="35"/>
        <v>2577.3226500000001</v>
      </c>
      <c r="Z67" s="581"/>
      <c r="AA67" s="581"/>
      <c r="AB67" s="581"/>
      <c r="AC67" s="581"/>
      <c r="AD67" s="581"/>
      <c r="BD67" s="473">
        <f t="shared" si="18"/>
        <v>45243.076388888891</v>
      </c>
      <c r="BE67" s="473">
        <f t="shared" si="19"/>
        <v>45256.184027777781</v>
      </c>
      <c r="BF67" s="479">
        <f t="shared" si="20"/>
        <v>13.107638888890506</v>
      </c>
      <c r="BG67" s="473">
        <v>45243.076388888891</v>
      </c>
      <c r="BH67" s="473">
        <v>45245.552083333336</v>
      </c>
      <c r="BI67" s="473">
        <v>45247.138888888891</v>
      </c>
      <c r="BJ67" s="473">
        <v>45248.974999999999</v>
      </c>
      <c r="BK67" s="473">
        <v>45249.107638888891</v>
      </c>
      <c r="BL67" s="473">
        <v>45249.118055555555</v>
      </c>
      <c r="BM67" s="473">
        <v>45249.120138888888</v>
      </c>
      <c r="BN67" s="473">
        <f t="shared" si="31"/>
        <v>45250.828472222223</v>
      </c>
      <c r="BO67" s="473">
        <v>45251.5</v>
      </c>
      <c r="BP67" s="473">
        <v>45251.666666666664</v>
      </c>
      <c r="BQ67" s="473">
        <v>45251.694444444445</v>
      </c>
      <c r="BR67" s="473">
        <v>45252.96875</v>
      </c>
      <c r="BS67" s="473">
        <v>45255.59375</v>
      </c>
      <c r="BT67" s="473">
        <v>45255.756944444445</v>
      </c>
      <c r="BU67" s="473">
        <v>45255.777777777781</v>
      </c>
      <c r="BV67" s="473">
        <v>45255.777777777781</v>
      </c>
      <c r="BW67" s="473">
        <v>45256.184027777781</v>
      </c>
      <c r="BZ67" s="481">
        <f t="shared" si="21"/>
        <v>38.083333333313931</v>
      </c>
      <c r="CA67" s="481">
        <f t="shared" si="22"/>
        <v>3.183333333407063</v>
      </c>
      <c r="CB67" s="481">
        <f t="shared" si="23"/>
        <v>41.000000000058208</v>
      </c>
      <c r="CC67" s="481">
        <f t="shared" si="29"/>
        <v>31.250000000058208</v>
      </c>
      <c r="CD67" s="482">
        <f t="shared" si="24"/>
        <v>3.9166666666860692</v>
      </c>
      <c r="CE67" s="482">
        <f t="shared" si="25"/>
        <v>9.75</v>
      </c>
      <c r="CF67" s="483">
        <f t="shared" si="26"/>
        <v>5.2993055555634783</v>
      </c>
      <c r="CG67" s="483">
        <f t="shared" si="27"/>
        <v>13.107638888890506</v>
      </c>
      <c r="CH67" s="484">
        <f t="shared" si="28"/>
        <v>0.40429139072903136</v>
      </c>
    </row>
    <row r="68" spans="1:88" s="475" customFormat="1">
      <c r="A68" s="474">
        <f t="shared" si="30"/>
        <v>45249.138888888891</v>
      </c>
      <c r="B68" s="475" t="s">
        <v>228</v>
      </c>
      <c r="C68" s="475" t="s">
        <v>229</v>
      </c>
      <c r="D68" s="475" t="s">
        <v>215</v>
      </c>
      <c r="E68" s="667" t="s">
        <v>3151</v>
      </c>
      <c r="F68" s="475" t="s">
        <v>3378</v>
      </c>
      <c r="G68" s="472">
        <v>45250.25</v>
      </c>
      <c r="H68" s="472">
        <v>45250.166666666664</v>
      </c>
      <c r="I68" s="667" t="s">
        <v>231</v>
      </c>
      <c r="J68" s="475" t="s">
        <v>192</v>
      </c>
      <c r="K68" s="475" t="s">
        <v>192</v>
      </c>
      <c r="L68" s="667" t="s">
        <v>3537</v>
      </c>
      <c r="M68" s="530"/>
      <c r="N68" s="475" t="s">
        <v>274</v>
      </c>
      <c r="O68" s="475" t="s">
        <v>1093</v>
      </c>
      <c r="P68" s="667" t="s">
        <v>418</v>
      </c>
      <c r="Q68" s="477">
        <f>3136*2.4</f>
        <v>7526.4</v>
      </c>
      <c r="R68" s="477">
        <f>7550+100</f>
        <v>7650</v>
      </c>
      <c r="S68" s="477">
        <v>7523.2340000000004</v>
      </c>
      <c r="T68" s="667"/>
      <c r="U68" s="581"/>
      <c r="V68" s="581"/>
      <c r="W68" s="581"/>
      <c r="X68" s="726">
        <f t="shared" si="34"/>
        <v>4890.1021000000001</v>
      </c>
      <c r="Y68" s="726">
        <f t="shared" si="35"/>
        <v>2633.1318999999999</v>
      </c>
      <c r="Z68" s="581"/>
      <c r="AA68" s="581"/>
      <c r="AB68" s="581"/>
      <c r="AC68" s="581"/>
      <c r="AD68" s="581"/>
      <c r="AE68" s="575"/>
      <c r="AF68" s="575"/>
      <c r="AG68" s="575"/>
      <c r="AH68" s="575"/>
      <c r="AI68" s="575"/>
      <c r="BD68" s="473">
        <f t="shared" ref="BD68:BD99" si="36">BG68</f>
        <v>45242.517361111109</v>
      </c>
      <c r="BE68" s="473">
        <f t="shared" ref="BE68:BE99" si="37">BW68</f>
        <v>45254.569444444445</v>
      </c>
      <c r="BF68" s="479">
        <f t="shared" ref="BF68:BF99" si="38">BE68-BD68</f>
        <v>12.052083333335759</v>
      </c>
      <c r="BG68" s="473">
        <v>45242.517361111109</v>
      </c>
      <c r="BH68" s="473">
        <v>45245.548611111109</v>
      </c>
      <c r="BI68" s="473">
        <v>45247.166666666664</v>
      </c>
      <c r="BJ68" s="473">
        <v>45249.138888888891</v>
      </c>
      <c r="BK68" s="473">
        <v>45249.373611111114</v>
      </c>
      <c r="BL68" s="473">
        <v>45249.375</v>
      </c>
      <c r="BM68" s="473">
        <v>45249.336805555555</v>
      </c>
      <c r="BN68" s="473">
        <f t="shared" si="31"/>
        <v>45251.045138888891</v>
      </c>
      <c r="BO68" s="480">
        <v>45251.5</v>
      </c>
      <c r="BP68" s="480">
        <v>45251.666666666664</v>
      </c>
      <c r="BQ68" s="480">
        <v>45251.555555555555</v>
      </c>
      <c r="BR68" s="473">
        <v>45252.666666666664</v>
      </c>
      <c r="BS68" s="473">
        <v>45253.895833333336</v>
      </c>
      <c r="BT68" s="473">
        <v>45254.173611111109</v>
      </c>
      <c r="BU68" s="473">
        <v>45254.194444444445</v>
      </c>
      <c r="BV68" s="473">
        <v>45254.197916666664</v>
      </c>
      <c r="BW68" s="473">
        <v>45254.569444444445</v>
      </c>
      <c r="BZ68" s="481">
        <f t="shared" ref="BZ68:BZ99" si="39">(BI68-BH68)*24</f>
        <v>38.833333333313931</v>
      </c>
      <c r="CA68" s="481">
        <f t="shared" ref="CA68:CA99" si="40">(BK68-BJ68)*24</f>
        <v>5.6333333333604969</v>
      </c>
      <c r="CB68" s="481">
        <f t="shared" ref="CB68:CB99" si="41">(BN68-BM68)*24</f>
        <v>41.000000000058208</v>
      </c>
      <c r="CC68" s="481">
        <f t="shared" si="29"/>
        <v>24</v>
      </c>
      <c r="CD68" s="482">
        <f t="shared" ref="CD68:CD99" si="42">(BT68-BS68)*24</f>
        <v>6.6666666665696539</v>
      </c>
      <c r="CE68" s="482">
        <f t="shared" ref="CE68:CE99" si="43">(BW68-BV68)*24</f>
        <v>8.9166666667442769</v>
      </c>
      <c r="CF68" s="483">
        <f t="shared" ref="CF68:CF99" si="44">SUM(BZ68:CE68)/24</f>
        <v>5.2104166666686069</v>
      </c>
      <c r="CG68" s="483">
        <f t="shared" ref="CG68:CG99" si="45">BF68</f>
        <v>12.052083333335759</v>
      </c>
      <c r="CH68" s="484">
        <f t="shared" ref="CH68:CH99" si="46">CF68/CG68</f>
        <v>0.43232497839246814</v>
      </c>
    </row>
    <row r="69" spans="1:88" s="475" customFormat="1">
      <c r="A69" s="474">
        <f t="shared" si="30"/>
        <v>45249.399305555555</v>
      </c>
      <c r="B69" s="475" t="s">
        <v>228</v>
      </c>
      <c r="C69" s="475" t="s">
        <v>229</v>
      </c>
      <c r="D69" s="475" t="s">
        <v>197</v>
      </c>
      <c r="E69" s="667" t="s">
        <v>3151</v>
      </c>
      <c r="F69" s="475" t="s">
        <v>3378</v>
      </c>
      <c r="G69" s="472">
        <v>45250.25</v>
      </c>
      <c r="H69" s="472">
        <v>45250.166666666664</v>
      </c>
      <c r="I69" s="667" t="s">
        <v>231</v>
      </c>
      <c r="J69" s="475" t="s">
        <v>192</v>
      </c>
      <c r="K69" s="475" t="s">
        <v>192</v>
      </c>
      <c r="L69" s="667" t="s">
        <v>3538</v>
      </c>
      <c r="M69" s="530"/>
      <c r="N69" s="475" t="s">
        <v>429</v>
      </c>
      <c r="O69" s="475" t="s">
        <v>430</v>
      </c>
      <c r="P69" s="475" t="s">
        <v>418</v>
      </c>
      <c r="Q69" s="477">
        <f>3145 *2.4</f>
        <v>7548</v>
      </c>
      <c r="R69" s="477">
        <f>7550+100</f>
        <v>7650</v>
      </c>
      <c r="S69" s="477">
        <v>7485.7020000000002</v>
      </c>
      <c r="T69" s="667"/>
      <c r="U69" s="581"/>
      <c r="V69" s="581"/>
      <c r="W69" s="581"/>
      <c r="X69" s="726">
        <f t="shared" si="34"/>
        <v>4865.7063000000007</v>
      </c>
      <c r="Y69" s="726">
        <f t="shared" si="35"/>
        <v>2619.9956999999999</v>
      </c>
      <c r="Z69" s="581"/>
      <c r="AA69" s="581"/>
      <c r="AB69" s="581"/>
      <c r="AC69" s="581"/>
      <c r="AD69" s="581"/>
      <c r="AE69" s="581"/>
      <c r="BD69" s="473">
        <f t="shared" si="36"/>
        <v>45243.340277777781</v>
      </c>
      <c r="BE69" s="473">
        <f t="shared" si="37"/>
        <v>45254.833333333336</v>
      </c>
      <c r="BF69" s="479">
        <f t="shared" si="38"/>
        <v>11.493055555554747</v>
      </c>
      <c r="BG69" s="473">
        <v>45243.340277777781</v>
      </c>
      <c r="BH69" s="473">
        <v>45245.559027777781</v>
      </c>
      <c r="BI69" s="473">
        <v>45247.333333333336</v>
      </c>
      <c r="BJ69" s="473">
        <v>45249.399305555555</v>
      </c>
      <c r="BK69" s="473">
        <v>45249.497916666667</v>
      </c>
      <c r="BL69" s="473">
        <v>45249.5</v>
      </c>
      <c r="BM69" s="473">
        <v>45249.510416666664</v>
      </c>
      <c r="BN69" s="473">
        <f t="shared" si="31"/>
        <v>45251.21875</v>
      </c>
      <c r="BO69" s="480">
        <v>45251.5</v>
      </c>
      <c r="BP69" s="480">
        <v>45251.666666666664</v>
      </c>
      <c r="BQ69" s="480">
        <v>45251.569444444445</v>
      </c>
      <c r="BR69" s="473">
        <v>45252.618055555555</v>
      </c>
      <c r="BS69" s="473">
        <v>45254.25</v>
      </c>
      <c r="BT69" s="473">
        <v>45254.538194444445</v>
      </c>
      <c r="BU69" s="473">
        <v>45254.559027777781</v>
      </c>
      <c r="BV69" s="473">
        <v>45254.559027777781</v>
      </c>
      <c r="BW69" s="473">
        <v>45254.833333333336</v>
      </c>
      <c r="BZ69" s="481">
        <f t="shared" si="39"/>
        <v>42.583333333313931</v>
      </c>
      <c r="CA69" s="481">
        <f t="shared" si="40"/>
        <v>2.3666666666977108</v>
      </c>
      <c r="CB69" s="481">
        <f t="shared" si="41"/>
        <v>41.000000000058208</v>
      </c>
      <c r="CC69" s="481">
        <f t="shared" si="29"/>
        <v>22.833333333372138</v>
      </c>
      <c r="CD69" s="482">
        <f t="shared" si="42"/>
        <v>6.9166666666860692</v>
      </c>
      <c r="CE69" s="482">
        <f t="shared" si="43"/>
        <v>6.5833333333139308</v>
      </c>
      <c r="CF69" s="483">
        <f t="shared" si="44"/>
        <v>5.0951388888934162</v>
      </c>
      <c r="CG69" s="483">
        <f t="shared" si="45"/>
        <v>11.493055555554747</v>
      </c>
      <c r="CH69" s="484">
        <f t="shared" si="46"/>
        <v>0.44332326284030427</v>
      </c>
    </row>
    <row r="70" spans="1:88" s="475" customFormat="1">
      <c r="A70" s="474">
        <f t="shared" si="30"/>
        <v>45249.534722222219</v>
      </c>
      <c r="B70" s="475" t="s">
        <v>228</v>
      </c>
      <c r="C70" s="475" t="s">
        <v>229</v>
      </c>
      <c r="D70" s="475" t="s">
        <v>197</v>
      </c>
      <c r="E70" s="667" t="s">
        <v>3151</v>
      </c>
      <c r="F70" s="399" t="s">
        <v>3378</v>
      </c>
      <c r="G70" s="472">
        <v>45250.25</v>
      </c>
      <c r="H70" s="472">
        <v>45250.166666666664</v>
      </c>
      <c r="I70" s="667" t="s">
        <v>231</v>
      </c>
      <c r="J70" s="475" t="s">
        <v>192</v>
      </c>
      <c r="K70" s="475" t="s">
        <v>192</v>
      </c>
      <c r="L70" s="667" t="s">
        <v>3539</v>
      </c>
      <c r="M70" s="530"/>
      <c r="N70" s="475" t="s">
        <v>2207</v>
      </c>
      <c r="O70" s="475" t="s">
        <v>2208</v>
      </c>
      <c r="P70" s="475" t="s">
        <v>418</v>
      </c>
      <c r="Q70" s="477">
        <f>3031*2.4</f>
        <v>7274.4</v>
      </c>
      <c r="R70" s="477">
        <f>7300+100</f>
        <v>7400</v>
      </c>
      <c r="S70" s="477">
        <f>7303.838-1931.482</f>
        <v>5372.3559999999998</v>
      </c>
      <c r="T70" s="399"/>
      <c r="U70" s="581"/>
      <c r="V70" s="581"/>
      <c r="W70" s="581"/>
      <c r="X70" s="726">
        <f t="shared" si="34"/>
        <v>3492.0313999999998</v>
      </c>
      <c r="Y70" s="726">
        <f t="shared" si="35"/>
        <v>1880.3245999999997</v>
      </c>
      <c r="Z70" s="581"/>
      <c r="AA70" s="581"/>
      <c r="AB70" s="581"/>
      <c r="AC70" s="581"/>
      <c r="AD70" s="581"/>
      <c r="BD70" s="473">
        <f t="shared" si="36"/>
        <v>45239.9375</v>
      </c>
      <c r="BE70" s="473">
        <f t="shared" si="37"/>
        <v>45256.770833333336</v>
      </c>
      <c r="BF70" s="479">
        <f t="shared" si="38"/>
        <v>16.833333333335759</v>
      </c>
      <c r="BG70" s="473">
        <v>45239.9375</v>
      </c>
      <c r="BH70" s="473">
        <v>45245.677083333336</v>
      </c>
      <c r="BI70" s="473">
        <v>45247.354166666664</v>
      </c>
      <c r="BJ70" s="473">
        <v>45249.534722222219</v>
      </c>
      <c r="BK70" s="473">
        <v>45249.71875</v>
      </c>
      <c r="BL70" s="473">
        <v>45249.722222222219</v>
      </c>
      <c r="BM70" s="473">
        <v>45249.784722222219</v>
      </c>
      <c r="BN70" s="473">
        <f t="shared" si="31"/>
        <v>45251.493055555555</v>
      </c>
      <c r="BO70" s="473">
        <v>45251.5</v>
      </c>
      <c r="BP70" s="473">
        <v>45251.666666666664</v>
      </c>
      <c r="BQ70" s="473">
        <v>45251.704861111109</v>
      </c>
      <c r="BR70" s="473">
        <v>45252.975694444445</v>
      </c>
      <c r="BS70" s="473">
        <v>45256.333333333328</v>
      </c>
      <c r="BT70" s="473">
        <v>45256.659722222219</v>
      </c>
      <c r="BU70" s="473">
        <v>45256.770833333336</v>
      </c>
      <c r="BV70" s="473">
        <v>45256.770833333336</v>
      </c>
      <c r="BW70" s="473">
        <v>45256.770833333336</v>
      </c>
      <c r="BZ70" s="481">
        <f t="shared" si="39"/>
        <v>40.249999999883585</v>
      </c>
      <c r="CA70" s="481">
        <f t="shared" si="40"/>
        <v>4.4166666667442769</v>
      </c>
      <c r="CB70" s="481">
        <f t="shared" si="41"/>
        <v>41.000000000058208</v>
      </c>
      <c r="CC70" s="481">
        <f t="shared" si="29"/>
        <v>31.416666666744277</v>
      </c>
      <c r="CD70" s="482">
        <f t="shared" si="42"/>
        <v>7.8333333333721384</v>
      </c>
      <c r="CE70" s="482">
        <f t="shared" si="43"/>
        <v>0</v>
      </c>
      <c r="CF70" s="483">
        <f t="shared" si="44"/>
        <v>5.2048611111167702</v>
      </c>
      <c r="CG70" s="483">
        <f t="shared" si="45"/>
        <v>16.833333333335759</v>
      </c>
      <c r="CH70" s="484">
        <f t="shared" si="46"/>
        <v>0.30919966996728832</v>
      </c>
    </row>
    <row r="71" spans="1:88" s="475" customFormat="1">
      <c r="A71" s="474">
        <f t="shared" si="30"/>
        <v>45249.534722222219</v>
      </c>
      <c r="B71" s="475" t="s">
        <v>228</v>
      </c>
      <c r="C71" s="475" t="s">
        <v>229</v>
      </c>
      <c r="D71" s="475" t="s">
        <v>197</v>
      </c>
      <c r="E71" s="667" t="s">
        <v>3156</v>
      </c>
      <c r="F71" s="475" t="s">
        <v>3474</v>
      </c>
      <c r="G71" s="472">
        <v>45252.083333333336</v>
      </c>
      <c r="H71" s="472">
        <v>45252.01666666667</v>
      </c>
      <c r="I71" s="667" t="s">
        <v>231</v>
      </c>
      <c r="J71" s="475" t="s">
        <v>192</v>
      </c>
      <c r="K71" s="475" t="s">
        <v>192</v>
      </c>
      <c r="L71" s="667" t="s">
        <v>3539</v>
      </c>
      <c r="M71" s="530"/>
      <c r="N71" s="475" t="s">
        <v>2207</v>
      </c>
      <c r="O71" s="475" t="s">
        <v>2208</v>
      </c>
      <c r="P71" s="475" t="s">
        <v>418</v>
      </c>
      <c r="Q71" s="477">
        <f>3031*2.4</f>
        <v>7274.4</v>
      </c>
      <c r="R71" s="477">
        <f>7300+100</f>
        <v>7400</v>
      </c>
      <c r="S71" s="477">
        <v>869.57299999999998</v>
      </c>
      <c r="T71" s="399"/>
      <c r="U71" s="581"/>
      <c r="V71" s="581"/>
      <c r="W71" s="581"/>
      <c r="X71" s="726">
        <f t="shared" si="34"/>
        <v>565.22244999999998</v>
      </c>
      <c r="Y71" s="726">
        <f t="shared" si="35"/>
        <v>304.35055</v>
      </c>
      <c r="Z71" s="581"/>
      <c r="AA71" s="581"/>
      <c r="AB71" s="581"/>
      <c r="AC71" s="581"/>
      <c r="AD71" s="581"/>
      <c r="BD71" s="473">
        <f t="shared" si="36"/>
        <v>45239.9375</v>
      </c>
      <c r="BE71" s="473">
        <f t="shared" si="37"/>
        <v>45258.104166666664</v>
      </c>
      <c r="BF71" s="479">
        <f t="shared" si="38"/>
        <v>18.166666666664241</v>
      </c>
      <c r="BG71" s="473">
        <v>45239.9375</v>
      </c>
      <c r="BH71" s="473">
        <v>45245.677083333336</v>
      </c>
      <c r="BI71" s="473">
        <v>45247.354166666664</v>
      </c>
      <c r="BJ71" s="473">
        <v>45249.534722222219</v>
      </c>
      <c r="BK71" s="473">
        <v>45249.71875</v>
      </c>
      <c r="BL71" s="473">
        <v>45249.722222222219</v>
      </c>
      <c r="BM71" s="473">
        <v>45249.784722222219</v>
      </c>
      <c r="BN71" s="473">
        <f t="shared" si="31"/>
        <v>45251.493055555555</v>
      </c>
      <c r="BO71" s="473">
        <v>45251.5</v>
      </c>
      <c r="BP71" s="473">
        <v>45251.666666666664</v>
      </c>
      <c r="BQ71" s="473">
        <v>45251.704861111109</v>
      </c>
      <c r="BR71" s="473">
        <v>45256.770833333336</v>
      </c>
      <c r="BS71" s="473">
        <v>45257.677083333336</v>
      </c>
      <c r="BT71" s="473">
        <v>45257.729166666664</v>
      </c>
      <c r="BU71" s="473">
        <v>45257.75</v>
      </c>
      <c r="BV71" s="473">
        <v>45257.774305555555</v>
      </c>
      <c r="BW71" s="473">
        <v>45258.104166666664</v>
      </c>
      <c r="BZ71" s="481">
        <f t="shared" si="39"/>
        <v>40.249999999883585</v>
      </c>
      <c r="CA71" s="481">
        <f t="shared" si="40"/>
        <v>4.4166666667442769</v>
      </c>
      <c r="CB71" s="481">
        <f t="shared" si="41"/>
        <v>41.000000000058208</v>
      </c>
      <c r="CC71" s="481">
        <f t="shared" ref="CC71:CC102" si="47">(BR71-BP71)*24</f>
        <v>122.50000000011642</v>
      </c>
      <c r="CD71" s="482">
        <f t="shared" si="42"/>
        <v>1.2499999998835847</v>
      </c>
      <c r="CE71" s="482">
        <f t="shared" si="43"/>
        <v>7.9166666666278616</v>
      </c>
      <c r="CF71" s="483">
        <f t="shared" si="44"/>
        <v>9.0555555555547471</v>
      </c>
      <c r="CG71" s="483">
        <f t="shared" si="45"/>
        <v>18.166666666664241</v>
      </c>
      <c r="CH71" s="484">
        <f t="shared" si="46"/>
        <v>0.49847094801225444</v>
      </c>
    </row>
    <row r="72" spans="1:88" s="475" customFormat="1">
      <c r="A72" s="474">
        <f t="shared" si="30"/>
        <v>45249.743055555555</v>
      </c>
      <c r="B72" s="475" t="s">
        <v>228</v>
      </c>
      <c r="C72" s="475" t="s">
        <v>229</v>
      </c>
      <c r="D72" s="475" t="s">
        <v>197</v>
      </c>
      <c r="E72" s="476" t="s">
        <v>3151</v>
      </c>
      <c r="F72" s="475" t="s">
        <v>3378</v>
      </c>
      <c r="G72" s="472">
        <v>45250.25</v>
      </c>
      <c r="H72" s="472">
        <v>45250.166666666664</v>
      </c>
      <c r="I72" s="667" t="s">
        <v>231</v>
      </c>
      <c r="J72" s="475" t="s">
        <v>192</v>
      </c>
      <c r="K72" s="475" t="s">
        <v>192</v>
      </c>
      <c r="L72" s="667" t="s">
        <v>3540</v>
      </c>
      <c r="M72" s="530"/>
      <c r="N72" s="475" t="s">
        <v>307</v>
      </c>
      <c r="O72" s="475" t="s">
        <v>308</v>
      </c>
      <c r="P72" s="475" t="s">
        <v>418</v>
      </c>
      <c r="Q72" s="477">
        <f>3170*2.4</f>
        <v>7608</v>
      </c>
      <c r="R72" s="477">
        <f>7550+100</f>
        <v>7650</v>
      </c>
      <c r="S72" s="477">
        <v>7687.8739999999998</v>
      </c>
      <c r="T72" s="477"/>
      <c r="U72" s="581"/>
      <c r="V72" s="581"/>
      <c r="W72" s="581"/>
      <c r="X72" s="726">
        <f t="shared" si="34"/>
        <v>4997.1180999999997</v>
      </c>
      <c r="Y72" s="726">
        <f t="shared" si="35"/>
        <v>2690.7558999999997</v>
      </c>
      <c r="Z72" s="581"/>
      <c r="AA72" s="581"/>
      <c r="AB72" s="581"/>
      <c r="AC72" s="581"/>
      <c r="AD72" s="581"/>
      <c r="AE72" s="581"/>
      <c r="BD72" s="473">
        <f t="shared" si="36"/>
        <v>45243.981944444444</v>
      </c>
      <c r="BE72" s="473">
        <f t="shared" si="37"/>
        <v>45256.784722222219</v>
      </c>
      <c r="BF72" s="479">
        <f t="shared" si="38"/>
        <v>12.802777777775191</v>
      </c>
      <c r="BG72" s="473">
        <v>45243.981944444444</v>
      </c>
      <c r="BH72" s="473">
        <v>45245.765277777777</v>
      </c>
      <c r="BI72" s="473">
        <v>45248.125</v>
      </c>
      <c r="BJ72" s="473">
        <v>45249.743055555555</v>
      </c>
      <c r="BK72" s="473">
        <v>45249.9375</v>
      </c>
      <c r="BL72" s="473">
        <v>45249.944444444445</v>
      </c>
      <c r="BM72" s="473">
        <v>45250.263888888891</v>
      </c>
      <c r="BN72" s="473">
        <f t="shared" si="31"/>
        <v>45251.972222222226</v>
      </c>
      <c r="BO72" s="480">
        <v>45252.5</v>
      </c>
      <c r="BP72" s="480">
        <v>45252.666666608799</v>
      </c>
      <c r="BQ72" s="473">
        <v>45252.581944444442</v>
      </c>
      <c r="BR72" s="473">
        <v>45254.083333333336</v>
      </c>
      <c r="BS72" s="473">
        <v>45256.069444444445</v>
      </c>
      <c r="BT72" s="473">
        <v>45256.270833333336</v>
      </c>
      <c r="BU72" s="473">
        <v>45256.291666666664</v>
      </c>
      <c r="BV72" s="473">
        <v>45256.291666666664</v>
      </c>
      <c r="BW72" s="473">
        <v>45256.784722222219</v>
      </c>
      <c r="BZ72" s="481">
        <f t="shared" si="39"/>
        <v>56.633333333360497</v>
      </c>
      <c r="CA72" s="481">
        <f t="shared" si="40"/>
        <v>4.6666666666860692</v>
      </c>
      <c r="CB72" s="481">
        <f t="shared" si="41"/>
        <v>41.000000000058208</v>
      </c>
      <c r="CC72" s="481">
        <f t="shared" si="47"/>
        <v>34.000001388892997</v>
      </c>
      <c r="CD72" s="482">
        <f t="shared" si="42"/>
        <v>4.8333333333721384</v>
      </c>
      <c r="CE72" s="482">
        <f t="shared" si="43"/>
        <v>11.833333333313931</v>
      </c>
      <c r="CF72" s="483">
        <f t="shared" si="44"/>
        <v>6.3736111689868267</v>
      </c>
      <c r="CG72" s="483">
        <f t="shared" si="45"/>
        <v>12.802777777775191</v>
      </c>
      <c r="CH72" s="484">
        <f t="shared" si="46"/>
        <v>0.49783033647987007</v>
      </c>
    </row>
    <row r="73" spans="1:88" s="475" customFormat="1">
      <c r="A73" s="521">
        <f t="shared" si="30"/>
        <v>45249.96875</v>
      </c>
      <c r="B73" s="369" t="s">
        <v>228</v>
      </c>
      <c r="C73" s="369" t="s">
        <v>229</v>
      </c>
      <c r="D73" s="369" t="s">
        <v>215</v>
      </c>
      <c r="E73" s="661" t="s">
        <v>3162</v>
      </c>
      <c r="F73" s="369" t="s">
        <v>3378</v>
      </c>
      <c r="G73" s="492">
        <v>45256.770833333336</v>
      </c>
      <c r="H73" s="492">
        <v>45256.779166666667</v>
      </c>
      <c r="I73" s="661" t="s">
        <v>243</v>
      </c>
      <c r="J73" s="369" t="s">
        <v>192</v>
      </c>
      <c r="K73" s="369" t="s">
        <v>192</v>
      </c>
      <c r="L73" s="661" t="s">
        <v>3541</v>
      </c>
      <c r="M73" s="530"/>
      <c r="N73" s="369" t="s">
        <v>358</v>
      </c>
      <c r="O73" s="369" t="s">
        <v>359</v>
      </c>
      <c r="P73" s="661" t="s">
        <v>235</v>
      </c>
      <c r="Q73" s="520">
        <f>3852*2.4</f>
        <v>9244.7999999999993</v>
      </c>
      <c r="R73" s="520">
        <v>9250</v>
      </c>
      <c r="S73" s="520">
        <v>9211.7620000000006</v>
      </c>
      <c r="T73" s="661"/>
      <c r="U73" s="904"/>
      <c r="V73" s="904"/>
      <c r="W73" s="904"/>
      <c r="X73" s="760">
        <f>S73</f>
        <v>9211.7620000000006</v>
      </c>
      <c r="Y73" s="904"/>
      <c r="Z73" s="904"/>
      <c r="AA73" s="904"/>
      <c r="AB73" s="904"/>
      <c r="AC73" s="904"/>
      <c r="AD73" s="904"/>
      <c r="AE73" s="904"/>
      <c r="AF73" s="1173"/>
      <c r="AG73" s="1173"/>
      <c r="AH73" s="1173"/>
      <c r="AI73" s="1173"/>
      <c r="AJ73" s="369"/>
      <c r="AK73" s="369"/>
      <c r="AL73" s="369"/>
      <c r="AM73" s="369"/>
      <c r="AN73" s="369"/>
      <c r="AO73" s="369"/>
      <c r="AP73" s="369"/>
      <c r="AQ73" s="369"/>
      <c r="AR73" s="369"/>
      <c r="AS73" s="369"/>
      <c r="AT73" s="369"/>
      <c r="AU73" s="369"/>
      <c r="AV73" s="369"/>
      <c r="AW73" s="369"/>
      <c r="AX73" s="369"/>
      <c r="AY73" s="369"/>
      <c r="AZ73" s="369"/>
      <c r="BA73" s="369"/>
      <c r="BB73" s="369"/>
      <c r="BC73" s="369"/>
      <c r="BD73" s="522">
        <f t="shared" si="36"/>
        <v>45242.777777777781</v>
      </c>
      <c r="BE73" s="522">
        <f t="shared" si="37"/>
        <v>45258.3125</v>
      </c>
      <c r="BF73" s="523">
        <f t="shared" si="38"/>
        <v>15.534722222218988</v>
      </c>
      <c r="BG73" s="522">
        <v>45242.777777777781</v>
      </c>
      <c r="BH73" s="522">
        <v>45245.746527777781</v>
      </c>
      <c r="BI73" s="522">
        <v>45247.4375</v>
      </c>
      <c r="BJ73" s="522">
        <v>45249.96875</v>
      </c>
      <c r="BK73" s="522">
        <v>45250.15625</v>
      </c>
      <c r="BL73" s="522">
        <v>45250.177083333336</v>
      </c>
      <c r="BM73" s="522">
        <v>45250.180555555555</v>
      </c>
      <c r="BN73" s="522">
        <f t="shared" si="31"/>
        <v>45251.888888888891</v>
      </c>
      <c r="BO73" s="522">
        <v>45251.5</v>
      </c>
      <c r="BP73" s="522">
        <v>45251.666666666664</v>
      </c>
      <c r="BQ73" s="527">
        <v>45251.694444444445</v>
      </c>
      <c r="BR73" s="522">
        <v>45253.270833333336</v>
      </c>
      <c r="BS73" s="522">
        <v>45257.347222222219</v>
      </c>
      <c r="BT73" s="522">
        <v>45257.704861111109</v>
      </c>
      <c r="BU73" s="522">
        <v>45257.729166666664</v>
      </c>
      <c r="BV73" s="522">
        <v>45258.145833333336</v>
      </c>
      <c r="BW73" s="522">
        <v>45258.3125</v>
      </c>
      <c r="BX73" s="369"/>
      <c r="BY73" s="369"/>
      <c r="BZ73" s="525">
        <f t="shared" si="39"/>
        <v>40.583333333255723</v>
      </c>
      <c r="CA73" s="525">
        <f t="shared" si="40"/>
        <v>4.5</v>
      </c>
      <c r="CB73" s="525">
        <f t="shared" si="41"/>
        <v>41.000000000058208</v>
      </c>
      <c r="CC73" s="525">
        <f t="shared" si="47"/>
        <v>38.500000000116415</v>
      </c>
      <c r="CD73" s="526">
        <f t="shared" si="42"/>
        <v>8.5833333333721384</v>
      </c>
      <c r="CE73" s="526">
        <f t="shared" si="43"/>
        <v>3.9999999999417923</v>
      </c>
      <c r="CF73" s="304">
        <f t="shared" si="44"/>
        <v>5.7152777777810115</v>
      </c>
      <c r="CG73" s="304">
        <f t="shared" si="45"/>
        <v>15.534722222218988</v>
      </c>
      <c r="CH73" s="305">
        <f t="shared" si="46"/>
        <v>0.36790344211025344</v>
      </c>
      <c r="CI73" s="369"/>
      <c r="CJ73" s="369"/>
    </row>
    <row r="74" spans="1:88" s="475" customFormat="1">
      <c r="A74" s="474">
        <f t="shared" si="30"/>
        <v>45250.197916666664</v>
      </c>
      <c r="B74" s="475" t="s">
        <v>228</v>
      </c>
      <c r="C74" s="475" t="s">
        <v>229</v>
      </c>
      <c r="D74" s="475" t="s">
        <v>197</v>
      </c>
      <c r="E74" s="667" t="s">
        <v>3162</v>
      </c>
      <c r="F74" s="475" t="s">
        <v>3378</v>
      </c>
      <c r="G74" s="472">
        <v>45256.770833333336</v>
      </c>
      <c r="H74" s="472">
        <v>45256.779166666667</v>
      </c>
      <c r="I74" s="667" t="s">
        <v>243</v>
      </c>
      <c r="J74" s="475" t="s">
        <v>192</v>
      </c>
      <c r="K74" s="475" t="s">
        <v>192</v>
      </c>
      <c r="L74" s="667" t="s">
        <v>3542</v>
      </c>
      <c r="M74" s="530"/>
      <c r="N74" s="475" t="s">
        <v>226</v>
      </c>
      <c r="O74" s="475" t="s">
        <v>227</v>
      </c>
      <c r="P74" s="475" t="s">
        <v>235</v>
      </c>
      <c r="Q74" s="477">
        <f>3100*2.4</f>
        <v>7440</v>
      </c>
      <c r="R74" s="477">
        <f>7450+100</f>
        <v>7550</v>
      </c>
      <c r="S74" s="477">
        <v>7628.8450000000003</v>
      </c>
      <c r="T74" s="667"/>
      <c r="U74" s="581"/>
      <c r="V74" s="581"/>
      <c r="W74" s="581"/>
      <c r="X74" s="726">
        <f>S74</f>
        <v>7628.8450000000003</v>
      </c>
      <c r="Y74" s="581"/>
      <c r="Z74" s="581"/>
      <c r="AA74" s="581"/>
      <c r="AB74" s="581"/>
      <c r="AC74" s="581"/>
      <c r="AD74" s="581"/>
      <c r="AE74" s="581"/>
      <c r="AF74" s="581"/>
      <c r="AG74" s="581"/>
      <c r="AH74" s="581"/>
      <c r="AI74" s="401"/>
      <c r="AJ74" s="401"/>
      <c r="AK74" s="401"/>
      <c r="AL74" s="401"/>
      <c r="AM74" s="401"/>
      <c r="AN74" s="401"/>
      <c r="AO74" s="401"/>
      <c r="AP74" s="401"/>
      <c r="AQ74" s="401"/>
      <c r="AR74" s="401"/>
      <c r="AS74" s="401"/>
      <c r="AT74" s="401"/>
      <c r="AU74" s="401"/>
      <c r="BD74" s="473">
        <f t="shared" si="36"/>
        <v>45243.350694444445</v>
      </c>
      <c r="BE74" s="473">
        <f t="shared" si="37"/>
        <v>45259.430555555555</v>
      </c>
      <c r="BF74" s="479">
        <f t="shared" si="38"/>
        <v>16.079861111109494</v>
      </c>
      <c r="BG74" s="473">
        <v>45243.350694444445</v>
      </c>
      <c r="BH74" s="473">
        <v>45246.552083333336</v>
      </c>
      <c r="BI74" s="473">
        <v>45248.131944444445</v>
      </c>
      <c r="BJ74" s="473">
        <v>45250.197916666664</v>
      </c>
      <c r="BK74" s="473">
        <v>45250.409722222219</v>
      </c>
      <c r="BL74" s="473">
        <v>45250.413194444445</v>
      </c>
      <c r="BM74" s="473">
        <v>45250.416666666664</v>
      </c>
      <c r="BN74" s="473">
        <f t="shared" si="31"/>
        <v>45252.125</v>
      </c>
      <c r="BO74" s="480">
        <v>45252.5</v>
      </c>
      <c r="BP74" s="480">
        <v>45252.666666608799</v>
      </c>
      <c r="BQ74" s="480">
        <v>45252.576388888891</v>
      </c>
      <c r="BR74" s="473">
        <v>45254.583333333336</v>
      </c>
      <c r="BS74" s="473">
        <v>45257.263888888891</v>
      </c>
      <c r="BT74" s="473">
        <v>45258.930555555555</v>
      </c>
      <c r="BU74" s="473">
        <v>45258.944444444445</v>
      </c>
      <c r="BV74" s="473">
        <v>45258.947916666664</v>
      </c>
      <c r="BW74" s="473">
        <v>45259.430555555555</v>
      </c>
      <c r="BZ74" s="481">
        <f t="shared" si="39"/>
        <v>37.916666666627862</v>
      </c>
      <c r="CA74" s="481">
        <f t="shared" si="40"/>
        <v>5.0833333333139308</v>
      </c>
      <c r="CB74" s="481">
        <f t="shared" si="41"/>
        <v>41.000000000058208</v>
      </c>
      <c r="CC74" s="481">
        <f t="shared" si="47"/>
        <v>46.000001388892997</v>
      </c>
      <c r="CD74" s="482">
        <f t="shared" si="42"/>
        <v>39.999999999941792</v>
      </c>
      <c r="CE74" s="482">
        <f t="shared" si="43"/>
        <v>11.583333333372138</v>
      </c>
      <c r="CF74" s="483">
        <f t="shared" si="44"/>
        <v>7.5659722800919553</v>
      </c>
      <c r="CG74" s="483">
        <f t="shared" si="45"/>
        <v>16.079861111109494</v>
      </c>
      <c r="CH74" s="484">
        <f t="shared" si="46"/>
        <v>0.47052472828043668</v>
      </c>
    </row>
    <row r="75" spans="1:88" s="475" customFormat="1">
      <c r="A75" s="474">
        <f t="shared" si="30"/>
        <v>45250.451388888891</v>
      </c>
      <c r="B75" s="475" t="s">
        <v>228</v>
      </c>
      <c r="C75" s="475" t="s">
        <v>229</v>
      </c>
      <c r="D75" s="475" t="s">
        <v>197</v>
      </c>
      <c r="E75" s="667" t="s">
        <v>3162</v>
      </c>
      <c r="F75" s="475" t="s">
        <v>3378</v>
      </c>
      <c r="G75" s="472">
        <v>45256.770833333336</v>
      </c>
      <c r="H75" s="472">
        <v>45256.779166666667</v>
      </c>
      <c r="I75" s="667" t="s">
        <v>243</v>
      </c>
      <c r="J75" s="475" t="s">
        <v>192</v>
      </c>
      <c r="K75" s="475" t="s">
        <v>192</v>
      </c>
      <c r="L75" s="667" t="s">
        <v>3543</v>
      </c>
      <c r="M75" s="530"/>
      <c r="N75" s="475" t="s">
        <v>361</v>
      </c>
      <c r="O75" s="475" t="s">
        <v>362</v>
      </c>
      <c r="P75" s="475" t="s">
        <v>742</v>
      </c>
      <c r="Q75" s="477">
        <f>3117*2.4</f>
        <v>7480.7999999999993</v>
      </c>
      <c r="R75" s="477">
        <f>7500+100</f>
        <v>7600</v>
      </c>
      <c r="S75" s="477">
        <v>7421.415</v>
      </c>
      <c r="T75" s="667"/>
      <c r="U75" s="581"/>
      <c r="V75" s="581"/>
      <c r="W75" s="581"/>
      <c r="X75" s="726">
        <f>S75*0.7</f>
        <v>5194.9904999999999</v>
      </c>
      <c r="Y75" s="726">
        <f>S75*0.3</f>
        <v>2226.4245000000001</v>
      </c>
      <c r="Z75" s="581"/>
      <c r="AA75" s="581"/>
      <c r="AB75" s="581"/>
      <c r="AC75" s="581"/>
      <c r="AD75" s="581"/>
      <c r="AE75" s="581"/>
      <c r="AF75" s="581"/>
      <c r="AG75" s="581"/>
      <c r="AH75" s="581"/>
      <c r="AI75" s="575"/>
      <c r="BD75" s="473">
        <f t="shared" si="36"/>
        <v>45243.416666666664</v>
      </c>
      <c r="BE75" s="473">
        <f t="shared" si="37"/>
        <v>45260.510416666664</v>
      </c>
      <c r="BF75" s="479">
        <f t="shared" si="38"/>
        <v>17.09375</v>
      </c>
      <c r="BG75" s="473">
        <v>45243.416666666664</v>
      </c>
      <c r="BH75" s="473">
        <v>45246.628472222219</v>
      </c>
      <c r="BI75" s="473">
        <v>45248.482638888891</v>
      </c>
      <c r="BJ75" s="473">
        <v>45250.451388888891</v>
      </c>
      <c r="BK75" s="473">
        <v>45250.583333333336</v>
      </c>
      <c r="BL75" s="473">
        <v>45250.586805555555</v>
      </c>
      <c r="BM75" s="473">
        <v>45250.614583333336</v>
      </c>
      <c r="BN75" s="473">
        <f t="shared" si="31"/>
        <v>45252.322916666672</v>
      </c>
      <c r="BO75" s="480">
        <v>45252.5</v>
      </c>
      <c r="BP75" s="480">
        <v>45252.666666608799</v>
      </c>
      <c r="BQ75" s="480">
        <v>45252.645833333336</v>
      </c>
      <c r="BR75" s="473">
        <v>45254.270833333336</v>
      </c>
      <c r="BS75" s="473">
        <v>45259.368055555555</v>
      </c>
      <c r="BT75" s="473">
        <v>45259.625</v>
      </c>
      <c r="BU75" s="473">
        <v>45259.638888888891</v>
      </c>
      <c r="BV75" s="473">
        <v>45260.09375</v>
      </c>
      <c r="BW75" s="473">
        <v>45260.510416666664</v>
      </c>
      <c r="BZ75" s="481">
        <f t="shared" si="39"/>
        <v>44.500000000116415</v>
      </c>
      <c r="CA75" s="481">
        <f t="shared" si="40"/>
        <v>3.1666666666860692</v>
      </c>
      <c r="CB75" s="481">
        <f t="shared" si="41"/>
        <v>41.000000000058208</v>
      </c>
      <c r="CC75" s="481">
        <f t="shared" si="47"/>
        <v>38.500001388892997</v>
      </c>
      <c r="CD75" s="482">
        <f t="shared" si="42"/>
        <v>6.1666666666860692</v>
      </c>
      <c r="CE75" s="482">
        <f t="shared" si="43"/>
        <v>9.9999999999417923</v>
      </c>
      <c r="CF75" s="483">
        <f t="shared" si="44"/>
        <v>5.9722222800992313</v>
      </c>
      <c r="CG75" s="483">
        <f t="shared" si="45"/>
        <v>17.09375</v>
      </c>
      <c r="CH75" s="484">
        <f t="shared" si="46"/>
        <v>0.34938046245553089</v>
      </c>
    </row>
    <row r="76" spans="1:88" s="475" customFormat="1">
      <c r="A76" s="474">
        <f t="shared" si="30"/>
        <v>45250.607638888891</v>
      </c>
      <c r="B76" s="475" t="s">
        <v>228</v>
      </c>
      <c r="C76" s="475" t="s">
        <v>229</v>
      </c>
      <c r="D76" s="475" t="s">
        <v>215</v>
      </c>
      <c r="E76" s="667" t="s">
        <v>3162</v>
      </c>
      <c r="F76" s="475" t="s">
        <v>3378</v>
      </c>
      <c r="G76" s="472">
        <v>45256.770833333336</v>
      </c>
      <c r="H76" s="472">
        <v>45256.779166666667</v>
      </c>
      <c r="I76" s="667" t="s">
        <v>243</v>
      </c>
      <c r="J76" s="475" t="s">
        <v>192</v>
      </c>
      <c r="K76" s="475" t="s">
        <v>192</v>
      </c>
      <c r="L76" s="667" t="s">
        <v>3544</v>
      </c>
      <c r="M76" s="530"/>
      <c r="N76" s="475" t="s">
        <v>271</v>
      </c>
      <c r="O76" s="475" t="s">
        <v>272</v>
      </c>
      <c r="P76" s="475" t="s">
        <v>742</v>
      </c>
      <c r="Q76" s="477">
        <f>3852*2.4</f>
        <v>9244.7999999999993</v>
      </c>
      <c r="R76" s="477">
        <f>9250+100</f>
        <v>9350</v>
      </c>
      <c r="S76" s="477">
        <v>9049.2060000000001</v>
      </c>
      <c r="T76" s="477"/>
      <c r="U76" s="581"/>
      <c r="V76" s="581"/>
      <c r="W76" s="581"/>
      <c r="X76" s="726">
        <f>S76*0.7</f>
        <v>6334.4441999999999</v>
      </c>
      <c r="Y76" s="726">
        <f>S76*0.3</f>
        <v>2714.7617999999998</v>
      </c>
      <c r="Z76" s="581"/>
      <c r="AA76" s="581"/>
      <c r="AB76" s="581"/>
      <c r="AC76" s="581"/>
      <c r="AD76" s="401"/>
      <c r="AE76" s="401"/>
      <c r="BD76" s="473">
        <f t="shared" si="36"/>
        <v>45244.479166666664</v>
      </c>
      <c r="BE76" s="473">
        <f t="shared" si="37"/>
        <v>45260.055555555555</v>
      </c>
      <c r="BF76" s="479">
        <f t="shared" si="38"/>
        <v>15.576388888890506</v>
      </c>
      <c r="BG76" s="473">
        <v>45244.479166666664</v>
      </c>
      <c r="BH76" s="473">
        <v>45246.736111111109</v>
      </c>
      <c r="BI76" s="473">
        <v>45248.489583333336</v>
      </c>
      <c r="BJ76" s="473">
        <v>45250.607638888891</v>
      </c>
      <c r="BK76" s="473">
        <v>45250.754861111112</v>
      </c>
      <c r="BL76" s="473">
        <v>45250.760416666664</v>
      </c>
      <c r="BM76" s="473">
        <v>45250.763888888891</v>
      </c>
      <c r="BN76" s="473">
        <f t="shared" si="31"/>
        <v>45252.472222222226</v>
      </c>
      <c r="BO76" s="480">
        <v>45252.5</v>
      </c>
      <c r="BP76" s="480">
        <v>45252.666666608799</v>
      </c>
      <c r="BQ76" s="480">
        <v>45252.555555555555</v>
      </c>
      <c r="BR76" s="473">
        <v>45254.135416666664</v>
      </c>
      <c r="BS76" s="473">
        <v>45259.010416666664</v>
      </c>
      <c r="BT76" s="473">
        <v>45259.270833333336</v>
      </c>
      <c r="BU76" s="473">
        <v>45259.315972222219</v>
      </c>
      <c r="BV76" s="473">
        <v>45259.611111111109</v>
      </c>
      <c r="BW76" s="473">
        <v>45260.055555555555</v>
      </c>
      <c r="BZ76" s="481">
        <f t="shared" si="39"/>
        <v>42.083333333430346</v>
      </c>
      <c r="CA76" s="481">
        <f t="shared" si="40"/>
        <v>3.5333333333255723</v>
      </c>
      <c r="CB76" s="481">
        <f t="shared" si="41"/>
        <v>41.000000000058208</v>
      </c>
      <c r="CC76" s="481">
        <f t="shared" si="47"/>
        <v>35.250001388776582</v>
      </c>
      <c r="CD76" s="482">
        <f t="shared" si="42"/>
        <v>6.2500000001164153</v>
      </c>
      <c r="CE76" s="482">
        <f t="shared" si="43"/>
        <v>10.666666666686069</v>
      </c>
      <c r="CF76" s="483">
        <f t="shared" si="44"/>
        <v>5.782638946766383</v>
      </c>
      <c r="CG76" s="483">
        <f t="shared" si="45"/>
        <v>15.576388888890506</v>
      </c>
      <c r="CH76" s="484">
        <f t="shared" si="46"/>
        <v>0.37124387353289018</v>
      </c>
    </row>
    <row r="77" spans="1:88" s="475" customFormat="1">
      <c r="A77" s="474">
        <f t="shared" ref="A77:A108" si="48">BJ77</f>
        <v>45250.805555555555</v>
      </c>
      <c r="B77" s="475" t="s">
        <v>228</v>
      </c>
      <c r="C77" s="475" t="s">
        <v>229</v>
      </c>
      <c r="D77" s="475" t="s">
        <v>197</v>
      </c>
      <c r="E77" s="667" t="s">
        <v>3162</v>
      </c>
      <c r="F77" s="475" t="s">
        <v>3378</v>
      </c>
      <c r="G77" s="472">
        <v>45256.770833333336</v>
      </c>
      <c r="H77" s="472">
        <v>45256.779166666667</v>
      </c>
      <c r="I77" s="667" t="s">
        <v>243</v>
      </c>
      <c r="J77" s="475" t="s">
        <v>192</v>
      </c>
      <c r="K77" s="475" t="s">
        <v>192</v>
      </c>
      <c r="L77" s="667" t="s">
        <v>3545</v>
      </c>
      <c r="M77" s="530"/>
      <c r="N77" s="475" t="s">
        <v>3546</v>
      </c>
      <c r="O77" s="475" t="s">
        <v>1308</v>
      </c>
      <c r="P77" s="399" t="s">
        <v>742</v>
      </c>
      <c r="Q77" s="477">
        <f>2205*2.4</f>
        <v>5292</v>
      </c>
      <c r="R77" s="477">
        <f>5300+100</f>
        <v>5400</v>
      </c>
      <c r="S77" s="477">
        <v>5400.2449999999999</v>
      </c>
      <c r="T77" s="477"/>
      <c r="U77" s="581"/>
      <c r="V77" s="581"/>
      <c r="W77" s="581"/>
      <c r="X77" s="726">
        <f>S77*0.7</f>
        <v>3780.1714999999995</v>
      </c>
      <c r="Y77" s="726">
        <f>S77*0.3</f>
        <v>1620.0735</v>
      </c>
      <c r="Z77" s="581"/>
      <c r="AA77" s="581"/>
      <c r="AB77" s="581"/>
      <c r="AC77" s="581"/>
      <c r="AD77" s="581"/>
      <c r="AE77" s="401"/>
      <c r="AS77" s="581"/>
      <c r="AT77" s="581"/>
      <c r="BD77" s="473">
        <f t="shared" si="36"/>
        <v>45245.611111111109</v>
      </c>
      <c r="BE77" s="473">
        <f t="shared" si="37"/>
        <v>45261.75</v>
      </c>
      <c r="BF77" s="479">
        <f t="shared" si="38"/>
        <v>16.138888888890506</v>
      </c>
      <c r="BG77" s="473">
        <v>45245.611111111109</v>
      </c>
      <c r="BH77" s="473">
        <v>45247.763888888891</v>
      </c>
      <c r="BI77" s="473">
        <v>45250</v>
      </c>
      <c r="BJ77" s="473">
        <v>45250.805555555555</v>
      </c>
      <c r="BK77" s="473">
        <v>45250.909722222219</v>
      </c>
      <c r="BL77" s="473">
        <v>45250.916666666664</v>
      </c>
      <c r="BM77" s="473">
        <v>45251.25</v>
      </c>
      <c r="BN77" s="473">
        <f t="shared" ref="BN77:BN108" si="49">BM77+(41/24)</f>
        <v>45252.958333333336</v>
      </c>
      <c r="BO77" s="473">
        <v>45253.5</v>
      </c>
      <c r="BP77" s="473">
        <v>45253.666666608799</v>
      </c>
      <c r="BQ77" s="473">
        <v>45253.569444444445</v>
      </c>
      <c r="BR77" s="473">
        <v>45256.034722222219</v>
      </c>
      <c r="BS77" s="473">
        <v>45258.704861111109</v>
      </c>
      <c r="BT77" s="473">
        <v>45260.920138888891</v>
      </c>
      <c r="BU77" s="473">
        <v>45261.076388888891</v>
      </c>
      <c r="BV77" s="473">
        <v>45261.079861111109</v>
      </c>
      <c r="BW77" s="473">
        <v>45261.75</v>
      </c>
      <c r="BZ77" s="481">
        <f t="shared" si="39"/>
        <v>53.666666666627862</v>
      </c>
      <c r="CA77" s="481">
        <f t="shared" si="40"/>
        <v>2.4999999999417923</v>
      </c>
      <c r="CB77" s="481">
        <f t="shared" si="41"/>
        <v>41.000000000058208</v>
      </c>
      <c r="CC77" s="481">
        <f t="shared" si="47"/>
        <v>56.833334722090513</v>
      </c>
      <c r="CD77" s="482">
        <f t="shared" si="42"/>
        <v>53.166666666744277</v>
      </c>
      <c r="CE77" s="482">
        <f t="shared" si="43"/>
        <v>16.083333333372138</v>
      </c>
      <c r="CF77" s="483">
        <f t="shared" si="44"/>
        <v>9.3020833912014496</v>
      </c>
      <c r="CG77" s="483">
        <f t="shared" si="45"/>
        <v>16.138888888890506</v>
      </c>
      <c r="CH77" s="484">
        <f t="shared" si="46"/>
        <v>0.57637693990226957</v>
      </c>
    </row>
    <row r="78" spans="1:88" s="475" customFormat="1">
      <c r="A78" s="474">
        <f t="shared" si="48"/>
        <v>45251.133333333331</v>
      </c>
      <c r="B78" s="475" t="s">
        <v>228</v>
      </c>
      <c r="C78" s="475" t="s">
        <v>229</v>
      </c>
      <c r="D78" s="475" t="s">
        <v>197</v>
      </c>
      <c r="E78" s="667" t="s">
        <v>3162</v>
      </c>
      <c r="F78" s="475" t="s">
        <v>3378</v>
      </c>
      <c r="G78" s="472">
        <v>45256.770833333336</v>
      </c>
      <c r="H78" s="472">
        <v>45256.779166666667</v>
      </c>
      <c r="I78" s="667" t="s">
        <v>243</v>
      </c>
      <c r="J78" s="475" t="s">
        <v>192</v>
      </c>
      <c r="K78" s="475" t="s">
        <v>192</v>
      </c>
      <c r="L78" s="667" t="s">
        <v>3547</v>
      </c>
      <c r="M78" s="530"/>
      <c r="N78" s="475" t="s">
        <v>257</v>
      </c>
      <c r="O78" s="475" t="s">
        <v>258</v>
      </c>
      <c r="P78" s="399" t="s">
        <v>742</v>
      </c>
      <c r="Q78" s="477">
        <f>3139*2.4</f>
        <v>7533.5999999999995</v>
      </c>
      <c r="R78" s="477">
        <f>7550+100</f>
        <v>7650</v>
      </c>
      <c r="S78" s="477">
        <v>7441.1890000000003</v>
      </c>
      <c r="T78" s="667"/>
      <c r="U78" s="581"/>
      <c r="V78" s="581"/>
      <c r="W78" s="581"/>
      <c r="X78" s="726">
        <f>S78*0.7</f>
        <v>5208.8323</v>
      </c>
      <c r="Y78" s="726">
        <f>S78*0.3</f>
        <v>2232.3566999999998</v>
      </c>
      <c r="Z78" s="581"/>
      <c r="AA78" s="581"/>
      <c r="AB78" s="581"/>
      <c r="AC78" s="581"/>
      <c r="AD78" s="581"/>
      <c r="AG78" s="575"/>
      <c r="AH78" s="575"/>
      <c r="AI78" s="575"/>
      <c r="BD78" s="473">
        <f t="shared" si="36"/>
        <v>45245.805555555555</v>
      </c>
      <c r="BE78" s="473">
        <f t="shared" si="37"/>
        <v>45262.458333333336</v>
      </c>
      <c r="BF78" s="479">
        <f t="shared" si="38"/>
        <v>16.652777777781012</v>
      </c>
      <c r="BG78" s="473">
        <v>45245.805555555555</v>
      </c>
      <c r="BH78" s="473">
        <v>45248.548611111109</v>
      </c>
      <c r="BI78" s="473">
        <v>45250.274305555555</v>
      </c>
      <c r="BJ78" s="473">
        <v>45251.133333333331</v>
      </c>
      <c r="BK78" s="473">
        <v>45251.270833333336</v>
      </c>
      <c r="BL78" s="473">
        <v>45251.277777777781</v>
      </c>
      <c r="BM78" s="473">
        <v>45251.28125</v>
      </c>
      <c r="BN78" s="473">
        <f t="shared" si="49"/>
        <v>45252.989583333336</v>
      </c>
      <c r="BO78" s="473">
        <v>45253.5</v>
      </c>
      <c r="BP78" s="473">
        <v>45253.666666608799</v>
      </c>
      <c r="BQ78" s="473">
        <v>45253.583333333336</v>
      </c>
      <c r="BR78" s="473">
        <v>45255.104166666664</v>
      </c>
      <c r="BS78" s="473">
        <v>45261.197916666664</v>
      </c>
      <c r="BT78" s="473">
        <v>45261.503472222219</v>
      </c>
      <c r="BU78" s="473">
        <v>45261.520833333336</v>
      </c>
      <c r="BV78" s="473">
        <v>45261.958333333336</v>
      </c>
      <c r="BW78" s="473">
        <v>45262.458333333336</v>
      </c>
      <c r="BZ78" s="481">
        <f t="shared" si="39"/>
        <v>41.416666666686069</v>
      </c>
      <c r="CA78" s="481">
        <f t="shared" si="40"/>
        <v>3.3000000001047738</v>
      </c>
      <c r="CB78" s="481">
        <f t="shared" si="41"/>
        <v>41.000000000058208</v>
      </c>
      <c r="CC78" s="481">
        <f t="shared" si="47"/>
        <v>34.500001388776582</v>
      </c>
      <c r="CD78" s="482">
        <f t="shared" si="42"/>
        <v>7.3333333333139308</v>
      </c>
      <c r="CE78" s="482">
        <f t="shared" si="43"/>
        <v>12</v>
      </c>
      <c r="CF78" s="483">
        <f t="shared" si="44"/>
        <v>5.8145833912058151</v>
      </c>
      <c r="CG78" s="483">
        <f t="shared" si="45"/>
        <v>16.652777777781012</v>
      </c>
      <c r="CH78" s="484">
        <f t="shared" si="46"/>
        <v>0.34916597511821301</v>
      </c>
    </row>
    <row r="79" spans="1:88" s="126" customFormat="1">
      <c r="A79" s="521">
        <f t="shared" si="48"/>
        <v>45251.302083333336</v>
      </c>
      <c r="B79" s="369" t="s">
        <v>228</v>
      </c>
      <c r="C79" s="369" t="s">
        <v>229</v>
      </c>
      <c r="D79" s="369" t="s">
        <v>215</v>
      </c>
      <c r="E79" s="649" t="s">
        <v>3156</v>
      </c>
      <c r="F79" s="649" t="s">
        <v>3474</v>
      </c>
      <c r="G79" s="492">
        <v>45252.083333333336</v>
      </c>
      <c r="H79" s="492">
        <v>45252.01666666667</v>
      </c>
      <c r="I79" s="649" t="s">
        <v>231</v>
      </c>
      <c r="J79" s="369" t="s">
        <v>192</v>
      </c>
      <c r="K79" s="369" t="s">
        <v>192</v>
      </c>
      <c r="L79" s="661" t="s">
        <v>3548</v>
      </c>
      <c r="M79" s="530"/>
      <c r="N79" s="369" t="s">
        <v>343</v>
      </c>
      <c r="O79" s="369" t="s">
        <v>344</v>
      </c>
      <c r="P79" s="649" t="s">
        <v>235</v>
      </c>
      <c r="Q79" s="520">
        <f>3136*2.4</f>
        <v>7526.4</v>
      </c>
      <c r="R79" s="520">
        <f>7550+100</f>
        <v>7650</v>
      </c>
      <c r="S79" s="520">
        <v>7515.5959999999995</v>
      </c>
      <c r="T79" s="661"/>
      <c r="U79" s="904"/>
      <c r="V79" s="904"/>
      <c r="W79" s="904"/>
      <c r="X79" s="760">
        <f>S79</f>
        <v>7515.5959999999995</v>
      </c>
      <c r="Y79" s="369"/>
      <c r="Z79" s="904"/>
      <c r="AA79" s="904"/>
      <c r="AB79" s="904"/>
      <c r="AC79" s="904"/>
      <c r="AD79" s="904"/>
      <c r="AE79" s="661"/>
      <c r="AF79" s="661"/>
      <c r="AG79" s="661"/>
      <c r="AH79" s="661"/>
      <c r="AI79" s="661"/>
      <c r="AJ79" s="661"/>
      <c r="AK79" s="661"/>
      <c r="AL79" s="661"/>
      <c r="AM79" s="661"/>
      <c r="AN79" s="661"/>
      <c r="AO79" s="661"/>
      <c r="AP79" s="661"/>
      <c r="AQ79" s="661"/>
      <c r="AR79" s="661"/>
      <c r="AS79" s="661"/>
      <c r="AT79" s="661"/>
      <c r="AU79" s="661"/>
      <c r="AV79" s="661"/>
      <c r="AW79" s="661"/>
      <c r="AX79" s="369"/>
      <c r="AY79" s="369"/>
      <c r="AZ79" s="369"/>
      <c r="BA79" s="369"/>
      <c r="BB79" s="369"/>
      <c r="BC79" s="369"/>
      <c r="BD79" s="522">
        <f t="shared" si="36"/>
        <v>45243.861111111109</v>
      </c>
      <c r="BE79" s="522">
        <f t="shared" si="37"/>
        <v>45258.416666666664</v>
      </c>
      <c r="BF79" s="523">
        <f t="shared" si="38"/>
        <v>14.555555555554747</v>
      </c>
      <c r="BG79" s="522">
        <v>45243.861111111109</v>
      </c>
      <c r="BH79" s="522">
        <v>45246.604166666664</v>
      </c>
      <c r="BI79" s="522">
        <v>45248.138888888891</v>
      </c>
      <c r="BJ79" s="522">
        <v>45251.302083333336</v>
      </c>
      <c r="BK79" s="522">
        <v>45251.440972222219</v>
      </c>
      <c r="BL79" s="522">
        <v>45251.444444444445</v>
      </c>
      <c r="BM79" s="522">
        <v>45251.447916666664</v>
      </c>
      <c r="BN79" s="522">
        <f t="shared" si="49"/>
        <v>45253.15625</v>
      </c>
      <c r="BO79" s="527">
        <v>45253.5</v>
      </c>
      <c r="BP79" s="527">
        <v>45253.666666608799</v>
      </c>
      <c r="BQ79" s="527">
        <v>45253.579861111109</v>
      </c>
      <c r="BR79" s="522">
        <v>45254.708333333336</v>
      </c>
      <c r="BS79" s="522">
        <v>45257.791666666664</v>
      </c>
      <c r="BT79" s="522">
        <v>45258.013888888891</v>
      </c>
      <c r="BU79" s="522">
        <v>45258.034722222219</v>
      </c>
      <c r="BV79" s="522">
        <v>45258.159722222219</v>
      </c>
      <c r="BW79" s="522">
        <v>45258.416666666664</v>
      </c>
      <c r="BX79" s="369"/>
      <c r="BY79" s="369"/>
      <c r="BZ79" s="525">
        <f t="shared" si="39"/>
        <v>36.833333333430346</v>
      </c>
      <c r="CA79" s="525">
        <f t="shared" si="40"/>
        <v>3.3333333331975155</v>
      </c>
      <c r="CB79" s="525">
        <f t="shared" si="41"/>
        <v>41.000000000058208</v>
      </c>
      <c r="CC79" s="525">
        <f t="shared" si="47"/>
        <v>25.000001388892997</v>
      </c>
      <c r="CD79" s="526">
        <f t="shared" si="42"/>
        <v>5.3333333334303461</v>
      </c>
      <c r="CE79" s="526">
        <f t="shared" si="43"/>
        <v>6.1666666666860692</v>
      </c>
      <c r="CF79" s="304">
        <f t="shared" si="44"/>
        <v>4.9027778356539784</v>
      </c>
      <c r="CG79" s="304">
        <f t="shared" si="45"/>
        <v>14.555555555554747</v>
      </c>
      <c r="CH79" s="305">
        <f t="shared" si="46"/>
        <v>0.3368320650449485</v>
      </c>
      <c r="CI79" s="369"/>
      <c r="CJ79" s="369"/>
    </row>
    <row r="80" spans="1:88" s="126" customFormat="1">
      <c r="A80" s="521">
        <f t="shared" si="48"/>
        <v>45251.458333333336</v>
      </c>
      <c r="B80" s="369" t="s">
        <v>228</v>
      </c>
      <c r="C80" s="369" t="s">
        <v>229</v>
      </c>
      <c r="D80" s="369" t="s">
        <v>197</v>
      </c>
      <c r="E80" s="649" t="s">
        <v>3156</v>
      </c>
      <c r="F80" s="649" t="s">
        <v>3474</v>
      </c>
      <c r="G80" s="492">
        <v>45252.083333333336</v>
      </c>
      <c r="H80" s="492">
        <v>45252.01666666667</v>
      </c>
      <c r="I80" s="649" t="s">
        <v>231</v>
      </c>
      <c r="J80" s="369" t="s">
        <v>192</v>
      </c>
      <c r="K80" s="369" t="s">
        <v>192</v>
      </c>
      <c r="L80" s="661" t="s">
        <v>3549</v>
      </c>
      <c r="M80" s="530"/>
      <c r="N80" s="369" t="s">
        <v>383</v>
      </c>
      <c r="O80" s="369" t="s">
        <v>384</v>
      </c>
      <c r="P80" s="649" t="s">
        <v>240</v>
      </c>
      <c r="Q80" s="520">
        <f>2205*2.4</f>
        <v>5292</v>
      </c>
      <c r="R80" s="520">
        <f>5300+100</f>
        <v>5400</v>
      </c>
      <c r="S80" s="520">
        <v>5287.9920000000002</v>
      </c>
      <c r="T80" s="520"/>
      <c r="U80" s="904"/>
      <c r="V80" s="904"/>
      <c r="W80" s="904"/>
      <c r="X80" s="369"/>
      <c r="Y80" s="760">
        <f t="shared" ref="Y80:Y85" si="50">S80</f>
        <v>5287.9920000000002</v>
      </c>
      <c r="Z80" s="904"/>
      <c r="AA80" s="904"/>
      <c r="AB80" s="904"/>
      <c r="AC80" s="904"/>
      <c r="AD80" s="904"/>
      <c r="AE80" s="904"/>
      <c r="AF80" s="369"/>
      <c r="AG80" s="369"/>
      <c r="AH80" s="369"/>
      <c r="AI80" s="369"/>
      <c r="AJ80" s="369"/>
      <c r="AK80" s="369"/>
      <c r="AL80" s="369"/>
      <c r="AM80" s="369"/>
      <c r="AN80" s="369"/>
      <c r="AO80" s="369"/>
      <c r="AP80" s="369"/>
      <c r="AQ80" s="369"/>
      <c r="AR80" s="369"/>
      <c r="AS80" s="904"/>
      <c r="AT80" s="904"/>
      <c r="AU80" s="369"/>
      <c r="AV80" s="369"/>
      <c r="AW80" s="369"/>
      <c r="AX80" s="369"/>
      <c r="AY80" s="369"/>
      <c r="AZ80" s="369"/>
      <c r="BA80" s="369"/>
      <c r="BB80" s="369"/>
      <c r="BC80" s="369"/>
      <c r="BD80" s="522">
        <f t="shared" si="36"/>
        <v>45243.909722222219</v>
      </c>
      <c r="BE80" s="522">
        <f t="shared" si="37"/>
        <v>45259.305555555555</v>
      </c>
      <c r="BF80" s="523">
        <f t="shared" si="38"/>
        <v>15.395833333335759</v>
      </c>
      <c r="BG80" s="522">
        <v>45243.909722222219</v>
      </c>
      <c r="BH80" s="522">
        <v>45246.576388888891</v>
      </c>
      <c r="BI80" s="522">
        <v>45248.458333333336</v>
      </c>
      <c r="BJ80" s="522">
        <v>45251.458333333336</v>
      </c>
      <c r="BK80" s="522">
        <v>45251.555555555555</v>
      </c>
      <c r="BL80" s="522">
        <v>45251.5625</v>
      </c>
      <c r="BM80" s="522">
        <v>45251.559027777781</v>
      </c>
      <c r="BN80" s="522">
        <f t="shared" si="49"/>
        <v>45253.267361111117</v>
      </c>
      <c r="BO80" s="527">
        <v>45253.5</v>
      </c>
      <c r="BP80" s="527">
        <v>45253.666666608799</v>
      </c>
      <c r="BQ80" s="527">
        <v>45253.5625</v>
      </c>
      <c r="BR80" s="522">
        <v>45255.006944444445</v>
      </c>
      <c r="BS80" s="522">
        <v>45258.71875</v>
      </c>
      <c r="BT80" s="522">
        <v>45258.840277777781</v>
      </c>
      <c r="BU80" s="522">
        <v>45258.861111111109</v>
      </c>
      <c r="BV80" s="522">
        <v>45258.861111111109</v>
      </c>
      <c r="BW80" s="522">
        <v>45259.305555555555</v>
      </c>
      <c r="BX80" s="369" t="s">
        <v>3550</v>
      </c>
      <c r="BY80" s="369"/>
      <c r="BZ80" s="525">
        <f t="shared" si="39"/>
        <v>45.166666666686069</v>
      </c>
      <c r="CA80" s="525">
        <f t="shared" si="40"/>
        <v>2.3333333332557231</v>
      </c>
      <c r="CB80" s="525">
        <f t="shared" si="41"/>
        <v>41.000000000058208</v>
      </c>
      <c r="CC80" s="525">
        <f t="shared" si="47"/>
        <v>32.166668055520859</v>
      </c>
      <c r="CD80" s="526">
        <f t="shared" si="42"/>
        <v>2.9166666667442769</v>
      </c>
      <c r="CE80" s="526">
        <f t="shared" si="43"/>
        <v>10.666666666686069</v>
      </c>
      <c r="CF80" s="304">
        <f t="shared" si="44"/>
        <v>5.5937500578729669</v>
      </c>
      <c r="CG80" s="304">
        <f t="shared" si="45"/>
        <v>15.395833333335759</v>
      </c>
      <c r="CH80" s="305">
        <f t="shared" si="46"/>
        <v>0.3633288264923682</v>
      </c>
      <c r="CI80" s="369"/>
      <c r="CJ80" s="369"/>
    </row>
    <row r="81" spans="1:88" s="126" customFormat="1">
      <c r="A81" s="474">
        <f t="shared" si="48"/>
        <v>45251.583333333336</v>
      </c>
      <c r="B81" s="475" t="s">
        <v>228</v>
      </c>
      <c r="C81" s="475" t="s">
        <v>229</v>
      </c>
      <c r="D81" s="475" t="s">
        <v>197</v>
      </c>
      <c r="E81" s="399" t="s">
        <v>3156</v>
      </c>
      <c r="F81" s="399" t="s">
        <v>3474</v>
      </c>
      <c r="G81" s="472">
        <v>45252.083333333336</v>
      </c>
      <c r="H81" s="472">
        <v>45252.01666666667</v>
      </c>
      <c r="I81" s="399" t="s">
        <v>231</v>
      </c>
      <c r="J81" s="475" t="s">
        <v>192</v>
      </c>
      <c r="K81" s="475" t="s">
        <v>192</v>
      </c>
      <c r="L81" s="667" t="s">
        <v>3551</v>
      </c>
      <c r="M81" s="530"/>
      <c r="N81" s="475" t="s">
        <v>295</v>
      </c>
      <c r="O81" s="475" t="s">
        <v>296</v>
      </c>
      <c r="P81" s="399" t="s">
        <v>240</v>
      </c>
      <c r="Q81" s="477">
        <f>4118*2.4</f>
        <v>9883.1999999999989</v>
      </c>
      <c r="R81" s="477">
        <f>9900+100</f>
        <v>10000</v>
      </c>
      <c r="S81" s="477">
        <v>9977.7489999999998</v>
      </c>
      <c r="T81" s="667"/>
      <c r="U81" s="401"/>
      <c r="V81" s="401"/>
      <c r="W81" s="401"/>
      <c r="X81" s="401"/>
      <c r="Y81" s="726">
        <f t="shared" si="50"/>
        <v>9977.7489999999998</v>
      </c>
      <c r="Z81" s="581"/>
      <c r="AA81" s="401"/>
      <c r="AB81" s="581"/>
      <c r="AC81" s="581"/>
      <c r="AD81" s="581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  <c r="AW81" s="475"/>
      <c r="AX81" s="475"/>
      <c r="AY81" s="475"/>
      <c r="AZ81" s="475"/>
      <c r="BA81" s="475"/>
      <c r="BB81" s="475"/>
      <c r="BC81" s="475"/>
      <c r="BD81" s="473">
        <f t="shared" si="36"/>
        <v>45246.781944444447</v>
      </c>
      <c r="BE81" s="473">
        <f t="shared" si="37"/>
        <v>45259.543749999997</v>
      </c>
      <c r="BF81" s="479">
        <f t="shared" si="38"/>
        <v>12.761805555550382</v>
      </c>
      <c r="BG81" s="473">
        <v>45246.781944444447</v>
      </c>
      <c r="BH81" s="473">
        <v>45248.529166666667</v>
      </c>
      <c r="BI81" s="473">
        <v>45250.25</v>
      </c>
      <c r="BJ81" s="473">
        <v>45251.583333333336</v>
      </c>
      <c r="BK81" s="473">
        <v>45251.800694444442</v>
      </c>
      <c r="BL81" s="473">
        <v>45251.802083333336</v>
      </c>
      <c r="BM81" s="473">
        <v>45252.25</v>
      </c>
      <c r="BN81" s="473">
        <f t="shared" si="49"/>
        <v>45253.958333333336</v>
      </c>
      <c r="BO81" s="473">
        <v>45253.5</v>
      </c>
      <c r="BP81" s="473">
        <v>45253.666666608799</v>
      </c>
      <c r="BQ81" s="480">
        <v>45253.697916666664</v>
      </c>
      <c r="BR81" s="473">
        <v>45255.541666666664</v>
      </c>
      <c r="BS81" s="473">
        <v>45258.899305555555</v>
      </c>
      <c r="BT81" s="473">
        <v>45259.194444444445</v>
      </c>
      <c r="BU81" s="473">
        <v>45259.215277777781</v>
      </c>
      <c r="BV81" s="473">
        <v>45259.215277777781</v>
      </c>
      <c r="BW81" s="473">
        <v>45259.543749999997</v>
      </c>
      <c r="BX81" s="475"/>
      <c r="BY81" s="475"/>
      <c r="BZ81" s="481">
        <f t="shared" si="39"/>
        <v>41.299999999988358</v>
      </c>
      <c r="CA81" s="481">
        <f t="shared" si="40"/>
        <v>5.2166666665580124</v>
      </c>
      <c r="CB81" s="481">
        <f t="shared" si="41"/>
        <v>41.000000000058208</v>
      </c>
      <c r="CC81" s="481">
        <f t="shared" si="47"/>
        <v>45.000001388776582</v>
      </c>
      <c r="CD81" s="482">
        <f t="shared" si="42"/>
        <v>7.0833333333721384</v>
      </c>
      <c r="CE81" s="482">
        <f t="shared" si="43"/>
        <v>7.8833333331858739</v>
      </c>
      <c r="CF81" s="483">
        <f t="shared" si="44"/>
        <v>6.1451389467474655</v>
      </c>
      <c r="CG81" s="483">
        <f t="shared" si="45"/>
        <v>12.761805555550382</v>
      </c>
      <c r="CH81" s="484">
        <f t="shared" si="46"/>
        <v>0.48152582485280176</v>
      </c>
      <c r="CI81" s="475"/>
      <c r="CJ81" s="475"/>
    </row>
    <row r="82" spans="1:88" s="126" customFormat="1">
      <c r="A82" s="521">
        <f t="shared" si="48"/>
        <v>45251.822916666664</v>
      </c>
      <c r="B82" s="369" t="s">
        <v>228</v>
      </c>
      <c r="C82" s="369" t="s">
        <v>229</v>
      </c>
      <c r="D82" s="369" t="s">
        <v>197</v>
      </c>
      <c r="E82" s="649" t="s">
        <v>3156</v>
      </c>
      <c r="F82" s="649" t="s">
        <v>3474</v>
      </c>
      <c r="G82" s="492">
        <v>45252.083333333336</v>
      </c>
      <c r="H82" s="492">
        <v>45252.01666666667</v>
      </c>
      <c r="I82" s="649" t="s">
        <v>231</v>
      </c>
      <c r="J82" s="369" t="s">
        <v>192</v>
      </c>
      <c r="K82" s="369" t="s">
        <v>192</v>
      </c>
      <c r="L82" s="661" t="s">
        <v>3552</v>
      </c>
      <c r="M82" s="530"/>
      <c r="N82" s="369" t="s">
        <v>377</v>
      </c>
      <c r="O82" s="369" t="s">
        <v>378</v>
      </c>
      <c r="P82" s="649" t="s">
        <v>240</v>
      </c>
      <c r="Q82" s="520">
        <f>3271*2.4</f>
        <v>7850.4</v>
      </c>
      <c r="R82" s="520">
        <f>7900+100</f>
        <v>8000</v>
      </c>
      <c r="S82" s="520">
        <v>7904.0860000000002</v>
      </c>
      <c r="T82" s="520"/>
      <c r="U82" s="904"/>
      <c r="V82" s="904"/>
      <c r="W82" s="904"/>
      <c r="X82" s="904"/>
      <c r="Y82" s="760">
        <f t="shared" si="50"/>
        <v>7904.0860000000002</v>
      </c>
      <c r="Z82" s="904"/>
      <c r="AA82" s="904"/>
      <c r="AB82" s="904"/>
      <c r="AC82" s="904"/>
      <c r="AD82" s="904"/>
      <c r="AE82" s="677"/>
      <c r="AF82" s="677"/>
      <c r="AG82" s="677"/>
      <c r="AH82" s="677"/>
      <c r="AI82" s="369"/>
      <c r="AJ82" s="369"/>
      <c r="AK82" s="369"/>
      <c r="AL82" s="369"/>
      <c r="AM82" s="369"/>
      <c r="AN82" s="369"/>
      <c r="AO82" s="369"/>
      <c r="AP82" s="369"/>
      <c r="AQ82" s="369"/>
      <c r="AR82" s="369"/>
      <c r="AS82" s="369"/>
      <c r="AT82" s="369"/>
      <c r="AU82" s="369"/>
      <c r="AV82" s="369"/>
      <c r="AW82" s="369"/>
      <c r="AX82" s="369"/>
      <c r="AY82" s="369"/>
      <c r="AZ82" s="369"/>
      <c r="BA82" s="369"/>
      <c r="BB82" s="369"/>
      <c r="BC82" s="369"/>
      <c r="BD82" s="522">
        <f t="shared" si="36"/>
        <v>45246.166666666664</v>
      </c>
      <c r="BE82" s="522">
        <f t="shared" si="37"/>
        <v>45258.802083333336</v>
      </c>
      <c r="BF82" s="523">
        <f t="shared" si="38"/>
        <v>12.635416666671517</v>
      </c>
      <c r="BG82" s="522">
        <v>45246.166666666664</v>
      </c>
      <c r="BH82" s="522">
        <v>45248.53125</v>
      </c>
      <c r="BI82" s="522">
        <v>45250.267361111109</v>
      </c>
      <c r="BJ82" s="522">
        <v>45251.822916666664</v>
      </c>
      <c r="BK82" s="522">
        <v>45251.961805555555</v>
      </c>
      <c r="BL82" s="522">
        <v>45251.96875</v>
      </c>
      <c r="BM82" s="522">
        <v>45251.970833333333</v>
      </c>
      <c r="BN82" s="522">
        <f t="shared" si="49"/>
        <v>45253.679166666669</v>
      </c>
      <c r="BO82" s="522">
        <v>45253.5</v>
      </c>
      <c r="BP82" s="522">
        <v>45253.666666608799</v>
      </c>
      <c r="BQ82" s="522">
        <v>45253.583333333336</v>
      </c>
      <c r="BR82" s="522">
        <v>45254.763888888891</v>
      </c>
      <c r="BS82" s="522">
        <v>45258.034722222219</v>
      </c>
      <c r="BT82" s="522">
        <v>45258.333333333336</v>
      </c>
      <c r="BU82" s="522">
        <v>45258.354166666664</v>
      </c>
      <c r="BV82" s="522">
        <v>45258.625</v>
      </c>
      <c r="BW82" s="522">
        <v>45258.802083333336</v>
      </c>
      <c r="BX82" s="369"/>
      <c r="BY82" s="369"/>
      <c r="BZ82" s="525">
        <f t="shared" si="39"/>
        <v>41.666666666627862</v>
      </c>
      <c r="CA82" s="525">
        <f t="shared" si="40"/>
        <v>3.3333333333721384</v>
      </c>
      <c r="CB82" s="525">
        <f t="shared" si="41"/>
        <v>41.000000000058208</v>
      </c>
      <c r="CC82" s="525">
        <f t="shared" si="47"/>
        <v>26.333334722206928</v>
      </c>
      <c r="CD82" s="526">
        <f t="shared" si="42"/>
        <v>7.1666666668024845</v>
      </c>
      <c r="CE82" s="526">
        <f t="shared" si="43"/>
        <v>4.2500000000582077</v>
      </c>
      <c r="CF82" s="304">
        <f t="shared" si="44"/>
        <v>5.1562500578802428</v>
      </c>
      <c r="CG82" s="304">
        <f t="shared" si="45"/>
        <v>12.635416666671517</v>
      </c>
      <c r="CH82" s="305">
        <f t="shared" si="46"/>
        <v>0.40807914720223681</v>
      </c>
      <c r="CI82" s="369"/>
      <c r="CJ82" s="369"/>
    </row>
    <row r="83" spans="1:88" s="126" customFormat="1">
      <c r="A83" s="521">
        <f t="shared" si="48"/>
        <v>45251.982638888891</v>
      </c>
      <c r="B83" s="369" t="s">
        <v>228</v>
      </c>
      <c r="C83" s="369" t="s">
        <v>229</v>
      </c>
      <c r="D83" s="369" t="s">
        <v>197</v>
      </c>
      <c r="E83" s="649" t="s">
        <v>3156</v>
      </c>
      <c r="F83" s="649" t="s">
        <v>3474</v>
      </c>
      <c r="G83" s="492">
        <v>45252.083333333336</v>
      </c>
      <c r="H83" s="492">
        <v>45252.01666666667</v>
      </c>
      <c r="I83" s="649" t="s">
        <v>231</v>
      </c>
      <c r="J83" s="369" t="s">
        <v>192</v>
      </c>
      <c r="K83" s="369" t="s">
        <v>192</v>
      </c>
      <c r="L83" s="661" t="s">
        <v>3553</v>
      </c>
      <c r="M83" s="530"/>
      <c r="N83" s="369" t="s">
        <v>201</v>
      </c>
      <c r="O83" s="369" t="s">
        <v>202</v>
      </c>
      <c r="P83" s="649" t="s">
        <v>240</v>
      </c>
      <c r="Q83" s="520">
        <f>3141*2.4</f>
        <v>7538.4</v>
      </c>
      <c r="R83" s="520">
        <f>7550+100</f>
        <v>7650</v>
      </c>
      <c r="S83" s="520">
        <v>7592.0739999999996</v>
      </c>
      <c r="T83" s="661"/>
      <c r="U83" s="904"/>
      <c r="V83" s="904"/>
      <c r="W83" s="904"/>
      <c r="X83" s="904"/>
      <c r="Y83" s="760">
        <f t="shared" si="50"/>
        <v>7592.0739999999996</v>
      </c>
      <c r="Z83" s="904"/>
      <c r="AA83" s="904"/>
      <c r="AB83" s="904"/>
      <c r="AC83" s="904"/>
      <c r="AD83" s="904"/>
      <c r="AE83" s="661"/>
      <c r="AF83" s="661"/>
      <c r="AG83" s="661"/>
      <c r="AH83" s="661"/>
      <c r="AI83" s="661"/>
      <c r="AJ83" s="661"/>
      <c r="AK83" s="661"/>
      <c r="AL83" s="661"/>
      <c r="AM83" s="661"/>
      <c r="AN83" s="661"/>
      <c r="AO83" s="904"/>
      <c r="AP83" s="661"/>
      <c r="AQ83" s="661"/>
      <c r="AR83" s="661"/>
      <c r="AS83" s="661"/>
      <c r="AT83" s="661"/>
      <c r="AU83" s="661"/>
      <c r="AV83" s="661"/>
      <c r="AW83" s="661"/>
      <c r="AX83" s="369"/>
      <c r="AY83" s="369"/>
      <c r="AZ83" s="369"/>
      <c r="BA83" s="369"/>
      <c r="BB83" s="369"/>
      <c r="BC83" s="369"/>
      <c r="BD83" s="522">
        <f t="shared" si="36"/>
        <v>45246.395833333336</v>
      </c>
      <c r="BE83" s="522">
        <f t="shared" si="37"/>
        <v>45258.993055555555</v>
      </c>
      <c r="BF83" s="523">
        <f t="shared" si="38"/>
        <v>12.597222222218988</v>
      </c>
      <c r="BG83" s="522">
        <v>45246.395833333336</v>
      </c>
      <c r="BH83" s="522">
        <v>45248.527777777781</v>
      </c>
      <c r="BI83" s="522">
        <v>45250.28125</v>
      </c>
      <c r="BJ83" s="522">
        <v>45251.982638888891</v>
      </c>
      <c r="BK83" s="522">
        <v>45252.107638888891</v>
      </c>
      <c r="BL83" s="522">
        <v>45252.111111111109</v>
      </c>
      <c r="BM83" s="522">
        <v>45252.118055555555</v>
      </c>
      <c r="BN83" s="522">
        <f t="shared" si="49"/>
        <v>45253.826388888891</v>
      </c>
      <c r="BO83" s="522">
        <v>45253.5</v>
      </c>
      <c r="BP83" s="522">
        <v>45253.666666608799</v>
      </c>
      <c r="BQ83" s="522">
        <v>45253.635416666664</v>
      </c>
      <c r="BR83" s="522">
        <v>45254.947916666664</v>
      </c>
      <c r="BS83" s="522">
        <v>45258.375</v>
      </c>
      <c r="BT83" s="522">
        <v>45258.666666666664</v>
      </c>
      <c r="BU83" s="522">
        <v>45258.6875</v>
      </c>
      <c r="BV83" s="522">
        <v>45258.708333333336</v>
      </c>
      <c r="BW83" s="522">
        <v>45258.993055555555</v>
      </c>
      <c r="BX83" s="369"/>
      <c r="BY83" s="369"/>
      <c r="BZ83" s="525">
        <f t="shared" si="39"/>
        <v>42.083333333255723</v>
      </c>
      <c r="CA83" s="525">
        <f t="shared" si="40"/>
        <v>3</v>
      </c>
      <c r="CB83" s="525">
        <f t="shared" si="41"/>
        <v>41.000000000058208</v>
      </c>
      <c r="CC83" s="525">
        <f t="shared" si="47"/>
        <v>30.750001388776582</v>
      </c>
      <c r="CD83" s="526">
        <f t="shared" si="42"/>
        <v>6.9999999999417923</v>
      </c>
      <c r="CE83" s="526">
        <f t="shared" si="43"/>
        <v>6.8333333332557231</v>
      </c>
      <c r="CF83" s="304">
        <f t="shared" si="44"/>
        <v>5.4444445023036678</v>
      </c>
      <c r="CG83" s="304">
        <f t="shared" si="45"/>
        <v>12.597222222218988</v>
      </c>
      <c r="CH83" s="305">
        <f t="shared" si="46"/>
        <v>0.43219405089963031</v>
      </c>
      <c r="CI83" s="369"/>
      <c r="CJ83" s="369"/>
    </row>
    <row r="84" spans="1:88" s="126" customFormat="1">
      <c r="A84" s="474">
        <f t="shared" si="48"/>
        <v>45252.131944444445</v>
      </c>
      <c r="B84" s="475" t="s">
        <v>228</v>
      </c>
      <c r="C84" s="475" t="s">
        <v>229</v>
      </c>
      <c r="D84" s="475" t="s">
        <v>197</v>
      </c>
      <c r="E84" s="399" t="s">
        <v>3156</v>
      </c>
      <c r="F84" s="399" t="s">
        <v>3474</v>
      </c>
      <c r="G84" s="472">
        <v>45252.083333333336</v>
      </c>
      <c r="H84" s="472">
        <v>45252.01666666667</v>
      </c>
      <c r="I84" s="399" t="s">
        <v>231</v>
      </c>
      <c r="J84" s="475" t="s">
        <v>192</v>
      </c>
      <c r="K84" s="475" t="s">
        <v>192</v>
      </c>
      <c r="L84" s="667" t="s">
        <v>3554</v>
      </c>
      <c r="M84" s="530"/>
      <c r="N84" s="475" t="s">
        <v>406</v>
      </c>
      <c r="O84" s="475" t="s">
        <v>407</v>
      </c>
      <c r="P84" s="399" t="s">
        <v>240</v>
      </c>
      <c r="Q84" s="477">
        <f>3107*2.4</f>
        <v>7456.7999999999993</v>
      </c>
      <c r="R84" s="477">
        <f>7500+100</f>
        <v>7600</v>
      </c>
      <c r="S84" s="477">
        <f>7502.309-2019.151</f>
        <v>5483.1580000000004</v>
      </c>
      <c r="T84" s="399"/>
      <c r="U84" s="581"/>
      <c r="V84" s="581"/>
      <c r="W84" s="581"/>
      <c r="X84" s="581"/>
      <c r="Y84" s="726">
        <f t="shared" si="50"/>
        <v>5483.1580000000004</v>
      </c>
      <c r="Z84" s="581"/>
      <c r="AA84" s="581"/>
      <c r="AB84" s="581"/>
      <c r="AC84" s="581"/>
      <c r="AD84" s="581"/>
      <c r="AE84" s="581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475"/>
      <c r="BA84" s="475"/>
      <c r="BB84" s="475"/>
      <c r="BC84" s="475"/>
      <c r="BD84" s="473">
        <f t="shared" si="36"/>
        <v>45245.510416666664</v>
      </c>
      <c r="BE84" s="473">
        <f t="shared" si="37"/>
        <v>45260.03125</v>
      </c>
      <c r="BF84" s="479">
        <f t="shared" si="38"/>
        <v>14.520833333335759</v>
      </c>
      <c r="BG84" s="473">
        <v>45245.510416666664</v>
      </c>
      <c r="BH84" s="473">
        <v>45248.805555555555</v>
      </c>
      <c r="BI84" s="473">
        <v>45250.288194444445</v>
      </c>
      <c r="BJ84" s="473">
        <v>45252.131944444445</v>
      </c>
      <c r="BK84" s="473">
        <v>45252.267361111109</v>
      </c>
      <c r="BL84" s="473">
        <v>45252.270833333336</v>
      </c>
      <c r="BM84" s="473">
        <v>45252.284722222219</v>
      </c>
      <c r="BN84" s="473">
        <f t="shared" si="49"/>
        <v>45253.993055555555</v>
      </c>
      <c r="BO84" s="480">
        <v>45254.541666666664</v>
      </c>
      <c r="BP84" s="480">
        <v>45254.708333333336</v>
      </c>
      <c r="BQ84" s="480">
        <v>45254.628472222219</v>
      </c>
      <c r="BR84" s="473">
        <v>45255.805555555555</v>
      </c>
      <c r="BS84" s="473">
        <v>45259.6875</v>
      </c>
      <c r="BT84" s="473">
        <v>45260.03125</v>
      </c>
      <c r="BU84" s="473">
        <v>45260.03125</v>
      </c>
      <c r="BV84" s="473">
        <v>45260.03125</v>
      </c>
      <c r="BW84" s="473">
        <v>45260.03125</v>
      </c>
      <c r="BX84" s="475"/>
      <c r="BY84" s="475"/>
      <c r="BZ84" s="481">
        <f t="shared" si="39"/>
        <v>35.583333333372138</v>
      </c>
      <c r="CA84" s="481">
        <f t="shared" si="40"/>
        <v>3.2499999999417923</v>
      </c>
      <c r="CB84" s="481">
        <f t="shared" si="41"/>
        <v>41.000000000058208</v>
      </c>
      <c r="CC84" s="481">
        <f t="shared" si="47"/>
        <v>26.333333333255723</v>
      </c>
      <c r="CD84" s="482">
        <f t="shared" si="42"/>
        <v>8.25</v>
      </c>
      <c r="CE84" s="482">
        <f t="shared" si="43"/>
        <v>0</v>
      </c>
      <c r="CF84" s="483">
        <f t="shared" si="44"/>
        <v>4.7673611111094942</v>
      </c>
      <c r="CG84" s="483">
        <f t="shared" si="45"/>
        <v>14.520833333335759</v>
      </c>
      <c r="CH84" s="484">
        <f t="shared" si="46"/>
        <v>0.3283118125297238</v>
      </c>
      <c r="CI84" s="475"/>
      <c r="CJ84" s="475"/>
    </row>
    <row r="85" spans="1:88" s="126" customFormat="1">
      <c r="A85" s="474">
        <f t="shared" si="48"/>
        <v>45252.131944444445</v>
      </c>
      <c r="B85" s="475" t="s">
        <v>228</v>
      </c>
      <c r="C85" s="475" t="s">
        <v>229</v>
      </c>
      <c r="D85" s="475" t="s">
        <v>197</v>
      </c>
      <c r="E85" s="667" t="s">
        <v>3164</v>
      </c>
      <c r="F85" s="399" t="s">
        <v>3474</v>
      </c>
      <c r="G85" s="472">
        <v>45259.458333333336</v>
      </c>
      <c r="H85" s="472">
        <v>45259.461805555555</v>
      </c>
      <c r="I85" s="399" t="s">
        <v>231</v>
      </c>
      <c r="J85" s="475" t="s">
        <v>192</v>
      </c>
      <c r="K85" s="475" t="s">
        <v>192</v>
      </c>
      <c r="L85" s="667" t="s">
        <v>3554</v>
      </c>
      <c r="M85" s="530"/>
      <c r="N85" s="475" t="s">
        <v>406</v>
      </c>
      <c r="O85" s="475" t="s">
        <v>407</v>
      </c>
      <c r="P85" s="399" t="s">
        <v>240</v>
      </c>
      <c r="Q85" s="477">
        <f>3107*2.4</f>
        <v>7456.7999999999993</v>
      </c>
      <c r="R85" s="477">
        <f>7500+100</f>
        <v>7600</v>
      </c>
      <c r="S85" s="477">
        <v>1579.106</v>
      </c>
      <c r="T85" s="399"/>
      <c r="U85" s="581"/>
      <c r="V85" s="581"/>
      <c r="W85" s="581"/>
      <c r="X85" s="581"/>
      <c r="Y85" s="726">
        <f t="shared" si="50"/>
        <v>1579.106</v>
      </c>
      <c r="Z85" s="581"/>
      <c r="AA85" s="581"/>
      <c r="AB85" s="581"/>
      <c r="AC85" s="581"/>
      <c r="AD85" s="581"/>
      <c r="AE85" s="581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475"/>
      <c r="BA85" s="475"/>
      <c r="BB85" s="475"/>
      <c r="BC85" s="475"/>
      <c r="BD85" s="473">
        <f t="shared" si="36"/>
        <v>45245.510416666664</v>
      </c>
      <c r="BE85" s="473">
        <f t="shared" si="37"/>
        <v>45260.958333333336</v>
      </c>
      <c r="BF85" s="479">
        <f t="shared" si="38"/>
        <v>15.447916666671517</v>
      </c>
      <c r="BG85" s="473">
        <v>45245.510416666664</v>
      </c>
      <c r="BH85" s="473">
        <v>45248.805555555555</v>
      </c>
      <c r="BI85" s="473">
        <v>45250.288194444445</v>
      </c>
      <c r="BJ85" s="473">
        <v>45252.131944444445</v>
      </c>
      <c r="BK85" s="473">
        <v>45252.267361111109</v>
      </c>
      <c r="BL85" s="473">
        <v>45252.270833333336</v>
      </c>
      <c r="BM85" s="473">
        <v>45252.284722222219</v>
      </c>
      <c r="BN85" s="473">
        <f t="shared" si="49"/>
        <v>45253.993055555555</v>
      </c>
      <c r="BO85" s="473">
        <v>45254.541666666664</v>
      </c>
      <c r="BP85" s="473">
        <v>45254.708333333336</v>
      </c>
      <c r="BQ85" s="473">
        <v>45254.628472222219</v>
      </c>
      <c r="BR85" s="473">
        <v>45260.03125</v>
      </c>
      <c r="BS85" s="473">
        <v>45260.086805555555</v>
      </c>
      <c r="BT85" s="473">
        <v>45260.243055555555</v>
      </c>
      <c r="BU85" s="473">
        <v>45260.263888888891</v>
      </c>
      <c r="BV85" s="473">
        <v>45260.263888888891</v>
      </c>
      <c r="BW85" s="473">
        <v>45260.958333333336</v>
      </c>
      <c r="BX85" s="475"/>
      <c r="BY85" s="475"/>
      <c r="BZ85" s="481">
        <f t="shared" si="39"/>
        <v>35.583333333372138</v>
      </c>
      <c r="CA85" s="481">
        <f t="shared" si="40"/>
        <v>3.2499999999417923</v>
      </c>
      <c r="CB85" s="481">
        <f t="shared" si="41"/>
        <v>41.000000000058208</v>
      </c>
      <c r="CC85" s="481">
        <f t="shared" si="47"/>
        <v>127.74999999994179</v>
      </c>
      <c r="CD85" s="482">
        <f t="shared" si="42"/>
        <v>3.75</v>
      </c>
      <c r="CE85" s="482">
        <f t="shared" si="43"/>
        <v>16.666666666686069</v>
      </c>
      <c r="CF85" s="483">
        <f t="shared" si="44"/>
        <v>9.5</v>
      </c>
      <c r="CG85" s="483">
        <f t="shared" si="45"/>
        <v>15.447916666671517</v>
      </c>
      <c r="CH85" s="484">
        <f t="shared" si="46"/>
        <v>0.61496965610230181</v>
      </c>
      <c r="CI85" s="475"/>
      <c r="CJ85" s="475"/>
    </row>
    <row r="86" spans="1:88" s="126" customFormat="1">
      <c r="A86" s="521">
        <f t="shared" si="48"/>
        <v>45252.319444444445</v>
      </c>
      <c r="B86" s="369" t="s">
        <v>228</v>
      </c>
      <c r="C86" s="369" t="s">
        <v>229</v>
      </c>
      <c r="D86" s="369" t="s">
        <v>197</v>
      </c>
      <c r="E86" s="649" t="s">
        <v>3159</v>
      </c>
      <c r="F86" s="649" t="s">
        <v>3378</v>
      </c>
      <c r="G86" s="492">
        <v>45255.166666666664</v>
      </c>
      <c r="H86" s="492">
        <v>45255.055555555555</v>
      </c>
      <c r="I86" s="649" t="s">
        <v>231</v>
      </c>
      <c r="J86" s="369" t="s">
        <v>192</v>
      </c>
      <c r="K86" s="369" t="s">
        <v>192</v>
      </c>
      <c r="L86" s="661" t="s">
        <v>3555</v>
      </c>
      <c r="M86" s="530"/>
      <c r="N86" s="369" t="s">
        <v>284</v>
      </c>
      <c r="O86" s="369" t="s">
        <v>285</v>
      </c>
      <c r="P86" s="649" t="s">
        <v>1472</v>
      </c>
      <c r="Q86" s="520">
        <f>3852*2.4</f>
        <v>9244.7999999999993</v>
      </c>
      <c r="R86" s="520">
        <f>9250+100</f>
        <v>9350</v>
      </c>
      <c r="S86" s="520">
        <v>9065.6170000000002</v>
      </c>
      <c r="T86" s="520"/>
      <c r="U86" s="904"/>
      <c r="V86" s="904"/>
      <c r="W86" s="904"/>
      <c r="X86" s="760">
        <f t="shared" ref="X86:X92" si="51">S86*0.45</f>
        <v>4079.52765</v>
      </c>
      <c r="Y86" s="760">
        <f t="shared" ref="Y86:Y92" si="52">S86*0.55</f>
        <v>4986.0893500000002</v>
      </c>
      <c r="Z86" s="904"/>
      <c r="AA86" s="904"/>
      <c r="AB86" s="904"/>
      <c r="AC86" s="904"/>
      <c r="AD86" s="904"/>
      <c r="AE86" s="677"/>
      <c r="AF86" s="677"/>
      <c r="AG86" s="677"/>
      <c r="AH86" s="677"/>
      <c r="AI86" s="369"/>
      <c r="AJ86" s="369"/>
      <c r="AK86" s="369"/>
      <c r="AL86" s="369"/>
      <c r="AM86" s="369"/>
      <c r="AN86" s="369"/>
      <c r="AO86" s="369"/>
      <c r="AP86" s="369"/>
      <c r="AQ86" s="369"/>
      <c r="AR86" s="369"/>
      <c r="AS86" s="369"/>
      <c r="AT86" s="369"/>
      <c r="AU86" s="369"/>
      <c r="AV86" s="369"/>
      <c r="AW86" s="369"/>
      <c r="AX86" s="369"/>
      <c r="AY86" s="369"/>
      <c r="AZ86" s="369"/>
      <c r="BA86" s="369"/>
      <c r="BB86" s="369"/>
      <c r="BC86" s="369"/>
      <c r="BD86" s="522">
        <f t="shared" si="36"/>
        <v>45245.625</v>
      </c>
      <c r="BE86" s="522">
        <f t="shared" si="37"/>
        <v>45259.027777777781</v>
      </c>
      <c r="BF86" s="523">
        <f t="shared" si="38"/>
        <v>13.402777777781012</v>
      </c>
      <c r="BG86" s="522">
        <v>45245.625</v>
      </c>
      <c r="BH86" s="522">
        <v>45248.774305555555</v>
      </c>
      <c r="BI86" s="522">
        <v>45250.472222222219</v>
      </c>
      <c r="BJ86" s="522">
        <v>45252.319444444445</v>
      </c>
      <c r="BK86" s="522">
        <v>45252.545138888891</v>
      </c>
      <c r="BL86" s="522">
        <v>45252.5625</v>
      </c>
      <c r="BM86" s="522">
        <v>45252.565972222219</v>
      </c>
      <c r="BN86" s="522">
        <f t="shared" si="49"/>
        <v>45254.274305555555</v>
      </c>
      <c r="BO86" s="527">
        <v>45254.541666666664</v>
      </c>
      <c r="BP86" s="527">
        <v>45254.708333333336</v>
      </c>
      <c r="BQ86" s="527">
        <v>45254.65625</v>
      </c>
      <c r="BR86" s="522">
        <v>45255.840277777781</v>
      </c>
      <c r="BS86" s="522">
        <f>BS97</f>
        <v>45262.888888888891</v>
      </c>
      <c r="BT86" s="522">
        <v>45258.659722222219</v>
      </c>
      <c r="BU86" s="522">
        <v>45258.6875</v>
      </c>
      <c r="BV86" s="522">
        <v>45258.75</v>
      </c>
      <c r="BW86" s="522">
        <v>45259.027777777781</v>
      </c>
      <c r="BX86" s="369"/>
      <c r="BY86" s="369"/>
      <c r="BZ86" s="525">
        <f t="shared" si="39"/>
        <v>40.749999999941792</v>
      </c>
      <c r="CA86" s="525">
        <f t="shared" si="40"/>
        <v>5.4166666666860692</v>
      </c>
      <c r="CB86" s="525">
        <f t="shared" si="41"/>
        <v>41.000000000058208</v>
      </c>
      <c r="CC86" s="525">
        <f t="shared" si="47"/>
        <v>27.166666666686069</v>
      </c>
      <c r="CD86" s="526">
        <f t="shared" si="42"/>
        <v>-101.50000000011642</v>
      </c>
      <c r="CE86" s="526">
        <f t="shared" si="43"/>
        <v>6.6666666667442769</v>
      </c>
      <c r="CF86" s="304">
        <f t="shared" si="44"/>
        <v>0.8125</v>
      </c>
      <c r="CG86" s="304">
        <f t="shared" si="45"/>
        <v>13.402777777781012</v>
      </c>
      <c r="CH86" s="305">
        <f t="shared" si="46"/>
        <v>6.0621761658016464E-2</v>
      </c>
      <c r="CI86" s="369"/>
      <c r="CJ86" s="369"/>
    </row>
    <row r="87" spans="1:88" s="475" customFormat="1">
      <c r="A87" s="474">
        <f t="shared" si="48"/>
        <v>45252.802083333336</v>
      </c>
      <c r="B87" s="475" t="s">
        <v>228</v>
      </c>
      <c r="C87" s="475" t="s">
        <v>229</v>
      </c>
      <c r="D87" s="475" t="s">
        <v>197</v>
      </c>
      <c r="E87" s="399" t="s">
        <v>3159</v>
      </c>
      <c r="F87" s="399" t="s">
        <v>3378</v>
      </c>
      <c r="G87" s="472">
        <v>45255.166666666664</v>
      </c>
      <c r="H87" s="472">
        <v>45255.055555555555</v>
      </c>
      <c r="I87" s="399" t="s">
        <v>231</v>
      </c>
      <c r="J87" s="475" t="s">
        <v>192</v>
      </c>
      <c r="K87" s="475" t="s">
        <v>192</v>
      </c>
      <c r="L87" s="667" t="s">
        <v>3556</v>
      </c>
      <c r="M87" s="530"/>
      <c r="N87" s="475" t="s">
        <v>218</v>
      </c>
      <c r="O87" s="475" t="s">
        <v>350</v>
      </c>
      <c r="P87" s="399" t="s">
        <v>1472</v>
      </c>
      <c r="Q87" s="477">
        <f>3077*2.4</f>
        <v>7384.7999999999993</v>
      </c>
      <c r="R87" s="477">
        <f>7400+100</f>
        <v>7500</v>
      </c>
      <c r="S87" s="477">
        <v>7449.57</v>
      </c>
      <c r="T87" s="477"/>
      <c r="U87" s="401"/>
      <c r="V87" s="401"/>
      <c r="W87" s="401"/>
      <c r="X87" s="726">
        <f t="shared" si="51"/>
        <v>3352.3065000000001</v>
      </c>
      <c r="Y87" s="726">
        <f t="shared" si="52"/>
        <v>4097.2635</v>
      </c>
      <c r="Z87" s="581"/>
      <c r="AA87" s="581"/>
      <c r="AB87" s="581"/>
      <c r="AC87" s="581"/>
      <c r="AD87" s="581"/>
      <c r="BD87" s="473">
        <f t="shared" si="36"/>
        <v>45248.5</v>
      </c>
      <c r="BE87" s="473">
        <f t="shared" si="37"/>
        <v>45259.4375</v>
      </c>
      <c r="BF87" s="479">
        <f t="shared" si="38"/>
        <v>10.9375</v>
      </c>
      <c r="BG87" s="473">
        <v>45248.5</v>
      </c>
      <c r="BH87" s="473">
        <v>45249.534722222219</v>
      </c>
      <c r="BI87" s="473">
        <v>45251.399305555555</v>
      </c>
      <c r="BJ87" s="473">
        <v>45252.802083333336</v>
      </c>
      <c r="BK87" s="473">
        <v>45252.930555555555</v>
      </c>
      <c r="BL87" s="473">
        <v>45252.934027777781</v>
      </c>
      <c r="BM87" s="473">
        <v>45253.291666666664</v>
      </c>
      <c r="BN87" s="473">
        <f t="shared" si="49"/>
        <v>45255</v>
      </c>
      <c r="BO87" s="473">
        <v>45255.583333333336</v>
      </c>
      <c r="BP87" s="473">
        <v>45255.75</v>
      </c>
      <c r="BQ87" s="473">
        <v>45255.642361111109</v>
      </c>
      <c r="BR87" s="473">
        <v>45256.90625</v>
      </c>
      <c r="BS87" s="473">
        <v>45258.729166666664</v>
      </c>
      <c r="BT87" s="473">
        <v>45259.041666666664</v>
      </c>
      <c r="BU87" s="473">
        <v>45259.069444444445</v>
      </c>
      <c r="BV87" s="473">
        <v>45259.180555555555</v>
      </c>
      <c r="BW87" s="473">
        <v>45259.4375</v>
      </c>
      <c r="BZ87" s="481">
        <f t="shared" si="39"/>
        <v>44.750000000058208</v>
      </c>
      <c r="CA87" s="481">
        <f t="shared" si="40"/>
        <v>3.0833333332557231</v>
      </c>
      <c r="CB87" s="481">
        <f t="shared" si="41"/>
        <v>41.000000000058208</v>
      </c>
      <c r="CC87" s="481">
        <f t="shared" si="47"/>
        <v>27.75</v>
      </c>
      <c r="CD87" s="482">
        <f t="shared" si="42"/>
        <v>7.5</v>
      </c>
      <c r="CE87" s="482">
        <f t="shared" si="43"/>
        <v>6.1666666666860692</v>
      </c>
      <c r="CF87" s="483">
        <f t="shared" si="44"/>
        <v>5.4270833333357587</v>
      </c>
      <c r="CG87" s="483">
        <f t="shared" si="45"/>
        <v>10.9375</v>
      </c>
      <c r="CH87" s="484">
        <f t="shared" si="46"/>
        <v>0.49619047619069795</v>
      </c>
    </row>
    <row r="88" spans="1:88" s="475" customFormat="1">
      <c r="A88" s="474">
        <f t="shared" si="48"/>
        <v>45252.954861111109</v>
      </c>
      <c r="B88" s="475" t="s">
        <v>228</v>
      </c>
      <c r="C88" s="475" t="s">
        <v>229</v>
      </c>
      <c r="D88" s="475" t="s">
        <v>197</v>
      </c>
      <c r="E88" s="399" t="s">
        <v>3159</v>
      </c>
      <c r="F88" s="399" t="s">
        <v>3378</v>
      </c>
      <c r="G88" s="472">
        <v>45255.166666666664</v>
      </c>
      <c r="H88" s="472">
        <v>45255.055555555555</v>
      </c>
      <c r="I88" s="399" t="s">
        <v>231</v>
      </c>
      <c r="J88" s="475" t="s">
        <v>192</v>
      </c>
      <c r="K88" s="475" t="s">
        <v>192</v>
      </c>
      <c r="L88" s="667" t="s">
        <v>3557</v>
      </c>
      <c r="M88" s="530"/>
      <c r="N88" s="475" t="s">
        <v>238</v>
      </c>
      <c r="O88" s="475" t="s">
        <v>239</v>
      </c>
      <c r="P88" s="399" t="s">
        <v>1472</v>
      </c>
      <c r="Q88" s="477">
        <f>3161*2.4</f>
        <v>7586.4</v>
      </c>
      <c r="R88" s="477">
        <f>7550+100</f>
        <v>7650</v>
      </c>
      <c r="S88" s="477">
        <v>7501.02</v>
      </c>
      <c r="T88" s="667"/>
      <c r="U88" s="401"/>
      <c r="V88" s="401"/>
      <c r="W88" s="401"/>
      <c r="X88" s="726">
        <f t="shared" si="51"/>
        <v>3375.4590000000003</v>
      </c>
      <c r="Y88" s="726">
        <f t="shared" si="52"/>
        <v>4125.5610000000006</v>
      </c>
      <c r="Z88" s="581"/>
      <c r="AA88" s="581"/>
      <c r="AB88" s="581"/>
      <c r="AC88" s="581"/>
      <c r="AD88" s="581"/>
      <c r="AE88" s="581"/>
      <c r="AF88" s="581"/>
      <c r="AG88" s="401"/>
      <c r="AH88" s="401"/>
      <c r="AI88" s="401"/>
      <c r="AJ88" s="401"/>
      <c r="AK88" s="401"/>
      <c r="AL88" s="401"/>
      <c r="AM88" s="401"/>
      <c r="AN88" s="401"/>
      <c r="AP88" s="401"/>
      <c r="AQ88" s="401"/>
      <c r="AR88" s="401"/>
      <c r="AS88" s="401"/>
      <c r="AT88" s="401"/>
      <c r="AU88" s="401"/>
      <c r="BD88" s="473">
        <f t="shared" si="36"/>
        <v>45247.395833333336</v>
      </c>
      <c r="BE88" s="473">
        <f t="shared" si="37"/>
        <v>45259.75</v>
      </c>
      <c r="BF88" s="479">
        <f t="shared" si="38"/>
        <v>12.354166666664241</v>
      </c>
      <c r="BG88" s="473">
        <v>45247.395833333336</v>
      </c>
      <c r="BH88" s="473">
        <v>45249.506944444445</v>
      </c>
      <c r="BI88" s="473">
        <v>45251.381944444445</v>
      </c>
      <c r="BJ88" s="473">
        <v>45252.954861111109</v>
      </c>
      <c r="BK88" s="473">
        <v>45253.097222222219</v>
      </c>
      <c r="BL88" s="473">
        <v>45253.104166666664</v>
      </c>
      <c r="BM88" s="473">
        <v>45253.267361111109</v>
      </c>
      <c r="BN88" s="473">
        <f t="shared" si="49"/>
        <v>45254.975694444445</v>
      </c>
      <c r="BO88" s="473">
        <v>45255.583333333336</v>
      </c>
      <c r="BP88" s="473">
        <v>45255.75</v>
      </c>
      <c r="BQ88" s="473">
        <v>45255.666666666664</v>
      </c>
      <c r="BR88" s="473">
        <v>45256.875</v>
      </c>
      <c r="BS88" s="473">
        <f>BS87</f>
        <v>45258.729166666664</v>
      </c>
      <c r="BT88" s="473">
        <v>45259.385416666664</v>
      </c>
      <c r="BU88" s="473">
        <v>45259.416666666664</v>
      </c>
      <c r="BV88" s="473">
        <v>45259.416666666664</v>
      </c>
      <c r="BW88" s="473">
        <v>45259.75</v>
      </c>
      <c r="BZ88" s="481">
        <f t="shared" si="39"/>
        <v>45</v>
      </c>
      <c r="CA88" s="481">
        <f t="shared" si="40"/>
        <v>3.4166666666278616</v>
      </c>
      <c r="CB88" s="481">
        <f t="shared" si="41"/>
        <v>41.000000000058208</v>
      </c>
      <c r="CC88" s="481">
        <f t="shared" si="47"/>
        <v>27</v>
      </c>
      <c r="CD88" s="482">
        <f t="shared" si="42"/>
        <v>15.75</v>
      </c>
      <c r="CE88" s="482">
        <f t="shared" si="43"/>
        <v>8.0000000000582077</v>
      </c>
      <c r="CF88" s="483">
        <f t="shared" si="44"/>
        <v>5.8402777777810115</v>
      </c>
      <c r="CG88" s="483">
        <f t="shared" si="45"/>
        <v>12.354166666664241</v>
      </c>
      <c r="CH88" s="484">
        <f t="shared" si="46"/>
        <v>0.47273749297393525</v>
      </c>
    </row>
    <row r="89" spans="1:88" s="475" customFormat="1">
      <c r="A89" s="474">
        <f t="shared" si="48"/>
        <v>45253.120138888888</v>
      </c>
      <c r="B89" s="475" t="s">
        <v>228</v>
      </c>
      <c r="C89" s="475" t="s">
        <v>229</v>
      </c>
      <c r="D89" s="475" t="s">
        <v>197</v>
      </c>
      <c r="E89" s="399" t="s">
        <v>3159</v>
      </c>
      <c r="F89" s="399" t="s">
        <v>3378</v>
      </c>
      <c r="G89" s="472">
        <v>45255.166666666664</v>
      </c>
      <c r="H89" s="472">
        <v>45255.055555555555</v>
      </c>
      <c r="I89" s="399" t="s">
        <v>231</v>
      </c>
      <c r="J89" s="475" t="s">
        <v>192</v>
      </c>
      <c r="K89" s="475" t="s">
        <v>192</v>
      </c>
      <c r="L89" s="667" t="s">
        <v>3558</v>
      </c>
      <c r="M89" s="530"/>
      <c r="N89" s="475" t="s">
        <v>334</v>
      </c>
      <c r="O89" s="475" t="s">
        <v>335</v>
      </c>
      <c r="P89" s="399" t="s">
        <v>1472</v>
      </c>
      <c r="Q89" s="477">
        <f>3242 *2.4</f>
        <v>7780.7999999999993</v>
      </c>
      <c r="R89" s="477">
        <f>7800+100</f>
        <v>7900</v>
      </c>
      <c r="S89" s="477">
        <v>7908.817</v>
      </c>
      <c r="T89" s="667"/>
      <c r="U89" s="581"/>
      <c r="V89" s="581"/>
      <c r="W89" s="581"/>
      <c r="X89" s="726">
        <f t="shared" si="51"/>
        <v>3558.96765</v>
      </c>
      <c r="Y89" s="726">
        <f t="shared" si="52"/>
        <v>4349.8493500000004</v>
      </c>
      <c r="Z89" s="581"/>
      <c r="AA89" s="581"/>
      <c r="AB89" s="581"/>
      <c r="AC89" s="581"/>
      <c r="AD89" s="581"/>
      <c r="AE89" s="581"/>
      <c r="AF89" s="581"/>
      <c r="AG89" s="581"/>
      <c r="AH89" s="581"/>
      <c r="AI89" s="667"/>
      <c r="AJ89" s="667"/>
      <c r="AK89" s="667"/>
      <c r="AL89" s="667"/>
      <c r="AM89" s="667"/>
      <c r="AN89" s="667"/>
      <c r="AO89" s="667"/>
      <c r="AP89" s="667"/>
      <c r="AQ89" s="667"/>
      <c r="AR89" s="667"/>
      <c r="AS89" s="667"/>
      <c r="AT89" s="667"/>
      <c r="AU89" s="667"/>
      <c r="AV89" s="667"/>
      <c r="AW89" s="667"/>
      <c r="AX89" s="667"/>
      <c r="AY89" s="667"/>
      <c r="AZ89" s="667"/>
      <c r="BA89" s="667"/>
      <c r="BB89" s="667"/>
      <c r="BC89" s="667"/>
      <c r="BD89" s="473">
        <f t="shared" si="36"/>
        <v>45245.541666666664</v>
      </c>
      <c r="BE89" s="473">
        <f t="shared" si="37"/>
        <v>45260.229166666664</v>
      </c>
      <c r="BF89" s="479">
        <f t="shared" si="38"/>
        <v>14.6875</v>
      </c>
      <c r="BG89" s="473">
        <v>45245.541666666664</v>
      </c>
      <c r="BH89" s="473">
        <v>45249.506944444445</v>
      </c>
      <c r="BI89" s="473">
        <v>45251.618055555555</v>
      </c>
      <c r="BJ89" s="473">
        <v>45253.120138888888</v>
      </c>
      <c r="BK89" s="473">
        <v>45253.25</v>
      </c>
      <c r="BL89" s="473">
        <v>45253.260416666664</v>
      </c>
      <c r="BM89" s="473">
        <v>45253.25</v>
      </c>
      <c r="BN89" s="473">
        <f t="shared" si="49"/>
        <v>45254.958333333336</v>
      </c>
      <c r="BO89" s="473">
        <v>45255.583333333336</v>
      </c>
      <c r="BP89" s="473">
        <v>45255.75</v>
      </c>
      <c r="BQ89" s="473">
        <v>45255.642361111109</v>
      </c>
      <c r="BR89" s="473">
        <v>45257</v>
      </c>
      <c r="BS89" s="473">
        <v>45259.458333333336</v>
      </c>
      <c r="BT89" s="473">
        <v>45259.743055555555</v>
      </c>
      <c r="BU89" s="473">
        <v>45259.78125</v>
      </c>
      <c r="BV89" s="473">
        <v>45259.78125</v>
      </c>
      <c r="BW89" s="473">
        <v>45260.229166666664</v>
      </c>
      <c r="BZ89" s="481">
        <f t="shared" si="39"/>
        <v>50.666666666627862</v>
      </c>
      <c r="CA89" s="481">
        <f t="shared" si="40"/>
        <v>3.1166666666977108</v>
      </c>
      <c r="CB89" s="481">
        <f t="shared" si="41"/>
        <v>41.000000000058208</v>
      </c>
      <c r="CC89" s="481">
        <f t="shared" si="47"/>
        <v>30</v>
      </c>
      <c r="CD89" s="482">
        <f t="shared" si="42"/>
        <v>6.8333333332557231</v>
      </c>
      <c r="CE89" s="482">
        <f t="shared" si="43"/>
        <v>10.749999999941792</v>
      </c>
      <c r="CF89" s="483">
        <f t="shared" si="44"/>
        <v>5.9319444444408873</v>
      </c>
      <c r="CG89" s="483">
        <f t="shared" si="45"/>
        <v>14.6875</v>
      </c>
      <c r="CH89" s="484">
        <f t="shared" si="46"/>
        <v>0.40387706855767741</v>
      </c>
    </row>
    <row r="90" spans="1:88" s="475" customFormat="1">
      <c r="A90" s="474">
        <f t="shared" si="48"/>
        <v>45253.309027777781</v>
      </c>
      <c r="B90" s="475" t="s">
        <v>228</v>
      </c>
      <c r="C90" s="475" t="s">
        <v>229</v>
      </c>
      <c r="D90" s="475" t="s">
        <v>197</v>
      </c>
      <c r="E90" s="399" t="s">
        <v>3159</v>
      </c>
      <c r="F90" s="399" t="s">
        <v>3378</v>
      </c>
      <c r="G90" s="472">
        <v>45255.166666666664</v>
      </c>
      <c r="H90" s="472">
        <v>45255.055555555555</v>
      </c>
      <c r="I90" s="399" t="s">
        <v>231</v>
      </c>
      <c r="J90" s="475" t="s">
        <v>192</v>
      </c>
      <c r="K90" s="475" t="s">
        <v>192</v>
      </c>
      <c r="L90" s="667" t="s">
        <v>3559</v>
      </c>
      <c r="M90" s="530"/>
      <c r="N90" s="475" t="s">
        <v>298</v>
      </c>
      <c r="O90" s="475" t="s">
        <v>299</v>
      </c>
      <c r="P90" s="399" t="s">
        <v>1472</v>
      </c>
      <c r="Q90" s="477">
        <f>4337*2.4</f>
        <v>10408.799999999999</v>
      </c>
      <c r="R90" s="477">
        <f>10450+100</f>
        <v>10550</v>
      </c>
      <c r="S90" s="477">
        <v>10354.564</v>
      </c>
      <c r="T90" s="667"/>
      <c r="U90" s="581"/>
      <c r="V90" s="401"/>
      <c r="W90" s="581"/>
      <c r="X90" s="726">
        <f t="shared" si="51"/>
        <v>4659.5538000000006</v>
      </c>
      <c r="Y90" s="726">
        <f t="shared" si="52"/>
        <v>5695.0102000000006</v>
      </c>
      <c r="Z90" s="581"/>
      <c r="AA90" s="581"/>
      <c r="AB90" s="581"/>
      <c r="AC90" s="581"/>
      <c r="AD90" s="581"/>
      <c r="AE90" s="575"/>
      <c r="AF90" s="575"/>
      <c r="AG90" s="575"/>
      <c r="AH90" s="575"/>
      <c r="AI90" s="575"/>
      <c r="BD90" s="473">
        <f t="shared" si="36"/>
        <v>45249.236111111109</v>
      </c>
      <c r="BE90" s="473">
        <f t="shared" si="37"/>
        <v>45260.642361111109</v>
      </c>
      <c r="BF90" s="479">
        <f t="shared" si="38"/>
        <v>11.40625</v>
      </c>
      <c r="BG90" s="473">
        <v>45249.236111111109</v>
      </c>
      <c r="BH90" s="473">
        <v>45251.322916666664</v>
      </c>
      <c r="BI90" s="473">
        <v>45252.913194444445</v>
      </c>
      <c r="BJ90" s="473">
        <v>45253.309027777781</v>
      </c>
      <c r="BK90" s="473">
        <v>45253.53125</v>
      </c>
      <c r="BL90" s="473">
        <v>45253.534722222219</v>
      </c>
      <c r="BM90" s="473">
        <v>45253.545138888891</v>
      </c>
      <c r="BN90" s="473">
        <f t="shared" si="49"/>
        <v>45255.253472222226</v>
      </c>
      <c r="BO90" s="473">
        <v>45255.583333333336</v>
      </c>
      <c r="BP90" s="473">
        <v>45255.75</v>
      </c>
      <c r="BQ90" s="473">
        <v>45255.586805555555</v>
      </c>
      <c r="BR90" s="473">
        <v>45257.5</v>
      </c>
      <c r="BS90" s="473">
        <v>45259.822916666664</v>
      </c>
      <c r="BT90" s="473">
        <v>45260.263888888891</v>
      </c>
      <c r="BU90" s="473">
        <v>45260.291666666664</v>
      </c>
      <c r="BV90" s="473">
        <v>45260.3125</v>
      </c>
      <c r="BW90" s="473">
        <v>45260.642361111109</v>
      </c>
      <c r="BZ90" s="481">
        <f t="shared" si="39"/>
        <v>38.166666666744277</v>
      </c>
      <c r="CA90" s="481">
        <f t="shared" si="40"/>
        <v>5.3333333332557231</v>
      </c>
      <c r="CB90" s="481">
        <f t="shared" si="41"/>
        <v>41.000000000058208</v>
      </c>
      <c r="CC90" s="481">
        <f t="shared" si="47"/>
        <v>42</v>
      </c>
      <c r="CD90" s="482">
        <f t="shared" si="42"/>
        <v>10.583333333430346</v>
      </c>
      <c r="CE90" s="482">
        <f t="shared" si="43"/>
        <v>7.9166666666278616</v>
      </c>
      <c r="CF90" s="483">
        <f t="shared" si="44"/>
        <v>6.0416666666715173</v>
      </c>
      <c r="CG90" s="483">
        <f t="shared" si="45"/>
        <v>11.40625</v>
      </c>
      <c r="CH90" s="484">
        <f t="shared" si="46"/>
        <v>0.52968036529722895</v>
      </c>
    </row>
    <row r="91" spans="1:88" s="475" customFormat="1">
      <c r="A91" s="474">
        <f t="shared" si="48"/>
        <v>45253.565972222219</v>
      </c>
      <c r="B91" s="475" t="s">
        <v>228</v>
      </c>
      <c r="C91" s="475" t="s">
        <v>229</v>
      </c>
      <c r="D91" s="475" t="s">
        <v>215</v>
      </c>
      <c r="E91" s="399" t="s">
        <v>3159</v>
      </c>
      <c r="F91" s="399" t="s">
        <v>3378</v>
      </c>
      <c r="G91" s="472">
        <v>45255.166666666664</v>
      </c>
      <c r="H91" s="472">
        <v>45255.055555555555</v>
      </c>
      <c r="I91" s="399" t="s">
        <v>231</v>
      </c>
      <c r="J91" s="475" t="s">
        <v>192</v>
      </c>
      <c r="K91" s="475" t="s">
        <v>192</v>
      </c>
      <c r="L91" s="667" t="s">
        <v>3560</v>
      </c>
      <c r="M91" s="530"/>
      <c r="N91" s="475" t="s">
        <v>252</v>
      </c>
      <c r="O91" s="475" t="s">
        <v>253</v>
      </c>
      <c r="P91" s="399" t="s">
        <v>1472</v>
      </c>
      <c r="Q91" s="477">
        <f>3107*2.4</f>
        <v>7456.7999999999993</v>
      </c>
      <c r="R91" s="477">
        <f>7500+100</f>
        <v>7600</v>
      </c>
      <c r="S91" s="477">
        <f>7502.37-3485.636</f>
        <v>4016.7339999999999</v>
      </c>
      <c r="T91" s="667"/>
      <c r="U91" s="581"/>
      <c r="V91" s="726"/>
      <c r="W91" s="581"/>
      <c r="X91" s="726">
        <f t="shared" si="51"/>
        <v>1807.5302999999999</v>
      </c>
      <c r="Y91" s="726">
        <f t="shared" si="52"/>
        <v>2209.2037</v>
      </c>
      <c r="Z91" s="581"/>
      <c r="AA91" s="581"/>
      <c r="AB91" s="581"/>
      <c r="AC91" s="581"/>
      <c r="AD91" s="581"/>
      <c r="AE91" s="667"/>
      <c r="AF91" s="667"/>
      <c r="AG91" s="667"/>
      <c r="AH91" s="667"/>
      <c r="AI91" s="667"/>
      <c r="AJ91" s="667"/>
      <c r="AK91" s="667"/>
      <c r="AL91" s="667"/>
      <c r="AM91" s="667"/>
      <c r="AN91" s="667"/>
      <c r="AO91" s="667"/>
      <c r="AP91" s="667"/>
      <c r="AQ91" s="667"/>
      <c r="AR91" s="667"/>
      <c r="AS91" s="667"/>
      <c r="AT91" s="667"/>
      <c r="AU91" s="667"/>
      <c r="AV91" s="667"/>
      <c r="AW91" s="667"/>
      <c r="BD91" s="473">
        <f t="shared" si="36"/>
        <v>45248.416666666664</v>
      </c>
      <c r="BE91" s="473">
        <f t="shared" si="37"/>
        <v>45260.645833333336</v>
      </c>
      <c r="BF91" s="479">
        <f t="shared" si="38"/>
        <v>12.229166666671517</v>
      </c>
      <c r="BG91" s="473">
        <v>45248.416666666664</v>
      </c>
      <c r="BH91" s="473">
        <v>45251.340277777781</v>
      </c>
      <c r="BI91" s="473">
        <v>45252.90625</v>
      </c>
      <c r="BJ91" s="473">
        <v>45253.565972222219</v>
      </c>
      <c r="BK91" s="473">
        <v>45253.802083333336</v>
      </c>
      <c r="BL91" s="473">
        <v>45253.805555555555</v>
      </c>
      <c r="BM91" s="473">
        <v>45253.809027777781</v>
      </c>
      <c r="BN91" s="473">
        <f t="shared" si="49"/>
        <v>45255.517361111117</v>
      </c>
      <c r="BO91" s="473">
        <v>45255.583333333336</v>
      </c>
      <c r="BP91" s="473">
        <v>45255.75</v>
      </c>
      <c r="BQ91" s="473">
        <v>45255.597222222219</v>
      </c>
      <c r="BR91" s="473">
        <v>45256.704861111109</v>
      </c>
      <c r="BS91" s="473">
        <v>45260.333333333336</v>
      </c>
      <c r="BT91" s="473">
        <v>45260.590277777781</v>
      </c>
      <c r="BU91" s="473">
        <v>45260.645833333336</v>
      </c>
      <c r="BV91" s="473">
        <v>45260.645833333336</v>
      </c>
      <c r="BW91" s="473">
        <v>45260.645833333336</v>
      </c>
      <c r="BZ91" s="481">
        <f t="shared" si="39"/>
        <v>37.583333333255723</v>
      </c>
      <c r="CA91" s="481">
        <f t="shared" si="40"/>
        <v>5.6666666668024845</v>
      </c>
      <c r="CB91" s="481">
        <f t="shared" si="41"/>
        <v>41.000000000058208</v>
      </c>
      <c r="CC91" s="481">
        <f t="shared" si="47"/>
        <v>22.916666666627862</v>
      </c>
      <c r="CD91" s="482">
        <f t="shared" si="42"/>
        <v>6.1666666666860692</v>
      </c>
      <c r="CE91" s="482">
        <f t="shared" si="43"/>
        <v>0</v>
      </c>
      <c r="CF91" s="483">
        <f t="shared" si="44"/>
        <v>4.7222222222262644</v>
      </c>
      <c r="CG91" s="483">
        <f t="shared" si="45"/>
        <v>12.229166666671517</v>
      </c>
      <c r="CH91" s="484">
        <f t="shared" si="46"/>
        <v>0.38614423622959249</v>
      </c>
    </row>
    <row r="92" spans="1:88" s="475" customFormat="1">
      <c r="A92" s="474">
        <f t="shared" si="48"/>
        <v>45253.565972222219</v>
      </c>
      <c r="B92" s="475" t="s">
        <v>228</v>
      </c>
      <c r="C92" s="475" t="s">
        <v>229</v>
      </c>
      <c r="D92" s="475" t="s">
        <v>215</v>
      </c>
      <c r="E92" s="667" t="s">
        <v>3164</v>
      </c>
      <c r="F92" s="399" t="s">
        <v>3474</v>
      </c>
      <c r="G92" s="472">
        <v>45259.458333333336</v>
      </c>
      <c r="H92" s="472">
        <v>45259.461805555555</v>
      </c>
      <c r="I92" s="399" t="s">
        <v>231</v>
      </c>
      <c r="J92" s="475" t="s">
        <v>192</v>
      </c>
      <c r="K92" s="475" t="s">
        <v>192</v>
      </c>
      <c r="L92" s="667" t="s">
        <v>3560</v>
      </c>
      <c r="M92" s="530"/>
      <c r="N92" s="475" t="s">
        <v>252</v>
      </c>
      <c r="O92" s="475" t="s">
        <v>253</v>
      </c>
      <c r="P92" s="399" t="s">
        <v>1472</v>
      </c>
      <c r="Q92" s="477">
        <f>3107*2.4</f>
        <v>7456.7999999999993</v>
      </c>
      <c r="R92" s="477">
        <f>7500+100</f>
        <v>7600</v>
      </c>
      <c r="S92" s="477">
        <v>3033.1689999999999</v>
      </c>
      <c r="T92" s="667"/>
      <c r="U92" s="581"/>
      <c r="V92" s="726"/>
      <c r="W92" s="581"/>
      <c r="X92" s="726">
        <f t="shared" si="51"/>
        <v>1364.92605</v>
      </c>
      <c r="Y92" s="726">
        <f t="shared" si="52"/>
        <v>1668.2429500000001</v>
      </c>
      <c r="Z92" s="581"/>
      <c r="AA92" s="581"/>
      <c r="AB92" s="581"/>
      <c r="AC92" s="581"/>
      <c r="AD92" s="581"/>
      <c r="AE92" s="667"/>
      <c r="AF92" s="667"/>
      <c r="AG92" s="667"/>
      <c r="AH92" s="667"/>
      <c r="AI92" s="667"/>
      <c r="AJ92" s="667"/>
      <c r="AK92" s="667"/>
      <c r="AL92" s="667"/>
      <c r="AM92" s="667"/>
      <c r="AN92" s="667"/>
      <c r="AO92" s="667"/>
      <c r="AP92" s="667"/>
      <c r="AQ92" s="667"/>
      <c r="AR92" s="667"/>
      <c r="AS92" s="667"/>
      <c r="AT92" s="667"/>
      <c r="AU92" s="667"/>
      <c r="AV92" s="667"/>
      <c r="AW92" s="667"/>
      <c r="BD92" s="473">
        <f t="shared" si="36"/>
        <v>45248.416666666664</v>
      </c>
      <c r="BE92" s="473">
        <f t="shared" si="37"/>
        <v>45262.871527777781</v>
      </c>
      <c r="BF92" s="479">
        <f t="shared" si="38"/>
        <v>14.45486111111677</v>
      </c>
      <c r="BG92" s="473">
        <v>45248.416666666664</v>
      </c>
      <c r="BH92" s="473">
        <v>45251.340277777781</v>
      </c>
      <c r="BI92" s="473">
        <v>45252.90625</v>
      </c>
      <c r="BJ92" s="473">
        <v>45253.565972222219</v>
      </c>
      <c r="BK92" s="473">
        <v>45253.802083333336</v>
      </c>
      <c r="BL92" s="473">
        <v>45253.805555555555</v>
      </c>
      <c r="BM92" s="473">
        <v>45253.809027777781</v>
      </c>
      <c r="BN92" s="473">
        <f t="shared" si="49"/>
        <v>45255.517361111117</v>
      </c>
      <c r="BO92" s="473">
        <v>45255.583333333336</v>
      </c>
      <c r="BP92" s="473">
        <v>45255.75</v>
      </c>
      <c r="BQ92" s="473">
        <v>45255.597222222219</v>
      </c>
      <c r="BR92" s="473">
        <v>45260.645833333336</v>
      </c>
      <c r="BS92" s="473">
        <v>45262.059027777781</v>
      </c>
      <c r="BT92" s="473">
        <v>45262.458333333336</v>
      </c>
      <c r="BU92" s="473">
        <v>45262.479166666672</v>
      </c>
      <c r="BV92" s="473">
        <v>45262.666666666664</v>
      </c>
      <c r="BW92" s="473">
        <v>45262.871527777781</v>
      </c>
      <c r="BZ92" s="481">
        <f t="shared" si="39"/>
        <v>37.583333333255723</v>
      </c>
      <c r="CA92" s="481">
        <f t="shared" si="40"/>
        <v>5.6666666668024845</v>
      </c>
      <c r="CB92" s="481">
        <f t="shared" si="41"/>
        <v>41.000000000058208</v>
      </c>
      <c r="CC92" s="481">
        <f t="shared" si="47"/>
        <v>117.50000000005821</v>
      </c>
      <c r="CD92" s="482">
        <f t="shared" si="42"/>
        <v>9.5833333333139308</v>
      </c>
      <c r="CE92" s="482">
        <f t="shared" si="43"/>
        <v>4.9166666668024845</v>
      </c>
      <c r="CF92" s="483">
        <f t="shared" si="44"/>
        <v>9.0104166666787933</v>
      </c>
      <c r="CG92" s="483">
        <f t="shared" si="45"/>
        <v>14.45486111111677</v>
      </c>
      <c r="CH92" s="484">
        <f t="shared" si="46"/>
        <v>0.62334854672170947</v>
      </c>
    </row>
    <row r="93" spans="1:88" s="475" customFormat="1">
      <c r="A93" s="474">
        <f t="shared" si="48"/>
        <v>45254.038194444445</v>
      </c>
      <c r="B93" s="475" t="s">
        <v>228</v>
      </c>
      <c r="C93" s="475" t="s">
        <v>229</v>
      </c>
      <c r="D93" s="475" t="s">
        <v>197</v>
      </c>
      <c r="E93" s="399" t="s">
        <v>3164</v>
      </c>
      <c r="F93" s="399" t="s">
        <v>3474</v>
      </c>
      <c r="G93" s="472">
        <v>45259.458333333336</v>
      </c>
      <c r="H93" s="472">
        <v>45259.461805555555</v>
      </c>
      <c r="I93" s="399" t="s">
        <v>231</v>
      </c>
      <c r="J93" s="475" t="s">
        <v>192</v>
      </c>
      <c r="K93" s="475" t="s">
        <v>192</v>
      </c>
      <c r="L93" s="667" t="s">
        <v>3561</v>
      </c>
      <c r="M93" s="530"/>
      <c r="N93" s="475" t="s">
        <v>339</v>
      </c>
      <c r="O93" s="475" t="s">
        <v>506</v>
      </c>
      <c r="P93" s="667" t="s">
        <v>240</v>
      </c>
      <c r="Q93" s="477">
        <f>3071*2.4</f>
        <v>7370.4</v>
      </c>
      <c r="R93" s="477">
        <f>7400+100</f>
        <v>7500</v>
      </c>
      <c r="S93" s="477">
        <v>7558.8689999999997</v>
      </c>
      <c r="T93" s="667"/>
      <c r="U93" s="581"/>
      <c r="V93" s="726"/>
      <c r="W93" s="581"/>
      <c r="X93" s="581"/>
      <c r="Y93" s="726">
        <f t="shared" ref="Y93:Y98" si="53">S93</f>
        <v>7558.8689999999997</v>
      </c>
      <c r="Z93" s="581"/>
      <c r="AA93" s="581"/>
      <c r="AB93" s="581"/>
      <c r="AC93" s="581"/>
      <c r="AD93" s="581"/>
      <c r="AE93" s="667"/>
      <c r="AF93" s="667"/>
      <c r="AG93" s="667"/>
      <c r="AH93" s="667"/>
      <c r="AI93" s="667"/>
      <c r="AJ93" s="667"/>
      <c r="AK93" s="667"/>
      <c r="AL93" s="667"/>
      <c r="AM93" s="667"/>
      <c r="AN93" s="667"/>
      <c r="AO93" s="667"/>
      <c r="AP93" s="667"/>
      <c r="AQ93" s="667"/>
      <c r="AR93" s="667"/>
      <c r="AS93" s="667"/>
      <c r="AT93" s="667"/>
      <c r="AU93" s="667"/>
      <c r="AV93" s="667"/>
      <c r="AW93" s="667"/>
      <c r="AX93" s="667"/>
      <c r="AY93" s="667"/>
      <c r="AZ93" s="667"/>
      <c r="BA93" s="667"/>
      <c r="BB93" s="667"/>
      <c r="BC93" s="667"/>
      <c r="BD93" s="473">
        <f t="shared" si="36"/>
        <v>45249.333333333336</v>
      </c>
      <c r="BE93" s="473">
        <f t="shared" si="37"/>
        <v>45261.916666666664</v>
      </c>
      <c r="BF93" s="479">
        <f t="shared" si="38"/>
        <v>12.583333333328483</v>
      </c>
      <c r="BG93" s="473">
        <v>45249.333333333336</v>
      </c>
      <c r="BH93" s="473">
        <v>45251.330555555556</v>
      </c>
      <c r="BI93" s="473">
        <v>45253.0625</v>
      </c>
      <c r="BJ93" s="473">
        <v>45254.038194444445</v>
      </c>
      <c r="BK93" s="473">
        <v>45254.163194444445</v>
      </c>
      <c r="BL93" s="473">
        <v>45254.170138888891</v>
      </c>
      <c r="BM93" s="473">
        <v>45254.173611111109</v>
      </c>
      <c r="BN93" s="473">
        <f t="shared" si="49"/>
        <v>45255.881944444445</v>
      </c>
      <c r="BO93" s="480">
        <v>45256.583333333336</v>
      </c>
      <c r="BP93" s="480">
        <v>45256.75</v>
      </c>
      <c r="BQ93" s="480">
        <v>45256.652777777781</v>
      </c>
      <c r="BR93" s="473">
        <v>45257.854166666664</v>
      </c>
      <c r="BS93" s="473">
        <v>45261.333333333336</v>
      </c>
      <c r="BT93" s="473">
        <v>45261.638888888891</v>
      </c>
      <c r="BU93" s="473">
        <v>45261.659722222219</v>
      </c>
      <c r="BV93" s="473">
        <v>45261.659722222219</v>
      </c>
      <c r="BW93" s="473">
        <v>45261.916666666664</v>
      </c>
      <c r="BZ93" s="481">
        <f t="shared" si="39"/>
        <v>41.566666666651145</v>
      </c>
      <c r="CA93" s="481">
        <f t="shared" si="40"/>
        <v>3</v>
      </c>
      <c r="CB93" s="481">
        <f t="shared" si="41"/>
        <v>41.000000000058208</v>
      </c>
      <c r="CC93" s="481">
        <f t="shared" si="47"/>
        <v>26.499999999941792</v>
      </c>
      <c r="CD93" s="482">
        <f t="shared" si="42"/>
        <v>7.3333333333139308</v>
      </c>
      <c r="CE93" s="482">
        <f t="shared" si="43"/>
        <v>6.1666666666860692</v>
      </c>
      <c r="CF93" s="483">
        <f t="shared" si="44"/>
        <v>5.2319444444437977</v>
      </c>
      <c r="CG93" s="483">
        <f t="shared" si="45"/>
        <v>12.583333333328483</v>
      </c>
      <c r="CH93" s="484">
        <f t="shared" si="46"/>
        <v>0.41578366445927001</v>
      </c>
    </row>
    <row r="94" spans="1:88" s="475" customFormat="1">
      <c r="A94" s="474">
        <f t="shared" si="48"/>
        <v>45254.75</v>
      </c>
      <c r="B94" s="475" t="s">
        <v>228</v>
      </c>
      <c r="C94" s="475" t="s">
        <v>229</v>
      </c>
      <c r="D94" s="475" t="s">
        <v>197</v>
      </c>
      <c r="E94" s="399" t="s">
        <v>3164</v>
      </c>
      <c r="F94" s="399" t="s">
        <v>3474</v>
      </c>
      <c r="G94" s="472">
        <v>45259.458333333336</v>
      </c>
      <c r="H94" s="472">
        <v>45259.461805555555</v>
      </c>
      <c r="I94" s="399" t="s">
        <v>231</v>
      </c>
      <c r="J94" s="475" t="s">
        <v>192</v>
      </c>
      <c r="K94" s="475" t="s">
        <v>192</v>
      </c>
      <c r="L94" s="667" t="s">
        <v>3562</v>
      </c>
      <c r="M94" s="530"/>
      <c r="N94" s="475" t="s">
        <v>3563</v>
      </c>
      <c r="O94" s="475" t="s">
        <v>206</v>
      </c>
      <c r="P94" s="667" t="s">
        <v>240</v>
      </c>
      <c r="Q94" s="477">
        <f>3015*2.4</f>
        <v>7236</v>
      </c>
      <c r="R94" s="477">
        <f>7250+100</f>
        <v>7350</v>
      </c>
      <c r="S94" s="477">
        <v>7285.8620000000001</v>
      </c>
      <c r="T94" s="399"/>
      <c r="U94" s="581"/>
      <c r="V94" s="581"/>
      <c r="W94" s="581"/>
      <c r="X94" s="581"/>
      <c r="Y94" s="726">
        <f t="shared" si="53"/>
        <v>7285.8620000000001</v>
      </c>
      <c r="Z94" s="581"/>
      <c r="AA94" s="581"/>
      <c r="AB94" s="581"/>
      <c r="AC94" s="399"/>
      <c r="AD94" s="399"/>
      <c r="AE94" s="399"/>
      <c r="AF94" s="399"/>
      <c r="AG94" s="399"/>
      <c r="AH94" s="399"/>
      <c r="AI94" s="399"/>
      <c r="AJ94" s="399"/>
      <c r="AK94" s="399"/>
      <c r="AL94" s="399"/>
      <c r="AM94" s="399"/>
      <c r="AN94" s="399"/>
      <c r="AO94" s="399"/>
      <c r="AP94" s="399"/>
      <c r="AQ94" s="399"/>
      <c r="AR94" s="399"/>
      <c r="AS94" s="399"/>
      <c r="AT94" s="399"/>
      <c r="AU94" s="399"/>
      <c r="AV94" s="399"/>
      <c r="AW94" s="399"/>
      <c r="BD94" s="473">
        <f t="shared" si="36"/>
        <v>45235.59652777778</v>
      </c>
      <c r="BE94" s="473">
        <f t="shared" si="37"/>
        <v>45263.3125</v>
      </c>
      <c r="BF94" s="479">
        <f t="shared" si="38"/>
        <v>27.715972222220444</v>
      </c>
      <c r="BG94" s="473">
        <v>45235.59652777778</v>
      </c>
      <c r="BH94" s="473">
        <v>45250.739583333336</v>
      </c>
      <c r="BI94" s="473">
        <v>45253.065972222219</v>
      </c>
      <c r="BJ94" s="473">
        <v>45254.75</v>
      </c>
      <c r="BK94" s="473">
        <v>45254.947916666664</v>
      </c>
      <c r="BL94" s="473">
        <v>45254.954861111109</v>
      </c>
      <c r="BM94" s="473">
        <v>45254.958333333336</v>
      </c>
      <c r="BN94" s="473">
        <f t="shared" si="49"/>
        <v>45256.666666666672</v>
      </c>
      <c r="BO94" s="473">
        <v>45256.583333333336</v>
      </c>
      <c r="BP94" s="473">
        <v>45256.75</v>
      </c>
      <c r="BQ94" s="473">
        <v>45256.684027777781</v>
      </c>
      <c r="BR94" s="473">
        <v>45259.083333333336</v>
      </c>
      <c r="BS94" s="473">
        <v>45262.520833333336</v>
      </c>
      <c r="BT94" s="473">
        <v>45262.826388888891</v>
      </c>
      <c r="BU94" s="473">
        <v>45262.847222222219</v>
      </c>
      <c r="BV94" s="473">
        <v>45263.180555555555</v>
      </c>
      <c r="BW94" s="473">
        <v>45263.3125</v>
      </c>
      <c r="BX94" s="475" t="s">
        <v>3564</v>
      </c>
      <c r="BZ94" s="481">
        <f t="shared" si="39"/>
        <v>55.833333333197515</v>
      </c>
      <c r="CA94" s="481">
        <f t="shared" si="40"/>
        <v>4.7499999999417923</v>
      </c>
      <c r="CB94" s="481">
        <f t="shared" si="41"/>
        <v>41.000000000058208</v>
      </c>
      <c r="CC94" s="481">
        <f t="shared" si="47"/>
        <v>56.000000000058208</v>
      </c>
      <c r="CD94" s="482">
        <f t="shared" si="42"/>
        <v>7.3333333333139308</v>
      </c>
      <c r="CE94" s="482">
        <f t="shared" si="43"/>
        <v>3.1666666666860692</v>
      </c>
      <c r="CF94" s="483">
        <f t="shared" si="44"/>
        <v>7.0034722222189885</v>
      </c>
      <c r="CG94" s="483">
        <f t="shared" si="45"/>
        <v>27.715972222220444</v>
      </c>
      <c r="CH94" s="484">
        <f t="shared" si="46"/>
        <v>0.25268722908461305</v>
      </c>
    </row>
    <row r="95" spans="1:88" s="475" customFormat="1">
      <c r="A95" s="474">
        <f t="shared" si="48"/>
        <v>45255.611111111109</v>
      </c>
      <c r="B95" s="475" t="s">
        <v>228</v>
      </c>
      <c r="C95" s="475" t="s">
        <v>229</v>
      </c>
      <c r="D95" s="475" t="s">
        <v>197</v>
      </c>
      <c r="E95" s="399" t="s">
        <v>3164</v>
      </c>
      <c r="F95" s="399" t="s">
        <v>3474</v>
      </c>
      <c r="G95" s="472">
        <v>45259.458333333336</v>
      </c>
      <c r="H95" s="472">
        <v>45259.461805555555</v>
      </c>
      <c r="I95" s="399" t="s">
        <v>231</v>
      </c>
      <c r="J95" s="475" t="s">
        <v>192</v>
      </c>
      <c r="K95" s="475" t="s">
        <v>192</v>
      </c>
      <c r="L95" s="667" t="s">
        <v>3565</v>
      </c>
      <c r="M95" s="529"/>
      <c r="N95" s="475" t="s">
        <v>367</v>
      </c>
      <c r="O95" s="475" t="s">
        <v>368</v>
      </c>
      <c r="P95" s="667" t="s">
        <v>240</v>
      </c>
      <c r="Q95" s="477">
        <f>4111*2.4</f>
        <v>9866.4</v>
      </c>
      <c r="R95" s="477">
        <f>9900+100</f>
        <v>10000</v>
      </c>
      <c r="S95" s="477">
        <v>9844.9740000000002</v>
      </c>
      <c r="T95" s="667"/>
      <c r="U95" s="581"/>
      <c r="V95" s="726"/>
      <c r="W95" s="581"/>
      <c r="X95" s="581"/>
      <c r="Y95" s="726">
        <f t="shared" si="53"/>
        <v>9844.9740000000002</v>
      </c>
      <c r="Z95" s="581"/>
      <c r="AA95" s="581"/>
      <c r="AB95" s="581"/>
      <c r="AC95" s="581"/>
      <c r="AD95" s="581"/>
      <c r="AE95" s="581"/>
      <c r="AF95" s="581"/>
      <c r="AG95" s="581"/>
      <c r="AH95" s="581"/>
      <c r="BD95" s="473">
        <f t="shared" si="36"/>
        <v>45249.006944444445</v>
      </c>
      <c r="BE95" s="473">
        <f t="shared" si="37"/>
        <v>45264.833333333336</v>
      </c>
      <c r="BF95" s="479">
        <f t="shared" si="38"/>
        <v>15.826388888890506</v>
      </c>
      <c r="BG95" s="473">
        <v>45249.006944444445</v>
      </c>
      <c r="BH95" s="473">
        <v>45251.402777777781</v>
      </c>
      <c r="BI95" s="473">
        <v>45253.305555555555</v>
      </c>
      <c r="BJ95" s="473">
        <v>45255.611111111109</v>
      </c>
      <c r="BK95" s="473">
        <v>45255.847222222219</v>
      </c>
      <c r="BL95" s="473">
        <v>45255.850694444445</v>
      </c>
      <c r="BM95" s="473">
        <v>45255.850694444445</v>
      </c>
      <c r="BN95" s="473">
        <f t="shared" si="49"/>
        <v>45257.559027777781</v>
      </c>
      <c r="BO95" s="480">
        <v>45258.25</v>
      </c>
      <c r="BP95" s="480">
        <v>45258.416666608799</v>
      </c>
      <c r="BQ95" s="480">
        <v>45258.388888888891</v>
      </c>
      <c r="BR95" s="473">
        <v>45259.979166666664</v>
      </c>
      <c r="BS95" s="473">
        <v>45263.305555555555</v>
      </c>
      <c r="BT95" s="473">
        <v>45263.756944444445</v>
      </c>
      <c r="BU95" s="473">
        <v>45264.513888888891</v>
      </c>
      <c r="BV95" s="473">
        <v>45264.677083333336</v>
      </c>
      <c r="BW95" s="473">
        <v>45264.833333333336</v>
      </c>
      <c r="BZ95" s="481">
        <f t="shared" si="39"/>
        <v>45.666666666569654</v>
      </c>
      <c r="CA95" s="481">
        <f t="shared" si="40"/>
        <v>5.6666666666278616</v>
      </c>
      <c r="CB95" s="481">
        <f t="shared" si="41"/>
        <v>41.000000000058208</v>
      </c>
      <c r="CC95" s="481">
        <f t="shared" si="47"/>
        <v>37.500001388776582</v>
      </c>
      <c r="CD95" s="482">
        <f t="shared" si="42"/>
        <v>10.833333333372138</v>
      </c>
      <c r="CE95" s="482">
        <f t="shared" si="43"/>
        <v>3.75</v>
      </c>
      <c r="CF95" s="483">
        <f t="shared" si="44"/>
        <v>6.0173611689751851</v>
      </c>
      <c r="CG95" s="483">
        <f t="shared" si="45"/>
        <v>15.826388888890506</v>
      </c>
      <c r="CH95" s="484">
        <f t="shared" si="46"/>
        <v>0.3802106223485468</v>
      </c>
    </row>
    <row r="96" spans="1:88" s="475" customFormat="1">
      <c r="A96" s="474">
        <f t="shared" si="48"/>
        <v>45254.215277777781</v>
      </c>
      <c r="B96" s="475" t="s">
        <v>228</v>
      </c>
      <c r="C96" s="475" t="s">
        <v>229</v>
      </c>
      <c r="D96" s="475" t="s">
        <v>215</v>
      </c>
      <c r="E96" s="399" t="s">
        <v>3164</v>
      </c>
      <c r="F96" s="399" t="s">
        <v>3474</v>
      </c>
      <c r="G96" s="472">
        <v>45259.458333333336</v>
      </c>
      <c r="H96" s="472">
        <v>45259.461805555555</v>
      </c>
      <c r="I96" s="399" t="s">
        <v>231</v>
      </c>
      <c r="J96" s="475" t="s">
        <v>192</v>
      </c>
      <c r="K96" s="475" t="s">
        <v>192</v>
      </c>
      <c r="L96" s="667" t="s">
        <v>3566</v>
      </c>
      <c r="M96" s="530"/>
      <c r="N96" s="475" t="s">
        <v>774</v>
      </c>
      <c r="O96" s="475" t="s">
        <v>423</v>
      </c>
      <c r="P96" s="667" t="s">
        <v>240</v>
      </c>
      <c r="Q96" s="477">
        <f>3156*2.4</f>
        <v>7574.4</v>
      </c>
      <c r="R96" s="477">
        <f>7600+100</f>
        <v>7700</v>
      </c>
      <c r="S96" s="477">
        <v>7527.4449999999997</v>
      </c>
      <c r="T96" s="667"/>
      <c r="U96" s="581"/>
      <c r="V96" s="581"/>
      <c r="W96" s="581"/>
      <c r="X96" s="581"/>
      <c r="Y96" s="726">
        <f t="shared" si="53"/>
        <v>7527.4449999999997</v>
      </c>
      <c r="Z96" s="581"/>
      <c r="AA96" s="581"/>
      <c r="AB96" s="581"/>
      <c r="AC96" s="581"/>
      <c r="AD96" s="581"/>
      <c r="AE96" s="575"/>
      <c r="AF96" s="575"/>
      <c r="AG96" s="575"/>
      <c r="AH96" s="575"/>
      <c r="AI96" s="575"/>
      <c r="BD96" s="473">
        <f t="shared" si="36"/>
        <v>45251.125</v>
      </c>
      <c r="BE96" s="473">
        <f t="shared" si="37"/>
        <v>45262.625</v>
      </c>
      <c r="BF96" s="479">
        <f t="shared" si="38"/>
        <v>11.5</v>
      </c>
      <c r="BG96" s="473">
        <v>45251.125</v>
      </c>
      <c r="BH96" s="473">
        <v>45251.788194444445</v>
      </c>
      <c r="BI96" s="473">
        <v>45253.381944444445</v>
      </c>
      <c r="BJ96" s="473">
        <v>45254.215277777781</v>
      </c>
      <c r="BK96" s="473">
        <v>45254.71875</v>
      </c>
      <c r="BL96" s="473">
        <v>45254.725694444445</v>
      </c>
      <c r="BM96" s="473">
        <v>45254.729166666664</v>
      </c>
      <c r="BN96" s="473">
        <f t="shared" si="49"/>
        <v>45256.4375</v>
      </c>
      <c r="BO96" s="473">
        <v>45256.583333333336</v>
      </c>
      <c r="BP96" s="473">
        <v>45256.75</v>
      </c>
      <c r="BQ96" s="473">
        <v>45256.677083333336</v>
      </c>
      <c r="BR96" s="473">
        <v>45257.916666666664</v>
      </c>
      <c r="BS96" s="473">
        <v>45261.701388888883</v>
      </c>
      <c r="BT96" s="473">
        <v>45261.996527777781</v>
      </c>
      <c r="BU96" s="473">
        <v>45262.017361111117</v>
      </c>
      <c r="BV96" s="473">
        <v>45262.017361111117</v>
      </c>
      <c r="BW96" s="473">
        <v>45262.625</v>
      </c>
      <c r="BZ96" s="481">
        <f t="shared" si="39"/>
        <v>38.25</v>
      </c>
      <c r="CA96" s="481">
        <f t="shared" si="40"/>
        <v>12.083333333255723</v>
      </c>
      <c r="CB96" s="481">
        <f t="shared" si="41"/>
        <v>41.000000000058208</v>
      </c>
      <c r="CC96" s="481">
        <f t="shared" si="47"/>
        <v>27.999999999941792</v>
      </c>
      <c r="CD96" s="482">
        <f t="shared" si="42"/>
        <v>7.0833333335467614</v>
      </c>
      <c r="CE96" s="482">
        <f t="shared" si="43"/>
        <v>14.583333333197515</v>
      </c>
      <c r="CF96" s="483">
        <f t="shared" si="44"/>
        <v>5.875</v>
      </c>
      <c r="CG96" s="483">
        <f t="shared" si="45"/>
        <v>11.5</v>
      </c>
      <c r="CH96" s="484">
        <f t="shared" si="46"/>
        <v>0.51086956521739135</v>
      </c>
    </row>
    <row r="97" spans="1:86" s="475" customFormat="1">
      <c r="A97" s="474">
        <f t="shared" si="48"/>
        <v>45256.576388888891</v>
      </c>
      <c r="B97" s="475" t="s">
        <v>228</v>
      </c>
      <c r="C97" s="475" t="s">
        <v>229</v>
      </c>
      <c r="D97" s="475" t="s">
        <v>197</v>
      </c>
      <c r="E97" s="399" t="s">
        <v>3164</v>
      </c>
      <c r="F97" s="399" t="s">
        <v>3474</v>
      </c>
      <c r="G97" s="472">
        <v>45259.458333333336</v>
      </c>
      <c r="H97" s="472">
        <v>45259.461805555555</v>
      </c>
      <c r="I97" s="399" t="s">
        <v>231</v>
      </c>
      <c r="J97" s="475" t="s">
        <v>192</v>
      </c>
      <c r="K97" s="475" t="s">
        <v>192</v>
      </c>
      <c r="L97" s="667" t="s">
        <v>3567</v>
      </c>
      <c r="M97" s="530"/>
      <c r="N97" s="475" t="s">
        <v>2388</v>
      </c>
      <c r="O97" s="475" t="s">
        <v>289</v>
      </c>
      <c r="P97" s="667" t="s">
        <v>240</v>
      </c>
      <c r="Q97" s="477">
        <f>3107*2.4</f>
        <v>7456.7999999999993</v>
      </c>
      <c r="R97" s="477">
        <f>7500+100</f>
        <v>7600</v>
      </c>
      <c r="S97" s="477">
        <v>7502.3090000000002</v>
      </c>
      <c r="T97" s="477"/>
      <c r="U97" s="581"/>
      <c r="V97" s="726"/>
      <c r="W97" s="581"/>
      <c r="X97" s="581"/>
      <c r="Y97" s="726">
        <f t="shared" si="53"/>
        <v>7502.3090000000002</v>
      </c>
      <c r="Z97" s="581"/>
      <c r="AA97" s="581"/>
      <c r="AB97" s="581"/>
      <c r="AC97" s="581"/>
      <c r="AD97" s="581"/>
      <c r="AE97" s="724"/>
      <c r="AF97" s="724"/>
      <c r="AG97" s="724"/>
      <c r="AH97" s="724"/>
      <c r="BD97" s="473">
        <f t="shared" si="36"/>
        <v>45249.291666666664</v>
      </c>
      <c r="BE97" s="473">
        <f t="shared" si="37"/>
        <v>45263.576388888891</v>
      </c>
      <c r="BF97" s="479">
        <f t="shared" si="38"/>
        <v>14.284722222226264</v>
      </c>
      <c r="BG97" s="473">
        <v>45249.291666666664</v>
      </c>
      <c r="BH97" s="473">
        <v>45251.84375</v>
      </c>
      <c r="BI97" s="473">
        <v>45253.5</v>
      </c>
      <c r="BJ97" s="473">
        <v>45256.576388888891</v>
      </c>
      <c r="BK97" s="473">
        <v>45256.729861111111</v>
      </c>
      <c r="BL97" s="473">
        <v>45256.736111111109</v>
      </c>
      <c r="BM97" s="473">
        <v>45256.75</v>
      </c>
      <c r="BN97" s="473">
        <f t="shared" si="49"/>
        <v>45258.458333333336</v>
      </c>
      <c r="BO97" s="480">
        <v>45258.25</v>
      </c>
      <c r="BP97" s="480">
        <v>45258.416666608799</v>
      </c>
      <c r="BQ97" s="480">
        <v>45258.378472222219</v>
      </c>
      <c r="BR97" s="473">
        <v>45259.458333333336</v>
      </c>
      <c r="BS97" s="473">
        <v>45262.888888888891</v>
      </c>
      <c r="BT97" s="473">
        <v>45263.201388888891</v>
      </c>
      <c r="BU97" s="473">
        <v>45263.222222222226</v>
      </c>
      <c r="BV97" s="473">
        <v>45263.291666666664</v>
      </c>
      <c r="BW97" s="473">
        <v>45263.576388888891</v>
      </c>
      <c r="BZ97" s="481">
        <f t="shared" si="39"/>
        <v>39.75</v>
      </c>
      <c r="CA97" s="481">
        <f t="shared" si="40"/>
        <v>3.6833333332906477</v>
      </c>
      <c r="CB97" s="481">
        <f t="shared" si="41"/>
        <v>41.000000000058208</v>
      </c>
      <c r="CC97" s="481">
        <f t="shared" si="47"/>
        <v>25.000001388892997</v>
      </c>
      <c r="CD97" s="482">
        <f t="shared" si="42"/>
        <v>7.5</v>
      </c>
      <c r="CE97" s="482">
        <f t="shared" si="43"/>
        <v>6.8333333334303461</v>
      </c>
      <c r="CF97" s="483">
        <f t="shared" si="44"/>
        <v>5.1569445023196749</v>
      </c>
      <c r="CG97" s="483">
        <f t="shared" si="45"/>
        <v>14.284722222226264</v>
      </c>
      <c r="CH97" s="484">
        <f t="shared" si="46"/>
        <v>0.36101118538348226</v>
      </c>
    </row>
    <row r="98" spans="1:86" s="475" customFormat="1">
      <c r="A98" s="474">
        <f t="shared" si="48"/>
        <v>45256.758333333331</v>
      </c>
      <c r="B98" s="475" t="s">
        <v>228</v>
      </c>
      <c r="C98" s="475" t="s">
        <v>229</v>
      </c>
      <c r="D98" s="475" t="s">
        <v>197</v>
      </c>
      <c r="E98" s="399" t="s">
        <v>3164</v>
      </c>
      <c r="F98" s="399" t="s">
        <v>3474</v>
      </c>
      <c r="G98" s="472">
        <v>45259.458333333336</v>
      </c>
      <c r="H98" s="472">
        <v>45259.461805555555</v>
      </c>
      <c r="I98" s="399" t="s">
        <v>231</v>
      </c>
      <c r="J98" s="475" t="s">
        <v>192</v>
      </c>
      <c r="K98" s="475" t="s">
        <v>192</v>
      </c>
      <c r="L98" s="667" t="s">
        <v>3568</v>
      </c>
      <c r="M98" s="529"/>
      <c r="N98" s="475" t="s">
        <v>1392</v>
      </c>
      <c r="O98" s="475" t="s">
        <v>365</v>
      </c>
      <c r="P98" s="667" t="s">
        <v>240</v>
      </c>
      <c r="Q98" s="477">
        <f>3142*2.4</f>
        <v>7540.7999999999993</v>
      </c>
      <c r="R98" s="477">
        <f>7550+100</f>
        <v>7650</v>
      </c>
      <c r="S98" s="477">
        <v>7357.7860000000001</v>
      </c>
      <c r="T98" s="667"/>
      <c r="U98" s="581"/>
      <c r="V98" s="726"/>
      <c r="W98" s="581"/>
      <c r="X98" s="581"/>
      <c r="Y98" s="726">
        <f t="shared" si="53"/>
        <v>7357.7860000000001</v>
      </c>
      <c r="Z98" s="581"/>
      <c r="AA98" s="401"/>
      <c r="AB98" s="581"/>
      <c r="AC98" s="581"/>
      <c r="AD98" s="581"/>
      <c r="AE98" s="401"/>
      <c r="AF98" s="575"/>
      <c r="AG98" s="575"/>
      <c r="BD98" s="473">
        <f t="shared" si="36"/>
        <v>45248.625</v>
      </c>
      <c r="BE98" s="473">
        <f t="shared" si="37"/>
        <v>45265.25</v>
      </c>
      <c r="BF98" s="479">
        <f t="shared" si="38"/>
        <v>16.625</v>
      </c>
      <c r="BG98" s="473">
        <v>45248.625</v>
      </c>
      <c r="BH98" s="473">
        <v>45252.375</v>
      </c>
      <c r="BI98" s="473">
        <v>45254.263888888891</v>
      </c>
      <c r="BJ98" s="473">
        <v>45256.758333333331</v>
      </c>
      <c r="BK98" s="473">
        <v>45256.930555555555</v>
      </c>
      <c r="BL98" s="473">
        <v>45256.940972222219</v>
      </c>
      <c r="BM98" s="473">
        <v>45256.947916666664</v>
      </c>
      <c r="BN98" s="473">
        <f t="shared" si="49"/>
        <v>45258.65625</v>
      </c>
      <c r="BO98" s="480">
        <v>45259.25</v>
      </c>
      <c r="BP98" s="480">
        <v>45259.416666608799</v>
      </c>
      <c r="BQ98" s="480">
        <v>45259.361111111109</v>
      </c>
      <c r="BR98" s="473">
        <v>45260.9375</v>
      </c>
      <c r="BS98" s="473">
        <v>45264.583333333336</v>
      </c>
      <c r="BT98" s="473">
        <v>45264.878472222219</v>
      </c>
      <c r="BU98" s="473">
        <v>45264.899305555555</v>
      </c>
      <c r="BV98" s="473">
        <v>45264.902777777781</v>
      </c>
      <c r="BW98" s="473">
        <v>45265.25</v>
      </c>
      <c r="BZ98" s="481">
        <f t="shared" si="39"/>
        <v>45.333333333372138</v>
      </c>
      <c r="CA98" s="481">
        <f t="shared" si="40"/>
        <v>4.1333333333604969</v>
      </c>
      <c r="CB98" s="481">
        <f t="shared" si="41"/>
        <v>41.000000000058208</v>
      </c>
      <c r="CC98" s="481">
        <f t="shared" si="47"/>
        <v>36.500001388834789</v>
      </c>
      <c r="CD98" s="482">
        <f t="shared" si="42"/>
        <v>7.0833333331975155</v>
      </c>
      <c r="CE98" s="482">
        <f t="shared" si="43"/>
        <v>8.3333333332557231</v>
      </c>
      <c r="CF98" s="483">
        <f t="shared" si="44"/>
        <v>5.9326389467532863</v>
      </c>
      <c r="CG98" s="483">
        <f t="shared" si="45"/>
        <v>16.625</v>
      </c>
      <c r="CH98" s="484">
        <f t="shared" si="46"/>
        <v>0.3568504629626037</v>
      </c>
    </row>
    <row r="99" spans="1:86" s="475" customFormat="1">
      <c r="A99" s="474">
        <f t="shared" si="48"/>
        <v>45255.878472222219</v>
      </c>
      <c r="B99" s="475" t="s">
        <v>228</v>
      </c>
      <c r="C99" s="475" t="s">
        <v>229</v>
      </c>
      <c r="D99" s="475" t="s">
        <v>215</v>
      </c>
      <c r="E99" s="399" t="s">
        <v>3164</v>
      </c>
      <c r="F99" s="399" t="s">
        <v>3474</v>
      </c>
      <c r="G99" s="472">
        <v>45259.458333333336</v>
      </c>
      <c r="H99" s="472">
        <v>45259.461805555555</v>
      </c>
      <c r="I99" s="399" t="s">
        <v>231</v>
      </c>
      <c r="J99" s="369" t="s">
        <v>192</v>
      </c>
      <c r="K99" s="369" t="s">
        <v>192</v>
      </c>
      <c r="L99" s="667" t="s">
        <v>3569</v>
      </c>
      <c r="M99" s="529"/>
      <c r="N99" s="475" t="s">
        <v>422</v>
      </c>
      <c r="O99" s="475" t="s">
        <v>3342</v>
      </c>
      <c r="P99" s="667" t="s">
        <v>934</v>
      </c>
      <c r="Q99" s="477">
        <f>3094*2.4</f>
        <v>7425.5999999999995</v>
      </c>
      <c r="R99" s="477">
        <f>7450+100</f>
        <v>7550</v>
      </c>
      <c r="S99" s="477">
        <f>7406.037-1867.033</f>
        <v>5539.0040000000008</v>
      </c>
      <c r="T99" s="399"/>
      <c r="U99" s="577"/>
      <c r="V99" s="577"/>
      <c r="W99" s="577"/>
      <c r="X99" s="726">
        <f>S99*0.6</f>
        <v>3323.4024000000004</v>
      </c>
      <c r="Y99" s="726">
        <f>S99*0.4</f>
        <v>2215.6016000000004</v>
      </c>
      <c r="Z99" s="577"/>
      <c r="AA99" s="577"/>
      <c r="AB99" s="577"/>
      <c r="AC99" s="577"/>
      <c r="AD99" s="581"/>
      <c r="BD99" s="473">
        <f t="shared" si="36"/>
        <v>45252.256944444445</v>
      </c>
      <c r="BE99" s="473">
        <f t="shared" si="37"/>
        <v>45265.236111111109</v>
      </c>
      <c r="BF99" s="479">
        <f t="shared" si="38"/>
        <v>12.979166666664241</v>
      </c>
      <c r="BG99" s="473">
        <v>45252.256944444445</v>
      </c>
      <c r="BH99" s="473">
        <v>45252.878472222219</v>
      </c>
      <c r="BI99" s="473">
        <v>45254.545138888891</v>
      </c>
      <c r="BJ99" s="473">
        <v>45255.878472222219</v>
      </c>
      <c r="BK99" s="473">
        <v>45256.052083333336</v>
      </c>
      <c r="BL99" s="473">
        <v>45256.055555555555</v>
      </c>
      <c r="BM99" s="473">
        <v>45256.267361111109</v>
      </c>
      <c r="BN99" s="473">
        <f t="shared" si="49"/>
        <v>45257.975694444445</v>
      </c>
      <c r="BO99" s="480">
        <v>45259.25</v>
      </c>
      <c r="BP99" s="480">
        <v>45259.416666608799</v>
      </c>
      <c r="BQ99" s="480">
        <v>45259.3125</v>
      </c>
      <c r="BR99" s="473">
        <v>45260.600694444445</v>
      </c>
      <c r="BS99" s="473">
        <v>45264.940972222219</v>
      </c>
      <c r="BT99" s="473">
        <v>45265.166666666664</v>
      </c>
      <c r="BU99" s="473">
        <v>45265.236111111109</v>
      </c>
      <c r="BV99" s="473">
        <v>45265.236111111109</v>
      </c>
      <c r="BW99" s="473">
        <v>45265.236111111109</v>
      </c>
      <c r="BZ99" s="481">
        <f t="shared" si="39"/>
        <v>40.000000000116415</v>
      </c>
      <c r="CA99" s="481">
        <f t="shared" si="40"/>
        <v>4.1666666668024845</v>
      </c>
      <c r="CB99" s="481">
        <f t="shared" si="41"/>
        <v>41.000000000058208</v>
      </c>
      <c r="CC99" s="481">
        <f t="shared" si="47"/>
        <v>28.416668055520859</v>
      </c>
      <c r="CD99" s="482">
        <f t="shared" si="42"/>
        <v>5.4166666666860692</v>
      </c>
      <c r="CE99" s="482">
        <f t="shared" si="43"/>
        <v>0</v>
      </c>
      <c r="CF99" s="483">
        <f t="shared" si="44"/>
        <v>4.9583333912160015</v>
      </c>
      <c r="CG99" s="483">
        <f t="shared" si="45"/>
        <v>12.979166666664241</v>
      </c>
      <c r="CH99" s="484">
        <f t="shared" si="46"/>
        <v>0.38202247636984354</v>
      </c>
    </row>
    <row r="100" spans="1:86" s="475" customFormat="1">
      <c r="A100" s="474">
        <f t="shared" si="48"/>
        <v>45255.878472222219</v>
      </c>
      <c r="B100" s="475" t="s">
        <v>228</v>
      </c>
      <c r="C100" s="475" t="s">
        <v>229</v>
      </c>
      <c r="D100" s="475" t="s">
        <v>215</v>
      </c>
      <c r="E100" s="399" t="s">
        <v>3168</v>
      </c>
      <c r="F100" s="399" t="s">
        <v>3378</v>
      </c>
      <c r="G100" s="472">
        <v>45259.041666666664</v>
      </c>
      <c r="H100" s="472">
        <v>45259.041666666664</v>
      </c>
      <c r="I100" s="399" t="s">
        <v>231</v>
      </c>
      <c r="J100" s="475" t="s">
        <v>192</v>
      </c>
      <c r="K100" s="475" t="s">
        <v>192</v>
      </c>
      <c r="L100" s="667" t="s">
        <v>3569</v>
      </c>
      <c r="M100" s="530"/>
      <c r="N100" s="475" t="s">
        <v>422</v>
      </c>
      <c r="O100" s="475" t="s">
        <v>3342</v>
      </c>
      <c r="P100" s="667" t="s">
        <v>934</v>
      </c>
      <c r="Q100" s="477">
        <f>3094*2.4</f>
        <v>7425.5999999999995</v>
      </c>
      <c r="R100" s="477">
        <f>7450+100</f>
        <v>7550</v>
      </c>
      <c r="S100" s="477">
        <v>1597.1469999999999</v>
      </c>
      <c r="T100" s="399"/>
      <c r="U100" s="577"/>
      <c r="V100" s="577"/>
      <c r="W100" s="577"/>
      <c r="X100" s="726">
        <f>S100*0.6</f>
        <v>958.28819999999996</v>
      </c>
      <c r="Y100" s="726">
        <f>S100*0.4</f>
        <v>638.85879999999997</v>
      </c>
      <c r="Z100" s="577"/>
      <c r="AA100" s="577"/>
      <c r="AB100" s="577"/>
      <c r="AC100" s="577"/>
      <c r="AD100" s="581"/>
      <c r="BD100" s="473">
        <f t="shared" ref="BD100:BD131" si="54">BG100</f>
        <v>45252.256944444445</v>
      </c>
      <c r="BE100" s="473">
        <f t="shared" ref="BE100:BE131" si="55">BW100</f>
        <v>45266.125</v>
      </c>
      <c r="BF100" s="479">
        <f t="shared" ref="BF100:BF131" si="56">BE100-BD100</f>
        <v>13.868055555554747</v>
      </c>
      <c r="BG100" s="473">
        <v>45252.256944444445</v>
      </c>
      <c r="BH100" s="473">
        <v>45252.878472222219</v>
      </c>
      <c r="BI100" s="473">
        <v>45254.545138888891</v>
      </c>
      <c r="BJ100" s="473">
        <v>45255.878472222219</v>
      </c>
      <c r="BK100" s="473">
        <v>45256.052083333336</v>
      </c>
      <c r="BL100" s="473">
        <v>45256.055555555555</v>
      </c>
      <c r="BM100" s="473">
        <v>45256.267361111109</v>
      </c>
      <c r="BN100" s="473">
        <f t="shared" si="49"/>
        <v>45257.975694444445</v>
      </c>
      <c r="BO100" s="480">
        <v>45259.25</v>
      </c>
      <c r="BP100" s="480">
        <v>45259.416666608799</v>
      </c>
      <c r="BQ100" s="473">
        <v>45259.3125</v>
      </c>
      <c r="BR100" s="473">
        <v>45265.236111111109</v>
      </c>
      <c r="BS100" s="473">
        <v>45265.631944444445</v>
      </c>
      <c r="BT100" s="473">
        <v>45265.708333333336</v>
      </c>
      <c r="BU100" s="473">
        <v>45265.743055555555</v>
      </c>
      <c r="BV100" s="473">
        <v>45265.743055555555</v>
      </c>
      <c r="BW100" s="473">
        <v>45266.125</v>
      </c>
      <c r="BZ100" s="481">
        <f t="shared" ref="BZ100:BZ131" si="57">(BI100-BH100)*24</f>
        <v>40.000000000116415</v>
      </c>
      <c r="CA100" s="481">
        <f t="shared" ref="CA100:CA131" si="58">(BK100-BJ100)*24</f>
        <v>4.1666666668024845</v>
      </c>
      <c r="CB100" s="481">
        <f t="shared" ref="CB100:CB131" si="59">(BN100-BM100)*24</f>
        <v>41.000000000058208</v>
      </c>
      <c r="CC100" s="481">
        <f t="shared" si="47"/>
        <v>139.66666805546265</v>
      </c>
      <c r="CD100" s="482">
        <f t="shared" ref="CD100:CD131" si="60">(BT100-BS100)*24</f>
        <v>1.8333333333721384</v>
      </c>
      <c r="CE100" s="482">
        <f t="shared" ref="CE100:CE131" si="61">(BW100-BV100)*24</f>
        <v>9.1666666666860692</v>
      </c>
      <c r="CF100" s="483">
        <f t="shared" ref="CF100:CF131" si="62">SUM(BZ100:CE100)/24</f>
        <v>9.8263889467707486</v>
      </c>
      <c r="CG100" s="483">
        <f t="shared" ref="CG100:CG131" si="63">BF100</f>
        <v>13.868055555554747</v>
      </c>
      <c r="CH100" s="484">
        <f t="shared" ref="CH100:CH131" si="64">CF100/CG100</f>
        <v>0.70856284844019546</v>
      </c>
    </row>
    <row r="101" spans="1:86" s="475" customFormat="1">
      <c r="A101" s="474">
        <f t="shared" si="48"/>
        <v>45255.201388888891</v>
      </c>
      <c r="B101" s="475" t="s">
        <v>228</v>
      </c>
      <c r="C101" s="475" t="s">
        <v>229</v>
      </c>
      <c r="D101" s="475" t="s">
        <v>197</v>
      </c>
      <c r="E101" s="399" t="s">
        <v>3377</v>
      </c>
      <c r="F101" s="399" t="s">
        <v>3378</v>
      </c>
      <c r="G101" s="473">
        <v>45264.004166666666</v>
      </c>
      <c r="H101" s="473">
        <v>45264.004166666666</v>
      </c>
      <c r="I101" s="399" t="s">
        <v>243</v>
      </c>
      <c r="J101" s="475" t="s">
        <v>192</v>
      </c>
      <c r="K101" s="475" t="s">
        <v>192</v>
      </c>
      <c r="L101" s="667" t="s">
        <v>3570</v>
      </c>
      <c r="M101" s="530"/>
      <c r="N101" s="475" t="s">
        <v>213</v>
      </c>
      <c r="O101" s="475" t="s">
        <v>214</v>
      </c>
      <c r="P101" s="667" t="s">
        <v>235</v>
      </c>
      <c r="Q101" s="477">
        <f>3113*2.4</f>
        <v>7471.2</v>
      </c>
      <c r="R101" s="477">
        <f>7500+100</f>
        <v>7600</v>
      </c>
      <c r="S101" s="477">
        <v>7524.9880000000003</v>
      </c>
      <c r="T101" s="667"/>
      <c r="U101" s="581"/>
      <c r="V101" s="581"/>
      <c r="W101" s="581"/>
      <c r="X101" s="726">
        <f>S101</f>
        <v>7524.9880000000003</v>
      </c>
      <c r="Y101" s="581"/>
      <c r="Z101" s="581"/>
      <c r="AA101" s="581"/>
      <c r="AB101" s="581"/>
      <c r="AC101" s="581"/>
      <c r="AD101" s="581"/>
      <c r="AE101" s="581"/>
      <c r="AF101" s="667"/>
      <c r="AG101" s="667"/>
      <c r="AH101" s="667"/>
      <c r="AI101" s="667"/>
      <c r="AJ101" s="667"/>
      <c r="AK101" s="667"/>
      <c r="AL101" s="667"/>
      <c r="AM101" s="667"/>
      <c r="AN101" s="667"/>
      <c r="AO101" s="667"/>
      <c r="AP101" s="667"/>
      <c r="AQ101" s="667"/>
      <c r="AR101" s="667"/>
      <c r="AS101" s="667"/>
      <c r="AT101" s="667"/>
      <c r="AU101" s="667"/>
      <c r="AV101" s="667"/>
      <c r="AW101" s="667"/>
      <c r="BD101" s="473">
        <f t="shared" si="54"/>
        <v>45250.625</v>
      </c>
      <c r="BE101" s="473">
        <f t="shared" si="55"/>
        <v>45262.71875</v>
      </c>
      <c r="BF101" s="479">
        <f t="shared" si="56"/>
        <v>12.09375</v>
      </c>
      <c r="BG101" s="473">
        <v>45250.625</v>
      </c>
      <c r="BH101" s="473">
        <v>45252.923611111109</v>
      </c>
      <c r="BI101" s="473">
        <v>45254.548611111109</v>
      </c>
      <c r="BJ101" s="473">
        <v>45255.201388888891</v>
      </c>
      <c r="BK101" s="473">
        <v>45255.392361111109</v>
      </c>
      <c r="BL101" s="473">
        <v>45255.395833333336</v>
      </c>
      <c r="BM101" s="473">
        <v>45255.395833333336</v>
      </c>
      <c r="BN101" s="473">
        <f t="shared" si="49"/>
        <v>45257.104166666672</v>
      </c>
      <c r="BO101" s="480">
        <v>45257.25</v>
      </c>
      <c r="BP101" s="480">
        <v>45257.416666608799</v>
      </c>
      <c r="BQ101" s="480" t="s">
        <v>3571</v>
      </c>
      <c r="BR101" s="473">
        <v>45259.40625</v>
      </c>
      <c r="BS101" s="473">
        <v>45262.475694444445</v>
      </c>
      <c r="BT101" s="473">
        <v>45262.71875</v>
      </c>
      <c r="BU101" s="473">
        <v>45262.71875</v>
      </c>
      <c r="BV101" s="473">
        <v>45262.71875</v>
      </c>
      <c r="BW101" s="473">
        <v>45262.71875</v>
      </c>
      <c r="BX101" s="475" t="s">
        <v>788</v>
      </c>
      <c r="BZ101" s="481">
        <f t="shared" si="57"/>
        <v>39</v>
      </c>
      <c r="CA101" s="481">
        <f t="shared" si="58"/>
        <v>4.5833333332557231</v>
      </c>
      <c r="CB101" s="481">
        <f t="shared" si="59"/>
        <v>41.000000000058208</v>
      </c>
      <c r="CC101" s="481">
        <f t="shared" si="47"/>
        <v>47.750001388834789</v>
      </c>
      <c r="CD101" s="482">
        <f t="shared" si="60"/>
        <v>5.8333333333139308</v>
      </c>
      <c r="CE101" s="482">
        <f t="shared" si="61"/>
        <v>0</v>
      </c>
      <c r="CF101" s="483">
        <f t="shared" si="62"/>
        <v>5.7569445023109438</v>
      </c>
      <c r="CG101" s="483">
        <f t="shared" si="63"/>
        <v>12.09375</v>
      </c>
      <c r="CH101" s="484">
        <f t="shared" si="64"/>
        <v>0.47602641879573693</v>
      </c>
    </row>
    <row r="102" spans="1:86" s="475" customFormat="1" ht="15" customHeight="1">
      <c r="A102" s="474">
        <f t="shared" si="48"/>
        <v>45256.96875</v>
      </c>
      <c r="B102" s="475" t="s">
        <v>228</v>
      </c>
      <c r="C102" s="475" t="s">
        <v>229</v>
      </c>
      <c r="D102" s="475" t="s">
        <v>215</v>
      </c>
      <c r="E102" s="667" t="s">
        <v>2746</v>
      </c>
      <c r="F102" s="667" t="s">
        <v>3378</v>
      </c>
      <c r="G102" s="473">
        <v>45263.458333333336</v>
      </c>
      <c r="H102" s="473">
        <v>45263.458333333336</v>
      </c>
      <c r="I102" s="399" t="s">
        <v>243</v>
      </c>
      <c r="J102" s="475" t="s">
        <v>192</v>
      </c>
      <c r="K102" s="475" t="s">
        <v>192</v>
      </c>
      <c r="L102" s="667" t="s">
        <v>3572</v>
      </c>
      <c r="M102" s="529"/>
      <c r="N102" s="475" t="s">
        <v>310</v>
      </c>
      <c r="O102" s="475" t="s">
        <v>219</v>
      </c>
      <c r="P102" s="667" t="s">
        <v>2381</v>
      </c>
      <c r="Q102" s="477">
        <f>3087*2.4</f>
        <v>7408.7999999999993</v>
      </c>
      <c r="R102" s="477">
        <f>7450+100</f>
        <v>7550</v>
      </c>
      <c r="S102" s="477">
        <v>7250.5969999999998</v>
      </c>
      <c r="T102" s="667"/>
      <c r="U102" s="577"/>
      <c r="V102" s="577"/>
      <c r="W102" s="577"/>
      <c r="X102" s="726">
        <f>S102*0.8</f>
        <v>5800.4776000000002</v>
      </c>
      <c r="Y102" s="726">
        <f>S102*0.2</f>
        <v>1450.1194</v>
      </c>
      <c r="Z102" s="577"/>
      <c r="AA102" s="577"/>
      <c r="AB102" s="577"/>
      <c r="AC102" s="577"/>
      <c r="AD102" s="581"/>
      <c r="AE102" s="581"/>
      <c r="BD102" s="473">
        <f t="shared" si="54"/>
        <v>45252.163194444445</v>
      </c>
      <c r="BE102" s="473">
        <f t="shared" si="55"/>
        <v>45265.222222222219</v>
      </c>
      <c r="BF102" s="479">
        <f t="shared" si="56"/>
        <v>13.059027777773736</v>
      </c>
      <c r="BG102" s="473">
        <v>45252.163194444445</v>
      </c>
      <c r="BH102" s="473">
        <v>45252.854166666664</v>
      </c>
      <c r="BI102" s="473">
        <v>45254.552083333336</v>
      </c>
      <c r="BJ102" s="473">
        <v>45256.96875</v>
      </c>
      <c r="BK102" s="473">
        <v>45257.107638888891</v>
      </c>
      <c r="BL102" s="473">
        <v>45257.114583333336</v>
      </c>
      <c r="BM102" s="473">
        <v>45257.270833333336</v>
      </c>
      <c r="BN102" s="473">
        <f t="shared" si="49"/>
        <v>45258.979166666672</v>
      </c>
      <c r="BO102" s="480">
        <v>45259.25</v>
      </c>
      <c r="BP102" s="480">
        <v>45259.416666608799</v>
      </c>
      <c r="BQ102" s="480">
        <v>45259.305555555555</v>
      </c>
      <c r="BR102" s="473">
        <v>45261.072916666664</v>
      </c>
      <c r="BS102" s="473">
        <v>45263.989583333336</v>
      </c>
      <c r="BT102" s="473">
        <v>45264.21875</v>
      </c>
      <c r="BU102" s="473">
        <v>45264.25</v>
      </c>
      <c r="BV102" s="473">
        <v>45264.836805555555</v>
      </c>
      <c r="BW102" s="473">
        <v>45265.222222222219</v>
      </c>
      <c r="BZ102" s="481">
        <f t="shared" si="57"/>
        <v>40.750000000116415</v>
      </c>
      <c r="CA102" s="481">
        <f t="shared" si="58"/>
        <v>3.3333333333721384</v>
      </c>
      <c r="CB102" s="481">
        <f t="shared" si="59"/>
        <v>41.000000000058208</v>
      </c>
      <c r="CC102" s="481">
        <f t="shared" si="47"/>
        <v>39.750001388776582</v>
      </c>
      <c r="CD102" s="482">
        <f t="shared" si="60"/>
        <v>5.4999999999417923</v>
      </c>
      <c r="CE102" s="482">
        <f t="shared" si="61"/>
        <v>9.2499999999417923</v>
      </c>
      <c r="CF102" s="483">
        <f t="shared" si="62"/>
        <v>5.8159722800919553</v>
      </c>
      <c r="CG102" s="483">
        <f t="shared" si="63"/>
        <v>13.059027777773736</v>
      </c>
      <c r="CH102" s="484">
        <f t="shared" si="64"/>
        <v>0.44536028095373614</v>
      </c>
    </row>
    <row r="103" spans="1:86" s="475" customFormat="1">
      <c r="A103" s="474">
        <f t="shared" si="48"/>
        <v>45257.131944444445</v>
      </c>
      <c r="B103" s="475" t="s">
        <v>228</v>
      </c>
      <c r="C103" s="475" t="s">
        <v>229</v>
      </c>
      <c r="D103" s="475" t="s">
        <v>197</v>
      </c>
      <c r="E103" s="667" t="s">
        <v>2746</v>
      </c>
      <c r="F103" s="667" t="s">
        <v>3378</v>
      </c>
      <c r="G103" s="473">
        <v>45263.458333333336</v>
      </c>
      <c r="H103" s="473">
        <v>45263.458333333336</v>
      </c>
      <c r="I103" s="399" t="s">
        <v>243</v>
      </c>
      <c r="J103" s="475" t="s">
        <v>192</v>
      </c>
      <c r="K103" s="475" t="s">
        <v>192</v>
      </c>
      <c r="L103" s="667" t="s">
        <v>3573</v>
      </c>
      <c r="M103" s="530"/>
      <c r="N103" s="475" t="s">
        <v>1767</v>
      </c>
      <c r="O103" s="475" t="s">
        <v>2352</v>
      </c>
      <c r="P103" s="667" t="s">
        <v>2381</v>
      </c>
      <c r="Q103" s="477">
        <f>3139*2.4</f>
        <v>7533.5999999999995</v>
      </c>
      <c r="R103" s="477">
        <f>7550+100</f>
        <v>7650</v>
      </c>
      <c r="S103" s="477">
        <v>7401.4690000000001</v>
      </c>
      <c r="T103" s="477"/>
      <c r="U103" s="577"/>
      <c r="V103" s="577"/>
      <c r="W103" s="577"/>
      <c r="X103" s="726">
        <f>S103*0.8</f>
        <v>5921.1752000000006</v>
      </c>
      <c r="Y103" s="726">
        <f>S103*0.2</f>
        <v>1480.2938000000001</v>
      </c>
      <c r="Z103" s="577"/>
      <c r="AA103" s="577"/>
      <c r="AB103" s="577"/>
      <c r="AC103" s="577"/>
      <c r="AD103" s="581"/>
      <c r="AE103" s="724"/>
      <c r="AF103" s="724"/>
      <c r="AG103" s="724"/>
      <c r="AH103" s="724"/>
      <c r="BD103" s="473">
        <f t="shared" si="54"/>
        <v>45251.6875</v>
      </c>
      <c r="BE103" s="473">
        <f t="shared" si="55"/>
        <v>45265.388888888891</v>
      </c>
      <c r="BF103" s="479">
        <f t="shared" si="56"/>
        <v>13.701388888890506</v>
      </c>
      <c r="BG103" s="473">
        <v>45251.6875</v>
      </c>
      <c r="BH103" s="473">
        <v>45252.815972222219</v>
      </c>
      <c r="BI103" s="473">
        <v>45254.868055555555</v>
      </c>
      <c r="BJ103" s="473">
        <v>45257.131944444445</v>
      </c>
      <c r="BK103" s="473">
        <v>45257.274305555555</v>
      </c>
      <c r="BL103" s="473">
        <v>45257.28125</v>
      </c>
      <c r="BM103" s="473">
        <v>45257.284722222219</v>
      </c>
      <c r="BN103" s="473">
        <f t="shared" si="49"/>
        <v>45258.993055555555</v>
      </c>
      <c r="BO103" s="480">
        <v>45259.25</v>
      </c>
      <c r="BP103" s="480">
        <v>45259.416666608799</v>
      </c>
      <c r="BQ103" s="480">
        <v>45259.395833333336</v>
      </c>
      <c r="BR103" s="473">
        <v>45261.368055555555</v>
      </c>
      <c r="BS103" s="473">
        <v>45264.326388888891</v>
      </c>
      <c r="BT103" s="473">
        <v>45264.638888888891</v>
      </c>
      <c r="BU103" s="473">
        <v>45264.652777777781</v>
      </c>
      <c r="BV103" s="473">
        <v>45264.833333333336</v>
      </c>
      <c r="BW103" s="473">
        <v>45265.388888888891</v>
      </c>
      <c r="BZ103" s="481">
        <f t="shared" si="57"/>
        <v>49.250000000058208</v>
      </c>
      <c r="CA103" s="481">
        <f t="shared" si="58"/>
        <v>3.4166666666278616</v>
      </c>
      <c r="CB103" s="481">
        <f t="shared" si="59"/>
        <v>41.000000000058208</v>
      </c>
      <c r="CC103" s="481">
        <f t="shared" ref="CC103:CC113" si="65">(BR103-BP103)*24</f>
        <v>46.83333472214872</v>
      </c>
      <c r="CD103" s="482">
        <f t="shared" si="60"/>
        <v>7.5</v>
      </c>
      <c r="CE103" s="482">
        <f t="shared" si="61"/>
        <v>13.333333333313931</v>
      </c>
      <c r="CF103" s="483">
        <f t="shared" si="62"/>
        <v>6.7222222800919553</v>
      </c>
      <c r="CG103" s="483">
        <f t="shared" si="63"/>
        <v>13.701388888890506</v>
      </c>
      <c r="CH103" s="484">
        <f t="shared" si="64"/>
        <v>0.49062342034116946</v>
      </c>
    </row>
    <row r="104" spans="1:86" s="475" customFormat="1">
      <c r="A104" s="474">
        <f t="shared" si="48"/>
        <v>45257.350694444445</v>
      </c>
      <c r="B104" s="475" t="s">
        <v>228</v>
      </c>
      <c r="C104" s="475" t="s">
        <v>229</v>
      </c>
      <c r="D104" s="475" t="s">
        <v>197</v>
      </c>
      <c r="E104" s="667" t="s">
        <v>2746</v>
      </c>
      <c r="F104" s="667" t="s">
        <v>3378</v>
      </c>
      <c r="G104" s="473">
        <v>45263.458333333336</v>
      </c>
      <c r="H104" s="473">
        <v>45263.458333333336</v>
      </c>
      <c r="I104" s="399" t="s">
        <v>243</v>
      </c>
      <c r="J104" s="475" t="s">
        <v>192</v>
      </c>
      <c r="K104" s="475" t="s">
        <v>192</v>
      </c>
      <c r="L104" s="667" t="s">
        <v>3574</v>
      </c>
      <c r="M104" s="530"/>
      <c r="N104" s="475" t="s">
        <v>2156</v>
      </c>
      <c r="O104" s="475" t="s">
        <v>3391</v>
      </c>
      <c r="P104" s="667" t="s">
        <v>2381</v>
      </c>
      <c r="Q104" s="477">
        <f>3034*2.4</f>
        <v>7281.5999999999995</v>
      </c>
      <c r="R104" s="477">
        <f>7300+100</f>
        <v>7400</v>
      </c>
      <c r="S104" s="477">
        <v>7310.6890000000003</v>
      </c>
      <c r="T104" s="667"/>
      <c r="U104" s="577"/>
      <c r="V104" s="577"/>
      <c r="W104" s="577"/>
      <c r="X104" s="726">
        <f>S104*0.8</f>
        <v>5848.5512000000008</v>
      </c>
      <c r="Y104" s="726">
        <f>S104*0.2</f>
        <v>1462.1378000000002</v>
      </c>
      <c r="Z104" s="577"/>
      <c r="AA104" s="577"/>
      <c r="AB104" s="577"/>
      <c r="AC104" s="577"/>
      <c r="AD104" s="581"/>
      <c r="AE104" s="667"/>
      <c r="BD104" s="473">
        <f t="shared" si="54"/>
        <v>45252.256944444445</v>
      </c>
      <c r="BE104" s="473">
        <f t="shared" si="55"/>
        <v>45265.46875</v>
      </c>
      <c r="BF104" s="479">
        <f t="shared" si="56"/>
        <v>13.211805555554747</v>
      </c>
      <c r="BG104" s="473">
        <v>45252.256944444445</v>
      </c>
      <c r="BH104" s="473">
        <v>45252.871527777781</v>
      </c>
      <c r="BI104" s="473">
        <v>45254.888888888891</v>
      </c>
      <c r="BJ104" s="473">
        <v>45257.350694444445</v>
      </c>
      <c r="BK104" s="473">
        <v>45257.538194444445</v>
      </c>
      <c r="BL104" s="473">
        <v>45257.545138888891</v>
      </c>
      <c r="BM104" s="473">
        <v>45257.548611111109</v>
      </c>
      <c r="BN104" s="473">
        <f t="shared" si="49"/>
        <v>45259.256944444445</v>
      </c>
      <c r="BO104" s="480">
        <v>45259.25</v>
      </c>
      <c r="BP104" s="480">
        <v>45259.416666608799</v>
      </c>
      <c r="BQ104" s="480">
        <v>45259.302083333336</v>
      </c>
      <c r="BR104" s="473">
        <v>45261.277777777781</v>
      </c>
      <c r="BS104" s="473">
        <v>45263.704861111109</v>
      </c>
      <c r="BT104" s="473">
        <v>45264.861111111109</v>
      </c>
      <c r="BU104" s="473">
        <v>45264.875</v>
      </c>
      <c r="BV104" s="473">
        <v>45264.878472222219</v>
      </c>
      <c r="BW104" s="473">
        <v>45265.46875</v>
      </c>
      <c r="BZ104" s="481">
        <f t="shared" si="57"/>
        <v>48.416666666627862</v>
      </c>
      <c r="CA104" s="481">
        <f t="shared" si="58"/>
        <v>4.5</v>
      </c>
      <c r="CB104" s="481">
        <f t="shared" si="59"/>
        <v>41.000000000058208</v>
      </c>
      <c r="CC104" s="481">
        <f t="shared" si="65"/>
        <v>44.666668055579066</v>
      </c>
      <c r="CD104" s="482">
        <f t="shared" si="60"/>
        <v>27.75</v>
      </c>
      <c r="CE104" s="482">
        <f t="shared" si="61"/>
        <v>14.166666666744277</v>
      </c>
      <c r="CF104" s="483">
        <f t="shared" si="62"/>
        <v>7.5208333912087255</v>
      </c>
      <c r="CG104" s="483">
        <f t="shared" si="63"/>
        <v>13.211805555554747</v>
      </c>
      <c r="CH104" s="484">
        <f t="shared" si="64"/>
        <v>0.56925098992595147</v>
      </c>
    </row>
    <row r="105" spans="1:86" s="475" customFormat="1">
      <c r="A105" s="474">
        <f t="shared" si="48"/>
        <v>45256.076388888891</v>
      </c>
      <c r="B105" s="475" t="s">
        <v>228</v>
      </c>
      <c r="C105" s="475" t="s">
        <v>229</v>
      </c>
      <c r="D105" s="475" t="s">
        <v>197</v>
      </c>
      <c r="E105" s="667" t="s">
        <v>2746</v>
      </c>
      <c r="F105" s="667" t="s">
        <v>3378</v>
      </c>
      <c r="G105" s="473">
        <v>45263.458333333336</v>
      </c>
      <c r="H105" s="473">
        <v>45263.458333333336</v>
      </c>
      <c r="I105" s="399" t="s">
        <v>243</v>
      </c>
      <c r="J105" s="475" t="s">
        <v>192</v>
      </c>
      <c r="K105" s="475" t="s">
        <v>192</v>
      </c>
      <c r="L105" s="667" t="s">
        <v>3575</v>
      </c>
      <c r="M105" s="529"/>
      <c r="N105" s="475" t="s">
        <v>1313</v>
      </c>
      <c r="O105" s="475" t="s">
        <v>2486</v>
      </c>
      <c r="P105" s="667" t="s">
        <v>235</v>
      </c>
      <c r="Q105" s="477">
        <f>3071*2.4</f>
        <v>7370.4</v>
      </c>
      <c r="R105" s="477">
        <f>7400+100</f>
        <v>7500</v>
      </c>
      <c r="S105" s="477">
        <v>7504.8059999999996</v>
      </c>
      <c r="T105" s="667"/>
      <c r="U105" s="577"/>
      <c r="V105" s="577"/>
      <c r="W105" s="577"/>
      <c r="X105" s="726">
        <f>S105</f>
        <v>7504.8059999999996</v>
      </c>
      <c r="Y105" s="577"/>
      <c r="Z105" s="577"/>
      <c r="AA105" s="577"/>
      <c r="AB105" s="577"/>
      <c r="AC105" s="577"/>
      <c r="AD105" s="581"/>
      <c r="AE105" s="581"/>
      <c r="AM105" s="581"/>
      <c r="BD105" s="473">
        <f t="shared" si="54"/>
        <v>45251.680555555555</v>
      </c>
      <c r="BE105" s="473">
        <f t="shared" si="55"/>
        <v>45264.541666666664</v>
      </c>
      <c r="BF105" s="479">
        <f t="shared" si="56"/>
        <v>12.861111111109494</v>
      </c>
      <c r="BG105" s="473">
        <v>45251.680555555555</v>
      </c>
      <c r="BH105" s="473">
        <v>45252.861111111109</v>
      </c>
      <c r="BI105" s="473">
        <v>45254.881944444445</v>
      </c>
      <c r="BJ105" s="473">
        <v>45256.076388888891</v>
      </c>
      <c r="BK105" s="473">
        <v>45256.229166666664</v>
      </c>
      <c r="BL105" s="473">
        <v>45256.236111111109</v>
      </c>
      <c r="BM105" s="473">
        <v>45256.236111111109</v>
      </c>
      <c r="BN105" s="473">
        <f t="shared" si="49"/>
        <v>45257.944444444445</v>
      </c>
      <c r="BO105" s="473">
        <v>45258.25</v>
      </c>
      <c r="BP105" s="473">
        <v>45258.416666608799</v>
      </c>
      <c r="BQ105" s="473">
        <v>45258.322916666664</v>
      </c>
      <c r="BR105" s="473">
        <v>45259.944444444445</v>
      </c>
      <c r="BS105" s="473">
        <v>45263.614583333336</v>
      </c>
      <c r="BT105" s="473">
        <v>45263.892361111109</v>
      </c>
      <c r="BU105" s="473">
        <v>45263.913194444445</v>
      </c>
      <c r="BV105" s="473">
        <v>45263.916666666664</v>
      </c>
      <c r="BW105" s="473">
        <v>45264.541666666664</v>
      </c>
      <c r="BZ105" s="481">
        <f t="shared" si="57"/>
        <v>48.500000000058208</v>
      </c>
      <c r="CA105" s="481">
        <f t="shared" si="58"/>
        <v>3.6666666665696539</v>
      </c>
      <c r="CB105" s="481">
        <f t="shared" si="59"/>
        <v>41.000000000058208</v>
      </c>
      <c r="CC105" s="481">
        <f t="shared" si="65"/>
        <v>36.666668055520859</v>
      </c>
      <c r="CD105" s="482">
        <f t="shared" si="60"/>
        <v>6.6666666665696539</v>
      </c>
      <c r="CE105" s="482">
        <f t="shared" si="61"/>
        <v>15</v>
      </c>
      <c r="CF105" s="483">
        <f t="shared" si="62"/>
        <v>6.3125000578656909</v>
      </c>
      <c r="CG105" s="483">
        <f t="shared" si="63"/>
        <v>12.861111111109494</v>
      </c>
      <c r="CH105" s="484">
        <f t="shared" si="64"/>
        <v>0.49082073884059058</v>
      </c>
    </row>
    <row r="106" spans="1:86" s="475" customFormat="1">
      <c r="A106" s="474">
        <f t="shared" si="48"/>
        <v>45257.572916666664</v>
      </c>
      <c r="B106" s="475" t="s">
        <v>228</v>
      </c>
      <c r="C106" s="475" t="s">
        <v>229</v>
      </c>
      <c r="D106" s="475" t="s">
        <v>197</v>
      </c>
      <c r="E106" s="667" t="s">
        <v>3168</v>
      </c>
      <c r="F106" s="667" t="s">
        <v>3378</v>
      </c>
      <c r="G106" s="472">
        <v>45259.041666666664</v>
      </c>
      <c r="H106" s="472">
        <v>45259.041666666664</v>
      </c>
      <c r="I106" s="667" t="s">
        <v>231</v>
      </c>
      <c r="J106" s="475" t="s">
        <v>192</v>
      </c>
      <c r="K106" s="475" t="s">
        <v>192</v>
      </c>
      <c r="L106" s="667" t="s">
        <v>3576</v>
      </c>
      <c r="M106" s="529"/>
      <c r="N106" s="475" t="s">
        <v>1874</v>
      </c>
      <c r="O106" s="475" t="s">
        <v>1875</v>
      </c>
      <c r="P106" s="667" t="s">
        <v>2381</v>
      </c>
      <c r="Q106" s="477">
        <f>2205*2.4</f>
        <v>5292</v>
      </c>
      <c r="R106" s="477">
        <f>5300+100</f>
        <v>5400</v>
      </c>
      <c r="S106" s="477">
        <v>5264.2969999999996</v>
      </c>
      <c r="T106" s="477"/>
      <c r="U106" s="577"/>
      <c r="V106" s="577"/>
      <c r="W106" s="577"/>
      <c r="X106" s="726">
        <f t="shared" ref="X106:X112" si="66">S106*0.8</f>
        <v>4211.4376000000002</v>
      </c>
      <c r="Y106" s="726">
        <f t="shared" ref="Y106:Y112" si="67">S106*0.2</f>
        <v>1052.8594000000001</v>
      </c>
      <c r="Z106" s="577"/>
      <c r="AA106" s="577"/>
      <c r="AB106" s="577"/>
      <c r="AC106" s="577"/>
      <c r="AD106" s="581"/>
      <c r="AE106" s="401"/>
      <c r="BD106" s="473">
        <f t="shared" si="54"/>
        <v>45251.75</v>
      </c>
      <c r="BE106" s="473">
        <f t="shared" si="55"/>
        <v>45264.784722222219</v>
      </c>
      <c r="BF106" s="479">
        <f t="shared" si="56"/>
        <v>13.034722222218988</v>
      </c>
      <c r="BG106" s="473">
        <v>45251.75</v>
      </c>
      <c r="BH106" s="473">
        <v>45252.854166666664</v>
      </c>
      <c r="BI106" s="473">
        <v>45255.069444444445</v>
      </c>
      <c r="BJ106" s="473">
        <v>45257.572916666664</v>
      </c>
      <c r="BK106" s="473">
        <v>45257.673611111109</v>
      </c>
      <c r="BL106" s="473">
        <v>45257.684027777781</v>
      </c>
      <c r="BM106" s="473">
        <v>45257.6875</v>
      </c>
      <c r="BN106" s="473">
        <f t="shared" si="49"/>
        <v>45259.395833333336</v>
      </c>
      <c r="BO106" s="480">
        <v>45260.229166608799</v>
      </c>
      <c r="BP106" s="480">
        <v>45260.395833333336</v>
      </c>
      <c r="BQ106" s="480">
        <v>45260.409722222219</v>
      </c>
      <c r="BR106" s="473">
        <v>45262.111111111109</v>
      </c>
      <c r="BS106" s="473">
        <v>45264.152777777781</v>
      </c>
      <c r="BT106" s="473">
        <v>45264.333333333336</v>
      </c>
      <c r="BU106" s="473">
        <v>45264.361111111109</v>
      </c>
      <c r="BV106" s="473">
        <v>45264.361111111109</v>
      </c>
      <c r="BW106" s="473">
        <v>45264.784722222219</v>
      </c>
      <c r="BZ106" s="481">
        <f t="shared" si="57"/>
        <v>53.166666666744277</v>
      </c>
      <c r="CA106" s="481">
        <f t="shared" si="58"/>
        <v>2.4166666666860692</v>
      </c>
      <c r="CB106" s="481">
        <f t="shared" si="59"/>
        <v>41.000000000058208</v>
      </c>
      <c r="CC106" s="481">
        <f t="shared" si="65"/>
        <v>41.166666666569654</v>
      </c>
      <c r="CD106" s="482">
        <f t="shared" si="60"/>
        <v>4.3333333333139308</v>
      </c>
      <c r="CE106" s="482">
        <f t="shared" si="61"/>
        <v>10.166666666627862</v>
      </c>
      <c r="CF106" s="483">
        <f t="shared" si="62"/>
        <v>6.34375</v>
      </c>
      <c r="CG106" s="483">
        <f t="shared" si="63"/>
        <v>13.034722222218988</v>
      </c>
      <c r="CH106" s="484">
        <f t="shared" si="64"/>
        <v>0.48668087373480373</v>
      </c>
    </row>
    <row r="107" spans="1:86" s="475" customFormat="1">
      <c r="A107" s="474">
        <f t="shared" si="48"/>
        <v>45257.704861111109</v>
      </c>
      <c r="B107" s="475" t="s">
        <v>228</v>
      </c>
      <c r="C107" s="475" t="s">
        <v>229</v>
      </c>
      <c r="D107" s="475" t="s">
        <v>215</v>
      </c>
      <c r="E107" s="476" t="s">
        <v>3168</v>
      </c>
      <c r="F107" s="667" t="s">
        <v>3378</v>
      </c>
      <c r="G107" s="472">
        <v>45259.041666666664</v>
      </c>
      <c r="H107" s="472">
        <v>45259.041666666664</v>
      </c>
      <c r="I107" s="667" t="s">
        <v>231</v>
      </c>
      <c r="J107" s="475" t="s">
        <v>192</v>
      </c>
      <c r="K107" s="475" t="s">
        <v>192</v>
      </c>
      <c r="L107" s="667" t="s">
        <v>3577</v>
      </c>
      <c r="M107" s="529"/>
      <c r="N107" s="475" t="s">
        <v>721</v>
      </c>
      <c r="O107" s="475" t="s">
        <v>1349</v>
      </c>
      <c r="P107" s="399" t="s">
        <v>2381</v>
      </c>
      <c r="Q107" s="477">
        <f>3136*2.4</f>
        <v>7526.4</v>
      </c>
      <c r="R107" s="477">
        <f>7550+100</f>
        <v>7650</v>
      </c>
      <c r="S107" s="477">
        <v>7541.8509999999997</v>
      </c>
      <c r="T107" s="667"/>
      <c r="U107" s="577"/>
      <c r="V107" s="577"/>
      <c r="W107" s="577"/>
      <c r="X107" s="726">
        <f t="shared" si="66"/>
        <v>6033.4808000000003</v>
      </c>
      <c r="Y107" s="726">
        <f t="shared" si="67"/>
        <v>1508.3702000000001</v>
      </c>
      <c r="Z107" s="577"/>
      <c r="AA107" s="577"/>
      <c r="AB107" s="581"/>
      <c r="AC107" s="581"/>
      <c r="AD107" s="581"/>
      <c r="BD107" s="473">
        <f t="shared" si="54"/>
        <v>45254.1875</v>
      </c>
      <c r="BE107" s="473">
        <f t="shared" si="55"/>
        <v>45264.458333333336</v>
      </c>
      <c r="BF107" s="479">
        <f t="shared" si="56"/>
        <v>10.270833333335759</v>
      </c>
      <c r="BG107" s="473">
        <v>45254.1875</v>
      </c>
      <c r="BH107" s="473">
        <v>45254.805555555555</v>
      </c>
      <c r="BI107" s="473">
        <v>45256.458333333336</v>
      </c>
      <c r="BJ107" s="473">
        <v>45257.704861111109</v>
      </c>
      <c r="BK107" s="473">
        <v>45257.90347222222</v>
      </c>
      <c r="BL107" s="473">
        <v>45257.90625</v>
      </c>
      <c r="BM107" s="473">
        <v>45257.909722222219</v>
      </c>
      <c r="BN107" s="473">
        <f t="shared" si="49"/>
        <v>45259.618055555555</v>
      </c>
      <c r="BO107" s="473">
        <v>45259.25</v>
      </c>
      <c r="BP107" s="473">
        <v>45259.416666608799</v>
      </c>
      <c r="BQ107" s="473">
        <v>45259.420138888891</v>
      </c>
      <c r="BR107" s="473">
        <v>45260.729166666664</v>
      </c>
      <c r="BS107" s="473">
        <v>45263.895833333336</v>
      </c>
      <c r="BT107" s="473">
        <v>45264.090277777781</v>
      </c>
      <c r="BU107" s="473">
        <v>45264.118055555555</v>
      </c>
      <c r="BV107" s="473">
        <v>45264.118055555555</v>
      </c>
      <c r="BW107" s="473">
        <v>45264.458333333336</v>
      </c>
      <c r="BZ107" s="481">
        <f t="shared" si="57"/>
        <v>39.666666666744277</v>
      </c>
      <c r="CA107" s="481">
        <f t="shared" si="58"/>
        <v>4.7666666666627862</v>
      </c>
      <c r="CB107" s="481">
        <f t="shared" si="59"/>
        <v>41.000000000058208</v>
      </c>
      <c r="CC107" s="481">
        <f t="shared" si="65"/>
        <v>31.500001388776582</v>
      </c>
      <c r="CD107" s="482">
        <f t="shared" si="60"/>
        <v>4.6666666666860692</v>
      </c>
      <c r="CE107" s="482">
        <f t="shared" si="61"/>
        <v>8.1666666667442769</v>
      </c>
      <c r="CF107" s="483">
        <f t="shared" si="62"/>
        <v>5.4069445023196749</v>
      </c>
      <c r="CG107" s="483">
        <f t="shared" si="63"/>
        <v>10.270833333335759</v>
      </c>
      <c r="CH107" s="484">
        <f t="shared" si="64"/>
        <v>0.52643678724398202</v>
      </c>
    </row>
    <row r="108" spans="1:86" s="475" customFormat="1">
      <c r="A108" s="474">
        <f t="shared" si="48"/>
        <v>45258.138888888891</v>
      </c>
      <c r="B108" s="475" t="s">
        <v>228</v>
      </c>
      <c r="C108" s="475" t="s">
        <v>229</v>
      </c>
      <c r="D108" s="475" t="s">
        <v>197</v>
      </c>
      <c r="E108" s="399" t="s">
        <v>3168</v>
      </c>
      <c r="F108" s="667" t="s">
        <v>3378</v>
      </c>
      <c r="G108" s="472">
        <v>45259.041666666664</v>
      </c>
      <c r="H108" s="472">
        <v>45259.041666666664</v>
      </c>
      <c r="I108" s="667" t="s">
        <v>231</v>
      </c>
      <c r="J108" s="475" t="s">
        <v>192</v>
      </c>
      <c r="K108" s="475" t="s">
        <v>192</v>
      </c>
      <c r="L108" s="667" t="s">
        <v>3578</v>
      </c>
      <c r="M108" s="530"/>
      <c r="N108" s="475" t="s">
        <v>473</v>
      </c>
      <c r="O108" s="475" t="s">
        <v>474</v>
      </c>
      <c r="P108" s="667" t="s">
        <v>2381</v>
      </c>
      <c r="Q108" s="477">
        <f>3136*2.4</f>
        <v>7526.4</v>
      </c>
      <c r="R108" s="477">
        <f>7550+100</f>
        <v>7650</v>
      </c>
      <c r="S108" s="477">
        <v>7401.174</v>
      </c>
      <c r="T108" s="399"/>
      <c r="U108" s="577"/>
      <c r="V108" s="577"/>
      <c r="W108" s="577"/>
      <c r="X108" s="726">
        <f t="shared" si="66"/>
        <v>5920.9392000000007</v>
      </c>
      <c r="Y108" s="726">
        <f t="shared" si="67"/>
        <v>1480.2348000000002</v>
      </c>
      <c r="Z108" s="577"/>
      <c r="AA108" s="577"/>
      <c r="AB108" s="581"/>
      <c r="AC108" s="581"/>
      <c r="AD108" s="581"/>
      <c r="AE108" s="724"/>
      <c r="AF108" s="724"/>
      <c r="AG108" s="724"/>
      <c r="AH108" s="724"/>
      <c r="BD108" s="473">
        <f t="shared" si="54"/>
        <v>45250.354166666664</v>
      </c>
      <c r="BE108" s="473">
        <f t="shared" si="55"/>
        <v>45265.375</v>
      </c>
      <c r="BF108" s="479">
        <f t="shared" si="56"/>
        <v>15.020833333335759</v>
      </c>
      <c r="BG108" s="473">
        <v>45250.354166666664</v>
      </c>
      <c r="BH108" s="473">
        <v>45254.840277777781</v>
      </c>
      <c r="BI108" s="473">
        <v>45256.666666666664</v>
      </c>
      <c r="BJ108" s="473">
        <v>45258.138888888891</v>
      </c>
      <c r="BK108" s="473">
        <v>45258.331250000003</v>
      </c>
      <c r="BL108" s="473">
        <v>45258.347222222219</v>
      </c>
      <c r="BM108" s="473">
        <v>45258.350694444445</v>
      </c>
      <c r="BN108" s="473">
        <f t="shared" si="49"/>
        <v>45260.059027777781</v>
      </c>
      <c r="BO108" s="480">
        <v>45260.229166608799</v>
      </c>
      <c r="BP108" s="480">
        <v>45260.395833333336</v>
      </c>
      <c r="BQ108" s="480">
        <v>45260.326388888891</v>
      </c>
      <c r="BR108" s="473">
        <v>45261.583333333336</v>
      </c>
      <c r="BS108" s="473">
        <v>45264.645833333336</v>
      </c>
      <c r="BT108" s="473">
        <v>45264.916666666664</v>
      </c>
      <c r="BU108" s="473">
        <v>45264.930555555555</v>
      </c>
      <c r="BV108" s="473">
        <v>45264.930555555555</v>
      </c>
      <c r="BW108" s="473">
        <v>45265.375</v>
      </c>
      <c r="BZ108" s="481">
        <f t="shared" si="57"/>
        <v>43.833333333197515</v>
      </c>
      <c r="CA108" s="481">
        <f t="shared" si="58"/>
        <v>4.6166666666977108</v>
      </c>
      <c r="CB108" s="481">
        <f t="shared" si="59"/>
        <v>41.000000000058208</v>
      </c>
      <c r="CC108" s="481">
        <f t="shared" si="65"/>
        <v>28.5</v>
      </c>
      <c r="CD108" s="482">
        <f t="shared" si="60"/>
        <v>6.4999999998835847</v>
      </c>
      <c r="CE108" s="482">
        <f t="shared" si="61"/>
        <v>10.666666666686069</v>
      </c>
      <c r="CF108" s="483">
        <f t="shared" si="62"/>
        <v>5.6298611111051287</v>
      </c>
      <c r="CG108" s="483">
        <f t="shared" si="63"/>
        <v>15.020833333335759</v>
      </c>
      <c r="CH108" s="484">
        <f t="shared" si="64"/>
        <v>0.37480351363800629</v>
      </c>
    </row>
    <row r="109" spans="1:86" s="475" customFormat="1">
      <c r="A109" s="474">
        <f t="shared" ref="A109:A140" si="68">BJ109</f>
        <v>45258.586805555555</v>
      </c>
      <c r="B109" s="475" t="s">
        <v>228</v>
      </c>
      <c r="C109" s="475" t="s">
        <v>229</v>
      </c>
      <c r="D109" s="475" t="s">
        <v>215</v>
      </c>
      <c r="E109" s="476" t="s">
        <v>3168</v>
      </c>
      <c r="F109" s="667" t="s">
        <v>3378</v>
      </c>
      <c r="G109" s="472">
        <v>45259.041666666664</v>
      </c>
      <c r="H109" s="472">
        <v>45259.041666666664</v>
      </c>
      <c r="I109" s="667" t="s">
        <v>231</v>
      </c>
      <c r="J109" s="475" t="s">
        <v>192</v>
      </c>
      <c r="K109" s="475" t="s">
        <v>192</v>
      </c>
      <c r="L109" s="667" t="s">
        <v>3579</v>
      </c>
      <c r="M109" s="529"/>
      <c r="N109" s="475" t="s">
        <v>274</v>
      </c>
      <c r="O109" s="475" t="s">
        <v>1093</v>
      </c>
      <c r="P109" s="399" t="s">
        <v>2381</v>
      </c>
      <c r="Q109" s="477">
        <f>3136*2.4</f>
        <v>7526.4</v>
      </c>
      <c r="R109" s="477">
        <f>7550+100</f>
        <v>7650</v>
      </c>
      <c r="S109" s="477">
        <v>7506.6490000000003</v>
      </c>
      <c r="T109" s="399"/>
      <c r="U109" s="401"/>
      <c r="V109" s="401"/>
      <c r="W109" s="401"/>
      <c r="X109" s="726">
        <f t="shared" si="66"/>
        <v>6005.3192000000008</v>
      </c>
      <c r="Y109" s="726">
        <f t="shared" si="67"/>
        <v>1501.3298000000002</v>
      </c>
      <c r="Z109" s="577"/>
      <c r="AA109" s="577"/>
      <c r="AB109" s="401"/>
      <c r="AC109" s="401"/>
      <c r="AD109" s="401"/>
      <c r="AE109" s="577"/>
      <c r="AF109" s="577"/>
      <c r="AG109" s="577"/>
      <c r="AH109" s="577"/>
      <c r="AI109" s="577"/>
      <c r="BD109" s="473">
        <f t="shared" si="54"/>
        <v>45254.569444444445</v>
      </c>
      <c r="BE109" s="473">
        <f t="shared" si="55"/>
        <v>45264.951388888891</v>
      </c>
      <c r="BF109" s="479">
        <f t="shared" si="56"/>
        <v>10.381944444445253</v>
      </c>
      <c r="BG109" s="473">
        <v>45254.569444444445</v>
      </c>
      <c r="BH109" s="473">
        <v>45255.319444444445</v>
      </c>
      <c r="BI109" s="473">
        <v>45257.006944444445</v>
      </c>
      <c r="BJ109" s="473">
        <v>45258.586805555555</v>
      </c>
      <c r="BK109" s="473">
        <v>45258.725694444445</v>
      </c>
      <c r="BL109" s="473">
        <v>45258.729166666664</v>
      </c>
      <c r="BM109" s="473">
        <v>45258.729166666664</v>
      </c>
      <c r="BN109" s="473">
        <f t="shared" ref="BN109:BN113" si="69">BM109+(41/24)</f>
        <v>45260.4375</v>
      </c>
      <c r="BO109" s="480">
        <v>45260.229166608799</v>
      </c>
      <c r="BP109" s="480">
        <v>45260.395833333336</v>
      </c>
      <c r="BQ109" s="480">
        <v>45260.34375</v>
      </c>
      <c r="BR109" s="473">
        <v>45261.677083333336</v>
      </c>
      <c r="BS109" s="473">
        <v>45264.388888888891</v>
      </c>
      <c r="BT109" s="473">
        <v>45264.569444444445</v>
      </c>
      <c r="BU109" s="473">
        <v>45264.604166666664</v>
      </c>
      <c r="BV109" s="473">
        <v>45264.604166666664</v>
      </c>
      <c r="BW109" s="473">
        <v>45264.951388888891</v>
      </c>
      <c r="BZ109" s="481">
        <f t="shared" si="57"/>
        <v>40.5</v>
      </c>
      <c r="CA109" s="481">
        <f t="shared" si="58"/>
        <v>3.3333333333721384</v>
      </c>
      <c r="CB109" s="481">
        <f t="shared" si="59"/>
        <v>41.000000000058208</v>
      </c>
      <c r="CC109" s="481">
        <f t="shared" si="65"/>
        <v>30.75</v>
      </c>
      <c r="CD109" s="482">
        <f t="shared" si="60"/>
        <v>4.3333333333139308</v>
      </c>
      <c r="CE109" s="482">
        <f t="shared" si="61"/>
        <v>8.3333333334303461</v>
      </c>
      <c r="CF109" s="483">
        <f t="shared" si="62"/>
        <v>5.343750000007276</v>
      </c>
      <c r="CG109" s="483">
        <f t="shared" si="63"/>
        <v>10.381944444445253</v>
      </c>
      <c r="CH109" s="484">
        <f t="shared" si="64"/>
        <v>0.51471571906420588</v>
      </c>
    </row>
    <row r="110" spans="1:86" s="475" customFormat="1">
      <c r="A110" s="474">
        <f t="shared" si="68"/>
        <v>45258.75</v>
      </c>
      <c r="B110" s="475" t="s">
        <v>228</v>
      </c>
      <c r="C110" s="475" t="s">
        <v>229</v>
      </c>
      <c r="D110" s="475" t="s">
        <v>197</v>
      </c>
      <c r="E110" s="476" t="s">
        <v>3168</v>
      </c>
      <c r="F110" s="667" t="s">
        <v>3378</v>
      </c>
      <c r="G110" s="472">
        <v>45259.041666666664</v>
      </c>
      <c r="H110" s="472">
        <v>45259.041666666664</v>
      </c>
      <c r="I110" s="667" t="s">
        <v>231</v>
      </c>
      <c r="J110" s="475" t="s">
        <v>192</v>
      </c>
      <c r="K110" s="475" t="s">
        <v>192</v>
      </c>
      <c r="L110" s="667" t="s">
        <v>3580</v>
      </c>
      <c r="M110" s="530"/>
      <c r="N110" s="475" t="s">
        <v>355</v>
      </c>
      <c r="O110" s="475" t="s">
        <v>356</v>
      </c>
      <c r="P110" s="399" t="s">
        <v>2381</v>
      </c>
      <c r="Q110" s="477">
        <f>3107*2.4</f>
        <v>7456.7999999999993</v>
      </c>
      <c r="R110" s="477">
        <f>7500+100</f>
        <v>7600</v>
      </c>
      <c r="S110" s="477">
        <v>7536.0010000000002</v>
      </c>
      <c r="T110" s="399"/>
      <c r="U110" s="401"/>
      <c r="V110" s="401"/>
      <c r="W110" s="401"/>
      <c r="X110" s="726">
        <f t="shared" si="66"/>
        <v>6028.8008000000009</v>
      </c>
      <c r="Y110" s="726">
        <f t="shared" si="67"/>
        <v>1507.2002000000002</v>
      </c>
      <c r="Z110" s="577"/>
      <c r="AA110" s="577"/>
      <c r="AB110" s="401"/>
      <c r="AC110" s="401"/>
      <c r="AD110" s="401"/>
      <c r="BD110" s="473">
        <f t="shared" si="54"/>
        <v>45254.361111111109</v>
      </c>
      <c r="BE110" s="473">
        <f t="shared" si="55"/>
        <v>45265.534722222219</v>
      </c>
      <c r="BF110" s="479">
        <f t="shared" si="56"/>
        <v>11.173611111109494</v>
      </c>
      <c r="BG110" s="473">
        <v>45254.361111111109</v>
      </c>
      <c r="BH110" s="473">
        <v>45255.361111111109</v>
      </c>
      <c r="BI110" s="473">
        <v>45257.013888888891</v>
      </c>
      <c r="BJ110" s="473">
        <v>45258.75</v>
      </c>
      <c r="BK110" s="473">
        <v>45258.934027777781</v>
      </c>
      <c r="BL110" s="473">
        <v>45258.940972222219</v>
      </c>
      <c r="BM110" s="473">
        <v>45258.951388888891</v>
      </c>
      <c r="BN110" s="473">
        <f t="shared" si="69"/>
        <v>45260.659722222226</v>
      </c>
      <c r="BO110" s="480">
        <v>45260.229166608799</v>
      </c>
      <c r="BP110" s="480">
        <v>45260.395833333336</v>
      </c>
      <c r="BQ110" s="480">
        <v>45260.430555555555</v>
      </c>
      <c r="BR110" s="473">
        <v>45262.177083333336</v>
      </c>
      <c r="BS110" s="473">
        <v>45264.96875</v>
      </c>
      <c r="BT110" s="473">
        <v>45265.260416666664</v>
      </c>
      <c r="BU110" s="473">
        <v>45265.288194444445</v>
      </c>
      <c r="BV110" s="473">
        <v>45265.298611111109</v>
      </c>
      <c r="BW110" s="473">
        <v>45265.534722222219</v>
      </c>
      <c r="BZ110" s="481">
        <f t="shared" si="57"/>
        <v>39.666666666744277</v>
      </c>
      <c r="CA110" s="481">
        <f t="shared" si="58"/>
        <v>4.4166666667442769</v>
      </c>
      <c r="CB110" s="481">
        <f t="shared" si="59"/>
        <v>41.000000000058208</v>
      </c>
      <c r="CC110" s="481">
        <f t="shared" si="65"/>
        <v>42.75</v>
      </c>
      <c r="CD110" s="482">
        <f t="shared" si="60"/>
        <v>6.9999999999417923</v>
      </c>
      <c r="CE110" s="482">
        <f t="shared" si="61"/>
        <v>5.6666666666278616</v>
      </c>
      <c r="CF110" s="483">
        <f t="shared" si="62"/>
        <v>5.8541666666715173</v>
      </c>
      <c r="CG110" s="483">
        <f t="shared" si="63"/>
        <v>11.173611111109494</v>
      </c>
      <c r="CH110" s="484">
        <f t="shared" si="64"/>
        <v>0.52392790553189583</v>
      </c>
    </row>
    <row r="111" spans="1:86" s="475" customFormat="1">
      <c r="A111" s="474">
        <f t="shared" si="68"/>
        <v>45258.961805555555</v>
      </c>
      <c r="B111" s="475" t="s">
        <v>228</v>
      </c>
      <c r="C111" s="475" t="s">
        <v>229</v>
      </c>
      <c r="D111" s="475" t="s">
        <v>215</v>
      </c>
      <c r="E111" s="476" t="s">
        <v>3168</v>
      </c>
      <c r="F111" s="667" t="s">
        <v>3378</v>
      </c>
      <c r="G111" s="472">
        <v>45259.041666666664</v>
      </c>
      <c r="H111" s="472">
        <v>45259.041666666664</v>
      </c>
      <c r="I111" s="667" t="s">
        <v>231</v>
      </c>
      <c r="J111" s="475" t="s">
        <v>192</v>
      </c>
      <c r="K111" s="475" t="s">
        <v>192</v>
      </c>
      <c r="L111" s="667" t="s">
        <v>3581</v>
      </c>
      <c r="M111" s="530"/>
      <c r="N111" s="475" t="s">
        <v>390</v>
      </c>
      <c r="O111" s="475" t="s">
        <v>3346</v>
      </c>
      <c r="P111" s="399" t="s">
        <v>2381</v>
      </c>
      <c r="Q111" s="477">
        <f>3094*2.4</f>
        <v>7425.5999999999995</v>
      </c>
      <c r="R111" s="477">
        <f>7450+100</f>
        <v>7550</v>
      </c>
      <c r="S111" s="477">
        <v>7408.7560000000003</v>
      </c>
      <c r="T111" s="399"/>
      <c r="U111" s="401"/>
      <c r="V111" s="401"/>
      <c r="W111" s="401"/>
      <c r="X111" s="726">
        <f t="shared" si="66"/>
        <v>5927.0048000000006</v>
      </c>
      <c r="Y111" s="726">
        <f t="shared" si="67"/>
        <v>1481.7512000000002</v>
      </c>
      <c r="Z111" s="577"/>
      <c r="AA111" s="577"/>
      <c r="AB111" s="401"/>
      <c r="AC111" s="401"/>
      <c r="AD111" s="401"/>
      <c r="AE111" s="399"/>
      <c r="AF111" s="399"/>
      <c r="AG111" s="399"/>
      <c r="AH111" s="399"/>
      <c r="AI111" s="399"/>
      <c r="AJ111" s="399"/>
      <c r="AK111" s="399"/>
      <c r="AL111" s="399"/>
      <c r="AM111" s="399"/>
      <c r="AN111" s="399"/>
      <c r="AO111" s="399"/>
      <c r="AP111" s="399"/>
      <c r="AQ111" s="399"/>
      <c r="AR111" s="399"/>
      <c r="AS111" s="399"/>
      <c r="AT111" s="399"/>
      <c r="AU111" s="399"/>
      <c r="AV111" s="399"/>
      <c r="AW111" s="399"/>
      <c r="AX111" s="399"/>
      <c r="AY111" s="399"/>
      <c r="AZ111" s="399"/>
      <c r="BA111" s="399"/>
      <c r="BB111" s="399"/>
      <c r="BC111" s="399"/>
      <c r="BD111" s="473">
        <f t="shared" si="54"/>
        <v>45254.729166666664</v>
      </c>
      <c r="BE111" s="473">
        <f t="shared" si="55"/>
        <v>45265.930555555555</v>
      </c>
      <c r="BF111" s="479">
        <f t="shared" si="56"/>
        <v>11.201388888890506</v>
      </c>
      <c r="BG111" s="473">
        <v>45254.729166666664</v>
      </c>
      <c r="BH111" s="473">
        <v>45255.371527777781</v>
      </c>
      <c r="BI111" s="473">
        <v>45257.1875</v>
      </c>
      <c r="BJ111" s="473">
        <v>45258.961805555555</v>
      </c>
      <c r="BK111" s="473">
        <v>45259.09375</v>
      </c>
      <c r="BL111" s="473">
        <v>45259.100694444445</v>
      </c>
      <c r="BM111" s="473">
        <v>45259.25</v>
      </c>
      <c r="BN111" s="473">
        <f t="shared" si="69"/>
        <v>45260.958333333336</v>
      </c>
      <c r="BO111" s="480">
        <v>45261.229166608799</v>
      </c>
      <c r="BP111" s="480">
        <v>45261.395833333336</v>
      </c>
      <c r="BQ111" s="480">
        <v>45261.277777777781</v>
      </c>
      <c r="BR111" s="473">
        <v>45262.458333333336</v>
      </c>
      <c r="BS111" s="473">
        <v>45265.322916666664</v>
      </c>
      <c r="BT111" s="473">
        <v>45265.5625</v>
      </c>
      <c r="BU111" s="473">
        <v>45265.583333333336</v>
      </c>
      <c r="BV111" s="473">
        <v>45265.590277777781</v>
      </c>
      <c r="BW111" s="473">
        <v>45265.930555555555</v>
      </c>
      <c r="BZ111" s="481">
        <f t="shared" si="57"/>
        <v>43.583333333255723</v>
      </c>
      <c r="CA111" s="481">
        <f t="shared" si="58"/>
        <v>3.1666666666860692</v>
      </c>
      <c r="CB111" s="481">
        <f t="shared" si="59"/>
        <v>41.000000000058208</v>
      </c>
      <c r="CC111" s="481">
        <f t="shared" si="65"/>
        <v>25.5</v>
      </c>
      <c r="CD111" s="482">
        <f t="shared" si="60"/>
        <v>5.7500000000582077</v>
      </c>
      <c r="CE111" s="482">
        <f t="shared" si="61"/>
        <v>8.1666666665696539</v>
      </c>
      <c r="CF111" s="483">
        <f t="shared" si="62"/>
        <v>5.2986111111094942</v>
      </c>
      <c r="CG111" s="483">
        <f t="shared" si="63"/>
        <v>11.201388888890506</v>
      </c>
      <c r="CH111" s="484">
        <f t="shared" si="64"/>
        <v>0.47303161810270122</v>
      </c>
    </row>
    <row r="112" spans="1:86" s="475" customFormat="1">
      <c r="A112" s="474">
        <f t="shared" si="68"/>
        <v>45259.128472222219</v>
      </c>
      <c r="B112" s="475" t="s">
        <v>228</v>
      </c>
      <c r="C112" s="475" t="s">
        <v>229</v>
      </c>
      <c r="D112" s="475" t="s">
        <v>197</v>
      </c>
      <c r="E112" s="476" t="s">
        <v>3168</v>
      </c>
      <c r="F112" s="667" t="s">
        <v>3378</v>
      </c>
      <c r="G112" s="472">
        <v>45259.041666666664</v>
      </c>
      <c r="H112" s="472">
        <v>45259.041666666664</v>
      </c>
      <c r="I112" s="667" t="s">
        <v>231</v>
      </c>
      <c r="J112" s="475" t="s">
        <v>192</v>
      </c>
      <c r="K112" s="475" t="s">
        <v>192</v>
      </c>
      <c r="L112" s="667" t="s">
        <v>3582</v>
      </c>
      <c r="M112" s="529"/>
      <c r="N112" s="475" t="s">
        <v>429</v>
      </c>
      <c r="O112" s="475" t="s">
        <v>430</v>
      </c>
      <c r="P112" s="399" t="s">
        <v>2381</v>
      </c>
      <c r="Q112" s="477">
        <f>3145 *2.4</f>
        <v>7548</v>
      </c>
      <c r="R112" s="477">
        <f>7550+100</f>
        <v>7650</v>
      </c>
      <c r="S112" s="477">
        <f>7609.509-163.614</f>
        <v>7445.8950000000004</v>
      </c>
      <c r="T112" s="399"/>
      <c r="U112" s="401"/>
      <c r="V112" s="401"/>
      <c r="W112" s="401"/>
      <c r="X112" s="726">
        <f t="shared" si="66"/>
        <v>5956.7160000000003</v>
      </c>
      <c r="Y112" s="726">
        <f t="shared" si="67"/>
        <v>1489.1790000000001</v>
      </c>
      <c r="Z112" s="581"/>
      <c r="AA112" s="401"/>
      <c r="AB112" s="401"/>
      <c r="AC112" s="401"/>
      <c r="AD112" s="401"/>
      <c r="AE112" s="401"/>
      <c r="AF112" s="401"/>
      <c r="AG112" s="401"/>
      <c r="AH112" s="401"/>
      <c r="AI112" s="401"/>
      <c r="AJ112" s="401"/>
      <c r="AK112" s="401"/>
      <c r="BD112" s="473">
        <f t="shared" si="54"/>
        <v>45254.833333333336</v>
      </c>
      <c r="BE112" s="473">
        <f t="shared" si="55"/>
        <v>45266.659722222219</v>
      </c>
      <c r="BF112" s="479">
        <f t="shared" si="56"/>
        <v>11.82638888888323</v>
      </c>
      <c r="BG112" s="473">
        <v>45254.833333333336</v>
      </c>
      <c r="BH112" s="473">
        <v>45256.368055555555</v>
      </c>
      <c r="BI112" s="473">
        <v>45258.125</v>
      </c>
      <c r="BJ112" s="473">
        <v>45259.128472222219</v>
      </c>
      <c r="BK112" s="473">
        <v>45259.265972222223</v>
      </c>
      <c r="BL112" s="473">
        <v>45259.270833333336</v>
      </c>
      <c r="BM112" s="473">
        <v>45259.28125</v>
      </c>
      <c r="BN112" s="473">
        <f t="shared" si="69"/>
        <v>45260.989583333336</v>
      </c>
      <c r="BO112" s="480">
        <v>45261.229166608799</v>
      </c>
      <c r="BP112" s="480">
        <v>45261.395833333336</v>
      </c>
      <c r="BQ112" s="480">
        <v>45261.309027777781</v>
      </c>
      <c r="BR112" s="473">
        <v>45262.472222222219</v>
      </c>
      <c r="BS112" s="473">
        <v>45265.784722222219</v>
      </c>
      <c r="BT112" s="473">
        <v>45266.128472222219</v>
      </c>
      <c r="BU112" s="473">
        <v>45266.15625</v>
      </c>
      <c r="BV112" s="473">
        <v>45266.15625</v>
      </c>
      <c r="BW112" s="473">
        <v>45266.659722222219</v>
      </c>
      <c r="BZ112" s="481">
        <f t="shared" si="57"/>
        <v>42.166666666686069</v>
      </c>
      <c r="CA112" s="481">
        <f t="shared" si="58"/>
        <v>3.3000000001047738</v>
      </c>
      <c r="CB112" s="481">
        <f t="shared" si="59"/>
        <v>41.000000000058208</v>
      </c>
      <c r="CC112" s="481">
        <f t="shared" si="65"/>
        <v>25.833333333197515</v>
      </c>
      <c r="CD112" s="482">
        <f t="shared" si="60"/>
        <v>8.25</v>
      </c>
      <c r="CE112" s="482">
        <f t="shared" si="61"/>
        <v>12.083333333255723</v>
      </c>
      <c r="CF112" s="483">
        <f t="shared" si="62"/>
        <v>5.5263888888875954</v>
      </c>
      <c r="CG112" s="483">
        <f t="shared" si="63"/>
        <v>11.82638888888323</v>
      </c>
      <c r="CH112" s="484">
        <f t="shared" si="64"/>
        <v>0.4672930123312945</v>
      </c>
    </row>
    <row r="113" spans="1:88" s="475" customFormat="1">
      <c r="A113" s="474">
        <f t="shared" si="68"/>
        <v>45261</v>
      </c>
      <c r="B113" s="475" t="s">
        <v>228</v>
      </c>
      <c r="C113" s="475" t="s">
        <v>229</v>
      </c>
      <c r="D113" s="475" t="s">
        <v>197</v>
      </c>
      <c r="E113" s="399" t="s">
        <v>3179</v>
      </c>
      <c r="F113" s="399" t="s">
        <v>3378</v>
      </c>
      <c r="G113" s="473">
        <v>45269.791666666664</v>
      </c>
      <c r="H113" s="473">
        <v>45269.805555555555</v>
      </c>
      <c r="I113" s="667" t="s">
        <v>231</v>
      </c>
      <c r="J113" s="475" t="s">
        <v>192</v>
      </c>
      <c r="K113" s="475" t="s">
        <v>192</v>
      </c>
      <c r="L113" s="667" t="s">
        <v>3583</v>
      </c>
      <c r="M113" s="529"/>
      <c r="N113" s="475" t="s">
        <v>1240</v>
      </c>
      <c r="O113" s="475" t="s">
        <v>1241</v>
      </c>
      <c r="P113" s="399" t="s">
        <v>235</v>
      </c>
      <c r="Q113" s="477">
        <f>3243*2.4</f>
        <v>7783.2</v>
      </c>
      <c r="R113" s="477">
        <f>7800+100</f>
        <v>7900</v>
      </c>
      <c r="S113" s="477">
        <v>7836.9889999999996</v>
      </c>
      <c r="T113" s="667"/>
      <c r="U113" s="581"/>
      <c r="V113" s="581"/>
      <c r="W113" s="581"/>
      <c r="X113" s="726">
        <f>S113</f>
        <v>7836.9889999999996</v>
      </c>
      <c r="Y113" s="581"/>
      <c r="Z113" s="581"/>
      <c r="AA113" s="581"/>
      <c r="AB113" s="581"/>
      <c r="AC113" s="581"/>
      <c r="AD113" s="581"/>
      <c r="AE113" s="401"/>
      <c r="AF113" s="401"/>
      <c r="AG113" s="401"/>
      <c r="AH113" s="401"/>
      <c r="AI113" s="401"/>
      <c r="AJ113" s="401"/>
      <c r="AK113" s="401"/>
      <c r="AL113" s="401"/>
      <c r="AM113" s="401"/>
      <c r="AN113" s="401"/>
      <c r="AO113" s="401"/>
      <c r="AP113" s="401"/>
      <c r="AQ113" s="401"/>
      <c r="AR113" s="401"/>
      <c r="AS113" s="401"/>
      <c r="AT113" s="401"/>
      <c r="AU113" s="401"/>
      <c r="BD113" s="473">
        <f t="shared" si="54"/>
        <v>45258.159722222219</v>
      </c>
      <c r="BE113" s="473">
        <f t="shared" si="55"/>
        <v>45272.777777777781</v>
      </c>
      <c r="BF113" s="479">
        <f t="shared" si="56"/>
        <v>14.618055555562023</v>
      </c>
      <c r="BG113" s="473">
        <v>45258.159722222219</v>
      </c>
      <c r="BH113" s="473">
        <v>45258.761111111111</v>
      </c>
      <c r="BI113" s="473">
        <v>45260.604166666664</v>
      </c>
      <c r="BJ113" s="473">
        <v>45261</v>
      </c>
      <c r="BK113" s="473">
        <v>45261.150694444441</v>
      </c>
      <c r="BL113" s="473">
        <v>45261.166666666664</v>
      </c>
      <c r="BM113" s="473">
        <v>45261.170138888891</v>
      </c>
      <c r="BN113" s="473">
        <f t="shared" si="69"/>
        <v>45262.878472222226</v>
      </c>
      <c r="BO113" s="473">
        <v>45263.25</v>
      </c>
      <c r="BP113" s="473">
        <v>45263.416666666664</v>
      </c>
      <c r="BQ113" s="473">
        <v>45263.298611111109</v>
      </c>
      <c r="BR113" s="473">
        <v>45264.861111111109</v>
      </c>
      <c r="BS113" s="473">
        <v>45271.708333333336</v>
      </c>
      <c r="BT113" s="473">
        <v>45272.486111111109</v>
      </c>
      <c r="BU113" s="473">
        <v>45272.520833333336</v>
      </c>
      <c r="BV113" s="473">
        <v>45272.520833333336</v>
      </c>
      <c r="BW113" s="473">
        <v>45272.777777777781</v>
      </c>
      <c r="BZ113" s="481">
        <f t="shared" si="57"/>
        <v>44.233333333279006</v>
      </c>
      <c r="CA113" s="481">
        <f t="shared" si="58"/>
        <v>3.6166666665812954</v>
      </c>
      <c r="CB113" s="481">
        <f t="shared" si="59"/>
        <v>41.000000000058208</v>
      </c>
      <c r="CC113" s="481">
        <f t="shared" si="65"/>
        <v>34.666666666686069</v>
      </c>
      <c r="CD113" s="482">
        <f t="shared" si="60"/>
        <v>18.666666666569654</v>
      </c>
      <c r="CE113" s="482">
        <f t="shared" si="61"/>
        <v>6.1666666666860692</v>
      </c>
      <c r="CF113" s="483">
        <f t="shared" si="62"/>
        <v>6.1812499999941792</v>
      </c>
      <c r="CG113" s="483">
        <f t="shared" si="63"/>
        <v>14.618055555562023</v>
      </c>
      <c r="CH113" s="484">
        <f t="shared" si="64"/>
        <v>0.42285035629395157</v>
      </c>
    </row>
    <row r="114" spans="1:88" s="475" customFormat="1">
      <c r="A114" s="474">
        <f t="shared" si="68"/>
        <v>45236.340277777781</v>
      </c>
      <c r="B114" s="475" t="s">
        <v>188</v>
      </c>
      <c r="C114" s="475" t="s">
        <v>913</v>
      </c>
      <c r="D114" s="475" t="s">
        <v>189</v>
      </c>
      <c r="E114" s="864" t="s">
        <v>3584</v>
      </c>
      <c r="F114" s="475" t="s">
        <v>3378</v>
      </c>
      <c r="G114" s="858">
        <v>45241.541666666664</v>
      </c>
      <c r="H114" s="858">
        <v>45241.506944444445</v>
      </c>
      <c r="I114" s="399" t="s">
        <v>1298</v>
      </c>
      <c r="J114" s="475" t="s">
        <v>192</v>
      </c>
      <c r="K114" s="475" t="s">
        <v>192</v>
      </c>
      <c r="L114" s="475" t="s">
        <v>3585</v>
      </c>
      <c r="M114" s="530"/>
      <c r="N114" s="475" t="s">
        <v>453</v>
      </c>
      <c r="O114" s="475" t="s">
        <v>454</v>
      </c>
      <c r="P114" s="399" t="s">
        <v>913</v>
      </c>
      <c r="Q114" s="477">
        <v>7500</v>
      </c>
      <c r="R114" s="477">
        <v>7500</v>
      </c>
      <c r="S114" s="477">
        <v>7504.5230000000001</v>
      </c>
      <c r="T114" s="477"/>
      <c r="V114" s="577"/>
      <c r="W114" s="577"/>
      <c r="Z114" s="577"/>
      <c r="AA114" s="577"/>
      <c r="AC114" s="401"/>
      <c r="AD114" s="401"/>
      <c r="AE114" s="401"/>
      <c r="AW114" s="580">
        <f>S114</f>
        <v>7504.5230000000001</v>
      </c>
      <c r="BD114" s="473">
        <f t="shared" si="54"/>
        <v>45235.5625</v>
      </c>
      <c r="BE114" s="473">
        <f t="shared" si="55"/>
        <v>45243.663194444445</v>
      </c>
      <c r="BF114" s="479">
        <f t="shared" si="56"/>
        <v>8.1006944444452529</v>
      </c>
      <c r="BG114" s="473">
        <v>45235.5625</v>
      </c>
      <c r="BH114" s="473">
        <v>45235.5625</v>
      </c>
      <c r="BI114" s="473">
        <v>45235.5625</v>
      </c>
      <c r="BJ114" s="473">
        <v>45236.340277777781</v>
      </c>
      <c r="BK114" s="473">
        <v>45238.590277777781</v>
      </c>
      <c r="BL114" s="473">
        <v>45239.15625</v>
      </c>
      <c r="BM114" s="473">
        <v>45239.15625</v>
      </c>
      <c r="BN114" s="473">
        <v>45239.15625</v>
      </c>
      <c r="BO114" s="518" t="s">
        <v>196</v>
      </c>
      <c r="BP114" s="518" t="s">
        <v>196</v>
      </c>
      <c r="BQ114" s="518" t="s">
        <v>196</v>
      </c>
      <c r="BR114" s="473">
        <v>45241.670138888891</v>
      </c>
      <c r="BS114" s="473">
        <v>45243.326388888891</v>
      </c>
      <c r="BT114" s="473">
        <v>45243.652777777781</v>
      </c>
      <c r="BU114" s="473">
        <v>45243.663194444445</v>
      </c>
      <c r="BV114" s="473">
        <v>45243.663194444445</v>
      </c>
      <c r="BW114" s="473">
        <v>45243.663194444445</v>
      </c>
      <c r="BZ114" s="481">
        <f t="shared" si="57"/>
        <v>0</v>
      </c>
      <c r="CA114" s="481">
        <f t="shared" si="58"/>
        <v>54</v>
      </c>
      <c r="CB114" s="481">
        <f t="shared" si="59"/>
        <v>0</v>
      </c>
      <c r="CC114" s="481">
        <f>(BR114-BN114)*24</f>
        <v>60.333333333372138</v>
      </c>
      <c r="CD114" s="482">
        <f t="shared" si="60"/>
        <v>7.8333333333721384</v>
      </c>
      <c r="CE114" s="482">
        <f t="shared" si="61"/>
        <v>0</v>
      </c>
      <c r="CF114" s="483">
        <f t="shared" si="62"/>
        <v>5.0902777777810115</v>
      </c>
      <c r="CG114" s="483">
        <f t="shared" si="63"/>
        <v>8.1006944444452529</v>
      </c>
      <c r="CH114" s="484">
        <f t="shared" si="64"/>
        <v>0.62837548221208106</v>
      </c>
    </row>
    <row r="115" spans="1:88" s="475" customFormat="1">
      <c r="A115" s="474">
        <f t="shared" si="68"/>
        <v>45248.5625</v>
      </c>
      <c r="B115" s="475" t="s">
        <v>188</v>
      </c>
      <c r="C115" s="475" t="s">
        <v>913</v>
      </c>
      <c r="D115" s="475" t="s">
        <v>189</v>
      </c>
      <c r="E115" s="667" t="s">
        <v>3473</v>
      </c>
      <c r="F115" s="475" t="s">
        <v>3474</v>
      </c>
      <c r="G115" s="472">
        <v>45249.083333333336</v>
      </c>
      <c r="H115" s="472">
        <v>45249.083333333336</v>
      </c>
      <c r="I115" s="475" t="s">
        <v>1298</v>
      </c>
      <c r="J115" s="475" t="s">
        <v>192</v>
      </c>
      <c r="K115" s="475" t="s">
        <v>192</v>
      </c>
      <c r="L115" s="475" t="s">
        <v>3586</v>
      </c>
      <c r="M115" s="530"/>
      <c r="N115" s="475" t="s">
        <v>453</v>
      </c>
      <c r="O115" s="475" t="s">
        <v>454</v>
      </c>
      <c r="P115" s="667" t="s">
        <v>913</v>
      </c>
      <c r="Q115" s="477">
        <v>7500</v>
      </c>
      <c r="R115" s="477">
        <v>7500</v>
      </c>
      <c r="S115" s="477">
        <v>7357.1270000000004</v>
      </c>
      <c r="T115" s="667"/>
      <c r="U115" s="581"/>
      <c r="V115" s="581"/>
      <c r="W115" s="581"/>
      <c r="Y115" s="581"/>
      <c r="Z115" s="581"/>
      <c r="AA115" s="581"/>
      <c r="AB115" s="581"/>
      <c r="AC115" s="581"/>
      <c r="AD115" s="581"/>
      <c r="AE115" s="581"/>
      <c r="AF115" s="401"/>
      <c r="AG115" s="401"/>
      <c r="AH115" s="401"/>
      <c r="AI115" s="401"/>
      <c r="AJ115" s="401"/>
      <c r="AK115" s="401"/>
      <c r="AL115" s="401"/>
      <c r="AM115" s="401"/>
      <c r="AN115" s="401"/>
      <c r="AO115" s="401"/>
      <c r="AP115" s="401"/>
      <c r="AQ115" s="401"/>
      <c r="AR115" s="401"/>
      <c r="AS115" s="401"/>
      <c r="AU115" s="401"/>
      <c r="AW115" s="580">
        <f>S115</f>
        <v>7357.1270000000004</v>
      </c>
      <c r="BD115" s="473">
        <f t="shared" si="54"/>
        <v>45245.753472222219</v>
      </c>
      <c r="BE115" s="473">
        <f t="shared" si="55"/>
        <v>45253.986111111109</v>
      </c>
      <c r="BF115" s="479">
        <f t="shared" si="56"/>
        <v>8.2326388888905058</v>
      </c>
      <c r="BG115" s="473">
        <v>45245.753472222219</v>
      </c>
      <c r="BH115" s="473">
        <v>45245.753472222219</v>
      </c>
      <c r="BI115" s="473">
        <v>45245.753472222219</v>
      </c>
      <c r="BJ115" s="473">
        <v>45248.5625</v>
      </c>
      <c r="BK115" s="473">
        <v>45250.986111111109</v>
      </c>
      <c r="BL115" s="473">
        <v>45250.993055555555</v>
      </c>
      <c r="BM115" s="473">
        <v>45250.993055555555</v>
      </c>
      <c r="BN115" s="473">
        <v>45250.993055555555</v>
      </c>
      <c r="BO115" s="518" t="s">
        <v>196</v>
      </c>
      <c r="BP115" s="518" t="s">
        <v>196</v>
      </c>
      <c r="BQ115" s="518" t="s">
        <v>196</v>
      </c>
      <c r="BR115" s="473">
        <v>45253.25</v>
      </c>
      <c r="BS115" s="473">
        <v>45253.645833333336</v>
      </c>
      <c r="BT115" s="473">
        <v>45253.944444444445</v>
      </c>
      <c r="BU115" s="473">
        <v>45253.986111111109</v>
      </c>
      <c r="BV115" s="473">
        <v>45253.986111111109</v>
      </c>
      <c r="BW115" s="473">
        <v>45253.986111111109</v>
      </c>
      <c r="BZ115" s="481">
        <f t="shared" si="57"/>
        <v>0</v>
      </c>
      <c r="CA115" s="481">
        <f t="shared" si="58"/>
        <v>58.166666666627862</v>
      </c>
      <c r="CB115" s="481">
        <f t="shared" si="59"/>
        <v>0</v>
      </c>
      <c r="CC115" s="481">
        <f>(BR115-BN115)*24</f>
        <v>54.166666666686069</v>
      </c>
      <c r="CD115" s="482">
        <f t="shared" si="60"/>
        <v>7.1666666666278616</v>
      </c>
      <c r="CE115" s="482">
        <f t="shared" si="61"/>
        <v>0</v>
      </c>
      <c r="CF115" s="483">
        <f t="shared" si="62"/>
        <v>4.9791666666642413</v>
      </c>
      <c r="CG115" s="483">
        <f t="shared" si="63"/>
        <v>8.2326388888905058</v>
      </c>
      <c r="CH115" s="484">
        <f t="shared" si="64"/>
        <v>0.60480809784859546</v>
      </c>
    </row>
    <row r="116" spans="1:88" s="475" customFormat="1">
      <c r="A116" s="474">
        <f t="shared" si="68"/>
        <v>45256.961805555555</v>
      </c>
      <c r="B116" s="475" t="s">
        <v>188</v>
      </c>
      <c r="C116" s="475" t="s">
        <v>181</v>
      </c>
      <c r="D116" s="475" t="s">
        <v>189</v>
      </c>
      <c r="E116" s="399" t="s">
        <v>3587</v>
      </c>
      <c r="F116" s="475" t="s">
        <v>3378</v>
      </c>
      <c r="G116" s="1057">
        <v>45265.666666666664</v>
      </c>
      <c r="H116" s="1057">
        <v>45265.666666666664</v>
      </c>
      <c r="I116" s="475" t="s">
        <v>448</v>
      </c>
      <c r="J116" s="475" t="s">
        <v>192</v>
      </c>
      <c r="K116" s="475" t="s">
        <v>192</v>
      </c>
      <c r="L116" s="475" t="s">
        <v>3588</v>
      </c>
      <c r="M116" s="529"/>
      <c r="N116" s="475" t="s">
        <v>453</v>
      </c>
      <c r="O116" s="475" t="s">
        <v>454</v>
      </c>
      <c r="P116" s="399" t="s">
        <v>913</v>
      </c>
      <c r="Q116" s="477">
        <v>7500</v>
      </c>
      <c r="R116" s="477">
        <v>7500</v>
      </c>
      <c r="S116" s="477">
        <v>7769.88</v>
      </c>
      <c r="T116" s="399"/>
      <c r="U116" s="401"/>
      <c r="V116" s="401"/>
      <c r="W116" s="401"/>
      <c r="Y116" s="401"/>
      <c r="Z116" s="401"/>
      <c r="AA116" s="401"/>
      <c r="AB116" s="401"/>
      <c r="AC116" s="401"/>
      <c r="AD116" s="401"/>
      <c r="AE116" s="401"/>
      <c r="AF116" s="401"/>
      <c r="AG116" s="401"/>
      <c r="AH116" s="401"/>
      <c r="AI116" s="401"/>
      <c r="AJ116" s="401"/>
      <c r="AL116" s="401"/>
      <c r="AM116" s="401"/>
      <c r="AN116" s="401"/>
      <c r="AO116" s="401"/>
      <c r="AP116" s="401"/>
      <c r="AQ116" s="401"/>
      <c r="AR116" s="401"/>
      <c r="AS116" s="401"/>
      <c r="AW116" s="580">
        <f>S116</f>
        <v>7769.88</v>
      </c>
      <c r="BD116" s="473">
        <f t="shared" si="54"/>
        <v>45256.840277777781</v>
      </c>
      <c r="BE116" s="473">
        <f t="shared" si="55"/>
        <v>45267.8125</v>
      </c>
      <c r="BF116" s="479">
        <f t="shared" si="56"/>
        <v>10.972222222218988</v>
      </c>
      <c r="BG116" s="473">
        <v>45256.840277777781</v>
      </c>
      <c r="BH116" s="473">
        <v>45256.840277777781</v>
      </c>
      <c r="BI116" s="473">
        <v>45256.840277777781</v>
      </c>
      <c r="BJ116" s="473">
        <v>45256.961805555555</v>
      </c>
      <c r="BK116" s="473">
        <v>45258.607638888891</v>
      </c>
      <c r="BL116" s="473">
        <v>45258.791666666664</v>
      </c>
      <c r="BM116" s="473">
        <v>45258.791666666664</v>
      </c>
      <c r="BN116" s="473">
        <v>45258.791666666664</v>
      </c>
      <c r="BO116" s="518" t="s">
        <v>196</v>
      </c>
      <c r="BP116" s="518" t="s">
        <v>196</v>
      </c>
      <c r="BQ116" s="518" t="s">
        <v>196</v>
      </c>
      <c r="BR116" s="473">
        <v>45261.25</v>
      </c>
      <c r="BS116" s="473">
        <v>45266.715277777781</v>
      </c>
      <c r="BT116" s="473">
        <v>45267.802083333336</v>
      </c>
      <c r="BU116" s="473">
        <v>45267.8125</v>
      </c>
      <c r="BV116" s="473">
        <v>45267.8125</v>
      </c>
      <c r="BW116" s="473">
        <v>45267.8125</v>
      </c>
      <c r="BZ116" s="481">
        <f t="shared" si="57"/>
        <v>0</v>
      </c>
      <c r="CA116" s="481">
        <f t="shared" si="58"/>
        <v>39.500000000058208</v>
      </c>
      <c r="CB116" s="481">
        <f t="shared" si="59"/>
        <v>0</v>
      </c>
      <c r="CC116" s="481">
        <f>(BR116-BN116)*24</f>
        <v>59.000000000058208</v>
      </c>
      <c r="CD116" s="482">
        <f t="shared" si="60"/>
        <v>26.083333333313931</v>
      </c>
      <c r="CE116" s="482">
        <f t="shared" si="61"/>
        <v>0</v>
      </c>
      <c r="CF116" s="483">
        <f t="shared" si="62"/>
        <v>5.1909722222262644</v>
      </c>
      <c r="CG116" s="483">
        <f t="shared" si="63"/>
        <v>10.972222222218988</v>
      </c>
      <c r="CH116" s="484">
        <f t="shared" si="64"/>
        <v>0.47310126582329265</v>
      </c>
    </row>
    <row r="117" spans="1:88" s="126" customFormat="1">
      <c r="A117" s="474">
        <f t="shared" si="68"/>
        <v>45235.920138888891</v>
      </c>
      <c r="B117" s="475" t="s">
        <v>228</v>
      </c>
      <c r="C117" s="475" t="s">
        <v>229</v>
      </c>
      <c r="D117" s="475" t="s">
        <v>197</v>
      </c>
      <c r="E117" s="667" t="s">
        <v>3584</v>
      </c>
      <c r="F117" s="475" t="s">
        <v>3378</v>
      </c>
      <c r="G117" s="858">
        <v>45241.541666666664</v>
      </c>
      <c r="H117" s="858">
        <v>45241.506944444445</v>
      </c>
      <c r="I117" s="667" t="s">
        <v>1550</v>
      </c>
      <c r="J117" s="475" t="s">
        <v>192</v>
      </c>
      <c r="K117" s="475" t="s">
        <v>192</v>
      </c>
      <c r="L117" s="667" t="s">
        <v>3589</v>
      </c>
      <c r="M117" s="530"/>
      <c r="N117" s="475" t="s">
        <v>226</v>
      </c>
      <c r="O117" s="475" t="s">
        <v>227</v>
      </c>
      <c r="P117" s="667" t="s">
        <v>173</v>
      </c>
      <c r="Q117" s="477">
        <f>3100*2.4</f>
        <v>7440</v>
      </c>
      <c r="R117" s="477">
        <f>7450+100</f>
        <v>7550</v>
      </c>
      <c r="S117" s="477">
        <v>7539.0640000000003</v>
      </c>
      <c r="T117" s="667"/>
      <c r="U117" s="581"/>
      <c r="V117" s="581"/>
      <c r="W117" s="581"/>
      <c r="X117" s="475"/>
      <c r="Y117" s="581"/>
      <c r="Z117" s="581"/>
      <c r="AA117" s="726">
        <f>S117</f>
        <v>7539.0640000000003</v>
      </c>
      <c r="AB117" s="581"/>
      <c r="AC117" s="581"/>
      <c r="AD117" s="581"/>
      <c r="AE117" s="581"/>
      <c r="AF117" s="581"/>
      <c r="AG117" s="401"/>
      <c r="AH117" s="401"/>
      <c r="AI117" s="401"/>
      <c r="AJ117" s="401"/>
      <c r="AK117" s="401"/>
      <c r="AL117" s="401"/>
      <c r="AM117" s="401"/>
      <c r="AN117" s="401"/>
      <c r="AO117" s="401"/>
      <c r="AP117" s="401"/>
      <c r="AQ117" s="401"/>
      <c r="AR117" s="401"/>
      <c r="AS117" s="401"/>
      <c r="AT117" s="401"/>
      <c r="AU117" s="401"/>
      <c r="AV117" s="475"/>
      <c r="AW117" s="475"/>
      <c r="AX117" s="475"/>
      <c r="AY117" s="475"/>
      <c r="AZ117" s="475"/>
      <c r="BA117" s="475"/>
      <c r="BB117" s="475"/>
      <c r="BC117" s="475"/>
      <c r="BD117" s="473">
        <f t="shared" si="54"/>
        <v>45228.96875</v>
      </c>
      <c r="BE117" s="473">
        <f t="shared" si="55"/>
        <v>45243.350694444445</v>
      </c>
      <c r="BF117" s="479">
        <f t="shared" si="56"/>
        <v>14.381944444445253</v>
      </c>
      <c r="BG117" s="473">
        <v>45228.96875</v>
      </c>
      <c r="BH117" s="473">
        <v>45231.753472222219</v>
      </c>
      <c r="BI117" s="473">
        <v>45234.131944444445</v>
      </c>
      <c r="BJ117" s="473">
        <v>45235.920138888891</v>
      </c>
      <c r="BK117" s="473">
        <v>45236.138888888891</v>
      </c>
      <c r="BL117" s="473">
        <v>45236.145833333336</v>
      </c>
      <c r="BM117" s="473">
        <v>45236.25</v>
      </c>
      <c r="BN117" s="473">
        <f>BM117+(41/24)</f>
        <v>45237.958333333336</v>
      </c>
      <c r="BO117" s="473">
        <v>45237.541666608799</v>
      </c>
      <c r="BP117" s="473">
        <v>45237.708333333336</v>
      </c>
      <c r="BQ117" s="473">
        <v>45237.6875</v>
      </c>
      <c r="BR117" s="473">
        <v>45239.555555555555</v>
      </c>
      <c r="BS117" s="473">
        <v>45242.604166666664</v>
      </c>
      <c r="BT117" s="473">
        <v>45242.940972222219</v>
      </c>
      <c r="BU117" s="473">
        <v>45242.954861111109</v>
      </c>
      <c r="BV117" s="473">
        <v>45242.958333333336</v>
      </c>
      <c r="BW117" s="473">
        <v>45243.350694444445</v>
      </c>
      <c r="BX117" s="475"/>
      <c r="BY117" s="475"/>
      <c r="BZ117" s="481">
        <f t="shared" si="57"/>
        <v>57.083333333430346</v>
      </c>
      <c r="CA117" s="481">
        <f t="shared" si="58"/>
        <v>5.25</v>
      </c>
      <c r="CB117" s="481">
        <f t="shared" si="59"/>
        <v>41.000000000058208</v>
      </c>
      <c r="CC117" s="481">
        <f>(BR117-BP117)*24</f>
        <v>44.333333333255723</v>
      </c>
      <c r="CD117" s="482">
        <f t="shared" si="60"/>
        <v>8.0833333333139308</v>
      </c>
      <c r="CE117" s="482">
        <f t="shared" si="61"/>
        <v>9.4166666666278616</v>
      </c>
      <c r="CF117" s="483">
        <f t="shared" si="62"/>
        <v>6.8819444444452529</v>
      </c>
      <c r="CG117" s="483">
        <f t="shared" si="63"/>
        <v>14.381944444445253</v>
      </c>
      <c r="CH117" s="484">
        <f t="shared" si="64"/>
        <v>0.4785127957508743</v>
      </c>
      <c r="CI117" s="475"/>
      <c r="CJ117" s="475"/>
    </row>
    <row r="118" spans="1:88" s="475" customFormat="1">
      <c r="A118" s="474">
        <f t="shared" si="68"/>
        <v>45245.576388888891</v>
      </c>
      <c r="B118" s="475" t="s">
        <v>228</v>
      </c>
      <c r="C118" s="475" t="s">
        <v>229</v>
      </c>
      <c r="D118" s="475" t="s">
        <v>197</v>
      </c>
      <c r="E118" s="476" t="s">
        <v>3471</v>
      </c>
      <c r="F118" s="399" t="s">
        <v>3378</v>
      </c>
      <c r="G118" s="472">
        <v>45248.541666666664</v>
      </c>
      <c r="H118" s="472">
        <v>45248.55</v>
      </c>
      <c r="I118" s="667" t="s">
        <v>1550</v>
      </c>
      <c r="J118" s="475" t="s">
        <v>192</v>
      </c>
      <c r="K118" s="475" t="s">
        <v>192</v>
      </c>
      <c r="L118" s="667" t="s">
        <v>3590</v>
      </c>
      <c r="M118" s="530"/>
      <c r="N118" s="475" t="s">
        <v>371</v>
      </c>
      <c r="O118" s="475" t="s">
        <v>372</v>
      </c>
      <c r="P118" s="475" t="s">
        <v>173</v>
      </c>
      <c r="Q118" s="477">
        <f>3117*2.4</f>
        <v>7480.7999999999993</v>
      </c>
      <c r="R118" s="477">
        <f>7500+100</f>
        <v>7600</v>
      </c>
      <c r="S118" s="477">
        <v>7490.0050000000001</v>
      </c>
      <c r="T118" s="667"/>
      <c r="U118" s="581"/>
      <c r="V118" s="581"/>
      <c r="W118" s="581"/>
      <c r="Y118" s="401"/>
      <c r="Z118" s="401"/>
      <c r="AA118" s="726">
        <f>S118</f>
        <v>7490.0050000000001</v>
      </c>
      <c r="AB118" s="581"/>
      <c r="AC118" s="667"/>
      <c r="BD118" s="473">
        <f t="shared" si="54"/>
        <v>45236.490277777775</v>
      </c>
      <c r="BE118" s="473">
        <f t="shared" si="55"/>
        <v>45253.53125</v>
      </c>
      <c r="BF118" s="479">
        <f t="shared" si="56"/>
        <v>17.040972222224809</v>
      </c>
      <c r="BG118" s="473">
        <v>45236.490277777775</v>
      </c>
      <c r="BH118" s="473">
        <v>45240.795138888891</v>
      </c>
      <c r="BI118" s="473">
        <v>45242.493055555555</v>
      </c>
      <c r="BJ118" s="473">
        <v>45245.576388888891</v>
      </c>
      <c r="BK118" s="473">
        <v>45245.852083333331</v>
      </c>
      <c r="BL118" s="473">
        <v>45245.861111111109</v>
      </c>
      <c r="BM118" s="473">
        <v>45245.875</v>
      </c>
      <c r="BN118" s="473">
        <f>BM118+(41/24)</f>
        <v>45247.583333333336</v>
      </c>
      <c r="BO118" s="473">
        <v>45247.229166608799</v>
      </c>
      <c r="BP118" s="473">
        <v>45247.395833333336</v>
      </c>
      <c r="BQ118" s="473">
        <v>45247.434027777781</v>
      </c>
      <c r="BR118" s="473">
        <v>45249.170138888891</v>
      </c>
      <c r="BS118" s="473">
        <v>45253.131944444445</v>
      </c>
      <c r="BT118" s="473">
        <v>45253.53125</v>
      </c>
      <c r="BU118" s="473">
        <v>45253.53125</v>
      </c>
      <c r="BV118" s="473">
        <v>45253.53125</v>
      </c>
      <c r="BW118" s="473">
        <v>45253.53125</v>
      </c>
      <c r="BX118" s="475" t="s">
        <v>788</v>
      </c>
      <c r="BZ118" s="481">
        <f t="shared" si="57"/>
        <v>40.749999999941792</v>
      </c>
      <c r="CA118" s="481">
        <f t="shared" si="58"/>
        <v>6.6166666665812954</v>
      </c>
      <c r="CB118" s="481">
        <f t="shared" si="59"/>
        <v>41.000000000058208</v>
      </c>
      <c r="CC118" s="481">
        <f>(BR118-BP118)*24</f>
        <v>42.583333333313931</v>
      </c>
      <c r="CD118" s="482">
        <f t="shared" si="60"/>
        <v>9.5833333333139308</v>
      </c>
      <c r="CE118" s="482">
        <f t="shared" si="61"/>
        <v>0</v>
      </c>
      <c r="CF118" s="483">
        <f t="shared" si="62"/>
        <v>5.8555555555503815</v>
      </c>
      <c r="CG118" s="483">
        <f t="shared" si="63"/>
        <v>17.040972222224809</v>
      </c>
      <c r="CH118" s="484">
        <f t="shared" si="64"/>
        <v>0.34361628428180729</v>
      </c>
    </row>
    <row r="119" spans="1:88" s="475" customFormat="1">
      <c r="A119" s="474">
        <f t="shared" si="68"/>
        <v>45258.368055555555</v>
      </c>
      <c r="B119" s="475" t="s">
        <v>228</v>
      </c>
      <c r="C119" s="475" t="s">
        <v>229</v>
      </c>
      <c r="D119" s="475" t="s">
        <v>215</v>
      </c>
      <c r="E119" s="399" t="s">
        <v>3168</v>
      </c>
      <c r="F119" s="667" t="s">
        <v>3378</v>
      </c>
      <c r="G119" s="472">
        <v>45259.041666666664</v>
      </c>
      <c r="H119" s="472">
        <v>45259.041666666664</v>
      </c>
      <c r="I119" s="667" t="s">
        <v>1031</v>
      </c>
      <c r="J119" s="475" t="s">
        <v>192</v>
      </c>
      <c r="K119" s="475" t="s">
        <v>192</v>
      </c>
      <c r="L119" s="667" t="s">
        <v>3591</v>
      </c>
      <c r="M119" s="530"/>
      <c r="N119" s="475" t="s">
        <v>1972</v>
      </c>
      <c r="O119" s="475" t="s">
        <v>1973</v>
      </c>
      <c r="P119" s="667" t="s">
        <v>173</v>
      </c>
      <c r="Q119" s="477">
        <f>3107*2.4</f>
        <v>7456.7999999999993</v>
      </c>
      <c r="R119" s="477">
        <f>7500+100</f>
        <v>7600</v>
      </c>
      <c r="S119" s="477">
        <v>7560.5510000000004</v>
      </c>
      <c r="T119" s="667"/>
      <c r="U119" s="577"/>
      <c r="V119" s="577"/>
      <c r="W119" s="577"/>
      <c r="X119" s="577"/>
      <c r="Y119" s="577"/>
      <c r="Z119" s="577"/>
      <c r="AA119" s="726">
        <f>S119</f>
        <v>7560.5510000000004</v>
      </c>
      <c r="AB119" s="581"/>
      <c r="AC119" s="581"/>
      <c r="AD119" s="581"/>
      <c r="AE119" s="401"/>
      <c r="AF119" s="401"/>
      <c r="AG119" s="401"/>
      <c r="AH119" s="401"/>
      <c r="AI119" s="401"/>
      <c r="AJ119" s="401"/>
      <c r="AK119" s="401"/>
      <c r="AL119" s="401"/>
      <c r="AM119" s="401"/>
      <c r="AN119" s="401"/>
      <c r="AO119" s="401"/>
      <c r="AP119" s="401"/>
      <c r="AQ119" s="401"/>
      <c r="AR119" s="401"/>
      <c r="AS119" s="401"/>
      <c r="AT119" s="401"/>
      <c r="AU119" s="401"/>
      <c r="BD119" s="473">
        <f t="shared" si="54"/>
        <v>45254.152777777781</v>
      </c>
      <c r="BE119" s="473">
        <f t="shared" si="55"/>
        <v>45266.0625</v>
      </c>
      <c r="BF119" s="479">
        <f t="shared" si="56"/>
        <v>11.909722222218988</v>
      </c>
      <c r="BG119" s="473">
        <v>45254.152777777781</v>
      </c>
      <c r="BH119" s="473">
        <v>45254.920138888891</v>
      </c>
      <c r="BI119" s="473">
        <v>45256.5625</v>
      </c>
      <c r="BJ119" s="473">
        <v>45258.368055555555</v>
      </c>
      <c r="BK119" s="473">
        <v>45258.559027777781</v>
      </c>
      <c r="BL119" s="473">
        <v>45258.565972222219</v>
      </c>
      <c r="BM119" s="473">
        <v>45258.583333333336</v>
      </c>
      <c r="BN119" s="473">
        <f>BM119+(41/24)</f>
        <v>45260.291666666672</v>
      </c>
      <c r="BO119" s="480">
        <v>45260.229166608799</v>
      </c>
      <c r="BP119" s="480">
        <v>45260.395833333336</v>
      </c>
      <c r="BQ119" s="480">
        <v>45260.392361111109</v>
      </c>
      <c r="BR119" s="473">
        <v>45261.5</v>
      </c>
      <c r="BS119" s="473">
        <v>45263.895833333336</v>
      </c>
      <c r="BT119" s="473">
        <v>45265.708333333336</v>
      </c>
      <c r="BU119" s="473">
        <v>45265.736111111109</v>
      </c>
      <c r="BV119" s="473">
        <v>45265.826388888891</v>
      </c>
      <c r="BW119" s="473">
        <v>45266.0625</v>
      </c>
      <c r="BZ119" s="481">
        <f t="shared" si="57"/>
        <v>39.416666666627862</v>
      </c>
      <c r="CA119" s="481">
        <f t="shared" si="58"/>
        <v>4.5833333334303461</v>
      </c>
      <c r="CB119" s="481">
        <f t="shared" si="59"/>
        <v>41.000000000058208</v>
      </c>
      <c r="CC119" s="481">
        <f>(BR119-BP119)*24</f>
        <v>26.499999999941792</v>
      </c>
      <c r="CD119" s="482">
        <f t="shared" si="60"/>
        <v>43.5</v>
      </c>
      <c r="CE119" s="482">
        <f t="shared" si="61"/>
        <v>5.6666666666278616</v>
      </c>
      <c r="CF119" s="483">
        <f t="shared" si="62"/>
        <v>6.6944444444452529</v>
      </c>
      <c r="CG119" s="483">
        <f t="shared" si="63"/>
        <v>11.909722222218988</v>
      </c>
      <c r="CH119" s="484">
        <f t="shared" si="64"/>
        <v>0.56209912536465201</v>
      </c>
    </row>
    <row r="120" spans="1:88" s="475" customFormat="1">
      <c r="A120" s="474">
        <f t="shared" si="68"/>
        <v>45260.607638888891</v>
      </c>
      <c r="B120" s="475" t="s">
        <v>228</v>
      </c>
      <c r="C120" s="475" t="s">
        <v>229</v>
      </c>
      <c r="D120" s="475" t="s">
        <v>197</v>
      </c>
      <c r="E120" s="399" t="s">
        <v>3587</v>
      </c>
      <c r="F120" s="667" t="s">
        <v>3378</v>
      </c>
      <c r="G120" s="1057">
        <v>45265.666666666664</v>
      </c>
      <c r="H120" s="1057">
        <v>45265.666666666664</v>
      </c>
      <c r="I120" s="667" t="s">
        <v>1550</v>
      </c>
      <c r="J120" s="475" t="s">
        <v>192</v>
      </c>
      <c r="K120" s="475" t="s">
        <v>192</v>
      </c>
      <c r="L120" s="399" t="s">
        <v>3592</v>
      </c>
      <c r="M120" s="529"/>
      <c r="N120" s="475" t="s">
        <v>277</v>
      </c>
      <c r="O120" s="475" t="s">
        <v>278</v>
      </c>
      <c r="P120" s="399" t="s">
        <v>173</v>
      </c>
      <c r="Q120" s="477">
        <f>3117*2.4</f>
        <v>7480.7999999999993</v>
      </c>
      <c r="R120" s="477">
        <f>7500+100</f>
        <v>7600</v>
      </c>
      <c r="S120" s="477">
        <v>7557.1750000000002</v>
      </c>
      <c r="T120" s="667"/>
      <c r="U120" s="581"/>
      <c r="W120" s="581"/>
      <c r="X120" s="581"/>
      <c r="Y120" s="581"/>
      <c r="Z120" s="581"/>
      <c r="AA120" s="726">
        <f>S120</f>
        <v>7557.1750000000002</v>
      </c>
      <c r="AB120" s="581"/>
      <c r="AC120" s="581"/>
      <c r="AD120" s="581"/>
      <c r="BD120" s="473">
        <f t="shared" si="54"/>
        <v>45255.725694444445</v>
      </c>
      <c r="BE120" s="473">
        <f t="shared" si="55"/>
        <v>45267.451388888891</v>
      </c>
      <c r="BF120" s="479">
        <f t="shared" si="56"/>
        <v>11.725694444445253</v>
      </c>
      <c r="BG120" s="473">
        <v>45255.725694444445</v>
      </c>
      <c r="BH120" s="473">
        <v>45258.583333333336</v>
      </c>
      <c r="BI120" s="473">
        <v>45260.555555555555</v>
      </c>
      <c r="BJ120" s="473">
        <v>45260.607638888891</v>
      </c>
      <c r="BK120" s="473">
        <v>45260.850694444445</v>
      </c>
      <c r="BL120" s="473">
        <v>45260.857638888891</v>
      </c>
      <c r="BM120" s="473">
        <v>45260.951388888891</v>
      </c>
      <c r="BN120" s="473">
        <f>BM120+(41/24)</f>
        <v>45262.659722222226</v>
      </c>
      <c r="BO120" s="473">
        <v>45263.25</v>
      </c>
      <c r="BP120" s="473">
        <v>45263.416666666664</v>
      </c>
      <c r="BQ120" s="473">
        <v>45263.305555555555</v>
      </c>
      <c r="BR120" s="473">
        <v>45265.121527777781</v>
      </c>
      <c r="BS120" s="473">
        <v>45267.104166666664</v>
      </c>
      <c r="BT120" s="473">
        <v>45267.451388888891</v>
      </c>
      <c r="BU120" s="473">
        <v>45267.451388888891</v>
      </c>
      <c r="BV120" s="473">
        <v>45267.451388888891</v>
      </c>
      <c r="BW120" s="473">
        <v>45267.451388888891</v>
      </c>
      <c r="BZ120" s="481">
        <f t="shared" si="57"/>
        <v>47.333333333255723</v>
      </c>
      <c r="CA120" s="481">
        <f t="shared" si="58"/>
        <v>5.8333333333139308</v>
      </c>
      <c r="CB120" s="481">
        <f t="shared" si="59"/>
        <v>41.000000000058208</v>
      </c>
      <c r="CC120" s="481">
        <f>(BR120-BP120)*24</f>
        <v>40.916666666802485</v>
      </c>
      <c r="CD120" s="482">
        <f t="shared" si="60"/>
        <v>8.3333333334303461</v>
      </c>
      <c r="CE120" s="482">
        <f t="shared" si="61"/>
        <v>0</v>
      </c>
      <c r="CF120" s="483">
        <f t="shared" si="62"/>
        <v>5.9756944444525288</v>
      </c>
      <c r="CG120" s="483">
        <f t="shared" si="63"/>
        <v>11.725694444445253</v>
      </c>
      <c r="CH120" s="484">
        <f t="shared" si="64"/>
        <v>0.50962392656269162</v>
      </c>
    </row>
    <row r="121" spans="1:88" s="369" customFormat="1">
      <c r="A121" s="474">
        <f t="shared" si="68"/>
        <v>45231.026388888888</v>
      </c>
      <c r="B121" s="475" t="s">
        <v>188</v>
      </c>
      <c r="C121" s="475" t="s">
        <v>87</v>
      </c>
      <c r="D121" s="475" t="s">
        <v>197</v>
      </c>
      <c r="E121" s="476" t="s">
        <v>3125</v>
      </c>
      <c r="F121" s="475" t="s">
        <v>3378</v>
      </c>
      <c r="G121" s="472">
        <v>45228.125</v>
      </c>
      <c r="H121" s="472">
        <v>45228.087500000001</v>
      </c>
      <c r="I121" s="475" t="s">
        <v>751</v>
      </c>
      <c r="J121" s="475" t="s">
        <v>192</v>
      </c>
      <c r="K121" s="475" t="s">
        <v>192</v>
      </c>
      <c r="L121" s="667" t="s">
        <v>3593</v>
      </c>
      <c r="M121" s="530"/>
      <c r="N121" s="475" t="s">
        <v>3403</v>
      </c>
      <c r="O121" s="475" t="s">
        <v>255</v>
      </c>
      <c r="P121" s="475" t="s">
        <v>611</v>
      </c>
      <c r="Q121" s="477">
        <f>3047*2.4</f>
        <v>7312.8</v>
      </c>
      <c r="R121" s="477">
        <f>7400+100</f>
        <v>7500</v>
      </c>
      <c r="S121" s="477">
        <v>7308.1840000000002</v>
      </c>
      <c r="T121" s="477"/>
      <c r="U121" s="475"/>
      <c r="V121" s="581"/>
      <c r="W121" s="581"/>
      <c r="X121" s="581"/>
      <c r="Y121" s="581"/>
      <c r="Z121" s="581"/>
      <c r="AA121" s="581"/>
      <c r="AB121" s="581"/>
      <c r="AC121" s="475"/>
      <c r="AD121" s="726">
        <f>S121</f>
        <v>7308.1840000000002</v>
      </c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475"/>
      <c r="BC121" s="475"/>
      <c r="BD121" s="473">
        <f t="shared" si="54"/>
        <v>45230.451388888891</v>
      </c>
      <c r="BE121" s="473">
        <f t="shared" si="55"/>
        <v>45232.922222222223</v>
      </c>
      <c r="BF121" s="479">
        <f t="shared" si="56"/>
        <v>2.4708333333328483</v>
      </c>
      <c r="BG121" s="473">
        <v>45230.451388888891</v>
      </c>
      <c r="BH121" s="473">
        <v>45230.451388888891</v>
      </c>
      <c r="BI121" s="473">
        <v>45230.486111111109</v>
      </c>
      <c r="BJ121" s="473">
        <v>45231.026388888888</v>
      </c>
      <c r="BK121" s="473">
        <v>45231.256944444445</v>
      </c>
      <c r="BL121" s="473">
        <v>45231.263888888891</v>
      </c>
      <c r="BM121" s="473">
        <v>45231.694444444445</v>
      </c>
      <c r="BN121" s="473">
        <f>BM121</f>
        <v>45231.694444444445</v>
      </c>
      <c r="BO121" s="518" t="s">
        <v>196</v>
      </c>
      <c r="BP121" s="518" t="s">
        <v>196</v>
      </c>
      <c r="BQ121" s="518" t="s">
        <v>196</v>
      </c>
      <c r="BR121" s="473">
        <v>45232.020833333336</v>
      </c>
      <c r="BS121" s="473">
        <v>45232.246527777781</v>
      </c>
      <c r="BT121" s="473">
        <v>45232.583333333336</v>
      </c>
      <c r="BU121" s="473">
        <v>45232.604166666664</v>
      </c>
      <c r="BV121" s="473">
        <v>45232.625</v>
      </c>
      <c r="BW121" s="473">
        <v>45232.922222222223</v>
      </c>
      <c r="BX121" s="475"/>
      <c r="BY121" s="475"/>
      <c r="BZ121" s="481">
        <f t="shared" si="57"/>
        <v>0.83333333325572312</v>
      </c>
      <c r="CA121" s="481">
        <f t="shared" si="58"/>
        <v>5.53333333338378</v>
      </c>
      <c r="CB121" s="481">
        <f t="shared" si="59"/>
        <v>0</v>
      </c>
      <c r="CC121" s="481">
        <f t="shared" ref="CC121:CC135" si="70">(BR121-BN121)*24</f>
        <v>7.8333333333721384</v>
      </c>
      <c r="CD121" s="482">
        <f t="shared" si="60"/>
        <v>8.0833333333139308</v>
      </c>
      <c r="CE121" s="482">
        <f t="shared" si="61"/>
        <v>7.1333333333604969</v>
      </c>
      <c r="CF121" s="483">
        <f t="shared" si="62"/>
        <v>1.2256944444452529</v>
      </c>
      <c r="CG121" s="483">
        <f t="shared" si="63"/>
        <v>2.4708333333328483</v>
      </c>
      <c r="CH121" s="484">
        <f t="shared" si="64"/>
        <v>0.49606520517186919</v>
      </c>
      <c r="CI121" s="475"/>
      <c r="CJ121" s="475"/>
    </row>
    <row r="122" spans="1:88" s="369" customFormat="1">
      <c r="A122" s="474">
        <f t="shared" si="68"/>
        <v>45233.213194444441</v>
      </c>
      <c r="B122" s="475" t="s">
        <v>3594</v>
      </c>
      <c r="C122" s="475" t="s">
        <v>87</v>
      </c>
      <c r="D122" s="475" t="s">
        <v>197</v>
      </c>
      <c r="E122" s="667" t="s">
        <v>1515</v>
      </c>
      <c r="F122" s="475" t="s">
        <v>3474</v>
      </c>
      <c r="G122" s="472">
        <v>45230.479166666664</v>
      </c>
      <c r="H122" s="472">
        <v>45230.429166666669</v>
      </c>
      <c r="I122" s="475" t="s">
        <v>751</v>
      </c>
      <c r="J122" s="475" t="s">
        <v>192</v>
      </c>
      <c r="K122" s="475" t="s">
        <v>192</v>
      </c>
      <c r="L122" s="667" t="s">
        <v>3595</v>
      </c>
      <c r="M122" s="530"/>
      <c r="N122" s="475" t="s">
        <v>686</v>
      </c>
      <c r="O122" s="475" t="s">
        <v>1186</v>
      </c>
      <c r="P122" s="667" t="s">
        <v>1164</v>
      </c>
      <c r="Q122" s="477">
        <f>3136*2.4</f>
        <v>7526.4</v>
      </c>
      <c r="R122" s="477">
        <f>7550+100</f>
        <v>7650</v>
      </c>
      <c r="S122" s="477">
        <v>7523.4219999999996</v>
      </c>
      <c r="T122" s="667"/>
      <c r="U122" s="581"/>
      <c r="V122" s="581"/>
      <c r="W122" s="581"/>
      <c r="X122" s="475"/>
      <c r="Y122" s="581"/>
      <c r="Z122" s="581"/>
      <c r="AA122" s="581"/>
      <c r="AB122" s="581"/>
      <c r="AC122" s="581"/>
      <c r="AD122" s="724"/>
      <c r="AE122" s="724"/>
      <c r="AF122" s="724"/>
      <c r="AG122" s="724"/>
      <c r="AH122" s="726">
        <f>S122</f>
        <v>7523.4219999999996</v>
      </c>
      <c r="AI122" s="5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475"/>
      <c r="BA122" s="475"/>
      <c r="BB122" s="475"/>
      <c r="BC122" s="475"/>
      <c r="BD122" s="473">
        <f t="shared" si="54"/>
        <v>45233.048611111109</v>
      </c>
      <c r="BE122" s="473">
        <f t="shared" si="55"/>
        <v>45236.458333333336</v>
      </c>
      <c r="BF122" s="479">
        <f t="shared" si="56"/>
        <v>3.4097222222262644</v>
      </c>
      <c r="BG122" s="473">
        <v>45233.048611111109</v>
      </c>
      <c r="BH122" s="473">
        <v>45233.0625</v>
      </c>
      <c r="BI122" s="473">
        <v>45233.090277777781</v>
      </c>
      <c r="BJ122" s="473">
        <v>45233.213194444441</v>
      </c>
      <c r="BK122" s="473">
        <v>45233.388194444444</v>
      </c>
      <c r="BL122" s="473">
        <v>45233.395833333336</v>
      </c>
      <c r="BM122" s="473">
        <v>45233.895833333336</v>
      </c>
      <c r="BN122" s="473">
        <v>45233.895833333336</v>
      </c>
      <c r="BO122" s="518" t="s">
        <v>196</v>
      </c>
      <c r="BP122" s="518" t="s">
        <v>196</v>
      </c>
      <c r="BQ122" s="518" t="s">
        <v>196</v>
      </c>
      <c r="BR122" s="473">
        <v>45234.354166666664</v>
      </c>
      <c r="BS122" s="473">
        <v>45235.5625</v>
      </c>
      <c r="BT122" s="473">
        <v>45236.125</v>
      </c>
      <c r="BU122" s="473">
        <v>45236.149305555555</v>
      </c>
      <c r="BV122" s="473">
        <v>45236.166666666664</v>
      </c>
      <c r="BW122" s="473">
        <v>45236.458333333336</v>
      </c>
      <c r="BX122" s="475"/>
      <c r="BY122" s="475"/>
      <c r="BZ122" s="481">
        <f t="shared" si="57"/>
        <v>0.66666666674427688</v>
      </c>
      <c r="CA122" s="481">
        <f t="shared" si="58"/>
        <v>4.2000000000698492</v>
      </c>
      <c r="CB122" s="481">
        <f t="shared" si="59"/>
        <v>0</v>
      </c>
      <c r="CC122" s="481">
        <f t="shared" si="70"/>
        <v>10.999999999883585</v>
      </c>
      <c r="CD122" s="482">
        <f t="shared" si="60"/>
        <v>13.5</v>
      </c>
      <c r="CE122" s="482">
        <f t="shared" si="61"/>
        <v>7.0000000001164153</v>
      </c>
      <c r="CF122" s="483">
        <f t="shared" si="62"/>
        <v>1.5152777777839219</v>
      </c>
      <c r="CG122" s="483">
        <f t="shared" si="63"/>
        <v>3.4097222222262644</v>
      </c>
      <c r="CH122" s="484">
        <f t="shared" si="64"/>
        <v>0.44439918533732398</v>
      </c>
      <c r="CI122" s="475"/>
      <c r="CJ122" s="475"/>
    </row>
    <row r="123" spans="1:88" s="369" customFormat="1">
      <c r="A123" s="474">
        <f t="shared" si="68"/>
        <v>45238.375</v>
      </c>
      <c r="B123" s="475" t="s">
        <v>188</v>
      </c>
      <c r="C123" s="475" t="s">
        <v>87</v>
      </c>
      <c r="D123" s="475" t="s">
        <v>197</v>
      </c>
      <c r="E123" s="667" t="s">
        <v>3135</v>
      </c>
      <c r="F123" s="475" t="s">
        <v>3378</v>
      </c>
      <c r="G123" s="858">
        <v>45239.145833333336</v>
      </c>
      <c r="H123" s="858">
        <v>45238.958333333336</v>
      </c>
      <c r="I123" s="667" t="s">
        <v>751</v>
      </c>
      <c r="J123" s="475" t="s">
        <v>192</v>
      </c>
      <c r="K123" s="475" t="s">
        <v>192</v>
      </c>
      <c r="L123" s="475" t="s">
        <v>3596</v>
      </c>
      <c r="M123" s="530"/>
      <c r="N123" s="475" t="s">
        <v>249</v>
      </c>
      <c r="O123" s="475" t="s">
        <v>2315</v>
      </c>
      <c r="P123" s="667" t="s">
        <v>611</v>
      </c>
      <c r="Q123" s="477">
        <f>3139*2.4</f>
        <v>7533.5999999999995</v>
      </c>
      <c r="R123" s="477">
        <f>7550+100</f>
        <v>7650</v>
      </c>
      <c r="S123" s="477">
        <v>7517.7730000000001</v>
      </c>
      <c r="T123" s="667"/>
      <c r="U123" s="581"/>
      <c r="V123" s="581"/>
      <c r="W123" s="581"/>
      <c r="X123" s="581"/>
      <c r="Y123" s="581"/>
      <c r="Z123" s="581"/>
      <c r="AA123" s="581"/>
      <c r="AB123" s="581"/>
      <c r="AC123" s="667"/>
      <c r="AD123" s="726">
        <f>S123</f>
        <v>7517.7730000000001</v>
      </c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667"/>
      <c r="AY123" s="667"/>
      <c r="AZ123" s="667"/>
      <c r="BA123" s="667"/>
      <c r="BB123" s="667"/>
      <c r="BC123" s="667"/>
      <c r="BD123" s="473">
        <f t="shared" si="54"/>
        <v>45237.815972222219</v>
      </c>
      <c r="BE123" s="473">
        <f t="shared" si="55"/>
        <v>45242.541666666664</v>
      </c>
      <c r="BF123" s="479">
        <f t="shared" si="56"/>
        <v>4.7256944444452529</v>
      </c>
      <c r="BG123" s="473">
        <v>45237.815972222219</v>
      </c>
      <c r="BH123" s="473">
        <v>45237.902777777781</v>
      </c>
      <c r="BI123" s="473">
        <v>45238.072916666664</v>
      </c>
      <c r="BJ123" s="473">
        <v>45238.375</v>
      </c>
      <c r="BK123" s="473">
        <v>45238.527777777781</v>
      </c>
      <c r="BL123" s="473">
        <v>45238.53125</v>
      </c>
      <c r="BM123" s="473">
        <v>45238.972222222219</v>
      </c>
      <c r="BN123" s="473">
        <f>BM123</f>
        <v>45238.972222222219</v>
      </c>
      <c r="BO123" s="518" t="s">
        <v>196</v>
      </c>
      <c r="BP123" s="518" t="s">
        <v>196</v>
      </c>
      <c r="BQ123" s="518" t="s">
        <v>196</v>
      </c>
      <c r="BR123" s="473">
        <v>45239.270833333336</v>
      </c>
      <c r="BS123" s="473">
        <v>45241.5625</v>
      </c>
      <c r="BT123" s="473">
        <v>45241.826388888891</v>
      </c>
      <c r="BU123" s="473">
        <v>45241.847222222219</v>
      </c>
      <c r="BV123" s="473">
        <v>45242.083333333336</v>
      </c>
      <c r="BW123" s="473">
        <v>45242.541666666664</v>
      </c>
      <c r="BX123" s="475" t="s">
        <v>3597</v>
      </c>
      <c r="BY123" s="475"/>
      <c r="BZ123" s="481">
        <f t="shared" si="57"/>
        <v>4.0833333331975155</v>
      </c>
      <c r="CA123" s="481">
        <f t="shared" si="58"/>
        <v>3.6666666667442769</v>
      </c>
      <c r="CB123" s="481">
        <f t="shared" si="59"/>
        <v>0</v>
      </c>
      <c r="CC123" s="481">
        <f t="shared" si="70"/>
        <v>7.1666666668024845</v>
      </c>
      <c r="CD123" s="482">
        <f t="shared" si="60"/>
        <v>6.3333333333721384</v>
      </c>
      <c r="CE123" s="482">
        <f t="shared" si="61"/>
        <v>10.999999999883585</v>
      </c>
      <c r="CF123" s="483">
        <f t="shared" si="62"/>
        <v>1.34375</v>
      </c>
      <c r="CG123" s="483">
        <f t="shared" si="63"/>
        <v>4.7256944444452529</v>
      </c>
      <c r="CH123" s="484">
        <f t="shared" si="64"/>
        <v>0.28434974283610126</v>
      </c>
      <c r="CI123" s="475"/>
      <c r="CJ123" s="475"/>
    </row>
    <row r="124" spans="1:88" s="369" customFormat="1">
      <c r="A124" s="474">
        <f t="shared" si="68"/>
        <v>45238.64166666667</v>
      </c>
      <c r="B124" s="475" t="s">
        <v>188</v>
      </c>
      <c r="C124" s="475" t="s">
        <v>87</v>
      </c>
      <c r="D124" s="475" t="s">
        <v>215</v>
      </c>
      <c r="E124" s="667" t="s">
        <v>3135</v>
      </c>
      <c r="F124" s="475" t="s">
        <v>3378</v>
      </c>
      <c r="G124" s="858">
        <v>45239.145833333336</v>
      </c>
      <c r="H124" s="858">
        <v>45238.958333333336</v>
      </c>
      <c r="I124" s="667" t="s">
        <v>751</v>
      </c>
      <c r="J124" s="475" t="s">
        <v>192</v>
      </c>
      <c r="K124" s="475" t="s">
        <v>192</v>
      </c>
      <c r="L124" s="475" t="s">
        <v>3598</v>
      </c>
      <c r="M124" s="530"/>
      <c r="N124" s="475" t="s">
        <v>274</v>
      </c>
      <c r="O124" s="475" t="s">
        <v>1093</v>
      </c>
      <c r="P124" s="667" t="s">
        <v>611</v>
      </c>
      <c r="Q124" s="477">
        <f>3136*2.4</f>
        <v>7526.4</v>
      </c>
      <c r="R124" s="477">
        <f>7550+100</f>
        <v>7650</v>
      </c>
      <c r="S124" s="477">
        <v>7524.73</v>
      </c>
      <c r="T124" s="667"/>
      <c r="U124" s="581"/>
      <c r="V124" s="581"/>
      <c r="W124" s="581"/>
      <c r="X124" s="581"/>
      <c r="Y124" s="581"/>
      <c r="Z124" s="581"/>
      <c r="AA124" s="581"/>
      <c r="AB124" s="581"/>
      <c r="AC124" s="581"/>
      <c r="AD124" s="726">
        <f>S124</f>
        <v>7524.73</v>
      </c>
      <c r="AE124" s="575"/>
      <c r="AF124" s="575"/>
      <c r="AG124" s="575"/>
      <c r="AH124" s="575"/>
      <c r="AI124" s="5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475"/>
      <c r="BA124" s="475"/>
      <c r="BB124" s="475"/>
      <c r="BC124" s="475"/>
      <c r="BD124" s="473">
        <f t="shared" si="54"/>
        <v>45238.486111111109</v>
      </c>
      <c r="BE124" s="473">
        <f t="shared" si="55"/>
        <v>45242.517361111109</v>
      </c>
      <c r="BF124" s="479">
        <f t="shared" si="56"/>
        <v>4.03125</v>
      </c>
      <c r="BG124" s="473">
        <v>45238.486111111109</v>
      </c>
      <c r="BH124" s="473">
        <v>45238.569444444445</v>
      </c>
      <c r="BI124" s="473">
        <v>45238.597222222219</v>
      </c>
      <c r="BJ124" s="473">
        <v>45238.64166666667</v>
      </c>
      <c r="BK124" s="473">
        <v>45238.770833333336</v>
      </c>
      <c r="BL124" s="473">
        <v>45238.777777777781</v>
      </c>
      <c r="BM124" s="473">
        <v>45239.6875</v>
      </c>
      <c r="BN124" s="473">
        <v>45239.6875</v>
      </c>
      <c r="BO124" s="518" t="s">
        <v>196</v>
      </c>
      <c r="BP124" s="518" t="s">
        <v>196</v>
      </c>
      <c r="BQ124" s="518" t="s">
        <v>196</v>
      </c>
      <c r="BR124" s="473">
        <v>45239.979166666664</v>
      </c>
      <c r="BS124" s="473">
        <v>45241.888888888891</v>
      </c>
      <c r="BT124" s="473">
        <v>45242.111111111109</v>
      </c>
      <c r="BU124" s="473">
        <v>45242.131944444445</v>
      </c>
      <c r="BV124" s="473">
        <v>45242.131944444445</v>
      </c>
      <c r="BW124" s="473">
        <v>45242.517361111109</v>
      </c>
      <c r="BX124" s="475"/>
      <c r="BY124" s="475"/>
      <c r="BZ124" s="481">
        <f t="shared" si="57"/>
        <v>0.6666666665696539</v>
      </c>
      <c r="CA124" s="481">
        <f t="shared" si="58"/>
        <v>3.0999999999767169</v>
      </c>
      <c r="CB124" s="481">
        <f t="shared" si="59"/>
        <v>0</v>
      </c>
      <c r="CC124" s="481">
        <f t="shared" si="70"/>
        <v>6.9999999999417923</v>
      </c>
      <c r="CD124" s="482">
        <f t="shared" si="60"/>
        <v>5.3333333332557231</v>
      </c>
      <c r="CE124" s="482">
        <f t="shared" si="61"/>
        <v>9.2499999999417923</v>
      </c>
      <c r="CF124" s="483">
        <f t="shared" si="62"/>
        <v>1.0562499999869033</v>
      </c>
      <c r="CG124" s="483">
        <f t="shared" si="63"/>
        <v>4.03125</v>
      </c>
      <c r="CH124" s="484">
        <f t="shared" si="64"/>
        <v>0.26201550387272021</v>
      </c>
      <c r="CI124" s="475"/>
      <c r="CJ124" s="475"/>
    </row>
    <row r="125" spans="1:88" s="475" customFormat="1">
      <c r="A125" s="474">
        <f t="shared" si="68"/>
        <v>45252.90625</v>
      </c>
      <c r="B125" s="475" t="s">
        <v>188</v>
      </c>
      <c r="C125" s="475" t="s">
        <v>87</v>
      </c>
      <c r="D125" s="475" t="s">
        <v>197</v>
      </c>
      <c r="E125" s="399" t="s">
        <v>3156</v>
      </c>
      <c r="F125" s="399" t="s">
        <v>3474</v>
      </c>
      <c r="G125" s="472">
        <v>45252.083333333336</v>
      </c>
      <c r="H125" s="472">
        <v>45252.01666666667</v>
      </c>
      <c r="I125" s="399" t="s">
        <v>751</v>
      </c>
      <c r="J125" s="475" t="s">
        <v>192</v>
      </c>
      <c r="K125" s="475" t="s">
        <v>192</v>
      </c>
      <c r="L125" s="399" t="s">
        <v>3599</v>
      </c>
      <c r="M125" s="530"/>
      <c r="N125" s="475" t="s">
        <v>489</v>
      </c>
      <c r="O125" s="475" t="s">
        <v>483</v>
      </c>
      <c r="P125" s="399" t="s">
        <v>2335</v>
      </c>
      <c r="Q125" s="477">
        <f>3107*2.4</f>
        <v>7456.7999999999993</v>
      </c>
      <c r="R125" s="477">
        <f>7500+100</f>
        <v>7600</v>
      </c>
      <c r="S125" s="477">
        <v>7531.1040000000003</v>
      </c>
      <c r="T125" s="667"/>
      <c r="U125" s="581"/>
      <c r="V125" s="581"/>
      <c r="W125" s="581"/>
      <c r="Y125" s="581"/>
      <c r="Z125" s="581"/>
      <c r="AA125" s="581"/>
      <c r="AB125" s="581"/>
      <c r="AC125" s="581"/>
      <c r="AE125" s="581"/>
      <c r="AF125" s="581"/>
      <c r="AG125" s="401"/>
      <c r="AH125" s="726">
        <f>S125</f>
        <v>7531.1040000000003</v>
      </c>
      <c r="AI125" s="401"/>
      <c r="AJ125" s="401"/>
      <c r="AK125" s="401"/>
      <c r="AL125" s="401"/>
      <c r="AM125" s="401"/>
      <c r="AN125" s="401"/>
      <c r="AO125" s="401"/>
      <c r="AP125" s="401"/>
      <c r="AQ125" s="401"/>
      <c r="AR125" s="401"/>
      <c r="AS125" s="401"/>
      <c r="AT125" s="401"/>
      <c r="AU125" s="401"/>
      <c r="BD125" s="473">
        <f t="shared" si="54"/>
        <v>45252.083333333336</v>
      </c>
      <c r="BE125" s="473">
        <f t="shared" si="55"/>
        <v>45257.336805555555</v>
      </c>
      <c r="BF125" s="479">
        <f t="shared" si="56"/>
        <v>5.2534722222189885</v>
      </c>
      <c r="BG125" s="473">
        <v>45252.083333333336</v>
      </c>
      <c r="BH125" s="473">
        <v>45252.100694444445</v>
      </c>
      <c r="BI125" s="473">
        <v>45252.135416666664</v>
      </c>
      <c r="BJ125" s="473">
        <v>45252.90625</v>
      </c>
      <c r="BK125" s="473">
        <v>45253.022916666669</v>
      </c>
      <c r="BL125" s="473">
        <v>45253.029166666667</v>
      </c>
      <c r="BM125" s="473">
        <v>45253.739583333336</v>
      </c>
      <c r="BN125" s="473">
        <v>45253.791666666664</v>
      </c>
      <c r="BO125" s="518" t="s">
        <v>196</v>
      </c>
      <c r="BP125" s="518" t="s">
        <v>196</v>
      </c>
      <c r="BQ125" s="518" t="s">
        <v>196</v>
      </c>
      <c r="BR125" s="473">
        <v>45253.965277777781</v>
      </c>
      <c r="BS125" s="473">
        <v>45256.854166666664</v>
      </c>
      <c r="BT125" s="473">
        <v>45257.020833333336</v>
      </c>
      <c r="BU125" s="473">
        <v>45257.041666666664</v>
      </c>
      <c r="BV125" s="473">
        <v>45257.138888888891</v>
      </c>
      <c r="BW125" s="473">
        <v>45257.336805555555</v>
      </c>
      <c r="BZ125" s="481">
        <f t="shared" si="57"/>
        <v>0.83333333325572312</v>
      </c>
      <c r="CA125" s="481">
        <f t="shared" si="58"/>
        <v>2.8000000000465661</v>
      </c>
      <c r="CB125" s="481">
        <f t="shared" si="59"/>
        <v>1.2499999998835847</v>
      </c>
      <c r="CC125" s="481">
        <f t="shared" si="70"/>
        <v>4.1666666668024845</v>
      </c>
      <c r="CD125" s="482">
        <f t="shared" si="60"/>
        <v>4.0000000001164153</v>
      </c>
      <c r="CE125" s="482">
        <f t="shared" si="61"/>
        <v>4.7499999999417923</v>
      </c>
      <c r="CF125" s="483">
        <f t="shared" si="62"/>
        <v>0.74166666666860692</v>
      </c>
      <c r="CG125" s="483">
        <f t="shared" si="63"/>
        <v>5.2534722222189885</v>
      </c>
      <c r="CH125" s="484">
        <f t="shared" si="64"/>
        <v>0.14117647058869151</v>
      </c>
    </row>
    <row r="126" spans="1:88" s="475" customFormat="1">
      <c r="A126" s="474">
        <f t="shared" si="68"/>
        <v>45254.364583333336</v>
      </c>
      <c r="B126" s="475" t="s">
        <v>188</v>
      </c>
      <c r="C126" s="475" t="s">
        <v>87</v>
      </c>
      <c r="D126" s="475" t="s">
        <v>197</v>
      </c>
      <c r="E126" s="399" t="s">
        <v>3159</v>
      </c>
      <c r="F126" s="399" t="s">
        <v>3378</v>
      </c>
      <c r="G126" s="472">
        <v>45255.166666666664</v>
      </c>
      <c r="H126" s="472">
        <v>45255.055555555555</v>
      </c>
      <c r="I126" s="399" t="s">
        <v>751</v>
      </c>
      <c r="J126" s="475" t="s">
        <v>192</v>
      </c>
      <c r="K126" s="475" t="s">
        <v>192</v>
      </c>
      <c r="L126" s="399" t="s">
        <v>3600</v>
      </c>
      <c r="M126" s="530"/>
      <c r="N126" s="475" t="s">
        <v>371</v>
      </c>
      <c r="O126" s="475" t="s">
        <v>372</v>
      </c>
      <c r="P126" s="399" t="s">
        <v>3601</v>
      </c>
      <c r="Q126" s="477">
        <f>3117*2.4</f>
        <v>7480.7999999999993</v>
      </c>
      <c r="R126" s="477">
        <f>7500+100</f>
        <v>7600</v>
      </c>
      <c r="S126" s="477">
        <v>7525.2359999999999</v>
      </c>
      <c r="T126" s="667"/>
      <c r="U126" s="581"/>
      <c r="V126" s="581"/>
      <c r="W126" s="581"/>
      <c r="X126" s="581"/>
      <c r="Y126" s="581"/>
      <c r="Z126" s="581"/>
      <c r="AA126" s="581"/>
      <c r="AB126" s="581"/>
      <c r="AC126" s="581"/>
      <c r="AD126" s="726">
        <f>S126</f>
        <v>7525.2359999999999</v>
      </c>
      <c r="AE126" s="581"/>
      <c r="BD126" s="473">
        <f t="shared" si="54"/>
        <v>45253.53125</v>
      </c>
      <c r="BE126" s="473">
        <f t="shared" si="55"/>
        <v>45260.135416666664</v>
      </c>
      <c r="BF126" s="479">
        <f t="shared" si="56"/>
        <v>6.6041666666642413</v>
      </c>
      <c r="BG126" s="473">
        <v>45253.53125</v>
      </c>
      <c r="BH126" s="473">
        <v>45253.541666666664</v>
      </c>
      <c r="BI126" s="473">
        <v>45253.5625</v>
      </c>
      <c r="BJ126" s="473">
        <v>45254.364583333336</v>
      </c>
      <c r="BK126" s="473">
        <v>45254.548611111109</v>
      </c>
      <c r="BL126" s="473">
        <v>45254.555555555555</v>
      </c>
      <c r="BM126" s="473">
        <v>45255.010416666664</v>
      </c>
      <c r="BN126" s="473">
        <v>45255.010416666664</v>
      </c>
      <c r="BO126" s="518" t="s">
        <v>196</v>
      </c>
      <c r="BP126" s="518" t="s">
        <v>196</v>
      </c>
      <c r="BQ126" s="518" t="s">
        <v>196</v>
      </c>
      <c r="BR126" s="473">
        <v>45255.260416666664</v>
      </c>
      <c r="BS126" s="473">
        <v>45259.111111111109</v>
      </c>
      <c r="BT126" s="473">
        <v>45259.743055555555</v>
      </c>
      <c r="BU126" s="473">
        <v>45259.770833333336</v>
      </c>
      <c r="BV126" s="473">
        <v>45259.770833333336</v>
      </c>
      <c r="BW126" s="473">
        <v>45260.135416666664</v>
      </c>
      <c r="BZ126" s="481">
        <f t="shared" si="57"/>
        <v>0.50000000005820766</v>
      </c>
      <c r="CA126" s="481">
        <f t="shared" si="58"/>
        <v>4.4166666665696539</v>
      </c>
      <c r="CB126" s="481">
        <f t="shared" si="59"/>
        <v>0</v>
      </c>
      <c r="CC126" s="481">
        <f t="shared" si="70"/>
        <v>6</v>
      </c>
      <c r="CD126" s="482">
        <f t="shared" si="60"/>
        <v>15.166666666686069</v>
      </c>
      <c r="CE126" s="482">
        <f t="shared" si="61"/>
        <v>8.7499999998835847</v>
      </c>
      <c r="CF126" s="483">
        <f t="shared" si="62"/>
        <v>1.4513888888832298</v>
      </c>
      <c r="CG126" s="483">
        <f t="shared" si="63"/>
        <v>6.6041666666642413</v>
      </c>
      <c r="CH126" s="484">
        <f t="shared" si="64"/>
        <v>0.21976866456284105</v>
      </c>
    </row>
    <row r="127" spans="1:88" s="475" customFormat="1">
      <c r="A127" s="474">
        <f t="shared" si="68"/>
        <v>45255.713888888888</v>
      </c>
      <c r="B127" s="475" t="s">
        <v>188</v>
      </c>
      <c r="C127" s="475" t="s">
        <v>87</v>
      </c>
      <c r="D127" s="475" t="s">
        <v>197</v>
      </c>
      <c r="E127" s="399" t="s">
        <v>3159</v>
      </c>
      <c r="F127" s="399" t="s">
        <v>3378</v>
      </c>
      <c r="G127" s="472">
        <v>45255.166666666664</v>
      </c>
      <c r="H127" s="472">
        <v>45255.055555555555</v>
      </c>
      <c r="I127" s="399" t="s">
        <v>751</v>
      </c>
      <c r="J127" s="475" t="s">
        <v>192</v>
      </c>
      <c r="K127" s="475" t="s">
        <v>192</v>
      </c>
      <c r="L127" s="399" t="s">
        <v>3602</v>
      </c>
      <c r="M127" s="530"/>
      <c r="N127" s="475" t="s">
        <v>2277</v>
      </c>
      <c r="O127" s="475" t="s">
        <v>2278</v>
      </c>
      <c r="P127" s="399" t="s">
        <v>3601</v>
      </c>
      <c r="Q127" s="477">
        <f>3099 *2.4</f>
        <v>7437.5999999999995</v>
      </c>
      <c r="R127" s="477">
        <f>7500+100</f>
        <v>7600</v>
      </c>
      <c r="S127" s="477">
        <v>7519.6390000000001</v>
      </c>
      <c r="T127" s="667"/>
      <c r="U127" s="577"/>
      <c r="V127" s="577"/>
      <c r="W127" s="577"/>
      <c r="X127" s="577"/>
      <c r="Y127" s="577"/>
      <c r="Z127" s="577"/>
      <c r="AA127" s="577"/>
      <c r="AB127" s="581"/>
      <c r="AC127" s="581"/>
      <c r="AD127" s="726">
        <f>S127</f>
        <v>7519.6390000000001</v>
      </c>
      <c r="AE127" s="667"/>
      <c r="AF127" s="667"/>
      <c r="AG127" s="667"/>
      <c r="AH127" s="667"/>
      <c r="AI127" s="667"/>
      <c r="AJ127" s="667"/>
      <c r="AK127" s="667"/>
      <c r="AL127" s="667"/>
      <c r="AM127" s="667"/>
      <c r="AN127" s="667"/>
      <c r="AO127" s="667"/>
      <c r="AP127" s="667"/>
      <c r="AQ127" s="667"/>
      <c r="AR127" s="667"/>
      <c r="AS127" s="667"/>
      <c r="AT127" s="667"/>
      <c r="AU127" s="667"/>
      <c r="AV127" s="667"/>
      <c r="AW127" s="667"/>
      <c r="AX127" s="667"/>
      <c r="AY127" s="667"/>
      <c r="AZ127" s="667"/>
      <c r="BA127" s="667"/>
      <c r="BB127" s="667"/>
      <c r="BC127" s="667"/>
      <c r="BD127" s="473">
        <f t="shared" si="54"/>
        <v>45254.385416666664</v>
      </c>
      <c r="BE127" s="473">
        <f t="shared" si="55"/>
        <v>45260.927083333336</v>
      </c>
      <c r="BF127" s="479">
        <f t="shared" si="56"/>
        <v>6.5416666666715173</v>
      </c>
      <c r="BG127" s="473">
        <v>45254.385416666664</v>
      </c>
      <c r="BH127" s="473">
        <v>45254.569444444445</v>
      </c>
      <c r="BI127" s="473">
        <v>45254.614583333336</v>
      </c>
      <c r="BJ127" s="473">
        <v>45255.713888888888</v>
      </c>
      <c r="BK127" s="473">
        <v>45255.916666666664</v>
      </c>
      <c r="BL127" s="473">
        <v>45255.923611111109</v>
      </c>
      <c r="BM127" s="473">
        <v>45256.638888888891</v>
      </c>
      <c r="BN127" s="473">
        <v>45256.638888888891</v>
      </c>
      <c r="BO127" s="518" t="s">
        <v>196</v>
      </c>
      <c r="BP127" s="518" t="s">
        <v>196</v>
      </c>
      <c r="BQ127" s="518" t="s">
        <v>196</v>
      </c>
      <c r="BR127" s="473">
        <v>45256.951388888891</v>
      </c>
      <c r="BS127" s="473">
        <v>45259.822916666664</v>
      </c>
      <c r="BT127" s="473">
        <v>45260.590277777781</v>
      </c>
      <c r="BU127" s="473">
        <v>45260.638888888891</v>
      </c>
      <c r="BV127" s="473">
        <v>45260.638888888891</v>
      </c>
      <c r="BW127" s="473">
        <v>45260.927083333336</v>
      </c>
      <c r="BZ127" s="481">
        <f t="shared" si="57"/>
        <v>1.0833333333721384</v>
      </c>
      <c r="CA127" s="481">
        <f t="shared" si="58"/>
        <v>4.8666666666395031</v>
      </c>
      <c r="CB127" s="481">
        <f t="shared" si="59"/>
        <v>0</v>
      </c>
      <c r="CC127" s="481">
        <f t="shared" si="70"/>
        <v>7.5</v>
      </c>
      <c r="CD127" s="482">
        <f t="shared" si="60"/>
        <v>18.416666666802485</v>
      </c>
      <c r="CE127" s="482">
        <f t="shared" si="61"/>
        <v>6.9166666666860692</v>
      </c>
      <c r="CF127" s="483">
        <f t="shared" si="62"/>
        <v>1.6159722222291748</v>
      </c>
      <c r="CG127" s="483">
        <f t="shared" si="63"/>
        <v>6.5416666666715173</v>
      </c>
      <c r="CH127" s="484">
        <f t="shared" si="64"/>
        <v>0.24702760085013656</v>
      </c>
    </row>
    <row r="128" spans="1:88" s="475" customFormat="1">
      <c r="A128" s="474">
        <f t="shared" si="68"/>
        <v>45238.40625</v>
      </c>
      <c r="B128" s="475" t="s">
        <v>188</v>
      </c>
      <c r="C128" s="475" t="s">
        <v>174</v>
      </c>
      <c r="D128" s="475" t="s">
        <v>215</v>
      </c>
      <c r="E128" s="667" t="s">
        <v>3139</v>
      </c>
      <c r="F128" s="399" t="s">
        <v>3378</v>
      </c>
      <c r="G128" s="473">
        <v>45243.375</v>
      </c>
      <c r="H128" s="473">
        <v>45243.321527777778</v>
      </c>
      <c r="I128" s="667" t="s">
        <v>2704</v>
      </c>
      <c r="J128" s="475" t="s">
        <v>192</v>
      </c>
      <c r="K128" s="475" t="s">
        <v>192</v>
      </c>
      <c r="L128" s="399" t="s">
        <v>3603</v>
      </c>
      <c r="M128" s="530"/>
      <c r="N128" s="475" t="s">
        <v>1972</v>
      </c>
      <c r="O128" s="475" t="s">
        <v>1973</v>
      </c>
      <c r="P128" s="667" t="s">
        <v>85</v>
      </c>
      <c r="Q128" s="477">
        <f>3107*2.4</f>
        <v>7456.7999999999993</v>
      </c>
      <c r="R128" s="477">
        <f>7500+100</f>
        <v>7600</v>
      </c>
      <c r="S128" s="477">
        <v>7321.7160000000003</v>
      </c>
      <c r="T128" s="667"/>
      <c r="U128" s="581"/>
      <c r="W128" s="581"/>
      <c r="AA128" s="581"/>
      <c r="AB128" s="726">
        <f>S128</f>
        <v>7321.7160000000003</v>
      </c>
      <c r="AC128" s="401"/>
      <c r="AD128" s="401"/>
      <c r="AE128" s="401"/>
      <c r="AF128" s="401"/>
      <c r="AG128" s="401"/>
      <c r="AH128" s="401"/>
      <c r="AI128" s="401"/>
      <c r="AJ128" s="401"/>
      <c r="AK128" s="401"/>
      <c r="AL128" s="401"/>
      <c r="AM128" s="401"/>
      <c r="AN128" s="401"/>
      <c r="AO128" s="401"/>
      <c r="AP128" s="401"/>
      <c r="AQ128" s="401"/>
      <c r="AR128" s="401"/>
      <c r="AS128" s="401"/>
      <c r="AT128" s="401"/>
      <c r="AU128" s="401"/>
      <c r="BD128" s="473">
        <f t="shared" si="54"/>
        <v>45227.875</v>
      </c>
      <c r="BE128" s="473">
        <f t="shared" si="55"/>
        <v>45244.847222222219</v>
      </c>
      <c r="BF128" s="479">
        <f t="shared" si="56"/>
        <v>16.972222222218988</v>
      </c>
      <c r="BG128" s="473">
        <v>45227.875</v>
      </c>
      <c r="BH128" s="473">
        <v>45233.041666666664</v>
      </c>
      <c r="BI128" s="473">
        <v>45235.020833333336</v>
      </c>
      <c r="BJ128" s="473">
        <v>45238.40625</v>
      </c>
      <c r="BK128" s="473">
        <v>45238.958333333336</v>
      </c>
      <c r="BL128" s="473">
        <v>45238.979166666664</v>
      </c>
      <c r="BM128" s="473">
        <v>45240.083333333336</v>
      </c>
      <c r="BN128" s="473">
        <v>45240.083333333336</v>
      </c>
      <c r="BO128" s="518" t="s">
        <v>196</v>
      </c>
      <c r="BP128" s="518" t="s">
        <v>196</v>
      </c>
      <c r="BQ128" s="518" t="s">
        <v>196</v>
      </c>
      <c r="BR128" s="473">
        <v>45243.8125</v>
      </c>
      <c r="BS128" s="473">
        <v>45244.229166666664</v>
      </c>
      <c r="BT128" s="473">
        <v>45244.541666666664</v>
      </c>
      <c r="BU128" s="473">
        <v>45244.5625</v>
      </c>
      <c r="BV128" s="473">
        <v>45244.645833333336</v>
      </c>
      <c r="BW128" s="473">
        <v>45244.847222222219</v>
      </c>
      <c r="BZ128" s="481">
        <f t="shared" si="57"/>
        <v>47.500000000116415</v>
      </c>
      <c r="CA128" s="481">
        <f t="shared" si="58"/>
        <v>13.250000000058208</v>
      </c>
      <c r="CB128" s="481">
        <f t="shared" si="59"/>
        <v>0</v>
      </c>
      <c r="CC128" s="481">
        <f t="shared" si="70"/>
        <v>89.499999999941792</v>
      </c>
      <c r="CD128" s="482">
        <f t="shared" si="60"/>
        <v>7.5</v>
      </c>
      <c r="CE128" s="482">
        <f t="shared" si="61"/>
        <v>4.8333333331975155</v>
      </c>
      <c r="CF128" s="483">
        <f t="shared" si="62"/>
        <v>6.7743055555547471</v>
      </c>
      <c r="CG128" s="483">
        <f t="shared" si="63"/>
        <v>16.972222222218988</v>
      </c>
      <c r="CH128" s="484">
        <f t="shared" si="64"/>
        <v>0.39914075286418554</v>
      </c>
    </row>
    <row r="129" spans="1:88" s="475" customFormat="1">
      <c r="A129" s="474">
        <f t="shared" si="68"/>
        <v>45248.909722222219</v>
      </c>
      <c r="B129" s="475" t="s">
        <v>188</v>
      </c>
      <c r="C129" s="475" t="s">
        <v>85</v>
      </c>
      <c r="D129" s="475" t="s">
        <v>197</v>
      </c>
      <c r="E129" s="399" t="s">
        <v>3151</v>
      </c>
      <c r="F129" s="399" t="s">
        <v>3378</v>
      </c>
      <c r="G129" s="472">
        <v>45250.25</v>
      </c>
      <c r="H129" s="472">
        <v>45250.166666666664</v>
      </c>
      <c r="I129" s="399" t="s">
        <v>2704</v>
      </c>
      <c r="J129" s="475" t="s">
        <v>192</v>
      </c>
      <c r="K129" s="475" t="s">
        <v>192</v>
      </c>
      <c r="L129" s="399" t="s">
        <v>3604</v>
      </c>
      <c r="M129" s="530"/>
      <c r="N129" s="475" t="s">
        <v>330</v>
      </c>
      <c r="O129" s="475" t="s">
        <v>331</v>
      </c>
      <c r="P129" s="399" t="s">
        <v>85</v>
      </c>
      <c r="Q129" s="477">
        <f>3136*2.4</f>
        <v>7526.4</v>
      </c>
      <c r="R129" s="477">
        <f>7550+100</f>
        <v>7650</v>
      </c>
      <c r="S129" s="477">
        <v>7309.2740000000003</v>
      </c>
      <c r="T129" s="667"/>
      <c r="U129" s="581"/>
      <c r="V129" s="581"/>
      <c r="W129" s="401"/>
      <c r="X129" s="401"/>
      <c r="AA129" s="581"/>
      <c r="AB129" s="726">
        <f>S129</f>
        <v>7309.2740000000003</v>
      </c>
      <c r="AC129" s="581"/>
      <c r="AD129" s="581"/>
      <c r="AE129" s="581"/>
      <c r="AF129" s="581"/>
      <c r="AG129" s="581"/>
      <c r="AH129" s="581"/>
      <c r="BD129" s="473">
        <f t="shared" si="54"/>
        <v>45248.708333333336</v>
      </c>
      <c r="BE129" s="473">
        <f t="shared" si="55"/>
        <v>45255.347222222219</v>
      </c>
      <c r="BF129" s="479">
        <f t="shared" si="56"/>
        <v>6.6388888888832298</v>
      </c>
      <c r="BG129" s="473">
        <v>45248.708333333336</v>
      </c>
      <c r="BH129" s="473">
        <v>45248.760416666664</v>
      </c>
      <c r="BI129" s="473">
        <v>45248.868055555555</v>
      </c>
      <c r="BJ129" s="473">
        <v>45248.909722222219</v>
      </c>
      <c r="BK129" s="473">
        <v>45249.274305555555</v>
      </c>
      <c r="BL129" s="473">
        <v>45249.291666666664</v>
      </c>
      <c r="BM129" s="473">
        <v>45250.166666666664</v>
      </c>
      <c r="BN129" s="473">
        <v>45250.166666666664</v>
      </c>
      <c r="BO129" s="518" t="s">
        <v>196</v>
      </c>
      <c r="BP129" s="518" t="s">
        <v>196</v>
      </c>
      <c r="BQ129" s="518" t="s">
        <v>196</v>
      </c>
      <c r="BR129" s="473">
        <v>45253.9375</v>
      </c>
      <c r="BS129" s="473">
        <v>45254.600694444445</v>
      </c>
      <c r="BT129" s="473">
        <v>45254.902777777781</v>
      </c>
      <c r="BU129" s="473">
        <v>45254.923611111109</v>
      </c>
      <c r="BV129" s="473">
        <v>45255.076388888891</v>
      </c>
      <c r="BW129" s="473">
        <v>45255.347222222219</v>
      </c>
      <c r="BZ129" s="481">
        <f t="shared" si="57"/>
        <v>2.5833333333721384</v>
      </c>
      <c r="CA129" s="481">
        <f t="shared" si="58"/>
        <v>8.7500000000582077</v>
      </c>
      <c r="CB129" s="481">
        <f t="shared" si="59"/>
        <v>0</v>
      </c>
      <c r="CC129" s="481">
        <f t="shared" si="70"/>
        <v>90.500000000058208</v>
      </c>
      <c r="CD129" s="482">
        <f t="shared" si="60"/>
        <v>7.2500000000582077</v>
      </c>
      <c r="CE129" s="482">
        <f t="shared" si="61"/>
        <v>6.4999999998835847</v>
      </c>
      <c r="CF129" s="483">
        <f t="shared" si="62"/>
        <v>4.8159722222262644</v>
      </c>
      <c r="CG129" s="483">
        <f t="shared" si="63"/>
        <v>6.6388888888832298</v>
      </c>
      <c r="CH129" s="484">
        <f t="shared" si="64"/>
        <v>0.72541841004306817</v>
      </c>
    </row>
    <row r="130" spans="1:88" s="475" customFormat="1">
      <c r="A130" s="474">
        <f t="shared" si="68"/>
        <v>45251.597222222219</v>
      </c>
      <c r="B130" s="475" t="s">
        <v>188</v>
      </c>
      <c r="C130" s="475" t="s">
        <v>85</v>
      </c>
      <c r="D130" s="475" t="s">
        <v>197</v>
      </c>
      <c r="E130" s="399" t="s">
        <v>3156</v>
      </c>
      <c r="F130" s="399" t="s">
        <v>3474</v>
      </c>
      <c r="G130" s="472">
        <v>45252.083333333336</v>
      </c>
      <c r="H130" s="472">
        <v>45252.01666666667</v>
      </c>
      <c r="I130" s="399" t="s">
        <v>2704</v>
      </c>
      <c r="J130" s="475" t="s">
        <v>192</v>
      </c>
      <c r="K130" s="475" t="s">
        <v>192</v>
      </c>
      <c r="L130" s="399" t="s">
        <v>3605</v>
      </c>
      <c r="M130" s="530"/>
      <c r="N130" s="475" t="s">
        <v>70</v>
      </c>
      <c r="O130" s="475" t="s">
        <v>1982</v>
      </c>
      <c r="P130" s="399" t="s">
        <v>85</v>
      </c>
      <c r="Q130" s="477">
        <f>3142*2.4</f>
        <v>7540.7999999999993</v>
      </c>
      <c r="R130" s="477">
        <f>7550+100</f>
        <v>7650</v>
      </c>
      <c r="S130" s="477">
        <v>7319.5739999999996</v>
      </c>
      <c r="T130" s="667"/>
      <c r="U130" s="581"/>
      <c r="V130" s="581"/>
      <c r="W130" s="581"/>
      <c r="X130" s="581"/>
      <c r="Z130" s="581"/>
      <c r="AA130" s="581"/>
      <c r="AB130" s="726">
        <f>S130</f>
        <v>7319.5739999999996</v>
      </c>
      <c r="AC130" s="581"/>
      <c r="AD130" s="581"/>
      <c r="AE130" s="667"/>
      <c r="AF130" s="667"/>
      <c r="AG130" s="667"/>
      <c r="AH130" s="667"/>
      <c r="AI130" s="667"/>
      <c r="AJ130" s="667"/>
      <c r="AK130" s="667"/>
      <c r="AL130" s="667"/>
      <c r="AM130" s="667"/>
      <c r="AN130" s="667"/>
      <c r="AO130" s="667"/>
      <c r="AP130" s="667"/>
      <c r="AQ130" s="667"/>
      <c r="AR130" s="667"/>
      <c r="AS130" s="667"/>
      <c r="AT130" s="667"/>
      <c r="AU130" s="667"/>
      <c r="AV130" s="667"/>
      <c r="AW130" s="667"/>
      <c r="BD130" s="473">
        <f t="shared" si="54"/>
        <v>45247.520833333336</v>
      </c>
      <c r="BE130" s="473">
        <f t="shared" si="55"/>
        <v>45257.833333333336</v>
      </c>
      <c r="BF130" s="479">
        <f t="shared" si="56"/>
        <v>10.3125</v>
      </c>
      <c r="BG130" s="473">
        <v>45247.520833333336</v>
      </c>
      <c r="BH130" s="473">
        <v>45247.791666666664</v>
      </c>
      <c r="BI130" s="473">
        <v>45250.40625</v>
      </c>
      <c r="BJ130" s="473">
        <v>45251.597222222219</v>
      </c>
      <c r="BK130" s="473">
        <v>45251.982638888891</v>
      </c>
      <c r="BL130" s="473">
        <v>45251.996527777781</v>
      </c>
      <c r="BM130" s="473">
        <v>45252.996527777781</v>
      </c>
      <c r="BN130" s="473">
        <v>45252.996527777781</v>
      </c>
      <c r="BO130" s="518" t="s">
        <v>196</v>
      </c>
      <c r="BP130" s="518" t="s">
        <v>196</v>
      </c>
      <c r="BQ130" s="518" t="s">
        <v>196</v>
      </c>
      <c r="BR130" s="473">
        <v>45257.041666666664</v>
      </c>
      <c r="BS130" s="473">
        <v>45257.125</v>
      </c>
      <c r="BT130" s="473">
        <v>45257.5625</v>
      </c>
      <c r="BU130" s="473">
        <v>45257.583333333336</v>
      </c>
      <c r="BV130" s="473">
        <v>45257.611111111109</v>
      </c>
      <c r="BW130" s="473">
        <v>45257.833333333336</v>
      </c>
      <c r="BZ130" s="481">
        <f t="shared" si="57"/>
        <v>62.750000000058208</v>
      </c>
      <c r="CA130" s="481">
        <f t="shared" si="58"/>
        <v>9.2500000001164153</v>
      </c>
      <c r="CB130" s="481">
        <f t="shared" si="59"/>
        <v>0</v>
      </c>
      <c r="CC130" s="481">
        <f t="shared" si="70"/>
        <v>97.083333333197515</v>
      </c>
      <c r="CD130" s="482">
        <f t="shared" si="60"/>
        <v>10.5</v>
      </c>
      <c r="CE130" s="482">
        <f t="shared" si="61"/>
        <v>5.3333333334303461</v>
      </c>
      <c r="CF130" s="483">
        <f t="shared" si="62"/>
        <v>7.7048611111167702</v>
      </c>
      <c r="CG130" s="483">
        <f t="shared" si="63"/>
        <v>10.3125</v>
      </c>
      <c r="CH130" s="484">
        <f t="shared" si="64"/>
        <v>0.74713804713859588</v>
      </c>
    </row>
    <row r="131" spans="1:88" s="475" customFormat="1">
      <c r="A131" s="474">
        <f t="shared" si="68"/>
        <v>45233.125</v>
      </c>
      <c r="B131" s="475" t="s">
        <v>188</v>
      </c>
      <c r="C131" s="475" t="s">
        <v>84</v>
      </c>
      <c r="D131" s="475" t="s">
        <v>197</v>
      </c>
      <c r="E131" s="832" t="s">
        <v>3401</v>
      </c>
      <c r="F131" s="475" t="s">
        <v>3378</v>
      </c>
      <c r="G131" s="473">
        <v>45238.887499999997</v>
      </c>
      <c r="H131" s="473">
        <v>45238.887499999997</v>
      </c>
      <c r="I131" s="667" t="s">
        <v>455</v>
      </c>
      <c r="J131" s="475" t="s">
        <v>192</v>
      </c>
      <c r="K131" s="475" t="s">
        <v>192</v>
      </c>
      <c r="L131" s="667" t="s">
        <v>3606</v>
      </c>
      <c r="M131" s="530"/>
      <c r="N131" s="475" t="s">
        <v>1313</v>
      </c>
      <c r="O131" s="475" t="s">
        <v>2486</v>
      </c>
      <c r="P131" s="667" t="s">
        <v>84</v>
      </c>
      <c r="Q131" s="477">
        <f>3071*2.4</f>
        <v>7370.4</v>
      </c>
      <c r="R131" s="477">
        <f>7400+100</f>
        <v>7500</v>
      </c>
      <c r="S131" s="477">
        <v>7559</v>
      </c>
      <c r="T131" s="667"/>
      <c r="U131" s="581"/>
      <c r="V131" s="581"/>
      <c r="W131" s="581"/>
      <c r="X131" s="581"/>
      <c r="Y131" s="581"/>
      <c r="Z131" s="581"/>
      <c r="AA131" s="581"/>
      <c r="AB131" s="581"/>
      <c r="AC131" s="575"/>
      <c r="AM131" s="726">
        <f>S131</f>
        <v>7559</v>
      </c>
      <c r="BD131" s="473">
        <f t="shared" si="54"/>
        <v>45229.375</v>
      </c>
      <c r="BE131" s="473">
        <f t="shared" si="55"/>
        <v>45237.125</v>
      </c>
      <c r="BF131" s="479">
        <f t="shared" si="56"/>
        <v>7.75</v>
      </c>
      <c r="BG131" s="473">
        <v>45229.375</v>
      </c>
      <c r="BH131" s="473">
        <v>45231.8125</v>
      </c>
      <c r="BI131" s="473">
        <v>45232.888888888891</v>
      </c>
      <c r="BJ131" s="473">
        <v>45233.125</v>
      </c>
      <c r="BK131" s="473">
        <v>45233.302083333336</v>
      </c>
      <c r="BL131" s="473">
        <v>45233.322916666664</v>
      </c>
      <c r="BM131" s="473">
        <v>45233.791666666664</v>
      </c>
      <c r="BN131" s="473">
        <v>45233.791666666664</v>
      </c>
      <c r="BO131" s="518" t="s">
        <v>196</v>
      </c>
      <c r="BP131" s="518" t="s">
        <v>196</v>
      </c>
      <c r="BQ131" s="518" t="s">
        <v>196</v>
      </c>
      <c r="BR131" s="473">
        <v>45236.006944444445</v>
      </c>
      <c r="BS131" s="473">
        <v>45236.225694444445</v>
      </c>
      <c r="BT131" s="473">
        <v>45236.506944444445</v>
      </c>
      <c r="BU131" s="473">
        <v>45236.520833333336</v>
      </c>
      <c r="BV131" s="473">
        <v>45236.677083333336</v>
      </c>
      <c r="BW131" s="473">
        <v>45237.125</v>
      </c>
      <c r="BZ131" s="481">
        <f t="shared" si="57"/>
        <v>25.833333333372138</v>
      </c>
      <c r="CA131" s="481">
        <f t="shared" si="58"/>
        <v>4.2500000000582077</v>
      </c>
      <c r="CB131" s="481">
        <f t="shared" si="59"/>
        <v>0</v>
      </c>
      <c r="CC131" s="481">
        <f t="shared" si="70"/>
        <v>53.166666666744277</v>
      </c>
      <c r="CD131" s="482">
        <f t="shared" si="60"/>
        <v>6.75</v>
      </c>
      <c r="CE131" s="482">
        <f t="shared" si="61"/>
        <v>10.749999999941792</v>
      </c>
      <c r="CF131" s="483">
        <f t="shared" si="62"/>
        <v>4.1979166666715173</v>
      </c>
      <c r="CG131" s="483">
        <f t="shared" si="63"/>
        <v>7.75</v>
      </c>
      <c r="CH131" s="484">
        <f t="shared" si="64"/>
        <v>0.54166666666729257</v>
      </c>
    </row>
    <row r="132" spans="1:88" s="475" customFormat="1">
      <c r="A132" s="474">
        <f t="shared" si="68"/>
        <v>45252.847222222219</v>
      </c>
      <c r="B132" s="475" t="s">
        <v>188</v>
      </c>
      <c r="C132" s="475" t="s">
        <v>84</v>
      </c>
      <c r="D132" s="475" t="s">
        <v>197</v>
      </c>
      <c r="E132" s="476" t="s">
        <v>1789</v>
      </c>
      <c r="F132" s="399" t="s">
        <v>3474</v>
      </c>
      <c r="G132" s="472">
        <v>45258.270833333336</v>
      </c>
      <c r="H132" s="472">
        <v>45258.270833333336</v>
      </c>
      <c r="I132" s="399" t="s">
        <v>455</v>
      </c>
      <c r="J132" s="475" t="s">
        <v>192</v>
      </c>
      <c r="K132" s="475" t="s">
        <v>192</v>
      </c>
      <c r="L132" s="399" t="s">
        <v>3607</v>
      </c>
      <c r="M132" s="530"/>
      <c r="N132" s="475" t="s">
        <v>1799</v>
      </c>
      <c r="O132" s="475" t="s">
        <v>2437</v>
      </c>
      <c r="P132" s="399" t="s">
        <v>84</v>
      </c>
      <c r="Q132" s="477">
        <f>3147*2.4</f>
        <v>7552.7999999999993</v>
      </c>
      <c r="R132" s="477">
        <f>7550+100</f>
        <v>7650</v>
      </c>
      <c r="S132" s="477">
        <v>7501</v>
      </c>
      <c r="T132" s="667"/>
      <c r="U132" s="581"/>
      <c r="V132" s="581"/>
      <c r="W132" s="581"/>
      <c r="Y132" s="581"/>
      <c r="Z132" s="581"/>
      <c r="AA132" s="581"/>
      <c r="AB132" s="581"/>
      <c r="AC132" s="581"/>
      <c r="AD132" s="581"/>
      <c r="AE132" s="581"/>
      <c r="AF132" s="667"/>
      <c r="AG132" s="667"/>
      <c r="AH132" s="667"/>
      <c r="AI132" s="667"/>
      <c r="AJ132" s="667"/>
      <c r="AK132" s="667"/>
      <c r="AL132" s="667"/>
      <c r="AM132" s="580">
        <f>S132</f>
        <v>7501</v>
      </c>
      <c r="AN132" s="667"/>
      <c r="AO132" s="667"/>
      <c r="AP132" s="667"/>
      <c r="AQ132" s="667"/>
      <c r="AR132" s="667"/>
      <c r="AS132" s="667"/>
      <c r="AT132" s="667"/>
      <c r="AU132" s="667"/>
      <c r="AV132" s="667"/>
      <c r="AW132" s="667"/>
      <c r="AX132" s="667"/>
      <c r="AY132" s="667"/>
      <c r="AZ132" s="667"/>
      <c r="BA132" s="667"/>
      <c r="BB132" s="667"/>
      <c r="BC132" s="667"/>
      <c r="BD132" s="473">
        <f t="shared" ref="BD132:BD163" si="71">BG132</f>
        <v>45246.21875</v>
      </c>
      <c r="BE132" s="473">
        <f t="shared" ref="BE132:BE163" si="72">BW132</f>
        <v>45259.427083333336</v>
      </c>
      <c r="BF132" s="479">
        <f t="shared" ref="BF132:BF163" si="73">BE132-BD132</f>
        <v>13.208333333335759</v>
      </c>
      <c r="BG132" s="473">
        <v>45246.21875</v>
      </c>
      <c r="BH132" s="473">
        <v>45247.979166666664</v>
      </c>
      <c r="BI132" s="473">
        <v>45249.027777777781</v>
      </c>
      <c r="BJ132" s="473">
        <v>45252.847222222219</v>
      </c>
      <c r="BK132" s="473">
        <v>45253.163194444445</v>
      </c>
      <c r="BL132" s="473">
        <v>45253.177083333336</v>
      </c>
      <c r="BM132" s="473">
        <v>45253.729166666664</v>
      </c>
      <c r="BN132" s="473">
        <f>BM132</f>
        <v>45253.729166666664</v>
      </c>
      <c r="BO132" s="518" t="s">
        <v>196</v>
      </c>
      <c r="BP132" s="518" t="s">
        <v>196</v>
      </c>
      <c r="BQ132" s="518" t="s">
        <v>196</v>
      </c>
      <c r="BR132" s="473">
        <v>45255.909722222219</v>
      </c>
      <c r="BS132" s="473">
        <v>45258.159722222219</v>
      </c>
      <c r="BT132" s="473">
        <v>45258.427083333336</v>
      </c>
      <c r="BU132" s="473">
        <v>45258.458333333336</v>
      </c>
      <c r="BV132" s="473">
        <v>45258.888888888891</v>
      </c>
      <c r="BW132" s="473">
        <v>45259.427083333336</v>
      </c>
      <c r="BZ132" s="481">
        <f t="shared" ref="BZ132:BZ163" si="74">(BI132-BH132)*24</f>
        <v>25.166666666802485</v>
      </c>
      <c r="CA132" s="481">
        <f t="shared" ref="CA132:CA163" si="75">(BK132-BJ132)*24</f>
        <v>7.5833333334303461</v>
      </c>
      <c r="CB132" s="481">
        <f t="shared" ref="CB132:CB163" si="76">(BN132-BM132)*24</f>
        <v>0</v>
      </c>
      <c r="CC132" s="481">
        <f t="shared" si="70"/>
        <v>52.333333333313931</v>
      </c>
      <c r="CD132" s="482">
        <f t="shared" ref="CD132:CD163" si="77">(BT132-BS132)*24</f>
        <v>6.4166666668024845</v>
      </c>
      <c r="CE132" s="482">
        <f t="shared" ref="CE132:CE163" si="78">(BW132-BV132)*24</f>
        <v>12.916666666686069</v>
      </c>
      <c r="CF132" s="483">
        <f t="shared" ref="CF132:CF163" si="79">SUM(BZ132:CE132)/24</f>
        <v>4.3506944444598048</v>
      </c>
      <c r="CG132" s="483">
        <f t="shared" ref="CG132:CG163" si="80">BF132</f>
        <v>13.208333333335759</v>
      </c>
      <c r="CH132" s="484">
        <f t="shared" ref="CH132:CH163" si="81">CF132/CG132</f>
        <v>0.32939011566882065</v>
      </c>
    </row>
    <row r="133" spans="1:88" s="475" customFormat="1">
      <c r="A133" s="474">
        <f t="shared" si="68"/>
        <v>45233.291666666664</v>
      </c>
      <c r="B133" s="475" t="s">
        <v>188</v>
      </c>
      <c r="C133" s="475" t="s">
        <v>2747</v>
      </c>
      <c r="D133" s="475" t="s">
        <v>197</v>
      </c>
      <c r="E133" s="667" t="s">
        <v>3584</v>
      </c>
      <c r="F133" s="475" t="s">
        <v>3378</v>
      </c>
      <c r="G133" s="473">
        <v>45241.541666666664</v>
      </c>
      <c r="H133" s="473">
        <v>45241.506944444445</v>
      </c>
      <c r="I133" s="667" t="s">
        <v>3413</v>
      </c>
      <c r="J133" s="475" t="s">
        <v>192</v>
      </c>
      <c r="K133" s="475" t="s">
        <v>192</v>
      </c>
      <c r="L133" s="832" t="s">
        <v>3608</v>
      </c>
      <c r="M133" s="530"/>
      <c r="N133" s="475" t="s">
        <v>805</v>
      </c>
      <c r="O133" s="475" t="s">
        <v>381</v>
      </c>
      <c r="P133" s="667" t="s">
        <v>2747</v>
      </c>
      <c r="Q133" s="477">
        <f>3100*2.4</f>
        <v>7440</v>
      </c>
      <c r="R133" s="477">
        <f>7450+100</f>
        <v>7550</v>
      </c>
      <c r="S133" s="477">
        <f>7504.721-3478.721</f>
        <v>4025.9999999999995</v>
      </c>
      <c r="T133" s="667"/>
      <c r="U133" s="581"/>
      <c r="W133" s="581"/>
      <c r="Z133" s="581"/>
      <c r="AA133" s="581"/>
      <c r="AB133" s="667"/>
      <c r="AC133" s="667"/>
      <c r="AD133" s="667"/>
      <c r="AE133" s="667"/>
      <c r="AF133" s="667"/>
      <c r="AG133" s="667"/>
      <c r="AH133" s="667"/>
      <c r="AI133" s="667"/>
      <c r="AJ133" s="667"/>
      <c r="AK133" s="667"/>
      <c r="AL133" s="667"/>
      <c r="AM133" s="667"/>
      <c r="AN133" s="667"/>
      <c r="AO133" s="667"/>
      <c r="AP133" s="667"/>
      <c r="AQ133" s="667"/>
      <c r="AR133" s="667"/>
      <c r="AS133" s="667"/>
      <c r="AT133" s="667"/>
      <c r="AU133" s="667"/>
      <c r="AV133" s="667"/>
      <c r="AW133" s="667"/>
      <c r="AX133" s="726">
        <f>S133</f>
        <v>4025.9999999999995</v>
      </c>
      <c r="AY133" s="726"/>
      <c r="AZ133" s="726"/>
      <c r="BA133" s="726"/>
      <c r="BB133" s="726"/>
      <c r="BC133" s="726"/>
      <c r="BD133" s="473">
        <f t="shared" si="71"/>
        <v>45227.5</v>
      </c>
      <c r="BE133" s="473">
        <f t="shared" si="72"/>
        <v>45240.086805555555</v>
      </c>
      <c r="BF133" s="479">
        <f t="shared" si="73"/>
        <v>12.586805555554747</v>
      </c>
      <c r="BG133" s="473">
        <v>45227.5</v>
      </c>
      <c r="BH133" s="473">
        <v>45231.892361111109</v>
      </c>
      <c r="BI133" s="473">
        <v>45232.583333333336</v>
      </c>
      <c r="BJ133" s="473">
        <v>45233.291666666664</v>
      </c>
      <c r="BK133" s="473">
        <v>45236.96875</v>
      </c>
      <c r="BL133" s="473">
        <v>45237.597222222219</v>
      </c>
      <c r="BM133" s="473">
        <v>45237.597222222219</v>
      </c>
      <c r="BN133" s="473">
        <v>45237.597222222219</v>
      </c>
      <c r="BO133" s="518" t="s">
        <v>196</v>
      </c>
      <c r="BP133" s="518" t="s">
        <v>196</v>
      </c>
      <c r="BQ133" s="518" t="s">
        <v>196</v>
      </c>
      <c r="BR133" s="473">
        <v>45239.28125</v>
      </c>
      <c r="BS133" s="473">
        <v>45239.385416666664</v>
      </c>
      <c r="BT133" s="473">
        <v>45239.9375</v>
      </c>
      <c r="BU133" s="473">
        <v>45240.086805555555</v>
      </c>
      <c r="BV133" s="473">
        <v>45240.086805555555</v>
      </c>
      <c r="BW133" s="473">
        <v>45240.086805555555</v>
      </c>
      <c r="BX133" s="475" t="s">
        <v>3609</v>
      </c>
      <c r="BZ133" s="481">
        <f t="shared" si="74"/>
        <v>16.583333333430346</v>
      </c>
      <c r="CA133" s="481">
        <f t="shared" si="75"/>
        <v>88.250000000058208</v>
      </c>
      <c r="CB133" s="481">
        <f t="shared" si="76"/>
        <v>0</v>
      </c>
      <c r="CC133" s="481">
        <f t="shared" si="70"/>
        <v>40.416666666744277</v>
      </c>
      <c r="CD133" s="482">
        <f t="shared" si="77"/>
        <v>13.250000000058208</v>
      </c>
      <c r="CE133" s="482">
        <f t="shared" si="78"/>
        <v>0</v>
      </c>
      <c r="CF133" s="483">
        <f t="shared" si="79"/>
        <v>6.6041666666787933</v>
      </c>
      <c r="CG133" s="483">
        <f t="shared" si="80"/>
        <v>12.586805555554747</v>
      </c>
      <c r="CH133" s="484">
        <f t="shared" si="81"/>
        <v>0.52468965517341093</v>
      </c>
    </row>
    <row r="134" spans="1:88" s="475" customFormat="1">
      <c r="A134" s="474">
        <f t="shared" si="68"/>
        <v>45233.291666666664</v>
      </c>
      <c r="B134" s="475" t="s">
        <v>188</v>
      </c>
      <c r="C134" s="475" t="s">
        <v>2747</v>
      </c>
      <c r="D134" s="475" t="s">
        <v>197</v>
      </c>
      <c r="E134" s="667" t="s">
        <v>3584</v>
      </c>
      <c r="F134" s="475" t="s">
        <v>3378</v>
      </c>
      <c r="G134" s="858">
        <v>45241.541666666664</v>
      </c>
      <c r="H134" s="858">
        <v>45241.506944444445</v>
      </c>
      <c r="I134" s="667" t="s">
        <v>3413</v>
      </c>
      <c r="J134" s="475" t="s">
        <v>192</v>
      </c>
      <c r="K134" s="475" t="s">
        <v>192</v>
      </c>
      <c r="L134" s="832" t="s">
        <v>3608</v>
      </c>
      <c r="M134" s="530"/>
      <c r="N134" s="475" t="s">
        <v>805</v>
      </c>
      <c r="O134" s="475" t="s">
        <v>381</v>
      </c>
      <c r="P134" s="667" t="s">
        <v>2747</v>
      </c>
      <c r="Q134" s="477">
        <f>3100*2.4</f>
        <v>7440</v>
      </c>
      <c r="R134" s="477">
        <f>7450+100</f>
        <v>7550</v>
      </c>
      <c r="S134" s="477">
        <f>7504.721-4026</f>
        <v>3478.7209999999995</v>
      </c>
      <c r="T134" s="667"/>
      <c r="U134" s="581"/>
      <c r="W134" s="581"/>
      <c r="Z134" s="581"/>
      <c r="AA134" s="581"/>
      <c r="AB134" s="667"/>
      <c r="AC134" s="667"/>
      <c r="AD134" s="667"/>
      <c r="AE134" s="667"/>
      <c r="AF134" s="667"/>
      <c r="AG134" s="667"/>
      <c r="AH134" s="667"/>
      <c r="AI134" s="667"/>
      <c r="AJ134" s="667"/>
      <c r="AK134" s="667"/>
      <c r="AL134" s="667"/>
      <c r="AM134" s="667"/>
      <c r="AN134" s="667"/>
      <c r="AO134" s="667"/>
      <c r="AP134" s="667"/>
      <c r="AQ134" s="667"/>
      <c r="AR134" s="667"/>
      <c r="AS134" s="667"/>
      <c r="AT134" s="667"/>
      <c r="AU134" s="667"/>
      <c r="AV134" s="667"/>
      <c r="AW134" s="667"/>
      <c r="AX134" s="726">
        <f>S134</f>
        <v>3478.7209999999995</v>
      </c>
      <c r="AY134" s="726"/>
      <c r="AZ134" s="726"/>
      <c r="BA134" s="726"/>
      <c r="BB134" s="726"/>
      <c r="BC134" s="726"/>
      <c r="BD134" s="473">
        <f t="shared" si="71"/>
        <v>45227.5</v>
      </c>
      <c r="BE134" s="473">
        <f t="shared" si="72"/>
        <v>45245.572916666664</v>
      </c>
      <c r="BF134" s="479">
        <f t="shared" si="73"/>
        <v>18.072916666664241</v>
      </c>
      <c r="BG134" s="473">
        <v>45227.5</v>
      </c>
      <c r="BH134" s="473">
        <v>45231.892361111109</v>
      </c>
      <c r="BI134" s="473">
        <v>45232.583333333336</v>
      </c>
      <c r="BJ134" s="473">
        <v>45233.291666666664</v>
      </c>
      <c r="BK134" s="473">
        <v>45236.96875</v>
      </c>
      <c r="BL134" s="473">
        <v>45237.597222222219</v>
      </c>
      <c r="BM134" s="473">
        <v>45237.597222222219</v>
      </c>
      <c r="BN134" s="473">
        <v>45237.597222222219</v>
      </c>
      <c r="BO134" s="518" t="s">
        <v>196</v>
      </c>
      <c r="BP134" s="518" t="s">
        <v>196</v>
      </c>
      <c r="BQ134" s="518" t="s">
        <v>196</v>
      </c>
      <c r="BR134" s="473">
        <v>45239.28125</v>
      </c>
      <c r="BS134" s="473">
        <v>45244.798611111109</v>
      </c>
      <c r="BT134" s="473">
        <v>45245.076388888891</v>
      </c>
      <c r="BU134" s="473">
        <v>45245.100694444445</v>
      </c>
      <c r="BV134" s="473">
        <v>45245.104166666664</v>
      </c>
      <c r="BW134" s="473">
        <v>45245.572916666664</v>
      </c>
      <c r="BZ134" s="481">
        <f t="shared" si="74"/>
        <v>16.583333333430346</v>
      </c>
      <c r="CA134" s="481">
        <f t="shared" si="75"/>
        <v>88.250000000058208</v>
      </c>
      <c r="CB134" s="481">
        <f t="shared" si="76"/>
        <v>0</v>
      </c>
      <c r="CC134" s="481">
        <f t="shared" si="70"/>
        <v>40.416666666744277</v>
      </c>
      <c r="CD134" s="482">
        <f t="shared" si="77"/>
        <v>6.6666666667442769</v>
      </c>
      <c r="CE134" s="482">
        <f t="shared" si="78"/>
        <v>11.25</v>
      </c>
      <c r="CF134" s="483">
        <f t="shared" si="79"/>
        <v>6.7986111111240461</v>
      </c>
      <c r="CG134" s="483">
        <f t="shared" si="80"/>
        <v>18.072916666664241</v>
      </c>
      <c r="CH134" s="484">
        <f t="shared" si="81"/>
        <v>0.37617675312276427</v>
      </c>
    </row>
    <row r="135" spans="1:88" s="475" customFormat="1">
      <c r="A135" s="474">
        <f t="shared" si="68"/>
        <v>45241.868750000001</v>
      </c>
      <c r="B135" s="475" t="s">
        <v>188</v>
      </c>
      <c r="C135" s="475" t="s">
        <v>2747</v>
      </c>
      <c r="D135" s="475" t="s">
        <v>197</v>
      </c>
      <c r="E135" s="476" t="s">
        <v>3471</v>
      </c>
      <c r="F135" s="475" t="s">
        <v>3378</v>
      </c>
      <c r="G135" s="472">
        <v>45248.541666666664</v>
      </c>
      <c r="H135" s="472">
        <v>45248.55</v>
      </c>
      <c r="I135" s="475" t="s">
        <v>3413</v>
      </c>
      <c r="J135" s="475" t="s">
        <v>192</v>
      </c>
      <c r="K135" s="475" t="s">
        <v>192</v>
      </c>
      <c r="L135" s="667" t="s">
        <v>3610</v>
      </c>
      <c r="M135" s="530"/>
      <c r="N135" s="475" t="s">
        <v>277</v>
      </c>
      <c r="O135" s="475" t="s">
        <v>278</v>
      </c>
      <c r="P135" s="667" t="s">
        <v>2747</v>
      </c>
      <c r="Q135" s="477">
        <f>3117*2.4</f>
        <v>7480.7999999999993</v>
      </c>
      <c r="R135" s="477">
        <f>7500+100</f>
        <v>7600</v>
      </c>
      <c r="S135" s="477">
        <v>7507.4719999999998</v>
      </c>
      <c r="T135" s="399"/>
      <c r="U135" s="401"/>
      <c r="V135" s="401"/>
      <c r="W135" s="401"/>
      <c r="X135" s="401"/>
      <c r="Y135" s="401"/>
      <c r="Z135" s="401"/>
      <c r="AA135" s="401"/>
      <c r="AB135" s="401"/>
      <c r="AC135" s="399"/>
      <c r="AX135" s="580">
        <f>S135</f>
        <v>7507.4719999999998</v>
      </c>
      <c r="AY135" s="580"/>
      <c r="AZ135" s="580"/>
      <c r="BA135" s="580"/>
      <c r="BB135" s="580"/>
      <c r="BC135" s="580"/>
      <c r="BD135" s="473">
        <f t="shared" si="71"/>
        <v>45236.065972222219</v>
      </c>
      <c r="BE135" s="473">
        <f t="shared" si="72"/>
        <v>45255.725694444445</v>
      </c>
      <c r="BF135" s="479">
        <f t="shared" si="73"/>
        <v>19.659722222226264</v>
      </c>
      <c r="BG135" s="473">
        <v>45236.065972222219</v>
      </c>
      <c r="BH135" s="473">
        <v>45239.979166666664</v>
      </c>
      <c r="BI135" s="473">
        <v>45240.458333333336</v>
      </c>
      <c r="BJ135" s="473">
        <v>45241.868750000001</v>
      </c>
      <c r="BK135" s="473">
        <v>45244.979166666664</v>
      </c>
      <c r="BL135" s="473">
        <v>45245.489583333336</v>
      </c>
      <c r="BM135" s="473">
        <v>45245.489583333336</v>
      </c>
      <c r="BN135" s="473">
        <v>45245.489583333336</v>
      </c>
      <c r="BO135" s="518" t="s">
        <v>196</v>
      </c>
      <c r="BP135" s="518" t="s">
        <v>196</v>
      </c>
      <c r="BQ135" s="518" t="s">
        <v>196</v>
      </c>
      <c r="BR135" s="473">
        <v>45247.333333333336</v>
      </c>
      <c r="BS135" s="473">
        <v>45254.614583333336</v>
      </c>
      <c r="BT135" s="473">
        <v>45255.107638888891</v>
      </c>
      <c r="BU135" s="473">
        <v>45255.128472222219</v>
      </c>
      <c r="BV135" s="473">
        <v>45255.131944444445</v>
      </c>
      <c r="BW135" s="473">
        <v>45255.725694444445</v>
      </c>
      <c r="BZ135" s="481">
        <f t="shared" si="74"/>
        <v>11.500000000116415</v>
      </c>
      <c r="CA135" s="481">
        <f t="shared" si="75"/>
        <v>74.649999999906868</v>
      </c>
      <c r="CB135" s="481">
        <f t="shared" si="76"/>
        <v>0</v>
      </c>
      <c r="CC135" s="481">
        <f t="shared" si="70"/>
        <v>44.25</v>
      </c>
      <c r="CD135" s="482">
        <f t="shared" si="77"/>
        <v>11.833333333313931</v>
      </c>
      <c r="CE135" s="482">
        <f t="shared" si="78"/>
        <v>14.25</v>
      </c>
      <c r="CF135" s="483">
        <f t="shared" si="79"/>
        <v>6.5201388888890506</v>
      </c>
      <c r="CG135" s="483">
        <f t="shared" si="80"/>
        <v>19.659722222226264</v>
      </c>
      <c r="CH135" s="484">
        <f t="shared" si="81"/>
        <v>0.33164959378305553</v>
      </c>
    </row>
    <row r="136" spans="1:88" s="475" customFormat="1">
      <c r="A136" s="474">
        <f t="shared" si="68"/>
        <v>45241.541666666664</v>
      </c>
      <c r="B136" s="475" t="s">
        <v>188</v>
      </c>
      <c r="C136" s="475" t="s">
        <v>76</v>
      </c>
      <c r="D136" s="475" t="s">
        <v>197</v>
      </c>
      <c r="E136" s="476" t="s">
        <v>3144</v>
      </c>
      <c r="F136" s="399" t="s">
        <v>3378</v>
      </c>
      <c r="G136" s="472">
        <v>45241.104166666664</v>
      </c>
      <c r="H136" s="472">
        <v>45241.162499999999</v>
      </c>
      <c r="I136" s="667" t="s">
        <v>464</v>
      </c>
      <c r="J136" s="475" t="s">
        <v>192</v>
      </c>
      <c r="K136" s="475" t="s">
        <v>192</v>
      </c>
      <c r="L136" s="667" t="s">
        <v>3611</v>
      </c>
      <c r="M136" s="530"/>
      <c r="N136" s="475" t="s">
        <v>1392</v>
      </c>
      <c r="O136" s="475" t="s">
        <v>365</v>
      </c>
      <c r="P136" s="475" t="s">
        <v>76</v>
      </c>
      <c r="Q136" s="477">
        <f>3142*2.4</f>
        <v>7540.7999999999993</v>
      </c>
      <c r="R136" s="477">
        <f>7550+100</f>
        <v>7650</v>
      </c>
      <c r="S136" s="477">
        <v>7500</v>
      </c>
      <c r="T136" s="667"/>
      <c r="U136" s="401"/>
      <c r="V136" s="401"/>
      <c r="W136" s="401"/>
      <c r="Y136" s="401"/>
      <c r="Z136" s="401"/>
      <c r="AA136" s="401"/>
      <c r="AB136" s="581"/>
      <c r="AD136" s="401"/>
      <c r="AE136" s="401"/>
      <c r="AF136" s="575"/>
      <c r="AG136" s="575"/>
      <c r="AL136" s="726">
        <f>S136</f>
        <v>7500</v>
      </c>
      <c r="BD136" s="473">
        <f t="shared" si="71"/>
        <v>45233.920138888891</v>
      </c>
      <c r="BE136" s="473">
        <f t="shared" si="72"/>
        <v>45248.625</v>
      </c>
      <c r="BF136" s="479">
        <f t="shared" si="73"/>
        <v>14.704861111109494</v>
      </c>
      <c r="BG136" s="473">
        <v>45233.920138888891</v>
      </c>
      <c r="BH136" s="473">
        <v>45239.805555555555</v>
      </c>
      <c r="BI136" s="473">
        <v>45240.215277777781</v>
      </c>
      <c r="BJ136" s="473">
        <v>45241.541666666664</v>
      </c>
      <c r="BK136" s="473">
        <v>45241.965277777781</v>
      </c>
      <c r="BL136" s="473">
        <v>45241.989583333336</v>
      </c>
      <c r="BM136" s="473">
        <v>45241.993055555555</v>
      </c>
      <c r="BN136" s="473">
        <f>BM136+(10/24)</f>
        <v>45242.409722222219</v>
      </c>
      <c r="BO136" s="480">
        <v>45243.25</v>
      </c>
      <c r="BP136" s="480">
        <v>45243.416666608799</v>
      </c>
      <c r="BQ136" s="480">
        <v>45243.40625</v>
      </c>
      <c r="BR136" s="473">
        <v>45246.5</v>
      </c>
      <c r="BS136" s="473">
        <v>45246.663194444445</v>
      </c>
      <c r="BT136" s="473">
        <v>45246.878472222219</v>
      </c>
      <c r="BU136" s="473">
        <v>45246.892361111109</v>
      </c>
      <c r="BV136" s="473">
        <v>45247.763888888891</v>
      </c>
      <c r="BW136" s="473">
        <v>45248.625</v>
      </c>
      <c r="BZ136" s="481">
        <f t="shared" si="74"/>
        <v>9.8333333334303461</v>
      </c>
      <c r="CA136" s="481">
        <f t="shared" si="75"/>
        <v>10.166666666802485</v>
      </c>
      <c r="CB136" s="481">
        <f t="shared" si="76"/>
        <v>9.9999999999417923</v>
      </c>
      <c r="CC136" s="481">
        <f t="shared" ref="CC136:CC149" si="82">(BR136-BP136)*24</f>
        <v>74.000001388834789</v>
      </c>
      <c r="CD136" s="482">
        <f t="shared" si="77"/>
        <v>5.1666666665696539</v>
      </c>
      <c r="CE136" s="482">
        <f t="shared" si="78"/>
        <v>20.666666666627862</v>
      </c>
      <c r="CF136" s="483">
        <f t="shared" si="79"/>
        <v>5.4097222800919553</v>
      </c>
      <c r="CG136" s="483">
        <f t="shared" si="80"/>
        <v>14.704861111109494</v>
      </c>
      <c r="CH136" s="484">
        <f t="shared" si="81"/>
        <v>0.36788666273120529</v>
      </c>
    </row>
    <row r="137" spans="1:88" s="475" customFormat="1">
      <c r="A137" s="192">
        <f t="shared" si="68"/>
        <v>45241.855555555558</v>
      </c>
      <c r="B137" s="126" t="s">
        <v>188</v>
      </c>
      <c r="C137" s="126" t="s">
        <v>182</v>
      </c>
      <c r="D137" s="126" t="s">
        <v>197</v>
      </c>
      <c r="E137" s="65" t="s">
        <v>944</v>
      </c>
      <c r="F137" s="126" t="s">
        <v>3474</v>
      </c>
      <c r="G137" s="316">
        <v>45243.791666666664</v>
      </c>
      <c r="H137" s="316">
        <v>45243.916666666664</v>
      </c>
      <c r="I137" s="126" t="s">
        <v>1912</v>
      </c>
      <c r="J137" s="475" t="s">
        <v>192</v>
      </c>
      <c r="K137" s="475" t="s">
        <v>192</v>
      </c>
      <c r="L137" s="126" t="s">
        <v>3612</v>
      </c>
      <c r="M137" s="530"/>
      <c r="N137" s="126" t="s">
        <v>1874</v>
      </c>
      <c r="O137" s="126" t="s">
        <v>1875</v>
      </c>
      <c r="P137" s="126" t="s">
        <v>182</v>
      </c>
      <c r="Q137" s="181">
        <f>2205*2.4</f>
        <v>5292</v>
      </c>
      <c r="R137" s="181">
        <f>5300+100</f>
        <v>5400</v>
      </c>
      <c r="S137" s="181">
        <v>4201.643</v>
      </c>
      <c r="T137" s="181"/>
      <c r="U137" s="126"/>
      <c r="V137" s="126"/>
      <c r="W137" s="663"/>
      <c r="X137" s="663"/>
      <c r="Y137" s="663"/>
      <c r="Z137" s="663"/>
      <c r="AA137" s="663"/>
      <c r="AB137" s="663"/>
      <c r="AC137" s="663"/>
      <c r="AD137" s="663"/>
      <c r="AE137" s="663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878">
        <f>S137</f>
        <v>4201.643</v>
      </c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65">
        <f t="shared" si="71"/>
        <v>45235.208333333336</v>
      </c>
      <c r="BE137" s="165">
        <f t="shared" si="72"/>
        <v>45251.75</v>
      </c>
      <c r="BF137" s="137">
        <f t="shared" si="73"/>
        <v>16.541666666664241</v>
      </c>
      <c r="BG137" s="165">
        <v>45235.208333333336</v>
      </c>
      <c r="BH137" s="165">
        <v>45237.833333333336</v>
      </c>
      <c r="BI137" s="165">
        <v>45241.791666666664</v>
      </c>
      <c r="BJ137" s="165">
        <v>45241.855555555558</v>
      </c>
      <c r="BK137" s="165">
        <v>45242.986111111109</v>
      </c>
      <c r="BL137" s="165">
        <v>45243.370138888888</v>
      </c>
      <c r="BM137" s="165">
        <v>45243.572916666664</v>
      </c>
      <c r="BN137" s="165">
        <f>BM137+(51/24)</f>
        <v>45245.697916666664</v>
      </c>
      <c r="BO137" s="210">
        <v>45246.229166608799</v>
      </c>
      <c r="BP137" s="210">
        <v>45246.395833333336</v>
      </c>
      <c r="BQ137" s="210">
        <v>45246.357638888891</v>
      </c>
      <c r="BR137" s="210">
        <v>45247.958333333336</v>
      </c>
      <c r="BS137" s="165">
        <v>45250.180555555555</v>
      </c>
      <c r="BT137" s="165">
        <v>45251.347222222219</v>
      </c>
      <c r="BU137" s="165">
        <v>45251.368055555555</v>
      </c>
      <c r="BV137" s="165">
        <v>45251.368055555555</v>
      </c>
      <c r="BW137" s="165">
        <v>45251.75</v>
      </c>
      <c r="BX137" s="126"/>
      <c r="BY137" s="126"/>
      <c r="BZ137" s="136">
        <f t="shared" si="74"/>
        <v>94.999999999883585</v>
      </c>
      <c r="CA137" s="136">
        <f t="shared" si="75"/>
        <v>27.133333333244082</v>
      </c>
      <c r="CB137" s="136">
        <f t="shared" si="76"/>
        <v>51</v>
      </c>
      <c r="CC137" s="136">
        <f t="shared" si="82"/>
        <v>37.5</v>
      </c>
      <c r="CD137" s="135">
        <f t="shared" si="77"/>
        <v>27.999999999941792</v>
      </c>
      <c r="CE137" s="135">
        <f t="shared" si="78"/>
        <v>9.1666666666860692</v>
      </c>
      <c r="CF137" s="134">
        <f t="shared" si="79"/>
        <v>10.324999999989814</v>
      </c>
      <c r="CG137" s="134">
        <f t="shared" si="80"/>
        <v>16.541666666664241</v>
      </c>
      <c r="CH137" s="133">
        <f t="shared" si="81"/>
        <v>0.62418136020098702</v>
      </c>
      <c r="CI137" s="126"/>
      <c r="CJ137" s="126"/>
    </row>
    <row r="138" spans="1:88" s="475" customFormat="1">
      <c r="A138" s="474">
        <f t="shared" si="68"/>
        <v>45233.631944444445</v>
      </c>
      <c r="B138" s="475" t="s">
        <v>228</v>
      </c>
      <c r="C138" s="475" t="s">
        <v>229</v>
      </c>
      <c r="D138" s="475" t="s">
        <v>215</v>
      </c>
      <c r="E138" s="667" t="s">
        <v>3401</v>
      </c>
      <c r="F138" s="475" t="s">
        <v>3378</v>
      </c>
      <c r="G138" s="473">
        <v>45238.887499999997</v>
      </c>
      <c r="H138" s="473">
        <v>45238.887499999997</v>
      </c>
      <c r="I138" s="667" t="s">
        <v>469</v>
      </c>
      <c r="J138" s="475" t="s">
        <v>192</v>
      </c>
      <c r="K138" s="475" t="s">
        <v>192</v>
      </c>
      <c r="L138" s="399" t="s">
        <v>3613</v>
      </c>
      <c r="M138" s="530"/>
      <c r="N138" s="475" t="s">
        <v>274</v>
      </c>
      <c r="O138" s="475" t="s">
        <v>1093</v>
      </c>
      <c r="P138" s="667" t="s">
        <v>172</v>
      </c>
      <c r="Q138" s="477">
        <f>3136*2.4</f>
        <v>7526.4</v>
      </c>
      <c r="R138" s="477">
        <f>7550+100</f>
        <v>7650</v>
      </c>
      <c r="S138" s="477">
        <v>7550.46</v>
      </c>
      <c r="T138" s="667"/>
      <c r="U138" s="401"/>
      <c r="V138" s="401"/>
      <c r="W138" s="581"/>
      <c r="X138" s="581"/>
      <c r="Y138" s="581"/>
      <c r="Z138" s="726">
        <f t="shared" ref="Z138:Z143" si="83">S138</f>
        <v>7550.46</v>
      </c>
      <c r="AA138" s="581"/>
      <c r="AB138" s="581"/>
      <c r="AC138" s="577"/>
      <c r="AD138" s="575"/>
      <c r="AE138" s="575"/>
      <c r="AF138" s="575"/>
      <c r="AG138" s="575"/>
      <c r="AH138" s="575"/>
      <c r="AI138" s="575"/>
      <c r="BD138" s="473">
        <f t="shared" si="71"/>
        <v>45227.673611111109</v>
      </c>
      <c r="BE138" s="473">
        <f t="shared" si="72"/>
        <v>45238.486111111109</v>
      </c>
      <c r="BF138" s="479">
        <f t="shared" si="73"/>
        <v>10.8125</v>
      </c>
      <c r="BG138" s="473">
        <v>45227.673611111109</v>
      </c>
      <c r="BH138" s="473">
        <v>45228.545138888891</v>
      </c>
      <c r="BI138" s="473">
        <v>45230.03125</v>
      </c>
      <c r="BJ138" s="473">
        <v>45233.631944444445</v>
      </c>
      <c r="BK138" s="473">
        <v>45233.871527777781</v>
      </c>
      <c r="BL138" s="473">
        <v>45233.875</v>
      </c>
      <c r="BM138" s="473">
        <v>45234.208333333336</v>
      </c>
      <c r="BN138" s="473">
        <f t="shared" ref="BN138:BN149" si="84">BM138+(41/24)</f>
        <v>45235.916666666672</v>
      </c>
      <c r="BO138" s="480">
        <v>45236.541666666664</v>
      </c>
      <c r="BP138" s="480">
        <v>45236.708333333336</v>
      </c>
      <c r="BQ138" s="480">
        <v>45236.548611111109</v>
      </c>
      <c r="BR138" s="473">
        <v>45238.135416666664</v>
      </c>
      <c r="BS138" s="473">
        <v>45238.25</v>
      </c>
      <c r="BT138" s="473">
        <v>45238.486111111109</v>
      </c>
      <c r="BU138" s="473">
        <v>45238.486111111109</v>
      </c>
      <c r="BV138" s="473">
        <v>45238.486111111109</v>
      </c>
      <c r="BW138" s="473">
        <v>45238.486111111109</v>
      </c>
      <c r="BX138" s="475" t="s">
        <v>3614</v>
      </c>
      <c r="BZ138" s="481">
        <f t="shared" si="74"/>
        <v>35.666666666627862</v>
      </c>
      <c r="CA138" s="481">
        <f t="shared" si="75"/>
        <v>5.7500000000582077</v>
      </c>
      <c r="CB138" s="481">
        <f t="shared" si="76"/>
        <v>41.000000000058208</v>
      </c>
      <c r="CC138" s="481">
        <f t="shared" si="82"/>
        <v>34.249999999883585</v>
      </c>
      <c r="CD138" s="482">
        <f t="shared" si="77"/>
        <v>5.6666666666278616</v>
      </c>
      <c r="CE138" s="482">
        <f t="shared" si="78"/>
        <v>0</v>
      </c>
      <c r="CF138" s="483">
        <f t="shared" si="79"/>
        <v>5.0972222222189885</v>
      </c>
      <c r="CG138" s="483">
        <f t="shared" si="80"/>
        <v>10.8125</v>
      </c>
      <c r="CH138" s="484">
        <f t="shared" si="81"/>
        <v>0.47141939627458851</v>
      </c>
    </row>
    <row r="139" spans="1:88" s="475" customFormat="1">
      <c r="A139" s="474">
        <f t="shared" si="68"/>
        <v>45238.0625</v>
      </c>
      <c r="B139" s="475" t="s">
        <v>228</v>
      </c>
      <c r="C139" s="475" t="s">
        <v>229</v>
      </c>
      <c r="D139" s="475" t="s">
        <v>197</v>
      </c>
      <c r="E139" s="667" t="s">
        <v>3584</v>
      </c>
      <c r="F139" s="399" t="s">
        <v>3378</v>
      </c>
      <c r="G139" s="858">
        <v>45241.541666666664</v>
      </c>
      <c r="H139" s="858">
        <v>45241.506944444445</v>
      </c>
      <c r="I139" s="667" t="s">
        <v>469</v>
      </c>
      <c r="J139" s="475" t="s">
        <v>192</v>
      </c>
      <c r="K139" s="475" t="s">
        <v>192</v>
      </c>
      <c r="L139" s="667" t="s">
        <v>3615</v>
      </c>
      <c r="M139" s="530"/>
      <c r="N139" s="475" t="s">
        <v>263</v>
      </c>
      <c r="O139" s="475" t="s">
        <v>264</v>
      </c>
      <c r="P139" s="667" t="s">
        <v>172</v>
      </c>
      <c r="Q139" s="477">
        <f>3136*2.4</f>
        <v>7526.4</v>
      </c>
      <c r="R139" s="477">
        <f>7550+100</f>
        <v>7650</v>
      </c>
      <c r="S139" s="477">
        <v>7590.4219999999996</v>
      </c>
      <c r="T139" s="667"/>
      <c r="Z139" s="726">
        <f t="shared" si="83"/>
        <v>7590.4219999999996</v>
      </c>
      <c r="AA139" s="581"/>
      <c r="AB139" s="581"/>
      <c r="AC139" s="575"/>
      <c r="BD139" s="473">
        <f t="shared" si="71"/>
        <v>45230.680555555555</v>
      </c>
      <c r="BE139" s="473">
        <f t="shared" si="72"/>
        <v>45244.614583333336</v>
      </c>
      <c r="BF139" s="479">
        <f t="shared" si="73"/>
        <v>13.934027777781012</v>
      </c>
      <c r="BG139" s="473">
        <v>45230.680555555555</v>
      </c>
      <c r="BH139" s="473">
        <v>45233.756944444445</v>
      </c>
      <c r="BI139" s="473">
        <v>45235.333333333336</v>
      </c>
      <c r="BJ139" s="473">
        <v>45238.0625</v>
      </c>
      <c r="BK139" s="473">
        <v>45238.246527777781</v>
      </c>
      <c r="BL139" s="473">
        <v>45238.256944444445</v>
      </c>
      <c r="BM139" s="473">
        <v>45238.256944444445</v>
      </c>
      <c r="BN139" s="473">
        <f t="shared" si="84"/>
        <v>45239.965277777781</v>
      </c>
      <c r="BO139" s="480">
        <v>45239.541666608799</v>
      </c>
      <c r="BP139" s="480">
        <v>45239.708333333336</v>
      </c>
      <c r="BQ139" s="480">
        <v>45239.697916666664</v>
      </c>
      <c r="BR139" s="473">
        <v>45241.277777777781</v>
      </c>
      <c r="BS139" s="473">
        <v>45243.722222222219</v>
      </c>
      <c r="BT139" s="473">
        <v>45244.135416666664</v>
      </c>
      <c r="BU139" s="473">
        <v>45244.149305555555</v>
      </c>
      <c r="BV139" s="473">
        <v>45244.152777777781</v>
      </c>
      <c r="BW139" s="473">
        <v>45244.614583333336</v>
      </c>
      <c r="BZ139" s="481">
        <f t="shared" si="74"/>
        <v>37.833333333372138</v>
      </c>
      <c r="CA139" s="481">
        <f t="shared" si="75"/>
        <v>4.4166666667442769</v>
      </c>
      <c r="CB139" s="481">
        <f t="shared" si="76"/>
        <v>41.000000000058208</v>
      </c>
      <c r="CC139" s="481">
        <f t="shared" si="82"/>
        <v>37.666666666686069</v>
      </c>
      <c r="CD139" s="482">
        <f t="shared" si="77"/>
        <v>9.9166666666860692</v>
      </c>
      <c r="CE139" s="482">
        <f t="shared" si="78"/>
        <v>11.083333333313931</v>
      </c>
      <c r="CF139" s="483">
        <f t="shared" si="79"/>
        <v>5.9131944444525288</v>
      </c>
      <c r="CG139" s="483">
        <f t="shared" si="80"/>
        <v>13.934027777781012</v>
      </c>
      <c r="CH139" s="484">
        <f t="shared" si="81"/>
        <v>0.42437079491700302</v>
      </c>
    </row>
    <row r="140" spans="1:88" s="475" customFormat="1">
      <c r="A140" s="474">
        <f t="shared" si="68"/>
        <v>45239.654166666667</v>
      </c>
      <c r="B140" s="475" t="s">
        <v>228</v>
      </c>
      <c r="C140" s="475" t="s">
        <v>229</v>
      </c>
      <c r="D140" s="475" t="s">
        <v>197</v>
      </c>
      <c r="E140" s="667" t="s">
        <v>3584</v>
      </c>
      <c r="F140" s="399" t="s">
        <v>3378</v>
      </c>
      <c r="G140" s="858">
        <v>45241.541666666664</v>
      </c>
      <c r="H140" s="858">
        <v>45241.506944444445</v>
      </c>
      <c r="I140" s="667" t="s">
        <v>469</v>
      </c>
      <c r="J140" s="475" t="s">
        <v>192</v>
      </c>
      <c r="K140" s="475" t="s">
        <v>192</v>
      </c>
      <c r="L140" s="667" t="s">
        <v>3616</v>
      </c>
      <c r="M140" s="530"/>
      <c r="N140" s="475" t="s">
        <v>1799</v>
      </c>
      <c r="O140" s="475" t="s">
        <v>2437</v>
      </c>
      <c r="P140" s="667" t="s">
        <v>172</v>
      </c>
      <c r="Q140" s="477">
        <f>3147*2.4</f>
        <v>7552.7999999999993</v>
      </c>
      <c r="R140" s="477">
        <f>7550+100</f>
        <v>7650</v>
      </c>
      <c r="S140" s="477">
        <v>7502.9070000000002</v>
      </c>
      <c r="T140" s="667"/>
      <c r="Z140" s="726">
        <f t="shared" si="83"/>
        <v>7502.9070000000002</v>
      </c>
      <c r="AB140" s="581"/>
      <c r="AC140" s="667"/>
      <c r="AD140" s="667"/>
      <c r="AE140" s="667"/>
      <c r="AF140" s="667"/>
      <c r="AG140" s="667"/>
      <c r="AH140" s="667"/>
      <c r="AI140" s="667"/>
      <c r="AJ140" s="667"/>
      <c r="AK140" s="667"/>
      <c r="AL140" s="667"/>
      <c r="AM140" s="667"/>
      <c r="AN140" s="667"/>
      <c r="AO140" s="667"/>
      <c r="AP140" s="667"/>
      <c r="AQ140" s="667"/>
      <c r="AR140" s="667"/>
      <c r="AS140" s="667"/>
      <c r="AT140" s="667"/>
      <c r="AU140" s="667"/>
      <c r="AV140" s="667"/>
      <c r="AW140" s="667"/>
      <c r="AX140" s="667"/>
      <c r="AY140" s="667"/>
      <c r="AZ140" s="667"/>
      <c r="BA140" s="667"/>
      <c r="BB140" s="667"/>
      <c r="BC140" s="667"/>
      <c r="BD140" s="473">
        <f t="shared" si="71"/>
        <v>45229.833333333336</v>
      </c>
      <c r="BE140" s="473">
        <f t="shared" si="72"/>
        <v>45246.21875</v>
      </c>
      <c r="BF140" s="479">
        <f t="shared" si="73"/>
        <v>16.385416666664241</v>
      </c>
      <c r="BG140" s="473">
        <v>45229.833333333336</v>
      </c>
      <c r="BH140" s="473">
        <v>45234.597222222219</v>
      </c>
      <c r="BI140" s="473">
        <v>45236.409722222219</v>
      </c>
      <c r="BJ140" s="473">
        <v>45239.654166666667</v>
      </c>
      <c r="BK140" s="473">
        <v>45239.885416666664</v>
      </c>
      <c r="BL140" s="473">
        <v>45239.958333333336</v>
      </c>
      <c r="BM140" s="473">
        <v>45239.96875</v>
      </c>
      <c r="BN140" s="473">
        <f t="shared" si="84"/>
        <v>45241.677083333336</v>
      </c>
      <c r="BO140" s="480">
        <v>45243.25</v>
      </c>
      <c r="BP140" s="480">
        <v>45243.416666608799</v>
      </c>
      <c r="BQ140" s="480">
        <v>45243.364583333336</v>
      </c>
      <c r="BR140" s="473">
        <v>45245.138888888891</v>
      </c>
      <c r="BS140" s="473">
        <v>45245.25</v>
      </c>
      <c r="BT140" s="473">
        <v>45245.541666666664</v>
      </c>
      <c r="BU140" s="473">
        <v>45245.552083333336</v>
      </c>
      <c r="BV140" s="473">
        <v>45245.729166666664</v>
      </c>
      <c r="BW140" s="473">
        <v>45246.21875</v>
      </c>
      <c r="BZ140" s="481">
        <f t="shared" si="74"/>
        <v>43.5</v>
      </c>
      <c r="CA140" s="481">
        <f t="shared" si="75"/>
        <v>5.5499999999301508</v>
      </c>
      <c r="CB140" s="481">
        <f t="shared" si="76"/>
        <v>41.000000000058208</v>
      </c>
      <c r="CC140" s="481">
        <f t="shared" si="82"/>
        <v>41.333334722206928</v>
      </c>
      <c r="CD140" s="482">
        <f t="shared" si="77"/>
        <v>6.9999999999417923</v>
      </c>
      <c r="CE140" s="482">
        <f t="shared" si="78"/>
        <v>11.750000000058208</v>
      </c>
      <c r="CF140" s="483">
        <f t="shared" si="79"/>
        <v>6.2555556134248036</v>
      </c>
      <c r="CG140" s="483">
        <f t="shared" si="80"/>
        <v>16.385416666664241</v>
      </c>
      <c r="CH140" s="484">
        <f t="shared" si="81"/>
        <v>0.38177580348942786</v>
      </c>
    </row>
    <row r="141" spans="1:88" s="475" customFormat="1">
      <c r="A141" s="192">
        <f t="shared" ref="A141:A172" si="85">BJ141</f>
        <v>45246.470833333333</v>
      </c>
      <c r="B141" s="126" t="s">
        <v>228</v>
      </c>
      <c r="C141" s="126" t="s">
        <v>229</v>
      </c>
      <c r="D141" s="126" t="s">
        <v>215</v>
      </c>
      <c r="E141" s="65" t="s">
        <v>944</v>
      </c>
      <c r="F141" s="126" t="s">
        <v>3474</v>
      </c>
      <c r="G141" s="316">
        <v>45243.791666666664</v>
      </c>
      <c r="H141" s="316">
        <v>45243.916666666664</v>
      </c>
      <c r="I141" s="662" t="s">
        <v>471</v>
      </c>
      <c r="J141" s="475" t="s">
        <v>192</v>
      </c>
      <c r="K141" s="475" t="s">
        <v>192</v>
      </c>
      <c r="L141" s="662" t="s">
        <v>3617</v>
      </c>
      <c r="M141" s="530"/>
      <c r="N141" s="126" t="s">
        <v>310</v>
      </c>
      <c r="O141" s="126" t="s">
        <v>219</v>
      </c>
      <c r="P141" s="662" t="s">
        <v>172</v>
      </c>
      <c r="Q141" s="181">
        <f>3087*2.4</f>
        <v>7408.7999999999993</v>
      </c>
      <c r="R141" s="181">
        <f>7450+100</f>
        <v>7550</v>
      </c>
      <c r="S141" s="181">
        <v>7528.5640000000003</v>
      </c>
      <c r="T141" s="662"/>
      <c r="U141" s="663"/>
      <c r="V141" s="663"/>
      <c r="W141" s="663"/>
      <c r="X141" s="663"/>
      <c r="Y141" s="663"/>
      <c r="Z141" s="878">
        <f t="shared" si="83"/>
        <v>7528.5640000000003</v>
      </c>
      <c r="AA141" s="663"/>
      <c r="AB141" s="663"/>
      <c r="AC141" s="662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65">
        <f t="shared" si="71"/>
        <v>45236.930555555555</v>
      </c>
      <c r="BE141" s="165">
        <f t="shared" si="72"/>
        <v>45252.163194444445</v>
      </c>
      <c r="BF141" s="137">
        <f t="shared" si="73"/>
        <v>15.232638888890506</v>
      </c>
      <c r="BG141" s="165">
        <v>45236.930555555555</v>
      </c>
      <c r="BH141" s="165">
        <v>45239.879861111112</v>
      </c>
      <c r="BI141" s="165">
        <v>45242.9375</v>
      </c>
      <c r="BJ141" s="165">
        <v>45246.470833333333</v>
      </c>
      <c r="BK141" s="165">
        <v>45246.65625</v>
      </c>
      <c r="BL141" s="165">
        <v>45246.670138888891</v>
      </c>
      <c r="BM141" s="165">
        <v>45246.673611111109</v>
      </c>
      <c r="BN141" s="165">
        <f t="shared" si="84"/>
        <v>45248.381944444445</v>
      </c>
      <c r="BO141" s="210">
        <v>45248.25</v>
      </c>
      <c r="BP141" s="210">
        <v>45248.416666608799</v>
      </c>
      <c r="BQ141" s="210">
        <v>45248.319444444445</v>
      </c>
      <c r="BR141" s="210">
        <v>45249.520833333336</v>
      </c>
      <c r="BS141" s="165">
        <v>45251.416666666664</v>
      </c>
      <c r="BT141" s="165">
        <v>45251.854166666664</v>
      </c>
      <c r="BU141" s="165">
        <v>45251.888888888891</v>
      </c>
      <c r="BV141" s="165">
        <v>45251.888888888891</v>
      </c>
      <c r="BW141" s="165">
        <v>45252.163194444445</v>
      </c>
      <c r="BX141" s="126"/>
      <c r="BY141" s="126"/>
      <c r="BZ141" s="136">
        <f t="shared" si="74"/>
        <v>73.383333333302289</v>
      </c>
      <c r="CA141" s="136">
        <f t="shared" si="75"/>
        <v>4.4500000000116415</v>
      </c>
      <c r="CB141" s="136">
        <f t="shared" si="76"/>
        <v>41.000000000058208</v>
      </c>
      <c r="CC141" s="136">
        <f t="shared" si="82"/>
        <v>26.500001388892997</v>
      </c>
      <c r="CD141" s="135">
        <f t="shared" si="77"/>
        <v>10.5</v>
      </c>
      <c r="CE141" s="135">
        <f t="shared" si="78"/>
        <v>6.5833333333139308</v>
      </c>
      <c r="CF141" s="134">
        <f t="shared" si="79"/>
        <v>6.7673611689824611</v>
      </c>
      <c r="CG141" s="134">
        <f t="shared" si="80"/>
        <v>15.232638888890506</v>
      </c>
      <c r="CH141" s="133">
        <f t="shared" si="81"/>
        <v>0.44426715675102391</v>
      </c>
      <c r="CI141" s="126"/>
      <c r="CJ141" s="126"/>
    </row>
    <row r="142" spans="1:88" s="475" customFormat="1">
      <c r="A142" s="474">
        <f t="shared" si="85"/>
        <v>45247.440972222219</v>
      </c>
      <c r="B142" s="475" t="s">
        <v>228</v>
      </c>
      <c r="C142" s="475" t="s">
        <v>229</v>
      </c>
      <c r="D142" s="475" t="s">
        <v>197</v>
      </c>
      <c r="E142" s="476" t="s">
        <v>3471</v>
      </c>
      <c r="F142" s="475" t="s">
        <v>3378</v>
      </c>
      <c r="G142" s="472">
        <v>45248.541666666664</v>
      </c>
      <c r="H142" s="472">
        <v>45248.55</v>
      </c>
      <c r="I142" s="667" t="s">
        <v>469</v>
      </c>
      <c r="J142" s="475" t="s">
        <v>192</v>
      </c>
      <c r="K142" s="475" t="s">
        <v>192</v>
      </c>
      <c r="L142" s="667" t="s">
        <v>3618</v>
      </c>
      <c r="M142" s="530"/>
      <c r="N142" s="475" t="s">
        <v>2277</v>
      </c>
      <c r="O142" s="475" t="s">
        <v>2278</v>
      </c>
      <c r="P142" s="667" t="s">
        <v>172</v>
      </c>
      <c r="Q142" s="477">
        <f>3099 *2.4</f>
        <v>7437.5999999999995</v>
      </c>
      <c r="R142" s="477">
        <f>7500+100</f>
        <v>7600</v>
      </c>
      <c r="S142" s="477">
        <v>7502.0420000000004</v>
      </c>
      <c r="T142" s="667"/>
      <c r="U142" s="581"/>
      <c r="V142" s="581"/>
      <c r="W142" s="581"/>
      <c r="Z142" s="726">
        <f t="shared" si="83"/>
        <v>7502.0420000000004</v>
      </c>
      <c r="AA142" s="581"/>
      <c r="AB142" s="581"/>
      <c r="AC142" s="581"/>
      <c r="AD142" s="581"/>
      <c r="AE142" s="667"/>
      <c r="AF142" s="667"/>
      <c r="AG142" s="667"/>
      <c r="AH142" s="667"/>
      <c r="AI142" s="667"/>
      <c r="AJ142" s="667"/>
      <c r="AK142" s="667"/>
      <c r="AL142" s="667"/>
      <c r="AM142" s="667"/>
      <c r="AN142" s="667"/>
      <c r="AO142" s="667"/>
      <c r="AP142" s="667"/>
      <c r="AQ142" s="667"/>
      <c r="AR142" s="667"/>
      <c r="AS142" s="667"/>
      <c r="AT142" s="667"/>
      <c r="AU142" s="667"/>
      <c r="AV142" s="667"/>
      <c r="AW142" s="667"/>
      <c r="AX142" s="667"/>
      <c r="AY142" s="667"/>
      <c r="AZ142" s="667"/>
      <c r="BA142" s="667"/>
      <c r="BB142" s="667"/>
      <c r="BC142" s="667"/>
      <c r="BD142" s="473">
        <f t="shared" si="71"/>
        <v>45239.75</v>
      </c>
      <c r="BE142" s="473">
        <f t="shared" si="72"/>
        <v>45254.385416666664</v>
      </c>
      <c r="BF142" s="479">
        <f t="shared" si="73"/>
        <v>14.635416666664241</v>
      </c>
      <c r="BG142" s="473">
        <v>45239.75</v>
      </c>
      <c r="BH142" s="473">
        <v>45243.753472222219</v>
      </c>
      <c r="BI142" s="473">
        <v>45245.791666666664</v>
      </c>
      <c r="BJ142" s="473">
        <v>45247.440972222219</v>
      </c>
      <c r="BK142" s="473">
        <v>45247.628472222219</v>
      </c>
      <c r="BL142" s="473">
        <v>45247.631944444445</v>
      </c>
      <c r="BM142" s="473">
        <v>45247.631944444445</v>
      </c>
      <c r="BN142" s="473">
        <f t="shared" si="84"/>
        <v>45249.340277777781</v>
      </c>
      <c r="BO142" s="480">
        <v>45249.25</v>
      </c>
      <c r="BP142" s="480">
        <v>45249.416666608799</v>
      </c>
      <c r="BQ142" s="480">
        <v>45249.347222222219</v>
      </c>
      <c r="BR142" s="473">
        <v>45251.006944444445</v>
      </c>
      <c r="BS142" s="473">
        <v>45254.125</v>
      </c>
      <c r="BT142" s="473">
        <v>45254.385416666664</v>
      </c>
      <c r="BU142" s="473">
        <v>45254.385416666664</v>
      </c>
      <c r="BV142" s="473">
        <v>45254.385416666664</v>
      </c>
      <c r="BW142" s="473">
        <v>45254.385416666664</v>
      </c>
      <c r="BX142" s="475" t="s">
        <v>788</v>
      </c>
      <c r="BZ142" s="481">
        <f t="shared" si="74"/>
        <v>48.916666666686069</v>
      </c>
      <c r="CA142" s="481">
        <f t="shared" si="75"/>
        <v>4.5</v>
      </c>
      <c r="CB142" s="481">
        <f t="shared" si="76"/>
        <v>41.000000000058208</v>
      </c>
      <c r="CC142" s="481">
        <f t="shared" si="82"/>
        <v>38.166668055520859</v>
      </c>
      <c r="CD142" s="482">
        <f t="shared" si="77"/>
        <v>6.2499999999417923</v>
      </c>
      <c r="CE142" s="482">
        <f t="shared" si="78"/>
        <v>0</v>
      </c>
      <c r="CF142" s="483">
        <f t="shared" si="79"/>
        <v>5.7847222800919553</v>
      </c>
      <c r="CG142" s="483">
        <f t="shared" si="80"/>
        <v>14.635416666664241</v>
      </c>
      <c r="CH142" s="484">
        <f t="shared" si="81"/>
        <v>0.39525504547254076</v>
      </c>
    </row>
    <row r="143" spans="1:88" s="475" customFormat="1">
      <c r="A143" s="474">
        <f t="shared" si="85"/>
        <v>45250.934027777781</v>
      </c>
      <c r="B143" s="475" t="s">
        <v>228</v>
      </c>
      <c r="C143" s="475" t="s">
        <v>229</v>
      </c>
      <c r="D143" s="475" t="s">
        <v>215</v>
      </c>
      <c r="E143" s="667" t="s">
        <v>3151</v>
      </c>
      <c r="F143" s="475" t="s">
        <v>3378</v>
      </c>
      <c r="G143" s="472">
        <v>45250.25</v>
      </c>
      <c r="H143" s="472">
        <v>45250.166666666664</v>
      </c>
      <c r="I143" s="667" t="s">
        <v>471</v>
      </c>
      <c r="J143" s="475" t="s">
        <v>192</v>
      </c>
      <c r="K143" s="475" t="s">
        <v>192</v>
      </c>
      <c r="L143" s="667" t="s">
        <v>3619</v>
      </c>
      <c r="M143" s="530"/>
      <c r="N143" s="475" t="s">
        <v>399</v>
      </c>
      <c r="O143" s="475" t="s">
        <v>275</v>
      </c>
      <c r="P143" s="667" t="s">
        <v>172</v>
      </c>
      <c r="Q143" s="477">
        <f>3097*2.4</f>
        <v>7432.7999999999993</v>
      </c>
      <c r="R143" s="477">
        <f>7450+100</f>
        <v>7550</v>
      </c>
      <c r="S143" s="477">
        <v>7562.9530000000004</v>
      </c>
      <c r="T143" s="667"/>
      <c r="U143" s="581"/>
      <c r="V143" s="581"/>
      <c r="W143" s="581"/>
      <c r="X143" s="581"/>
      <c r="Y143" s="581"/>
      <c r="Z143" s="726">
        <f t="shared" si="83"/>
        <v>7562.9530000000004</v>
      </c>
      <c r="AA143" s="581"/>
      <c r="AB143" s="581"/>
      <c r="AC143" s="581"/>
      <c r="AD143" s="581"/>
      <c r="AE143" s="581"/>
      <c r="AF143" s="581"/>
      <c r="AG143" s="575"/>
      <c r="AH143" s="575"/>
      <c r="AI143" s="575"/>
      <c r="BD143" s="473">
        <f t="shared" si="71"/>
        <v>45242.4375</v>
      </c>
      <c r="BE143" s="473">
        <f t="shared" si="72"/>
        <v>45256.3125</v>
      </c>
      <c r="BF143" s="479">
        <f t="shared" si="73"/>
        <v>13.875</v>
      </c>
      <c r="BG143" s="473">
        <v>45242.4375</v>
      </c>
      <c r="BH143" s="473">
        <v>45245.565972222219</v>
      </c>
      <c r="BI143" s="473">
        <v>45247.104166666664</v>
      </c>
      <c r="BJ143" s="473">
        <v>45250.934027777781</v>
      </c>
      <c r="BK143" s="473">
        <v>45251.111111111109</v>
      </c>
      <c r="BL143" s="473">
        <v>45251.118055555555</v>
      </c>
      <c r="BM143" s="473">
        <v>45251.243055555555</v>
      </c>
      <c r="BN143" s="473">
        <f t="shared" si="84"/>
        <v>45252.951388888891</v>
      </c>
      <c r="BO143" s="473">
        <v>45252.5</v>
      </c>
      <c r="BP143" s="473">
        <v>45252.666666608799</v>
      </c>
      <c r="BQ143" s="473">
        <v>45252.663194444445</v>
      </c>
      <c r="BR143" s="473">
        <v>45253.916666666664</v>
      </c>
      <c r="BS143" s="473">
        <v>45255.819444444445</v>
      </c>
      <c r="BT143" s="473">
        <v>45256.006944444445</v>
      </c>
      <c r="BU143" s="473">
        <v>45256.027777777781</v>
      </c>
      <c r="BV143" s="473">
        <v>45256.027777777781</v>
      </c>
      <c r="BW143" s="473">
        <v>45256.3125</v>
      </c>
      <c r="BZ143" s="481">
        <f t="shared" si="74"/>
        <v>36.916666666686069</v>
      </c>
      <c r="CA143" s="481">
        <f t="shared" si="75"/>
        <v>4.2499999998835847</v>
      </c>
      <c r="CB143" s="481">
        <f t="shared" si="76"/>
        <v>41.000000000058208</v>
      </c>
      <c r="CC143" s="481">
        <f t="shared" si="82"/>
        <v>30.000001388776582</v>
      </c>
      <c r="CD143" s="482">
        <f t="shared" si="77"/>
        <v>4.5</v>
      </c>
      <c r="CE143" s="482">
        <f t="shared" si="78"/>
        <v>6.8333333332557231</v>
      </c>
      <c r="CF143" s="483">
        <f t="shared" si="79"/>
        <v>5.1458333911941736</v>
      </c>
      <c r="CG143" s="483">
        <f t="shared" si="80"/>
        <v>13.875</v>
      </c>
      <c r="CH143" s="484">
        <f t="shared" si="81"/>
        <v>0.37087087504102151</v>
      </c>
    </row>
    <row r="144" spans="1:88" s="475" customFormat="1">
      <c r="A144" s="521">
        <f t="shared" si="85"/>
        <v>45250.368055555555</v>
      </c>
      <c r="B144" s="369" t="s">
        <v>188</v>
      </c>
      <c r="C144" s="369" t="s">
        <v>172</v>
      </c>
      <c r="D144" s="369" t="s">
        <v>197</v>
      </c>
      <c r="E144" s="649" t="s">
        <v>1789</v>
      </c>
      <c r="F144" s="649" t="s">
        <v>3474</v>
      </c>
      <c r="G144" s="492">
        <v>45258.270833333336</v>
      </c>
      <c r="H144" s="492">
        <v>45258.270833333336</v>
      </c>
      <c r="I144" s="649" t="s">
        <v>469</v>
      </c>
      <c r="J144" s="369" t="s">
        <v>192</v>
      </c>
      <c r="K144" s="369" t="s">
        <v>192</v>
      </c>
      <c r="L144" s="661" t="s">
        <v>3620</v>
      </c>
      <c r="M144" s="530"/>
      <c r="N144" s="369" t="s">
        <v>805</v>
      </c>
      <c r="O144" s="369" t="s">
        <v>381</v>
      </c>
      <c r="P144" s="369" t="s">
        <v>172</v>
      </c>
      <c r="Q144" s="520">
        <f>3100*2.4</f>
        <v>7440</v>
      </c>
      <c r="R144" s="520">
        <f>7450+100</f>
        <v>7550</v>
      </c>
      <c r="S144" s="520">
        <v>7502.1279999999997</v>
      </c>
      <c r="T144" s="661"/>
      <c r="U144" s="904"/>
      <c r="V144" s="904"/>
      <c r="W144" s="904"/>
      <c r="X144" s="904"/>
      <c r="Y144" s="904"/>
      <c r="Z144" s="369"/>
      <c r="AA144" s="904"/>
      <c r="AB144" s="904"/>
      <c r="AC144" s="904"/>
      <c r="AD144" s="904"/>
      <c r="AE144" s="661"/>
      <c r="AF144" s="661"/>
      <c r="AG144" s="661"/>
      <c r="AH144" s="661"/>
      <c r="AI144" s="661"/>
      <c r="AJ144" s="661"/>
      <c r="AK144" s="661"/>
      <c r="AL144" s="661"/>
      <c r="AM144" s="661"/>
      <c r="AN144" s="661"/>
      <c r="AO144" s="661"/>
      <c r="AP144" s="661"/>
      <c r="AQ144" s="661"/>
      <c r="AR144" s="661"/>
      <c r="AS144" s="661"/>
      <c r="AT144" s="661"/>
      <c r="AU144" s="661"/>
      <c r="AV144" s="661"/>
      <c r="AW144" s="661"/>
      <c r="AX144" s="661"/>
      <c r="AY144" s="760">
        <f>S144</f>
        <v>7502.1279999999997</v>
      </c>
      <c r="AZ144" s="760"/>
      <c r="BA144" s="760"/>
      <c r="BB144" s="760"/>
      <c r="BC144" s="760"/>
      <c r="BD144" s="522">
        <f t="shared" si="71"/>
        <v>45245.572916666664</v>
      </c>
      <c r="BE144" s="522">
        <f t="shared" si="72"/>
        <v>45258.5625</v>
      </c>
      <c r="BF144" s="523">
        <f t="shared" si="73"/>
        <v>12.989583333335759</v>
      </c>
      <c r="BG144" s="522">
        <v>45245.572916666664</v>
      </c>
      <c r="BH144" s="522">
        <v>45247.756944444445</v>
      </c>
      <c r="BI144" s="522">
        <v>45249.6875</v>
      </c>
      <c r="BJ144" s="522">
        <v>45250.368055555555</v>
      </c>
      <c r="BK144" s="522">
        <v>45250.951388888891</v>
      </c>
      <c r="BL144" s="522">
        <v>45251.017361111109</v>
      </c>
      <c r="BM144" s="522">
        <v>45251.392361111109</v>
      </c>
      <c r="BN144" s="522">
        <f t="shared" si="84"/>
        <v>45253.100694444445</v>
      </c>
      <c r="BO144" s="522">
        <v>45253.5</v>
      </c>
      <c r="BP144" s="522">
        <v>45253.666666608799</v>
      </c>
      <c r="BQ144" s="522">
        <v>45253.597222222219</v>
      </c>
      <c r="BR144" s="522">
        <v>45255.270833333336</v>
      </c>
      <c r="BS144" s="522">
        <v>45257.809027777781</v>
      </c>
      <c r="BT144" s="522">
        <v>45258.052083333336</v>
      </c>
      <c r="BU144" s="522">
        <v>45258.072916666664</v>
      </c>
      <c r="BV144" s="522">
        <v>45258.076388888891</v>
      </c>
      <c r="BW144" s="522">
        <v>45258.5625</v>
      </c>
      <c r="BX144" s="369"/>
      <c r="BY144" s="369"/>
      <c r="BZ144" s="525">
        <f t="shared" si="74"/>
        <v>46.333333333313931</v>
      </c>
      <c r="CA144" s="525">
        <f t="shared" si="75"/>
        <v>14.000000000058208</v>
      </c>
      <c r="CB144" s="525">
        <f t="shared" si="76"/>
        <v>41.000000000058208</v>
      </c>
      <c r="CC144" s="525">
        <f t="shared" si="82"/>
        <v>38.500001388892997</v>
      </c>
      <c r="CD144" s="526">
        <f t="shared" si="77"/>
        <v>5.8333333333139308</v>
      </c>
      <c r="CE144" s="526">
        <f t="shared" si="78"/>
        <v>11.666666666627862</v>
      </c>
      <c r="CF144" s="304">
        <f t="shared" si="79"/>
        <v>6.555555613427714</v>
      </c>
      <c r="CG144" s="304">
        <f t="shared" si="80"/>
        <v>12.989583333335759</v>
      </c>
      <c r="CH144" s="305">
        <f t="shared" si="81"/>
        <v>0.50467789806651409</v>
      </c>
      <c r="CI144" s="369"/>
      <c r="CJ144" s="369"/>
    </row>
    <row r="145" spans="1:86" s="475" customFormat="1">
      <c r="A145" s="474">
        <f t="shared" si="85"/>
        <v>45253.829861111109</v>
      </c>
      <c r="B145" s="475" t="s">
        <v>228</v>
      </c>
      <c r="C145" s="475" t="s">
        <v>229</v>
      </c>
      <c r="D145" s="475" t="s">
        <v>197</v>
      </c>
      <c r="E145" s="399" t="s">
        <v>3156</v>
      </c>
      <c r="F145" s="399" t="s">
        <v>3474</v>
      </c>
      <c r="G145" s="472">
        <v>45252.083333333336</v>
      </c>
      <c r="H145" s="472">
        <v>45252.01666666667</v>
      </c>
      <c r="I145" s="399" t="s">
        <v>471</v>
      </c>
      <c r="J145" s="475" t="s">
        <v>192</v>
      </c>
      <c r="K145" s="475" t="s">
        <v>192</v>
      </c>
      <c r="L145" s="667" t="s">
        <v>3621</v>
      </c>
      <c r="M145" s="530"/>
      <c r="N145" s="475" t="s">
        <v>208</v>
      </c>
      <c r="O145" s="475" t="s">
        <v>328</v>
      </c>
      <c r="P145" s="399" t="s">
        <v>172</v>
      </c>
      <c r="Q145" s="477">
        <f>3128*2.4</f>
        <v>7507.2</v>
      </c>
      <c r="R145" s="477">
        <f>7550+100</f>
        <v>7650</v>
      </c>
      <c r="S145" s="477">
        <v>7519.0940000000001</v>
      </c>
      <c r="T145" s="399"/>
      <c r="U145" s="401"/>
      <c r="V145" s="401"/>
      <c r="W145" s="401"/>
      <c r="X145" s="401"/>
      <c r="Z145" s="726">
        <f>S145</f>
        <v>7519.0940000000001</v>
      </c>
      <c r="AA145" s="401"/>
      <c r="AB145" s="581"/>
      <c r="AC145" s="581"/>
      <c r="AD145" s="581"/>
      <c r="AE145" s="724"/>
      <c r="AF145" s="724"/>
      <c r="AG145" s="724"/>
      <c r="AH145" s="724"/>
      <c r="BD145" s="473">
        <f t="shared" si="71"/>
        <v>45246.905555555553</v>
      </c>
      <c r="BE145" s="473">
        <f t="shared" si="72"/>
        <v>45259.868055555555</v>
      </c>
      <c r="BF145" s="479">
        <f t="shared" si="73"/>
        <v>12.962500000001455</v>
      </c>
      <c r="BG145" s="473">
        <v>45246.905555555553</v>
      </c>
      <c r="BH145" s="473">
        <v>45248.788194444445</v>
      </c>
      <c r="BI145" s="473">
        <v>45250.444444444445</v>
      </c>
      <c r="BJ145" s="473">
        <v>45253.829861111109</v>
      </c>
      <c r="BK145" s="473">
        <v>45254</v>
      </c>
      <c r="BL145" s="473">
        <v>45254.006944444445</v>
      </c>
      <c r="BM145" s="473">
        <v>45254.017361111109</v>
      </c>
      <c r="BN145" s="473">
        <f t="shared" si="84"/>
        <v>45255.725694444445</v>
      </c>
      <c r="BO145" s="473">
        <v>45255.583333333336</v>
      </c>
      <c r="BP145" s="473">
        <v>45255.75</v>
      </c>
      <c r="BQ145" s="473">
        <v>45255.673611111109</v>
      </c>
      <c r="BR145" s="473">
        <v>45256.823611111111</v>
      </c>
      <c r="BS145" s="473">
        <v>45259.236111111109</v>
      </c>
      <c r="BT145" s="473">
        <v>45259.625</v>
      </c>
      <c r="BU145" s="473">
        <v>45259.645833333336</v>
      </c>
      <c r="BV145" s="473">
        <v>45259.645833333336</v>
      </c>
      <c r="BW145" s="473">
        <v>45259.868055555555</v>
      </c>
      <c r="BZ145" s="481">
        <f t="shared" si="74"/>
        <v>39.75</v>
      </c>
      <c r="CA145" s="481">
        <f t="shared" si="75"/>
        <v>4.0833333333721384</v>
      </c>
      <c r="CB145" s="481">
        <f t="shared" si="76"/>
        <v>41.000000000058208</v>
      </c>
      <c r="CC145" s="481">
        <f t="shared" si="82"/>
        <v>25.766666666662786</v>
      </c>
      <c r="CD145" s="482">
        <f t="shared" si="77"/>
        <v>9.3333333333721384</v>
      </c>
      <c r="CE145" s="482">
        <f t="shared" si="78"/>
        <v>5.3333333332557231</v>
      </c>
      <c r="CF145" s="483">
        <f t="shared" si="79"/>
        <v>5.2194444444467081</v>
      </c>
      <c r="CG145" s="483">
        <f t="shared" si="80"/>
        <v>12.962500000001455</v>
      </c>
      <c r="CH145" s="484">
        <f t="shared" si="81"/>
        <v>0.40265723775862078</v>
      </c>
    </row>
    <row r="146" spans="1:86" s="475" customFormat="1">
      <c r="A146" s="474">
        <f t="shared" si="85"/>
        <v>45255.680555555555</v>
      </c>
      <c r="B146" s="475" t="s">
        <v>188</v>
      </c>
      <c r="C146" s="475" t="s">
        <v>3278</v>
      </c>
      <c r="D146" s="475" t="s">
        <v>197</v>
      </c>
      <c r="E146" s="399" t="s">
        <v>3587</v>
      </c>
      <c r="F146" s="667" t="s">
        <v>3378</v>
      </c>
      <c r="G146" s="473">
        <v>45265.666666666664</v>
      </c>
      <c r="H146" s="473">
        <v>45265.666666666664</v>
      </c>
      <c r="I146" s="399" t="s">
        <v>3622</v>
      </c>
      <c r="J146" s="475" t="s">
        <v>192</v>
      </c>
      <c r="K146" s="475" t="s">
        <v>192</v>
      </c>
      <c r="L146" s="667" t="s">
        <v>3623</v>
      </c>
      <c r="M146" s="529"/>
      <c r="N146" s="475" t="s">
        <v>3403</v>
      </c>
      <c r="O146" s="475" t="s">
        <v>255</v>
      </c>
      <c r="P146" s="399" t="s">
        <v>172</v>
      </c>
      <c r="Q146" s="477">
        <f>3047*2.4</f>
        <v>7312.8</v>
      </c>
      <c r="R146" s="477">
        <f>7400+100</f>
        <v>7500</v>
      </c>
      <c r="S146" s="477">
        <v>7320.7219999999998</v>
      </c>
      <c r="T146" s="667"/>
      <c r="U146" s="577"/>
      <c r="V146" s="577"/>
      <c r="W146" s="577"/>
      <c r="X146" s="577"/>
      <c r="Y146" s="577"/>
      <c r="Z146" s="577"/>
      <c r="AA146" s="577"/>
      <c r="AB146" s="581"/>
      <c r="AC146" s="581"/>
      <c r="AD146" s="581"/>
      <c r="AY146" s="726">
        <f>S146</f>
        <v>7320.7219999999998</v>
      </c>
      <c r="AZ146" s="726"/>
      <c r="BA146" s="726"/>
      <c r="BB146" s="726"/>
      <c r="BC146" s="726"/>
      <c r="BD146" s="473">
        <f t="shared" si="71"/>
        <v>45250.531944444447</v>
      </c>
      <c r="BE146" s="473">
        <f t="shared" si="72"/>
        <v>45267.6875</v>
      </c>
      <c r="BF146" s="479">
        <f t="shared" si="73"/>
        <v>17.155555555553292</v>
      </c>
      <c r="BG146" s="473">
        <v>45250.531944444447</v>
      </c>
      <c r="BH146" s="473">
        <v>45253.815972222219</v>
      </c>
      <c r="BI146" s="473">
        <v>45255.583333333336</v>
      </c>
      <c r="BJ146" s="473">
        <v>45255.680555555555</v>
      </c>
      <c r="BK146" s="473">
        <v>45256.569444444445</v>
      </c>
      <c r="BL146" s="473">
        <v>45256.611111111109</v>
      </c>
      <c r="BM146" s="473">
        <v>45256.611111111109</v>
      </c>
      <c r="BN146" s="473">
        <f t="shared" si="84"/>
        <v>45258.319444444445</v>
      </c>
      <c r="BO146" s="480">
        <v>45259.25</v>
      </c>
      <c r="BP146" s="480">
        <v>45259.416666608799</v>
      </c>
      <c r="BQ146" s="480">
        <v>45259.302083333336</v>
      </c>
      <c r="BR146" s="473">
        <v>45261.104166666664</v>
      </c>
      <c r="BS146" s="473">
        <v>45266.704861111109</v>
      </c>
      <c r="BT146" s="473">
        <v>45267.020833333336</v>
      </c>
      <c r="BU146" s="473">
        <v>45267.034722222219</v>
      </c>
      <c r="BV146" s="473">
        <v>45267.038194444445</v>
      </c>
      <c r="BW146" s="473">
        <v>45267.6875</v>
      </c>
      <c r="BZ146" s="481">
        <f t="shared" si="74"/>
        <v>42.416666666802485</v>
      </c>
      <c r="CA146" s="481">
        <f t="shared" si="75"/>
        <v>21.333333333372138</v>
      </c>
      <c r="CB146" s="481">
        <f t="shared" si="76"/>
        <v>41.000000000058208</v>
      </c>
      <c r="CC146" s="481">
        <f t="shared" si="82"/>
        <v>40.500001388776582</v>
      </c>
      <c r="CD146" s="482">
        <f t="shared" si="77"/>
        <v>7.5833333334303461</v>
      </c>
      <c r="CE146" s="482">
        <f t="shared" si="78"/>
        <v>15.583333333313931</v>
      </c>
      <c r="CF146" s="483">
        <f t="shared" si="79"/>
        <v>7.0173611689897371</v>
      </c>
      <c r="CG146" s="483">
        <f t="shared" si="80"/>
        <v>17.155555555553292</v>
      </c>
      <c r="CH146" s="484">
        <f t="shared" si="81"/>
        <v>0.40904307332199458</v>
      </c>
    </row>
    <row r="147" spans="1:86" s="475" customFormat="1">
      <c r="A147" s="474">
        <f t="shared" si="85"/>
        <v>45257.93472222222</v>
      </c>
      <c r="B147" s="475" t="s">
        <v>228</v>
      </c>
      <c r="C147" s="475" t="s">
        <v>229</v>
      </c>
      <c r="D147" s="475" t="s">
        <v>197</v>
      </c>
      <c r="E147" s="399" t="s">
        <v>1270</v>
      </c>
      <c r="F147" s="399" t="s">
        <v>3474</v>
      </c>
      <c r="G147" s="472">
        <v>45261.333333333336</v>
      </c>
      <c r="H147" s="472">
        <v>45261.291666666664</v>
      </c>
      <c r="I147" s="667" t="s">
        <v>471</v>
      </c>
      <c r="J147" s="475" t="s">
        <v>192</v>
      </c>
      <c r="K147" s="475" t="s">
        <v>192</v>
      </c>
      <c r="L147" s="475" t="s">
        <v>3624</v>
      </c>
      <c r="M147" s="529"/>
      <c r="N147" s="475" t="s">
        <v>686</v>
      </c>
      <c r="O147" s="475" t="s">
        <v>1186</v>
      </c>
      <c r="P147" s="475" t="s">
        <v>172</v>
      </c>
      <c r="Q147" s="477">
        <f>3136*2.4</f>
        <v>7526.4</v>
      </c>
      <c r="R147" s="477">
        <f>7550+100</f>
        <v>7650</v>
      </c>
      <c r="S147" s="477">
        <v>7531.0540000000001</v>
      </c>
      <c r="T147" s="399"/>
      <c r="U147" s="401"/>
      <c r="V147" s="401"/>
      <c r="W147" s="401"/>
      <c r="X147" s="401"/>
      <c r="Y147" s="401"/>
      <c r="Z147" s="726">
        <f>S147</f>
        <v>7531.0540000000001</v>
      </c>
      <c r="AA147" s="577"/>
      <c r="AB147" s="401"/>
      <c r="AC147" s="401"/>
      <c r="AD147" s="401"/>
      <c r="AE147" s="401"/>
      <c r="AF147" s="724"/>
      <c r="AG147" s="724"/>
      <c r="AH147" s="401"/>
      <c r="AI147" s="577"/>
      <c r="BD147" s="473">
        <f t="shared" si="71"/>
        <v>45254.6875</v>
      </c>
      <c r="BE147" s="473">
        <f t="shared" si="72"/>
        <v>45264.541666666664</v>
      </c>
      <c r="BF147" s="479">
        <f t="shared" si="73"/>
        <v>9.8541666666642413</v>
      </c>
      <c r="BG147" s="473">
        <v>45254.6875</v>
      </c>
      <c r="BH147" s="473">
        <v>45255.333333333336</v>
      </c>
      <c r="BI147" s="473">
        <v>45257.027777777781</v>
      </c>
      <c r="BJ147" s="473">
        <v>45257.93472222222</v>
      </c>
      <c r="BK147" s="473">
        <v>45258.104166666664</v>
      </c>
      <c r="BL147" s="473">
        <v>45258.114583333336</v>
      </c>
      <c r="BM147" s="473">
        <v>45258.416666666664</v>
      </c>
      <c r="BN147" s="473">
        <f t="shared" si="84"/>
        <v>45260.125</v>
      </c>
      <c r="BO147" s="480">
        <v>45260.229166608799</v>
      </c>
      <c r="BP147" s="480">
        <v>45260.395833333336</v>
      </c>
      <c r="BQ147" s="480">
        <v>45260.364583333336</v>
      </c>
      <c r="BR147" s="473">
        <v>45262.520833333336</v>
      </c>
      <c r="BS147" s="473">
        <v>45263.399305555555</v>
      </c>
      <c r="BT147" s="473">
        <v>45264.041666666664</v>
      </c>
      <c r="BU147" s="473">
        <v>45264.048611111109</v>
      </c>
      <c r="BV147" s="473">
        <v>45264.291666666664</v>
      </c>
      <c r="BW147" s="473">
        <v>45264.541666666664</v>
      </c>
      <c r="BZ147" s="481">
        <f t="shared" si="74"/>
        <v>40.666666666686069</v>
      </c>
      <c r="CA147" s="481">
        <f t="shared" si="75"/>
        <v>4.0666666666511446</v>
      </c>
      <c r="CB147" s="481">
        <f t="shared" si="76"/>
        <v>41.000000000058208</v>
      </c>
      <c r="CC147" s="481">
        <f t="shared" si="82"/>
        <v>51</v>
      </c>
      <c r="CD147" s="482">
        <f t="shared" si="77"/>
        <v>15.416666666627862</v>
      </c>
      <c r="CE147" s="482">
        <f t="shared" si="78"/>
        <v>6</v>
      </c>
      <c r="CF147" s="483">
        <f t="shared" si="79"/>
        <v>6.5895833333343035</v>
      </c>
      <c r="CG147" s="483">
        <f t="shared" si="80"/>
        <v>9.8541666666642413</v>
      </c>
      <c r="CH147" s="484">
        <f t="shared" si="81"/>
        <v>0.66871035940829682</v>
      </c>
    </row>
    <row r="148" spans="1:86" s="475" customFormat="1">
      <c r="A148" s="474">
        <f t="shared" si="85"/>
        <v>45233.819444444445</v>
      </c>
      <c r="B148" s="475" t="s">
        <v>188</v>
      </c>
      <c r="C148" s="475" t="s">
        <v>183</v>
      </c>
      <c r="D148" s="475" t="s">
        <v>197</v>
      </c>
      <c r="E148" s="667" t="s">
        <v>3584</v>
      </c>
      <c r="F148" s="475" t="s">
        <v>3378</v>
      </c>
      <c r="G148" s="858">
        <v>45241.541666666664</v>
      </c>
      <c r="H148" s="858">
        <v>45241.506944444445</v>
      </c>
      <c r="I148" s="667" t="s">
        <v>791</v>
      </c>
      <c r="J148" s="475" t="s">
        <v>192</v>
      </c>
      <c r="K148" s="475" t="s">
        <v>192</v>
      </c>
      <c r="L148" s="667" t="s">
        <v>3625</v>
      </c>
      <c r="M148" s="530"/>
      <c r="N148" s="475" t="s">
        <v>383</v>
      </c>
      <c r="O148" s="475" t="s">
        <v>384</v>
      </c>
      <c r="P148" s="667" t="s">
        <v>183</v>
      </c>
      <c r="Q148" s="477">
        <f>2205*2.4</f>
        <v>5292</v>
      </c>
      <c r="R148" s="477">
        <f>5300+100</f>
        <v>5400</v>
      </c>
      <c r="S148" s="477">
        <v>5314.6350000000002</v>
      </c>
      <c r="T148" s="477"/>
      <c r="U148" s="581"/>
      <c r="V148" s="581"/>
      <c r="W148" s="581"/>
      <c r="X148" s="581"/>
      <c r="Y148" s="581"/>
      <c r="Z148" s="581"/>
      <c r="AA148" s="581"/>
      <c r="AB148" s="581"/>
      <c r="AC148" s="401"/>
      <c r="AD148" s="401"/>
      <c r="AE148" s="401"/>
      <c r="AT148" s="726">
        <f t="shared" ref="AT148:AT160" si="86">S148</f>
        <v>5314.6350000000002</v>
      </c>
      <c r="BD148" s="473">
        <f t="shared" si="71"/>
        <v>45229.4375</v>
      </c>
      <c r="BE148" s="473">
        <f t="shared" si="72"/>
        <v>45243.909722222219</v>
      </c>
      <c r="BF148" s="479">
        <f t="shared" si="73"/>
        <v>14.472222222218988</v>
      </c>
      <c r="BG148" s="473">
        <v>45229.4375</v>
      </c>
      <c r="BH148" s="473">
        <v>45231.534722222219</v>
      </c>
      <c r="BI148" s="473">
        <v>45233.680555555555</v>
      </c>
      <c r="BJ148" s="473">
        <v>45233.819444444445</v>
      </c>
      <c r="BK148" s="473">
        <v>45234.618055555555</v>
      </c>
      <c r="BL148" s="473">
        <v>45234.625</v>
      </c>
      <c r="BM148" s="473">
        <v>45236.4375</v>
      </c>
      <c r="BN148" s="473">
        <f t="shared" si="84"/>
        <v>45238.145833333336</v>
      </c>
      <c r="BO148" s="480">
        <v>45238.541666608799</v>
      </c>
      <c r="BP148" s="480">
        <v>45238.708333333336</v>
      </c>
      <c r="BQ148" s="480">
        <v>45238.576388888891</v>
      </c>
      <c r="BR148" s="473">
        <v>45240.263888888891</v>
      </c>
      <c r="BS148" s="473">
        <v>45243.006944444445</v>
      </c>
      <c r="BT148" s="473">
        <v>45243.239583333336</v>
      </c>
      <c r="BU148" s="473">
        <v>45243.25</v>
      </c>
      <c r="BV148" s="473">
        <v>45243.423611111109</v>
      </c>
      <c r="BW148" s="865">
        <v>45243.909722222219</v>
      </c>
      <c r="BZ148" s="481">
        <f t="shared" si="74"/>
        <v>51.500000000058208</v>
      </c>
      <c r="CA148" s="481">
        <f t="shared" si="75"/>
        <v>19.166666666627862</v>
      </c>
      <c r="CB148" s="481">
        <f t="shared" si="76"/>
        <v>41.000000000058208</v>
      </c>
      <c r="CC148" s="481">
        <f t="shared" si="82"/>
        <v>37.333333333313931</v>
      </c>
      <c r="CD148" s="482">
        <f t="shared" si="77"/>
        <v>5.5833333333721384</v>
      </c>
      <c r="CE148" s="482">
        <f t="shared" si="78"/>
        <v>11.666666666627862</v>
      </c>
      <c r="CF148" s="483">
        <f t="shared" si="79"/>
        <v>6.9270833333357587</v>
      </c>
      <c r="CG148" s="483">
        <f t="shared" si="80"/>
        <v>14.472222222218988</v>
      </c>
      <c r="CH148" s="484">
        <f t="shared" si="81"/>
        <v>0.47864683301371025</v>
      </c>
    </row>
    <row r="149" spans="1:86" s="475" customFormat="1">
      <c r="A149" s="474">
        <f t="shared" si="85"/>
        <v>45235.822916666664</v>
      </c>
      <c r="B149" s="475" t="s">
        <v>188</v>
      </c>
      <c r="C149" s="475" t="s">
        <v>183</v>
      </c>
      <c r="D149" s="475" t="s">
        <v>197</v>
      </c>
      <c r="E149" s="667" t="s">
        <v>3584</v>
      </c>
      <c r="F149" s="475" t="s">
        <v>3378</v>
      </c>
      <c r="G149" s="858">
        <v>45241.541666666664</v>
      </c>
      <c r="H149" s="858">
        <v>45241.506944444445</v>
      </c>
      <c r="I149" s="667" t="s">
        <v>791</v>
      </c>
      <c r="J149" s="475" t="s">
        <v>192</v>
      </c>
      <c r="K149" s="475" t="s">
        <v>192</v>
      </c>
      <c r="L149" s="667" t="s">
        <v>3626</v>
      </c>
      <c r="M149" s="530"/>
      <c r="N149" s="475" t="s">
        <v>3546</v>
      </c>
      <c r="O149" s="475" t="s">
        <v>1308</v>
      </c>
      <c r="P149" s="667" t="s">
        <v>183</v>
      </c>
      <c r="Q149" s="477">
        <f>2205*2.4</f>
        <v>5292</v>
      </c>
      <c r="R149" s="477">
        <f>5300+100</f>
        <v>5400</v>
      </c>
      <c r="S149" s="477">
        <v>5301.4690000000001</v>
      </c>
      <c r="T149" s="477"/>
      <c r="U149" s="581"/>
      <c r="V149" s="581"/>
      <c r="W149" s="581"/>
      <c r="X149" s="581"/>
      <c r="Y149" s="581"/>
      <c r="Z149" s="581"/>
      <c r="AA149" s="581"/>
      <c r="AB149" s="581"/>
      <c r="AC149" s="401"/>
      <c r="AD149" s="401"/>
      <c r="AE149" s="401"/>
      <c r="AT149" s="726">
        <f t="shared" si="86"/>
        <v>5301.4690000000001</v>
      </c>
      <c r="BD149" s="473">
        <f t="shared" si="71"/>
        <v>45230.75</v>
      </c>
      <c r="BE149" s="473">
        <f t="shared" si="72"/>
        <v>45245.611111111109</v>
      </c>
      <c r="BF149" s="479">
        <f t="shared" si="73"/>
        <v>14.861111111109494</v>
      </c>
      <c r="BG149" s="473">
        <v>45230.75</v>
      </c>
      <c r="BH149" s="473">
        <v>45232.777777777781</v>
      </c>
      <c r="BI149" s="473">
        <v>45235.541666666664</v>
      </c>
      <c r="BJ149" s="473">
        <v>45235.822916666664</v>
      </c>
      <c r="BK149" s="473">
        <v>45236.5625</v>
      </c>
      <c r="BL149" s="473">
        <v>45236.625</v>
      </c>
      <c r="BM149" s="473">
        <v>45237.4375</v>
      </c>
      <c r="BN149" s="473">
        <f t="shared" si="84"/>
        <v>45239.145833333336</v>
      </c>
      <c r="BO149" s="480">
        <v>45239.541666608799</v>
      </c>
      <c r="BP149" s="480">
        <v>45239.708333333336</v>
      </c>
      <c r="BQ149" s="480">
        <v>45239.652777777781</v>
      </c>
      <c r="BR149" s="473">
        <v>45241.666666666664</v>
      </c>
      <c r="BS149" s="473">
        <v>45242.618055555555</v>
      </c>
      <c r="BT149" s="473">
        <v>45244.684027777781</v>
      </c>
      <c r="BU149" s="473">
        <v>45244.708333333336</v>
      </c>
      <c r="BV149" s="473">
        <v>45244.875</v>
      </c>
      <c r="BW149" s="865">
        <v>45245.611111111109</v>
      </c>
      <c r="BX149" s="475" t="s">
        <v>3627</v>
      </c>
      <c r="BZ149" s="481">
        <f t="shared" si="74"/>
        <v>66.333333333197515</v>
      </c>
      <c r="CA149" s="481">
        <f t="shared" si="75"/>
        <v>17.750000000058208</v>
      </c>
      <c r="CB149" s="481">
        <f t="shared" si="76"/>
        <v>41.000000000058208</v>
      </c>
      <c r="CC149" s="481">
        <f t="shared" si="82"/>
        <v>46.999999999883585</v>
      </c>
      <c r="CD149" s="482">
        <f t="shared" si="77"/>
        <v>49.583333333430346</v>
      </c>
      <c r="CE149" s="482">
        <f t="shared" si="78"/>
        <v>17.666666666627862</v>
      </c>
      <c r="CF149" s="483">
        <f t="shared" si="79"/>
        <v>9.9722222222189885</v>
      </c>
      <c r="CG149" s="483">
        <f t="shared" si="80"/>
        <v>14.861111111109494</v>
      </c>
      <c r="CH149" s="484">
        <f t="shared" si="81"/>
        <v>0.67102803738303296</v>
      </c>
    </row>
    <row r="150" spans="1:86" s="475" customFormat="1">
      <c r="A150" s="474">
        <f t="shared" si="85"/>
        <v>45240.59375</v>
      </c>
      <c r="B150" s="475" t="s">
        <v>188</v>
      </c>
      <c r="C150" s="475" t="s">
        <v>183</v>
      </c>
      <c r="D150" s="475" t="s">
        <v>189</v>
      </c>
      <c r="E150" s="476" t="s">
        <v>3148</v>
      </c>
      <c r="F150" s="475" t="s">
        <v>3378</v>
      </c>
      <c r="G150" s="858">
        <v>45241.000694444447</v>
      </c>
      <c r="H150" s="858">
        <v>45240.929166666669</v>
      </c>
      <c r="I150" s="475" t="s">
        <v>791</v>
      </c>
      <c r="J150" s="475" t="s">
        <v>192</v>
      </c>
      <c r="K150" s="475" t="s">
        <v>192</v>
      </c>
      <c r="L150" s="475" t="s">
        <v>3628</v>
      </c>
      <c r="M150" s="530"/>
      <c r="N150" s="475" t="s">
        <v>2168</v>
      </c>
      <c r="O150" s="475" t="s">
        <v>817</v>
      </c>
      <c r="P150" s="667" t="s">
        <v>183</v>
      </c>
      <c r="Q150" s="477">
        <v>5300</v>
      </c>
      <c r="R150" s="477">
        <v>5300</v>
      </c>
      <c r="S150" s="477">
        <v>5207.0680000000002</v>
      </c>
      <c r="T150" s="667"/>
      <c r="U150" s="581"/>
      <c r="V150" s="581"/>
      <c r="W150" s="581"/>
      <c r="Y150" s="581"/>
      <c r="Z150" s="581"/>
      <c r="AA150" s="581"/>
      <c r="AB150" s="581"/>
      <c r="AC150" s="581"/>
      <c r="AD150" s="581"/>
      <c r="AE150" s="667"/>
      <c r="AF150" s="667"/>
      <c r="AG150" s="667"/>
      <c r="AH150" s="667"/>
      <c r="AI150" s="667"/>
      <c r="AJ150" s="667"/>
      <c r="AK150" s="667"/>
      <c r="AL150" s="667"/>
      <c r="AM150" s="667"/>
      <c r="AN150" s="667"/>
      <c r="AO150" s="667"/>
      <c r="AP150" s="667"/>
      <c r="AQ150" s="667"/>
      <c r="AR150" s="667"/>
      <c r="AS150" s="667"/>
      <c r="AT150" s="580">
        <f t="shared" si="86"/>
        <v>5207.0680000000002</v>
      </c>
      <c r="AU150" s="667"/>
      <c r="AV150" s="667"/>
      <c r="AW150" s="667"/>
      <c r="AX150" s="667"/>
      <c r="AY150" s="667"/>
      <c r="AZ150" s="667"/>
      <c r="BA150" s="667"/>
      <c r="BB150" s="667"/>
      <c r="BC150" s="667"/>
      <c r="BD150" s="473">
        <f t="shared" si="71"/>
        <v>45240.583333333336</v>
      </c>
      <c r="BE150" s="473">
        <f t="shared" si="72"/>
        <v>45250.565972222219</v>
      </c>
      <c r="BF150" s="479">
        <f t="shared" si="73"/>
        <v>9.9826388888832298</v>
      </c>
      <c r="BG150" s="473">
        <v>45240.583333333336</v>
      </c>
      <c r="BH150" s="473">
        <v>45240.583333333336</v>
      </c>
      <c r="BI150" s="473">
        <v>45240.583333333336</v>
      </c>
      <c r="BJ150" s="473">
        <v>45240.59375</v>
      </c>
      <c r="BK150" s="473">
        <v>45241.055555555555</v>
      </c>
      <c r="BL150" s="473">
        <v>45241.055555555555</v>
      </c>
      <c r="BM150" s="473">
        <v>45241.055555555555</v>
      </c>
      <c r="BN150" s="473">
        <v>45241.055555555555</v>
      </c>
      <c r="BO150" s="518" t="s">
        <v>196</v>
      </c>
      <c r="BP150" s="518" t="s">
        <v>196</v>
      </c>
      <c r="BQ150" s="518" t="s">
        <v>196</v>
      </c>
      <c r="BR150" s="473">
        <v>45247.524305555555</v>
      </c>
      <c r="BS150" s="473">
        <v>45250.048611111109</v>
      </c>
      <c r="BT150" s="473">
        <v>45250.552083333336</v>
      </c>
      <c r="BU150" s="473">
        <v>45250.565972222219</v>
      </c>
      <c r="BV150" s="473">
        <v>45250.565972222219</v>
      </c>
      <c r="BW150" s="473">
        <v>45250.565972222219</v>
      </c>
      <c r="BZ150" s="481">
        <f t="shared" si="74"/>
        <v>0</v>
      </c>
      <c r="CA150" s="481">
        <f t="shared" si="75"/>
        <v>11.083333333313931</v>
      </c>
      <c r="CB150" s="481">
        <f t="shared" si="76"/>
        <v>0</v>
      </c>
      <c r="CC150" s="481">
        <f t="shared" ref="CC150:CC157" si="87">(BR150-BN150)*24</f>
        <v>155.25</v>
      </c>
      <c r="CD150" s="482">
        <f t="shared" si="77"/>
        <v>12.083333333430346</v>
      </c>
      <c r="CE150" s="482">
        <f t="shared" si="78"/>
        <v>0</v>
      </c>
      <c r="CF150" s="483">
        <f t="shared" si="79"/>
        <v>7.4340277777810115</v>
      </c>
      <c r="CG150" s="483">
        <f t="shared" si="80"/>
        <v>9.9826388888832298</v>
      </c>
      <c r="CH150" s="484">
        <f t="shared" si="81"/>
        <v>0.74469565217465916</v>
      </c>
    </row>
    <row r="151" spans="1:86" s="475" customFormat="1">
      <c r="A151" s="474">
        <f t="shared" si="85"/>
        <v>45241.142361111109</v>
      </c>
      <c r="B151" s="475" t="s">
        <v>188</v>
      </c>
      <c r="C151" s="475" t="s">
        <v>183</v>
      </c>
      <c r="D151" s="475" t="s">
        <v>189</v>
      </c>
      <c r="E151" s="667" t="s">
        <v>3148</v>
      </c>
      <c r="F151" s="475" t="s">
        <v>3378</v>
      </c>
      <c r="G151" s="858">
        <v>45241.000694444447</v>
      </c>
      <c r="H151" s="858">
        <v>45240.929166666669</v>
      </c>
      <c r="I151" s="475" t="s">
        <v>791</v>
      </c>
      <c r="J151" s="475" t="s">
        <v>192</v>
      </c>
      <c r="K151" s="475" t="s">
        <v>192</v>
      </c>
      <c r="L151" s="475" t="s">
        <v>3629</v>
      </c>
      <c r="M151" s="530"/>
      <c r="N151" s="475" t="s">
        <v>2836</v>
      </c>
      <c r="O151" s="475" t="s">
        <v>2837</v>
      </c>
      <c r="P151" s="667" t="s">
        <v>183</v>
      </c>
      <c r="Q151" s="477">
        <v>5300</v>
      </c>
      <c r="R151" s="477">
        <v>5300</v>
      </c>
      <c r="S151" s="477">
        <v>5203.9449999999997</v>
      </c>
      <c r="T151" s="667"/>
      <c r="U151" s="581"/>
      <c r="V151" s="581"/>
      <c r="W151" s="581"/>
      <c r="Y151" s="581"/>
      <c r="Z151" s="581"/>
      <c r="AA151" s="581"/>
      <c r="AB151" s="581"/>
      <c r="AC151" s="581"/>
      <c r="AD151" s="581"/>
      <c r="AE151" s="581"/>
      <c r="AF151" s="401"/>
      <c r="AG151" s="401"/>
      <c r="AH151" s="401"/>
      <c r="AI151" s="401"/>
      <c r="AJ151" s="401"/>
      <c r="AK151" s="401"/>
      <c r="AL151" s="401"/>
      <c r="AM151" s="401"/>
      <c r="AN151" s="401"/>
      <c r="AO151" s="401"/>
      <c r="AP151" s="401"/>
      <c r="AQ151" s="401"/>
      <c r="AR151" s="401"/>
      <c r="AS151" s="401"/>
      <c r="AT151" s="580">
        <f t="shared" si="86"/>
        <v>5203.9449999999997</v>
      </c>
      <c r="AU151" s="401"/>
      <c r="BD151" s="473">
        <f t="shared" si="71"/>
        <v>45241.131944444445</v>
      </c>
      <c r="BE151" s="473">
        <f t="shared" si="72"/>
        <v>45249.993055555555</v>
      </c>
      <c r="BF151" s="479">
        <f t="shared" si="73"/>
        <v>8.8611111111094942</v>
      </c>
      <c r="BG151" s="473">
        <v>45241.131944444445</v>
      </c>
      <c r="BH151" s="473">
        <v>45241.131944444445</v>
      </c>
      <c r="BI151" s="473">
        <v>45241.131944444445</v>
      </c>
      <c r="BJ151" s="473">
        <v>45241.142361111109</v>
      </c>
      <c r="BK151" s="473">
        <v>45241.572916666664</v>
      </c>
      <c r="BL151" s="473">
        <v>45241.572916666664</v>
      </c>
      <c r="BM151" s="473">
        <v>45241.572916666664</v>
      </c>
      <c r="BN151" s="473">
        <v>45241.572916666664</v>
      </c>
      <c r="BO151" s="518" t="s">
        <v>196</v>
      </c>
      <c r="BP151" s="518" t="s">
        <v>196</v>
      </c>
      <c r="BQ151" s="518" t="s">
        <v>196</v>
      </c>
      <c r="BR151" s="473">
        <v>45246.284722222219</v>
      </c>
      <c r="BS151" s="473">
        <v>45249.597222222219</v>
      </c>
      <c r="BT151" s="473">
        <v>45249.979166666664</v>
      </c>
      <c r="BU151" s="473">
        <v>45249.993055555555</v>
      </c>
      <c r="BV151" s="473">
        <v>45249.993055555555</v>
      </c>
      <c r="BW151" s="473">
        <v>45249.993055555555</v>
      </c>
      <c r="BZ151" s="481">
        <f t="shared" si="74"/>
        <v>0</v>
      </c>
      <c r="CA151" s="481">
        <f t="shared" si="75"/>
        <v>10.333333333313931</v>
      </c>
      <c r="CB151" s="481">
        <f t="shared" si="76"/>
        <v>0</v>
      </c>
      <c r="CC151" s="481">
        <f t="shared" si="87"/>
        <v>113.08333333331393</v>
      </c>
      <c r="CD151" s="482">
        <f t="shared" si="77"/>
        <v>9.1666666666860692</v>
      </c>
      <c r="CE151" s="482">
        <f t="shared" si="78"/>
        <v>0</v>
      </c>
      <c r="CF151" s="483">
        <f t="shared" si="79"/>
        <v>5.5243055555547471</v>
      </c>
      <c r="CG151" s="483">
        <f t="shared" si="80"/>
        <v>8.8611111111094942</v>
      </c>
      <c r="CH151" s="484">
        <f t="shared" si="81"/>
        <v>0.62343260188090022</v>
      </c>
    </row>
    <row r="152" spans="1:86" s="475" customFormat="1">
      <c r="A152" s="474">
        <f t="shared" si="85"/>
        <v>45241.854166666664</v>
      </c>
      <c r="B152" s="475" t="s">
        <v>188</v>
      </c>
      <c r="C152" s="475" t="s">
        <v>183</v>
      </c>
      <c r="D152" s="475" t="s">
        <v>189</v>
      </c>
      <c r="E152" s="476" t="s">
        <v>3471</v>
      </c>
      <c r="F152" s="475" t="s">
        <v>3378</v>
      </c>
      <c r="G152" s="472">
        <v>45248.541666666664</v>
      </c>
      <c r="H152" s="472">
        <v>45248.55</v>
      </c>
      <c r="I152" s="475" t="s">
        <v>791</v>
      </c>
      <c r="J152" s="475" t="s">
        <v>192</v>
      </c>
      <c r="K152" s="475" t="s">
        <v>192</v>
      </c>
      <c r="L152" s="475" t="s">
        <v>3630</v>
      </c>
      <c r="M152" s="530"/>
      <c r="N152" s="475" t="s">
        <v>1626</v>
      </c>
      <c r="O152" s="475" t="s">
        <v>2654</v>
      </c>
      <c r="P152" s="667" t="s">
        <v>183</v>
      </c>
      <c r="Q152" s="477">
        <v>5300</v>
      </c>
      <c r="R152" s="477">
        <v>5300</v>
      </c>
      <c r="S152" s="477">
        <v>5213.12</v>
      </c>
      <c r="T152" s="667"/>
      <c r="U152" s="581"/>
      <c r="V152" s="581"/>
      <c r="W152" s="581"/>
      <c r="Y152" s="581"/>
      <c r="Z152" s="581"/>
      <c r="AA152" s="581"/>
      <c r="AB152" s="581"/>
      <c r="AC152" s="581"/>
      <c r="AD152" s="581"/>
      <c r="AE152" s="667"/>
      <c r="AF152" s="667"/>
      <c r="AG152" s="667"/>
      <c r="AH152" s="667"/>
      <c r="AI152" s="667"/>
      <c r="AJ152" s="667"/>
      <c r="AK152" s="667"/>
      <c r="AL152" s="667"/>
      <c r="AM152" s="667"/>
      <c r="AN152" s="667"/>
      <c r="AO152" s="667"/>
      <c r="AP152" s="667"/>
      <c r="AQ152" s="667"/>
      <c r="AR152" s="667"/>
      <c r="AS152" s="667"/>
      <c r="AT152" s="580">
        <f t="shared" si="86"/>
        <v>5213.12</v>
      </c>
      <c r="AU152" s="667"/>
      <c r="AV152" s="667"/>
      <c r="AW152" s="667"/>
      <c r="AX152" s="667"/>
      <c r="AY152" s="667"/>
      <c r="AZ152" s="667"/>
      <c r="BA152" s="667"/>
      <c r="BB152" s="667"/>
      <c r="BC152" s="667"/>
      <c r="BD152" s="473">
        <f t="shared" si="71"/>
        <v>45241.677083333336</v>
      </c>
      <c r="BE152" s="473">
        <f t="shared" si="72"/>
        <v>45256.097222222219</v>
      </c>
      <c r="BF152" s="479">
        <f t="shared" si="73"/>
        <v>14.42013888888323</v>
      </c>
      <c r="BG152" s="473">
        <v>45241.677083333336</v>
      </c>
      <c r="BH152" s="473">
        <v>45241.677083333336</v>
      </c>
      <c r="BI152" s="473">
        <v>45241.677083333336</v>
      </c>
      <c r="BJ152" s="473">
        <v>45241.854166666664</v>
      </c>
      <c r="BK152" s="473">
        <v>45242.979166666664</v>
      </c>
      <c r="BL152" s="473">
        <v>45242.979166666664</v>
      </c>
      <c r="BM152" s="473">
        <v>45242.979166666664</v>
      </c>
      <c r="BN152" s="473">
        <f>BM152+(24/24)</f>
        <v>45243.979166666664</v>
      </c>
      <c r="BO152" s="518" t="s">
        <v>196</v>
      </c>
      <c r="BP152" s="518" t="s">
        <v>196</v>
      </c>
      <c r="BQ152" s="518" t="s">
        <v>196</v>
      </c>
      <c r="BR152" s="473">
        <v>45249.9375</v>
      </c>
      <c r="BS152" s="473">
        <v>45254.180555555555</v>
      </c>
      <c r="BT152" s="473">
        <v>45256.069444444445</v>
      </c>
      <c r="BU152" s="473">
        <v>45256.097222222219</v>
      </c>
      <c r="BV152" s="473">
        <v>45256.097222222219</v>
      </c>
      <c r="BW152" s="473">
        <v>45256.097222222219</v>
      </c>
      <c r="BZ152" s="481">
        <f t="shared" si="74"/>
        <v>0</v>
      </c>
      <c r="CA152" s="481">
        <f t="shared" si="75"/>
        <v>27</v>
      </c>
      <c r="CB152" s="481">
        <f t="shared" si="76"/>
        <v>24</v>
      </c>
      <c r="CC152" s="481">
        <f t="shared" si="87"/>
        <v>143.00000000005821</v>
      </c>
      <c r="CD152" s="482">
        <f t="shared" si="77"/>
        <v>45.333333333372138</v>
      </c>
      <c r="CE152" s="482">
        <f t="shared" si="78"/>
        <v>0</v>
      </c>
      <c r="CF152" s="483">
        <f t="shared" si="79"/>
        <v>9.9722222222262644</v>
      </c>
      <c r="CG152" s="483">
        <f t="shared" si="80"/>
        <v>14.42013888888323</v>
      </c>
      <c r="CH152" s="484">
        <f t="shared" si="81"/>
        <v>0.69154827835354959</v>
      </c>
    </row>
    <row r="153" spans="1:86" s="475" customFormat="1">
      <c r="A153" s="474">
        <f t="shared" si="85"/>
        <v>45243.347222222219</v>
      </c>
      <c r="B153" s="475" t="s">
        <v>188</v>
      </c>
      <c r="C153" s="475" t="s">
        <v>183</v>
      </c>
      <c r="D153" s="475" t="s">
        <v>189</v>
      </c>
      <c r="E153" s="667" t="s">
        <v>3471</v>
      </c>
      <c r="F153" s="475" t="s">
        <v>3378</v>
      </c>
      <c r="G153" s="472">
        <v>45248.541666666664</v>
      </c>
      <c r="H153" s="472">
        <v>45248.55</v>
      </c>
      <c r="I153" s="475" t="s">
        <v>791</v>
      </c>
      <c r="J153" s="475" t="s">
        <v>192</v>
      </c>
      <c r="K153" s="475" t="s">
        <v>192</v>
      </c>
      <c r="L153" s="475" t="s">
        <v>3631</v>
      </c>
      <c r="M153" s="530"/>
      <c r="N153" s="475" t="s">
        <v>3632</v>
      </c>
      <c r="O153" s="475" t="s">
        <v>1618</v>
      </c>
      <c r="P153" s="667" t="s">
        <v>183</v>
      </c>
      <c r="Q153" s="477">
        <v>5300</v>
      </c>
      <c r="R153" s="477">
        <v>5300</v>
      </c>
      <c r="S153" s="477">
        <v>5209.9269999999997</v>
      </c>
      <c r="T153" s="667"/>
      <c r="U153" s="581"/>
      <c r="V153" s="581"/>
      <c r="W153" s="581"/>
      <c r="Y153" s="581"/>
      <c r="Z153" s="581"/>
      <c r="AA153" s="581"/>
      <c r="AB153" s="581"/>
      <c r="AC153" s="581"/>
      <c r="AD153" s="581"/>
      <c r="AE153" s="581"/>
      <c r="AF153" s="401"/>
      <c r="AG153" s="401"/>
      <c r="AH153" s="401"/>
      <c r="AI153" s="401"/>
      <c r="AJ153" s="401"/>
      <c r="AK153" s="401"/>
      <c r="AL153" s="401"/>
      <c r="AM153" s="401"/>
      <c r="AN153" s="401"/>
      <c r="AO153" s="401"/>
      <c r="AP153" s="401"/>
      <c r="AQ153" s="401"/>
      <c r="AR153" s="401"/>
      <c r="AS153" s="401"/>
      <c r="AT153" s="580">
        <f t="shared" si="86"/>
        <v>5209.9269999999997</v>
      </c>
      <c r="AU153" s="401"/>
      <c r="BD153" s="473">
        <f t="shared" si="71"/>
        <v>45243.340277777781</v>
      </c>
      <c r="BE153" s="473">
        <f t="shared" si="72"/>
        <v>45255.652777777781</v>
      </c>
      <c r="BF153" s="479">
        <f t="shared" si="73"/>
        <v>12.3125</v>
      </c>
      <c r="BG153" s="473">
        <v>45243.340277777781</v>
      </c>
      <c r="BH153" s="473">
        <v>45243.340277777781</v>
      </c>
      <c r="BI153" s="473">
        <v>45243.340277777781</v>
      </c>
      <c r="BJ153" s="473">
        <v>45243.347222222219</v>
      </c>
      <c r="BK153" s="473">
        <v>45243.8125</v>
      </c>
      <c r="BL153" s="473">
        <v>45243.8125</v>
      </c>
      <c r="BM153" s="473">
        <v>45243.8125</v>
      </c>
      <c r="BN153" s="473">
        <v>45243.8125</v>
      </c>
      <c r="BO153" s="518" t="s">
        <v>196</v>
      </c>
      <c r="BP153" s="518" t="s">
        <v>196</v>
      </c>
      <c r="BQ153" s="518" t="s">
        <v>196</v>
      </c>
      <c r="BR153" s="473">
        <v>45249.472222222219</v>
      </c>
      <c r="BS153" s="473">
        <v>45255.211805555555</v>
      </c>
      <c r="BT153" s="473">
        <v>45255.638888888891</v>
      </c>
      <c r="BU153" s="473">
        <v>45255.652777777781</v>
      </c>
      <c r="BV153" s="473">
        <v>45255.652777777781</v>
      </c>
      <c r="BW153" s="473">
        <v>45255.652777777781</v>
      </c>
      <c r="BZ153" s="481">
        <f t="shared" si="74"/>
        <v>0</v>
      </c>
      <c r="CA153" s="481">
        <f t="shared" si="75"/>
        <v>11.166666666744277</v>
      </c>
      <c r="CB153" s="481">
        <f t="shared" si="76"/>
        <v>0</v>
      </c>
      <c r="CC153" s="481">
        <f t="shared" si="87"/>
        <v>135.83333333325572</v>
      </c>
      <c r="CD153" s="482">
        <f t="shared" si="77"/>
        <v>10.250000000058208</v>
      </c>
      <c r="CE153" s="482">
        <f t="shared" si="78"/>
        <v>0</v>
      </c>
      <c r="CF153" s="483">
        <f t="shared" si="79"/>
        <v>6.5520833333357587</v>
      </c>
      <c r="CG153" s="483">
        <f t="shared" si="80"/>
        <v>12.3125</v>
      </c>
      <c r="CH153" s="484">
        <f t="shared" si="81"/>
        <v>0.53214890016940175</v>
      </c>
    </row>
    <row r="154" spans="1:86" s="475" customFormat="1">
      <c r="A154" s="474">
        <f t="shared" si="85"/>
        <v>45249.048611111109</v>
      </c>
      <c r="B154" s="475" t="s">
        <v>188</v>
      </c>
      <c r="C154" s="475" t="s">
        <v>183</v>
      </c>
      <c r="D154" s="475" t="s">
        <v>189</v>
      </c>
      <c r="E154" s="667" t="s">
        <v>3471</v>
      </c>
      <c r="F154" s="475" t="s">
        <v>3378</v>
      </c>
      <c r="G154" s="472">
        <v>45248.541666666664</v>
      </c>
      <c r="H154" s="472">
        <v>45248.55</v>
      </c>
      <c r="I154" s="475" t="s">
        <v>791</v>
      </c>
      <c r="J154" s="475" t="s">
        <v>192</v>
      </c>
      <c r="K154" s="475" t="s">
        <v>192</v>
      </c>
      <c r="L154" s="475" t="s">
        <v>3633</v>
      </c>
      <c r="M154" s="530"/>
      <c r="N154" s="475" t="s">
        <v>793</v>
      </c>
      <c r="O154" s="475" t="s">
        <v>794</v>
      </c>
      <c r="P154" s="399" t="s">
        <v>183</v>
      </c>
      <c r="Q154" s="477">
        <v>5300</v>
      </c>
      <c r="R154" s="477">
        <v>5300</v>
      </c>
      <c r="S154" s="477">
        <v>5205.5889999999999</v>
      </c>
      <c r="T154" s="399"/>
      <c r="U154" s="401"/>
      <c r="V154" s="401"/>
      <c r="W154" s="401"/>
      <c r="Y154" s="401"/>
      <c r="Z154" s="401"/>
      <c r="AA154" s="401"/>
      <c r="AB154" s="401"/>
      <c r="AC154" s="401"/>
      <c r="AD154" s="401"/>
      <c r="AE154" s="401"/>
      <c r="AF154" s="401"/>
      <c r="AG154" s="401"/>
      <c r="AH154" s="401"/>
      <c r="AI154" s="401"/>
      <c r="AJ154" s="401"/>
      <c r="AK154" s="401"/>
      <c r="AL154" s="401"/>
      <c r="AM154" s="401"/>
      <c r="AN154" s="401"/>
      <c r="AO154" s="401"/>
      <c r="AP154" s="401"/>
      <c r="AQ154" s="401"/>
      <c r="AR154" s="401"/>
      <c r="AS154" s="401"/>
      <c r="AT154" s="580">
        <f t="shared" si="86"/>
        <v>5205.5889999999999</v>
      </c>
      <c r="AU154" s="401"/>
      <c r="BD154" s="473">
        <f t="shared" si="71"/>
        <v>45249.03125</v>
      </c>
      <c r="BE154" s="473">
        <f t="shared" si="72"/>
        <v>45256.489583333336</v>
      </c>
      <c r="BF154" s="479">
        <f t="shared" si="73"/>
        <v>7.4583333333357587</v>
      </c>
      <c r="BG154" s="473">
        <v>45249.03125</v>
      </c>
      <c r="BH154" s="473">
        <v>45249.03125</v>
      </c>
      <c r="BI154" s="473">
        <v>45249.03125</v>
      </c>
      <c r="BJ154" s="473">
        <v>45249.048611111109</v>
      </c>
      <c r="BK154" s="473">
        <v>45249.611111111109</v>
      </c>
      <c r="BL154" s="473">
        <v>45249.611111111109</v>
      </c>
      <c r="BM154" s="473">
        <v>45249.611111111109</v>
      </c>
      <c r="BN154" s="473">
        <v>45249.611111111109</v>
      </c>
      <c r="BO154" s="518" t="s">
        <v>196</v>
      </c>
      <c r="BP154" s="518" t="s">
        <v>196</v>
      </c>
      <c r="BQ154" s="518" t="s">
        <v>196</v>
      </c>
      <c r="BR154" s="473">
        <v>45254.760416666664</v>
      </c>
      <c r="BS154" s="473">
        <v>45256.180555555555</v>
      </c>
      <c r="BT154" s="473">
        <v>45256.479166666664</v>
      </c>
      <c r="BU154" s="473">
        <v>45256.489583333336</v>
      </c>
      <c r="BV154" s="473">
        <v>45256.489583333336</v>
      </c>
      <c r="BW154" s="473">
        <v>45256.489583333336</v>
      </c>
      <c r="BZ154" s="481">
        <f t="shared" si="74"/>
        <v>0</v>
      </c>
      <c r="CA154" s="481">
        <f t="shared" si="75"/>
        <v>13.5</v>
      </c>
      <c r="CB154" s="481">
        <f t="shared" si="76"/>
        <v>0</v>
      </c>
      <c r="CC154" s="481">
        <f t="shared" si="87"/>
        <v>123.58333333331393</v>
      </c>
      <c r="CD154" s="482">
        <f t="shared" si="77"/>
        <v>7.1666666666278616</v>
      </c>
      <c r="CE154" s="482">
        <f t="shared" si="78"/>
        <v>0</v>
      </c>
      <c r="CF154" s="483">
        <f t="shared" si="79"/>
        <v>6.0104166666642413</v>
      </c>
      <c r="CG154" s="483">
        <f t="shared" si="80"/>
        <v>7.4583333333357587</v>
      </c>
      <c r="CH154" s="484">
        <f t="shared" si="81"/>
        <v>0.80586592178712224</v>
      </c>
    </row>
    <row r="155" spans="1:86" s="475" customFormat="1">
      <c r="A155" s="474">
        <f t="shared" si="85"/>
        <v>45253.541666666664</v>
      </c>
      <c r="B155" s="475" t="s">
        <v>188</v>
      </c>
      <c r="C155" s="475" t="s">
        <v>183</v>
      </c>
      <c r="D155" s="475" t="s">
        <v>189</v>
      </c>
      <c r="E155" s="667" t="s">
        <v>3152</v>
      </c>
      <c r="F155" s="475" t="s">
        <v>3474</v>
      </c>
      <c r="G155" s="472">
        <v>45251.416666666664</v>
      </c>
      <c r="H155" s="472">
        <v>45251.387499999997</v>
      </c>
      <c r="I155" s="475" t="s">
        <v>807</v>
      </c>
      <c r="J155" s="475" t="s">
        <v>192</v>
      </c>
      <c r="K155" s="475" t="s">
        <v>192</v>
      </c>
      <c r="L155" s="475" t="s">
        <v>3634</v>
      </c>
      <c r="M155" s="530"/>
      <c r="N155" s="475" t="s">
        <v>809</v>
      </c>
      <c r="O155" s="475" t="s">
        <v>1365</v>
      </c>
      <c r="P155" s="399" t="s">
        <v>183</v>
      </c>
      <c r="Q155" s="477">
        <v>5300</v>
      </c>
      <c r="R155" s="477">
        <v>5300</v>
      </c>
      <c r="S155" s="477">
        <v>5215.2479999999996</v>
      </c>
      <c r="T155" s="399"/>
      <c r="U155" s="401"/>
      <c r="V155" s="401"/>
      <c r="W155" s="401"/>
      <c r="Y155" s="401"/>
      <c r="Z155" s="401"/>
      <c r="AA155" s="401"/>
      <c r="AB155" s="401"/>
      <c r="AC155" s="401"/>
      <c r="AD155" s="401"/>
      <c r="AE155" s="401"/>
      <c r="AF155" s="401"/>
      <c r="AG155" s="401"/>
      <c r="AH155" s="401"/>
      <c r="AI155" s="401"/>
      <c r="AJ155" s="401"/>
      <c r="AK155" s="401"/>
      <c r="AL155" s="401"/>
      <c r="AM155" s="401"/>
      <c r="AN155" s="401"/>
      <c r="AO155" s="401"/>
      <c r="AP155" s="401"/>
      <c r="AQ155" s="401"/>
      <c r="AR155" s="401"/>
      <c r="AS155" s="401"/>
      <c r="AT155" s="580">
        <f t="shared" si="86"/>
        <v>5215.2479999999996</v>
      </c>
      <c r="AU155" s="401"/>
      <c r="BD155" s="473">
        <f t="shared" si="71"/>
        <v>45253.489583333336</v>
      </c>
      <c r="BE155" s="473">
        <f t="shared" si="72"/>
        <v>45257.048611111109</v>
      </c>
      <c r="BF155" s="479">
        <f t="shared" si="73"/>
        <v>3.5590277777737356</v>
      </c>
      <c r="BG155" s="473">
        <v>45253.489583333336</v>
      </c>
      <c r="BH155" s="473">
        <v>45253.489583333336</v>
      </c>
      <c r="BI155" s="473">
        <v>45253.489583333336</v>
      </c>
      <c r="BJ155" s="473">
        <v>45253.541666666664</v>
      </c>
      <c r="BK155" s="473">
        <v>45254.017361111109</v>
      </c>
      <c r="BL155" s="473">
        <v>45254.017361111109</v>
      </c>
      <c r="BM155" s="473">
        <v>45254.017361111109</v>
      </c>
      <c r="BN155" s="473">
        <f>BM155+(24/24)</f>
        <v>45255.017361111109</v>
      </c>
      <c r="BO155" s="518" t="s">
        <v>196</v>
      </c>
      <c r="BP155" s="518" t="s">
        <v>196</v>
      </c>
      <c r="BQ155" s="518" t="s">
        <v>196</v>
      </c>
      <c r="BR155" s="473">
        <v>45256.083333333336</v>
      </c>
      <c r="BS155" s="473">
        <v>45256.673611111109</v>
      </c>
      <c r="BT155" s="473">
        <v>45257.034722222219</v>
      </c>
      <c r="BU155" s="473">
        <v>45257.048611111109</v>
      </c>
      <c r="BV155" s="473">
        <v>45257.048611111109</v>
      </c>
      <c r="BW155" s="473">
        <v>45257.048611111109</v>
      </c>
      <c r="BZ155" s="481">
        <f t="shared" si="74"/>
        <v>0</v>
      </c>
      <c r="CA155" s="481">
        <f t="shared" si="75"/>
        <v>11.416666666686069</v>
      </c>
      <c r="CB155" s="481">
        <f t="shared" si="76"/>
        <v>24</v>
      </c>
      <c r="CC155" s="481">
        <f t="shared" si="87"/>
        <v>25.583333333430346</v>
      </c>
      <c r="CD155" s="482">
        <f t="shared" si="77"/>
        <v>8.6666666666278616</v>
      </c>
      <c r="CE155" s="482">
        <f t="shared" si="78"/>
        <v>0</v>
      </c>
      <c r="CF155" s="483">
        <f t="shared" si="79"/>
        <v>2.9027777777810115</v>
      </c>
      <c r="CG155" s="483">
        <f t="shared" si="80"/>
        <v>3.5590277777737356</v>
      </c>
      <c r="CH155" s="484">
        <f t="shared" si="81"/>
        <v>0.8156097560993959</v>
      </c>
    </row>
    <row r="156" spans="1:86" s="475" customFormat="1">
      <c r="A156" s="474">
        <f t="shared" si="85"/>
        <v>45253.840277777781</v>
      </c>
      <c r="B156" s="475" t="s">
        <v>188</v>
      </c>
      <c r="C156" s="475" t="s">
        <v>183</v>
      </c>
      <c r="D156" s="475" t="s">
        <v>189</v>
      </c>
      <c r="E156" s="667" t="s">
        <v>3152</v>
      </c>
      <c r="F156" s="475" t="s">
        <v>3474</v>
      </c>
      <c r="G156" s="472">
        <v>45251.416666666664</v>
      </c>
      <c r="H156" s="472">
        <v>45251.387499999997</v>
      </c>
      <c r="I156" s="475" t="s">
        <v>807</v>
      </c>
      <c r="J156" s="475" t="s">
        <v>192</v>
      </c>
      <c r="K156" s="475" t="s">
        <v>192</v>
      </c>
      <c r="L156" s="475" t="s">
        <v>3635</v>
      </c>
      <c r="M156" s="530"/>
      <c r="N156" s="475" t="s">
        <v>1617</v>
      </c>
      <c r="O156" s="475" t="s">
        <v>2833</v>
      </c>
      <c r="P156" s="399" t="s">
        <v>183</v>
      </c>
      <c r="Q156" s="477">
        <v>5300</v>
      </c>
      <c r="R156" s="477">
        <v>5300</v>
      </c>
      <c r="S156" s="477">
        <v>5196.424</v>
      </c>
      <c r="T156" s="399"/>
      <c r="U156" s="401"/>
      <c r="V156" s="401"/>
      <c r="W156" s="401"/>
      <c r="Y156" s="401"/>
      <c r="Z156" s="401"/>
      <c r="AA156" s="401"/>
      <c r="AB156" s="401"/>
      <c r="AC156" s="401"/>
      <c r="AD156" s="401"/>
      <c r="AE156" s="401"/>
      <c r="AF156" s="401"/>
      <c r="AG156" s="401"/>
      <c r="AH156" s="401"/>
      <c r="AI156" s="401"/>
      <c r="AJ156" s="401"/>
      <c r="AK156" s="401"/>
      <c r="AL156" s="401"/>
      <c r="AM156" s="401"/>
      <c r="AN156" s="401"/>
      <c r="AO156" s="401"/>
      <c r="AP156" s="401"/>
      <c r="AQ156" s="401"/>
      <c r="AR156" s="401"/>
      <c r="AS156" s="401"/>
      <c r="AT156" s="580">
        <f t="shared" si="86"/>
        <v>5196.424</v>
      </c>
      <c r="AU156" s="401"/>
      <c r="BD156" s="473">
        <f t="shared" si="71"/>
        <v>45253.833333333336</v>
      </c>
      <c r="BE156" s="473">
        <f t="shared" si="72"/>
        <v>45257.75</v>
      </c>
      <c r="BF156" s="479">
        <f t="shared" si="73"/>
        <v>3.9166666666642413</v>
      </c>
      <c r="BG156" s="473">
        <v>45253.833333333336</v>
      </c>
      <c r="BH156" s="473">
        <v>45253.833333333336</v>
      </c>
      <c r="BI156" s="473">
        <v>45253.833333333336</v>
      </c>
      <c r="BJ156" s="473">
        <v>45253.840277777781</v>
      </c>
      <c r="BK156" s="473">
        <v>45254.131944444445</v>
      </c>
      <c r="BL156" s="473">
        <v>45254.131944444445</v>
      </c>
      <c r="BM156" s="473">
        <v>45254.131944444445</v>
      </c>
      <c r="BN156" s="473">
        <f>BM156+(24/24)</f>
        <v>45255.131944444445</v>
      </c>
      <c r="BO156" s="518" t="s">
        <v>196</v>
      </c>
      <c r="BP156" s="518" t="s">
        <v>196</v>
      </c>
      <c r="BQ156" s="518" t="s">
        <v>196</v>
      </c>
      <c r="BR156" s="901" t="s">
        <v>196</v>
      </c>
      <c r="BS156" s="473">
        <v>45257.388888888891</v>
      </c>
      <c r="BT156" s="473">
        <v>45257.736111111109</v>
      </c>
      <c r="BU156" s="473">
        <v>45257.75</v>
      </c>
      <c r="BV156" s="473">
        <v>45257.75</v>
      </c>
      <c r="BW156" s="473">
        <v>45257.75</v>
      </c>
      <c r="BZ156" s="481">
        <f t="shared" si="74"/>
        <v>0</v>
      </c>
      <c r="CA156" s="481">
        <f t="shared" si="75"/>
        <v>6.9999999999417923</v>
      </c>
      <c r="CB156" s="481">
        <f t="shared" si="76"/>
        <v>24</v>
      </c>
      <c r="CC156" s="481" t="e">
        <f t="shared" si="87"/>
        <v>#VALUE!</v>
      </c>
      <c r="CD156" s="482">
        <f t="shared" si="77"/>
        <v>8.3333333332557231</v>
      </c>
      <c r="CE156" s="482">
        <f t="shared" si="78"/>
        <v>0</v>
      </c>
      <c r="CF156" s="483" t="e">
        <f t="shared" si="79"/>
        <v>#VALUE!</v>
      </c>
      <c r="CG156" s="483">
        <f t="shared" si="80"/>
        <v>3.9166666666642413</v>
      </c>
      <c r="CH156" s="484" t="e">
        <f t="shared" si="81"/>
        <v>#VALUE!</v>
      </c>
    </row>
    <row r="157" spans="1:86" s="475" customFormat="1">
      <c r="A157" s="474">
        <f t="shared" si="85"/>
        <v>45254.590277777781</v>
      </c>
      <c r="B157" s="475" t="s">
        <v>188</v>
      </c>
      <c r="C157" s="475" t="s">
        <v>183</v>
      </c>
      <c r="D157" s="475" t="s">
        <v>189</v>
      </c>
      <c r="E157" s="399" t="s">
        <v>1789</v>
      </c>
      <c r="F157" s="475" t="s">
        <v>3474</v>
      </c>
      <c r="G157" s="492">
        <v>45258.270833333336</v>
      </c>
      <c r="H157" s="492">
        <v>45258.270833333336</v>
      </c>
      <c r="I157" s="475" t="s">
        <v>791</v>
      </c>
      <c r="J157" s="475" t="s">
        <v>192</v>
      </c>
      <c r="K157" s="475" t="s">
        <v>192</v>
      </c>
      <c r="L157" s="475" t="s">
        <v>3636</v>
      </c>
      <c r="M157" s="530"/>
      <c r="N157" s="475" t="s">
        <v>3637</v>
      </c>
      <c r="O157" s="475" t="s">
        <v>3638</v>
      </c>
      <c r="P157" s="399" t="s">
        <v>183</v>
      </c>
      <c r="Q157" s="477">
        <v>7500</v>
      </c>
      <c r="R157" s="477">
        <v>7500</v>
      </c>
      <c r="S157" s="477">
        <v>7438.9070000000002</v>
      </c>
      <c r="T157" s="399"/>
      <c r="U157" s="401"/>
      <c r="V157" s="401"/>
      <c r="W157" s="401"/>
      <c r="Y157" s="401"/>
      <c r="Z157" s="401"/>
      <c r="AA157" s="401"/>
      <c r="AB157" s="401"/>
      <c r="AC157" s="401"/>
      <c r="AD157" s="401"/>
      <c r="AE157" s="399"/>
      <c r="AF157" s="399"/>
      <c r="AG157" s="399"/>
      <c r="AH157" s="399"/>
      <c r="AI157" s="399"/>
      <c r="AJ157" s="399"/>
      <c r="AK157" s="399"/>
      <c r="AL157" s="399"/>
      <c r="AM157" s="399"/>
      <c r="AN157" s="399"/>
      <c r="AO157" s="399"/>
      <c r="AP157" s="399"/>
      <c r="AQ157" s="399"/>
      <c r="AR157" s="399"/>
      <c r="AS157" s="399"/>
      <c r="AT157" s="580">
        <f t="shared" si="86"/>
        <v>7438.9070000000002</v>
      </c>
      <c r="AU157" s="399"/>
      <c r="AV157" s="399"/>
      <c r="AW157" s="399"/>
      <c r="AX157" s="399"/>
      <c r="AY157" s="399"/>
      <c r="AZ157" s="399"/>
      <c r="BA157" s="399"/>
      <c r="BB157" s="399"/>
      <c r="BC157" s="399"/>
      <c r="BD157" s="473">
        <f t="shared" si="71"/>
        <v>45254.583333333336</v>
      </c>
      <c r="BE157" s="473">
        <f t="shared" si="72"/>
        <v>45260.305555555555</v>
      </c>
      <c r="BF157" s="479">
        <f t="shared" si="73"/>
        <v>5.7222222222189885</v>
      </c>
      <c r="BG157" s="473">
        <v>45254.583333333336</v>
      </c>
      <c r="BH157" s="473">
        <v>45254.583333333336</v>
      </c>
      <c r="BI157" s="473">
        <v>45254.583333333336</v>
      </c>
      <c r="BJ157" s="473">
        <v>45254.590277777781</v>
      </c>
      <c r="BK157" s="473">
        <v>45255.065972222219</v>
      </c>
      <c r="BL157" s="473">
        <v>45255.065972222219</v>
      </c>
      <c r="BM157" s="473">
        <v>45255.065972222219</v>
      </c>
      <c r="BN157" s="473">
        <v>45255.065972222219</v>
      </c>
      <c r="BO157" s="518" t="s">
        <v>196</v>
      </c>
      <c r="BP157" s="518" t="s">
        <v>196</v>
      </c>
      <c r="BQ157" s="518" t="s">
        <v>196</v>
      </c>
      <c r="BR157" s="473">
        <v>45258.829861111109</v>
      </c>
      <c r="BS157" s="473">
        <v>45259.736111111109</v>
      </c>
      <c r="BT157" s="473">
        <v>45260.270833333336</v>
      </c>
      <c r="BU157" s="473">
        <v>45260.302083333336</v>
      </c>
      <c r="BV157" s="473">
        <v>45260.305555555555</v>
      </c>
      <c r="BW157" s="473">
        <v>45260.305555555555</v>
      </c>
      <c r="BZ157" s="481">
        <f t="shared" si="74"/>
        <v>0</v>
      </c>
      <c r="CA157" s="481">
        <f t="shared" si="75"/>
        <v>11.416666666511446</v>
      </c>
      <c r="CB157" s="481">
        <f t="shared" si="76"/>
        <v>0</v>
      </c>
      <c r="CC157" s="481">
        <f t="shared" si="87"/>
        <v>90.333333333372138</v>
      </c>
      <c r="CD157" s="482">
        <f t="shared" si="77"/>
        <v>12.833333333430346</v>
      </c>
      <c r="CE157" s="482">
        <f t="shared" si="78"/>
        <v>0</v>
      </c>
      <c r="CF157" s="483">
        <f t="shared" si="79"/>
        <v>4.7743055555547471</v>
      </c>
      <c r="CG157" s="483">
        <f t="shared" si="80"/>
        <v>5.7222222222189885</v>
      </c>
      <c r="CH157" s="484">
        <f t="shared" si="81"/>
        <v>0.83434466019450504</v>
      </c>
    </row>
    <row r="158" spans="1:86" s="475" customFormat="1">
      <c r="A158" s="474">
        <f t="shared" si="85"/>
        <v>45248.361111111109</v>
      </c>
      <c r="B158" s="475" t="s">
        <v>188</v>
      </c>
      <c r="C158" s="475" t="s">
        <v>183</v>
      </c>
      <c r="D158" s="475" t="s">
        <v>197</v>
      </c>
      <c r="E158" s="476" t="s">
        <v>1936</v>
      </c>
      <c r="F158" s="475" t="s">
        <v>3378</v>
      </c>
      <c r="G158" s="473">
        <v>45267.787499999999</v>
      </c>
      <c r="H158" s="473">
        <v>45267.787499999999</v>
      </c>
      <c r="I158" s="475" t="s">
        <v>791</v>
      </c>
      <c r="J158" s="475" t="s">
        <v>192</v>
      </c>
      <c r="K158" s="475" t="s">
        <v>192</v>
      </c>
      <c r="L158" s="475" t="s">
        <v>3639</v>
      </c>
      <c r="M158" s="529"/>
      <c r="N158" s="475" t="s">
        <v>2800</v>
      </c>
      <c r="O158" s="475" t="s">
        <v>2801</v>
      </c>
      <c r="P158" s="667" t="s">
        <v>183</v>
      </c>
      <c r="Q158" s="477">
        <f>2205*2.4</f>
        <v>5292</v>
      </c>
      <c r="R158" s="477">
        <f>5300+100</f>
        <v>5400</v>
      </c>
      <c r="S158" s="477">
        <v>5285.7830000000004</v>
      </c>
      <c r="T158" s="477"/>
      <c r="U158" s="581"/>
      <c r="V158" s="581"/>
      <c r="W158" s="581"/>
      <c r="Z158" s="581"/>
      <c r="AA158" s="581"/>
      <c r="AB158" s="581"/>
      <c r="AC158" s="667"/>
      <c r="AD158" s="667"/>
      <c r="AE158" s="667"/>
      <c r="AT158" s="580">
        <f t="shared" si="86"/>
        <v>5285.7830000000004</v>
      </c>
      <c r="BD158" s="473">
        <f t="shared" si="71"/>
        <v>45237.625</v>
      </c>
      <c r="BE158" s="473">
        <f t="shared" si="72"/>
        <v>45267.25</v>
      </c>
      <c r="BF158" s="479">
        <f t="shared" si="73"/>
        <v>29.625</v>
      </c>
      <c r="BG158" s="473">
        <v>45237.625</v>
      </c>
      <c r="BH158" s="473">
        <v>45243.565972222219</v>
      </c>
      <c r="BI158" s="473">
        <v>45246.847222222219</v>
      </c>
      <c r="BJ158" s="473">
        <v>45248.361111111109</v>
      </c>
      <c r="BK158" s="473">
        <v>45248.895833333336</v>
      </c>
      <c r="BL158" s="473">
        <v>45249.253472222219</v>
      </c>
      <c r="BM158" s="473">
        <v>45251.496527777781</v>
      </c>
      <c r="BN158" s="473">
        <f>BM158+(60/24)</f>
        <v>45253.996527777781</v>
      </c>
      <c r="BO158" s="473">
        <v>45255.583333333336</v>
      </c>
      <c r="BP158" s="473">
        <v>45255.75</v>
      </c>
      <c r="BQ158" s="473">
        <v>45255.631944444445</v>
      </c>
      <c r="BR158" s="473">
        <v>45258.027777777781</v>
      </c>
      <c r="BS158" s="473">
        <v>45266.274305555555</v>
      </c>
      <c r="BT158" s="473">
        <v>45266.597222222219</v>
      </c>
      <c r="BU158" s="473">
        <v>45266.631944444445</v>
      </c>
      <c r="BV158" s="473">
        <v>45266.635416666664</v>
      </c>
      <c r="BW158" s="473">
        <v>45267.25</v>
      </c>
      <c r="BZ158" s="481">
        <f t="shared" si="74"/>
        <v>78.75</v>
      </c>
      <c r="CA158" s="481">
        <f t="shared" si="75"/>
        <v>12.833333333430346</v>
      </c>
      <c r="CB158" s="481">
        <f t="shared" si="76"/>
        <v>60</v>
      </c>
      <c r="CC158" s="481">
        <f>(BR158-BP158)*24</f>
        <v>54.666666666744277</v>
      </c>
      <c r="CD158" s="482">
        <f t="shared" si="77"/>
        <v>7.7499999999417923</v>
      </c>
      <c r="CE158" s="482">
        <f t="shared" si="78"/>
        <v>14.750000000058208</v>
      </c>
      <c r="CF158" s="483">
        <f t="shared" si="79"/>
        <v>9.531250000007276</v>
      </c>
      <c r="CG158" s="483">
        <f t="shared" si="80"/>
        <v>29.625</v>
      </c>
      <c r="CH158" s="484">
        <f t="shared" si="81"/>
        <v>0.32172995780615277</v>
      </c>
    </row>
    <row r="159" spans="1:86" s="475" customFormat="1">
      <c r="A159" s="474">
        <f t="shared" si="85"/>
        <v>45254.1875</v>
      </c>
      <c r="B159" s="475" t="s">
        <v>188</v>
      </c>
      <c r="C159" s="475" t="s">
        <v>183</v>
      </c>
      <c r="D159" s="475" t="s">
        <v>189</v>
      </c>
      <c r="E159" s="399" t="s">
        <v>3377</v>
      </c>
      <c r="F159" s="475" t="s">
        <v>3378</v>
      </c>
      <c r="G159" s="473">
        <v>45264.004166666666</v>
      </c>
      <c r="H159" s="473">
        <v>45264.004166666666</v>
      </c>
      <c r="I159" s="475" t="s">
        <v>791</v>
      </c>
      <c r="J159" s="369" t="s">
        <v>192</v>
      </c>
      <c r="K159" s="369" t="s">
        <v>192</v>
      </c>
      <c r="L159" s="475" t="s">
        <v>3640</v>
      </c>
      <c r="M159" s="529"/>
      <c r="N159" s="475" t="s">
        <v>3641</v>
      </c>
      <c r="O159" s="475" t="s">
        <v>1929</v>
      </c>
      <c r="P159" s="399" t="s">
        <v>183</v>
      </c>
      <c r="Q159" s="477">
        <v>5200</v>
      </c>
      <c r="R159" s="477">
        <v>5200</v>
      </c>
      <c r="S159" s="477">
        <v>5200.6949999999997</v>
      </c>
      <c r="T159" s="399"/>
      <c r="U159" s="401"/>
      <c r="V159" s="401"/>
      <c r="W159" s="401"/>
      <c r="Y159" s="401"/>
      <c r="Z159" s="401"/>
      <c r="AA159" s="401"/>
      <c r="AB159" s="401"/>
      <c r="AC159" s="401"/>
      <c r="AD159" s="401"/>
      <c r="AE159" s="399"/>
      <c r="AF159" s="399"/>
      <c r="AG159" s="399"/>
      <c r="AH159" s="399"/>
      <c r="AI159" s="399"/>
      <c r="AJ159" s="399"/>
      <c r="AK159" s="399"/>
      <c r="AL159" s="399"/>
      <c r="AM159" s="399"/>
      <c r="AN159" s="399"/>
      <c r="AO159" s="399"/>
      <c r="AP159" s="399"/>
      <c r="AQ159" s="399"/>
      <c r="AR159" s="399"/>
      <c r="AS159" s="399"/>
      <c r="AT159" s="580">
        <f t="shared" si="86"/>
        <v>5200.6949999999997</v>
      </c>
      <c r="AU159" s="399"/>
      <c r="AV159" s="399"/>
      <c r="AW159" s="399"/>
      <c r="AX159" s="399"/>
      <c r="AY159" s="399"/>
      <c r="AZ159" s="399"/>
      <c r="BA159" s="399"/>
      <c r="BB159" s="399"/>
      <c r="BC159" s="399"/>
      <c r="BD159" s="473">
        <f t="shared" si="71"/>
        <v>45254.180555555555</v>
      </c>
      <c r="BE159" s="473">
        <f t="shared" si="72"/>
        <v>45265.354166666664</v>
      </c>
      <c r="BF159" s="479">
        <f t="shared" si="73"/>
        <v>11.173611111109494</v>
      </c>
      <c r="BG159" s="473">
        <v>45254.180555555555</v>
      </c>
      <c r="BH159" s="473">
        <v>45254.180555555555</v>
      </c>
      <c r="BI159" s="473">
        <v>45254.180555555555</v>
      </c>
      <c r="BJ159" s="473">
        <v>45254.1875</v>
      </c>
      <c r="BK159" s="473">
        <v>45254.496527777781</v>
      </c>
      <c r="BL159" s="473">
        <v>45254.496527777781</v>
      </c>
      <c r="BM159" s="473">
        <v>45254.496527777781</v>
      </c>
      <c r="BN159" s="473">
        <v>45254.496527777781</v>
      </c>
      <c r="BO159" s="518" t="s">
        <v>196</v>
      </c>
      <c r="BP159" s="518" t="s">
        <v>196</v>
      </c>
      <c r="BQ159" s="518" t="s">
        <v>196</v>
      </c>
      <c r="BR159" s="473">
        <v>45264.583333333336</v>
      </c>
      <c r="BS159" s="473">
        <v>45264.982638888891</v>
      </c>
      <c r="BT159" s="473">
        <v>45265.341666666667</v>
      </c>
      <c r="BU159" s="473">
        <v>45265.354166666664</v>
      </c>
      <c r="BV159" s="473">
        <v>45265.354166666664</v>
      </c>
      <c r="BW159" s="473">
        <v>45265.354166666664</v>
      </c>
      <c r="BZ159" s="481">
        <f t="shared" si="74"/>
        <v>0</v>
      </c>
      <c r="CA159" s="481">
        <f t="shared" si="75"/>
        <v>7.4166666667442769</v>
      </c>
      <c r="CB159" s="481">
        <f t="shared" si="76"/>
        <v>0</v>
      </c>
      <c r="CC159" s="481">
        <f t="shared" ref="CC159:CC165" si="88">(BR159-BN159)*24</f>
        <v>242.08333333331393</v>
      </c>
      <c r="CD159" s="482">
        <f t="shared" si="77"/>
        <v>8.6166666666395031</v>
      </c>
      <c r="CE159" s="482">
        <f t="shared" si="78"/>
        <v>0</v>
      </c>
      <c r="CF159" s="483">
        <f t="shared" si="79"/>
        <v>10.754861111112405</v>
      </c>
      <c r="CG159" s="483">
        <f t="shared" si="80"/>
        <v>11.173611111109494</v>
      </c>
      <c r="CH159" s="484">
        <f t="shared" si="81"/>
        <v>0.96252330640174666</v>
      </c>
    </row>
    <row r="160" spans="1:86" s="475" customFormat="1">
      <c r="A160" s="474">
        <f t="shared" si="85"/>
        <v>45259.354166666664</v>
      </c>
      <c r="B160" s="475" t="s">
        <v>188</v>
      </c>
      <c r="C160" s="475" t="s">
        <v>183</v>
      </c>
      <c r="D160" s="475" t="s">
        <v>189</v>
      </c>
      <c r="E160" s="476" t="s">
        <v>1936</v>
      </c>
      <c r="F160" s="475" t="s">
        <v>3378</v>
      </c>
      <c r="G160" s="472">
        <v>45267.770833333336</v>
      </c>
      <c r="H160" s="472">
        <v>45267.787499999999</v>
      </c>
      <c r="I160" s="475" t="s">
        <v>791</v>
      </c>
      <c r="J160" s="475" t="s">
        <v>192</v>
      </c>
      <c r="K160" s="475" t="s">
        <v>192</v>
      </c>
      <c r="L160" s="475" t="s">
        <v>3642</v>
      </c>
      <c r="M160" s="529"/>
      <c r="N160" s="475" t="s">
        <v>2168</v>
      </c>
      <c r="O160" s="475" t="s">
        <v>817</v>
      </c>
      <c r="P160" s="399" t="s">
        <v>183</v>
      </c>
      <c r="Q160" s="477">
        <v>5200</v>
      </c>
      <c r="R160" s="477">
        <v>5200</v>
      </c>
      <c r="S160" s="477">
        <v>5205.1409999999996</v>
      </c>
      <c r="T160" s="399"/>
      <c r="U160" s="401"/>
      <c r="V160" s="401"/>
      <c r="W160" s="401"/>
      <c r="Y160" s="401"/>
      <c r="Z160" s="401"/>
      <c r="AA160" s="401"/>
      <c r="AB160" s="401"/>
      <c r="AC160" s="401"/>
      <c r="AD160" s="401"/>
      <c r="AE160" s="399"/>
      <c r="AF160" s="399"/>
      <c r="AG160" s="399"/>
      <c r="AH160" s="399"/>
      <c r="AI160" s="399"/>
      <c r="AJ160" s="399"/>
      <c r="AK160" s="399"/>
      <c r="AL160" s="399"/>
      <c r="AM160" s="399"/>
      <c r="AN160" s="399"/>
      <c r="AO160" s="399"/>
      <c r="AP160" s="399"/>
      <c r="AQ160" s="399"/>
      <c r="AR160" s="399"/>
      <c r="AS160" s="399"/>
      <c r="AT160" s="580">
        <f t="shared" si="86"/>
        <v>5205.1409999999996</v>
      </c>
      <c r="AU160" s="399"/>
      <c r="AV160" s="399"/>
      <c r="AW160" s="399"/>
      <c r="AX160" s="399"/>
      <c r="AY160" s="399"/>
      <c r="AZ160" s="399"/>
      <c r="BA160" s="399"/>
      <c r="BB160" s="399"/>
      <c r="BC160" s="399"/>
      <c r="BD160" s="473">
        <f t="shared" si="71"/>
        <v>45259.333333333336</v>
      </c>
      <c r="BE160" s="473">
        <f t="shared" si="72"/>
        <v>45271.791666666664</v>
      </c>
      <c r="BF160" s="479">
        <f t="shared" si="73"/>
        <v>12.458333333328483</v>
      </c>
      <c r="BG160" s="473">
        <v>45259.333333333336</v>
      </c>
      <c r="BH160" s="473">
        <v>45259.333333333336</v>
      </c>
      <c r="BI160" s="473">
        <v>45259.333333333336</v>
      </c>
      <c r="BJ160" s="473">
        <v>45259.354166666664</v>
      </c>
      <c r="BK160" s="473">
        <v>45259.857638888891</v>
      </c>
      <c r="BL160" s="473">
        <v>45259.875</v>
      </c>
      <c r="BM160" s="473">
        <v>45259.875</v>
      </c>
      <c r="BN160" s="473">
        <v>45259.875</v>
      </c>
      <c r="BO160" s="518" t="s">
        <v>196</v>
      </c>
      <c r="BP160" s="518" t="s">
        <v>196</v>
      </c>
      <c r="BQ160" s="518" t="s">
        <v>196</v>
      </c>
      <c r="BR160" s="473">
        <v>45265.708333333336</v>
      </c>
      <c r="BS160" s="473">
        <v>45268.375</v>
      </c>
      <c r="BT160" s="473">
        <v>45271.791666666664</v>
      </c>
      <c r="BU160" s="473">
        <v>45271.791666666664</v>
      </c>
      <c r="BV160" s="473">
        <v>45271.791666666664</v>
      </c>
      <c r="BW160" s="473">
        <v>45271.791666666664</v>
      </c>
      <c r="BZ160" s="481">
        <f t="shared" si="74"/>
        <v>0</v>
      </c>
      <c r="CA160" s="481">
        <f t="shared" si="75"/>
        <v>12.083333333430346</v>
      </c>
      <c r="CB160" s="481">
        <f t="shared" si="76"/>
        <v>0</v>
      </c>
      <c r="CC160" s="481">
        <f t="shared" si="88"/>
        <v>140.00000000005821</v>
      </c>
      <c r="CD160" s="482">
        <f t="shared" si="77"/>
        <v>81.999999999941792</v>
      </c>
      <c r="CE160" s="482">
        <f t="shared" si="78"/>
        <v>0</v>
      </c>
      <c r="CF160" s="483">
        <f t="shared" si="79"/>
        <v>9.7534722222262644</v>
      </c>
      <c r="CG160" s="483">
        <f t="shared" si="80"/>
        <v>12.458333333328483</v>
      </c>
      <c r="CH160" s="484">
        <f t="shared" si="81"/>
        <v>0.78288740245324917</v>
      </c>
    </row>
    <row r="161" spans="1:86" s="475" customFormat="1">
      <c r="A161" s="474">
        <f t="shared" si="85"/>
        <v>45248.809027777781</v>
      </c>
      <c r="B161" s="475" t="s">
        <v>188</v>
      </c>
      <c r="C161" s="475" t="s">
        <v>183</v>
      </c>
      <c r="D161" s="475" t="s">
        <v>189</v>
      </c>
      <c r="E161" s="667" t="s">
        <v>3162</v>
      </c>
      <c r="F161" s="475" t="s">
        <v>3378</v>
      </c>
      <c r="G161" s="472">
        <v>45256.770833333336</v>
      </c>
      <c r="H161" s="472">
        <v>45256.779166666667</v>
      </c>
      <c r="I161" s="475" t="s">
        <v>818</v>
      </c>
      <c r="J161" s="475" t="s">
        <v>192</v>
      </c>
      <c r="L161" s="475" t="s">
        <v>3643</v>
      </c>
      <c r="M161" s="530"/>
      <c r="N161" s="475" t="s">
        <v>3644</v>
      </c>
      <c r="O161" s="475" t="s">
        <v>3645</v>
      </c>
      <c r="P161" s="399" t="s">
        <v>184</v>
      </c>
      <c r="Q161" s="477">
        <v>8500</v>
      </c>
      <c r="R161" s="477">
        <v>8500</v>
      </c>
      <c r="S161" s="477">
        <v>8501.4429999999993</v>
      </c>
      <c r="T161" s="399"/>
      <c r="U161" s="401"/>
      <c r="V161" s="401"/>
      <c r="W161" s="401"/>
      <c r="Y161" s="401"/>
      <c r="Z161" s="401"/>
      <c r="AA161" s="401"/>
      <c r="AB161" s="401"/>
      <c r="AC161" s="401"/>
      <c r="AD161" s="401"/>
      <c r="AE161" s="399"/>
      <c r="AF161" s="399"/>
      <c r="AG161" s="399"/>
      <c r="AH161" s="399"/>
      <c r="AI161" s="399"/>
      <c r="AJ161" s="399"/>
      <c r="AK161" s="399"/>
      <c r="AL161" s="399"/>
      <c r="AM161" s="399"/>
      <c r="AN161" s="399"/>
      <c r="AO161" s="399"/>
      <c r="AP161" s="399"/>
      <c r="AQ161" s="399"/>
      <c r="AR161" s="399"/>
      <c r="AS161" s="399"/>
      <c r="AU161" s="580">
        <f t="shared" ref="AU161:AU167" si="89">S161</f>
        <v>8501.4429999999993</v>
      </c>
      <c r="AV161" s="399"/>
      <c r="AW161" s="399"/>
      <c r="AX161" s="399"/>
      <c r="AY161" s="399"/>
      <c r="AZ161" s="399"/>
      <c r="BA161" s="399"/>
      <c r="BB161" s="399"/>
      <c r="BC161" s="399"/>
      <c r="BD161" s="473">
        <f t="shared" si="71"/>
        <v>45248.795138888891</v>
      </c>
      <c r="BE161" s="473">
        <f t="shared" si="72"/>
        <v>45261.090277777781</v>
      </c>
      <c r="BF161" s="479">
        <f t="shared" si="73"/>
        <v>12.295138888890506</v>
      </c>
      <c r="BG161" s="473">
        <v>45248.795138888891</v>
      </c>
      <c r="BH161" s="473">
        <v>45248.795138888891</v>
      </c>
      <c r="BI161" s="473">
        <v>45248.795138888891</v>
      </c>
      <c r="BJ161" s="473">
        <v>45248.809027777781</v>
      </c>
      <c r="BK161" s="473">
        <v>45250.083333333336</v>
      </c>
      <c r="BL161" s="473">
        <v>45250.118055555555</v>
      </c>
      <c r="BM161" s="473">
        <v>45250.118055555555</v>
      </c>
      <c r="BN161" s="473">
        <f>BM161+(41/24)</f>
        <v>45251.826388888891</v>
      </c>
      <c r="BO161" s="518" t="s">
        <v>196</v>
      </c>
      <c r="BP161" s="518" t="s">
        <v>196</v>
      </c>
      <c r="BQ161" s="518" t="s">
        <v>196</v>
      </c>
      <c r="BR161" s="473">
        <v>45254.604166666664</v>
      </c>
      <c r="BS161" s="473">
        <v>45260.402777777781</v>
      </c>
      <c r="BT161" s="473">
        <v>45261.065972222219</v>
      </c>
      <c r="BU161" s="473">
        <v>45261.090277777781</v>
      </c>
      <c r="BV161" s="473">
        <v>45261.090277777781</v>
      </c>
      <c r="BW161" s="473">
        <v>45261.090277777781</v>
      </c>
      <c r="BZ161" s="481">
        <f t="shared" si="74"/>
        <v>0</v>
      </c>
      <c r="CA161" s="481">
        <f t="shared" si="75"/>
        <v>30.583333333313931</v>
      </c>
      <c r="CB161" s="481">
        <f t="shared" si="76"/>
        <v>41.000000000058208</v>
      </c>
      <c r="CC161" s="481">
        <f t="shared" si="88"/>
        <v>66.666666666569654</v>
      </c>
      <c r="CD161" s="482">
        <f t="shared" si="77"/>
        <v>15.916666666511446</v>
      </c>
      <c r="CE161" s="482">
        <f t="shared" si="78"/>
        <v>0</v>
      </c>
      <c r="CF161" s="483">
        <f t="shared" si="79"/>
        <v>6.4236111111022183</v>
      </c>
      <c r="CG161" s="483">
        <f t="shared" si="80"/>
        <v>12.295138888890506</v>
      </c>
      <c r="CH161" s="484">
        <f t="shared" si="81"/>
        <v>0.52245128494696291</v>
      </c>
    </row>
    <row r="162" spans="1:86" s="475" customFormat="1">
      <c r="A162" s="474">
        <f t="shared" si="85"/>
        <v>45250.184027777781</v>
      </c>
      <c r="B162" s="475" t="s">
        <v>188</v>
      </c>
      <c r="C162" s="475" t="s">
        <v>184</v>
      </c>
      <c r="D162" s="475" t="s">
        <v>189</v>
      </c>
      <c r="E162" s="667" t="s">
        <v>3164</v>
      </c>
      <c r="F162" s="475" t="s">
        <v>3474</v>
      </c>
      <c r="G162" s="472">
        <v>45259.458333333336</v>
      </c>
      <c r="H162" s="472">
        <v>45259.461805555555</v>
      </c>
      <c r="I162" s="475" t="s">
        <v>1642</v>
      </c>
      <c r="J162" s="475" t="s">
        <v>192</v>
      </c>
      <c r="K162" s="475" t="s">
        <v>192</v>
      </c>
      <c r="L162" s="475" t="s">
        <v>3646</v>
      </c>
      <c r="M162" s="530"/>
      <c r="N162" s="475" t="s">
        <v>1941</v>
      </c>
      <c r="O162" s="475" t="s">
        <v>1648</v>
      </c>
      <c r="P162" s="399" t="s">
        <v>184</v>
      </c>
      <c r="Q162" s="477">
        <v>8200</v>
      </c>
      <c r="R162" s="477">
        <v>8200</v>
      </c>
      <c r="S162" s="477">
        <v>8200.3169999999991</v>
      </c>
      <c r="T162" s="399"/>
      <c r="U162" s="401"/>
      <c r="V162" s="401"/>
      <c r="W162" s="401"/>
      <c r="Y162" s="401"/>
      <c r="Z162" s="401"/>
      <c r="AA162" s="401"/>
      <c r="AB162" s="401"/>
      <c r="AC162" s="401"/>
      <c r="AD162" s="401"/>
      <c r="AE162" s="401"/>
      <c r="AF162" s="401"/>
      <c r="AG162" s="401"/>
      <c r="AH162" s="401"/>
      <c r="AI162" s="401"/>
      <c r="AJ162" s="401"/>
      <c r="AK162" s="401"/>
      <c r="AL162" s="401"/>
      <c r="AM162" s="401"/>
      <c r="AN162" s="401"/>
      <c r="AO162" s="401"/>
      <c r="AP162" s="401"/>
      <c r="AQ162" s="401"/>
      <c r="AR162" s="401"/>
      <c r="AS162" s="401"/>
      <c r="AU162" s="580">
        <f t="shared" si="89"/>
        <v>8200.3169999999991</v>
      </c>
      <c r="BD162" s="473">
        <f t="shared" si="71"/>
        <v>45250.177083333336</v>
      </c>
      <c r="BE162" s="473">
        <f t="shared" si="72"/>
        <v>45261.291666666664</v>
      </c>
      <c r="BF162" s="479">
        <f t="shared" si="73"/>
        <v>11.114583333328483</v>
      </c>
      <c r="BG162" s="473">
        <v>45250.177083333336</v>
      </c>
      <c r="BH162" s="473">
        <v>45250.177083333336</v>
      </c>
      <c r="BI162" s="473">
        <v>45250.177083333336</v>
      </c>
      <c r="BJ162" s="473">
        <v>45250.184027777781</v>
      </c>
      <c r="BK162" s="473">
        <v>45251.152777777781</v>
      </c>
      <c r="BL162" s="473">
        <v>45251.180555555555</v>
      </c>
      <c r="BM162" s="473">
        <v>45251.180555555555</v>
      </c>
      <c r="BN162" s="473">
        <v>45251.180555555555</v>
      </c>
      <c r="BO162" s="518" t="s">
        <v>196</v>
      </c>
      <c r="BP162" s="518" t="s">
        <v>196</v>
      </c>
      <c r="BQ162" s="518" t="s">
        <v>196</v>
      </c>
      <c r="BR162" s="473">
        <v>45255.729166666664</v>
      </c>
      <c r="BS162" s="473">
        <v>45260.493055555555</v>
      </c>
      <c r="BT162" s="473">
        <v>45261.270833333336</v>
      </c>
      <c r="BU162" s="473">
        <v>45261.291666666664</v>
      </c>
      <c r="BV162" s="473">
        <v>45261.291666666664</v>
      </c>
      <c r="BW162" s="473">
        <v>45261.291666666664</v>
      </c>
      <c r="BZ162" s="481">
        <f t="shared" si="74"/>
        <v>0</v>
      </c>
      <c r="CA162" s="481">
        <f t="shared" si="75"/>
        <v>23.25</v>
      </c>
      <c r="CB162" s="481">
        <f t="shared" si="76"/>
        <v>0</v>
      </c>
      <c r="CC162" s="481">
        <f t="shared" si="88"/>
        <v>109.16666666662786</v>
      </c>
      <c r="CD162" s="482">
        <f t="shared" si="77"/>
        <v>18.666666666744277</v>
      </c>
      <c r="CE162" s="482">
        <f t="shared" si="78"/>
        <v>0</v>
      </c>
      <c r="CF162" s="483">
        <f t="shared" si="79"/>
        <v>6.2951388888905058</v>
      </c>
      <c r="CG162" s="483">
        <f t="shared" si="80"/>
        <v>11.114583333328483</v>
      </c>
      <c r="CH162" s="484">
        <f t="shared" si="81"/>
        <v>0.56638550453022707</v>
      </c>
    </row>
    <row r="163" spans="1:86" s="475" customFormat="1">
      <c r="A163" s="474">
        <f t="shared" si="85"/>
        <v>45251.277777777781</v>
      </c>
      <c r="B163" s="475" t="s">
        <v>188</v>
      </c>
      <c r="C163" s="475" t="s">
        <v>184</v>
      </c>
      <c r="D163" s="475" t="s">
        <v>189</v>
      </c>
      <c r="E163" s="399" t="s">
        <v>3377</v>
      </c>
      <c r="F163" s="475" t="s">
        <v>3378</v>
      </c>
      <c r="G163" s="473">
        <v>45264.004166666666</v>
      </c>
      <c r="H163" s="473">
        <v>45264.004166666666</v>
      </c>
      <c r="I163" s="475" t="s">
        <v>818</v>
      </c>
      <c r="J163" s="475" t="s">
        <v>192</v>
      </c>
      <c r="K163" s="475" t="s">
        <v>192</v>
      </c>
      <c r="L163" s="475" t="s">
        <v>3647</v>
      </c>
      <c r="M163" s="530"/>
      <c r="N163" s="475" t="s">
        <v>1367</v>
      </c>
      <c r="O163" s="475" t="s">
        <v>1939</v>
      </c>
      <c r="P163" s="399" t="s">
        <v>184</v>
      </c>
      <c r="Q163" s="477">
        <v>7900</v>
      </c>
      <c r="R163" s="477">
        <v>7900</v>
      </c>
      <c r="S163" s="477">
        <v>7952.5609999999997</v>
      </c>
      <c r="T163" s="399"/>
      <c r="U163" s="401"/>
      <c r="V163" s="401"/>
      <c r="W163" s="401"/>
      <c r="Y163" s="401"/>
      <c r="Z163" s="401"/>
      <c r="AA163" s="401"/>
      <c r="AB163" s="401"/>
      <c r="AC163" s="401"/>
      <c r="AD163" s="401"/>
      <c r="AE163" s="401"/>
      <c r="AF163" s="401"/>
      <c r="AG163" s="401"/>
      <c r="AH163" s="401"/>
      <c r="AI163" s="401"/>
      <c r="AJ163" s="401"/>
      <c r="AK163" s="401"/>
      <c r="AL163" s="401"/>
      <c r="AM163" s="401"/>
      <c r="AN163" s="401"/>
      <c r="AO163" s="401"/>
      <c r="AP163" s="401"/>
      <c r="AQ163" s="401"/>
      <c r="AR163" s="401"/>
      <c r="AS163" s="401"/>
      <c r="AU163" s="580">
        <f t="shared" si="89"/>
        <v>7952.5609999999997</v>
      </c>
      <c r="BD163" s="473">
        <f t="shared" si="71"/>
        <v>45251.243055555555</v>
      </c>
      <c r="BE163" s="473">
        <f t="shared" si="72"/>
        <v>45262.420138888891</v>
      </c>
      <c r="BF163" s="479">
        <f t="shared" si="73"/>
        <v>11.177083333335759</v>
      </c>
      <c r="BG163" s="473">
        <v>45251.243055555555</v>
      </c>
      <c r="BH163" s="473">
        <v>45251.243055555555</v>
      </c>
      <c r="BI163" s="473">
        <v>45251.243055555555</v>
      </c>
      <c r="BJ163" s="473">
        <v>45251.277777777781</v>
      </c>
      <c r="BK163" s="473">
        <v>45252.090277777781</v>
      </c>
      <c r="BL163" s="473">
        <v>45252.138888888891</v>
      </c>
      <c r="BM163" s="473">
        <v>45252.138888888891</v>
      </c>
      <c r="BN163" s="473">
        <v>45252.138888888891</v>
      </c>
      <c r="BO163" s="518" t="s">
        <v>196</v>
      </c>
      <c r="BP163" s="518" t="s">
        <v>196</v>
      </c>
      <c r="BQ163" s="518" t="s">
        <v>196</v>
      </c>
      <c r="BR163" s="473">
        <v>45256.572916666664</v>
      </c>
      <c r="BS163" s="473">
        <v>45262.013888888891</v>
      </c>
      <c r="BT163" s="473">
        <v>45262.40625</v>
      </c>
      <c r="BU163" s="473">
        <v>45262.420138888891</v>
      </c>
      <c r="BV163" s="473">
        <v>45262.420138888891</v>
      </c>
      <c r="BW163" s="473">
        <v>45262.420138888891</v>
      </c>
      <c r="BZ163" s="481">
        <f t="shared" si="74"/>
        <v>0</v>
      </c>
      <c r="CA163" s="481">
        <f t="shared" si="75"/>
        <v>19.5</v>
      </c>
      <c r="CB163" s="481">
        <f t="shared" si="76"/>
        <v>0</v>
      </c>
      <c r="CC163" s="481">
        <f t="shared" si="88"/>
        <v>106.41666666656965</v>
      </c>
      <c r="CD163" s="482">
        <f t="shared" si="77"/>
        <v>9.4166666666278616</v>
      </c>
      <c r="CE163" s="482">
        <f t="shared" si="78"/>
        <v>0</v>
      </c>
      <c r="CF163" s="483">
        <f t="shared" si="79"/>
        <v>5.6388888888832298</v>
      </c>
      <c r="CG163" s="483">
        <f t="shared" si="80"/>
        <v>11.177083333335759</v>
      </c>
      <c r="CH163" s="484">
        <f t="shared" si="81"/>
        <v>0.50450450450388873</v>
      </c>
    </row>
    <row r="164" spans="1:86" s="475" customFormat="1">
      <c r="A164" s="474">
        <f t="shared" si="85"/>
        <v>45252.180555555555</v>
      </c>
      <c r="B164" s="475" t="s">
        <v>188</v>
      </c>
      <c r="C164" s="475" t="s">
        <v>184</v>
      </c>
      <c r="D164" s="475" t="s">
        <v>189</v>
      </c>
      <c r="E164" s="476" t="s">
        <v>3648</v>
      </c>
      <c r="F164" s="475" t="s">
        <v>3378</v>
      </c>
      <c r="G164" s="473">
        <v>45268.3125</v>
      </c>
      <c r="H164" s="473">
        <v>45268.3125</v>
      </c>
      <c r="I164" s="475" t="s">
        <v>818</v>
      </c>
      <c r="J164" s="475" t="s">
        <v>192</v>
      </c>
      <c r="K164" s="475" t="s">
        <v>192</v>
      </c>
      <c r="L164" s="475" t="s">
        <v>3649</v>
      </c>
      <c r="M164" s="529"/>
      <c r="N164" s="475" t="s">
        <v>3650</v>
      </c>
      <c r="O164" s="475" t="s">
        <v>821</v>
      </c>
      <c r="P164" s="399" t="s">
        <v>184</v>
      </c>
      <c r="Q164" s="477">
        <v>7500</v>
      </c>
      <c r="R164" s="477">
        <v>7500</v>
      </c>
      <c r="S164" s="477">
        <v>7504.6049999999996</v>
      </c>
      <c r="T164" s="399"/>
      <c r="U164" s="401"/>
      <c r="V164" s="401"/>
      <c r="W164" s="401"/>
      <c r="Y164" s="401"/>
      <c r="Z164" s="401"/>
      <c r="AA164" s="401"/>
      <c r="AB164" s="401"/>
      <c r="AC164" s="401"/>
      <c r="AD164" s="401"/>
      <c r="AE164" s="401"/>
      <c r="AF164" s="401"/>
      <c r="AG164" s="401"/>
      <c r="AH164" s="401"/>
      <c r="AI164" s="401"/>
      <c r="AJ164" s="401"/>
      <c r="AK164" s="401"/>
      <c r="AL164" s="401"/>
      <c r="AM164" s="401"/>
      <c r="AN164" s="401"/>
      <c r="AO164" s="401"/>
      <c r="AP164" s="401"/>
      <c r="AQ164" s="401"/>
      <c r="AR164" s="401"/>
      <c r="AS164" s="401"/>
      <c r="AU164" s="580">
        <f t="shared" si="89"/>
        <v>7504.6049999999996</v>
      </c>
      <c r="BD164" s="473">
        <f t="shared" ref="BD164:BD198" si="90">BG164</f>
        <v>45252.166666666664</v>
      </c>
      <c r="BE164" s="473">
        <f t="shared" ref="BE164:BE198" si="91">BW164</f>
        <v>45266.090277777781</v>
      </c>
      <c r="BF164" s="479">
        <f t="shared" ref="BF164:BF195" si="92">BE164-BD164</f>
        <v>13.92361111111677</v>
      </c>
      <c r="BG164" s="473">
        <v>45252.166666666664</v>
      </c>
      <c r="BH164" s="473">
        <v>45252.166666666664</v>
      </c>
      <c r="BI164" s="473">
        <v>45252.166666666664</v>
      </c>
      <c r="BJ164" s="473">
        <v>45252.180555555555</v>
      </c>
      <c r="BK164" s="473">
        <v>45253.090277777781</v>
      </c>
      <c r="BL164" s="473">
        <v>45253.097222222219</v>
      </c>
      <c r="BM164" s="473">
        <v>45253.125</v>
      </c>
      <c r="BN164" s="473">
        <v>45253.125</v>
      </c>
      <c r="BO164" s="518" t="s">
        <v>196</v>
      </c>
      <c r="BP164" s="518" t="s">
        <v>196</v>
      </c>
      <c r="BQ164" s="518" t="s">
        <v>196</v>
      </c>
      <c r="BR164" s="473">
        <v>45257.333333333336</v>
      </c>
      <c r="BS164" s="473">
        <v>45265.451388888891</v>
      </c>
      <c r="BT164" s="473">
        <v>45266.072916666664</v>
      </c>
      <c r="BU164" s="473">
        <v>45266.090277777781</v>
      </c>
      <c r="BV164" s="473">
        <v>45266.090277777781</v>
      </c>
      <c r="BW164" s="473">
        <v>45266.090277777781</v>
      </c>
      <c r="BZ164" s="481">
        <f t="shared" ref="BZ164:BZ198" si="93">(BI164-BH164)*24</f>
        <v>0</v>
      </c>
      <c r="CA164" s="481">
        <f t="shared" ref="CA164:CA198" si="94">(BK164-BJ164)*24</f>
        <v>21.833333333430346</v>
      </c>
      <c r="CB164" s="481">
        <f t="shared" ref="CB164:CB198" si="95">(BN164-BM164)*24</f>
        <v>0</v>
      </c>
      <c r="CC164" s="481">
        <f t="shared" si="88"/>
        <v>101.00000000005821</v>
      </c>
      <c r="CD164" s="482">
        <f t="shared" ref="CD164:CD198" si="96">(BT164-BS164)*24</f>
        <v>14.916666666569654</v>
      </c>
      <c r="CE164" s="482">
        <f t="shared" ref="CE164:CE198" si="97">(BW164-BV164)*24</f>
        <v>0</v>
      </c>
      <c r="CF164" s="483">
        <f t="shared" ref="CF164:CF195" si="98">SUM(BZ164:CE164)/24</f>
        <v>5.7395833333357587</v>
      </c>
      <c r="CG164" s="483">
        <f t="shared" ref="CG164:CG198" si="99">BF164</f>
        <v>13.92361111111677</v>
      </c>
      <c r="CH164" s="484">
        <f t="shared" ref="CH164:CH195" si="100">CF164/CG164</f>
        <v>0.41221945137157773</v>
      </c>
    </row>
    <row r="165" spans="1:86" s="475" customFormat="1">
      <c r="A165" s="474">
        <f t="shared" si="85"/>
        <v>45254.559027777781</v>
      </c>
      <c r="B165" s="475" t="s">
        <v>188</v>
      </c>
      <c r="C165" s="475" t="s">
        <v>184</v>
      </c>
      <c r="D165" s="475" t="s">
        <v>189</v>
      </c>
      <c r="E165" s="832" t="s">
        <v>3651</v>
      </c>
      <c r="F165" s="475" t="s">
        <v>3378</v>
      </c>
      <c r="G165" s="518">
        <v>45270.833333333336</v>
      </c>
      <c r="H165" s="518">
        <v>45270.833333333336</v>
      </c>
      <c r="I165" s="475" t="s">
        <v>818</v>
      </c>
      <c r="J165" s="475" t="s">
        <v>192</v>
      </c>
      <c r="K165" s="475" t="s">
        <v>192</v>
      </c>
      <c r="L165" s="475" t="s">
        <v>3652</v>
      </c>
      <c r="M165" s="529"/>
      <c r="N165" s="475" t="s">
        <v>3653</v>
      </c>
      <c r="O165" s="475" t="s">
        <v>3654</v>
      </c>
      <c r="P165" s="399" t="s">
        <v>184</v>
      </c>
      <c r="Q165" s="477">
        <v>8000</v>
      </c>
      <c r="R165" s="477">
        <v>8000</v>
      </c>
      <c r="S165" s="477">
        <v>8014.8710000000001</v>
      </c>
      <c r="T165" s="399"/>
      <c r="U165" s="401"/>
      <c r="V165" s="401"/>
      <c r="W165" s="401"/>
      <c r="Y165" s="401"/>
      <c r="Z165" s="401"/>
      <c r="AA165" s="401"/>
      <c r="AB165" s="401"/>
      <c r="AC165" s="401"/>
      <c r="AD165" s="401"/>
      <c r="AE165" s="401"/>
      <c r="AF165" s="401"/>
      <c r="AG165" s="401"/>
      <c r="AH165" s="401"/>
      <c r="AI165" s="401"/>
      <c r="AJ165" s="401"/>
      <c r="AK165" s="401"/>
      <c r="AL165" s="401"/>
      <c r="AM165" s="401"/>
      <c r="AN165" s="401"/>
      <c r="AO165" s="401"/>
      <c r="AP165" s="401"/>
      <c r="AQ165" s="401"/>
      <c r="AR165" s="401"/>
      <c r="AS165" s="401"/>
      <c r="AU165" s="580">
        <f t="shared" si="89"/>
        <v>8014.8710000000001</v>
      </c>
      <c r="BD165" s="473">
        <f t="shared" si="90"/>
        <v>45254.493055555555</v>
      </c>
      <c r="BE165" s="473">
        <f t="shared" si="91"/>
        <v>45268.305555555555</v>
      </c>
      <c r="BF165" s="479">
        <f t="shared" si="92"/>
        <v>13.8125</v>
      </c>
      <c r="BG165" s="473">
        <v>45254.493055555555</v>
      </c>
      <c r="BH165" s="473">
        <v>45254.493055555555</v>
      </c>
      <c r="BI165" s="473">
        <v>45254.493055555555</v>
      </c>
      <c r="BJ165" s="473">
        <v>45254.559027777781</v>
      </c>
      <c r="BK165" s="473">
        <v>45255.277777777781</v>
      </c>
      <c r="BL165" s="473">
        <v>45255.319444444445</v>
      </c>
      <c r="BM165" s="473">
        <v>45255.319444444445</v>
      </c>
      <c r="BN165" s="473">
        <v>45255.319444444445</v>
      </c>
      <c r="BO165" s="518" t="s">
        <v>196</v>
      </c>
      <c r="BP165" s="518" t="s">
        <v>196</v>
      </c>
      <c r="BQ165" s="518" t="s">
        <v>196</v>
      </c>
      <c r="BR165" s="473">
        <v>45261.024305555555</v>
      </c>
      <c r="BS165" s="473">
        <v>45267.871527777781</v>
      </c>
      <c r="BT165" s="473">
        <v>45268.267361111109</v>
      </c>
      <c r="BU165" s="473">
        <v>45268.302083333336</v>
      </c>
      <c r="BV165" s="473">
        <v>45268.305555555555</v>
      </c>
      <c r="BW165" s="473">
        <v>45268.305555555555</v>
      </c>
      <c r="BZ165" s="481">
        <f t="shared" si="93"/>
        <v>0</v>
      </c>
      <c r="CA165" s="481">
        <f t="shared" si="94"/>
        <v>17.25</v>
      </c>
      <c r="CB165" s="481">
        <f t="shared" si="95"/>
        <v>0</v>
      </c>
      <c r="CC165" s="481">
        <f t="shared" si="88"/>
        <v>136.91666666662786</v>
      </c>
      <c r="CD165" s="482">
        <f t="shared" si="96"/>
        <v>9.4999999998835847</v>
      </c>
      <c r="CE165" s="482">
        <f t="shared" si="97"/>
        <v>0</v>
      </c>
      <c r="CF165" s="483">
        <f t="shared" si="98"/>
        <v>6.8194444444379769</v>
      </c>
      <c r="CG165" s="483">
        <f t="shared" si="99"/>
        <v>13.8125</v>
      </c>
      <c r="CH165" s="484">
        <f t="shared" si="100"/>
        <v>0.49371543489143727</v>
      </c>
    </row>
    <row r="166" spans="1:86" s="475" customFormat="1">
      <c r="A166" s="474">
        <f t="shared" si="85"/>
        <v>45256.378472222219</v>
      </c>
      <c r="B166" s="475" t="s">
        <v>188</v>
      </c>
      <c r="C166" s="475" t="s">
        <v>184</v>
      </c>
      <c r="D166" s="475" t="s">
        <v>197</v>
      </c>
      <c r="E166" s="476" t="s">
        <v>1936</v>
      </c>
      <c r="F166" s="667" t="s">
        <v>3378</v>
      </c>
      <c r="G166" s="472">
        <v>45267.770833333336</v>
      </c>
      <c r="H166" s="472">
        <v>45267.787499999999</v>
      </c>
      <c r="I166" s="667" t="s">
        <v>3655</v>
      </c>
      <c r="J166" s="475" t="s">
        <v>192</v>
      </c>
      <c r="K166" s="475" t="s">
        <v>192</v>
      </c>
      <c r="L166" s="667" t="s">
        <v>3656</v>
      </c>
      <c r="M166" s="529"/>
      <c r="N166" s="475" t="s">
        <v>437</v>
      </c>
      <c r="O166" s="475" t="s">
        <v>320</v>
      </c>
      <c r="P166" s="399" t="s">
        <v>184</v>
      </c>
      <c r="Q166" s="477">
        <f>3136*2.4</f>
        <v>7526.4</v>
      </c>
      <c r="R166" s="477">
        <f>7550+100</f>
        <v>7650</v>
      </c>
      <c r="S166" s="477">
        <v>7504.3379999999997</v>
      </c>
      <c r="T166" s="667"/>
      <c r="U166" s="577"/>
      <c r="V166" s="577"/>
      <c r="W166" s="577"/>
      <c r="X166" s="577"/>
      <c r="Y166" s="577"/>
      <c r="Z166" s="577"/>
      <c r="AA166" s="577"/>
      <c r="AB166" s="581"/>
      <c r="AC166" s="581"/>
      <c r="AD166" s="581"/>
      <c r="AE166" s="581"/>
      <c r="AF166" s="401"/>
      <c r="AG166" s="401"/>
      <c r="AH166" s="401"/>
      <c r="AI166" s="401"/>
      <c r="AJ166" s="401"/>
      <c r="AK166" s="401"/>
      <c r="AL166" s="401"/>
      <c r="AM166" s="401"/>
      <c r="AN166" s="401"/>
      <c r="AO166" s="401"/>
      <c r="AP166" s="401"/>
      <c r="AQ166" s="401"/>
      <c r="AR166" s="401"/>
      <c r="AS166" s="401"/>
      <c r="AT166" s="401"/>
      <c r="AU166" s="726">
        <f t="shared" si="89"/>
        <v>7504.3379999999997</v>
      </c>
      <c r="BD166" s="473">
        <f t="shared" si="90"/>
        <v>45253.46875</v>
      </c>
      <c r="BE166" s="473">
        <f t="shared" si="91"/>
        <v>45269.302083333336</v>
      </c>
      <c r="BF166" s="479">
        <f t="shared" si="92"/>
        <v>15.833333333335759</v>
      </c>
      <c r="BG166" s="473">
        <v>45253.46875</v>
      </c>
      <c r="BH166" s="473">
        <v>45254.347222222219</v>
      </c>
      <c r="BI166" s="473">
        <v>45256.125</v>
      </c>
      <c r="BJ166" s="473">
        <v>45256.378472222219</v>
      </c>
      <c r="BK166" s="473">
        <v>45257.0625</v>
      </c>
      <c r="BL166" s="473">
        <v>45257.083333333336</v>
      </c>
      <c r="BM166" s="473">
        <v>45257.083333333336</v>
      </c>
      <c r="BN166" s="473">
        <f>BM166+(51/24)</f>
        <v>45259.208333333336</v>
      </c>
      <c r="BO166" s="480">
        <v>45259.25</v>
      </c>
      <c r="BP166" s="480">
        <v>45259.416666608799</v>
      </c>
      <c r="BQ166" s="480">
        <v>45259.354166666664</v>
      </c>
      <c r="BR166" s="473">
        <v>45261.5625</v>
      </c>
      <c r="BS166" s="473">
        <v>45268.378472222219</v>
      </c>
      <c r="BT166" s="473">
        <v>45268.907638888886</v>
      </c>
      <c r="BU166" s="473">
        <v>45268.923611111109</v>
      </c>
      <c r="BV166" s="473">
        <v>45268.927083333336</v>
      </c>
      <c r="BW166" s="473">
        <v>45269.302083333336</v>
      </c>
      <c r="BZ166" s="481">
        <f t="shared" si="93"/>
        <v>42.666666666744277</v>
      </c>
      <c r="CA166" s="481">
        <f t="shared" si="94"/>
        <v>16.416666666744277</v>
      </c>
      <c r="CB166" s="481">
        <f t="shared" si="95"/>
        <v>51</v>
      </c>
      <c r="CC166" s="481">
        <f t="shared" ref="CC166:CC198" si="101">(BR166-BP166)*24</f>
        <v>51.500001388834789</v>
      </c>
      <c r="CD166" s="482">
        <f t="shared" si="96"/>
        <v>12.700000000011642</v>
      </c>
      <c r="CE166" s="482">
        <f t="shared" si="97"/>
        <v>9</v>
      </c>
      <c r="CF166" s="483">
        <f t="shared" si="98"/>
        <v>7.6368056134306244</v>
      </c>
      <c r="CG166" s="483">
        <f t="shared" si="99"/>
        <v>15.833333333335759</v>
      </c>
      <c r="CH166" s="484">
        <f t="shared" si="100"/>
        <v>0.48232456505870241</v>
      </c>
    </row>
    <row r="167" spans="1:86" s="475" customFormat="1">
      <c r="A167" s="474">
        <f t="shared" si="85"/>
        <v>45257.121527777781</v>
      </c>
      <c r="B167" s="475" t="s">
        <v>188</v>
      </c>
      <c r="C167" s="475" t="s">
        <v>184</v>
      </c>
      <c r="D167" s="475" t="s">
        <v>197</v>
      </c>
      <c r="E167" s="476" t="s">
        <v>1936</v>
      </c>
      <c r="F167" s="667" t="s">
        <v>3378</v>
      </c>
      <c r="G167" s="472">
        <v>45267.770833333336</v>
      </c>
      <c r="H167" s="472">
        <v>45267.787499999999</v>
      </c>
      <c r="I167" s="667" t="s">
        <v>3655</v>
      </c>
      <c r="J167" s="475" t="s">
        <v>192</v>
      </c>
      <c r="K167" s="475" t="s">
        <v>192</v>
      </c>
      <c r="L167" s="667" t="s">
        <v>3657</v>
      </c>
      <c r="M167" s="529"/>
      <c r="N167" s="475" t="s">
        <v>263</v>
      </c>
      <c r="O167" s="475" t="s">
        <v>264</v>
      </c>
      <c r="P167" s="399" t="s">
        <v>184</v>
      </c>
      <c r="Q167" s="477">
        <f>3136*2.4</f>
        <v>7526.4</v>
      </c>
      <c r="R167" s="477">
        <f>7550+100</f>
        <v>7650</v>
      </c>
      <c r="S167" s="477">
        <v>7502.0129999999999</v>
      </c>
      <c r="T167" s="667"/>
      <c r="U167" s="577"/>
      <c r="V167" s="577"/>
      <c r="W167" s="577"/>
      <c r="X167" s="577"/>
      <c r="Y167" s="577"/>
      <c r="Z167" s="577"/>
      <c r="AA167" s="577"/>
      <c r="AB167" s="581"/>
      <c r="AC167" s="581"/>
      <c r="AD167" s="581"/>
      <c r="AU167" s="726">
        <f t="shared" si="89"/>
        <v>7502.0129999999999</v>
      </c>
      <c r="BD167" s="473">
        <f t="shared" si="90"/>
        <v>45253.875</v>
      </c>
      <c r="BE167" s="473">
        <f t="shared" si="91"/>
        <v>45271.569444444445</v>
      </c>
      <c r="BF167" s="479">
        <f t="shared" si="92"/>
        <v>17.694444444445253</v>
      </c>
      <c r="BG167" s="473">
        <v>45253.875</v>
      </c>
      <c r="BH167" s="473">
        <v>45254.836805555555</v>
      </c>
      <c r="BI167" s="473">
        <v>45256.743055555555</v>
      </c>
      <c r="BJ167" s="473">
        <v>45257.121527777781</v>
      </c>
      <c r="BK167" s="473">
        <v>45257.861111111109</v>
      </c>
      <c r="BL167" s="473">
        <v>45257.868055555555</v>
      </c>
      <c r="BM167" s="473">
        <v>45258.385416666664</v>
      </c>
      <c r="BN167" s="473">
        <f t="shared" ref="BN167:BN198" si="102">BM167+(41/24)</f>
        <v>45260.09375</v>
      </c>
      <c r="BO167" s="480">
        <v>45260.229166608799</v>
      </c>
      <c r="BP167" s="480">
        <v>45260.395833333336</v>
      </c>
      <c r="BQ167" s="480">
        <v>45260.309027777781</v>
      </c>
      <c r="BR167" s="473">
        <v>45262.208333333336</v>
      </c>
      <c r="BS167" s="473">
        <v>45270.534722222219</v>
      </c>
      <c r="BT167" s="473">
        <v>45271.538194444445</v>
      </c>
      <c r="BU167" s="473">
        <v>45271.569444444445</v>
      </c>
      <c r="BV167" s="473">
        <v>45271.569444444445</v>
      </c>
      <c r="BW167" s="473">
        <v>45271.569444444445</v>
      </c>
      <c r="BX167" s="475" t="s">
        <v>3658</v>
      </c>
      <c r="BZ167" s="481">
        <f t="shared" si="93"/>
        <v>45.75</v>
      </c>
      <c r="CA167" s="481">
        <f t="shared" si="94"/>
        <v>17.749999999883585</v>
      </c>
      <c r="CB167" s="481">
        <f t="shared" si="95"/>
        <v>41.000000000058208</v>
      </c>
      <c r="CC167" s="481">
        <f t="shared" si="101"/>
        <v>43.5</v>
      </c>
      <c r="CD167" s="482">
        <f t="shared" si="96"/>
        <v>24.083333333430346</v>
      </c>
      <c r="CE167" s="482">
        <f t="shared" si="97"/>
        <v>0</v>
      </c>
      <c r="CF167" s="483">
        <f t="shared" si="98"/>
        <v>7.1701388888905058</v>
      </c>
      <c r="CG167" s="483">
        <f t="shared" si="99"/>
        <v>17.694444444445253</v>
      </c>
      <c r="CH167" s="484">
        <f t="shared" si="100"/>
        <v>0.40521978021985311</v>
      </c>
    </row>
    <row r="168" spans="1:86" s="475" customFormat="1">
      <c r="A168" s="474">
        <f t="shared" si="85"/>
        <v>45232.319444444445</v>
      </c>
      <c r="B168" s="475" t="s">
        <v>228</v>
      </c>
      <c r="C168" s="475" t="s">
        <v>229</v>
      </c>
      <c r="D168" s="475" t="s">
        <v>197</v>
      </c>
      <c r="E168" s="667" t="s">
        <v>230</v>
      </c>
      <c r="F168" s="475" t="s">
        <v>3474</v>
      </c>
      <c r="G168" s="472">
        <v>45226.041666666664</v>
      </c>
      <c r="H168" s="472">
        <v>45226.05</v>
      </c>
      <c r="I168" s="667" t="s">
        <v>490</v>
      </c>
      <c r="J168" s="475" t="s">
        <v>192</v>
      </c>
      <c r="K168" s="475" t="s">
        <v>192</v>
      </c>
      <c r="L168" s="475" t="s">
        <v>3659</v>
      </c>
      <c r="M168" s="530"/>
      <c r="N168" s="475" t="s">
        <v>260</v>
      </c>
      <c r="O168" s="475" t="s">
        <v>261</v>
      </c>
      <c r="P168" s="667" t="s">
        <v>1372</v>
      </c>
      <c r="Q168" s="477">
        <f>3107*2.4</f>
        <v>7456.7999999999993</v>
      </c>
      <c r="R168" s="477">
        <f>7500+100</f>
        <v>7600</v>
      </c>
      <c r="S168" s="477">
        <v>7629.0339999999997</v>
      </c>
      <c r="T168" s="667"/>
      <c r="U168" s="726">
        <f>S168*0.7</f>
        <v>5340.3237999999992</v>
      </c>
      <c r="V168" s="726">
        <f>S168*0.3</f>
        <v>2288.7102</v>
      </c>
      <c r="W168" s="581"/>
      <c r="X168" s="581"/>
      <c r="Y168" s="581"/>
      <c r="Z168" s="581"/>
      <c r="AA168" s="581"/>
      <c r="AB168" s="575"/>
      <c r="BD168" s="473">
        <f t="shared" si="90"/>
        <v>45225.722222222219</v>
      </c>
      <c r="BE168" s="473">
        <f t="shared" si="91"/>
        <v>45237.927083333336</v>
      </c>
      <c r="BF168" s="479">
        <f t="shared" si="92"/>
        <v>12.20486111111677</v>
      </c>
      <c r="BG168" s="473">
        <v>45225.722222222219</v>
      </c>
      <c r="BH168" s="473">
        <v>45227.565972222219</v>
      </c>
      <c r="BI168" s="473">
        <v>45229.333333333336</v>
      </c>
      <c r="BJ168" s="473">
        <v>45232.319444444445</v>
      </c>
      <c r="BK168" s="473">
        <v>45232.447916666664</v>
      </c>
      <c r="BL168" s="473">
        <v>45232.451388888891</v>
      </c>
      <c r="BM168" s="473">
        <v>45232.461805555555</v>
      </c>
      <c r="BN168" s="473">
        <f t="shared" si="102"/>
        <v>45234.170138888891</v>
      </c>
      <c r="BO168" s="473">
        <v>45234.25</v>
      </c>
      <c r="BP168" s="473">
        <v>45234.416666608799</v>
      </c>
      <c r="BQ168" s="473">
        <v>45234.350694444445</v>
      </c>
      <c r="BR168" s="473">
        <v>45235.541666666664</v>
      </c>
      <c r="BS168" s="473">
        <v>45237.236111111109</v>
      </c>
      <c r="BT168" s="473">
        <v>45237.527777777781</v>
      </c>
      <c r="BU168" s="473">
        <v>45237.548611111109</v>
      </c>
      <c r="BV168" s="473">
        <v>45237.548611111109</v>
      </c>
      <c r="BW168" s="473">
        <v>45237.927083333336</v>
      </c>
      <c r="BZ168" s="481">
        <f t="shared" si="93"/>
        <v>42.416666666802485</v>
      </c>
      <c r="CA168" s="481">
        <f t="shared" si="94"/>
        <v>3.0833333332557231</v>
      </c>
      <c r="CB168" s="481">
        <f t="shared" si="95"/>
        <v>41.000000000058208</v>
      </c>
      <c r="CC168" s="481">
        <f t="shared" si="101"/>
        <v>27.000001388776582</v>
      </c>
      <c r="CD168" s="482">
        <f t="shared" si="96"/>
        <v>7.0000000001164153</v>
      </c>
      <c r="CE168" s="482">
        <f t="shared" si="97"/>
        <v>9.0833333334303461</v>
      </c>
      <c r="CF168" s="483">
        <f t="shared" si="98"/>
        <v>5.3993056134349899</v>
      </c>
      <c r="CG168" s="483">
        <f t="shared" si="99"/>
        <v>12.20486111111677</v>
      </c>
      <c r="CH168" s="484">
        <f t="shared" si="100"/>
        <v>0.44238976292135307</v>
      </c>
    </row>
    <row r="169" spans="1:86" s="475" customFormat="1">
      <c r="A169" s="474">
        <f t="shared" si="85"/>
        <v>45232.8125</v>
      </c>
      <c r="B169" s="475" t="s">
        <v>228</v>
      </c>
      <c r="C169" s="475" t="s">
        <v>229</v>
      </c>
      <c r="D169" s="475" t="s">
        <v>197</v>
      </c>
      <c r="E169" s="667" t="s">
        <v>230</v>
      </c>
      <c r="F169" s="475" t="s">
        <v>3474</v>
      </c>
      <c r="G169" s="472">
        <v>45226.041666666664</v>
      </c>
      <c r="H169" s="472">
        <v>45226.05</v>
      </c>
      <c r="I169" s="667" t="s">
        <v>490</v>
      </c>
      <c r="J169" s="475" t="s">
        <v>192</v>
      </c>
      <c r="K169" s="475" t="s">
        <v>192</v>
      </c>
      <c r="L169" s="475" t="s">
        <v>3660</v>
      </c>
      <c r="M169" s="530"/>
      <c r="N169" s="475" t="s">
        <v>249</v>
      </c>
      <c r="O169" s="475" t="s">
        <v>2315</v>
      </c>
      <c r="P169" s="667" t="s">
        <v>1372</v>
      </c>
      <c r="Q169" s="477">
        <f>3139*2.4</f>
        <v>7533.5999999999995</v>
      </c>
      <c r="R169" s="477">
        <f>7550+100</f>
        <v>7650</v>
      </c>
      <c r="S169" s="477">
        <v>7592.3140000000003</v>
      </c>
      <c r="T169" s="399"/>
      <c r="U169" s="726">
        <f>S169*0.7</f>
        <v>5314.6197999999995</v>
      </c>
      <c r="V169" s="726">
        <f>S169*0.3</f>
        <v>2277.6941999999999</v>
      </c>
      <c r="W169" s="581"/>
      <c r="X169" s="581"/>
      <c r="Y169" s="581"/>
      <c r="Z169" s="581"/>
      <c r="AA169" s="581"/>
      <c r="AB169" s="401"/>
      <c r="AC169" s="399"/>
      <c r="AX169" s="399"/>
      <c r="AY169" s="399"/>
      <c r="AZ169" s="399"/>
      <c r="BA169" s="399"/>
      <c r="BB169" s="399"/>
      <c r="BC169" s="399"/>
      <c r="BD169" s="473">
        <f t="shared" si="90"/>
        <v>45224.791666666664</v>
      </c>
      <c r="BE169" s="473">
        <f t="shared" si="91"/>
        <v>45237.815972222219</v>
      </c>
      <c r="BF169" s="479">
        <f t="shared" si="92"/>
        <v>13.024305555554747</v>
      </c>
      <c r="BG169" s="473">
        <v>45224.791666666664</v>
      </c>
      <c r="BH169" s="473">
        <v>45227.559027777781</v>
      </c>
      <c r="BI169" s="473">
        <v>45229.340277777781</v>
      </c>
      <c r="BJ169" s="473">
        <v>45232.8125</v>
      </c>
      <c r="BK169" s="473">
        <v>45232.940972222219</v>
      </c>
      <c r="BL169" s="473">
        <v>45232.947916666664</v>
      </c>
      <c r="BM169" s="473">
        <v>45233.291666666664</v>
      </c>
      <c r="BN169" s="473">
        <f t="shared" si="102"/>
        <v>45235</v>
      </c>
      <c r="BO169" s="473">
        <v>45235.25</v>
      </c>
      <c r="BP169" s="473">
        <v>45235.416666608799</v>
      </c>
      <c r="BQ169" s="473">
        <v>45235.3125</v>
      </c>
      <c r="BR169" s="473">
        <v>45236.666666666664</v>
      </c>
      <c r="BS169" s="473">
        <v>45237.590277777781</v>
      </c>
      <c r="BT169" s="473">
        <v>45237.815972222219</v>
      </c>
      <c r="BU169" s="473">
        <v>45237.815972222219</v>
      </c>
      <c r="BV169" s="473">
        <v>45237.815972222219</v>
      </c>
      <c r="BW169" s="473">
        <v>45237.815972222219</v>
      </c>
      <c r="BX169" s="475" t="s">
        <v>3661</v>
      </c>
      <c r="BZ169" s="481">
        <f t="shared" si="93"/>
        <v>42.75</v>
      </c>
      <c r="CA169" s="481">
        <f t="shared" si="94"/>
        <v>3.0833333332557231</v>
      </c>
      <c r="CB169" s="481">
        <f t="shared" si="95"/>
        <v>41.000000000058208</v>
      </c>
      <c r="CC169" s="481">
        <f t="shared" si="101"/>
        <v>30.000001388776582</v>
      </c>
      <c r="CD169" s="482">
        <f t="shared" si="96"/>
        <v>5.4166666665114462</v>
      </c>
      <c r="CE169" s="482">
        <f t="shared" si="97"/>
        <v>0</v>
      </c>
      <c r="CF169" s="483">
        <f t="shared" si="98"/>
        <v>5.0937500578584149</v>
      </c>
      <c r="CG169" s="483">
        <f t="shared" si="99"/>
        <v>13.024305555554747</v>
      </c>
      <c r="CH169" s="484">
        <f t="shared" si="100"/>
        <v>0.39109571225361628</v>
      </c>
    </row>
    <row r="170" spans="1:86" s="475" customFormat="1">
      <c r="A170" s="474">
        <f t="shared" si="85"/>
        <v>45232.965277777781</v>
      </c>
      <c r="B170" s="475" t="s">
        <v>228</v>
      </c>
      <c r="C170" s="475" t="s">
        <v>229</v>
      </c>
      <c r="D170" s="475" t="s">
        <v>215</v>
      </c>
      <c r="E170" s="667" t="s">
        <v>230</v>
      </c>
      <c r="F170" s="475" t="s">
        <v>3474</v>
      </c>
      <c r="G170" s="472">
        <v>45226.041666666664</v>
      </c>
      <c r="H170" s="472">
        <v>45226.05</v>
      </c>
      <c r="I170" s="667" t="s">
        <v>490</v>
      </c>
      <c r="J170" s="475" t="s">
        <v>192</v>
      </c>
      <c r="K170" s="475" t="s">
        <v>192</v>
      </c>
      <c r="L170" s="475" t="s">
        <v>3662</v>
      </c>
      <c r="M170" s="530"/>
      <c r="N170" s="475" t="s">
        <v>422</v>
      </c>
      <c r="O170" s="475" t="s">
        <v>3342</v>
      </c>
      <c r="P170" s="667" t="s">
        <v>1372</v>
      </c>
      <c r="Q170" s="477">
        <f>3094*2.4</f>
        <v>7425.5999999999995</v>
      </c>
      <c r="R170" s="477">
        <f>7450+100</f>
        <v>7550</v>
      </c>
      <c r="S170" s="477">
        <v>7721.8329999999996</v>
      </c>
      <c r="T170" s="399"/>
      <c r="U170" s="726">
        <f>S170*0.7</f>
        <v>5405.2830999999996</v>
      </c>
      <c r="V170" s="726">
        <f>S170*0.3</f>
        <v>2316.5499</v>
      </c>
      <c r="W170" s="581"/>
      <c r="X170" s="581"/>
      <c r="Y170" s="581"/>
      <c r="Z170" s="581"/>
      <c r="AA170" s="581"/>
      <c r="AB170" s="399"/>
      <c r="AC170" s="399"/>
      <c r="BD170" s="473">
        <f t="shared" si="90"/>
        <v>45226.875</v>
      </c>
      <c r="BE170" s="473">
        <f t="shared" si="91"/>
        <v>45238.850694444445</v>
      </c>
      <c r="BF170" s="479">
        <f t="shared" si="92"/>
        <v>11.975694444445253</v>
      </c>
      <c r="BG170" s="473">
        <v>45226.875</v>
      </c>
      <c r="BH170" s="473">
        <v>45228.541666666664</v>
      </c>
      <c r="BI170" s="473">
        <v>45230.020833333336</v>
      </c>
      <c r="BJ170" s="473">
        <v>45232.965277777781</v>
      </c>
      <c r="BK170" s="473">
        <v>45233.100694444445</v>
      </c>
      <c r="BL170" s="473">
        <v>45233.107638888891</v>
      </c>
      <c r="BM170" s="473">
        <v>45233.291666666664</v>
      </c>
      <c r="BN170" s="473">
        <f t="shared" si="102"/>
        <v>45235</v>
      </c>
      <c r="BO170" s="480">
        <v>45235.25</v>
      </c>
      <c r="BP170" s="480">
        <v>45235.416666608799</v>
      </c>
      <c r="BQ170" s="480">
        <v>45235.34375</v>
      </c>
      <c r="BR170" s="473">
        <v>45236.659722222219</v>
      </c>
      <c r="BS170" s="473">
        <v>45238.173611111109</v>
      </c>
      <c r="BT170" s="473">
        <v>45238.465277777781</v>
      </c>
      <c r="BU170" s="473">
        <v>45238.486111111109</v>
      </c>
      <c r="BV170" s="473">
        <v>45238.590277777781</v>
      </c>
      <c r="BW170" s="473">
        <v>45238.850694444445</v>
      </c>
      <c r="BZ170" s="481">
        <f t="shared" si="93"/>
        <v>35.500000000116415</v>
      </c>
      <c r="CA170" s="481">
        <f t="shared" si="94"/>
        <v>3.2499999999417923</v>
      </c>
      <c r="CB170" s="481">
        <f t="shared" si="95"/>
        <v>41.000000000058208</v>
      </c>
      <c r="CC170" s="481">
        <f t="shared" si="101"/>
        <v>29.833334722090513</v>
      </c>
      <c r="CD170" s="482">
        <f t="shared" si="96"/>
        <v>7.0000000001164153</v>
      </c>
      <c r="CE170" s="482">
        <f t="shared" si="97"/>
        <v>6.2499999999417923</v>
      </c>
      <c r="CF170" s="483">
        <f t="shared" si="98"/>
        <v>5.118055613427714</v>
      </c>
      <c r="CG170" s="483">
        <f t="shared" si="99"/>
        <v>11.975694444445253</v>
      </c>
      <c r="CH170" s="484">
        <f t="shared" si="100"/>
        <v>0.42737025707946713</v>
      </c>
    </row>
    <row r="171" spans="1:86" s="475" customFormat="1">
      <c r="A171" s="474">
        <f t="shared" si="85"/>
        <v>45233.128472222219</v>
      </c>
      <c r="B171" s="475" t="s">
        <v>228</v>
      </c>
      <c r="C171" s="475" t="s">
        <v>229</v>
      </c>
      <c r="D171" s="475" t="s">
        <v>215</v>
      </c>
      <c r="E171" s="667" t="s">
        <v>230</v>
      </c>
      <c r="F171" s="475" t="s">
        <v>3474</v>
      </c>
      <c r="G171" s="472">
        <v>45226.041666666664</v>
      </c>
      <c r="H171" s="472">
        <v>45226.05</v>
      </c>
      <c r="I171" s="667" t="s">
        <v>490</v>
      </c>
      <c r="J171" s="475" t="s">
        <v>192</v>
      </c>
      <c r="K171" s="475" t="s">
        <v>192</v>
      </c>
      <c r="L171" s="475" t="s">
        <v>3663</v>
      </c>
      <c r="M171" s="530"/>
      <c r="N171" s="475" t="s">
        <v>774</v>
      </c>
      <c r="O171" s="475" t="s">
        <v>423</v>
      </c>
      <c r="P171" s="667" t="s">
        <v>1372</v>
      </c>
      <c r="Q171" s="477">
        <f>3156*2.4</f>
        <v>7574.4</v>
      </c>
      <c r="R171" s="477">
        <f>7600+100</f>
        <v>7700</v>
      </c>
      <c r="S171" s="477">
        <v>7663.94</v>
      </c>
      <c r="T171" s="667"/>
      <c r="U171" s="726">
        <f>S171*0.7</f>
        <v>5364.7579999999998</v>
      </c>
      <c r="V171" s="726">
        <f>S171*0.3</f>
        <v>2299.1819999999998</v>
      </c>
      <c r="W171" s="581"/>
      <c r="X171" s="581"/>
      <c r="Y171" s="581"/>
      <c r="Z171" s="581"/>
      <c r="AA171" s="581"/>
      <c r="AB171" s="581"/>
      <c r="AC171" s="577"/>
      <c r="AD171" s="577"/>
      <c r="AE171" s="575"/>
      <c r="AF171" s="575"/>
      <c r="AG171" s="575"/>
      <c r="AH171" s="575"/>
      <c r="AI171" s="575"/>
      <c r="BD171" s="473">
        <f t="shared" si="90"/>
        <v>45227.597222222219</v>
      </c>
      <c r="BE171" s="473">
        <f t="shared" si="91"/>
        <v>45238.541666666664</v>
      </c>
      <c r="BF171" s="479">
        <f t="shared" si="92"/>
        <v>10.944444444445253</v>
      </c>
      <c r="BG171" s="473">
        <v>45227.597222222219</v>
      </c>
      <c r="BH171" s="473">
        <v>45228.586805555555</v>
      </c>
      <c r="BI171" s="473">
        <v>45230.145833333336</v>
      </c>
      <c r="BJ171" s="473">
        <v>45233.128472222219</v>
      </c>
      <c r="BK171" s="473">
        <v>45233.254861111112</v>
      </c>
      <c r="BL171" s="473">
        <v>45233.260416666664</v>
      </c>
      <c r="BM171" s="473">
        <v>45233.260416666664</v>
      </c>
      <c r="BN171" s="473">
        <f t="shared" si="102"/>
        <v>45234.96875</v>
      </c>
      <c r="BO171" s="473">
        <v>45235.25</v>
      </c>
      <c r="BP171" s="473">
        <v>45235.416666608799</v>
      </c>
      <c r="BQ171" s="480">
        <v>45235.319444444445</v>
      </c>
      <c r="BR171" s="473">
        <v>45236.458333333336</v>
      </c>
      <c r="BS171" s="473">
        <v>45237.878472222219</v>
      </c>
      <c r="BT171" s="473">
        <v>45238.125</v>
      </c>
      <c r="BU171" s="473">
        <v>45238.145833333336</v>
      </c>
      <c r="BV171" s="473">
        <v>45238.145833333336</v>
      </c>
      <c r="BW171" s="473">
        <v>45238.541666666664</v>
      </c>
      <c r="BZ171" s="481">
        <f t="shared" si="93"/>
        <v>37.416666666744277</v>
      </c>
      <c r="CA171" s="481">
        <f t="shared" si="94"/>
        <v>3.0333333334419876</v>
      </c>
      <c r="CB171" s="481">
        <f t="shared" si="95"/>
        <v>41.000000000058208</v>
      </c>
      <c r="CC171" s="481">
        <f t="shared" si="101"/>
        <v>25.000001388892997</v>
      </c>
      <c r="CD171" s="482">
        <f t="shared" si="96"/>
        <v>5.9166666667442769</v>
      </c>
      <c r="CE171" s="482">
        <f t="shared" si="97"/>
        <v>9.4999999998835847</v>
      </c>
      <c r="CF171" s="483">
        <f t="shared" si="98"/>
        <v>5.0777778356568888</v>
      </c>
      <c r="CG171" s="483">
        <f t="shared" si="99"/>
        <v>10.944444444445253</v>
      </c>
      <c r="CH171" s="484">
        <f t="shared" si="100"/>
        <v>0.46395939615135656</v>
      </c>
    </row>
    <row r="172" spans="1:86" s="475" customFormat="1">
      <c r="A172" s="474">
        <f t="shared" si="85"/>
        <v>45233.3125</v>
      </c>
      <c r="B172" s="475" t="s">
        <v>228</v>
      </c>
      <c r="C172" s="475" t="s">
        <v>229</v>
      </c>
      <c r="D172" s="475" t="s">
        <v>215</v>
      </c>
      <c r="E172" s="667" t="s">
        <v>230</v>
      </c>
      <c r="F172" s="475" t="s">
        <v>3474</v>
      </c>
      <c r="G172" s="472">
        <v>45226.041666666664</v>
      </c>
      <c r="H172" s="472">
        <v>45226.05</v>
      </c>
      <c r="I172" s="667" t="s">
        <v>490</v>
      </c>
      <c r="J172" s="475" t="s">
        <v>192</v>
      </c>
      <c r="K172" s="475" t="s">
        <v>192</v>
      </c>
      <c r="L172" s="475" t="s">
        <v>3664</v>
      </c>
      <c r="M172" s="530"/>
      <c r="N172" s="475" t="s">
        <v>721</v>
      </c>
      <c r="O172" s="475" t="s">
        <v>1349</v>
      </c>
      <c r="P172" s="667" t="s">
        <v>1968</v>
      </c>
      <c r="Q172" s="477">
        <f>3136*2.4</f>
        <v>7526.4</v>
      </c>
      <c r="R172" s="477">
        <f>7550+100</f>
        <v>7650</v>
      </c>
      <c r="S172" s="477">
        <f>7539.472-5081.729</f>
        <v>2457.7429999999995</v>
      </c>
      <c r="T172" s="667"/>
      <c r="U172" s="726">
        <f>S172*0.8</f>
        <v>1966.1943999999996</v>
      </c>
      <c r="V172" s="726">
        <f>S172*0.2</f>
        <v>491.54859999999991</v>
      </c>
      <c r="W172" s="581"/>
      <c r="X172" s="581"/>
      <c r="Y172" s="581"/>
      <c r="Z172" s="581"/>
      <c r="AA172" s="581"/>
      <c r="AB172" s="667"/>
      <c r="AC172" s="577"/>
      <c r="AD172" s="577"/>
      <c r="BD172" s="473">
        <f t="shared" si="90"/>
        <v>45226.760416666664</v>
      </c>
      <c r="BE172" s="473">
        <f t="shared" si="91"/>
        <v>45239.041666666664</v>
      </c>
      <c r="BF172" s="479">
        <f t="shared" si="92"/>
        <v>12.28125</v>
      </c>
      <c r="BG172" s="473">
        <v>45226.760416666664</v>
      </c>
      <c r="BH172" s="473">
        <v>45228.75</v>
      </c>
      <c r="BI172" s="473">
        <v>45230.25</v>
      </c>
      <c r="BJ172" s="473">
        <v>45233.3125</v>
      </c>
      <c r="BK172" s="473">
        <v>45233.451388888891</v>
      </c>
      <c r="BL172" s="473">
        <v>45233.454861111109</v>
      </c>
      <c r="BM172" s="473">
        <v>45233.454861111109</v>
      </c>
      <c r="BN172" s="473">
        <f t="shared" si="102"/>
        <v>45235.163194444445</v>
      </c>
      <c r="BO172" s="473">
        <v>45235.25</v>
      </c>
      <c r="BP172" s="473">
        <v>45235.416666608799</v>
      </c>
      <c r="BQ172" s="473">
        <v>45235.284722222219</v>
      </c>
      <c r="BR172" s="473">
        <v>45238.625</v>
      </c>
      <c r="BS172" s="473">
        <v>45238.875</v>
      </c>
      <c r="BT172" s="473">
        <v>45238.993055555555</v>
      </c>
      <c r="BU172" s="473">
        <v>45239.041666666664</v>
      </c>
      <c r="BV172" s="473">
        <v>45239.041666666664</v>
      </c>
      <c r="BW172" s="473">
        <v>45239.041666666664</v>
      </c>
      <c r="BZ172" s="481">
        <f t="shared" si="93"/>
        <v>36</v>
      </c>
      <c r="CA172" s="481">
        <f t="shared" si="94"/>
        <v>3.3333333333721384</v>
      </c>
      <c r="CB172" s="481">
        <f t="shared" si="95"/>
        <v>41.000000000058208</v>
      </c>
      <c r="CC172" s="481">
        <f t="shared" si="101"/>
        <v>77.000001388834789</v>
      </c>
      <c r="CD172" s="482">
        <f t="shared" si="96"/>
        <v>2.8333333333139308</v>
      </c>
      <c r="CE172" s="482">
        <f t="shared" si="97"/>
        <v>0</v>
      </c>
      <c r="CF172" s="483">
        <f t="shared" si="98"/>
        <v>6.6736111689824611</v>
      </c>
      <c r="CG172" s="483">
        <f t="shared" si="99"/>
        <v>12.28125</v>
      </c>
      <c r="CH172" s="484">
        <f t="shared" si="100"/>
        <v>0.54339836490442428</v>
      </c>
    </row>
    <row r="173" spans="1:86" s="475" customFormat="1">
      <c r="A173" s="474">
        <f t="shared" ref="A173:A198" si="103">BJ173</f>
        <v>45233.3125</v>
      </c>
      <c r="B173" s="475" t="s">
        <v>228</v>
      </c>
      <c r="C173" s="475" t="s">
        <v>229</v>
      </c>
      <c r="D173" s="475" t="s">
        <v>215</v>
      </c>
      <c r="E173" s="667" t="s">
        <v>1052</v>
      </c>
      <c r="F173" s="475" t="s">
        <v>3378</v>
      </c>
      <c r="G173" s="472">
        <v>45232.291666666664</v>
      </c>
      <c r="H173" s="472">
        <v>45232.291666666664</v>
      </c>
      <c r="I173" s="667" t="s">
        <v>490</v>
      </c>
      <c r="J173" s="475" t="s">
        <v>192</v>
      </c>
      <c r="K173" s="475" t="s">
        <v>192</v>
      </c>
      <c r="L173" s="475" t="s">
        <v>3664</v>
      </c>
      <c r="M173" s="530"/>
      <c r="N173" s="475" t="s">
        <v>721</v>
      </c>
      <c r="O173" s="475" t="s">
        <v>1349</v>
      </c>
      <c r="P173" s="667" t="s">
        <v>1968</v>
      </c>
      <c r="Q173" s="477">
        <f>3136*2.4</f>
        <v>7526.4</v>
      </c>
      <c r="R173" s="477">
        <f>7550+100</f>
        <v>7650</v>
      </c>
      <c r="S173" s="477">
        <f>3960.803</f>
        <v>3960.8029999999999</v>
      </c>
      <c r="T173" s="667"/>
      <c r="U173" s="726">
        <f>S173*0.8</f>
        <v>3168.6424000000002</v>
      </c>
      <c r="V173" s="726">
        <f>S173*0.2</f>
        <v>792.16060000000004</v>
      </c>
      <c r="W173" s="581"/>
      <c r="X173" s="581"/>
      <c r="Y173" s="581"/>
      <c r="Z173" s="581"/>
      <c r="AA173" s="581"/>
      <c r="AB173" s="667"/>
      <c r="AC173" s="577"/>
      <c r="AD173" s="577"/>
      <c r="BD173" s="473">
        <f t="shared" si="90"/>
        <v>45226.760416666664</v>
      </c>
      <c r="BE173" s="473">
        <f t="shared" si="91"/>
        <v>45240.201388888891</v>
      </c>
      <c r="BF173" s="479">
        <f t="shared" si="92"/>
        <v>13.440972222226264</v>
      </c>
      <c r="BG173" s="473">
        <v>45226.760416666664</v>
      </c>
      <c r="BH173" s="473">
        <v>45228.75</v>
      </c>
      <c r="BI173" s="473">
        <v>45230.25</v>
      </c>
      <c r="BJ173" s="473">
        <v>45233.3125</v>
      </c>
      <c r="BK173" s="473">
        <v>45233.451388888891</v>
      </c>
      <c r="BL173" s="473">
        <v>45233.454861111109</v>
      </c>
      <c r="BM173" s="473">
        <v>45233.454861111109</v>
      </c>
      <c r="BN173" s="473">
        <f t="shared" si="102"/>
        <v>45235.163194444445</v>
      </c>
      <c r="BO173" s="473">
        <v>45235.25</v>
      </c>
      <c r="BP173" s="473">
        <v>45235.416666608799</v>
      </c>
      <c r="BQ173" s="473">
        <v>45235.284722222219</v>
      </c>
      <c r="BR173" s="473">
        <v>45239.041666666664</v>
      </c>
      <c r="BS173" s="473">
        <v>45239.743055555555</v>
      </c>
      <c r="BT173" s="473">
        <v>45239.902777777781</v>
      </c>
      <c r="BU173" s="473">
        <v>45239.923611111109</v>
      </c>
      <c r="BV173" s="473">
        <v>45239.923611111109</v>
      </c>
      <c r="BW173" s="473">
        <v>45240.201388888891</v>
      </c>
      <c r="BZ173" s="481">
        <f t="shared" si="93"/>
        <v>36</v>
      </c>
      <c r="CA173" s="481">
        <f t="shared" si="94"/>
        <v>3.3333333333721384</v>
      </c>
      <c r="CB173" s="481">
        <f t="shared" si="95"/>
        <v>41.000000000058208</v>
      </c>
      <c r="CC173" s="481">
        <f t="shared" si="101"/>
        <v>87.000001388776582</v>
      </c>
      <c r="CD173" s="482">
        <f t="shared" si="96"/>
        <v>3.8333333334303461</v>
      </c>
      <c r="CE173" s="482">
        <f t="shared" si="97"/>
        <v>6.6666666667442769</v>
      </c>
      <c r="CF173" s="483">
        <f t="shared" si="98"/>
        <v>7.4097222800992313</v>
      </c>
      <c r="CG173" s="483">
        <f t="shared" si="99"/>
        <v>13.440972222226264</v>
      </c>
      <c r="CH173" s="484">
        <f t="shared" si="100"/>
        <v>0.55127874364968665</v>
      </c>
    </row>
    <row r="174" spans="1:86" s="475" customFormat="1">
      <c r="A174" s="474">
        <f t="shared" si="103"/>
        <v>45233.475694444445</v>
      </c>
      <c r="B174" s="475" t="s">
        <v>228</v>
      </c>
      <c r="C174" s="475" t="s">
        <v>229</v>
      </c>
      <c r="D174" s="475" t="s">
        <v>197</v>
      </c>
      <c r="E174" s="667" t="s">
        <v>230</v>
      </c>
      <c r="F174" s="475" t="s">
        <v>3474</v>
      </c>
      <c r="G174" s="472">
        <v>45226.041666666664</v>
      </c>
      <c r="H174" s="472">
        <v>45226.05</v>
      </c>
      <c r="I174" s="667" t="s">
        <v>490</v>
      </c>
      <c r="J174" s="475" t="s">
        <v>192</v>
      </c>
      <c r="K174" s="475" t="s">
        <v>192</v>
      </c>
      <c r="L174" s="475" t="s">
        <v>3665</v>
      </c>
      <c r="M174" s="530"/>
      <c r="N174" s="475" t="s">
        <v>1240</v>
      </c>
      <c r="O174" s="475" t="s">
        <v>1241</v>
      </c>
      <c r="P174" s="667" t="s">
        <v>1968</v>
      </c>
      <c r="Q174" s="477">
        <f>3243*2.4</f>
        <v>7783.2</v>
      </c>
      <c r="R174" s="477">
        <f>7800+100</f>
        <v>7900</v>
      </c>
      <c r="S174" s="477">
        <v>7992.2370000000001</v>
      </c>
      <c r="T174" s="667"/>
      <c r="U174" s="580">
        <f>S174*0.8</f>
        <v>6393.7896000000001</v>
      </c>
      <c r="V174" s="580">
        <f>S174*0.2</f>
        <v>1598.4474</v>
      </c>
      <c r="W174" s="401"/>
      <c r="X174" s="581"/>
      <c r="Y174" s="401"/>
      <c r="Z174" s="581"/>
      <c r="AA174" s="581"/>
      <c r="AB174" s="477"/>
      <c r="AC174" s="477"/>
      <c r="AD174" s="401"/>
      <c r="AE174" s="401"/>
      <c r="AF174" s="401"/>
      <c r="AG174" s="401"/>
      <c r="AH174" s="401"/>
      <c r="AI174" s="401"/>
      <c r="AJ174" s="401"/>
      <c r="AK174" s="401"/>
      <c r="AL174" s="401"/>
      <c r="AM174" s="401"/>
      <c r="AN174" s="401"/>
      <c r="AO174" s="401"/>
      <c r="AP174" s="401"/>
      <c r="AQ174" s="401"/>
      <c r="AR174" s="401"/>
      <c r="AS174" s="401"/>
      <c r="AT174" s="401"/>
      <c r="AU174" s="401"/>
      <c r="BD174" s="473">
        <f t="shared" si="90"/>
        <v>45226.798611111109</v>
      </c>
      <c r="BE174" s="473">
        <f t="shared" si="91"/>
        <v>45239.194444444445</v>
      </c>
      <c r="BF174" s="479">
        <f t="shared" si="92"/>
        <v>12.395833333335759</v>
      </c>
      <c r="BG174" s="473">
        <v>45226.798611111109</v>
      </c>
      <c r="BH174" s="473">
        <v>45228.791666666664</v>
      </c>
      <c r="BI174" s="473">
        <v>45230.395833333336</v>
      </c>
      <c r="BJ174" s="473">
        <v>45233.475694444445</v>
      </c>
      <c r="BK174" s="473">
        <v>45233.600694444445</v>
      </c>
      <c r="BL174" s="473">
        <v>45233.607638888891</v>
      </c>
      <c r="BM174" s="473">
        <v>45233.607638888891</v>
      </c>
      <c r="BN174" s="473">
        <f t="shared" si="102"/>
        <v>45235.315972222226</v>
      </c>
      <c r="BO174" s="480">
        <v>45236.541666666664</v>
      </c>
      <c r="BP174" s="480">
        <v>45236.708333333336</v>
      </c>
      <c r="BQ174" s="480">
        <v>45236.597222222219</v>
      </c>
      <c r="BR174" s="473">
        <v>45238.090277777781</v>
      </c>
      <c r="BS174" s="473">
        <v>45238.527777777781</v>
      </c>
      <c r="BT174" s="473">
        <v>45238.8125</v>
      </c>
      <c r="BU174" s="473">
        <v>45238.833333333336</v>
      </c>
      <c r="BV174" s="473">
        <v>45238.833333333336</v>
      </c>
      <c r="BW174" s="473">
        <v>45239.194444444445</v>
      </c>
      <c r="BZ174" s="481">
        <f t="shared" si="93"/>
        <v>38.500000000116415</v>
      </c>
      <c r="CA174" s="481">
        <f t="shared" si="94"/>
        <v>3</v>
      </c>
      <c r="CB174" s="481">
        <f t="shared" si="95"/>
        <v>41.000000000058208</v>
      </c>
      <c r="CC174" s="481">
        <f t="shared" si="101"/>
        <v>33.166666666686069</v>
      </c>
      <c r="CD174" s="482">
        <f t="shared" si="96"/>
        <v>6.8333333332557231</v>
      </c>
      <c r="CE174" s="482">
        <f t="shared" si="97"/>
        <v>8.6666666666278616</v>
      </c>
      <c r="CF174" s="483">
        <f t="shared" si="98"/>
        <v>5.4652777777810115</v>
      </c>
      <c r="CG174" s="483">
        <f t="shared" si="99"/>
        <v>12.395833333335759</v>
      </c>
      <c r="CH174" s="484">
        <f t="shared" si="100"/>
        <v>0.44089635854359199</v>
      </c>
    </row>
    <row r="175" spans="1:86" s="475" customFormat="1">
      <c r="A175" s="474">
        <f t="shared" si="103"/>
        <v>45234.097222222219</v>
      </c>
      <c r="B175" s="475" t="s">
        <v>228</v>
      </c>
      <c r="C175" s="475" t="s">
        <v>229</v>
      </c>
      <c r="D175" s="475" t="s">
        <v>197</v>
      </c>
      <c r="E175" s="667" t="s">
        <v>1052</v>
      </c>
      <c r="F175" s="475" t="s">
        <v>3378</v>
      </c>
      <c r="G175" s="472">
        <v>45232.291666666664</v>
      </c>
      <c r="H175" s="472">
        <v>45232.291666666664</v>
      </c>
      <c r="I175" s="667" t="s">
        <v>490</v>
      </c>
      <c r="J175" s="475" t="s">
        <v>192</v>
      </c>
      <c r="K175" s="475" t="s">
        <v>192</v>
      </c>
      <c r="L175" s="475" t="s">
        <v>3666</v>
      </c>
      <c r="M175" s="530"/>
      <c r="N175" s="475" t="s">
        <v>2404</v>
      </c>
      <c r="O175" s="475" t="s">
        <v>2405</v>
      </c>
      <c r="P175" s="667" t="s">
        <v>494</v>
      </c>
      <c r="Q175" s="477">
        <f>4337*2.4</f>
        <v>10408.799999999999</v>
      </c>
      <c r="R175" s="477">
        <f>10500+100</f>
        <v>10600</v>
      </c>
      <c r="S175" s="477">
        <v>9594.7109999999993</v>
      </c>
      <c r="T175" s="667"/>
      <c r="U175" s="726">
        <f>S175</f>
        <v>9594.7109999999993</v>
      </c>
      <c r="V175" s="581"/>
      <c r="W175" s="581"/>
      <c r="X175" s="581"/>
      <c r="Y175" s="581"/>
      <c r="Z175" s="581"/>
      <c r="AA175" s="581"/>
      <c r="AB175" s="399"/>
      <c r="AC175" s="399"/>
      <c r="BD175" s="473">
        <f t="shared" si="90"/>
        <v>45227.333333333336</v>
      </c>
      <c r="BE175" s="473">
        <f t="shared" si="91"/>
        <v>45239.194444444445</v>
      </c>
      <c r="BF175" s="479">
        <f t="shared" si="92"/>
        <v>11.861111111109494</v>
      </c>
      <c r="BG175" s="473">
        <v>45227.333333333336</v>
      </c>
      <c r="BH175" s="473">
        <v>45228.826388888891</v>
      </c>
      <c r="BI175" s="473">
        <v>45230.333333333336</v>
      </c>
      <c r="BJ175" s="473">
        <v>45234.097222222219</v>
      </c>
      <c r="BK175" s="473">
        <v>45234.397916666669</v>
      </c>
      <c r="BL175" s="473">
        <v>45234.40625</v>
      </c>
      <c r="BM175" s="473">
        <v>45234.40625</v>
      </c>
      <c r="BN175" s="473">
        <f t="shared" si="102"/>
        <v>45236.114583333336</v>
      </c>
      <c r="BO175" s="480">
        <v>45236.541666666664</v>
      </c>
      <c r="BP175" s="480">
        <v>45236.708333333336</v>
      </c>
      <c r="BQ175" s="480">
        <v>45236.694444444445</v>
      </c>
      <c r="BR175" s="473">
        <v>45237.916666666664</v>
      </c>
      <c r="BS175" s="473">
        <v>45238.652777777781</v>
      </c>
      <c r="BT175" s="473">
        <v>45238.9375</v>
      </c>
      <c r="BU175" s="473">
        <v>45238.972222222219</v>
      </c>
      <c r="BV175" s="473">
        <v>45238.986111111109</v>
      </c>
      <c r="BW175" s="473">
        <v>45239.194444444445</v>
      </c>
      <c r="BZ175" s="481">
        <f t="shared" si="93"/>
        <v>36.166666666686069</v>
      </c>
      <c r="CA175" s="481">
        <f t="shared" si="94"/>
        <v>7.216666666790843</v>
      </c>
      <c r="CB175" s="481">
        <f t="shared" si="95"/>
        <v>41.000000000058208</v>
      </c>
      <c r="CC175" s="481">
        <f t="shared" si="101"/>
        <v>28.999999999883585</v>
      </c>
      <c r="CD175" s="482">
        <f t="shared" si="96"/>
        <v>6.8333333332557231</v>
      </c>
      <c r="CE175" s="482">
        <f t="shared" si="97"/>
        <v>5.0000000000582077</v>
      </c>
      <c r="CF175" s="483">
        <f t="shared" si="98"/>
        <v>5.2173611111138598</v>
      </c>
      <c r="CG175" s="483">
        <f t="shared" si="99"/>
        <v>11.861111111109494</v>
      </c>
      <c r="CH175" s="484">
        <f t="shared" si="100"/>
        <v>0.43987119437968281</v>
      </c>
    </row>
    <row r="176" spans="1:86" s="475" customFormat="1">
      <c r="A176" s="474">
        <f t="shared" si="103"/>
        <v>45234.428472222222</v>
      </c>
      <c r="B176" s="475" t="s">
        <v>228</v>
      </c>
      <c r="C176" s="475" t="s">
        <v>229</v>
      </c>
      <c r="D176" s="475" t="s">
        <v>215</v>
      </c>
      <c r="E176" s="667" t="s">
        <v>1052</v>
      </c>
      <c r="F176" s="475" t="s">
        <v>3378</v>
      </c>
      <c r="G176" s="472">
        <v>45232.291666666664</v>
      </c>
      <c r="H176" s="472">
        <v>45232.291666666664</v>
      </c>
      <c r="I176" s="667" t="s">
        <v>490</v>
      </c>
      <c r="J176" s="475" t="s">
        <v>192</v>
      </c>
      <c r="K176" s="475" t="s">
        <v>192</v>
      </c>
      <c r="L176" s="475" t="s">
        <v>3667</v>
      </c>
      <c r="M176" s="530"/>
      <c r="N176" s="475" t="s">
        <v>390</v>
      </c>
      <c r="O176" s="475" t="s">
        <v>3346</v>
      </c>
      <c r="P176" s="667" t="s">
        <v>494</v>
      </c>
      <c r="Q176" s="477">
        <f>3094*2.4</f>
        <v>7425.5999999999995</v>
      </c>
      <c r="R176" s="477">
        <f>7450+100</f>
        <v>7550</v>
      </c>
      <c r="S176" s="477">
        <v>7400.0389999999998</v>
      </c>
      <c r="T176" s="667"/>
      <c r="U176" s="726">
        <f>S176</f>
        <v>7400.0389999999998</v>
      </c>
      <c r="V176" s="581"/>
      <c r="W176" s="581"/>
      <c r="X176" s="581"/>
      <c r="Y176" s="581"/>
      <c r="Z176" s="581"/>
      <c r="AA176" s="581"/>
      <c r="AB176" s="575"/>
      <c r="AC176" s="667"/>
      <c r="AD176" s="667"/>
      <c r="AE176" s="667"/>
      <c r="AF176" s="667"/>
      <c r="AG176" s="667"/>
      <c r="AH176" s="667"/>
      <c r="AI176" s="667"/>
      <c r="AJ176" s="667"/>
      <c r="AK176" s="667"/>
      <c r="AL176" s="667"/>
      <c r="AM176" s="667"/>
      <c r="AN176" s="667"/>
      <c r="AO176" s="667"/>
      <c r="AP176" s="667"/>
      <c r="AQ176" s="667"/>
      <c r="AR176" s="667"/>
      <c r="AS176" s="667"/>
      <c r="AT176" s="667"/>
      <c r="AU176" s="667"/>
      <c r="AV176" s="667"/>
      <c r="AW176" s="667"/>
      <c r="AX176" s="667"/>
      <c r="AY176" s="667"/>
      <c r="AZ176" s="667"/>
      <c r="BA176" s="667"/>
      <c r="BB176" s="667"/>
      <c r="BC176" s="667"/>
      <c r="BD176" s="473">
        <f t="shared" si="90"/>
        <v>45227.909722222219</v>
      </c>
      <c r="BE176" s="473">
        <f t="shared" si="91"/>
        <v>45238.9375</v>
      </c>
      <c r="BF176" s="479">
        <f t="shared" si="92"/>
        <v>11.027777777781012</v>
      </c>
      <c r="BG176" s="473">
        <v>45227.909722222219</v>
      </c>
      <c r="BH176" s="473">
        <v>45229.760416666664</v>
      </c>
      <c r="BI176" s="473">
        <v>45231.395833333336</v>
      </c>
      <c r="BJ176" s="473">
        <v>45234.428472222222</v>
      </c>
      <c r="BK176" s="473">
        <v>45234.569444444445</v>
      </c>
      <c r="BL176" s="473">
        <v>45234.572916666664</v>
      </c>
      <c r="BM176" s="473">
        <v>45234.572916666664</v>
      </c>
      <c r="BN176" s="473">
        <f t="shared" si="102"/>
        <v>45236.28125</v>
      </c>
      <c r="BO176" s="480">
        <v>45236.541666666664</v>
      </c>
      <c r="BP176" s="480">
        <v>45236.708333333336</v>
      </c>
      <c r="BQ176" s="480">
        <v>45236.572916666664</v>
      </c>
      <c r="BR176" s="473">
        <v>45237.930555555555</v>
      </c>
      <c r="BS176" s="473">
        <v>45238.368055555555</v>
      </c>
      <c r="BT176" s="473">
        <v>45238.583333333336</v>
      </c>
      <c r="BU176" s="473">
        <v>45238.611111111109</v>
      </c>
      <c r="BV176" s="473">
        <v>45238.611111111109</v>
      </c>
      <c r="BW176" s="473">
        <v>45238.9375</v>
      </c>
      <c r="BZ176" s="481">
        <f t="shared" si="93"/>
        <v>39.250000000116415</v>
      </c>
      <c r="CA176" s="481">
        <f t="shared" si="94"/>
        <v>3.3833333333604969</v>
      </c>
      <c r="CB176" s="481">
        <f t="shared" si="95"/>
        <v>41.000000000058208</v>
      </c>
      <c r="CC176" s="481">
        <f t="shared" si="101"/>
        <v>29.333333333255723</v>
      </c>
      <c r="CD176" s="482">
        <f t="shared" si="96"/>
        <v>5.1666666667442769</v>
      </c>
      <c r="CE176" s="482">
        <f t="shared" si="97"/>
        <v>7.8333333333721384</v>
      </c>
      <c r="CF176" s="483">
        <f t="shared" si="98"/>
        <v>5.2486111111211358</v>
      </c>
      <c r="CG176" s="483">
        <f t="shared" si="99"/>
        <v>11.027777777781012</v>
      </c>
      <c r="CH176" s="484">
        <f t="shared" si="100"/>
        <v>0.47594458438364101</v>
      </c>
    </row>
    <row r="177" spans="1:88" s="475" customFormat="1">
      <c r="A177" s="474">
        <f t="shared" si="103"/>
        <v>45234.59375</v>
      </c>
      <c r="B177" s="475" t="s">
        <v>228</v>
      </c>
      <c r="C177" s="475" t="s">
        <v>229</v>
      </c>
      <c r="D177" s="475" t="s">
        <v>197</v>
      </c>
      <c r="E177" s="667" t="s">
        <v>1052</v>
      </c>
      <c r="F177" s="475" t="s">
        <v>3378</v>
      </c>
      <c r="G177" s="472">
        <v>45232.291666666664</v>
      </c>
      <c r="H177" s="472">
        <v>45232.291666666664</v>
      </c>
      <c r="I177" s="667" t="s">
        <v>490</v>
      </c>
      <c r="J177" s="475" t="s">
        <v>192</v>
      </c>
      <c r="K177" s="475" t="s">
        <v>192</v>
      </c>
      <c r="L177" s="475" t="s">
        <v>3668</v>
      </c>
      <c r="M177" s="530"/>
      <c r="N177" s="475" t="s">
        <v>2277</v>
      </c>
      <c r="O177" s="475" t="s">
        <v>2278</v>
      </c>
      <c r="P177" s="667" t="s">
        <v>494</v>
      </c>
      <c r="Q177" s="477">
        <f>3099 *2.4</f>
        <v>7437.5999999999995</v>
      </c>
      <c r="R177" s="477">
        <f>7500+100</f>
        <v>7600</v>
      </c>
      <c r="S177" s="477">
        <v>7513.0950000000003</v>
      </c>
      <c r="T177" s="667"/>
      <c r="U177" s="726">
        <f>S177</f>
        <v>7513.0950000000003</v>
      </c>
      <c r="V177" s="581"/>
      <c r="W177" s="581"/>
      <c r="X177" s="581"/>
      <c r="Y177" s="581"/>
      <c r="Z177" s="581"/>
      <c r="AA177" s="581"/>
      <c r="AB177" s="667"/>
      <c r="AC177" s="667"/>
      <c r="AD177" s="667"/>
      <c r="AE177" s="667"/>
      <c r="AF177" s="667"/>
      <c r="AG177" s="667"/>
      <c r="AH177" s="667"/>
      <c r="AI177" s="667"/>
      <c r="AJ177" s="667"/>
      <c r="AK177" s="667"/>
      <c r="AL177" s="667"/>
      <c r="AM177" s="667"/>
      <c r="AN177" s="667"/>
      <c r="AO177" s="667"/>
      <c r="AP177" s="667"/>
      <c r="AQ177" s="667"/>
      <c r="AR177" s="667"/>
      <c r="AS177" s="667"/>
      <c r="AT177" s="667"/>
      <c r="AU177" s="667"/>
      <c r="AV177" s="667"/>
      <c r="AW177" s="667"/>
      <c r="AX177" s="667"/>
      <c r="AY177" s="667"/>
      <c r="AZ177" s="667"/>
      <c r="BA177" s="667"/>
      <c r="BB177" s="667"/>
      <c r="BC177" s="667"/>
      <c r="BD177" s="473">
        <f t="shared" si="90"/>
        <v>45228.166666666664</v>
      </c>
      <c r="BE177" s="473">
        <f t="shared" si="91"/>
        <v>45239.75</v>
      </c>
      <c r="BF177" s="479">
        <f t="shared" si="92"/>
        <v>11.583333333335759</v>
      </c>
      <c r="BG177" s="473">
        <v>45228.166666666664</v>
      </c>
      <c r="BH177" s="473">
        <v>45229.746527777781</v>
      </c>
      <c r="BI177" s="473">
        <v>45231.40625</v>
      </c>
      <c r="BJ177" s="473">
        <v>45234.59375</v>
      </c>
      <c r="BK177" s="473">
        <v>45234.746527777781</v>
      </c>
      <c r="BL177" s="473">
        <v>45234.756944444445</v>
      </c>
      <c r="BM177" s="473">
        <v>45235.392361111109</v>
      </c>
      <c r="BN177" s="473">
        <f t="shared" si="102"/>
        <v>45237.100694444445</v>
      </c>
      <c r="BO177" s="473">
        <v>45237.541666608799</v>
      </c>
      <c r="BP177" s="473">
        <v>45237.708333333336</v>
      </c>
      <c r="BQ177" s="473">
        <v>45237.618055555555</v>
      </c>
      <c r="BR177" s="473">
        <v>45239.006944444445</v>
      </c>
      <c r="BS177" s="473">
        <v>45239.180555555555</v>
      </c>
      <c r="BT177" s="473">
        <v>45239.409722222219</v>
      </c>
      <c r="BU177" s="473">
        <v>45239.444444444445</v>
      </c>
      <c r="BV177" s="473">
        <v>45239.444444444445</v>
      </c>
      <c r="BW177" s="473">
        <v>45239.75</v>
      </c>
      <c r="BZ177" s="481">
        <f t="shared" si="93"/>
        <v>39.833333333255723</v>
      </c>
      <c r="CA177" s="481">
        <f t="shared" si="94"/>
        <v>3.6666666667442769</v>
      </c>
      <c r="CB177" s="481">
        <f t="shared" si="95"/>
        <v>41.000000000058208</v>
      </c>
      <c r="CC177" s="481">
        <f t="shared" si="101"/>
        <v>31.166666666627862</v>
      </c>
      <c r="CD177" s="482">
        <f t="shared" si="96"/>
        <v>5.4999999999417923</v>
      </c>
      <c r="CE177" s="482">
        <f t="shared" si="97"/>
        <v>7.3333333333139308</v>
      </c>
      <c r="CF177" s="483">
        <f t="shared" si="98"/>
        <v>5.3541666666642413</v>
      </c>
      <c r="CG177" s="483">
        <f t="shared" si="99"/>
        <v>11.583333333335759</v>
      </c>
      <c r="CH177" s="484">
        <f t="shared" si="100"/>
        <v>0.46223021582703194</v>
      </c>
    </row>
    <row r="178" spans="1:88" s="475" customFormat="1">
      <c r="A178" s="474">
        <f t="shared" si="103"/>
        <v>45234.819444444445</v>
      </c>
      <c r="B178" s="475" t="s">
        <v>228</v>
      </c>
      <c r="C178" s="475" t="s">
        <v>229</v>
      </c>
      <c r="D178" s="475" t="s">
        <v>197</v>
      </c>
      <c r="E178" s="667" t="s">
        <v>1052</v>
      </c>
      <c r="F178" s="475" t="s">
        <v>3378</v>
      </c>
      <c r="G178" s="472">
        <v>45232.291666666664</v>
      </c>
      <c r="H178" s="472">
        <v>45232.291666666664</v>
      </c>
      <c r="I178" s="667" t="s">
        <v>490</v>
      </c>
      <c r="J178" s="475" t="s">
        <v>192</v>
      </c>
      <c r="K178" s="475" t="s">
        <v>192</v>
      </c>
      <c r="L178" s="475" t="s">
        <v>3669</v>
      </c>
      <c r="M178" s="530"/>
      <c r="N178" s="475" t="s">
        <v>2207</v>
      </c>
      <c r="O178" s="475" t="s">
        <v>2208</v>
      </c>
      <c r="P178" s="667" t="s">
        <v>494</v>
      </c>
      <c r="Q178" s="477">
        <f>3031*2.4</f>
        <v>7274.4</v>
      </c>
      <c r="R178" s="477">
        <f>7300+100</f>
        <v>7400</v>
      </c>
      <c r="S178" s="477">
        <v>7332.8919999999998</v>
      </c>
      <c r="T178" s="399"/>
      <c r="U178" s="726">
        <f>S178</f>
        <v>7332.8919999999998</v>
      </c>
      <c r="V178" s="581"/>
      <c r="W178" s="581"/>
      <c r="X178" s="581"/>
      <c r="Y178" s="581"/>
      <c r="Z178" s="581"/>
      <c r="AA178" s="581"/>
      <c r="AB178" s="581"/>
      <c r="AC178" s="577"/>
      <c r="AD178" s="577"/>
      <c r="BD178" s="473">
        <f t="shared" si="90"/>
        <v>45227.961805555555</v>
      </c>
      <c r="BE178" s="473">
        <f t="shared" si="91"/>
        <v>45239.9375</v>
      </c>
      <c r="BF178" s="479">
        <f t="shared" si="92"/>
        <v>11.975694444445253</v>
      </c>
      <c r="BG178" s="473">
        <v>45227.961805555555</v>
      </c>
      <c r="BH178" s="473">
        <v>45229.824305555558</v>
      </c>
      <c r="BI178" s="473">
        <v>45231.458333333336</v>
      </c>
      <c r="BJ178" s="473">
        <v>45234.819444444445</v>
      </c>
      <c r="BK178" s="473">
        <v>45235.006944444445</v>
      </c>
      <c r="BL178" s="473">
        <v>45235.013888888891</v>
      </c>
      <c r="BM178" s="473">
        <v>45235.482638888891</v>
      </c>
      <c r="BN178" s="473">
        <f t="shared" si="102"/>
        <v>45237.190972222226</v>
      </c>
      <c r="BO178" s="473">
        <v>45237.541666608799</v>
      </c>
      <c r="BP178" s="473">
        <v>45237.708333333336</v>
      </c>
      <c r="BQ178" s="473">
        <v>45237.670138888891</v>
      </c>
      <c r="BR178" s="473">
        <v>45239.020833333336</v>
      </c>
      <c r="BS178" s="473">
        <v>45239.482638888891</v>
      </c>
      <c r="BT178" s="473">
        <v>45239.694444444445</v>
      </c>
      <c r="BU178" s="473">
        <v>45239.722222222219</v>
      </c>
      <c r="BV178" s="473">
        <v>45239.753472222219</v>
      </c>
      <c r="BW178" s="473">
        <v>45239.9375</v>
      </c>
      <c r="BZ178" s="481">
        <f t="shared" si="93"/>
        <v>39.216666666674428</v>
      </c>
      <c r="CA178" s="481">
        <f t="shared" si="94"/>
        <v>4.5</v>
      </c>
      <c r="CB178" s="481">
        <f t="shared" si="95"/>
        <v>41.000000000058208</v>
      </c>
      <c r="CC178" s="481">
        <f t="shared" si="101"/>
        <v>31.5</v>
      </c>
      <c r="CD178" s="482">
        <f t="shared" si="96"/>
        <v>5.0833333333139308</v>
      </c>
      <c r="CE178" s="482">
        <f t="shared" si="97"/>
        <v>4.4166666667442769</v>
      </c>
      <c r="CF178" s="483">
        <f t="shared" si="98"/>
        <v>5.2381944444496185</v>
      </c>
      <c r="CG178" s="483">
        <f t="shared" si="99"/>
        <v>11.975694444445253</v>
      </c>
      <c r="CH178" s="484">
        <f t="shared" si="100"/>
        <v>0.43740214554983714</v>
      </c>
    </row>
    <row r="179" spans="1:88" s="475" customFormat="1">
      <c r="A179" s="474">
        <f t="shared" si="103"/>
        <v>45235.034722222219</v>
      </c>
      <c r="B179" s="475" t="s">
        <v>228</v>
      </c>
      <c r="C179" s="475" t="s">
        <v>229</v>
      </c>
      <c r="D179" s="475" t="s">
        <v>197</v>
      </c>
      <c r="E179" s="667" t="s">
        <v>3144</v>
      </c>
      <c r="F179" s="475" t="s">
        <v>3378</v>
      </c>
      <c r="G179" s="472">
        <v>45241.104166666664</v>
      </c>
      <c r="H179" s="472">
        <v>45241.162499999999</v>
      </c>
      <c r="I179" s="667" t="s">
        <v>497</v>
      </c>
      <c r="J179" s="475" t="s">
        <v>192</v>
      </c>
      <c r="K179" s="475" t="s">
        <v>192</v>
      </c>
      <c r="L179" s="475" t="s">
        <v>3670</v>
      </c>
      <c r="M179" s="530"/>
      <c r="N179" s="475" t="s">
        <v>334</v>
      </c>
      <c r="O179" s="475" t="s">
        <v>335</v>
      </c>
      <c r="P179" s="667" t="s">
        <v>1968</v>
      </c>
      <c r="Q179" s="477">
        <f>3242 *2.4</f>
        <v>7780.7999999999993</v>
      </c>
      <c r="R179" s="477">
        <f>7800+100</f>
        <v>7900</v>
      </c>
      <c r="S179" s="477">
        <v>5871.8829999999998</v>
      </c>
      <c r="T179" s="667"/>
      <c r="U179" s="726">
        <f>S179*0.8</f>
        <v>4697.5064000000002</v>
      </c>
      <c r="V179" s="726">
        <f>S179*0.2</f>
        <v>1174.3766000000001</v>
      </c>
      <c r="W179" s="581"/>
      <c r="X179" s="581"/>
      <c r="Y179" s="581"/>
      <c r="Z179" s="581"/>
      <c r="AA179" s="581"/>
      <c r="AB179" s="667"/>
      <c r="AC179" s="667"/>
      <c r="AD179" s="667"/>
      <c r="AE179" s="667"/>
      <c r="AF179" s="667"/>
      <c r="AG179" s="667"/>
      <c r="AH179" s="667"/>
      <c r="AI179" s="667"/>
      <c r="AJ179" s="667"/>
      <c r="AK179" s="667"/>
      <c r="AL179" s="667"/>
      <c r="AM179" s="667"/>
      <c r="AN179" s="667"/>
      <c r="AO179" s="667"/>
      <c r="AP179" s="667"/>
      <c r="AQ179" s="667"/>
      <c r="AR179" s="667"/>
      <c r="AS179" s="667"/>
      <c r="AT179" s="667"/>
      <c r="AU179" s="667"/>
      <c r="AV179" s="667"/>
      <c r="AW179" s="667"/>
      <c r="AX179" s="667"/>
      <c r="AY179" s="667"/>
      <c r="AZ179" s="667"/>
      <c r="BA179" s="667"/>
      <c r="BB179" s="667"/>
      <c r="BC179" s="667"/>
      <c r="BD179" s="473">
        <f t="shared" si="90"/>
        <v>45228.458333333336</v>
      </c>
      <c r="BE179" s="473">
        <f t="shared" si="91"/>
        <v>45245.541666666664</v>
      </c>
      <c r="BF179" s="479">
        <f t="shared" si="92"/>
        <v>17.083333333328483</v>
      </c>
      <c r="BG179" s="473">
        <v>45228.458333333336</v>
      </c>
      <c r="BH179" s="473">
        <v>45230.534722222219</v>
      </c>
      <c r="BI179" s="473">
        <v>45233.354166666664</v>
      </c>
      <c r="BJ179" s="473">
        <v>45235.034722222219</v>
      </c>
      <c r="BK179" s="473">
        <v>45235.204861111109</v>
      </c>
      <c r="BL179" s="473">
        <v>45235.21875</v>
      </c>
      <c r="BM179" s="473">
        <v>45235.833333333336</v>
      </c>
      <c r="BN179" s="473">
        <f t="shared" si="102"/>
        <v>45237.541666666672</v>
      </c>
      <c r="BO179" s="473">
        <v>45237.541666608799</v>
      </c>
      <c r="BP179" s="473">
        <v>45237.708333333336</v>
      </c>
      <c r="BQ179" s="473">
        <v>45237.548611111109</v>
      </c>
      <c r="BR179" s="473">
        <v>45243.708333333336</v>
      </c>
      <c r="BS179" s="473">
        <v>45244.21875</v>
      </c>
      <c r="BT179" s="473">
        <v>45244.434027777781</v>
      </c>
      <c r="BU179" s="473">
        <v>45244.451388888891</v>
      </c>
      <c r="BV179" s="473">
        <v>45244.878472222219</v>
      </c>
      <c r="BW179" s="473">
        <v>45245.541666666664</v>
      </c>
      <c r="BZ179" s="481">
        <f t="shared" si="93"/>
        <v>67.666666666686069</v>
      </c>
      <c r="CA179" s="481">
        <f t="shared" si="94"/>
        <v>4.0833333333721384</v>
      </c>
      <c r="CB179" s="481">
        <f t="shared" si="95"/>
        <v>41.000000000058208</v>
      </c>
      <c r="CC179" s="481">
        <f t="shared" si="101"/>
        <v>144</v>
      </c>
      <c r="CD179" s="482">
        <f t="shared" si="96"/>
        <v>5.1666666667442769</v>
      </c>
      <c r="CE179" s="482">
        <f t="shared" si="97"/>
        <v>15.916666666686069</v>
      </c>
      <c r="CF179" s="483">
        <f t="shared" si="98"/>
        <v>11.576388888897782</v>
      </c>
      <c r="CG179" s="483">
        <f t="shared" si="99"/>
        <v>17.083333333328483</v>
      </c>
      <c r="CH179" s="484">
        <f t="shared" si="100"/>
        <v>0.67764227642347719</v>
      </c>
    </row>
    <row r="180" spans="1:88" s="475" customFormat="1">
      <c r="A180" s="474">
        <f t="shared" si="103"/>
        <v>45235.034722222219</v>
      </c>
      <c r="B180" s="475" t="s">
        <v>228</v>
      </c>
      <c r="C180" s="475" t="s">
        <v>229</v>
      </c>
      <c r="D180" s="475" t="s">
        <v>197</v>
      </c>
      <c r="E180" s="667" t="s">
        <v>1052</v>
      </c>
      <c r="F180" s="475" t="s">
        <v>3378</v>
      </c>
      <c r="G180" s="472">
        <v>45232.291666666664</v>
      </c>
      <c r="H180" s="472">
        <v>45232.291666666664</v>
      </c>
      <c r="I180" s="667" t="s">
        <v>490</v>
      </c>
      <c r="J180" s="475" t="s">
        <v>192</v>
      </c>
      <c r="K180" s="475" t="s">
        <v>192</v>
      </c>
      <c r="L180" s="475" t="s">
        <v>3670</v>
      </c>
      <c r="M180" s="530"/>
      <c r="N180" s="475" t="s">
        <v>334</v>
      </c>
      <c r="O180" s="475" t="s">
        <v>335</v>
      </c>
      <c r="P180" s="667" t="s">
        <v>1968</v>
      </c>
      <c r="Q180" s="477">
        <f>3242 *2.4</f>
        <v>7780.7999999999993</v>
      </c>
      <c r="R180" s="477">
        <f>7800+100</f>
        <v>7900</v>
      </c>
      <c r="S180" s="477">
        <f>7587.352-5889.865</f>
        <v>1697.4870000000001</v>
      </c>
      <c r="T180" s="667"/>
      <c r="U180" s="726">
        <f>S180*0.8</f>
        <v>1357.9896000000001</v>
      </c>
      <c r="V180" s="726">
        <f>S180*0.2</f>
        <v>339.49740000000003</v>
      </c>
      <c r="W180" s="581"/>
      <c r="X180" s="581"/>
      <c r="Y180" s="581"/>
      <c r="Z180" s="581"/>
      <c r="AA180" s="581"/>
      <c r="AB180" s="667"/>
      <c r="AC180" s="667"/>
      <c r="AD180" s="667"/>
      <c r="AE180" s="667"/>
      <c r="AF180" s="667"/>
      <c r="AG180" s="667"/>
      <c r="AH180" s="667"/>
      <c r="AI180" s="667"/>
      <c r="AJ180" s="667"/>
      <c r="AK180" s="667"/>
      <c r="AL180" s="667"/>
      <c r="AM180" s="667"/>
      <c r="AN180" s="667"/>
      <c r="AO180" s="667"/>
      <c r="AP180" s="667"/>
      <c r="AQ180" s="667"/>
      <c r="AR180" s="667"/>
      <c r="AS180" s="667"/>
      <c r="AT180" s="667"/>
      <c r="AU180" s="667"/>
      <c r="AV180" s="667"/>
      <c r="AW180" s="667"/>
      <c r="AX180" s="667"/>
      <c r="AY180" s="667"/>
      <c r="AZ180" s="667"/>
      <c r="BA180" s="667"/>
      <c r="BB180" s="667"/>
      <c r="BC180" s="667"/>
      <c r="BD180" s="473">
        <f t="shared" si="90"/>
        <v>45228.458333333336</v>
      </c>
      <c r="BE180" s="473">
        <f t="shared" si="91"/>
        <v>45240.048611111109</v>
      </c>
      <c r="BF180" s="479">
        <f t="shared" si="92"/>
        <v>11.590277777773736</v>
      </c>
      <c r="BG180" s="473">
        <v>45228.458333333336</v>
      </c>
      <c r="BH180" s="473">
        <v>45230.534722222219</v>
      </c>
      <c r="BI180" s="473">
        <v>45233.354166666664</v>
      </c>
      <c r="BJ180" s="473">
        <v>45235.034722222219</v>
      </c>
      <c r="BK180" s="473">
        <v>45235.204861111109</v>
      </c>
      <c r="BL180" s="473">
        <v>45235.21875</v>
      </c>
      <c r="BM180" s="473">
        <v>45235.833333333336</v>
      </c>
      <c r="BN180" s="473">
        <f t="shared" si="102"/>
        <v>45237.541666666672</v>
      </c>
      <c r="BO180" s="473">
        <v>45237.541666608799</v>
      </c>
      <c r="BP180" s="473">
        <v>45237.708333333336</v>
      </c>
      <c r="BQ180" s="473">
        <v>45237.548611111109</v>
      </c>
      <c r="BR180" s="473">
        <v>45238.791666666664</v>
      </c>
      <c r="BS180" s="473">
        <v>45239.940972222219</v>
      </c>
      <c r="BT180" s="473">
        <v>45240</v>
      </c>
      <c r="BU180" s="473">
        <v>45240.048611111109</v>
      </c>
      <c r="BV180" s="473">
        <v>45240.048611111109</v>
      </c>
      <c r="BW180" s="473">
        <v>45240.048611111109</v>
      </c>
      <c r="BX180" s="475" t="s">
        <v>3671</v>
      </c>
      <c r="BZ180" s="481">
        <f t="shared" si="93"/>
        <v>67.666666666686069</v>
      </c>
      <c r="CA180" s="481">
        <f t="shared" si="94"/>
        <v>4.0833333333721384</v>
      </c>
      <c r="CB180" s="481">
        <f t="shared" si="95"/>
        <v>41.000000000058208</v>
      </c>
      <c r="CC180" s="481">
        <f t="shared" si="101"/>
        <v>25.999999999883585</v>
      </c>
      <c r="CD180" s="482">
        <f t="shared" si="96"/>
        <v>1.4166666667442769</v>
      </c>
      <c r="CE180" s="482">
        <f t="shared" si="97"/>
        <v>0</v>
      </c>
      <c r="CF180" s="483">
        <f t="shared" si="98"/>
        <v>5.8402777777810115</v>
      </c>
      <c r="CG180" s="483">
        <f t="shared" si="99"/>
        <v>11.590277777773736</v>
      </c>
      <c r="CH180" s="484">
        <f t="shared" si="100"/>
        <v>0.50389454763376806</v>
      </c>
    </row>
    <row r="181" spans="1:88" s="475" customFormat="1">
      <c r="A181" s="474">
        <f t="shared" si="103"/>
        <v>45242.888888888891</v>
      </c>
      <c r="B181" s="475" t="s">
        <v>228</v>
      </c>
      <c r="C181" s="475" t="s">
        <v>229</v>
      </c>
      <c r="D181" s="475" t="s">
        <v>197</v>
      </c>
      <c r="E181" s="476" t="s">
        <v>3144</v>
      </c>
      <c r="F181" s="399" t="s">
        <v>3378</v>
      </c>
      <c r="G181" s="472">
        <v>45241.104166666664</v>
      </c>
      <c r="H181" s="472">
        <v>45241.162499999999</v>
      </c>
      <c r="I181" s="475" t="s">
        <v>497</v>
      </c>
      <c r="J181" s="475" t="s">
        <v>192</v>
      </c>
      <c r="K181" s="475" t="s">
        <v>192</v>
      </c>
      <c r="L181" s="475" t="s">
        <v>3672</v>
      </c>
      <c r="M181" s="530"/>
      <c r="N181" s="475" t="s">
        <v>2388</v>
      </c>
      <c r="O181" s="475" t="s">
        <v>289</v>
      </c>
      <c r="P181" s="667" t="s">
        <v>1372</v>
      </c>
      <c r="Q181" s="477">
        <f>3107*2.4</f>
        <v>7456.7999999999993</v>
      </c>
      <c r="R181" s="477">
        <f>7500+100</f>
        <v>7600</v>
      </c>
      <c r="S181" s="477">
        <v>7483.6639999999998</v>
      </c>
      <c r="T181" s="477"/>
      <c r="U181" s="726">
        <f t="shared" ref="U181:U187" si="104">S181*0.75</f>
        <v>5612.7479999999996</v>
      </c>
      <c r="V181" s="726">
        <f t="shared" ref="V181:V187" si="105">S181*0.25</f>
        <v>1870.9159999999999</v>
      </c>
      <c r="W181" s="581"/>
      <c r="X181" s="581"/>
      <c r="Y181" s="581"/>
      <c r="Z181" s="581"/>
      <c r="AA181" s="581"/>
      <c r="AB181" s="581"/>
      <c r="AD181" s="724"/>
      <c r="AE181" s="724"/>
      <c r="AF181" s="724"/>
      <c r="AG181" s="724"/>
      <c r="AH181" s="724"/>
      <c r="BD181" s="473">
        <f t="shared" si="90"/>
        <v>45234.184027777781</v>
      </c>
      <c r="BE181" s="473">
        <f t="shared" si="91"/>
        <v>45249.291666666664</v>
      </c>
      <c r="BF181" s="479">
        <f t="shared" si="92"/>
        <v>15.10763888888323</v>
      </c>
      <c r="BG181" s="473">
        <v>45234.184027777781</v>
      </c>
      <c r="BH181" s="473">
        <v>45237.392361111109</v>
      </c>
      <c r="BI181" s="473">
        <v>45240.5</v>
      </c>
      <c r="BJ181" s="473">
        <v>45242.888888888891</v>
      </c>
      <c r="BK181" s="473">
        <v>45243.038194444445</v>
      </c>
      <c r="BL181" s="473">
        <v>45243.052083333336</v>
      </c>
      <c r="BM181" s="473">
        <v>45243.284722222219</v>
      </c>
      <c r="BN181" s="473">
        <f t="shared" si="102"/>
        <v>45244.993055555555</v>
      </c>
      <c r="BO181" s="480">
        <v>45245.229166608799</v>
      </c>
      <c r="BP181" s="480">
        <v>45245.395833333336</v>
      </c>
      <c r="BQ181" s="480">
        <v>45245.368055555555</v>
      </c>
      <c r="BR181" s="473">
        <v>45246.923611111109</v>
      </c>
      <c r="BS181" s="473">
        <v>45247.048611111109</v>
      </c>
      <c r="BT181" s="473">
        <v>45248.774305555555</v>
      </c>
      <c r="BU181" s="473">
        <v>45248.836805555555</v>
      </c>
      <c r="BV181" s="473">
        <v>45248.875</v>
      </c>
      <c r="BW181" s="473">
        <v>45249.291666666664</v>
      </c>
      <c r="BZ181" s="481">
        <f t="shared" si="93"/>
        <v>74.583333333372138</v>
      </c>
      <c r="CA181" s="481">
        <f t="shared" si="94"/>
        <v>3.5833333333139308</v>
      </c>
      <c r="CB181" s="481">
        <f t="shared" si="95"/>
        <v>41.000000000058208</v>
      </c>
      <c r="CC181" s="481">
        <f t="shared" si="101"/>
        <v>36.666666666569654</v>
      </c>
      <c r="CD181" s="482">
        <f t="shared" si="96"/>
        <v>41.416666666686069</v>
      </c>
      <c r="CE181" s="482">
        <f t="shared" si="97"/>
        <v>9.9999999999417923</v>
      </c>
      <c r="CF181" s="483">
        <f t="shared" si="98"/>
        <v>8.6354166666642413</v>
      </c>
      <c r="CG181" s="483">
        <f t="shared" si="99"/>
        <v>15.10763888888323</v>
      </c>
      <c r="CH181" s="484">
        <f t="shared" si="100"/>
        <v>0.57159273730182325</v>
      </c>
    </row>
    <row r="182" spans="1:88" s="475" customFormat="1">
      <c r="A182" s="474">
        <f t="shared" si="103"/>
        <v>45243.076388888891</v>
      </c>
      <c r="B182" s="475" t="s">
        <v>228</v>
      </c>
      <c r="C182" s="475" t="s">
        <v>229</v>
      </c>
      <c r="D182" s="475" t="s">
        <v>197</v>
      </c>
      <c r="E182" s="476" t="s">
        <v>3144</v>
      </c>
      <c r="F182" s="399" t="s">
        <v>3378</v>
      </c>
      <c r="G182" s="472">
        <v>45241.104166666664</v>
      </c>
      <c r="H182" s="472">
        <v>45241.162499999999</v>
      </c>
      <c r="I182" s="475" t="s">
        <v>497</v>
      </c>
      <c r="J182" s="475" t="s">
        <v>192</v>
      </c>
      <c r="K182" s="475" t="s">
        <v>192</v>
      </c>
      <c r="L182" s="475" t="s">
        <v>3673</v>
      </c>
      <c r="M182" s="530"/>
      <c r="N182" s="475" t="s">
        <v>70</v>
      </c>
      <c r="O182" s="475" t="s">
        <v>1982</v>
      </c>
      <c r="P182" s="667" t="s">
        <v>1372</v>
      </c>
      <c r="Q182" s="477">
        <f>3142*2.4</f>
        <v>7540.7999999999993</v>
      </c>
      <c r="R182" s="477">
        <f>7550+100</f>
        <v>7650</v>
      </c>
      <c r="S182" s="477">
        <v>7558.02</v>
      </c>
      <c r="T182" s="667"/>
      <c r="U182" s="726">
        <f t="shared" si="104"/>
        <v>5668.5150000000003</v>
      </c>
      <c r="V182" s="726">
        <f t="shared" si="105"/>
        <v>1889.5050000000001</v>
      </c>
      <c r="W182" s="581"/>
      <c r="X182" s="581"/>
      <c r="Y182" s="581"/>
      <c r="Z182" s="581"/>
      <c r="AA182" s="581"/>
      <c r="AB182" s="581"/>
      <c r="AC182" s="667"/>
      <c r="AD182" s="667"/>
      <c r="AE182" s="667"/>
      <c r="AF182" s="667"/>
      <c r="AG182" s="667"/>
      <c r="AH182" s="667"/>
      <c r="AI182" s="667"/>
      <c r="AJ182" s="667"/>
      <c r="AK182" s="667"/>
      <c r="AL182" s="667"/>
      <c r="AM182" s="667"/>
      <c r="AN182" s="667"/>
      <c r="AO182" s="667"/>
      <c r="AP182" s="667"/>
      <c r="AQ182" s="667"/>
      <c r="AR182" s="667"/>
      <c r="AS182" s="667"/>
      <c r="AT182" s="667"/>
      <c r="AU182" s="667"/>
      <c r="AV182" s="667"/>
      <c r="AW182" s="667"/>
      <c r="BD182" s="473">
        <f t="shared" si="90"/>
        <v>45234.354166666664</v>
      </c>
      <c r="BE182" s="473">
        <f t="shared" si="91"/>
        <v>45247.520833333336</v>
      </c>
      <c r="BF182" s="479">
        <f t="shared" si="92"/>
        <v>13.166666666671517</v>
      </c>
      <c r="BG182" s="473">
        <v>45234.354166666664</v>
      </c>
      <c r="BH182" s="473">
        <v>45237.875</v>
      </c>
      <c r="BI182" s="473">
        <v>45239.395833333336</v>
      </c>
      <c r="BJ182" s="473">
        <v>45243.076388888891</v>
      </c>
      <c r="BK182" s="473">
        <v>45243.229166666664</v>
      </c>
      <c r="BL182" s="473">
        <v>45243.232638888891</v>
      </c>
      <c r="BM182" s="473">
        <v>45243.25</v>
      </c>
      <c r="BN182" s="473">
        <f t="shared" si="102"/>
        <v>45244.958333333336</v>
      </c>
      <c r="BO182" s="480">
        <v>45245.229166666664</v>
      </c>
      <c r="BP182" s="480">
        <v>45245.395833333336</v>
      </c>
      <c r="BQ182" s="480">
        <v>45245.309027777781</v>
      </c>
      <c r="BR182" s="473">
        <v>45247.010416666664</v>
      </c>
      <c r="BS182" s="473">
        <v>45247.336805555555</v>
      </c>
      <c r="BT182" s="473">
        <v>45247.520833333336</v>
      </c>
      <c r="BU182" s="473">
        <v>45247.520833333336</v>
      </c>
      <c r="BV182" s="473">
        <v>45247.520833333336</v>
      </c>
      <c r="BW182" s="473">
        <v>45247.520833333336</v>
      </c>
      <c r="BX182" s="475" t="s">
        <v>3674</v>
      </c>
      <c r="BZ182" s="481">
        <f t="shared" si="93"/>
        <v>36.500000000058208</v>
      </c>
      <c r="CA182" s="481">
        <f t="shared" si="94"/>
        <v>3.6666666665696539</v>
      </c>
      <c r="CB182" s="481">
        <f t="shared" si="95"/>
        <v>41.000000000058208</v>
      </c>
      <c r="CC182" s="481">
        <f t="shared" si="101"/>
        <v>38.749999999883585</v>
      </c>
      <c r="CD182" s="482">
        <f t="shared" si="96"/>
        <v>4.4166666667442769</v>
      </c>
      <c r="CE182" s="482">
        <f t="shared" si="97"/>
        <v>0</v>
      </c>
      <c r="CF182" s="483">
        <f t="shared" si="98"/>
        <v>5.1805555555547471</v>
      </c>
      <c r="CG182" s="483">
        <f t="shared" si="99"/>
        <v>13.166666666671517</v>
      </c>
      <c r="CH182" s="484">
        <f t="shared" si="100"/>
        <v>0.39345991561160798</v>
      </c>
    </row>
    <row r="183" spans="1:88" s="475" customFormat="1">
      <c r="A183" s="474">
        <f t="shared" si="103"/>
        <v>45243.253472222219</v>
      </c>
      <c r="B183" s="475" t="s">
        <v>228</v>
      </c>
      <c r="C183" s="475" t="s">
        <v>229</v>
      </c>
      <c r="D183" s="475" t="s">
        <v>197</v>
      </c>
      <c r="E183" s="476" t="s">
        <v>3144</v>
      </c>
      <c r="F183" s="399" t="s">
        <v>3378</v>
      </c>
      <c r="G183" s="472">
        <v>45241.104166666664</v>
      </c>
      <c r="H183" s="472">
        <v>45241.162499999999</v>
      </c>
      <c r="I183" s="475" t="s">
        <v>497</v>
      </c>
      <c r="J183" s="475" t="s">
        <v>192</v>
      </c>
      <c r="K183" s="475" t="s">
        <v>192</v>
      </c>
      <c r="L183" s="475" t="s">
        <v>3675</v>
      </c>
      <c r="M183" s="530"/>
      <c r="N183" s="475" t="s">
        <v>3403</v>
      </c>
      <c r="O183" s="475" t="s">
        <v>255</v>
      </c>
      <c r="P183" s="667" t="s">
        <v>1372</v>
      </c>
      <c r="Q183" s="477">
        <f>3047*2.4</f>
        <v>7312.8</v>
      </c>
      <c r="R183" s="477">
        <f>7400+100</f>
        <v>7500</v>
      </c>
      <c r="S183" s="477">
        <v>7627.6589999999997</v>
      </c>
      <c r="T183" s="667"/>
      <c r="U183" s="726">
        <f t="shared" si="104"/>
        <v>5720.7442499999997</v>
      </c>
      <c r="V183" s="726">
        <f t="shared" si="105"/>
        <v>1906.9147499999999</v>
      </c>
      <c r="W183" s="581"/>
      <c r="X183" s="581"/>
      <c r="Y183" s="581"/>
      <c r="Z183" s="581"/>
      <c r="AA183" s="581"/>
      <c r="AB183" s="581"/>
      <c r="BD183" s="473">
        <f t="shared" si="90"/>
        <v>45232.922222222223</v>
      </c>
      <c r="BE183" s="473">
        <f t="shared" si="91"/>
        <v>45250.531944444447</v>
      </c>
      <c r="BF183" s="479">
        <f t="shared" si="92"/>
        <v>17.609722222223354</v>
      </c>
      <c r="BG183" s="473">
        <v>45232.922222222223</v>
      </c>
      <c r="BH183" s="473">
        <v>45237.375</v>
      </c>
      <c r="BI183" s="473">
        <v>45239.409722222219</v>
      </c>
      <c r="BJ183" s="473">
        <v>45243.253472222219</v>
      </c>
      <c r="BK183" s="473">
        <v>45243.53125</v>
      </c>
      <c r="BL183" s="473">
        <v>45243.538194444445</v>
      </c>
      <c r="BM183" s="473">
        <v>45243.552083333336</v>
      </c>
      <c r="BN183" s="473">
        <f t="shared" si="102"/>
        <v>45245.260416666672</v>
      </c>
      <c r="BO183" s="480">
        <v>45246.229166608799</v>
      </c>
      <c r="BP183" s="480">
        <v>45246.395833333336</v>
      </c>
      <c r="BQ183" s="480">
        <v>45246.402777777781</v>
      </c>
      <c r="BR183" s="473">
        <v>45248.083333333336</v>
      </c>
      <c r="BS183" s="473">
        <v>45248.826388888891</v>
      </c>
      <c r="BT183" s="473">
        <v>45249.128472222219</v>
      </c>
      <c r="BU183" s="473">
        <v>45249.145833333336</v>
      </c>
      <c r="BV183" s="473">
        <v>45249.704861111109</v>
      </c>
      <c r="BW183" s="473">
        <v>45250.531944444447</v>
      </c>
      <c r="BZ183" s="481">
        <f t="shared" si="93"/>
        <v>48.833333333255723</v>
      </c>
      <c r="CA183" s="481">
        <f t="shared" si="94"/>
        <v>6.6666666667442769</v>
      </c>
      <c r="CB183" s="481">
        <f t="shared" si="95"/>
        <v>41.000000000058208</v>
      </c>
      <c r="CC183" s="481">
        <f t="shared" si="101"/>
        <v>40.5</v>
      </c>
      <c r="CD183" s="482">
        <f t="shared" si="96"/>
        <v>7.2499999998835847</v>
      </c>
      <c r="CE183" s="482">
        <f t="shared" si="97"/>
        <v>19.850000000093132</v>
      </c>
      <c r="CF183" s="483">
        <f t="shared" si="98"/>
        <v>6.8375000000014552</v>
      </c>
      <c r="CG183" s="483">
        <f t="shared" si="99"/>
        <v>17.609722222223354</v>
      </c>
      <c r="CH183" s="484">
        <f t="shared" si="100"/>
        <v>0.38827983279444211</v>
      </c>
    </row>
    <row r="184" spans="1:88" s="475" customFormat="1">
      <c r="A184" s="474">
        <f t="shared" si="103"/>
        <v>45243.555555555555</v>
      </c>
      <c r="B184" s="475" t="s">
        <v>228</v>
      </c>
      <c r="C184" s="475" t="s">
        <v>229</v>
      </c>
      <c r="D184" s="475" t="s">
        <v>197</v>
      </c>
      <c r="E184" s="476" t="s">
        <v>3144</v>
      </c>
      <c r="F184" s="399" t="s">
        <v>3378</v>
      </c>
      <c r="G184" s="472">
        <v>45241.104166666664</v>
      </c>
      <c r="H184" s="472">
        <v>45241.162499999999</v>
      </c>
      <c r="I184" s="475" t="s">
        <v>497</v>
      </c>
      <c r="J184" s="475" t="s">
        <v>192</v>
      </c>
      <c r="K184" s="475" t="s">
        <v>192</v>
      </c>
      <c r="L184" s="475" t="s">
        <v>3676</v>
      </c>
      <c r="M184" s="530"/>
      <c r="N184" s="475" t="s">
        <v>473</v>
      </c>
      <c r="O184" s="475" t="s">
        <v>474</v>
      </c>
      <c r="P184" s="475" t="s">
        <v>1372</v>
      </c>
      <c r="Q184" s="477">
        <f>3136*2.4</f>
        <v>7526.4</v>
      </c>
      <c r="R184" s="477">
        <f>7550+100</f>
        <v>7650</v>
      </c>
      <c r="S184" s="477">
        <f>7544.094-123.867</f>
        <v>7420.2269999999999</v>
      </c>
      <c r="T184" s="399"/>
      <c r="U184" s="726">
        <f t="shared" si="104"/>
        <v>5565.1702500000001</v>
      </c>
      <c r="V184" s="726">
        <f t="shared" si="105"/>
        <v>1855.05675</v>
      </c>
      <c r="W184" s="581"/>
      <c r="X184" s="581"/>
      <c r="Y184" s="581"/>
      <c r="Z184" s="581"/>
      <c r="AA184" s="581"/>
      <c r="AB184" s="581"/>
      <c r="AC184" s="667"/>
      <c r="AD184" s="724"/>
      <c r="AE184" s="724"/>
      <c r="AF184" s="724"/>
      <c r="AG184" s="724"/>
      <c r="AH184" s="724"/>
      <c r="BD184" s="473">
        <f t="shared" si="90"/>
        <v>45234.895833333336</v>
      </c>
      <c r="BE184" s="473">
        <f t="shared" si="91"/>
        <v>45250.354166666664</v>
      </c>
      <c r="BF184" s="479">
        <f t="shared" si="92"/>
        <v>15.458333333328483</v>
      </c>
      <c r="BG184" s="473">
        <v>45234.895833333336</v>
      </c>
      <c r="BH184" s="473">
        <v>45237.8125</v>
      </c>
      <c r="BI184" s="473">
        <v>45239.5</v>
      </c>
      <c r="BJ184" s="473">
        <v>45243.555555555555</v>
      </c>
      <c r="BK184" s="473">
        <v>45243.684027777781</v>
      </c>
      <c r="BL184" s="473">
        <v>45243.6875</v>
      </c>
      <c r="BM184" s="473">
        <v>45243.690972222219</v>
      </c>
      <c r="BN184" s="473">
        <f t="shared" si="102"/>
        <v>45245.399305555555</v>
      </c>
      <c r="BO184" s="480">
        <v>45246.229166608799</v>
      </c>
      <c r="BP184" s="480">
        <v>45246.395833333336</v>
      </c>
      <c r="BQ184" s="480">
        <v>45246.305555555555</v>
      </c>
      <c r="BR184" s="473">
        <v>45248.041666666664</v>
      </c>
      <c r="BS184" s="473">
        <v>45248.888888888891</v>
      </c>
      <c r="BT184" s="473">
        <v>45249.472222222219</v>
      </c>
      <c r="BU184" s="473">
        <v>45249.524305555555</v>
      </c>
      <c r="BV184" s="473">
        <v>45249.815972222219</v>
      </c>
      <c r="BW184" s="473">
        <v>45250.354166666664</v>
      </c>
      <c r="BZ184" s="481">
        <f t="shared" si="93"/>
        <v>40.5</v>
      </c>
      <c r="CA184" s="481">
        <f t="shared" si="94"/>
        <v>3.0833333334303461</v>
      </c>
      <c r="CB184" s="481">
        <f t="shared" si="95"/>
        <v>41.000000000058208</v>
      </c>
      <c r="CC184" s="481">
        <f t="shared" si="101"/>
        <v>39.499999999883585</v>
      </c>
      <c r="CD184" s="482">
        <f t="shared" si="96"/>
        <v>13.999999999883585</v>
      </c>
      <c r="CE184" s="482">
        <f t="shared" si="97"/>
        <v>12.916666666686069</v>
      </c>
      <c r="CF184" s="483">
        <f t="shared" si="98"/>
        <v>6.2916666666642413</v>
      </c>
      <c r="CG184" s="483">
        <f t="shared" si="99"/>
        <v>15.458333333328483</v>
      </c>
      <c r="CH184" s="484">
        <f t="shared" si="100"/>
        <v>0.40700808625334012</v>
      </c>
    </row>
    <row r="185" spans="1:88" s="475" customFormat="1">
      <c r="A185" s="192">
        <f t="shared" si="103"/>
        <v>45243.704861111109</v>
      </c>
      <c r="B185" s="126" t="s">
        <v>228</v>
      </c>
      <c r="C185" s="126" t="s">
        <v>229</v>
      </c>
      <c r="D185" s="126" t="s">
        <v>215</v>
      </c>
      <c r="E185" s="65" t="s">
        <v>3144</v>
      </c>
      <c r="F185" s="662" t="s">
        <v>3378</v>
      </c>
      <c r="G185" s="316">
        <v>45241.104166666664</v>
      </c>
      <c r="H185" s="316">
        <v>45241.162499999999</v>
      </c>
      <c r="I185" s="126" t="s">
        <v>497</v>
      </c>
      <c r="J185" s="475" t="s">
        <v>192</v>
      </c>
      <c r="K185" s="475" t="s">
        <v>192</v>
      </c>
      <c r="L185" s="126" t="s">
        <v>3677</v>
      </c>
      <c r="M185" s="530"/>
      <c r="N185" s="126" t="s">
        <v>252</v>
      </c>
      <c r="O185" s="126" t="s">
        <v>253</v>
      </c>
      <c r="P185" s="126" t="s">
        <v>1372</v>
      </c>
      <c r="Q185" s="181">
        <f>3107*2.4</f>
        <v>7456.7999999999993</v>
      </c>
      <c r="R185" s="181">
        <f>7500+100</f>
        <v>7600</v>
      </c>
      <c r="S185" s="181">
        <v>7441.3950000000004</v>
      </c>
      <c r="T185" s="662"/>
      <c r="U185" s="878">
        <f t="shared" si="104"/>
        <v>5581.0462500000003</v>
      </c>
      <c r="V185" s="878">
        <f t="shared" si="105"/>
        <v>1860.3487500000001</v>
      </c>
      <c r="W185" s="663"/>
      <c r="X185" s="663"/>
      <c r="Y185" s="663"/>
      <c r="Z185" s="663"/>
      <c r="AA185" s="663"/>
      <c r="AB185" s="663"/>
      <c r="AC185" s="662"/>
      <c r="AD185" s="662"/>
      <c r="AE185" s="662"/>
      <c r="AF185" s="662"/>
      <c r="AG185" s="662"/>
      <c r="AH185" s="662"/>
      <c r="AI185" s="662"/>
      <c r="AJ185" s="662"/>
      <c r="AK185" s="662"/>
      <c r="AL185" s="662"/>
      <c r="AM185" s="662"/>
      <c r="AN185" s="662"/>
      <c r="AO185" s="662"/>
      <c r="AP185" s="662"/>
      <c r="AQ185" s="662"/>
      <c r="AR185" s="662"/>
      <c r="AS185" s="662"/>
      <c r="AT185" s="662"/>
      <c r="AU185" s="662"/>
      <c r="AV185" s="662"/>
      <c r="AW185" s="662"/>
      <c r="AX185" s="126"/>
      <c r="AY185" s="126"/>
      <c r="AZ185" s="126"/>
      <c r="BA185" s="126"/>
      <c r="BB185" s="126"/>
      <c r="BC185" s="126"/>
      <c r="BD185" s="165">
        <f t="shared" si="90"/>
        <v>45235.625</v>
      </c>
      <c r="BE185" s="165">
        <f t="shared" si="91"/>
        <v>45248.416666666664</v>
      </c>
      <c r="BF185" s="137">
        <f t="shared" si="92"/>
        <v>12.791666666664241</v>
      </c>
      <c r="BG185" s="165">
        <v>45235.625</v>
      </c>
      <c r="BH185" s="165">
        <v>45238.340277777781</v>
      </c>
      <c r="BI185" s="165">
        <v>45239.819444444445</v>
      </c>
      <c r="BJ185" s="165">
        <v>45243.704861111109</v>
      </c>
      <c r="BK185" s="165">
        <v>45243.944444444445</v>
      </c>
      <c r="BL185" s="165">
        <v>45243.947916666664</v>
      </c>
      <c r="BM185" s="165">
        <v>45243.947916666664</v>
      </c>
      <c r="BN185" s="165">
        <f t="shared" si="102"/>
        <v>45245.65625</v>
      </c>
      <c r="BO185" s="210">
        <v>45245.229166608799</v>
      </c>
      <c r="BP185" s="210">
        <v>45245.395833333336</v>
      </c>
      <c r="BQ185" s="210">
        <v>45245.434027777781</v>
      </c>
      <c r="BR185" s="165">
        <v>45247.003472222219</v>
      </c>
      <c r="BS185" s="165">
        <v>45247.590277777781</v>
      </c>
      <c r="BT185" s="165">
        <v>45248.020833333336</v>
      </c>
      <c r="BU185" s="165">
        <v>45248.045138888891</v>
      </c>
      <c r="BV185" s="165">
        <v>45248.048611111109</v>
      </c>
      <c r="BW185" s="165">
        <v>45248.416666666664</v>
      </c>
      <c r="BX185" s="126"/>
      <c r="BY185" s="126"/>
      <c r="BZ185" s="136">
        <f t="shared" si="93"/>
        <v>35.499999999941792</v>
      </c>
      <c r="CA185" s="136">
        <f t="shared" si="94"/>
        <v>5.7500000000582077</v>
      </c>
      <c r="CB185" s="136">
        <f t="shared" si="95"/>
        <v>41.000000000058208</v>
      </c>
      <c r="CC185" s="136">
        <f t="shared" si="101"/>
        <v>38.583333333197515</v>
      </c>
      <c r="CD185" s="135">
        <f t="shared" si="96"/>
        <v>10.333333333313931</v>
      </c>
      <c r="CE185" s="135">
        <f t="shared" si="97"/>
        <v>8.8333333333139308</v>
      </c>
      <c r="CF185" s="134">
        <f t="shared" si="98"/>
        <v>5.8333333333284827</v>
      </c>
      <c r="CG185" s="134">
        <f t="shared" si="99"/>
        <v>12.791666666664241</v>
      </c>
      <c r="CH185" s="133">
        <f t="shared" si="100"/>
        <v>0.45602605863162909</v>
      </c>
      <c r="CI185" s="126"/>
      <c r="CJ185" s="126"/>
    </row>
    <row r="186" spans="1:88" s="475" customFormat="1">
      <c r="A186" s="521">
        <f t="shared" si="103"/>
        <v>45243.963888888888</v>
      </c>
      <c r="B186" s="369" t="s">
        <v>228</v>
      </c>
      <c r="C186" s="369" t="s">
        <v>229</v>
      </c>
      <c r="D186" s="369" t="s">
        <v>197</v>
      </c>
      <c r="E186" s="271" t="s">
        <v>3144</v>
      </c>
      <c r="F186" s="649" t="s">
        <v>3378</v>
      </c>
      <c r="G186" s="492">
        <v>45241.104166666664</v>
      </c>
      <c r="H186" s="492">
        <v>45241.162499999999</v>
      </c>
      <c r="I186" s="369" t="s">
        <v>497</v>
      </c>
      <c r="J186" s="369" t="s">
        <v>192</v>
      </c>
      <c r="K186" s="369" t="s">
        <v>192</v>
      </c>
      <c r="L186" s="369" t="s">
        <v>3678</v>
      </c>
      <c r="M186" s="529"/>
      <c r="N186" s="369" t="s">
        <v>298</v>
      </c>
      <c r="O186" s="369" t="s">
        <v>299</v>
      </c>
      <c r="P186" s="369" t="s">
        <v>1372</v>
      </c>
      <c r="Q186" s="520">
        <f>4337*2.4</f>
        <v>10408.799999999999</v>
      </c>
      <c r="R186" s="520">
        <f>10450+100</f>
        <v>10550</v>
      </c>
      <c r="S186" s="520">
        <v>9350.7759999999998</v>
      </c>
      <c r="T186" s="649"/>
      <c r="U186" s="760">
        <f t="shared" si="104"/>
        <v>7013.0820000000003</v>
      </c>
      <c r="V186" s="760">
        <f t="shared" si="105"/>
        <v>2337.694</v>
      </c>
      <c r="W186" s="904"/>
      <c r="X186" s="904"/>
      <c r="Y186" s="904"/>
      <c r="Z186" s="650"/>
      <c r="AA186" s="650"/>
      <c r="AB186" s="904"/>
      <c r="AC186" s="759"/>
      <c r="AD186" s="759"/>
      <c r="AE186" s="759"/>
      <c r="AF186" s="759"/>
      <c r="AG186" s="759"/>
      <c r="AH186" s="759"/>
      <c r="AI186" s="759"/>
      <c r="AJ186" s="369"/>
      <c r="AK186" s="369"/>
      <c r="AL186" s="369"/>
      <c r="AM186" s="369"/>
      <c r="AN186" s="369"/>
      <c r="AO186" s="369"/>
      <c r="AP186" s="369"/>
      <c r="AQ186" s="369"/>
      <c r="AR186" s="369"/>
      <c r="AS186" s="369"/>
      <c r="AT186" s="369"/>
      <c r="AU186" s="369"/>
      <c r="AV186" s="369"/>
      <c r="AW186" s="369"/>
      <c r="AX186" s="369"/>
      <c r="AY186" s="369"/>
      <c r="AZ186" s="369"/>
      <c r="BA186" s="369"/>
      <c r="BB186" s="369"/>
      <c r="BC186" s="369"/>
      <c r="BD186" s="522">
        <f t="shared" si="90"/>
        <v>45235.486111111109</v>
      </c>
      <c r="BE186" s="522">
        <f t="shared" si="91"/>
        <v>45249.236111111109</v>
      </c>
      <c r="BF186" s="523">
        <f t="shared" si="92"/>
        <v>13.75</v>
      </c>
      <c r="BG186" s="522">
        <v>45235.486111111109</v>
      </c>
      <c r="BH186" s="522">
        <v>45238.347222222219</v>
      </c>
      <c r="BI186" s="522">
        <v>45241.013888888891</v>
      </c>
      <c r="BJ186" s="522">
        <v>45243.963888888888</v>
      </c>
      <c r="BK186" s="522">
        <v>45244.15625</v>
      </c>
      <c r="BL186" s="522">
        <v>45244.159722222219</v>
      </c>
      <c r="BM186" s="522">
        <v>45244.291666666664</v>
      </c>
      <c r="BN186" s="522">
        <f t="shared" si="102"/>
        <v>45246</v>
      </c>
      <c r="BO186" s="527">
        <v>45246.229166608799</v>
      </c>
      <c r="BP186" s="527">
        <v>45246.395833333336</v>
      </c>
      <c r="BQ186" s="527">
        <v>45246.28125</v>
      </c>
      <c r="BR186" s="522">
        <v>45247.888888888891</v>
      </c>
      <c r="BS186" s="522">
        <v>45248.135416666664</v>
      </c>
      <c r="BT186" s="522">
        <v>45248.4375</v>
      </c>
      <c r="BU186" s="522">
        <v>45248.486111111109</v>
      </c>
      <c r="BV186" s="522">
        <v>45248.739583333336</v>
      </c>
      <c r="BW186" s="522">
        <v>45249.236111111109</v>
      </c>
      <c r="BX186" s="369"/>
      <c r="BY186" s="369"/>
      <c r="BZ186" s="525">
        <f t="shared" si="93"/>
        <v>64.000000000116415</v>
      </c>
      <c r="CA186" s="525">
        <f t="shared" si="94"/>
        <v>4.6166666666977108</v>
      </c>
      <c r="CB186" s="525">
        <f t="shared" si="95"/>
        <v>41.000000000058208</v>
      </c>
      <c r="CC186" s="525">
        <f t="shared" si="101"/>
        <v>35.833333333313931</v>
      </c>
      <c r="CD186" s="526">
        <f t="shared" si="96"/>
        <v>7.2500000000582077</v>
      </c>
      <c r="CE186" s="526">
        <f t="shared" si="97"/>
        <v>11.916666666569654</v>
      </c>
      <c r="CF186" s="304">
        <f t="shared" si="98"/>
        <v>6.8590277777839219</v>
      </c>
      <c r="CG186" s="304">
        <f t="shared" si="99"/>
        <v>13.75</v>
      </c>
      <c r="CH186" s="305">
        <f t="shared" si="100"/>
        <v>0.49883838383883067</v>
      </c>
      <c r="CI186" s="369"/>
      <c r="CJ186" s="369"/>
    </row>
    <row r="187" spans="1:88" s="475" customFormat="1">
      <c r="A187" s="474">
        <f t="shared" si="103"/>
        <v>45252.590277777781</v>
      </c>
      <c r="B187" s="475" t="s">
        <v>228</v>
      </c>
      <c r="C187" s="475" t="s">
        <v>229</v>
      </c>
      <c r="D187" s="475" t="s">
        <v>197</v>
      </c>
      <c r="E187" s="399" t="s">
        <v>3159</v>
      </c>
      <c r="F187" s="399" t="s">
        <v>3378</v>
      </c>
      <c r="G187" s="472">
        <v>45255.166666666664</v>
      </c>
      <c r="H187" s="472">
        <v>45255.055555555555</v>
      </c>
      <c r="I187" s="399" t="s">
        <v>490</v>
      </c>
      <c r="J187" s="475" t="s">
        <v>192</v>
      </c>
      <c r="K187" s="475" t="s">
        <v>192</v>
      </c>
      <c r="L187" s="399" t="s">
        <v>3679</v>
      </c>
      <c r="M187" s="530"/>
      <c r="N187" s="475" t="s">
        <v>346</v>
      </c>
      <c r="O187" s="475" t="s">
        <v>347</v>
      </c>
      <c r="P187" s="399" t="s">
        <v>1372</v>
      </c>
      <c r="Q187" s="477">
        <f>3136*2.4</f>
        <v>7526.4</v>
      </c>
      <c r="R187" s="477">
        <f>7550+100</f>
        <v>7650</v>
      </c>
      <c r="S187" s="477">
        <v>7488.8029999999999</v>
      </c>
      <c r="T187" s="667"/>
      <c r="U187" s="726">
        <f t="shared" si="104"/>
        <v>5616.6022499999999</v>
      </c>
      <c r="V187" s="726">
        <f t="shared" si="105"/>
        <v>1872.20075</v>
      </c>
      <c r="W187" s="401"/>
      <c r="X187" s="581"/>
      <c r="Z187" s="581"/>
      <c r="AB187" s="581"/>
      <c r="AC187" s="581"/>
      <c r="AD187" s="581"/>
      <c r="BD187" s="473">
        <f t="shared" si="90"/>
        <v>45246.494444444441</v>
      </c>
      <c r="BE187" s="473">
        <f t="shared" si="91"/>
        <v>45259.495138888888</v>
      </c>
      <c r="BF187" s="479">
        <f t="shared" si="92"/>
        <v>13.000694444446708</v>
      </c>
      <c r="BG187" s="473">
        <v>45246.494444444441</v>
      </c>
      <c r="BH187" s="473">
        <v>45248.541666666664</v>
      </c>
      <c r="BI187" s="473">
        <v>45250.5</v>
      </c>
      <c r="BJ187" s="473">
        <v>45252.590277777781</v>
      </c>
      <c r="BK187" s="473">
        <v>45252.739583333336</v>
      </c>
      <c r="BL187" s="473">
        <v>45252.746527777781</v>
      </c>
      <c r="BM187" s="473">
        <v>45252.746527777781</v>
      </c>
      <c r="BN187" s="473">
        <f t="shared" si="102"/>
        <v>45254.454861111117</v>
      </c>
      <c r="BO187" s="480">
        <v>45254.541666666664</v>
      </c>
      <c r="BP187" s="480">
        <v>45254.708333333336</v>
      </c>
      <c r="BQ187" s="480">
        <v>45254.569444444445</v>
      </c>
      <c r="BR187" s="473">
        <v>45255.861111111109</v>
      </c>
      <c r="BS187" s="473">
        <v>45258.381944444445</v>
      </c>
      <c r="BT187" s="473">
        <v>45259.041666666664</v>
      </c>
      <c r="BU187" s="473">
        <v>45259.0625</v>
      </c>
      <c r="BV187" s="473">
        <v>45259.0625</v>
      </c>
      <c r="BW187" s="473">
        <v>45259.495138888888</v>
      </c>
      <c r="BZ187" s="481">
        <f t="shared" si="93"/>
        <v>47.000000000058208</v>
      </c>
      <c r="CA187" s="481">
        <f t="shared" si="94"/>
        <v>3.5833333333139308</v>
      </c>
      <c r="CB187" s="481">
        <f t="shared" si="95"/>
        <v>41.000000000058208</v>
      </c>
      <c r="CC187" s="481">
        <f t="shared" si="101"/>
        <v>27.666666666569654</v>
      </c>
      <c r="CD187" s="482">
        <f t="shared" si="96"/>
        <v>15.833333333255723</v>
      </c>
      <c r="CE187" s="482">
        <f t="shared" si="97"/>
        <v>10.383333333302289</v>
      </c>
      <c r="CF187" s="483">
        <f t="shared" si="98"/>
        <v>6.0611111111065838</v>
      </c>
      <c r="CG187" s="483">
        <f t="shared" si="99"/>
        <v>13.000694444446708</v>
      </c>
      <c r="CH187" s="484">
        <f t="shared" si="100"/>
        <v>0.4662144116228813</v>
      </c>
    </row>
    <row r="188" spans="1:88" s="475" customFormat="1">
      <c r="A188" s="474">
        <f t="shared" si="103"/>
        <v>45254.975694444445</v>
      </c>
      <c r="B188" s="475" t="s">
        <v>228</v>
      </c>
      <c r="C188" s="475" t="s">
        <v>229</v>
      </c>
      <c r="D188" s="475" t="s">
        <v>215</v>
      </c>
      <c r="E188" s="667" t="s">
        <v>2746</v>
      </c>
      <c r="F188" s="667" t="s">
        <v>3378</v>
      </c>
      <c r="G188" s="473">
        <v>45263.458333333336</v>
      </c>
      <c r="H188" s="473">
        <v>45263.458333333336</v>
      </c>
      <c r="I188" s="667" t="s">
        <v>497</v>
      </c>
      <c r="J188" s="475" t="s">
        <v>192</v>
      </c>
      <c r="K188" s="475" t="s">
        <v>192</v>
      </c>
      <c r="L188" s="399" t="s">
        <v>3680</v>
      </c>
      <c r="M188" s="529"/>
      <c r="N188" s="475" t="s">
        <v>352</v>
      </c>
      <c r="O188" s="475" t="s">
        <v>353</v>
      </c>
      <c r="P188" s="667" t="s">
        <v>835</v>
      </c>
      <c r="Q188" s="477">
        <f>3852*2.4</f>
        <v>9244.7999999999993</v>
      </c>
      <c r="R188" s="477">
        <f>9250+100</f>
        <v>9350</v>
      </c>
      <c r="S188" s="477">
        <v>9204.625</v>
      </c>
      <c r="T188" s="667"/>
      <c r="U188" s="577"/>
      <c r="V188" s="726">
        <f>S188</f>
        <v>9204.625</v>
      </c>
      <c r="W188" s="577"/>
      <c r="X188" s="577"/>
      <c r="Y188" s="577"/>
      <c r="Z188" s="577"/>
      <c r="AA188" s="577"/>
      <c r="AB188" s="581"/>
      <c r="AC188" s="581"/>
      <c r="AD188" s="581"/>
      <c r="AE188" s="401"/>
      <c r="BD188" s="473">
        <f t="shared" si="90"/>
        <v>45251.715277777781</v>
      </c>
      <c r="BE188" s="473">
        <f t="shared" si="91"/>
        <v>45264.420138888891</v>
      </c>
      <c r="BF188" s="479">
        <f t="shared" si="92"/>
        <v>12.704861111109494</v>
      </c>
      <c r="BG188" s="473">
        <v>45251.715277777781</v>
      </c>
      <c r="BH188" s="473">
        <v>45252.340277777781</v>
      </c>
      <c r="BI188" s="473">
        <v>45254.059027777781</v>
      </c>
      <c r="BJ188" s="473">
        <v>45254.975694444445</v>
      </c>
      <c r="BK188" s="473">
        <v>45255.170138888891</v>
      </c>
      <c r="BL188" s="473">
        <v>45255.180555555555</v>
      </c>
      <c r="BM188" s="473">
        <v>45255.180555555555</v>
      </c>
      <c r="BN188" s="473">
        <f t="shared" si="102"/>
        <v>45256.888888888891</v>
      </c>
      <c r="BO188" s="480">
        <v>45257.25</v>
      </c>
      <c r="BP188" s="480">
        <v>45257.416666608799</v>
      </c>
      <c r="BQ188" s="480">
        <v>45257.263888888891</v>
      </c>
      <c r="BR188" s="473">
        <v>45258.805555555555</v>
      </c>
      <c r="BS188" s="473">
        <v>45263.253472222219</v>
      </c>
      <c r="BT188" s="473">
        <v>45263.527777777781</v>
      </c>
      <c r="BU188" s="473">
        <v>45263.555555555555</v>
      </c>
      <c r="BV188" s="473">
        <v>45263.909722222219</v>
      </c>
      <c r="BW188" s="473">
        <v>45264.420138888891</v>
      </c>
      <c r="BZ188" s="481">
        <f t="shared" si="93"/>
        <v>41.25</v>
      </c>
      <c r="CA188" s="481">
        <f t="shared" si="94"/>
        <v>4.6666666666860692</v>
      </c>
      <c r="CB188" s="481">
        <f t="shared" si="95"/>
        <v>41.000000000058208</v>
      </c>
      <c r="CC188" s="481">
        <f t="shared" si="101"/>
        <v>33.33333472214872</v>
      </c>
      <c r="CD188" s="482">
        <f t="shared" si="96"/>
        <v>6.5833333334885538</v>
      </c>
      <c r="CE188" s="482">
        <f t="shared" si="97"/>
        <v>12.250000000116415</v>
      </c>
      <c r="CF188" s="483">
        <f t="shared" si="98"/>
        <v>5.7951389467707486</v>
      </c>
      <c r="CG188" s="483">
        <f t="shared" si="99"/>
        <v>12.704861111109494</v>
      </c>
      <c r="CH188" s="484">
        <f t="shared" si="100"/>
        <v>0.45613556071882699</v>
      </c>
    </row>
    <row r="189" spans="1:88" s="475" customFormat="1">
      <c r="A189" s="474">
        <f t="shared" si="103"/>
        <v>45255.434027777781</v>
      </c>
      <c r="B189" s="475" t="s">
        <v>228</v>
      </c>
      <c r="C189" s="475" t="s">
        <v>229</v>
      </c>
      <c r="D189" s="475" t="s">
        <v>215</v>
      </c>
      <c r="E189" s="667" t="s">
        <v>3175</v>
      </c>
      <c r="F189" s="667" t="s">
        <v>3378</v>
      </c>
      <c r="G189" s="473">
        <v>45268.25</v>
      </c>
      <c r="H189" s="473">
        <v>45268.25</v>
      </c>
      <c r="I189" s="667" t="s">
        <v>490</v>
      </c>
      <c r="J189" s="475" t="s">
        <v>192</v>
      </c>
      <c r="K189" s="475" t="s">
        <v>192</v>
      </c>
      <c r="L189" s="399" t="s">
        <v>3681</v>
      </c>
      <c r="M189" s="529"/>
      <c r="N189" s="475" t="s">
        <v>301</v>
      </c>
      <c r="O189" s="475" t="s">
        <v>302</v>
      </c>
      <c r="P189" s="667" t="s">
        <v>1677</v>
      </c>
      <c r="Q189" s="477">
        <f>3852*2.4</f>
        <v>9244.7999999999993</v>
      </c>
      <c r="R189" s="477">
        <v>9250</v>
      </c>
      <c r="S189" s="477">
        <v>9050.9519999999993</v>
      </c>
      <c r="T189" s="399"/>
      <c r="U189" s="726">
        <f>S189*0.8</f>
        <v>7240.7615999999998</v>
      </c>
      <c r="V189" s="726">
        <f>S189*0.2</f>
        <v>1810.1904</v>
      </c>
      <c r="W189" s="577"/>
      <c r="X189" s="577"/>
      <c r="Y189" s="577"/>
      <c r="Z189" s="577"/>
      <c r="AA189" s="577"/>
      <c r="AB189" s="581"/>
      <c r="AC189" s="581"/>
      <c r="AD189" s="581"/>
      <c r="BD189" s="473">
        <f t="shared" si="90"/>
        <v>45251.37222222222</v>
      </c>
      <c r="BE189" s="473">
        <f t="shared" si="91"/>
        <v>45269.663888888892</v>
      </c>
      <c r="BF189" s="479">
        <f t="shared" si="92"/>
        <v>18.291666666671517</v>
      </c>
      <c r="BG189" s="473">
        <v>45251.37222222222</v>
      </c>
      <c r="BH189" s="473">
        <v>45252.795138888891</v>
      </c>
      <c r="BI189" s="473">
        <v>45254.381944444445</v>
      </c>
      <c r="BJ189" s="473">
        <v>45255.434027777781</v>
      </c>
      <c r="BK189" s="473">
        <v>45255.586805555555</v>
      </c>
      <c r="BL189" s="473">
        <v>45255.590277777781</v>
      </c>
      <c r="BM189" s="473">
        <v>45255.590277777781</v>
      </c>
      <c r="BN189" s="473">
        <f t="shared" si="102"/>
        <v>45257.298611111117</v>
      </c>
      <c r="BO189" s="480">
        <v>45257.25</v>
      </c>
      <c r="BP189" s="480">
        <v>45257.416666608799</v>
      </c>
      <c r="BQ189" s="480">
        <v>45257.288194444445</v>
      </c>
      <c r="BR189" s="473">
        <v>45266.354166666664</v>
      </c>
      <c r="BS189" s="473">
        <v>45268.666666666664</v>
      </c>
      <c r="BT189" s="473">
        <v>45269.409722222219</v>
      </c>
      <c r="BU189" s="473">
        <v>45269.430555555555</v>
      </c>
      <c r="BV189" s="473">
        <v>45269.430555555555</v>
      </c>
      <c r="BW189" s="473">
        <v>45269.663888888892</v>
      </c>
      <c r="BZ189" s="481">
        <f t="shared" si="93"/>
        <v>38.083333333313931</v>
      </c>
      <c r="CA189" s="481">
        <f t="shared" si="94"/>
        <v>3.6666666665696539</v>
      </c>
      <c r="CB189" s="481">
        <f t="shared" si="95"/>
        <v>41.000000000058208</v>
      </c>
      <c r="CC189" s="481">
        <f t="shared" si="101"/>
        <v>214.50000138877658</v>
      </c>
      <c r="CD189" s="482">
        <f t="shared" si="96"/>
        <v>17.833333333313931</v>
      </c>
      <c r="CE189" s="482">
        <f t="shared" si="97"/>
        <v>5.6000000000931323</v>
      </c>
      <c r="CF189" s="483">
        <f t="shared" si="98"/>
        <v>13.361805613421893</v>
      </c>
      <c r="CG189" s="483">
        <f t="shared" si="99"/>
        <v>18.291666666671517</v>
      </c>
      <c r="CH189" s="484">
        <f t="shared" si="100"/>
        <v>0.73048595608665234</v>
      </c>
    </row>
    <row r="190" spans="1:88" s="475" customFormat="1">
      <c r="A190" s="474">
        <f t="shared" si="103"/>
        <v>45256.256944444445</v>
      </c>
      <c r="B190" s="475" t="s">
        <v>228</v>
      </c>
      <c r="C190" s="475" t="s">
        <v>229</v>
      </c>
      <c r="D190" s="475" t="s">
        <v>197</v>
      </c>
      <c r="E190" s="399" t="s">
        <v>3175</v>
      </c>
      <c r="F190" s="667" t="s">
        <v>3378</v>
      </c>
      <c r="G190" s="473">
        <f>'VLU 2023 &amp; 2024'!$K$234</f>
        <v>45268.25</v>
      </c>
      <c r="H190" s="473">
        <f>'VLU 2023 &amp; 2024'!$L$234</f>
        <v>45268.25</v>
      </c>
      <c r="I190" s="667" t="s">
        <v>490</v>
      </c>
      <c r="J190" s="475" t="s">
        <v>192</v>
      </c>
      <c r="K190" s="475" t="s">
        <v>192</v>
      </c>
      <c r="L190" s="399" t="s">
        <v>3682</v>
      </c>
      <c r="M190" s="529"/>
      <c r="N190" s="475" t="s">
        <v>2295</v>
      </c>
      <c r="O190" s="475" t="s">
        <v>2296</v>
      </c>
      <c r="P190" s="667" t="s">
        <v>1677</v>
      </c>
      <c r="Q190" s="477">
        <f>4272*2.4</f>
        <v>10252.799999999999</v>
      </c>
      <c r="R190" s="477">
        <f>10300+100</f>
        <v>10400</v>
      </c>
      <c r="S190" s="477">
        <f>10260.444-4311.396</f>
        <v>5949.0479999999998</v>
      </c>
      <c r="T190" s="667"/>
      <c r="U190" s="726">
        <f>S190*0.8</f>
        <v>4759.2384000000002</v>
      </c>
      <c r="V190" s="726">
        <f>S190*0.2</f>
        <v>1189.8096</v>
      </c>
      <c r="W190" s="577"/>
      <c r="X190" s="577"/>
      <c r="Y190" s="577"/>
      <c r="Z190" s="577"/>
      <c r="AA190" s="577"/>
      <c r="AB190" s="581"/>
      <c r="AC190" s="581"/>
      <c r="AD190" s="581"/>
      <c r="AE190" s="667"/>
      <c r="AF190" s="667"/>
      <c r="AG190" s="667"/>
      <c r="AH190" s="667"/>
      <c r="AI190" s="667"/>
      <c r="AJ190" s="667"/>
      <c r="AK190" s="667"/>
      <c r="AL190" s="667"/>
      <c r="AM190" s="667"/>
      <c r="AN190" s="667"/>
      <c r="AO190" s="667"/>
      <c r="AP190" s="667"/>
      <c r="AQ190" s="667"/>
      <c r="AR190" s="667"/>
      <c r="AS190" s="667"/>
      <c r="AT190" s="667"/>
      <c r="AU190" s="667"/>
      <c r="AV190" s="667"/>
      <c r="AW190" s="667"/>
      <c r="BD190" s="473">
        <f t="shared" si="90"/>
        <v>45253.208333333336</v>
      </c>
      <c r="BE190" s="473">
        <f t="shared" si="91"/>
        <v>45269.805555555555</v>
      </c>
      <c r="BF190" s="479">
        <f t="shared" si="92"/>
        <v>16.597222222218988</v>
      </c>
      <c r="BG190" s="473">
        <v>45253.208333333336</v>
      </c>
      <c r="BH190" s="473">
        <v>45253.822916666664</v>
      </c>
      <c r="BI190" s="473">
        <v>45255.729166666664</v>
      </c>
      <c r="BJ190" s="473">
        <v>45256.256944444445</v>
      </c>
      <c r="BK190" s="473">
        <v>45256.541666666664</v>
      </c>
      <c r="BL190" s="473">
        <v>45256.552083333336</v>
      </c>
      <c r="BM190" s="473">
        <v>45256.708333333336</v>
      </c>
      <c r="BN190" s="473">
        <f t="shared" si="102"/>
        <v>45258.416666666672</v>
      </c>
      <c r="BO190" s="480">
        <v>45260.229166608799</v>
      </c>
      <c r="BP190" s="480">
        <v>45260.395833333336</v>
      </c>
      <c r="BQ190" s="480">
        <v>45260.434027777781</v>
      </c>
      <c r="BR190" s="473">
        <v>45267.75</v>
      </c>
      <c r="BS190" s="473">
        <v>45269.409722222219</v>
      </c>
      <c r="BT190" s="473">
        <v>45269.708333333336</v>
      </c>
      <c r="BU190" s="473">
        <v>45269.805555555555</v>
      </c>
      <c r="BV190" s="473">
        <v>45269.805555555555</v>
      </c>
      <c r="BW190" s="473">
        <v>45269.805555555555</v>
      </c>
      <c r="BZ190" s="481">
        <f t="shared" si="93"/>
        <v>45.75</v>
      </c>
      <c r="CA190" s="481">
        <f t="shared" si="94"/>
        <v>6.8333333332557231</v>
      </c>
      <c r="CB190" s="481">
        <f t="shared" si="95"/>
        <v>41.000000000058208</v>
      </c>
      <c r="CC190" s="481">
        <f t="shared" si="101"/>
        <v>176.49999999994179</v>
      </c>
      <c r="CD190" s="482">
        <f t="shared" si="96"/>
        <v>7.1666666668024845</v>
      </c>
      <c r="CE190" s="482">
        <f t="shared" si="97"/>
        <v>0</v>
      </c>
      <c r="CF190" s="483">
        <f t="shared" si="98"/>
        <v>11.552083333335759</v>
      </c>
      <c r="CG190" s="483">
        <f t="shared" si="99"/>
        <v>16.597222222218988</v>
      </c>
      <c r="CH190" s="484">
        <f t="shared" si="100"/>
        <v>0.69602510460279221</v>
      </c>
    </row>
    <row r="191" spans="1:88" s="475" customFormat="1">
      <c r="A191" s="474">
        <f t="shared" si="103"/>
        <v>45256.256944444445</v>
      </c>
      <c r="B191" s="475" t="s">
        <v>228</v>
      </c>
      <c r="C191" s="475" t="s">
        <v>229</v>
      </c>
      <c r="D191" s="475" t="s">
        <v>197</v>
      </c>
      <c r="E191" s="399" t="s">
        <v>3182</v>
      </c>
      <c r="F191" s="667" t="s">
        <v>3378</v>
      </c>
      <c r="G191" s="473">
        <v>45269.229166666664</v>
      </c>
      <c r="H191" s="473">
        <v>45269.25</v>
      </c>
      <c r="I191" s="667" t="s">
        <v>490</v>
      </c>
      <c r="J191" s="475" t="s">
        <v>192</v>
      </c>
      <c r="K191" s="475" t="s">
        <v>192</v>
      </c>
      <c r="L191" s="399" t="s">
        <v>3682</v>
      </c>
      <c r="M191" s="529"/>
      <c r="N191" s="475" t="s">
        <v>2295</v>
      </c>
      <c r="O191" s="475" t="s">
        <v>2296</v>
      </c>
      <c r="P191" s="667" t="s">
        <v>1677</v>
      </c>
      <c r="Q191" s="477">
        <f>4272*2.4</f>
        <v>10252.799999999999</v>
      </c>
      <c r="R191" s="477">
        <f>10300+100</f>
        <v>10400</v>
      </c>
      <c r="S191" s="477">
        <v>3861.4670000000001</v>
      </c>
      <c r="T191" s="667"/>
      <c r="U191" s="726">
        <f>S191*0.8</f>
        <v>3089.1736000000001</v>
      </c>
      <c r="V191" s="726">
        <f>S191*0.2</f>
        <v>772.29340000000002</v>
      </c>
      <c r="W191" s="577"/>
      <c r="X191" s="577"/>
      <c r="Y191" s="577"/>
      <c r="Z191" s="577"/>
      <c r="AA191" s="577"/>
      <c r="AB191" s="581"/>
      <c r="AC191" s="581"/>
      <c r="AD191" s="581"/>
      <c r="AE191" s="667"/>
      <c r="AF191" s="667"/>
      <c r="AG191" s="667"/>
      <c r="AH191" s="667"/>
      <c r="AI191" s="667"/>
      <c r="AJ191" s="667"/>
      <c r="AK191" s="667"/>
      <c r="AL191" s="667"/>
      <c r="AM191" s="667"/>
      <c r="AN191" s="667"/>
      <c r="AO191" s="667"/>
      <c r="AP191" s="667"/>
      <c r="AQ191" s="667"/>
      <c r="AR191" s="667"/>
      <c r="AS191" s="667"/>
      <c r="AT191" s="667"/>
      <c r="AU191" s="667"/>
      <c r="AV191" s="667"/>
      <c r="AW191" s="667"/>
      <c r="BD191" s="473">
        <f t="shared" si="90"/>
        <v>45253.208333333336</v>
      </c>
      <c r="BE191" s="473">
        <f t="shared" si="91"/>
        <v>45273.083333333336</v>
      </c>
      <c r="BF191" s="479">
        <f t="shared" si="92"/>
        <v>19.875</v>
      </c>
      <c r="BG191" s="473">
        <v>45253.208333333336</v>
      </c>
      <c r="BH191" s="473">
        <v>45253.822916666664</v>
      </c>
      <c r="BI191" s="473">
        <v>45255.729166666664</v>
      </c>
      <c r="BJ191" s="473">
        <v>45256.256944444445</v>
      </c>
      <c r="BK191" s="473">
        <v>45256.541666666664</v>
      </c>
      <c r="BL191" s="473">
        <v>45256.552083333336</v>
      </c>
      <c r="BM191" s="473">
        <v>45256.708333333336</v>
      </c>
      <c r="BN191" s="473">
        <f t="shared" si="102"/>
        <v>45258.416666666672</v>
      </c>
      <c r="BO191" s="480">
        <v>45260.229166608799</v>
      </c>
      <c r="BP191" s="480">
        <v>45260.395833333336</v>
      </c>
      <c r="BQ191" s="480">
        <v>45260.434027777781</v>
      </c>
      <c r="BR191" s="473">
        <v>45269.805555555555</v>
      </c>
      <c r="BS191" s="473">
        <v>45272.604166666664</v>
      </c>
      <c r="BT191" s="473">
        <v>45272.756944444445</v>
      </c>
      <c r="BU191" s="473">
        <v>45272.777777777781</v>
      </c>
      <c r="BV191" s="473">
        <v>45272.854166666664</v>
      </c>
      <c r="BW191" s="473">
        <v>45273.083333333336</v>
      </c>
      <c r="BZ191" s="481">
        <f t="shared" si="93"/>
        <v>45.75</v>
      </c>
      <c r="CA191" s="481">
        <f t="shared" si="94"/>
        <v>6.8333333332557231</v>
      </c>
      <c r="CB191" s="481">
        <f t="shared" si="95"/>
        <v>41.000000000058208</v>
      </c>
      <c r="CC191" s="481">
        <f t="shared" si="101"/>
        <v>225.83333333325572</v>
      </c>
      <c r="CD191" s="482">
        <f t="shared" si="96"/>
        <v>3.6666666667442769</v>
      </c>
      <c r="CE191" s="482">
        <f t="shared" si="97"/>
        <v>5.5000000001164153</v>
      </c>
      <c r="CF191" s="483">
        <f t="shared" si="98"/>
        <v>13.690972222226264</v>
      </c>
      <c r="CG191" s="483">
        <f t="shared" si="99"/>
        <v>19.875</v>
      </c>
      <c r="CH191" s="484">
        <f t="shared" si="100"/>
        <v>0.68885394828811397</v>
      </c>
    </row>
    <row r="192" spans="1:88" s="475" customFormat="1">
      <c r="A192" s="474">
        <f t="shared" si="103"/>
        <v>45259.309027777781</v>
      </c>
      <c r="B192" s="475" t="s">
        <v>228</v>
      </c>
      <c r="C192" s="475" t="s">
        <v>229</v>
      </c>
      <c r="D192" s="475" t="s">
        <v>215</v>
      </c>
      <c r="E192" s="399" t="s">
        <v>1270</v>
      </c>
      <c r="F192" s="399" t="s">
        <v>3474</v>
      </c>
      <c r="G192" s="472">
        <v>45261.333333333336</v>
      </c>
      <c r="H192" s="472">
        <v>45261.291666666664</v>
      </c>
      <c r="I192" s="667" t="s">
        <v>490</v>
      </c>
      <c r="J192" s="475" t="s">
        <v>192</v>
      </c>
      <c r="K192" s="475" t="s">
        <v>192</v>
      </c>
      <c r="L192" s="399" t="s">
        <v>3683</v>
      </c>
      <c r="M192" s="529"/>
      <c r="N192" s="475" t="s">
        <v>399</v>
      </c>
      <c r="O192" s="475" t="s">
        <v>275</v>
      </c>
      <c r="P192" s="399" t="s">
        <v>1677</v>
      </c>
      <c r="Q192" s="477">
        <f>3097*2.4</f>
        <v>7432.7999999999993</v>
      </c>
      <c r="R192" s="477">
        <f>7450+100</f>
        <v>7550</v>
      </c>
      <c r="S192" s="477">
        <v>7552.4340000000002</v>
      </c>
      <c r="T192" s="667"/>
      <c r="U192" s="726">
        <f>S192*0.8</f>
        <v>6041.9472000000005</v>
      </c>
      <c r="V192" s="726">
        <f>S192*0.2</f>
        <v>1510.4868000000001</v>
      </c>
      <c r="W192" s="581"/>
      <c r="X192" s="581"/>
      <c r="Y192" s="581"/>
      <c r="Z192" s="581"/>
      <c r="AA192" s="581"/>
      <c r="AB192" s="581"/>
      <c r="AC192" s="581"/>
      <c r="AD192" s="581"/>
      <c r="AE192" s="581"/>
      <c r="AF192" s="581"/>
      <c r="AG192" s="575"/>
      <c r="AH192" s="575"/>
      <c r="AI192" s="575"/>
      <c r="BD192" s="473">
        <f t="shared" si="90"/>
        <v>45256.3125</v>
      </c>
      <c r="BE192" s="473">
        <f t="shared" si="91"/>
        <v>45264.666666666664</v>
      </c>
      <c r="BF192" s="479">
        <f t="shared" si="92"/>
        <v>8.3541666666642413</v>
      </c>
      <c r="BG192" s="473">
        <v>45256.3125</v>
      </c>
      <c r="BH192" s="473">
        <v>45256.864583333336</v>
      </c>
      <c r="BI192" s="473">
        <v>45258.5625</v>
      </c>
      <c r="BJ192" s="473">
        <v>45259.309027777781</v>
      </c>
      <c r="BK192" s="473">
        <v>45259.444444444445</v>
      </c>
      <c r="BL192" s="473">
        <v>45259.451388888891</v>
      </c>
      <c r="BM192" s="473">
        <v>45259.447916666664</v>
      </c>
      <c r="BN192" s="473">
        <f t="shared" si="102"/>
        <v>45261.15625</v>
      </c>
      <c r="BO192" s="480">
        <v>45261.25</v>
      </c>
      <c r="BP192" s="480">
        <v>45261.416666666664</v>
      </c>
      <c r="BQ192" s="480">
        <v>45261.375</v>
      </c>
      <c r="BR192" s="473">
        <v>45262.479166666664</v>
      </c>
      <c r="BS192" s="473">
        <v>45264.097222222219</v>
      </c>
      <c r="BT192" s="473">
        <v>45264.267361111109</v>
      </c>
      <c r="BU192" s="473">
        <v>45264.277777777781</v>
      </c>
      <c r="BV192" s="473">
        <v>45264.291666666664</v>
      </c>
      <c r="BW192" s="473">
        <v>45264.666666666664</v>
      </c>
      <c r="BZ192" s="481">
        <f t="shared" si="93"/>
        <v>40.749999999941792</v>
      </c>
      <c r="CA192" s="481">
        <f t="shared" si="94"/>
        <v>3.2499999999417923</v>
      </c>
      <c r="CB192" s="481">
        <f t="shared" si="95"/>
        <v>41.000000000058208</v>
      </c>
      <c r="CC192" s="481">
        <f t="shared" si="101"/>
        <v>25.5</v>
      </c>
      <c r="CD192" s="482">
        <f t="shared" si="96"/>
        <v>4.0833333333721384</v>
      </c>
      <c r="CE192" s="482">
        <f t="shared" si="97"/>
        <v>9</v>
      </c>
      <c r="CF192" s="483">
        <f t="shared" si="98"/>
        <v>5.1493055555547471</v>
      </c>
      <c r="CG192" s="483">
        <f t="shared" si="99"/>
        <v>8.3541666666642413</v>
      </c>
      <c r="CH192" s="484">
        <f t="shared" si="100"/>
        <v>0.61637572734837809</v>
      </c>
    </row>
    <row r="193" spans="1:86" s="475" customFormat="1">
      <c r="A193" s="474">
        <f t="shared" si="103"/>
        <v>45259.53125</v>
      </c>
      <c r="B193" s="475" t="s">
        <v>228</v>
      </c>
      <c r="C193" s="475" t="s">
        <v>229</v>
      </c>
      <c r="D193" s="475" t="s">
        <v>197</v>
      </c>
      <c r="E193" s="399" t="s">
        <v>1270</v>
      </c>
      <c r="F193" s="399" t="s">
        <v>3474</v>
      </c>
      <c r="G193" s="472">
        <v>45261.333333333336</v>
      </c>
      <c r="H193" s="472">
        <v>45261.291666666664</v>
      </c>
      <c r="I193" s="667" t="s">
        <v>490</v>
      </c>
      <c r="J193" s="475" t="s">
        <v>192</v>
      </c>
      <c r="K193" s="475" t="s">
        <v>192</v>
      </c>
      <c r="L193" s="399" t="s">
        <v>3684</v>
      </c>
      <c r="M193" s="529"/>
      <c r="N193" s="475" t="s">
        <v>292</v>
      </c>
      <c r="O193" s="475" t="s">
        <v>293</v>
      </c>
      <c r="P193" s="399" t="s">
        <v>840</v>
      </c>
      <c r="Q193" s="477">
        <f>3142*2.4</f>
        <v>7540.7999999999993</v>
      </c>
      <c r="R193" s="477">
        <f>7550+100</f>
        <v>7650</v>
      </c>
      <c r="S193" s="477">
        <v>7438.1329999999998</v>
      </c>
      <c r="T193" s="667"/>
      <c r="U193" s="726">
        <f>S193*0.6</f>
        <v>4462.8797999999997</v>
      </c>
      <c r="V193" s="726">
        <f>S193*0.4</f>
        <v>2975.2532000000001</v>
      </c>
      <c r="W193" s="581"/>
      <c r="X193" s="581"/>
      <c r="Y193" s="581"/>
      <c r="Z193" s="581"/>
      <c r="AA193" s="581"/>
      <c r="AB193" s="581"/>
      <c r="AC193" s="581"/>
      <c r="AD193" s="581"/>
      <c r="AE193" s="581"/>
      <c r="AF193" s="581"/>
      <c r="AG193" s="581"/>
      <c r="AH193" s="581"/>
      <c r="BD193" s="473">
        <f t="shared" si="90"/>
        <v>45255.815972222219</v>
      </c>
      <c r="BE193" s="473">
        <f t="shared" si="91"/>
        <v>45263.916666666664</v>
      </c>
      <c r="BF193" s="479">
        <f t="shared" si="92"/>
        <v>8.1006944444452529</v>
      </c>
      <c r="BG193" s="473">
        <v>45255.815972222219</v>
      </c>
      <c r="BH193" s="473">
        <v>45256.847222222219</v>
      </c>
      <c r="BI193" s="473">
        <v>45258.506944444445</v>
      </c>
      <c r="BJ193" s="473">
        <v>45259.53125</v>
      </c>
      <c r="BK193" s="473">
        <v>45259.65625</v>
      </c>
      <c r="BL193" s="473">
        <v>45259.666666666664</v>
      </c>
      <c r="BM193" s="473">
        <v>45259.6875</v>
      </c>
      <c r="BN193" s="473">
        <f t="shared" si="102"/>
        <v>45261.395833333336</v>
      </c>
      <c r="BO193" s="480">
        <v>45261.229166608799</v>
      </c>
      <c r="BP193" s="480">
        <v>45261.395833333336</v>
      </c>
      <c r="BQ193" s="480">
        <v>45261.288194444445</v>
      </c>
      <c r="BR193" s="473">
        <v>45262.416666666664</v>
      </c>
      <c r="BS193" s="473">
        <v>45263.399305555555</v>
      </c>
      <c r="BT193" s="473">
        <v>45263.652777777781</v>
      </c>
      <c r="BU193" s="473">
        <v>45263.673611111109</v>
      </c>
      <c r="BV193" s="473">
        <v>45263.729166666664</v>
      </c>
      <c r="BW193" s="473">
        <v>45263.916666666664</v>
      </c>
      <c r="BZ193" s="481">
        <f t="shared" si="93"/>
        <v>39.833333333430346</v>
      </c>
      <c r="CA193" s="481">
        <f t="shared" si="94"/>
        <v>3</v>
      </c>
      <c r="CB193" s="481">
        <f t="shared" si="95"/>
        <v>41.000000000058208</v>
      </c>
      <c r="CC193" s="481">
        <f t="shared" si="101"/>
        <v>24.499999999883585</v>
      </c>
      <c r="CD193" s="482">
        <f t="shared" si="96"/>
        <v>6.0833333334303461</v>
      </c>
      <c r="CE193" s="482">
        <f t="shared" si="97"/>
        <v>4.5</v>
      </c>
      <c r="CF193" s="483">
        <f t="shared" si="98"/>
        <v>4.9548611111167702</v>
      </c>
      <c r="CG193" s="483">
        <f t="shared" si="99"/>
        <v>8.1006944444452529</v>
      </c>
      <c r="CH193" s="484">
        <f t="shared" si="100"/>
        <v>0.61165880840183773</v>
      </c>
    </row>
    <row r="194" spans="1:86" s="475" customFormat="1">
      <c r="A194" s="474">
        <f t="shared" si="103"/>
        <v>45259.980555555558</v>
      </c>
      <c r="B194" s="475" t="s">
        <v>228</v>
      </c>
      <c r="C194" s="475" t="s">
        <v>229</v>
      </c>
      <c r="D194" s="475" t="s">
        <v>197</v>
      </c>
      <c r="E194" s="399" t="s">
        <v>1270</v>
      </c>
      <c r="F194" s="399" t="s">
        <v>3474</v>
      </c>
      <c r="G194" s="472">
        <v>45261.333333333336</v>
      </c>
      <c r="H194" s="472">
        <v>45261.291666666664</v>
      </c>
      <c r="I194" s="667" t="s">
        <v>490</v>
      </c>
      <c r="J194" s="475" t="s">
        <v>192</v>
      </c>
      <c r="K194" s="475" t="s">
        <v>192</v>
      </c>
      <c r="L194" s="399" t="s">
        <v>3685</v>
      </c>
      <c r="M194" s="529"/>
      <c r="N194" s="475" t="s">
        <v>330</v>
      </c>
      <c r="O194" s="475" t="s">
        <v>331</v>
      </c>
      <c r="P194" s="399" t="s">
        <v>1372</v>
      </c>
      <c r="Q194" s="477">
        <f>3136*2.4</f>
        <v>7526.4</v>
      </c>
      <c r="R194" s="477">
        <f>7550+100</f>
        <v>7650</v>
      </c>
      <c r="S194" s="477">
        <v>7592.3310000000001</v>
      </c>
      <c r="T194" s="667"/>
      <c r="U194" s="726">
        <f>S194*0.7</f>
        <v>5314.6316999999999</v>
      </c>
      <c r="V194" s="726">
        <f>S194*0.3</f>
        <v>2277.6992999999998</v>
      </c>
      <c r="W194" s="581"/>
      <c r="X194" s="581"/>
      <c r="Y194" s="581"/>
      <c r="Z194" s="581"/>
      <c r="AA194" s="581"/>
      <c r="AB194" s="401"/>
      <c r="AC194" s="581"/>
      <c r="AD194" s="581"/>
      <c r="AE194" s="581"/>
      <c r="AF194" s="581"/>
      <c r="AG194" s="581"/>
      <c r="AH194" s="581"/>
      <c r="BD194" s="473">
        <f t="shared" si="90"/>
        <v>45255.347222222219</v>
      </c>
      <c r="BE194" s="473">
        <f t="shared" si="91"/>
        <v>45266.826388888891</v>
      </c>
      <c r="BF194" s="479">
        <f t="shared" si="92"/>
        <v>11.479166666671517</v>
      </c>
      <c r="BG194" s="473">
        <v>45255.347222222219</v>
      </c>
      <c r="BH194" s="473">
        <v>45256.854166666664</v>
      </c>
      <c r="BI194" s="473">
        <v>45258.840277777781</v>
      </c>
      <c r="BJ194" s="473">
        <v>45259.980555555558</v>
      </c>
      <c r="BK194" s="473">
        <v>45260.128472222219</v>
      </c>
      <c r="BL194" s="473">
        <v>45260.131944444445</v>
      </c>
      <c r="BM194" s="473">
        <v>45260.28125</v>
      </c>
      <c r="BN194" s="473">
        <f t="shared" si="102"/>
        <v>45261.989583333336</v>
      </c>
      <c r="BO194" s="473">
        <v>45262.25</v>
      </c>
      <c r="BP194" s="473">
        <v>45262.416666666664</v>
      </c>
      <c r="BQ194" s="473">
        <v>45262.333333333336</v>
      </c>
      <c r="BR194" s="473">
        <v>45263.666666666664</v>
      </c>
      <c r="BS194" s="473">
        <v>45266.145833333336</v>
      </c>
      <c r="BT194" s="473">
        <v>45266.534722222219</v>
      </c>
      <c r="BU194" s="473">
        <v>45266.541666666664</v>
      </c>
      <c r="BV194" s="473">
        <v>45266.618055555555</v>
      </c>
      <c r="BW194" s="473">
        <v>45266.826388888891</v>
      </c>
      <c r="BZ194" s="481">
        <f t="shared" si="93"/>
        <v>47.666666666802485</v>
      </c>
      <c r="CA194" s="481">
        <f t="shared" si="94"/>
        <v>3.5499999998719431</v>
      </c>
      <c r="CB194" s="481">
        <f t="shared" si="95"/>
        <v>41.000000000058208</v>
      </c>
      <c r="CC194" s="481">
        <f t="shared" si="101"/>
        <v>30</v>
      </c>
      <c r="CD194" s="482">
        <f t="shared" si="96"/>
        <v>9.3333333331975155</v>
      </c>
      <c r="CE194" s="482">
        <f t="shared" si="97"/>
        <v>5.0000000000582077</v>
      </c>
      <c r="CF194" s="483">
        <f t="shared" si="98"/>
        <v>5.6895833333328483</v>
      </c>
      <c r="CG194" s="483">
        <f t="shared" si="99"/>
        <v>11.479166666671517</v>
      </c>
      <c r="CH194" s="484">
        <f t="shared" si="100"/>
        <v>0.4956442831213454</v>
      </c>
    </row>
    <row r="195" spans="1:86" s="475" customFormat="1">
      <c r="A195" s="474">
        <f t="shared" si="103"/>
        <v>45259.690972222219</v>
      </c>
      <c r="B195" s="475" t="s">
        <v>228</v>
      </c>
      <c r="C195" s="475" t="s">
        <v>229</v>
      </c>
      <c r="D195" s="475" t="s">
        <v>197</v>
      </c>
      <c r="E195" s="399" t="s">
        <v>1270</v>
      </c>
      <c r="F195" s="399" t="s">
        <v>3474</v>
      </c>
      <c r="G195" s="472">
        <v>45261.333333333336</v>
      </c>
      <c r="H195" s="472">
        <v>45261.291666666664</v>
      </c>
      <c r="I195" s="667" t="s">
        <v>490</v>
      </c>
      <c r="J195" s="475" t="s">
        <v>192</v>
      </c>
      <c r="K195" s="475" t="s">
        <v>192</v>
      </c>
      <c r="L195" s="399" t="s">
        <v>3686</v>
      </c>
      <c r="M195" s="529"/>
      <c r="N195" s="475" t="s">
        <v>2404</v>
      </c>
      <c r="O195" s="475" t="s">
        <v>2405</v>
      </c>
      <c r="P195" s="399" t="s">
        <v>1372</v>
      </c>
      <c r="Q195" s="477">
        <f>4337*2.4</f>
        <v>10408.799999999999</v>
      </c>
      <c r="R195" s="477">
        <f>10500+100</f>
        <v>10600</v>
      </c>
      <c r="S195" s="477">
        <v>10166.914000000001</v>
      </c>
      <c r="T195" s="667"/>
      <c r="U195" s="726">
        <f>S195*0.7</f>
        <v>7116.8397999999997</v>
      </c>
      <c r="V195" s="726">
        <f>S195*0.3</f>
        <v>3050.0742</v>
      </c>
      <c r="W195" s="581"/>
      <c r="X195" s="581"/>
      <c r="Y195" s="581"/>
      <c r="Z195" s="581"/>
      <c r="AA195" s="581"/>
      <c r="AB195" s="581"/>
      <c r="AC195" s="581"/>
      <c r="AD195" s="581"/>
      <c r="BD195" s="473">
        <f t="shared" si="90"/>
        <v>45255.756944444445</v>
      </c>
      <c r="BE195" s="473">
        <f t="shared" si="91"/>
        <v>45264.506944444445</v>
      </c>
      <c r="BF195" s="479">
        <f t="shared" si="92"/>
        <v>8.75</v>
      </c>
      <c r="BG195" s="473">
        <v>45255.756944444445</v>
      </c>
      <c r="BH195" s="473">
        <v>45256.951388888891</v>
      </c>
      <c r="BI195" s="473">
        <v>45258.586805555555</v>
      </c>
      <c r="BJ195" s="473">
        <v>45259.690972222219</v>
      </c>
      <c r="BK195" s="473">
        <v>45259.942361111112</v>
      </c>
      <c r="BL195" s="473">
        <v>45259.954861111109</v>
      </c>
      <c r="BM195" s="473">
        <v>45259.965277777781</v>
      </c>
      <c r="BN195" s="473">
        <f t="shared" si="102"/>
        <v>45261.673611111117</v>
      </c>
      <c r="BO195" s="480">
        <v>45262.25</v>
      </c>
      <c r="BP195" s="480">
        <v>45262.416666666664</v>
      </c>
      <c r="BQ195" s="480">
        <v>45261.423611111109</v>
      </c>
      <c r="BR195" s="473">
        <v>45262.854166666664</v>
      </c>
      <c r="BS195" s="473">
        <v>45263.729166666664</v>
      </c>
      <c r="BT195" s="473">
        <v>45264.041666666664</v>
      </c>
      <c r="BU195" s="473">
        <v>45264.0625</v>
      </c>
      <c r="BV195" s="473">
        <v>45264.291666666664</v>
      </c>
      <c r="BW195" s="473">
        <v>45264.506944444445</v>
      </c>
      <c r="BZ195" s="481">
        <f t="shared" si="93"/>
        <v>39.249999999941792</v>
      </c>
      <c r="CA195" s="481">
        <f t="shared" si="94"/>
        <v>6.0333333334419876</v>
      </c>
      <c r="CB195" s="481">
        <f t="shared" si="95"/>
        <v>41.000000000058208</v>
      </c>
      <c r="CC195" s="481">
        <f t="shared" si="101"/>
        <v>10.5</v>
      </c>
      <c r="CD195" s="482">
        <f t="shared" si="96"/>
        <v>7.5</v>
      </c>
      <c r="CE195" s="482">
        <f t="shared" si="97"/>
        <v>5.1666666667442769</v>
      </c>
      <c r="CF195" s="483">
        <f t="shared" si="98"/>
        <v>4.5604166666744277</v>
      </c>
      <c r="CG195" s="483">
        <f t="shared" si="99"/>
        <v>8.75</v>
      </c>
      <c r="CH195" s="484">
        <f t="shared" si="100"/>
        <v>0.52119047619136316</v>
      </c>
    </row>
    <row r="196" spans="1:86" s="475" customFormat="1">
      <c r="A196" s="474">
        <f t="shared" si="103"/>
        <v>45260.385416666664</v>
      </c>
      <c r="B196" s="475" t="s">
        <v>228</v>
      </c>
      <c r="C196" s="475" t="s">
        <v>229</v>
      </c>
      <c r="D196" s="475" t="s">
        <v>215</v>
      </c>
      <c r="E196" s="399" t="s">
        <v>3179</v>
      </c>
      <c r="F196" s="667" t="s">
        <v>3378</v>
      </c>
      <c r="G196" s="473">
        <v>45269.791666666664</v>
      </c>
      <c r="H196" s="473">
        <v>45269.805555555555</v>
      </c>
      <c r="I196" s="475" t="s">
        <v>471</v>
      </c>
      <c r="J196" s="475" t="s">
        <v>192</v>
      </c>
      <c r="K196" s="475" t="s">
        <v>192</v>
      </c>
      <c r="L196" s="475" t="s">
        <v>3687</v>
      </c>
      <c r="M196" s="529"/>
      <c r="N196" s="475" t="s">
        <v>403</v>
      </c>
      <c r="O196" s="475" t="s">
        <v>404</v>
      </c>
      <c r="P196" s="475" t="s">
        <v>172</v>
      </c>
      <c r="Q196" s="477">
        <f>3107*2.4</f>
        <v>7456.7999999999993</v>
      </c>
      <c r="R196" s="477">
        <f>7500+100</f>
        <v>7600</v>
      </c>
      <c r="S196" s="477">
        <v>7550.9539999999997</v>
      </c>
      <c r="T196" s="477"/>
      <c r="U196" s="581"/>
      <c r="V196" s="581"/>
      <c r="W196" s="581"/>
      <c r="X196" s="581"/>
      <c r="Y196" s="581"/>
      <c r="Z196" s="726">
        <f>S196</f>
        <v>7550.9539999999997</v>
      </c>
      <c r="AA196" s="581"/>
      <c r="AB196" s="581"/>
      <c r="AC196" s="581"/>
      <c r="AD196" s="581"/>
      <c r="BD196" s="473">
        <f t="shared" si="90"/>
        <v>45256.184027777781</v>
      </c>
      <c r="BE196" s="473">
        <f t="shared" si="91"/>
        <v>45273.677083333336</v>
      </c>
      <c r="BF196" s="479">
        <f t="shared" ref="BF196:BF198" si="106">BE196-BD196</f>
        <v>17.493055555554747</v>
      </c>
      <c r="BG196" s="473">
        <v>45256.184027777781</v>
      </c>
      <c r="BH196" s="473">
        <v>45256.864583333336</v>
      </c>
      <c r="BI196" s="473">
        <v>45258.590277777781</v>
      </c>
      <c r="BJ196" s="473">
        <v>45260.385416666664</v>
      </c>
      <c r="BK196" s="473">
        <v>45260.555555555555</v>
      </c>
      <c r="BL196" s="473">
        <v>45260.569444444445</v>
      </c>
      <c r="BM196" s="473">
        <v>45260.572916666664</v>
      </c>
      <c r="BN196" s="473">
        <f t="shared" si="102"/>
        <v>45262.28125</v>
      </c>
      <c r="BO196" s="473">
        <v>45262.25</v>
      </c>
      <c r="BP196" s="473">
        <v>45262.416666666664</v>
      </c>
      <c r="BQ196" s="473">
        <v>45232.315972222219</v>
      </c>
      <c r="BR196" s="473">
        <v>45265.940972222219</v>
      </c>
      <c r="BS196" s="473">
        <v>45272.576388888891</v>
      </c>
      <c r="BT196" s="473">
        <v>45273.274305555555</v>
      </c>
      <c r="BU196" s="473">
        <v>45273.295138888891</v>
      </c>
      <c r="BV196" s="473">
        <v>45273.295138888891</v>
      </c>
      <c r="BW196" s="473">
        <v>45273.677083333336</v>
      </c>
      <c r="BZ196" s="481">
        <f t="shared" si="93"/>
        <v>41.416666666686069</v>
      </c>
      <c r="CA196" s="481">
        <f t="shared" si="94"/>
        <v>4.0833333333721384</v>
      </c>
      <c r="CB196" s="481">
        <f t="shared" si="95"/>
        <v>41.000000000058208</v>
      </c>
      <c r="CC196" s="481">
        <f t="shared" si="101"/>
        <v>84.583333333313931</v>
      </c>
      <c r="CD196" s="482">
        <f t="shared" si="96"/>
        <v>16.749999999941792</v>
      </c>
      <c r="CE196" s="482">
        <f t="shared" si="97"/>
        <v>9.1666666666860692</v>
      </c>
      <c r="CF196" s="483">
        <f t="shared" ref="CF196:CF198" si="107">SUM(BZ196:CE196)/24</f>
        <v>8.2083333333357587</v>
      </c>
      <c r="CG196" s="483">
        <f t="shared" si="99"/>
        <v>17.493055555554747</v>
      </c>
      <c r="CH196" s="484">
        <f t="shared" ref="CH196:CH198" si="108">CF196/CG196</f>
        <v>0.46923382294577365</v>
      </c>
    </row>
    <row r="197" spans="1:86" s="475" customFormat="1">
      <c r="A197" s="474">
        <f t="shared" si="103"/>
        <v>45260.149305555555</v>
      </c>
      <c r="B197" s="475" t="s">
        <v>228</v>
      </c>
      <c r="C197" s="475" t="s">
        <v>229</v>
      </c>
      <c r="D197" s="475" t="s">
        <v>197</v>
      </c>
      <c r="E197" s="399" t="s">
        <v>3182</v>
      </c>
      <c r="F197" s="667" t="s">
        <v>3378</v>
      </c>
      <c r="G197" s="473">
        <v>45269.229166666664</v>
      </c>
      <c r="H197" s="473">
        <v>45269.25</v>
      </c>
      <c r="I197" s="667" t="s">
        <v>490</v>
      </c>
      <c r="J197" s="475" t="s">
        <v>192</v>
      </c>
      <c r="K197" s="475" t="s">
        <v>192</v>
      </c>
      <c r="L197" s="399" t="s">
        <v>3688</v>
      </c>
      <c r="M197" s="529"/>
      <c r="N197" s="475" t="s">
        <v>492</v>
      </c>
      <c r="O197" s="475" t="s">
        <v>493</v>
      </c>
      <c r="P197" s="399" t="s">
        <v>509</v>
      </c>
      <c r="Q197" s="477">
        <f>3141*2.4</f>
        <v>7538.4</v>
      </c>
      <c r="R197" s="477">
        <f>7550+100</f>
        <v>7650</v>
      </c>
      <c r="S197" s="477">
        <v>5365.8419999999996</v>
      </c>
      <c r="T197" s="667"/>
      <c r="U197" s="726">
        <f>S197*0.7</f>
        <v>3756.0893999999994</v>
      </c>
      <c r="V197" s="726">
        <f>S197*0.3</f>
        <v>1609.7525999999998</v>
      </c>
      <c r="W197" s="581"/>
      <c r="X197" s="581"/>
      <c r="Y197" s="581"/>
      <c r="Z197" s="581"/>
      <c r="AA197" s="581"/>
      <c r="AB197" s="581"/>
      <c r="AC197" s="581"/>
      <c r="AD197" s="581"/>
      <c r="BD197" s="473">
        <f t="shared" si="90"/>
        <v>45257.354166666664</v>
      </c>
      <c r="BE197" s="473">
        <f t="shared" si="91"/>
        <v>45272.854166666664</v>
      </c>
      <c r="BF197" s="479">
        <f t="shared" si="106"/>
        <v>15.5</v>
      </c>
      <c r="BG197" s="473">
        <v>45257.354166666664</v>
      </c>
      <c r="BH197" s="473">
        <v>45257.753472222219</v>
      </c>
      <c r="BI197" s="473">
        <v>45259.541666666664</v>
      </c>
      <c r="BJ197" s="473">
        <v>45260.149305555555</v>
      </c>
      <c r="BK197" s="473">
        <v>45260.34375</v>
      </c>
      <c r="BL197" s="473">
        <v>45260.357638888891</v>
      </c>
      <c r="BM197" s="473">
        <v>45260.361111111109</v>
      </c>
      <c r="BN197" s="473">
        <f t="shared" si="102"/>
        <v>45262.069444444445</v>
      </c>
      <c r="BO197" s="473">
        <v>45262.25</v>
      </c>
      <c r="BP197" s="473">
        <v>45262.416666666664</v>
      </c>
      <c r="BQ197" s="473">
        <v>45262.336805555555</v>
      </c>
      <c r="BR197" s="473">
        <v>45266.677083333336</v>
      </c>
      <c r="BS197" s="473">
        <v>45272.388888888891</v>
      </c>
      <c r="BT197" s="473">
        <v>45272.541666666664</v>
      </c>
      <c r="BU197" s="473">
        <v>45272.5625</v>
      </c>
      <c r="BV197" s="473">
        <v>45272.5625</v>
      </c>
      <c r="BW197" s="473">
        <v>45272.854166666664</v>
      </c>
      <c r="BZ197" s="481">
        <f t="shared" si="93"/>
        <v>42.916666666686069</v>
      </c>
      <c r="CA197" s="481">
        <f t="shared" si="94"/>
        <v>4.6666666666860692</v>
      </c>
      <c r="CB197" s="481">
        <f t="shared" si="95"/>
        <v>41.000000000058208</v>
      </c>
      <c r="CC197" s="481">
        <f t="shared" si="101"/>
        <v>102.25000000011642</v>
      </c>
      <c r="CD197" s="482">
        <f t="shared" si="96"/>
        <v>3.6666666665696539</v>
      </c>
      <c r="CE197" s="482">
        <f t="shared" si="97"/>
        <v>6.9999999999417923</v>
      </c>
      <c r="CF197" s="483">
        <f t="shared" si="107"/>
        <v>8.3958333333357587</v>
      </c>
      <c r="CG197" s="483">
        <f t="shared" si="99"/>
        <v>15.5</v>
      </c>
      <c r="CH197" s="484">
        <f t="shared" si="108"/>
        <v>0.54166666666682317</v>
      </c>
    </row>
    <row r="198" spans="1:86" s="475" customFormat="1">
      <c r="A198" s="474">
        <f t="shared" si="103"/>
        <v>45260.149305555555</v>
      </c>
      <c r="B198" s="475" t="s">
        <v>228</v>
      </c>
      <c r="C198" s="475" t="s">
        <v>229</v>
      </c>
      <c r="D198" s="475" t="s">
        <v>197</v>
      </c>
      <c r="E198" s="399" t="s">
        <v>1270</v>
      </c>
      <c r="F198" s="399" t="s">
        <v>3474</v>
      </c>
      <c r="G198" s="472">
        <v>45261.333333333336</v>
      </c>
      <c r="H198" s="472">
        <v>45261.291666666664</v>
      </c>
      <c r="I198" s="667" t="s">
        <v>490</v>
      </c>
      <c r="J198" s="475" t="s">
        <v>192</v>
      </c>
      <c r="K198" s="475" t="s">
        <v>192</v>
      </c>
      <c r="L198" s="399" t="s">
        <v>3688</v>
      </c>
      <c r="M198" s="529"/>
      <c r="N198" s="475" t="s">
        <v>492</v>
      </c>
      <c r="O198" s="475" t="s">
        <v>493</v>
      </c>
      <c r="P198" s="399" t="s">
        <v>509</v>
      </c>
      <c r="Q198" s="477">
        <f>3141*2.4</f>
        <v>7538.4</v>
      </c>
      <c r="R198" s="477">
        <f>7550+100</f>
        <v>7650</v>
      </c>
      <c r="S198" s="477">
        <f>7486.823-6046.176</f>
        <v>1440.6469999999999</v>
      </c>
      <c r="T198" s="667"/>
      <c r="U198" s="726">
        <f>S198*0.7</f>
        <v>1008.4528999999999</v>
      </c>
      <c r="V198" s="726">
        <f>S198*0.3</f>
        <v>432.19409999999999</v>
      </c>
      <c r="W198" s="581"/>
      <c r="X198" s="581"/>
      <c r="Y198" s="581"/>
      <c r="Z198" s="581"/>
      <c r="AA198" s="581"/>
      <c r="AB198" s="581"/>
      <c r="AC198" s="581"/>
      <c r="AD198" s="581"/>
      <c r="BD198" s="473">
        <f t="shared" si="90"/>
        <v>45257.354166666664</v>
      </c>
      <c r="BE198" s="473">
        <f t="shared" si="91"/>
        <v>45266.677083333336</v>
      </c>
      <c r="BF198" s="479">
        <f t="shared" si="106"/>
        <v>9.3229166666715173</v>
      </c>
      <c r="BG198" s="473">
        <v>45257.354166666664</v>
      </c>
      <c r="BH198" s="473">
        <v>45257.753472222219</v>
      </c>
      <c r="BI198" s="473">
        <v>45259.541666666664</v>
      </c>
      <c r="BJ198" s="473">
        <v>45260.149305555555</v>
      </c>
      <c r="BK198" s="473">
        <v>45260.34375</v>
      </c>
      <c r="BL198" s="473">
        <v>45260.357638888891</v>
      </c>
      <c r="BM198" s="473">
        <v>45260.361111111109</v>
      </c>
      <c r="BN198" s="473">
        <f t="shared" si="102"/>
        <v>45262.069444444445</v>
      </c>
      <c r="BO198" s="473">
        <v>45262.25</v>
      </c>
      <c r="BP198" s="473">
        <v>45262.416666666664</v>
      </c>
      <c r="BQ198" s="473">
        <v>45262.336805555555</v>
      </c>
      <c r="BR198" s="473">
        <v>45263.75</v>
      </c>
      <c r="BS198" s="473">
        <v>45266.583333333336</v>
      </c>
      <c r="BT198" s="473">
        <v>45266.635416666664</v>
      </c>
      <c r="BU198" s="473">
        <v>45266.677083333336</v>
      </c>
      <c r="BV198" s="473">
        <v>45266.677083333336</v>
      </c>
      <c r="BW198" s="473">
        <v>45266.677083333336</v>
      </c>
      <c r="BZ198" s="481">
        <f t="shared" si="93"/>
        <v>42.916666666686069</v>
      </c>
      <c r="CA198" s="481">
        <f t="shared" si="94"/>
        <v>4.6666666666860692</v>
      </c>
      <c r="CB198" s="481">
        <f t="shared" si="95"/>
        <v>41.000000000058208</v>
      </c>
      <c r="CC198" s="481">
        <f t="shared" si="101"/>
        <v>32.000000000058208</v>
      </c>
      <c r="CD198" s="482">
        <f t="shared" si="96"/>
        <v>1.2499999998835847</v>
      </c>
      <c r="CE198" s="482">
        <f t="shared" si="97"/>
        <v>0</v>
      </c>
      <c r="CF198" s="483">
        <f t="shared" si="107"/>
        <v>5.0763888888905058</v>
      </c>
      <c r="CG198" s="483">
        <f t="shared" si="99"/>
        <v>9.3229166666715173</v>
      </c>
      <c r="CH198" s="484">
        <f t="shared" si="108"/>
        <v>0.54450651769076541</v>
      </c>
    </row>
    <row r="199" spans="1:86" s="475" customFormat="1">
      <c r="A199" s="1061"/>
      <c r="G199" s="518"/>
      <c r="H199" s="518"/>
      <c r="I199" s="477"/>
      <c r="M199" s="529"/>
      <c r="Q199" s="477"/>
      <c r="R199" s="477"/>
      <c r="S199" s="1062">
        <f t="shared" ref="S199:AY199" si="109">SUM(S4:S198)</f>
        <v>1359319.5450000002</v>
      </c>
      <c r="T199" s="1062">
        <f t="shared" si="109"/>
        <v>0</v>
      </c>
      <c r="U199" s="1062">
        <f t="shared" si="109"/>
        <v>154417.76649999997</v>
      </c>
      <c r="V199" s="1062">
        <f t="shared" si="109"/>
        <v>52003.181499999999</v>
      </c>
      <c r="W199" s="1062">
        <f t="shared" si="109"/>
        <v>0</v>
      </c>
      <c r="X199" s="1062">
        <f t="shared" si="109"/>
        <v>403849.41690000013</v>
      </c>
      <c r="Y199" s="1062">
        <f t="shared" si="109"/>
        <v>319340.41510000004</v>
      </c>
      <c r="Z199" s="1062">
        <f t="shared" si="109"/>
        <v>67838.45</v>
      </c>
      <c r="AA199" s="1062">
        <f t="shared" si="109"/>
        <v>30146.794999999998</v>
      </c>
      <c r="AB199" s="1062">
        <f t="shared" si="109"/>
        <v>21950.564000000002</v>
      </c>
      <c r="AC199" s="1062">
        <f t="shared" si="109"/>
        <v>0</v>
      </c>
      <c r="AD199" s="1062">
        <f t="shared" si="109"/>
        <v>37395.561999999998</v>
      </c>
      <c r="AE199" s="1062">
        <f t="shared" si="109"/>
        <v>0</v>
      </c>
      <c r="AF199" s="1062">
        <f t="shared" si="109"/>
        <v>0</v>
      </c>
      <c r="AG199" s="1062">
        <f t="shared" si="109"/>
        <v>0</v>
      </c>
      <c r="AH199" s="1062">
        <f t="shared" si="109"/>
        <v>15054.526</v>
      </c>
      <c r="AI199" s="1062">
        <f t="shared" si="109"/>
        <v>0</v>
      </c>
      <c r="AJ199" s="1062">
        <f t="shared" si="109"/>
        <v>0</v>
      </c>
      <c r="AK199" s="1062">
        <f t="shared" si="109"/>
        <v>0</v>
      </c>
      <c r="AL199" s="1062">
        <f t="shared" si="109"/>
        <v>7500</v>
      </c>
      <c r="AM199" s="1062">
        <f t="shared" si="109"/>
        <v>15060</v>
      </c>
      <c r="AN199" s="1062">
        <f t="shared" si="109"/>
        <v>15216.553</v>
      </c>
      <c r="AO199" s="1062">
        <f t="shared" si="109"/>
        <v>37500</v>
      </c>
      <c r="AP199" s="1062">
        <f t="shared" si="109"/>
        <v>0</v>
      </c>
      <c r="AQ199" s="1062">
        <f t="shared" si="109"/>
        <v>0</v>
      </c>
      <c r="AR199" s="1062">
        <f t="shared" si="109"/>
        <v>0</v>
      </c>
      <c r="AS199" s="1062">
        <f t="shared" si="109"/>
        <v>4201.643</v>
      </c>
      <c r="AT199" s="1062">
        <f t="shared" si="109"/>
        <v>70197.951000000001</v>
      </c>
      <c r="AU199" s="1062">
        <f t="shared" si="109"/>
        <v>55180.147999999994</v>
      </c>
      <c r="AV199" s="1062">
        <f t="shared" si="109"/>
        <v>0</v>
      </c>
      <c r="AW199" s="1062">
        <f t="shared" si="109"/>
        <v>22631.530000000002</v>
      </c>
      <c r="AX199" s="1062">
        <f t="shared" si="109"/>
        <v>15012.192999999999</v>
      </c>
      <c r="AY199" s="1062">
        <f t="shared" si="109"/>
        <v>14822.849999999999</v>
      </c>
      <c r="AZ199" s="1062">
        <f t="shared" ref="AZ199:BB199" si="110">SUM(AZ4:AZ198)</f>
        <v>0</v>
      </c>
      <c r="BA199" s="1062">
        <f t="shared" si="110"/>
        <v>0</v>
      </c>
      <c r="BB199" s="1062">
        <f t="shared" si="110"/>
        <v>0</v>
      </c>
      <c r="BC199" s="1062"/>
      <c r="BD199" s="473"/>
      <c r="BE199" s="473"/>
      <c r="BF199" s="473"/>
      <c r="BG199" s="473"/>
      <c r="BH199" s="473"/>
      <c r="BI199" s="473"/>
      <c r="BJ199" s="473"/>
      <c r="BK199" s="473"/>
      <c r="BL199" s="473"/>
      <c r="BM199" s="473"/>
      <c r="BN199" s="473"/>
      <c r="BO199" s="473"/>
      <c r="BP199" s="473"/>
      <c r="BQ199" s="473"/>
      <c r="BR199" s="473"/>
      <c r="BS199" s="473"/>
      <c r="BT199" s="473"/>
      <c r="BU199" s="473"/>
      <c r="BV199" s="473"/>
      <c r="BW199" s="473"/>
      <c r="BZ199" s="481"/>
      <c r="CA199" s="481"/>
      <c r="CB199" s="481"/>
      <c r="CC199" s="481"/>
      <c r="CD199" s="482"/>
      <c r="CE199" s="482"/>
      <c r="CF199" s="473"/>
      <c r="CG199" s="473"/>
    </row>
  </sheetData>
  <mergeCells count="53">
    <mergeCell ref="M1:M2"/>
    <mergeCell ref="A1:A2"/>
    <mergeCell ref="B1:B2"/>
    <mergeCell ref="C1:C2"/>
    <mergeCell ref="D1:D2"/>
    <mergeCell ref="E1:F2"/>
    <mergeCell ref="G1:G2"/>
    <mergeCell ref="H1:H2"/>
    <mergeCell ref="I1:I2"/>
    <mergeCell ref="J1:J2"/>
    <mergeCell ref="K1:K2"/>
    <mergeCell ref="L1:L2"/>
    <mergeCell ref="BD1:BD2"/>
    <mergeCell ref="N1:N2"/>
    <mergeCell ref="O1:O2"/>
    <mergeCell ref="P1:P2"/>
    <mergeCell ref="Q1:Q2"/>
    <mergeCell ref="R1:R2"/>
    <mergeCell ref="S1:S2"/>
    <mergeCell ref="U1:W1"/>
    <mergeCell ref="X1:Y1"/>
    <mergeCell ref="Z1:AA1"/>
    <mergeCell ref="AD1:AH1"/>
    <mergeCell ref="AI1:BC1"/>
    <mergeCell ref="BP1:BP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CC1:CC2"/>
    <mergeCell ref="BQ1:BQ2"/>
    <mergeCell ref="BR1:BR2"/>
    <mergeCell ref="BS1:BS2"/>
    <mergeCell ref="BT1:BT2"/>
    <mergeCell ref="BU1:BU2"/>
    <mergeCell ref="BV1:BV2"/>
    <mergeCell ref="BW1:BW2"/>
    <mergeCell ref="BX1:BX2"/>
    <mergeCell ref="BZ1:BZ2"/>
    <mergeCell ref="CA1:CA2"/>
    <mergeCell ref="CB1:CB2"/>
    <mergeCell ref="CD1:CD2"/>
    <mergeCell ref="CE1:CE2"/>
    <mergeCell ref="CF1:CF2"/>
    <mergeCell ref="CG1:CG2"/>
    <mergeCell ref="CH1:CH2"/>
  </mergeCells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B2:BB429"/>
  <sheetViews>
    <sheetView topLeftCell="A59" zoomScaleNormal="100" workbookViewId="0">
      <selection activeCell="I69" sqref="I69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bestFit="1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7.44140625" style="39" bestFit="1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3.44140625" style="56" bestFit="1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53" width="9.33203125" style="39"/>
    <col min="54" max="54" width="9.6640625" style="39" bestFit="1" customWidth="1"/>
    <col min="55" max="16384" width="9.33203125" style="39"/>
  </cols>
  <sheetData>
    <row r="2" spans="2:54">
      <c r="B2" s="28" t="s">
        <v>126</v>
      </c>
      <c r="C2" s="28"/>
      <c r="D2" s="29"/>
      <c r="E2" s="30" t="s">
        <v>511</v>
      </c>
      <c r="F2" s="31" t="s">
        <v>2746</v>
      </c>
      <c r="G2" s="32"/>
      <c r="H2" s="33"/>
      <c r="I2" s="34"/>
      <c r="J2" s="35" t="s">
        <v>513</v>
      </c>
      <c r="K2" s="36" t="s">
        <v>511</v>
      </c>
      <c r="L2" s="37">
        <v>45205.8125</v>
      </c>
      <c r="M2" s="32"/>
      <c r="N2" s="32"/>
      <c r="O2" s="206"/>
      <c r="P2" s="205"/>
      <c r="Q2" s="202"/>
      <c r="R2" s="204"/>
      <c r="S2" s="38"/>
      <c r="T2" s="201"/>
      <c r="U2" s="201"/>
      <c r="V2" s="201"/>
      <c r="W2" s="201"/>
      <c r="X2" s="201"/>
      <c r="Y2" s="201"/>
      <c r="Z2" s="201"/>
      <c r="AA2" s="201"/>
      <c r="AB2" s="202"/>
      <c r="AC2" s="202"/>
      <c r="AD2" s="202"/>
      <c r="AE2" s="202"/>
      <c r="AF2" s="202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</row>
    <row r="3" spans="2:54">
      <c r="B3" s="35" t="s">
        <v>514</v>
      </c>
      <c r="C3" s="35"/>
      <c r="D3" s="32"/>
      <c r="E3" s="36" t="s">
        <v>511</v>
      </c>
      <c r="F3" s="311" t="s">
        <v>3689</v>
      </c>
      <c r="G3" s="32"/>
      <c r="H3" s="33"/>
      <c r="I3" s="34"/>
      <c r="J3" s="35" t="s">
        <v>516</v>
      </c>
      <c r="K3" s="36" t="s">
        <v>511</v>
      </c>
      <c r="L3" s="37">
        <v>45207.131944444445</v>
      </c>
      <c r="M3" s="32"/>
      <c r="N3" s="32"/>
      <c r="O3" s="206"/>
      <c r="P3" s="205"/>
      <c r="Q3" s="202"/>
      <c r="R3" s="204"/>
      <c r="S3" s="38"/>
      <c r="T3" s="201"/>
      <c r="U3" s="201"/>
      <c r="V3" s="201"/>
      <c r="W3" s="201"/>
      <c r="X3" s="201"/>
      <c r="Y3" s="201"/>
      <c r="Z3" s="201"/>
      <c r="AA3" s="201"/>
      <c r="AB3" s="202"/>
      <c r="AC3" s="202"/>
      <c r="AD3" s="202"/>
      <c r="AE3" s="202"/>
      <c r="AF3" s="202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</row>
    <row r="4" spans="2:54">
      <c r="B4" s="35" t="s">
        <v>517</v>
      </c>
      <c r="C4" s="35"/>
      <c r="D4" s="32"/>
      <c r="E4" s="36" t="s">
        <v>511</v>
      </c>
      <c r="F4" s="37">
        <v>45198.395833333336</v>
      </c>
      <c r="G4" s="32"/>
      <c r="H4" s="33"/>
      <c r="I4" s="34"/>
      <c r="J4" s="35" t="s">
        <v>518</v>
      </c>
      <c r="K4" s="36" t="s">
        <v>511</v>
      </c>
      <c r="L4" s="50">
        <v>45000</v>
      </c>
      <c r="M4" s="40" t="s">
        <v>519</v>
      </c>
      <c r="N4" s="40"/>
      <c r="O4" s="206"/>
      <c r="P4" s="205"/>
      <c r="Q4" s="202"/>
      <c r="R4" s="204"/>
      <c r="S4" s="38"/>
      <c r="T4" s="201"/>
      <c r="U4" s="201"/>
      <c r="V4" s="201"/>
      <c r="W4" s="201"/>
      <c r="X4" s="201"/>
      <c r="Y4" s="201"/>
      <c r="Z4" s="201"/>
      <c r="AA4" s="201"/>
      <c r="AB4" s="202"/>
      <c r="AC4" s="202"/>
      <c r="AD4" s="202"/>
      <c r="AE4" s="202"/>
      <c r="AF4" s="202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</row>
    <row r="5" spans="2:54">
      <c r="B5" s="35" t="s">
        <v>520</v>
      </c>
      <c r="C5" s="35"/>
      <c r="D5" s="32"/>
      <c r="E5" s="36" t="s">
        <v>511</v>
      </c>
      <c r="F5" s="37" t="s">
        <v>12</v>
      </c>
      <c r="G5" s="32"/>
      <c r="H5" s="33"/>
      <c r="I5" s="34"/>
      <c r="J5" s="35" t="s">
        <v>521</v>
      </c>
      <c r="K5" s="36" t="s">
        <v>511</v>
      </c>
      <c r="L5" s="41" t="s">
        <v>3076</v>
      </c>
      <c r="M5" s="32"/>
      <c r="N5" s="32"/>
      <c r="O5" s="206"/>
      <c r="P5" s="202"/>
      <c r="Q5" s="202"/>
      <c r="R5" s="204"/>
      <c r="S5" s="38"/>
      <c r="T5" s="201"/>
      <c r="U5" s="201"/>
      <c r="V5" s="201"/>
      <c r="W5" s="201"/>
      <c r="X5" s="201"/>
      <c r="Y5" s="201"/>
      <c r="Z5" s="201"/>
      <c r="AA5" s="201"/>
      <c r="AB5" s="202"/>
      <c r="AC5" s="202"/>
      <c r="AD5" s="202"/>
      <c r="AE5" s="202"/>
      <c r="AF5" s="202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</row>
    <row r="6" spans="2:54">
      <c r="B6" s="35" t="s">
        <v>523</v>
      </c>
      <c r="C6" s="35"/>
      <c r="D6" s="32"/>
      <c r="E6" s="36" t="s">
        <v>511</v>
      </c>
      <c r="F6" s="37" t="s">
        <v>32</v>
      </c>
      <c r="G6" s="32"/>
      <c r="H6" s="33"/>
      <c r="I6" s="34"/>
      <c r="J6" s="42" t="s">
        <v>524</v>
      </c>
      <c r="K6" s="36" t="s">
        <v>511</v>
      </c>
      <c r="L6" s="43" t="s">
        <v>15</v>
      </c>
      <c r="M6" s="44"/>
      <c r="N6" s="44"/>
      <c r="O6" s="206"/>
      <c r="P6" s="205"/>
      <c r="Q6" s="202"/>
      <c r="R6" s="204"/>
      <c r="S6" s="38"/>
      <c r="T6" s="201"/>
      <c r="U6" s="201"/>
      <c r="V6" s="201"/>
      <c r="W6" s="201"/>
      <c r="X6" s="201"/>
      <c r="Y6" s="201"/>
      <c r="Z6" s="201"/>
      <c r="AA6" s="201"/>
      <c r="AB6" s="202"/>
      <c r="AC6" s="202"/>
      <c r="AD6" s="202"/>
      <c r="AE6" s="202"/>
      <c r="AF6" s="202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</row>
    <row r="7" spans="2:54">
      <c r="B7" s="35" t="s">
        <v>2</v>
      </c>
      <c r="C7" s="35"/>
      <c r="D7" s="32"/>
      <c r="E7" s="36" t="s">
        <v>511</v>
      </c>
      <c r="F7" s="37" t="s">
        <v>14</v>
      </c>
      <c r="G7" s="32"/>
      <c r="H7" s="33"/>
      <c r="I7" s="45"/>
      <c r="J7" s="42"/>
      <c r="K7" s="36"/>
      <c r="L7" s="211"/>
      <c r="M7" s="201"/>
      <c r="N7" s="201"/>
      <c r="O7" s="42"/>
      <c r="P7" s="44"/>
      <c r="Q7" s="44"/>
      <c r="R7" s="44"/>
      <c r="S7" s="34"/>
      <c r="T7" s="201"/>
      <c r="U7" s="201"/>
      <c r="V7" s="201"/>
      <c r="W7" s="201"/>
      <c r="X7" s="201"/>
      <c r="Y7" s="201"/>
      <c r="Z7" s="201"/>
      <c r="AA7" s="201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</row>
    <row r="8" spans="2:54">
      <c r="B8" s="201"/>
      <c r="C8" s="201"/>
      <c r="D8" s="201"/>
      <c r="E8" s="201"/>
      <c r="F8" s="201"/>
      <c r="G8" s="201"/>
      <c r="H8" s="201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65" t="s">
        <v>87</v>
      </c>
      <c r="U8" s="1265"/>
      <c r="V8" s="1265"/>
      <c r="W8" s="1265"/>
      <c r="X8" s="1265"/>
      <c r="Y8" s="1265" t="s">
        <v>73</v>
      </c>
      <c r="Z8" s="1265"/>
      <c r="AA8" s="1265"/>
      <c r="AB8" s="1265" t="s">
        <v>74</v>
      </c>
      <c r="AC8" s="1265"/>
      <c r="AD8" s="423" t="s">
        <v>85</v>
      </c>
      <c r="AE8" s="423" t="s">
        <v>77</v>
      </c>
      <c r="AF8" s="1265" t="s">
        <v>525</v>
      </c>
      <c r="AG8" s="1265"/>
      <c r="AH8" s="1265"/>
      <c r="AI8" s="1265"/>
      <c r="AJ8" s="1265"/>
      <c r="AK8" s="1265"/>
      <c r="AL8" s="1265"/>
      <c r="AM8" s="1265"/>
      <c r="AN8" s="1265"/>
      <c r="AO8" s="1265"/>
      <c r="AP8" s="1265"/>
      <c r="AQ8" s="1265"/>
      <c r="AR8" s="1265"/>
      <c r="AS8" s="1265"/>
      <c r="AT8" s="1265"/>
      <c r="AU8" s="1265"/>
      <c r="AV8" s="1265"/>
      <c r="AW8" s="1265"/>
      <c r="AX8" s="1265"/>
      <c r="AY8" s="1265"/>
      <c r="AZ8" s="1265"/>
      <c r="BA8" s="1265"/>
      <c r="BB8" s="201"/>
    </row>
    <row r="9" spans="2:54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625" t="str">
        <f>"On time - "&amp;COUNTIF(N10:N15,"On time")&amp;" from "&amp;ROWS(N10:N15)-COUNTIF(N10:N15," ")</f>
        <v>On time - 2 from 6</v>
      </c>
      <c r="O9" s="46"/>
      <c r="P9" s="409" t="s">
        <v>534</v>
      </c>
      <c r="Q9" s="409" t="s">
        <v>535</v>
      </c>
      <c r="R9" s="409" t="s">
        <v>536</v>
      </c>
      <c r="S9" s="32"/>
      <c r="T9" s="424" t="s">
        <v>537</v>
      </c>
      <c r="U9" s="424" t="s">
        <v>538</v>
      </c>
      <c r="V9" s="424" t="s">
        <v>539</v>
      </c>
      <c r="W9" s="424" t="s">
        <v>540</v>
      </c>
      <c r="X9" s="424" t="s">
        <v>541</v>
      </c>
      <c r="Y9" s="424" t="s">
        <v>167</v>
      </c>
      <c r="Z9" s="424" t="s">
        <v>168</v>
      </c>
      <c r="AA9" s="424" t="s">
        <v>169</v>
      </c>
      <c r="AB9" s="424" t="s">
        <v>235</v>
      </c>
      <c r="AC9" s="424" t="s">
        <v>240</v>
      </c>
      <c r="AD9" s="423" t="s">
        <v>85</v>
      </c>
      <c r="AE9" s="424" t="s">
        <v>139</v>
      </c>
      <c r="AF9" s="424" t="s">
        <v>72</v>
      </c>
      <c r="AG9" s="424" t="s">
        <v>88</v>
      </c>
      <c r="AH9" s="424" t="s">
        <v>75</v>
      </c>
      <c r="AI9" s="424" t="s">
        <v>543</v>
      </c>
      <c r="AJ9" s="424" t="s">
        <v>78</v>
      </c>
      <c r="AK9" s="424" t="s">
        <v>76</v>
      </c>
      <c r="AL9" s="424" t="s">
        <v>544</v>
      </c>
      <c r="AM9" s="424" t="s">
        <v>545</v>
      </c>
      <c r="AN9" s="424" t="s">
        <v>86</v>
      </c>
      <c r="AO9" s="424" t="s">
        <v>83</v>
      </c>
      <c r="AP9" s="424" t="s">
        <v>84</v>
      </c>
      <c r="AQ9" s="424" t="s">
        <v>546</v>
      </c>
      <c r="AR9" s="424" t="s">
        <v>81</v>
      </c>
      <c r="AS9" s="424" t="s">
        <v>80</v>
      </c>
      <c r="AT9" s="424" t="s">
        <v>82</v>
      </c>
      <c r="AU9" s="424" t="s">
        <v>181</v>
      </c>
      <c r="AV9" s="424" t="s">
        <v>183</v>
      </c>
      <c r="AW9" s="424" t="s">
        <v>547</v>
      </c>
      <c r="AX9" s="424" t="s">
        <v>182</v>
      </c>
      <c r="AY9" s="424" t="s">
        <v>172</v>
      </c>
      <c r="AZ9" s="424" t="s">
        <v>173</v>
      </c>
      <c r="BA9" s="424" t="s">
        <v>184</v>
      </c>
      <c r="BB9" s="201"/>
    </row>
    <row r="10" spans="2:54">
      <c r="B10" s="1256" t="s">
        <v>548</v>
      </c>
      <c r="C10" s="1257"/>
      <c r="D10" s="411" t="s">
        <v>2776</v>
      </c>
      <c r="E10" s="411"/>
      <c r="F10" s="411" t="s">
        <v>233</v>
      </c>
      <c r="G10" s="411" t="s">
        <v>234</v>
      </c>
      <c r="H10" s="412">
        <v>7661.7870000000003</v>
      </c>
      <c r="I10" s="413" t="s">
        <v>1472</v>
      </c>
      <c r="J10" s="414">
        <v>45203.5625</v>
      </c>
      <c r="K10" s="414"/>
      <c r="L10" s="414" t="s">
        <v>192</v>
      </c>
      <c r="M10" s="414" t="s">
        <v>192</v>
      </c>
      <c r="N10" s="438" t="str">
        <f t="shared" ref="N10:N17" si="0">IF(ISBLANK(J10)," ",IF(J10&lt;$F$87,"On time",(IF(DAY(J10-$F$87)&lt;1,"On time",(IF(J10&gt;$F$87,"DELAY ( "&amp;DAY(J10-$F$87)&amp;" day "&amp;HOUR(J10-$F$87)&amp;" hour "&amp;MINUTE(J10-$F$87)&amp;" minute )","xxx"))))))</f>
        <v>On time</v>
      </c>
      <c r="O10" s="51"/>
      <c r="P10" s="415" t="s">
        <v>551</v>
      </c>
      <c r="Q10" s="415" t="s">
        <v>551</v>
      </c>
      <c r="R10" s="415" t="s">
        <v>551</v>
      </c>
      <c r="S10" s="32"/>
      <c r="T10" s="416"/>
      <c r="U10" s="416"/>
      <c r="V10" s="416"/>
      <c r="W10" s="416"/>
      <c r="X10" s="416"/>
      <c r="Y10" s="416"/>
      <c r="Z10" s="416"/>
      <c r="AA10" s="416"/>
      <c r="AB10" s="416">
        <f>H10*0.6</f>
        <v>4597.0721999999996</v>
      </c>
      <c r="AC10" s="416">
        <f>H10*0.4</f>
        <v>3064.7148000000002</v>
      </c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/>
      <c r="AQ10" s="416"/>
      <c r="AR10" s="416"/>
      <c r="AS10" s="416"/>
      <c r="AT10" s="416"/>
      <c r="AU10" s="416"/>
      <c r="AV10" s="416"/>
      <c r="AW10" s="416"/>
      <c r="AX10" s="416"/>
      <c r="AY10" s="416"/>
      <c r="AZ10" s="416"/>
      <c r="BA10" s="416"/>
      <c r="BB10" s="32"/>
    </row>
    <row r="11" spans="2:54">
      <c r="B11" s="1256" t="s">
        <v>548</v>
      </c>
      <c r="C11" s="1257"/>
      <c r="D11" s="411" t="s">
        <v>2777</v>
      </c>
      <c r="E11" s="411"/>
      <c r="F11" s="411" t="s">
        <v>2277</v>
      </c>
      <c r="G11" s="411" t="s">
        <v>2278</v>
      </c>
      <c r="H11" s="412">
        <v>7443.7269999999999</v>
      </c>
      <c r="I11" s="413" t="s">
        <v>1472</v>
      </c>
      <c r="J11" s="414">
        <v>45203.645833333336</v>
      </c>
      <c r="K11" s="414"/>
      <c r="L11" s="414" t="s">
        <v>192</v>
      </c>
      <c r="M11" s="414" t="s">
        <v>192</v>
      </c>
      <c r="N11" s="438" t="str">
        <f t="shared" si="0"/>
        <v>On time</v>
      </c>
      <c r="O11" s="51"/>
      <c r="P11" s="415" t="s">
        <v>551</v>
      </c>
      <c r="Q11" s="415" t="s">
        <v>551</v>
      </c>
      <c r="R11" s="415" t="s">
        <v>551</v>
      </c>
      <c r="S11" s="32"/>
      <c r="T11" s="416"/>
      <c r="U11" s="416"/>
      <c r="V11" s="416"/>
      <c r="W11" s="416"/>
      <c r="X11" s="416"/>
      <c r="Y11" s="416"/>
      <c r="Z11" s="416"/>
      <c r="AA11" s="416"/>
      <c r="AB11" s="416">
        <f>H11*0.6</f>
        <v>4466.2361999999994</v>
      </c>
      <c r="AC11" s="416">
        <f>H11*0.4</f>
        <v>2977.4908</v>
      </c>
      <c r="AD11" s="416"/>
      <c r="AE11" s="416"/>
      <c r="AF11" s="416"/>
      <c r="AG11" s="416"/>
      <c r="AH11" s="416"/>
      <c r="AI11" s="416"/>
      <c r="AJ11" s="416"/>
      <c r="AK11" s="32"/>
      <c r="AL11" s="416"/>
      <c r="AM11" s="416"/>
      <c r="AN11" s="416"/>
      <c r="AO11" s="416"/>
      <c r="AP11" s="416"/>
      <c r="AQ11" s="416"/>
      <c r="AR11" s="416"/>
      <c r="AS11" s="416"/>
      <c r="AT11" s="416"/>
      <c r="AU11" s="416"/>
      <c r="AV11" s="416"/>
      <c r="AW11" s="416"/>
      <c r="AX11" s="416"/>
      <c r="AY11" s="416"/>
      <c r="AZ11" s="416"/>
      <c r="BA11" s="416"/>
      <c r="BB11" s="32"/>
    </row>
    <row r="12" spans="2:54">
      <c r="B12" s="1256" t="s">
        <v>548</v>
      </c>
      <c r="C12" s="1257"/>
      <c r="D12" s="411" t="s">
        <v>2775</v>
      </c>
      <c r="E12" s="411"/>
      <c r="F12" s="411" t="s">
        <v>277</v>
      </c>
      <c r="G12" s="411" t="s">
        <v>278</v>
      </c>
      <c r="H12" s="412">
        <v>7448.5860000000002</v>
      </c>
      <c r="I12" s="413" t="s">
        <v>1472</v>
      </c>
      <c r="J12" s="414">
        <v>45203.875</v>
      </c>
      <c r="K12" s="414"/>
      <c r="L12" s="414" t="s">
        <v>192</v>
      </c>
      <c r="M12" s="414" t="s">
        <v>192</v>
      </c>
      <c r="N12" s="438" t="str">
        <f t="shared" si="0"/>
        <v>DELAY ( 1 day 5 hour 6 minute )</v>
      </c>
      <c r="O12" s="51"/>
      <c r="P12" s="415" t="s">
        <v>551</v>
      </c>
      <c r="Q12" s="415" t="s">
        <v>551</v>
      </c>
      <c r="R12" s="415" t="s">
        <v>551</v>
      </c>
      <c r="S12" s="32"/>
      <c r="T12" s="416"/>
      <c r="U12" s="416"/>
      <c r="V12" s="416"/>
      <c r="W12" s="416"/>
      <c r="X12" s="416"/>
      <c r="Y12" s="416"/>
      <c r="Z12" s="416"/>
      <c r="AA12" s="416"/>
      <c r="AB12" s="416">
        <f>H12*0.6</f>
        <v>4469.1516000000001</v>
      </c>
      <c r="AC12" s="416">
        <f>H12*0.4</f>
        <v>2979.4344000000001</v>
      </c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/>
      <c r="AQ12" s="416"/>
      <c r="AR12" s="416"/>
      <c r="AS12" s="416"/>
      <c r="AT12" s="32"/>
      <c r="AU12" s="416"/>
      <c r="AV12" s="416"/>
      <c r="AW12" s="416"/>
      <c r="AX12" s="416"/>
      <c r="AY12" s="416"/>
      <c r="AZ12" s="416"/>
      <c r="BA12" s="416"/>
      <c r="BB12" s="32"/>
    </row>
    <row r="13" spans="2:54">
      <c r="B13" s="1250" t="s">
        <v>653</v>
      </c>
      <c r="C13" s="1251"/>
      <c r="D13" s="411" t="s">
        <v>3284</v>
      </c>
      <c r="E13" s="411"/>
      <c r="F13" s="411" t="s">
        <v>274</v>
      </c>
      <c r="G13" s="411" t="s">
        <v>1093</v>
      </c>
      <c r="H13" s="412">
        <v>7415.0190000000002</v>
      </c>
      <c r="I13" s="413" t="s">
        <v>1472</v>
      </c>
      <c r="J13" s="414">
        <v>45204.416666666664</v>
      </c>
      <c r="K13" s="414"/>
      <c r="L13" s="414" t="s">
        <v>192</v>
      </c>
      <c r="M13" s="414" t="s">
        <v>192</v>
      </c>
      <c r="N13" s="438" t="str">
        <f t="shared" si="0"/>
        <v>DELAY ( 1 day 18 hour 6 minute )</v>
      </c>
      <c r="O13" s="51"/>
      <c r="P13" s="415" t="s">
        <v>551</v>
      </c>
      <c r="Q13" s="415" t="s">
        <v>551</v>
      </c>
      <c r="R13" s="415" t="s">
        <v>551</v>
      </c>
      <c r="S13" s="32"/>
      <c r="T13" s="416"/>
      <c r="U13" s="416"/>
      <c r="V13" s="416"/>
      <c r="W13" s="416"/>
      <c r="X13" s="416"/>
      <c r="Y13" s="416"/>
      <c r="Z13" s="416"/>
      <c r="AA13" s="416"/>
      <c r="AB13" s="416">
        <f>H13*0.6</f>
        <v>4449.0114000000003</v>
      </c>
      <c r="AC13" s="416">
        <f>H13*0.4</f>
        <v>2966.0076000000004</v>
      </c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416"/>
      <c r="BA13" s="416"/>
      <c r="BB13" s="32"/>
    </row>
    <row r="14" spans="2:54">
      <c r="B14" s="1254"/>
      <c r="C14" s="1255"/>
      <c r="D14" s="411" t="s">
        <v>3285</v>
      </c>
      <c r="E14" s="411"/>
      <c r="F14" s="411" t="s">
        <v>774</v>
      </c>
      <c r="G14" s="411" t="s">
        <v>423</v>
      </c>
      <c r="H14" s="412">
        <v>7679.4939999999997</v>
      </c>
      <c r="I14" s="413" t="s">
        <v>1472</v>
      </c>
      <c r="J14" s="414">
        <v>45204.604166666664</v>
      </c>
      <c r="K14" s="414"/>
      <c r="L14" s="414" t="s">
        <v>192</v>
      </c>
      <c r="M14" s="414" t="s">
        <v>192</v>
      </c>
      <c r="N14" s="438" t="str">
        <f t="shared" si="0"/>
        <v>DELAY ( 1 day 22 hour 36 minute )</v>
      </c>
      <c r="O14" s="51"/>
      <c r="P14" s="415" t="s">
        <v>551</v>
      </c>
      <c r="Q14" s="415" t="s">
        <v>551</v>
      </c>
      <c r="R14" s="415" t="s">
        <v>551</v>
      </c>
      <c r="S14" s="32"/>
      <c r="T14" s="416"/>
      <c r="U14" s="416"/>
      <c r="V14" s="416"/>
      <c r="W14" s="416"/>
      <c r="X14" s="416"/>
      <c r="Y14" s="416"/>
      <c r="Z14" s="416"/>
      <c r="AA14" s="416"/>
      <c r="AB14" s="416">
        <f>H14*0.6</f>
        <v>4607.6963999999998</v>
      </c>
      <c r="AC14" s="416">
        <f>H14*0.4</f>
        <v>3071.7975999999999</v>
      </c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/>
      <c r="AQ14" s="416"/>
      <c r="AR14" s="416"/>
      <c r="AS14" s="416"/>
      <c r="AT14" s="416"/>
      <c r="AU14" s="416"/>
      <c r="AV14" s="416"/>
      <c r="AW14" s="416"/>
      <c r="AX14" s="416"/>
      <c r="AY14" s="416"/>
      <c r="AZ14" s="416"/>
      <c r="BA14" s="416"/>
      <c r="BB14" s="32"/>
    </row>
    <row r="15" spans="2:54">
      <c r="B15" s="1256" t="s">
        <v>548</v>
      </c>
      <c r="C15" s="1257"/>
      <c r="D15" s="411" t="s">
        <v>3286</v>
      </c>
      <c r="E15" s="411"/>
      <c r="F15" s="411" t="s">
        <v>377</v>
      </c>
      <c r="G15" s="411" t="s">
        <v>378</v>
      </c>
      <c r="H15" s="412">
        <f>7918.516-567.129</f>
        <v>7351.3869999999997</v>
      </c>
      <c r="I15" s="413" t="s">
        <v>235</v>
      </c>
      <c r="J15" s="414">
        <v>45204.430555555555</v>
      </c>
      <c r="K15" s="414"/>
      <c r="L15" s="414" t="s">
        <v>192</v>
      </c>
      <c r="M15" s="414" t="s">
        <v>192</v>
      </c>
      <c r="N15" s="438" t="str">
        <f t="shared" si="0"/>
        <v>DELAY ( 1 day 18 hour 26 minute )</v>
      </c>
      <c r="O15" s="51"/>
      <c r="P15" s="415" t="s">
        <v>551</v>
      </c>
      <c r="Q15" s="415" t="s">
        <v>551</v>
      </c>
      <c r="R15" s="415" t="s">
        <v>551</v>
      </c>
      <c r="S15" s="32"/>
      <c r="T15" s="416"/>
      <c r="U15" s="416"/>
      <c r="V15" s="416"/>
      <c r="W15" s="416"/>
      <c r="X15" s="416"/>
      <c r="Y15" s="416"/>
      <c r="Z15" s="416"/>
      <c r="AA15" s="416"/>
      <c r="AB15" s="416">
        <f>H15</f>
        <v>7351.3869999999997</v>
      </c>
      <c r="AC15" s="416"/>
      <c r="AD15" s="416"/>
      <c r="AE15" s="416"/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6"/>
      <c r="AS15" s="416"/>
      <c r="AT15" s="416"/>
      <c r="AU15" s="416"/>
      <c r="AV15" s="416"/>
      <c r="AW15" s="416"/>
      <c r="AX15" s="416"/>
      <c r="AY15" s="416"/>
      <c r="AZ15" s="416"/>
      <c r="BA15" s="416"/>
      <c r="BB15" s="32"/>
    </row>
    <row r="16" spans="2:54">
      <c r="B16" s="1258" t="s">
        <v>556</v>
      </c>
      <c r="C16" s="1259"/>
      <c r="D16" s="1259"/>
      <c r="E16" s="1259"/>
      <c r="F16" s="1259"/>
      <c r="G16" s="1260"/>
      <c r="H16" s="417">
        <f>SUM(H10:H15)</f>
        <v>45000</v>
      </c>
      <c r="I16" s="388"/>
      <c r="J16" s="293"/>
      <c r="K16" s="293"/>
      <c r="L16" s="293"/>
      <c r="M16" s="389"/>
      <c r="N16" s="438" t="str">
        <f t="shared" si="0"/>
        <v xml:space="preserve"> </v>
      </c>
      <c r="O16" s="212"/>
      <c r="P16" s="418"/>
      <c r="Q16" s="418"/>
      <c r="R16" s="418"/>
      <c r="S16" s="207"/>
      <c r="T16" s="1300"/>
      <c r="U16" s="1301"/>
      <c r="V16" s="1301"/>
      <c r="W16" s="1301"/>
      <c r="X16" s="1301"/>
      <c r="Y16" s="1301"/>
      <c r="Z16" s="1301"/>
      <c r="AA16" s="1301"/>
      <c r="AB16" s="1301"/>
      <c r="AC16" s="1301"/>
      <c r="AD16" s="1301"/>
      <c r="AE16" s="1301"/>
      <c r="AF16" s="1301"/>
      <c r="AG16" s="1301"/>
      <c r="AH16" s="1301"/>
      <c r="AI16" s="1301"/>
      <c r="AJ16" s="1301"/>
      <c r="AK16" s="1301"/>
      <c r="AL16" s="1301"/>
      <c r="AM16" s="1301"/>
      <c r="AN16" s="1301"/>
      <c r="AO16" s="1301"/>
      <c r="AP16" s="1301"/>
      <c r="AQ16" s="1301"/>
      <c r="AR16" s="1301"/>
      <c r="AS16" s="1301"/>
      <c r="AT16" s="1301"/>
      <c r="AU16" s="1301"/>
      <c r="AV16" s="1301"/>
      <c r="AW16" s="1301"/>
      <c r="AX16" s="1301"/>
      <c r="AY16" s="1301"/>
      <c r="AZ16" s="1301"/>
      <c r="BA16" s="1301"/>
    </row>
    <row r="17" spans="2:54">
      <c r="B17" s="1243" t="s">
        <v>557</v>
      </c>
      <c r="C17" s="1244"/>
      <c r="D17" s="1244"/>
      <c r="E17" s="1244"/>
      <c r="F17" s="1244"/>
      <c r="G17" s="1245"/>
      <c r="H17" s="419">
        <v>45000</v>
      </c>
      <c r="I17" s="1273"/>
      <c r="J17" s="1274"/>
      <c r="K17" s="1274"/>
      <c r="L17" s="1274"/>
      <c r="M17" s="1275"/>
      <c r="N17" s="438" t="str">
        <f t="shared" si="0"/>
        <v xml:space="preserve"> </v>
      </c>
      <c r="O17" s="32"/>
      <c r="P17" s="415"/>
      <c r="Q17" s="415"/>
      <c r="R17" s="415"/>
      <c r="S17" s="63"/>
      <c r="T17" s="416">
        <f t="shared" ref="T17:BA17" si="1">SUM(T10:T15)</f>
        <v>0</v>
      </c>
      <c r="U17" s="416">
        <f t="shared" si="1"/>
        <v>0</v>
      </c>
      <c r="V17" s="416">
        <f t="shared" si="1"/>
        <v>0</v>
      </c>
      <c r="W17" s="416">
        <f t="shared" si="1"/>
        <v>0</v>
      </c>
      <c r="X17" s="416">
        <f t="shared" si="1"/>
        <v>0</v>
      </c>
      <c r="Y17" s="416">
        <f t="shared" si="1"/>
        <v>0</v>
      </c>
      <c r="Z17" s="416">
        <f t="shared" si="1"/>
        <v>0</v>
      </c>
      <c r="AA17" s="416">
        <f t="shared" si="1"/>
        <v>0</v>
      </c>
      <c r="AB17" s="416">
        <f t="shared" si="1"/>
        <v>29940.554799999998</v>
      </c>
      <c r="AC17" s="416">
        <f t="shared" si="1"/>
        <v>15059.4452</v>
      </c>
      <c r="AD17" s="416">
        <f t="shared" si="1"/>
        <v>0</v>
      </c>
      <c r="AE17" s="416">
        <f t="shared" si="1"/>
        <v>0</v>
      </c>
      <c r="AF17" s="416">
        <f t="shared" si="1"/>
        <v>0</v>
      </c>
      <c r="AG17" s="416">
        <f t="shared" si="1"/>
        <v>0</v>
      </c>
      <c r="AH17" s="416">
        <f t="shared" si="1"/>
        <v>0</v>
      </c>
      <c r="AI17" s="416">
        <f t="shared" si="1"/>
        <v>0</v>
      </c>
      <c r="AJ17" s="416">
        <f t="shared" si="1"/>
        <v>0</v>
      </c>
      <c r="AK17" s="416">
        <f t="shared" si="1"/>
        <v>0</v>
      </c>
      <c r="AL17" s="416">
        <f t="shared" si="1"/>
        <v>0</v>
      </c>
      <c r="AM17" s="416">
        <f t="shared" si="1"/>
        <v>0</v>
      </c>
      <c r="AN17" s="416">
        <f t="shared" si="1"/>
        <v>0</v>
      </c>
      <c r="AO17" s="416">
        <f t="shared" si="1"/>
        <v>0</v>
      </c>
      <c r="AP17" s="416">
        <f t="shared" si="1"/>
        <v>0</v>
      </c>
      <c r="AQ17" s="416">
        <f t="shared" si="1"/>
        <v>0</v>
      </c>
      <c r="AR17" s="416">
        <f t="shared" si="1"/>
        <v>0</v>
      </c>
      <c r="AS17" s="416">
        <f t="shared" si="1"/>
        <v>0</v>
      </c>
      <c r="AT17" s="416">
        <f t="shared" si="1"/>
        <v>0</v>
      </c>
      <c r="AU17" s="416">
        <f t="shared" si="1"/>
        <v>0</v>
      </c>
      <c r="AV17" s="416">
        <f t="shared" si="1"/>
        <v>0</v>
      </c>
      <c r="AW17" s="416">
        <f t="shared" si="1"/>
        <v>0</v>
      </c>
      <c r="AX17" s="416">
        <f t="shared" si="1"/>
        <v>0</v>
      </c>
      <c r="AY17" s="416">
        <f t="shared" si="1"/>
        <v>0</v>
      </c>
      <c r="AZ17" s="416">
        <f t="shared" si="1"/>
        <v>0</v>
      </c>
      <c r="BA17" s="416">
        <f t="shared" si="1"/>
        <v>0</v>
      </c>
      <c r="BB17" s="416">
        <f>SUM(T17:BA17)</f>
        <v>45000</v>
      </c>
    </row>
    <row r="18" spans="2:54">
      <c r="B18" s="1243" t="s">
        <v>558</v>
      </c>
      <c r="C18" s="1244"/>
      <c r="D18" s="1244"/>
      <c r="E18" s="1244"/>
      <c r="F18" s="1244"/>
      <c r="G18" s="1245"/>
      <c r="H18" s="420">
        <f>H17-L4</f>
        <v>0</v>
      </c>
      <c r="I18" s="669"/>
      <c r="J18" s="670"/>
      <c r="K18" s="670"/>
      <c r="L18" s="671"/>
      <c r="M18" s="207"/>
      <c r="N18" s="32"/>
      <c r="O18" s="32"/>
      <c r="P18" s="32"/>
      <c r="Q18" s="297"/>
      <c r="R18" s="297"/>
      <c r="S18" s="32"/>
      <c r="T18" s="48"/>
      <c r="U18" s="48"/>
      <c r="V18" s="48"/>
      <c r="W18" s="48"/>
      <c r="X18" s="48"/>
      <c r="Y18" s="48"/>
      <c r="Z18" s="48"/>
      <c r="AA18" s="48"/>
      <c r="AB18" s="48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2:54">
      <c r="B19" s="1243" t="s">
        <v>559</v>
      </c>
      <c r="C19" s="1244"/>
      <c r="D19" s="1244"/>
      <c r="E19" s="1244"/>
      <c r="F19" s="1244"/>
      <c r="G19" s="1245"/>
      <c r="H19" s="446">
        <v>822.87099999999998</v>
      </c>
      <c r="I19" s="672"/>
      <c r="J19" s="673"/>
      <c r="K19" s="673"/>
      <c r="L19" s="674"/>
      <c r="M19" s="201"/>
      <c r="N19" s="201"/>
      <c r="O19" s="32"/>
      <c r="P19" s="32"/>
      <c r="Q19" s="32"/>
      <c r="R19" s="32"/>
      <c r="S19" s="32"/>
      <c r="T19" s="48"/>
      <c r="U19" s="48"/>
      <c r="V19" s="48"/>
      <c r="W19" s="48"/>
      <c r="X19" s="48"/>
      <c r="Y19" s="48"/>
      <c r="Z19" s="48"/>
      <c r="AA19" s="48"/>
      <c r="AB19" s="48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2:54" s="496" customFormat="1">
      <c r="B20" s="1323" t="s">
        <v>560</v>
      </c>
      <c r="C20" s="1324"/>
      <c r="D20" s="1324"/>
      <c r="E20" s="1324"/>
      <c r="F20" s="1324"/>
      <c r="G20" s="1325"/>
      <c r="H20" s="420">
        <f>H19-567.129</f>
        <v>255.74199999999996</v>
      </c>
      <c r="I20" s="209"/>
      <c r="J20" s="498"/>
      <c r="K20" s="498"/>
      <c r="L20" s="499"/>
      <c r="M20" s="201"/>
      <c r="N20" s="201"/>
      <c r="O20" s="201"/>
      <c r="P20" s="201"/>
      <c r="Q20" s="201"/>
      <c r="R20" s="201"/>
      <c r="S20" s="202"/>
      <c r="T20" s="202"/>
      <c r="U20" s="202"/>
      <c r="V20" s="202"/>
      <c r="W20" s="202"/>
      <c r="X20" s="202"/>
      <c r="Y20" s="202"/>
      <c r="Z20" s="202"/>
      <c r="AA20" s="202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</row>
    <row r="21" spans="2:54">
      <c r="B21" s="201"/>
      <c r="C21" s="201"/>
      <c r="D21" s="201"/>
      <c r="E21" s="201"/>
      <c r="F21" s="201"/>
      <c r="G21" s="201"/>
      <c r="H21" s="201"/>
      <c r="I21" s="213"/>
      <c r="J21" s="209"/>
      <c r="K21" s="209"/>
      <c r="L21" s="203"/>
      <c r="M21" s="201"/>
      <c r="N21" s="201"/>
      <c r="O21" s="209"/>
      <c r="P21" s="32"/>
      <c r="Q21" s="32"/>
      <c r="R21" s="32"/>
      <c r="S21" s="32"/>
      <c r="T21" s="48"/>
      <c r="U21" s="48"/>
      <c r="V21" s="48"/>
      <c r="W21" s="48"/>
      <c r="X21" s="48"/>
      <c r="Y21" s="48"/>
      <c r="Z21" s="48"/>
      <c r="AA21" s="48"/>
      <c r="AB21" s="48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spans="2:54">
      <c r="B22" s="40" t="s">
        <v>561</v>
      </c>
      <c r="C22" s="40"/>
      <c r="D22" s="32"/>
      <c r="E22" s="32"/>
      <c r="F22" s="32"/>
      <c r="G22" s="32"/>
      <c r="H22" s="32"/>
      <c r="I22" s="32"/>
      <c r="J22" s="52"/>
      <c r="K22" s="52"/>
      <c r="L22" s="55"/>
      <c r="M22" s="32"/>
      <c r="N22" s="201"/>
      <c r="O22" s="5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  <c r="AT22" s="201"/>
      <c r="AU22" s="201"/>
      <c r="BB22" s="201"/>
    </row>
    <row r="23" spans="2:54">
      <c r="B23" s="422">
        <v>1</v>
      </c>
      <c r="C23" s="1249" t="s">
        <v>3690</v>
      </c>
      <c r="D23" s="1249"/>
      <c r="E23" s="1249"/>
      <c r="F23" s="1249"/>
      <c r="G23" s="1249"/>
      <c r="H23" s="1249"/>
      <c r="I23" s="1249"/>
      <c r="J23" s="1249"/>
      <c r="K23" s="1249"/>
      <c r="L23" s="203"/>
      <c r="M23" s="203"/>
      <c r="N23" s="201"/>
      <c r="O23" s="209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1"/>
      <c r="AR23" s="201"/>
      <c r="AS23" s="201"/>
      <c r="AT23" s="201"/>
      <c r="AU23" s="201"/>
      <c r="AV23" s="201"/>
      <c r="AW23" s="201"/>
      <c r="AX23" s="201"/>
      <c r="AY23" s="201"/>
      <c r="AZ23" s="201"/>
      <c r="BA23" s="201"/>
      <c r="BB23" s="201"/>
    </row>
    <row r="25" spans="2:54">
      <c r="B25" s="680" t="s">
        <v>126</v>
      </c>
      <c r="C25" s="680"/>
      <c r="D25" s="681"/>
      <c r="E25" s="682" t="s">
        <v>511</v>
      </c>
      <c r="F25" s="683" t="s">
        <v>1084</v>
      </c>
      <c r="G25" s="598"/>
      <c r="H25" s="684"/>
      <c r="I25" s="685"/>
      <c r="J25" s="686" t="s">
        <v>513</v>
      </c>
      <c r="K25" s="687" t="s">
        <v>511</v>
      </c>
      <c r="L25" s="516">
        <v>45208.479166666664</v>
      </c>
      <c r="M25" s="598"/>
      <c r="N25" s="598"/>
      <c r="O25" s="687"/>
      <c r="P25" s="684"/>
      <c r="Q25" s="688"/>
      <c r="R25" s="689"/>
      <c r="S25" s="690"/>
      <c r="T25" s="598"/>
      <c r="U25" s="598"/>
      <c r="V25" s="598"/>
      <c r="W25" s="598"/>
      <c r="X25" s="598"/>
      <c r="Y25" s="598"/>
      <c r="Z25" s="598"/>
      <c r="AA25" s="598"/>
      <c r="AB25" s="688"/>
      <c r="AC25" s="688"/>
      <c r="AD25" s="688"/>
      <c r="AE25" s="688"/>
      <c r="AF25" s="688"/>
      <c r="AG25" s="598"/>
      <c r="AH25" s="598"/>
      <c r="AI25" s="598"/>
      <c r="AJ25" s="598"/>
      <c r="AK25" s="598"/>
      <c r="AL25" s="598"/>
      <c r="AM25" s="598"/>
      <c r="AN25" s="598"/>
      <c r="AO25" s="598"/>
      <c r="AP25" s="598"/>
      <c r="AQ25" s="598"/>
      <c r="AR25" s="598"/>
      <c r="AS25" s="598"/>
      <c r="AT25" s="598"/>
      <c r="AU25" s="598"/>
      <c r="AV25" s="598"/>
      <c r="AW25" s="598"/>
      <c r="AX25" s="598"/>
      <c r="AY25" s="598"/>
      <c r="AZ25" s="598"/>
      <c r="BA25" s="598"/>
      <c r="BB25" s="598"/>
    </row>
    <row r="26" spans="2:54">
      <c r="B26" s="686" t="s">
        <v>514</v>
      </c>
      <c r="C26" s="686"/>
      <c r="D26" s="598"/>
      <c r="E26" s="687" t="s">
        <v>511</v>
      </c>
      <c r="F26" s="691" t="s">
        <v>3691</v>
      </c>
      <c r="G26" s="598"/>
      <c r="H26" s="684"/>
      <c r="I26" s="685"/>
      <c r="J26" s="686" t="s">
        <v>516</v>
      </c>
      <c r="K26" s="687" t="s">
        <v>511</v>
      </c>
      <c r="L26" s="516">
        <v>45210.020833333328</v>
      </c>
      <c r="M26" s="598"/>
      <c r="N26" s="598"/>
      <c r="O26" s="687"/>
      <c r="P26" s="684"/>
      <c r="Q26" s="688"/>
      <c r="R26" s="689"/>
      <c r="S26" s="690"/>
      <c r="T26" s="598"/>
      <c r="U26" s="598"/>
      <c r="V26" s="598"/>
      <c r="W26" s="598"/>
      <c r="X26" s="598"/>
      <c r="Y26" s="598"/>
      <c r="Z26" s="598"/>
      <c r="AA26" s="598"/>
      <c r="AB26" s="688"/>
      <c r="AC26" s="688"/>
      <c r="AD26" s="688"/>
      <c r="AE26" s="688"/>
      <c r="AF26" s="688"/>
      <c r="AG26" s="598"/>
      <c r="AH26" s="598"/>
      <c r="AI26" s="598"/>
      <c r="AJ26" s="598"/>
      <c r="AK26" s="598"/>
      <c r="AL26" s="598"/>
      <c r="AM26" s="598"/>
      <c r="AN26" s="598"/>
      <c r="AO26" s="598"/>
      <c r="AP26" s="598"/>
      <c r="AQ26" s="598"/>
      <c r="AR26" s="598"/>
      <c r="AS26" s="598"/>
      <c r="AT26" s="598"/>
      <c r="AU26" s="598"/>
      <c r="AV26" s="598"/>
      <c r="AW26" s="598"/>
      <c r="AX26" s="598"/>
      <c r="AY26" s="598"/>
      <c r="AZ26" s="598"/>
      <c r="BA26" s="598"/>
      <c r="BB26" s="598"/>
    </row>
    <row r="27" spans="2:54">
      <c r="B27" s="686" t="s">
        <v>517</v>
      </c>
      <c r="C27" s="686"/>
      <c r="D27" s="598"/>
      <c r="E27" s="687" t="s">
        <v>511</v>
      </c>
      <c r="F27" s="516">
        <v>45188.574999999997</v>
      </c>
      <c r="G27" s="598"/>
      <c r="H27" s="684"/>
      <c r="I27" s="685"/>
      <c r="J27" s="686" t="s">
        <v>518</v>
      </c>
      <c r="K27" s="687" t="s">
        <v>511</v>
      </c>
      <c r="L27" s="692">
        <v>59026</v>
      </c>
      <c r="M27" s="693" t="s">
        <v>519</v>
      </c>
      <c r="N27" s="693"/>
      <c r="O27" s="687"/>
      <c r="P27" s="684"/>
      <c r="Q27" s="688"/>
      <c r="R27" s="689"/>
      <c r="S27" s="690"/>
      <c r="T27" s="598"/>
      <c r="U27" s="598"/>
      <c r="V27" s="598"/>
      <c r="W27" s="598"/>
      <c r="X27" s="598"/>
      <c r="Y27" s="598"/>
      <c r="Z27" s="598"/>
      <c r="AA27" s="598"/>
      <c r="AB27" s="688"/>
      <c r="AC27" s="688"/>
      <c r="AD27" s="688"/>
      <c r="AE27" s="688"/>
      <c r="AF27" s="688"/>
      <c r="AG27" s="598"/>
      <c r="AH27" s="598"/>
      <c r="AI27" s="598"/>
      <c r="AJ27" s="598"/>
      <c r="AK27" s="598"/>
      <c r="AL27" s="598"/>
      <c r="AM27" s="598"/>
      <c r="AN27" s="598"/>
      <c r="AO27" s="598"/>
      <c r="AP27" s="598"/>
      <c r="AQ27" s="598"/>
      <c r="AR27" s="598"/>
      <c r="AS27" s="598"/>
      <c r="AT27" s="598"/>
      <c r="AU27" s="598"/>
      <c r="AV27" s="598"/>
      <c r="AW27" s="598"/>
      <c r="AX27" s="598"/>
      <c r="AY27" s="598"/>
      <c r="AZ27" s="598"/>
      <c r="BA27" s="598"/>
      <c r="BB27" s="598"/>
    </row>
    <row r="28" spans="2:54">
      <c r="B28" s="686" t="s">
        <v>520</v>
      </c>
      <c r="C28" s="686"/>
      <c r="D28" s="598"/>
      <c r="E28" s="687" t="s">
        <v>511</v>
      </c>
      <c r="F28" s="516" t="s">
        <v>4</v>
      </c>
      <c r="G28" s="598"/>
      <c r="H28" s="684"/>
      <c r="I28" s="685"/>
      <c r="J28" s="686" t="s">
        <v>521</v>
      </c>
      <c r="K28" s="687" t="s">
        <v>511</v>
      </c>
      <c r="L28" s="692" t="s">
        <v>3077</v>
      </c>
      <c r="M28" s="598"/>
      <c r="N28" s="598"/>
      <c r="O28" s="687"/>
      <c r="P28" s="688"/>
      <c r="Q28" s="688"/>
      <c r="R28" s="689"/>
      <c r="S28" s="690"/>
      <c r="T28" s="598"/>
      <c r="U28" s="598"/>
      <c r="V28" s="598"/>
      <c r="W28" s="598"/>
      <c r="X28" s="598"/>
      <c r="Y28" s="598"/>
      <c r="Z28" s="598"/>
      <c r="AA28" s="598"/>
      <c r="AB28" s="688"/>
      <c r="AC28" s="688"/>
      <c r="AD28" s="688"/>
      <c r="AE28" s="688"/>
      <c r="AF28" s="688"/>
      <c r="AG28" s="598"/>
      <c r="AH28" s="598"/>
      <c r="AI28" s="598"/>
      <c r="AJ28" s="598"/>
      <c r="AK28" s="598"/>
      <c r="AL28" s="598"/>
      <c r="AM28" s="598"/>
      <c r="AN28" s="598"/>
      <c r="AO28" s="598"/>
      <c r="AP28" s="598"/>
      <c r="AQ28" s="598"/>
      <c r="AR28" s="598"/>
      <c r="AS28" s="598"/>
      <c r="AT28" s="598"/>
      <c r="AU28" s="598"/>
      <c r="AV28" s="598"/>
      <c r="AW28" s="598"/>
      <c r="AX28" s="598"/>
      <c r="AY28" s="598"/>
      <c r="AZ28" s="598"/>
      <c r="BA28" s="598"/>
      <c r="BB28" s="598"/>
    </row>
    <row r="29" spans="2:54">
      <c r="B29" s="686" t="s">
        <v>523</v>
      </c>
      <c r="C29" s="686"/>
      <c r="D29" s="598"/>
      <c r="E29" s="687" t="s">
        <v>511</v>
      </c>
      <c r="F29" s="516" t="s">
        <v>5</v>
      </c>
      <c r="G29" s="598"/>
      <c r="H29" s="684"/>
      <c r="I29" s="685"/>
      <c r="J29" s="686" t="s">
        <v>524</v>
      </c>
      <c r="K29" s="687" t="s">
        <v>511</v>
      </c>
      <c r="L29" s="694" t="s">
        <v>11</v>
      </c>
      <c r="M29" s="695"/>
      <c r="N29" s="695"/>
      <c r="O29" s="687"/>
      <c r="P29" s="684"/>
      <c r="Q29" s="688"/>
      <c r="R29" s="689"/>
      <c r="S29" s="690"/>
      <c r="T29" s="598"/>
      <c r="U29" s="598"/>
      <c r="V29" s="598"/>
      <c r="W29" s="598"/>
      <c r="X29" s="598"/>
      <c r="Y29" s="598"/>
      <c r="Z29" s="598"/>
      <c r="AA29" s="598"/>
      <c r="AB29" s="688"/>
      <c r="AC29" s="688"/>
      <c r="AD29" s="688"/>
      <c r="AE29" s="688"/>
      <c r="AF29" s="688"/>
      <c r="AG29" s="598"/>
      <c r="AH29" s="598"/>
      <c r="AI29" s="598"/>
      <c r="AJ29" s="598"/>
      <c r="AK29" s="598"/>
      <c r="AL29" s="598"/>
      <c r="AM29" s="598"/>
      <c r="AN29" s="598"/>
      <c r="AO29" s="598"/>
      <c r="AP29" s="598"/>
      <c r="AQ29" s="598"/>
      <c r="AR29" s="598"/>
      <c r="AS29" s="598"/>
      <c r="AT29" s="598"/>
      <c r="AU29" s="598"/>
      <c r="AV29" s="598"/>
      <c r="AW29" s="598"/>
      <c r="AX29" s="598"/>
      <c r="AY29" s="598"/>
      <c r="AZ29" s="598"/>
      <c r="BA29" s="598"/>
      <c r="BB29" s="598"/>
    </row>
    <row r="30" spans="2:54">
      <c r="B30" s="686" t="s">
        <v>2</v>
      </c>
      <c r="C30" s="686"/>
      <c r="D30" s="598"/>
      <c r="E30" s="687" t="s">
        <v>511</v>
      </c>
      <c r="F30" s="516" t="s">
        <v>14</v>
      </c>
      <c r="G30" s="598"/>
      <c r="H30" s="684"/>
      <c r="I30" s="696"/>
      <c r="J30" s="686"/>
      <c r="K30" s="687"/>
      <c r="L30" s="516"/>
      <c r="M30" s="598"/>
      <c r="N30" s="598"/>
      <c r="O30" s="686"/>
      <c r="P30" s="695"/>
      <c r="Q30" s="695"/>
      <c r="R30" s="695"/>
      <c r="S30" s="685"/>
      <c r="T30" s="598"/>
      <c r="U30" s="598"/>
      <c r="V30" s="598"/>
      <c r="W30" s="598"/>
      <c r="X30" s="598"/>
      <c r="Y30" s="598"/>
      <c r="Z30" s="598"/>
      <c r="AA30" s="598"/>
      <c r="AB30" s="685"/>
      <c r="AC30" s="685"/>
      <c r="AD30" s="685"/>
      <c r="AE30" s="685"/>
      <c r="AF30" s="685"/>
      <c r="AG30" s="685"/>
      <c r="AH30" s="685"/>
      <c r="AI30" s="685"/>
      <c r="AJ30" s="685"/>
      <c r="AK30" s="685"/>
      <c r="AL30" s="685"/>
      <c r="AM30" s="685"/>
      <c r="AN30" s="685"/>
      <c r="AO30" s="598"/>
      <c r="AP30" s="598"/>
      <c r="AQ30" s="598"/>
      <c r="AR30" s="598"/>
      <c r="AS30" s="598"/>
      <c r="AT30" s="598"/>
      <c r="AU30" s="598"/>
      <c r="AV30" s="598"/>
      <c r="AW30" s="598"/>
      <c r="AX30" s="598"/>
      <c r="AY30" s="598"/>
      <c r="AZ30" s="598"/>
      <c r="BA30" s="598"/>
      <c r="BB30" s="598"/>
    </row>
    <row r="31" spans="2:54" ht="15" customHeight="1">
      <c r="B31" s="598"/>
      <c r="C31" s="598"/>
      <c r="D31" s="598"/>
      <c r="E31" s="598"/>
      <c r="F31" s="598"/>
      <c r="G31" s="598"/>
      <c r="H31" s="598"/>
      <c r="I31" s="696"/>
      <c r="J31" s="686"/>
      <c r="K31" s="686"/>
      <c r="L31" s="694"/>
      <c r="M31" s="695"/>
      <c r="N31" s="695"/>
      <c r="O31" s="686"/>
      <c r="P31" s="695"/>
      <c r="Q31" s="695"/>
      <c r="R31" s="695"/>
      <c r="S31" s="685"/>
      <c r="T31" s="1440" t="s">
        <v>87</v>
      </c>
      <c r="U31" s="1440"/>
      <c r="V31" s="1440"/>
      <c r="W31" s="1440"/>
      <c r="X31" s="1440"/>
      <c r="Y31" s="1440" t="s">
        <v>73</v>
      </c>
      <c r="Z31" s="1440"/>
      <c r="AA31" s="1440"/>
      <c r="AB31" s="1440" t="s">
        <v>74</v>
      </c>
      <c r="AC31" s="1440"/>
      <c r="AD31" s="697" t="s">
        <v>85</v>
      </c>
      <c r="AE31" s="697" t="s">
        <v>77</v>
      </c>
      <c r="AF31" s="1440" t="s">
        <v>525</v>
      </c>
      <c r="AG31" s="1440"/>
      <c r="AH31" s="1440"/>
      <c r="AI31" s="1440"/>
      <c r="AJ31" s="1440"/>
      <c r="AK31" s="1440"/>
      <c r="AL31" s="1440"/>
      <c r="AM31" s="1440"/>
      <c r="AN31" s="1440"/>
      <c r="AO31" s="1440"/>
      <c r="AP31" s="1440"/>
      <c r="AQ31" s="1440"/>
      <c r="AR31" s="1440"/>
      <c r="AS31" s="1440"/>
      <c r="AT31" s="1440"/>
      <c r="AU31" s="1440"/>
      <c r="AV31" s="1440"/>
      <c r="AW31" s="1440"/>
      <c r="AX31" s="1440"/>
      <c r="AY31" s="1440"/>
      <c r="AZ31" s="1440"/>
      <c r="BA31" s="1440"/>
      <c r="BB31" s="598"/>
    </row>
    <row r="32" spans="2:54">
      <c r="B32" s="1441" t="s">
        <v>526</v>
      </c>
      <c r="C32" s="1442"/>
      <c r="D32" s="698" t="s">
        <v>527</v>
      </c>
      <c r="E32" s="698"/>
      <c r="F32" s="698" t="s">
        <v>528</v>
      </c>
      <c r="G32" s="698" t="s">
        <v>529</v>
      </c>
      <c r="H32" s="698" t="s">
        <v>530</v>
      </c>
      <c r="I32" s="698" t="s">
        <v>531</v>
      </c>
      <c r="J32" s="698" t="s">
        <v>532</v>
      </c>
      <c r="K32" s="698"/>
      <c r="L32" s="698" t="s">
        <v>130</v>
      </c>
      <c r="M32" s="698" t="s">
        <v>533</v>
      </c>
      <c r="N32" s="625" t="str">
        <f>"On time - "&amp;COUNTIF(N33:N38,"On time")&amp;" from "&amp;ROWS(N33:N38)-COUNTIF(N33:N38," ")</f>
        <v>On time - 4 from 4</v>
      </c>
      <c r="O32" s="699"/>
      <c r="P32" s="700" t="s">
        <v>534</v>
      </c>
      <c r="Q32" s="700" t="s">
        <v>535</v>
      </c>
      <c r="R32" s="700" t="s">
        <v>536</v>
      </c>
      <c r="S32" s="598"/>
      <c r="T32" s="701" t="s">
        <v>537</v>
      </c>
      <c r="U32" s="701" t="s">
        <v>538</v>
      </c>
      <c r="V32" s="701" t="s">
        <v>539</v>
      </c>
      <c r="W32" s="701" t="s">
        <v>540</v>
      </c>
      <c r="X32" s="701" t="s">
        <v>541</v>
      </c>
      <c r="Y32" s="701" t="s">
        <v>167</v>
      </c>
      <c r="Z32" s="701" t="s">
        <v>168</v>
      </c>
      <c r="AA32" s="701" t="s">
        <v>169</v>
      </c>
      <c r="AB32" s="701" t="s">
        <v>235</v>
      </c>
      <c r="AC32" s="701" t="s">
        <v>240</v>
      </c>
      <c r="AD32" s="697" t="s">
        <v>85</v>
      </c>
      <c r="AE32" s="701" t="s">
        <v>139</v>
      </c>
      <c r="AF32" s="701" t="s">
        <v>72</v>
      </c>
      <c r="AG32" s="701" t="s">
        <v>88</v>
      </c>
      <c r="AH32" s="701" t="s">
        <v>75</v>
      </c>
      <c r="AI32" s="701" t="s">
        <v>543</v>
      </c>
      <c r="AJ32" s="701" t="s">
        <v>78</v>
      </c>
      <c r="AK32" s="701" t="s">
        <v>76</v>
      </c>
      <c r="AL32" s="701" t="s">
        <v>544</v>
      </c>
      <c r="AM32" s="701" t="s">
        <v>545</v>
      </c>
      <c r="AN32" s="701" t="s">
        <v>86</v>
      </c>
      <c r="AO32" s="701" t="s">
        <v>83</v>
      </c>
      <c r="AP32" s="701" t="s">
        <v>84</v>
      </c>
      <c r="AQ32" s="701" t="s">
        <v>546</v>
      </c>
      <c r="AR32" s="701" t="s">
        <v>81</v>
      </c>
      <c r="AS32" s="701" t="s">
        <v>80</v>
      </c>
      <c r="AT32" s="701" t="s">
        <v>82</v>
      </c>
      <c r="AU32" s="701" t="s">
        <v>181</v>
      </c>
      <c r="AV32" s="701" t="s">
        <v>183</v>
      </c>
      <c r="AW32" s="701" t="s">
        <v>547</v>
      </c>
      <c r="AX32" s="701" t="s">
        <v>182</v>
      </c>
      <c r="AY32" s="701" t="s">
        <v>172</v>
      </c>
      <c r="AZ32" s="701" t="s">
        <v>173</v>
      </c>
      <c r="BA32" s="701" t="s">
        <v>184</v>
      </c>
      <c r="BB32" s="598"/>
    </row>
    <row r="33" spans="2:54">
      <c r="B33" s="1315" t="s">
        <v>616</v>
      </c>
      <c r="C33" s="1316"/>
      <c r="D33" s="501" t="s">
        <v>2766</v>
      </c>
      <c r="E33" s="585"/>
      <c r="F33" s="501" t="s">
        <v>437</v>
      </c>
      <c r="G33" s="501" t="s">
        <v>320</v>
      </c>
      <c r="H33" s="629">
        <f>7623.117-'TBS OCT''23'!H322</f>
        <v>5270.0150000000012</v>
      </c>
      <c r="I33" s="505" t="s">
        <v>235</v>
      </c>
      <c r="J33" s="504">
        <v>45199.458333333336</v>
      </c>
      <c r="K33" s="504"/>
      <c r="L33" s="504" t="s">
        <v>192</v>
      </c>
      <c r="M33" s="504" t="s">
        <v>192</v>
      </c>
      <c r="N33" s="505" t="str">
        <f t="shared" ref="N33:N53" si="2">IF(ISBLANK(J33)," ",IF(J33&lt;$F$87,"On time",(IF(DAY(J33-$F$87)&lt;1,"On time",(IF(J33&gt;$F$87,"DELAY ( "&amp;DAY(J33-$F$87)&amp;" day "&amp;HOUR(J33-$F$87)&amp;" hour "&amp;MINUTE(J33-$F$87)&amp;" minute )","xxx"))))))</f>
        <v>On time</v>
      </c>
      <c r="O33" s="597"/>
      <c r="P33" s="507" t="s">
        <v>551</v>
      </c>
      <c r="Q33" s="507" t="s">
        <v>551</v>
      </c>
      <c r="R33" s="507" t="s">
        <v>551</v>
      </c>
      <c r="S33" s="598"/>
      <c r="T33" s="599"/>
      <c r="U33" s="599"/>
      <c r="V33" s="599"/>
      <c r="W33" s="599"/>
      <c r="X33" s="599"/>
      <c r="Y33" s="599"/>
      <c r="Z33" s="599"/>
      <c r="AA33" s="599"/>
      <c r="AB33" s="599">
        <f>H33</f>
        <v>5270.0150000000012</v>
      </c>
      <c r="AC33" s="599"/>
      <c r="AD33" s="599"/>
      <c r="AE33" s="599"/>
      <c r="AF33" s="599"/>
      <c r="AG33" s="599"/>
      <c r="AH33" s="599"/>
      <c r="AI33" s="599"/>
      <c r="AJ33" s="599"/>
      <c r="AK33" s="599"/>
      <c r="AL33" s="599"/>
      <c r="AM33" s="599"/>
      <c r="AN33" s="599"/>
      <c r="AO33" s="599"/>
      <c r="AP33" s="599"/>
      <c r="AQ33" s="599"/>
      <c r="AR33" s="599"/>
      <c r="AS33" s="599"/>
      <c r="AT33" s="599"/>
      <c r="AU33" s="599"/>
      <c r="AV33" s="599"/>
      <c r="AW33" s="599"/>
      <c r="AX33" s="599"/>
      <c r="AY33" s="599"/>
      <c r="AZ33" s="599"/>
      <c r="BA33" s="599"/>
      <c r="BB33" s="598"/>
    </row>
    <row r="34" spans="2:54">
      <c r="B34" s="1315" t="s">
        <v>616</v>
      </c>
      <c r="C34" s="1316"/>
      <c r="D34" s="501" t="s">
        <v>2767</v>
      </c>
      <c r="E34" s="585"/>
      <c r="F34" s="501" t="s">
        <v>226</v>
      </c>
      <c r="G34" s="501" t="s">
        <v>227</v>
      </c>
      <c r="H34" s="629">
        <v>7401.6019999999999</v>
      </c>
      <c r="I34" s="505" t="s">
        <v>235</v>
      </c>
      <c r="J34" s="504">
        <v>45199.729166666664</v>
      </c>
      <c r="K34" s="504"/>
      <c r="L34" s="504" t="s">
        <v>192</v>
      </c>
      <c r="M34" s="504" t="s">
        <v>192</v>
      </c>
      <c r="N34" s="505" t="str">
        <f t="shared" si="2"/>
        <v>On time</v>
      </c>
      <c r="O34" s="597"/>
      <c r="P34" s="507" t="s">
        <v>551</v>
      </c>
      <c r="Q34" s="507" t="s">
        <v>551</v>
      </c>
      <c r="R34" s="507" t="s">
        <v>551</v>
      </c>
      <c r="S34" s="598"/>
      <c r="T34" s="599"/>
      <c r="U34" s="599"/>
      <c r="V34" s="599"/>
      <c r="W34" s="599"/>
      <c r="X34" s="599"/>
      <c r="Y34" s="599"/>
      <c r="Z34" s="599"/>
      <c r="AA34" s="599"/>
      <c r="AB34" s="599">
        <f>H34</f>
        <v>7401.6019999999999</v>
      </c>
      <c r="AC34" s="599"/>
      <c r="AD34" s="599"/>
      <c r="AE34" s="599"/>
      <c r="AF34" s="599"/>
      <c r="AG34" s="599"/>
      <c r="AH34" s="599"/>
      <c r="AI34" s="599"/>
      <c r="AJ34" s="599"/>
      <c r="AK34" s="599"/>
      <c r="AL34" s="599"/>
      <c r="AM34" s="599"/>
      <c r="AN34" s="599"/>
      <c r="AO34" s="599"/>
      <c r="AP34" s="599"/>
      <c r="AQ34" s="599"/>
      <c r="AR34" s="599"/>
      <c r="AS34" s="599"/>
      <c r="AT34" s="599"/>
      <c r="AU34" s="599"/>
      <c r="AV34" s="599"/>
      <c r="AW34" s="599"/>
      <c r="AX34" s="599"/>
      <c r="AY34" s="599"/>
      <c r="AZ34" s="599"/>
      <c r="BA34" s="599"/>
      <c r="BB34" s="598"/>
    </row>
    <row r="35" spans="2:54">
      <c r="B35" s="1315" t="s">
        <v>668</v>
      </c>
      <c r="C35" s="1316"/>
      <c r="D35" s="501" t="s">
        <v>2810</v>
      </c>
      <c r="E35" s="585"/>
      <c r="F35" s="501" t="s">
        <v>323</v>
      </c>
      <c r="G35" s="501" t="s">
        <v>324</v>
      </c>
      <c r="H35" s="629">
        <v>7543.1819999999998</v>
      </c>
      <c r="I35" s="505" t="s">
        <v>172</v>
      </c>
      <c r="J35" s="504">
        <v>45201.635416666664</v>
      </c>
      <c r="K35" s="504"/>
      <c r="L35" s="504" t="s">
        <v>192</v>
      </c>
      <c r="M35" s="504" t="s">
        <v>192</v>
      </c>
      <c r="N35" s="505" t="str">
        <f t="shared" si="2"/>
        <v>On time</v>
      </c>
      <c r="O35" s="597"/>
      <c r="P35" s="507" t="s">
        <v>551</v>
      </c>
      <c r="Q35" s="507" t="s">
        <v>551</v>
      </c>
      <c r="R35" s="507" t="s">
        <v>551</v>
      </c>
      <c r="S35" s="598"/>
      <c r="T35" s="599"/>
      <c r="U35" s="599"/>
      <c r="V35" s="599"/>
      <c r="W35" s="599"/>
      <c r="X35" s="599"/>
      <c r="Y35" s="599"/>
      <c r="Z35" s="599"/>
      <c r="AA35" s="599"/>
      <c r="AB35" s="599"/>
      <c r="AC35" s="599"/>
      <c r="AD35" s="599"/>
      <c r="AE35" s="599"/>
      <c r="AF35" s="599"/>
      <c r="AG35" s="599"/>
      <c r="AH35" s="599"/>
      <c r="AI35" s="599"/>
      <c r="AJ35" s="599"/>
      <c r="AK35" s="598"/>
      <c r="AL35" s="599"/>
      <c r="AM35" s="599"/>
      <c r="AN35" s="599"/>
      <c r="AO35" s="599"/>
      <c r="AP35" s="599"/>
      <c r="AQ35" s="599"/>
      <c r="AR35" s="599"/>
      <c r="AS35" s="599"/>
      <c r="AT35" s="599"/>
      <c r="AU35" s="599"/>
      <c r="AV35" s="599"/>
      <c r="AW35" s="599"/>
      <c r="AX35" s="599"/>
      <c r="AY35" s="599">
        <f>H35</f>
        <v>7543.1819999999998</v>
      </c>
      <c r="AZ35" s="599"/>
      <c r="BA35" s="599"/>
      <c r="BB35" s="598"/>
    </row>
    <row r="36" spans="2:54">
      <c r="B36" s="1351" t="s">
        <v>1721</v>
      </c>
      <c r="C36" s="1352"/>
      <c r="D36" s="1352"/>
      <c r="E36" s="1352"/>
      <c r="F36" s="1352"/>
      <c r="G36" s="1353"/>
      <c r="H36" s="702">
        <f>SUM(H33:H35)</f>
        <v>20214.799000000003</v>
      </c>
      <c r="I36" s="703"/>
      <c r="J36" s="704"/>
      <c r="K36" s="704"/>
      <c r="L36" s="704"/>
      <c r="M36" s="705"/>
      <c r="N36" s="505" t="str">
        <f t="shared" si="2"/>
        <v xml:space="preserve"> </v>
      </c>
      <c r="O36" s="552"/>
      <c r="P36" s="706"/>
      <c r="Q36" s="706"/>
      <c r="R36" s="706"/>
      <c r="S36" s="598"/>
      <c r="T36" s="599"/>
      <c r="U36" s="599"/>
      <c r="V36" s="599"/>
      <c r="W36" s="599"/>
      <c r="X36" s="599"/>
      <c r="Y36" s="599"/>
      <c r="Z36" s="599"/>
      <c r="AA36" s="599"/>
      <c r="AB36" s="599"/>
      <c r="AC36" s="599"/>
      <c r="AD36" s="599"/>
      <c r="AE36" s="599"/>
      <c r="AF36" s="599"/>
      <c r="AG36" s="599"/>
      <c r="AH36" s="599"/>
      <c r="AI36" s="599"/>
      <c r="AJ36" s="599"/>
      <c r="AK36" s="599"/>
      <c r="AL36" s="599"/>
      <c r="AM36" s="599"/>
      <c r="AN36" s="599"/>
      <c r="AO36" s="599"/>
      <c r="AP36" s="599"/>
      <c r="AQ36" s="599"/>
      <c r="AR36" s="599"/>
      <c r="AS36" s="599"/>
      <c r="AT36" s="599"/>
      <c r="AU36" s="599"/>
      <c r="AV36" s="599"/>
      <c r="AW36" s="599"/>
      <c r="AX36" s="599"/>
      <c r="AY36" s="599"/>
      <c r="AZ36" s="599"/>
      <c r="BA36" s="599"/>
      <c r="BB36" s="554"/>
    </row>
    <row r="37" spans="2:54">
      <c r="B37" s="1326" t="s">
        <v>619</v>
      </c>
      <c r="C37" s="1327"/>
      <c r="D37" s="501" t="s">
        <v>2583</v>
      </c>
      <c r="E37" s="501"/>
      <c r="F37" s="501" t="s">
        <v>1848</v>
      </c>
      <c r="G37" s="501" t="s">
        <v>350</v>
      </c>
      <c r="H37" s="629">
        <v>4150.9120000000003</v>
      </c>
      <c r="I37" s="505" t="s">
        <v>494</v>
      </c>
      <c r="J37" s="504">
        <v>45198.243055555555</v>
      </c>
      <c r="K37" s="504"/>
      <c r="L37" s="504" t="s">
        <v>192</v>
      </c>
      <c r="M37" s="504" t="s">
        <v>192</v>
      </c>
      <c r="N37" s="505" t="str">
        <f t="shared" si="2"/>
        <v>On time</v>
      </c>
      <c r="O37" s="597"/>
      <c r="P37" s="507" t="s">
        <v>551</v>
      </c>
      <c r="Q37" s="507" t="s">
        <v>551</v>
      </c>
      <c r="R37" s="507" t="s">
        <v>551</v>
      </c>
      <c r="S37" s="598"/>
      <c r="T37" s="599"/>
      <c r="U37" s="599"/>
      <c r="V37" s="599"/>
      <c r="W37" s="599"/>
      <c r="X37" s="599"/>
      <c r="Y37" s="599">
        <f>H37</f>
        <v>4150.9120000000003</v>
      </c>
      <c r="Z37" s="599"/>
      <c r="AA37" s="599"/>
      <c r="AB37" s="599"/>
      <c r="AC37" s="599"/>
      <c r="AD37" s="599"/>
      <c r="AE37" s="599"/>
      <c r="AF37" s="599"/>
      <c r="AG37" s="599"/>
      <c r="AH37" s="599"/>
      <c r="AI37" s="599"/>
      <c r="AJ37" s="599"/>
      <c r="AK37" s="599"/>
      <c r="AL37" s="599"/>
      <c r="AM37" s="599"/>
      <c r="AN37" s="599"/>
      <c r="AO37" s="599"/>
      <c r="AP37" s="599"/>
      <c r="AQ37" s="599"/>
      <c r="AR37" s="599"/>
      <c r="AS37" s="599"/>
      <c r="AT37" s="599"/>
      <c r="AU37" s="599"/>
      <c r="AV37" s="599"/>
      <c r="AW37" s="599"/>
      <c r="AX37" s="599"/>
      <c r="AY37" s="599"/>
      <c r="AZ37" s="599"/>
      <c r="BA37" s="599"/>
      <c r="BB37" s="598"/>
    </row>
    <row r="38" spans="2:54">
      <c r="B38" s="1328"/>
      <c r="C38" s="1329"/>
      <c r="D38" s="501"/>
      <c r="E38" s="501"/>
      <c r="F38" s="1315" t="s">
        <v>616</v>
      </c>
      <c r="G38" s="1316"/>
      <c r="H38" s="629">
        <v>3000</v>
      </c>
      <c r="I38" s="584"/>
      <c r="J38" s="574"/>
      <c r="K38" s="574"/>
      <c r="L38" s="574"/>
      <c r="M38" s="574"/>
      <c r="N38" s="505" t="str">
        <f t="shared" si="2"/>
        <v xml:space="preserve"> </v>
      </c>
      <c r="O38" s="597"/>
      <c r="P38" s="507"/>
      <c r="Q38" s="507"/>
      <c r="R38" s="507"/>
      <c r="S38" s="598"/>
      <c r="T38" s="599"/>
      <c r="U38" s="599"/>
      <c r="V38" s="599"/>
      <c r="W38" s="599"/>
      <c r="X38" s="599"/>
      <c r="Y38" s="599"/>
      <c r="Z38" s="599"/>
      <c r="AA38" s="599"/>
      <c r="AB38" s="599"/>
      <c r="AC38" s="599"/>
      <c r="AD38" s="599"/>
      <c r="AE38" s="599"/>
      <c r="AF38" s="599"/>
      <c r="AG38" s="599"/>
      <c r="AH38" s="599"/>
      <c r="AI38" s="599"/>
      <c r="AJ38" s="599"/>
      <c r="AK38" s="599"/>
      <c r="AL38" s="599"/>
      <c r="AM38" s="599"/>
      <c r="AN38" s="599"/>
      <c r="AO38" s="599"/>
      <c r="AP38" s="599"/>
      <c r="AQ38" s="599"/>
      <c r="AR38" s="599"/>
      <c r="AS38" s="599"/>
      <c r="AT38" s="599"/>
      <c r="AU38" s="599"/>
      <c r="AV38" s="599"/>
      <c r="AW38" s="599"/>
      <c r="AX38" s="599"/>
      <c r="AY38" s="599"/>
      <c r="AZ38" s="599"/>
      <c r="BA38" s="599"/>
      <c r="BB38" s="598"/>
    </row>
    <row r="39" spans="2:54">
      <c r="B39" s="1326" t="s">
        <v>621</v>
      </c>
      <c r="C39" s="1327"/>
      <c r="D39" s="501" t="s">
        <v>2841</v>
      </c>
      <c r="E39" s="501"/>
      <c r="F39" s="501" t="s">
        <v>352</v>
      </c>
      <c r="G39" s="501" t="s">
        <v>353</v>
      </c>
      <c r="H39" s="629">
        <v>9183.6</v>
      </c>
      <c r="I39" s="505" t="s">
        <v>494</v>
      </c>
      <c r="J39" s="504">
        <v>45200.3125</v>
      </c>
      <c r="K39" s="504"/>
      <c r="L39" s="504" t="s">
        <v>192</v>
      </c>
      <c r="M39" s="504" t="s">
        <v>192</v>
      </c>
      <c r="N39" s="505" t="str">
        <f t="shared" si="2"/>
        <v>On time</v>
      </c>
      <c r="O39" s="597"/>
      <c r="P39" s="507" t="s">
        <v>551</v>
      </c>
      <c r="Q39" s="507" t="s">
        <v>551</v>
      </c>
      <c r="R39" s="507" t="s">
        <v>551</v>
      </c>
      <c r="S39" s="598"/>
      <c r="T39" s="599"/>
      <c r="U39" s="599"/>
      <c r="V39" s="599"/>
      <c r="W39" s="599"/>
      <c r="X39" s="599"/>
      <c r="Y39" s="599">
        <f>H39</f>
        <v>9183.6</v>
      </c>
      <c r="Z39" s="599"/>
      <c r="AA39" s="599"/>
      <c r="AB39" s="599"/>
      <c r="AC39" s="599"/>
      <c r="AD39" s="599"/>
      <c r="AE39" s="599"/>
      <c r="AF39" s="599"/>
      <c r="AG39" s="599"/>
      <c r="AH39" s="599"/>
      <c r="AI39" s="599"/>
      <c r="AJ39" s="599"/>
      <c r="AK39" s="599"/>
      <c r="AL39" s="599"/>
      <c r="AM39" s="599"/>
      <c r="AN39" s="599"/>
      <c r="AO39" s="599"/>
      <c r="AP39" s="599"/>
      <c r="AQ39" s="599"/>
      <c r="AR39" s="599"/>
      <c r="AS39" s="599"/>
      <c r="AT39" s="599"/>
      <c r="AU39" s="599"/>
      <c r="AV39" s="599"/>
      <c r="AW39" s="599"/>
      <c r="AX39" s="599"/>
      <c r="AY39" s="599"/>
      <c r="AZ39" s="599"/>
      <c r="BA39" s="599"/>
      <c r="BB39" s="598"/>
    </row>
    <row r="40" spans="2:54">
      <c r="B40" s="1421"/>
      <c r="C40" s="1422"/>
      <c r="D40" s="501"/>
      <c r="E40" s="501"/>
      <c r="F40" s="1315" t="s">
        <v>668</v>
      </c>
      <c r="G40" s="1316"/>
      <c r="H40" s="629">
        <v>2543</v>
      </c>
      <c r="I40" s="505"/>
      <c r="J40" s="504"/>
      <c r="K40" s="504"/>
      <c r="L40" s="504"/>
      <c r="M40" s="504"/>
      <c r="N40" s="505" t="str">
        <f t="shared" si="2"/>
        <v xml:space="preserve"> </v>
      </c>
      <c r="O40" s="597"/>
      <c r="P40" s="507"/>
      <c r="Q40" s="507"/>
      <c r="R40" s="507"/>
      <c r="S40" s="598"/>
      <c r="T40" s="599"/>
      <c r="U40" s="599"/>
      <c r="V40" s="599"/>
      <c r="W40" s="599"/>
      <c r="X40" s="599"/>
      <c r="Y40" s="599"/>
      <c r="Z40" s="599"/>
      <c r="AA40" s="599"/>
      <c r="AB40" s="599"/>
      <c r="AC40" s="599"/>
      <c r="AD40" s="599"/>
      <c r="AE40" s="599"/>
      <c r="AF40" s="599"/>
      <c r="AG40" s="599"/>
      <c r="AH40" s="599"/>
      <c r="AI40" s="599"/>
      <c r="AJ40" s="599"/>
      <c r="AK40" s="599"/>
      <c r="AL40" s="599"/>
      <c r="AM40" s="599"/>
      <c r="AN40" s="599"/>
      <c r="AO40" s="599"/>
      <c r="AP40" s="599"/>
      <c r="AQ40" s="599"/>
      <c r="AR40" s="599"/>
      <c r="AS40" s="599"/>
      <c r="AT40" s="599"/>
      <c r="AU40" s="599"/>
      <c r="AV40" s="599"/>
      <c r="AW40" s="599"/>
      <c r="AX40" s="599"/>
      <c r="AY40" s="599"/>
      <c r="AZ40" s="599"/>
      <c r="BA40" s="599"/>
      <c r="BB40" s="598"/>
    </row>
    <row r="41" spans="2:54">
      <c r="B41" s="1328"/>
      <c r="C41" s="1329"/>
      <c r="D41" s="501"/>
      <c r="E41" s="501"/>
      <c r="F41" s="1315" t="s">
        <v>616</v>
      </c>
      <c r="G41" s="1316"/>
      <c r="H41" s="629">
        <v>3100</v>
      </c>
      <c r="I41" s="584"/>
      <c r="J41" s="574"/>
      <c r="K41" s="574"/>
      <c r="L41" s="574"/>
      <c r="M41" s="574"/>
      <c r="N41" s="505" t="str">
        <f t="shared" si="2"/>
        <v xml:space="preserve"> </v>
      </c>
      <c r="O41" s="597"/>
      <c r="P41" s="507"/>
      <c r="Q41" s="507"/>
      <c r="R41" s="507"/>
      <c r="S41" s="598"/>
      <c r="T41" s="599"/>
      <c r="U41" s="599"/>
      <c r="V41" s="599"/>
      <c r="W41" s="599"/>
      <c r="X41" s="599"/>
      <c r="Y41" s="599"/>
      <c r="Z41" s="599"/>
      <c r="AA41" s="599"/>
      <c r="AB41" s="599"/>
      <c r="AC41" s="599"/>
      <c r="AD41" s="599"/>
      <c r="AE41" s="599"/>
      <c r="AF41" s="599"/>
      <c r="AG41" s="599"/>
      <c r="AH41" s="599"/>
      <c r="AI41" s="599"/>
      <c r="AJ41" s="599"/>
      <c r="AK41" s="599"/>
      <c r="AL41" s="599"/>
      <c r="AM41" s="599"/>
      <c r="AN41" s="599"/>
      <c r="AO41" s="599"/>
      <c r="AP41" s="599"/>
      <c r="AQ41" s="599"/>
      <c r="AR41" s="599"/>
      <c r="AS41" s="599"/>
      <c r="AT41" s="599"/>
      <c r="AU41" s="599"/>
      <c r="AV41" s="599"/>
      <c r="AW41" s="599"/>
      <c r="AX41" s="599"/>
      <c r="AY41" s="599"/>
      <c r="AZ41" s="599"/>
      <c r="BA41" s="599"/>
      <c r="BB41" s="598"/>
    </row>
    <row r="42" spans="2:54">
      <c r="B42" s="1326" t="s">
        <v>622</v>
      </c>
      <c r="C42" s="1327"/>
      <c r="D42" s="501" t="s">
        <v>2842</v>
      </c>
      <c r="E42" s="501"/>
      <c r="F42" s="501" t="s">
        <v>271</v>
      </c>
      <c r="G42" s="501" t="s">
        <v>272</v>
      </c>
      <c r="H42" s="629">
        <v>9213.4380000000001</v>
      </c>
      <c r="I42" s="505" t="s">
        <v>494</v>
      </c>
      <c r="J42" s="504">
        <v>45199.4375</v>
      </c>
      <c r="K42" s="504"/>
      <c r="L42" s="504" t="s">
        <v>192</v>
      </c>
      <c r="M42" s="504" t="s">
        <v>192</v>
      </c>
      <c r="N42" s="505" t="str">
        <f t="shared" si="2"/>
        <v>On time</v>
      </c>
      <c r="O42" s="597"/>
      <c r="P42" s="507" t="s">
        <v>551</v>
      </c>
      <c r="Q42" s="507" t="s">
        <v>551</v>
      </c>
      <c r="R42" s="507" t="s">
        <v>551</v>
      </c>
      <c r="S42" s="598"/>
      <c r="T42" s="599"/>
      <c r="U42" s="599"/>
      <c r="V42" s="599"/>
      <c r="W42" s="599"/>
      <c r="X42" s="599"/>
      <c r="Y42" s="599">
        <f>H42</f>
        <v>9213.4380000000001</v>
      </c>
      <c r="Z42" s="599"/>
      <c r="AA42" s="599"/>
      <c r="AB42" s="599"/>
      <c r="AC42" s="599"/>
      <c r="AD42" s="599"/>
      <c r="AE42" s="599"/>
      <c r="AF42" s="599"/>
      <c r="AG42" s="599"/>
      <c r="AH42" s="599"/>
      <c r="AI42" s="599"/>
      <c r="AJ42" s="599"/>
      <c r="AK42" s="599"/>
      <c r="AL42" s="599"/>
      <c r="AM42" s="599"/>
      <c r="AN42" s="599"/>
      <c r="AO42" s="599"/>
      <c r="AP42" s="599"/>
      <c r="AQ42" s="599"/>
      <c r="AR42" s="599"/>
      <c r="AS42" s="599"/>
      <c r="AT42" s="599"/>
      <c r="AU42" s="599"/>
      <c r="AV42" s="599"/>
      <c r="AW42" s="599"/>
      <c r="AX42" s="599"/>
      <c r="AY42" s="599"/>
      <c r="AZ42" s="599"/>
      <c r="BA42" s="599"/>
      <c r="BB42" s="598"/>
    </row>
    <row r="43" spans="2:54">
      <c r="B43" s="1421"/>
      <c r="C43" s="1422"/>
      <c r="D43" s="501"/>
      <c r="E43" s="501"/>
      <c r="F43" s="1315" t="s">
        <v>668</v>
      </c>
      <c r="G43" s="1316"/>
      <c r="H43" s="629">
        <v>2400</v>
      </c>
      <c r="I43" s="505"/>
      <c r="J43" s="504"/>
      <c r="K43" s="504"/>
      <c r="L43" s="504"/>
      <c r="M43" s="504"/>
      <c r="N43" s="505" t="str">
        <f t="shared" si="2"/>
        <v xml:space="preserve"> </v>
      </c>
      <c r="O43" s="597"/>
      <c r="P43" s="507"/>
      <c r="Q43" s="507"/>
      <c r="R43" s="507"/>
      <c r="S43" s="598"/>
      <c r="T43" s="599"/>
      <c r="U43" s="599"/>
      <c r="V43" s="599"/>
      <c r="W43" s="599"/>
      <c r="X43" s="599"/>
      <c r="Y43" s="599"/>
      <c r="Z43" s="599"/>
      <c r="AA43" s="599"/>
      <c r="AB43" s="599"/>
      <c r="AC43" s="599"/>
      <c r="AD43" s="599"/>
      <c r="AE43" s="599"/>
      <c r="AF43" s="599"/>
      <c r="AG43" s="599"/>
      <c r="AH43" s="599"/>
      <c r="AI43" s="599"/>
      <c r="AJ43" s="599"/>
      <c r="AK43" s="599"/>
      <c r="AL43" s="599"/>
      <c r="AM43" s="599"/>
      <c r="AN43" s="599"/>
      <c r="AO43" s="599"/>
      <c r="AP43" s="599"/>
      <c r="AQ43" s="599"/>
      <c r="AR43" s="599"/>
      <c r="AS43" s="599"/>
      <c r="AT43" s="599"/>
      <c r="AU43" s="599"/>
      <c r="AV43" s="599"/>
      <c r="AW43" s="599"/>
      <c r="AX43" s="599"/>
      <c r="AY43" s="599"/>
      <c r="AZ43" s="599"/>
      <c r="BA43" s="599"/>
      <c r="BB43" s="598"/>
    </row>
    <row r="44" spans="2:54">
      <c r="B44" s="1328"/>
      <c r="C44" s="1329"/>
      <c r="D44" s="501"/>
      <c r="E44" s="501"/>
      <c r="F44" s="1315" t="s">
        <v>616</v>
      </c>
      <c r="G44" s="1316"/>
      <c r="H44" s="629">
        <v>3300</v>
      </c>
      <c r="I44" s="584"/>
      <c r="J44" s="574"/>
      <c r="K44" s="574"/>
      <c r="L44" s="574"/>
      <c r="M44" s="574"/>
      <c r="N44" s="505" t="str">
        <f t="shared" si="2"/>
        <v xml:space="preserve"> </v>
      </c>
      <c r="O44" s="597"/>
      <c r="P44" s="507"/>
      <c r="Q44" s="507"/>
      <c r="R44" s="507"/>
      <c r="S44" s="598"/>
      <c r="T44" s="599"/>
      <c r="U44" s="599"/>
      <c r="V44" s="599"/>
      <c r="W44" s="599"/>
      <c r="X44" s="599"/>
      <c r="Y44" s="599"/>
      <c r="Z44" s="599"/>
      <c r="AA44" s="599"/>
      <c r="AB44" s="599"/>
      <c r="AC44" s="599"/>
      <c r="AD44" s="599"/>
      <c r="AE44" s="599"/>
      <c r="AF44" s="599"/>
      <c r="AG44" s="599"/>
      <c r="AH44" s="599"/>
      <c r="AI44" s="599"/>
      <c r="AJ44" s="599"/>
      <c r="AK44" s="599"/>
      <c r="AL44" s="599"/>
      <c r="AM44" s="599"/>
      <c r="AN44" s="599"/>
      <c r="AO44" s="599"/>
      <c r="AP44" s="599"/>
      <c r="AQ44" s="599"/>
      <c r="AR44" s="599"/>
      <c r="AS44" s="599"/>
      <c r="AT44" s="599"/>
      <c r="AU44" s="599"/>
      <c r="AV44" s="599"/>
      <c r="AW44" s="599"/>
      <c r="AX44" s="599"/>
      <c r="AY44" s="599"/>
      <c r="AZ44" s="599"/>
      <c r="BA44" s="599"/>
      <c r="BB44" s="598"/>
    </row>
    <row r="45" spans="2:54">
      <c r="B45" s="1326" t="s">
        <v>623</v>
      </c>
      <c r="C45" s="1327"/>
      <c r="D45" s="501" t="s">
        <v>2843</v>
      </c>
      <c r="E45" s="501"/>
      <c r="F45" s="501" t="s">
        <v>238</v>
      </c>
      <c r="G45" s="501" t="s">
        <v>239</v>
      </c>
      <c r="H45" s="629">
        <v>7308.8320000000003</v>
      </c>
      <c r="I45" s="505" t="s">
        <v>494</v>
      </c>
      <c r="J45" s="504">
        <v>45199.732638888891</v>
      </c>
      <c r="K45" s="504"/>
      <c r="L45" s="504" t="s">
        <v>192</v>
      </c>
      <c r="M45" s="504" t="s">
        <v>192</v>
      </c>
      <c r="N45" s="505" t="str">
        <f t="shared" si="2"/>
        <v>On time</v>
      </c>
      <c r="O45" s="597"/>
      <c r="P45" s="507" t="s">
        <v>551</v>
      </c>
      <c r="Q45" s="507" t="s">
        <v>551</v>
      </c>
      <c r="R45" s="507" t="s">
        <v>551</v>
      </c>
      <c r="S45" s="598"/>
      <c r="T45" s="599"/>
      <c r="U45" s="599"/>
      <c r="V45" s="599"/>
      <c r="W45" s="599"/>
      <c r="X45" s="599"/>
      <c r="Y45" s="599">
        <f>H45</f>
        <v>7308.8320000000003</v>
      </c>
      <c r="Z45" s="599"/>
      <c r="AA45" s="599"/>
      <c r="AB45" s="599"/>
      <c r="AC45" s="599"/>
      <c r="AD45" s="599"/>
      <c r="AE45" s="599"/>
      <c r="AF45" s="599"/>
      <c r="AG45" s="599"/>
      <c r="AH45" s="599"/>
      <c r="AI45" s="599"/>
      <c r="AJ45" s="599"/>
      <c r="AK45" s="599"/>
      <c r="AL45" s="599"/>
      <c r="AM45" s="599"/>
      <c r="AN45" s="599"/>
      <c r="AO45" s="599"/>
      <c r="AP45" s="599"/>
      <c r="AQ45" s="599"/>
      <c r="AR45" s="599"/>
      <c r="AS45" s="599"/>
      <c r="AT45" s="599"/>
      <c r="AU45" s="599"/>
      <c r="AV45" s="599"/>
      <c r="AW45" s="599"/>
      <c r="AX45" s="599"/>
      <c r="AY45" s="599"/>
      <c r="AZ45" s="599"/>
      <c r="BA45" s="599"/>
      <c r="BB45" s="598"/>
    </row>
    <row r="46" spans="2:54">
      <c r="B46" s="1421"/>
      <c r="C46" s="1422"/>
      <c r="D46" s="501"/>
      <c r="E46" s="501"/>
      <c r="F46" s="1315" t="s">
        <v>668</v>
      </c>
      <c r="G46" s="1316"/>
      <c r="H46" s="629">
        <v>1500</v>
      </c>
      <c r="I46" s="505"/>
      <c r="J46" s="504"/>
      <c r="K46" s="504"/>
      <c r="L46" s="504"/>
      <c r="M46" s="504"/>
      <c r="N46" s="505" t="str">
        <f t="shared" si="2"/>
        <v xml:space="preserve"> </v>
      </c>
      <c r="O46" s="597"/>
      <c r="P46" s="507"/>
      <c r="Q46" s="507"/>
      <c r="R46" s="507"/>
      <c r="S46" s="598"/>
      <c r="T46" s="599"/>
      <c r="U46" s="599"/>
      <c r="V46" s="599"/>
      <c r="W46" s="599"/>
      <c r="X46" s="599"/>
      <c r="Y46" s="599"/>
      <c r="Z46" s="599"/>
      <c r="AA46" s="599"/>
      <c r="AB46" s="599"/>
      <c r="AC46" s="599"/>
      <c r="AD46" s="599"/>
      <c r="AE46" s="599"/>
      <c r="AF46" s="599"/>
      <c r="AG46" s="599"/>
      <c r="AH46" s="599"/>
      <c r="AI46" s="599"/>
      <c r="AJ46" s="599"/>
      <c r="AK46" s="599"/>
      <c r="AL46" s="599"/>
      <c r="AM46" s="599"/>
      <c r="AN46" s="599"/>
      <c r="AO46" s="599"/>
      <c r="AP46" s="599"/>
      <c r="AQ46" s="599"/>
      <c r="AR46" s="599"/>
      <c r="AS46" s="599"/>
      <c r="AT46" s="599"/>
      <c r="AU46" s="599"/>
      <c r="AV46" s="599"/>
      <c r="AW46" s="599"/>
      <c r="AX46" s="599"/>
      <c r="AY46" s="599"/>
      <c r="AZ46" s="599"/>
      <c r="BA46" s="599"/>
      <c r="BB46" s="598"/>
    </row>
    <row r="47" spans="2:54">
      <c r="B47" s="1328"/>
      <c r="C47" s="1329"/>
      <c r="D47" s="501"/>
      <c r="E47" s="501"/>
      <c r="F47" s="1315" t="s">
        <v>616</v>
      </c>
      <c r="G47" s="1316"/>
      <c r="H47" s="629">
        <v>1520</v>
      </c>
      <c r="I47" s="584"/>
      <c r="J47" s="574"/>
      <c r="K47" s="574"/>
      <c r="L47" s="574"/>
      <c r="M47" s="574"/>
      <c r="N47" s="505" t="str">
        <f t="shared" si="2"/>
        <v xml:space="preserve"> </v>
      </c>
      <c r="O47" s="597"/>
      <c r="P47" s="507"/>
      <c r="Q47" s="507"/>
      <c r="R47" s="507"/>
      <c r="S47" s="598"/>
      <c r="T47" s="599"/>
      <c r="U47" s="599"/>
      <c r="V47" s="599"/>
      <c r="W47" s="599"/>
      <c r="X47" s="599"/>
      <c r="Y47" s="599"/>
      <c r="Z47" s="599"/>
      <c r="AA47" s="599"/>
      <c r="AB47" s="599"/>
      <c r="AC47" s="599"/>
      <c r="AD47" s="599"/>
      <c r="AE47" s="599"/>
      <c r="AF47" s="599"/>
      <c r="AG47" s="599"/>
      <c r="AH47" s="599"/>
      <c r="AI47" s="599"/>
      <c r="AJ47" s="599"/>
      <c r="AK47" s="599"/>
      <c r="AL47" s="599"/>
      <c r="AM47" s="599"/>
      <c r="AN47" s="599"/>
      <c r="AO47" s="599"/>
      <c r="AP47" s="599"/>
      <c r="AQ47" s="599"/>
      <c r="AR47" s="599"/>
      <c r="AS47" s="599"/>
      <c r="AT47" s="599"/>
      <c r="AU47" s="599"/>
      <c r="AV47" s="599"/>
      <c r="AW47" s="599"/>
      <c r="AX47" s="599"/>
      <c r="AY47" s="599"/>
      <c r="AZ47" s="599"/>
      <c r="BA47" s="599"/>
      <c r="BB47" s="598"/>
    </row>
    <row r="48" spans="2:54">
      <c r="B48" s="1326" t="s">
        <v>624</v>
      </c>
      <c r="C48" s="1327"/>
      <c r="D48" s="501" t="s">
        <v>2844</v>
      </c>
      <c r="E48" s="501"/>
      <c r="F48" s="501" t="s">
        <v>1240</v>
      </c>
      <c r="G48" s="501" t="s">
        <v>1241</v>
      </c>
      <c r="H48" s="629">
        <f>7510.636-804.631</f>
        <v>6706.0050000000001</v>
      </c>
      <c r="I48" s="505" t="s">
        <v>1968</v>
      </c>
      <c r="J48" s="504">
        <v>45199.826388888891</v>
      </c>
      <c r="K48" s="504"/>
      <c r="L48" s="504" t="s">
        <v>192</v>
      </c>
      <c r="M48" s="504" t="s">
        <v>192</v>
      </c>
      <c r="N48" s="505" t="str">
        <f t="shared" si="2"/>
        <v>On time</v>
      </c>
      <c r="O48" s="597"/>
      <c r="P48" s="507" t="s">
        <v>551</v>
      </c>
      <c r="Q48" s="507" t="s">
        <v>551</v>
      </c>
      <c r="R48" s="507" t="s">
        <v>551</v>
      </c>
      <c r="S48" s="598"/>
      <c r="T48" s="599"/>
      <c r="U48" s="599"/>
      <c r="V48" s="599"/>
      <c r="W48" s="599"/>
      <c r="X48" s="599"/>
      <c r="Y48" s="599">
        <f>(H48*0.8)-(H56*0.8)</f>
        <v>5364.8040000000001</v>
      </c>
      <c r="Z48" s="599">
        <f>(H48*0.2)-(H56*0.2)</f>
        <v>1341.201</v>
      </c>
      <c r="AA48" s="599"/>
      <c r="AB48" s="599"/>
      <c r="AC48" s="599"/>
      <c r="AD48" s="599"/>
      <c r="AE48" s="599"/>
      <c r="AF48" s="599"/>
      <c r="AG48" s="599"/>
      <c r="AH48" s="599"/>
      <c r="AI48" s="599"/>
      <c r="AJ48" s="599"/>
      <c r="AK48" s="599"/>
      <c r="AL48" s="599"/>
      <c r="AM48" s="599"/>
      <c r="AN48" s="599"/>
      <c r="AO48" s="599"/>
      <c r="AP48" s="599"/>
      <c r="AQ48" s="599"/>
      <c r="AR48" s="599"/>
      <c r="AS48" s="599"/>
      <c r="AT48" s="599"/>
      <c r="AU48" s="599"/>
      <c r="AV48" s="599"/>
      <c r="AW48" s="599"/>
      <c r="AX48" s="599"/>
      <c r="AY48" s="599"/>
      <c r="AZ48" s="599"/>
      <c r="BA48" s="599"/>
      <c r="BB48" s="598"/>
    </row>
    <row r="49" spans="2:54">
      <c r="B49" s="1421"/>
      <c r="C49" s="1422"/>
      <c r="D49" s="501"/>
      <c r="E49" s="501"/>
      <c r="F49" s="1315" t="s">
        <v>668</v>
      </c>
      <c r="G49" s="1316"/>
      <c r="H49" s="629">
        <f>1100.182</f>
        <v>1100.182</v>
      </c>
      <c r="I49" s="505"/>
      <c r="J49" s="504"/>
      <c r="K49" s="504"/>
      <c r="L49" s="504"/>
      <c r="M49" s="504"/>
      <c r="N49" s="505" t="str">
        <f t="shared" si="2"/>
        <v xml:space="preserve"> </v>
      </c>
      <c r="O49" s="597"/>
      <c r="P49" s="507"/>
      <c r="Q49" s="507"/>
      <c r="R49" s="507"/>
      <c r="S49" s="598"/>
      <c r="T49" s="599"/>
      <c r="U49" s="599"/>
      <c r="V49" s="599"/>
      <c r="W49" s="599"/>
      <c r="X49" s="599"/>
      <c r="Y49" s="599"/>
      <c r="Z49" s="599"/>
      <c r="AA49" s="599"/>
      <c r="AB49" s="599"/>
      <c r="AC49" s="599"/>
      <c r="AD49" s="599"/>
      <c r="AE49" s="599"/>
      <c r="AF49" s="599"/>
      <c r="AG49" s="599"/>
      <c r="AH49" s="599"/>
      <c r="AI49" s="599"/>
      <c r="AJ49" s="599"/>
      <c r="AK49" s="599"/>
      <c r="AL49" s="599"/>
      <c r="AM49" s="599"/>
      <c r="AN49" s="599"/>
      <c r="AO49" s="599"/>
      <c r="AP49" s="599"/>
      <c r="AQ49" s="599"/>
      <c r="AR49" s="599"/>
      <c r="AS49" s="599"/>
      <c r="AT49" s="599"/>
      <c r="AU49" s="599"/>
      <c r="AV49" s="599"/>
      <c r="AW49" s="599"/>
      <c r="AX49" s="599"/>
      <c r="AY49" s="599"/>
      <c r="AZ49" s="599"/>
      <c r="BA49" s="599"/>
      <c r="BB49" s="598"/>
    </row>
    <row r="50" spans="2:54">
      <c r="B50" s="1328"/>
      <c r="C50" s="1329"/>
      <c r="D50" s="501"/>
      <c r="E50" s="501"/>
      <c r="F50" s="1315" t="s">
        <v>616</v>
      </c>
      <c r="G50" s="1316"/>
      <c r="H50" s="629">
        <v>4000.0309999999999</v>
      </c>
      <c r="I50" s="584"/>
      <c r="J50" s="574"/>
      <c r="K50" s="574"/>
      <c r="L50" s="574"/>
      <c r="M50" s="574"/>
      <c r="N50" s="505" t="str">
        <f t="shared" si="2"/>
        <v xml:space="preserve"> </v>
      </c>
      <c r="O50" s="597"/>
      <c r="P50" s="507"/>
      <c r="Q50" s="507"/>
      <c r="R50" s="507"/>
      <c r="S50" s="598"/>
      <c r="T50" s="599"/>
      <c r="U50" s="599"/>
      <c r="V50" s="599"/>
      <c r="W50" s="599"/>
      <c r="X50" s="599"/>
      <c r="Y50" s="599"/>
      <c r="Z50" s="599"/>
      <c r="AA50" s="599"/>
      <c r="AB50" s="599"/>
      <c r="AC50" s="599"/>
      <c r="AD50" s="599"/>
      <c r="AE50" s="599"/>
      <c r="AF50" s="599"/>
      <c r="AG50" s="599"/>
      <c r="AH50" s="599"/>
      <c r="AI50" s="599"/>
      <c r="AJ50" s="599"/>
      <c r="AK50" s="599"/>
      <c r="AL50" s="599"/>
      <c r="AM50" s="599"/>
      <c r="AN50" s="599"/>
      <c r="AO50" s="599"/>
      <c r="AP50" s="599"/>
      <c r="AQ50" s="599"/>
      <c r="AR50" s="599"/>
      <c r="AS50" s="599"/>
      <c r="AT50" s="599"/>
      <c r="AU50" s="599"/>
      <c r="AV50" s="599"/>
      <c r="AW50" s="599"/>
      <c r="AX50" s="599"/>
      <c r="AY50" s="599"/>
      <c r="AZ50" s="599"/>
      <c r="BA50" s="599"/>
      <c r="BB50" s="598"/>
    </row>
    <row r="51" spans="2:54">
      <c r="B51" s="1351" t="s">
        <v>626</v>
      </c>
      <c r="C51" s="1352"/>
      <c r="D51" s="1352"/>
      <c r="E51" s="1352"/>
      <c r="F51" s="1352"/>
      <c r="G51" s="1353"/>
      <c r="H51" s="702">
        <f>H39+H42+H37+H45+H48</f>
        <v>36562.786999999997</v>
      </c>
      <c r="I51" s="707"/>
      <c r="J51" s="708"/>
      <c r="K51" s="708"/>
      <c r="L51" s="708"/>
      <c r="M51" s="709"/>
      <c r="N51" s="505" t="str">
        <f t="shared" si="2"/>
        <v xml:space="preserve"> </v>
      </c>
      <c r="O51" s="552"/>
      <c r="P51" s="706"/>
      <c r="Q51" s="706"/>
      <c r="R51" s="706"/>
      <c r="S51" s="598"/>
      <c r="T51" s="1423"/>
      <c r="U51" s="1423"/>
      <c r="V51" s="1423"/>
      <c r="W51" s="1423"/>
      <c r="X51" s="1423"/>
      <c r="Y51" s="1423"/>
      <c r="Z51" s="1423"/>
      <c r="AA51" s="1423"/>
      <c r="AB51" s="1423"/>
      <c r="AC51" s="1423"/>
      <c r="AD51" s="1423"/>
      <c r="AE51" s="1423"/>
      <c r="AF51" s="1423"/>
      <c r="AG51" s="1423"/>
      <c r="AH51" s="1423"/>
      <c r="AI51" s="1423"/>
      <c r="AJ51" s="1423"/>
      <c r="AK51" s="1423"/>
      <c r="AL51" s="1423"/>
      <c r="AM51" s="1423"/>
      <c r="AN51" s="1423"/>
      <c r="AO51" s="1423"/>
      <c r="AP51" s="1423"/>
      <c r="AQ51" s="1423"/>
      <c r="AR51" s="1423"/>
      <c r="AS51" s="1423"/>
      <c r="AT51" s="1423"/>
      <c r="AU51" s="1423"/>
      <c r="AV51" s="1423"/>
      <c r="AW51" s="1423"/>
      <c r="AX51" s="1423"/>
      <c r="AY51" s="1423"/>
      <c r="AZ51" s="1423"/>
      <c r="BA51" s="1423"/>
      <c r="BB51" s="554"/>
    </row>
    <row r="52" spans="2:54">
      <c r="B52" s="1351" t="s">
        <v>556</v>
      </c>
      <c r="C52" s="1352"/>
      <c r="D52" s="1352"/>
      <c r="E52" s="1352"/>
      <c r="F52" s="1352"/>
      <c r="G52" s="1353"/>
      <c r="H52" s="702">
        <f>H36+H51</f>
        <v>56777.585999999996</v>
      </c>
      <c r="I52" s="703"/>
      <c r="J52" s="704"/>
      <c r="K52" s="704"/>
      <c r="L52" s="704"/>
      <c r="M52" s="705"/>
      <c r="N52" s="505" t="str">
        <f t="shared" si="2"/>
        <v xml:space="preserve"> </v>
      </c>
      <c r="O52" s="552"/>
      <c r="P52" s="706"/>
      <c r="Q52" s="706"/>
      <c r="R52" s="706"/>
      <c r="S52" s="598"/>
      <c r="T52" s="1432"/>
      <c r="U52" s="1433"/>
      <c r="V52" s="1433"/>
      <c r="W52" s="1433"/>
      <c r="X52" s="1433"/>
      <c r="Y52" s="1433"/>
      <c r="Z52" s="1433"/>
      <c r="AA52" s="1433"/>
      <c r="AB52" s="1433"/>
      <c r="AC52" s="1433"/>
      <c r="AD52" s="1433"/>
      <c r="AE52" s="1433"/>
      <c r="AF52" s="1433"/>
      <c r="AG52" s="1433"/>
      <c r="AH52" s="1433"/>
      <c r="AI52" s="1433"/>
      <c r="AJ52" s="1433"/>
      <c r="AK52" s="1433"/>
      <c r="AL52" s="1433"/>
      <c r="AM52" s="1433"/>
      <c r="AN52" s="1433"/>
      <c r="AO52" s="1433"/>
      <c r="AP52" s="1433"/>
      <c r="AQ52" s="1433"/>
      <c r="AR52" s="1433"/>
      <c r="AS52" s="1433"/>
      <c r="AT52" s="1433"/>
      <c r="AU52" s="1433"/>
      <c r="AV52" s="1433"/>
      <c r="AW52" s="1433"/>
      <c r="AX52" s="1433"/>
      <c r="AY52" s="1433"/>
      <c r="AZ52" s="1433"/>
      <c r="BA52" s="1433"/>
      <c r="BB52" s="554"/>
    </row>
    <row r="53" spans="2:54">
      <c r="B53" s="1415" t="s">
        <v>557</v>
      </c>
      <c r="C53" s="1416"/>
      <c r="D53" s="1416"/>
      <c r="E53" s="1416"/>
      <c r="F53" s="1416"/>
      <c r="G53" s="1417"/>
      <c r="H53" s="710">
        <v>59900</v>
      </c>
      <c r="I53" s="1434"/>
      <c r="J53" s="1435"/>
      <c r="K53" s="1435"/>
      <c r="L53" s="1435"/>
      <c r="M53" s="1436"/>
      <c r="N53" s="505" t="str">
        <f t="shared" si="2"/>
        <v xml:space="preserve"> </v>
      </c>
      <c r="O53" s="598"/>
      <c r="P53" s="507"/>
      <c r="Q53" s="507"/>
      <c r="R53" s="507"/>
      <c r="S53" s="711"/>
      <c r="T53" s="599">
        <f t="shared" ref="T53:BA53" si="3">SUM(T33:T50)</f>
        <v>0</v>
      </c>
      <c r="U53" s="599">
        <f t="shared" si="3"/>
        <v>0</v>
      </c>
      <c r="V53" s="599">
        <f t="shared" si="3"/>
        <v>0</v>
      </c>
      <c r="W53" s="599">
        <f t="shared" si="3"/>
        <v>0</v>
      </c>
      <c r="X53" s="599">
        <f t="shared" si="3"/>
        <v>0</v>
      </c>
      <c r="Y53" s="599">
        <f t="shared" si="3"/>
        <v>35221.585999999996</v>
      </c>
      <c r="Z53" s="599">
        <f t="shared" si="3"/>
        <v>1341.201</v>
      </c>
      <c r="AA53" s="599">
        <f t="shared" si="3"/>
        <v>0</v>
      </c>
      <c r="AB53" s="599">
        <f t="shared" si="3"/>
        <v>12671.617000000002</v>
      </c>
      <c r="AC53" s="599">
        <f t="shared" si="3"/>
        <v>0</v>
      </c>
      <c r="AD53" s="599">
        <f t="shared" si="3"/>
        <v>0</v>
      </c>
      <c r="AE53" s="599">
        <f t="shared" si="3"/>
        <v>0</v>
      </c>
      <c r="AF53" s="599">
        <f t="shared" si="3"/>
        <v>0</v>
      </c>
      <c r="AG53" s="599">
        <f t="shared" si="3"/>
        <v>0</v>
      </c>
      <c r="AH53" s="599">
        <f t="shared" si="3"/>
        <v>0</v>
      </c>
      <c r="AI53" s="599">
        <f t="shared" si="3"/>
        <v>0</v>
      </c>
      <c r="AJ53" s="599">
        <f t="shared" si="3"/>
        <v>0</v>
      </c>
      <c r="AK53" s="599">
        <f t="shared" si="3"/>
        <v>0</v>
      </c>
      <c r="AL53" s="599">
        <f t="shared" si="3"/>
        <v>0</v>
      </c>
      <c r="AM53" s="599">
        <f t="shared" si="3"/>
        <v>0</v>
      </c>
      <c r="AN53" s="599">
        <f t="shared" si="3"/>
        <v>0</v>
      </c>
      <c r="AO53" s="599">
        <f t="shared" si="3"/>
        <v>0</v>
      </c>
      <c r="AP53" s="599">
        <f t="shared" si="3"/>
        <v>0</v>
      </c>
      <c r="AQ53" s="599">
        <f t="shared" si="3"/>
        <v>0</v>
      </c>
      <c r="AR53" s="599">
        <f t="shared" si="3"/>
        <v>0</v>
      </c>
      <c r="AS53" s="599">
        <f t="shared" si="3"/>
        <v>0</v>
      </c>
      <c r="AT53" s="599">
        <f t="shared" si="3"/>
        <v>0</v>
      </c>
      <c r="AU53" s="599">
        <f t="shared" si="3"/>
        <v>0</v>
      </c>
      <c r="AV53" s="599">
        <f t="shared" si="3"/>
        <v>0</v>
      </c>
      <c r="AW53" s="599">
        <f t="shared" si="3"/>
        <v>0</v>
      </c>
      <c r="AX53" s="599">
        <f t="shared" si="3"/>
        <v>0</v>
      </c>
      <c r="AY53" s="599">
        <f t="shared" si="3"/>
        <v>7543.1819999999998</v>
      </c>
      <c r="AZ53" s="599">
        <f t="shared" si="3"/>
        <v>0</v>
      </c>
      <c r="BA53" s="599">
        <f t="shared" si="3"/>
        <v>0</v>
      </c>
      <c r="BB53" s="599">
        <f>SUM(T53:BA53)</f>
        <v>56777.585999999996</v>
      </c>
    </row>
    <row r="54" spans="2:54">
      <c r="B54" s="1415" t="s">
        <v>3692</v>
      </c>
      <c r="C54" s="1416"/>
      <c r="D54" s="1416"/>
      <c r="E54" s="1416"/>
      <c r="F54" s="1416"/>
      <c r="G54" s="1417"/>
      <c r="H54" s="712">
        <v>59026</v>
      </c>
      <c r="I54" s="713"/>
      <c r="J54" s="714"/>
      <c r="K54" s="714"/>
      <c r="L54" s="558"/>
      <c r="M54" s="598"/>
      <c r="N54" s="598"/>
      <c r="O54" s="598"/>
      <c r="P54" s="598"/>
      <c r="Q54" s="715"/>
      <c r="R54" s="715"/>
      <c r="S54" s="598"/>
      <c r="T54" s="688"/>
      <c r="U54" s="688"/>
      <c r="V54" s="688"/>
      <c r="W54" s="688"/>
      <c r="X54" s="688"/>
      <c r="Y54" s="688"/>
      <c r="Z54" s="688"/>
      <c r="AA54" s="688"/>
      <c r="AB54" s="688"/>
      <c r="AC54" s="598"/>
      <c r="AD54" s="598"/>
      <c r="AE54" s="598"/>
      <c r="AF54" s="598"/>
      <c r="AG54" s="598"/>
      <c r="AH54" s="598"/>
      <c r="AI54" s="598"/>
      <c r="AJ54" s="598"/>
      <c r="AK54" s="598"/>
      <c r="AL54" s="598"/>
      <c r="AM54" s="598"/>
      <c r="AN54" s="598"/>
      <c r="AO54" s="598"/>
      <c r="AP54" s="598"/>
      <c r="AQ54" s="598"/>
      <c r="AR54" s="598"/>
      <c r="AS54" s="554"/>
      <c r="AT54" s="554"/>
      <c r="AU54" s="554"/>
      <c r="AV54" s="554"/>
      <c r="AW54" s="554"/>
      <c r="AX54" s="554"/>
      <c r="AY54" s="554"/>
      <c r="AZ54" s="554"/>
      <c r="BA54" s="554"/>
      <c r="BB54" s="554"/>
    </row>
    <row r="55" spans="2:54">
      <c r="B55" s="1437" t="s">
        <v>3693</v>
      </c>
      <c r="C55" s="1438"/>
      <c r="D55" s="1438"/>
      <c r="E55" s="1438"/>
      <c r="F55" s="1438"/>
      <c r="G55" s="1439"/>
      <c r="H55" s="721">
        <f>H53-H54</f>
        <v>874</v>
      </c>
      <c r="S55" s="598"/>
      <c r="T55" s="688"/>
      <c r="U55" s="688"/>
      <c r="V55" s="688"/>
      <c r="W55" s="688"/>
      <c r="X55" s="688"/>
      <c r="Y55" s="688"/>
      <c r="Z55" s="688"/>
      <c r="AA55" s="688"/>
      <c r="AB55" s="688"/>
      <c r="AC55" s="598"/>
      <c r="AD55" s="598"/>
      <c r="AE55" s="598"/>
      <c r="AF55" s="598"/>
      <c r="AG55" s="598"/>
      <c r="AH55" s="598"/>
      <c r="AI55" s="598"/>
      <c r="AJ55" s="598"/>
      <c r="AK55" s="598"/>
      <c r="AL55" s="598"/>
      <c r="AM55" s="598"/>
      <c r="AN55" s="598"/>
      <c r="AO55" s="598"/>
      <c r="AP55" s="598"/>
      <c r="AQ55" s="598"/>
      <c r="AR55" s="598"/>
      <c r="AS55" s="554"/>
      <c r="AT55" s="554"/>
      <c r="AU55" s="554"/>
      <c r="AV55" s="554"/>
      <c r="AW55" s="554"/>
      <c r="AX55" s="554"/>
      <c r="AY55" s="554"/>
      <c r="AZ55" s="554"/>
      <c r="BA55" s="554"/>
      <c r="BB55" s="554"/>
    </row>
    <row r="56" spans="2:54">
      <c r="B56" s="1430" t="s">
        <v>559</v>
      </c>
      <c r="C56" s="1430"/>
      <c r="D56" s="1430"/>
      <c r="E56" s="1430"/>
      <c r="F56" s="1430"/>
      <c r="G56" s="1430"/>
      <c r="H56" s="722">
        <v>0</v>
      </c>
      <c r="I56" s="716"/>
      <c r="J56" s="717"/>
      <c r="K56" s="717"/>
      <c r="L56" s="563"/>
      <c r="M56" s="598"/>
      <c r="N56" s="598"/>
      <c r="O56" s="598"/>
      <c r="P56" s="598"/>
      <c r="Q56" s="598"/>
      <c r="R56" s="598"/>
      <c r="S56" s="598"/>
      <c r="T56" s="688"/>
      <c r="U56" s="688"/>
      <c r="V56" s="688"/>
      <c r="W56" s="688"/>
      <c r="X56" s="688"/>
      <c r="Y56" s="688"/>
      <c r="Z56" s="688"/>
      <c r="AA56" s="688"/>
      <c r="AB56" s="688"/>
      <c r="AC56" s="598"/>
      <c r="AD56" s="598"/>
      <c r="AE56" s="598"/>
      <c r="AF56" s="598"/>
      <c r="AG56" s="598"/>
      <c r="AH56" s="598"/>
      <c r="AI56" s="598"/>
      <c r="AJ56" s="598"/>
      <c r="AK56" s="598"/>
      <c r="AL56" s="598"/>
      <c r="AM56" s="598"/>
      <c r="AN56" s="598"/>
      <c r="AO56" s="598"/>
      <c r="AP56" s="598"/>
      <c r="AQ56" s="598"/>
      <c r="AR56" s="598"/>
      <c r="AS56" s="554"/>
      <c r="AT56" s="554"/>
      <c r="AU56" s="554"/>
      <c r="AV56" s="554"/>
      <c r="AW56" s="554"/>
      <c r="AX56" s="554"/>
      <c r="AY56" s="554"/>
      <c r="AZ56" s="554"/>
      <c r="BA56" s="554"/>
      <c r="BB56" s="554"/>
    </row>
    <row r="57" spans="2:54">
      <c r="B57" s="598"/>
      <c r="C57" s="598"/>
      <c r="D57" s="598"/>
      <c r="E57" s="598"/>
      <c r="F57" s="598"/>
      <c r="G57" s="598"/>
      <c r="H57" s="598"/>
      <c r="I57" s="718"/>
      <c r="J57" s="716"/>
      <c r="K57" s="716"/>
      <c r="L57" s="719"/>
      <c r="M57" s="598"/>
      <c r="N57" s="598"/>
      <c r="O57" s="716"/>
      <c r="P57" s="598"/>
      <c r="Q57" s="598"/>
      <c r="R57" s="598"/>
      <c r="S57" s="598"/>
      <c r="T57" s="688"/>
      <c r="U57" s="688"/>
      <c r="V57" s="688"/>
      <c r="W57" s="688"/>
      <c r="X57" s="688"/>
      <c r="Y57" s="688"/>
      <c r="Z57" s="688"/>
      <c r="AA57" s="688"/>
      <c r="AB57" s="688"/>
      <c r="AC57" s="598"/>
      <c r="AD57" s="598"/>
      <c r="AE57" s="598"/>
      <c r="AF57" s="598"/>
      <c r="AG57" s="598"/>
      <c r="AH57" s="598"/>
      <c r="AI57" s="598"/>
      <c r="AJ57" s="598"/>
      <c r="AK57" s="598"/>
      <c r="AL57" s="598"/>
      <c r="AM57" s="598"/>
      <c r="AN57" s="598"/>
      <c r="AO57" s="598"/>
      <c r="AP57" s="598"/>
      <c r="AQ57" s="598"/>
      <c r="AR57" s="598"/>
      <c r="AS57" s="554"/>
      <c r="AT57" s="554"/>
      <c r="AU57" s="554"/>
      <c r="AV57" s="554"/>
      <c r="AW57" s="554"/>
      <c r="AX57" s="554"/>
      <c r="AY57" s="554"/>
      <c r="AZ57" s="554"/>
      <c r="BA57" s="554"/>
      <c r="BB57" s="554"/>
    </row>
    <row r="58" spans="2:54">
      <c r="B58" s="693" t="s">
        <v>561</v>
      </c>
      <c r="C58" s="693"/>
      <c r="D58" s="598"/>
      <c r="E58" s="598"/>
      <c r="F58" s="598"/>
      <c r="G58" s="598"/>
      <c r="H58" s="598"/>
      <c r="I58" s="598"/>
      <c r="J58" s="716"/>
      <c r="K58" s="716"/>
      <c r="L58" s="719"/>
      <c r="M58" s="598"/>
      <c r="N58" s="598"/>
      <c r="O58" s="716"/>
      <c r="P58" s="688"/>
      <c r="Q58" s="688"/>
      <c r="R58" s="688"/>
      <c r="S58" s="688"/>
      <c r="T58" s="688"/>
      <c r="U58" s="688"/>
      <c r="V58" s="688"/>
      <c r="W58" s="688"/>
      <c r="X58" s="688"/>
      <c r="Y58" s="688"/>
      <c r="Z58" s="688"/>
      <c r="AA58" s="688"/>
      <c r="AB58" s="598"/>
      <c r="AC58" s="598"/>
      <c r="AD58" s="598"/>
      <c r="AE58" s="598"/>
      <c r="AF58" s="598"/>
      <c r="AG58" s="598"/>
      <c r="AH58" s="598"/>
      <c r="AI58" s="598"/>
      <c r="AJ58" s="598"/>
      <c r="AK58" s="598"/>
      <c r="AL58" s="598"/>
      <c r="AM58" s="598"/>
      <c r="AN58" s="598"/>
      <c r="AO58" s="598"/>
      <c r="AP58" s="598"/>
      <c r="AQ58" s="598"/>
      <c r="AR58" s="598"/>
      <c r="AS58" s="598"/>
      <c r="AT58" s="598"/>
      <c r="AU58" s="598"/>
      <c r="AV58" s="554"/>
      <c r="AW58" s="554"/>
      <c r="AX58" s="554"/>
      <c r="AY58" s="554"/>
      <c r="AZ58" s="554"/>
      <c r="BA58" s="554"/>
      <c r="BB58" s="598"/>
    </row>
    <row r="59" spans="2:54" ht="12.75" customHeight="1">
      <c r="B59" s="720">
        <v>1</v>
      </c>
      <c r="C59" s="1431"/>
      <c r="D59" s="1431"/>
      <c r="E59" s="1431"/>
      <c r="F59" s="1431"/>
      <c r="G59" s="1431"/>
      <c r="H59" s="1431"/>
      <c r="I59" s="1431"/>
      <c r="J59" s="1431"/>
      <c r="K59" s="1431"/>
      <c r="L59" s="719"/>
      <c r="M59" s="719"/>
      <c r="N59" s="598"/>
      <c r="O59" s="716"/>
      <c r="P59" s="688"/>
      <c r="Q59" s="688"/>
      <c r="R59" s="688"/>
      <c r="S59" s="688"/>
      <c r="T59" s="688"/>
      <c r="U59" s="688"/>
      <c r="V59" s="688"/>
      <c r="W59" s="688"/>
      <c r="X59" s="688"/>
      <c r="Y59" s="688"/>
      <c r="Z59" s="688"/>
      <c r="AA59" s="688"/>
      <c r="AB59" s="598"/>
      <c r="AC59" s="598"/>
      <c r="AD59" s="598"/>
      <c r="AE59" s="598"/>
      <c r="AF59" s="598"/>
      <c r="AG59" s="598"/>
      <c r="AH59" s="598"/>
      <c r="AI59" s="598"/>
      <c r="AJ59" s="598"/>
      <c r="AK59" s="598"/>
      <c r="AL59" s="598"/>
      <c r="AM59" s="598"/>
      <c r="AN59" s="598"/>
      <c r="AO59" s="598"/>
      <c r="AP59" s="598"/>
      <c r="AQ59" s="598"/>
      <c r="AR59" s="598"/>
      <c r="AS59" s="598"/>
      <c r="AT59" s="598"/>
      <c r="AU59" s="598"/>
      <c r="AV59" s="598"/>
      <c r="AW59" s="598"/>
      <c r="AX59" s="598"/>
      <c r="AY59" s="598"/>
      <c r="AZ59" s="598"/>
      <c r="BA59" s="598"/>
      <c r="BB59" s="598"/>
    </row>
    <row r="61" spans="2:54">
      <c r="B61" s="28" t="s">
        <v>126</v>
      </c>
      <c r="C61" s="28"/>
      <c r="D61" s="29"/>
      <c r="E61" s="30" t="s">
        <v>511</v>
      </c>
      <c r="F61" s="31" t="s">
        <v>994</v>
      </c>
      <c r="G61" s="32"/>
      <c r="H61" s="33"/>
      <c r="I61" s="34"/>
      <c r="J61" s="35" t="s">
        <v>513</v>
      </c>
      <c r="K61" s="36" t="s">
        <v>511</v>
      </c>
      <c r="L61" s="516">
        <v>45209.083333333336</v>
      </c>
      <c r="M61" s="32"/>
      <c r="N61" s="32"/>
      <c r="O61" s="206"/>
      <c r="P61" s="205"/>
      <c r="Q61" s="202"/>
      <c r="R61" s="204"/>
      <c r="S61" s="38"/>
      <c r="T61" s="201"/>
      <c r="U61" s="201"/>
      <c r="V61" s="201"/>
      <c r="W61" s="201"/>
      <c r="X61" s="201"/>
      <c r="Y61" s="201"/>
      <c r="Z61" s="201"/>
      <c r="AA61" s="201"/>
      <c r="AB61" s="202"/>
      <c r="AC61" s="202"/>
      <c r="AD61" s="202"/>
      <c r="AE61" s="202"/>
      <c r="AF61" s="202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  <c r="AU61" s="201"/>
      <c r="AV61" s="201"/>
      <c r="AW61" s="201"/>
      <c r="AX61" s="201"/>
      <c r="AY61" s="201"/>
      <c r="AZ61" s="201"/>
      <c r="BA61" s="201"/>
      <c r="BB61" s="201"/>
    </row>
    <row r="62" spans="2:54">
      <c r="B62" s="35" t="s">
        <v>514</v>
      </c>
      <c r="C62" s="35"/>
      <c r="D62" s="32"/>
      <c r="E62" s="36" t="s">
        <v>511</v>
      </c>
      <c r="F62" s="311" t="s">
        <v>3694</v>
      </c>
      <c r="G62" s="32"/>
      <c r="H62" s="33"/>
      <c r="I62" s="34"/>
      <c r="J62" s="35" t="s">
        <v>516</v>
      </c>
      <c r="K62" s="36" t="s">
        <v>511</v>
      </c>
      <c r="L62" s="516">
        <v>45211.833333333336</v>
      </c>
      <c r="M62" s="32"/>
      <c r="N62" s="32"/>
      <c r="O62" s="206"/>
      <c r="P62" s="205"/>
      <c r="Q62" s="202"/>
      <c r="R62" s="204"/>
      <c r="S62" s="38"/>
      <c r="T62" s="201"/>
      <c r="U62" s="201"/>
      <c r="V62" s="201"/>
      <c r="W62" s="201"/>
      <c r="X62" s="201"/>
      <c r="Y62" s="201"/>
      <c r="Z62" s="201"/>
      <c r="AA62" s="201"/>
      <c r="AB62" s="202"/>
      <c r="AC62" s="202"/>
      <c r="AD62" s="202"/>
      <c r="AE62" s="202"/>
      <c r="AF62" s="202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  <c r="AU62" s="201"/>
      <c r="AV62" s="201"/>
      <c r="AW62" s="201"/>
      <c r="AX62" s="201"/>
      <c r="AY62" s="201"/>
      <c r="AZ62" s="201"/>
      <c r="BA62" s="201"/>
      <c r="BB62" s="201"/>
    </row>
    <row r="63" spans="2:54">
      <c r="B63" s="35" t="s">
        <v>517</v>
      </c>
      <c r="C63" s="35"/>
      <c r="D63" s="32"/>
      <c r="E63" s="36" t="s">
        <v>511</v>
      </c>
      <c r="F63" s="516">
        <v>45194.895833333336</v>
      </c>
      <c r="G63" s="32"/>
      <c r="H63" s="33"/>
      <c r="I63" s="34"/>
      <c r="J63" s="35" t="s">
        <v>518</v>
      </c>
      <c r="K63" s="36" t="s">
        <v>511</v>
      </c>
      <c r="L63" s="544">
        <v>56600</v>
      </c>
      <c r="M63" s="40" t="s">
        <v>519</v>
      </c>
      <c r="N63" s="40"/>
      <c r="O63" s="206"/>
      <c r="P63" s="205"/>
      <c r="Q63" s="202"/>
      <c r="R63" s="204"/>
      <c r="S63" s="38"/>
      <c r="T63" s="201"/>
      <c r="U63" s="201"/>
      <c r="V63" s="201"/>
      <c r="W63" s="201"/>
      <c r="X63" s="201"/>
      <c r="Y63" s="201"/>
      <c r="Z63" s="201"/>
      <c r="AA63" s="201"/>
      <c r="AB63" s="202"/>
      <c r="AC63" s="202"/>
      <c r="AD63" s="202"/>
      <c r="AE63" s="202"/>
      <c r="AF63" s="202"/>
      <c r="AG63" s="201"/>
      <c r="AH63" s="201"/>
      <c r="AI63" s="201"/>
      <c r="AJ63" s="201"/>
      <c r="AK63" s="201"/>
      <c r="AL63" s="201"/>
      <c r="AM63" s="201"/>
      <c r="AN63" s="201"/>
      <c r="AO63" s="201"/>
      <c r="AP63" s="201"/>
      <c r="AQ63" s="201"/>
      <c r="AR63" s="201"/>
      <c r="AS63" s="201"/>
      <c r="AT63" s="201"/>
      <c r="AU63" s="201"/>
      <c r="AV63" s="201"/>
      <c r="AW63" s="201"/>
      <c r="AX63" s="201"/>
      <c r="AY63" s="201"/>
      <c r="AZ63" s="201"/>
      <c r="BA63" s="201"/>
      <c r="BB63" s="201"/>
    </row>
    <row r="64" spans="2:54">
      <c r="B64" s="35" t="s">
        <v>520</v>
      </c>
      <c r="C64" s="35"/>
      <c r="D64" s="32"/>
      <c r="E64" s="36" t="s">
        <v>511</v>
      </c>
      <c r="F64" s="516" t="s">
        <v>8</v>
      </c>
      <c r="G64" s="32"/>
      <c r="H64" s="33"/>
      <c r="I64" s="34"/>
      <c r="J64" s="35" t="s">
        <v>521</v>
      </c>
      <c r="K64" s="36" t="s">
        <v>511</v>
      </c>
      <c r="L64" s="41" t="s">
        <v>3080</v>
      </c>
      <c r="M64" s="32"/>
      <c r="N64" s="32"/>
      <c r="O64" s="206"/>
      <c r="P64" s="202"/>
      <c r="Q64" s="202"/>
      <c r="R64" s="204"/>
      <c r="S64" s="38"/>
      <c r="T64" s="201"/>
      <c r="U64" s="201"/>
      <c r="V64" s="201"/>
      <c r="W64" s="201"/>
      <c r="X64" s="201"/>
      <c r="Y64" s="201"/>
      <c r="Z64" s="201"/>
      <c r="AA64" s="201"/>
      <c r="AB64" s="202"/>
      <c r="AC64" s="202"/>
      <c r="AD64" s="202"/>
      <c r="AE64" s="202"/>
      <c r="AF64" s="202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/>
      <c r="AT64" s="201"/>
      <c r="AU64" s="201"/>
      <c r="AV64" s="201"/>
      <c r="AW64" s="201"/>
      <c r="AX64" s="201"/>
      <c r="AY64" s="201"/>
      <c r="AZ64" s="201"/>
      <c r="BA64" s="201"/>
      <c r="BB64" s="201"/>
    </row>
    <row r="65" spans="2:54">
      <c r="B65" s="35" t="s">
        <v>523</v>
      </c>
      <c r="C65" s="35"/>
      <c r="D65" s="32"/>
      <c r="E65" s="36" t="s">
        <v>511</v>
      </c>
      <c r="F65" s="516" t="s">
        <v>13</v>
      </c>
      <c r="G65" s="32"/>
      <c r="H65" s="33"/>
      <c r="I65" s="34"/>
      <c r="J65" s="42" t="s">
        <v>524</v>
      </c>
      <c r="K65" s="36" t="s">
        <v>511</v>
      </c>
      <c r="L65" s="43" t="s">
        <v>15</v>
      </c>
      <c r="M65" s="44"/>
      <c r="N65" s="44"/>
      <c r="O65" s="206"/>
      <c r="P65" s="205"/>
      <c r="Q65" s="202"/>
      <c r="R65" s="204"/>
      <c r="S65" s="38"/>
      <c r="T65" s="201"/>
      <c r="U65" s="201"/>
      <c r="V65" s="201"/>
      <c r="W65" s="201"/>
      <c r="X65" s="201"/>
      <c r="Y65" s="201"/>
      <c r="Z65" s="201"/>
      <c r="AA65" s="201"/>
      <c r="AB65" s="202"/>
      <c r="AC65" s="202"/>
      <c r="AD65" s="202"/>
      <c r="AE65" s="202"/>
      <c r="AF65" s="202"/>
      <c r="AG65" s="201"/>
      <c r="AH65" s="201"/>
      <c r="AI65" s="201"/>
      <c r="AJ65" s="201"/>
      <c r="AK65" s="201"/>
      <c r="AL65" s="201"/>
      <c r="AM65" s="201"/>
      <c r="AN65" s="201"/>
      <c r="AO65" s="201"/>
      <c r="AP65" s="201"/>
      <c r="AQ65" s="201"/>
      <c r="AR65" s="201"/>
      <c r="AS65" s="201"/>
      <c r="AT65" s="201"/>
      <c r="AU65" s="201"/>
      <c r="AV65" s="201"/>
      <c r="AW65" s="201"/>
      <c r="AX65" s="201"/>
      <c r="AY65" s="201"/>
      <c r="AZ65" s="201"/>
      <c r="BA65" s="201"/>
      <c r="BB65" s="201"/>
    </row>
    <row r="66" spans="2:54">
      <c r="B66" s="35" t="s">
        <v>2</v>
      </c>
      <c r="C66" s="35"/>
      <c r="D66" s="32"/>
      <c r="E66" s="36" t="s">
        <v>511</v>
      </c>
      <c r="F66" s="516" t="s">
        <v>42</v>
      </c>
      <c r="G66" s="32"/>
      <c r="H66" s="33"/>
      <c r="I66" s="45"/>
      <c r="J66" s="42"/>
      <c r="K66" s="36"/>
      <c r="L66" s="211"/>
      <c r="M66" s="201"/>
      <c r="N66" s="201"/>
      <c r="O66" s="42"/>
      <c r="P66" s="44"/>
      <c r="Q66" s="44"/>
      <c r="R66" s="44"/>
      <c r="S66" s="34"/>
      <c r="T66" s="201"/>
      <c r="U66" s="201"/>
      <c r="V66" s="201"/>
      <c r="W66" s="201"/>
      <c r="X66" s="201"/>
      <c r="Y66" s="201"/>
      <c r="Z66" s="201"/>
      <c r="AA66" s="201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201"/>
      <c r="AP66" s="201"/>
      <c r="AQ66" s="201"/>
      <c r="AR66" s="201"/>
      <c r="AS66" s="201"/>
      <c r="AT66" s="201"/>
      <c r="AU66" s="201"/>
      <c r="AV66" s="201"/>
      <c r="AW66" s="201"/>
      <c r="AX66" s="201"/>
      <c r="AY66" s="201"/>
      <c r="AZ66" s="201"/>
      <c r="BA66" s="201"/>
      <c r="BB66" s="201"/>
    </row>
    <row r="67" spans="2:54">
      <c r="B67" s="201"/>
      <c r="C67" s="201"/>
      <c r="D67" s="201"/>
      <c r="E67" s="201"/>
      <c r="F67" s="201"/>
      <c r="G67" s="201"/>
      <c r="H67" s="201"/>
      <c r="I67" s="45"/>
      <c r="J67" s="42"/>
      <c r="K67" s="42"/>
      <c r="L67" s="43"/>
      <c r="M67" s="44"/>
      <c r="N67" s="44"/>
      <c r="O67" s="42"/>
      <c r="P67" s="44"/>
      <c r="Q67" s="44"/>
      <c r="R67" s="44"/>
      <c r="S67" s="34"/>
      <c r="T67" s="1265" t="s">
        <v>87</v>
      </c>
      <c r="U67" s="1265"/>
      <c r="V67" s="1265"/>
      <c r="W67" s="1265"/>
      <c r="X67" s="1265"/>
      <c r="Y67" s="1265" t="s">
        <v>73</v>
      </c>
      <c r="Z67" s="1265"/>
      <c r="AA67" s="1265"/>
      <c r="AB67" s="1265" t="s">
        <v>74</v>
      </c>
      <c r="AC67" s="1265"/>
      <c r="AD67" s="423" t="s">
        <v>85</v>
      </c>
      <c r="AE67" s="423" t="s">
        <v>77</v>
      </c>
      <c r="AF67" s="1265" t="s">
        <v>525</v>
      </c>
      <c r="AG67" s="1265"/>
      <c r="AH67" s="1265"/>
      <c r="AI67" s="1265"/>
      <c r="AJ67" s="1265"/>
      <c r="AK67" s="1265"/>
      <c r="AL67" s="1265"/>
      <c r="AM67" s="1265"/>
      <c r="AN67" s="1265"/>
      <c r="AO67" s="1265"/>
      <c r="AP67" s="1265"/>
      <c r="AQ67" s="1265"/>
      <c r="AR67" s="1265"/>
      <c r="AS67" s="1265"/>
      <c r="AT67" s="1265"/>
      <c r="AU67" s="1265"/>
      <c r="AV67" s="1265"/>
      <c r="AW67" s="1265"/>
      <c r="AX67" s="1265"/>
      <c r="AY67" s="1265"/>
      <c r="AZ67" s="1265"/>
      <c r="BA67" s="1265"/>
      <c r="BB67" s="201"/>
    </row>
    <row r="68" spans="2:54">
      <c r="B68" s="1266" t="s">
        <v>526</v>
      </c>
      <c r="C68" s="1267"/>
      <c r="D68" s="570" t="s">
        <v>527</v>
      </c>
      <c r="E68" s="570"/>
      <c r="F68" s="570" t="s">
        <v>528</v>
      </c>
      <c r="G68" s="570" t="s">
        <v>529</v>
      </c>
      <c r="H68" s="570" t="s">
        <v>530</v>
      </c>
      <c r="I68" s="570" t="s">
        <v>531</v>
      </c>
      <c r="J68" s="570" t="s">
        <v>532</v>
      </c>
      <c r="K68" s="570"/>
      <c r="L68" s="570" t="s">
        <v>130</v>
      </c>
      <c r="M68" s="570" t="s">
        <v>533</v>
      </c>
      <c r="N68" s="625" t="str">
        <f>"On time - "&amp;COUNTIF(N69:N75,"On time")&amp;" from "&amp;ROWS(N69:N75)-COUNTIF(N69:N75," ")</f>
        <v>On time - 0 from 7</v>
      </c>
      <c r="O68" s="46"/>
      <c r="P68" s="409" t="s">
        <v>534</v>
      </c>
      <c r="Q68" s="409" t="s">
        <v>535</v>
      </c>
      <c r="R68" s="409" t="s">
        <v>536</v>
      </c>
      <c r="S68" s="32"/>
      <c r="T68" s="424" t="s">
        <v>537</v>
      </c>
      <c r="U68" s="424" t="s">
        <v>538</v>
      </c>
      <c r="V68" s="424" t="s">
        <v>539</v>
      </c>
      <c r="W68" s="424" t="s">
        <v>540</v>
      </c>
      <c r="X68" s="424" t="s">
        <v>541</v>
      </c>
      <c r="Y68" s="424" t="s">
        <v>167</v>
      </c>
      <c r="Z68" s="424" t="s">
        <v>168</v>
      </c>
      <c r="AA68" s="424" t="s">
        <v>169</v>
      </c>
      <c r="AB68" s="424" t="s">
        <v>235</v>
      </c>
      <c r="AC68" s="424" t="s">
        <v>240</v>
      </c>
      <c r="AD68" s="423" t="s">
        <v>85</v>
      </c>
      <c r="AE68" s="424" t="s">
        <v>139</v>
      </c>
      <c r="AF68" s="424" t="s">
        <v>72</v>
      </c>
      <c r="AG68" s="424" t="s">
        <v>88</v>
      </c>
      <c r="AH68" s="424" t="s">
        <v>75</v>
      </c>
      <c r="AI68" s="424" t="s">
        <v>543</v>
      </c>
      <c r="AJ68" s="424" t="s">
        <v>78</v>
      </c>
      <c r="AK68" s="424" t="s">
        <v>76</v>
      </c>
      <c r="AL68" s="424" t="s">
        <v>544</v>
      </c>
      <c r="AM68" s="424" t="s">
        <v>545</v>
      </c>
      <c r="AN68" s="424" t="s">
        <v>86</v>
      </c>
      <c r="AO68" s="424" t="s">
        <v>83</v>
      </c>
      <c r="AP68" s="424" t="s">
        <v>84</v>
      </c>
      <c r="AQ68" s="424" t="s">
        <v>546</v>
      </c>
      <c r="AR68" s="424" t="s">
        <v>81</v>
      </c>
      <c r="AS68" s="424" t="s">
        <v>80</v>
      </c>
      <c r="AT68" s="424" t="s">
        <v>82</v>
      </c>
      <c r="AU68" s="424" t="s">
        <v>181</v>
      </c>
      <c r="AV68" s="424" t="s">
        <v>183</v>
      </c>
      <c r="AW68" s="424" t="s">
        <v>547</v>
      </c>
      <c r="AX68" s="424" t="s">
        <v>182</v>
      </c>
      <c r="AY68" s="424" t="s">
        <v>172</v>
      </c>
      <c r="AZ68" s="424" t="s">
        <v>173</v>
      </c>
      <c r="BA68" s="424" t="s">
        <v>184</v>
      </c>
      <c r="BB68" s="201"/>
    </row>
    <row r="69" spans="2:54">
      <c r="B69" s="1315" t="s">
        <v>548</v>
      </c>
      <c r="C69" s="1316"/>
      <c r="D69" s="501" t="s">
        <v>2774</v>
      </c>
      <c r="E69" s="501"/>
      <c r="F69" s="501" t="s">
        <v>358</v>
      </c>
      <c r="G69" s="501" t="s">
        <v>359</v>
      </c>
      <c r="H69" s="503">
        <v>9160.7420000000002</v>
      </c>
      <c r="I69" s="505" t="s">
        <v>418</v>
      </c>
      <c r="J69" s="504">
        <v>45208.916666666664</v>
      </c>
      <c r="K69" s="504"/>
      <c r="L69" s="504" t="s">
        <v>192</v>
      </c>
      <c r="M69" s="504" t="s">
        <v>192</v>
      </c>
      <c r="N69" s="505" t="str">
        <f t="shared" ref="N69:N77" si="4">IF(ISBLANK(J69)," ",IF(J69&lt;$F$63,"On time",(IF(DAY(J69-$F$63)&lt;1,"On time",(IF(J69&gt;$F$63,"DELAY ( "&amp;DAY(J69-$F$63)&amp;" day "&amp;HOUR(J69-$F$63)&amp;" hour "&amp;MINUTE(J69-$F$63)&amp;" minute )","xxx"))))))</f>
        <v>DELAY ( 14 day 0 hour 30 minute )</v>
      </c>
      <c r="O69" s="506"/>
      <c r="P69" s="507" t="s">
        <v>551</v>
      </c>
      <c r="Q69" s="507" t="s">
        <v>551</v>
      </c>
      <c r="R69" s="507" t="s">
        <v>551</v>
      </c>
      <c r="S69" s="500"/>
      <c r="T69" s="508"/>
      <c r="U69" s="508"/>
      <c r="V69" s="508"/>
      <c r="W69" s="508"/>
      <c r="X69" s="508"/>
      <c r="Y69" s="508"/>
      <c r="Z69" s="508"/>
      <c r="AA69" s="508"/>
      <c r="AB69" s="508">
        <f>(H69*0.6)</f>
        <v>5496.4452000000001</v>
      </c>
      <c r="AC69" s="508">
        <f>(H69*0.4)</f>
        <v>3664.2968000000001</v>
      </c>
      <c r="AD69" s="508"/>
      <c r="AE69" s="508"/>
      <c r="AF69" s="508"/>
      <c r="AG69" s="508"/>
      <c r="AH69" s="508"/>
      <c r="AI69" s="508"/>
      <c r="AJ69" s="508"/>
      <c r="AK69" s="508"/>
      <c r="AL69" s="508"/>
      <c r="AM69" s="508"/>
      <c r="AN69" s="508"/>
      <c r="AO69" s="508"/>
      <c r="AP69" s="508"/>
      <c r="AQ69" s="508"/>
      <c r="AR69" s="508"/>
      <c r="AS69" s="508"/>
      <c r="AT69" s="508"/>
      <c r="AU69" s="508"/>
      <c r="AV69" s="508"/>
      <c r="AW69" s="508"/>
      <c r="AX69" s="508"/>
      <c r="AY69" s="508"/>
      <c r="AZ69" s="508"/>
      <c r="BA69" s="508"/>
      <c r="BB69" s="500"/>
    </row>
    <row r="70" spans="2:54">
      <c r="B70" s="1315" t="s">
        <v>548</v>
      </c>
      <c r="C70" s="1316"/>
      <c r="D70" s="501" t="s">
        <v>2771</v>
      </c>
      <c r="E70" s="501"/>
      <c r="F70" s="501" t="s">
        <v>2388</v>
      </c>
      <c r="G70" s="501" t="s">
        <v>289</v>
      </c>
      <c r="H70" s="503">
        <v>7520.1329999999998</v>
      </c>
      <c r="I70" s="505" t="s">
        <v>418</v>
      </c>
      <c r="J70" s="504">
        <v>45208.875</v>
      </c>
      <c r="K70" s="504"/>
      <c r="L70" s="504" t="s">
        <v>192</v>
      </c>
      <c r="M70" s="504" t="s">
        <v>192</v>
      </c>
      <c r="N70" s="505" t="str">
        <f t="shared" si="4"/>
        <v>DELAY ( 13 day 23 hour 30 minute )</v>
      </c>
      <c r="O70" s="506"/>
      <c r="P70" s="507" t="s">
        <v>551</v>
      </c>
      <c r="Q70" s="507" t="s">
        <v>551</v>
      </c>
      <c r="R70" s="507" t="s">
        <v>551</v>
      </c>
      <c r="S70" s="500"/>
      <c r="T70" s="508"/>
      <c r="U70" s="508"/>
      <c r="V70" s="508"/>
      <c r="W70" s="508"/>
      <c r="X70" s="508"/>
      <c r="Y70" s="508"/>
      <c r="Z70" s="508"/>
      <c r="AA70" s="508"/>
      <c r="AB70" s="508">
        <f>H70*0.6</f>
        <v>4512.0797999999995</v>
      </c>
      <c r="AC70" s="508">
        <f>H70*0.4</f>
        <v>3008.0532000000003</v>
      </c>
      <c r="AD70" s="508"/>
      <c r="AE70" s="508"/>
      <c r="AF70" s="508"/>
      <c r="AG70" s="508"/>
      <c r="AH70" s="508"/>
      <c r="AI70" s="508"/>
      <c r="AJ70" s="508"/>
      <c r="AK70" s="508"/>
      <c r="AL70" s="508"/>
      <c r="AM70" s="508"/>
      <c r="AN70" s="508"/>
      <c r="AO70" s="508"/>
      <c r="AP70" s="508"/>
      <c r="AQ70" s="508"/>
      <c r="AR70" s="508"/>
      <c r="AS70" s="508"/>
      <c r="AT70" s="508"/>
      <c r="AU70" s="508"/>
      <c r="AV70" s="508"/>
      <c r="AW70" s="508"/>
      <c r="AX70" s="508"/>
      <c r="AY70" s="508"/>
      <c r="AZ70" s="508"/>
      <c r="BA70" s="508"/>
      <c r="BB70" s="500"/>
    </row>
    <row r="71" spans="2:54">
      <c r="B71" s="1315" t="s">
        <v>548</v>
      </c>
      <c r="C71" s="1316"/>
      <c r="D71" s="501" t="s">
        <v>2773</v>
      </c>
      <c r="E71" s="501"/>
      <c r="F71" s="501" t="s">
        <v>1767</v>
      </c>
      <c r="G71" s="501" t="s">
        <v>2352</v>
      </c>
      <c r="H71" s="503">
        <v>7428.2370000000001</v>
      </c>
      <c r="I71" s="505" t="s">
        <v>418</v>
      </c>
      <c r="J71" s="504">
        <v>45209.125</v>
      </c>
      <c r="K71" s="504"/>
      <c r="L71" s="504" t="s">
        <v>192</v>
      </c>
      <c r="M71" s="504" t="s">
        <v>192</v>
      </c>
      <c r="N71" s="505" t="str">
        <f t="shared" si="4"/>
        <v>DELAY ( 14 day 5 hour 30 minute )</v>
      </c>
      <c r="O71" s="506"/>
      <c r="P71" s="507" t="s">
        <v>551</v>
      </c>
      <c r="Q71" s="507" t="s">
        <v>551</v>
      </c>
      <c r="R71" s="507" t="s">
        <v>551</v>
      </c>
      <c r="S71" s="500"/>
      <c r="T71" s="508"/>
      <c r="U71" s="508"/>
      <c r="V71" s="508"/>
      <c r="W71" s="508"/>
      <c r="X71" s="508"/>
      <c r="Y71" s="508"/>
      <c r="Z71" s="508"/>
      <c r="AA71" s="508"/>
      <c r="AB71" s="508">
        <f t="shared" ref="AB71" si="5">H71*0.6</f>
        <v>4456.9421999999995</v>
      </c>
      <c r="AC71" s="508">
        <f t="shared" ref="AC71" si="6">H71*0.4</f>
        <v>2971.2948000000001</v>
      </c>
      <c r="AD71" s="508"/>
      <c r="AE71" s="508"/>
      <c r="AF71" s="508"/>
      <c r="AG71" s="508"/>
      <c r="AH71" s="508"/>
      <c r="AI71" s="508"/>
      <c r="AJ71" s="508"/>
      <c r="AK71" s="508"/>
      <c r="AL71" s="508"/>
      <c r="AM71" s="508"/>
      <c r="AN71" s="508"/>
      <c r="AO71" s="508"/>
      <c r="AP71" s="508"/>
      <c r="AQ71" s="508"/>
      <c r="AR71" s="508"/>
      <c r="AS71" s="508"/>
      <c r="AT71" s="508"/>
      <c r="AU71" s="508"/>
      <c r="AV71" s="508"/>
      <c r="AW71" s="508"/>
      <c r="AX71" s="508"/>
      <c r="AY71" s="508"/>
      <c r="AZ71" s="508"/>
      <c r="BA71" s="508"/>
      <c r="BB71" s="500"/>
    </row>
    <row r="72" spans="2:54">
      <c r="B72" s="1315" t="s">
        <v>548</v>
      </c>
      <c r="C72" s="1316"/>
      <c r="D72" s="501" t="s">
        <v>2768</v>
      </c>
      <c r="E72" s="501"/>
      <c r="F72" s="501" t="s">
        <v>284</v>
      </c>
      <c r="G72" s="501" t="s">
        <v>285</v>
      </c>
      <c r="H72" s="503">
        <v>9224.43</v>
      </c>
      <c r="I72" s="505" t="s">
        <v>418</v>
      </c>
      <c r="J72" s="504">
        <v>45209.041666666664</v>
      </c>
      <c r="K72" s="504"/>
      <c r="L72" s="504" t="s">
        <v>192</v>
      </c>
      <c r="M72" s="504" t="s">
        <v>192</v>
      </c>
      <c r="N72" s="505" t="str">
        <f t="shared" si="4"/>
        <v>DELAY ( 14 day 3 hour 30 minute )</v>
      </c>
      <c r="O72" s="506"/>
      <c r="P72" s="507" t="s">
        <v>551</v>
      </c>
      <c r="Q72" s="507" t="s">
        <v>551</v>
      </c>
      <c r="R72" s="507" t="s">
        <v>551</v>
      </c>
      <c r="S72" s="500"/>
      <c r="T72" s="508"/>
      <c r="U72" s="508"/>
      <c r="V72" s="508"/>
      <c r="W72" s="508"/>
      <c r="X72" s="508"/>
      <c r="Y72" s="508"/>
      <c r="Z72" s="508"/>
      <c r="AA72" s="508"/>
      <c r="AB72" s="508">
        <f>H72*0.6</f>
        <v>5534.6580000000004</v>
      </c>
      <c r="AC72" s="508">
        <f>H72*0.4</f>
        <v>3689.7720000000004</v>
      </c>
      <c r="AD72" s="508"/>
      <c r="AE72" s="508"/>
      <c r="AF72" s="508"/>
      <c r="AG72" s="508"/>
      <c r="AH72" s="508"/>
      <c r="AI72" s="508"/>
      <c r="AJ72" s="508"/>
      <c r="AK72" s="508"/>
      <c r="AL72" s="508"/>
      <c r="AM72" s="508"/>
      <c r="AN72" s="508"/>
      <c r="AO72" s="508"/>
      <c r="AP72" s="508"/>
      <c r="AQ72" s="508"/>
      <c r="AR72" s="508"/>
      <c r="AS72" s="508"/>
      <c r="AT72" s="508"/>
      <c r="AU72" s="508"/>
      <c r="AV72" s="508"/>
      <c r="AW72" s="508"/>
      <c r="AX72" s="508"/>
      <c r="AY72" s="508"/>
      <c r="AZ72" s="508"/>
      <c r="BA72" s="508"/>
      <c r="BB72" s="500"/>
    </row>
    <row r="73" spans="2:54">
      <c r="B73" s="1315" t="s">
        <v>1416</v>
      </c>
      <c r="C73" s="1316"/>
      <c r="D73" s="501" t="s">
        <v>2803</v>
      </c>
      <c r="E73" s="502"/>
      <c r="F73" s="501" t="s">
        <v>473</v>
      </c>
      <c r="G73" s="501" t="s">
        <v>474</v>
      </c>
      <c r="H73" s="503">
        <f>6460.501</f>
        <v>6460.5010000000002</v>
      </c>
      <c r="I73" s="505" t="s">
        <v>182</v>
      </c>
      <c r="J73" s="504">
        <v>45209.604166666664</v>
      </c>
      <c r="K73" s="504"/>
      <c r="L73" s="504" t="s">
        <v>192</v>
      </c>
      <c r="M73" s="504" t="s">
        <v>192</v>
      </c>
      <c r="N73" s="505" t="str">
        <f t="shared" si="4"/>
        <v>DELAY ( 14 day 17 hour 0 minute )</v>
      </c>
      <c r="O73" s="506"/>
      <c r="P73" s="507" t="s">
        <v>551</v>
      </c>
      <c r="Q73" s="507" t="s">
        <v>551</v>
      </c>
      <c r="R73" s="507" t="s">
        <v>873</v>
      </c>
      <c r="S73" s="500"/>
      <c r="T73" s="508"/>
      <c r="U73" s="508"/>
      <c r="V73" s="508"/>
      <c r="W73" s="508"/>
      <c r="X73" s="508"/>
      <c r="Y73" s="508"/>
      <c r="Z73" s="508"/>
      <c r="AA73" s="508"/>
      <c r="AB73" s="508"/>
      <c r="AC73" s="508"/>
      <c r="AD73" s="508"/>
      <c r="AE73" s="508"/>
      <c r="AF73" s="508"/>
      <c r="AG73" s="508"/>
      <c r="AH73" s="508"/>
      <c r="AI73" s="508"/>
      <c r="AJ73" s="508"/>
      <c r="AK73" s="508"/>
      <c r="AL73" s="508"/>
      <c r="AM73" s="508"/>
      <c r="AN73" s="508"/>
      <c r="AO73" s="508"/>
      <c r="AP73" s="508"/>
      <c r="AQ73" s="508"/>
      <c r="AR73" s="508"/>
      <c r="AS73" s="508"/>
      <c r="AT73" s="508"/>
      <c r="AU73" s="508"/>
      <c r="AV73" s="508"/>
      <c r="AW73" s="508"/>
      <c r="AX73" s="508">
        <f>H73</f>
        <v>6460.5010000000002</v>
      </c>
      <c r="AY73" s="508"/>
      <c r="AZ73" s="508"/>
      <c r="BA73" s="508"/>
      <c r="BB73" s="500"/>
    </row>
    <row r="74" spans="2:54">
      <c r="B74" s="1315" t="s">
        <v>548</v>
      </c>
      <c r="C74" s="1316"/>
      <c r="D74" s="501" t="s">
        <v>2769</v>
      </c>
      <c r="E74" s="501"/>
      <c r="F74" s="501" t="s">
        <v>2210</v>
      </c>
      <c r="G74" s="501" t="s">
        <v>493</v>
      </c>
      <c r="H74" s="503">
        <v>7465.5659999999998</v>
      </c>
      <c r="I74" s="505" t="s">
        <v>418</v>
      </c>
      <c r="J74" s="504">
        <v>45209.416666666664</v>
      </c>
      <c r="K74" s="504"/>
      <c r="L74" s="504" t="s">
        <v>192</v>
      </c>
      <c r="M74" s="504" t="s">
        <v>192</v>
      </c>
      <c r="N74" s="505" t="str">
        <f t="shared" si="4"/>
        <v>DELAY ( 14 day 12 hour 30 minute )</v>
      </c>
      <c r="O74" s="506"/>
      <c r="P74" s="507" t="s">
        <v>551</v>
      </c>
      <c r="Q74" s="507" t="s">
        <v>551</v>
      </c>
      <c r="R74" s="507" t="s">
        <v>551</v>
      </c>
      <c r="S74" s="500"/>
      <c r="T74" s="508"/>
      <c r="U74" s="508"/>
      <c r="V74" s="508"/>
      <c r="W74" s="508"/>
      <c r="X74" s="508"/>
      <c r="Y74" s="508"/>
      <c r="Z74" s="508"/>
      <c r="AA74" s="508"/>
      <c r="AB74" s="508">
        <f>H74*0.6</f>
        <v>4479.3395999999993</v>
      </c>
      <c r="AC74" s="508">
        <f>H74*0.4</f>
        <v>2986.2264</v>
      </c>
      <c r="AD74" s="508"/>
      <c r="AE74" s="508"/>
      <c r="AF74" s="508"/>
      <c r="AG74" s="508"/>
      <c r="AH74" s="508"/>
      <c r="AI74" s="508"/>
      <c r="AJ74" s="508"/>
      <c r="AK74" s="508"/>
      <c r="AL74" s="508"/>
      <c r="AM74" s="508"/>
      <c r="AN74" s="508"/>
      <c r="AO74" s="508"/>
      <c r="AP74" s="508"/>
      <c r="AQ74" s="508"/>
      <c r="AR74" s="508"/>
      <c r="AS74" s="508"/>
      <c r="AT74" s="508"/>
      <c r="AU74" s="508"/>
      <c r="AV74" s="508"/>
      <c r="AW74" s="508"/>
      <c r="AX74" s="508"/>
      <c r="AY74" s="508"/>
      <c r="AZ74" s="508"/>
      <c r="BA74" s="508"/>
      <c r="BB74" s="500"/>
    </row>
    <row r="75" spans="2:54" s="554" customFormat="1">
      <c r="B75" s="1315" t="s">
        <v>548</v>
      </c>
      <c r="C75" s="1316"/>
      <c r="D75" s="501" t="s">
        <v>2848</v>
      </c>
      <c r="E75" s="501"/>
      <c r="F75" s="501" t="s">
        <v>2295</v>
      </c>
      <c r="G75" s="501" t="s">
        <v>2296</v>
      </c>
      <c r="H75" s="503">
        <f>10147.249-806.858</f>
        <v>9340.3909999999996</v>
      </c>
      <c r="I75" s="505" t="s">
        <v>418</v>
      </c>
      <c r="J75" s="504">
        <v>45209.770833333336</v>
      </c>
      <c r="K75" s="504"/>
      <c r="L75" s="504" t="s">
        <v>192</v>
      </c>
      <c r="M75" s="504" t="s">
        <v>192</v>
      </c>
      <c r="N75" s="505" t="str">
        <f t="shared" si="4"/>
        <v>DELAY ( 14 day 21 hour 0 minute )</v>
      </c>
      <c r="O75" s="506"/>
      <c r="P75" s="507" t="s">
        <v>551</v>
      </c>
      <c r="Q75" s="507" t="s">
        <v>551</v>
      </c>
      <c r="R75" s="507" t="s">
        <v>551</v>
      </c>
      <c r="S75" s="500"/>
      <c r="T75" s="508"/>
      <c r="U75" s="508"/>
      <c r="V75" s="508"/>
      <c r="W75" s="508"/>
      <c r="X75" s="508"/>
      <c r="Y75" s="508"/>
      <c r="Z75" s="508"/>
      <c r="AA75" s="508"/>
      <c r="AB75" s="508">
        <f>H75*0.6</f>
        <v>5604.2345999999998</v>
      </c>
      <c r="AC75" s="508">
        <f>H75*0.4</f>
        <v>3736.1563999999998</v>
      </c>
      <c r="AD75" s="508"/>
      <c r="AE75" s="508"/>
      <c r="AF75" s="508"/>
      <c r="AG75" s="508"/>
      <c r="AH75" s="508"/>
      <c r="AI75" s="508"/>
      <c r="AJ75" s="508"/>
      <c r="AK75" s="500"/>
      <c r="AL75" s="508"/>
      <c r="AM75" s="508"/>
      <c r="AN75" s="508"/>
      <c r="AO75" s="508"/>
      <c r="AP75" s="508"/>
      <c r="AQ75" s="508"/>
      <c r="AR75" s="508"/>
      <c r="AS75" s="508"/>
      <c r="AT75" s="508"/>
      <c r="AU75" s="508"/>
      <c r="AV75" s="508"/>
      <c r="AW75" s="508"/>
      <c r="AX75" s="508"/>
      <c r="AY75" s="508"/>
      <c r="AZ75" s="508"/>
      <c r="BA75" s="508"/>
      <c r="BB75" s="500"/>
    </row>
    <row r="76" spans="2:54">
      <c r="B76" s="1258" t="s">
        <v>556</v>
      </c>
      <c r="C76" s="1259"/>
      <c r="D76" s="1259"/>
      <c r="E76" s="1259"/>
      <c r="F76" s="1259"/>
      <c r="G76" s="1260"/>
      <c r="H76" s="417">
        <f>SUM(H69:H75)</f>
        <v>56600</v>
      </c>
      <c r="I76" s="388"/>
      <c r="J76" s="293"/>
      <c r="K76" s="293"/>
      <c r="L76" s="293"/>
      <c r="M76" s="389"/>
      <c r="N76" s="505" t="str">
        <f t="shared" si="4"/>
        <v xml:space="preserve"> </v>
      </c>
      <c r="O76" s="212"/>
      <c r="P76" s="418"/>
      <c r="Q76" s="418"/>
      <c r="R76" s="418"/>
      <c r="S76" s="207"/>
      <c r="T76" s="1300"/>
      <c r="U76" s="1301"/>
      <c r="V76" s="1301"/>
      <c r="W76" s="1301"/>
      <c r="X76" s="1301"/>
      <c r="Y76" s="1301"/>
      <c r="Z76" s="1301"/>
      <c r="AA76" s="1301"/>
      <c r="AB76" s="1301"/>
      <c r="AC76" s="1301"/>
      <c r="AD76" s="1301"/>
      <c r="AE76" s="1301"/>
      <c r="AF76" s="1301"/>
      <c r="AG76" s="1301"/>
      <c r="AH76" s="1301"/>
      <c r="AI76" s="1301"/>
      <c r="AJ76" s="1301"/>
      <c r="AK76" s="1301"/>
      <c r="AL76" s="1301"/>
      <c r="AM76" s="1301"/>
      <c r="AN76" s="1301"/>
      <c r="AO76" s="1301"/>
      <c r="AP76" s="1301"/>
      <c r="AQ76" s="1301"/>
      <c r="AR76" s="1301"/>
      <c r="AS76" s="1301"/>
      <c r="AT76" s="1301"/>
      <c r="AU76" s="1301"/>
      <c r="AV76" s="1301"/>
      <c r="AW76" s="1301"/>
      <c r="AX76" s="1301"/>
      <c r="AY76" s="1301"/>
      <c r="AZ76" s="1301"/>
      <c r="BA76" s="1301"/>
    </row>
    <row r="77" spans="2:54">
      <c r="B77" s="1320" t="s">
        <v>557</v>
      </c>
      <c r="C77" s="1321"/>
      <c r="D77" s="1321"/>
      <c r="E77" s="1321"/>
      <c r="F77" s="1321"/>
      <c r="G77" s="1322"/>
      <c r="H77" s="545">
        <v>56600</v>
      </c>
      <c r="I77" s="1273"/>
      <c r="J77" s="1274"/>
      <c r="K77" s="1274"/>
      <c r="L77" s="1274"/>
      <c r="M77" s="1275"/>
      <c r="N77" s="505" t="str">
        <f t="shared" si="4"/>
        <v xml:space="preserve"> </v>
      </c>
      <c r="O77" s="207"/>
      <c r="P77" s="727"/>
      <c r="Q77" s="727"/>
      <c r="R77" s="727"/>
      <c r="S77" s="728"/>
      <c r="T77" s="428">
        <f>SUM(T69:T75)</f>
        <v>0</v>
      </c>
      <c r="U77" s="428">
        <f t="shared" ref="U77:BA77" si="7">SUM(U69:U75)</f>
        <v>0</v>
      </c>
      <c r="V77" s="428">
        <f t="shared" si="7"/>
        <v>0</v>
      </c>
      <c r="W77" s="428">
        <f t="shared" si="7"/>
        <v>0</v>
      </c>
      <c r="X77" s="428">
        <f t="shared" si="7"/>
        <v>0</v>
      </c>
      <c r="Y77" s="428">
        <f t="shared" si="7"/>
        <v>0</v>
      </c>
      <c r="Z77" s="428">
        <f t="shared" si="7"/>
        <v>0</v>
      </c>
      <c r="AA77" s="428">
        <f t="shared" si="7"/>
        <v>0</v>
      </c>
      <c r="AB77" s="428">
        <f t="shared" si="7"/>
        <v>30083.699399999998</v>
      </c>
      <c r="AC77" s="428">
        <f t="shared" si="7"/>
        <v>20055.799599999998</v>
      </c>
      <c r="AD77" s="428">
        <f t="shared" si="7"/>
        <v>0</v>
      </c>
      <c r="AE77" s="428">
        <f t="shared" si="7"/>
        <v>0</v>
      </c>
      <c r="AF77" s="428">
        <f t="shared" si="7"/>
        <v>0</v>
      </c>
      <c r="AG77" s="428">
        <f t="shared" si="7"/>
        <v>0</v>
      </c>
      <c r="AH77" s="428">
        <f t="shared" si="7"/>
        <v>0</v>
      </c>
      <c r="AI77" s="428">
        <f t="shared" si="7"/>
        <v>0</v>
      </c>
      <c r="AJ77" s="428">
        <f t="shared" si="7"/>
        <v>0</v>
      </c>
      <c r="AK77" s="428">
        <f t="shared" si="7"/>
        <v>0</v>
      </c>
      <c r="AL77" s="428">
        <f t="shared" si="7"/>
        <v>0</v>
      </c>
      <c r="AM77" s="428">
        <f t="shared" si="7"/>
        <v>0</v>
      </c>
      <c r="AN77" s="428">
        <f t="shared" si="7"/>
        <v>0</v>
      </c>
      <c r="AO77" s="428">
        <f t="shared" si="7"/>
        <v>0</v>
      </c>
      <c r="AP77" s="428">
        <f t="shared" si="7"/>
        <v>0</v>
      </c>
      <c r="AQ77" s="428">
        <f t="shared" si="7"/>
        <v>0</v>
      </c>
      <c r="AR77" s="428">
        <f t="shared" si="7"/>
        <v>0</v>
      </c>
      <c r="AS77" s="428">
        <f t="shared" si="7"/>
        <v>0</v>
      </c>
      <c r="AT77" s="428">
        <f t="shared" si="7"/>
        <v>0</v>
      </c>
      <c r="AU77" s="428">
        <f t="shared" si="7"/>
        <v>0</v>
      </c>
      <c r="AV77" s="428">
        <f t="shared" si="7"/>
        <v>0</v>
      </c>
      <c r="AW77" s="428">
        <f t="shared" si="7"/>
        <v>0</v>
      </c>
      <c r="AX77" s="428">
        <f t="shared" si="7"/>
        <v>6460.5010000000002</v>
      </c>
      <c r="AY77" s="428">
        <f t="shared" si="7"/>
        <v>0</v>
      </c>
      <c r="AZ77" s="428">
        <f t="shared" si="7"/>
        <v>0</v>
      </c>
      <c r="BA77" s="428">
        <f t="shared" si="7"/>
        <v>0</v>
      </c>
      <c r="BB77" s="428">
        <f>SUM(T77:BA77)</f>
        <v>56600</v>
      </c>
    </row>
    <row r="78" spans="2:54">
      <c r="B78" s="1320" t="s">
        <v>558</v>
      </c>
      <c r="C78" s="1321"/>
      <c r="D78" s="1321"/>
      <c r="E78" s="1321"/>
      <c r="F78" s="1321"/>
      <c r="G78" s="1322"/>
      <c r="H78" s="546">
        <f>H77-L63</f>
        <v>0</v>
      </c>
      <c r="I78" s="729"/>
      <c r="J78" s="730"/>
      <c r="K78" s="730"/>
      <c r="L78" s="731"/>
      <c r="M78" s="732"/>
      <c r="N78" s="207"/>
      <c r="O78" s="207"/>
      <c r="P78" s="207"/>
      <c r="Q78" s="733"/>
      <c r="R78" s="733"/>
      <c r="S78" s="207"/>
      <c r="T78" s="734"/>
      <c r="U78" s="734"/>
      <c r="V78" s="734"/>
      <c r="W78" s="734"/>
      <c r="X78" s="734"/>
      <c r="Y78" s="734"/>
      <c r="Z78" s="734"/>
      <c r="AA78" s="734"/>
      <c r="AB78" s="734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  <c r="AQ78" s="207"/>
      <c r="AR78" s="207"/>
      <c r="AS78" s="735"/>
      <c r="AT78" s="735"/>
      <c r="AU78" s="735"/>
      <c r="AV78" s="735"/>
      <c r="AW78" s="735"/>
      <c r="AX78" s="735"/>
      <c r="AY78" s="735"/>
      <c r="AZ78" s="735"/>
      <c r="BA78" s="735"/>
      <c r="BB78" s="735"/>
    </row>
    <row r="79" spans="2:54">
      <c r="B79" s="1320" t="s">
        <v>559</v>
      </c>
      <c r="C79" s="1321"/>
      <c r="D79" s="1321"/>
      <c r="E79" s="1321"/>
      <c r="F79" s="1321"/>
      <c r="G79" s="1322"/>
      <c r="H79" s="532">
        <v>551.654</v>
      </c>
      <c r="I79" s="736"/>
      <c r="J79" s="737"/>
      <c r="K79" s="737"/>
      <c r="L79" s="738"/>
      <c r="M79" s="732"/>
      <c r="N79" s="207"/>
      <c r="O79" s="207"/>
      <c r="P79" s="207"/>
      <c r="Q79" s="207"/>
      <c r="R79" s="207"/>
      <c r="S79" s="207"/>
      <c r="T79" s="734"/>
      <c r="U79" s="734"/>
      <c r="V79" s="734"/>
      <c r="W79" s="734"/>
      <c r="X79" s="734"/>
      <c r="Y79" s="734"/>
      <c r="Z79" s="734"/>
      <c r="AA79" s="734"/>
      <c r="AB79" s="734"/>
      <c r="AC79" s="207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735"/>
      <c r="AT79" s="735"/>
      <c r="AU79" s="735"/>
      <c r="AV79" s="735"/>
      <c r="AW79" s="735"/>
      <c r="AX79" s="735"/>
      <c r="AY79" s="735"/>
      <c r="AZ79" s="735"/>
      <c r="BA79" s="735"/>
      <c r="BB79" s="735"/>
    </row>
    <row r="80" spans="2:54" s="496" customFormat="1">
      <c r="B80" s="1323" t="s">
        <v>560</v>
      </c>
      <c r="C80" s="1324"/>
      <c r="D80" s="1324"/>
      <c r="E80" s="1324"/>
      <c r="F80" s="1324"/>
      <c r="G80" s="1325"/>
      <c r="H80" s="421">
        <f>H79-806.858</f>
        <v>-255.20399999999995</v>
      </c>
      <c r="I80" s="209"/>
      <c r="J80" s="498"/>
      <c r="K80" s="498"/>
      <c r="L80" s="499"/>
      <c r="M80" s="201"/>
      <c r="N80" s="201"/>
      <c r="O80" s="201"/>
      <c r="P80" s="201"/>
      <c r="Q80" s="201"/>
      <c r="R80" s="201"/>
      <c r="S80" s="202"/>
      <c r="T80" s="202"/>
      <c r="U80" s="202"/>
      <c r="V80" s="202"/>
      <c r="W80" s="202"/>
      <c r="X80" s="202"/>
      <c r="Y80" s="202"/>
      <c r="Z80" s="202"/>
      <c r="AA80" s="202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</row>
    <row r="81" spans="2:54">
      <c r="B81" s="201"/>
      <c r="C81" s="201"/>
      <c r="D81" s="201"/>
      <c r="E81" s="201"/>
      <c r="F81" s="201"/>
      <c r="G81" s="201"/>
      <c r="H81" s="201"/>
      <c r="I81" s="213"/>
      <c r="J81" s="209"/>
      <c r="K81" s="209"/>
      <c r="L81" s="203"/>
      <c r="M81" s="201"/>
      <c r="N81" s="201"/>
      <c r="O81" s="209"/>
      <c r="P81" s="32"/>
      <c r="Q81" s="32"/>
      <c r="R81" s="32"/>
      <c r="S81" s="32"/>
      <c r="T81" s="48"/>
      <c r="U81" s="48"/>
      <c r="V81" s="48"/>
      <c r="W81" s="48"/>
      <c r="X81" s="48"/>
      <c r="Y81" s="48"/>
      <c r="Z81" s="48"/>
      <c r="AA81" s="48"/>
      <c r="AB81" s="48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</row>
    <row r="82" spans="2:54">
      <c r="B82" s="40" t="s">
        <v>561</v>
      </c>
      <c r="C82" s="40"/>
      <c r="D82" s="32"/>
      <c r="E82" s="32"/>
      <c r="F82" s="32"/>
      <c r="G82" s="32"/>
      <c r="H82" s="32"/>
      <c r="I82" s="32"/>
      <c r="J82" s="52"/>
      <c r="K82" s="52"/>
      <c r="L82" s="55"/>
      <c r="M82" s="32"/>
      <c r="N82" s="201"/>
      <c r="O82" s="5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1"/>
      <c r="AC82" s="201"/>
      <c r="AD82" s="201"/>
      <c r="AE82" s="201"/>
      <c r="AF82" s="201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  <c r="AT82" s="201"/>
      <c r="AU82" s="201"/>
      <c r="BB82" s="201"/>
    </row>
    <row r="83" spans="2:54">
      <c r="B83" s="422">
        <v>1</v>
      </c>
      <c r="C83" s="1249" t="s">
        <v>3695</v>
      </c>
      <c r="D83" s="1249"/>
      <c r="E83" s="1249"/>
      <c r="F83" s="1249"/>
      <c r="G83" s="1249"/>
      <c r="H83" s="1249"/>
      <c r="I83" s="1249"/>
      <c r="J83" s="1249"/>
      <c r="K83" s="1249"/>
      <c r="L83" s="203"/>
      <c r="M83" s="203"/>
      <c r="N83" s="201"/>
      <c r="O83" s="209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1"/>
      <c r="AC83" s="201"/>
      <c r="AD83" s="201"/>
      <c r="AE83" s="201"/>
      <c r="AF83" s="201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  <c r="AQ83" s="201"/>
      <c r="AR83" s="201"/>
      <c r="AS83" s="201"/>
      <c r="AT83" s="201"/>
      <c r="AU83" s="201"/>
      <c r="AV83" s="201"/>
      <c r="AW83" s="201"/>
      <c r="AX83" s="201"/>
      <c r="AY83" s="201"/>
      <c r="AZ83" s="201"/>
      <c r="BA83" s="201"/>
      <c r="BB83" s="201"/>
    </row>
    <row r="85" spans="2:54">
      <c r="B85" s="28" t="s">
        <v>126</v>
      </c>
      <c r="C85" s="28"/>
      <c r="D85" s="29"/>
      <c r="E85" s="30" t="s">
        <v>511</v>
      </c>
      <c r="F85" s="31" t="s">
        <v>3085</v>
      </c>
      <c r="G85" s="32"/>
      <c r="H85" s="33"/>
      <c r="I85" s="34"/>
      <c r="J85" s="35" t="s">
        <v>513</v>
      </c>
      <c r="K85" s="36" t="s">
        <v>511</v>
      </c>
      <c r="L85" s="516">
        <v>45210.416666666664</v>
      </c>
      <c r="M85" s="32"/>
      <c r="N85" s="32"/>
      <c r="O85" s="206"/>
      <c r="P85" s="205"/>
      <c r="Q85" s="202"/>
      <c r="R85" s="204"/>
      <c r="S85" s="38"/>
      <c r="T85" s="201"/>
      <c r="U85" s="201"/>
      <c r="V85" s="201"/>
      <c r="W85" s="201"/>
      <c r="X85" s="201"/>
      <c r="Y85" s="201"/>
      <c r="Z85" s="201"/>
      <c r="AA85" s="201"/>
      <c r="AB85" s="202"/>
      <c r="AC85" s="202"/>
      <c r="AD85" s="202"/>
      <c r="AE85" s="202"/>
      <c r="AF85" s="202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  <c r="AU85" s="201"/>
      <c r="AV85" s="201"/>
      <c r="AW85" s="201"/>
      <c r="AX85" s="201"/>
      <c r="AY85" s="201"/>
      <c r="AZ85" s="201"/>
      <c r="BA85" s="201"/>
      <c r="BB85" s="201"/>
    </row>
    <row r="86" spans="2:54">
      <c r="B86" s="35" t="s">
        <v>514</v>
      </c>
      <c r="C86" s="35"/>
      <c r="D86" s="32"/>
      <c r="E86" s="36" t="s">
        <v>511</v>
      </c>
      <c r="F86" s="311" t="s">
        <v>3696</v>
      </c>
      <c r="G86" s="32"/>
      <c r="H86" s="33"/>
      <c r="I86" s="34"/>
      <c r="J86" s="35" t="s">
        <v>516</v>
      </c>
      <c r="K86" s="36" t="s">
        <v>511</v>
      </c>
      <c r="L86" s="516">
        <v>45214.104166666664</v>
      </c>
      <c r="M86" s="32"/>
      <c r="N86" s="32"/>
      <c r="O86" s="206"/>
      <c r="P86" s="205"/>
      <c r="Q86" s="202"/>
      <c r="R86" s="204"/>
      <c r="S86" s="38"/>
      <c r="T86" s="201"/>
      <c r="U86" s="201"/>
      <c r="V86" s="201"/>
      <c r="W86" s="201"/>
      <c r="X86" s="201"/>
      <c r="Y86" s="201"/>
      <c r="Z86" s="201"/>
      <c r="AA86" s="201"/>
      <c r="AB86" s="202"/>
      <c r="AC86" s="202"/>
      <c r="AD86" s="202"/>
      <c r="AE86" s="202"/>
      <c r="AF86" s="202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  <c r="AR86" s="201"/>
      <c r="AS86" s="201"/>
      <c r="AT86" s="201"/>
      <c r="AU86" s="201"/>
      <c r="AV86" s="201"/>
      <c r="AW86" s="201"/>
      <c r="AX86" s="201"/>
      <c r="AY86" s="201"/>
      <c r="AZ86" s="201"/>
      <c r="BA86" s="201"/>
      <c r="BB86" s="201"/>
    </row>
    <row r="87" spans="2:54">
      <c r="B87" s="35" t="s">
        <v>517</v>
      </c>
      <c r="C87" s="35"/>
      <c r="D87" s="32"/>
      <c r="E87" s="36" t="s">
        <v>511</v>
      </c>
      <c r="F87" s="37">
        <v>45202.662499999999</v>
      </c>
      <c r="G87" s="32"/>
      <c r="H87" s="33"/>
      <c r="I87" s="34"/>
      <c r="J87" s="35" t="s">
        <v>518</v>
      </c>
      <c r="K87" s="36" t="s">
        <v>511</v>
      </c>
      <c r="L87" s="544">
        <v>87200</v>
      </c>
      <c r="M87" s="40" t="s">
        <v>519</v>
      </c>
      <c r="N87" s="40"/>
      <c r="O87" s="206"/>
      <c r="P87" s="205"/>
      <c r="Q87" s="202"/>
      <c r="R87" s="204"/>
      <c r="S87" s="38"/>
      <c r="T87" s="201"/>
      <c r="U87" s="201"/>
      <c r="V87" s="201"/>
      <c r="W87" s="201"/>
      <c r="X87" s="201"/>
      <c r="Y87" s="201"/>
      <c r="Z87" s="201"/>
      <c r="AA87" s="201"/>
      <c r="AB87" s="202"/>
      <c r="AC87" s="202"/>
      <c r="AD87" s="202"/>
      <c r="AE87" s="202"/>
      <c r="AF87" s="202"/>
      <c r="AG87" s="201"/>
      <c r="AH87" s="201"/>
      <c r="AI87" s="201"/>
      <c r="AJ87" s="201"/>
      <c r="AK87" s="201"/>
      <c r="AL87" s="201"/>
      <c r="AM87" s="201"/>
      <c r="AN87" s="201"/>
      <c r="AO87" s="201"/>
      <c r="AP87" s="201"/>
      <c r="AQ87" s="201"/>
      <c r="AR87" s="201"/>
      <c r="AS87" s="201"/>
      <c r="AT87" s="201"/>
      <c r="AU87" s="201"/>
      <c r="AV87" s="201"/>
      <c r="AW87" s="201"/>
      <c r="AX87" s="201"/>
      <c r="AY87" s="201"/>
      <c r="AZ87" s="201"/>
      <c r="BA87" s="201"/>
      <c r="BB87" s="201"/>
    </row>
    <row r="88" spans="2:54">
      <c r="B88" s="35" t="s">
        <v>520</v>
      </c>
      <c r="C88" s="35"/>
      <c r="D88" s="32"/>
      <c r="E88" s="36" t="s">
        <v>511</v>
      </c>
      <c r="F88" s="37" t="s">
        <v>4</v>
      </c>
      <c r="G88" s="32"/>
      <c r="H88" s="33"/>
      <c r="I88" s="34"/>
      <c r="J88" s="35" t="s">
        <v>521</v>
      </c>
      <c r="K88" s="36" t="s">
        <v>511</v>
      </c>
      <c r="L88" s="41" t="s">
        <v>3086</v>
      </c>
      <c r="M88" s="32"/>
      <c r="N88" s="32"/>
      <c r="O88" s="206"/>
      <c r="P88" s="202"/>
      <c r="Q88" s="202"/>
      <c r="R88" s="204"/>
      <c r="S88" s="38"/>
      <c r="T88" s="201"/>
      <c r="U88" s="201"/>
      <c r="V88" s="201"/>
      <c r="W88" s="201"/>
      <c r="X88" s="201"/>
      <c r="Y88" s="201"/>
      <c r="Z88" s="201"/>
      <c r="AA88" s="201"/>
      <c r="AB88" s="202"/>
      <c r="AC88" s="202"/>
      <c r="AD88" s="202"/>
      <c r="AE88" s="202"/>
      <c r="AF88" s="202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1"/>
      <c r="AR88" s="201"/>
      <c r="AS88" s="201"/>
      <c r="AT88" s="201"/>
      <c r="AU88" s="201"/>
      <c r="AV88" s="201"/>
      <c r="AW88" s="201"/>
      <c r="AX88" s="201"/>
      <c r="AY88" s="201"/>
      <c r="AZ88" s="201"/>
      <c r="BA88" s="201"/>
      <c r="BB88" s="201"/>
    </row>
    <row r="89" spans="2:54">
      <c r="B89" s="35" t="s">
        <v>523</v>
      </c>
      <c r="C89" s="35"/>
      <c r="D89" s="32"/>
      <c r="E89" s="36" t="s">
        <v>511</v>
      </c>
      <c r="F89" s="37" t="s">
        <v>5</v>
      </c>
      <c r="G89" s="32"/>
      <c r="H89" s="33"/>
      <c r="I89" s="34"/>
      <c r="J89" s="42" t="s">
        <v>524</v>
      </c>
      <c r="K89" s="36" t="s">
        <v>511</v>
      </c>
      <c r="L89" s="43" t="s">
        <v>15</v>
      </c>
      <c r="M89" s="44"/>
      <c r="N89" s="44"/>
      <c r="O89" s="206"/>
      <c r="P89" s="205"/>
      <c r="Q89" s="202"/>
      <c r="R89" s="204"/>
      <c r="S89" s="38"/>
      <c r="T89" s="201"/>
      <c r="U89" s="201"/>
      <c r="V89" s="201"/>
      <c r="W89" s="201"/>
      <c r="X89" s="201"/>
      <c r="Y89" s="201"/>
      <c r="Z89" s="201"/>
      <c r="AA89" s="201"/>
      <c r="AB89" s="202"/>
      <c r="AC89" s="202"/>
      <c r="AD89" s="202"/>
      <c r="AE89" s="202"/>
      <c r="AF89" s="202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  <c r="AU89" s="201"/>
      <c r="AV89" s="201"/>
      <c r="AW89" s="201"/>
      <c r="AX89" s="201"/>
      <c r="AY89" s="201"/>
      <c r="AZ89" s="201"/>
      <c r="BA89" s="201"/>
      <c r="BB89" s="201"/>
    </row>
    <row r="90" spans="2:54">
      <c r="B90" s="35" t="s">
        <v>2</v>
      </c>
      <c r="C90" s="35"/>
      <c r="D90" s="32"/>
      <c r="E90" s="36" t="s">
        <v>511</v>
      </c>
      <c r="F90" s="37" t="s">
        <v>31</v>
      </c>
      <c r="G90" s="32"/>
      <c r="H90" s="33"/>
      <c r="I90" s="45"/>
      <c r="J90" s="42"/>
      <c r="K90" s="36"/>
      <c r="L90" s="211"/>
      <c r="M90" s="201"/>
      <c r="N90" s="201"/>
      <c r="O90" s="42"/>
      <c r="P90" s="44"/>
      <c r="Q90" s="44"/>
      <c r="R90" s="44"/>
      <c r="S90" s="34"/>
      <c r="T90" s="201"/>
      <c r="U90" s="201"/>
      <c r="V90" s="201"/>
      <c r="W90" s="201"/>
      <c r="X90" s="201"/>
      <c r="Y90" s="201"/>
      <c r="Z90" s="201"/>
      <c r="AA90" s="201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201"/>
      <c r="AP90" s="201"/>
      <c r="AQ90" s="201"/>
      <c r="AR90" s="201"/>
      <c r="AS90" s="201"/>
      <c r="AT90" s="201"/>
      <c r="AU90" s="201"/>
      <c r="AV90" s="201"/>
      <c r="AW90" s="201"/>
      <c r="AX90" s="201"/>
      <c r="AY90" s="201"/>
      <c r="AZ90" s="201"/>
      <c r="BA90" s="201"/>
      <c r="BB90" s="201"/>
    </row>
    <row r="91" spans="2:54">
      <c r="B91" s="201"/>
      <c r="C91" s="201"/>
      <c r="D91" s="201"/>
      <c r="E91" s="201"/>
      <c r="F91" s="201"/>
      <c r="G91" s="201"/>
      <c r="H91" s="201"/>
      <c r="I91" s="45"/>
      <c r="J91" s="42"/>
      <c r="K91" s="42"/>
      <c r="L91" s="43"/>
      <c r="M91" s="44"/>
      <c r="N91" s="44"/>
      <c r="O91" s="42"/>
      <c r="P91" s="44"/>
      <c r="Q91" s="44"/>
      <c r="R91" s="44"/>
      <c r="S91" s="34"/>
      <c r="T91" s="1265" t="s">
        <v>87</v>
      </c>
      <c r="U91" s="1265"/>
      <c r="V91" s="1265"/>
      <c r="W91" s="1265"/>
      <c r="X91" s="1265"/>
      <c r="Y91" s="1265" t="s">
        <v>73</v>
      </c>
      <c r="Z91" s="1265"/>
      <c r="AA91" s="1265"/>
      <c r="AB91" s="1265" t="s">
        <v>74</v>
      </c>
      <c r="AC91" s="1265"/>
      <c r="AD91" s="423" t="s">
        <v>85</v>
      </c>
      <c r="AE91" s="423" t="s">
        <v>77</v>
      </c>
      <c r="AF91" s="1265" t="s">
        <v>525</v>
      </c>
      <c r="AG91" s="1265"/>
      <c r="AH91" s="1265"/>
      <c r="AI91" s="1265"/>
      <c r="AJ91" s="1265"/>
      <c r="AK91" s="1265"/>
      <c r="AL91" s="1265"/>
      <c r="AM91" s="1265"/>
      <c r="AN91" s="1265"/>
      <c r="AO91" s="1265"/>
      <c r="AP91" s="1265"/>
      <c r="AQ91" s="1265"/>
      <c r="AR91" s="1265"/>
      <c r="AS91" s="1265"/>
      <c r="AT91" s="1265"/>
      <c r="AU91" s="1265"/>
      <c r="AV91" s="1265"/>
      <c r="AW91" s="1265"/>
      <c r="AX91" s="1265"/>
      <c r="AY91" s="1265"/>
      <c r="AZ91" s="1265"/>
      <c r="BA91" s="1265"/>
      <c r="BB91" s="201"/>
    </row>
    <row r="92" spans="2:54">
      <c r="B92" s="1266" t="s">
        <v>526</v>
      </c>
      <c r="C92" s="1267"/>
      <c r="D92" s="570" t="s">
        <v>527</v>
      </c>
      <c r="E92" s="570"/>
      <c r="F92" s="570" t="s">
        <v>528</v>
      </c>
      <c r="G92" s="570" t="s">
        <v>529</v>
      </c>
      <c r="H92" s="570" t="s">
        <v>530</v>
      </c>
      <c r="I92" s="570" t="s">
        <v>531</v>
      </c>
      <c r="J92" s="570" t="s">
        <v>532</v>
      </c>
      <c r="K92" s="570"/>
      <c r="L92" s="570" t="s">
        <v>130</v>
      </c>
      <c r="M92" s="570" t="s">
        <v>533</v>
      </c>
      <c r="N92" s="625" t="str">
        <f>"On time - "&amp;COUNTIF(N93:N107,"On time")&amp;" from "&amp;ROWS(N93:N107)-COUNTIF(N93:N107," ")</f>
        <v>On time - 0 from 13</v>
      </c>
      <c r="O92" s="46"/>
      <c r="P92" s="409" t="s">
        <v>534</v>
      </c>
      <c r="Q92" s="409" t="s">
        <v>535</v>
      </c>
      <c r="R92" s="409" t="s">
        <v>536</v>
      </c>
      <c r="S92" s="32"/>
      <c r="T92" s="424" t="s">
        <v>537</v>
      </c>
      <c r="U92" s="424" t="s">
        <v>538</v>
      </c>
      <c r="V92" s="424" t="s">
        <v>539</v>
      </c>
      <c r="W92" s="424" t="s">
        <v>540</v>
      </c>
      <c r="X92" s="424" t="s">
        <v>541</v>
      </c>
      <c r="Y92" s="424" t="s">
        <v>167</v>
      </c>
      <c r="Z92" s="424" t="s">
        <v>168</v>
      </c>
      <c r="AA92" s="424" t="s">
        <v>169</v>
      </c>
      <c r="AB92" s="424" t="s">
        <v>235</v>
      </c>
      <c r="AC92" s="424" t="s">
        <v>240</v>
      </c>
      <c r="AD92" s="423" t="s">
        <v>85</v>
      </c>
      <c r="AE92" s="424" t="s">
        <v>139</v>
      </c>
      <c r="AF92" s="424" t="s">
        <v>72</v>
      </c>
      <c r="AG92" s="424" t="s">
        <v>88</v>
      </c>
      <c r="AH92" s="424" t="s">
        <v>75</v>
      </c>
      <c r="AI92" s="424" t="s">
        <v>543</v>
      </c>
      <c r="AJ92" s="424" t="s">
        <v>78</v>
      </c>
      <c r="AK92" s="424" t="s">
        <v>76</v>
      </c>
      <c r="AL92" s="424" t="s">
        <v>544</v>
      </c>
      <c r="AM92" s="424" t="s">
        <v>545</v>
      </c>
      <c r="AN92" s="424" t="s">
        <v>86</v>
      </c>
      <c r="AO92" s="424" t="s">
        <v>83</v>
      </c>
      <c r="AP92" s="424" t="s">
        <v>84</v>
      </c>
      <c r="AQ92" s="424" t="s">
        <v>546</v>
      </c>
      <c r="AR92" s="424" t="s">
        <v>81</v>
      </c>
      <c r="AS92" s="424" t="s">
        <v>80</v>
      </c>
      <c r="AT92" s="424" t="s">
        <v>82</v>
      </c>
      <c r="AU92" s="424" t="s">
        <v>181</v>
      </c>
      <c r="AV92" s="424" t="s">
        <v>183</v>
      </c>
      <c r="AW92" s="424" t="s">
        <v>547</v>
      </c>
      <c r="AX92" s="424" t="s">
        <v>182</v>
      </c>
      <c r="AY92" s="424" t="s">
        <v>172</v>
      </c>
      <c r="AZ92" s="424" t="s">
        <v>173</v>
      </c>
      <c r="BA92" s="424" t="s">
        <v>184</v>
      </c>
      <c r="BB92" s="201"/>
    </row>
    <row r="93" spans="2:54">
      <c r="B93" s="1315" t="s">
        <v>548</v>
      </c>
      <c r="C93" s="1316"/>
      <c r="D93" s="501" t="s">
        <v>3286</v>
      </c>
      <c r="E93" s="501"/>
      <c r="F93" s="501" t="s">
        <v>377</v>
      </c>
      <c r="G93" s="501" t="s">
        <v>378</v>
      </c>
      <c r="H93" s="503">
        <v>822.87099999999998</v>
      </c>
      <c r="I93" s="505" t="s">
        <v>235</v>
      </c>
      <c r="J93" s="504">
        <v>45207.208333333336</v>
      </c>
      <c r="K93" s="504"/>
      <c r="L93" s="504" t="s">
        <v>192</v>
      </c>
      <c r="M93" s="504" t="s">
        <v>192</v>
      </c>
      <c r="N93" s="505" t="str">
        <f t="shared" ref="N93:N107" si="8">IF(ISBLANK(J93)," ",IF(J93&lt;$F$87,"On time",(IF(DAY(J93-$F$87)&lt;1,"On time",(IF(J93&gt;$F$87,"DELAY ( "&amp;DAY(J93-$F$87)&amp;" day "&amp;HOUR(J93-$F$87)&amp;" hour "&amp;MINUTE(J93-$F$87)&amp;" minute )","xxx"))))))</f>
        <v>DELAY ( 4 day 13 hour 6 minute )</v>
      </c>
      <c r="O93" s="506"/>
      <c r="P93" s="507" t="s">
        <v>551</v>
      </c>
      <c r="Q93" s="507" t="s">
        <v>551</v>
      </c>
      <c r="R93" s="507" t="s">
        <v>551</v>
      </c>
      <c r="S93" s="500"/>
      <c r="T93" s="508"/>
      <c r="U93" s="508"/>
      <c r="V93" s="508"/>
      <c r="W93" s="508"/>
      <c r="X93" s="508"/>
      <c r="Y93" s="508"/>
      <c r="Z93" s="508"/>
      <c r="AA93" s="508"/>
      <c r="AB93" s="508">
        <f>H93</f>
        <v>822.87099999999998</v>
      </c>
      <c r="AC93" s="508"/>
      <c r="AD93" s="508"/>
      <c r="AE93" s="508"/>
      <c r="AF93" s="508"/>
      <c r="AG93" s="508"/>
      <c r="AH93" s="508"/>
      <c r="AI93" s="508"/>
      <c r="AJ93" s="508"/>
      <c r="AK93" s="508"/>
      <c r="AL93" s="508"/>
      <c r="AM93" s="508"/>
      <c r="AN93" s="508"/>
      <c r="AO93" s="508"/>
      <c r="AP93" s="508"/>
      <c r="AQ93" s="508"/>
      <c r="AR93" s="508"/>
      <c r="AS93" s="508"/>
      <c r="AT93" s="508"/>
      <c r="AU93" s="508"/>
      <c r="AV93" s="508"/>
      <c r="AW93" s="508"/>
      <c r="AX93" s="508"/>
      <c r="AY93" s="508"/>
      <c r="AZ93" s="508"/>
      <c r="BA93" s="508"/>
      <c r="BB93" s="500"/>
    </row>
    <row r="94" spans="2:54">
      <c r="B94" s="1315" t="s">
        <v>548</v>
      </c>
      <c r="C94" s="1316"/>
      <c r="D94" s="501" t="s">
        <v>3298</v>
      </c>
      <c r="E94" s="501"/>
      <c r="F94" s="501" t="s">
        <v>686</v>
      </c>
      <c r="G94" s="501" t="s">
        <v>1186</v>
      </c>
      <c r="H94" s="503">
        <v>7427.8029999999999</v>
      </c>
      <c r="I94" s="505" t="s">
        <v>742</v>
      </c>
      <c r="J94" s="504">
        <v>45209.625</v>
      </c>
      <c r="K94" s="504"/>
      <c r="L94" s="504" t="s">
        <v>192</v>
      </c>
      <c r="M94" s="504" t="s">
        <v>192</v>
      </c>
      <c r="N94" s="505" t="str">
        <f t="shared" si="8"/>
        <v>DELAY ( 6 day 23 hour 6 minute )</v>
      </c>
      <c r="O94" s="506"/>
      <c r="P94" s="507" t="s">
        <v>551</v>
      </c>
      <c r="Q94" s="507" t="s">
        <v>551</v>
      </c>
      <c r="R94" s="507" t="s">
        <v>551</v>
      </c>
      <c r="S94" s="500"/>
      <c r="T94" s="508"/>
      <c r="U94" s="508"/>
      <c r="V94" s="508"/>
      <c r="W94" s="508"/>
      <c r="X94" s="508"/>
      <c r="Y94" s="508"/>
      <c r="Z94" s="508"/>
      <c r="AA94" s="508"/>
      <c r="AB94" s="508">
        <f t="shared" ref="AB94:AB102" si="9">H94*0.8</f>
        <v>5942.2424000000001</v>
      </c>
      <c r="AC94" s="508">
        <f t="shared" ref="AC94:AC102" si="10">H94*0.2</f>
        <v>1485.5606</v>
      </c>
      <c r="AD94" s="508"/>
      <c r="AE94" s="508"/>
      <c r="AF94" s="508"/>
      <c r="AG94" s="508"/>
      <c r="AH94" s="508"/>
      <c r="AI94" s="508"/>
      <c r="AJ94" s="508"/>
      <c r="AK94" s="508"/>
      <c r="AL94" s="508"/>
      <c r="AM94" s="508"/>
      <c r="AN94" s="508"/>
      <c r="AO94" s="508"/>
      <c r="AP94" s="508"/>
      <c r="AQ94" s="508"/>
      <c r="AR94" s="508"/>
      <c r="AS94" s="508"/>
      <c r="AT94" s="508"/>
      <c r="AU94" s="508"/>
      <c r="AV94" s="508"/>
      <c r="AW94" s="508"/>
      <c r="AX94" s="508"/>
      <c r="AY94" s="508"/>
      <c r="AZ94" s="508"/>
      <c r="BA94" s="508"/>
      <c r="BB94" s="500"/>
    </row>
    <row r="95" spans="2:54">
      <c r="B95" s="1315" t="s">
        <v>548</v>
      </c>
      <c r="C95" s="1316"/>
      <c r="D95" s="501" t="s">
        <v>3288</v>
      </c>
      <c r="E95" s="501"/>
      <c r="F95" s="501" t="s">
        <v>399</v>
      </c>
      <c r="G95" s="501" t="s">
        <v>275</v>
      </c>
      <c r="H95" s="503">
        <v>7594.6040000000003</v>
      </c>
      <c r="I95" s="505" t="s">
        <v>742</v>
      </c>
      <c r="J95" s="504">
        <v>45209.729166666664</v>
      </c>
      <c r="K95" s="504"/>
      <c r="L95" s="504" t="s">
        <v>192</v>
      </c>
      <c r="M95" s="504" t="s">
        <v>192</v>
      </c>
      <c r="N95" s="505" t="str">
        <f t="shared" si="8"/>
        <v>DELAY ( 7 day 1 hour 36 minute )</v>
      </c>
      <c r="O95" s="506"/>
      <c r="P95" s="507" t="s">
        <v>551</v>
      </c>
      <c r="Q95" s="507" t="s">
        <v>551</v>
      </c>
      <c r="R95" s="507" t="s">
        <v>551</v>
      </c>
      <c r="S95" s="500"/>
      <c r="T95" s="508"/>
      <c r="U95" s="508"/>
      <c r="V95" s="508"/>
      <c r="W95" s="508"/>
      <c r="X95" s="508"/>
      <c r="Y95" s="508"/>
      <c r="Z95" s="508"/>
      <c r="AA95" s="508"/>
      <c r="AB95" s="508">
        <f t="shared" si="9"/>
        <v>6075.6832000000004</v>
      </c>
      <c r="AC95" s="508">
        <f t="shared" si="10"/>
        <v>1518.9208000000001</v>
      </c>
      <c r="AD95" s="508"/>
      <c r="AE95" s="508"/>
      <c r="AF95" s="508"/>
      <c r="AG95" s="508"/>
      <c r="AH95" s="508"/>
      <c r="AI95" s="508"/>
      <c r="AJ95" s="508"/>
      <c r="AK95" s="508"/>
      <c r="AL95" s="508"/>
      <c r="AM95" s="508"/>
      <c r="AN95" s="508"/>
      <c r="AO95" s="508"/>
      <c r="AP95" s="508"/>
      <c r="AQ95" s="508"/>
      <c r="AR95" s="508"/>
      <c r="AS95" s="508"/>
      <c r="AT95" s="508"/>
      <c r="AU95" s="508"/>
      <c r="AV95" s="508"/>
      <c r="AW95" s="508"/>
      <c r="AX95" s="508"/>
      <c r="AY95" s="508"/>
      <c r="AZ95" s="508"/>
      <c r="BA95" s="508"/>
      <c r="BB95" s="500"/>
    </row>
    <row r="96" spans="2:54">
      <c r="B96" s="1315" t="s">
        <v>548</v>
      </c>
      <c r="C96" s="1316"/>
      <c r="D96" s="501" t="s">
        <v>3292</v>
      </c>
      <c r="E96" s="501"/>
      <c r="F96" s="501" t="s">
        <v>371</v>
      </c>
      <c r="G96" s="501" t="s">
        <v>372</v>
      </c>
      <c r="H96" s="503">
        <v>7563.8310000000001</v>
      </c>
      <c r="I96" s="505" t="s">
        <v>742</v>
      </c>
      <c r="J96" s="504">
        <v>45209.748611111114</v>
      </c>
      <c r="K96" s="504"/>
      <c r="L96" s="504" t="s">
        <v>192</v>
      </c>
      <c r="M96" s="504" t="s">
        <v>192</v>
      </c>
      <c r="N96" s="505" t="str">
        <f t="shared" si="8"/>
        <v>DELAY ( 7 day 2 hour 4 minute )</v>
      </c>
      <c r="O96" s="506"/>
      <c r="P96" s="507" t="s">
        <v>551</v>
      </c>
      <c r="Q96" s="507" t="s">
        <v>551</v>
      </c>
      <c r="R96" s="507" t="s">
        <v>551</v>
      </c>
      <c r="S96" s="500"/>
      <c r="T96" s="508"/>
      <c r="U96" s="508"/>
      <c r="V96" s="508"/>
      <c r="W96" s="508"/>
      <c r="X96" s="508"/>
      <c r="Y96" s="508"/>
      <c r="Z96" s="508"/>
      <c r="AA96" s="508"/>
      <c r="AB96" s="508">
        <f t="shared" si="9"/>
        <v>6051.0648000000001</v>
      </c>
      <c r="AC96" s="508">
        <f t="shared" si="10"/>
        <v>1512.7662</v>
      </c>
      <c r="AD96" s="508"/>
      <c r="AE96" s="508"/>
      <c r="AF96" s="508"/>
      <c r="AG96" s="508"/>
      <c r="AH96" s="508"/>
      <c r="AI96" s="508"/>
      <c r="AJ96" s="508"/>
      <c r="AK96" s="508"/>
      <c r="AL96" s="508"/>
      <c r="AM96" s="508"/>
      <c r="AN96" s="508"/>
      <c r="AO96" s="508"/>
      <c r="AP96" s="508"/>
      <c r="AQ96" s="508"/>
      <c r="AR96" s="508"/>
      <c r="AS96" s="508"/>
      <c r="AT96" s="508"/>
      <c r="AU96" s="508"/>
      <c r="AV96" s="508"/>
      <c r="AW96" s="508"/>
      <c r="AX96" s="508"/>
      <c r="AY96" s="508"/>
      <c r="AZ96" s="508"/>
      <c r="BA96" s="508"/>
      <c r="BB96" s="500"/>
    </row>
    <row r="97" spans="2:54">
      <c r="B97" s="1315" t="s">
        <v>548</v>
      </c>
      <c r="C97" s="1316"/>
      <c r="D97" s="501" t="s">
        <v>3295</v>
      </c>
      <c r="E97" s="501"/>
      <c r="F97" s="501" t="s">
        <v>295</v>
      </c>
      <c r="G97" s="501" t="s">
        <v>296</v>
      </c>
      <c r="H97" s="503">
        <v>9959.5220000000008</v>
      </c>
      <c r="I97" s="505" t="s">
        <v>742</v>
      </c>
      <c r="J97" s="504">
        <v>45209.756944444445</v>
      </c>
      <c r="K97" s="504"/>
      <c r="L97" s="504" t="s">
        <v>192</v>
      </c>
      <c r="M97" s="504" t="s">
        <v>192</v>
      </c>
      <c r="N97" s="505" t="str">
        <f t="shared" si="8"/>
        <v>DELAY ( 7 day 2 hour 16 minute )</v>
      </c>
      <c r="O97" s="506"/>
      <c r="P97" s="507" t="s">
        <v>551</v>
      </c>
      <c r="Q97" s="507" t="s">
        <v>551</v>
      </c>
      <c r="R97" s="507" t="s">
        <v>551</v>
      </c>
      <c r="S97" s="500"/>
      <c r="T97" s="508"/>
      <c r="U97" s="508"/>
      <c r="V97" s="508"/>
      <c r="W97" s="508"/>
      <c r="X97" s="508"/>
      <c r="Y97" s="508"/>
      <c r="Z97" s="508"/>
      <c r="AA97" s="508"/>
      <c r="AB97" s="508">
        <f t="shared" si="9"/>
        <v>7967.6176000000014</v>
      </c>
      <c r="AC97" s="508">
        <f t="shared" si="10"/>
        <v>1991.9044000000004</v>
      </c>
      <c r="AD97" s="508"/>
      <c r="AE97" s="508"/>
      <c r="AF97" s="508"/>
      <c r="AG97" s="508"/>
      <c r="AH97" s="508"/>
      <c r="AI97" s="508"/>
      <c r="AJ97" s="508"/>
      <c r="AK97" s="508"/>
      <c r="AL97" s="508"/>
      <c r="AM97" s="508"/>
      <c r="AN97" s="508"/>
      <c r="AO97" s="508"/>
      <c r="AP97" s="508"/>
      <c r="AQ97" s="508"/>
      <c r="AR97" s="508"/>
      <c r="AS97" s="508"/>
      <c r="AT97" s="508"/>
      <c r="AU97" s="508"/>
      <c r="AV97" s="508"/>
      <c r="AW97" s="508"/>
      <c r="AX97" s="508"/>
      <c r="AY97" s="508"/>
      <c r="AZ97" s="508"/>
      <c r="BA97" s="508"/>
      <c r="BB97" s="500"/>
    </row>
    <row r="98" spans="2:54">
      <c r="B98" s="1315" t="s">
        <v>548</v>
      </c>
      <c r="C98" s="1316"/>
      <c r="D98" s="501" t="s">
        <v>3289</v>
      </c>
      <c r="E98" s="501"/>
      <c r="F98" s="501" t="s">
        <v>201</v>
      </c>
      <c r="G98" s="501" t="s">
        <v>202</v>
      </c>
      <c r="H98" s="503">
        <v>7546.6450000000004</v>
      </c>
      <c r="I98" s="505" t="s">
        <v>742</v>
      </c>
      <c r="J98" s="504">
        <v>45209.763888888891</v>
      </c>
      <c r="K98" s="504"/>
      <c r="L98" s="504" t="s">
        <v>192</v>
      </c>
      <c r="M98" s="504" t="s">
        <v>192</v>
      </c>
      <c r="N98" s="505" t="str">
        <f t="shared" si="8"/>
        <v>DELAY ( 7 day 2 hour 26 minute )</v>
      </c>
      <c r="O98" s="506"/>
      <c r="P98" s="507" t="s">
        <v>551</v>
      </c>
      <c r="Q98" s="507" t="s">
        <v>551</v>
      </c>
      <c r="R98" s="507" t="s">
        <v>551</v>
      </c>
      <c r="S98" s="500"/>
      <c r="T98" s="508"/>
      <c r="U98" s="508"/>
      <c r="V98" s="508"/>
      <c r="W98" s="508"/>
      <c r="X98" s="508"/>
      <c r="Y98" s="508"/>
      <c r="Z98" s="508"/>
      <c r="AA98" s="508"/>
      <c r="AB98" s="508">
        <f t="shared" si="9"/>
        <v>6037.3160000000007</v>
      </c>
      <c r="AC98" s="508">
        <f t="shared" si="10"/>
        <v>1509.3290000000002</v>
      </c>
      <c r="AD98" s="508"/>
      <c r="AE98" s="508"/>
      <c r="AF98" s="508"/>
      <c r="AG98" s="508"/>
      <c r="AH98" s="508"/>
      <c r="AI98" s="508"/>
      <c r="AJ98" s="508"/>
      <c r="AK98" s="500"/>
      <c r="AL98" s="508"/>
      <c r="AM98" s="508"/>
      <c r="AN98" s="508"/>
      <c r="AO98" s="508"/>
      <c r="AP98" s="508"/>
      <c r="AQ98" s="508"/>
      <c r="AR98" s="508"/>
      <c r="AS98" s="508"/>
      <c r="AT98" s="508"/>
      <c r="AU98" s="508"/>
      <c r="AV98" s="508"/>
      <c r="AW98" s="508"/>
      <c r="AX98" s="508"/>
      <c r="AY98" s="508"/>
      <c r="AZ98" s="508"/>
      <c r="BA98" s="508"/>
      <c r="BB98" s="500"/>
    </row>
    <row r="99" spans="2:54">
      <c r="B99" s="1315" t="s">
        <v>548</v>
      </c>
      <c r="C99" s="1316"/>
      <c r="D99" s="501" t="s">
        <v>3297</v>
      </c>
      <c r="E99" s="501"/>
      <c r="F99" s="501" t="s">
        <v>205</v>
      </c>
      <c r="G99" s="501" t="s">
        <v>206</v>
      </c>
      <c r="H99" s="503">
        <v>7455.57</v>
      </c>
      <c r="I99" s="505" t="s">
        <v>742</v>
      </c>
      <c r="J99" s="504">
        <v>45209.770833333336</v>
      </c>
      <c r="K99" s="504"/>
      <c r="L99" s="504" t="s">
        <v>192</v>
      </c>
      <c r="M99" s="504" t="s">
        <v>192</v>
      </c>
      <c r="N99" s="505" t="str">
        <f t="shared" si="8"/>
        <v>DELAY ( 7 day 2 hour 36 minute )</v>
      </c>
      <c r="O99" s="265"/>
      <c r="P99" s="507" t="s">
        <v>551</v>
      </c>
      <c r="Q99" s="507" t="s">
        <v>551</v>
      </c>
      <c r="R99" s="507" t="s">
        <v>551</v>
      </c>
      <c r="S99" s="32"/>
      <c r="T99" s="428"/>
      <c r="U99" s="428"/>
      <c r="V99" s="428"/>
      <c r="W99" s="428"/>
      <c r="X99" s="428"/>
      <c r="Y99" s="428"/>
      <c r="Z99" s="428"/>
      <c r="AA99" s="428"/>
      <c r="AB99" s="429">
        <f t="shared" si="9"/>
        <v>5964.4560000000001</v>
      </c>
      <c r="AC99" s="429">
        <f t="shared" si="10"/>
        <v>1491.114</v>
      </c>
      <c r="AD99" s="428"/>
      <c r="AE99" s="428"/>
      <c r="AF99" s="428"/>
      <c r="AG99" s="428"/>
      <c r="AH99" s="428"/>
      <c r="AI99" s="428"/>
      <c r="AJ99" s="428"/>
      <c r="AK99" s="428"/>
      <c r="AL99" s="428"/>
      <c r="AM99" s="428"/>
      <c r="AN99" s="428"/>
      <c r="AO99" s="428"/>
      <c r="AP99" s="428"/>
      <c r="AQ99" s="428"/>
      <c r="AR99" s="428"/>
      <c r="AS99" s="428"/>
      <c r="AT99" s="428"/>
      <c r="AU99" s="428"/>
      <c r="AV99" s="428"/>
      <c r="AW99" s="428"/>
      <c r="AX99" s="428"/>
      <c r="AY99" s="428"/>
      <c r="AZ99" s="428"/>
      <c r="BA99" s="428"/>
      <c r="BB99" s="207"/>
    </row>
    <row r="100" spans="2:54">
      <c r="B100" s="1315" t="s">
        <v>548</v>
      </c>
      <c r="C100" s="1316"/>
      <c r="D100" s="501" t="s">
        <v>3287</v>
      </c>
      <c r="E100" s="501"/>
      <c r="F100" s="501" t="s">
        <v>70</v>
      </c>
      <c r="G100" s="501" t="s">
        <v>1982</v>
      </c>
      <c r="H100" s="503">
        <v>7638.5039999999999</v>
      </c>
      <c r="I100" s="505" t="s">
        <v>742</v>
      </c>
      <c r="J100" s="504">
        <v>45209.78125</v>
      </c>
      <c r="K100" s="504"/>
      <c r="L100" s="504" t="s">
        <v>192</v>
      </c>
      <c r="M100" s="504" t="s">
        <v>192</v>
      </c>
      <c r="N100" s="505" t="str">
        <f t="shared" si="8"/>
        <v>DELAY ( 7 day 2 hour 51 minute )</v>
      </c>
      <c r="O100" s="265"/>
      <c r="P100" s="507" t="s">
        <v>551</v>
      </c>
      <c r="Q100" s="507" t="s">
        <v>551</v>
      </c>
      <c r="R100" s="507" t="s">
        <v>551</v>
      </c>
      <c r="S100" s="32"/>
      <c r="T100" s="428"/>
      <c r="U100" s="428"/>
      <c r="V100" s="428"/>
      <c r="W100" s="428"/>
      <c r="X100" s="428"/>
      <c r="Y100" s="428"/>
      <c r="Z100" s="428"/>
      <c r="AA100" s="428"/>
      <c r="AB100" s="429">
        <f t="shared" si="9"/>
        <v>6110.8032000000003</v>
      </c>
      <c r="AC100" s="429">
        <f t="shared" si="10"/>
        <v>1527.7008000000001</v>
      </c>
      <c r="AD100" s="428"/>
      <c r="AE100" s="428"/>
      <c r="AF100" s="428"/>
      <c r="AG100" s="428"/>
      <c r="AH100" s="428"/>
      <c r="AI100" s="428"/>
      <c r="AJ100" s="428"/>
      <c r="AK100" s="428"/>
      <c r="AL100" s="428"/>
      <c r="AM100" s="428"/>
      <c r="AN100" s="428"/>
      <c r="AO100" s="428"/>
      <c r="AP100" s="428"/>
      <c r="AQ100" s="428"/>
      <c r="AR100" s="428"/>
      <c r="AS100" s="428"/>
      <c r="AT100" s="207"/>
      <c r="AU100" s="428"/>
      <c r="AV100" s="428"/>
      <c r="AW100" s="428"/>
      <c r="AX100" s="428"/>
      <c r="AY100" s="428"/>
      <c r="AZ100" s="428"/>
      <c r="BA100" s="428"/>
      <c r="BB100" s="207"/>
    </row>
    <row r="101" spans="2:54">
      <c r="B101" s="1315" t="s">
        <v>548</v>
      </c>
      <c r="C101" s="1316"/>
      <c r="D101" s="501" t="s">
        <v>3291</v>
      </c>
      <c r="E101" s="501"/>
      <c r="F101" s="501" t="s">
        <v>252</v>
      </c>
      <c r="G101" s="501" t="s">
        <v>253</v>
      </c>
      <c r="H101" s="503">
        <v>7583.5069999999996</v>
      </c>
      <c r="I101" s="505" t="s">
        <v>742</v>
      </c>
      <c r="J101" s="504">
        <v>45209.8125</v>
      </c>
      <c r="K101" s="504"/>
      <c r="L101" s="504" t="s">
        <v>192</v>
      </c>
      <c r="M101" s="504" t="s">
        <v>192</v>
      </c>
      <c r="N101" s="505" t="str">
        <f t="shared" si="8"/>
        <v>DELAY ( 7 day 3 hour 36 minute )</v>
      </c>
      <c r="O101" s="265"/>
      <c r="P101" s="507" t="s">
        <v>551</v>
      </c>
      <c r="Q101" s="507" t="s">
        <v>551</v>
      </c>
      <c r="R101" s="507" t="s">
        <v>551</v>
      </c>
      <c r="S101" s="32"/>
      <c r="T101" s="428"/>
      <c r="U101" s="428"/>
      <c r="V101" s="428"/>
      <c r="W101" s="428"/>
      <c r="X101" s="428"/>
      <c r="Y101" s="429"/>
      <c r="Z101" s="429"/>
      <c r="AA101" s="428"/>
      <c r="AB101" s="429">
        <f t="shared" si="9"/>
        <v>6066.8055999999997</v>
      </c>
      <c r="AC101" s="429">
        <f t="shared" si="10"/>
        <v>1516.7013999999999</v>
      </c>
      <c r="AD101" s="428"/>
      <c r="AE101" s="428"/>
      <c r="AF101" s="428"/>
      <c r="AG101" s="428"/>
      <c r="AH101" s="428"/>
      <c r="AI101" s="428"/>
      <c r="AJ101" s="428"/>
      <c r="AK101" s="207"/>
      <c r="AL101" s="428"/>
      <c r="AM101" s="428"/>
      <c r="AN101" s="428"/>
      <c r="AO101" s="428"/>
      <c r="AP101" s="428"/>
      <c r="AQ101" s="428"/>
      <c r="AR101" s="428"/>
      <c r="AS101" s="428"/>
      <c r="AT101" s="428"/>
      <c r="AU101" s="428"/>
      <c r="AV101" s="428"/>
      <c r="AW101" s="428"/>
      <c r="AX101" s="428"/>
      <c r="AY101" s="428"/>
      <c r="AZ101" s="428"/>
      <c r="BA101" s="428"/>
      <c r="BB101" s="207"/>
    </row>
    <row r="102" spans="2:54">
      <c r="B102" s="1315" t="s">
        <v>548</v>
      </c>
      <c r="C102" s="1316"/>
      <c r="D102" s="501" t="s">
        <v>3293</v>
      </c>
      <c r="E102" s="501"/>
      <c r="F102" s="501" t="s">
        <v>260</v>
      </c>
      <c r="G102" s="501" t="s">
        <v>261</v>
      </c>
      <c r="H102" s="503">
        <v>7509.7430000000004</v>
      </c>
      <c r="I102" s="505" t="s">
        <v>742</v>
      </c>
      <c r="J102" s="504">
        <v>45209.805555555555</v>
      </c>
      <c r="K102" s="504"/>
      <c r="L102" s="504" t="s">
        <v>192</v>
      </c>
      <c r="M102" s="504" t="s">
        <v>192</v>
      </c>
      <c r="N102" s="505" t="str">
        <f t="shared" si="8"/>
        <v>DELAY ( 7 day 3 hour 26 minute )</v>
      </c>
      <c r="O102" s="506"/>
      <c r="P102" s="507" t="s">
        <v>551</v>
      </c>
      <c r="Q102" s="507" t="s">
        <v>551</v>
      </c>
      <c r="R102" s="507" t="s">
        <v>551</v>
      </c>
      <c r="S102" s="500"/>
      <c r="T102" s="508"/>
      <c r="U102" s="508"/>
      <c r="V102" s="508"/>
      <c r="W102" s="508"/>
      <c r="X102" s="508"/>
      <c r="Y102" s="508"/>
      <c r="Z102" s="508"/>
      <c r="AA102" s="508"/>
      <c r="AB102" s="508">
        <f t="shared" si="9"/>
        <v>6007.7944000000007</v>
      </c>
      <c r="AC102" s="508">
        <f t="shared" si="10"/>
        <v>1501.9486000000002</v>
      </c>
      <c r="AD102" s="508"/>
      <c r="AE102" s="508"/>
      <c r="AF102" s="508"/>
      <c r="AG102" s="508"/>
      <c r="AH102" s="508"/>
      <c r="AI102" s="508"/>
      <c r="AJ102" s="508"/>
      <c r="AK102" s="508"/>
      <c r="AL102" s="508"/>
      <c r="AM102" s="508"/>
      <c r="AN102" s="508"/>
      <c r="AO102" s="508"/>
      <c r="AP102" s="508"/>
      <c r="AQ102" s="508"/>
      <c r="AR102" s="508"/>
      <c r="AS102" s="508"/>
      <c r="AT102" s="508"/>
      <c r="AU102" s="508"/>
      <c r="AV102" s="508"/>
      <c r="AW102" s="508"/>
      <c r="AX102" s="508"/>
      <c r="AY102" s="508"/>
      <c r="AZ102" s="508"/>
      <c r="BA102" s="508"/>
      <c r="BB102" s="500"/>
    </row>
    <row r="103" spans="2:54">
      <c r="B103" s="1315" t="s">
        <v>548</v>
      </c>
      <c r="C103" s="1316"/>
      <c r="D103" s="501" t="s">
        <v>3294</v>
      </c>
      <c r="E103" s="501"/>
      <c r="F103" s="501" t="s">
        <v>257</v>
      </c>
      <c r="G103" s="501" t="s">
        <v>258</v>
      </c>
      <c r="H103" s="503">
        <v>7500.3779999999997</v>
      </c>
      <c r="I103" s="505" t="s">
        <v>742</v>
      </c>
      <c r="J103" s="504">
        <v>45209.822916666664</v>
      </c>
      <c r="K103" s="504"/>
      <c r="L103" s="504" t="s">
        <v>192</v>
      </c>
      <c r="M103" s="504" t="s">
        <v>192</v>
      </c>
      <c r="N103" s="505" t="str">
        <f t="shared" si="8"/>
        <v>DELAY ( 7 day 3 hour 51 minute )</v>
      </c>
      <c r="O103" s="506"/>
      <c r="P103" s="507" t="s">
        <v>551</v>
      </c>
      <c r="Q103" s="507" t="s">
        <v>551</v>
      </c>
      <c r="R103" s="507" t="s">
        <v>551</v>
      </c>
      <c r="S103" s="500"/>
      <c r="T103" s="508"/>
      <c r="U103" s="508"/>
      <c r="V103" s="508"/>
      <c r="W103" s="508"/>
      <c r="X103" s="508"/>
      <c r="Y103" s="508"/>
      <c r="Z103" s="508"/>
      <c r="AA103" s="508"/>
      <c r="AB103" s="508">
        <f>(H103*0.8)</f>
        <v>6000.3024000000005</v>
      </c>
      <c r="AC103" s="508">
        <f>(H103*0.2)</f>
        <v>1500.0756000000001</v>
      </c>
      <c r="AD103" s="508"/>
      <c r="AE103" s="508"/>
      <c r="AF103" s="508"/>
      <c r="AG103" s="508"/>
      <c r="AH103" s="508"/>
      <c r="AI103" s="508"/>
      <c r="AJ103" s="508"/>
      <c r="AK103" s="500"/>
      <c r="AL103" s="508"/>
      <c r="AM103" s="508"/>
      <c r="AN103" s="508"/>
      <c r="AO103" s="508"/>
      <c r="AP103" s="508"/>
      <c r="AQ103" s="508"/>
      <c r="AR103" s="508"/>
      <c r="AS103" s="508"/>
      <c r="AT103" s="508"/>
      <c r="AU103" s="508"/>
      <c r="AV103" s="508"/>
      <c r="AW103" s="508"/>
      <c r="AX103" s="508"/>
      <c r="AY103" s="508"/>
      <c r="AZ103" s="508"/>
      <c r="BA103" s="508"/>
      <c r="BB103" s="500"/>
    </row>
    <row r="104" spans="2:54">
      <c r="B104" s="1315" t="s">
        <v>548</v>
      </c>
      <c r="C104" s="1316"/>
      <c r="D104" s="501" t="s">
        <v>3296</v>
      </c>
      <c r="E104" s="501"/>
      <c r="F104" s="501" t="s">
        <v>2156</v>
      </c>
      <c r="G104" s="501" t="s">
        <v>1835</v>
      </c>
      <c r="H104" s="503">
        <v>7672.88</v>
      </c>
      <c r="I104" s="505" t="s">
        <v>742</v>
      </c>
      <c r="J104" s="504">
        <v>45209.993055555555</v>
      </c>
      <c r="K104" s="504"/>
      <c r="L104" s="504" t="s">
        <v>192</v>
      </c>
      <c r="M104" s="504" t="s">
        <v>192</v>
      </c>
      <c r="N104" s="505" t="str">
        <f t="shared" si="8"/>
        <v>DELAY ( 7 day 7 hour 56 minute )</v>
      </c>
      <c r="O104" s="506"/>
      <c r="P104" s="507" t="s">
        <v>551</v>
      </c>
      <c r="Q104" s="507" t="s">
        <v>551</v>
      </c>
      <c r="R104" s="507" t="s">
        <v>551</v>
      </c>
      <c r="S104" s="500"/>
      <c r="T104" s="508"/>
      <c r="U104" s="508"/>
      <c r="V104" s="508"/>
      <c r="W104" s="508"/>
      <c r="X104" s="508"/>
      <c r="Y104" s="508"/>
      <c r="Z104" s="508"/>
      <c r="AA104" s="508"/>
      <c r="AB104" s="508">
        <f>H104*0.8</f>
        <v>6138.3040000000001</v>
      </c>
      <c r="AC104" s="508">
        <f>H104*0.2</f>
        <v>1534.576</v>
      </c>
      <c r="AD104" s="508"/>
      <c r="AE104" s="508"/>
      <c r="AF104" s="508"/>
      <c r="AG104" s="508"/>
      <c r="AH104" s="508"/>
      <c r="AI104" s="508"/>
      <c r="AJ104" s="508"/>
      <c r="AK104" s="508"/>
      <c r="AL104" s="508"/>
      <c r="AM104" s="508"/>
      <c r="AN104" s="508"/>
      <c r="AO104" s="508"/>
      <c r="AP104" s="508"/>
      <c r="AQ104" s="508"/>
      <c r="AR104" s="508"/>
      <c r="AS104" s="508"/>
      <c r="AT104" s="508"/>
      <c r="AU104" s="508"/>
      <c r="AV104" s="508"/>
      <c r="AW104" s="508"/>
      <c r="AX104" s="508"/>
      <c r="AY104" s="508"/>
      <c r="AZ104" s="508"/>
      <c r="BA104" s="508"/>
      <c r="BB104" s="500"/>
    </row>
    <row r="105" spans="2:54">
      <c r="B105" s="1315" t="s">
        <v>548</v>
      </c>
      <c r="C105" s="1316"/>
      <c r="D105" s="501" t="s">
        <v>3290</v>
      </c>
      <c r="E105" s="501"/>
      <c r="F105" s="501" t="s">
        <v>307</v>
      </c>
      <c r="G105" s="501" t="s">
        <v>308</v>
      </c>
      <c r="H105" s="503">
        <f>7612.403-6688.261</f>
        <v>924.14199999999983</v>
      </c>
      <c r="I105" s="505" t="s">
        <v>742</v>
      </c>
      <c r="J105" s="504">
        <v>45210.354166666664</v>
      </c>
      <c r="K105" s="504"/>
      <c r="L105" s="504" t="s">
        <v>192</v>
      </c>
      <c r="M105" s="504" t="s">
        <v>192</v>
      </c>
      <c r="N105" s="505" t="str">
        <f t="shared" si="8"/>
        <v>DELAY ( 7 day 16 hour 36 minute )</v>
      </c>
      <c r="O105" s="506"/>
      <c r="P105" s="507" t="s">
        <v>551</v>
      </c>
      <c r="Q105" s="507" t="s">
        <v>551</v>
      </c>
      <c r="R105" s="507" t="s">
        <v>551</v>
      </c>
      <c r="S105" s="500"/>
      <c r="T105" s="508"/>
      <c r="U105" s="508"/>
      <c r="V105" s="508"/>
      <c r="W105" s="508"/>
      <c r="X105" s="508"/>
      <c r="Y105" s="508"/>
      <c r="Z105" s="508"/>
      <c r="AA105" s="508"/>
      <c r="AB105" s="508">
        <f>(H105*0.8)</f>
        <v>739.31359999999995</v>
      </c>
      <c r="AC105" s="508">
        <f>(H105*0.2)</f>
        <v>184.82839999999999</v>
      </c>
      <c r="AD105" s="508"/>
      <c r="AE105" s="508"/>
      <c r="AF105" s="508"/>
      <c r="AG105" s="508"/>
      <c r="AH105" s="508"/>
      <c r="AI105" s="508"/>
      <c r="AJ105" s="508"/>
      <c r="AK105" s="508"/>
      <c r="AL105" s="508"/>
      <c r="AM105" s="508"/>
      <c r="AN105" s="508"/>
      <c r="AO105" s="508"/>
      <c r="AP105" s="508"/>
      <c r="AQ105" s="508"/>
      <c r="AR105" s="508"/>
      <c r="AS105" s="508"/>
      <c r="AT105" s="508"/>
      <c r="AU105" s="508"/>
      <c r="AV105" s="508"/>
      <c r="AW105" s="508"/>
      <c r="AX105" s="508"/>
      <c r="AY105" s="508"/>
      <c r="AZ105" s="508"/>
      <c r="BA105" s="508"/>
      <c r="BB105" s="500"/>
    </row>
    <row r="106" spans="2:54">
      <c r="B106" s="1258" t="s">
        <v>556</v>
      </c>
      <c r="C106" s="1259"/>
      <c r="D106" s="1259"/>
      <c r="E106" s="1259"/>
      <c r="F106" s="1259"/>
      <c r="G106" s="1260"/>
      <c r="H106" s="417">
        <f>SUM(H93:H105)</f>
        <v>87200</v>
      </c>
      <c r="I106" s="388"/>
      <c r="J106" s="293"/>
      <c r="K106" s="293"/>
      <c r="L106" s="293"/>
      <c r="M106" s="389"/>
      <c r="N106" s="505" t="str">
        <f t="shared" si="8"/>
        <v xml:space="preserve"> </v>
      </c>
      <c r="O106" s="212"/>
      <c r="P106" s="418"/>
      <c r="Q106" s="418"/>
      <c r="R106" s="418"/>
      <c r="S106" s="207"/>
      <c r="T106" s="1443"/>
      <c r="U106" s="1443"/>
      <c r="V106" s="1443"/>
      <c r="W106" s="1443"/>
      <c r="X106" s="1443"/>
      <c r="Y106" s="1443"/>
      <c r="Z106" s="1443"/>
      <c r="AA106" s="1443"/>
      <c r="AB106" s="1443"/>
      <c r="AC106" s="1443"/>
      <c r="AD106" s="1443"/>
      <c r="AE106" s="1443"/>
      <c r="AF106" s="1443"/>
      <c r="AG106" s="1443"/>
      <c r="AH106" s="1443"/>
      <c r="AI106" s="1443"/>
      <c r="AJ106" s="1443"/>
      <c r="AK106" s="1443"/>
      <c r="AL106" s="1443"/>
      <c r="AM106" s="1443"/>
      <c r="AN106" s="1443"/>
      <c r="AO106" s="1443"/>
      <c r="AP106" s="1443"/>
      <c r="AQ106" s="1443"/>
      <c r="AR106" s="1443"/>
      <c r="AS106" s="1443"/>
      <c r="AT106" s="1443"/>
      <c r="AU106" s="1443"/>
      <c r="AV106" s="1443"/>
      <c r="AW106" s="1443"/>
      <c r="AX106" s="1443"/>
      <c r="AY106" s="1443"/>
      <c r="AZ106" s="1443"/>
      <c r="BA106" s="1443"/>
    </row>
    <row r="107" spans="2:54" s="554" customFormat="1">
      <c r="B107" s="1320" t="s">
        <v>557</v>
      </c>
      <c r="C107" s="1321"/>
      <c r="D107" s="1321"/>
      <c r="E107" s="1321"/>
      <c r="F107" s="1321"/>
      <c r="G107" s="1322"/>
      <c r="H107" s="545">
        <v>87200</v>
      </c>
      <c r="I107" s="1331"/>
      <c r="J107" s="1332"/>
      <c r="K107" s="1332"/>
      <c r="L107" s="1332"/>
      <c r="M107" s="1333"/>
      <c r="N107" s="505" t="str">
        <f t="shared" si="8"/>
        <v xml:space="preserve"> </v>
      </c>
      <c r="O107" s="500"/>
      <c r="P107" s="507"/>
      <c r="Q107" s="507"/>
      <c r="R107" s="507"/>
      <c r="S107" s="555"/>
      <c r="T107" s="508">
        <f t="shared" ref="T107:BA107" si="11">SUM(T93:T105)</f>
        <v>0</v>
      </c>
      <c r="U107" s="508">
        <f t="shared" si="11"/>
        <v>0</v>
      </c>
      <c r="V107" s="508">
        <f t="shared" si="11"/>
        <v>0</v>
      </c>
      <c r="W107" s="508">
        <f t="shared" si="11"/>
        <v>0</v>
      </c>
      <c r="X107" s="508">
        <f t="shared" si="11"/>
        <v>0</v>
      </c>
      <c r="Y107" s="508">
        <f t="shared" si="11"/>
        <v>0</v>
      </c>
      <c r="Z107" s="508">
        <f t="shared" si="11"/>
        <v>0</v>
      </c>
      <c r="AA107" s="508">
        <f t="shared" si="11"/>
        <v>0</v>
      </c>
      <c r="AB107" s="508">
        <f t="shared" si="11"/>
        <v>69924.574200000003</v>
      </c>
      <c r="AC107" s="508">
        <f t="shared" si="11"/>
        <v>17275.425800000001</v>
      </c>
      <c r="AD107" s="508">
        <f t="shared" si="11"/>
        <v>0</v>
      </c>
      <c r="AE107" s="508">
        <f t="shared" si="11"/>
        <v>0</v>
      </c>
      <c r="AF107" s="508">
        <f t="shared" si="11"/>
        <v>0</v>
      </c>
      <c r="AG107" s="508">
        <f t="shared" si="11"/>
        <v>0</v>
      </c>
      <c r="AH107" s="508">
        <f t="shared" si="11"/>
        <v>0</v>
      </c>
      <c r="AI107" s="508">
        <f t="shared" si="11"/>
        <v>0</v>
      </c>
      <c r="AJ107" s="508">
        <f t="shared" si="11"/>
        <v>0</v>
      </c>
      <c r="AK107" s="508">
        <f t="shared" si="11"/>
        <v>0</v>
      </c>
      <c r="AL107" s="508">
        <f t="shared" si="11"/>
        <v>0</v>
      </c>
      <c r="AM107" s="508">
        <f t="shared" si="11"/>
        <v>0</v>
      </c>
      <c r="AN107" s="508">
        <f t="shared" si="11"/>
        <v>0</v>
      </c>
      <c r="AO107" s="508">
        <f t="shared" si="11"/>
        <v>0</v>
      </c>
      <c r="AP107" s="508">
        <f t="shared" si="11"/>
        <v>0</v>
      </c>
      <c r="AQ107" s="508">
        <f t="shared" si="11"/>
        <v>0</v>
      </c>
      <c r="AR107" s="508">
        <f t="shared" si="11"/>
        <v>0</v>
      </c>
      <c r="AS107" s="508">
        <f t="shared" si="11"/>
        <v>0</v>
      </c>
      <c r="AT107" s="508">
        <f t="shared" si="11"/>
        <v>0</v>
      </c>
      <c r="AU107" s="508">
        <f t="shared" si="11"/>
        <v>0</v>
      </c>
      <c r="AV107" s="508">
        <f t="shared" si="11"/>
        <v>0</v>
      </c>
      <c r="AW107" s="508">
        <f t="shared" si="11"/>
        <v>0</v>
      </c>
      <c r="AX107" s="508">
        <f t="shared" si="11"/>
        <v>0</v>
      </c>
      <c r="AY107" s="508">
        <f t="shared" si="11"/>
        <v>0</v>
      </c>
      <c r="AZ107" s="508">
        <f t="shared" si="11"/>
        <v>0</v>
      </c>
      <c r="BA107" s="508">
        <f t="shared" si="11"/>
        <v>0</v>
      </c>
      <c r="BB107" s="508">
        <f>SUM(T107:BA107)</f>
        <v>87200</v>
      </c>
    </row>
    <row r="108" spans="2:54" s="554" customFormat="1">
      <c r="B108" s="1320" t="s">
        <v>558</v>
      </c>
      <c r="C108" s="1321"/>
      <c r="D108" s="1321"/>
      <c r="E108" s="1321"/>
      <c r="F108" s="1321"/>
      <c r="G108" s="1322"/>
      <c r="H108" s="546">
        <f>H107-L87</f>
        <v>0</v>
      </c>
      <c r="I108" s="556"/>
      <c r="J108" s="557"/>
      <c r="K108" s="557"/>
      <c r="L108" s="558"/>
      <c r="M108" s="500"/>
      <c r="N108" s="500"/>
      <c r="O108" s="500"/>
      <c r="P108" s="500"/>
      <c r="Q108" s="559"/>
      <c r="R108" s="559"/>
      <c r="S108" s="500"/>
      <c r="T108" s="560"/>
      <c r="U108" s="560"/>
      <c r="V108" s="560"/>
      <c r="W108" s="560"/>
      <c r="X108" s="560"/>
      <c r="Y108" s="560"/>
      <c r="Z108" s="560"/>
      <c r="AA108" s="560"/>
      <c r="AB108" s="560"/>
      <c r="AC108" s="500"/>
      <c r="AD108" s="500"/>
      <c r="AE108" s="500"/>
      <c r="AF108" s="500"/>
      <c r="AG108" s="500"/>
      <c r="AH108" s="500"/>
      <c r="AI108" s="500"/>
      <c r="AJ108" s="500"/>
      <c r="AK108" s="500"/>
      <c r="AL108" s="500"/>
      <c r="AM108" s="500"/>
      <c r="AN108" s="500"/>
      <c r="AO108" s="500"/>
      <c r="AP108" s="500"/>
      <c r="AQ108" s="500"/>
      <c r="AR108" s="500"/>
    </row>
    <row r="109" spans="2:54" s="554" customFormat="1">
      <c r="B109" s="1320" t="s">
        <v>559</v>
      </c>
      <c r="C109" s="1321"/>
      <c r="D109" s="1321"/>
      <c r="E109" s="1321"/>
      <c r="F109" s="1321"/>
      <c r="G109" s="1322"/>
      <c r="H109" s="532">
        <v>6381.6629999999996</v>
      </c>
      <c r="I109" s="561"/>
      <c r="J109" s="562"/>
      <c r="K109" s="562"/>
      <c r="L109" s="563"/>
      <c r="M109" s="500"/>
      <c r="N109" s="500"/>
      <c r="O109" s="500"/>
      <c r="P109" s="500"/>
      <c r="Q109" s="500"/>
      <c r="R109" s="500"/>
      <c r="S109" s="500"/>
      <c r="T109" s="560"/>
      <c r="U109" s="560"/>
      <c r="V109" s="560"/>
      <c r="W109" s="560"/>
      <c r="X109" s="560"/>
      <c r="Y109" s="560"/>
      <c r="Z109" s="560"/>
      <c r="AA109" s="560"/>
      <c r="AB109" s="560"/>
      <c r="AC109" s="500"/>
      <c r="AD109" s="500"/>
      <c r="AE109" s="500"/>
      <c r="AF109" s="500"/>
      <c r="AG109" s="500"/>
      <c r="AH109" s="500"/>
      <c r="AI109" s="500"/>
      <c r="AJ109" s="500"/>
      <c r="AK109" s="500"/>
      <c r="AL109" s="500"/>
      <c r="AM109" s="500"/>
      <c r="AN109" s="500"/>
      <c r="AO109" s="500"/>
      <c r="AP109" s="500"/>
      <c r="AQ109" s="500"/>
      <c r="AR109" s="500"/>
    </row>
    <row r="110" spans="2:54" s="496" customFormat="1">
      <c r="B110" s="1323" t="s">
        <v>560</v>
      </c>
      <c r="C110" s="1324"/>
      <c r="D110" s="1324"/>
      <c r="E110" s="1324"/>
      <c r="F110" s="1324"/>
      <c r="G110" s="1325"/>
      <c r="H110" s="421">
        <f>H109-6688.261</f>
        <v>-306.59800000000087</v>
      </c>
      <c r="I110" s="209"/>
      <c r="J110" s="498"/>
      <c r="K110" s="498"/>
      <c r="L110" s="499"/>
      <c r="M110" s="201"/>
      <c r="N110" s="201"/>
      <c r="O110" s="201"/>
      <c r="P110" s="201"/>
      <c r="Q110" s="201"/>
      <c r="R110" s="201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1"/>
      <c r="AC110" s="201"/>
      <c r="AD110" s="201"/>
      <c r="AE110" s="201"/>
      <c r="AF110" s="201"/>
      <c r="AG110" s="201"/>
      <c r="AH110" s="201"/>
      <c r="AI110" s="201"/>
      <c r="AJ110" s="201"/>
      <c r="AK110" s="201"/>
      <c r="AL110" s="201"/>
      <c r="AM110" s="201"/>
      <c r="AN110" s="201"/>
      <c r="AO110" s="201"/>
      <c r="AP110" s="201"/>
      <c r="AQ110" s="201"/>
    </row>
    <row r="111" spans="2:54">
      <c r="B111" s="201"/>
      <c r="C111" s="201"/>
      <c r="D111" s="201"/>
      <c r="E111" s="201"/>
      <c r="F111" s="201"/>
      <c r="G111" s="201"/>
      <c r="H111" s="201"/>
      <c r="I111" s="213"/>
      <c r="J111" s="209"/>
      <c r="K111" s="209"/>
      <c r="L111" s="203"/>
      <c r="M111" s="201"/>
      <c r="N111" s="201"/>
      <c r="O111" s="209"/>
      <c r="P111" s="32"/>
      <c r="Q111" s="32"/>
      <c r="R111" s="32"/>
      <c r="S111" s="32"/>
      <c r="T111" s="48"/>
      <c r="U111" s="48"/>
      <c r="V111" s="48"/>
      <c r="W111" s="48"/>
      <c r="X111" s="48"/>
      <c r="Y111" s="48"/>
      <c r="Z111" s="48"/>
      <c r="AA111" s="48"/>
      <c r="AB111" s="48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</row>
    <row r="112" spans="2:54">
      <c r="B112" s="40" t="s">
        <v>561</v>
      </c>
      <c r="C112" s="40"/>
      <c r="D112" s="32"/>
      <c r="E112" s="32"/>
      <c r="F112" s="32"/>
      <c r="G112" s="32"/>
      <c r="H112" s="32"/>
      <c r="I112" s="32"/>
      <c r="J112" s="52"/>
      <c r="K112" s="52"/>
      <c r="L112" s="55"/>
      <c r="M112" s="32"/>
      <c r="N112" s="201"/>
      <c r="O112" s="5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  <c r="AQ112" s="201"/>
      <c r="AR112" s="201"/>
      <c r="AS112" s="201"/>
      <c r="AT112" s="201"/>
      <c r="AU112" s="201"/>
      <c r="BB112" s="201"/>
    </row>
    <row r="113" spans="2:54">
      <c r="B113" s="422">
        <v>1</v>
      </c>
      <c r="C113" s="1249" t="s">
        <v>3697</v>
      </c>
      <c r="D113" s="1249"/>
      <c r="E113" s="1249"/>
      <c r="F113" s="1249"/>
      <c r="G113" s="1249"/>
      <c r="H113" s="1249"/>
      <c r="I113" s="1249"/>
      <c r="J113" s="1249"/>
      <c r="K113" s="1249"/>
      <c r="L113" s="203"/>
      <c r="M113" s="203"/>
      <c r="N113" s="201"/>
      <c r="O113" s="209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  <c r="AT113" s="201"/>
      <c r="AU113" s="201"/>
      <c r="AV113" s="201"/>
      <c r="AW113" s="201"/>
      <c r="AX113" s="201"/>
      <c r="AY113" s="201"/>
      <c r="AZ113" s="201"/>
      <c r="BA113" s="201"/>
      <c r="BB113" s="201"/>
    </row>
    <row r="115" spans="2:54">
      <c r="B115" s="28" t="s">
        <v>126</v>
      </c>
      <c r="C115" s="28"/>
      <c r="D115" s="614"/>
      <c r="E115" s="30" t="s">
        <v>511</v>
      </c>
      <c r="F115" s="31" t="s">
        <v>3087</v>
      </c>
      <c r="G115" s="591"/>
      <c r="H115" s="33"/>
      <c r="I115" s="615"/>
      <c r="J115" s="35" t="s">
        <v>513</v>
      </c>
      <c r="K115" s="36" t="s">
        <v>511</v>
      </c>
      <c r="L115" s="516">
        <v>45213.451388888891</v>
      </c>
      <c r="M115" s="591"/>
      <c r="N115" s="591"/>
      <c r="O115" s="206"/>
      <c r="P115" s="205"/>
      <c r="Q115" s="616"/>
      <c r="R115" s="204"/>
      <c r="S115" s="617"/>
      <c r="T115" s="613"/>
      <c r="U115" s="613"/>
      <c r="V115" s="613"/>
      <c r="W115" s="613"/>
      <c r="X115" s="613"/>
      <c r="Y115" s="613"/>
      <c r="Z115" s="613"/>
      <c r="AA115" s="613"/>
      <c r="AB115" s="616"/>
      <c r="AC115" s="616"/>
      <c r="AD115" s="616"/>
      <c r="AE115" s="616"/>
      <c r="AF115" s="616"/>
      <c r="AG115" s="613"/>
      <c r="AH115" s="613"/>
      <c r="AI115" s="613"/>
      <c r="AJ115" s="613"/>
      <c r="AK115" s="613"/>
      <c r="AL115" s="613"/>
      <c r="AM115" s="613"/>
      <c r="AN115" s="613"/>
      <c r="AO115" s="613"/>
      <c r="AP115" s="613"/>
      <c r="AQ115" s="613"/>
      <c r="AR115" s="613"/>
      <c r="AS115" s="613"/>
      <c r="AT115" s="613"/>
      <c r="AU115" s="613"/>
      <c r="AV115" s="613"/>
      <c r="AW115" s="613"/>
      <c r="AX115" s="613"/>
      <c r="AY115" s="613"/>
      <c r="AZ115" s="613"/>
      <c r="BA115" s="613"/>
      <c r="BB115" s="613"/>
    </row>
    <row r="116" spans="2:54">
      <c r="B116" s="35" t="s">
        <v>514</v>
      </c>
      <c r="C116" s="35"/>
      <c r="D116" s="591"/>
      <c r="E116" s="36" t="s">
        <v>511</v>
      </c>
      <c r="F116" s="311" t="s">
        <v>3696</v>
      </c>
      <c r="G116" s="591"/>
      <c r="H116" s="33"/>
      <c r="I116" s="615"/>
      <c r="J116" s="35" t="s">
        <v>516</v>
      </c>
      <c r="K116" s="36" t="s">
        <v>511</v>
      </c>
      <c r="L116" s="516">
        <v>45216.625</v>
      </c>
      <c r="M116" s="591"/>
      <c r="N116" s="591"/>
      <c r="O116" s="206"/>
      <c r="P116" s="205"/>
      <c r="Q116" s="616"/>
      <c r="R116" s="204"/>
      <c r="S116" s="617"/>
      <c r="T116" s="613"/>
      <c r="U116" s="613"/>
      <c r="V116" s="613"/>
      <c r="W116" s="613"/>
      <c r="X116" s="613"/>
      <c r="Y116" s="613"/>
      <c r="Z116" s="613"/>
      <c r="AA116" s="613"/>
      <c r="AB116" s="616"/>
      <c r="AC116" s="616"/>
      <c r="AD116" s="616"/>
      <c r="AE116" s="616"/>
      <c r="AF116" s="616"/>
      <c r="AG116" s="613"/>
      <c r="AH116" s="613"/>
      <c r="AI116" s="613"/>
      <c r="AJ116" s="613"/>
      <c r="AK116" s="613"/>
      <c r="AL116" s="613"/>
      <c r="AM116" s="613"/>
      <c r="AN116" s="613"/>
      <c r="AO116" s="613"/>
      <c r="AP116" s="613"/>
      <c r="AQ116" s="613"/>
      <c r="AR116" s="613"/>
      <c r="AS116" s="613"/>
      <c r="AT116" s="613"/>
      <c r="AU116" s="613"/>
      <c r="AV116" s="613"/>
      <c r="AW116" s="613"/>
      <c r="AX116" s="613"/>
      <c r="AY116" s="613"/>
      <c r="AZ116" s="613"/>
      <c r="BA116" s="613"/>
      <c r="BB116" s="613"/>
    </row>
    <row r="117" spans="2:54">
      <c r="B117" s="35" t="s">
        <v>517</v>
      </c>
      <c r="C117" s="35"/>
      <c r="D117" s="591"/>
      <c r="E117" s="36" t="s">
        <v>511</v>
      </c>
      <c r="F117" s="516">
        <v>45212.041666666664</v>
      </c>
      <c r="G117" s="591"/>
      <c r="H117" s="33"/>
      <c r="I117" s="615"/>
      <c r="J117" s="35" t="s">
        <v>518</v>
      </c>
      <c r="K117" s="36" t="s">
        <v>511</v>
      </c>
      <c r="L117" s="692">
        <v>77000</v>
      </c>
      <c r="M117" s="619" t="s">
        <v>519</v>
      </c>
      <c r="N117" s="619"/>
      <c r="O117" s="206"/>
      <c r="P117" s="205"/>
      <c r="Q117" s="616"/>
      <c r="R117" s="204"/>
      <c r="S117" s="617"/>
      <c r="T117" s="613"/>
      <c r="U117" s="613"/>
      <c r="V117" s="613"/>
      <c r="W117" s="613"/>
      <c r="X117" s="613"/>
      <c r="Y117" s="613"/>
      <c r="Z117" s="613"/>
      <c r="AA117" s="613"/>
      <c r="AB117" s="616"/>
      <c r="AC117" s="616"/>
      <c r="AD117" s="616"/>
      <c r="AE117" s="616"/>
      <c r="AF117" s="616"/>
      <c r="AG117" s="613"/>
      <c r="AH117" s="613"/>
      <c r="AI117" s="613"/>
      <c r="AJ117" s="613"/>
      <c r="AK117" s="613"/>
      <c r="AL117" s="613"/>
      <c r="AM117" s="613"/>
      <c r="AN117" s="613"/>
      <c r="AO117" s="613"/>
      <c r="AP117" s="613"/>
      <c r="AQ117" s="613"/>
      <c r="AR117" s="613"/>
      <c r="AS117" s="613"/>
      <c r="AT117" s="613"/>
      <c r="AU117" s="613"/>
      <c r="AV117" s="613"/>
      <c r="AW117" s="613"/>
      <c r="AX117" s="613"/>
      <c r="AY117" s="613"/>
      <c r="AZ117" s="613"/>
      <c r="BA117" s="613"/>
      <c r="BB117" s="613"/>
    </row>
    <row r="118" spans="2:54">
      <c r="B118" s="35" t="s">
        <v>520</v>
      </c>
      <c r="C118" s="35"/>
      <c r="D118" s="591"/>
      <c r="E118" s="36" t="s">
        <v>511</v>
      </c>
      <c r="F118" s="37" t="s">
        <v>12</v>
      </c>
      <c r="G118" s="591"/>
      <c r="H118" s="33"/>
      <c r="I118" s="615"/>
      <c r="J118" s="35" t="s">
        <v>521</v>
      </c>
      <c r="K118" s="36" t="s">
        <v>511</v>
      </c>
      <c r="L118" s="620" t="s">
        <v>3088</v>
      </c>
      <c r="M118" s="591"/>
      <c r="N118" s="591"/>
      <c r="O118" s="206"/>
      <c r="P118" s="616"/>
      <c r="Q118" s="616"/>
      <c r="R118" s="204"/>
      <c r="S118" s="617"/>
      <c r="T118" s="613"/>
      <c r="U118" s="613"/>
      <c r="V118" s="613"/>
      <c r="W118" s="613"/>
      <c r="X118" s="613"/>
      <c r="Y118" s="613"/>
      <c r="Z118" s="613"/>
      <c r="AA118" s="613"/>
      <c r="AB118" s="616"/>
      <c r="AC118" s="616"/>
      <c r="AD118" s="616"/>
      <c r="AE118" s="616"/>
      <c r="AF118" s="616"/>
      <c r="AG118" s="613"/>
      <c r="AH118" s="613"/>
      <c r="AI118" s="613"/>
      <c r="AJ118" s="613"/>
      <c r="AK118" s="613"/>
      <c r="AL118" s="613"/>
      <c r="AM118" s="613"/>
      <c r="AN118" s="613"/>
      <c r="AO118" s="613"/>
      <c r="AP118" s="613"/>
      <c r="AQ118" s="613"/>
      <c r="AR118" s="613"/>
      <c r="AS118" s="613"/>
      <c r="AT118" s="613"/>
      <c r="AU118" s="613"/>
      <c r="AV118" s="613"/>
      <c r="AW118" s="613"/>
      <c r="AX118" s="613"/>
      <c r="AY118" s="613"/>
      <c r="AZ118" s="613"/>
      <c r="BA118" s="613"/>
      <c r="BB118" s="613"/>
    </row>
    <row r="119" spans="2:54">
      <c r="B119" s="35" t="s">
        <v>523</v>
      </c>
      <c r="C119" s="35"/>
      <c r="D119" s="591"/>
      <c r="E119" s="36" t="s">
        <v>511</v>
      </c>
      <c r="F119" s="37" t="s">
        <v>32</v>
      </c>
      <c r="G119" s="591"/>
      <c r="H119" s="33"/>
      <c r="I119" s="615"/>
      <c r="J119" s="35" t="s">
        <v>524</v>
      </c>
      <c r="K119" s="36" t="s">
        <v>511</v>
      </c>
      <c r="L119" s="621" t="s">
        <v>11</v>
      </c>
      <c r="M119" s="611"/>
      <c r="N119" s="611"/>
      <c r="O119" s="206"/>
      <c r="P119" s="205"/>
      <c r="Q119" s="616"/>
      <c r="R119" s="204"/>
      <c r="S119" s="617"/>
      <c r="T119" s="613"/>
      <c r="U119" s="613"/>
      <c r="V119" s="613"/>
      <c r="W119" s="613"/>
      <c r="X119" s="613"/>
      <c r="Y119" s="613"/>
      <c r="Z119" s="613"/>
      <c r="AA119" s="613"/>
      <c r="AB119" s="616"/>
      <c r="AC119" s="616"/>
      <c r="AD119" s="616"/>
      <c r="AE119" s="616"/>
      <c r="AF119" s="616"/>
      <c r="AG119" s="613"/>
      <c r="AH119" s="613"/>
      <c r="AI119" s="613"/>
      <c r="AJ119" s="613"/>
      <c r="AK119" s="613"/>
      <c r="AL119" s="613"/>
      <c r="AM119" s="613"/>
      <c r="AN119" s="613"/>
      <c r="AO119" s="613"/>
      <c r="AP119" s="613"/>
      <c r="AQ119" s="613"/>
      <c r="AR119" s="613"/>
      <c r="AS119" s="613"/>
      <c r="AT119" s="613"/>
      <c r="AU119" s="613"/>
      <c r="AV119" s="613"/>
      <c r="AW119" s="613"/>
      <c r="AX119" s="613"/>
      <c r="AY119" s="613"/>
      <c r="AZ119" s="613"/>
      <c r="BA119" s="613"/>
      <c r="BB119" s="613"/>
    </row>
    <row r="120" spans="2:54">
      <c r="B120" s="35" t="s">
        <v>2</v>
      </c>
      <c r="C120" s="35"/>
      <c r="D120" s="591"/>
      <c r="E120" s="36" t="s">
        <v>511</v>
      </c>
      <c r="F120" s="37" t="s">
        <v>14</v>
      </c>
      <c r="G120" s="591"/>
      <c r="H120" s="33"/>
      <c r="I120" s="622"/>
      <c r="J120" s="35"/>
      <c r="K120" s="36"/>
      <c r="L120" s="211"/>
      <c r="M120" s="613"/>
      <c r="N120" s="613"/>
      <c r="O120" s="35"/>
      <c r="P120" s="611"/>
      <c r="Q120" s="611"/>
      <c r="R120" s="611"/>
      <c r="S120" s="615"/>
      <c r="T120" s="613"/>
      <c r="U120" s="613"/>
      <c r="V120" s="613"/>
      <c r="W120" s="613"/>
      <c r="X120" s="613"/>
      <c r="Y120" s="613"/>
      <c r="Z120" s="613"/>
      <c r="AA120" s="613"/>
      <c r="AB120" s="615"/>
      <c r="AC120" s="615"/>
      <c r="AD120" s="615"/>
      <c r="AE120" s="615"/>
      <c r="AF120" s="615"/>
      <c r="AG120" s="615"/>
      <c r="AH120" s="615"/>
      <c r="AI120" s="615"/>
      <c r="AJ120" s="615"/>
      <c r="AK120" s="615"/>
      <c r="AL120" s="615"/>
      <c r="AM120" s="615"/>
      <c r="AN120" s="615"/>
      <c r="AO120" s="613"/>
      <c r="AP120" s="613"/>
      <c r="AQ120" s="613"/>
      <c r="AR120" s="613"/>
      <c r="AS120" s="613"/>
      <c r="AT120" s="613"/>
      <c r="AU120" s="613"/>
      <c r="AV120" s="613"/>
      <c r="AW120" s="613"/>
      <c r="AX120" s="613"/>
      <c r="AY120" s="613"/>
      <c r="AZ120" s="613"/>
      <c r="BA120" s="613"/>
      <c r="BB120" s="613"/>
    </row>
    <row r="121" spans="2:54" ht="15" customHeight="1">
      <c r="B121" s="613"/>
      <c r="C121" s="613"/>
      <c r="D121" s="613"/>
      <c r="E121" s="613"/>
      <c r="F121" s="613"/>
      <c r="G121" s="613"/>
      <c r="H121" s="613"/>
      <c r="I121" s="622"/>
      <c r="J121" s="35"/>
      <c r="K121" s="35"/>
      <c r="L121" s="621"/>
      <c r="M121" s="611"/>
      <c r="N121" s="611"/>
      <c r="O121" s="35"/>
      <c r="P121" s="611"/>
      <c r="Q121" s="611"/>
      <c r="R121" s="611"/>
      <c r="S121" s="615"/>
      <c r="T121" s="1317" t="s">
        <v>87</v>
      </c>
      <c r="U121" s="1317"/>
      <c r="V121" s="1317"/>
      <c r="W121" s="1317"/>
      <c r="X121" s="1317"/>
      <c r="Y121" s="1317" t="s">
        <v>73</v>
      </c>
      <c r="Z121" s="1317"/>
      <c r="AA121" s="1317"/>
      <c r="AB121" s="1317" t="s">
        <v>74</v>
      </c>
      <c r="AC121" s="1317"/>
      <c r="AD121" s="623" t="s">
        <v>85</v>
      </c>
      <c r="AE121" s="623" t="s">
        <v>77</v>
      </c>
      <c r="AF121" s="1317" t="s">
        <v>525</v>
      </c>
      <c r="AG121" s="1317"/>
      <c r="AH121" s="1317"/>
      <c r="AI121" s="1317"/>
      <c r="AJ121" s="1317"/>
      <c r="AK121" s="1317"/>
      <c r="AL121" s="1317"/>
      <c r="AM121" s="1317"/>
      <c r="AN121" s="1317"/>
      <c r="AO121" s="1317"/>
      <c r="AP121" s="1317"/>
      <c r="AQ121" s="1317"/>
      <c r="AR121" s="1317"/>
      <c r="AS121" s="1317"/>
      <c r="AT121" s="1317"/>
      <c r="AU121" s="1317"/>
      <c r="AV121" s="1317"/>
      <c r="AW121" s="1317"/>
      <c r="AX121" s="1317"/>
      <c r="AY121" s="1317"/>
      <c r="AZ121" s="1317"/>
      <c r="BA121" s="1317"/>
      <c r="BB121" s="613"/>
    </row>
    <row r="122" spans="2:54" ht="15" customHeight="1">
      <c r="B122" s="1318" t="s">
        <v>526</v>
      </c>
      <c r="C122" s="1319"/>
      <c r="D122" s="624" t="s">
        <v>527</v>
      </c>
      <c r="E122" s="624"/>
      <c r="F122" s="624" t="s">
        <v>528</v>
      </c>
      <c r="G122" s="624" t="s">
        <v>529</v>
      </c>
      <c r="H122" s="624" t="s">
        <v>530</v>
      </c>
      <c r="I122" s="624" t="s">
        <v>531</v>
      </c>
      <c r="J122" s="624" t="s">
        <v>532</v>
      </c>
      <c r="K122" s="624"/>
      <c r="L122" s="624" t="s">
        <v>130</v>
      </c>
      <c r="M122" s="624" t="s">
        <v>533</v>
      </c>
      <c r="N122" s="625" t="str">
        <f>"On time - "&amp;COUNTIF(N123:N135,"On time")&amp;" from "&amp;ROWS(N123:N135)-COUNTIF(N123:N135," ")</f>
        <v>On time - 6 from 11</v>
      </c>
      <c r="O122" s="626"/>
      <c r="P122" s="627" t="s">
        <v>534</v>
      </c>
      <c r="Q122" s="627" t="s">
        <v>535</v>
      </c>
      <c r="R122" s="627" t="s">
        <v>536</v>
      </c>
      <c r="S122" s="591"/>
      <c r="T122" s="628" t="s">
        <v>537</v>
      </c>
      <c r="U122" s="628" t="s">
        <v>538</v>
      </c>
      <c r="V122" s="628" t="s">
        <v>539</v>
      </c>
      <c r="W122" s="628" t="s">
        <v>540</v>
      </c>
      <c r="X122" s="628" t="s">
        <v>541</v>
      </c>
      <c r="Y122" s="628" t="s">
        <v>167</v>
      </c>
      <c r="Z122" s="628" t="s">
        <v>168</v>
      </c>
      <c r="AA122" s="628" t="s">
        <v>169</v>
      </c>
      <c r="AB122" s="628" t="s">
        <v>235</v>
      </c>
      <c r="AC122" s="628" t="s">
        <v>240</v>
      </c>
      <c r="AD122" s="623" t="s">
        <v>85</v>
      </c>
      <c r="AE122" s="628" t="s">
        <v>139</v>
      </c>
      <c r="AF122" s="628" t="s">
        <v>72</v>
      </c>
      <c r="AG122" s="628" t="s">
        <v>88</v>
      </c>
      <c r="AH122" s="628" t="s">
        <v>75</v>
      </c>
      <c r="AI122" s="628" t="s">
        <v>543</v>
      </c>
      <c r="AJ122" s="628" t="s">
        <v>78</v>
      </c>
      <c r="AK122" s="628" t="s">
        <v>76</v>
      </c>
      <c r="AL122" s="628" t="s">
        <v>544</v>
      </c>
      <c r="AM122" s="628" t="s">
        <v>545</v>
      </c>
      <c r="AN122" s="628" t="s">
        <v>86</v>
      </c>
      <c r="AO122" s="628" t="s">
        <v>83</v>
      </c>
      <c r="AP122" s="628" t="s">
        <v>84</v>
      </c>
      <c r="AQ122" s="628" t="s">
        <v>546</v>
      </c>
      <c r="AR122" s="628" t="s">
        <v>81</v>
      </c>
      <c r="AS122" s="628" t="s">
        <v>80</v>
      </c>
      <c r="AT122" s="628" t="s">
        <v>82</v>
      </c>
      <c r="AU122" s="628" t="s">
        <v>181</v>
      </c>
      <c r="AV122" s="628" t="s">
        <v>183</v>
      </c>
      <c r="AW122" s="628" t="s">
        <v>547</v>
      </c>
      <c r="AX122" s="628" t="s">
        <v>182</v>
      </c>
      <c r="AY122" s="628" t="s">
        <v>172</v>
      </c>
      <c r="AZ122" s="628" t="s">
        <v>173</v>
      </c>
      <c r="BA122" s="628" t="s">
        <v>184</v>
      </c>
      <c r="BB122" s="613"/>
    </row>
    <row r="123" spans="2:54" ht="12.75" customHeight="1">
      <c r="B123" s="1326" t="s">
        <v>653</v>
      </c>
      <c r="C123" s="1327"/>
      <c r="D123" s="501" t="s">
        <v>3308</v>
      </c>
      <c r="E123" s="501"/>
      <c r="F123" s="501" t="s">
        <v>292</v>
      </c>
      <c r="G123" s="501" t="s">
        <v>293</v>
      </c>
      <c r="H123" s="629">
        <v>6430.1450000000004</v>
      </c>
      <c r="I123" s="505" t="s">
        <v>240</v>
      </c>
      <c r="J123" s="504">
        <v>45211.541666666664</v>
      </c>
      <c r="K123" s="504"/>
      <c r="L123" s="504" t="s">
        <v>192</v>
      </c>
      <c r="M123" s="504" t="s">
        <v>192</v>
      </c>
      <c r="N123" s="505" t="str">
        <f t="shared" ref="N123:N135" si="12">IF(ISBLANK(J123)," ",IF(J123&lt;$F$117,"On time",(IF(DAY(J123-$F$117)&lt;1,"On time",(IF(J123&gt;$F$117,"DELAY ( "&amp;DAY(J123-$F$117)&amp;" day "&amp;HOUR(J123-$F$117)&amp;" hour "&amp;MINUTE(J123-$F$117)&amp;" minute )","xxx"))))))</f>
        <v>On time</v>
      </c>
      <c r="O123" s="597"/>
      <c r="P123" s="507" t="s">
        <v>551</v>
      </c>
      <c r="Q123" s="507" t="s">
        <v>551</v>
      </c>
      <c r="R123" s="507" t="s">
        <v>551</v>
      </c>
      <c r="S123" s="598"/>
      <c r="T123" s="599"/>
      <c r="U123" s="599"/>
      <c r="V123" s="599"/>
      <c r="W123" s="599"/>
      <c r="X123" s="599"/>
      <c r="Y123" s="599"/>
      <c r="Z123" s="599"/>
      <c r="AA123" s="599"/>
      <c r="AB123" s="599"/>
      <c r="AC123" s="599">
        <f>H123</f>
        <v>6430.1450000000004</v>
      </c>
      <c r="AD123" s="599"/>
      <c r="AE123" s="599"/>
      <c r="AF123" s="599"/>
      <c r="AG123" s="599"/>
      <c r="AH123" s="599"/>
      <c r="AI123" s="599"/>
      <c r="AJ123" s="599"/>
      <c r="AK123" s="599"/>
      <c r="AL123" s="599"/>
      <c r="AM123" s="599"/>
      <c r="AN123" s="599"/>
      <c r="AO123" s="599"/>
      <c r="AP123" s="599"/>
      <c r="AQ123" s="599"/>
      <c r="AR123" s="599"/>
      <c r="AS123" s="599"/>
      <c r="AT123" s="599"/>
      <c r="AU123" s="599"/>
      <c r="AV123" s="599"/>
      <c r="AW123" s="599"/>
      <c r="AX123" s="599"/>
      <c r="AY123" s="599"/>
      <c r="AZ123" s="599"/>
      <c r="BA123" s="599"/>
      <c r="BB123" s="598"/>
    </row>
    <row r="124" spans="2:54" ht="12.75" customHeight="1">
      <c r="B124" s="1328"/>
      <c r="C124" s="1329"/>
      <c r="D124" s="501" t="s">
        <v>3451</v>
      </c>
      <c r="E124" s="501"/>
      <c r="F124" s="501" t="s">
        <v>441</v>
      </c>
      <c r="G124" s="501" t="s">
        <v>1308</v>
      </c>
      <c r="H124" s="629">
        <v>5467.6390000000001</v>
      </c>
      <c r="I124" s="505" t="s">
        <v>835</v>
      </c>
      <c r="J124" s="504">
        <v>45212.875</v>
      </c>
      <c r="K124" s="504"/>
      <c r="L124" s="504" t="s">
        <v>192</v>
      </c>
      <c r="M124" s="504" t="s">
        <v>192</v>
      </c>
      <c r="N124" s="505" t="str">
        <f t="shared" si="12"/>
        <v>On time</v>
      </c>
      <c r="O124" s="597"/>
      <c r="P124" s="507" t="s">
        <v>551</v>
      </c>
      <c r="Q124" s="507" t="s">
        <v>551</v>
      </c>
      <c r="R124" s="507" t="s">
        <v>551</v>
      </c>
      <c r="S124" s="598"/>
      <c r="T124" s="599"/>
      <c r="U124" s="599"/>
      <c r="V124" s="599"/>
      <c r="W124" s="599"/>
      <c r="X124" s="599"/>
      <c r="Y124" s="599"/>
      <c r="Z124" s="599">
        <f>H124</f>
        <v>5467.6390000000001</v>
      </c>
      <c r="AA124" s="599"/>
      <c r="AB124" s="599"/>
      <c r="AC124" s="599"/>
      <c r="AD124" s="599"/>
      <c r="AE124" s="599"/>
      <c r="AF124" s="599"/>
      <c r="AG124" s="599"/>
      <c r="AH124" s="599"/>
      <c r="AI124" s="599"/>
      <c r="AJ124" s="599"/>
      <c r="AK124" s="599"/>
      <c r="AL124" s="599"/>
      <c r="AM124" s="599"/>
      <c r="AN124" s="599"/>
      <c r="AO124" s="599"/>
      <c r="AP124" s="599"/>
      <c r="AQ124" s="599"/>
      <c r="AR124" s="599"/>
      <c r="AS124" s="599"/>
      <c r="AT124" s="598"/>
      <c r="AU124" s="599"/>
      <c r="AV124" s="599"/>
      <c r="AW124" s="599"/>
      <c r="AX124" s="599"/>
      <c r="AY124" s="599"/>
      <c r="AZ124" s="599"/>
      <c r="BA124" s="599"/>
      <c r="BB124" s="598"/>
    </row>
    <row r="125" spans="2:54" ht="12.75" customHeight="1">
      <c r="B125" s="1326" t="s">
        <v>653</v>
      </c>
      <c r="C125" s="1327"/>
      <c r="D125" s="501" t="s">
        <v>3309</v>
      </c>
      <c r="E125" s="501"/>
      <c r="F125" s="501" t="s">
        <v>222</v>
      </c>
      <c r="G125" s="501" t="s">
        <v>223</v>
      </c>
      <c r="H125" s="629">
        <v>7596.0640000000003</v>
      </c>
      <c r="I125" s="505" t="s">
        <v>240</v>
      </c>
      <c r="J125" s="504">
        <v>45212.416666666664</v>
      </c>
      <c r="K125" s="504"/>
      <c r="L125" s="504" t="s">
        <v>192</v>
      </c>
      <c r="M125" s="504" t="s">
        <v>192</v>
      </c>
      <c r="N125" s="505" t="str">
        <f t="shared" si="12"/>
        <v>On time</v>
      </c>
      <c r="O125" s="597"/>
      <c r="P125" s="507" t="s">
        <v>551</v>
      </c>
      <c r="Q125" s="507" t="s">
        <v>551</v>
      </c>
      <c r="R125" s="507" t="s">
        <v>551</v>
      </c>
      <c r="S125" s="598"/>
      <c r="T125" s="599"/>
      <c r="U125" s="599"/>
      <c r="V125" s="599"/>
      <c r="W125" s="599"/>
      <c r="X125" s="599"/>
      <c r="Y125" s="599"/>
      <c r="Z125" s="599"/>
      <c r="AA125" s="599"/>
      <c r="AB125" s="599"/>
      <c r="AC125" s="599">
        <f>H125</f>
        <v>7596.0640000000003</v>
      </c>
      <c r="AD125" s="599"/>
      <c r="AE125" s="599"/>
      <c r="AF125" s="599"/>
      <c r="AG125" s="599"/>
      <c r="AH125" s="599"/>
      <c r="AI125" s="599"/>
      <c r="AJ125" s="599"/>
      <c r="AK125" s="599"/>
      <c r="AL125" s="599"/>
      <c r="AM125" s="599"/>
      <c r="AN125" s="599"/>
      <c r="AO125" s="599"/>
      <c r="AP125" s="599"/>
      <c r="AQ125" s="599"/>
      <c r="AR125" s="599"/>
      <c r="AS125" s="599"/>
      <c r="AT125" s="599"/>
      <c r="AU125" s="599"/>
      <c r="AV125" s="599"/>
      <c r="AW125" s="599"/>
      <c r="AX125" s="599"/>
      <c r="AY125" s="599"/>
      <c r="AZ125" s="599"/>
      <c r="BA125" s="599"/>
      <c r="BB125" s="598"/>
    </row>
    <row r="126" spans="2:54" ht="12.75" customHeight="1">
      <c r="B126" s="1328"/>
      <c r="C126" s="1329"/>
      <c r="D126" s="501" t="s">
        <v>3453</v>
      </c>
      <c r="E126" s="501"/>
      <c r="F126" s="501" t="s">
        <v>277</v>
      </c>
      <c r="G126" s="501" t="s">
        <v>278</v>
      </c>
      <c r="H126" s="629">
        <v>7401.4589999999998</v>
      </c>
      <c r="I126" s="505" t="s">
        <v>835</v>
      </c>
      <c r="J126" s="504">
        <v>45212.46875</v>
      </c>
      <c r="K126" s="504"/>
      <c r="L126" s="504" t="s">
        <v>192</v>
      </c>
      <c r="M126" s="504" t="s">
        <v>192</v>
      </c>
      <c r="N126" s="505" t="str">
        <f t="shared" si="12"/>
        <v>On time</v>
      </c>
      <c r="O126" s="597"/>
      <c r="P126" s="507" t="s">
        <v>551</v>
      </c>
      <c r="Q126" s="507" t="s">
        <v>551</v>
      </c>
      <c r="R126" s="507" t="s">
        <v>551</v>
      </c>
      <c r="S126" s="598"/>
      <c r="T126" s="599"/>
      <c r="U126" s="599"/>
      <c r="V126" s="599"/>
      <c r="W126" s="599"/>
      <c r="X126" s="599"/>
      <c r="Y126" s="599"/>
      <c r="Z126" s="599">
        <f>H126</f>
        <v>7401.4589999999998</v>
      </c>
      <c r="AA126" s="599"/>
      <c r="AB126" s="599"/>
      <c r="AC126" s="599"/>
      <c r="AD126" s="599"/>
      <c r="AE126" s="599"/>
      <c r="AF126" s="599"/>
      <c r="AG126" s="599"/>
      <c r="AH126" s="599"/>
      <c r="AI126" s="599"/>
      <c r="AJ126" s="599"/>
      <c r="AK126" s="599"/>
      <c r="AL126" s="599"/>
      <c r="AM126" s="599"/>
      <c r="AN126" s="599"/>
      <c r="AO126" s="599"/>
      <c r="AP126" s="599"/>
      <c r="AQ126" s="599"/>
      <c r="AR126" s="599"/>
      <c r="AS126" s="599"/>
      <c r="AT126" s="599"/>
      <c r="AU126" s="599"/>
      <c r="AV126" s="599"/>
      <c r="AW126" s="599"/>
      <c r="AX126" s="599"/>
      <c r="AY126" s="599"/>
      <c r="AZ126" s="599"/>
      <c r="BA126" s="599"/>
      <c r="BB126" s="598"/>
    </row>
    <row r="127" spans="2:54" ht="12.75" customHeight="1">
      <c r="B127" s="1326" t="s">
        <v>653</v>
      </c>
      <c r="C127" s="1327"/>
      <c r="D127" s="501" t="s">
        <v>3452</v>
      </c>
      <c r="E127" s="501"/>
      <c r="F127" s="501" t="s">
        <v>1799</v>
      </c>
      <c r="G127" s="501" t="s">
        <v>2437</v>
      </c>
      <c r="H127" s="629">
        <v>7453.6149999999998</v>
      </c>
      <c r="I127" s="505" t="s">
        <v>835</v>
      </c>
      <c r="J127" s="504">
        <v>45212.690972222219</v>
      </c>
      <c r="K127" s="504"/>
      <c r="L127" s="504" t="s">
        <v>192</v>
      </c>
      <c r="M127" s="504" t="s">
        <v>192</v>
      </c>
      <c r="N127" s="505" t="str">
        <f t="shared" si="12"/>
        <v>On time</v>
      </c>
      <c r="O127" s="597"/>
      <c r="P127" s="507" t="s">
        <v>551</v>
      </c>
      <c r="Q127" s="507" t="s">
        <v>551</v>
      </c>
      <c r="R127" s="507" t="s">
        <v>551</v>
      </c>
      <c r="S127" s="598"/>
      <c r="T127" s="599"/>
      <c r="U127" s="599"/>
      <c r="V127" s="599"/>
      <c r="W127" s="599"/>
      <c r="X127" s="599"/>
      <c r="Y127" s="599"/>
      <c r="Z127" s="599">
        <f>H127</f>
        <v>7453.6149999999998</v>
      </c>
      <c r="AA127" s="599"/>
      <c r="AB127" s="599"/>
      <c r="AC127" s="599"/>
      <c r="AD127" s="599"/>
      <c r="AE127" s="599"/>
      <c r="AF127" s="599"/>
      <c r="AG127" s="599"/>
      <c r="AH127" s="599"/>
      <c r="AI127" s="599"/>
      <c r="AJ127" s="599"/>
      <c r="AK127" s="598"/>
      <c r="AL127" s="599"/>
      <c r="AM127" s="599"/>
      <c r="AN127" s="599"/>
      <c r="AO127" s="599"/>
      <c r="AP127" s="599"/>
      <c r="AQ127" s="599"/>
      <c r="AR127" s="599"/>
      <c r="AS127" s="599"/>
      <c r="AT127" s="599"/>
      <c r="AU127" s="599"/>
      <c r="AV127" s="599"/>
      <c r="AW127" s="599"/>
      <c r="AX127" s="599"/>
      <c r="AY127" s="599"/>
      <c r="AZ127" s="599"/>
      <c r="BA127" s="599"/>
      <c r="BB127" s="598"/>
    </row>
    <row r="128" spans="2:54" ht="12.75" customHeight="1">
      <c r="B128" s="1328"/>
      <c r="C128" s="1329"/>
      <c r="D128" s="501" t="s">
        <v>3311</v>
      </c>
      <c r="E128" s="501"/>
      <c r="F128" s="501" t="s">
        <v>339</v>
      </c>
      <c r="G128" s="501" t="s">
        <v>506</v>
      </c>
      <c r="H128" s="629">
        <v>7642.8429999999998</v>
      </c>
      <c r="I128" s="505" t="s">
        <v>240</v>
      </c>
      <c r="J128" s="504">
        <v>45212.354166666664</v>
      </c>
      <c r="K128" s="504"/>
      <c r="L128" s="504" t="s">
        <v>192</v>
      </c>
      <c r="M128" s="504" t="s">
        <v>192</v>
      </c>
      <c r="N128" s="505" t="str">
        <f t="shared" si="12"/>
        <v>On time</v>
      </c>
      <c r="O128" s="597"/>
      <c r="P128" s="507" t="s">
        <v>551</v>
      </c>
      <c r="Q128" s="507" t="s">
        <v>551</v>
      </c>
      <c r="R128" s="507" t="s">
        <v>551</v>
      </c>
      <c r="S128" s="598"/>
      <c r="T128" s="599"/>
      <c r="U128" s="599"/>
      <c r="V128" s="599"/>
      <c r="W128" s="599"/>
      <c r="X128" s="599"/>
      <c r="Y128" s="599"/>
      <c r="Z128" s="599"/>
      <c r="AA128" s="599"/>
      <c r="AB128" s="599"/>
      <c r="AC128" s="599">
        <f>H128</f>
        <v>7642.8429999999998</v>
      </c>
      <c r="AD128" s="599"/>
      <c r="AE128" s="599"/>
      <c r="AF128" s="599"/>
      <c r="AG128" s="599"/>
      <c r="AH128" s="599"/>
      <c r="AI128" s="599"/>
      <c r="AJ128" s="599"/>
      <c r="AK128" s="599"/>
      <c r="AL128" s="599"/>
      <c r="AM128" s="599"/>
      <c r="AN128" s="599"/>
      <c r="AO128" s="599"/>
      <c r="AP128" s="599"/>
      <c r="AQ128" s="599"/>
      <c r="AR128" s="599"/>
      <c r="AS128" s="599"/>
      <c r="AT128" s="599"/>
      <c r="AU128" s="599"/>
      <c r="AV128" s="599"/>
      <c r="AW128" s="599"/>
      <c r="AX128" s="599"/>
      <c r="AY128" s="599"/>
      <c r="AZ128" s="599"/>
      <c r="BA128" s="599"/>
      <c r="BB128" s="598"/>
    </row>
    <row r="129" spans="2:54" ht="12.75" customHeight="1">
      <c r="B129" s="1326" t="s">
        <v>653</v>
      </c>
      <c r="C129" s="1327"/>
      <c r="D129" s="501" t="s">
        <v>3310</v>
      </c>
      <c r="E129" s="501"/>
      <c r="F129" s="501" t="s">
        <v>2277</v>
      </c>
      <c r="G129" s="501" t="s">
        <v>2278</v>
      </c>
      <c r="H129" s="629">
        <v>7449.6189999999997</v>
      </c>
      <c r="I129" s="505" t="s">
        <v>240</v>
      </c>
      <c r="J129" s="504">
        <v>45213.625</v>
      </c>
      <c r="K129" s="504"/>
      <c r="L129" s="504" t="s">
        <v>192</v>
      </c>
      <c r="M129" s="504" t="s">
        <v>192</v>
      </c>
      <c r="N129" s="505" t="str">
        <f t="shared" si="12"/>
        <v>DELAY ( 1 day 14 hour 0 minute )</v>
      </c>
      <c r="O129" s="597"/>
      <c r="P129" s="507" t="s">
        <v>551</v>
      </c>
      <c r="Q129" s="507" t="s">
        <v>551</v>
      </c>
      <c r="R129" s="507" t="s">
        <v>551</v>
      </c>
      <c r="S129" s="598"/>
      <c r="T129" s="599"/>
      <c r="U129" s="599"/>
      <c r="V129" s="599"/>
      <c r="W129" s="599"/>
      <c r="X129" s="599"/>
      <c r="Y129" s="599"/>
      <c r="Z129" s="599"/>
      <c r="AA129" s="599"/>
      <c r="AB129" s="599"/>
      <c r="AC129" s="599">
        <f>H129</f>
        <v>7449.6189999999997</v>
      </c>
      <c r="AD129" s="599"/>
      <c r="AE129" s="599"/>
      <c r="AF129" s="599"/>
      <c r="AG129" s="599"/>
      <c r="AH129" s="599"/>
      <c r="AI129" s="599"/>
      <c r="AJ129" s="599"/>
      <c r="AK129" s="599"/>
      <c r="AL129" s="599"/>
      <c r="AM129" s="599"/>
      <c r="AN129" s="599"/>
      <c r="AO129" s="599"/>
      <c r="AP129" s="599"/>
      <c r="AQ129" s="599"/>
      <c r="AR129" s="599"/>
      <c r="AS129" s="599"/>
      <c r="AT129" s="599"/>
      <c r="AU129" s="599"/>
      <c r="AV129" s="599"/>
      <c r="AW129" s="599"/>
      <c r="AX129" s="599"/>
      <c r="AY129" s="599"/>
      <c r="AZ129" s="599"/>
      <c r="BA129" s="599"/>
      <c r="BB129" s="598"/>
    </row>
    <row r="130" spans="2:54" ht="12.75" customHeight="1">
      <c r="B130" s="1328"/>
      <c r="C130" s="1329"/>
      <c r="D130" s="501" t="s">
        <v>3454</v>
      </c>
      <c r="E130" s="501"/>
      <c r="F130" s="501" t="s">
        <v>390</v>
      </c>
      <c r="G130" s="501" t="s">
        <v>3346</v>
      </c>
      <c r="H130" s="629">
        <v>7479.9880000000003</v>
      </c>
      <c r="I130" s="505" t="s">
        <v>835</v>
      </c>
      <c r="J130" s="504">
        <v>45213.5</v>
      </c>
      <c r="K130" s="504"/>
      <c r="L130" s="504" t="s">
        <v>192</v>
      </c>
      <c r="M130" s="504" t="s">
        <v>192</v>
      </c>
      <c r="N130" s="505" t="str">
        <f t="shared" si="12"/>
        <v>DELAY ( 1 day 11 hour 0 minute )</v>
      </c>
      <c r="O130" s="597"/>
      <c r="P130" s="507" t="s">
        <v>551</v>
      </c>
      <c r="Q130" s="507" t="s">
        <v>551</v>
      </c>
      <c r="R130" s="507" t="s">
        <v>551</v>
      </c>
      <c r="S130" s="598"/>
      <c r="T130" s="599"/>
      <c r="U130" s="599"/>
      <c r="V130" s="599"/>
      <c r="W130" s="599"/>
      <c r="X130" s="599"/>
      <c r="Y130" s="599"/>
      <c r="Z130" s="599">
        <f>H130</f>
        <v>7479.9880000000003</v>
      </c>
      <c r="AA130" s="599"/>
      <c r="AB130" s="599"/>
      <c r="AC130" s="599"/>
      <c r="AD130" s="599"/>
      <c r="AE130" s="599"/>
      <c r="AF130" s="599"/>
      <c r="AG130" s="599"/>
      <c r="AH130" s="599"/>
      <c r="AI130" s="599"/>
      <c r="AJ130" s="599"/>
      <c r="AK130" s="599"/>
      <c r="AL130" s="599"/>
      <c r="AM130" s="599"/>
      <c r="AN130" s="599"/>
      <c r="AO130" s="599"/>
      <c r="AP130" s="599"/>
      <c r="AQ130" s="599"/>
      <c r="AR130" s="599"/>
      <c r="AS130" s="599"/>
      <c r="AT130" s="599"/>
      <c r="AU130" s="599"/>
      <c r="AV130" s="599"/>
      <c r="AW130" s="599"/>
      <c r="AX130" s="599"/>
      <c r="AY130" s="599"/>
      <c r="AZ130" s="599"/>
      <c r="BA130" s="599"/>
      <c r="BB130" s="598"/>
    </row>
    <row r="131" spans="2:54" ht="12.75" customHeight="1">
      <c r="B131" s="1315" t="s">
        <v>548</v>
      </c>
      <c r="C131" s="1316"/>
      <c r="D131" s="501" t="s">
        <v>3457</v>
      </c>
      <c r="E131" s="501"/>
      <c r="F131" s="501" t="s">
        <v>274</v>
      </c>
      <c r="G131" s="501" t="s">
        <v>1093</v>
      </c>
      <c r="H131" s="629">
        <v>7542.6329999999998</v>
      </c>
      <c r="I131" s="505" t="s">
        <v>835</v>
      </c>
      <c r="J131" s="504">
        <v>45214.416666666664</v>
      </c>
      <c r="K131" s="504"/>
      <c r="L131" s="504" t="s">
        <v>192</v>
      </c>
      <c r="M131" s="504" t="s">
        <v>192</v>
      </c>
      <c r="N131" s="505" t="str">
        <f t="shared" si="12"/>
        <v>DELAY ( 2 day 9 hour 0 minute )</v>
      </c>
      <c r="O131" s="597"/>
      <c r="P131" s="507" t="s">
        <v>551</v>
      </c>
      <c r="Q131" s="507" t="s">
        <v>551</v>
      </c>
      <c r="R131" s="507" t="s">
        <v>551</v>
      </c>
      <c r="S131" s="598"/>
      <c r="T131" s="599"/>
      <c r="U131" s="599"/>
      <c r="V131" s="599"/>
      <c r="W131" s="599"/>
      <c r="X131" s="599"/>
      <c r="Y131" s="599"/>
      <c r="Z131" s="599">
        <f>H131</f>
        <v>7542.6329999999998</v>
      </c>
      <c r="AA131" s="599"/>
      <c r="AB131" s="599"/>
      <c r="AC131" s="599"/>
      <c r="AD131" s="599"/>
      <c r="AE131" s="599"/>
      <c r="AF131" s="599"/>
      <c r="AG131" s="599"/>
      <c r="AH131" s="599"/>
      <c r="AI131" s="599"/>
      <c r="AJ131" s="599"/>
      <c r="AK131" s="599"/>
      <c r="AL131" s="599"/>
      <c r="AM131" s="599"/>
      <c r="AN131" s="599"/>
      <c r="AO131" s="599"/>
      <c r="AP131" s="599"/>
      <c r="AQ131" s="599"/>
      <c r="AR131" s="599"/>
      <c r="AS131" s="599"/>
      <c r="AT131" s="599"/>
      <c r="AU131" s="599"/>
      <c r="AV131" s="599"/>
      <c r="AW131" s="599"/>
      <c r="AX131" s="599"/>
      <c r="AY131" s="599"/>
      <c r="AZ131" s="599"/>
      <c r="BA131" s="599"/>
      <c r="BB131" s="598"/>
    </row>
    <row r="132" spans="2:54" ht="12.75" customHeight="1">
      <c r="B132" s="1315" t="s">
        <v>548</v>
      </c>
      <c r="C132" s="1316"/>
      <c r="D132" s="501" t="s">
        <v>3458</v>
      </c>
      <c r="E132" s="501"/>
      <c r="F132" s="501" t="s">
        <v>774</v>
      </c>
      <c r="G132" s="501" t="s">
        <v>423</v>
      </c>
      <c r="H132" s="629">
        <v>7699.692</v>
      </c>
      <c r="I132" s="505" t="s">
        <v>835</v>
      </c>
      <c r="J132" s="504">
        <v>45214.458333333336</v>
      </c>
      <c r="K132" s="504"/>
      <c r="L132" s="504" t="s">
        <v>192</v>
      </c>
      <c r="M132" s="504" t="s">
        <v>192</v>
      </c>
      <c r="N132" s="505" t="str">
        <f t="shared" si="12"/>
        <v>DELAY ( 2 day 10 hour 0 minute )</v>
      </c>
      <c r="O132" s="597"/>
      <c r="P132" s="507" t="s">
        <v>551</v>
      </c>
      <c r="Q132" s="507" t="s">
        <v>551</v>
      </c>
      <c r="R132" s="507" t="s">
        <v>551</v>
      </c>
      <c r="S132" s="598"/>
      <c r="T132" s="599"/>
      <c r="U132" s="599"/>
      <c r="V132" s="599"/>
      <c r="W132" s="599"/>
      <c r="X132" s="599"/>
      <c r="Y132" s="599"/>
      <c r="Z132" s="599">
        <f>H132</f>
        <v>7699.692</v>
      </c>
      <c r="AA132" s="599"/>
      <c r="AB132" s="599"/>
      <c r="AC132" s="599"/>
      <c r="AD132" s="599"/>
      <c r="AE132" s="599"/>
      <c r="AF132" s="599"/>
      <c r="AG132" s="599"/>
      <c r="AH132" s="599"/>
      <c r="AI132" s="599"/>
      <c r="AJ132" s="599"/>
      <c r="AK132" s="599"/>
      <c r="AL132" s="599"/>
      <c r="AM132" s="599"/>
      <c r="AN132" s="599"/>
      <c r="AO132" s="599"/>
      <c r="AP132" s="599"/>
      <c r="AQ132" s="599"/>
      <c r="AR132" s="599"/>
      <c r="AS132" s="599"/>
      <c r="AT132" s="599"/>
      <c r="AU132" s="599"/>
      <c r="AV132" s="599"/>
      <c r="AW132" s="599"/>
      <c r="AX132" s="599"/>
      <c r="AY132" s="599"/>
      <c r="AZ132" s="599"/>
      <c r="BA132" s="599"/>
      <c r="BB132" s="598"/>
    </row>
    <row r="133" spans="2:54" ht="12.75" customHeight="1">
      <c r="B133" s="1315" t="s">
        <v>548</v>
      </c>
      <c r="C133" s="1316"/>
      <c r="D133" s="501" t="s">
        <v>3456</v>
      </c>
      <c r="E133" s="501"/>
      <c r="F133" s="501" t="s">
        <v>233</v>
      </c>
      <c r="G133" s="501" t="s">
        <v>234</v>
      </c>
      <c r="H133" s="629">
        <f>7605.524-2769.221</f>
        <v>4836.3029999999999</v>
      </c>
      <c r="I133" s="505" t="s">
        <v>501</v>
      </c>
      <c r="J133" s="504">
        <v>45213.541666666664</v>
      </c>
      <c r="K133" s="504"/>
      <c r="L133" s="504" t="s">
        <v>192</v>
      </c>
      <c r="M133" s="504" t="s">
        <v>192</v>
      </c>
      <c r="N133" s="505" t="str">
        <f t="shared" si="12"/>
        <v>DELAY ( 1 day 12 hour 0 minute )</v>
      </c>
      <c r="O133" s="597"/>
      <c r="P133" s="507" t="s">
        <v>551</v>
      </c>
      <c r="Q133" s="507" t="s">
        <v>551</v>
      </c>
      <c r="R133" s="507" t="s">
        <v>551</v>
      </c>
      <c r="S133" s="598"/>
      <c r="T133" s="599"/>
      <c r="U133" s="599"/>
      <c r="V133" s="599"/>
      <c r="W133" s="599"/>
      <c r="X133" s="599"/>
      <c r="Y133" s="599">
        <f>(H133*0.45)</f>
        <v>2176.33635</v>
      </c>
      <c r="Z133" s="599">
        <f>(H133*0.55)</f>
        <v>2659.9666500000003</v>
      </c>
      <c r="AA133" s="599"/>
      <c r="AB133" s="599"/>
      <c r="AC133" s="599"/>
      <c r="AD133" s="599"/>
      <c r="AE133" s="599"/>
      <c r="AF133" s="599"/>
      <c r="AG133" s="599"/>
      <c r="AH133" s="599"/>
      <c r="AI133" s="599"/>
      <c r="AJ133" s="599"/>
      <c r="AK133" s="599"/>
      <c r="AL133" s="599"/>
      <c r="AM133" s="599"/>
      <c r="AN133" s="599"/>
      <c r="AO133" s="599"/>
      <c r="AP133" s="599"/>
      <c r="AQ133" s="599"/>
      <c r="AR133" s="599"/>
      <c r="AS133" s="599"/>
      <c r="AT133" s="599"/>
      <c r="AU133" s="599"/>
      <c r="AV133" s="599"/>
      <c r="AW133" s="599"/>
      <c r="AX133" s="599"/>
      <c r="AY133" s="599"/>
      <c r="AZ133" s="599"/>
      <c r="BA133" s="599"/>
      <c r="BB133" s="598"/>
    </row>
    <row r="134" spans="2:54" ht="12.75" customHeight="1">
      <c r="B134" s="1258" t="s">
        <v>556</v>
      </c>
      <c r="C134" s="1259"/>
      <c r="D134" s="1259"/>
      <c r="E134" s="1259"/>
      <c r="F134" s="1259"/>
      <c r="G134" s="1260"/>
      <c r="H134" s="586">
        <f>SUM(H123:H133)</f>
        <v>77000</v>
      </c>
      <c r="I134" s="587"/>
      <c r="J134" s="588"/>
      <c r="K134" s="588"/>
      <c r="L134" s="588"/>
      <c r="M134" s="589"/>
      <c r="N134" s="505" t="str">
        <f t="shared" si="12"/>
        <v xml:space="preserve"> </v>
      </c>
      <c r="O134" s="212"/>
      <c r="P134" s="590"/>
      <c r="Q134" s="590"/>
      <c r="R134" s="590"/>
      <c r="S134" s="633"/>
      <c r="T134" s="1307"/>
      <c r="U134" s="1308"/>
      <c r="V134" s="1308"/>
      <c r="W134" s="1308"/>
      <c r="X134" s="1308"/>
      <c r="Y134" s="1308"/>
      <c r="Z134" s="1308"/>
      <c r="AA134" s="1308"/>
      <c r="AB134" s="1308"/>
      <c r="AC134" s="1308"/>
      <c r="AD134" s="1308"/>
      <c r="AE134" s="1308"/>
      <c r="AF134" s="1308"/>
      <c r="AG134" s="1308"/>
      <c r="AH134" s="1308"/>
      <c r="AI134" s="1308"/>
      <c r="AJ134" s="1308"/>
      <c r="AK134" s="1308"/>
      <c r="AL134" s="1308"/>
      <c r="AM134" s="1308"/>
      <c r="AN134" s="1308"/>
      <c r="AO134" s="1308"/>
      <c r="AP134" s="1308"/>
      <c r="AQ134" s="1308"/>
      <c r="AR134" s="1308"/>
      <c r="AS134" s="1308"/>
      <c r="AT134" s="1308"/>
      <c r="AU134" s="1308"/>
      <c r="AV134" s="1308"/>
      <c r="AW134" s="1308"/>
      <c r="AX134" s="1308"/>
      <c r="AY134" s="1308"/>
      <c r="AZ134" s="1308"/>
      <c r="BA134" s="1308"/>
    </row>
    <row r="135" spans="2:54" ht="12.75" customHeight="1">
      <c r="B135" s="1415" t="s">
        <v>557</v>
      </c>
      <c r="C135" s="1416"/>
      <c r="D135" s="1416"/>
      <c r="E135" s="1416"/>
      <c r="F135" s="1416"/>
      <c r="G135" s="1417"/>
      <c r="H135" s="710">
        <v>77000</v>
      </c>
      <c r="I135" s="1427"/>
      <c r="J135" s="1428"/>
      <c r="K135" s="1428"/>
      <c r="L135" s="1428"/>
      <c r="M135" s="1429"/>
      <c r="N135" s="505" t="str">
        <f t="shared" si="12"/>
        <v xml:space="preserve"> </v>
      </c>
      <c r="O135" s="591"/>
      <c r="P135" s="415"/>
      <c r="Q135" s="415"/>
      <c r="R135" s="415"/>
      <c r="S135" s="740"/>
      <c r="T135" s="592">
        <f t="shared" ref="T135:BA135" si="13">SUM(T123:T133)</f>
        <v>0</v>
      </c>
      <c r="U135" s="592">
        <f t="shared" si="13"/>
        <v>0</v>
      </c>
      <c r="V135" s="592">
        <f t="shared" si="13"/>
        <v>0</v>
      </c>
      <c r="W135" s="592">
        <f t="shared" si="13"/>
        <v>0</v>
      </c>
      <c r="X135" s="592">
        <f t="shared" si="13"/>
        <v>0</v>
      </c>
      <c r="Y135" s="592">
        <f t="shared" si="13"/>
        <v>2176.33635</v>
      </c>
      <c r="Z135" s="592">
        <f t="shared" si="13"/>
        <v>45704.992650000007</v>
      </c>
      <c r="AA135" s="592">
        <f t="shared" si="13"/>
        <v>0</v>
      </c>
      <c r="AB135" s="592">
        <f t="shared" si="13"/>
        <v>0</v>
      </c>
      <c r="AC135" s="592">
        <f t="shared" si="13"/>
        <v>29118.670999999998</v>
      </c>
      <c r="AD135" s="592">
        <f t="shared" si="13"/>
        <v>0</v>
      </c>
      <c r="AE135" s="592">
        <f t="shared" si="13"/>
        <v>0</v>
      </c>
      <c r="AF135" s="592">
        <f t="shared" si="13"/>
        <v>0</v>
      </c>
      <c r="AG135" s="592">
        <f t="shared" si="13"/>
        <v>0</v>
      </c>
      <c r="AH135" s="592">
        <f t="shared" si="13"/>
        <v>0</v>
      </c>
      <c r="AI135" s="592">
        <f t="shared" si="13"/>
        <v>0</v>
      </c>
      <c r="AJ135" s="592">
        <f t="shared" si="13"/>
        <v>0</v>
      </c>
      <c r="AK135" s="592">
        <f t="shared" si="13"/>
        <v>0</v>
      </c>
      <c r="AL135" s="592">
        <f t="shared" si="13"/>
        <v>0</v>
      </c>
      <c r="AM135" s="592">
        <f t="shared" si="13"/>
        <v>0</v>
      </c>
      <c r="AN135" s="592">
        <f t="shared" si="13"/>
        <v>0</v>
      </c>
      <c r="AO135" s="592">
        <f t="shared" si="13"/>
        <v>0</v>
      </c>
      <c r="AP135" s="592">
        <f t="shared" si="13"/>
        <v>0</v>
      </c>
      <c r="AQ135" s="592">
        <f t="shared" si="13"/>
        <v>0</v>
      </c>
      <c r="AR135" s="592">
        <f t="shared" si="13"/>
        <v>0</v>
      </c>
      <c r="AS135" s="592">
        <f t="shared" si="13"/>
        <v>0</v>
      </c>
      <c r="AT135" s="592">
        <f t="shared" si="13"/>
        <v>0</v>
      </c>
      <c r="AU135" s="592">
        <f t="shared" si="13"/>
        <v>0</v>
      </c>
      <c r="AV135" s="592">
        <f t="shared" si="13"/>
        <v>0</v>
      </c>
      <c r="AW135" s="592">
        <f t="shared" si="13"/>
        <v>0</v>
      </c>
      <c r="AX135" s="592">
        <f t="shared" si="13"/>
        <v>0</v>
      </c>
      <c r="AY135" s="592">
        <f t="shared" si="13"/>
        <v>0</v>
      </c>
      <c r="AZ135" s="592">
        <f t="shared" si="13"/>
        <v>0</v>
      </c>
      <c r="BA135" s="592">
        <f t="shared" si="13"/>
        <v>0</v>
      </c>
      <c r="BB135" s="592">
        <f>SUM(T135:BA135)</f>
        <v>77000</v>
      </c>
    </row>
    <row r="136" spans="2:54" ht="12.75" customHeight="1">
      <c r="B136" s="1415" t="s">
        <v>558</v>
      </c>
      <c r="C136" s="1416"/>
      <c r="D136" s="1416"/>
      <c r="E136" s="1416"/>
      <c r="F136" s="1416"/>
      <c r="G136" s="1417"/>
      <c r="H136" s="712">
        <f>H135-L117</f>
        <v>0</v>
      </c>
      <c r="I136" s="742"/>
      <c r="J136" s="743"/>
      <c r="K136" s="743"/>
      <c r="L136" s="671"/>
      <c r="M136" s="633"/>
      <c r="N136" s="591"/>
      <c r="O136" s="591"/>
      <c r="P136" s="591"/>
      <c r="Q136" s="744"/>
      <c r="R136" s="744"/>
      <c r="S136" s="591"/>
      <c r="T136" s="645"/>
      <c r="U136" s="645"/>
      <c r="V136" s="645"/>
      <c r="W136" s="645"/>
      <c r="X136" s="645"/>
      <c r="Y136" s="645"/>
      <c r="Z136" s="645"/>
      <c r="AA136" s="645"/>
      <c r="AB136" s="645"/>
      <c r="AC136" s="591"/>
      <c r="AD136" s="591"/>
      <c r="AE136" s="591"/>
      <c r="AF136" s="591"/>
      <c r="AG136" s="591"/>
      <c r="AH136" s="591"/>
      <c r="AI136" s="591"/>
      <c r="AJ136" s="591"/>
      <c r="AK136" s="591"/>
      <c r="AL136" s="591"/>
      <c r="AM136" s="591"/>
      <c r="AN136" s="591"/>
      <c r="AO136" s="591"/>
      <c r="AP136" s="591"/>
      <c r="AQ136" s="591"/>
      <c r="AR136" s="591"/>
    </row>
    <row r="137" spans="2:54" ht="12.75" customHeight="1">
      <c r="B137" s="1415" t="s">
        <v>559</v>
      </c>
      <c r="C137" s="1416"/>
      <c r="D137" s="1416"/>
      <c r="E137" s="1416"/>
      <c r="F137" s="1416"/>
      <c r="G137" s="1417"/>
      <c r="H137" s="747">
        <f>2340.106</f>
        <v>2340.1060000000002</v>
      </c>
      <c r="I137" s="745"/>
      <c r="J137" s="746"/>
      <c r="K137" s="746"/>
      <c r="L137" s="674"/>
      <c r="M137" s="633"/>
      <c r="N137" s="613"/>
      <c r="O137" s="591"/>
      <c r="P137" s="591"/>
      <c r="Q137" s="591"/>
      <c r="R137" s="591"/>
      <c r="S137" s="591"/>
      <c r="T137" s="645"/>
      <c r="U137" s="645"/>
      <c r="V137" s="645"/>
      <c r="W137" s="645"/>
      <c r="X137" s="645"/>
      <c r="Y137" s="645"/>
      <c r="Z137" s="645"/>
      <c r="AA137" s="645"/>
      <c r="AB137" s="645"/>
      <c r="AC137" s="591"/>
      <c r="AD137" s="591"/>
      <c r="AE137" s="591"/>
      <c r="AF137" s="591"/>
      <c r="AG137" s="591"/>
      <c r="AH137" s="591"/>
      <c r="AI137" s="591"/>
      <c r="AJ137" s="591"/>
      <c r="AK137" s="591"/>
      <c r="AL137" s="591"/>
      <c r="AM137" s="591"/>
      <c r="AN137" s="591"/>
      <c r="AO137" s="591"/>
      <c r="AP137" s="591"/>
      <c r="AQ137" s="591"/>
      <c r="AR137" s="591"/>
    </row>
    <row r="138" spans="2:54" s="496" customFormat="1">
      <c r="B138" s="1309" t="s">
        <v>560</v>
      </c>
      <c r="C138" s="1310"/>
      <c r="D138" s="1310"/>
      <c r="E138" s="1310"/>
      <c r="F138" s="1310"/>
      <c r="G138" s="1311"/>
      <c r="H138" s="741">
        <f>H137-2769.221</f>
        <v>-429.11499999999978</v>
      </c>
      <c r="I138" s="641"/>
      <c r="J138" s="642"/>
      <c r="K138" s="642"/>
      <c r="L138" s="499"/>
      <c r="M138" s="613"/>
      <c r="N138" s="613"/>
      <c r="O138" s="613"/>
      <c r="P138" s="613"/>
      <c r="Q138" s="613"/>
      <c r="R138" s="613"/>
      <c r="S138" s="616"/>
      <c r="T138" s="616"/>
      <c r="U138" s="616"/>
      <c r="V138" s="616"/>
      <c r="W138" s="616"/>
      <c r="X138" s="616"/>
      <c r="Y138" s="616"/>
      <c r="Z138" s="616"/>
      <c r="AA138" s="616"/>
      <c r="AB138" s="613"/>
      <c r="AC138" s="613"/>
      <c r="AD138" s="613"/>
      <c r="AE138" s="613"/>
      <c r="AF138" s="613"/>
      <c r="AG138" s="613"/>
      <c r="AH138" s="613"/>
      <c r="AI138" s="613"/>
      <c r="AJ138" s="613"/>
      <c r="AK138" s="613"/>
      <c r="AL138" s="613"/>
      <c r="AM138" s="613"/>
      <c r="AN138" s="613"/>
      <c r="AO138" s="613"/>
      <c r="AP138" s="613"/>
      <c r="AQ138" s="613"/>
    </row>
    <row r="139" spans="2:54">
      <c r="B139" s="613"/>
      <c r="C139" s="613"/>
      <c r="D139" s="613"/>
      <c r="E139" s="613"/>
      <c r="F139" s="613"/>
      <c r="G139" s="613"/>
      <c r="H139" s="613"/>
      <c r="I139" s="643"/>
      <c r="J139" s="641"/>
      <c r="K139" s="641"/>
      <c r="L139" s="644"/>
      <c r="M139" s="613"/>
      <c r="N139" s="613"/>
      <c r="O139" s="641"/>
      <c r="P139" s="591"/>
      <c r="Q139" s="591"/>
      <c r="R139" s="591"/>
      <c r="S139" s="591"/>
      <c r="T139" s="645"/>
      <c r="U139" s="645"/>
      <c r="V139" s="645"/>
      <c r="W139" s="645"/>
      <c r="X139" s="645"/>
      <c r="Y139" s="645"/>
      <c r="Z139" s="645"/>
      <c r="AA139" s="645"/>
      <c r="AB139" s="645"/>
      <c r="AC139" s="591"/>
      <c r="AD139" s="591"/>
      <c r="AE139" s="591"/>
      <c r="AF139" s="591"/>
      <c r="AG139" s="591"/>
      <c r="AH139" s="591"/>
      <c r="AI139" s="591"/>
      <c r="AJ139" s="591"/>
      <c r="AK139" s="591"/>
      <c r="AL139" s="591"/>
      <c r="AM139" s="591"/>
      <c r="AN139" s="591"/>
      <c r="AO139" s="591"/>
      <c r="AP139" s="591"/>
      <c r="AQ139" s="591"/>
      <c r="AR139" s="591"/>
    </row>
    <row r="140" spans="2:54">
      <c r="B140" s="619" t="s">
        <v>561</v>
      </c>
      <c r="C140" s="619"/>
      <c r="D140" s="591"/>
      <c r="E140" s="591"/>
      <c r="F140" s="591"/>
      <c r="G140" s="591"/>
      <c r="H140" s="591"/>
      <c r="I140" s="591"/>
      <c r="J140" s="646"/>
      <c r="K140" s="646"/>
      <c r="L140" s="647"/>
      <c r="M140" s="591"/>
      <c r="N140" s="613"/>
      <c r="O140" s="646"/>
      <c r="P140" s="616"/>
      <c r="Q140" s="616"/>
      <c r="R140" s="616"/>
      <c r="S140" s="616"/>
      <c r="T140" s="616"/>
      <c r="U140" s="616"/>
      <c r="V140" s="616"/>
      <c r="W140" s="616"/>
      <c r="X140" s="616"/>
      <c r="Y140" s="616"/>
      <c r="Z140" s="616"/>
      <c r="AA140" s="616"/>
      <c r="AB140" s="613"/>
      <c r="AC140" s="613"/>
      <c r="AD140" s="613"/>
      <c r="AE140" s="613"/>
      <c r="AF140" s="613"/>
      <c r="AG140" s="613"/>
      <c r="AH140" s="613"/>
      <c r="AI140" s="613"/>
      <c r="AJ140" s="613"/>
      <c r="AK140" s="613"/>
      <c r="AL140" s="613"/>
      <c r="AM140" s="613"/>
      <c r="AN140" s="613"/>
      <c r="AO140" s="613"/>
      <c r="AP140" s="613"/>
      <c r="AQ140" s="613"/>
      <c r="AR140" s="613"/>
      <c r="AS140" s="613"/>
      <c r="AT140" s="613"/>
      <c r="AU140" s="613"/>
      <c r="BB140" s="613"/>
    </row>
    <row r="141" spans="2:54" ht="12.75" customHeight="1">
      <c r="B141" s="422">
        <v>1</v>
      </c>
      <c r="C141" s="1249" t="s">
        <v>3698</v>
      </c>
      <c r="D141" s="1249"/>
      <c r="E141" s="1249"/>
      <c r="F141" s="1249"/>
      <c r="G141" s="1249"/>
      <c r="H141" s="1249"/>
      <c r="I141" s="1249"/>
      <c r="J141" s="1249"/>
      <c r="K141" s="1249"/>
      <c r="L141" s="644"/>
      <c r="M141" s="644"/>
      <c r="N141" s="613"/>
      <c r="O141" s="641"/>
      <c r="P141" s="616"/>
      <c r="Q141" s="616"/>
      <c r="R141" s="616"/>
      <c r="S141" s="616"/>
      <c r="T141" s="616"/>
      <c r="U141" s="616"/>
      <c r="V141" s="616"/>
      <c r="W141" s="616"/>
      <c r="X141" s="616"/>
      <c r="Y141" s="616"/>
      <c r="Z141" s="616"/>
      <c r="AA141" s="616"/>
      <c r="AB141" s="613"/>
      <c r="AC141" s="613"/>
      <c r="AD141" s="613"/>
      <c r="AE141" s="613"/>
      <c r="AF141" s="613"/>
      <c r="AG141" s="613"/>
      <c r="AH141" s="613"/>
      <c r="AI141" s="613"/>
      <c r="AJ141" s="613"/>
      <c r="AK141" s="613"/>
      <c r="AL141" s="613"/>
      <c r="AM141" s="613"/>
      <c r="AN141" s="613"/>
      <c r="AO141" s="613"/>
      <c r="AP141" s="613"/>
      <c r="AQ141" s="613"/>
      <c r="AR141" s="613"/>
      <c r="AS141" s="613"/>
      <c r="AT141" s="613"/>
      <c r="AU141" s="613"/>
      <c r="AV141" s="613"/>
      <c r="AW141" s="613"/>
      <c r="AX141" s="613"/>
      <c r="AY141" s="613"/>
      <c r="AZ141" s="613"/>
      <c r="BA141" s="613"/>
      <c r="BB141" s="613"/>
    </row>
    <row r="143" spans="2:54">
      <c r="B143" s="28" t="s">
        <v>126</v>
      </c>
      <c r="C143" s="28"/>
      <c r="D143" s="614"/>
      <c r="E143" s="30" t="s">
        <v>511</v>
      </c>
      <c r="F143" s="31" t="s">
        <v>3090</v>
      </c>
      <c r="G143" s="591"/>
      <c r="H143" s="33"/>
      <c r="I143" s="615"/>
      <c r="J143" s="35" t="s">
        <v>513</v>
      </c>
      <c r="K143" s="36" t="s">
        <v>511</v>
      </c>
      <c r="L143" s="516">
        <v>45215.432638888888</v>
      </c>
      <c r="M143" s="591"/>
      <c r="N143" s="591"/>
      <c r="O143" s="206"/>
      <c r="P143" s="205"/>
      <c r="Q143" s="616"/>
      <c r="R143" s="204"/>
      <c r="S143" s="617"/>
      <c r="T143" s="613"/>
      <c r="U143" s="613"/>
      <c r="V143" s="613"/>
      <c r="W143" s="613"/>
      <c r="X143" s="613"/>
      <c r="Y143" s="613"/>
      <c r="Z143" s="613"/>
      <c r="AA143" s="613"/>
      <c r="AB143" s="616"/>
      <c r="AC143" s="616"/>
      <c r="AD143" s="616"/>
      <c r="AE143" s="616"/>
      <c r="AF143" s="616"/>
      <c r="AG143" s="613"/>
      <c r="AH143" s="613"/>
      <c r="AI143" s="613"/>
      <c r="AJ143" s="613"/>
      <c r="AK143" s="613"/>
      <c r="AL143" s="613"/>
      <c r="AM143" s="613"/>
      <c r="AN143" s="613"/>
      <c r="AO143" s="613"/>
      <c r="AP143" s="613"/>
      <c r="AQ143" s="613"/>
      <c r="AR143" s="613"/>
      <c r="AS143" s="613"/>
      <c r="AT143" s="613"/>
      <c r="AU143" s="613"/>
      <c r="AV143" s="613"/>
      <c r="AW143" s="613"/>
      <c r="AX143" s="613"/>
      <c r="AY143" s="613"/>
      <c r="AZ143" s="613"/>
      <c r="BA143" s="613"/>
      <c r="BB143" s="613"/>
    </row>
    <row r="144" spans="2:54">
      <c r="B144" s="35" t="s">
        <v>514</v>
      </c>
      <c r="C144" s="35"/>
      <c r="D144" s="591"/>
      <c r="E144" s="36" t="s">
        <v>511</v>
      </c>
      <c r="F144" s="311" t="s">
        <v>3699</v>
      </c>
      <c r="G144" s="591"/>
      <c r="H144" s="33"/>
      <c r="I144" s="615"/>
      <c r="J144" s="35" t="s">
        <v>516</v>
      </c>
      <c r="K144" s="36" t="s">
        <v>511</v>
      </c>
      <c r="L144" s="516">
        <v>45216.939583333333</v>
      </c>
      <c r="M144" s="591"/>
      <c r="N144" s="591"/>
      <c r="O144" s="206"/>
      <c r="P144" s="205"/>
      <c r="Q144" s="616"/>
      <c r="R144" s="204"/>
      <c r="S144" s="617"/>
      <c r="T144" s="613"/>
      <c r="U144" s="613"/>
      <c r="V144" s="613"/>
      <c r="W144" s="613"/>
      <c r="X144" s="613"/>
      <c r="Y144" s="613"/>
      <c r="Z144" s="613"/>
      <c r="AA144" s="613"/>
      <c r="AB144" s="616"/>
      <c r="AC144" s="616"/>
      <c r="AD144" s="616"/>
      <c r="AE144" s="616"/>
      <c r="AF144" s="616"/>
      <c r="AG144" s="613"/>
      <c r="AH144" s="613"/>
      <c r="AI144" s="613"/>
      <c r="AJ144" s="613"/>
      <c r="AK144" s="613"/>
      <c r="AL144" s="613"/>
      <c r="AM144" s="613"/>
      <c r="AN144" s="613"/>
      <c r="AO144" s="613"/>
      <c r="AP144" s="613"/>
      <c r="AQ144" s="613"/>
      <c r="AR144" s="613"/>
      <c r="AS144" s="613"/>
      <c r="AT144" s="613"/>
      <c r="AU144" s="613"/>
      <c r="AV144" s="613"/>
      <c r="AW144" s="613"/>
      <c r="AX144" s="613"/>
      <c r="AY144" s="613"/>
      <c r="AZ144" s="613"/>
      <c r="BA144" s="613"/>
      <c r="BB144" s="613"/>
    </row>
    <row r="145" spans="2:54">
      <c r="B145" s="35" t="s">
        <v>517</v>
      </c>
      <c r="C145" s="35"/>
      <c r="D145" s="591"/>
      <c r="E145" s="36" t="s">
        <v>511</v>
      </c>
      <c r="F145" s="37">
        <v>45196.212500000001</v>
      </c>
      <c r="G145" s="591"/>
      <c r="H145" s="33"/>
      <c r="I145" s="615"/>
      <c r="J145" s="35" t="s">
        <v>518</v>
      </c>
      <c r="K145" s="36" t="s">
        <v>511</v>
      </c>
      <c r="L145" s="692">
        <v>83656</v>
      </c>
      <c r="M145" s="619" t="s">
        <v>519</v>
      </c>
      <c r="N145" s="619"/>
      <c r="O145" s="206"/>
      <c r="P145" s="205"/>
      <c r="Q145" s="616"/>
      <c r="R145" s="204"/>
      <c r="S145" s="617"/>
      <c r="T145" s="613"/>
      <c r="U145" s="613"/>
      <c r="V145" s="613"/>
      <c r="W145" s="613"/>
      <c r="X145" s="613"/>
      <c r="Y145" s="613"/>
      <c r="Z145" s="613"/>
      <c r="AA145" s="613"/>
      <c r="AB145" s="616"/>
      <c r="AC145" s="616"/>
      <c r="AD145" s="616"/>
      <c r="AE145" s="616"/>
      <c r="AF145" s="616"/>
      <c r="AG145" s="613"/>
      <c r="AH145" s="613"/>
      <c r="AI145" s="613"/>
      <c r="AJ145" s="613"/>
      <c r="AK145" s="613"/>
      <c r="AL145" s="613"/>
      <c r="AM145" s="613"/>
      <c r="AN145" s="613"/>
      <c r="AO145" s="613"/>
      <c r="AP145" s="613"/>
      <c r="AQ145" s="613"/>
      <c r="AR145" s="613"/>
      <c r="AS145" s="613"/>
      <c r="AT145" s="613"/>
      <c r="AU145" s="613"/>
      <c r="AV145" s="613"/>
      <c r="AW145" s="613"/>
      <c r="AX145" s="613"/>
      <c r="AY145" s="613"/>
      <c r="AZ145" s="613"/>
      <c r="BA145" s="613"/>
      <c r="BB145" s="613"/>
    </row>
    <row r="146" spans="2:54">
      <c r="B146" s="35" t="s">
        <v>520</v>
      </c>
      <c r="C146" s="35"/>
      <c r="D146" s="591"/>
      <c r="E146" s="36" t="s">
        <v>511</v>
      </c>
      <c r="F146" s="37" t="s">
        <v>20</v>
      </c>
      <c r="G146" s="591"/>
      <c r="H146" s="33"/>
      <c r="I146" s="615"/>
      <c r="J146" s="35" t="s">
        <v>521</v>
      </c>
      <c r="K146" s="36" t="s">
        <v>511</v>
      </c>
      <c r="L146" s="758" t="s">
        <v>3091</v>
      </c>
      <c r="M146" s="591"/>
      <c r="N146" s="591"/>
      <c r="O146" s="206"/>
      <c r="P146" s="616"/>
      <c r="Q146" s="616"/>
      <c r="R146" s="204"/>
      <c r="S146" s="617"/>
      <c r="T146" s="613"/>
      <c r="U146" s="613"/>
      <c r="V146" s="613"/>
      <c r="W146" s="613"/>
      <c r="X146" s="613"/>
      <c r="Y146" s="613"/>
      <c r="Z146" s="613"/>
      <c r="AA146" s="613"/>
      <c r="AB146" s="616"/>
      <c r="AC146" s="616"/>
      <c r="AD146" s="616"/>
      <c r="AE146" s="616"/>
      <c r="AF146" s="616"/>
      <c r="AG146" s="613"/>
      <c r="AH146" s="613"/>
      <c r="AI146" s="613"/>
      <c r="AJ146" s="613"/>
      <c r="AK146" s="613"/>
      <c r="AL146" s="613"/>
      <c r="AM146" s="613"/>
      <c r="AN146" s="613"/>
      <c r="AO146" s="613"/>
      <c r="AP146" s="613"/>
      <c r="AQ146" s="613"/>
      <c r="AR146" s="613"/>
      <c r="AS146" s="613"/>
      <c r="AT146" s="613"/>
      <c r="AU146" s="613"/>
      <c r="AV146" s="613"/>
      <c r="AW146" s="613"/>
      <c r="AX146" s="613"/>
      <c r="AY146" s="613"/>
      <c r="AZ146" s="613"/>
      <c r="BA146" s="613"/>
      <c r="BB146" s="613"/>
    </row>
    <row r="147" spans="2:54">
      <c r="B147" s="35" t="s">
        <v>523</v>
      </c>
      <c r="C147" s="35"/>
      <c r="D147" s="591"/>
      <c r="E147" s="36" t="s">
        <v>511</v>
      </c>
      <c r="F147" s="37" t="s">
        <v>47</v>
      </c>
      <c r="G147" s="591"/>
      <c r="H147" s="33"/>
      <c r="I147" s="615"/>
      <c r="J147" s="35" t="s">
        <v>524</v>
      </c>
      <c r="K147" s="36" t="s">
        <v>511</v>
      </c>
      <c r="L147" s="621" t="s">
        <v>11</v>
      </c>
      <c r="M147" s="611"/>
      <c r="N147" s="611"/>
      <c r="O147" s="206"/>
      <c r="P147" s="205"/>
      <c r="Q147" s="616"/>
      <c r="R147" s="204"/>
      <c r="S147" s="617"/>
      <c r="T147" s="613"/>
      <c r="U147" s="613"/>
      <c r="V147" s="613"/>
      <c r="W147" s="613"/>
      <c r="X147" s="613"/>
      <c r="Y147" s="613"/>
      <c r="Z147" s="613"/>
      <c r="AA147" s="613"/>
      <c r="AB147" s="616"/>
      <c r="AC147" s="616"/>
      <c r="AD147" s="616"/>
      <c r="AE147" s="616"/>
      <c r="AF147" s="616"/>
      <c r="AG147" s="613"/>
      <c r="AH147" s="613"/>
      <c r="AI147" s="613"/>
      <c r="AJ147" s="613"/>
      <c r="AK147" s="613"/>
      <c r="AL147" s="613"/>
      <c r="AM147" s="613"/>
      <c r="AN147" s="613"/>
      <c r="AO147" s="613"/>
      <c r="AP147" s="613"/>
      <c r="AQ147" s="613"/>
      <c r="AR147" s="613"/>
      <c r="AS147" s="613"/>
      <c r="AT147" s="613"/>
      <c r="AU147" s="613"/>
      <c r="AV147" s="613"/>
      <c r="AW147" s="613"/>
      <c r="AX147" s="613"/>
      <c r="AY147" s="613"/>
      <c r="AZ147" s="613"/>
      <c r="BA147" s="613"/>
      <c r="BB147" s="613"/>
    </row>
    <row r="148" spans="2:54">
      <c r="B148" s="35" t="s">
        <v>2</v>
      </c>
      <c r="C148" s="35"/>
      <c r="D148" s="591"/>
      <c r="E148" s="36" t="s">
        <v>511</v>
      </c>
      <c r="F148" s="37" t="s">
        <v>14</v>
      </c>
      <c r="G148" s="591"/>
      <c r="H148" s="33"/>
      <c r="I148" s="622"/>
      <c r="J148" s="35"/>
      <c r="K148" s="36"/>
      <c r="L148" s="211"/>
      <c r="M148" s="613"/>
      <c r="N148" s="613"/>
      <c r="O148" s="35"/>
      <c r="P148" s="611"/>
      <c r="Q148" s="611"/>
      <c r="R148" s="611"/>
      <c r="S148" s="615"/>
      <c r="T148" s="613"/>
      <c r="U148" s="613"/>
      <c r="V148" s="613"/>
      <c r="W148" s="613"/>
      <c r="X148" s="613"/>
      <c r="Y148" s="613"/>
      <c r="Z148" s="613"/>
      <c r="AA148" s="613"/>
      <c r="AB148" s="615"/>
      <c r="AC148" s="615"/>
      <c r="AD148" s="615"/>
      <c r="AE148" s="615"/>
      <c r="AF148" s="615"/>
      <c r="AG148" s="615"/>
      <c r="AH148" s="615"/>
      <c r="AI148" s="615"/>
      <c r="AJ148" s="615"/>
      <c r="AK148" s="615"/>
      <c r="AL148" s="615"/>
      <c r="AM148" s="615"/>
      <c r="AN148" s="615"/>
      <c r="AO148" s="613"/>
      <c r="AP148" s="613"/>
      <c r="AQ148" s="613"/>
      <c r="AR148" s="613"/>
      <c r="AS148" s="613"/>
      <c r="AT148" s="613"/>
      <c r="AU148" s="613"/>
      <c r="AV148" s="613"/>
      <c r="AW148" s="613"/>
      <c r="AX148" s="613"/>
      <c r="AY148" s="613"/>
      <c r="AZ148" s="613"/>
      <c r="BA148" s="613"/>
      <c r="BB148" s="613"/>
    </row>
    <row r="149" spans="2:54" ht="15" customHeight="1">
      <c r="B149" s="613"/>
      <c r="C149" s="613"/>
      <c r="D149" s="613"/>
      <c r="E149" s="613"/>
      <c r="F149" s="613"/>
      <c r="G149" s="613"/>
      <c r="H149" s="613"/>
      <c r="I149" s="622"/>
      <c r="J149" s="35"/>
      <c r="K149" s="35"/>
      <c r="L149" s="621"/>
      <c r="M149" s="611"/>
      <c r="N149" s="611"/>
      <c r="O149" s="35"/>
      <c r="P149" s="611"/>
      <c r="Q149" s="611"/>
      <c r="R149" s="611"/>
      <c r="S149" s="615"/>
      <c r="T149" s="1317" t="s">
        <v>87</v>
      </c>
      <c r="U149" s="1317"/>
      <c r="V149" s="1317"/>
      <c r="W149" s="1317"/>
      <c r="X149" s="1317"/>
      <c r="Y149" s="1317" t="s">
        <v>73</v>
      </c>
      <c r="Z149" s="1317"/>
      <c r="AA149" s="1317"/>
      <c r="AB149" s="1317" t="s">
        <v>74</v>
      </c>
      <c r="AC149" s="1317"/>
      <c r="AD149" s="623" t="s">
        <v>85</v>
      </c>
      <c r="AE149" s="623" t="s">
        <v>77</v>
      </c>
      <c r="AF149" s="1317" t="s">
        <v>525</v>
      </c>
      <c r="AG149" s="1317"/>
      <c r="AH149" s="1317"/>
      <c r="AI149" s="1317"/>
      <c r="AJ149" s="1317"/>
      <c r="AK149" s="1317"/>
      <c r="AL149" s="1317"/>
      <c r="AM149" s="1317"/>
      <c r="AN149" s="1317"/>
      <c r="AO149" s="1317"/>
      <c r="AP149" s="1317"/>
      <c r="AQ149" s="1317"/>
      <c r="AR149" s="1317"/>
      <c r="AS149" s="1317"/>
      <c r="AT149" s="1317"/>
      <c r="AU149" s="1317"/>
      <c r="AV149" s="1317"/>
      <c r="AW149" s="1317"/>
      <c r="AX149" s="1317"/>
      <c r="AY149" s="1317"/>
      <c r="AZ149" s="1317"/>
      <c r="BA149" s="1317"/>
      <c r="BB149" s="613"/>
    </row>
    <row r="150" spans="2:54" ht="15" customHeight="1">
      <c r="B150" s="1318" t="s">
        <v>526</v>
      </c>
      <c r="C150" s="1319"/>
      <c r="D150" s="624" t="s">
        <v>527</v>
      </c>
      <c r="E150" s="624"/>
      <c r="F150" s="624" t="s">
        <v>528</v>
      </c>
      <c r="G150" s="624" t="s">
        <v>529</v>
      </c>
      <c r="H150" s="624" t="s">
        <v>530</v>
      </c>
      <c r="I150" s="624" t="s">
        <v>531</v>
      </c>
      <c r="J150" s="624" t="s">
        <v>532</v>
      </c>
      <c r="K150" s="624"/>
      <c r="L150" s="624" t="s">
        <v>130</v>
      </c>
      <c r="M150" s="624" t="s">
        <v>533</v>
      </c>
      <c r="N150" s="625" t="str">
        <f>"On time - "&amp;COUNTIF(N151:N164,"On time")&amp;" from "&amp;ROWS(N151:N164)-COUNTIF(N151:N164," ")</f>
        <v>On time - 0 from 12</v>
      </c>
      <c r="O150" s="626"/>
      <c r="P150" s="627" t="s">
        <v>534</v>
      </c>
      <c r="Q150" s="627" t="s">
        <v>535</v>
      </c>
      <c r="R150" s="627" t="s">
        <v>903</v>
      </c>
      <c r="S150" s="591"/>
      <c r="T150" s="628" t="s">
        <v>537</v>
      </c>
      <c r="U150" s="628" t="s">
        <v>538</v>
      </c>
      <c r="V150" s="628" t="s">
        <v>539</v>
      </c>
      <c r="W150" s="628" t="s">
        <v>540</v>
      </c>
      <c r="X150" s="628" t="s">
        <v>541</v>
      </c>
      <c r="Y150" s="628" t="s">
        <v>167</v>
      </c>
      <c r="Z150" s="628" t="s">
        <v>168</v>
      </c>
      <c r="AA150" s="628" t="s">
        <v>169</v>
      </c>
      <c r="AB150" s="628" t="s">
        <v>235</v>
      </c>
      <c r="AC150" s="628" t="s">
        <v>240</v>
      </c>
      <c r="AD150" s="623" t="s">
        <v>85</v>
      </c>
      <c r="AE150" s="628" t="s">
        <v>139</v>
      </c>
      <c r="AF150" s="628" t="s">
        <v>72</v>
      </c>
      <c r="AG150" s="628" t="s">
        <v>88</v>
      </c>
      <c r="AH150" s="628" t="s">
        <v>75</v>
      </c>
      <c r="AI150" s="628" t="s">
        <v>543</v>
      </c>
      <c r="AJ150" s="628" t="s">
        <v>78</v>
      </c>
      <c r="AK150" s="628" t="s">
        <v>76</v>
      </c>
      <c r="AL150" s="628" t="s">
        <v>544</v>
      </c>
      <c r="AM150" s="628" t="s">
        <v>545</v>
      </c>
      <c r="AN150" s="628" t="s">
        <v>86</v>
      </c>
      <c r="AO150" s="628" t="s">
        <v>83</v>
      </c>
      <c r="AP150" s="628" t="s">
        <v>84</v>
      </c>
      <c r="AQ150" s="628" t="s">
        <v>546</v>
      </c>
      <c r="AR150" s="628" t="s">
        <v>81</v>
      </c>
      <c r="AS150" s="628" t="s">
        <v>80</v>
      </c>
      <c r="AT150" s="628" t="s">
        <v>82</v>
      </c>
      <c r="AU150" s="628" t="s">
        <v>181</v>
      </c>
      <c r="AV150" s="628" t="s">
        <v>183</v>
      </c>
      <c r="AW150" s="628" t="s">
        <v>547</v>
      </c>
      <c r="AX150" s="628" t="s">
        <v>182</v>
      </c>
      <c r="AY150" s="628" t="s">
        <v>172</v>
      </c>
      <c r="AZ150" s="628" t="s">
        <v>173</v>
      </c>
      <c r="BA150" s="628" t="s">
        <v>184</v>
      </c>
      <c r="BB150" s="613"/>
    </row>
    <row r="151" spans="2:54" ht="12.75" customHeight="1">
      <c r="B151" s="1315" t="s">
        <v>548</v>
      </c>
      <c r="C151" s="1316"/>
      <c r="D151" s="501" t="s">
        <v>3443</v>
      </c>
      <c r="E151" s="748"/>
      <c r="F151" s="749" t="s">
        <v>298</v>
      </c>
      <c r="G151" s="749" t="s">
        <v>299</v>
      </c>
      <c r="H151" s="629">
        <v>8229.9</v>
      </c>
      <c r="I151" s="505" t="s">
        <v>494</v>
      </c>
      <c r="J151" s="504">
        <v>45209.125</v>
      </c>
      <c r="K151" s="504"/>
      <c r="L151" s="504" t="s">
        <v>192</v>
      </c>
      <c r="M151" s="504" t="s">
        <v>192</v>
      </c>
      <c r="N151" s="505" t="str">
        <f t="shared" ref="N151:N164" si="14">IF(ISBLANK(J151)," ",IF(J151&lt;$F$145,"On time",(IF(DAY(J151-$F$145)&lt;1,"On time",(IF(J151&gt;$F$145,"DELAY ( "&amp;DAY(J151-$F$145)&amp;" day "&amp;HOUR(J151-$F$145)&amp;" hour "&amp;MINUTE(J151-$F$145)&amp;" minute )","xxx"))))))</f>
        <v>DELAY ( 12 day 21 hour 54 minute )</v>
      </c>
      <c r="O151" s="597"/>
      <c r="P151" s="507" t="s">
        <v>551</v>
      </c>
      <c r="Q151" s="507" t="s">
        <v>551</v>
      </c>
      <c r="R151" s="507" t="s">
        <v>551</v>
      </c>
      <c r="S151" s="598"/>
      <c r="T151" s="599"/>
      <c r="U151" s="599"/>
      <c r="V151" s="599"/>
      <c r="W151" s="599"/>
      <c r="X151" s="599"/>
      <c r="Y151" s="599">
        <f>H151</f>
        <v>8229.9</v>
      </c>
      <c r="Z151" s="599"/>
      <c r="AA151" s="599"/>
      <c r="AB151" s="599"/>
      <c r="AC151" s="599"/>
      <c r="AD151" s="599"/>
      <c r="AE151" s="599"/>
      <c r="AF151" s="599"/>
      <c r="AG151" s="599"/>
      <c r="AH151" s="599"/>
      <c r="AI151" s="599"/>
      <c r="AJ151" s="599"/>
      <c r="AK151" s="599"/>
      <c r="AL151" s="599"/>
      <c r="AM151" s="599"/>
      <c r="AN151" s="599"/>
      <c r="AO151" s="599"/>
      <c r="AP151" s="599"/>
      <c r="AQ151" s="599"/>
      <c r="AR151" s="599"/>
      <c r="AS151" s="599"/>
      <c r="AT151" s="598"/>
      <c r="AU151" s="599"/>
      <c r="AV151" s="599"/>
      <c r="AW151" s="599"/>
      <c r="AX151" s="599"/>
      <c r="AY151" s="599"/>
      <c r="AZ151" s="599"/>
      <c r="BA151" s="599"/>
      <c r="BB151" s="598"/>
    </row>
    <row r="152" spans="2:54" ht="12.75" customHeight="1">
      <c r="B152" s="1315" t="s">
        <v>548</v>
      </c>
      <c r="C152" s="1316"/>
      <c r="D152" s="501" t="s">
        <v>3449</v>
      </c>
      <c r="E152" s="748"/>
      <c r="F152" s="749" t="s">
        <v>383</v>
      </c>
      <c r="G152" s="749" t="s">
        <v>384</v>
      </c>
      <c r="H152" s="629">
        <v>5242.3220000000001</v>
      </c>
      <c r="I152" s="505" t="s">
        <v>494</v>
      </c>
      <c r="J152" s="504">
        <v>45211.291666666664</v>
      </c>
      <c r="K152" s="504"/>
      <c r="L152" s="504" t="s">
        <v>192</v>
      </c>
      <c r="M152" s="504" t="s">
        <v>192</v>
      </c>
      <c r="N152" s="505" t="str">
        <f t="shared" si="14"/>
        <v>DELAY ( 15 day 1 hour 54 minute )</v>
      </c>
      <c r="O152" s="597"/>
      <c r="P152" s="507" t="s">
        <v>551</v>
      </c>
      <c r="Q152" s="507" t="s">
        <v>551</v>
      </c>
      <c r="R152" s="507" t="s">
        <v>551</v>
      </c>
      <c r="S152" s="598"/>
      <c r="T152" s="599"/>
      <c r="U152" s="599"/>
      <c r="V152" s="599"/>
      <c r="W152" s="599"/>
      <c r="X152" s="599"/>
      <c r="Y152" s="599">
        <f>H152</f>
        <v>5242.3220000000001</v>
      </c>
      <c r="Z152" s="599"/>
      <c r="AA152" s="599"/>
      <c r="AB152" s="599"/>
      <c r="AC152" s="599"/>
      <c r="AD152" s="599"/>
      <c r="AE152" s="599"/>
      <c r="AF152" s="599"/>
      <c r="AG152" s="599"/>
      <c r="AH152" s="599"/>
      <c r="AI152" s="599"/>
      <c r="AJ152" s="599"/>
      <c r="AK152" s="599"/>
      <c r="AL152" s="599"/>
      <c r="AM152" s="599"/>
      <c r="AN152" s="599"/>
      <c r="AO152" s="599"/>
      <c r="AP152" s="599"/>
      <c r="AQ152" s="599"/>
      <c r="AR152" s="599"/>
      <c r="AS152" s="599"/>
      <c r="AT152" s="599"/>
      <c r="AU152" s="599"/>
      <c r="AV152" s="599"/>
      <c r="AW152" s="599"/>
      <c r="AX152" s="599"/>
      <c r="AY152" s="599"/>
      <c r="AZ152" s="599"/>
      <c r="BA152" s="599"/>
      <c r="BB152" s="598"/>
    </row>
    <row r="153" spans="2:54" ht="12.75" customHeight="1">
      <c r="B153" s="1315" t="s">
        <v>548</v>
      </c>
      <c r="C153" s="1316"/>
      <c r="D153" s="501" t="s">
        <v>3303</v>
      </c>
      <c r="E153" s="748"/>
      <c r="F153" s="749" t="s">
        <v>422</v>
      </c>
      <c r="G153" s="749" t="s">
        <v>375</v>
      </c>
      <c r="H153" s="629">
        <v>6700.6509999999998</v>
      </c>
      <c r="I153" s="505" t="s">
        <v>240</v>
      </c>
      <c r="J153" s="504">
        <v>45210.048611111109</v>
      </c>
      <c r="K153" s="504"/>
      <c r="L153" s="504" t="s">
        <v>192</v>
      </c>
      <c r="M153" s="504" t="s">
        <v>192</v>
      </c>
      <c r="N153" s="505" t="str">
        <f t="shared" si="14"/>
        <v>DELAY ( 13 day 20 hour 4 minute )</v>
      </c>
      <c r="O153" s="597"/>
      <c r="P153" s="507" t="s">
        <v>551</v>
      </c>
      <c r="Q153" s="507" t="s">
        <v>551</v>
      </c>
      <c r="R153" s="507" t="s">
        <v>551</v>
      </c>
      <c r="S153" s="598"/>
      <c r="T153" s="599"/>
      <c r="U153" s="599"/>
      <c r="V153" s="599"/>
      <c r="W153" s="599"/>
      <c r="X153" s="599"/>
      <c r="Y153" s="599"/>
      <c r="Z153" s="599"/>
      <c r="AA153" s="599"/>
      <c r="AB153" s="599"/>
      <c r="AC153" s="599">
        <f>H153</f>
        <v>6700.6509999999998</v>
      </c>
      <c r="AD153" s="599"/>
      <c r="AE153" s="599"/>
      <c r="AF153" s="599"/>
      <c r="AG153" s="599"/>
      <c r="AH153" s="599"/>
      <c r="AI153" s="599"/>
      <c r="AJ153" s="599"/>
      <c r="AK153" s="599"/>
      <c r="AL153" s="599"/>
      <c r="AM153" s="599"/>
      <c r="AN153" s="599"/>
      <c r="AO153" s="599"/>
      <c r="AP153" s="599"/>
      <c r="AQ153" s="599"/>
      <c r="AR153" s="599"/>
      <c r="AS153" s="599"/>
      <c r="AT153" s="599"/>
      <c r="AU153" s="599"/>
      <c r="AV153" s="599"/>
      <c r="AW153" s="599"/>
      <c r="AX153" s="599"/>
      <c r="AY153" s="599"/>
      <c r="AZ153" s="599"/>
      <c r="BA153" s="599"/>
      <c r="BB153" s="598"/>
    </row>
    <row r="154" spans="2:54" ht="12.75" customHeight="1">
      <c r="B154" s="1315" t="s">
        <v>548</v>
      </c>
      <c r="C154" s="1316"/>
      <c r="D154" s="501" t="s">
        <v>3444</v>
      </c>
      <c r="E154" s="748"/>
      <c r="F154" s="749" t="s">
        <v>301</v>
      </c>
      <c r="G154" s="749" t="s">
        <v>302</v>
      </c>
      <c r="H154" s="629">
        <v>8108.8469999999998</v>
      </c>
      <c r="I154" s="505" t="s">
        <v>494</v>
      </c>
      <c r="J154" s="504">
        <v>45209.208333333336</v>
      </c>
      <c r="K154" s="504"/>
      <c r="L154" s="504" t="s">
        <v>192</v>
      </c>
      <c r="M154" s="504" t="s">
        <v>192</v>
      </c>
      <c r="N154" s="505" t="str">
        <f t="shared" si="14"/>
        <v>DELAY ( 12 day 23 hour 54 minute )</v>
      </c>
      <c r="O154" s="597"/>
      <c r="P154" s="507" t="s">
        <v>551</v>
      </c>
      <c r="Q154" s="507" t="s">
        <v>551</v>
      </c>
      <c r="R154" s="507" t="s">
        <v>551</v>
      </c>
      <c r="S154" s="598"/>
      <c r="T154" s="599"/>
      <c r="U154" s="599"/>
      <c r="V154" s="599"/>
      <c r="W154" s="599"/>
      <c r="X154" s="599"/>
      <c r="Y154" s="599">
        <f>H154</f>
        <v>8108.8469999999998</v>
      </c>
      <c r="Z154" s="599"/>
      <c r="AA154" s="599"/>
      <c r="AB154" s="599"/>
      <c r="AC154" s="599"/>
      <c r="AD154" s="599"/>
      <c r="AE154" s="599"/>
      <c r="AF154" s="599"/>
      <c r="AG154" s="599"/>
      <c r="AH154" s="599"/>
      <c r="AI154" s="599"/>
      <c r="AJ154" s="599"/>
      <c r="AK154" s="599"/>
      <c r="AL154" s="599"/>
      <c r="AM154" s="599"/>
      <c r="AN154" s="599"/>
      <c r="AO154" s="599"/>
      <c r="AP154" s="599"/>
      <c r="AQ154" s="599"/>
      <c r="AR154" s="599"/>
      <c r="AS154" s="599"/>
      <c r="AT154" s="599"/>
      <c r="AU154" s="599"/>
      <c r="AV154" s="599"/>
      <c r="AW154" s="599"/>
      <c r="AX154" s="599"/>
      <c r="AY154" s="599"/>
      <c r="AZ154" s="599"/>
      <c r="BA154" s="599"/>
      <c r="BB154" s="598"/>
    </row>
    <row r="155" spans="2:54" ht="12.75" customHeight="1">
      <c r="B155" s="1315" t="s">
        <v>548</v>
      </c>
      <c r="C155" s="1316"/>
      <c r="D155" s="501" t="s">
        <v>3445</v>
      </c>
      <c r="E155" s="748"/>
      <c r="F155" s="749" t="s">
        <v>2404</v>
      </c>
      <c r="G155" s="749" t="s">
        <v>2405</v>
      </c>
      <c r="H155" s="629">
        <v>7745.9160000000002</v>
      </c>
      <c r="I155" s="505" t="s">
        <v>494</v>
      </c>
      <c r="J155" s="504">
        <v>45209.5</v>
      </c>
      <c r="K155" s="504"/>
      <c r="L155" s="504" t="s">
        <v>192</v>
      </c>
      <c r="M155" s="504" t="s">
        <v>192</v>
      </c>
      <c r="N155" s="505" t="str">
        <f t="shared" si="14"/>
        <v>DELAY ( 13 day 6 hour 54 minute )</v>
      </c>
      <c r="O155" s="597"/>
      <c r="P155" s="507" t="s">
        <v>551</v>
      </c>
      <c r="Q155" s="507" t="s">
        <v>551</v>
      </c>
      <c r="R155" s="507" t="s">
        <v>551</v>
      </c>
      <c r="S155" s="598"/>
      <c r="T155" s="599"/>
      <c r="U155" s="599"/>
      <c r="V155" s="599"/>
      <c r="W155" s="599"/>
      <c r="X155" s="599"/>
      <c r="Y155" s="599">
        <f>H155</f>
        <v>7745.9160000000002</v>
      </c>
      <c r="Z155" s="599"/>
      <c r="AA155" s="599"/>
      <c r="AB155" s="599"/>
      <c r="AC155" s="599"/>
      <c r="AD155" s="599"/>
      <c r="AE155" s="599"/>
      <c r="AF155" s="599"/>
      <c r="AG155" s="599"/>
      <c r="AH155" s="599"/>
      <c r="AI155" s="599"/>
      <c r="AJ155" s="599"/>
      <c r="AK155" s="599"/>
      <c r="AL155" s="599"/>
      <c r="AM155" s="599"/>
      <c r="AN155" s="599"/>
      <c r="AO155" s="599"/>
      <c r="AP155" s="599"/>
      <c r="AQ155" s="599"/>
      <c r="AR155" s="599"/>
      <c r="AS155" s="599"/>
      <c r="AT155" s="599"/>
      <c r="AU155" s="599"/>
      <c r="AV155" s="599"/>
      <c r="AW155" s="599"/>
      <c r="AX155" s="599"/>
      <c r="AY155" s="599"/>
      <c r="AZ155" s="599"/>
      <c r="BA155" s="599"/>
      <c r="BB155" s="598"/>
    </row>
    <row r="156" spans="2:54" ht="12.75" customHeight="1">
      <c r="B156" s="1315" t="s">
        <v>548</v>
      </c>
      <c r="C156" s="1316"/>
      <c r="D156" s="501" t="s">
        <v>3302</v>
      </c>
      <c r="E156" s="748"/>
      <c r="F156" s="749" t="s">
        <v>310</v>
      </c>
      <c r="G156" s="749" t="s">
        <v>219</v>
      </c>
      <c r="H156" s="629">
        <v>7001.7219999999998</v>
      </c>
      <c r="I156" s="505" t="s">
        <v>240</v>
      </c>
      <c r="J156" s="504">
        <v>45210.305555555555</v>
      </c>
      <c r="K156" s="504"/>
      <c r="L156" s="504" t="s">
        <v>192</v>
      </c>
      <c r="M156" s="504" t="s">
        <v>192</v>
      </c>
      <c r="N156" s="505" t="str">
        <f t="shared" si="14"/>
        <v>DELAY ( 14 day 2 hour 14 minute )</v>
      </c>
      <c r="O156" s="597"/>
      <c r="P156" s="507" t="s">
        <v>551</v>
      </c>
      <c r="Q156" s="507" t="s">
        <v>551</v>
      </c>
      <c r="R156" s="507" t="s">
        <v>551</v>
      </c>
      <c r="S156" s="598"/>
      <c r="T156" s="599"/>
      <c r="U156" s="599"/>
      <c r="V156" s="599"/>
      <c r="W156" s="599"/>
      <c r="X156" s="599"/>
      <c r="Y156" s="599"/>
      <c r="Z156" s="599"/>
      <c r="AA156" s="599"/>
      <c r="AB156" s="599"/>
      <c r="AC156" s="599">
        <f>H156</f>
        <v>7001.7219999999998</v>
      </c>
      <c r="AD156" s="599"/>
      <c r="AE156" s="599"/>
      <c r="AF156" s="599"/>
      <c r="AG156" s="599"/>
      <c r="AH156" s="599"/>
      <c r="AI156" s="599"/>
      <c r="AJ156" s="599"/>
      <c r="AK156" s="599"/>
      <c r="AL156" s="599"/>
      <c r="AM156" s="599"/>
      <c r="AN156" s="599"/>
      <c r="AO156" s="599"/>
      <c r="AP156" s="599"/>
      <c r="AQ156" s="599"/>
      <c r="AR156" s="599"/>
      <c r="AS156" s="599"/>
      <c r="AT156" s="599"/>
      <c r="AU156" s="599"/>
      <c r="AV156" s="599"/>
      <c r="AW156" s="599"/>
      <c r="AX156" s="599"/>
      <c r="AY156" s="599"/>
      <c r="AZ156" s="599"/>
      <c r="BA156" s="599"/>
      <c r="BB156" s="598"/>
    </row>
    <row r="157" spans="2:54" ht="12.75" customHeight="1">
      <c r="B157" s="1315" t="s">
        <v>548</v>
      </c>
      <c r="C157" s="1316"/>
      <c r="D157" s="501" t="s">
        <v>3447</v>
      </c>
      <c r="E157" s="748"/>
      <c r="F157" s="749" t="s">
        <v>330</v>
      </c>
      <c r="G157" s="749" t="s">
        <v>331</v>
      </c>
      <c r="H157" s="629">
        <v>6818.7470000000003</v>
      </c>
      <c r="I157" s="505" t="s">
        <v>494</v>
      </c>
      <c r="J157" s="504">
        <v>45210.3125</v>
      </c>
      <c r="K157" s="504"/>
      <c r="L157" s="504" t="s">
        <v>192</v>
      </c>
      <c r="M157" s="504" t="s">
        <v>192</v>
      </c>
      <c r="N157" s="505" t="str">
        <f t="shared" si="14"/>
        <v>DELAY ( 14 day 2 hour 24 minute )</v>
      </c>
      <c r="O157" s="597"/>
      <c r="P157" s="507" t="s">
        <v>551</v>
      </c>
      <c r="Q157" s="507" t="s">
        <v>551</v>
      </c>
      <c r="R157" s="507" t="s">
        <v>551</v>
      </c>
      <c r="S157" s="598"/>
      <c r="T157" s="599"/>
      <c r="U157" s="599"/>
      <c r="V157" s="599"/>
      <c r="W157" s="599"/>
      <c r="X157" s="599"/>
      <c r="Y157" s="599">
        <f>H157</f>
        <v>6818.7470000000003</v>
      </c>
      <c r="Z157" s="599"/>
      <c r="AA157" s="599"/>
      <c r="AB157" s="599"/>
      <c r="AC157" s="599"/>
      <c r="AD157" s="599"/>
      <c r="AE157" s="599"/>
      <c r="AF157" s="599"/>
      <c r="AG157" s="599"/>
      <c r="AH157" s="599"/>
      <c r="AI157" s="599"/>
      <c r="AJ157" s="599"/>
      <c r="AK157" s="599"/>
      <c r="AL157" s="599"/>
      <c r="AM157" s="599"/>
      <c r="AN157" s="599"/>
      <c r="AO157" s="599"/>
      <c r="AP157" s="599"/>
      <c r="AQ157" s="599"/>
      <c r="AR157" s="599"/>
      <c r="AS157" s="599"/>
      <c r="AT157" s="599"/>
      <c r="AU157" s="599"/>
      <c r="AV157" s="599"/>
      <c r="AW157" s="599"/>
      <c r="AX157" s="599"/>
      <c r="AY157" s="599"/>
      <c r="AZ157" s="599"/>
      <c r="BA157" s="599"/>
      <c r="BB157" s="598"/>
    </row>
    <row r="158" spans="2:54" ht="12.75" customHeight="1">
      <c r="B158" s="1444" t="s">
        <v>548</v>
      </c>
      <c r="C158" s="1445"/>
      <c r="D158" s="750" t="s">
        <v>3300</v>
      </c>
      <c r="E158" s="751"/>
      <c r="F158" s="752" t="s">
        <v>805</v>
      </c>
      <c r="G158" s="752" t="s">
        <v>381</v>
      </c>
      <c r="H158" s="753">
        <v>7210.4870000000001</v>
      </c>
      <c r="I158" s="754" t="s">
        <v>240</v>
      </c>
      <c r="J158" s="755">
        <v>45210.315972222219</v>
      </c>
      <c r="K158" s="755"/>
      <c r="L158" s="755" t="s">
        <v>192</v>
      </c>
      <c r="M158" s="755" t="s">
        <v>192</v>
      </c>
      <c r="N158" s="505" t="str">
        <f t="shared" si="14"/>
        <v>DELAY ( 14 day 2 hour 29 minute )</v>
      </c>
      <c r="O158" s="597"/>
      <c r="P158" s="756" t="s">
        <v>551</v>
      </c>
      <c r="Q158" s="756" t="s">
        <v>551</v>
      </c>
      <c r="R158" s="756" t="s">
        <v>551</v>
      </c>
      <c r="S158" s="598"/>
      <c r="T158" s="599"/>
      <c r="U158" s="599"/>
      <c r="V158" s="599"/>
      <c r="W158" s="599"/>
      <c r="X158" s="599"/>
      <c r="Y158" s="599"/>
      <c r="Z158" s="599"/>
      <c r="AA158" s="599"/>
      <c r="AB158" s="599"/>
      <c r="AC158" s="599">
        <f>H158</f>
        <v>7210.4870000000001</v>
      </c>
      <c r="AD158" s="599"/>
      <c r="AE158" s="599"/>
      <c r="AF158" s="599"/>
      <c r="AG158" s="599"/>
      <c r="AH158" s="599"/>
      <c r="AI158" s="599"/>
      <c r="AJ158" s="599"/>
      <c r="AK158" s="599"/>
      <c r="AL158" s="599"/>
      <c r="AM158" s="599"/>
      <c r="AN158" s="599"/>
      <c r="AO158" s="599"/>
      <c r="AP158" s="599"/>
      <c r="AQ158" s="599"/>
      <c r="AR158" s="599"/>
      <c r="AS158" s="599"/>
      <c r="AT158" s="599"/>
      <c r="AU158" s="599"/>
      <c r="AV158" s="599"/>
      <c r="AW158" s="599"/>
      <c r="AX158" s="599"/>
      <c r="AY158" s="599"/>
      <c r="AZ158" s="599"/>
      <c r="BA158" s="599"/>
      <c r="BB158" s="598"/>
    </row>
    <row r="159" spans="2:54" ht="12.75" customHeight="1">
      <c r="B159" s="1444" t="s">
        <v>548</v>
      </c>
      <c r="C159" s="1445"/>
      <c r="D159" s="750" t="s">
        <v>3299</v>
      </c>
      <c r="E159" s="751"/>
      <c r="F159" s="752" t="s">
        <v>334</v>
      </c>
      <c r="G159" s="752" t="s">
        <v>335</v>
      </c>
      <c r="H159" s="753">
        <v>7248.2939999999999</v>
      </c>
      <c r="I159" s="754" t="s">
        <v>240</v>
      </c>
      <c r="J159" s="755">
        <v>45210.479166666664</v>
      </c>
      <c r="K159" s="755"/>
      <c r="L159" s="755" t="s">
        <v>192</v>
      </c>
      <c r="M159" s="755" t="s">
        <v>192</v>
      </c>
      <c r="N159" s="505" t="str">
        <f t="shared" si="14"/>
        <v>DELAY ( 14 day 6 hour 24 minute )</v>
      </c>
      <c r="O159" s="597"/>
      <c r="P159" s="756" t="s">
        <v>551</v>
      </c>
      <c r="Q159" s="756" t="s">
        <v>551</v>
      </c>
      <c r="R159" s="756" t="s">
        <v>551</v>
      </c>
      <c r="S159" s="598"/>
      <c r="T159" s="599"/>
      <c r="U159" s="599"/>
      <c r="V159" s="599"/>
      <c r="W159" s="599"/>
      <c r="X159" s="599"/>
      <c r="Y159" s="599"/>
      <c r="Z159" s="598"/>
      <c r="AA159" s="599"/>
      <c r="AB159" s="599"/>
      <c r="AC159" s="599">
        <f>H159</f>
        <v>7248.2939999999999</v>
      </c>
      <c r="AD159" s="599"/>
      <c r="AE159" s="599"/>
      <c r="AF159" s="599"/>
      <c r="AG159" s="599"/>
      <c r="AH159" s="599"/>
      <c r="AI159" s="599"/>
      <c r="AJ159" s="599"/>
      <c r="AK159" s="599"/>
      <c r="AL159" s="599"/>
      <c r="AM159" s="599"/>
      <c r="AN159" s="599"/>
      <c r="AO159" s="599"/>
      <c r="AP159" s="599"/>
      <c r="AQ159" s="599"/>
      <c r="AR159" s="599"/>
      <c r="AS159" s="599"/>
      <c r="AT159" s="599"/>
      <c r="AU159" s="599"/>
      <c r="AV159" s="599"/>
      <c r="AW159" s="599"/>
      <c r="AX159" s="599"/>
      <c r="AY159" s="599"/>
      <c r="AZ159" s="599"/>
      <c r="BA159" s="599"/>
      <c r="BB159" s="598"/>
    </row>
    <row r="160" spans="2:54" ht="12.75" customHeight="1">
      <c r="B160" s="1444" t="s">
        <v>548</v>
      </c>
      <c r="C160" s="1445"/>
      <c r="D160" s="750" t="s">
        <v>3447</v>
      </c>
      <c r="E160" s="751"/>
      <c r="F160" s="752" t="s">
        <v>367</v>
      </c>
      <c r="G160" s="752" t="s">
        <v>368</v>
      </c>
      <c r="H160" s="753">
        <v>7676.8329999999996</v>
      </c>
      <c r="I160" s="754" t="s">
        <v>494</v>
      </c>
      <c r="J160" s="755">
        <v>45210.493055555555</v>
      </c>
      <c r="K160" s="755"/>
      <c r="L160" s="755" t="s">
        <v>192</v>
      </c>
      <c r="M160" s="755" t="s">
        <v>192</v>
      </c>
      <c r="N160" s="505" t="str">
        <f t="shared" si="14"/>
        <v>DELAY ( 14 day 6 hour 44 minute )</v>
      </c>
      <c r="O160" s="597"/>
      <c r="P160" s="756" t="s">
        <v>551</v>
      </c>
      <c r="Q160" s="756" t="s">
        <v>551</v>
      </c>
      <c r="R160" s="756" t="s">
        <v>551</v>
      </c>
      <c r="S160" s="598"/>
      <c r="T160" s="599"/>
      <c r="U160" s="599"/>
      <c r="V160" s="599"/>
      <c r="W160" s="599"/>
      <c r="X160" s="599"/>
      <c r="Y160" s="599">
        <f>H160</f>
        <v>7676.8329999999996</v>
      </c>
      <c r="Z160" s="599"/>
      <c r="AA160" s="599"/>
      <c r="AB160" s="599"/>
      <c r="AC160" s="599"/>
      <c r="AD160" s="599"/>
      <c r="AE160" s="599"/>
      <c r="AF160" s="599"/>
      <c r="AG160" s="599"/>
      <c r="AH160" s="599"/>
      <c r="AI160" s="599"/>
      <c r="AJ160" s="599"/>
      <c r="AK160" s="599"/>
      <c r="AL160" s="599"/>
      <c r="AM160" s="599"/>
      <c r="AN160" s="599"/>
      <c r="AO160" s="599"/>
      <c r="AP160" s="599"/>
      <c r="AQ160" s="599"/>
      <c r="AR160" s="599"/>
      <c r="AS160" s="599"/>
      <c r="AT160" s="599"/>
      <c r="AU160" s="599"/>
      <c r="AV160" s="599"/>
      <c r="AW160" s="599"/>
      <c r="AX160" s="599"/>
      <c r="AY160" s="599"/>
      <c r="AZ160" s="599"/>
      <c r="BA160" s="599"/>
      <c r="BB160" s="598"/>
    </row>
    <row r="161" spans="2:54" ht="12.75" customHeight="1">
      <c r="B161" s="1444" t="s">
        <v>548</v>
      </c>
      <c r="C161" s="1445"/>
      <c r="D161" s="750" t="s">
        <v>3448</v>
      </c>
      <c r="E161" s="751"/>
      <c r="F161" s="752" t="s">
        <v>2207</v>
      </c>
      <c r="G161" s="752" t="s">
        <v>2208</v>
      </c>
      <c r="H161" s="753">
        <f>6490.374-368.485</f>
        <v>6121.8890000000001</v>
      </c>
      <c r="I161" s="754" t="s">
        <v>494</v>
      </c>
      <c r="J161" s="755">
        <v>45211.444444444445</v>
      </c>
      <c r="K161" s="755"/>
      <c r="L161" s="755" t="s">
        <v>192</v>
      </c>
      <c r="M161" s="755" t="s">
        <v>192</v>
      </c>
      <c r="N161" s="505" t="str">
        <f t="shared" si="14"/>
        <v>DELAY ( 15 day 5 hour 34 minute )</v>
      </c>
      <c r="O161" s="597"/>
      <c r="P161" s="756" t="s">
        <v>551</v>
      </c>
      <c r="Q161" s="756" t="s">
        <v>551</v>
      </c>
      <c r="R161" s="756" t="s">
        <v>551</v>
      </c>
      <c r="S161" s="598"/>
      <c r="T161" s="599"/>
      <c r="U161" s="599"/>
      <c r="V161" s="599"/>
      <c r="W161" s="599"/>
      <c r="X161" s="599"/>
      <c r="Y161" s="599">
        <f>H161</f>
        <v>6121.8890000000001</v>
      </c>
      <c r="Z161" s="599"/>
      <c r="AA161" s="599"/>
      <c r="AB161" s="599"/>
      <c r="AC161" s="599"/>
      <c r="AD161" s="599"/>
      <c r="AE161" s="599"/>
      <c r="AF161" s="599"/>
      <c r="AG161" s="599"/>
      <c r="AH161" s="599"/>
      <c r="AI161" s="599"/>
      <c r="AJ161" s="599"/>
      <c r="AK161" s="599"/>
      <c r="AL161" s="599"/>
      <c r="AM161" s="599"/>
      <c r="AN161" s="599"/>
      <c r="AO161" s="599"/>
      <c r="AP161" s="599"/>
      <c r="AQ161" s="599"/>
      <c r="AR161" s="599"/>
      <c r="AS161" s="599"/>
      <c r="AT161" s="599"/>
      <c r="AU161" s="599"/>
      <c r="AV161" s="599"/>
      <c r="AW161" s="599"/>
      <c r="AX161" s="599"/>
      <c r="AY161" s="599"/>
      <c r="AZ161" s="599"/>
      <c r="BA161" s="599"/>
      <c r="BB161" s="598"/>
    </row>
    <row r="162" spans="2:54" ht="12.75" customHeight="1">
      <c r="B162" s="1444" t="s">
        <v>548</v>
      </c>
      <c r="C162" s="1445"/>
      <c r="D162" s="750" t="s">
        <v>3419</v>
      </c>
      <c r="E162" s="751"/>
      <c r="F162" s="752" t="s">
        <v>361</v>
      </c>
      <c r="G162" s="752" t="s">
        <v>362</v>
      </c>
      <c r="H162" s="753">
        <v>5550.3919999999998</v>
      </c>
      <c r="I162" s="754" t="s">
        <v>172</v>
      </c>
      <c r="J162" s="755">
        <v>45211.479166666664</v>
      </c>
      <c r="K162" s="755"/>
      <c r="L162" s="755" t="s">
        <v>192</v>
      </c>
      <c r="M162" s="755" t="s">
        <v>192</v>
      </c>
      <c r="N162" s="505" t="str">
        <f t="shared" si="14"/>
        <v>DELAY ( 15 day 6 hour 24 minute )</v>
      </c>
      <c r="O162" s="597"/>
      <c r="P162" s="756" t="s">
        <v>551</v>
      </c>
      <c r="Q162" s="756" t="s">
        <v>551</v>
      </c>
      <c r="R162" s="756" t="s">
        <v>551</v>
      </c>
      <c r="S162" s="598"/>
      <c r="T162" s="599"/>
      <c r="U162" s="599"/>
      <c r="V162" s="599"/>
      <c r="W162" s="599"/>
      <c r="X162" s="599"/>
      <c r="Y162" s="598"/>
      <c r="Z162" s="599"/>
      <c r="AA162" s="599"/>
      <c r="AB162" s="599"/>
      <c r="AC162" s="599"/>
      <c r="AD162" s="599"/>
      <c r="AE162" s="599"/>
      <c r="AF162" s="599"/>
      <c r="AG162" s="599"/>
      <c r="AH162" s="599"/>
      <c r="AI162" s="599"/>
      <c r="AJ162" s="599"/>
      <c r="AK162" s="599"/>
      <c r="AL162" s="599"/>
      <c r="AM162" s="599"/>
      <c r="AN162" s="599"/>
      <c r="AO162" s="599"/>
      <c r="AP162" s="599"/>
      <c r="AQ162" s="599"/>
      <c r="AR162" s="599"/>
      <c r="AS162" s="599"/>
      <c r="AT162" s="599"/>
      <c r="AU162" s="599"/>
      <c r="AV162" s="599"/>
      <c r="AW162" s="599"/>
      <c r="AX162" s="599"/>
      <c r="AY162" s="599">
        <f>H162</f>
        <v>5550.3919999999998</v>
      </c>
      <c r="AZ162" s="599"/>
      <c r="BA162" s="599"/>
      <c r="BB162" s="598"/>
    </row>
    <row r="163" spans="2:54" ht="12.75" customHeight="1">
      <c r="B163" s="1258" t="s">
        <v>556</v>
      </c>
      <c r="C163" s="1259"/>
      <c r="D163" s="1259"/>
      <c r="E163" s="1259"/>
      <c r="F163" s="1347"/>
      <c r="G163" s="1348"/>
      <c r="H163" s="757">
        <f>SUM(H151:H162)</f>
        <v>83656</v>
      </c>
      <c r="I163" s="600"/>
      <c r="J163" s="601"/>
      <c r="K163" s="601"/>
      <c r="L163" s="601"/>
      <c r="M163" s="602"/>
      <c r="N163" s="505" t="str">
        <f t="shared" si="14"/>
        <v xml:space="preserve"> </v>
      </c>
      <c r="O163" s="212"/>
      <c r="P163" s="590"/>
      <c r="Q163" s="590"/>
      <c r="R163" s="590"/>
      <c r="S163" s="633"/>
      <c r="T163" s="1307"/>
      <c r="U163" s="1308"/>
      <c r="V163" s="1308"/>
      <c r="W163" s="1308"/>
      <c r="X163" s="1308"/>
      <c r="Y163" s="1308"/>
      <c r="Z163" s="1308"/>
      <c r="AA163" s="1308"/>
      <c r="AB163" s="1308"/>
      <c r="AC163" s="1308"/>
      <c r="AD163" s="1308"/>
      <c r="AE163" s="1308"/>
      <c r="AF163" s="1308"/>
      <c r="AG163" s="1308"/>
      <c r="AH163" s="1308"/>
      <c r="AI163" s="1308"/>
      <c r="AJ163" s="1308"/>
      <c r="AK163" s="1308"/>
      <c r="AL163" s="1308"/>
      <c r="AM163" s="1308"/>
      <c r="AN163" s="1308"/>
      <c r="AO163" s="1308"/>
      <c r="AP163" s="1308"/>
      <c r="AQ163" s="1308"/>
      <c r="AR163" s="1308"/>
      <c r="AS163" s="1308"/>
      <c r="AT163" s="1308"/>
      <c r="AU163" s="1308"/>
      <c r="AV163" s="1308"/>
      <c r="AW163" s="1308"/>
      <c r="AX163" s="1308"/>
      <c r="AY163" s="1308"/>
      <c r="AZ163" s="1308"/>
      <c r="BA163" s="1308"/>
    </row>
    <row r="164" spans="2:54" ht="12.75" customHeight="1">
      <c r="B164" s="1446" t="s">
        <v>557</v>
      </c>
      <c r="C164" s="1447"/>
      <c r="D164" s="1447"/>
      <c r="E164" s="1447"/>
      <c r="F164" s="1447"/>
      <c r="G164" s="1448"/>
      <c r="H164" s="710">
        <v>83656</v>
      </c>
      <c r="I164" s="1427"/>
      <c r="J164" s="1428"/>
      <c r="K164" s="1428"/>
      <c r="L164" s="1428"/>
      <c r="M164" s="1429"/>
      <c r="N164" s="505" t="str">
        <f t="shared" si="14"/>
        <v xml:space="preserve"> </v>
      </c>
      <c r="O164" s="591"/>
      <c r="P164" s="415"/>
      <c r="Q164" s="415"/>
      <c r="R164" s="415"/>
      <c r="S164" s="740"/>
      <c r="T164" s="592">
        <f t="shared" ref="T164:BA164" si="15">SUM(T151:T162)</f>
        <v>0</v>
      </c>
      <c r="U164" s="592">
        <f t="shared" si="15"/>
        <v>0</v>
      </c>
      <c r="V164" s="592">
        <f t="shared" si="15"/>
        <v>0</v>
      </c>
      <c r="W164" s="592">
        <f t="shared" si="15"/>
        <v>0</v>
      </c>
      <c r="X164" s="592">
        <f t="shared" si="15"/>
        <v>0</v>
      </c>
      <c r="Y164" s="592">
        <f t="shared" si="15"/>
        <v>49944.454000000005</v>
      </c>
      <c r="Z164" s="592">
        <f t="shared" si="15"/>
        <v>0</v>
      </c>
      <c r="AA164" s="592">
        <f t="shared" si="15"/>
        <v>0</v>
      </c>
      <c r="AB164" s="592">
        <f t="shared" si="15"/>
        <v>0</v>
      </c>
      <c r="AC164" s="592">
        <f t="shared" si="15"/>
        <v>28161.154000000002</v>
      </c>
      <c r="AD164" s="592">
        <f t="shared" si="15"/>
        <v>0</v>
      </c>
      <c r="AE164" s="592">
        <f t="shared" si="15"/>
        <v>0</v>
      </c>
      <c r="AF164" s="592">
        <f t="shared" si="15"/>
        <v>0</v>
      </c>
      <c r="AG164" s="592">
        <f t="shared" si="15"/>
        <v>0</v>
      </c>
      <c r="AH164" s="592">
        <f t="shared" si="15"/>
        <v>0</v>
      </c>
      <c r="AI164" s="592">
        <f t="shared" si="15"/>
        <v>0</v>
      </c>
      <c r="AJ164" s="592">
        <f t="shared" si="15"/>
        <v>0</v>
      </c>
      <c r="AK164" s="592">
        <f t="shared" si="15"/>
        <v>0</v>
      </c>
      <c r="AL164" s="592">
        <f t="shared" si="15"/>
        <v>0</v>
      </c>
      <c r="AM164" s="592">
        <f t="shared" si="15"/>
        <v>0</v>
      </c>
      <c r="AN164" s="592">
        <f t="shared" si="15"/>
        <v>0</v>
      </c>
      <c r="AO164" s="592">
        <f t="shared" si="15"/>
        <v>0</v>
      </c>
      <c r="AP164" s="592">
        <f t="shared" si="15"/>
        <v>0</v>
      </c>
      <c r="AQ164" s="592">
        <f t="shared" si="15"/>
        <v>0</v>
      </c>
      <c r="AR164" s="592">
        <f t="shared" si="15"/>
        <v>0</v>
      </c>
      <c r="AS164" s="592">
        <f t="shared" si="15"/>
        <v>0</v>
      </c>
      <c r="AT164" s="592">
        <f t="shared" si="15"/>
        <v>0</v>
      </c>
      <c r="AU164" s="592">
        <f t="shared" si="15"/>
        <v>0</v>
      </c>
      <c r="AV164" s="592">
        <f t="shared" si="15"/>
        <v>0</v>
      </c>
      <c r="AW164" s="592">
        <f t="shared" si="15"/>
        <v>0</v>
      </c>
      <c r="AX164" s="592">
        <f t="shared" si="15"/>
        <v>0</v>
      </c>
      <c r="AY164" s="592">
        <f t="shared" si="15"/>
        <v>5550.3919999999998</v>
      </c>
      <c r="AZ164" s="592">
        <f t="shared" si="15"/>
        <v>0</v>
      </c>
      <c r="BA164" s="592">
        <f t="shared" si="15"/>
        <v>0</v>
      </c>
      <c r="BB164" s="592">
        <f>SUM(T164:BA164)</f>
        <v>83656</v>
      </c>
    </row>
    <row r="165" spans="2:54" ht="12.75" customHeight="1">
      <c r="B165" s="1446" t="s">
        <v>558</v>
      </c>
      <c r="C165" s="1447"/>
      <c r="D165" s="1447"/>
      <c r="E165" s="1447"/>
      <c r="F165" s="1447"/>
      <c r="G165" s="1448"/>
      <c r="H165" s="712">
        <f>H164-L145</f>
        <v>0</v>
      </c>
      <c r="I165" s="742"/>
      <c r="J165" s="743"/>
      <c r="K165" s="743"/>
      <c r="L165" s="671"/>
      <c r="M165" s="633"/>
      <c r="N165" s="591"/>
      <c r="O165" s="591"/>
      <c r="P165" s="591"/>
      <c r="Q165" s="744"/>
      <c r="R165" s="744"/>
      <c r="S165" s="591"/>
      <c r="T165" s="645"/>
      <c r="U165" s="645"/>
      <c r="V165" s="645"/>
      <c r="W165" s="645"/>
      <c r="X165" s="645"/>
      <c r="Y165" s="645"/>
      <c r="Z165" s="645"/>
      <c r="AA165" s="645"/>
      <c r="AB165" s="645"/>
      <c r="AC165" s="591"/>
      <c r="AD165" s="591"/>
      <c r="AE165" s="591"/>
      <c r="AF165" s="591"/>
      <c r="AG165" s="591"/>
      <c r="AH165" s="591"/>
      <c r="AI165" s="591"/>
      <c r="AJ165" s="591"/>
      <c r="AK165" s="591"/>
      <c r="AL165" s="591"/>
      <c r="AM165" s="591"/>
      <c r="AN165" s="591"/>
      <c r="AO165" s="591"/>
      <c r="AP165" s="591"/>
      <c r="AQ165" s="591"/>
      <c r="AR165" s="591"/>
    </row>
    <row r="166" spans="2:54" ht="12.75" customHeight="1">
      <c r="B166" s="1446" t="s">
        <v>559</v>
      </c>
      <c r="C166" s="1447"/>
      <c r="D166" s="1447"/>
      <c r="E166" s="1447"/>
      <c r="F166" s="1447"/>
      <c r="G166" s="1448"/>
      <c r="H166" s="712">
        <f>H163-H164</f>
        <v>0</v>
      </c>
      <c r="I166" s="745"/>
      <c r="J166" s="746"/>
      <c r="K166" s="746"/>
      <c r="L166" s="674"/>
      <c r="M166" s="633"/>
      <c r="N166" s="613"/>
      <c r="O166" s="591"/>
      <c r="P166" s="591"/>
      <c r="Q166" s="591"/>
      <c r="R166" s="591"/>
      <c r="S166" s="591"/>
      <c r="T166" s="645"/>
      <c r="U166" s="645"/>
      <c r="V166" s="645"/>
      <c r="W166" s="645"/>
      <c r="X166" s="645"/>
      <c r="Y166" s="645"/>
      <c r="Z166" s="645"/>
      <c r="AA166" s="645"/>
      <c r="AB166" s="645"/>
      <c r="AC166" s="591"/>
      <c r="AD166" s="591"/>
      <c r="AE166" s="591"/>
      <c r="AF166" s="591"/>
      <c r="AG166" s="591"/>
      <c r="AH166" s="591"/>
      <c r="AI166" s="591"/>
      <c r="AJ166" s="591"/>
      <c r="AK166" s="591"/>
      <c r="AL166" s="591"/>
      <c r="AM166" s="591"/>
      <c r="AN166" s="591"/>
      <c r="AO166" s="591"/>
      <c r="AP166" s="591"/>
      <c r="AQ166" s="591"/>
      <c r="AR166" s="591"/>
    </row>
    <row r="167" spans="2:54" s="496" customFormat="1" ht="12.75" customHeight="1">
      <c r="B167" s="1309" t="s">
        <v>560</v>
      </c>
      <c r="C167" s="1310"/>
      <c r="D167" s="1310"/>
      <c r="E167" s="1310"/>
      <c r="F167" s="1310"/>
      <c r="G167" s="1311"/>
      <c r="H167" s="741">
        <f>H166-368.485</f>
        <v>-368.48500000000001</v>
      </c>
      <c r="I167" s="641"/>
      <c r="J167" s="642"/>
      <c r="K167" s="642"/>
      <c r="L167" s="499"/>
      <c r="M167" s="613"/>
      <c r="N167" s="613"/>
      <c r="O167" s="613"/>
      <c r="P167" s="613"/>
      <c r="Q167" s="613"/>
      <c r="R167" s="613"/>
      <c r="S167" s="616"/>
      <c r="T167" s="616"/>
      <c r="U167" s="616"/>
      <c r="V167" s="616"/>
      <c r="W167" s="616"/>
      <c r="X167" s="616"/>
      <c r="Y167" s="616"/>
      <c r="Z167" s="616"/>
      <c r="AA167" s="616"/>
      <c r="AB167" s="613"/>
      <c r="AC167" s="613"/>
      <c r="AD167" s="613"/>
      <c r="AE167" s="613"/>
      <c r="AF167" s="613"/>
      <c r="AG167" s="613"/>
      <c r="AH167" s="613"/>
      <c r="AI167" s="613"/>
      <c r="AJ167" s="613"/>
      <c r="AK167" s="613"/>
      <c r="AL167" s="613"/>
      <c r="AM167" s="613"/>
      <c r="AN167" s="613"/>
      <c r="AO167" s="613"/>
      <c r="AP167" s="613"/>
      <c r="AQ167" s="613"/>
    </row>
    <row r="168" spans="2:54">
      <c r="B168" s="613"/>
      <c r="C168" s="613"/>
      <c r="D168" s="613"/>
      <c r="E168" s="613"/>
      <c r="F168" s="613"/>
      <c r="G168" s="613"/>
      <c r="H168" s="613"/>
      <c r="I168" s="643"/>
      <c r="J168" s="641"/>
      <c r="K168" s="641"/>
      <c r="L168" s="644"/>
      <c r="M168" s="613"/>
      <c r="N168" s="613"/>
      <c r="O168" s="641"/>
      <c r="P168" s="591"/>
      <c r="Q168" s="591"/>
      <c r="R168" s="591"/>
      <c r="S168" s="591"/>
      <c r="T168" s="645"/>
      <c r="U168" s="645"/>
      <c r="V168" s="645"/>
      <c r="W168" s="645"/>
      <c r="X168" s="645"/>
      <c r="Y168" s="645"/>
      <c r="Z168" s="645"/>
      <c r="AA168" s="645"/>
      <c r="AB168" s="645"/>
      <c r="AC168" s="591"/>
      <c r="AD168" s="591"/>
      <c r="AE168" s="591"/>
      <c r="AF168" s="591"/>
      <c r="AG168" s="591"/>
      <c r="AH168" s="591"/>
      <c r="AI168" s="591"/>
      <c r="AJ168" s="591"/>
      <c r="AK168" s="591"/>
      <c r="AL168" s="591"/>
      <c r="AM168" s="591"/>
      <c r="AN168" s="591"/>
      <c r="AO168" s="591"/>
      <c r="AP168" s="591"/>
      <c r="AQ168" s="591"/>
      <c r="AR168" s="591"/>
    </row>
    <row r="169" spans="2:54">
      <c r="B169" s="619" t="s">
        <v>561</v>
      </c>
      <c r="C169" s="619"/>
      <c r="D169" s="591"/>
      <c r="E169" s="591"/>
      <c r="F169" s="591"/>
      <c r="G169" s="591"/>
      <c r="H169" s="591"/>
      <c r="I169" s="591"/>
      <c r="J169" s="646"/>
      <c r="K169" s="646"/>
      <c r="L169" s="647"/>
      <c r="M169" s="591"/>
      <c r="N169" s="613"/>
      <c r="O169" s="646"/>
      <c r="P169" s="616"/>
      <c r="Q169" s="616"/>
      <c r="R169" s="616"/>
      <c r="S169" s="616"/>
      <c r="T169" s="616"/>
      <c r="U169" s="616"/>
      <c r="V169" s="616"/>
      <c r="W169" s="616"/>
      <c r="X169" s="616"/>
      <c r="Y169" s="616"/>
      <c r="Z169" s="616"/>
      <c r="AA169" s="616"/>
      <c r="AB169" s="613"/>
      <c r="AC169" s="613"/>
      <c r="AD169" s="613"/>
      <c r="AE169" s="613"/>
      <c r="AF169" s="613"/>
      <c r="AG169" s="613"/>
      <c r="AH169" s="613"/>
      <c r="AI169" s="613"/>
      <c r="AJ169" s="613"/>
      <c r="AK169" s="613"/>
      <c r="AL169" s="613"/>
      <c r="AM169" s="613"/>
      <c r="AN169" s="613"/>
      <c r="AO169" s="613"/>
      <c r="AP169" s="613"/>
      <c r="AQ169" s="613"/>
      <c r="AR169" s="613"/>
      <c r="AS169" s="613"/>
      <c r="AT169" s="613"/>
      <c r="AU169" s="613"/>
      <c r="BB169" s="613"/>
    </row>
    <row r="170" spans="2:54" ht="12.75" customHeight="1">
      <c r="B170" s="422"/>
      <c r="C170" s="1249"/>
      <c r="D170" s="1249"/>
      <c r="E170" s="1249"/>
      <c r="F170" s="1249"/>
      <c r="G170" s="1249"/>
      <c r="H170" s="1249"/>
      <c r="I170" s="1249"/>
      <c r="J170" s="1249"/>
      <c r="K170" s="1249"/>
      <c r="L170" s="644"/>
      <c r="M170" s="644"/>
      <c r="N170" s="613"/>
      <c r="O170" s="641"/>
      <c r="P170" s="616"/>
      <c r="Q170" s="616"/>
      <c r="R170" s="616"/>
      <c r="S170" s="616"/>
      <c r="T170" s="616"/>
      <c r="U170" s="616"/>
      <c r="V170" s="616"/>
      <c r="W170" s="616"/>
      <c r="X170" s="616"/>
      <c r="Y170" s="616"/>
      <c r="Z170" s="616"/>
      <c r="AA170" s="616"/>
      <c r="AB170" s="613"/>
      <c r="AC170" s="613"/>
      <c r="AD170" s="613"/>
      <c r="AE170" s="613"/>
      <c r="AF170" s="613"/>
      <c r="AG170" s="613"/>
      <c r="AH170" s="613"/>
      <c r="AI170" s="613"/>
      <c r="AJ170" s="613"/>
      <c r="AK170" s="613"/>
      <c r="AL170" s="613"/>
      <c r="AM170" s="613"/>
      <c r="AN170" s="613"/>
      <c r="AO170" s="613"/>
      <c r="AP170" s="613"/>
      <c r="AQ170" s="613"/>
      <c r="AR170" s="613"/>
      <c r="AS170" s="613"/>
      <c r="AT170" s="613"/>
      <c r="AU170" s="613"/>
      <c r="AV170" s="613"/>
      <c r="AW170" s="613"/>
      <c r="AX170" s="613"/>
      <c r="AY170" s="613"/>
      <c r="AZ170" s="613"/>
      <c r="BA170" s="613"/>
      <c r="BB170" s="613"/>
    </row>
    <row r="172" spans="2:54">
      <c r="B172" s="28" t="s">
        <v>126</v>
      </c>
      <c r="C172" s="28"/>
      <c r="D172" s="614"/>
      <c r="E172" s="30" t="s">
        <v>511</v>
      </c>
      <c r="F172" s="31" t="s">
        <v>3093</v>
      </c>
      <c r="G172" s="591"/>
      <c r="H172" s="33"/>
      <c r="I172" s="615"/>
      <c r="J172" s="35" t="s">
        <v>513</v>
      </c>
      <c r="K172" s="36" t="s">
        <v>511</v>
      </c>
      <c r="L172" s="516">
        <v>45214.833333333336</v>
      </c>
      <c r="M172" s="591"/>
      <c r="N172" s="591"/>
      <c r="O172" s="206"/>
      <c r="P172" s="205"/>
      <c r="Q172" s="616"/>
      <c r="R172" s="204"/>
      <c r="S172" s="617"/>
      <c r="T172" s="613"/>
      <c r="U172" s="613"/>
      <c r="V172" s="613"/>
      <c r="W172" s="613"/>
      <c r="X172" s="613"/>
      <c r="Y172" s="613"/>
      <c r="Z172" s="613"/>
      <c r="AA172" s="613"/>
      <c r="AB172" s="616"/>
      <c r="AC172" s="616"/>
      <c r="AD172" s="616"/>
      <c r="AE172" s="616"/>
      <c r="AF172" s="616"/>
      <c r="AG172" s="613"/>
      <c r="AH172" s="613"/>
      <c r="AI172" s="613"/>
      <c r="AJ172" s="613"/>
      <c r="AK172" s="613"/>
      <c r="AL172" s="613"/>
      <c r="AM172" s="613"/>
      <c r="AN172" s="613"/>
      <c r="AO172" s="613"/>
      <c r="AP172" s="613"/>
      <c r="AQ172" s="613"/>
      <c r="AR172" s="613"/>
      <c r="AS172" s="613"/>
      <c r="AT172" s="613"/>
      <c r="AU172" s="613"/>
      <c r="AV172" s="613"/>
      <c r="AW172" s="613"/>
      <c r="AX172" s="613"/>
      <c r="AY172" s="613"/>
      <c r="AZ172" s="613"/>
      <c r="BA172" s="613"/>
      <c r="BB172" s="613"/>
    </row>
    <row r="173" spans="2:54">
      <c r="B173" s="35" t="s">
        <v>514</v>
      </c>
      <c r="C173" s="35"/>
      <c r="D173" s="591"/>
      <c r="E173" s="36" t="s">
        <v>511</v>
      </c>
      <c r="F173" s="311" t="s">
        <v>3700</v>
      </c>
      <c r="G173" s="591"/>
      <c r="H173" s="33"/>
      <c r="I173" s="615"/>
      <c r="J173" s="35" t="s">
        <v>516</v>
      </c>
      <c r="K173" s="36" t="s">
        <v>511</v>
      </c>
      <c r="L173" s="516">
        <v>45219.666666666664</v>
      </c>
      <c r="M173" s="591"/>
      <c r="N173" s="591"/>
      <c r="O173" s="206"/>
      <c r="P173" s="205"/>
      <c r="Q173" s="616"/>
      <c r="R173" s="204"/>
      <c r="S173" s="617"/>
      <c r="T173" s="613"/>
      <c r="U173" s="613"/>
      <c r="V173" s="613"/>
      <c r="W173" s="613"/>
      <c r="X173" s="613"/>
      <c r="Y173" s="613"/>
      <c r="Z173" s="613"/>
      <c r="AA173" s="613"/>
      <c r="AB173" s="616"/>
      <c r="AC173" s="616"/>
      <c r="AD173" s="616"/>
      <c r="AE173" s="616"/>
      <c r="AF173" s="616"/>
      <c r="AG173" s="613"/>
      <c r="AH173" s="613"/>
      <c r="AI173" s="613"/>
      <c r="AJ173" s="613"/>
      <c r="AK173" s="613"/>
      <c r="AL173" s="613"/>
      <c r="AM173" s="613"/>
      <c r="AN173" s="613"/>
      <c r="AO173" s="613"/>
      <c r="AP173" s="613"/>
      <c r="AQ173" s="613"/>
      <c r="AR173" s="613"/>
      <c r="AS173" s="613"/>
      <c r="AT173" s="613"/>
      <c r="AU173" s="613"/>
      <c r="AV173" s="613"/>
      <c r="AW173" s="613"/>
      <c r="AX173" s="613"/>
      <c r="AY173" s="613"/>
      <c r="AZ173" s="613"/>
      <c r="BA173" s="613"/>
      <c r="BB173" s="613"/>
    </row>
    <row r="174" spans="2:54">
      <c r="B174" s="35" t="s">
        <v>517</v>
      </c>
      <c r="C174" s="35"/>
      <c r="D174" s="591"/>
      <c r="E174" s="36" t="s">
        <v>511</v>
      </c>
      <c r="F174" s="516">
        <v>45213.729166666664</v>
      </c>
      <c r="G174" s="591"/>
      <c r="H174" s="33"/>
      <c r="I174" s="615"/>
      <c r="J174" s="35" t="s">
        <v>521</v>
      </c>
      <c r="K174" s="36" t="s">
        <v>511</v>
      </c>
      <c r="L174" s="41" t="s">
        <v>3094</v>
      </c>
      <c r="M174" s="591"/>
      <c r="N174" s="619"/>
      <c r="O174" s="206"/>
      <c r="P174" s="205"/>
      <c r="Q174" s="616"/>
      <c r="R174" s="204"/>
      <c r="S174" s="617"/>
      <c r="T174" s="613"/>
      <c r="U174" s="613"/>
      <c r="V174" s="613"/>
      <c r="W174" s="613"/>
      <c r="X174" s="613"/>
      <c r="Y174" s="613"/>
      <c r="Z174" s="613"/>
      <c r="AA174" s="613"/>
      <c r="AB174" s="616"/>
      <c r="AC174" s="616"/>
      <c r="AD174" s="616"/>
      <c r="AE174" s="616"/>
      <c r="AF174" s="616"/>
      <c r="AG174" s="613"/>
      <c r="AH174" s="613"/>
      <c r="AI174" s="613"/>
      <c r="AJ174" s="613"/>
      <c r="AK174" s="613"/>
      <c r="AL174" s="613"/>
      <c r="AM174" s="613"/>
      <c r="AN174" s="613"/>
      <c r="AO174" s="613"/>
      <c r="AP174" s="613"/>
      <c r="AQ174" s="613"/>
      <c r="AR174" s="613"/>
      <c r="AS174" s="613"/>
      <c r="AT174" s="613"/>
      <c r="AU174" s="613"/>
      <c r="AV174" s="613"/>
      <c r="AW174" s="613"/>
      <c r="AX174" s="613"/>
      <c r="AY174" s="613"/>
      <c r="AZ174" s="613"/>
      <c r="BA174" s="613"/>
      <c r="BB174" s="613"/>
    </row>
    <row r="175" spans="2:54">
      <c r="B175" s="35" t="s">
        <v>520</v>
      </c>
      <c r="C175" s="35"/>
      <c r="D175" s="591"/>
      <c r="E175" s="36" t="s">
        <v>511</v>
      </c>
      <c r="F175" s="37" t="s">
        <v>16</v>
      </c>
      <c r="G175" s="591"/>
      <c r="H175" s="33"/>
      <c r="I175" s="615"/>
      <c r="J175" s="35" t="s">
        <v>524</v>
      </c>
      <c r="K175" s="36" t="s">
        <v>511</v>
      </c>
      <c r="L175" s="621" t="s">
        <v>23</v>
      </c>
      <c r="M175" s="611"/>
      <c r="N175" s="591"/>
      <c r="O175" s="206"/>
      <c r="P175" s="616"/>
      <c r="Q175" s="616"/>
      <c r="R175" s="204"/>
      <c r="S175" s="617"/>
      <c r="T175" s="613"/>
      <c r="U175" s="613"/>
      <c r="V175" s="613"/>
      <c r="W175" s="613"/>
      <c r="X175" s="613"/>
      <c r="Y175" s="613"/>
      <c r="Z175" s="613"/>
      <c r="AA175" s="613"/>
      <c r="AB175" s="616"/>
      <c r="AC175" s="616"/>
      <c r="AD175" s="616"/>
      <c r="AE175" s="616"/>
      <c r="AF175" s="616"/>
      <c r="AG175" s="613"/>
      <c r="AH175" s="613"/>
      <c r="AI175" s="613"/>
      <c r="AJ175" s="613"/>
      <c r="AK175" s="613"/>
      <c r="AL175" s="613"/>
      <c r="AM175" s="613"/>
      <c r="AN175" s="613"/>
      <c r="AO175" s="613"/>
      <c r="AP175" s="613"/>
      <c r="AQ175" s="613"/>
      <c r="AR175" s="613"/>
      <c r="AS175" s="613"/>
      <c r="AT175" s="613"/>
      <c r="AU175" s="613"/>
      <c r="AV175" s="613"/>
      <c r="AW175" s="613"/>
      <c r="AX175" s="613"/>
      <c r="AY175" s="613"/>
      <c r="AZ175" s="613"/>
      <c r="BA175" s="613"/>
      <c r="BB175" s="613"/>
    </row>
    <row r="176" spans="2:54">
      <c r="B176" s="35" t="s">
        <v>523</v>
      </c>
      <c r="C176" s="35"/>
      <c r="D176" s="591"/>
      <c r="E176" s="36" t="s">
        <v>511</v>
      </c>
      <c r="F176" s="37" t="s">
        <v>45</v>
      </c>
      <c r="G176" s="591"/>
      <c r="H176" s="33"/>
      <c r="I176" s="615"/>
      <c r="J176" s="35"/>
      <c r="K176" s="36"/>
      <c r="L176" s="621"/>
      <c r="M176" s="611"/>
      <c r="N176" s="611"/>
      <c r="O176" s="206"/>
      <c r="P176" s="205"/>
      <c r="Q176" s="616"/>
      <c r="R176" s="204"/>
      <c r="S176" s="617"/>
      <c r="T176" s="613"/>
      <c r="U176" s="613"/>
      <c r="V176" s="613"/>
      <c r="W176" s="613"/>
      <c r="X176" s="613"/>
      <c r="Y176" s="613"/>
      <c r="Z176" s="613"/>
      <c r="AA176" s="613"/>
      <c r="AB176" s="616"/>
      <c r="AC176" s="616"/>
      <c r="AD176" s="616"/>
      <c r="AE176" s="616"/>
      <c r="AF176" s="616"/>
      <c r="AG176" s="613"/>
      <c r="AH176" s="613"/>
      <c r="AI176" s="613"/>
      <c r="AJ176" s="613"/>
      <c r="AK176" s="613"/>
      <c r="AL176" s="613"/>
      <c r="AM176" s="613"/>
      <c r="AN176" s="613"/>
      <c r="AO176" s="613"/>
      <c r="AP176" s="613"/>
      <c r="AQ176" s="613"/>
      <c r="AR176" s="613"/>
      <c r="AS176" s="613"/>
      <c r="AT176" s="613"/>
      <c r="AU176" s="613"/>
      <c r="AV176" s="613"/>
      <c r="AW176" s="613"/>
      <c r="AX176" s="613"/>
      <c r="AY176" s="613"/>
      <c r="AZ176" s="613"/>
      <c r="BA176" s="613"/>
      <c r="BB176" s="613"/>
    </row>
    <row r="177" spans="2:54">
      <c r="B177" s="35" t="s">
        <v>2</v>
      </c>
      <c r="C177" s="35"/>
      <c r="D177" s="591"/>
      <c r="E177" s="36" t="s">
        <v>511</v>
      </c>
      <c r="F177" s="37" t="s">
        <v>29</v>
      </c>
      <c r="G177" s="591"/>
      <c r="H177" s="33"/>
      <c r="I177" s="622"/>
      <c r="J177" s="35"/>
      <c r="K177" s="36"/>
      <c r="L177" s="211"/>
      <c r="M177" s="613"/>
      <c r="N177" s="613"/>
      <c r="O177" s="35"/>
      <c r="P177" s="611"/>
      <c r="Q177" s="611"/>
      <c r="R177" s="611"/>
      <c r="S177" s="615"/>
      <c r="T177" s="613"/>
      <c r="U177" s="613"/>
      <c r="V177" s="613"/>
      <c r="W177" s="613"/>
      <c r="X177" s="613"/>
      <c r="Y177" s="613"/>
      <c r="Z177" s="613"/>
      <c r="AA177" s="613"/>
      <c r="AB177" s="615"/>
      <c r="AC177" s="615"/>
      <c r="AD177" s="615"/>
      <c r="AE177" s="615"/>
      <c r="AF177" s="615"/>
      <c r="AG177" s="615"/>
      <c r="AH177" s="615"/>
      <c r="AI177" s="615"/>
      <c r="AJ177" s="615"/>
      <c r="AK177" s="615"/>
      <c r="AL177" s="615"/>
      <c r="AM177" s="615"/>
      <c r="AN177" s="615"/>
      <c r="AO177" s="613"/>
      <c r="AP177" s="613"/>
      <c r="AQ177" s="613"/>
      <c r="AR177" s="613"/>
      <c r="AS177" s="613"/>
      <c r="AT177" s="613"/>
      <c r="AU177" s="613"/>
      <c r="AV177" s="613"/>
      <c r="AW177" s="613"/>
      <c r="AX177" s="613"/>
      <c r="AY177" s="613"/>
      <c r="AZ177" s="613"/>
      <c r="BA177" s="613"/>
      <c r="BB177" s="613"/>
    </row>
    <row r="178" spans="2:54">
      <c r="B178" s="613"/>
      <c r="C178" s="613"/>
      <c r="D178" s="613"/>
      <c r="E178" s="613"/>
      <c r="F178" s="613"/>
      <c r="G178" s="613"/>
      <c r="H178" s="613"/>
      <c r="I178" s="622"/>
      <c r="J178" s="35"/>
      <c r="K178" s="35"/>
      <c r="L178" s="621"/>
      <c r="M178" s="611"/>
      <c r="N178" s="611"/>
      <c r="O178" s="35"/>
      <c r="P178" s="611"/>
      <c r="Q178" s="611"/>
      <c r="R178" s="611"/>
      <c r="S178" s="615"/>
      <c r="T178" s="1317" t="s">
        <v>87</v>
      </c>
      <c r="U178" s="1317"/>
      <c r="V178" s="1317"/>
      <c r="W178" s="1317"/>
      <c r="X178" s="1317"/>
      <c r="Y178" s="1317" t="s">
        <v>73</v>
      </c>
      <c r="Z178" s="1317"/>
      <c r="AA178" s="1317"/>
      <c r="AB178" s="1317" t="s">
        <v>74</v>
      </c>
      <c r="AC178" s="1317"/>
      <c r="AD178" s="623" t="s">
        <v>85</v>
      </c>
      <c r="AE178" s="623" t="s">
        <v>77</v>
      </c>
      <c r="AF178" s="1317" t="s">
        <v>525</v>
      </c>
      <c r="AG178" s="1317"/>
      <c r="AH178" s="1317"/>
      <c r="AI178" s="1317"/>
      <c r="AJ178" s="1317"/>
      <c r="AK178" s="1317"/>
      <c r="AL178" s="1317"/>
      <c r="AM178" s="1317"/>
      <c r="AN178" s="1317"/>
      <c r="AO178" s="1317"/>
      <c r="AP178" s="1317"/>
      <c r="AQ178" s="1317"/>
      <c r="AR178" s="1317"/>
      <c r="AS178" s="1317"/>
      <c r="AT178" s="1317"/>
      <c r="AU178" s="1317"/>
      <c r="AV178" s="1317"/>
      <c r="AW178" s="1317"/>
      <c r="AX178" s="1317"/>
      <c r="AY178" s="1317"/>
      <c r="AZ178" s="1317"/>
      <c r="BA178" s="1317"/>
      <c r="BB178" s="613"/>
    </row>
    <row r="179" spans="2:54">
      <c r="B179" s="1318" t="s">
        <v>526</v>
      </c>
      <c r="C179" s="1319"/>
      <c r="D179" s="624" t="s">
        <v>527</v>
      </c>
      <c r="E179" s="624"/>
      <c r="F179" s="624" t="s">
        <v>528</v>
      </c>
      <c r="G179" s="624" t="s">
        <v>529</v>
      </c>
      <c r="H179" s="624" t="s">
        <v>530</v>
      </c>
      <c r="I179" s="624" t="s">
        <v>531</v>
      </c>
      <c r="J179" s="624" t="s">
        <v>532</v>
      </c>
      <c r="K179" s="624"/>
      <c r="L179" s="624" t="s">
        <v>130</v>
      </c>
      <c r="M179" s="624" t="s">
        <v>533</v>
      </c>
      <c r="N179" s="625" t="str">
        <f>"On time - "&amp;COUNTIF(N180:N184,"On time")&amp;" from "&amp;ROWS(N180:N184)-COUNTIF(N180:N184," ")</f>
        <v>On time - 2 from 3</v>
      </c>
      <c r="O179" s="626"/>
      <c r="P179" s="627" t="s">
        <v>534</v>
      </c>
      <c r="Q179" s="627" t="s">
        <v>535</v>
      </c>
      <c r="R179" s="627" t="s">
        <v>536</v>
      </c>
      <c r="S179" s="591"/>
      <c r="T179" s="628" t="s">
        <v>537</v>
      </c>
      <c r="U179" s="628" t="s">
        <v>538</v>
      </c>
      <c r="V179" s="628" t="s">
        <v>539</v>
      </c>
      <c r="W179" s="628" t="s">
        <v>540</v>
      </c>
      <c r="X179" s="628" t="s">
        <v>541</v>
      </c>
      <c r="Y179" s="628" t="s">
        <v>167</v>
      </c>
      <c r="Z179" s="628" t="s">
        <v>168</v>
      </c>
      <c r="AA179" s="628" t="s">
        <v>169</v>
      </c>
      <c r="AB179" s="628" t="s">
        <v>235</v>
      </c>
      <c r="AC179" s="628" t="s">
        <v>240</v>
      </c>
      <c r="AD179" s="623" t="s">
        <v>85</v>
      </c>
      <c r="AE179" s="628" t="s">
        <v>139</v>
      </c>
      <c r="AF179" s="628" t="s">
        <v>72</v>
      </c>
      <c r="AG179" s="628" t="s">
        <v>88</v>
      </c>
      <c r="AH179" s="628" t="s">
        <v>75</v>
      </c>
      <c r="AI179" s="628" t="s">
        <v>543</v>
      </c>
      <c r="AJ179" s="628" t="s">
        <v>78</v>
      </c>
      <c r="AK179" s="628" t="s">
        <v>76</v>
      </c>
      <c r="AL179" s="628" t="s">
        <v>544</v>
      </c>
      <c r="AM179" s="628" t="s">
        <v>545</v>
      </c>
      <c r="AN179" s="628" t="s">
        <v>86</v>
      </c>
      <c r="AO179" s="628" t="s">
        <v>83</v>
      </c>
      <c r="AP179" s="628" t="s">
        <v>84</v>
      </c>
      <c r="AQ179" s="628" t="s">
        <v>546</v>
      </c>
      <c r="AR179" s="628" t="s">
        <v>81</v>
      </c>
      <c r="AS179" s="628" t="s">
        <v>80</v>
      </c>
      <c r="AT179" s="628" t="s">
        <v>82</v>
      </c>
      <c r="AU179" s="628" t="s">
        <v>181</v>
      </c>
      <c r="AV179" s="628" t="s">
        <v>183</v>
      </c>
      <c r="AW179" s="628" t="s">
        <v>547</v>
      </c>
      <c r="AX179" s="628" t="s">
        <v>182</v>
      </c>
      <c r="AY179" s="628" t="s">
        <v>172</v>
      </c>
      <c r="AZ179" s="628" t="s">
        <v>173</v>
      </c>
      <c r="BA179" s="628" t="s">
        <v>184</v>
      </c>
      <c r="BB179" s="613"/>
    </row>
    <row r="180" spans="2:54">
      <c r="B180" s="1315" t="s">
        <v>548</v>
      </c>
      <c r="C180" s="1316"/>
      <c r="D180" s="501" t="s">
        <v>3304</v>
      </c>
      <c r="E180" s="748"/>
      <c r="F180" s="749" t="s">
        <v>429</v>
      </c>
      <c r="G180" s="749" t="s">
        <v>430</v>
      </c>
      <c r="H180" s="503">
        <v>6873.9380000000001</v>
      </c>
      <c r="I180" s="505" t="s">
        <v>240</v>
      </c>
      <c r="J180" s="504">
        <v>45213.583333333336</v>
      </c>
      <c r="K180" s="504"/>
      <c r="L180" s="504" t="s">
        <v>192</v>
      </c>
      <c r="M180" s="504" t="s">
        <v>192</v>
      </c>
      <c r="N180" s="505" t="str">
        <f>IF(ISBLANK(J180)," ",IF(J180&lt;$F$174,"On time",(IF(DAY(J180-$F$174)&lt;1,"On time",(IF(J180&gt;$F$174,"DELAY ( "&amp;DAY(J180-$F$174)&amp;" day "&amp;HOUR(J180-$F$174)&amp;" hour "&amp;MINUTE(J180-$F$174)&amp;" minute )","xxx"))))))</f>
        <v>On time</v>
      </c>
      <c r="O180" s="597"/>
      <c r="P180" s="507" t="s">
        <v>551</v>
      </c>
      <c r="Q180" s="507" t="s">
        <v>551</v>
      </c>
      <c r="R180" s="507" t="s">
        <v>551</v>
      </c>
      <c r="S180" s="598"/>
      <c r="T180" s="599"/>
      <c r="U180" s="599"/>
      <c r="V180" s="599"/>
      <c r="W180" s="599"/>
      <c r="X180" s="508"/>
      <c r="Y180" s="508"/>
      <c r="Z180" s="508"/>
      <c r="AA180" s="508"/>
      <c r="AB180" s="508"/>
      <c r="AC180" s="508">
        <f>H180</f>
        <v>6873.9380000000001</v>
      </c>
      <c r="AD180" s="599"/>
      <c r="AE180" s="599"/>
      <c r="AF180" s="599"/>
      <c r="AG180" s="599"/>
      <c r="AH180" s="599"/>
      <c r="AI180" s="599"/>
      <c r="AJ180" s="599"/>
      <c r="AK180" s="599"/>
      <c r="AL180" s="599"/>
      <c r="AM180" s="599"/>
      <c r="AN180" s="599"/>
      <c r="AO180" s="599"/>
      <c r="AP180" s="599"/>
      <c r="AQ180" s="599"/>
      <c r="AR180" s="599"/>
      <c r="AS180" s="599"/>
      <c r="AT180" s="599"/>
      <c r="AU180" s="599"/>
      <c r="AV180" s="599"/>
      <c r="AW180" s="599"/>
      <c r="AX180" s="599"/>
      <c r="AY180" s="599"/>
      <c r="AZ180" s="599"/>
      <c r="BA180" s="599"/>
      <c r="BB180" s="598"/>
    </row>
    <row r="181" spans="2:54">
      <c r="B181" s="1315" t="s">
        <v>548</v>
      </c>
      <c r="C181" s="1316"/>
      <c r="D181" s="501" t="s">
        <v>3305</v>
      </c>
      <c r="E181" s="748"/>
      <c r="F181" s="749" t="s">
        <v>355</v>
      </c>
      <c r="G181" s="749" t="s">
        <v>356</v>
      </c>
      <c r="H181" s="503">
        <v>6779.1840000000002</v>
      </c>
      <c r="I181" s="505" t="s">
        <v>240</v>
      </c>
      <c r="J181" s="504">
        <v>45214.291666666664</v>
      </c>
      <c r="K181" s="504"/>
      <c r="L181" s="504" t="s">
        <v>192</v>
      </c>
      <c r="M181" s="504" t="s">
        <v>192</v>
      </c>
      <c r="N181" s="505" t="str">
        <f>IF(ISBLANK(J181)," ",IF(J181&lt;$F$174,"On time",(IF(DAY(J181-$F$174)&lt;1,"On time",(IF(J181&gt;$F$174,"DELAY ( "&amp;DAY(J181-$F$174)&amp;" day "&amp;HOUR(J181-$F$174)&amp;" hour "&amp;MINUTE(J181-$F$174)&amp;" minute )","xxx"))))))</f>
        <v>On time</v>
      </c>
      <c r="O181" s="597"/>
      <c r="P181" s="507" t="s">
        <v>551</v>
      </c>
      <c r="Q181" s="507" t="s">
        <v>551</v>
      </c>
      <c r="R181" s="507" t="s">
        <v>551</v>
      </c>
      <c r="S181" s="598"/>
      <c r="T181" s="599"/>
      <c r="U181" s="599"/>
      <c r="V181" s="599"/>
      <c r="W181" s="599"/>
      <c r="X181" s="508"/>
      <c r="Y181" s="500"/>
      <c r="Z181" s="508"/>
      <c r="AA181" s="508"/>
      <c r="AB181" s="508"/>
      <c r="AC181" s="508">
        <f>H181</f>
        <v>6779.1840000000002</v>
      </c>
      <c r="AD181" s="599"/>
      <c r="AE181" s="599"/>
      <c r="AF181" s="599"/>
      <c r="AG181" s="599"/>
      <c r="AH181" s="599"/>
      <c r="AI181" s="599"/>
      <c r="AJ181" s="599"/>
      <c r="AK181" s="599"/>
      <c r="AL181" s="599"/>
      <c r="AM181" s="599"/>
      <c r="AN181" s="599"/>
      <c r="AO181" s="599"/>
      <c r="AP181" s="599"/>
      <c r="AQ181" s="599"/>
      <c r="AR181" s="599"/>
      <c r="AS181" s="599"/>
      <c r="AT181" s="599"/>
      <c r="AU181" s="599"/>
      <c r="AV181" s="599"/>
      <c r="AW181" s="599"/>
      <c r="AX181" s="599"/>
      <c r="AY181" s="599"/>
      <c r="AZ181" s="599"/>
      <c r="BA181" s="599"/>
      <c r="BB181" s="598"/>
    </row>
    <row r="182" spans="2:54">
      <c r="B182" s="1315" t="s">
        <v>548</v>
      </c>
      <c r="C182" s="1316"/>
      <c r="D182" s="501" t="s">
        <v>3450</v>
      </c>
      <c r="E182" s="748"/>
      <c r="F182" s="749" t="s">
        <v>346</v>
      </c>
      <c r="G182" s="749" t="s">
        <v>347</v>
      </c>
      <c r="H182" s="503">
        <v>6190.6319999999996</v>
      </c>
      <c r="I182" s="505" t="s">
        <v>835</v>
      </c>
      <c r="J182" s="504">
        <v>45215.166666666664</v>
      </c>
      <c r="K182" s="504"/>
      <c r="L182" s="504" t="s">
        <v>192</v>
      </c>
      <c r="M182" s="504" t="s">
        <v>192</v>
      </c>
      <c r="N182" s="505" t="str">
        <f>IF(ISBLANK(J182)," ",IF(J182&lt;$F$174,"On time",(IF(DAY(J182-$F$174)&lt;1,"On time",(IF(J182&gt;$F$174,"DELAY ( "&amp;DAY(J182-$F$174)&amp;" day "&amp;HOUR(J182-$F$174)&amp;" hour "&amp;MINUTE(J182-$F$174)&amp;" minute )","xxx"))))))</f>
        <v>DELAY ( 1 day 10 hour 30 minute )</v>
      </c>
      <c r="O182" s="597"/>
      <c r="P182" s="507" t="s">
        <v>551</v>
      </c>
      <c r="Q182" s="507" t="s">
        <v>551</v>
      </c>
      <c r="R182" s="507" t="s">
        <v>551</v>
      </c>
      <c r="S182" s="598"/>
      <c r="T182" s="599"/>
      <c r="U182" s="599"/>
      <c r="V182" s="599"/>
      <c r="W182" s="599"/>
      <c r="X182" s="508"/>
      <c r="Y182" s="508"/>
      <c r="Z182" s="508">
        <f>H182</f>
        <v>6190.6319999999996</v>
      </c>
      <c r="AA182" s="508"/>
      <c r="AB182" s="508"/>
      <c r="AC182" s="508"/>
      <c r="AD182" s="599"/>
      <c r="AE182" s="599"/>
      <c r="AF182" s="599"/>
      <c r="AG182" s="599"/>
      <c r="AH182" s="599"/>
      <c r="AI182" s="599"/>
      <c r="AJ182" s="599"/>
      <c r="AK182" s="599"/>
      <c r="AL182" s="599"/>
      <c r="AM182" s="599"/>
      <c r="AN182" s="599"/>
      <c r="AO182" s="599"/>
      <c r="AP182" s="599"/>
      <c r="AQ182" s="599"/>
      <c r="AR182" s="599"/>
      <c r="AS182" s="599"/>
      <c r="AT182" s="598"/>
      <c r="AU182" s="599"/>
      <c r="AV182" s="599"/>
      <c r="AW182" s="599"/>
      <c r="AX182" s="599"/>
      <c r="AY182" s="599"/>
      <c r="AZ182" s="599"/>
      <c r="BA182" s="599"/>
      <c r="BB182" s="598"/>
    </row>
    <row r="183" spans="2:54">
      <c r="B183" s="1258" t="s">
        <v>556</v>
      </c>
      <c r="C183" s="1259"/>
      <c r="D183" s="1259"/>
      <c r="E183" s="1259"/>
      <c r="F183" s="1259"/>
      <c r="G183" s="1260"/>
      <c r="H183" s="757">
        <f>SUM(H180:H182)</f>
        <v>19843.754000000001</v>
      </c>
      <c r="I183" s="600"/>
      <c r="J183" s="601"/>
      <c r="K183" s="601"/>
      <c r="L183" s="601"/>
      <c r="M183" s="602"/>
      <c r="N183" s="505" t="str">
        <f>IF(ISBLANK(J183)," ",IF(J183&lt;$F$174,"On time",(IF(DAY(J183-$F$174)&lt;1,"On time",(IF(J183&gt;$F$174,"DELAY ( "&amp;DAY(J183-$F$174)&amp;" day "&amp;HOUR(J183-$F$174)&amp;" hour "&amp;MINUTE(J183-$F$174)&amp;" minute )","xxx"))))))</f>
        <v xml:space="preserve"> </v>
      </c>
      <c r="O183" s="212"/>
      <c r="P183" s="590"/>
      <c r="Q183" s="590"/>
      <c r="R183" s="590"/>
      <c r="S183" s="633"/>
      <c r="T183" s="1307"/>
      <c r="U183" s="1308"/>
      <c r="V183" s="1308"/>
      <c r="W183" s="1308"/>
      <c r="X183" s="1308"/>
      <c r="Y183" s="1308"/>
      <c r="Z183" s="1308"/>
      <c r="AA183" s="1308"/>
      <c r="AB183" s="1308"/>
      <c r="AC183" s="1308"/>
      <c r="AD183" s="1308"/>
      <c r="AE183" s="1308"/>
      <c r="AF183" s="1308"/>
      <c r="AG183" s="1308"/>
      <c r="AH183" s="1308"/>
      <c r="AI183" s="1308"/>
      <c r="AJ183" s="1308"/>
      <c r="AK183" s="1308"/>
      <c r="AL183" s="1308"/>
      <c r="AM183" s="1308"/>
      <c r="AN183" s="1308"/>
      <c r="AO183" s="1308"/>
      <c r="AP183" s="1308"/>
      <c r="AQ183" s="1308"/>
      <c r="AR183" s="1308"/>
      <c r="AS183" s="1308"/>
      <c r="AT183" s="1308"/>
      <c r="AU183" s="1308"/>
      <c r="AV183" s="1308"/>
      <c r="AW183" s="1308"/>
      <c r="AX183" s="1308"/>
      <c r="AY183" s="1308"/>
      <c r="AZ183" s="1308"/>
      <c r="BA183" s="1308"/>
    </row>
    <row r="184" spans="2:54">
      <c r="B184" s="1424"/>
      <c r="C184" s="1425"/>
      <c r="D184" s="1425"/>
      <c r="E184" s="1425"/>
      <c r="F184" s="1425"/>
      <c r="G184" s="1426"/>
      <c r="H184" s="762"/>
      <c r="I184" s="1427"/>
      <c r="J184" s="1428"/>
      <c r="K184" s="1428"/>
      <c r="L184" s="1428"/>
      <c r="M184" s="1429"/>
      <c r="N184" s="505" t="str">
        <f>IF(ISBLANK(J184)," ",IF(J184&lt;$F$174,"On time",(IF(DAY(J184-$F$174)&lt;1,"On time",(IF(J184&gt;$F$174,"DELAY ( "&amp;DAY(J184-$F$174)&amp;" day "&amp;HOUR(J184-$F$174)&amp;" hour "&amp;MINUTE(J184-$F$174)&amp;" minute )","xxx"))))))</f>
        <v xml:space="preserve"> </v>
      </c>
      <c r="O184" s="591"/>
      <c r="P184" s="415"/>
      <c r="Q184" s="415"/>
      <c r="R184" s="415"/>
      <c r="S184" s="740"/>
      <c r="T184" s="592">
        <f t="shared" ref="T184:BA184" si="16">SUM(T180:T182)</f>
        <v>0</v>
      </c>
      <c r="U184" s="592">
        <f t="shared" si="16"/>
        <v>0</v>
      </c>
      <c r="V184" s="592">
        <f t="shared" si="16"/>
        <v>0</v>
      </c>
      <c r="W184" s="592">
        <f t="shared" si="16"/>
        <v>0</v>
      </c>
      <c r="X184" s="592">
        <f t="shared" si="16"/>
        <v>0</v>
      </c>
      <c r="Y184" s="592">
        <f t="shared" si="16"/>
        <v>0</v>
      </c>
      <c r="Z184" s="592">
        <f t="shared" si="16"/>
        <v>6190.6319999999996</v>
      </c>
      <c r="AA184" s="592">
        <f t="shared" si="16"/>
        <v>0</v>
      </c>
      <c r="AB184" s="592">
        <f t="shared" si="16"/>
        <v>0</v>
      </c>
      <c r="AC184" s="592">
        <f t="shared" si="16"/>
        <v>13653.121999999999</v>
      </c>
      <c r="AD184" s="592">
        <f t="shared" si="16"/>
        <v>0</v>
      </c>
      <c r="AE184" s="592">
        <f t="shared" si="16"/>
        <v>0</v>
      </c>
      <c r="AF184" s="592">
        <f t="shared" si="16"/>
        <v>0</v>
      </c>
      <c r="AG184" s="592">
        <f t="shared" si="16"/>
        <v>0</v>
      </c>
      <c r="AH184" s="592">
        <f t="shared" si="16"/>
        <v>0</v>
      </c>
      <c r="AI184" s="592">
        <f t="shared" si="16"/>
        <v>0</v>
      </c>
      <c r="AJ184" s="592">
        <f t="shared" si="16"/>
        <v>0</v>
      </c>
      <c r="AK184" s="592">
        <f t="shared" si="16"/>
        <v>0</v>
      </c>
      <c r="AL184" s="592">
        <f t="shared" si="16"/>
        <v>0</v>
      </c>
      <c r="AM184" s="592">
        <f t="shared" si="16"/>
        <v>0</v>
      </c>
      <c r="AN184" s="592">
        <f t="shared" si="16"/>
        <v>0</v>
      </c>
      <c r="AO184" s="592">
        <f t="shared" si="16"/>
        <v>0</v>
      </c>
      <c r="AP184" s="592">
        <f t="shared" si="16"/>
        <v>0</v>
      </c>
      <c r="AQ184" s="592">
        <f t="shared" si="16"/>
        <v>0</v>
      </c>
      <c r="AR184" s="592">
        <f t="shared" si="16"/>
        <v>0</v>
      </c>
      <c r="AS184" s="592">
        <f t="shared" si="16"/>
        <v>0</v>
      </c>
      <c r="AT184" s="592">
        <f t="shared" si="16"/>
        <v>0</v>
      </c>
      <c r="AU184" s="592">
        <f t="shared" si="16"/>
        <v>0</v>
      </c>
      <c r="AV184" s="592">
        <f t="shared" si="16"/>
        <v>0</v>
      </c>
      <c r="AW184" s="592">
        <f t="shared" si="16"/>
        <v>0</v>
      </c>
      <c r="AX184" s="592">
        <f t="shared" si="16"/>
        <v>0</v>
      </c>
      <c r="AY184" s="592">
        <f t="shared" si="16"/>
        <v>0</v>
      </c>
      <c r="AZ184" s="592">
        <f t="shared" si="16"/>
        <v>0</v>
      </c>
      <c r="BA184" s="592">
        <f t="shared" si="16"/>
        <v>0</v>
      </c>
      <c r="BB184" s="592">
        <f>SUM(T184:BA184)</f>
        <v>19843.754000000001</v>
      </c>
    </row>
    <row r="185" spans="2:54">
      <c r="B185" s="1424"/>
      <c r="C185" s="1425"/>
      <c r="D185" s="1425"/>
      <c r="E185" s="1425"/>
      <c r="F185" s="1425"/>
      <c r="G185" s="1426"/>
      <c r="H185" s="741"/>
      <c r="I185" s="742"/>
      <c r="J185" s="743"/>
      <c r="K185" s="743"/>
      <c r="L185" s="671"/>
      <c r="M185" s="633"/>
      <c r="N185" s="591"/>
      <c r="O185" s="591"/>
      <c r="P185" s="591"/>
      <c r="Q185" s="744"/>
      <c r="R185" s="744"/>
      <c r="S185" s="591"/>
      <c r="T185" s="645"/>
      <c r="U185" s="645"/>
      <c r="V185" s="645"/>
      <c r="W185" s="645"/>
      <c r="X185" s="645"/>
      <c r="Y185" s="645"/>
      <c r="Z185" s="645"/>
      <c r="AA185" s="645"/>
      <c r="AB185" s="645"/>
      <c r="AC185" s="591"/>
      <c r="AD185" s="591"/>
      <c r="AE185" s="591"/>
      <c r="AF185" s="591"/>
      <c r="AG185" s="591"/>
      <c r="AH185" s="591"/>
      <c r="AI185" s="591"/>
      <c r="AJ185" s="591"/>
      <c r="AK185" s="591"/>
      <c r="AL185" s="591"/>
      <c r="AM185" s="591"/>
      <c r="AN185" s="591"/>
      <c r="AO185" s="591"/>
      <c r="AP185" s="591"/>
      <c r="AQ185" s="591"/>
      <c r="AR185" s="591"/>
    </row>
    <row r="186" spans="2:54">
      <c r="B186" s="1424"/>
      <c r="C186" s="1425"/>
      <c r="D186" s="1425"/>
      <c r="E186" s="1425"/>
      <c r="F186" s="1425"/>
      <c r="G186" s="1426"/>
      <c r="H186" s="763"/>
      <c r="I186" s="745"/>
      <c r="J186" s="746"/>
      <c r="K186" s="746"/>
      <c r="L186" s="674"/>
      <c r="M186" s="633"/>
      <c r="N186" s="613"/>
      <c r="O186" s="591"/>
      <c r="P186" s="591"/>
      <c r="Q186" s="591"/>
      <c r="R186" s="591"/>
      <c r="S186" s="591"/>
      <c r="T186" s="645"/>
      <c r="U186" s="645"/>
      <c r="V186" s="645"/>
      <c r="W186" s="645"/>
      <c r="X186" s="645"/>
      <c r="Y186" s="645"/>
      <c r="Z186" s="645"/>
      <c r="AA186" s="645"/>
      <c r="AB186" s="645"/>
      <c r="AC186" s="591"/>
      <c r="AD186" s="591"/>
      <c r="AE186" s="591"/>
      <c r="AF186" s="591"/>
      <c r="AG186" s="591"/>
      <c r="AH186" s="591"/>
      <c r="AI186" s="591"/>
      <c r="AJ186" s="591"/>
      <c r="AK186" s="591"/>
      <c r="AL186" s="591"/>
      <c r="AM186" s="591"/>
      <c r="AN186" s="591"/>
      <c r="AO186" s="591"/>
      <c r="AP186" s="591"/>
      <c r="AQ186" s="591"/>
      <c r="AR186" s="591"/>
    </row>
    <row r="188" spans="2:54">
      <c r="B188" s="28" t="s">
        <v>126</v>
      </c>
      <c r="C188" s="28"/>
      <c r="D188" s="29"/>
      <c r="E188" s="30" t="s">
        <v>511</v>
      </c>
      <c r="F188" s="31" t="s">
        <v>3099</v>
      </c>
      <c r="G188" s="32"/>
      <c r="H188" s="33"/>
      <c r="I188" s="34"/>
      <c r="J188" s="35" t="s">
        <v>513</v>
      </c>
      <c r="K188" s="36" t="s">
        <v>511</v>
      </c>
      <c r="L188" s="516">
        <v>45217.489583333336</v>
      </c>
      <c r="M188" s="32"/>
      <c r="N188" s="32"/>
      <c r="O188" s="206"/>
      <c r="P188" s="205"/>
      <c r="Q188" s="202"/>
      <c r="R188" s="204"/>
      <c r="S188" s="38"/>
      <c r="T188" s="201"/>
      <c r="U188" s="201"/>
      <c r="V188" s="201"/>
      <c r="W188" s="201"/>
      <c r="X188" s="201"/>
      <c r="Y188" s="201"/>
      <c r="Z188" s="201"/>
      <c r="AA188" s="201"/>
      <c r="AB188" s="202"/>
      <c r="AC188" s="202"/>
      <c r="AD188" s="202"/>
      <c r="AE188" s="202"/>
      <c r="AF188" s="202"/>
      <c r="AG188" s="201"/>
      <c r="AH188" s="201"/>
      <c r="AI188" s="201"/>
      <c r="AJ188" s="201"/>
      <c r="AK188" s="201"/>
      <c r="AL188" s="201"/>
      <c r="AM188" s="201"/>
      <c r="AN188" s="201"/>
      <c r="AO188" s="201"/>
      <c r="AP188" s="201"/>
      <c r="AQ188" s="201"/>
      <c r="AR188" s="201"/>
      <c r="AS188" s="201"/>
      <c r="AT188" s="201"/>
      <c r="AU188" s="201"/>
      <c r="AV188" s="201"/>
      <c r="AW188" s="201"/>
      <c r="AX188" s="201"/>
      <c r="AY188" s="201"/>
      <c r="AZ188" s="201"/>
      <c r="BA188" s="201"/>
      <c r="BB188" s="201"/>
    </row>
    <row r="189" spans="2:54">
      <c r="B189" s="35" t="s">
        <v>514</v>
      </c>
      <c r="C189" s="35"/>
      <c r="D189" s="32"/>
      <c r="E189" s="36" t="s">
        <v>511</v>
      </c>
      <c r="F189" s="311" t="s">
        <v>3701</v>
      </c>
      <c r="G189" s="32"/>
      <c r="H189" s="33"/>
      <c r="I189" s="34"/>
      <c r="J189" s="35" t="s">
        <v>516</v>
      </c>
      <c r="K189" s="36" t="s">
        <v>511</v>
      </c>
      <c r="L189" s="516" t="s">
        <v>3101</v>
      </c>
      <c r="M189" s="32"/>
      <c r="N189" s="32"/>
      <c r="O189" s="206"/>
      <c r="P189" s="205"/>
      <c r="Q189" s="202"/>
      <c r="R189" s="204"/>
      <c r="S189" s="38"/>
      <c r="T189" s="201"/>
      <c r="U189" s="201"/>
      <c r="V189" s="201"/>
      <c r="W189" s="201"/>
      <c r="X189" s="201"/>
      <c r="Y189" s="201"/>
      <c r="Z189" s="201"/>
      <c r="AA189" s="201"/>
      <c r="AB189" s="202"/>
      <c r="AC189" s="202"/>
      <c r="AD189" s="202"/>
      <c r="AE189" s="202"/>
      <c r="AF189" s="202"/>
      <c r="AG189" s="201"/>
      <c r="AH189" s="201"/>
      <c r="AI189" s="201"/>
      <c r="AJ189" s="201"/>
      <c r="AK189" s="201"/>
      <c r="AL189" s="201"/>
      <c r="AM189" s="201"/>
      <c r="AN189" s="201"/>
      <c r="AO189" s="201"/>
      <c r="AP189" s="201"/>
      <c r="AQ189" s="201"/>
      <c r="AR189" s="201"/>
      <c r="AS189" s="201"/>
      <c r="AT189" s="201"/>
      <c r="AU189" s="201"/>
      <c r="AV189" s="201"/>
      <c r="AW189" s="201"/>
      <c r="AX189" s="201"/>
      <c r="AY189" s="201"/>
      <c r="AZ189" s="201"/>
      <c r="BA189" s="201"/>
      <c r="BB189" s="201"/>
    </row>
    <row r="190" spans="2:54">
      <c r="B190" s="35" t="s">
        <v>517</v>
      </c>
      <c r="C190" s="35"/>
      <c r="D190" s="32"/>
      <c r="E190" s="36" t="s">
        <v>511</v>
      </c>
      <c r="F190" s="516">
        <v>45213.3125</v>
      </c>
      <c r="G190" s="32"/>
      <c r="H190" s="33"/>
      <c r="I190" s="34"/>
      <c r="J190" s="35" t="s">
        <v>518</v>
      </c>
      <c r="K190" s="36" t="s">
        <v>511</v>
      </c>
      <c r="L190" s="544">
        <v>63000</v>
      </c>
      <c r="M190" s="40" t="s">
        <v>519</v>
      </c>
      <c r="N190" s="40"/>
      <c r="O190" s="206"/>
      <c r="P190" s="205"/>
      <c r="Q190" s="202"/>
      <c r="R190" s="204"/>
      <c r="S190" s="38"/>
      <c r="T190" s="201"/>
      <c r="U190" s="201"/>
      <c r="V190" s="201"/>
      <c r="W190" s="201"/>
      <c r="X190" s="201"/>
      <c r="Y190" s="201"/>
      <c r="Z190" s="201"/>
      <c r="AA190" s="201"/>
      <c r="AB190" s="202"/>
      <c r="AC190" s="202"/>
      <c r="AD190" s="202"/>
      <c r="AE190" s="202"/>
      <c r="AF190" s="202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201"/>
      <c r="AR190" s="201"/>
      <c r="AS190" s="201"/>
      <c r="AT190" s="201"/>
      <c r="AU190" s="201"/>
      <c r="AV190" s="201"/>
      <c r="AW190" s="201"/>
      <c r="AX190" s="201"/>
      <c r="AY190" s="201"/>
      <c r="AZ190" s="201"/>
      <c r="BA190" s="201"/>
      <c r="BB190" s="201"/>
    </row>
    <row r="191" spans="2:54">
      <c r="B191" s="35" t="s">
        <v>520</v>
      </c>
      <c r="C191" s="35"/>
      <c r="D191" s="32"/>
      <c r="E191" s="36" t="s">
        <v>511</v>
      </c>
      <c r="F191" s="37" t="s">
        <v>12</v>
      </c>
      <c r="G191" s="32"/>
      <c r="H191" s="33"/>
      <c r="I191" s="34"/>
      <c r="J191" s="35" t="s">
        <v>521</v>
      </c>
      <c r="K191" s="36" t="s">
        <v>511</v>
      </c>
      <c r="L191" s="41" t="s">
        <v>3100</v>
      </c>
      <c r="M191" s="32"/>
      <c r="N191" s="32"/>
      <c r="O191" s="206"/>
      <c r="P191" s="202"/>
      <c r="Q191" s="202"/>
      <c r="R191" s="204"/>
      <c r="S191" s="38"/>
      <c r="T191" s="201"/>
      <c r="U191" s="201"/>
      <c r="V191" s="201"/>
      <c r="W191" s="201"/>
      <c r="X191" s="201"/>
      <c r="Y191" s="201"/>
      <c r="Z191" s="201"/>
      <c r="AA191" s="201"/>
      <c r="AB191" s="202"/>
      <c r="AC191" s="202"/>
      <c r="AD191" s="202"/>
      <c r="AE191" s="202"/>
      <c r="AF191" s="202"/>
      <c r="AG191" s="201"/>
      <c r="AH191" s="201"/>
      <c r="AI191" s="201"/>
      <c r="AJ191" s="201"/>
      <c r="AK191" s="201"/>
      <c r="AL191" s="201"/>
      <c r="AM191" s="201"/>
      <c r="AN191" s="201"/>
      <c r="AO191" s="201"/>
      <c r="AP191" s="201"/>
      <c r="AQ191" s="201"/>
      <c r="AR191" s="201"/>
      <c r="AS191" s="201"/>
      <c r="AT191" s="201"/>
      <c r="AU191" s="201"/>
      <c r="AV191" s="201"/>
      <c r="AW191" s="201"/>
      <c r="AX191" s="201"/>
      <c r="AY191" s="201"/>
      <c r="AZ191" s="201"/>
      <c r="BA191" s="201"/>
      <c r="BB191" s="201"/>
    </row>
    <row r="192" spans="2:54">
      <c r="B192" s="35" t="s">
        <v>523</v>
      </c>
      <c r="C192" s="35"/>
      <c r="D192" s="32"/>
      <c r="E192" s="36" t="s">
        <v>511</v>
      </c>
      <c r="F192" s="37" t="s">
        <v>32</v>
      </c>
      <c r="G192" s="32"/>
      <c r="H192" s="33"/>
      <c r="I192" s="34"/>
      <c r="J192" s="42" t="s">
        <v>524</v>
      </c>
      <c r="K192" s="36" t="s">
        <v>511</v>
      </c>
      <c r="L192" s="43" t="s">
        <v>15</v>
      </c>
      <c r="M192" s="44"/>
      <c r="N192" s="44"/>
      <c r="O192" s="206"/>
      <c r="P192" s="205"/>
      <c r="Q192" s="202"/>
      <c r="R192" s="204"/>
      <c r="S192" s="38"/>
      <c r="T192" s="201"/>
      <c r="U192" s="201"/>
      <c r="V192" s="201"/>
      <c r="W192" s="201"/>
      <c r="X192" s="201"/>
      <c r="Y192" s="201"/>
      <c r="Z192" s="201"/>
      <c r="AA192" s="201"/>
      <c r="AB192" s="202"/>
      <c r="AC192" s="202"/>
      <c r="AD192" s="202"/>
      <c r="AE192" s="202"/>
      <c r="AF192" s="202"/>
      <c r="AG192" s="201"/>
      <c r="AH192" s="201"/>
      <c r="AI192" s="201"/>
      <c r="AJ192" s="201"/>
      <c r="AK192" s="201"/>
      <c r="AL192" s="201"/>
      <c r="AM192" s="201"/>
      <c r="AN192" s="201"/>
      <c r="AO192" s="201"/>
      <c r="AP192" s="201"/>
      <c r="AQ192" s="201"/>
      <c r="AR192" s="201"/>
      <c r="AS192" s="201"/>
      <c r="AT192" s="201"/>
      <c r="AU192" s="201"/>
      <c r="AV192" s="201"/>
      <c r="AW192" s="201"/>
      <c r="AX192" s="201"/>
      <c r="AY192" s="201"/>
      <c r="AZ192" s="201"/>
      <c r="BA192" s="201"/>
      <c r="BB192" s="201"/>
    </row>
    <row r="193" spans="2:54">
      <c r="B193" s="35" t="s">
        <v>2</v>
      </c>
      <c r="C193" s="35"/>
      <c r="D193" s="32"/>
      <c r="E193" s="36" t="s">
        <v>511</v>
      </c>
      <c r="F193" s="37" t="s">
        <v>58</v>
      </c>
      <c r="G193" s="32"/>
      <c r="H193" s="33"/>
      <c r="I193" s="45"/>
      <c r="J193" s="42"/>
      <c r="K193" s="36"/>
      <c r="L193" s="211"/>
      <c r="M193" s="201"/>
      <c r="N193" s="201"/>
      <c r="O193" s="42"/>
      <c r="P193" s="44"/>
      <c r="Q193" s="44"/>
      <c r="R193" s="44"/>
      <c r="S193" s="34"/>
      <c r="T193" s="201"/>
      <c r="U193" s="201"/>
      <c r="V193" s="201"/>
      <c r="W193" s="201"/>
      <c r="X193" s="201"/>
      <c r="Y193" s="201"/>
      <c r="Z193" s="201"/>
      <c r="AA193" s="201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201"/>
      <c r="AP193" s="201"/>
      <c r="AQ193" s="201"/>
      <c r="AR193" s="201"/>
      <c r="AS193" s="201"/>
      <c r="AT193" s="201"/>
      <c r="AU193" s="201"/>
      <c r="AV193" s="201"/>
      <c r="AW193" s="201"/>
      <c r="AX193" s="201"/>
      <c r="AY193" s="201"/>
      <c r="AZ193" s="201"/>
      <c r="BA193" s="201"/>
      <c r="BB193" s="201"/>
    </row>
    <row r="194" spans="2:54">
      <c r="B194" s="201"/>
      <c r="C194" s="201"/>
      <c r="D194" s="201"/>
      <c r="E194" s="201"/>
      <c r="F194" s="201"/>
      <c r="G194" s="201"/>
      <c r="H194" s="201"/>
      <c r="I194" s="45"/>
      <c r="J194" s="42"/>
      <c r="K194" s="42"/>
      <c r="L194" s="43"/>
      <c r="M194" s="44"/>
      <c r="N194" s="44"/>
      <c r="O194" s="42"/>
      <c r="P194" s="44"/>
      <c r="Q194" s="44"/>
      <c r="R194" s="44"/>
      <c r="S194" s="34"/>
      <c r="T194" s="1265" t="s">
        <v>87</v>
      </c>
      <c r="U194" s="1265"/>
      <c r="V194" s="1265"/>
      <c r="W194" s="1265"/>
      <c r="X194" s="1265"/>
      <c r="Y194" s="1265" t="s">
        <v>73</v>
      </c>
      <c r="Z194" s="1265"/>
      <c r="AA194" s="1265"/>
      <c r="AB194" s="1265" t="s">
        <v>74</v>
      </c>
      <c r="AC194" s="1265"/>
      <c r="AD194" s="423" t="s">
        <v>85</v>
      </c>
      <c r="AE194" s="423" t="s">
        <v>77</v>
      </c>
      <c r="AF194" s="1265" t="s">
        <v>525</v>
      </c>
      <c r="AG194" s="1265"/>
      <c r="AH194" s="1265"/>
      <c r="AI194" s="1265"/>
      <c r="AJ194" s="1265"/>
      <c r="AK194" s="1265"/>
      <c r="AL194" s="1265"/>
      <c r="AM194" s="1265"/>
      <c r="AN194" s="1265"/>
      <c r="AO194" s="1265"/>
      <c r="AP194" s="1265"/>
      <c r="AQ194" s="1265"/>
      <c r="AR194" s="1265"/>
      <c r="AS194" s="1265"/>
      <c r="AT194" s="1265"/>
      <c r="AU194" s="1265"/>
      <c r="AV194" s="1265"/>
      <c r="AW194" s="1265"/>
      <c r="AX194" s="1265"/>
      <c r="AY194" s="1265"/>
      <c r="AZ194" s="1265"/>
      <c r="BA194" s="1265"/>
      <c r="BB194" s="201"/>
    </row>
    <row r="195" spans="2:54">
      <c r="B195" s="1266" t="s">
        <v>526</v>
      </c>
      <c r="C195" s="1267"/>
      <c r="D195" s="570" t="s">
        <v>527</v>
      </c>
      <c r="E195" s="570"/>
      <c r="F195" s="570" t="s">
        <v>528</v>
      </c>
      <c r="G195" s="570" t="s">
        <v>529</v>
      </c>
      <c r="H195" s="570" t="s">
        <v>530</v>
      </c>
      <c r="I195" s="570" t="s">
        <v>531</v>
      </c>
      <c r="J195" s="570" t="s">
        <v>532</v>
      </c>
      <c r="K195" s="570"/>
      <c r="L195" s="570" t="s">
        <v>130</v>
      </c>
      <c r="M195" s="570" t="s">
        <v>533</v>
      </c>
      <c r="N195" s="625" t="str">
        <f>"On time - "&amp;COUNTIF(N196:N209,"On time")&amp;" from "&amp;ROWS(N196:N209)-COUNTIF(N196:N209," ")</f>
        <v>On time - 1 from 9</v>
      </c>
      <c r="O195" s="46"/>
      <c r="P195" s="409" t="s">
        <v>534</v>
      </c>
      <c r="Q195" s="409" t="s">
        <v>535</v>
      </c>
      <c r="R195" s="409" t="s">
        <v>536</v>
      </c>
      <c r="S195" s="32"/>
      <c r="T195" s="424" t="s">
        <v>537</v>
      </c>
      <c r="U195" s="424" t="s">
        <v>538</v>
      </c>
      <c r="V195" s="424" t="s">
        <v>539</v>
      </c>
      <c r="W195" s="424" t="s">
        <v>540</v>
      </c>
      <c r="X195" s="424" t="s">
        <v>541</v>
      </c>
      <c r="Y195" s="424" t="s">
        <v>167</v>
      </c>
      <c r="Z195" s="424" t="s">
        <v>168</v>
      </c>
      <c r="AA195" s="424" t="s">
        <v>169</v>
      </c>
      <c r="AB195" s="424" t="s">
        <v>235</v>
      </c>
      <c r="AC195" s="424" t="s">
        <v>240</v>
      </c>
      <c r="AD195" s="423" t="s">
        <v>85</v>
      </c>
      <c r="AE195" s="424" t="s">
        <v>139</v>
      </c>
      <c r="AF195" s="424" t="s">
        <v>72</v>
      </c>
      <c r="AG195" s="424" t="s">
        <v>88</v>
      </c>
      <c r="AH195" s="424" t="s">
        <v>75</v>
      </c>
      <c r="AI195" s="424" t="s">
        <v>543</v>
      </c>
      <c r="AJ195" s="424" t="s">
        <v>78</v>
      </c>
      <c r="AK195" s="424" t="s">
        <v>76</v>
      </c>
      <c r="AL195" s="424" t="s">
        <v>544</v>
      </c>
      <c r="AM195" s="424" t="s">
        <v>545</v>
      </c>
      <c r="AN195" s="424" t="s">
        <v>86</v>
      </c>
      <c r="AO195" s="424" t="s">
        <v>83</v>
      </c>
      <c r="AP195" s="424" t="s">
        <v>84</v>
      </c>
      <c r="AQ195" s="424" t="s">
        <v>546</v>
      </c>
      <c r="AR195" s="424" t="s">
        <v>81</v>
      </c>
      <c r="AS195" s="424" t="s">
        <v>80</v>
      </c>
      <c r="AT195" s="424" t="s">
        <v>82</v>
      </c>
      <c r="AU195" s="424" t="s">
        <v>181</v>
      </c>
      <c r="AV195" s="424" t="s">
        <v>183</v>
      </c>
      <c r="AW195" s="424" t="s">
        <v>547</v>
      </c>
      <c r="AX195" s="424" t="s">
        <v>182</v>
      </c>
      <c r="AY195" s="424" t="s">
        <v>172</v>
      </c>
      <c r="AZ195" s="424" t="s">
        <v>173</v>
      </c>
      <c r="BA195" s="424" t="s">
        <v>184</v>
      </c>
      <c r="BB195" s="201"/>
    </row>
    <row r="196" spans="2:54">
      <c r="B196" s="1326" t="s">
        <v>1154</v>
      </c>
      <c r="C196" s="1327"/>
      <c r="D196" s="501" t="s">
        <v>3290</v>
      </c>
      <c r="E196" s="501"/>
      <c r="F196" s="501" t="s">
        <v>307</v>
      </c>
      <c r="G196" s="501" t="s">
        <v>308</v>
      </c>
      <c r="H196" s="503">
        <v>6381.6629999999996</v>
      </c>
      <c r="I196" s="505" t="s">
        <v>742</v>
      </c>
      <c r="J196" s="504">
        <v>45214.180555555555</v>
      </c>
      <c r="K196" s="504"/>
      <c r="L196" s="504" t="s">
        <v>192</v>
      </c>
      <c r="M196" s="504" t="s">
        <v>192</v>
      </c>
      <c r="N196" s="505" t="str">
        <f>IF(ISBLANK(J196)," ",IF(J196&lt;$F$190,"On time",(IF(DAY(J196-$F$190)&lt;1,"On time",(IF(J196&gt;$F$190,"DELAY ( "&amp;DAY(J196-$F$190)&amp;" day "&amp;HOUR(J196-$F$190)&amp;" hour "&amp;MINUTE(J196-$F$190)&amp;" minute )","xxx"))))))</f>
        <v>On time</v>
      </c>
      <c r="O196" s="506"/>
      <c r="P196" s="507" t="s">
        <v>551</v>
      </c>
      <c r="Q196" s="507" t="s">
        <v>551</v>
      </c>
      <c r="R196" s="507" t="s">
        <v>551</v>
      </c>
      <c r="S196" s="500"/>
      <c r="T196" s="508"/>
      <c r="U196" s="508"/>
      <c r="V196" s="508"/>
      <c r="W196" s="508"/>
      <c r="X196" s="508"/>
      <c r="Y196" s="508"/>
      <c r="Z196" s="508"/>
      <c r="AA196" s="508"/>
      <c r="AB196" s="508">
        <f>(H196*0.8)</f>
        <v>5105.3303999999998</v>
      </c>
      <c r="AC196" s="508">
        <f>(H196*0.2)</f>
        <v>1276.3326</v>
      </c>
      <c r="AD196" s="508"/>
      <c r="AE196" s="508"/>
      <c r="AF196" s="508"/>
      <c r="AG196" s="508"/>
      <c r="AH196" s="508"/>
      <c r="AI196" s="508"/>
      <c r="AJ196" s="508"/>
      <c r="AK196" s="508"/>
      <c r="AL196" s="508"/>
      <c r="AM196" s="508"/>
      <c r="AN196" s="508"/>
      <c r="AO196" s="508"/>
      <c r="AP196" s="508"/>
      <c r="AQ196" s="508"/>
      <c r="AR196" s="508"/>
      <c r="AS196" s="508"/>
      <c r="AT196" s="508"/>
      <c r="AU196" s="508"/>
      <c r="AV196" s="508"/>
      <c r="AW196" s="508"/>
      <c r="AX196" s="508"/>
      <c r="AY196" s="508"/>
      <c r="AZ196" s="508"/>
      <c r="BA196" s="508"/>
      <c r="BB196" s="500"/>
    </row>
    <row r="197" spans="2:54">
      <c r="B197" s="1421"/>
      <c r="C197" s="1422"/>
      <c r="D197" s="501" t="s">
        <v>3408</v>
      </c>
      <c r="E197" s="502"/>
      <c r="F197" s="501" t="s">
        <v>2800</v>
      </c>
      <c r="G197" s="501" t="s">
        <v>2801</v>
      </c>
      <c r="H197" s="503">
        <f>5201/2</f>
        <v>2600.5</v>
      </c>
      <c r="I197" s="505" t="s">
        <v>82</v>
      </c>
      <c r="J197" s="1361">
        <v>45215.729166666664</v>
      </c>
      <c r="K197" s="504"/>
      <c r="L197" s="504" t="s">
        <v>192</v>
      </c>
      <c r="M197" s="504" t="s">
        <v>192</v>
      </c>
      <c r="N197" s="505" t="str">
        <f t="shared" ref="N197:N210" si="17">IF(ISBLANK(J197)," ",IF(J197&lt;$F$190,"On time",(IF(DAY(J197-$F$190)&lt;1,"On time",(IF(J197&gt;$F$190,"DELAY ( "&amp;DAY(J197-$F$190)&amp;" day "&amp;HOUR(J197-$F$190)&amp;" hour "&amp;MINUTE(J197-$F$190)&amp;" minute )","xxx"))))))</f>
        <v>DELAY ( 2 day 10 hour 0 minute )</v>
      </c>
      <c r="O197" s="506"/>
      <c r="P197" s="507" t="s">
        <v>551</v>
      </c>
      <c r="Q197" s="507" t="s">
        <v>551</v>
      </c>
      <c r="R197" s="507" t="s">
        <v>551</v>
      </c>
      <c r="S197" s="500"/>
      <c r="T197" s="508"/>
      <c r="U197" s="508"/>
      <c r="V197" s="508"/>
      <c r="W197" s="508"/>
      <c r="X197" s="508"/>
      <c r="Y197" s="508"/>
      <c r="Z197" s="508"/>
      <c r="AA197" s="508"/>
      <c r="AB197" s="508"/>
      <c r="AC197" s="508"/>
      <c r="AD197" s="508"/>
      <c r="AE197" s="508"/>
      <c r="AF197" s="508"/>
      <c r="AG197" s="508"/>
      <c r="AH197" s="508"/>
      <c r="AI197" s="508"/>
      <c r="AJ197" s="508"/>
      <c r="AK197" s="508"/>
      <c r="AL197" s="508"/>
      <c r="AM197" s="508"/>
      <c r="AN197" s="508"/>
      <c r="AO197" s="508"/>
      <c r="AP197" s="508"/>
      <c r="AQ197" s="508"/>
      <c r="AR197" s="508"/>
      <c r="AS197" s="508"/>
      <c r="AT197" s="764">
        <f>H197</f>
        <v>2600.5</v>
      </c>
      <c r="AU197" s="508"/>
      <c r="AV197" s="508"/>
      <c r="AW197" s="508"/>
      <c r="AX197" s="508"/>
      <c r="AY197" s="508"/>
      <c r="AZ197" s="508"/>
      <c r="BA197" s="508"/>
      <c r="BB197" s="500"/>
    </row>
    <row r="198" spans="2:54">
      <c r="B198" s="1326" t="s">
        <v>3702</v>
      </c>
      <c r="C198" s="1327"/>
      <c r="D198" s="501" t="s">
        <v>3408</v>
      </c>
      <c r="E198" s="502"/>
      <c r="F198" s="501" t="s">
        <v>2800</v>
      </c>
      <c r="G198" s="501" t="s">
        <v>2801</v>
      </c>
      <c r="H198" s="503">
        <f>H197</f>
        <v>2600.5</v>
      </c>
      <c r="I198" s="505" t="s">
        <v>82</v>
      </c>
      <c r="J198" s="1362"/>
      <c r="K198" s="504"/>
      <c r="L198" s="504" t="s">
        <v>192</v>
      </c>
      <c r="M198" s="504" t="s">
        <v>192</v>
      </c>
      <c r="N198" s="505" t="str">
        <f t="shared" si="17"/>
        <v xml:space="preserve"> </v>
      </c>
      <c r="O198" s="506"/>
      <c r="P198" s="507" t="s">
        <v>551</v>
      </c>
      <c r="Q198" s="507" t="s">
        <v>551</v>
      </c>
      <c r="R198" s="507" t="s">
        <v>551</v>
      </c>
      <c r="S198" s="500"/>
      <c r="T198" s="508"/>
      <c r="U198" s="508"/>
      <c r="V198" s="508"/>
      <c r="W198" s="508"/>
      <c r="X198" s="508"/>
      <c r="Y198" s="508"/>
      <c r="Z198" s="508"/>
      <c r="AA198" s="508"/>
      <c r="AB198" s="508"/>
      <c r="AC198" s="508"/>
      <c r="AD198" s="508"/>
      <c r="AE198" s="508"/>
      <c r="AF198" s="508"/>
      <c r="AG198" s="508"/>
      <c r="AH198" s="508"/>
      <c r="AI198" s="508"/>
      <c r="AJ198" s="508"/>
      <c r="AK198" s="508"/>
      <c r="AL198" s="508"/>
      <c r="AM198" s="508"/>
      <c r="AN198" s="508"/>
      <c r="AO198" s="508"/>
      <c r="AP198" s="508"/>
      <c r="AQ198" s="508"/>
      <c r="AR198" s="508"/>
      <c r="AS198" s="508"/>
      <c r="AT198" s="764">
        <f>H198</f>
        <v>2600.5</v>
      </c>
      <c r="AU198" s="508"/>
      <c r="AV198" s="508"/>
      <c r="AW198" s="508"/>
      <c r="AX198" s="508"/>
      <c r="AY198" s="508"/>
      <c r="AZ198" s="508"/>
      <c r="BA198" s="508"/>
      <c r="BB198" s="500"/>
    </row>
    <row r="199" spans="2:54">
      <c r="B199" s="1421"/>
      <c r="C199" s="1422"/>
      <c r="D199" s="501" t="s">
        <v>3316</v>
      </c>
      <c r="E199" s="501"/>
      <c r="F199" s="501" t="s">
        <v>358</v>
      </c>
      <c r="G199" s="501" t="s">
        <v>359</v>
      </c>
      <c r="H199" s="503">
        <v>9210.4189999999999</v>
      </c>
      <c r="I199" s="505" t="s">
        <v>3317</v>
      </c>
      <c r="J199" s="504">
        <v>45217.479166666664</v>
      </c>
      <c r="K199" s="504"/>
      <c r="L199" s="504" t="s">
        <v>192</v>
      </c>
      <c r="M199" s="504" t="s">
        <v>192</v>
      </c>
      <c r="N199" s="505" t="str">
        <f t="shared" si="17"/>
        <v>DELAY ( 4 day 4 hour 0 minute )</v>
      </c>
      <c r="O199" s="506"/>
      <c r="P199" s="507" t="s">
        <v>551</v>
      </c>
      <c r="Q199" s="507" t="s">
        <v>551</v>
      </c>
      <c r="R199" s="507" t="s">
        <v>551</v>
      </c>
      <c r="S199" s="500"/>
      <c r="T199" s="508"/>
      <c r="U199" s="508"/>
      <c r="V199" s="508"/>
      <c r="W199" s="508"/>
      <c r="X199" s="508"/>
      <c r="Y199" s="508"/>
      <c r="Z199" s="508"/>
      <c r="AA199" s="508"/>
      <c r="AB199" s="508">
        <f>H199*0.65</f>
        <v>5986.7723500000002</v>
      </c>
      <c r="AC199" s="508">
        <f>H199*0.35</f>
        <v>3223.6466499999997</v>
      </c>
      <c r="AD199" s="508"/>
      <c r="AE199" s="508"/>
      <c r="AF199" s="508"/>
      <c r="AG199" s="508"/>
      <c r="AH199" s="508"/>
      <c r="AI199" s="508"/>
      <c r="AJ199" s="508"/>
      <c r="AK199" s="500"/>
      <c r="AL199" s="508"/>
      <c r="AM199" s="508"/>
      <c r="AN199" s="508"/>
      <c r="AO199" s="508"/>
      <c r="AP199" s="508"/>
      <c r="AQ199" s="508"/>
      <c r="AR199" s="508"/>
      <c r="AS199" s="508"/>
      <c r="AT199" s="508"/>
      <c r="AU199" s="508"/>
      <c r="AV199" s="508"/>
      <c r="AW199" s="508"/>
      <c r="AX199" s="508"/>
      <c r="AY199" s="508"/>
      <c r="AZ199" s="508"/>
      <c r="BA199" s="508"/>
      <c r="BB199" s="500"/>
    </row>
    <row r="200" spans="2:54">
      <c r="B200" s="1326" t="s">
        <v>1995</v>
      </c>
      <c r="C200" s="1327"/>
      <c r="D200" s="501" t="s">
        <v>3404</v>
      </c>
      <c r="E200" s="502"/>
      <c r="F200" s="501" t="s">
        <v>383</v>
      </c>
      <c r="G200" s="501" t="s">
        <v>384</v>
      </c>
      <c r="H200" s="503">
        <f>5002/4</f>
        <v>1250.5</v>
      </c>
      <c r="I200" s="505" t="s">
        <v>81</v>
      </c>
      <c r="J200" s="504">
        <v>45218.291666666664</v>
      </c>
      <c r="K200" s="504"/>
      <c r="L200" s="504" t="s">
        <v>192</v>
      </c>
      <c r="M200" s="504" t="s">
        <v>192</v>
      </c>
      <c r="N200" s="505" t="str">
        <f t="shared" si="17"/>
        <v>DELAY ( 4 day 23 hour 30 minute )</v>
      </c>
      <c r="O200" s="506"/>
      <c r="P200" s="507" t="s">
        <v>551</v>
      </c>
      <c r="Q200" s="507" t="s">
        <v>551</v>
      </c>
      <c r="R200" s="507" t="s">
        <v>551</v>
      </c>
      <c r="S200" s="500"/>
      <c r="T200" s="508"/>
      <c r="U200" s="508"/>
      <c r="V200" s="508"/>
      <c r="W200" s="508"/>
      <c r="X200" s="508"/>
      <c r="Y200" s="508"/>
      <c r="Z200" s="508"/>
      <c r="AA200" s="508"/>
      <c r="AB200" s="508"/>
      <c r="AC200" s="508"/>
      <c r="AD200" s="508"/>
      <c r="AE200" s="508"/>
      <c r="AF200" s="508"/>
      <c r="AG200" s="508"/>
      <c r="AH200" s="508"/>
      <c r="AI200" s="508"/>
      <c r="AJ200" s="508"/>
      <c r="AK200" s="508"/>
      <c r="AL200" s="508"/>
      <c r="AM200" s="508"/>
      <c r="AN200" s="508"/>
      <c r="AO200" s="508"/>
      <c r="AP200" s="508"/>
      <c r="AQ200" s="508"/>
      <c r="AR200" s="508">
        <f>H200</f>
        <v>1250.5</v>
      </c>
      <c r="AS200" s="508"/>
      <c r="AT200" s="508"/>
      <c r="AU200" s="508"/>
      <c r="AV200" s="508"/>
      <c r="AW200" s="508"/>
      <c r="AX200" s="500"/>
      <c r="AY200" s="508"/>
      <c r="AZ200" s="508"/>
      <c r="BA200" s="508"/>
      <c r="BB200" s="500"/>
    </row>
    <row r="201" spans="2:54">
      <c r="B201" s="1328"/>
      <c r="C201" s="1329"/>
      <c r="D201" s="501" t="s">
        <v>3318</v>
      </c>
      <c r="E201" s="501"/>
      <c r="F201" s="501" t="s">
        <v>399</v>
      </c>
      <c r="G201" s="501" t="s">
        <v>275</v>
      </c>
      <c r="H201" s="503">
        <v>7525.0569999999998</v>
      </c>
      <c r="I201" s="505" t="s">
        <v>3317</v>
      </c>
      <c r="J201" s="504">
        <v>45217.625</v>
      </c>
      <c r="K201" s="504"/>
      <c r="L201" s="504" t="s">
        <v>192</v>
      </c>
      <c r="M201" s="504" t="s">
        <v>192</v>
      </c>
      <c r="N201" s="505" t="str">
        <f t="shared" si="17"/>
        <v>DELAY ( 4 day 7 hour 30 minute )</v>
      </c>
      <c r="O201" s="506"/>
      <c r="P201" s="507" t="s">
        <v>551</v>
      </c>
      <c r="Q201" s="507" t="s">
        <v>551</v>
      </c>
      <c r="R201" s="507" t="s">
        <v>551</v>
      </c>
      <c r="S201" s="500"/>
      <c r="T201" s="508"/>
      <c r="U201" s="508"/>
      <c r="V201" s="508"/>
      <c r="W201" s="508"/>
      <c r="X201" s="508"/>
      <c r="Y201" s="508"/>
      <c r="Z201" s="508"/>
      <c r="AA201" s="508"/>
      <c r="AB201" s="508">
        <f>H201*0.65</f>
        <v>4891.2870499999999</v>
      </c>
      <c r="AC201" s="508">
        <f>H201*0.35</f>
        <v>2633.7699499999999</v>
      </c>
      <c r="AD201" s="508"/>
      <c r="AE201" s="508"/>
      <c r="AF201" s="508"/>
      <c r="AG201" s="508"/>
      <c r="AH201" s="508"/>
      <c r="AI201" s="508"/>
      <c r="AJ201" s="508"/>
      <c r="AK201" s="508"/>
      <c r="AL201" s="508"/>
      <c r="AM201" s="508"/>
      <c r="AN201" s="508"/>
      <c r="AO201" s="508"/>
      <c r="AP201" s="508"/>
      <c r="AQ201" s="508"/>
      <c r="AR201" s="508"/>
      <c r="AS201" s="508"/>
      <c r="AT201" s="508"/>
      <c r="AU201" s="508"/>
      <c r="AV201" s="508"/>
      <c r="AW201" s="508"/>
      <c r="AX201" s="508"/>
      <c r="AY201" s="508"/>
      <c r="AZ201" s="508"/>
      <c r="BA201" s="508"/>
      <c r="BB201" s="500"/>
    </row>
    <row r="202" spans="2:54">
      <c r="B202" s="1326" t="s">
        <v>3703</v>
      </c>
      <c r="C202" s="1327"/>
      <c r="D202" s="501" t="s">
        <v>3404</v>
      </c>
      <c r="E202" s="502"/>
      <c r="F202" s="501" t="s">
        <v>383</v>
      </c>
      <c r="G202" s="501" t="s">
        <v>384</v>
      </c>
      <c r="H202" s="503">
        <f>H200</f>
        <v>1250.5</v>
      </c>
      <c r="I202" s="505" t="s">
        <v>81</v>
      </c>
      <c r="J202" s="504"/>
      <c r="K202" s="504"/>
      <c r="L202" s="504" t="s">
        <v>192</v>
      </c>
      <c r="M202" s="504" t="s">
        <v>192</v>
      </c>
      <c r="N202" s="505" t="str">
        <f t="shared" si="17"/>
        <v xml:space="preserve"> </v>
      </c>
      <c r="O202" s="506"/>
      <c r="P202" s="507" t="s">
        <v>551</v>
      </c>
      <c r="Q202" s="507" t="s">
        <v>551</v>
      </c>
      <c r="R202" s="507" t="s">
        <v>551</v>
      </c>
      <c r="S202" s="500"/>
      <c r="T202" s="508"/>
      <c r="U202" s="508"/>
      <c r="V202" s="508"/>
      <c r="W202" s="508"/>
      <c r="X202" s="508"/>
      <c r="Y202" s="508"/>
      <c r="Z202" s="508"/>
      <c r="AA202" s="508"/>
      <c r="AB202" s="508"/>
      <c r="AC202" s="508"/>
      <c r="AD202" s="508"/>
      <c r="AE202" s="508"/>
      <c r="AF202" s="508"/>
      <c r="AG202" s="508"/>
      <c r="AH202" s="508"/>
      <c r="AI202" s="508"/>
      <c r="AJ202" s="508"/>
      <c r="AK202" s="508"/>
      <c r="AL202" s="508"/>
      <c r="AM202" s="508"/>
      <c r="AN202" s="508"/>
      <c r="AO202" s="508"/>
      <c r="AP202" s="508"/>
      <c r="AQ202" s="508"/>
      <c r="AR202" s="508">
        <f>H202</f>
        <v>1250.5</v>
      </c>
      <c r="AS202" s="508"/>
      <c r="AT202" s="508"/>
      <c r="AU202" s="508"/>
      <c r="AV202" s="508"/>
      <c r="AW202" s="508"/>
      <c r="AX202" s="500"/>
      <c r="AY202" s="508"/>
      <c r="AZ202" s="508"/>
      <c r="BA202" s="508"/>
      <c r="BB202" s="500"/>
    </row>
    <row r="203" spans="2:54">
      <c r="B203" s="1328"/>
      <c r="C203" s="1329"/>
      <c r="D203" s="501" t="s">
        <v>3319</v>
      </c>
      <c r="E203" s="501"/>
      <c r="F203" s="501" t="s">
        <v>377</v>
      </c>
      <c r="G203" s="501" t="s">
        <v>378</v>
      </c>
      <c r="H203" s="503">
        <v>7916.8580000000002</v>
      </c>
      <c r="I203" s="505" t="s">
        <v>3317</v>
      </c>
      <c r="J203" s="504">
        <v>45218.041666666664</v>
      </c>
      <c r="K203" s="504"/>
      <c r="L203" s="504" t="s">
        <v>192</v>
      </c>
      <c r="M203" s="504" t="s">
        <v>192</v>
      </c>
      <c r="N203" s="505" t="str">
        <f t="shared" si="17"/>
        <v>DELAY ( 4 day 17 hour 30 minute )</v>
      </c>
      <c r="O203" s="506"/>
      <c r="P203" s="507" t="s">
        <v>551</v>
      </c>
      <c r="Q203" s="507" t="s">
        <v>551</v>
      </c>
      <c r="R203" s="507" t="s">
        <v>551</v>
      </c>
      <c r="S203" s="500"/>
      <c r="T203" s="508"/>
      <c r="U203" s="508"/>
      <c r="V203" s="508"/>
      <c r="W203" s="508"/>
      <c r="X203" s="508"/>
      <c r="Y203" s="508"/>
      <c r="Z203" s="508"/>
      <c r="AA203" s="508"/>
      <c r="AB203" s="508">
        <f>H203*0.65</f>
        <v>5145.9576999999999</v>
      </c>
      <c r="AC203" s="508">
        <f>H203*0.35</f>
        <v>2770.9002999999998</v>
      </c>
      <c r="AD203" s="508"/>
      <c r="AE203" s="508"/>
      <c r="AF203" s="508"/>
      <c r="AG203" s="508"/>
      <c r="AH203" s="508"/>
      <c r="AI203" s="508"/>
      <c r="AJ203" s="508"/>
      <c r="AK203" s="508"/>
      <c r="AL203" s="508"/>
      <c r="AM203" s="508"/>
      <c r="AN203" s="508"/>
      <c r="AO203" s="508"/>
      <c r="AP203" s="508"/>
      <c r="AQ203" s="508"/>
      <c r="AR203" s="508"/>
      <c r="AS203" s="508"/>
      <c r="AT203" s="508"/>
      <c r="AU203" s="508"/>
      <c r="AV203" s="508"/>
      <c r="AW203" s="508"/>
      <c r="AX203" s="508"/>
      <c r="AY203" s="508"/>
      <c r="AZ203" s="508"/>
      <c r="BA203" s="508"/>
      <c r="BB203" s="500"/>
    </row>
    <row r="204" spans="2:54">
      <c r="B204" s="1326" t="s">
        <v>1995</v>
      </c>
      <c r="C204" s="1327"/>
      <c r="D204" s="501" t="s">
        <v>3404</v>
      </c>
      <c r="E204" s="502"/>
      <c r="F204" s="501" t="s">
        <v>383</v>
      </c>
      <c r="G204" s="501" t="s">
        <v>384</v>
      </c>
      <c r="H204" s="503">
        <f>H202</f>
        <v>1250.5</v>
      </c>
      <c r="I204" s="505" t="s">
        <v>81</v>
      </c>
      <c r="J204" s="504"/>
      <c r="K204" s="504"/>
      <c r="L204" s="504" t="s">
        <v>192</v>
      </c>
      <c r="M204" s="504" t="s">
        <v>192</v>
      </c>
      <c r="N204" s="505" t="str">
        <f t="shared" si="17"/>
        <v xml:space="preserve"> </v>
      </c>
      <c r="O204" s="506"/>
      <c r="P204" s="507" t="s">
        <v>551</v>
      </c>
      <c r="Q204" s="507" t="s">
        <v>551</v>
      </c>
      <c r="R204" s="507" t="s">
        <v>551</v>
      </c>
      <c r="S204" s="500"/>
      <c r="T204" s="508"/>
      <c r="U204" s="508"/>
      <c r="V204" s="508"/>
      <c r="W204" s="508"/>
      <c r="X204" s="508"/>
      <c r="Y204" s="508"/>
      <c r="Z204" s="508"/>
      <c r="AA204" s="508"/>
      <c r="AB204" s="508"/>
      <c r="AC204" s="508"/>
      <c r="AD204" s="508"/>
      <c r="AE204" s="508"/>
      <c r="AF204" s="508"/>
      <c r="AG204" s="508"/>
      <c r="AH204" s="508"/>
      <c r="AI204" s="508"/>
      <c r="AJ204" s="508"/>
      <c r="AK204" s="508"/>
      <c r="AL204" s="508"/>
      <c r="AM204" s="508"/>
      <c r="AN204" s="508"/>
      <c r="AO204" s="508"/>
      <c r="AP204" s="508"/>
      <c r="AQ204" s="508"/>
      <c r="AR204" s="508">
        <f>H204</f>
        <v>1250.5</v>
      </c>
      <c r="AS204" s="508"/>
      <c r="AT204" s="508"/>
      <c r="AU204" s="508"/>
      <c r="AV204" s="508"/>
      <c r="AW204" s="508"/>
      <c r="AX204" s="500"/>
      <c r="AY204" s="508"/>
      <c r="AZ204" s="508"/>
      <c r="BA204" s="508"/>
      <c r="BB204" s="500"/>
    </row>
    <row r="205" spans="2:54">
      <c r="B205" s="1328"/>
      <c r="C205" s="1329"/>
      <c r="D205" s="501" t="s">
        <v>3320</v>
      </c>
      <c r="E205" s="501"/>
      <c r="F205" s="501" t="s">
        <v>2322</v>
      </c>
      <c r="G205" s="501" t="s">
        <v>3321</v>
      </c>
      <c r="H205" s="503">
        <v>7596.2</v>
      </c>
      <c r="I205" s="505" t="s">
        <v>3317</v>
      </c>
      <c r="J205" s="504">
        <v>45219.020833333336</v>
      </c>
      <c r="K205" s="504"/>
      <c r="L205" s="504" t="s">
        <v>192</v>
      </c>
      <c r="M205" s="504" t="s">
        <v>192</v>
      </c>
      <c r="N205" s="505" t="str">
        <f t="shared" si="17"/>
        <v>DELAY ( 5 day 17 hour 0 minute )</v>
      </c>
      <c r="O205" s="506"/>
      <c r="P205" s="507" t="s">
        <v>551</v>
      </c>
      <c r="Q205" s="507" t="s">
        <v>551</v>
      </c>
      <c r="R205" s="507" t="s">
        <v>551</v>
      </c>
      <c r="S205" s="500"/>
      <c r="T205" s="508"/>
      <c r="U205" s="508"/>
      <c r="V205" s="508"/>
      <c r="W205" s="508"/>
      <c r="X205" s="508"/>
      <c r="Y205" s="508"/>
      <c r="Z205" s="508"/>
      <c r="AA205" s="508"/>
      <c r="AB205" s="508">
        <f>H205*0.65</f>
        <v>4937.53</v>
      </c>
      <c r="AC205" s="508">
        <f>H205*0.35</f>
        <v>2658.6699999999996</v>
      </c>
      <c r="AD205" s="508"/>
      <c r="AE205" s="508"/>
      <c r="AF205" s="508"/>
      <c r="AG205" s="508"/>
      <c r="AH205" s="508"/>
      <c r="AI205" s="508"/>
      <c r="AJ205" s="508"/>
      <c r="AK205" s="508"/>
      <c r="AL205" s="508"/>
      <c r="AM205" s="508"/>
      <c r="AN205" s="508"/>
      <c r="AO205" s="508"/>
      <c r="AP205" s="508"/>
      <c r="AQ205" s="508"/>
      <c r="AR205" s="508"/>
      <c r="AS205" s="508"/>
      <c r="AT205" s="508"/>
      <c r="AU205" s="508"/>
      <c r="AV205" s="508"/>
      <c r="AW205" s="508"/>
      <c r="AX205" s="508"/>
      <c r="AY205" s="508"/>
      <c r="AZ205" s="508"/>
      <c r="BA205" s="508"/>
      <c r="BB205" s="500"/>
    </row>
    <row r="206" spans="2:54">
      <c r="B206" s="1326" t="s">
        <v>2413</v>
      </c>
      <c r="C206" s="1327"/>
      <c r="D206" s="501" t="s">
        <v>3404</v>
      </c>
      <c r="E206" s="502"/>
      <c r="F206" s="501" t="s">
        <v>383</v>
      </c>
      <c r="G206" s="501" t="s">
        <v>384</v>
      </c>
      <c r="H206" s="503">
        <f>H204</f>
        <v>1250.5</v>
      </c>
      <c r="I206" s="505" t="s">
        <v>81</v>
      </c>
      <c r="J206" s="504"/>
      <c r="K206" s="504"/>
      <c r="L206" s="504" t="s">
        <v>192</v>
      </c>
      <c r="M206" s="504" t="s">
        <v>192</v>
      </c>
      <c r="N206" s="505" t="str">
        <f t="shared" si="17"/>
        <v xml:space="preserve"> </v>
      </c>
      <c r="O206" s="506"/>
      <c r="P206" s="507" t="s">
        <v>551</v>
      </c>
      <c r="Q206" s="507" t="s">
        <v>551</v>
      </c>
      <c r="R206" s="507" t="s">
        <v>551</v>
      </c>
      <c r="S206" s="500"/>
      <c r="T206" s="508"/>
      <c r="U206" s="508"/>
      <c r="V206" s="508"/>
      <c r="W206" s="508"/>
      <c r="X206" s="508"/>
      <c r="Y206" s="508"/>
      <c r="Z206" s="508"/>
      <c r="AA206" s="508"/>
      <c r="AB206" s="508"/>
      <c r="AC206" s="508"/>
      <c r="AD206" s="508"/>
      <c r="AE206" s="508"/>
      <c r="AF206" s="508"/>
      <c r="AG206" s="508"/>
      <c r="AH206" s="508"/>
      <c r="AI206" s="508"/>
      <c r="AJ206" s="508"/>
      <c r="AK206" s="508"/>
      <c r="AL206" s="508"/>
      <c r="AM206" s="508"/>
      <c r="AN206" s="508"/>
      <c r="AO206" s="508"/>
      <c r="AP206" s="508"/>
      <c r="AQ206" s="508"/>
      <c r="AR206" s="508">
        <f>H206</f>
        <v>1250.5</v>
      </c>
      <c r="AS206" s="508"/>
      <c r="AT206" s="508"/>
      <c r="AU206" s="508"/>
      <c r="AV206" s="508"/>
      <c r="AW206" s="508"/>
      <c r="AX206" s="500"/>
      <c r="AY206" s="508"/>
      <c r="AZ206" s="508"/>
      <c r="BA206" s="508"/>
      <c r="BB206" s="500"/>
    </row>
    <row r="207" spans="2:54">
      <c r="B207" s="1328"/>
      <c r="C207" s="1329"/>
      <c r="D207" s="501" t="s">
        <v>3322</v>
      </c>
      <c r="E207" s="501"/>
      <c r="F207" s="501" t="s">
        <v>284</v>
      </c>
      <c r="G207" s="501" t="s">
        <v>285</v>
      </c>
      <c r="H207" s="503">
        <v>8925.0759999999991</v>
      </c>
      <c r="I207" s="505" t="s">
        <v>235</v>
      </c>
      <c r="J207" s="504">
        <v>45218.854166666664</v>
      </c>
      <c r="K207" s="504"/>
      <c r="L207" s="504" t="s">
        <v>192</v>
      </c>
      <c r="M207" s="504" t="s">
        <v>192</v>
      </c>
      <c r="N207" s="505" t="str">
        <f t="shared" si="17"/>
        <v>DELAY ( 5 day 13 hour 0 minute )</v>
      </c>
      <c r="O207" s="506"/>
      <c r="P207" s="507" t="s">
        <v>551</v>
      </c>
      <c r="Q207" s="507" t="s">
        <v>551</v>
      </c>
      <c r="R207" s="507" t="s">
        <v>551</v>
      </c>
      <c r="S207" s="500"/>
      <c r="T207" s="508"/>
      <c r="U207" s="508"/>
      <c r="V207" s="508"/>
      <c r="W207" s="508"/>
      <c r="X207" s="508"/>
      <c r="Y207" s="508"/>
      <c r="Z207" s="508"/>
      <c r="AA207" s="508"/>
      <c r="AB207" s="508">
        <f>H207</f>
        <v>8925.0759999999991</v>
      </c>
      <c r="AC207" s="508"/>
      <c r="AD207" s="508"/>
      <c r="AE207" s="508"/>
      <c r="AF207" s="508"/>
      <c r="AG207" s="508"/>
      <c r="AH207" s="508"/>
      <c r="AI207" s="508"/>
      <c r="AJ207" s="508"/>
      <c r="AK207" s="508"/>
      <c r="AL207" s="508"/>
      <c r="AM207" s="508"/>
      <c r="AN207" s="508"/>
      <c r="AO207" s="508"/>
      <c r="AP207" s="508"/>
      <c r="AQ207" s="508"/>
      <c r="AR207" s="508"/>
      <c r="AS207" s="508"/>
      <c r="AT207" s="508"/>
      <c r="AU207" s="508"/>
      <c r="AV207" s="508"/>
      <c r="AW207" s="508"/>
      <c r="AX207" s="508"/>
      <c r="AY207" s="508"/>
      <c r="AZ207" s="508"/>
      <c r="BA207" s="508"/>
      <c r="BB207" s="500"/>
    </row>
    <row r="208" spans="2:54">
      <c r="B208" s="1315" t="s">
        <v>548</v>
      </c>
      <c r="C208" s="1316"/>
      <c r="D208" s="501" t="s">
        <v>3323</v>
      </c>
      <c r="E208" s="501"/>
      <c r="F208" s="501" t="s">
        <v>1767</v>
      </c>
      <c r="G208" s="501" t="s">
        <v>2352</v>
      </c>
      <c r="H208" s="503">
        <f>7561.003-2319.276</f>
        <v>5241.7269999999999</v>
      </c>
      <c r="I208" s="505" t="s">
        <v>235</v>
      </c>
      <c r="J208" s="504">
        <v>45218.961805555555</v>
      </c>
      <c r="K208" s="504"/>
      <c r="L208" s="504" t="s">
        <v>192</v>
      </c>
      <c r="M208" s="504" t="s">
        <v>192</v>
      </c>
      <c r="N208" s="505" t="str">
        <f t="shared" si="17"/>
        <v>DELAY ( 5 day 15 hour 35 minute )</v>
      </c>
      <c r="O208" s="506"/>
      <c r="P208" s="507" t="s">
        <v>551</v>
      </c>
      <c r="Q208" s="507" t="s">
        <v>551</v>
      </c>
      <c r="R208" s="507" t="s">
        <v>551</v>
      </c>
      <c r="S208" s="500"/>
      <c r="T208" s="508"/>
      <c r="U208" s="508"/>
      <c r="V208" s="508"/>
      <c r="W208" s="508"/>
      <c r="X208" s="508"/>
      <c r="Y208" s="508"/>
      <c r="Z208" s="508"/>
      <c r="AA208" s="508"/>
      <c r="AB208" s="508">
        <f>H208</f>
        <v>5241.7269999999999</v>
      </c>
      <c r="AC208" s="508"/>
      <c r="AD208" s="508"/>
      <c r="AE208" s="508"/>
      <c r="AF208" s="508"/>
      <c r="AG208" s="508"/>
      <c r="AH208" s="508"/>
      <c r="AI208" s="508"/>
      <c r="AJ208" s="508"/>
      <c r="AK208" s="508"/>
      <c r="AL208" s="508"/>
      <c r="AM208" s="508"/>
      <c r="AN208" s="508"/>
      <c r="AO208" s="508"/>
      <c r="AP208" s="508"/>
      <c r="AQ208" s="508"/>
      <c r="AR208" s="508"/>
      <c r="AS208" s="508"/>
      <c r="AT208" s="508"/>
      <c r="AU208" s="508"/>
      <c r="AV208" s="508"/>
      <c r="AW208" s="508"/>
      <c r="AX208" s="508"/>
      <c r="AY208" s="508"/>
      <c r="AZ208" s="508"/>
      <c r="BA208" s="508"/>
      <c r="BB208" s="500"/>
    </row>
    <row r="209" spans="2:54">
      <c r="B209" s="1258" t="s">
        <v>556</v>
      </c>
      <c r="C209" s="1259"/>
      <c r="D209" s="1259"/>
      <c r="E209" s="1259"/>
      <c r="F209" s="1259"/>
      <c r="G209" s="1260"/>
      <c r="H209" s="417">
        <f>SUM(H196:H208)</f>
        <v>63000</v>
      </c>
      <c r="I209" s="388"/>
      <c r="J209" s="293"/>
      <c r="K209" s="293"/>
      <c r="L209" s="293"/>
      <c r="M209" s="389"/>
      <c r="N209" s="505" t="str">
        <f t="shared" si="17"/>
        <v xml:space="preserve"> </v>
      </c>
      <c r="O209" s="212"/>
      <c r="P209" s="418"/>
      <c r="Q209" s="418"/>
      <c r="R209" s="418"/>
      <c r="S209" s="207"/>
      <c r="T209" s="1300"/>
      <c r="U209" s="1301"/>
      <c r="V209" s="1301"/>
      <c r="W209" s="1301"/>
      <c r="X209" s="1301"/>
      <c r="Y209" s="1301"/>
      <c r="Z209" s="1301"/>
      <c r="AA209" s="1301"/>
      <c r="AB209" s="1301"/>
      <c r="AC209" s="1301"/>
      <c r="AD209" s="1301"/>
      <c r="AE209" s="1301"/>
      <c r="AF209" s="1301"/>
      <c r="AG209" s="1301"/>
      <c r="AH209" s="1301"/>
      <c r="AI209" s="1301"/>
      <c r="AJ209" s="1301"/>
      <c r="AK209" s="1301"/>
      <c r="AL209" s="1301"/>
      <c r="AM209" s="1301"/>
      <c r="AN209" s="1301"/>
      <c r="AO209" s="1301"/>
      <c r="AP209" s="1301"/>
      <c r="AQ209" s="1301"/>
      <c r="AR209" s="1301"/>
      <c r="AS209" s="1301"/>
      <c r="AT209" s="1301"/>
      <c r="AU209" s="1301"/>
      <c r="AV209" s="1301"/>
      <c r="AW209" s="1301"/>
      <c r="AX209" s="1301"/>
      <c r="AY209" s="1301"/>
      <c r="AZ209" s="1301"/>
      <c r="BA209" s="1301"/>
    </row>
    <row r="210" spans="2:54">
      <c r="B210" s="1320" t="s">
        <v>557</v>
      </c>
      <c r="C210" s="1321"/>
      <c r="D210" s="1321"/>
      <c r="E210" s="1321"/>
      <c r="F210" s="1321"/>
      <c r="G210" s="1322"/>
      <c r="H210" s="545">
        <v>63000</v>
      </c>
      <c r="I210" s="1418"/>
      <c r="J210" s="1419"/>
      <c r="K210" s="1419"/>
      <c r="L210" s="1419"/>
      <c r="M210" s="1420"/>
      <c r="N210" s="505" t="str">
        <f t="shared" si="17"/>
        <v xml:space="preserve"> </v>
      </c>
      <c r="O210" s="32"/>
      <c r="P210" s="415"/>
      <c r="Q210" s="415"/>
      <c r="R210" s="415"/>
      <c r="S210" s="63"/>
      <c r="T210" s="416">
        <f t="shared" ref="T210:BA210" si="18">SUM(T196:T208)</f>
        <v>0</v>
      </c>
      <c r="U210" s="416">
        <f t="shared" si="18"/>
        <v>0</v>
      </c>
      <c r="V210" s="416">
        <f t="shared" si="18"/>
        <v>0</v>
      </c>
      <c r="W210" s="416">
        <f t="shared" si="18"/>
        <v>0</v>
      </c>
      <c r="X210" s="416">
        <f t="shared" si="18"/>
        <v>0</v>
      </c>
      <c r="Y210" s="416">
        <f t="shared" si="18"/>
        <v>0</v>
      </c>
      <c r="Z210" s="416">
        <f t="shared" si="18"/>
        <v>0</v>
      </c>
      <c r="AA210" s="416">
        <f t="shared" si="18"/>
        <v>0</v>
      </c>
      <c r="AB210" s="416">
        <f t="shared" si="18"/>
        <v>40233.680499999995</v>
      </c>
      <c r="AC210" s="416">
        <f t="shared" si="18"/>
        <v>12563.3195</v>
      </c>
      <c r="AD210" s="416">
        <f t="shared" si="18"/>
        <v>0</v>
      </c>
      <c r="AE210" s="416">
        <f t="shared" si="18"/>
        <v>0</v>
      </c>
      <c r="AF210" s="416">
        <f t="shared" si="18"/>
        <v>0</v>
      </c>
      <c r="AG210" s="416">
        <f t="shared" si="18"/>
        <v>0</v>
      </c>
      <c r="AH210" s="416">
        <f t="shared" si="18"/>
        <v>0</v>
      </c>
      <c r="AI210" s="416">
        <f t="shared" si="18"/>
        <v>0</v>
      </c>
      <c r="AJ210" s="416">
        <f t="shared" si="18"/>
        <v>0</v>
      </c>
      <c r="AK210" s="416">
        <f t="shared" si="18"/>
        <v>0</v>
      </c>
      <c r="AL210" s="416">
        <f t="shared" si="18"/>
        <v>0</v>
      </c>
      <c r="AM210" s="416">
        <f t="shared" si="18"/>
        <v>0</v>
      </c>
      <c r="AN210" s="416">
        <f t="shared" si="18"/>
        <v>0</v>
      </c>
      <c r="AO210" s="416">
        <f t="shared" si="18"/>
        <v>0</v>
      </c>
      <c r="AP210" s="416">
        <f t="shared" si="18"/>
        <v>0</v>
      </c>
      <c r="AQ210" s="416">
        <f t="shared" si="18"/>
        <v>0</v>
      </c>
      <c r="AR210" s="416">
        <f t="shared" si="18"/>
        <v>5002</v>
      </c>
      <c r="AS210" s="416">
        <f t="shared" si="18"/>
        <v>0</v>
      </c>
      <c r="AT210" s="416">
        <f t="shared" si="18"/>
        <v>5201</v>
      </c>
      <c r="AU210" s="416">
        <f t="shared" si="18"/>
        <v>0</v>
      </c>
      <c r="AV210" s="416">
        <f t="shared" si="18"/>
        <v>0</v>
      </c>
      <c r="AW210" s="416">
        <f t="shared" si="18"/>
        <v>0</v>
      </c>
      <c r="AX210" s="416">
        <f t="shared" si="18"/>
        <v>0</v>
      </c>
      <c r="AY210" s="416">
        <f t="shared" si="18"/>
        <v>0</v>
      </c>
      <c r="AZ210" s="416">
        <f t="shared" si="18"/>
        <v>0</v>
      </c>
      <c r="BA210" s="416">
        <f t="shared" si="18"/>
        <v>0</v>
      </c>
      <c r="BB210" s="416">
        <f>SUM(T210:BA210)</f>
        <v>62999.999999999993</v>
      </c>
    </row>
    <row r="211" spans="2:54">
      <c r="B211" s="1320" t="s">
        <v>558</v>
      </c>
      <c r="C211" s="1321"/>
      <c r="D211" s="1321"/>
      <c r="E211" s="1321"/>
      <c r="F211" s="1321"/>
      <c r="G211" s="1322"/>
      <c r="H211" s="546">
        <f>H210-L190</f>
        <v>0</v>
      </c>
      <c r="I211" s="669"/>
      <c r="J211" s="670"/>
      <c r="K211" s="670"/>
      <c r="L211" s="671"/>
      <c r="M211" s="207"/>
      <c r="N211" s="32"/>
      <c r="O211" s="32"/>
      <c r="P211" s="32"/>
      <c r="Q211" s="297"/>
      <c r="R211" s="297"/>
      <c r="S211" s="32"/>
      <c r="T211" s="48"/>
      <c r="U211" s="48"/>
      <c r="V211" s="48"/>
      <c r="W211" s="48"/>
      <c r="X211" s="48"/>
      <c r="Y211" s="48"/>
      <c r="Z211" s="48"/>
      <c r="AA211" s="48"/>
      <c r="AB211" s="48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</row>
    <row r="212" spans="2:54">
      <c r="B212" s="1320" t="s">
        <v>559</v>
      </c>
      <c r="C212" s="1321"/>
      <c r="D212" s="1321"/>
      <c r="E212" s="1321"/>
      <c r="F212" s="1321"/>
      <c r="G212" s="1322"/>
      <c r="H212" s="532">
        <v>2058.3470000000002</v>
      </c>
      <c r="I212" s="672"/>
      <c r="J212" s="673"/>
      <c r="K212" s="673"/>
      <c r="L212" s="674"/>
      <c r="M212" s="207"/>
      <c r="N212" s="201"/>
      <c r="O212" s="32"/>
      <c r="P212" s="32"/>
      <c r="Q212" s="32"/>
      <c r="R212" s="32"/>
      <c r="S212" s="32"/>
      <c r="T212" s="48"/>
      <c r="U212" s="48"/>
      <c r="V212" s="48"/>
      <c r="W212" s="48"/>
      <c r="X212" s="48"/>
      <c r="Y212" s="48"/>
      <c r="Z212" s="48"/>
      <c r="AA212" s="48"/>
      <c r="AB212" s="48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</row>
    <row r="213" spans="2:54" s="496" customFormat="1">
      <c r="B213" s="1309" t="s">
        <v>560</v>
      </c>
      <c r="C213" s="1310"/>
      <c r="D213" s="1310"/>
      <c r="E213" s="1310"/>
      <c r="F213" s="1310"/>
      <c r="G213" s="1311"/>
      <c r="H213" s="741">
        <f>H212-2319.276</f>
        <v>-260.92899999999963</v>
      </c>
      <c r="I213" s="641"/>
      <c r="J213" s="642"/>
      <c r="K213" s="642"/>
      <c r="L213" s="499"/>
      <c r="M213" s="613"/>
      <c r="N213" s="613"/>
      <c r="O213" s="613"/>
      <c r="P213" s="613"/>
      <c r="Q213" s="613"/>
      <c r="R213" s="613"/>
      <c r="S213" s="616"/>
      <c r="T213" s="616"/>
      <c r="U213" s="616"/>
      <c r="V213" s="616"/>
      <c r="W213" s="616"/>
      <c r="X213" s="616"/>
      <c r="Y213" s="616"/>
      <c r="Z213" s="616"/>
      <c r="AA213" s="616"/>
      <c r="AB213" s="613"/>
      <c r="AC213" s="613"/>
      <c r="AD213" s="613"/>
      <c r="AE213" s="613"/>
      <c r="AF213" s="613"/>
      <c r="AG213" s="613"/>
      <c r="AH213" s="613"/>
      <c r="AI213" s="613"/>
      <c r="AJ213" s="613"/>
      <c r="AK213" s="613"/>
      <c r="AL213" s="613"/>
      <c r="AM213" s="613"/>
      <c r="AN213" s="613"/>
      <c r="AO213" s="613"/>
      <c r="AP213" s="613"/>
      <c r="AQ213" s="613"/>
    </row>
    <row r="214" spans="2:54">
      <c r="B214" s="201"/>
      <c r="C214" s="201"/>
      <c r="D214" s="201"/>
      <c r="E214" s="201"/>
      <c r="F214" s="201"/>
      <c r="G214" s="201"/>
      <c r="H214" s="201"/>
      <c r="I214" s="213"/>
      <c r="J214" s="209"/>
      <c r="K214" s="209"/>
      <c r="L214" s="203"/>
      <c r="M214" s="201"/>
      <c r="N214" s="201"/>
      <c r="O214" s="209"/>
      <c r="P214" s="32"/>
      <c r="Q214" s="32"/>
      <c r="R214" s="32"/>
      <c r="S214" s="32"/>
      <c r="T214" s="48"/>
      <c r="U214" s="48"/>
      <c r="V214" s="48"/>
      <c r="W214" s="48"/>
      <c r="X214" s="48"/>
      <c r="Y214" s="48"/>
      <c r="Z214" s="48"/>
      <c r="AA214" s="48"/>
      <c r="AB214" s="48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</row>
    <row r="215" spans="2:54">
      <c r="B215" s="40" t="s">
        <v>561</v>
      </c>
      <c r="C215" s="40"/>
      <c r="D215" s="32"/>
      <c r="E215" s="32"/>
      <c r="F215" s="32"/>
      <c r="G215" s="32"/>
      <c r="H215" s="32"/>
      <c r="I215" s="32"/>
      <c r="J215" s="52"/>
      <c r="K215" s="52"/>
      <c r="L215" s="55"/>
      <c r="M215" s="32"/>
      <c r="N215" s="201"/>
      <c r="O215" s="5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1"/>
      <c r="AC215" s="201"/>
      <c r="AD215" s="201"/>
      <c r="AE215" s="201"/>
      <c r="AF215" s="201"/>
      <c r="AG215" s="201"/>
      <c r="AH215" s="201"/>
      <c r="AI215" s="201"/>
      <c r="AJ215" s="201"/>
      <c r="AK215" s="201"/>
      <c r="AL215" s="201"/>
      <c r="AM215" s="201"/>
      <c r="AN215" s="201"/>
      <c r="AO215" s="201"/>
      <c r="AP215" s="201"/>
      <c r="AQ215" s="201"/>
      <c r="AR215" s="201"/>
      <c r="AS215" s="201"/>
      <c r="AT215" s="201"/>
      <c r="AU215" s="201"/>
      <c r="BB215" s="201"/>
    </row>
    <row r="216" spans="2:54">
      <c r="B216" s="422">
        <v>1</v>
      </c>
      <c r="C216" s="1249" t="s">
        <v>3704</v>
      </c>
      <c r="D216" s="1249"/>
      <c r="E216" s="1249"/>
      <c r="F216" s="1249"/>
      <c r="G216" s="1249"/>
      <c r="H216" s="1249"/>
      <c r="I216" s="1249"/>
      <c r="J216" s="1249"/>
      <c r="K216" s="1249"/>
      <c r="L216" s="203"/>
      <c r="M216" s="203"/>
      <c r="N216" s="201"/>
      <c r="O216" s="209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1"/>
      <c r="AC216" s="201"/>
      <c r="AD216" s="201"/>
      <c r="AE216" s="201"/>
      <c r="AF216" s="201"/>
      <c r="AG216" s="201"/>
      <c r="AH216" s="201"/>
      <c r="AI216" s="201"/>
      <c r="AJ216" s="201"/>
      <c r="AK216" s="201"/>
      <c r="AL216" s="201"/>
      <c r="AM216" s="201"/>
      <c r="AN216" s="201"/>
      <c r="AO216" s="201"/>
      <c r="AP216" s="201"/>
      <c r="AQ216" s="201"/>
      <c r="AR216" s="201"/>
      <c r="AS216" s="201"/>
      <c r="AT216" s="201"/>
      <c r="AU216" s="201"/>
      <c r="AV216" s="201"/>
      <c r="AW216" s="201"/>
      <c r="AX216" s="201"/>
      <c r="AY216" s="201"/>
      <c r="AZ216" s="201"/>
      <c r="BA216" s="201"/>
      <c r="BB216" s="201"/>
    </row>
    <row r="218" spans="2:54">
      <c r="B218" s="28" t="s">
        <v>126</v>
      </c>
      <c r="C218" s="28"/>
      <c r="D218" s="29"/>
      <c r="E218" s="30" t="s">
        <v>511</v>
      </c>
      <c r="F218" s="31" t="s">
        <v>3104</v>
      </c>
      <c r="G218" s="32"/>
      <c r="H218" s="33"/>
      <c r="I218" s="34"/>
      <c r="J218" s="35" t="s">
        <v>513</v>
      </c>
      <c r="K218" s="36" t="s">
        <v>511</v>
      </c>
      <c r="L218" s="306">
        <v>45218.618055555555</v>
      </c>
      <c r="M218" s="32"/>
      <c r="N218" s="32"/>
      <c r="O218" s="206"/>
      <c r="P218" s="205"/>
      <c r="Q218" s="202"/>
      <c r="R218" s="204"/>
      <c r="S218" s="38"/>
      <c r="T218" s="201"/>
      <c r="U218" s="201"/>
      <c r="V218" s="201"/>
      <c r="W218" s="201"/>
      <c r="X218" s="201"/>
      <c r="Y218" s="201"/>
      <c r="Z218" s="201"/>
      <c r="AA218" s="201"/>
      <c r="AB218" s="202"/>
      <c r="AC218" s="202"/>
      <c r="AD218" s="202"/>
      <c r="AE218" s="202"/>
      <c r="AF218" s="202"/>
      <c r="AG218" s="201"/>
      <c r="AH218" s="201"/>
      <c r="AI218" s="201"/>
      <c r="AJ218" s="201"/>
      <c r="AK218" s="201"/>
      <c r="AL218" s="201"/>
      <c r="AM218" s="201"/>
      <c r="AN218" s="201"/>
      <c r="AO218" s="201"/>
      <c r="AP218" s="201"/>
      <c r="AQ218" s="201"/>
      <c r="AR218" s="201"/>
      <c r="AS218" s="201"/>
      <c r="AT218" s="201"/>
      <c r="AU218" s="201"/>
      <c r="AV218" s="201"/>
      <c r="AW218" s="201"/>
      <c r="AX218" s="201"/>
      <c r="AY218" s="201"/>
      <c r="AZ218" s="201"/>
      <c r="BA218" s="201"/>
      <c r="BB218" s="201"/>
    </row>
    <row r="219" spans="2:54">
      <c r="B219" s="35" t="s">
        <v>514</v>
      </c>
      <c r="C219" s="35"/>
      <c r="D219" s="32"/>
      <c r="E219" s="36" t="s">
        <v>511</v>
      </c>
      <c r="F219" s="311" t="s">
        <v>3705</v>
      </c>
      <c r="G219" s="32"/>
      <c r="H219" s="33"/>
      <c r="I219" s="34"/>
      <c r="J219" s="35" t="s">
        <v>516</v>
      </c>
      <c r="K219" s="36" t="s">
        <v>511</v>
      </c>
      <c r="L219" s="516">
        <v>45221.930555555555</v>
      </c>
      <c r="M219" s="32"/>
      <c r="N219" s="32"/>
      <c r="O219" s="206"/>
      <c r="P219" s="205"/>
      <c r="Q219" s="202"/>
      <c r="R219" s="204"/>
      <c r="S219" s="38"/>
      <c r="T219" s="201"/>
      <c r="U219" s="201"/>
      <c r="V219" s="201"/>
      <c r="W219" s="201"/>
      <c r="X219" s="201"/>
      <c r="Y219" s="201"/>
      <c r="Z219" s="201"/>
      <c r="AA219" s="201"/>
      <c r="AB219" s="202"/>
      <c r="AC219" s="202"/>
      <c r="AD219" s="202"/>
      <c r="AE219" s="202"/>
      <c r="AF219" s="202"/>
      <c r="AG219" s="201"/>
      <c r="AH219" s="201"/>
      <c r="AI219" s="201"/>
      <c r="AJ219" s="201"/>
      <c r="AK219" s="201"/>
      <c r="AL219" s="201"/>
      <c r="AM219" s="201"/>
      <c r="AN219" s="201"/>
      <c r="AO219" s="201"/>
      <c r="AP219" s="201"/>
      <c r="AQ219" s="201"/>
      <c r="AR219" s="201"/>
      <c r="AS219" s="201"/>
      <c r="AT219" s="201"/>
      <c r="AU219" s="201"/>
      <c r="AV219" s="201"/>
      <c r="AW219" s="201"/>
      <c r="AX219" s="201"/>
      <c r="AY219" s="201"/>
      <c r="AZ219" s="201"/>
      <c r="BA219" s="201"/>
      <c r="BB219" s="201"/>
    </row>
    <row r="220" spans="2:54">
      <c r="B220" s="35" t="s">
        <v>517</v>
      </c>
      <c r="C220" s="35"/>
      <c r="D220" s="32"/>
      <c r="E220" s="36" t="s">
        <v>511</v>
      </c>
      <c r="F220" s="516">
        <v>45192.347222222219</v>
      </c>
      <c r="G220" s="32"/>
      <c r="H220" s="33"/>
      <c r="I220" s="34"/>
      <c r="J220" s="35" t="s">
        <v>518</v>
      </c>
      <c r="K220" s="36" t="s">
        <v>511</v>
      </c>
      <c r="L220" s="544">
        <v>86040</v>
      </c>
      <c r="M220" s="40" t="s">
        <v>519</v>
      </c>
      <c r="N220" s="40"/>
      <c r="O220" s="206"/>
      <c r="P220" s="205"/>
      <c r="Q220" s="202"/>
      <c r="R220" s="204"/>
      <c r="S220" s="38"/>
      <c r="T220" s="201"/>
      <c r="U220" s="201"/>
      <c r="V220" s="201"/>
      <c r="W220" s="201"/>
      <c r="X220" s="201"/>
      <c r="Y220" s="201"/>
      <c r="Z220" s="201"/>
      <c r="AA220" s="201"/>
      <c r="AB220" s="202"/>
      <c r="AC220" s="202"/>
      <c r="AD220" s="202"/>
      <c r="AE220" s="202"/>
      <c r="AF220" s="202"/>
      <c r="AG220" s="201"/>
      <c r="AH220" s="201"/>
      <c r="AI220" s="201"/>
      <c r="AJ220" s="201"/>
      <c r="AK220" s="201"/>
      <c r="AL220" s="201"/>
      <c r="AM220" s="201"/>
      <c r="AN220" s="201"/>
      <c r="AO220" s="201"/>
      <c r="AP220" s="201"/>
      <c r="AQ220" s="201"/>
      <c r="AR220" s="201"/>
      <c r="AS220" s="201"/>
      <c r="AT220" s="201"/>
      <c r="AU220" s="201"/>
      <c r="AV220" s="201"/>
      <c r="AW220" s="201"/>
      <c r="AX220" s="201"/>
      <c r="AY220" s="201"/>
      <c r="AZ220" s="201"/>
      <c r="BA220" s="201"/>
      <c r="BB220" s="201"/>
    </row>
    <row r="221" spans="2:54">
      <c r="B221" s="35" t="s">
        <v>520</v>
      </c>
      <c r="C221" s="35"/>
      <c r="D221" s="32"/>
      <c r="E221" s="36" t="s">
        <v>511</v>
      </c>
      <c r="F221" s="37" t="s">
        <v>4</v>
      </c>
      <c r="G221" s="32"/>
      <c r="H221" s="33"/>
      <c r="I221" s="34"/>
      <c r="J221" s="35" t="s">
        <v>521</v>
      </c>
      <c r="K221" s="36" t="s">
        <v>511</v>
      </c>
      <c r="L221" s="41" t="s">
        <v>3105</v>
      </c>
      <c r="M221" s="32"/>
      <c r="N221" s="32"/>
      <c r="O221" s="206"/>
      <c r="P221" s="202"/>
      <c r="Q221" s="202"/>
      <c r="R221" s="204"/>
      <c r="S221" s="38"/>
      <c r="T221" s="201"/>
      <c r="U221" s="201"/>
      <c r="V221" s="201"/>
      <c r="W221" s="201"/>
      <c r="X221" s="201"/>
      <c r="Y221" s="201"/>
      <c r="Z221" s="201"/>
      <c r="AA221" s="201"/>
      <c r="AB221" s="202"/>
      <c r="AC221" s="202"/>
      <c r="AD221" s="202"/>
      <c r="AE221" s="202"/>
      <c r="AF221" s="202"/>
      <c r="AG221" s="201"/>
      <c r="AH221" s="201"/>
      <c r="AI221" s="201"/>
      <c r="AJ221" s="201"/>
      <c r="AK221" s="201"/>
      <c r="AL221" s="201"/>
      <c r="AM221" s="201"/>
      <c r="AN221" s="201"/>
      <c r="AO221" s="201"/>
      <c r="AP221" s="201"/>
      <c r="AQ221" s="201"/>
      <c r="AR221" s="201"/>
      <c r="AS221" s="201"/>
      <c r="AT221" s="201"/>
      <c r="AU221" s="201"/>
      <c r="AV221" s="201"/>
      <c r="AW221" s="201"/>
      <c r="AX221" s="201"/>
      <c r="AY221" s="201"/>
      <c r="AZ221" s="201"/>
      <c r="BA221" s="201"/>
      <c r="BB221" s="201"/>
    </row>
    <row r="222" spans="2:54">
      <c r="B222" s="35" t="s">
        <v>523</v>
      </c>
      <c r="C222" s="35"/>
      <c r="D222" s="32"/>
      <c r="E222" s="36" t="s">
        <v>511</v>
      </c>
      <c r="F222" s="37" t="s">
        <v>5</v>
      </c>
      <c r="G222" s="32"/>
      <c r="H222" s="33"/>
      <c r="I222" s="34"/>
      <c r="J222" s="42" t="s">
        <v>524</v>
      </c>
      <c r="K222" s="36" t="s">
        <v>511</v>
      </c>
      <c r="L222" s="43" t="s">
        <v>11</v>
      </c>
      <c r="M222" s="44"/>
      <c r="N222" s="44"/>
      <c r="O222" s="206"/>
      <c r="P222" s="205"/>
      <c r="Q222" s="202"/>
      <c r="R222" s="204"/>
      <c r="S222" s="38"/>
      <c r="T222" s="201"/>
      <c r="U222" s="201"/>
      <c r="V222" s="201"/>
      <c r="W222" s="201"/>
      <c r="X222" s="201"/>
      <c r="Y222" s="201"/>
      <c r="Z222" s="201"/>
      <c r="AA222" s="201"/>
      <c r="AB222" s="202"/>
      <c r="AC222" s="202"/>
      <c r="AD222" s="202"/>
      <c r="AE222" s="202"/>
      <c r="AF222" s="202"/>
      <c r="AG222" s="201"/>
      <c r="AH222" s="201"/>
      <c r="AI222" s="201"/>
      <c r="AJ222" s="201"/>
      <c r="AK222" s="201"/>
      <c r="AL222" s="201"/>
      <c r="AM222" s="201"/>
      <c r="AN222" s="201"/>
      <c r="AO222" s="201"/>
      <c r="AP222" s="201"/>
      <c r="AQ222" s="201"/>
      <c r="AR222" s="201"/>
      <c r="AS222" s="201"/>
      <c r="AT222" s="201"/>
      <c r="AU222" s="201"/>
      <c r="AV222" s="201"/>
      <c r="AW222" s="201"/>
      <c r="AX222" s="201"/>
      <c r="AY222" s="201"/>
      <c r="AZ222" s="201"/>
      <c r="BA222" s="201"/>
      <c r="BB222" s="201"/>
    </row>
    <row r="223" spans="2:54">
      <c r="B223" s="35" t="s">
        <v>2</v>
      </c>
      <c r="C223" s="35"/>
      <c r="D223" s="32"/>
      <c r="E223" s="36" t="s">
        <v>511</v>
      </c>
      <c r="F223" s="37" t="s">
        <v>14</v>
      </c>
      <c r="G223" s="32"/>
      <c r="H223" s="33"/>
      <c r="I223" s="45"/>
      <c r="J223" s="42"/>
      <c r="K223" s="36"/>
      <c r="L223" s="211"/>
      <c r="M223" s="201"/>
      <c r="N223" s="201"/>
      <c r="O223" s="42"/>
      <c r="P223" s="44"/>
      <c r="Q223" s="44"/>
      <c r="R223" s="44"/>
      <c r="S223" s="34"/>
      <c r="T223" s="201"/>
      <c r="U223" s="201"/>
      <c r="V223" s="201"/>
      <c r="W223" s="201"/>
      <c r="X223" s="201"/>
      <c r="Y223" s="201"/>
      <c r="Z223" s="201"/>
      <c r="AA223" s="201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201"/>
      <c r="AP223" s="201"/>
      <c r="AQ223" s="201"/>
      <c r="AR223" s="201"/>
      <c r="AS223" s="201"/>
      <c r="AT223" s="201"/>
      <c r="AU223" s="201"/>
      <c r="AV223" s="201"/>
      <c r="AW223" s="201"/>
      <c r="AX223" s="201"/>
      <c r="AY223" s="201"/>
      <c r="AZ223" s="201"/>
      <c r="BA223" s="201"/>
      <c r="BB223" s="201"/>
    </row>
    <row r="224" spans="2:54">
      <c r="B224" s="201"/>
      <c r="C224" s="201"/>
      <c r="D224" s="201"/>
      <c r="E224" s="201"/>
      <c r="F224" s="201"/>
      <c r="G224" s="201"/>
      <c r="H224" s="201"/>
      <c r="I224" s="45"/>
      <c r="J224" s="42"/>
      <c r="K224" s="42"/>
      <c r="L224" s="43"/>
      <c r="M224" s="44"/>
      <c r="N224" s="44"/>
      <c r="O224" s="42"/>
      <c r="P224" s="44"/>
      <c r="Q224" s="44"/>
      <c r="R224" s="44"/>
      <c r="S224" s="34"/>
      <c r="T224" s="1265" t="s">
        <v>87</v>
      </c>
      <c r="U224" s="1265"/>
      <c r="V224" s="1265"/>
      <c r="W224" s="1265"/>
      <c r="X224" s="1265"/>
      <c r="Y224" s="1265" t="s">
        <v>73</v>
      </c>
      <c r="Z224" s="1265"/>
      <c r="AA224" s="1265"/>
      <c r="AB224" s="1265" t="s">
        <v>74</v>
      </c>
      <c r="AC224" s="1265"/>
      <c r="AD224" s="423" t="s">
        <v>85</v>
      </c>
      <c r="AE224" s="423" t="s">
        <v>77</v>
      </c>
      <c r="AF224" s="1265" t="s">
        <v>525</v>
      </c>
      <c r="AG224" s="1265"/>
      <c r="AH224" s="1265"/>
      <c r="AI224" s="1265"/>
      <c r="AJ224" s="1265"/>
      <c r="AK224" s="1265"/>
      <c r="AL224" s="1265"/>
      <c r="AM224" s="1265"/>
      <c r="AN224" s="1265"/>
      <c r="AO224" s="1265"/>
      <c r="AP224" s="1265"/>
      <c r="AQ224" s="1265"/>
      <c r="AR224" s="1265"/>
      <c r="AS224" s="1265"/>
      <c r="AT224" s="1265"/>
      <c r="AU224" s="1265"/>
      <c r="AV224" s="1265"/>
      <c r="AW224" s="1265"/>
      <c r="AX224" s="1265"/>
      <c r="AY224" s="1265"/>
      <c r="AZ224" s="1265"/>
      <c r="BA224" s="1265"/>
      <c r="BB224" s="201"/>
    </row>
    <row r="225" spans="2:54">
      <c r="B225" s="1266" t="s">
        <v>526</v>
      </c>
      <c r="C225" s="1267"/>
      <c r="D225" s="570" t="s">
        <v>527</v>
      </c>
      <c r="E225" s="570"/>
      <c r="F225" s="570" t="s">
        <v>528</v>
      </c>
      <c r="G225" s="570" t="s">
        <v>529</v>
      </c>
      <c r="H225" s="570" t="s">
        <v>530</v>
      </c>
      <c r="I225" s="570" t="s">
        <v>531</v>
      </c>
      <c r="J225" s="570" t="s">
        <v>532</v>
      </c>
      <c r="K225" s="570"/>
      <c r="L225" s="570" t="s">
        <v>130</v>
      </c>
      <c r="M225" s="570" t="s">
        <v>533</v>
      </c>
      <c r="N225" s="625" t="str">
        <f>"On time - "&amp;COUNTIF(N226:N258,"On time")&amp;" from "&amp;ROWS(N226:N258)-COUNTIF(N226:N258," ")</f>
        <v>On time - 0 from 12</v>
      </c>
      <c r="O225" s="46"/>
      <c r="P225" s="409" t="s">
        <v>534</v>
      </c>
      <c r="Q225" s="409" t="s">
        <v>535</v>
      </c>
      <c r="R225" s="409" t="s">
        <v>536</v>
      </c>
      <c r="S225" s="32"/>
      <c r="T225" s="424" t="s">
        <v>537</v>
      </c>
      <c r="U225" s="424" t="s">
        <v>538</v>
      </c>
      <c r="V225" s="424" t="s">
        <v>539</v>
      </c>
      <c r="W225" s="424" t="s">
        <v>540</v>
      </c>
      <c r="X225" s="424" t="s">
        <v>541</v>
      </c>
      <c r="Y225" s="424" t="s">
        <v>167</v>
      </c>
      <c r="Z225" s="424" t="s">
        <v>168</v>
      </c>
      <c r="AA225" s="424" t="s">
        <v>169</v>
      </c>
      <c r="AB225" s="424" t="s">
        <v>235</v>
      </c>
      <c r="AC225" s="424" t="s">
        <v>240</v>
      </c>
      <c r="AD225" s="423" t="s">
        <v>85</v>
      </c>
      <c r="AE225" s="424" t="s">
        <v>139</v>
      </c>
      <c r="AF225" s="424" t="s">
        <v>72</v>
      </c>
      <c r="AG225" s="424" t="s">
        <v>88</v>
      </c>
      <c r="AH225" s="424" t="s">
        <v>75</v>
      </c>
      <c r="AI225" s="424" t="s">
        <v>543</v>
      </c>
      <c r="AJ225" s="424" t="s">
        <v>78</v>
      </c>
      <c r="AK225" s="424" t="s">
        <v>76</v>
      </c>
      <c r="AL225" s="424" t="s">
        <v>544</v>
      </c>
      <c r="AM225" s="424" t="s">
        <v>545</v>
      </c>
      <c r="AN225" s="424" t="s">
        <v>86</v>
      </c>
      <c r="AO225" s="424" t="s">
        <v>83</v>
      </c>
      <c r="AP225" s="424" t="s">
        <v>84</v>
      </c>
      <c r="AQ225" s="424" t="s">
        <v>546</v>
      </c>
      <c r="AR225" s="424" t="s">
        <v>81</v>
      </c>
      <c r="AS225" s="424" t="s">
        <v>80</v>
      </c>
      <c r="AT225" s="424" t="s">
        <v>82</v>
      </c>
      <c r="AU225" s="424" t="s">
        <v>181</v>
      </c>
      <c r="AV225" s="424" t="s">
        <v>183</v>
      </c>
      <c r="AW225" s="424" t="s">
        <v>547</v>
      </c>
      <c r="AX225" s="424" t="s">
        <v>182</v>
      </c>
      <c r="AY225" s="424" t="s">
        <v>172</v>
      </c>
      <c r="AZ225" s="424" t="s">
        <v>173</v>
      </c>
      <c r="BA225" s="424" t="s">
        <v>184</v>
      </c>
      <c r="BB225" s="201"/>
    </row>
    <row r="226" spans="2:54">
      <c r="B226" s="1315" t="s">
        <v>616</v>
      </c>
      <c r="C226" s="1316"/>
      <c r="D226" s="501" t="s">
        <v>3312</v>
      </c>
      <c r="E226" s="585"/>
      <c r="F226" s="501" t="s">
        <v>437</v>
      </c>
      <c r="G226" s="501" t="s">
        <v>320</v>
      </c>
      <c r="H226" s="503">
        <v>7576.4889999999996</v>
      </c>
      <c r="I226" s="505" t="s">
        <v>742</v>
      </c>
      <c r="J226" s="504">
        <v>45214.489583333336</v>
      </c>
      <c r="K226" s="504"/>
      <c r="L226" s="504" t="s">
        <v>192</v>
      </c>
      <c r="M226" s="504" t="s">
        <v>192</v>
      </c>
      <c r="N226" s="505" t="str">
        <f t="shared" ref="N226:N258" si="19">IF(ISBLANK(J226)," ",IF(J226&lt;$F$220,"On time",(IF(DAY(J226-$F$220)&lt;1,"On time",(IF(J226&gt;$F$220,"DELAY ( "&amp;DAY(J226-$F$220)&amp;" day "&amp;HOUR(J226-$F$220)&amp;" hour "&amp;MINUTE(J226-$F$220)&amp;" minute )","xxx"))))))</f>
        <v>DELAY ( 22 day 3 hour 25 minute )</v>
      </c>
      <c r="O226" s="506"/>
      <c r="P226" s="507" t="s">
        <v>551</v>
      </c>
      <c r="Q226" s="507" t="s">
        <v>551</v>
      </c>
      <c r="R226" s="507" t="s">
        <v>551</v>
      </c>
      <c r="S226" s="500"/>
      <c r="T226" s="508"/>
      <c r="U226" s="508"/>
      <c r="V226" s="508"/>
      <c r="W226" s="508"/>
      <c r="X226" s="508"/>
      <c r="Y226" s="508"/>
      <c r="Z226" s="508"/>
      <c r="AA226" s="508"/>
      <c r="AB226" s="508">
        <f>H226*0.65</f>
        <v>4924.71785</v>
      </c>
      <c r="AC226" s="508">
        <f>H226*0.35</f>
        <v>2651.7711499999996</v>
      </c>
      <c r="AD226" s="508"/>
      <c r="AE226" s="508"/>
      <c r="AF226" s="508"/>
      <c r="AG226" s="508"/>
      <c r="AH226" s="508"/>
      <c r="AI226" s="508"/>
      <c r="AJ226" s="508"/>
      <c r="AK226" s="508"/>
      <c r="AL226" s="508"/>
      <c r="AM226" s="508"/>
      <c r="AN226" s="508"/>
      <c r="AO226" s="508"/>
      <c r="AP226" s="508"/>
      <c r="AQ226" s="508"/>
      <c r="AR226" s="508"/>
      <c r="AS226" s="508"/>
      <c r="AT226" s="508"/>
      <c r="AU226" s="508"/>
      <c r="AV226" s="508"/>
      <c r="AW226" s="508"/>
      <c r="AX226" s="508"/>
      <c r="AY226" s="508"/>
      <c r="AZ226" s="508"/>
      <c r="BA226" s="508"/>
      <c r="BB226" s="500"/>
    </row>
    <row r="227" spans="2:54">
      <c r="B227" s="1315" t="s">
        <v>668</v>
      </c>
      <c r="C227" s="1316"/>
      <c r="D227" s="501" t="s">
        <v>3420</v>
      </c>
      <c r="E227" s="585"/>
      <c r="F227" s="501" t="s">
        <v>263</v>
      </c>
      <c r="G227" s="501" t="s">
        <v>264</v>
      </c>
      <c r="H227" s="503">
        <v>7577.3869999999997</v>
      </c>
      <c r="I227" s="505" t="s">
        <v>172</v>
      </c>
      <c r="J227" s="504">
        <v>45214.458333333336</v>
      </c>
      <c r="K227" s="504"/>
      <c r="L227" s="504" t="s">
        <v>192</v>
      </c>
      <c r="M227" s="504" t="s">
        <v>192</v>
      </c>
      <c r="N227" s="505" t="str">
        <f t="shared" si="19"/>
        <v>DELAY ( 22 day 2 hour 40 minute )</v>
      </c>
      <c r="O227" s="506"/>
      <c r="P227" s="507" t="s">
        <v>551</v>
      </c>
      <c r="Q227" s="507" t="s">
        <v>551</v>
      </c>
      <c r="R227" s="507" t="s">
        <v>551</v>
      </c>
      <c r="S227" s="500"/>
      <c r="T227" s="508"/>
      <c r="U227" s="508"/>
      <c r="V227" s="508"/>
      <c r="W227" s="508"/>
      <c r="X227" s="508"/>
      <c r="Y227" s="508"/>
      <c r="Z227" s="508"/>
      <c r="AA227" s="508"/>
      <c r="AB227" s="508"/>
      <c r="AC227" s="508"/>
      <c r="AD227" s="508"/>
      <c r="AE227" s="508"/>
      <c r="AF227" s="508"/>
      <c r="AG227" s="508"/>
      <c r="AH227" s="508"/>
      <c r="AI227" s="508"/>
      <c r="AJ227" s="508"/>
      <c r="AK227" s="508"/>
      <c r="AL227" s="508"/>
      <c r="AM227" s="508"/>
      <c r="AN227" s="508"/>
      <c r="AO227" s="508"/>
      <c r="AP227" s="508"/>
      <c r="AQ227" s="508"/>
      <c r="AR227" s="508"/>
      <c r="AS227" s="508"/>
      <c r="AT227" s="500"/>
      <c r="AU227" s="508"/>
      <c r="AV227" s="508"/>
      <c r="AW227" s="508"/>
      <c r="AX227" s="508"/>
      <c r="AY227" s="508">
        <f>H227</f>
        <v>7577.3869999999997</v>
      </c>
      <c r="AZ227" s="508"/>
      <c r="BA227" s="508"/>
      <c r="BB227" s="500"/>
    </row>
    <row r="228" spans="2:54">
      <c r="B228" s="1315" t="s">
        <v>616</v>
      </c>
      <c r="C228" s="1316"/>
      <c r="D228" s="501" t="s">
        <v>3313</v>
      </c>
      <c r="E228" s="585"/>
      <c r="F228" s="501" t="s">
        <v>1313</v>
      </c>
      <c r="G228" s="501" t="s">
        <v>2486</v>
      </c>
      <c r="H228" s="503">
        <v>7602.5990000000002</v>
      </c>
      <c r="I228" s="505" t="s">
        <v>742</v>
      </c>
      <c r="J228" s="504">
        <v>45214.895833333336</v>
      </c>
      <c r="K228" s="504"/>
      <c r="L228" s="504" t="s">
        <v>192</v>
      </c>
      <c r="M228" s="504" t="s">
        <v>192</v>
      </c>
      <c r="N228" s="505" t="str">
        <f t="shared" si="19"/>
        <v>DELAY ( 22 day 13 hour 10 minute )</v>
      </c>
      <c r="O228" s="506"/>
      <c r="P228" s="507" t="s">
        <v>551</v>
      </c>
      <c r="Q228" s="507" t="s">
        <v>551</v>
      </c>
      <c r="R228" s="507" t="s">
        <v>551</v>
      </c>
      <c r="S228" s="500"/>
      <c r="T228" s="508"/>
      <c r="U228" s="508"/>
      <c r="V228" s="508"/>
      <c r="W228" s="508"/>
      <c r="X228" s="508"/>
      <c r="Y228" s="508"/>
      <c r="Z228" s="508"/>
      <c r="AA228" s="508"/>
      <c r="AB228" s="508">
        <f>H228*0.65</f>
        <v>4941.6893500000006</v>
      </c>
      <c r="AC228" s="508">
        <f>H228*0.35</f>
        <v>2660.9096500000001</v>
      </c>
      <c r="AD228" s="508"/>
      <c r="AE228" s="508"/>
      <c r="AF228" s="508"/>
      <c r="AG228" s="508"/>
      <c r="AH228" s="508"/>
      <c r="AI228" s="508"/>
      <c r="AJ228" s="508"/>
      <c r="AK228" s="500"/>
      <c r="AL228" s="508"/>
      <c r="AM228" s="508"/>
      <c r="AN228" s="508"/>
      <c r="AO228" s="508"/>
      <c r="AP228" s="508"/>
      <c r="AQ228" s="508"/>
      <c r="AR228" s="508"/>
      <c r="AS228" s="508"/>
      <c r="AT228" s="508"/>
      <c r="AU228" s="508"/>
      <c r="AV228" s="508"/>
      <c r="AW228" s="508"/>
      <c r="AX228" s="508"/>
      <c r="AY228" s="508"/>
      <c r="AZ228" s="508"/>
      <c r="BA228" s="508"/>
      <c r="BB228" s="500"/>
    </row>
    <row r="229" spans="2:54">
      <c r="B229" s="1351" t="s">
        <v>1721</v>
      </c>
      <c r="C229" s="1352"/>
      <c r="D229" s="1352"/>
      <c r="E229" s="1352"/>
      <c r="F229" s="1352"/>
      <c r="G229" s="1353"/>
      <c r="H229" s="702">
        <f>SUM(H226:H228)</f>
        <v>22756.474999999999</v>
      </c>
      <c r="I229" s="703"/>
      <c r="J229" s="704"/>
      <c r="K229" s="704"/>
      <c r="L229" s="704"/>
      <c r="M229" s="705"/>
      <c r="N229" s="505" t="str">
        <f t="shared" si="19"/>
        <v xml:space="preserve"> </v>
      </c>
      <c r="O229" s="552"/>
      <c r="P229" s="706"/>
      <c r="Q229" s="706"/>
      <c r="R229" s="706"/>
      <c r="S229" s="598"/>
      <c r="T229" s="599"/>
      <c r="U229" s="599"/>
      <c r="V229" s="599"/>
      <c r="W229" s="599"/>
      <c r="X229" s="599"/>
      <c r="Y229" s="599"/>
      <c r="Z229" s="599"/>
      <c r="AA229" s="599"/>
      <c r="AB229" s="599"/>
      <c r="AC229" s="599"/>
      <c r="AD229" s="599"/>
      <c r="AE229" s="599"/>
      <c r="AF229" s="599"/>
      <c r="AG229" s="599"/>
      <c r="AH229" s="599"/>
      <c r="AI229" s="599"/>
      <c r="AJ229" s="599"/>
      <c r="AK229" s="599"/>
      <c r="AL229" s="599"/>
      <c r="AM229" s="599"/>
      <c r="AN229" s="599"/>
      <c r="AO229" s="599"/>
      <c r="AP229" s="599"/>
      <c r="AQ229" s="599"/>
      <c r="AR229" s="599"/>
      <c r="AS229" s="599"/>
      <c r="AT229" s="599"/>
      <c r="AU229" s="599"/>
      <c r="AV229" s="599"/>
      <c r="AW229" s="599"/>
      <c r="AX229" s="599"/>
      <c r="AY229" s="599"/>
      <c r="AZ229" s="599"/>
      <c r="BA229" s="599"/>
      <c r="BB229" s="554"/>
    </row>
    <row r="230" spans="2:54">
      <c r="B230" s="1326" t="s">
        <v>619</v>
      </c>
      <c r="C230" s="1327"/>
      <c r="D230" s="501" t="s">
        <v>3460</v>
      </c>
      <c r="E230" s="501"/>
      <c r="F230" s="501" t="s">
        <v>226</v>
      </c>
      <c r="G230" s="501" t="s">
        <v>227</v>
      </c>
      <c r="H230" s="503">
        <v>7567.3410000000003</v>
      </c>
      <c r="I230" s="505" t="s">
        <v>1372</v>
      </c>
      <c r="J230" s="504">
        <v>45215.604166666664</v>
      </c>
      <c r="K230" s="504"/>
      <c r="L230" s="504" t="s">
        <v>192</v>
      </c>
      <c r="M230" s="504" t="s">
        <v>192</v>
      </c>
      <c r="N230" s="505" t="str">
        <f t="shared" si="19"/>
        <v>DELAY ( 23 day 6 hour 10 minute )</v>
      </c>
      <c r="O230" s="506"/>
      <c r="P230" s="507" t="s">
        <v>551</v>
      </c>
      <c r="Q230" s="507" t="s">
        <v>551</v>
      </c>
      <c r="R230" s="507" t="s">
        <v>551</v>
      </c>
      <c r="S230" s="500"/>
      <c r="T230" s="508"/>
      <c r="U230" s="508"/>
      <c r="V230" s="508"/>
      <c r="W230" s="508"/>
      <c r="X230" s="508"/>
      <c r="Y230" s="508">
        <f>H230*0.7</f>
        <v>5297.1386999999995</v>
      </c>
      <c r="Z230" s="508">
        <f>H230*0.3</f>
        <v>2270.2022999999999</v>
      </c>
      <c r="AA230" s="508"/>
      <c r="AB230" s="508"/>
      <c r="AC230" s="508"/>
      <c r="AD230" s="508"/>
      <c r="AE230" s="508"/>
      <c r="AF230" s="508"/>
      <c r="AG230" s="508"/>
      <c r="AH230" s="508"/>
      <c r="AI230" s="508"/>
      <c r="AJ230" s="508"/>
      <c r="AK230" s="508"/>
      <c r="AL230" s="508"/>
      <c r="AM230" s="508"/>
      <c r="AN230" s="508"/>
      <c r="AO230" s="508"/>
      <c r="AP230" s="508"/>
      <c r="AQ230" s="508"/>
      <c r="AR230" s="508"/>
      <c r="AS230" s="508"/>
      <c r="AT230" s="508"/>
      <c r="AU230" s="508"/>
      <c r="AV230" s="508"/>
      <c r="AW230" s="508"/>
      <c r="AX230" s="508"/>
      <c r="AY230" s="508"/>
      <c r="AZ230" s="508"/>
      <c r="BA230" s="508"/>
      <c r="BB230" s="500"/>
    </row>
    <row r="231" spans="2:54">
      <c r="B231" s="1421"/>
      <c r="C231" s="1422"/>
      <c r="D231" s="501"/>
      <c r="E231" s="501"/>
      <c r="F231" s="1315" t="s">
        <v>668</v>
      </c>
      <c r="G231" s="1316"/>
      <c r="H231" s="503">
        <v>3000</v>
      </c>
      <c r="I231" s="505"/>
      <c r="J231" s="504"/>
      <c r="K231" s="504"/>
      <c r="L231" s="504"/>
      <c r="M231" s="504"/>
      <c r="N231" s="505" t="str">
        <f t="shared" si="19"/>
        <v xml:space="preserve"> </v>
      </c>
      <c r="O231" s="506"/>
      <c r="P231" s="507"/>
      <c r="Q231" s="507"/>
      <c r="R231" s="507"/>
      <c r="S231" s="500"/>
      <c r="T231" s="508"/>
      <c r="U231" s="508"/>
      <c r="V231" s="508"/>
      <c r="W231" s="508"/>
      <c r="X231" s="508"/>
      <c r="Y231" s="508"/>
      <c r="Z231" s="508"/>
      <c r="AA231" s="508"/>
      <c r="AB231" s="508"/>
      <c r="AC231" s="508"/>
      <c r="AD231" s="508"/>
      <c r="AE231" s="508"/>
      <c r="AF231" s="508"/>
      <c r="AG231" s="508"/>
      <c r="AH231" s="508"/>
      <c r="AI231" s="508"/>
      <c r="AJ231" s="508"/>
      <c r="AK231" s="508"/>
      <c r="AL231" s="508"/>
      <c r="AM231" s="508"/>
      <c r="AN231" s="508"/>
      <c r="AO231" s="508"/>
      <c r="AP231" s="508"/>
      <c r="AQ231" s="508"/>
      <c r="AR231" s="508"/>
      <c r="AS231" s="508"/>
      <c r="AT231" s="508"/>
      <c r="AU231" s="508"/>
      <c r="AV231" s="508"/>
      <c r="AW231" s="508"/>
      <c r="AX231" s="508"/>
      <c r="AY231" s="508"/>
      <c r="AZ231" s="508"/>
      <c r="BA231" s="508"/>
      <c r="BB231" s="500"/>
    </row>
    <row r="232" spans="2:54">
      <c r="B232" s="1328"/>
      <c r="C232" s="1329"/>
      <c r="D232" s="501"/>
      <c r="E232" s="501"/>
      <c r="F232" s="1315" t="s">
        <v>616</v>
      </c>
      <c r="G232" s="1316"/>
      <c r="H232" s="503">
        <v>4000</v>
      </c>
      <c r="I232" s="505"/>
      <c r="J232" s="504"/>
      <c r="K232" s="504"/>
      <c r="L232" s="504"/>
      <c r="M232" s="504"/>
      <c r="N232" s="505" t="str">
        <f t="shared" si="19"/>
        <v xml:space="preserve"> </v>
      </c>
      <c r="O232" s="506"/>
      <c r="P232" s="507"/>
      <c r="Q232" s="507"/>
      <c r="R232" s="507"/>
      <c r="S232" s="500"/>
      <c r="T232" s="508"/>
      <c r="U232" s="508"/>
      <c r="V232" s="508"/>
      <c r="W232" s="508"/>
      <c r="X232" s="508"/>
      <c r="Y232" s="508"/>
      <c r="Z232" s="508"/>
      <c r="AA232" s="508"/>
      <c r="AB232" s="508"/>
      <c r="AC232" s="508"/>
      <c r="AD232" s="508"/>
      <c r="AE232" s="508"/>
      <c r="AF232" s="508"/>
      <c r="AG232" s="508"/>
      <c r="AH232" s="508"/>
      <c r="AI232" s="508"/>
      <c r="AJ232" s="508"/>
      <c r="AK232" s="508"/>
      <c r="AL232" s="508"/>
      <c r="AM232" s="508"/>
      <c r="AN232" s="508"/>
      <c r="AO232" s="508"/>
      <c r="AP232" s="508"/>
      <c r="AQ232" s="508"/>
      <c r="AR232" s="508"/>
      <c r="AS232" s="508"/>
      <c r="AT232" s="508"/>
      <c r="AU232" s="508"/>
      <c r="AV232" s="508"/>
      <c r="AW232" s="508"/>
      <c r="AX232" s="508"/>
      <c r="AY232" s="508"/>
      <c r="AZ232" s="508"/>
      <c r="BA232" s="508"/>
      <c r="BB232" s="500"/>
    </row>
    <row r="233" spans="2:54">
      <c r="B233" s="1326" t="s">
        <v>621</v>
      </c>
      <c r="C233" s="1327"/>
      <c r="D233" s="501" t="s">
        <v>3461</v>
      </c>
      <c r="E233" s="501"/>
      <c r="F233" s="501" t="s">
        <v>323</v>
      </c>
      <c r="G233" s="501" t="s">
        <v>324</v>
      </c>
      <c r="H233" s="503">
        <v>7556.5429999999997</v>
      </c>
      <c r="I233" s="505" t="s">
        <v>494</v>
      </c>
      <c r="J233" s="504">
        <v>45215.583333333336</v>
      </c>
      <c r="K233" s="504"/>
      <c r="L233" s="504" t="s">
        <v>192</v>
      </c>
      <c r="M233" s="504" t="s">
        <v>192</v>
      </c>
      <c r="N233" s="505" t="str">
        <f t="shared" si="19"/>
        <v>DELAY ( 23 day 5 hour 40 minute )</v>
      </c>
      <c r="O233" s="506"/>
      <c r="P233" s="507" t="s">
        <v>551</v>
      </c>
      <c r="Q233" s="507" t="s">
        <v>551</v>
      </c>
      <c r="R233" s="507" t="s">
        <v>551</v>
      </c>
      <c r="S233" s="500"/>
      <c r="T233" s="508"/>
      <c r="U233" s="508"/>
      <c r="V233" s="508"/>
      <c r="W233" s="508"/>
      <c r="X233" s="508"/>
      <c r="Y233" s="768">
        <f>H233</f>
        <v>7556.5429999999997</v>
      </c>
      <c r="Z233" s="508"/>
      <c r="AA233" s="508"/>
      <c r="AB233" s="508"/>
      <c r="AC233" s="508"/>
      <c r="AD233" s="508"/>
      <c r="AE233" s="508"/>
      <c r="AF233" s="508"/>
      <c r="AG233" s="508"/>
      <c r="AH233" s="508"/>
      <c r="AI233" s="508"/>
      <c r="AJ233" s="508"/>
      <c r="AK233" s="508"/>
      <c r="AL233" s="508"/>
      <c r="AM233" s="508"/>
      <c r="AN233" s="508"/>
      <c r="AO233" s="508"/>
      <c r="AP233" s="508"/>
      <c r="AQ233" s="508"/>
      <c r="AR233" s="508"/>
      <c r="AS233" s="508"/>
      <c r="AT233" s="508"/>
      <c r="AU233" s="508"/>
      <c r="AV233" s="508"/>
      <c r="AW233" s="508"/>
      <c r="AX233" s="508"/>
      <c r="AY233" s="508"/>
      <c r="AZ233" s="508"/>
      <c r="BA233" s="508"/>
      <c r="BB233" s="500"/>
    </row>
    <row r="234" spans="2:54">
      <c r="B234" s="1421"/>
      <c r="C234" s="1422"/>
      <c r="D234" s="501"/>
      <c r="E234" s="501"/>
      <c r="F234" s="1315" t="s">
        <v>668</v>
      </c>
      <c r="G234" s="1316"/>
      <c r="H234" s="503">
        <v>1077</v>
      </c>
      <c r="I234" s="505"/>
      <c r="J234" s="504"/>
      <c r="K234" s="504"/>
      <c r="L234" s="504"/>
      <c r="M234" s="504"/>
      <c r="N234" s="505" t="str">
        <f t="shared" si="19"/>
        <v xml:space="preserve"> </v>
      </c>
      <c r="O234" s="506"/>
      <c r="P234" s="507"/>
      <c r="Q234" s="507"/>
      <c r="R234" s="507"/>
      <c r="S234" s="500"/>
      <c r="T234" s="508"/>
      <c r="U234" s="508"/>
      <c r="V234" s="508"/>
      <c r="W234" s="508"/>
      <c r="X234" s="508"/>
      <c r="Y234" s="508"/>
      <c r="Z234" s="508"/>
      <c r="AA234" s="508"/>
      <c r="AB234" s="508"/>
      <c r="AC234" s="508"/>
      <c r="AD234" s="508"/>
      <c r="AE234" s="508"/>
      <c r="AF234" s="508"/>
      <c r="AG234" s="508"/>
      <c r="AH234" s="508"/>
      <c r="AI234" s="508"/>
      <c r="AJ234" s="508"/>
      <c r="AK234" s="508"/>
      <c r="AL234" s="508"/>
      <c r="AM234" s="508"/>
      <c r="AN234" s="508"/>
      <c r="AO234" s="508"/>
      <c r="AP234" s="508"/>
      <c r="AQ234" s="508"/>
      <c r="AR234" s="508"/>
      <c r="AS234" s="508"/>
      <c r="AT234" s="508"/>
      <c r="AU234" s="508"/>
      <c r="AV234" s="508"/>
      <c r="AW234" s="508"/>
      <c r="AX234" s="508"/>
      <c r="AY234" s="508"/>
      <c r="AZ234" s="508"/>
      <c r="BA234" s="508"/>
      <c r="BB234" s="500"/>
    </row>
    <row r="235" spans="2:54">
      <c r="B235" s="1328"/>
      <c r="C235" s="1329"/>
      <c r="D235" s="501"/>
      <c r="E235" s="501"/>
      <c r="F235" s="1315" t="s">
        <v>616</v>
      </c>
      <c r="G235" s="1316"/>
      <c r="H235" s="503">
        <v>0</v>
      </c>
      <c r="I235" s="505"/>
      <c r="J235" s="504"/>
      <c r="K235" s="504"/>
      <c r="L235" s="504"/>
      <c r="M235" s="504"/>
      <c r="N235" s="505" t="str">
        <f t="shared" si="19"/>
        <v xml:space="preserve"> </v>
      </c>
      <c r="O235" s="506"/>
      <c r="P235" s="507"/>
      <c r="Q235" s="507"/>
      <c r="R235" s="507"/>
      <c r="S235" s="500"/>
      <c r="T235" s="508"/>
      <c r="U235" s="508"/>
      <c r="V235" s="508"/>
      <c r="W235" s="508"/>
      <c r="X235" s="508"/>
      <c r="Y235" s="508"/>
      <c r="Z235" s="508"/>
      <c r="AA235" s="508"/>
      <c r="AB235" s="508"/>
      <c r="AC235" s="508"/>
      <c r="AD235" s="508"/>
      <c r="AE235" s="508"/>
      <c r="AF235" s="508"/>
      <c r="AG235" s="508"/>
      <c r="AH235" s="508"/>
      <c r="AI235" s="508"/>
      <c r="AJ235" s="508"/>
      <c r="AK235" s="508"/>
      <c r="AL235" s="508"/>
      <c r="AM235" s="508"/>
      <c r="AN235" s="508"/>
      <c r="AO235" s="508"/>
      <c r="AP235" s="508"/>
      <c r="AQ235" s="508"/>
      <c r="AR235" s="508"/>
      <c r="AS235" s="508"/>
      <c r="AT235" s="508"/>
      <c r="AU235" s="508"/>
      <c r="AV235" s="508"/>
      <c r="AW235" s="508"/>
      <c r="AX235" s="508"/>
      <c r="AY235" s="508"/>
      <c r="AZ235" s="508"/>
      <c r="BA235" s="508"/>
      <c r="BB235" s="500"/>
    </row>
    <row r="236" spans="2:54">
      <c r="B236" s="1326" t="s">
        <v>622</v>
      </c>
      <c r="C236" s="1327"/>
      <c r="D236" s="501" t="s">
        <v>3459</v>
      </c>
      <c r="E236" s="501"/>
      <c r="F236" s="501" t="s">
        <v>489</v>
      </c>
      <c r="G236" s="501" t="s">
        <v>483</v>
      </c>
      <c r="H236" s="503">
        <v>7546.5820000000003</v>
      </c>
      <c r="I236" s="505" t="s">
        <v>1372</v>
      </c>
      <c r="J236" s="504">
        <v>45215.413194444445</v>
      </c>
      <c r="K236" s="504"/>
      <c r="L236" s="504" t="s">
        <v>192</v>
      </c>
      <c r="M236" s="504" t="s">
        <v>192</v>
      </c>
      <c r="N236" s="505" t="str">
        <f t="shared" si="19"/>
        <v>DELAY ( 23 day 1 hour 35 minute )</v>
      </c>
      <c r="O236" s="506"/>
      <c r="P236" s="507" t="s">
        <v>551</v>
      </c>
      <c r="Q236" s="507" t="s">
        <v>551</v>
      </c>
      <c r="R236" s="507" t="s">
        <v>551</v>
      </c>
      <c r="S236" s="500"/>
      <c r="T236" s="508"/>
      <c r="U236" s="508"/>
      <c r="V236" s="508"/>
      <c r="W236" s="508"/>
      <c r="X236" s="508"/>
      <c r="Y236" s="508">
        <f>H236*0.7</f>
        <v>5282.6073999999999</v>
      </c>
      <c r="Z236" s="508">
        <f>H236*0.3</f>
        <v>2263.9746</v>
      </c>
      <c r="AA236" s="508"/>
      <c r="AB236" s="508"/>
      <c r="AC236" s="508"/>
      <c r="AD236" s="508"/>
      <c r="AE236" s="508"/>
      <c r="AF236" s="508"/>
      <c r="AG236" s="508"/>
      <c r="AH236" s="508"/>
      <c r="AI236" s="508"/>
      <c r="AJ236" s="508"/>
      <c r="AK236" s="508"/>
      <c r="AL236" s="508"/>
      <c r="AM236" s="508"/>
      <c r="AN236" s="508"/>
      <c r="AO236" s="508"/>
      <c r="AP236" s="508"/>
      <c r="AQ236" s="508"/>
      <c r="AR236" s="508"/>
      <c r="AS236" s="508"/>
      <c r="AT236" s="508"/>
      <c r="AU236" s="508"/>
      <c r="AV236" s="508"/>
      <c r="AW236" s="508"/>
      <c r="AX236" s="508"/>
      <c r="AY236" s="508"/>
      <c r="AZ236" s="508"/>
      <c r="BA236" s="508"/>
      <c r="BB236" s="500"/>
    </row>
    <row r="237" spans="2:54">
      <c r="B237" s="1421"/>
      <c r="C237" s="1422"/>
      <c r="D237" s="501"/>
      <c r="E237" s="501"/>
      <c r="F237" s="1315" t="s">
        <v>668</v>
      </c>
      <c r="G237" s="1316"/>
      <c r="H237" s="503">
        <f>3500+0.387</f>
        <v>3500.3870000000002</v>
      </c>
      <c r="I237" s="505"/>
      <c r="J237" s="504"/>
      <c r="K237" s="504"/>
      <c r="L237" s="504"/>
      <c r="M237" s="504"/>
      <c r="N237" s="505" t="str">
        <f t="shared" si="19"/>
        <v xml:space="preserve"> </v>
      </c>
      <c r="O237" s="506"/>
      <c r="P237" s="507"/>
      <c r="Q237" s="507"/>
      <c r="R237" s="507"/>
      <c r="S237" s="500"/>
      <c r="T237" s="508"/>
      <c r="U237" s="508"/>
      <c r="V237" s="508"/>
      <c r="W237" s="508"/>
      <c r="X237" s="508"/>
      <c r="Y237" s="508"/>
      <c r="Z237" s="508"/>
      <c r="AA237" s="508"/>
      <c r="AB237" s="508"/>
      <c r="AC237" s="508"/>
      <c r="AD237" s="508"/>
      <c r="AE237" s="508"/>
      <c r="AF237" s="508"/>
      <c r="AG237" s="508"/>
      <c r="AH237" s="508"/>
      <c r="AI237" s="508"/>
      <c r="AJ237" s="508"/>
      <c r="AK237" s="508"/>
      <c r="AL237" s="508"/>
      <c r="AM237" s="508"/>
      <c r="AN237" s="508"/>
      <c r="AO237" s="508"/>
      <c r="AP237" s="508"/>
      <c r="AQ237" s="508"/>
      <c r="AR237" s="508"/>
      <c r="AS237" s="508"/>
      <c r="AT237" s="508"/>
      <c r="AU237" s="508"/>
      <c r="AV237" s="508"/>
      <c r="AW237" s="508"/>
      <c r="AX237" s="508"/>
      <c r="AY237" s="508"/>
      <c r="AZ237" s="508"/>
      <c r="BA237" s="508"/>
      <c r="BB237" s="500"/>
    </row>
    <row r="238" spans="2:54">
      <c r="B238" s="1328"/>
      <c r="C238" s="1329"/>
      <c r="D238" s="501"/>
      <c r="E238" s="501"/>
      <c r="F238" s="1315" t="s">
        <v>616</v>
      </c>
      <c r="G238" s="1316"/>
      <c r="H238" s="503">
        <v>4000</v>
      </c>
      <c r="I238" s="505"/>
      <c r="J238" s="504"/>
      <c r="K238" s="504"/>
      <c r="L238" s="504"/>
      <c r="M238" s="504"/>
      <c r="N238" s="505" t="str">
        <f t="shared" si="19"/>
        <v xml:space="preserve"> </v>
      </c>
      <c r="O238" s="506"/>
      <c r="P238" s="507"/>
      <c r="Q238" s="507"/>
      <c r="R238" s="507"/>
      <c r="S238" s="500"/>
      <c r="T238" s="508"/>
      <c r="U238" s="508"/>
      <c r="V238" s="508"/>
      <c r="W238" s="508"/>
      <c r="X238" s="508"/>
      <c r="Y238" s="508"/>
      <c r="Z238" s="508"/>
      <c r="AA238" s="508"/>
      <c r="AB238" s="508"/>
      <c r="AC238" s="508"/>
      <c r="AD238" s="508"/>
      <c r="AE238" s="508"/>
      <c r="AF238" s="508"/>
      <c r="AG238" s="508"/>
      <c r="AH238" s="508"/>
      <c r="AI238" s="508"/>
      <c r="AJ238" s="508"/>
      <c r="AK238" s="508"/>
      <c r="AL238" s="508"/>
      <c r="AM238" s="508"/>
      <c r="AN238" s="508"/>
      <c r="AO238" s="508"/>
      <c r="AP238" s="508"/>
      <c r="AQ238" s="508"/>
      <c r="AR238" s="508"/>
      <c r="AS238" s="508"/>
      <c r="AT238" s="508"/>
      <c r="AU238" s="508"/>
      <c r="AV238" s="508"/>
      <c r="AW238" s="508"/>
      <c r="AX238" s="508"/>
      <c r="AY238" s="508"/>
      <c r="AZ238" s="508"/>
      <c r="BA238" s="508"/>
      <c r="BB238" s="500"/>
    </row>
    <row r="239" spans="2:54">
      <c r="B239" s="1266"/>
      <c r="C239" s="1267"/>
      <c r="D239" s="570"/>
      <c r="E239" s="570"/>
      <c r="F239" s="570"/>
      <c r="G239" s="570"/>
      <c r="H239" s="570"/>
      <c r="I239" s="570"/>
      <c r="J239" s="570"/>
      <c r="K239" s="570"/>
      <c r="L239" s="570"/>
      <c r="M239" s="570"/>
      <c r="N239" s="505" t="str">
        <f t="shared" si="19"/>
        <v xml:space="preserve"> </v>
      </c>
      <c r="O239" s="46"/>
      <c r="P239" s="409"/>
      <c r="Q239" s="409"/>
      <c r="R239" s="409"/>
      <c r="S239" s="32"/>
      <c r="T239" s="424"/>
      <c r="U239" s="424"/>
      <c r="V239" s="424"/>
      <c r="W239" s="424"/>
      <c r="X239" s="424"/>
      <c r="Y239" s="424"/>
      <c r="Z239" s="424"/>
      <c r="AA239" s="424"/>
      <c r="AB239" s="424"/>
      <c r="AC239" s="424"/>
      <c r="AD239" s="423"/>
      <c r="AE239" s="424"/>
      <c r="AF239" s="424"/>
      <c r="AG239" s="424"/>
      <c r="AH239" s="424"/>
      <c r="AI239" s="424"/>
      <c r="AJ239" s="424"/>
      <c r="AK239" s="424"/>
      <c r="AL239" s="424"/>
      <c r="AM239" s="424"/>
      <c r="AN239" s="424"/>
      <c r="AO239" s="424"/>
      <c r="AP239" s="424"/>
      <c r="AQ239" s="424"/>
      <c r="AR239" s="424"/>
      <c r="AS239" s="424"/>
      <c r="AT239" s="424"/>
      <c r="AU239" s="424"/>
      <c r="AV239" s="424"/>
      <c r="AW239" s="424"/>
      <c r="AX239" s="424"/>
      <c r="AY239" s="424"/>
      <c r="AZ239" s="424"/>
      <c r="BA239" s="424"/>
      <c r="BB239" s="201"/>
    </row>
    <row r="240" spans="2:54">
      <c r="B240" s="1315" t="s">
        <v>668</v>
      </c>
      <c r="C240" s="1316"/>
      <c r="D240" s="501" t="s">
        <v>3314</v>
      </c>
      <c r="E240" s="585"/>
      <c r="F240" s="501" t="s">
        <v>1392</v>
      </c>
      <c r="G240" s="501" t="s">
        <v>365</v>
      </c>
      <c r="H240" s="503">
        <v>7485.7290000000003</v>
      </c>
      <c r="I240" s="505" t="s">
        <v>742</v>
      </c>
      <c r="J240" s="504">
        <v>45216.809027777781</v>
      </c>
      <c r="K240" s="504"/>
      <c r="L240" s="439" t="s">
        <v>192</v>
      </c>
      <c r="M240" s="439" t="s">
        <v>192</v>
      </c>
      <c r="N240" s="505" t="str">
        <f t="shared" si="19"/>
        <v>DELAY ( 24 day 11 hour 5 minute )</v>
      </c>
      <c r="O240" s="506"/>
      <c r="P240" s="507" t="s">
        <v>551</v>
      </c>
      <c r="Q240" s="507" t="s">
        <v>551</v>
      </c>
      <c r="R240" s="507" t="s">
        <v>551</v>
      </c>
      <c r="S240" s="500"/>
      <c r="T240" s="508"/>
      <c r="U240" s="508"/>
      <c r="V240" s="508"/>
      <c r="W240" s="508"/>
      <c r="X240" s="508"/>
      <c r="Y240" s="508"/>
      <c r="Z240" s="508"/>
      <c r="AA240" s="508"/>
      <c r="AB240" s="508">
        <f>H240*0.55</f>
        <v>4117.1509500000002</v>
      </c>
      <c r="AC240" s="508">
        <f>H240*0.45</f>
        <v>3368.5780500000001</v>
      </c>
      <c r="AD240" s="508"/>
      <c r="AE240" s="508"/>
      <c r="AF240" s="508"/>
      <c r="AG240" s="508"/>
      <c r="AH240" s="508"/>
      <c r="AI240" s="508"/>
      <c r="AJ240" s="508"/>
      <c r="AK240" s="508"/>
      <c r="AL240" s="508"/>
      <c r="AM240" s="508"/>
      <c r="AN240" s="508"/>
      <c r="AO240" s="508"/>
      <c r="AP240" s="508"/>
      <c r="AQ240" s="508"/>
      <c r="AR240" s="508"/>
      <c r="AS240" s="508"/>
      <c r="AT240" s="508"/>
      <c r="AU240" s="508"/>
      <c r="AV240" s="508"/>
      <c r="AW240" s="508"/>
      <c r="AX240" s="508"/>
      <c r="AY240" s="508"/>
      <c r="AZ240" s="508"/>
      <c r="BA240" s="508"/>
      <c r="BB240" s="500"/>
    </row>
    <row r="241" spans="2:54">
      <c r="B241" s="1351" t="s">
        <v>3706</v>
      </c>
      <c r="C241" s="1352"/>
      <c r="D241" s="1352"/>
      <c r="E241" s="1352"/>
      <c r="F241" s="1352"/>
      <c r="G241" s="1353"/>
      <c r="H241" s="702">
        <f>SUM(H240)</f>
        <v>7485.7290000000003</v>
      </c>
      <c r="I241" s="703"/>
      <c r="J241" s="704"/>
      <c r="K241" s="704"/>
      <c r="L241" s="704"/>
      <c r="M241" s="705"/>
      <c r="N241" s="505" t="str">
        <f t="shared" si="19"/>
        <v xml:space="preserve"> </v>
      </c>
      <c r="O241" s="552"/>
      <c r="P241" s="706"/>
      <c r="Q241" s="706"/>
      <c r="R241" s="706"/>
      <c r="S241" s="598"/>
      <c r="T241" s="599"/>
      <c r="U241" s="599"/>
      <c r="V241" s="599"/>
      <c r="W241" s="599"/>
      <c r="X241" s="599"/>
      <c r="Y241" s="599"/>
      <c r="Z241" s="599"/>
      <c r="AA241" s="599"/>
      <c r="AB241" s="599"/>
      <c r="AC241" s="599"/>
      <c r="AD241" s="599"/>
      <c r="AE241" s="599"/>
      <c r="AF241" s="599"/>
      <c r="AG241" s="599"/>
      <c r="AH241" s="599"/>
      <c r="AI241" s="599"/>
      <c r="AJ241" s="599"/>
      <c r="AK241" s="599"/>
      <c r="AL241" s="599"/>
      <c r="AM241" s="599"/>
      <c r="AN241" s="599"/>
      <c r="AO241" s="599"/>
      <c r="AP241" s="599"/>
      <c r="AQ241" s="599"/>
      <c r="AR241" s="599"/>
      <c r="AS241" s="599"/>
      <c r="AT241" s="599"/>
      <c r="AU241" s="599"/>
      <c r="AV241" s="599"/>
      <c r="AW241" s="599"/>
      <c r="AX241" s="599"/>
      <c r="AY241" s="599"/>
      <c r="AZ241" s="599"/>
      <c r="BA241" s="599"/>
      <c r="BB241" s="554"/>
    </row>
    <row r="242" spans="2:54">
      <c r="B242" s="1326" t="s">
        <v>623</v>
      </c>
      <c r="C242" s="1327"/>
      <c r="D242" s="501" t="s">
        <v>3462</v>
      </c>
      <c r="E242" s="501"/>
      <c r="F242" s="501" t="s">
        <v>352</v>
      </c>
      <c r="G242" s="501" t="s">
        <v>353</v>
      </c>
      <c r="H242" s="503">
        <v>9184.6509999999998</v>
      </c>
      <c r="I242" s="505" t="s">
        <v>1372</v>
      </c>
      <c r="J242" s="504">
        <v>45218.041666666664</v>
      </c>
      <c r="K242" s="504"/>
      <c r="L242" s="439" t="s">
        <v>192</v>
      </c>
      <c r="M242" s="439" t="s">
        <v>192</v>
      </c>
      <c r="N242" s="505" t="str">
        <f t="shared" si="19"/>
        <v>DELAY ( 25 day 16 hour 40 minute )</v>
      </c>
      <c r="O242" s="506"/>
      <c r="P242" s="507" t="s">
        <v>551</v>
      </c>
      <c r="Q242" s="507" t="s">
        <v>551</v>
      </c>
      <c r="R242" s="507" t="s">
        <v>551</v>
      </c>
      <c r="S242" s="500"/>
      <c r="T242" s="508"/>
      <c r="U242" s="508"/>
      <c r="V242" s="508"/>
      <c r="W242" s="508"/>
      <c r="X242" s="508"/>
      <c r="Y242" s="508">
        <f>H242*0.7</f>
        <v>6429.2556999999997</v>
      </c>
      <c r="Z242" s="508">
        <f>H242*0.3</f>
        <v>2755.3952999999997</v>
      </c>
      <c r="AA242" s="508"/>
      <c r="AB242" s="508"/>
      <c r="AC242" s="508"/>
      <c r="AD242" s="508"/>
      <c r="AE242" s="508"/>
      <c r="AF242" s="508"/>
      <c r="AG242" s="508"/>
      <c r="AH242" s="508"/>
      <c r="AI242" s="508"/>
      <c r="AJ242" s="508"/>
      <c r="AK242" s="508"/>
      <c r="AL242" s="508"/>
      <c r="AM242" s="508"/>
      <c r="AN242" s="508"/>
      <c r="AO242" s="508"/>
      <c r="AP242" s="508"/>
      <c r="AQ242" s="508"/>
      <c r="AR242" s="508"/>
      <c r="AS242" s="508"/>
      <c r="AT242" s="508"/>
      <c r="AU242" s="508"/>
      <c r="AV242" s="508"/>
      <c r="AW242" s="508"/>
      <c r="AX242" s="508"/>
      <c r="AY242" s="508"/>
      <c r="AZ242" s="508"/>
      <c r="BA242" s="508"/>
      <c r="BB242" s="500"/>
    </row>
    <row r="243" spans="2:54">
      <c r="B243" s="1421"/>
      <c r="C243" s="1422"/>
      <c r="D243" s="501"/>
      <c r="E243" s="501"/>
      <c r="F243" s="1315" t="s">
        <v>668</v>
      </c>
      <c r="G243" s="1316"/>
      <c r="H243" s="503">
        <v>4000</v>
      </c>
      <c r="I243" s="505"/>
      <c r="J243" s="504"/>
      <c r="K243" s="504"/>
      <c r="L243" s="504"/>
      <c r="M243" s="504"/>
      <c r="N243" s="505" t="str">
        <f t="shared" si="19"/>
        <v xml:space="preserve"> </v>
      </c>
      <c r="O243" s="506"/>
      <c r="P243" s="507"/>
      <c r="Q243" s="507"/>
      <c r="R243" s="507"/>
      <c r="S243" s="500"/>
      <c r="T243" s="508"/>
      <c r="U243" s="508"/>
      <c r="V243" s="508"/>
      <c r="W243" s="508"/>
      <c r="X243" s="508"/>
      <c r="Y243" s="508"/>
      <c r="Z243" s="508"/>
      <c r="AA243" s="508"/>
      <c r="AB243" s="508"/>
      <c r="AC243" s="508"/>
      <c r="AD243" s="508"/>
      <c r="AE243" s="508"/>
      <c r="AF243" s="508"/>
      <c r="AG243" s="508"/>
      <c r="AH243" s="508"/>
      <c r="AI243" s="508"/>
      <c r="AJ243" s="508"/>
      <c r="AK243" s="508"/>
      <c r="AL243" s="508"/>
      <c r="AM243" s="508"/>
      <c r="AN243" s="508"/>
      <c r="AO243" s="508"/>
      <c r="AP243" s="508"/>
      <c r="AQ243" s="508"/>
      <c r="AR243" s="508"/>
      <c r="AS243" s="508"/>
      <c r="AT243" s="508"/>
      <c r="AU243" s="508"/>
      <c r="AV243" s="508"/>
      <c r="AW243" s="508"/>
      <c r="AX243" s="508"/>
      <c r="AY243" s="508"/>
      <c r="AZ243" s="508"/>
      <c r="BA243" s="508"/>
      <c r="BB243" s="500"/>
    </row>
    <row r="244" spans="2:54">
      <c r="B244" s="1328"/>
      <c r="C244" s="1329"/>
      <c r="D244" s="501"/>
      <c r="E244" s="501"/>
      <c r="F244" s="1315" t="s">
        <v>616</v>
      </c>
      <c r="G244" s="1316"/>
      <c r="H244" s="503">
        <f>2000+0.088</f>
        <v>2000.088</v>
      </c>
      <c r="I244" s="505"/>
      <c r="J244" s="504"/>
      <c r="K244" s="504"/>
      <c r="L244" s="504"/>
      <c r="M244" s="504"/>
      <c r="N244" s="505" t="str">
        <f t="shared" si="19"/>
        <v xml:space="preserve"> </v>
      </c>
      <c r="O244" s="506"/>
      <c r="P244" s="507"/>
      <c r="Q244" s="507"/>
      <c r="R244" s="507"/>
      <c r="S244" s="500"/>
      <c r="T244" s="508"/>
      <c r="U244" s="508"/>
      <c r="V244" s="508"/>
      <c r="W244" s="508"/>
      <c r="X244" s="508"/>
      <c r="Y244" s="508"/>
      <c r="Z244" s="508"/>
      <c r="AA244" s="508"/>
      <c r="AB244" s="508"/>
      <c r="AC244" s="508"/>
      <c r="AD244" s="508"/>
      <c r="AE244" s="508"/>
      <c r="AF244" s="508"/>
      <c r="AG244" s="508"/>
      <c r="AH244" s="508"/>
      <c r="AI244" s="508"/>
      <c r="AJ244" s="508"/>
      <c r="AK244" s="508"/>
      <c r="AL244" s="508"/>
      <c r="AM244" s="508"/>
      <c r="AN244" s="508"/>
      <c r="AO244" s="508"/>
      <c r="AP244" s="508"/>
      <c r="AQ244" s="508"/>
      <c r="AR244" s="508"/>
      <c r="AS244" s="508"/>
      <c r="AT244" s="508"/>
      <c r="AU244" s="508"/>
      <c r="AV244" s="508"/>
      <c r="AW244" s="508"/>
      <c r="AX244" s="508"/>
      <c r="AY244" s="508"/>
      <c r="AZ244" s="508"/>
      <c r="BA244" s="508"/>
      <c r="BB244" s="500"/>
    </row>
    <row r="245" spans="2:54">
      <c r="B245" s="1315" t="s">
        <v>668</v>
      </c>
      <c r="C245" s="1316"/>
      <c r="D245" s="501" t="s">
        <v>3315</v>
      </c>
      <c r="E245" s="585"/>
      <c r="F245" s="501" t="s">
        <v>2325</v>
      </c>
      <c r="G245" s="501" t="s">
        <v>2326</v>
      </c>
      <c r="H245" s="503">
        <v>7504.1319999999996</v>
      </c>
      <c r="I245" s="505" t="s">
        <v>742</v>
      </c>
      <c r="J245" s="504">
        <v>45219.3125</v>
      </c>
      <c r="K245" s="504"/>
      <c r="L245" s="439" t="s">
        <v>192</v>
      </c>
      <c r="M245" s="439" t="s">
        <v>192</v>
      </c>
      <c r="N245" s="505" t="str">
        <f t="shared" si="19"/>
        <v>DELAY ( 26 day 23 hour 10 minute )</v>
      </c>
      <c r="O245" s="506"/>
      <c r="P245" s="507" t="s">
        <v>551</v>
      </c>
      <c r="Q245" s="507" t="s">
        <v>551</v>
      </c>
      <c r="R245" s="507" t="s">
        <v>551</v>
      </c>
      <c r="S245" s="500"/>
      <c r="T245" s="508"/>
      <c r="U245" s="508"/>
      <c r="V245" s="508"/>
      <c r="W245" s="508"/>
      <c r="X245" s="508"/>
      <c r="Y245" s="508"/>
      <c r="Z245" s="508"/>
      <c r="AA245" s="508"/>
      <c r="AB245" s="508">
        <f>H245*0.7</f>
        <v>5252.8923999999997</v>
      </c>
      <c r="AC245" s="508">
        <f>H245*0.3</f>
        <v>2251.2395999999999</v>
      </c>
      <c r="AD245" s="508"/>
      <c r="AE245" s="508"/>
      <c r="AF245" s="508"/>
      <c r="AG245" s="508"/>
      <c r="AH245" s="508"/>
      <c r="AI245" s="508"/>
      <c r="AJ245" s="508"/>
      <c r="AK245" s="508"/>
      <c r="AL245" s="508"/>
      <c r="AM245" s="508"/>
      <c r="AN245" s="508"/>
      <c r="AO245" s="508"/>
      <c r="AP245" s="508"/>
      <c r="AQ245" s="508"/>
      <c r="AR245" s="508"/>
      <c r="AS245" s="508"/>
      <c r="AT245" s="508"/>
      <c r="AU245" s="508"/>
      <c r="AV245" s="508"/>
      <c r="AW245" s="508"/>
      <c r="AX245" s="508"/>
      <c r="AY245" s="508"/>
      <c r="AZ245" s="508"/>
      <c r="BA245" s="508"/>
      <c r="BB245" s="500"/>
    </row>
    <row r="246" spans="2:54">
      <c r="B246" s="1351" t="s">
        <v>3707</v>
      </c>
      <c r="C246" s="1352"/>
      <c r="D246" s="1352"/>
      <c r="E246" s="1352"/>
      <c r="F246" s="1352"/>
      <c r="G246" s="1353"/>
      <c r="H246" s="702">
        <f>SUM(H245)</f>
        <v>7504.1319999999996</v>
      </c>
      <c r="I246" s="703"/>
      <c r="J246" s="704"/>
      <c r="K246" s="704"/>
      <c r="L246" s="704"/>
      <c r="M246" s="705"/>
      <c r="N246" s="505" t="str">
        <f t="shared" si="19"/>
        <v xml:space="preserve"> </v>
      </c>
      <c r="O246" s="552"/>
      <c r="P246" s="706"/>
      <c r="Q246" s="706"/>
      <c r="R246" s="706"/>
      <c r="S246" s="598"/>
      <c r="T246" s="599"/>
      <c r="U246" s="599"/>
      <c r="V246" s="599"/>
      <c r="W246" s="599"/>
      <c r="X246" s="599"/>
      <c r="Y246" s="599"/>
      <c r="Z246" s="599"/>
      <c r="AA246" s="599"/>
      <c r="AB246" s="599"/>
      <c r="AC246" s="599"/>
      <c r="AD246" s="599"/>
      <c r="AE246" s="599"/>
      <c r="AF246" s="599"/>
      <c r="AG246" s="599"/>
      <c r="AH246" s="599"/>
      <c r="AI246" s="599"/>
      <c r="AJ246" s="599"/>
      <c r="AK246" s="599"/>
      <c r="AL246" s="599"/>
      <c r="AM246" s="599"/>
      <c r="AN246" s="599"/>
      <c r="AO246" s="599"/>
      <c r="AP246" s="599"/>
      <c r="AQ246" s="599"/>
      <c r="AR246" s="599"/>
      <c r="AS246" s="599"/>
      <c r="AT246" s="599"/>
      <c r="AU246" s="599"/>
      <c r="AV246" s="599"/>
      <c r="AW246" s="599"/>
      <c r="AX246" s="599"/>
      <c r="AY246" s="599"/>
      <c r="AZ246" s="599"/>
      <c r="BA246" s="599"/>
      <c r="BB246" s="554"/>
    </row>
    <row r="247" spans="2:54">
      <c r="B247" s="1326" t="s">
        <v>624</v>
      </c>
      <c r="C247" s="1327"/>
      <c r="D247" s="501" t="s">
        <v>3456</v>
      </c>
      <c r="E247" s="501"/>
      <c r="F247" s="501" t="s">
        <v>233</v>
      </c>
      <c r="G247" s="501" t="s">
        <v>234</v>
      </c>
      <c r="H247" s="503">
        <v>2340.1060000000002</v>
      </c>
      <c r="I247" s="505" t="s">
        <v>501</v>
      </c>
      <c r="J247" s="504">
        <v>45216.673611111109</v>
      </c>
      <c r="K247" s="504"/>
      <c r="L247" s="439" t="s">
        <v>192</v>
      </c>
      <c r="M247" s="439" t="s">
        <v>192</v>
      </c>
      <c r="N247" s="505" t="str">
        <f t="shared" si="19"/>
        <v>DELAY ( 24 day 7 hour 50 minute )</v>
      </c>
      <c r="O247" s="506"/>
      <c r="P247" s="507" t="s">
        <v>551</v>
      </c>
      <c r="Q247" s="507" t="s">
        <v>551</v>
      </c>
      <c r="R247" s="507" t="s">
        <v>551</v>
      </c>
      <c r="S247" s="500"/>
      <c r="T247" s="508"/>
      <c r="U247" s="508"/>
      <c r="V247" s="508"/>
      <c r="W247" s="508"/>
      <c r="X247" s="508"/>
      <c r="Y247" s="508">
        <f>(H247*0.45)</f>
        <v>1053.0477000000001</v>
      </c>
      <c r="Z247" s="508">
        <f>(H247*0.55)</f>
        <v>1287.0583000000001</v>
      </c>
      <c r="AA247" s="508"/>
      <c r="AB247" s="508"/>
      <c r="AC247" s="508"/>
      <c r="AD247" s="508"/>
      <c r="AE247" s="508"/>
      <c r="AF247" s="508"/>
      <c r="AG247" s="508"/>
      <c r="AH247" s="508"/>
      <c r="AI247" s="508"/>
      <c r="AJ247" s="508"/>
      <c r="AK247" s="508"/>
      <c r="AL247" s="508"/>
      <c r="AM247" s="508"/>
      <c r="AN247" s="508"/>
      <c r="AO247" s="508"/>
      <c r="AP247" s="508"/>
      <c r="AQ247" s="508"/>
      <c r="AR247" s="508"/>
      <c r="AS247" s="508"/>
      <c r="AT247" s="508"/>
      <c r="AU247" s="508"/>
      <c r="AV247" s="508"/>
      <c r="AW247" s="508"/>
      <c r="AX247" s="508"/>
      <c r="AY247" s="508"/>
      <c r="AZ247" s="508"/>
      <c r="BA247" s="508"/>
      <c r="BB247" s="500"/>
    </row>
    <row r="248" spans="2:54">
      <c r="B248" s="1421"/>
      <c r="C248" s="1422"/>
      <c r="D248" s="501"/>
      <c r="E248" s="501"/>
      <c r="F248" s="1315" t="s">
        <v>668</v>
      </c>
      <c r="G248" s="1316"/>
      <c r="H248" s="503">
        <v>4000</v>
      </c>
      <c r="I248" s="505"/>
      <c r="J248" s="504"/>
      <c r="K248" s="504"/>
      <c r="L248" s="504"/>
      <c r="M248" s="504"/>
      <c r="N248" s="505" t="str">
        <f t="shared" si="19"/>
        <v xml:space="preserve"> </v>
      </c>
      <c r="O248" s="506"/>
      <c r="P248" s="507"/>
      <c r="Q248" s="507"/>
      <c r="R248" s="507"/>
      <c r="S248" s="500"/>
      <c r="T248" s="508"/>
      <c r="U248" s="508"/>
      <c r="V248" s="508"/>
      <c r="W248" s="508"/>
      <c r="X248" s="508"/>
      <c r="Y248" s="508"/>
      <c r="Z248" s="508"/>
      <c r="AA248" s="508"/>
      <c r="AB248" s="508"/>
      <c r="AC248" s="508"/>
      <c r="AD248" s="508"/>
      <c r="AE248" s="508"/>
      <c r="AF248" s="508"/>
      <c r="AG248" s="508"/>
      <c r="AH248" s="508"/>
      <c r="AI248" s="508"/>
      <c r="AJ248" s="508"/>
      <c r="AK248" s="508"/>
      <c r="AL248" s="508"/>
      <c r="AM248" s="508"/>
      <c r="AN248" s="508"/>
      <c r="AO248" s="508"/>
      <c r="AP248" s="508"/>
      <c r="AQ248" s="508"/>
      <c r="AR248" s="508"/>
      <c r="AS248" s="508"/>
      <c r="AT248" s="508"/>
      <c r="AU248" s="508"/>
      <c r="AV248" s="508"/>
      <c r="AW248" s="508"/>
      <c r="AX248" s="508"/>
      <c r="AY248" s="508"/>
      <c r="AZ248" s="508"/>
      <c r="BA248" s="508"/>
      <c r="BB248" s="500"/>
    </row>
    <row r="249" spans="2:54">
      <c r="B249" s="1328"/>
      <c r="C249" s="1329"/>
      <c r="D249" s="501"/>
      <c r="E249" s="501"/>
      <c r="F249" s="1315" t="s">
        <v>616</v>
      </c>
      <c r="G249" s="1316"/>
      <c r="H249" s="503">
        <v>2000</v>
      </c>
      <c r="I249" s="505"/>
      <c r="J249" s="504"/>
      <c r="K249" s="504"/>
      <c r="L249" s="504"/>
      <c r="M249" s="504"/>
      <c r="N249" s="505" t="str">
        <f t="shared" si="19"/>
        <v xml:space="preserve"> </v>
      </c>
      <c r="O249" s="506"/>
      <c r="P249" s="507"/>
      <c r="Q249" s="507"/>
      <c r="R249" s="507"/>
      <c r="S249" s="500"/>
      <c r="T249" s="508"/>
      <c r="U249" s="508"/>
      <c r="V249" s="508"/>
      <c r="W249" s="508"/>
      <c r="X249" s="508"/>
      <c r="Y249" s="508"/>
      <c r="Z249" s="508"/>
      <c r="AA249" s="508"/>
      <c r="AB249" s="508"/>
      <c r="AC249" s="508"/>
      <c r="AD249" s="508"/>
      <c r="AE249" s="508"/>
      <c r="AF249" s="508"/>
      <c r="AG249" s="508"/>
      <c r="AH249" s="508"/>
      <c r="AI249" s="508"/>
      <c r="AJ249" s="508"/>
      <c r="AK249" s="508"/>
      <c r="AL249" s="508"/>
      <c r="AM249" s="508"/>
      <c r="AN249" s="508"/>
      <c r="AO249" s="508"/>
      <c r="AP249" s="508"/>
      <c r="AQ249" s="508"/>
      <c r="AR249" s="508"/>
      <c r="AS249" s="508"/>
      <c r="AT249" s="508"/>
      <c r="AU249" s="508"/>
      <c r="AV249" s="508"/>
      <c r="AW249" s="508"/>
      <c r="AX249" s="508"/>
      <c r="AY249" s="508"/>
      <c r="AZ249" s="508"/>
      <c r="BA249" s="508"/>
      <c r="BB249" s="500"/>
    </row>
    <row r="250" spans="2:54">
      <c r="B250" s="1326" t="s">
        <v>625</v>
      </c>
      <c r="C250" s="1327"/>
      <c r="D250" s="501" t="s">
        <v>3463</v>
      </c>
      <c r="E250" s="501"/>
      <c r="F250" s="501" t="s">
        <v>271</v>
      </c>
      <c r="G250" s="501" t="s">
        <v>272</v>
      </c>
      <c r="H250" s="503">
        <v>9205.8089999999993</v>
      </c>
      <c r="I250" s="505" t="s">
        <v>494</v>
      </c>
      <c r="J250" s="504">
        <v>45216.611111111109</v>
      </c>
      <c r="K250" s="504"/>
      <c r="L250" s="439" t="s">
        <v>192</v>
      </c>
      <c r="M250" s="439" t="s">
        <v>192</v>
      </c>
      <c r="N250" s="505" t="str">
        <f t="shared" si="19"/>
        <v>DELAY ( 24 day 6 hour 20 minute )</v>
      </c>
      <c r="O250" s="506"/>
      <c r="P250" s="507" t="s">
        <v>551</v>
      </c>
      <c r="Q250" s="507" t="s">
        <v>551</v>
      </c>
      <c r="R250" s="507" t="s">
        <v>551</v>
      </c>
      <c r="S250" s="500"/>
      <c r="T250" s="508"/>
      <c r="U250" s="508"/>
      <c r="V250" s="508"/>
      <c r="W250" s="508"/>
      <c r="X250" s="508"/>
      <c r="Y250" s="508">
        <f>H250</f>
        <v>9205.8089999999993</v>
      </c>
      <c r="Z250" s="508"/>
      <c r="AA250" s="508"/>
      <c r="AB250" s="508"/>
      <c r="AC250" s="508"/>
      <c r="AD250" s="508"/>
      <c r="AE250" s="508"/>
      <c r="AF250" s="508"/>
      <c r="AG250" s="508"/>
      <c r="AH250" s="508"/>
      <c r="AI250" s="508"/>
      <c r="AJ250" s="508"/>
      <c r="AK250" s="508"/>
      <c r="AL250" s="508"/>
      <c r="AM250" s="508"/>
      <c r="AN250" s="508"/>
      <c r="AO250" s="508"/>
      <c r="AP250" s="508"/>
      <c r="AQ250" s="508"/>
      <c r="AR250" s="508"/>
      <c r="AS250" s="508"/>
      <c r="AT250" s="508"/>
      <c r="AU250" s="508"/>
      <c r="AV250" s="508"/>
      <c r="AW250" s="508"/>
      <c r="AX250" s="508"/>
      <c r="AY250" s="508"/>
      <c r="AZ250" s="508"/>
      <c r="BA250" s="508"/>
      <c r="BB250" s="500"/>
    </row>
    <row r="251" spans="2:54">
      <c r="B251" s="1421"/>
      <c r="C251" s="1422"/>
      <c r="D251" s="501"/>
      <c r="E251" s="501"/>
      <c r="F251" s="1315" t="s">
        <v>668</v>
      </c>
      <c r="G251" s="1316"/>
      <c r="H251" s="503">
        <v>4000</v>
      </c>
      <c r="I251" s="505"/>
      <c r="J251" s="504"/>
      <c r="K251" s="504"/>
      <c r="L251" s="504"/>
      <c r="M251" s="504"/>
      <c r="N251" s="505" t="str">
        <f t="shared" si="19"/>
        <v xml:space="preserve"> </v>
      </c>
      <c r="O251" s="506"/>
      <c r="P251" s="507"/>
      <c r="Q251" s="507"/>
      <c r="R251" s="507"/>
      <c r="S251" s="500"/>
      <c r="T251" s="508"/>
      <c r="U251" s="508"/>
      <c r="V251" s="508"/>
      <c r="W251" s="508"/>
      <c r="X251" s="508"/>
      <c r="Y251" s="508"/>
      <c r="Z251" s="508"/>
      <c r="AA251" s="508"/>
      <c r="AB251" s="508"/>
      <c r="AC251" s="508"/>
      <c r="AD251" s="508"/>
      <c r="AE251" s="508"/>
      <c r="AF251" s="508"/>
      <c r="AG251" s="508"/>
      <c r="AH251" s="508"/>
      <c r="AI251" s="508"/>
      <c r="AJ251" s="508"/>
      <c r="AK251" s="508"/>
      <c r="AL251" s="508"/>
      <c r="AM251" s="508"/>
      <c r="AN251" s="508"/>
      <c r="AO251" s="508"/>
      <c r="AP251" s="508"/>
      <c r="AQ251" s="508"/>
      <c r="AR251" s="508"/>
      <c r="AS251" s="508"/>
      <c r="AT251" s="508"/>
      <c r="AU251" s="508"/>
      <c r="AV251" s="508"/>
      <c r="AW251" s="508"/>
      <c r="AX251" s="508"/>
      <c r="AY251" s="508"/>
      <c r="AZ251" s="508"/>
      <c r="BA251" s="508"/>
      <c r="BB251" s="500"/>
    </row>
    <row r="252" spans="2:54">
      <c r="B252" s="1328"/>
      <c r="C252" s="1329"/>
      <c r="D252" s="501"/>
      <c r="E252" s="501"/>
      <c r="F252" s="1315" t="s">
        <v>616</v>
      </c>
      <c r="G252" s="1316"/>
      <c r="H252" s="503">
        <v>3179</v>
      </c>
      <c r="I252" s="505"/>
      <c r="J252" s="504"/>
      <c r="K252" s="504"/>
      <c r="L252" s="504"/>
      <c r="M252" s="504"/>
      <c r="N252" s="505" t="str">
        <f t="shared" si="19"/>
        <v xml:space="preserve"> </v>
      </c>
      <c r="O252" s="506"/>
      <c r="P252" s="507"/>
      <c r="Q252" s="507"/>
      <c r="R252" s="507"/>
      <c r="S252" s="500"/>
      <c r="T252" s="508"/>
      <c r="U252" s="508"/>
      <c r="V252" s="508"/>
      <c r="W252" s="508"/>
      <c r="X252" s="508"/>
      <c r="Y252" s="508"/>
      <c r="Z252" s="508"/>
      <c r="AA252" s="508"/>
      <c r="AB252" s="508"/>
      <c r="AC252" s="508"/>
      <c r="AD252" s="508"/>
      <c r="AE252" s="508"/>
      <c r="AF252" s="508"/>
      <c r="AG252" s="508"/>
      <c r="AH252" s="508"/>
      <c r="AI252" s="508"/>
      <c r="AJ252" s="508"/>
      <c r="AK252" s="508"/>
      <c r="AL252" s="508"/>
      <c r="AM252" s="508"/>
      <c r="AN252" s="508"/>
      <c r="AO252" s="508"/>
      <c r="AP252" s="508"/>
      <c r="AQ252" s="508"/>
      <c r="AR252" s="508"/>
      <c r="AS252" s="508"/>
      <c r="AT252" s="508"/>
      <c r="AU252" s="508"/>
      <c r="AV252" s="508"/>
      <c r="AW252" s="508"/>
      <c r="AX252" s="508"/>
      <c r="AY252" s="508"/>
      <c r="AZ252" s="508"/>
      <c r="BA252" s="508"/>
      <c r="BB252" s="500"/>
    </row>
    <row r="253" spans="2:54">
      <c r="B253" s="1326" t="s">
        <v>669</v>
      </c>
      <c r="C253" s="1327"/>
      <c r="D253" s="501" t="s">
        <v>3464</v>
      </c>
      <c r="E253" s="501"/>
      <c r="F253" s="501" t="s">
        <v>1240</v>
      </c>
      <c r="G253" s="501" t="s">
        <v>1241</v>
      </c>
      <c r="H253" s="503">
        <f>7713.134-2820.502</f>
        <v>4892.6319999999996</v>
      </c>
      <c r="I253" s="505" t="s">
        <v>494</v>
      </c>
      <c r="J253" s="504">
        <v>45216.791666666664</v>
      </c>
      <c r="K253" s="504"/>
      <c r="L253" s="439" t="s">
        <v>192</v>
      </c>
      <c r="M253" s="439" t="s">
        <v>192</v>
      </c>
      <c r="N253" s="505" t="str">
        <f t="shared" si="19"/>
        <v>DELAY ( 24 day 10 hour 40 minute )</v>
      </c>
      <c r="O253" s="506"/>
      <c r="P253" s="507" t="s">
        <v>551</v>
      </c>
      <c r="Q253" s="507" t="s">
        <v>551</v>
      </c>
      <c r="R253" s="507" t="s">
        <v>551</v>
      </c>
      <c r="S253" s="500"/>
      <c r="T253" s="508"/>
      <c r="U253" s="508"/>
      <c r="V253" s="508"/>
      <c r="W253" s="508"/>
      <c r="X253" s="508"/>
      <c r="Y253" s="508">
        <f>H253</f>
        <v>4892.6319999999996</v>
      </c>
      <c r="Z253" s="508"/>
      <c r="AA253" s="508"/>
      <c r="AB253" s="508"/>
      <c r="AC253" s="508"/>
      <c r="AD253" s="508"/>
      <c r="AE253" s="508"/>
      <c r="AF253" s="508"/>
      <c r="AG253" s="508"/>
      <c r="AH253" s="508"/>
      <c r="AI253" s="508"/>
      <c r="AJ253" s="508"/>
      <c r="AK253" s="508"/>
      <c r="AL253" s="508"/>
      <c r="AM253" s="508"/>
      <c r="AN253" s="508"/>
      <c r="AO253" s="508"/>
      <c r="AP253" s="508"/>
      <c r="AQ253" s="508"/>
      <c r="AR253" s="508"/>
      <c r="AS253" s="508"/>
      <c r="AT253" s="508"/>
      <c r="AU253" s="508"/>
      <c r="AV253" s="508"/>
      <c r="AW253" s="508"/>
      <c r="AX253" s="508"/>
      <c r="AY253" s="508"/>
      <c r="AZ253" s="508"/>
      <c r="BA253" s="508"/>
      <c r="BB253" s="500"/>
    </row>
    <row r="254" spans="2:54">
      <c r="B254" s="1421"/>
      <c r="C254" s="1422"/>
      <c r="D254" s="501"/>
      <c r="E254" s="501"/>
      <c r="F254" s="1315" t="s">
        <v>668</v>
      </c>
      <c r="G254" s="1316"/>
      <c r="H254" s="503">
        <f>2990-0.139</f>
        <v>2989.8609999999999</v>
      </c>
      <c r="I254" s="505"/>
      <c r="J254" s="504"/>
      <c r="K254" s="504"/>
      <c r="L254" s="504"/>
      <c r="M254" s="504"/>
      <c r="N254" s="505" t="str">
        <f t="shared" si="19"/>
        <v xml:space="preserve"> </v>
      </c>
      <c r="O254" s="506"/>
      <c r="P254" s="507"/>
      <c r="Q254" s="507"/>
      <c r="R254" s="507"/>
      <c r="S254" s="500"/>
      <c r="T254" s="508"/>
      <c r="U254" s="508"/>
      <c r="V254" s="508"/>
      <c r="W254" s="508"/>
      <c r="X254" s="508"/>
      <c r="Y254" s="508"/>
      <c r="Z254" s="508"/>
      <c r="AA254" s="508"/>
      <c r="AB254" s="508"/>
      <c r="AC254" s="508"/>
      <c r="AD254" s="508"/>
      <c r="AE254" s="508"/>
      <c r="AF254" s="508"/>
      <c r="AG254" s="508"/>
      <c r="AH254" s="508"/>
      <c r="AI254" s="508"/>
      <c r="AJ254" s="508"/>
      <c r="AK254" s="508"/>
      <c r="AL254" s="508"/>
      <c r="AM254" s="508"/>
      <c r="AN254" s="508"/>
      <c r="AO254" s="508"/>
      <c r="AP254" s="508"/>
      <c r="AQ254" s="508"/>
      <c r="AR254" s="508"/>
      <c r="AS254" s="508"/>
      <c r="AT254" s="508"/>
      <c r="AU254" s="508"/>
      <c r="AV254" s="508"/>
      <c r="AW254" s="508"/>
      <c r="AX254" s="508"/>
      <c r="AY254" s="508"/>
      <c r="AZ254" s="508"/>
      <c r="BA254" s="508"/>
      <c r="BB254" s="500"/>
    </row>
    <row r="255" spans="2:54">
      <c r="B255" s="1328"/>
      <c r="C255" s="1329"/>
      <c r="D255" s="501"/>
      <c r="E255" s="501"/>
      <c r="F255" s="1315" t="s">
        <v>616</v>
      </c>
      <c r="G255" s="1316"/>
      <c r="H255" s="503">
        <v>0</v>
      </c>
      <c r="I255" s="505"/>
      <c r="J255" s="504"/>
      <c r="K255" s="504"/>
      <c r="L255" s="504"/>
      <c r="M255" s="504"/>
      <c r="N255" s="505" t="str">
        <f t="shared" si="19"/>
        <v xml:space="preserve"> </v>
      </c>
      <c r="O255" s="506"/>
      <c r="P255" s="507"/>
      <c r="Q255" s="507"/>
      <c r="R255" s="507"/>
      <c r="S255" s="500"/>
      <c r="T255" s="508"/>
      <c r="U255" s="508"/>
      <c r="V255" s="508"/>
      <c r="W255" s="508"/>
      <c r="X255" s="508"/>
      <c r="Y255" s="508"/>
      <c r="Z255" s="508"/>
      <c r="AA255" s="508"/>
      <c r="AB255" s="508"/>
      <c r="AC255" s="508"/>
      <c r="AD255" s="508"/>
      <c r="AE255" s="508"/>
      <c r="AF255" s="508"/>
      <c r="AG255" s="508"/>
      <c r="AH255" s="508"/>
      <c r="AI255" s="508"/>
      <c r="AJ255" s="508"/>
      <c r="AK255" s="508"/>
      <c r="AL255" s="508"/>
      <c r="AM255" s="508"/>
      <c r="AN255" s="508"/>
      <c r="AO255" s="508"/>
      <c r="AP255" s="508"/>
      <c r="AQ255" s="508"/>
      <c r="AR255" s="508"/>
      <c r="AS255" s="508"/>
      <c r="AT255" s="508"/>
      <c r="AU255" s="508"/>
      <c r="AV255" s="508"/>
      <c r="AW255" s="508"/>
      <c r="AX255" s="508"/>
      <c r="AY255" s="508"/>
      <c r="AZ255" s="508"/>
      <c r="BA255" s="508"/>
      <c r="BB255" s="500"/>
    </row>
    <row r="256" spans="2:54">
      <c r="B256" s="1351" t="s">
        <v>626</v>
      </c>
      <c r="C256" s="1352"/>
      <c r="D256" s="1352"/>
      <c r="E256" s="1352"/>
      <c r="F256" s="1352"/>
      <c r="G256" s="1353"/>
      <c r="H256" s="702">
        <f>H236+H230+H233+H242+H247+H250+H253</f>
        <v>48293.663999999997</v>
      </c>
      <c r="I256" s="707"/>
      <c r="J256" s="708"/>
      <c r="K256" s="708"/>
      <c r="L256" s="708"/>
      <c r="M256" s="709"/>
      <c r="N256" s="505" t="str">
        <f t="shared" si="19"/>
        <v xml:space="preserve"> </v>
      </c>
      <c r="O256" s="552"/>
      <c r="P256" s="706"/>
      <c r="Q256" s="706"/>
      <c r="R256" s="706"/>
      <c r="S256" s="598"/>
      <c r="T256" s="1423"/>
      <c r="U256" s="1423"/>
      <c r="V256" s="1423"/>
      <c r="W256" s="1423"/>
      <c r="X256" s="1423"/>
      <c r="Y256" s="1423"/>
      <c r="Z256" s="1423"/>
      <c r="AA256" s="1423"/>
      <c r="AB256" s="1423"/>
      <c r="AC256" s="1423"/>
      <c r="AD256" s="1423"/>
      <c r="AE256" s="1423"/>
      <c r="AF256" s="1423"/>
      <c r="AG256" s="1423"/>
      <c r="AH256" s="1423"/>
      <c r="AI256" s="1423"/>
      <c r="AJ256" s="1423"/>
      <c r="AK256" s="1423"/>
      <c r="AL256" s="1423"/>
      <c r="AM256" s="1423"/>
      <c r="AN256" s="1423"/>
      <c r="AO256" s="1423"/>
      <c r="AP256" s="1423"/>
      <c r="AQ256" s="1423"/>
      <c r="AR256" s="1423"/>
      <c r="AS256" s="1423"/>
      <c r="AT256" s="1423"/>
      <c r="AU256" s="1423"/>
      <c r="AV256" s="1423"/>
      <c r="AW256" s="1423"/>
      <c r="AX256" s="1423"/>
      <c r="AY256" s="1423"/>
      <c r="AZ256" s="1423"/>
      <c r="BA256" s="1423"/>
      <c r="BB256" s="554"/>
    </row>
    <row r="257" spans="2:54">
      <c r="B257" s="1258" t="s">
        <v>556</v>
      </c>
      <c r="C257" s="1259"/>
      <c r="D257" s="1259"/>
      <c r="E257" s="1259"/>
      <c r="F257" s="1259"/>
      <c r="G257" s="1260"/>
      <c r="H257" s="417">
        <f>H229+H246+H256+H241</f>
        <v>86040</v>
      </c>
      <c r="I257" s="388"/>
      <c r="J257" s="293"/>
      <c r="K257" s="293"/>
      <c r="L257" s="293"/>
      <c r="M257" s="389"/>
      <c r="N257" s="505" t="str">
        <f t="shared" si="19"/>
        <v xml:space="preserve"> </v>
      </c>
      <c r="O257" s="212"/>
      <c r="P257" s="418"/>
      <c r="Q257" s="418"/>
      <c r="R257" s="418"/>
      <c r="S257" s="207"/>
      <c r="T257" s="1300"/>
      <c r="U257" s="1301"/>
      <c r="V257" s="1301"/>
      <c r="W257" s="1301"/>
      <c r="X257" s="1301"/>
      <c r="Y257" s="1301"/>
      <c r="Z257" s="1301"/>
      <c r="AA257" s="1301"/>
      <c r="AB257" s="1301"/>
      <c r="AC257" s="1301"/>
      <c r="AD257" s="1301"/>
      <c r="AE257" s="1301"/>
      <c r="AF257" s="1301"/>
      <c r="AG257" s="1301"/>
      <c r="AH257" s="1301"/>
      <c r="AI257" s="1301"/>
      <c r="AJ257" s="1301"/>
      <c r="AK257" s="1301"/>
      <c r="AL257" s="1301"/>
      <c r="AM257" s="1301"/>
      <c r="AN257" s="1301"/>
      <c r="AO257" s="1301"/>
      <c r="AP257" s="1301"/>
      <c r="AQ257" s="1301"/>
      <c r="AR257" s="1301"/>
      <c r="AS257" s="1301"/>
      <c r="AT257" s="1301"/>
      <c r="AU257" s="1301"/>
      <c r="AV257" s="1301"/>
      <c r="AW257" s="1301"/>
      <c r="AX257" s="1301"/>
      <c r="AY257" s="1301"/>
      <c r="AZ257" s="1301"/>
      <c r="BA257" s="1301"/>
    </row>
    <row r="258" spans="2:54">
      <c r="B258" s="1320" t="s">
        <v>557</v>
      </c>
      <c r="C258" s="1321"/>
      <c r="D258" s="1321"/>
      <c r="E258" s="1321"/>
      <c r="F258" s="1321"/>
      <c r="G258" s="1322"/>
      <c r="H258" s="545">
        <v>86040</v>
      </c>
      <c r="I258" s="1418"/>
      <c r="J258" s="1419"/>
      <c r="K258" s="1419"/>
      <c r="L258" s="1419"/>
      <c r="M258" s="1420"/>
      <c r="N258" s="505" t="str">
        <f t="shared" si="19"/>
        <v xml:space="preserve"> </v>
      </c>
      <c r="O258" s="32"/>
      <c r="P258" s="415"/>
      <c r="Q258" s="415"/>
      <c r="R258" s="415"/>
      <c r="S258" s="63"/>
      <c r="T258" s="416">
        <f t="shared" ref="T258:BA258" si="20">SUM(T226:T253)</f>
        <v>0</v>
      </c>
      <c r="U258" s="416">
        <f t="shared" si="20"/>
        <v>0</v>
      </c>
      <c r="V258" s="416">
        <f t="shared" si="20"/>
        <v>0</v>
      </c>
      <c r="W258" s="416">
        <f t="shared" si="20"/>
        <v>0</v>
      </c>
      <c r="X258" s="416">
        <f t="shared" si="20"/>
        <v>0</v>
      </c>
      <c r="Y258" s="416">
        <f t="shared" si="20"/>
        <v>39717.03349999999</v>
      </c>
      <c r="Z258" s="416">
        <f t="shared" si="20"/>
        <v>8576.6305000000011</v>
      </c>
      <c r="AA258" s="416">
        <f t="shared" si="20"/>
        <v>0</v>
      </c>
      <c r="AB258" s="416">
        <f t="shared" si="20"/>
        <v>19236.450550000001</v>
      </c>
      <c r="AC258" s="416">
        <f t="shared" si="20"/>
        <v>10932.498449999999</v>
      </c>
      <c r="AD258" s="416">
        <f t="shared" si="20"/>
        <v>0</v>
      </c>
      <c r="AE258" s="416">
        <f t="shared" si="20"/>
        <v>0</v>
      </c>
      <c r="AF258" s="416">
        <f t="shared" si="20"/>
        <v>0</v>
      </c>
      <c r="AG258" s="416">
        <f t="shared" si="20"/>
        <v>0</v>
      </c>
      <c r="AH258" s="416">
        <f t="shared" si="20"/>
        <v>0</v>
      </c>
      <c r="AI258" s="416">
        <f t="shared" si="20"/>
        <v>0</v>
      </c>
      <c r="AJ258" s="416">
        <f t="shared" si="20"/>
        <v>0</v>
      </c>
      <c r="AK258" s="416">
        <f t="shared" si="20"/>
        <v>0</v>
      </c>
      <c r="AL258" s="416">
        <f t="shared" si="20"/>
        <v>0</v>
      </c>
      <c r="AM258" s="416">
        <f t="shared" si="20"/>
        <v>0</v>
      </c>
      <c r="AN258" s="416">
        <f t="shared" si="20"/>
        <v>0</v>
      </c>
      <c r="AO258" s="416">
        <f t="shared" si="20"/>
        <v>0</v>
      </c>
      <c r="AP258" s="416">
        <f t="shared" si="20"/>
        <v>0</v>
      </c>
      <c r="AQ258" s="416">
        <f t="shared" si="20"/>
        <v>0</v>
      </c>
      <c r="AR258" s="416">
        <f t="shared" si="20"/>
        <v>0</v>
      </c>
      <c r="AS258" s="416">
        <f t="shared" si="20"/>
        <v>0</v>
      </c>
      <c r="AT258" s="416">
        <f t="shared" si="20"/>
        <v>0</v>
      </c>
      <c r="AU258" s="416">
        <f t="shared" si="20"/>
        <v>0</v>
      </c>
      <c r="AV258" s="416">
        <f t="shared" si="20"/>
        <v>0</v>
      </c>
      <c r="AW258" s="416">
        <f t="shared" si="20"/>
        <v>0</v>
      </c>
      <c r="AX258" s="416">
        <f t="shared" si="20"/>
        <v>0</v>
      </c>
      <c r="AY258" s="416">
        <f t="shared" si="20"/>
        <v>7577.3869999999997</v>
      </c>
      <c r="AZ258" s="416">
        <f t="shared" si="20"/>
        <v>0</v>
      </c>
      <c r="BA258" s="416">
        <f t="shared" si="20"/>
        <v>0</v>
      </c>
      <c r="BB258" s="416">
        <f>SUM(T258:BA258)</f>
        <v>86040</v>
      </c>
    </row>
    <row r="259" spans="2:54">
      <c r="B259" s="1320" t="s">
        <v>558</v>
      </c>
      <c r="C259" s="1321"/>
      <c r="D259" s="1321"/>
      <c r="E259" s="1321"/>
      <c r="F259" s="1321"/>
      <c r="G259" s="1322"/>
      <c r="H259" s="546">
        <f>H258-L220</f>
        <v>0</v>
      </c>
      <c r="I259" s="669"/>
      <c r="J259" s="670"/>
      <c r="K259" s="670"/>
      <c r="L259" s="671"/>
      <c r="M259" s="207"/>
      <c r="N259" s="32"/>
      <c r="O259" s="32"/>
      <c r="P259" s="32"/>
      <c r="Q259" s="297"/>
      <c r="R259" s="297"/>
      <c r="S259" s="32"/>
      <c r="T259" s="48"/>
      <c r="U259" s="48"/>
      <c r="V259" s="48"/>
      <c r="W259" s="48"/>
      <c r="X259" s="48"/>
      <c r="Y259" s="48"/>
      <c r="Z259" s="48"/>
      <c r="AA259" s="48"/>
      <c r="AB259" s="48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</row>
    <row r="260" spans="2:54">
      <c r="B260" s="1320" t="s">
        <v>559</v>
      </c>
      <c r="C260" s="1321"/>
      <c r="D260" s="1321"/>
      <c r="E260" s="1321"/>
      <c r="F260" s="1321"/>
      <c r="G260" s="1322"/>
      <c r="H260" s="532">
        <v>2118.741</v>
      </c>
      <c r="I260" s="672"/>
      <c r="J260" s="673"/>
      <c r="K260" s="673"/>
      <c r="L260" s="674"/>
      <c r="M260" s="207"/>
      <c r="N260" s="201"/>
      <c r="O260" s="32"/>
      <c r="P260" s="32"/>
      <c r="Q260" s="32"/>
      <c r="R260" s="32"/>
      <c r="S260" s="32"/>
      <c r="T260" s="48"/>
      <c r="U260" s="48"/>
      <c r="V260" s="48"/>
      <c r="W260" s="48"/>
      <c r="X260" s="48"/>
      <c r="Y260" s="48"/>
      <c r="Z260" s="48"/>
      <c r="AA260" s="48"/>
      <c r="AB260" s="48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</row>
    <row r="261" spans="2:54" s="496" customFormat="1">
      <c r="B261" s="1309" t="s">
        <v>560</v>
      </c>
      <c r="C261" s="1310"/>
      <c r="D261" s="1310"/>
      <c r="E261" s="1310"/>
      <c r="F261" s="1310"/>
      <c r="G261" s="1311"/>
      <c r="H261" s="741">
        <f>H260-2820.502</f>
        <v>-701.76099999999997</v>
      </c>
      <c r="I261" s="641"/>
      <c r="J261" s="642"/>
      <c r="K261" s="642"/>
      <c r="L261" s="499"/>
      <c r="M261" s="613"/>
      <c r="N261" s="613"/>
      <c r="O261" s="613"/>
      <c r="P261" s="613"/>
      <c r="Q261" s="613"/>
      <c r="R261" s="613"/>
      <c r="S261" s="616"/>
      <c r="T261" s="616"/>
      <c r="U261" s="616"/>
      <c r="V261" s="616"/>
      <c r="W261" s="616"/>
      <c r="X261" s="616"/>
      <c r="Y261" s="616"/>
      <c r="Z261" s="616"/>
      <c r="AA261" s="616"/>
      <c r="AB261" s="613"/>
      <c r="AC261" s="613"/>
      <c r="AD261" s="613"/>
      <c r="AE261" s="613"/>
      <c r="AF261" s="613"/>
      <c r="AG261" s="613"/>
      <c r="AH261" s="613"/>
      <c r="AI261" s="613"/>
      <c r="AJ261" s="613"/>
      <c r="AK261" s="613"/>
      <c r="AL261" s="613"/>
      <c r="AM261" s="613"/>
      <c r="AN261" s="613"/>
      <c r="AO261" s="613"/>
      <c r="AP261" s="613"/>
      <c r="AQ261" s="613"/>
    </row>
    <row r="262" spans="2:54">
      <c r="B262" s="201"/>
      <c r="C262" s="201"/>
      <c r="D262" s="201"/>
      <c r="E262" s="201"/>
      <c r="F262" s="201"/>
      <c r="G262" s="201"/>
      <c r="H262" s="201"/>
      <c r="I262" s="213"/>
      <c r="J262" s="209"/>
      <c r="K262" s="209"/>
      <c r="L262" s="203"/>
      <c r="M262" s="201"/>
      <c r="N262" s="201"/>
      <c r="O262" s="209"/>
      <c r="P262" s="32"/>
      <c r="Q262" s="32"/>
      <c r="R262" s="32"/>
      <c r="S262" s="32"/>
      <c r="T262" s="48"/>
      <c r="U262" s="48"/>
      <c r="V262" s="48"/>
      <c r="W262" s="48"/>
      <c r="X262" s="48"/>
      <c r="Y262" s="48"/>
      <c r="Z262" s="48"/>
      <c r="AA262" s="48"/>
      <c r="AB262" s="48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</row>
    <row r="263" spans="2:54">
      <c r="B263" s="40" t="s">
        <v>561</v>
      </c>
      <c r="C263" s="40"/>
      <c r="D263" s="32"/>
      <c r="E263" s="32"/>
      <c r="F263" s="32"/>
      <c r="G263" s="32"/>
      <c r="H263" s="32"/>
      <c r="I263" s="32"/>
      <c r="J263" s="52"/>
      <c r="K263" s="52"/>
      <c r="L263" s="55"/>
      <c r="M263" s="32"/>
      <c r="N263" s="201"/>
      <c r="O263" s="5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  <c r="AA263" s="202"/>
      <c r="AB263" s="201"/>
      <c r="AC263" s="201"/>
      <c r="AD263" s="201"/>
      <c r="AE263" s="201"/>
      <c r="AF263" s="201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  <c r="AQ263" s="201"/>
      <c r="AR263" s="201"/>
      <c r="AS263" s="201"/>
      <c r="AT263" s="201"/>
      <c r="AU263" s="201"/>
      <c r="BB263" s="201"/>
    </row>
    <row r="264" spans="2:54">
      <c r="B264" s="422">
        <v>1</v>
      </c>
      <c r="C264" s="1249" t="s">
        <v>3708</v>
      </c>
      <c r="D264" s="1249"/>
      <c r="E264" s="1249"/>
      <c r="F264" s="1249"/>
      <c r="G264" s="1249"/>
      <c r="H264" s="1249"/>
      <c r="I264" s="1249"/>
      <c r="J264" s="1249"/>
      <c r="K264" s="1249"/>
      <c r="L264" s="203"/>
      <c r="M264" s="203"/>
      <c r="N264" s="201"/>
      <c r="O264" s="209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  <c r="AA264" s="202"/>
      <c r="AB264" s="201"/>
      <c r="AC264" s="201"/>
      <c r="AD264" s="201"/>
      <c r="AE264" s="201"/>
      <c r="AF264" s="201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201"/>
      <c r="AQ264" s="201"/>
      <c r="AR264" s="201"/>
      <c r="AS264" s="201"/>
      <c r="AT264" s="201"/>
      <c r="AU264" s="201"/>
      <c r="AV264" s="201"/>
      <c r="AW264" s="201"/>
      <c r="AX264" s="201"/>
      <c r="AY264" s="201"/>
      <c r="AZ264" s="201"/>
      <c r="BA264" s="201"/>
      <c r="BB264" s="201"/>
    </row>
    <row r="265" spans="2:54">
      <c r="B265" s="201"/>
      <c r="C265" s="201"/>
      <c r="D265" s="201"/>
      <c r="E265" s="201"/>
      <c r="F265" s="201"/>
      <c r="G265" s="201"/>
      <c r="H265" s="201"/>
      <c r="I265" s="213"/>
      <c r="J265" s="209"/>
      <c r="K265" s="209"/>
      <c r="L265" s="203"/>
      <c r="M265" s="203"/>
      <c r="N265" s="201"/>
      <c r="O265" s="209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  <c r="AA265" s="202"/>
      <c r="AB265" s="201"/>
      <c r="AC265" s="201"/>
      <c r="AD265" s="201"/>
      <c r="AE265" s="201"/>
      <c r="AF265" s="201"/>
      <c r="AG265" s="201"/>
      <c r="AH265" s="201"/>
      <c r="AI265" s="201"/>
      <c r="AJ265" s="201"/>
      <c r="AK265" s="201"/>
      <c r="AL265" s="201"/>
      <c r="AM265" s="201"/>
      <c r="AN265" s="201"/>
      <c r="AO265" s="201"/>
      <c r="AP265" s="201"/>
      <c r="AQ265" s="201"/>
      <c r="AR265" s="201"/>
      <c r="AS265" s="201"/>
      <c r="AT265" s="201"/>
      <c r="AU265" s="201"/>
      <c r="AV265" s="201"/>
      <c r="AW265" s="201"/>
      <c r="AX265" s="201"/>
      <c r="AY265" s="201"/>
      <c r="AZ265" s="201"/>
      <c r="BA265" s="201"/>
      <c r="BB265" s="201"/>
    </row>
    <row r="266" spans="2:54">
      <c r="B266" s="28" t="s">
        <v>126</v>
      </c>
      <c r="C266" s="28"/>
      <c r="D266" s="29"/>
      <c r="E266" s="30" t="s">
        <v>511</v>
      </c>
      <c r="F266" s="31" t="s">
        <v>2361</v>
      </c>
      <c r="G266" s="32"/>
      <c r="H266" s="33"/>
      <c r="I266" s="34"/>
      <c r="J266" s="35" t="s">
        <v>513</v>
      </c>
      <c r="K266" s="36" t="s">
        <v>511</v>
      </c>
      <c r="L266" s="516">
        <v>45220.743055555555</v>
      </c>
      <c r="M266" s="32"/>
      <c r="N266" s="32"/>
      <c r="O266" s="206"/>
      <c r="P266" s="205"/>
      <c r="Q266" s="202"/>
      <c r="R266" s="204"/>
      <c r="S266" s="38"/>
      <c r="T266" s="201"/>
      <c r="U266" s="201"/>
      <c r="V266" s="201"/>
      <c r="W266" s="201"/>
      <c r="X266" s="201"/>
      <c r="Y266" s="201"/>
      <c r="Z266" s="201"/>
      <c r="AA266" s="201"/>
      <c r="AB266" s="202"/>
      <c r="AC266" s="202"/>
      <c r="AD266" s="202"/>
      <c r="AE266" s="202"/>
      <c r="AF266" s="202"/>
      <c r="AG266" s="201"/>
      <c r="AH266" s="201"/>
      <c r="AI266" s="201"/>
      <c r="AJ266" s="201"/>
      <c r="AK266" s="201"/>
      <c r="AL266" s="201"/>
      <c r="AM266" s="201"/>
      <c r="AN266" s="201"/>
      <c r="AO266" s="201"/>
      <c r="AP266" s="201"/>
      <c r="AQ266" s="201"/>
      <c r="AR266" s="201"/>
      <c r="AS266" s="201"/>
      <c r="AT266" s="201"/>
      <c r="AU266" s="201"/>
      <c r="AV266" s="201"/>
      <c r="AW266" s="201"/>
      <c r="AX266" s="201"/>
      <c r="AY266" s="201"/>
      <c r="AZ266" s="201"/>
      <c r="BA266" s="201"/>
      <c r="BB266" s="201"/>
    </row>
    <row r="267" spans="2:54">
      <c r="B267" s="35" t="s">
        <v>514</v>
      </c>
      <c r="C267" s="35"/>
      <c r="D267" s="32"/>
      <c r="E267" s="36" t="s">
        <v>511</v>
      </c>
      <c r="F267" s="311" t="s">
        <v>3709</v>
      </c>
      <c r="G267" s="59" t="s">
        <v>647</v>
      </c>
      <c r="H267" s="33"/>
      <c r="I267" s="34"/>
      <c r="J267" s="35" t="s">
        <v>516</v>
      </c>
      <c r="K267" s="36" t="s">
        <v>511</v>
      </c>
      <c r="L267" s="516">
        <v>45222.326388888891</v>
      </c>
      <c r="M267" s="32"/>
      <c r="N267" s="32"/>
      <c r="O267" s="206"/>
      <c r="P267" s="205"/>
      <c r="Q267" s="202"/>
      <c r="R267" s="204"/>
      <c r="S267" s="38"/>
      <c r="T267" s="201"/>
      <c r="U267" s="201"/>
      <c r="V267" s="201"/>
      <c r="W267" s="201"/>
      <c r="X267" s="201"/>
      <c r="Y267" s="201"/>
      <c r="Z267" s="201"/>
      <c r="AA267" s="201"/>
      <c r="AB267" s="202"/>
      <c r="AC267" s="202"/>
      <c r="AD267" s="202"/>
      <c r="AE267" s="202"/>
      <c r="AF267" s="202"/>
      <c r="AG267" s="201"/>
      <c r="AH267" s="201"/>
      <c r="AI267" s="201"/>
      <c r="AJ267" s="201"/>
      <c r="AK267" s="201"/>
      <c r="AL267" s="201"/>
      <c r="AM267" s="201"/>
      <c r="AN267" s="201"/>
      <c r="AO267" s="201"/>
      <c r="AP267" s="201"/>
      <c r="AQ267" s="201"/>
      <c r="AR267" s="201"/>
      <c r="AS267" s="201"/>
      <c r="AT267" s="201"/>
      <c r="AU267" s="201"/>
      <c r="AV267" s="201"/>
      <c r="AW267" s="201"/>
      <c r="AX267" s="201"/>
      <c r="AY267" s="201"/>
      <c r="AZ267" s="201"/>
      <c r="BA267" s="201"/>
      <c r="BB267" s="201"/>
    </row>
    <row r="268" spans="2:54">
      <c r="B268" s="35" t="s">
        <v>517</v>
      </c>
      <c r="C268" s="35"/>
      <c r="D268" s="32"/>
      <c r="E268" s="36" t="s">
        <v>511</v>
      </c>
      <c r="F268" s="516">
        <v>45214.308333333334</v>
      </c>
      <c r="G268" s="769">
        <v>45216</v>
      </c>
      <c r="H268" s="33"/>
      <c r="I268" s="34"/>
      <c r="J268" s="35" t="s">
        <v>518</v>
      </c>
      <c r="K268" s="36" t="s">
        <v>511</v>
      </c>
      <c r="L268" s="544">
        <v>53000</v>
      </c>
      <c r="M268" s="40" t="s">
        <v>519</v>
      </c>
      <c r="N268" s="40"/>
      <c r="O268" s="206"/>
      <c r="P268" s="205"/>
      <c r="Q268" s="202"/>
      <c r="R268" s="204"/>
      <c r="S268" s="38"/>
      <c r="T268" s="201"/>
      <c r="U268" s="201"/>
      <c r="V268" s="201"/>
      <c r="W268" s="201"/>
      <c r="X268" s="201"/>
      <c r="Y268" s="201"/>
      <c r="Z268" s="201"/>
      <c r="AA268" s="201"/>
      <c r="AB268" s="202"/>
      <c r="AC268" s="202"/>
      <c r="AD268" s="202"/>
      <c r="AE268" s="202"/>
      <c r="AF268" s="202"/>
      <c r="AG268" s="201"/>
      <c r="AH268" s="201"/>
      <c r="AI268" s="201"/>
      <c r="AJ268" s="201"/>
      <c r="AK268" s="201"/>
      <c r="AL268" s="201"/>
      <c r="AM268" s="201"/>
      <c r="AN268" s="201"/>
      <c r="AO268" s="201"/>
      <c r="AP268" s="201"/>
      <c r="AQ268" s="201"/>
      <c r="AR268" s="201"/>
      <c r="AS268" s="201"/>
      <c r="AT268" s="201"/>
      <c r="AU268" s="201"/>
      <c r="AV268" s="201"/>
      <c r="AW268" s="201"/>
      <c r="AX268" s="201"/>
      <c r="AY268" s="201"/>
      <c r="AZ268" s="201"/>
      <c r="BA268" s="201"/>
      <c r="BB268" s="201"/>
    </row>
    <row r="269" spans="2:54">
      <c r="B269" s="35" t="s">
        <v>520</v>
      </c>
      <c r="C269" s="35"/>
      <c r="D269" s="32"/>
      <c r="E269" s="36" t="s">
        <v>511</v>
      </c>
      <c r="F269" s="37" t="s">
        <v>12</v>
      </c>
      <c r="G269" s="32"/>
      <c r="H269" s="33"/>
      <c r="I269" s="34"/>
      <c r="J269" s="35" t="s">
        <v>521</v>
      </c>
      <c r="K269" s="36" t="s">
        <v>511</v>
      </c>
      <c r="L269" s="41" t="s">
        <v>3106</v>
      </c>
      <c r="M269" s="32"/>
      <c r="N269" s="32"/>
      <c r="O269" s="206"/>
      <c r="P269" s="202"/>
      <c r="Q269" s="202"/>
      <c r="R269" s="204"/>
      <c r="S269" s="38"/>
      <c r="T269" s="201"/>
      <c r="U269" s="201"/>
      <c r="V269" s="201"/>
      <c r="W269" s="201"/>
      <c r="X269" s="201"/>
      <c r="Y269" s="201"/>
      <c r="Z269" s="201"/>
      <c r="AA269" s="201"/>
      <c r="AB269" s="202"/>
      <c r="AC269" s="202"/>
      <c r="AD269" s="202"/>
      <c r="AE269" s="202"/>
      <c r="AF269" s="202"/>
      <c r="AG269" s="201"/>
      <c r="AH269" s="201"/>
      <c r="AI269" s="201"/>
      <c r="AJ269" s="201"/>
      <c r="AK269" s="201"/>
      <c r="AL269" s="201"/>
      <c r="AM269" s="201"/>
      <c r="AN269" s="201"/>
      <c r="AO269" s="201"/>
      <c r="AP269" s="201"/>
      <c r="AQ269" s="201"/>
      <c r="AR269" s="201"/>
      <c r="AS269" s="201"/>
      <c r="AT269" s="201"/>
      <c r="AU269" s="201"/>
      <c r="AV269" s="201"/>
      <c r="AW269" s="201"/>
      <c r="AX269" s="201"/>
      <c r="AY269" s="201"/>
      <c r="AZ269" s="201"/>
      <c r="BA269" s="201"/>
      <c r="BB269" s="201"/>
    </row>
    <row r="270" spans="2:54">
      <c r="B270" s="35" t="s">
        <v>523</v>
      </c>
      <c r="C270" s="35"/>
      <c r="D270" s="32"/>
      <c r="E270" s="36" t="s">
        <v>511</v>
      </c>
      <c r="F270" s="37" t="s">
        <v>32</v>
      </c>
      <c r="G270" s="32"/>
      <c r="H270" s="33"/>
      <c r="I270" s="34"/>
      <c r="J270" s="42" t="s">
        <v>524</v>
      </c>
      <c r="K270" s="36" t="s">
        <v>511</v>
      </c>
      <c r="L270" s="43" t="s">
        <v>15</v>
      </c>
      <c r="M270" s="44"/>
      <c r="N270" s="44"/>
      <c r="O270" s="206"/>
      <c r="P270" s="205"/>
      <c r="Q270" s="202"/>
      <c r="R270" s="204"/>
      <c r="S270" s="38"/>
      <c r="T270" s="201"/>
      <c r="U270" s="201"/>
      <c r="V270" s="201"/>
      <c r="W270" s="201"/>
      <c r="X270" s="201"/>
      <c r="Y270" s="201"/>
      <c r="Z270" s="201"/>
      <c r="AA270" s="201"/>
      <c r="AB270" s="202"/>
      <c r="AC270" s="202"/>
      <c r="AD270" s="202"/>
      <c r="AE270" s="202"/>
      <c r="AF270" s="202"/>
      <c r="AG270" s="201"/>
      <c r="AH270" s="201"/>
      <c r="AI270" s="201"/>
      <c r="AJ270" s="201"/>
      <c r="AK270" s="201"/>
      <c r="AL270" s="201"/>
      <c r="AM270" s="201"/>
      <c r="AN270" s="201"/>
      <c r="AO270" s="201"/>
      <c r="AP270" s="201"/>
      <c r="AQ270" s="201"/>
      <c r="AR270" s="201"/>
      <c r="AS270" s="201"/>
      <c r="AT270" s="201"/>
      <c r="AU270" s="201"/>
      <c r="AV270" s="201"/>
      <c r="AW270" s="201"/>
      <c r="AX270" s="201"/>
      <c r="AY270" s="201"/>
      <c r="AZ270" s="201"/>
      <c r="BA270" s="201"/>
      <c r="BB270" s="201"/>
    </row>
    <row r="271" spans="2:54">
      <c r="B271" s="35" t="s">
        <v>2</v>
      </c>
      <c r="C271" s="35"/>
      <c r="D271" s="32"/>
      <c r="E271" s="36" t="s">
        <v>511</v>
      </c>
      <c r="F271" s="37" t="s">
        <v>44</v>
      </c>
      <c r="G271" s="32"/>
      <c r="H271" s="33"/>
      <c r="I271" s="45"/>
      <c r="J271" s="42"/>
      <c r="K271" s="36"/>
      <c r="L271" s="211"/>
      <c r="M271" s="201"/>
      <c r="N271" s="201"/>
      <c r="O271" s="42"/>
      <c r="P271" s="44"/>
      <c r="Q271" s="44"/>
      <c r="R271" s="44"/>
      <c r="S271" s="34"/>
      <c r="T271" s="201"/>
      <c r="U271" s="201"/>
      <c r="V271" s="201"/>
      <c r="W271" s="201"/>
      <c r="X271" s="201"/>
      <c r="Y271" s="201"/>
      <c r="Z271" s="201"/>
      <c r="AA271" s="201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201"/>
      <c r="AP271" s="201"/>
      <c r="AQ271" s="201"/>
      <c r="AR271" s="201"/>
      <c r="AS271" s="201"/>
      <c r="AT271" s="201"/>
      <c r="AU271" s="201"/>
      <c r="AV271" s="201"/>
      <c r="AW271" s="201"/>
      <c r="AX271" s="201"/>
      <c r="AY271" s="201"/>
      <c r="AZ271" s="201"/>
      <c r="BA271" s="201"/>
      <c r="BB271" s="201"/>
    </row>
    <row r="272" spans="2:54">
      <c r="B272" s="201"/>
      <c r="C272" s="201"/>
      <c r="D272" s="201"/>
      <c r="E272" s="201"/>
      <c r="F272" s="201"/>
      <c r="G272" s="201"/>
      <c r="H272" s="201"/>
      <c r="I272" s="45"/>
      <c r="J272" s="42"/>
      <c r="K272" s="42"/>
      <c r="L272" s="43"/>
      <c r="M272" s="44"/>
      <c r="N272" s="44"/>
      <c r="O272" s="42"/>
      <c r="P272" s="44"/>
      <c r="Q272" s="44"/>
      <c r="R272" s="44"/>
      <c r="S272" s="34"/>
      <c r="T272" s="1265" t="s">
        <v>87</v>
      </c>
      <c r="U272" s="1265"/>
      <c r="V272" s="1265"/>
      <c r="W272" s="1265"/>
      <c r="X272" s="1265"/>
      <c r="Y272" s="1265" t="s">
        <v>73</v>
      </c>
      <c r="Z272" s="1265"/>
      <c r="AA272" s="1265"/>
      <c r="AB272" s="1265" t="s">
        <v>74</v>
      </c>
      <c r="AC272" s="1265"/>
      <c r="AD272" s="423" t="s">
        <v>85</v>
      </c>
      <c r="AE272" s="423" t="s">
        <v>77</v>
      </c>
      <c r="AF272" s="1265" t="s">
        <v>525</v>
      </c>
      <c r="AG272" s="1265"/>
      <c r="AH272" s="1265"/>
      <c r="AI272" s="1265"/>
      <c r="AJ272" s="1265"/>
      <c r="AK272" s="1265"/>
      <c r="AL272" s="1265"/>
      <c r="AM272" s="1265"/>
      <c r="AN272" s="1265"/>
      <c r="AO272" s="1265"/>
      <c r="AP272" s="1265"/>
      <c r="AQ272" s="1265"/>
      <c r="AR272" s="1265"/>
      <c r="AS272" s="1265"/>
      <c r="AT272" s="1265"/>
      <c r="AU272" s="1265"/>
      <c r="AV272" s="1265"/>
      <c r="AW272" s="1265"/>
      <c r="AX272" s="1265"/>
      <c r="AY272" s="1265"/>
      <c r="AZ272" s="1265"/>
      <c r="BA272" s="1265"/>
      <c r="BB272" s="201"/>
    </row>
    <row r="273" spans="2:54">
      <c r="B273" s="1266" t="s">
        <v>526</v>
      </c>
      <c r="C273" s="1267"/>
      <c r="D273" s="570" t="s">
        <v>527</v>
      </c>
      <c r="E273" s="570"/>
      <c r="F273" s="570" t="s">
        <v>528</v>
      </c>
      <c r="G273" s="570" t="s">
        <v>529</v>
      </c>
      <c r="H273" s="570" t="s">
        <v>530</v>
      </c>
      <c r="I273" s="570" t="s">
        <v>531</v>
      </c>
      <c r="J273" s="570" t="s">
        <v>532</v>
      </c>
      <c r="K273" s="570"/>
      <c r="L273" s="570" t="s">
        <v>130</v>
      </c>
      <c r="M273" s="570" t="s">
        <v>533</v>
      </c>
      <c r="N273" s="625" t="str">
        <f>"On time - "&amp;COUNTIF(N274:N285,"On time")&amp;" from "&amp;ROWS(N274:N285)-COUNTIF(N274:N285," ")</f>
        <v>On time - 6 from 8</v>
      </c>
      <c r="O273" s="46"/>
      <c r="P273" s="409" t="s">
        <v>534</v>
      </c>
      <c r="Q273" s="409" t="s">
        <v>535</v>
      </c>
      <c r="R273" s="409" t="s">
        <v>536</v>
      </c>
      <c r="S273" s="32"/>
      <c r="T273" s="424" t="s">
        <v>537</v>
      </c>
      <c r="U273" s="424" t="s">
        <v>538</v>
      </c>
      <c r="V273" s="424" t="s">
        <v>539</v>
      </c>
      <c r="W273" s="424" t="s">
        <v>540</v>
      </c>
      <c r="X273" s="424" t="s">
        <v>541</v>
      </c>
      <c r="Y273" s="424" t="s">
        <v>167</v>
      </c>
      <c r="Z273" s="424" t="s">
        <v>168</v>
      </c>
      <c r="AA273" s="424" t="s">
        <v>169</v>
      </c>
      <c r="AB273" s="424" t="s">
        <v>235</v>
      </c>
      <c r="AC273" s="424" t="s">
        <v>240</v>
      </c>
      <c r="AD273" s="423" t="s">
        <v>85</v>
      </c>
      <c r="AE273" s="424" t="s">
        <v>139</v>
      </c>
      <c r="AF273" s="424" t="s">
        <v>72</v>
      </c>
      <c r="AG273" s="424" t="s">
        <v>88</v>
      </c>
      <c r="AH273" s="424" t="s">
        <v>75</v>
      </c>
      <c r="AI273" s="424" t="s">
        <v>543</v>
      </c>
      <c r="AJ273" s="424" t="s">
        <v>78</v>
      </c>
      <c r="AK273" s="424" t="s">
        <v>76</v>
      </c>
      <c r="AL273" s="424" t="s">
        <v>544</v>
      </c>
      <c r="AM273" s="424" t="s">
        <v>545</v>
      </c>
      <c r="AN273" s="424" t="s">
        <v>86</v>
      </c>
      <c r="AO273" s="424" t="s">
        <v>83</v>
      </c>
      <c r="AP273" s="424" t="s">
        <v>84</v>
      </c>
      <c r="AQ273" s="424" t="s">
        <v>546</v>
      </c>
      <c r="AR273" s="424" t="s">
        <v>81</v>
      </c>
      <c r="AS273" s="424" t="s">
        <v>80</v>
      </c>
      <c r="AT273" s="424" t="s">
        <v>82</v>
      </c>
      <c r="AU273" s="424" t="s">
        <v>181</v>
      </c>
      <c r="AV273" s="424" t="s">
        <v>183</v>
      </c>
      <c r="AW273" s="424" t="s">
        <v>547</v>
      </c>
      <c r="AX273" s="424" t="s">
        <v>182</v>
      </c>
      <c r="AY273" s="424" t="s">
        <v>172</v>
      </c>
      <c r="AZ273" s="424" t="s">
        <v>173</v>
      </c>
      <c r="BA273" s="424" t="s">
        <v>184</v>
      </c>
      <c r="BB273" s="201"/>
    </row>
    <row r="274" spans="2:54">
      <c r="B274" s="1326" t="s">
        <v>3710</v>
      </c>
      <c r="C274" s="1327"/>
      <c r="D274" s="501" t="s">
        <v>3405</v>
      </c>
      <c r="E274" s="502"/>
      <c r="F274" s="501" t="s">
        <v>441</v>
      </c>
      <c r="G274" s="501" t="s">
        <v>1308</v>
      </c>
      <c r="H274" s="503">
        <f>5276/4</f>
        <v>1319</v>
      </c>
      <c r="I274" s="505" t="s">
        <v>81</v>
      </c>
      <c r="J274" s="504">
        <v>45220.010416666664</v>
      </c>
      <c r="K274" s="504"/>
      <c r="L274" s="504" t="s">
        <v>192</v>
      </c>
      <c r="M274" s="504" t="s">
        <v>192</v>
      </c>
      <c r="N274" s="505" t="str">
        <f t="shared" ref="N274:N286" si="21">IF(ISBLANK(J274)," ",IF(J274&lt;$G$335,"On time",(IF(DAY(J274-$G$335)&lt;1,"On time",(IF(J274&gt;$G$335,"DELAY ( "&amp;DAY(J274-$G$335)&amp;" day "&amp;HOUR(J274-$G$335)&amp;" hour "&amp;MINUTE(J274-$G$335)&amp;" minute )","xxx"))))))</f>
        <v>DELAY ( 1 day 0 hour 15 minute )</v>
      </c>
      <c r="O274" s="506"/>
      <c r="P274" s="507" t="s">
        <v>551</v>
      </c>
      <c r="Q274" s="507" t="s">
        <v>551</v>
      </c>
      <c r="R274" s="507" t="s">
        <v>551</v>
      </c>
      <c r="S274" s="500"/>
      <c r="T274" s="508"/>
      <c r="U274" s="508"/>
      <c r="V274" s="508"/>
      <c r="W274" s="508"/>
      <c r="X274" s="508"/>
      <c r="Y274" s="508"/>
      <c r="Z274" s="508"/>
      <c r="AA274" s="508"/>
      <c r="AB274" s="500"/>
      <c r="AC274" s="508"/>
      <c r="AD274" s="508"/>
      <c r="AE274" s="508"/>
      <c r="AF274" s="508"/>
      <c r="AG274" s="508"/>
      <c r="AH274" s="508"/>
      <c r="AI274" s="508"/>
      <c r="AJ274" s="508"/>
      <c r="AK274" s="508"/>
      <c r="AL274" s="508"/>
      <c r="AM274" s="508"/>
      <c r="AN274" s="508"/>
      <c r="AO274" s="508"/>
      <c r="AP274" s="508"/>
      <c r="AQ274" s="508"/>
      <c r="AR274" s="508">
        <f>H274</f>
        <v>1319</v>
      </c>
      <c r="AS274" s="508"/>
      <c r="AT274" s="508"/>
      <c r="AU274" s="508"/>
      <c r="AV274" s="508"/>
      <c r="AW274" s="508"/>
      <c r="AX274" s="508"/>
      <c r="AY274" s="508"/>
      <c r="AZ274" s="508"/>
      <c r="BA274" s="508"/>
      <c r="BB274" s="500"/>
    </row>
    <row r="275" spans="2:54">
      <c r="B275" s="1328"/>
      <c r="C275" s="1329"/>
      <c r="D275" s="501" t="s">
        <v>3325</v>
      </c>
      <c r="E275" s="501"/>
      <c r="F275" s="501" t="s">
        <v>295</v>
      </c>
      <c r="G275" s="501" t="s">
        <v>296</v>
      </c>
      <c r="H275" s="503">
        <v>9479.9639999999999</v>
      </c>
      <c r="I275" s="505" t="s">
        <v>418</v>
      </c>
      <c r="J275" s="504">
        <v>45218.729166666664</v>
      </c>
      <c r="K275" s="504"/>
      <c r="L275" s="504" t="s">
        <v>192</v>
      </c>
      <c r="M275" s="504" t="s">
        <v>192</v>
      </c>
      <c r="N275" s="505" t="str">
        <f t="shared" si="21"/>
        <v>On time</v>
      </c>
      <c r="O275" s="506"/>
      <c r="P275" s="507" t="s">
        <v>551</v>
      </c>
      <c r="Q275" s="507" t="s">
        <v>551</v>
      </c>
      <c r="R275" s="507" t="s">
        <v>551</v>
      </c>
      <c r="S275" s="500"/>
      <c r="T275" s="508"/>
      <c r="U275" s="508"/>
      <c r="V275" s="508"/>
      <c r="W275" s="508"/>
      <c r="X275" s="508"/>
      <c r="Y275" s="508"/>
      <c r="Z275" s="508"/>
      <c r="AA275" s="508"/>
      <c r="AB275" s="508">
        <f>H275*0.6</f>
        <v>5687.9784</v>
      </c>
      <c r="AC275" s="508">
        <f>H275*0.4</f>
        <v>3791.9856</v>
      </c>
      <c r="AD275" s="508"/>
      <c r="AE275" s="508"/>
      <c r="AF275" s="508"/>
      <c r="AG275" s="508"/>
      <c r="AH275" s="508"/>
      <c r="AI275" s="508"/>
      <c r="AJ275" s="508"/>
      <c r="AK275" s="508"/>
      <c r="AL275" s="508"/>
      <c r="AM275" s="508"/>
      <c r="AN275" s="508"/>
      <c r="AO275" s="508"/>
      <c r="AP275" s="508"/>
      <c r="AQ275" s="508"/>
      <c r="AR275" s="508"/>
      <c r="AS275" s="508"/>
      <c r="AT275" s="508"/>
      <c r="AU275" s="508"/>
      <c r="AV275" s="508"/>
      <c r="AW275" s="508"/>
      <c r="AX275" s="508"/>
      <c r="AY275" s="508"/>
      <c r="AZ275" s="508"/>
      <c r="BA275" s="508"/>
      <c r="BB275" s="500"/>
    </row>
    <row r="276" spans="2:54">
      <c r="B276" s="1326" t="s">
        <v>1995</v>
      </c>
      <c r="C276" s="1327"/>
      <c r="D276" s="501" t="s">
        <v>3405</v>
      </c>
      <c r="E276" s="502"/>
      <c r="F276" s="501" t="s">
        <v>441</v>
      </c>
      <c r="G276" s="501" t="s">
        <v>1308</v>
      </c>
      <c r="H276" s="503">
        <f>H274</f>
        <v>1319</v>
      </c>
      <c r="I276" s="505" t="s">
        <v>81</v>
      </c>
      <c r="J276" s="504"/>
      <c r="K276" s="504"/>
      <c r="L276" s="504" t="s">
        <v>192</v>
      </c>
      <c r="M276" s="504" t="s">
        <v>192</v>
      </c>
      <c r="N276" s="505" t="str">
        <f t="shared" si="21"/>
        <v xml:space="preserve"> </v>
      </c>
      <c r="O276" s="506"/>
      <c r="P276" s="507" t="s">
        <v>551</v>
      </c>
      <c r="Q276" s="507" t="s">
        <v>551</v>
      </c>
      <c r="R276" s="507" t="s">
        <v>551</v>
      </c>
      <c r="S276" s="500"/>
      <c r="T276" s="508"/>
      <c r="U276" s="508"/>
      <c r="V276" s="508"/>
      <c r="W276" s="508"/>
      <c r="X276" s="508"/>
      <c r="Y276" s="508"/>
      <c r="Z276" s="508"/>
      <c r="AA276" s="508"/>
      <c r="AB276" s="500"/>
      <c r="AC276" s="508"/>
      <c r="AD276" s="508"/>
      <c r="AE276" s="508"/>
      <c r="AF276" s="508"/>
      <c r="AG276" s="508"/>
      <c r="AH276" s="508"/>
      <c r="AI276" s="508"/>
      <c r="AJ276" s="508"/>
      <c r="AK276" s="508"/>
      <c r="AL276" s="508"/>
      <c r="AM276" s="508"/>
      <c r="AN276" s="508"/>
      <c r="AO276" s="508"/>
      <c r="AP276" s="508"/>
      <c r="AQ276" s="508"/>
      <c r="AR276" s="508">
        <f>H276</f>
        <v>1319</v>
      </c>
      <c r="AS276" s="508"/>
      <c r="AT276" s="508"/>
      <c r="AU276" s="508"/>
      <c r="AV276" s="508"/>
      <c r="AW276" s="508"/>
      <c r="AX276" s="508"/>
      <c r="AY276" s="508"/>
      <c r="AZ276" s="508"/>
      <c r="BA276" s="508"/>
      <c r="BB276" s="500"/>
    </row>
    <row r="277" spans="2:54">
      <c r="B277" s="1328"/>
      <c r="C277" s="1329"/>
      <c r="D277" s="501" t="s">
        <v>3324</v>
      </c>
      <c r="E277" s="501"/>
      <c r="F277" s="501" t="s">
        <v>208</v>
      </c>
      <c r="G277" s="501" t="s">
        <v>328</v>
      </c>
      <c r="H277" s="503">
        <v>7512.1379999999999</v>
      </c>
      <c r="I277" s="505" t="s">
        <v>418</v>
      </c>
      <c r="J277" s="504">
        <v>45218.958333333336</v>
      </c>
      <c r="K277" s="504"/>
      <c r="L277" s="504" t="s">
        <v>192</v>
      </c>
      <c r="M277" s="504" t="s">
        <v>192</v>
      </c>
      <c r="N277" s="505" t="str">
        <f t="shared" si="21"/>
        <v>On time</v>
      </c>
      <c r="O277" s="506"/>
      <c r="P277" s="507" t="s">
        <v>551</v>
      </c>
      <c r="Q277" s="507" t="s">
        <v>551</v>
      </c>
      <c r="R277" s="507" t="s">
        <v>551</v>
      </c>
      <c r="S277" s="500"/>
      <c r="T277" s="508"/>
      <c r="U277" s="508"/>
      <c r="V277" s="508"/>
      <c r="W277" s="508"/>
      <c r="X277" s="508"/>
      <c r="Y277" s="508"/>
      <c r="Z277" s="508"/>
      <c r="AA277" s="508"/>
      <c r="AB277" s="508">
        <f>H277*0.6</f>
        <v>4507.2828</v>
      </c>
      <c r="AC277" s="508">
        <f>H277*0.4</f>
        <v>3004.8552</v>
      </c>
      <c r="AD277" s="508"/>
      <c r="AE277" s="508"/>
      <c r="AF277" s="508"/>
      <c r="AG277" s="508"/>
      <c r="AH277" s="508"/>
      <c r="AI277" s="508"/>
      <c r="AJ277" s="508"/>
      <c r="AK277" s="508"/>
      <c r="AL277" s="508"/>
      <c r="AM277" s="508"/>
      <c r="AN277" s="508"/>
      <c r="AO277" s="508"/>
      <c r="AP277" s="508"/>
      <c r="AQ277" s="508"/>
      <c r="AR277" s="508"/>
      <c r="AS277" s="508"/>
      <c r="AT277" s="764"/>
      <c r="AU277" s="508"/>
      <c r="AV277" s="508"/>
      <c r="AW277" s="508"/>
      <c r="AX277" s="508"/>
      <c r="AY277" s="508"/>
      <c r="AZ277" s="508"/>
      <c r="BA277" s="508"/>
      <c r="BB277" s="500"/>
    </row>
    <row r="278" spans="2:54">
      <c r="B278" s="1296" t="s">
        <v>1995</v>
      </c>
      <c r="C278" s="1297"/>
      <c r="D278" s="436" t="s">
        <v>3405</v>
      </c>
      <c r="E278" s="442"/>
      <c r="F278" s="436" t="s">
        <v>441</v>
      </c>
      <c r="G278" s="436" t="s">
        <v>1308</v>
      </c>
      <c r="H278" s="437">
        <f>H276</f>
        <v>1319</v>
      </c>
      <c r="I278" s="438" t="s">
        <v>81</v>
      </c>
      <c r="J278" s="439"/>
      <c r="K278" s="439"/>
      <c r="L278" s="439"/>
      <c r="M278" s="439"/>
      <c r="N278" s="505" t="str">
        <f t="shared" si="21"/>
        <v xml:space="preserve"> </v>
      </c>
      <c r="O278" s="308"/>
      <c r="P278" s="440" t="s">
        <v>551</v>
      </c>
      <c r="Q278" s="440" t="s">
        <v>551</v>
      </c>
      <c r="R278" s="440" t="s">
        <v>551</v>
      </c>
      <c r="S278" s="201"/>
      <c r="T278" s="441"/>
      <c r="U278" s="441"/>
      <c r="V278" s="441"/>
      <c r="W278" s="441"/>
      <c r="X278" s="441"/>
      <c r="Y278" s="441"/>
      <c r="Z278" s="441"/>
      <c r="AA278" s="441"/>
      <c r="AB278" s="201"/>
      <c r="AC278" s="441"/>
      <c r="AD278" s="441"/>
      <c r="AE278" s="441"/>
      <c r="AF278" s="441"/>
      <c r="AG278" s="441"/>
      <c r="AH278" s="441"/>
      <c r="AI278" s="441"/>
      <c r="AJ278" s="441"/>
      <c r="AK278" s="441"/>
      <c r="AL278" s="441"/>
      <c r="AM278" s="441"/>
      <c r="AN278" s="441"/>
      <c r="AO278" s="441"/>
      <c r="AP278" s="441"/>
      <c r="AQ278" s="441"/>
      <c r="AR278" s="441">
        <f>H278</f>
        <v>1319</v>
      </c>
      <c r="AS278" s="441"/>
      <c r="AT278" s="441"/>
      <c r="AU278" s="441"/>
      <c r="AV278" s="441"/>
      <c r="AW278" s="441"/>
      <c r="AX278" s="441"/>
      <c r="AY278" s="441"/>
      <c r="AZ278" s="441"/>
      <c r="BA278" s="441"/>
      <c r="BB278" s="201"/>
    </row>
    <row r="279" spans="2:54">
      <c r="B279" s="1298"/>
      <c r="C279" s="1299"/>
      <c r="D279" s="436" t="s">
        <v>3326</v>
      </c>
      <c r="E279" s="436"/>
      <c r="F279" s="436" t="s">
        <v>201</v>
      </c>
      <c r="G279" s="436" t="s">
        <v>202</v>
      </c>
      <c r="H279" s="437">
        <v>7697.451</v>
      </c>
      <c r="I279" s="438" t="s">
        <v>418</v>
      </c>
      <c r="J279" s="439">
        <v>45219.5625</v>
      </c>
      <c r="K279" s="439"/>
      <c r="L279" s="504" t="s">
        <v>192</v>
      </c>
      <c r="M279" s="504" t="s">
        <v>192</v>
      </c>
      <c r="N279" s="505" t="str">
        <f t="shared" si="21"/>
        <v>On time</v>
      </c>
      <c r="O279" s="308"/>
      <c r="P279" s="440" t="s">
        <v>551</v>
      </c>
      <c r="Q279" s="440" t="s">
        <v>551</v>
      </c>
      <c r="R279" s="440" t="s">
        <v>551</v>
      </c>
      <c r="S279" s="201"/>
      <c r="T279" s="441"/>
      <c r="U279" s="441"/>
      <c r="V279" s="441"/>
      <c r="W279" s="441"/>
      <c r="X279" s="441"/>
      <c r="Y279" s="441"/>
      <c r="Z279" s="441"/>
      <c r="AA279" s="441"/>
      <c r="AB279" s="441">
        <f t="shared" ref="AB279" si="22">H279*0.6</f>
        <v>4618.4705999999996</v>
      </c>
      <c r="AC279" s="441">
        <f t="shared" ref="AC279" si="23">H279*0.4</f>
        <v>3078.9804000000004</v>
      </c>
      <c r="AD279" s="441"/>
      <c r="AE279" s="441"/>
      <c r="AF279" s="441"/>
      <c r="AG279" s="441"/>
      <c r="AH279" s="441"/>
      <c r="AI279" s="441"/>
      <c r="AJ279" s="441"/>
      <c r="AK279" s="201"/>
      <c r="AL279" s="441"/>
      <c r="AM279" s="441"/>
      <c r="AN279" s="441"/>
      <c r="AO279" s="441"/>
      <c r="AP279" s="441"/>
      <c r="AQ279" s="441"/>
      <c r="AR279" s="441"/>
      <c r="AS279" s="441"/>
      <c r="AT279" s="441"/>
      <c r="AU279" s="441"/>
      <c r="AV279" s="441"/>
      <c r="AW279" s="441"/>
      <c r="AX279" s="441"/>
      <c r="AY279" s="441"/>
      <c r="AZ279" s="441"/>
      <c r="BA279" s="441"/>
      <c r="BB279" s="201"/>
    </row>
    <row r="280" spans="2:54">
      <c r="B280" s="1296" t="s">
        <v>1995</v>
      </c>
      <c r="C280" s="1297"/>
      <c r="D280" s="436" t="s">
        <v>3405</v>
      </c>
      <c r="E280" s="442"/>
      <c r="F280" s="436" t="s">
        <v>441</v>
      </c>
      <c r="G280" s="436" t="s">
        <v>1308</v>
      </c>
      <c r="H280" s="437">
        <f>H278</f>
        <v>1319</v>
      </c>
      <c r="I280" s="438" t="s">
        <v>81</v>
      </c>
      <c r="J280" s="439"/>
      <c r="K280" s="439"/>
      <c r="L280" s="439"/>
      <c r="M280" s="439"/>
      <c r="N280" s="505" t="str">
        <f t="shared" si="21"/>
        <v xml:space="preserve"> </v>
      </c>
      <c r="O280" s="308"/>
      <c r="P280" s="440" t="s">
        <v>551</v>
      </c>
      <c r="Q280" s="440" t="s">
        <v>551</v>
      </c>
      <c r="R280" s="440" t="s">
        <v>551</v>
      </c>
      <c r="S280" s="201"/>
      <c r="T280" s="441"/>
      <c r="U280" s="441"/>
      <c r="V280" s="441"/>
      <c r="W280" s="441"/>
      <c r="X280" s="441"/>
      <c r="Y280" s="441"/>
      <c r="Z280" s="441"/>
      <c r="AA280" s="441"/>
      <c r="AB280" s="201"/>
      <c r="AC280" s="441"/>
      <c r="AD280" s="441"/>
      <c r="AE280" s="441"/>
      <c r="AF280" s="441"/>
      <c r="AG280" s="441"/>
      <c r="AH280" s="441"/>
      <c r="AI280" s="441"/>
      <c r="AJ280" s="441"/>
      <c r="AK280" s="441"/>
      <c r="AL280" s="441"/>
      <c r="AM280" s="441"/>
      <c r="AN280" s="441"/>
      <c r="AO280" s="441"/>
      <c r="AP280" s="441"/>
      <c r="AQ280" s="441"/>
      <c r="AR280" s="441">
        <f>H280</f>
        <v>1319</v>
      </c>
      <c r="AS280" s="441"/>
      <c r="AT280" s="441"/>
      <c r="AU280" s="441"/>
      <c r="AV280" s="441"/>
      <c r="AW280" s="441"/>
      <c r="AX280" s="441"/>
      <c r="AY280" s="441"/>
      <c r="AZ280" s="441"/>
      <c r="BA280" s="441"/>
      <c r="BB280" s="201"/>
    </row>
    <row r="281" spans="2:54">
      <c r="B281" s="1298"/>
      <c r="C281" s="1299"/>
      <c r="D281" s="436" t="s">
        <v>3328</v>
      </c>
      <c r="E281" s="436"/>
      <c r="F281" s="436" t="s">
        <v>218</v>
      </c>
      <c r="G281" s="436" t="s">
        <v>350</v>
      </c>
      <c r="H281" s="437">
        <v>7333.7640000000001</v>
      </c>
      <c r="I281" s="438" t="s">
        <v>418</v>
      </c>
      <c r="J281" s="439">
        <v>45219.569444444445</v>
      </c>
      <c r="K281" s="439"/>
      <c r="L281" s="504" t="s">
        <v>192</v>
      </c>
      <c r="M281" s="504" t="s">
        <v>192</v>
      </c>
      <c r="N281" s="505" t="str">
        <f t="shared" si="21"/>
        <v>On time</v>
      </c>
      <c r="O281" s="308"/>
      <c r="P281" s="440" t="s">
        <v>551</v>
      </c>
      <c r="Q281" s="440" t="s">
        <v>551</v>
      </c>
      <c r="R281" s="440" t="s">
        <v>551</v>
      </c>
      <c r="S281" s="201"/>
      <c r="T281" s="441"/>
      <c r="U281" s="441"/>
      <c r="V281" s="441"/>
      <c r="W281" s="441"/>
      <c r="X281" s="441"/>
      <c r="Y281" s="441"/>
      <c r="Z281" s="441"/>
      <c r="AA281" s="441"/>
      <c r="AB281" s="441">
        <f>H281*0.6</f>
        <v>4400.2583999999997</v>
      </c>
      <c r="AC281" s="441">
        <f>H281*0.4</f>
        <v>2933.5056000000004</v>
      </c>
      <c r="AD281" s="441"/>
      <c r="AE281" s="441"/>
      <c r="AF281" s="441"/>
      <c r="AG281" s="441"/>
      <c r="AH281" s="441"/>
      <c r="AI281" s="441"/>
      <c r="AJ281" s="441"/>
      <c r="AK281" s="441"/>
      <c r="AL281" s="441"/>
      <c r="AM281" s="441"/>
      <c r="AN281" s="441"/>
      <c r="AO281" s="441"/>
      <c r="AP281" s="441"/>
      <c r="AQ281" s="441"/>
      <c r="AR281" s="441"/>
      <c r="AS281" s="441"/>
      <c r="AT281" s="441"/>
      <c r="AU281" s="441"/>
      <c r="AV281" s="441"/>
      <c r="AW281" s="441"/>
      <c r="AX281" s="441"/>
      <c r="AY281" s="441"/>
      <c r="AZ281" s="441"/>
      <c r="BA281" s="441"/>
      <c r="BB281" s="201"/>
    </row>
    <row r="282" spans="2:54">
      <c r="B282" s="1315" t="s">
        <v>548</v>
      </c>
      <c r="C282" s="1316"/>
      <c r="D282" s="501" t="s">
        <v>3323</v>
      </c>
      <c r="E282" s="501"/>
      <c r="F282" s="501" t="s">
        <v>1767</v>
      </c>
      <c r="G282" s="501" t="s">
        <v>2352</v>
      </c>
      <c r="H282" s="503">
        <v>2058.3470000000002</v>
      </c>
      <c r="I282" s="505" t="s">
        <v>235</v>
      </c>
      <c r="J282" s="504">
        <v>45220.388888888891</v>
      </c>
      <c r="K282" s="504"/>
      <c r="L282" s="504" t="s">
        <v>192</v>
      </c>
      <c r="M282" s="504" t="s">
        <v>192</v>
      </c>
      <c r="N282" s="505" t="str">
        <f t="shared" si="21"/>
        <v>DELAY ( 1 day 9 hour 20 minute )</v>
      </c>
      <c r="O282" s="506"/>
      <c r="P282" s="507" t="s">
        <v>551</v>
      </c>
      <c r="Q282" s="507" t="s">
        <v>551</v>
      </c>
      <c r="R282" s="507" t="s">
        <v>551</v>
      </c>
      <c r="S282" s="500"/>
      <c r="T282" s="508"/>
      <c r="U282" s="508"/>
      <c r="V282" s="508"/>
      <c r="W282" s="508"/>
      <c r="X282" s="508"/>
      <c r="Y282" s="508"/>
      <c r="Z282" s="508"/>
      <c r="AA282" s="508"/>
      <c r="AB282" s="508">
        <f>H282</f>
        <v>2058.3470000000002</v>
      </c>
      <c r="AC282" s="508"/>
      <c r="AD282" s="508"/>
      <c r="AE282" s="508"/>
      <c r="AF282" s="508"/>
      <c r="AG282" s="508"/>
      <c r="AH282" s="508"/>
      <c r="AI282" s="508"/>
      <c r="AJ282" s="508"/>
      <c r="AK282" s="508"/>
      <c r="AL282" s="508"/>
      <c r="AM282" s="508"/>
      <c r="AN282" s="508"/>
      <c r="AO282" s="508"/>
      <c r="AP282" s="508"/>
      <c r="AQ282" s="508"/>
      <c r="AR282" s="508"/>
      <c r="AS282" s="508"/>
      <c r="AT282" s="508"/>
      <c r="AU282" s="508"/>
      <c r="AV282" s="508"/>
      <c r="AW282" s="508"/>
      <c r="AX282" s="508"/>
      <c r="AY282" s="508"/>
      <c r="AZ282" s="508"/>
      <c r="BA282" s="508"/>
      <c r="BB282" s="500"/>
    </row>
    <row r="283" spans="2:54">
      <c r="B283" s="1315" t="s">
        <v>548</v>
      </c>
      <c r="C283" s="1316"/>
      <c r="D283" s="501" t="s">
        <v>3330</v>
      </c>
      <c r="E283" s="501"/>
      <c r="F283" s="501" t="s">
        <v>205</v>
      </c>
      <c r="G283" s="501" t="s">
        <v>206</v>
      </c>
      <c r="H283" s="503">
        <v>7391.6319999999996</v>
      </c>
      <c r="I283" s="505" t="s">
        <v>418</v>
      </c>
      <c r="J283" s="504">
        <v>45219.576388888891</v>
      </c>
      <c r="K283" s="504"/>
      <c r="L283" s="504" t="s">
        <v>192</v>
      </c>
      <c r="M283" s="504" t="s">
        <v>192</v>
      </c>
      <c r="N283" s="505" t="str">
        <f t="shared" si="21"/>
        <v>On time</v>
      </c>
      <c r="O283" s="506"/>
      <c r="P283" s="507" t="s">
        <v>551</v>
      </c>
      <c r="Q283" s="507" t="s">
        <v>551</v>
      </c>
      <c r="R283" s="507" t="s">
        <v>551</v>
      </c>
      <c r="S283" s="500"/>
      <c r="T283" s="508"/>
      <c r="U283" s="508"/>
      <c r="V283" s="508"/>
      <c r="W283" s="508"/>
      <c r="X283" s="508"/>
      <c r="Y283" s="508"/>
      <c r="Z283" s="508"/>
      <c r="AA283" s="508"/>
      <c r="AB283" s="508">
        <f>H283*0.6</f>
        <v>4434.9791999999998</v>
      </c>
      <c r="AC283" s="508">
        <f>H283*0.4</f>
        <v>2956.6527999999998</v>
      </c>
      <c r="AD283" s="508"/>
      <c r="AE283" s="508"/>
      <c r="AF283" s="508"/>
      <c r="AG283" s="508"/>
      <c r="AH283" s="508"/>
      <c r="AI283" s="508"/>
      <c r="AJ283" s="508"/>
      <c r="AK283" s="508"/>
      <c r="AL283" s="508"/>
      <c r="AM283" s="508"/>
      <c r="AN283" s="508"/>
      <c r="AO283" s="508"/>
      <c r="AP283" s="508"/>
      <c r="AQ283" s="508"/>
      <c r="AR283" s="508"/>
      <c r="AS283" s="508"/>
      <c r="AT283" s="508"/>
      <c r="AU283" s="508"/>
      <c r="AV283" s="508"/>
      <c r="AW283" s="508"/>
      <c r="AX283" s="508"/>
      <c r="AY283" s="508"/>
      <c r="AZ283" s="508"/>
      <c r="BA283" s="508"/>
      <c r="BB283" s="500"/>
    </row>
    <row r="284" spans="2:54">
      <c r="B284" s="1315" t="s">
        <v>548</v>
      </c>
      <c r="C284" s="1316"/>
      <c r="D284" s="501" t="s">
        <v>3327</v>
      </c>
      <c r="E284" s="501"/>
      <c r="F284" s="501" t="s">
        <v>492</v>
      </c>
      <c r="G284" s="501" t="s">
        <v>493</v>
      </c>
      <c r="H284" s="503">
        <f>7545.216-1294.512</f>
        <v>6250.7040000000006</v>
      </c>
      <c r="I284" s="505" t="s">
        <v>418</v>
      </c>
      <c r="J284" s="504">
        <v>45219.666666666664</v>
      </c>
      <c r="K284" s="504"/>
      <c r="L284" s="504" t="s">
        <v>192</v>
      </c>
      <c r="M284" s="504" t="s">
        <v>192</v>
      </c>
      <c r="N284" s="505" t="str">
        <f t="shared" si="21"/>
        <v>On time</v>
      </c>
      <c r="O284" s="506"/>
      <c r="P284" s="507" t="s">
        <v>551</v>
      </c>
      <c r="Q284" s="507" t="s">
        <v>551</v>
      </c>
      <c r="R284" s="507" t="s">
        <v>551</v>
      </c>
      <c r="S284" s="500"/>
      <c r="T284" s="508"/>
      <c r="U284" s="508"/>
      <c r="V284" s="508"/>
      <c r="W284" s="508"/>
      <c r="X284" s="508"/>
      <c r="Y284" s="508"/>
      <c r="Z284" s="508"/>
      <c r="AA284" s="508"/>
      <c r="AB284" s="508">
        <f>(H284*0.6)</f>
        <v>3750.4224000000004</v>
      </c>
      <c r="AC284" s="508">
        <f>(H284*0.4)</f>
        <v>2500.2816000000003</v>
      </c>
      <c r="AD284" s="508"/>
      <c r="AE284" s="508"/>
      <c r="AF284" s="508"/>
      <c r="AG284" s="508"/>
      <c r="AH284" s="508"/>
      <c r="AI284" s="508"/>
      <c r="AJ284" s="508"/>
      <c r="AK284" s="508"/>
      <c r="AL284" s="508"/>
      <c r="AM284" s="508"/>
      <c r="AN284" s="508"/>
      <c r="AO284" s="508"/>
      <c r="AP284" s="508"/>
      <c r="AQ284" s="508"/>
      <c r="AR284" s="508"/>
      <c r="AS284" s="508"/>
      <c r="AT284" s="508"/>
      <c r="AU284" s="508"/>
      <c r="AV284" s="508"/>
      <c r="AW284" s="508"/>
      <c r="AX284" s="508"/>
      <c r="AY284" s="508"/>
      <c r="AZ284" s="508"/>
      <c r="BA284" s="508"/>
      <c r="BB284" s="500"/>
    </row>
    <row r="285" spans="2:54">
      <c r="B285" s="1258" t="s">
        <v>556</v>
      </c>
      <c r="C285" s="1259"/>
      <c r="D285" s="1259"/>
      <c r="E285" s="1259"/>
      <c r="F285" s="1259"/>
      <c r="G285" s="1260"/>
      <c r="H285" s="417">
        <f>SUM(H274:H284)</f>
        <v>53000</v>
      </c>
      <c r="I285" s="388"/>
      <c r="J285" s="293"/>
      <c r="K285" s="293"/>
      <c r="L285" s="293"/>
      <c r="M285" s="389"/>
      <c r="N285" s="505" t="str">
        <f t="shared" si="21"/>
        <v xml:space="preserve"> </v>
      </c>
      <c r="O285" s="212"/>
      <c r="P285" s="418"/>
      <c r="Q285" s="418"/>
      <c r="R285" s="418"/>
      <c r="S285" s="207"/>
      <c r="T285" s="1300"/>
      <c r="U285" s="1301"/>
      <c r="V285" s="1301"/>
      <c r="W285" s="1301"/>
      <c r="X285" s="1301"/>
      <c r="Y285" s="1301"/>
      <c r="Z285" s="1301"/>
      <c r="AA285" s="1301"/>
      <c r="AB285" s="1301"/>
      <c r="AC285" s="1301"/>
      <c r="AD285" s="1301"/>
      <c r="AE285" s="1301"/>
      <c r="AF285" s="1301"/>
      <c r="AG285" s="1301"/>
      <c r="AH285" s="1301"/>
      <c r="AI285" s="1301"/>
      <c r="AJ285" s="1301"/>
      <c r="AK285" s="1301"/>
      <c r="AL285" s="1301"/>
      <c r="AM285" s="1301"/>
      <c r="AN285" s="1301"/>
      <c r="AO285" s="1301"/>
      <c r="AP285" s="1301"/>
      <c r="AQ285" s="1301"/>
      <c r="AR285" s="1301"/>
      <c r="AS285" s="1301"/>
      <c r="AT285" s="1301"/>
      <c r="AU285" s="1301"/>
      <c r="AV285" s="1301"/>
      <c r="AW285" s="1301"/>
      <c r="AX285" s="1301"/>
      <c r="AY285" s="1301"/>
      <c r="AZ285" s="1301"/>
      <c r="BA285" s="1301"/>
    </row>
    <row r="286" spans="2:54">
      <c r="B286" s="1320" t="s">
        <v>557</v>
      </c>
      <c r="C286" s="1321"/>
      <c r="D286" s="1321"/>
      <c r="E286" s="1321"/>
      <c r="F286" s="1321"/>
      <c r="G286" s="1322"/>
      <c r="H286" s="545">
        <v>53000</v>
      </c>
      <c r="I286" s="1273"/>
      <c r="J286" s="1274"/>
      <c r="K286" s="1274"/>
      <c r="L286" s="1274"/>
      <c r="M286" s="1275"/>
      <c r="N286" s="505" t="str">
        <f t="shared" si="21"/>
        <v xml:space="preserve"> </v>
      </c>
      <c r="O286" s="32"/>
      <c r="P286" s="415"/>
      <c r="Q286" s="415"/>
      <c r="R286" s="415"/>
      <c r="S286" s="63"/>
      <c r="T286" s="416">
        <f t="shared" ref="T286:BA286" si="24">SUM(T274:T284)</f>
        <v>0</v>
      </c>
      <c r="U286" s="416">
        <f t="shared" si="24"/>
        <v>0</v>
      </c>
      <c r="V286" s="416">
        <f t="shared" si="24"/>
        <v>0</v>
      </c>
      <c r="W286" s="416">
        <f t="shared" si="24"/>
        <v>0</v>
      </c>
      <c r="X286" s="416">
        <f t="shared" si="24"/>
        <v>0</v>
      </c>
      <c r="Y286" s="416">
        <f t="shared" si="24"/>
        <v>0</v>
      </c>
      <c r="Z286" s="416">
        <f t="shared" si="24"/>
        <v>0</v>
      </c>
      <c r="AA286" s="416">
        <f t="shared" si="24"/>
        <v>0</v>
      </c>
      <c r="AB286" s="416">
        <f t="shared" si="24"/>
        <v>29457.738800000003</v>
      </c>
      <c r="AC286" s="416">
        <f t="shared" si="24"/>
        <v>18266.261200000001</v>
      </c>
      <c r="AD286" s="416">
        <f t="shared" si="24"/>
        <v>0</v>
      </c>
      <c r="AE286" s="416">
        <f t="shared" si="24"/>
        <v>0</v>
      </c>
      <c r="AF286" s="416">
        <f t="shared" si="24"/>
        <v>0</v>
      </c>
      <c r="AG286" s="416">
        <f t="shared" si="24"/>
        <v>0</v>
      </c>
      <c r="AH286" s="416">
        <f t="shared" si="24"/>
        <v>0</v>
      </c>
      <c r="AI286" s="416">
        <f t="shared" si="24"/>
        <v>0</v>
      </c>
      <c r="AJ286" s="416">
        <f t="shared" si="24"/>
        <v>0</v>
      </c>
      <c r="AK286" s="416">
        <f t="shared" si="24"/>
        <v>0</v>
      </c>
      <c r="AL286" s="416">
        <f t="shared" si="24"/>
        <v>0</v>
      </c>
      <c r="AM286" s="416">
        <f t="shared" si="24"/>
        <v>0</v>
      </c>
      <c r="AN286" s="416">
        <f t="shared" si="24"/>
        <v>0</v>
      </c>
      <c r="AO286" s="416">
        <f t="shared" si="24"/>
        <v>0</v>
      </c>
      <c r="AP286" s="416">
        <f t="shared" si="24"/>
        <v>0</v>
      </c>
      <c r="AQ286" s="416">
        <f t="shared" si="24"/>
        <v>0</v>
      </c>
      <c r="AR286" s="416">
        <f t="shared" si="24"/>
        <v>5276</v>
      </c>
      <c r="AS286" s="416">
        <f t="shared" si="24"/>
        <v>0</v>
      </c>
      <c r="AT286" s="416">
        <f t="shared" si="24"/>
        <v>0</v>
      </c>
      <c r="AU286" s="416">
        <f t="shared" si="24"/>
        <v>0</v>
      </c>
      <c r="AV286" s="416">
        <f t="shared" si="24"/>
        <v>0</v>
      </c>
      <c r="AW286" s="416">
        <f t="shared" si="24"/>
        <v>0</v>
      </c>
      <c r="AX286" s="416">
        <f t="shared" si="24"/>
        <v>0</v>
      </c>
      <c r="AY286" s="416">
        <f t="shared" si="24"/>
        <v>0</v>
      </c>
      <c r="AZ286" s="416">
        <f t="shared" si="24"/>
        <v>0</v>
      </c>
      <c r="BA286" s="416">
        <f t="shared" si="24"/>
        <v>0</v>
      </c>
      <c r="BB286" s="416">
        <f>SUM(T286:BA286)</f>
        <v>53000</v>
      </c>
    </row>
    <row r="287" spans="2:54">
      <c r="B287" s="1320" t="s">
        <v>558</v>
      </c>
      <c r="C287" s="1321"/>
      <c r="D287" s="1321"/>
      <c r="E287" s="1321"/>
      <c r="F287" s="1321"/>
      <c r="G287" s="1322"/>
      <c r="H287" s="546">
        <f>H286-L268</f>
        <v>0</v>
      </c>
      <c r="I287" s="669"/>
      <c r="J287" s="670"/>
      <c r="K287" s="670"/>
      <c r="L287" s="671"/>
      <c r="M287" s="207"/>
      <c r="N287" s="32"/>
      <c r="O287" s="32"/>
      <c r="P287" s="32"/>
      <c r="Q287" s="297"/>
      <c r="R287" s="297"/>
      <c r="S287" s="32"/>
      <c r="T287" s="48"/>
      <c r="U287" s="48"/>
      <c r="V287" s="48"/>
      <c r="W287" s="48"/>
      <c r="X287" s="48"/>
      <c r="Y287" s="48"/>
      <c r="Z287" s="48"/>
      <c r="AA287" s="48"/>
      <c r="AB287" s="48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</row>
    <row r="288" spans="2:54">
      <c r="B288" s="1320" t="s">
        <v>559</v>
      </c>
      <c r="C288" s="1321"/>
      <c r="D288" s="1321"/>
      <c r="E288" s="1321"/>
      <c r="F288" s="1321"/>
      <c r="G288" s="1322"/>
      <c r="H288" s="532">
        <v>1326</v>
      </c>
      <c r="I288" s="672"/>
      <c r="J288" s="673"/>
      <c r="K288" s="673"/>
      <c r="L288" s="674"/>
      <c r="M288" s="207"/>
      <c r="N288" s="201"/>
      <c r="O288" s="32"/>
      <c r="P288" s="32"/>
      <c r="Q288" s="32"/>
      <c r="R288" s="32"/>
      <c r="S288" s="32"/>
      <c r="T288" s="48"/>
      <c r="U288" s="48"/>
      <c r="V288" s="48"/>
      <c r="W288" s="48"/>
      <c r="X288" s="48"/>
      <c r="Y288" s="48"/>
      <c r="Z288" s="48"/>
      <c r="AA288" s="48"/>
      <c r="AB288" s="48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</row>
    <row r="289" spans="2:54" s="496" customFormat="1">
      <c r="B289" s="1415" t="s">
        <v>560</v>
      </c>
      <c r="C289" s="1416"/>
      <c r="D289" s="1416"/>
      <c r="E289" s="1416"/>
      <c r="F289" s="1416"/>
      <c r="G289" s="1417"/>
      <c r="H289" s="712">
        <f>H288-1294.512</f>
        <v>31.488000000000056</v>
      </c>
      <c r="I289" s="641"/>
      <c r="J289" s="642"/>
      <c r="K289" s="642"/>
      <c r="L289" s="499"/>
      <c r="M289" s="613"/>
      <c r="N289" s="613"/>
      <c r="O289" s="613"/>
      <c r="P289" s="613"/>
      <c r="Q289" s="613"/>
      <c r="R289" s="613"/>
      <c r="S289" s="616"/>
      <c r="T289" s="616"/>
      <c r="U289" s="616"/>
      <c r="V289" s="616"/>
      <c r="W289" s="616"/>
      <c r="X289" s="616"/>
      <c r="Y289" s="616"/>
      <c r="Z289" s="616"/>
      <c r="AA289" s="616"/>
      <c r="AB289" s="613"/>
      <c r="AC289" s="613"/>
      <c r="AD289" s="613"/>
      <c r="AE289" s="613"/>
      <c r="AF289" s="613"/>
      <c r="AG289" s="613"/>
      <c r="AH289" s="613"/>
      <c r="AI289" s="613"/>
      <c r="AJ289" s="613"/>
      <c r="AK289" s="613"/>
      <c r="AL289" s="613"/>
      <c r="AM289" s="613"/>
      <c r="AN289" s="613"/>
      <c r="AO289" s="613"/>
      <c r="AP289" s="613"/>
      <c r="AQ289" s="613"/>
    </row>
    <row r="290" spans="2:54">
      <c r="B290" s="201"/>
      <c r="C290" s="201"/>
      <c r="D290" s="201"/>
      <c r="E290" s="201"/>
      <c r="F290" s="201"/>
      <c r="G290" s="201"/>
      <c r="H290" s="201"/>
      <c r="I290" s="213"/>
      <c r="J290" s="209"/>
      <c r="K290" s="209"/>
      <c r="L290" s="203"/>
      <c r="M290" s="201"/>
      <c r="N290" s="201"/>
      <c r="O290" s="209"/>
      <c r="P290" s="32"/>
      <c r="Q290" s="32"/>
      <c r="R290" s="32"/>
      <c r="S290" s="32"/>
      <c r="T290" s="48"/>
      <c r="U290" s="48"/>
      <c r="V290" s="48"/>
      <c r="W290" s="48"/>
      <c r="X290" s="48"/>
      <c r="Y290" s="48"/>
      <c r="Z290" s="48"/>
      <c r="AA290" s="48"/>
      <c r="AB290" s="48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</row>
    <row r="291" spans="2:54">
      <c r="B291" s="40" t="s">
        <v>561</v>
      </c>
      <c r="C291" s="40"/>
      <c r="D291" s="32"/>
      <c r="E291" s="32"/>
      <c r="F291" s="32"/>
      <c r="G291" s="32"/>
      <c r="H291" s="32"/>
      <c r="I291" s="32"/>
      <c r="J291" s="52"/>
      <c r="K291" s="52"/>
      <c r="L291" s="55"/>
      <c r="M291" s="32"/>
      <c r="N291" s="201"/>
      <c r="O291" s="5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  <c r="AA291" s="202"/>
      <c r="AB291" s="201"/>
      <c r="AC291" s="201"/>
      <c r="AD291" s="201"/>
      <c r="AE291" s="201"/>
      <c r="AF291" s="201"/>
      <c r="AG291" s="201"/>
      <c r="AH291" s="201"/>
      <c r="AI291" s="201"/>
      <c r="AJ291" s="201"/>
      <c r="AK291" s="201"/>
      <c r="AL291" s="201"/>
      <c r="AM291" s="201"/>
      <c r="AN291" s="201"/>
      <c r="AO291" s="201"/>
      <c r="AP291" s="201"/>
      <c r="AQ291" s="201"/>
      <c r="AR291" s="201"/>
      <c r="AS291" s="201"/>
      <c r="AT291" s="201"/>
      <c r="AU291" s="201"/>
      <c r="BB291" s="201"/>
    </row>
    <row r="292" spans="2:54">
      <c r="B292" s="422">
        <v>1</v>
      </c>
      <c r="C292" s="1249" t="s">
        <v>3708</v>
      </c>
      <c r="D292" s="1249"/>
      <c r="E292" s="1249"/>
      <c r="F292" s="1249"/>
      <c r="G292" s="1249"/>
      <c r="H292" s="1249"/>
      <c r="I292" s="1249"/>
      <c r="J292" s="1249"/>
      <c r="K292" s="1249"/>
      <c r="L292" s="203"/>
      <c r="M292" s="203"/>
      <c r="N292" s="201"/>
      <c r="O292" s="209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  <c r="AA292" s="202"/>
      <c r="AB292" s="201"/>
      <c r="AC292" s="201"/>
      <c r="AD292" s="201"/>
      <c r="AE292" s="201"/>
      <c r="AF292" s="201"/>
      <c r="AG292" s="201"/>
      <c r="AH292" s="201"/>
      <c r="AI292" s="201"/>
      <c r="AJ292" s="201"/>
      <c r="AK292" s="201"/>
      <c r="AL292" s="201"/>
      <c r="AM292" s="201"/>
      <c r="AN292" s="201"/>
      <c r="AO292" s="201"/>
      <c r="AP292" s="201"/>
      <c r="AQ292" s="201"/>
      <c r="AR292" s="201"/>
      <c r="AS292" s="201"/>
      <c r="AT292" s="201"/>
      <c r="AU292" s="201"/>
      <c r="AV292" s="201"/>
      <c r="AW292" s="201"/>
      <c r="AX292" s="201"/>
      <c r="AY292" s="201"/>
      <c r="AZ292" s="201"/>
      <c r="BA292" s="201"/>
      <c r="BB292" s="201"/>
    </row>
    <row r="294" spans="2:54">
      <c r="B294" s="28" t="s">
        <v>126</v>
      </c>
      <c r="C294" s="28"/>
      <c r="D294" s="614"/>
      <c r="E294" s="30" t="s">
        <v>511</v>
      </c>
      <c r="F294" s="31" t="s">
        <v>1445</v>
      </c>
      <c r="G294" s="591"/>
      <c r="H294" s="33"/>
      <c r="I294" s="615"/>
      <c r="J294" s="35" t="s">
        <v>513</v>
      </c>
      <c r="K294" s="36" t="s">
        <v>511</v>
      </c>
      <c r="L294" s="306">
        <v>45222.451388888891</v>
      </c>
      <c r="M294" s="591"/>
      <c r="N294" s="591"/>
      <c r="O294" s="206"/>
      <c r="P294" s="205"/>
      <c r="Q294" s="616"/>
      <c r="R294" s="204"/>
      <c r="S294" s="617"/>
      <c r="T294" s="613"/>
      <c r="U294" s="613"/>
      <c r="V294" s="613"/>
      <c r="W294" s="613"/>
      <c r="X294" s="613"/>
      <c r="Y294" s="613"/>
      <c r="Z294" s="613"/>
      <c r="AA294" s="613"/>
      <c r="AB294" s="616"/>
      <c r="AC294" s="616"/>
      <c r="AD294" s="616"/>
      <c r="AE294" s="616"/>
      <c r="AF294" s="616"/>
      <c r="AG294" s="613"/>
      <c r="AH294" s="613"/>
      <c r="AI294" s="613"/>
      <c r="AJ294" s="613"/>
      <c r="AK294" s="613"/>
      <c r="AL294" s="613"/>
      <c r="AM294" s="613"/>
      <c r="AN294" s="613"/>
      <c r="AO294" s="613"/>
      <c r="AP294" s="613"/>
      <c r="AQ294" s="613"/>
      <c r="AR294" s="613"/>
      <c r="AS294" s="613"/>
      <c r="AT294" s="613"/>
      <c r="AU294" s="613"/>
      <c r="AV294" s="613"/>
      <c r="AW294" s="613"/>
      <c r="AX294" s="613"/>
      <c r="AY294" s="613"/>
      <c r="AZ294" s="613"/>
      <c r="BA294" s="613"/>
      <c r="BB294" s="613"/>
    </row>
    <row r="295" spans="2:54">
      <c r="B295" s="35" t="s">
        <v>514</v>
      </c>
      <c r="C295" s="35"/>
      <c r="D295" s="591"/>
      <c r="E295" s="36" t="s">
        <v>511</v>
      </c>
      <c r="F295" s="311" t="s">
        <v>3711</v>
      </c>
      <c r="G295" s="591"/>
      <c r="H295" s="33"/>
      <c r="I295" s="615"/>
      <c r="J295" s="35" t="s">
        <v>516</v>
      </c>
      <c r="K295" s="36" t="s">
        <v>511</v>
      </c>
      <c r="L295" s="516">
        <v>45224.819444444445</v>
      </c>
      <c r="M295" s="591"/>
      <c r="N295" s="591"/>
      <c r="O295" s="206"/>
      <c r="P295" s="205"/>
      <c r="Q295" s="616"/>
      <c r="R295" s="204"/>
      <c r="S295" s="617"/>
      <c r="T295" s="613"/>
      <c r="U295" s="613"/>
      <c r="V295" s="613"/>
      <c r="W295" s="613"/>
      <c r="X295" s="613"/>
      <c r="Y295" s="613"/>
      <c r="Z295" s="613"/>
      <c r="AA295" s="613"/>
      <c r="AB295" s="616"/>
      <c r="AC295" s="616"/>
      <c r="AD295" s="616"/>
      <c r="AE295" s="616"/>
      <c r="AF295" s="616"/>
      <c r="AG295" s="613"/>
      <c r="AH295" s="613"/>
      <c r="AI295" s="613"/>
      <c r="AJ295" s="613"/>
      <c r="AK295" s="613"/>
      <c r="AL295" s="613"/>
      <c r="AM295" s="613"/>
      <c r="AN295" s="613"/>
      <c r="AO295" s="613"/>
      <c r="AP295" s="613"/>
      <c r="AQ295" s="613"/>
      <c r="AR295" s="613"/>
      <c r="AS295" s="613"/>
      <c r="AT295" s="613"/>
      <c r="AU295" s="613"/>
      <c r="AV295" s="613"/>
      <c r="AW295" s="613"/>
      <c r="AX295" s="613"/>
      <c r="AY295" s="613"/>
      <c r="AZ295" s="613"/>
      <c r="BA295" s="613"/>
      <c r="BB295" s="613"/>
    </row>
    <row r="296" spans="2:54">
      <c r="B296" s="35" t="s">
        <v>517</v>
      </c>
      <c r="C296" s="35"/>
      <c r="D296" s="591"/>
      <c r="E296" s="36" t="s">
        <v>511</v>
      </c>
      <c r="F296" s="516">
        <v>45220.4375</v>
      </c>
      <c r="G296" s="591"/>
      <c r="H296" s="33"/>
      <c r="I296" s="615"/>
      <c r="J296" s="35" t="s">
        <v>518</v>
      </c>
      <c r="K296" s="36" t="s">
        <v>511</v>
      </c>
      <c r="L296" s="692">
        <v>67000</v>
      </c>
      <c r="M296" s="619" t="s">
        <v>519</v>
      </c>
      <c r="N296" s="619"/>
      <c r="O296" s="206"/>
      <c r="P296" s="205"/>
      <c r="Q296" s="616"/>
      <c r="R296" s="204"/>
      <c r="S296" s="617"/>
      <c r="T296" s="613"/>
      <c r="U296" s="613"/>
      <c r="V296" s="613"/>
      <c r="W296" s="613"/>
      <c r="X296" s="613"/>
      <c r="Y296" s="613"/>
      <c r="Z296" s="613"/>
      <c r="AA296" s="613"/>
      <c r="AB296" s="616"/>
      <c r="AC296" s="616"/>
      <c r="AD296" s="616"/>
      <c r="AE296" s="616"/>
      <c r="AF296" s="616"/>
      <c r="AG296" s="613"/>
      <c r="AH296" s="613"/>
      <c r="AI296" s="613"/>
      <c r="AJ296" s="613"/>
      <c r="AK296" s="613"/>
      <c r="AL296" s="613"/>
      <c r="AM296" s="613"/>
      <c r="AN296" s="613"/>
      <c r="AO296" s="613"/>
      <c r="AP296" s="613"/>
      <c r="AQ296" s="613"/>
      <c r="AR296" s="613"/>
      <c r="AS296" s="613"/>
      <c r="AT296" s="613"/>
      <c r="AU296" s="613"/>
      <c r="AV296" s="613"/>
      <c r="AW296" s="613"/>
      <c r="AX296" s="613"/>
      <c r="AY296" s="613"/>
      <c r="AZ296" s="613"/>
      <c r="BA296" s="613"/>
      <c r="BB296" s="613"/>
    </row>
    <row r="297" spans="2:54">
      <c r="B297" s="35" t="s">
        <v>520</v>
      </c>
      <c r="C297" s="35"/>
      <c r="D297" s="591"/>
      <c r="E297" s="36" t="s">
        <v>511</v>
      </c>
      <c r="F297" s="37" t="s">
        <v>4</v>
      </c>
      <c r="G297" s="591"/>
      <c r="H297" s="33"/>
      <c r="I297" s="615"/>
      <c r="J297" s="35" t="s">
        <v>521</v>
      </c>
      <c r="K297" s="36" t="s">
        <v>511</v>
      </c>
      <c r="L297" s="620" t="s">
        <v>3108</v>
      </c>
      <c r="M297" s="591"/>
      <c r="N297" s="591"/>
      <c r="O297" s="206"/>
      <c r="P297" s="616"/>
      <c r="Q297" s="616"/>
      <c r="R297" s="204"/>
      <c r="S297" s="617"/>
      <c r="T297" s="613"/>
      <c r="U297" s="613"/>
      <c r="V297" s="613"/>
      <c r="W297" s="613"/>
      <c r="X297" s="613"/>
      <c r="Y297" s="613"/>
      <c r="Z297" s="613"/>
      <c r="AA297" s="613"/>
      <c r="AB297" s="616"/>
      <c r="AC297" s="616"/>
      <c r="AD297" s="616"/>
      <c r="AE297" s="616"/>
      <c r="AF297" s="616"/>
      <c r="AG297" s="613"/>
      <c r="AH297" s="613"/>
      <c r="AI297" s="613"/>
      <c r="AJ297" s="613"/>
      <c r="AK297" s="613"/>
      <c r="AL297" s="613"/>
      <c r="AM297" s="613"/>
      <c r="AN297" s="613"/>
      <c r="AO297" s="613"/>
      <c r="AP297" s="613"/>
      <c r="AQ297" s="613"/>
      <c r="AR297" s="613"/>
      <c r="AS297" s="613"/>
      <c r="AT297" s="613"/>
      <c r="AU297" s="613"/>
      <c r="AV297" s="613"/>
      <c r="AW297" s="613"/>
      <c r="AX297" s="613"/>
      <c r="AY297" s="613"/>
      <c r="AZ297" s="613"/>
      <c r="BA297" s="613"/>
      <c r="BB297" s="613"/>
    </row>
    <row r="298" spans="2:54">
      <c r="B298" s="35" t="s">
        <v>523</v>
      </c>
      <c r="C298" s="35"/>
      <c r="D298" s="591"/>
      <c r="E298" s="36" t="s">
        <v>511</v>
      </c>
      <c r="F298" s="37" t="s">
        <v>5</v>
      </c>
      <c r="G298" s="591"/>
      <c r="H298" s="33"/>
      <c r="I298" s="615"/>
      <c r="J298" s="35" t="s">
        <v>524</v>
      </c>
      <c r="K298" s="36" t="s">
        <v>511</v>
      </c>
      <c r="L298" s="621" t="s">
        <v>15</v>
      </c>
      <c r="M298" s="611"/>
      <c r="N298" s="611"/>
      <c r="O298" s="206"/>
      <c r="P298" s="205"/>
      <c r="Q298" s="616"/>
      <c r="R298" s="204"/>
      <c r="S298" s="617"/>
      <c r="T298" s="613"/>
      <c r="U298" s="613"/>
      <c r="V298" s="613"/>
      <c r="W298" s="613"/>
      <c r="X298" s="613"/>
      <c r="Y298" s="613"/>
      <c r="Z298" s="613"/>
      <c r="AA298" s="613"/>
      <c r="AB298" s="616"/>
      <c r="AC298" s="616"/>
      <c r="AD298" s="616"/>
      <c r="AE298" s="616"/>
      <c r="AF298" s="616"/>
      <c r="AG298" s="613"/>
      <c r="AH298" s="613"/>
      <c r="AI298" s="613"/>
      <c r="AJ298" s="613"/>
      <c r="AK298" s="613"/>
      <c r="AL298" s="613"/>
      <c r="AM298" s="613"/>
      <c r="AN298" s="613"/>
      <c r="AO298" s="613"/>
      <c r="AP298" s="613"/>
      <c r="AQ298" s="613"/>
      <c r="AR298" s="613"/>
      <c r="AS298" s="613"/>
      <c r="AT298" s="613"/>
      <c r="AU298" s="613"/>
      <c r="AV298" s="613"/>
      <c r="AW298" s="613"/>
      <c r="AX298" s="613"/>
      <c r="AY298" s="613"/>
      <c r="AZ298" s="613"/>
      <c r="BA298" s="613"/>
      <c r="BB298" s="613"/>
    </row>
    <row r="299" spans="2:54">
      <c r="B299" s="35" t="s">
        <v>2</v>
      </c>
      <c r="C299" s="35"/>
      <c r="D299" s="591"/>
      <c r="E299" s="36" t="s">
        <v>511</v>
      </c>
      <c r="F299" s="37" t="s">
        <v>42</v>
      </c>
      <c r="G299" s="591"/>
      <c r="H299" s="33"/>
      <c r="I299" s="622"/>
      <c r="J299" s="35"/>
      <c r="K299" s="36"/>
      <c r="L299" s="211"/>
      <c r="M299" s="613"/>
      <c r="N299" s="613"/>
      <c r="O299" s="35"/>
      <c r="P299" s="611"/>
      <c r="Q299" s="611"/>
      <c r="R299" s="611"/>
      <c r="S299" s="615"/>
      <c r="T299" s="613"/>
      <c r="U299" s="613"/>
      <c r="V299" s="613"/>
      <c r="W299" s="613"/>
      <c r="X299" s="613"/>
      <c r="Y299" s="613"/>
      <c r="Z299" s="613"/>
      <c r="AA299" s="613"/>
      <c r="AB299" s="615"/>
      <c r="AC299" s="615"/>
      <c r="AD299" s="615"/>
      <c r="AE299" s="615"/>
      <c r="AF299" s="615"/>
      <c r="AG299" s="615"/>
      <c r="AH299" s="615"/>
      <c r="AI299" s="615"/>
      <c r="AJ299" s="615"/>
      <c r="AK299" s="615"/>
      <c r="AL299" s="615"/>
      <c r="AM299" s="615"/>
      <c r="AN299" s="615"/>
      <c r="AO299" s="613"/>
      <c r="AP299" s="613"/>
      <c r="AQ299" s="613"/>
      <c r="AR299" s="613"/>
      <c r="AS299" s="613"/>
      <c r="AT299" s="613"/>
      <c r="AU299" s="613"/>
      <c r="AV299" s="613"/>
      <c r="AW299" s="613"/>
      <c r="AX299" s="613"/>
      <c r="AY299" s="613"/>
      <c r="AZ299" s="613"/>
      <c r="BA299" s="613"/>
      <c r="BB299" s="613"/>
    </row>
    <row r="300" spans="2:54" ht="15" customHeight="1">
      <c r="B300" s="613"/>
      <c r="C300" s="613"/>
      <c r="D300" s="613"/>
      <c r="E300" s="613"/>
      <c r="F300" s="613"/>
      <c r="G300" s="613"/>
      <c r="H300" s="613"/>
      <c r="I300" s="622"/>
      <c r="J300" s="35"/>
      <c r="K300" s="35"/>
      <c r="L300" s="621"/>
      <c r="M300" s="611"/>
      <c r="N300" s="611"/>
      <c r="O300" s="35"/>
      <c r="P300" s="611"/>
      <c r="Q300" s="611"/>
      <c r="R300" s="611"/>
      <c r="S300" s="615"/>
      <c r="T300" s="1317" t="s">
        <v>87</v>
      </c>
      <c r="U300" s="1317"/>
      <c r="V300" s="1317"/>
      <c r="W300" s="1317"/>
      <c r="X300" s="1317"/>
      <c r="Y300" s="1317" t="s">
        <v>73</v>
      </c>
      <c r="Z300" s="1317"/>
      <c r="AA300" s="1317"/>
      <c r="AB300" s="1317" t="s">
        <v>74</v>
      </c>
      <c r="AC300" s="1317"/>
      <c r="AD300" s="623" t="s">
        <v>85</v>
      </c>
      <c r="AE300" s="623" t="s">
        <v>77</v>
      </c>
      <c r="AF300" s="1317" t="s">
        <v>525</v>
      </c>
      <c r="AG300" s="1317"/>
      <c r="AH300" s="1317"/>
      <c r="AI300" s="1317"/>
      <c r="AJ300" s="1317"/>
      <c r="AK300" s="1317"/>
      <c r="AL300" s="1317"/>
      <c r="AM300" s="1317"/>
      <c r="AN300" s="1317"/>
      <c r="AO300" s="1317"/>
      <c r="AP300" s="1317"/>
      <c r="AQ300" s="1317"/>
      <c r="AR300" s="1317"/>
      <c r="AS300" s="1317"/>
      <c r="AT300" s="1317"/>
      <c r="AU300" s="1317"/>
      <c r="AV300" s="1317"/>
      <c r="AW300" s="1317"/>
      <c r="AX300" s="1317"/>
      <c r="AY300" s="1317"/>
      <c r="AZ300" s="1317"/>
      <c r="BA300" s="1317"/>
      <c r="BB300" s="613"/>
    </row>
    <row r="301" spans="2:54" ht="11.25" customHeight="1">
      <c r="B301" s="1318" t="s">
        <v>526</v>
      </c>
      <c r="C301" s="1319"/>
      <c r="D301" s="624" t="s">
        <v>527</v>
      </c>
      <c r="E301" s="624"/>
      <c r="F301" s="624" t="s">
        <v>528</v>
      </c>
      <c r="G301" s="624" t="s">
        <v>529</v>
      </c>
      <c r="H301" s="624" t="s">
        <v>530</v>
      </c>
      <c r="I301" s="624" t="s">
        <v>531</v>
      </c>
      <c r="J301" s="624" t="s">
        <v>532</v>
      </c>
      <c r="K301" s="624"/>
      <c r="L301" s="624" t="s">
        <v>130</v>
      </c>
      <c r="M301" s="624" t="s">
        <v>533</v>
      </c>
      <c r="N301" s="625" t="str">
        <f>"On time - "&amp;COUNTIF(N302:N325,"On time")&amp;" from "&amp;ROWS(N302:N325)-COUNTIF(N302:N325," ")</f>
        <v>On time - 4 from 9</v>
      </c>
      <c r="O301" s="626"/>
      <c r="P301" s="627" t="s">
        <v>534</v>
      </c>
      <c r="Q301" s="627" t="s">
        <v>535</v>
      </c>
      <c r="R301" s="627" t="s">
        <v>536</v>
      </c>
      <c r="S301" s="591"/>
      <c r="T301" s="628" t="s">
        <v>537</v>
      </c>
      <c r="U301" s="628" t="s">
        <v>538</v>
      </c>
      <c r="V301" s="628" t="s">
        <v>539</v>
      </c>
      <c r="W301" s="628" t="s">
        <v>540</v>
      </c>
      <c r="X301" s="628" t="s">
        <v>541</v>
      </c>
      <c r="Y301" s="628" t="s">
        <v>167</v>
      </c>
      <c r="Z301" s="628" t="s">
        <v>168</v>
      </c>
      <c r="AA301" s="628" t="s">
        <v>169</v>
      </c>
      <c r="AB301" s="628" t="s">
        <v>235</v>
      </c>
      <c r="AC301" s="628" t="s">
        <v>240</v>
      </c>
      <c r="AD301" s="623" t="s">
        <v>85</v>
      </c>
      <c r="AE301" s="628" t="s">
        <v>139</v>
      </c>
      <c r="AF301" s="628" t="s">
        <v>72</v>
      </c>
      <c r="AG301" s="628" t="s">
        <v>88</v>
      </c>
      <c r="AH301" s="628" t="s">
        <v>75</v>
      </c>
      <c r="AI301" s="628" t="s">
        <v>543</v>
      </c>
      <c r="AJ301" s="628" t="s">
        <v>78</v>
      </c>
      <c r="AK301" s="628" t="s">
        <v>76</v>
      </c>
      <c r="AL301" s="628" t="s">
        <v>544</v>
      </c>
      <c r="AM301" s="628" t="s">
        <v>545</v>
      </c>
      <c r="AN301" s="628" t="s">
        <v>86</v>
      </c>
      <c r="AO301" s="628" t="s">
        <v>83</v>
      </c>
      <c r="AP301" s="628" t="s">
        <v>84</v>
      </c>
      <c r="AQ301" s="628" t="s">
        <v>546</v>
      </c>
      <c r="AR301" s="628" t="s">
        <v>81</v>
      </c>
      <c r="AS301" s="628" t="s">
        <v>80</v>
      </c>
      <c r="AT301" s="628" t="s">
        <v>82</v>
      </c>
      <c r="AU301" s="628" t="s">
        <v>181</v>
      </c>
      <c r="AV301" s="628" t="s">
        <v>183</v>
      </c>
      <c r="AW301" s="628" t="s">
        <v>547</v>
      </c>
      <c r="AX301" s="628" t="s">
        <v>182</v>
      </c>
      <c r="AY301" s="628" t="s">
        <v>172</v>
      </c>
      <c r="AZ301" s="628" t="s">
        <v>173</v>
      </c>
      <c r="BA301" s="628" t="s">
        <v>184</v>
      </c>
      <c r="BB301" s="613"/>
    </row>
    <row r="302" spans="2:54" ht="11.25" customHeight="1">
      <c r="B302" s="1315" t="s">
        <v>616</v>
      </c>
      <c r="C302" s="1316"/>
      <c r="D302" s="501" t="s">
        <v>3412</v>
      </c>
      <c r="E302" s="585"/>
      <c r="F302" s="501" t="s">
        <v>339</v>
      </c>
      <c r="G302" s="501" t="s">
        <v>506</v>
      </c>
      <c r="H302" s="629">
        <v>7543</v>
      </c>
      <c r="I302" s="505" t="s">
        <v>84</v>
      </c>
      <c r="J302" s="504">
        <v>45220.291666666664</v>
      </c>
      <c r="K302" s="504"/>
      <c r="L302" s="504" t="s">
        <v>192</v>
      </c>
      <c r="M302" s="504" t="s">
        <v>192</v>
      </c>
      <c r="N302" s="505" t="str">
        <f t="shared" ref="N302:N325" si="25">IF(ISBLANK(J302)," ",IF(J302&lt;$F$296,"On time",(IF(DAY(J302-$F$296)&lt;1,"On time",(IF(J302&gt;$F$296,"DELAY ( "&amp;DAY(J302-$F$296)&amp;" day "&amp;HOUR(J302-$F$296)&amp;" hour "&amp;MINUTE(J302-$F$296)&amp;" minute )","xxx"))))))</f>
        <v>On time</v>
      </c>
      <c r="O302" s="597"/>
      <c r="P302" s="507" t="s">
        <v>551</v>
      </c>
      <c r="Q302" s="507" t="s">
        <v>551</v>
      </c>
      <c r="R302" s="507" t="s">
        <v>551</v>
      </c>
      <c r="S302" s="598"/>
      <c r="T302" s="599"/>
      <c r="U302" s="599"/>
      <c r="V302" s="599"/>
      <c r="W302" s="599"/>
      <c r="X302" s="599"/>
      <c r="Y302" s="599"/>
      <c r="Z302" s="599"/>
      <c r="AA302" s="599"/>
      <c r="AB302" s="598"/>
      <c r="AC302" s="599"/>
      <c r="AD302" s="599"/>
      <c r="AE302" s="599"/>
      <c r="AF302" s="599"/>
      <c r="AG302" s="599"/>
      <c r="AH302" s="599"/>
      <c r="AI302" s="599"/>
      <c r="AJ302" s="599"/>
      <c r="AK302" s="599"/>
      <c r="AL302" s="599"/>
      <c r="AM302" s="599"/>
      <c r="AN302" s="599"/>
      <c r="AO302" s="599"/>
      <c r="AP302" s="599">
        <f>H302</f>
        <v>7543</v>
      </c>
      <c r="AQ302" s="599"/>
      <c r="AR302" s="599"/>
      <c r="AS302" s="599"/>
      <c r="AT302" s="599"/>
      <c r="AU302" s="599"/>
      <c r="AV302" s="599"/>
      <c r="AW302" s="599"/>
      <c r="AX302" s="599"/>
      <c r="AY302" s="599"/>
      <c r="AZ302" s="599"/>
      <c r="BA302" s="599"/>
      <c r="BB302" s="598"/>
    </row>
    <row r="303" spans="2:54" ht="11.25" customHeight="1">
      <c r="B303" s="1351" t="s">
        <v>1721</v>
      </c>
      <c r="C303" s="1352"/>
      <c r="D303" s="1352"/>
      <c r="E303" s="1352"/>
      <c r="F303" s="1352"/>
      <c r="G303" s="1353"/>
      <c r="H303" s="702">
        <f>SUM(H302)</f>
        <v>7543</v>
      </c>
      <c r="I303" s="703"/>
      <c r="J303" s="704"/>
      <c r="K303" s="704"/>
      <c r="L303" s="704"/>
      <c r="M303" s="705"/>
      <c r="N303" s="505" t="str">
        <f t="shared" si="25"/>
        <v xml:space="preserve"> </v>
      </c>
      <c r="O303" s="552"/>
      <c r="P303" s="706"/>
      <c r="Q303" s="706"/>
      <c r="R303" s="706"/>
      <c r="S303" s="598"/>
      <c r="T303" s="599"/>
      <c r="U303" s="599"/>
      <c r="V303" s="599"/>
      <c r="W303" s="599"/>
      <c r="X303" s="599"/>
      <c r="Y303" s="599"/>
      <c r="Z303" s="599"/>
      <c r="AA303" s="599"/>
      <c r="AB303" s="599"/>
      <c r="AC303" s="599"/>
      <c r="AD303" s="599"/>
      <c r="AE303" s="599"/>
      <c r="AF303" s="599"/>
      <c r="AG303" s="599"/>
      <c r="AH303" s="599"/>
      <c r="AI303" s="599"/>
      <c r="AJ303" s="599"/>
      <c r="AK303" s="599"/>
      <c r="AL303" s="599"/>
      <c r="AM303" s="599"/>
      <c r="AN303" s="599"/>
      <c r="AO303" s="599"/>
      <c r="AP303" s="599"/>
      <c r="AQ303" s="599"/>
      <c r="AR303" s="599"/>
      <c r="AS303" s="599"/>
      <c r="AT303" s="599"/>
      <c r="AU303" s="599"/>
      <c r="AV303" s="599"/>
      <c r="AW303" s="599"/>
      <c r="AX303" s="599"/>
      <c r="AY303" s="599"/>
      <c r="AZ303" s="599"/>
      <c r="BA303" s="599"/>
      <c r="BB303" s="554"/>
    </row>
    <row r="304" spans="2:54" ht="11.25" customHeight="1">
      <c r="B304" s="1326" t="s">
        <v>619</v>
      </c>
      <c r="C304" s="1327"/>
      <c r="D304" s="501" t="s">
        <v>3331</v>
      </c>
      <c r="E304" s="501"/>
      <c r="F304" s="501" t="s">
        <v>257</v>
      </c>
      <c r="G304" s="501" t="s">
        <v>258</v>
      </c>
      <c r="H304" s="629">
        <v>7671.4719999999998</v>
      </c>
      <c r="I304" s="505" t="s">
        <v>240</v>
      </c>
      <c r="J304" s="504">
        <v>45220.5</v>
      </c>
      <c r="K304" s="504"/>
      <c r="L304" s="504" t="s">
        <v>192</v>
      </c>
      <c r="M304" s="504" t="s">
        <v>192</v>
      </c>
      <c r="N304" s="505" t="str">
        <f t="shared" si="25"/>
        <v>On time</v>
      </c>
      <c r="O304" s="597"/>
      <c r="P304" s="507" t="s">
        <v>551</v>
      </c>
      <c r="Q304" s="507" t="s">
        <v>551</v>
      </c>
      <c r="R304" s="507" t="s">
        <v>551</v>
      </c>
      <c r="S304" s="598"/>
      <c r="T304" s="599"/>
      <c r="U304" s="599"/>
      <c r="V304" s="599"/>
      <c r="W304" s="599"/>
      <c r="X304" s="599"/>
      <c r="Y304" s="599"/>
      <c r="Z304" s="599"/>
      <c r="AA304" s="599"/>
      <c r="AB304" s="599"/>
      <c r="AC304" s="599">
        <f>H304</f>
        <v>7671.4719999999998</v>
      </c>
      <c r="AD304" s="599"/>
      <c r="AE304" s="599"/>
      <c r="AF304" s="599"/>
      <c r="AG304" s="599"/>
      <c r="AH304" s="599"/>
      <c r="AI304" s="599"/>
      <c r="AJ304" s="599"/>
      <c r="AK304" s="599"/>
      <c r="AL304" s="599"/>
      <c r="AM304" s="599"/>
      <c r="AN304" s="599"/>
      <c r="AO304" s="599"/>
      <c r="AP304" s="599"/>
      <c r="AQ304" s="599"/>
      <c r="AR304" s="599"/>
      <c r="AS304" s="599"/>
      <c r="AT304" s="777"/>
      <c r="AU304" s="599"/>
      <c r="AV304" s="599"/>
      <c r="AW304" s="599"/>
      <c r="AX304" s="599"/>
      <c r="AY304" s="599"/>
      <c r="AZ304" s="599"/>
      <c r="BA304" s="599"/>
      <c r="BB304" s="598"/>
    </row>
    <row r="305" spans="2:54" ht="11.25" customHeight="1">
      <c r="B305" s="1328"/>
      <c r="C305" s="1329"/>
      <c r="D305" s="501"/>
      <c r="E305" s="501"/>
      <c r="F305" s="1315" t="s">
        <v>616</v>
      </c>
      <c r="G305" s="1316"/>
      <c r="H305" s="629">
        <v>1000</v>
      </c>
      <c r="I305" s="505"/>
      <c r="J305" s="504"/>
      <c r="K305" s="504"/>
      <c r="L305" s="504"/>
      <c r="M305" s="504"/>
      <c r="N305" s="505" t="str">
        <f t="shared" si="25"/>
        <v xml:space="preserve"> </v>
      </c>
      <c r="O305" s="597"/>
      <c r="P305" s="507"/>
      <c r="Q305" s="507"/>
      <c r="R305" s="507"/>
      <c r="S305" s="598"/>
      <c r="T305" s="599"/>
      <c r="U305" s="599"/>
      <c r="V305" s="599"/>
      <c r="W305" s="599"/>
      <c r="X305" s="599"/>
      <c r="Y305" s="599"/>
      <c r="Z305" s="599"/>
      <c r="AA305" s="599"/>
      <c r="AB305" s="599"/>
      <c r="AC305" s="599"/>
      <c r="AD305" s="599"/>
      <c r="AE305" s="599"/>
      <c r="AF305" s="599"/>
      <c r="AG305" s="599"/>
      <c r="AH305" s="599"/>
      <c r="AI305" s="599"/>
      <c r="AJ305" s="599"/>
      <c r="AK305" s="599"/>
      <c r="AL305" s="599"/>
      <c r="AM305" s="599"/>
      <c r="AN305" s="599"/>
      <c r="AO305" s="599"/>
      <c r="AP305" s="599"/>
      <c r="AQ305" s="599"/>
      <c r="AR305" s="599"/>
      <c r="AS305" s="599"/>
      <c r="AT305" s="777"/>
      <c r="AU305" s="599"/>
      <c r="AV305" s="599"/>
      <c r="AW305" s="599"/>
      <c r="AX305" s="599"/>
      <c r="AY305" s="599"/>
      <c r="AZ305" s="599"/>
      <c r="BA305" s="599"/>
      <c r="BB305" s="598"/>
    </row>
    <row r="306" spans="2:54" ht="11.25" customHeight="1">
      <c r="B306" s="1326" t="s">
        <v>621</v>
      </c>
      <c r="C306" s="1327"/>
      <c r="D306" s="501" t="s">
        <v>3333</v>
      </c>
      <c r="E306" s="501"/>
      <c r="F306" s="501" t="s">
        <v>2295</v>
      </c>
      <c r="G306" s="501" t="s">
        <v>2296</v>
      </c>
      <c r="H306" s="629">
        <v>8606.1810000000005</v>
      </c>
      <c r="I306" s="505" t="s">
        <v>240</v>
      </c>
      <c r="J306" s="504">
        <v>45220.541666666664</v>
      </c>
      <c r="K306" s="504"/>
      <c r="L306" s="504" t="s">
        <v>192</v>
      </c>
      <c r="M306" s="504" t="s">
        <v>192</v>
      </c>
      <c r="N306" s="505" t="str">
        <f t="shared" si="25"/>
        <v>On time</v>
      </c>
      <c r="O306" s="597"/>
      <c r="P306" s="507" t="s">
        <v>551</v>
      </c>
      <c r="Q306" s="507" t="s">
        <v>551</v>
      </c>
      <c r="R306" s="507" t="s">
        <v>551</v>
      </c>
      <c r="S306" s="598"/>
      <c r="T306" s="599"/>
      <c r="U306" s="599"/>
      <c r="V306" s="599"/>
      <c r="W306" s="599"/>
      <c r="X306" s="599"/>
      <c r="Y306" s="599"/>
      <c r="Z306" s="599"/>
      <c r="AA306" s="599"/>
      <c r="AB306" s="599"/>
      <c r="AC306" s="599">
        <f>H306</f>
        <v>8606.1810000000005</v>
      </c>
      <c r="AD306" s="599"/>
      <c r="AE306" s="599"/>
      <c r="AF306" s="599"/>
      <c r="AG306" s="599"/>
      <c r="AH306" s="599"/>
      <c r="AI306" s="599"/>
      <c r="AJ306" s="599"/>
      <c r="AK306" s="598"/>
      <c r="AL306" s="599"/>
      <c r="AM306" s="599"/>
      <c r="AN306" s="599"/>
      <c r="AO306" s="599"/>
      <c r="AP306" s="599"/>
      <c r="AQ306" s="599"/>
      <c r="AR306" s="599"/>
      <c r="AS306" s="599"/>
      <c r="AT306" s="599"/>
      <c r="AU306" s="599"/>
      <c r="AV306" s="599"/>
      <c r="AW306" s="599"/>
      <c r="AX306" s="599"/>
      <c r="AY306" s="599"/>
      <c r="AZ306" s="599"/>
      <c r="BA306" s="599"/>
      <c r="BB306" s="598"/>
    </row>
    <row r="307" spans="2:54" ht="11.25" customHeight="1">
      <c r="B307" s="1328"/>
      <c r="C307" s="1329"/>
      <c r="D307" s="501"/>
      <c r="E307" s="501"/>
      <c r="F307" s="1315" t="s">
        <v>616</v>
      </c>
      <c r="G307" s="1316"/>
      <c r="H307" s="629">
        <v>1000</v>
      </c>
      <c r="I307" s="505"/>
      <c r="J307" s="504"/>
      <c r="K307" s="504"/>
      <c r="L307" s="504"/>
      <c r="M307" s="504"/>
      <c r="N307" s="505" t="str">
        <f t="shared" si="25"/>
        <v xml:space="preserve"> </v>
      </c>
      <c r="O307" s="597"/>
      <c r="P307" s="507"/>
      <c r="Q307" s="507"/>
      <c r="R307" s="507"/>
      <c r="S307" s="598"/>
      <c r="T307" s="599"/>
      <c r="U307" s="599"/>
      <c r="V307" s="599"/>
      <c r="W307" s="599"/>
      <c r="X307" s="599"/>
      <c r="Y307" s="599"/>
      <c r="Z307" s="599"/>
      <c r="AA307" s="599"/>
      <c r="AB307" s="599"/>
      <c r="AC307" s="599"/>
      <c r="AD307" s="599"/>
      <c r="AE307" s="599"/>
      <c r="AF307" s="599"/>
      <c r="AG307" s="599"/>
      <c r="AH307" s="599"/>
      <c r="AI307" s="599"/>
      <c r="AJ307" s="599"/>
      <c r="AK307" s="599"/>
      <c r="AL307" s="599"/>
      <c r="AM307" s="599"/>
      <c r="AN307" s="599"/>
      <c r="AO307" s="599"/>
      <c r="AP307" s="599"/>
      <c r="AQ307" s="599"/>
      <c r="AR307" s="599"/>
      <c r="AS307" s="599"/>
      <c r="AT307" s="777"/>
      <c r="AU307" s="599"/>
      <c r="AV307" s="599"/>
      <c r="AW307" s="599"/>
      <c r="AX307" s="599"/>
      <c r="AY307" s="599"/>
      <c r="AZ307" s="599"/>
      <c r="BA307" s="599"/>
      <c r="BB307" s="598"/>
    </row>
    <row r="308" spans="2:54" ht="11.25" customHeight="1">
      <c r="B308" s="1326" t="s">
        <v>622</v>
      </c>
      <c r="C308" s="1327"/>
      <c r="D308" s="501" t="s">
        <v>3332</v>
      </c>
      <c r="E308" s="501"/>
      <c r="F308" s="501" t="s">
        <v>2156</v>
      </c>
      <c r="G308" s="501" t="s">
        <v>1835</v>
      </c>
      <c r="H308" s="629">
        <v>7578.1760000000004</v>
      </c>
      <c r="I308" s="505" t="s">
        <v>240</v>
      </c>
      <c r="J308" s="504">
        <v>45220.701388888891</v>
      </c>
      <c r="K308" s="504"/>
      <c r="L308" s="504" t="s">
        <v>192</v>
      </c>
      <c r="M308" s="504" t="s">
        <v>192</v>
      </c>
      <c r="N308" s="505" t="str">
        <f t="shared" si="25"/>
        <v>On time</v>
      </c>
      <c r="O308" s="597"/>
      <c r="P308" s="507" t="s">
        <v>551</v>
      </c>
      <c r="Q308" s="507" t="s">
        <v>551</v>
      </c>
      <c r="R308" s="507" t="s">
        <v>551</v>
      </c>
      <c r="S308" s="598"/>
      <c r="T308" s="599"/>
      <c r="U308" s="599"/>
      <c r="V308" s="599"/>
      <c r="W308" s="599"/>
      <c r="X308" s="599"/>
      <c r="Y308" s="599"/>
      <c r="Z308" s="599"/>
      <c r="AA308" s="599"/>
      <c r="AB308" s="599"/>
      <c r="AC308" s="599">
        <f>H308</f>
        <v>7578.1760000000004</v>
      </c>
      <c r="AD308" s="599"/>
      <c r="AE308" s="599"/>
      <c r="AF308" s="599"/>
      <c r="AG308" s="599"/>
      <c r="AH308" s="599"/>
      <c r="AI308" s="599"/>
      <c r="AJ308" s="599"/>
      <c r="AK308" s="599"/>
      <c r="AL308" s="599"/>
      <c r="AM308" s="599"/>
      <c r="AN308" s="599"/>
      <c r="AO308" s="599"/>
      <c r="AP308" s="599"/>
      <c r="AQ308" s="599"/>
      <c r="AR308" s="599"/>
      <c r="AS308" s="599"/>
      <c r="AT308" s="599"/>
      <c r="AU308" s="599"/>
      <c r="AV308" s="599"/>
      <c r="AW308" s="599"/>
      <c r="AX308" s="599"/>
      <c r="AY308" s="599"/>
      <c r="AZ308" s="599"/>
      <c r="BA308" s="599"/>
      <c r="BB308" s="598"/>
    </row>
    <row r="309" spans="2:54" ht="11.25" customHeight="1">
      <c r="B309" s="1328"/>
      <c r="C309" s="1329"/>
      <c r="D309" s="501"/>
      <c r="E309" s="501"/>
      <c r="F309" s="1315" t="s">
        <v>616</v>
      </c>
      <c r="G309" s="1316"/>
      <c r="H309" s="629">
        <v>1400</v>
      </c>
      <c r="I309" s="505"/>
      <c r="J309" s="504"/>
      <c r="K309" s="504"/>
      <c r="L309" s="504"/>
      <c r="M309" s="504"/>
      <c r="N309" s="505" t="str">
        <f t="shared" si="25"/>
        <v xml:space="preserve"> </v>
      </c>
      <c r="O309" s="597"/>
      <c r="P309" s="507"/>
      <c r="Q309" s="507"/>
      <c r="R309" s="507"/>
      <c r="S309" s="598"/>
      <c r="T309" s="599"/>
      <c r="U309" s="599"/>
      <c r="V309" s="599"/>
      <c r="W309" s="599"/>
      <c r="X309" s="599"/>
      <c r="Y309" s="599"/>
      <c r="Z309" s="599"/>
      <c r="AA309" s="599"/>
      <c r="AB309" s="599"/>
      <c r="AC309" s="599"/>
      <c r="AD309" s="599"/>
      <c r="AE309" s="599"/>
      <c r="AF309" s="599"/>
      <c r="AG309" s="599"/>
      <c r="AH309" s="599"/>
      <c r="AI309" s="599"/>
      <c r="AJ309" s="599"/>
      <c r="AK309" s="599"/>
      <c r="AL309" s="599"/>
      <c r="AM309" s="599"/>
      <c r="AN309" s="599"/>
      <c r="AO309" s="599"/>
      <c r="AP309" s="599"/>
      <c r="AQ309" s="599"/>
      <c r="AR309" s="599"/>
      <c r="AS309" s="599"/>
      <c r="AT309" s="777"/>
      <c r="AU309" s="599"/>
      <c r="AV309" s="599"/>
      <c r="AW309" s="599"/>
      <c r="AX309" s="599"/>
      <c r="AY309" s="599"/>
      <c r="AZ309" s="599"/>
      <c r="BA309" s="599"/>
      <c r="BB309" s="598"/>
    </row>
    <row r="310" spans="2:54" ht="11.25" customHeight="1">
      <c r="B310" s="1441"/>
      <c r="C310" s="1442"/>
      <c r="D310" s="698"/>
      <c r="E310" s="698"/>
      <c r="F310" s="698"/>
      <c r="G310" s="698"/>
      <c r="H310" s="698"/>
      <c r="I310" s="698"/>
      <c r="J310" s="698"/>
      <c r="K310" s="698"/>
      <c r="L310" s="698"/>
      <c r="M310" s="698"/>
      <c r="N310" s="505" t="str">
        <f t="shared" si="25"/>
        <v xml:space="preserve"> </v>
      </c>
      <c r="O310" s="699"/>
      <c r="P310" s="700"/>
      <c r="Q310" s="700"/>
      <c r="R310" s="700"/>
      <c r="S310" s="598"/>
      <c r="T310" s="701"/>
      <c r="U310" s="701"/>
      <c r="V310" s="701"/>
      <c r="W310" s="701"/>
      <c r="X310" s="701"/>
      <c r="Y310" s="701"/>
      <c r="Z310" s="701"/>
      <c r="AA310" s="701"/>
      <c r="AB310" s="701"/>
      <c r="AC310" s="701"/>
      <c r="AD310" s="697"/>
      <c r="AE310" s="701"/>
      <c r="AF310" s="701"/>
      <c r="AG310" s="701"/>
      <c r="AH310" s="701"/>
      <c r="AI310" s="701"/>
      <c r="AJ310" s="701"/>
      <c r="AK310" s="701"/>
      <c r="AL310" s="701"/>
      <c r="AM310" s="701"/>
      <c r="AN310" s="701"/>
      <c r="AO310" s="701"/>
      <c r="AP310" s="701"/>
      <c r="AQ310" s="701"/>
      <c r="AR310" s="701"/>
      <c r="AS310" s="701"/>
      <c r="AT310" s="701"/>
      <c r="AU310" s="701"/>
      <c r="AV310" s="701"/>
      <c r="AW310" s="701"/>
      <c r="AX310" s="701"/>
      <c r="AY310" s="701"/>
      <c r="AZ310" s="701"/>
      <c r="BA310" s="701"/>
      <c r="BB310" s="598"/>
    </row>
    <row r="311" spans="2:54" ht="11.25" customHeight="1">
      <c r="B311" s="1315" t="s">
        <v>668</v>
      </c>
      <c r="C311" s="1316"/>
      <c r="D311" s="501" t="s">
        <v>3423</v>
      </c>
      <c r="E311" s="585"/>
      <c r="F311" s="501" t="s">
        <v>252</v>
      </c>
      <c r="G311" s="501" t="s">
        <v>253</v>
      </c>
      <c r="H311" s="629">
        <v>7545.0029999999997</v>
      </c>
      <c r="I311" s="505" t="s">
        <v>172</v>
      </c>
      <c r="J311" s="504">
        <v>45222.34375</v>
      </c>
      <c r="K311" s="504"/>
      <c r="L311" s="504" t="s">
        <v>192</v>
      </c>
      <c r="M311" s="504" t="s">
        <v>192</v>
      </c>
      <c r="N311" s="505" t="str">
        <f t="shared" si="25"/>
        <v>DELAY ( 1 day 21 hour 45 minute )</v>
      </c>
      <c r="O311" s="597"/>
      <c r="P311" s="507" t="s">
        <v>551</v>
      </c>
      <c r="Q311" s="507" t="s">
        <v>551</v>
      </c>
      <c r="R311" s="507" t="s">
        <v>551</v>
      </c>
      <c r="S311" s="598"/>
      <c r="T311" s="599"/>
      <c r="U311" s="599"/>
      <c r="V311" s="599"/>
      <c r="W311" s="599"/>
      <c r="X311" s="599"/>
      <c r="Y311" s="599"/>
      <c r="Z311" s="599"/>
      <c r="AA311" s="599"/>
      <c r="AB311" s="599"/>
      <c r="AC311" s="599"/>
      <c r="AD311" s="599"/>
      <c r="AE311" s="599"/>
      <c r="AF311" s="599"/>
      <c r="AG311" s="599"/>
      <c r="AH311" s="599"/>
      <c r="AI311" s="599"/>
      <c r="AJ311" s="599"/>
      <c r="AK311" s="599"/>
      <c r="AL311" s="599"/>
      <c r="AM311" s="599"/>
      <c r="AN311" s="599"/>
      <c r="AO311" s="599"/>
      <c r="AP311" s="599"/>
      <c r="AQ311" s="599"/>
      <c r="AR311" s="599"/>
      <c r="AS311" s="599"/>
      <c r="AT311" s="599"/>
      <c r="AU311" s="599"/>
      <c r="AV311" s="599"/>
      <c r="AW311" s="599"/>
      <c r="AX311" s="599"/>
      <c r="AY311" s="599">
        <f>H311</f>
        <v>7545.0029999999997</v>
      </c>
      <c r="AZ311" s="599"/>
      <c r="BA311" s="599"/>
      <c r="BB311" s="598"/>
    </row>
    <row r="312" spans="2:54" ht="11.25" customHeight="1">
      <c r="B312" s="1351" t="s">
        <v>3706</v>
      </c>
      <c r="C312" s="1352"/>
      <c r="D312" s="1352"/>
      <c r="E312" s="1352"/>
      <c r="F312" s="1352"/>
      <c r="G312" s="1353"/>
      <c r="H312" s="702">
        <f>SUM(H311)</f>
        <v>7545.0029999999997</v>
      </c>
      <c r="I312" s="703"/>
      <c r="J312" s="704"/>
      <c r="K312" s="704"/>
      <c r="L312" s="704"/>
      <c r="M312" s="705"/>
      <c r="N312" s="505" t="str">
        <f t="shared" si="25"/>
        <v xml:space="preserve"> </v>
      </c>
      <c r="O312" s="552"/>
      <c r="P312" s="706"/>
      <c r="Q312" s="706"/>
      <c r="R312" s="706"/>
      <c r="S312" s="598"/>
      <c r="T312" s="599"/>
      <c r="U312" s="599"/>
      <c r="V312" s="599"/>
      <c r="W312" s="599"/>
      <c r="X312" s="599"/>
      <c r="Y312" s="599"/>
      <c r="Z312" s="599"/>
      <c r="AA312" s="599"/>
      <c r="AB312" s="599"/>
      <c r="AC312" s="599"/>
      <c r="AD312" s="599"/>
      <c r="AE312" s="599"/>
      <c r="AF312" s="599"/>
      <c r="AG312" s="599"/>
      <c r="AH312" s="599"/>
      <c r="AI312" s="599"/>
      <c r="AJ312" s="599"/>
      <c r="AK312" s="599"/>
      <c r="AL312" s="599"/>
      <c r="AM312" s="599"/>
      <c r="AN312" s="599"/>
      <c r="AO312" s="599"/>
      <c r="AP312" s="599"/>
      <c r="AQ312" s="599"/>
      <c r="AR312" s="599"/>
      <c r="AS312" s="599"/>
      <c r="AT312" s="599"/>
      <c r="AU312" s="599"/>
      <c r="AV312" s="599"/>
      <c r="AW312" s="599"/>
      <c r="AX312" s="599"/>
      <c r="AY312" s="599"/>
      <c r="AZ312" s="599"/>
      <c r="BA312" s="599"/>
      <c r="BB312" s="554"/>
    </row>
    <row r="313" spans="2:54" ht="11.25" customHeight="1">
      <c r="B313" s="1326" t="s">
        <v>623</v>
      </c>
      <c r="C313" s="1327"/>
      <c r="D313" s="501" t="s">
        <v>3335</v>
      </c>
      <c r="E313" s="501"/>
      <c r="F313" s="501" t="s">
        <v>298</v>
      </c>
      <c r="G313" s="501" t="s">
        <v>299</v>
      </c>
      <c r="H313" s="629">
        <v>10438.445</v>
      </c>
      <c r="I313" s="505" t="s">
        <v>240</v>
      </c>
      <c r="J313" s="504">
        <v>45221.645833333336</v>
      </c>
      <c r="K313" s="504"/>
      <c r="L313" s="504" t="s">
        <v>192</v>
      </c>
      <c r="M313" s="504" t="s">
        <v>192</v>
      </c>
      <c r="N313" s="505" t="str">
        <f t="shared" si="25"/>
        <v>DELAY ( 1 day 5 hour 0 minute )</v>
      </c>
      <c r="O313" s="597"/>
      <c r="P313" s="507" t="s">
        <v>551</v>
      </c>
      <c r="Q313" s="507" t="s">
        <v>551</v>
      </c>
      <c r="R313" s="507" t="s">
        <v>551</v>
      </c>
      <c r="S313" s="598"/>
      <c r="T313" s="599"/>
      <c r="U313" s="599"/>
      <c r="V313" s="599"/>
      <c r="W313" s="599"/>
      <c r="X313" s="599"/>
      <c r="Y313" s="599"/>
      <c r="Z313" s="599"/>
      <c r="AA313" s="599"/>
      <c r="AB313" s="599"/>
      <c r="AC313" s="599">
        <f>H313</f>
        <v>10438.445</v>
      </c>
      <c r="AD313" s="599"/>
      <c r="AE313" s="599"/>
      <c r="AF313" s="599"/>
      <c r="AG313" s="599"/>
      <c r="AH313" s="599"/>
      <c r="AI313" s="599"/>
      <c r="AJ313" s="599"/>
      <c r="AK313" s="599"/>
      <c r="AL313" s="599"/>
      <c r="AM313" s="599"/>
      <c r="AN313" s="599"/>
      <c r="AO313" s="599"/>
      <c r="AP313" s="599"/>
      <c r="AQ313" s="599"/>
      <c r="AR313" s="599"/>
      <c r="AS313" s="599"/>
      <c r="AT313" s="599"/>
      <c r="AU313" s="599"/>
      <c r="AV313" s="599"/>
      <c r="AW313" s="599"/>
      <c r="AX313" s="599"/>
      <c r="AY313" s="599"/>
      <c r="AZ313" s="599"/>
      <c r="BA313" s="599"/>
      <c r="BB313" s="598"/>
    </row>
    <row r="314" spans="2:54" ht="11.25" customHeight="1">
      <c r="B314" s="1421"/>
      <c r="C314" s="1422"/>
      <c r="D314" s="501"/>
      <c r="E314" s="501"/>
      <c r="F314" s="1315" t="s">
        <v>668</v>
      </c>
      <c r="G314" s="1316"/>
      <c r="H314" s="629">
        <v>3000</v>
      </c>
      <c r="I314" s="505"/>
      <c r="J314" s="504"/>
      <c r="K314" s="504"/>
      <c r="L314" s="504"/>
      <c r="M314" s="504"/>
      <c r="N314" s="505" t="str">
        <f t="shared" si="25"/>
        <v xml:space="preserve"> </v>
      </c>
      <c r="O314" s="597"/>
      <c r="P314" s="507"/>
      <c r="Q314" s="507"/>
      <c r="R314" s="507"/>
      <c r="S314" s="598"/>
      <c r="T314" s="599"/>
      <c r="U314" s="599"/>
      <c r="V314" s="599"/>
      <c r="W314" s="599"/>
      <c r="X314" s="599"/>
      <c r="Y314" s="599"/>
      <c r="Z314" s="599"/>
      <c r="AA314" s="599"/>
      <c r="AB314" s="599"/>
      <c r="AC314" s="599"/>
      <c r="AD314" s="599"/>
      <c r="AE314" s="599"/>
      <c r="AF314" s="599"/>
      <c r="AG314" s="599"/>
      <c r="AH314" s="599"/>
      <c r="AI314" s="599"/>
      <c r="AJ314" s="599"/>
      <c r="AK314" s="599"/>
      <c r="AL314" s="599"/>
      <c r="AM314" s="599"/>
      <c r="AN314" s="599"/>
      <c r="AO314" s="599"/>
      <c r="AP314" s="599"/>
      <c r="AQ314" s="599"/>
      <c r="AR314" s="599"/>
      <c r="AS314" s="599"/>
      <c r="AT314" s="777"/>
      <c r="AU314" s="599"/>
      <c r="AV314" s="599"/>
      <c r="AW314" s="599"/>
      <c r="AX314" s="599"/>
      <c r="AY314" s="599"/>
      <c r="AZ314" s="599"/>
      <c r="BA314" s="599"/>
      <c r="BB314" s="598"/>
    </row>
    <row r="315" spans="2:54" ht="11.25" customHeight="1">
      <c r="B315" s="1328"/>
      <c r="C315" s="1329"/>
      <c r="D315" s="501"/>
      <c r="E315" s="501"/>
      <c r="F315" s="1315" t="s">
        <v>616</v>
      </c>
      <c r="G315" s="1316"/>
      <c r="H315" s="629">
        <v>1400</v>
      </c>
      <c r="I315" s="505"/>
      <c r="J315" s="504"/>
      <c r="K315" s="504"/>
      <c r="L315" s="504"/>
      <c r="M315" s="504"/>
      <c r="N315" s="505" t="str">
        <f t="shared" si="25"/>
        <v xml:space="preserve"> </v>
      </c>
      <c r="O315" s="597"/>
      <c r="P315" s="507"/>
      <c r="Q315" s="507"/>
      <c r="R315" s="507"/>
      <c r="S315" s="598"/>
      <c r="T315" s="599"/>
      <c r="U315" s="599"/>
      <c r="V315" s="599"/>
      <c r="W315" s="599"/>
      <c r="X315" s="599"/>
      <c r="Y315" s="599"/>
      <c r="Z315" s="599"/>
      <c r="AA315" s="599"/>
      <c r="AB315" s="599"/>
      <c r="AC315" s="599"/>
      <c r="AD315" s="599"/>
      <c r="AE315" s="599"/>
      <c r="AF315" s="599"/>
      <c r="AG315" s="599"/>
      <c r="AH315" s="599"/>
      <c r="AI315" s="599"/>
      <c r="AJ315" s="599"/>
      <c r="AK315" s="599"/>
      <c r="AL315" s="599"/>
      <c r="AM315" s="599"/>
      <c r="AN315" s="599"/>
      <c r="AO315" s="599"/>
      <c r="AP315" s="599"/>
      <c r="AQ315" s="599"/>
      <c r="AR315" s="599"/>
      <c r="AS315" s="599"/>
      <c r="AT315" s="777"/>
      <c r="AU315" s="599"/>
      <c r="AV315" s="599"/>
      <c r="AW315" s="599"/>
      <c r="AX315" s="599"/>
      <c r="AY315" s="599"/>
      <c r="AZ315" s="599"/>
      <c r="BA315" s="599"/>
      <c r="BB315" s="598"/>
    </row>
    <row r="316" spans="2:54" ht="11.25" customHeight="1">
      <c r="B316" s="1326" t="s">
        <v>624</v>
      </c>
      <c r="C316" s="1327"/>
      <c r="D316" s="501" t="s">
        <v>3334</v>
      </c>
      <c r="E316" s="501"/>
      <c r="F316" s="501" t="s">
        <v>277</v>
      </c>
      <c r="G316" s="501" t="s">
        <v>278</v>
      </c>
      <c r="H316" s="629">
        <v>7711.0320000000002</v>
      </c>
      <c r="I316" s="505" t="s">
        <v>240</v>
      </c>
      <c r="J316" s="504">
        <v>45222.420138888891</v>
      </c>
      <c r="K316" s="504"/>
      <c r="L316" s="504" t="s">
        <v>192</v>
      </c>
      <c r="M316" s="504" t="s">
        <v>192</v>
      </c>
      <c r="N316" s="505" t="str">
        <f t="shared" si="25"/>
        <v>DELAY ( 1 day 23 hour 35 minute )</v>
      </c>
      <c r="O316" s="597"/>
      <c r="P316" s="507" t="s">
        <v>551</v>
      </c>
      <c r="Q316" s="507" t="s">
        <v>551</v>
      </c>
      <c r="R316" s="507" t="s">
        <v>551</v>
      </c>
      <c r="S316" s="598"/>
      <c r="T316" s="599"/>
      <c r="U316" s="599"/>
      <c r="V316" s="599"/>
      <c r="W316" s="599"/>
      <c r="X316" s="599"/>
      <c r="Y316" s="599"/>
      <c r="Z316" s="599"/>
      <c r="AA316" s="599"/>
      <c r="AB316" s="599"/>
      <c r="AC316" s="599">
        <f>H316</f>
        <v>7711.0320000000002</v>
      </c>
      <c r="AD316" s="599"/>
      <c r="AE316" s="599"/>
      <c r="AF316" s="599"/>
      <c r="AG316" s="599"/>
      <c r="AH316" s="599"/>
      <c r="AI316" s="599"/>
      <c r="AJ316" s="599"/>
      <c r="AK316" s="599"/>
      <c r="AL316" s="599"/>
      <c r="AM316" s="599"/>
      <c r="AN316" s="599"/>
      <c r="AO316" s="599"/>
      <c r="AP316" s="599"/>
      <c r="AQ316" s="599"/>
      <c r="AR316" s="599"/>
      <c r="AS316" s="599"/>
      <c r="AT316" s="599"/>
      <c r="AU316" s="599"/>
      <c r="AV316" s="599"/>
      <c r="AW316" s="599"/>
      <c r="AX316" s="599"/>
      <c r="AY316" s="599"/>
      <c r="AZ316" s="599"/>
      <c r="BA316" s="599"/>
      <c r="BB316" s="598"/>
    </row>
    <row r="317" spans="2:54" ht="11.25" customHeight="1">
      <c r="B317" s="1421"/>
      <c r="C317" s="1422"/>
      <c r="D317" s="501"/>
      <c r="E317" s="501"/>
      <c r="F317" s="1315" t="s">
        <v>668</v>
      </c>
      <c r="G317" s="1316"/>
      <c r="H317" s="629">
        <v>3000</v>
      </c>
      <c r="I317" s="505"/>
      <c r="J317" s="504"/>
      <c r="K317" s="504"/>
      <c r="L317" s="504"/>
      <c r="M317" s="504"/>
      <c r="N317" s="505" t="str">
        <f t="shared" si="25"/>
        <v xml:space="preserve"> </v>
      </c>
      <c r="O317" s="597"/>
      <c r="P317" s="507"/>
      <c r="Q317" s="507"/>
      <c r="R317" s="507"/>
      <c r="S317" s="598"/>
      <c r="T317" s="599"/>
      <c r="U317" s="599"/>
      <c r="V317" s="599"/>
      <c r="W317" s="599"/>
      <c r="X317" s="599"/>
      <c r="Y317" s="599"/>
      <c r="Z317" s="599"/>
      <c r="AA317" s="599"/>
      <c r="AB317" s="599"/>
      <c r="AC317" s="599"/>
      <c r="AD317" s="599"/>
      <c r="AE317" s="599"/>
      <c r="AF317" s="599"/>
      <c r="AG317" s="599"/>
      <c r="AH317" s="599"/>
      <c r="AI317" s="599"/>
      <c r="AJ317" s="599"/>
      <c r="AK317" s="599"/>
      <c r="AL317" s="599"/>
      <c r="AM317" s="599"/>
      <c r="AN317" s="599"/>
      <c r="AO317" s="599"/>
      <c r="AP317" s="599"/>
      <c r="AQ317" s="599"/>
      <c r="AR317" s="599"/>
      <c r="AS317" s="599"/>
      <c r="AT317" s="777"/>
      <c r="AU317" s="599"/>
      <c r="AV317" s="599"/>
      <c r="AW317" s="599"/>
      <c r="AX317" s="599"/>
      <c r="AY317" s="599"/>
      <c r="AZ317" s="599"/>
      <c r="BA317" s="599"/>
      <c r="BB317" s="598"/>
    </row>
    <row r="318" spans="2:54" ht="11.25" customHeight="1">
      <c r="B318" s="1328"/>
      <c r="C318" s="1329"/>
      <c r="D318" s="501"/>
      <c r="E318" s="501"/>
      <c r="F318" s="1315" t="s">
        <v>616</v>
      </c>
      <c r="G318" s="1316"/>
      <c r="H318" s="629">
        <v>1300</v>
      </c>
      <c r="I318" s="505"/>
      <c r="J318" s="504"/>
      <c r="K318" s="504"/>
      <c r="L318" s="504"/>
      <c r="M318" s="504"/>
      <c r="N318" s="505" t="str">
        <f t="shared" si="25"/>
        <v xml:space="preserve"> </v>
      </c>
      <c r="O318" s="597"/>
      <c r="P318" s="507"/>
      <c r="Q318" s="507"/>
      <c r="R318" s="507"/>
      <c r="S318" s="598"/>
      <c r="T318" s="599"/>
      <c r="U318" s="599"/>
      <c r="V318" s="599"/>
      <c r="W318" s="599"/>
      <c r="X318" s="599"/>
      <c r="Y318" s="599"/>
      <c r="Z318" s="599"/>
      <c r="AA318" s="599"/>
      <c r="AB318" s="599"/>
      <c r="AC318" s="599"/>
      <c r="AD318" s="599"/>
      <c r="AE318" s="599"/>
      <c r="AF318" s="599"/>
      <c r="AG318" s="599"/>
      <c r="AH318" s="599"/>
      <c r="AI318" s="599"/>
      <c r="AJ318" s="599"/>
      <c r="AK318" s="599"/>
      <c r="AL318" s="599"/>
      <c r="AM318" s="599"/>
      <c r="AN318" s="599"/>
      <c r="AO318" s="599"/>
      <c r="AP318" s="599"/>
      <c r="AQ318" s="599"/>
      <c r="AR318" s="599"/>
      <c r="AS318" s="599"/>
      <c r="AT318" s="777"/>
      <c r="AU318" s="599"/>
      <c r="AV318" s="599"/>
      <c r="AW318" s="599"/>
      <c r="AX318" s="599"/>
      <c r="AY318" s="599"/>
      <c r="AZ318" s="599"/>
      <c r="BA318" s="599"/>
      <c r="BB318" s="598"/>
    </row>
    <row r="319" spans="2:54" ht="11.25" customHeight="1">
      <c r="B319" s="1326" t="s">
        <v>625</v>
      </c>
      <c r="C319" s="1327"/>
      <c r="D319" s="501" t="s">
        <v>3337</v>
      </c>
      <c r="E319" s="501"/>
      <c r="F319" s="501" t="s">
        <v>213</v>
      </c>
      <c r="G319" s="501" t="s">
        <v>214</v>
      </c>
      <c r="H319" s="629">
        <v>7553.5889999999999</v>
      </c>
      <c r="I319" s="505" t="s">
        <v>240</v>
      </c>
      <c r="J319" s="504">
        <v>45222.482638888891</v>
      </c>
      <c r="K319" s="504"/>
      <c r="L319" s="504" t="s">
        <v>192</v>
      </c>
      <c r="M319" s="504" t="s">
        <v>192</v>
      </c>
      <c r="N319" s="505" t="str">
        <f t="shared" si="25"/>
        <v>DELAY ( 2 day 1 hour 5 minute )</v>
      </c>
      <c r="O319" s="597"/>
      <c r="P319" s="507" t="s">
        <v>551</v>
      </c>
      <c r="Q319" s="507" t="s">
        <v>551</v>
      </c>
      <c r="R319" s="507" t="s">
        <v>551</v>
      </c>
      <c r="S319" s="598"/>
      <c r="T319" s="599"/>
      <c r="U319" s="599"/>
      <c r="V319" s="599"/>
      <c r="W319" s="599"/>
      <c r="X319" s="599"/>
      <c r="Y319" s="599"/>
      <c r="Z319" s="599"/>
      <c r="AA319" s="599"/>
      <c r="AB319" s="599"/>
      <c r="AC319" s="599">
        <f>H319</f>
        <v>7553.5889999999999</v>
      </c>
      <c r="AD319" s="599"/>
      <c r="AE319" s="599"/>
      <c r="AF319" s="599"/>
      <c r="AG319" s="599"/>
      <c r="AH319" s="599"/>
      <c r="AI319" s="599"/>
      <c r="AJ319" s="599"/>
      <c r="AK319" s="599"/>
      <c r="AL319" s="599"/>
      <c r="AM319" s="599"/>
      <c r="AN319" s="599"/>
      <c r="AO319" s="599"/>
      <c r="AP319" s="599"/>
      <c r="AQ319" s="599"/>
      <c r="AR319" s="599"/>
      <c r="AS319" s="599"/>
      <c r="AT319" s="599"/>
      <c r="AU319" s="599"/>
      <c r="AV319" s="599"/>
      <c r="AW319" s="599"/>
      <c r="AX319" s="599"/>
      <c r="AY319" s="599"/>
      <c r="AZ319" s="599"/>
      <c r="BA319" s="599"/>
      <c r="BB319" s="598"/>
    </row>
    <row r="320" spans="2:54" ht="11.25" customHeight="1">
      <c r="B320" s="1421"/>
      <c r="C320" s="1422"/>
      <c r="D320" s="501"/>
      <c r="E320" s="501"/>
      <c r="F320" s="1315" t="s">
        <v>668</v>
      </c>
      <c r="G320" s="1316"/>
      <c r="H320" s="629">
        <v>1545.0029999999999</v>
      </c>
      <c r="I320" s="505"/>
      <c r="J320" s="504"/>
      <c r="K320" s="504"/>
      <c r="L320" s="504"/>
      <c r="M320" s="504"/>
      <c r="N320" s="505" t="str">
        <f t="shared" si="25"/>
        <v xml:space="preserve"> </v>
      </c>
      <c r="O320" s="597"/>
      <c r="P320" s="507"/>
      <c r="Q320" s="507"/>
      <c r="R320" s="507"/>
      <c r="S320" s="598"/>
      <c r="T320" s="599"/>
      <c r="U320" s="599"/>
      <c r="V320" s="599"/>
      <c r="W320" s="599"/>
      <c r="X320" s="599"/>
      <c r="Y320" s="599"/>
      <c r="Z320" s="599"/>
      <c r="AA320" s="599"/>
      <c r="AB320" s="599"/>
      <c r="AC320" s="599"/>
      <c r="AD320" s="599"/>
      <c r="AE320" s="599"/>
      <c r="AF320" s="599"/>
      <c r="AG320" s="599"/>
      <c r="AH320" s="599"/>
      <c r="AI320" s="599"/>
      <c r="AJ320" s="599"/>
      <c r="AK320" s="599"/>
      <c r="AL320" s="599"/>
      <c r="AM320" s="599"/>
      <c r="AN320" s="599"/>
      <c r="AO320" s="599"/>
      <c r="AP320" s="599"/>
      <c r="AQ320" s="599"/>
      <c r="AR320" s="599"/>
      <c r="AS320" s="599"/>
      <c r="AT320" s="777"/>
      <c r="AU320" s="599"/>
      <c r="AV320" s="599"/>
      <c r="AW320" s="599"/>
      <c r="AX320" s="599"/>
      <c r="AY320" s="599"/>
      <c r="AZ320" s="599"/>
      <c r="BA320" s="599"/>
      <c r="BB320" s="598"/>
    </row>
    <row r="321" spans="2:54" ht="11.25" customHeight="1">
      <c r="B321" s="1328"/>
      <c r="C321" s="1329"/>
      <c r="D321" s="501"/>
      <c r="E321" s="501"/>
      <c r="F321" s="1315" t="s">
        <v>616</v>
      </c>
      <c r="G321" s="1316"/>
      <c r="H321" s="629">
        <v>1443</v>
      </c>
      <c r="I321" s="505"/>
      <c r="J321" s="504"/>
      <c r="K321" s="504"/>
      <c r="L321" s="504"/>
      <c r="M321" s="504"/>
      <c r="N321" s="505" t="str">
        <f t="shared" si="25"/>
        <v xml:space="preserve"> </v>
      </c>
      <c r="O321" s="597"/>
      <c r="P321" s="507"/>
      <c r="Q321" s="507"/>
      <c r="R321" s="507"/>
      <c r="S321" s="598"/>
      <c r="T321" s="599"/>
      <c r="U321" s="599"/>
      <c r="V321" s="599"/>
      <c r="W321" s="599"/>
      <c r="X321" s="599"/>
      <c r="Y321" s="599"/>
      <c r="Z321" s="599"/>
      <c r="AA321" s="599"/>
      <c r="AB321" s="599"/>
      <c r="AC321" s="599"/>
      <c r="AD321" s="599"/>
      <c r="AE321" s="599"/>
      <c r="AF321" s="599"/>
      <c r="AG321" s="599"/>
      <c r="AH321" s="599"/>
      <c r="AI321" s="599"/>
      <c r="AJ321" s="599"/>
      <c r="AK321" s="599"/>
      <c r="AL321" s="599"/>
      <c r="AM321" s="599"/>
      <c r="AN321" s="599"/>
      <c r="AO321" s="599"/>
      <c r="AP321" s="599"/>
      <c r="AQ321" s="599"/>
      <c r="AR321" s="599"/>
      <c r="AS321" s="599"/>
      <c r="AT321" s="777"/>
      <c r="AU321" s="599"/>
      <c r="AV321" s="599"/>
      <c r="AW321" s="599"/>
      <c r="AX321" s="599"/>
      <c r="AY321" s="599"/>
      <c r="AZ321" s="599"/>
      <c r="BA321" s="599"/>
      <c r="BB321" s="598"/>
    </row>
    <row r="322" spans="2:54" ht="11.25" customHeight="1">
      <c r="B322" s="1315" t="s">
        <v>669</v>
      </c>
      <c r="C322" s="1316"/>
      <c r="D322" s="501" t="s">
        <v>3336</v>
      </c>
      <c r="E322" s="501"/>
      <c r="F322" s="501" t="s">
        <v>301</v>
      </c>
      <c r="G322" s="501" t="s">
        <v>302</v>
      </c>
      <c r="H322" s="629">
        <f>9212.506-6859.404</f>
        <v>2353.101999999999</v>
      </c>
      <c r="I322" s="505" t="s">
        <v>240</v>
      </c>
      <c r="J322" s="504">
        <v>45221.954861111109</v>
      </c>
      <c r="K322" s="504"/>
      <c r="L322" s="504" t="s">
        <v>192</v>
      </c>
      <c r="M322" s="504" t="s">
        <v>192</v>
      </c>
      <c r="N322" s="505" t="str">
        <f t="shared" si="25"/>
        <v>DELAY ( 1 day 12 hour 25 minute )</v>
      </c>
      <c r="O322" s="597"/>
      <c r="P322" s="507" t="s">
        <v>551</v>
      </c>
      <c r="Q322" s="507" t="s">
        <v>551</v>
      </c>
      <c r="R322" s="507" t="s">
        <v>551</v>
      </c>
      <c r="S322" s="598"/>
      <c r="T322" s="599"/>
      <c r="U322" s="599"/>
      <c r="V322" s="599"/>
      <c r="W322" s="599"/>
      <c r="X322" s="599"/>
      <c r="Y322" s="599"/>
      <c r="Z322" s="599"/>
      <c r="AA322" s="599"/>
      <c r="AB322" s="599"/>
      <c r="AC322" s="599">
        <f>H322</f>
        <v>2353.101999999999</v>
      </c>
      <c r="AD322" s="599"/>
      <c r="AE322" s="599"/>
      <c r="AF322" s="599"/>
      <c r="AG322" s="599"/>
      <c r="AH322" s="599"/>
      <c r="AI322" s="599"/>
      <c r="AJ322" s="599"/>
      <c r="AK322" s="599"/>
      <c r="AL322" s="599"/>
      <c r="AM322" s="599"/>
      <c r="AN322" s="599"/>
      <c r="AO322" s="599"/>
      <c r="AP322" s="599"/>
      <c r="AQ322" s="599"/>
      <c r="AR322" s="599"/>
      <c r="AS322" s="599"/>
      <c r="AT322" s="599"/>
      <c r="AU322" s="599"/>
      <c r="AV322" s="599"/>
      <c r="AW322" s="599"/>
      <c r="AX322" s="599"/>
      <c r="AY322" s="599"/>
      <c r="AZ322" s="599"/>
      <c r="BA322" s="599"/>
      <c r="BB322" s="598"/>
    </row>
    <row r="323" spans="2:54" ht="11.25" customHeight="1">
      <c r="B323" s="1351" t="s">
        <v>626</v>
      </c>
      <c r="C323" s="1352"/>
      <c r="D323" s="1352"/>
      <c r="E323" s="1352"/>
      <c r="F323" s="1352"/>
      <c r="G323" s="1353"/>
      <c r="H323" s="702">
        <f>H304+H308+H306+H316+H313+H322+H319</f>
        <v>51911.996999999996</v>
      </c>
      <c r="I323" s="707"/>
      <c r="J323" s="708"/>
      <c r="K323" s="708"/>
      <c r="L323" s="708"/>
      <c r="M323" s="709"/>
      <c r="N323" s="505" t="str">
        <f t="shared" si="25"/>
        <v xml:space="preserve"> </v>
      </c>
      <c r="O323" s="552"/>
      <c r="P323" s="706"/>
      <c r="Q323" s="706"/>
      <c r="R323" s="706"/>
      <c r="S323" s="598"/>
      <c r="T323" s="1423"/>
      <c r="U323" s="1423"/>
      <c r="V323" s="1423"/>
      <c r="W323" s="1423"/>
      <c r="X323" s="1423"/>
      <c r="Y323" s="1423"/>
      <c r="Z323" s="1423"/>
      <c r="AA323" s="1423"/>
      <c r="AB323" s="1423"/>
      <c r="AC323" s="1423"/>
      <c r="AD323" s="1423"/>
      <c r="AE323" s="1423"/>
      <c r="AF323" s="1423"/>
      <c r="AG323" s="1423"/>
      <c r="AH323" s="1423"/>
      <c r="AI323" s="1423"/>
      <c r="AJ323" s="1423"/>
      <c r="AK323" s="1423"/>
      <c r="AL323" s="1423"/>
      <c r="AM323" s="1423"/>
      <c r="AN323" s="1423"/>
      <c r="AO323" s="1423"/>
      <c r="AP323" s="1423"/>
      <c r="AQ323" s="1423"/>
      <c r="AR323" s="1423"/>
      <c r="AS323" s="1423"/>
      <c r="AT323" s="1423"/>
      <c r="AU323" s="1423"/>
      <c r="AV323" s="1423"/>
      <c r="AW323" s="1423"/>
      <c r="AX323" s="1423"/>
      <c r="AY323" s="1423"/>
      <c r="AZ323" s="1423"/>
      <c r="BA323" s="1423"/>
      <c r="BB323" s="554"/>
    </row>
    <row r="324" spans="2:54" ht="11.25" customHeight="1">
      <c r="B324" s="1351" t="s">
        <v>556</v>
      </c>
      <c r="C324" s="1352"/>
      <c r="D324" s="1352"/>
      <c r="E324" s="1352"/>
      <c r="F324" s="1352"/>
      <c r="G324" s="1353"/>
      <c r="H324" s="702">
        <f>H303+H312+H323</f>
        <v>67000</v>
      </c>
      <c r="I324" s="587"/>
      <c r="J324" s="588"/>
      <c r="K324" s="588"/>
      <c r="L324" s="588"/>
      <c r="M324" s="589"/>
      <c r="N324" s="505" t="str">
        <f t="shared" si="25"/>
        <v xml:space="preserve"> </v>
      </c>
      <c r="O324" s="212"/>
      <c r="P324" s="590"/>
      <c r="Q324" s="590"/>
      <c r="R324" s="590"/>
      <c r="S324" s="633"/>
      <c r="T324" s="1307"/>
      <c r="U324" s="1308"/>
      <c r="V324" s="1308"/>
      <c r="W324" s="1308"/>
      <c r="X324" s="1308"/>
      <c r="Y324" s="1308"/>
      <c r="Z324" s="1308"/>
      <c r="AA324" s="1308"/>
      <c r="AB324" s="1308"/>
      <c r="AC324" s="1308"/>
      <c r="AD324" s="1308"/>
      <c r="AE324" s="1308"/>
      <c r="AF324" s="1308"/>
      <c r="AG324" s="1308"/>
      <c r="AH324" s="1308"/>
      <c r="AI324" s="1308"/>
      <c r="AJ324" s="1308"/>
      <c r="AK324" s="1308"/>
      <c r="AL324" s="1308"/>
      <c r="AM324" s="1308"/>
      <c r="AN324" s="1308"/>
      <c r="AO324" s="1308"/>
      <c r="AP324" s="1308"/>
      <c r="AQ324" s="1308"/>
      <c r="AR324" s="1308"/>
      <c r="AS324" s="1308"/>
      <c r="AT324" s="1308"/>
      <c r="AU324" s="1308"/>
      <c r="AV324" s="1308"/>
      <c r="AW324" s="1308"/>
      <c r="AX324" s="1308"/>
      <c r="AY324" s="1308"/>
      <c r="AZ324" s="1308"/>
      <c r="BA324" s="1308"/>
    </row>
    <row r="325" spans="2:54" ht="11.25" customHeight="1">
      <c r="B325" s="1415" t="s">
        <v>557</v>
      </c>
      <c r="C325" s="1416"/>
      <c r="D325" s="1416"/>
      <c r="E325" s="1416"/>
      <c r="F325" s="1416"/>
      <c r="G325" s="1417"/>
      <c r="H325" s="710">
        <v>67000</v>
      </c>
      <c r="I325" s="1449"/>
      <c r="J325" s="1450"/>
      <c r="K325" s="1450"/>
      <c r="L325" s="1450"/>
      <c r="M325" s="1451"/>
      <c r="N325" s="505" t="str">
        <f t="shared" si="25"/>
        <v xml:space="preserve"> </v>
      </c>
      <c r="O325" s="591"/>
      <c r="P325" s="415"/>
      <c r="Q325" s="415"/>
      <c r="R325" s="415"/>
      <c r="S325" s="740"/>
      <c r="T325" s="592">
        <f t="shared" ref="T325:BA325" si="26">SUM(T302:T322)</f>
        <v>0</v>
      </c>
      <c r="U325" s="592">
        <f t="shared" si="26"/>
        <v>0</v>
      </c>
      <c r="V325" s="592">
        <f t="shared" si="26"/>
        <v>0</v>
      </c>
      <c r="W325" s="592">
        <f t="shared" si="26"/>
        <v>0</v>
      </c>
      <c r="X325" s="592">
        <f t="shared" si="26"/>
        <v>0</v>
      </c>
      <c r="Y325" s="592">
        <f t="shared" si="26"/>
        <v>0</v>
      </c>
      <c r="Z325" s="592">
        <f t="shared" si="26"/>
        <v>0</v>
      </c>
      <c r="AA325" s="592">
        <f t="shared" si="26"/>
        <v>0</v>
      </c>
      <c r="AB325" s="592">
        <f t="shared" si="26"/>
        <v>0</v>
      </c>
      <c r="AC325" s="592">
        <f t="shared" si="26"/>
        <v>51911.997000000003</v>
      </c>
      <c r="AD325" s="592">
        <f t="shared" si="26"/>
        <v>0</v>
      </c>
      <c r="AE325" s="592">
        <f t="shared" si="26"/>
        <v>0</v>
      </c>
      <c r="AF325" s="592">
        <f t="shared" si="26"/>
        <v>0</v>
      </c>
      <c r="AG325" s="592">
        <f t="shared" si="26"/>
        <v>0</v>
      </c>
      <c r="AH325" s="592">
        <f t="shared" si="26"/>
        <v>0</v>
      </c>
      <c r="AI325" s="592">
        <f t="shared" si="26"/>
        <v>0</v>
      </c>
      <c r="AJ325" s="592">
        <f t="shared" si="26"/>
        <v>0</v>
      </c>
      <c r="AK325" s="592">
        <f t="shared" si="26"/>
        <v>0</v>
      </c>
      <c r="AL325" s="592">
        <f t="shared" si="26"/>
        <v>0</v>
      </c>
      <c r="AM325" s="592">
        <f t="shared" si="26"/>
        <v>0</v>
      </c>
      <c r="AN325" s="592">
        <f t="shared" si="26"/>
        <v>0</v>
      </c>
      <c r="AO325" s="592">
        <f t="shared" si="26"/>
        <v>0</v>
      </c>
      <c r="AP325" s="592">
        <f t="shared" si="26"/>
        <v>7543</v>
      </c>
      <c r="AQ325" s="592">
        <f t="shared" si="26"/>
        <v>0</v>
      </c>
      <c r="AR325" s="592">
        <f t="shared" si="26"/>
        <v>0</v>
      </c>
      <c r="AS325" s="592">
        <f t="shared" si="26"/>
        <v>0</v>
      </c>
      <c r="AT325" s="592">
        <f t="shared" si="26"/>
        <v>0</v>
      </c>
      <c r="AU325" s="592">
        <f t="shared" si="26"/>
        <v>0</v>
      </c>
      <c r="AV325" s="592">
        <f t="shared" si="26"/>
        <v>0</v>
      </c>
      <c r="AW325" s="592">
        <f t="shared" si="26"/>
        <v>0</v>
      </c>
      <c r="AX325" s="592">
        <f t="shared" si="26"/>
        <v>0</v>
      </c>
      <c r="AY325" s="592">
        <f t="shared" si="26"/>
        <v>7545.0029999999997</v>
      </c>
      <c r="AZ325" s="592">
        <f t="shared" si="26"/>
        <v>0</v>
      </c>
      <c r="BA325" s="592">
        <f t="shared" si="26"/>
        <v>0</v>
      </c>
      <c r="BB325" s="592">
        <f>SUM(T325:BA325)</f>
        <v>67000</v>
      </c>
    </row>
    <row r="326" spans="2:54" ht="11.25" customHeight="1">
      <c r="B326" s="1415" t="s">
        <v>558</v>
      </c>
      <c r="C326" s="1416"/>
      <c r="D326" s="1416"/>
      <c r="E326" s="1416"/>
      <c r="F326" s="1416"/>
      <c r="G326" s="1417"/>
      <c r="H326" s="712">
        <f>H325-L296</f>
        <v>0</v>
      </c>
      <c r="I326" s="742"/>
      <c r="J326" s="743"/>
      <c r="K326" s="743"/>
      <c r="L326" s="671"/>
      <c r="M326" s="633"/>
      <c r="N326" s="591"/>
      <c r="O326" s="591"/>
      <c r="P326" s="591"/>
      <c r="Q326" s="744"/>
      <c r="R326" s="744"/>
      <c r="S326" s="591"/>
      <c r="T326" s="645"/>
      <c r="U326" s="645"/>
      <c r="V326" s="645"/>
      <c r="W326" s="645"/>
      <c r="X326" s="645"/>
      <c r="Y326" s="645"/>
      <c r="Z326" s="645"/>
      <c r="AA326" s="645"/>
      <c r="AB326" s="645"/>
      <c r="AC326" s="591"/>
      <c r="AD326" s="591"/>
      <c r="AE326" s="591"/>
      <c r="AF326" s="591"/>
      <c r="AG326" s="591"/>
      <c r="AH326" s="591"/>
      <c r="AI326" s="591"/>
      <c r="AJ326" s="591"/>
      <c r="AK326" s="591"/>
      <c r="AL326" s="591"/>
      <c r="AM326" s="591"/>
      <c r="AN326" s="591"/>
      <c r="AO326" s="591"/>
      <c r="AP326" s="591"/>
      <c r="AQ326" s="591"/>
      <c r="AR326" s="591"/>
    </row>
    <row r="327" spans="2:54" ht="11.25" customHeight="1">
      <c r="B327" s="1415" t="s">
        <v>559</v>
      </c>
      <c r="C327" s="1416"/>
      <c r="D327" s="1416"/>
      <c r="E327" s="1416"/>
      <c r="F327" s="1416"/>
      <c r="G327" s="1417"/>
      <c r="H327" s="747">
        <v>6506.1390000000001</v>
      </c>
      <c r="I327" s="745"/>
      <c r="J327" s="746"/>
      <c r="K327" s="746"/>
      <c r="L327" s="674"/>
      <c r="M327" s="633"/>
      <c r="N327" s="613"/>
      <c r="O327" s="591"/>
      <c r="P327" s="591"/>
      <c r="Q327" s="591"/>
      <c r="R327" s="591"/>
      <c r="S327" s="591"/>
      <c r="T327" s="645"/>
      <c r="U327" s="645"/>
      <c r="V327" s="645"/>
      <c r="W327" s="645"/>
      <c r="X327" s="645"/>
      <c r="Y327" s="645"/>
      <c r="Z327" s="645"/>
      <c r="AA327" s="645"/>
      <c r="AB327" s="645"/>
      <c r="AC327" s="591"/>
      <c r="AD327" s="591"/>
      <c r="AE327" s="591"/>
      <c r="AF327" s="591"/>
      <c r="AG327" s="591"/>
      <c r="AH327" s="591"/>
      <c r="AI327" s="591"/>
      <c r="AJ327" s="591"/>
      <c r="AK327" s="591"/>
      <c r="AL327" s="591"/>
      <c r="AM327" s="591"/>
      <c r="AN327" s="591"/>
      <c r="AO327" s="591"/>
      <c r="AP327" s="591"/>
      <c r="AQ327" s="591"/>
      <c r="AR327" s="591"/>
    </row>
    <row r="328" spans="2:54" s="496" customFormat="1" ht="11.25" customHeight="1">
      <c r="B328" s="1415" t="s">
        <v>560</v>
      </c>
      <c r="C328" s="1416"/>
      <c r="D328" s="1416"/>
      <c r="E328" s="1416"/>
      <c r="F328" s="1416"/>
      <c r="G328" s="1417"/>
      <c r="H328" s="741">
        <f>H327-6859.404</f>
        <v>-353.26500000000033</v>
      </c>
      <c r="I328" s="641"/>
      <c r="J328" s="642"/>
      <c r="K328" s="642"/>
      <c r="L328" s="499"/>
      <c r="M328" s="613"/>
      <c r="N328" s="613"/>
      <c r="O328" s="613"/>
      <c r="P328" s="613"/>
      <c r="Q328" s="613"/>
      <c r="R328" s="613"/>
      <c r="S328" s="616"/>
      <c r="T328" s="616"/>
      <c r="U328" s="616"/>
      <c r="V328" s="616"/>
      <c r="W328" s="616"/>
      <c r="X328" s="616"/>
      <c r="Y328" s="616"/>
      <c r="Z328" s="616"/>
      <c r="AA328" s="616"/>
      <c r="AB328" s="613"/>
      <c r="AC328" s="613"/>
      <c r="AD328" s="613"/>
      <c r="AE328" s="613"/>
      <c r="AF328" s="613"/>
      <c r="AG328" s="613"/>
      <c r="AH328" s="613"/>
      <c r="AI328" s="613"/>
      <c r="AJ328" s="613"/>
      <c r="AK328" s="613"/>
      <c r="AL328" s="613"/>
      <c r="AM328" s="613"/>
      <c r="AN328" s="613"/>
      <c r="AO328" s="613"/>
      <c r="AP328" s="613"/>
      <c r="AQ328" s="613"/>
    </row>
    <row r="329" spans="2:54" ht="11.25" customHeight="1">
      <c r="B329" s="613"/>
      <c r="C329" s="613"/>
      <c r="D329" s="613"/>
      <c r="E329" s="613"/>
      <c r="F329" s="613"/>
      <c r="G329" s="613"/>
      <c r="H329" s="613"/>
      <c r="I329" s="643"/>
      <c r="J329" s="641"/>
      <c r="K329" s="641"/>
      <c r="L329" s="644"/>
      <c r="M329" s="613"/>
      <c r="N329" s="613"/>
      <c r="O329" s="641"/>
      <c r="P329" s="591"/>
      <c r="Q329" s="591"/>
      <c r="R329" s="591"/>
      <c r="S329" s="591"/>
      <c r="T329" s="645"/>
      <c r="U329" s="645"/>
      <c r="V329" s="645"/>
      <c r="W329" s="645"/>
      <c r="X329" s="645"/>
      <c r="Y329" s="645"/>
      <c r="Z329" s="645"/>
      <c r="AA329" s="645"/>
      <c r="AB329" s="645"/>
      <c r="AC329" s="591"/>
      <c r="AD329" s="591"/>
      <c r="AE329" s="591"/>
      <c r="AF329" s="591"/>
      <c r="AG329" s="591"/>
      <c r="AH329" s="591"/>
      <c r="AI329" s="591"/>
      <c r="AJ329" s="591"/>
      <c r="AK329" s="591"/>
      <c r="AL329" s="591"/>
      <c r="AM329" s="591"/>
      <c r="AN329" s="591"/>
      <c r="AO329" s="591"/>
      <c r="AP329" s="591"/>
      <c r="AQ329" s="591"/>
      <c r="AR329" s="591"/>
    </row>
    <row r="330" spans="2:54" ht="11.25" customHeight="1">
      <c r="B330" s="619" t="s">
        <v>561</v>
      </c>
      <c r="C330" s="619"/>
      <c r="D330" s="591"/>
      <c r="E330" s="591"/>
      <c r="F330" s="591"/>
      <c r="G330" s="591"/>
      <c r="H330" s="591"/>
      <c r="I330" s="591"/>
      <c r="J330" s="646"/>
      <c r="K330" s="646"/>
      <c r="L330" s="647"/>
      <c r="M330" s="591"/>
      <c r="N330" s="613"/>
      <c r="O330" s="646"/>
      <c r="P330" s="616"/>
      <c r="Q330" s="616"/>
      <c r="R330" s="616"/>
      <c r="S330" s="616"/>
      <c r="T330" s="616"/>
      <c r="U330" s="616"/>
      <c r="V330" s="616"/>
      <c r="W330" s="616"/>
      <c r="X330" s="616"/>
      <c r="Y330" s="616"/>
      <c r="Z330" s="616"/>
      <c r="AA330" s="616"/>
      <c r="AB330" s="613"/>
      <c r="AC330" s="613"/>
      <c r="AD330" s="613"/>
      <c r="AE330" s="613"/>
      <c r="AF330" s="613"/>
      <c r="AG330" s="613"/>
      <c r="AH330" s="613"/>
      <c r="AI330" s="613"/>
      <c r="AJ330" s="613"/>
      <c r="AK330" s="613"/>
      <c r="AL330" s="613"/>
      <c r="AM330" s="613"/>
      <c r="AN330" s="613"/>
      <c r="AO330" s="613"/>
      <c r="AP330" s="613"/>
      <c r="AQ330" s="613"/>
      <c r="AR330" s="613"/>
      <c r="AS330" s="613"/>
      <c r="AT330" s="613"/>
      <c r="AU330" s="613"/>
      <c r="BB330" s="613"/>
    </row>
    <row r="331" spans="2:54" ht="11.25" customHeight="1">
      <c r="B331" s="422">
        <v>1</v>
      </c>
      <c r="C331" s="1249" t="s">
        <v>3712</v>
      </c>
      <c r="D331" s="1249"/>
      <c r="E331" s="1249"/>
      <c r="F331" s="1249"/>
      <c r="G331" s="1249"/>
      <c r="H331" s="1249"/>
      <c r="I331" s="1249"/>
      <c r="J331" s="1249"/>
      <c r="K331" s="1249"/>
      <c r="L331" s="644"/>
      <c r="M331" s="644"/>
      <c r="N331" s="613"/>
      <c r="O331" s="641"/>
      <c r="P331" s="616"/>
      <c r="Q331" s="616"/>
      <c r="R331" s="616"/>
      <c r="S331" s="616"/>
      <c r="T331" s="616"/>
      <c r="U331" s="616"/>
      <c r="V331" s="616"/>
      <c r="W331" s="616"/>
      <c r="X331" s="616"/>
      <c r="Y331" s="616"/>
      <c r="Z331" s="616"/>
      <c r="AA331" s="616"/>
      <c r="AB331" s="613"/>
      <c r="AC331" s="613"/>
      <c r="AD331" s="613"/>
      <c r="AE331" s="613"/>
      <c r="AF331" s="613"/>
      <c r="AG331" s="613"/>
      <c r="AH331" s="613"/>
      <c r="AI331" s="613"/>
      <c r="AJ331" s="613"/>
      <c r="AK331" s="613"/>
      <c r="AL331" s="613"/>
      <c r="AM331" s="613"/>
      <c r="AN331" s="613"/>
      <c r="AO331" s="613"/>
      <c r="AP331" s="613"/>
      <c r="AQ331" s="613"/>
      <c r="AR331" s="613"/>
      <c r="AS331" s="613"/>
      <c r="AT331" s="613"/>
      <c r="AU331" s="613"/>
      <c r="AV331" s="613"/>
      <c r="AW331" s="613"/>
      <c r="AX331" s="613"/>
      <c r="AY331" s="613"/>
      <c r="AZ331" s="613"/>
      <c r="BA331" s="613"/>
      <c r="BB331" s="613"/>
    </row>
    <row r="333" spans="2:54">
      <c r="B333" s="28" t="s">
        <v>126</v>
      </c>
      <c r="C333" s="28"/>
      <c r="D333" s="29"/>
      <c r="E333" s="30" t="s">
        <v>511</v>
      </c>
      <c r="F333" s="31" t="s">
        <v>3113</v>
      </c>
      <c r="G333" s="32"/>
      <c r="H333" s="33"/>
      <c r="I333" s="34"/>
      <c r="J333" s="35" t="s">
        <v>513</v>
      </c>
      <c r="K333" s="36" t="s">
        <v>511</v>
      </c>
      <c r="L333" s="516">
        <v>45226.208333333336</v>
      </c>
      <c r="M333" s="32"/>
      <c r="N333" s="32"/>
      <c r="O333" s="206"/>
      <c r="P333" s="205"/>
      <c r="Q333" s="202"/>
      <c r="R333" s="204"/>
      <c r="S333" s="38"/>
      <c r="T333" s="201"/>
      <c r="U333" s="201"/>
      <c r="V333" s="201"/>
      <c r="W333" s="201"/>
      <c r="X333" s="201"/>
      <c r="Y333" s="201"/>
      <c r="Z333" s="201"/>
      <c r="AA333" s="201"/>
      <c r="AB333" s="202"/>
      <c r="AC333" s="202"/>
      <c r="AD333" s="202"/>
      <c r="AE333" s="202"/>
      <c r="AF333" s="202"/>
      <c r="AG333" s="201"/>
      <c r="AH333" s="201"/>
      <c r="AI333" s="201"/>
      <c r="AJ333" s="201"/>
      <c r="AK333" s="201"/>
      <c r="AL333" s="201"/>
      <c r="AM333" s="201"/>
      <c r="AN333" s="201"/>
      <c r="AO333" s="201"/>
      <c r="AP333" s="201"/>
      <c r="AQ333" s="201"/>
      <c r="AR333" s="201"/>
      <c r="AS333" s="201"/>
      <c r="AT333" s="201"/>
      <c r="AU333" s="201"/>
      <c r="AV333" s="201"/>
      <c r="AW333" s="201"/>
      <c r="AX333" s="201"/>
      <c r="AY333" s="201"/>
      <c r="AZ333" s="201"/>
      <c r="BA333" s="201"/>
      <c r="BB333" s="201"/>
    </row>
    <row r="334" spans="2:54">
      <c r="B334" s="35" t="s">
        <v>514</v>
      </c>
      <c r="C334" s="35"/>
      <c r="D334" s="32"/>
      <c r="E334" s="36" t="s">
        <v>511</v>
      </c>
      <c r="F334" s="311" t="s">
        <v>3713</v>
      </c>
      <c r="G334" s="59" t="s">
        <v>647</v>
      </c>
      <c r="H334" s="33"/>
      <c r="I334" s="34"/>
      <c r="J334" s="35" t="s">
        <v>516</v>
      </c>
      <c r="K334" s="36" t="s">
        <v>511</v>
      </c>
      <c r="L334" s="516">
        <v>45227.934027777781</v>
      </c>
      <c r="M334" s="32"/>
      <c r="N334" s="32"/>
      <c r="O334" s="206"/>
      <c r="P334" s="205"/>
      <c r="Q334" s="202"/>
      <c r="R334" s="204"/>
      <c r="S334" s="38"/>
      <c r="T334" s="201"/>
      <c r="U334" s="201"/>
      <c r="V334" s="201"/>
      <c r="W334" s="201"/>
      <c r="X334" s="201"/>
      <c r="Y334" s="201"/>
      <c r="Z334" s="201"/>
      <c r="AA334" s="201"/>
      <c r="AB334" s="202"/>
      <c r="AC334" s="202"/>
      <c r="AD334" s="202"/>
      <c r="AE334" s="202"/>
      <c r="AF334" s="202"/>
      <c r="AG334" s="201"/>
      <c r="AH334" s="201"/>
      <c r="AI334" s="201"/>
      <c r="AJ334" s="201"/>
      <c r="AK334" s="201"/>
      <c r="AL334" s="201"/>
      <c r="AM334" s="201"/>
      <c r="AN334" s="201"/>
      <c r="AO334" s="201"/>
      <c r="AP334" s="201"/>
      <c r="AQ334" s="201"/>
      <c r="AR334" s="201"/>
      <c r="AS334" s="201"/>
      <c r="AT334" s="201"/>
      <c r="AU334" s="201"/>
      <c r="AV334" s="201"/>
      <c r="AW334" s="201"/>
      <c r="AX334" s="201"/>
      <c r="AY334" s="201"/>
      <c r="AZ334" s="201"/>
      <c r="BA334" s="201"/>
      <c r="BB334" s="201"/>
    </row>
    <row r="335" spans="2:54">
      <c r="B335" s="35" t="s">
        <v>517</v>
      </c>
      <c r="C335" s="35"/>
      <c r="D335" s="32"/>
      <c r="E335" s="36" t="s">
        <v>511</v>
      </c>
      <c r="F335" s="516">
        <v>45218.020833333336</v>
      </c>
      <c r="G335" s="769">
        <v>45219</v>
      </c>
      <c r="H335" s="33"/>
      <c r="I335" s="34"/>
      <c r="J335" s="35" t="s">
        <v>518</v>
      </c>
      <c r="K335" s="36" t="s">
        <v>511</v>
      </c>
      <c r="L335" s="544">
        <v>55000</v>
      </c>
      <c r="M335" s="40" t="s">
        <v>519</v>
      </c>
      <c r="N335" s="40"/>
      <c r="O335" s="206"/>
      <c r="P335" s="205"/>
      <c r="Q335" s="202"/>
      <c r="R335" s="204"/>
      <c r="S335" s="38"/>
      <c r="T335" s="201"/>
      <c r="U335" s="201"/>
      <c r="V335" s="201"/>
      <c r="W335" s="201"/>
      <c r="X335" s="201"/>
      <c r="Y335" s="201"/>
      <c r="Z335" s="201"/>
      <c r="AA335" s="201"/>
      <c r="AB335" s="202"/>
      <c r="AC335" s="202"/>
      <c r="AD335" s="202"/>
      <c r="AE335" s="202"/>
      <c r="AF335" s="202"/>
      <c r="AG335" s="201"/>
      <c r="AH335" s="201"/>
      <c r="AI335" s="201"/>
      <c r="AJ335" s="201"/>
      <c r="AK335" s="201"/>
      <c r="AL335" s="20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201"/>
    </row>
    <row r="336" spans="2:54">
      <c r="B336" s="35" t="s">
        <v>520</v>
      </c>
      <c r="C336" s="35"/>
      <c r="D336" s="32"/>
      <c r="E336" s="36" t="s">
        <v>511</v>
      </c>
      <c r="F336" s="37" t="s">
        <v>12</v>
      </c>
      <c r="G336" s="32"/>
      <c r="H336" s="33"/>
      <c r="I336" s="34"/>
      <c r="J336" s="35" t="s">
        <v>521</v>
      </c>
      <c r="K336" s="36" t="s">
        <v>511</v>
      </c>
      <c r="L336" s="50" t="s">
        <v>3114</v>
      </c>
      <c r="M336" s="32"/>
      <c r="N336" s="32"/>
      <c r="O336" s="206"/>
      <c r="P336" s="202"/>
      <c r="Q336" s="202"/>
      <c r="R336" s="204"/>
      <c r="S336" s="38"/>
      <c r="T336" s="201"/>
      <c r="U336" s="201"/>
      <c r="V336" s="201"/>
      <c r="W336" s="201"/>
      <c r="X336" s="201"/>
      <c r="Y336" s="201"/>
      <c r="Z336" s="201"/>
      <c r="AA336" s="201"/>
      <c r="AB336" s="202"/>
      <c r="AC336" s="202"/>
      <c r="AD336" s="202"/>
      <c r="AE336" s="202"/>
      <c r="AF336" s="202"/>
      <c r="AG336" s="201"/>
      <c r="AH336" s="201"/>
      <c r="AI336" s="201"/>
      <c r="AJ336" s="201"/>
      <c r="AK336" s="201"/>
      <c r="AL336" s="201"/>
      <c r="AM336" s="201"/>
      <c r="AN336" s="201"/>
      <c r="AO336" s="201"/>
      <c r="AP336" s="201"/>
      <c r="AQ336" s="201"/>
      <c r="AR336" s="201"/>
      <c r="AS336" s="201"/>
      <c r="AT336" s="201"/>
      <c r="AU336" s="201"/>
      <c r="AV336" s="201"/>
      <c r="AW336" s="201"/>
      <c r="AX336" s="201"/>
      <c r="AY336" s="201"/>
      <c r="AZ336" s="201"/>
      <c r="BA336" s="201"/>
      <c r="BB336" s="201"/>
    </row>
    <row r="337" spans="2:54">
      <c r="B337" s="35" t="s">
        <v>523</v>
      </c>
      <c r="C337" s="35"/>
      <c r="D337" s="32"/>
      <c r="E337" s="36" t="s">
        <v>511</v>
      </c>
      <c r="F337" s="37" t="s">
        <v>37</v>
      </c>
      <c r="G337" s="32"/>
      <c r="H337" s="33"/>
      <c r="I337" s="34"/>
      <c r="J337" s="42" t="s">
        <v>524</v>
      </c>
      <c r="K337" s="36" t="s">
        <v>511</v>
      </c>
      <c r="L337" s="43" t="s">
        <v>15</v>
      </c>
      <c r="M337" s="44"/>
      <c r="N337" s="44"/>
      <c r="O337" s="206"/>
      <c r="P337" s="205"/>
      <c r="Q337" s="202"/>
      <c r="R337" s="204"/>
      <c r="S337" s="38"/>
      <c r="T337" s="201"/>
      <c r="U337" s="201"/>
      <c r="V337" s="201"/>
      <c r="W337" s="201"/>
      <c r="X337" s="201"/>
      <c r="Y337" s="201"/>
      <c r="Z337" s="201"/>
      <c r="AA337" s="201"/>
      <c r="AB337" s="202"/>
      <c r="AC337" s="202"/>
      <c r="AD337" s="202"/>
      <c r="AE337" s="202"/>
      <c r="AF337" s="202"/>
      <c r="AG337" s="201"/>
      <c r="AH337" s="201"/>
      <c r="AI337" s="201"/>
      <c r="AJ337" s="201"/>
      <c r="AK337" s="201"/>
      <c r="AL337" s="201"/>
      <c r="AM337" s="201"/>
      <c r="AN337" s="201"/>
      <c r="AO337" s="201"/>
      <c r="AP337" s="201"/>
      <c r="AQ337" s="201"/>
      <c r="AR337" s="201"/>
      <c r="AS337" s="201"/>
      <c r="AT337" s="201"/>
      <c r="AU337" s="201"/>
      <c r="AV337" s="201"/>
      <c r="AW337" s="201"/>
      <c r="AX337" s="201"/>
      <c r="AY337" s="201"/>
      <c r="AZ337" s="201"/>
      <c r="BA337" s="201"/>
      <c r="BB337" s="201"/>
    </row>
    <row r="338" spans="2:54">
      <c r="B338" s="35" t="s">
        <v>2</v>
      </c>
      <c r="C338" s="35"/>
      <c r="D338" s="32"/>
      <c r="E338" s="36" t="s">
        <v>511</v>
      </c>
      <c r="F338" s="37" t="s">
        <v>42</v>
      </c>
      <c r="G338" s="32"/>
      <c r="H338" s="33"/>
      <c r="I338" s="45"/>
      <c r="J338" s="42"/>
      <c r="K338" s="36"/>
      <c r="L338" s="211"/>
      <c r="M338" s="201"/>
      <c r="N338" s="201"/>
      <c r="O338" s="42"/>
      <c r="P338" s="44"/>
      <c r="Q338" s="44"/>
      <c r="R338" s="44"/>
      <c r="S338" s="34"/>
      <c r="T338" s="201"/>
      <c r="U338" s="201"/>
      <c r="V338" s="201"/>
      <c r="W338" s="201"/>
      <c r="X338" s="201"/>
      <c r="Y338" s="201"/>
      <c r="Z338" s="201"/>
      <c r="AA338" s="201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201"/>
      <c r="AP338" s="201"/>
      <c r="AQ338" s="201"/>
      <c r="AR338" s="201"/>
      <c r="AS338" s="201"/>
      <c r="AT338" s="201"/>
      <c r="AU338" s="201"/>
      <c r="AV338" s="201"/>
      <c r="AW338" s="201"/>
      <c r="AX338" s="201"/>
      <c r="AY338" s="201"/>
      <c r="AZ338" s="201"/>
      <c r="BA338" s="201"/>
      <c r="BB338" s="201"/>
    </row>
    <row r="339" spans="2:54">
      <c r="B339" s="201"/>
      <c r="C339" s="201"/>
      <c r="D339" s="201"/>
      <c r="E339" s="201"/>
      <c r="F339" s="201"/>
      <c r="G339" s="201"/>
      <c r="H339" s="201"/>
      <c r="I339" s="45"/>
      <c r="J339" s="42"/>
      <c r="K339" s="42"/>
      <c r="L339" s="43"/>
      <c r="M339" s="44"/>
      <c r="N339" s="44"/>
      <c r="O339" s="42"/>
      <c r="P339" s="44"/>
      <c r="Q339" s="44"/>
      <c r="R339" s="44"/>
      <c r="S339" s="34"/>
      <c r="T339" s="1265" t="s">
        <v>87</v>
      </c>
      <c r="U339" s="1265"/>
      <c r="V339" s="1265"/>
      <c r="W339" s="1265"/>
      <c r="X339" s="1265"/>
      <c r="Y339" s="1265" t="s">
        <v>73</v>
      </c>
      <c r="Z339" s="1265"/>
      <c r="AA339" s="1265"/>
      <c r="AB339" s="1265" t="s">
        <v>74</v>
      </c>
      <c r="AC339" s="1265"/>
      <c r="AD339" s="423" t="s">
        <v>85</v>
      </c>
      <c r="AE339" s="423" t="s">
        <v>77</v>
      </c>
      <c r="AF339" s="1265" t="s">
        <v>525</v>
      </c>
      <c r="AG339" s="1265"/>
      <c r="AH339" s="1265"/>
      <c r="AI339" s="1265"/>
      <c r="AJ339" s="1265"/>
      <c r="AK339" s="1265"/>
      <c r="AL339" s="1265"/>
      <c r="AM339" s="1265"/>
      <c r="AN339" s="1265"/>
      <c r="AO339" s="1265"/>
      <c r="AP339" s="1265"/>
      <c r="AQ339" s="1265"/>
      <c r="AR339" s="1265"/>
      <c r="AS339" s="1265"/>
      <c r="AT339" s="1265"/>
      <c r="AU339" s="1265"/>
      <c r="AV339" s="1265"/>
      <c r="AW339" s="1265"/>
      <c r="AX339" s="1265"/>
      <c r="AY339" s="1265"/>
      <c r="AZ339" s="1265"/>
      <c r="BA339" s="1265"/>
      <c r="BB339" s="201"/>
    </row>
    <row r="340" spans="2:54">
      <c r="B340" s="1266" t="s">
        <v>526</v>
      </c>
      <c r="C340" s="1267"/>
      <c r="D340" s="570" t="s">
        <v>527</v>
      </c>
      <c r="E340" s="570"/>
      <c r="F340" s="570" t="s">
        <v>528</v>
      </c>
      <c r="G340" s="570" t="s">
        <v>529</v>
      </c>
      <c r="H340" s="570" t="s">
        <v>530</v>
      </c>
      <c r="I340" s="570" t="s">
        <v>531</v>
      </c>
      <c r="J340" s="570" t="s">
        <v>532</v>
      </c>
      <c r="K340" s="570"/>
      <c r="L340" s="570" t="s">
        <v>130</v>
      </c>
      <c r="M340" s="570" t="s">
        <v>533</v>
      </c>
      <c r="N340" s="625" t="str">
        <f>"On time - "&amp;COUNTIF(N341:N353,"On time")&amp;" from "&amp;ROWS(N341:N353)-COUNTIF(N341:N353," ")</f>
        <v>On time - 0 from 9</v>
      </c>
      <c r="O340" s="46"/>
      <c r="P340" s="409" t="s">
        <v>534</v>
      </c>
      <c r="Q340" s="409" t="s">
        <v>535</v>
      </c>
      <c r="R340" s="409" t="s">
        <v>536</v>
      </c>
      <c r="S340" s="32"/>
      <c r="T340" s="424" t="s">
        <v>537</v>
      </c>
      <c r="U340" s="424" t="s">
        <v>538</v>
      </c>
      <c r="V340" s="424" t="s">
        <v>539</v>
      </c>
      <c r="W340" s="424" t="s">
        <v>540</v>
      </c>
      <c r="X340" s="424" t="s">
        <v>541</v>
      </c>
      <c r="Y340" s="424" t="s">
        <v>167</v>
      </c>
      <c r="Z340" s="424" t="s">
        <v>168</v>
      </c>
      <c r="AA340" s="424" t="s">
        <v>169</v>
      </c>
      <c r="AB340" s="424" t="s">
        <v>235</v>
      </c>
      <c r="AC340" s="424" t="s">
        <v>240</v>
      </c>
      <c r="AD340" s="423" t="s">
        <v>85</v>
      </c>
      <c r="AE340" s="424" t="s">
        <v>139</v>
      </c>
      <c r="AF340" s="424" t="s">
        <v>72</v>
      </c>
      <c r="AG340" s="424" t="s">
        <v>88</v>
      </c>
      <c r="AH340" s="424" t="s">
        <v>75</v>
      </c>
      <c r="AI340" s="424" t="s">
        <v>543</v>
      </c>
      <c r="AJ340" s="424" t="s">
        <v>78</v>
      </c>
      <c r="AK340" s="424" t="s">
        <v>76</v>
      </c>
      <c r="AL340" s="424" t="s">
        <v>544</v>
      </c>
      <c r="AM340" s="424" t="s">
        <v>545</v>
      </c>
      <c r="AN340" s="424" t="s">
        <v>86</v>
      </c>
      <c r="AO340" s="424" t="s">
        <v>83</v>
      </c>
      <c r="AP340" s="424" t="s">
        <v>84</v>
      </c>
      <c r="AQ340" s="424" t="s">
        <v>546</v>
      </c>
      <c r="AR340" s="424" t="s">
        <v>81</v>
      </c>
      <c r="AS340" s="424" t="s">
        <v>80</v>
      </c>
      <c r="AT340" s="424" t="s">
        <v>82</v>
      </c>
      <c r="AU340" s="424" t="s">
        <v>181</v>
      </c>
      <c r="AV340" s="424" t="s">
        <v>183</v>
      </c>
      <c r="AW340" s="424" t="s">
        <v>547</v>
      </c>
      <c r="AX340" s="424" t="s">
        <v>182</v>
      </c>
      <c r="AY340" s="424" t="s">
        <v>172</v>
      </c>
      <c r="AZ340" s="424" t="s">
        <v>173</v>
      </c>
      <c r="BA340" s="424" t="s">
        <v>184</v>
      </c>
      <c r="BB340" s="201"/>
    </row>
    <row r="341" spans="2:54">
      <c r="B341" s="1326" t="s">
        <v>872</v>
      </c>
      <c r="C341" s="1327"/>
      <c r="D341" s="501" t="s">
        <v>3464</v>
      </c>
      <c r="E341" s="501"/>
      <c r="F341" s="501" t="s">
        <v>1240</v>
      </c>
      <c r="G341" s="501" t="s">
        <v>1241</v>
      </c>
      <c r="H341" s="503">
        <v>2118.741</v>
      </c>
      <c r="I341" s="505" t="s">
        <v>494</v>
      </c>
      <c r="J341" s="504">
        <v>45221.972222222219</v>
      </c>
      <c r="K341" s="504"/>
      <c r="L341" s="504" t="s">
        <v>192</v>
      </c>
      <c r="M341" s="504" t="s">
        <v>192</v>
      </c>
      <c r="N341" s="505" t="str">
        <f>IF(ISBLANK(J341)," ",IF(J341&lt;$G$335,"On time",(IF(DAY(J341-$G$335)&lt;1,"On time",(IF(J341&gt;$G$335,"DELAY ( "&amp;DAY(J341-$G$335)&amp;" day "&amp;HOUR(J341-$G$335)&amp;" hour "&amp;MINUTE(J341-$G$335)&amp;" minute )","xxx"))))))</f>
        <v>DELAY ( 2 day 23 hour 20 minute )</v>
      </c>
      <c r="O341" s="506"/>
      <c r="P341" s="507" t="s">
        <v>551</v>
      </c>
      <c r="Q341" s="507" t="s">
        <v>551</v>
      </c>
      <c r="R341" s="507" t="s">
        <v>551</v>
      </c>
      <c r="S341" s="500"/>
      <c r="T341" s="508"/>
      <c r="U341" s="508"/>
      <c r="V341" s="508"/>
      <c r="W341" s="508"/>
      <c r="X341" s="508"/>
      <c r="Y341" s="508">
        <f>H341</f>
        <v>2118.741</v>
      </c>
      <c r="Z341" s="508"/>
      <c r="AA341" s="508"/>
      <c r="AB341" s="508"/>
      <c r="AC341" s="508"/>
      <c r="AD341" s="508"/>
      <c r="AE341" s="508"/>
      <c r="AF341" s="508"/>
      <c r="AG341" s="508"/>
      <c r="AH341" s="508"/>
      <c r="AI341" s="508"/>
      <c r="AJ341" s="508"/>
      <c r="AK341" s="508"/>
      <c r="AL341" s="508"/>
      <c r="AM341" s="508"/>
      <c r="AN341" s="508"/>
      <c r="AO341" s="508"/>
      <c r="AP341" s="508"/>
      <c r="AQ341" s="508"/>
      <c r="AR341" s="508"/>
      <c r="AS341" s="508"/>
      <c r="AT341" s="508"/>
      <c r="AU341" s="508"/>
      <c r="AV341" s="508"/>
      <c r="AW341" s="508"/>
      <c r="AX341" s="508"/>
      <c r="AY341" s="508"/>
      <c r="AZ341" s="508"/>
      <c r="BA341" s="508"/>
      <c r="BB341" s="500"/>
    </row>
    <row r="342" spans="2:54">
      <c r="B342" s="1328"/>
      <c r="C342" s="1329"/>
      <c r="D342" s="501" t="s">
        <v>3327</v>
      </c>
      <c r="E342" s="501"/>
      <c r="F342" s="501" t="s">
        <v>492</v>
      </c>
      <c r="G342" s="501" t="s">
        <v>493</v>
      </c>
      <c r="H342" s="503">
        <v>1326</v>
      </c>
      <c r="I342" s="505" t="s">
        <v>418</v>
      </c>
      <c r="J342" s="504">
        <v>45222.375</v>
      </c>
      <c r="K342" s="504"/>
      <c r="L342" s="504" t="s">
        <v>192</v>
      </c>
      <c r="M342" s="504" t="s">
        <v>192</v>
      </c>
      <c r="N342" s="505" t="str">
        <f t="shared" ref="N342:N353" si="27">IF(ISBLANK(J342)," ",IF(J342&lt;$G$335,"On time",(IF(DAY(J342-$G$335)&lt;1,"On time",(IF(J342&gt;$G$335,"DELAY ( "&amp;DAY(J342-$G$335)&amp;" day "&amp;HOUR(J342-$G$335)&amp;" hour "&amp;MINUTE(J342-$G$335)&amp;" minute )","xxx"))))))</f>
        <v>DELAY ( 3 day 9 hour 0 minute )</v>
      </c>
      <c r="O342" s="506"/>
      <c r="P342" s="507" t="s">
        <v>551</v>
      </c>
      <c r="Q342" s="507" t="s">
        <v>551</v>
      </c>
      <c r="R342" s="507" t="s">
        <v>551</v>
      </c>
      <c r="S342" s="500"/>
      <c r="T342" s="508"/>
      <c r="U342" s="508"/>
      <c r="V342" s="508"/>
      <c r="W342" s="508"/>
      <c r="X342" s="508"/>
      <c r="Y342" s="508"/>
      <c r="Z342" s="508"/>
      <c r="AA342" s="508"/>
      <c r="AB342" s="508">
        <f>(H342*0.6)</f>
        <v>795.6</v>
      </c>
      <c r="AC342" s="508">
        <f>(H342*0.4)</f>
        <v>530.4</v>
      </c>
      <c r="AD342" s="508"/>
      <c r="AE342" s="508"/>
      <c r="AF342" s="508"/>
      <c r="AG342" s="508"/>
      <c r="AH342" s="508"/>
      <c r="AI342" s="508"/>
      <c r="AJ342" s="508"/>
      <c r="AK342" s="508"/>
      <c r="AL342" s="508"/>
      <c r="AM342" s="508"/>
      <c r="AN342" s="508"/>
      <c r="AO342" s="508"/>
      <c r="AP342" s="508"/>
      <c r="AQ342" s="508"/>
      <c r="AR342" s="508"/>
      <c r="AS342" s="508"/>
      <c r="AT342" s="508"/>
      <c r="AU342" s="508"/>
      <c r="AV342" s="508"/>
      <c r="AW342" s="508"/>
      <c r="AX342" s="508"/>
      <c r="AY342" s="508"/>
      <c r="AZ342" s="508"/>
      <c r="BA342" s="508"/>
      <c r="BB342" s="500"/>
    </row>
    <row r="343" spans="2:54">
      <c r="B343" s="1326" t="s">
        <v>650</v>
      </c>
      <c r="C343" s="1327"/>
      <c r="D343" s="501" t="s">
        <v>3399</v>
      </c>
      <c r="E343" s="502"/>
      <c r="F343" s="501" t="s">
        <v>222</v>
      </c>
      <c r="G343" s="501" t="s">
        <v>223</v>
      </c>
      <c r="H343" s="503">
        <f>H347</f>
        <v>2554.5593333333331</v>
      </c>
      <c r="I343" s="505" t="s">
        <v>173</v>
      </c>
      <c r="J343" s="504">
        <v>45223.791666666664</v>
      </c>
      <c r="K343" s="504"/>
      <c r="L343" s="504" t="s">
        <v>192</v>
      </c>
      <c r="M343" s="504" t="s">
        <v>192</v>
      </c>
      <c r="N343" s="505" t="str">
        <f t="shared" si="27"/>
        <v>DELAY ( 4 day 19 hour 0 minute )</v>
      </c>
      <c r="O343" s="506"/>
      <c r="P343" s="507" t="s">
        <v>551</v>
      </c>
      <c r="Q343" s="507" t="s">
        <v>551</v>
      </c>
      <c r="R343" s="507" t="s">
        <v>551</v>
      </c>
      <c r="S343" s="500"/>
      <c r="T343" s="508"/>
      <c r="U343" s="508"/>
      <c r="V343" s="508"/>
      <c r="W343" s="508"/>
      <c r="X343" s="508"/>
      <c r="Y343" s="508"/>
      <c r="Z343" s="508"/>
      <c r="AA343" s="508"/>
      <c r="AB343" s="500"/>
      <c r="AC343" s="508"/>
      <c r="AD343" s="508"/>
      <c r="AE343" s="508"/>
      <c r="AF343" s="508"/>
      <c r="AG343" s="508"/>
      <c r="AH343" s="508"/>
      <c r="AI343" s="508"/>
      <c r="AJ343" s="508"/>
      <c r="AK343" s="508"/>
      <c r="AL343" s="508"/>
      <c r="AM343" s="508"/>
      <c r="AN343" s="508"/>
      <c r="AO343" s="508"/>
      <c r="AP343" s="508"/>
      <c r="AQ343" s="508"/>
      <c r="AR343" s="508"/>
      <c r="AS343" s="508"/>
      <c r="AT343" s="508"/>
      <c r="AU343" s="508"/>
      <c r="AV343" s="508"/>
      <c r="AW343" s="508"/>
      <c r="AX343" s="508"/>
      <c r="AY343" s="508"/>
      <c r="AZ343" s="508">
        <f>H343</f>
        <v>2554.5593333333331</v>
      </c>
      <c r="BA343" s="508"/>
      <c r="BB343" s="500"/>
    </row>
    <row r="344" spans="2:54">
      <c r="B344" s="1328"/>
      <c r="C344" s="1329"/>
      <c r="D344" s="501" t="s">
        <v>3341</v>
      </c>
      <c r="E344" s="501"/>
      <c r="F344" s="501" t="s">
        <v>422</v>
      </c>
      <c r="G344" s="501" t="s">
        <v>3342</v>
      </c>
      <c r="H344" s="503">
        <v>7505.0569999999998</v>
      </c>
      <c r="I344" s="505" t="s">
        <v>418</v>
      </c>
      <c r="J344" s="504">
        <v>45223.84375</v>
      </c>
      <c r="K344" s="504"/>
      <c r="L344" s="504" t="s">
        <v>192</v>
      </c>
      <c r="M344" s="504" t="s">
        <v>192</v>
      </c>
      <c r="N344" s="505" t="str">
        <f t="shared" si="27"/>
        <v>DELAY ( 4 day 20 hour 15 minute )</v>
      </c>
      <c r="O344" s="506"/>
      <c r="P344" s="507" t="s">
        <v>551</v>
      </c>
      <c r="Q344" s="507" t="s">
        <v>551</v>
      </c>
      <c r="R344" s="507" t="s">
        <v>551</v>
      </c>
      <c r="S344" s="500"/>
      <c r="T344" s="508"/>
      <c r="U344" s="508"/>
      <c r="V344" s="508"/>
      <c r="W344" s="508"/>
      <c r="X344" s="508"/>
      <c r="Y344" s="508"/>
      <c r="Z344" s="508"/>
      <c r="AA344" s="508"/>
      <c r="AB344" s="508">
        <f>H344*0.6</f>
        <v>4503.0342000000001</v>
      </c>
      <c r="AC344" s="508">
        <f>H344*0.4</f>
        <v>3002.0228000000002</v>
      </c>
      <c r="AD344" s="508"/>
      <c r="AE344" s="508"/>
      <c r="AF344" s="508"/>
      <c r="AG344" s="508"/>
      <c r="AH344" s="508"/>
      <c r="AI344" s="508"/>
      <c r="AJ344" s="508"/>
      <c r="AK344" s="508"/>
      <c r="AL344" s="508"/>
      <c r="AM344" s="508"/>
      <c r="AN344" s="508"/>
      <c r="AO344" s="508"/>
      <c r="AP344" s="508"/>
      <c r="AQ344" s="508"/>
      <c r="AR344" s="508"/>
      <c r="AS344" s="508"/>
      <c r="AT344" s="508"/>
      <c r="AU344" s="508"/>
      <c r="AV344" s="508"/>
      <c r="AW344" s="508"/>
      <c r="AX344" s="508"/>
      <c r="AY344" s="508"/>
      <c r="AZ344" s="508"/>
      <c r="BA344" s="508"/>
      <c r="BB344" s="500"/>
    </row>
    <row r="345" spans="2:54">
      <c r="B345" s="1326" t="s">
        <v>911</v>
      </c>
      <c r="C345" s="1327"/>
      <c r="D345" s="501" t="s">
        <v>3399</v>
      </c>
      <c r="E345" s="502"/>
      <c r="F345" s="501" t="s">
        <v>222</v>
      </c>
      <c r="G345" s="501" t="s">
        <v>223</v>
      </c>
      <c r="H345" s="503">
        <f>7663.678/3</f>
        <v>2554.5593333333331</v>
      </c>
      <c r="I345" s="505" t="s">
        <v>173</v>
      </c>
      <c r="J345" s="504"/>
      <c r="K345" s="504"/>
      <c r="L345" s="504"/>
      <c r="M345" s="504"/>
      <c r="N345" s="505" t="str">
        <f t="shared" si="27"/>
        <v xml:space="preserve"> </v>
      </c>
      <c r="O345" s="506"/>
      <c r="P345" s="507" t="s">
        <v>551</v>
      </c>
      <c r="Q345" s="507" t="s">
        <v>551</v>
      </c>
      <c r="R345" s="507" t="s">
        <v>551</v>
      </c>
      <c r="S345" s="500"/>
      <c r="T345" s="508"/>
      <c r="U345" s="508"/>
      <c r="V345" s="508"/>
      <c r="W345" s="508"/>
      <c r="X345" s="508"/>
      <c r="Y345" s="508"/>
      <c r="Z345" s="508"/>
      <c r="AA345" s="508"/>
      <c r="AB345" s="500"/>
      <c r="AC345" s="508"/>
      <c r="AD345" s="508"/>
      <c r="AE345" s="508"/>
      <c r="AF345" s="508"/>
      <c r="AG345" s="508"/>
      <c r="AH345" s="508"/>
      <c r="AI345" s="508"/>
      <c r="AJ345" s="508"/>
      <c r="AK345" s="508"/>
      <c r="AL345" s="508"/>
      <c r="AM345" s="508"/>
      <c r="AN345" s="508"/>
      <c r="AO345" s="508"/>
      <c r="AP345" s="508"/>
      <c r="AQ345" s="508"/>
      <c r="AR345" s="508"/>
      <c r="AS345" s="508"/>
      <c r="AT345" s="508"/>
      <c r="AU345" s="508"/>
      <c r="AV345" s="508"/>
      <c r="AW345" s="508"/>
      <c r="AX345" s="508"/>
      <c r="AY345" s="508"/>
      <c r="AZ345" s="508">
        <f>H345</f>
        <v>2554.5593333333331</v>
      </c>
      <c r="BA345" s="508"/>
      <c r="BB345" s="500"/>
    </row>
    <row r="346" spans="2:54">
      <c r="B346" s="1328"/>
      <c r="C346" s="1329"/>
      <c r="D346" s="501" t="s">
        <v>3344</v>
      </c>
      <c r="E346" s="501"/>
      <c r="F346" s="501" t="s">
        <v>2404</v>
      </c>
      <c r="G346" s="501" t="s">
        <v>2405</v>
      </c>
      <c r="H346" s="503">
        <v>10406.924999999999</v>
      </c>
      <c r="I346" s="505" t="s">
        <v>418</v>
      </c>
      <c r="J346" s="504">
        <v>45224.284722222219</v>
      </c>
      <c r="K346" s="504"/>
      <c r="L346" s="504" t="s">
        <v>192</v>
      </c>
      <c r="M346" s="504" t="s">
        <v>192</v>
      </c>
      <c r="N346" s="505" t="str">
        <f t="shared" si="27"/>
        <v>DELAY ( 5 day 6 hour 50 minute )</v>
      </c>
      <c r="O346" s="506"/>
      <c r="P346" s="507" t="s">
        <v>551</v>
      </c>
      <c r="Q346" s="507" t="s">
        <v>551</v>
      </c>
      <c r="R346" s="507" t="s">
        <v>551</v>
      </c>
      <c r="S346" s="500"/>
      <c r="T346" s="508"/>
      <c r="U346" s="508"/>
      <c r="V346" s="508"/>
      <c r="W346" s="508"/>
      <c r="X346" s="508"/>
      <c r="Y346" s="508"/>
      <c r="Z346" s="508"/>
      <c r="AA346" s="508"/>
      <c r="AB346" s="508">
        <f>H346*0.6</f>
        <v>6244.1549999999997</v>
      </c>
      <c r="AC346" s="508">
        <f>H346*0.4</f>
        <v>4162.7699999999995</v>
      </c>
      <c r="AD346" s="508"/>
      <c r="AE346" s="508"/>
      <c r="AF346" s="508"/>
      <c r="AG346" s="508"/>
      <c r="AH346" s="508"/>
      <c r="AI346" s="508"/>
      <c r="AJ346" s="508"/>
      <c r="AK346" s="508"/>
      <c r="AL346" s="508"/>
      <c r="AM346" s="508"/>
      <c r="AN346" s="508"/>
      <c r="AO346" s="508"/>
      <c r="AP346" s="508"/>
      <c r="AQ346" s="508"/>
      <c r="AR346" s="508"/>
      <c r="AS346" s="508"/>
      <c r="AT346" s="764"/>
      <c r="AU346" s="508"/>
      <c r="AV346" s="508"/>
      <c r="AW346" s="508"/>
      <c r="AX346" s="508"/>
      <c r="AY346" s="508"/>
      <c r="AZ346" s="508"/>
      <c r="BA346" s="508"/>
      <c r="BB346" s="500"/>
    </row>
    <row r="347" spans="2:54">
      <c r="B347" s="1326" t="s">
        <v>2021</v>
      </c>
      <c r="C347" s="1327"/>
      <c r="D347" s="501" t="s">
        <v>3399</v>
      </c>
      <c r="E347" s="502"/>
      <c r="F347" s="501" t="s">
        <v>222</v>
      </c>
      <c r="G347" s="501" t="s">
        <v>223</v>
      </c>
      <c r="H347" s="503">
        <f>H345</f>
        <v>2554.5593333333331</v>
      </c>
      <c r="I347" s="505" t="s">
        <v>173</v>
      </c>
      <c r="J347" s="504"/>
      <c r="K347" s="504"/>
      <c r="L347" s="504"/>
      <c r="M347" s="504"/>
      <c r="N347" s="505" t="str">
        <f t="shared" si="27"/>
        <v xml:space="preserve"> </v>
      </c>
      <c r="O347" s="506"/>
      <c r="P347" s="507" t="s">
        <v>551</v>
      </c>
      <c r="Q347" s="507" t="s">
        <v>551</v>
      </c>
      <c r="R347" s="507" t="s">
        <v>551</v>
      </c>
      <c r="S347" s="500"/>
      <c r="T347" s="508"/>
      <c r="U347" s="508"/>
      <c r="V347" s="508"/>
      <c r="W347" s="508"/>
      <c r="X347" s="508"/>
      <c r="Y347" s="508"/>
      <c r="Z347" s="508"/>
      <c r="AA347" s="508"/>
      <c r="AB347" s="500"/>
      <c r="AC347" s="508"/>
      <c r="AD347" s="508"/>
      <c r="AE347" s="508"/>
      <c r="AF347" s="508"/>
      <c r="AG347" s="508"/>
      <c r="AH347" s="508"/>
      <c r="AI347" s="508"/>
      <c r="AJ347" s="508"/>
      <c r="AK347" s="508"/>
      <c r="AL347" s="508"/>
      <c r="AM347" s="508"/>
      <c r="AN347" s="508"/>
      <c r="AO347" s="508"/>
      <c r="AP347" s="508"/>
      <c r="AQ347" s="508"/>
      <c r="AR347" s="508"/>
      <c r="AS347" s="508"/>
      <c r="AT347" s="508"/>
      <c r="AU347" s="508"/>
      <c r="AV347" s="508"/>
      <c r="AW347" s="508"/>
      <c r="AX347" s="508"/>
      <c r="AY347" s="508"/>
      <c r="AZ347" s="508">
        <f>H347</f>
        <v>2554.5593333333331</v>
      </c>
      <c r="BA347" s="508"/>
      <c r="BB347" s="500"/>
    </row>
    <row r="348" spans="2:54">
      <c r="B348" s="1328"/>
      <c r="C348" s="1329"/>
      <c r="D348" s="501" t="s">
        <v>3348</v>
      </c>
      <c r="E348" s="501"/>
      <c r="F348" s="501" t="s">
        <v>274</v>
      </c>
      <c r="G348" s="501" t="s">
        <v>1093</v>
      </c>
      <c r="H348" s="503">
        <v>7501.7449999999999</v>
      </c>
      <c r="I348" s="505" t="s">
        <v>418</v>
      </c>
      <c r="J348" s="504">
        <v>45224.694444444445</v>
      </c>
      <c r="K348" s="504"/>
      <c r="L348" s="504" t="s">
        <v>192</v>
      </c>
      <c r="M348" s="504" t="s">
        <v>192</v>
      </c>
      <c r="N348" s="505" t="str">
        <f t="shared" si="27"/>
        <v>DELAY ( 5 day 16 hour 40 minute )</v>
      </c>
      <c r="O348" s="506"/>
      <c r="P348" s="507" t="s">
        <v>551</v>
      </c>
      <c r="Q348" s="507" t="s">
        <v>551</v>
      </c>
      <c r="R348" s="507" t="s">
        <v>551</v>
      </c>
      <c r="S348" s="500"/>
      <c r="T348" s="508"/>
      <c r="U348" s="508"/>
      <c r="V348" s="508"/>
      <c r="W348" s="508"/>
      <c r="X348" s="508"/>
      <c r="Y348" s="508"/>
      <c r="Z348" s="508"/>
      <c r="AA348" s="508"/>
      <c r="AB348" s="508">
        <f>H348*0.6</f>
        <v>4501.0469999999996</v>
      </c>
      <c r="AC348" s="508">
        <f>H348*0.4</f>
        <v>3000.6980000000003</v>
      </c>
      <c r="AD348" s="508"/>
      <c r="AE348" s="508"/>
      <c r="AF348" s="508"/>
      <c r="AG348" s="508"/>
      <c r="AH348" s="508"/>
      <c r="AI348" s="508"/>
      <c r="AJ348" s="508"/>
      <c r="AK348" s="508"/>
      <c r="AL348" s="508"/>
      <c r="AM348" s="508"/>
      <c r="AN348" s="508"/>
      <c r="AO348" s="508"/>
      <c r="AP348" s="508"/>
      <c r="AQ348" s="508"/>
      <c r="AR348" s="508"/>
      <c r="AS348" s="508"/>
      <c r="AT348" s="508"/>
      <c r="AU348" s="508"/>
      <c r="AV348" s="508"/>
      <c r="AW348" s="508"/>
      <c r="AX348" s="508"/>
      <c r="AY348" s="508"/>
      <c r="AZ348" s="508"/>
      <c r="BA348" s="508"/>
      <c r="BB348" s="500"/>
    </row>
    <row r="349" spans="2:54">
      <c r="B349" s="1315" t="s">
        <v>548</v>
      </c>
      <c r="C349" s="1316"/>
      <c r="D349" s="501" t="s">
        <v>3345</v>
      </c>
      <c r="E349" s="501"/>
      <c r="F349" s="501" t="s">
        <v>390</v>
      </c>
      <c r="G349" s="501" t="s">
        <v>3346</v>
      </c>
      <c r="H349" s="503">
        <v>7539.5680000000002</v>
      </c>
      <c r="I349" s="505" t="s">
        <v>418</v>
      </c>
      <c r="J349" s="504">
        <v>45224.777777777781</v>
      </c>
      <c r="K349" s="504"/>
      <c r="L349" s="504" t="s">
        <v>192</v>
      </c>
      <c r="M349" s="504" t="s">
        <v>192</v>
      </c>
      <c r="N349" s="505" t="str">
        <f t="shared" si="27"/>
        <v>DELAY ( 5 day 18 hour 40 minute )</v>
      </c>
      <c r="O349" s="506"/>
      <c r="P349" s="507" t="s">
        <v>551</v>
      </c>
      <c r="Q349" s="507" t="s">
        <v>551</v>
      </c>
      <c r="R349" s="507" t="s">
        <v>551</v>
      </c>
      <c r="S349" s="500"/>
      <c r="T349" s="508"/>
      <c r="U349" s="508"/>
      <c r="V349" s="508"/>
      <c r="W349" s="508"/>
      <c r="X349" s="508"/>
      <c r="Y349" s="508"/>
      <c r="Z349" s="508"/>
      <c r="AA349" s="508"/>
      <c r="AB349" s="508">
        <f t="shared" ref="AB349" si="28">H349*0.6</f>
        <v>4523.7407999999996</v>
      </c>
      <c r="AC349" s="508">
        <f t="shared" ref="AC349" si="29">H349*0.4</f>
        <v>3015.8272000000002</v>
      </c>
      <c r="AD349" s="508"/>
      <c r="AE349" s="508"/>
      <c r="AF349" s="508"/>
      <c r="AG349" s="508"/>
      <c r="AH349" s="508"/>
      <c r="AI349" s="508"/>
      <c r="AJ349" s="508"/>
      <c r="AK349" s="500"/>
      <c r="AL349" s="508"/>
      <c r="AM349" s="508"/>
      <c r="AN349" s="508"/>
      <c r="AO349" s="508"/>
      <c r="AP349" s="508"/>
      <c r="AQ349" s="508"/>
      <c r="AR349" s="508"/>
      <c r="AS349" s="508"/>
      <c r="AT349" s="508"/>
      <c r="AU349" s="508"/>
      <c r="AV349" s="508"/>
      <c r="AW349" s="508"/>
      <c r="AX349" s="508"/>
      <c r="AY349" s="508"/>
      <c r="AZ349" s="508"/>
      <c r="BA349" s="508"/>
      <c r="BB349" s="500"/>
    </row>
    <row r="350" spans="2:54">
      <c r="B350" s="1315" t="s">
        <v>548</v>
      </c>
      <c r="C350" s="1316"/>
      <c r="D350" s="501" t="s">
        <v>3347</v>
      </c>
      <c r="E350" s="501"/>
      <c r="F350" s="501" t="s">
        <v>2277</v>
      </c>
      <c r="G350" s="501" t="s">
        <v>2278</v>
      </c>
      <c r="H350" s="503">
        <v>7385.8860000000004</v>
      </c>
      <c r="I350" s="505" t="s">
        <v>418</v>
      </c>
      <c r="J350" s="504">
        <v>45225</v>
      </c>
      <c r="K350" s="504"/>
      <c r="L350" s="504" t="s">
        <v>192</v>
      </c>
      <c r="M350" s="504" t="s">
        <v>192</v>
      </c>
      <c r="N350" s="505" t="str">
        <f t="shared" si="27"/>
        <v>DELAY ( 6 day 0 hour 0 minute )</v>
      </c>
      <c r="O350" s="506"/>
      <c r="P350" s="507" t="s">
        <v>551</v>
      </c>
      <c r="Q350" s="507" t="s">
        <v>551</v>
      </c>
      <c r="R350" s="507" t="s">
        <v>551</v>
      </c>
      <c r="S350" s="500"/>
      <c r="T350" s="508"/>
      <c r="U350" s="508"/>
      <c r="V350" s="508"/>
      <c r="W350" s="508"/>
      <c r="X350" s="508"/>
      <c r="Y350" s="508"/>
      <c r="Z350" s="508"/>
      <c r="AA350" s="508"/>
      <c r="AB350" s="508">
        <f>H350*0.6</f>
        <v>4431.5316000000003</v>
      </c>
      <c r="AC350" s="508">
        <f>H350*0.4</f>
        <v>2954.3544000000002</v>
      </c>
      <c r="AD350" s="508"/>
      <c r="AE350" s="508"/>
      <c r="AF350" s="508"/>
      <c r="AG350" s="508"/>
      <c r="AH350" s="508"/>
      <c r="AI350" s="508"/>
      <c r="AJ350" s="508"/>
      <c r="AK350" s="508"/>
      <c r="AL350" s="508"/>
      <c r="AM350" s="508"/>
      <c r="AN350" s="508"/>
      <c r="AO350" s="508"/>
      <c r="AP350" s="508"/>
      <c r="AQ350" s="508"/>
      <c r="AR350" s="508"/>
      <c r="AS350" s="508"/>
      <c r="AT350" s="508"/>
      <c r="AU350" s="508"/>
      <c r="AV350" s="508"/>
      <c r="AW350" s="508"/>
      <c r="AX350" s="508"/>
      <c r="AY350" s="508"/>
      <c r="AZ350" s="508"/>
      <c r="BA350" s="508"/>
      <c r="BB350" s="500"/>
    </row>
    <row r="351" spans="2:54">
      <c r="B351" s="1315" t="s">
        <v>548</v>
      </c>
      <c r="C351" s="1316"/>
      <c r="D351" s="501" t="s">
        <v>3349</v>
      </c>
      <c r="E351" s="501"/>
      <c r="F351" s="501" t="s">
        <v>406</v>
      </c>
      <c r="G351" s="501" t="s">
        <v>407</v>
      </c>
      <c r="H351" s="503">
        <f>7485.486-3933.086</f>
        <v>3552.4</v>
      </c>
      <c r="I351" s="505" t="s">
        <v>418</v>
      </c>
      <c r="J351" s="504">
        <v>45226.840277777781</v>
      </c>
      <c r="K351" s="504"/>
      <c r="L351" s="504" t="s">
        <v>192</v>
      </c>
      <c r="M351" s="504" t="s">
        <v>192</v>
      </c>
      <c r="N351" s="505" t="str">
        <f t="shared" si="27"/>
        <v>DELAY ( 7 day 20 hour 10 minute )</v>
      </c>
      <c r="O351" s="506"/>
      <c r="P351" s="507" t="s">
        <v>551</v>
      </c>
      <c r="Q351" s="507" t="s">
        <v>551</v>
      </c>
      <c r="R351" s="507" t="s">
        <v>551</v>
      </c>
      <c r="S351" s="500"/>
      <c r="T351" s="508"/>
      <c r="U351" s="508"/>
      <c r="V351" s="508"/>
      <c r="W351" s="508"/>
      <c r="X351" s="508"/>
      <c r="Y351" s="508"/>
      <c r="Z351" s="508"/>
      <c r="AA351" s="508"/>
      <c r="AB351" s="508">
        <f>(H351*0.6)</f>
        <v>2131.44</v>
      </c>
      <c r="AC351" s="508">
        <f>(H351*0.4)</f>
        <v>1420.96</v>
      </c>
      <c r="AD351" s="508"/>
      <c r="AE351" s="508"/>
      <c r="AF351" s="508"/>
      <c r="AG351" s="508"/>
      <c r="AH351" s="508"/>
      <c r="AI351" s="508"/>
      <c r="AJ351" s="508"/>
      <c r="AK351" s="508"/>
      <c r="AL351" s="508"/>
      <c r="AM351" s="508"/>
      <c r="AN351" s="508"/>
      <c r="AO351" s="508"/>
      <c r="AP351" s="508"/>
      <c r="AQ351" s="508"/>
      <c r="AR351" s="508"/>
      <c r="AS351" s="508"/>
      <c r="AT351" s="508"/>
      <c r="AU351" s="508"/>
      <c r="AV351" s="508"/>
      <c r="AW351" s="508"/>
      <c r="AX351" s="508"/>
      <c r="AY351" s="508"/>
      <c r="AZ351" s="508"/>
      <c r="BA351" s="508"/>
      <c r="BB351" s="500"/>
    </row>
    <row r="352" spans="2:54">
      <c r="B352" s="1258" t="s">
        <v>556</v>
      </c>
      <c r="C352" s="1259"/>
      <c r="D352" s="1259"/>
      <c r="E352" s="1259"/>
      <c r="F352" s="1259"/>
      <c r="G352" s="1260"/>
      <c r="H352" s="417">
        <f>SUM(H341:H351)</f>
        <v>55000</v>
      </c>
      <c r="I352" s="388"/>
      <c r="J352" s="293"/>
      <c r="K352" s="293"/>
      <c r="L352" s="293"/>
      <c r="M352" s="389"/>
      <c r="N352" s="505" t="str">
        <f t="shared" si="27"/>
        <v xml:space="preserve"> </v>
      </c>
      <c r="O352" s="212"/>
      <c r="P352" s="418"/>
      <c r="Q352" s="418"/>
      <c r="R352" s="418"/>
      <c r="S352" s="207"/>
      <c r="T352" s="1300"/>
      <c r="U352" s="1301"/>
      <c r="V352" s="1301"/>
      <c r="W352" s="1301"/>
      <c r="X352" s="1301"/>
      <c r="Y352" s="1301"/>
      <c r="Z352" s="1301"/>
      <c r="AA352" s="1301"/>
      <c r="AB352" s="1301"/>
      <c r="AC352" s="1301"/>
      <c r="AD352" s="1301"/>
      <c r="AE352" s="1301"/>
      <c r="AF352" s="1301"/>
      <c r="AG352" s="1301"/>
      <c r="AH352" s="1301"/>
      <c r="AI352" s="1301"/>
      <c r="AJ352" s="1301"/>
      <c r="AK352" s="1301"/>
      <c r="AL352" s="1301"/>
      <c r="AM352" s="1301"/>
      <c r="AN352" s="1301"/>
      <c r="AO352" s="1301"/>
      <c r="AP352" s="1301"/>
      <c r="AQ352" s="1301"/>
      <c r="AR352" s="1301"/>
      <c r="AS352" s="1301"/>
      <c r="AT352" s="1301"/>
      <c r="AU352" s="1301"/>
      <c r="AV352" s="1301"/>
      <c r="AW352" s="1301"/>
      <c r="AX352" s="1301"/>
      <c r="AY352" s="1301"/>
      <c r="AZ352" s="1301"/>
      <c r="BA352" s="1301"/>
    </row>
    <row r="353" spans="2:54">
      <c r="B353" s="1320" t="s">
        <v>557</v>
      </c>
      <c r="C353" s="1321"/>
      <c r="D353" s="1321"/>
      <c r="E353" s="1321"/>
      <c r="F353" s="1321"/>
      <c r="G353" s="1322"/>
      <c r="H353" s="545">
        <v>55000</v>
      </c>
      <c r="I353" s="1273"/>
      <c r="J353" s="1274"/>
      <c r="K353" s="1274"/>
      <c r="L353" s="1274"/>
      <c r="M353" s="1275"/>
      <c r="N353" s="505" t="str">
        <f t="shared" si="27"/>
        <v xml:space="preserve"> </v>
      </c>
      <c r="O353" s="32"/>
      <c r="P353" s="415"/>
      <c r="Q353" s="415"/>
      <c r="R353" s="415"/>
      <c r="S353" s="63"/>
      <c r="T353" s="416">
        <f t="shared" ref="T353:BA353" si="30">SUM(T341:T351)</f>
        <v>0</v>
      </c>
      <c r="U353" s="416">
        <f t="shared" si="30"/>
        <v>0</v>
      </c>
      <c r="V353" s="416">
        <f t="shared" si="30"/>
        <v>0</v>
      </c>
      <c r="W353" s="416">
        <f t="shared" si="30"/>
        <v>0</v>
      </c>
      <c r="X353" s="416">
        <f t="shared" si="30"/>
        <v>0</v>
      </c>
      <c r="Y353" s="416">
        <f t="shared" si="30"/>
        <v>2118.741</v>
      </c>
      <c r="Z353" s="416">
        <f t="shared" si="30"/>
        <v>0</v>
      </c>
      <c r="AA353" s="416">
        <f t="shared" si="30"/>
        <v>0</v>
      </c>
      <c r="AB353" s="416">
        <f t="shared" si="30"/>
        <v>27130.548599999998</v>
      </c>
      <c r="AC353" s="416">
        <f t="shared" si="30"/>
        <v>18087.0324</v>
      </c>
      <c r="AD353" s="416">
        <f t="shared" si="30"/>
        <v>0</v>
      </c>
      <c r="AE353" s="416">
        <f t="shared" si="30"/>
        <v>0</v>
      </c>
      <c r="AF353" s="416">
        <f t="shared" si="30"/>
        <v>0</v>
      </c>
      <c r="AG353" s="416">
        <f t="shared" si="30"/>
        <v>0</v>
      </c>
      <c r="AH353" s="416">
        <f t="shared" si="30"/>
        <v>0</v>
      </c>
      <c r="AI353" s="416">
        <f t="shared" si="30"/>
        <v>0</v>
      </c>
      <c r="AJ353" s="416">
        <f t="shared" si="30"/>
        <v>0</v>
      </c>
      <c r="AK353" s="416">
        <f t="shared" si="30"/>
        <v>0</v>
      </c>
      <c r="AL353" s="416">
        <f t="shared" si="30"/>
        <v>0</v>
      </c>
      <c r="AM353" s="416">
        <f t="shared" si="30"/>
        <v>0</v>
      </c>
      <c r="AN353" s="416">
        <f t="shared" si="30"/>
        <v>0</v>
      </c>
      <c r="AO353" s="416">
        <f t="shared" si="30"/>
        <v>0</v>
      </c>
      <c r="AP353" s="416">
        <f t="shared" si="30"/>
        <v>0</v>
      </c>
      <c r="AQ353" s="416">
        <f t="shared" si="30"/>
        <v>0</v>
      </c>
      <c r="AR353" s="416">
        <f t="shared" si="30"/>
        <v>0</v>
      </c>
      <c r="AS353" s="416">
        <f t="shared" si="30"/>
        <v>0</v>
      </c>
      <c r="AT353" s="416">
        <f t="shared" si="30"/>
        <v>0</v>
      </c>
      <c r="AU353" s="416">
        <f t="shared" si="30"/>
        <v>0</v>
      </c>
      <c r="AV353" s="416">
        <f t="shared" si="30"/>
        <v>0</v>
      </c>
      <c r="AW353" s="416">
        <f t="shared" si="30"/>
        <v>0</v>
      </c>
      <c r="AX353" s="416">
        <f t="shared" si="30"/>
        <v>0</v>
      </c>
      <c r="AY353" s="416">
        <f t="shared" si="30"/>
        <v>0</v>
      </c>
      <c r="AZ353" s="416">
        <f t="shared" si="30"/>
        <v>7663.6779999999999</v>
      </c>
      <c r="BA353" s="416">
        <f t="shared" si="30"/>
        <v>0</v>
      </c>
      <c r="BB353" s="416">
        <f>SUM(T353:BA353)</f>
        <v>55000</v>
      </c>
    </row>
    <row r="354" spans="2:54">
      <c r="B354" s="1320" t="s">
        <v>558</v>
      </c>
      <c r="C354" s="1321"/>
      <c r="D354" s="1321"/>
      <c r="E354" s="1321"/>
      <c r="F354" s="1321"/>
      <c r="G354" s="1322"/>
      <c r="H354" s="546">
        <f>H353-L335</f>
        <v>0</v>
      </c>
      <c r="I354" s="669"/>
      <c r="J354" s="670"/>
      <c r="K354" s="670"/>
      <c r="L354" s="671"/>
      <c r="M354" s="207"/>
      <c r="N354" s="32"/>
      <c r="O354" s="32"/>
      <c r="P354" s="32"/>
      <c r="Q354" s="297"/>
      <c r="R354" s="297"/>
      <c r="S354" s="32"/>
      <c r="T354" s="48"/>
      <c r="U354" s="48"/>
      <c r="V354" s="48"/>
      <c r="W354" s="48"/>
      <c r="X354" s="48"/>
      <c r="Y354" s="48"/>
      <c r="Z354" s="48"/>
      <c r="AA354" s="48"/>
      <c r="AB354" s="48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</row>
    <row r="355" spans="2:54">
      <c r="B355" s="1320" t="s">
        <v>559</v>
      </c>
      <c r="C355" s="1321"/>
      <c r="D355" s="1321"/>
      <c r="E355" s="1321"/>
      <c r="F355" s="1321"/>
      <c r="G355" s="1322"/>
      <c r="H355" s="532">
        <v>3409</v>
      </c>
      <c r="I355" s="672"/>
      <c r="J355" s="673"/>
      <c r="K355" s="673"/>
      <c r="L355" s="674"/>
      <c r="M355" s="207"/>
      <c r="N355" s="201"/>
      <c r="O355" s="32"/>
      <c r="P355" s="32"/>
      <c r="Q355" s="32"/>
      <c r="R355" s="32"/>
      <c r="S355" s="32"/>
      <c r="T355" s="48"/>
      <c r="U355" s="48"/>
      <c r="V355" s="48"/>
      <c r="W355" s="48"/>
      <c r="X355" s="48"/>
      <c r="Y355" s="48"/>
      <c r="Z355" s="48"/>
      <c r="AA355" s="48"/>
      <c r="AB355" s="48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</row>
    <row r="356" spans="2:54" s="496" customFormat="1" ht="11.25" customHeight="1">
      <c r="B356" s="1415" t="s">
        <v>560</v>
      </c>
      <c r="C356" s="1416"/>
      <c r="D356" s="1416"/>
      <c r="E356" s="1416"/>
      <c r="F356" s="1416"/>
      <c r="G356" s="1417"/>
      <c r="H356" s="741">
        <f>H355-3933.086</f>
        <v>-524.08599999999979</v>
      </c>
      <c r="I356" s="641"/>
      <c r="J356" s="642"/>
      <c r="K356" s="642"/>
      <c r="L356" s="499"/>
      <c r="M356" s="613"/>
      <c r="N356" s="613"/>
      <c r="O356" s="613"/>
      <c r="P356" s="613"/>
      <c r="Q356" s="613"/>
      <c r="R356" s="613"/>
      <c r="S356" s="616"/>
      <c r="T356" s="616"/>
      <c r="U356" s="616"/>
      <c r="V356" s="616"/>
      <c r="W356" s="616"/>
      <c r="X356" s="616"/>
      <c r="Y356" s="616"/>
      <c r="Z356" s="616"/>
      <c r="AA356" s="616"/>
      <c r="AB356" s="613"/>
      <c r="AC356" s="613"/>
      <c r="AD356" s="613"/>
      <c r="AE356" s="613"/>
      <c r="AF356" s="613"/>
      <c r="AG356" s="613"/>
      <c r="AH356" s="613"/>
      <c r="AI356" s="613"/>
      <c r="AJ356" s="613"/>
      <c r="AK356" s="613"/>
      <c r="AL356" s="613"/>
      <c r="AM356" s="613"/>
      <c r="AN356" s="613"/>
      <c r="AO356" s="613"/>
      <c r="AP356" s="613"/>
      <c r="AQ356" s="613"/>
    </row>
    <row r="357" spans="2:54">
      <c r="B357" s="201"/>
      <c r="C357" s="201"/>
      <c r="D357" s="201"/>
      <c r="E357" s="201"/>
      <c r="F357" s="201"/>
      <c r="G357" s="201"/>
      <c r="H357" s="201"/>
      <c r="I357" s="213"/>
      <c r="J357" s="209"/>
      <c r="K357" s="209"/>
      <c r="L357" s="203"/>
      <c r="M357" s="201"/>
      <c r="N357" s="201"/>
      <c r="O357" s="209"/>
      <c r="P357" s="32"/>
      <c r="Q357" s="32"/>
      <c r="R357" s="32"/>
      <c r="S357" s="32"/>
      <c r="T357" s="48"/>
      <c r="U357" s="48"/>
      <c r="V357" s="48"/>
      <c r="W357" s="48"/>
      <c r="X357" s="48"/>
      <c r="Y357" s="48"/>
      <c r="Z357" s="48"/>
      <c r="AA357" s="48"/>
      <c r="AB357" s="48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</row>
    <row r="358" spans="2:54">
      <c r="B358" s="40" t="s">
        <v>561</v>
      </c>
      <c r="C358" s="40"/>
      <c r="D358" s="32"/>
      <c r="E358" s="32"/>
      <c r="F358" s="32"/>
      <c r="G358" s="32"/>
      <c r="H358" s="32"/>
      <c r="I358" s="32"/>
      <c r="J358" s="52"/>
      <c r="K358" s="52"/>
      <c r="L358" s="55"/>
      <c r="M358" s="32"/>
      <c r="N358" s="201"/>
      <c r="O358" s="5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  <c r="AA358" s="202"/>
      <c r="AB358" s="201"/>
      <c r="AC358" s="201"/>
      <c r="AD358" s="201"/>
      <c r="AE358" s="201"/>
      <c r="AF358" s="201"/>
      <c r="AG358" s="201"/>
      <c r="AH358" s="201"/>
      <c r="AI358" s="201"/>
      <c r="AJ358" s="201"/>
      <c r="AK358" s="201"/>
      <c r="AL358" s="201"/>
      <c r="AM358" s="201"/>
      <c r="AN358" s="201"/>
      <c r="AO358" s="201"/>
      <c r="AP358" s="201"/>
      <c r="AQ358" s="201"/>
      <c r="AR358" s="201"/>
      <c r="AS358" s="201"/>
      <c r="AT358" s="201"/>
      <c r="AU358" s="201"/>
      <c r="BB358" s="201"/>
    </row>
    <row r="359" spans="2:54">
      <c r="B359" s="422">
        <v>1</v>
      </c>
      <c r="C359" s="1249" t="s">
        <v>3714</v>
      </c>
      <c r="D359" s="1249"/>
      <c r="E359" s="1249"/>
      <c r="F359" s="1249"/>
      <c r="G359" s="1249"/>
      <c r="H359" s="1249"/>
      <c r="I359" s="1249"/>
      <c r="J359" s="1249"/>
      <c r="K359" s="1249"/>
      <c r="L359" s="203"/>
      <c r="M359" s="203"/>
      <c r="N359" s="201"/>
      <c r="O359" s="209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  <c r="AA359" s="202"/>
      <c r="AB359" s="201"/>
      <c r="AC359" s="201"/>
      <c r="AD359" s="201"/>
      <c r="AE359" s="201"/>
      <c r="AF359" s="201"/>
      <c r="AG359" s="201"/>
      <c r="AH359" s="201"/>
      <c r="AI359" s="201"/>
      <c r="AJ359" s="201"/>
      <c r="AK359" s="201"/>
      <c r="AL359" s="201"/>
      <c r="AM359" s="201"/>
      <c r="AN359" s="201"/>
      <c r="AO359" s="201"/>
      <c r="AP359" s="201"/>
      <c r="AQ359" s="201"/>
      <c r="AR359" s="201"/>
      <c r="AS359" s="201"/>
      <c r="AT359" s="201"/>
      <c r="AU359" s="201"/>
      <c r="AV359" s="201"/>
      <c r="AW359" s="201"/>
      <c r="AX359" s="201"/>
      <c r="AY359" s="201"/>
      <c r="AZ359" s="201"/>
      <c r="BA359" s="201"/>
      <c r="BB359" s="201"/>
    </row>
    <row r="361" spans="2:54">
      <c r="B361" s="28" t="s">
        <v>126</v>
      </c>
      <c r="C361" s="28"/>
      <c r="D361" s="29"/>
      <c r="E361" s="30" t="s">
        <v>511</v>
      </c>
      <c r="F361" s="31" t="s">
        <v>1465</v>
      </c>
      <c r="G361" s="32"/>
      <c r="H361" s="33"/>
      <c r="I361" s="34"/>
      <c r="J361" s="35" t="s">
        <v>513</v>
      </c>
      <c r="K361" s="36" t="s">
        <v>511</v>
      </c>
      <c r="L361" s="516">
        <v>45227.208333333336</v>
      </c>
      <c r="M361" s="32"/>
      <c r="N361" s="32"/>
      <c r="O361" s="206"/>
      <c r="P361" s="205"/>
      <c r="Q361" s="202"/>
      <c r="R361" s="204"/>
      <c r="S361" s="38"/>
      <c r="T361" s="201"/>
      <c r="U361" s="201"/>
      <c r="V361" s="201"/>
      <c r="W361" s="201"/>
      <c r="X361" s="201"/>
      <c r="Y361" s="201"/>
      <c r="Z361" s="201"/>
      <c r="AA361" s="201"/>
      <c r="AB361" s="202"/>
      <c r="AC361" s="202"/>
      <c r="AD361" s="202"/>
      <c r="AE361" s="202"/>
      <c r="AF361" s="202"/>
      <c r="AG361" s="201"/>
      <c r="AH361" s="201"/>
      <c r="AI361" s="201"/>
      <c r="AJ361" s="201"/>
      <c r="AK361" s="201"/>
      <c r="AL361" s="201"/>
      <c r="AM361" s="201"/>
      <c r="AN361" s="201"/>
      <c r="AO361" s="201"/>
      <c r="AP361" s="201"/>
      <c r="AQ361" s="201"/>
      <c r="AR361" s="201"/>
      <c r="AS361" s="201"/>
      <c r="AT361" s="201"/>
      <c r="AU361" s="201"/>
      <c r="AV361" s="201"/>
      <c r="AW361" s="201"/>
      <c r="AX361" s="201"/>
      <c r="AY361" s="201"/>
      <c r="AZ361" s="201"/>
      <c r="BA361" s="201"/>
    </row>
    <row r="362" spans="2:54">
      <c r="B362" s="35" t="s">
        <v>514</v>
      </c>
      <c r="C362" s="35"/>
      <c r="D362" s="32"/>
      <c r="E362" s="36" t="s">
        <v>511</v>
      </c>
      <c r="F362" s="311" t="s">
        <v>3709</v>
      </c>
      <c r="G362" s="32"/>
      <c r="H362" s="33"/>
      <c r="I362" s="34"/>
      <c r="J362" s="35" t="s">
        <v>516</v>
      </c>
      <c r="K362" s="36" t="s">
        <v>511</v>
      </c>
      <c r="L362" s="516">
        <v>45229.777777777781</v>
      </c>
      <c r="M362" s="32"/>
      <c r="N362" s="32"/>
      <c r="O362" s="206"/>
      <c r="P362" s="205"/>
      <c r="Q362" s="202"/>
      <c r="R362" s="204"/>
      <c r="S362" s="38"/>
      <c r="T362" s="201"/>
      <c r="U362" s="201"/>
      <c r="V362" s="201"/>
      <c r="W362" s="201"/>
      <c r="X362" s="201"/>
      <c r="Y362" s="201"/>
      <c r="Z362" s="201"/>
      <c r="AA362" s="201"/>
      <c r="AB362" s="202"/>
      <c r="AC362" s="202"/>
      <c r="AD362" s="202"/>
      <c r="AE362" s="202"/>
      <c r="AF362" s="202"/>
      <c r="AG362" s="201"/>
      <c r="AH362" s="201"/>
      <c r="AI362" s="201"/>
      <c r="AJ362" s="201"/>
      <c r="AK362" s="201"/>
      <c r="AL362" s="201"/>
      <c r="AM362" s="201"/>
      <c r="AN362" s="201"/>
      <c r="AO362" s="201"/>
      <c r="AP362" s="201"/>
      <c r="AQ362" s="201"/>
      <c r="AR362" s="201"/>
      <c r="AS362" s="201"/>
      <c r="AT362" s="201"/>
      <c r="AU362" s="201"/>
      <c r="AV362" s="201"/>
      <c r="AW362" s="201"/>
      <c r="AX362" s="201"/>
      <c r="AY362" s="201"/>
      <c r="AZ362" s="201"/>
      <c r="BA362" s="201"/>
    </row>
    <row r="363" spans="2:54">
      <c r="B363" s="35" t="s">
        <v>517</v>
      </c>
      <c r="C363" s="35"/>
      <c r="D363" s="32"/>
      <c r="E363" s="36" t="s">
        <v>511</v>
      </c>
      <c r="F363" s="516">
        <v>45221.270833333336</v>
      </c>
      <c r="G363" s="32"/>
      <c r="H363" s="33"/>
      <c r="I363" s="34"/>
      <c r="J363" s="35" t="s">
        <v>518</v>
      </c>
      <c r="K363" s="36" t="s">
        <v>511</v>
      </c>
      <c r="L363" s="291">
        <v>79800</v>
      </c>
      <c r="M363" s="40" t="s">
        <v>519</v>
      </c>
      <c r="N363" s="40"/>
      <c r="O363" s="206"/>
      <c r="P363" s="205"/>
      <c r="Q363" s="202"/>
      <c r="R363" s="204"/>
      <c r="S363" s="38"/>
      <c r="T363" s="201"/>
      <c r="U363" s="201"/>
      <c r="V363" s="201"/>
      <c r="W363" s="201"/>
      <c r="X363" s="201"/>
      <c r="Y363" s="201"/>
      <c r="Z363" s="201"/>
      <c r="AA363" s="201"/>
      <c r="AB363" s="202"/>
      <c r="AC363" s="202"/>
      <c r="AD363" s="202"/>
      <c r="AE363" s="202"/>
      <c r="AF363" s="202"/>
      <c r="AG363" s="201"/>
      <c r="AH363" s="201"/>
      <c r="AI363" s="201"/>
      <c r="AJ363" s="201"/>
      <c r="AK363" s="201"/>
      <c r="AL363" s="201"/>
      <c r="AM363" s="201"/>
      <c r="AN363" s="201"/>
      <c r="AO363" s="201"/>
      <c r="AP363" s="201"/>
      <c r="AQ363" s="201"/>
      <c r="AR363" s="201"/>
      <c r="AS363" s="201"/>
      <c r="AT363" s="201"/>
      <c r="AU363" s="201"/>
      <c r="AV363" s="201"/>
      <c r="AW363" s="201"/>
      <c r="AX363" s="201"/>
      <c r="AY363" s="201"/>
      <c r="AZ363" s="201"/>
      <c r="BA363" s="201"/>
    </row>
    <row r="364" spans="2:54">
      <c r="B364" s="35" t="s">
        <v>520</v>
      </c>
      <c r="C364" s="35"/>
      <c r="D364" s="32"/>
      <c r="E364" s="36" t="s">
        <v>511</v>
      </c>
      <c r="F364" s="37" t="s">
        <v>4</v>
      </c>
      <c r="G364" s="32"/>
      <c r="H364" s="33"/>
      <c r="I364" s="34"/>
      <c r="J364" s="35" t="s">
        <v>521</v>
      </c>
      <c r="K364" s="36" t="s">
        <v>511</v>
      </c>
      <c r="L364" s="50" t="s">
        <v>3116</v>
      </c>
      <c r="M364" s="32"/>
      <c r="N364" s="32"/>
      <c r="O364" s="206"/>
      <c r="P364" s="202"/>
      <c r="Q364" s="202"/>
      <c r="R364" s="204"/>
      <c r="S364" s="38"/>
      <c r="T364" s="201"/>
      <c r="U364" s="201"/>
      <c r="V364" s="201"/>
      <c r="W364" s="201"/>
      <c r="X364" s="201"/>
      <c r="Y364" s="201"/>
      <c r="Z364" s="201"/>
      <c r="AA364" s="201"/>
      <c r="AB364" s="202"/>
      <c r="AC364" s="202"/>
      <c r="AD364" s="202"/>
      <c r="AE364" s="202"/>
      <c r="AF364" s="202"/>
      <c r="AG364" s="201"/>
      <c r="AH364" s="201"/>
      <c r="AI364" s="201"/>
      <c r="AJ364" s="201"/>
      <c r="AK364" s="201"/>
      <c r="AL364" s="201"/>
      <c r="AM364" s="201"/>
      <c r="AN364" s="201"/>
      <c r="AO364" s="201"/>
      <c r="AP364" s="201"/>
      <c r="AQ364" s="201"/>
      <c r="AR364" s="201"/>
      <c r="AS364" s="201"/>
      <c r="AT364" s="201"/>
      <c r="AU364" s="201"/>
      <c r="AV364" s="201"/>
      <c r="AW364" s="201"/>
      <c r="AX364" s="201"/>
      <c r="AY364" s="201"/>
      <c r="AZ364" s="201"/>
      <c r="BA364" s="201"/>
    </row>
    <row r="365" spans="2:54">
      <c r="B365" s="35" t="s">
        <v>523</v>
      </c>
      <c r="C365" s="35"/>
      <c r="D365" s="32"/>
      <c r="E365" s="36" t="s">
        <v>511</v>
      </c>
      <c r="F365" s="37" t="s">
        <v>5</v>
      </c>
      <c r="G365" s="32"/>
      <c r="H365" s="33"/>
      <c r="I365" s="34"/>
      <c r="J365" s="42" t="s">
        <v>524</v>
      </c>
      <c r="K365" s="36" t="s">
        <v>511</v>
      </c>
      <c r="L365" s="43" t="s">
        <v>15</v>
      </c>
      <c r="M365" s="44"/>
      <c r="N365" s="44"/>
      <c r="O365" s="206"/>
      <c r="P365" s="205"/>
      <c r="Q365" s="202"/>
      <c r="R365" s="204"/>
      <c r="S365" s="38"/>
      <c r="T365" s="201"/>
      <c r="U365" s="201"/>
      <c r="V365" s="201"/>
      <c r="W365" s="201"/>
      <c r="X365" s="201"/>
      <c r="Y365" s="201"/>
      <c r="Z365" s="201"/>
      <c r="AA365" s="201"/>
      <c r="AB365" s="202"/>
      <c r="AC365" s="202"/>
      <c r="AD365" s="202"/>
      <c r="AE365" s="202"/>
      <c r="AF365" s="202"/>
      <c r="AG365" s="201"/>
      <c r="AH365" s="201"/>
      <c r="AI365" s="201"/>
      <c r="AJ365" s="201"/>
      <c r="AK365" s="201"/>
      <c r="AL365" s="201"/>
      <c r="AM365" s="201"/>
      <c r="AN365" s="201"/>
      <c r="AO365" s="201"/>
      <c r="AP365" s="201"/>
      <c r="AQ365" s="201"/>
      <c r="AR365" s="201"/>
      <c r="AS365" s="201"/>
      <c r="AT365" s="201"/>
      <c r="AU365" s="201"/>
      <c r="AV365" s="201"/>
      <c r="AW365" s="201"/>
      <c r="AX365" s="201"/>
      <c r="AY365" s="201"/>
      <c r="AZ365" s="201"/>
      <c r="BA365" s="201"/>
    </row>
    <row r="366" spans="2:54">
      <c r="B366" s="35" t="s">
        <v>2</v>
      </c>
      <c r="C366" s="35"/>
      <c r="D366" s="32"/>
      <c r="E366" s="36" t="s">
        <v>511</v>
      </c>
      <c r="F366" s="37" t="s">
        <v>6</v>
      </c>
      <c r="G366" s="32"/>
      <c r="H366" s="33"/>
      <c r="I366" s="45"/>
      <c r="J366" s="42"/>
      <c r="K366" s="36"/>
      <c r="L366" s="211"/>
      <c r="M366" s="201"/>
      <c r="N366" s="201"/>
      <c r="O366" s="42"/>
      <c r="P366" s="44"/>
      <c r="Q366" s="44"/>
      <c r="R366" s="44"/>
      <c r="S366" s="34"/>
      <c r="T366" s="201"/>
      <c r="U366" s="201"/>
      <c r="V366" s="201"/>
      <c r="W366" s="201"/>
      <c r="X366" s="201"/>
      <c r="Y366" s="201"/>
      <c r="Z366" s="201"/>
      <c r="AA366" s="201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201"/>
      <c r="AP366" s="201"/>
      <c r="AQ366" s="201"/>
      <c r="AR366" s="201"/>
      <c r="AS366" s="201"/>
      <c r="AT366" s="201"/>
      <c r="AU366" s="201"/>
      <c r="AV366" s="201"/>
      <c r="AW366" s="201"/>
      <c r="AX366" s="201"/>
      <c r="AY366" s="201"/>
      <c r="AZ366" s="201"/>
      <c r="BA366" s="201"/>
    </row>
    <row r="367" spans="2:54">
      <c r="B367" s="201"/>
      <c r="C367" s="201"/>
      <c r="D367" s="201"/>
      <c r="E367" s="201"/>
      <c r="F367" s="201"/>
      <c r="G367" s="201"/>
      <c r="H367" s="201"/>
      <c r="I367" s="45"/>
      <c r="J367" s="42"/>
      <c r="K367" s="42"/>
      <c r="L367" s="43"/>
      <c r="M367" s="44"/>
      <c r="N367" s="44"/>
      <c r="O367" s="42"/>
      <c r="P367" s="44"/>
      <c r="Q367" s="44"/>
      <c r="R367" s="44"/>
      <c r="S367" s="34"/>
      <c r="T367" s="1265" t="s">
        <v>87</v>
      </c>
      <c r="U367" s="1265"/>
      <c r="V367" s="1265"/>
      <c r="W367" s="1265"/>
      <c r="X367" s="1265"/>
      <c r="Y367" s="1265" t="s">
        <v>73</v>
      </c>
      <c r="Z367" s="1265"/>
      <c r="AA367" s="1265"/>
      <c r="AB367" s="1265" t="s">
        <v>74</v>
      </c>
      <c r="AC367" s="1265"/>
      <c r="AD367" s="423" t="s">
        <v>85</v>
      </c>
      <c r="AE367" s="423" t="s">
        <v>77</v>
      </c>
      <c r="AF367" s="1265" t="s">
        <v>525</v>
      </c>
      <c r="AG367" s="1265"/>
      <c r="AH367" s="1265"/>
      <c r="AI367" s="1265"/>
      <c r="AJ367" s="1265"/>
      <c r="AK367" s="1265"/>
      <c r="AL367" s="1265"/>
      <c r="AM367" s="1265"/>
      <c r="AN367" s="1265"/>
      <c r="AO367" s="1265"/>
      <c r="AP367" s="1265"/>
      <c r="AQ367" s="1265"/>
      <c r="AR367" s="1265"/>
      <c r="AS367" s="1265"/>
      <c r="AT367" s="1265"/>
      <c r="AU367" s="1265"/>
      <c r="AV367" s="1265"/>
      <c r="AW367" s="1265"/>
      <c r="AX367" s="1265"/>
      <c r="AY367" s="1265"/>
      <c r="AZ367" s="1265"/>
      <c r="BA367" s="1265"/>
    </row>
    <row r="368" spans="2:54">
      <c r="B368" s="1266" t="s">
        <v>526</v>
      </c>
      <c r="C368" s="1267"/>
      <c r="D368" s="570" t="s">
        <v>527</v>
      </c>
      <c r="E368" s="570"/>
      <c r="F368" s="570" t="s">
        <v>528</v>
      </c>
      <c r="G368" s="570" t="s">
        <v>529</v>
      </c>
      <c r="H368" s="570" t="s">
        <v>530</v>
      </c>
      <c r="I368" s="570" t="s">
        <v>531</v>
      </c>
      <c r="J368" s="570" t="s">
        <v>532</v>
      </c>
      <c r="K368" s="570"/>
      <c r="L368" s="570" t="s">
        <v>130</v>
      </c>
      <c r="M368" s="570" t="s">
        <v>533</v>
      </c>
      <c r="N368" s="625" t="str">
        <f>"On time - "&amp;COUNTIF(N369:N395,"On time")&amp;" from "&amp;ROWS(N369:N395)-COUNTIF(N369:N395," ")</f>
        <v>On time - 0 from 11</v>
      </c>
      <c r="O368" s="46"/>
      <c r="P368" s="409" t="s">
        <v>534</v>
      </c>
      <c r="Q368" s="409" t="s">
        <v>535</v>
      </c>
      <c r="R368" s="409" t="s">
        <v>536</v>
      </c>
      <c r="S368" s="32"/>
      <c r="T368" s="424" t="s">
        <v>537</v>
      </c>
      <c r="U368" s="424" t="s">
        <v>538</v>
      </c>
      <c r="V368" s="424" t="s">
        <v>539</v>
      </c>
      <c r="W368" s="424" t="s">
        <v>540</v>
      </c>
      <c r="X368" s="424" t="s">
        <v>541</v>
      </c>
      <c r="Y368" s="424" t="s">
        <v>167</v>
      </c>
      <c r="Z368" s="424" t="s">
        <v>168</v>
      </c>
      <c r="AA368" s="424" t="s">
        <v>169</v>
      </c>
      <c r="AB368" s="424" t="s">
        <v>235</v>
      </c>
      <c r="AC368" s="424" t="s">
        <v>240</v>
      </c>
      <c r="AD368" s="423" t="s">
        <v>85</v>
      </c>
      <c r="AE368" s="424" t="s">
        <v>139</v>
      </c>
      <c r="AF368" s="424" t="s">
        <v>72</v>
      </c>
      <c r="AG368" s="424" t="s">
        <v>88</v>
      </c>
      <c r="AH368" s="424" t="s">
        <v>75</v>
      </c>
      <c r="AI368" s="424" t="s">
        <v>543</v>
      </c>
      <c r="AJ368" s="424" t="s">
        <v>78</v>
      </c>
      <c r="AK368" s="424" t="s">
        <v>76</v>
      </c>
      <c r="AL368" s="424" t="s">
        <v>544</v>
      </c>
      <c r="AM368" s="424" t="s">
        <v>545</v>
      </c>
      <c r="AN368" s="424" t="s">
        <v>86</v>
      </c>
      <c r="AO368" s="424" t="s">
        <v>83</v>
      </c>
      <c r="AP368" s="424" t="s">
        <v>84</v>
      </c>
      <c r="AQ368" s="424" t="s">
        <v>546</v>
      </c>
      <c r="AR368" s="424" t="s">
        <v>81</v>
      </c>
      <c r="AS368" s="424" t="s">
        <v>80</v>
      </c>
      <c r="AT368" s="424" t="s">
        <v>82</v>
      </c>
      <c r="AU368" s="424" t="s">
        <v>181</v>
      </c>
      <c r="AV368" s="424" t="s">
        <v>183</v>
      </c>
      <c r="AW368" s="424" t="s">
        <v>547</v>
      </c>
      <c r="AX368" s="424" t="s">
        <v>182</v>
      </c>
      <c r="AY368" s="424" t="s">
        <v>172</v>
      </c>
      <c r="AZ368" s="424" t="s">
        <v>173</v>
      </c>
      <c r="BA368" s="424" t="s">
        <v>184</v>
      </c>
    </row>
    <row r="369" spans="2:53">
      <c r="B369" s="1315" t="s">
        <v>668</v>
      </c>
      <c r="C369" s="1316"/>
      <c r="D369" s="501" t="s">
        <v>3336</v>
      </c>
      <c r="E369" s="585"/>
      <c r="F369" s="501" t="s">
        <v>301</v>
      </c>
      <c r="G369" s="501" t="s">
        <v>302</v>
      </c>
      <c r="H369" s="503">
        <v>6506.1390000000001</v>
      </c>
      <c r="I369" s="505" t="s">
        <v>240</v>
      </c>
      <c r="J369" s="504">
        <v>45224.875</v>
      </c>
      <c r="K369" s="504"/>
      <c r="L369" s="504" t="s">
        <v>192</v>
      </c>
      <c r="M369" s="504" t="s">
        <v>192</v>
      </c>
      <c r="N369" s="505" t="str">
        <f t="shared" ref="N369:N395" si="31">IF(ISBLANK(J369)," ",IF(J369&lt;$F$363,"On time",(IF(DAY(J369-$F$363)&lt;1,"On time",(IF(J369&gt;$F$363,"DELAY ( "&amp;DAY(J369-$F$363)&amp;" day "&amp;HOUR(J369-$F$363)&amp;" hour "&amp;MINUTE(J369-$F$363)&amp;" minute )","xxx"))))))</f>
        <v>DELAY ( 3 day 14 hour 30 minute )</v>
      </c>
      <c r="O369" s="506"/>
      <c r="P369" s="507" t="s">
        <v>551</v>
      </c>
      <c r="Q369" s="507" t="s">
        <v>551</v>
      </c>
      <c r="R369" s="507" t="s">
        <v>551</v>
      </c>
      <c r="S369" s="500"/>
      <c r="T369" s="508"/>
      <c r="U369" s="508"/>
      <c r="V369" s="508"/>
      <c r="W369" s="508"/>
      <c r="X369" s="508"/>
      <c r="Y369" s="508"/>
      <c r="Z369" s="508"/>
      <c r="AA369" s="508"/>
      <c r="AB369" s="508"/>
      <c r="AC369" s="508">
        <f>H369</f>
        <v>6506.1390000000001</v>
      </c>
      <c r="AD369" s="508"/>
      <c r="AE369" s="508"/>
      <c r="AF369" s="508"/>
      <c r="AG369" s="508"/>
      <c r="AH369" s="508"/>
      <c r="AI369" s="508"/>
      <c r="AJ369" s="508"/>
      <c r="AK369" s="508"/>
      <c r="AL369" s="508"/>
      <c r="AM369" s="508"/>
      <c r="AN369" s="508"/>
      <c r="AO369" s="508"/>
      <c r="AP369" s="508"/>
      <c r="AQ369" s="508"/>
      <c r="AR369" s="508"/>
      <c r="AS369" s="508"/>
      <c r="AT369" s="508"/>
      <c r="AU369" s="508"/>
      <c r="AV369" s="508"/>
      <c r="AW369" s="508"/>
      <c r="AX369" s="508"/>
      <c r="AY369" s="508"/>
      <c r="AZ369" s="508"/>
      <c r="BA369" s="508"/>
    </row>
    <row r="370" spans="2:53">
      <c r="B370" s="1315" t="s">
        <v>616</v>
      </c>
      <c r="C370" s="1316"/>
      <c r="D370" s="501" t="s">
        <v>3425</v>
      </c>
      <c r="E370" s="585"/>
      <c r="F370" s="501" t="s">
        <v>774</v>
      </c>
      <c r="G370" s="501" t="s">
        <v>423</v>
      </c>
      <c r="H370" s="503">
        <v>7650.4049999999997</v>
      </c>
      <c r="I370" s="505" t="s">
        <v>172</v>
      </c>
      <c r="J370" s="504">
        <v>45226.8125</v>
      </c>
      <c r="K370" s="504"/>
      <c r="L370" s="504" t="s">
        <v>192</v>
      </c>
      <c r="M370" s="504" t="s">
        <v>192</v>
      </c>
      <c r="N370" s="505" t="str">
        <f t="shared" si="31"/>
        <v>DELAY ( 5 day 13 hour 0 minute )</v>
      </c>
      <c r="O370" s="506"/>
      <c r="P370" s="507" t="s">
        <v>551</v>
      </c>
      <c r="Q370" s="507" t="s">
        <v>551</v>
      </c>
      <c r="R370" s="507" t="s">
        <v>551</v>
      </c>
      <c r="S370" s="500"/>
      <c r="T370" s="508"/>
      <c r="U370" s="508"/>
      <c r="V370" s="508"/>
      <c r="W370" s="508"/>
      <c r="X370" s="508"/>
      <c r="Y370" s="508"/>
      <c r="Z370" s="508"/>
      <c r="AA370" s="508"/>
      <c r="AB370" s="500"/>
      <c r="AC370" s="508"/>
      <c r="AD370" s="508"/>
      <c r="AE370" s="508"/>
      <c r="AF370" s="508"/>
      <c r="AG370" s="508"/>
      <c r="AH370" s="508"/>
      <c r="AI370" s="508"/>
      <c r="AJ370" s="508"/>
      <c r="AK370" s="508"/>
      <c r="AL370" s="508"/>
      <c r="AM370" s="508"/>
      <c r="AN370" s="508"/>
      <c r="AO370" s="508"/>
      <c r="AP370" s="500"/>
      <c r="AQ370" s="508"/>
      <c r="AR370" s="508"/>
      <c r="AS370" s="508"/>
      <c r="AT370" s="508"/>
      <c r="AU370" s="508"/>
      <c r="AV370" s="508"/>
      <c r="AW370" s="508"/>
      <c r="AX370" s="508"/>
      <c r="AY370" s="508">
        <f>H370</f>
        <v>7650.4049999999997</v>
      </c>
      <c r="AZ370" s="508"/>
      <c r="BA370" s="508"/>
    </row>
    <row r="371" spans="2:53">
      <c r="B371" s="1351" t="s">
        <v>1721</v>
      </c>
      <c r="C371" s="1352"/>
      <c r="D371" s="1352"/>
      <c r="E371" s="1352"/>
      <c r="F371" s="1352"/>
      <c r="G371" s="1353"/>
      <c r="H371" s="702">
        <f>SUM(H369:H370)</f>
        <v>14156.544</v>
      </c>
      <c r="I371" s="703"/>
      <c r="J371" s="820"/>
      <c r="K371" s="704"/>
      <c r="L371" s="704"/>
      <c r="M371" s="705"/>
      <c r="N371" s="505" t="str">
        <f t="shared" si="31"/>
        <v xml:space="preserve"> </v>
      </c>
      <c r="O371" s="552"/>
      <c r="P371" s="706"/>
      <c r="Q371" s="706"/>
      <c r="R371" s="706"/>
      <c r="S371" s="598"/>
      <c r="T371" s="599"/>
      <c r="U371" s="599"/>
      <c r="V371" s="599"/>
      <c r="W371" s="599"/>
      <c r="X371" s="599"/>
      <c r="Y371" s="599"/>
      <c r="Z371" s="599"/>
      <c r="AA371" s="599"/>
      <c r="AB371" s="599"/>
      <c r="AC371" s="599"/>
      <c r="AD371" s="599"/>
      <c r="AE371" s="599"/>
      <c r="AF371" s="599"/>
      <c r="AG371" s="599"/>
      <c r="AH371" s="599"/>
      <c r="AI371" s="599"/>
      <c r="AJ371" s="599"/>
      <c r="AK371" s="599"/>
      <c r="AL371" s="599"/>
      <c r="AM371" s="599"/>
      <c r="AN371" s="599"/>
      <c r="AO371" s="599"/>
      <c r="AP371" s="599"/>
      <c r="AQ371" s="599"/>
      <c r="AR371" s="599"/>
      <c r="AS371" s="599"/>
      <c r="AT371" s="599"/>
      <c r="AU371" s="599"/>
      <c r="AV371" s="599"/>
      <c r="AW371" s="599"/>
      <c r="AX371" s="599"/>
      <c r="AY371" s="599"/>
      <c r="AZ371" s="599"/>
      <c r="BA371" s="599"/>
    </row>
    <row r="372" spans="2:53">
      <c r="B372" s="1326" t="s">
        <v>619</v>
      </c>
      <c r="C372" s="1327"/>
      <c r="D372" s="501" t="s">
        <v>3355</v>
      </c>
      <c r="E372" s="501"/>
      <c r="F372" s="501" t="s">
        <v>1972</v>
      </c>
      <c r="G372" s="501" t="s">
        <v>1973</v>
      </c>
      <c r="H372" s="503">
        <v>7546.5519999999997</v>
      </c>
      <c r="I372" s="505" t="s">
        <v>418</v>
      </c>
      <c r="J372" s="504">
        <v>45226.819444444445</v>
      </c>
      <c r="K372" s="504"/>
      <c r="L372" s="504" t="s">
        <v>192</v>
      </c>
      <c r="M372" s="504" t="s">
        <v>192</v>
      </c>
      <c r="N372" s="505" t="str">
        <f t="shared" si="31"/>
        <v>DELAY ( 5 day 13 hour 10 minute )</v>
      </c>
      <c r="O372" s="506"/>
      <c r="P372" s="507" t="s">
        <v>551</v>
      </c>
      <c r="Q372" s="507" t="s">
        <v>551</v>
      </c>
      <c r="R372" s="507" t="s">
        <v>551</v>
      </c>
      <c r="S372" s="500"/>
      <c r="T372" s="508"/>
      <c r="U372" s="508"/>
      <c r="V372" s="508"/>
      <c r="W372" s="508"/>
      <c r="X372" s="508"/>
      <c r="Y372" s="508"/>
      <c r="Z372" s="508"/>
      <c r="AA372" s="508"/>
      <c r="AB372" s="508">
        <f>H372*0.6</f>
        <v>4527.9312</v>
      </c>
      <c r="AC372" s="508">
        <f>H372*0.4</f>
        <v>3018.6208000000001</v>
      </c>
      <c r="AD372" s="508"/>
      <c r="AE372" s="508"/>
      <c r="AF372" s="508"/>
      <c r="AG372" s="508"/>
      <c r="AH372" s="508"/>
      <c r="AI372" s="508"/>
      <c r="AJ372" s="508"/>
      <c r="AK372" s="508"/>
      <c r="AL372" s="508"/>
      <c r="AM372" s="508"/>
      <c r="AN372" s="508"/>
      <c r="AO372" s="508"/>
      <c r="AP372" s="508"/>
      <c r="AQ372" s="508"/>
      <c r="AR372" s="508"/>
      <c r="AS372" s="508"/>
      <c r="AT372" s="508"/>
      <c r="AU372" s="508"/>
      <c r="AV372" s="508"/>
      <c r="AW372" s="508"/>
      <c r="AX372" s="508"/>
      <c r="AY372" s="508"/>
      <c r="AZ372" s="508"/>
      <c r="BA372" s="508"/>
    </row>
    <row r="373" spans="2:53">
      <c r="B373" s="1328"/>
      <c r="C373" s="1329"/>
      <c r="D373" s="501"/>
      <c r="E373" s="501"/>
      <c r="F373" s="1315" t="s">
        <v>616</v>
      </c>
      <c r="G373" s="1316"/>
      <c r="H373" s="503">
        <v>1000</v>
      </c>
      <c r="I373" s="505"/>
      <c r="J373" s="504"/>
      <c r="K373" s="504"/>
      <c r="L373" s="504"/>
      <c r="M373" s="504"/>
      <c r="N373" s="505" t="str">
        <f t="shared" si="31"/>
        <v xml:space="preserve"> </v>
      </c>
      <c r="O373" s="506"/>
      <c r="P373" s="507"/>
      <c r="Q373" s="507"/>
      <c r="R373" s="507"/>
      <c r="S373" s="500"/>
      <c r="T373" s="508"/>
      <c r="U373" s="508"/>
      <c r="V373" s="508"/>
      <c r="W373" s="508"/>
      <c r="X373" s="508"/>
      <c r="Y373" s="508"/>
      <c r="Z373" s="508"/>
      <c r="AA373" s="508"/>
      <c r="AB373" s="508"/>
      <c r="AC373" s="508"/>
      <c r="AD373" s="508"/>
      <c r="AE373" s="508"/>
      <c r="AF373" s="508"/>
      <c r="AG373" s="508"/>
      <c r="AH373" s="508"/>
      <c r="AI373" s="508"/>
      <c r="AJ373" s="508"/>
      <c r="AK373" s="821"/>
      <c r="AL373" s="508"/>
      <c r="AM373" s="508"/>
      <c r="AN373" s="508"/>
      <c r="AO373" s="508"/>
      <c r="AP373" s="508"/>
      <c r="AQ373" s="508"/>
      <c r="AR373" s="508"/>
      <c r="AS373" s="508"/>
      <c r="AT373" s="764"/>
      <c r="AU373" s="508"/>
      <c r="AV373" s="508"/>
      <c r="AW373" s="508"/>
      <c r="AX373" s="508"/>
      <c r="AY373" s="508"/>
      <c r="AZ373" s="508"/>
      <c r="BA373" s="508"/>
    </row>
    <row r="374" spans="2:53">
      <c r="B374" s="1326" t="s">
        <v>621</v>
      </c>
      <c r="C374" s="1327"/>
      <c r="D374" s="501" t="s">
        <v>3351</v>
      </c>
      <c r="E374" s="501"/>
      <c r="F374" s="501" t="s">
        <v>2207</v>
      </c>
      <c r="G374" s="501" t="s">
        <v>2208</v>
      </c>
      <c r="H374" s="503">
        <v>7464.1459999999997</v>
      </c>
      <c r="I374" s="505" t="s">
        <v>418</v>
      </c>
      <c r="J374" s="504">
        <v>45226.836805555555</v>
      </c>
      <c r="K374" s="504"/>
      <c r="L374" s="504" t="s">
        <v>192</v>
      </c>
      <c r="M374" s="504" t="s">
        <v>192</v>
      </c>
      <c r="N374" s="505" t="str">
        <f t="shared" si="31"/>
        <v>DELAY ( 5 day 13 hour 35 minute )</v>
      </c>
      <c r="O374" s="506"/>
      <c r="P374" s="507" t="s">
        <v>551</v>
      </c>
      <c r="Q374" s="507" t="s">
        <v>551</v>
      </c>
      <c r="R374" s="507" t="s">
        <v>551</v>
      </c>
      <c r="S374" s="500"/>
      <c r="T374" s="508"/>
      <c r="U374" s="508"/>
      <c r="V374" s="508"/>
      <c r="W374" s="508"/>
      <c r="X374" s="508"/>
      <c r="Y374" s="508"/>
      <c r="Z374" s="508"/>
      <c r="AA374" s="508"/>
      <c r="AB374" s="508">
        <f>H374*0.6</f>
        <v>4478.4875999999995</v>
      </c>
      <c r="AC374" s="508">
        <f>H374*0.4</f>
        <v>2985.6584000000003</v>
      </c>
      <c r="AD374" s="508"/>
      <c r="AE374" s="508"/>
      <c r="AF374" s="508"/>
      <c r="AG374" s="508"/>
      <c r="AH374" s="508"/>
      <c r="AI374" s="508"/>
      <c r="AJ374" s="508"/>
      <c r="AK374" s="508"/>
      <c r="AL374" s="508"/>
      <c r="AM374" s="508"/>
      <c r="AN374" s="508"/>
      <c r="AO374" s="508"/>
      <c r="AP374" s="508"/>
      <c r="AQ374" s="508"/>
      <c r="AR374" s="508"/>
      <c r="AS374" s="508"/>
      <c r="AT374" s="508"/>
      <c r="AU374" s="508"/>
      <c r="AV374" s="508"/>
      <c r="AW374" s="508"/>
      <c r="AX374" s="508"/>
      <c r="AY374" s="508"/>
      <c r="AZ374" s="508"/>
      <c r="BA374" s="508"/>
    </row>
    <row r="375" spans="2:53">
      <c r="B375" s="1328"/>
      <c r="C375" s="1329"/>
      <c r="D375" s="501"/>
      <c r="E375" s="501"/>
      <c r="F375" s="1315" t="s">
        <v>616</v>
      </c>
      <c r="G375" s="1316"/>
      <c r="H375" s="503">
        <v>1650</v>
      </c>
      <c r="I375" s="505"/>
      <c r="J375" s="504"/>
      <c r="K375" s="504"/>
      <c r="L375" s="504"/>
      <c r="M375" s="504"/>
      <c r="N375" s="505" t="str">
        <f t="shared" si="31"/>
        <v xml:space="preserve"> </v>
      </c>
      <c r="O375" s="506"/>
      <c r="P375" s="507"/>
      <c r="Q375" s="507"/>
      <c r="R375" s="507"/>
      <c r="S375" s="500"/>
      <c r="T375" s="508"/>
      <c r="U375" s="508"/>
      <c r="V375" s="508"/>
      <c r="W375" s="508"/>
      <c r="X375" s="508"/>
      <c r="Y375" s="508"/>
      <c r="Z375" s="508"/>
      <c r="AA375" s="508"/>
      <c r="AB375" s="508"/>
      <c r="AC375" s="508"/>
      <c r="AD375" s="508"/>
      <c r="AE375" s="508"/>
      <c r="AF375" s="508"/>
      <c r="AG375" s="508"/>
      <c r="AH375" s="508"/>
      <c r="AI375" s="508"/>
      <c r="AJ375" s="508"/>
      <c r="AK375" s="821"/>
      <c r="AL375" s="508"/>
      <c r="AM375" s="508"/>
      <c r="AN375" s="508"/>
      <c r="AO375" s="508"/>
      <c r="AP375" s="508"/>
      <c r="AQ375" s="508"/>
      <c r="AR375" s="508"/>
      <c r="AS375" s="508"/>
      <c r="AT375" s="764"/>
      <c r="AU375" s="508"/>
      <c r="AV375" s="508"/>
      <c r="AW375" s="508"/>
      <c r="AX375" s="508"/>
      <c r="AY375" s="508"/>
      <c r="AZ375" s="508"/>
      <c r="BA375" s="508"/>
    </row>
    <row r="376" spans="2:53">
      <c r="B376" s="1326" t="s">
        <v>622</v>
      </c>
      <c r="C376" s="1327"/>
      <c r="D376" s="501" t="s">
        <v>3350</v>
      </c>
      <c r="E376" s="501"/>
      <c r="F376" s="501" t="s">
        <v>334</v>
      </c>
      <c r="G376" s="501" t="s">
        <v>335</v>
      </c>
      <c r="H376" s="503">
        <v>7848.56</v>
      </c>
      <c r="I376" s="505" t="s">
        <v>418</v>
      </c>
      <c r="J376" s="504">
        <v>45226.833333333336</v>
      </c>
      <c r="K376" s="504"/>
      <c r="L376" s="504" t="s">
        <v>192</v>
      </c>
      <c r="M376" s="504" t="s">
        <v>192</v>
      </c>
      <c r="N376" s="505" t="str">
        <f t="shared" si="31"/>
        <v>DELAY ( 5 day 13 hour 30 minute )</v>
      </c>
      <c r="O376" s="506"/>
      <c r="P376" s="507" t="s">
        <v>551</v>
      </c>
      <c r="Q376" s="507" t="s">
        <v>551</v>
      </c>
      <c r="R376" s="507" t="s">
        <v>551</v>
      </c>
      <c r="S376" s="500"/>
      <c r="T376" s="508"/>
      <c r="U376" s="508"/>
      <c r="V376" s="508"/>
      <c r="W376" s="508"/>
      <c r="X376" s="508"/>
      <c r="Y376" s="508"/>
      <c r="Z376" s="508"/>
      <c r="AA376" s="508"/>
      <c r="AB376" s="508">
        <f>H376*0.6</f>
        <v>4709.1360000000004</v>
      </c>
      <c r="AC376" s="508">
        <f>H376*0.4</f>
        <v>3139.4240000000004</v>
      </c>
      <c r="AD376" s="508"/>
      <c r="AE376" s="508"/>
      <c r="AF376" s="508"/>
      <c r="AG376" s="508"/>
      <c r="AH376" s="508"/>
      <c r="AI376" s="508"/>
      <c r="AJ376" s="508"/>
      <c r="AK376" s="508"/>
      <c r="AL376" s="508"/>
      <c r="AM376" s="508"/>
      <c r="AN376" s="508"/>
      <c r="AO376" s="508"/>
      <c r="AP376" s="508"/>
      <c r="AQ376" s="508"/>
      <c r="AR376" s="508"/>
      <c r="AS376" s="508"/>
      <c r="AT376" s="764"/>
      <c r="AU376" s="508"/>
      <c r="AV376" s="508"/>
      <c r="AW376" s="508"/>
      <c r="AX376" s="508"/>
      <c r="AY376" s="508"/>
      <c r="AZ376" s="508"/>
      <c r="BA376" s="508"/>
    </row>
    <row r="377" spans="2:53">
      <c r="B377" s="1421"/>
      <c r="C377" s="1422"/>
      <c r="D377" s="501"/>
      <c r="E377" s="501"/>
      <c r="F377" s="1315" t="s">
        <v>668</v>
      </c>
      <c r="G377" s="1316"/>
      <c r="H377" s="503">
        <v>1000</v>
      </c>
      <c r="I377" s="505"/>
      <c r="J377" s="504"/>
      <c r="K377" s="504"/>
      <c r="L377" s="504"/>
      <c r="M377" s="504"/>
      <c r="N377" s="505" t="str">
        <f t="shared" si="31"/>
        <v xml:space="preserve"> </v>
      </c>
      <c r="O377" s="506"/>
      <c r="P377" s="507"/>
      <c r="Q377" s="507"/>
      <c r="R377" s="507"/>
      <c r="S377" s="500"/>
      <c r="T377" s="508"/>
      <c r="U377" s="508"/>
      <c r="V377" s="508"/>
      <c r="W377" s="508"/>
      <c r="X377" s="508"/>
      <c r="Y377" s="508"/>
      <c r="Z377" s="508"/>
      <c r="AA377" s="508"/>
      <c r="AB377" s="508"/>
      <c r="AC377" s="508"/>
      <c r="AD377" s="508"/>
      <c r="AE377" s="508"/>
      <c r="AF377" s="508"/>
      <c r="AG377" s="508"/>
      <c r="AH377" s="508"/>
      <c r="AI377" s="508"/>
      <c r="AJ377" s="508"/>
      <c r="AK377" s="821"/>
      <c r="AL377" s="508"/>
      <c r="AM377" s="508"/>
      <c r="AN377" s="508"/>
      <c r="AO377" s="508"/>
      <c r="AP377" s="508"/>
      <c r="AQ377" s="508"/>
      <c r="AR377" s="508"/>
      <c r="AS377" s="508"/>
      <c r="AT377" s="764"/>
      <c r="AU377" s="508"/>
      <c r="AV377" s="508"/>
      <c r="AW377" s="508"/>
      <c r="AX377" s="508"/>
      <c r="AY377" s="508"/>
      <c r="AZ377" s="508"/>
      <c r="BA377" s="508"/>
    </row>
    <row r="378" spans="2:53">
      <c r="B378" s="1328"/>
      <c r="C378" s="1329"/>
      <c r="D378" s="501"/>
      <c r="E378" s="501"/>
      <c r="F378" s="1315" t="s">
        <v>616</v>
      </c>
      <c r="G378" s="1316"/>
      <c r="H378" s="503">
        <v>1000</v>
      </c>
      <c r="I378" s="505"/>
      <c r="J378" s="504"/>
      <c r="K378" s="504"/>
      <c r="L378" s="504"/>
      <c r="M378" s="504"/>
      <c r="N378" s="505" t="str">
        <f t="shared" si="31"/>
        <v xml:space="preserve"> </v>
      </c>
      <c r="O378" s="506"/>
      <c r="P378" s="507"/>
      <c r="Q378" s="507"/>
      <c r="R378" s="507"/>
      <c r="S378" s="500"/>
      <c r="T378" s="508"/>
      <c r="U378" s="508"/>
      <c r="V378" s="508"/>
      <c r="W378" s="508"/>
      <c r="X378" s="508"/>
      <c r="Y378" s="508"/>
      <c r="Z378" s="508"/>
      <c r="AA378" s="508"/>
      <c r="AB378" s="508"/>
      <c r="AC378" s="508"/>
      <c r="AD378" s="508"/>
      <c r="AE378" s="508"/>
      <c r="AF378" s="508"/>
      <c r="AG378" s="508"/>
      <c r="AH378" s="508"/>
      <c r="AI378" s="508"/>
      <c r="AJ378" s="508"/>
      <c r="AK378" s="821"/>
      <c r="AL378" s="508"/>
      <c r="AM378" s="508"/>
      <c r="AN378" s="508"/>
      <c r="AO378" s="508"/>
      <c r="AP378" s="508"/>
      <c r="AQ378" s="508"/>
      <c r="AR378" s="508"/>
      <c r="AS378" s="508"/>
      <c r="AT378" s="764"/>
      <c r="AU378" s="508"/>
      <c r="AV378" s="508"/>
      <c r="AW378" s="508"/>
      <c r="AX378" s="508"/>
      <c r="AY378" s="508"/>
      <c r="AZ378" s="508"/>
      <c r="BA378" s="508"/>
    </row>
    <row r="379" spans="2:53">
      <c r="B379" s="1326" t="s">
        <v>623</v>
      </c>
      <c r="C379" s="1327"/>
      <c r="D379" s="501" t="s">
        <v>3356</v>
      </c>
      <c r="E379" s="501"/>
      <c r="F379" s="501" t="s">
        <v>367</v>
      </c>
      <c r="G379" s="501" t="s">
        <v>368</v>
      </c>
      <c r="H379" s="503">
        <v>9935.1959999999999</v>
      </c>
      <c r="I379" s="505" t="s">
        <v>418</v>
      </c>
      <c r="J379" s="504">
        <v>45226.875</v>
      </c>
      <c r="K379" s="504"/>
      <c r="L379" s="504" t="s">
        <v>192</v>
      </c>
      <c r="M379" s="504" t="s">
        <v>192</v>
      </c>
      <c r="N379" s="505" t="str">
        <f t="shared" si="31"/>
        <v>DELAY ( 5 day 14 hour 30 minute )</v>
      </c>
      <c r="O379" s="506"/>
      <c r="P379" s="507" t="s">
        <v>551</v>
      </c>
      <c r="Q379" s="507" t="s">
        <v>551</v>
      </c>
      <c r="R379" s="507" t="s">
        <v>551</v>
      </c>
      <c r="S379" s="500"/>
      <c r="T379" s="508"/>
      <c r="U379" s="508"/>
      <c r="V379" s="508"/>
      <c r="W379" s="508"/>
      <c r="X379" s="508"/>
      <c r="Y379" s="508"/>
      <c r="Z379" s="508"/>
      <c r="AA379" s="508"/>
      <c r="AB379" s="508">
        <f>H379*0.6</f>
        <v>5961.1175999999996</v>
      </c>
      <c r="AC379" s="508">
        <f>H379*0.4</f>
        <v>3974.0784000000003</v>
      </c>
      <c r="AD379" s="508"/>
      <c r="AE379" s="508"/>
      <c r="AF379" s="508"/>
      <c r="AG379" s="508"/>
      <c r="AH379" s="508"/>
      <c r="AI379" s="508"/>
      <c r="AJ379" s="508"/>
      <c r="AK379" s="508"/>
      <c r="AL379" s="508"/>
      <c r="AM379" s="508"/>
      <c r="AN379" s="508"/>
      <c r="AO379" s="508"/>
      <c r="AP379" s="508"/>
      <c r="AQ379" s="508"/>
      <c r="AR379" s="508"/>
      <c r="AS379" s="508"/>
      <c r="AT379" s="508"/>
      <c r="AU379" s="508"/>
      <c r="AV379" s="508"/>
      <c r="AW379" s="508"/>
      <c r="AX379" s="508"/>
      <c r="AY379" s="508"/>
      <c r="AZ379" s="508"/>
      <c r="BA379" s="508"/>
    </row>
    <row r="380" spans="2:53">
      <c r="B380" s="1328"/>
      <c r="C380" s="1329"/>
      <c r="D380" s="501"/>
      <c r="E380" s="501"/>
      <c r="F380" s="1315" t="s">
        <v>668</v>
      </c>
      <c r="G380" s="1316"/>
      <c r="H380" s="503">
        <f>2859.404</f>
        <v>2859.404</v>
      </c>
      <c r="I380" s="505"/>
      <c r="J380" s="504"/>
      <c r="K380" s="504"/>
      <c r="L380" s="504"/>
      <c r="M380" s="504"/>
      <c r="N380" s="505" t="str">
        <f t="shared" si="31"/>
        <v xml:space="preserve"> </v>
      </c>
      <c r="O380" s="506"/>
      <c r="P380" s="507"/>
      <c r="Q380" s="507"/>
      <c r="R380" s="507"/>
      <c r="S380" s="500"/>
      <c r="T380" s="508"/>
      <c r="U380" s="508"/>
      <c r="V380" s="508"/>
      <c r="W380" s="508"/>
      <c r="X380" s="508"/>
      <c r="Y380" s="508"/>
      <c r="Z380" s="508"/>
      <c r="AA380" s="508"/>
      <c r="AB380" s="508"/>
      <c r="AC380" s="508"/>
      <c r="AD380" s="508"/>
      <c r="AE380" s="508"/>
      <c r="AF380" s="508"/>
      <c r="AG380" s="508"/>
      <c r="AH380" s="508"/>
      <c r="AI380" s="508"/>
      <c r="AJ380" s="508"/>
      <c r="AK380" s="821"/>
      <c r="AL380" s="508"/>
      <c r="AM380" s="508"/>
      <c r="AN380" s="508"/>
      <c r="AO380" s="508"/>
      <c r="AP380" s="508"/>
      <c r="AQ380" s="508"/>
      <c r="AR380" s="508"/>
      <c r="AS380" s="508"/>
      <c r="AT380" s="764"/>
      <c r="AU380" s="508"/>
      <c r="AV380" s="508"/>
      <c r="AW380" s="508"/>
      <c r="AX380" s="508"/>
      <c r="AY380" s="508"/>
      <c r="AZ380" s="508"/>
      <c r="BA380" s="508"/>
    </row>
    <row r="381" spans="2:53">
      <c r="B381" s="1326" t="s">
        <v>624</v>
      </c>
      <c r="C381" s="1327"/>
      <c r="D381" s="501" t="s">
        <v>3353</v>
      </c>
      <c r="E381" s="501"/>
      <c r="F381" s="501" t="s">
        <v>361</v>
      </c>
      <c r="G381" s="501" t="s">
        <v>362</v>
      </c>
      <c r="H381" s="503">
        <v>7506.8040000000001</v>
      </c>
      <c r="I381" s="505" t="s">
        <v>418</v>
      </c>
      <c r="J381" s="504">
        <v>45226.864583333336</v>
      </c>
      <c r="K381" s="504"/>
      <c r="L381" s="504" t="s">
        <v>192</v>
      </c>
      <c r="M381" s="504" t="s">
        <v>192</v>
      </c>
      <c r="N381" s="505" t="str">
        <f t="shared" si="31"/>
        <v>DELAY ( 5 day 14 hour 15 minute )</v>
      </c>
      <c r="O381" s="506"/>
      <c r="P381" s="507" t="s">
        <v>551</v>
      </c>
      <c r="Q381" s="507" t="s">
        <v>551</v>
      </c>
      <c r="R381" s="507" t="s">
        <v>551</v>
      </c>
      <c r="S381" s="500"/>
      <c r="T381" s="508"/>
      <c r="U381" s="508"/>
      <c r="V381" s="508"/>
      <c r="W381" s="508"/>
      <c r="X381" s="508"/>
      <c r="Y381" s="508"/>
      <c r="Z381" s="508"/>
      <c r="AA381" s="508"/>
      <c r="AB381" s="508">
        <f>H381*0.6</f>
        <v>4504.0824000000002</v>
      </c>
      <c r="AC381" s="508">
        <f>H381*0.4</f>
        <v>3002.7216000000003</v>
      </c>
      <c r="AD381" s="508"/>
      <c r="AE381" s="508"/>
      <c r="AF381" s="508"/>
      <c r="AG381" s="508"/>
      <c r="AH381" s="508"/>
      <c r="AI381" s="508"/>
      <c r="AJ381" s="508"/>
      <c r="AK381" s="508"/>
      <c r="AL381" s="508"/>
      <c r="AM381" s="508"/>
      <c r="AN381" s="508"/>
      <c r="AO381" s="508"/>
      <c r="AP381" s="508"/>
      <c r="AQ381" s="508"/>
      <c r="AR381" s="508"/>
      <c r="AS381" s="508"/>
      <c r="AT381" s="508"/>
      <c r="AU381" s="508"/>
      <c r="AV381" s="508"/>
      <c r="AW381" s="508"/>
      <c r="AX381" s="508"/>
      <c r="AY381" s="508"/>
      <c r="AZ381" s="508"/>
      <c r="BA381" s="508"/>
    </row>
    <row r="382" spans="2:53">
      <c r="B382" s="1421"/>
      <c r="C382" s="1422"/>
      <c r="D382" s="501"/>
      <c r="E382" s="501"/>
      <c r="F382" s="1315" t="s">
        <v>668</v>
      </c>
      <c r="G382" s="1316"/>
      <c r="H382" s="503">
        <v>1000</v>
      </c>
      <c r="I382" s="505"/>
      <c r="J382" s="504"/>
      <c r="K382" s="504"/>
      <c r="L382" s="504"/>
      <c r="M382" s="504"/>
      <c r="N382" s="505" t="str">
        <f t="shared" si="31"/>
        <v xml:space="preserve"> </v>
      </c>
      <c r="O382" s="506"/>
      <c r="P382" s="507"/>
      <c r="Q382" s="507"/>
      <c r="R382" s="507"/>
      <c r="S382" s="500"/>
      <c r="T382" s="508"/>
      <c r="U382" s="508"/>
      <c r="V382" s="508"/>
      <c r="W382" s="508"/>
      <c r="X382" s="508"/>
      <c r="Y382" s="508"/>
      <c r="Z382" s="508"/>
      <c r="AA382" s="508"/>
      <c r="AB382" s="508"/>
      <c r="AC382" s="508"/>
      <c r="AD382" s="508"/>
      <c r="AE382" s="508"/>
      <c r="AF382" s="508"/>
      <c r="AG382" s="508"/>
      <c r="AH382" s="508"/>
      <c r="AI382" s="508"/>
      <c r="AJ382" s="508"/>
      <c r="AK382" s="821"/>
      <c r="AL382" s="508"/>
      <c r="AM382" s="508"/>
      <c r="AN382" s="508"/>
      <c r="AO382" s="508"/>
      <c r="AP382" s="508"/>
      <c r="AQ382" s="508"/>
      <c r="AR382" s="508"/>
      <c r="AS382" s="508"/>
      <c r="AT382" s="764"/>
      <c r="AU382" s="508"/>
      <c r="AV382" s="508"/>
      <c r="AW382" s="508"/>
      <c r="AX382" s="508"/>
      <c r="AY382" s="508"/>
      <c r="AZ382" s="508"/>
      <c r="BA382" s="508"/>
    </row>
    <row r="383" spans="2:53">
      <c r="B383" s="1328"/>
      <c r="C383" s="1329"/>
      <c r="D383" s="501"/>
      <c r="E383" s="501"/>
      <c r="F383" s="1315" t="s">
        <v>616</v>
      </c>
      <c r="G383" s="1316"/>
      <c r="H383" s="503">
        <v>1000</v>
      </c>
      <c r="I383" s="505"/>
      <c r="J383" s="504"/>
      <c r="K383" s="504"/>
      <c r="L383" s="504"/>
      <c r="M383" s="504"/>
      <c r="N383" s="505" t="str">
        <f t="shared" si="31"/>
        <v xml:space="preserve"> </v>
      </c>
      <c r="O383" s="506"/>
      <c r="P383" s="507"/>
      <c r="Q383" s="507"/>
      <c r="R383" s="507"/>
      <c r="S383" s="500"/>
      <c r="T383" s="508"/>
      <c r="U383" s="508"/>
      <c r="V383" s="508"/>
      <c r="W383" s="508"/>
      <c r="X383" s="508"/>
      <c r="Y383" s="508"/>
      <c r="Z383" s="508"/>
      <c r="AA383" s="508"/>
      <c r="AB383" s="508"/>
      <c r="AC383" s="508"/>
      <c r="AD383" s="508"/>
      <c r="AE383" s="508"/>
      <c r="AF383" s="508"/>
      <c r="AG383" s="508"/>
      <c r="AH383" s="508"/>
      <c r="AI383" s="508"/>
      <c r="AJ383" s="508"/>
      <c r="AK383" s="821"/>
      <c r="AL383" s="508"/>
      <c r="AM383" s="508"/>
      <c r="AN383" s="508"/>
      <c r="AO383" s="508"/>
      <c r="AP383" s="508"/>
      <c r="AQ383" s="508"/>
      <c r="AR383" s="508"/>
      <c r="AS383" s="508"/>
      <c r="AT383" s="764"/>
      <c r="AU383" s="508"/>
      <c r="AV383" s="508"/>
      <c r="AW383" s="508"/>
      <c r="AX383" s="508"/>
      <c r="AY383" s="508"/>
      <c r="AZ383" s="508"/>
      <c r="BA383" s="508"/>
    </row>
    <row r="384" spans="2:53">
      <c r="B384" s="1326" t="s">
        <v>625</v>
      </c>
      <c r="C384" s="1327"/>
      <c r="D384" s="501" t="s">
        <v>3354</v>
      </c>
      <c r="E384" s="501"/>
      <c r="F384" s="501" t="s">
        <v>358</v>
      </c>
      <c r="G384" s="501" t="s">
        <v>359</v>
      </c>
      <c r="H384" s="503">
        <v>9165.1569999999992</v>
      </c>
      <c r="I384" s="505" t="s">
        <v>418</v>
      </c>
      <c r="J384" s="504">
        <v>45227.166666666664</v>
      </c>
      <c r="K384" s="504"/>
      <c r="L384" s="504" t="s">
        <v>192</v>
      </c>
      <c r="M384" s="504" t="s">
        <v>192</v>
      </c>
      <c r="N384" s="505" t="str">
        <f t="shared" si="31"/>
        <v>DELAY ( 5 day 21 hour 30 minute )</v>
      </c>
      <c r="O384" s="506"/>
      <c r="P384" s="507" t="s">
        <v>551</v>
      </c>
      <c r="Q384" s="507" t="s">
        <v>551</v>
      </c>
      <c r="R384" s="507" t="s">
        <v>551</v>
      </c>
      <c r="S384" s="500"/>
      <c r="T384" s="508"/>
      <c r="U384" s="508"/>
      <c r="V384" s="508"/>
      <c r="W384" s="508"/>
      <c r="X384" s="508"/>
      <c r="Y384" s="508"/>
      <c r="Z384" s="508"/>
      <c r="AA384" s="508"/>
      <c r="AB384" s="508">
        <f>H384*0.6</f>
        <v>5499.0941999999995</v>
      </c>
      <c r="AC384" s="508">
        <f>H384*0.4</f>
        <v>3666.0627999999997</v>
      </c>
      <c r="AD384" s="508"/>
      <c r="AE384" s="508"/>
      <c r="AF384" s="508"/>
      <c r="AG384" s="508"/>
      <c r="AH384" s="508"/>
      <c r="AI384" s="508"/>
      <c r="AJ384" s="508"/>
      <c r="AK384" s="508"/>
      <c r="AL384" s="508"/>
      <c r="AM384" s="508"/>
      <c r="AN384" s="508"/>
      <c r="AO384" s="508"/>
      <c r="AP384" s="508"/>
      <c r="AQ384" s="508"/>
      <c r="AR384" s="508"/>
      <c r="AS384" s="508"/>
      <c r="AT384" s="508"/>
      <c r="AU384" s="508"/>
      <c r="AV384" s="508"/>
      <c r="AW384" s="508"/>
      <c r="AX384" s="508"/>
      <c r="AY384" s="508"/>
      <c r="AZ384" s="508"/>
      <c r="BA384" s="508"/>
    </row>
    <row r="385" spans="2:53">
      <c r="B385" s="1421"/>
      <c r="C385" s="1422"/>
      <c r="D385" s="501"/>
      <c r="E385" s="501"/>
      <c r="F385" s="1315" t="s">
        <v>668</v>
      </c>
      <c r="G385" s="1316"/>
      <c r="H385" s="503">
        <v>1000</v>
      </c>
      <c r="I385" s="505"/>
      <c r="J385" s="504"/>
      <c r="K385" s="504"/>
      <c r="L385" s="504"/>
      <c r="M385" s="504"/>
      <c r="N385" s="505" t="str">
        <f t="shared" si="31"/>
        <v xml:space="preserve"> </v>
      </c>
      <c r="O385" s="506"/>
      <c r="P385" s="507"/>
      <c r="Q385" s="507"/>
      <c r="R385" s="507"/>
      <c r="S385" s="500"/>
      <c r="T385" s="508"/>
      <c r="U385" s="508"/>
      <c r="V385" s="508"/>
      <c r="W385" s="508"/>
      <c r="X385" s="508"/>
      <c r="Y385" s="508"/>
      <c r="Z385" s="508"/>
      <c r="AA385" s="508"/>
      <c r="AB385" s="508"/>
      <c r="AC385" s="508"/>
      <c r="AD385" s="508"/>
      <c r="AE385" s="508"/>
      <c r="AF385" s="508"/>
      <c r="AG385" s="508"/>
      <c r="AH385" s="508"/>
      <c r="AI385" s="508"/>
      <c r="AJ385" s="508"/>
      <c r="AK385" s="821"/>
      <c r="AL385" s="508"/>
      <c r="AM385" s="508"/>
      <c r="AN385" s="508"/>
      <c r="AO385" s="508"/>
      <c r="AP385" s="508"/>
      <c r="AQ385" s="508"/>
      <c r="AR385" s="508"/>
      <c r="AS385" s="508"/>
      <c r="AT385" s="764"/>
      <c r="AU385" s="508"/>
      <c r="AV385" s="508"/>
      <c r="AW385" s="508"/>
      <c r="AX385" s="508"/>
      <c r="AY385" s="508"/>
      <c r="AZ385" s="508"/>
      <c r="BA385" s="508"/>
    </row>
    <row r="386" spans="2:53">
      <c r="B386" s="1328"/>
      <c r="C386" s="1329"/>
      <c r="D386" s="501"/>
      <c r="E386" s="501"/>
      <c r="F386" s="1315" t="s">
        <v>616</v>
      </c>
      <c r="G386" s="1316"/>
      <c r="H386" s="503">
        <v>1000</v>
      </c>
      <c r="I386" s="505"/>
      <c r="J386" s="504"/>
      <c r="K386" s="504"/>
      <c r="L386" s="504"/>
      <c r="M386" s="504"/>
      <c r="N386" s="505" t="str">
        <f t="shared" si="31"/>
        <v xml:space="preserve"> </v>
      </c>
      <c r="O386" s="506"/>
      <c r="P386" s="507"/>
      <c r="Q386" s="507"/>
      <c r="R386" s="507"/>
      <c r="S386" s="500"/>
      <c r="T386" s="508"/>
      <c r="U386" s="508"/>
      <c r="V386" s="508"/>
      <c r="W386" s="508"/>
      <c r="X386" s="508"/>
      <c r="Y386" s="508"/>
      <c r="Z386" s="508"/>
      <c r="AA386" s="508"/>
      <c r="AB386" s="508"/>
      <c r="AC386" s="508"/>
      <c r="AD386" s="508"/>
      <c r="AE386" s="508"/>
      <c r="AF386" s="508"/>
      <c r="AG386" s="508"/>
      <c r="AH386" s="508"/>
      <c r="AI386" s="508"/>
      <c r="AJ386" s="508"/>
      <c r="AK386" s="821"/>
      <c r="AL386" s="508"/>
      <c r="AM386" s="508"/>
      <c r="AN386" s="508"/>
      <c r="AO386" s="508"/>
      <c r="AP386" s="508"/>
      <c r="AQ386" s="508"/>
      <c r="AR386" s="508"/>
      <c r="AS386" s="508"/>
      <c r="AT386" s="764"/>
      <c r="AU386" s="508"/>
      <c r="AV386" s="508"/>
      <c r="AW386" s="508"/>
      <c r="AX386" s="508"/>
      <c r="AY386" s="508"/>
      <c r="AZ386" s="508"/>
      <c r="BA386" s="508"/>
    </row>
    <row r="387" spans="2:53">
      <c r="B387" s="1296" t="s">
        <v>669</v>
      </c>
      <c r="C387" s="1297"/>
      <c r="D387" s="436" t="s">
        <v>3352</v>
      </c>
      <c r="E387" s="436"/>
      <c r="F387" s="436" t="s">
        <v>1799</v>
      </c>
      <c r="G387" s="436" t="s">
        <v>2437</v>
      </c>
      <c r="H387" s="437">
        <v>7655.2449999999999</v>
      </c>
      <c r="I387" s="438" t="s">
        <v>418</v>
      </c>
      <c r="J387" s="439">
        <v>45227.871527777781</v>
      </c>
      <c r="K387" s="439"/>
      <c r="L387" s="504" t="s">
        <v>192</v>
      </c>
      <c r="M387" s="504" t="s">
        <v>192</v>
      </c>
      <c r="N387" s="505" t="str">
        <f t="shared" si="31"/>
        <v>DELAY ( 6 day 14 hour 25 minute )</v>
      </c>
      <c r="O387" s="308"/>
      <c r="P387" s="440" t="s">
        <v>551</v>
      </c>
      <c r="Q387" s="440" t="s">
        <v>551</v>
      </c>
      <c r="R387" s="507" t="s">
        <v>551</v>
      </c>
      <c r="S387" s="201"/>
      <c r="T387" s="441"/>
      <c r="U387" s="441"/>
      <c r="V387" s="441"/>
      <c r="W387" s="441"/>
      <c r="X387" s="441"/>
      <c r="Y387" s="441"/>
      <c r="Z387" s="441"/>
      <c r="AA387" s="441"/>
      <c r="AB387" s="441">
        <f>H387*0.6</f>
        <v>4593.1469999999999</v>
      </c>
      <c r="AC387" s="441">
        <f>H387*0.4</f>
        <v>3062.098</v>
      </c>
      <c r="AD387" s="441"/>
      <c r="AE387" s="441"/>
      <c r="AF387" s="441"/>
      <c r="AG387" s="441"/>
      <c r="AH387" s="441"/>
      <c r="AI387" s="441"/>
      <c r="AJ387" s="441"/>
      <c r="AK387" s="201"/>
      <c r="AL387" s="441"/>
      <c r="AM387" s="441"/>
      <c r="AN387" s="441"/>
      <c r="AO387" s="441"/>
      <c r="AP387" s="441"/>
      <c r="AQ387" s="441"/>
      <c r="AR387" s="441"/>
      <c r="AS387" s="441"/>
      <c r="AT387" s="441"/>
      <c r="AU387" s="441"/>
      <c r="AV387" s="441"/>
      <c r="AW387" s="441"/>
      <c r="AX387" s="441"/>
      <c r="AY387" s="441"/>
      <c r="AZ387" s="441"/>
      <c r="BA387" s="441"/>
    </row>
    <row r="388" spans="2:53">
      <c r="B388" s="1452"/>
      <c r="C388" s="1453"/>
      <c r="D388" s="436"/>
      <c r="E388" s="436"/>
      <c r="F388" s="1294" t="s">
        <v>668</v>
      </c>
      <c r="G388" s="1295"/>
      <c r="H388" s="437">
        <v>1000</v>
      </c>
      <c r="I388" s="438"/>
      <c r="J388" s="439"/>
      <c r="K388" s="439"/>
      <c r="L388" s="439"/>
      <c r="M388" s="439"/>
      <c r="N388" s="505" t="str">
        <f t="shared" si="31"/>
        <v xml:space="preserve"> </v>
      </c>
      <c r="O388" s="308"/>
      <c r="P388" s="440"/>
      <c r="Q388" s="440"/>
      <c r="R388" s="440"/>
      <c r="S388" s="201"/>
      <c r="T388" s="441"/>
      <c r="U388" s="441"/>
      <c r="V388" s="441"/>
      <c r="W388" s="441"/>
      <c r="X388" s="441"/>
      <c r="Y388" s="441"/>
      <c r="Z388" s="441"/>
      <c r="AA388" s="441"/>
      <c r="AB388" s="441"/>
      <c r="AC388" s="441"/>
      <c r="AD388" s="441"/>
      <c r="AE388" s="441"/>
      <c r="AF388" s="441"/>
      <c r="AG388" s="441"/>
      <c r="AH388" s="441"/>
      <c r="AI388" s="441"/>
      <c r="AJ388" s="441"/>
      <c r="AK388" s="822"/>
      <c r="AL388" s="441"/>
      <c r="AM388" s="441"/>
      <c r="AN388" s="441"/>
      <c r="AO388" s="441"/>
      <c r="AP388" s="441"/>
      <c r="AQ388" s="441"/>
      <c r="AR388" s="441"/>
      <c r="AS388" s="441"/>
      <c r="AT388" s="310"/>
      <c r="AU388" s="441"/>
      <c r="AV388" s="441"/>
      <c r="AW388" s="441"/>
      <c r="AX388" s="441"/>
      <c r="AY388" s="441"/>
      <c r="AZ388" s="441"/>
      <c r="BA388" s="441"/>
    </row>
    <row r="389" spans="2:53">
      <c r="B389" s="1452"/>
      <c r="C389" s="1453"/>
      <c r="D389" s="436"/>
      <c r="E389" s="436"/>
      <c r="F389" s="1294" t="s">
        <v>616</v>
      </c>
      <c r="G389" s="1295"/>
      <c r="H389" s="437">
        <v>1000</v>
      </c>
      <c r="I389" s="438"/>
      <c r="J389" s="439"/>
      <c r="K389" s="439"/>
      <c r="L389" s="439"/>
      <c r="M389" s="439"/>
      <c r="N389" s="505" t="str">
        <f t="shared" si="31"/>
        <v xml:space="preserve"> </v>
      </c>
      <c r="O389" s="308"/>
      <c r="P389" s="440"/>
      <c r="Q389" s="440"/>
      <c r="R389" s="440"/>
      <c r="S389" s="201"/>
      <c r="T389" s="441"/>
      <c r="U389" s="441"/>
      <c r="V389" s="441"/>
      <c r="W389" s="441"/>
      <c r="X389" s="441"/>
      <c r="Y389" s="441"/>
      <c r="Z389" s="441"/>
      <c r="AA389" s="441"/>
      <c r="AB389" s="441"/>
      <c r="AC389" s="441"/>
      <c r="AD389" s="441"/>
      <c r="AE389" s="441"/>
      <c r="AF389" s="441"/>
      <c r="AG389" s="441"/>
      <c r="AH389" s="441"/>
      <c r="AI389" s="441"/>
      <c r="AJ389" s="441"/>
      <c r="AK389" s="822"/>
      <c r="AL389" s="441"/>
      <c r="AM389" s="441"/>
      <c r="AN389" s="441"/>
      <c r="AO389" s="441"/>
      <c r="AP389" s="441"/>
      <c r="AQ389" s="441"/>
      <c r="AR389" s="441"/>
      <c r="AS389" s="441"/>
      <c r="AT389" s="310"/>
      <c r="AU389" s="441"/>
      <c r="AV389" s="441"/>
      <c r="AW389" s="441"/>
      <c r="AX389" s="441"/>
      <c r="AY389" s="441"/>
      <c r="AZ389" s="441"/>
      <c r="BA389" s="441"/>
    </row>
    <row r="390" spans="2:53">
      <c r="B390" s="1454" t="s">
        <v>670</v>
      </c>
      <c r="C390" s="1454"/>
      <c r="D390" s="823" t="s">
        <v>3357</v>
      </c>
      <c r="E390" s="436"/>
      <c r="F390" s="436" t="s">
        <v>307</v>
      </c>
      <c r="G390" s="436" t="s">
        <v>308</v>
      </c>
      <c r="H390" s="437">
        <v>7784.3050000000003</v>
      </c>
      <c r="I390" s="438" t="s">
        <v>418</v>
      </c>
      <c r="J390" s="439">
        <v>45228.208333333336</v>
      </c>
      <c r="K390" s="439"/>
      <c r="L390" s="504" t="s">
        <v>192</v>
      </c>
      <c r="M390" s="504" t="s">
        <v>192</v>
      </c>
      <c r="N390" s="505" t="str">
        <f t="shared" si="31"/>
        <v>DELAY ( 6 day 22 hour 30 minute )</v>
      </c>
      <c r="O390" s="308"/>
      <c r="P390" s="440" t="s">
        <v>551</v>
      </c>
      <c r="Q390" s="440" t="s">
        <v>551</v>
      </c>
      <c r="R390" s="507" t="s">
        <v>551</v>
      </c>
      <c r="S390" s="201"/>
      <c r="T390" s="441"/>
      <c r="U390" s="441"/>
      <c r="V390" s="441"/>
      <c r="W390" s="441"/>
      <c r="X390" s="441"/>
      <c r="Y390" s="441"/>
      <c r="Z390" s="441"/>
      <c r="AA390" s="441"/>
      <c r="AB390" s="441">
        <f t="shared" ref="AB390" si="32">H390*0.6</f>
        <v>4670.5829999999996</v>
      </c>
      <c r="AC390" s="441">
        <f t="shared" ref="AC390" si="33">H390*0.4</f>
        <v>3113.7220000000002</v>
      </c>
      <c r="AD390" s="441"/>
      <c r="AE390" s="441"/>
      <c r="AF390" s="441"/>
      <c r="AG390" s="441"/>
      <c r="AH390" s="441"/>
      <c r="AI390" s="441"/>
      <c r="AJ390" s="441"/>
      <c r="AK390" s="441"/>
      <c r="AL390" s="441"/>
      <c r="AM390" s="441"/>
      <c r="AN390" s="441"/>
      <c r="AO390" s="441"/>
      <c r="AP390" s="441"/>
      <c r="AQ390" s="441"/>
      <c r="AR390" s="441"/>
      <c r="AS390" s="441"/>
      <c r="AT390" s="441"/>
      <c r="AU390" s="441"/>
      <c r="AV390" s="441"/>
      <c r="AW390" s="441"/>
      <c r="AX390" s="441"/>
      <c r="AY390" s="441"/>
      <c r="AZ390" s="441"/>
      <c r="BA390" s="441"/>
    </row>
    <row r="391" spans="2:53">
      <c r="B391" s="1454"/>
      <c r="C391" s="1454"/>
      <c r="D391" s="823"/>
      <c r="E391" s="436"/>
      <c r="F391" s="1294" t="s">
        <v>616</v>
      </c>
      <c r="G391" s="1295"/>
      <c r="H391" s="437">
        <f>1000.405</f>
        <v>1000.405</v>
      </c>
      <c r="I391" s="438"/>
      <c r="J391" s="439"/>
      <c r="K391" s="439"/>
      <c r="L391" s="439"/>
      <c r="M391" s="439"/>
      <c r="N391" s="505" t="str">
        <f t="shared" si="31"/>
        <v xml:space="preserve"> </v>
      </c>
      <c r="O391" s="308"/>
      <c r="P391" s="440"/>
      <c r="Q391" s="440"/>
      <c r="R391" s="440"/>
      <c r="S391" s="201"/>
      <c r="T391" s="441"/>
      <c r="U391" s="441"/>
      <c r="V391" s="441"/>
      <c r="W391" s="441"/>
      <c r="X391" s="441"/>
      <c r="Y391" s="441"/>
      <c r="Z391" s="441"/>
      <c r="AA391" s="441"/>
      <c r="AB391" s="441"/>
      <c r="AC391" s="441"/>
      <c r="AD391" s="441"/>
      <c r="AE391" s="441"/>
      <c r="AF391" s="441"/>
      <c r="AG391" s="441"/>
      <c r="AH391" s="441"/>
      <c r="AI391" s="441"/>
      <c r="AJ391" s="441"/>
      <c r="AK391" s="822"/>
      <c r="AL391" s="441"/>
      <c r="AM391" s="441"/>
      <c r="AN391" s="441"/>
      <c r="AO391" s="441"/>
      <c r="AP391" s="441"/>
      <c r="AQ391" s="441"/>
      <c r="AR391" s="441"/>
      <c r="AS391" s="441"/>
      <c r="AT391" s="310"/>
      <c r="AU391" s="441"/>
      <c r="AV391" s="441"/>
      <c r="AW391" s="441"/>
      <c r="AX391" s="441"/>
      <c r="AY391" s="441"/>
      <c r="AZ391" s="441"/>
      <c r="BA391" s="441"/>
    </row>
    <row r="392" spans="2:53">
      <c r="B392" s="1298" t="s">
        <v>867</v>
      </c>
      <c r="C392" s="1299"/>
      <c r="D392" s="436" t="s">
        <v>3358</v>
      </c>
      <c r="E392" s="436"/>
      <c r="F392" s="436" t="s">
        <v>695</v>
      </c>
      <c r="G392" s="436" t="s">
        <v>281</v>
      </c>
      <c r="H392" s="437">
        <f>7623.117-6885.626</f>
        <v>737.49099999999999</v>
      </c>
      <c r="I392" s="438" t="s">
        <v>418</v>
      </c>
      <c r="J392" s="439">
        <v>45228.0625</v>
      </c>
      <c r="K392" s="439"/>
      <c r="L392" s="504" t="s">
        <v>192</v>
      </c>
      <c r="M392" s="504" t="s">
        <v>192</v>
      </c>
      <c r="N392" s="505" t="str">
        <f t="shared" si="31"/>
        <v>DELAY ( 6 day 19 hour 0 minute )</v>
      </c>
      <c r="O392" s="308"/>
      <c r="P392" s="440" t="s">
        <v>551</v>
      </c>
      <c r="Q392" s="440" t="s">
        <v>551</v>
      </c>
      <c r="R392" s="507" t="s">
        <v>551</v>
      </c>
      <c r="S392" s="201"/>
      <c r="T392" s="441"/>
      <c r="U392" s="441"/>
      <c r="V392" s="441"/>
      <c r="W392" s="441"/>
      <c r="X392" s="441"/>
      <c r="Y392" s="441"/>
      <c r="Z392" s="441"/>
      <c r="AA392" s="441"/>
      <c r="AB392" s="441">
        <f>(H392*0.6)</f>
        <v>442.49459999999999</v>
      </c>
      <c r="AC392" s="441">
        <f>(H392*0.4)</f>
        <v>294.99639999999999</v>
      </c>
      <c r="AD392" s="441"/>
      <c r="AE392" s="441"/>
      <c r="AF392" s="441"/>
      <c r="AG392" s="441"/>
      <c r="AH392" s="441"/>
      <c r="AI392" s="441"/>
      <c r="AJ392" s="441"/>
      <c r="AK392" s="441"/>
      <c r="AL392" s="441"/>
      <c r="AM392" s="441"/>
      <c r="AN392" s="441"/>
      <c r="AO392" s="441"/>
      <c r="AP392" s="441"/>
      <c r="AQ392" s="441"/>
      <c r="AR392" s="441"/>
      <c r="AS392" s="441"/>
      <c r="AT392" s="441"/>
      <c r="AU392" s="441"/>
      <c r="AV392" s="441"/>
      <c r="AW392" s="441"/>
      <c r="AX392" s="441"/>
      <c r="AY392" s="441"/>
      <c r="AZ392" s="441"/>
      <c r="BA392" s="441"/>
    </row>
    <row r="393" spans="2:53">
      <c r="B393" s="1351" t="s">
        <v>626</v>
      </c>
      <c r="C393" s="1352"/>
      <c r="D393" s="1352"/>
      <c r="E393" s="1352"/>
      <c r="F393" s="1352"/>
      <c r="G393" s="1353"/>
      <c r="H393" s="702">
        <f>H376+H387+H374+H381+H384+H372+H379+H390+H392</f>
        <v>65643.455999999991</v>
      </c>
      <c r="I393" s="707"/>
      <c r="J393" s="708"/>
      <c r="K393" s="708"/>
      <c r="L393" s="708"/>
      <c r="M393" s="709"/>
      <c r="N393" s="505" t="str">
        <f t="shared" si="31"/>
        <v xml:space="preserve"> </v>
      </c>
      <c r="O393" s="552"/>
      <c r="P393" s="706"/>
      <c r="Q393" s="706"/>
      <c r="R393" s="706"/>
      <c r="S393" s="598"/>
      <c r="T393" s="1423"/>
      <c r="U393" s="1423"/>
      <c r="V393" s="1423"/>
      <c r="W393" s="1423"/>
      <c r="X393" s="1423"/>
      <c r="Y393" s="1423"/>
      <c r="Z393" s="1423"/>
      <c r="AA393" s="1423"/>
      <c r="AB393" s="1423"/>
      <c r="AC393" s="1423"/>
      <c r="AD393" s="1423"/>
      <c r="AE393" s="1423"/>
      <c r="AF393" s="1423"/>
      <c r="AG393" s="1423"/>
      <c r="AH393" s="1423"/>
      <c r="AI393" s="1423"/>
      <c r="AJ393" s="1423"/>
      <c r="AK393" s="1423"/>
      <c r="AL393" s="1423"/>
      <c r="AM393" s="1423"/>
      <c r="AN393" s="1423"/>
      <c r="AO393" s="1423"/>
      <c r="AP393" s="1423"/>
      <c r="AQ393" s="1423"/>
      <c r="AR393" s="1423"/>
      <c r="AS393" s="1423"/>
      <c r="AT393" s="1423"/>
      <c r="AU393" s="1423"/>
      <c r="AV393" s="1423"/>
      <c r="AW393" s="1423"/>
      <c r="AX393" s="1423"/>
      <c r="AY393" s="1423"/>
      <c r="AZ393" s="1423"/>
      <c r="BA393" s="1423"/>
    </row>
    <row r="394" spans="2:53">
      <c r="B394" s="1258" t="s">
        <v>556</v>
      </c>
      <c r="C394" s="1259"/>
      <c r="D394" s="1259"/>
      <c r="E394" s="1259"/>
      <c r="F394" s="1259"/>
      <c r="G394" s="1260"/>
      <c r="H394" s="417">
        <f>H371+H393</f>
        <v>79799.999999999985</v>
      </c>
      <c r="I394" s="388"/>
      <c r="J394" s="293"/>
      <c r="K394" s="293"/>
      <c r="L394" s="293"/>
      <c r="M394" s="389"/>
      <c r="N394" s="505" t="str">
        <f t="shared" si="31"/>
        <v xml:space="preserve"> </v>
      </c>
      <c r="O394" s="212"/>
      <c r="P394" s="418"/>
      <c r="Q394" s="418"/>
      <c r="R394" s="418"/>
      <c r="S394" s="207"/>
      <c r="T394" s="1300"/>
      <c r="U394" s="1301"/>
      <c r="V394" s="1301"/>
      <c r="W394" s="1301"/>
      <c r="X394" s="1301"/>
      <c r="Y394" s="1301"/>
      <c r="Z394" s="1301"/>
      <c r="AA394" s="1301"/>
      <c r="AB394" s="1301"/>
      <c r="AC394" s="1301"/>
      <c r="AD394" s="1301"/>
      <c r="AE394" s="1301"/>
      <c r="AF394" s="1301"/>
      <c r="AG394" s="1301"/>
      <c r="AH394" s="1301"/>
      <c r="AI394" s="1301"/>
      <c r="AJ394" s="1301"/>
      <c r="AK394" s="1301"/>
      <c r="AL394" s="1301"/>
      <c r="AM394" s="1301"/>
      <c r="AN394" s="1301"/>
      <c r="AO394" s="1301"/>
      <c r="AP394" s="1301"/>
      <c r="AQ394" s="1301"/>
      <c r="AR394" s="1301"/>
      <c r="AS394" s="1301"/>
      <c r="AT394" s="1301"/>
      <c r="AU394" s="1301"/>
      <c r="AV394" s="1301"/>
      <c r="AW394" s="1301"/>
      <c r="AX394" s="1301"/>
      <c r="AY394" s="1301"/>
      <c r="AZ394" s="1301"/>
      <c r="BA394" s="1301"/>
    </row>
    <row r="395" spans="2:53">
      <c r="B395" s="1320" t="s">
        <v>557</v>
      </c>
      <c r="C395" s="1321"/>
      <c r="D395" s="1321"/>
      <c r="E395" s="1321"/>
      <c r="F395" s="1321"/>
      <c r="G395" s="1322"/>
      <c r="H395" s="545">
        <v>79800</v>
      </c>
      <c r="I395" s="1331"/>
      <c r="J395" s="1332"/>
      <c r="K395" s="1332"/>
      <c r="L395" s="1332"/>
      <c r="M395" s="1333"/>
      <c r="N395" s="505" t="str">
        <f t="shared" si="31"/>
        <v xml:space="preserve"> </v>
      </c>
      <c r="O395" s="32"/>
      <c r="P395" s="415"/>
      <c r="Q395" s="415"/>
      <c r="R395" s="415"/>
      <c r="S395" s="63"/>
      <c r="T395" s="416">
        <f t="shared" ref="T395:BA395" si="34">SUM(T369:T392)</f>
        <v>0</v>
      </c>
      <c r="U395" s="416">
        <f t="shared" si="34"/>
        <v>0</v>
      </c>
      <c r="V395" s="416">
        <f t="shared" si="34"/>
        <v>0</v>
      </c>
      <c r="W395" s="416">
        <f t="shared" si="34"/>
        <v>0</v>
      </c>
      <c r="X395" s="416">
        <f t="shared" si="34"/>
        <v>0</v>
      </c>
      <c r="Y395" s="416">
        <f t="shared" si="34"/>
        <v>0</v>
      </c>
      <c r="Z395" s="416">
        <f t="shared" si="34"/>
        <v>0</v>
      </c>
      <c r="AA395" s="416">
        <f t="shared" si="34"/>
        <v>0</v>
      </c>
      <c r="AB395" s="416">
        <f t="shared" si="34"/>
        <v>39386.073599999996</v>
      </c>
      <c r="AC395" s="416">
        <f t="shared" si="34"/>
        <v>32763.521400000001</v>
      </c>
      <c r="AD395" s="416">
        <f t="shared" si="34"/>
        <v>0</v>
      </c>
      <c r="AE395" s="416">
        <f t="shared" si="34"/>
        <v>0</v>
      </c>
      <c r="AF395" s="416">
        <f t="shared" si="34"/>
        <v>0</v>
      </c>
      <c r="AG395" s="416">
        <f t="shared" si="34"/>
        <v>0</v>
      </c>
      <c r="AH395" s="416">
        <f t="shared" si="34"/>
        <v>0</v>
      </c>
      <c r="AI395" s="416">
        <f t="shared" si="34"/>
        <v>0</v>
      </c>
      <c r="AJ395" s="416">
        <f t="shared" si="34"/>
        <v>0</v>
      </c>
      <c r="AK395" s="416">
        <f t="shared" si="34"/>
        <v>0</v>
      </c>
      <c r="AL395" s="416">
        <f t="shared" si="34"/>
        <v>0</v>
      </c>
      <c r="AM395" s="416">
        <f t="shared" si="34"/>
        <v>0</v>
      </c>
      <c r="AN395" s="416">
        <f t="shared" si="34"/>
        <v>0</v>
      </c>
      <c r="AO395" s="416">
        <f t="shared" si="34"/>
        <v>0</v>
      </c>
      <c r="AP395" s="416">
        <f t="shared" si="34"/>
        <v>0</v>
      </c>
      <c r="AQ395" s="416">
        <f t="shared" si="34"/>
        <v>0</v>
      </c>
      <c r="AR395" s="416">
        <f t="shared" si="34"/>
        <v>0</v>
      </c>
      <c r="AS395" s="416">
        <f t="shared" si="34"/>
        <v>0</v>
      </c>
      <c r="AT395" s="416">
        <f t="shared" si="34"/>
        <v>0</v>
      </c>
      <c r="AU395" s="416">
        <f t="shared" si="34"/>
        <v>0</v>
      </c>
      <c r="AV395" s="416">
        <f t="shared" si="34"/>
        <v>0</v>
      </c>
      <c r="AW395" s="416">
        <f t="shared" si="34"/>
        <v>0</v>
      </c>
      <c r="AX395" s="416">
        <f t="shared" si="34"/>
        <v>0</v>
      </c>
      <c r="AY395" s="416">
        <f t="shared" si="34"/>
        <v>7650.4049999999997</v>
      </c>
      <c r="AZ395" s="416">
        <f t="shared" si="34"/>
        <v>0</v>
      </c>
      <c r="BA395" s="416">
        <f t="shared" si="34"/>
        <v>0</v>
      </c>
    </row>
    <row r="396" spans="2:53">
      <c r="B396" s="1320" t="s">
        <v>558</v>
      </c>
      <c r="C396" s="1321"/>
      <c r="D396" s="1321"/>
      <c r="E396" s="1321"/>
      <c r="F396" s="1321"/>
      <c r="G396" s="1322"/>
      <c r="H396" s="546">
        <f>H395-L363</f>
        <v>0</v>
      </c>
      <c r="I396" s="556"/>
      <c r="J396" s="557"/>
      <c r="K396" s="557"/>
      <c r="L396" s="558"/>
      <c r="M396" s="500"/>
      <c r="N396" s="32"/>
      <c r="O396" s="32"/>
      <c r="P396" s="32"/>
      <c r="Q396" s="297"/>
      <c r="R396" s="297"/>
      <c r="S396" s="32"/>
      <c r="T396" s="48"/>
      <c r="U396" s="48"/>
      <c r="V396" s="48"/>
      <c r="W396" s="48"/>
      <c r="X396" s="48"/>
      <c r="Y396" s="48"/>
      <c r="Z396" s="48"/>
      <c r="AA396" s="48"/>
      <c r="AB396" s="48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</row>
    <row r="397" spans="2:53">
      <c r="B397" s="1320" t="s">
        <v>559</v>
      </c>
      <c r="C397" s="1321"/>
      <c r="D397" s="1321"/>
      <c r="E397" s="1321"/>
      <c r="F397" s="1321"/>
      <c r="G397" s="1322"/>
      <c r="H397" s="532">
        <v>5450</v>
      </c>
      <c r="I397" s="561"/>
      <c r="J397" s="562"/>
      <c r="K397" s="562"/>
      <c r="L397" s="563"/>
      <c r="M397" s="500"/>
      <c r="N397" s="201"/>
      <c r="O397" s="32"/>
      <c r="P397" s="32"/>
      <c r="Q397" s="32"/>
      <c r="R397" s="32"/>
      <c r="S397" s="32"/>
      <c r="T397" s="48"/>
      <c r="U397" s="48"/>
      <c r="V397" s="48"/>
      <c r="W397" s="48"/>
      <c r="X397" s="48"/>
      <c r="Y397" s="48"/>
      <c r="Z397" s="48"/>
      <c r="AA397" s="48"/>
      <c r="AB397" s="48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</row>
    <row r="398" spans="2:53">
      <c r="B398" s="1415" t="s">
        <v>560</v>
      </c>
      <c r="C398" s="1416"/>
      <c r="D398" s="1416"/>
      <c r="E398" s="1416"/>
      <c r="F398" s="1416"/>
      <c r="G398" s="1417"/>
      <c r="H398" s="741">
        <f>H397-6885.626</f>
        <v>-1435.6260000000002</v>
      </c>
      <c r="I398" s="641"/>
      <c r="J398" s="642"/>
      <c r="K398" s="642"/>
      <c r="L398" s="499"/>
      <c r="M398" s="613"/>
      <c r="N398" s="613"/>
      <c r="O398" s="613"/>
      <c r="P398" s="613"/>
      <c r="Q398" s="613"/>
      <c r="R398" s="613"/>
      <c r="S398" s="616"/>
      <c r="T398" s="616"/>
      <c r="U398" s="616"/>
      <c r="V398" s="616"/>
      <c r="W398" s="616"/>
      <c r="X398" s="616"/>
      <c r="Y398" s="616"/>
      <c r="Z398" s="616"/>
      <c r="AA398" s="616"/>
      <c r="AB398" s="613">
        <f>-(H397*0.6)</f>
        <v>-3270</v>
      </c>
      <c r="AC398" s="613">
        <f>-(H397*0.4)</f>
        <v>-2180</v>
      </c>
      <c r="AD398" s="613"/>
      <c r="AE398" s="613"/>
      <c r="AF398" s="613"/>
      <c r="AG398" s="613"/>
      <c r="AH398" s="613"/>
      <c r="AI398" s="613"/>
      <c r="AJ398" s="613"/>
      <c r="AK398" s="613"/>
      <c r="AL398" s="613"/>
      <c r="AM398" s="613"/>
      <c r="AN398" s="613"/>
      <c r="AO398" s="613"/>
      <c r="AP398" s="613"/>
      <c r="AQ398" s="613"/>
      <c r="AR398" s="496"/>
      <c r="AS398" s="496"/>
      <c r="AT398" s="496"/>
      <c r="AU398" s="496"/>
      <c r="AV398" s="496"/>
      <c r="AW398" s="496"/>
      <c r="AX398" s="496"/>
      <c r="AY398" s="496"/>
      <c r="AZ398" s="496"/>
      <c r="BA398" s="496"/>
    </row>
    <row r="399" spans="2:53">
      <c r="B399" s="201"/>
      <c r="C399" s="201"/>
      <c r="D399" s="201"/>
      <c r="E399" s="201"/>
      <c r="F399" s="201"/>
      <c r="G399" s="201"/>
      <c r="H399" s="201"/>
      <c r="I399" s="213"/>
      <c r="J399" s="209"/>
      <c r="K399" s="209"/>
      <c r="L399" s="203"/>
      <c r="M399" s="201"/>
      <c r="N399" s="201"/>
      <c r="O399" s="209"/>
      <c r="P399" s="32"/>
      <c r="Q399" s="32"/>
      <c r="R399" s="32"/>
      <c r="S399" s="32"/>
      <c r="T399" s="48"/>
      <c r="U399" s="48"/>
      <c r="V399" s="48"/>
      <c r="W399" s="48"/>
      <c r="X399" s="48"/>
      <c r="Y399" s="48"/>
      <c r="Z399" s="48"/>
      <c r="AA399" s="48"/>
      <c r="AB399" s="48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</row>
    <row r="400" spans="2:53">
      <c r="B400" s="40" t="s">
        <v>561</v>
      </c>
      <c r="C400" s="40"/>
      <c r="D400" s="32"/>
      <c r="E400" s="32"/>
      <c r="F400" s="32"/>
      <c r="G400" s="32"/>
      <c r="H400" s="32"/>
      <c r="I400" s="32"/>
      <c r="J400" s="52"/>
      <c r="K400" s="52"/>
      <c r="L400" s="55"/>
      <c r="M400" s="32"/>
      <c r="N400" s="201"/>
      <c r="O400" s="5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  <c r="AA400" s="202"/>
      <c r="AB400" s="201"/>
      <c r="AC400" s="201"/>
      <c r="AD400" s="201"/>
      <c r="AE400" s="201"/>
      <c r="AF400" s="201"/>
      <c r="AG400" s="201"/>
      <c r="AH400" s="201"/>
      <c r="AI400" s="201"/>
      <c r="AJ400" s="201"/>
      <c r="AK400" s="201"/>
      <c r="AL400" s="201"/>
      <c r="AM400" s="201"/>
      <c r="AN400" s="201"/>
      <c r="AO400" s="201"/>
      <c r="AP400" s="201"/>
      <c r="AQ400" s="201"/>
      <c r="AR400" s="201"/>
      <c r="AS400" s="201"/>
      <c r="AT400" s="201"/>
      <c r="AU400" s="201"/>
    </row>
    <row r="401" spans="2:54">
      <c r="B401" s="422">
        <v>1</v>
      </c>
      <c r="C401" s="1249" t="s">
        <v>3715</v>
      </c>
      <c r="D401" s="1249"/>
      <c r="E401" s="1249"/>
      <c r="F401" s="1249"/>
      <c r="G401" s="1249"/>
      <c r="H401" s="1249"/>
      <c r="I401" s="1249"/>
      <c r="J401" s="1249"/>
      <c r="K401" s="1249"/>
      <c r="L401" s="203"/>
      <c r="M401" s="203"/>
      <c r="N401" s="201"/>
      <c r="O401" s="209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  <c r="AA401" s="202"/>
      <c r="AB401" s="201"/>
      <c r="AC401" s="201"/>
      <c r="AD401" s="201"/>
      <c r="AE401" s="201"/>
      <c r="AF401" s="201"/>
      <c r="AG401" s="201"/>
      <c r="AH401" s="201"/>
      <c r="AI401" s="201"/>
      <c r="AJ401" s="201"/>
      <c r="AK401" s="201"/>
      <c r="AL401" s="201"/>
      <c r="AM401" s="201"/>
      <c r="AN401" s="201"/>
      <c r="AO401" s="201"/>
      <c r="AP401" s="201"/>
      <c r="AQ401" s="201"/>
      <c r="AR401" s="201"/>
      <c r="AS401" s="201"/>
      <c r="AT401" s="201"/>
      <c r="AU401" s="201"/>
      <c r="AV401" s="201"/>
      <c r="AW401" s="201"/>
      <c r="AX401" s="201"/>
      <c r="AY401" s="201"/>
      <c r="AZ401" s="201"/>
      <c r="BA401" s="201"/>
    </row>
    <row r="403" spans="2:54">
      <c r="B403" s="28" t="s">
        <v>126</v>
      </c>
      <c r="C403" s="28"/>
      <c r="D403" s="29"/>
      <c r="E403" s="30" t="s">
        <v>511</v>
      </c>
      <c r="F403" s="31" t="s">
        <v>3118</v>
      </c>
      <c r="G403" s="32"/>
      <c r="H403" s="33"/>
      <c r="I403" s="34"/>
      <c r="J403" s="35" t="s">
        <v>513</v>
      </c>
      <c r="K403" s="36" t="s">
        <v>511</v>
      </c>
      <c r="L403" s="516">
        <v>45228.270833333336</v>
      </c>
      <c r="M403" s="32"/>
      <c r="N403" s="32"/>
      <c r="O403" s="206"/>
      <c r="P403" s="205"/>
      <c r="Q403" s="202"/>
      <c r="R403" s="204"/>
      <c r="S403" s="38"/>
      <c r="T403" s="201"/>
      <c r="U403" s="201"/>
      <c r="V403" s="201"/>
      <c r="W403" s="201"/>
      <c r="X403" s="201"/>
      <c r="Y403" s="201"/>
      <c r="Z403" s="201"/>
      <c r="AA403" s="201"/>
      <c r="AB403" s="202"/>
      <c r="AC403" s="202"/>
      <c r="AD403" s="202"/>
      <c r="AE403" s="202"/>
      <c r="AF403" s="202"/>
      <c r="AG403" s="201"/>
      <c r="AH403" s="201"/>
      <c r="AI403" s="201"/>
      <c r="AJ403" s="201"/>
      <c r="AK403" s="201"/>
      <c r="AL403" s="201"/>
      <c r="AM403" s="201"/>
      <c r="AN403" s="201"/>
      <c r="AO403" s="201"/>
      <c r="AP403" s="201"/>
      <c r="AQ403" s="201"/>
      <c r="AR403" s="201"/>
      <c r="AS403" s="201"/>
      <c r="AT403" s="201"/>
      <c r="AU403" s="201"/>
      <c r="AV403" s="201"/>
      <c r="AW403" s="201"/>
      <c r="AX403" s="201"/>
      <c r="AY403" s="201"/>
      <c r="AZ403" s="201"/>
      <c r="BA403" s="201"/>
      <c r="BB403" s="201"/>
    </row>
    <row r="404" spans="2:54">
      <c r="B404" s="35" t="s">
        <v>514</v>
      </c>
      <c r="C404" s="35"/>
      <c r="D404" s="32"/>
      <c r="E404" s="36" t="s">
        <v>511</v>
      </c>
      <c r="F404" s="311" t="s">
        <v>3716</v>
      </c>
      <c r="G404" s="32"/>
      <c r="H404" s="33"/>
      <c r="I404" s="34"/>
      <c r="J404" s="35" t="s">
        <v>516</v>
      </c>
      <c r="K404" s="36" t="s">
        <v>511</v>
      </c>
      <c r="L404" s="516">
        <v>45230.388888888891</v>
      </c>
      <c r="M404" s="32"/>
      <c r="N404" s="32"/>
      <c r="O404" s="206"/>
      <c r="P404" s="205"/>
      <c r="Q404" s="202"/>
      <c r="R404" s="204"/>
      <c r="S404" s="38"/>
      <c r="T404" s="201"/>
      <c r="U404" s="201"/>
      <c r="V404" s="201"/>
      <c r="W404" s="201"/>
      <c r="X404" s="201"/>
      <c r="Y404" s="201"/>
      <c r="Z404" s="201"/>
      <c r="AA404" s="201"/>
      <c r="AB404" s="202"/>
      <c r="AC404" s="202"/>
      <c r="AD404" s="202"/>
      <c r="AE404" s="202"/>
      <c r="AF404" s="202"/>
      <c r="AG404" s="201"/>
      <c r="AH404" s="201"/>
      <c r="AI404" s="201"/>
      <c r="AJ404" s="201"/>
      <c r="AK404" s="201"/>
      <c r="AL404" s="201"/>
      <c r="AM404" s="201"/>
      <c r="AN404" s="201"/>
      <c r="AO404" s="201"/>
      <c r="AP404" s="201"/>
      <c r="AQ404" s="201"/>
      <c r="AR404" s="201"/>
      <c r="AS404" s="201"/>
      <c r="AT404" s="201"/>
      <c r="AU404" s="201"/>
      <c r="AV404" s="201"/>
      <c r="AW404" s="201"/>
      <c r="AX404" s="201"/>
      <c r="AY404" s="201"/>
      <c r="AZ404" s="201"/>
      <c r="BA404" s="201"/>
      <c r="BB404" s="201"/>
    </row>
    <row r="405" spans="2:54">
      <c r="B405" s="35" t="s">
        <v>517</v>
      </c>
      <c r="C405" s="35"/>
      <c r="D405" s="32"/>
      <c r="E405" s="36" t="s">
        <v>511</v>
      </c>
      <c r="F405" s="516">
        <v>45223.791666666664</v>
      </c>
      <c r="G405" s="32"/>
      <c r="H405" s="33"/>
      <c r="I405" s="34"/>
      <c r="J405" s="35" t="s">
        <v>518</v>
      </c>
      <c r="K405" s="36" t="s">
        <v>511</v>
      </c>
      <c r="L405" s="291">
        <v>55950</v>
      </c>
      <c r="M405" s="40" t="s">
        <v>519</v>
      </c>
      <c r="N405" s="40"/>
      <c r="O405" s="206"/>
      <c r="P405" s="205"/>
      <c r="Q405" s="202"/>
      <c r="R405" s="204"/>
      <c r="S405" s="38"/>
      <c r="T405" s="201"/>
      <c r="U405" s="201"/>
      <c r="V405" s="201"/>
      <c r="W405" s="201"/>
      <c r="X405" s="201"/>
      <c r="Y405" s="201"/>
      <c r="Z405" s="201"/>
      <c r="AA405" s="201"/>
      <c r="AB405" s="202"/>
      <c r="AC405" s="202"/>
      <c r="AD405" s="202"/>
      <c r="AE405" s="202"/>
      <c r="AF405" s="202"/>
      <c r="AG405" s="201"/>
      <c r="AH405" s="201"/>
      <c r="AI405" s="201"/>
      <c r="AJ405" s="201"/>
      <c r="AK405" s="201"/>
      <c r="AL405" s="201"/>
      <c r="AM405" s="201"/>
      <c r="AN405" s="201"/>
      <c r="AO405" s="201"/>
      <c r="AP405" s="201"/>
      <c r="AQ405" s="201"/>
      <c r="AR405" s="201"/>
      <c r="AS405" s="201"/>
      <c r="AT405" s="201"/>
      <c r="AU405" s="201"/>
      <c r="AV405" s="201"/>
      <c r="AW405" s="201"/>
      <c r="AX405" s="201"/>
      <c r="AY405" s="201"/>
      <c r="AZ405" s="201"/>
      <c r="BA405" s="201"/>
      <c r="BB405" s="201"/>
    </row>
    <row r="406" spans="2:54">
      <c r="B406" s="35" t="s">
        <v>520</v>
      </c>
      <c r="C406" s="35"/>
      <c r="D406" s="32"/>
      <c r="E406" s="36" t="s">
        <v>511</v>
      </c>
      <c r="F406" s="37" t="s">
        <v>12</v>
      </c>
      <c r="G406" s="32"/>
      <c r="H406" s="33"/>
      <c r="I406" s="34"/>
      <c r="J406" s="35" t="s">
        <v>521</v>
      </c>
      <c r="K406" s="36" t="s">
        <v>511</v>
      </c>
      <c r="L406" s="41" t="s">
        <v>3119</v>
      </c>
      <c r="M406" s="32"/>
      <c r="N406" s="32"/>
      <c r="O406" s="206"/>
      <c r="P406" s="202"/>
      <c r="Q406" s="202"/>
      <c r="R406" s="204"/>
      <c r="S406" s="38"/>
      <c r="T406" s="201"/>
      <c r="U406" s="201"/>
      <c r="V406" s="201"/>
      <c r="W406" s="201"/>
      <c r="X406" s="201"/>
      <c r="Y406" s="201"/>
      <c r="Z406" s="201"/>
      <c r="AA406" s="201"/>
      <c r="AB406" s="202"/>
      <c r="AC406" s="202"/>
      <c r="AD406" s="202"/>
      <c r="AE406" s="202"/>
      <c r="AF406" s="202"/>
      <c r="AG406" s="201"/>
      <c r="AH406" s="201"/>
      <c r="AI406" s="201"/>
      <c r="AJ406" s="201"/>
      <c r="AK406" s="201"/>
      <c r="AL406" s="201"/>
      <c r="AM406" s="201"/>
      <c r="AN406" s="201"/>
      <c r="AO406" s="201"/>
      <c r="AP406" s="201"/>
      <c r="AQ406" s="201"/>
      <c r="AR406" s="201"/>
      <c r="AS406" s="201"/>
      <c r="AT406" s="201"/>
      <c r="AU406" s="201"/>
      <c r="AV406" s="201"/>
      <c r="AW406" s="201"/>
      <c r="AX406" s="201"/>
      <c r="AY406" s="201"/>
      <c r="AZ406" s="201"/>
      <c r="BA406" s="201"/>
      <c r="BB406" s="201"/>
    </row>
    <row r="407" spans="2:54">
      <c r="B407" s="35" t="s">
        <v>523</v>
      </c>
      <c r="C407" s="35"/>
      <c r="D407" s="32"/>
      <c r="E407" s="36" t="s">
        <v>511</v>
      </c>
      <c r="F407" s="37" t="s">
        <v>37</v>
      </c>
      <c r="G407" s="32"/>
      <c r="H407" s="33"/>
      <c r="I407" s="34"/>
      <c r="J407" s="42" t="s">
        <v>524</v>
      </c>
      <c r="K407" s="36" t="s">
        <v>511</v>
      </c>
      <c r="L407" s="43" t="s">
        <v>15</v>
      </c>
      <c r="M407" s="44"/>
      <c r="N407" s="44"/>
      <c r="O407" s="206"/>
      <c r="P407" s="205"/>
      <c r="Q407" s="202"/>
      <c r="R407" s="204"/>
      <c r="S407" s="38"/>
      <c r="T407" s="201"/>
      <c r="U407" s="201"/>
      <c r="V407" s="201"/>
      <c r="W407" s="201"/>
      <c r="X407" s="201"/>
      <c r="Y407" s="201"/>
      <c r="Z407" s="201"/>
      <c r="AA407" s="201"/>
      <c r="AB407" s="202"/>
      <c r="AC407" s="202"/>
      <c r="AD407" s="202"/>
      <c r="AE407" s="202"/>
      <c r="AF407" s="202"/>
      <c r="AG407" s="201"/>
      <c r="AH407" s="201"/>
      <c r="AI407" s="201"/>
      <c r="AJ407" s="201"/>
      <c r="AK407" s="201"/>
      <c r="AL407" s="201"/>
      <c r="AM407" s="201"/>
      <c r="AN407" s="201"/>
      <c r="AO407" s="201"/>
      <c r="AP407" s="201"/>
      <c r="AQ407" s="201"/>
      <c r="AR407" s="201"/>
      <c r="AS407" s="201"/>
      <c r="AT407" s="201"/>
      <c r="AU407" s="201"/>
      <c r="AV407" s="201"/>
      <c r="AW407" s="201"/>
      <c r="AX407" s="201"/>
      <c r="AY407" s="201"/>
      <c r="AZ407" s="201"/>
      <c r="BA407" s="201"/>
      <c r="BB407" s="201"/>
    </row>
    <row r="408" spans="2:54">
      <c r="B408" s="35" t="s">
        <v>2</v>
      </c>
      <c r="C408" s="35"/>
      <c r="D408" s="32"/>
      <c r="E408" s="36" t="s">
        <v>511</v>
      </c>
      <c r="F408" s="37" t="s">
        <v>31</v>
      </c>
      <c r="G408" s="32"/>
      <c r="H408" s="33"/>
      <c r="I408" s="45"/>
      <c r="J408" s="42"/>
      <c r="K408" s="36"/>
      <c r="L408" s="211"/>
      <c r="M408" s="201"/>
      <c r="N408" s="201"/>
      <c r="O408" s="42"/>
      <c r="P408" s="44"/>
      <c r="Q408" s="44"/>
      <c r="R408" s="44"/>
      <c r="S408" s="34"/>
      <c r="T408" s="201"/>
      <c r="U408" s="201"/>
      <c r="V408" s="201"/>
      <c r="W408" s="201"/>
      <c r="X408" s="201"/>
      <c r="Y408" s="201"/>
      <c r="Z408" s="201"/>
      <c r="AA408" s="201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201"/>
      <c r="AP408" s="201"/>
      <c r="AQ408" s="201"/>
      <c r="AR408" s="201"/>
      <c r="AS408" s="201"/>
      <c r="AT408" s="201"/>
      <c r="AU408" s="201"/>
      <c r="AV408" s="201"/>
      <c r="AW408" s="201"/>
      <c r="AX408" s="201"/>
      <c r="AY408" s="201"/>
      <c r="AZ408" s="201"/>
      <c r="BA408" s="201"/>
      <c r="BB408" s="201"/>
    </row>
    <row r="409" spans="2:54">
      <c r="B409" s="201"/>
      <c r="C409" s="201"/>
      <c r="D409" s="201"/>
      <c r="E409" s="201"/>
      <c r="F409" s="201"/>
      <c r="G409" s="201"/>
      <c r="H409" s="201"/>
      <c r="I409" s="45"/>
      <c r="J409" s="42"/>
      <c r="K409" s="42"/>
      <c r="L409" s="43"/>
      <c r="M409" s="44"/>
      <c r="N409" s="44"/>
      <c r="O409" s="42"/>
      <c r="P409" s="44"/>
      <c r="Q409" s="44"/>
      <c r="R409" s="44"/>
      <c r="S409" s="34"/>
      <c r="T409" s="1265" t="s">
        <v>87</v>
      </c>
      <c r="U409" s="1265"/>
      <c r="V409" s="1265"/>
      <c r="W409" s="1265"/>
      <c r="X409" s="1265"/>
      <c r="Y409" s="1265" t="s">
        <v>73</v>
      </c>
      <c r="Z409" s="1265"/>
      <c r="AA409" s="1265"/>
      <c r="AB409" s="1265" t="s">
        <v>74</v>
      </c>
      <c r="AC409" s="1265"/>
      <c r="AD409" s="423" t="s">
        <v>85</v>
      </c>
      <c r="AE409" s="423" t="s">
        <v>77</v>
      </c>
      <c r="AF409" s="1265" t="s">
        <v>525</v>
      </c>
      <c r="AG409" s="1265"/>
      <c r="AH409" s="1265"/>
      <c r="AI409" s="1265"/>
      <c r="AJ409" s="1265"/>
      <c r="AK409" s="1265"/>
      <c r="AL409" s="1265"/>
      <c r="AM409" s="1265"/>
      <c r="AN409" s="1265"/>
      <c r="AO409" s="1265"/>
      <c r="AP409" s="1265"/>
      <c r="AQ409" s="1265"/>
      <c r="AR409" s="1265"/>
      <c r="AS409" s="1265"/>
      <c r="AT409" s="1265"/>
      <c r="AU409" s="1265"/>
      <c r="AV409" s="1265"/>
      <c r="AW409" s="1265"/>
      <c r="AX409" s="1265"/>
      <c r="AY409" s="1265"/>
      <c r="AZ409" s="1265"/>
      <c r="BA409" s="1265"/>
      <c r="BB409" s="201"/>
    </row>
    <row r="410" spans="2:54">
      <c r="B410" s="1266" t="s">
        <v>526</v>
      </c>
      <c r="C410" s="1267"/>
      <c r="D410" s="570" t="s">
        <v>527</v>
      </c>
      <c r="E410" s="570"/>
      <c r="F410" s="570" t="s">
        <v>528</v>
      </c>
      <c r="G410" s="570" t="s">
        <v>529</v>
      </c>
      <c r="H410" s="570" t="s">
        <v>530</v>
      </c>
      <c r="I410" s="570" t="s">
        <v>531</v>
      </c>
      <c r="J410" s="570" t="s">
        <v>532</v>
      </c>
      <c r="K410" s="570"/>
      <c r="L410" s="570" t="s">
        <v>130</v>
      </c>
      <c r="M410" s="570" t="s">
        <v>533</v>
      </c>
      <c r="N410" s="625" t="str">
        <f>"On time - "&amp;COUNTIF(N411:N423,"On time")&amp;" from "&amp;ROWS(N411:N423)-COUNTIF(N411:N423," ")</f>
        <v>On time - 0 from 9</v>
      </c>
      <c r="O410" s="46"/>
      <c r="P410" s="409" t="s">
        <v>534</v>
      </c>
      <c r="Q410" s="409" t="s">
        <v>535</v>
      </c>
      <c r="R410" s="409" t="s">
        <v>536</v>
      </c>
      <c r="S410" s="32"/>
      <c r="T410" s="424" t="s">
        <v>537</v>
      </c>
      <c r="U410" s="424" t="s">
        <v>538</v>
      </c>
      <c r="V410" s="424" t="s">
        <v>539</v>
      </c>
      <c r="W410" s="424" t="s">
        <v>540</v>
      </c>
      <c r="X410" s="424" t="s">
        <v>541</v>
      </c>
      <c r="Y410" s="424" t="s">
        <v>167</v>
      </c>
      <c r="Z410" s="424" t="s">
        <v>168</v>
      </c>
      <c r="AA410" s="424" t="s">
        <v>169</v>
      </c>
      <c r="AB410" s="424" t="s">
        <v>235</v>
      </c>
      <c r="AC410" s="424" t="s">
        <v>240</v>
      </c>
      <c r="AD410" s="423" t="s">
        <v>85</v>
      </c>
      <c r="AE410" s="424" t="s">
        <v>139</v>
      </c>
      <c r="AF410" s="424" t="s">
        <v>72</v>
      </c>
      <c r="AG410" s="424" t="s">
        <v>88</v>
      </c>
      <c r="AH410" s="424" t="s">
        <v>75</v>
      </c>
      <c r="AI410" s="424" t="s">
        <v>543</v>
      </c>
      <c r="AJ410" s="424" t="s">
        <v>78</v>
      </c>
      <c r="AK410" s="424" t="s">
        <v>76</v>
      </c>
      <c r="AL410" s="424" t="s">
        <v>544</v>
      </c>
      <c r="AM410" s="424" t="s">
        <v>545</v>
      </c>
      <c r="AN410" s="424" t="s">
        <v>86</v>
      </c>
      <c r="AO410" s="424" t="s">
        <v>83</v>
      </c>
      <c r="AP410" s="424" t="s">
        <v>84</v>
      </c>
      <c r="AQ410" s="424" t="s">
        <v>546</v>
      </c>
      <c r="AR410" s="424" t="s">
        <v>81</v>
      </c>
      <c r="AS410" s="424" t="s">
        <v>80</v>
      </c>
      <c r="AT410" s="424" t="s">
        <v>82</v>
      </c>
      <c r="AU410" s="424" t="s">
        <v>181</v>
      </c>
      <c r="AV410" s="424" t="s">
        <v>183</v>
      </c>
      <c r="AW410" s="424" t="s">
        <v>547</v>
      </c>
      <c r="AX410" s="424" t="s">
        <v>182</v>
      </c>
      <c r="AY410" s="424" t="s">
        <v>172</v>
      </c>
      <c r="AZ410" s="424" t="s">
        <v>173</v>
      </c>
      <c r="BA410" s="424" t="s">
        <v>184</v>
      </c>
      <c r="BB410" s="201"/>
    </row>
    <row r="411" spans="2:54">
      <c r="B411" s="1326" t="s">
        <v>653</v>
      </c>
      <c r="C411" s="1327"/>
      <c r="D411" s="501" t="s">
        <v>3426</v>
      </c>
      <c r="E411" s="502"/>
      <c r="F411" s="501" t="s">
        <v>1313</v>
      </c>
      <c r="G411" s="501" t="s">
        <v>2486</v>
      </c>
      <c r="H411" s="503">
        <v>7451.893</v>
      </c>
      <c r="I411" s="505" t="s">
        <v>172</v>
      </c>
      <c r="J411" s="504">
        <v>45228.138888888891</v>
      </c>
      <c r="K411" s="504"/>
      <c r="L411" s="504" t="s">
        <v>192</v>
      </c>
      <c r="M411" s="504" t="s">
        <v>192</v>
      </c>
      <c r="N411" s="505" t="str">
        <f t="shared" ref="N411:N423" si="35">IF(ISBLANK(J411)," ",IF(J411&lt;$F$405,"On time",(IF(DAY(J411-$F$405)&lt;1,"On time",(IF(J411&gt;$F$405,"DELAY ( "&amp;DAY(J411-$F$405)&amp;" day "&amp;HOUR(J411-$F$405)&amp;" hour "&amp;MINUTE(J411-$F$405)&amp;" minute )","xxx"))))))</f>
        <v>DELAY ( 4 day 8 hour 20 minute )</v>
      </c>
      <c r="O411" s="506"/>
      <c r="P411" s="507" t="s">
        <v>551</v>
      </c>
      <c r="Q411" s="507" t="s">
        <v>551</v>
      </c>
      <c r="R411" s="507" t="s">
        <v>551</v>
      </c>
      <c r="S411" s="500"/>
      <c r="T411" s="508"/>
      <c r="U411" s="508"/>
      <c r="V411" s="508"/>
      <c r="W411" s="508"/>
      <c r="X411" s="508"/>
      <c r="Y411" s="508"/>
      <c r="Z411" s="508"/>
      <c r="AA411" s="508"/>
      <c r="AB411" s="508"/>
      <c r="AC411" s="508"/>
      <c r="AD411" s="508"/>
      <c r="AE411" s="508"/>
      <c r="AF411" s="508"/>
      <c r="AG411" s="508"/>
      <c r="AH411" s="508"/>
      <c r="AI411" s="508"/>
      <c r="AJ411" s="508"/>
      <c r="AK411" s="508"/>
      <c r="AL411" s="508"/>
      <c r="AM411" s="508"/>
      <c r="AN411" s="508"/>
      <c r="AO411" s="508"/>
      <c r="AP411" s="508"/>
      <c r="AQ411" s="508"/>
      <c r="AR411" s="508"/>
      <c r="AS411" s="508"/>
      <c r="AT411" s="508"/>
      <c r="AU411" s="508"/>
      <c r="AV411" s="508"/>
      <c r="AW411" s="508"/>
      <c r="AX411" s="508"/>
      <c r="AY411" s="508">
        <f>H411</f>
        <v>7451.893</v>
      </c>
      <c r="AZ411" s="508"/>
      <c r="BA411" s="508"/>
      <c r="BB411" s="500"/>
    </row>
    <row r="412" spans="2:54">
      <c r="B412" s="1328"/>
      <c r="C412" s="1329"/>
      <c r="D412" s="501" t="s">
        <v>3360</v>
      </c>
      <c r="E412" s="501"/>
      <c r="F412" s="501" t="s">
        <v>226</v>
      </c>
      <c r="G412" s="501" t="s">
        <v>227</v>
      </c>
      <c r="H412" s="503">
        <v>7608.7470000000003</v>
      </c>
      <c r="I412" s="505" t="s">
        <v>235</v>
      </c>
      <c r="J412" s="504">
        <v>45228</v>
      </c>
      <c r="K412" s="504"/>
      <c r="L412" s="504" t="s">
        <v>192</v>
      </c>
      <c r="M412" s="504" t="s">
        <v>192</v>
      </c>
      <c r="N412" s="505" t="str">
        <f t="shared" si="35"/>
        <v>DELAY ( 4 day 5 hour 0 minute )</v>
      </c>
      <c r="O412" s="506"/>
      <c r="P412" s="507" t="s">
        <v>551</v>
      </c>
      <c r="Q412" s="507" t="s">
        <v>551</v>
      </c>
      <c r="R412" s="507" t="s">
        <v>551</v>
      </c>
      <c r="S412" s="500"/>
      <c r="T412" s="508"/>
      <c r="U412" s="508"/>
      <c r="V412" s="508"/>
      <c r="W412" s="508"/>
      <c r="X412" s="508"/>
      <c r="Y412" s="508"/>
      <c r="Z412" s="508"/>
      <c r="AA412" s="508"/>
      <c r="AB412" s="508">
        <f>H412</f>
        <v>7608.7470000000003</v>
      </c>
      <c r="AC412" s="508"/>
      <c r="AD412" s="508"/>
      <c r="AE412" s="508"/>
      <c r="AF412" s="508"/>
      <c r="AG412" s="508"/>
      <c r="AH412" s="508"/>
      <c r="AI412" s="508"/>
      <c r="AJ412" s="508"/>
      <c r="AK412" s="508"/>
      <c r="AL412" s="508"/>
      <c r="AM412" s="508"/>
      <c r="AN412" s="508"/>
      <c r="AO412" s="508"/>
      <c r="AP412" s="508"/>
      <c r="AQ412" s="508"/>
      <c r="AR412" s="508"/>
      <c r="AS412" s="508"/>
      <c r="AT412" s="764"/>
      <c r="AU412" s="508"/>
      <c r="AV412" s="508"/>
      <c r="AW412" s="508"/>
      <c r="AX412" s="508"/>
      <c r="AY412" s="508"/>
      <c r="AZ412" s="508"/>
      <c r="BA412" s="508"/>
      <c r="BB412" s="500"/>
    </row>
    <row r="413" spans="2:54">
      <c r="B413" s="1315" t="s">
        <v>548</v>
      </c>
      <c r="C413" s="1316"/>
      <c r="D413" s="501" t="s">
        <v>3349</v>
      </c>
      <c r="E413" s="501"/>
      <c r="F413" s="501" t="s">
        <v>406</v>
      </c>
      <c r="G413" s="501" t="s">
        <v>407</v>
      </c>
      <c r="H413" s="503">
        <f>3409</f>
        <v>3409</v>
      </c>
      <c r="I413" s="505" t="s">
        <v>418</v>
      </c>
      <c r="J413" s="504">
        <v>45227.989583333336</v>
      </c>
      <c r="K413" s="504"/>
      <c r="L413" s="504" t="s">
        <v>192</v>
      </c>
      <c r="M413" s="504" t="s">
        <v>192</v>
      </c>
      <c r="N413" s="505" t="str">
        <f t="shared" si="35"/>
        <v>DELAY ( 4 day 4 hour 45 minute )</v>
      </c>
      <c r="O413" s="506"/>
      <c r="P413" s="507" t="s">
        <v>551</v>
      </c>
      <c r="Q413" s="507" t="s">
        <v>551</v>
      </c>
      <c r="R413" s="507" t="s">
        <v>551</v>
      </c>
      <c r="S413" s="500"/>
      <c r="T413" s="508"/>
      <c r="U413" s="508"/>
      <c r="V413" s="508"/>
      <c r="W413" s="508"/>
      <c r="X413" s="508"/>
      <c r="Y413" s="508"/>
      <c r="Z413" s="508"/>
      <c r="AA413" s="508"/>
      <c r="AB413" s="508">
        <f>(H413*0.6)</f>
        <v>2045.3999999999999</v>
      </c>
      <c r="AC413" s="508">
        <f>(H413*0.4)</f>
        <v>1363.6000000000001</v>
      </c>
      <c r="AD413" s="508"/>
      <c r="AE413" s="508"/>
      <c r="AF413" s="508"/>
      <c r="AG413" s="508"/>
      <c r="AH413" s="508"/>
      <c r="AI413" s="508"/>
      <c r="AJ413" s="508"/>
      <c r="AK413" s="508"/>
      <c r="AL413" s="508"/>
      <c r="AM413" s="508"/>
      <c r="AN413" s="508"/>
      <c r="AO413" s="508"/>
      <c r="AP413" s="508"/>
      <c r="AQ413" s="508"/>
      <c r="AR413" s="508"/>
      <c r="AS413" s="508"/>
      <c r="AT413" s="508"/>
      <c r="AU413" s="508"/>
      <c r="AV413" s="508"/>
      <c r="AW413" s="508"/>
      <c r="AX413" s="508"/>
      <c r="AY413" s="508"/>
      <c r="AZ413" s="508"/>
      <c r="BA413" s="508"/>
      <c r="BB413" s="500"/>
    </row>
    <row r="414" spans="2:54">
      <c r="B414" s="1315" t="s">
        <v>548</v>
      </c>
      <c r="C414" s="1316"/>
      <c r="D414" s="501" t="s">
        <v>3361</v>
      </c>
      <c r="E414" s="501"/>
      <c r="F414" s="501" t="s">
        <v>399</v>
      </c>
      <c r="G414" s="501" t="s">
        <v>275</v>
      </c>
      <c r="H414" s="503">
        <v>7449.8909999999996</v>
      </c>
      <c r="I414" s="505" t="s">
        <v>235</v>
      </c>
      <c r="J414" s="504">
        <v>45228.291666666664</v>
      </c>
      <c r="K414" s="504"/>
      <c r="L414" s="504" t="s">
        <v>192</v>
      </c>
      <c r="M414" s="504" t="s">
        <v>192</v>
      </c>
      <c r="N414" s="505" t="str">
        <f t="shared" si="35"/>
        <v>DELAY ( 4 day 12 hour 0 minute )</v>
      </c>
      <c r="O414" s="506"/>
      <c r="P414" s="507" t="s">
        <v>551</v>
      </c>
      <c r="Q414" s="507" t="s">
        <v>551</v>
      </c>
      <c r="R414" s="507" t="s">
        <v>551</v>
      </c>
      <c r="S414" s="500"/>
      <c r="T414" s="508"/>
      <c r="U414" s="508"/>
      <c r="V414" s="508"/>
      <c r="W414" s="508"/>
      <c r="X414" s="508"/>
      <c r="Y414" s="508"/>
      <c r="Z414" s="508"/>
      <c r="AA414" s="508"/>
      <c r="AB414" s="508">
        <f>H414</f>
        <v>7449.8909999999996</v>
      </c>
      <c r="AC414" s="508"/>
      <c r="AD414" s="508"/>
      <c r="AE414" s="508"/>
      <c r="AF414" s="508"/>
      <c r="AG414" s="508"/>
      <c r="AH414" s="508"/>
      <c r="AI414" s="508"/>
      <c r="AJ414" s="508"/>
      <c r="AK414" s="508"/>
      <c r="AL414" s="508"/>
      <c r="AM414" s="508"/>
      <c r="AN414" s="508"/>
      <c r="AO414" s="508"/>
      <c r="AP414" s="508"/>
      <c r="AQ414" s="508"/>
      <c r="AR414" s="508"/>
      <c r="AS414" s="508"/>
      <c r="AT414" s="508"/>
      <c r="AU414" s="508"/>
      <c r="AV414" s="508"/>
      <c r="AW414" s="508"/>
      <c r="AX414" s="508"/>
      <c r="AY414" s="508"/>
      <c r="AZ414" s="508"/>
      <c r="BA414" s="508"/>
      <c r="BB414" s="500"/>
    </row>
    <row r="415" spans="2:54">
      <c r="B415" s="1326" t="s">
        <v>1717</v>
      </c>
      <c r="C415" s="1327"/>
      <c r="D415" s="501" t="s">
        <v>3410</v>
      </c>
      <c r="E415" s="502"/>
      <c r="F415" s="501" t="s">
        <v>441</v>
      </c>
      <c r="G415" s="501" t="s">
        <v>1308</v>
      </c>
      <c r="H415" s="503">
        <f>5283/3</f>
        <v>1761</v>
      </c>
      <c r="I415" s="505" t="s">
        <v>82</v>
      </c>
      <c r="J415" s="504">
        <v>45229.333333333336</v>
      </c>
      <c r="K415" s="504"/>
      <c r="L415" s="504" t="s">
        <v>192</v>
      </c>
      <c r="M415" s="504" t="s">
        <v>192</v>
      </c>
      <c r="N415" s="505" t="str">
        <f t="shared" si="35"/>
        <v>DELAY ( 5 day 13 hour 0 minute )</v>
      </c>
      <c r="O415" s="506"/>
      <c r="P415" s="507" t="s">
        <v>551</v>
      </c>
      <c r="Q415" s="507" t="s">
        <v>551</v>
      </c>
      <c r="R415" s="507" t="s">
        <v>551</v>
      </c>
      <c r="S415" s="500"/>
      <c r="T415" s="508"/>
      <c r="U415" s="508"/>
      <c r="V415" s="508"/>
      <c r="W415" s="508"/>
      <c r="X415" s="508"/>
      <c r="Y415" s="508"/>
      <c r="Z415" s="508"/>
      <c r="AA415" s="508"/>
      <c r="AB415" s="500"/>
      <c r="AC415" s="508"/>
      <c r="AD415" s="508"/>
      <c r="AE415" s="508"/>
      <c r="AF415" s="508"/>
      <c r="AG415" s="508"/>
      <c r="AH415" s="508"/>
      <c r="AI415" s="508"/>
      <c r="AJ415" s="508"/>
      <c r="AK415" s="508"/>
      <c r="AL415" s="508"/>
      <c r="AM415" s="508"/>
      <c r="AN415" s="508"/>
      <c r="AO415" s="508"/>
      <c r="AP415" s="500"/>
      <c r="AQ415" s="508"/>
      <c r="AR415" s="508"/>
      <c r="AS415" s="508"/>
      <c r="AT415" s="508">
        <f>H415</f>
        <v>1761</v>
      </c>
      <c r="AU415" s="508"/>
      <c r="AV415" s="508"/>
      <c r="AW415" s="508"/>
      <c r="AX415" s="508"/>
      <c r="AY415" s="508"/>
      <c r="AZ415" s="508"/>
      <c r="BA415" s="508"/>
      <c r="BB415" s="500"/>
    </row>
    <row r="416" spans="2:54">
      <c r="B416" s="1328"/>
      <c r="C416" s="1329"/>
      <c r="D416" s="501" t="s">
        <v>3363</v>
      </c>
      <c r="E416" s="501"/>
      <c r="F416" s="501" t="s">
        <v>429</v>
      </c>
      <c r="G416" s="501" t="s">
        <v>430</v>
      </c>
      <c r="H416" s="503">
        <v>7593.2340000000004</v>
      </c>
      <c r="I416" s="505" t="s">
        <v>235</v>
      </c>
      <c r="J416" s="504">
        <v>45228.333333333336</v>
      </c>
      <c r="K416" s="504"/>
      <c r="L416" s="504" t="s">
        <v>192</v>
      </c>
      <c r="M416" s="504" t="s">
        <v>192</v>
      </c>
      <c r="N416" s="505" t="str">
        <f t="shared" si="35"/>
        <v>DELAY ( 4 day 13 hour 0 minute )</v>
      </c>
      <c r="O416" s="506"/>
      <c r="P416" s="507" t="s">
        <v>551</v>
      </c>
      <c r="Q416" s="507" t="s">
        <v>551</v>
      </c>
      <c r="R416" s="507" t="s">
        <v>551</v>
      </c>
      <c r="S416" s="500"/>
      <c r="T416" s="508"/>
      <c r="U416" s="508"/>
      <c r="V416" s="508"/>
      <c r="W416" s="508"/>
      <c r="X416" s="508"/>
      <c r="Y416" s="508"/>
      <c r="Z416" s="508"/>
      <c r="AA416" s="508"/>
      <c r="AB416" s="508">
        <f>H416</f>
        <v>7593.2340000000004</v>
      </c>
      <c r="AC416" s="508"/>
      <c r="AD416" s="508"/>
      <c r="AE416" s="508"/>
      <c r="AF416" s="508"/>
      <c r="AG416" s="508"/>
      <c r="AH416" s="508"/>
      <c r="AI416" s="508"/>
      <c r="AJ416" s="508"/>
      <c r="AK416" s="508"/>
      <c r="AL416" s="508"/>
      <c r="AM416" s="508"/>
      <c r="AN416" s="508"/>
      <c r="AO416" s="508"/>
      <c r="AP416" s="508"/>
      <c r="AQ416" s="508"/>
      <c r="AR416" s="508"/>
      <c r="AS416" s="508"/>
      <c r="AT416" s="508"/>
      <c r="AU416" s="508"/>
      <c r="AV416" s="508"/>
      <c r="AW416" s="508"/>
      <c r="AX416" s="508"/>
      <c r="AY416" s="508"/>
      <c r="AZ416" s="508"/>
      <c r="BA416" s="508"/>
      <c r="BB416" s="500"/>
    </row>
    <row r="417" spans="2:54">
      <c r="B417" s="1326" t="s">
        <v>1717</v>
      </c>
      <c r="C417" s="1327"/>
      <c r="D417" s="501" t="s">
        <v>3410</v>
      </c>
      <c r="E417" s="502"/>
      <c r="F417" s="501" t="s">
        <v>441</v>
      </c>
      <c r="G417" s="501" t="s">
        <v>1308</v>
      </c>
      <c r="H417" s="503">
        <f>H415</f>
        <v>1761</v>
      </c>
      <c r="I417" s="505" t="s">
        <v>82</v>
      </c>
      <c r="J417" s="504"/>
      <c r="K417" s="504"/>
      <c r="L417" s="504"/>
      <c r="M417" s="504"/>
      <c r="N417" s="505" t="str">
        <f t="shared" si="35"/>
        <v xml:space="preserve"> </v>
      </c>
      <c r="O417" s="506"/>
      <c r="P417" s="507" t="s">
        <v>551</v>
      </c>
      <c r="Q417" s="507" t="s">
        <v>551</v>
      </c>
      <c r="R417" s="507" t="s">
        <v>551</v>
      </c>
      <c r="S417" s="500"/>
      <c r="T417" s="508"/>
      <c r="U417" s="508"/>
      <c r="V417" s="508"/>
      <c r="W417" s="508"/>
      <c r="X417" s="508"/>
      <c r="Y417" s="508"/>
      <c r="Z417" s="508"/>
      <c r="AA417" s="508"/>
      <c r="AB417" s="500"/>
      <c r="AC417" s="508"/>
      <c r="AD417" s="508"/>
      <c r="AE417" s="508"/>
      <c r="AF417" s="508"/>
      <c r="AG417" s="508"/>
      <c r="AH417" s="508"/>
      <c r="AI417" s="508"/>
      <c r="AJ417" s="508"/>
      <c r="AK417" s="508"/>
      <c r="AL417" s="508"/>
      <c r="AM417" s="508"/>
      <c r="AN417" s="508"/>
      <c r="AO417" s="508"/>
      <c r="AP417" s="500"/>
      <c r="AQ417" s="508"/>
      <c r="AR417" s="508"/>
      <c r="AS417" s="508"/>
      <c r="AT417" s="508">
        <f>H417</f>
        <v>1761</v>
      </c>
      <c r="AU417" s="508"/>
      <c r="AV417" s="508"/>
      <c r="AW417" s="508"/>
      <c r="AX417" s="508"/>
      <c r="AY417" s="508"/>
      <c r="AZ417" s="508"/>
      <c r="BA417" s="508"/>
      <c r="BB417" s="500"/>
    </row>
    <row r="418" spans="2:54">
      <c r="B418" s="1328"/>
      <c r="C418" s="1329"/>
      <c r="D418" s="501" t="s">
        <v>3362</v>
      </c>
      <c r="E418" s="501"/>
      <c r="F418" s="501" t="s">
        <v>489</v>
      </c>
      <c r="G418" s="501" t="s">
        <v>483</v>
      </c>
      <c r="H418" s="503">
        <v>7503.1589999999997</v>
      </c>
      <c r="I418" s="505" t="s">
        <v>235</v>
      </c>
      <c r="J418" s="504">
        <v>45228.359027777777</v>
      </c>
      <c r="K418" s="504"/>
      <c r="L418" s="504" t="s">
        <v>192</v>
      </c>
      <c r="M418" s="504" t="s">
        <v>192</v>
      </c>
      <c r="N418" s="505" t="str">
        <f t="shared" si="35"/>
        <v>DELAY ( 4 day 13 hour 37 minute )</v>
      </c>
      <c r="O418" s="506"/>
      <c r="P418" s="507" t="s">
        <v>551</v>
      </c>
      <c r="Q418" s="507" t="s">
        <v>551</v>
      </c>
      <c r="R418" s="507" t="s">
        <v>551</v>
      </c>
      <c r="S418" s="500"/>
      <c r="T418" s="508"/>
      <c r="U418" s="508"/>
      <c r="V418" s="508"/>
      <c r="W418" s="508"/>
      <c r="X418" s="508"/>
      <c r="Y418" s="508"/>
      <c r="Z418" s="508"/>
      <c r="AA418" s="508"/>
      <c r="AB418" s="508">
        <f>H418</f>
        <v>7503.1589999999997</v>
      </c>
      <c r="AC418" s="508"/>
      <c r="AD418" s="508"/>
      <c r="AE418" s="508"/>
      <c r="AF418" s="508"/>
      <c r="AG418" s="508"/>
      <c r="AH418" s="508"/>
      <c r="AI418" s="508"/>
      <c r="AJ418" s="508"/>
      <c r="AK418" s="500"/>
      <c r="AL418" s="508"/>
      <c r="AM418" s="508"/>
      <c r="AN418" s="508"/>
      <c r="AO418" s="508"/>
      <c r="AP418" s="508"/>
      <c r="AQ418" s="508"/>
      <c r="AR418" s="508"/>
      <c r="AS418" s="508"/>
      <c r="AT418" s="508"/>
      <c r="AU418" s="508"/>
      <c r="AV418" s="508"/>
      <c r="AW418" s="508"/>
      <c r="AX418" s="508"/>
      <c r="AY418" s="508"/>
      <c r="AZ418" s="508"/>
      <c r="BA418" s="508"/>
      <c r="BB418" s="500"/>
    </row>
    <row r="419" spans="2:54">
      <c r="B419" s="1326" t="s">
        <v>1717</v>
      </c>
      <c r="C419" s="1327"/>
      <c r="D419" s="501" t="s">
        <v>3410</v>
      </c>
      <c r="E419" s="502"/>
      <c r="F419" s="501" t="s">
        <v>441</v>
      </c>
      <c r="G419" s="501" t="s">
        <v>1308</v>
      </c>
      <c r="H419" s="503">
        <f>H417</f>
        <v>1761</v>
      </c>
      <c r="I419" s="505" t="s">
        <v>82</v>
      </c>
      <c r="J419" s="504"/>
      <c r="K419" s="504"/>
      <c r="L419" s="504"/>
      <c r="M419" s="504"/>
      <c r="N419" s="505" t="str">
        <f t="shared" si="35"/>
        <v xml:space="preserve"> </v>
      </c>
      <c r="O419" s="506"/>
      <c r="P419" s="507" t="s">
        <v>551</v>
      </c>
      <c r="Q419" s="507" t="s">
        <v>551</v>
      </c>
      <c r="R419" s="507" t="s">
        <v>551</v>
      </c>
      <c r="S419" s="500"/>
      <c r="T419" s="508"/>
      <c r="U419" s="508"/>
      <c r="V419" s="508"/>
      <c r="W419" s="508"/>
      <c r="X419" s="508"/>
      <c r="Y419" s="508"/>
      <c r="Z419" s="508"/>
      <c r="AA419" s="508"/>
      <c r="AB419" s="500"/>
      <c r="AC419" s="508"/>
      <c r="AD419" s="508"/>
      <c r="AE419" s="508"/>
      <c r="AF419" s="508"/>
      <c r="AG419" s="508"/>
      <c r="AH419" s="508"/>
      <c r="AI419" s="508"/>
      <c r="AJ419" s="508"/>
      <c r="AK419" s="508"/>
      <c r="AL419" s="508"/>
      <c r="AM419" s="508"/>
      <c r="AN419" s="508"/>
      <c r="AO419" s="508"/>
      <c r="AP419" s="500"/>
      <c r="AQ419" s="508"/>
      <c r="AR419" s="508"/>
      <c r="AS419" s="508"/>
      <c r="AT419" s="508">
        <f>H419</f>
        <v>1761</v>
      </c>
      <c r="AU419" s="508"/>
      <c r="AV419" s="508"/>
      <c r="AW419" s="508"/>
      <c r="AX419" s="508"/>
      <c r="AY419" s="508"/>
      <c r="AZ419" s="508"/>
      <c r="BA419" s="508"/>
      <c r="BB419" s="500"/>
    </row>
    <row r="420" spans="2:54">
      <c r="B420" s="1328"/>
      <c r="C420" s="1329"/>
      <c r="D420" s="501" t="s">
        <v>3364</v>
      </c>
      <c r="E420" s="501"/>
      <c r="F420" s="501" t="s">
        <v>263</v>
      </c>
      <c r="G420" s="501" t="s">
        <v>264</v>
      </c>
      <c r="H420" s="503">
        <v>7568.9</v>
      </c>
      <c r="I420" s="505" t="s">
        <v>235</v>
      </c>
      <c r="J420" s="504">
        <v>45228.614583333336</v>
      </c>
      <c r="K420" s="504"/>
      <c r="L420" s="504" t="s">
        <v>192</v>
      </c>
      <c r="M420" s="504" t="s">
        <v>192</v>
      </c>
      <c r="N420" s="505" t="str">
        <f t="shared" si="35"/>
        <v>DELAY ( 4 day 19 hour 45 minute )</v>
      </c>
      <c r="O420" s="506"/>
      <c r="P420" s="507" t="s">
        <v>551</v>
      </c>
      <c r="Q420" s="507" t="s">
        <v>551</v>
      </c>
      <c r="R420" s="507" t="s">
        <v>551</v>
      </c>
      <c r="S420" s="500"/>
      <c r="T420" s="508"/>
      <c r="U420" s="508"/>
      <c r="V420" s="508"/>
      <c r="W420" s="508"/>
      <c r="X420" s="508"/>
      <c r="Y420" s="508"/>
      <c r="Z420" s="508"/>
      <c r="AA420" s="508"/>
      <c r="AB420" s="508">
        <f t="shared" ref="AB420" si="36">H420</f>
        <v>7568.9</v>
      </c>
      <c r="AC420" s="508"/>
      <c r="AD420" s="508"/>
      <c r="AE420" s="508"/>
      <c r="AF420" s="508"/>
      <c r="AG420" s="508"/>
      <c r="AH420" s="508"/>
      <c r="AI420" s="508"/>
      <c r="AJ420" s="508"/>
      <c r="AK420" s="508"/>
      <c r="AL420" s="508"/>
      <c r="AM420" s="508"/>
      <c r="AN420" s="508"/>
      <c r="AO420" s="508"/>
      <c r="AP420" s="508"/>
      <c r="AQ420" s="508"/>
      <c r="AR420" s="508"/>
      <c r="AS420" s="508"/>
      <c r="AT420" s="508"/>
      <c r="AU420" s="508"/>
      <c r="AV420" s="508"/>
      <c r="AW420" s="508"/>
      <c r="AX420" s="508"/>
      <c r="AY420" s="508"/>
      <c r="AZ420" s="508"/>
      <c r="BA420" s="508"/>
      <c r="BB420" s="500"/>
    </row>
    <row r="421" spans="2:54">
      <c r="B421" s="1315" t="s">
        <v>548</v>
      </c>
      <c r="C421" s="1316"/>
      <c r="D421" s="501" t="s">
        <v>3365</v>
      </c>
      <c r="E421" s="501"/>
      <c r="F421" s="501" t="s">
        <v>323</v>
      </c>
      <c r="G421" s="501" t="s">
        <v>324</v>
      </c>
      <c r="H421" s="503">
        <f>7485.899-5403.723</f>
        <v>2082.1760000000004</v>
      </c>
      <c r="I421" s="505" t="s">
        <v>235</v>
      </c>
      <c r="J421" s="504">
        <v>45229.458333333336</v>
      </c>
      <c r="K421" s="504"/>
      <c r="L421" s="504" t="s">
        <v>192</v>
      </c>
      <c r="M421" s="504" t="s">
        <v>192</v>
      </c>
      <c r="N421" s="505" t="str">
        <f t="shared" si="35"/>
        <v>DELAY ( 5 day 16 hour 0 minute )</v>
      </c>
      <c r="O421" s="506"/>
      <c r="P421" s="507" t="s">
        <v>551</v>
      </c>
      <c r="Q421" s="507" t="s">
        <v>551</v>
      </c>
      <c r="R421" s="507" t="s">
        <v>551</v>
      </c>
      <c r="S421" s="500"/>
      <c r="T421" s="508"/>
      <c r="U421" s="508"/>
      <c r="V421" s="508"/>
      <c r="W421" s="508"/>
      <c r="X421" s="508"/>
      <c r="Y421" s="508"/>
      <c r="Z421" s="508"/>
      <c r="AA421" s="508"/>
      <c r="AB421" s="508">
        <f>H421</f>
        <v>2082.1760000000004</v>
      </c>
      <c r="AC421" s="508"/>
      <c r="AD421" s="508"/>
      <c r="AE421" s="508"/>
      <c r="AF421" s="508"/>
      <c r="AG421" s="508"/>
      <c r="AH421" s="508"/>
      <c r="AI421" s="508"/>
      <c r="AJ421" s="508"/>
      <c r="AK421" s="508"/>
      <c r="AL421" s="508"/>
      <c r="AM421" s="508"/>
      <c r="AN421" s="508"/>
      <c r="AO421" s="508"/>
      <c r="AP421" s="508"/>
      <c r="AQ421" s="508"/>
      <c r="AR421" s="508"/>
      <c r="AS421" s="508"/>
      <c r="AT421" s="508"/>
      <c r="AU421" s="508"/>
      <c r="AV421" s="508"/>
      <c r="AW421" s="508"/>
      <c r="AX421" s="508"/>
      <c r="AY421" s="508"/>
      <c r="AZ421" s="508"/>
      <c r="BA421" s="508"/>
      <c r="BB421" s="500"/>
    </row>
    <row r="422" spans="2:54">
      <c r="B422" s="1258" t="s">
        <v>556</v>
      </c>
      <c r="C422" s="1259"/>
      <c r="D422" s="1259"/>
      <c r="E422" s="1259"/>
      <c r="F422" s="1259"/>
      <c r="G422" s="1260"/>
      <c r="H422" s="417">
        <f>SUM(H411:H421)</f>
        <v>55950</v>
      </c>
      <c r="I422" s="388"/>
      <c r="J422" s="293"/>
      <c r="K422" s="293"/>
      <c r="L422" s="293"/>
      <c r="M422" s="389"/>
      <c r="N422" s="505" t="str">
        <f t="shared" si="35"/>
        <v xml:space="preserve"> </v>
      </c>
      <c r="O422" s="212"/>
      <c r="P422" s="418"/>
      <c r="Q422" s="418"/>
      <c r="R422" s="418"/>
      <c r="S422" s="207"/>
      <c r="T422" s="1300"/>
      <c r="U422" s="1301"/>
      <c r="V422" s="1301"/>
      <c r="W422" s="1301"/>
      <c r="X422" s="1301"/>
      <c r="Y422" s="1301"/>
      <c r="Z422" s="1301"/>
      <c r="AA422" s="1301"/>
      <c r="AB422" s="1301"/>
      <c r="AC422" s="1301"/>
      <c r="AD422" s="1301"/>
      <c r="AE422" s="1301"/>
      <c r="AF422" s="1301"/>
      <c r="AG422" s="1301"/>
      <c r="AH422" s="1301"/>
      <c r="AI422" s="1301"/>
      <c r="AJ422" s="1301"/>
      <c r="AK422" s="1301"/>
      <c r="AL422" s="1301"/>
      <c r="AM422" s="1301"/>
      <c r="AN422" s="1301"/>
      <c r="AO422" s="1301"/>
      <c r="AP422" s="1301"/>
      <c r="AQ422" s="1301"/>
      <c r="AR422" s="1301"/>
      <c r="AS422" s="1301"/>
      <c r="AT422" s="1301"/>
      <c r="AU422" s="1301"/>
      <c r="AV422" s="1301"/>
      <c r="AW422" s="1301"/>
      <c r="AX422" s="1301"/>
      <c r="AY422" s="1301"/>
      <c r="AZ422" s="1301"/>
      <c r="BA422" s="1301"/>
    </row>
    <row r="423" spans="2:54">
      <c r="B423" s="1320" t="s">
        <v>557</v>
      </c>
      <c r="C423" s="1321"/>
      <c r="D423" s="1321"/>
      <c r="E423" s="1321"/>
      <c r="F423" s="1321"/>
      <c r="G423" s="1322"/>
      <c r="H423" s="545">
        <v>55950</v>
      </c>
      <c r="I423" s="1273"/>
      <c r="J423" s="1274"/>
      <c r="K423" s="1274"/>
      <c r="L423" s="1274"/>
      <c r="M423" s="1275"/>
      <c r="N423" s="505" t="str">
        <f t="shared" si="35"/>
        <v xml:space="preserve"> </v>
      </c>
      <c r="O423" s="32"/>
      <c r="P423" s="415"/>
      <c r="Q423" s="415"/>
      <c r="R423" s="415"/>
      <c r="S423" s="63"/>
      <c r="T423" s="416">
        <f t="shared" ref="T423:BA423" si="37">SUM(T411:T421)</f>
        <v>0</v>
      </c>
      <c r="U423" s="416">
        <f t="shared" si="37"/>
        <v>0</v>
      </c>
      <c r="V423" s="416">
        <f t="shared" si="37"/>
        <v>0</v>
      </c>
      <c r="W423" s="416">
        <f t="shared" si="37"/>
        <v>0</v>
      </c>
      <c r="X423" s="416">
        <f t="shared" si="37"/>
        <v>0</v>
      </c>
      <c r="Y423" s="416">
        <f t="shared" si="37"/>
        <v>0</v>
      </c>
      <c r="Z423" s="416">
        <f t="shared" si="37"/>
        <v>0</v>
      </c>
      <c r="AA423" s="416">
        <f t="shared" si="37"/>
        <v>0</v>
      </c>
      <c r="AB423" s="416">
        <f t="shared" si="37"/>
        <v>41851.506999999998</v>
      </c>
      <c r="AC423" s="416">
        <f t="shared" si="37"/>
        <v>1363.6000000000001</v>
      </c>
      <c r="AD423" s="416">
        <f t="shared" si="37"/>
        <v>0</v>
      </c>
      <c r="AE423" s="416">
        <f t="shared" si="37"/>
        <v>0</v>
      </c>
      <c r="AF423" s="416">
        <f t="shared" si="37"/>
        <v>0</v>
      </c>
      <c r="AG423" s="416">
        <f t="shared" si="37"/>
        <v>0</v>
      </c>
      <c r="AH423" s="416">
        <f t="shared" si="37"/>
        <v>0</v>
      </c>
      <c r="AI423" s="416">
        <f t="shared" si="37"/>
        <v>0</v>
      </c>
      <c r="AJ423" s="416">
        <f t="shared" si="37"/>
        <v>0</v>
      </c>
      <c r="AK423" s="416">
        <f t="shared" si="37"/>
        <v>0</v>
      </c>
      <c r="AL423" s="416">
        <f t="shared" si="37"/>
        <v>0</v>
      </c>
      <c r="AM423" s="416">
        <f t="shared" si="37"/>
        <v>0</v>
      </c>
      <c r="AN423" s="416">
        <f t="shared" si="37"/>
        <v>0</v>
      </c>
      <c r="AO423" s="416">
        <f t="shared" si="37"/>
        <v>0</v>
      </c>
      <c r="AP423" s="416">
        <f t="shared" si="37"/>
        <v>0</v>
      </c>
      <c r="AQ423" s="416">
        <f t="shared" si="37"/>
        <v>0</v>
      </c>
      <c r="AR423" s="416">
        <f t="shared" si="37"/>
        <v>0</v>
      </c>
      <c r="AS423" s="416">
        <f t="shared" si="37"/>
        <v>0</v>
      </c>
      <c r="AT423" s="416">
        <f t="shared" si="37"/>
        <v>5283</v>
      </c>
      <c r="AU423" s="416">
        <f t="shared" si="37"/>
        <v>0</v>
      </c>
      <c r="AV423" s="416">
        <f t="shared" si="37"/>
        <v>0</v>
      </c>
      <c r="AW423" s="416">
        <f t="shared" si="37"/>
        <v>0</v>
      </c>
      <c r="AX423" s="416">
        <f t="shared" si="37"/>
        <v>0</v>
      </c>
      <c r="AY423" s="416">
        <f t="shared" si="37"/>
        <v>7451.893</v>
      </c>
      <c r="AZ423" s="416">
        <f t="shared" si="37"/>
        <v>0</v>
      </c>
      <c r="BA423" s="416">
        <f t="shared" si="37"/>
        <v>0</v>
      </c>
      <c r="BB423" s="416">
        <f>SUM(T423:BA423)</f>
        <v>55950</v>
      </c>
    </row>
    <row r="424" spans="2:54">
      <c r="B424" s="1320" t="s">
        <v>558</v>
      </c>
      <c r="C424" s="1321"/>
      <c r="D424" s="1321"/>
      <c r="E424" s="1321"/>
      <c r="F424" s="1321"/>
      <c r="G424" s="1322"/>
      <c r="H424" s="546">
        <f>H423-L405</f>
        <v>0</v>
      </c>
      <c r="I424" s="669"/>
      <c r="J424" s="670"/>
      <c r="K424" s="670"/>
      <c r="L424" s="671"/>
      <c r="M424" s="207"/>
      <c r="N424" s="32"/>
      <c r="O424" s="32"/>
      <c r="P424" s="32"/>
      <c r="Q424" s="297"/>
      <c r="R424" s="297"/>
      <c r="S424" s="32"/>
      <c r="T424" s="48"/>
      <c r="U424" s="48"/>
      <c r="V424" s="48"/>
      <c r="W424" s="48"/>
      <c r="X424" s="48"/>
      <c r="Y424" s="48"/>
      <c r="Z424" s="48"/>
      <c r="AA424" s="48"/>
      <c r="AB424" s="48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</row>
    <row r="425" spans="2:54">
      <c r="B425" s="1320" t="s">
        <v>559</v>
      </c>
      <c r="C425" s="1321"/>
      <c r="D425" s="1321"/>
      <c r="E425" s="1321"/>
      <c r="F425" s="1321"/>
      <c r="G425" s="1322"/>
      <c r="H425" s="532">
        <v>4927</v>
      </c>
      <c r="I425" s="672"/>
      <c r="J425" s="673"/>
      <c r="K425" s="673"/>
      <c r="L425" s="674"/>
      <c r="M425" s="207"/>
      <c r="N425" s="201"/>
      <c r="O425" s="32"/>
      <c r="P425" s="32"/>
      <c r="Q425" s="32"/>
      <c r="R425" s="32"/>
      <c r="S425" s="32"/>
      <c r="T425" s="48"/>
      <c r="U425" s="48"/>
      <c r="V425" s="48"/>
      <c r="W425" s="48"/>
      <c r="X425" s="48"/>
      <c r="Y425" s="48"/>
      <c r="Z425" s="48"/>
      <c r="AA425" s="48"/>
      <c r="AB425" s="48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</row>
    <row r="426" spans="2:54">
      <c r="B426" s="1415" t="s">
        <v>560</v>
      </c>
      <c r="C426" s="1416"/>
      <c r="D426" s="1416"/>
      <c r="E426" s="1416"/>
      <c r="F426" s="1416"/>
      <c r="G426" s="1417"/>
      <c r="H426" s="741">
        <f>H425-5403.723</f>
        <v>-476.72299999999996</v>
      </c>
      <c r="I426" s="641"/>
      <c r="J426" s="642"/>
      <c r="K426" s="642"/>
      <c r="L426" s="499"/>
      <c r="M426" s="613"/>
      <c r="N426" s="613"/>
      <c r="O426" s="613"/>
      <c r="P426" s="613"/>
      <c r="Q426" s="613"/>
      <c r="R426" s="613"/>
      <c r="S426" s="616"/>
      <c r="T426" s="616"/>
      <c r="U426" s="616"/>
      <c r="V426" s="616"/>
      <c r="W426" s="616"/>
      <c r="X426" s="616"/>
      <c r="Y426" s="616"/>
      <c r="Z426" s="616"/>
      <c r="AA426" s="616"/>
      <c r="AB426" s="613">
        <f>-(H425*0.6)</f>
        <v>-2956.2</v>
      </c>
      <c r="AC426" s="613">
        <f>-(H425*0.4)</f>
        <v>-1970.8000000000002</v>
      </c>
      <c r="AD426" s="613"/>
      <c r="AE426" s="613"/>
      <c r="AF426" s="613"/>
      <c r="AG426" s="613"/>
      <c r="AH426" s="613"/>
      <c r="AI426" s="613"/>
      <c r="AJ426" s="613"/>
      <c r="AK426" s="613"/>
      <c r="AL426" s="613"/>
      <c r="AM426" s="613"/>
      <c r="AN426" s="613"/>
      <c r="AO426" s="613"/>
      <c r="AP426" s="613"/>
      <c r="AQ426" s="613"/>
      <c r="AR426" s="496"/>
      <c r="AS426" s="496"/>
      <c r="AT426" s="496"/>
      <c r="AU426" s="496"/>
      <c r="AV426" s="496"/>
      <c r="AW426" s="496"/>
      <c r="AX426" s="496"/>
      <c r="AY426" s="496"/>
      <c r="AZ426" s="496"/>
      <c r="BA426" s="496"/>
    </row>
    <row r="427" spans="2:54">
      <c r="B427" s="201"/>
      <c r="C427" s="201"/>
      <c r="D427" s="201"/>
      <c r="E427" s="201"/>
      <c r="F427" s="201"/>
      <c r="G427" s="201"/>
      <c r="H427" s="201"/>
      <c r="I427" s="213"/>
      <c r="J427" s="209"/>
      <c r="K427" s="209"/>
      <c r="L427" s="203"/>
      <c r="M427" s="201"/>
      <c r="N427" s="201"/>
      <c r="O427" s="209"/>
      <c r="P427" s="32"/>
      <c r="Q427" s="32"/>
      <c r="R427" s="32"/>
      <c r="S427" s="32"/>
      <c r="T427" s="48"/>
      <c r="U427" s="48"/>
      <c r="V427" s="48"/>
      <c r="W427" s="48"/>
      <c r="X427" s="48"/>
      <c r="Y427" s="48"/>
      <c r="Z427" s="48"/>
      <c r="AA427" s="48"/>
      <c r="AB427" s="48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</row>
    <row r="428" spans="2:54">
      <c r="B428" s="40" t="s">
        <v>561</v>
      </c>
      <c r="C428" s="40"/>
      <c r="D428" s="32"/>
      <c r="E428" s="32"/>
      <c r="F428" s="32"/>
      <c r="G428" s="32"/>
      <c r="H428" s="32"/>
      <c r="I428" s="32"/>
      <c r="J428" s="52"/>
      <c r="K428" s="52"/>
      <c r="L428" s="55"/>
      <c r="M428" s="32"/>
      <c r="N428" s="201"/>
      <c r="O428" s="5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  <c r="AA428" s="202"/>
      <c r="AB428" s="201"/>
      <c r="AC428" s="201"/>
      <c r="AD428" s="201"/>
      <c r="AE428" s="201"/>
      <c r="AF428" s="201"/>
      <c r="AG428" s="201"/>
      <c r="AH428" s="201"/>
      <c r="AI428" s="201"/>
      <c r="AJ428" s="201"/>
      <c r="AK428" s="201"/>
      <c r="AL428" s="201"/>
      <c r="AM428" s="201"/>
      <c r="AN428" s="201"/>
      <c r="AO428" s="201"/>
      <c r="AP428" s="201"/>
      <c r="AQ428" s="201"/>
      <c r="AR428" s="201"/>
      <c r="AS428" s="201"/>
      <c r="AT428" s="201"/>
      <c r="AU428" s="201"/>
      <c r="BB428" s="201"/>
    </row>
    <row r="429" spans="2:54">
      <c r="B429" s="422">
        <v>1</v>
      </c>
      <c r="C429" s="1249" t="s">
        <v>3715</v>
      </c>
      <c r="D429" s="1249"/>
      <c r="E429" s="1249"/>
      <c r="F429" s="1249"/>
      <c r="G429" s="1249"/>
      <c r="H429" s="1249"/>
      <c r="I429" s="1249"/>
      <c r="J429" s="1249"/>
      <c r="K429" s="1249"/>
      <c r="L429" s="203"/>
      <c r="M429" s="203"/>
      <c r="N429" s="201"/>
      <c r="O429" s="209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  <c r="AA429" s="202"/>
      <c r="AB429" s="201"/>
      <c r="AC429" s="201"/>
      <c r="AD429" s="201"/>
      <c r="AE429" s="201"/>
      <c r="AF429" s="201"/>
      <c r="AG429" s="201"/>
      <c r="AH429" s="201"/>
      <c r="AI429" s="201"/>
      <c r="AJ429" s="201"/>
      <c r="AK429" s="201"/>
      <c r="AL429" s="201"/>
      <c r="AM429" s="201"/>
      <c r="AN429" s="201"/>
      <c r="AO429" s="201"/>
      <c r="AP429" s="201"/>
      <c r="AQ429" s="201"/>
      <c r="AR429" s="201"/>
      <c r="AS429" s="201"/>
      <c r="AT429" s="201"/>
      <c r="AU429" s="201"/>
      <c r="AV429" s="201"/>
      <c r="AW429" s="201"/>
      <c r="AX429" s="201"/>
      <c r="AY429" s="201"/>
      <c r="AZ429" s="201"/>
      <c r="BA429" s="201"/>
      <c r="BB429" s="201"/>
    </row>
  </sheetData>
  <mergeCells count="357">
    <mergeCell ref="B425:G425"/>
    <mergeCell ref="C429:K429"/>
    <mergeCell ref="B426:G426"/>
    <mergeCell ref="B415:C416"/>
    <mergeCell ref="B417:C418"/>
    <mergeCell ref="B419:C420"/>
    <mergeCell ref="B421:C421"/>
    <mergeCell ref="B422:G422"/>
    <mergeCell ref="T422:BA422"/>
    <mergeCell ref="B423:G423"/>
    <mergeCell ref="I423:M423"/>
    <mergeCell ref="B424:G424"/>
    <mergeCell ref="C401:K401"/>
    <mergeCell ref="T409:X409"/>
    <mergeCell ref="Y409:AA409"/>
    <mergeCell ref="AB409:AC409"/>
    <mergeCell ref="AF409:BA409"/>
    <mergeCell ref="B410:C410"/>
    <mergeCell ref="B411:C412"/>
    <mergeCell ref="B413:C413"/>
    <mergeCell ref="B414:C414"/>
    <mergeCell ref="B393:G393"/>
    <mergeCell ref="T393:BA393"/>
    <mergeCell ref="B394:G394"/>
    <mergeCell ref="T394:BA394"/>
    <mergeCell ref="B395:G395"/>
    <mergeCell ref="I395:M395"/>
    <mergeCell ref="B396:G396"/>
    <mergeCell ref="B397:G397"/>
    <mergeCell ref="B398:G398"/>
    <mergeCell ref="B384:C386"/>
    <mergeCell ref="F385:G385"/>
    <mergeCell ref="F386:G386"/>
    <mergeCell ref="B387:C389"/>
    <mergeCell ref="F388:G388"/>
    <mergeCell ref="F389:G389"/>
    <mergeCell ref="B390:C391"/>
    <mergeCell ref="F391:G391"/>
    <mergeCell ref="B392:C392"/>
    <mergeCell ref="B374:C375"/>
    <mergeCell ref="F375:G375"/>
    <mergeCell ref="B376:C378"/>
    <mergeCell ref="F377:G377"/>
    <mergeCell ref="F378:G378"/>
    <mergeCell ref="B379:C380"/>
    <mergeCell ref="F380:G380"/>
    <mergeCell ref="B381:C383"/>
    <mergeCell ref="F382:G382"/>
    <mergeCell ref="F383:G383"/>
    <mergeCell ref="T367:X367"/>
    <mergeCell ref="Y367:AA367"/>
    <mergeCell ref="AB367:AC367"/>
    <mergeCell ref="AF367:BA367"/>
    <mergeCell ref="B368:C368"/>
    <mergeCell ref="B369:C369"/>
    <mergeCell ref="B370:C370"/>
    <mergeCell ref="B371:G371"/>
    <mergeCell ref="B372:C373"/>
    <mergeCell ref="F373:G373"/>
    <mergeCell ref="C359:K359"/>
    <mergeCell ref="B356:G356"/>
    <mergeCell ref="B349:C349"/>
    <mergeCell ref="B350:C350"/>
    <mergeCell ref="B351:C351"/>
    <mergeCell ref="B352:G352"/>
    <mergeCell ref="T352:BA352"/>
    <mergeCell ref="B353:G353"/>
    <mergeCell ref="I353:M353"/>
    <mergeCell ref="B354:G354"/>
    <mergeCell ref="B355:G355"/>
    <mergeCell ref="T339:X339"/>
    <mergeCell ref="Y339:AA339"/>
    <mergeCell ref="AB339:AC339"/>
    <mergeCell ref="AF339:BA339"/>
    <mergeCell ref="B340:C340"/>
    <mergeCell ref="B341:C342"/>
    <mergeCell ref="B343:C344"/>
    <mergeCell ref="B345:C346"/>
    <mergeCell ref="B347:C348"/>
    <mergeCell ref="B324:G324"/>
    <mergeCell ref="T324:BA324"/>
    <mergeCell ref="B325:G325"/>
    <mergeCell ref="I325:M325"/>
    <mergeCell ref="B326:G326"/>
    <mergeCell ref="B327:G327"/>
    <mergeCell ref="C331:K331"/>
    <mergeCell ref="B328:G328"/>
    <mergeCell ref="B316:C318"/>
    <mergeCell ref="F317:G317"/>
    <mergeCell ref="F318:G318"/>
    <mergeCell ref="B319:C321"/>
    <mergeCell ref="F320:G320"/>
    <mergeCell ref="F321:G321"/>
    <mergeCell ref="B322:C322"/>
    <mergeCell ref="B323:G323"/>
    <mergeCell ref="T323:BA323"/>
    <mergeCell ref="B306:C307"/>
    <mergeCell ref="F307:G307"/>
    <mergeCell ref="B308:C309"/>
    <mergeCell ref="F309:G309"/>
    <mergeCell ref="B310:C310"/>
    <mergeCell ref="B311:C311"/>
    <mergeCell ref="B312:G312"/>
    <mergeCell ref="B313:C315"/>
    <mergeCell ref="F314:G314"/>
    <mergeCell ref="F315:G315"/>
    <mergeCell ref="T300:X300"/>
    <mergeCell ref="Y300:AA300"/>
    <mergeCell ref="AB300:AC300"/>
    <mergeCell ref="AF300:BA300"/>
    <mergeCell ref="B301:C301"/>
    <mergeCell ref="B302:C302"/>
    <mergeCell ref="B303:G303"/>
    <mergeCell ref="B304:C305"/>
    <mergeCell ref="F305:G305"/>
    <mergeCell ref="B165:G165"/>
    <mergeCell ref="B166:G166"/>
    <mergeCell ref="C170:K170"/>
    <mergeCell ref="B167:G167"/>
    <mergeCell ref="B162:C162"/>
    <mergeCell ref="B163:G163"/>
    <mergeCell ref="T163:BA163"/>
    <mergeCell ref="B164:G164"/>
    <mergeCell ref="I164:M164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Y149:AA149"/>
    <mergeCell ref="AB149:AC149"/>
    <mergeCell ref="AF149:BA149"/>
    <mergeCell ref="B150:C150"/>
    <mergeCell ref="B151:C151"/>
    <mergeCell ref="B136:G136"/>
    <mergeCell ref="B137:G137"/>
    <mergeCell ref="C141:K141"/>
    <mergeCell ref="B138:G138"/>
    <mergeCell ref="T149:X149"/>
    <mergeCell ref="B132:C132"/>
    <mergeCell ref="B133:C133"/>
    <mergeCell ref="B134:G134"/>
    <mergeCell ref="T134:BA134"/>
    <mergeCell ref="B135:G135"/>
    <mergeCell ref="I135:M135"/>
    <mergeCell ref="B123:C124"/>
    <mergeCell ref="B125:C126"/>
    <mergeCell ref="B127:C128"/>
    <mergeCell ref="B129:C130"/>
    <mergeCell ref="B131:C131"/>
    <mergeCell ref="T121:X121"/>
    <mergeCell ref="Y121:AA121"/>
    <mergeCell ref="AB121:AC121"/>
    <mergeCell ref="AF121:BA121"/>
    <mergeCell ref="B122:C122"/>
    <mergeCell ref="B78:G78"/>
    <mergeCell ref="B79:G79"/>
    <mergeCell ref="C83:K83"/>
    <mergeCell ref="B80:G80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G106"/>
    <mergeCell ref="T106:BA106"/>
    <mergeCell ref="T31:X31"/>
    <mergeCell ref="Y31:AA31"/>
    <mergeCell ref="AB31:AC31"/>
    <mergeCell ref="AF31:BA31"/>
    <mergeCell ref="B32:C32"/>
    <mergeCell ref="B33:C33"/>
    <mergeCell ref="B34:C34"/>
    <mergeCell ref="B35:C35"/>
    <mergeCell ref="B36:G36"/>
    <mergeCell ref="C23:K23"/>
    <mergeCell ref="B15:C15"/>
    <mergeCell ref="B16:G16"/>
    <mergeCell ref="T16:BA16"/>
    <mergeCell ref="B17:G17"/>
    <mergeCell ref="I17:M17"/>
    <mergeCell ref="B18:G18"/>
    <mergeCell ref="B20:G20"/>
    <mergeCell ref="B19:G19"/>
    <mergeCell ref="AF8:BA8"/>
    <mergeCell ref="B9:C9"/>
    <mergeCell ref="B10:C10"/>
    <mergeCell ref="B11:C11"/>
    <mergeCell ref="B12:C12"/>
    <mergeCell ref="B13:C14"/>
    <mergeCell ref="T8:X8"/>
    <mergeCell ref="Y8:AA8"/>
    <mergeCell ref="AB8:AC8"/>
    <mergeCell ref="F38:G38"/>
    <mergeCell ref="B39:C41"/>
    <mergeCell ref="F40:G40"/>
    <mergeCell ref="F41:G41"/>
    <mergeCell ref="B42:C44"/>
    <mergeCell ref="F43:G43"/>
    <mergeCell ref="F44:G44"/>
    <mergeCell ref="B45:C47"/>
    <mergeCell ref="F46:G46"/>
    <mergeCell ref="F47:G47"/>
    <mergeCell ref="B37:C38"/>
    <mergeCell ref="B51:G51"/>
    <mergeCell ref="T91:X91"/>
    <mergeCell ref="Y91:AA91"/>
    <mergeCell ref="AB91:AC91"/>
    <mergeCell ref="AF91:BA91"/>
    <mergeCell ref="B92:C92"/>
    <mergeCell ref="B48:C50"/>
    <mergeCell ref="F49:G49"/>
    <mergeCell ref="F50:G50"/>
    <mergeCell ref="T51:BA51"/>
    <mergeCell ref="B52:G52"/>
    <mergeCell ref="T52:BA52"/>
    <mergeCell ref="B53:G53"/>
    <mergeCell ref="I53:M53"/>
    <mergeCell ref="B55:G55"/>
    <mergeCell ref="T67:X67"/>
    <mergeCell ref="Y67:AA67"/>
    <mergeCell ref="AB67:AC67"/>
    <mergeCell ref="AF67:BA67"/>
    <mergeCell ref="B68:C68"/>
    <mergeCell ref="B74:C74"/>
    <mergeCell ref="B75:C75"/>
    <mergeCell ref="B76:G76"/>
    <mergeCell ref="T76:BA76"/>
    <mergeCell ref="B107:G107"/>
    <mergeCell ref="I107:M107"/>
    <mergeCell ref="B108:G108"/>
    <mergeCell ref="B109:G109"/>
    <mergeCell ref="C113:K113"/>
    <mergeCell ref="B110:G110"/>
    <mergeCell ref="B56:G56"/>
    <mergeCell ref="C59:K59"/>
    <mergeCell ref="B54:G54"/>
    <mergeCell ref="B77:G77"/>
    <mergeCell ref="I77:M77"/>
    <mergeCell ref="B69:C69"/>
    <mergeCell ref="B70:C70"/>
    <mergeCell ref="B71:C71"/>
    <mergeCell ref="B72:C72"/>
    <mergeCell ref="B73:C73"/>
    <mergeCell ref="T178:X178"/>
    <mergeCell ref="Y178:AA178"/>
    <mergeCell ref="AB178:AC178"/>
    <mergeCell ref="AF178:BA178"/>
    <mergeCell ref="B179:C179"/>
    <mergeCell ref="B180:C180"/>
    <mergeCell ref="B181:C181"/>
    <mergeCell ref="B182:C182"/>
    <mergeCell ref="B183:G183"/>
    <mergeCell ref="T183:BA183"/>
    <mergeCell ref="T209:BA209"/>
    <mergeCell ref="B184:G184"/>
    <mergeCell ref="I184:M184"/>
    <mergeCell ref="B185:G185"/>
    <mergeCell ref="B186:G186"/>
    <mergeCell ref="T194:X194"/>
    <mergeCell ref="Y194:AA194"/>
    <mergeCell ref="AB194:AC194"/>
    <mergeCell ref="AF194:BA194"/>
    <mergeCell ref="B195:C195"/>
    <mergeCell ref="B210:G210"/>
    <mergeCell ref="I210:M210"/>
    <mergeCell ref="B211:G211"/>
    <mergeCell ref="B212:G212"/>
    <mergeCell ref="C216:K216"/>
    <mergeCell ref="J197:J198"/>
    <mergeCell ref="B213:G213"/>
    <mergeCell ref="B196:C197"/>
    <mergeCell ref="B198:C199"/>
    <mergeCell ref="B200:C201"/>
    <mergeCell ref="B202:C203"/>
    <mergeCell ref="B204:C205"/>
    <mergeCell ref="B206:C207"/>
    <mergeCell ref="B208:C208"/>
    <mergeCell ref="B209:G209"/>
    <mergeCell ref="T224:X224"/>
    <mergeCell ref="Y224:AA224"/>
    <mergeCell ref="AB224:AC224"/>
    <mergeCell ref="AF224:BA224"/>
    <mergeCell ref="B225:C225"/>
    <mergeCell ref="B226:C226"/>
    <mergeCell ref="B227:C227"/>
    <mergeCell ref="B228:C228"/>
    <mergeCell ref="B229:G229"/>
    <mergeCell ref="B230:C232"/>
    <mergeCell ref="F231:G231"/>
    <mergeCell ref="F232:G232"/>
    <mergeCell ref="B233:C235"/>
    <mergeCell ref="F234:G234"/>
    <mergeCell ref="F235:G235"/>
    <mergeCell ref="B236:C238"/>
    <mergeCell ref="F237:G237"/>
    <mergeCell ref="F238:G238"/>
    <mergeCell ref="B239:C239"/>
    <mergeCell ref="B240:C240"/>
    <mergeCell ref="B241:G241"/>
    <mergeCell ref="B242:C244"/>
    <mergeCell ref="F243:G243"/>
    <mergeCell ref="F244:G244"/>
    <mergeCell ref="B245:C245"/>
    <mergeCell ref="B246:G246"/>
    <mergeCell ref="B247:C249"/>
    <mergeCell ref="F248:G248"/>
    <mergeCell ref="F249:G249"/>
    <mergeCell ref="B250:C252"/>
    <mergeCell ref="F251:G251"/>
    <mergeCell ref="F252:G252"/>
    <mergeCell ref="B253:C255"/>
    <mergeCell ref="F254:G254"/>
    <mergeCell ref="F255:G255"/>
    <mergeCell ref="B256:G256"/>
    <mergeCell ref="T256:BA256"/>
    <mergeCell ref="B257:G257"/>
    <mergeCell ref="T257:BA257"/>
    <mergeCell ref="B258:G258"/>
    <mergeCell ref="I258:M258"/>
    <mergeCell ref="B259:G259"/>
    <mergeCell ref="B260:G260"/>
    <mergeCell ref="C264:K264"/>
    <mergeCell ref="B261:G261"/>
    <mergeCell ref="T272:X272"/>
    <mergeCell ref="Y272:AA272"/>
    <mergeCell ref="AB272:AC272"/>
    <mergeCell ref="B285:G285"/>
    <mergeCell ref="T285:BA285"/>
    <mergeCell ref="B286:G286"/>
    <mergeCell ref="I286:M286"/>
    <mergeCell ref="B287:G287"/>
    <mergeCell ref="B288:G288"/>
    <mergeCell ref="C292:K292"/>
    <mergeCell ref="B289:G289"/>
    <mergeCell ref="AF272:BA272"/>
    <mergeCell ref="B273:C273"/>
    <mergeCell ref="B274:C275"/>
    <mergeCell ref="B276:C277"/>
    <mergeCell ref="B278:C279"/>
    <mergeCell ref="B280:C281"/>
    <mergeCell ref="B282:C282"/>
    <mergeCell ref="B283:C283"/>
    <mergeCell ref="B284:C28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1800-000000000000}">
          <x14:formula1>
            <xm:f>'FLF &amp; AGENT INFO'!$D$3:$D$31</xm:f>
          </x14:formula1>
          <xm:sqref>F6 F29 F65 F89 F119 F147 F176 F192 F222 F270 F298 F337 F365 F407</xm:sqref>
        </x14:dataValidation>
        <x14:dataValidation type="list" allowBlank="1" showInputMessage="1" showErrorMessage="1" xr:uid="{00000000-0002-0000-1800-000001000000}">
          <x14:formula1>
            <xm:f>'FLF &amp; AGENT INFO'!$F$3:$F$28</xm:f>
          </x14:formula1>
          <xm:sqref>F7 F30 F66 F90 F120 F148 F177 F193 F223 F271 F299 F338 F366 F408</xm:sqref>
        </x14:dataValidation>
        <x14:dataValidation type="list" allowBlank="1" showInputMessage="1" showErrorMessage="1" xr:uid="{00000000-0002-0000-1800-000002000000}">
          <x14:formula1>
            <xm:f>'FLF &amp; AGENT INFO'!$H$3:$H$7</xm:f>
          </x14:formula1>
          <xm:sqref>L6 L29 L65 L89 L119 L147 L175:L176 L192 L222 L270 L298 L337 L365 L407</xm:sqref>
        </x14:dataValidation>
        <x14:dataValidation type="list" allowBlank="1" showInputMessage="1" showErrorMessage="1" xr:uid="{00000000-0002-0000-1800-000003000000}">
          <x14:formula1>
            <xm:f>'FLF &amp; AGENT INFO'!$B$3:$B$20</xm:f>
          </x14:formula1>
          <xm:sqref>F5 F28 F64 F88 F118 F146 F175 F191 F221 F269 F297 F336 F364 F406</xm:sqref>
        </x14:dataValidation>
        <x14:dataValidation type="list" allowBlank="1" showInputMessage="1" showErrorMessage="1" xr:uid="{00000000-0002-0000-1800-000004000000}">
          <x14:formula1>
            <xm:f>'VLU 2023 &amp; 2024'!$H$186:$H$202</xm:f>
          </x14:formula1>
          <xm:sqref>F403</xm:sqref>
        </x14:dataValidation>
        <x14:dataValidation type="list" allowBlank="1" showInputMessage="1" showErrorMessage="1" xr:uid="{00000000-0002-0000-1800-000005000000}">
          <x14:formula1>
            <xm:f>'VLU 2023 &amp; 2024'!$I$186:$I$202</xm:f>
          </x14:formula1>
          <xm:sqref>L406</xm:sqref>
        </x14:dataValidation>
        <x14:dataValidation type="list" allowBlank="1" showInputMessage="1" showErrorMessage="1" xr:uid="{00000000-0002-0000-1800-000006000000}">
          <x14:formula1>
            <xm:f>'VLU 2023 &amp; 2024'!$H$186:$H$211</xm:f>
          </x14:formula1>
          <xm:sqref>F2 F361 F333 F294 F188 F172 F143 F115 F85 F61 F25 F218 F266</xm:sqref>
        </x14:dataValidation>
        <x14:dataValidation type="list" allowBlank="1" showInputMessage="1" showErrorMessage="1" xr:uid="{00000000-0002-0000-1800-000007000000}">
          <x14:formula1>
            <xm:f>'VLU 2023 &amp; 2024'!$I$186:$I$211</xm:f>
          </x14:formula1>
          <xm:sqref>L5 L364 L336 L297 L191 L174 L146 L118 L88 L64 L28 L221 L269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B2:BF484"/>
  <sheetViews>
    <sheetView topLeftCell="A229" zoomScaleNormal="100" workbookViewId="0">
      <selection activeCell="D259" sqref="D259"/>
    </sheetView>
  </sheetViews>
  <sheetFormatPr defaultColWidth="9.33203125" defaultRowHeight="10.199999999999999"/>
  <cols>
    <col min="1" max="1" width="1.33203125" style="39" customWidth="1"/>
    <col min="2" max="2" width="5.44140625" style="39" customWidth="1"/>
    <col min="3" max="3" width="8.33203125" style="39" customWidth="1"/>
    <col min="4" max="4" width="10.5546875" style="39" customWidth="1"/>
    <col min="5" max="5" width="1.5546875" style="39" bestFit="1" customWidth="1"/>
    <col min="6" max="6" width="19.109375" style="39" customWidth="1"/>
    <col min="7" max="7" width="17.33203125" style="39" customWidth="1"/>
    <col min="8" max="8" width="9.6640625" style="39" bestFit="1" customWidth="1"/>
    <col min="9" max="9" width="15.33203125" style="39" customWidth="1"/>
    <col min="10" max="10" width="15.5546875" style="39" customWidth="1"/>
    <col min="11" max="11" width="1.44140625" style="39" customWidth="1"/>
    <col min="12" max="12" width="12.6640625" style="39" customWidth="1"/>
    <col min="13" max="13" width="11.33203125" style="39" customWidth="1"/>
    <col min="14" max="14" width="23.44140625" style="56" bestFit="1" customWidth="1"/>
    <col min="15" max="15" width="1.5546875" style="39" customWidth="1"/>
    <col min="16" max="16" width="7.5546875" style="39" customWidth="1"/>
    <col min="17" max="17" width="3.5546875" style="39" customWidth="1"/>
    <col min="18" max="18" width="5.5546875" style="39" customWidth="1"/>
    <col min="19" max="19" width="1.5546875" style="39" customWidth="1"/>
    <col min="20" max="20" width="9" style="39" customWidth="1"/>
    <col min="21" max="21" width="9.6640625" style="39" customWidth="1"/>
    <col min="22" max="22" width="11.44140625" style="39" customWidth="1"/>
    <col min="23" max="23" width="9.6640625" style="39" customWidth="1"/>
    <col min="24" max="24" width="10.5546875" style="39" customWidth="1"/>
    <col min="25" max="27" width="9.6640625" style="39" customWidth="1"/>
    <col min="28" max="28" width="10" style="39" customWidth="1"/>
    <col min="29" max="30" width="11.6640625" style="39" bestFit="1" customWidth="1"/>
    <col min="31" max="31" width="11.33203125" style="39" bestFit="1" customWidth="1"/>
    <col min="32" max="32" width="11.5546875" style="39" bestFit="1" customWidth="1"/>
    <col min="33" max="34" width="10.88671875" style="39" bestFit="1" customWidth="1"/>
    <col min="35" max="35" width="11.33203125" style="39" bestFit="1" customWidth="1"/>
    <col min="36" max="36" width="10.88671875" style="39" bestFit="1" customWidth="1"/>
    <col min="37" max="37" width="12.5546875" style="39" bestFit="1" customWidth="1"/>
    <col min="38" max="38" width="10.33203125" style="39" bestFit="1" customWidth="1"/>
    <col min="39" max="39" width="10.5546875" style="39" bestFit="1" customWidth="1"/>
    <col min="40" max="40" width="10.33203125" style="39" bestFit="1" customWidth="1"/>
    <col min="41" max="41" width="10.5546875" style="39" bestFit="1" customWidth="1"/>
    <col min="42" max="42" width="10.33203125" style="39" bestFit="1" customWidth="1"/>
    <col min="43" max="43" width="10.5546875" style="39" bestFit="1" customWidth="1"/>
    <col min="44" max="44" width="9.6640625" style="39" bestFit="1" customWidth="1"/>
    <col min="45" max="47" width="9.33203125" style="39" bestFit="1" customWidth="1"/>
    <col min="48" max="48" width="9.6640625" style="39" bestFit="1" customWidth="1"/>
    <col min="49" max="53" width="9.109375" style="39" bestFit="1" customWidth="1"/>
    <col min="54" max="54" width="9.6640625" style="39" bestFit="1" customWidth="1"/>
    <col min="55" max="56" width="9.33203125" style="39" bestFit="1" customWidth="1"/>
    <col min="57" max="57" width="10.33203125" style="39" bestFit="1" customWidth="1"/>
    <col min="58" max="16384" width="9.33203125" style="39"/>
  </cols>
  <sheetData>
    <row r="2" spans="2:57">
      <c r="B2" s="28" t="s">
        <v>126</v>
      </c>
      <c r="C2" s="28"/>
      <c r="D2" s="29"/>
      <c r="E2" s="30" t="s">
        <v>511</v>
      </c>
      <c r="F2" s="31" t="s">
        <v>3122</v>
      </c>
      <c r="G2" s="32"/>
      <c r="H2" s="33"/>
      <c r="I2" s="34"/>
      <c r="J2" s="35" t="s">
        <v>513</v>
      </c>
      <c r="K2" s="36" t="s">
        <v>511</v>
      </c>
      <c r="L2" s="516">
        <v>45231.979166666664</v>
      </c>
      <c r="M2" s="32"/>
      <c r="N2" s="32"/>
      <c r="O2" s="206"/>
      <c r="P2" s="205"/>
      <c r="Q2" s="202"/>
      <c r="R2" s="204"/>
      <c r="S2" s="38"/>
      <c r="T2" s="201"/>
      <c r="U2" s="201"/>
      <c r="V2" s="201"/>
      <c r="W2" s="201"/>
      <c r="X2" s="201"/>
      <c r="Y2" s="201"/>
      <c r="Z2" s="201"/>
      <c r="AA2" s="201"/>
      <c r="AB2" s="202"/>
      <c r="AC2" s="202"/>
      <c r="AD2" s="202"/>
      <c r="AE2" s="202"/>
      <c r="AF2" s="202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</row>
    <row r="3" spans="2:57">
      <c r="B3" s="35" t="s">
        <v>514</v>
      </c>
      <c r="C3" s="35"/>
      <c r="D3" s="32"/>
      <c r="E3" s="36" t="s">
        <v>511</v>
      </c>
      <c r="F3" s="311" t="s">
        <v>3717</v>
      </c>
      <c r="G3" s="59" t="s">
        <v>1411</v>
      </c>
      <c r="H3" s="33"/>
      <c r="I3" s="34"/>
      <c r="J3" s="35" t="s">
        <v>516</v>
      </c>
      <c r="K3" s="36" t="s">
        <v>511</v>
      </c>
      <c r="L3" s="516">
        <v>45234.423611111109</v>
      </c>
      <c r="M3" s="32"/>
      <c r="N3" s="32"/>
      <c r="O3" s="206"/>
      <c r="P3" s="205"/>
      <c r="Q3" s="202"/>
      <c r="R3" s="204"/>
      <c r="S3" s="38"/>
      <c r="T3" s="201"/>
      <c r="U3" s="201"/>
      <c r="V3" s="201"/>
      <c r="W3" s="201"/>
      <c r="X3" s="201"/>
      <c r="Y3" s="201"/>
      <c r="Z3" s="201"/>
      <c r="AA3" s="201"/>
      <c r="AB3" s="202"/>
      <c r="AC3" s="202"/>
      <c r="AD3" s="202"/>
      <c r="AE3" s="202"/>
      <c r="AF3" s="202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  <c r="BC3" s="201"/>
      <c r="BD3" s="201"/>
      <c r="BE3" s="201"/>
    </row>
    <row r="4" spans="2:57">
      <c r="B4" s="35" t="s">
        <v>517</v>
      </c>
      <c r="C4" s="35"/>
      <c r="D4" s="32"/>
      <c r="E4" s="36" t="s">
        <v>511</v>
      </c>
      <c r="F4" s="516">
        <v>45224.404166666667</v>
      </c>
      <c r="G4" s="769">
        <v>45226</v>
      </c>
      <c r="H4" s="33"/>
      <c r="I4" s="34"/>
      <c r="J4" s="35" t="s">
        <v>518</v>
      </c>
      <c r="K4" s="36" t="s">
        <v>511</v>
      </c>
      <c r="L4" s="544">
        <v>74060</v>
      </c>
      <c r="M4" s="40" t="s">
        <v>519</v>
      </c>
      <c r="N4" s="40"/>
      <c r="O4" s="206"/>
      <c r="P4" s="205"/>
      <c r="Q4" s="202"/>
      <c r="R4" s="204"/>
      <c r="S4" s="38"/>
      <c r="T4" s="201"/>
      <c r="U4" s="201"/>
      <c r="V4" s="201"/>
      <c r="W4" s="201"/>
      <c r="X4" s="201"/>
      <c r="Y4" s="201"/>
      <c r="Z4" s="201"/>
      <c r="AA4" s="201"/>
      <c r="AB4" s="202"/>
      <c r="AC4" s="202"/>
      <c r="AD4" s="202"/>
      <c r="AE4" s="202"/>
      <c r="AF4" s="202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1"/>
    </row>
    <row r="5" spans="2:57">
      <c r="B5" s="35" t="s">
        <v>520</v>
      </c>
      <c r="C5" s="35"/>
      <c r="D5" s="32"/>
      <c r="E5" s="36" t="s">
        <v>511</v>
      </c>
      <c r="F5" s="37" t="s">
        <v>12</v>
      </c>
      <c r="G5" s="32"/>
      <c r="H5" s="33"/>
      <c r="I5" s="34"/>
      <c r="J5" s="35" t="s">
        <v>521</v>
      </c>
      <c r="K5" s="36" t="s">
        <v>511</v>
      </c>
      <c r="L5" s="41" t="s">
        <v>3123</v>
      </c>
      <c r="M5" s="32"/>
      <c r="N5" s="32"/>
      <c r="O5" s="206"/>
      <c r="P5" s="202"/>
      <c r="Q5" s="202"/>
      <c r="R5" s="204"/>
      <c r="S5" s="38"/>
      <c r="T5" s="201"/>
      <c r="U5" s="201"/>
      <c r="V5" s="201"/>
      <c r="W5" s="201"/>
      <c r="X5" s="201"/>
      <c r="Y5" s="201"/>
      <c r="Z5" s="201"/>
      <c r="AA5" s="201"/>
      <c r="AB5" s="202"/>
      <c r="AC5" s="202"/>
      <c r="AD5" s="202"/>
      <c r="AE5" s="202"/>
      <c r="AF5" s="202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  <c r="BE5" s="201"/>
    </row>
    <row r="6" spans="2:57">
      <c r="B6" s="35" t="s">
        <v>523</v>
      </c>
      <c r="C6" s="35"/>
      <c r="D6" s="32"/>
      <c r="E6" s="36" t="s">
        <v>511</v>
      </c>
      <c r="F6" s="37" t="s">
        <v>32</v>
      </c>
      <c r="G6" s="32"/>
      <c r="H6" s="33"/>
      <c r="I6" s="34"/>
      <c r="J6" s="42" t="s">
        <v>524</v>
      </c>
      <c r="K6" s="36" t="s">
        <v>511</v>
      </c>
      <c r="L6" s="43" t="s">
        <v>15</v>
      </c>
      <c r="M6" s="44"/>
      <c r="N6" s="44"/>
      <c r="O6" s="206"/>
      <c r="P6" s="205"/>
      <c r="Q6" s="202"/>
      <c r="R6" s="204"/>
      <c r="S6" s="38"/>
      <c r="T6" s="201"/>
      <c r="U6" s="201"/>
      <c r="V6" s="201"/>
      <c r="W6" s="201"/>
      <c r="X6" s="201"/>
      <c r="Y6" s="201"/>
      <c r="Z6" s="201"/>
      <c r="AA6" s="201"/>
      <c r="AB6" s="202"/>
      <c r="AC6" s="202"/>
      <c r="AD6" s="202"/>
      <c r="AE6" s="202"/>
      <c r="AF6" s="202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</row>
    <row r="7" spans="2:57">
      <c r="B7" s="35" t="s">
        <v>2</v>
      </c>
      <c r="C7" s="35"/>
      <c r="D7" s="32"/>
      <c r="E7" s="36" t="s">
        <v>511</v>
      </c>
      <c r="F7" s="37" t="s">
        <v>40</v>
      </c>
      <c r="G7" s="32"/>
      <c r="H7" s="33"/>
      <c r="I7" s="45"/>
      <c r="J7" s="42"/>
      <c r="K7" s="36"/>
      <c r="L7" s="211"/>
      <c r="M7" s="201"/>
      <c r="N7" s="201"/>
      <c r="O7" s="42"/>
      <c r="P7" s="44"/>
      <c r="Q7" s="44"/>
      <c r="R7" s="44"/>
      <c r="S7" s="34"/>
      <c r="T7" s="201"/>
      <c r="U7" s="201"/>
      <c r="V7" s="201"/>
      <c r="W7" s="201"/>
      <c r="X7" s="201"/>
      <c r="Y7" s="201"/>
      <c r="Z7" s="201"/>
      <c r="AA7" s="201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1"/>
      <c r="BD7" s="201"/>
      <c r="BE7" s="201"/>
    </row>
    <row r="8" spans="2:57">
      <c r="B8" s="201"/>
      <c r="C8" s="201"/>
      <c r="D8" s="201"/>
      <c r="E8" s="201"/>
      <c r="F8" s="201"/>
      <c r="G8" s="201"/>
      <c r="H8" s="201"/>
      <c r="I8" s="45"/>
      <c r="J8" s="42"/>
      <c r="K8" s="42"/>
      <c r="L8" s="43"/>
      <c r="M8" s="44"/>
      <c r="N8" s="44"/>
      <c r="O8" s="42"/>
      <c r="P8" s="44"/>
      <c r="Q8" s="44"/>
      <c r="R8" s="44"/>
      <c r="S8" s="34"/>
      <c r="T8" s="1265" t="s">
        <v>87</v>
      </c>
      <c r="U8" s="1265"/>
      <c r="V8" s="1265"/>
      <c r="W8" s="1265"/>
      <c r="X8" s="1265"/>
      <c r="Y8" s="1265" t="s">
        <v>73</v>
      </c>
      <c r="Z8" s="1265"/>
      <c r="AA8" s="1265"/>
      <c r="AB8" s="1265" t="s">
        <v>74</v>
      </c>
      <c r="AC8" s="1265"/>
      <c r="AD8" s="423" t="s">
        <v>85</v>
      </c>
      <c r="AE8" s="834" t="s">
        <v>77</v>
      </c>
      <c r="AF8" s="1466" t="s">
        <v>525</v>
      </c>
      <c r="AG8" s="1466"/>
      <c r="AH8" s="1466"/>
      <c r="AI8" s="1466"/>
      <c r="AJ8" s="1466"/>
      <c r="AK8" s="1466"/>
      <c r="AL8" s="1466"/>
      <c r="AM8" s="1466"/>
      <c r="AN8" s="1466"/>
      <c r="AO8" s="1466"/>
      <c r="AP8" s="1466"/>
      <c r="AQ8" s="1466"/>
      <c r="AR8" s="1466"/>
      <c r="AS8" s="1466"/>
      <c r="AT8" s="1466"/>
      <c r="AU8" s="1466"/>
      <c r="AV8" s="1466"/>
      <c r="AW8" s="1466"/>
      <c r="AX8" s="1466"/>
      <c r="AY8" s="1466"/>
      <c r="AZ8" s="1466"/>
      <c r="BA8" s="1466"/>
      <c r="BB8" s="1466"/>
      <c r="BC8" s="1466"/>
      <c r="BD8" s="1466"/>
      <c r="BE8" s="201"/>
    </row>
    <row r="9" spans="2:57">
      <c r="B9" s="1266" t="s">
        <v>526</v>
      </c>
      <c r="C9" s="1267"/>
      <c r="D9" s="570" t="s">
        <v>527</v>
      </c>
      <c r="E9" s="570"/>
      <c r="F9" s="570" t="s">
        <v>528</v>
      </c>
      <c r="G9" s="570" t="s">
        <v>529</v>
      </c>
      <c r="H9" s="570" t="s">
        <v>530</v>
      </c>
      <c r="I9" s="570" t="s">
        <v>531</v>
      </c>
      <c r="J9" s="570" t="s">
        <v>532</v>
      </c>
      <c r="K9" s="570"/>
      <c r="L9" s="570" t="s">
        <v>130</v>
      </c>
      <c r="M9" s="570" t="s">
        <v>533</v>
      </c>
      <c r="N9" s="625" t="str">
        <f>"On time - "&amp;COUNTIF(N10:N22,"On time")&amp;" from "&amp;ROWS(N10:N22)-COUNTIF(N10:N22," ")</f>
        <v>On time - 0 from 10</v>
      </c>
      <c r="O9" s="46"/>
      <c r="P9" s="409" t="s">
        <v>534</v>
      </c>
      <c r="Q9" s="409" t="s">
        <v>535</v>
      </c>
      <c r="R9" s="409" t="s">
        <v>536</v>
      </c>
      <c r="S9" s="32"/>
      <c r="T9" s="424" t="s">
        <v>537</v>
      </c>
      <c r="U9" s="424" t="s">
        <v>538</v>
      </c>
      <c r="V9" s="424" t="s">
        <v>539</v>
      </c>
      <c r="W9" s="424" t="s">
        <v>540</v>
      </c>
      <c r="X9" s="424" t="s">
        <v>541</v>
      </c>
      <c r="Y9" s="424" t="s">
        <v>167</v>
      </c>
      <c r="Z9" s="424" t="s">
        <v>168</v>
      </c>
      <c r="AA9" s="424" t="s">
        <v>169</v>
      </c>
      <c r="AB9" s="424" t="s">
        <v>235</v>
      </c>
      <c r="AC9" s="424" t="s">
        <v>240</v>
      </c>
      <c r="AD9" s="423" t="s">
        <v>85</v>
      </c>
      <c r="AE9" s="424" t="s">
        <v>139</v>
      </c>
      <c r="AF9" s="835" t="s">
        <v>72</v>
      </c>
      <c r="AG9" s="835" t="s">
        <v>88</v>
      </c>
      <c r="AH9" s="835" t="s">
        <v>75</v>
      </c>
      <c r="AI9" s="835" t="s">
        <v>543</v>
      </c>
      <c r="AJ9" s="835" t="s">
        <v>78</v>
      </c>
      <c r="AK9" s="835" t="s">
        <v>76</v>
      </c>
      <c r="AL9" s="835" t="s">
        <v>544</v>
      </c>
      <c r="AM9" s="835" t="s">
        <v>545</v>
      </c>
      <c r="AN9" s="835" t="s">
        <v>86</v>
      </c>
      <c r="AO9" s="835" t="s">
        <v>83</v>
      </c>
      <c r="AP9" s="835" t="s">
        <v>84</v>
      </c>
      <c r="AQ9" s="835" t="s">
        <v>546</v>
      </c>
      <c r="AR9" s="835" t="s">
        <v>81</v>
      </c>
      <c r="AS9" s="835" t="s">
        <v>80</v>
      </c>
      <c r="AT9" s="835" t="s">
        <v>82</v>
      </c>
      <c r="AU9" s="835" t="s">
        <v>181</v>
      </c>
      <c r="AV9" s="835" t="s">
        <v>183</v>
      </c>
      <c r="AW9" s="835" t="s">
        <v>547</v>
      </c>
      <c r="AX9" s="835" t="s">
        <v>182</v>
      </c>
      <c r="AY9" s="835" t="s">
        <v>172</v>
      </c>
      <c r="AZ9" s="835" t="s">
        <v>173</v>
      </c>
      <c r="BA9" s="835" t="s">
        <v>184</v>
      </c>
      <c r="BB9" s="835" t="s">
        <v>100</v>
      </c>
      <c r="BC9" s="835" t="s">
        <v>913</v>
      </c>
      <c r="BD9" s="835" t="s">
        <v>2747</v>
      </c>
      <c r="BE9" s="201"/>
    </row>
    <row r="10" spans="2:57">
      <c r="B10" s="1315" t="s">
        <v>548</v>
      </c>
      <c r="C10" s="1316"/>
      <c r="D10" s="501" t="s">
        <v>3367</v>
      </c>
      <c r="E10" s="501"/>
      <c r="F10" s="501" t="s">
        <v>238</v>
      </c>
      <c r="G10" s="501" t="s">
        <v>239</v>
      </c>
      <c r="H10" s="503">
        <v>7356.7139999999999</v>
      </c>
      <c r="I10" s="505" t="s">
        <v>2381</v>
      </c>
      <c r="J10" s="504">
        <v>45229.319444444445</v>
      </c>
      <c r="K10" s="504"/>
      <c r="L10" s="504" t="s">
        <v>192</v>
      </c>
      <c r="M10" s="504" t="s">
        <v>192</v>
      </c>
      <c r="N10" s="505" t="str">
        <f>IF(ISBLANK(J10)," ",IF(J10&lt;$G$4,"On time",(IF(DAY(J10-$G$4)&lt;1,"On time",(IF(J10&gt;$G$4,"DELAY ( "&amp;DAY(J10-$G$4)&amp;" day "&amp;HOUR(J10-$G$4)&amp;" hour "&amp;MINUTE(J10-$G$4)&amp;" minute )","xxx"))))))</f>
        <v>DELAY ( 3 day 7 hour 40 minute )</v>
      </c>
      <c r="O10" s="506"/>
      <c r="P10" s="507" t="s">
        <v>551</v>
      </c>
      <c r="Q10" s="507" t="s">
        <v>551</v>
      </c>
      <c r="R10" s="507" t="s">
        <v>551</v>
      </c>
      <c r="S10" s="500"/>
      <c r="T10" s="508"/>
      <c r="U10" s="508"/>
      <c r="V10" s="508"/>
      <c r="W10" s="508"/>
      <c r="X10" s="508"/>
      <c r="Y10" s="508"/>
      <c r="Z10" s="508"/>
      <c r="AA10" s="508"/>
      <c r="AB10" s="508">
        <f>H10*0.8</f>
        <v>5885.3712000000005</v>
      </c>
      <c r="AC10" s="508">
        <f>H10*0.2</f>
        <v>1471.3428000000001</v>
      </c>
      <c r="AD10" s="508"/>
      <c r="AE10" s="508"/>
      <c r="AF10" s="508"/>
      <c r="AG10" s="508"/>
      <c r="AH10" s="508"/>
      <c r="AI10" s="508"/>
      <c r="AJ10" s="508"/>
      <c r="AK10" s="500"/>
      <c r="AL10" s="508"/>
      <c r="AM10" s="508"/>
      <c r="AN10" s="508"/>
      <c r="AO10" s="508"/>
      <c r="AP10" s="508"/>
      <c r="AQ10" s="508"/>
      <c r="AR10" s="508"/>
      <c r="AS10" s="508"/>
      <c r="AT10" s="508"/>
      <c r="AU10" s="508"/>
      <c r="AV10" s="508"/>
      <c r="AW10" s="508"/>
      <c r="AX10" s="508"/>
      <c r="AY10" s="508"/>
      <c r="AZ10" s="508"/>
      <c r="BA10" s="508"/>
      <c r="BB10" s="508"/>
      <c r="BC10" s="508"/>
      <c r="BD10" s="508"/>
      <c r="BE10" s="500"/>
    </row>
    <row r="11" spans="2:57">
      <c r="B11" s="1328" t="s">
        <v>548</v>
      </c>
      <c r="C11" s="1329"/>
      <c r="D11" s="501" t="s">
        <v>3366</v>
      </c>
      <c r="E11" s="501"/>
      <c r="F11" s="501" t="s">
        <v>284</v>
      </c>
      <c r="G11" s="501" t="s">
        <v>285</v>
      </c>
      <c r="H11" s="503">
        <v>9118.6949999999997</v>
      </c>
      <c r="I11" s="505" t="s">
        <v>235</v>
      </c>
      <c r="J11" s="504">
        <v>45229.75</v>
      </c>
      <c r="K11" s="504"/>
      <c r="L11" s="504" t="s">
        <v>192</v>
      </c>
      <c r="M11" s="504" t="s">
        <v>192</v>
      </c>
      <c r="N11" s="505" t="str">
        <f t="shared" ref="N11:N22" si="0">IF(ISBLANK(J11)," ",IF(J11&lt;$G$4,"On time",(IF(DAY(J11-$G$4)&lt;1,"On time",(IF(J11&gt;$G$4,"DELAY ( "&amp;DAY(J11-$G$4)&amp;" day "&amp;HOUR(J11-$G$4)&amp;" hour "&amp;MINUTE(J11-$G$4)&amp;" minute )","xxx"))))))</f>
        <v>DELAY ( 3 day 18 hour 0 minute )</v>
      </c>
      <c r="O11" s="506"/>
      <c r="P11" s="507" t="s">
        <v>551</v>
      </c>
      <c r="Q11" s="507" t="s">
        <v>551</v>
      </c>
      <c r="R11" s="507" t="s">
        <v>551</v>
      </c>
      <c r="S11" s="500"/>
      <c r="T11" s="508"/>
      <c r="U11" s="508"/>
      <c r="V11" s="508"/>
      <c r="W11" s="508"/>
      <c r="X11" s="508"/>
      <c r="Y11" s="508"/>
      <c r="Z11" s="508"/>
      <c r="AA11" s="508"/>
      <c r="AB11" s="508">
        <f>H11</f>
        <v>9118.6949999999997</v>
      </c>
      <c r="AC11" s="508"/>
      <c r="AD11" s="508"/>
      <c r="AE11" s="508"/>
      <c r="AF11" s="508"/>
      <c r="AG11" s="508"/>
      <c r="AH11" s="508"/>
      <c r="AI11" s="508"/>
      <c r="AJ11" s="508"/>
      <c r="AK11" s="508"/>
      <c r="AL11" s="508"/>
      <c r="AM11" s="508"/>
      <c r="AN11" s="508"/>
      <c r="AO11" s="508"/>
      <c r="AP11" s="508"/>
      <c r="AQ11" s="508"/>
      <c r="AR11" s="508"/>
      <c r="AS11" s="508"/>
      <c r="AT11" s="508"/>
      <c r="AU11" s="508"/>
      <c r="AV11" s="508"/>
      <c r="AW11" s="508"/>
      <c r="AX11" s="508"/>
      <c r="AY11" s="508"/>
      <c r="AZ11" s="508"/>
      <c r="BA11" s="508"/>
      <c r="BB11" s="508"/>
      <c r="BC11" s="508"/>
      <c r="BD11" s="508"/>
      <c r="BE11" s="500"/>
    </row>
    <row r="12" spans="2:57">
      <c r="B12" s="1326" t="s">
        <v>1126</v>
      </c>
      <c r="C12" s="1327"/>
      <c r="D12" s="501" t="s">
        <v>3358</v>
      </c>
      <c r="E12" s="501"/>
      <c r="F12" s="501" t="s">
        <v>695</v>
      </c>
      <c r="G12" s="501" t="s">
        <v>281</v>
      </c>
      <c r="H12" s="503">
        <v>5450</v>
      </c>
      <c r="I12" s="505" t="s">
        <v>418</v>
      </c>
      <c r="J12" s="504">
        <v>45229.881944444445</v>
      </c>
      <c r="K12" s="504"/>
      <c r="L12" s="504" t="s">
        <v>192</v>
      </c>
      <c r="M12" s="504" t="s">
        <v>192</v>
      </c>
      <c r="N12" s="505" t="str">
        <f t="shared" si="0"/>
        <v>DELAY ( 3 day 21 hour 10 minute )</v>
      </c>
      <c r="O12" s="506"/>
      <c r="P12" s="507" t="s">
        <v>551</v>
      </c>
      <c r="Q12" s="507" t="s">
        <v>551</v>
      </c>
      <c r="R12" s="507" t="s">
        <v>551</v>
      </c>
      <c r="S12" s="500"/>
      <c r="T12" s="508"/>
      <c r="U12" s="508"/>
      <c r="V12" s="508"/>
      <c r="W12" s="508"/>
      <c r="X12" s="508"/>
      <c r="Y12" s="508"/>
      <c r="Z12" s="508"/>
      <c r="AA12" s="508"/>
      <c r="AB12" s="508">
        <f>(H12*0.6)</f>
        <v>3270</v>
      </c>
      <c r="AC12" s="508">
        <f>(H12*0.4)</f>
        <v>2180</v>
      </c>
      <c r="AD12" s="508"/>
      <c r="AE12" s="508"/>
      <c r="AF12" s="508"/>
      <c r="AG12" s="508"/>
      <c r="AH12" s="508"/>
      <c r="AI12" s="508"/>
      <c r="AJ12" s="508"/>
      <c r="AK12" s="508"/>
      <c r="AL12" s="508"/>
      <c r="AM12" s="508"/>
      <c r="AN12" s="508"/>
      <c r="AO12" s="508"/>
      <c r="AP12" s="508"/>
      <c r="AQ12" s="508"/>
      <c r="AR12" s="508"/>
      <c r="AS12" s="508"/>
      <c r="AT12" s="508"/>
      <c r="AU12" s="508"/>
      <c r="AV12" s="508"/>
      <c r="AW12" s="508"/>
      <c r="AX12" s="508"/>
      <c r="AY12" s="508"/>
      <c r="AZ12" s="508"/>
      <c r="BA12" s="508"/>
      <c r="BB12" s="508"/>
      <c r="BC12" s="508"/>
      <c r="BD12" s="508"/>
      <c r="BE12" s="500"/>
    </row>
    <row r="13" spans="2:57">
      <c r="B13" s="1456"/>
      <c r="C13" s="1457"/>
      <c r="D13" s="501" t="s">
        <v>3365</v>
      </c>
      <c r="E13" s="501"/>
      <c r="F13" s="501" t="s">
        <v>323</v>
      </c>
      <c r="G13" s="501" t="s">
        <v>324</v>
      </c>
      <c r="H13" s="503">
        <v>4926.5959999999995</v>
      </c>
      <c r="I13" s="505" t="s">
        <v>235</v>
      </c>
      <c r="J13" s="504">
        <v>45230.4375</v>
      </c>
      <c r="K13" s="504"/>
      <c r="L13" s="504" t="s">
        <v>192</v>
      </c>
      <c r="M13" s="504" t="s">
        <v>192</v>
      </c>
      <c r="N13" s="505" t="str">
        <f t="shared" si="0"/>
        <v>DELAY ( 4 day 10 hour 30 minute )</v>
      </c>
      <c r="O13" s="506"/>
      <c r="P13" s="507" t="s">
        <v>551</v>
      </c>
      <c r="Q13" s="507" t="s">
        <v>551</v>
      </c>
      <c r="R13" s="507" t="s">
        <v>551</v>
      </c>
      <c r="S13" s="500"/>
      <c r="T13" s="508"/>
      <c r="U13" s="508"/>
      <c r="V13" s="508"/>
      <c r="W13" s="508"/>
      <c r="X13" s="508"/>
      <c r="Y13" s="508"/>
      <c r="Z13" s="508"/>
      <c r="AA13" s="508"/>
      <c r="AB13" s="508">
        <f>H13</f>
        <v>4926.5959999999995</v>
      </c>
      <c r="AC13" s="508"/>
      <c r="AD13" s="508"/>
      <c r="AE13" s="508"/>
      <c r="AF13" s="508"/>
      <c r="AG13" s="508"/>
      <c r="AH13" s="508"/>
      <c r="AI13" s="508"/>
      <c r="AJ13" s="508"/>
      <c r="AK13" s="508"/>
      <c r="AL13" s="508"/>
      <c r="AM13" s="508"/>
      <c r="AN13" s="508"/>
      <c r="AO13" s="508"/>
      <c r="AP13" s="508"/>
      <c r="AQ13" s="508"/>
      <c r="AR13" s="508"/>
      <c r="AS13" s="508"/>
      <c r="AT13" s="508"/>
      <c r="AU13" s="508"/>
      <c r="AV13" s="508"/>
      <c r="AW13" s="508"/>
      <c r="AX13" s="508"/>
      <c r="AY13" s="508"/>
      <c r="AZ13" s="508"/>
      <c r="BA13" s="508"/>
      <c r="BB13" s="500"/>
      <c r="BC13" s="500"/>
      <c r="BD13" s="500"/>
      <c r="BE13" s="500"/>
    </row>
    <row r="14" spans="2:57">
      <c r="B14" s="1467" t="s">
        <v>2519</v>
      </c>
      <c r="C14" s="1468"/>
      <c r="D14" s="836" t="s">
        <v>3428</v>
      </c>
      <c r="E14" s="502"/>
      <c r="F14" s="501" t="s">
        <v>1392</v>
      </c>
      <c r="G14" s="501" t="s">
        <v>365</v>
      </c>
      <c r="H14" s="503">
        <f>7531.44/2</f>
        <v>3765.72</v>
      </c>
      <c r="I14" s="505" t="s">
        <v>172</v>
      </c>
      <c r="J14" s="504">
        <v>45231.732638888891</v>
      </c>
      <c r="K14" s="504"/>
      <c r="L14" s="504" t="s">
        <v>192</v>
      </c>
      <c r="M14" s="504" t="s">
        <v>192</v>
      </c>
      <c r="N14" s="505" t="str">
        <f t="shared" si="0"/>
        <v>DELAY ( 5 day 17 hour 35 minute )</v>
      </c>
      <c r="O14" s="506"/>
      <c r="P14" s="507" t="s">
        <v>551</v>
      </c>
      <c r="Q14" s="507" t="s">
        <v>551</v>
      </c>
      <c r="R14" s="507" t="s">
        <v>551</v>
      </c>
      <c r="S14" s="500"/>
      <c r="T14" s="508"/>
      <c r="U14" s="508"/>
      <c r="V14" s="508"/>
      <c r="W14" s="508"/>
      <c r="X14" s="508"/>
      <c r="Y14" s="508"/>
      <c r="Z14" s="508"/>
      <c r="AA14" s="508"/>
      <c r="AB14" s="500"/>
      <c r="AC14" s="508"/>
      <c r="AD14" s="508"/>
      <c r="AE14" s="508"/>
      <c r="AF14" s="508"/>
      <c r="AG14" s="508"/>
      <c r="AH14" s="508"/>
      <c r="AI14" s="508"/>
      <c r="AJ14" s="508"/>
      <c r="AK14" s="508"/>
      <c r="AL14" s="508"/>
      <c r="AM14" s="508"/>
      <c r="AN14" s="508"/>
      <c r="AO14" s="508"/>
      <c r="AP14" s="500"/>
      <c r="AQ14" s="508"/>
      <c r="AR14" s="508"/>
      <c r="AS14" s="508"/>
      <c r="AT14" s="508"/>
      <c r="AU14" s="508"/>
      <c r="AV14" s="508"/>
      <c r="AW14" s="508"/>
      <c r="AX14" s="508"/>
      <c r="AY14" s="508">
        <f>H14</f>
        <v>3765.72</v>
      </c>
      <c r="AZ14" s="508"/>
      <c r="BA14" s="508"/>
      <c r="BB14" s="508"/>
      <c r="BC14" s="500"/>
      <c r="BD14" s="508"/>
      <c r="BE14" s="500"/>
    </row>
    <row r="15" spans="2:57">
      <c r="B15" s="1328"/>
      <c r="C15" s="1329"/>
      <c r="D15" s="836" t="s">
        <v>3369</v>
      </c>
      <c r="E15" s="501"/>
      <c r="F15" s="501" t="s">
        <v>377</v>
      </c>
      <c r="G15" s="501" t="s">
        <v>378</v>
      </c>
      <c r="H15" s="503">
        <v>7916.8220000000001</v>
      </c>
      <c r="I15" s="505" t="s">
        <v>235</v>
      </c>
      <c r="J15" s="504">
        <v>45230.395833333336</v>
      </c>
      <c r="K15" s="504"/>
      <c r="L15" s="504" t="s">
        <v>192</v>
      </c>
      <c r="M15" s="504" t="s">
        <v>192</v>
      </c>
      <c r="N15" s="505" t="str">
        <f t="shared" si="0"/>
        <v>DELAY ( 4 day 9 hour 30 minute )</v>
      </c>
      <c r="O15" s="506"/>
      <c r="P15" s="507" t="s">
        <v>551</v>
      </c>
      <c r="Q15" s="507" t="s">
        <v>551</v>
      </c>
      <c r="R15" s="507" t="s">
        <v>551</v>
      </c>
      <c r="S15" s="500"/>
      <c r="T15" s="508"/>
      <c r="U15" s="508"/>
      <c r="V15" s="508"/>
      <c r="W15" s="508"/>
      <c r="X15" s="508"/>
      <c r="Y15" s="508"/>
      <c r="Z15" s="508"/>
      <c r="AA15" s="508"/>
      <c r="AB15" s="508">
        <f>H15</f>
        <v>7916.8220000000001</v>
      </c>
      <c r="AC15" s="508"/>
      <c r="AD15" s="508"/>
      <c r="AE15" s="508"/>
      <c r="AF15" s="508"/>
      <c r="AG15" s="508"/>
      <c r="AH15" s="508"/>
      <c r="AI15" s="508"/>
      <c r="AJ15" s="508"/>
      <c r="AK15" s="508"/>
      <c r="AL15" s="508"/>
      <c r="AM15" s="508"/>
      <c r="AN15" s="508"/>
      <c r="AO15" s="508"/>
      <c r="AP15" s="508"/>
      <c r="AQ15" s="508"/>
      <c r="AR15" s="508"/>
      <c r="AS15" s="508"/>
      <c r="AT15" s="508"/>
      <c r="AU15" s="508"/>
      <c r="AV15" s="508"/>
      <c r="AW15" s="508"/>
      <c r="AX15" s="508"/>
      <c r="AY15" s="508"/>
      <c r="AZ15" s="508"/>
      <c r="BA15" s="508"/>
      <c r="BB15" s="508"/>
      <c r="BC15" s="508"/>
      <c r="BD15" s="508"/>
      <c r="BE15" s="500"/>
    </row>
    <row r="16" spans="2:57">
      <c r="B16" s="1326" t="s">
        <v>2449</v>
      </c>
      <c r="C16" s="1327"/>
      <c r="D16" s="836" t="s">
        <v>3428</v>
      </c>
      <c r="E16" s="502"/>
      <c r="F16" s="501" t="s">
        <v>1392</v>
      </c>
      <c r="G16" s="501" t="s">
        <v>365</v>
      </c>
      <c r="H16" s="503">
        <f>H14</f>
        <v>3765.72</v>
      </c>
      <c r="I16" s="505" t="s">
        <v>172</v>
      </c>
      <c r="J16" s="504"/>
      <c r="K16" s="504"/>
      <c r="L16" s="504"/>
      <c r="M16" s="504"/>
      <c r="N16" s="505" t="str">
        <f t="shared" si="0"/>
        <v xml:space="preserve"> </v>
      </c>
      <c r="O16" s="506"/>
      <c r="P16" s="507" t="s">
        <v>551</v>
      </c>
      <c r="Q16" s="507" t="s">
        <v>551</v>
      </c>
      <c r="R16" s="507" t="s">
        <v>551</v>
      </c>
      <c r="S16" s="500"/>
      <c r="T16" s="508"/>
      <c r="U16" s="508"/>
      <c r="V16" s="508"/>
      <c r="W16" s="508"/>
      <c r="X16" s="508"/>
      <c r="Y16" s="508"/>
      <c r="Z16" s="508"/>
      <c r="AA16" s="508"/>
      <c r="AB16" s="500"/>
      <c r="AC16" s="508"/>
      <c r="AD16" s="508"/>
      <c r="AE16" s="508"/>
      <c r="AF16" s="508"/>
      <c r="AG16" s="508"/>
      <c r="AH16" s="508"/>
      <c r="AI16" s="508"/>
      <c r="AJ16" s="508"/>
      <c r="AK16" s="508"/>
      <c r="AL16" s="508"/>
      <c r="AM16" s="508"/>
      <c r="AN16" s="508"/>
      <c r="AO16" s="508"/>
      <c r="AP16" s="500"/>
      <c r="AQ16" s="508"/>
      <c r="AR16" s="508"/>
      <c r="AS16" s="508"/>
      <c r="AT16" s="508"/>
      <c r="AU16" s="508"/>
      <c r="AV16" s="508"/>
      <c r="AW16" s="508"/>
      <c r="AX16" s="508"/>
      <c r="AY16" s="508">
        <f>H16</f>
        <v>3765.72</v>
      </c>
      <c r="AZ16" s="508"/>
      <c r="BA16" s="508"/>
      <c r="BB16" s="508"/>
      <c r="BC16" s="500"/>
      <c r="BD16" s="508"/>
      <c r="BE16" s="500"/>
    </row>
    <row r="17" spans="2:57">
      <c r="B17" s="1328"/>
      <c r="C17" s="1329"/>
      <c r="D17" s="836" t="s">
        <v>3368</v>
      </c>
      <c r="E17" s="501"/>
      <c r="F17" s="501" t="s">
        <v>295</v>
      </c>
      <c r="G17" s="501" t="s">
        <v>296</v>
      </c>
      <c r="H17" s="503">
        <v>9913.0910000000003</v>
      </c>
      <c r="I17" s="505" t="s">
        <v>235</v>
      </c>
      <c r="J17" s="504">
        <v>45230.423611111109</v>
      </c>
      <c r="K17" s="504"/>
      <c r="L17" s="504" t="s">
        <v>192</v>
      </c>
      <c r="M17" s="504" t="s">
        <v>192</v>
      </c>
      <c r="N17" s="505" t="str">
        <f t="shared" si="0"/>
        <v>DELAY ( 4 day 10 hour 10 minute )</v>
      </c>
      <c r="O17" s="506"/>
      <c r="P17" s="507" t="s">
        <v>551</v>
      </c>
      <c r="Q17" s="507" t="s">
        <v>551</v>
      </c>
      <c r="R17" s="507" t="s">
        <v>551</v>
      </c>
      <c r="S17" s="500"/>
      <c r="T17" s="508"/>
      <c r="U17" s="508"/>
      <c r="V17" s="508"/>
      <c r="W17" s="508"/>
      <c r="X17" s="508"/>
      <c r="Y17" s="508"/>
      <c r="Z17" s="508"/>
      <c r="AA17" s="508"/>
      <c r="AB17" s="508">
        <f>H17</f>
        <v>9913.0910000000003</v>
      </c>
      <c r="AC17" s="508"/>
      <c r="AD17" s="508"/>
      <c r="AE17" s="508"/>
      <c r="AF17" s="508"/>
      <c r="AG17" s="508"/>
      <c r="AH17" s="508"/>
      <c r="AI17" s="508"/>
      <c r="AJ17" s="508"/>
      <c r="AK17" s="508"/>
      <c r="AL17" s="508"/>
      <c r="AM17" s="508"/>
      <c r="AN17" s="508"/>
      <c r="AO17" s="508"/>
      <c r="AP17" s="508"/>
      <c r="AQ17" s="508"/>
      <c r="AR17" s="508"/>
      <c r="AS17" s="508"/>
      <c r="AT17" s="764"/>
      <c r="AU17" s="508"/>
      <c r="AV17" s="508"/>
      <c r="AW17" s="508"/>
      <c r="AX17" s="508"/>
      <c r="AY17" s="508"/>
      <c r="AZ17" s="508"/>
      <c r="BA17" s="508"/>
      <c r="BB17" s="508"/>
      <c r="BC17" s="508"/>
      <c r="BD17" s="508"/>
      <c r="BE17" s="500"/>
    </row>
    <row r="18" spans="2:57">
      <c r="B18" s="1315" t="s">
        <v>548</v>
      </c>
      <c r="C18" s="1316"/>
      <c r="D18" s="501" t="s">
        <v>3372</v>
      </c>
      <c r="E18" s="501"/>
      <c r="F18" s="501" t="s">
        <v>208</v>
      </c>
      <c r="G18" s="501" t="s">
        <v>328</v>
      </c>
      <c r="H18" s="503">
        <v>7523.8440000000001</v>
      </c>
      <c r="I18" s="505" t="s">
        <v>2381</v>
      </c>
      <c r="J18" s="504">
        <v>45230.416666666664</v>
      </c>
      <c r="K18" s="504"/>
      <c r="L18" s="504" t="s">
        <v>192</v>
      </c>
      <c r="M18" s="504" t="s">
        <v>192</v>
      </c>
      <c r="N18" s="505" t="str">
        <f t="shared" si="0"/>
        <v>DELAY ( 4 day 10 hour 0 minute )</v>
      </c>
      <c r="O18" s="506"/>
      <c r="P18" s="507" t="s">
        <v>551</v>
      </c>
      <c r="Q18" s="507" t="s">
        <v>551</v>
      </c>
      <c r="R18" s="507" t="s">
        <v>551</v>
      </c>
      <c r="S18" s="500"/>
      <c r="T18" s="508"/>
      <c r="U18" s="508"/>
      <c r="V18" s="508"/>
      <c r="W18" s="508"/>
      <c r="X18" s="508"/>
      <c r="Y18" s="508"/>
      <c r="Z18" s="508"/>
      <c r="AA18" s="508"/>
      <c r="AB18" s="508">
        <f>(H18*0.8)-(H24*0.8)</f>
        <v>6019.0752000000002</v>
      </c>
      <c r="AC18" s="508">
        <f>(H18*0.2)-(H24*0.2)</f>
        <v>1504.7688000000001</v>
      </c>
      <c r="AD18" s="508"/>
      <c r="AE18" s="508"/>
      <c r="AF18" s="508"/>
      <c r="AG18" s="508"/>
      <c r="AH18" s="508"/>
      <c r="AI18" s="508"/>
      <c r="AJ18" s="508"/>
      <c r="AK18" s="508"/>
      <c r="AL18" s="508"/>
      <c r="AM18" s="508"/>
      <c r="AN18" s="508"/>
      <c r="AO18" s="508"/>
      <c r="AP18" s="508"/>
      <c r="AQ18" s="508"/>
      <c r="AR18" s="508"/>
      <c r="AS18" s="508"/>
      <c r="AT18" s="508"/>
      <c r="AU18" s="508"/>
      <c r="AV18" s="508"/>
      <c r="AW18" s="508"/>
      <c r="AX18" s="508"/>
      <c r="AY18" s="508"/>
      <c r="AZ18" s="508"/>
      <c r="BA18" s="508"/>
      <c r="BB18" s="508"/>
      <c r="BC18" s="508"/>
      <c r="BD18" s="508"/>
      <c r="BE18" s="500"/>
    </row>
    <row r="19" spans="2:57">
      <c r="B19" s="1315" t="s">
        <v>548</v>
      </c>
      <c r="C19" s="1316"/>
      <c r="D19" s="501" t="s">
        <v>3371</v>
      </c>
      <c r="E19" s="501"/>
      <c r="F19" s="501" t="s">
        <v>70</v>
      </c>
      <c r="G19" s="501" t="s">
        <v>1982</v>
      </c>
      <c r="H19" s="503">
        <v>7607.1170000000002</v>
      </c>
      <c r="I19" s="505" t="s">
        <v>2381</v>
      </c>
      <c r="J19" s="504">
        <v>45230.430555555555</v>
      </c>
      <c r="K19" s="504"/>
      <c r="L19" s="504" t="s">
        <v>192</v>
      </c>
      <c r="M19" s="504" t="s">
        <v>192</v>
      </c>
      <c r="N19" s="505" t="str">
        <f t="shared" si="0"/>
        <v>DELAY ( 4 day 10 hour 20 minute )</v>
      </c>
      <c r="O19" s="506"/>
      <c r="P19" s="507" t="s">
        <v>551</v>
      </c>
      <c r="Q19" s="507" t="s">
        <v>551</v>
      </c>
      <c r="R19" s="507" t="s">
        <v>551</v>
      </c>
      <c r="S19" s="500"/>
      <c r="T19" s="508"/>
      <c r="U19" s="508"/>
      <c r="V19" s="508"/>
      <c r="W19" s="508"/>
      <c r="X19" s="508"/>
      <c r="Y19" s="508"/>
      <c r="Z19" s="508"/>
      <c r="AA19" s="508"/>
      <c r="AB19" s="508">
        <f>H19*0.8</f>
        <v>6085.6936000000005</v>
      </c>
      <c r="AC19" s="508">
        <f>H19*0.2</f>
        <v>1521.4234000000001</v>
      </c>
      <c r="AD19" s="508"/>
      <c r="AE19" s="508"/>
      <c r="AF19" s="508"/>
      <c r="AG19" s="508"/>
      <c r="AH19" s="508"/>
      <c r="AI19" s="508"/>
      <c r="AJ19" s="508"/>
      <c r="AK19" s="508"/>
      <c r="AL19" s="508"/>
      <c r="AM19" s="508"/>
      <c r="AN19" s="508"/>
      <c r="AO19" s="508"/>
      <c r="AP19" s="508"/>
      <c r="AQ19" s="508"/>
      <c r="AR19" s="508"/>
      <c r="AS19" s="508"/>
      <c r="AT19" s="508"/>
      <c r="AU19" s="508"/>
      <c r="AV19" s="508"/>
      <c r="AW19" s="508"/>
      <c r="AX19" s="508"/>
      <c r="AY19" s="508"/>
      <c r="AZ19" s="508"/>
      <c r="BA19" s="508"/>
      <c r="BB19" s="508"/>
      <c r="BC19" s="508"/>
      <c r="BD19" s="508"/>
      <c r="BE19" s="500"/>
    </row>
    <row r="20" spans="2:57">
      <c r="B20" s="1328" t="s">
        <v>548</v>
      </c>
      <c r="C20" s="1329"/>
      <c r="D20" s="501" t="s">
        <v>3370</v>
      </c>
      <c r="E20" s="501"/>
      <c r="F20" s="501" t="s">
        <v>473</v>
      </c>
      <c r="G20" s="501" t="s">
        <v>474</v>
      </c>
      <c r="H20" s="503">
        <f>7507.269-791.588</f>
        <v>6715.6810000000005</v>
      </c>
      <c r="I20" s="505" t="s">
        <v>2381</v>
      </c>
      <c r="J20" s="504">
        <v>45230.4375</v>
      </c>
      <c r="K20" s="504"/>
      <c r="L20" s="504" t="s">
        <v>192</v>
      </c>
      <c r="M20" s="504" t="s">
        <v>192</v>
      </c>
      <c r="N20" s="505" t="str">
        <f t="shared" si="0"/>
        <v>DELAY ( 4 day 10 hour 30 minute )</v>
      </c>
      <c r="O20" s="506"/>
      <c r="P20" s="507" t="s">
        <v>551</v>
      </c>
      <c r="Q20" s="507" t="s">
        <v>551</v>
      </c>
      <c r="R20" s="507" t="s">
        <v>551</v>
      </c>
      <c r="S20" s="500"/>
      <c r="T20" s="508"/>
      <c r="U20" s="508"/>
      <c r="V20" s="508"/>
      <c r="W20" s="508"/>
      <c r="X20" s="508"/>
      <c r="Y20" s="508"/>
      <c r="Z20" s="508"/>
      <c r="AA20" s="508"/>
      <c r="AB20" s="508">
        <f>H20*0.8</f>
        <v>5372.5448000000006</v>
      </c>
      <c r="AC20" s="508">
        <f>H20*0.2</f>
        <v>1343.1362000000001</v>
      </c>
      <c r="AD20" s="508"/>
      <c r="AE20" s="508"/>
      <c r="AF20" s="508"/>
      <c r="AG20" s="508"/>
      <c r="AH20" s="508"/>
      <c r="AI20" s="508"/>
      <c r="AJ20" s="508"/>
      <c r="AK20" s="508"/>
      <c r="AL20" s="508"/>
      <c r="AM20" s="508"/>
      <c r="AN20" s="508"/>
      <c r="AO20" s="508"/>
      <c r="AP20" s="508"/>
      <c r="AQ20" s="508"/>
      <c r="AR20" s="508"/>
      <c r="AS20" s="508"/>
      <c r="AT20" s="508"/>
      <c r="AU20" s="508"/>
      <c r="AV20" s="508"/>
      <c r="AW20" s="508"/>
      <c r="AX20" s="508"/>
      <c r="AY20" s="508"/>
      <c r="AZ20" s="508"/>
      <c r="BA20" s="508"/>
      <c r="BB20" s="508"/>
      <c r="BC20" s="508"/>
      <c r="BD20" s="508"/>
      <c r="BE20" s="500"/>
    </row>
    <row r="21" spans="2:57">
      <c r="B21" s="1258" t="s">
        <v>556</v>
      </c>
      <c r="C21" s="1259"/>
      <c r="D21" s="1259"/>
      <c r="E21" s="1259"/>
      <c r="F21" s="1259"/>
      <c r="G21" s="1260"/>
      <c r="H21" s="417">
        <f>SUM(H10:H20)</f>
        <v>74060</v>
      </c>
      <c r="I21" s="388"/>
      <c r="J21" s="293"/>
      <c r="K21" s="293"/>
      <c r="L21" s="293"/>
      <c r="M21" s="389"/>
      <c r="N21" s="505" t="str">
        <f t="shared" si="0"/>
        <v xml:space="preserve"> </v>
      </c>
      <c r="O21" s="212"/>
      <c r="P21" s="418"/>
      <c r="Q21" s="418"/>
      <c r="R21" s="418"/>
      <c r="S21" s="207"/>
      <c r="T21" s="1300"/>
      <c r="U21" s="1301"/>
      <c r="V21" s="1301"/>
      <c r="W21" s="1301"/>
      <c r="X21" s="1301"/>
      <c r="Y21" s="1301"/>
      <c r="Z21" s="1301"/>
      <c r="AA21" s="1301"/>
      <c r="AB21" s="1301"/>
      <c r="AC21" s="1301"/>
      <c r="AD21" s="1301"/>
      <c r="AE21" s="1301"/>
      <c r="AF21" s="1301"/>
      <c r="AG21" s="1301"/>
      <c r="AH21" s="1301"/>
      <c r="AI21" s="1301"/>
      <c r="AJ21" s="1301"/>
      <c r="AK21" s="1301"/>
      <c r="AL21" s="1301"/>
      <c r="AM21" s="1301"/>
      <c r="AN21" s="1301"/>
      <c r="AO21" s="1301"/>
      <c r="AP21" s="1301"/>
      <c r="AQ21" s="1301"/>
      <c r="AR21" s="1301"/>
      <c r="AS21" s="1301"/>
      <c r="AT21" s="1301"/>
      <c r="AU21" s="1301"/>
      <c r="AV21" s="1301"/>
      <c r="AW21" s="1301"/>
      <c r="AX21" s="1301"/>
      <c r="AY21" s="1301"/>
      <c r="AZ21" s="1301"/>
      <c r="BA21" s="1301"/>
      <c r="BB21" s="1301"/>
      <c r="BC21" s="1301"/>
      <c r="BD21" s="1301"/>
    </row>
    <row r="22" spans="2:57">
      <c r="B22" s="1320" t="s">
        <v>557</v>
      </c>
      <c r="C22" s="1321"/>
      <c r="D22" s="1321"/>
      <c r="E22" s="1321"/>
      <c r="F22" s="1321"/>
      <c r="G22" s="1322"/>
      <c r="H22" s="545">
        <v>74060</v>
      </c>
      <c r="I22" s="1273"/>
      <c r="J22" s="1274"/>
      <c r="K22" s="1274"/>
      <c r="L22" s="1274"/>
      <c r="M22" s="1275"/>
      <c r="N22" s="505" t="str">
        <f t="shared" si="0"/>
        <v xml:space="preserve"> </v>
      </c>
      <c r="O22" s="32"/>
      <c r="P22" s="415"/>
      <c r="Q22" s="415"/>
      <c r="R22" s="415"/>
      <c r="S22" s="63"/>
      <c r="T22" s="416">
        <f t="shared" ref="T22:BD22" si="1">SUM(T10:T20)</f>
        <v>0</v>
      </c>
      <c r="U22" s="416">
        <f t="shared" si="1"/>
        <v>0</v>
      </c>
      <c r="V22" s="416">
        <f t="shared" si="1"/>
        <v>0</v>
      </c>
      <c r="W22" s="416">
        <f t="shared" si="1"/>
        <v>0</v>
      </c>
      <c r="X22" s="416">
        <f t="shared" si="1"/>
        <v>0</v>
      </c>
      <c r="Y22" s="416">
        <f t="shared" si="1"/>
        <v>0</v>
      </c>
      <c r="Z22" s="416">
        <f t="shared" si="1"/>
        <v>0</v>
      </c>
      <c r="AA22" s="416">
        <f t="shared" si="1"/>
        <v>0</v>
      </c>
      <c r="AB22" s="416">
        <f t="shared" si="1"/>
        <v>58507.888800000001</v>
      </c>
      <c r="AC22" s="416">
        <f t="shared" si="1"/>
        <v>8020.6711999999998</v>
      </c>
      <c r="AD22" s="416">
        <f t="shared" si="1"/>
        <v>0</v>
      </c>
      <c r="AE22" s="416">
        <f t="shared" si="1"/>
        <v>0</v>
      </c>
      <c r="AF22" s="416">
        <f t="shared" si="1"/>
        <v>0</v>
      </c>
      <c r="AG22" s="416">
        <f t="shared" si="1"/>
        <v>0</v>
      </c>
      <c r="AH22" s="416">
        <f t="shared" si="1"/>
        <v>0</v>
      </c>
      <c r="AI22" s="416">
        <f t="shared" si="1"/>
        <v>0</v>
      </c>
      <c r="AJ22" s="416">
        <f t="shared" si="1"/>
        <v>0</v>
      </c>
      <c r="AK22" s="416">
        <f t="shared" si="1"/>
        <v>0</v>
      </c>
      <c r="AL22" s="416">
        <f t="shared" si="1"/>
        <v>0</v>
      </c>
      <c r="AM22" s="416">
        <f t="shared" si="1"/>
        <v>0</v>
      </c>
      <c r="AN22" s="416">
        <f t="shared" si="1"/>
        <v>0</v>
      </c>
      <c r="AO22" s="416">
        <f t="shared" si="1"/>
        <v>0</v>
      </c>
      <c r="AP22" s="416">
        <f t="shared" si="1"/>
        <v>0</v>
      </c>
      <c r="AQ22" s="416">
        <f t="shared" si="1"/>
        <v>0</v>
      </c>
      <c r="AR22" s="416">
        <f t="shared" si="1"/>
        <v>0</v>
      </c>
      <c r="AS22" s="416">
        <f t="shared" si="1"/>
        <v>0</v>
      </c>
      <c r="AT22" s="416">
        <f t="shared" si="1"/>
        <v>0</v>
      </c>
      <c r="AU22" s="416">
        <f t="shared" si="1"/>
        <v>0</v>
      </c>
      <c r="AV22" s="416">
        <f t="shared" si="1"/>
        <v>0</v>
      </c>
      <c r="AW22" s="416">
        <f t="shared" si="1"/>
        <v>0</v>
      </c>
      <c r="AX22" s="416">
        <f t="shared" si="1"/>
        <v>0</v>
      </c>
      <c r="AY22" s="416">
        <f t="shared" si="1"/>
        <v>7531.44</v>
      </c>
      <c r="AZ22" s="416">
        <f t="shared" si="1"/>
        <v>0</v>
      </c>
      <c r="BA22" s="416">
        <f t="shared" si="1"/>
        <v>0</v>
      </c>
      <c r="BB22" s="416">
        <f t="shared" si="1"/>
        <v>0</v>
      </c>
      <c r="BC22" s="416">
        <f t="shared" si="1"/>
        <v>0</v>
      </c>
      <c r="BD22" s="416">
        <f t="shared" si="1"/>
        <v>0</v>
      </c>
      <c r="BE22" s="416">
        <f>SUM(T22:BD22)</f>
        <v>74060</v>
      </c>
    </row>
    <row r="23" spans="2:57">
      <c r="B23" s="1320" t="s">
        <v>558</v>
      </c>
      <c r="C23" s="1321"/>
      <c r="D23" s="1321"/>
      <c r="E23" s="1321"/>
      <c r="F23" s="1321"/>
      <c r="G23" s="1322"/>
      <c r="H23" s="546">
        <f>H22-L4</f>
        <v>0</v>
      </c>
      <c r="I23" s="669"/>
      <c r="J23" s="670"/>
      <c r="K23" s="670"/>
      <c r="L23" s="671"/>
      <c r="M23" s="207"/>
      <c r="N23" s="32"/>
      <c r="O23" s="32"/>
      <c r="P23" s="32"/>
      <c r="Q23" s="297"/>
      <c r="R23" s="297"/>
      <c r="S23" s="32"/>
      <c r="T23" s="48"/>
      <c r="U23" s="48"/>
      <c r="V23" s="48"/>
      <c r="W23" s="48"/>
      <c r="X23" s="48"/>
      <c r="Y23" s="48"/>
      <c r="Z23" s="48"/>
      <c r="AA23" s="48"/>
      <c r="AB23" s="48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</row>
    <row r="24" spans="2:57">
      <c r="B24" s="1320" t="s">
        <v>559</v>
      </c>
      <c r="C24" s="1321"/>
      <c r="D24" s="1321"/>
      <c r="E24" s="1321"/>
      <c r="F24" s="1321"/>
      <c r="G24" s="1322"/>
      <c r="H24" s="532">
        <f>H21-H22</f>
        <v>0</v>
      </c>
      <c r="I24" s="672"/>
      <c r="J24" s="673"/>
      <c r="K24" s="673"/>
      <c r="L24" s="674"/>
      <c r="M24" s="207"/>
      <c r="N24" s="201"/>
      <c r="O24" s="32"/>
      <c r="P24" s="32"/>
      <c r="Q24" s="32"/>
      <c r="R24" s="32"/>
      <c r="S24" s="32"/>
      <c r="T24" s="48"/>
      <c r="U24" s="48"/>
      <c r="V24" s="48"/>
      <c r="W24" s="48"/>
      <c r="X24" s="48"/>
      <c r="Y24" s="48"/>
      <c r="Z24" s="48"/>
      <c r="AA24" s="48"/>
      <c r="AB24" s="48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</row>
    <row r="25" spans="2:57">
      <c r="B25" s="1415" t="s">
        <v>560</v>
      </c>
      <c r="C25" s="1416"/>
      <c r="D25" s="1416"/>
      <c r="E25" s="1416"/>
      <c r="F25" s="1416"/>
      <c r="G25" s="1417"/>
      <c r="H25" s="741">
        <f>H24-791.588</f>
        <v>-791.58799999999997</v>
      </c>
      <c r="I25" s="641"/>
      <c r="J25" s="642"/>
      <c r="K25" s="642"/>
      <c r="L25" s="499"/>
      <c r="M25" s="613"/>
      <c r="N25" s="613"/>
      <c r="O25" s="613"/>
      <c r="P25" s="613"/>
      <c r="Q25" s="613"/>
      <c r="R25" s="613"/>
      <c r="S25" s="616"/>
      <c r="T25" s="616"/>
      <c r="U25" s="616"/>
      <c r="V25" s="616"/>
      <c r="W25" s="616"/>
      <c r="X25" s="616"/>
      <c r="Y25" s="616"/>
      <c r="Z25" s="616"/>
      <c r="AA25" s="616"/>
      <c r="AB25" s="613">
        <f>-(H24*0.6)</f>
        <v>0</v>
      </c>
      <c r="AC25" s="613">
        <f>-(H24*0.4)</f>
        <v>0</v>
      </c>
      <c r="AD25" s="613"/>
      <c r="AE25" s="613"/>
      <c r="AF25" s="613"/>
      <c r="AG25" s="613"/>
      <c r="AH25" s="613"/>
      <c r="AI25" s="613"/>
      <c r="AJ25" s="613"/>
      <c r="AK25" s="613"/>
      <c r="AL25" s="613"/>
      <c r="AM25" s="613"/>
      <c r="AN25" s="613"/>
      <c r="AO25" s="613"/>
      <c r="AP25" s="613"/>
      <c r="AQ25" s="613"/>
      <c r="AR25" s="496"/>
      <c r="AS25" s="496"/>
      <c r="AT25" s="496"/>
      <c r="AU25" s="496"/>
      <c r="AV25" s="496"/>
      <c r="AW25" s="496"/>
      <c r="AX25" s="496"/>
      <c r="AY25" s="496"/>
      <c r="AZ25" s="496"/>
      <c r="BA25" s="496"/>
    </row>
    <row r="26" spans="2:57">
      <c r="B26" s="201"/>
      <c r="C26" s="201"/>
      <c r="D26" s="201"/>
      <c r="E26" s="201"/>
      <c r="F26" s="201"/>
      <c r="G26" s="201"/>
      <c r="H26" s="213"/>
      <c r="I26" s="213"/>
      <c r="J26" s="209"/>
      <c r="K26" s="209"/>
      <c r="L26" s="203"/>
      <c r="M26" s="201"/>
      <c r="N26" s="201"/>
      <c r="O26" s="209"/>
      <c r="P26" s="32"/>
      <c r="Q26" s="32"/>
      <c r="R26" s="32"/>
      <c r="S26" s="32"/>
      <c r="T26" s="48"/>
      <c r="U26" s="48"/>
      <c r="V26" s="48"/>
      <c r="W26" s="48"/>
      <c r="X26" s="48"/>
      <c r="Y26" s="48"/>
      <c r="Z26" s="48"/>
      <c r="AA26" s="48"/>
      <c r="AB26" s="48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</row>
    <row r="27" spans="2:57">
      <c r="B27" s="40" t="s">
        <v>561</v>
      </c>
      <c r="C27" s="40"/>
      <c r="D27" s="32"/>
      <c r="E27" s="32"/>
      <c r="F27" s="32"/>
      <c r="G27" s="32"/>
      <c r="H27" s="32"/>
      <c r="I27" s="32"/>
      <c r="J27" s="52"/>
      <c r="K27" s="52"/>
      <c r="L27" s="55"/>
      <c r="M27" s="32"/>
      <c r="N27" s="201"/>
      <c r="O27" s="5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BE27" s="201"/>
    </row>
    <row r="28" spans="2:57">
      <c r="B28" s="422">
        <v>1</v>
      </c>
      <c r="C28" s="1249" t="s">
        <v>3718</v>
      </c>
      <c r="D28" s="1249"/>
      <c r="E28" s="1249"/>
      <c r="F28" s="1249"/>
      <c r="G28" s="1249"/>
      <c r="H28" s="1249"/>
      <c r="I28" s="1249"/>
      <c r="J28" s="1249"/>
      <c r="K28" s="1249"/>
      <c r="L28" s="203"/>
      <c r="M28" s="203"/>
      <c r="N28" s="201"/>
      <c r="O28" s="209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  <c r="BB28" s="201"/>
      <c r="BC28" s="201"/>
      <c r="BD28" s="201"/>
      <c r="BE28" s="201"/>
    </row>
    <row r="30" spans="2:57">
      <c r="B30" s="28" t="s">
        <v>126</v>
      </c>
      <c r="C30" s="28"/>
      <c r="D30" s="29"/>
      <c r="E30" s="30" t="s">
        <v>511</v>
      </c>
      <c r="F30" s="31" t="s">
        <v>3125</v>
      </c>
      <c r="G30" s="32"/>
      <c r="H30" s="33"/>
      <c r="I30" s="34"/>
      <c r="J30" s="35" t="s">
        <v>513</v>
      </c>
      <c r="K30" s="36" t="s">
        <v>511</v>
      </c>
      <c r="L30" s="516">
        <v>45232.645833333336</v>
      </c>
      <c r="M30" s="32"/>
      <c r="N30" s="32"/>
      <c r="O30" s="206"/>
      <c r="P30" s="205"/>
      <c r="Q30" s="202"/>
      <c r="R30" s="204"/>
      <c r="S30" s="38"/>
      <c r="T30" s="201"/>
      <c r="U30" s="201"/>
      <c r="V30" s="201"/>
      <c r="W30" s="201"/>
      <c r="X30" s="201"/>
      <c r="Y30" s="201"/>
      <c r="Z30" s="201"/>
      <c r="AA30" s="201"/>
      <c r="AB30" s="202"/>
      <c r="AC30" s="202"/>
      <c r="AD30" s="202"/>
      <c r="AE30" s="202"/>
      <c r="AF30" s="202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</row>
    <row r="31" spans="2:57">
      <c r="B31" s="35" t="s">
        <v>514</v>
      </c>
      <c r="C31" s="35"/>
      <c r="D31" s="32"/>
      <c r="E31" s="36" t="s">
        <v>511</v>
      </c>
      <c r="F31" s="311" t="s">
        <v>3719</v>
      </c>
      <c r="G31" s="32"/>
      <c r="H31" s="33"/>
      <c r="I31" s="34"/>
      <c r="J31" s="35" t="s">
        <v>516</v>
      </c>
      <c r="K31" s="36" t="s">
        <v>511</v>
      </c>
      <c r="L31" s="516">
        <v>45235.666666666664</v>
      </c>
      <c r="M31" s="32"/>
      <c r="N31" s="32"/>
      <c r="O31" s="206"/>
      <c r="P31" s="205"/>
      <c r="Q31" s="202"/>
      <c r="R31" s="204"/>
      <c r="S31" s="38"/>
      <c r="T31" s="201"/>
      <c r="U31" s="201"/>
      <c r="V31" s="201"/>
      <c r="W31" s="201"/>
      <c r="X31" s="201"/>
      <c r="Y31" s="201"/>
      <c r="Z31" s="201"/>
      <c r="AA31" s="201"/>
      <c r="AB31" s="202"/>
      <c r="AC31" s="202"/>
      <c r="AD31" s="202"/>
      <c r="AE31" s="202"/>
      <c r="AF31" s="202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  <c r="BE31" s="201"/>
    </row>
    <row r="32" spans="2:57">
      <c r="B32" s="35" t="s">
        <v>517</v>
      </c>
      <c r="C32" s="35"/>
      <c r="D32" s="32"/>
      <c r="E32" s="36" t="s">
        <v>511</v>
      </c>
      <c r="F32" s="516">
        <v>45228.087500000001</v>
      </c>
      <c r="G32" s="32"/>
      <c r="H32" s="33"/>
      <c r="I32" s="34"/>
      <c r="J32" s="35" t="s">
        <v>518</v>
      </c>
      <c r="K32" s="36" t="s">
        <v>511</v>
      </c>
      <c r="L32" s="544">
        <v>73700</v>
      </c>
      <c r="M32" s="40" t="s">
        <v>519</v>
      </c>
      <c r="N32" s="40"/>
      <c r="O32" s="206"/>
      <c r="P32" s="205"/>
      <c r="Q32" s="202"/>
      <c r="R32" s="204"/>
      <c r="S32" s="38"/>
      <c r="T32" s="201"/>
      <c r="U32" s="201"/>
      <c r="V32" s="201"/>
      <c r="W32" s="201"/>
      <c r="X32" s="201"/>
      <c r="Y32" s="201"/>
      <c r="Z32" s="201"/>
      <c r="AA32" s="201"/>
      <c r="AB32" s="202"/>
      <c r="AC32" s="202"/>
      <c r="AD32" s="202"/>
      <c r="AE32" s="202"/>
      <c r="AF32" s="202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01"/>
      <c r="BD32" s="201"/>
      <c r="BE32" s="201"/>
    </row>
    <row r="33" spans="2:57">
      <c r="B33" s="35" t="s">
        <v>520</v>
      </c>
      <c r="C33" s="35"/>
      <c r="D33" s="32"/>
      <c r="E33" s="36" t="s">
        <v>511</v>
      </c>
      <c r="F33" s="37" t="s">
        <v>4</v>
      </c>
      <c r="G33" s="32"/>
      <c r="H33" s="33"/>
      <c r="I33" s="34"/>
      <c r="J33" s="35" t="s">
        <v>521</v>
      </c>
      <c r="K33" s="36" t="s">
        <v>511</v>
      </c>
      <c r="L33" s="41" t="s">
        <v>3126</v>
      </c>
      <c r="M33" s="32"/>
      <c r="N33" s="32"/>
      <c r="O33" s="206"/>
      <c r="P33" s="202"/>
      <c r="Q33" s="202"/>
      <c r="R33" s="204"/>
      <c r="S33" s="38"/>
      <c r="T33" s="201"/>
      <c r="U33" s="201"/>
      <c r="V33" s="201"/>
      <c r="W33" s="201"/>
      <c r="X33" s="201"/>
      <c r="Y33" s="201"/>
      <c r="Z33" s="201"/>
      <c r="AA33" s="201"/>
      <c r="AB33" s="202"/>
      <c r="AC33" s="202"/>
      <c r="AD33" s="202"/>
      <c r="AE33" s="202"/>
      <c r="AF33" s="202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  <c r="BE33" s="201"/>
    </row>
    <row r="34" spans="2:57">
      <c r="B34" s="35" t="s">
        <v>523</v>
      </c>
      <c r="C34" s="35"/>
      <c r="D34" s="32"/>
      <c r="E34" s="36" t="s">
        <v>511</v>
      </c>
      <c r="F34" s="37" t="s">
        <v>5</v>
      </c>
      <c r="G34" s="32"/>
      <c r="H34" s="33"/>
      <c r="I34" s="34"/>
      <c r="J34" s="42" t="s">
        <v>524</v>
      </c>
      <c r="K34" s="36" t="s">
        <v>511</v>
      </c>
      <c r="L34" s="43" t="s">
        <v>15</v>
      </c>
      <c r="M34" s="44"/>
      <c r="N34" s="44"/>
      <c r="O34" s="206"/>
      <c r="P34" s="205"/>
      <c r="Q34" s="202"/>
      <c r="R34" s="204"/>
      <c r="S34" s="38"/>
      <c r="T34" s="201"/>
      <c r="U34" s="201"/>
      <c r="V34" s="201"/>
      <c r="W34" s="201"/>
      <c r="X34" s="201"/>
      <c r="Y34" s="201"/>
      <c r="Z34" s="201"/>
      <c r="AA34" s="201"/>
      <c r="AB34" s="202"/>
      <c r="AC34" s="202"/>
      <c r="AD34" s="202"/>
      <c r="AE34" s="202"/>
      <c r="AF34" s="202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201"/>
      <c r="AV34" s="201"/>
      <c r="AW34" s="201"/>
      <c r="AX34" s="201"/>
      <c r="AY34" s="201"/>
      <c r="AZ34" s="201"/>
      <c r="BA34" s="201"/>
      <c r="BB34" s="201"/>
      <c r="BC34" s="201"/>
      <c r="BD34" s="201"/>
      <c r="BE34" s="201"/>
    </row>
    <row r="35" spans="2:57">
      <c r="B35" s="35" t="s">
        <v>2</v>
      </c>
      <c r="C35" s="35"/>
      <c r="D35" s="32"/>
      <c r="E35" s="36" t="s">
        <v>511</v>
      </c>
      <c r="F35" s="37" t="s">
        <v>6</v>
      </c>
      <c r="G35" s="32"/>
      <c r="H35" s="33"/>
      <c r="I35" s="45"/>
      <c r="J35" s="42"/>
      <c r="K35" s="36"/>
      <c r="L35" s="211"/>
      <c r="M35" s="201"/>
      <c r="N35" s="201"/>
      <c r="O35" s="42"/>
      <c r="P35" s="44"/>
      <c r="Q35" s="44"/>
      <c r="R35" s="44"/>
      <c r="S35" s="34"/>
      <c r="T35" s="201"/>
      <c r="U35" s="201"/>
      <c r="V35" s="201"/>
      <c r="W35" s="201"/>
      <c r="X35" s="201"/>
      <c r="Y35" s="201"/>
      <c r="Z35" s="201"/>
      <c r="AA35" s="201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  <c r="BA35" s="201"/>
      <c r="BB35" s="201"/>
      <c r="BC35" s="201"/>
      <c r="BD35" s="201"/>
      <c r="BE35" s="201"/>
    </row>
    <row r="36" spans="2:57" ht="11.25" customHeight="1">
      <c r="B36" s="201"/>
      <c r="C36" s="201"/>
      <c r="D36" s="201"/>
      <c r="E36" s="201"/>
      <c r="F36" s="201"/>
      <c r="G36" s="201"/>
      <c r="H36" s="201"/>
      <c r="I36" s="45"/>
      <c r="J36" s="42"/>
      <c r="K36" s="42"/>
      <c r="L36" s="43"/>
      <c r="M36" s="44"/>
      <c r="N36" s="44"/>
      <c r="O36" s="42"/>
      <c r="P36" s="44"/>
      <c r="Q36" s="44"/>
      <c r="R36" s="44"/>
      <c r="S36" s="34"/>
      <c r="T36" s="1265" t="s">
        <v>87</v>
      </c>
      <c r="U36" s="1265"/>
      <c r="V36" s="1265"/>
      <c r="W36" s="1265"/>
      <c r="X36" s="1265"/>
      <c r="Y36" s="1265" t="s">
        <v>73</v>
      </c>
      <c r="Z36" s="1265"/>
      <c r="AA36" s="1265"/>
      <c r="AB36" s="1265" t="s">
        <v>74</v>
      </c>
      <c r="AC36" s="1265"/>
      <c r="AD36" s="423" t="s">
        <v>85</v>
      </c>
      <c r="AE36" s="834" t="s">
        <v>77</v>
      </c>
      <c r="AF36" s="1466" t="s">
        <v>525</v>
      </c>
      <c r="AG36" s="1466"/>
      <c r="AH36" s="1466"/>
      <c r="AI36" s="1466"/>
      <c r="AJ36" s="1466"/>
      <c r="AK36" s="1466"/>
      <c r="AL36" s="1466"/>
      <c r="AM36" s="1466"/>
      <c r="AN36" s="1466"/>
      <c r="AO36" s="1466"/>
      <c r="AP36" s="1466"/>
      <c r="AQ36" s="1466"/>
      <c r="AR36" s="1466"/>
      <c r="AS36" s="1466"/>
      <c r="AT36" s="1466"/>
      <c r="AU36" s="1466"/>
      <c r="AV36" s="1466"/>
      <c r="AW36" s="1466"/>
      <c r="AX36" s="1466"/>
      <c r="AY36" s="1466"/>
      <c r="AZ36" s="1466"/>
      <c r="BA36" s="1466"/>
      <c r="BB36" s="1466"/>
      <c r="BC36" s="1466"/>
      <c r="BD36" s="1466"/>
      <c r="BE36" s="201"/>
    </row>
    <row r="37" spans="2:57" ht="11.25" customHeight="1">
      <c r="B37" s="1266" t="s">
        <v>526</v>
      </c>
      <c r="C37" s="1267"/>
      <c r="D37" s="570" t="s">
        <v>527</v>
      </c>
      <c r="E37" s="570"/>
      <c r="F37" s="570" t="s">
        <v>528</v>
      </c>
      <c r="G37" s="570" t="s">
        <v>529</v>
      </c>
      <c r="H37" s="570" t="s">
        <v>530</v>
      </c>
      <c r="I37" s="570" t="s">
        <v>531</v>
      </c>
      <c r="J37" s="570" t="s">
        <v>532</v>
      </c>
      <c r="K37" s="570"/>
      <c r="L37" s="570" t="s">
        <v>130</v>
      </c>
      <c r="M37" s="570" t="s">
        <v>533</v>
      </c>
      <c r="N37" s="625" t="str">
        <f>"On time - "&amp;COUNTIF(N38:N56,"On time")&amp;" from "&amp;ROWS(N38:N56)-COUNTIF(N38:N56," ")</f>
        <v>On time - 0 from 9</v>
      </c>
      <c r="O37" s="46"/>
      <c r="P37" s="409" t="s">
        <v>534</v>
      </c>
      <c r="Q37" s="409" t="s">
        <v>535</v>
      </c>
      <c r="R37" s="409" t="s">
        <v>536</v>
      </c>
      <c r="S37" s="32"/>
      <c r="T37" s="424" t="s">
        <v>537</v>
      </c>
      <c r="U37" s="424" t="s">
        <v>538</v>
      </c>
      <c r="V37" s="424" t="s">
        <v>539</v>
      </c>
      <c r="W37" s="424" t="s">
        <v>540</v>
      </c>
      <c r="X37" s="424" t="s">
        <v>541</v>
      </c>
      <c r="Y37" s="424" t="s">
        <v>167</v>
      </c>
      <c r="Z37" s="424" t="s">
        <v>168</v>
      </c>
      <c r="AA37" s="424" t="s">
        <v>169</v>
      </c>
      <c r="AB37" s="424" t="s">
        <v>235</v>
      </c>
      <c r="AC37" s="424" t="s">
        <v>240</v>
      </c>
      <c r="AD37" s="423" t="s">
        <v>85</v>
      </c>
      <c r="AE37" s="424" t="s">
        <v>139</v>
      </c>
      <c r="AF37" s="835" t="s">
        <v>72</v>
      </c>
      <c r="AG37" s="835" t="s">
        <v>88</v>
      </c>
      <c r="AH37" s="835" t="s">
        <v>75</v>
      </c>
      <c r="AI37" s="835" t="s">
        <v>543</v>
      </c>
      <c r="AJ37" s="835" t="s">
        <v>78</v>
      </c>
      <c r="AK37" s="835" t="s">
        <v>76</v>
      </c>
      <c r="AL37" s="835" t="s">
        <v>544</v>
      </c>
      <c r="AM37" s="835" t="s">
        <v>545</v>
      </c>
      <c r="AN37" s="835" t="s">
        <v>86</v>
      </c>
      <c r="AO37" s="835" t="s">
        <v>83</v>
      </c>
      <c r="AP37" s="835" t="s">
        <v>84</v>
      </c>
      <c r="AQ37" s="835" t="s">
        <v>546</v>
      </c>
      <c r="AR37" s="835" t="s">
        <v>81</v>
      </c>
      <c r="AS37" s="835" t="s">
        <v>80</v>
      </c>
      <c r="AT37" s="835" t="s">
        <v>82</v>
      </c>
      <c r="AU37" s="835" t="s">
        <v>181</v>
      </c>
      <c r="AV37" s="835" t="s">
        <v>183</v>
      </c>
      <c r="AW37" s="835" t="s">
        <v>547</v>
      </c>
      <c r="AX37" s="835" t="s">
        <v>182</v>
      </c>
      <c r="AY37" s="835" t="s">
        <v>172</v>
      </c>
      <c r="AZ37" s="835" t="s">
        <v>173</v>
      </c>
      <c r="BA37" s="835" t="s">
        <v>184</v>
      </c>
      <c r="BB37" s="835" t="s">
        <v>100</v>
      </c>
      <c r="BC37" s="835" t="s">
        <v>913</v>
      </c>
      <c r="BD37" s="835" t="s">
        <v>2747</v>
      </c>
      <c r="BE37" s="201"/>
    </row>
    <row r="38" spans="2:57" ht="11.25" customHeight="1">
      <c r="B38" s="1315" t="s">
        <v>616</v>
      </c>
      <c r="C38" s="1316"/>
      <c r="D38" s="501" t="s">
        <v>3593</v>
      </c>
      <c r="E38" s="585"/>
      <c r="F38" s="501" t="s">
        <v>3403</v>
      </c>
      <c r="G38" s="501" t="s">
        <v>255</v>
      </c>
      <c r="H38" s="503">
        <v>7308.1840000000002</v>
      </c>
      <c r="I38" s="505" t="s">
        <v>611</v>
      </c>
      <c r="J38" s="504">
        <v>45232.020833333336</v>
      </c>
      <c r="K38" s="504"/>
      <c r="L38" s="504" t="s">
        <v>192</v>
      </c>
      <c r="M38" s="504" t="s">
        <v>192</v>
      </c>
      <c r="N38" s="505" t="str">
        <f t="shared" ref="N38:N56" si="2">IF(ISBLANK(J38)," ",IF(J38&lt;$F$32,"On time",(IF(DAY(J38-$F$32)&lt;1,"On time",(IF(J38&gt;$F$32,"DELAY ( "&amp;DAY(J38-$F$32)&amp;" day "&amp;HOUR(J38-$F$32)&amp;" hour "&amp;MINUTE(J38-$F$32)&amp;" minute )","xxx"))))))</f>
        <v>DELAY ( 3 day 22 hour 24 minute )</v>
      </c>
      <c r="O38" s="506"/>
      <c r="P38" s="507" t="s">
        <v>551</v>
      </c>
      <c r="Q38" s="507" t="s">
        <v>551</v>
      </c>
      <c r="R38" s="507" t="s">
        <v>551</v>
      </c>
      <c r="S38" s="500"/>
      <c r="T38" s="508">
        <f>H38</f>
        <v>7308.1840000000002</v>
      </c>
      <c r="U38" s="508"/>
      <c r="V38" s="508"/>
      <c r="W38" s="508"/>
      <c r="X38" s="508"/>
      <c r="Y38" s="508"/>
      <c r="Z38" s="508"/>
      <c r="AA38" s="508"/>
      <c r="AB38" s="508"/>
      <c r="AC38" s="508"/>
      <c r="AD38" s="508"/>
      <c r="AE38" s="508"/>
      <c r="AF38" s="508"/>
      <c r="AG38" s="508"/>
      <c r="AH38" s="508"/>
      <c r="AI38" s="508"/>
      <c r="AJ38" s="508"/>
      <c r="AK38" s="508"/>
      <c r="AL38" s="508"/>
      <c r="AM38" s="508"/>
      <c r="AN38" s="508"/>
      <c r="AO38" s="508"/>
      <c r="AP38" s="508"/>
      <c r="AQ38" s="508"/>
      <c r="AR38" s="508"/>
      <c r="AS38" s="508"/>
      <c r="AT38" s="508"/>
      <c r="AU38" s="508"/>
      <c r="AV38" s="508"/>
      <c r="AW38" s="508"/>
      <c r="AX38" s="508"/>
      <c r="AY38" s="508"/>
      <c r="AZ38" s="508"/>
      <c r="BA38" s="508"/>
      <c r="BB38" s="508"/>
      <c r="BC38" s="508"/>
      <c r="BD38" s="508"/>
      <c r="BE38" s="500"/>
    </row>
    <row r="39" spans="2:57" ht="11.25" customHeight="1">
      <c r="B39" s="1351" t="s">
        <v>1721</v>
      </c>
      <c r="C39" s="1352"/>
      <c r="D39" s="1352"/>
      <c r="E39" s="1352"/>
      <c r="F39" s="1352"/>
      <c r="G39" s="1353"/>
      <c r="H39" s="702">
        <f>SUM(H38)</f>
        <v>7308.1840000000002</v>
      </c>
      <c r="I39" s="703"/>
      <c r="J39" s="704"/>
      <c r="K39" s="704"/>
      <c r="L39" s="704"/>
      <c r="M39" s="705"/>
      <c r="N39" s="505" t="str">
        <f t="shared" si="2"/>
        <v xml:space="preserve"> </v>
      </c>
      <c r="O39" s="552"/>
      <c r="P39" s="706"/>
      <c r="Q39" s="706"/>
      <c r="R39" s="706"/>
      <c r="S39" s="598"/>
      <c r="T39" s="599"/>
      <c r="U39" s="599"/>
      <c r="V39" s="599"/>
      <c r="W39" s="599"/>
      <c r="X39" s="599"/>
      <c r="Y39" s="599"/>
      <c r="Z39" s="599"/>
      <c r="AA39" s="599"/>
      <c r="AB39" s="599"/>
      <c r="AC39" s="599"/>
      <c r="AD39" s="599"/>
      <c r="AE39" s="599"/>
      <c r="AF39" s="599"/>
      <c r="AG39" s="599"/>
      <c r="AH39" s="599"/>
      <c r="AI39" s="599"/>
      <c r="AJ39" s="599"/>
      <c r="AK39" s="599"/>
      <c r="AL39" s="599"/>
      <c r="AM39" s="599"/>
      <c r="AN39" s="599"/>
      <c r="AO39" s="599"/>
      <c r="AP39" s="599"/>
      <c r="AQ39" s="599"/>
      <c r="AR39" s="599"/>
      <c r="AS39" s="599"/>
      <c r="AT39" s="599"/>
      <c r="AU39" s="599"/>
      <c r="AV39" s="599"/>
      <c r="AW39" s="599"/>
      <c r="AX39" s="599"/>
      <c r="AY39" s="599"/>
      <c r="AZ39" s="599"/>
      <c r="BA39" s="599"/>
      <c r="BB39" s="428"/>
      <c r="BC39" s="428"/>
      <c r="BD39" s="428"/>
    </row>
    <row r="40" spans="2:57" ht="11.25" customHeight="1">
      <c r="B40" s="1326" t="s">
        <v>619</v>
      </c>
      <c r="C40" s="1327"/>
      <c r="D40" s="836" t="s">
        <v>3382</v>
      </c>
      <c r="E40" s="501"/>
      <c r="F40" s="501" t="s">
        <v>271</v>
      </c>
      <c r="G40" s="501" t="s">
        <v>272</v>
      </c>
      <c r="H40" s="503">
        <v>9273.4760000000006</v>
      </c>
      <c r="I40" s="505" t="s">
        <v>2381</v>
      </c>
      <c r="J40" s="504">
        <v>45231.510416666664</v>
      </c>
      <c r="K40" s="504"/>
      <c r="L40" s="504" t="s">
        <v>192</v>
      </c>
      <c r="M40" s="504" t="s">
        <v>192</v>
      </c>
      <c r="N40" s="505" t="str">
        <f t="shared" si="2"/>
        <v>DELAY ( 3 day 10 hour 9 minute )</v>
      </c>
      <c r="O40" s="506"/>
      <c r="P40" s="507" t="s">
        <v>551</v>
      </c>
      <c r="Q40" s="507" t="s">
        <v>551</v>
      </c>
      <c r="R40" s="507" t="s">
        <v>551</v>
      </c>
      <c r="S40" s="500"/>
      <c r="T40" s="508"/>
      <c r="U40" s="508"/>
      <c r="V40" s="508"/>
      <c r="W40" s="508"/>
      <c r="X40" s="508"/>
      <c r="Y40" s="508"/>
      <c r="Z40" s="508"/>
      <c r="AA40" s="508"/>
      <c r="AB40" s="508">
        <f>H40*0.8</f>
        <v>7418.7808000000005</v>
      </c>
      <c r="AC40" s="508">
        <f>H40*0.2</f>
        <v>1854.6952000000001</v>
      </c>
      <c r="AD40" s="508"/>
      <c r="AE40" s="508"/>
      <c r="AF40" s="508"/>
      <c r="AG40" s="508"/>
      <c r="AH40" s="508"/>
      <c r="AI40" s="508"/>
      <c r="AJ40" s="508"/>
      <c r="AK40" s="508"/>
      <c r="AL40" s="508"/>
      <c r="AM40" s="508"/>
      <c r="AN40" s="508"/>
      <c r="AO40" s="508"/>
      <c r="AP40" s="500"/>
      <c r="AQ40" s="508"/>
      <c r="AR40" s="508"/>
      <c r="AS40" s="508"/>
      <c r="AT40" s="508"/>
      <c r="AU40" s="508"/>
      <c r="AV40" s="508"/>
      <c r="AW40" s="508"/>
      <c r="AX40" s="508"/>
      <c r="AY40" s="508"/>
      <c r="AZ40" s="508"/>
      <c r="BA40" s="508"/>
      <c r="BB40" s="508"/>
      <c r="BC40" s="508"/>
      <c r="BD40" s="508"/>
      <c r="BE40" s="500"/>
    </row>
    <row r="41" spans="2:57" ht="11.25" customHeight="1">
      <c r="B41" s="1328"/>
      <c r="C41" s="1329"/>
      <c r="D41" s="501"/>
      <c r="E41" s="501"/>
      <c r="F41" s="1315" t="s">
        <v>616</v>
      </c>
      <c r="G41" s="1316"/>
      <c r="H41" s="629">
        <v>1008</v>
      </c>
      <c r="I41" s="505"/>
      <c r="J41" s="504"/>
      <c r="K41" s="504"/>
      <c r="L41" s="504"/>
      <c r="M41" s="504"/>
      <c r="N41" s="505" t="str">
        <f t="shared" si="2"/>
        <v xml:space="preserve"> </v>
      </c>
      <c r="O41" s="597"/>
      <c r="P41" s="507"/>
      <c r="Q41" s="507"/>
      <c r="R41" s="507"/>
      <c r="S41" s="598"/>
      <c r="T41" s="599"/>
      <c r="U41" s="599"/>
      <c r="V41" s="599"/>
      <c r="W41" s="599"/>
      <c r="X41" s="599"/>
      <c r="Y41" s="599"/>
      <c r="Z41" s="599"/>
      <c r="AA41" s="599"/>
      <c r="AB41" s="599"/>
      <c r="AC41" s="599"/>
      <c r="AD41" s="599"/>
      <c r="AE41" s="599"/>
      <c r="AF41" s="599"/>
      <c r="AG41" s="599"/>
      <c r="AH41" s="599"/>
      <c r="AI41" s="599"/>
      <c r="AJ41" s="599"/>
      <c r="AK41" s="837"/>
      <c r="AL41" s="599"/>
      <c r="AM41" s="599"/>
      <c r="AN41" s="599"/>
      <c r="AO41" s="599"/>
      <c r="AP41" s="599"/>
      <c r="AQ41" s="599"/>
      <c r="AR41" s="599"/>
      <c r="AS41" s="599"/>
      <c r="AT41" s="599"/>
      <c r="AU41" s="599"/>
      <c r="AV41" s="599"/>
      <c r="AW41" s="599"/>
      <c r="AX41" s="599"/>
      <c r="AY41" s="599"/>
      <c r="AZ41" s="599"/>
      <c r="BA41" s="599"/>
      <c r="BB41" s="599"/>
      <c r="BC41" s="599"/>
      <c r="BD41" s="599"/>
      <c r="BE41" s="598"/>
    </row>
    <row r="42" spans="2:57" ht="11.25" customHeight="1">
      <c r="B42" s="1315" t="s">
        <v>621</v>
      </c>
      <c r="C42" s="1316"/>
      <c r="D42" s="501" t="s">
        <v>3381</v>
      </c>
      <c r="E42" s="501"/>
      <c r="F42" s="501" t="s">
        <v>257</v>
      </c>
      <c r="G42" s="501" t="s">
        <v>258</v>
      </c>
      <c r="H42" s="503">
        <v>7516.6670000000004</v>
      </c>
      <c r="I42" s="505" t="s">
        <v>2381</v>
      </c>
      <c r="J42" s="504">
        <v>45231.597222222219</v>
      </c>
      <c r="K42" s="504"/>
      <c r="L42" s="504" t="s">
        <v>192</v>
      </c>
      <c r="M42" s="504" t="s">
        <v>192</v>
      </c>
      <c r="N42" s="505" t="str">
        <f t="shared" si="2"/>
        <v>DELAY ( 3 day 12 hour 14 minute )</v>
      </c>
      <c r="O42" s="506"/>
      <c r="P42" s="507" t="s">
        <v>551</v>
      </c>
      <c r="Q42" s="507" t="s">
        <v>551</v>
      </c>
      <c r="R42" s="507" t="s">
        <v>551</v>
      </c>
      <c r="S42" s="500"/>
      <c r="T42" s="508"/>
      <c r="U42" s="508"/>
      <c r="V42" s="508"/>
      <c r="W42" s="508"/>
      <c r="X42" s="508"/>
      <c r="Y42" s="508"/>
      <c r="Z42" s="508"/>
      <c r="AA42" s="508"/>
      <c r="AB42" s="508">
        <f>H42*0.8</f>
        <v>6013.3336000000008</v>
      </c>
      <c r="AC42" s="508">
        <f>H42*0.2</f>
        <v>1503.3334000000002</v>
      </c>
      <c r="AD42" s="508"/>
      <c r="AE42" s="508"/>
      <c r="AF42" s="508"/>
      <c r="AG42" s="508"/>
      <c r="AH42" s="508"/>
      <c r="AI42" s="508"/>
      <c r="AJ42" s="508"/>
      <c r="AK42" s="500"/>
      <c r="AL42" s="508"/>
      <c r="AM42" s="508"/>
      <c r="AN42" s="508"/>
      <c r="AO42" s="508"/>
      <c r="AP42" s="508"/>
      <c r="AQ42" s="508"/>
      <c r="AR42" s="508"/>
      <c r="AS42" s="508"/>
      <c r="AT42" s="508"/>
      <c r="AU42" s="508"/>
      <c r="AV42" s="508"/>
      <c r="AW42" s="508"/>
      <c r="AX42" s="508"/>
      <c r="AY42" s="508"/>
      <c r="AZ42" s="508"/>
      <c r="BA42" s="508"/>
      <c r="BB42" s="508"/>
      <c r="BC42" s="508"/>
      <c r="BD42" s="508"/>
      <c r="BE42" s="500"/>
    </row>
    <row r="43" spans="2:57" ht="11.25" customHeight="1">
      <c r="B43" s="1315" t="s">
        <v>622</v>
      </c>
      <c r="C43" s="1316"/>
      <c r="D43" s="501" t="s">
        <v>3380</v>
      </c>
      <c r="E43" s="501"/>
      <c r="F43" s="501" t="s">
        <v>346</v>
      </c>
      <c r="G43" s="501" t="s">
        <v>347</v>
      </c>
      <c r="H43" s="503">
        <v>7512.3689999999997</v>
      </c>
      <c r="I43" s="505" t="s">
        <v>2381</v>
      </c>
      <c r="J43" s="504">
        <v>45232.013888888891</v>
      </c>
      <c r="K43" s="504"/>
      <c r="L43" s="504" t="s">
        <v>192</v>
      </c>
      <c r="M43" s="504" t="s">
        <v>192</v>
      </c>
      <c r="N43" s="505" t="str">
        <f t="shared" si="2"/>
        <v>DELAY ( 3 day 22 hour 14 minute )</v>
      </c>
      <c r="O43" s="506"/>
      <c r="P43" s="507" t="s">
        <v>551</v>
      </c>
      <c r="Q43" s="507" t="s">
        <v>551</v>
      </c>
      <c r="R43" s="507" t="s">
        <v>551</v>
      </c>
      <c r="S43" s="500"/>
      <c r="T43" s="508"/>
      <c r="U43" s="508"/>
      <c r="V43" s="508"/>
      <c r="W43" s="508"/>
      <c r="X43" s="508"/>
      <c r="Y43" s="508"/>
      <c r="Z43" s="508"/>
      <c r="AA43" s="508"/>
      <c r="AB43" s="508">
        <f>H43*0.8</f>
        <v>6009.8951999999999</v>
      </c>
      <c r="AC43" s="508">
        <f>H43*0.2</f>
        <v>1502.4738</v>
      </c>
      <c r="AD43" s="508"/>
      <c r="AE43" s="508"/>
      <c r="AF43" s="508"/>
      <c r="AG43" s="508"/>
      <c r="AH43" s="508"/>
      <c r="AI43" s="508"/>
      <c r="AJ43" s="508"/>
      <c r="AK43" s="508"/>
      <c r="AL43" s="508"/>
      <c r="AM43" s="508"/>
      <c r="AN43" s="508"/>
      <c r="AO43" s="508"/>
      <c r="AP43" s="508"/>
      <c r="AQ43" s="508"/>
      <c r="AR43" s="508"/>
      <c r="AS43" s="508"/>
      <c r="AT43" s="508"/>
      <c r="AU43" s="508"/>
      <c r="AV43" s="508"/>
      <c r="AW43" s="508"/>
      <c r="AX43" s="508"/>
      <c r="AY43" s="508"/>
      <c r="AZ43" s="508"/>
      <c r="BA43" s="508"/>
      <c r="BB43" s="508"/>
      <c r="BC43" s="508"/>
      <c r="BD43" s="508"/>
      <c r="BE43" s="500"/>
    </row>
    <row r="44" spans="2:57" ht="11.25" customHeight="1">
      <c r="B44" s="1326" t="s">
        <v>623</v>
      </c>
      <c r="C44" s="1327"/>
      <c r="D44" s="836" t="s">
        <v>3383</v>
      </c>
      <c r="E44" s="501"/>
      <c r="F44" s="501" t="s">
        <v>201</v>
      </c>
      <c r="G44" s="501" t="s">
        <v>202</v>
      </c>
      <c r="H44" s="503">
        <v>7643.4970000000003</v>
      </c>
      <c r="I44" s="505" t="s">
        <v>2381</v>
      </c>
      <c r="J44" s="504">
        <v>45232.444444444445</v>
      </c>
      <c r="K44" s="504"/>
      <c r="L44" s="504" t="s">
        <v>192</v>
      </c>
      <c r="M44" s="504" t="s">
        <v>192</v>
      </c>
      <c r="N44" s="505" t="str">
        <f t="shared" si="2"/>
        <v>DELAY ( 4 day 8 hour 34 minute )</v>
      </c>
      <c r="O44" s="506"/>
      <c r="P44" s="507" t="s">
        <v>551</v>
      </c>
      <c r="Q44" s="507" t="s">
        <v>551</v>
      </c>
      <c r="R44" s="507" t="s">
        <v>551</v>
      </c>
      <c r="S44" s="500"/>
      <c r="T44" s="508"/>
      <c r="U44" s="508"/>
      <c r="V44" s="508"/>
      <c r="W44" s="508"/>
      <c r="X44" s="508"/>
      <c r="Y44" s="508"/>
      <c r="Z44" s="508"/>
      <c r="AA44" s="508"/>
      <c r="AB44" s="508">
        <f t="shared" ref="AB44:AB48" si="3">H44*0.8</f>
        <v>6114.7976000000008</v>
      </c>
      <c r="AC44" s="508">
        <f t="shared" ref="AC44:AC48" si="4">H44*0.2</f>
        <v>1528.6994000000002</v>
      </c>
      <c r="AD44" s="508"/>
      <c r="AE44" s="508"/>
      <c r="AF44" s="508"/>
      <c r="AG44" s="508"/>
      <c r="AH44" s="508"/>
      <c r="AI44" s="508"/>
      <c r="AJ44" s="508"/>
      <c r="AK44" s="508"/>
      <c r="AL44" s="508"/>
      <c r="AM44" s="508"/>
      <c r="AN44" s="508"/>
      <c r="AO44" s="508"/>
      <c r="AP44" s="508"/>
      <c r="AQ44" s="508"/>
      <c r="AR44" s="508"/>
      <c r="AS44" s="508"/>
      <c r="AT44" s="764"/>
      <c r="AU44" s="508"/>
      <c r="AV44" s="508"/>
      <c r="AW44" s="508"/>
      <c r="AX44" s="508"/>
      <c r="AY44" s="508"/>
      <c r="AZ44" s="508"/>
      <c r="BA44" s="508"/>
      <c r="BB44" s="508"/>
      <c r="BC44" s="508"/>
      <c r="BD44" s="508"/>
      <c r="BE44" s="500"/>
    </row>
    <row r="45" spans="2:57" ht="11.25" customHeight="1">
      <c r="B45" s="1328"/>
      <c r="C45" s="1329"/>
      <c r="D45" s="501"/>
      <c r="E45" s="501"/>
      <c r="F45" s="1315" t="s">
        <v>616</v>
      </c>
      <c r="G45" s="1316"/>
      <c r="H45" s="629">
        <v>1000</v>
      </c>
      <c r="I45" s="505"/>
      <c r="J45" s="504"/>
      <c r="K45" s="504"/>
      <c r="L45" s="504"/>
      <c r="M45" s="504"/>
      <c r="N45" s="505" t="str">
        <f t="shared" si="2"/>
        <v xml:space="preserve"> </v>
      </c>
      <c r="O45" s="597"/>
      <c r="P45" s="507"/>
      <c r="Q45" s="507"/>
      <c r="R45" s="507"/>
      <c r="S45" s="598"/>
      <c r="T45" s="599"/>
      <c r="U45" s="599"/>
      <c r="V45" s="599"/>
      <c r="W45" s="599"/>
      <c r="X45" s="599"/>
      <c r="Y45" s="599"/>
      <c r="Z45" s="599"/>
      <c r="AA45" s="599"/>
      <c r="AB45" s="599"/>
      <c r="AC45" s="599"/>
      <c r="AD45" s="599"/>
      <c r="AE45" s="599"/>
      <c r="AF45" s="599"/>
      <c r="AG45" s="599"/>
      <c r="AH45" s="599"/>
      <c r="AI45" s="599"/>
      <c r="AJ45" s="599"/>
      <c r="AK45" s="837"/>
      <c r="AL45" s="599"/>
      <c r="AM45" s="599"/>
      <c r="AN45" s="599"/>
      <c r="AO45" s="599"/>
      <c r="AP45" s="599"/>
      <c r="AQ45" s="599"/>
      <c r="AR45" s="599"/>
      <c r="AS45" s="599"/>
      <c r="AT45" s="599"/>
      <c r="AU45" s="599"/>
      <c r="AV45" s="599"/>
      <c r="AW45" s="599"/>
      <c r="AX45" s="599"/>
      <c r="AY45" s="599"/>
      <c r="AZ45" s="599"/>
      <c r="BA45" s="599"/>
      <c r="BB45" s="599"/>
      <c r="BC45" s="599"/>
      <c r="BD45" s="599"/>
      <c r="BE45" s="598"/>
    </row>
    <row r="46" spans="2:57" ht="11.25" customHeight="1">
      <c r="B46" s="1326" t="s">
        <v>624</v>
      </c>
      <c r="C46" s="1327"/>
      <c r="D46" s="836" t="s">
        <v>3384</v>
      </c>
      <c r="E46" s="501"/>
      <c r="F46" s="501" t="s">
        <v>218</v>
      </c>
      <c r="G46" s="501" t="s">
        <v>350</v>
      </c>
      <c r="H46" s="503">
        <v>7461.5519999999997</v>
      </c>
      <c r="I46" s="505" t="s">
        <v>2381</v>
      </c>
      <c r="J46" s="504">
        <v>45232.517361111109</v>
      </c>
      <c r="K46" s="504"/>
      <c r="L46" s="504" t="s">
        <v>192</v>
      </c>
      <c r="M46" s="504" t="s">
        <v>192</v>
      </c>
      <c r="N46" s="505" t="str">
        <f t="shared" si="2"/>
        <v>DELAY ( 4 day 10 hour 19 minute )</v>
      </c>
      <c r="O46" s="506"/>
      <c r="P46" s="507" t="s">
        <v>551</v>
      </c>
      <c r="Q46" s="507" t="s">
        <v>551</v>
      </c>
      <c r="R46" s="507" t="s">
        <v>551</v>
      </c>
      <c r="S46" s="500"/>
      <c r="T46" s="508"/>
      <c r="U46" s="508"/>
      <c r="V46" s="508"/>
      <c r="W46" s="508"/>
      <c r="X46" s="508"/>
      <c r="Y46" s="508"/>
      <c r="Z46" s="508"/>
      <c r="AA46" s="508"/>
      <c r="AB46" s="508">
        <f t="shared" si="3"/>
        <v>5969.2416000000003</v>
      </c>
      <c r="AC46" s="508">
        <f t="shared" si="4"/>
        <v>1492.3104000000001</v>
      </c>
      <c r="AD46" s="508"/>
      <c r="AE46" s="508"/>
      <c r="AF46" s="508"/>
      <c r="AG46" s="508"/>
      <c r="AH46" s="508"/>
      <c r="AI46" s="508"/>
      <c r="AJ46" s="508"/>
      <c r="AK46" s="508"/>
      <c r="AL46" s="508"/>
      <c r="AM46" s="508"/>
      <c r="AN46" s="508"/>
      <c r="AO46" s="508"/>
      <c r="AP46" s="508"/>
      <c r="AQ46" s="508"/>
      <c r="AR46" s="508"/>
      <c r="AS46" s="508"/>
      <c r="AT46" s="508"/>
      <c r="AU46" s="508"/>
      <c r="AV46" s="508"/>
      <c r="AW46" s="508"/>
      <c r="AX46" s="508"/>
      <c r="AY46" s="508"/>
      <c r="AZ46" s="508"/>
      <c r="BA46" s="508"/>
      <c r="BB46" s="508"/>
      <c r="BC46" s="508"/>
      <c r="BD46" s="508"/>
      <c r="BE46" s="500"/>
    </row>
    <row r="47" spans="2:57" ht="11.25" customHeight="1">
      <c r="B47" s="1328"/>
      <c r="C47" s="1329"/>
      <c r="D47" s="501"/>
      <c r="E47" s="501"/>
      <c r="F47" s="1315" t="s">
        <v>616</v>
      </c>
      <c r="G47" s="1316"/>
      <c r="H47" s="629">
        <v>2000</v>
      </c>
      <c r="I47" s="505"/>
      <c r="J47" s="504"/>
      <c r="K47" s="504"/>
      <c r="L47" s="504"/>
      <c r="M47" s="504"/>
      <c r="N47" s="505" t="str">
        <f t="shared" si="2"/>
        <v xml:space="preserve"> </v>
      </c>
      <c r="O47" s="597"/>
      <c r="P47" s="507"/>
      <c r="Q47" s="507"/>
      <c r="R47" s="507"/>
      <c r="S47" s="598"/>
      <c r="T47" s="599"/>
      <c r="U47" s="599"/>
      <c r="V47" s="599"/>
      <c r="W47" s="599"/>
      <c r="X47" s="599"/>
      <c r="Y47" s="599"/>
      <c r="Z47" s="599"/>
      <c r="AA47" s="599"/>
      <c r="AB47" s="599"/>
      <c r="AC47" s="599"/>
      <c r="AD47" s="599"/>
      <c r="AE47" s="599"/>
      <c r="AF47" s="599"/>
      <c r="AG47" s="599"/>
      <c r="AH47" s="599"/>
      <c r="AI47" s="599"/>
      <c r="AJ47" s="599"/>
      <c r="AK47" s="837"/>
      <c r="AL47" s="599"/>
      <c r="AM47" s="599"/>
      <c r="AN47" s="599"/>
      <c r="AO47" s="599"/>
      <c r="AP47" s="599"/>
      <c r="AQ47" s="599"/>
      <c r="AR47" s="599"/>
      <c r="AS47" s="599"/>
      <c r="AT47" s="599"/>
      <c r="AU47" s="599"/>
      <c r="AV47" s="599"/>
      <c r="AW47" s="599"/>
      <c r="AX47" s="599"/>
      <c r="AY47" s="599"/>
      <c r="AZ47" s="599"/>
      <c r="BA47" s="599"/>
      <c r="BB47" s="599"/>
      <c r="BC47" s="599"/>
      <c r="BD47" s="599"/>
      <c r="BE47" s="598"/>
    </row>
    <row r="48" spans="2:57" ht="11.25" customHeight="1">
      <c r="B48" s="1326" t="s">
        <v>625</v>
      </c>
      <c r="C48" s="1327"/>
      <c r="D48" s="501" t="s">
        <v>3385</v>
      </c>
      <c r="E48" s="501"/>
      <c r="F48" s="501" t="s">
        <v>1767</v>
      </c>
      <c r="G48" s="501" t="s">
        <v>2352</v>
      </c>
      <c r="H48" s="503">
        <v>7450.1840000000002</v>
      </c>
      <c r="I48" s="505" t="s">
        <v>2381</v>
      </c>
      <c r="J48" s="504">
        <v>45232.909722222219</v>
      </c>
      <c r="K48" s="504"/>
      <c r="L48" s="504" t="s">
        <v>192</v>
      </c>
      <c r="M48" s="504" t="s">
        <v>192</v>
      </c>
      <c r="N48" s="505" t="str">
        <f t="shared" si="2"/>
        <v>DELAY ( 4 day 19 hour 44 minute )</v>
      </c>
      <c r="O48" s="506"/>
      <c r="P48" s="507" t="s">
        <v>551</v>
      </c>
      <c r="Q48" s="507" t="s">
        <v>551</v>
      </c>
      <c r="R48" s="507" t="s">
        <v>551</v>
      </c>
      <c r="S48" s="500"/>
      <c r="T48" s="508"/>
      <c r="U48" s="508"/>
      <c r="V48" s="508"/>
      <c r="W48" s="508"/>
      <c r="X48" s="508"/>
      <c r="Y48" s="508"/>
      <c r="Z48" s="508"/>
      <c r="AA48" s="508"/>
      <c r="AB48" s="508">
        <f t="shared" si="3"/>
        <v>5960.1472000000003</v>
      </c>
      <c r="AC48" s="508">
        <f t="shared" si="4"/>
        <v>1490.0368000000001</v>
      </c>
      <c r="AD48" s="508"/>
      <c r="AE48" s="508"/>
      <c r="AF48" s="508"/>
      <c r="AG48" s="508"/>
      <c r="AH48" s="508"/>
      <c r="AI48" s="508"/>
      <c r="AJ48" s="508"/>
      <c r="AK48" s="508"/>
      <c r="AL48" s="508"/>
      <c r="AM48" s="508"/>
      <c r="AN48" s="508"/>
      <c r="AO48" s="508"/>
      <c r="AP48" s="508"/>
      <c r="AQ48" s="508"/>
      <c r="AR48" s="508"/>
      <c r="AS48" s="508"/>
      <c r="AT48" s="508"/>
      <c r="AU48" s="508"/>
      <c r="AV48" s="508"/>
      <c r="AW48" s="508"/>
      <c r="AX48" s="508"/>
      <c r="AY48" s="508"/>
      <c r="AZ48" s="508"/>
      <c r="BA48" s="508"/>
      <c r="BB48" s="508"/>
      <c r="BC48" s="508"/>
      <c r="BD48" s="508"/>
      <c r="BE48" s="500"/>
    </row>
    <row r="49" spans="2:57" ht="11.25" customHeight="1">
      <c r="B49" s="1328"/>
      <c r="C49" s="1329"/>
      <c r="D49" s="501"/>
      <c r="E49" s="501"/>
      <c r="F49" s="1315" t="s">
        <v>616</v>
      </c>
      <c r="G49" s="1316"/>
      <c r="H49" s="629">
        <v>1300</v>
      </c>
      <c r="I49" s="505"/>
      <c r="J49" s="504"/>
      <c r="K49" s="504"/>
      <c r="L49" s="504"/>
      <c r="M49" s="504"/>
      <c r="N49" s="505" t="str">
        <f t="shared" si="2"/>
        <v xml:space="preserve"> </v>
      </c>
      <c r="O49" s="597"/>
      <c r="P49" s="507"/>
      <c r="Q49" s="507"/>
      <c r="R49" s="507"/>
      <c r="S49" s="598"/>
      <c r="T49" s="599"/>
      <c r="U49" s="599"/>
      <c r="V49" s="599"/>
      <c r="W49" s="599"/>
      <c r="X49" s="599"/>
      <c r="Y49" s="599"/>
      <c r="Z49" s="599"/>
      <c r="AA49" s="599"/>
      <c r="AB49" s="599"/>
      <c r="AC49" s="599"/>
      <c r="AD49" s="599"/>
      <c r="AE49" s="599"/>
      <c r="AF49" s="599"/>
      <c r="AG49" s="599"/>
      <c r="AH49" s="599"/>
      <c r="AI49" s="599"/>
      <c r="AJ49" s="599"/>
      <c r="AK49" s="837"/>
      <c r="AL49" s="599"/>
      <c r="AM49" s="599"/>
      <c r="AN49" s="599"/>
      <c r="AO49" s="599"/>
      <c r="AP49" s="599"/>
      <c r="AQ49" s="599"/>
      <c r="AR49" s="599"/>
      <c r="AS49" s="599"/>
      <c r="AT49" s="599"/>
      <c r="AU49" s="599"/>
      <c r="AV49" s="599"/>
      <c r="AW49" s="599"/>
      <c r="AX49" s="599"/>
      <c r="AY49" s="599"/>
      <c r="AZ49" s="599"/>
      <c r="BA49" s="599"/>
      <c r="BB49" s="599"/>
      <c r="BC49" s="599"/>
      <c r="BD49" s="599"/>
      <c r="BE49" s="598"/>
    </row>
    <row r="50" spans="2:57" ht="11.25" customHeight="1">
      <c r="B50" s="1326" t="s">
        <v>669</v>
      </c>
      <c r="C50" s="1327"/>
      <c r="D50" s="501" t="s">
        <v>3393</v>
      </c>
      <c r="E50" s="501"/>
      <c r="F50" s="501" t="s">
        <v>298</v>
      </c>
      <c r="G50" s="501" t="s">
        <v>299</v>
      </c>
      <c r="H50" s="503">
        <v>10383.129999999999</v>
      </c>
      <c r="I50" s="505" t="s">
        <v>2381</v>
      </c>
      <c r="J50" s="504">
        <v>45234.649305555555</v>
      </c>
      <c r="K50" s="504"/>
      <c r="L50" s="504" t="s">
        <v>192</v>
      </c>
      <c r="M50" s="504" t="s">
        <v>192</v>
      </c>
      <c r="N50" s="505" t="str">
        <f t="shared" si="2"/>
        <v>DELAY ( 6 day 13 hour 29 minute )</v>
      </c>
      <c r="O50" s="506"/>
      <c r="P50" s="507" t="s">
        <v>551</v>
      </c>
      <c r="Q50" s="507" t="s">
        <v>551</v>
      </c>
      <c r="R50" s="507" t="s">
        <v>551</v>
      </c>
      <c r="S50" s="500"/>
      <c r="T50" s="508"/>
      <c r="U50" s="508"/>
      <c r="V50" s="508"/>
      <c r="W50" s="508"/>
      <c r="X50" s="508"/>
      <c r="Y50" s="508"/>
      <c r="Z50" s="508"/>
      <c r="AA50" s="508"/>
      <c r="AB50" s="508">
        <f>H50*0.8</f>
        <v>8306.503999999999</v>
      </c>
      <c r="AC50" s="508">
        <f>H50*0.2</f>
        <v>2076.6259999999997</v>
      </c>
      <c r="AD50" s="508"/>
      <c r="AE50" s="508"/>
      <c r="AF50" s="508"/>
      <c r="AG50" s="508"/>
      <c r="AH50" s="508"/>
      <c r="AI50" s="508"/>
      <c r="AJ50" s="508"/>
      <c r="AK50" s="508"/>
      <c r="AL50" s="508"/>
      <c r="AM50" s="508"/>
      <c r="AN50" s="508"/>
      <c r="AO50" s="508"/>
      <c r="AP50" s="508"/>
      <c r="AQ50" s="508"/>
      <c r="AR50" s="508"/>
      <c r="AS50" s="508"/>
      <c r="AT50" s="508"/>
      <c r="AU50" s="508"/>
      <c r="AV50" s="508"/>
      <c r="AW50" s="508"/>
      <c r="AX50" s="508"/>
      <c r="AY50" s="508"/>
      <c r="AZ50" s="508"/>
      <c r="BA50" s="508"/>
      <c r="BB50" s="508"/>
      <c r="BC50" s="508"/>
      <c r="BD50" s="508"/>
      <c r="BE50" s="500"/>
    </row>
    <row r="51" spans="2:57" ht="11.25" customHeight="1">
      <c r="B51" s="1328"/>
      <c r="C51" s="1329"/>
      <c r="D51" s="501"/>
      <c r="E51" s="501"/>
      <c r="F51" s="1315" t="s">
        <v>616</v>
      </c>
      <c r="G51" s="1316"/>
      <c r="H51" s="629">
        <v>1000.184</v>
      </c>
      <c r="I51" s="505"/>
      <c r="J51" s="504"/>
      <c r="K51" s="504"/>
      <c r="L51" s="504"/>
      <c r="M51" s="504"/>
      <c r="N51" s="505" t="str">
        <f t="shared" si="2"/>
        <v xml:space="preserve"> </v>
      </c>
      <c r="O51" s="597"/>
      <c r="P51" s="507"/>
      <c r="Q51" s="507"/>
      <c r="R51" s="507"/>
      <c r="S51" s="598"/>
      <c r="T51" s="838"/>
      <c r="U51" s="838"/>
      <c r="V51" s="838"/>
      <c r="W51" s="838"/>
      <c r="X51" s="838"/>
      <c r="Y51" s="838"/>
      <c r="Z51" s="838"/>
      <c r="AA51" s="838"/>
      <c r="AB51" s="838"/>
      <c r="AC51" s="838"/>
      <c r="AD51" s="838"/>
      <c r="AE51" s="838"/>
      <c r="AF51" s="838"/>
      <c r="AG51" s="838"/>
      <c r="AH51" s="838"/>
      <c r="AI51" s="838"/>
      <c r="AJ51" s="838"/>
      <c r="AK51" s="837"/>
      <c r="AL51" s="838"/>
      <c r="AM51" s="838"/>
      <c r="AN51" s="838"/>
      <c r="AO51" s="838"/>
      <c r="AP51" s="838"/>
      <c r="AQ51" s="838"/>
      <c r="AR51" s="838"/>
      <c r="AS51" s="838"/>
      <c r="AT51" s="838"/>
      <c r="AU51" s="838"/>
      <c r="AV51" s="838"/>
      <c r="AW51" s="838"/>
      <c r="AX51" s="838"/>
      <c r="AY51" s="838"/>
      <c r="AZ51" s="838"/>
      <c r="BA51" s="838"/>
      <c r="BB51" s="838"/>
      <c r="BC51" s="838"/>
      <c r="BD51" s="838"/>
      <c r="BE51" s="598"/>
    </row>
    <row r="52" spans="2:57" ht="11.25" customHeight="1">
      <c r="B52" s="1326" t="s">
        <v>670</v>
      </c>
      <c r="C52" s="1327"/>
      <c r="D52" s="501" t="s">
        <v>3387</v>
      </c>
      <c r="E52" s="501"/>
      <c r="F52" s="501" t="s">
        <v>2295</v>
      </c>
      <c r="G52" s="501" t="s">
        <v>2296</v>
      </c>
      <c r="H52" s="503">
        <f>10371.384-1220.443</f>
        <v>9150.9410000000007</v>
      </c>
      <c r="I52" s="505" t="s">
        <v>2381</v>
      </c>
      <c r="J52" s="504">
        <v>45235.083333333336</v>
      </c>
      <c r="K52" s="504"/>
      <c r="L52" s="504" t="s">
        <v>192</v>
      </c>
      <c r="M52" s="504" t="s">
        <v>192</v>
      </c>
      <c r="N52" s="505" t="str">
        <f t="shared" si="2"/>
        <v>DELAY ( 6 day 23 hour 54 minute )</v>
      </c>
      <c r="O52" s="506"/>
      <c r="P52" s="507" t="s">
        <v>551</v>
      </c>
      <c r="Q52" s="507" t="s">
        <v>551</v>
      </c>
      <c r="R52" s="507" t="s">
        <v>551</v>
      </c>
      <c r="S52" s="500"/>
      <c r="T52" s="508"/>
      <c r="U52" s="508"/>
      <c r="V52" s="508"/>
      <c r="W52" s="508"/>
      <c r="X52" s="508"/>
      <c r="Y52" s="508"/>
      <c r="Z52" s="508"/>
      <c r="AA52" s="508"/>
      <c r="AB52" s="508">
        <f>(H52*0.8)-(H58*0.8)</f>
        <v>7320.7528000000011</v>
      </c>
      <c r="AC52" s="508">
        <f>(H52*0.2)-(H58*0.2)</f>
        <v>1830.1882000000003</v>
      </c>
      <c r="AD52" s="508"/>
      <c r="AE52" s="508"/>
      <c r="AF52" s="508"/>
      <c r="AG52" s="508"/>
      <c r="AH52" s="508"/>
      <c r="AI52" s="508"/>
      <c r="AJ52" s="508"/>
      <c r="AK52" s="508"/>
      <c r="AL52" s="508"/>
      <c r="AM52" s="508"/>
      <c r="AN52" s="508"/>
      <c r="AO52" s="508"/>
      <c r="AP52" s="508"/>
      <c r="AQ52" s="508"/>
      <c r="AR52" s="508"/>
      <c r="AS52" s="508"/>
      <c r="AT52" s="508"/>
      <c r="AU52" s="508"/>
      <c r="AV52" s="508"/>
      <c r="AW52" s="508"/>
      <c r="AX52" s="508"/>
      <c r="AY52" s="508"/>
      <c r="AZ52" s="508"/>
      <c r="BA52" s="508"/>
      <c r="BB52" s="508"/>
      <c r="BC52" s="508"/>
      <c r="BD52" s="508"/>
      <c r="BE52" s="500"/>
    </row>
    <row r="53" spans="2:57" ht="11.25" customHeight="1">
      <c r="B53" s="1328"/>
      <c r="C53" s="1329"/>
      <c r="D53" s="501"/>
      <c r="E53" s="501"/>
      <c r="F53" s="1315" t="s">
        <v>616</v>
      </c>
      <c r="G53" s="1316"/>
      <c r="H53" s="629">
        <v>1000</v>
      </c>
      <c r="I53" s="505"/>
      <c r="J53" s="504"/>
      <c r="K53" s="504"/>
      <c r="L53" s="504"/>
      <c r="M53" s="504"/>
      <c r="N53" s="505" t="str">
        <f t="shared" si="2"/>
        <v xml:space="preserve"> </v>
      </c>
      <c r="O53" s="597"/>
      <c r="P53" s="507"/>
      <c r="Q53" s="507"/>
      <c r="R53" s="507"/>
      <c r="S53" s="598"/>
      <c r="T53" s="599"/>
      <c r="U53" s="599"/>
      <c r="V53" s="599"/>
      <c r="W53" s="599"/>
      <c r="X53" s="599"/>
      <c r="Y53" s="599"/>
      <c r="Z53" s="599"/>
      <c r="AA53" s="599"/>
      <c r="AB53" s="599"/>
      <c r="AC53" s="599"/>
      <c r="AD53" s="599"/>
      <c r="AE53" s="599"/>
      <c r="AF53" s="599"/>
      <c r="AG53" s="599"/>
      <c r="AH53" s="599"/>
      <c r="AI53" s="599"/>
      <c r="AJ53" s="599"/>
      <c r="AK53" s="837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599"/>
      <c r="BC53" s="599"/>
      <c r="BD53" s="599"/>
      <c r="BE53" s="598"/>
    </row>
    <row r="54" spans="2:57" ht="11.25" customHeight="1">
      <c r="B54" s="1351" t="s">
        <v>626</v>
      </c>
      <c r="C54" s="1352"/>
      <c r="D54" s="1352"/>
      <c r="E54" s="1352"/>
      <c r="F54" s="1352"/>
      <c r="G54" s="1353"/>
      <c r="H54" s="702">
        <f>H43+H42+H40+H44+H46+H48+H52+H50</f>
        <v>66391.816000000006</v>
      </c>
      <c r="I54" s="707"/>
      <c r="J54" s="708"/>
      <c r="K54" s="708"/>
      <c r="L54" s="708"/>
      <c r="M54" s="709"/>
      <c r="N54" s="505" t="str">
        <f t="shared" si="2"/>
        <v xml:space="preserve"> </v>
      </c>
      <c r="O54" s="552"/>
      <c r="P54" s="706"/>
      <c r="Q54" s="706"/>
      <c r="R54" s="706"/>
      <c r="S54" s="598"/>
      <c r="T54" s="1462"/>
      <c r="U54" s="1462"/>
      <c r="V54" s="1462"/>
      <c r="W54" s="1462"/>
      <c r="X54" s="1462"/>
      <c r="Y54" s="1462"/>
      <c r="Z54" s="1462"/>
      <c r="AA54" s="1462"/>
      <c r="AB54" s="1462"/>
      <c r="AC54" s="1462"/>
      <c r="AD54" s="1462"/>
      <c r="AE54" s="1462"/>
      <c r="AF54" s="1462"/>
      <c r="AG54" s="1462"/>
      <c r="AH54" s="1462"/>
      <c r="AI54" s="1462"/>
      <c r="AJ54" s="1462"/>
      <c r="AK54" s="1462"/>
      <c r="AL54" s="1462"/>
      <c r="AM54" s="1462"/>
      <c r="AN54" s="1462"/>
      <c r="AO54" s="1462"/>
      <c r="AP54" s="1462"/>
      <c r="AQ54" s="1462"/>
      <c r="AR54" s="1462"/>
      <c r="AS54" s="1462"/>
      <c r="AT54" s="1462"/>
      <c r="AU54" s="1462"/>
      <c r="AV54" s="1462"/>
      <c r="AW54" s="1462"/>
      <c r="AX54" s="1462"/>
      <c r="AY54" s="1462"/>
      <c r="AZ54" s="1462"/>
      <c r="BA54" s="1462"/>
      <c r="BB54" s="1462"/>
      <c r="BC54" s="1462"/>
      <c r="BD54" s="1462"/>
    </row>
    <row r="55" spans="2:57" ht="11.25" customHeight="1">
      <c r="B55" s="1258" t="s">
        <v>556</v>
      </c>
      <c r="C55" s="1259"/>
      <c r="D55" s="1259"/>
      <c r="E55" s="1259"/>
      <c r="F55" s="1259"/>
      <c r="G55" s="1260"/>
      <c r="H55" s="417">
        <f>H39+H54</f>
        <v>73700</v>
      </c>
      <c r="I55" s="388"/>
      <c r="J55" s="293"/>
      <c r="K55" s="293"/>
      <c r="L55" s="293"/>
      <c r="M55" s="389"/>
      <c r="N55" s="505" t="str">
        <f t="shared" si="2"/>
        <v xml:space="preserve"> </v>
      </c>
      <c r="O55" s="212"/>
      <c r="P55" s="418"/>
      <c r="Q55" s="418"/>
      <c r="R55" s="418"/>
      <c r="S55" s="207"/>
      <c r="T55" s="1469"/>
      <c r="U55" s="1470"/>
      <c r="V55" s="1470"/>
      <c r="W55" s="1470"/>
      <c r="X55" s="1470"/>
      <c r="Y55" s="1470"/>
      <c r="Z55" s="1470"/>
      <c r="AA55" s="1470"/>
      <c r="AB55" s="1470"/>
      <c r="AC55" s="1470"/>
      <c r="AD55" s="1470"/>
      <c r="AE55" s="1470"/>
      <c r="AF55" s="1470"/>
      <c r="AG55" s="1470"/>
      <c r="AH55" s="1470"/>
      <c r="AI55" s="1470"/>
      <c r="AJ55" s="1470"/>
      <c r="AK55" s="1470"/>
      <c r="AL55" s="1470"/>
      <c r="AM55" s="1470"/>
      <c r="AN55" s="1470"/>
      <c r="AO55" s="1470"/>
      <c r="AP55" s="1470"/>
      <c r="AQ55" s="1470"/>
      <c r="AR55" s="1470"/>
      <c r="AS55" s="1470"/>
      <c r="AT55" s="1470"/>
      <c r="AU55" s="1470"/>
      <c r="AV55" s="1470"/>
      <c r="AW55" s="1470"/>
      <c r="AX55" s="1470"/>
      <c r="AY55" s="1470"/>
      <c r="AZ55" s="1470"/>
      <c r="BA55" s="1470"/>
      <c r="BB55" s="1470"/>
      <c r="BC55" s="1470"/>
      <c r="BD55" s="1470"/>
    </row>
    <row r="56" spans="2:57" ht="11.25" customHeight="1">
      <c r="B56" s="1320" t="s">
        <v>557</v>
      </c>
      <c r="C56" s="1321"/>
      <c r="D56" s="1321"/>
      <c r="E56" s="1321"/>
      <c r="F56" s="1321"/>
      <c r="G56" s="1322"/>
      <c r="H56" s="545">
        <v>73700</v>
      </c>
      <c r="I56" s="1273"/>
      <c r="J56" s="1274"/>
      <c r="K56" s="1274"/>
      <c r="L56" s="1274"/>
      <c r="M56" s="1275"/>
      <c r="N56" s="505" t="str">
        <f t="shared" si="2"/>
        <v xml:space="preserve"> </v>
      </c>
      <c r="O56" s="32"/>
      <c r="P56" s="415"/>
      <c r="Q56" s="415"/>
      <c r="R56" s="415"/>
      <c r="S56" s="63"/>
      <c r="T56" s="416">
        <f t="shared" ref="T56:BD56" si="5">SUM(T38:T53)</f>
        <v>7308.1840000000002</v>
      </c>
      <c r="U56" s="416">
        <f t="shared" si="5"/>
        <v>0</v>
      </c>
      <c r="V56" s="416">
        <f t="shared" si="5"/>
        <v>0</v>
      </c>
      <c r="W56" s="416">
        <f t="shared" si="5"/>
        <v>0</v>
      </c>
      <c r="X56" s="416">
        <f t="shared" si="5"/>
        <v>0</v>
      </c>
      <c r="Y56" s="416">
        <f t="shared" si="5"/>
        <v>0</v>
      </c>
      <c r="Z56" s="416">
        <f t="shared" si="5"/>
        <v>0</v>
      </c>
      <c r="AA56" s="416">
        <f t="shared" si="5"/>
        <v>0</v>
      </c>
      <c r="AB56" s="416">
        <f t="shared" si="5"/>
        <v>53113.452800000006</v>
      </c>
      <c r="AC56" s="416">
        <f t="shared" si="5"/>
        <v>13278.363200000002</v>
      </c>
      <c r="AD56" s="416">
        <f t="shared" si="5"/>
        <v>0</v>
      </c>
      <c r="AE56" s="416">
        <f t="shared" si="5"/>
        <v>0</v>
      </c>
      <c r="AF56" s="416">
        <f t="shared" si="5"/>
        <v>0</v>
      </c>
      <c r="AG56" s="416">
        <f t="shared" si="5"/>
        <v>0</v>
      </c>
      <c r="AH56" s="416">
        <f t="shared" si="5"/>
        <v>0</v>
      </c>
      <c r="AI56" s="416">
        <f t="shared" si="5"/>
        <v>0</v>
      </c>
      <c r="AJ56" s="416">
        <f t="shared" si="5"/>
        <v>0</v>
      </c>
      <c r="AK56" s="416">
        <f t="shared" si="5"/>
        <v>0</v>
      </c>
      <c r="AL56" s="416">
        <f t="shared" si="5"/>
        <v>0</v>
      </c>
      <c r="AM56" s="416">
        <f t="shared" si="5"/>
        <v>0</v>
      </c>
      <c r="AN56" s="416">
        <f t="shared" si="5"/>
        <v>0</v>
      </c>
      <c r="AO56" s="416">
        <f t="shared" si="5"/>
        <v>0</v>
      </c>
      <c r="AP56" s="416">
        <f t="shared" si="5"/>
        <v>0</v>
      </c>
      <c r="AQ56" s="416">
        <f t="shared" si="5"/>
        <v>0</v>
      </c>
      <c r="AR56" s="416">
        <f t="shared" si="5"/>
        <v>0</v>
      </c>
      <c r="AS56" s="416">
        <f t="shared" si="5"/>
        <v>0</v>
      </c>
      <c r="AT56" s="416">
        <f t="shared" si="5"/>
        <v>0</v>
      </c>
      <c r="AU56" s="416">
        <f t="shared" si="5"/>
        <v>0</v>
      </c>
      <c r="AV56" s="416">
        <f t="shared" si="5"/>
        <v>0</v>
      </c>
      <c r="AW56" s="416">
        <f t="shared" si="5"/>
        <v>0</v>
      </c>
      <c r="AX56" s="416">
        <f t="shared" si="5"/>
        <v>0</v>
      </c>
      <c r="AY56" s="416">
        <f t="shared" si="5"/>
        <v>0</v>
      </c>
      <c r="AZ56" s="416">
        <f t="shared" si="5"/>
        <v>0</v>
      </c>
      <c r="BA56" s="416">
        <f t="shared" si="5"/>
        <v>0</v>
      </c>
      <c r="BB56" s="416">
        <f t="shared" si="5"/>
        <v>0</v>
      </c>
      <c r="BC56" s="416">
        <f t="shared" si="5"/>
        <v>0</v>
      </c>
      <c r="BD56" s="416">
        <f t="shared" si="5"/>
        <v>0</v>
      </c>
      <c r="BE56" s="416">
        <f>SUM(T56:BD56)</f>
        <v>73700.000000000015</v>
      </c>
    </row>
    <row r="57" spans="2:57" ht="11.25" customHeight="1">
      <c r="B57" s="1320" t="s">
        <v>558</v>
      </c>
      <c r="C57" s="1321"/>
      <c r="D57" s="1321"/>
      <c r="E57" s="1321"/>
      <c r="F57" s="1321"/>
      <c r="G57" s="1322"/>
      <c r="H57" s="546">
        <f>H56-L32</f>
        <v>0</v>
      </c>
      <c r="I57" s="669"/>
      <c r="J57" s="670"/>
      <c r="K57" s="670"/>
      <c r="L57" s="671"/>
      <c r="M57" s="207"/>
      <c r="N57" s="32"/>
      <c r="O57" s="32"/>
      <c r="P57" s="32"/>
      <c r="Q57" s="297"/>
      <c r="R57" s="297"/>
      <c r="S57" s="32"/>
      <c r="T57" s="48"/>
      <c r="U57" s="48"/>
      <c r="V57" s="48"/>
      <c r="W57" s="48"/>
      <c r="X57" s="48"/>
      <c r="Y57" s="48"/>
      <c r="Z57" s="48"/>
      <c r="AA57" s="48"/>
      <c r="AB57" s="48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</row>
    <row r="58" spans="2:57" ht="11.25" customHeight="1">
      <c r="B58" s="1320" t="s">
        <v>559</v>
      </c>
      <c r="C58" s="1321"/>
      <c r="D58" s="1321"/>
      <c r="E58" s="1321"/>
      <c r="F58" s="1321"/>
      <c r="G58" s="1322"/>
      <c r="H58" s="532">
        <f>H55-H56</f>
        <v>0</v>
      </c>
      <c r="I58" s="672"/>
      <c r="J58" s="673"/>
      <c r="K58" s="673"/>
      <c r="L58" s="674"/>
      <c r="M58" s="207"/>
      <c r="N58" s="201"/>
      <c r="O58" s="32"/>
      <c r="P58" s="32"/>
      <c r="Q58" s="32"/>
      <c r="R58" s="32"/>
      <c r="S58" s="32"/>
      <c r="T58" s="48"/>
      <c r="U58" s="48"/>
      <c r="V58" s="48"/>
      <c r="W58" s="48"/>
      <c r="X58" s="48"/>
      <c r="Y58" s="48"/>
      <c r="Z58" s="48"/>
      <c r="AA58" s="48"/>
      <c r="AB58" s="48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</row>
    <row r="59" spans="2:57" ht="11.25" customHeight="1">
      <c r="B59" s="1415" t="s">
        <v>560</v>
      </c>
      <c r="C59" s="1416"/>
      <c r="D59" s="1416"/>
      <c r="E59" s="1416"/>
      <c r="F59" s="1416"/>
      <c r="G59" s="1417"/>
      <c r="H59" s="741">
        <f>H58-1220.443</f>
        <v>-1220.443</v>
      </c>
      <c r="I59" s="641"/>
      <c r="J59" s="642"/>
      <c r="K59" s="642"/>
      <c r="L59" s="499"/>
      <c r="M59" s="613"/>
      <c r="N59" s="613"/>
      <c r="O59" s="613"/>
      <c r="P59" s="613"/>
      <c r="Q59" s="613"/>
      <c r="R59" s="613"/>
      <c r="S59" s="616"/>
      <c r="T59" s="616"/>
      <c r="U59" s="616"/>
      <c r="V59" s="616"/>
      <c r="W59" s="616"/>
      <c r="X59" s="616"/>
      <c r="Y59" s="616"/>
      <c r="Z59" s="616"/>
      <c r="AA59" s="616"/>
      <c r="AB59" s="613">
        <f>-(H58*0.6)</f>
        <v>0</v>
      </c>
      <c r="AC59" s="613">
        <f>-(H58*0.4)</f>
        <v>0</v>
      </c>
      <c r="AD59" s="613"/>
      <c r="AE59" s="613"/>
      <c r="AF59" s="613"/>
      <c r="AG59" s="613"/>
      <c r="AH59" s="613"/>
      <c r="AI59" s="613"/>
      <c r="AJ59" s="613"/>
      <c r="AK59" s="613"/>
      <c r="AL59" s="613"/>
      <c r="AM59" s="613"/>
      <c r="AN59" s="613"/>
      <c r="AO59" s="613"/>
      <c r="AP59" s="613"/>
      <c r="AQ59" s="613"/>
      <c r="AR59" s="496"/>
      <c r="AS59" s="496"/>
      <c r="AT59" s="496"/>
      <c r="AU59" s="496"/>
      <c r="AV59" s="496"/>
      <c r="AW59" s="496"/>
      <c r="AX59" s="496"/>
      <c r="AY59" s="496"/>
      <c r="AZ59" s="496"/>
      <c r="BA59" s="496"/>
    </row>
    <row r="60" spans="2:57">
      <c r="B60" s="201"/>
      <c r="C60" s="201"/>
      <c r="D60" s="201"/>
      <c r="E60" s="201"/>
      <c r="F60" s="201"/>
      <c r="G60" s="201"/>
      <c r="H60" s="201"/>
      <c r="I60" s="213"/>
      <c r="J60" s="209"/>
      <c r="K60" s="209"/>
      <c r="L60" s="203"/>
      <c r="M60" s="201"/>
      <c r="N60" s="201"/>
      <c r="O60" s="209"/>
      <c r="P60" s="32"/>
      <c r="Q60" s="32"/>
      <c r="R60" s="32"/>
      <c r="S60" s="32"/>
      <c r="T60" s="48"/>
      <c r="U60" s="48"/>
      <c r="V60" s="48"/>
      <c r="W60" s="48"/>
      <c r="X60" s="48"/>
      <c r="Y60" s="48"/>
      <c r="Z60" s="48"/>
      <c r="AA60" s="48"/>
      <c r="AB60" s="48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</row>
    <row r="61" spans="2:57">
      <c r="B61" s="40" t="s">
        <v>561</v>
      </c>
      <c r="C61" s="40"/>
      <c r="D61" s="32"/>
      <c r="E61" s="32"/>
      <c r="F61" s="32"/>
      <c r="G61" s="32"/>
      <c r="H61" s="32"/>
      <c r="I61" s="32"/>
      <c r="J61" s="52"/>
      <c r="K61" s="52"/>
      <c r="L61" s="55"/>
      <c r="M61" s="32"/>
      <c r="N61" s="201"/>
      <c r="O61" s="5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  <c r="AU61" s="201"/>
      <c r="BE61" s="201"/>
    </row>
    <row r="62" spans="2:57">
      <c r="B62" s="422">
        <v>1</v>
      </c>
      <c r="C62" s="1249" t="s">
        <v>3720</v>
      </c>
      <c r="D62" s="1249"/>
      <c r="E62" s="1249"/>
      <c r="F62" s="1249"/>
      <c r="G62" s="1249"/>
      <c r="H62" s="1249"/>
      <c r="I62" s="1249"/>
      <c r="J62" s="1249"/>
      <c r="K62" s="1249"/>
      <c r="L62" s="203"/>
      <c r="M62" s="203"/>
      <c r="N62" s="201"/>
      <c r="O62" s="209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1"/>
      <c r="AC62" s="201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  <c r="AU62" s="201"/>
      <c r="AV62" s="201"/>
      <c r="AW62" s="201"/>
      <c r="AX62" s="201"/>
      <c r="AY62" s="201"/>
      <c r="AZ62" s="201"/>
      <c r="BA62" s="201"/>
      <c r="BB62" s="201"/>
      <c r="BC62" s="201"/>
      <c r="BD62" s="201"/>
      <c r="BE62" s="201"/>
    </row>
    <row r="64" spans="2:57">
      <c r="B64" s="680" t="s">
        <v>126</v>
      </c>
      <c r="C64" s="680"/>
      <c r="D64" s="681"/>
      <c r="E64" s="682" t="s">
        <v>511</v>
      </c>
      <c r="F64" s="683" t="s">
        <v>1515</v>
      </c>
      <c r="G64" s="598"/>
      <c r="H64" s="684"/>
      <c r="I64" s="685"/>
      <c r="J64" s="686" t="s">
        <v>513</v>
      </c>
      <c r="K64" s="687" t="s">
        <v>511</v>
      </c>
      <c r="L64" s="516">
        <v>45234.708333333336</v>
      </c>
      <c r="M64" s="598"/>
      <c r="N64" s="598"/>
      <c r="O64" s="687"/>
      <c r="P64" s="684"/>
      <c r="Q64" s="688"/>
      <c r="R64" s="689"/>
      <c r="S64" s="690"/>
      <c r="T64" s="598"/>
      <c r="U64" s="598"/>
      <c r="V64" s="598"/>
      <c r="W64" s="598"/>
      <c r="X64" s="598"/>
      <c r="Y64" s="598"/>
      <c r="Z64" s="598"/>
      <c r="AA64" s="598"/>
      <c r="AB64" s="688"/>
      <c r="AC64" s="688"/>
      <c r="AD64" s="688"/>
      <c r="AE64" s="688"/>
      <c r="AF64" s="688"/>
      <c r="AG64" s="598"/>
      <c r="AH64" s="598"/>
      <c r="AI64" s="598"/>
      <c r="AJ64" s="598"/>
      <c r="AK64" s="598"/>
      <c r="AL64" s="598"/>
      <c r="AM64" s="598"/>
      <c r="AN64" s="598"/>
      <c r="AO64" s="598"/>
      <c r="AP64" s="598"/>
      <c r="AQ64" s="598"/>
      <c r="AR64" s="598"/>
      <c r="AS64" s="598"/>
      <c r="AT64" s="598"/>
      <c r="AU64" s="598"/>
      <c r="AV64" s="598"/>
      <c r="AW64" s="598"/>
      <c r="AX64" s="598"/>
      <c r="AY64" s="598"/>
      <c r="AZ64" s="598"/>
      <c r="BA64" s="598"/>
      <c r="BB64" s="598"/>
      <c r="BC64" s="598"/>
      <c r="BD64" s="598"/>
      <c r="BE64" s="598"/>
    </row>
    <row r="65" spans="2:57">
      <c r="B65" s="686" t="s">
        <v>514</v>
      </c>
      <c r="C65" s="686"/>
      <c r="D65" s="598"/>
      <c r="E65" s="687" t="s">
        <v>511</v>
      </c>
      <c r="F65" s="691" t="s">
        <v>3721</v>
      </c>
      <c r="G65" s="598"/>
      <c r="H65" s="684"/>
      <c r="I65" s="685"/>
      <c r="J65" s="686" t="s">
        <v>516</v>
      </c>
      <c r="K65" s="687" t="s">
        <v>511</v>
      </c>
      <c r="L65" s="516">
        <v>45236.583333333336</v>
      </c>
      <c r="M65" s="598"/>
      <c r="N65" s="598"/>
      <c r="O65" s="687"/>
      <c r="P65" s="684"/>
      <c r="Q65" s="688"/>
      <c r="R65" s="689"/>
      <c r="S65" s="690"/>
      <c r="T65" s="598"/>
      <c r="U65" s="598"/>
      <c r="V65" s="598"/>
      <c r="W65" s="598"/>
      <c r="X65" s="598"/>
      <c r="Y65" s="598"/>
      <c r="Z65" s="598"/>
      <c r="AA65" s="598"/>
      <c r="AB65" s="688"/>
      <c r="AC65" s="688"/>
      <c r="AD65" s="688"/>
      <c r="AE65" s="688"/>
      <c r="AF65" s="688"/>
      <c r="AG65" s="598"/>
      <c r="AH65" s="598"/>
      <c r="AI65" s="598"/>
      <c r="AJ65" s="598"/>
      <c r="AK65" s="598"/>
      <c r="AL65" s="598"/>
      <c r="AM65" s="598"/>
      <c r="AN65" s="598"/>
      <c r="AO65" s="598"/>
      <c r="AP65" s="598"/>
      <c r="AQ65" s="598"/>
      <c r="AR65" s="598"/>
      <c r="AS65" s="598"/>
      <c r="AT65" s="598"/>
      <c r="AU65" s="598"/>
      <c r="AV65" s="598"/>
      <c r="AW65" s="598"/>
      <c r="AX65" s="598"/>
      <c r="AY65" s="598"/>
      <c r="AZ65" s="598"/>
      <c r="BA65" s="598"/>
      <c r="BB65" s="598"/>
      <c r="BC65" s="598"/>
      <c r="BD65" s="598"/>
      <c r="BE65" s="598"/>
    </row>
    <row r="66" spans="2:57">
      <c r="B66" s="686" t="s">
        <v>517</v>
      </c>
      <c r="C66" s="686"/>
      <c r="D66" s="598"/>
      <c r="E66" s="687" t="s">
        <v>511</v>
      </c>
      <c r="F66" s="516">
        <v>45230.429166666669</v>
      </c>
      <c r="G66" s="598"/>
      <c r="H66" s="684"/>
      <c r="I66" s="685"/>
      <c r="J66" s="686" t="s">
        <v>518</v>
      </c>
      <c r="K66" s="687" t="s">
        <v>511</v>
      </c>
      <c r="L66" s="692">
        <v>67000</v>
      </c>
      <c r="M66" s="693" t="s">
        <v>519</v>
      </c>
      <c r="N66" s="693"/>
      <c r="O66" s="687"/>
      <c r="P66" s="684"/>
      <c r="Q66" s="688"/>
      <c r="R66" s="689"/>
      <c r="S66" s="690"/>
      <c r="T66" s="598"/>
      <c r="U66" s="598"/>
      <c r="V66" s="598"/>
      <c r="W66" s="598"/>
      <c r="X66" s="598"/>
      <c r="Y66" s="598"/>
      <c r="Z66" s="598"/>
      <c r="AA66" s="598"/>
      <c r="AB66" s="688"/>
      <c r="AC66" s="688"/>
      <c r="AD66" s="688"/>
      <c r="AE66" s="688"/>
      <c r="AF66" s="688"/>
      <c r="AG66" s="598"/>
      <c r="AH66" s="598"/>
      <c r="AI66" s="598"/>
      <c r="AJ66" s="598"/>
      <c r="AK66" s="598"/>
      <c r="AL66" s="598"/>
      <c r="AM66" s="598"/>
      <c r="AN66" s="598"/>
      <c r="AO66" s="598"/>
      <c r="AP66" s="598"/>
      <c r="AQ66" s="598"/>
      <c r="AR66" s="598"/>
      <c r="AS66" s="598"/>
      <c r="AT66" s="598"/>
      <c r="AU66" s="598"/>
      <c r="AV66" s="598"/>
      <c r="AW66" s="598"/>
      <c r="AX66" s="598"/>
      <c r="AY66" s="598"/>
      <c r="AZ66" s="598"/>
      <c r="BA66" s="598"/>
      <c r="BB66" s="598"/>
      <c r="BC66" s="598"/>
      <c r="BD66" s="598"/>
      <c r="BE66" s="598"/>
    </row>
    <row r="67" spans="2:57">
      <c r="B67" s="686" t="s">
        <v>520</v>
      </c>
      <c r="C67" s="686"/>
      <c r="D67" s="598"/>
      <c r="E67" s="687" t="s">
        <v>511</v>
      </c>
      <c r="F67" s="516" t="s">
        <v>12</v>
      </c>
      <c r="G67" s="598"/>
      <c r="H67" s="684"/>
      <c r="I67" s="685"/>
      <c r="J67" s="686" t="s">
        <v>521</v>
      </c>
      <c r="K67" s="687" t="s">
        <v>511</v>
      </c>
      <c r="L67" s="839" t="s">
        <v>3128</v>
      </c>
      <c r="M67" s="598"/>
      <c r="N67" s="598"/>
      <c r="O67" s="687"/>
      <c r="P67" s="688"/>
      <c r="Q67" s="688"/>
      <c r="R67" s="689"/>
      <c r="S67" s="690"/>
      <c r="T67" s="598"/>
      <c r="U67" s="598"/>
      <c r="V67" s="598"/>
      <c r="W67" s="598"/>
      <c r="X67" s="598"/>
      <c r="Y67" s="598"/>
      <c r="Z67" s="598"/>
      <c r="AA67" s="598"/>
      <c r="AB67" s="688"/>
      <c r="AC67" s="688"/>
      <c r="AD67" s="688"/>
      <c r="AE67" s="688"/>
      <c r="AF67" s="688"/>
      <c r="AG67" s="598"/>
      <c r="AH67" s="598"/>
      <c r="AI67" s="598"/>
      <c r="AJ67" s="598"/>
      <c r="AK67" s="598"/>
      <c r="AL67" s="598"/>
      <c r="AM67" s="598"/>
      <c r="AN67" s="598"/>
      <c r="AO67" s="598"/>
      <c r="AP67" s="598"/>
      <c r="AQ67" s="598"/>
      <c r="AR67" s="598"/>
      <c r="AS67" s="598"/>
      <c r="AT67" s="598"/>
      <c r="AU67" s="598"/>
      <c r="AV67" s="598"/>
      <c r="AW67" s="598"/>
      <c r="AX67" s="598"/>
      <c r="AY67" s="598"/>
      <c r="AZ67" s="598"/>
      <c r="BA67" s="598"/>
      <c r="BB67" s="598"/>
      <c r="BC67" s="598"/>
      <c r="BD67" s="598"/>
      <c r="BE67" s="598"/>
    </row>
    <row r="68" spans="2:57">
      <c r="B68" s="686" t="s">
        <v>523</v>
      </c>
      <c r="C68" s="686"/>
      <c r="D68" s="598"/>
      <c r="E68" s="687" t="s">
        <v>511</v>
      </c>
      <c r="F68" s="516" t="s">
        <v>32</v>
      </c>
      <c r="G68" s="598"/>
      <c r="H68" s="684"/>
      <c r="I68" s="685"/>
      <c r="J68" s="686" t="s">
        <v>524</v>
      </c>
      <c r="K68" s="687" t="s">
        <v>511</v>
      </c>
      <c r="L68" s="694" t="s">
        <v>15</v>
      </c>
      <c r="M68" s="695"/>
      <c r="N68" s="695"/>
      <c r="O68" s="687"/>
      <c r="P68" s="684"/>
      <c r="Q68" s="688"/>
      <c r="R68" s="689"/>
      <c r="S68" s="690"/>
      <c r="T68" s="598"/>
      <c r="U68" s="598"/>
      <c r="V68" s="598"/>
      <c r="W68" s="598"/>
      <c r="X68" s="598"/>
      <c r="Y68" s="598"/>
      <c r="Z68" s="598"/>
      <c r="AA68" s="598"/>
      <c r="AB68" s="688"/>
      <c r="AC68" s="688"/>
      <c r="AD68" s="688"/>
      <c r="AE68" s="688"/>
      <c r="AF68" s="688"/>
      <c r="AG68" s="598"/>
      <c r="AH68" s="598"/>
      <c r="AI68" s="598"/>
      <c r="AJ68" s="598"/>
      <c r="AK68" s="598"/>
      <c r="AL68" s="598"/>
      <c r="AM68" s="598"/>
      <c r="AN68" s="598"/>
      <c r="AO68" s="598"/>
      <c r="AP68" s="598"/>
      <c r="AQ68" s="598"/>
      <c r="AR68" s="598"/>
      <c r="AS68" s="598"/>
      <c r="AT68" s="598"/>
      <c r="AU68" s="598"/>
      <c r="AV68" s="598"/>
      <c r="AW68" s="598"/>
      <c r="AX68" s="598"/>
      <c r="AY68" s="598"/>
      <c r="AZ68" s="598"/>
      <c r="BA68" s="598"/>
      <c r="BB68" s="598"/>
      <c r="BC68" s="598"/>
      <c r="BD68" s="598"/>
      <c r="BE68" s="598"/>
    </row>
    <row r="69" spans="2:57">
      <c r="B69" s="686" t="s">
        <v>2</v>
      </c>
      <c r="C69" s="686"/>
      <c r="D69" s="598"/>
      <c r="E69" s="687" t="s">
        <v>511</v>
      </c>
      <c r="F69" s="516" t="s">
        <v>42</v>
      </c>
      <c r="G69" s="598"/>
      <c r="H69" s="684"/>
      <c r="I69" s="696"/>
      <c r="J69" s="686"/>
      <c r="K69" s="687"/>
      <c r="L69" s="516"/>
      <c r="M69" s="598"/>
      <c r="N69" s="598"/>
      <c r="O69" s="686"/>
      <c r="P69" s="695"/>
      <c r="Q69" s="695"/>
      <c r="R69" s="695"/>
      <c r="S69" s="685"/>
      <c r="T69" s="598"/>
      <c r="U69" s="598"/>
      <c r="V69" s="598"/>
      <c r="W69" s="598"/>
      <c r="X69" s="598"/>
      <c r="Y69" s="598"/>
      <c r="Z69" s="598"/>
      <c r="AA69" s="598"/>
      <c r="AB69" s="685"/>
      <c r="AC69" s="685"/>
      <c r="AD69" s="685"/>
      <c r="AE69" s="685"/>
      <c r="AF69" s="685"/>
      <c r="AG69" s="685"/>
      <c r="AH69" s="685"/>
      <c r="AI69" s="685"/>
      <c r="AJ69" s="685"/>
      <c r="AK69" s="685"/>
      <c r="AL69" s="685"/>
      <c r="AM69" s="685"/>
      <c r="AN69" s="685"/>
      <c r="AO69" s="598"/>
      <c r="AP69" s="598"/>
      <c r="AQ69" s="598"/>
      <c r="AR69" s="598"/>
      <c r="AS69" s="598"/>
      <c r="AT69" s="598"/>
      <c r="AU69" s="598"/>
      <c r="AV69" s="598"/>
      <c r="AW69" s="598"/>
      <c r="AX69" s="598"/>
      <c r="AY69" s="598"/>
      <c r="AZ69" s="598"/>
      <c r="BA69" s="598"/>
      <c r="BB69" s="598"/>
      <c r="BC69" s="598"/>
      <c r="BD69" s="598"/>
      <c r="BE69" s="598"/>
    </row>
    <row r="70" spans="2:57">
      <c r="B70" s="598"/>
      <c r="C70" s="598"/>
      <c r="D70" s="598"/>
      <c r="E70" s="598"/>
      <c r="F70" s="598"/>
      <c r="G70" s="598"/>
      <c r="H70" s="598"/>
      <c r="I70" s="696"/>
      <c r="J70" s="686"/>
      <c r="K70" s="686"/>
      <c r="L70" s="694"/>
      <c r="M70" s="695"/>
      <c r="N70" s="695"/>
      <c r="O70" s="686"/>
      <c r="P70" s="695"/>
      <c r="Q70" s="695"/>
      <c r="R70" s="695"/>
      <c r="S70" s="685"/>
      <c r="T70" s="1440" t="s">
        <v>87</v>
      </c>
      <c r="U70" s="1440"/>
      <c r="V70" s="1440"/>
      <c r="W70" s="1440"/>
      <c r="X70" s="1440"/>
      <c r="Y70" s="1440" t="s">
        <v>73</v>
      </c>
      <c r="Z70" s="1440"/>
      <c r="AA70" s="1440"/>
      <c r="AB70" s="1440" t="s">
        <v>74</v>
      </c>
      <c r="AC70" s="1440"/>
      <c r="AD70" s="697" t="s">
        <v>85</v>
      </c>
      <c r="AE70" s="840" t="s">
        <v>77</v>
      </c>
      <c r="AF70" s="1465" t="s">
        <v>525</v>
      </c>
      <c r="AG70" s="1465"/>
      <c r="AH70" s="1465"/>
      <c r="AI70" s="1465"/>
      <c r="AJ70" s="1465"/>
      <c r="AK70" s="1465"/>
      <c r="AL70" s="1465"/>
      <c r="AM70" s="1465"/>
      <c r="AN70" s="1465"/>
      <c r="AO70" s="1465"/>
      <c r="AP70" s="1465"/>
      <c r="AQ70" s="1465"/>
      <c r="AR70" s="1465"/>
      <c r="AS70" s="1465"/>
      <c r="AT70" s="1465"/>
      <c r="AU70" s="1465"/>
      <c r="AV70" s="1465"/>
      <c r="AW70" s="1465"/>
      <c r="AX70" s="1465"/>
      <c r="AY70" s="1465"/>
      <c r="AZ70" s="1465"/>
      <c r="BA70" s="1465"/>
      <c r="BB70" s="1465"/>
      <c r="BC70" s="1465"/>
      <c r="BD70" s="1465"/>
      <c r="BE70" s="598"/>
    </row>
    <row r="71" spans="2:57">
      <c r="B71" s="1471" t="s">
        <v>526</v>
      </c>
      <c r="C71" s="1472"/>
      <c r="D71" s="698" t="s">
        <v>527</v>
      </c>
      <c r="E71" s="698"/>
      <c r="F71" s="698" t="s">
        <v>528</v>
      </c>
      <c r="G71" s="698" t="s">
        <v>529</v>
      </c>
      <c r="H71" s="698" t="s">
        <v>530</v>
      </c>
      <c r="I71" s="698" t="s">
        <v>531</v>
      </c>
      <c r="J71" s="698" t="s">
        <v>532</v>
      </c>
      <c r="K71" s="698"/>
      <c r="L71" s="698" t="s">
        <v>130</v>
      </c>
      <c r="M71" s="698" t="s">
        <v>533</v>
      </c>
      <c r="N71" s="625" t="str">
        <f>"On time - "&amp;COUNTIF(N72:N83,"On time")&amp;" from "&amp;ROWS(N72:N83)-COUNTIF(N72:N83," ")</f>
        <v>On time - 0 from 9</v>
      </c>
      <c r="O71" s="699"/>
      <c r="P71" s="700" t="s">
        <v>534</v>
      </c>
      <c r="Q71" s="700" t="s">
        <v>535</v>
      </c>
      <c r="R71" s="700" t="s">
        <v>536</v>
      </c>
      <c r="S71" s="598"/>
      <c r="T71" s="701" t="s">
        <v>537</v>
      </c>
      <c r="U71" s="701" t="s">
        <v>538</v>
      </c>
      <c r="V71" s="701" t="s">
        <v>539</v>
      </c>
      <c r="W71" s="701" t="s">
        <v>540</v>
      </c>
      <c r="X71" s="701" t="s">
        <v>541</v>
      </c>
      <c r="Y71" s="701" t="s">
        <v>167</v>
      </c>
      <c r="Z71" s="701" t="s">
        <v>168</v>
      </c>
      <c r="AA71" s="701" t="s">
        <v>169</v>
      </c>
      <c r="AB71" s="701" t="s">
        <v>235</v>
      </c>
      <c r="AC71" s="701" t="s">
        <v>240</v>
      </c>
      <c r="AD71" s="697" t="s">
        <v>85</v>
      </c>
      <c r="AE71" s="701" t="s">
        <v>139</v>
      </c>
      <c r="AF71" s="841" t="s">
        <v>72</v>
      </c>
      <c r="AG71" s="841" t="s">
        <v>88</v>
      </c>
      <c r="AH71" s="841" t="s">
        <v>75</v>
      </c>
      <c r="AI71" s="841" t="s">
        <v>543</v>
      </c>
      <c r="AJ71" s="841" t="s">
        <v>78</v>
      </c>
      <c r="AK71" s="841" t="s">
        <v>76</v>
      </c>
      <c r="AL71" s="841" t="s">
        <v>544</v>
      </c>
      <c r="AM71" s="841" t="s">
        <v>545</v>
      </c>
      <c r="AN71" s="841" t="s">
        <v>86</v>
      </c>
      <c r="AO71" s="841" t="s">
        <v>83</v>
      </c>
      <c r="AP71" s="841" t="s">
        <v>84</v>
      </c>
      <c r="AQ71" s="841" t="s">
        <v>546</v>
      </c>
      <c r="AR71" s="841" t="s">
        <v>81</v>
      </c>
      <c r="AS71" s="841" t="s">
        <v>80</v>
      </c>
      <c r="AT71" s="841" t="s">
        <v>82</v>
      </c>
      <c r="AU71" s="841" t="s">
        <v>181</v>
      </c>
      <c r="AV71" s="841" t="s">
        <v>183</v>
      </c>
      <c r="AW71" s="841" t="s">
        <v>547</v>
      </c>
      <c r="AX71" s="841" t="s">
        <v>182</v>
      </c>
      <c r="AY71" s="841" t="s">
        <v>172</v>
      </c>
      <c r="AZ71" s="841" t="s">
        <v>173</v>
      </c>
      <c r="BA71" s="841" t="s">
        <v>184</v>
      </c>
      <c r="BB71" s="841" t="s">
        <v>100</v>
      </c>
      <c r="BC71" s="841" t="s">
        <v>913</v>
      </c>
      <c r="BD71" s="841" t="s">
        <v>2747</v>
      </c>
      <c r="BE71" s="598"/>
    </row>
    <row r="72" spans="2:57">
      <c r="B72" s="1315" t="s">
        <v>548</v>
      </c>
      <c r="C72" s="1316"/>
      <c r="D72" s="836" t="s">
        <v>3389</v>
      </c>
      <c r="E72" s="501"/>
      <c r="F72" s="501" t="s">
        <v>339</v>
      </c>
      <c r="G72" s="501" t="s">
        <v>506</v>
      </c>
      <c r="H72" s="629">
        <v>7550.2240000000002</v>
      </c>
      <c r="I72" s="505" t="s">
        <v>240</v>
      </c>
      <c r="J72" s="504">
        <v>45233.385416666664</v>
      </c>
      <c r="K72" s="504"/>
      <c r="L72" s="504" t="s">
        <v>192</v>
      </c>
      <c r="M72" s="504" t="s">
        <v>192</v>
      </c>
      <c r="N72" s="505" t="str">
        <f>IF(ISBLANK(J72)," ",IF(J72&lt;$F$66,"On time",(IF(DAY(J72-$F$66)&lt;1,"On time",(IF(J72&gt;$F$66,"DELAY ( "&amp;DAY(J72-$F$66)&amp;" day "&amp;HOUR(J72-$F$66)&amp;" hour "&amp;MINUTE(J72-$F$66)&amp;" minute )","xxx"))))))</f>
        <v>DELAY ( 2 day 22 hour 57 minute )</v>
      </c>
      <c r="O72" s="597"/>
      <c r="P72" s="507" t="s">
        <v>551</v>
      </c>
      <c r="Q72" s="507" t="s">
        <v>551</v>
      </c>
      <c r="R72" s="507" t="s">
        <v>551</v>
      </c>
      <c r="S72" s="598"/>
      <c r="T72" s="599"/>
      <c r="U72" s="599"/>
      <c r="V72" s="599"/>
      <c r="W72" s="599"/>
      <c r="X72" s="599"/>
      <c r="Y72" s="599"/>
      <c r="Z72" s="599"/>
      <c r="AA72" s="599"/>
      <c r="AB72" s="599"/>
      <c r="AC72" s="599">
        <f>H72</f>
        <v>7550.2240000000002</v>
      </c>
      <c r="AD72" s="599"/>
      <c r="AE72" s="599"/>
      <c r="AF72" s="599"/>
      <c r="AG72" s="599"/>
      <c r="AH72" s="599"/>
      <c r="AI72" s="599"/>
      <c r="AJ72" s="599"/>
      <c r="AK72" s="598"/>
      <c r="AL72" s="599"/>
      <c r="AM72" s="599"/>
      <c r="AN72" s="599"/>
      <c r="AO72" s="599"/>
      <c r="AP72" s="599"/>
      <c r="AQ72" s="599"/>
      <c r="AR72" s="599"/>
      <c r="AS72" s="599"/>
      <c r="AT72" s="599"/>
      <c r="AU72" s="599"/>
      <c r="AV72" s="599"/>
      <c r="AW72" s="599"/>
      <c r="AX72" s="599"/>
      <c r="AY72" s="599"/>
      <c r="AZ72" s="599"/>
      <c r="BA72" s="599"/>
      <c r="BB72" s="599"/>
      <c r="BC72" s="599"/>
      <c r="BD72" s="599"/>
      <c r="BE72" s="598"/>
    </row>
    <row r="73" spans="2:57">
      <c r="B73" s="1421" t="s">
        <v>3722</v>
      </c>
      <c r="C73" s="1422"/>
      <c r="D73" s="836" t="s">
        <v>3429</v>
      </c>
      <c r="E73" s="501"/>
      <c r="F73" s="501" t="s">
        <v>252</v>
      </c>
      <c r="G73" s="501" t="s">
        <v>253</v>
      </c>
      <c r="H73" s="629">
        <v>7503.0379999999996</v>
      </c>
      <c r="I73" s="505" t="s">
        <v>172</v>
      </c>
      <c r="J73" s="504">
        <v>45233.447916666664</v>
      </c>
      <c r="K73" s="504"/>
      <c r="L73" s="504" t="s">
        <v>192</v>
      </c>
      <c r="M73" s="504" t="s">
        <v>192</v>
      </c>
      <c r="N73" s="505" t="str">
        <f t="shared" ref="N73:N83" si="6">IF(ISBLANK(J73)," ",IF(J73&lt;$F$66,"On time",(IF(DAY(J73-$F$66)&lt;1,"On time",(IF(J73&gt;$F$66,"DELAY ( "&amp;DAY(J73-$F$66)&amp;" day "&amp;HOUR(J73-$F$66)&amp;" hour "&amp;MINUTE(J73-$F$66)&amp;" minute )","xxx"))))))</f>
        <v>DELAY ( 3 day 0 hour 27 minute )</v>
      </c>
      <c r="O73" s="597"/>
      <c r="P73" s="507" t="s">
        <v>551</v>
      </c>
      <c r="Q73" s="507" t="s">
        <v>551</v>
      </c>
      <c r="R73" s="507" t="s">
        <v>551</v>
      </c>
      <c r="S73" s="598"/>
      <c r="T73" s="599"/>
      <c r="U73" s="599"/>
      <c r="V73" s="599"/>
      <c r="W73" s="599"/>
      <c r="X73" s="599"/>
      <c r="Y73" s="599"/>
      <c r="Z73" s="599"/>
      <c r="AA73" s="599"/>
      <c r="AB73" s="599"/>
      <c r="AC73" s="599"/>
      <c r="AD73" s="599"/>
      <c r="AE73" s="599"/>
      <c r="AF73" s="599"/>
      <c r="AG73" s="599"/>
      <c r="AH73" s="599"/>
      <c r="AI73" s="599"/>
      <c r="AJ73" s="599"/>
      <c r="AK73" s="599"/>
      <c r="AL73" s="599"/>
      <c r="AM73" s="599"/>
      <c r="AN73" s="599"/>
      <c r="AO73" s="599"/>
      <c r="AP73" s="599"/>
      <c r="AQ73" s="599"/>
      <c r="AR73" s="599"/>
      <c r="AS73" s="599"/>
      <c r="AT73" s="599"/>
      <c r="AU73" s="599"/>
      <c r="AV73" s="599"/>
      <c r="AW73" s="599"/>
      <c r="AX73" s="599"/>
      <c r="AY73" s="599">
        <f>H73</f>
        <v>7503.0379999999996</v>
      </c>
      <c r="AZ73" s="599"/>
      <c r="BA73" s="599"/>
      <c r="BB73" s="599"/>
      <c r="BC73" s="599"/>
      <c r="BD73" s="599"/>
      <c r="BE73" s="598"/>
    </row>
    <row r="74" spans="2:57">
      <c r="B74" s="1328"/>
      <c r="C74" s="1329"/>
      <c r="D74" s="836" t="s">
        <v>3388</v>
      </c>
      <c r="E74" s="501"/>
      <c r="F74" s="501" t="s">
        <v>205</v>
      </c>
      <c r="G74" s="501" t="s">
        <v>206</v>
      </c>
      <c r="H74" s="629">
        <v>7430.3540000000003</v>
      </c>
      <c r="I74" s="505" t="s">
        <v>240</v>
      </c>
      <c r="J74" s="504">
        <v>45233.541666666664</v>
      </c>
      <c r="K74" s="504"/>
      <c r="L74" s="504" t="s">
        <v>192</v>
      </c>
      <c r="M74" s="504" t="s">
        <v>192</v>
      </c>
      <c r="N74" s="505" t="str">
        <f t="shared" si="6"/>
        <v>DELAY ( 3 day 2 hour 42 minute )</v>
      </c>
      <c r="O74" s="597"/>
      <c r="P74" s="507" t="s">
        <v>551</v>
      </c>
      <c r="Q74" s="507" t="s">
        <v>551</v>
      </c>
      <c r="R74" s="507" t="s">
        <v>551</v>
      </c>
      <c r="S74" s="598"/>
      <c r="T74" s="599"/>
      <c r="U74" s="599"/>
      <c r="V74" s="599"/>
      <c r="W74" s="599"/>
      <c r="X74" s="599"/>
      <c r="Y74" s="599"/>
      <c r="Z74" s="599"/>
      <c r="AA74" s="599"/>
      <c r="AB74" s="599"/>
      <c r="AC74" s="599">
        <f>H74</f>
        <v>7430.3540000000003</v>
      </c>
      <c r="AD74" s="599"/>
      <c r="AE74" s="599"/>
      <c r="AF74" s="599"/>
      <c r="AG74" s="599"/>
      <c r="AH74" s="599"/>
      <c r="AI74" s="599"/>
      <c r="AJ74" s="599"/>
      <c r="AK74" s="599"/>
      <c r="AL74" s="599"/>
      <c r="AM74" s="599"/>
      <c r="AN74" s="599"/>
      <c r="AO74" s="599"/>
      <c r="AP74" s="598"/>
      <c r="AQ74" s="599"/>
      <c r="AR74" s="599"/>
      <c r="AS74" s="599"/>
      <c r="AT74" s="599"/>
      <c r="AU74" s="599"/>
      <c r="AV74" s="599"/>
      <c r="AW74" s="599"/>
      <c r="AX74" s="599"/>
      <c r="AY74" s="599"/>
      <c r="AZ74" s="599"/>
      <c r="BA74" s="599"/>
      <c r="BB74" s="599"/>
      <c r="BC74" s="599"/>
      <c r="BD74" s="599"/>
      <c r="BE74" s="598"/>
    </row>
    <row r="75" spans="2:57">
      <c r="B75" s="1315" t="s">
        <v>548</v>
      </c>
      <c r="C75" s="1316"/>
      <c r="D75" s="836" t="s">
        <v>3390</v>
      </c>
      <c r="E75" s="501"/>
      <c r="F75" s="501" t="s">
        <v>2156</v>
      </c>
      <c r="G75" s="501" t="s">
        <v>3391</v>
      </c>
      <c r="H75" s="629">
        <v>7316.2759999999998</v>
      </c>
      <c r="I75" s="505" t="s">
        <v>240</v>
      </c>
      <c r="J75" s="504">
        <v>45233.6875</v>
      </c>
      <c r="K75" s="504"/>
      <c r="L75" s="504" t="s">
        <v>192</v>
      </c>
      <c r="M75" s="504" t="s">
        <v>192</v>
      </c>
      <c r="N75" s="505" t="str">
        <f t="shared" si="6"/>
        <v>DELAY ( 3 day 6 hour 12 minute )</v>
      </c>
      <c r="O75" s="597"/>
      <c r="P75" s="507" t="s">
        <v>551</v>
      </c>
      <c r="Q75" s="507" t="s">
        <v>551</v>
      </c>
      <c r="R75" s="507" t="s">
        <v>551</v>
      </c>
      <c r="S75" s="598"/>
      <c r="T75" s="599"/>
      <c r="U75" s="599"/>
      <c r="V75" s="599"/>
      <c r="W75" s="599"/>
      <c r="X75" s="599"/>
      <c r="Y75" s="599"/>
      <c r="Z75" s="599"/>
      <c r="AA75" s="599"/>
      <c r="AB75" s="599"/>
      <c r="AC75" s="599">
        <f>H75</f>
        <v>7316.2759999999998</v>
      </c>
      <c r="AD75" s="599"/>
      <c r="AE75" s="599"/>
      <c r="AF75" s="599"/>
      <c r="AG75" s="599"/>
      <c r="AH75" s="599"/>
      <c r="AI75" s="599"/>
      <c r="AJ75" s="599"/>
      <c r="AK75" s="599"/>
      <c r="AL75" s="599"/>
      <c r="AM75" s="599"/>
      <c r="AN75" s="599"/>
      <c r="AO75" s="599"/>
      <c r="AP75" s="598"/>
      <c r="AQ75" s="599"/>
      <c r="AR75" s="599"/>
      <c r="AS75" s="599"/>
      <c r="AT75" s="599"/>
      <c r="AU75" s="599"/>
      <c r="AV75" s="599"/>
      <c r="AW75" s="599"/>
      <c r="AX75" s="599"/>
      <c r="AY75" s="599"/>
      <c r="AZ75" s="599"/>
      <c r="BA75" s="599"/>
      <c r="BB75" s="599"/>
      <c r="BC75" s="599"/>
      <c r="BD75" s="599"/>
      <c r="BE75" s="598"/>
    </row>
    <row r="76" spans="2:57">
      <c r="B76" s="1421" t="s">
        <v>3723</v>
      </c>
      <c r="C76" s="1422"/>
      <c r="D76" s="836" t="s">
        <v>3595</v>
      </c>
      <c r="E76" s="502"/>
      <c r="F76" s="501" t="s">
        <v>686</v>
      </c>
      <c r="G76" s="501" t="s">
        <v>1186</v>
      </c>
      <c r="H76" s="629">
        <f>7523.422/2</f>
        <v>3761.7109999999998</v>
      </c>
      <c r="I76" s="505" t="s">
        <v>1164</v>
      </c>
      <c r="J76" s="504">
        <v>45234.354166666664</v>
      </c>
      <c r="K76" s="504"/>
      <c r="L76" s="504" t="s">
        <v>192</v>
      </c>
      <c r="M76" s="504" t="s">
        <v>192</v>
      </c>
      <c r="N76" s="505" t="str">
        <f t="shared" si="6"/>
        <v>DELAY ( 3 day 22 hour 12 minute )</v>
      </c>
      <c r="O76" s="597"/>
      <c r="P76" s="507" t="s">
        <v>551</v>
      </c>
      <c r="Q76" s="507" t="s">
        <v>551</v>
      </c>
      <c r="R76" s="507" t="s">
        <v>551</v>
      </c>
      <c r="S76" s="598"/>
      <c r="T76" s="599"/>
      <c r="U76" s="599"/>
      <c r="V76" s="599"/>
      <c r="W76" s="599"/>
      <c r="X76" s="599">
        <f>H76</f>
        <v>3761.7109999999998</v>
      </c>
      <c r="Y76" s="599"/>
      <c r="Z76" s="599"/>
      <c r="AA76" s="599"/>
      <c r="AB76" s="599"/>
      <c r="AC76" s="599"/>
      <c r="AD76" s="599"/>
      <c r="AE76" s="599"/>
      <c r="AF76" s="599"/>
      <c r="AG76" s="599"/>
      <c r="AH76" s="599"/>
      <c r="AI76" s="599"/>
      <c r="AJ76" s="599"/>
      <c r="AK76" s="599"/>
      <c r="AL76" s="599"/>
      <c r="AM76" s="599"/>
      <c r="AN76" s="599"/>
      <c r="AO76" s="599"/>
      <c r="AP76" s="599"/>
      <c r="AQ76" s="599"/>
      <c r="AR76" s="599"/>
      <c r="AS76" s="599"/>
      <c r="AT76" s="599"/>
      <c r="AU76" s="599"/>
      <c r="AV76" s="599"/>
      <c r="AW76" s="599"/>
      <c r="AX76" s="599"/>
      <c r="AY76" s="599"/>
      <c r="AZ76" s="599"/>
      <c r="BA76" s="599"/>
      <c r="BB76" s="599"/>
      <c r="BC76" s="599"/>
      <c r="BD76" s="599"/>
      <c r="BE76" s="598"/>
    </row>
    <row r="77" spans="2:57">
      <c r="B77" s="1328"/>
      <c r="C77" s="1329"/>
      <c r="D77" s="836" t="s">
        <v>3395</v>
      </c>
      <c r="E77" s="501"/>
      <c r="F77" s="501" t="s">
        <v>277</v>
      </c>
      <c r="G77" s="501" t="s">
        <v>278</v>
      </c>
      <c r="H77" s="629">
        <v>7459.9669999999996</v>
      </c>
      <c r="I77" s="505" t="s">
        <v>240</v>
      </c>
      <c r="J77" s="504">
        <v>45234.760416666664</v>
      </c>
      <c r="K77" s="504"/>
      <c r="L77" s="504" t="s">
        <v>192</v>
      </c>
      <c r="M77" s="504" t="s">
        <v>192</v>
      </c>
      <c r="N77" s="505" t="str">
        <f t="shared" si="6"/>
        <v>DELAY ( 4 day 7 hour 57 minute )</v>
      </c>
      <c r="O77" s="597"/>
      <c r="P77" s="507" t="s">
        <v>551</v>
      </c>
      <c r="Q77" s="507" t="s">
        <v>551</v>
      </c>
      <c r="R77" s="507" t="s">
        <v>551</v>
      </c>
      <c r="S77" s="598"/>
      <c r="T77" s="599"/>
      <c r="U77" s="599"/>
      <c r="V77" s="599"/>
      <c r="W77" s="599"/>
      <c r="X77" s="599"/>
      <c r="Y77" s="599"/>
      <c r="Z77" s="599"/>
      <c r="AA77" s="599"/>
      <c r="AB77" s="599"/>
      <c r="AC77" s="599">
        <f>H77</f>
        <v>7459.9669999999996</v>
      </c>
      <c r="AD77" s="599"/>
      <c r="AE77" s="599"/>
      <c r="AF77" s="599"/>
      <c r="AG77" s="599"/>
      <c r="AH77" s="599"/>
      <c r="AI77" s="599"/>
      <c r="AJ77" s="599"/>
      <c r="AK77" s="599"/>
      <c r="AL77" s="599"/>
      <c r="AM77" s="599"/>
      <c r="AN77" s="599"/>
      <c r="AO77" s="599"/>
      <c r="AP77" s="598"/>
      <c r="AQ77" s="599"/>
      <c r="AR77" s="599"/>
      <c r="AS77" s="599"/>
      <c r="AT77" s="599"/>
      <c r="AU77" s="599"/>
      <c r="AV77" s="599"/>
      <c r="AW77" s="599"/>
      <c r="AX77" s="599"/>
      <c r="AY77" s="599"/>
      <c r="AZ77" s="599"/>
      <c r="BA77" s="599"/>
      <c r="BB77" s="599"/>
      <c r="BC77" s="599"/>
      <c r="BD77" s="599"/>
      <c r="BE77" s="598"/>
    </row>
    <row r="78" spans="2:57">
      <c r="B78" s="1421" t="s">
        <v>3723</v>
      </c>
      <c r="C78" s="1422"/>
      <c r="D78" s="836" t="s">
        <v>3595</v>
      </c>
      <c r="E78" s="502"/>
      <c r="F78" s="501" t="s">
        <v>686</v>
      </c>
      <c r="G78" s="501" t="s">
        <v>1186</v>
      </c>
      <c r="H78" s="629">
        <f>H76</f>
        <v>3761.7109999999998</v>
      </c>
      <c r="I78" s="505" t="s">
        <v>1164</v>
      </c>
      <c r="J78" s="504"/>
      <c r="K78" s="504"/>
      <c r="L78" s="504" t="s">
        <v>192</v>
      </c>
      <c r="M78" s="504" t="s">
        <v>192</v>
      </c>
      <c r="N78" s="505" t="str">
        <f t="shared" si="6"/>
        <v xml:space="preserve"> </v>
      </c>
      <c r="O78" s="597"/>
      <c r="P78" s="507" t="s">
        <v>551</v>
      </c>
      <c r="Q78" s="507" t="s">
        <v>551</v>
      </c>
      <c r="R78" s="507" t="s">
        <v>551</v>
      </c>
      <c r="S78" s="598"/>
      <c r="T78" s="599"/>
      <c r="U78" s="599"/>
      <c r="V78" s="599"/>
      <c r="W78" s="599"/>
      <c r="X78" s="599">
        <f>H78</f>
        <v>3761.7109999999998</v>
      </c>
      <c r="Y78" s="599"/>
      <c r="Z78" s="599"/>
      <c r="AA78" s="599"/>
      <c r="AB78" s="599"/>
      <c r="AC78" s="599"/>
      <c r="AD78" s="599"/>
      <c r="AE78" s="599"/>
      <c r="AF78" s="599"/>
      <c r="AG78" s="599"/>
      <c r="AH78" s="599"/>
      <c r="AI78" s="599"/>
      <c r="AJ78" s="599"/>
      <c r="AK78" s="599"/>
      <c r="AL78" s="599"/>
      <c r="AM78" s="599"/>
      <c r="AN78" s="599"/>
      <c r="AO78" s="599"/>
      <c r="AP78" s="599"/>
      <c r="AQ78" s="599"/>
      <c r="AR78" s="599"/>
      <c r="AS78" s="599"/>
      <c r="AT78" s="599"/>
      <c r="AU78" s="599"/>
      <c r="AV78" s="599"/>
      <c r="AW78" s="599"/>
      <c r="AX78" s="599"/>
      <c r="AY78" s="599"/>
      <c r="AZ78" s="599"/>
      <c r="BA78" s="599"/>
      <c r="BB78" s="599"/>
      <c r="BC78" s="599"/>
      <c r="BD78" s="599"/>
      <c r="BE78" s="598"/>
    </row>
    <row r="79" spans="2:57">
      <c r="B79" s="1328"/>
      <c r="C79" s="1329"/>
      <c r="D79" s="501" t="s">
        <v>3394</v>
      </c>
      <c r="E79" s="501"/>
      <c r="F79" s="501" t="s">
        <v>371</v>
      </c>
      <c r="G79" s="501" t="s">
        <v>372</v>
      </c>
      <c r="H79" s="629">
        <v>7352.01</v>
      </c>
      <c r="I79" s="505" t="s">
        <v>240</v>
      </c>
      <c r="J79" s="504">
        <v>45234.649305555555</v>
      </c>
      <c r="K79" s="504"/>
      <c r="L79" s="504" t="s">
        <v>192</v>
      </c>
      <c r="M79" s="504" t="s">
        <v>192</v>
      </c>
      <c r="N79" s="505" t="str">
        <f t="shared" si="6"/>
        <v>DELAY ( 4 day 5 hour 17 minute )</v>
      </c>
      <c r="O79" s="597"/>
      <c r="P79" s="507" t="s">
        <v>551</v>
      </c>
      <c r="Q79" s="507" t="s">
        <v>551</v>
      </c>
      <c r="R79" s="507" t="s">
        <v>551</v>
      </c>
      <c r="S79" s="598"/>
      <c r="T79" s="599"/>
      <c r="U79" s="599"/>
      <c r="V79" s="599"/>
      <c r="W79" s="599"/>
      <c r="X79" s="599"/>
      <c r="Y79" s="599"/>
      <c r="Z79" s="599"/>
      <c r="AA79" s="599"/>
      <c r="AB79" s="599"/>
      <c r="AC79" s="599">
        <f>H79</f>
        <v>7352.01</v>
      </c>
      <c r="AD79" s="599"/>
      <c r="AE79" s="599"/>
      <c r="AF79" s="599"/>
      <c r="AG79" s="599"/>
      <c r="AH79" s="599"/>
      <c r="AI79" s="599"/>
      <c r="AJ79" s="599"/>
      <c r="AK79" s="598"/>
      <c r="AL79" s="599"/>
      <c r="AM79" s="599"/>
      <c r="AN79" s="599"/>
      <c r="AO79" s="599"/>
      <c r="AP79" s="599"/>
      <c r="AQ79" s="599"/>
      <c r="AR79" s="599"/>
      <c r="AS79" s="599"/>
      <c r="AT79" s="599"/>
      <c r="AU79" s="599"/>
      <c r="AV79" s="599"/>
      <c r="AW79" s="599"/>
      <c r="AX79" s="599"/>
      <c r="AY79" s="599"/>
      <c r="AZ79" s="599"/>
      <c r="BA79" s="599"/>
      <c r="BB79" s="599"/>
      <c r="BC79" s="599"/>
      <c r="BD79" s="599"/>
      <c r="BE79" s="598"/>
    </row>
    <row r="80" spans="2:57">
      <c r="B80" s="1315" t="s">
        <v>548</v>
      </c>
      <c r="C80" s="1316"/>
      <c r="D80" s="501" t="s">
        <v>3481</v>
      </c>
      <c r="E80" s="501"/>
      <c r="F80" s="501" t="s">
        <v>213</v>
      </c>
      <c r="G80" s="501" t="s">
        <v>214</v>
      </c>
      <c r="H80" s="629">
        <v>7560.8209999999999</v>
      </c>
      <c r="I80" s="505" t="s">
        <v>240</v>
      </c>
      <c r="J80" s="504">
        <v>45235.534722222219</v>
      </c>
      <c r="K80" s="504"/>
      <c r="L80" s="504" t="s">
        <v>192</v>
      </c>
      <c r="M80" s="504" t="s">
        <v>192</v>
      </c>
      <c r="N80" s="505" t="str">
        <f t="shared" si="6"/>
        <v>DELAY ( 5 day 2 hour 32 minute )</v>
      </c>
      <c r="O80" s="597"/>
      <c r="P80" s="507" t="s">
        <v>551</v>
      </c>
      <c r="Q80" s="507" t="s">
        <v>551</v>
      </c>
      <c r="R80" s="507" t="s">
        <v>551</v>
      </c>
      <c r="S80" s="598"/>
      <c r="T80" s="599"/>
      <c r="U80" s="599"/>
      <c r="V80" s="599"/>
      <c r="W80" s="599"/>
      <c r="X80" s="599"/>
      <c r="Y80" s="599"/>
      <c r="Z80" s="599"/>
      <c r="AA80" s="599"/>
      <c r="AB80" s="599"/>
      <c r="AC80" s="599">
        <f>H80</f>
        <v>7560.8209999999999</v>
      </c>
      <c r="AD80" s="599"/>
      <c r="AE80" s="599"/>
      <c r="AF80" s="599"/>
      <c r="AG80" s="599"/>
      <c r="AH80" s="599"/>
      <c r="AI80" s="599"/>
      <c r="AJ80" s="599"/>
      <c r="AK80" s="599"/>
      <c r="AL80" s="599"/>
      <c r="AM80" s="599"/>
      <c r="AN80" s="599"/>
      <c r="AO80" s="599"/>
      <c r="AP80" s="599"/>
      <c r="AQ80" s="599"/>
      <c r="AR80" s="599"/>
      <c r="AS80" s="599"/>
      <c r="AT80" s="599"/>
      <c r="AU80" s="599"/>
      <c r="AV80" s="599"/>
      <c r="AW80" s="599"/>
      <c r="AX80" s="599"/>
      <c r="AY80" s="599"/>
      <c r="AZ80" s="599"/>
      <c r="BA80" s="598"/>
      <c r="BB80" s="599"/>
      <c r="BC80" s="599"/>
      <c r="BD80" s="599"/>
      <c r="BE80" s="598"/>
    </row>
    <row r="81" spans="2:57">
      <c r="B81" s="1315" t="s">
        <v>548</v>
      </c>
      <c r="C81" s="1316"/>
      <c r="D81" s="501" t="s">
        <v>3482</v>
      </c>
      <c r="E81" s="501"/>
      <c r="F81" s="501" t="s">
        <v>310</v>
      </c>
      <c r="G81" s="501" t="s">
        <v>219</v>
      </c>
      <c r="H81" s="629">
        <f>7562.683-258.795</f>
        <v>7303.8879999999999</v>
      </c>
      <c r="I81" s="505" t="s">
        <v>240</v>
      </c>
      <c r="J81" s="504">
        <v>45235.465277777781</v>
      </c>
      <c r="K81" s="504"/>
      <c r="L81" s="504" t="s">
        <v>192</v>
      </c>
      <c r="M81" s="504" t="s">
        <v>192</v>
      </c>
      <c r="N81" s="505" t="str">
        <f t="shared" si="6"/>
        <v>DELAY ( 5 day 0 hour 52 minute )</v>
      </c>
      <c r="O81" s="597"/>
      <c r="P81" s="507" t="s">
        <v>551</v>
      </c>
      <c r="Q81" s="507" t="s">
        <v>551</v>
      </c>
      <c r="R81" s="507" t="s">
        <v>551</v>
      </c>
      <c r="S81" s="598"/>
      <c r="T81" s="599"/>
      <c r="U81" s="599"/>
      <c r="V81" s="599"/>
      <c r="W81" s="599"/>
      <c r="X81" s="599"/>
      <c r="Y81" s="599"/>
      <c r="Z81" s="599"/>
      <c r="AA81" s="599"/>
      <c r="AB81" s="599"/>
      <c r="AC81" s="599">
        <f>H81-H85</f>
        <v>7303.8879999999999</v>
      </c>
      <c r="AD81" s="599"/>
      <c r="AE81" s="599"/>
      <c r="AF81" s="599"/>
      <c r="AG81" s="599"/>
      <c r="AH81" s="599"/>
      <c r="AI81" s="599"/>
      <c r="AJ81" s="599"/>
      <c r="AK81" s="599"/>
      <c r="AL81" s="599"/>
      <c r="AM81" s="599"/>
      <c r="AN81" s="599"/>
      <c r="AO81" s="599"/>
      <c r="AP81" s="599"/>
      <c r="AQ81" s="599"/>
      <c r="AR81" s="599"/>
      <c r="AS81" s="599"/>
      <c r="AT81" s="599"/>
      <c r="AU81" s="599"/>
      <c r="AV81" s="599"/>
      <c r="AW81" s="599"/>
      <c r="AX81" s="599"/>
      <c r="AY81" s="599"/>
      <c r="AZ81" s="599"/>
      <c r="BA81" s="599"/>
      <c r="BB81" s="599"/>
      <c r="BC81" s="599"/>
      <c r="BD81" s="599"/>
      <c r="BE81" s="598"/>
    </row>
    <row r="82" spans="2:57">
      <c r="B82" s="1351" t="s">
        <v>556</v>
      </c>
      <c r="C82" s="1352"/>
      <c r="D82" s="1352"/>
      <c r="E82" s="1352"/>
      <c r="F82" s="1352"/>
      <c r="G82" s="1353"/>
      <c r="H82" s="702">
        <f>SUM(H72:H81)</f>
        <v>67000.000000000015</v>
      </c>
      <c r="I82" s="842"/>
      <c r="J82" s="843"/>
      <c r="K82" s="843"/>
      <c r="L82" s="843"/>
      <c r="M82" s="844"/>
      <c r="N82" s="505" t="str">
        <f t="shared" si="6"/>
        <v xml:space="preserve"> </v>
      </c>
      <c r="O82" s="552"/>
      <c r="P82" s="706"/>
      <c r="Q82" s="706"/>
      <c r="R82" s="706"/>
      <c r="S82" s="598"/>
      <c r="T82" s="1432"/>
      <c r="U82" s="1433"/>
      <c r="V82" s="1433"/>
      <c r="W82" s="1433"/>
      <c r="X82" s="1433"/>
      <c r="Y82" s="1433"/>
      <c r="Z82" s="1433"/>
      <c r="AA82" s="1433"/>
      <c r="AB82" s="1433"/>
      <c r="AC82" s="1433"/>
      <c r="AD82" s="1433"/>
      <c r="AE82" s="1433"/>
      <c r="AF82" s="1433"/>
      <c r="AG82" s="1433"/>
      <c r="AH82" s="1433"/>
      <c r="AI82" s="1433"/>
      <c r="AJ82" s="1433"/>
      <c r="AK82" s="1433"/>
      <c r="AL82" s="1433"/>
      <c r="AM82" s="1433"/>
      <c r="AN82" s="1433"/>
      <c r="AO82" s="1433"/>
      <c r="AP82" s="1433"/>
      <c r="AQ82" s="1433"/>
      <c r="AR82" s="1433"/>
      <c r="AS82" s="1433"/>
      <c r="AT82" s="1433"/>
      <c r="AU82" s="1433"/>
      <c r="AV82" s="1433"/>
      <c r="AW82" s="1433"/>
      <c r="AX82" s="1433"/>
      <c r="AY82" s="1433"/>
      <c r="AZ82" s="1433"/>
      <c r="BA82" s="1433"/>
      <c r="BB82" s="1433"/>
      <c r="BC82" s="1433"/>
      <c r="BD82" s="1433"/>
      <c r="BE82" s="554"/>
    </row>
    <row r="83" spans="2:57">
      <c r="B83" s="1415" t="s">
        <v>557</v>
      </c>
      <c r="C83" s="1416"/>
      <c r="D83" s="1416"/>
      <c r="E83" s="1416"/>
      <c r="F83" s="1416"/>
      <c r="G83" s="1417"/>
      <c r="H83" s="845">
        <v>67000</v>
      </c>
      <c r="I83" s="1473"/>
      <c r="J83" s="1473"/>
      <c r="K83" s="1473"/>
      <c r="L83" s="1473"/>
      <c r="M83" s="1473"/>
      <c r="N83" s="505" t="str">
        <f t="shared" si="6"/>
        <v xml:space="preserve"> </v>
      </c>
      <c r="O83" s="598"/>
      <c r="P83" s="507"/>
      <c r="Q83" s="507"/>
      <c r="R83" s="507"/>
      <c r="S83" s="711"/>
      <c r="T83" s="599">
        <f t="shared" ref="T83:BD83" si="7">SUM(T72:T81)</f>
        <v>0</v>
      </c>
      <c r="U83" s="599">
        <f t="shared" si="7"/>
        <v>0</v>
      </c>
      <c r="V83" s="599">
        <f t="shared" si="7"/>
        <v>0</v>
      </c>
      <c r="W83" s="599">
        <f t="shared" si="7"/>
        <v>0</v>
      </c>
      <c r="X83" s="599">
        <f t="shared" si="7"/>
        <v>7523.4219999999996</v>
      </c>
      <c r="Y83" s="599">
        <f t="shared" si="7"/>
        <v>0</v>
      </c>
      <c r="Z83" s="599">
        <f t="shared" si="7"/>
        <v>0</v>
      </c>
      <c r="AA83" s="599">
        <f t="shared" si="7"/>
        <v>0</v>
      </c>
      <c r="AB83" s="599">
        <f t="shared" si="7"/>
        <v>0</v>
      </c>
      <c r="AC83" s="599">
        <f t="shared" si="7"/>
        <v>51973.54</v>
      </c>
      <c r="AD83" s="599">
        <f t="shared" si="7"/>
        <v>0</v>
      </c>
      <c r="AE83" s="599">
        <f t="shared" si="7"/>
        <v>0</v>
      </c>
      <c r="AF83" s="599">
        <f t="shared" si="7"/>
        <v>0</v>
      </c>
      <c r="AG83" s="599">
        <f t="shared" si="7"/>
        <v>0</v>
      </c>
      <c r="AH83" s="599">
        <f t="shared" si="7"/>
        <v>0</v>
      </c>
      <c r="AI83" s="599">
        <f t="shared" si="7"/>
        <v>0</v>
      </c>
      <c r="AJ83" s="599">
        <f t="shared" si="7"/>
        <v>0</v>
      </c>
      <c r="AK83" s="599">
        <f t="shared" si="7"/>
        <v>0</v>
      </c>
      <c r="AL83" s="599">
        <f t="shared" si="7"/>
        <v>0</v>
      </c>
      <c r="AM83" s="599">
        <f t="shared" si="7"/>
        <v>0</v>
      </c>
      <c r="AN83" s="599">
        <f t="shared" si="7"/>
        <v>0</v>
      </c>
      <c r="AO83" s="599">
        <f t="shared" si="7"/>
        <v>0</v>
      </c>
      <c r="AP83" s="599">
        <f t="shared" si="7"/>
        <v>0</v>
      </c>
      <c r="AQ83" s="599">
        <f t="shared" si="7"/>
        <v>0</v>
      </c>
      <c r="AR83" s="599">
        <f t="shared" si="7"/>
        <v>0</v>
      </c>
      <c r="AS83" s="599">
        <f t="shared" si="7"/>
        <v>0</v>
      </c>
      <c r="AT83" s="599">
        <f t="shared" si="7"/>
        <v>0</v>
      </c>
      <c r="AU83" s="599">
        <f t="shared" si="7"/>
        <v>0</v>
      </c>
      <c r="AV83" s="599">
        <f t="shared" si="7"/>
        <v>0</v>
      </c>
      <c r="AW83" s="599">
        <f t="shared" si="7"/>
        <v>0</v>
      </c>
      <c r="AX83" s="599">
        <f t="shared" si="7"/>
        <v>0</v>
      </c>
      <c r="AY83" s="599">
        <f t="shared" si="7"/>
        <v>7503.0379999999996</v>
      </c>
      <c r="AZ83" s="599">
        <f t="shared" si="7"/>
        <v>0</v>
      </c>
      <c r="BA83" s="599">
        <f t="shared" si="7"/>
        <v>0</v>
      </c>
      <c r="BB83" s="599">
        <f t="shared" si="7"/>
        <v>0</v>
      </c>
      <c r="BC83" s="599">
        <f t="shared" si="7"/>
        <v>0</v>
      </c>
      <c r="BD83" s="599">
        <f t="shared" si="7"/>
        <v>0</v>
      </c>
      <c r="BE83" s="599">
        <f>SUM(T83:BD83)</f>
        <v>67000</v>
      </c>
    </row>
    <row r="84" spans="2:57">
      <c r="B84" s="1415" t="s">
        <v>558</v>
      </c>
      <c r="C84" s="1416"/>
      <c r="D84" s="1416"/>
      <c r="E84" s="1416"/>
      <c r="F84" s="1416"/>
      <c r="G84" s="1417"/>
      <c r="H84" s="712">
        <f>H83-L66</f>
        <v>0</v>
      </c>
      <c r="I84" s="716"/>
      <c r="J84" s="717"/>
      <c r="K84" s="717"/>
      <c r="L84" s="563"/>
      <c r="M84" s="598"/>
      <c r="N84" s="598"/>
      <c r="O84" s="598"/>
      <c r="P84" s="598"/>
      <c r="Q84" s="715"/>
      <c r="R84" s="715"/>
      <c r="S84" s="598"/>
      <c r="T84" s="688"/>
      <c r="U84" s="688"/>
      <c r="V84" s="688"/>
      <c r="W84" s="688"/>
      <c r="X84" s="688"/>
      <c r="Y84" s="688"/>
      <c r="Z84" s="688"/>
      <c r="AA84" s="688"/>
      <c r="AB84" s="688"/>
      <c r="AC84" s="598"/>
      <c r="AD84" s="598"/>
      <c r="AE84" s="598"/>
      <c r="AF84" s="598"/>
      <c r="AG84" s="598"/>
      <c r="AH84" s="598"/>
      <c r="AI84" s="598"/>
      <c r="AJ84" s="598"/>
      <c r="AK84" s="598"/>
      <c r="AL84" s="598"/>
      <c r="AM84" s="598"/>
      <c r="AN84" s="598"/>
      <c r="AO84" s="598"/>
      <c r="AP84" s="598"/>
      <c r="AQ84" s="598"/>
      <c r="AR84" s="598"/>
      <c r="AS84" s="554"/>
      <c r="AT84" s="554"/>
      <c r="AU84" s="554"/>
      <c r="AV84" s="554"/>
      <c r="AW84" s="554"/>
      <c r="AX84" s="554"/>
      <c r="AY84" s="554"/>
      <c r="AZ84" s="554"/>
      <c r="BA84" s="554"/>
      <c r="BB84" s="554"/>
      <c r="BC84" s="554"/>
      <c r="BD84" s="554"/>
      <c r="BE84" s="554"/>
    </row>
    <row r="85" spans="2:57">
      <c r="B85" s="1415" t="s">
        <v>559</v>
      </c>
      <c r="C85" s="1416"/>
      <c r="D85" s="1416"/>
      <c r="E85" s="1416"/>
      <c r="F85" s="1416"/>
      <c r="G85" s="1417"/>
      <c r="H85" s="747">
        <f>H82-H83</f>
        <v>0</v>
      </c>
      <c r="I85" s="716"/>
      <c r="J85" s="717"/>
      <c r="K85" s="717"/>
      <c r="L85" s="563"/>
      <c r="M85" s="598"/>
      <c r="N85" s="598"/>
      <c r="O85" s="598"/>
      <c r="P85" s="598"/>
      <c r="Q85" s="598"/>
      <c r="R85" s="598"/>
      <c r="S85" s="598"/>
      <c r="T85" s="688"/>
      <c r="U85" s="688"/>
      <c r="V85" s="688"/>
      <c r="W85" s="688"/>
      <c r="X85" s="688"/>
      <c r="Y85" s="688"/>
      <c r="Z85" s="688"/>
      <c r="AA85" s="688"/>
      <c r="AB85" s="688"/>
      <c r="AC85" s="598"/>
      <c r="AD85" s="598"/>
      <c r="AE85" s="598"/>
      <c r="AF85" s="598"/>
      <c r="AG85" s="598"/>
      <c r="AH85" s="598"/>
      <c r="AI85" s="598"/>
      <c r="AJ85" s="598"/>
      <c r="AK85" s="598"/>
      <c r="AL85" s="598"/>
      <c r="AM85" s="598"/>
      <c r="AN85" s="598"/>
      <c r="AO85" s="598"/>
      <c r="AP85" s="598"/>
      <c r="AQ85" s="598"/>
      <c r="AR85" s="598"/>
      <c r="AS85" s="554"/>
      <c r="AT85" s="554"/>
      <c r="AU85" s="554"/>
      <c r="AV85" s="554"/>
      <c r="AW85" s="554"/>
      <c r="AX85" s="554"/>
      <c r="AY85" s="554"/>
      <c r="AZ85" s="554"/>
      <c r="BA85" s="554"/>
      <c r="BB85" s="554"/>
      <c r="BC85" s="554"/>
      <c r="BD85" s="554"/>
      <c r="BE85" s="554"/>
    </row>
    <row r="86" spans="2:57" ht="11.25" customHeight="1">
      <c r="B86" s="1415" t="s">
        <v>560</v>
      </c>
      <c r="C86" s="1416"/>
      <c r="D86" s="1416"/>
      <c r="E86" s="1416"/>
      <c r="F86" s="1416"/>
      <c r="G86" s="1417"/>
      <c r="H86" s="741">
        <f>H85-258.795</f>
        <v>-258.79500000000002</v>
      </c>
      <c r="I86" s="641"/>
      <c r="J86" s="642"/>
      <c r="K86" s="642"/>
      <c r="L86" s="499"/>
      <c r="M86" s="613"/>
      <c r="N86" s="613"/>
      <c r="O86" s="613"/>
      <c r="P86" s="613"/>
      <c r="Q86" s="613"/>
      <c r="R86" s="613"/>
      <c r="S86" s="616"/>
      <c r="T86" s="616"/>
      <c r="U86" s="616"/>
      <c r="V86" s="616"/>
      <c r="W86" s="616"/>
      <c r="X86" s="616"/>
      <c r="Y86" s="616"/>
      <c r="Z86" s="616"/>
      <c r="AA86" s="616"/>
      <c r="AB86" s="613">
        <f>-(H85*0.6)</f>
        <v>0</v>
      </c>
      <c r="AC86" s="613">
        <f>-(H85*0.4)</f>
        <v>0</v>
      </c>
      <c r="AD86" s="613"/>
      <c r="AE86" s="613"/>
      <c r="AF86" s="613"/>
      <c r="AG86" s="613"/>
      <c r="AH86" s="613"/>
      <c r="AI86" s="613"/>
      <c r="AJ86" s="613"/>
      <c r="AK86" s="613"/>
      <c r="AL86" s="613"/>
      <c r="AM86" s="613"/>
      <c r="AN86" s="613"/>
      <c r="AO86" s="613"/>
      <c r="AP86" s="613"/>
      <c r="AQ86" s="613"/>
      <c r="AR86" s="496"/>
      <c r="AS86" s="496"/>
      <c r="AT86" s="496"/>
      <c r="AU86" s="496"/>
      <c r="AV86" s="496"/>
      <c r="AW86" s="496"/>
      <c r="AX86" s="496"/>
      <c r="AY86" s="496"/>
      <c r="AZ86" s="496"/>
      <c r="BA86" s="496"/>
    </row>
    <row r="87" spans="2:57">
      <c r="B87" s="598"/>
      <c r="C87" s="598"/>
      <c r="D87" s="598"/>
      <c r="E87" s="598"/>
      <c r="F87" s="598"/>
      <c r="G87" s="598"/>
      <c r="H87" s="598"/>
      <c r="I87" s="718"/>
      <c r="J87" s="716"/>
      <c r="K87" s="716"/>
      <c r="L87" s="719"/>
      <c r="M87" s="598"/>
      <c r="N87" s="598"/>
      <c r="O87" s="716"/>
      <c r="P87" s="598"/>
      <c r="Q87" s="598"/>
      <c r="R87" s="598"/>
      <c r="S87" s="598"/>
      <c r="T87" s="688"/>
      <c r="U87" s="688"/>
      <c r="V87" s="688"/>
      <c r="W87" s="688"/>
      <c r="X87" s="688"/>
      <c r="Y87" s="688"/>
      <c r="Z87" s="688"/>
      <c r="AA87" s="688"/>
      <c r="AB87" s="688"/>
      <c r="AC87" s="598"/>
      <c r="AD87" s="598"/>
      <c r="AE87" s="598"/>
      <c r="AF87" s="598"/>
      <c r="AG87" s="598"/>
      <c r="AH87" s="598"/>
      <c r="AI87" s="598"/>
      <c r="AJ87" s="598"/>
      <c r="AK87" s="598"/>
      <c r="AL87" s="598"/>
      <c r="AM87" s="598"/>
      <c r="AN87" s="598"/>
      <c r="AO87" s="598"/>
      <c r="AP87" s="598"/>
      <c r="AQ87" s="598"/>
      <c r="AR87" s="598"/>
      <c r="AS87" s="554"/>
      <c r="AT87" s="554"/>
      <c r="AU87" s="554"/>
      <c r="AV87" s="554"/>
      <c r="AW87" s="554"/>
      <c r="AX87" s="554"/>
      <c r="AY87" s="554"/>
      <c r="AZ87" s="554"/>
      <c r="BA87" s="554"/>
      <c r="BB87" s="554"/>
      <c r="BC87" s="554"/>
      <c r="BD87" s="554"/>
      <c r="BE87" s="554"/>
    </row>
    <row r="88" spans="2:57">
      <c r="B88" s="693" t="s">
        <v>561</v>
      </c>
      <c r="C88" s="693"/>
      <c r="D88" s="598"/>
      <c r="E88" s="598"/>
      <c r="F88" s="598"/>
      <c r="G88" s="598"/>
      <c r="H88" s="598"/>
      <c r="I88" s="598"/>
      <c r="J88" s="716"/>
      <c r="K88" s="716"/>
      <c r="L88" s="719"/>
      <c r="M88" s="598"/>
      <c r="N88" s="598"/>
      <c r="O88" s="716"/>
      <c r="P88" s="688"/>
      <c r="Q88" s="688"/>
      <c r="R88" s="688"/>
      <c r="S88" s="688"/>
      <c r="T88" s="688"/>
      <c r="U88" s="688"/>
      <c r="V88" s="688"/>
      <c r="W88" s="688"/>
      <c r="X88" s="688"/>
      <c r="Y88" s="688"/>
      <c r="Z88" s="688"/>
      <c r="AA88" s="688"/>
      <c r="AB88" s="598"/>
      <c r="AC88" s="598"/>
      <c r="AD88" s="598"/>
      <c r="AE88" s="598"/>
      <c r="AF88" s="598"/>
      <c r="AG88" s="598"/>
      <c r="AH88" s="598"/>
      <c r="AI88" s="598"/>
      <c r="AJ88" s="598"/>
      <c r="AK88" s="598"/>
      <c r="AL88" s="598"/>
      <c r="AM88" s="598"/>
      <c r="AN88" s="598"/>
      <c r="AO88" s="598"/>
      <c r="AP88" s="598"/>
      <c r="AQ88" s="598"/>
      <c r="AR88" s="598"/>
      <c r="AS88" s="598"/>
      <c r="AT88" s="598"/>
      <c r="AU88" s="598"/>
      <c r="AV88" s="554"/>
      <c r="AW88" s="554"/>
      <c r="AX88" s="554"/>
      <c r="AY88" s="554"/>
      <c r="AZ88" s="554"/>
      <c r="BA88" s="554"/>
      <c r="BB88" s="554"/>
      <c r="BC88" s="554"/>
      <c r="BD88" s="554"/>
      <c r="BE88" s="598"/>
    </row>
    <row r="89" spans="2:57">
      <c r="B89" s="422">
        <v>1</v>
      </c>
      <c r="C89" s="1249" t="s">
        <v>3724</v>
      </c>
      <c r="D89" s="1249"/>
      <c r="E89" s="1249"/>
      <c r="F89" s="1249"/>
      <c r="G89" s="1249"/>
      <c r="H89" s="1249"/>
      <c r="I89" s="1249"/>
      <c r="J89" s="1249"/>
      <c r="K89" s="1249"/>
      <c r="L89" s="719"/>
      <c r="M89" s="719"/>
      <c r="N89" s="598"/>
      <c r="O89" s="716"/>
      <c r="P89" s="688"/>
      <c r="Q89" s="688"/>
      <c r="R89" s="688"/>
      <c r="S89" s="688"/>
      <c r="T89" s="688"/>
      <c r="U89" s="688"/>
      <c r="V89" s="688"/>
      <c r="W89" s="688"/>
      <c r="X89" s="688"/>
      <c r="Y89" s="688"/>
      <c r="Z89" s="688"/>
      <c r="AA89" s="688"/>
      <c r="AB89" s="598"/>
      <c r="AC89" s="598"/>
      <c r="AD89" s="598"/>
      <c r="AE89" s="598"/>
      <c r="AF89" s="598"/>
      <c r="AG89" s="598"/>
      <c r="AH89" s="598"/>
      <c r="AI89" s="598"/>
      <c r="AJ89" s="598"/>
      <c r="AK89" s="598"/>
      <c r="AL89" s="598"/>
      <c r="AM89" s="598"/>
      <c r="AN89" s="598"/>
      <c r="AO89" s="598"/>
      <c r="AP89" s="598"/>
      <c r="AQ89" s="598"/>
      <c r="AR89" s="598"/>
      <c r="AS89" s="598"/>
      <c r="AT89" s="598"/>
      <c r="AU89" s="598"/>
      <c r="AV89" s="598"/>
      <c r="AW89" s="598"/>
      <c r="AX89" s="598"/>
      <c r="AY89" s="598"/>
      <c r="AZ89" s="598"/>
      <c r="BA89" s="598"/>
      <c r="BB89" s="598"/>
      <c r="BC89" s="598"/>
      <c r="BD89" s="598"/>
      <c r="BE89" s="598"/>
    </row>
    <row r="91" spans="2:57">
      <c r="B91" s="680" t="s">
        <v>126</v>
      </c>
      <c r="C91" s="680"/>
      <c r="D91" s="681"/>
      <c r="E91" s="682" t="s">
        <v>511</v>
      </c>
      <c r="F91" s="683" t="s">
        <v>230</v>
      </c>
      <c r="G91" s="598"/>
      <c r="H91" s="684"/>
      <c r="I91" s="685"/>
      <c r="J91" s="686" t="s">
        <v>513</v>
      </c>
      <c r="K91" s="687" t="s">
        <v>511</v>
      </c>
      <c r="L91" s="516">
        <v>45237.236111111109</v>
      </c>
      <c r="M91" s="598"/>
      <c r="N91" s="598"/>
      <c r="O91" s="687"/>
      <c r="P91" s="684"/>
      <c r="Q91" s="688"/>
      <c r="R91" s="689"/>
      <c r="S91" s="690"/>
      <c r="T91" s="598"/>
      <c r="U91" s="598"/>
      <c r="V91" s="598"/>
      <c r="W91" s="598"/>
      <c r="X91" s="598"/>
      <c r="Y91" s="598"/>
      <c r="Z91" s="598"/>
      <c r="AA91" s="598"/>
      <c r="AB91" s="688"/>
      <c r="AC91" s="688"/>
      <c r="AD91" s="688"/>
      <c r="AE91" s="688"/>
      <c r="AF91" s="688"/>
      <c r="AG91" s="598"/>
      <c r="AH91" s="598"/>
      <c r="AI91" s="598"/>
      <c r="AJ91" s="598"/>
      <c r="AK91" s="598"/>
      <c r="AL91" s="598"/>
      <c r="AM91" s="598"/>
      <c r="AN91" s="598"/>
      <c r="AO91" s="598"/>
      <c r="AP91" s="598"/>
      <c r="AQ91" s="598"/>
      <c r="AR91" s="598"/>
      <c r="AS91" s="598"/>
      <c r="AT91" s="598"/>
      <c r="AU91" s="598"/>
      <c r="AV91" s="598"/>
      <c r="AW91" s="598"/>
      <c r="AX91" s="598"/>
      <c r="AY91" s="598"/>
      <c r="AZ91" s="598"/>
      <c r="BA91" s="598"/>
      <c r="BB91" s="598"/>
      <c r="BC91" s="598"/>
      <c r="BD91" s="598"/>
      <c r="BE91" s="598"/>
    </row>
    <row r="92" spans="2:57">
      <c r="B92" s="686" t="s">
        <v>514</v>
      </c>
      <c r="C92" s="686"/>
      <c r="D92" s="598"/>
      <c r="E92" s="687" t="s">
        <v>511</v>
      </c>
      <c r="F92" s="691" t="s">
        <v>3725</v>
      </c>
      <c r="G92" s="59" t="s">
        <v>1411</v>
      </c>
      <c r="H92" s="684"/>
      <c r="I92" s="685"/>
      <c r="J92" s="686" t="s">
        <v>516</v>
      </c>
      <c r="K92" s="687" t="s">
        <v>511</v>
      </c>
      <c r="L92" s="516">
        <v>45238.993055555555</v>
      </c>
      <c r="M92" s="598"/>
      <c r="N92" s="598"/>
      <c r="O92" s="687"/>
      <c r="P92" s="684"/>
      <c r="Q92" s="688"/>
      <c r="R92" s="689"/>
      <c r="S92" s="690"/>
      <c r="T92" s="598"/>
      <c r="U92" s="598"/>
      <c r="V92" s="598"/>
      <c r="W92" s="598"/>
      <c r="X92" s="598"/>
      <c r="Y92" s="598"/>
      <c r="Z92" s="598"/>
      <c r="AA92" s="598"/>
      <c r="AB92" s="688"/>
      <c r="AC92" s="688"/>
      <c r="AD92" s="688"/>
      <c r="AE92" s="688"/>
      <c r="AF92" s="688"/>
      <c r="AG92" s="598"/>
      <c r="AH92" s="598"/>
      <c r="AI92" s="598"/>
      <c r="AJ92" s="598"/>
      <c r="AK92" s="598"/>
      <c r="AL92" s="598"/>
      <c r="AM92" s="598"/>
      <c r="AN92" s="598"/>
      <c r="AO92" s="598"/>
      <c r="AP92" s="598"/>
      <c r="AQ92" s="598"/>
      <c r="AR92" s="598"/>
      <c r="AS92" s="598"/>
      <c r="AT92" s="598"/>
      <c r="AU92" s="598"/>
      <c r="AV92" s="598"/>
      <c r="AW92" s="598"/>
      <c r="AX92" s="598"/>
      <c r="AY92" s="598"/>
      <c r="AZ92" s="598"/>
      <c r="BA92" s="598"/>
      <c r="BB92" s="598"/>
      <c r="BC92" s="598"/>
      <c r="BD92" s="598"/>
      <c r="BE92" s="598"/>
    </row>
    <row r="93" spans="2:57">
      <c r="B93" s="686" t="s">
        <v>517</v>
      </c>
      <c r="C93" s="686"/>
      <c r="D93" s="598"/>
      <c r="E93" s="687" t="s">
        <v>511</v>
      </c>
      <c r="F93" s="516">
        <v>45226.05</v>
      </c>
      <c r="G93" s="769">
        <v>45231</v>
      </c>
      <c r="H93" s="684"/>
      <c r="I93" s="685"/>
      <c r="J93" s="686" t="s">
        <v>518</v>
      </c>
      <c r="K93" s="687" t="s">
        <v>511</v>
      </c>
      <c r="L93" s="692">
        <v>55600</v>
      </c>
      <c r="M93" s="693" t="s">
        <v>519</v>
      </c>
      <c r="N93" s="693"/>
      <c r="O93" s="687"/>
      <c r="P93" s="684"/>
      <c r="Q93" s="688"/>
      <c r="R93" s="689"/>
      <c r="S93" s="690"/>
      <c r="T93" s="598"/>
      <c r="U93" s="598"/>
      <c r="V93" s="598"/>
      <c r="W93" s="598"/>
      <c r="X93" s="598"/>
      <c r="Y93" s="598"/>
      <c r="Z93" s="598"/>
      <c r="AA93" s="598"/>
      <c r="AB93" s="688"/>
      <c r="AC93" s="688"/>
      <c r="AD93" s="688"/>
      <c r="AE93" s="688"/>
      <c r="AF93" s="688"/>
      <c r="AG93" s="598"/>
      <c r="AH93" s="598"/>
      <c r="AI93" s="598"/>
      <c r="AJ93" s="598"/>
      <c r="AK93" s="598"/>
      <c r="AL93" s="598"/>
      <c r="AM93" s="598"/>
      <c r="AN93" s="598"/>
      <c r="AO93" s="598"/>
      <c r="AP93" s="598"/>
      <c r="AQ93" s="598"/>
      <c r="AR93" s="598"/>
      <c r="AS93" s="598"/>
      <c r="AT93" s="598"/>
      <c r="AU93" s="598"/>
      <c r="AV93" s="598"/>
      <c r="AW93" s="598"/>
      <c r="AX93" s="598"/>
      <c r="AY93" s="598"/>
      <c r="AZ93" s="598"/>
      <c r="BA93" s="598"/>
      <c r="BB93" s="598"/>
      <c r="BC93" s="598"/>
      <c r="BD93" s="598"/>
      <c r="BE93" s="598"/>
    </row>
    <row r="94" spans="2:57">
      <c r="B94" s="686" t="s">
        <v>520</v>
      </c>
      <c r="C94" s="686"/>
      <c r="D94" s="598"/>
      <c r="E94" s="687" t="s">
        <v>511</v>
      </c>
      <c r="F94" s="516" t="s">
        <v>4</v>
      </c>
      <c r="G94" s="598"/>
      <c r="H94" s="684"/>
      <c r="I94" s="685"/>
      <c r="J94" s="686" t="s">
        <v>521</v>
      </c>
      <c r="K94" s="687" t="s">
        <v>511</v>
      </c>
      <c r="L94" s="839" t="s">
        <v>3130</v>
      </c>
      <c r="M94" s="598"/>
      <c r="N94" s="598"/>
      <c r="O94" s="687"/>
      <c r="P94" s="688"/>
      <c r="Q94" s="688"/>
      <c r="R94" s="689"/>
      <c r="S94" s="690"/>
      <c r="T94" s="598"/>
      <c r="U94" s="598"/>
      <c r="V94" s="598"/>
      <c r="W94" s="598"/>
      <c r="X94" s="598"/>
      <c r="Y94" s="598"/>
      <c r="Z94" s="598"/>
      <c r="AA94" s="598"/>
      <c r="AB94" s="688"/>
      <c r="AC94" s="688"/>
      <c r="AD94" s="688"/>
      <c r="AE94" s="688"/>
      <c r="AF94" s="688"/>
      <c r="AG94" s="598"/>
      <c r="AH94" s="598"/>
      <c r="AI94" s="598"/>
      <c r="AJ94" s="598"/>
      <c r="AK94" s="598"/>
      <c r="AL94" s="598"/>
      <c r="AM94" s="598"/>
      <c r="AN94" s="598"/>
      <c r="AO94" s="598"/>
      <c r="AP94" s="598"/>
      <c r="AQ94" s="598"/>
      <c r="AR94" s="598"/>
      <c r="AS94" s="598"/>
      <c r="AT94" s="598"/>
      <c r="AU94" s="598"/>
      <c r="AV94" s="598"/>
      <c r="AW94" s="598"/>
      <c r="AX94" s="598"/>
      <c r="AY94" s="598"/>
      <c r="AZ94" s="598"/>
      <c r="BA94" s="598"/>
      <c r="BB94" s="598"/>
      <c r="BC94" s="598"/>
      <c r="BD94" s="598"/>
      <c r="BE94" s="598"/>
    </row>
    <row r="95" spans="2:57">
      <c r="B95" s="686" t="s">
        <v>523</v>
      </c>
      <c r="C95" s="686"/>
      <c r="D95" s="598"/>
      <c r="E95" s="687" t="s">
        <v>511</v>
      </c>
      <c r="F95" s="516" t="s">
        <v>5</v>
      </c>
      <c r="G95" s="598"/>
      <c r="H95" s="684"/>
      <c r="I95" s="685"/>
      <c r="J95" s="686" t="s">
        <v>524</v>
      </c>
      <c r="K95" s="687" t="s">
        <v>511</v>
      </c>
      <c r="L95" s="694" t="s">
        <v>11</v>
      </c>
      <c r="M95" s="695"/>
      <c r="N95" s="695"/>
      <c r="O95" s="687"/>
      <c r="P95" s="684"/>
      <c r="Q95" s="688"/>
      <c r="R95" s="689"/>
      <c r="S95" s="690"/>
      <c r="T95" s="598"/>
      <c r="U95" s="598"/>
      <c r="V95" s="598"/>
      <c r="W95" s="598"/>
      <c r="X95" s="598"/>
      <c r="Y95" s="598"/>
      <c r="Z95" s="598"/>
      <c r="AA95" s="598"/>
      <c r="AB95" s="688"/>
      <c r="AC95" s="688"/>
      <c r="AD95" s="688"/>
      <c r="AE95" s="688"/>
      <c r="AF95" s="688"/>
      <c r="AG95" s="598"/>
      <c r="AH95" s="598"/>
      <c r="AI95" s="598"/>
      <c r="AJ95" s="598"/>
      <c r="AK95" s="598"/>
      <c r="AL95" s="598"/>
      <c r="AM95" s="598"/>
      <c r="AN95" s="598"/>
      <c r="AO95" s="598"/>
      <c r="AP95" s="598"/>
      <c r="AQ95" s="598"/>
      <c r="AR95" s="598"/>
      <c r="AS95" s="598"/>
      <c r="AT95" s="598"/>
      <c r="AU95" s="598"/>
      <c r="AV95" s="598"/>
      <c r="AW95" s="598"/>
      <c r="AX95" s="598"/>
      <c r="AY95" s="598"/>
      <c r="AZ95" s="598"/>
      <c r="BA95" s="598"/>
      <c r="BB95" s="598"/>
      <c r="BC95" s="598"/>
      <c r="BD95" s="598"/>
      <c r="BE95" s="598"/>
    </row>
    <row r="96" spans="2:57">
      <c r="B96" s="686" t="s">
        <v>2</v>
      </c>
      <c r="C96" s="686"/>
      <c r="D96" s="598"/>
      <c r="E96" s="687" t="s">
        <v>511</v>
      </c>
      <c r="F96" s="516" t="s">
        <v>14</v>
      </c>
      <c r="G96" s="598"/>
      <c r="H96" s="684"/>
      <c r="I96" s="696"/>
      <c r="J96" s="686"/>
      <c r="K96" s="687"/>
      <c r="L96" s="516"/>
      <c r="M96" s="598"/>
      <c r="N96" s="598"/>
      <c r="O96" s="686"/>
      <c r="P96" s="695"/>
      <c r="Q96" s="695"/>
      <c r="R96" s="695"/>
      <c r="S96" s="685"/>
      <c r="T96" s="598"/>
      <c r="U96" s="598"/>
      <c r="V96" s="598"/>
      <c r="W96" s="598"/>
      <c r="X96" s="598"/>
      <c r="Y96" s="598"/>
      <c r="Z96" s="598"/>
      <c r="AA96" s="598"/>
      <c r="AB96" s="685"/>
      <c r="AC96" s="685"/>
      <c r="AD96" s="685"/>
      <c r="AE96" s="685"/>
      <c r="AF96" s="685"/>
      <c r="AG96" s="685"/>
      <c r="AH96" s="685"/>
      <c r="AI96" s="685"/>
      <c r="AJ96" s="685"/>
      <c r="AK96" s="685"/>
      <c r="AL96" s="685"/>
      <c r="AM96" s="685"/>
      <c r="AN96" s="685"/>
      <c r="AO96" s="598"/>
      <c r="AP96" s="598"/>
      <c r="AQ96" s="598"/>
      <c r="AR96" s="598"/>
      <c r="AS96" s="598"/>
      <c r="AT96" s="598"/>
      <c r="AU96" s="598"/>
      <c r="AV96" s="598"/>
      <c r="AW96" s="598"/>
      <c r="AX96" s="598"/>
      <c r="AY96" s="598"/>
      <c r="AZ96" s="598"/>
      <c r="BA96" s="598"/>
      <c r="BB96" s="598"/>
      <c r="BC96" s="598"/>
      <c r="BD96" s="598"/>
      <c r="BE96" s="598"/>
    </row>
    <row r="97" spans="2:57">
      <c r="B97" s="598"/>
      <c r="C97" s="598"/>
      <c r="D97" s="598"/>
      <c r="E97" s="598"/>
      <c r="F97" s="598"/>
      <c r="G97" s="598"/>
      <c r="H97" s="598"/>
      <c r="I97" s="696"/>
      <c r="J97" s="686"/>
      <c r="K97" s="686"/>
      <c r="L97" s="694"/>
      <c r="M97" s="695"/>
      <c r="N97" s="695"/>
      <c r="O97" s="686"/>
      <c r="P97" s="695"/>
      <c r="Q97" s="695"/>
      <c r="R97" s="695"/>
      <c r="S97" s="685"/>
      <c r="T97" s="1440" t="s">
        <v>87</v>
      </c>
      <c r="U97" s="1440"/>
      <c r="V97" s="1440"/>
      <c r="W97" s="1440"/>
      <c r="X97" s="1440"/>
      <c r="Y97" s="1440" t="s">
        <v>73</v>
      </c>
      <c r="Z97" s="1440"/>
      <c r="AA97" s="1440"/>
      <c r="AB97" s="1440" t="s">
        <v>74</v>
      </c>
      <c r="AC97" s="1440"/>
      <c r="AD97" s="697" t="s">
        <v>85</v>
      </c>
      <c r="AE97" s="840" t="s">
        <v>77</v>
      </c>
      <c r="AF97" s="1465" t="s">
        <v>525</v>
      </c>
      <c r="AG97" s="1465"/>
      <c r="AH97" s="1465"/>
      <c r="AI97" s="1465"/>
      <c r="AJ97" s="1465"/>
      <c r="AK97" s="1465"/>
      <c r="AL97" s="1465"/>
      <c r="AM97" s="1465"/>
      <c r="AN97" s="1465"/>
      <c r="AO97" s="1465"/>
      <c r="AP97" s="1465"/>
      <c r="AQ97" s="1465"/>
      <c r="AR97" s="1465"/>
      <c r="AS97" s="1465"/>
      <c r="AT97" s="1465"/>
      <c r="AU97" s="1465"/>
      <c r="AV97" s="1465"/>
      <c r="AW97" s="1465"/>
      <c r="AX97" s="1465"/>
      <c r="AY97" s="1465"/>
      <c r="AZ97" s="1465"/>
      <c r="BA97" s="1465"/>
      <c r="BB97" s="1465"/>
      <c r="BC97" s="1465"/>
      <c r="BD97" s="1465"/>
      <c r="BE97" s="598"/>
    </row>
    <row r="98" spans="2:57">
      <c r="B98" s="1441" t="s">
        <v>526</v>
      </c>
      <c r="C98" s="1442"/>
      <c r="D98" s="698" t="s">
        <v>527</v>
      </c>
      <c r="E98" s="698"/>
      <c r="F98" s="698" t="s">
        <v>528</v>
      </c>
      <c r="G98" s="698" t="s">
        <v>529</v>
      </c>
      <c r="H98" s="698" t="s">
        <v>530</v>
      </c>
      <c r="I98" s="698" t="s">
        <v>531</v>
      </c>
      <c r="J98" s="698" t="s">
        <v>532</v>
      </c>
      <c r="K98" s="698"/>
      <c r="L98" s="698" t="s">
        <v>130</v>
      </c>
      <c r="M98" s="698" t="s">
        <v>533</v>
      </c>
      <c r="N98" s="625" t="str">
        <f>"On time - "&amp;COUNTIF(N99:N115,"On time")&amp;" from "&amp;ROWS(N99:N115)-COUNTIF(N99:N115," ")</f>
        <v>On time - 0 from 8</v>
      </c>
      <c r="O98" s="699"/>
      <c r="P98" s="700" t="s">
        <v>534</v>
      </c>
      <c r="Q98" s="700" t="s">
        <v>535</v>
      </c>
      <c r="R98" s="700" t="s">
        <v>536</v>
      </c>
      <c r="S98" s="598"/>
      <c r="T98" s="701" t="s">
        <v>537</v>
      </c>
      <c r="U98" s="701" t="s">
        <v>538</v>
      </c>
      <c r="V98" s="701" t="s">
        <v>539</v>
      </c>
      <c r="W98" s="701" t="s">
        <v>540</v>
      </c>
      <c r="X98" s="701" t="s">
        <v>541</v>
      </c>
      <c r="Y98" s="701" t="s">
        <v>167</v>
      </c>
      <c r="Z98" s="701" t="s">
        <v>168</v>
      </c>
      <c r="AA98" s="701" t="s">
        <v>169</v>
      </c>
      <c r="AB98" s="701" t="s">
        <v>235</v>
      </c>
      <c r="AC98" s="701" t="s">
        <v>240</v>
      </c>
      <c r="AD98" s="697" t="s">
        <v>85</v>
      </c>
      <c r="AE98" s="701" t="s">
        <v>139</v>
      </c>
      <c r="AF98" s="841" t="s">
        <v>72</v>
      </c>
      <c r="AG98" s="841" t="s">
        <v>88</v>
      </c>
      <c r="AH98" s="841" t="s">
        <v>75</v>
      </c>
      <c r="AI98" s="841" t="s">
        <v>543</v>
      </c>
      <c r="AJ98" s="841" t="s">
        <v>78</v>
      </c>
      <c r="AK98" s="841" t="s">
        <v>76</v>
      </c>
      <c r="AL98" s="841" t="s">
        <v>544</v>
      </c>
      <c r="AM98" s="841" t="s">
        <v>545</v>
      </c>
      <c r="AN98" s="841" t="s">
        <v>86</v>
      </c>
      <c r="AO98" s="841" t="s">
        <v>83</v>
      </c>
      <c r="AP98" s="841" t="s">
        <v>84</v>
      </c>
      <c r="AQ98" s="841" t="s">
        <v>546</v>
      </c>
      <c r="AR98" s="841" t="s">
        <v>81</v>
      </c>
      <c r="AS98" s="841" t="s">
        <v>80</v>
      </c>
      <c r="AT98" s="841" t="s">
        <v>82</v>
      </c>
      <c r="AU98" s="841" t="s">
        <v>181</v>
      </c>
      <c r="AV98" s="841" t="s">
        <v>183</v>
      </c>
      <c r="AW98" s="841" t="s">
        <v>547</v>
      </c>
      <c r="AX98" s="841" t="s">
        <v>182</v>
      </c>
      <c r="AY98" s="841" t="s">
        <v>172</v>
      </c>
      <c r="AZ98" s="841" t="s">
        <v>173</v>
      </c>
      <c r="BA98" s="841" t="s">
        <v>184</v>
      </c>
      <c r="BB98" s="841" t="s">
        <v>100</v>
      </c>
      <c r="BC98" s="841" t="s">
        <v>913</v>
      </c>
      <c r="BD98" s="841" t="s">
        <v>2747</v>
      </c>
      <c r="BE98" s="598"/>
    </row>
    <row r="99" spans="2:57">
      <c r="B99" s="1328" t="s">
        <v>616</v>
      </c>
      <c r="C99" s="1329"/>
      <c r="D99" s="836" t="s">
        <v>3484</v>
      </c>
      <c r="E99" s="585"/>
      <c r="F99" s="501" t="s">
        <v>301</v>
      </c>
      <c r="G99" s="501" t="s">
        <v>302</v>
      </c>
      <c r="H99" s="629">
        <v>9229.3700000000008</v>
      </c>
      <c r="I99" s="505" t="s">
        <v>235</v>
      </c>
      <c r="J99" s="504">
        <v>45236.579861111109</v>
      </c>
      <c r="K99" s="504"/>
      <c r="L99" s="504" t="s">
        <v>192</v>
      </c>
      <c r="M99" s="504" t="s">
        <v>192</v>
      </c>
      <c r="N99" s="505" t="str">
        <f>IF(ISBLANK(J99)," ",IF(J99&lt;$G$93,"On time",(IF(DAY(J99-$G$93)&lt;1,"On time",(IF(J99&gt;$G$93,"DELAY ( "&amp;DAY(J99-$G$93)&amp;" day "&amp;HOUR(J99-$G$93)&amp;" hour "&amp;MINUTE(J99-$G$93)&amp;" minute )","xxx"))))))</f>
        <v>DELAY ( 5 day 13 hour 55 minute )</v>
      </c>
      <c r="O99" s="597"/>
      <c r="P99" s="507" t="s">
        <v>551</v>
      </c>
      <c r="Q99" s="507" t="s">
        <v>551</v>
      </c>
      <c r="R99" s="507" t="s">
        <v>551</v>
      </c>
      <c r="S99" s="598"/>
      <c r="T99" s="599"/>
      <c r="U99" s="599"/>
      <c r="V99" s="599"/>
      <c r="W99" s="599"/>
      <c r="X99" s="599"/>
      <c r="Y99" s="599"/>
      <c r="Z99" s="599"/>
      <c r="AA99" s="599"/>
      <c r="AB99" s="599">
        <f>H99</f>
        <v>9229.3700000000008</v>
      </c>
      <c r="AC99" s="599"/>
      <c r="AD99" s="599"/>
      <c r="AE99" s="599"/>
      <c r="AF99" s="599"/>
      <c r="AG99" s="599"/>
      <c r="AH99" s="599"/>
      <c r="AI99" s="599"/>
      <c r="AJ99" s="599"/>
      <c r="AK99" s="598"/>
      <c r="AL99" s="599"/>
      <c r="AM99" s="599"/>
      <c r="AN99" s="599"/>
      <c r="AO99" s="599"/>
      <c r="AP99" s="599"/>
      <c r="AQ99" s="599"/>
      <c r="AR99" s="599"/>
      <c r="AS99" s="599"/>
      <c r="AT99" s="599"/>
      <c r="AU99" s="599"/>
      <c r="AV99" s="599"/>
      <c r="AW99" s="599"/>
      <c r="AX99" s="599"/>
      <c r="AY99" s="599"/>
      <c r="AZ99" s="599"/>
      <c r="BA99" s="599"/>
      <c r="BB99" s="599"/>
      <c r="BC99" s="599"/>
      <c r="BD99" s="599"/>
      <c r="BE99" s="598"/>
    </row>
    <row r="100" spans="2:57">
      <c r="B100" s="1328" t="s">
        <v>616</v>
      </c>
      <c r="C100" s="1329"/>
      <c r="D100" s="501" t="s">
        <v>3483</v>
      </c>
      <c r="E100" s="585"/>
      <c r="F100" s="501" t="s">
        <v>2800</v>
      </c>
      <c r="G100" s="501" t="s">
        <v>2801</v>
      </c>
      <c r="H100" s="629">
        <v>5313.5290000000005</v>
      </c>
      <c r="I100" s="505" t="s">
        <v>235</v>
      </c>
      <c r="J100" s="504">
        <v>45236.770833333336</v>
      </c>
      <c r="K100" s="504"/>
      <c r="L100" s="504" t="s">
        <v>192</v>
      </c>
      <c r="M100" s="504" t="s">
        <v>192</v>
      </c>
      <c r="N100" s="505" t="str">
        <f t="shared" ref="N100:N115" si="8">IF(ISBLANK(J100)," ",IF(J100&lt;$G$93,"On time",(IF(DAY(J100-$G$93)&lt;1,"On time",(IF(J100&gt;$G$93,"DELAY ( "&amp;DAY(J100-$G$93)&amp;" day "&amp;HOUR(J100-$G$93)&amp;" hour "&amp;MINUTE(J100-$G$93)&amp;" minute )","xxx"))))))</f>
        <v>DELAY ( 5 day 18 hour 30 minute )</v>
      </c>
      <c r="O100" s="597"/>
      <c r="P100" s="507" t="s">
        <v>551</v>
      </c>
      <c r="Q100" s="507" t="s">
        <v>551</v>
      </c>
      <c r="R100" s="507" t="s">
        <v>551</v>
      </c>
      <c r="S100" s="598"/>
      <c r="T100" s="599"/>
      <c r="U100" s="599"/>
      <c r="V100" s="599"/>
      <c r="W100" s="599"/>
      <c r="X100" s="599"/>
      <c r="Y100" s="599"/>
      <c r="Z100" s="599"/>
      <c r="AA100" s="599"/>
      <c r="AB100" s="599">
        <f>H100</f>
        <v>5313.5290000000005</v>
      </c>
      <c r="AC100" s="599"/>
      <c r="AD100" s="599"/>
      <c r="AE100" s="599"/>
      <c r="AF100" s="599"/>
      <c r="AG100" s="599"/>
      <c r="AH100" s="599"/>
      <c r="AI100" s="599"/>
      <c r="AJ100" s="599"/>
      <c r="AK100" s="599"/>
      <c r="AL100" s="599"/>
      <c r="AM100" s="599"/>
      <c r="AN100" s="599"/>
      <c r="AO100" s="599"/>
      <c r="AP100" s="599"/>
      <c r="AQ100" s="599"/>
      <c r="AR100" s="599"/>
      <c r="AS100" s="599"/>
      <c r="AT100" s="599"/>
      <c r="AU100" s="599"/>
      <c r="AV100" s="599"/>
      <c r="AW100" s="599"/>
      <c r="AX100" s="599"/>
      <c r="AY100" s="599"/>
      <c r="AZ100" s="599"/>
      <c r="BA100" s="599"/>
      <c r="BB100" s="599"/>
      <c r="BC100" s="599"/>
      <c r="BD100" s="599"/>
      <c r="BE100" s="598"/>
    </row>
    <row r="101" spans="2:57">
      <c r="B101" s="1351" t="s">
        <v>1721</v>
      </c>
      <c r="C101" s="1352"/>
      <c r="D101" s="1352"/>
      <c r="E101" s="1352"/>
      <c r="F101" s="1352"/>
      <c r="G101" s="1353"/>
      <c r="H101" s="702">
        <f>SUM(H99:H100)</f>
        <v>14542.899000000001</v>
      </c>
      <c r="I101" s="703"/>
      <c r="J101" s="704"/>
      <c r="K101" s="704"/>
      <c r="L101" s="704"/>
      <c r="M101" s="705"/>
      <c r="N101" s="505" t="str">
        <f t="shared" si="8"/>
        <v xml:space="preserve"> </v>
      </c>
      <c r="O101" s="552"/>
      <c r="P101" s="706"/>
      <c r="Q101" s="706"/>
      <c r="R101" s="706"/>
      <c r="S101" s="598"/>
      <c r="T101" s="599"/>
      <c r="U101" s="599"/>
      <c r="V101" s="599"/>
      <c r="W101" s="599"/>
      <c r="X101" s="599"/>
      <c r="Y101" s="599"/>
      <c r="Z101" s="599"/>
      <c r="AA101" s="599"/>
      <c r="AB101" s="599"/>
      <c r="AC101" s="599"/>
      <c r="AD101" s="599"/>
      <c r="AE101" s="599"/>
      <c r="AF101" s="599"/>
      <c r="AG101" s="599"/>
      <c r="AH101" s="599"/>
      <c r="AI101" s="599"/>
      <c r="AJ101" s="599"/>
      <c r="AK101" s="599"/>
      <c r="AL101" s="599"/>
      <c r="AM101" s="599"/>
      <c r="AN101" s="599"/>
      <c r="AO101" s="599"/>
      <c r="AP101" s="599"/>
      <c r="AQ101" s="599"/>
      <c r="AR101" s="599"/>
      <c r="AS101" s="599"/>
      <c r="AT101" s="599"/>
      <c r="AU101" s="599"/>
      <c r="AV101" s="599"/>
      <c r="AW101" s="599"/>
      <c r="AX101" s="599"/>
      <c r="AY101" s="599"/>
      <c r="AZ101" s="599"/>
      <c r="BA101" s="599"/>
      <c r="BB101" s="599"/>
      <c r="BC101" s="599"/>
      <c r="BD101" s="599"/>
      <c r="BE101" s="554"/>
    </row>
    <row r="102" spans="2:57">
      <c r="B102" s="1326" t="s">
        <v>619</v>
      </c>
      <c r="C102" s="1327"/>
      <c r="D102" s="501" t="s">
        <v>3659</v>
      </c>
      <c r="E102" s="501"/>
      <c r="F102" s="501" t="s">
        <v>260</v>
      </c>
      <c r="G102" s="501" t="s">
        <v>261</v>
      </c>
      <c r="H102" s="629">
        <v>7629.0339999999997</v>
      </c>
      <c r="I102" s="505" t="s">
        <v>1372</v>
      </c>
      <c r="J102" s="504">
        <v>45235.541666666664</v>
      </c>
      <c r="K102" s="504"/>
      <c r="L102" s="504" t="s">
        <v>192</v>
      </c>
      <c r="M102" s="504" t="s">
        <v>192</v>
      </c>
      <c r="N102" s="505" t="str">
        <f t="shared" si="8"/>
        <v>DELAY ( 4 day 13 hour 0 minute )</v>
      </c>
      <c r="O102" s="597"/>
      <c r="P102" s="507" t="s">
        <v>551</v>
      </c>
      <c r="Q102" s="507" t="s">
        <v>551</v>
      </c>
      <c r="R102" s="507" t="s">
        <v>551</v>
      </c>
      <c r="S102" s="598"/>
      <c r="T102" s="599"/>
      <c r="U102" s="599"/>
      <c r="V102" s="599"/>
      <c r="W102" s="599"/>
      <c r="X102" s="599"/>
      <c r="Y102" s="599">
        <f>H102*0.7</f>
        <v>5340.3237999999992</v>
      </c>
      <c r="Z102" s="599">
        <f>H102*0.3</f>
        <v>2288.7102</v>
      </c>
      <c r="AA102" s="599"/>
      <c r="AB102" s="599"/>
      <c r="AC102" s="599"/>
      <c r="AD102" s="599"/>
      <c r="AE102" s="599"/>
      <c r="AF102" s="599"/>
      <c r="AG102" s="599"/>
      <c r="AH102" s="599"/>
      <c r="AI102" s="599"/>
      <c r="AJ102" s="599"/>
      <c r="AK102" s="599"/>
      <c r="AL102" s="599"/>
      <c r="AM102" s="599"/>
      <c r="AN102" s="599"/>
      <c r="AO102" s="599"/>
      <c r="AP102" s="598"/>
      <c r="AQ102" s="599"/>
      <c r="AR102" s="599"/>
      <c r="AS102" s="599"/>
      <c r="AT102" s="599"/>
      <c r="AU102" s="599"/>
      <c r="AV102" s="599"/>
      <c r="AW102" s="599"/>
      <c r="AX102" s="599"/>
      <c r="AY102" s="599"/>
      <c r="AZ102" s="599"/>
      <c r="BA102" s="599"/>
      <c r="BB102" s="599"/>
      <c r="BC102" s="599"/>
      <c r="BD102" s="599"/>
      <c r="BE102" s="598"/>
    </row>
    <row r="103" spans="2:57">
      <c r="B103" s="1328"/>
      <c r="C103" s="1329"/>
      <c r="D103" s="501"/>
      <c r="E103" s="501"/>
      <c r="F103" s="1315" t="s">
        <v>616</v>
      </c>
      <c r="G103" s="1316"/>
      <c r="H103" s="629">
        <v>3000</v>
      </c>
      <c r="I103" s="505"/>
      <c r="J103" s="504"/>
      <c r="K103" s="504"/>
      <c r="L103" s="504"/>
      <c r="M103" s="504"/>
      <c r="N103" s="505" t="str">
        <f t="shared" si="8"/>
        <v xml:space="preserve"> </v>
      </c>
      <c r="O103" s="597"/>
      <c r="P103" s="507"/>
      <c r="Q103" s="507"/>
      <c r="R103" s="507"/>
      <c r="S103" s="598"/>
      <c r="T103" s="599"/>
      <c r="U103" s="599"/>
      <c r="V103" s="599"/>
      <c r="W103" s="599"/>
      <c r="X103" s="599"/>
      <c r="Y103" s="599"/>
      <c r="Z103" s="599"/>
      <c r="AA103" s="599"/>
      <c r="AB103" s="599"/>
      <c r="AC103" s="599"/>
      <c r="AD103" s="599"/>
      <c r="AE103" s="599"/>
      <c r="AF103" s="599"/>
      <c r="AG103" s="599"/>
      <c r="AH103" s="599"/>
      <c r="AI103" s="599"/>
      <c r="AJ103" s="599"/>
      <c r="AK103" s="599"/>
      <c r="AL103" s="599"/>
      <c r="AM103" s="599"/>
      <c r="AN103" s="599"/>
      <c r="AO103" s="599"/>
      <c r="AP103" s="598"/>
      <c r="AQ103" s="599"/>
      <c r="AR103" s="599"/>
      <c r="AS103" s="599"/>
      <c r="AT103" s="599"/>
      <c r="AU103" s="599"/>
      <c r="AV103" s="599"/>
      <c r="AW103" s="599"/>
      <c r="AX103" s="599"/>
      <c r="AY103" s="599"/>
      <c r="AZ103" s="599"/>
      <c r="BA103" s="599"/>
      <c r="BB103" s="599"/>
      <c r="BC103" s="599"/>
      <c r="BD103" s="599"/>
      <c r="BE103" s="598"/>
    </row>
    <row r="104" spans="2:57">
      <c r="B104" s="1326" t="s">
        <v>621</v>
      </c>
      <c r="C104" s="1327"/>
      <c r="D104" s="501" t="s">
        <v>3660</v>
      </c>
      <c r="E104" s="501"/>
      <c r="F104" s="501" t="s">
        <v>249</v>
      </c>
      <c r="G104" s="501" t="s">
        <v>2315</v>
      </c>
      <c r="H104" s="629">
        <v>7592.3140000000003</v>
      </c>
      <c r="I104" s="505" t="s">
        <v>1372</v>
      </c>
      <c r="J104" s="504">
        <v>45236.666666666664</v>
      </c>
      <c r="K104" s="504"/>
      <c r="L104" s="504" t="s">
        <v>192</v>
      </c>
      <c r="M104" s="504" t="s">
        <v>192</v>
      </c>
      <c r="N104" s="505" t="str">
        <f t="shared" si="8"/>
        <v>DELAY ( 5 day 16 hour 0 minute )</v>
      </c>
      <c r="O104" s="597"/>
      <c r="P104" s="507" t="s">
        <v>551</v>
      </c>
      <c r="Q104" s="507" t="s">
        <v>551</v>
      </c>
      <c r="R104" s="507" t="s">
        <v>551</v>
      </c>
      <c r="S104" s="598"/>
      <c r="T104" s="599"/>
      <c r="U104" s="599"/>
      <c r="V104" s="599"/>
      <c r="W104" s="599"/>
      <c r="X104" s="599"/>
      <c r="Y104" s="599">
        <f>H104*0.7</f>
        <v>5314.6197999999995</v>
      </c>
      <c r="Z104" s="599">
        <f>H104*0.3</f>
        <v>2277.6941999999999</v>
      </c>
      <c r="AA104" s="599"/>
      <c r="AB104" s="599"/>
      <c r="AC104" s="599"/>
      <c r="AD104" s="599"/>
      <c r="AE104" s="599"/>
      <c r="AF104" s="599"/>
      <c r="AG104" s="599"/>
      <c r="AH104" s="599"/>
      <c r="AI104" s="599"/>
      <c r="AJ104" s="599"/>
      <c r="AK104" s="599"/>
      <c r="AL104" s="599"/>
      <c r="AM104" s="599"/>
      <c r="AN104" s="599"/>
      <c r="AO104" s="599"/>
      <c r="AP104" s="599"/>
      <c r="AQ104" s="599"/>
      <c r="AR104" s="599"/>
      <c r="AS104" s="599"/>
      <c r="AT104" s="599"/>
      <c r="AU104" s="599"/>
      <c r="AV104" s="599"/>
      <c r="AW104" s="599"/>
      <c r="AX104" s="599"/>
      <c r="AY104" s="599"/>
      <c r="AZ104" s="599"/>
      <c r="BA104" s="599"/>
      <c r="BB104" s="599"/>
      <c r="BC104" s="599"/>
      <c r="BD104" s="599"/>
      <c r="BE104" s="598"/>
    </row>
    <row r="105" spans="2:57">
      <c r="B105" s="1328"/>
      <c r="C105" s="1329"/>
      <c r="D105" s="501"/>
      <c r="E105" s="501"/>
      <c r="F105" s="1315" t="s">
        <v>616</v>
      </c>
      <c r="G105" s="1316"/>
      <c r="H105" s="629">
        <v>3000</v>
      </c>
      <c r="I105" s="505"/>
      <c r="J105" s="504"/>
      <c r="K105" s="504"/>
      <c r="L105" s="504"/>
      <c r="M105" s="504"/>
      <c r="N105" s="505" t="str">
        <f t="shared" si="8"/>
        <v xml:space="preserve"> </v>
      </c>
      <c r="O105" s="597"/>
      <c r="P105" s="507"/>
      <c r="Q105" s="507"/>
      <c r="R105" s="507"/>
      <c r="S105" s="598"/>
      <c r="T105" s="599"/>
      <c r="U105" s="599"/>
      <c r="V105" s="599"/>
      <c r="W105" s="599"/>
      <c r="X105" s="599"/>
      <c r="Y105" s="599"/>
      <c r="Z105" s="599"/>
      <c r="AA105" s="599"/>
      <c r="AB105" s="599"/>
      <c r="AC105" s="599"/>
      <c r="AD105" s="599"/>
      <c r="AE105" s="599"/>
      <c r="AF105" s="599"/>
      <c r="AG105" s="599"/>
      <c r="AH105" s="599"/>
      <c r="AI105" s="599"/>
      <c r="AJ105" s="599"/>
      <c r="AK105" s="599"/>
      <c r="AL105" s="599"/>
      <c r="AM105" s="599"/>
      <c r="AN105" s="599"/>
      <c r="AO105" s="599"/>
      <c r="AP105" s="598"/>
      <c r="AQ105" s="599"/>
      <c r="AR105" s="599"/>
      <c r="AS105" s="599"/>
      <c r="AT105" s="599"/>
      <c r="AU105" s="599"/>
      <c r="AV105" s="599"/>
      <c r="AW105" s="599"/>
      <c r="AX105" s="599"/>
      <c r="AY105" s="599"/>
      <c r="AZ105" s="599"/>
      <c r="BA105" s="599"/>
      <c r="BB105" s="599"/>
      <c r="BC105" s="599"/>
      <c r="BD105" s="599"/>
      <c r="BE105" s="598"/>
    </row>
    <row r="106" spans="2:57">
      <c r="B106" s="1326" t="s">
        <v>622</v>
      </c>
      <c r="C106" s="1327"/>
      <c r="D106" s="501" t="s">
        <v>3663</v>
      </c>
      <c r="E106" s="501"/>
      <c r="F106" s="501" t="s">
        <v>774</v>
      </c>
      <c r="G106" s="501" t="s">
        <v>423</v>
      </c>
      <c r="H106" s="629">
        <v>7663.94</v>
      </c>
      <c r="I106" s="505" t="s">
        <v>1372</v>
      </c>
      <c r="J106" s="504">
        <v>45236.458333333336</v>
      </c>
      <c r="K106" s="504"/>
      <c r="L106" s="504" t="s">
        <v>192</v>
      </c>
      <c r="M106" s="504" t="s">
        <v>192</v>
      </c>
      <c r="N106" s="505" t="str">
        <f t="shared" si="8"/>
        <v>DELAY ( 5 day 11 hour 0 minute )</v>
      </c>
      <c r="O106" s="597"/>
      <c r="P106" s="507" t="s">
        <v>551</v>
      </c>
      <c r="Q106" s="507" t="s">
        <v>551</v>
      </c>
      <c r="R106" s="507" t="s">
        <v>551</v>
      </c>
      <c r="S106" s="598"/>
      <c r="T106" s="599"/>
      <c r="U106" s="599"/>
      <c r="V106" s="599"/>
      <c r="W106" s="599"/>
      <c r="X106" s="599"/>
      <c r="Y106" s="599">
        <f>H106*0.7</f>
        <v>5364.7579999999998</v>
      </c>
      <c r="Z106" s="599">
        <f>H106*0.3</f>
        <v>2299.1819999999998</v>
      </c>
      <c r="AA106" s="599"/>
      <c r="AB106" s="599"/>
      <c r="AC106" s="599"/>
      <c r="AD106" s="599"/>
      <c r="AE106" s="599"/>
      <c r="AF106" s="599"/>
      <c r="AG106" s="599"/>
      <c r="AH106" s="599"/>
      <c r="AI106" s="599"/>
      <c r="AJ106" s="599"/>
      <c r="AK106" s="599"/>
      <c r="AL106" s="599"/>
      <c r="AM106" s="599"/>
      <c r="AN106" s="599"/>
      <c r="AO106" s="599"/>
      <c r="AP106" s="599"/>
      <c r="AQ106" s="599"/>
      <c r="AR106" s="599"/>
      <c r="AS106" s="599"/>
      <c r="AT106" s="599"/>
      <c r="AU106" s="599"/>
      <c r="AV106" s="599"/>
      <c r="AW106" s="599"/>
      <c r="AX106" s="599"/>
      <c r="AY106" s="599"/>
      <c r="AZ106" s="599"/>
      <c r="BA106" s="598"/>
      <c r="BB106" s="599"/>
      <c r="BC106" s="599"/>
      <c r="BD106" s="599"/>
      <c r="BE106" s="598"/>
    </row>
    <row r="107" spans="2:57">
      <c r="B107" s="1328"/>
      <c r="C107" s="1329"/>
      <c r="D107" s="501"/>
      <c r="E107" s="501"/>
      <c r="F107" s="1315" t="s">
        <v>616</v>
      </c>
      <c r="G107" s="1316"/>
      <c r="H107" s="629">
        <v>3400</v>
      </c>
      <c r="I107" s="505"/>
      <c r="J107" s="504"/>
      <c r="K107" s="504"/>
      <c r="L107" s="504"/>
      <c r="M107" s="504"/>
      <c r="N107" s="505" t="str">
        <f t="shared" si="8"/>
        <v xml:space="preserve"> </v>
      </c>
      <c r="O107" s="597"/>
      <c r="P107" s="507"/>
      <c r="Q107" s="507"/>
      <c r="R107" s="507"/>
      <c r="S107" s="598"/>
      <c r="T107" s="599"/>
      <c r="U107" s="599"/>
      <c r="V107" s="599"/>
      <c r="W107" s="599"/>
      <c r="X107" s="599"/>
      <c r="Y107" s="599"/>
      <c r="Z107" s="599"/>
      <c r="AA107" s="599"/>
      <c r="AB107" s="599"/>
      <c r="AC107" s="599"/>
      <c r="AD107" s="599"/>
      <c r="AE107" s="599"/>
      <c r="AF107" s="599"/>
      <c r="AG107" s="599"/>
      <c r="AH107" s="599"/>
      <c r="AI107" s="599"/>
      <c r="AJ107" s="599"/>
      <c r="AK107" s="599"/>
      <c r="AL107" s="599"/>
      <c r="AM107" s="599"/>
      <c r="AN107" s="599"/>
      <c r="AO107" s="599"/>
      <c r="AP107" s="598"/>
      <c r="AQ107" s="599"/>
      <c r="AR107" s="599"/>
      <c r="AS107" s="599"/>
      <c r="AT107" s="599"/>
      <c r="AU107" s="599"/>
      <c r="AV107" s="599"/>
      <c r="AW107" s="599"/>
      <c r="AX107" s="599"/>
      <c r="AY107" s="599"/>
      <c r="AZ107" s="599"/>
      <c r="BA107" s="599"/>
      <c r="BB107" s="599"/>
      <c r="BC107" s="599"/>
      <c r="BD107" s="599"/>
      <c r="BE107" s="598"/>
    </row>
    <row r="108" spans="2:57">
      <c r="B108" s="1326" t="s">
        <v>623</v>
      </c>
      <c r="C108" s="1327"/>
      <c r="D108" s="836" t="s">
        <v>3662</v>
      </c>
      <c r="E108" s="501"/>
      <c r="F108" s="501" t="s">
        <v>422</v>
      </c>
      <c r="G108" s="501" t="s">
        <v>3342</v>
      </c>
      <c r="H108" s="629">
        <v>7721.8329999999996</v>
      </c>
      <c r="I108" s="505" t="s">
        <v>1372</v>
      </c>
      <c r="J108" s="504">
        <v>45236.659722222219</v>
      </c>
      <c r="K108" s="504"/>
      <c r="L108" s="504" t="s">
        <v>192</v>
      </c>
      <c r="M108" s="504" t="s">
        <v>192</v>
      </c>
      <c r="N108" s="505" t="str">
        <f t="shared" si="8"/>
        <v>DELAY ( 5 day 15 hour 50 minute )</v>
      </c>
      <c r="O108" s="597"/>
      <c r="P108" s="507" t="s">
        <v>551</v>
      </c>
      <c r="Q108" s="507" t="s">
        <v>551</v>
      </c>
      <c r="R108" s="507" t="s">
        <v>551</v>
      </c>
      <c r="S108" s="598"/>
      <c r="T108" s="599"/>
      <c r="U108" s="599"/>
      <c r="V108" s="599"/>
      <c r="W108" s="599"/>
      <c r="X108" s="599"/>
      <c r="Y108" s="599">
        <f>H108*0.7</f>
        <v>5405.2830999999996</v>
      </c>
      <c r="Z108" s="599">
        <f>H108*0.3</f>
        <v>2316.5499</v>
      </c>
      <c r="AA108" s="599"/>
      <c r="AB108" s="599"/>
      <c r="AC108" s="599"/>
      <c r="AD108" s="599"/>
      <c r="AE108" s="599"/>
      <c r="AF108" s="599"/>
      <c r="AG108" s="599"/>
      <c r="AH108" s="599"/>
      <c r="AI108" s="599"/>
      <c r="AJ108" s="599"/>
      <c r="AK108" s="599"/>
      <c r="AL108" s="599"/>
      <c r="AM108" s="599"/>
      <c r="AN108" s="599"/>
      <c r="AO108" s="599"/>
      <c r="AP108" s="598"/>
      <c r="AQ108" s="599"/>
      <c r="AR108" s="599"/>
      <c r="AS108" s="599"/>
      <c r="AT108" s="599"/>
      <c r="AU108" s="599"/>
      <c r="AV108" s="599"/>
      <c r="AW108" s="599"/>
      <c r="AX108" s="599"/>
      <c r="AY108" s="599"/>
      <c r="AZ108" s="599"/>
      <c r="BA108" s="599"/>
      <c r="BB108" s="599"/>
      <c r="BC108" s="599"/>
      <c r="BD108" s="599"/>
      <c r="BE108" s="598"/>
    </row>
    <row r="109" spans="2:57">
      <c r="B109" s="1328"/>
      <c r="C109" s="1329"/>
      <c r="D109" s="501"/>
      <c r="E109" s="501"/>
      <c r="F109" s="1315" t="s">
        <v>616</v>
      </c>
      <c r="G109" s="1316"/>
      <c r="H109" s="629">
        <v>3400</v>
      </c>
      <c r="I109" s="505"/>
      <c r="J109" s="504"/>
      <c r="K109" s="504"/>
      <c r="L109" s="504"/>
      <c r="M109" s="504"/>
      <c r="N109" s="505" t="str">
        <f t="shared" si="8"/>
        <v xml:space="preserve"> </v>
      </c>
      <c r="O109" s="597"/>
      <c r="P109" s="507"/>
      <c r="Q109" s="507"/>
      <c r="R109" s="507"/>
      <c r="S109" s="598"/>
      <c r="T109" s="599"/>
      <c r="U109" s="599"/>
      <c r="V109" s="599"/>
      <c r="W109" s="599"/>
      <c r="X109" s="599"/>
      <c r="Y109" s="599"/>
      <c r="Z109" s="599"/>
      <c r="AA109" s="599"/>
      <c r="AB109" s="599"/>
      <c r="AC109" s="599"/>
      <c r="AD109" s="599"/>
      <c r="AE109" s="599"/>
      <c r="AF109" s="599"/>
      <c r="AG109" s="599"/>
      <c r="AH109" s="599"/>
      <c r="AI109" s="599"/>
      <c r="AJ109" s="599"/>
      <c r="AK109" s="599"/>
      <c r="AL109" s="599"/>
      <c r="AM109" s="599"/>
      <c r="AN109" s="599"/>
      <c r="AO109" s="599"/>
      <c r="AP109" s="598"/>
      <c r="AQ109" s="599"/>
      <c r="AR109" s="599"/>
      <c r="AS109" s="599"/>
      <c r="AT109" s="599"/>
      <c r="AU109" s="599"/>
      <c r="AV109" s="599"/>
      <c r="AW109" s="599"/>
      <c r="AX109" s="599"/>
      <c r="AY109" s="599"/>
      <c r="AZ109" s="599"/>
      <c r="BA109" s="599"/>
      <c r="BB109" s="599"/>
      <c r="BC109" s="599"/>
      <c r="BD109" s="599"/>
      <c r="BE109" s="598"/>
    </row>
    <row r="110" spans="2:57">
      <c r="B110" s="1326" t="s">
        <v>624</v>
      </c>
      <c r="C110" s="1327"/>
      <c r="D110" s="501" t="s">
        <v>3665</v>
      </c>
      <c r="E110" s="501"/>
      <c r="F110" s="501" t="s">
        <v>1240</v>
      </c>
      <c r="G110" s="501" t="s">
        <v>1241</v>
      </c>
      <c r="H110" s="629">
        <v>7992.2370000000001</v>
      </c>
      <c r="I110" s="505" t="s">
        <v>1968</v>
      </c>
      <c r="J110" s="504">
        <v>45238.090277777781</v>
      </c>
      <c r="K110" s="504"/>
      <c r="L110" s="504" t="s">
        <v>192</v>
      </c>
      <c r="M110" s="504" t="s">
        <v>192</v>
      </c>
      <c r="N110" s="505" t="str">
        <f t="shared" si="8"/>
        <v>DELAY ( 7 day 2 hour 10 minute )</v>
      </c>
      <c r="O110" s="597"/>
      <c r="P110" s="507" t="s">
        <v>551</v>
      </c>
      <c r="Q110" s="507" t="s">
        <v>551</v>
      </c>
      <c r="R110" s="507" t="s">
        <v>551</v>
      </c>
      <c r="S110" s="598"/>
      <c r="T110" s="599"/>
      <c r="U110" s="599"/>
      <c r="V110" s="599"/>
      <c r="W110" s="599"/>
      <c r="X110" s="599"/>
      <c r="Y110" s="599">
        <f>(H110*0.8)</f>
        <v>6393.7896000000001</v>
      </c>
      <c r="Z110" s="599">
        <f>(H110*0.2)</f>
        <v>1598.4474</v>
      </c>
      <c r="AA110" s="599"/>
      <c r="AB110" s="599"/>
      <c r="AC110" s="599"/>
      <c r="AD110" s="599"/>
      <c r="AE110" s="599"/>
      <c r="AF110" s="599"/>
      <c r="AG110" s="599"/>
      <c r="AH110" s="599"/>
      <c r="AI110" s="599"/>
      <c r="AJ110" s="599"/>
      <c r="AK110" s="599"/>
      <c r="AL110" s="599"/>
      <c r="AM110" s="599"/>
      <c r="AN110" s="599"/>
      <c r="AO110" s="599"/>
      <c r="AP110" s="599"/>
      <c r="AQ110" s="599"/>
      <c r="AR110" s="599"/>
      <c r="AS110" s="599"/>
      <c r="AT110" s="599"/>
      <c r="AU110" s="599"/>
      <c r="AV110" s="599"/>
      <c r="AW110" s="599"/>
      <c r="AX110" s="599"/>
      <c r="AY110" s="599"/>
      <c r="AZ110" s="599"/>
      <c r="BA110" s="599"/>
      <c r="BB110" s="599"/>
      <c r="BC110" s="599"/>
      <c r="BD110" s="599"/>
      <c r="BE110" s="598"/>
    </row>
    <row r="111" spans="2:57">
      <c r="B111" s="1328"/>
      <c r="C111" s="1329"/>
      <c r="D111" s="501"/>
      <c r="E111" s="501"/>
      <c r="F111" s="1315" t="s">
        <v>616</v>
      </c>
      <c r="G111" s="1316"/>
      <c r="H111" s="629">
        <f>1743-0.101</f>
        <v>1742.8989999999999</v>
      </c>
      <c r="I111" s="505"/>
      <c r="J111" s="504"/>
      <c r="K111" s="504"/>
      <c r="L111" s="504"/>
      <c r="M111" s="504"/>
      <c r="N111" s="505" t="str">
        <f t="shared" si="8"/>
        <v xml:space="preserve"> </v>
      </c>
      <c r="O111" s="597"/>
      <c r="P111" s="507"/>
      <c r="Q111" s="507"/>
      <c r="R111" s="507"/>
      <c r="S111" s="598"/>
      <c r="T111" s="599"/>
      <c r="U111" s="599"/>
      <c r="V111" s="599"/>
      <c r="W111" s="599"/>
      <c r="X111" s="599"/>
      <c r="Y111" s="599"/>
      <c r="Z111" s="599"/>
      <c r="AA111" s="599"/>
      <c r="AB111" s="599"/>
      <c r="AC111" s="599"/>
      <c r="AD111" s="599"/>
      <c r="AE111" s="599"/>
      <c r="AF111" s="599"/>
      <c r="AG111" s="599"/>
      <c r="AH111" s="599"/>
      <c r="AI111" s="599"/>
      <c r="AJ111" s="599"/>
      <c r="AK111" s="599"/>
      <c r="AL111" s="599"/>
      <c r="AM111" s="599"/>
      <c r="AN111" s="599"/>
      <c r="AO111" s="599"/>
      <c r="AP111" s="598"/>
      <c r="AQ111" s="599"/>
      <c r="AR111" s="599"/>
      <c r="AS111" s="599"/>
      <c r="AT111" s="599"/>
      <c r="AU111" s="599"/>
      <c r="AV111" s="599"/>
      <c r="AW111" s="599"/>
      <c r="AX111" s="599"/>
      <c r="AY111" s="599"/>
      <c r="AZ111" s="599"/>
      <c r="BA111" s="599"/>
      <c r="BB111" s="599"/>
      <c r="BC111" s="599"/>
      <c r="BD111" s="599"/>
      <c r="BE111" s="598"/>
    </row>
    <row r="112" spans="2:57">
      <c r="B112" s="1315" t="s">
        <v>625</v>
      </c>
      <c r="C112" s="1316"/>
      <c r="D112" s="501" t="s">
        <v>3664</v>
      </c>
      <c r="E112" s="501"/>
      <c r="F112" s="501" t="s">
        <v>721</v>
      </c>
      <c r="G112" s="501" t="s">
        <v>1349</v>
      </c>
      <c r="H112" s="629">
        <f>7539.472-5081.729</f>
        <v>2457.7429999999995</v>
      </c>
      <c r="I112" s="505" t="s">
        <v>1968</v>
      </c>
      <c r="J112" s="504">
        <v>45238.625</v>
      </c>
      <c r="K112" s="504"/>
      <c r="L112" s="504" t="s">
        <v>192</v>
      </c>
      <c r="M112" s="504" t="s">
        <v>192</v>
      </c>
      <c r="N112" s="505" t="str">
        <f t="shared" si="8"/>
        <v>DELAY ( 7 day 15 hour 0 minute )</v>
      </c>
      <c r="O112" s="597"/>
      <c r="P112" s="507" t="s">
        <v>551</v>
      </c>
      <c r="Q112" s="507" t="s">
        <v>551</v>
      </c>
      <c r="R112" s="507" t="s">
        <v>551</v>
      </c>
      <c r="S112" s="598"/>
      <c r="T112" s="599"/>
      <c r="U112" s="599"/>
      <c r="V112" s="599"/>
      <c r="W112" s="599"/>
      <c r="X112" s="599"/>
      <c r="Y112" s="599">
        <f>H112*0.8</f>
        <v>1966.1943999999996</v>
      </c>
      <c r="Z112" s="599">
        <f>H112*0.2</f>
        <v>491.54859999999991</v>
      </c>
      <c r="AA112" s="599"/>
      <c r="AB112" s="599"/>
      <c r="AC112" s="599"/>
      <c r="AD112" s="599"/>
      <c r="AE112" s="599"/>
      <c r="AF112" s="599"/>
      <c r="AG112" s="599"/>
      <c r="AH112" s="599"/>
      <c r="AI112" s="599"/>
      <c r="AJ112" s="599"/>
      <c r="AK112" s="599"/>
      <c r="AL112" s="599"/>
      <c r="AM112" s="599"/>
      <c r="AN112" s="599"/>
      <c r="AO112" s="599"/>
      <c r="AP112" s="599"/>
      <c r="AQ112" s="599"/>
      <c r="AR112" s="599"/>
      <c r="AS112" s="599"/>
      <c r="AT112" s="777"/>
      <c r="AU112" s="599"/>
      <c r="AV112" s="599"/>
      <c r="AW112" s="599"/>
      <c r="AX112" s="599"/>
      <c r="AY112" s="599"/>
      <c r="AZ112" s="599"/>
      <c r="BA112" s="599"/>
      <c r="BB112" s="599"/>
      <c r="BC112" s="599"/>
      <c r="BD112" s="599"/>
      <c r="BE112" s="598"/>
    </row>
    <row r="113" spans="2:58">
      <c r="B113" s="1351" t="s">
        <v>626</v>
      </c>
      <c r="C113" s="1352"/>
      <c r="D113" s="1352"/>
      <c r="E113" s="1352"/>
      <c r="F113" s="1352"/>
      <c r="G113" s="1353"/>
      <c r="H113" s="702">
        <f>H102+H104+H108+H106+H112+H110</f>
        <v>41057.101000000002</v>
      </c>
      <c r="I113" s="707"/>
      <c r="J113" s="708"/>
      <c r="K113" s="708"/>
      <c r="L113" s="708"/>
      <c r="M113" s="709"/>
      <c r="N113" s="505" t="str">
        <f t="shared" si="8"/>
        <v xml:space="preserve"> </v>
      </c>
      <c r="O113" s="552"/>
      <c r="P113" s="706"/>
      <c r="Q113" s="706"/>
      <c r="R113" s="706"/>
      <c r="S113" s="598"/>
      <c r="T113" s="1462"/>
      <c r="U113" s="1462"/>
      <c r="V113" s="1462"/>
      <c r="W113" s="1462"/>
      <c r="X113" s="1462"/>
      <c r="Y113" s="1462"/>
      <c r="Z113" s="1462"/>
      <c r="AA113" s="1462"/>
      <c r="AB113" s="1462"/>
      <c r="AC113" s="1462"/>
      <c r="AD113" s="1462"/>
      <c r="AE113" s="1462"/>
      <c r="AF113" s="1462"/>
      <c r="AG113" s="1462"/>
      <c r="AH113" s="1462"/>
      <c r="AI113" s="1462"/>
      <c r="AJ113" s="1462"/>
      <c r="AK113" s="1462"/>
      <c r="AL113" s="1462"/>
      <c r="AM113" s="1462"/>
      <c r="AN113" s="1462"/>
      <c r="AO113" s="1462"/>
      <c r="AP113" s="1462"/>
      <c r="AQ113" s="1462"/>
      <c r="AR113" s="1462"/>
      <c r="AS113" s="1462"/>
      <c r="AT113" s="1462"/>
      <c r="AU113" s="1462"/>
      <c r="AV113" s="1462"/>
      <c r="AW113" s="1462"/>
      <c r="AX113" s="1462"/>
      <c r="AY113" s="1462"/>
      <c r="AZ113" s="1462"/>
      <c r="BA113" s="1462"/>
      <c r="BB113" s="1462"/>
      <c r="BC113" s="1462"/>
      <c r="BD113" s="1462"/>
      <c r="BE113" s="554"/>
    </row>
    <row r="114" spans="2:58">
      <c r="B114" s="1351" t="s">
        <v>556</v>
      </c>
      <c r="C114" s="1352"/>
      <c r="D114" s="1352"/>
      <c r="E114" s="1352"/>
      <c r="F114" s="1352"/>
      <c r="G114" s="1353"/>
      <c r="H114" s="702">
        <f>H101+H113</f>
        <v>55600</v>
      </c>
      <c r="I114" s="703"/>
      <c r="J114" s="704"/>
      <c r="K114" s="704"/>
      <c r="L114" s="704"/>
      <c r="M114" s="705"/>
      <c r="N114" s="505" t="str">
        <f t="shared" si="8"/>
        <v xml:space="preserve"> </v>
      </c>
      <c r="O114" s="552"/>
      <c r="P114" s="706"/>
      <c r="Q114" s="706"/>
      <c r="R114" s="706"/>
      <c r="S114" s="598"/>
      <c r="T114" s="1432"/>
      <c r="U114" s="1433"/>
      <c r="V114" s="1433"/>
      <c r="W114" s="1433"/>
      <c r="X114" s="1433"/>
      <c r="Y114" s="1433"/>
      <c r="Z114" s="1433"/>
      <c r="AA114" s="1433"/>
      <c r="AB114" s="1433"/>
      <c r="AC114" s="1433"/>
      <c r="AD114" s="1433"/>
      <c r="AE114" s="1433"/>
      <c r="AF114" s="1433"/>
      <c r="AG114" s="1433"/>
      <c r="AH114" s="1433"/>
      <c r="AI114" s="1433"/>
      <c r="AJ114" s="1433"/>
      <c r="AK114" s="1433"/>
      <c r="AL114" s="1433"/>
      <c r="AM114" s="1433"/>
      <c r="AN114" s="1433"/>
      <c r="AO114" s="1433"/>
      <c r="AP114" s="1433"/>
      <c r="AQ114" s="1433"/>
      <c r="AR114" s="1433"/>
      <c r="AS114" s="1433"/>
      <c r="AT114" s="1433"/>
      <c r="AU114" s="1433"/>
      <c r="AV114" s="1433"/>
      <c r="AW114" s="1433"/>
      <c r="AX114" s="1433"/>
      <c r="AY114" s="1433"/>
      <c r="AZ114" s="1433"/>
      <c r="BA114" s="1433"/>
      <c r="BB114" s="1433"/>
      <c r="BC114" s="1433"/>
      <c r="BD114" s="1433"/>
      <c r="BE114" s="554"/>
    </row>
    <row r="115" spans="2:58">
      <c r="B115" s="1415" t="s">
        <v>557</v>
      </c>
      <c r="C115" s="1416"/>
      <c r="D115" s="1416"/>
      <c r="E115" s="1416"/>
      <c r="F115" s="1416"/>
      <c r="G115" s="1417"/>
      <c r="H115" s="710">
        <v>55600</v>
      </c>
      <c r="I115" s="1434"/>
      <c r="J115" s="1435"/>
      <c r="K115" s="1435"/>
      <c r="L115" s="1435"/>
      <c r="M115" s="1436"/>
      <c r="N115" s="505" t="str">
        <f t="shared" si="8"/>
        <v xml:space="preserve"> </v>
      </c>
      <c r="O115" s="598"/>
      <c r="P115" s="507"/>
      <c r="Q115" s="507"/>
      <c r="R115" s="507"/>
      <c r="S115" s="711"/>
      <c r="T115" s="599">
        <f t="shared" ref="T115:BD115" si="9">SUM(T99:T112)</f>
        <v>0</v>
      </c>
      <c r="U115" s="599">
        <f t="shared" si="9"/>
        <v>0</v>
      </c>
      <c r="V115" s="599">
        <f t="shared" si="9"/>
        <v>0</v>
      </c>
      <c r="W115" s="599">
        <f t="shared" si="9"/>
        <v>0</v>
      </c>
      <c r="X115" s="599">
        <f t="shared" si="9"/>
        <v>0</v>
      </c>
      <c r="Y115" s="599">
        <f t="shared" si="9"/>
        <v>29784.968699999998</v>
      </c>
      <c r="Z115" s="599">
        <f t="shared" si="9"/>
        <v>11272.132299999999</v>
      </c>
      <c r="AA115" s="599">
        <f t="shared" si="9"/>
        <v>0</v>
      </c>
      <c r="AB115" s="599">
        <f t="shared" si="9"/>
        <v>14542.899000000001</v>
      </c>
      <c r="AC115" s="599">
        <f t="shared" si="9"/>
        <v>0</v>
      </c>
      <c r="AD115" s="599">
        <f t="shared" si="9"/>
        <v>0</v>
      </c>
      <c r="AE115" s="599">
        <f t="shared" si="9"/>
        <v>0</v>
      </c>
      <c r="AF115" s="599">
        <f t="shared" si="9"/>
        <v>0</v>
      </c>
      <c r="AG115" s="599">
        <f t="shared" si="9"/>
        <v>0</v>
      </c>
      <c r="AH115" s="599">
        <f t="shared" si="9"/>
        <v>0</v>
      </c>
      <c r="AI115" s="599">
        <f t="shared" si="9"/>
        <v>0</v>
      </c>
      <c r="AJ115" s="599">
        <f t="shared" si="9"/>
        <v>0</v>
      </c>
      <c r="AK115" s="599">
        <f t="shared" si="9"/>
        <v>0</v>
      </c>
      <c r="AL115" s="599">
        <f t="shared" si="9"/>
        <v>0</v>
      </c>
      <c r="AM115" s="599">
        <f t="shared" si="9"/>
        <v>0</v>
      </c>
      <c r="AN115" s="599">
        <f t="shared" si="9"/>
        <v>0</v>
      </c>
      <c r="AO115" s="599">
        <f t="shared" si="9"/>
        <v>0</v>
      </c>
      <c r="AP115" s="599">
        <f t="shared" si="9"/>
        <v>0</v>
      </c>
      <c r="AQ115" s="599">
        <f t="shared" si="9"/>
        <v>0</v>
      </c>
      <c r="AR115" s="599">
        <f t="shared" si="9"/>
        <v>0</v>
      </c>
      <c r="AS115" s="599">
        <f t="shared" si="9"/>
        <v>0</v>
      </c>
      <c r="AT115" s="599">
        <f t="shared" si="9"/>
        <v>0</v>
      </c>
      <c r="AU115" s="599">
        <f t="shared" si="9"/>
        <v>0</v>
      </c>
      <c r="AV115" s="599">
        <f t="shared" si="9"/>
        <v>0</v>
      </c>
      <c r="AW115" s="599">
        <f t="shared" si="9"/>
        <v>0</v>
      </c>
      <c r="AX115" s="599">
        <f t="shared" si="9"/>
        <v>0</v>
      </c>
      <c r="AY115" s="599">
        <f t="shared" si="9"/>
        <v>0</v>
      </c>
      <c r="AZ115" s="599">
        <f t="shared" si="9"/>
        <v>0</v>
      </c>
      <c r="BA115" s="599">
        <f t="shared" si="9"/>
        <v>0</v>
      </c>
      <c r="BB115" s="599">
        <f t="shared" si="9"/>
        <v>0</v>
      </c>
      <c r="BC115" s="599">
        <f t="shared" si="9"/>
        <v>0</v>
      </c>
      <c r="BD115" s="599">
        <f t="shared" si="9"/>
        <v>0</v>
      </c>
      <c r="BE115" s="599">
        <f>SUM(T115:BD115)</f>
        <v>55600</v>
      </c>
    </row>
    <row r="116" spans="2:58">
      <c r="B116" s="1415" t="s">
        <v>558</v>
      </c>
      <c r="C116" s="1416"/>
      <c r="D116" s="1416"/>
      <c r="E116" s="1416"/>
      <c r="F116" s="1416"/>
      <c r="G116" s="1417"/>
      <c r="H116" s="712">
        <f>H115-L93</f>
        <v>0</v>
      </c>
      <c r="I116" s="713"/>
      <c r="J116" s="714"/>
      <c r="K116" s="714"/>
      <c r="L116" s="558"/>
      <c r="M116" s="598"/>
      <c r="N116" s="598"/>
      <c r="O116" s="598"/>
      <c r="P116" s="598"/>
      <c r="Q116" s="715"/>
      <c r="R116" s="715"/>
      <c r="S116" s="598"/>
      <c r="T116" s="688"/>
      <c r="U116" s="688"/>
      <c r="V116" s="688"/>
      <c r="W116" s="688"/>
      <c r="X116" s="688"/>
      <c r="Y116" s="688"/>
      <c r="Z116" s="688"/>
      <c r="AA116" s="688"/>
      <c r="AB116" s="688"/>
      <c r="AC116" s="598"/>
      <c r="AD116" s="598"/>
      <c r="AE116" s="598"/>
      <c r="AF116" s="598"/>
      <c r="AG116" s="598"/>
      <c r="AH116" s="598"/>
      <c r="AI116" s="598"/>
      <c r="AJ116" s="598"/>
      <c r="AK116" s="598"/>
      <c r="AL116" s="598"/>
      <c r="AM116" s="598"/>
      <c r="AN116" s="598"/>
      <c r="AO116" s="598"/>
      <c r="AP116" s="598"/>
      <c r="AQ116" s="598"/>
      <c r="AR116" s="598"/>
      <c r="AS116" s="554"/>
      <c r="AT116" s="554"/>
      <c r="AU116" s="554"/>
      <c r="AV116" s="554"/>
      <c r="AW116" s="554"/>
      <c r="AX116" s="554"/>
      <c r="AY116" s="554"/>
      <c r="AZ116" s="554"/>
      <c r="BA116" s="554"/>
      <c r="BB116" s="554"/>
      <c r="BC116" s="554"/>
      <c r="BD116" s="554"/>
      <c r="BE116" s="554"/>
    </row>
    <row r="117" spans="2:58">
      <c r="B117" s="1415" t="s">
        <v>559</v>
      </c>
      <c r="C117" s="1416"/>
      <c r="D117" s="1416"/>
      <c r="E117" s="1416"/>
      <c r="F117" s="1416"/>
      <c r="G117" s="1417"/>
      <c r="H117" s="747">
        <f>3960.803</f>
        <v>3960.8029999999999</v>
      </c>
      <c r="I117" s="716"/>
      <c r="J117" s="717"/>
      <c r="K117" s="717"/>
      <c r="L117" s="563"/>
      <c r="M117" s="598"/>
      <c r="N117" s="598"/>
      <c r="O117" s="598"/>
      <c r="P117" s="598"/>
      <c r="Q117" s="598"/>
      <c r="R117" s="598"/>
      <c r="S117" s="598"/>
      <c r="T117" s="688"/>
      <c r="U117" s="688"/>
      <c r="V117" s="688"/>
      <c r="W117" s="688"/>
      <c r="X117" s="688"/>
      <c r="Y117" s="688"/>
      <c r="Z117" s="688"/>
      <c r="AA117" s="688"/>
      <c r="AB117" s="688"/>
      <c r="AC117" s="598"/>
      <c r="AD117" s="598"/>
      <c r="AE117" s="598"/>
      <c r="AF117" s="598"/>
      <c r="AG117" s="598"/>
      <c r="AH117" s="598"/>
      <c r="AI117" s="598"/>
      <c r="AJ117" s="598"/>
      <c r="AK117" s="598"/>
      <c r="AL117" s="598"/>
      <c r="AM117" s="598"/>
      <c r="AN117" s="598"/>
      <c r="AO117" s="598"/>
      <c r="AP117" s="598"/>
      <c r="AQ117" s="598"/>
      <c r="AR117" s="598"/>
      <c r="AS117" s="554"/>
      <c r="AT117" s="554"/>
      <c r="AU117" s="554"/>
      <c r="AV117" s="554"/>
      <c r="AW117" s="554"/>
      <c r="AX117" s="554"/>
      <c r="AY117" s="554"/>
      <c r="AZ117" s="554"/>
      <c r="BA117" s="554"/>
      <c r="BB117" s="554"/>
      <c r="BC117" s="554"/>
      <c r="BD117" s="554"/>
      <c r="BE117" s="554"/>
    </row>
    <row r="118" spans="2:58" ht="11.25" customHeight="1">
      <c r="B118" s="1415" t="s">
        <v>560</v>
      </c>
      <c r="C118" s="1416"/>
      <c r="D118" s="1416"/>
      <c r="E118" s="1416"/>
      <c r="F118" s="1416"/>
      <c r="G118" s="1417"/>
      <c r="H118" s="741">
        <f>H117-5081.729</f>
        <v>-1120.9260000000004</v>
      </c>
      <c r="I118" s="641"/>
      <c r="J118" s="642"/>
      <c r="K118" s="642"/>
      <c r="L118" s="499"/>
      <c r="M118" s="613"/>
      <c r="N118" s="613"/>
      <c r="O118" s="613"/>
      <c r="P118" s="613"/>
      <c r="Q118" s="613"/>
      <c r="R118" s="613"/>
      <c r="S118" s="616"/>
      <c r="T118" s="616"/>
      <c r="U118" s="616"/>
      <c r="V118" s="616"/>
      <c r="W118" s="616"/>
      <c r="X118" s="616"/>
      <c r="Y118" s="616"/>
      <c r="Z118" s="616"/>
      <c r="AA118" s="616"/>
      <c r="AB118" s="613">
        <f>-(H117*0.6)</f>
        <v>-2376.4818</v>
      </c>
      <c r="AC118" s="613">
        <f>-(H117*0.4)</f>
        <v>-1584.3212000000001</v>
      </c>
      <c r="AD118" s="613"/>
      <c r="AE118" s="613"/>
      <c r="AF118" s="613"/>
      <c r="AG118" s="613"/>
      <c r="AH118" s="613"/>
      <c r="AI118" s="613"/>
      <c r="AJ118" s="613"/>
      <c r="AK118" s="613"/>
      <c r="AL118" s="613"/>
      <c r="AM118" s="613"/>
      <c r="AN118" s="613"/>
      <c r="AO118" s="613"/>
      <c r="AP118" s="613"/>
      <c r="AQ118" s="613"/>
      <c r="AR118" s="496"/>
      <c r="AS118" s="496"/>
      <c r="AT118" s="496"/>
      <c r="AU118" s="496"/>
      <c r="AV118" s="496"/>
      <c r="AW118" s="496"/>
      <c r="AX118" s="496"/>
      <c r="AY118" s="496"/>
      <c r="AZ118" s="496"/>
      <c r="BA118" s="496"/>
    </row>
    <row r="119" spans="2:58">
      <c r="B119" s="598"/>
      <c r="C119" s="598"/>
      <c r="D119" s="598"/>
      <c r="E119" s="598"/>
      <c r="F119" s="598"/>
      <c r="G119" s="598"/>
      <c r="H119" s="598"/>
      <c r="I119" s="718"/>
      <c r="J119" s="716"/>
      <c r="K119" s="716"/>
      <c r="L119" s="719"/>
      <c r="M119" s="598"/>
      <c r="N119" s="598"/>
      <c r="O119" s="716"/>
      <c r="P119" s="598"/>
      <c r="Q119" s="598"/>
      <c r="R119" s="598"/>
      <c r="S119" s="598"/>
      <c r="T119" s="688"/>
      <c r="U119" s="688"/>
      <c r="V119" s="688"/>
      <c r="W119" s="688"/>
      <c r="X119" s="688"/>
      <c r="Y119" s="688"/>
      <c r="Z119" s="688"/>
      <c r="AA119" s="688"/>
      <c r="AB119" s="688"/>
      <c r="AC119" s="598"/>
      <c r="AD119" s="598"/>
      <c r="AE119" s="598"/>
      <c r="AF119" s="598"/>
      <c r="AG119" s="598"/>
      <c r="AH119" s="598"/>
      <c r="AI119" s="598"/>
      <c r="AJ119" s="598"/>
      <c r="AK119" s="598"/>
      <c r="AL119" s="598"/>
      <c r="AM119" s="598"/>
      <c r="AN119" s="598"/>
      <c r="AO119" s="598"/>
      <c r="AP119" s="598"/>
      <c r="AQ119" s="598"/>
      <c r="AR119" s="598"/>
      <c r="AS119" s="554"/>
      <c r="AT119" s="554"/>
      <c r="AU119" s="554"/>
      <c r="AV119" s="554"/>
      <c r="AW119" s="554"/>
      <c r="AX119" s="554"/>
      <c r="AY119" s="554"/>
      <c r="AZ119" s="554"/>
      <c r="BA119" s="554"/>
      <c r="BB119" s="554"/>
      <c r="BC119" s="554"/>
      <c r="BD119" s="554"/>
      <c r="BE119" s="554"/>
    </row>
    <row r="120" spans="2:58">
      <c r="B120" s="693" t="s">
        <v>561</v>
      </c>
      <c r="C120" s="693"/>
      <c r="D120" s="598"/>
      <c r="E120" s="598"/>
      <c r="F120" s="598"/>
      <c r="G120" s="598"/>
      <c r="H120" s="598"/>
      <c r="I120" s="598"/>
      <c r="J120" s="716"/>
      <c r="K120" s="716"/>
      <c r="L120" s="719"/>
      <c r="M120" s="598"/>
      <c r="N120" s="598"/>
      <c r="O120" s="716"/>
      <c r="P120" s="688"/>
      <c r="Q120" s="688"/>
      <c r="R120" s="688"/>
      <c r="S120" s="688"/>
      <c r="T120" s="688"/>
      <c r="U120" s="688"/>
      <c r="V120" s="688"/>
      <c r="W120" s="688"/>
      <c r="X120" s="688"/>
      <c r="Y120" s="688"/>
      <c r="Z120" s="688"/>
      <c r="AA120" s="688"/>
      <c r="AB120" s="598"/>
      <c r="AC120" s="598"/>
      <c r="AD120" s="598"/>
      <c r="AE120" s="598"/>
      <c r="AF120" s="598"/>
      <c r="AG120" s="598"/>
      <c r="AH120" s="598"/>
      <c r="AI120" s="598"/>
      <c r="AJ120" s="598"/>
      <c r="AK120" s="598"/>
      <c r="AL120" s="598"/>
      <c r="AM120" s="598"/>
      <c r="AN120" s="598"/>
      <c r="AO120" s="598"/>
      <c r="AP120" s="598"/>
      <c r="AQ120" s="598"/>
      <c r="AR120" s="598"/>
      <c r="AS120" s="598"/>
      <c r="AT120" s="598"/>
      <c r="AU120" s="598"/>
      <c r="AV120" s="554"/>
      <c r="AW120" s="554"/>
      <c r="AX120" s="554"/>
      <c r="AY120" s="554"/>
      <c r="AZ120" s="554"/>
      <c r="BA120" s="554"/>
      <c r="BB120" s="554"/>
      <c r="BC120" s="554"/>
      <c r="BD120" s="554"/>
      <c r="BE120" s="598"/>
    </row>
    <row r="121" spans="2:58">
      <c r="B121" s="852">
        <v>1</v>
      </c>
      <c r="C121" s="1474" t="s">
        <v>2406</v>
      </c>
      <c r="D121" s="1474"/>
      <c r="E121" s="1474"/>
      <c r="F121" s="1474"/>
      <c r="G121" s="1474"/>
      <c r="H121" s="1474"/>
      <c r="I121" s="1474"/>
      <c r="J121" s="1474"/>
      <c r="K121" s="1474"/>
      <c r="L121" s="719"/>
      <c r="M121" s="719"/>
      <c r="N121" s="598"/>
      <c r="O121" s="716"/>
      <c r="P121" s="688"/>
      <c r="Q121" s="688"/>
      <c r="R121" s="688"/>
      <c r="S121" s="688"/>
      <c r="T121" s="688"/>
      <c r="U121" s="688"/>
      <c r="V121" s="688"/>
      <c r="W121" s="688"/>
      <c r="X121" s="688"/>
      <c r="Y121" s="688"/>
      <c r="Z121" s="688"/>
      <c r="AA121" s="688"/>
      <c r="AB121" s="598"/>
      <c r="AC121" s="598"/>
      <c r="AD121" s="598"/>
      <c r="AE121" s="598"/>
      <c r="AF121" s="598"/>
      <c r="AG121" s="598"/>
      <c r="AH121" s="598"/>
      <c r="AI121" s="598"/>
      <c r="AJ121" s="598"/>
      <c r="AK121" s="598"/>
      <c r="AL121" s="598"/>
      <c r="AM121" s="598"/>
      <c r="AN121" s="598"/>
      <c r="AO121" s="598"/>
      <c r="AP121" s="598"/>
      <c r="AQ121" s="598"/>
      <c r="AR121" s="598"/>
      <c r="AS121" s="598"/>
      <c r="AT121" s="598"/>
      <c r="AU121" s="598"/>
      <c r="AV121" s="598"/>
      <c r="AW121" s="598"/>
      <c r="AX121" s="598"/>
      <c r="AY121" s="598"/>
      <c r="AZ121" s="598"/>
      <c r="BA121" s="598"/>
      <c r="BB121" s="598"/>
      <c r="BC121" s="598"/>
      <c r="BD121" s="598"/>
      <c r="BE121" s="598"/>
    </row>
    <row r="123" spans="2:58">
      <c r="B123" s="28" t="s">
        <v>126</v>
      </c>
      <c r="C123" s="28"/>
      <c r="D123" s="614"/>
      <c r="E123" s="30" t="s">
        <v>511</v>
      </c>
      <c r="F123" s="31" t="s">
        <v>2746</v>
      </c>
      <c r="G123" s="591"/>
      <c r="H123" s="33"/>
      <c r="I123" s="615"/>
      <c r="J123" s="35" t="s">
        <v>513</v>
      </c>
      <c r="K123" s="36" t="s">
        <v>511</v>
      </c>
      <c r="L123" s="516">
        <v>45238.368055555555</v>
      </c>
      <c r="M123" s="591"/>
      <c r="N123" s="591"/>
      <c r="O123" s="206"/>
      <c r="P123" s="205"/>
      <c r="Q123" s="616"/>
      <c r="R123" s="204"/>
      <c r="S123" s="617"/>
      <c r="T123" s="613"/>
      <c r="U123" s="613"/>
      <c r="V123" s="613"/>
      <c r="W123" s="613"/>
      <c r="X123" s="613"/>
      <c r="Y123" s="613"/>
      <c r="Z123" s="613"/>
      <c r="AA123" s="613"/>
      <c r="AB123" s="616"/>
      <c r="AC123" s="616"/>
      <c r="AD123" s="616"/>
      <c r="AE123" s="616"/>
      <c r="AF123" s="616"/>
      <c r="AG123" s="613"/>
      <c r="AH123" s="613"/>
      <c r="AI123" s="613"/>
      <c r="AJ123" s="613"/>
      <c r="AK123" s="613"/>
      <c r="AL123" s="613"/>
      <c r="AM123" s="613"/>
      <c r="AN123" s="613"/>
      <c r="AO123" s="613"/>
      <c r="AP123" s="613"/>
      <c r="AQ123" s="613"/>
      <c r="AR123" s="613"/>
      <c r="AS123" s="613"/>
      <c r="AT123" s="613"/>
      <c r="AU123" s="613"/>
      <c r="AV123" s="613"/>
      <c r="AW123" s="613"/>
      <c r="AX123" s="613"/>
      <c r="AY123" s="613"/>
      <c r="AZ123" s="613"/>
      <c r="BA123" s="613"/>
      <c r="BB123" s="613"/>
      <c r="BC123" s="613"/>
      <c r="BD123" s="613"/>
      <c r="BE123" s="613"/>
      <c r="BF123" s="613"/>
    </row>
    <row r="124" spans="2:58">
      <c r="B124" s="35" t="s">
        <v>514</v>
      </c>
      <c r="C124" s="35"/>
      <c r="D124" s="591"/>
      <c r="E124" s="36" t="s">
        <v>511</v>
      </c>
      <c r="F124" s="311" t="s">
        <v>3719</v>
      </c>
      <c r="G124" s="591"/>
      <c r="H124" s="33"/>
      <c r="I124" s="615"/>
      <c r="J124" s="35" t="s">
        <v>516</v>
      </c>
      <c r="K124" s="36" t="s">
        <v>511</v>
      </c>
      <c r="L124" s="516">
        <v>45240</v>
      </c>
      <c r="M124" s="591"/>
      <c r="N124" s="591"/>
      <c r="O124" s="206"/>
      <c r="P124" s="205"/>
      <c r="Q124" s="616"/>
      <c r="R124" s="204"/>
      <c r="S124" s="617"/>
      <c r="T124" s="613"/>
      <c r="U124" s="613"/>
      <c r="V124" s="613"/>
      <c r="W124" s="613"/>
      <c r="X124" s="613"/>
      <c r="Y124" s="613"/>
      <c r="Z124" s="613"/>
      <c r="AA124" s="613"/>
      <c r="AB124" s="616"/>
      <c r="AC124" s="616"/>
      <c r="AD124" s="616"/>
      <c r="AE124" s="616"/>
      <c r="AF124" s="616"/>
      <c r="AG124" s="613"/>
      <c r="AH124" s="613"/>
      <c r="AI124" s="613"/>
      <c r="AJ124" s="613"/>
      <c r="AK124" s="613"/>
      <c r="AL124" s="613"/>
      <c r="AM124" s="613"/>
      <c r="AN124" s="613"/>
      <c r="AO124" s="613"/>
      <c r="AP124" s="613"/>
      <c r="AQ124" s="613"/>
      <c r="AR124" s="613"/>
      <c r="AS124" s="613"/>
      <c r="AT124" s="613"/>
      <c r="AU124" s="613"/>
      <c r="AV124" s="613"/>
      <c r="AW124" s="613"/>
      <c r="AX124" s="613"/>
      <c r="AY124" s="613"/>
      <c r="AZ124" s="613"/>
      <c r="BA124" s="613"/>
      <c r="BB124" s="613"/>
      <c r="BC124" s="613"/>
      <c r="BD124" s="613"/>
      <c r="BE124" s="613"/>
      <c r="BF124" s="613"/>
    </row>
    <row r="125" spans="2:58">
      <c r="B125" s="35" t="s">
        <v>517</v>
      </c>
      <c r="C125" s="35"/>
      <c r="D125" s="591"/>
      <c r="E125" s="36" t="s">
        <v>511</v>
      </c>
      <c r="F125" s="516">
        <v>45232.291666666664</v>
      </c>
      <c r="G125" s="591"/>
      <c r="H125" s="33"/>
      <c r="I125" s="615"/>
      <c r="J125" s="35" t="s">
        <v>518</v>
      </c>
      <c r="K125" s="36" t="s">
        <v>511</v>
      </c>
      <c r="L125" s="692">
        <v>45000</v>
      </c>
      <c r="M125" s="619" t="s">
        <v>519</v>
      </c>
      <c r="N125" s="619"/>
      <c r="O125" s="206"/>
      <c r="P125" s="205"/>
      <c r="Q125" s="616"/>
      <c r="R125" s="204"/>
      <c r="S125" s="617"/>
      <c r="T125" s="613"/>
      <c r="U125" s="613"/>
      <c r="V125" s="613"/>
      <c r="W125" s="613"/>
      <c r="X125" s="613"/>
      <c r="Y125" s="613"/>
      <c r="Z125" s="613"/>
      <c r="AA125" s="613"/>
      <c r="AB125" s="616"/>
      <c r="AC125" s="616"/>
      <c r="AD125" s="616"/>
      <c r="AE125" s="616"/>
      <c r="AF125" s="616"/>
      <c r="AG125" s="613"/>
      <c r="AH125" s="613"/>
      <c r="AI125" s="613"/>
      <c r="AJ125" s="613"/>
      <c r="AK125" s="613"/>
      <c r="AL125" s="613"/>
      <c r="AM125" s="613"/>
      <c r="AN125" s="613"/>
      <c r="AO125" s="613"/>
      <c r="AP125" s="613"/>
      <c r="AQ125" s="613"/>
      <c r="AR125" s="613"/>
      <c r="AS125" s="613"/>
      <c r="AT125" s="613"/>
      <c r="AU125" s="613"/>
      <c r="AV125" s="613"/>
      <c r="AW125" s="613"/>
      <c r="AX125" s="613"/>
      <c r="AY125" s="613"/>
      <c r="AZ125" s="613"/>
      <c r="BA125" s="613"/>
      <c r="BB125" s="613"/>
      <c r="BC125" s="613"/>
      <c r="BD125" s="613"/>
      <c r="BE125" s="613"/>
      <c r="BF125" s="613"/>
    </row>
    <row r="126" spans="2:58">
      <c r="B126" s="35" t="s">
        <v>520</v>
      </c>
      <c r="C126" s="35"/>
      <c r="D126" s="591"/>
      <c r="E126" s="36" t="s">
        <v>511</v>
      </c>
      <c r="F126" s="37" t="s">
        <v>12</v>
      </c>
      <c r="G126" s="591"/>
      <c r="H126" s="33"/>
      <c r="I126" s="615"/>
      <c r="J126" s="35" t="s">
        <v>521</v>
      </c>
      <c r="K126" s="36" t="s">
        <v>511</v>
      </c>
      <c r="L126" s="620" t="s">
        <v>3132</v>
      </c>
      <c r="M126" s="591"/>
      <c r="N126" s="591"/>
      <c r="O126" s="206"/>
      <c r="P126" s="616"/>
      <c r="Q126" s="616"/>
      <c r="R126" s="204"/>
      <c r="S126" s="617"/>
      <c r="T126" s="613"/>
      <c r="U126" s="613"/>
      <c r="V126" s="613"/>
      <c r="W126" s="613"/>
      <c r="X126" s="613"/>
      <c r="Y126" s="613"/>
      <c r="Z126" s="613"/>
      <c r="AA126" s="613"/>
      <c r="AB126" s="616"/>
      <c r="AC126" s="616"/>
      <c r="AD126" s="616"/>
      <c r="AE126" s="616"/>
      <c r="AF126" s="616"/>
      <c r="AG126" s="613"/>
      <c r="AH126" s="613"/>
      <c r="AI126" s="613"/>
      <c r="AJ126" s="613"/>
      <c r="AK126" s="613"/>
      <c r="AL126" s="613"/>
      <c r="AM126" s="613"/>
      <c r="AN126" s="613"/>
      <c r="AO126" s="613"/>
      <c r="AP126" s="613"/>
      <c r="AQ126" s="613"/>
      <c r="AR126" s="613"/>
      <c r="AS126" s="613"/>
      <c r="AT126" s="613"/>
      <c r="AU126" s="613"/>
      <c r="AV126" s="613"/>
      <c r="AW126" s="613"/>
      <c r="AX126" s="613"/>
      <c r="AY126" s="613"/>
      <c r="AZ126" s="613"/>
      <c r="BA126" s="613"/>
      <c r="BB126" s="613"/>
      <c r="BC126" s="613"/>
      <c r="BD126" s="613"/>
      <c r="BE126" s="613"/>
      <c r="BF126" s="613"/>
    </row>
    <row r="127" spans="2:58">
      <c r="B127" s="35" t="s">
        <v>523</v>
      </c>
      <c r="C127" s="35"/>
      <c r="D127" s="591"/>
      <c r="E127" s="36" t="s">
        <v>511</v>
      </c>
      <c r="F127" s="37" t="s">
        <v>32</v>
      </c>
      <c r="G127" s="591"/>
      <c r="H127" s="33"/>
      <c r="I127" s="615"/>
      <c r="J127" s="35" t="s">
        <v>524</v>
      </c>
      <c r="K127" s="36" t="s">
        <v>511</v>
      </c>
      <c r="L127" s="621" t="s">
        <v>11</v>
      </c>
      <c r="M127" s="611"/>
      <c r="N127" s="611"/>
      <c r="O127" s="206"/>
      <c r="P127" s="205"/>
      <c r="Q127" s="616"/>
      <c r="R127" s="204"/>
      <c r="S127" s="617"/>
      <c r="T127" s="613"/>
      <c r="U127" s="613"/>
      <c r="V127" s="613"/>
      <c r="W127" s="613"/>
      <c r="X127" s="613"/>
      <c r="Y127" s="613"/>
      <c r="Z127" s="613"/>
      <c r="AA127" s="613"/>
      <c r="AB127" s="616"/>
      <c r="AC127" s="616"/>
      <c r="AD127" s="616"/>
      <c r="AE127" s="616"/>
      <c r="AF127" s="616"/>
      <c r="AG127" s="613"/>
      <c r="AH127" s="613"/>
      <c r="AI127" s="613"/>
      <c r="AJ127" s="613"/>
      <c r="AK127" s="613"/>
      <c r="AL127" s="613"/>
      <c r="AM127" s="613"/>
      <c r="AN127" s="613"/>
      <c r="AO127" s="613"/>
      <c r="AP127" s="613"/>
      <c r="AQ127" s="613"/>
      <c r="AR127" s="613"/>
      <c r="AS127" s="613"/>
      <c r="AT127" s="613"/>
      <c r="AU127" s="613"/>
      <c r="AV127" s="613"/>
      <c r="AW127" s="613"/>
      <c r="AX127" s="613"/>
      <c r="AY127" s="613"/>
      <c r="AZ127" s="613"/>
      <c r="BA127" s="613"/>
      <c r="BB127" s="613"/>
      <c r="BC127" s="613"/>
      <c r="BD127" s="613"/>
      <c r="BE127" s="613"/>
      <c r="BF127" s="613"/>
    </row>
    <row r="128" spans="2:58">
      <c r="B128" s="35" t="s">
        <v>2</v>
      </c>
      <c r="C128" s="35"/>
      <c r="D128" s="591"/>
      <c r="E128" s="36" t="s">
        <v>511</v>
      </c>
      <c r="F128" s="37" t="s">
        <v>14</v>
      </c>
      <c r="G128" s="591"/>
      <c r="H128" s="33"/>
      <c r="I128" s="622"/>
      <c r="J128" s="35"/>
      <c r="K128" s="36"/>
      <c r="L128" s="211"/>
      <c r="M128" s="613"/>
      <c r="N128" s="613"/>
      <c r="O128" s="35"/>
      <c r="P128" s="611"/>
      <c r="Q128" s="611"/>
      <c r="R128" s="611"/>
      <c r="S128" s="615"/>
      <c r="T128" s="613"/>
      <c r="U128" s="613"/>
      <c r="V128" s="613"/>
      <c r="W128" s="613"/>
      <c r="X128" s="613"/>
      <c r="Y128" s="613"/>
      <c r="Z128" s="613"/>
      <c r="AA128" s="613"/>
      <c r="AB128" s="615"/>
      <c r="AC128" s="615"/>
      <c r="AD128" s="615"/>
      <c r="AE128" s="615"/>
      <c r="AF128" s="615"/>
      <c r="AG128" s="615"/>
      <c r="AH128" s="615"/>
      <c r="AI128" s="615"/>
      <c r="AJ128" s="615"/>
      <c r="AK128" s="615"/>
      <c r="AL128" s="615"/>
      <c r="AM128" s="615"/>
      <c r="AN128" s="615"/>
      <c r="AO128" s="613"/>
      <c r="AP128" s="613"/>
      <c r="AQ128" s="613"/>
      <c r="AR128" s="613"/>
      <c r="AS128" s="613"/>
      <c r="AT128" s="613"/>
      <c r="AU128" s="613"/>
      <c r="AV128" s="613"/>
      <c r="AW128" s="613"/>
      <c r="AX128" s="613"/>
      <c r="AY128" s="613"/>
      <c r="AZ128" s="613"/>
      <c r="BA128" s="613"/>
      <c r="BB128" s="613"/>
      <c r="BC128" s="613"/>
      <c r="BD128" s="613"/>
      <c r="BE128" s="613"/>
      <c r="BF128" s="613"/>
    </row>
    <row r="129" spans="2:58">
      <c r="B129" s="613"/>
      <c r="C129" s="613"/>
      <c r="D129" s="613"/>
      <c r="E129" s="613"/>
      <c r="F129" s="613"/>
      <c r="G129" s="613"/>
      <c r="H129" s="613"/>
      <c r="I129" s="622"/>
      <c r="J129" s="35"/>
      <c r="K129" s="35"/>
      <c r="L129" s="621"/>
      <c r="M129" s="611"/>
      <c r="N129" s="611"/>
      <c r="O129" s="35"/>
      <c r="P129" s="611"/>
      <c r="Q129" s="611"/>
      <c r="R129" s="611"/>
      <c r="S129" s="615"/>
      <c r="T129" s="1317" t="s">
        <v>87</v>
      </c>
      <c r="U129" s="1317"/>
      <c r="V129" s="1317"/>
      <c r="W129" s="1317"/>
      <c r="X129" s="1317"/>
      <c r="Y129" s="1317" t="s">
        <v>73</v>
      </c>
      <c r="Z129" s="1317"/>
      <c r="AA129" s="1317"/>
      <c r="AB129" s="1317" t="s">
        <v>74</v>
      </c>
      <c r="AC129" s="1317"/>
      <c r="AD129" s="623" t="s">
        <v>85</v>
      </c>
      <c r="AE129" s="854" t="s">
        <v>77</v>
      </c>
      <c r="AF129" s="1459" t="s">
        <v>525</v>
      </c>
      <c r="AG129" s="1459"/>
      <c r="AH129" s="1459"/>
      <c r="AI129" s="1459"/>
      <c r="AJ129" s="1459"/>
      <c r="AK129" s="1459"/>
      <c r="AL129" s="1459"/>
      <c r="AM129" s="1459"/>
      <c r="AN129" s="1459"/>
      <c r="AO129" s="1459"/>
      <c r="AP129" s="1459"/>
      <c r="AQ129" s="1459"/>
      <c r="AR129" s="1459"/>
      <c r="AS129" s="1459"/>
      <c r="AT129" s="1459"/>
      <c r="AU129" s="1459"/>
      <c r="AV129" s="1459"/>
      <c r="AW129" s="1459"/>
      <c r="AX129" s="1459"/>
      <c r="AY129" s="1459"/>
      <c r="AZ129" s="1459"/>
      <c r="BA129" s="1459"/>
      <c r="BB129" s="1459"/>
      <c r="BC129" s="1459"/>
      <c r="BD129" s="1459"/>
      <c r="BE129" s="613"/>
      <c r="BF129" s="613"/>
    </row>
    <row r="130" spans="2:58">
      <c r="B130" s="1318" t="s">
        <v>526</v>
      </c>
      <c r="C130" s="1319"/>
      <c r="D130" s="624" t="s">
        <v>527</v>
      </c>
      <c r="E130" s="624"/>
      <c r="F130" s="624" t="s">
        <v>528</v>
      </c>
      <c r="G130" s="624" t="s">
        <v>529</v>
      </c>
      <c r="H130" s="624" t="s">
        <v>530</v>
      </c>
      <c r="I130" s="624" t="s">
        <v>531</v>
      </c>
      <c r="J130" s="624" t="s">
        <v>532</v>
      </c>
      <c r="K130" s="624"/>
      <c r="L130" s="624" t="s">
        <v>130</v>
      </c>
      <c r="M130" s="624" t="s">
        <v>533</v>
      </c>
      <c r="N130" s="625" t="str">
        <f>"On time - "&amp;COUNTIF(N131:N142,"On time")&amp;" from "&amp;ROWS(N131:N142)-COUNTIF(N131:N142," ")</f>
        <v>On time - 0 from 7</v>
      </c>
      <c r="O130" s="626"/>
      <c r="P130" s="627" t="s">
        <v>534</v>
      </c>
      <c r="Q130" s="627" t="s">
        <v>535</v>
      </c>
      <c r="R130" s="627" t="s">
        <v>536</v>
      </c>
      <c r="S130" s="591"/>
      <c r="T130" s="628" t="s">
        <v>537</v>
      </c>
      <c r="U130" s="628" t="s">
        <v>538</v>
      </c>
      <c r="V130" s="628" t="s">
        <v>539</v>
      </c>
      <c r="W130" s="628" t="s">
        <v>540</v>
      </c>
      <c r="X130" s="628" t="s">
        <v>541</v>
      </c>
      <c r="Y130" s="628" t="s">
        <v>167</v>
      </c>
      <c r="Z130" s="628" t="s">
        <v>168</v>
      </c>
      <c r="AA130" s="628" t="s">
        <v>169</v>
      </c>
      <c r="AB130" s="628" t="s">
        <v>235</v>
      </c>
      <c r="AC130" s="628" t="s">
        <v>240</v>
      </c>
      <c r="AD130" s="623" t="s">
        <v>85</v>
      </c>
      <c r="AE130" s="628" t="s">
        <v>139</v>
      </c>
      <c r="AF130" s="855" t="s">
        <v>72</v>
      </c>
      <c r="AG130" s="855" t="s">
        <v>88</v>
      </c>
      <c r="AH130" s="855" t="s">
        <v>75</v>
      </c>
      <c r="AI130" s="855" t="s">
        <v>543</v>
      </c>
      <c r="AJ130" s="855" t="s">
        <v>78</v>
      </c>
      <c r="AK130" s="855" t="s">
        <v>76</v>
      </c>
      <c r="AL130" s="855" t="s">
        <v>544</v>
      </c>
      <c r="AM130" s="855" t="s">
        <v>545</v>
      </c>
      <c r="AN130" s="855" t="s">
        <v>86</v>
      </c>
      <c r="AO130" s="855" t="s">
        <v>83</v>
      </c>
      <c r="AP130" s="855" t="s">
        <v>84</v>
      </c>
      <c r="AQ130" s="855" t="s">
        <v>546</v>
      </c>
      <c r="AR130" s="855" t="s">
        <v>81</v>
      </c>
      <c r="AS130" s="855" t="s">
        <v>80</v>
      </c>
      <c r="AT130" s="855" t="s">
        <v>82</v>
      </c>
      <c r="AU130" s="855" t="s">
        <v>181</v>
      </c>
      <c r="AV130" s="855" t="s">
        <v>183</v>
      </c>
      <c r="AW130" s="855" t="s">
        <v>547</v>
      </c>
      <c r="AX130" s="855" t="s">
        <v>182</v>
      </c>
      <c r="AY130" s="855" t="s">
        <v>172</v>
      </c>
      <c r="AZ130" s="855" t="s">
        <v>173</v>
      </c>
      <c r="BA130" s="855" t="s">
        <v>184</v>
      </c>
      <c r="BB130" s="855" t="s">
        <v>100</v>
      </c>
      <c r="BC130" s="855" t="s">
        <v>913</v>
      </c>
      <c r="BD130" s="855" t="s">
        <v>2747</v>
      </c>
      <c r="BE130" s="613"/>
      <c r="BF130" s="613"/>
    </row>
    <row r="131" spans="2:58">
      <c r="B131" s="1326" t="s">
        <v>911</v>
      </c>
      <c r="C131" s="1327"/>
      <c r="D131" s="501" t="s">
        <v>3485</v>
      </c>
      <c r="E131" s="502"/>
      <c r="F131" s="501" t="s">
        <v>492</v>
      </c>
      <c r="G131" s="501" t="s">
        <v>493</v>
      </c>
      <c r="H131" s="629">
        <f>7500.973/4</f>
        <v>1875.24325</v>
      </c>
      <c r="I131" s="505" t="s">
        <v>240</v>
      </c>
      <c r="J131" s="504">
        <v>45237.875</v>
      </c>
      <c r="K131" s="504"/>
      <c r="L131" s="504" t="s">
        <v>192</v>
      </c>
      <c r="M131" s="504" t="s">
        <v>192</v>
      </c>
      <c r="N131" s="505" t="str">
        <f t="shared" ref="N131:N142" si="10">IF(ISBLANK(J131)," ",IF(J131&lt;$F$125,"On time",(IF(DAY(J131-$F$125)&lt;1,"On time",(IF(J131&gt;$F$125,"DELAY ( "&amp;DAY(J131-$F$125)&amp;" day "&amp;HOUR(J131-$F$125)&amp;" hour "&amp;MINUTE(J131-$F$125)&amp;" minute )","xxx"))))))</f>
        <v>DELAY ( 5 day 14 hour 0 minute )</v>
      </c>
      <c r="O131" s="597"/>
      <c r="P131" s="507" t="s">
        <v>551</v>
      </c>
      <c r="Q131" s="507" t="s">
        <v>551</v>
      </c>
      <c r="R131" s="507" t="s">
        <v>551</v>
      </c>
      <c r="S131" s="598"/>
      <c r="T131" s="599"/>
      <c r="U131" s="599"/>
      <c r="V131" s="599"/>
      <c r="W131" s="599"/>
      <c r="X131" s="599"/>
      <c r="Y131" s="599"/>
      <c r="Z131" s="599"/>
      <c r="AA131" s="599"/>
      <c r="AB131" s="599"/>
      <c r="AC131" s="599">
        <f>H131</f>
        <v>1875.24325</v>
      </c>
      <c r="AD131" s="599"/>
      <c r="AE131" s="599"/>
      <c r="AF131" s="599"/>
      <c r="AG131" s="599"/>
      <c r="AH131" s="599"/>
      <c r="AI131" s="599"/>
      <c r="AJ131" s="599"/>
      <c r="AK131" s="599"/>
      <c r="AL131" s="599"/>
      <c r="AM131" s="599"/>
      <c r="AN131" s="599"/>
      <c r="AO131" s="599"/>
      <c r="AP131" s="599"/>
      <c r="AQ131" s="599"/>
      <c r="AR131" s="599"/>
      <c r="AS131" s="599"/>
      <c r="AT131" s="599"/>
      <c r="AU131" s="599"/>
      <c r="AV131" s="599"/>
      <c r="AW131" s="599"/>
      <c r="AX131" s="599"/>
      <c r="AY131" s="599"/>
      <c r="AZ131" s="599"/>
      <c r="BA131" s="599"/>
      <c r="BB131" s="599"/>
      <c r="BC131" s="599"/>
      <c r="BD131" s="599"/>
      <c r="BE131" s="598"/>
      <c r="BF131" s="598"/>
    </row>
    <row r="132" spans="2:58">
      <c r="B132" s="1328"/>
      <c r="C132" s="1329"/>
      <c r="D132" s="501" t="s">
        <v>3667</v>
      </c>
      <c r="E132" s="501"/>
      <c r="F132" s="501" t="s">
        <v>390</v>
      </c>
      <c r="G132" s="501" t="s">
        <v>3346</v>
      </c>
      <c r="H132" s="629">
        <v>7400.0389999999998</v>
      </c>
      <c r="I132" s="505" t="s">
        <v>494</v>
      </c>
      <c r="J132" s="504">
        <v>45237.930555555555</v>
      </c>
      <c r="K132" s="504"/>
      <c r="L132" s="504" t="s">
        <v>192</v>
      </c>
      <c r="M132" s="504" t="s">
        <v>192</v>
      </c>
      <c r="N132" s="505" t="str">
        <f t="shared" si="10"/>
        <v>DELAY ( 5 day 15 hour 20 minute )</v>
      </c>
      <c r="O132" s="597"/>
      <c r="P132" s="507" t="s">
        <v>551</v>
      </c>
      <c r="Q132" s="507" t="s">
        <v>551</v>
      </c>
      <c r="R132" s="507" t="s">
        <v>551</v>
      </c>
      <c r="S132" s="598"/>
      <c r="T132" s="599"/>
      <c r="U132" s="599"/>
      <c r="V132" s="599"/>
      <c r="W132" s="599"/>
      <c r="X132" s="599"/>
      <c r="Y132" s="599">
        <f>H132</f>
        <v>7400.0389999999998</v>
      </c>
      <c r="Z132" s="599"/>
      <c r="AA132" s="599"/>
      <c r="AB132" s="599"/>
      <c r="AC132" s="599"/>
      <c r="AD132" s="599"/>
      <c r="AE132" s="599"/>
      <c r="AF132" s="599"/>
      <c r="AG132" s="599"/>
      <c r="AH132" s="599"/>
      <c r="AI132" s="599"/>
      <c r="AJ132" s="599"/>
      <c r="AK132" s="599"/>
      <c r="AL132" s="599"/>
      <c r="AM132" s="599"/>
      <c r="AN132" s="599"/>
      <c r="AO132" s="599"/>
      <c r="AP132" s="599"/>
      <c r="AQ132" s="599"/>
      <c r="AR132" s="599"/>
      <c r="AS132" s="599"/>
      <c r="AT132" s="599"/>
      <c r="AU132" s="599"/>
      <c r="AV132" s="599"/>
      <c r="AW132" s="599"/>
      <c r="AX132" s="599"/>
      <c r="AY132" s="599"/>
      <c r="AZ132" s="599"/>
      <c r="BA132" s="599"/>
      <c r="BB132" s="599"/>
      <c r="BC132" s="599"/>
      <c r="BD132" s="599"/>
      <c r="BE132" s="598"/>
      <c r="BF132" s="598"/>
    </row>
    <row r="133" spans="2:58">
      <c r="B133" s="1326" t="s">
        <v>1121</v>
      </c>
      <c r="C133" s="1327"/>
      <c r="D133" s="501" t="s">
        <v>3485</v>
      </c>
      <c r="E133" s="502"/>
      <c r="F133" s="501" t="s">
        <v>492</v>
      </c>
      <c r="G133" s="501" t="s">
        <v>493</v>
      </c>
      <c r="H133" s="629">
        <f>H131</f>
        <v>1875.24325</v>
      </c>
      <c r="I133" s="505" t="s">
        <v>240</v>
      </c>
      <c r="J133" s="504"/>
      <c r="K133" s="504"/>
      <c r="L133" s="504"/>
      <c r="M133" s="504"/>
      <c r="N133" s="505" t="str">
        <f t="shared" si="10"/>
        <v xml:space="preserve"> </v>
      </c>
      <c r="O133" s="597"/>
      <c r="P133" s="507" t="s">
        <v>551</v>
      </c>
      <c r="Q133" s="507" t="s">
        <v>551</v>
      </c>
      <c r="R133" s="507" t="s">
        <v>551</v>
      </c>
      <c r="S133" s="598"/>
      <c r="T133" s="599"/>
      <c r="U133" s="599"/>
      <c r="V133" s="599"/>
      <c r="W133" s="599"/>
      <c r="X133" s="599"/>
      <c r="Y133" s="599"/>
      <c r="Z133" s="599"/>
      <c r="AA133" s="599"/>
      <c r="AB133" s="599"/>
      <c r="AC133" s="599">
        <f>H133</f>
        <v>1875.24325</v>
      </c>
      <c r="AD133" s="599"/>
      <c r="AE133" s="599"/>
      <c r="AF133" s="599"/>
      <c r="AG133" s="599"/>
      <c r="AH133" s="599"/>
      <c r="AI133" s="599"/>
      <c r="AJ133" s="599"/>
      <c r="AK133" s="599"/>
      <c r="AL133" s="599"/>
      <c r="AM133" s="599"/>
      <c r="AN133" s="599"/>
      <c r="AO133" s="599"/>
      <c r="AP133" s="599"/>
      <c r="AQ133" s="599"/>
      <c r="AR133" s="599"/>
      <c r="AS133" s="599"/>
      <c r="AT133" s="599"/>
      <c r="AU133" s="599"/>
      <c r="AV133" s="599"/>
      <c r="AW133" s="599"/>
      <c r="AX133" s="599"/>
      <c r="AY133" s="599"/>
      <c r="AZ133" s="599"/>
      <c r="BA133" s="599"/>
      <c r="BB133" s="599"/>
      <c r="BC133" s="599"/>
      <c r="BD133" s="599"/>
      <c r="BE133" s="598"/>
      <c r="BF133" s="598"/>
    </row>
    <row r="134" spans="2:58">
      <c r="B134" s="1328"/>
      <c r="C134" s="1329"/>
      <c r="D134" s="501" t="s">
        <v>3666</v>
      </c>
      <c r="E134" s="501"/>
      <c r="F134" s="501" t="s">
        <v>2404</v>
      </c>
      <c r="G134" s="501" t="s">
        <v>2405</v>
      </c>
      <c r="H134" s="629">
        <v>9594.7109999999993</v>
      </c>
      <c r="I134" s="505" t="s">
        <v>494</v>
      </c>
      <c r="J134" s="504">
        <v>45237.916666666664</v>
      </c>
      <c r="K134" s="504"/>
      <c r="L134" s="504" t="s">
        <v>192</v>
      </c>
      <c r="M134" s="504" t="s">
        <v>192</v>
      </c>
      <c r="N134" s="505" t="str">
        <f t="shared" si="10"/>
        <v>DELAY ( 5 day 15 hour 0 minute )</v>
      </c>
      <c r="O134" s="597"/>
      <c r="P134" s="507" t="s">
        <v>551</v>
      </c>
      <c r="Q134" s="507" t="s">
        <v>551</v>
      </c>
      <c r="R134" s="507" t="s">
        <v>551</v>
      </c>
      <c r="S134" s="598"/>
      <c r="T134" s="599"/>
      <c r="U134" s="599"/>
      <c r="V134" s="599"/>
      <c r="W134" s="599"/>
      <c r="X134" s="599"/>
      <c r="Y134" s="599">
        <f>H134</f>
        <v>9594.7109999999993</v>
      </c>
      <c r="Z134" s="599"/>
      <c r="AA134" s="599"/>
      <c r="AB134" s="599"/>
      <c r="AC134" s="599"/>
      <c r="AD134" s="599"/>
      <c r="AE134" s="599"/>
      <c r="AF134" s="599"/>
      <c r="AG134" s="599"/>
      <c r="AH134" s="599"/>
      <c r="AI134" s="599"/>
      <c r="AJ134" s="599"/>
      <c r="AK134" s="599"/>
      <c r="AL134" s="599"/>
      <c r="AM134" s="599"/>
      <c r="AN134" s="599"/>
      <c r="AO134" s="599"/>
      <c r="AP134" s="598"/>
      <c r="AQ134" s="599"/>
      <c r="AR134" s="599"/>
      <c r="AS134" s="599"/>
      <c r="AT134" s="599"/>
      <c r="AU134" s="599"/>
      <c r="AV134" s="599"/>
      <c r="AW134" s="599"/>
      <c r="AX134" s="599"/>
      <c r="AY134" s="599"/>
      <c r="AZ134" s="599"/>
      <c r="BA134" s="599"/>
      <c r="BB134" s="599"/>
      <c r="BC134" s="599"/>
      <c r="BD134" s="599"/>
      <c r="BE134" s="598"/>
      <c r="BF134" s="598"/>
    </row>
    <row r="135" spans="2:58">
      <c r="B135" s="1326" t="s">
        <v>911</v>
      </c>
      <c r="C135" s="1327"/>
      <c r="D135" s="501" t="s">
        <v>3485</v>
      </c>
      <c r="E135" s="502"/>
      <c r="F135" s="501" t="s">
        <v>492</v>
      </c>
      <c r="G135" s="501" t="s">
        <v>493</v>
      </c>
      <c r="H135" s="629">
        <f>H137</f>
        <v>1875.24325</v>
      </c>
      <c r="I135" s="505" t="s">
        <v>240</v>
      </c>
      <c r="J135" s="504"/>
      <c r="K135" s="504"/>
      <c r="L135" s="504"/>
      <c r="M135" s="504"/>
      <c r="N135" s="505" t="str">
        <f t="shared" si="10"/>
        <v xml:space="preserve"> </v>
      </c>
      <c r="O135" s="597"/>
      <c r="P135" s="507" t="s">
        <v>551</v>
      </c>
      <c r="Q135" s="507" t="s">
        <v>551</v>
      </c>
      <c r="R135" s="507" t="s">
        <v>551</v>
      </c>
      <c r="S135" s="598"/>
      <c r="T135" s="599"/>
      <c r="U135" s="599"/>
      <c r="V135" s="599"/>
      <c r="W135" s="599"/>
      <c r="X135" s="599"/>
      <c r="Y135" s="599"/>
      <c r="Z135" s="599"/>
      <c r="AA135" s="599"/>
      <c r="AB135" s="599"/>
      <c r="AC135" s="599">
        <f>H135</f>
        <v>1875.24325</v>
      </c>
      <c r="AD135" s="599"/>
      <c r="AE135" s="599"/>
      <c r="AF135" s="599"/>
      <c r="AG135" s="599"/>
      <c r="AH135" s="599"/>
      <c r="AI135" s="599"/>
      <c r="AJ135" s="599"/>
      <c r="AK135" s="599"/>
      <c r="AL135" s="599"/>
      <c r="AM135" s="599"/>
      <c r="AN135" s="599"/>
      <c r="AO135" s="599"/>
      <c r="AP135" s="599"/>
      <c r="AQ135" s="599"/>
      <c r="AR135" s="599"/>
      <c r="AS135" s="599"/>
      <c r="AT135" s="599"/>
      <c r="AU135" s="599"/>
      <c r="AV135" s="599"/>
      <c r="AW135" s="599"/>
      <c r="AX135" s="599"/>
      <c r="AY135" s="599"/>
      <c r="AZ135" s="599"/>
      <c r="BA135" s="599"/>
      <c r="BB135" s="599"/>
      <c r="BC135" s="599"/>
      <c r="BD135" s="599"/>
      <c r="BE135" s="598"/>
      <c r="BF135" s="598"/>
    </row>
    <row r="136" spans="2:58">
      <c r="B136" s="1328"/>
      <c r="C136" s="1329"/>
      <c r="D136" s="501" t="s">
        <v>3668</v>
      </c>
      <c r="E136" s="501"/>
      <c r="F136" s="501" t="s">
        <v>2277</v>
      </c>
      <c r="G136" s="501" t="s">
        <v>2278</v>
      </c>
      <c r="H136" s="629">
        <v>7513.0950000000003</v>
      </c>
      <c r="I136" s="505" t="s">
        <v>494</v>
      </c>
      <c r="J136" s="504">
        <v>45239.006944444445</v>
      </c>
      <c r="K136" s="504"/>
      <c r="L136" s="504" t="s">
        <v>192</v>
      </c>
      <c r="M136" s="504" t="s">
        <v>192</v>
      </c>
      <c r="N136" s="505" t="str">
        <f t="shared" si="10"/>
        <v>DELAY ( 6 day 17 hour 10 minute )</v>
      </c>
      <c r="O136" s="597"/>
      <c r="P136" s="507" t="s">
        <v>551</v>
      </c>
      <c r="Q136" s="507" t="s">
        <v>551</v>
      </c>
      <c r="R136" s="507" t="s">
        <v>551</v>
      </c>
      <c r="S136" s="598"/>
      <c r="T136" s="599"/>
      <c r="U136" s="599"/>
      <c r="V136" s="599"/>
      <c r="W136" s="599"/>
      <c r="X136" s="599"/>
      <c r="Y136" s="599">
        <f>H136</f>
        <v>7513.0950000000003</v>
      </c>
      <c r="Z136" s="599"/>
      <c r="AA136" s="599"/>
      <c r="AB136" s="599"/>
      <c r="AC136" s="599"/>
      <c r="AD136" s="599"/>
      <c r="AE136" s="599"/>
      <c r="AF136" s="599"/>
      <c r="AG136" s="599"/>
      <c r="AH136" s="599"/>
      <c r="AI136" s="599"/>
      <c r="AJ136" s="599"/>
      <c r="AK136" s="598"/>
      <c r="AL136" s="599"/>
      <c r="AM136" s="599"/>
      <c r="AN136" s="599"/>
      <c r="AO136" s="599"/>
      <c r="AP136" s="599"/>
      <c r="AQ136" s="599"/>
      <c r="AR136" s="599"/>
      <c r="AS136" s="599"/>
      <c r="AT136" s="599"/>
      <c r="AU136" s="599"/>
      <c r="AV136" s="599"/>
      <c r="AW136" s="599"/>
      <c r="AX136" s="599"/>
      <c r="AY136" s="599"/>
      <c r="AZ136" s="599"/>
      <c r="BA136" s="599"/>
      <c r="BB136" s="599"/>
      <c r="BC136" s="599"/>
      <c r="BD136" s="599"/>
      <c r="BE136" s="598"/>
      <c r="BF136" s="598"/>
    </row>
    <row r="137" spans="2:58">
      <c r="B137" s="1326" t="s">
        <v>911</v>
      </c>
      <c r="C137" s="1327"/>
      <c r="D137" s="501" t="s">
        <v>3485</v>
      </c>
      <c r="E137" s="502"/>
      <c r="F137" s="501" t="s">
        <v>492</v>
      </c>
      <c r="G137" s="501" t="s">
        <v>493</v>
      </c>
      <c r="H137" s="629">
        <f>H133</f>
        <v>1875.24325</v>
      </c>
      <c r="I137" s="505" t="s">
        <v>240</v>
      </c>
      <c r="J137" s="504"/>
      <c r="K137" s="504"/>
      <c r="L137" s="504"/>
      <c r="M137" s="504"/>
      <c r="N137" s="505" t="str">
        <f t="shared" si="10"/>
        <v xml:space="preserve"> </v>
      </c>
      <c r="O137" s="597"/>
      <c r="P137" s="507" t="s">
        <v>551</v>
      </c>
      <c r="Q137" s="507" t="s">
        <v>551</v>
      </c>
      <c r="R137" s="507" t="s">
        <v>551</v>
      </c>
      <c r="S137" s="598"/>
      <c r="T137" s="599"/>
      <c r="U137" s="599"/>
      <c r="V137" s="599"/>
      <c r="W137" s="599"/>
      <c r="X137" s="599"/>
      <c r="Y137" s="599"/>
      <c r="Z137" s="599"/>
      <c r="AA137" s="599"/>
      <c r="AB137" s="599"/>
      <c r="AC137" s="599">
        <f>H137</f>
        <v>1875.24325</v>
      </c>
      <c r="AD137" s="599"/>
      <c r="AE137" s="599"/>
      <c r="AF137" s="599"/>
      <c r="AG137" s="599"/>
      <c r="AH137" s="599"/>
      <c r="AI137" s="599"/>
      <c r="AJ137" s="599"/>
      <c r="AK137" s="599"/>
      <c r="AL137" s="599"/>
      <c r="AM137" s="599"/>
      <c r="AN137" s="599"/>
      <c r="AO137" s="599"/>
      <c r="AP137" s="599"/>
      <c r="AQ137" s="599"/>
      <c r="AR137" s="599"/>
      <c r="AS137" s="599"/>
      <c r="AT137" s="599"/>
      <c r="AU137" s="599"/>
      <c r="AV137" s="599"/>
      <c r="AW137" s="599"/>
      <c r="AX137" s="599"/>
      <c r="AY137" s="599"/>
      <c r="AZ137" s="599"/>
      <c r="BA137" s="599"/>
      <c r="BB137" s="599"/>
      <c r="BC137" s="599"/>
      <c r="BD137" s="599"/>
      <c r="BE137" s="598"/>
      <c r="BF137" s="598"/>
    </row>
    <row r="138" spans="2:58">
      <c r="B138" s="1328"/>
      <c r="C138" s="1329"/>
      <c r="D138" s="501" t="s">
        <v>3669</v>
      </c>
      <c r="E138" s="501"/>
      <c r="F138" s="501" t="s">
        <v>2207</v>
      </c>
      <c r="G138" s="501" t="s">
        <v>2208</v>
      </c>
      <c r="H138" s="629">
        <v>7332.8919999999998</v>
      </c>
      <c r="I138" s="505" t="s">
        <v>494</v>
      </c>
      <c r="J138" s="504">
        <v>45239.020833333336</v>
      </c>
      <c r="K138" s="504"/>
      <c r="L138" s="504" t="s">
        <v>192</v>
      </c>
      <c r="M138" s="504" t="s">
        <v>192</v>
      </c>
      <c r="N138" s="505" t="str">
        <f t="shared" si="10"/>
        <v>DELAY ( 6 day 17 hour 30 minute )</v>
      </c>
      <c r="O138" s="597"/>
      <c r="P138" s="507" t="s">
        <v>551</v>
      </c>
      <c r="Q138" s="507" t="s">
        <v>551</v>
      </c>
      <c r="R138" s="507" t="s">
        <v>551</v>
      </c>
      <c r="S138" s="598"/>
      <c r="T138" s="599"/>
      <c r="U138" s="599"/>
      <c r="V138" s="599"/>
      <c r="W138" s="599"/>
      <c r="X138" s="599"/>
      <c r="Y138" s="599">
        <f>H138</f>
        <v>7332.8919999999998</v>
      </c>
      <c r="Z138" s="599"/>
      <c r="AA138" s="599"/>
      <c r="AB138" s="599"/>
      <c r="AC138" s="599"/>
      <c r="AD138" s="599"/>
      <c r="AE138" s="599"/>
      <c r="AF138" s="599"/>
      <c r="AG138" s="599"/>
      <c r="AH138" s="599"/>
      <c r="AI138" s="599"/>
      <c r="AJ138" s="599"/>
      <c r="AK138" s="599"/>
      <c r="AL138" s="599"/>
      <c r="AM138" s="599"/>
      <c r="AN138" s="599"/>
      <c r="AO138" s="599"/>
      <c r="AP138" s="598"/>
      <c r="AQ138" s="599"/>
      <c r="AR138" s="599"/>
      <c r="AS138" s="599"/>
      <c r="AT138" s="599"/>
      <c r="AU138" s="599"/>
      <c r="AV138" s="599"/>
      <c r="AW138" s="599"/>
      <c r="AX138" s="599"/>
      <c r="AY138" s="599"/>
      <c r="AZ138" s="599"/>
      <c r="BA138" s="599"/>
      <c r="BB138" s="599"/>
      <c r="BC138" s="599"/>
      <c r="BD138" s="599"/>
      <c r="BE138" s="598"/>
      <c r="BF138" s="598"/>
    </row>
    <row r="139" spans="2:58">
      <c r="B139" s="1315" t="s">
        <v>548</v>
      </c>
      <c r="C139" s="1316"/>
      <c r="D139" s="501" t="s">
        <v>3664</v>
      </c>
      <c r="E139" s="501"/>
      <c r="F139" s="501" t="s">
        <v>721</v>
      </c>
      <c r="G139" s="501" t="s">
        <v>1349</v>
      </c>
      <c r="H139" s="629">
        <v>3960.8029999999999</v>
      </c>
      <c r="I139" s="505" t="s">
        <v>1968</v>
      </c>
      <c r="J139" s="504">
        <v>45239.041666666664</v>
      </c>
      <c r="K139" s="504"/>
      <c r="L139" s="504" t="s">
        <v>192</v>
      </c>
      <c r="M139" s="504" t="s">
        <v>192</v>
      </c>
      <c r="N139" s="505" t="str">
        <f t="shared" si="10"/>
        <v>DELAY ( 6 day 18 hour 0 minute )</v>
      </c>
      <c r="O139" s="597"/>
      <c r="P139" s="507" t="s">
        <v>551</v>
      </c>
      <c r="Q139" s="507" t="s">
        <v>551</v>
      </c>
      <c r="R139" s="507" t="s">
        <v>551</v>
      </c>
      <c r="S139" s="598"/>
      <c r="T139" s="599"/>
      <c r="U139" s="599"/>
      <c r="V139" s="599"/>
      <c r="W139" s="599"/>
      <c r="X139" s="599"/>
      <c r="Y139" s="599">
        <f>(H139*0.8)</f>
        <v>3168.6424000000002</v>
      </c>
      <c r="Z139" s="599">
        <f>(H139*0.2)</f>
        <v>792.16060000000004</v>
      </c>
      <c r="AA139" s="599"/>
      <c r="AB139" s="599"/>
      <c r="AC139" s="599"/>
      <c r="AD139" s="599"/>
      <c r="AE139" s="599"/>
      <c r="AF139" s="599"/>
      <c r="AG139" s="599"/>
      <c r="AH139" s="599"/>
      <c r="AI139" s="599"/>
      <c r="AJ139" s="599"/>
      <c r="AK139" s="599"/>
      <c r="AL139" s="599"/>
      <c r="AM139" s="599"/>
      <c r="AN139" s="599"/>
      <c r="AO139" s="599"/>
      <c r="AP139" s="599"/>
      <c r="AQ139" s="599"/>
      <c r="AR139" s="599"/>
      <c r="AS139" s="599"/>
      <c r="AT139" s="599"/>
      <c r="AU139" s="599"/>
      <c r="AV139" s="599"/>
      <c r="AW139" s="599"/>
      <c r="AX139" s="599"/>
      <c r="AY139" s="599"/>
      <c r="AZ139" s="599"/>
      <c r="BA139" s="599"/>
      <c r="BB139" s="599"/>
      <c r="BC139" s="599"/>
      <c r="BD139" s="599"/>
      <c r="BE139" s="598"/>
      <c r="BF139" s="598"/>
    </row>
    <row r="140" spans="2:58">
      <c r="B140" s="1315" t="s">
        <v>548</v>
      </c>
      <c r="C140" s="1316"/>
      <c r="D140" s="501" t="s">
        <v>3670</v>
      </c>
      <c r="E140" s="501"/>
      <c r="F140" s="501" t="s">
        <v>334</v>
      </c>
      <c r="G140" s="501" t="s">
        <v>335</v>
      </c>
      <c r="H140" s="856">
        <f>7587.352-5889.865</f>
        <v>1697.4870000000001</v>
      </c>
      <c r="I140" s="505" t="s">
        <v>1968</v>
      </c>
      <c r="J140" s="504">
        <v>45238.791666666664</v>
      </c>
      <c r="K140" s="504"/>
      <c r="L140" s="504" t="s">
        <v>192</v>
      </c>
      <c r="M140" s="504" t="s">
        <v>192</v>
      </c>
      <c r="N140" s="505" t="str">
        <f t="shared" si="10"/>
        <v>DELAY ( 6 day 12 hour 0 minute )</v>
      </c>
      <c r="O140" s="597"/>
      <c r="P140" s="507" t="s">
        <v>551</v>
      </c>
      <c r="Q140" s="507" t="s">
        <v>551</v>
      </c>
      <c r="R140" s="507" t="s">
        <v>551</v>
      </c>
      <c r="S140" s="598"/>
      <c r="T140" s="599"/>
      <c r="U140" s="599"/>
      <c r="V140" s="599"/>
      <c r="W140" s="599"/>
      <c r="X140" s="599"/>
      <c r="Y140" s="599">
        <f>(H140*0.8)</f>
        <v>1357.9896000000001</v>
      </c>
      <c r="Z140" s="599">
        <f>(H140*0.2)</f>
        <v>339.49740000000003</v>
      </c>
      <c r="AA140" s="599"/>
      <c r="AB140" s="599"/>
      <c r="AC140" s="599"/>
      <c r="AD140" s="599"/>
      <c r="AE140" s="599"/>
      <c r="AF140" s="599"/>
      <c r="AG140" s="599"/>
      <c r="AH140" s="599"/>
      <c r="AI140" s="599"/>
      <c r="AJ140" s="599"/>
      <c r="AK140" s="599"/>
      <c r="AL140" s="599"/>
      <c r="AM140" s="599"/>
      <c r="AN140" s="599"/>
      <c r="AO140" s="599"/>
      <c r="AP140" s="599"/>
      <c r="AQ140" s="599"/>
      <c r="AR140" s="599"/>
      <c r="AS140" s="599"/>
      <c r="AT140" s="599"/>
      <c r="AU140" s="599"/>
      <c r="AV140" s="599"/>
      <c r="AW140" s="599"/>
      <c r="AX140" s="599"/>
      <c r="AY140" s="599"/>
      <c r="AZ140" s="599"/>
      <c r="BA140" s="599"/>
      <c r="BB140" s="599"/>
      <c r="BC140" s="599"/>
      <c r="BD140" s="599"/>
      <c r="BE140" s="598"/>
      <c r="BF140" s="598"/>
    </row>
    <row r="141" spans="2:58">
      <c r="B141" s="1258" t="s">
        <v>556</v>
      </c>
      <c r="C141" s="1259"/>
      <c r="D141" s="1259"/>
      <c r="E141" s="1259"/>
      <c r="F141" s="1259"/>
      <c r="G141" s="1260"/>
      <c r="H141" s="757">
        <f>SUM(H131:H140)</f>
        <v>45000</v>
      </c>
      <c r="I141" s="587"/>
      <c r="J141" s="588"/>
      <c r="K141" s="588"/>
      <c r="L141" s="588"/>
      <c r="M141" s="589"/>
      <c r="N141" s="505" t="str">
        <f t="shared" si="10"/>
        <v xml:space="preserve"> </v>
      </c>
      <c r="O141" s="212"/>
      <c r="P141" s="590"/>
      <c r="Q141" s="590"/>
      <c r="R141" s="590"/>
      <c r="S141" s="633"/>
      <c r="T141" s="1307"/>
      <c r="U141" s="1308"/>
      <c r="V141" s="1308"/>
      <c r="W141" s="1308"/>
      <c r="X141" s="1308"/>
      <c r="Y141" s="1308"/>
      <c r="Z141" s="1308"/>
      <c r="AA141" s="1308"/>
      <c r="AB141" s="1308"/>
      <c r="AC141" s="1308"/>
      <c r="AD141" s="1308"/>
      <c r="AE141" s="1308"/>
      <c r="AF141" s="1308"/>
      <c r="AG141" s="1308"/>
      <c r="AH141" s="1308"/>
      <c r="AI141" s="1308"/>
      <c r="AJ141" s="1308"/>
      <c r="AK141" s="1308"/>
      <c r="AL141" s="1308"/>
      <c r="AM141" s="1308"/>
      <c r="AN141" s="1308"/>
      <c r="AO141" s="1308"/>
      <c r="AP141" s="1308"/>
      <c r="AQ141" s="1308"/>
      <c r="AR141" s="1308"/>
      <c r="AS141" s="1308"/>
      <c r="AT141" s="1308"/>
      <c r="AU141" s="1308"/>
      <c r="AV141" s="1308"/>
      <c r="AW141" s="1308"/>
      <c r="AX141" s="1308"/>
      <c r="AY141" s="1308"/>
      <c r="AZ141" s="1308"/>
      <c r="BA141" s="1308"/>
      <c r="BB141" s="1308"/>
      <c r="BC141" s="1308"/>
      <c r="BD141" s="1308"/>
    </row>
    <row r="142" spans="2:58">
      <c r="B142" s="1415" t="s">
        <v>557</v>
      </c>
      <c r="C142" s="1416"/>
      <c r="D142" s="1416"/>
      <c r="E142" s="1416"/>
      <c r="F142" s="1416"/>
      <c r="G142" s="1417"/>
      <c r="H142" s="710">
        <v>45000</v>
      </c>
      <c r="I142" s="1449"/>
      <c r="J142" s="1450"/>
      <c r="K142" s="1450"/>
      <c r="L142" s="1450"/>
      <c r="M142" s="1451"/>
      <c r="N142" s="505" t="str">
        <f t="shared" si="10"/>
        <v xml:space="preserve"> </v>
      </c>
      <c r="O142" s="591"/>
      <c r="P142" s="415"/>
      <c r="Q142" s="415"/>
      <c r="R142" s="415"/>
      <c r="S142" s="740"/>
      <c r="T142" s="592">
        <f t="shared" ref="T142:BD142" si="11">SUM(T131:T140)</f>
        <v>0</v>
      </c>
      <c r="U142" s="592">
        <f t="shared" si="11"/>
        <v>0</v>
      </c>
      <c r="V142" s="592">
        <f t="shared" si="11"/>
        <v>0</v>
      </c>
      <c r="W142" s="592">
        <f t="shared" si="11"/>
        <v>0</v>
      </c>
      <c r="X142" s="592">
        <f t="shared" si="11"/>
        <v>0</v>
      </c>
      <c r="Y142" s="592">
        <f t="shared" si="11"/>
        <v>36367.368999999999</v>
      </c>
      <c r="Z142" s="592">
        <f t="shared" si="11"/>
        <v>1131.6580000000001</v>
      </c>
      <c r="AA142" s="592">
        <f t="shared" si="11"/>
        <v>0</v>
      </c>
      <c r="AB142" s="592">
        <f t="shared" si="11"/>
        <v>0</v>
      </c>
      <c r="AC142" s="592">
        <f t="shared" si="11"/>
        <v>7500.973</v>
      </c>
      <c r="AD142" s="592">
        <f t="shared" si="11"/>
        <v>0</v>
      </c>
      <c r="AE142" s="592">
        <f t="shared" si="11"/>
        <v>0</v>
      </c>
      <c r="AF142" s="592">
        <f t="shared" si="11"/>
        <v>0</v>
      </c>
      <c r="AG142" s="592">
        <f t="shared" si="11"/>
        <v>0</v>
      </c>
      <c r="AH142" s="592">
        <f t="shared" si="11"/>
        <v>0</v>
      </c>
      <c r="AI142" s="592">
        <f t="shared" si="11"/>
        <v>0</v>
      </c>
      <c r="AJ142" s="592">
        <f t="shared" si="11"/>
        <v>0</v>
      </c>
      <c r="AK142" s="592">
        <f t="shared" si="11"/>
        <v>0</v>
      </c>
      <c r="AL142" s="592">
        <f t="shared" si="11"/>
        <v>0</v>
      </c>
      <c r="AM142" s="592">
        <f t="shared" si="11"/>
        <v>0</v>
      </c>
      <c r="AN142" s="592">
        <f t="shared" si="11"/>
        <v>0</v>
      </c>
      <c r="AO142" s="592">
        <f t="shared" si="11"/>
        <v>0</v>
      </c>
      <c r="AP142" s="592">
        <f t="shared" si="11"/>
        <v>0</v>
      </c>
      <c r="AQ142" s="592">
        <f t="shared" si="11"/>
        <v>0</v>
      </c>
      <c r="AR142" s="592">
        <f t="shared" si="11"/>
        <v>0</v>
      </c>
      <c r="AS142" s="592">
        <f t="shared" si="11"/>
        <v>0</v>
      </c>
      <c r="AT142" s="592">
        <f t="shared" si="11"/>
        <v>0</v>
      </c>
      <c r="AU142" s="592">
        <f t="shared" si="11"/>
        <v>0</v>
      </c>
      <c r="AV142" s="592">
        <f t="shared" si="11"/>
        <v>0</v>
      </c>
      <c r="AW142" s="592">
        <f t="shared" si="11"/>
        <v>0</v>
      </c>
      <c r="AX142" s="592">
        <f t="shared" si="11"/>
        <v>0</v>
      </c>
      <c r="AY142" s="592">
        <f t="shared" si="11"/>
        <v>0</v>
      </c>
      <c r="AZ142" s="592">
        <f t="shared" si="11"/>
        <v>0</v>
      </c>
      <c r="BA142" s="592">
        <f t="shared" si="11"/>
        <v>0</v>
      </c>
      <c r="BB142" s="592">
        <f t="shared" si="11"/>
        <v>0</v>
      </c>
      <c r="BC142" s="592">
        <f t="shared" si="11"/>
        <v>0</v>
      </c>
      <c r="BD142" s="592">
        <f t="shared" si="11"/>
        <v>0</v>
      </c>
      <c r="BE142" s="592">
        <f>SUM(T142:BD142)</f>
        <v>45000</v>
      </c>
    </row>
    <row r="143" spans="2:58">
      <c r="B143" s="1415" t="s">
        <v>558</v>
      </c>
      <c r="C143" s="1416"/>
      <c r="D143" s="1416"/>
      <c r="E143" s="1416"/>
      <c r="F143" s="1416"/>
      <c r="G143" s="1417"/>
      <c r="H143" s="712">
        <f>H142-L125</f>
        <v>0</v>
      </c>
      <c r="I143" s="742"/>
      <c r="J143" s="743"/>
      <c r="K143" s="743"/>
      <c r="L143" s="671"/>
      <c r="M143" s="633"/>
      <c r="N143" s="591"/>
      <c r="O143" s="591"/>
      <c r="P143" s="591"/>
      <c r="Q143" s="744"/>
      <c r="R143" s="744"/>
      <c r="S143" s="591"/>
      <c r="T143" s="645"/>
      <c r="U143" s="645"/>
      <c r="V143" s="645"/>
      <c r="W143" s="645"/>
      <c r="X143" s="645"/>
      <c r="Y143" s="645"/>
      <c r="Z143" s="645"/>
      <c r="AA143" s="645"/>
      <c r="AB143" s="645"/>
      <c r="AC143" s="591"/>
      <c r="AD143" s="591"/>
      <c r="AE143" s="591"/>
      <c r="AF143" s="591"/>
      <c r="AG143" s="591"/>
      <c r="AH143" s="591"/>
      <c r="AI143" s="591"/>
      <c r="AJ143" s="591"/>
      <c r="AK143" s="591"/>
      <c r="AL143" s="591"/>
      <c r="AM143" s="591"/>
      <c r="AN143" s="591"/>
      <c r="AO143" s="591"/>
      <c r="AP143" s="591"/>
      <c r="AQ143" s="591"/>
      <c r="AR143" s="591"/>
    </row>
    <row r="144" spans="2:58">
      <c r="B144" s="1415" t="s">
        <v>559</v>
      </c>
      <c r="C144" s="1416"/>
      <c r="D144" s="1416"/>
      <c r="E144" s="1416"/>
      <c r="F144" s="1416"/>
      <c r="G144" s="1417"/>
      <c r="H144" s="747">
        <v>5871.8829999999998</v>
      </c>
      <c r="I144" s="745"/>
      <c r="J144" s="746"/>
      <c r="K144" s="746"/>
      <c r="L144" s="674"/>
      <c r="M144" s="633"/>
      <c r="N144" s="613"/>
      <c r="O144" s="591"/>
      <c r="P144" s="591"/>
      <c r="Q144" s="591"/>
      <c r="R144" s="591"/>
      <c r="S144" s="591"/>
      <c r="T144" s="645"/>
      <c r="U144" s="645"/>
      <c r="V144" s="645"/>
      <c r="W144" s="645"/>
      <c r="X144" s="645"/>
      <c r="Y144" s="645"/>
      <c r="Z144" s="645"/>
      <c r="AA144" s="645"/>
      <c r="AB144" s="645"/>
      <c r="AC144" s="591"/>
      <c r="AD144" s="591"/>
      <c r="AE144" s="591"/>
      <c r="AF144" s="591"/>
      <c r="AG144" s="591"/>
      <c r="AH144" s="591"/>
      <c r="AI144" s="591"/>
      <c r="AJ144" s="591"/>
      <c r="AK144" s="591"/>
      <c r="AL144" s="591"/>
      <c r="AM144" s="591"/>
      <c r="AN144" s="591"/>
      <c r="AO144" s="591"/>
      <c r="AP144" s="591"/>
      <c r="AQ144" s="591"/>
      <c r="AR144" s="591"/>
    </row>
    <row r="145" spans="2:58" ht="11.25" customHeight="1">
      <c r="B145" s="1415" t="s">
        <v>560</v>
      </c>
      <c r="C145" s="1416"/>
      <c r="D145" s="1416"/>
      <c r="E145" s="1416"/>
      <c r="F145" s="1416"/>
      <c r="G145" s="1417"/>
      <c r="H145" s="741">
        <f>H144-5889.865</f>
        <v>-17.981999999999971</v>
      </c>
      <c r="I145" s="641"/>
      <c r="J145" s="642"/>
      <c r="K145" s="642"/>
      <c r="L145" s="499"/>
      <c r="M145" s="613"/>
      <c r="N145" s="613"/>
      <c r="O145" s="613"/>
      <c r="P145" s="613"/>
      <c r="Q145" s="613"/>
      <c r="R145" s="613"/>
      <c r="S145" s="616"/>
      <c r="T145" s="616"/>
      <c r="U145" s="616"/>
      <c r="V145" s="616"/>
      <c r="W145" s="616"/>
      <c r="X145" s="616"/>
      <c r="Y145" s="616"/>
      <c r="Z145" s="616"/>
      <c r="AA145" s="616"/>
      <c r="AB145" s="613">
        <f>-(H144*0.6)</f>
        <v>-3523.1297999999997</v>
      </c>
      <c r="AC145" s="613">
        <f>-(H144*0.4)</f>
        <v>-2348.7532000000001</v>
      </c>
      <c r="AD145" s="613"/>
      <c r="AE145" s="613"/>
      <c r="AF145" s="613"/>
      <c r="AG145" s="613"/>
      <c r="AH145" s="613"/>
      <c r="AI145" s="613"/>
      <c r="AJ145" s="613"/>
      <c r="AK145" s="613"/>
      <c r="AL145" s="613"/>
      <c r="AM145" s="613"/>
      <c r="AN145" s="613"/>
      <c r="AO145" s="613"/>
      <c r="AP145" s="613"/>
      <c r="AQ145" s="613"/>
      <c r="AR145" s="496"/>
      <c r="AS145" s="496"/>
      <c r="AT145" s="496"/>
      <c r="AU145" s="496"/>
      <c r="AV145" s="496"/>
      <c r="AW145" s="496"/>
      <c r="AX145" s="496"/>
      <c r="AY145" s="496"/>
      <c r="AZ145" s="496"/>
      <c r="BA145" s="496"/>
    </row>
    <row r="146" spans="2:58">
      <c r="B146" s="613"/>
      <c r="C146" s="613"/>
      <c r="D146" s="613"/>
      <c r="E146" s="613"/>
      <c r="F146" s="613"/>
      <c r="G146" s="613"/>
      <c r="H146" s="613"/>
      <c r="I146" s="643"/>
      <c r="J146" s="641"/>
      <c r="K146" s="641"/>
      <c r="L146" s="644"/>
      <c r="M146" s="613"/>
      <c r="N146" s="613"/>
      <c r="O146" s="641"/>
      <c r="P146" s="591"/>
      <c r="Q146" s="591"/>
      <c r="R146" s="591"/>
      <c r="S146" s="591"/>
      <c r="T146" s="645"/>
      <c r="U146" s="645"/>
      <c r="V146" s="645"/>
      <c r="W146" s="645"/>
      <c r="X146" s="645"/>
      <c r="Y146" s="645"/>
      <c r="Z146" s="645"/>
      <c r="AA146" s="645"/>
      <c r="AB146" s="645"/>
      <c r="AC146" s="591"/>
      <c r="AD146" s="591"/>
      <c r="AE146" s="591"/>
      <c r="AF146" s="591"/>
      <c r="AG146" s="591"/>
      <c r="AH146" s="591"/>
      <c r="AI146" s="591"/>
      <c r="AJ146" s="591"/>
      <c r="AK146" s="591"/>
      <c r="AL146" s="591"/>
      <c r="AM146" s="591"/>
      <c r="AN146" s="591"/>
      <c r="AO146" s="591"/>
      <c r="AP146" s="591"/>
      <c r="AQ146" s="591"/>
      <c r="AR146" s="591"/>
      <c r="BF146" s="613"/>
    </row>
    <row r="147" spans="2:58">
      <c r="B147" s="619" t="s">
        <v>561</v>
      </c>
      <c r="C147" s="619"/>
      <c r="D147" s="591"/>
      <c r="E147" s="591"/>
      <c r="F147" s="591"/>
      <c r="G147" s="591"/>
      <c r="H147" s="591"/>
      <c r="I147" s="591"/>
      <c r="J147" s="646"/>
      <c r="K147" s="646"/>
      <c r="L147" s="647"/>
      <c r="M147" s="591"/>
      <c r="N147" s="613"/>
      <c r="O147" s="646"/>
      <c r="P147" s="616"/>
      <c r="Q147" s="616"/>
      <c r="R147" s="616"/>
      <c r="S147" s="616"/>
      <c r="T147" s="616"/>
      <c r="U147" s="616"/>
      <c r="V147" s="616"/>
      <c r="W147" s="616"/>
      <c r="X147" s="616"/>
      <c r="Y147" s="616"/>
      <c r="Z147" s="616"/>
      <c r="AA147" s="616"/>
      <c r="AB147" s="613"/>
      <c r="AC147" s="613"/>
      <c r="AD147" s="613"/>
      <c r="AE147" s="613"/>
      <c r="AF147" s="613"/>
      <c r="AG147" s="613"/>
      <c r="AH147" s="613"/>
      <c r="AI147" s="613"/>
      <c r="AJ147" s="613"/>
      <c r="AK147" s="613"/>
      <c r="AL147" s="613"/>
      <c r="AM147" s="613"/>
      <c r="AN147" s="613"/>
      <c r="AO147" s="613"/>
      <c r="AP147" s="613"/>
      <c r="AQ147" s="613"/>
      <c r="AR147" s="613"/>
      <c r="AS147" s="613"/>
      <c r="AT147" s="613"/>
      <c r="AU147" s="613"/>
      <c r="BE147" s="613"/>
      <c r="BF147" s="613"/>
    </row>
    <row r="148" spans="2:58">
      <c r="B148" s="422">
        <v>1</v>
      </c>
      <c r="C148" s="1249" t="s">
        <v>3726</v>
      </c>
      <c r="D148" s="1249"/>
      <c r="E148" s="1249"/>
      <c r="F148" s="1249"/>
      <c r="G148" s="1249"/>
      <c r="H148" s="1249"/>
      <c r="I148" s="1249"/>
      <c r="J148" s="1249"/>
      <c r="K148" s="1249"/>
      <c r="L148" s="644"/>
      <c r="M148" s="644"/>
      <c r="N148" s="613"/>
      <c r="O148" s="641"/>
      <c r="P148" s="616"/>
      <c r="Q148" s="616"/>
      <c r="R148" s="616"/>
      <c r="S148" s="616"/>
      <c r="T148" s="616"/>
      <c r="U148" s="616"/>
      <c r="V148" s="616"/>
      <c r="W148" s="616"/>
      <c r="X148" s="616"/>
      <c r="Y148" s="616"/>
      <c r="Z148" s="616"/>
      <c r="AA148" s="616"/>
      <c r="AB148" s="613"/>
      <c r="AC148" s="613"/>
      <c r="AD148" s="613"/>
      <c r="AE148" s="613"/>
      <c r="AF148" s="613"/>
      <c r="AG148" s="613"/>
      <c r="AH148" s="613"/>
      <c r="AI148" s="613"/>
      <c r="AJ148" s="613"/>
      <c r="AK148" s="613"/>
      <c r="AL148" s="613"/>
      <c r="AM148" s="613"/>
      <c r="AN148" s="613"/>
      <c r="AO148" s="613"/>
      <c r="AP148" s="613"/>
      <c r="AQ148" s="613"/>
      <c r="AR148" s="613"/>
      <c r="AS148" s="613"/>
      <c r="AT148" s="613"/>
      <c r="AU148" s="613"/>
      <c r="AV148" s="613"/>
      <c r="AW148" s="613"/>
      <c r="AX148" s="613"/>
      <c r="AY148" s="613"/>
      <c r="AZ148" s="613"/>
      <c r="BA148" s="613"/>
      <c r="BB148" s="613"/>
      <c r="BC148" s="613"/>
      <c r="BD148" s="613"/>
      <c r="BE148" s="613"/>
      <c r="BF148" s="613"/>
    </row>
    <row r="150" spans="2:58">
      <c r="B150" s="28" t="s">
        <v>126</v>
      </c>
      <c r="C150" s="28"/>
      <c r="D150" s="614"/>
      <c r="E150" s="30" t="s">
        <v>511</v>
      </c>
      <c r="F150" s="31" t="s">
        <v>3133</v>
      </c>
      <c r="G150" s="591"/>
      <c r="H150" s="33"/>
      <c r="I150" s="615"/>
      <c r="J150" s="35" t="s">
        <v>513</v>
      </c>
      <c r="K150" s="36" t="s">
        <v>511</v>
      </c>
      <c r="L150" s="516">
        <v>45241.659722222219</v>
      </c>
      <c r="M150" s="591"/>
      <c r="N150" s="591"/>
      <c r="O150" s="206"/>
      <c r="P150" s="205"/>
      <c r="Q150" s="616"/>
      <c r="R150" s="204"/>
      <c r="S150" s="617"/>
      <c r="T150" s="613"/>
      <c r="U150" s="613"/>
      <c r="V150" s="613"/>
      <c r="W150" s="613"/>
      <c r="X150" s="613"/>
      <c r="Y150" s="613"/>
      <c r="Z150" s="613"/>
      <c r="AA150" s="613"/>
      <c r="AB150" s="616"/>
      <c r="AC150" s="616"/>
      <c r="AD150" s="616"/>
      <c r="AE150" s="616"/>
      <c r="AF150" s="616"/>
      <c r="AG150" s="613"/>
      <c r="AH150" s="613"/>
      <c r="AI150" s="613"/>
      <c r="AJ150" s="613"/>
      <c r="AK150" s="613"/>
      <c r="AL150" s="613"/>
      <c r="AM150" s="613"/>
      <c r="AN150" s="613"/>
      <c r="AO150" s="613"/>
      <c r="AP150" s="613"/>
      <c r="AQ150" s="613"/>
      <c r="AR150" s="613"/>
      <c r="AS150" s="613"/>
      <c r="AT150" s="613"/>
      <c r="AU150" s="613"/>
      <c r="AV150" s="613"/>
      <c r="AW150" s="613"/>
      <c r="AX150" s="613"/>
      <c r="AY150" s="613"/>
      <c r="AZ150" s="613"/>
      <c r="BA150" s="613"/>
      <c r="BB150" s="613"/>
      <c r="BC150" s="613"/>
      <c r="BD150" s="613"/>
      <c r="BE150" s="613"/>
    </row>
    <row r="151" spans="2:58">
      <c r="B151" s="35" t="s">
        <v>514</v>
      </c>
      <c r="C151" s="35"/>
      <c r="D151" s="591"/>
      <c r="E151" s="36" t="s">
        <v>511</v>
      </c>
      <c r="F151" s="311" t="s">
        <v>3727</v>
      </c>
      <c r="G151" s="591"/>
      <c r="H151" s="33"/>
      <c r="I151" s="615"/>
      <c r="J151" s="35" t="s">
        <v>516</v>
      </c>
      <c r="K151" s="36" t="s">
        <v>511</v>
      </c>
      <c r="L151" s="516">
        <v>45243.065972222219</v>
      </c>
      <c r="M151" s="591"/>
      <c r="N151" s="591"/>
      <c r="O151" s="206"/>
      <c r="P151" s="205"/>
      <c r="Q151" s="616"/>
      <c r="R151" s="204"/>
      <c r="S151" s="617"/>
      <c r="T151" s="613"/>
      <c r="U151" s="613"/>
      <c r="V151" s="613"/>
      <c r="W151" s="613"/>
      <c r="X151" s="613"/>
      <c r="Y151" s="613"/>
      <c r="Z151" s="613"/>
      <c r="AA151" s="613"/>
      <c r="AB151" s="616"/>
      <c r="AC151" s="616"/>
      <c r="AD151" s="616"/>
      <c r="AE151" s="616"/>
      <c r="AF151" s="616"/>
      <c r="AG151" s="613"/>
      <c r="AH151" s="613"/>
      <c r="AI151" s="613"/>
      <c r="AJ151" s="613"/>
      <c r="AK151" s="613"/>
      <c r="AL151" s="613"/>
      <c r="AM151" s="613"/>
      <c r="AN151" s="613"/>
      <c r="AO151" s="613"/>
      <c r="AP151" s="613"/>
      <c r="AQ151" s="613"/>
      <c r="AR151" s="613"/>
      <c r="AS151" s="613"/>
      <c r="AT151" s="613"/>
      <c r="AU151" s="613"/>
      <c r="AV151" s="613"/>
      <c r="AW151" s="613"/>
      <c r="AX151" s="613"/>
      <c r="AY151" s="613"/>
      <c r="AZ151" s="613"/>
      <c r="BA151" s="613"/>
      <c r="BB151" s="613"/>
      <c r="BC151" s="613"/>
      <c r="BD151" s="613"/>
      <c r="BE151" s="613"/>
    </row>
    <row r="152" spans="2:58">
      <c r="B152" s="35" t="s">
        <v>517</v>
      </c>
      <c r="C152" s="35"/>
      <c r="D152" s="591"/>
      <c r="E152" s="36" t="s">
        <v>511</v>
      </c>
      <c r="F152" s="516">
        <v>45239.875</v>
      </c>
      <c r="G152" s="591"/>
      <c r="H152" s="33"/>
      <c r="I152" s="615"/>
      <c r="J152" s="35" t="s">
        <v>518</v>
      </c>
      <c r="K152" s="36" t="s">
        <v>511</v>
      </c>
      <c r="L152" s="692">
        <v>60500</v>
      </c>
      <c r="M152" s="619" t="s">
        <v>519</v>
      </c>
      <c r="N152" s="619"/>
      <c r="O152" s="206"/>
      <c r="P152" s="205"/>
      <c r="Q152" s="616"/>
      <c r="R152" s="204"/>
      <c r="S152" s="617"/>
      <c r="T152" s="613"/>
      <c r="U152" s="613"/>
      <c r="V152" s="613"/>
      <c r="W152" s="613"/>
      <c r="X152" s="613"/>
      <c r="Y152" s="613"/>
      <c r="Z152" s="613"/>
      <c r="AA152" s="613"/>
      <c r="AB152" s="616"/>
      <c r="AC152" s="616"/>
      <c r="AD152" s="616"/>
      <c r="AE152" s="616"/>
      <c r="AF152" s="616"/>
      <c r="AG152" s="613"/>
      <c r="AH152" s="613"/>
      <c r="AI152" s="613"/>
      <c r="AJ152" s="613"/>
      <c r="AK152" s="613"/>
      <c r="AL152" s="613"/>
      <c r="AM152" s="613"/>
      <c r="AN152" s="613"/>
      <c r="AO152" s="613"/>
      <c r="AP152" s="613"/>
      <c r="AQ152" s="613"/>
      <c r="AR152" s="613"/>
      <c r="AS152" s="613"/>
      <c r="AT152" s="613"/>
      <c r="AU152" s="613"/>
      <c r="AV152" s="613"/>
      <c r="AW152" s="613"/>
      <c r="AX152" s="613"/>
      <c r="AY152" s="613"/>
      <c r="AZ152" s="613"/>
      <c r="BA152" s="613"/>
      <c r="BB152" s="613"/>
      <c r="BC152" s="613"/>
      <c r="BD152" s="613"/>
      <c r="BE152" s="613"/>
    </row>
    <row r="153" spans="2:58">
      <c r="B153" s="35" t="s">
        <v>520</v>
      </c>
      <c r="C153" s="35"/>
      <c r="D153" s="591"/>
      <c r="E153" s="36" t="s">
        <v>511</v>
      </c>
      <c r="F153" s="37" t="s">
        <v>20</v>
      </c>
      <c r="G153" s="591"/>
      <c r="H153" s="33"/>
      <c r="I153" s="615"/>
      <c r="J153" s="35" t="s">
        <v>521</v>
      </c>
      <c r="K153" s="36" t="s">
        <v>511</v>
      </c>
      <c r="L153" s="620" t="s">
        <v>3134</v>
      </c>
      <c r="M153" s="591"/>
      <c r="N153" s="591"/>
      <c r="O153" s="206"/>
      <c r="P153" s="616"/>
      <c r="Q153" s="616"/>
      <c r="R153" s="204"/>
      <c r="S153" s="617"/>
      <c r="T153" s="613"/>
      <c r="U153" s="613"/>
      <c r="V153" s="613"/>
      <c r="W153" s="613"/>
      <c r="X153" s="613"/>
      <c r="Y153" s="613"/>
      <c r="Z153" s="613"/>
      <c r="AA153" s="613"/>
      <c r="AB153" s="616"/>
      <c r="AC153" s="616"/>
      <c r="AD153" s="616"/>
      <c r="AE153" s="616"/>
      <c r="AF153" s="616"/>
      <c r="AG153" s="613"/>
      <c r="AH153" s="613"/>
      <c r="AI153" s="613"/>
      <c r="AJ153" s="613"/>
      <c r="AK153" s="613"/>
      <c r="AL153" s="613"/>
      <c r="AM153" s="613"/>
      <c r="AN153" s="613"/>
      <c r="AO153" s="613"/>
      <c r="AP153" s="613"/>
      <c r="AQ153" s="613"/>
      <c r="AR153" s="613"/>
      <c r="AS153" s="613"/>
      <c r="AT153" s="613"/>
      <c r="AU153" s="613"/>
      <c r="AV153" s="613"/>
      <c r="AW153" s="613"/>
      <c r="AX153" s="613"/>
      <c r="AY153" s="613"/>
      <c r="AZ153" s="613"/>
      <c r="BA153" s="613"/>
      <c r="BB153" s="613"/>
      <c r="BC153" s="613"/>
      <c r="BD153" s="613"/>
      <c r="BE153" s="613"/>
    </row>
    <row r="154" spans="2:58">
      <c r="B154" s="35" t="s">
        <v>523</v>
      </c>
      <c r="C154" s="35"/>
      <c r="D154" s="591"/>
      <c r="E154" s="36" t="s">
        <v>511</v>
      </c>
      <c r="F154" s="37" t="s">
        <v>47</v>
      </c>
      <c r="G154" s="591"/>
      <c r="H154" s="33"/>
      <c r="I154" s="615"/>
      <c r="J154" s="35" t="s">
        <v>524</v>
      </c>
      <c r="K154" s="36" t="s">
        <v>511</v>
      </c>
      <c r="L154" s="621" t="s">
        <v>15</v>
      </c>
      <c r="M154" s="611"/>
      <c r="N154" s="611"/>
      <c r="O154" s="206"/>
      <c r="P154" s="205"/>
      <c r="Q154" s="616"/>
      <c r="R154" s="204"/>
      <c r="S154" s="617"/>
      <c r="T154" s="613"/>
      <c r="U154" s="613"/>
      <c r="V154" s="613"/>
      <c r="W154" s="613"/>
      <c r="X154" s="613"/>
      <c r="Y154" s="613"/>
      <c r="Z154" s="613"/>
      <c r="AA154" s="613"/>
      <c r="AB154" s="616"/>
      <c r="AC154" s="616"/>
      <c r="AD154" s="616"/>
      <c r="AE154" s="616"/>
      <c r="AF154" s="616"/>
      <c r="AG154" s="613"/>
      <c r="AH154" s="613"/>
      <c r="AI154" s="613"/>
      <c r="AJ154" s="613"/>
      <c r="AK154" s="613"/>
      <c r="AL154" s="613"/>
      <c r="AM154" s="613"/>
      <c r="AN154" s="613"/>
      <c r="AO154" s="613"/>
      <c r="AP154" s="613"/>
      <c r="AQ154" s="613"/>
      <c r="AR154" s="613"/>
      <c r="AS154" s="613"/>
      <c r="AT154" s="613"/>
      <c r="AU154" s="613"/>
      <c r="AV154" s="613"/>
      <c r="AW154" s="613"/>
      <c r="AX154" s="613"/>
      <c r="AY154" s="613"/>
      <c r="AZ154" s="613"/>
      <c r="BA154" s="613"/>
      <c r="BB154" s="613"/>
      <c r="BC154" s="613"/>
      <c r="BD154" s="613"/>
      <c r="BE154" s="613"/>
    </row>
    <row r="155" spans="2:58">
      <c r="B155" s="35" t="s">
        <v>2</v>
      </c>
      <c r="C155" s="35"/>
      <c r="D155" s="591"/>
      <c r="E155" s="36" t="s">
        <v>511</v>
      </c>
      <c r="F155" s="37" t="s">
        <v>18</v>
      </c>
      <c r="G155" s="591"/>
      <c r="H155" s="33"/>
      <c r="I155" s="622"/>
      <c r="J155" s="35"/>
      <c r="K155" s="36"/>
      <c r="L155" s="211"/>
      <c r="M155" s="613"/>
      <c r="N155" s="613"/>
      <c r="O155" s="35"/>
      <c r="P155" s="611"/>
      <c r="Q155" s="611"/>
      <c r="R155" s="611"/>
      <c r="S155" s="615"/>
      <c r="T155" s="613"/>
      <c r="U155" s="613"/>
      <c r="V155" s="613"/>
      <c r="W155" s="613"/>
      <c r="X155" s="613"/>
      <c r="Y155" s="613"/>
      <c r="Z155" s="613"/>
      <c r="AA155" s="613"/>
      <c r="AB155" s="615"/>
      <c r="AC155" s="615"/>
      <c r="AD155" s="615"/>
      <c r="AE155" s="615"/>
      <c r="AF155" s="615"/>
      <c r="AG155" s="615"/>
      <c r="AH155" s="615"/>
      <c r="AI155" s="615"/>
      <c r="AJ155" s="615"/>
      <c r="AK155" s="615"/>
      <c r="AL155" s="615"/>
      <c r="AM155" s="615"/>
      <c r="AN155" s="615"/>
      <c r="AO155" s="613"/>
      <c r="AP155" s="613"/>
      <c r="AQ155" s="613"/>
      <c r="AR155" s="613"/>
      <c r="AS155" s="613"/>
      <c r="AT155" s="613"/>
      <c r="AU155" s="613"/>
      <c r="AV155" s="613"/>
      <c r="AW155" s="613"/>
      <c r="AX155" s="613"/>
      <c r="AY155" s="613"/>
      <c r="AZ155" s="613"/>
      <c r="BA155" s="613"/>
      <c r="BB155" s="613"/>
      <c r="BC155" s="613"/>
      <c r="BD155" s="613"/>
      <c r="BE155" s="613"/>
    </row>
    <row r="156" spans="2:58">
      <c r="B156" s="613"/>
      <c r="C156" s="613"/>
      <c r="D156" s="613"/>
      <c r="E156" s="613"/>
      <c r="F156" s="613"/>
      <c r="G156" s="613"/>
      <c r="H156" s="613"/>
      <c r="I156" s="622"/>
      <c r="J156" s="35"/>
      <c r="K156" s="35"/>
      <c r="L156" s="621"/>
      <c r="M156" s="611"/>
      <c r="N156" s="611"/>
      <c r="O156" s="35"/>
      <c r="P156" s="611"/>
      <c r="Q156" s="611"/>
      <c r="R156" s="611"/>
      <c r="S156" s="615"/>
      <c r="T156" s="1317" t="s">
        <v>87</v>
      </c>
      <c r="U156" s="1317"/>
      <c r="V156" s="1317"/>
      <c r="W156" s="1317"/>
      <c r="X156" s="1317"/>
      <c r="Y156" s="1317" t="s">
        <v>73</v>
      </c>
      <c r="Z156" s="1317"/>
      <c r="AA156" s="1317"/>
      <c r="AB156" s="1317" t="s">
        <v>74</v>
      </c>
      <c r="AC156" s="1317"/>
      <c r="AD156" s="623" t="s">
        <v>85</v>
      </c>
      <c r="AE156" s="854" t="s">
        <v>77</v>
      </c>
      <c r="AF156" s="1459" t="s">
        <v>525</v>
      </c>
      <c r="AG156" s="1459"/>
      <c r="AH156" s="1459"/>
      <c r="AI156" s="1459"/>
      <c r="AJ156" s="1459"/>
      <c r="AK156" s="1459"/>
      <c r="AL156" s="1459"/>
      <c r="AM156" s="1459"/>
      <c r="AN156" s="1459"/>
      <c r="AO156" s="1459"/>
      <c r="AP156" s="1459"/>
      <c r="AQ156" s="1459"/>
      <c r="AR156" s="1459"/>
      <c r="AS156" s="1459"/>
      <c r="AT156" s="1459"/>
      <c r="AU156" s="1459"/>
      <c r="AV156" s="1459"/>
      <c r="AW156" s="1459"/>
      <c r="AX156" s="1459"/>
      <c r="AY156" s="1459"/>
      <c r="AZ156" s="1459"/>
      <c r="BA156" s="1459"/>
      <c r="BB156" s="1459"/>
      <c r="BC156" s="1459"/>
      <c r="BD156" s="1459"/>
      <c r="BE156" s="613"/>
    </row>
    <row r="157" spans="2:58">
      <c r="B157" s="1318" t="s">
        <v>526</v>
      </c>
      <c r="C157" s="1319"/>
      <c r="D157" s="624" t="s">
        <v>527</v>
      </c>
      <c r="E157" s="624"/>
      <c r="F157" s="624" t="s">
        <v>528</v>
      </c>
      <c r="G157" s="624" t="s">
        <v>529</v>
      </c>
      <c r="H157" s="624" t="s">
        <v>530</v>
      </c>
      <c r="I157" s="624" t="s">
        <v>531</v>
      </c>
      <c r="J157" s="624" t="s">
        <v>532</v>
      </c>
      <c r="K157" s="624"/>
      <c r="L157" s="624" t="s">
        <v>130</v>
      </c>
      <c r="M157" s="624" t="s">
        <v>533</v>
      </c>
      <c r="N157" s="625" t="str">
        <f>"On time - "&amp;COUNTIF(N158:N167,"On time")&amp;" from "&amp;ROWS(N158:N167)-COUNTIF(N158:N167," ")</f>
        <v>On time - 5 from 7</v>
      </c>
      <c r="O157" s="626"/>
      <c r="P157" s="627" t="s">
        <v>534</v>
      </c>
      <c r="Q157" s="627" t="s">
        <v>535</v>
      </c>
      <c r="R157" s="627" t="s">
        <v>536</v>
      </c>
      <c r="S157" s="591"/>
      <c r="T157" s="628" t="s">
        <v>537</v>
      </c>
      <c r="U157" s="628" t="s">
        <v>538</v>
      </c>
      <c r="V157" s="628" t="s">
        <v>539</v>
      </c>
      <c r="W157" s="628" t="s">
        <v>540</v>
      </c>
      <c r="X157" s="628" t="s">
        <v>541</v>
      </c>
      <c r="Y157" s="628" t="s">
        <v>167</v>
      </c>
      <c r="Z157" s="628" t="s">
        <v>168</v>
      </c>
      <c r="AA157" s="628" t="s">
        <v>169</v>
      </c>
      <c r="AB157" s="628" t="s">
        <v>235</v>
      </c>
      <c r="AC157" s="628" t="s">
        <v>240</v>
      </c>
      <c r="AD157" s="623" t="s">
        <v>85</v>
      </c>
      <c r="AE157" s="628" t="s">
        <v>139</v>
      </c>
      <c r="AF157" s="855" t="s">
        <v>72</v>
      </c>
      <c r="AG157" s="855" t="s">
        <v>88</v>
      </c>
      <c r="AH157" s="855" t="s">
        <v>75</v>
      </c>
      <c r="AI157" s="855" t="s">
        <v>543</v>
      </c>
      <c r="AJ157" s="855" t="s">
        <v>78</v>
      </c>
      <c r="AK157" s="855" t="s">
        <v>76</v>
      </c>
      <c r="AL157" s="855" t="s">
        <v>544</v>
      </c>
      <c r="AM157" s="855" t="s">
        <v>545</v>
      </c>
      <c r="AN157" s="855" t="s">
        <v>86</v>
      </c>
      <c r="AO157" s="855" t="s">
        <v>83</v>
      </c>
      <c r="AP157" s="855" t="s">
        <v>84</v>
      </c>
      <c r="AQ157" s="855" t="s">
        <v>546</v>
      </c>
      <c r="AR157" s="855" t="s">
        <v>81</v>
      </c>
      <c r="AS157" s="855" t="s">
        <v>80</v>
      </c>
      <c r="AT157" s="855" t="s">
        <v>82</v>
      </c>
      <c r="AU157" s="855" t="s">
        <v>181</v>
      </c>
      <c r="AV157" s="855" t="s">
        <v>183</v>
      </c>
      <c r="AW157" s="855" t="s">
        <v>547</v>
      </c>
      <c r="AX157" s="855" t="s">
        <v>182</v>
      </c>
      <c r="AY157" s="855" t="s">
        <v>172</v>
      </c>
      <c r="AZ157" s="855" t="s">
        <v>173</v>
      </c>
      <c r="BA157" s="855" t="s">
        <v>184</v>
      </c>
      <c r="BB157" s="855" t="s">
        <v>100</v>
      </c>
      <c r="BC157" s="855" t="s">
        <v>913</v>
      </c>
      <c r="BD157" s="855" t="s">
        <v>2747</v>
      </c>
      <c r="BE157" s="613"/>
    </row>
    <row r="158" spans="2:58">
      <c r="B158" s="1326" t="s">
        <v>548</v>
      </c>
      <c r="C158" s="1327"/>
      <c r="D158" s="501" t="s">
        <v>3490</v>
      </c>
      <c r="E158" s="501"/>
      <c r="F158" s="501" t="s">
        <v>437</v>
      </c>
      <c r="G158" s="501" t="s">
        <v>320</v>
      </c>
      <c r="H158" s="629">
        <v>7515.5690000000004</v>
      </c>
      <c r="I158" s="505" t="s">
        <v>240</v>
      </c>
      <c r="J158" s="504">
        <v>45240.083333333336</v>
      </c>
      <c r="K158" s="504"/>
      <c r="L158" s="504" t="s">
        <v>192</v>
      </c>
      <c r="M158" s="504" t="s">
        <v>192</v>
      </c>
      <c r="N158" s="505" t="str">
        <f t="shared" ref="N158:N167" si="12">IF(ISBLANK(J158)," ",IF(J158&lt;$F$152,"On time",(IF(DAY(J158-$F$152)&lt;1,"On time",(IF(J158&gt;$F$152,"DELAY ( "&amp;DAY(J158-$F$152)&amp;" day "&amp;HOUR(J158-$F$152)&amp;" hour "&amp;MINUTE(J158-$F$152)&amp;" minute )","xxx"))))))</f>
        <v>On time</v>
      </c>
      <c r="O158" s="597"/>
      <c r="P158" s="507" t="s">
        <v>551</v>
      </c>
      <c r="Q158" s="507" t="s">
        <v>551</v>
      </c>
      <c r="R158" s="507" t="s">
        <v>551</v>
      </c>
      <c r="S158" s="598"/>
      <c r="T158" s="599"/>
      <c r="U158" s="599"/>
      <c r="V158" s="599"/>
      <c r="W158" s="599"/>
      <c r="X158" s="599"/>
      <c r="Y158" s="599"/>
      <c r="Z158" s="599"/>
      <c r="AA158" s="599"/>
      <c r="AB158" s="599"/>
      <c r="AC158" s="599">
        <f>H158</f>
        <v>7515.5690000000004</v>
      </c>
      <c r="AD158" s="599"/>
      <c r="AE158" s="599"/>
      <c r="AF158" s="599"/>
      <c r="AG158" s="599"/>
      <c r="AH158" s="599"/>
      <c r="AI158" s="599"/>
      <c r="AJ158" s="599"/>
      <c r="AK158" s="599"/>
      <c r="AL158" s="599"/>
      <c r="AM158" s="599"/>
      <c r="AN158" s="599"/>
      <c r="AO158" s="599"/>
      <c r="AP158" s="598"/>
      <c r="AQ158" s="599"/>
      <c r="AR158" s="599"/>
      <c r="AS158" s="599"/>
      <c r="AT158" s="599"/>
      <c r="AU158" s="599"/>
      <c r="AV158" s="599"/>
      <c r="AW158" s="599"/>
      <c r="AX158" s="599"/>
      <c r="AY158" s="599"/>
      <c r="AZ158" s="599"/>
      <c r="BA158" s="599"/>
      <c r="BB158" s="599"/>
      <c r="BC158" s="599"/>
      <c r="BD158" s="599"/>
      <c r="BE158" s="598"/>
    </row>
    <row r="159" spans="2:58">
      <c r="B159" s="1326" t="s">
        <v>548</v>
      </c>
      <c r="C159" s="1327"/>
      <c r="D159" s="501" t="s">
        <v>3491</v>
      </c>
      <c r="E159" s="501"/>
      <c r="F159" s="501" t="s">
        <v>489</v>
      </c>
      <c r="G159" s="501" t="s">
        <v>483</v>
      </c>
      <c r="H159" s="629">
        <v>7521.1959999999999</v>
      </c>
      <c r="I159" s="505" t="s">
        <v>240</v>
      </c>
      <c r="J159" s="504">
        <v>45240.604166666664</v>
      </c>
      <c r="K159" s="504"/>
      <c r="L159" s="504" t="s">
        <v>192</v>
      </c>
      <c r="M159" s="504" t="s">
        <v>192</v>
      </c>
      <c r="N159" s="505" t="str">
        <f t="shared" si="12"/>
        <v>On time</v>
      </c>
      <c r="O159" s="597"/>
      <c r="P159" s="507" t="s">
        <v>551</v>
      </c>
      <c r="Q159" s="507" t="s">
        <v>551</v>
      </c>
      <c r="R159" s="507" t="s">
        <v>551</v>
      </c>
      <c r="S159" s="598"/>
      <c r="T159" s="599"/>
      <c r="U159" s="599"/>
      <c r="V159" s="599"/>
      <c r="W159" s="599"/>
      <c r="X159" s="599"/>
      <c r="Y159" s="599"/>
      <c r="Z159" s="599"/>
      <c r="AA159" s="599"/>
      <c r="AB159" s="599"/>
      <c r="AC159" s="599">
        <f>H159</f>
        <v>7521.1959999999999</v>
      </c>
      <c r="AD159" s="599"/>
      <c r="AE159" s="599"/>
      <c r="AF159" s="599"/>
      <c r="AG159" s="599"/>
      <c r="AH159" s="599"/>
      <c r="AI159" s="599"/>
      <c r="AJ159" s="599"/>
      <c r="AK159" s="599"/>
      <c r="AL159" s="599"/>
      <c r="AM159" s="599"/>
      <c r="AN159" s="599"/>
      <c r="AO159" s="599"/>
      <c r="AP159" s="599"/>
      <c r="AQ159" s="599"/>
      <c r="AR159" s="599"/>
      <c r="AS159" s="599"/>
      <c r="AT159" s="599"/>
      <c r="AU159" s="599"/>
      <c r="AV159" s="599"/>
      <c r="AW159" s="599"/>
      <c r="AX159" s="599"/>
      <c r="AY159" s="599"/>
      <c r="AZ159" s="599"/>
      <c r="BA159" s="599"/>
      <c r="BB159" s="599"/>
      <c r="BC159" s="599"/>
      <c r="BD159" s="599"/>
      <c r="BE159" s="598"/>
    </row>
    <row r="160" spans="2:58">
      <c r="B160" s="1326" t="s">
        <v>548</v>
      </c>
      <c r="C160" s="1327"/>
      <c r="D160" s="501" t="s">
        <v>3493</v>
      </c>
      <c r="E160" s="501"/>
      <c r="F160" s="501" t="s">
        <v>355</v>
      </c>
      <c r="G160" s="501" t="s">
        <v>356</v>
      </c>
      <c r="H160" s="629">
        <v>7643.7650000000003</v>
      </c>
      <c r="I160" s="505" t="s">
        <v>240</v>
      </c>
      <c r="J160" s="504">
        <v>45240.666666666664</v>
      </c>
      <c r="K160" s="504"/>
      <c r="L160" s="504" t="s">
        <v>192</v>
      </c>
      <c r="M160" s="504" t="s">
        <v>192</v>
      </c>
      <c r="N160" s="505" t="str">
        <f t="shared" si="12"/>
        <v>On time</v>
      </c>
      <c r="O160" s="597"/>
      <c r="P160" s="507" t="s">
        <v>551</v>
      </c>
      <c r="Q160" s="507" t="s">
        <v>551</v>
      </c>
      <c r="R160" s="507" t="s">
        <v>551</v>
      </c>
      <c r="S160" s="598"/>
      <c r="T160" s="599"/>
      <c r="U160" s="599"/>
      <c r="V160" s="599"/>
      <c r="W160" s="599"/>
      <c r="X160" s="599"/>
      <c r="Y160" s="599"/>
      <c r="Z160" s="599"/>
      <c r="AA160" s="599"/>
      <c r="AB160" s="599"/>
      <c r="AC160" s="599">
        <f>H160</f>
        <v>7643.7650000000003</v>
      </c>
      <c r="AD160" s="599"/>
      <c r="AE160" s="599"/>
      <c r="AF160" s="599"/>
      <c r="AG160" s="599"/>
      <c r="AH160" s="599"/>
      <c r="AI160" s="599"/>
      <c r="AJ160" s="599"/>
      <c r="AK160" s="599"/>
      <c r="AL160" s="599"/>
      <c r="AM160" s="599"/>
      <c r="AN160" s="599"/>
      <c r="AO160" s="599"/>
      <c r="AP160" s="598"/>
      <c r="AQ160" s="599"/>
      <c r="AR160" s="599"/>
      <c r="AS160" s="599"/>
      <c r="AT160" s="599"/>
      <c r="AU160" s="599"/>
      <c r="AV160" s="599"/>
      <c r="AW160" s="599"/>
      <c r="AX160" s="599"/>
      <c r="AY160" s="599"/>
      <c r="AZ160" s="599"/>
      <c r="BA160" s="599"/>
      <c r="BB160" s="599"/>
      <c r="BC160" s="599"/>
      <c r="BD160" s="599"/>
      <c r="BE160" s="598"/>
    </row>
    <row r="161" spans="2:57">
      <c r="B161" s="1326" t="s">
        <v>548</v>
      </c>
      <c r="C161" s="1327"/>
      <c r="D161" s="501" t="s">
        <v>3494</v>
      </c>
      <c r="E161" s="501"/>
      <c r="F161" s="501" t="s">
        <v>399</v>
      </c>
      <c r="G161" s="501" t="s">
        <v>275</v>
      </c>
      <c r="H161" s="629">
        <v>7580.7650000000003</v>
      </c>
      <c r="I161" s="505" t="s">
        <v>240</v>
      </c>
      <c r="J161" s="504">
        <v>45240.177083333336</v>
      </c>
      <c r="K161" s="504"/>
      <c r="L161" s="504" t="s">
        <v>192</v>
      </c>
      <c r="M161" s="504" t="s">
        <v>192</v>
      </c>
      <c r="N161" s="505" t="str">
        <f t="shared" si="12"/>
        <v>On time</v>
      </c>
      <c r="O161" s="597"/>
      <c r="P161" s="507" t="s">
        <v>551</v>
      </c>
      <c r="Q161" s="507" t="s">
        <v>551</v>
      </c>
      <c r="R161" s="507" t="s">
        <v>551</v>
      </c>
      <c r="S161" s="598"/>
      <c r="T161" s="599"/>
      <c r="U161" s="599"/>
      <c r="V161" s="599"/>
      <c r="W161" s="599"/>
      <c r="X161" s="599"/>
      <c r="Y161" s="599"/>
      <c r="Z161" s="599"/>
      <c r="AA161" s="599"/>
      <c r="AB161" s="599"/>
      <c r="AC161" s="599">
        <f>H161</f>
        <v>7580.7650000000003</v>
      </c>
      <c r="AD161" s="599"/>
      <c r="AE161" s="599"/>
      <c r="AF161" s="599"/>
      <c r="AG161" s="599"/>
      <c r="AH161" s="599"/>
      <c r="AI161" s="599"/>
      <c r="AJ161" s="599"/>
      <c r="AK161" s="599"/>
      <c r="AL161" s="599"/>
      <c r="AM161" s="599"/>
      <c r="AN161" s="599"/>
      <c r="AO161" s="599"/>
      <c r="AP161" s="599"/>
      <c r="AQ161" s="599"/>
      <c r="AR161" s="599"/>
      <c r="AS161" s="599"/>
      <c r="AT161" s="599"/>
      <c r="AU161" s="599"/>
      <c r="AV161" s="599"/>
      <c r="AW161" s="599"/>
      <c r="AX161" s="599"/>
      <c r="AY161" s="599"/>
      <c r="AZ161" s="599"/>
      <c r="BA161" s="599"/>
      <c r="BB161" s="599"/>
      <c r="BC161" s="599"/>
      <c r="BD161" s="599"/>
      <c r="BE161" s="598"/>
    </row>
    <row r="162" spans="2:57">
      <c r="B162" s="1326" t="s">
        <v>548</v>
      </c>
      <c r="C162" s="1327"/>
      <c r="D162" s="501" t="s">
        <v>3468</v>
      </c>
      <c r="E162" s="501"/>
      <c r="F162" s="501" t="s">
        <v>3469</v>
      </c>
      <c r="G162" s="501" t="s">
        <v>3470</v>
      </c>
      <c r="H162" s="629">
        <v>5198.0429999999997</v>
      </c>
      <c r="I162" s="505" t="s">
        <v>88</v>
      </c>
      <c r="J162" s="504">
        <v>45239.666666666664</v>
      </c>
      <c r="K162" s="504"/>
      <c r="L162" s="504" t="s">
        <v>192</v>
      </c>
      <c r="M162" s="504" t="s">
        <v>192</v>
      </c>
      <c r="N162" s="505" t="str">
        <f t="shared" si="12"/>
        <v>On time</v>
      </c>
      <c r="O162" s="597"/>
      <c r="P162" s="507" t="s">
        <v>551</v>
      </c>
      <c r="Q162" s="507" t="s">
        <v>551</v>
      </c>
      <c r="R162" s="507" t="s">
        <v>551</v>
      </c>
      <c r="S162" s="598"/>
      <c r="T162" s="599"/>
      <c r="U162" s="599"/>
      <c r="V162" s="599"/>
      <c r="W162" s="599"/>
      <c r="X162" s="599"/>
      <c r="Y162" s="599"/>
      <c r="Z162" s="599"/>
      <c r="AA162" s="599"/>
      <c r="AB162" s="599"/>
      <c r="AC162" s="599"/>
      <c r="AD162" s="599"/>
      <c r="AE162" s="599"/>
      <c r="AF162" s="599"/>
      <c r="AG162" s="599">
        <f>H162</f>
        <v>5198.0429999999997</v>
      </c>
      <c r="AH162" s="599"/>
      <c r="AI162" s="599"/>
      <c r="AJ162" s="599"/>
      <c r="AK162" s="599"/>
      <c r="AL162" s="599"/>
      <c r="AM162" s="599"/>
      <c r="AN162" s="599"/>
      <c r="AO162" s="599"/>
      <c r="AP162" s="599"/>
      <c r="AQ162" s="599"/>
      <c r="AR162" s="599"/>
      <c r="AS162" s="599"/>
      <c r="AT162" s="599"/>
      <c r="AU162" s="599"/>
      <c r="AV162" s="599"/>
      <c r="AW162" s="599"/>
      <c r="AX162" s="599"/>
      <c r="AY162" s="599"/>
      <c r="AZ162" s="599"/>
      <c r="BA162" s="599"/>
      <c r="BB162" s="599"/>
      <c r="BC162" s="599"/>
      <c r="BD162" s="599"/>
      <c r="BE162" s="598"/>
    </row>
    <row r="163" spans="2:57">
      <c r="B163" s="1326" t="s">
        <v>548</v>
      </c>
      <c r="C163" s="1327"/>
      <c r="D163" s="501" t="s">
        <v>3492</v>
      </c>
      <c r="E163" s="501"/>
      <c r="F163" s="501" t="s">
        <v>358</v>
      </c>
      <c r="G163" s="501" t="s">
        <v>359</v>
      </c>
      <c r="H163" s="629">
        <v>9002.2939999999999</v>
      </c>
      <c r="I163" s="505" t="s">
        <v>240</v>
      </c>
      <c r="J163" s="504">
        <v>45241.013888888891</v>
      </c>
      <c r="K163" s="504"/>
      <c r="L163" s="504" t="s">
        <v>192</v>
      </c>
      <c r="M163" s="504" t="s">
        <v>192</v>
      </c>
      <c r="N163" s="505" t="str">
        <f t="shared" si="12"/>
        <v>DELAY ( 1 day 3 hour 20 minute )</v>
      </c>
      <c r="O163" s="597"/>
      <c r="P163" s="507" t="s">
        <v>551</v>
      </c>
      <c r="Q163" s="507" t="s">
        <v>551</v>
      </c>
      <c r="R163" s="507" t="s">
        <v>551</v>
      </c>
      <c r="S163" s="598"/>
      <c r="T163" s="599"/>
      <c r="U163" s="599"/>
      <c r="V163" s="599"/>
      <c r="W163" s="599"/>
      <c r="X163" s="599"/>
      <c r="Y163" s="599"/>
      <c r="Z163" s="599"/>
      <c r="AA163" s="599"/>
      <c r="AB163" s="599"/>
      <c r="AC163" s="599">
        <f>H163</f>
        <v>9002.2939999999999</v>
      </c>
      <c r="AD163" s="599"/>
      <c r="AE163" s="599"/>
      <c r="AF163" s="599"/>
      <c r="AG163" s="599"/>
      <c r="AH163" s="599"/>
      <c r="AI163" s="599"/>
      <c r="AJ163" s="599"/>
      <c r="AK163" s="599"/>
      <c r="AL163" s="599"/>
      <c r="AM163" s="599"/>
      <c r="AN163" s="599"/>
      <c r="AO163" s="599"/>
      <c r="AP163" s="599"/>
      <c r="AQ163" s="599"/>
      <c r="AR163" s="599"/>
      <c r="AS163" s="599"/>
      <c r="AT163" s="599"/>
      <c r="AU163" s="599"/>
      <c r="AV163" s="599"/>
      <c r="AW163" s="599"/>
      <c r="AX163" s="599"/>
      <c r="AY163" s="599"/>
      <c r="AZ163" s="599"/>
      <c r="BA163" s="599"/>
      <c r="BB163" s="599"/>
      <c r="BC163" s="599"/>
      <c r="BD163" s="599"/>
      <c r="BE163" s="598"/>
    </row>
    <row r="164" spans="2:57">
      <c r="B164" s="1326" t="s">
        <v>548</v>
      </c>
      <c r="C164" s="1327"/>
      <c r="D164" s="501" t="s">
        <v>3495</v>
      </c>
      <c r="E164" s="501"/>
      <c r="F164" s="501" t="s">
        <v>429</v>
      </c>
      <c r="G164" s="501" t="s">
        <v>430</v>
      </c>
      <c r="H164" s="629">
        <v>7583.0739999999996</v>
      </c>
      <c r="I164" s="505" t="s">
        <v>240</v>
      </c>
      <c r="J164" s="504">
        <v>45241.958333333336</v>
      </c>
      <c r="K164" s="504"/>
      <c r="L164" s="504" t="s">
        <v>192</v>
      </c>
      <c r="M164" s="504" t="s">
        <v>192</v>
      </c>
      <c r="N164" s="505" t="str">
        <f t="shared" si="12"/>
        <v>DELAY ( 2 day 2 hour 0 minute )</v>
      </c>
      <c r="O164" s="597"/>
      <c r="P164" s="507" t="s">
        <v>551</v>
      </c>
      <c r="Q164" s="507" t="s">
        <v>551</v>
      </c>
      <c r="R164" s="507" t="s">
        <v>551</v>
      </c>
      <c r="S164" s="598"/>
      <c r="T164" s="599"/>
      <c r="U164" s="599"/>
      <c r="V164" s="599"/>
      <c r="W164" s="599"/>
      <c r="X164" s="599"/>
      <c r="Y164" s="599"/>
      <c r="Z164" s="599"/>
      <c r="AA164" s="599"/>
      <c r="AB164" s="599"/>
      <c r="AC164" s="599">
        <f>H164</f>
        <v>7583.0739999999996</v>
      </c>
      <c r="AD164" s="599"/>
      <c r="AE164" s="599"/>
      <c r="AF164" s="599"/>
      <c r="AG164" s="599"/>
      <c r="AH164" s="599"/>
      <c r="AI164" s="599"/>
      <c r="AJ164" s="599"/>
      <c r="AK164" s="599"/>
      <c r="AL164" s="599"/>
      <c r="AM164" s="599"/>
      <c r="AN164" s="599"/>
      <c r="AO164" s="599"/>
      <c r="AP164" s="598"/>
      <c r="AQ164" s="599"/>
      <c r="AR164" s="599"/>
      <c r="AS164" s="599"/>
      <c r="AT164" s="599"/>
      <c r="AU164" s="599"/>
      <c r="AV164" s="599"/>
      <c r="AW164" s="599"/>
      <c r="AX164" s="599"/>
      <c r="AY164" s="599"/>
      <c r="AZ164" s="599"/>
      <c r="BA164" s="599"/>
      <c r="BB164" s="599"/>
      <c r="BC164" s="599"/>
      <c r="BD164" s="599"/>
      <c r="BE164" s="598"/>
    </row>
    <row r="165" spans="2:57">
      <c r="B165" s="1315" t="s">
        <v>610</v>
      </c>
      <c r="C165" s="1464"/>
      <c r="D165" s="1464"/>
      <c r="E165" s="1464"/>
      <c r="F165" s="1464"/>
      <c r="G165" s="1316"/>
      <c r="H165" s="629">
        <f>H167-SUM(H158:H164)</f>
        <v>8455.2940000000017</v>
      </c>
      <c r="I165" s="505" t="s">
        <v>1164</v>
      </c>
      <c r="J165" s="504"/>
      <c r="K165" s="504"/>
      <c r="L165" s="504"/>
      <c r="M165" s="504"/>
      <c r="N165" s="505" t="str">
        <f t="shared" si="12"/>
        <v xml:space="preserve"> </v>
      </c>
      <c r="O165" s="597"/>
      <c r="P165" s="507" t="s">
        <v>551</v>
      </c>
      <c r="Q165" s="507"/>
      <c r="R165" s="507"/>
      <c r="S165" s="598"/>
      <c r="T165" s="599"/>
      <c r="U165" s="599"/>
      <c r="V165" s="599"/>
      <c r="W165" s="599"/>
      <c r="X165" s="599">
        <f>H165</f>
        <v>8455.2940000000017</v>
      </c>
      <c r="Y165" s="599"/>
      <c r="Z165" s="599"/>
      <c r="AA165" s="599"/>
      <c r="AB165" s="599"/>
      <c r="AC165" s="599"/>
      <c r="AD165" s="599"/>
      <c r="AE165" s="599"/>
      <c r="AF165" s="599"/>
      <c r="AG165" s="599"/>
      <c r="AH165" s="599"/>
      <c r="AI165" s="599"/>
      <c r="AJ165" s="599"/>
      <c r="AK165" s="599"/>
      <c r="AL165" s="599"/>
      <c r="AM165" s="599"/>
      <c r="AN165" s="599"/>
      <c r="AO165" s="599"/>
      <c r="AP165" s="599"/>
      <c r="AQ165" s="599"/>
      <c r="AR165" s="599"/>
      <c r="AS165" s="599"/>
      <c r="AT165" s="599"/>
      <c r="AU165" s="599"/>
      <c r="AV165" s="599"/>
      <c r="AW165" s="599"/>
      <c r="AX165" s="599"/>
      <c r="AY165" s="599"/>
      <c r="AZ165" s="599"/>
      <c r="BA165" s="599"/>
      <c r="BB165" s="599"/>
      <c r="BC165" s="599"/>
      <c r="BD165" s="599"/>
      <c r="BE165" s="598"/>
    </row>
    <row r="166" spans="2:57">
      <c r="B166" s="1258" t="s">
        <v>556</v>
      </c>
      <c r="C166" s="1259"/>
      <c r="D166" s="1259"/>
      <c r="E166" s="1259"/>
      <c r="F166" s="1259"/>
      <c r="G166" s="1260"/>
      <c r="H166" s="586">
        <f>SUM(H158:H165)</f>
        <v>60500</v>
      </c>
      <c r="I166" s="587"/>
      <c r="J166" s="588"/>
      <c r="K166" s="588"/>
      <c r="L166" s="588"/>
      <c r="M166" s="589"/>
      <c r="N166" s="505" t="str">
        <f t="shared" si="12"/>
        <v xml:space="preserve"> </v>
      </c>
      <c r="O166" s="212"/>
      <c r="P166" s="590"/>
      <c r="Q166" s="590"/>
      <c r="R166" s="590"/>
      <c r="S166" s="633"/>
      <c r="T166" s="1307"/>
      <c r="U166" s="1308"/>
      <c r="V166" s="1308"/>
      <c r="W166" s="1308"/>
      <c r="X166" s="1308"/>
      <c r="Y166" s="1308"/>
      <c r="Z166" s="1308"/>
      <c r="AA166" s="1308"/>
      <c r="AB166" s="1308"/>
      <c r="AC166" s="1308"/>
      <c r="AD166" s="1308"/>
      <c r="AE166" s="1308"/>
      <c r="AF166" s="1308"/>
      <c r="AG166" s="1308"/>
      <c r="AH166" s="1308"/>
      <c r="AI166" s="1308"/>
      <c r="AJ166" s="1308"/>
      <c r="AK166" s="1308"/>
      <c r="AL166" s="1308"/>
      <c r="AM166" s="1308"/>
      <c r="AN166" s="1308"/>
      <c r="AO166" s="1308"/>
      <c r="AP166" s="1308"/>
      <c r="AQ166" s="1308"/>
      <c r="AR166" s="1308"/>
      <c r="AS166" s="1308"/>
      <c r="AT166" s="1308"/>
      <c r="AU166" s="1308"/>
      <c r="AV166" s="1308"/>
      <c r="AW166" s="1308"/>
      <c r="AX166" s="1308"/>
      <c r="AY166" s="1308"/>
      <c r="AZ166" s="1308"/>
      <c r="BA166" s="1308"/>
      <c r="BB166" s="1308"/>
      <c r="BC166" s="1308"/>
      <c r="BD166" s="1308"/>
    </row>
    <row r="167" spans="2:57">
      <c r="B167" s="1415" t="s">
        <v>557</v>
      </c>
      <c r="C167" s="1416"/>
      <c r="D167" s="1416"/>
      <c r="E167" s="1416"/>
      <c r="F167" s="1416"/>
      <c r="G167" s="1417"/>
      <c r="H167" s="710">
        <v>60500</v>
      </c>
      <c r="I167" s="1434"/>
      <c r="J167" s="1435"/>
      <c r="K167" s="1435"/>
      <c r="L167" s="1435"/>
      <c r="M167" s="1436"/>
      <c r="N167" s="505" t="str">
        <f t="shared" si="12"/>
        <v xml:space="preserve"> </v>
      </c>
      <c r="O167" s="598"/>
      <c r="P167" s="507"/>
      <c r="Q167" s="507"/>
      <c r="R167" s="507"/>
      <c r="S167" s="711"/>
      <c r="T167" s="599">
        <f t="shared" ref="T167:BD167" si="13">SUM(T158:T165)</f>
        <v>0</v>
      </c>
      <c r="U167" s="599">
        <f t="shared" si="13"/>
        <v>0</v>
      </c>
      <c r="V167" s="599">
        <f t="shared" si="13"/>
        <v>0</v>
      </c>
      <c r="W167" s="599">
        <f t="shared" si="13"/>
        <v>0</v>
      </c>
      <c r="X167" s="599">
        <f t="shared" si="13"/>
        <v>8455.2940000000017</v>
      </c>
      <c r="Y167" s="599">
        <f t="shared" si="13"/>
        <v>0</v>
      </c>
      <c r="Z167" s="599">
        <f t="shared" si="13"/>
        <v>0</v>
      </c>
      <c r="AA167" s="599">
        <f t="shared" si="13"/>
        <v>0</v>
      </c>
      <c r="AB167" s="599">
        <f t="shared" si="13"/>
        <v>0</v>
      </c>
      <c r="AC167" s="599">
        <f t="shared" si="13"/>
        <v>46846.663</v>
      </c>
      <c r="AD167" s="599">
        <f t="shared" si="13"/>
        <v>0</v>
      </c>
      <c r="AE167" s="599">
        <f t="shared" si="13"/>
        <v>0</v>
      </c>
      <c r="AF167" s="599">
        <f t="shared" si="13"/>
        <v>0</v>
      </c>
      <c r="AG167" s="599">
        <f t="shared" si="13"/>
        <v>5198.0429999999997</v>
      </c>
      <c r="AH167" s="599">
        <f t="shared" si="13"/>
        <v>0</v>
      </c>
      <c r="AI167" s="599">
        <f t="shared" si="13"/>
        <v>0</v>
      </c>
      <c r="AJ167" s="599">
        <f t="shared" si="13"/>
        <v>0</v>
      </c>
      <c r="AK167" s="599">
        <f t="shared" si="13"/>
        <v>0</v>
      </c>
      <c r="AL167" s="599">
        <f t="shared" si="13"/>
        <v>0</v>
      </c>
      <c r="AM167" s="599">
        <f t="shared" si="13"/>
        <v>0</v>
      </c>
      <c r="AN167" s="599">
        <f t="shared" si="13"/>
        <v>0</v>
      </c>
      <c r="AO167" s="599">
        <f t="shared" si="13"/>
        <v>0</v>
      </c>
      <c r="AP167" s="599">
        <f t="shared" si="13"/>
        <v>0</v>
      </c>
      <c r="AQ167" s="599">
        <f t="shared" si="13"/>
        <v>0</v>
      </c>
      <c r="AR167" s="599">
        <f t="shared" si="13"/>
        <v>0</v>
      </c>
      <c r="AS167" s="599">
        <f t="shared" si="13"/>
        <v>0</v>
      </c>
      <c r="AT167" s="599">
        <f t="shared" si="13"/>
        <v>0</v>
      </c>
      <c r="AU167" s="599">
        <f t="shared" si="13"/>
        <v>0</v>
      </c>
      <c r="AV167" s="599">
        <f t="shared" si="13"/>
        <v>0</v>
      </c>
      <c r="AW167" s="599">
        <f t="shared" si="13"/>
        <v>0</v>
      </c>
      <c r="AX167" s="599">
        <f t="shared" si="13"/>
        <v>0</v>
      </c>
      <c r="AY167" s="599">
        <f t="shared" si="13"/>
        <v>0</v>
      </c>
      <c r="AZ167" s="599">
        <f t="shared" si="13"/>
        <v>0</v>
      </c>
      <c r="BA167" s="599">
        <f t="shared" si="13"/>
        <v>0</v>
      </c>
      <c r="BB167" s="599">
        <f t="shared" si="13"/>
        <v>0</v>
      </c>
      <c r="BC167" s="599">
        <f t="shared" si="13"/>
        <v>0</v>
      </c>
      <c r="BD167" s="599">
        <f t="shared" si="13"/>
        <v>0</v>
      </c>
      <c r="BE167" s="599">
        <f>SUM(T167:BD167)</f>
        <v>60500</v>
      </c>
    </row>
    <row r="168" spans="2:57">
      <c r="B168" s="1415" t="s">
        <v>558</v>
      </c>
      <c r="C168" s="1416"/>
      <c r="D168" s="1416"/>
      <c r="E168" s="1416"/>
      <c r="F168" s="1416"/>
      <c r="G168" s="1417"/>
      <c r="H168" s="712">
        <f>H167-L152</f>
        <v>0</v>
      </c>
      <c r="I168" s="713"/>
      <c r="J168" s="714"/>
      <c r="K168" s="714"/>
      <c r="L168" s="558"/>
      <c r="M168" s="598"/>
      <c r="N168" s="598"/>
      <c r="O168" s="598"/>
      <c r="P168" s="598"/>
      <c r="Q168" s="715"/>
      <c r="R168" s="715"/>
      <c r="S168" s="598"/>
      <c r="T168" s="688"/>
      <c r="U168" s="688"/>
      <c r="V168" s="688"/>
      <c r="W168" s="688"/>
      <c r="X168" s="688"/>
      <c r="Y168" s="688"/>
      <c r="Z168" s="688"/>
      <c r="AA168" s="688"/>
      <c r="AB168" s="688"/>
      <c r="AC168" s="598"/>
      <c r="AD168" s="598"/>
      <c r="AE168" s="598"/>
      <c r="AF168" s="598"/>
      <c r="AG168" s="598"/>
      <c r="AH168" s="598"/>
      <c r="AI168" s="598"/>
      <c r="AJ168" s="598"/>
      <c r="AK168" s="598"/>
      <c r="AL168" s="598"/>
      <c r="AM168" s="598"/>
      <c r="AN168" s="598"/>
      <c r="AO168" s="598"/>
      <c r="AP168" s="598"/>
      <c r="AQ168" s="598"/>
      <c r="AR168" s="598"/>
      <c r="AS168" s="554"/>
      <c r="AT168" s="554"/>
      <c r="AU168" s="554"/>
      <c r="AV168" s="554"/>
      <c r="AW168" s="554"/>
      <c r="AX168" s="554"/>
      <c r="AY168" s="554"/>
      <c r="AZ168" s="554"/>
      <c r="BA168" s="554"/>
      <c r="BB168" s="554"/>
      <c r="BC168" s="554"/>
      <c r="BD168" s="554"/>
      <c r="BE168" s="554"/>
    </row>
    <row r="169" spans="2:57">
      <c r="B169" s="1415" t="s">
        <v>559</v>
      </c>
      <c r="C169" s="1416"/>
      <c r="D169" s="1416"/>
      <c r="E169" s="1416"/>
      <c r="F169" s="1416"/>
      <c r="G169" s="1417"/>
      <c r="H169" s="747">
        <f>H166-H167</f>
        <v>0</v>
      </c>
      <c r="I169" s="716"/>
      <c r="J169" s="717"/>
      <c r="K169" s="717"/>
      <c r="L169" s="563"/>
      <c r="M169" s="598"/>
      <c r="N169" s="598"/>
      <c r="O169" s="598"/>
      <c r="P169" s="598"/>
      <c r="Q169" s="598"/>
      <c r="R169" s="598"/>
      <c r="S169" s="598"/>
      <c r="T169" s="688"/>
      <c r="U169" s="688"/>
      <c r="V169" s="688"/>
      <c r="W169" s="688"/>
      <c r="X169" s="688"/>
      <c r="Y169" s="688"/>
      <c r="Z169" s="688"/>
      <c r="AA169" s="688"/>
      <c r="AB169" s="688"/>
      <c r="AC169" s="598"/>
      <c r="AD169" s="598"/>
      <c r="AE169" s="598"/>
      <c r="AF169" s="598"/>
      <c r="AG169" s="598"/>
      <c r="AH169" s="598"/>
      <c r="AI169" s="598"/>
      <c r="AJ169" s="598"/>
      <c r="AK169" s="598"/>
      <c r="AL169" s="598"/>
      <c r="AM169" s="598"/>
      <c r="AN169" s="598"/>
      <c r="AO169" s="598"/>
      <c r="AP169" s="598"/>
      <c r="AQ169" s="598"/>
      <c r="AR169" s="598"/>
      <c r="AS169" s="554"/>
      <c r="AT169" s="554"/>
      <c r="AU169" s="554"/>
      <c r="AV169" s="554"/>
      <c r="AW169" s="554"/>
      <c r="AX169" s="554"/>
      <c r="AY169" s="554"/>
      <c r="AZ169" s="554"/>
      <c r="BA169" s="554"/>
      <c r="BB169" s="554"/>
      <c r="BC169" s="554"/>
      <c r="BD169" s="554"/>
      <c r="BE169" s="554"/>
    </row>
    <row r="170" spans="2:57">
      <c r="B170" s="613"/>
      <c r="C170" s="613"/>
      <c r="D170" s="613"/>
      <c r="E170" s="613"/>
      <c r="F170" s="613"/>
      <c r="G170" s="613"/>
      <c r="H170" s="613"/>
      <c r="I170" s="643"/>
      <c r="J170" s="641"/>
      <c r="K170" s="641"/>
      <c r="L170" s="644"/>
      <c r="M170" s="613"/>
      <c r="N170" s="613"/>
      <c r="O170" s="641"/>
      <c r="P170" s="591"/>
      <c r="Q170" s="591"/>
      <c r="R170" s="591"/>
      <c r="S170" s="591"/>
      <c r="T170" s="645"/>
      <c r="U170" s="645"/>
      <c r="V170" s="645"/>
      <c r="W170" s="645"/>
      <c r="X170" s="645"/>
      <c r="Y170" s="645"/>
      <c r="Z170" s="645"/>
      <c r="AA170" s="645"/>
      <c r="AB170" s="645"/>
      <c r="AC170" s="591"/>
      <c r="AD170" s="591"/>
      <c r="AE170" s="591"/>
      <c r="AF170" s="591"/>
      <c r="AG170" s="591"/>
      <c r="AH170" s="591"/>
      <c r="AI170" s="591"/>
      <c r="AJ170" s="591"/>
      <c r="AK170" s="591"/>
      <c r="AL170" s="591"/>
      <c r="AM170" s="591"/>
      <c r="AN170" s="591"/>
      <c r="AO170" s="591"/>
      <c r="AP170" s="591"/>
      <c r="AQ170" s="591"/>
      <c r="AR170" s="591"/>
    </row>
    <row r="171" spans="2:57">
      <c r="B171" s="619" t="s">
        <v>561</v>
      </c>
      <c r="C171" s="619"/>
      <c r="D171" s="591"/>
      <c r="E171" s="591"/>
      <c r="F171" s="591"/>
      <c r="G171" s="591"/>
      <c r="H171" s="591"/>
      <c r="I171" s="591"/>
      <c r="J171" s="646"/>
      <c r="K171" s="646"/>
      <c r="L171" s="647"/>
      <c r="M171" s="591"/>
      <c r="N171" s="613"/>
      <c r="O171" s="646"/>
      <c r="P171" s="616"/>
      <c r="Q171" s="616"/>
      <c r="R171" s="616"/>
      <c r="S171" s="616"/>
      <c r="T171" s="616"/>
      <c r="U171" s="616"/>
      <c r="V171" s="616"/>
      <c r="W171" s="616"/>
      <c r="X171" s="616"/>
      <c r="Y171" s="616"/>
      <c r="Z171" s="616"/>
      <c r="AA171" s="616"/>
      <c r="AB171" s="613"/>
      <c r="AC171" s="613"/>
      <c r="AD171" s="613"/>
      <c r="AE171" s="613"/>
      <c r="AF171" s="613"/>
      <c r="AG171" s="613"/>
      <c r="AH171" s="613"/>
      <c r="AI171" s="613"/>
      <c r="AJ171" s="613"/>
      <c r="AK171" s="613"/>
      <c r="AL171" s="613"/>
      <c r="AM171" s="613"/>
      <c r="AN171" s="613"/>
      <c r="AO171" s="613"/>
      <c r="AP171" s="613"/>
      <c r="AQ171" s="613"/>
      <c r="AR171" s="613"/>
      <c r="AS171" s="613"/>
      <c r="AT171" s="613"/>
      <c r="AU171" s="613"/>
      <c r="BE171" s="613"/>
    </row>
    <row r="172" spans="2:57">
      <c r="B172" s="422"/>
      <c r="C172" s="1249"/>
      <c r="D172" s="1249"/>
      <c r="E172" s="1249"/>
      <c r="F172" s="1249"/>
      <c r="G172" s="1249"/>
      <c r="H172" s="1249"/>
      <c r="I172" s="1249"/>
      <c r="J172" s="1249"/>
      <c r="K172" s="1249"/>
      <c r="L172" s="644"/>
      <c r="M172" s="644"/>
      <c r="N172" s="613"/>
      <c r="O172" s="641"/>
      <c r="P172" s="616"/>
      <c r="Q172" s="616"/>
      <c r="R172" s="616"/>
      <c r="S172" s="616"/>
      <c r="T172" s="616"/>
      <c r="U172" s="616"/>
      <c r="V172" s="616"/>
      <c r="W172" s="616"/>
      <c r="X172" s="616"/>
      <c r="Y172" s="616"/>
      <c r="Z172" s="616"/>
      <c r="AA172" s="616"/>
      <c r="AB172" s="613"/>
      <c r="AC172" s="613"/>
      <c r="AD172" s="613"/>
      <c r="AE172" s="613"/>
      <c r="AF172" s="613"/>
      <c r="AG172" s="613"/>
      <c r="AH172" s="613"/>
      <c r="AI172" s="613"/>
      <c r="AJ172" s="613"/>
      <c r="AK172" s="613"/>
      <c r="AL172" s="613"/>
      <c r="AM172" s="613"/>
      <c r="AN172" s="613"/>
      <c r="AO172" s="613"/>
      <c r="AP172" s="613"/>
      <c r="AQ172" s="613"/>
      <c r="AR172" s="613"/>
      <c r="AS172" s="613"/>
      <c r="AT172" s="613"/>
      <c r="AU172" s="613"/>
      <c r="AV172" s="613"/>
      <c r="AW172" s="613"/>
      <c r="AX172" s="613"/>
      <c r="AY172" s="613"/>
      <c r="AZ172" s="613"/>
      <c r="BA172" s="613"/>
      <c r="BB172" s="613"/>
      <c r="BC172" s="613"/>
      <c r="BD172" s="613"/>
      <c r="BE172" s="613"/>
    </row>
    <row r="174" spans="2:57">
      <c r="B174" s="28" t="s">
        <v>126</v>
      </c>
      <c r="C174" s="28"/>
      <c r="D174" s="614"/>
      <c r="E174" s="30" t="s">
        <v>511</v>
      </c>
      <c r="F174" s="31" t="s">
        <v>3135</v>
      </c>
      <c r="G174" s="591"/>
      <c r="H174" s="33"/>
      <c r="I174" s="615"/>
      <c r="J174" s="35" t="s">
        <v>513</v>
      </c>
      <c r="K174" s="36" t="s">
        <v>511</v>
      </c>
      <c r="L174" s="516">
        <v>45242.173611111109</v>
      </c>
      <c r="M174" s="591"/>
      <c r="N174" s="591"/>
      <c r="O174" s="206"/>
      <c r="P174" s="205"/>
      <c r="Q174" s="616"/>
      <c r="R174" s="204"/>
      <c r="S174" s="617"/>
      <c r="T174" s="613"/>
      <c r="U174" s="613"/>
      <c r="V174" s="613"/>
      <c r="W174" s="613"/>
      <c r="X174" s="613"/>
      <c r="Y174" s="613"/>
      <c r="Z174" s="613"/>
      <c r="AA174" s="613"/>
      <c r="AB174" s="616"/>
      <c r="AC174" s="616"/>
      <c r="AD174" s="616"/>
      <c r="AE174" s="616"/>
      <c r="AF174" s="616"/>
      <c r="AG174" s="613"/>
      <c r="AH174" s="613"/>
      <c r="AI174" s="613"/>
      <c r="AJ174" s="613"/>
      <c r="AK174" s="613"/>
      <c r="AL174" s="613"/>
      <c r="AM174" s="613"/>
      <c r="AN174" s="613"/>
      <c r="AO174" s="613"/>
      <c r="AP174" s="613"/>
      <c r="AQ174" s="613"/>
      <c r="AR174" s="613"/>
      <c r="AS174" s="613"/>
      <c r="AT174" s="613"/>
      <c r="AU174" s="613"/>
      <c r="AV174" s="613"/>
      <c r="AW174" s="613"/>
      <c r="AX174" s="613"/>
      <c r="AY174" s="613"/>
      <c r="AZ174" s="613"/>
      <c r="BA174" s="613"/>
      <c r="BB174" s="613"/>
      <c r="BC174" s="613"/>
      <c r="BD174" s="613"/>
      <c r="BE174" s="613"/>
    </row>
    <row r="175" spans="2:57">
      <c r="B175" s="35" t="s">
        <v>514</v>
      </c>
      <c r="C175" s="35"/>
      <c r="D175" s="591"/>
      <c r="E175" s="36" t="s">
        <v>511</v>
      </c>
      <c r="F175" s="311" t="s">
        <v>3728</v>
      </c>
      <c r="G175" s="591"/>
      <c r="H175" s="33"/>
      <c r="I175" s="615"/>
      <c r="J175" s="35" t="s">
        <v>516</v>
      </c>
      <c r="K175" s="36" t="s">
        <v>511</v>
      </c>
      <c r="L175" s="516">
        <v>45243.979166666664</v>
      </c>
      <c r="M175" s="591"/>
      <c r="N175" s="591"/>
      <c r="O175" s="206"/>
      <c r="P175" s="205"/>
      <c r="Q175" s="616"/>
      <c r="R175" s="204"/>
      <c r="S175" s="617"/>
      <c r="T175" s="613"/>
      <c r="U175" s="613"/>
      <c r="V175" s="613"/>
      <c r="W175" s="613"/>
      <c r="X175" s="613"/>
      <c r="Y175" s="613"/>
      <c r="Z175" s="613"/>
      <c r="AA175" s="613"/>
      <c r="AB175" s="616"/>
      <c r="AC175" s="616"/>
      <c r="AD175" s="616"/>
      <c r="AE175" s="616"/>
      <c r="AF175" s="616"/>
      <c r="AG175" s="613"/>
      <c r="AH175" s="613"/>
      <c r="AI175" s="613"/>
      <c r="AJ175" s="613"/>
      <c r="AK175" s="613"/>
      <c r="AL175" s="613"/>
      <c r="AM175" s="613"/>
      <c r="AN175" s="613"/>
      <c r="AO175" s="613"/>
      <c r="AP175" s="613"/>
      <c r="AQ175" s="613"/>
      <c r="AR175" s="613"/>
      <c r="AS175" s="613"/>
      <c r="AT175" s="613"/>
      <c r="AU175" s="613"/>
      <c r="AV175" s="613"/>
      <c r="AW175" s="613"/>
      <c r="AX175" s="613"/>
      <c r="AY175" s="613"/>
      <c r="AZ175" s="613"/>
      <c r="BA175" s="613"/>
      <c r="BB175" s="613"/>
      <c r="BC175" s="613"/>
      <c r="BD175" s="613"/>
      <c r="BE175" s="613"/>
    </row>
    <row r="176" spans="2:57">
      <c r="B176" s="35" t="s">
        <v>517</v>
      </c>
      <c r="C176" s="35"/>
      <c r="D176" s="591"/>
      <c r="E176" s="36" t="s">
        <v>511</v>
      </c>
      <c r="F176" s="516">
        <v>45238.958333333336</v>
      </c>
      <c r="G176" s="591"/>
      <c r="H176" s="33"/>
      <c r="I176" s="615"/>
      <c r="J176" s="35" t="s">
        <v>518</v>
      </c>
      <c r="K176" s="36" t="s">
        <v>511</v>
      </c>
      <c r="L176" s="859">
        <v>60160</v>
      </c>
      <c r="M176" s="619" t="s">
        <v>519</v>
      </c>
      <c r="N176" s="619"/>
      <c r="O176" s="206"/>
      <c r="P176" s="205"/>
      <c r="Q176" s="616"/>
      <c r="R176" s="204"/>
      <c r="S176" s="617"/>
      <c r="T176" s="613"/>
      <c r="U176" s="613"/>
      <c r="V176" s="613"/>
      <c r="W176" s="613"/>
      <c r="X176" s="613"/>
      <c r="Y176" s="613"/>
      <c r="Z176" s="613"/>
      <c r="AA176" s="613"/>
      <c r="AB176" s="616"/>
      <c r="AC176" s="616"/>
      <c r="AD176" s="616"/>
      <c r="AE176" s="616"/>
      <c r="AF176" s="616"/>
      <c r="AG176" s="613"/>
      <c r="AH176" s="613"/>
      <c r="AI176" s="613"/>
      <c r="AJ176" s="613"/>
      <c r="AK176" s="613"/>
      <c r="AL176" s="613"/>
      <c r="AM176" s="613"/>
      <c r="AN176" s="613"/>
      <c r="AO176" s="613"/>
      <c r="AP176" s="613"/>
      <c r="AQ176" s="613"/>
      <c r="AR176" s="613"/>
      <c r="AS176" s="613"/>
      <c r="AT176" s="613"/>
      <c r="AU176" s="613"/>
      <c r="AV176" s="613"/>
      <c r="AW176" s="613"/>
      <c r="AX176" s="613"/>
      <c r="AY176" s="613"/>
      <c r="AZ176" s="613"/>
      <c r="BA176" s="613"/>
      <c r="BB176" s="613"/>
      <c r="BC176" s="613"/>
      <c r="BD176" s="613"/>
      <c r="BE176" s="613"/>
    </row>
    <row r="177" spans="2:57">
      <c r="B177" s="35" t="s">
        <v>520</v>
      </c>
      <c r="C177" s="35"/>
      <c r="D177" s="591"/>
      <c r="E177" s="36" t="s">
        <v>511</v>
      </c>
      <c r="F177" s="37" t="s">
        <v>4</v>
      </c>
      <c r="G177" s="591"/>
      <c r="H177" s="33"/>
      <c r="I177" s="615"/>
      <c r="J177" s="35" t="s">
        <v>521</v>
      </c>
      <c r="K177" s="36" t="s">
        <v>511</v>
      </c>
      <c r="L177" s="620" t="s">
        <v>3136</v>
      </c>
      <c r="M177" s="591"/>
      <c r="N177" s="591"/>
      <c r="O177" s="206"/>
      <c r="P177" s="616"/>
      <c r="Q177" s="616"/>
      <c r="R177" s="204"/>
      <c r="S177" s="617"/>
      <c r="T177" s="613"/>
      <c r="U177" s="613"/>
      <c r="V177" s="613"/>
      <c r="W177" s="613"/>
      <c r="X177" s="613"/>
      <c r="Y177" s="613"/>
      <c r="Z177" s="613"/>
      <c r="AA177" s="613"/>
      <c r="AB177" s="616"/>
      <c r="AC177" s="616"/>
      <c r="AD177" s="616"/>
      <c r="AE177" s="616"/>
      <c r="AF177" s="616"/>
      <c r="AG177" s="613"/>
      <c r="AH177" s="613"/>
      <c r="AI177" s="613"/>
      <c r="AJ177" s="613"/>
      <c r="AK177" s="613"/>
      <c r="AL177" s="613"/>
      <c r="AM177" s="613"/>
      <c r="AN177" s="613"/>
      <c r="AO177" s="613"/>
      <c r="AP177" s="613"/>
      <c r="AQ177" s="613"/>
      <c r="AR177" s="613"/>
      <c r="AS177" s="613"/>
      <c r="AT177" s="613"/>
      <c r="AU177" s="613"/>
      <c r="AV177" s="613"/>
      <c r="AW177" s="613"/>
      <c r="AX177" s="613"/>
      <c r="AY177" s="613"/>
      <c r="AZ177" s="613"/>
      <c r="BA177" s="613"/>
      <c r="BB177" s="613"/>
      <c r="BC177" s="613"/>
      <c r="BD177" s="613"/>
      <c r="BE177" s="613"/>
    </row>
    <row r="178" spans="2:57">
      <c r="B178" s="35" t="s">
        <v>523</v>
      </c>
      <c r="C178" s="35"/>
      <c r="D178" s="591"/>
      <c r="E178" s="36" t="s">
        <v>511</v>
      </c>
      <c r="F178" s="37" t="s">
        <v>5</v>
      </c>
      <c r="G178" s="591"/>
      <c r="H178" s="33"/>
      <c r="I178" s="615"/>
      <c r="J178" s="35" t="s">
        <v>524</v>
      </c>
      <c r="K178" s="36" t="s">
        <v>511</v>
      </c>
      <c r="L178" s="621" t="s">
        <v>15</v>
      </c>
      <c r="M178" s="611"/>
      <c r="N178" s="611"/>
      <c r="O178" s="206"/>
      <c r="P178" s="205"/>
      <c r="Q178" s="616"/>
      <c r="R178" s="204"/>
      <c r="S178" s="617"/>
      <c r="T178" s="613"/>
      <c r="U178" s="613"/>
      <c r="V178" s="613"/>
      <c r="W178" s="613"/>
      <c r="X178" s="613"/>
      <c r="Y178" s="613"/>
      <c r="Z178" s="613"/>
      <c r="AA178" s="613"/>
      <c r="AB178" s="616"/>
      <c r="AC178" s="616"/>
      <c r="AD178" s="616"/>
      <c r="AE178" s="616"/>
      <c r="AF178" s="616"/>
      <c r="AG178" s="613"/>
      <c r="AH178" s="613"/>
      <c r="AI178" s="613"/>
      <c r="AJ178" s="613"/>
      <c r="AK178" s="613"/>
      <c r="AL178" s="613"/>
      <c r="AM178" s="613"/>
      <c r="AN178" s="613"/>
      <c r="AO178" s="613"/>
      <c r="AP178" s="613"/>
      <c r="AQ178" s="613"/>
      <c r="AR178" s="613"/>
      <c r="AS178" s="613"/>
      <c r="AT178" s="613"/>
      <c r="AU178" s="613"/>
      <c r="AV178" s="613"/>
      <c r="AW178" s="613"/>
      <c r="AX178" s="613"/>
      <c r="AY178" s="613"/>
      <c r="AZ178" s="613"/>
      <c r="BA178" s="613"/>
      <c r="BB178" s="613"/>
      <c r="BC178" s="613"/>
      <c r="BD178" s="613"/>
      <c r="BE178" s="613"/>
    </row>
    <row r="179" spans="2:57">
      <c r="B179" s="35" t="s">
        <v>2</v>
      </c>
      <c r="C179" s="35"/>
      <c r="D179" s="591"/>
      <c r="E179" s="36" t="s">
        <v>511</v>
      </c>
      <c r="F179" s="37" t="s">
        <v>14</v>
      </c>
      <c r="G179" s="591"/>
      <c r="H179" s="33"/>
      <c r="I179" s="622"/>
      <c r="J179" s="35"/>
      <c r="K179" s="36"/>
      <c r="L179" s="211"/>
      <c r="M179" s="613"/>
      <c r="N179" s="613"/>
      <c r="O179" s="35"/>
      <c r="P179" s="611"/>
      <c r="Q179" s="611"/>
      <c r="R179" s="611"/>
      <c r="S179" s="615"/>
      <c r="T179" s="613"/>
      <c r="U179" s="613"/>
      <c r="V179" s="613"/>
      <c r="W179" s="613"/>
      <c r="X179" s="613"/>
      <c r="Y179" s="613"/>
      <c r="Z179" s="613"/>
      <c r="AA179" s="613"/>
      <c r="AB179" s="615"/>
      <c r="AC179" s="615"/>
      <c r="AD179" s="615"/>
      <c r="AE179" s="615"/>
      <c r="AF179" s="615"/>
      <c r="AG179" s="615"/>
      <c r="AH179" s="615"/>
      <c r="AI179" s="615"/>
      <c r="AJ179" s="615"/>
      <c r="AK179" s="615"/>
      <c r="AL179" s="615"/>
      <c r="AM179" s="615"/>
      <c r="AN179" s="615"/>
      <c r="AO179" s="613"/>
      <c r="AP179" s="613"/>
      <c r="AQ179" s="613"/>
      <c r="AR179" s="613"/>
      <c r="AS179" s="613"/>
      <c r="AT179" s="613"/>
      <c r="AU179" s="613"/>
      <c r="AV179" s="613"/>
      <c r="AW179" s="613"/>
      <c r="AX179" s="613"/>
      <c r="AY179" s="613"/>
      <c r="AZ179" s="613"/>
      <c r="BA179" s="613"/>
      <c r="BB179" s="613"/>
      <c r="BC179" s="613"/>
      <c r="BD179" s="613"/>
      <c r="BE179" s="613"/>
    </row>
    <row r="180" spans="2:57">
      <c r="B180" s="613"/>
      <c r="C180" s="613"/>
      <c r="D180" s="613"/>
      <c r="E180" s="613"/>
      <c r="F180" s="613"/>
      <c r="G180" s="613"/>
      <c r="H180" s="613"/>
      <c r="I180" s="622"/>
      <c r="J180" s="35"/>
      <c r="K180" s="35"/>
      <c r="L180" s="621"/>
      <c r="M180" s="611"/>
      <c r="N180" s="611"/>
      <c r="O180" s="35"/>
      <c r="P180" s="611"/>
      <c r="Q180" s="611"/>
      <c r="R180" s="611"/>
      <c r="S180" s="615"/>
      <c r="T180" s="1317" t="s">
        <v>87</v>
      </c>
      <c r="U180" s="1317"/>
      <c r="V180" s="1317"/>
      <c r="W180" s="1317"/>
      <c r="X180" s="1317"/>
      <c r="Y180" s="1317" t="s">
        <v>73</v>
      </c>
      <c r="Z180" s="1317"/>
      <c r="AA180" s="1317"/>
      <c r="AB180" s="1317" t="s">
        <v>74</v>
      </c>
      <c r="AC180" s="1317"/>
      <c r="AD180" s="623" t="s">
        <v>85</v>
      </c>
      <c r="AE180" s="854" t="s">
        <v>77</v>
      </c>
      <c r="AF180" s="1459" t="s">
        <v>525</v>
      </c>
      <c r="AG180" s="1459"/>
      <c r="AH180" s="1459"/>
      <c r="AI180" s="1459"/>
      <c r="AJ180" s="1459"/>
      <c r="AK180" s="1459"/>
      <c r="AL180" s="1459"/>
      <c r="AM180" s="1459"/>
      <c r="AN180" s="1459"/>
      <c r="AO180" s="1459"/>
      <c r="AP180" s="1459"/>
      <c r="AQ180" s="1459"/>
      <c r="AR180" s="1459"/>
      <c r="AS180" s="1459"/>
      <c r="AT180" s="1459"/>
      <c r="AU180" s="1459"/>
      <c r="AV180" s="1459"/>
      <c r="AW180" s="1459"/>
      <c r="AX180" s="1459"/>
      <c r="AY180" s="1459"/>
      <c r="AZ180" s="1459"/>
      <c r="BA180" s="1459"/>
      <c r="BB180" s="1459"/>
      <c r="BC180" s="1459"/>
      <c r="BD180" s="1459"/>
      <c r="BE180" s="613"/>
    </row>
    <row r="181" spans="2:57">
      <c r="B181" s="1318" t="s">
        <v>526</v>
      </c>
      <c r="C181" s="1319"/>
      <c r="D181" s="624" t="s">
        <v>527</v>
      </c>
      <c r="E181" s="624"/>
      <c r="F181" s="624" t="s">
        <v>528</v>
      </c>
      <c r="G181" s="624" t="s">
        <v>529</v>
      </c>
      <c r="H181" s="624" t="s">
        <v>530</v>
      </c>
      <c r="I181" s="624" t="s">
        <v>531</v>
      </c>
      <c r="J181" s="624" t="s">
        <v>532</v>
      </c>
      <c r="K181" s="624"/>
      <c r="L181" s="624" t="s">
        <v>130</v>
      </c>
      <c r="M181" s="624" t="s">
        <v>533</v>
      </c>
      <c r="N181" s="625" t="str">
        <f>"On time - "&amp;COUNTIF(N182:N199,"On time")&amp;" from "&amp;ROWS(N182:N199)-COUNTIF(N182:N199," ")</f>
        <v>On time - 1 from 8</v>
      </c>
      <c r="O181" s="626"/>
      <c r="P181" s="627" t="s">
        <v>534</v>
      </c>
      <c r="Q181" s="627" t="s">
        <v>535</v>
      </c>
      <c r="R181" s="627" t="s">
        <v>536</v>
      </c>
      <c r="S181" s="591"/>
      <c r="T181" s="628" t="s">
        <v>537</v>
      </c>
      <c r="U181" s="628" t="s">
        <v>538</v>
      </c>
      <c r="V181" s="628" t="s">
        <v>539</v>
      </c>
      <c r="W181" s="628" t="s">
        <v>540</v>
      </c>
      <c r="X181" s="628" t="s">
        <v>541</v>
      </c>
      <c r="Y181" s="628" t="s">
        <v>167</v>
      </c>
      <c r="Z181" s="628" t="s">
        <v>168</v>
      </c>
      <c r="AA181" s="628" t="s">
        <v>169</v>
      </c>
      <c r="AB181" s="628" t="s">
        <v>235</v>
      </c>
      <c r="AC181" s="628" t="s">
        <v>240</v>
      </c>
      <c r="AD181" s="623" t="s">
        <v>85</v>
      </c>
      <c r="AE181" s="628" t="s">
        <v>139</v>
      </c>
      <c r="AF181" s="855" t="s">
        <v>72</v>
      </c>
      <c r="AG181" s="855" t="s">
        <v>88</v>
      </c>
      <c r="AH181" s="855" t="s">
        <v>75</v>
      </c>
      <c r="AI181" s="855" t="s">
        <v>543</v>
      </c>
      <c r="AJ181" s="855" t="s">
        <v>78</v>
      </c>
      <c r="AK181" s="855" t="s">
        <v>76</v>
      </c>
      <c r="AL181" s="855" t="s">
        <v>544</v>
      </c>
      <c r="AM181" s="855" t="s">
        <v>545</v>
      </c>
      <c r="AN181" s="855" t="s">
        <v>86</v>
      </c>
      <c r="AO181" s="855" t="s">
        <v>83</v>
      </c>
      <c r="AP181" s="855" t="s">
        <v>84</v>
      </c>
      <c r="AQ181" s="855" t="s">
        <v>546</v>
      </c>
      <c r="AR181" s="855" t="s">
        <v>81</v>
      </c>
      <c r="AS181" s="855" t="s">
        <v>80</v>
      </c>
      <c r="AT181" s="855" t="s">
        <v>82</v>
      </c>
      <c r="AU181" s="855" t="s">
        <v>181</v>
      </c>
      <c r="AV181" s="855" t="s">
        <v>183</v>
      </c>
      <c r="AW181" s="855" t="s">
        <v>547</v>
      </c>
      <c r="AX181" s="855" t="s">
        <v>182</v>
      </c>
      <c r="AY181" s="855" t="s">
        <v>172</v>
      </c>
      <c r="AZ181" s="855" t="s">
        <v>173</v>
      </c>
      <c r="BA181" s="855" t="s">
        <v>184</v>
      </c>
      <c r="BB181" s="855" t="s">
        <v>100</v>
      </c>
      <c r="BC181" s="855" t="s">
        <v>913</v>
      </c>
      <c r="BD181" s="855" t="s">
        <v>2747</v>
      </c>
      <c r="BE181" s="613"/>
    </row>
    <row r="182" spans="2:57">
      <c r="B182" s="1315" t="s">
        <v>616</v>
      </c>
      <c r="C182" s="1316"/>
      <c r="D182" s="501" t="s">
        <v>3596</v>
      </c>
      <c r="E182" s="585"/>
      <c r="F182" s="501" t="s">
        <v>249</v>
      </c>
      <c r="G182" s="501" t="s">
        <v>2315</v>
      </c>
      <c r="H182" s="629">
        <v>7517.7730000000001</v>
      </c>
      <c r="I182" s="505" t="s">
        <v>611</v>
      </c>
      <c r="J182" s="504">
        <v>45239.270833333336</v>
      </c>
      <c r="K182" s="504"/>
      <c r="L182" s="504" t="s">
        <v>192</v>
      </c>
      <c r="M182" s="504" t="s">
        <v>192</v>
      </c>
      <c r="N182" s="505" t="str">
        <f>IF(ISBLANK(J182)," ",IF(J182&lt;$F$176,"On time",(IF(DAY(J182-$F$176)&lt;1,"On time",(IF(J182&gt;$F$176,"DELAY ( "&amp;DAY(J182-$F$176)&amp;" day "&amp;HOUR(J182-$F$176)&amp;" hour "&amp;MINUTE(J182-$F$176)&amp;" minute )","xxx"))))))</f>
        <v>On time</v>
      </c>
      <c r="O182" s="597"/>
      <c r="P182" s="507" t="s">
        <v>551</v>
      </c>
      <c r="Q182" s="507" t="s">
        <v>551</v>
      </c>
      <c r="R182" s="507" t="s">
        <v>551</v>
      </c>
      <c r="S182" s="598"/>
      <c r="T182" s="599">
        <f>H182</f>
        <v>7517.7730000000001</v>
      </c>
      <c r="U182" s="599"/>
      <c r="V182" s="599"/>
      <c r="W182" s="599"/>
      <c r="X182" s="599"/>
      <c r="Y182" s="599"/>
      <c r="Z182" s="599"/>
      <c r="AA182" s="599"/>
      <c r="AB182" s="599"/>
      <c r="AC182" s="599"/>
      <c r="AD182" s="599"/>
      <c r="AE182" s="599"/>
      <c r="AF182" s="599"/>
      <c r="AG182" s="599"/>
      <c r="AH182" s="599"/>
      <c r="AI182" s="599"/>
      <c r="AJ182" s="599"/>
      <c r="AK182" s="599"/>
      <c r="AL182" s="599"/>
      <c r="AM182" s="599"/>
      <c r="AN182" s="599"/>
      <c r="AO182" s="599"/>
      <c r="AP182" s="599"/>
      <c r="AQ182" s="599"/>
      <c r="AR182" s="599"/>
      <c r="AS182" s="599"/>
      <c r="AT182" s="599"/>
      <c r="AU182" s="599"/>
      <c r="AV182" s="599"/>
      <c r="AW182" s="599"/>
      <c r="AX182" s="599"/>
      <c r="AY182" s="599"/>
      <c r="AZ182" s="599"/>
      <c r="BA182" s="599"/>
      <c r="BB182" s="599"/>
      <c r="BC182" s="599"/>
      <c r="BD182" s="599"/>
      <c r="BE182" s="598"/>
    </row>
    <row r="183" spans="2:57">
      <c r="B183" s="1315" t="s">
        <v>616</v>
      </c>
      <c r="C183" s="1316"/>
      <c r="D183" s="501" t="s">
        <v>3598</v>
      </c>
      <c r="E183" s="585"/>
      <c r="F183" s="501" t="s">
        <v>274</v>
      </c>
      <c r="G183" s="501" t="s">
        <v>1093</v>
      </c>
      <c r="H183" s="629">
        <v>7524.73</v>
      </c>
      <c r="I183" s="505" t="s">
        <v>611</v>
      </c>
      <c r="J183" s="504">
        <v>45239.979166666664</v>
      </c>
      <c r="K183" s="504"/>
      <c r="L183" s="504" t="s">
        <v>192</v>
      </c>
      <c r="M183" s="504" t="s">
        <v>192</v>
      </c>
      <c r="N183" s="505" t="str">
        <f t="shared" ref="N183:N199" si="14">IF(ISBLANK(J183)," ",IF(J183&lt;$F$176,"On time",(IF(DAY(J183-$F$176)&lt;1,"On time",(IF(J183&gt;$F$176,"DELAY ( "&amp;DAY(J183-$F$176)&amp;" day "&amp;HOUR(J183-$F$176)&amp;" hour "&amp;MINUTE(J183-$F$176)&amp;" minute )","xxx"))))))</f>
        <v>DELAY ( 1 day 0 hour 30 minute )</v>
      </c>
      <c r="O183" s="597"/>
      <c r="P183" s="507" t="s">
        <v>551</v>
      </c>
      <c r="Q183" s="507" t="s">
        <v>551</v>
      </c>
      <c r="R183" s="507" t="s">
        <v>551</v>
      </c>
      <c r="S183" s="598"/>
      <c r="T183" s="599">
        <f>H183</f>
        <v>7524.73</v>
      </c>
      <c r="U183" s="599"/>
      <c r="V183" s="599"/>
      <c r="W183" s="599"/>
      <c r="X183" s="599"/>
      <c r="Y183" s="599"/>
      <c r="Z183" s="599"/>
      <c r="AA183" s="599"/>
      <c r="AB183" s="599"/>
      <c r="AC183" s="599"/>
      <c r="AD183" s="599"/>
      <c r="AE183" s="599"/>
      <c r="AF183" s="599"/>
      <c r="AG183" s="599"/>
      <c r="AH183" s="599"/>
      <c r="AI183" s="599"/>
      <c r="AJ183" s="599"/>
      <c r="AK183" s="599"/>
      <c r="AL183" s="599"/>
      <c r="AM183" s="599"/>
      <c r="AN183" s="599"/>
      <c r="AO183" s="599"/>
      <c r="AP183" s="598"/>
      <c r="AQ183" s="599"/>
      <c r="AR183" s="599"/>
      <c r="AS183" s="599"/>
      <c r="AT183" s="599"/>
      <c r="AU183" s="599"/>
      <c r="AV183" s="599"/>
      <c r="AW183" s="599"/>
      <c r="AX183" s="599"/>
      <c r="AY183" s="599"/>
      <c r="AZ183" s="599"/>
      <c r="BA183" s="599"/>
      <c r="BB183" s="599"/>
      <c r="BC183" s="599"/>
      <c r="BD183" s="599"/>
      <c r="BE183" s="598"/>
    </row>
    <row r="184" spans="2:57">
      <c r="B184" s="1351" t="s">
        <v>1721</v>
      </c>
      <c r="C184" s="1352"/>
      <c r="D184" s="1352"/>
      <c r="E184" s="1352"/>
      <c r="F184" s="1352"/>
      <c r="G184" s="1353"/>
      <c r="H184" s="702">
        <f>SUM(H182:H183)</f>
        <v>15042.503000000001</v>
      </c>
      <c r="I184" s="703"/>
      <c r="J184" s="704"/>
      <c r="K184" s="704"/>
      <c r="L184" s="704"/>
      <c r="M184" s="705"/>
      <c r="N184" s="505" t="str">
        <f t="shared" si="14"/>
        <v xml:space="preserve"> </v>
      </c>
      <c r="O184" s="552"/>
      <c r="P184" s="706"/>
      <c r="Q184" s="706"/>
      <c r="R184" s="706"/>
      <c r="S184" s="591"/>
      <c r="T184" s="860"/>
      <c r="U184" s="861"/>
      <c r="V184" s="861"/>
      <c r="W184" s="861"/>
      <c r="X184" s="861"/>
      <c r="Y184" s="861"/>
      <c r="Z184" s="861"/>
      <c r="AA184" s="861"/>
      <c r="AB184" s="861"/>
      <c r="AC184" s="861"/>
      <c r="AD184" s="861"/>
      <c r="AE184" s="861"/>
      <c r="AF184" s="861"/>
      <c r="AG184" s="861"/>
      <c r="AH184" s="861"/>
      <c r="AI184" s="861"/>
      <c r="AJ184" s="861"/>
      <c r="AK184" s="861"/>
      <c r="AL184" s="861"/>
      <c r="AM184" s="861"/>
      <c r="AN184" s="861"/>
      <c r="AO184" s="861"/>
      <c r="AP184" s="633"/>
      <c r="AQ184" s="861"/>
      <c r="AR184" s="860"/>
      <c r="AS184" s="861"/>
      <c r="AT184" s="861"/>
      <c r="AU184" s="861"/>
      <c r="AV184" s="861"/>
      <c r="AW184" s="861"/>
      <c r="AX184" s="861"/>
      <c r="AY184" s="861"/>
      <c r="AZ184" s="861"/>
      <c r="BA184" s="861"/>
      <c r="BB184" s="860"/>
      <c r="BC184" s="861"/>
      <c r="BD184" s="861"/>
      <c r="BE184" s="633"/>
    </row>
    <row r="185" spans="2:57">
      <c r="B185" s="1326" t="s">
        <v>619</v>
      </c>
      <c r="C185" s="1327"/>
      <c r="D185" s="501" t="s">
        <v>3496</v>
      </c>
      <c r="E185" s="501"/>
      <c r="F185" s="501" t="s">
        <v>292</v>
      </c>
      <c r="G185" s="501" t="s">
        <v>293</v>
      </c>
      <c r="H185" s="629">
        <v>7555.0439999999999</v>
      </c>
      <c r="I185" s="505" t="s">
        <v>742</v>
      </c>
      <c r="J185" s="504">
        <v>45240.9375</v>
      </c>
      <c r="K185" s="504"/>
      <c r="L185" s="504" t="s">
        <v>192</v>
      </c>
      <c r="M185" s="504" t="s">
        <v>192</v>
      </c>
      <c r="N185" s="505" t="str">
        <f t="shared" si="14"/>
        <v>DELAY ( 1 day 23 hour 30 minute )</v>
      </c>
      <c r="O185" s="597"/>
      <c r="P185" s="507" t="s">
        <v>551</v>
      </c>
      <c r="Q185" s="507" t="s">
        <v>551</v>
      </c>
      <c r="R185" s="507" t="s">
        <v>551</v>
      </c>
      <c r="S185" s="598"/>
      <c r="T185" s="599"/>
      <c r="U185" s="599"/>
      <c r="V185" s="599"/>
      <c r="W185" s="599"/>
      <c r="X185" s="599"/>
      <c r="Y185" s="599"/>
      <c r="Z185" s="599"/>
      <c r="AA185" s="599"/>
      <c r="AB185" s="599">
        <f>H185*0.75</f>
        <v>5666.2829999999994</v>
      </c>
      <c r="AC185" s="599">
        <f>H185*0.25</f>
        <v>1888.761</v>
      </c>
      <c r="AD185" s="599"/>
      <c r="AE185" s="599"/>
      <c r="AF185" s="599"/>
      <c r="AG185" s="599"/>
      <c r="AH185" s="599"/>
      <c r="AI185" s="599"/>
      <c r="AJ185" s="599"/>
      <c r="AK185" s="599"/>
      <c r="AL185" s="599"/>
      <c r="AM185" s="599"/>
      <c r="AN185" s="599"/>
      <c r="AO185" s="599"/>
      <c r="AP185" s="599"/>
      <c r="AQ185" s="599"/>
      <c r="AR185" s="599"/>
      <c r="AS185" s="599"/>
      <c r="AT185" s="599"/>
      <c r="AU185" s="599"/>
      <c r="AV185" s="599"/>
      <c r="AW185" s="599"/>
      <c r="AX185" s="599"/>
      <c r="AY185" s="599"/>
      <c r="AZ185" s="599"/>
      <c r="BA185" s="599"/>
      <c r="BB185" s="599"/>
      <c r="BC185" s="599"/>
      <c r="BD185" s="599"/>
      <c r="BE185" s="598"/>
    </row>
    <row r="186" spans="2:57">
      <c r="B186" s="1328"/>
      <c r="C186" s="1329"/>
      <c r="D186" s="501"/>
      <c r="E186" s="501"/>
      <c r="F186" s="1315" t="s">
        <v>616</v>
      </c>
      <c r="G186" s="1316"/>
      <c r="H186" s="629">
        <v>3000</v>
      </c>
      <c r="I186" s="505"/>
      <c r="J186" s="504"/>
      <c r="K186" s="504"/>
      <c r="L186" s="504"/>
      <c r="M186" s="504"/>
      <c r="N186" s="505" t="str">
        <f t="shared" si="14"/>
        <v xml:space="preserve"> </v>
      </c>
      <c r="O186" s="597"/>
      <c r="P186" s="507"/>
      <c r="Q186" s="507"/>
      <c r="R186" s="507"/>
      <c r="S186" s="598"/>
      <c r="T186" s="599"/>
      <c r="U186" s="599"/>
      <c r="V186" s="599"/>
      <c r="W186" s="599"/>
      <c r="X186" s="599"/>
      <c r="Y186" s="599"/>
      <c r="Z186" s="599"/>
      <c r="AA186" s="599"/>
      <c r="AB186" s="599"/>
      <c r="AC186" s="599"/>
      <c r="AD186" s="599"/>
      <c r="AE186" s="599"/>
      <c r="AF186" s="599"/>
      <c r="AG186" s="599"/>
      <c r="AH186" s="599"/>
      <c r="AI186" s="599"/>
      <c r="AJ186" s="599"/>
      <c r="AK186" s="862"/>
      <c r="AL186" s="599"/>
      <c r="AM186" s="599"/>
      <c r="AN186" s="599"/>
      <c r="AO186" s="599"/>
      <c r="AP186" s="599"/>
      <c r="AQ186" s="599"/>
      <c r="AR186" s="599"/>
      <c r="AS186" s="599"/>
      <c r="AT186" s="599"/>
      <c r="AU186" s="599"/>
      <c r="AV186" s="599"/>
      <c r="AW186" s="599"/>
      <c r="AX186" s="599"/>
      <c r="AY186" s="599"/>
      <c r="AZ186" s="599"/>
      <c r="BA186" s="599"/>
      <c r="BB186" s="599"/>
      <c r="BC186" s="599"/>
      <c r="BD186" s="599"/>
      <c r="BE186" s="598"/>
    </row>
    <row r="187" spans="2:57">
      <c r="B187" s="1326" t="s">
        <v>621</v>
      </c>
      <c r="C187" s="1327"/>
      <c r="D187" s="501" t="s">
        <v>3497</v>
      </c>
      <c r="E187" s="501"/>
      <c r="F187" s="501" t="s">
        <v>403</v>
      </c>
      <c r="G187" s="501" t="s">
        <v>404</v>
      </c>
      <c r="H187" s="629">
        <v>7477.8639999999996</v>
      </c>
      <c r="I187" s="505" t="s">
        <v>742</v>
      </c>
      <c r="J187" s="504">
        <v>45241.805555555555</v>
      </c>
      <c r="K187" s="504"/>
      <c r="L187" s="504" t="s">
        <v>192</v>
      </c>
      <c r="M187" s="504" t="s">
        <v>192</v>
      </c>
      <c r="N187" s="505" t="str">
        <f t="shared" si="14"/>
        <v>DELAY ( 2 day 20 hour 20 minute )</v>
      </c>
      <c r="O187" s="597"/>
      <c r="P187" s="507" t="s">
        <v>551</v>
      </c>
      <c r="Q187" s="507" t="s">
        <v>551</v>
      </c>
      <c r="R187" s="507" t="s">
        <v>551</v>
      </c>
      <c r="S187" s="598"/>
      <c r="T187" s="599"/>
      <c r="U187" s="599"/>
      <c r="V187" s="599"/>
      <c r="W187" s="599"/>
      <c r="X187" s="599"/>
      <c r="Y187" s="599"/>
      <c r="Z187" s="599"/>
      <c r="AA187" s="599"/>
      <c r="AB187" s="599">
        <f t="shared" ref="AB187:AB193" si="15">H187*0.75</f>
        <v>5608.3979999999992</v>
      </c>
      <c r="AC187" s="599">
        <f t="shared" ref="AC187:AC193" si="16">H187*0.25</f>
        <v>1869.4659999999999</v>
      </c>
      <c r="AD187" s="599"/>
      <c r="AE187" s="599"/>
      <c r="AF187" s="599"/>
      <c r="AG187" s="599"/>
      <c r="AH187" s="599"/>
      <c r="AI187" s="599"/>
      <c r="AJ187" s="599"/>
      <c r="AK187" s="598"/>
      <c r="AL187" s="599"/>
      <c r="AM187" s="599"/>
      <c r="AN187" s="599"/>
      <c r="AO187" s="599"/>
      <c r="AP187" s="599"/>
      <c r="AQ187" s="599"/>
      <c r="AR187" s="599"/>
      <c r="AS187" s="599"/>
      <c r="AT187" s="599"/>
      <c r="AU187" s="599"/>
      <c r="AV187" s="599"/>
      <c r="AW187" s="599"/>
      <c r="AX187" s="599"/>
      <c r="AY187" s="599"/>
      <c r="AZ187" s="599"/>
      <c r="BA187" s="599"/>
      <c r="BB187" s="599"/>
      <c r="BC187" s="599"/>
      <c r="BD187" s="599"/>
      <c r="BE187" s="598"/>
    </row>
    <row r="188" spans="2:57">
      <c r="B188" s="1328"/>
      <c r="C188" s="1329"/>
      <c r="D188" s="501"/>
      <c r="E188" s="501"/>
      <c r="F188" s="1315" t="s">
        <v>616</v>
      </c>
      <c r="G188" s="1316"/>
      <c r="H188" s="629">
        <v>3000</v>
      </c>
      <c r="I188" s="505"/>
      <c r="J188" s="504"/>
      <c r="K188" s="504"/>
      <c r="L188" s="504"/>
      <c r="M188" s="504"/>
      <c r="N188" s="505" t="str">
        <f t="shared" si="14"/>
        <v xml:space="preserve"> </v>
      </c>
      <c r="O188" s="597"/>
      <c r="P188" s="507"/>
      <c r="Q188" s="507"/>
      <c r="R188" s="507"/>
      <c r="S188" s="598"/>
      <c r="T188" s="599"/>
      <c r="U188" s="599"/>
      <c r="V188" s="599"/>
      <c r="W188" s="599"/>
      <c r="X188" s="599"/>
      <c r="Y188" s="599"/>
      <c r="Z188" s="599"/>
      <c r="AA188" s="599"/>
      <c r="AB188" s="599"/>
      <c r="AC188" s="599"/>
      <c r="AD188" s="599"/>
      <c r="AE188" s="599"/>
      <c r="AF188" s="599"/>
      <c r="AG188" s="599"/>
      <c r="AH188" s="599"/>
      <c r="AI188" s="599"/>
      <c r="AJ188" s="599"/>
      <c r="AK188" s="862"/>
      <c r="AL188" s="599"/>
      <c r="AM188" s="599"/>
      <c r="AN188" s="599"/>
      <c r="AO188" s="599"/>
      <c r="AP188" s="599"/>
      <c r="AQ188" s="599"/>
      <c r="AR188" s="599"/>
      <c r="AS188" s="599"/>
      <c r="AT188" s="599"/>
      <c r="AU188" s="599"/>
      <c r="AV188" s="599"/>
      <c r="AW188" s="599"/>
      <c r="AX188" s="599"/>
      <c r="AY188" s="599"/>
      <c r="AZ188" s="599"/>
      <c r="BA188" s="599"/>
      <c r="BB188" s="599"/>
      <c r="BC188" s="599"/>
      <c r="BD188" s="599"/>
      <c r="BE188" s="598"/>
    </row>
    <row r="189" spans="2:57">
      <c r="B189" s="1326" t="s">
        <v>622</v>
      </c>
      <c r="C189" s="1327"/>
      <c r="D189" s="501" t="s">
        <v>3498</v>
      </c>
      <c r="E189" s="501"/>
      <c r="F189" s="501" t="s">
        <v>361</v>
      </c>
      <c r="G189" s="501" t="s">
        <v>362</v>
      </c>
      <c r="H189" s="629">
        <v>7530.7309999999998</v>
      </c>
      <c r="I189" s="505" t="s">
        <v>742</v>
      </c>
      <c r="J189" s="504">
        <v>45241.822916666664</v>
      </c>
      <c r="K189" s="504"/>
      <c r="L189" s="504" t="s">
        <v>192</v>
      </c>
      <c r="M189" s="504" t="s">
        <v>192</v>
      </c>
      <c r="N189" s="505" t="str">
        <f t="shared" si="14"/>
        <v>DELAY ( 2 day 20 hour 45 minute )</v>
      </c>
      <c r="O189" s="597"/>
      <c r="P189" s="507" t="s">
        <v>551</v>
      </c>
      <c r="Q189" s="507" t="s">
        <v>551</v>
      </c>
      <c r="R189" s="507" t="s">
        <v>551</v>
      </c>
      <c r="S189" s="598"/>
      <c r="T189" s="599"/>
      <c r="U189" s="599"/>
      <c r="V189" s="599"/>
      <c r="W189" s="599"/>
      <c r="X189" s="599"/>
      <c r="Y189" s="599"/>
      <c r="Z189" s="599"/>
      <c r="AA189" s="599"/>
      <c r="AB189" s="599">
        <f>H189*0.75</f>
        <v>5648.0482499999998</v>
      </c>
      <c r="AC189" s="599">
        <f>H189*0.25</f>
        <v>1882.6827499999999</v>
      </c>
      <c r="AD189" s="599"/>
      <c r="AE189" s="599"/>
      <c r="AF189" s="599"/>
      <c r="AG189" s="599"/>
      <c r="AH189" s="599"/>
      <c r="AI189" s="599"/>
      <c r="AJ189" s="599"/>
      <c r="AK189" s="599"/>
      <c r="AL189" s="599"/>
      <c r="AM189" s="599"/>
      <c r="AN189" s="599"/>
      <c r="AO189" s="599"/>
      <c r="AP189" s="598"/>
      <c r="AQ189" s="599"/>
      <c r="AR189" s="599"/>
      <c r="AS189" s="599"/>
      <c r="AT189" s="599"/>
      <c r="AU189" s="599"/>
      <c r="AV189" s="599"/>
      <c r="AW189" s="599"/>
      <c r="AX189" s="599"/>
      <c r="AY189" s="599"/>
      <c r="AZ189" s="599"/>
      <c r="BA189" s="599"/>
      <c r="BB189" s="599"/>
      <c r="BC189" s="599"/>
      <c r="BD189" s="599"/>
      <c r="BE189" s="598"/>
    </row>
    <row r="190" spans="2:57">
      <c r="B190" s="1328"/>
      <c r="C190" s="1329"/>
      <c r="D190" s="501"/>
      <c r="E190" s="501"/>
      <c r="F190" s="1315" t="s">
        <v>616</v>
      </c>
      <c r="G190" s="1316"/>
      <c r="H190" s="629">
        <v>3000</v>
      </c>
      <c r="I190" s="505"/>
      <c r="J190" s="504"/>
      <c r="K190" s="504"/>
      <c r="L190" s="504"/>
      <c r="M190" s="504"/>
      <c r="N190" s="505" t="str">
        <f t="shared" si="14"/>
        <v xml:space="preserve"> </v>
      </c>
      <c r="O190" s="597"/>
      <c r="P190" s="507"/>
      <c r="Q190" s="507"/>
      <c r="R190" s="507"/>
      <c r="S190" s="598"/>
      <c r="T190" s="599"/>
      <c r="U190" s="599"/>
      <c r="V190" s="599"/>
      <c r="W190" s="599"/>
      <c r="X190" s="599"/>
      <c r="Y190" s="599"/>
      <c r="Z190" s="599"/>
      <c r="AA190" s="599"/>
      <c r="AB190" s="599"/>
      <c r="AC190" s="599"/>
      <c r="AD190" s="599"/>
      <c r="AE190" s="599"/>
      <c r="AF190" s="599"/>
      <c r="AG190" s="599"/>
      <c r="AH190" s="599"/>
      <c r="AI190" s="599"/>
      <c r="AJ190" s="599"/>
      <c r="AK190" s="862"/>
      <c r="AL190" s="599"/>
      <c r="AM190" s="599"/>
      <c r="AN190" s="599"/>
      <c r="AO190" s="599"/>
      <c r="AP190" s="599"/>
      <c r="AQ190" s="599"/>
      <c r="AR190" s="599"/>
      <c r="AS190" s="599"/>
      <c r="AT190" s="599"/>
      <c r="AU190" s="599"/>
      <c r="AV190" s="599"/>
      <c r="AW190" s="599"/>
      <c r="AX190" s="599"/>
      <c r="AY190" s="599"/>
      <c r="AZ190" s="599"/>
      <c r="BA190" s="599"/>
      <c r="BB190" s="599"/>
      <c r="BC190" s="599"/>
      <c r="BD190" s="599"/>
      <c r="BE190" s="598"/>
    </row>
    <row r="191" spans="2:57">
      <c r="B191" s="1326" t="s">
        <v>623</v>
      </c>
      <c r="C191" s="1327"/>
      <c r="D191" s="501" t="s">
        <v>3500</v>
      </c>
      <c r="E191" s="501"/>
      <c r="F191" s="501" t="s">
        <v>343</v>
      </c>
      <c r="G191" s="501" t="s">
        <v>344</v>
      </c>
      <c r="H191" s="629">
        <v>7544.893</v>
      </c>
      <c r="I191" s="505" t="s">
        <v>742</v>
      </c>
      <c r="J191" s="504">
        <v>45241.875</v>
      </c>
      <c r="K191" s="504"/>
      <c r="L191" s="504" t="s">
        <v>192</v>
      </c>
      <c r="M191" s="504" t="s">
        <v>192</v>
      </c>
      <c r="N191" s="505" t="str">
        <f t="shared" si="14"/>
        <v>DELAY ( 2 day 22 hour 0 minute )</v>
      </c>
      <c r="O191" s="597"/>
      <c r="P191" s="507" t="s">
        <v>551</v>
      </c>
      <c r="Q191" s="507" t="s">
        <v>551</v>
      </c>
      <c r="R191" s="507" t="s">
        <v>551</v>
      </c>
      <c r="S191" s="598"/>
      <c r="T191" s="599"/>
      <c r="U191" s="599"/>
      <c r="V191" s="599"/>
      <c r="W191" s="599"/>
      <c r="X191" s="599"/>
      <c r="Y191" s="599"/>
      <c r="Z191" s="599"/>
      <c r="AA191" s="599"/>
      <c r="AB191" s="599">
        <f>H191*0.75</f>
        <v>5658.66975</v>
      </c>
      <c r="AC191" s="599">
        <f>H191*0.25</f>
        <v>1886.22325</v>
      </c>
      <c r="AD191" s="599"/>
      <c r="AE191" s="599"/>
      <c r="AF191" s="599"/>
      <c r="AG191" s="599"/>
      <c r="AH191" s="599"/>
      <c r="AI191" s="599"/>
      <c r="AJ191" s="599"/>
      <c r="AK191" s="599"/>
      <c r="AL191" s="599"/>
      <c r="AM191" s="599"/>
      <c r="AN191" s="599"/>
      <c r="AO191" s="599"/>
      <c r="AP191" s="599"/>
      <c r="AQ191" s="599"/>
      <c r="AR191" s="599"/>
      <c r="AS191" s="599"/>
      <c r="AT191" s="599"/>
      <c r="AU191" s="599"/>
      <c r="AV191" s="599"/>
      <c r="AW191" s="599"/>
      <c r="AX191" s="599"/>
      <c r="AY191" s="599"/>
      <c r="AZ191" s="599"/>
      <c r="BA191" s="599"/>
      <c r="BB191" s="599"/>
      <c r="BC191" s="599"/>
      <c r="BD191" s="599"/>
      <c r="BE191" s="598"/>
    </row>
    <row r="192" spans="2:57">
      <c r="B192" s="1328"/>
      <c r="C192" s="1329"/>
      <c r="D192" s="501"/>
      <c r="E192" s="501"/>
      <c r="F192" s="1315" t="s">
        <v>616</v>
      </c>
      <c r="G192" s="1316"/>
      <c r="H192" s="629">
        <v>2500</v>
      </c>
      <c r="I192" s="505"/>
      <c r="J192" s="504"/>
      <c r="K192" s="504"/>
      <c r="L192" s="504"/>
      <c r="M192" s="504"/>
      <c r="N192" s="505" t="str">
        <f t="shared" si="14"/>
        <v xml:space="preserve"> </v>
      </c>
      <c r="O192" s="597"/>
      <c r="P192" s="507"/>
      <c r="Q192" s="507"/>
      <c r="R192" s="507"/>
      <c r="S192" s="598"/>
      <c r="T192" s="599"/>
      <c r="U192" s="599"/>
      <c r="V192" s="599"/>
      <c r="W192" s="599"/>
      <c r="X192" s="599"/>
      <c r="Y192" s="599"/>
      <c r="Z192" s="599"/>
      <c r="AA192" s="599"/>
      <c r="AB192" s="599"/>
      <c r="AC192" s="599"/>
      <c r="AD192" s="599"/>
      <c r="AE192" s="599"/>
      <c r="AF192" s="599"/>
      <c r="AG192" s="599"/>
      <c r="AH192" s="599"/>
      <c r="AI192" s="599"/>
      <c r="AJ192" s="599"/>
      <c r="AK192" s="862"/>
      <c r="AL192" s="599"/>
      <c r="AM192" s="599"/>
      <c r="AN192" s="599"/>
      <c r="AO192" s="599"/>
      <c r="AP192" s="599"/>
      <c r="AQ192" s="599"/>
      <c r="AR192" s="599"/>
      <c r="AS192" s="599"/>
      <c r="AT192" s="599"/>
      <c r="AU192" s="599"/>
      <c r="AV192" s="599"/>
      <c r="AW192" s="599"/>
      <c r="AX192" s="599"/>
      <c r="AY192" s="599"/>
      <c r="AZ192" s="599"/>
      <c r="BA192" s="599"/>
      <c r="BB192" s="599"/>
      <c r="BC192" s="599"/>
      <c r="BD192" s="599"/>
      <c r="BE192" s="598"/>
    </row>
    <row r="193" spans="2:57">
      <c r="B193" s="1326" t="s">
        <v>624</v>
      </c>
      <c r="C193" s="1327"/>
      <c r="D193" s="501" t="s">
        <v>3499</v>
      </c>
      <c r="E193" s="501"/>
      <c r="F193" s="501" t="s">
        <v>307</v>
      </c>
      <c r="G193" s="501" t="s">
        <v>308</v>
      </c>
      <c r="H193" s="629">
        <v>7566.1149999999998</v>
      </c>
      <c r="I193" s="505" t="s">
        <v>742</v>
      </c>
      <c r="J193" s="504">
        <v>45243.208333333336</v>
      </c>
      <c r="K193" s="504"/>
      <c r="L193" s="504" t="s">
        <v>192</v>
      </c>
      <c r="M193" s="504" t="s">
        <v>192</v>
      </c>
      <c r="N193" s="505" t="str">
        <f t="shared" si="14"/>
        <v>DELAY ( 4 day 6 hour 0 minute )</v>
      </c>
      <c r="O193" s="597"/>
      <c r="P193" s="507" t="s">
        <v>551</v>
      </c>
      <c r="Q193" s="507" t="s">
        <v>551</v>
      </c>
      <c r="R193" s="507" t="s">
        <v>551</v>
      </c>
      <c r="S193" s="598"/>
      <c r="T193" s="599"/>
      <c r="U193" s="599"/>
      <c r="V193" s="599"/>
      <c r="W193" s="599"/>
      <c r="X193" s="599"/>
      <c r="Y193" s="599"/>
      <c r="Z193" s="599"/>
      <c r="AA193" s="599"/>
      <c r="AB193" s="599">
        <f t="shared" si="15"/>
        <v>5674.5862500000003</v>
      </c>
      <c r="AC193" s="599">
        <f t="shared" si="16"/>
        <v>1891.5287499999999</v>
      </c>
      <c r="AD193" s="599"/>
      <c r="AE193" s="599"/>
      <c r="AF193" s="599"/>
      <c r="AG193" s="599"/>
      <c r="AH193" s="599"/>
      <c r="AI193" s="599"/>
      <c r="AJ193" s="599"/>
      <c r="AK193" s="599"/>
      <c r="AL193" s="599"/>
      <c r="AM193" s="599"/>
      <c r="AN193" s="599"/>
      <c r="AO193" s="599"/>
      <c r="AP193" s="599"/>
      <c r="AQ193" s="599"/>
      <c r="AR193" s="599"/>
      <c r="AS193" s="599"/>
      <c r="AT193" s="599"/>
      <c r="AU193" s="599"/>
      <c r="AV193" s="599"/>
      <c r="AW193" s="599"/>
      <c r="AX193" s="599"/>
      <c r="AY193" s="599"/>
      <c r="AZ193" s="599"/>
      <c r="BA193" s="599"/>
      <c r="BB193" s="599"/>
      <c r="BC193" s="599"/>
      <c r="BD193" s="599"/>
      <c r="BE193" s="598"/>
    </row>
    <row r="194" spans="2:57">
      <c r="B194" s="1328"/>
      <c r="C194" s="1329"/>
      <c r="D194" s="501"/>
      <c r="E194" s="501"/>
      <c r="F194" s="1315" t="s">
        <v>616</v>
      </c>
      <c r="G194" s="1316"/>
      <c r="H194" s="629">
        <v>2500</v>
      </c>
      <c r="I194" s="505"/>
      <c r="J194" s="504"/>
      <c r="K194" s="504"/>
      <c r="L194" s="504"/>
      <c r="M194" s="504"/>
      <c r="N194" s="505" t="str">
        <f t="shared" si="14"/>
        <v xml:space="preserve"> </v>
      </c>
      <c r="O194" s="597"/>
      <c r="P194" s="507"/>
      <c r="Q194" s="507"/>
      <c r="R194" s="507"/>
      <c r="S194" s="598"/>
      <c r="T194" s="599"/>
      <c r="U194" s="599"/>
      <c r="V194" s="599"/>
      <c r="W194" s="599"/>
      <c r="X194" s="599"/>
      <c r="Y194" s="599"/>
      <c r="Z194" s="599"/>
      <c r="AA194" s="599"/>
      <c r="AB194" s="599"/>
      <c r="AC194" s="599"/>
      <c r="AD194" s="599"/>
      <c r="AE194" s="599"/>
      <c r="AF194" s="599"/>
      <c r="AG194" s="599"/>
      <c r="AH194" s="599"/>
      <c r="AI194" s="599"/>
      <c r="AJ194" s="599"/>
      <c r="AK194" s="862"/>
      <c r="AL194" s="599"/>
      <c r="AM194" s="599"/>
      <c r="AN194" s="599"/>
      <c r="AO194" s="599"/>
      <c r="AP194" s="599"/>
      <c r="AQ194" s="599"/>
      <c r="AR194" s="599"/>
      <c r="AS194" s="599"/>
      <c r="AT194" s="599"/>
      <c r="AU194" s="599"/>
      <c r="AV194" s="599"/>
      <c r="AW194" s="599"/>
      <c r="AX194" s="599"/>
      <c r="AY194" s="599"/>
      <c r="AZ194" s="599"/>
      <c r="BA194" s="599"/>
      <c r="BB194" s="599"/>
      <c r="BC194" s="599"/>
      <c r="BD194" s="599"/>
      <c r="BE194" s="598"/>
    </row>
    <row r="195" spans="2:57">
      <c r="B195" s="1326" t="s">
        <v>625</v>
      </c>
      <c r="C195" s="1327"/>
      <c r="D195" s="501" t="s">
        <v>3501</v>
      </c>
      <c r="E195" s="501"/>
      <c r="F195" s="501" t="s">
        <v>271</v>
      </c>
      <c r="G195" s="501" t="s">
        <v>272</v>
      </c>
      <c r="H195" s="629">
        <f>9012.475-1569.625</f>
        <v>7442.85</v>
      </c>
      <c r="I195" s="505" t="s">
        <v>235</v>
      </c>
      <c r="J195" s="504">
        <v>45243.635416666664</v>
      </c>
      <c r="K195" s="574"/>
      <c r="L195" s="504" t="s">
        <v>192</v>
      </c>
      <c r="M195" s="504" t="s">
        <v>192</v>
      </c>
      <c r="N195" s="505" t="str">
        <f t="shared" si="14"/>
        <v>DELAY ( 4 day 16 hour 15 minute )</v>
      </c>
      <c r="O195" s="597"/>
      <c r="P195" s="507" t="s">
        <v>551</v>
      </c>
      <c r="Q195" s="507" t="s">
        <v>551</v>
      </c>
      <c r="R195" s="507" t="s">
        <v>551</v>
      </c>
      <c r="S195" s="598"/>
      <c r="T195" s="599"/>
      <c r="U195" s="599"/>
      <c r="V195" s="599"/>
      <c r="W195" s="599"/>
      <c r="X195" s="599"/>
      <c r="Y195" s="599"/>
      <c r="Z195" s="599"/>
      <c r="AA195" s="599"/>
      <c r="AB195" s="599">
        <f>H195</f>
        <v>7442.85</v>
      </c>
      <c r="AC195" s="599"/>
      <c r="AD195" s="599"/>
      <c r="AE195" s="599"/>
      <c r="AF195" s="599"/>
      <c r="AG195" s="599"/>
      <c r="AH195" s="599"/>
      <c r="AI195" s="599"/>
      <c r="AJ195" s="599"/>
      <c r="AK195" s="599"/>
      <c r="AL195" s="599"/>
      <c r="AM195" s="599"/>
      <c r="AN195" s="599"/>
      <c r="AO195" s="599"/>
      <c r="AP195" s="599"/>
      <c r="AQ195" s="599"/>
      <c r="AR195" s="599"/>
      <c r="AS195" s="599"/>
      <c r="AT195" s="599"/>
      <c r="AU195" s="599"/>
      <c r="AV195" s="599"/>
      <c r="AW195" s="599"/>
      <c r="AX195" s="599"/>
      <c r="AY195" s="599"/>
      <c r="AZ195" s="599"/>
      <c r="BA195" s="599"/>
      <c r="BB195" s="599"/>
      <c r="BC195" s="599"/>
      <c r="BD195" s="599"/>
      <c r="BE195" s="598"/>
    </row>
    <row r="196" spans="2:57">
      <c r="B196" s="1328"/>
      <c r="C196" s="1329"/>
      <c r="D196" s="501"/>
      <c r="E196" s="501"/>
      <c r="F196" s="1315" t="s">
        <v>616</v>
      </c>
      <c r="G196" s="1316"/>
      <c r="H196" s="629">
        <f>1043-0.497</f>
        <v>1042.5029999999999</v>
      </c>
      <c r="I196" s="505"/>
      <c r="J196" s="504"/>
      <c r="K196" s="504"/>
      <c r="L196" s="504"/>
      <c r="M196" s="504"/>
      <c r="N196" s="505" t="str">
        <f t="shared" si="14"/>
        <v xml:space="preserve"> </v>
      </c>
      <c r="O196" s="597"/>
      <c r="P196" s="507"/>
      <c r="Q196" s="507"/>
      <c r="R196" s="507"/>
      <c r="S196" s="598"/>
      <c r="T196" s="599"/>
      <c r="U196" s="599"/>
      <c r="V196" s="599"/>
      <c r="W196" s="599"/>
      <c r="X196" s="599"/>
      <c r="Y196" s="599"/>
      <c r="Z196" s="599"/>
      <c r="AA196" s="599"/>
      <c r="AB196" s="599"/>
      <c r="AC196" s="599"/>
      <c r="AD196" s="599"/>
      <c r="AE196" s="599"/>
      <c r="AF196" s="599"/>
      <c r="AG196" s="599"/>
      <c r="AH196" s="599"/>
      <c r="AI196" s="599"/>
      <c r="AJ196" s="599"/>
      <c r="AK196" s="862"/>
      <c r="AL196" s="599"/>
      <c r="AM196" s="599"/>
      <c r="AN196" s="599"/>
      <c r="AO196" s="599"/>
      <c r="AP196" s="599"/>
      <c r="AQ196" s="599"/>
      <c r="AR196" s="599"/>
      <c r="AS196" s="599"/>
      <c r="AT196" s="599"/>
      <c r="AU196" s="599"/>
      <c r="AV196" s="599"/>
      <c r="AW196" s="599"/>
      <c r="AX196" s="599"/>
      <c r="AY196" s="599"/>
      <c r="AZ196" s="599"/>
      <c r="BA196" s="599"/>
      <c r="BB196" s="599"/>
      <c r="BC196" s="599"/>
      <c r="BD196" s="599"/>
      <c r="BE196" s="598"/>
    </row>
    <row r="197" spans="2:57">
      <c r="B197" s="1351" t="s">
        <v>626</v>
      </c>
      <c r="C197" s="1352"/>
      <c r="D197" s="1352"/>
      <c r="E197" s="1352"/>
      <c r="F197" s="1352"/>
      <c r="G197" s="1353"/>
      <c r="H197" s="702">
        <f>H185+H187+H189+H193+H191+H195</f>
        <v>45117.496999999996</v>
      </c>
      <c r="I197" s="707"/>
      <c r="J197" s="708"/>
      <c r="K197" s="708"/>
      <c r="L197" s="708"/>
      <c r="M197" s="709"/>
      <c r="N197" s="505" t="str">
        <f t="shared" si="14"/>
        <v xml:space="preserve"> </v>
      </c>
      <c r="O197" s="552"/>
      <c r="P197" s="706"/>
      <c r="Q197" s="706"/>
      <c r="R197" s="706"/>
      <c r="S197" s="598"/>
      <c r="T197" s="1462"/>
      <c r="U197" s="1462"/>
      <c r="V197" s="1462"/>
      <c r="W197" s="1462"/>
      <c r="X197" s="1462"/>
      <c r="Y197" s="1462"/>
      <c r="Z197" s="1462"/>
      <c r="AA197" s="1462"/>
      <c r="AB197" s="1462"/>
      <c r="AC197" s="1462"/>
      <c r="AD197" s="1462"/>
      <c r="AE197" s="1462"/>
      <c r="AF197" s="1462"/>
      <c r="AG197" s="1462"/>
      <c r="AH197" s="1462"/>
      <c r="AI197" s="1462"/>
      <c r="AJ197" s="1462"/>
      <c r="AK197" s="1462"/>
      <c r="AL197" s="1462"/>
      <c r="AM197" s="1462"/>
      <c r="AN197" s="1462"/>
      <c r="AO197" s="1462"/>
      <c r="AP197" s="1462"/>
      <c r="AQ197" s="1462"/>
      <c r="AR197" s="1462"/>
      <c r="AS197" s="1462"/>
      <c r="AT197" s="1462"/>
      <c r="AU197" s="1462"/>
      <c r="AV197" s="1462"/>
      <c r="AW197" s="1462"/>
      <c r="AX197" s="1462"/>
      <c r="AY197" s="1462"/>
      <c r="AZ197" s="1462"/>
      <c r="BA197" s="1462"/>
      <c r="BB197" s="1462"/>
      <c r="BC197" s="1462"/>
      <c r="BD197" s="1462"/>
      <c r="BE197" s="554"/>
    </row>
    <row r="198" spans="2:57">
      <c r="B198" s="1258" t="s">
        <v>556</v>
      </c>
      <c r="C198" s="1259"/>
      <c r="D198" s="1259"/>
      <c r="E198" s="1259"/>
      <c r="F198" s="1259"/>
      <c r="G198" s="1260"/>
      <c r="H198" s="863">
        <f>H184+H197</f>
        <v>60160</v>
      </c>
      <c r="I198" s="1458"/>
      <c r="J198" s="1458"/>
      <c r="K198" s="1458"/>
      <c r="L198" s="1458"/>
      <c r="M198" s="1458"/>
      <c r="N198" s="505" t="str">
        <f t="shared" si="14"/>
        <v xml:space="preserve"> </v>
      </c>
      <c r="O198" s="212"/>
      <c r="P198" s="590"/>
      <c r="Q198" s="590"/>
      <c r="R198" s="590"/>
      <c r="S198" s="633"/>
      <c r="T198" s="1307"/>
      <c r="U198" s="1308"/>
      <c r="V198" s="1308"/>
      <c r="W198" s="1308"/>
      <c r="X198" s="1308"/>
      <c r="Y198" s="1308"/>
      <c r="Z198" s="1308"/>
      <c r="AA198" s="1308"/>
      <c r="AB198" s="1308"/>
      <c r="AC198" s="1308"/>
      <c r="AD198" s="1308"/>
      <c r="AE198" s="1308"/>
      <c r="AF198" s="1308"/>
      <c r="AG198" s="1308"/>
      <c r="AH198" s="1308"/>
      <c r="AI198" s="1308"/>
      <c r="AJ198" s="1308"/>
      <c r="AK198" s="1308"/>
      <c r="AL198" s="1308"/>
      <c r="AM198" s="1308"/>
      <c r="AN198" s="1308"/>
      <c r="AO198" s="1308"/>
      <c r="AP198" s="1308"/>
      <c r="AQ198" s="1308"/>
      <c r="AR198" s="1308"/>
      <c r="AS198" s="1308"/>
      <c r="AT198" s="1308"/>
      <c r="AU198" s="1308"/>
      <c r="AV198" s="1308"/>
      <c r="AW198" s="1308"/>
      <c r="AX198" s="1308"/>
      <c r="AY198" s="1308"/>
      <c r="AZ198" s="1308"/>
      <c r="BA198" s="1308"/>
      <c r="BB198" s="1308"/>
      <c r="BC198" s="1308"/>
      <c r="BD198" s="1308"/>
    </row>
    <row r="199" spans="2:57">
      <c r="B199" s="1415" t="s">
        <v>557</v>
      </c>
      <c r="C199" s="1416"/>
      <c r="D199" s="1416"/>
      <c r="E199" s="1416"/>
      <c r="F199" s="1416"/>
      <c r="G199" s="1417"/>
      <c r="H199" s="845">
        <v>60160</v>
      </c>
      <c r="I199" s="1463"/>
      <c r="J199" s="1463"/>
      <c r="K199" s="1463"/>
      <c r="L199" s="1463"/>
      <c r="M199" s="1463"/>
      <c r="N199" s="505" t="str">
        <f t="shared" si="14"/>
        <v xml:space="preserve"> </v>
      </c>
      <c r="O199" s="591"/>
      <c r="P199" s="415"/>
      <c r="Q199" s="415"/>
      <c r="R199" s="415"/>
      <c r="S199" s="740"/>
      <c r="T199" s="592">
        <f t="shared" ref="T199:BD199" si="17">SUM(T182:T195)</f>
        <v>15042.503000000001</v>
      </c>
      <c r="U199" s="592">
        <f t="shared" si="17"/>
        <v>0</v>
      </c>
      <c r="V199" s="592">
        <f t="shared" si="17"/>
        <v>0</v>
      </c>
      <c r="W199" s="592">
        <f t="shared" si="17"/>
        <v>0</v>
      </c>
      <c r="X199" s="592">
        <f t="shared" si="17"/>
        <v>0</v>
      </c>
      <c r="Y199" s="592">
        <f t="shared" si="17"/>
        <v>0</v>
      </c>
      <c r="Z199" s="592">
        <f t="shared" si="17"/>
        <v>0</v>
      </c>
      <c r="AA199" s="592">
        <f t="shared" si="17"/>
        <v>0</v>
      </c>
      <c r="AB199" s="592">
        <f t="shared" si="17"/>
        <v>35698.835249999996</v>
      </c>
      <c r="AC199" s="592">
        <f t="shared" si="17"/>
        <v>9418.6617499999993</v>
      </c>
      <c r="AD199" s="592">
        <f t="shared" si="17"/>
        <v>0</v>
      </c>
      <c r="AE199" s="592">
        <f t="shared" si="17"/>
        <v>0</v>
      </c>
      <c r="AF199" s="592">
        <f t="shared" si="17"/>
        <v>0</v>
      </c>
      <c r="AG199" s="592">
        <f t="shared" si="17"/>
        <v>0</v>
      </c>
      <c r="AH199" s="592">
        <f t="shared" si="17"/>
        <v>0</v>
      </c>
      <c r="AI199" s="592">
        <f t="shared" si="17"/>
        <v>0</v>
      </c>
      <c r="AJ199" s="592">
        <f t="shared" si="17"/>
        <v>0</v>
      </c>
      <c r="AK199" s="592">
        <f t="shared" si="17"/>
        <v>0</v>
      </c>
      <c r="AL199" s="592">
        <f t="shared" si="17"/>
        <v>0</v>
      </c>
      <c r="AM199" s="592">
        <f t="shared" si="17"/>
        <v>0</v>
      </c>
      <c r="AN199" s="592">
        <f t="shared" si="17"/>
        <v>0</v>
      </c>
      <c r="AO199" s="592">
        <f t="shared" si="17"/>
        <v>0</v>
      </c>
      <c r="AP199" s="592">
        <f t="shared" si="17"/>
        <v>0</v>
      </c>
      <c r="AQ199" s="592">
        <f t="shared" si="17"/>
        <v>0</v>
      </c>
      <c r="AR199" s="592">
        <f t="shared" si="17"/>
        <v>0</v>
      </c>
      <c r="AS199" s="592">
        <f t="shared" si="17"/>
        <v>0</v>
      </c>
      <c r="AT199" s="592">
        <f t="shared" si="17"/>
        <v>0</v>
      </c>
      <c r="AU199" s="592">
        <f t="shared" si="17"/>
        <v>0</v>
      </c>
      <c r="AV199" s="592">
        <f t="shared" si="17"/>
        <v>0</v>
      </c>
      <c r="AW199" s="592">
        <f t="shared" si="17"/>
        <v>0</v>
      </c>
      <c r="AX199" s="592">
        <f t="shared" si="17"/>
        <v>0</v>
      </c>
      <c r="AY199" s="592">
        <f t="shared" si="17"/>
        <v>0</v>
      </c>
      <c r="AZ199" s="592">
        <f t="shared" si="17"/>
        <v>0</v>
      </c>
      <c r="BA199" s="592">
        <f t="shared" si="17"/>
        <v>0</v>
      </c>
      <c r="BB199" s="592">
        <f t="shared" si="17"/>
        <v>0</v>
      </c>
      <c r="BC199" s="592">
        <f t="shared" si="17"/>
        <v>0</v>
      </c>
      <c r="BD199" s="592">
        <f t="shared" si="17"/>
        <v>0</v>
      </c>
      <c r="BE199" s="592">
        <f>SUM(T199:BD199)</f>
        <v>60160</v>
      </c>
    </row>
    <row r="200" spans="2:57">
      <c r="B200" s="1415" t="s">
        <v>558</v>
      </c>
      <c r="C200" s="1416"/>
      <c r="D200" s="1416"/>
      <c r="E200" s="1416"/>
      <c r="F200" s="1416"/>
      <c r="G200" s="1417"/>
      <c r="H200" s="712">
        <f>H199-L176</f>
        <v>0</v>
      </c>
      <c r="I200" s="745"/>
      <c r="J200" s="746"/>
      <c r="K200" s="746"/>
      <c r="L200" s="674"/>
      <c r="M200" s="633"/>
      <c r="N200" s="591"/>
      <c r="O200" s="591"/>
      <c r="P200" s="591"/>
      <c r="Q200" s="744"/>
      <c r="R200" s="744"/>
      <c r="S200" s="591"/>
      <c r="T200" s="645"/>
      <c r="U200" s="645"/>
      <c r="V200" s="645"/>
      <c r="W200" s="645"/>
      <c r="X200" s="645"/>
      <c r="Y200" s="645"/>
      <c r="Z200" s="645"/>
      <c r="AA200" s="645"/>
      <c r="AB200" s="645"/>
      <c r="AC200" s="591"/>
      <c r="AD200" s="591"/>
      <c r="AE200" s="591"/>
      <c r="AF200" s="591"/>
      <c r="AG200" s="591"/>
      <c r="AH200" s="591"/>
      <c r="AI200" s="591"/>
      <c r="AJ200" s="591"/>
      <c r="AK200" s="591"/>
      <c r="AL200" s="591"/>
      <c r="AM200" s="591"/>
      <c r="AN200" s="591"/>
      <c r="AO200" s="591"/>
      <c r="AP200" s="591"/>
      <c r="AQ200" s="591"/>
      <c r="AR200" s="591"/>
    </row>
    <row r="201" spans="2:57">
      <c r="B201" s="1415" t="s">
        <v>559</v>
      </c>
      <c r="C201" s="1416"/>
      <c r="D201" s="1416"/>
      <c r="E201" s="1416"/>
      <c r="F201" s="1416"/>
      <c r="G201" s="1417"/>
      <c r="H201" s="747">
        <f>1304.124</f>
        <v>1304.124</v>
      </c>
      <c r="I201" s="745"/>
      <c r="J201" s="746"/>
      <c r="K201" s="746"/>
      <c r="L201" s="674"/>
      <c r="M201" s="633"/>
      <c r="N201" s="613"/>
      <c r="O201" s="591"/>
      <c r="P201" s="591"/>
      <c r="Q201" s="591"/>
      <c r="R201" s="591"/>
      <c r="S201" s="591"/>
      <c r="T201" s="645"/>
      <c r="U201" s="645"/>
      <c r="V201" s="645"/>
      <c r="W201" s="645"/>
      <c r="X201" s="645"/>
      <c r="Y201" s="645"/>
      <c r="Z201" s="645"/>
      <c r="AA201" s="645"/>
      <c r="AB201" s="645"/>
      <c r="AC201" s="591"/>
      <c r="AD201" s="591"/>
      <c r="AE201" s="591"/>
      <c r="AF201" s="591"/>
      <c r="AG201" s="591"/>
      <c r="AH201" s="591"/>
      <c r="AI201" s="591"/>
      <c r="AJ201" s="591"/>
      <c r="AK201" s="591"/>
      <c r="AL201" s="591"/>
      <c r="AM201" s="591"/>
      <c r="AN201" s="591"/>
      <c r="AO201" s="591"/>
      <c r="AP201" s="591"/>
      <c r="AQ201" s="591"/>
      <c r="AR201" s="591"/>
    </row>
    <row r="202" spans="2:57" ht="11.25" customHeight="1">
      <c r="B202" s="1415" t="s">
        <v>560</v>
      </c>
      <c r="C202" s="1416"/>
      <c r="D202" s="1416"/>
      <c r="E202" s="1416"/>
      <c r="F202" s="1416"/>
      <c r="G202" s="1417"/>
      <c r="H202" s="741">
        <f>H201-1569.625</f>
        <v>-265.50099999999998</v>
      </c>
      <c r="I202" s="641"/>
      <c r="J202" s="642"/>
      <c r="K202" s="642"/>
      <c r="L202" s="499"/>
      <c r="M202" s="613"/>
      <c r="N202" s="613"/>
      <c r="O202" s="613"/>
      <c r="P202" s="613"/>
      <c r="Q202" s="613"/>
      <c r="R202" s="613"/>
      <c r="S202" s="616"/>
      <c r="T202" s="616"/>
      <c r="U202" s="616"/>
      <c r="V202" s="616"/>
      <c r="W202" s="616"/>
      <c r="X202" s="616"/>
      <c r="Y202" s="616"/>
      <c r="Z202" s="616"/>
      <c r="AA202" s="616"/>
      <c r="AB202" s="613">
        <f>-(H201*0.6)</f>
        <v>-782.47439999999995</v>
      </c>
      <c r="AC202" s="613">
        <f>-(H201*0.4)</f>
        <v>-521.64960000000008</v>
      </c>
      <c r="AD202" s="613"/>
      <c r="AE202" s="613"/>
      <c r="AF202" s="613"/>
      <c r="AG202" s="613"/>
      <c r="AH202" s="613"/>
      <c r="AI202" s="613"/>
      <c r="AJ202" s="613"/>
      <c r="AK202" s="613"/>
      <c r="AL202" s="613"/>
      <c r="AM202" s="613"/>
      <c r="AN202" s="613"/>
      <c r="AO202" s="613"/>
      <c r="AP202" s="613"/>
      <c r="AQ202" s="613"/>
      <c r="AR202" s="496"/>
      <c r="AS202" s="496"/>
      <c r="AT202" s="496"/>
      <c r="AU202" s="496"/>
      <c r="AV202" s="496"/>
      <c r="AW202" s="496"/>
      <c r="AX202" s="496"/>
      <c r="AY202" s="496"/>
      <c r="AZ202" s="496"/>
      <c r="BA202" s="496"/>
    </row>
    <row r="203" spans="2:57">
      <c r="B203" s="613"/>
      <c r="C203" s="613"/>
      <c r="D203" s="613"/>
      <c r="E203" s="613"/>
      <c r="F203" s="613"/>
      <c r="G203" s="613"/>
      <c r="H203" s="613"/>
      <c r="I203" s="643"/>
      <c r="J203" s="641"/>
      <c r="K203" s="641"/>
      <c r="L203" s="644"/>
      <c r="M203" s="613"/>
      <c r="N203" s="613"/>
      <c r="O203" s="641"/>
      <c r="P203" s="591"/>
      <c r="Q203" s="591"/>
      <c r="R203" s="591"/>
      <c r="S203" s="591"/>
      <c r="T203" s="645"/>
      <c r="U203" s="645"/>
      <c r="V203" s="645"/>
      <c r="W203" s="645"/>
      <c r="X203" s="645"/>
      <c r="Y203" s="645"/>
      <c r="Z203" s="645"/>
      <c r="AA203" s="645"/>
      <c r="AB203" s="645"/>
      <c r="AC203" s="591"/>
      <c r="AD203" s="591"/>
      <c r="AE203" s="591"/>
      <c r="AF203" s="591"/>
      <c r="AG203" s="591"/>
      <c r="AH203" s="591"/>
      <c r="AI203" s="591"/>
      <c r="AJ203" s="591"/>
      <c r="AK203" s="591"/>
      <c r="AL203" s="591"/>
      <c r="AM203" s="591"/>
      <c r="AN203" s="591"/>
      <c r="AO203" s="591"/>
      <c r="AP203" s="591"/>
      <c r="AQ203" s="591"/>
      <c r="AR203" s="591"/>
    </row>
    <row r="204" spans="2:57">
      <c r="B204" s="619" t="s">
        <v>561</v>
      </c>
      <c r="C204" s="619"/>
      <c r="D204" s="591"/>
      <c r="E204" s="591"/>
      <c r="F204" s="591"/>
      <c r="G204" s="591"/>
      <c r="H204" s="591"/>
      <c r="I204" s="591"/>
      <c r="J204" s="646"/>
      <c r="K204" s="646"/>
      <c r="L204" s="647"/>
      <c r="M204" s="591"/>
      <c r="N204" s="613"/>
      <c r="O204" s="646"/>
      <c r="P204" s="616"/>
      <c r="Q204" s="616"/>
      <c r="R204" s="616"/>
      <c r="S204" s="616"/>
      <c r="T204" s="616"/>
      <c r="U204" s="616"/>
      <c r="V204" s="616"/>
      <c r="W204" s="616"/>
      <c r="X204" s="616"/>
      <c r="Y204" s="616"/>
      <c r="Z204" s="616"/>
      <c r="AA204" s="616"/>
      <c r="AB204" s="613"/>
      <c r="AC204" s="613"/>
      <c r="AD204" s="613"/>
      <c r="AE204" s="613"/>
      <c r="AF204" s="613"/>
      <c r="AG204" s="613"/>
      <c r="AH204" s="613"/>
      <c r="AI204" s="613"/>
      <c r="AJ204" s="613"/>
      <c r="AK204" s="613"/>
      <c r="AL204" s="613"/>
      <c r="AM204" s="613"/>
      <c r="AN204" s="613"/>
      <c r="AO204" s="613"/>
      <c r="AP204" s="613"/>
      <c r="AQ204" s="613"/>
      <c r="AR204" s="613"/>
      <c r="AS204" s="613"/>
      <c r="AT204" s="613"/>
      <c r="AU204" s="613"/>
      <c r="BE204" s="613"/>
    </row>
    <row r="205" spans="2:57">
      <c r="B205" s="422">
        <v>1</v>
      </c>
      <c r="C205" s="1249" t="s">
        <v>3729</v>
      </c>
      <c r="D205" s="1249"/>
      <c r="E205" s="1249"/>
      <c r="F205" s="1249"/>
      <c r="G205" s="1249"/>
      <c r="H205" s="1249"/>
      <c r="I205" s="1249"/>
      <c r="J205" s="1249"/>
      <c r="K205" s="1249"/>
      <c r="L205" s="644"/>
      <c r="M205" s="644"/>
      <c r="N205" s="613"/>
      <c r="O205" s="641"/>
      <c r="P205" s="616"/>
      <c r="Q205" s="616"/>
      <c r="R205" s="616"/>
      <c r="S205" s="616"/>
      <c r="T205" s="616"/>
      <c r="U205" s="616"/>
      <c r="V205" s="616"/>
      <c r="W205" s="616"/>
      <c r="X205" s="616"/>
      <c r="Y205" s="616"/>
      <c r="Z205" s="616"/>
      <c r="AA205" s="616"/>
      <c r="AB205" s="613"/>
      <c r="AC205" s="613"/>
      <c r="AD205" s="613"/>
      <c r="AE205" s="613"/>
      <c r="AF205" s="613"/>
      <c r="AG205" s="613"/>
      <c r="AH205" s="613"/>
      <c r="AI205" s="613"/>
      <c r="AJ205" s="613"/>
      <c r="AK205" s="613"/>
      <c r="AL205" s="613"/>
      <c r="AM205" s="613"/>
      <c r="AN205" s="613"/>
      <c r="AO205" s="613"/>
      <c r="AP205" s="613"/>
      <c r="AQ205" s="613"/>
      <c r="AR205" s="613"/>
      <c r="AS205" s="613"/>
      <c r="AT205" s="613"/>
      <c r="AU205" s="613"/>
      <c r="AV205" s="613"/>
      <c r="AW205" s="613"/>
      <c r="AX205" s="613"/>
      <c r="AY205" s="613"/>
      <c r="AZ205" s="613"/>
      <c r="BA205" s="613"/>
      <c r="BB205" s="613"/>
      <c r="BC205" s="613"/>
      <c r="BD205" s="613"/>
      <c r="BE205" s="613"/>
    </row>
    <row r="207" spans="2:57">
      <c r="B207" s="28" t="s">
        <v>126</v>
      </c>
      <c r="C207" s="28"/>
      <c r="D207" s="614"/>
      <c r="E207" s="30" t="s">
        <v>511</v>
      </c>
      <c r="F207" s="31" t="s">
        <v>3139</v>
      </c>
      <c r="G207" s="591"/>
      <c r="H207" s="33"/>
      <c r="I207" s="615"/>
      <c r="J207" s="35" t="s">
        <v>513</v>
      </c>
      <c r="K207" s="36" t="s">
        <v>511</v>
      </c>
      <c r="L207" s="516">
        <v>45244.958333333336</v>
      </c>
      <c r="M207" s="591"/>
      <c r="N207" s="591"/>
      <c r="O207" s="206"/>
      <c r="P207" s="205"/>
      <c r="Q207" s="616"/>
      <c r="R207" s="204"/>
      <c r="S207" s="617"/>
      <c r="T207" s="613"/>
      <c r="U207" s="613"/>
      <c r="V207" s="613"/>
      <c r="W207" s="613"/>
      <c r="X207" s="613"/>
      <c r="Y207" s="613"/>
      <c r="Z207" s="613"/>
      <c r="AA207" s="613"/>
      <c r="AB207" s="616"/>
      <c r="AC207" s="616"/>
      <c r="AD207" s="616"/>
      <c r="AE207" s="616"/>
      <c r="AF207" s="616"/>
      <c r="AG207" s="613"/>
      <c r="AH207" s="613"/>
      <c r="AI207" s="613"/>
      <c r="AJ207" s="613"/>
      <c r="AK207" s="613"/>
      <c r="AL207" s="613"/>
      <c r="AM207" s="613"/>
      <c r="AN207" s="613"/>
      <c r="AO207" s="613"/>
      <c r="AP207" s="613"/>
      <c r="AQ207" s="613"/>
      <c r="AR207" s="613"/>
      <c r="AS207" s="613"/>
      <c r="AT207" s="613"/>
      <c r="AU207" s="613"/>
      <c r="AV207" s="613"/>
      <c r="AW207" s="613"/>
      <c r="AX207" s="613"/>
      <c r="AY207" s="613"/>
      <c r="AZ207" s="613"/>
      <c r="BA207" s="613"/>
      <c r="BB207" s="613"/>
      <c r="BC207" s="613"/>
      <c r="BD207" s="613"/>
      <c r="BE207" s="613"/>
    </row>
    <row r="208" spans="2:57">
      <c r="B208" s="35" t="s">
        <v>514</v>
      </c>
      <c r="C208" s="35"/>
      <c r="D208" s="591"/>
      <c r="E208" s="36" t="s">
        <v>511</v>
      </c>
      <c r="F208" s="311" t="s">
        <v>3730</v>
      </c>
      <c r="G208" s="591"/>
      <c r="H208" s="33"/>
      <c r="I208" s="615"/>
      <c r="J208" s="35" t="s">
        <v>516</v>
      </c>
      <c r="K208" s="36" t="s">
        <v>511</v>
      </c>
      <c r="L208" s="516">
        <v>45247.4375</v>
      </c>
      <c r="M208" s="591"/>
      <c r="N208" s="591"/>
      <c r="O208" s="206"/>
      <c r="P208" s="205"/>
      <c r="Q208" s="616"/>
      <c r="R208" s="204"/>
      <c r="S208" s="617"/>
      <c r="T208" s="613"/>
      <c r="U208" s="613"/>
      <c r="V208" s="613"/>
      <c r="W208" s="613"/>
      <c r="X208" s="613"/>
      <c r="Y208" s="613"/>
      <c r="Z208" s="613"/>
      <c r="AA208" s="613"/>
      <c r="AB208" s="616"/>
      <c r="AC208" s="616"/>
      <c r="AD208" s="616"/>
      <c r="AE208" s="616"/>
      <c r="AF208" s="616"/>
      <c r="AG208" s="613"/>
      <c r="AH208" s="613"/>
      <c r="AI208" s="613"/>
      <c r="AJ208" s="613"/>
      <c r="AK208" s="613"/>
      <c r="AL208" s="613"/>
      <c r="AM208" s="613"/>
      <c r="AN208" s="613"/>
      <c r="AO208" s="613"/>
      <c r="AP208" s="613"/>
      <c r="AQ208" s="613"/>
      <c r="AR208" s="613"/>
      <c r="AS208" s="613"/>
      <c r="AT208" s="613"/>
      <c r="AU208" s="613"/>
      <c r="AV208" s="613"/>
      <c r="AW208" s="613"/>
      <c r="AX208" s="613"/>
      <c r="AY208" s="613"/>
      <c r="AZ208" s="613"/>
      <c r="BA208" s="613"/>
      <c r="BB208" s="613"/>
      <c r="BC208" s="613"/>
      <c r="BD208" s="613"/>
      <c r="BE208" s="613"/>
    </row>
    <row r="209" spans="2:57">
      <c r="B209" s="35" t="s">
        <v>517</v>
      </c>
      <c r="C209" s="35"/>
      <c r="D209" s="591"/>
      <c r="E209" s="36" t="s">
        <v>511</v>
      </c>
      <c r="F209" s="516">
        <v>45243.321527777778</v>
      </c>
      <c r="G209" s="591"/>
      <c r="H209" s="33"/>
      <c r="I209" s="615"/>
      <c r="J209" s="35" t="s">
        <v>518</v>
      </c>
      <c r="K209" s="36" t="s">
        <v>511</v>
      </c>
      <c r="L209" s="692">
        <v>79179</v>
      </c>
      <c r="M209" s="619" t="s">
        <v>519</v>
      </c>
      <c r="N209" s="619"/>
      <c r="O209" s="206"/>
      <c r="P209" s="205"/>
      <c r="Q209" s="616"/>
      <c r="R209" s="204"/>
      <c r="S209" s="617"/>
      <c r="T209" s="613"/>
      <c r="U209" s="613"/>
      <c r="V209" s="613"/>
      <c r="W209" s="613"/>
      <c r="X209" s="613"/>
      <c r="Y209" s="613"/>
      <c r="Z209" s="613"/>
      <c r="AA209" s="613"/>
      <c r="AB209" s="616"/>
      <c r="AC209" s="616"/>
      <c r="AD209" s="616"/>
      <c r="AE209" s="616"/>
      <c r="AF209" s="616"/>
      <c r="AG209" s="613"/>
      <c r="AH209" s="613"/>
      <c r="AI209" s="613"/>
      <c r="AJ209" s="613"/>
      <c r="AK209" s="613"/>
      <c r="AL209" s="613"/>
      <c r="AM209" s="613"/>
      <c r="AN209" s="613"/>
      <c r="AO209" s="613"/>
      <c r="AP209" s="613"/>
      <c r="AQ209" s="613"/>
      <c r="AR209" s="613"/>
      <c r="AS209" s="613"/>
      <c r="AT209" s="613"/>
      <c r="AU209" s="613"/>
      <c r="AV209" s="613"/>
      <c r="AW209" s="613"/>
      <c r="AX209" s="613"/>
      <c r="AY209" s="613"/>
      <c r="AZ209" s="613"/>
      <c r="BA209" s="613"/>
      <c r="BB209" s="613"/>
      <c r="BC209" s="613"/>
      <c r="BD209" s="613"/>
      <c r="BE209" s="613"/>
    </row>
    <row r="210" spans="2:57">
      <c r="B210" s="35" t="s">
        <v>520</v>
      </c>
      <c r="C210" s="35"/>
      <c r="D210" s="591"/>
      <c r="E210" s="36" t="s">
        <v>511</v>
      </c>
      <c r="F210" s="37" t="s">
        <v>4</v>
      </c>
      <c r="G210" s="591"/>
      <c r="H210" s="33"/>
      <c r="I210" s="615"/>
      <c r="J210" s="35" t="s">
        <v>521</v>
      </c>
      <c r="K210" s="36" t="s">
        <v>511</v>
      </c>
      <c r="L210" s="620" t="s">
        <v>3140</v>
      </c>
      <c r="M210" s="591"/>
      <c r="N210" s="591"/>
      <c r="O210" s="206"/>
      <c r="P210" s="616"/>
      <c r="Q210" s="616"/>
      <c r="R210" s="204"/>
      <c r="S210" s="617"/>
      <c r="T210" s="613"/>
      <c r="U210" s="613"/>
      <c r="V210" s="613"/>
      <c r="W210" s="613"/>
      <c r="X210" s="613"/>
      <c r="Y210" s="613"/>
      <c r="Z210" s="613"/>
      <c r="AA210" s="613"/>
      <c r="AB210" s="616"/>
      <c r="AC210" s="616"/>
      <c r="AD210" s="616"/>
      <c r="AE210" s="616"/>
      <c r="AF210" s="616"/>
      <c r="AG210" s="613"/>
      <c r="AH210" s="613"/>
      <c r="AI210" s="613"/>
      <c r="AJ210" s="613"/>
      <c r="AK210" s="613"/>
      <c r="AL210" s="613"/>
      <c r="AM210" s="613"/>
      <c r="AN210" s="613"/>
      <c r="AO210" s="613"/>
      <c r="AP210" s="613"/>
      <c r="AQ210" s="613"/>
      <c r="AR210" s="613"/>
      <c r="AS210" s="613"/>
      <c r="AT210" s="613"/>
      <c r="AU210" s="613"/>
      <c r="AV210" s="613"/>
      <c r="AW210" s="613"/>
      <c r="AX210" s="613"/>
      <c r="AY210" s="613"/>
      <c r="AZ210" s="613"/>
      <c r="BA210" s="613"/>
      <c r="BB210" s="613"/>
      <c r="BC210" s="613"/>
      <c r="BD210" s="613"/>
      <c r="BE210" s="613"/>
    </row>
    <row r="211" spans="2:57">
      <c r="B211" s="35" t="s">
        <v>523</v>
      </c>
      <c r="C211" s="35"/>
      <c r="D211" s="591"/>
      <c r="E211" s="36" t="s">
        <v>511</v>
      </c>
      <c r="F211" s="37" t="s">
        <v>5</v>
      </c>
      <c r="G211" s="591"/>
      <c r="H211" s="33"/>
      <c r="I211" s="615"/>
      <c r="J211" s="35" t="s">
        <v>524</v>
      </c>
      <c r="K211" s="36" t="s">
        <v>511</v>
      </c>
      <c r="L211" s="621" t="s">
        <v>15</v>
      </c>
      <c r="M211" s="611"/>
      <c r="N211" s="611"/>
      <c r="O211" s="206"/>
      <c r="P211" s="205"/>
      <c r="Q211" s="616"/>
      <c r="R211" s="204"/>
      <c r="S211" s="617"/>
      <c r="T211" s="613"/>
      <c r="U211" s="613"/>
      <c r="V211" s="613"/>
      <c r="W211" s="613"/>
      <c r="X211" s="613"/>
      <c r="Y211" s="613"/>
      <c r="Z211" s="613"/>
      <c r="AA211" s="613"/>
      <c r="AB211" s="616"/>
      <c r="AC211" s="616"/>
      <c r="AD211" s="616"/>
      <c r="AE211" s="616"/>
      <c r="AF211" s="616"/>
      <c r="AG211" s="613"/>
      <c r="AH211" s="613"/>
      <c r="AI211" s="613"/>
      <c r="AJ211" s="613"/>
      <c r="AK211" s="613"/>
      <c r="AL211" s="613"/>
      <c r="AM211" s="613"/>
      <c r="AN211" s="613"/>
      <c r="AO211" s="613"/>
      <c r="AP211" s="613"/>
      <c r="AQ211" s="613"/>
      <c r="AR211" s="613"/>
      <c r="AS211" s="613"/>
      <c r="AT211" s="613"/>
      <c r="AU211" s="613"/>
      <c r="AV211" s="613"/>
      <c r="AW211" s="613"/>
      <c r="AX211" s="613"/>
      <c r="AY211" s="613"/>
      <c r="AZ211" s="613"/>
      <c r="BA211" s="613"/>
      <c r="BB211" s="613"/>
      <c r="BC211" s="613"/>
      <c r="BD211" s="613"/>
      <c r="BE211" s="613"/>
    </row>
    <row r="212" spans="2:57">
      <c r="B212" s="35" t="s">
        <v>2</v>
      </c>
      <c r="C212" s="35"/>
      <c r="D212" s="591"/>
      <c r="E212" s="36" t="s">
        <v>511</v>
      </c>
      <c r="F212" s="37" t="s">
        <v>6</v>
      </c>
      <c r="G212" s="591"/>
      <c r="H212" s="33"/>
      <c r="I212" s="622"/>
      <c r="J212" s="35"/>
      <c r="K212" s="36"/>
      <c r="L212" s="211"/>
      <c r="M212" s="613"/>
      <c r="N212" s="613"/>
      <c r="O212" s="35"/>
      <c r="P212" s="611"/>
      <c r="Q212" s="611"/>
      <c r="R212" s="611"/>
      <c r="S212" s="615"/>
      <c r="T212" s="613"/>
      <c r="U212" s="613"/>
      <c r="V212" s="613"/>
      <c r="W212" s="613"/>
      <c r="X212" s="613"/>
      <c r="Y212" s="613"/>
      <c r="Z212" s="613"/>
      <c r="AA212" s="613"/>
      <c r="AB212" s="615"/>
      <c r="AC212" s="615"/>
      <c r="AD212" s="615"/>
      <c r="AE212" s="615"/>
      <c r="AF212" s="615"/>
      <c r="AG212" s="615"/>
      <c r="AH212" s="615"/>
      <c r="AI212" s="615"/>
      <c r="AJ212" s="615"/>
      <c r="AK212" s="615"/>
      <c r="AL212" s="615"/>
      <c r="AM212" s="615"/>
      <c r="AN212" s="615"/>
      <c r="AO212" s="613"/>
      <c r="AP212" s="613"/>
      <c r="AQ212" s="613"/>
      <c r="AR212" s="613"/>
      <c r="AS212" s="613"/>
      <c r="AT212" s="613"/>
      <c r="AU212" s="613"/>
      <c r="AV212" s="613"/>
      <c r="AW212" s="613"/>
      <c r="AX212" s="613"/>
      <c r="AY212" s="613"/>
      <c r="AZ212" s="613"/>
      <c r="BA212" s="613"/>
      <c r="BB212" s="613"/>
      <c r="BC212" s="613"/>
      <c r="BD212" s="613"/>
      <c r="BE212" s="613"/>
    </row>
    <row r="213" spans="2:57">
      <c r="B213" s="613"/>
      <c r="C213" s="613"/>
      <c r="D213" s="613"/>
      <c r="E213" s="613"/>
      <c r="F213" s="613"/>
      <c r="G213" s="613"/>
      <c r="H213" s="613"/>
      <c r="I213" s="622"/>
      <c r="J213" s="35"/>
      <c r="K213" s="35"/>
      <c r="L213" s="621"/>
      <c r="M213" s="611"/>
      <c r="N213" s="611"/>
      <c r="O213" s="35"/>
      <c r="P213" s="611"/>
      <c r="Q213" s="611"/>
      <c r="R213" s="611"/>
      <c r="S213" s="615"/>
      <c r="T213" s="1317" t="s">
        <v>87</v>
      </c>
      <c r="U213" s="1317"/>
      <c r="V213" s="1317"/>
      <c r="W213" s="1317"/>
      <c r="X213" s="1317"/>
      <c r="Y213" s="1317" t="s">
        <v>73</v>
      </c>
      <c r="Z213" s="1317"/>
      <c r="AA213" s="1317"/>
      <c r="AB213" s="1317" t="s">
        <v>74</v>
      </c>
      <c r="AC213" s="1317"/>
      <c r="AD213" s="623" t="s">
        <v>85</v>
      </c>
      <c r="AE213" s="854" t="s">
        <v>77</v>
      </c>
      <c r="AF213" s="1459" t="s">
        <v>525</v>
      </c>
      <c r="AG213" s="1459"/>
      <c r="AH213" s="1459"/>
      <c r="AI213" s="1459"/>
      <c r="AJ213" s="1459"/>
      <c r="AK213" s="1459"/>
      <c r="AL213" s="1459"/>
      <c r="AM213" s="1459"/>
      <c r="AN213" s="1459"/>
      <c r="AO213" s="1459"/>
      <c r="AP213" s="1459"/>
      <c r="AQ213" s="1459"/>
      <c r="AR213" s="1459"/>
      <c r="AS213" s="1459"/>
      <c r="AT213" s="1459"/>
      <c r="AU213" s="1459"/>
      <c r="AV213" s="1459"/>
      <c r="AW213" s="1459"/>
      <c r="AX213" s="1459"/>
      <c r="AY213" s="1459"/>
      <c r="AZ213" s="1459"/>
      <c r="BA213" s="1459"/>
      <c r="BB213" s="1459"/>
      <c r="BC213" s="1459"/>
      <c r="BD213" s="1459"/>
      <c r="BE213" s="613"/>
    </row>
    <row r="214" spans="2:57">
      <c r="B214" s="1318" t="s">
        <v>526</v>
      </c>
      <c r="C214" s="1319"/>
      <c r="D214" s="624" t="s">
        <v>527</v>
      </c>
      <c r="E214" s="624"/>
      <c r="F214" s="624" t="s">
        <v>528</v>
      </c>
      <c r="G214" s="624" t="s">
        <v>529</v>
      </c>
      <c r="H214" s="624" t="s">
        <v>530</v>
      </c>
      <c r="I214" s="624" t="s">
        <v>531</v>
      </c>
      <c r="J214" s="624" t="s">
        <v>532</v>
      </c>
      <c r="K214" s="624"/>
      <c r="L214" s="624" t="s">
        <v>130</v>
      </c>
      <c r="M214" s="624" t="s">
        <v>533</v>
      </c>
      <c r="N214" s="625" t="str">
        <f>"On time - "&amp;COUNTIF(N215:N243,"On time")&amp;" from "&amp;ROWS(N215:N243)-COUNTIF(N215:N243," ")</f>
        <v>On time - 4 from 11</v>
      </c>
      <c r="O214" s="626"/>
      <c r="P214" s="627" t="s">
        <v>534</v>
      </c>
      <c r="Q214" s="627" t="s">
        <v>535</v>
      </c>
      <c r="R214" s="627" t="s">
        <v>536</v>
      </c>
      <c r="S214" s="591"/>
      <c r="T214" s="628" t="s">
        <v>537</v>
      </c>
      <c r="U214" s="628" t="s">
        <v>538</v>
      </c>
      <c r="V214" s="628" t="s">
        <v>539</v>
      </c>
      <c r="W214" s="628" t="s">
        <v>540</v>
      </c>
      <c r="X214" s="628" t="s">
        <v>541</v>
      </c>
      <c r="Y214" s="628" t="s">
        <v>167</v>
      </c>
      <c r="Z214" s="628" t="s">
        <v>168</v>
      </c>
      <c r="AA214" s="628" t="s">
        <v>169</v>
      </c>
      <c r="AB214" s="628" t="s">
        <v>235</v>
      </c>
      <c r="AC214" s="628" t="s">
        <v>240</v>
      </c>
      <c r="AD214" s="623" t="s">
        <v>85</v>
      </c>
      <c r="AE214" s="628" t="s">
        <v>139</v>
      </c>
      <c r="AF214" s="855" t="s">
        <v>72</v>
      </c>
      <c r="AG214" s="855" t="s">
        <v>88</v>
      </c>
      <c r="AH214" s="855" t="s">
        <v>75</v>
      </c>
      <c r="AI214" s="855" t="s">
        <v>543</v>
      </c>
      <c r="AJ214" s="855" t="s">
        <v>78</v>
      </c>
      <c r="AK214" s="855" t="s">
        <v>76</v>
      </c>
      <c r="AL214" s="855" t="s">
        <v>544</v>
      </c>
      <c r="AM214" s="855" t="s">
        <v>545</v>
      </c>
      <c r="AN214" s="855" t="s">
        <v>86</v>
      </c>
      <c r="AO214" s="855" t="s">
        <v>83</v>
      </c>
      <c r="AP214" s="855" t="s">
        <v>84</v>
      </c>
      <c r="AQ214" s="855" t="s">
        <v>546</v>
      </c>
      <c r="AR214" s="855" t="s">
        <v>81</v>
      </c>
      <c r="AS214" s="855" t="s">
        <v>80</v>
      </c>
      <c r="AT214" s="855" t="s">
        <v>82</v>
      </c>
      <c r="AU214" s="855" t="s">
        <v>181</v>
      </c>
      <c r="AV214" s="855" t="s">
        <v>183</v>
      </c>
      <c r="AW214" s="855" t="s">
        <v>547</v>
      </c>
      <c r="AX214" s="855" t="s">
        <v>182</v>
      </c>
      <c r="AY214" s="855" t="s">
        <v>172</v>
      </c>
      <c r="AZ214" s="855" t="s">
        <v>173</v>
      </c>
      <c r="BA214" s="855" t="s">
        <v>184</v>
      </c>
      <c r="BB214" s="855" t="s">
        <v>100</v>
      </c>
      <c r="BC214" s="855" t="s">
        <v>913</v>
      </c>
      <c r="BD214" s="855" t="s">
        <v>2747</v>
      </c>
      <c r="BE214" s="613"/>
    </row>
    <row r="215" spans="2:57">
      <c r="B215" s="1315" t="s">
        <v>616</v>
      </c>
      <c r="C215" s="1316"/>
      <c r="D215" s="501" t="s">
        <v>3501</v>
      </c>
      <c r="E215" s="585"/>
      <c r="F215" s="501" t="s">
        <v>271</v>
      </c>
      <c r="G215" s="501" t="s">
        <v>272</v>
      </c>
      <c r="H215" s="629">
        <v>1304.124</v>
      </c>
      <c r="I215" s="505" t="s">
        <v>235</v>
      </c>
      <c r="J215" s="504">
        <v>45243.979166666664</v>
      </c>
      <c r="K215" s="574"/>
      <c r="L215" s="504" t="s">
        <v>192</v>
      </c>
      <c r="M215" s="504" t="s">
        <v>192</v>
      </c>
      <c r="N215" s="505" t="str">
        <f t="shared" ref="N215:N243" si="18">IF(ISBLANK(J215)," ",IF(J215&lt;$F$209,"On time",(IF(DAY(J215-$F$209)&lt;1,"On time",(IF(J215&gt;$F$209,"DELAY ( "&amp;DAY(J215-$F$209)&amp;" day "&amp;HOUR(J215-$F$209)&amp;" hour "&amp;MINUTE(J215-$F$209)&amp;" minute )","xxx"))))))</f>
        <v>On time</v>
      </c>
      <c r="O215" s="597"/>
      <c r="P215" s="507" t="s">
        <v>551</v>
      </c>
      <c r="Q215" s="507" t="s">
        <v>551</v>
      </c>
      <c r="R215" s="507" t="s">
        <v>551</v>
      </c>
      <c r="S215" s="598"/>
      <c r="T215" s="599"/>
      <c r="U215" s="599"/>
      <c r="V215" s="599"/>
      <c r="W215" s="599"/>
      <c r="X215" s="599"/>
      <c r="Y215" s="599"/>
      <c r="Z215" s="599"/>
      <c r="AA215" s="599"/>
      <c r="AB215" s="599">
        <f>H215</f>
        <v>1304.124</v>
      </c>
      <c r="AC215" s="599"/>
      <c r="AD215" s="599"/>
      <c r="AE215" s="599"/>
      <c r="AF215" s="599"/>
      <c r="AG215" s="599"/>
      <c r="AH215" s="599"/>
      <c r="AI215" s="599"/>
      <c r="AJ215" s="599"/>
      <c r="AK215" s="599"/>
      <c r="AL215" s="599"/>
      <c r="AM215" s="599"/>
      <c r="AN215" s="599"/>
      <c r="AO215" s="599"/>
      <c r="AP215" s="599"/>
      <c r="AQ215" s="599"/>
      <c r="AR215" s="599"/>
      <c r="AS215" s="599"/>
      <c r="AT215" s="599"/>
      <c r="AU215" s="599"/>
      <c r="AV215" s="599"/>
      <c r="AW215" s="599"/>
      <c r="AX215" s="599"/>
      <c r="AY215" s="599"/>
      <c r="AZ215" s="599"/>
      <c r="BA215" s="599"/>
      <c r="BB215" s="599"/>
      <c r="BC215" s="599"/>
      <c r="BD215" s="599"/>
      <c r="BE215" s="598"/>
    </row>
    <row r="216" spans="2:57">
      <c r="B216" s="1315" t="s">
        <v>668</v>
      </c>
      <c r="C216" s="1316"/>
      <c r="D216" s="501" t="s">
        <v>3603</v>
      </c>
      <c r="E216" s="585"/>
      <c r="F216" s="501" t="s">
        <v>1972</v>
      </c>
      <c r="G216" s="501" t="s">
        <v>1973</v>
      </c>
      <c r="H216" s="629">
        <v>7321.7160000000003</v>
      </c>
      <c r="I216" s="505" t="s">
        <v>85</v>
      </c>
      <c r="J216" s="504">
        <v>45243.8125</v>
      </c>
      <c r="K216" s="504"/>
      <c r="L216" s="504" t="s">
        <v>192</v>
      </c>
      <c r="M216" s="504" t="s">
        <v>192</v>
      </c>
      <c r="N216" s="505" t="str">
        <f t="shared" si="18"/>
        <v>On time</v>
      </c>
      <c r="O216" s="597"/>
      <c r="P216" s="507" t="s">
        <v>551</v>
      </c>
      <c r="Q216" s="507" t="s">
        <v>551</v>
      </c>
      <c r="R216" s="507" t="s">
        <v>551</v>
      </c>
      <c r="S216" s="598"/>
      <c r="T216" s="599"/>
      <c r="U216" s="599"/>
      <c r="V216" s="599"/>
      <c r="W216" s="599"/>
      <c r="X216" s="599"/>
      <c r="Y216" s="599"/>
      <c r="Z216" s="599"/>
      <c r="AA216" s="599"/>
      <c r="AB216" s="599"/>
      <c r="AC216" s="599"/>
      <c r="AD216" s="599">
        <f>H216</f>
        <v>7321.7160000000003</v>
      </c>
      <c r="AE216" s="599"/>
      <c r="AF216" s="599"/>
      <c r="AG216" s="599"/>
      <c r="AH216" s="599"/>
      <c r="AI216" s="599"/>
      <c r="AJ216" s="599"/>
      <c r="AK216" s="599"/>
      <c r="AL216" s="599"/>
      <c r="AM216" s="599"/>
      <c r="AN216" s="599"/>
      <c r="AO216" s="599"/>
      <c r="AP216" s="599"/>
      <c r="AQ216" s="599"/>
      <c r="AR216" s="599"/>
      <c r="AS216" s="599"/>
      <c r="AT216" s="599"/>
      <c r="AU216" s="599"/>
      <c r="AV216" s="599"/>
      <c r="AW216" s="599"/>
      <c r="AX216" s="599"/>
      <c r="AY216" s="599"/>
      <c r="AZ216" s="599"/>
      <c r="BA216" s="599"/>
      <c r="BB216" s="599"/>
      <c r="BC216" s="599"/>
      <c r="BD216" s="599"/>
      <c r="BE216" s="598"/>
    </row>
    <row r="217" spans="2:57">
      <c r="B217" s="1315" t="s">
        <v>616</v>
      </c>
      <c r="C217" s="1316"/>
      <c r="D217" s="501" t="s">
        <v>3502</v>
      </c>
      <c r="E217" s="585"/>
      <c r="F217" s="501" t="s">
        <v>406</v>
      </c>
      <c r="G217" s="501" t="s">
        <v>407</v>
      </c>
      <c r="H217" s="629">
        <v>7442.4279999999999</v>
      </c>
      <c r="I217" s="505" t="s">
        <v>235</v>
      </c>
      <c r="J217" s="504">
        <v>45243.645833333336</v>
      </c>
      <c r="K217" s="504"/>
      <c r="L217" s="504" t="s">
        <v>192</v>
      </c>
      <c r="M217" s="504" t="s">
        <v>192</v>
      </c>
      <c r="N217" s="505" t="str">
        <f t="shared" si="18"/>
        <v>On time</v>
      </c>
      <c r="O217" s="597"/>
      <c r="P217" s="507" t="s">
        <v>551</v>
      </c>
      <c r="Q217" s="507" t="s">
        <v>551</v>
      </c>
      <c r="R217" s="507" t="s">
        <v>551</v>
      </c>
      <c r="S217" s="598"/>
      <c r="T217" s="599"/>
      <c r="U217" s="599"/>
      <c r="V217" s="599"/>
      <c r="W217" s="599"/>
      <c r="X217" s="599"/>
      <c r="Y217" s="599"/>
      <c r="Z217" s="599"/>
      <c r="AA217" s="599"/>
      <c r="AB217" s="599">
        <f>H217</f>
        <v>7442.4279999999999</v>
      </c>
      <c r="AC217" s="599"/>
      <c r="AD217" s="599"/>
      <c r="AE217" s="599"/>
      <c r="AF217" s="599"/>
      <c r="AG217" s="599"/>
      <c r="AH217" s="599"/>
      <c r="AI217" s="599"/>
      <c r="AJ217" s="599"/>
      <c r="AK217" s="599"/>
      <c r="AL217" s="599"/>
      <c r="AM217" s="599"/>
      <c r="AN217" s="599"/>
      <c r="AO217" s="599"/>
      <c r="AP217" s="598"/>
      <c r="AQ217" s="599"/>
      <c r="AR217" s="599"/>
      <c r="AS217" s="599"/>
      <c r="AT217" s="599"/>
      <c r="AU217" s="599"/>
      <c r="AV217" s="599"/>
      <c r="AW217" s="599"/>
      <c r="AX217" s="599"/>
      <c r="AY217" s="599"/>
      <c r="AZ217" s="599"/>
      <c r="BA217" s="599"/>
      <c r="BB217" s="599"/>
      <c r="BC217" s="599"/>
      <c r="BD217" s="599"/>
      <c r="BE217" s="598"/>
    </row>
    <row r="218" spans="2:57">
      <c r="B218" s="1351" t="s">
        <v>1721</v>
      </c>
      <c r="C218" s="1352"/>
      <c r="D218" s="1352"/>
      <c r="E218" s="1352"/>
      <c r="F218" s="1352"/>
      <c r="G218" s="1353"/>
      <c r="H218" s="702">
        <f>SUM(H215:H217)</f>
        <v>16068.268</v>
      </c>
      <c r="I218" s="703"/>
      <c r="J218" s="704"/>
      <c r="K218" s="704"/>
      <c r="L218" s="704"/>
      <c r="M218" s="705"/>
      <c r="N218" s="505" t="str">
        <f t="shared" si="18"/>
        <v xml:space="preserve"> </v>
      </c>
      <c r="O218" s="552"/>
      <c r="P218" s="706"/>
      <c r="Q218" s="706"/>
      <c r="R218" s="706"/>
      <c r="S218" s="598"/>
      <c r="T218" s="599"/>
      <c r="U218" s="599"/>
      <c r="V218" s="599"/>
      <c r="W218" s="599"/>
      <c r="X218" s="599"/>
      <c r="Y218" s="599"/>
      <c r="Z218" s="599"/>
      <c r="AA218" s="599"/>
      <c r="AB218" s="599"/>
      <c r="AC218" s="599"/>
      <c r="AD218" s="599"/>
      <c r="AE218" s="599"/>
      <c r="AF218" s="599"/>
      <c r="AG218" s="599"/>
      <c r="AH218" s="599"/>
      <c r="AI218" s="599"/>
      <c r="AJ218" s="599"/>
      <c r="AK218" s="599"/>
      <c r="AL218" s="599"/>
      <c r="AM218" s="599"/>
      <c r="AN218" s="599"/>
      <c r="AO218" s="599"/>
      <c r="AP218" s="598"/>
      <c r="AQ218" s="599"/>
      <c r="AR218" s="599"/>
      <c r="AS218" s="599"/>
      <c r="AT218" s="599"/>
      <c r="AU218" s="599"/>
      <c r="AV218" s="599"/>
      <c r="AW218" s="599"/>
      <c r="AX218" s="599"/>
      <c r="AY218" s="599"/>
      <c r="AZ218" s="599"/>
      <c r="BA218" s="599"/>
      <c r="BB218" s="599"/>
      <c r="BC218" s="599"/>
      <c r="BD218" s="599"/>
      <c r="BE218" s="598"/>
    </row>
    <row r="219" spans="2:57">
      <c r="B219" s="1326" t="s">
        <v>619</v>
      </c>
      <c r="C219" s="1327"/>
      <c r="D219" s="501" t="s">
        <v>3504</v>
      </c>
      <c r="E219" s="501"/>
      <c r="F219" s="501" t="s">
        <v>284</v>
      </c>
      <c r="G219" s="501" t="s">
        <v>285</v>
      </c>
      <c r="H219" s="629">
        <v>9081.741</v>
      </c>
      <c r="I219" s="584" t="s">
        <v>418</v>
      </c>
      <c r="J219" s="504">
        <v>45243.680555555555</v>
      </c>
      <c r="K219" s="504"/>
      <c r="L219" s="504" t="s">
        <v>192</v>
      </c>
      <c r="M219" s="504" t="s">
        <v>192</v>
      </c>
      <c r="N219" s="505" t="str">
        <f t="shared" si="18"/>
        <v>On time</v>
      </c>
      <c r="O219" s="597"/>
      <c r="P219" s="507" t="s">
        <v>551</v>
      </c>
      <c r="Q219" s="507" t="s">
        <v>551</v>
      </c>
      <c r="R219" s="507" t="s">
        <v>551</v>
      </c>
      <c r="S219" s="598"/>
      <c r="T219" s="599"/>
      <c r="U219" s="599"/>
      <c r="V219" s="599"/>
      <c r="W219" s="599"/>
      <c r="X219" s="599"/>
      <c r="Y219" s="599"/>
      <c r="Z219" s="599"/>
      <c r="AA219" s="599"/>
      <c r="AB219" s="599">
        <f>H219*0.7</f>
        <v>6357.2186999999994</v>
      </c>
      <c r="AC219" s="599">
        <f>H219*0.3</f>
        <v>2724.5223000000001</v>
      </c>
      <c r="AD219" s="599"/>
      <c r="AE219" s="599"/>
      <c r="AF219" s="599"/>
      <c r="AG219" s="599"/>
      <c r="AH219" s="599"/>
      <c r="AI219" s="599"/>
      <c r="AJ219" s="599"/>
      <c r="AK219" s="599"/>
      <c r="AL219" s="599"/>
      <c r="AM219" s="599"/>
      <c r="AN219" s="599"/>
      <c r="AO219" s="599"/>
      <c r="AP219" s="599"/>
      <c r="AQ219" s="599"/>
      <c r="AR219" s="599"/>
      <c r="AS219" s="599"/>
      <c r="AT219" s="599"/>
      <c r="AU219" s="599"/>
      <c r="AV219" s="599"/>
      <c r="AW219" s="599"/>
      <c r="AX219" s="599"/>
      <c r="AY219" s="599"/>
      <c r="AZ219" s="599"/>
      <c r="BA219" s="599"/>
      <c r="BB219" s="599"/>
      <c r="BC219" s="599"/>
      <c r="BD219" s="599"/>
      <c r="BE219" s="598"/>
    </row>
    <row r="220" spans="2:57">
      <c r="B220" s="1421"/>
      <c r="C220" s="1422"/>
      <c r="D220" s="501"/>
      <c r="E220" s="501"/>
      <c r="F220" s="1315" t="s">
        <v>668</v>
      </c>
      <c r="G220" s="1316"/>
      <c r="H220" s="629">
        <v>1322</v>
      </c>
      <c r="I220" s="584"/>
      <c r="J220" s="504"/>
      <c r="K220" s="504"/>
      <c r="L220" s="504"/>
      <c r="M220" s="504"/>
      <c r="N220" s="505" t="str">
        <f t="shared" si="18"/>
        <v xml:space="preserve"> </v>
      </c>
      <c r="O220" s="597"/>
      <c r="P220" s="507"/>
      <c r="Q220" s="507"/>
      <c r="R220" s="507"/>
      <c r="S220" s="598"/>
      <c r="T220" s="599"/>
      <c r="U220" s="599"/>
      <c r="V220" s="599"/>
      <c r="W220" s="599"/>
      <c r="X220" s="599"/>
      <c r="Y220" s="599"/>
      <c r="Z220" s="599"/>
      <c r="AA220" s="599"/>
      <c r="AB220" s="599"/>
      <c r="AC220" s="599"/>
      <c r="AD220" s="599"/>
      <c r="AE220" s="599"/>
      <c r="AF220" s="599"/>
      <c r="AG220" s="599"/>
      <c r="AH220" s="599"/>
      <c r="AI220" s="599"/>
      <c r="AJ220" s="599"/>
      <c r="AK220" s="599"/>
      <c r="AL220" s="599"/>
      <c r="AM220" s="599"/>
      <c r="AN220" s="599"/>
      <c r="AO220" s="599"/>
      <c r="AP220" s="599"/>
      <c r="AQ220" s="599"/>
      <c r="AR220" s="599"/>
      <c r="AS220" s="599"/>
      <c r="AT220" s="599"/>
      <c r="AU220" s="599"/>
      <c r="AV220" s="599"/>
      <c r="AW220" s="599"/>
      <c r="AX220" s="599"/>
      <c r="AY220" s="599"/>
      <c r="AZ220" s="599"/>
      <c r="BA220" s="599"/>
      <c r="BB220" s="599"/>
      <c r="BC220" s="599"/>
      <c r="BD220" s="599"/>
      <c r="BE220" s="598"/>
    </row>
    <row r="221" spans="2:57">
      <c r="B221" s="1328"/>
      <c r="C221" s="1329"/>
      <c r="D221" s="501"/>
      <c r="E221" s="501"/>
      <c r="F221" s="1315" t="s">
        <v>616</v>
      </c>
      <c r="G221" s="1316"/>
      <c r="H221" s="629">
        <v>1000</v>
      </c>
      <c r="I221" s="584"/>
      <c r="J221" s="504"/>
      <c r="K221" s="504"/>
      <c r="L221" s="504"/>
      <c r="M221" s="504"/>
      <c r="N221" s="505" t="str">
        <f t="shared" si="18"/>
        <v xml:space="preserve"> </v>
      </c>
      <c r="O221" s="597"/>
      <c r="P221" s="507"/>
      <c r="Q221" s="507"/>
      <c r="R221" s="507"/>
      <c r="S221" s="598"/>
      <c r="T221" s="599"/>
      <c r="U221" s="599"/>
      <c r="V221" s="599"/>
      <c r="W221" s="599"/>
      <c r="X221" s="599"/>
      <c r="Y221" s="599"/>
      <c r="Z221" s="599"/>
      <c r="AA221" s="599"/>
      <c r="AB221" s="599"/>
      <c r="AC221" s="599"/>
      <c r="AD221" s="599"/>
      <c r="AE221" s="599"/>
      <c r="AF221" s="599"/>
      <c r="AG221" s="599"/>
      <c r="AH221" s="599"/>
      <c r="AI221" s="599"/>
      <c r="AJ221" s="599"/>
      <c r="AK221" s="599"/>
      <c r="AL221" s="599"/>
      <c r="AM221" s="599"/>
      <c r="AN221" s="599"/>
      <c r="AO221" s="599"/>
      <c r="AP221" s="599"/>
      <c r="AQ221" s="599"/>
      <c r="AR221" s="599"/>
      <c r="AS221" s="599"/>
      <c r="AT221" s="599"/>
      <c r="AU221" s="599"/>
      <c r="AV221" s="599"/>
      <c r="AW221" s="599"/>
      <c r="AX221" s="599"/>
      <c r="AY221" s="599"/>
      <c r="AZ221" s="599"/>
      <c r="BA221" s="599"/>
      <c r="BB221" s="599"/>
      <c r="BC221" s="599"/>
      <c r="BD221" s="599"/>
      <c r="BE221" s="598"/>
    </row>
    <row r="222" spans="2:57">
      <c r="B222" s="1326" t="s">
        <v>621</v>
      </c>
      <c r="C222" s="1327"/>
      <c r="D222" s="501" t="s">
        <v>3507</v>
      </c>
      <c r="E222" s="501"/>
      <c r="F222" s="501" t="s">
        <v>257</v>
      </c>
      <c r="G222" s="501" t="s">
        <v>258</v>
      </c>
      <c r="H222" s="629">
        <v>7420.1139999999996</v>
      </c>
      <c r="I222" s="584" t="s">
        <v>418</v>
      </c>
      <c r="J222" s="504">
        <v>45244.375</v>
      </c>
      <c r="K222" s="504"/>
      <c r="L222" s="504" t="s">
        <v>192</v>
      </c>
      <c r="M222" s="504" t="s">
        <v>192</v>
      </c>
      <c r="N222" s="505" t="str">
        <f t="shared" si="18"/>
        <v>DELAY ( 1 day 1 hour 17 minute )</v>
      </c>
      <c r="O222" s="597"/>
      <c r="P222" s="507" t="s">
        <v>551</v>
      </c>
      <c r="Q222" s="507" t="s">
        <v>551</v>
      </c>
      <c r="R222" s="507" t="s">
        <v>551</v>
      </c>
      <c r="S222" s="598"/>
      <c r="T222" s="599"/>
      <c r="U222" s="599"/>
      <c r="V222" s="599"/>
      <c r="W222" s="599"/>
      <c r="X222" s="599"/>
      <c r="Y222" s="599"/>
      <c r="Z222" s="599"/>
      <c r="AA222" s="599"/>
      <c r="AB222" s="599">
        <f>H222*0.7</f>
        <v>5194.0797999999995</v>
      </c>
      <c r="AC222" s="599">
        <f>H222*0.3</f>
        <v>2226.0341999999996</v>
      </c>
      <c r="AD222" s="599"/>
      <c r="AE222" s="599"/>
      <c r="AF222" s="599"/>
      <c r="AG222" s="599"/>
      <c r="AH222" s="599"/>
      <c r="AI222" s="599"/>
      <c r="AJ222" s="599"/>
      <c r="AK222" s="599"/>
      <c r="AL222" s="599"/>
      <c r="AM222" s="599"/>
      <c r="AN222" s="599"/>
      <c r="AO222" s="599"/>
      <c r="AP222" s="599"/>
      <c r="AQ222" s="599"/>
      <c r="AR222" s="599"/>
      <c r="AS222" s="599"/>
      <c r="AT222" s="599"/>
      <c r="AU222" s="599"/>
      <c r="AV222" s="599"/>
      <c r="AW222" s="599"/>
      <c r="AX222" s="599"/>
      <c r="AY222" s="599"/>
      <c r="AZ222" s="599"/>
      <c r="BA222" s="599"/>
      <c r="BB222" s="599"/>
      <c r="BC222" s="599"/>
      <c r="BD222" s="599"/>
      <c r="BE222" s="598"/>
    </row>
    <row r="223" spans="2:57">
      <c r="B223" s="1421"/>
      <c r="C223" s="1422"/>
      <c r="D223" s="501"/>
      <c r="E223" s="501"/>
      <c r="F223" s="1315" t="s">
        <v>668</v>
      </c>
      <c r="G223" s="1316"/>
      <c r="H223" s="629">
        <v>1000</v>
      </c>
      <c r="I223" s="584"/>
      <c r="J223" s="504"/>
      <c r="K223" s="504"/>
      <c r="L223" s="504"/>
      <c r="M223" s="504"/>
      <c r="N223" s="505" t="str">
        <f t="shared" si="18"/>
        <v xml:space="preserve"> </v>
      </c>
      <c r="O223" s="597"/>
      <c r="P223" s="507"/>
      <c r="Q223" s="507"/>
      <c r="R223" s="507"/>
      <c r="S223" s="598"/>
      <c r="T223" s="599"/>
      <c r="U223" s="599"/>
      <c r="V223" s="599"/>
      <c r="W223" s="599"/>
      <c r="X223" s="599"/>
      <c r="Y223" s="599"/>
      <c r="Z223" s="599"/>
      <c r="AA223" s="599"/>
      <c r="AB223" s="599"/>
      <c r="AC223" s="599"/>
      <c r="AD223" s="599"/>
      <c r="AE223" s="599"/>
      <c r="AF223" s="599"/>
      <c r="AG223" s="599"/>
      <c r="AH223" s="599"/>
      <c r="AI223" s="599"/>
      <c r="AJ223" s="599"/>
      <c r="AK223" s="599"/>
      <c r="AL223" s="599"/>
      <c r="AM223" s="599"/>
      <c r="AN223" s="599"/>
      <c r="AO223" s="599"/>
      <c r="AP223" s="599"/>
      <c r="AQ223" s="599"/>
      <c r="AR223" s="599"/>
      <c r="AS223" s="599"/>
      <c r="AT223" s="599"/>
      <c r="AU223" s="599"/>
      <c r="AV223" s="599"/>
      <c r="AW223" s="599"/>
      <c r="AX223" s="599"/>
      <c r="AY223" s="599"/>
      <c r="AZ223" s="599"/>
      <c r="BA223" s="599"/>
      <c r="BB223" s="599"/>
      <c r="BC223" s="599"/>
      <c r="BD223" s="599"/>
      <c r="BE223" s="598"/>
    </row>
    <row r="224" spans="2:57">
      <c r="B224" s="1328"/>
      <c r="C224" s="1329"/>
      <c r="D224" s="501"/>
      <c r="E224" s="501"/>
      <c r="F224" s="1315" t="s">
        <v>616</v>
      </c>
      <c r="G224" s="1316"/>
      <c r="H224" s="629">
        <v>1000</v>
      </c>
      <c r="I224" s="584"/>
      <c r="J224" s="504"/>
      <c r="K224" s="504"/>
      <c r="L224" s="504"/>
      <c r="M224" s="504"/>
      <c r="N224" s="505" t="str">
        <f t="shared" si="18"/>
        <v xml:space="preserve"> </v>
      </c>
      <c r="O224" s="597"/>
      <c r="P224" s="507"/>
      <c r="Q224" s="507"/>
      <c r="R224" s="507"/>
      <c r="S224" s="598"/>
      <c r="T224" s="599"/>
      <c r="U224" s="599"/>
      <c r="V224" s="599"/>
      <c r="W224" s="599"/>
      <c r="X224" s="599"/>
      <c r="Y224" s="599"/>
      <c r="Z224" s="599"/>
      <c r="AA224" s="599"/>
      <c r="AB224" s="599"/>
      <c r="AC224" s="599"/>
      <c r="AD224" s="599"/>
      <c r="AE224" s="599"/>
      <c r="AF224" s="599"/>
      <c r="AG224" s="599"/>
      <c r="AH224" s="599"/>
      <c r="AI224" s="599"/>
      <c r="AJ224" s="599"/>
      <c r="AK224" s="599"/>
      <c r="AL224" s="599"/>
      <c r="AM224" s="599"/>
      <c r="AN224" s="599"/>
      <c r="AO224" s="599"/>
      <c r="AP224" s="599"/>
      <c r="AQ224" s="599"/>
      <c r="AR224" s="599"/>
      <c r="AS224" s="599"/>
      <c r="AT224" s="599"/>
      <c r="AU224" s="599"/>
      <c r="AV224" s="599"/>
      <c r="AW224" s="599"/>
      <c r="AX224" s="599"/>
      <c r="AY224" s="599"/>
      <c r="AZ224" s="599"/>
      <c r="BA224" s="599"/>
      <c r="BB224" s="599"/>
      <c r="BC224" s="599"/>
      <c r="BD224" s="599"/>
      <c r="BE224" s="598"/>
    </row>
    <row r="225" spans="2:57">
      <c r="B225" s="1326" t="s">
        <v>622</v>
      </c>
      <c r="C225" s="1327"/>
      <c r="D225" s="501" t="s">
        <v>3509</v>
      </c>
      <c r="E225" s="501"/>
      <c r="F225" s="501" t="s">
        <v>377</v>
      </c>
      <c r="G225" s="501" t="s">
        <v>378</v>
      </c>
      <c r="H225" s="629">
        <v>7852.3609999999999</v>
      </c>
      <c r="I225" s="584" t="s">
        <v>418</v>
      </c>
      <c r="J225" s="504">
        <v>45244.385416666664</v>
      </c>
      <c r="K225" s="504"/>
      <c r="L225" s="504" t="s">
        <v>192</v>
      </c>
      <c r="M225" s="504" t="s">
        <v>192</v>
      </c>
      <c r="N225" s="505" t="str">
        <f t="shared" si="18"/>
        <v>DELAY ( 1 day 1 hour 32 minute )</v>
      </c>
      <c r="O225" s="597"/>
      <c r="P225" s="507" t="s">
        <v>551</v>
      </c>
      <c r="Q225" s="507" t="s">
        <v>551</v>
      </c>
      <c r="R225" s="507" t="s">
        <v>551</v>
      </c>
      <c r="S225" s="598"/>
      <c r="T225" s="599"/>
      <c r="U225" s="599"/>
      <c r="V225" s="599"/>
      <c r="W225" s="599"/>
      <c r="X225" s="599"/>
      <c r="Y225" s="599"/>
      <c r="Z225" s="599"/>
      <c r="AA225" s="599"/>
      <c r="AB225" s="599">
        <f>H225*0.7</f>
        <v>5496.6526999999996</v>
      </c>
      <c r="AC225" s="599">
        <f>H225*0.3</f>
        <v>2355.7082999999998</v>
      </c>
      <c r="AD225" s="599"/>
      <c r="AE225" s="599"/>
      <c r="AF225" s="599"/>
      <c r="AG225" s="599"/>
      <c r="AH225" s="599"/>
      <c r="AI225" s="599"/>
      <c r="AJ225" s="599"/>
      <c r="AK225" s="599"/>
      <c r="AL225" s="599"/>
      <c r="AM225" s="599"/>
      <c r="AN225" s="599"/>
      <c r="AO225" s="599"/>
      <c r="AP225" s="598"/>
      <c r="AQ225" s="599"/>
      <c r="AR225" s="599"/>
      <c r="AS225" s="599"/>
      <c r="AT225" s="599"/>
      <c r="AU225" s="599"/>
      <c r="AV225" s="599"/>
      <c r="AW225" s="599"/>
      <c r="AX225" s="599"/>
      <c r="AY225" s="599"/>
      <c r="AZ225" s="599"/>
      <c r="BA225" s="599"/>
      <c r="BB225" s="599"/>
      <c r="BC225" s="599"/>
      <c r="BD225" s="599"/>
      <c r="BE225" s="598"/>
    </row>
    <row r="226" spans="2:57">
      <c r="B226" s="1421"/>
      <c r="C226" s="1422"/>
      <c r="D226" s="501"/>
      <c r="E226" s="501"/>
      <c r="F226" s="1315" t="s">
        <v>668</v>
      </c>
      <c r="G226" s="1316"/>
      <c r="H226" s="629">
        <v>1000</v>
      </c>
      <c r="I226" s="584"/>
      <c r="J226" s="504"/>
      <c r="K226" s="504"/>
      <c r="L226" s="504"/>
      <c r="M226" s="504"/>
      <c r="N226" s="505" t="str">
        <f t="shared" si="18"/>
        <v xml:space="preserve"> </v>
      </c>
      <c r="O226" s="597"/>
      <c r="P226" s="507"/>
      <c r="Q226" s="507"/>
      <c r="R226" s="507"/>
      <c r="S226" s="598"/>
      <c r="T226" s="599"/>
      <c r="U226" s="599"/>
      <c r="V226" s="599"/>
      <c r="W226" s="599"/>
      <c r="X226" s="599"/>
      <c r="Y226" s="599"/>
      <c r="Z226" s="599"/>
      <c r="AA226" s="599"/>
      <c r="AB226" s="599"/>
      <c r="AC226" s="599"/>
      <c r="AD226" s="599"/>
      <c r="AE226" s="599"/>
      <c r="AF226" s="599"/>
      <c r="AG226" s="599"/>
      <c r="AH226" s="599"/>
      <c r="AI226" s="599"/>
      <c r="AJ226" s="599"/>
      <c r="AK226" s="599"/>
      <c r="AL226" s="599"/>
      <c r="AM226" s="599"/>
      <c r="AN226" s="599"/>
      <c r="AO226" s="599"/>
      <c r="AP226" s="599"/>
      <c r="AQ226" s="599"/>
      <c r="AR226" s="599"/>
      <c r="AS226" s="599"/>
      <c r="AT226" s="599"/>
      <c r="AU226" s="599"/>
      <c r="AV226" s="599"/>
      <c r="AW226" s="599"/>
      <c r="AX226" s="599"/>
      <c r="AY226" s="599"/>
      <c r="AZ226" s="599"/>
      <c r="BA226" s="599"/>
      <c r="BB226" s="599"/>
      <c r="BC226" s="599"/>
      <c r="BD226" s="599"/>
      <c r="BE226" s="598"/>
    </row>
    <row r="227" spans="2:57">
      <c r="B227" s="1328"/>
      <c r="C227" s="1329"/>
      <c r="D227" s="501"/>
      <c r="E227" s="501"/>
      <c r="F227" s="1315" t="s">
        <v>616</v>
      </c>
      <c r="G227" s="1316"/>
      <c r="H227" s="629">
        <v>1000</v>
      </c>
      <c r="I227" s="584"/>
      <c r="J227" s="504"/>
      <c r="K227" s="504"/>
      <c r="L227" s="504"/>
      <c r="M227" s="504"/>
      <c r="N227" s="505" t="str">
        <f t="shared" si="18"/>
        <v xml:space="preserve"> </v>
      </c>
      <c r="O227" s="597"/>
      <c r="P227" s="507"/>
      <c r="Q227" s="507"/>
      <c r="R227" s="507"/>
      <c r="S227" s="598"/>
      <c r="T227" s="599"/>
      <c r="U227" s="599"/>
      <c r="V227" s="599"/>
      <c r="W227" s="599"/>
      <c r="X227" s="599"/>
      <c r="Y227" s="599"/>
      <c r="Z227" s="599"/>
      <c r="AA227" s="599"/>
      <c r="AB227" s="599"/>
      <c r="AC227" s="599"/>
      <c r="AD227" s="599"/>
      <c r="AE227" s="599"/>
      <c r="AF227" s="599"/>
      <c r="AG227" s="599"/>
      <c r="AH227" s="599"/>
      <c r="AI227" s="599"/>
      <c r="AJ227" s="599"/>
      <c r="AK227" s="599"/>
      <c r="AL227" s="599"/>
      <c r="AM227" s="599"/>
      <c r="AN227" s="599"/>
      <c r="AO227" s="599"/>
      <c r="AP227" s="599"/>
      <c r="AQ227" s="599"/>
      <c r="AR227" s="599"/>
      <c r="AS227" s="599"/>
      <c r="AT227" s="599"/>
      <c r="AU227" s="599"/>
      <c r="AV227" s="599"/>
      <c r="AW227" s="599"/>
      <c r="AX227" s="599"/>
      <c r="AY227" s="599"/>
      <c r="AZ227" s="599"/>
      <c r="BA227" s="599"/>
      <c r="BB227" s="599"/>
      <c r="BC227" s="599"/>
      <c r="BD227" s="599"/>
      <c r="BE227" s="598"/>
    </row>
    <row r="228" spans="2:57">
      <c r="B228" s="1326" t="s">
        <v>623</v>
      </c>
      <c r="C228" s="1327"/>
      <c r="D228" s="501" t="s">
        <v>3508</v>
      </c>
      <c r="E228" s="501"/>
      <c r="F228" s="501" t="s">
        <v>346</v>
      </c>
      <c r="G228" s="501" t="s">
        <v>347</v>
      </c>
      <c r="H228" s="629">
        <v>7572.8710000000001</v>
      </c>
      <c r="I228" s="584" t="s">
        <v>418</v>
      </c>
      <c r="J228" s="504">
        <v>45244.5</v>
      </c>
      <c r="K228" s="504"/>
      <c r="L228" s="504" t="s">
        <v>192</v>
      </c>
      <c r="M228" s="504" t="s">
        <v>192</v>
      </c>
      <c r="N228" s="505" t="str">
        <f t="shared" si="18"/>
        <v>DELAY ( 1 day 4 hour 17 minute )</v>
      </c>
      <c r="O228" s="597"/>
      <c r="P228" s="507" t="s">
        <v>551</v>
      </c>
      <c r="Q228" s="507" t="s">
        <v>551</v>
      </c>
      <c r="R228" s="507" t="s">
        <v>551</v>
      </c>
      <c r="S228" s="598"/>
      <c r="T228" s="599"/>
      <c r="U228" s="599"/>
      <c r="V228" s="599"/>
      <c r="W228" s="599"/>
      <c r="X228" s="599"/>
      <c r="Y228" s="599"/>
      <c r="Z228" s="599"/>
      <c r="AA228" s="599"/>
      <c r="AB228" s="599">
        <f>H228*0.7</f>
        <v>5301.0096999999996</v>
      </c>
      <c r="AC228" s="599">
        <f>H228*0.3</f>
        <v>2271.8613</v>
      </c>
      <c r="AD228" s="599"/>
      <c r="AE228" s="599"/>
      <c r="AF228" s="599"/>
      <c r="AG228" s="599"/>
      <c r="AH228" s="599"/>
      <c r="AI228" s="599"/>
      <c r="AJ228" s="599"/>
      <c r="AK228" s="599"/>
      <c r="AL228" s="599"/>
      <c r="AM228" s="599"/>
      <c r="AN228" s="599"/>
      <c r="AO228" s="599"/>
      <c r="AP228" s="599"/>
      <c r="AQ228" s="599"/>
      <c r="AR228" s="599"/>
      <c r="AS228" s="599"/>
      <c r="AT228" s="599"/>
      <c r="AU228" s="599"/>
      <c r="AV228" s="599"/>
      <c r="AW228" s="599"/>
      <c r="AX228" s="599"/>
      <c r="AY228" s="599"/>
      <c r="AZ228" s="599"/>
      <c r="BA228" s="599"/>
      <c r="BB228" s="599"/>
      <c r="BC228" s="599"/>
      <c r="BD228" s="599"/>
      <c r="BE228" s="598"/>
    </row>
    <row r="229" spans="2:57">
      <c r="B229" s="1421"/>
      <c r="C229" s="1422"/>
      <c r="D229" s="501"/>
      <c r="E229" s="501"/>
      <c r="F229" s="1315" t="s">
        <v>668</v>
      </c>
      <c r="G229" s="1316"/>
      <c r="H229" s="629">
        <v>1000</v>
      </c>
      <c r="I229" s="584"/>
      <c r="J229" s="504"/>
      <c r="K229" s="504"/>
      <c r="L229" s="504"/>
      <c r="M229" s="504"/>
      <c r="N229" s="505" t="str">
        <f t="shared" si="18"/>
        <v xml:space="preserve"> </v>
      </c>
      <c r="O229" s="597"/>
      <c r="P229" s="507"/>
      <c r="Q229" s="507"/>
      <c r="R229" s="507"/>
      <c r="S229" s="598"/>
      <c r="T229" s="599"/>
      <c r="U229" s="599"/>
      <c r="V229" s="599"/>
      <c r="W229" s="599"/>
      <c r="X229" s="599"/>
      <c r="Y229" s="599"/>
      <c r="Z229" s="599"/>
      <c r="AA229" s="599"/>
      <c r="AB229" s="599"/>
      <c r="AC229" s="599"/>
      <c r="AD229" s="599"/>
      <c r="AE229" s="599"/>
      <c r="AF229" s="599"/>
      <c r="AG229" s="599"/>
      <c r="AH229" s="599"/>
      <c r="AI229" s="599"/>
      <c r="AJ229" s="599"/>
      <c r="AK229" s="599"/>
      <c r="AL229" s="599"/>
      <c r="AM229" s="599"/>
      <c r="AN229" s="599"/>
      <c r="AO229" s="599"/>
      <c r="AP229" s="599"/>
      <c r="AQ229" s="599"/>
      <c r="AR229" s="599"/>
      <c r="AS229" s="599"/>
      <c r="AT229" s="599"/>
      <c r="AU229" s="599"/>
      <c r="AV229" s="599"/>
      <c r="AW229" s="599"/>
      <c r="AX229" s="599"/>
      <c r="AY229" s="599"/>
      <c r="AZ229" s="599"/>
      <c r="BA229" s="599"/>
      <c r="BB229" s="599"/>
      <c r="BC229" s="599"/>
      <c r="BD229" s="599"/>
      <c r="BE229" s="598"/>
    </row>
    <row r="230" spans="2:57">
      <c r="B230" s="1326" t="s">
        <v>624</v>
      </c>
      <c r="C230" s="1327"/>
      <c r="D230" s="501" t="s">
        <v>3506</v>
      </c>
      <c r="E230" s="501"/>
      <c r="F230" s="501" t="s">
        <v>295</v>
      </c>
      <c r="G230" s="501" t="s">
        <v>296</v>
      </c>
      <c r="H230" s="629">
        <v>9694.85</v>
      </c>
      <c r="I230" s="584" t="s">
        <v>418</v>
      </c>
      <c r="J230" s="504">
        <v>45244.506944444445</v>
      </c>
      <c r="K230" s="504"/>
      <c r="L230" s="504" t="s">
        <v>192</v>
      </c>
      <c r="M230" s="504" t="s">
        <v>192</v>
      </c>
      <c r="N230" s="505" t="str">
        <f t="shared" si="18"/>
        <v>DELAY ( 1 day 4 hour 27 minute )</v>
      </c>
      <c r="O230" s="597"/>
      <c r="P230" s="507" t="s">
        <v>551</v>
      </c>
      <c r="Q230" s="507" t="s">
        <v>551</v>
      </c>
      <c r="R230" s="507" t="s">
        <v>551</v>
      </c>
      <c r="S230" s="598"/>
      <c r="T230" s="599"/>
      <c r="U230" s="599"/>
      <c r="V230" s="599"/>
      <c r="W230" s="599"/>
      <c r="X230" s="599"/>
      <c r="Y230" s="599"/>
      <c r="Z230" s="599"/>
      <c r="AA230" s="599"/>
      <c r="AB230" s="599">
        <f>H230*0.7</f>
        <v>6786.3949999999995</v>
      </c>
      <c r="AC230" s="599">
        <f>H230*0.3</f>
        <v>2908.4549999999999</v>
      </c>
      <c r="AD230" s="599"/>
      <c r="AE230" s="599"/>
      <c r="AF230" s="599"/>
      <c r="AG230" s="599"/>
      <c r="AH230" s="599"/>
      <c r="AI230" s="599"/>
      <c r="AJ230" s="599"/>
      <c r="AK230" s="599"/>
      <c r="AL230" s="599"/>
      <c r="AM230" s="599"/>
      <c r="AN230" s="599"/>
      <c r="AO230" s="599"/>
      <c r="AP230" s="599"/>
      <c r="AQ230" s="599"/>
      <c r="AR230" s="599"/>
      <c r="AS230" s="599"/>
      <c r="AT230" s="599"/>
      <c r="AU230" s="599"/>
      <c r="AV230" s="599"/>
      <c r="AW230" s="599"/>
      <c r="AX230" s="599"/>
      <c r="AY230" s="599"/>
      <c r="AZ230" s="599"/>
      <c r="BA230" s="599"/>
      <c r="BB230" s="599"/>
      <c r="BC230" s="599"/>
      <c r="BD230" s="599"/>
      <c r="BE230" s="598"/>
    </row>
    <row r="231" spans="2:57">
      <c r="B231" s="1421"/>
      <c r="C231" s="1422"/>
      <c r="D231" s="501"/>
      <c r="E231" s="501"/>
      <c r="F231" s="1315" t="s">
        <v>668</v>
      </c>
      <c r="G231" s="1316"/>
      <c r="H231" s="629">
        <v>1000</v>
      </c>
      <c r="I231" s="584"/>
      <c r="J231" s="504"/>
      <c r="K231" s="504"/>
      <c r="L231" s="504"/>
      <c r="M231" s="504"/>
      <c r="N231" s="505" t="str">
        <f t="shared" si="18"/>
        <v xml:space="preserve"> </v>
      </c>
      <c r="O231" s="597"/>
      <c r="P231" s="507"/>
      <c r="Q231" s="507"/>
      <c r="R231" s="507"/>
      <c r="S231" s="598"/>
      <c r="T231" s="599"/>
      <c r="U231" s="599"/>
      <c r="V231" s="599"/>
      <c r="W231" s="599"/>
      <c r="X231" s="599"/>
      <c r="Y231" s="599"/>
      <c r="Z231" s="599"/>
      <c r="AA231" s="599"/>
      <c r="AB231" s="599"/>
      <c r="AC231" s="599"/>
      <c r="AD231" s="599"/>
      <c r="AE231" s="599"/>
      <c r="AF231" s="599"/>
      <c r="AG231" s="599"/>
      <c r="AH231" s="599"/>
      <c r="AI231" s="599"/>
      <c r="AJ231" s="599"/>
      <c r="AK231" s="599"/>
      <c r="AL231" s="599"/>
      <c r="AM231" s="599"/>
      <c r="AN231" s="599"/>
      <c r="AO231" s="599"/>
      <c r="AP231" s="599"/>
      <c r="AQ231" s="599"/>
      <c r="AR231" s="599"/>
      <c r="AS231" s="599"/>
      <c r="AT231" s="599"/>
      <c r="AU231" s="599"/>
      <c r="AV231" s="599"/>
      <c r="AW231" s="599"/>
      <c r="AX231" s="599"/>
      <c r="AY231" s="599"/>
      <c r="AZ231" s="599"/>
      <c r="BA231" s="599"/>
      <c r="BB231" s="599"/>
      <c r="BC231" s="599"/>
      <c r="BD231" s="599"/>
      <c r="BE231" s="598"/>
    </row>
    <row r="232" spans="2:57">
      <c r="B232" s="1328"/>
      <c r="C232" s="1329"/>
      <c r="D232" s="501"/>
      <c r="E232" s="501"/>
      <c r="F232" s="1315" t="s">
        <v>616</v>
      </c>
      <c r="G232" s="1316"/>
      <c r="H232" s="629">
        <v>1000</v>
      </c>
      <c r="I232" s="584"/>
      <c r="J232" s="504"/>
      <c r="K232" s="504"/>
      <c r="L232" s="504"/>
      <c r="M232" s="504"/>
      <c r="N232" s="505" t="str">
        <f t="shared" si="18"/>
        <v xml:space="preserve"> </v>
      </c>
      <c r="O232" s="597"/>
      <c r="P232" s="507"/>
      <c r="Q232" s="507"/>
      <c r="R232" s="507"/>
      <c r="S232" s="598"/>
      <c r="T232" s="599"/>
      <c r="U232" s="599"/>
      <c r="V232" s="599"/>
      <c r="W232" s="599"/>
      <c r="X232" s="599"/>
      <c r="Y232" s="599"/>
      <c r="Z232" s="599"/>
      <c r="AA232" s="599"/>
      <c r="AB232" s="599"/>
      <c r="AC232" s="599"/>
      <c r="AD232" s="599"/>
      <c r="AE232" s="599"/>
      <c r="AF232" s="599"/>
      <c r="AG232" s="599"/>
      <c r="AH232" s="599"/>
      <c r="AI232" s="599"/>
      <c r="AJ232" s="599"/>
      <c r="AK232" s="599"/>
      <c r="AL232" s="599"/>
      <c r="AM232" s="599"/>
      <c r="AN232" s="599"/>
      <c r="AO232" s="599"/>
      <c r="AP232" s="599"/>
      <c r="AQ232" s="599"/>
      <c r="AR232" s="599"/>
      <c r="AS232" s="599"/>
      <c r="AT232" s="599"/>
      <c r="AU232" s="599"/>
      <c r="AV232" s="599"/>
      <c r="AW232" s="599"/>
      <c r="AX232" s="599"/>
      <c r="AY232" s="599"/>
      <c r="AZ232" s="599"/>
      <c r="BA232" s="599"/>
      <c r="BB232" s="599"/>
      <c r="BC232" s="599"/>
      <c r="BD232" s="599"/>
      <c r="BE232" s="598"/>
    </row>
    <row r="233" spans="2:57">
      <c r="B233" s="1326" t="s">
        <v>625</v>
      </c>
      <c r="C233" s="1327"/>
      <c r="D233" s="501" t="s">
        <v>3510</v>
      </c>
      <c r="E233" s="501"/>
      <c r="F233" s="501" t="s">
        <v>208</v>
      </c>
      <c r="G233" s="501" t="s">
        <v>328</v>
      </c>
      <c r="H233" s="629">
        <v>7531.67</v>
      </c>
      <c r="I233" s="584" t="s">
        <v>418</v>
      </c>
      <c r="J233" s="504">
        <v>45244.517361111109</v>
      </c>
      <c r="K233" s="574"/>
      <c r="L233" s="504" t="s">
        <v>192</v>
      </c>
      <c r="M233" s="504" t="s">
        <v>192</v>
      </c>
      <c r="N233" s="505" t="str">
        <f t="shared" si="18"/>
        <v>DELAY ( 1 day 4 hour 42 minute )</v>
      </c>
      <c r="O233" s="597"/>
      <c r="P233" s="507" t="s">
        <v>551</v>
      </c>
      <c r="Q233" s="507" t="s">
        <v>551</v>
      </c>
      <c r="R233" s="507" t="s">
        <v>551</v>
      </c>
      <c r="S233" s="598"/>
      <c r="T233" s="599"/>
      <c r="U233" s="599"/>
      <c r="V233" s="599"/>
      <c r="W233" s="599"/>
      <c r="X233" s="599"/>
      <c r="Y233" s="599"/>
      <c r="Z233" s="599"/>
      <c r="AA233" s="599"/>
      <c r="AB233" s="599">
        <f>H233*0.7</f>
        <v>5272.1689999999999</v>
      </c>
      <c r="AC233" s="599">
        <f>H233*0.3</f>
        <v>2259.5009999999997</v>
      </c>
      <c r="AD233" s="599"/>
      <c r="AE233" s="599"/>
      <c r="AF233" s="599"/>
      <c r="AG233" s="599"/>
      <c r="AH233" s="599"/>
      <c r="AI233" s="599"/>
      <c r="AJ233" s="599"/>
      <c r="AK233" s="599"/>
      <c r="AL233" s="599"/>
      <c r="AM233" s="599"/>
      <c r="AN233" s="599"/>
      <c r="AO233" s="599"/>
      <c r="AP233" s="599"/>
      <c r="AQ233" s="599"/>
      <c r="AR233" s="599"/>
      <c r="AS233" s="599"/>
      <c r="AT233" s="599"/>
      <c r="AU233" s="599"/>
      <c r="AV233" s="599"/>
      <c r="AW233" s="599"/>
      <c r="AX233" s="599"/>
      <c r="AY233" s="599"/>
      <c r="AZ233" s="599"/>
      <c r="BA233" s="599"/>
      <c r="BB233" s="599"/>
      <c r="BC233" s="599"/>
      <c r="BD233" s="599"/>
      <c r="BE233" s="598"/>
    </row>
    <row r="234" spans="2:57">
      <c r="B234" s="1421"/>
      <c r="C234" s="1422"/>
      <c r="D234" s="501"/>
      <c r="E234" s="501"/>
      <c r="F234" s="1315" t="s">
        <v>668</v>
      </c>
      <c r="G234" s="1316"/>
      <c r="H234" s="866">
        <f>1000-0.284</f>
        <v>999.71600000000001</v>
      </c>
      <c r="I234" s="595"/>
      <c r="J234" s="605"/>
      <c r="K234" s="605"/>
      <c r="L234" s="605"/>
      <c r="M234" s="605"/>
      <c r="N234" s="505" t="str">
        <f t="shared" si="18"/>
        <v xml:space="preserve"> </v>
      </c>
      <c r="O234" s="597"/>
      <c r="P234" s="507"/>
      <c r="Q234" s="507"/>
      <c r="R234" s="507"/>
      <c r="S234" s="598"/>
      <c r="T234" s="599"/>
      <c r="U234" s="599"/>
      <c r="V234" s="599"/>
      <c r="W234" s="599"/>
      <c r="X234" s="599"/>
      <c r="Y234" s="599"/>
      <c r="Z234" s="599"/>
      <c r="AA234" s="599"/>
      <c r="AB234" s="599"/>
      <c r="AC234" s="599"/>
      <c r="AD234" s="599"/>
      <c r="AE234" s="599"/>
      <c r="AF234" s="599"/>
      <c r="AG234" s="599"/>
      <c r="AH234" s="599"/>
      <c r="AI234" s="599"/>
      <c r="AJ234" s="599"/>
      <c r="AK234" s="599"/>
      <c r="AL234" s="599"/>
      <c r="AM234" s="599"/>
      <c r="AN234" s="599"/>
      <c r="AO234" s="599"/>
      <c r="AP234" s="599"/>
      <c r="AQ234" s="599"/>
      <c r="AR234" s="599"/>
      <c r="AS234" s="599"/>
      <c r="AT234" s="599"/>
      <c r="AU234" s="599"/>
      <c r="AV234" s="599"/>
      <c r="AW234" s="599"/>
      <c r="AX234" s="599"/>
      <c r="AY234" s="599"/>
      <c r="AZ234" s="599"/>
      <c r="BA234" s="599"/>
      <c r="BB234" s="599"/>
      <c r="BC234" s="599"/>
      <c r="BD234" s="599"/>
      <c r="BE234" s="598"/>
    </row>
    <row r="235" spans="2:57">
      <c r="B235" s="1328"/>
      <c r="C235" s="1329"/>
      <c r="D235" s="501"/>
      <c r="E235" s="501"/>
      <c r="F235" s="1315" t="s">
        <v>616</v>
      </c>
      <c r="G235" s="1316"/>
      <c r="H235" s="866">
        <f>1000.053</f>
        <v>1000.053</v>
      </c>
      <c r="I235" s="595"/>
      <c r="J235" s="605"/>
      <c r="K235" s="605"/>
      <c r="L235" s="605"/>
      <c r="M235" s="605"/>
      <c r="N235" s="505" t="str">
        <f t="shared" si="18"/>
        <v xml:space="preserve"> </v>
      </c>
      <c r="O235" s="597"/>
      <c r="P235" s="507"/>
      <c r="Q235" s="507"/>
      <c r="R235" s="507"/>
      <c r="S235" s="598"/>
      <c r="T235" s="599"/>
      <c r="U235" s="599"/>
      <c r="V235" s="599"/>
      <c r="W235" s="599"/>
      <c r="X235" s="599"/>
      <c r="Y235" s="599"/>
      <c r="Z235" s="599"/>
      <c r="AA235" s="599"/>
      <c r="AB235" s="599"/>
      <c r="AC235" s="599"/>
      <c r="AD235" s="599"/>
      <c r="AE235" s="599"/>
      <c r="AF235" s="599"/>
      <c r="AG235" s="599"/>
      <c r="AH235" s="599"/>
      <c r="AI235" s="599"/>
      <c r="AJ235" s="599"/>
      <c r="AK235" s="599"/>
      <c r="AL235" s="599"/>
      <c r="AM235" s="599"/>
      <c r="AN235" s="599"/>
      <c r="AO235" s="599"/>
      <c r="AP235" s="599"/>
      <c r="AQ235" s="599"/>
      <c r="AR235" s="599"/>
      <c r="AS235" s="599"/>
      <c r="AT235" s="599"/>
      <c r="AU235" s="599"/>
      <c r="AV235" s="599"/>
      <c r="AW235" s="599"/>
      <c r="AX235" s="599"/>
      <c r="AY235" s="599"/>
      <c r="AZ235" s="599"/>
      <c r="BA235" s="599"/>
      <c r="BB235" s="599"/>
      <c r="BC235" s="599"/>
      <c r="BD235" s="599"/>
      <c r="BE235" s="598"/>
    </row>
    <row r="236" spans="2:57">
      <c r="B236" s="1326" t="s">
        <v>669</v>
      </c>
      <c r="C236" s="1327"/>
      <c r="D236" s="501" t="s">
        <v>3505</v>
      </c>
      <c r="E236" s="501"/>
      <c r="F236" s="501" t="s">
        <v>238</v>
      </c>
      <c r="G236" s="501" t="s">
        <v>239</v>
      </c>
      <c r="H236" s="629">
        <v>7541.4679999999998</v>
      </c>
      <c r="I236" s="584" t="s">
        <v>418</v>
      </c>
      <c r="J236" s="504">
        <v>45244.875</v>
      </c>
      <c r="K236" s="504"/>
      <c r="L236" s="504" t="s">
        <v>192</v>
      </c>
      <c r="M236" s="504" t="s">
        <v>192</v>
      </c>
      <c r="N236" s="505" t="str">
        <f t="shared" si="18"/>
        <v>DELAY ( 1 day 13 hour 17 minute )</v>
      </c>
      <c r="O236" s="597"/>
      <c r="P236" s="507" t="s">
        <v>551</v>
      </c>
      <c r="Q236" s="507" t="s">
        <v>551</v>
      </c>
      <c r="R236" s="507" t="s">
        <v>551</v>
      </c>
      <c r="S236" s="598"/>
      <c r="T236" s="599"/>
      <c r="U236" s="599"/>
      <c r="V236" s="599"/>
      <c r="W236" s="599"/>
      <c r="X236" s="599"/>
      <c r="Y236" s="599"/>
      <c r="Z236" s="599"/>
      <c r="AA236" s="599"/>
      <c r="AB236" s="599">
        <f>H236*0.7</f>
        <v>5279.0275999999994</v>
      </c>
      <c r="AC236" s="599">
        <f>H236*0.3</f>
        <v>2262.4404</v>
      </c>
      <c r="AD236" s="599"/>
      <c r="AE236" s="599"/>
      <c r="AF236" s="599"/>
      <c r="AG236" s="599"/>
      <c r="AH236" s="599"/>
      <c r="AI236" s="599"/>
      <c r="AJ236" s="599"/>
      <c r="AK236" s="599"/>
      <c r="AL236" s="599"/>
      <c r="AM236" s="599"/>
      <c r="AN236" s="599"/>
      <c r="AO236" s="599"/>
      <c r="AP236" s="598"/>
      <c r="AQ236" s="599"/>
      <c r="AR236" s="599"/>
      <c r="AS236" s="599"/>
      <c r="AT236" s="599"/>
      <c r="AU236" s="599"/>
      <c r="AV236" s="599"/>
      <c r="AW236" s="599"/>
      <c r="AX236" s="599"/>
      <c r="AY236" s="599"/>
      <c r="AZ236" s="599"/>
      <c r="BA236" s="599"/>
      <c r="BB236" s="599"/>
      <c r="BC236" s="599"/>
      <c r="BD236" s="599"/>
      <c r="BE236" s="598"/>
    </row>
    <row r="237" spans="2:57">
      <c r="B237" s="1328"/>
      <c r="C237" s="1329"/>
      <c r="D237" s="501"/>
      <c r="E237" s="501"/>
      <c r="F237" s="1315" t="s">
        <v>616</v>
      </c>
      <c r="G237" s="1316"/>
      <c r="H237" s="629">
        <v>1000</v>
      </c>
      <c r="I237" s="584"/>
      <c r="J237" s="504"/>
      <c r="K237" s="504"/>
      <c r="L237" s="504"/>
      <c r="M237" s="504"/>
      <c r="N237" s="505" t="str">
        <f t="shared" si="18"/>
        <v xml:space="preserve"> </v>
      </c>
      <c r="O237" s="597"/>
      <c r="P237" s="507"/>
      <c r="Q237" s="507"/>
      <c r="R237" s="507"/>
      <c r="S237" s="598"/>
      <c r="T237" s="599"/>
      <c r="U237" s="599"/>
      <c r="V237" s="599"/>
      <c r="W237" s="599"/>
      <c r="X237" s="599"/>
      <c r="Y237" s="599"/>
      <c r="Z237" s="599"/>
      <c r="AA237" s="599"/>
      <c r="AB237" s="599"/>
      <c r="AC237" s="599"/>
      <c r="AD237" s="599"/>
      <c r="AE237" s="599"/>
      <c r="AF237" s="599"/>
      <c r="AG237" s="599"/>
      <c r="AH237" s="599"/>
      <c r="AI237" s="599"/>
      <c r="AJ237" s="599"/>
      <c r="AK237" s="599"/>
      <c r="AL237" s="599"/>
      <c r="AM237" s="599"/>
      <c r="AN237" s="599"/>
      <c r="AO237" s="599"/>
      <c r="AP237" s="599"/>
      <c r="AQ237" s="599"/>
      <c r="AR237" s="599"/>
      <c r="AS237" s="599"/>
      <c r="AT237" s="599"/>
      <c r="AU237" s="599"/>
      <c r="AV237" s="599"/>
      <c r="AW237" s="599"/>
      <c r="AX237" s="599"/>
      <c r="AY237" s="599"/>
      <c r="AZ237" s="599"/>
      <c r="BA237" s="599"/>
      <c r="BB237" s="599"/>
      <c r="BC237" s="599"/>
      <c r="BD237" s="599"/>
      <c r="BE237" s="598"/>
    </row>
    <row r="238" spans="2:57">
      <c r="B238" s="1326" t="s">
        <v>670</v>
      </c>
      <c r="C238" s="1327"/>
      <c r="D238" s="501" t="s">
        <v>3503</v>
      </c>
      <c r="E238" s="501"/>
      <c r="F238" s="501" t="s">
        <v>2859</v>
      </c>
      <c r="G238" s="501" t="s">
        <v>324</v>
      </c>
      <c r="H238" s="629">
        <f>7410.543-994.886</f>
        <v>6415.6569999999992</v>
      </c>
      <c r="I238" s="584" t="s">
        <v>418</v>
      </c>
      <c r="J238" s="504">
        <v>45245.180555555555</v>
      </c>
      <c r="K238" s="504"/>
      <c r="L238" s="504" t="s">
        <v>192</v>
      </c>
      <c r="M238" s="504" t="s">
        <v>192</v>
      </c>
      <c r="N238" s="505" t="str">
        <f t="shared" si="18"/>
        <v>DELAY ( 1 day 20 hour 37 minute )</v>
      </c>
      <c r="O238" s="597"/>
      <c r="P238" s="507" t="s">
        <v>551</v>
      </c>
      <c r="Q238" s="507" t="s">
        <v>551</v>
      </c>
      <c r="R238" s="507" t="s">
        <v>551</v>
      </c>
      <c r="S238" s="598"/>
      <c r="T238" s="599"/>
      <c r="U238" s="599"/>
      <c r="V238" s="599"/>
      <c r="W238" s="599"/>
      <c r="X238" s="599"/>
      <c r="Y238" s="599"/>
      <c r="Z238" s="599"/>
      <c r="AA238" s="599"/>
      <c r="AB238" s="599">
        <f>H238*0.7</f>
        <v>4490.9598999999989</v>
      </c>
      <c r="AC238" s="599">
        <f>H238*0.3</f>
        <v>1924.6970999999996</v>
      </c>
      <c r="AD238" s="599"/>
      <c r="AE238" s="599"/>
      <c r="AF238" s="599"/>
      <c r="AG238" s="599"/>
      <c r="AH238" s="599"/>
      <c r="AI238" s="599"/>
      <c r="AJ238" s="599"/>
      <c r="AK238" s="599"/>
      <c r="AL238" s="599"/>
      <c r="AM238" s="599"/>
      <c r="AN238" s="599"/>
      <c r="AO238" s="599"/>
      <c r="AP238" s="599"/>
      <c r="AQ238" s="599"/>
      <c r="AR238" s="599"/>
      <c r="AS238" s="599"/>
      <c r="AT238" s="599"/>
      <c r="AU238" s="599"/>
      <c r="AV238" s="599"/>
      <c r="AW238" s="599"/>
      <c r="AX238" s="599"/>
      <c r="AY238" s="599"/>
      <c r="AZ238" s="599"/>
      <c r="BA238" s="599"/>
      <c r="BB238" s="599"/>
      <c r="BC238" s="599"/>
      <c r="BD238" s="599"/>
      <c r="BE238" s="598"/>
    </row>
    <row r="239" spans="2:57">
      <c r="B239" s="1421"/>
      <c r="C239" s="1422"/>
      <c r="D239" s="501"/>
      <c r="E239" s="501"/>
      <c r="F239" s="1315" t="s">
        <v>668</v>
      </c>
      <c r="G239" s="1316"/>
      <c r="H239" s="629">
        <v>1000</v>
      </c>
      <c r="I239" s="584"/>
      <c r="J239" s="504"/>
      <c r="K239" s="504"/>
      <c r="L239" s="504"/>
      <c r="M239" s="504"/>
      <c r="N239" s="505" t="str">
        <f t="shared" si="18"/>
        <v xml:space="preserve"> </v>
      </c>
      <c r="O239" s="597"/>
      <c r="P239" s="507"/>
      <c r="Q239" s="507"/>
      <c r="R239" s="507"/>
      <c r="S239" s="598"/>
      <c r="T239" s="599"/>
      <c r="U239" s="599"/>
      <c r="V239" s="599"/>
      <c r="W239" s="599"/>
      <c r="X239" s="599"/>
      <c r="Y239" s="599"/>
      <c r="Z239" s="599"/>
      <c r="AA239" s="599"/>
      <c r="AB239" s="599"/>
      <c r="AC239" s="599"/>
      <c r="AD239" s="599"/>
      <c r="AE239" s="599"/>
      <c r="AF239" s="599"/>
      <c r="AG239" s="599"/>
      <c r="AH239" s="599"/>
      <c r="AI239" s="599"/>
      <c r="AJ239" s="599"/>
      <c r="AK239" s="599"/>
      <c r="AL239" s="599"/>
      <c r="AM239" s="599"/>
      <c r="AN239" s="599"/>
      <c r="AO239" s="599"/>
      <c r="AP239" s="599"/>
      <c r="AQ239" s="599"/>
      <c r="AR239" s="599"/>
      <c r="AS239" s="599"/>
      <c r="AT239" s="599"/>
      <c r="AU239" s="599"/>
      <c r="AV239" s="599"/>
      <c r="AW239" s="599"/>
      <c r="AX239" s="599"/>
      <c r="AY239" s="599"/>
      <c r="AZ239" s="599"/>
      <c r="BA239" s="599"/>
      <c r="BB239" s="599"/>
      <c r="BC239" s="599"/>
      <c r="BD239" s="599"/>
      <c r="BE239" s="598"/>
    </row>
    <row r="240" spans="2:57">
      <c r="B240" s="1328"/>
      <c r="C240" s="1329"/>
      <c r="D240" s="501"/>
      <c r="E240" s="501"/>
      <c r="F240" s="1315" t="s">
        <v>616</v>
      </c>
      <c r="G240" s="1316"/>
      <c r="H240" s="629">
        <f>3012-265.501</f>
        <v>2746.4989999999998</v>
      </c>
      <c r="I240" s="584"/>
      <c r="J240" s="574"/>
      <c r="K240" s="574"/>
      <c r="L240" s="574"/>
      <c r="M240" s="574"/>
      <c r="N240" s="505" t="str">
        <f t="shared" si="18"/>
        <v xml:space="preserve"> </v>
      </c>
      <c r="O240" s="597"/>
      <c r="P240" s="507"/>
      <c r="Q240" s="507"/>
      <c r="R240" s="507"/>
      <c r="S240" s="598"/>
      <c r="T240" s="599"/>
      <c r="U240" s="599"/>
      <c r="V240" s="599"/>
      <c r="W240" s="599"/>
      <c r="X240" s="599"/>
      <c r="Y240" s="599"/>
      <c r="Z240" s="599"/>
      <c r="AA240" s="599"/>
      <c r="AB240" s="599"/>
      <c r="AC240" s="599"/>
      <c r="AD240" s="599"/>
      <c r="AE240" s="599"/>
      <c r="AF240" s="599"/>
      <c r="AG240" s="599"/>
      <c r="AH240" s="599"/>
      <c r="AI240" s="599"/>
      <c r="AJ240" s="599"/>
      <c r="AK240" s="599"/>
      <c r="AL240" s="599"/>
      <c r="AM240" s="599"/>
      <c r="AN240" s="599"/>
      <c r="AO240" s="599"/>
      <c r="AP240" s="599"/>
      <c r="AQ240" s="599"/>
      <c r="AR240" s="599"/>
      <c r="AS240" s="599"/>
      <c r="AT240" s="599"/>
      <c r="AU240" s="599"/>
      <c r="AV240" s="599"/>
      <c r="AW240" s="599"/>
      <c r="AX240" s="599"/>
      <c r="AY240" s="599"/>
      <c r="AZ240" s="599"/>
      <c r="BA240" s="599"/>
      <c r="BB240" s="599"/>
      <c r="BC240" s="599"/>
      <c r="BD240" s="599"/>
      <c r="BE240" s="598"/>
    </row>
    <row r="241" spans="2:57">
      <c r="B241" s="1351" t="s">
        <v>626</v>
      </c>
      <c r="C241" s="1352"/>
      <c r="D241" s="1352"/>
      <c r="E241" s="1352"/>
      <c r="F241" s="1352"/>
      <c r="G241" s="1353"/>
      <c r="H241" s="867">
        <f>H219+H230+H222+H236+H238+H225+H228+H233</f>
        <v>63110.731999999996</v>
      </c>
      <c r="I241" s="868"/>
      <c r="J241" s="869"/>
      <c r="K241" s="869"/>
      <c r="L241" s="869"/>
      <c r="M241" s="869"/>
      <c r="N241" s="505" t="str">
        <f t="shared" si="18"/>
        <v xml:space="preserve"> </v>
      </c>
      <c r="O241" s="552"/>
      <c r="P241" s="706"/>
      <c r="Q241" s="706"/>
      <c r="R241" s="706"/>
      <c r="S241" s="598"/>
      <c r="T241" s="1462"/>
      <c r="U241" s="1462"/>
      <c r="V241" s="1462"/>
      <c r="W241" s="1462"/>
      <c r="X241" s="1462"/>
      <c r="Y241" s="1462"/>
      <c r="Z241" s="1462"/>
      <c r="AA241" s="1462"/>
      <c r="AB241" s="1462"/>
      <c r="AC241" s="1462"/>
      <c r="AD241" s="1462"/>
      <c r="AE241" s="1462"/>
      <c r="AF241" s="1462"/>
      <c r="AG241" s="1462"/>
      <c r="AH241" s="1462"/>
      <c r="AI241" s="1462"/>
      <c r="AJ241" s="1462"/>
      <c r="AK241" s="1462"/>
      <c r="AL241" s="1462"/>
      <c r="AM241" s="1462"/>
      <c r="AN241" s="1462"/>
      <c r="AO241" s="1462"/>
      <c r="AP241" s="1462"/>
      <c r="AQ241" s="1462"/>
      <c r="AR241" s="1462"/>
      <c r="AS241" s="1462"/>
      <c r="AT241" s="1462"/>
      <c r="AU241" s="1462"/>
      <c r="AV241" s="1462"/>
      <c r="AW241" s="1462"/>
      <c r="AX241" s="1462"/>
      <c r="AY241" s="1462"/>
      <c r="AZ241" s="1462"/>
      <c r="BA241" s="1462"/>
      <c r="BB241" s="1462"/>
      <c r="BC241" s="1462"/>
      <c r="BD241" s="1462"/>
      <c r="BE241" s="554"/>
    </row>
    <row r="242" spans="2:57">
      <c r="B242" s="1258" t="s">
        <v>556</v>
      </c>
      <c r="C242" s="1259"/>
      <c r="D242" s="1259"/>
      <c r="E242" s="1259"/>
      <c r="F242" s="1259"/>
      <c r="G242" s="1259"/>
      <c r="H242" s="870">
        <f>H218+H241</f>
        <v>79179</v>
      </c>
      <c r="I242" s="1458"/>
      <c r="J242" s="1458"/>
      <c r="K242" s="1458"/>
      <c r="L242" s="1458"/>
      <c r="M242" s="1458"/>
      <c r="N242" s="505" t="str">
        <f t="shared" si="18"/>
        <v xml:space="preserve"> </v>
      </c>
      <c r="O242" s="212"/>
      <c r="P242" s="590"/>
      <c r="Q242" s="590"/>
      <c r="R242" s="590"/>
      <c r="S242" s="633"/>
      <c r="T242" s="1307"/>
      <c r="U242" s="1308"/>
      <c r="V242" s="1308"/>
      <c r="W242" s="1308"/>
      <c r="X242" s="1308"/>
      <c r="Y242" s="1308"/>
      <c r="Z242" s="1308"/>
      <c r="AA242" s="1308"/>
      <c r="AB242" s="1308"/>
      <c r="AC242" s="1308"/>
      <c r="AD242" s="1308"/>
      <c r="AE242" s="1308"/>
      <c r="AF242" s="1308"/>
      <c r="AG242" s="1308"/>
      <c r="AH242" s="1308"/>
      <c r="AI242" s="1308"/>
      <c r="AJ242" s="1308"/>
      <c r="AK242" s="1308"/>
      <c r="AL242" s="1308"/>
      <c r="AM242" s="1308"/>
      <c r="AN242" s="1308"/>
      <c r="AO242" s="1308"/>
      <c r="AP242" s="1308"/>
      <c r="AQ242" s="1308"/>
      <c r="AR242" s="1308"/>
      <c r="AS242" s="1308"/>
      <c r="AT242" s="1308"/>
      <c r="AU242" s="1308"/>
      <c r="AV242" s="1308"/>
      <c r="AW242" s="1308"/>
      <c r="AX242" s="1308"/>
      <c r="AY242" s="1308"/>
      <c r="AZ242" s="1308"/>
      <c r="BA242" s="1308"/>
      <c r="BB242" s="1308"/>
      <c r="BC242" s="1308"/>
      <c r="BD242" s="1308"/>
    </row>
    <row r="243" spans="2:57">
      <c r="B243" s="1415" t="s">
        <v>557</v>
      </c>
      <c r="C243" s="1416"/>
      <c r="D243" s="1416"/>
      <c r="E243" s="1416"/>
      <c r="F243" s="1416"/>
      <c r="G243" s="1416"/>
      <c r="H243" s="871">
        <v>79179</v>
      </c>
      <c r="I243" s="1455"/>
      <c r="J243" s="1455"/>
      <c r="K243" s="1455"/>
      <c r="L243" s="1455"/>
      <c r="M243" s="1455"/>
      <c r="N243" s="505" t="str">
        <f t="shared" si="18"/>
        <v xml:space="preserve"> </v>
      </c>
      <c r="O243" s="591"/>
      <c r="P243" s="415"/>
      <c r="Q243" s="415"/>
      <c r="R243" s="415"/>
      <c r="S243" s="740"/>
      <c r="T243" s="592">
        <f>SUM(T215:T240)</f>
        <v>0</v>
      </c>
      <c r="U243" s="592">
        <f t="shared" ref="U243:BD243" si="19">SUM(U215:U240)</f>
        <v>0</v>
      </c>
      <c r="V243" s="592">
        <f t="shared" si="19"/>
        <v>0</v>
      </c>
      <c r="W243" s="592">
        <f t="shared" si="19"/>
        <v>0</v>
      </c>
      <c r="X243" s="592">
        <f t="shared" si="19"/>
        <v>0</v>
      </c>
      <c r="Y243" s="592">
        <f t="shared" si="19"/>
        <v>0</v>
      </c>
      <c r="Z243" s="592">
        <f t="shared" si="19"/>
        <v>0</v>
      </c>
      <c r="AA243" s="592">
        <f t="shared" si="19"/>
        <v>0</v>
      </c>
      <c r="AB243" s="592">
        <f t="shared" si="19"/>
        <v>52924.064400000003</v>
      </c>
      <c r="AC243" s="592">
        <f t="shared" si="19"/>
        <v>18933.2196</v>
      </c>
      <c r="AD243" s="592">
        <f t="shared" si="19"/>
        <v>7321.7160000000003</v>
      </c>
      <c r="AE243" s="592">
        <f t="shared" si="19"/>
        <v>0</v>
      </c>
      <c r="AF243" s="592">
        <f t="shared" si="19"/>
        <v>0</v>
      </c>
      <c r="AG243" s="592">
        <f t="shared" si="19"/>
        <v>0</v>
      </c>
      <c r="AH243" s="592">
        <f t="shared" si="19"/>
        <v>0</v>
      </c>
      <c r="AI243" s="592">
        <f t="shared" si="19"/>
        <v>0</v>
      </c>
      <c r="AJ243" s="592">
        <f t="shared" si="19"/>
        <v>0</v>
      </c>
      <c r="AK243" s="592">
        <f t="shared" si="19"/>
        <v>0</v>
      </c>
      <c r="AL243" s="592">
        <f t="shared" si="19"/>
        <v>0</v>
      </c>
      <c r="AM243" s="592">
        <f t="shared" si="19"/>
        <v>0</v>
      </c>
      <c r="AN243" s="592">
        <f t="shared" si="19"/>
        <v>0</v>
      </c>
      <c r="AO243" s="592">
        <f t="shared" si="19"/>
        <v>0</v>
      </c>
      <c r="AP243" s="592">
        <f t="shared" si="19"/>
        <v>0</v>
      </c>
      <c r="AQ243" s="592">
        <f t="shared" si="19"/>
        <v>0</v>
      </c>
      <c r="AR243" s="592">
        <f t="shared" si="19"/>
        <v>0</v>
      </c>
      <c r="AS243" s="592">
        <f t="shared" si="19"/>
        <v>0</v>
      </c>
      <c r="AT243" s="592">
        <f t="shared" si="19"/>
        <v>0</v>
      </c>
      <c r="AU243" s="592">
        <f t="shared" si="19"/>
        <v>0</v>
      </c>
      <c r="AV243" s="592">
        <f t="shared" si="19"/>
        <v>0</v>
      </c>
      <c r="AW243" s="592">
        <f t="shared" si="19"/>
        <v>0</v>
      </c>
      <c r="AX243" s="592">
        <f t="shared" si="19"/>
        <v>0</v>
      </c>
      <c r="AY243" s="592">
        <f t="shared" si="19"/>
        <v>0</v>
      </c>
      <c r="AZ243" s="592">
        <f t="shared" si="19"/>
        <v>0</v>
      </c>
      <c r="BA243" s="592">
        <f t="shared" si="19"/>
        <v>0</v>
      </c>
      <c r="BB243" s="592">
        <f t="shared" si="19"/>
        <v>0</v>
      </c>
      <c r="BC243" s="592">
        <f t="shared" si="19"/>
        <v>0</v>
      </c>
      <c r="BD243" s="592">
        <f t="shared" si="19"/>
        <v>0</v>
      </c>
      <c r="BE243" s="592">
        <f>SUM(T243:BD243)</f>
        <v>79179</v>
      </c>
    </row>
    <row r="244" spans="2:57">
      <c r="B244" s="1415" t="s">
        <v>558</v>
      </c>
      <c r="C244" s="1416"/>
      <c r="D244" s="1416"/>
      <c r="E244" s="1416"/>
      <c r="F244" s="1416"/>
      <c r="G244" s="1417"/>
      <c r="H244" s="872">
        <f>H243-L209</f>
        <v>0</v>
      </c>
      <c r="I244" s="745"/>
      <c r="J244" s="746"/>
      <c r="K244" s="746"/>
      <c r="L244" s="674"/>
      <c r="M244" s="633"/>
      <c r="N244" s="591"/>
      <c r="O244" s="591"/>
      <c r="P244" s="591"/>
      <c r="Q244" s="744"/>
      <c r="R244" s="744"/>
      <c r="S244" s="591"/>
      <c r="T244" s="645"/>
      <c r="U244" s="645"/>
      <c r="V244" s="645"/>
      <c r="W244" s="645"/>
      <c r="X244" s="645"/>
      <c r="Y244" s="645"/>
      <c r="Z244" s="645"/>
      <c r="AA244" s="645"/>
      <c r="AB244" s="645"/>
      <c r="AC244" s="591"/>
      <c r="AD244" s="591"/>
      <c r="AE244" s="591"/>
      <c r="AF244" s="591"/>
      <c r="AG244" s="591"/>
      <c r="AH244" s="591"/>
      <c r="AI244" s="591"/>
      <c r="AJ244" s="591"/>
      <c r="AK244" s="591"/>
      <c r="AL244" s="591"/>
      <c r="AM244" s="591"/>
      <c r="AN244" s="591"/>
      <c r="AO244" s="591"/>
      <c r="AP244" s="591"/>
      <c r="AQ244" s="591"/>
      <c r="AR244" s="591"/>
    </row>
    <row r="245" spans="2:57">
      <c r="B245" s="1415" t="s">
        <v>559</v>
      </c>
      <c r="C245" s="1416"/>
      <c r="D245" s="1416"/>
      <c r="E245" s="1416"/>
      <c r="F245" s="1416"/>
      <c r="G245" s="1417"/>
      <c r="H245" s="747">
        <f>442.59</f>
        <v>442.59</v>
      </c>
      <c r="I245" s="745"/>
      <c r="J245" s="746"/>
      <c r="K245" s="746"/>
      <c r="L245" s="674"/>
      <c r="M245" s="633"/>
      <c r="N245" s="613"/>
      <c r="O245" s="591"/>
      <c r="P245" s="591"/>
      <c r="Q245" s="591"/>
      <c r="R245" s="591"/>
      <c r="S245" s="591"/>
      <c r="T245" s="645"/>
      <c r="U245" s="645"/>
      <c r="V245" s="645"/>
      <c r="W245" s="645"/>
      <c r="X245" s="645"/>
      <c r="Y245" s="645"/>
      <c r="Z245" s="645"/>
      <c r="AA245" s="645"/>
      <c r="AB245" s="645"/>
      <c r="AC245" s="591"/>
      <c r="AD245" s="591"/>
      <c r="AE245" s="591"/>
      <c r="AF245" s="591"/>
      <c r="AG245" s="591"/>
      <c r="AH245" s="591"/>
      <c r="AI245" s="591"/>
      <c r="AJ245" s="591"/>
      <c r="AK245" s="591"/>
      <c r="AL245" s="591"/>
      <c r="AM245" s="591"/>
      <c r="AN245" s="591"/>
      <c r="AO245" s="591"/>
      <c r="AP245" s="591"/>
      <c r="AQ245" s="591"/>
      <c r="AR245" s="591"/>
    </row>
    <row r="246" spans="2:57" ht="11.25" customHeight="1">
      <c r="B246" s="1415" t="s">
        <v>560</v>
      </c>
      <c r="C246" s="1416"/>
      <c r="D246" s="1416"/>
      <c r="E246" s="1416"/>
      <c r="F246" s="1416"/>
      <c r="G246" s="1417"/>
      <c r="H246" s="741">
        <f>H245-994.886</f>
        <v>-552.29600000000005</v>
      </c>
      <c r="I246" s="641"/>
      <c r="J246" s="642"/>
      <c r="K246" s="642"/>
      <c r="L246" s="499"/>
      <c r="M246" s="613"/>
      <c r="N246" s="613"/>
      <c r="O246" s="613"/>
      <c r="P246" s="613"/>
      <c r="Q246" s="613"/>
      <c r="R246" s="613"/>
      <c r="S246" s="616"/>
      <c r="T246" s="616"/>
      <c r="U246" s="616"/>
      <c r="V246" s="616"/>
      <c r="W246" s="616"/>
      <c r="X246" s="616"/>
      <c r="Y246" s="616"/>
      <c r="Z246" s="616"/>
      <c r="AA246" s="616"/>
      <c r="AB246" s="613">
        <f>-(H245*0.6)</f>
        <v>-265.55399999999997</v>
      </c>
      <c r="AC246" s="613">
        <f>-(H245*0.4)</f>
        <v>-177.036</v>
      </c>
      <c r="AD246" s="613"/>
      <c r="AE246" s="613"/>
      <c r="AF246" s="613"/>
      <c r="AG246" s="613"/>
      <c r="AH246" s="613"/>
      <c r="AI246" s="613"/>
      <c r="AJ246" s="613"/>
      <c r="AK246" s="613"/>
      <c r="AL246" s="613"/>
      <c r="AM246" s="613"/>
      <c r="AN246" s="613"/>
      <c r="AO246" s="613"/>
      <c r="AP246" s="613"/>
      <c r="AQ246" s="613"/>
      <c r="AR246" s="496"/>
      <c r="AS246" s="496"/>
      <c r="AT246" s="496"/>
      <c r="AU246" s="496"/>
      <c r="AV246" s="496"/>
      <c r="AW246" s="496"/>
      <c r="AX246" s="496"/>
      <c r="AY246" s="496"/>
      <c r="AZ246" s="496"/>
      <c r="BA246" s="496"/>
    </row>
    <row r="247" spans="2:57">
      <c r="B247" s="613"/>
      <c r="C247" s="613"/>
      <c r="D247" s="613"/>
      <c r="E247" s="613"/>
      <c r="F247" s="613"/>
      <c r="G247" s="613"/>
      <c r="H247" s="613"/>
      <c r="I247" s="643"/>
      <c r="J247" s="641"/>
      <c r="K247" s="641"/>
      <c r="L247" s="644"/>
      <c r="M247" s="613"/>
      <c r="N247" s="613"/>
      <c r="O247" s="641"/>
      <c r="P247" s="591"/>
      <c r="Q247" s="591"/>
      <c r="R247" s="591"/>
      <c r="S247" s="591"/>
      <c r="T247" s="645"/>
      <c r="U247" s="645"/>
      <c r="V247" s="645"/>
      <c r="W247" s="645"/>
      <c r="X247" s="645"/>
      <c r="Y247" s="645"/>
      <c r="Z247" s="645"/>
      <c r="AA247" s="645"/>
      <c r="AB247" s="645"/>
      <c r="AC247" s="591"/>
      <c r="AD247" s="591"/>
      <c r="AE247" s="591"/>
      <c r="AF247" s="591"/>
      <c r="AG247" s="591"/>
      <c r="AH247" s="591"/>
      <c r="AI247" s="591"/>
      <c r="AJ247" s="591"/>
      <c r="AK247" s="591"/>
      <c r="AL247" s="591"/>
      <c r="AM247" s="591"/>
      <c r="AN247" s="591"/>
      <c r="AO247" s="591"/>
      <c r="AP247" s="591"/>
      <c r="AQ247" s="591"/>
      <c r="AR247" s="591"/>
    </row>
    <row r="248" spans="2:57">
      <c r="B248" s="619" t="s">
        <v>561</v>
      </c>
      <c r="C248" s="619"/>
      <c r="D248" s="591"/>
      <c r="E248" s="591"/>
      <c r="F248" s="591"/>
      <c r="G248" s="591"/>
      <c r="H248" s="591"/>
      <c r="I248" s="591"/>
      <c r="J248" s="646"/>
      <c r="K248" s="646"/>
      <c r="L248" s="647"/>
      <c r="M248" s="591"/>
      <c r="N248" s="613"/>
      <c r="O248" s="646"/>
      <c r="P248" s="616"/>
      <c r="Q248" s="616"/>
      <c r="R248" s="616"/>
      <c r="S248" s="616"/>
      <c r="T248" s="616"/>
      <c r="U248" s="616"/>
      <c r="V248" s="616"/>
      <c r="W248" s="616"/>
      <c r="X248" s="616"/>
      <c r="Y248" s="616"/>
      <c r="Z248" s="616"/>
      <c r="AA248" s="616"/>
      <c r="AB248" s="613"/>
      <c r="AC248" s="613"/>
      <c r="AD248" s="613"/>
      <c r="AE248" s="613"/>
      <c r="AF248" s="613"/>
      <c r="AG248" s="613"/>
      <c r="AH248" s="613"/>
      <c r="AI248" s="613"/>
      <c r="AJ248" s="613"/>
      <c r="AK248" s="613"/>
      <c r="AL248" s="613"/>
      <c r="AM248" s="613"/>
      <c r="AN248" s="613"/>
      <c r="AO248" s="613"/>
      <c r="AP248" s="613"/>
      <c r="AQ248" s="613"/>
      <c r="AR248" s="613"/>
      <c r="AS248" s="613"/>
      <c r="AT248" s="613"/>
      <c r="AU248" s="613"/>
      <c r="BE248" s="613"/>
    </row>
    <row r="249" spans="2:57">
      <c r="B249" s="422">
        <v>1</v>
      </c>
      <c r="C249" s="1291" t="s">
        <v>1728</v>
      </c>
      <c r="D249" s="1292"/>
      <c r="E249" s="1292"/>
      <c r="F249" s="1292"/>
      <c r="G249" s="1292"/>
      <c r="H249" s="1292"/>
      <c r="I249" s="1292"/>
      <c r="J249" s="1292"/>
      <c r="K249" s="1293"/>
      <c r="L249" s="644"/>
      <c r="M249" s="644"/>
      <c r="N249" s="613"/>
      <c r="O249" s="641"/>
      <c r="P249" s="616"/>
      <c r="Q249" s="616"/>
      <c r="R249" s="616"/>
      <c r="S249" s="616"/>
      <c r="T249" s="616"/>
      <c r="U249" s="616"/>
      <c r="V249" s="616"/>
      <c r="W249" s="616"/>
      <c r="X249" s="616"/>
      <c r="Y249" s="616"/>
      <c r="Z249" s="616"/>
      <c r="AA249" s="616"/>
      <c r="AB249" s="613"/>
      <c r="AC249" s="613"/>
      <c r="AD249" s="613"/>
      <c r="AE249" s="613"/>
      <c r="AF249" s="613"/>
      <c r="AG249" s="613"/>
      <c r="AH249" s="613"/>
      <c r="AI249" s="613"/>
      <c r="AJ249" s="613"/>
      <c r="AK249" s="613"/>
      <c r="AL249" s="613"/>
      <c r="AM249" s="613"/>
      <c r="AN249" s="613"/>
      <c r="AO249" s="613"/>
      <c r="AP249" s="613"/>
      <c r="AQ249" s="613"/>
      <c r="AR249" s="613"/>
      <c r="AS249" s="613"/>
      <c r="AT249" s="613"/>
      <c r="AU249" s="613"/>
      <c r="AV249" s="613"/>
      <c r="AW249" s="613"/>
      <c r="AX249" s="613"/>
      <c r="AY249" s="613"/>
      <c r="AZ249" s="613"/>
      <c r="BA249" s="613"/>
      <c r="BB249" s="613"/>
      <c r="BC249" s="613"/>
      <c r="BD249" s="613"/>
      <c r="BE249" s="613"/>
    </row>
    <row r="251" spans="2:57">
      <c r="B251" s="28" t="s">
        <v>126</v>
      </c>
      <c r="C251" s="28"/>
      <c r="D251" s="614"/>
      <c r="E251" s="30" t="s">
        <v>511</v>
      </c>
      <c r="F251" s="31" t="s">
        <v>3141</v>
      </c>
      <c r="G251" s="591"/>
      <c r="H251" s="33"/>
      <c r="I251" s="615"/>
      <c r="J251" s="35" t="s">
        <v>513</v>
      </c>
      <c r="K251" s="36" t="s">
        <v>511</v>
      </c>
      <c r="L251" s="516">
        <v>45243.645833333336</v>
      </c>
      <c r="M251" s="591"/>
      <c r="N251" s="591"/>
      <c r="O251" s="206"/>
      <c r="P251" s="205"/>
      <c r="Q251" s="616"/>
      <c r="R251" s="204"/>
      <c r="S251" s="617"/>
      <c r="T251" s="613"/>
      <c r="U251" s="613"/>
      <c r="V251" s="613"/>
      <c r="W251" s="613"/>
      <c r="X251" s="613"/>
      <c r="Y251" s="613"/>
      <c r="Z251" s="613"/>
      <c r="AA251" s="613"/>
      <c r="AB251" s="616"/>
      <c r="AC251" s="616"/>
      <c r="AD251" s="616"/>
      <c r="AE251" s="616"/>
      <c r="AF251" s="616"/>
      <c r="AG251" s="613"/>
      <c r="AH251" s="613"/>
      <c r="AI251" s="613"/>
      <c r="AJ251" s="613"/>
      <c r="AK251" s="613"/>
      <c r="AL251" s="613"/>
      <c r="AM251" s="613"/>
      <c r="AN251" s="613"/>
      <c r="AO251" s="613"/>
      <c r="AP251" s="613"/>
      <c r="AQ251" s="613"/>
      <c r="AR251" s="613"/>
      <c r="AS251" s="613"/>
      <c r="AT251" s="613"/>
      <c r="AU251" s="613"/>
      <c r="AV251" s="613"/>
      <c r="AW251" s="613"/>
      <c r="AX251" s="613"/>
      <c r="AY251" s="613"/>
      <c r="AZ251" s="613"/>
      <c r="BA251" s="613"/>
      <c r="BB251" s="613"/>
      <c r="BC251" s="613"/>
      <c r="BD251" s="613"/>
      <c r="BE251" s="613"/>
    </row>
    <row r="252" spans="2:57">
      <c r="B252" s="35" t="s">
        <v>514</v>
      </c>
      <c r="C252" s="35"/>
      <c r="D252" s="591"/>
      <c r="E252" s="36" t="s">
        <v>511</v>
      </c>
      <c r="F252" s="311" t="s">
        <v>3731</v>
      </c>
      <c r="G252" s="591"/>
      <c r="H252" s="33"/>
      <c r="I252" s="615"/>
      <c r="J252" s="35" t="s">
        <v>516</v>
      </c>
      <c r="K252" s="36" t="s">
        <v>511</v>
      </c>
      <c r="L252" s="516">
        <v>45248.708333333336</v>
      </c>
      <c r="M252" s="591"/>
      <c r="N252" s="591"/>
      <c r="O252" s="206"/>
      <c r="P252" s="205"/>
      <c r="Q252" s="616"/>
      <c r="R252" s="204"/>
      <c r="S252" s="617"/>
      <c r="T252" s="613"/>
      <c r="U252" s="613"/>
      <c r="V252" s="613"/>
      <c r="W252" s="613"/>
      <c r="X252" s="613"/>
      <c r="Y252" s="613"/>
      <c r="Z252" s="613"/>
      <c r="AA252" s="613"/>
      <c r="AB252" s="616"/>
      <c r="AC252" s="616"/>
      <c r="AD252" s="616"/>
      <c r="AE252" s="616"/>
      <c r="AF252" s="616"/>
      <c r="AG252" s="613"/>
      <c r="AH252" s="613"/>
      <c r="AI252" s="613"/>
      <c r="AJ252" s="613"/>
      <c r="AK252" s="613"/>
      <c r="AL252" s="613"/>
      <c r="AM252" s="613"/>
      <c r="AN252" s="613"/>
      <c r="AO252" s="613"/>
      <c r="AP252" s="613"/>
      <c r="AQ252" s="613"/>
      <c r="AR252" s="613"/>
      <c r="AS252" s="613"/>
      <c r="AT252" s="613"/>
      <c r="AU252" s="613"/>
      <c r="AV252" s="613"/>
      <c r="AW252" s="613"/>
      <c r="AX252" s="613"/>
      <c r="AY252" s="613"/>
      <c r="AZ252" s="613"/>
      <c r="BA252" s="613"/>
      <c r="BB252" s="613"/>
      <c r="BC252" s="613"/>
      <c r="BD252" s="613"/>
      <c r="BE252" s="613"/>
    </row>
    <row r="253" spans="2:57">
      <c r="B253" s="35" t="s">
        <v>517</v>
      </c>
      <c r="C253" s="35"/>
      <c r="D253" s="591"/>
      <c r="E253" s="36" t="s">
        <v>511</v>
      </c>
      <c r="F253" s="516">
        <v>45242.837500000001</v>
      </c>
      <c r="G253" s="591"/>
      <c r="H253" s="33"/>
      <c r="I253" s="615"/>
      <c r="J253" s="35" t="s">
        <v>521</v>
      </c>
      <c r="K253" s="36" t="s">
        <v>511</v>
      </c>
      <c r="L253" s="620" t="s">
        <v>3142</v>
      </c>
      <c r="M253" s="591"/>
      <c r="N253" s="619"/>
      <c r="O253" s="206"/>
      <c r="P253" s="205"/>
      <c r="Q253" s="616"/>
      <c r="R253" s="204"/>
      <c r="S253" s="617"/>
      <c r="T253" s="613"/>
      <c r="U253" s="613"/>
      <c r="V253" s="613"/>
      <c r="W253" s="613"/>
      <c r="X253" s="613"/>
      <c r="Y253" s="613"/>
      <c r="Z253" s="613"/>
      <c r="AA253" s="613"/>
      <c r="AB253" s="616"/>
      <c r="AC253" s="616"/>
      <c r="AD253" s="616"/>
      <c r="AE253" s="616"/>
      <c r="AF253" s="616"/>
      <c r="AG253" s="613"/>
      <c r="AH253" s="613"/>
      <c r="AI253" s="613"/>
      <c r="AJ253" s="613"/>
      <c r="AK253" s="613"/>
      <c r="AL253" s="613"/>
      <c r="AM253" s="613"/>
      <c r="AN253" s="613"/>
      <c r="AO253" s="613"/>
      <c r="AP253" s="613"/>
      <c r="AQ253" s="613"/>
      <c r="AR253" s="613"/>
      <c r="AS253" s="613"/>
      <c r="AT253" s="613"/>
      <c r="AU253" s="613"/>
      <c r="AV253" s="613"/>
      <c r="AW253" s="613"/>
      <c r="AX253" s="613"/>
      <c r="AY253" s="613"/>
      <c r="AZ253" s="613"/>
      <c r="BA253" s="613"/>
      <c r="BB253" s="613"/>
      <c r="BC253" s="613"/>
      <c r="BD253" s="613"/>
      <c r="BE253" s="613"/>
    </row>
    <row r="254" spans="2:57">
      <c r="B254" s="35" t="s">
        <v>520</v>
      </c>
      <c r="C254" s="35"/>
      <c r="D254" s="591"/>
      <c r="E254" s="36" t="s">
        <v>511</v>
      </c>
      <c r="F254" s="37" t="s">
        <v>16</v>
      </c>
      <c r="G254" s="591"/>
      <c r="H254" s="33"/>
      <c r="I254" s="615"/>
      <c r="J254" s="35" t="s">
        <v>524</v>
      </c>
      <c r="K254" s="36" t="s">
        <v>511</v>
      </c>
      <c r="L254" s="621" t="s">
        <v>23</v>
      </c>
      <c r="M254" s="611"/>
      <c r="N254" s="591"/>
      <c r="O254" s="206"/>
      <c r="P254" s="616"/>
      <c r="Q254" s="616"/>
      <c r="R254" s="204"/>
      <c r="S254" s="617"/>
      <c r="T254" s="613"/>
      <c r="U254" s="613"/>
      <c r="V254" s="613"/>
      <c r="W254" s="613"/>
      <c r="X254" s="613"/>
      <c r="Y254" s="613"/>
      <c r="Z254" s="613"/>
      <c r="AA254" s="613"/>
      <c r="AB254" s="616"/>
      <c r="AC254" s="616"/>
      <c r="AD254" s="616"/>
      <c r="AE254" s="616"/>
      <c r="AF254" s="616"/>
      <c r="AG254" s="613"/>
      <c r="AH254" s="613"/>
      <c r="AI254" s="613"/>
      <c r="AJ254" s="613"/>
      <c r="AK254" s="613"/>
      <c r="AL254" s="613"/>
      <c r="AM254" s="613"/>
      <c r="AN254" s="613"/>
      <c r="AO254" s="613"/>
      <c r="AP254" s="613"/>
      <c r="AQ254" s="613"/>
      <c r="AR254" s="613"/>
      <c r="AS254" s="613"/>
      <c r="AT254" s="613"/>
      <c r="AU254" s="613"/>
      <c r="AV254" s="613"/>
      <c r="AW254" s="613"/>
      <c r="AX254" s="613"/>
      <c r="AY254" s="613"/>
      <c r="AZ254" s="613"/>
      <c r="BA254" s="613"/>
      <c r="BB254" s="613"/>
      <c r="BC254" s="613"/>
      <c r="BD254" s="613"/>
      <c r="BE254" s="613"/>
    </row>
    <row r="255" spans="2:57">
      <c r="B255" s="35" t="s">
        <v>523</v>
      </c>
      <c r="C255" s="35"/>
      <c r="D255" s="591"/>
      <c r="E255" s="36" t="s">
        <v>511</v>
      </c>
      <c r="F255" s="37" t="s">
        <v>45</v>
      </c>
      <c r="G255" s="591"/>
      <c r="H255" s="33"/>
      <c r="I255" s="615"/>
      <c r="J255" s="641"/>
      <c r="K255" s="641"/>
      <c r="L255" s="644"/>
      <c r="M255" s="613"/>
      <c r="N255" s="611"/>
      <c r="O255" s="206"/>
      <c r="P255" s="205"/>
      <c r="Q255" s="616"/>
      <c r="R255" s="204"/>
      <c r="S255" s="617"/>
      <c r="T255" s="613"/>
      <c r="U255" s="613"/>
      <c r="V255" s="613"/>
      <c r="W255" s="613"/>
      <c r="X255" s="613"/>
      <c r="Y255" s="613"/>
      <c r="Z255" s="613"/>
      <c r="AA255" s="613"/>
      <c r="AB255" s="616"/>
      <c r="AC255" s="616"/>
      <c r="AD255" s="616"/>
      <c r="AE255" s="616"/>
      <c r="AF255" s="616"/>
      <c r="AG255" s="613"/>
      <c r="AH255" s="613"/>
      <c r="AI255" s="613"/>
      <c r="AJ255" s="613"/>
      <c r="AK255" s="613"/>
      <c r="AL255" s="613"/>
      <c r="AM255" s="613"/>
      <c r="AN255" s="613"/>
      <c r="AO255" s="613"/>
      <c r="AP255" s="613"/>
      <c r="AQ255" s="613"/>
      <c r="AR255" s="613"/>
      <c r="AS255" s="613"/>
      <c r="AT255" s="613"/>
      <c r="AU255" s="613"/>
      <c r="AV255" s="613"/>
      <c r="AW255" s="613"/>
      <c r="AX255" s="613"/>
      <c r="AY255" s="613"/>
      <c r="AZ255" s="613"/>
      <c r="BA255" s="613"/>
      <c r="BB255" s="613"/>
      <c r="BC255" s="613"/>
      <c r="BD255" s="613"/>
      <c r="BE255" s="613"/>
    </row>
    <row r="256" spans="2:57">
      <c r="B256" s="35" t="s">
        <v>2</v>
      </c>
      <c r="C256" s="35"/>
      <c r="D256" s="591"/>
      <c r="E256" s="36" t="s">
        <v>511</v>
      </c>
      <c r="F256" s="37" t="s">
        <v>29</v>
      </c>
      <c r="G256" s="591"/>
      <c r="H256" s="33"/>
      <c r="I256" s="622"/>
      <c r="J256" s="35"/>
      <c r="K256" s="36"/>
      <c r="L256" s="211"/>
      <c r="M256" s="613"/>
      <c r="N256" s="613"/>
      <c r="O256" s="35"/>
      <c r="P256" s="611"/>
      <c r="Q256" s="611"/>
      <c r="R256" s="611"/>
      <c r="S256" s="615"/>
      <c r="T256" s="613"/>
      <c r="U256" s="613"/>
      <c r="V256" s="613"/>
      <c r="W256" s="613"/>
      <c r="X256" s="613"/>
      <c r="Y256" s="613"/>
      <c r="Z256" s="613"/>
      <c r="AA256" s="613"/>
      <c r="AB256" s="615"/>
      <c r="AC256" s="615"/>
      <c r="AD256" s="615"/>
      <c r="AE256" s="615"/>
      <c r="AF256" s="615"/>
      <c r="AG256" s="615"/>
      <c r="AH256" s="615"/>
      <c r="AI256" s="615"/>
      <c r="AJ256" s="615"/>
      <c r="AK256" s="615"/>
      <c r="AL256" s="615"/>
      <c r="AM256" s="615"/>
      <c r="AN256" s="615"/>
      <c r="AO256" s="613"/>
      <c r="AP256" s="613"/>
      <c r="AQ256" s="613"/>
      <c r="AR256" s="613"/>
      <c r="AS256" s="613"/>
      <c r="AT256" s="613"/>
      <c r="AU256" s="613"/>
      <c r="AV256" s="613"/>
      <c r="AW256" s="613"/>
      <c r="AX256" s="613"/>
      <c r="AY256" s="613"/>
      <c r="AZ256" s="613"/>
      <c r="BA256" s="613"/>
      <c r="BB256" s="613"/>
      <c r="BC256" s="613"/>
      <c r="BD256" s="613"/>
      <c r="BE256" s="613"/>
    </row>
    <row r="257" spans="2:57">
      <c r="B257" s="613"/>
      <c r="C257" s="613"/>
      <c r="D257" s="613"/>
      <c r="E257" s="613"/>
      <c r="F257" s="613"/>
      <c r="G257" s="613"/>
      <c r="H257" s="613"/>
      <c r="I257" s="622"/>
      <c r="J257" s="35"/>
      <c r="K257" s="35"/>
      <c r="L257" s="621"/>
      <c r="M257" s="611"/>
      <c r="N257" s="611"/>
      <c r="O257" s="35"/>
      <c r="P257" s="611"/>
      <c r="Q257" s="611"/>
      <c r="R257" s="611"/>
      <c r="S257" s="615"/>
      <c r="T257" s="1317" t="s">
        <v>87</v>
      </c>
      <c r="U257" s="1317"/>
      <c r="V257" s="1317"/>
      <c r="W257" s="1317"/>
      <c r="X257" s="1317"/>
      <c r="Y257" s="1317" t="s">
        <v>73</v>
      </c>
      <c r="Z257" s="1317"/>
      <c r="AA257" s="1317"/>
      <c r="AB257" s="1317" t="s">
        <v>74</v>
      </c>
      <c r="AC257" s="1317"/>
      <c r="AD257" s="623" t="s">
        <v>85</v>
      </c>
      <c r="AE257" s="854" t="s">
        <v>77</v>
      </c>
      <c r="AF257" s="1459" t="s">
        <v>525</v>
      </c>
      <c r="AG257" s="1459"/>
      <c r="AH257" s="1459"/>
      <c r="AI257" s="1459"/>
      <c r="AJ257" s="1459"/>
      <c r="AK257" s="1459"/>
      <c r="AL257" s="1459"/>
      <c r="AM257" s="1459"/>
      <c r="AN257" s="1459"/>
      <c r="AO257" s="1459"/>
      <c r="AP257" s="1459"/>
      <c r="AQ257" s="1459"/>
      <c r="AR257" s="1459"/>
      <c r="AS257" s="1459"/>
      <c r="AT257" s="1459"/>
      <c r="AU257" s="1459"/>
      <c r="AV257" s="1459"/>
      <c r="AW257" s="1459"/>
      <c r="AX257" s="1459"/>
      <c r="AY257" s="1459"/>
      <c r="AZ257" s="1459"/>
      <c r="BA257" s="1459"/>
      <c r="BB257" s="1459"/>
      <c r="BC257" s="1459"/>
      <c r="BD257" s="1459"/>
      <c r="BE257" s="613"/>
    </row>
    <row r="258" spans="2:57">
      <c r="B258" s="1318" t="s">
        <v>526</v>
      </c>
      <c r="C258" s="1319"/>
      <c r="D258" s="624" t="s">
        <v>527</v>
      </c>
      <c r="E258" s="624"/>
      <c r="F258" s="624" t="s">
        <v>528</v>
      </c>
      <c r="G258" s="624" t="s">
        <v>529</v>
      </c>
      <c r="H258" s="624" t="s">
        <v>530</v>
      </c>
      <c r="I258" s="624" t="s">
        <v>531</v>
      </c>
      <c r="J258" s="624" t="s">
        <v>532</v>
      </c>
      <c r="K258" s="624"/>
      <c r="L258" s="624" t="s">
        <v>130</v>
      </c>
      <c r="M258" s="624" t="s">
        <v>533</v>
      </c>
      <c r="N258" s="625" t="str">
        <f>"On time - "&amp;COUNTIF(N259:N263,"On time")&amp;" from "&amp;ROWS(N259:N263)-COUNTIF(N259:N263," ")</f>
        <v>On time - 3 from 3</v>
      </c>
      <c r="O258" s="626"/>
      <c r="P258" s="627" t="s">
        <v>534</v>
      </c>
      <c r="Q258" s="627" t="s">
        <v>535</v>
      </c>
      <c r="R258" s="627" t="s">
        <v>536</v>
      </c>
      <c r="S258" s="591"/>
      <c r="T258" s="628" t="s">
        <v>537</v>
      </c>
      <c r="U258" s="628" t="s">
        <v>538</v>
      </c>
      <c r="V258" s="628" t="s">
        <v>539</v>
      </c>
      <c r="W258" s="628" t="s">
        <v>540</v>
      </c>
      <c r="X258" s="628" t="s">
        <v>541</v>
      </c>
      <c r="Y258" s="628" t="s">
        <v>167</v>
      </c>
      <c r="Z258" s="628" t="s">
        <v>168</v>
      </c>
      <c r="AA258" s="628" t="s">
        <v>169</v>
      </c>
      <c r="AB258" s="628" t="s">
        <v>235</v>
      </c>
      <c r="AC258" s="628" t="s">
        <v>240</v>
      </c>
      <c r="AD258" s="623" t="s">
        <v>85</v>
      </c>
      <c r="AE258" s="628" t="s">
        <v>139</v>
      </c>
      <c r="AF258" s="855" t="s">
        <v>72</v>
      </c>
      <c r="AG258" s="855" t="s">
        <v>88</v>
      </c>
      <c r="AH258" s="855" t="s">
        <v>75</v>
      </c>
      <c r="AI258" s="855" t="s">
        <v>543</v>
      </c>
      <c r="AJ258" s="855" t="s">
        <v>78</v>
      </c>
      <c r="AK258" s="855" t="s">
        <v>76</v>
      </c>
      <c r="AL258" s="855" t="s">
        <v>544</v>
      </c>
      <c r="AM258" s="855" t="s">
        <v>545</v>
      </c>
      <c r="AN258" s="855" t="s">
        <v>86</v>
      </c>
      <c r="AO258" s="855" t="s">
        <v>83</v>
      </c>
      <c r="AP258" s="855" t="s">
        <v>84</v>
      </c>
      <c r="AQ258" s="855" t="s">
        <v>546</v>
      </c>
      <c r="AR258" s="855" t="s">
        <v>81</v>
      </c>
      <c r="AS258" s="855" t="s">
        <v>80</v>
      </c>
      <c r="AT258" s="855" t="s">
        <v>82</v>
      </c>
      <c r="AU258" s="855" t="s">
        <v>181</v>
      </c>
      <c r="AV258" s="855" t="s">
        <v>183</v>
      </c>
      <c r="AW258" s="855" t="s">
        <v>547</v>
      </c>
      <c r="AX258" s="855" t="s">
        <v>182</v>
      </c>
      <c r="AY258" s="855" t="s">
        <v>172</v>
      </c>
      <c r="AZ258" s="855" t="s">
        <v>173</v>
      </c>
      <c r="BA258" s="855" t="s">
        <v>184</v>
      </c>
      <c r="BB258" s="855" t="s">
        <v>100</v>
      </c>
      <c r="BC258" s="855" t="s">
        <v>913</v>
      </c>
      <c r="BD258" s="855" t="s">
        <v>2747</v>
      </c>
      <c r="BE258" s="613"/>
    </row>
    <row r="259" spans="2:57">
      <c r="B259" s="1326" t="s">
        <v>548</v>
      </c>
      <c r="C259" s="1327"/>
      <c r="D259" s="501" t="s">
        <v>3487</v>
      </c>
      <c r="E259" s="501"/>
      <c r="F259" s="501" t="s">
        <v>222</v>
      </c>
      <c r="G259" s="501" t="s">
        <v>223</v>
      </c>
      <c r="H259" s="629">
        <v>7505.4459999999999</v>
      </c>
      <c r="I259" s="505" t="s">
        <v>240</v>
      </c>
      <c r="J259" s="504">
        <v>45241.4375</v>
      </c>
      <c r="K259" s="504"/>
      <c r="L259" s="504" t="s">
        <v>192</v>
      </c>
      <c r="M259" s="504" t="s">
        <v>192</v>
      </c>
      <c r="N259" s="505" t="str">
        <f>IF(ISBLANK(J259)," ",IF(J259&lt;$F$253,"On time",(IF(DAY(J259-$F$253)&lt;1,"On time",(IF(J259&gt;$F$253,"DELAY ( "&amp;DAY(J259-$F$253)&amp;" day "&amp;HOUR(J259-$F$253)&amp;" hour "&amp;MINUTE(J259-$F$253)&amp;" minute )","xxx"))))))</f>
        <v>On time</v>
      </c>
      <c r="O259" s="597"/>
      <c r="P259" s="507" t="s">
        <v>551</v>
      </c>
      <c r="Q259" s="507" t="s">
        <v>551</v>
      </c>
      <c r="R259" s="507" t="s">
        <v>551</v>
      </c>
      <c r="S259" s="598"/>
      <c r="T259" s="599"/>
      <c r="U259" s="599"/>
      <c r="V259" s="599"/>
      <c r="W259" s="599"/>
      <c r="X259" s="599"/>
      <c r="Y259" s="599"/>
      <c r="Z259" s="599"/>
      <c r="AA259" s="599"/>
      <c r="AB259" s="599"/>
      <c r="AC259" s="599">
        <f>H259</f>
        <v>7505.4459999999999</v>
      </c>
      <c r="AD259" s="599"/>
      <c r="AE259" s="599"/>
      <c r="AF259" s="599"/>
      <c r="AG259" s="599"/>
      <c r="AH259" s="599"/>
      <c r="AI259" s="599"/>
      <c r="AJ259" s="599"/>
      <c r="AK259" s="599"/>
      <c r="AL259" s="599"/>
      <c r="AM259" s="599"/>
      <c r="AN259" s="599"/>
      <c r="AO259" s="599"/>
      <c r="AP259" s="598"/>
      <c r="AQ259" s="599"/>
      <c r="AR259" s="599"/>
      <c r="AS259" s="599"/>
      <c r="AT259" s="599"/>
      <c r="AU259" s="599"/>
      <c r="AV259" s="599"/>
      <c r="AW259" s="599"/>
      <c r="AX259" s="599"/>
      <c r="AY259" s="599"/>
      <c r="AZ259" s="599"/>
      <c r="BA259" s="599"/>
      <c r="BB259" s="599"/>
      <c r="BC259" s="599"/>
      <c r="BD259" s="599"/>
      <c r="BE259" s="598"/>
    </row>
    <row r="260" spans="2:57">
      <c r="B260" s="1326" t="s">
        <v>548</v>
      </c>
      <c r="C260" s="1327"/>
      <c r="D260" s="501" t="s">
        <v>3486</v>
      </c>
      <c r="E260" s="501"/>
      <c r="F260" s="501" t="s">
        <v>367</v>
      </c>
      <c r="G260" s="501" t="s">
        <v>368</v>
      </c>
      <c r="H260" s="629">
        <v>9709.8050000000003</v>
      </c>
      <c r="I260" s="505" t="s">
        <v>240</v>
      </c>
      <c r="J260" s="504">
        <v>45241.680555555555</v>
      </c>
      <c r="K260" s="504"/>
      <c r="L260" s="504" t="s">
        <v>192</v>
      </c>
      <c r="M260" s="504" t="s">
        <v>192</v>
      </c>
      <c r="N260" s="505" t="str">
        <f>IF(ISBLANK(J260)," ",IF(J260&lt;$F$253,"On time",(IF(DAY(J260-$F$253)&lt;1,"On time",(IF(J260&gt;$F$253,"DELAY ( "&amp;DAY(J260-$F$253)&amp;" day "&amp;HOUR(J260-$F$253)&amp;" hour "&amp;MINUTE(J260-$F$253)&amp;" minute )","xxx"))))))</f>
        <v>On time</v>
      </c>
      <c r="O260" s="597"/>
      <c r="P260" s="507" t="s">
        <v>551</v>
      </c>
      <c r="Q260" s="507" t="s">
        <v>551</v>
      </c>
      <c r="R260" s="507" t="s">
        <v>551</v>
      </c>
      <c r="S260" s="598"/>
      <c r="T260" s="599"/>
      <c r="U260" s="599"/>
      <c r="V260" s="599"/>
      <c r="W260" s="599"/>
      <c r="X260" s="599"/>
      <c r="Y260" s="599"/>
      <c r="Z260" s="599"/>
      <c r="AA260" s="599"/>
      <c r="AB260" s="599"/>
      <c r="AC260" s="599">
        <f>H260</f>
        <v>9709.8050000000003</v>
      </c>
      <c r="AD260" s="599"/>
      <c r="AE260" s="599"/>
      <c r="AF260" s="599"/>
      <c r="AG260" s="599"/>
      <c r="AH260" s="599"/>
      <c r="AI260" s="599"/>
      <c r="AJ260" s="599"/>
      <c r="AK260" s="599"/>
      <c r="AL260" s="599"/>
      <c r="AM260" s="599"/>
      <c r="AN260" s="599"/>
      <c r="AO260" s="599"/>
      <c r="AP260" s="599"/>
      <c r="AQ260" s="599"/>
      <c r="AR260" s="599"/>
      <c r="AS260" s="599"/>
      <c r="AT260" s="599"/>
      <c r="AU260" s="599"/>
      <c r="AV260" s="599"/>
      <c r="AW260" s="599"/>
      <c r="AX260" s="599"/>
      <c r="AY260" s="599"/>
      <c r="AZ260" s="599"/>
      <c r="BA260" s="599"/>
      <c r="BB260" s="599"/>
      <c r="BC260" s="599"/>
      <c r="BD260" s="599"/>
      <c r="BE260" s="598"/>
    </row>
    <row r="261" spans="2:57">
      <c r="B261" s="1326" t="s">
        <v>548</v>
      </c>
      <c r="C261" s="1327"/>
      <c r="D261" s="501" t="s">
        <v>3488</v>
      </c>
      <c r="E261" s="501"/>
      <c r="F261" s="501" t="s">
        <v>330</v>
      </c>
      <c r="G261" s="501" t="s">
        <v>331</v>
      </c>
      <c r="H261" s="629">
        <v>7501.8289999999997</v>
      </c>
      <c r="I261" s="505" t="s">
        <v>240</v>
      </c>
      <c r="J261" s="504">
        <v>45241.5625</v>
      </c>
      <c r="K261" s="504"/>
      <c r="L261" s="504" t="s">
        <v>192</v>
      </c>
      <c r="M261" s="504" t="s">
        <v>192</v>
      </c>
      <c r="N261" s="505" t="str">
        <f>IF(ISBLANK(J261)," ",IF(J261&lt;$F$253,"On time",(IF(DAY(J261-$F$253)&lt;1,"On time",(IF(J261&gt;$F$253,"DELAY ( "&amp;DAY(J261-$F$253)&amp;" day "&amp;HOUR(J261-$F$253)&amp;" hour "&amp;MINUTE(J261-$F$253)&amp;" minute )","xxx"))))))</f>
        <v>On time</v>
      </c>
      <c r="O261" s="597"/>
      <c r="P261" s="507" t="s">
        <v>551</v>
      </c>
      <c r="Q261" s="507" t="s">
        <v>551</v>
      </c>
      <c r="R261" s="507" t="s">
        <v>551</v>
      </c>
      <c r="S261" s="598"/>
      <c r="T261" s="599"/>
      <c r="U261" s="599"/>
      <c r="V261" s="599"/>
      <c r="W261" s="599"/>
      <c r="X261" s="599"/>
      <c r="Y261" s="599"/>
      <c r="Z261" s="599"/>
      <c r="AA261" s="599"/>
      <c r="AB261" s="599"/>
      <c r="AC261" s="599">
        <f>H261</f>
        <v>7501.8289999999997</v>
      </c>
      <c r="AD261" s="599"/>
      <c r="AE261" s="599"/>
      <c r="AF261" s="599"/>
      <c r="AG261" s="599"/>
      <c r="AH261" s="599"/>
      <c r="AI261" s="599"/>
      <c r="AJ261" s="599"/>
      <c r="AK261" s="599"/>
      <c r="AL261" s="599"/>
      <c r="AM261" s="599"/>
      <c r="AN261" s="599"/>
      <c r="AO261" s="599"/>
      <c r="AP261" s="599"/>
      <c r="AQ261" s="599"/>
      <c r="AR261" s="599"/>
      <c r="AS261" s="599"/>
      <c r="AT261" s="599"/>
      <c r="AU261" s="599"/>
      <c r="AV261" s="599"/>
      <c r="AW261" s="599"/>
      <c r="AX261" s="599"/>
      <c r="AY261" s="599"/>
      <c r="AZ261" s="599"/>
      <c r="BA261" s="599"/>
      <c r="BB261" s="599"/>
      <c r="BC261" s="599"/>
      <c r="BD261" s="599"/>
      <c r="BE261" s="598"/>
    </row>
    <row r="262" spans="2:57">
      <c r="B262" s="1258" t="s">
        <v>556</v>
      </c>
      <c r="C262" s="1259"/>
      <c r="D262" s="1259"/>
      <c r="E262" s="1259"/>
      <c r="F262" s="1259"/>
      <c r="G262" s="1260"/>
      <c r="H262" s="586">
        <f>SUM(H259:H261)</f>
        <v>24717.08</v>
      </c>
      <c r="I262" s="587"/>
      <c r="J262" s="588"/>
      <c r="K262" s="588"/>
      <c r="L262" s="588"/>
      <c r="M262" s="589"/>
      <c r="N262" s="505" t="str">
        <f>IF(ISBLANK(J262)," ",IF(J262&lt;$F$253,"On time",(IF(DAY(J262-$F$253)&lt;1,"On time",(IF(J262&gt;$F$253,"DELAY ( "&amp;DAY(J262-$F$253)&amp;" day "&amp;HOUR(J262-$F$253)&amp;" hour "&amp;MINUTE(J262-$F$253)&amp;" minute )","xxx"))))))</f>
        <v xml:space="preserve"> </v>
      </c>
      <c r="O262" s="212"/>
      <c r="P262" s="590"/>
      <c r="Q262" s="590"/>
      <c r="R262" s="590"/>
      <c r="S262" s="633"/>
      <c r="T262" s="1307"/>
      <c r="U262" s="1308"/>
      <c r="V262" s="1308"/>
      <c r="W262" s="1308"/>
      <c r="X262" s="1308"/>
      <c r="Y262" s="1308"/>
      <c r="Z262" s="1308"/>
      <c r="AA262" s="1308"/>
      <c r="AB262" s="1308"/>
      <c r="AC262" s="1308"/>
      <c r="AD262" s="1308"/>
      <c r="AE262" s="1308"/>
      <c r="AF262" s="1308"/>
      <c r="AG262" s="1308"/>
      <c r="AH262" s="1308"/>
      <c r="AI262" s="1308"/>
      <c r="AJ262" s="1308"/>
      <c r="AK262" s="1308"/>
      <c r="AL262" s="1308"/>
      <c r="AM262" s="1308"/>
      <c r="AN262" s="1308"/>
      <c r="AO262" s="1308"/>
      <c r="AP262" s="1308"/>
      <c r="AQ262" s="1308"/>
      <c r="AR262" s="1308"/>
      <c r="AS262" s="1308"/>
      <c r="AT262" s="1308"/>
      <c r="AU262" s="1308"/>
      <c r="AV262" s="1308"/>
      <c r="AW262" s="1308"/>
      <c r="AX262" s="1308"/>
      <c r="AY262" s="1308"/>
      <c r="AZ262" s="1308"/>
      <c r="BA262" s="1308"/>
      <c r="BB262" s="1308"/>
      <c r="BC262" s="1308"/>
      <c r="BD262" s="1308"/>
    </row>
    <row r="263" spans="2:57">
      <c r="B263" s="1424"/>
      <c r="C263" s="1425"/>
      <c r="D263" s="1425"/>
      <c r="E263" s="1425"/>
      <c r="F263" s="1425"/>
      <c r="G263" s="1426"/>
      <c r="H263" s="762"/>
      <c r="I263" s="1449"/>
      <c r="J263" s="1450"/>
      <c r="K263" s="1450"/>
      <c r="L263" s="1450"/>
      <c r="M263" s="1451"/>
      <c r="N263" s="505" t="str">
        <f>IF(ISBLANK(J263)," ",IF(J263&lt;$F$253,"On time",(IF(DAY(J263-$F$253)&lt;1,"On time",(IF(J263&gt;$F$253,"DELAY ( "&amp;DAY(J263-$F$253)&amp;" day "&amp;HOUR(J263-$F$253)&amp;" hour "&amp;MINUTE(J263-$F$253)&amp;" minute )","xxx"))))))</f>
        <v xml:space="preserve"> </v>
      </c>
      <c r="O263" s="591"/>
      <c r="P263" s="415"/>
      <c r="Q263" s="415"/>
      <c r="R263" s="415"/>
      <c r="S263" s="740"/>
      <c r="T263" s="592">
        <f>SUM(T259:T261)</f>
        <v>0</v>
      </c>
      <c r="U263" s="592">
        <f t="shared" ref="U263:BD263" si="20">SUM(U259:U261)</f>
        <v>0</v>
      </c>
      <c r="V263" s="592">
        <f t="shared" si="20"/>
        <v>0</v>
      </c>
      <c r="W263" s="592">
        <f t="shared" si="20"/>
        <v>0</v>
      </c>
      <c r="X263" s="592">
        <f t="shared" si="20"/>
        <v>0</v>
      </c>
      <c r="Y263" s="592">
        <f t="shared" si="20"/>
        <v>0</v>
      </c>
      <c r="Z263" s="592">
        <f t="shared" si="20"/>
        <v>0</v>
      </c>
      <c r="AA263" s="592">
        <f t="shared" si="20"/>
        <v>0</v>
      </c>
      <c r="AB263" s="592">
        <f t="shared" si="20"/>
        <v>0</v>
      </c>
      <c r="AC263" s="592">
        <f t="shared" si="20"/>
        <v>24717.08</v>
      </c>
      <c r="AD263" s="592">
        <f t="shared" si="20"/>
        <v>0</v>
      </c>
      <c r="AE263" s="592">
        <f t="shared" si="20"/>
        <v>0</v>
      </c>
      <c r="AF263" s="592">
        <f t="shared" si="20"/>
        <v>0</v>
      </c>
      <c r="AG263" s="592">
        <f t="shared" si="20"/>
        <v>0</v>
      </c>
      <c r="AH263" s="592">
        <f t="shared" si="20"/>
        <v>0</v>
      </c>
      <c r="AI263" s="592">
        <f t="shared" si="20"/>
        <v>0</v>
      </c>
      <c r="AJ263" s="592">
        <f t="shared" si="20"/>
        <v>0</v>
      </c>
      <c r="AK263" s="592">
        <f t="shared" si="20"/>
        <v>0</v>
      </c>
      <c r="AL263" s="592">
        <f t="shared" si="20"/>
        <v>0</v>
      </c>
      <c r="AM263" s="592">
        <f t="shared" si="20"/>
        <v>0</v>
      </c>
      <c r="AN263" s="592">
        <f t="shared" si="20"/>
        <v>0</v>
      </c>
      <c r="AO263" s="592">
        <f t="shared" si="20"/>
        <v>0</v>
      </c>
      <c r="AP263" s="592">
        <f t="shared" si="20"/>
        <v>0</v>
      </c>
      <c r="AQ263" s="592">
        <f t="shared" si="20"/>
        <v>0</v>
      </c>
      <c r="AR263" s="592">
        <f t="shared" si="20"/>
        <v>0</v>
      </c>
      <c r="AS263" s="592">
        <f t="shared" si="20"/>
        <v>0</v>
      </c>
      <c r="AT263" s="592">
        <f t="shared" si="20"/>
        <v>0</v>
      </c>
      <c r="AU263" s="592">
        <f t="shared" si="20"/>
        <v>0</v>
      </c>
      <c r="AV263" s="592">
        <f t="shared" si="20"/>
        <v>0</v>
      </c>
      <c r="AW263" s="592">
        <f t="shared" si="20"/>
        <v>0</v>
      </c>
      <c r="AX263" s="592">
        <f t="shared" si="20"/>
        <v>0</v>
      </c>
      <c r="AY263" s="592">
        <f t="shared" si="20"/>
        <v>0</v>
      </c>
      <c r="AZ263" s="592">
        <f t="shared" si="20"/>
        <v>0</v>
      </c>
      <c r="BA263" s="592">
        <f t="shared" si="20"/>
        <v>0</v>
      </c>
      <c r="BB263" s="592">
        <f t="shared" si="20"/>
        <v>0</v>
      </c>
      <c r="BC263" s="592">
        <f t="shared" si="20"/>
        <v>0</v>
      </c>
      <c r="BD263" s="592">
        <f t="shared" si="20"/>
        <v>0</v>
      </c>
      <c r="BE263" s="592">
        <f>SUM(T263:BD263)</f>
        <v>24717.08</v>
      </c>
    </row>
    <row r="264" spans="2:57">
      <c r="B264" s="613"/>
      <c r="C264" s="613"/>
      <c r="D264" s="613"/>
      <c r="E264" s="613"/>
      <c r="F264" s="613"/>
      <c r="G264" s="613"/>
      <c r="H264" s="613"/>
      <c r="I264" s="643"/>
      <c r="J264" s="641"/>
      <c r="K264" s="641"/>
      <c r="L264" s="644"/>
      <c r="M264" s="613"/>
      <c r="N264" s="613"/>
      <c r="O264" s="641"/>
      <c r="P264" s="591"/>
      <c r="Q264" s="591"/>
      <c r="R264" s="591"/>
      <c r="S264" s="591"/>
      <c r="T264" s="645"/>
      <c r="U264" s="645"/>
      <c r="V264" s="645"/>
      <c r="W264" s="645"/>
      <c r="X264" s="645"/>
      <c r="Y264" s="645"/>
      <c r="Z264" s="645"/>
      <c r="AA264" s="645"/>
      <c r="AB264" s="645"/>
      <c r="AC264" s="591"/>
      <c r="AD264" s="591"/>
      <c r="AE264" s="591"/>
      <c r="AF264" s="591"/>
      <c r="AG264" s="591"/>
      <c r="AH264" s="591"/>
      <c r="AI264" s="591"/>
      <c r="AJ264" s="591"/>
      <c r="AK264" s="591"/>
      <c r="AL264" s="591"/>
      <c r="AM264" s="591"/>
      <c r="AN264" s="591"/>
      <c r="AO264" s="591"/>
      <c r="AP264" s="591"/>
      <c r="AQ264" s="591"/>
      <c r="AR264" s="591"/>
    </row>
    <row r="265" spans="2:57">
      <c r="B265" s="619" t="s">
        <v>561</v>
      </c>
      <c r="C265" s="619"/>
      <c r="D265" s="591"/>
      <c r="E265" s="591"/>
      <c r="F265" s="591"/>
      <c r="G265" s="591"/>
      <c r="H265" s="591"/>
      <c r="I265" s="591"/>
      <c r="J265" s="646"/>
      <c r="K265" s="646"/>
      <c r="L265" s="647"/>
      <c r="M265" s="591"/>
      <c r="N265" s="613"/>
      <c r="O265" s="646"/>
      <c r="P265" s="616"/>
      <c r="Q265" s="616"/>
      <c r="R265" s="616"/>
      <c r="S265" s="616"/>
      <c r="T265" s="616"/>
      <c r="U265" s="616"/>
      <c r="V265" s="616"/>
      <c r="W265" s="616"/>
      <c r="X265" s="616"/>
      <c r="Y265" s="616"/>
      <c r="Z265" s="616"/>
      <c r="AA265" s="616"/>
      <c r="AB265" s="613"/>
      <c r="AC265" s="613"/>
      <c r="AD265" s="613"/>
      <c r="AE265" s="613"/>
      <c r="AF265" s="613"/>
      <c r="AG265" s="613"/>
      <c r="AH265" s="613"/>
      <c r="AI265" s="613"/>
      <c r="AJ265" s="613"/>
      <c r="AK265" s="613"/>
      <c r="AL265" s="613"/>
      <c r="AM265" s="613"/>
      <c r="AN265" s="613"/>
      <c r="AO265" s="613"/>
      <c r="AP265" s="613"/>
      <c r="AQ265" s="613"/>
      <c r="AR265" s="613"/>
      <c r="AS265" s="613"/>
      <c r="AT265" s="613"/>
      <c r="AU265" s="613"/>
      <c r="BE265" s="613"/>
    </row>
    <row r="266" spans="2:57">
      <c r="B266" s="422"/>
      <c r="C266" s="1249"/>
      <c r="D266" s="1249"/>
      <c r="E266" s="1249"/>
      <c r="F266" s="1249"/>
      <c r="G266" s="1249"/>
      <c r="H266" s="1249"/>
      <c r="I266" s="1249"/>
      <c r="J266" s="1249"/>
      <c r="K266" s="1249"/>
      <c r="L266" s="644"/>
      <c r="M266" s="644"/>
      <c r="N266" s="613"/>
      <c r="O266" s="641"/>
      <c r="P266" s="616"/>
      <c r="Q266" s="616"/>
      <c r="R266" s="616"/>
      <c r="S266" s="616"/>
      <c r="T266" s="616"/>
      <c r="U266" s="616"/>
      <c r="V266" s="616"/>
      <c r="W266" s="616"/>
      <c r="X266" s="616"/>
      <c r="Y266" s="616"/>
      <c r="Z266" s="616"/>
      <c r="AA266" s="616"/>
      <c r="AB266" s="613"/>
      <c r="AC266" s="613"/>
      <c r="AD266" s="613"/>
      <c r="AE266" s="613"/>
      <c r="AF266" s="613"/>
      <c r="AG266" s="613"/>
      <c r="AH266" s="613"/>
      <c r="AI266" s="613"/>
      <c r="AJ266" s="613"/>
      <c r="AK266" s="613"/>
      <c r="AL266" s="613"/>
      <c r="AM266" s="613"/>
      <c r="AN266" s="613"/>
      <c r="AO266" s="613"/>
      <c r="AP266" s="613"/>
      <c r="AQ266" s="613"/>
      <c r="AR266" s="613"/>
      <c r="AS266" s="613"/>
      <c r="AT266" s="613"/>
      <c r="AU266" s="613"/>
      <c r="AV266" s="613"/>
      <c r="AW266" s="613"/>
      <c r="AX266" s="613"/>
      <c r="AY266" s="613"/>
      <c r="AZ266" s="613"/>
      <c r="BA266" s="613"/>
      <c r="BB266" s="613"/>
      <c r="BC266" s="613"/>
      <c r="BD266" s="613"/>
      <c r="BE266" s="613"/>
    </row>
    <row r="268" spans="2:57">
      <c r="B268" s="28" t="s">
        <v>126</v>
      </c>
      <c r="C268" s="28"/>
      <c r="D268" s="614"/>
      <c r="E268" s="30" t="s">
        <v>511</v>
      </c>
      <c r="F268" s="31" t="s">
        <v>3144</v>
      </c>
      <c r="G268" s="591"/>
      <c r="H268" s="33"/>
      <c r="I268" s="615"/>
      <c r="J268" s="35" t="s">
        <v>513</v>
      </c>
      <c r="K268" s="36" t="s">
        <v>511</v>
      </c>
      <c r="L268" s="516">
        <v>45248.554166666669</v>
      </c>
      <c r="M268" s="591"/>
      <c r="N268" s="591"/>
      <c r="O268" s="206"/>
      <c r="P268" s="205"/>
      <c r="Q268" s="616"/>
      <c r="R268" s="204"/>
      <c r="S268" s="617"/>
      <c r="T268" s="613"/>
      <c r="U268" s="613"/>
      <c r="V268" s="613"/>
      <c r="W268" s="613"/>
      <c r="X268" s="613"/>
      <c r="Y268" s="613"/>
      <c r="Z268" s="613"/>
      <c r="AA268" s="613"/>
      <c r="AB268" s="616"/>
      <c r="AC268" s="616"/>
      <c r="AD268" s="616"/>
      <c r="AE268" s="616"/>
      <c r="AF268" s="616"/>
      <c r="AG268" s="613"/>
      <c r="AH268" s="613"/>
      <c r="AI268" s="613"/>
      <c r="AJ268" s="613"/>
      <c r="AK268" s="613"/>
      <c r="AL268" s="613"/>
      <c r="AM268" s="613"/>
      <c r="AN268" s="613"/>
      <c r="AO268" s="613"/>
      <c r="AP268" s="613"/>
      <c r="AQ268" s="613"/>
      <c r="AR268" s="613"/>
      <c r="AS268" s="613"/>
      <c r="AT268" s="613"/>
      <c r="AU268" s="613"/>
      <c r="AV268" s="613"/>
      <c r="AW268" s="613"/>
      <c r="AX268" s="613"/>
      <c r="AY268" s="613"/>
      <c r="AZ268" s="613"/>
      <c r="BA268" s="613"/>
      <c r="BB268" s="613"/>
      <c r="BC268" s="613"/>
      <c r="BD268" s="613"/>
      <c r="BE268" s="613"/>
    </row>
    <row r="269" spans="2:57">
      <c r="B269" s="35" t="s">
        <v>514</v>
      </c>
      <c r="C269" s="35"/>
      <c r="D269" s="591"/>
      <c r="E269" s="36" t="s">
        <v>511</v>
      </c>
      <c r="F269" s="311" t="s">
        <v>3732</v>
      </c>
      <c r="G269" s="591"/>
      <c r="H269" s="33"/>
      <c r="I269" s="615"/>
      <c r="J269" s="35" t="s">
        <v>516</v>
      </c>
      <c r="K269" s="36" t="s">
        <v>511</v>
      </c>
      <c r="L269" s="516">
        <v>45250.086805555555</v>
      </c>
      <c r="M269" s="591"/>
      <c r="N269" s="591"/>
      <c r="O269" s="206"/>
      <c r="P269" s="205"/>
      <c r="Q269" s="616"/>
      <c r="R269" s="204"/>
      <c r="S269" s="617"/>
      <c r="T269" s="613"/>
      <c r="U269" s="613"/>
      <c r="V269" s="613"/>
      <c r="W269" s="613"/>
      <c r="X269" s="613"/>
      <c r="Y269" s="613"/>
      <c r="Z269" s="613"/>
      <c r="AA269" s="613"/>
      <c r="AB269" s="616"/>
      <c r="AC269" s="616"/>
      <c r="AD269" s="616"/>
      <c r="AE269" s="616"/>
      <c r="AF269" s="616"/>
      <c r="AG269" s="613"/>
      <c r="AH269" s="613"/>
      <c r="AI269" s="613"/>
      <c r="AJ269" s="613"/>
      <c r="AK269" s="613"/>
      <c r="AL269" s="613"/>
      <c r="AM269" s="613"/>
      <c r="AN269" s="613"/>
      <c r="AO269" s="613"/>
      <c r="AP269" s="613"/>
      <c r="AQ269" s="613"/>
      <c r="AR269" s="613"/>
      <c r="AS269" s="613"/>
      <c r="AT269" s="613"/>
      <c r="AU269" s="613"/>
      <c r="AV269" s="613"/>
      <c r="AW269" s="613"/>
      <c r="AX269" s="613"/>
      <c r="AY269" s="613"/>
      <c r="AZ269" s="613"/>
      <c r="BA269" s="613"/>
      <c r="BB269" s="613"/>
      <c r="BC269" s="613"/>
      <c r="BD269" s="613"/>
      <c r="BE269" s="613"/>
    </row>
    <row r="270" spans="2:57">
      <c r="B270" s="35" t="s">
        <v>517</v>
      </c>
      <c r="C270" s="35"/>
      <c r="D270" s="591"/>
      <c r="E270" s="36" t="s">
        <v>511</v>
      </c>
      <c r="F270" s="516">
        <v>45241.162499999999</v>
      </c>
      <c r="G270" s="591"/>
      <c r="H270" s="33"/>
      <c r="I270" s="615"/>
      <c r="J270" s="35" t="s">
        <v>518</v>
      </c>
      <c r="K270" s="36" t="s">
        <v>511</v>
      </c>
      <c r="L270" s="692">
        <v>82700</v>
      </c>
      <c r="M270" s="619" t="s">
        <v>519</v>
      </c>
      <c r="N270" s="619"/>
      <c r="O270" s="206"/>
      <c r="P270" s="205"/>
      <c r="Q270" s="616"/>
      <c r="R270" s="204"/>
      <c r="S270" s="617"/>
      <c r="T270" s="613"/>
      <c r="U270" s="613"/>
      <c r="V270" s="613"/>
      <c r="W270" s="613"/>
      <c r="X270" s="613"/>
      <c r="Y270" s="613"/>
      <c r="Z270" s="613"/>
      <c r="AA270" s="613"/>
      <c r="AB270" s="616"/>
      <c r="AC270" s="616"/>
      <c r="AD270" s="616"/>
      <c r="AE270" s="616"/>
      <c r="AF270" s="616"/>
      <c r="AG270" s="613"/>
      <c r="AH270" s="613"/>
      <c r="AI270" s="613"/>
      <c r="AJ270" s="613"/>
      <c r="AK270" s="613"/>
      <c r="AL270" s="613"/>
      <c r="AM270" s="613"/>
      <c r="AN270" s="613"/>
      <c r="AO270" s="613"/>
      <c r="AP270" s="613"/>
      <c r="AQ270" s="613"/>
      <c r="AR270" s="613"/>
      <c r="AS270" s="613"/>
      <c r="AT270" s="613"/>
      <c r="AU270" s="613"/>
      <c r="AV270" s="613"/>
      <c r="AW270" s="613"/>
      <c r="AX270" s="613"/>
      <c r="AY270" s="613"/>
      <c r="AZ270" s="613"/>
      <c r="BA270" s="613"/>
      <c r="BB270" s="613"/>
      <c r="BC270" s="613"/>
      <c r="BD270" s="613"/>
      <c r="BE270" s="613"/>
    </row>
    <row r="271" spans="2:57">
      <c r="B271" s="35" t="s">
        <v>520</v>
      </c>
      <c r="C271" s="35"/>
      <c r="D271" s="591"/>
      <c r="E271" s="36" t="s">
        <v>511</v>
      </c>
      <c r="F271" s="37" t="s">
        <v>20</v>
      </c>
      <c r="G271" s="591"/>
      <c r="H271" s="33"/>
      <c r="I271" s="615"/>
      <c r="J271" s="35" t="s">
        <v>521</v>
      </c>
      <c r="K271" s="36" t="s">
        <v>511</v>
      </c>
      <c r="L271" s="620" t="s">
        <v>3145</v>
      </c>
      <c r="M271" s="591"/>
      <c r="N271" s="591"/>
      <c r="O271" s="206"/>
      <c r="P271" s="616"/>
      <c r="Q271" s="616"/>
      <c r="R271" s="204"/>
      <c r="S271" s="617"/>
      <c r="T271" s="613"/>
      <c r="U271" s="613"/>
      <c r="V271" s="613"/>
      <c r="W271" s="613"/>
      <c r="X271" s="613"/>
      <c r="Y271" s="613"/>
      <c r="Z271" s="613"/>
      <c r="AA271" s="613"/>
      <c r="AB271" s="616"/>
      <c r="AC271" s="616"/>
      <c r="AD271" s="616"/>
      <c r="AE271" s="616"/>
      <c r="AF271" s="616"/>
      <c r="AG271" s="613"/>
      <c r="AH271" s="613"/>
      <c r="AI271" s="613"/>
      <c r="AJ271" s="613"/>
      <c r="AK271" s="613"/>
      <c r="AL271" s="613"/>
      <c r="AM271" s="613"/>
      <c r="AN271" s="613"/>
      <c r="AO271" s="613"/>
      <c r="AP271" s="613"/>
      <c r="AQ271" s="613"/>
      <c r="AR271" s="613"/>
      <c r="AS271" s="613"/>
      <c r="AT271" s="613"/>
      <c r="AU271" s="613"/>
      <c r="AV271" s="613"/>
      <c r="AW271" s="613"/>
      <c r="AX271" s="613"/>
      <c r="AY271" s="613"/>
      <c r="AZ271" s="613"/>
      <c r="BA271" s="613"/>
      <c r="BB271" s="613"/>
      <c r="BC271" s="613"/>
      <c r="BD271" s="613"/>
      <c r="BE271" s="613"/>
    </row>
    <row r="272" spans="2:57">
      <c r="B272" s="35" t="s">
        <v>523</v>
      </c>
      <c r="C272" s="35"/>
      <c r="D272" s="591"/>
      <c r="E272" s="36" t="s">
        <v>511</v>
      </c>
      <c r="F272" s="37" t="s">
        <v>47</v>
      </c>
      <c r="G272" s="591"/>
      <c r="H272" s="33"/>
      <c r="I272" s="615"/>
      <c r="J272" s="35" t="s">
        <v>524</v>
      </c>
      <c r="K272" s="36" t="s">
        <v>511</v>
      </c>
      <c r="L272" s="621" t="s">
        <v>11</v>
      </c>
      <c r="M272" s="611"/>
      <c r="N272" s="611"/>
      <c r="O272" s="206"/>
      <c r="P272" s="205"/>
      <c r="Q272" s="616"/>
      <c r="R272" s="204"/>
      <c r="S272" s="617"/>
      <c r="T272" s="613"/>
      <c r="U272" s="613"/>
      <c r="V272" s="613"/>
      <c r="W272" s="613"/>
      <c r="X272" s="613"/>
      <c r="Y272" s="613"/>
      <c r="Z272" s="613"/>
      <c r="AA272" s="613"/>
      <c r="AB272" s="616"/>
      <c r="AC272" s="616"/>
      <c r="AD272" s="616"/>
      <c r="AE272" s="616"/>
      <c r="AF272" s="616"/>
      <c r="AG272" s="613"/>
      <c r="AH272" s="613"/>
      <c r="AI272" s="613"/>
      <c r="AJ272" s="613"/>
      <c r="AK272" s="613"/>
      <c r="AL272" s="613"/>
      <c r="AM272" s="613"/>
      <c r="AN272" s="613"/>
      <c r="AO272" s="613"/>
      <c r="AP272" s="613"/>
      <c r="AQ272" s="613"/>
      <c r="AR272" s="613"/>
      <c r="AS272" s="613"/>
      <c r="AT272" s="613"/>
      <c r="AU272" s="613"/>
      <c r="AV272" s="613"/>
      <c r="AW272" s="613"/>
      <c r="AX272" s="613"/>
      <c r="AY272" s="613"/>
      <c r="AZ272" s="613"/>
      <c r="BA272" s="613"/>
      <c r="BB272" s="613"/>
      <c r="BC272" s="613"/>
      <c r="BD272" s="613"/>
      <c r="BE272" s="613"/>
    </row>
    <row r="273" spans="2:57">
      <c r="B273" s="35" t="s">
        <v>2</v>
      </c>
      <c r="C273" s="35"/>
      <c r="D273" s="591"/>
      <c r="E273" s="36" t="s">
        <v>511</v>
      </c>
      <c r="F273" s="37" t="s">
        <v>14</v>
      </c>
      <c r="G273" s="591"/>
      <c r="H273" s="33"/>
      <c r="I273" s="622"/>
      <c r="J273" s="35"/>
      <c r="K273" s="36"/>
      <c r="L273" s="211"/>
      <c r="M273" s="613"/>
      <c r="N273" s="613"/>
      <c r="O273" s="35"/>
      <c r="P273" s="611"/>
      <c r="Q273" s="611"/>
      <c r="R273" s="611"/>
      <c r="S273" s="615"/>
      <c r="T273" s="613"/>
      <c r="U273" s="613"/>
      <c r="V273" s="613"/>
      <c r="W273" s="613"/>
      <c r="X273" s="613"/>
      <c r="Y273" s="613"/>
      <c r="Z273" s="613"/>
      <c r="AA273" s="613"/>
      <c r="AB273" s="615"/>
      <c r="AC273" s="615"/>
      <c r="AD273" s="615"/>
      <c r="AE273" s="615"/>
      <c r="AF273" s="615"/>
      <c r="AG273" s="615"/>
      <c r="AH273" s="615"/>
      <c r="AI273" s="615"/>
      <c r="AJ273" s="615"/>
      <c r="AK273" s="615"/>
      <c r="AL273" s="615"/>
      <c r="AM273" s="615"/>
      <c r="AN273" s="615"/>
      <c r="AO273" s="613"/>
      <c r="AP273" s="613"/>
      <c r="AQ273" s="613"/>
      <c r="AR273" s="613"/>
      <c r="AS273" s="613"/>
      <c r="AT273" s="613"/>
      <c r="AU273" s="613"/>
      <c r="AV273" s="613"/>
      <c r="AW273" s="613"/>
      <c r="AX273" s="613"/>
      <c r="AY273" s="613"/>
      <c r="AZ273" s="613"/>
      <c r="BA273" s="613"/>
      <c r="BB273" s="613"/>
      <c r="BC273" s="613"/>
      <c r="BD273" s="613"/>
      <c r="BE273" s="613"/>
    </row>
    <row r="274" spans="2:57">
      <c r="B274" s="613"/>
      <c r="C274" s="613"/>
      <c r="D274" s="613"/>
      <c r="E274" s="613"/>
      <c r="F274" s="613"/>
      <c r="G274" s="613"/>
      <c r="H274" s="613"/>
      <c r="I274" s="622"/>
      <c r="J274" s="35"/>
      <c r="K274" s="35"/>
      <c r="L274" s="621"/>
      <c r="M274" s="611"/>
      <c r="N274" s="611"/>
      <c r="O274" s="35"/>
      <c r="P274" s="611"/>
      <c r="Q274" s="611"/>
      <c r="R274" s="611"/>
      <c r="S274" s="615"/>
      <c r="T274" s="1317" t="s">
        <v>87</v>
      </c>
      <c r="U274" s="1317"/>
      <c r="V274" s="1317"/>
      <c r="W274" s="1317"/>
      <c r="X274" s="1317"/>
      <c r="Y274" s="1317" t="s">
        <v>73</v>
      </c>
      <c r="Z274" s="1317"/>
      <c r="AA274" s="1317"/>
      <c r="AB274" s="1317" t="s">
        <v>74</v>
      </c>
      <c r="AC274" s="1317"/>
      <c r="AD274" s="623" t="s">
        <v>85</v>
      </c>
      <c r="AE274" s="854" t="s">
        <v>77</v>
      </c>
      <c r="AF274" s="1459" t="s">
        <v>525</v>
      </c>
      <c r="AG274" s="1459"/>
      <c r="AH274" s="1459"/>
      <c r="AI274" s="1459"/>
      <c r="AJ274" s="1459"/>
      <c r="AK274" s="1459"/>
      <c r="AL274" s="1459"/>
      <c r="AM274" s="1459"/>
      <c r="AN274" s="1459"/>
      <c r="AO274" s="1459"/>
      <c r="AP274" s="1459"/>
      <c r="AQ274" s="1459"/>
      <c r="AR274" s="1459"/>
      <c r="AS274" s="1459"/>
      <c r="AT274" s="1459"/>
      <c r="AU274" s="1459"/>
      <c r="AV274" s="1459"/>
      <c r="AW274" s="1459"/>
      <c r="AX274" s="1459"/>
      <c r="AY274" s="1459"/>
      <c r="AZ274" s="1459"/>
      <c r="BA274" s="1459"/>
      <c r="BB274" s="1459"/>
      <c r="BC274" s="1459"/>
      <c r="BD274" s="1459"/>
      <c r="BE274" s="613"/>
    </row>
    <row r="275" spans="2:57">
      <c r="B275" s="1318" t="s">
        <v>526</v>
      </c>
      <c r="C275" s="1319"/>
      <c r="D275" s="624" t="s">
        <v>527</v>
      </c>
      <c r="E275" s="624"/>
      <c r="F275" s="624" t="s">
        <v>528</v>
      </c>
      <c r="G275" s="624" t="s">
        <v>529</v>
      </c>
      <c r="H275" s="624" t="s">
        <v>530</v>
      </c>
      <c r="I275" s="624" t="s">
        <v>531</v>
      </c>
      <c r="J275" s="624" t="s">
        <v>532</v>
      </c>
      <c r="K275" s="624"/>
      <c r="L275" s="624" t="s">
        <v>130</v>
      </c>
      <c r="M275" s="624" t="s">
        <v>533</v>
      </c>
      <c r="N275" s="625" t="str">
        <f>"On time - "&amp;COUNTIF(N276:N288,"On time")&amp;" from "&amp;ROWS(N276:N288)-COUNTIF(N276:N288," ")</f>
        <v>On time - 0 from 11</v>
      </c>
      <c r="O275" s="626"/>
      <c r="P275" s="627" t="s">
        <v>534</v>
      </c>
      <c r="Q275" s="627" t="s">
        <v>535</v>
      </c>
      <c r="R275" s="627" t="s">
        <v>536</v>
      </c>
      <c r="S275" s="591"/>
      <c r="T275" s="628" t="s">
        <v>537</v>
      </c>
      <c r="U275" s="628" t="s">
        <v>538</v>
      </c>
      <c r="V275" s="628" t="s">
        <v>539</v>
      </c>
      <c r="W275" s="628" t="s">
        <v>540</v>
      </c>
      <c r="X275" s="628" t="s">
        <v>541</v>
      </c>
      <c r="Y275" s="628" t="s">
        <v>167</v>
      </c>
      <c r="Z275" s="628" t="s">
        <v>168</v>
      </c>
      <c r="AA275" s="628" t="s">
        <v>169</v>
      </c>
      <c r="AB275" s="628" t="s">
        <v>235</v>
      </c>
      <c r="AC275" s="628" t="s">
        <v>240</v>
      </c>
      <c r="AD275" s="623" t="s">
        <v>85</v>
      </c>
      <c r="AE275" s="628" t="s">
        <v>139</v>
      </c>
      <c r="AF275" s="855" t="s">
        <v>72</v>
      </c>
      <c r="AG275" s="855" t="s">
        <v>88</v>
      </c>
      <c r="AH275" s="855" t="s">
        <v>75</v>
      </c>
      <c r="AI275" s="855" t="s">
        <v>543</v>
      </c>
      <c r="AJ275" s="855" t="s">
        <v>78</v>
      </c>
      <c r="AK275" s="855" t="s">
        <v>76</v>
      </c>
      <c r="AL275" s="855" t="s">
        <v>544</v>
      </c>
      <c r="AM275" s="855" t="s">
        <v>545</v>
      </c>
      <c r="AN275" s="855" t="s">
        <v>86</v>
      </c>
      <c r="AO275" s="855" t="s">
        <v>83</v>
      </c>
      <c r="AP275" s="855" t="s">
        <v>84</v>
      </c>
      <c r="AQ275" s="855" t="s">
        <v>546</v>
      </c>
      <c r="AR275" s="855" t="s">
        <v>81</v>
      </c>
      <c r="AS275" s="855" t="s">
        <v>80</v>
      </c>
      <c r="AT275" s="855" t="s">
        <v>82</v>
      </c>
      <c r="AU275" s="855" t="s">
        <v>181</v>
      </c>
      <c r="AV275" s="855" t="s">
        <v>183</v>
      </c>
      <c r="AW275" s="855" t="s">
        <v>547</v>
      </c>
      <c r="AX275" s="855" t="s">
        <v>182</v>
      </c>
      <c r="AY275" s="855" t="s">
        <v>172</v>
      </c>
      <c r="AZ275" s="855" t="s">
        <v>173</v>
      </c>
      <c r="BA275" s="855" t="s">
        <v>184</v>
      </c>
      <c r="BB275" s="855" t="s">
        <v>100</v>
      </c>
      <c r="BC275" s="855" t="s">
        <v>913</v>
      </c>
      <c r="BD275" s="855" t="s">
        <v>2747</v>
      </c>
      <c r="BE275" s="613"/>
    </row>
    <row r="276" spans="2:57">
      <c r="B276" s="1326" t="s">
        <v>548</v>
      </c>
      <c r="C276" s="1327"/>
      <c r="D276" s="501" t="s">
        <v>3670</v>
      </c>
      <c r="E276" s="501"/>
      <c r="F276" s="501" t="s">
        <v>334</v>
      </c>
      <c r="G276" s="501" t="s">
        <v>335</v>
      </c>
      <c r="H276" s="629">
        <v>5871.8829999999998</v>
      </c>
      <c r="I276" s="505" t="s">
        <v>1968</v>
      </c>
      <c r="J276" s="504">
        <v>45243.708333333336</v>
      </c>
      <c r="K276" s="504"/>
      <c r="L276" s="504" t="s">
        <v>192</v>
      </c>
      <c r="M276" s="504" t="s">
        <v>192</v>
      </c>
      <c r="N276" s="505" t="str">
        <f t="shared" ref="N276:N288" si="21">IF(ISBLANK(J276)," ",IF(J276&lt;$F$270,"On time",(IF(DAY(J276-$F$270)&lt;1,"On time",(IF(J276&gt;$F$270,"DELAY ( "&amp;DAY(J276-$F$270)&amp;" day "&amp;HOUR(J276-$F$270)&amp;" hour "&amp;MINUTE(J276-$F$270)&amp;" minute )","xxx"))))))</f>
        <v>DELAY ( 2 day 13 hour 6 minute )</v>
      </c>
      <c r="O276" s="597"/>
      <c r="P276" s="507" t="s">
        <v>551</v>
      </c>
      <c r="Q276" s="507" t="s">
        <v>551</v>
      </c>
      <c r="R276" s="507" t="s">
        <v>551</v>
      </c>
      <c r="S276" s="598"/>
      <c r="T276" s="599"/>
      <c r="U276" s="599"/>
      <c r="V276" s="599"/>
      <c r="W276" s="599"/>
      <c r="X276" s="599"/>
      <c r="Y276" s="599">
        <f>(H276*0.8)</f>
        <v>4697.5064000000002</v>
      </c>
      <c r="Z276" s="599">
        <f>(H276*0.2)</f>
        <v>1174.3766000000001</v>
      </c>
      <c r="AA276" s="599"/>
      <c r="AB276" s="599"/>
      <c r="AC276" s="599"/>
      <c r="AD276" s="599"/>
      <c r="AE276" s="599"/>
      <c r="AF276" s="599"/>
      <c r="AG276" s="599"/>
      <c r="AH276" s="599"/>
      <c r="AI276" s="599"/>
      <c r="AJ276" s="599"/>
      <c r="AK276" s="599"/>
      <c r="AL276" s="599"/>
      <c r="AM276" s="599"/>
      <c r="AN276" s="599"/>
      <c r="AO276" s="599"/>
      <c r="AP276" s="599"/>
      <c r="AQ276" s="599"/>
      <c r="AR276" s="599"/>
      <c r="AS276" s="599"/>
      <c r="AT276" s="599"/>
      <c r="AU276" s="599"/>
      <c r="AV276" s="599"/>
      <c r="AW276" s="599"/>
      <c r="AX276" s="599"/>
      <c r="AY276" s="599"/>
      <c r="AZ276" s="599"/>
      <c r="BA276" s="599"/>
      <c r="BB276" s="599"/>
      <c r="BC276" s="599"/>
      <c r="BD276" s="599"/>
      <c r="BE276" s="598"/>
    </row>
    <row r="277" spans="2:57">
      <c r="B277" s="1326" t="s">
        <v>548</v>
      </c>
      <c r="C277" s="1327"/>
      <c r="D277" s="501" t="s">
        <v>3511</v>
      </c>
      <c r="E277" s="501"/>
      <c r="F277" s="501" t="s">
        <v>201</v>
      </c>
      <c r="G277" s="501" t="s">
        <v>202</v>
      </c>
      <c r="H277" s="629">
        <v>7500.4960000000001</v>
      </c>
      <c r="I277" s="505" t="s">
        <v>235</v>
      </c>
      <c r="J277" s="504">
        <v>45245.423611111109</v>
      </c>
      <c r="K277" s="504"/>
      <c r="L277" s="504" t="s">
        <v>192</v>
      </c>
      <c r="M277" s="504" t="s">
        <v>192</v>
      </c>
      <c r="N277" s="505" t="str">
        <f t="shared" si="21"/>
        <v>DELAY ( 4 day 6 hour 16 minute )</v>
      </c>
      <c r="O277" s="597"/>
      <c r="P277" s="507" t="s">
        <v>551</v>
      </c>
      <c r="Q277" s="507" t="s">
        <v>551</v>
      </c>
      <c r="R277" s="507" t="s">
        <v>551</v>
      </c>
      <c r="S277" s="598"/>
      <c r="T277" s="599"/>
      <c r="U277" s="599"/>
      <c r="V277" s="599"/>
      <c r="W277" s="599"/>
      <c r="X277" s="599"/>
      <c r="Y277" s="599"/>
      <c r="Z277" s="599"/>
      <c r="AA277" s="599"/>
      <c r="AB277" s="599">
        <f>H277</f>
        <v>7500.4960000000001</v>
      </c>
      <c r="AC277" s="599"/>
      <c r="AD277" s="599"/>
      <c r="AE277" s="599"/>
      <c r="AF277" s="599"/>
      <c r="AG277" s="599"/>
      <c r="AH277" s="599"/>
      <c r="AI277" s="599"/>
      <c r="AJ277" s="599"/>
      <c r="AK277" s="599"/>
      <c r="AL277" s="599"/>
      <c r="AM277" s="599"/>
      <c r="AN277" s="599"/>
      <c r="AO277" s="599"/>
      <c r="AP277" s="599"/>
      <c r="AQ277" s="599"/>
      <c r="AR277" s="599"/>
      <c r="AS277" s="599"/>
      <c r="AT277" s="599"/>
      <c r="AU277" s="599"/>
      <c r="AV277" s="599"/>
      <c r="AW277" s="599"/>
      <c r="AX277" s="599"/>
      <c r="AY277" s="599"/>
      <c r="AZ277" s="598"/>
      <c r="BA277" s="599"/>
      <c r="BB277" s="599"/>
      <c r="BC277" s="599"/>
      <c r="BD277" s="599"/>
      <c r="BE277" s="598"/>
    </row>
    <row r="278" spans="2:57">
      <c r="B278" s="1326" t="s">
        <v>548</v>
      </c>
      <c r="C278" s="1327"/>
      <c r="D278" s="501" t="s">
        <v>3611</v>
      </c>
      <c r="E278" s="501"/>
      <c r="F278" s="501" t="s">
        <v>1392</v>
      </c>
      <c r="G278" s="501" t="s">
        <v>365</v>
      </c>
      <c r="H278" s="629">
        <v>7500</v>
      </c>
      <c r="I278" s="505" t="s">
        <v>76</v>
      </c>
      <c r="J278" s="504">
        <v>45246.5</v>
      </c>
      <c r="K278" s="504"/>
      <c r="L278" s="504" t="s">
        <v>192</v>
      </c>
      <c r="M278" s="504" t="s">
        <v>192</v>
      </c>
      <c r="N278" s="505" t="str">
        <f t="shared" si="21"/>
        <v>DELAY ( 5 day 8 hour 6 minute )</v>
      </c>
      <c r="O278" s="597"/>
      <c r="P278" s="507" t="s">
        <v>551</v>
      </c>
      <c r="Q278" s="507" t="s">
        <v>551</v>
      </c>
      <c r="R278" s="507" t="s">
        <v>551</v>
      </c>
      <c r="S278" s="598"/>
      <c r="T278" s="599"/>
      <c r="U278" s="599"/>
      <c r="V278" s="599"/>
      <c r="W278" s="599"/>
      <c r="X278" s="599"/>
      <c r="Y278" s="599"/>
      <c r="Z278" s="599"/>
      <c r="AA278" s="599"/>
      <c r="AB278" s="599"/>
      <c r="AC278" s="599"/>
      <c r="AD278" s="599"/>
      <c r="AE278" s="599"/>
      <c r="AF278" s="599"/>
      <c r="AG278" s="599"/>
      <c r="AH278" s="599"/>
      <c r="AI278" s="599"/>
      <c r="AJ278" s="599"/>
      <c r="AK278" s="599">
        <f>H278</f>
        <v>7500</v>
      </c>
      <c r="AL278" s="599"/>
      <c r="AM278" s="599"/>
      <c r="AN278" s="599"/>
      <c r="AO278" s="599"/>
      <c r="AP278" s="598"/>
      <c r="AQ278" s="599"/>
      <c r="AR278" s="599"/>
      <c r="AS278" s="599"/>
      <c r="AT278" s="599"/>
      <c r="AU278" s="599"/>
      <c r="AV278" s="599"/>
      <c r="AW278" s="599"/>
      <c r="AX278" s="599"/>
      <c r="AY278" s="598"/>
      <c r="AZ278" s="599"/>
      <c r="BA278" s="599"/>
      <c r="BB278" s="599"/>
      <c r="BC278" s="599"/>
      <c r="BD278" s="599"/>
      <c r="BE278" s="598"/>
    </row>
    <row r="279" spans="2:57">
      <c r="B279" s="1326" t="s">
        <v>548</v>
      </c>
      <c r="C279" s="1327"/>
      <c r="D279" s="501" t="s">
        <v>3514</v>
      </c>
      <c r="E279" s="501"/>
      <c r="F279" s="501" t="s">
        <v>218</v>
      </c>
      <c r="G279" s="501" t="s">
        <v>350</v>
      </c>
      <c r="H279" s="629">
        <v>7545.5169999999998</v>
      </c>
      <c r="I279" s="505" t="s">
        <v>235</v>
      </c>
      <c r="J279" s="504">
        <v>45246.916666666664</v>
      </c>
      <c r="K279" s="504"/>
      <c r="L279" s="504" t="s">
        <v>192</v>
      </c>
      <c r="M279" s="504" t="s">
        <v>192</v>
      </c>
      <c r="N279" s="505" t="str">
        <f t="shared" si="21"/>
        <v>DELAY ( 5 day 18 hour 6 minute )</v>
      </c>
      <c r="O279" s="597"/>
      <c r="P279" s="507" t="s">
        <v>551</v>
      </c>
      <c r="Q279" s="507" t="s">
        <v>551</v>
      </c>
      <c r="R279" s="507" t="s">
        <v>551</v>
      </c>
      <c r="S279" s="598"/>
      <c r="T279" s="599"/>
      <c r="U279" s="599"/>
      <c r="V279" s="599"/>
      <c r="W279" s="599"/>
      <c r="X279" s="599"/>
      <c r="Y279" s="599"/>
      <c r="Z279" s="599"/>
      <c r="AA279" s="599"/>
      <c r="AB279" s="599">
        <f>H279</f>
        <v>7545.5169999999998</v>
      </c>
      <c r="AC279" s="599"/>
      <c r="AD279" s="599"/>
      <c r="AE279" s="599"/>
      <c r="AF279" s="599"/>
      <c r="AG279" s="599"/>
      <c r="AH279" s="599"/>
      <c r="AI279" s="599"/>
      <c r="AJ279" s="599"/>
      <c r="AK279" s="599"/>
      <c r="AL279" s="599"/>
      <c r="AM279" s="599"/>
      <c r="AN279" s="599"/>
      <c r="AO279" s="599"/>
      <c r="AP279" s="598"/>
      <c r="AQ279" s="599"/>
      <c r="AR279" s="599"/>
      <c r="AS279" s="599"/>
      <c r="AT279" s="599"/>
      <c r="AU279" s="599"/>
      <c r="AV279" s="599"/>
      <c r="AW279" s="599"/>
      <c r="AX279" s="599"/>
      <c r="AY279" s="599"/>
      <c r="AZ279" s="599"/>
      <c r="BA279" s="599"/>
      <c r="BB279" s="599"/>
      <c r="BC279" s="599"/>
      <c r="BD279" s="599"/>
      <c r="BE279" s="598"/>
    </row>
    <row r="280" spans="2:57">
      <c r="B280" s="1326" t="s">
        <v>548</v>
      </c>
      <c r="C280" s="1327"/>
      <c r="D280" s="501" t="s">
        <v>3673</v>
      </c>
      <c r="E280" s="501"/>
      <c r="F280" s="501" t="s">
        <v>70</v>
      </c>
      <c r="G280" s="874" t="s">
        <v>1982</v>
      </c>
      <c r="H280" s="629">
        <v>7558.02</v>
      </c>
      <c r="I280" s="505" t="s">
        <v>1372</v>
      </c>
      <c r="J280" s="504">
        <v>45247.010416666664</v>
      </c>
      <c r="K280" s="504"/>
      <c r="L280" s="504" t="s">
        <v>192</v>
      </c>
      <c r="M280" s="504" t="s">
        <v>192</v>
      </c>
      <c r="N280" s="505" t="str">
        <f t="shared" si="21"/>
        <v>DELAY ( 5 day 20 hour 21 minute )</v>
      </c>
      <c r="O280" s="597"/>
      <c r="P280" s="507" t="s">
        <v>551</v>
      </c>
      <c r="Q280" s="507" t="s">
        <v>551</v>
      </c>
      <c r="R280" s="507" t="s">
        <v>551</v>
      </c>
      <c r="S280" s="598"/>
      <c r="T280" s="599"/>
      <c r="U280" s="599"/>
      <c r="V280" s="599"/>
      <c r="W280" s="599"/>
      <c r="X280" s="599"/>
      <c r="Y280" s="599">
        <f>H280*0.75</f>
        <v>5668.5150000000003</v>
      </c>
      <c r="Z280" s="599">
        <f>(H280*0.25)</f>
        <v>1889.5050000000001</v>
      </c>
      <c r="AA280" s="599"/>
      <c r="AB280" s="599"/>
      <c r="AC280" s="599"/>
      <c r="AD280" s="599"/>
      <c r="AE280" s="599"/>
      <c r="AF280" s="599"/>
      <c r="AG280" s="599"/>
      <c r="AH280" s="599"/>
      <c r="AI280" s="599"/>
      <c r="AJ280" s="599"/>
      <c r="AK280" s="599"/>
      <c r="AL280" s="599"/>
      <c r="AM280" s="599"/>
      <c r="AN280" s="599"/>
      <c r="AO280" s="599"/>
      <c r="AP280" s="598"/>
      <c r="AQ280" s="599"/>
      <c r="AR280" s="599"/>
      <c r="AS280" s="599"/>
      <c r="AT280" s="599"/>
      <c r="AU280" s="599"/>
      <c r="AV280" s="599"/>
      <c r="AW280" s="599"/>
      <c r="AX280" s="599"/>
      <c r="AY280" s="599"/>
      <c r="AZ280" s="599"/>
      <c r="BA280" s="599"/>
      <c r="BB280" s="599"/>
      <c r="BC280" s="599"/>
      <c r="BD280" s="599"/>
      <c r="BE280" s="598"/>
    </row>
    <row r="281" spans="2:57">
      <c r="B281" s="1326" t="s">
        <v>548</v>
      </c>
      <c r="C281" s="1327"/>
      <c r="D281" s="501" t="s">
        <v>3677</v>
      </c>
      <c r="E281" s="501"/>
      <c r="F281" s="501" t="s">
        <v>252</v>
      </c>
      <c r="G281" s="501" t="s">
        <v>253</v>
      </c>
      <c r="H281" s="629">
        <v>7441.3950000000004</v>
      </c>
      <c r="I281" s="505" t="s">
        <v>1372</v>
      </c>
      <c r="J281" s="504">
        <v>45247.003472222219</v>
      </c>
      <c r="K281" s="504"/>
      <c r="L281" s="504" t="s">
        <v>192</v>
      </c>
      <c r="M281" s="504" t="s">
        <v>192</v>
      </c>
      <c r="N281" s="505" t="str">
        <f t="shared" si="21"/>
        <v>DELAY ( 5 day 20 hour 11 minute )</v>
      </c>
      <c r="O281" s="597"/>
      <c r="P281" s="507" t="s">
        <v>551</v>
      </c>
      <c r="Q281" s="507" t="s">
        <v>551</v>
      </c>
      <c r="R281" s="507" t="s">
        <v>551</v>
      </c>
      <c r="S281" s="598"/>
      <c r="T281" s="599"/>
      <c r="U281" s="599"/>
      <c r="V281" s="599"/>
      <c r="W281" s="599"/>
      <c r="X281" s="599"/>
      <c r="Y281" s="599">
        <f t="shared" ref="Y281" si="22">H281*0.75</f>
        <v>5581.0462500000003</v>
      </c>
      <c r="Z281" s="599">
        <f t="shared" ref="Z281" si="23">(H281*0.25)</f>
        <v>1860.3487500000001</v>
      </c>
      <c r="AA281" s="599"/>
      <c r="AB281" s="599"/>
      <c r="AC281" s="599"/>
      <c r="AD281" s="599"/>
      <c r="AE281" s="599"/>
      <c r="AF281" s="599"/>
      <c r="AG281" s="599"/>
      <c r="AH281" s="599"/>
      <c r="AI281" s="599"/>
      <c r="AJ281" s="599"/>
      <c r="AK281" s="599"/>
      <c r="AL281" s="599"/>
      <c r="AM281" s="599"/>
      <c r="AN281" s="599"/>
      <c r="AO281" s="599"/>
      <c r="AP281" s="599"/>
      <c r="AQ281" s="599"/>
      <c r="AR281" s="599"/>
      <c r="AS281" s="599"/>
      <c r="AT281" s="599"/>
      <c r="AU281" s="599"/>
      <c r="AV281" s="599"/>
      <c r="AW281" s="599"/>
      <c r="AX281" s="599"/>
      <c r="AY281" s="599"/>
      <c r="AZ281" s="599"/>
      <c r="BA281" s="599"/>
      <c r="BB281" s="599"/>
      <c r="BC281" s="599"/>
      <c r="BD281" s="599"/>
      <c r="BE281" s="598"/>
    </row>
    <row r="282" spans="2:57">
      <c r="B282" s="1326" t="s">
        <v>548</v>
      </c>
      <c r="C282" s="1327"/>
      <c r="D282" s="501" t="s">
        <v>3672</v>
      </c>
      <c r="E282" s="501"/>
      <c r="F282" s="501" t="s">
        <v>2388</v>
      </c>
      <c r="G282" s="501" t="s">
        <v>289</v>
      </c>
      <c r="H282" s="629">
        <v>7483.6639999999998</v>
      </c>
      <c r="I282" s="505" t="s">
        <v>1372</v>
      </c>
      <c r="J282" s="504">
        <v>45246.923611111109</v>
      </c>
      <c r="K282" s="504"/>
      <c r="L282" s="504" t="s">
        <v>192</v>
      </c>
      <c r="M282" s="504" t="s">
        <v>192</v>
      </c>
      <c r="N282" s="505" t="str">
        <f t="shared" si="21"/>
        <v>DELAY ( 5 day 18 hour 16 minute )</v>
      </c>
      <c r="O282" s="597"/>
      <c r="P282" s="507" t="s">
        <v>551</v>
      </c>
      <c r="Q282" s="507" t="s">
        <v>551</v>
      </c>
      <c r="R282" s="507" t="s">
        <v>551</v>
      </c>
      <c r="S282" s="598"/>
      <c r="T282" s="599"/>
      <c r="U282" s="599"/>
      <c r="V282" s="599"/>
      <c r="W282" s="599"/>
      <c r="X282" s="599"/>
      <c r="Y282" s="599">
        <f>H282*0.75</f>
        <v>5612.7479999999996</v>
      </c>
      <c r="Z282" s="599">
        <f>(H282*0.25)</f>
        <v>1870.9159999999999</v>
      </c>
      <c r="AA282" s="599"/>
      <c r="AB282" s="599"/>
      <c r="AC282" s="599"/>
      <c r="AD282" s="599"/>
      <c r="AE282" s="599"/>
      <c r="AF282" s="599"/>
      <c r="AG282" s="599"/>
      <c r="AH282" s="599"/>
      <c r="AI282" s="599"/>
      <c r="AJ282" s="599"/>
      <c r="AK282" s="599"/>
      <c r="AL282" s="599"/>
      <c r="AM282" s="599"/>
      <c r="AN282" s="599"/>
      <c r="AO282" s="599"/>
      <c r="AP282" s="599"/>
      <c r="AQ282" s="599"/>
      <c r="AR282" s="599"/>
      <c r="AS282" s="599"/>
      <c r="AT282" s="599"/>
      <c r="AU282" s="599"/>
      <c r="AV282" s="599"/>
      <c r="AW282" s="599"/>
      <c r="AX282" s="599"/>
      <c r="AY282" s="599"/>
      <c r="AZ282" s="599"/>
      <c r="BA282" s="599"/>
      <c r="BB282" s="599"/>
      <c r="BC282" s="599"/>
      <c r="BD282" s="599"/>
      <c r="BE282" s="598"/>
    </row>
    <row r="283" spans="2:57">
      <c r="B283" s="1326" t="s">
        <v>548</v>
      </c>
      <c r="C283" s="1327"/>
      <c r="D283" s="501" t="s">
        <v>3678</v>
      </c>
      <c r="E283" s="501"/>
      <c r="F283" s="501" t="s">
        <v>298</v>
      </c>
      <c r="G283" s="501" t="s">
        <v>299</v>
      </c>
      <c r="H283" s="629">
        <v>9350.7759999999998</v>
      </c>
      <c r="I283" s="505" t="s">
        <v>1372</v>
      </c>
      <c r="J283" s="504">
        <v>45247.888888888891</v>
      </c>
      <c r="K283" s="504"/>
      <c r="L283" s="504" t="s">
        <v>192</v>
      </c>
      <c r="M283" s="504" t="s">
        <v>192</v>
      </c>
      <c r="N283" s="505" t="str">
        <f t="shared" si="21"/>
        <v>DELAY ( 6 day 17 hour 26 minute )</v>
      </c>
      <c r="O283" s="597"/>
      <c r="P283" s="507" t="s">
        <v>551</v>
      </c>
      <c r="Q283" s="507" t="s">
        <v>551</v>
      </c>
      <c r="R283" s="507" t="s">
        <v>551</v>
      </c>
      <c r="S283" s="598"/>
      <c r="T283" s="599"/>
      <c r="U283" s="599"/>
      <c r="V283" s="599"/>
      <c r="W283" s="599"/>
      <c r="X283" s="599"/>
      <c r="Y283" s="599">
        <f>H283*0.75</f>
        <v>7013.0820000000003</v>
      </c>
      <c r="Z283" s="599">
        <f>(H283*0.25)</f>
        <v>2337.694</v>
      </c>
      <c r="AA283" s="599"/>
      <c r="AB283" s="599"/>
      <c r="AC283" s="599"/>
      <c r="AD283" s="599"/>
      <c r="AE283" s="599"/>
      <c r="AF283" s="599"/>
      <c r="AG283" s="599"/>
      <c r="AH283" s="599"/>
      <c r="AI283" s="599"/>
      <c r="AJ283" s="599"/>
      <c r="AK283" s="599"/>
      <c r="AL283" s="599"/>
      <c r="AM283" s="599"/>
      <c r="AN283" s="599"/>
      <c r="AO283" s="599"/>
      <c r="AP283" s="598"/>
      <c r="AQ283" s="599"/>
      <c r="AR283" s="599"/>
      <c r="AS283" s="599"/>
      <c r="AT283" s="599"/>
      <c r="AU283" s="599"/>
      <c r="AV283" s="599"/>
      <c r="AW283" s="599"/>
      <c r="AX283" s="599"/>
      <c r="AY283" s="599"/>
      <c r="AZ283" s="599"/>
      <c r="BA283" s="599"/>
      <c r="BB283" s="599"/>
      <c r="BC283" s="599"/>
      <c r="BD283" s="599"/>
      <c r="BE283" s="598"/>
    </row>
    <row r="284" spans="2:57">
      <c r="B284" s="1326" t="s">
        <v>548</v>
      </c>
      <c r="C284" s="1327"/>
      <c r="D284" s="501" t="s">
        <v>3515</v>
      </c>
      <c r="E284" s="501"/>
      <c r="F284" s="501" t="s">
        <v>339</v>
      </c>
      <c r="G284" s="501" t="s">
        <v>506</v>
      </c>
      <c r="H284" s="629">
        <v>7500.3239999999996</v>
      </c>
      <c r="I284" s="505" t="s">
        <v>581</v>
      </c>
      <c r="J284" s="504">
        <v>45247.90625</v>
      </c>
      <c r="K284" s="504"/>
      <c r="L284" s="504" t="s">
        <v>192</v>
      </c>
      <c r="M284" s="504" t="s">
        <v>192</v>
      </c>
      <c r="N284" s="505" t="str">
        <f t="shared" si="21"/>
        <v>DELAY ( 6 day 17 hour 51 minute )</v>
      </c>
      <c r="O284" s="597"/>
      <c r="P284" s="507" t="s">
        <v>551</v>
      </c>
      <c r="Q284" s="507" t="s">
        <v>551</v>
      </c>
      <c r="R284" s="507" t="s">
        <v>551</v>
      </c>
      <c r="S284" s="598"/>
      <c r="T284" s="599"/>
      <c r="U284" s="599"/>
      <c r="V284" s="599"/>
      <c r="W284" s="599"/>
      <c r="X284" s="599"/>
      <c r="Y284" s="599"/>
      <c r="Z284" s="599"/>
      <c r="AA284" s="599"/>
      <c r="AB284" s="599">
        <f>H284*0.8</f>
        <v>6000.2592000000004</v>
      </c>
      <c r="AC284" s="599">
        <f>H284*0.2</f>
        <v>1500.0648000000001</v>
      </c>
      <c r="AD284" s="599"/>
      <c r="AE284" s="599"/>
      <c r="AF284" s="599"/>
      <c r="AG284" s="599"/>
      <c r="AH284" s="599"/>
      <c r="AI284" s="599"/>
      <c r="AJ284" s="599"/>
      <c r="AK284" s="599"/>
      <c r="AL284" s="599"/>
      <c r="AM284" s="599"/>
      <c r="AN284" s="599"/>
      <c r="AO284" s="599"/>
      <c r="AP284" s="599"/>
      <c r="AQ284" s="599"/>
      <c r="AR284" s="599"/>
      <c r="AS284" s="599"/>
      <c r="AT284" s="599"/>
      <c r="AU284" s="599"/>
      <c r="AV284" s="599"/>
      <c r="AW284" s="599"/>
      <c r="AX284" s="599"/>
      <c r="AY284" s="599"/>
      <c r="AZ284" s="599"/>
      <c r="BA284" s="599"/>
      <c r="BB284" s="599"/>
      <c r="BC284" s="599"/>
      <c r="BD284" s="599"/>
      <c r="BE284" s="598"/>
    </row>
    <row r="285" spans="2:57">
      <c r="B285" s="1326" t="s">
        <v>548</v>
      </c>
      <c r="C285" s="1327"/>
      <c r="D285" s="501" t="s">
        <v>3675</v>
      </c>
      <c r="E285" s="501"/>
      <c r="F285" s="748" t="s">
        <v>3403</v>
      </c>
      <c r="G285" s="875" t="s">
        <v>255</v>
      </c>
      <c r="H285" s="629">
        <v>7627.6589999999997</v>
      </c>
      <c r="I285" s="505" t="s">
        <v>1372</v>
      </c>
      <c r="J285" s="504">
        <v>45248.083333333336</v>
      </c>
      <c r="K285" s="504"/>
      <c r="L285" s="504" t="s">
        <v>192</v>
      </c>
      <c r="M285" s="504" t="s">
        <v>192</v>
      </c>
      <c r="N285" s="505" t="str">
        <f t="shared" si="21"/>
        <v>DELAY ( 6 day 22 hour 6 minute )</v>
      </c>
      <c r="O285" s="597"/>
      <c r="P285" s="507" t="s">
        <v>551</v>
      </c>
      <c r="Q285" s="507" t="s">
        <v>551</v>
      </c>
      <c r="R285" s="507" t="s">
        <v>551</v>
      </c>
      <c r="S285" s="598"/>
      <c r="T285" s="599"/>
      <c r="U285" s="599"/>
      <c r="V285" s="599"/>
      <c r="W285" s="599"/>
      <c r="X285" s="599"/>
      <c r="Y285" s="599">
        <f>H285*0.75</f>
        <v>5720.7442499999997</v>
      </c>
      <c r="Z285" s="599">
        <f>(H285*0.25)</f>
        <v>1906.9147499999999</v>
      </c>
      <c r="AA285" s="599"/>
      <c r="AB285" s="599"/>
      <c r="AC285" s="599"/>
      <c r="AD285" s="599"/>
      <c r="AE285" s="599"/>
      <c r="AF285" s="599"/>
      <c r="AG285" s="599"/>
      <c r="AH285" s="599"/>
      <c r="AI285" s="599"/>
      <c r="AJ285" s="599"/>
      <c r="AK285" s="599"/>
      <c r="AL285" s="599"/>
      <c r="AM285" s="599"/>
      <c r="AN285" s="599"/>
      <c r="AO285" s="599"/>
      <c r="AP285" s="599"/>
      <c r="AQ285" s="599"/>
      <c r="AR285" s="599"/>
      <c r="AS285" s="599"/>
      <c r="AT285" s="599"/>
      <c r="AU285" s="599"/>
      <c r="AV285" s="599"/>
      <c r="AW285" s="599"/>
      <c r="AX285" s="599"/>
      <c r="AY285" s="599"/>
      <c r="AZ285" s="599"/>
      <c r="BA285" s="599"/>
      <c r="BB285" s="599"/>
      <c r="BC285" s="599"/>
      <c r="BD285" s="599"/>
      <c r="BE285" s="598"/>
    </row>
    <row r="286" spans="2:57">
      <c r="B286" s="1326" t="s">
        <v>548</v>
      </c>
      <c r="C286" s="1327"/>
      <c r="D286" s="501" t="s">
        <v>3676</v>
      </c>
      <c r="E286" s="501"/>
      <c r="F286" s="501" t="s">
        <v>473</v>
      </c>
      <c r="G286" s="874" t="s">
        <v>474</v>
      </c>
      <c r="H286" s="629">
        <f>7544.094-223.828</f>
        <v>7320.2659999999996</v>
      </c>
      <c r="I286" s="505" t="s">
        <v>1372</v>
      </c>
      <c r="J286" s="504">
        <v>45248.041666666664</v>
      </c>
      <c r="K286" s="504"/>
      <c r="L286" s="504" t="s">
        <v>192</v>
      </c>
      <c r="M286" s="504" t="s">
        <v>192</v>
      </c>
      <c r="N286" s="505" t="str">
        <f t="shared" si="21"/>
        <v>DELAY ( 6 day 21 hour 6 minute )</v>
      </c>
      <c r="O286" s="597"/>
      <c r="P286" s="507" t="s">
        <v>551</v>
      </c>
      <c r="Q286" s="507" t="s">
        <v>551</v>
      </c>
      <c r="R286" s="507" t="s">
        <v>551</v>
      </c>
      <c r="S286" s="598"/>
      <c r="T286" s="599"/>
      <c r="U286" s="599"/>
      <c r="V286" s="599"/>
      <c r="W286" s="599"/>
      <c r="X286" s="599"/>
      <c r="Y286" s="599">
        <f>H286*0.75</f>
        <v>5490.1994999999997</v>
      </c>
      <c r="Z286" s="599">
        <f>(H286*0.25)</f>
        <v>1830.0664999999999</v>
      </c>
      <c r="AA286" s="599"/>
      <c r="AB286" s="599"/>
      <c r="AC286" s="599"/>
      <c r="AD286" s="599"/>
      <c r="AE286" s="599"/>
      <c r="AF286" s="599"/>
      <c r="AG286" s="599"/>
      <c r="AH286" s="599"/>
      <c r="AI286" s="599"/>
      <c r="AJ286" s="599"/>
      <c r="AK286" s="599"/>
      <c r="AL286" s="599"/>
      <c r="AM286" s="599"/>
      <c r="AN286" s="599"/>
      <c r="AO286" s="599"/>
      <c r="AP286" s="598"/>
      <c r="AQ286" s="599"/>
      <c r="AR286" s="599"/>
      <c r="AS286" s="599"/>
      <c r="AT286" s="599"/>
      <c r="AU286" s="599"/>
      <c r="AV286" s="599"/>
      <c r="AW286" s="599"/>
      <c r="AX286" s="599"/>
      <c r="AY286" s="599"/>
      <c r="AZ286" s="599"/>
      <c r="BA286" s="599"/>
      <c r="BB286" s="599"/>
      <c r="BC286" s="599"/>
      <c r="BD286" s="599"/>
      <c r="BE286" s="598"/>
    </row>
    <row r="287" spans="2:57">
      <c r="B287" s="1258" t="s">
        <v>556</v>
      </c>
      <c r="C287" s="1259"/>
      <c r="D287" s="1259"/>
      <c r="E287" s="1259"/>
      <c r="F287" s="1259"/>
      <c r="G287" s="1260"/>
      <c r="H287" s="586">
        <f>SUM(H276:H286)</f>
        <v>82700</v>
      </c>
      <c r="I287" s="587"/>
      <c r="J287" s="588"/>
      <c r="K287" s="588"/>
      <c r="L287" s="588"/>
      <c r="M287" s="589"/>
      <c r="N287" s="505" t="str">
        <f t="shared" si="21"/>
        <v xml:space="preserve"> </v>
      </c>
      <c r="O287" s="212"/>
      <c r="P287" s="590"/>
      <c r="Q287" s="590"/>
      <c r="R287" s="590"/>
      <c r="S287" s="633"/>
      <c r="T287" s="1307"/>
      <c r="U287" s="1308"/>
      <c r="V287" s="1308"/>
      <c r="W287" s="1308"/>
      <c r="X287" s="1308"/>
      <c r="Y287" s="1308"/>
      <c r="Z287" s="1308"/>
      <c r="AA287" s="1308"/>
      <c r="AB287" s="1308"/>
      <c r="AC287" s="1308"/>
      <c r="AD287" s="1308"/>
      <c r="AE287" s="1308"/>
      <c r="AF287" s="1308"/>
      <c r="AG287" s="1308"/>
      <c r="AH287" s="1308"/>
      <c r="AI287" s="1308"/>
      <c r="AJ287" s="1308"/>
      <c r="AK287" s="1308"/>
      <c r="AL287" s="1308"/>
      <c r="AM287" s="1308"/>
      <c r="AN287" s="1308"/>
      <c r="AO287" s="1308"/>
      <c r="AP287" s="1308"/>
      <c r="AQ287" s="1308"/>
      <c r="AR287" s="1308"/>
      <c r="AS287" s="1308"/>
      <c r="AT287" s="1308"/>
      <c r="AU287" s="1308"/>
      <c r="AV287" s="1308"/>
      <c r="AW287" s="1308"/>
      <c r="AX287" s="1308"/>
      <c r="AY287" s="1308"/>
      <c r="AZ287" s="1308"/>
      <c r="BA287" s="1308"/>
      <c r="BB287" s="1308"/>
      <c r="BC287" s="1308"/>
      <c r="BD287" s="1308"/>
    </row>
    <row r="288" spans="2:57">
      <c r="B288" s="1415" t="s">
        <v>557</v>
      </c>
      <c r="C288" s="1416"/>
      <c r="D288" s="1416"/>
      <c r="E288" s="1416"/>
      <c r="F288" s="1416"/>
      <c r="G288" s="1417"/>
      <c r="H288" s="710">
        <v>82700</v>
      </c>
      <c r="I288" s="1449"/>
      <c r="J288" s="1450"/>
      <c r="K288" s="1450"/>
      <c r="L288" s="1450"/>
      <c r="M288" s="1451"/>
      <c r="N288" s="505" t="str">
        <f t="shared" si="21"/>
        <v xml:space="preserve"> </v>
      </c>
      <c r="O288" s="591"/>
      <c r="P288" s="415"/>
      <c r="Q288" s="415"/>
      <c r="R288" s="415"/>
      <c r="S288" s="740"/>
      <c r="T288" s="592">
        <f t="shared" ref="T288:BD288" si="24">SUM(T276:T286)</f>
        <v>0</v>
      </c>
      <c r="U288" s="592">
        <f t="shared" si="24"/>
        <v>0</v>
      </c>
      <c r="V288" s="592">
        <f t="shared" si="24"/>
        <v>0</v>
      </c>
      <c r="W288" s="592">
        <f t="shared" si="24"/>
        <v>0</v>
      </c>
      <c r="X288" s="592">
        <f t="shared" si="24"/>
        <v>0</v>
      </c>
      <c r="Y288" s="592">
        <f t="shared" si="24"/>
        <v>39783.841400000005</v>
      </c>
      <c r="Z288" s="592">
        <f t="shared" si="24"/>
        <v>12869.821599999999</v>
      </c>
      <c r="AA288" s="592">
        <f t="shared" si="24"/>
        <v>0</v>
      </c>
      <c r="AB288" s="592">
        <f t="shared" si="24"/>
        <v>21046.272199999999</v>
      </c>
      <c r="AC288" s="592">
        <f t="shared" si="24"/>
        <v>1500.0648000000001</v>
      </c>
      <c r="AD288" s="592">
        <f t="shared" si="24"/>
        <v>0</v>
      </c>
      <c r="AE288" s="592">
        <f t="shared" si="24"/>
        <v>0</v>
      </c>
      <c r="AF288" s="592">
        <f t="shared" si="24"/>
        <v>0</v>
      </c>
      <c r="AG288" s="592">
        <f t="shared" si="24"/>
        <v>0</v>
      </c>
      <c r="AH288" s="592">
        <f t="shared" si="24"/>
        <v>0</v>
      </c>
      <c r="AI288" s="592">
        <f t="shared" si="24"/>
        <v>0</v>
      </c>
      <c r="AJ288" s="592">
        <f t="shared" si="24"/>
        <v>0</v>
      </c>
      <c r="AK288" s="592">
        <f t="shared" si="24"/>
        <v>7500</v>
      </c>
      <c r="AL288" s="592">
        <f t="shared" si="24"/>
        <v>0</v>
      </c>
      <c r="AM288" s="592">
        <f t="shared" si="24"/>
        <v>0</v>
      </c>
      <c r="AN288" s="592">
        <f t="shared" si="24"/>
        <v>0</v>
      </c>
      <c r="AO288" s="592">
        <f t="shared" si="24"/>
        <v>0</v>
      </c>
      <c r="AP288" s="592">
        <f t="shared" si="24"/>
        <v>0</v>
      </c>
      <c r="AQ288" s="592">
        <f t="shared" si="24"/>
        <v>0</v>
      </c>
      <c r="AR288" s="592">
        <f t="shared" si="24"/>
        <v>0</v>
      </c>
      <c r="AS288" s="592">
        <f t="shared" si="24"/>
        <v>0</v>
      </c>
      <c r="AT288" s="592">
        <f t="shared" si="24"/>
        <v>0</v>
      </c>
      <c r="AU288" s="592">
        <f t="shared" si="24"/>
        <v>0</v>
      </c>
      <c r="AV288" s="592">
        <f t="shared" si="24"/>
        <v>0</v>
      </c>
      <c r="AW288" s="592">
        <f t="shared" si="24"/>
        <v>0</v>
      </c>
      <c r="AX288" s="592">
        <f t="shared" si="24"/>
        <v>0</v>
      </c>
      <c r="AY288" s="592">
        <f t="shared" si="24"/>
        <v>0</v>
      </c>
      <c r="AZ288" s="592">
        <f t="shared" si="24"/>
        <v>0</v>
      </c>
      <c r="BA288" s="592">
        <f t="shared" si="24"/>
        <v>0</v>
      </c>
      <c r="BB288" s="592">
        <f t="shared" si="24"/>
        <v>0</v>
      </c>
      <c r="BC288" s="592">
        <f t="shared" si="24"/>
        <v>0</v>
      </c>
      <c r="BD288" s="592">
        <f t="shared" si="24"/>
        <v>0</v>
      </c>
      <c r="BE288" s="592">
        <f>SUM(T288:BD288)</f>
        <v>82700</v>
      </c>
    </row>
    <row r="289" spans="2:57">
      <c r="B289" s="1415" t="s">
        <v>558</v>
      </c>
      <c r="C289" s="1416"/>
      <c r="D289" s="1416"/>
      <c r="E289" s="1416"/>
      <c r="F289" s="1416"/>
      <c r="G289" s="1417"/>
      <c r="H289" s="712">
        <f>H288-L270</f>
        <v>0</v>
      </c>
      <c r="I289" s="742"/>
      <c r="J289" s="743"/>
      <c r="K289" s="743"/>
      <c r="L289" s="671"/>
      <c r="M289" s="633"/>
      <c r="N289" s="591"/>
      <c r="O289" s="591"/>
      <c r="P289" s="591"/>
      <c r="Q289" s="744"/>
      <c r="R289" s="744"/>
      <c r="S289" s="591"/>
      <c r="T289" s="645"/>
      <c r="U289" s="645"/>
      <c r="V289" s="645"/>
      <c r="W289" s="645"/>
      <c r="X289" s="645"/>
      <c r="Y289" s="645"/>
      <c r="Z289" s="645"/>
      <c r="AA289" s="645"/>
      <c r="AB289" s="645"/>
      <c r="AC289" s="591"/>
      <c r="AD289" s="591"/>
      <c r="AE289" s="591"/>
      <c r="AF289" s="591"/>
      <c r="AG289" s="591"/>
      <c r="AH289" s="591"/>
      <c r="AI289" s="591"/>
      <c r="AJ289" s="591"/>
      <c r="AK289" s="591"/>
      <c r="AL289" s="591"/>
      <c r="AM289" s="591"/>
      <c r="AN289" s="591"/>
      <c r="AO289" s="591"/>
      <c r="AP289" s="591"/>
      <c r="AQ289" s="591"/>
      <c r="AR289" s="591"/>
    </row>
    <row r="290" spans="2:57">
      <c r="B290" s="1415" t="s">
        <v>559</v>
      </c>
      <c r="C290" s="1416"/>
      <c r="D290" s="1416"/>
      <c r="E290" s="1416"/>
      <c r="F290" s="1416"/>
      <c r="G290" s="1417"/>
      <c r="H290" s="747">
        <f>H287-H288</f>
        <v>0</v>
      </c>
      <c r="I290" s="745"/>
      <c r="J290" s="746"/>
      <c r="K290" s="746"/>
      <c r="L290" s="674"/>
      <c r="M290" s="633"/>
      <c r="N290" s="613"/>
      <c r="O290" s="591"/>
      <c r="P290" s="591"/>
      <c r="Q290" s="591"/>
      <c r="R290" s="591"/>
      <c r="S290" s="591"/>
      <c r="T290" s="645"/>
      <c r="U290" s="645"/>
      <c r="V290" s="645"/>
      <c r="W290" s="645"/>
      <c r="X290" s="645"/>
      <c r="Y290" s="645"/>
      <c r="Z290" s="645"/>
      <c r="AA290" s="645"/>
      <c r="AB290" s="645"/>
      <c r="AC290" s="591"/>
      <c r="AD290" s="591"/>
      <c r="AE290" s="591"/>
      <c r="AF290" s="591"/>
      <c r="AG290" s="591"/>
      <c r="AH290" s="591"/>
      <c r="AI290" s="591"/>
      <c r="AJ290" s="591"/>
      <c r="AK290" s="591"/>
      <c r="AL290" s="591"/>
      <c r="AM290" s="591"/>
      <c r="AN290" s="591"/>
      <c r="AO290" s="591"/>
      <c r="AP290" s="591"/>
      <c r="AQ290" s="591"/>
      <c r="AR290" s="591"/>
    </row>
    <row r="291" spans="2:57" ht="11.25" customHeight="1">
      <c r="B291" s="1415" t="s">
        <v>560</v>
      </c>
      <c r="C291" s="1416"/>
      <c r="D291" s="1416"/>
      <c r="E291" s="1416"/>
      <c r="F291" s="1416"/>
      <c r="G291" s="1417"/>
      <c r="H291" s="741">
        <f>H290-223.828</f>
        <v>-223.828</v>
      </c>
      <c r="I291" s="641"/>
      <c r="J291" s="642"/>
      <c r="K291" s="642"/>
      <c r="L291" s="499"/>
      <c r="M291" s="613"/>
      <c r="N291" s="613"/>
      <c r="O291" s="613"/>
      <c r="P291" s="613"/>
      <c r="Q291" s="613"/>
      <c r="R291" s="613"/>
      <c r="S291" s="616"/>
      <c r="T291" s="616"/>
      <c r="U291" s="616"/>
      <c r="V291" s="616"/>
      <c r="W291" s="616"/>
      <c r="X291" s="616"/>
      <c r="Y291" s="616"/>
      <c r="Z291" s="616"/>
      <c r="AA291" s="616"/>
      <c r="AB291" s="613">
        <f>-(H290*0.6)</f>
        <v>0</v>
      </c>
      <c r="AC291" s="613">
        <f>-(H290*0.4)</f>
        <v>0</v>
      </c>
      <c r="AD291" s="613"/>
      <c r="AE291" s="613"/>
      <c r="AF291" s="613"/>
      <c r="AG291" s="613"/>
      <c r="AH291" s="613"/>
      <c r="AI291" s="613"/>
      <c r="AJ291" s="613"/>
      <c r="AK291" s="613"/>
      <c r="AL291" s="613"/>
      <c r="AM291" s="613"/>
      <c r="AN291" s="613"/>
      <c r="AO291" s="613"/>
      <c r="AP291" s="613"/>
      <c r="AQ291" s="613"/>
      <c r="AR291" s="496"/>
      <c r="AS291" s="496"/>
      <c r="AT291" s="496"/>
      <c r="AU291" s="496"/>
      <c r="AV291" s="496"/>
      <c r="AW291" s="496"/>
      <c r="AX291" s="496"/>
      <c r="AY291" s="496"/>
      <c r="AZ291" s="496"/>
      <c r="BA291" s="496"/>
    </row>
    <row r="292" spans="2:57">
      <c r="B292" s="613"/>
      <c r="C292" s="613"/>
      <c r="D292" s="613"/>
      <c r="E292" s="613"/>
      <c r="F292" s="613"/>
      <c r="G292" s="613"/>
      <c r="H292" s="613"/>
      <c r="I292" s="643"/>
      <c r="J292" s="641"/>
      <c r="K292" s="641"/>
      <c r="L292" s="644"/>
      <c r="M292" s="613"/>
      <c r="N292" s="613"/>
      <c r="O292" s="641"/>
      <c r="P292" s="591"/>
      <c r="Q292" s="591"/>
      <c r="R292" s="591"/>
      <c r="S292" s="591"/>
      <c r="T292" s="645"/>
      <c r="U292" s="645"/>
      <c r="V292" s="645"/>
      <c r="W292" s="645"/>
      <c r="X292" s="645"/>
      <c r="Y292" s="645"/>
      <c r="Z292" s="645"/>
      <c r="AA292" s="645"/>
      <c r="AB292" s="645"/>
      <c r="AC292" s="591"/>
      <c r="AD292" s="591"/>
      <c r="AE292" s="591"/>
      <c r="AF292" s="591"/>
      <c r="AG292" s="591"/>
      <c r="AH292" s="591"/>
      <c r="AI292" s="591"/>
      <c r="AJ292" s="591"/>
      <c r="AK292" s="591"/>
      <c r="AL292" s="591"/>
      <c r="AM292" s="591"/>
      <c r="AN292" s="591"/>
      <c r="AO292" s="591"/>
      <c r="AP292" s="591"/>
      <c r="AQ292" s="591"/>
      <c r="AR292" s="591"/>
    </row>
    <row r="293" spans="2:57">
      <c r="B293" s="619" t="s">
        <v>561</v>
      </c>
      <c r="C293" s="619"/>
      <c r="D293" s="591"/>
      <c r="E293" s="591"/>
      <c r="F293" s="591"/>
      <c r="G293" s="591"/>
      <c r="H293" s="591"/>
      <c r="I293" s="591"/>
      <c r="J293" s="646"/>
      <c r="K293" s="646"/>
      <c r="L293" s="647"/>
      <c r="M293" s="591"/>
      <c r="N293" s="613"/>
      <c r="O293" s="646"/>
      <c r="P293" s="616"/>
      <c r="Q293" s="616"/>
      <c r="R293" s="616"/>
      <c r="S293" s="616"/>
      <c r="T293" s="616"/>
      <c r="U293" s="616"/>
      <c r="V293" s="616"/>
      <c r="W293" s="616"/>
      <c r="X293" s="616"/>
      <c r="Y293" s="616"/>
      <c r="Z293" s="616"/>
      <c r="AA293" s="616"/>
      <c r="AB293" s="613"/>
      <c r="AC293" s="613"/>
      <c r="AD293" s="613"/>
      <c r="AE293" s="613"/>
      <c r="AF293" s="613"/>
      <c r="AG293" s="613"/>
      <c r="AH293" s="613"/>
      <c r="AI293" s="613"/>
      <c r="AJ293" s="613"/>
      <c r="AK293" s="613"/>
      <c r="AL293" s="613"/>
      <c r="AM293" s="613"/>
      <c r="AN293" s="613"/>
      <c r="AO293" s="613"/>
      <c r="AP293" s="613"/>
      <c r="AQ293" s="613"/>
      <c r="AR293" s="613"/>
      <c r="AS293" s="613"/>
      <c r="AT293" s="613"/>
      <c r="AU293" s="613"/>
      <c r="BE293" s="613"/>
    </row>
    <row r="294" spans="2:57">
      <c r="B294" s="422"/>
      <c r="C294" s="1249"/>
      <c r="D294" s="1249"/>
      <c r="E294" s="1249"/>
      <c r="F294" s="1249"/>
      <c r="G294" s="1249"/>
      <c r="H294" s="1249"/>
      <c r="I294" s="1249"/>
      <c r="J294" s="1249"/>
      <c r="K294" s="1249"/>
      <c r="L294" s="644"/>
      <c r="M294" s="644"/>
      <c r="N294" s="613"/>
      <c r="O294" s="641"/>
      <c r="P294" s="616"/>
      <c r="Q294" s="616"/>
      <c r="R294" s="616"/>
      <c r="S294" s="616"/>
      <c r="T294" s="616"/>
      <c r="U294" s="616"/>
      <c r="V294" s="616"/>
      <c r="W294" s="616"/>
      <c r="X294" s="616"/>
      <c r="Y294" s="616"/>
      <c r="Z294" s="616"/>
      <c r="AA294" s="616"/>
      <c r="AB294" s="613"/>
      <c r="AC294" s="613"/>
      <c r="AD294" s="613"/>
      <c r="AE294" s="613"/>
      <c r="AF294" s="613"/>
      <c r="AG294" s="613"/>
      <c r="AH294" s="613"/>
      <c r="AI294" s="613"/>
      <c r="AJ294" s="613"/>
      <c r="AK294" s="613"/>
      <c r="AL294" s="613"/>
      <c r="AM294" s="613"/>
      <c r="AN294" s="613"/>
      <c r="AO294" s="613"/>
      <c r="AP294" s="613"/>
      <c r="AQ294" s="613"/>
      <c r="AR294" s="613"/>
      <c r="AS294" s="613"/>
      <c r="AT294" s="613"/>
      <c r="AU294" s="613"/>
      <c r="AV294" s="613"/>
      <c r="AW294" s="613"/>
      <c r="AX294" s="613"/>
      <c r="AY294" s="613"/>
      <c r="AZ294" s="613"/>
      <c r="BA294" s="613"/>
      <c r="BB294" s="613"/>
      <c r="BC294" s="613"/>
      <c r="BD294" s="613"/>
      <c r="BE294" s="613"/>
    </row>
    <row r="296" spans="2:57">
      <c r="B296" s="28" t="s">
        <v>126</v>
      </c>
      <c r="C296" s="28"/>
      <c r="D296" s="614"/>
      <c r="E296" s="30" t="s">
        <v>511</v>
      </c>
      <c r="F296" s="31" t="s">
        <v>944</v>
      </c>
      <c r="G296" s="591"/>
      <c r="H296" s="33"/>
      <c r="I296" s="615"/>
      <c r="J296" s="35" t="s">
        <v>513</v>
      </c>
      <c r="K296" s="36" t="s">
        <v>511</v>
      </c>
      <c r="L296" s="516">
        <v>45250.180555555555</v>
      </c>
      <c r="M296" s="591"/>
      <c r="N296" s="591"/>
      <c r="O296" s="206"/>
      <c r="P296" s="205"/>
      <c r="Q296" s="616"/>
      <c r="R296" s="204"/>
      <c r="S296" s="617"/>
      <c r="T296" s="613"/>
      <c r="U296" s="613"/>
      <c r="V296" s="613"/>
      <c r="W296" s="613"/>
      <c r="X296" s="613"/>
      <c r="Y296" s="613"/>
      <c r="Z296" s="613"/>
      <c r="AA296" s="613"/>
      <c r="AB296" s="616"/>
      <c r="AC296" s="616"/>
      <c r="AD296" s="616"/>
      <c r="AE296" s="616"/>
      <c r="AF296" s="616"/>
      <c r="AG296" s="613"/>
      <c r="AH296" s="613"/>
      <c r="AI296" s="613"/>
      <c r="AJ296" s="613"/>
      <c r="AK296" s="613"/>
      <c r="AL296" s="613"/>
      <c r="AM296" s="613"/>
      <c r="AN296" s="613"/>
      <c r="AO296" s="613"/>
      <c r="AP296" s="613"/>
      <c r="AQ296" s="613"/>
      <c r="AR296" s="613"/>
      <c r="AS296" s="613"/>
      <c r="AT296" s="613"/>
      <c r="AU296" s="613"/>
      <c r="AV296" s="613"/>
      <c r="AW296" s="613"/>
      <c r="AX296" s="613"/>
      <c r="AY296" s="613"/>
      <c r="AZ296" s="613"/>
      <c r="BA296" s="613"/>
      <c r="BB296" s="613"/>
      <c r="BC296" s="613"/>
      <c r="BD296" s="613"/>
      <c r="BE296" s="613"/>
    </row>
    <row r="297" spans="2:57">
      <c r="B297" s="35" t="s">
        <v>514</v>
      </c>
      <c r="C297" s="35"/>
      <c r="D297" s="591"/>
      <c r="E297" s="36" t="s">
        <v>511</v>
      </c>
      <c r="F297" s="311" t="s">
        <v>3733</v>
      </c>
      <c r="G297" s="591"/>
      <c r="H297" s="33"/>
      <c r="I297" s="615"/>
      <c r="J297" s="35" t="s">
        <v>516</v>
      </c>
      <c r="K297" s="36" t="s">
        <v>511</v>
      </c>
      <c r="L297" s="516">
        <v>45251.947916666664</v>
      </c>
      <c r="M297" s="591"/>
      <c r="N297" s="591"/>
      <c r="O297" s="206"/>
      <c r="P297" s="205"/>
      <c r="Q297" s="616"/>
      <c r="R297" s="204"/>
      <c r="S297" s="617"/>
      <c r="T297" s="613"/>
      <c r="U297" s="613"/>
      <c r="V297" s="613"/>
      <c r="W297" s="613"/>
      <c r="X297" s="613"/>
      <c r="Y297" s="613"/>
      <c r="Z297" s="613"/>
      <c r="AA297" s="613"/>
      <c r="AB297" s="616"/>
      <c r="AC297" s="616"/>
      <c r="AD297" s="616"/>
      <c r="AE297" s="616"/>
      <c r="AF297" s="616"/>
      <c r="AG297" s="613"/>
      <c r="AH297" s="613"/>
      <c r="AI297" s="613"/>
      <c r="AJ297" s="613"/>
      <c r="AK297" s="613"/>
      <c r="AL297" s="613"/>
      <c r="AM297" s="613"/>
      <c r="AN297" s="613"/>
      <c r="AO297" s="613"/>
      <c r="AP297" s="613"/>
      <c r="AQ297" s="613"/>
      <c r="AR297" s="613"/>
      <c r="AS297" s="613"/>
      <c r="AT297" s="613"/>
      <c r="AU297" s="613"/>
      <c r="AV297" s="613"/>
      <c r="AW297" s="613"/>
      <c r="AX297" s="613"/>
      <c r="AY297" s="613"/>
      <c r="AZ297" s="613"/>
      <c r="BA297" s="613"/>
      <c r="BB297" s="613"/>
      <c r="BC297" s="613"/>
      <c r="BD297" s="613"/>
      <c r="BE297" s="613"/>
    </row>
    <row r="298" spans="2:57">
      <c r="B298" s="35" t="s">
        <v>517</v>
      </c>
      <c r="C298" s="35"/>
      <c r="D298" s="591"/>
      <c r="E298" s="36" t="s">
        <v>511</v>
      </c>
      <c r="F298" s="516">
        <v>45243.916666666664</v>
      </c>
      <c r="G298" s="591"/>
      <c r="H298" s="33"/>
      <c r="I298" s="615"/>
      <c r="J298" s="35" t="s">
        <v>518</v>
      </c>
      <c r="K298" s="36" t="s">
        <v>511</v>
      </c>
      <c r="L298" s="692">
        <v>52200</v>
      </c>
      <c r="M298" s="619" t="s">
        <v>519</v>
      </c>
      <c r="N298" s="619"/>
      <c r="O298" s="206"/>
      <c r="P298" s="205"/>
      <c r="Q298" s="616"/>
      <c r="R298" s="204"/>
      <c r="S298" s="617"/>
      <c r="T298" s="613"/>
      <c r="U298" s="613"/>
      <c r="V298" s="613"/>
      <c r="W298" s="613"/>
      <c r="X298" s="613"/>
      <c r="Y298" s="613"/>
      <c r="Z298" s="613"/>
      <c r="AA298" s="613"/>
      <c r="AB298" s="616"/>
      <c r="AC298" s="616"/>
      <c r="AD298" s="616"/>
      <c r="AE298" s="616"/>
      <c r="AF298" s="616"/>
      <c r="AG298" s="613"/>
      <c r="AH298" s="613"/>
      <c r="AI298" s="613"/>
      <c r="AJ298" s="613"/>
      <c r="AK298" s="613"/>
      <c r="AL298" s="613"/>
      <c r="AM298" s="613"/>
      <c r="AN298" s="613"/>
      <c r="AO298" s="613"/>
      <c r="AP298" s="613"/>
      <c r="AQ298" s="613"/>
      <c r="AR298" s="613"/>
      <c r="AS298" s="613"/>
      <c r="AT298" s="613"/>
      <c r="AU298" s="613"/>
      <c r="AV298" s="613"/>
      <c r="AW298" s="613"/>
      <c r="AX298" s="613"/>
      <c r="AY298" s="613"/>
      <c r="AZ298" s="613"/>
      <c r="BA298" s="613"/>
      <c r="BB298" s="613"/>
      <c r="BC298" s="613"/>
      <c r="BD298" s="613"/>
      <c r="BE298" s="613"/>
    </row>
    <row r="299" spans="2:57">
      <c r="B299" s="35" t="s">
        <v>520</v>
      </c>
      <c r="C299" s="35"/>
      <c r="D299" s="591"/>
      <c r="E299" s="36" t="s">
        <v>511</v>
      </c>
      <c r="F299" s="37" t="s">
        <v>12</v>
      </c>
      <c r="G299" s="591"/>
      <c r="H299" s="33"/>
      <c r="I299" s="615"/>
      <c r="J299" s="35" t="s">
        <v>521</v>
      </c>
      <c r="K299" s="36" t="s">
        <v>511</v>
      </c>
      <c r="L299" s="620" t="s">
        <v>3147</v>
      </c>
      <c r="M299" s="591"/>
      <c r="N299" s="591"/>
      <c r="O299" s="206"/>
      <c r="P299" s="616"/>
      <c r="Q299" s="616"/>
      <c r="R299" s="204"/>
      <c r="S299" s="617"/>
      <c r="T299" s="613"/>
      <c r="U299" s="613"/>
      <c r="V299" s="613"/>
      <c r="W299" s="613"/>
      <c r="X299" s="613"/>
      <c r="Y299" s="613"/>
      <c r="Z299" s="613"/>
      <c r="AA299" s="613"/>
      <c r="AB299" s="616"/>
      <c r="AC299" s="616"/>
      <c r="AD299" s="616"/>
      <c r="AE299" s="616"/>
      <c r="AF299" s="616"/>
      <c r="AG299" s="613"/>
      <c r="AH299" s="613"/>
      <c r="AI299" s="613"/>
      <c r="AJ299" s="613"/>
      <c r="AK299" s="613"/>
      <c r="AL299" s="613"/>
      <c r="AM299" s="613"/>
      <c r="AN299" s="613"/>
      <c r="AO299" s="613"/>
      <c r="AP299" s="613"/>
      <c r="AQ299" s="613"/>
      <c r="AR299" s="613"/>
      <c r="AS299" s="613"/>
      <c r="AT299" s="613"/>
      <c r="AU299" s="613"/>
      <c r="AV299" s="613"/>
      <c r="AW299" s="613"/>
      <c r="AX299" s="613"/>
      <c r="AY299" s="613"/>
      <c r="AZ299" s="613"/>
      <c r="BA299" s="613"/>
      <c r="BB299" s="613"/>
      <c r="BC299" s="613"/>
      <c r="BD299" s="613"/>
      <c r="BE299" s="613"/>
    </row>
    <row r="300" spans="2:57">
      <c r="B300" s="35" t="s">
        <v>523</v>
      </c>
      <c r="C300" s="35"/>
      <c r="D300" s="591"/>
      <c r="E300" s="36" t="s">
        <v>511</v>
      </c>
      <c r="F300" s="37" t="s">
        <v>32</v>
      </c>
      <c r="G300" s="591"/>
      <c r="H300" s="33"/>
      <c r="I300" s="615"/>
      <c r="J300" s="35" t="s">
        <v>524</v>
      </c>
      <c r="K300" s="36" t="s">
        <v>511</v>
      </c>
      <c r="L300" s="621" t="s">
        <v>15</v>
      </c>
      <c r="M300" s="611"/>
      <c r="N300" s="611"/>
      <c r="O300" s="206"/>
      <c r="P300" s="205"/>
      <c r="Q300" s="616"/>
      <c r="R300" s="204"/>
      <c r="S300" s="617"/>
      <c r="T300" s="613"/>
      <c r="U300" s="613"/>
      <c r="V300" s="613"/>
      <c r="W300" s="613"/>
      <c r="X300" s="613"/>
      <c r="Y300" s="613"/>
      <c r="Z300" s="613"/>
      <c r="AA300" s="613"/>
      <c r="AB300" s="616"/>
      <c r="AC300" s="616"/>
      <c r="AD300" s="616"/>
      <c r="AE300" s="616"/>
      <c r="AF300" s="616"/>
      <c r="AG300" s="613"/>
      <c r="AH300" s="613"/>
      <c r="AI300" s="613"/>
      <c r="AJ300" s="613"/>
      <c r="AK300" s="613"/>
      <c r="AL300" s="613"/>
      <c r="AM300" s="613"/>
      <c r="AN300" s="613"/>
      <c r="AO300" s="613"/>
      <c r="AP300" s="613"/>
      <c r="AQ300" s="613"/>
      <c r="AR300" s="613"/>
      <c r="AS300" s="613"/>
      <c r="AT300" s="613"/>
      <c r="AU300" s="613"/>
      <c r="AV300" s="613"/>
      <c r="AW300" s="613"/>
      <c r="AX300" s="613"/>
      <c r="AY300" s="613"/>
      <c r="AZ300" s="613"/>
      <c r="BA300" s="613"/>
      <c r="BB300" s="613"/>
      <c r="BC300" s="613"/>
      <c r="BD300" s="613"/>
      <c r="BE300" s="613"/>
    </row>
    <row r="301" spans="2:57">
      <c r="B301" s="35" t="s">
        <v>2</v>
      </c>
      <c r="C301" s="35"/>
      <c r="D301" s="591"/>
      <c r="E301" s="36" t="s">
        <v>511</v>
      </c>
      <c r="F301" s="37" t="s">
        <v>18</v>
      </c>
      <c r="G301" s="591"/>
      <c r="H301" s="33"/>
      <c r="I301" s="622"/>
      <c r="J301" s="35"/>
      <c r="K301" s="36"/>
      <c r="L301" s="211"/>
      <c r="M301" s="613"/>
      <c r="N301" s="613"/>
      <c r="O301" s="35"/>
      <c r="P301" s="611"/>
      <c r="Q301" s="611"/>
      <c r="R301" s="611"/>
      <c r="S301" s="615"/>
      <c r="T301" s="613"/>
      <c r="U301" s="613"/>
      <c r="V301" s="613"/>
      <c r="W301" s="613"/>
      <c r="X301" s="613"/>
      <c r="Y301" s="613"/>
      <c r="Z301" s="613"/>
      <c r="AA301" s="613"/>
      <c r="AB301" s="615"/>
      <c r="AC301" s="615"/>
      <c r="AD301" s="615"/>
      <c r="AE301" s="615"/>
      <c r="AF301" s="615"/>
      <c r="AG301" s="615"/>
      <c r="AH301" s="615"/>
      <c r="AI301" s="615"/>
      <c r="AJ301" s="615"/>
      <c r="AK301" s="615"/>
      <c r="AL301" s="615"/>
      <c r="AM301" s="615"/>
      <c r="AN301" s="615"/>
      <c r="AO301" s="613"/>
      <c r="AP301" s="613"/>
      <c r="AQ301" s="613"/>
      <c r="AR301" s="613"/>
      <c r="AS301" s="613"/>
      <c r="AT301" s="613"/>
      <c r="AU301" s="613"/>
      <c r="AV301" s="613"/>
      <c r="AW301" s="613"/>
      <c r="AX301" s="613"/>
      <c r="AY301" s="613"/>
      <c r="AZ301" s="613"/>
      <c r="BA301" s="613"/>
      <c r="BB301" s="613"/>
      <c r="BC301" s="613"/>
      <c r="BD301" s="613"/>
      <c r="BE301" s="613"/>
    </row>
    <row r="302" spans="2:57">
      <c r="B302" s="613"/>
      <c r="C302" s="613"/>
      <c r="D302" s="613"/>
      <c r="E302" s="613"/>
      <c r="F302" s="613"/>
      <c r="G302" s="613"/>
      <c r="H302" s="613"/>
      <c r="I302" s="622"/>
      <c r="J302" s="35"/>
      <c r="K302" s="35"/>
      <c r="L302" s="621"/>
      <c r="M302" s="611"/>
      <c r="N302" s="611"/>
      <c r="O302" s="35"/>
      <c r="P302" s="611"/>
      <c r="Q302" s="611"/>
      <c r="R302" s="611"/>
      <c r="S302" s="615"/>
      <c r="T302" s="1317" t="s">
        <v>87</v>
      </c>
      <c r="U302" s="1317"/>
      <c r="V302" s="1317"/>
      <c r="W302" s="1317"/>
      <c r="X302" s="1317"/>
      <c r="Y302" s="1317" t="s">
        <v>73</v>
      </c>
      <c r="Z302" s="1317"/>
      <c r="AA302" s="1317"/>
      <c r="AB302" s="1317" t="s">
        <v>74</v>
      </c>
      <c r="AC302" s="1317"/>
      <c r="AD302" s="623" t="s">
        <v>85</v>
      </c>
      <c r="AE302" s="854" t="s">
        <v>77</v>
      </c>
      <c r="AF302" s="1459" t="s">
        <v>525</v>
      </c>
      <c r="AG302" s="1459"/>
      <c r="AH302" s="1459"/>
      <c r="AI302" s="1459"/>
      <c r="AJ302" s="1459"/>
      <c r="AK302" s="1459"/>
      <c r="AL302" s="1459"/>
      <c r="AM302" s="1459"/>
      <c r="AN302" s="1459"/>
      <c r="AO302" s="1459"/>
      <c r="AP302" s="1459"/>
      <c r="AQ302" s="1459"/>
      <c r="AR302" s="1459"/>
      <c r="AS302" s="1459"/>
      <c r="AT302" s="1459"/>
      <c r="AU302" s="1459"/>
      <c r="AV302" s="1459"/>
      <c r="AW302" s="1459"/>
      <c r="AX302" s="1459"/>
      <c r="AY302" s="1459"/>
      <c r="AZ302" s="1459"/>
      <c r="BA302" s="1459"/>
      <c r="BB302" s="1459"/>
      <c r="BC302" s="1459"/>
      <c r="BD302" s="1459"/>
      <c r="BE302" s="613"/>
    </row>
    <row r="303" spans="2:57">
      <c r="B303" s="1318" t="s">
        <v>526</v>
      </c>
      <c r="C303" s="1319"/>
      <c r="D303" s="624" t="s">
        <v>527</v>
      </c>
      <c r="E303" s="624"/>
      <c r="F303" s="624" t="s">
        <v>528</v>
      </c>
      <c r="G303" s="624" t="s">
        <v>529</v>
      </c>
      <c r="H303" s="624" t="s">
        <v>530</v>
      </c>
      <c r="I303" s="624" t="s">
        <v>531</v>
      </c>
      <c r="J303" s="624" t="s">
        <v>532</v>
      </c>
      <c r="K303" s="624"/>
      <c r="L303" s="624" t="s">
        <v>130</v>
      </c>
      <c r="M303" s="624" t="s">
        <v>533</v>
      </c>
      <c r="N303" s="625" t="str">
        <f>"On time - "&amp;COUNTIF(N304:N316,"On time")&amp;" from "&amp;ROWS(N304:N316)-COUNTIF(N304:N316," ")</f>
        <v>On time - 0 from 8</v>
      </c>
      <c r="O303" s="626"/>
      <c r="P303" s="627" t="s">
        <v>534</v>
      </c>
      <c r="Q303" s="627" t="s">
        <v>535</v>
      </c>
      <c r="R303" s="627" t="s">
        <v>536</v>
      </c>
      <c r="S303" s="591"/>
      <c r="T303" s="628" t="s">
        <v>537</v>
      </c>
      <c r="U303" s="628" t="s">
        <v>538</v>
      </c>
      <c r="V303" s="628" t="s">
        <v>539</v>
      </c>
      <c r="W303" s="628" t="s">
        <v>540</v>
      </c>
      <c r="X303" s="628" t="s">
        <v>541</v>
      </c>
      <c r="Y303" s="628" t="s">
        <v>167</v>
      </c>
      <c r="Z303" s="628" t="s">
        <v>168</v>
      </c>
      <c r="AA303" s="628" t="s">
        <v>169</v>
      </c>
      <c r="AB303" s="628" t="s">
        <v>235</v>
      </c>
      <c r="AC303" s="628" t="s">
        <v>240</v>
      </c>
      <c r="AD303" s="623" t="s">
        <v>85</v>
      </c>
      <c r="AE303" s="628" t="s">
        <v>139</v>
      </c>
      <c r="AF303" s="855" t="s">
        <v>72</v>
      </c>
      <c r="AG303" s="855" t="s">
        <v>88</v>
      </c>
      <c r="AH303" s="855" t="s">
        <v>75</v>
      </c>
      <c r="AI303" s="855" t="s">
        <v>543</v>
      </c>
      <c r="AJ303" s="855" t="s">
        <v>78</v>
      </c>
      <c r="AK303" s="855" t="s">
        <v>76</v>
      </c>
      <c r="AL303" s="855" t="s">
        <v>544</v>
      </c>
      <c r="AM303" s="855" t="s">
        <v>545</v>
      </c>
      <c r="AN303" s="855" t="s">
        <v>86</v>
      </c>
      <c r="AO303" s="855" t="s">
        <v>83</v>
      </c>
      <c r="AP303" s="855" t="s">
        <v>84</v>
      </c>
      <c r="AQ303" s="855" t="s">
        <v>546</v>
      </c>
      <c r="AR303" s="855" t="s">
        <v>81</v>
      </c>
      <c r="AS303" s="855" t="s">
        <v>80</v>
      </c>
      <c r="AT303" s="855" t="s">
        <v>82</v>
      </c>
      <c r="AU303" s="855" t="s">
        <v>181</v>
      </c>
      <c r="AV303" s="855" t="s">
        <v>183</v>
      </c>
      <c r="AW303" s="855" t="s">
        <v>547</v>
      </c>
      <c r="AX303" s="855" t="s">
        <v>182</v>
      </c>
      <c r="AY303" s="855" t="s">
        <v>172</v>
      </c>
      <c r="AZ303" s="855" t="s">
        <v>173</v>
      </c>
      <c r="BA303" s="855" t="s">
        <v>184</v>
      </c>
      <c r="BB303" s="855" t="s">
        <v>100</v>
      </c>
      <c r="BC303" s="855" t="s">
        <v>913</v>
      </c>
      <c r="BD303" s="855" t="s">
        <v>2747</v>
      </c>
      <c r="BE303" s="613"/>
    </row>
    <row r="304" spans="2:57">
      <c r="B304" s="1326" t="s">
        <v>3710</v>
      </c>
      <c r="C304" s="1327"/>
      <c r="D304" s="501" t="s">
        <v>3612</v>
      </c>
      <c r="E304" s="502"/>
      <c r="F304" s="501" t="s">
        <v>1874</v>
      </c>
      <c r="G304" s="501" t="s">
        <v>1875</v>
      </c>
      <c r="H304" s="629">
        <f>4201.643/4</f>
        <v>1050.41075</v>
      </c>
      <c r="I304" s="584" t="s">
        <v>182</v>
      </c>
      <c r="J304" s="504">
        <v>45247.958333333336</v>
      </c>
      <c r="K304" s="504"/>
      <c r="L304" s="504" t="s">
        <v>192</v>
      </c>
      <c r="M304" s="504" t="s">
        <v>192</v>
      </c>
      <c r="N304" s="505" t="str">
        <f t="shared" ref="N304:N313" si="25">IF(ISBLANK(J304)," ",IF(J304&lt;$F$298,"On time",(IF(DAY(J304-$F$298)&lt;1,"On time",(IF(J304&gt;$F$298,"DELAY ( "&amp;DAY(J304-$F$298)&amp;" day "&amp;HOUR(J304-$F$298)&amp;" hour "&amp;MINUTE(J304-$F$298)&amp;" minute )","xxx"))))))</f>
        <v>DELAY ( 4 day 1 hour 0 minute )</v>
      </c>
      <c r="O304" s="597"/>
      <c r="P304" s="507" t="s">
        <v>551</v>
      </c>
      <c r="Q304" s="507" t="s">
        <v>551</v>
      </c>
      <c r="R304" s="507" t="s">
        <v>551</v>
      </c>
      <c r="S304" s="598"/>
      <c r="T304" s="599"/>
      <c r="U304" s="599"/>
      <c r="V304" s="599"/>
      <c r="W304" s="599"/>
      <c r="X304" s="599"/>
      <c r="Y304" s="599"/>
      <c r="Z304" s="599"/>
      <c r="AA304" s="599"/>
      <c r="AB304" s="599"/>
      <c r="AC304" s="599"/>
      <c r="AD304" s="599"/>
      <c r="AE304" s="599"/>
      <c r="AF304" s="599"/>
      <c r="AG304" s="599"/>
      <c r="AH304" s="599"/>
      <c r="AI304" s="599"/>
      <c r="AJ304" s="599"/>
      <c r="AK304" s="598"/>
      <c r="AL304" s="599"/>
      <c r="AM304" s="599"/>
      <c r="AN304" s="599"/>
      <c r="AO304" s="599"/>
      <c r="AP304" s="599"/>
      <c r="AQ304" s="599"/>
      <c r="AR304" s="599"/>
      <c r="AS304" s="599"/>
      <c r="AT304" s="599"/>
      <c r="AU304" s="599"/>
      <c r="AV304" s="599"/>
      <c r="AW304" s="599"/>
      <c r="AX304" s="599">
        <f>H304</f>
        <v>1050.41075</v>
      </c>
      <c r="AY304" s="599"/>
      <c r="AZ304" s="599"/>
      <c r="BA304" s="599"/>
      <c r="BB304" s="599"/>
      <c r="BC304" s="599"/>
      <c r="BD304" s="599"/>
      <c r="BE304" s="598"/>
    </row>
    <row r="305" spans="2:57">
      <c r="B305" s="1328"/>
      <c r="C305" s="1329"/>
      <c r="D305" s="501" t="s">
        <v>3522</v>
      </c>
      <c r="E305" s="501"/>
      <c r="F305" s="501" t="s">
        <v>213</v>
      </c>
      <c r="G305" s="501" t="s">
        <v>214</v>
      </c>
      <c r="H305" s="629">
        <v>7622.8819999999996</v>
      </c>
      <c r="I305" s="584" t="s">
        <v>418</v>
      </c>
      <c r="J305" s="504">
        <v>45249.538194444445</v>
      </c>
      <c r="K305" s="504"/>
      <c r="L305" s="504" t="s">
        <v>192</v>
      </c>
      <c r="M305" s="504" t="s">
        <v>192</v>
      </c>
      <c r="N305" s="505" t="str">
        <f t="shared" si="25"/>
        <v>DELAY ( 5 day 14 hour 55 minute )</v>
      </c>
      <c r="O305" s="597"/>
      <c r="P305" s="507" t="s">
        <v>551</v>
      </c>
      <c r="Q305" s="507" t="s">
        <v>551</v>
      </c>
      <c r="R305" s="507" t="s">
        <v>551</v>
      </c>
      <c r="S305" s="598"/>
      <c r="T305" s="599"/>
      <c r="U305" s="599"/>
      <c r="V305" s="599"/>
      <c r="W305" s="599"/>
      <c r="X305" s="599"/>
      <c r="Y305" s="599"/>
      <c r="Z305" s="599"/>
      <c r="AA305" s="599"/>
      <c r="AB305" s="599">
        <f>H305*0.65</f>
        <v>4954.8733000000002</v>
      </c>
      <c r="AC305" s="599">
        <f>H305*0.35</f>
        <v>2668.0086999999999</v>
      </c>
      <c r="AD305" s="599"/>
      <c r="AE305" s="599"/>
      <c r="AF305" s="599"/>
      <c r="AG305" s="599"/>
      <c r="AH305" s="599"/>
      <c r="AI305" s="599"/>
      <c r="AJ305" s="599"/>
      <c r="AK305" s="599"/>
      <c r="AL305" s="599"/>
      <c r="AM305" s="599"/>
      <c r="AN305" s="599"/>
      <c r="AO305" s="599"/>
      <c r="AP305" s="599"/>
      <c r="AQ305" s="599"/>
      <c r="AR305" s="599"/>
      <c r="AS305" s="599"/>
      <c r="AT305" s="599"/>
      <c r="AU305" s="599"/>
      <c r="AV305" s="599"/>
      <c r="AW305" s="599"/>
      <c r="AX305" s="599"/>
      <c r="AY305" s="599"/>
      <c r="AZ305" s="599"/>
      <c r="BA305" s="599"/>
      <c r="BB305" s="599"/>
      <c r="BC305" s="599"/>
      <c r="BD305" s="599"/>
      <c r="BE305" s="598"/>
    </row>
    <row r="306" spans="2:57">
      <c r="B306" s="1326" t="s">
        <v>3710</v>
      </c>
      <c r="C306" s="1327"/>
      <c r="D306" s="501" t="s">
        <v>3612</v>
      </c>
      <c r="E306" s="502"/>
      <c r="F306" s="501" t="s">
        <v>1874</v>
      </c>
      <c r="G306" s="501" t="s">
        <v>1875</v>
      </c>
      <c r="H306" s="629">
        <f>H304</f>
        <v>1050.41075</v>
      </c>
      <c r="I306" s="584" t="s">
        <v>182</v>
      </c>
      <c r="J306" s="504"/>
      <c r="K306" s="504"/>
      <c r="L306" s="504" t="s">
        <v>192</v>
      </c>
      <c r="M306" s="504" t="s">
        <v>192</v>
      </c>
      <c r="N306" s="505" t="str">
        <f t="shared" si="25"/>
        <v xml:space="preserve"> </v>
      </c>
      <c r="O306" s="597"/>
      <c r="P306" s="507" t="s">
        <v>551</v>
      </c>
      <c r="Q306" s="507" t="s">
        <v>551</v>
      </c>
      <c r="R306" s="507" t="s">
        <v>551</v>
      </c>
      <c r="S306" s="598"/>
      <c r="T306" s="599"/>
      <c r="U306" s="599"/>
      <c r="V306" s="599"/>
      <c r="W306" s="599"/>
      <c r="X306" s="599"/>
      <c r="Y306" s="599"/>
      <c r="Z306" s="599"/>
      <c r="AA306" s="599"/>
      <c r="AB306" s="599"/>
      <c r="AC306" s="599"/>
      <c r="AD306" s="599"/>
      <c r="AE306" s="599"/>
      <c r="AF306" s="599"/>
      <c r="AG306" s="599"/>
      <c r="AH306" s="599"/>
      <c r="AI306" s="599"/>
      <c r="AJ306" s="599"/>
      <c r="AK306" s="598"/>
      <c r="AL306" s="599"/>
      <c r="AM306" s="599"/>
      <c r="AN306" s="599"/>
      <c r="AO306" s="599"/>
      <c r="AP306" s="599"/>
      <c r="AQ306" s="599"/>
      <c r="AR306" s="599"/>
      <c r="AS306" s="599"/>
      <c r="AT306" s="599"/>
      <c r="AU306" s="599"/>
      <c r="AV306" s="599"/>
      <c r="AW306" s="599"/>
      <c r="AX306" s="599">
        <f>H306</f>
        <v>1050.41075</v>
      </c>
      <c r="AY306" s="599"/>
      <c r="AZ306" s="599"/>
      <c r="BA306" s="599"/>
      <c r="BB306" s="599"/>
      <c r="BC306" s="599"/>
      <c r="BD306" s="599"/>
      <c r="BE306" s="598"/>
    </row>
    <row r="307" spans="2:57">
      <c r="B307" s="1328"/>
      <c r="C307" s="1329"/>
      <c r="D307" s="501" t="s">
        <v>3523</v>
      </c>
      <c r="E307" s="501"/>
      <c r="F307" s="501" t="s">
        <v>774</v>
      </c>
      <c r="G307" s="501" t="s">
        <v>423</v>
      </c>
      <c r="H307" s="629">
        <v>7658.0259999999998</v>
      </c>
      <c r="I307" s="584" t="s">
        <v>418</v>
      </c>
      <c r="J307" s="504">
        <v>45249.513888888891</v>
      </c>
      <c r="K307" s="504"/>
      <c r="L307" s="504" t="s">
        <v>192</v>
      </c>
      <c r="M307" s="504" t="s">
        <v>192</v>
      </c>
      <c r="N307" s="505" t="str">
        <f t="shared" si="25"/>
        <v>DELAY ( 5 day 14 hour 20 minute )</v>
      </c>
      <c r="O307" s="597"/>
      <c r="P307" s="507" t="s">
        <v>551</v>
      </c>
      <c r="Q307" s="507" t="s">
        <v>551</v>
      </c>
      <c r="R307" s="507" t="s">
        <v>551</v>
      </c>
      <c r="S307" s="598"/>
      <c r="T307" s="599"/>
      <c r="U307" s="599"/>
      <c r="V307" s="599"/>
      <c r="W307" s="599"/>
      <c r="X307" s="599"/>
      <c r="Y307" s="599"/>
      <c r="Z307" s="599"/>
      <c r="AA307" s="599"/>
      <c r="AB307" s="599">
        <f>H307*0.65</f>
        <v>4977.7169000000004</v>
      </c>
      <c r="AC307" s="599">
        <f>H307*0.35</f>
        <v>2680.3090999999999</v>
      </c>
      <c r="AD307" s="599"/>
      <c r="AE307" s="599"/>
      <c r="AF307" s="599"/>
      <c r="AG307" s="599"/>
      <c r="AH307" s="599"/>
      <c r="AI307" s="599"/>
      <c r="AJ307" s="599"/>
      <c r="AK307" s="599"/>
      <c r="AL307" s="599"/>
      <c r="AM307" s="599"/>
      <c r="AN307" s="599"/>
      <c r="AO307" s="599"/>
      <c r="AP307" s="599"/>
      <c r="AQ307" s="599"/>
      <c r="AR307" s="599"/>
      <c r="AS307" s="599"/>
      <c r="AT307" s="599"/>
      <c r="AU307" s="599"/>
      <c r="AV307" s="599"/>
      <c r="AW307" s="599"/>
      <c r="AX307" s="599"/>
      <c r="AY307" s="599"/>
      <c r="AZ307" s="599"/>
      <c r="BA307" s="599"/>
      <c r="BB307" s="599"/>
      <c r="BC307" s="599"/>
      <c r="BD307" s="599"/>
      <c r="BE307" s="598"/>
    </row>
    <row r="308" spans="2:57">
      <c r="B308" s="1326" t="s">
        <v>3734</v>
      </c>
      <c r="C308" s="1327"/>
      <c r="D308" s="501" t="s">
        <v>3612</v>
      </c>
      <c r="E308" s="502"/>
      <c r="F308" s="501" t="s">
        <v>1874</v>
      </c>
      <c r="G308" s="501" t="s">
        <v>1875</v>
      </c>
      <c r="H308" s="629">
        <f>H306</f>
        <v>1050.41075</v>
      </c>
      <c r="I308" s="584" t="s">
        <v>182</v>
      </c>
      <c r="J308" s="504"/>
      <c r="K308" s="504"/>
      <c r="L308" s="504" t="s">
        <v>192</v>
      </c>
      <c r="M308" s="504" t="s">
        <v>192</v>
      </c>
      <c r="N308" s="505" t="str">
        <f t="shared" si="25"/>
        <v xml:space="preserve"> </v>
      </c>
      <c r="O308" s="597"/>
      <c r="P308" s="507" t="s">
        <v>551</v>
      </c>
      <c r="Q308" s="507" t="s">
        <v>551</v>
      </c>
      <c r="R308" s="507" t="s">
        <v>551</v>
      </c>
      <c r="S308" s="598"/>
      <c r="T308" s="599"/>
      <c r="U308" s="599"/>
      <c r="V308" s="599"/>
      <c r="W308" s="599"/>
      <c r="X308" s="599"/>
      <c r="Y308" s="599"/>
      <c r="Z308" s="599"/>
      <c r="AA308" s="599"/>
      <c r="AB308" s="599"/>
      <c r="AC308" s="599"/>
      <c r="AD308" s="599"/>
      <c r="AE308" s="599"/>
      <c r="AF308" s="599"/>
      <c r="AG308" s="599"/>
      <c r="AH308" s="599"/>
      <c r="AI308" s="599"/>
      <c r="AJ308" s="599"/>
      <c r="AK308" s="598"/>
      <c r="AL308" s="599"/>
      <c r="AM308" s="599"/>
      <c r="AN308" s="599"/>
      <c r="AO308" s="599"/>
      <c r="AP308" s="599"/>
      <c r="AQ308" s="599"/>
      <c r="AR308" s="599"/>
      <c r="AS308" s="599"/>
      <c r="AT308" s="599"/>
      <c r="AU308" s="599"/>
      <c r="AV308" s="599"/>
      <c r="AW308" s="599"/>
      <c r="AX308" s="599">
        <f>H308</f>
        <v>1050.41075</v>
      </c>
      <c r="AY308" s="599"/>
      <c r="AZ308" s="599"/>
      <c r="BA308" s="599"/>
      <c r="BB308" s="599"/>
      <c r="BC308" s="599"/>
      <c r="BD308" s="599"/>
      <c r="BE308" s="598"/>
    </row>
    <row r="309" spans="2:57">
      <c r="B309" s="1328"/>
      <c r="C309" s="1329"/>
      <c r="D309" s="501" t="s">
        <v>3524</v>
      </c>
      <c r="E309" s="501"/>
      <c r="F309" s="501" t="s">
        <v>301</v>
      </c>
      <c r="G309" s="501" t="s">
        <v>302</v>
      </c>
      <c r="H309" s="629">
        <v>9115.8729999999996</v>
      </c>
      <c r="I309" s="584" t="s">
        <v>418</v>
      </c>
      <c r="J309" s="504">
        <v>45249.763888888891</v>
      </c>
      <c r="K309" s="504"/>
      <c r="L309" s="504" t="s">
        <v>192</v>
      </c>
      <c r="M309" s="504" t="s">
        <v>192</v>
      </c>
      <c r="N309" s="505" t="str">
        <f t="shared" si="25"/>
        <v>DELAY ( 5 day 20 hour 20 minute )</v>
      </c>
      <c r="O309" s="597"/>
      <c r="P309" s="507" t="s">
        <v>551</v>
      </c>
      <c r="Q309" s="507" t="s">
        <v>551</v>
      </c>
      <c r="R309" s="507" t="s">
        <v>551</v>
      </c>
      <c r="S309" s="598"/>
      <c r="T309" s="599"/>
      <c r="U309" s="599"/>
      <c r="V309" s="599"/>
      <c r="W309" s="599"/>
      <c r="X309" s="599"/>
      <c r="Y309" s="599"/>
      <c r="Z309" s="599"/>
      <c r="AA309" s="599"/>
      <c r="AB309" s="599">
        <f>H309*0.65</f>
        <v>5925.3174499999996</v>
      </c>
      <c r="AC309" s="599">
        <f>H309*0.35</f>
        <v>3190.5555499999996</v>
      </c>
      <c r="AD309" s="599"/>
      <c r="AE309" s="599"/>
      <c r="AF309" s="599"/>
      <c r="AG309" s="599"/>
      <c r="AH309" s="599"/>
      <c r="AI309" s="599"/>
      <c r="AJ309" s="599"/>
      <c r="AK309" s="598"/>
      <c r="AL309" s="599"/>
      <c r="AM309" s="599"/>
      <c r="AN309" s="599"/>
      <c r="AO309" s="599"/>
      <c r="AP309" s="599"/>
      <c r="AQ309" s="599"/>
      <c r="AR309" s="599"/>
      <c r="AS309" s="599"/>
      <c r="AT309" s="599"/>
      <c r="AU309" s="599"/>
      <c r="AV309" s="599"/>
      <c r="AW309" s="599"/>
      <c r="AX309" s="599"/>
      <c r="AY309" s="599"/>
      <c r="AZ309" s="599"/>
      <c r="BA309" s="599"/>
      <c r="BB309" s="599"/>
      <c r="BC309" s="599"/>
      <c r="BD309" s="599"/>
      <c r="BE309" s="598"/>
    </row>
    <row r="310" spans="2:57">
      <c r="B310" s="1326" t="s">
        <v>3710</v>
      </c>
      <c r="C310" s="1327"/>
      <c r="D310" s="501" t="s">
        <v>3612</v>
      </c>
      <c r="E310" s="502"/>
      <c r="F310" s="501" t="s">
        <v>1874</v>
      </c>
      <c r="G310" s="501" t="s">
        <v>1875</v>
      </c>
      <c r="H310" s="629">
        <f>H308</f>
        <v>1050.41075</v>
      </c>
      <c r="I310" s="584" t="s">
        <v>182</v>
      </c>
      <c r="J310" s="504"/>
      <c r="K310" s="504"/>
      <c r="L310" s="504" t="s">
        <v>192</v>
      </c>
      <c r="M310" s="504" t="s">
        <v>192</v>
      </c>
      <c r="N310" s="505" t="str">
        <f t="shared" si="25"/>
        <v xml:space="preserve"> </v>
      </c>
      <c r="O310" s="597"/>
      <c r="P310" s="507" t="s">
        <v>551</v>
      </c>
      <c r="Q310" s="507" t="s">
        <v>551</v>
      </c>
      <c r="R310" s="507" t="s">
        <v>551</v>
      </c>
      <c r="S310" s="598"/>
      <c r="T310" s="599"/>
      <c r="U310" s="599"/>
      <c r="V310" s="599"/>
      <c r="W310" s="599"/>
      <c r="X310" s="599"/>
      <c r="Y310" s="599"/>
      <c r="Z310" s="599"/>
      <c r="AA310" s="599"/>
      <c r="AB310" s="599"/>
      <c r="AC310" s="599"/>
      <c r="AD310" s="599"/>
      <c r="AE310" s="599"/>
      <c r="AF310" s="599"/>
      <c r="AG310" s="599"/>
      <c r="AH310" s="599"/>
      <c r="AI310" s="599"/>
      <c r="AJ310" s="599"/>
      <c r="AK310" s="598"/>
      <c r="AL310" s="599"/>
      <c r="AM310" s="599"/>
      <c r="AN310" s="599"/>
      <c r="AO310" s="599"/>
      <c r="AP310" s="599"/>
      <c r="AQ310" s="599"/>
      <c r="AR310" s="599"/>
      <c r="AS310" s="599"/>
      <c r="AT310" s="599"/>
      <c r="AU310" s="599"/>
      <c r="AV310" s="599"/>
      <c r="AW310" s="599"/>
      <c r="AX310" s="599">
        <f>H310</f>
        <v>1050.41075</v>
      </c>
      <c r="AY310" s="599"/>
      <c r="AZ310" s="599"/>
      <c r="BA310" s="599"/>
      <c r="BB310" s="599"/>
      <c r="BC310" s="599"/>
      <c r="BD310" s="599"/>
      <c r="BE310" s="598"/>
    </row>
    <row r="311" spans="2:57">
      <c r="B311" s="1328"/>
      <c r="C311" s="1329"/>
      <c r="D311" s="501" t="s">
        <v>3525</v>
      </c>
      <c r="E311" s="501"/>
      <c r="F311" s="501" t="s">
        <v>1313</v>
      </c>
      <c r="G311" s="501" t="s">
        <v>2486</v>
      </c>
      <c r="H311" s="629">
        <v>7454.99</v>
      </c>
      <c r="I311" s="584" t="s">
        <v>418</v>
      </c>
      <c r="J311" s="504">
        <v>45250.75</v>
      </c>
      <c r="K311" s="504"/>
      <c r="L311" s="504" t="s">
        <v>192</v>
      </c>
      <c r="M311" s="504" t="s">
        <v>192</v>
      </c>
      <c r="N311" s="505" t="str">
        <f t="shared" si="25"/>
        <v>DELAY ( 6 day 20 hour 0 minute )</v>
      </c>
      <c r="O311" s="597"/>
      <c r="P311" s="507" t="s">
        <v>551</v>
      </c>
      <c r="Q311" s="507" t="s">
        <v>551</v>
      </c>
      <c r="R311" s="507" t="s">
        <v>551</v>
      </c>
      <c r="S311" s="598"/>
      <c r="T311" s="599"/>
      <c r="U311" s="599"/>
      <c r="V311" s="599"/>
      <c r="W311" s="599"/>
      <c r="X311" s="599"/>
      <c r="Y311" s="599"/>
      <c r="Z311" s="599"/>
      <c r="AA311" s="599"/>
      <c r="AB311" s="599">
        <f t="shared" ref="AB311" si="26">H311*0.65</f>
        <v>4845.7434999999996</v>
      </c>
      <c r="AC311" s="599">
        <f>H311*0.35</f>
        <v>2609.2464999999997</v>
      </c>
      <c r="AD311" s="599"/>
      <c r="AE311" s="599"/>
      <c r="AF311" s="599"/>
      <c r="AG311" s="599"/>
      <c r="AH311" s="599"/>
      <c r="AI311" s="599"/>
      <c r="AJ311" s="599"/>
      <c r="AK311" s="599"/>
      <c r="AL311" s="599"/>
      <c r="AM311" s="599"/>
      <c r="AN311" s="599"/>
      <c r="AO311" s="599"/>
      <c r="AP311" s="598"/>
      <c r="AQ311" s="599"/>
      <c r="AR311" s="599"/>
      <c r="AS311" s="599"/>
      <c r="AT311" s="599"/>
      <c r="AU311" s="599"/>
      <c r="AV311" s="599"/>
      <c r="AW311" s="599"/>
      <c r="AX311" s="599"/>
      <c r="AY311" s="599"/>
      <c r="AZ311" s="599"/>
      <c r="BA311" s="599"/>
      <c r="BB311" s="599"/>
      <c r="BC311" s="599"/>
      <c r="BD311" s="599"/>
      <c r="BE311" s="598"/>
    </row>
    <row r="312" spans="2:57">
      <c r="B312" s="1326" t="s">
        <v>653</v>
      </c>
      <c r="C312" s="1327"/>
      <c r="D312" s="501" t="s">
        <v>3617</v>
      </c>
      <c r="E312" s="501"/>
      <c r="F312" s="501" t="s">
        <v>310</v>
      </c>
      <c r="G312" s="501" t="s">
        <v>219</v>
      </c>
      <c r="H312" s="629">
        <v>7528.5640000000003</v>
      </c>
      <c r="I312" s="584" t="s">
        <v>172</v>
      </c>
      <c r="J312" s="504">
        <v>45249.520833333336</v>
      </c>
      <c r="K312" s="504"/>
      <c r="L312" s="504" t="s">
        <v>192</v>
      </c>
      <c r="M312" s="504" t="s">
        <v>192</v>
      </c>
      <c r="N312" s="505" t="str">
        <f t="shared" si="25"/>
        <v>DELAY ( 5 day 14 hour 30 minute )</v>
      </c>
      <c r="O312" s="597"/>
      <c r="P312" s="507" t="s">
        <v>551</v>
      </c>
      <c r="Q312" s="507" t="s">
        <v>551</v>
      </c>
      <c r="R312" s="507" t="s">
        <v>551</v>
      </c>
      <c r="S312" s="598"/>
      <c r="T312" s="599"/>
      <c r="U312" s="599"/>
      <c r="V312" s="599"/>
      <c r="W312" s="599"/>
      <c r="X312" s="599"/>
      <c r="Y312" s="599"/>
      <c r="Z312" s="599"/>
      <c r="AA312" s="599"/>
      <c r="AB312" s="599"/>
      <c r="AC312" s="599"/>
      <c r="AD312" s="599"/>
      <c r="AE312" s="599"/>
      <c r="AF312" s="599"/>
      <c r="AG312" s="599"/>
      <c r="AH312" s="599"/>
      <c r="AI312" s="599"/>
      <c r="AJ312" s="599"/>
      <c r="AK312" s="599"/>
      <c r="AL312" s="599"/>
      <c r="AM312" s="599"/>
      <c r="AN312" s="599"/>
      <c r="AO312" s="599"/>
      <c r="AP312" s="598"/>
      <c r="AQ312" s="599"/>
      <c r="AR312" s="599"/>
      <c r="AS312" s="599"/>
      <c r="AT312" s="599"/>
      <c r="AU312" s="599"/>
      <c r="AV312" s="599"/>
      <c r="AW312" s="599"/>
      <c r="AX312" s="599"/>
      <c r="AY312" s="599">
        <f>H312</f>
        <v>7528.5640000000003</v>
      </c>
      <c r="AZ312" s="599"/>
      <c r="BA312" s="599"/>
      <c r="BB312" s="599"/>
      <c r="BC312" s="599"/>
      <c r="BD312" s="599"/>
      <c r="BE312" s="598"/>
    </row>
    <row r="313" spans="2:57">
      <c r="B313" s="1328"/>
      <c r="C313" s="1329"/>
      <c r="D313" s="501" t="s">
        <v>3526</v>
      </c>
      <c r="E313" s="501"/>
      <c r="F313" s="501" t="s">
        <v>422</v>
      </c>
      <c r="G313" s="501" t="s">
        <v>3342</v>
      </c>
      <c r="H313" s="629">
        <v>7467.683</v>
      </c>
      <c r="I313" s="584" t="s">
        <v>418</v>
      </c>
      <c r="J313" s="504">
        <v>45250.440972222219</v>
      </c>
      <c r="K313" s="504"/>
      <c r="L313" s="504" t="s">
        <v>192</v>
      </c>
      <c r="M313" s="504" t="s">
        <v>192</v>
      </c>
      <c r="N313" s="505" t="str">
        <f t="shared" si="25"/>
        <v>DELAY ( 6 day 12 hour 35 minute )</v>
      </c>
      <c r="O313" s="597"/>
      <c r="P313" s="507" t="s">
        <v>551</v>
      </c>
      <c r="Q313" s="507" t="s">
        <v>551</v>
      </c>
      <c r="R313" s="507" t="s">
        <v>551</v>
      </c>
      <c r="S313" s="598"/>
      <c r="T313" s="599"/>
      <c r="U313" s="599"/>
      <c r="V313" s="599"/>
      <c r="W313" s="599"/>
      <c r="X313" s="599"/>
      <c r="Y313" s="599"/>
      <c r="Z313" s="599"/>
      <c r="AA313" s="599"/>
      <c r="AB313" s="599">
        <f>H313*0.65</f>
        <v>4853.99395</v>
      </c>
      <c r="AC313" s="599">
        <f>H313*0.35</f>
        <v>2613.68905</v>
      </c>
      <c r="AD313" s="599"/>
      <c r="AE313" s="599"/>
      <c r="AF313" s="599"/>
      <c r="AG313" s="599"/>
      <c r="AH313" s="599"/>
      <c r="AI313" s="599"/>
      <c r="AJ313" s="599"/>
      <c r="AK313" s="599"/>
      <c r="AL313" s="599"/>
      <c r="AM313" s="599"/>
      <c r="AN313" s="599"/>
      <c r="AO313" s="599"/>
      <c r="AP313" s="599"/>
      <c r="AQ313" s="599"/>
      <c r="AR313" s="599"/>
      <c r="AS313" s="599"/>
      <c r="AT313" s="599"/>
      <c r="AU313" s="599"/>
      <c r="AV313" s="599"/>
      <c r="AW313" s="599"/>
      <c r="AX313" s="599"/>
      <c r="AY313" s="599"/>
      <c r="AZ313" s="599"/>
      <c r="BA313" s="599"/>
      <c r="BB313" s="599"/>
      <c r="BC313" s="599"/>
      <c r="BD313" s="599"/>
      <c r="BE313" s="598"/>
    </row>
    <row r="314" spans="2:57">
      <c r="B314" s="1315" t="s">
        <v>548</v>
      </c>
      <c r="C314" s="1316"/>
      <c r="D314" s="501" t="s">
        <v>3527</v>
      </c>
      <c r="E314" s="501"/>
      <c r="F314" s="501" t="s">
        <v>390</v>
      </c>
      <c r="G314" s="501" t="s">
        <v>3346</v>
      </c>
      <c r="H314" s="629">
        <f>7463.262-6312.923</f>
        <v>1150.3389999999999</v>
      </c>
      <c r="I314" s="584" t="s">
        <v>418</v>
      </c>
      <c r="J314" s="504">
        <v>45250.458333333336</v>
      </c>
      <c r="K314" s="574"/>
      <c r="L314" s="504" t="s">
        <v>192</v>
      </c>
      <c r="M314" s="504" t="s">
        <v>192</v>
      </c>
      <c r="N314" s="505" t="str">
        <f t="shared" ref="N314:N316" si="27">IF(ISBLANK(J314)," ",IF(J314&lt;$F$298,"On time",(IF(DAY(J314-$F$298)&lt;1,"On time",(IF(J314&gt;$F$298,"DELAY ( "&amp;DAY(J314-$F$298)&amp;" day "&amp;HOUR(J314-$F$298)&amp;" hour "&amp;MINUTE(J314-$F$298)&amp;" minute )","xxx"))))))</f>
        <v>DELAY ( 6 day 13 hour 0 minute )</v>
      </c>
      <c r="O314" s="597"/>
      <c r="P314" s="507" t="s">
        <v>551</v>
      </c>
      <c r="Q314" s="507" t="s">
        <v>551</v>
      </c>
      <c r="R314" s="507" t="s">
        <v>551</v>
      </c>
      <c r="S314" s="598"/>
      <c r="T314" s="599"/>
      <c r="U314" s="599"/>
      <c r="V314" s="599"/>
      <c r="W314" s="599"/>
      <c r="X314" s="599"/>
      <c r="Y314" s="599"/>
      <c r="Z314" s="599"/>
      <c r="AA314" s="599"/>
      <c r="AB314" s="599">
        <f>H314*0.65</f>
        <v>747.72034999999994</v>
      </c>
      <c r="AC314" s="599">
        <f>H314*0.35</f>
        <v>402.61864999999995</v>
      </c>
      <c r="AD314" s="599"/>
      <c r="AE314" s="599"/>
      <c r="AF314" s="599"/>
      <c r="AG314" s="599"/>
      <c r="AH314" s="599"/>
      <c r="AI314" s="599"/>
      <c r="AJ314" s="599"/>
      <c r="AK314" s="599"/>
      <c r="AL314" s="599"/>
      <c r="AM314" s="599"/>
      <c r="AN314" s="599"/>
      <c r="AO314" s="599"/>
      <c r="AP314" s="599"/>
      <c r="AQ314" s="599"/>
      <c r="AR314" s="599"/>
      <c r="AS314" s="599"/>
      <c r="AT314" s="599"/>
      <c r="AU314" s="599"/>
      <c r="AV314" s="599"/>
      <c r="AW314" s="599"/>
      <c r="AX314" s="599"/>
      <c r="AY314" s="599"/>
      <c r="AZ314" s="599"/>
      <c r="BA314" s="599"/>
      <c r="BB314" s="599"/>
      <c r="BC314" s="599"/>
      <c r="BD314" s="599"/>
      <c r="BE314" s="598"/>
    </row>
    <row r="315" spans="2:57">
      <c r="B315" s="1258" t="s">
        <v>556</v>
      </c>
      <c r="C315" s="1259"/>
      <c r="D315" s="1259"/>
      <c r="E315" s="1259"/>
      <c r="F315" s="1259"/>
      <c r="G315" s="1260"/>
      <c r="H315" s="863">
        <f>SUM(H304:H314)</f>
        <v>52199.999999999993</v>
      </c>
      <c r="I315" s="1475"/>
      <c r="J315" s="1475"/>
      <c r="K315" s="1475"/>
      <c r="L315" s="1475"/>
      <c r="M315" s="1475"/>
      <c r="N315" s="505" t="str">
        <f t="shared" si="27"/>
        <v xml:space="preserve"> </v>
      </c>
      <c r="O315" s="212"/>
      <c r="P315" s="590"/>
      <c r="Q315" s="590"/>
      <c r="R315" s="590"/>
      <c r="S315" s="633"/>
      <c r="T315" s="1307"/>
      <c r="U315" s="1308"/>
      <c r="V315" s="1308"/>
      <c r="W315" s="1308"/>
      <c r="X315" s="1308"/>
      <c r="Y315" s="1308"/>
      <c r="Z315" s="1308"/>
      <c r="AA315" s="1308"/>
      <c r="AB315" s="1308"/>
      <c r="AC315" s="1308"/>
      <c r="AD315" s="1308"/>
      <c r="AE315" s="1308"/>
      <c r="AF315" s="1308"/>
      <c r="AG315" s="1308"/>
      <c r="AH315" s="1308"/>
      <c r="AI315" s="1308"/>
      <c r="AJ315" s="1308"/>
      <c r="AK315" s="1308"/>
      <c r="AL315" s="1308"/>
      <c r="AM315" s="1308"/>
      <c r="AN315" s="1308"/>
      <c r="AO315" s="1308"/>
      <c r="AP315" s="1308"/>
      <c r="AQ315" s="1308"/>
      <c r="AR315" s="1308"/>
      <c r="AS315" s="1308"/>
      <c r="AT315" s="1308"/>
      <c r="AU315" s="1308"/>
      <c r="AV315" s="1308"/>
      <c r="AW315" s="1308"/>
      <c r="AX315" s="1308"/>
      <c r="AY315" s="1308"/>
      <c r="AZ315" s="1308"/>
      <c r="BA315" s="1308"/>
      <c r="BB315" s="1308"/>
      <c r="BC315" s="1308"/>
      <c r="BD315" s="1308"/>
    </row>
    <row r="316" spans="2:57">
      <c r="B316" s="1415" t="s">
        <v>557</v>
      </c>
      <c r="C316" s="1416"/>
      <c r="D316" s="1416"/>
      <c r="E316" s="1416"/>
      <c r="F316" s="1416"/>
      <c r="G316" s="1417"/>
      <c r="H316" s="845">
        <v>52200</v>
      </c>
      <c r="I316" s="1455"/>
      <c r="J316" s="1455"/>
      <c r="K316" s="1455"/>
      <c r="L316" s="1455"/>
      <c r="M316" s="1455"/>
      <c r="N316" s="505" t="str">
        <f t="shared" si="27"/>
        <v xml:space="preserve"> </v>
      </c>
      <c r="O316" s="591"/>
      <c r="P316" s="415"/>
      <c r="Q316" s="415"/>
      <c r="R316" s="415"/>
      <c r="S316" s="740"/>
      <c r="T316" s="592">
        <f>SUM(T304:T314)</f>
        <v>0</v>
      </c>
      <c r="U316" s="592">
        <f t="shared" ref="U316:BD316" si="28">SUM(U304:U314)</f>
        <v>0</v>
      </c>
      <c r="V316" s="592">
        <f t="shared" si="28"/>
        <v>0</v>
      </c>
      <c r="W316" s="592">
        <f t="shared" si="28"/>
        <v>0</v>
      </c>
      <c r="X316" s="592">
        <f t="shared" si="28"/>
        <v>0</v>
      </c>
      <c r="Y316" s="592">
        <f t="shared" si="28"/>
        <v>0</v>
      </c>
      <c r="Z316" s="592">
        <f t="shared" si="28"/>
        <v>0</v>
      </c>
      <c r="AA316" s="592">
        <f t="shared" si="28"/>
        <v>0</v>
      </c>
      <c r="AB316" s="592">
        <f t="shared" si="28"/>
        <v>26305.365450000001</v>
      </c>
      <c r="AC316" s="592">
        <f t="shared" si="28"/>
        <v>14164.42755</v>
      </c>
      <c r="AD316" s="592">
        <f t="shared" si="28"/>
        <v>0</v>
      </c>
      <c r="AE316" s="592">
        <f t="shared" si="28"/>
        <v>0</v>
      </c>
      <c r="AF316" s="592">
        <f t="shared" si="28"/>
        <v>0</v>
      </c>
      <c r="AG316" s="592">
        <f t="shared" si="28"/>
        <v>0</v>
      </c>
      <c r="AH316" s="592">
        <f t="shared" si="28"/>
        <v>0</v>
      </c>
      <c r="AI316" s="592">
        <f t="shared" si="28"/>
        <v>0</v>
      </c>
      <c r="AJ316" s="592">
        <f t="shared" si="28"/>
        <v>0</v>
      </c>
      <c r="AK316" s="592">
        <f t="shared" si="28"/>
        <v>0</v>
      </c>
      <c r="AL316" s="592">
        <f t="shared" si="28"/>
        <v>0</v>
      </c>
      <c r="AM316" s="592">
        <f t="shared" si="28"/>
        <v>0</v>
      </c>
      <c r="AN316" s="592">
        <f t="shared" si="28"/>
        <v>0</v>
      </c>
      <c r="AO316" s="592">
        <f t="shared" si="28"/>
        <v>0</v>
      </c>
      <c r="AP316" s="592">
        <f t="shared" si="28"/>
        <v>0</v>
      </c>
      <c r="AQ316" s="592">
        <f t="shared" si="28"/>
        <v>0</v>
      </c>
      <c r="AR316" s="592">
        <f t="shared" si="28"/>
        <v>0</v>
      </c>
      <c r="AS316" s="592">
        <f t="shared" si="28"/>
        <v>0</v>
      </c>
      <c r="AT316" s="592">
        <f t="shared" si="28"/>
        <v>0</v>
      </c>
      <c r="AU316" s="592">
        <f t="shared" si="28"/>
        <v>0</v>
      </c>
      <c r="AV316" s="592">
        <f t="shared" si="28"/>
        <v>0</v>
      </c>
      <c r="AW316" s="592">
        <f t="shared" si="28"/>
        <v>0</v>
      </c>
      <c r="AX316" s="592">
        <f t="shared" si="28"/>
        <v>4201.643</v>
      </c>
      <c r="AY316" s="592">
        <f t="shared" si="28"/>
        <v>7528.5640000000003</v>
      </c>
      <c r="AZ316" s="592">
        <f t="shared" si="28"/>
        <v>0</v>
      </c>
      <c r="BA316" s="592">
        <f t="shared" si="28"/>
        <v>0</v>
      </c>
      <c r="BB316" s="592">
        <f t="shared" si="28"/>
        <v>0</v>
      </c>
      <c r="BC316" s="592">
        <f t="shared" si="28"/>
        <v>0</v>
      </c>
      <c r="BD316" s="592">
        <f t="shared" si="28"/>
        <v>0</v>
      </c>
      <c r="BE316" s="592">
        <f>SUM(T316:BD316)</f>
        <v>52200</v>
      </c>
    </row>
    <row r="317" spans="2:57">
      <c r="B317" s="1415" t="s">
        <v>558</v>
      </c>
      <c r="C317" s="1416"/>
      <c r="D317" s="1416"/>
      <c r="E317" s="1416"/>
      <c r="F317" s="1416"/>
      <c r="G317" s="1417"/>
      <c r="H317" s="712">
        <f>H316-L298</f>
        <v>0</v>
      </c>
      <c r="I317" s="745"/>
      <c r="J317" s="746"/>
      <c r="K317" s="746"/>
      <c r="L317" s="674"/>
      <c r="M317" s="633"/>
      <c r="N317" s="591"/>
      <c r="O317" s="591"/>
      <c r="P317" s="591"/>
      <c r="Q317" s="744"/>
      <c r="R317" s="744"/>
      <c r="S317" s="591"/>
      <c r="T317" s="645"/>
      <c r="U317" s="645"/>
      <c r="V317" s="645"/>
      <c r="W317" s="645"/>
      <c r="X317" s="645"/>
      <c r="Y317" s="645"/>
      <c r="Z317" s="645"/>
      <c r="AA317" s="645"/>
      <c r="AB317" s="645"/>
      <c r="AC317" s="591"/>
      <c r="AD317" s="591"/>
      <c r="AE317" s="591"/>
      <c r="AF317" s="591"/>
      <c r="AG317" s="591"/>
      <c r="AH317" s="591"/>
      <c r="AI317" s="591"/>
      <c r="AJ317" s="591"/>
      <c r="AK317" s="591"/>
      <c r="AL317" s="591"/>
      <c r="AM317" s="591"/>
      <c r="AN317" s="591"/>
      <c r="AO317" s="591"/>
      <c r="AP317" s="591"/>
      <c r="AQ317" s="591"/>
      <c r="AR317" s="591"/>
    </row>
    <row r="318" spans="2:57">
      <c r="B318" s="1415" t="s">
        <v>559</v>
      </c>
      <c r="C318" s="1416"/>
      <c r="D318" s="1416"/>
      <c r="E318" s="1416"/>
      <c r="F318" s="1416"/>
      <c r="G318" s="1417"/>
      <c r="H318" s="747">
        <v>5366.6080000000002</v>
      </c>
      <c r="I318" s="745"/>
      <c r="J318" s="746"/>
      <c r="K318" s="746"/>
      <c r="L318" s="674"/>
      <c r="M318" s="633"/>
      <c r="N318" s="613"/>
      <c r="O318" s="591"/>
      <c r="P318" s="591"/>
      <c r="Q318" s="591"/>
      <c r="R318" s="591"/>
      <c r="S318" s="591"/>
      <c r="T318" s="645"/>
      <c r="U318" s="645"/>
      <c r="V318" s="645"/>
      <c r="W318" s="645"/>
      <c r="X318" s="645"/>
      <c r="Y318" s="645"/>
      <c r="Z318" s="645"/>
      <c r="AA318" s="645"/>
      <c r="AB318" s="645"/>
      <c r="AC318" s="591"/>
      <c r="AD318" s="591"/>
      <c r="AE318" s="591"/>
      <c r="AF318" s="591"/>
      <c r="AG318" s="591"/>
      <c r="AH318" s="591"/>
      <c r="AI318" s="591"/>
      <c r="AJ318" s="591"/>
      <c r="AK318" s="591"/>
      <c r="AL318" s="591"/>
      <c r="AM318" s="591"/>
      <c r="AN318" s="591"/>
      <c r="AO318" s="591"/>
      <c r="AP318" s="591"/>
      <c r="AQ318" s="591"/>
      <c r="AR318" s="591"/>
    </row>
    <row r="319" spans="2:57" ht="11.25" customHeight="1">
      <c r="B319" s="1415" t="s">
        <v>560</v>
      </c>
      <c r="C319" s="1416"/>
      <c r="D319" s="1416"/>
      <c r="E319" s="1416"/>
      <c r="F319" s="1416"/>
      <c r="G319" s="1417"/>
      <c r="H319" s="741">
        <f>H318-6312.923</f>
        <v>-946.3149999999996</v>
      </c>
      <c r="I319" s="641"/>
      <c r="J319" s="642"/>
      <c r="K319" s="642"/>
      <c r="L319" s="499"/>
      <c r="M319" s="613"/>
      <c r="N319" s="613"/>
      <c r="O319" s="613"/>
      <c r="P319" s="613"/>
      <c r="Q319" s="613"/>
      <c r="R319" s="613"/>
      <c r="S319" s="616"/>
      <c r="T319" s="616"/>
      <c r="U319" s="616"/>
      <c r="V319" s="616"/>
      <c r="W319" s="616"/>
      <c r="X319" s="616"/>
      <c r="Y319" s="616"/>
      <c r="Z319" s="616"/>
      <c r="AA319" s="616"/>
      <c r="AB319" s="613">
        <f>-(H318*0.6)</f>
        <v>-3219.9648000000002</v>
      </c>
      <c r="AC319" s="613">
        <f>-(H318*0.4)</f>
        <v>-2146.6432</v>
      </c>
      <c r="AD319" s="613"/>
      <c r="AE319" s="613"/>
      <c r="AF319" s="613"/>
      <c r="AG319" s="613"/>
      <c r="AH319" s="613"/>
      <c r="AI319" s="613"/>
      <c r="AJ319" s="613"/>
      <c r="AK319" s="613"/>
      <c r="AL319" s="613"/>
      <c r="AM319" s="613"/>
      <c r="AN319" s="613"/>
      <c r="AO319" s="613"/>
      <c r="AP319" s="613"/>
      <c r="AQ319" s="613"/>
      <c r="AR319" s="496"/>
      <c r="AS319" s="496"/>
      <c r="AT319" s="496"/>
      <c r="AU319" s="496"/>
      <c r="AV319" s="496"/>
      <c r="AW319" s="496"/>
      <c r="AX319" s="496"/>
      <c r="AY319" s="496"/>
      <c r="AZ319" s="496"/>
      <c r="BA319" s="496"/>
    </row>
    <row r="320" spans="2:57">
      <c r="B320" s="613"/>
      <c r="C320" s="613"/>
      <c r="D320" s="613"/>
      <c r="E320" s="613"/>
      <c r="F320" s="613"/>
      <c r="G320" s="613"/>
      <c r="H320" s="613"/>
      <c r="I320" s="643"/>
      <c r="J320" s="641"/>
      <c r="K320" s="641"/>
      <c r="L320" s="644"/>
      <c r="M320" s="613"/>
      <c r="N320" s="613"/>
      <c r="O320" s="641"/>
      <c r="P320" s="591"/>
      <c r="Q320" s="591"/>
      <c r="R320" s="591"/>
      <c r="S320" s="591"/>
      <c r="T320" s="645"/>
      <c r="U320" s="645"/>
      <c r="V320" s="645"/>
      <c r="W320" s="645"/>
      <c r="X320" s="645"/>
      <c r="Y320" s="645"/>
      <c r="Z320" s="645"/>
      <c r="AA320" s="645"/>
      <c r="AB320" s="645"/>
      <c r="AC320" s="591"/>
      <c r="AD320" s="591"/>
      <c r="AE320" s="591"/>
      <c r="AF320" s="591"/>
      <c r="AG320" s="591"/>
      <c r="AH320" s="591"/>
      <c r="AI320" s="591"/>
      <c r="AJ320" s="591"/>
      <c r="AK320" s="591"/>
      <c r="AL320" s="591"/>
      <c r="AM320" s="591"/>
      <c r="AN320" s="591"/>
      <c r="AO320" s="591"/>
      <c r="AP320" s="591"/>
      <c r="AQ320" s="591"/>
      <c r="AR320" s="591"/>
    </row>
    <row r="321" spans="2:57">
      <c r="B321" s="619" t="s">
        <v>561</v>
      </c>
      <c r="C321" s="619"/>
      <c r="D321" s="591"/>
      <c r="E321" s="591"/>
      <c r="F321" s="591"/>
      <c r="G321" s="591"/>
      <c r="H321" s="591"/>
      <c r="I321" s="591"/>
      <c r="J321" s="646"/>
      <c r="K321" s="646"/>
      <c r="L321" s="647"/>
      <c r="M321" s="591"/>
      <c r="N321" s="613"/>
      <c r="O321" s="646"/>
      <c r="P321" s="616"/>
      <c r="Q321" s="616"/>
      <c r="R321" s="616"/>
      <c r="S321" s="616"/>
      <c r="T321" s="616"/>
      <c r="U321" s="616"/>
      <c r="V321" s="616"/>
      <c r="W321" s="616"/>
      <c r="X321" s="616"/>
      <c r="Y321" s="616"/>
      <c r="Z321" s="616"/>
      <c r="AA321" s="616"/>
      <c r="AB321" s="613"/>
      <c r="AC321" s="613"/>
      <c r="AD321" s="613"/>
      <c r="AE321" s="613"/>
      <c r="AF321" s="613"/>
      <c r="AG321" s="613"/>
      <c r="AH321" s="613"/>
      <c r="AI321" s="613"/>
      <c r="AJ321" s="613"/>
      <c r="AK321" s="613"/>
      <c r="AL321" s="613"/>
      <c r="AM321" s="613"/>
      <c r="AN321" s="613"/>
      <c r="AO321" s="613"/>
      <c r="AP321" s="613"/>
      <c r="AQ321" s="613"/>
      <c r="AR321" s="613"/>
      <c r="AS321" s="613"/>
      <c r="AT321" s="613"/>
      <c r="AU321" s="613"/>
      <c r="BE321" s="613"/>
    </row>
    <row r="322" spans="2:57">
      <c r="B322" s="422">
        <v>1</v>
      </c>
      <c r="C322" s="1291" t="s">
        <v>3735</v>
      </c>
      <c r="D322" s="1292"/>
      <c r="E322" s="1292"/>
      <c r="F322" s="1292"/>
      <c r="G322" s="1292"/>
      <c r="H322" s="1292"/>
      <c r="I322" s="1292"/>
      <c r="J322" s="1292"/>
      <c r="K322" s="1293"/>
      <c r="L322" s="644"/>
      <c r="M322" s="644"/>
      <c r="N322" s="613"/>
      <c r="O322" s="641"/>
      <c r="P322" s="616"/>
      <c r="Q322" s="616"/>
      <c r="R322" s="616"/>
      <c r="S322" s="616"/>
      <c r="T322" s="616"/>
      <c r="U322" s="616"/>
      <c r="V322" s="616"/>
      <c r="W322" s="616"/>
      <c r="X322" s="616"/>
      <c r="Y322" s="616"/>
      <c r="Z322" s="616"/>
      <c r="AA322" s="616"/>
      <c r="AB322" s="613"/>
      <c r="AC322" s="613"/>
      <c r="AD322" s="613"/>
      <c r="AE322" s="613"/>
      <c r="AF322" s="613"/>
      <c r="AG322" s="613"/>
      <c r="AH322" s="613"/>
      <c r="AI322" s="613"/>
      <c r="AJ322" s="613"/>
      <c r="AK322" s="613"/>
      <c r="AL322" s="613"/>
      <c r="AM322" s="613"/>
      <c r="AN322" s="613"/>
      <c r="AO322" s="613"/>
      <c r="AP322" s="613"/>
      <c r="AQ322" s="613"/>
      <c r="AR322" s="613"/>
      <c r="AS322" s="613"/>
      <c r="AT322" s="613"/>
      <c r="AU322" s="613"/>
      <c r="AV322" s="613"/>
      <c r="AW322" s="613"/>
      <c r="AX322" s="613"/>
      <c r="AY322" s="613"/>
      <c r="AZ322" s="613"/>
      <c r="BA322" s="613"/>
      <c r="BB322" s="613"/>
      <c r="BC322" s="613"/>
      <c r="BD322" s="613"/>
      <c r="BE322" s="613"/>
    </row>
    <row r="324" spans="2:57">
      <c r="B324" s="680" t="s">
        <v>126</v>
      </c>
      <c r="C324" s="680"/>
      <c r="D324" s="681"/>
      <c r="E324" s="682" t="s">
        <v>511</v>
      </c>
      <c r="F324" s="683" t="s">
        <v>3148</v>
      </c>
      <c r="G324" s="598"/>
      <c r="H324" s="684"/>
      <c r="I324" s="685"/>
      <c r="J324" s="686" t="s">
        <v>513</v>
      </c>
      <c r="K324" s="687" t="s">
        <v>511</v>
      </c>
      <c r="L324" s="516">
        <v>45251.604861111111</v>
      </c>
      <c r="M324" s="598"/>
      <c r="N324" s="598"/>
      <c r="O324" s="687"/>
      <c r="P324" s="684"/>
      <c r="Q324" s="688"/>
      <c r="R324" s="689"/>
      <c r="S324" s="690"/>
      <c r="T324" s="598"/>
      <c r="U324" s="598"/>
      <c r="V324" s="598"/>
      <c r="W324" s="598"/>
      <c r="X324" s="598"/>
      <c r="Y324" s="598"/>
      <c r="Z324" s="598"/>
      <c r="AA324" s="598"/>
      <c r="AB324" s="688"/>
      <c r="AC324" s="688"/>
      <c r="AD324" s="688"/>
      <c r="AE324" s="688"/>
      <c r="AF324" s="688"/>
      <c r="AG324" s="598"/>
      <c r="AH324" s="598"/>
      <c r="AI324" s="598"/>
      <c r="AJ324" s="598"/>
      <c r="AK324" s="598"/>
      <c r="AL324" s="598"/>
      <c r="AM324" s="598"/>
      <c r="AN324" s="598"/>
      <c r="AO324" s="598"/>
      <c r="AP324" s="598"/>
      <c r="AQ324" s="598"/>
      <c r="AR324" s="598"/>
      <c r="AS324" s="598"/>
      <c r="AT324" s="598"/>
      <c r="AU324" s="598"/>
      <c r="AV324" s="598"/>
      <c r="AW324" s="598"/>
      <c r="AX324" s="598"/>
      <c r="AY324" s="598"/>
      <c r="AZ324" s="598"/>
      <c r="BA324" s="598"/>
      <c r="BB324" s="598"/>
      <c r="BC324" s="598"/>
      <c r="BD324" s="598"/>
      <c r="BE324" s="598"/>
    </row>
    <row r="325" spans="2:57">
      <c r="B325" s="686" t="s">
        <v>514</v>
      </c>
      <c r="C325" s="686"/>
      <c r="D325" s="598"/>
      <c r="E325" s="687" t="s">
        <v>511</v>
      </c>
      <c r="F325" s="691" t="s">
        <v>3736</v>
      </c>
      <c r="G325" s="598"/>
      <c r="H325" s="684"/>
      <c r="I325" s="685"/>
      <c r="J325" s="686" t="s">
        <v>516</v>
      </c>
      <c r="K325" s="687" t="s">
        <v>511</v>
      </c>
      <c r="L325" s="516">
        <f>'VLU 2023 &amp; 2024'!$N$219</f>
        <v>45252.9</v>
      </c>
      <c r="M325" s="598"/>
      <c r="N325" s="598"/>
      <c r="O325" s="687"/>
      <c r="P325" s="684"/>
      <c r="Q325" s="688"/>
      <c r="R325" s="689"/>
      <c r="S325" s="690"/>
      <c r="T325" s="598"/>
      <c r="U325" s="598"/>
      <c r="V325" s="598"/>
      <c r="W325" s="598"/>
      <c r="X325" s="598"/>
      <c r="Y325" s="598"/>
      <c r="Z325" s="598"/>
      <c r="AA325" s="598"/>
      <c r="AB325" s="688"/>
      <c r="AC325" s="688"/>
      <c r="AD325" s="688"/>
      <c r="AE325" s="688"/>
      <c r="AF325" s="688"/>
      <c r="AG325" s="598"/>
      <c r="AH325" s="598"/>
      <c r="AI325" s="598"/>
      <c r="AJ325" s="598"/>
      <c r="AK325" s="598"/>
      <c r="AL325" s="598"/>
      <c r="AM325" s="598"/>
      <c r="AN325" s="598"/>
      <c r="AO325" s="598"/>
      <c r="AP325" s="598"/>
      <c r="AQ325" s="598"/>
      <c r="AR325" s="598"/>
      <c r="AS325" s="598"/>
      <c r="AT325" s="598"/>
      <c r="AU325" s="598"/>
      <c r="AV325" s="598"/>
      <c r="AW325" s="598"/>
      <c r="AX325" s="598"/>
      <c r="AY325" s="598"/>
      <c r="AZ325" s="598"/>
      <c r="BA325" s="598"/>
      <c r="BB325" s="598"/>
      <c r="BC325" s="598"/>
      <c r="BD325" s="598"/>
      <c r="BE325" s="598"/>
    </row>
    <row r="326" spans="2:57">
      <c r="B326" s="686" t="s">
        <v>517</v>
      </c>
      <c r="C326" s="686"/>
      <c r="D326" s="598"/>
      <c r="E326" s="687" t="s">
        <v>511</v>
      </c>
      <c r="F326" s="516">
        <v>45240.929166666669</v>
      </c>
      <c r="G326" s="598"/>
      <c r="H326" s="684"/>
      <c r="I326" s="685"/>
      <c r="J326" s="686" t="s">
        <v>518</v>
      </c>
      <c r="K326" s="687" t="s">
        <v>511</v>
      </c>
      <c r="L326" s="692">
        <v>55000</v>
      </c>
      <c r="M326" s="693" t="s">
        <v>519</v>
      </c>
      <c r="N326" s="693"/>
      <c r="O326" s="687"/>
      <c r="P326" s="684"/>
      <c r="Q326" s="688"/>
      <c r="R326" s="689"/>
      <c r="S326" s="690"/>
      <c r="T326" s="598"/>
      <c r="U326" s="598"/>
      <c r="V326" s="598"/>
      <c r="W326" s="598"/>
      <c r="X326" s="598"/>
      <c r="Y326" s="598"/>
      <c r="Z326" s="598"/>
      <c r="AA326" s="598"/>
      <c r="AB326" s="688"/>
      <c r="AC326" s="688"/>
      <c r="AD326" s="688"/>
      <c r="AE326" s="688"/>
      <c r="AF326" s="688"/>
      <c r="AG326" s="598"/>
      <c r="AH326" s="598"/>
      <c r="AI326" s="598"/>
      <c r="AJ326" s="598"/>
      <c r="AK326" s="598"/>
      <c r="AL326" s="598"/>
      <c r="AM326" s="598"/>
      <c r="AN326" s="598"/>
      <c r="AO326" s="598"/>
      <c r="AP326" s="598"/>
      <c r="AQ326" s="598"/>
      <c r="AR326" s="598"/>
      <c r="AS326" s="598"/>
      <c r="AT326" s="598"/>
      <c r="AU326" s="598"/>
      <c r="AV326" s="598"/>
      <c r="AW326" s="598"/>
      <c r="AX326" s="598"/>
      <c r="AY326" s="598"/>
      <c r="AZ326" s="598"/>
      <c r="BA326" s="598"/>
      <c r="BB326" s="598"/>
      <c r="BC326" s="598"/>
      <c r="BD326" s="598"/>
      <c r="BE326" s="598"/>
    </row>
    <row r="327" spans="2:57">
      <c r="B327" s="686" t="s">
        <v>520</v>
      </c>
      <c r="C327" s="686"/>
      <c r="D327" s="598"/>
      <c r="E327" s="687" t="s">
        <v>511</v>
      </c>
      <c r="F327" s="516" t="s">
        <v>20</v>
      </c>
      <c r="G327" s="598"/>
      <c r="H327" s="684"/>
      <c r="I327" s="685"/>
      <c r="J327" s="686" t="s">
        <v>521</v>
      </c>
      <c r="K327" s="687" t="s">
        <v>511</v>
      </c>
      <c r="L327" s="839" t="s">
        <v>3149</v>
      </c>
      <c r="M327" s="598"/>
      <c r="N327" s="598"/>
      <c r="O327" s="687"/>
      <c r="P327" s="688"/>
      <c r="Q327" s="688"/>
      <c r="R327" s="689"/>
      <c r="S327" s="690"/>
      <c r="T327" s="598"/>
      <c r="U327" s="598"/>
      <c r="V327" s="598"/>
      <c r="W327" s="598"/>
      <c r="X327" s="598"/>
      <c r="Y327" s="598"/>
      <c r="Z327" s="598"/>
      <c r="AA327" s="598"/>
      <c r="AB327" s="688"/>
      <c r="AC327" s="688"/>
      <c r="AD327" s="688"/>
      <c r="AE327" s="688"/>
      <c r="AF327" s="688"/>
      <c r="AG327" s="598"/>
      <c r="AH327" s="598"/>
      <c r="AI327" s="598"/>
      <c r="AJ327" s="598"/>
      <c r="AK327" s="598"/>
      <c r="AL327" s="598"/>
      <c r="AM327" s="598"/>
      <c r="AN327" s="598"/>
      <c r="AO327" s="598"/>
      <c r="AP327" s="598"/>
      <c r="AQ327" s="598"/>
      <c r="AR327" s="598"/>
      <c r="AS327" s="598"/>
      <c r="AT327" s="598"/>
      <c r="AU327" s="598"/>
      <c r="AV327" s="598"/>
      <c r="AW327" s="598"/>
      <c r="AX327" s="598"/>
      <c r="AY327" s="598"/>
      <c r="AZ327" s="598"/>
      <c r="BA327" s="598"/>
      <c r="BB327" s="598"/>
      <c r="BC327" s="598"/>
      <c r="BD327" s="598"/>
      <c r="BE327" s="598"/>
    </row>
    <row r="328" spans="2:57">
      <c r="B328" s="686" t="s">
        <v>523</v>
      </c>
      <c r="C328" s="686"/>
      <c r="D328" s="598"/>
      <c r="E328" s="687" t="s">
        <v>511</v>
      </c>
      <c r="F328" s="516" t="s">
        <v>47</v>
      </c>
      <c r="G328" s="598"/>
      <c r="H328" s="684"/>
      <c r="I328" s="685"/>
      <c r="J328" s="686" t="s">
        <v>524</v>
      </c>
      <c r="K328" s="687" t="s">
        <v>511</v>
      </c>
      <c r="L328" s="694" t="s">
        <v>15</v>
      </c>
      <c r="M328" s="695"/>
      <c r="N328" s="695"/>
      <c r="O328" s="687"/>
      <c r="P328" s="684"/>
      <c r="Q328" s="688"/>
      <c r="R328" s="689"/>
      <c r="S328" s="690"/>
      <c r="T328" s="598"/>
      <c r="U328" s="598"/>
      <c r="V328" s="598"/>
      <c r="W328" s="598"/>
      <c r="X328" s="598"/>
      <c r="Y328" s="598"/>
      <c r="Z328" s="598"/>
      <c r="AA328" s="598"/>
      <c r="AB328" s="688"/>
      <c r="AC328" s="688"/>
      <c r="AD328" s="688"/>
      <c r="AE328" s="688"/>
      <c r="AF328" s="688"/>
      <c r="AG328" s="598"/>
      <c r="AH328" s="598"/>
      <c r="AI328" s="598"/>
      <c r="AJ328" s="598"/>
      <c r="AK328" s="598"/>
      <c r="AL328" s="598"/>
      <c r="AM328" s="598"/>
      <c r="AN328" s="598"/>
      <c r="AO328" s="598"/>
      <c r="AP328" s="598"/>
      <c r="AQ328" s="598"/>
      <c r="AR328" s="598"/>
      <c r="AS328" s="598"/>
      <c r="AT328" s="598"/>
      <c r="AU328" s="598"/>
      <c r="AV328" s="598"/>
      <c r="AW328" s="598"/>
      <c r="AX328" s="598"/>
      <c r="AY328" s="598"/>
      <c r="AZ328" s="598"/>
      <c r="BA328" s="598"/>
      <c r="BB328" s="598"/>
      <c r="BC328" s="598"/>
      <c r="BD328" s="598"/>
      <c r="BE328" s="598"/>
    </row>
    <row r="329" spans="2:57">
      <c r="B329" s="686" t="s">
        <v>2</v>
      </c>
      <c r="C329" s="686"/>
      <c r="D329" s="598"/>
      <c r="E329" s="687" t="s">
        <v>511</v>
      </c>
      <c r="F329" s="516" t="s">
        <v>18</v>
      </c>
      <c r="G329" s="598"/>
      <c r="H329" s="684"/>
      <c r="I329" s="696"/>
      <c r="J329" s="686"/>
      <c r="K329" s="687"/>
      <c r="L329" s="516"/>
      <c r="M329" s="598"/>
      <c r="N329" s="598"/>
      <c r="O329" s="686"/>
      <c r="P329" s="695"/>
      <c r="Q329" s="695"/>
      <c r="R329" s="695"/>
      <c r="S329" s="685"/>
      <c r="T329" s="598"/>
      <c r="U329" s="598"/>
      <c r="V329" s="598"/>
      <c r="W329" s="598"/>
      <c r="X329" s="598"/>
      <c r="Y329" s="598"/>
      <c r="Z329" s="598"/>
      <c r="AA329" s="598"/>
      <c r="AB329" s="685"/>
      <c r="AC329" s="685"/>
      <c r="AD329" s="685"/>
      <c r="AE329" s="685"/>
      <c r="AF329" s="685"/>
      <c r="AG329" s="685"/>
      <c r="AH329" s="685"/>
      <c r="AI329" s="685"/>
      <c r="AJ329" s="685"/>
      <c r="AK329" s="685"/>
      <c r="AL329" s="685"/>
      <c r="AM329" s="685"/>
      <c r="AN329" s="685"/>
      <c r="AO329" s="598"/>
      <c r="AP329" s="598"/>
      <c r="AQ329" s="598"/>
      <c r="AR329" s="598"/>
      <c r="AS329" s="598"/>
      <c r="AT329" s="598"/>
      <c r="AU329" s="598"/>
      <c r="AV329" s="598"/>
      <c r="AW329" s="598"/>
      <c r="AX329" s="598"/>
      <c r="AY329" s="598"/>
      <c r="AZ329" s="598"/>
      <c r="BA329" s="598"/>
      <c r="BB329" s="598"/>
      <c r="BC329" s="598"/>
      <c r="BD329" s="598"/>
      <c r="BE329" s="598"/>
    </row>
    <row r="330" spans="2:57">
      <c r="B330" s="598"/>
      <c r="C330" s="598"/>
      <c r="D330" s="598"/>
      <c r="E330" s="598"/>
      <c r="F330" s="598"/>
      <c r="G330" s="598"/>
      <c r="H330" s="598"/>
      <c r="I330" s="696"/>
      <c r="J330" s="686"/>
      <c r="K330" s="686"/>
      <c r="L330" s="694"/>
      <c r="M330" s="695"/>
      <c r="N330" s="695"/>
      <c r="O330" s="686"/>
      <c r="P330" s="695"/>
      <c r="Q330" s="695"/>
      <c r="R330" s="695"/>
      <c r="S330" s="685"/>
      <c r="T330" s="1440" t="s">
        <v>87</v>
      </c>
      <c r="U330" s="1440"/>
      <c r="V330" s="1440"/>
      <c r="W330" s="1440"/>
      <c r="X330" s="1440"/>
      <c r="Y330" s="1440" t="s">
        <v>73</v>
      </c>
      <c r="Z330" s="1440"/>
      <c r="AA330" s="1440"/>
      <c r="AB330" s="1440" t="s">
        <v>74</v>
      </c>
      <c r="AC330" s="1440"/>
      <c r="AD330" s="697" t="s">
        <v>85</v>
      </c>
      <c r="AE330" s="840" t="s">
        <v>77</v>
      </c>
      <c r="AF330" s="1465" t="s">
        <v>525</v>
      </c>
      <c r="AG330" s="1465"/>
      <c r="AH330" s="1465"/>
      <c r="AI330" s="1465"/>
      <c r="AJ330" s="1465"/>
      <c r="AK330" s="1465"/>
      <c r="AL330" s="1465"/>
      <c r="AM330" s="1465"/>
      <c r="AN330" s="1465"/>
      <c r="AO330" s="1465"/>
      <c r="AP330" s="1465"/>
      <c r="AQ330" s="1465"/>
      <c r="AR330" s="1465"/>
      <c r="AS330" s="1465"/>
      <c r="AT330" s="1465"/>
      <c r="AU330" s="1465"/>
      <c r="AV330" s="1465"/>
      <c r="AW330" s="1465"/>
      <c r="AX330" s="1465"/>
      <c r="AY330" s="1465"/>
      <c r="AZ330" s="1465"/>
      <c r="BA330" s="1465"/>
      <c r="BB330" s="1465"/>
      <c r="BC330" s="1465"/>
      <c r="BD330" s="1465"/>
      <c r="BE330" s="598"/>
    </row>
    <row r="331" spans="2:57">
      <c r="B331" s="1441" t="s">
        <v>526</v>
      </c>
      <c r="C331" s="1442"/>
      <c r="D331" s="698" t="s">
        <v>527</v>
      </c>
      <c r="E331" s="698"/>
      <c r="F331" s="698" t="s">
        <v>528</v>
      </c>
      <c r="G331" s="698" t="s">
        <v>529</v>
      </c>
      <c r="H331" s="698" t="s">
        <v>530</v>
      </c>
      <c r="I331" s="698" t="s">
        <v>531</v>
      </c>
      <c r="J331" s="698" t="s">
        <v>532</v>
      </c>
      <c r="K331" s="698"/>
      <c r="L331" s="698" t="s">
        <v>130</v>
      </c>
      <c r="M331" s="698" t="s">
        <v>533</v>
      </c>
      <c r="N331" s="625" t="str">
        <f>"On time - "&amp;COUNTIF(N332:N341,"On time")&amp;" from "&amp;ROWS(N332:N341)-COUNTIF(N332:N341," ")</f>
        <v>On time - 0 from 7</v>
      </c>
      <c r="O331" s="699"/>
      <c r="P331" s="700" t="s">
        <v>534</v>
      </c>
      <c r="Q331" s="700" t="s">
        <v>535</v>
      </c>
      <c r="R331" s="700" t="s">
        <v>536</v>
      </c>
      <c r="S331" s="598"/>
      <c r="T331" s="701" t="s">
        <v>537</v>
      </c>
      <c r="U331" s="701" t="s">
        <v>538</v>
      </c>
      <c r="V331" s="701" t="s">
        <v>539</v>
      </c>
      <c r="W331" s="701" t="s">
        <v>540</v>
      </c>
      <c r="X331" s="701" t="s">
        <v>541</v>
      </c>
      <c r="Y331" s="701" t="s">
        <v>167</v>
      </c>
      <c r="Z331" s="701" t="s">
        <v>168</v>
      </c>
      <c r="AA331" s="701" t="s">
        <v>169</v>
      </c>
      <c r="AB331" s="701" t="s">
        <v>235</v>
      </c>
      <c r="AC331" s="701" t="s">
        <v>240</v>
      </c>
      <c r="AD331" s="697" t="s">
        <v>85</v>
      </c>
      <c r="AE331" s="701" t="s">
        <v>139</v>
      </c>
      <c r="AF331" s="841" t="s">
        <v>72</v>
      </c>
      <c r="AG331" s="841" t="s">
        <v>88</v>
      </c>
      <c r="AH331" s="841" t="s">
        <v>75</v>
      </c>
      <c r="AI331" s="841" t="s">
        <v>543</v>
      </c>
      <c r="AJ331" s="841" t="s">
        <v>78</v>
      </c>
      <c r="AK331" s="841" t="s">
        <v>76</v>
      </c>
      <c r="AL331" s="841" t="s">
        <v>544</v>
      </c>
      <c r="AM331" s="841" t="s">
        <v>545</v>
      </c>
      <c r="AN331" s="841" t="s">
        <v>86</v>
      </c>
      <c r="AO331" s="841" t="s">
        <v>83</v>
      </c>
      <c r="AP331" s="841" t="s">
        <v>84</v>
      </c>
      <c r="AQ331" s="841" t="s">
        <v>546</v>
      </c>
      <c r="AR331" s="841" t="s">
        <v>81</v>
      </c>
      <c r="AS331" s="841" t="s">
        <v>80</v>
      </c>
      <c r="AT331" s="841" t="s">
        <v>82</v>
      </c>
      <c r="AU331" s="841" t="s">
        <v>181</v>
      </c>
      <c r="AV331" s="841" t="s">
        <v>183</v>
      </c>
      <c r="AW331" s="841" t="s">
        <v>547</v>
      </c>
      <c r="AX331" s="841" t="s">
        <v>182</v>
      </c>
      <c r="AY331" s="841" t="s">
        <v>172</v>
      </c>
      <c r="AZ331" s="841" t="s">
        <v>173</v>
      </c>
      <c r="BA331" s="841" t="s">
        <v>184</v>
      </c>
      <c r="BB331" s="841" t="s">
        <v>100</v>
      </c>
      <c r="BC331" s="841" t="s">
        <v>913</v>
      </c>
      <c r="BD331" s="841" t="s">
        <v>2747</v>
      </c>
      <c r="BE331" s="598"/>
    </row>
    <row r="332" spans="2:57">
      <c r="B332" s="1326" t="s">
        <v>548</v>
      </c>
      <c r="C332" s="1327"/>
      <c r="D332" s="501" t="s">
        <v>3629</v>
      </c>
      <c r="E332" s="501"/>
      <c r="F332" s="501" t="s">
        <v>2836</v>
      </c>
      <c r="G332" s="501" t="s">
        <v>2837</v>
      </c>
      <c r="H332" s="629">
        <v>5203.9449999999997</v>
      </c>
      <c r="I332" s="505" t="s">
        <v>183</v>
      </c>
      <c r="J332" s="504">
        <v>45246.284722222219</v>
      </c>
      <c r="K332" s="504"/>
      <c r="L332" s="504" t="s">
        <v>192</v>
      </c>
      <c r="M332" s="504" t="s">
        <v>192</v>
      </c>
      <c r="N332" s="505" t="str">
        <f>IF(ISBLANK(J332)," ",IF(J332&lt;$F$326,"On time",(IF(DAY(J332-$F$326)&lt;1,"On time",(IF(J332&gt;$F$326,"DELAY ( "&amp;DAY(J332-$F$326)&amp;" day "&amp;HOUR(J332-$F$326)&amp;" hour "&amp;MINUTE(J332-$F$326)&amp;" minute )","xxx"))))))</f>
        <v>DELAY ( 5 day 8 hour 32 minute )</v>
      </c>
      <c r="O332" s="597"/>
      <c r="P332" s="507" t="s">
        <v>551</v>
      </c>
      <c r="Q332" s="507" t="s">
        <v>551</v>
      </c>
      <c r="R332" s="507" t="s">
        <v>551</v>
      </c>
      <c r="S332" s="598"/>
      <c r="T332" s="599"/>
      <c r="U332" s="599"/>
      <c r="V332" s="599"/>
      <c r="W332" s="599"/>
      <c r="X332" s="599"/>
      <c r="Y332" s="599"/>
      <c r="Z332" s="599"/>
      <c r="AA332" s="599"/>
      <c r="AB332" s="599"/>
      <c r="AC332" s="599"/>
      <c r="AD332" s="599"/>
      <c r="AE332" s="599"/>
      <c r="AF332" s="599"/>
      <c r="AG332" s="599"/>
      <c r="AH332" s="599"/>
      <c r="AI332" s="599"/>
      <c r="AJ332" s="599"/>
      <c r="AK332" s="599"/>
      <c r="AL332" s="599"/>
      <c r="AM332" s="599"/>
      <c r="AN332" s="599"/>
      <c r="AO332" s="599"/>
      <c r="AP332" s="598"/>
      <c r="AQ332" s="599"/>
      <c r="AR332" s="599"/>
      <c r="AS332" s="599"/>
      <c r="AT332" s="599"/>
      <c r="AU332" s="599"/>
      <c r="AV332" s="599">
        <f>H332</f>
        <v>5203.9449999999997</v>
      </c>
      <c r="AW332" s="599"/>
      <c r="AX332" s="599"/>
      <c r="AY332" s="599"/>
      <c r="AZ332" s="599"/>
      <c r="BA332" s="599"/>
      <c r="BB332" s="599"/>
      <c r="BC332" s="599"/>
      <c r="BD332" s="599"/>
      <c r="BE332" s="598"/>
    </row>
    <row r="333" spans="2:57">
      <c r="B333" s="1326" t="s">
        <v>548</v>
      </c>
      <c r="C333" s="1327"/>
      <c r="D333" s="501" t="s">
        <v>3628</v>
      </c>
      <c r="E333" s="501"/>
      <c r="F333" s="501" t="s">
        <v>2168</v>
      </c>
      <c r="G333" s="501" t="s">
        <v>817</v>
      </c>
      <c r="H333" s="629">
        <v>5207.0680000000002</v>
      </c>
      <c r="I333" s="505" t="s">
        <v>183</v>
      </c>
      <c r="J333" s="504">
        <v>45247.524305555555</v>
      </c>
      <c r="K333" s="504"/>
      <c r="L333" s="504" t="s">
        <v>192</v>
      </c>
      <c r="M333" s="504" t="s">
        <v>192</v>
      </c>
      <c r="N333" s="505" t="str">
        <f t="shared" ref="N333:N341" si="29">IF(ISBLANK(J333)," ",IF(J333&lt;$F$326,"On time",(IF(DAY(J333-$F$326)&lt;1,"On time",(IF(J333&gt;$F$326,"DELAY ( "&amp;DAY(J333-$F$326)&amp;" day "&amp;HOUR(J333-$F$326)&amp;" hour "&amp;MINUTE(J333-$F$326)&amp;" minute )","xxx"))))))</f>
        <v>DELAY ( 6 day 14 hour 17 minute )</v>
      </c>
      <c r="O333" s="597"/>
      <c r="P333" s="507" t="s">
        <v>551</v>
      </c>
      <c r="Q333" s="507" t="s">
        <v>551</v>
      </c>
      <c r="R333" s="507" t="s">
        <v>551</v>
      </c>
      <c r="S333" s="598"/>
      <c r="T333" s="599"/>
      <c r="U333" s="599"/>
      <c r="V333" s="599"/>
      <c r="W333" s="599"/>
      <c r="X333" s="599"/>
      <c r="Y333" s="599"/>
      <c r="Z333" s="599"/>
      <c r="AA333" s="599"/>
      <c r="AB333" s="599"/>
      <c r="AC333" s="599"/>
      <c r="AD333" s="599"/>
      <c r="AE333" s="599"/>
      <c r="AF333" s="599"/>
      <c r="AG333" s="598"/>
      <c r="AH333" s="599"/>
      <c r="AI333" s="599"/>
      <c r="AJ333" s="599"/>
      <c r="AK333" s="599"/>
      <c r="AL333" s="599"/>
      <c r="AM333" s="599"/>
      <c r="AN333" s="599"/>
      <c r="AO333" s="599"/>
      <c r="AP333" s="599"/>
      <c r="AQ333" s="599"/>
      <c r="AR333" s="599"/>
      <c r="AS333" s="599"/>
      <c r="AT333" s="599"/>
      <c r="AU333" s="599"/>
      <c r="AV333" s="599">
        <f>H333</f>
        <v>5207.0680000000002</v>
      </c>
      <c r="AW333" s="599"/>
      <c r="AX333" s="599"/>
      <c r="AY333" s="598"/>
      <c r="AZ333" s="599"/>
      <c r="BA333" s="599"/>
      <c r="BB333" s="599"/>
      <c r="BC333" s="599"/>
      <c r="BD333" s="599"/>
      <c r="BE333" s="598"/>
    </row>
    <row r="334" spans="2:57">
      <c r="B334" s="1326" t="s">
        <v>548</v>
      </c>
      <c r="C334" s="1327"/>
      <c r="D334" s="501" t="s">
        <v>3518</v>
      </c>
      <c r="E334" s="501"/>
      <c r="F334" s="501" t="s">
        <v>1767</v>
      </c>
      <c r="G334" s="501" t="s">
        <v>2352</v>
      </c>
      <c r="H334" s="629">
        <v>7436.8059999999996</v>
      </c>
      <c r="I334" s="505" t="s">
        <v>581</v>
      </c>
      <c r="J334" s="504">
        <v>45249.444444444445</v>
      </c>
      <c r="K334" s="504"/>
      <c r="L334" s="504" t="s">
        <v>192</v>
      </c>
      <c r="M334" s="504" t="s">
        <v>192</v>
      </c>
      <c r="N334" s="505" t="str">
        <f t="shared" si="29"/>
        <v>DELAY ( 8 day 12 hour 22 minute )</v>
      </c>
      <c r="O334" s="597"/>
      <c r="P334" s="507" t="s">
        <v>551</v>
      </c>
      <c r="Q334" s="507" t="s">
        <v>551</v>
      </c>
      <c r="R334" s="507" t="s">
        <v>551</v>
      </c>
      <c r="S334" s="598"/>
      <c r="T334" s="599"/>
      <c r="U334" s="599"/>
      <c r="V334" s="599"/>
      <c r="W334" s="599"/>
      <c r="X334" s="599"/>
      <c r="Y334" s="599"/>
      <c r="Z334" s="599"/>
      <c r="AA334" s="599"/>
      <c r="AB334" s="599">
        <f>H334*0.8</f>
        <v>5949.4448000000002</v>
      </c>
      <c r="AC334" s="599">
        <f>H334*0.2</f>
        <v>1487.3612000000001</v>
      </c>
      <c r="AD334" s="599"/>
      <c r="AE334" s="599"/>
      <c r="AF334" s="599"/>
      <c r="AG334" s="599"/>
      <c r="AH334" s="599"/>
      <c r="AI334" s="599"/>
      <c r="AJ334" s="599"/>
      <c r="AK334" s="599"/>
      <c r="AL334" s="599"/>
      <c r="AM334" s="599"/>
      <c r="AN334" s="599"/>
      <c r="AO334" s="599"/>
      <c r="AP334" s="598"/>
      <c r="AQ334" s="599"/>
      <c r="AR334" s="599"/>
      <c r="AS334" s="599"/>
      <c r="AT334" s="599"/>
      <c r="AU334" s="599"/>
      <c r="AV334" s="599"/>
      <c r="AW334" s="599"/>
      <c r="AX334" s="599"/>
      <c r="AY334" s="599"/>
      <c r="AZ334" s="599"/>
      <c r="BA334" s="599"/>
      <c r="BB334" s="599"/>
      <c r="BC334" s="599"/>
      <c r="BD334" s="599"/>
      <c r="BE334" s="598"/>
    </row>
    <row r="335" spans="2:57">
      <c r="B335" s="1326" t="s">
        <v>548</v>
      </c>
      <c r="C335" s="1327"/>
      <c r="D335" s="501" t="s">
        <v>3517</v>
      </c>
      <c r="E335" s="501"/>
      <c r="F335" s="501" t="s">
        <v>352</v>
      </c>
      <c r="G335" s="501" t="s">
        <v>353</v>
      </c>
      <c r="H335" s="629">
        <v>9369.4590000000007</v>
      </c>
      <c r="I335" s="505" t="s">
        <v>581</v>
      </c>
      <c r="J335" s="504">
        <v>45248.145833333336</v>
      </c>
      <c r="K335" s="504"/>
      <c r="L335" s="504" t="s">
        <v>192</v>
      </c>
      <c r="M335" s="504" t="s">
        <v>192</v>
      </c>
      <c r="N335" s="505" t="str">
        <f t="shared" si="29"/>
        <v>DELAY ( 7 day 5 hour 12 minute )</v>
      </c>
      <c r="O335" s="597"/>
      <c r="P335" s="507" t="s">
        <v>551</v>
      </c>
      <c r="Q335" s="507" t="s">
        <v>551</v>
      </c>
      <c r="R335" s="507" t="s">
        <v>551</v>
      </c>
      <c r="S335" s="598"/>
      <c r="T335" s="599"/>
      <c r="U335" s="599"/>
      <c r="V335" s="599"/>
      <c r="W335" s="599"/>
      <c r="X335" s="599"/>
      <c r="Y335" s="599"/>
      <c r="Z335" s="599"/>
      <c r="AA335" s="599"/>
      <c r="AB335" s="599">
        <f t="shared" ref="AB335:AB338" si="30">H335*0.8</f>
        <v>7495.5672000000013</v>
      </c>
      <c r="AC335" s="599">
        <f t="shared" ref="AC335:AC338" si="31">H335*0.2</f>
        <v>1873.8918000000003</v>
      </c>
      <c r="AD335" s="599"/>
      <c r="AE335" s="599"/>
      <c r="AF335" s="599"/>
      <c r="AG335" s="599"/>
      <c r="AH335" s="599"/>
      <c r="AI335" s="599"/>
      <c r="AJ335" s="599"/>
      <c r="AK335" s="599"/>
      <c r="AL335" s="599"/>
      <c r="AM335" s="599"/>
      <c r="AN335" s="599"/>
      <c r="AO335" s="599"/>
      <c r="AP335" s="599"/>
      <c r="AQ335" s="599"/>
      <c r="AR335" s="599"/>
      <c r="AS335" s="599"/>
      <c r="AT335" s="599"/>
      <c r="AU335" s="599"/>
      <c r="AV335" s="599"/>
      <c r="AW335" s="599"/>
      <c r="AX335" s="599"/>
      <c r="AY335" s="599"/>
      <c r="AZ335" s="599"/>
      <c r="BA335" s="599"/>
      <c r="BB335" s="599"/>
      <c r="BC335" s="599"/>
      <c r="BD335" s="599"/>
      <c r="BE335" s="598"/>
    </row>
    <row r="336" spans="2:57">
      <c r="B336" s="1326" t="s">
        <v>548</v>
      </c>
      <c r="C336" s="1327"/>
      <c r="D336" s="501" t="s">
        <v>3519</v>
      </c>
      <c r="E336" s="501"/>
      <c r="F336" s="501" t="s">
        <v>2156</v>
      </c>
      <c r="G336" s="501" t="s">
        <v>3391</v>
      </c>
      <c r="H336" s="629">
        <v>7210.87</v>
      </c>
      <c r="I336" s="505" t="s">
        <v>581</v>
      </c>
      <c r="J336" s="504">
        <v>45249.190972222219</v>
      </c>
      <c r="K336" s="504"/>
      <c r="L336" s="504" t="s">
        <v>192</v>
      </c>
      <c r="M336" s="504" t="s">
        <v>192</v>
      </c>
      <c r="N336" s="505" t="str">
        <f t="shared" si="29"/>
        <v>DELAY ( 8 day 6 hour 17 minute )</v>
      </c>
      <c r="O336" s="597"/>
      <c r="P336" s="507" t="s">
        <v>551</v>
      </c>
      <c r="Q336" s="507" t="s">
        <v>551</v>
      </c>
      <c r="R336" s="507" t="s">
        <v>551</v>
      </c>
      <c r="S336" s="598"/>
      <c r="T336" s="599"/>
      <c r="U336" s="599"/>
      <c r="V336" s="599"/>
      <c r="W336" s="599"/>
      <c r="X336" s="599"/>
      <c r="Y336" s="599"/>
      <c r="Z336" s="599"/>
      <c r="AA336" s="599"/>
      <c r="AB336" s="599">
        <f>H336*0.8</f>
        <v>5768.6959999999999</v>
      </c>
      <c r="AC336" s="599">
        <f>H336*0.2</f>
        <v>1442.174</v>
      </c>
      <c r="AD336" s="599"/>
      <c r="AE336" s="599"/>
      <c r="AF336" s="599"/>
      <c r="AG336" s="599"/>
      <c r="AH336" s="599"/>
      <c r="AI336" s="599"/>
      <c r="AJ336" s="599"/>
      <c r="AK336" s="599"/>
      <c r="AL336" s="599"/>
      <c r="AM336" s="599"/>
      <c r="AN336" s="599"/>
      <c r="AO336" s="599"/>
      <c r="AP336" s="599"/>
      <c r="AQ336" s="599"/>
      <c r="AR336" s="599"/>
      <c r="AS336" s="599"/>
      <c r="AT336" s="599"/>
      <c r="AU336" s="599"/>
      <c r="AV336" s="599"/>
      <c r="AW336" s="599"/>
      <c r="AX336" s="599"/>
      <c r="AY336" s="599"/>
      <c r="AZ336" s="599"/>
      <c r="BA336" s="599"/>
      <c r="BB336" s="599"/>
      <c r="BC336" s="599"/>
      <c r="BD336" s="599"/>
      <c r="BE336" s="598"/>
    </row>
    <row r="337" spans="2:57">
      <c r="B337" s="1326" t="s">
        <v>548</v>
      </c>
      <c r="C337" s="1327"/>
      <c r="D337" s="501" t="s">
        <v>3512</v>
      </c>
      <c r="E337" s="501"/>
      <c r="F337" s="501" t="s">
        <v>695</v>
      </c>
      <c r="G337" s="501" t="s">
        <v>281</v>
      </c>
      <c r="H337" s="629">
        <v>7483.3950000000004</v>
      </c>
      <c r="I337" s="505" t="s">
        <v>235</v>
      </c>
      <c r="J337" s="504">
        <v>45250.125</v>
      </c>
      <c r="K337" s="504"/>
      <c r="L337" s="504" t="s">
        <v>192</v>
      </c>
      <c r="M337" s="504" t="s">
        <v>192</v>
      </c>
      <c r="N337" s="505" t="str">
        <f t="shared" si="29"/>
        <v>DELAY ( 9 day 4 hour 42 minute )</v>
      </c>
      <c r="O337" s="597"/>
      <c r="P337" s="507" t="s">
        <v>551</v>
      </c>
      <c r="Q337" s="507" t="s">
        <v>551</v>
      </c>
      <c r="R337" s="507" t="s">
        <v>551</v>
      </c>
      <c r="S337" s="598"/>
      <c r="T337" s="599"/>
      <c r="U337" s="599"/>
      <c r="V337" s="599"/>
      <c r="W337" s="599"/>
      <c r="X337" s="599"/>
      <c r="Y337" s="599"/>
      <c r="Z337" s="599"/>
      <c r="AA337" s="599"/>
      <c r="AB337" s="599">
        <f>H337</f>
        <v>7483.3950000000004</v>
      </c>
      <c r="AC337" s="599"/>
      <c r="AD337" s="599"/>
      <c r="AE337" s="599"/>
      <c r="AF337" s="599"/>
      <c r="AG337" s="599"/>
      <c r="AH337" s="599"/>
      <c r="AI337" s="599"/>
      <c r="AJ337" s="599"/>
      <c r="AK337" s="599"/>
      <c r="AL337" s="599"/>
      <c r="AM337" s="599"/>
      <c r="AN337" s="599"/>
      <c r="AO337" s="599"/>
      <c r="AP337" s="599"/>
      <c r="AQ337" s="599"/>
      <c r="AR337" s="599"/>
      <c r="AS337" s="599"/>
      <c r="AT337" s="599"/>
      <c r="AU337" s="599"/>
      <c r="AV337" s="599"/>
      <c r="AW337" s="599"/>
      <c r="AX337" s="599"/>
      <c r="AY337" s="599"/>
      <c r="AZ337" s="599"/>
      <c r="BA337" s="599"/>
      <c r="BB337" s="599"/>
      <c r="BC337" s="599"/>
      <c r="BD337" s="599"/>
      <c r="BE337" s="598"/>
    </row>
    <row r="338" spans="2:57">
      <c r="B338" s="1326" t="s">
        <v>548</v>
      </c>
      <c r="C338" s="1327"/>
      <c r="D338" s="501" t="s">
        <v>3520</v>
      </c>
      <c r="E338" s="501"/>
      <c r="F338" s="501" t="s">
        <v>2295</v>
      </c>
      <c r="G338" s="501" t="s">
        <v>2296</v>
      </c>
      <c r="H338" s="629">
        <v>10252.972</v>
      </c>
      <c r="I338" s="505" t="s">
        <v>581</v>
      </c>
      <c r="J338" s="504">
        <v>45251.947916666664</v>
      </c>
      <c r="K338" s="504"/>
      <c r="L338" s="504" t="s">
        <v>192</v>
      </c>
      <c r="M338" s="504" t="s">
        <v>192</v>
      </c>
      <c r="N338" s="505" t="str">
        <f t="shared" si="29"/>
        <v>DELAY ( 11 day 0 hour 27 minute )</v>
      </c>
      <c r="O338" s="597"/>
      <c r="P338" s="507" t="s">
        <v>551</v>
      </c>
      <c r="Q338" s="507" t="s">
        <v>551</v>
      </c>
      <c r="R338" s="507" t="s">
        <v>551</v>
      </c>
      <c r="S338" s="598"/>
      <c r="T338" s="599"/>
      <c r="U338" s="599"/>
      <c r="V338" s="599"/>
      <c r="W338" s="599"/>
      <c r="X338" s="599"/>
      <c r="Y338" s="599"/>
      <c r="Z338" s="599"/>
      <c r="AA338" s="599"/>
      <c r="AB338" s="599">
        <f t="shared" si="30"/>
        <v>8202.3775999999998</v>
      </c>
      <c r="AC338" s="599">
        <f t="shared" si="31"/>
        <v>2050.5944</v>
      </c>
      <c r="AD338" s="599"/>
      <c r="AE338" s="599"/>
      <c r="AF338" s="599"/>
      <c r="AG338" s="599"/>
      <c r="AH338" s="599"/>
      <c r="AI338" s="599"/>
      <c r="AJ338" s="599"/>
      <c r="AK338" s="599"/>
      <c r="AL338" s="599"/>
      <c r="AM338" s="599"/>
      <c r="AN338" s="599"/>
      <c r="AO338" s="599"/>
      <c r="AP338" s="598"/>
      <c r="AQ338" s="599"/>
      <c r="AR338" s="599"/>
      <c r="AS338" s="599"/>
      <c r="AT338" s="599"/>
      <c r="AU338" s="599"/>
      <c r="AV338" s="599"/>
      <c r="AW338" s="599"/>
      <c r="AX338" s="599"/>
      <c r="AY338" s="599"/>
      <c r="AZ338" s="599"/>
      <c r="BA338" s="599"/>
      <c r="BB338" s="599"/>
      <c r="BC338" s="599"/>
      <c r="BD338" s="599"/>
      <c r="BE338" s="598"/>
    </row>
    <row r="339" spans="2:57">
      <c r="B339" s="1315" t="s">
        <v>610</v>
      </c>
      <c r="C339" s="1464"/>
      <c r="D339" s="1464"/>
      <c r="E339" s="1464"/>
      <c r="F339" s="1464"/>
      <c r="G339" s="1316"/>
      <c r="H339" s="629">
        <f>H341-SUM(H332:H338)</f>
        <v>2835.4849999999933</v>
      </c>
      <c r="I339" s="505" t="s">
        <v>1164</v>
      </c>
      <c r="J339" s="504"/>
      <c r="K339" s="504"/>
      <c r="L339" s="504"/>
      <c r="M339" s="504"/>
      <c r="N339" s="505" t="str">
        <f t="shared" si="29"/>
        <v xml:space="preserve"> </v>
      </c>
      <c r="O339" s="597"/>
      <c r="P339" s="507" t="s">
        <v>551</v>
      </c>
      <c r="Q339" s="507"/>
      <c r="R339" s="507"/>
      <c r="S339" s="598"/>
      <c r="T339" s="599"/>
      <c r="U339" s="599"/>
      <c r="V339" s="599"/>
      <c r="W339" s="599"/>
      <c r="X339" s="599">
        <f>H339</f>
        <v>2835.4849999999933</v>
      </c>
      <c r="Y339" s="599"/>
      <c r="Z339" s="599"/>
      <c r="AA339" s="599"/>
      <c r="AB339" s="599"/>
      <c r="AC339" s="599"/>
      <c r="AD339" s="599"/>
      <c r="AE339" s="599"/>
      <c r="AF339" s="599"/>
      <c r="AG339" s="599"/>
      <c r="AH339" s="599"/>
      <c r="AI339" s="599"/>
      <c r="AJ339" s="599"/>
      <c r="AK339" s="599"/>
      <c r="AL339" s="599"/>
      <c r="AM339" s="599"/>
      <c r="AN339" s="599"/>
      <c r="AO339" s="599"/>
      <c r="AP339" s="599"/>
      <c r="AQ339" s="599"/>
      <c r="AR339" s="599"/>
      <c r="AS339" s="599"/>
      <c r="AT339" s="599"/>
      <c r="AU339" s="599"/>
      <c r="AV339" s="599"/>
      <c r="AW339" s="599"/>
      <c r="AX339" s="599"/>
      <c r="AY339" s="599"/>
      <c r="AZ339" s="599"/>
      <c r="BA339" s="599"/>
      <c r="BB339" s="599"/>
      <c r="BC339" s="599"/>
      <c r="BD339" s="599"/>
      <c r="BE339" s="598"/>
    </row>
    <row r="340" spans="2:57">
      <c r="B340" s="1351" t="s">
        <v>556</v>
      </c>
      <c r="C340" s="1352"/>
      <c r="D340" s="1352"/>
      <c r="E340" s="1352"/>
      <c r="F340" s="1352"/>
      <c r="G340" s="1353"/>
      <c r="H340" s="702">
        <f>SUM(H332:H339)</f>
        <v>55000</v>
      </c>
      <c r="I340" s="703"/>
      <c r="J340" s="704"/>
      <c r="K340" s="704"/>
      <c r="L340" s="704"/>
      <c r="M340" s="705"/>
      <c r="N340" s="505" t="str">
        <f t="shared" si="29"/>
        <v xml:space="preserve"> </v>
      </c>
      <c r="O340" s="552"/>
      <c r="P340" s="706"/>
      <c r="Q340" s="706"/>
      <c r="R340" s="706"/>
      <c r="S340" s="598"/>
      <c r="T340" s="1432"/>
      <c r="U340" s="1433"/>
      <c r="V340" s="1433"/>
      <c r="W340" s="1433"/>
      <c r="X340" s="1433"/>
      <c r="Y340" s="1433"/>
      <c r="Z340" s="1433"/>
      <c r="AA340" s="1433"/>
      <c r="AB340" s="1433"/>
      <c r="AC340" s="1433"/>
      <c r="AD340" s="1433"/>
      <c r="AE340" s="1433"/>
      <c r="AF340" s="1433"/>
      <c r="AG340" s="1433"/>
      <c r="AH340" s="1433"/>
      <c r="AI340" s="1433"/>
      <c r="AJ340" s="1433"/>
      <c r="AK340" s="1433"/>
      <c r="AL340" s="1433"/>
      <c r="AM340" s="1433"/>
      <c r="AN340" s="1433"/>
      <c r="AO340" s="1433"/>
      <c r="AP340" s="1433"/>
      <c r="AQ340" s="1433"/>
      <c r="AR340" s="1433"/>
      <c r="AS340" s="1433"/>
      <c r="AT340" s="1433"/>
      <c r="AU340" s="1433"/>
      <c r="AV340" s="1433"/>
      <c r="AW340" s="1433"/>
      <c r="AX340" s="1433"/>
      <c r="AY340" s="1433"/>
      <c r="AZ340" s="1433"/>
      <c r="BA340" s="1433"/>
      <c r="BB340" s="1433"/>
      <c r="BC340" s="1433"/>
      <c r="BD340" s="1433"/>
      <c r="BE340" s="554"/>
    </row>
    <row r="341" spans="2:57">
      <c r="B341" s="1415" t="s">
        <v>557</v>
      </c>
      <c r="C341" s="1416"/>
      <c r="D341" s="1416"/>
      <c r="E341" s="1416"/>
      <c r="F341" s="1416"/>
      <c r="G341" s="1417"/>
      <c r="H341" s="710">
        <v>55000</v>
      </c>
      <c r="I341" s="1434"/>
      <c r="J341" s="1435"/>
      <c r="K341" s="1435"/>
      <c r="L341" s="1435"/>
      <c r="M341" s="1436"/>
      <c r="N341" s="505" t="str">
        <f t="shared" si="29"/>
        <v xml:space="preserve"> </v>
      </c>
      <c r="O341" s="598"/>
      <c r="P341" s="507"/>
      <c r="Q341" s="507"/>
      <c r="R341" s="507"/>
      <c r="S341" s="711"/>
      <c r="T341" s="599">
        <f t="shared" ref="T341:BD341" si="32">SUM(T332:T339)</f>
        <v>0</v>
      </c>
      <c r="U341" s="599">
        <f t="shared" si="32"/>
        <v>0</v>
      </c>
      <c r="V341" s="599">
        <f t="shared" si="32"/>
        <v>0</v>
      </c>
      <c r="W341" s="599">
        <f t="shared" si="32"/>
        <v>0</v>
      </c>
      <c r="X341" s="599">
        <f t="shared" si="32"/>
        <v>2835.4849999999933</v>
      </c>
      <c r="Y341" s="599">
        <f t="shared" si="32"/>
        <v>0</v>
      </c>
      <c r="Z341" s="599">
        <f t="shared" si="32"/>
        <v>0</v>
      </c>
      <c r="AA341" s="599">
        <f t="shared" si="32"/>
        <v>0</v>
      </c>
      <c r="AB341" s="599">
        <f t="shared" si="32"/>
        <v>34899.480600000003</v>
      </c>
      <c r="AC341" s="599">
        <f t="shared" si="32"/>
        <v>6854.0214000000005</v>
      </c>
      <c r="AD341" s="599">
        <f t="shared" si="32"/>
        <v>0</v>
      </c>
      <c r="AE341" s="599">
        <f t="shared" si="32"/>
        <v>0</v>
      </c>
      <c r="AF341" s="599">
        <f t="shared" si="32"/>
        <v>0</v>
      </c>
      <c r="AG341" s="599">
        <f t="shared" si="32"/>
        <v>0</v>
      </c>
      <c r="AH341" s="599">
        <f t="shared" si="32"/>
        <v>0</v>
      </c>
      <c r="AI341" s="599">
        <f t="shared" si="32"/>
        <v>0</v>
      </c>
      <c r="AJ341" s="599">
        <f t="shared" si="32"/>
        <v>0</v>
      </c>
      <c r="AK341" s="599">
        <f t="shared" si="32"/>
        <v>0</v>
      </c>
      <c r="AL341" s="599">
        <f t="shared" si="32"/>
        <v>0</v>
      </c>
      <c r="AM341" s="599">
        <f t="shared" si="32"/>
        <v>0</v>
      </c>
      <c r="AN341" s="599">
        <f t="shared" si="32"/>
        <v>0</v>
      </c>
      <c r="AO341" s="599">
        <f t="shared" si="32"/>
        <v>0</v>
      </c>
      <c r="AP341" s="599">
        <f t="shared" si="32"/>
        <v>0</v>
      </c>
      <c r="AQ341" s="599">
        <f t="shared" si="32"/>
        <v>0</v>
      </c>
      <c r="AR341" s="599">
        <f t="shared" si="32"/>
        <v>0</v>
      </c>
      <c r="AS341" s="599">
        <f t="shared" si="32"/>
        <v>0</v>
      </c>
      <c r="AT341" s="599">
        <f t="shared" si="32"/>
        <v>0</v>
      </c>
      <c r="AU341" s="599">
        <f t="shared" si="32"/>
        <v>0</v>
      </c>
      <c r="AV341" s="599">
        <f t="shared" si="32"/>
        <v>10411.012999999999</v>
      </c>
      <c r="AW341" s="599">
        <f t="shared" si="32"/>
        <v>0</v>
      </c>
      <c r="AX341" s="599">
        <f t="shared" si="32"/>
        <v>0</v>
      </c>
      <c r="AY341" s="599">
        <f t="shared" si="32"/>
        <v>0</v>
      </c>
      <c r="AZ341" s="599">
        <f t="shared" si="32"/>
        <v>0</v>
      </c>
      <c r="BA341" s="599">
        <f t="shared" si="32"/>
        <v>0</v>
      </c>
      <c r="BB341" s="599">
        <f t="shared" si="32"/>
        <v>0</v>
      </c>
      <c r="BC341" s="599">
        <f t="shared" si="32"/>
        <v>0</v>
      </c>
      <c r="BD341" s="599">
        <f t="shared" si="32"/>
        <v>0</v>
      </c>
      <c r="BE341" s="599">
        <f>SUM(T341:BD341)</f>
        <v>54999.999999999993</v>
      </c>
    </row>
    <row r="342" spans="2:57">
      <c r="B342" s="1415" t="s">
        <v>558</v>
      </c>
      <c r="C342" s="1416"/>
      <c r="D342" s="1416"/>
      <c r="E342" s="1416"/>
      <c r="F342" s="1416"/>
      <c r="G342" s="1417"/>
      <c r="H342" s="712">
        <f>H341-L326</f>
        <v>0</v>
      </c>
      <c r="I342" s="713"/>
      <c r="J342" s="714"/>
      <c r="K342" s="714"/>
      <c r="L342" s="558"/>
      <c r="M342" s="598"/>
      <c r="N342" s="598"/>
      <c r="O342" s="598"/>
      <c r="P342" s="598"/>
      <c r="Q342" s="715"/>
      <c r="R342" s="715"/>
      <c r="S342" s="598"/>
      <c r="T342" s="688"/>
      <c r="U342" s="688"/>
      <c r="V342" s="688"/>
      <c r="W342" s="688"/>
      <c r="X342" s="688"/>
      <c r="Y342" s="688"/>
      <c r="Z342" s="688"/>
      <c r="AA342" s="688"/>
      <c r="AB342" s="688"/>
      <c r="AC342" s="598"/>
      <c r="AD342" s="598"/>
      <c r="AE342" s="598"/>
      <c r="AF342" s="598"/>
      <c r="AG342" s="598"/>
      <c r="AH342" s="598"/>
      <c r="AI342" s="598"/>
      <c r="AJ342" s="598"/>
      <c r="AK342" s="598"/>
      <c r="AL342" s="598"/>
      <c r="AM342" s="598"/>
      <c r="AN342" s="598"/>
      <c r="AO342" s="598"/>
      <c r="AP342" s="598"/>
      <c r="AQ342" s="598"/>
      <c r="AR342" s="598"/>
      <c r="AS342" s="554"/>
      <c r="AT342" s="554"/>
      <c r="AU342" s="554"/>
      <c r="AV342" s="554"/>
      <c r="AW342" s="554"/>
      <c r="AX342" s="554"/>
      <c r="AY342" s="554"/>
      <c r="AZ342" s="554"/>
      <c r="BA342" s="554"/>
      <c r="BB342" s="554"/>
      <c r="BC342" s="554"/>
      <c r="BD342" s="554"/>
      <c r="BE342" s="554"/>
    </row>
    <row r="343" spans="2:57">
      <c r="B343" s="1415" t="s">
        <v>559</v>
      </c>
      <c r="C343" s="1416"/>
      <c r="D343" s="1416"/>
      <c r="E343" s="1416"/>
      <c r="F343" s="1416"/>
      <c r="G343" s="1417"/>
      <c r="H343" s="747">
        <f>H340-H341</f>
        <v>0</v>
      </c>
      <c r="I343" s="716"/>
      <c r="J343" s="717"/>
      <c r="K343" s="717"/>
      <c r="L343" s="563"/>
      <c r="M343" s="598"/>
      <c r="N343" s="598"/>
      <c r="O343" s="598"/>
      <c r="P343" s="598"/>
      <c r="Q343" s="598"/>
      <c r="R343" s="598"/>
      <c r="S343" s="598"/>
      <c r="T343" s="688"/>
      <c r="U343" s="688"/>
      <c r="V343" s="688"/>
      <c r="W343" s="688"/>
      <c r="X343" s="688"/>
      <c r="Y343" s="688"/>
      <c r="Z343" s="688"/>
      <c r="AA343" s="688"/>
      <c r="AB343" s="688"/>
      <c r="AC343" s="598"/>
      <c r="AD343" s="598"/>
      <c r="AE343" s="598"/>
      <c r="AF343" s="598"/>
      <c r="AG343" s="598"/>
      <c r="AH343" s="598"/>
      <c r="AI343" s="598"/>
      <c r="AJ343" s="598"/>
      <c r="AK343" s="598"/>
      <c r="AL343" s="598"/>
      <c r="AM343" s="598"/>
      <c r="AN343" s="598"/>
      <c r="AO343" s="598"/>
      <c r="AP343" s="598"/>
      <c r="AQ343" s="598"/>
      <c r="AR343" s="598"/>
      <c r="AS343" s="554"/>
      <c r="AT343" s="554"/>
      <c r="AU343" s="554"/>
      <c r="AV343" s="554"/>
      <c r="AW343" s="554"/>
      <c r="AX343" s="554"/>
      <c r="AY343" s="554"/>
      <c r="AZ343" s="554"/>
      <c r="BA343" s="554"/>
      <c r="BB343" s="554"/>
      <c r="BC343" s="554"/>
      <c r="BD343" s="554"/>
      <c r="BE343" s="554"/>
    </row>
    <row r="344" spans="2:57">
      <c r="B344" s="598"/>
      <c r="C344" s="598"/>
      <c r="D344" s="598"/>
      <c r="E344" s="598"/>
      <c r="F344" s="598"/>
      <c r="G344" s="598"/>
      <c r="H344" s="598"/>
      <c r="I344" s="718"/>
      <c r="J344" s="716"/>
      <c r="K344" s="716"/>
      <c r="L344" s="719"/>
      <c r="M344" s="598"/>
      <c r="N344" s="598"/>
      <c r="O344" s="716"/>
      <c r="P344" s="598"/>
      <c r="Q344" s="598"/>
      <c r="R344" s="598"/>
      <c r="S344" s="598"/>
      <c r="T344" s="688"/>
      <c r="U344" s="688"/>
      <c r="V344" s="688"/>
      <c r="W344" s="688"/>
      <c r="X344" s="688"/>
      <c r="Y344" s="688"/>
      <c r="Z344" s="688"/>
      <c r="AA344" s="688"/>
      <c r="AB344" s="688"/>
      <c r="AC344" s="598"/>
      <c r="AD344" s="598"/>
      <c r="AE344" s="598"/>
      <c r="AF344" s="598"/>
      <c r="AG344" s="598"/>
      <c r="AH344" s="598"/>
      <c r="AI344" s="598"/>
      <c r="AJ344" s="598"/>
      <c r="AK344" s="598"/>
      <c r="AL344" s="598"/>
      <c r="AM344" s="598"/>
      <c r="AN344" s="598"/>
      <c r="AO344" s="598"/>
      <c r="AP344" s="598"/>
      <c r="AQ344" s="598"/>
      <c r="AR344" s="598"/>
      <c r="AS344" s="554"/>
      <c r="AT344" s="554"/>
      <c r="AU344" s="554"/>
      <c r="AV344" s="554"/>
      <c r="AW344" s="554"/>
      <c r="AX344" s="554"/>
      <c r="AY344" s="554"/>
      <c r="AZ344" s="554"/>
      <c r="BA344" s="554"/>
      <c r="BB344" s="554"/>
      <c r="BC344" s="554"/>
      <c r="BD344" s="554"/>
      <c r="BE344" s="554"/>
    </row>
    <row r="345" spans="2:57">
      <c r="B345" s="693" t="s">
        <v>561</v>
      </c>
      <c r="C345" s="693"/>
      <c r="D345" s="598"/>
      <c r="E345" s="598"/>
      <c r="F345" s="598"/>
      <c r="G345" s="598"/>
      <c r="H345" s="598"/>
      <c r="I345" s="598"/>
      <c r="J345" s="716"/>
      <c r="K345" s="716"/>
      <c r="L345" s="719"/>
      <c r="M345" s="598"/>
      <c r="N345" s="598"/>
      <c r="O345" s="716"/>
      <c r="P345" s="688"/>
      <c r="Q345" s="688"/>
      <c r="R345" s="688"/>
      <c r="S345" s="688"/>
      <c r="T345" s="688"/>
      <c r="U345" s="688"/>
      <c r="V345" s="688"/>
      <c r="W345" s="688"/>
      <c r="X345" s="688"/>
      <c r="Y345" s="688"/>
      <c r="Z345" s="688"/>
      <c r="AA345" s="688"/>
      <c r="AB345" s="598"/>
      <c r="AC345" s="598"/>
      <c r="AD345" s="598"/>
      <c r="AE345" s="598"/>
      <c r="AF345" s="598"/>
      <c r="AG345" s="598"/>
      <c r="AH345" s="598"/>
      <c r="AI345" s="598"/>
      <c r="AJ345" s="598"/>
      <c r="AK345" s="598"/>
      <c r="AL345" s="598"/>
      <c r="AM345" s="598"/>
      <c r="AN345" s="598"/>
      <c r="AO345" s="598"/>
      <c r="AP345" s="598"/>
      <c r="AQ345" s="598"/>
      <c r="AR345" s="598"/>
      <c r="AS345" s="598"/>
      <c r="AT345" s="598"/>
      <c r="AU345" s="598"/>
      <c r="AV345" s="554"/>
      <c r="AW345" s="554"/>
      <c r="AX345" s="554"/>
      <c r="AY345" s="554"/>
      <c r="AZ345" s="554"/>
      <c r="BA345" s="554"/>
      <c r="BB345" s="554"/>
      <c r="BC345" s="554"/>
      <c r="BD345" s="554"/>
      <c r="BE345" s="598"/>
    </row>
    <row r="346" spans="2:57">
      <c r="B346" s="720"/>
      <c r="C346" s="1431"/>
      <c r="D346" s="1431"/>
      <c r="E346" s="1431"/>
      <c r="F346" s="1431"/>
      <c r="G346" s="1431"/>
      <c r="H346" s="1431"/>
      <c r="I346" s="1431"/>
      <c r="J346" s="1431"/>
      <c r="K346" s="1431"/>
      <c r="L346" s="719"/>
      <c r="M346" s="719"/>
      <c r="N346" s="598"/>
      <c r="O346" s="716"/>
      <c r="P346" s="688"/>
      <c r="Q346" s="688"/>
      <c r="R346" s="688"/>
      <c r="S346" s="688"/>
      <c r="T346" s="688"/>
      <c r="U346" s="688"/>
      <c r="V346" s="688"/>
      <c r="W346" s="688"/>
      <c r="X346" s="688"/>
      <c r="Y346" s="688"/>
      <c r="Z346" s="688"/>
      <c r="AA346" s="688"/>
      <c r="AB346" s="598"/>
      <c r="AC346" s="598"/>
      <c r="AD346" s="598"/>
      <c r="AE346" s="598"/>
      <c r="AF346" s="598"/>
      <c r="AG346" s="598"/>
      <c r="AH346" s="598"/>
      <c r="AI346" s="598"/>
      <c r="AJ346" s="598"/>
      <c r="AK346" s="598"/>
      <c r="AL346" s="598"/>
      <c r="AM346" s="598"/>
      <c r="AN346" s="598"/>
      <c r="AO346" s="598"/>
      <c r="AP346" s="598"/>
      <c r="AQ346" s="598"/>
      <c r="AR346" s="598"/>
      <c r="AS346" s="598"/>
      <c r="AT346" s="598"/>
      <c r="AU346" s="598"/>
      <c r="AV346" s="598"/>
      <c r="AW346" s="598"/>
      <c r="AX346" s="598"/>
      <c r="AY346" s="598"/>
      <c r="AZ346" s="598"/>
      <c r="BA346" s="598"/>
      <c r="BB346" s="598"/>
      <c r="BC346" s="598"/>
      <c r="BD346" s="598"/>
      <c r="BE346" s="598"/>
    </row>
    <row r="348" spans="2:57">
      <c r="B348" s="28" t="s">
        <v>126</v>
      </c>
      <c r="C348" s="28"/>
      <c r="D348" s="614"/>
      <c r="E348" s="30" t="s">
        <v>511</v>
      </c>
      <c r="F348" s="31" t="s">
        <v>3151</v>
      </c>
      <c r="G348" s="591"/>
      <c r="H348" s="33"/>
      <c r="I348" s="615"/>
      <c r="J348" s="35" t="s">
        <v>513</v>
      </c>
      <c r="K348" s="36" t="s">
        <v>511</v>
      </c>
      <c r="L348" s="516">
        <v>45253.895833333336</v>
      </c>
      <c r="M348" s="591"/>
      <c r="N348" s="591"/>
      <c r="O348" s="206"/>
      <c r="P348" s="205"/>
      <c r="Q348" s="616"/>
      <c r="R348" s="204"/>
      <c r="S348" s="617"/>
      <c r="T348" s="613"/>
      <c r="U348" s="613"/>
      <c r="V348" s="613"/>
      <c r="W348" s="613"/>
      <c r="X348" s="613"/>
      <c r="Y348" s="613"/>
      <c r="Z348" s="613"/>
      <c r="AA348" s="613"/>
      <c r="AB348" s="616"/>
      <c r="AC348" s="616"/>
      <c r="AD348" s="616"/>
      <c r="AE348" s="616"/>
      <c r="AF348" s="616"/>
      <c r="AG348" s="613"/>
      <c r="AH348" s="613"/>
      <c r="AI348" s="613"/>
      <c r="AJ348" s="613"/>
      <c r="AK348" s="613"/>
      <c r="AL348" s="613"/>
      <c r="AM348" s="613"/>
      <c r="AN348" s="613"/>
      <c r="AO348" s="613"/>
      <c r="AP348" s="613"/>
      <c r="AQ348" s="613"/>
      <c r="AR348" s="613"/>
      <c r="AS348" s="613"/>
      <c r="AT348" s="613"/>
      <c r="AU348" s="613"/>
      <c r="AV348" s="613"/>
      <c r="AW348" s="613"/>
      <c r="AX348" s="613"/>
      <c r="AY348" s="613"/>
      <c r="AZ348" s="613"/>
      <c r="BA348" s="613"/>
      <c r="BB348" s="613"/>
      <c r="BC348" s="613"/>
      <c r="BD348" s="613"/>
      <c r="BE348" s="613"/>
    </row>
    <row r="349" spans="2:57">
      <c r="B349" s="35" t="s">
        <v>514</v>
      </c>
      <c r="C349" s="35"/>
      <c r="D349" s="591"/>
      <c r="E349" s="36" t="s">
        <v>511</v>
      </c>
      <c r="F349" s="311" t="s">
        <v>3737</v>
      </c>
      <c r="G349" s="648" t="s">
        <v>647</v>
      </c>
      <c r="H349" s="33"/>
      <c r="I349" s="615"/>
      <c r="J349" s="35" t="s">
        <v>516</v>
      </c>
      <c r="K349" s="36" t="s">
        <v>511</v>
      </c>
      <c r="L349" s="516">
        <v>45256.659722222219</v>
      </c>
      <c r="M349" s="591"/>
      <c r="N349" s="591"/>
      <c r="O349" s="206"/>
      <c r="P349" s="205"/>
      <c r="Q349" s="616"/>
      <c r="R349" s="204"/>
      <c r="S349" s="617"/>
      <c r="T349" s="613"/>
      <c r="U349" s="613"/>
      <c r="V349" s="613"/>
      <c r="W349" s="613"/>
      <c r="X349" s="613"/>
      <c r="Y349" s="613"/>
      <c r="Z349" s="613"/>
      <c r="AA349" s="613"/>
      <c r="AB349" s="616"/>
      <c r="AC349" s="616"/>
      <c r="AD349" s="616"/>
      <c r="AE349" s="616"/>
      <c r="AF349" s="616"/>
      <c r="AG349" s="613"/>
      <c r="AH349" s="613"/>
      <c r="AI349" s="613"/>
      <c r="AJ349" s="613"/>
      <c r="AK349" s="613"/>
      <c r="AL349" s="613"/>
      <c r="AM349" s="613"/>
      <c r="AN349" s="613"/>
      <c r="AO349" s="613"/>
      <c r="AP349" s="613"/>
      <c r="AQ349" s="613"/>
      <c r="AR349" s="613"/>
      <c r="AS349" s="613"/>
      <c r="AT349" s="613"/>
      <c r="AU349" s="613"/>
      <c r="AV349" s="613"/>
      <c r="AW349" s="613"/>
      <c r="AX349" s="613"/>
      <c r="AY349" s="613"/>
      <c r="AZ349" s="613"/>
      <c r="BA349" s="613"/>
      <c r="BB349" s="613"/>
      <c r="BC349" s="613"/>
      <c r="BD349" s="613"/>
      <c r="BE349" s="613"/>
    </row>
    <row r="350" spans="2:57">
      <c r="B350" s="35" t="s">
        <v>517</v>
      </c>
      <c r="C350" s="35"/>
      <c r="D350" s="591"/>
      <c r="E350" s="36" t="s">
        <v>511</v>
      </c>
      <c r="F350" s="516">
        <v>45250.166666666664</v>
      </c>
      <c r="G350" s="769">
        <v>45251</v>
      </c>
      <c r="H350" s="33"/>
      <c r="I350" s="615"/>
      <c r="J350" s="35" t="s">
        <v>518</v>
      </c>
      <c r="K350" s="36" t="s">
        <v>511</v>
      </c>
      <c r="L350" s="692">
        <v>83134</v>
      </c>
      <c r="M350" s="619" t="s">
        <v>519</v>
      </c>
      <c r="N350" s="619"/>
      <c r="O350" s="206"/>
      <c r="P350" s="205"/>
      <c r="Q350" s="616"/>
      <c r="R350" s="204"/>
      <c r="S350" s="617"/>
      <c r="T350" s="613"/>
      <c r="U350" s="613"/>
      <c r="V350" s="613"/>
      <c r="W350" s="613"/>
      <c r="X350" s="613"/>
      <c r="Y350" s="613"/>
      <c r="Z350" s="613"/>
      <c r="AA350" s="613"/>
      <c r="AB350" s="616"/>
      <c r="AC350" s="616"/>
      <c r="AD350" s="616"/>
      <c r="AE350" s="616"/>
      <c r="AF350" s="616"/>
      <c r="AG350" s="613"/>
      <c r="AH350" s="613"/>
      <c r="AI350" s="613"/>
      <c r="AJ350" s="613"/>
      <c r="AK350" s="613"/>
      <c r="AL350" s="613"/>
      <c r="AM350" s="613"/>
      <c r="AN350" s="613"/>
      <c r="AO350" s="613"/>
      <c r="AP350" s="613"/>
      <c r="AQ350" s="613"/>
      <c r="AR350" s="613"/>
      <c r="AS350" s="613"/>
      <c r="AT350" s="613"/>
      <c r="AU350" s="613"/>
      <c r="AV350" s="613"/>
      <c r="AW350" s="613"/>
      <c r="AX350" s="613"/>
      <c r="AY350" s="613"/>
      <c r="AZ350" s="613"/>
      <c r="BA350" s="613"/>
      <c r="BB350" s="613"/>
      <c r="BC350" s="613"/>
      <c r="BD350" s="613"/>
      <c r="BE350" s="613"/>
    </row>
    <row r="351" spans="2:57">
      <c r="B351" s="35" t="s">
        <v>520</v>
      </c>
      <c r="C351" s="35"/>
      <c r="D351" s="591"/>
      <c r="E351" s="36" t="s">
        <v>511</v>
      </c>
      <c r="F351" s="37" t="s">
        <v>4</v>
      </c>
      <c r="G351" s="591"/>
      <c r="H351" s="33"/>
      <c r="I351" s="615"/>
      <c r="J351" s="35" t="s">
        <v>521</v>
      </c>
      <c r="K351" s="36" t="s">
        <v>511</v>
      </c>
      <c r="L351" s="620" t="s">
        <v>2174</v>
      </c>
      <c r="M351" s="591"/>
      <c r="N351" s="591"/>
      <c r="O351" s="206"/>
      <c r="P351" s="616"/>
      <c r="Q351" s="616"/>
      <c r="R351" s="204"/>
      <c r="S351" s="617"/>
      <c r="T351" s="613"/>
      <c r="U351" s="613"/>
      <c r="V351" s="613"/>
      <c r="W351" s="613"/>
      <c r="X351" s="613"/>
      <c r="Y351" s="613"/>
      <c r="Z351" s="613"/>
      <c r="AA351" s="613"/>
      <c r="AB351" s="616"/>
      <c r="AC351" s="616"/>
      <c r="AD351" s="616"/>
      <c r="AE351" s="616"/>
      <c r="AF351" s="616"/>
      <c r="AG351" s="613"/>
      <c r="AH351" s="613"/>
      <c r="AI351" s="613"/>
      <c r="AJ351" s="613"/>
      <c r="AK351" s="613"/>
      <c r="AL351" s="613"/>
      <c r="AM351" s="613"/>
      <c r="AN351" s="613"/>
      <c r="AO351" s="613"/>
      <c r="AP351" s="613"/>
      <c r="AQ351" s="613"/>
      <c r="AR351" s="613"/>
      <c r="AS351" s="613"/>
      <c r="AT351" s="613"/>
      <c r="AU351" s="613"/>
      <c r="AV351" s="613"/>
      <c r="AW351" s="613"/>
      <c r="AX351" s="613"/>
      <c r="AY351" s="613"/>
      <c r="AZ351" s="613"/>
      <c r="BA351" s="613"/>
      <c r="BB351" s="613"/>
      <c r="BC351" s="613"/>
      <c r="BD351" s="613"/>
      <c r="BE351" s="613"/>
    </row>
    <row r="352" spans="2:57">
      <c r="B352" s="35" t="s">
        <v>523</v>
      </c>
      <c r="C352" s="35"/>
      <c r="D352" s="591"/>
      <c r="E352" s="36" t="s">
        <v>511</v>
      </c>
      <c r="F352" s="37" t="s">
        <v>5</v>
      </c>
      <c r="G352" s="591"/>
      <c r="H352" s="33"/>
      <c r="I352" s="615"/>
      <c r="J352" s="35" t="s">
        <v>524</v>
      </c>
      <c r="K352" s="36" t="s">
        <v>511</v>
      </c>
      <c r="L352" s="621" t="s">
        <v>15</v>
      </c>
      <c r="M352" s="611"/>
      <c r="N352" s="611"/>
      <c r="O352" s="206"/>
      <c r="P352" s="205"/>
      <c r="Q352" s="616"/>
      <c r="R352" s="204"/>
      <c r="S352" s="617"/>
      <c r="T352" s="613"/>
      <c r="U352" s="613"/>
      <c r="V352" s="613"/>
      <c r="W352" s="613"/>
      <c r="X352" s="613"/>
      <c r="Y352" s="613"/>
      <c r="Z352" s="613"/>
      <c r="AA352" s="613"/>
      <c r="AB352" s="616"/>
      <c r="AC352" s="616"/>
      <c r="AD352" s="616"/>
      <c r="AE352" s="616"/>
      <c r="AF352" s="616"/>
      <c r="AG352" s="613"/>
      <c r="AH352" s="613"/>
      <c r="AI352" s="613"/>
      <c r="AJ352" s="613"/>
      <c r="AK352" s="613"/>
      <c r="AL352" s="613"/>
      <c r="AM352" s="613"/>
      <c r="AN352" s="613"/>
      <c r="AO352" s="613"/>
      <c r="AP352" s="613"/>
      <c r="AQ352" s="613"/>
      <c r="AR352" s="613"/>
      <c r="AS352" s="613"/>
      <c r="AT352" s="613"/>
      <c r="AU352" s="613"/>
      <c r="AV352" s="613"/>
      <c r="AW352" s="613"/>
      <c r="AX352" s="613"/>
      <c r="AY352" s="613"/>
      <c r="AZ352" s="613"/>
      <c r="BA352" s="613"/>
      <c r="BB352" s="613"/>
      <c r="BC352" s="613"/>
      <c r="BD352" s="613"/>
      <c r="BE352" s="613"/>
    </row>
    <row r="353" spans="2:57">
      <c r="B353" s="35" t="s">
        <v>2</v>
      </c>
      <c r="C353" s="35"/>
      <c r="D353" s="591"/>
      <c r="E353" s="36" t="s">
        <v>511</v>
      </c>
      <c r="F353" s="37" t="s">
        <v>18</v>
      </c>
      <c r="G353" s="591"/>
      <c r="H353" s="33"/>
      <c r="I353" s="622"/>
      <c r="J353" s="35"/>
      <c r="K353" s="36"/>
      <c r="L353" s="211"/>
      <c r="M353" s="613"/>
      <c r="N353" s="613"/>
      <c r="O353" s="35"/>
      <c r="P353" s="611"/>
      <c r="Q353" s="611"/>
      <c r="R353" s="611"/>
      <c r="S353" s="615"/>
      <c r="T353" s="613"/>
      <c r="U353" s="613"/>
      <c r="V353" s="613"/>
      <c r="W353" s="613"/>
      <c r="X353" s="613"/>
      <c r="Y353" s="613"/>
      <c r="Z353" s="613"/>
      <c r="AA353" s="613"/>
      <c r="AB353" s="615"/>
      <c r="AC353" s="615"/>
      <c r="AD353" s="615"/>
      <c r="AE353" s="615"/>
      <c r="AF353" s="615"/>
      <c r="AG353" s="615"/>
      <c r="AH353" s="615"/>
      <c r="AI353" s="615"/>
      <c r="AJ353" s="615"/>
      <c r="AK353" s="615"/>
      <c r="AL353" s="615"/>
      <c r="AM353" s="615"/>
      <c r="AN353" s="615"/>
      <c r="AO353" s="613"/>
      <c r="AP353" s="613"/>
      <c r="AQ353" s="613"/>
      <c r="AR353" s="613"/>
      <c r="AS353" s="613"/>
      <c r="AT353" s="613"/>
      <c r="AU353" s="613"/>
      <c r="AV353" s="613"/>
      <c r="AW353" s="613"/>
      <c r="AX353" s="613"/>
      <c r="AY353" s="613"/>
      <c r="AZ353" s="613"/>
      <c r="BA353" s="613"/>
      <c r="BB353" s="613"/>
      <c r="BC353" s="613"/>
      <c r="BD353" s="613"/>
      <c r="BE353" s="613"/>
    </row>
    <row r="354" spans="2:57">
      <c r="B354" s="613"/>
      <c r="C354" s="613"/>
      <c r="D354" s="613"/>
      <c r="E354" s="613"/>
      <c r="F354" s="613"/>
      <c r="G354" s="613"/>
      <c r="H354" s="613"/>
      <c r="I354" s="622"/>
      <c r="J354" s="35"/>
      <c r="K354" s="35"/>
      <c r="L354" s="621"/>
      <c r="M354" s="611"/>
      <c r="N354" s="611"/>
      <c r="O354" s="35"/>
      <c r="P354" s="611"/>
      <c r="Q354" s="611"/>
      <c r="R354" s="611"/>
      <c r="S354" s="615"/>
      <c r="T354" s="1317" t="s">
        <v>87</v>
      </c>
      <c r="U354" s="1317"/>
      <c r="V354" s="1317"/>
      <c r="W354" s="1317"/>
      <c r="X354" s="1317"/>
      <c r="Y354" s="1317" t="s">
        <v>73</v>
      </c>
      <c r="Z354" s="1317"/>
      <c r="AA354" s="1317"/>
      <c r="AB354" s="1317" t="s">
        <v>74</v>
      </c>
      <c r="AC354" s="1317"/>
      <c r="AD354" s="623" t="s">
        <v>85</v>
      </c>
      <c r="AE354" s="854" t="s">
        <v>77</v>
      </c>
      <c r="AF354" s="1459" t="s">
        <v>525</v>
      </c>
      <c r="AG354" s="1459"/>
      <c r="AH354" s="1459"/>
      <c r="AI354" s="1459"/>
      <c r="AJ354" s="1459"/>
      <c r="AK354" s="1459"/>
      <c r="AL354" s="1459"/>
      <c r="AM354" s="1459"/>
      <c r="AN354" s="1459"/>
      <c r="AO354" s="1459"/>
      <c r="AP354" s="1459"/>
      <c r="AQ354" s="1459"/>
      <c r="AR354" s="1459"/>
      <c r="AS354" s="1459"/>
      <c r="AT354" s="1459"/>
      <c r="AU354" s="1459"/>
      <c r="AV354" s="1459"/>
      <c r="AW354" s="1459"/>
      <c r="AX354" s="1459"/>
      <c r="AY354" s="1459"/>
      <c r="AZ354" s="1459"/>
      <c r="BA354" s="1459"/>
      <c r="BB354" s="1459"/>
      <c r="BC354" s="1459"/>
      <c r="BD354" s="1459"/>
      <c r="BE354" s="613"/>
    </row>
    <row r="355" spans="2:57">
      <c r="B355" s="1318" t="s">
        <v>526</v>
      </c>
      <c r="C355" s="1319"/>
      <c r="D355" s="624" t="s">
        <v>527</v>
      </c>
      <c r="E355" s="624"/>
      <c r="F355" s="624" t="s">
        <v>528</v>
      </c>
      <c r="G355" s="624" t="s">
        <v>529</v>
      </c>
      <c r="H355" s="624" t="s">
        <v>530</v>
      </c>
      <c r="I355" s="624" t="s">
        <v>531</v>
      </c>
      <c r="J355" s="624" t="s">
        <v>532</v>
      </c>
      <c r="K355" s="624"/>
      <c r="L355" s="624" t="s">
        <v>130</v>
      </c>
      <c r="M355" s="624" t="s">
        <v>533</v>
      </c>
      <c r="N355" s="625" t="str">
        <f>"On time - "&amp;COUNTIF(N356:N384,"On time")&amp;" from "&amp;ROWS(N356:N384)-COUNTIF(N356:N384," ")</f>
        <v>On time - 2 from 11</v>
      </c>
      <c r="O355" s="626"/>
      <c r="P355" s="627" t="s">
        <v>534</v>
      </c>
      <c r="Q355" s="627" t="s">
        <v>535</v>
      </c>
      <c r="R355" s="627" t="s">
        <v>536</v>
      </c>
      <c r="S355" s="591"/>
      <c r="T355" s="628" t="s">
        <v>537</v>
      </c>
      <c r="U355" s="628" t="s">
        <v>538</v>
      </c>
      <c r="V355" s="628" t="s">
        <v>539</v>
      </c>
      <c r="W355" s="628" t="s">
        <v>540</v>
      </c>
      <c r="X355" s="628" t="s">
        <v>541</v>
      </c>
      <c r="Y355" s="628" t="s">
        <v>167</v>
      </c>
      <c r="Z355" s="628" t="s">
        <v>168</v>
      </c>
      <c r="AA355" s="628" t="s">
        <v>169</v>
      </c>
      <c r="AB355" s="628" t="s">
        <v>235</v>
      </c>
      <c r="AC355" s="628" t="s">
        <v>240</v>
      </c>
      <c r="AD355" s="623" t="s">
        <v>85</v>
      </c>
      <c r="AE355" s="628" t="s">
        <v>139</v>
      </c>
      <c r="AF355" s="855" t="s">
        <v>72</v>
      </c>
      <c r="AG355" s="855" t="s">
        <v>88</v>
      </c>
      <c r="AH355" s="855" t="s">
        <v>75</v>
      </c>
      <c r="AI355" s="855" t="s">
        <v>543</v>
      </c>
      <c r="AJ355" s="855" t="s">
        <v>78</v>
      </c>
      <c r="AK355" s="855" t="s">
        <v>76</v>
      </c>
      <c r="AL355" s="855" t="s">
        <v>544</v>
      </c>
      <c r="AM355" s="855" t="s">
        <v>545</v>
      </c>
      <c r="AN355" s="855" t="s">
        <v>86</v>
      </c>
      <c r="AO355" s="855" t="s">
        <v>83</v>
      </c>
      <c r="AP355" s="855" t="s">
        <v>84</v>
      </c>
      <c r="AQ355" s="855" t="s">
        <v>546</v>
      </c>
      <c r="AR355" s="855" t="s">
        <v>81</v>
      </c>
      <c r="AS355" s="855" t="s">
        <v>80</v>
      </c>
      <c r="AT355" s="855" t="s">
        <v>82</v>
      </c>
      <c r="AU355" s="855" t="s">
        <v>181</v>
      </c>
      <c r="AV355" s="855" t="s">
        <v>183</v>
      </c>
      <c r="AW355" s="855" t="s">
        <v>547</v>
      </c>
      <c r="AX355" s="855" t="s">
        <v>182</v>
      </c>
      <c r="AY355" s="855" t="s">
        <v>172</v>
      </c>
      <c r="AZ355" s="855" t="s">
        <v>173</v>
      </c>
      <c r="BA355" s="855" t="s">
        <v>184</v>
      </c>
      <c r="BB355" s="855" t="s">
        <v>100</v>
      </c>
      <c r="BC355" s="855" t="s">
        <v>913</v>
      </c>
      <c r="BD355" s="855" t="s">
        <v>2747</v>
      </c>
      <c r="BE355" s="613"/>
    </row>
    <row r="356" spans="2:57">
      <c r="B356" s="1315" t="s">
        <v>616</v>
      </c>
      <c r="C356" s="1316"/>
      <c r="D356" s="501" t="s">
        <v>3477</v>
      </c>
      <c r="E356" s="585"/>
      <c r="F356" s="501" t="s">
        <v>263</v>
      </c>
      <c r="G356" s="501" t="s">
        <v>264</v>
      </c>
      <c r="H356" s="629">
        <v>7500</v>
      </c>
      <c r="I356" s="584" t="s">
        <v>78</v>
      </c>
      <c r="J356" s="504">
        <v>45250.458333333336</v>
      </c>
      <c r="K356" s="504"/>
      <c r="L356" s="504" t="s">
        <v>192</v>
      </c>
      <c r="M356" s="504" t="s">
        <v>192</v>
      </c>
      <c r="N356" s="505" t="str">
        <f t="shared" ref="N356:N384" si="33">IF(ISBLANK(J356)," ",IF(J356&lt;$G$350,"On time",(IF(DAY(J356-$G$350)&lt;1,"On time",(IF(J356&gt;$G$350,"DELAY ( "&amp;DAY(J356-$G$350)&amp;" day "&amp;HOUR(J356-$G$350)&amp;" hour "&amp;MINUTE(J356-$G$350)&amp;" minute )","xxx"))))))</f>
        <v>On time</v>
      </c>
      <c r="O356" s="597"/>
      <c r="P356" s="507" t="s">
        <v>551</v>
      </c>
      <c r="Q356" s="507" t="s">
        <v>551</v>
      </c>
      <c r="R356" s="507" t="s">
        <v>551</v>
      </c>
      <c r="S356" s="598"/>
      <c r="T356" s="599"/>
      <c r="U356" s="599"/>
      <c r="V356" s="599"/>
      <c r="W356" s="599"/>
      <c r="X356" s="599"/>
      <c r="Y356" s="599"/>
      <c r="Z356" s="599"/>
      <c r="AA356" s="599"/>
      <c r="AB356" s="599"/>
      <c r="AC356" s="599"/>
      <c r="AD356" s="599"/>
      <c r="AE356" s="599"/>
      <c r="AF356" s="599"/>
      <c r="AG356" s="599"/>
      <c r="AH356" s="599"/>
      <c r="AI356" s="599"/>
      <c r="AJ356" s="599">
        <f>H356</f>
        <v>7500</v>
      </c>
      <c r="AK356" s="599"/>
      <c r="AL356" s="599"/>
      <c r="AM356" s="599"/>
      <c r="AN356" s="599"/>
      <c r="AO356" s="599"/>
      <c r="AP356" s="599"/>
      <c r="AQ356" s="599"/>
      <c r="AR356" s="599"/>
      <c r="AS356" s="599"/>
      <c r="AT356" s="599"/>
      <c r="AU356" s="599"/>
      <c r="AV356" s="599"/>
      <c r="AW356" s="599"/>
      <c r="AX356" s="598"/>
      <c r="AY356" s="599"/>
      <c r="AZ356" s="599"/>
      <c r="BA356" s="599"/>
      <c r="BB356" s="599"/>
      <c r="BC356" s="599"/>
      <c r="BD356" s="599"/>
      <c r="BE356" s="598"/>
    </row>
    <row r="357" spans="2:57">
      <c r="B357" s="1315" t="s">
        <v>616</v>
      </c>
      <c r="C357" s="1316"/>
      <c r="D357" s="501" t="s">
        <v>3478</v>
      </c>
      <c r="E357" s="585"/>
      <c r="F357" s="501" t="s">
        <v>1972</v>
      </c>
      <c r="G357" s="501" t="s">
        <v>1973</v>
      </c>
      <c r="H357" s="629">
        <v>7500</v>
      </c>
      <c r="I357" s="584" t="s">
        <v>78</v>
      </c>
      <c r="J357" s="504">
        <v>45252.708333333336</v>
      </c>
      <c r="K357" s="574"/>
      <c r="L357" s="504" t="s">
        <v>192</v>
      </c>
      <c r="M357" s="504" t="s">
        <v>192</v>
      </c>
      <c r="N357" s="505" t="str">
        <f t="shared" si="33"/>
        <v>DELAY ( 1 day 17 hour 0 minute )</v>
      </c>
      <c r="O357" s="597"/>
      <c r="P357" s="507" t="s">
        <v>551</v>
      </c>
      <c r="Q357" s="507" t="s">
        <v>551</v>
      </c>
      <c r="R357" s="507" t="s">
        <v>551</v>
      </c>
      <c r="S357" s="598"/>
      <c r="T357" s="599"/>
      <c r="U357" s="599"/>
      <c r="V357" s="599"/>
      <c r="W357" s="599"/>
      <c r="X357" s="599"/>
      <c r="Y357" s="599"/>
      <c r="Z357" s="599"/>
      <c r="AA357" s="599"/>
      <c r="AB357" s="599"/>
      <c r="AC357" s="599"/>
      <c r="AD357" s="599"/>
      <c r="AE357" s="599"/>
      <c r="AF357" s="599"/>
      <c r="AG357" s="599"/>
      <c r="AH357" s="599"/>
      <c r="AI357" s="599"/>
      <c r="AJ357" s="599">
        <f>H357</f>
        <v>7500</v>
      </c>
      <c r="AK357" s="599"/>
      <c r="AL357" s="599"/>
      <c r="AM357" s="599"/>
      <c r="AN357" s="599"/>
      <c r="AO357" s="599"/>
      <c r="AP357" s="599"/>
      <c r="AQ357" s="599"/>
      <c r="AR357" s="599"/>
      <c r="AS357" s="599"/>
      <c r="AT357" s="599"/>
      <c r="AU357" s="599"/>
      <c r="AV357" s="599"/>
      <c r="AW357" s="599"/>
      <c r="AX357" s="599"/>
      <c r="AY357" s="599"/>
      <c r="AZ357" s="599"/>
      <c r="BA357" s="599"/>
      <c r="BB357" s="599"/>
      <c r="BC357" s="599"/>
      <c r="BD357" s="599"/>
      <c r="BE357" s="598"/>
    </row>
    <row r="358" spans="2:57">
      <c r="B358" s="1351" t="s">
        <v>1721</v>
      </c>
      <c r="C358" s="1352"/>
      <c r="D358" s="1352"/>
      <c r="E358" s="1352"/>
      <c r="F358" s="1352"/>
      <c r="G358" s="1353"/>
      <c r="H358" s="702">
        <f>SUM(H356:H357)</f>
        <v>15000</v>
      </c>
      <c r="I358" s="703"/>
      <c r="J358" s="704"/>
      <c r="K358" s="704"/>
      <c r="L358" s="704"/>
      <c r="M358" s="705"/>
      <c r="N358" s="505" t="str">
        <f t="shared" si="33"/>
        <v xml:space="preserve"> </v>
      </c>
      <c r="O358" s="552"/>
      <c r="P358" s="706"/>
      <c r="Q358" s="706"/>
      <c r="R358" s="706"/>
      <c r="S358" s="598"/>
      <c r="T358" s="599"/>
      <c r="U358" s="599"/>
      <c r="V358" s="599"/>
      <c r="W358" s="599"/>
      <c r="X358" s="599"/>
      <c r="Y358" s="599"/>
      <c r="Z358" s="599"/>
      <c r="AA358" s="599"/>
      <c r="AB358" s="599"/>
      <c r="AC358" s="599"/>
      <c r="AD358" s="599"/>
      <c r="AE358" s="599"/>
      <c r="AF358" s="599"/>
      <c r="AG358" s="599"/>
      <c r="AH358" s="599"/>
      <c r="AI358" s="599"/>
      <c r="AJ358" s="599"/>
      <c r="AK358" s="599"/>
      <c r="AL358" s="599"/>
      <c r="AM358" s="599"/>
      <c r="AN358" s="599"/>
      <c r="AO358" s="599"/>
      <c r="AP358" s="598"/>
      <c r="AQ358" s="599"/>
      <c r="AR358" s="599"/>
      <c r="AS358" s="599"/>
      <c r="AT358" s="599"/>
      <c r="AU358" s="599"/>
      <c r="AV358" s="599"/>
      <c r="AW358" s="599"/>
      <c r="AX358" s="599"/>
      <c r="AY358" s="599"/>
      <c r="AZ358" s="599"/>
      <c r="BA358" s="599"/>
      <c r="BB358" s="599"/>
      <c r="BC358" s="599"/>
      <c r="BD358" s="599"/>
      <c r="BE358" s="598"/>
    </row>
    <row r="359" spans="2:57">
      <c r="B359" s="1326" t="s">
        <v>619</v>
      </c>
      <c r="C359" s="1327"/>
      <c r="D359" s="501" t="s">
        <v>3537</v>
      </c>
      <c r="E359" s="501"/>
      <c r="F359" s="501" t="s">
        <v>274</v>
      </c>
      <c r="G359" s="501" t="s">
        <v>1093</v>
      </c>
      <c r="H359" s="629">
        <v>7523.2340000000004</v>
      </c>
      <c r="I359" s="584" t="s">
        <v>418</v>
      </c>
      <c r="J359" s="504">
        <v>45252.666666666664</v>
      </c>
      <c r="K359" s="504"/>
      <c r="L359" s="504" t="s">
        <v>192</v>
      </c>
      <c r="M359" s="504" t="s">
        <v>192</v>
      </c>
      <c r="N359" s="505" t="str">
        <f t="shared" si="33"/>
        <v>DELAY ( 1 day 16 hour 0 minute )</v>
      </c>
      <c r="O359" s="597"/>
      <c r="P359" s="507" t="s">
        <v>551</v>
      </c>
      <c r="Q359" s="507" t="s">
        <v>551</v>
      </c>
      <c r="R359" s="507" t="s">
        <v>551</v>
      </c>
      <c r="S359" s="598"/>
      <c r="T359" s="599"/>
      <c r="U359" s="599"/>
      <c r="V359" s="599"/>
      <c r="W359" s="599"/>
      <c r="X359" s="599"/>
      <c r="Y359" s="599"/>
      <c r="Z359" s="599"/>
      <c r="AA359" s="599"/>
      <c r="AB359" s="599">
        <f>H359*0.65</f>
        <v>4890.1021000000001</v>
      </c>
      <c r="AC359" s="599">
        <f>H359*0.35</f>
        <v>2633.1318999999999</v>
      </c>
      <c r="AD359" s="599"/>
      <c r="AE359" s="599"/>
      <c r="AF359" s="599"/>
      <c r="AG359" s="599"/>
      <c r="AH359" s="599"/>
      <c r="AI359" s="599"/>
      <c r="AJ359" s="599"/>
      <c r="AK359" s="599"/>
      <c r="AL359" s="599"/>
      <c r="AM359" s="599"/>
      <c r="AN359" s="599"/>
      <c r="AO359" s="599"/>
      <c r="AP359" s="599"/>
      <c r="AQ359" s="599"/>
      <c r="AR359" s="599"/>
      <c r="AS359" s="599"/>
      <c r="AT359" s="599"/>
      <c r="AU359" s="599"/>
      <c r="AV359" s="599"/>
      <c r="AW359" s="599"/>
      <c r="AX359" s="599"/>
      <c r="AY359" s="599"/>
      <c r="AZ359" s="599"/>
      <c r="BA359" s="599"/>
      <c r="BB359" s="599"/>
      <c r="BC359" s="599"/>
      <c r="BD359" s="599"/>
      <c r="BE359" s="598"/>
    </row>
    <row r="360" spans="2:57">
      <c r="B360" s="1328"/>
      <c r="C360" s="1329"/>
      <c r="D360" s="501"/>
      <c r="E360" s="501"/>
      <c r="F360" s="1315" t="s">
        <v>616</v>
      </c>
      <c r="G360" s="1316"/>
      <c r="H360" s="629">
        <v>4300</v>
      </c>
      <c r="I360" s="584"/>
      <c r="J360" s="504"/>
      <c r="K360" s="504"/>
      <c r="L360" s="504"/>
      <c r="M360" s="504"/>
      <c r="N360" s="505" t="str">
        <f t="shared" si="33"/>
        <v xml:space="preserve"> </v>
      </c>
      <c r="O360" s="597"/>
      <c r="P360" s="507"/>
      <c r="Q360" s="507"/>
      <c r="R360" s="507"/>
      <c r="S360" s="598"/>
      <c r="T360" s="599"/>
      <c r="U360" s="599"/>
      <c r="V360" s="599"/>
      <c r="W360" s="599"/>
      <c r="X360" s="599"/>
      <c r="Y360" s="599"/>
      <c r="Z360" s="599"/>
      <c r="AA360" s="599"/>
      <c r="AB360" s="599"/>
      <c r="AC360" s="599"/>
      <c r="AD360" s="599"/>
      <c r="AE360" s="599"/>
      <c r="AF360" s="599"/>
      <c r="AG360" s="599"/>
      <c r="AH360" s="599"/>
      <c r="AI360" s="599"/>
      <c r="AJ360" s="599"/>
      <c r="AK360" s="862"/>
      <c r="AL360" s="599"/>
      <c r="AM360" s="599"/>
      <c r="AN360" s="599"/>
      <c r="AO360" s="599"/>
      <c r="AP360" s="599"/>
      <c r="AQ360" s="599"/>
      <c r="AR360" s="599"/>
      <c r="AS360" s="599"/>
      <c r="AT360" s="599"/>
      <c r="AU360" s="599"/>
      <c r="AV360" s="599"/>
      <c r="AW360" s="599"/>
      <c r="AX360" s="599"/>
      <c r="AY360" s="599"/>
      <c r="AZ360" s="599"/>
      <c r="BA360" s="599"/>
      <c r="BB360" s="599"/>
      <c r="BC360" s="599"/>
      <c r="BD360" s="599"/>
      <c r="BE360" s="598"/>
    </row>
    <row r="361" spans="2:57">
      <c r="B361" s="1326" t="s">
        <v>621</v>
      </c>
      <c r="C361" s="1327"/>
      <c r="D361" s="501" t="s">
        <v>3538</v>
      </c>
      <c r="E361" s="501"/>
      <c r="F361" s="501" t="s">
        <v>429</v>
      </c>
      <c r="G361" s="501" t="s">
        <v>430</v>
      </c>
      <c r="H361" s="629">
        <v>7485.7020000000002</v>
      </c>
      <c r="I361" s="584" t="s">
        <v>418</v>
      </c>
      <c r="J361" s="504">
        <v>45252.618055555555</v>
      </c>
      <c r="K361" s="504"/>
      <c r="L361" s="504" t="s">
        <v>192</v>
      </c>
      <c r="M361" s="504" t="s">
        <v>192</v>
      </c>
      <c r="N361" s="505" t="str">
        <f t="shared" si="33"/>
        <v>DELAY ( 1 day 14 hour 50 minute )</v>
      </c>
      <c r="O361" s="597"/>
      <c r="P361" s="507" t="s">
        <v>551</v>
      </c>
      <c r="Q361" s="507" t="s">
        <v>551</v>
      </c>
      <c r="R361" s="507" t="s">
        <v>551</v>
      </c>
      <c r="S361" s="598"/>
      <c r="T361" s="599"/>
      <c r="U361" s="599"/>
      <c r="V361" s="599"/>
      <c r="W361" s="599"/>
      <c r="X361" s="599"/>
      <c r="Y361" s="599"/>
      <c r="Z361" s="599"/>
      <c r="AA361" s="599"/>
      <c r="AB361" s="599">
        <f>H361*0.65</f>
        <v>4865.7063000000007</v>
      </c>
      <c r="AC361" s="599">
        <f>H361*0.35</f>
        <v>2619.9956999999999</v>
      </c>
      <c r="AD361" s="599"/>
      <c r="AE361" s="599"/>
      <c r="AF361" s="599"/>
      <c r="AG361" s="599"/>
      <c r="AH361" s="599"/>
      <c r="AI361" s="599"/>
      <c r="AJ361" s="599"/>
      <c r="AK361" s="598"/>
      <c r="AL361" s="599"/>
      <c r="AM361" s="599"/>
      <c r="AN361" s="599"/>
      <c r="AO361" s="599"/>
      <c r="AP361" s="599"/>
      <c r="AQ361" s="599"/>
      <c r="AR361" s="599"/>
      <c r="AS361" s="599"/>
      <c r="AT361" s="599"/>
      <c r="AU361" s="599"/>
      <c r="AV361" s="599"/>
      <c r="AW361" s="599"/>
      <c r="AX361" s="599"/>
      <c r="AY361" s="599"/>
      <c r="AZ361" s="599"/>
      <c r="BA361" s="599"/>
      <c r="BB361" s="599"/>
      <c r="BC361" s="599"/>
      <c r="BD361" s="599"/>
      <c r="BE361" s="598"/>
    </row>
    <row r="362" spans="2:57">
      <c r="B362" s="1328"/>
      <c r="C362" s="1329"/>
      <c r="D362" s="501"/>
      <c r="E362" s="501"/>
      <c r="F362" s="1315" t="s">
        <v>616</v>
      </c>
      <c r="G362" s="1316"/>
      <c r="H362" s="629">
        <v>4200</v>
      </c>
      <c r="I362" s="584"/>
      <c r="J362" s="504"/>
      <c r="K362" s="504"/>
      <c r="L362" s="504"/>
      <c r="M362" s="504"/>
      <c r="N362" s="505" t="str">
        <f t="shared" si="33"/>
        <v xml:space="preserve"> </v>
      </c>
      <c r="O362" s="597"/>
      <c r="P362" s="507"/>
      <c r="Q362" s="507"/>
      <c r="R362" s="507"/>
      <c r="S362" s="598"/>
      <c r="T362" s="599"/>
      <c r="U362" s="599"/>
      <c r="V362" s="599"/>
      <c r="W362" s="599"/>
      <c r="X362" s="599"/>
      <c r="Y362" s="599"/>
      <c r="Z362" s="599"/>
      <c r="AA362" s="599"/>
      <c r="AB362" s="599"/>
      <c r="AC362" s="599"/>
      <c r="AD362" s="599"/>
      <c r="AE362" s="599"/>
      <c r="AF362" s="599"/>
      <c r="AG362" s="599"/>
      <c r="AH362" s="599"/>
      <c r="AI362" s="599"/>
      <c r="AJ362" s="599"/>
      <c r="AK362" s="862"/>
      <c r="AL362" s="599"/>
      <c r="AM362" s="599"/>
      <c r="AN362" s="599"/>
      <c r="AO362" s="599"/>
      <c r="AP362" s="599"/>
      <c r="AQ362" s="599"/>
      <c r="AR362" s="599"/>
      <c r="AS362" s="599"/>
      <c r="AT362" s="599"/>
      <c r="AU362" s="599"/>
      <c r="AV362" s="599"/>
      <c r="AW362" s="599"/>
      <c r="AX362" s="599"/>
      <c r="AY362" s="599"/>
      <c r="AZ362" s="599"/>
      <c r="BA362" s="599"/>
      <c r="BB362" s="599"/>
      <c r="BC362" s="599"/>
      <c r="BD362" s="599"/>
      <c r="BE362" s="598"/>
    </row>
    <row r="363" spans="2:57">
      <c r="B363" s="1351"/>
      <c r="C363" s="1352"/>
      <c r="D363" s="1352"/>
      <c r="E363" s="1352"/>
      <c r="F363" s="1352"/>
      <c r="G363" s="1353"/>
      <c r="H363" s="702"/>
      <c r="I363" s="703"/>
      <c r="J363" s="704"/>
      <c r="K363" s="704"/>
      <c r="L363" s="704"/>
      <c r="M363" s="705"/>
      <c r="N363" s="505" t="str">
        <f t="shared" si="33"/>
        <v xml:space="preserve"> </v>
      </c>
      <c r="O363" s="552"/>
      <c r="P363" s="706"/>
      <c r="Q363" s="706"/>
      <c r="R363" s="706"/>
      <c r="S363" s="598"/>
      <c r="T363" s="599"/>
      <c r="U363" s="599"/>
      <c r="V363" s="599"/>
      <c r="W363" s="599"/>
      <c r="X363" s="599"/>
      <c r="Y363" s="599"/>
      <c r="Z363" s="599"/>
      <c r="AA363" s="599"/>
      <c r="AB363" s="599"/>
      <c r="AC363" s="599"/>
      <c r="AD363" s="599"/>
      <c r="AE363" s="599"/>
      <c r="AF363" s="599"/>
      <c r="AG363" s="599"/>
      <c r="AH363" s="599"/>
      <c r="AI363" s="599"/>
      <c r="AJ363" s="599"/>
      <c r="AK363" s="599"/>
      <c r="AL363" s="599"/>
      <c r="AM363" s="599"/>
      <c r="AN363" s="599"/>
      <c r="AO363" s="599"/>
      <c r="AP363" s="598"/>
      <c r="AQ363" s="599"/>
      <c r="AR363" s="599"/>
      <c r="AS363" s="599"/>
      <c r="AT363" s="599"/>
      <c r="AU363" s="599"/>
      <c r="AV363" s="599"/>
      <c r="AW363" s="599"/>
      <c r="AX363" s="599"/>
      <c r="AY363" s="599"/>
      <c r="AZ363" s="599"/>
      <c r="BA363" s="599"/>
      <c r="BB363" s="599"/>
      <c r="BC363" s="599"/>
      <c r="BD363" s="599"/>
      <c r="BE363" s="598"/>
    </row>
    <row r="364" spans="2:57">
      <c r="B364" s="1315" t="s">
        <v>668</v>
      </c>
      <c r="C364" s="1316"/>
      <c r="D364" s="501" t="s">
        <v>3604</v>
      </c>
      <c r="E364" s="585"/>
      <c r="F364" s="501" t="s">
        <v>330</v>
      </c>
      <c r="G364" s="501" t="s">
        <v>331</v>
      </c>
      <c r="H364" s="629">
        <v>7309.2740000000003</v>
      </c>
      <c r="I364" s="584" t="s">
        <v>85</v>
      </c>
      <c r="J364" s="504">
        <v>45253.9375</v>
      </c>
      <c r="K364" s="504"/>
      <c r="L364" s="504" t="s">
        <v>192</v>
      </c>
      <c r="M364" s="504" t="s">
        <v>192</v>
      </c>
      <c r="N364" s="505" t="str">
        <f t="shared" si="33"/>
        <v>DELAY ( 2 day 22 hour 30 minute )</v>
      </c>
      <c r="O364" s="597"/>
      <c r="P364" s="507" t="s">
        <v>551</v>
      </c>
      <c r="Q364" s="507" t="s">
        <v>551</v>
      </c>
      <c r="R364" s="507" t="s">
        <v>551</v>
      </c>
      <c r="S364" s="598"/>
      <c r="T364" s="599"/>
      <c r="U364" s="599"/>
      <c r="V364" s="599"/>
      <c r="W364" s="599"/>
      <c r="X364" s="599"/>
      <c r="Y364" s="599"/>
      <c r="Z364" s="599"/>
      <c r="AA364" s="599"/>
      <c r="AB364" s="599"/>
      <c r="AC364" s="599"/>
      <c r="AD364" s="599">
        <f>H364</f>
        <v>7309.2740000000003</v>
      </c>
      <c r="AE364" s="599"/>
      <c r="AF364" s="599"/>
      <c r="AG364" s="599"/>
      <c r="AH364" s="599"/>
      <c r="AI364" s="599"/>
      <c r="AJ364" s="599"/>
      <c r="AK364" s="598"/>
      <c r="AL364" s="599"/>
      <c r="AM364" s="599"/>
      <c r="AN364" s="599"/>
      <c r="AO364" s="599"/>
      <c r="AP364" s="599"/>
      <c r="AQ364" s="599"/>
      <c r="AR364" s="599"/>
      <c r="AS364" s="599"/>
      <c r="AT364" s="599"/>
      <c r="AU364" s="599"/>
      <c r="AV364" s="599"/>
      <c r="AW364" s="599"/>
      <c r="AX364" s="598"/>
      <c r="AY364" s="599"/>
      <c r="AZ364" s="599"/>
      <c r="BA364" s="599"/>
      <c r="BB364" s="599"/>
      <c r="BC364" s="599"/>
      <c r="BD364" s="599"/>
      <c r="BE364" s="598"/>
    </row>
    <row r="365" spans="2:57">
      <c r="B365" s="1351" t="s">
        <v>2182</v>
      </c>
      <c r="C365" s="1352"/>
      <c r="D365" s="1352"/>
      <c r="E365" s="1352"/>
      <c r="F365" s="1352"/>
      <c r="G365" s="1353"/>
      <c r="H365" s="702">
        <f>SUM(H364)</f>
        <v>7309.2740000000003</v>
      </c>
      <c r="I365" s="703"/>
      <c r="J365" s="704"/>
      <c r="K365" s="704"/>
      <c r="L365" s="704"/>
      <c r="M365" s="705"/>
      <c r="N365" s="505" t="str">
        <f t="shared" si="33"/>
        <v xml:space="preserve"> </v>
      </c>
      <c r="O365" s="552"/>
      <c r="P365" s="706"/>
      <c r="Q365" s="706"/>
      <c r="R365" s="706"/>
      <c r="S365" s="598"/>
      <c r="T365" s="599"/>
      <c r="U365" s="599"/>
      <c r="V365" s="599"/>
      <c r="W365" s="599"/>
      <c r="X365" s="599"/>
      <c r="Y365" s="599"/>
      <c r="Z365" s="599"/>
      <c r="AA365" s="599"/>
      <c r="AB365" s="599"/>
      <c r="AC365" s="599"/>
      <c r="AD365" s="599"/>
      <c r="AE365" s="599"/>
      <c r="AF365" s="599"/>
      <c r="AG365" s="599"/>
      <c r="AH365" s="599"/>
      <c r="AI365" s="599"/>
      <c r="AJ365" s="599"/>
      <c r="AK365" s="599"/>
      <c r="AL365" s="599"/>
      <c r="AM365" s="599"/>
      <c r="AN365" s="599"/>
      <c r="AO365" s="599"/>
      <c r="AP365" s="598"/>
      <c r="AQ365" s="599"/>
      <c r="AR365" s="599"/>
      <c r="AS365" s="599"/>
      <c r="AT365" s="599"/>
      <c r="AU365" s="599"/>
      <c r="AV365" s="599"/>
      <c r="AW365" s="599"/>
      <c r="AX365" s="599"/>
      <c r="AY365" s="599"/>
      <c r="AZ365" s="599"/>
      <c r="BA365" s="599"/>
      <c r="BB365" s="599"/>
      <c r="BC365" s="599"/>
      <c r="BD365" s="599"/>
      <c r="BE365" s="598"/>
    </row>
    <row r="366" spans="2:57">
      <c r="B366" s="1326" t="s">
        <v>622</v>
      </c>
      <c r="C366" s="1327"/>
      <c r="D366" s="501" t="s">
        <v>3534</v>
      </c>
      <c r="E366" s="501"/>
      <c r="F366" s="501" t="s">
        <v>2404</v>
      </c>
      <c r="G366" s="501" t="s">
        <v>2405</v>
      </c>
      <c r="H366" s="629">
        <v>10311.334000000001</v>
      </c>
      <c r="I366" s="584" t="s">
        <v>418</v>
      </c>
      <c r="J366" s="504">
        <v>45251.875</v>
      </c>
      <c r="K366" s="504"/>
      <c r="L366" s="504" t="s">
        <v>192</v>
      </c>
      <c r="M366" s="504" t="s">
        <v>192</v>
      </c>
      <c r="N366" s="505" t="str">
        <f t="shared" si="33"/>
        <v>On time</v>
      </c>
      <c r="O366" s="597"/>
      <c r="P366" s="507" t="s">
        <v>551</v>
      </c>
      <c r="Q366" s="507" t="s">
        <v>551</v>
      </c>
      <c r="R366" s="507" t="s">
        <v>551</v>
      </c>
      <c r="S366" s="598"/>
      <c r="T366" s="599"/>
      <c r="U366" s="599"/>
      <c r="V366" s="599"/>
      <c r="W366" s="599"/>
      <c r="X366" s="599"/>
      <c r="Y366" s="599"/>
      <c r="Z366" s="599"/>
      <c r="AA366" s="599"/>
      <c r="AB366" s="599">
        <f>H366*0.65</f>
        <v>6702.3671000000004</v>
      </c>
      <c r="AC366" s="599">
        <f>H366*0.35</f>
        <v>3608.9668999999999</v>
      </c>
      <c r="AD366" s="599"/>
      <c r="AE366" s="599"/>
      <c r="AF366" s="599"/>
      <c r="AG366" s="599"/>
      <c r="AH366" s="599"/>
      <c r="AI366" s="599"/>
      <c r="AJ366" s="599"/>
      <c r="AK366" s="599"/>
      <c r="AL366" s="599"/>
      <c r="AM366" s="599"/>
      <c r="AN366" s="599"/>
      <c r="AO366" s="599"/>
      <c r="AP366" s="599"/>
      <c r="AQ366" s="599"/>
      <c r="AR366" s="599"/>
      <c r="AS366" s="599"/>
      <c r="AT366" s="599"/>
      <c r="AU366" s="599"/>
      <c r="AV366" s="599"/>
      <c r="AW366" s="599"/>
      <c r="AX366" s="599"/>
      <c r="AY366" s="599"/>
      <c r="AZ366" s="599"/>
      <c r="BA366" s="599"/>
      <c r="BB366" s="599"/>
      <c r="BC366" s="599"/>
      <c r="BD366" s="599"/>
      <c r="BE366" s="598"/>
    </row>
    <row r="367" spans="2:57">
      <c r="B367" s="1421"/>
      <c r="C367" s="1422"/>
      <c r="D367" s="501"/>
      <c r="E367" s="501"/>
      <c r="F367" s="1315" t="s">
        <v>668</v>
      </c>
      <c r="G367" s="1316"/>
      <c r="H367" s="629">
        <v>2509</v>
      </c>
      <c r="I367" s="584"/>
      <c r="J367" s="504"/>
      <c r="K367" s="504"/>
      <c r="L367" s="504"/>
      <c r="M367" s="504"/>
      <c r="N367" s="505" t="str">
        <f t="shared" si="33"/>
        <v xml:space="preserve"> </v>
      </c>
      <c r="O367" s="597"/>
      <c r="P367" s="507"/>
      <c r="Q367" s="507"/>
      <c r="R367" s="507"/>
      <c r="S367" s="598"/>
      <c r="T367" s="599"/>
      <c r="U367" s="599"/>
      <c r="V367" s="599"/>
      <c r="W367" s="599"/>
      <c r="X367" s="599"/>
      <c r="Y367" s="599"/>
      <c r="Z367" s="599"/>
      <c r="AA367" s="599"/>
      <c r="AB367" s="599"/>
      <c r="AC367" s="599"/>
      <c r="AD367" s="599"/>
      <c r="AE367" s="599"/>
      <c r="AF367" s="599"/>
      <c r="AG367" s="599"/>
      <c r="AH367" s="599"/>
      <c r="AI367" s="599"/>
      <c r="AJ367" s="599"/>
      <c r="AK367" s="862"/>
      <c r="AL367" s="599"/>
      <c r="AM367" s="599"/>
      <c r="AN367" s="599"/>
      <c r="AO367" s="599"/>
      <c r="AP367" s="599"/>
      <c r="AQ367" s="599"/>
      <c r="AR367" s="599"/>
      <c r="AS367" s="599"/>
      <c r="AT367" s="599"/>
      <c r="AU367" s="599"/>
      <c r="AV367" s="599"/>
      <c r="AW367" s="599"/>
      <c r="AX367" s="599"/>
      <c r="AY367" s="599"/>
      <c r="AZ367" s="599"/>
      <c r="BA367" s="599"/>
      <c r="BB367" s="599"/>
      <c r="BC367" s="599"/>
      <c r="BD367" s="599"/>
      <c r="BE367" s="598"/>
    </row>
    <row r="368" spans="2:57">
      <c r="B368" s="1326" t="s">
        <v>623</v>
      </c>
      <c r="C368" s="1327"/>
      <c r="D368" s="501" t="s">
        <v>3535</v>
      </c>
      <c r="E368" s="501"/>
      <c r="F368" s="501" t="s">
        <v>292</v>
      </c>
      <c r="G368" s="501" t="s">
        <v>293</v>
      </c>
      <c r="H368" s="629">
        <v>7517.4939999999997</v>
      </c>
      <c r="I368" s="584" t="s">
        <v>418</v>
      </c>
      <c r="J368" s="504">
        <v>45252.614583333336</v>
      </c>
      <c r="K368" s="504"/>
      <c r="L368" s="504" t="s">
        <v>192</v>
      </c>
      <c r="M368" s="504" t="s">
        <v>192</v>
      </c>
      <c r="N368" s="505" t="str">
        <f t="shared" si="33"/>
        <v>DELAY ( 1 day 14 hour 45 minute )</v>
      </c>
      <c r="O368" s="597"/>
      <c r="P368" s="507" t="s">
        <v>551</v>
      </c>
      <c r="Q368" s="507" t="s">
        <v>551</v>
      </c>
      <c r="R368" s="507" t="s">
        <v>551</v>
      </c>
      <c r="S368" s="598"/>
      <c r="T368" s="599"/>
      <c r="U368" s="599"/>
      <c r="V368" s="599"/>
      <c r="W368" s="599"/>
      <c r="X368" s="599"/>
      <c r="Y368" s="599"/>
      <c r="Z368" s="599"/>
      <c r="AA368" s="599"/>
      <c r="AB368" s="599">
        <f t="shared" ref="AB368:AB371" si="34">H368*0.65</f>
        <v>4886.3711000000003</v>
      </c>
      <c r="AC368" s="599">
        <f t="shared" ref="AC368:AC371" si="35">H368*0.35</f>
        <v>2631.1228999999998</v>
      </c>
      <c r="AD368" s="599"/>
      <c r="AE368" s="599"/>
      <c r="AF368" s="599"/>
      <c r="AG368" s="599"/>
      <c r="AH368" s="599"/>
      <c r="AI368" s="599"/>
      <c r="AJ368" s="599"/>
      <c r="AK368" s="598"/>
      <c r="AL368" s="599"/>
      <c r="AM368" s="599"/>
      <c r="AN368" s="599"/>
      <c r="AO368" s="599"/>
      <c r="AP368" s="599"/>
      <c r="AQ368" s="599"/>
      <c r="AR368" s="599"/>
      <c r="AS368" s="599"/>
      <c r="AT368" s="599"/>
      <c r="AU368" s="599"/>
      <c r="AV368" s="599"/>
      <c r="AW368" s="599"/>
      <c r="AX368" s="599"/>
      <c r="AY368" s="599"/>
      <c r="AZ368" s="599"/>
      <c r="BA368" s="599"/>
      <c r="BB368" s="599"/>
      <c r="BC368" s="599"/>
      <c r="BD368" s="599"/>
      <c r="BE368" s="598"/>
    </row>
    <row r="369" spans="2:57">
      <c r="B369" s="1421"/>
      <c r="C369" s="1422"/>
      <c r="D369" s="501"/>
      <c r="E369" s="501"/>
      <c r="F369" s="1315" t="s">
        <v>668</v>
      </c>
      <c r="G369" s="1316"/>
      <c r="H369" s="629">
        <v>1200</v>
      </c>
      <c r="I369" s="584"/>
      <c r="J369" s="504"/>
      <c r="K369" s="504"/>
      <c r="L369" s="504"/>
      <c r="M369" s="504"/>
      <c r="N369" s="505" t="str">
        <f t="shared" si="33"/>
        <v xml:space="preserve"> </v>
      </c>
      <c r="O369" s="597"/>
      <c r="P369" s="507"/>
      <c r="Q369" s="507"/>
      <c r="R369" s="507"/>
      <c r="S369" s="598"/>
      <c r="T369" s="599"/>
      <c r="U369" s="599"/>
      <c r="V369" s="599"/>
      <c r="W369" s="599"/>
      <c r="X369" s="599"/>
      <c r="Y369" s="599"/>
      <c r="Z369" s="599"/>
      <c r="AA369" s="599"/>
      <c r="AB369" s="599"/>
      <c r="AC369" s="599"/>
      <c r="AD369" s="599"/>
      <c r="AE369" s="599"/>
      <c r="AF369" s="599"/>
      <c r="AG369" s="599"/>
      <c r="AH369" s="599"/>
      <c r="AI369" s="599"/>
      <c r="AJ369" s="599"/>
      <c r="AK369" s="862"/>
      <c r="AL369" s="599"/>
      <c r="AM369" s="599"/>
      <c r="AN369" s="599"/>
      <c r="AO369" s="599"/>
      <c r="AP369" s="599"/>
      <c r="AQ369" s="599"/>
      <c r="AR369" s="599"/>
      <c r="AS369" s="599"/>
      <c r="AT369" s="599"/>
      <c r="AU369" s="599"/>
      <c r="AV369" s="599"/>
      <c r="AW369" s="599"/>
      <c r="AX369" s="599"/>
      <c r="AY369" s="599"/>
      <c r="AZ369" s="599"/>
      <c r="BA369" s="599"/>
      <c r="BB369" s="599"/>
      <c r="BC369" s="599"/>
      <c r="BD369" s="599"/>
      <c r="BE369" s="598"/>
    </row>
    <row r="370" spans="2:57">
      <c r="B370" s="1328"/>
      <c r="C370" s="1329"/>
      <c r="D370" s="501"/>
      <c r="E370" s="501"/>
      <c r="F370" s="1315" t="s">
        <v>616</v>
      </c>
      <c r="G370" s="1316"/>
      <c r="H370" s="629">
        <v>1900</v>
      </c>
      <c r="I370" s="584"/>
      <c r="J370" s="504"/>
      <c r="K370" s="504"/>
      <c r="L370" s="504"/>
      <c r="M370" s="504"/>
      <c r="N370" s="505" t="str">
        <f t="shared" si="33"/>
        <v xml:space="preserve"> </v>
      </c>
      <c r="O370" s="597"/>
      <c r="P370" s="507"/>
      <c r="Q370" s="507"/>
      <c r="R370" s="507"/>
      <c r="S370" s="598"/>
      <c r="T370" s="599"/>
      <c r="U370" s="599"/>
      <c r="V370" s="599"/>
      <c r="W370" s="599"/>
      <c r="X370" s="599"/>
      <c r="Y370" s="599"/>
      <c r="Z370" s="599"/>
      <c r="AA370" s="599"/>
      <c r="AB370" s="599"/>
      <c r="AC370" s="599"/>
      <c r="AD370" s="599"/>
      <c r="AE370" s="599"/>
      <c r="AF370" s="599"/>
      <c r="AG370" s="599"/>
      <c r="AH370" s="599"/>
      <c r="AI370" s="599"/>
      <c r="AJ370" s="599"/>
      <c r="AK370" s="862"/>
      <c r="AL370" s="599"/>
      <c r="AM370" s="599"/>
      <c r="AN370" s="599"/>
      <c r="AO370" s="599"/>
      <c r="AP370" s="599"/>
      <c r="AQ370" s="599"/>
      <c r="AR370" s="599"/>
      <c r="AS370" s="599"/>
      <c r="AT370" s="599"/>
      <c r="AU370" s="599"/>
      <c r="AV370" s="599"/>
      <c r="AW370" s="599"/>
      <c r="AX370" s="599"/>
      <c r="AY370" s="599"/>
      <c r="AZ370" s="599"/>
      <c r="BA370" s="599"/>
      <c r="BB370" s="599"/>
      <c r="BC370" s="599"/>
      <c r="BD370" s="599"/>
      <c r="BE370" s="598"/>
    </row>
    <row r="371" spans="2:57">
      <c r="B371" s="1326" t="s">
        <v>624</v>
      </c>
      <c r="C371" s="1327"/>
      <c r="D371" s="501" t="s">
        <v>3536</v>
      </c>
      <c r="E371" s="501"/>
      <c r="F371" s="501" t="s">
        <v>403</v>
      </c>
      <c r="G371" s="501" t="s">
        <v>404</v>
      </c>
      <c r="H371" s="629">
        <v>7363.7790000000005</v>
      </c>
      <c r="I371" s="584" t="s">
        <v>418</v>
      </c>
      <c r="J371" s="504">
        <v>45252.96875</v>
      </c>
      <c r="K371" s="504"/>
      <c r="L371" s="504" t="s">
        <v>192</v>
      </c>
      <c r="M371" s="504" t="s">
        <v>192</v>
      </c>
      <c r="N371" s="505" t="str">
        <f t="shared" si="33"/>
        <v>DELAY ( 1 day 23 hour 15 minute )</v>
      </c>
      <c r="O371" s="597"/>
      <c r="P371" s="507" t="s">
        <v>551</v>
      </c>
      <c r="Q371" s="507" t="s">
        <v>551</v>
      </c>
      <c r="R371" s="507" t="s">
        <v>551</v>
      </c>
      <c r="S371" s="598"/>
      <c r="T371" s="599"/>
      <c r="U371" s="599"/>
      <c r="V371" s="599"/>
      <c r="W371" s="599"/>
      <c r="X371" s="599"/>
      <c r="Y371" s="599"/>
      <c r="Z371" s="599"/>
      <c r="AA371" s="599"/>
      <c r="AB371" s="599">
        <f t="shared" si="34"/>
        <v>4786.4563500000004</v>
      </c>
      <c r="AC371" s="599">
        <f t="shared" si="35"/>
        <v>2577.3226500000001</v>
      </c>
      <c r="AD371" s="599"/>
      <c r="AE371" s="599"/>
      <c r="AF371" s="599"/>
      <c r="AG371" s="599"/>
      <c r="AH371" s="599"/>
      <c r="AI371" s="599"/>
      <c r="AJ371" s="599"/>
      <c r="AK371" s="599"/>
      <c r="AL371" s="599"/>
      <c r="AM371" s="599"/>
      <c r="AN371" s="599"/>
      <c r="AO371" s="599"/>
      <c r="AP371" s="598"/>
      <c r="AQ371" s="599"/>
      <c r="AR371" s="599"/>
      <c r="AS371" s="599"/>
      <c r="AT371" s="599"/>
      <c r="AU371" s="599"/>
      <c r="AV371" s="599"/>
      <c r="AW371" s="599"/>
      <c r="AX371" s="599"/>
      <c r="AY371" s="599"/>
      <c r="AZ371" s="599"/>
      <c r="BA371" s="599"/>
      <c r="BB371" s="599"/>
      <c r="BC371" s="599"/>
      <c r="BD371" s="599"/>
      <c r="BE371" s="598"/>
    </row>
    <row r="372" spans="2:57">
      <c r="B372" s="1421"/>
      <c r="C372" s="1422"/>
      <c r="D372" s="501"/>
      <c r="E372" s="501"/>
      <c r="F372" s="1315" t="s">
        <v>668</v>
      </c>
      <c r="G372" s="1316"/>
      <c r="H372" s="629">
        <v>1700</v>
      </c>
      <c r="I372" s="584"/>
      <c r="J372" s="504"/>
      <c r="K372" s="504"/>
      <c r="L372" s="504"/>
      <c r="M372" s="504"/>
      <c r="N372" s="505" t="str">
        <f t="shared" si="33"/>
        <v xml:space="preserve"> </v>
      </c>
      <c r="O372" s="597"/>
      <c r="P372" s="507"/>
      <c r="Q372" s="507"/>
      <c r="R372" s="507"/>
      <c r="S372" s="598"/>
      <c r="T372" s="599"/>
      <c r="U372" s="599"/>
      <c r="V372" s="599"/>
      <c r="W372" s="599"/>
      <c r="X372" s="599"/>
      <c r="Y372" s="599"/>
      <c r="Z372" s="599"/>
      <c r="AA372" s="599"/>
      <c r="AB372" s="599"/>
      <c r="AC372" s="599"/>
      <c r="AD372" s="599"/>
      <c r="AE372" s="599"/>
      <c r="AF372" s="599"/>
      <c r="AG372" s="599"/>
      <c r="AH372" s="599"/>
      <c r="AI372" s="599"/>
      <c r="AJ372" s="599"/>
      <c r="AK372" s="862"/>
      <c r="AL372" s="599"/>
      <c r="AM372" s="599"/>
      <c r="AN372" s="599"/>
      <c r="AO372" s="599"/>
      <c r="AP372" s="599"/>
      <c r="AQ372" s="599"/>
      <c r="AR372" s="599"/>
      <c r="AS372" s="599"/>
      <c r="AT372" s="599"/>
      <c r="AU372" s="599"/>
      <c r="AV372" s="599"/>
      <c r="AW372" s="599"/>
      <c r="AX372" s="599"/>
      <c r="AY372" s="599"/>
      <c r="AZ372" s="599"/>
      <c r="BA372" s="599"/>
      <c r="BB372" s="599"/>
      <c r="BC372" s="599"/>
      <c r="BD372" s="599"/>
      <c r="BE372" s="598"/>
    </row>
    <row r="373" spans="2:57">
      <c r="B373" s="1328"/>
      <c r="C373" s="1329"/>
      <c r="D373" s="501"/>
      <c r="E373" s="501"/>
      <c r="F373" s="1315" t="s">
        <v>616</v>
      </c>
      <c r="G373" s="1316"/>
      <c r="H373" s="629">
        <v>1000</v>
      </c>
      <c r="I373" s="584"/>
      <c r="J373" s="504"/>
      <c r="K373" s="504"/>
      <c r="L373" s="504"/>
      <c r="M373" s="504"/>
      <c r="N373" s="505" t="str">
        <f t="shared" si="33"/>
        <v xml:space="preserve"> </v>
      </c>
      <c r="O373" s="597"/>
      <c r="P373" s="507"/>
      <c r="Q373" s="507"/>
      <c r="R373" s="507"/>
      <c r="S373" s="598"/>
      <c r="T373" s="599"/>
      <c r="U373" s="599"/>
      <c r="V373" s="599"/>
      <c r="W373" s="599"/>
      <c r="X373" s="599"/>
      <c r="Y373" s="599"/>
      <c r="Z373" s="599"/>
      <c r="AA373" s="599"/>
      <c r="AB373" s="599"/>
      <c r="AC373" s="599"/>
      <c r="AD373" s="599"/>
      <c r="AE373" s="599"/>
      <c r="AF373" s="599"/>
      <c r="AG373" s="599"/>
      <c r="AH373" s="599"/>
      <c r="AI373" s="599"/>
      <c r="AJ373" s="599"/>
      <c r="AK373" s="862"/>
      <c r="AL373" s="599"/>
      <c r="AM373" s="599"/>
      <c r="AN373" s="599"/>
      <c r="AO373" s="599"/>
      <c r="AP373" s="599"/>
      <c r="AQ373" s="599"/>
      <c r="AR373" s="599"/>
      <c r="AS373" s="599"/>
      <c r="AT373" s="599"/>
      <c r="AU373" s="599"/>
      <c r="AV373" s="599"/>
      <c r="AW373" s="599"/>
      <c r="AX373" s="599"/>
      <c r="AY373" s="599"/>
      <c r="AZ373" s="599"/>
      <c r="BA373" s="599"/>
      <c r="BB373" s="599"/>
      <c r="BC373" s="599"/>
      <c r="BD373" s="599"/>
      <c r="BE373" s="598"/>
    </row>
    <row r="374" spans="2:57">
      <c r="B374" s="1326" t="s">
        <v>625</v>
      </c>
      <c r="C374" s="1327"/>
      <c r="D374" s="501" t="s">
        <v>3619</v>
      </c>
      <c r="E374" s="501"/>
      <c r="F374" s="501" t="s">
        <v>399</v>
      </c>
      <c r="G374" s="501" t="s">
        <v>275</v>
      </c>
      <c r="H374" s="629">
        <v>7562.9530000000004</v>
      </c>
      <c r="I374" s="584" t="s">
        <v>172</v>
      </c>
      <c r="J374" s="504">
        <v>45253.916666666664</v>
      </c>
      <c r="K374" s="504"/>
      <c r="L374" s="504" t="s">
        <v>192</v>
      </c>
      <c r="M374" s="504" t="s">
        <v>192</v>
      </c>
      <c r="N374" s="505" t="str">
        <f t="shared" si="33"/>
        <v>DELAY ( 2 day 22 hour 0 minute )</v>
      </c>
      <c r="O374" s="597"/>
      <c r="P374" s="507" t="s">
        <v>551</v>
      </c>
      <c r="Q374" s="507" t="s">
        <v>551</v>
      </c>
      <c r="R374" s="507" t="s">
        <v>551</v>
      </c>
      <c r="S374" s="598"/>
      <c r="T374" s="599"/>
      <c r="U374" s="599"/>
      <c r="V374" s="599"/>
      <c r="W374" s="599"/>
      <c r="X374" s="599"/>
      <c r="Y374" s="599"/>
      <c r="Z374" s="599"/>
      <c r="AA374" s="599"/>
      <c r="AB374" s="599"/>
      <c r="AC374" s="599"/>
      <c r="AD374" s="599"/>
      <c r="AE374" s="599"/>
      <c r="AF374" s="599"/>
      <c r="AG374" s="599"/>
      <c r="AH374" s="599"/>
      <c r="AI374" s="599"/>
      <c r="AJ374" s="599"/>
      <c r="AK374" s="599"/>
      <c r="AL374" s="599"/>
      <c r="AM374" s="599"/>
      <c r="AN374" s="599"/>
      <c r="AO374" s="599"/>
      <c r="AP374" s="598"/>
      <c r="AQ374" s="599"/>
      <c r="AR374" s="599"/>
      <c r="AS374" s="599"/>
      <c r="AT374" s="599"/>
      <c r="AU374" s="599"/>
      <c r="AV374" s="599"/>
      <c r="AW374" s="599"/>
      <c r="AX374" s="599"/>
      <c r="AY374" s="599">
        <f>H374</f>
        <v>7562.9530000000004</v>
      </c>
      <c r="AZ374" s="599"/>
      <c r="BA374" s="599"/>
      <c r="BB374" s="599"/>
      <c r="BC374" s="599"/>
      <c r="BD374" s="599"/>
      <c r="BE374" s="598"/>
    </row>
    <row r="375" spans="2:57">
      <c r="B375" s="1328"/>
      <c r="C375" s="1329"/>
      <c r="D375" s="501"/>
      <c r="E375" s="501"/>
      <c r="F375" s="1315" t="s">
        <v>616</v>
      </c>
      <c r="G375" s="1316"/>
      <c r="H375" s="629">
        <v>1300</v>
      </c>
      <c r="I375" s="584"/>
      <c r="J375" s="504"/>
      <c r="K375" s="504"/>
      <c r="L375" s="504"/>
      <c r="M375" s="504"/>
      <c r="N375" s="505" t="str">
        <f t="shared" si="33"/>
        <v xml:space="preserve"> </v>
      </c>
      <c r="O375" s="597"/>
      <c r="P375" s="507"/>
      <c r="Q375" s="507"/>
      <c r="R375" s="507"/>
      <c r="S375" s="598"/>
      <c r="T375" s="599"/>
      <c r="U375" s="599"/>
      <c r="V375" s="599"/>
      <c r="W375" s="599"/>
      <c r="X375" s="599"/>
      <c r="Y375" s="599"/>
      <c r="Z375" s="599"/>
      <c r="AA375" s="599"/>
      <c r="AB375" s="599"/>
      <c r="AC375" s="599"/>
      <c r="AD375" s="599"/>
      <c r="AE375" s="599"/>
      <c r="AF375" s="599"/>
      <c r="AG375" s="599"/>
      <c r="AH375" s="599"/>
      <c r="AI375" s="599"/>
      <c r="AJ375" s="599"/>
      <c r="AK375" s="862"/>
      <c r="AL375" s="599"/>
      <c r="AM375" s="599"/>
      <c r="AN375" s="599"/>
      <c r="AO375" s="599"/>
      <c r="AP375" s="599"/>
      <c r="AQ375" s="599"/>
      <c r="AR375" s="599"/>
      <c r="AS375" s="599"/>
      <c r="AT375" s="599"/>
      <c r="AU375" s="599"/>
      <c r="AV375" s="599"/>
      <c r="AW375" s="599"/>
      <c r="AX375" s="599"/>
      <c r="AY375" s="599"/>
      <c r="AZ375" s="599"/>
      <c r="BA375" s="599"/>
      <c r="BB375" s="599"/>
      <c r="BC375" s="599"/>
      <c r="BD375" s="599"/>
      <c r="BE375" s="598"/>
    </row>
    <row r="376" spans="2:57">
      <c r="B376" s="1326" t="s">
        <v>669</v>
      </c>
      <c r="C376" s="1327"/>
      <c r="D376" s="501" t="s">
        <v>3540</v>
      </c>
      <c r="E376" s="501"/>
      <c r="F376" s="501" t="s">
        <v>307</v>
      </c>
      <c r="G376" s="501" t="s">
        <v>308</v>
      </c>
      <c r="H376" s="629">
        <v>7687.8739999999998</v>
      </c>
      <c r="I376" s="584" t="s">
        <v>418</v>
      </c>
      <c r="J376" s="504">
        <v>45254.083333333336</v>
      </c>
      <c r="K376" s="574"/>
      <c r="L376" s="504" t="s">
        <v>192</v>
      </c>
      <c r="M376" s="504" t="s">
        <v>192</v>
      </c>
      <c r="N376" s="505" t="str">
        <f t="shared" si="33"/>
        <v>DELAY ( 3 day 2 hour 0 minute )</v>
      </c>
      <c r="O376" s="597"/>
      <c r="P376" s="507" t="s">
        <v>551</v>
      </c>
      <c r="Q376" s="507" t="s">
        <v>551</v>
      </c>
      <c r="R376" s="507" t="s">
        <v>551</v>
      </c>
      <c r="S376" s="598"/>
      <c r="T376" s="599"/>
      <c r="U376" s="599"/>
      <c r="V376" s="599"/>
      <c r="W376" s="599"/>
      <c r="X376" s="599"/>
      <c r="Y376" s="599"/>
      <c r="Z376" s="599"/>
      <c r="AA376" s="599"/>
      <c r="AB376" s="599">
        <f>(H376*0.65)</f>
        <v>4997.1180999999997</v>
      </c>
      <c r="AC376" s="599">
        <f>(H376*0.35)</f>
        <v>2690.7558999999997</v>
      </c>
      <c r="AD376" s="599"/>
      <c r="AE376" s="599"/>
      <c r="AF376" s="599"/>
      <c r="AG376" s="599"/>
      <c r="AH376" s="599"/>
      <c r="AI376" s="599"/>
      <c r="AJ376" s="599"/>
      <c r="AK376" s="599"/>
      <c r="AL376" s="599"/>
      <c r="AM376" s="599"/>
      <c r="AN376" s="599"/>
      <c r="AO376" s="599"/>
      <c r="AP376" s="599"/>
      <c r="AQ376" s="599"/>
      <c r="AR376" s="599"/>
      <c r="AS376" s="599"/>
      <c r="AT376" s="599"/>
      <c r="AU376" s="599"/>
      <c r="AV376" s="599"/>
      <c r="AW376" s="599"/>
      <c r="AX376" s="599"/>
      <c r="AY376" s="599"/>
      <c r="AZ376" s="599"/>
      <c r="BA376" s="599"/>
      <c r="BB376" s="599"/>
      <c r="BC376" s="599"/>
      <c r="BD376" s="599"/>
      <c r="BE376" s="598"/>
    </row>
    <row r="377" spans="2:57">
      <c r="B377" s="1421"/>
      <c r="C377" s="1422"/>
      <c r="D377" s="501"/>
      <c r="E377" s="501"/>
      <c r="F377" s="1315" t="s">
        <v>668</v>
      </c>
      <c r="G377" s="1316"/>
      <c r="H377" s="629">
        <f>800.274</f>
        <v>800.274</v>
      </c>
      <c r="I377" s="584"/>
      <c r="J377" s="504"/>
      <c r="K377" s="504"/>
      <c r="L377" s="504"/>
      <c r="M377" s="504"/>
      <c r="N377" s="505" t="str">
        <f t="shared" si="33"/>
        <v xml:space="preserve"> </v>
      </c>
      <c r="O377" s="597"/>
      <c r="P377" s="507"/>
      <c r="Q377" s="507"/>
      <c r="R377" s="507"/>
      <c r="S377" s="598"/>
      <c r="T377" s="599"/>
      <c r="U377" s="599"/>
      <c r="V377" s="599"/>
      <c r="W377" s="599"/>
      <c r="X377" s="599"/>
      <c r="Y377" s="599"/>
      <c r="Z377" s="599"/>
      <c r="AA377" s="599"/>
      <c r="AB377" s="599"/>
      <c r="AC377" s="599"/>
      <c r="AD377" s="599"/>
      <c r="AE377" s="599"/>
      <c r="AF377" s="599"/>
      <c r="AG377" s="599"/>
      <c r="AH377" s="599"/>
      <c r="AI377" s="599"/>
      <c r="AJ377" s="599"/>
      <c r="AK377" s="862"/>
      <c r="AL377" s="599"/>
      <c r="AM377" s="599"/>
      <c r="AN377" s="599"/>
      <c r="AO377" s="599"/>
      <c r="AP377" s="599"/>
      <c r="AQ377" s="599"/>
      <c r="AR377" s="599"/>
      <c r="AS377" s="599"/>
      <c r="AT377" s="599"/>
      <c r="AU377" s="599"/>
      <c r="AV377" s="599"/>
      <c r="AW377" s="599"/>
      <c r="AX377" s="599"/>
      <c r="AY377" s="599"/>
      <c r="AZ377" s="599"/>
      <c r="BA377" s="599"/>
      <c r="BB377" s="599"/>
      <c r="BC377" s="599"/>
      <c r="BD377" s="599"/>
      <c r="BE377" s="598"/>
    </row>
    <row r="378" spans="2:57">
      <c r="B378" s="1328"/>
      <c r="C378" s="1329"/>
      <c r="D378" s="501"/>
      <c r="E378" s="501"/>
      <c r="F378" s="1315" t="s">
        <v>616</v>
      </c>
      <c r="G378" s="1316"/>
      <c r="H378" s="629">
        <v>1000</v>
      </c>
      <c r="I378" s="584"/>
      <c r="J378" s="504"/>
      <c r="K378" s="504"/>
      <c r="L378" s="504"/>
      <c r="M378" s="504"/>
      <c r="N378" s="505" t="str">
        <f t="shared" si="33"/>
        <v xml:space="preserve"> </v>
      </c>
      <c r="O378" s="597"/>
      <c r="P378" s="507"/>
      <c r="Q378" s="507"/>
      <c r="R378" s="507"/>
      <c r="S378" s="598"/>
      <c r="T378" s="599"/>
      <c r="U378" s="599"/>
      <c r="V378" s="599"/>
      <c r="W378" s="599"/>
      <c r="X378" s="599"/>
      <c r="Y378" s="599"/>
      <c r="Z378" s="599"/>
      <c r="AA378" s="599"/>
      <c r="AB378" s="599"/>
      <c r="AC378" s="599"/>
      <c r="AD378" s="599"/>
      <c r="AE378" s="599"/>
      <c r="AF378" s="599"/>
      <c r="AG378" s="599"/>
      <c r="AH378" s="599"/>
      <c r="AI378" s="599"/>
      <c r="AJ378" s="599"/>
      <c r="AK378" s="862"/>
      <c r="AL378" s="599"/>
      <c r="AM378" s="599"/>
      <c r="AN378" s="599"/>
      <c r="AO378" s="599"/>
      <c r="AP378" s="599"/>
      <c r="AQ378" s="599"/>
      <c r="AR378" s="599"/>
      <c r="AS378" s="599"/>
      <c r="AT378" s="599"/>
      <c r="AU378" s="599"/>
      <c r="AV378" s="599"/>
      <c r="AW378" s="599"/>
      <c r="AX378" s="599"/>
      <c r="AY378" s="599"/>
      <c r="AZ378" s="599"/>
      <c r="BA378" s="599"/>
      <c r="BB378" s="599"/>
      <c r="BC378" s="599"/>
      <c r="BD378" s="599"/>
      <c r="BE378" s="598"/>
    </row>
    <row r="379" spans="2:57">
      <c r="B379" s="1326" t="s">
        <v>670</v>
      </c>
      <c r="C379" s="1327"/>
      <c r="D379" s="501" t="s">
        <v>3539</v>
      </c>
      <c r="E379" s="501"/>
      <c r="F379" s="501" t="s">
        <v>2207</v>
      </c>
      <c r="G379" s="501" t="s">
        <v>2208</v>
      </c>
      <c r="H379" s="629">
        <f>7303.838-1931.482</f>
        <v>5372.3559999999998</v>
      </c>
      <c r="I379" s="584" t="s">
        <v>418</v>
      </c>
      <c r="J379" s="504">
        <v>45252.975694444445</v>
      </c>
      <c r="K379" s="504"/>
      <c r="L379" s="504" t="s">
        <v>192</v>
      </c>
      <c r="M379" s="504" t="s">
        <v>192</v>
      </c>
      <c r="N379" s="505" t="str">
        <f t="shared" si="33"/>
        <v>DELAY ( 1 day 23 hour 25 minute )</v>
      </c>
      <c r="O379" s="597"/>
      <c r="P379" s="507" t="s">
        <v>551</v>
      </c>
      <c r="Q379" s="507" t="s">
        <v>551</v>
      </c>
      <c r="R379" s="507" t="s">
        <v>551</v>
      </c>
      <c r="S379" s="598"/>
      <c r="T379" s="599"/>
      <c r="U379" s="599"/>
      <c r="V379" s="599"/>
      <c r="W379" s="599"/>
      <c r="X379" s="599"/>
      <c r="Y379" s="599"/>
      <c r="Z379" s="599"/>
      <c r="AA379" s="599"/>
      <c r="AB379" s="599">
        <f>H379*0.65</f>
        <v>3492.0313999999998</v>
      </c>
      <c r="AC379" s="599">
        <f>H379*0.35</f>
        <v>1880.3245999999997</v>
      </c>
      <c r="AD379" s="599"/>
      <c r="AE379" s="599"/>
      <c r="AF379" s="599"/>
      <c r="AG379" s="599"/>
      <c r="AH379" s="599"/>
      <c r="AI379" s="599"/>
      <c r="AJ379" s="599"/>
      <c r="AK379" s="598"/>
      <c r="AL379" s="599"/>
      <c r="AM379" s="599"/>
      <c r="AN379" s="599"/>
      <c r="AO379" s="599"/>
      <c r="AP379" s="599"/>
      <c r="AQ379" s="599"/>
      <c r="AR379" s="599"/>
      <c r="AS379" s="599"/>
      <c r="AT379" s="599"/>
      <c r="AU379" s="599"/>
      <c r="AV379" s="599"/>
      <c r="AW379" s="599"/>
      <c r="AX379" s="599"/>
      <c r="AY379" s="599"/>
      <c r="AZ379" s="599"/>
      <c r="BA379" s="599"/>
      <c r="BB379" s="599"/>
      <c r="BC379" s="599"/>
      <c r="BD379" s="599"/>
      <c r="BE379" s="598"/>
    </row>
    <row r="380" spans="2:57">
      <c r="B380" s="1421"/>
      <c r="C380" s="1422"/>
      <c r="D380" s="501"/>
      <c r="E380" s="501"/>
      <c r="F380" s="1315" t="s">
        <v>668</v>
      </c>
      <c r="G380" s="1316"/>
      <c r="H380" s="629">
        <v>1100</v>
      </c>
      <c r="I380" s="584"/>
      <c r="J380" s="504"/>
      <c r="K380" s="504"/>
      <c r="L380" s="504"/>
      <c r="M380" s="504"/>
      <c r="N380" s="505" t="str">
        <f t="shared" si="33"/>
        <v xml:space="preserve"> </v>
      </c>
      <c r="O380" s="597"/>
      <c r="P380" s="507"/>
      <c r="Q380" s="507"/>
      <c r="R380" s="507"/>
      <c r="S380" s="598"/>
      <c r="T380" s="599"/>
      <c r="U380" s="599"/>
      <c r="V380" s="599"/>
      <c r="W380" s="599"/>
      <c r="X380" s="599"/>
      <c r="Y380" s="599"/>
      <c r="Z380" s="599"/>
      <c r="AA380" s="599"/>
      <c r="AB380" s="599"/>
      <c r="AC380" s="599"/>
      <c r="AD380" s="599"/>
      <c r="AE380" s="599"/>
      <c r="AF380" s="599"/>
      <c r="AG380" s="599"/>
      <c r="AH380" s="599"/>
      <c r="AI380" s="599"/>
      <c r="AJ380" s="599"/>
      <c r="AK380" s="862"/>
      <c r="AL380" s="599"/>
      <c r="AM380" s="599"/>
      <c r="AN380" s="599"/>
      <c r="AO380" s="599"/>
      <c r="AP380" s="599"/>
      <c r="AQ380" s="599"/>
      <c r="AR380" s="599"/>
      <c r="AS380" s="599"/>
      <c r="AT380" s="599"/>
      <c r="AU380" s="599"/>
      <c r="AV380" s="599"/>
      <c r="AW380" s="599"/>
      <c r="AX380" s="599"/>
      <c r="AY380" s="599"/>
      <c r="AZ380" s="599"/>
      <c r="BA380" s="599"/>
      <c r="BB380" s="599"/>
      <c r="BC380" s="599"/>
      <c r="BD380" s="599"/>
      <c r="BE380" s="598"/>
    </row>
    <row r="381" spans="2:57">
      <c r="B381" s="1328"/>
      <c r="C381" s="1329"/>
      <c r="D381" s="501"/>
      <c r="E381" s="501"/>
      <c r="F381" s="1315" t="s">
        <v>616</v>
      </c>
      <c r="G381" s="1316"/>
      <c r="H381" s="888">
        <v>1300</v>
      </c>
      <c r="I381" s="584"/>
      <c r="J381" s="574"/>
      <c r="K381" s="574"/>
      <c r="L381" s="574"/>
      <c r="M381" s="574"/>
      <c r="N381" s="584" t="str">
        <f t="shared" si="33"/>
        <v xml:space="preserve"> </v>
      </c>
      <c r="O381" s="597"/>
      <c r="P381" s="507"/>
      <c r="Q381" s="507"/>
      <c r="R381" s="507"/>
      <c r="S381" s="598"/>
      <c r="T381" s="599"/>
      <c r="U381" s="599"/>
      <c r="V381" s="599"/>
      <c r="W381" s="599"/>
      <c r="X381" s="599"/>
      <c r="Y381" s="599"/>
      <c r="Z381" s="599"/>
      <c r="AA381" s="599"/>
      <c r="AB381" s="599"/>
      <c r="AC381" s="599"/>
      <c r="AD381" s="599"/>
      <c r="AE381" s="599"/>
      <c r="AF381" s="599"/>
      <c r="AG381" s="599"/>
      <c r="AH381" s="599"/>
      <c r="AI381" s="599"/>
      <c r="AJ381" s="599"/>
      <c r="AK381" s="862"/>
      <c r="AL381" s="599"/>
      <c r="AM381" s="599"/>
      <c r="AN381" s="599"/>
      <c r="AO381" s="599"/>
      <c r="AP381" s="599"/>
      <c r="AQ381" s="599"/>
      <c r="AR381" s="599"/>
      <c r="AS381" s="599"/>
      <c r="AT381" s="599"/>
      <c r="AU381" s="599"/>
      <c r="AV381" s="599"/>
      <c r="AW381" s="599"/>
      <c r="AX381" s="599"/>
      <c r="AY381" s="599"/>
      <c r="AZ381" s="599"/>
      <c r="BA381" s="599"/>
      <c r="BB381" s="599"/>
      <c r="BC381" s="599"/>
      <c r="BD381" s="599"/>
      <c r="BE381" s="598"/>
    </row>
    <row r="382" spans="2:57">
      <c r="B382" s="1351" t="s">
        <v>626</v>
      </c>
      <c r="C382" s="1352"/>
      <c r="D382" s="1352"/>
      <c r="E382" s="1352"/>
      <c r="F382" s="1352"/>
      <c r="G382" s="1352"/>
      <c r="H382" s="889">
        <f>H359+H361+H366+H368+H371+H379+H376+H374</f>
        <v>60824.726000000002</v>
      </c>
      <c r="I382" s="868"/>
      <c r="J382" s="869"/>
      <c r="K382" s="869"/>
      <c r="L382" s="869"/>
      <c r="M382" s="869"/>
      <c r="N382" s="595" t="str">
        <f t="shared" si="33"/>
        <v xml:space="preserve"> </v>
      </c>
      <c r="O382" s="891"/>
      <c r="P382" s="706"/>
      <c r="Q382" s="706"/>
      <c r="R382" s="706"/>
      <c r="S382" s="598"/>
      <c r="T382" s="1462"/>
      <c r="U382" s="1462"/>
      <c r="V382" s="1462"/>
      <c r="W382" s="1462"/>
      <c r="X382" s="1462"/>
      <c r="Y382" s="1462"/>
      <c r="Z382" s="1462"/>
      <c r="AA382" s="1462"/>
      <c r="AB382" s="1462"/>
      <c r="AC382" s="1462"/>
      <c r="AD382" s="1462"/>
      <c r="AE382" s="1462"/>
      <c r="AF382" s="1462"/>
      <c r="AG382" s="1462"/>
      <c r="AH382" s="1462"/>
      <c r="AI382" s="1462"/>
      <c r="AJ382" s="1462"/>
      <c r="AK382" s="1462"/>
      <c r="AL382" s="1462"/>
      <c r="AM382" s="1462"/>
      <c r="AN382" s="1462"/>
      <c r="AO382" s="1462"/>
      <c r="AP382" s="1462"/>
      <c r="AQ382" s="1462"/>
      <c r="AR382" s="1462"/>
      <c r="AS382" s="1462"/>
      <c r="AT382" s="1462"/>
      <c r="AU382" s="1462"/>
      <c r="AV382" s="1462"/>
      <c r="AW382" s="1462"/>
      <c r="AX382" s="1462"/>
      <c r="AY382" s="1462"/>
      <c r="AZ382" s="1462"/>
      <c r="BA382" s="1462"/>
      <c r="BB382" s="1462"/>
      <c r="BC382" s="1462"/>
      <c r="BD382" s="1462"/>
      <c r="BE382" s="554"/>
    </row>
    <row r="383" spans="2:57">
      <c r="B383" s="1258" t="s">
        <v>556</v>
      </c>
      <c r="C383" s="1259"/>
      <c r="D383" s="1259"/>
      <c r="E383" s="1259"/>
      <c r="F383" s="1259"/>
      <c r="G383" s="1259"/>
      <c r="H383" s="890">
        <f>H358+H382+H365</f>
        <v>83134</v>
      </c>
      <c r="I383" s="1458"/>
      <c r="J383" s="1458"/>
      <c r="K383" s="1458"/>
      <c r="L383" s="1458"/>
      <c r="M383" s="1458"/>
      <c r="N383" s="595" t="str">
        <f t="shared" si="33"/>
        <v xml:space="preserve"> </v>
      </c>
      <c r="O383" s="892"/>
      <c r="P383" s="590"/>
      <c r="Q383" s="590"/>
      <c r="R383" s="590"/>
      <c r="S383" s="633"/>
      <c r="T383" s="1307"/>
      <c r="U383" s="1308"/>
      <c r="V383" s="1308"/>
      <c r="W383" s="1308"/>
      <c r="X383" s="1308"/>
      <c r="Y383" s="1308"/>
      <c r="Z383" s="1308"/>
      <c r="AA383" s="1308"/>
      <c r="AB383" s="1308"/>
      <c r="AC383" s="1308"/>
      <c r="AD383" s="1308"/>
      <c r="AE383" s="1308"/>
      <c r="AF383" s="1308"/>
      <c r="AG383" s="1308"/>
      <c r="AH383" s="1308"/>
      <c r="AI383" s="1308"/>
      <c r="AJ383" s="1308"/>
      <c r="AK383" s="1308"/>
      <c r="AL383" s="1308"/>
      <c r="AM383" s="1308"/>
      <c r="AN383" s="1308"/>
      <c r="AO383" s="1308"/>
      <c r="AP383" s="1308"/>
      <c r="AQ383" s="1308"/>
      <c r="AR383" s="1308"/>
      <c r="AS383" s="1308"/>
      <c r="AT383" s="1308"/>
      <c r="AU383" s="1308"/>
      <c r="AV383" s="1308"/>
      <c r="AW383" s="1308"/>
      <c r="AX383" s="1308"/>
      <c r="AY383" s="1308"/>
      <c r="AZ383" s="1308"/>
      <c r="BA383" s="1308"/>
      <c r="BB383" s="1308"/>
      <c r="BC383" s="1308"/>
      <c r="BD383" s="1308"/>
    </row>
    <row r="384" spans="2:57">
      <c r="B384" s="1415" t="s">
        <v>557</v>
      </c>
      <c r="C384" s="1416"/>
      <c r="D384" s="1416"/>
      <c r="E384" s="1416"/>
      <c r="F384" s="1416"/>
      <c r="G384" s="1416"/>
      <c r="H384" s="893">
        <v>83134</v>
      </c>
      <c r="I384" s="1463"/>
      <c r="J384" s="1463"/>
      <c r="K384" s="1463"/>
      <c r="L384" s="1463"/>
      <c r="M384" s="1463"/>
      <c r="N384" s="887" t="str">
        <f t="shared" si="33"/>
        <v xml:space="preserve"> </v>
      </c>
      <c r="O384" s="591"/>
      <c r="P384" s="415"/>
      <c r="Q384" s="415"/>
      <c r="R384" s="415"/>
      <c r="S384" s="740"/>
      <c r="T384" s="592">
        <f>SUM(T356:T381)</f>
        <v>0</v>
      </c>
      <c r="U384" s="592">
        <f t="shared" ref="U384:BD384" si="36">SUM(U356:U381)</f>
        <v>0</v>
      </c>
      <c r="V384" s="592">
        <f t="shared" si="36"/>
        <v>0</v>
      </c>
      <c r="W384" s="592">
        <f t="shared" si="36"/>
        <v>0</v>
      </c>
      <c r="X384" s="592">
        <f t="shared" si="36"/>
        <v>0</v>
      </c>
      <c r="Y384" s="592">
        <f t="shared" si="36"/>
        <v>0</v>
      </c>
      <c r="Z384" s="592">
        <f t="shared" si="36"/>
        <v>0</v>
      </c>
      <c r="AA384" s="592">
        <f t="shared" si="36"/>
        <v>0</v>
      </c>
      <c r="AB384" s="592">
        <f t="shared" si="36"/>
        <v>34620.152450000001</v>
      </c>
      <c r="AC384" s="592">
        <f t="shared" si="36"/>
        <v>18641.62055</v>
      </c>
      <c r="AD384" s="592">
        <f t="shared" si="36"/>
        <v>7309.2740000000003</v>
      </c>
      <c r="AE384" s="592">
        <f t="shared" si="36"/>
        <v>0</v>
      </c>
      <c r="AF384" s="592">
        <f t="shared" si="36"/>
        <v>0</v>
      </c>
      <c r="AG384" s="592">
        <f t="shared" si="36"/>
        <v>0</v>
      </c>
      <c r="AH384" s="592">
        <f t="shared" si="36"/>
        <v>0</v>
      </c>
      <c r="AI384" s="592">
        <f t="shared" si="36"/>
        <v>0</v>
      </c>
      <c r="AJ384" s="592">
        <f t="shared" si="36"/>
        <v>15000</v>
      </c>
      <c r="AK384" s="592">
        <f t="shared" si="36"/>
        <v>0</v>
      </c>
      <c r="AL384" s="592">
        <f t="shared" si="36"/>
        <v>0</v>
      </c>
      <c r="AM384" s="592">
        <f t="shared" si="36"/>
        <v>0</v>
      </c>
      <c r="AN384" s="592">
        <f t="shared" si="36"/>
        <v>0</v>
      </c>
      <c r="AO384" s="592">
        <f t="shared" si="36"/>
        <v>0</v>
      </c>
      <c r="AP384" s="592">
        <f t="shared" si="36"/>
        <v>0</v>
      </c>
      <c r="AQ384" s="592">
        <f t="shared" si="36"/>
        <v>0</v>
      </c>
      <c r="AR384" s="592">
        <f t="shared" si="36"/>
        <v>0</v>
      </c>
      <c r="AS384" s="592">
        <f t="shared" si="36"/>
        <v>0</v>
      </c>
      <c r="AT384" s="592">
        <f t="shared" si="36"/>
        <v>0</v>
      </c>
      <c r="AU384" s="592">
        <f t="shared" si="36"/>
        <v>0</v>
      </c>
      <c r="AV384" s="592">
        <f t="shared" si="36"/>
        <v>0</v>
      </c>
      <c r="AW384" s="592">
        <f t="shared" si="36"/>
        <v>0</v>
      </c>
      <c r="AX384" s="592">
        <f t="shared" si="36"/>
        <v>0</v>
      </c>
      <c r="AY384" s="592">
        <f t="shared" si="36"/>
        <v>7562.9530000000004</v>
      </c>
      <c r="AZ384" s="592">
        <f t="shared" si="36"/>
        <v>0</v>
      </c>
      <c r="BA384" s="592">
        <f t="shared" si="36"/>
        <v>0</v>
      </c>
      <c r="BB384" s="592">
        <f t="shared" si="36"/>
        <v>0</v>
      </c>
      <c r="BC384" s="592">
        <f t="shared" si="36"/>
        <v>0</v>
      </c>
      <c r="BD384" s="592">
        <f t="shared" si="36"/>
        <v>0</v>
      </c>
      <c r="BE384" s="592">
        <f>SUM(T384:BD384)</f>
        <v>83133.999999999985</v>
      </c>
    </row>
    <row r="385" spans="2:57">
      <c r="B385" s="1415" t="s">
        <v>558</v>
      </c>
      <c r="C385" s="1416"/>
      <c r="D385" s="1416"/>
      <c r="E385" s="1416"/>
      <c r="F385" s="1416"/>
      <c r="G385" s="1417"/>
      <c r="H385" s="894">
        <f>H384-L350</f>
        <v>0</v>
      </c>
      <c r="I385" s="745"/>
      <c r="J385" s="746"/>
      <c r="K385" s="746"/>
      <c r="L385" s="674"/>
      <c r="M385" s="633"/>
      <c r="N385" s="591"/>
      <c r="O385" s="591"/>
      <c r="P385" s="591"/>
      <c r="Q385" s="744"/>
      <c r="R385" s="744"/>
      <c r="S385" s="591"/>
      <c r="T385" s="645"/>
      <c r="U385" s="645"/>
      <c r="V385" s="645"/>
      <c r="W385" s="645"/>
      <c r="X385" s="645"/>
      <c r="Y385" s="645"/>
      <c r="Z385" s="645"/>
      <c r="AA385" s="645"/>
      <c r="AB385" s="645"/>
      <c r="AC385" s="591"/>
      <c r="AD385" s="591"/>
      <c r="AE385" s="591"/>
      <c r="AF385" s="591"/>
      <c r="AG385" s="591"/>
      <c r="AH385" s="591"/>
      <c r="AI385" s="591"/>
      <c r="AJ385" s="591"/>
      <c r="AK385" s="591"/>
      <c r="AL385" s="591"/>
      <c r="AM385" s="591"/>
      <c r="AN385" s="591"/>
      <c r="AO385" s="591"/>
      <c r="AP385" s="591"/>
      <c r="AQ385" s="591"/>
      <c r="AR385" s="591"/>
    </row>
    <row r="386" spans="2:57">
      <c r="B386" s="1415" t="s">
        <v>559</v>
      </c>
      <c r="C386" s="1416"/>
      <c r="D386" s="1416"/>
      <c r="E386" s="1416"/>
      <c r="F386" s="1416"/>
      <c r="G386" s="1417"/>
      <c r="H386" s="895">
        <v>869.57299999999998</v>
      </c>
      <c r="I386" s="745"/>
      <c r="J386" s="746"/>
      <c r="K386" s="746"/>
      <c r="L386" s="674"/>
      <c r="M386" s="633"/>
      <c r="N386" s="613"/>
      <c r="O386" s="591"/>
      <c r="P386" s="591"/>
      <c r="Q386" s="591"/>
      <c r="R386" s="591"/>
      <c r="S386" s="591"/>
      <c r="T386" s="645"/>
      <c r="U386" s="645"/>
      <c r="V386" s="645"/>
      <c r="W386" s="645"/>
      <c r="X386" s="645"/>
      <c r="Y386" s="645"/>
      <c r="Z386" s="645"/>
      <c r="AA386" s="645"/>
      <c r="AB386" s="645"/>
      <c r="AC386" s="591"/>
      <c r="AD386" s="591"/>
      <c r="AE386" s="591"/>
      <c r="AF386" s="591"/>
      <c r="AG386" s="591"/>
      <c r="AH386" s="591"/>
      <c r="AI386" s="591"/>
      <c r="AJ386" s="591"/>
      <c r="AK386" s="591"/>
      <c r="AL386" s="591"/>
      <c r="AM386" s="591"/>
      <c r="AN386" s="591"/>
      <c r="AO386" s="591"/>
      <c r="AP386" s="591"/>
      <c r="AQ386" s="591"/>
      <c r="AR386" s="591"/>
    </row>
    <row r="387" spans="2:57" ht="11.25" customHeight="1">
      <c r="B387" s="1415" t="s">
        <v>560</v>
      </c>
      <c r="C387" s="1416"/>
      <c r="D387" s="1416"/>
      <c r="E387" s="1416"/>
      <c r="F387" s="1416"/>
      <c r="G387" s="1417"/>
      <c r="H387" s="741">
        <f>H386-1931.482</f>
        <v>-1061.9090000000001</v>
      </c>
      <c r="I387" s="641"/>
      <c r="J387" s="642"/>
      <c r="K387" s="642"/>
      <c r="L387" s="499"/>
      <c r="M387" s="613"/>
      <c r="N387" s="613"/>
      <c r="O387" s="613"/>
      <c r="P387" s="613"/>
      <c r="Q387" s="613"/>
      <c r="R387" s="613"/>
      <c r="S387" s="616"/>
      <c r="T387" s="616"/>
      <c r="U387" s="616"/>
      <c r="V387" s="616"/>
      <c r="W387" s="616"/>
      <c r="X387" s="616"/>
      <c r="Y387" s="616"/>
      <c r="Z387" s="616"/>
      <c r="AA387" s="616"/>
      <c r="AB387" s="613">
        <f>-(H386*0.6)</f>
        <v>-521.74379999999996</v>
      </c>
      <c r="AC387" s="613">
        <f>-(H386*0.4)</f>
        <v>-347.82920000000001</v>
      </c>
      <c r="AD387" s="613"/>
      <c r="AE387" s="613"/>
      <c r="AF387" s="613"/>
      <c r="AG387" s="613"/>
      <c r="AH387" s="613"/>
      <c r="AI387" s="613"/>
      <c r="AJ387" s="613"/>
      <c r="AK387" s="613"/>
      <c r="AL387" s="613"/>
      <c r="AM387" s="613"/>
      <c r="AN387" s="613"/>
      <c r="AO387" s="613"/>
      <c r="AP387" s="613"/>
      <c r="AQ387" s="613"/>
      <c r="AR387" s="496"/>
      <c r="AS387" s="496"/>
      <c r="AT387" s="496"/>
      <c r="AU387" s="496"/>
      <c r="AV387" s="496"/>
      <c r="AW387" s="496"/>
      <c r="AX387" s="496"/>
      <c r="AY387" s="496"/>
      <c r="AZ387" s="496"/>
      <c r="BA387" s="496"/>
    </row>
    <row r="388" spans="2:57">
      <c r="B388" s="613"/>
      <c r="C388" s="613"/>
      <c r="D388" s="613"/>
      <c r="E388" s="613"/>
      <c r="F388" s="613"/>
      <c r="G388" s="613"/>
      <c r="H388" s="613"/>
      <c r="I388" s="643"/>
      <c r="J388" s="641"/>
      <c r="K388" s="641"/>
      <c r="L388" s="644"/>
      <c r="M388" s="613"/>
      <c r="N388" s="613"/>
      <c r="O388" s="641"/>
      <c r="P388" s="591"/>
      <c r="Q388" s="591"/>
      <c r="R388" s="591"/>
      <c r="S388" s="591"/>
      <c r="T388" s="645"/>
      <c r="U388" s="645"/>
      <c r="V388" s="645"/>
      <c r="W388" s="645"/>
      <c r="X388" s="645"/>
      <c r="Y388" s="645"/>
      <c r="Z388" s="645"/>
      <c r="AA388" s="645"/>
      <c r="AB388" s="645"/>
      <c r="AC388" s="591"/>
      <c r="AD388" s="591"/>
      <c r="AE388" s="591"/>
      <c r="AF388" s="591"/>
      <c r="AG388" s="591"/>
      <c r="AH388" s="591"/>
      <c r="AI388" s="591"/>
      <c r="AJ388" s="591"/>
      <c r="AK388" s="591"/>
      <c r="AL388" s="591"/>
      <c r="AM388" s="591"/>
      <c r="AN388" s="591"/>
      <c r="AO388" s="591"/>
      <c r="AP388" s="591"/>
      <c r="AQ388" s="591"/>
      <c r="AR388" s="591"/>
    </row>
    <row r="389" spans="2:57">
      <c r="B389" s="619" t="s">
        <v>561</v>
      </c>
      <c r="C389" s="619"/>
      <c r="D389" s="591"/>
      <c r="E389" s="591"/>
      <c r="F389" s="591"/>
      <c r="G389" s="591"/>
      <c r="H389" s="591"/>
      <c r="I389" s="591"/>
      <c r="J389" s="646"/>
      <c r="K389" s="646"/>
      <c r="L389" s="647"/>
      <c r="M389" s="591"/>
      <c r="N389" s="613"/>
      <c r="O389" s="646"/>
      <c r="P389" s="616"/>
      <c r="Q389" s="616"/>
      <c r="R389" s="616"/>
      <c r="S389" s="616"/>
      <c r="T389" s="616"/>
      <c r="U389" s="616"/>
      <c r="V389" s="616"/>
      <c r="W389" s="616"/>
      <c r="X389" s="616"/>
      <c r="Y389" s="616"/>
      <c r="Z389" s="616"/>
      <c r="AA389" s="616"/>
      <c r="AB389" s="613"/>
      <c r="AC389" s="613"/>
      <c r="AD389" s="613"/>
      <c r="AE389" s="613"/>
      <c r="AF389" s="613"/>
      <c r="AG389" s="613"/>
      <c r="AH389" s="613"/>
      <c r="AI389" s="613"/>
      <c r="AJ389" s="613"/>
      <c r="AK389" s="613"/>
      <c r="AL389" s="613"/>
      <c r="AM389" s="613"/>
      <c r="AN389" s="613"/>
      <c r="AO389" s="613"/>
      <c r="AP389" s="613"/>
      <c r="AQ389" s="613"/>
      <c r="AR389" s="613"/>
      <c r="AS389" s="613"/>
      <c r="AT389" s="613"/>
      <c r="AU389" s="613"/>
      <c r="BE389" s="613"/>
    </row>
    <row r="390" spans="2:57">
      <c r="B390" s="422">
        <v>1</v>
      </c>
      <c r="C390" s="1249" t="s">
        <v>3738</v>
      </c>
      <c r="D390" s="1249"/>
      <c r="E390" s="1249"/>
      <c r="F390" s="1249"/>
      <c r="G390" s="1249"/>
      <c r="H390" s="1249"/>
      <c r="I390" s="1249"/>
      <c r="J390" s="1249"/>
      <c r="K390" s="1249"/>
      <c r="L390" s="644"/>
      <c r="M390" s="644"/>
      <c r="N390" s="613"/>
      <c r="O390" s="641"/>
      <c r="P390" s="616"/>
      <c r="Q390" s="616"/>
      <c r="R390" s="616"/>
      <c r="S390" s="616"/>
      <c r="T390" s="616"/>
      <c r="U390" s="616"/>
      <c r="V390" s="616"/>
      <c r="W390" s="616"/>
      <c r="X390" s="616"/>
      <c r="Y390" s="616"/>
      <c r="Z390" s="616"/>
      <c r="AA390" s="616"/>
      <c r="AB390" s="613"/>
      <c r="AC390" s="613"/>
      <c r="AD390" s="613"/>
      <c r="AE390" s="613"/>
      <c r="AF390" s="613"/>
      <c r="AG390" s="613"/>
      <c r="AH390" s="613"/>
      <c r="AI390" s="613"/>
      <c r="AJ390" s="613"/>
      <c r="AK390" s="613"/>
      <c r="AL390" s="613"/>
      <c r="AM390" s="613"/>
      <c r="AN390" s="613"/>
      <c r="AO390" s="613"/>
      <c r="AP390" s="613"/>
      <c r="AQ390" s="613"/>
      <c r="AR390" s="613"/>
      <c r="AS390" s="613"/>
      <c r="AT390" s="613"/>
      <c r="AU390" s="613"/>
      <c r="AV390" s="613"/>
      <c r="AW390" s="613"/>
      <c r="AX390" s="613"/>
      <c r="AY390" s="613"/>
      <c r="AZ390" s="613"/>
      <c r="BA390" s="613"/>
      <c r="BB390" s="613"/>
      <c r="BC390" s="613"/>
      <c r="BD390" s="613"/>
      <c r="BE390" s="613"/>
    </row>
    <row r="392" spans="2:57">
      <c r="B392" s="28" t="s">
        <v>126</v>
      </c>
      <c r="C392" s="28"/>
      <c r="D392" s="614"/>
      <c r="E392" s="30" t="s">
        <v>511</v>
      </c>
      <c r="F392" s="31" t="s">
        <v>3152</v>
      </c>
      <c r="G392" s="591"/>
      <c r="H392" s="33"/>
      <c r="I392" s="615"/>
      <c r="J392" s="35" t="s">
        <v>513</v>
      </c>
      <c r="K392" s="36" t="s">
        <v>511</v>
      </c>
      <c r="L392" s="516">
        <v>45253.701388888891</v>
      </c>
      <c r="M392" s="591"/>
      <c r="N392" s="591"/>
      <c r="O392" s="206"/>
      <c r="P392" s="205"/>
      <c r="Q392" s="616"/>
      <c r="R392" s="204"/>
      <c r="S392" s="617"/>
      <c r="T392" s="613"/>
      <c r="U392" s="613"/>
      <c r="V392" s="613"/>
      <c r="W392" s="613"/>
      <c r="X392" s="613"/>
      <c r="Y392" s="613"/>
      <c r="Z392" s="613"/>
      <c r="AA392" s="613"/>
      <c r="AB392" s="616"/>
      <c r="AC392" s="616"/>
      <c r="AD392" s="616"/>
      <c r="AE392" s="616"/>
      <c r="AF392" s="616"/>
      <c r="AG392" s="613"/>
      <c r="AH392" s="613"/>
      <c r="AI392" s="613"/>
      <c r="AJ392" s="613"/>
      <c r="AK392" s="613"/>
      <c r="AL392" s="613"/>
      <c r="AM392" s="613"/>
      <c r="AN392" s="613"/>
      <c r="AO392" s="613"/>
      <c r="AP392" s="613"/>
      <c r="AQ392" s="613"/>
      <c r="AR392" s="613"/>
      <c r="AS392" s="613"/>
      <c r="AT392" s="613"/>
      <c r="AU392" s="613"/>
      <c r="AV392" s="613"/>
      <c r="AW392" s="613"/>
      <c r="AX392" s="613"/>
      <c r="AY392" s="613"/>
      <c r="AZ392" s="613"/>
      <c r="BA392" s="613"/>
      <c r="BB392" s="613"/>
      <c r="BC392" s="613"/>
      <c r="BD392" s="613"/>
      <c r="BE392" s="613"/>
    </row>
    <row r="393" spans="2:57">
      <c r="B393" s="35" t="s">
        <v>514</v>
      </c>
      <c r="C393" s="35"/>
      <c r="D393" s="591"/>
      <c r="E393" s="36" t="s">
        <v>511</v>
      </c>
      <c r="F393" s="311" t="s">
        <v>3739</v>
      </c>
      <c r="G393" s="591"/>
      <c r="H393" s="33"/>
      <c r="I393" s="615"/>
      <c r="J393" s="35" t="s">
        <v>516</v>
      </c>
      <c r="K393" s="36" t="s">
        <v>511</v>
      </c>
      <c r="L393" s="516">
        <v>45258</v>
      </c>
      <c r="M393" s="591"/>
      <c r="N393" s="591"/>
      <c r="O393" s="206"/>
      <c r="P393" s="205"/>
      <c r="Q393" s="616"/>
      <c r="R393" s="204"/>
      <c r="S393" s="617"/>
      <c r="T393" s="613"/>
      <c r="U393" s="613"/>
      <c r="V393" s="613"/>
      <c r="W393" s="613"/>
      <c r="X393" s="613"/>
      <c r="Y393" s="613"/>
      <c r="Z393" s="613"/>
      <c r="AA393" s="613"/>
      <c r="AB393" s="616"/>
      <c r="AC393" s="616"/>
      <c r="AD393" s="616"/>
      <c r="AE393" s="616"/>
      <c r="AF393" s="616"/>
      <c r="AG393" s="613"/>
      <c r="AH393" s="613"/>
      <c r="AI393" s="613"/>
      <c r="AJ393" s="613"/>
      <c r="AK393" s="613"/>
      <c r="AL393" s="613"/>
      <c r="AM393" s="613"/>
      <c r="AN393" s="613"/>
      <c r="AO393" s="613"/>
      <c r="AP393" s="613"/>
      <c r="AQ393" s="613"/>
      <c r="AR393" s="613"/>
      <c r="AS393" s="613"/>
      <c r="AT393" s="613"/>
      <c r="AU393" s="613"/>
      <c r="AV393" s="613"/>
      <c r="AW393" s="613"/>
      <c r="AX393" s="613"/>
      <c r="AY393" s="613"/>
      <c r="AZ393" s="613"/>
      <c r="BA393" s="613"/>
      <c r="BB393" s="613"/>
      <c r="BC393" s="613"/>
      <c r="BD393" s="613"/>
      <c r="BE393" s="613"/>
    </row>
    <row r="394" spans="2:57">
      <c r="B394" s="35" t="s">
        <v>517</v>
      </c>
      <c r="C394" s="35"/>
      <c r="D394" s="591"/>
      <c r="E394" s="36" t="s">
        <v>511</v>
      </c>
      <c r="F394" s="37">
        <v>45251.387499999997</v>
      </c>
      <c r="G394" s="591"/>
      <c r="H394" s="33"/>
      <c r="I394" s="615"/>
      <c r="J394" s="35" t="s">
        <v>518</v>
      </c>
      <c r="K394" s="36" t="s">
        <v>511</v>
      </c>
      <c r="L394" s="692">
        <v>50200</v>
      </c>
      <c r="M394" s="619" t="s">
        <v>519</v>
      </c>
      <c r="N394" s="619"/>
      <c r="O394" s="206"/>
      <c r="P394" s="205"/>
      <c r="Q394" s="616"/>
      <c r="R394" s="204"/>
      <c r="S394" s="617"/>
      <c r="T394" s="613"/>
      <c r="U394" s="613"/>
      <c r="V394" s="613"/>
      <c r="W394" s="613"/>
      <c r="X394" s="613"/>
      <c r="Y394" s="613"/>
      <c r="Z394" s="613"/>
      <c r="AA394" s="613"/>
      <c r="AB394" s="616"/>
      <c r="AC394" s="616"/>
      <c r="AD394" s="616"/>
      <c r="AE394" s="616"/>
      <c r="AF394" s="616"/>
      <c r="AG394" s="613"/>
      <c r="AH394" s="613"/>
      <c r="AI394" s="613"/>
      <c r="AJ394" s="613"/>
      <c r="AK394" s="613"/>
      <c r="AL394" s="613"/>
      <c r="AM394" s="613"/>
      <c r="AN394" s="613"/>
      <c r="AO394" s="613"/>
      <c r="AP394" s="613"/>
      <c r="AQ394" s="613"/>
      <c r="AR394" s="613"/>
      <c r="AS394" s="613"/>
      <c r="AT394" s="613"/>
      <c r="AU394" s="613"/>
      <c r="AV394" s="613"/>
      <c r="AW394" s="613"/>
      <c r="AX394" s="613"/>
      <c r="AY394" s="613"/>
      <c r="AZ394" s="613"/>
      <c r="BA394" s="613"/>
      <c r="BB394" s="613"/>
      <c r="BC394" s="613"/>
      <c r="BD394" s="613"/>
      <c r="BE394" s="613"/>
    </row>
    <row r="395" spans="2:57">
      <c r="B395" s="35" t="s">
        <v>520</v>
      </c>
      <c r="C395" s="35"/>
      <c r="D395" s="591"/>
      <c r="E395" s="36" t="s">
        <v>511</v>
      </c>
      <c r="F395" s="37" t="s">
        <v>12</v>
      </c>
      <c r="G395" s="591"/>
      <c r="H395" s="33"/>
      <c r="I395" s="615"/>
      <c r="J395" s="35" t="s">
        <v>521</v>
      </c>
      <c r="K395" s="36" t="s">
        <v>511</v>
      </c>
      <c r="L395" s="620" t="s">
        <v>3153</v>
      </c>
      <c r="M395" s="591"/>
      <c r="N395" s="591"/>
      <c r="O395" s="206"/>
      <c r="P395" s="616"/>
      <c r="Q395" s="616"/>
      <c r="R395" s="204"/>
      <c r="S395" s="617"/>
      <c r="T395" s="613"/>
      <c r="U395" s="613"/>
      <c r="V395" s="613"/>
      <c r="W395" s="613"/>
      <c r="X395" s="613"/>
      <c r="Y395" s="613"/>
      <c r="Z395" s="613"/>
      <c r="AA395" s="613"/>
      <c r="AB395" s="616"/>
      <c r="AC395" s="616"/>
      <c r="AD395" s="616"/>
      <c r="AE395" s="616"/>
      <c r="AF395" s="616"/>
      <c r="AG395" s="613"/>
      <c r="AH395" s="613"/>
      <c r="AI395" s="613"/>
      <c r="AJ395" s="613"/>
      <c r="AK395" s="613"/>
      <c r="AL395" s="613"/>
      <c r="AM395" s="613"/>
      <c r="AN395" s="613"/>
      <c r="AO395" s="613"/>
      <c r="AP395" s="613"/>
      <c r="AQ395" s="613"/>
      <c r="AR395" s="613"/>
      <c r="AS395" s="613"/>
      <c r="AT395" s="613"/>
      <c r="AU395" s="613"/>
      <c r="AV395" s="613"/>
      <c r="AW395" s="613"/>
      <c r="AX395" s="613"/>
      <c r="AY395" s="613"/>
      <c r="AZ395" s="613"/>
      <c r="BA395" s="613"/>
      <c r="BB395" s="613"/>
      <c r="BC395" s="613"/>
      <c r="BD395" s="613"/>
      <c r="BE395" s="613"/>
    </row>
    <row r="396" spans="2:57">
      <c r="B396" s="35" t="s">
        <v>523</v>
      </c>
      <c r="C396" s="35"/>
      <c r="D396" s="591"/>
      <c r="E396" s="36" t="s">
        <v>511</v>
      </c>
      <c r="F396" s="37" t="s">
        <v>32</v>
      </c>
      <c r="G396" s="591"/>
      <c r="H396" s="33"/>
      <c r="I396" s="615"/>
      <c r="J396" s="35" t="s">
        <v>524</v>
      </c>
      <c r="K396" s="36" t="s">
        <v>511</v>
      </c>
      <c r="L396" s="621" t="s">
        <v>15</v>
      </c>
      <c r="M396" s="611"/>
      <c r="N396" s="611"/>
      <c r="O396" s="206"/>
      <c r="P396" s="205"/>
      <c r="Q396" s="616"/>
      <c r="R396" s="204"/>
      <c r="S396" s="617"/>
      <c r="T396" s="613"/>
      <c r="U396" s="613"/>
      <c r="V396" s="613"/>
      <c r="W396" s="613"/>
      <c r="X396" s="613"/>
      <c r="Y396" s="613"/>
      <c r="Z396" s="613"/>
      <c r="AA396" s="613"/>
      <c r="AB396" s="616"/>
      <c r="AC396" s="616"/>
      <c r="AD396" s="616"/>
      <c r="AE396" s="616"/>
      <c r="AF396" s="616"/>
      <c r="AG396" s="613"/>
      <c r="AH396" s="613"/>
      <c r="AI396" s="613"/>
      <c r="AJ396" s="613"/>
      <c r="AK396" s="613"/>
      <c r="AL396" s="613"/>
      <c r="AM396" s="613"/>
      <c r="AN396" s="613"/>
      <c r="AO396" s="613"/>
      <c r="AP396" s="613"/>
      <c r="AQ396" s="613"/>
      <c r="AR396" s="613"/>
      <c r="AS396" s="613"/>
      <c r="AT396" s="613"/>
      <c r="AU396" s="613"/>
      <c r="AV396" s="613"/>
      <c r="AW396" s="613"/>
      <c r="AX396" s="613"/>
      <c r="AY396" s="613"/>
      <c r="AZ396" s="613"/>
      <c r="BA396" s="613"/>
      <c r="BB396" s="613"/>
      <c r="BC396" s="613"/>
      <c r="BD396" s="613"/>
      <c r="BE396" s="613"/>
    </row>
    <row r="397" spans="2:57">
      <c r="B397" s="35" t="s">
        <v>2</v>
      </c>
      <c r="C397" s="35"/>
      <c r="D397" s="591"/>
      <c r="E397" s="36" t="s">
        <v>511</v>
      </c>
      <c r="F397" s="37" t="s">
        <v>6</v>
      </c>
      <c r="G397" s="591"/>
      <c r="H397" s="33"/>
      <c r="I397" s="622"/>
      <c r="J397" s="35"/>
      <c r="K397" s="36"/>
      <c r="L397" s="211"/>
      <c r="M397" s="613"/>
      <c r="N397" s="613"/>
      <c r="O397" s="35"/>
      <c r="P397" s="611"/>
      <c r="Q397" s="611"/>
      <c r="R397" s="611"/>
      <c r="S397" s="615"/>
      <c r="T397" s="613"/>
      <c r="U397" s="613"/>
      <c r="V397" s="613"/>
      <c r="W397" s="613"/>
      <c r="X397" s="613"/>
      <c r="Y397" s="613"/>
      <c r="Z397" s="613"/>
      <c r="AA397" s="613"/>
      <c r="AB397" s="615"/>
      <c r="AC397" s="615"/>
      <c r="AD397" s="615"/>
      <c r="AE397" s="615"/>
      <c r="AF397" s="615"/>
      <c r="AG397" s="615"/>
      <c r="AH397" s="615"/>
      <c r="AI397" s="615"/>
      <c r="AJ397" s="615"/>
      <c r="AK397" s="615"/>
      <c r="AL397" s="615"/>
      <c r="AM397" s="615"/>
      <c r="AN397" s="615"/>
      <c r="AO397" s="613"/>
      <c r="AP397" s="613"/>
      <c r="AQ397" s="613"/>
      <c r="AR397" s="613"/>
      <c r="AS397" s="613"/>
      <c r="AT397" s="613"/>
      <c r="AU397" s="613"/>
      <c r="AV397" s="613"/>
      <c r="AW397" s="613"/>
      <c r="AX397" s="613"/>
      <c r="AY397" s="613"/>
      <c r="AZ397" s="613"/>
      <c r="BA397" s="613"/>
      <c r="BB397" s="613"/>
      <c r="BC397" s="613"/>
      <c r="BD397" s="613"/>
      <c r="BE397" s="613"/>
    </row>
    <row r="398" spans="2:57">
      <c r="B398" s="613"/>
      <c r="C398" s="613"/>
      <c r="D398" s="613"/>
      <c r="E398" s="613"/>
      <c r="F398" s="613"/>
      <c r="G398" s="613"/>
      <c r="H398" s="613"/>
      <c r="I398" s="622"/>
      <c r="J398" s="35"/>
      <c r="K398" s="35"/>
      <c r="L398" s="621"/>
      <c r="M398" s="611"/>
      <c r="N398" s="611"/>
      <c r="O398" s="35"/>
      <c r="P398" s="611"/>
      <c r="Q398" s="611"/>
      <c r="R398" s="611"/>
      <c r="S398" s="615"/>
      <c r="T398" s="1317" t="s">
        <v>87</v>
      </c>
      <c r="U398" s="1317"/>
      <c r="V398" s="1317"/>
      <c r="W398" s="1317"/>
      <c r="X398" s="1317"/>
      <c r="Y398" s="1317" t="s">
        <v>73</v>
      </c>
      <c r="Z398" s="1317"/>
      <c r="AA398" s="1317"/>
      <c r="AB398" s="1317" t="s">
        <v>74</v>
      </c>
      <c r="AC398" s="1317"/>
      <c r="AD398" s="623" t="s">
        <v>85</v>
      </c>
      <c r="AE398" s="854" t="s">
        <v>77</v>
      </c>
      <c r="AF398" s="1459" t="s">
        <v>525</v>
      </c>
      <c r="AG398" s="1459"/>
      <c r="AH398" s="1459"/>
      <c r="AI398" s="1459"/>
      <c r="AJ398" s="1459"/>
      <c r="AK398" s="1459"/>
      <c r="AL398" s="1459"/>
      <c r="AM398" s="1459"/>
      <c r="AN398" s="1459"/>
      <c r="AO398" s="1459"/>
      <c r="AP398" s="1459"/>
      <c r="AQ398" s="1459"/>
      <c r="AR398" s="1459"/>
      <c r="AS398" s="1459"/>
      <c r="AT398" s="1459"/>
      <c r="AU398" s="1459"/>
      <c r="AV398" s="1459"/>
      <c r="AW398" s="1459"/>
      <c r="AX398" s="1459"/>
      <c r="AY398" s="1459"/>
      <c r="AZ398" s="1459"/>
      <c r="BA398" s="1459"/>
      <c r="BB398" s="1459"/>
      <c r="BC398" s="1459"/>
      <c r="BD398" s="1459"/>
      <c r="BE398" s="613"/>
    </row>
    <row r="399" spans="2:57">
      <c r="B399" s="1318" t="s">
        <v>526</v>
      </c>
      <c r="C399" s="1319"/>
      <c r="D399" s="624" t="s">
        <v>527</v>
      </c>
      <c r="E399" s="624"/>
      <c r="F399" s="624" t="s">
        <v>528</v>
      </c>
      <c r="G399" s="624" t="s">
        <v>529</v>
      </c>
      <c r="H399" s="624" t="s">
        <v>530</v>
      </c>
      <c r="I399" s="624" t="s">
        <v>531</v>
      </c>
      <c r="J399" s="624" t="s">
        <v>532</v>
      </c>
      <c r="K399" s="624"/>
      <c r="L399" s="624" t="s">
        <v>130</v>
      </c>
      <c r="M399" s="624" t="s">
        <v>533</v>
      </c>
      <c r="N399" s="625" t="str">
        <f>"On time - "&amp;COUNTIF(N400:N409,"On time")&amp;" from "&amp;ROWS(N400:N409)-COUNTIF(N400:N409," ")</f>
        <v>On time - 5 from 8</v>
      </c>
      <c r="O399" s="626"/>
      <c r="P399" s="627" t="s">
        <v>534</v>
      </c>
      <c r="Q399" s="627" t="s">
        <v>535</v>
      </c>
      <c r="R399" s="627" t="s">
        <v>536</v>
      </c>
      <c r="S399" s="591"/>
      <c r="T399" s="628" t="s">
        <v>537</v>
      </c>
      <c r="U399" s="628" t="s">
        <v>538</v>
      </c>
      <c r="V399" s="628" t="s">
        <v>539</v>
      </c>
      <c r="W399" s="628" t="s">
        <v>540</v>
      </c>
      <c r="X399" s="628" t="s">
        <v>541</v>
      </c>
      <c r="Y399" s="628" t="s">
        <v>167</v>
      </c>
      <c r="Z399" s="628" t="s">
        <v>168</v>
      </c>
      <c r="AA399" s="628" t="s">
        <v>169</v>
      </c>
      <c r="AB399" s="628" t="s">
        <v>235</v>
      </c>
      <c r="AC399" s="628" t="s">
        <v>240</v>
      </c>
      <c r="AD399" s="623" t="s">
        <v>85</v>
      </c>
      <c r="AE399" s="628" t="s">
        <v>139</v>
      </c>
      <c r="AF399" s="855" t="s">
        <v>72</v>
      </c>
      <c r="AG399" s="855" t="s">
        <v>88</v>
      </c>
      <c r="AH399" s="855" t="s">
        <v>75</v>
      </c>
      <c r="AI399" s="855" t="s">
        <v>543</v>
      </c>
      <c r="AJ399" s="855" t="s">
        <v>78</v>
      </c>
      <c r="AK399" s="855" t="s">
        <v>76</v>
      </c>
      <c r="AL399" s="855" t="s">
        <v>544</v>
      </c>
      <c r="AM399" s="855" t="s">
        <v>545</v>
      </c>
      <c r="AN399" s="855" t="s">
        <v>86</v>
      </c>
      <c r="AO399" s="855" t="s">
        <v>83</v>
      </c>
      <c r="AP399" s="855" t="s">
        <v>84</v>
      </c>
      <c r="AQ399" s="855" t="s">
        <v>546</v>
      </c>
      <c r="AR399" s="855" t="s">
        <v>81</v>
      </c>
      <c r="AS399" s="855" t="s">
        <v>80</v>
      </c>
      <c r="AT399" s="855" t="s">
        <v>82</v>
      </c>
      <c r="AU399" s="855" t="s">
        <v>181</v>
      </c>
      <c r="AV399" s="855" t="s">
        <v>183</v>
      </c>
      <c r="AW399" s="855" t="s">
        <v>547</v>
      </c>
      <c r="AX399" s="855" t="s">
        <v>182</v>
      </c>
      <c r="AY399" s="855" t="s">
        <v>172</v>
      </c>
      <c r="AZ399" s="855" t="s">
        <v>173</v>
      </c>
      <c r="BA399" s="855" t="s">
        <v>184</v>
      </c>
      <c r="BB399" s="855" t="s">
        <v>100</v>
      </c>
      <c r="BC399" s="855" t="s">
        <v>913</v>
      </c>
      <c r="BD399" s="855" t="s">
        <v>2747</v>
      </c>
      <c r="BE399" s="613"/>
    </row>
    <row r="400" spans="2:57">
      <c r="B400" s="1315" t="s">
        <v>548</v>
      </c>
      <c r="C400" s="1316"/>
      <c r="D400" s="501" t="s">
        <v>3529</v>
      </c>
      <c r="E400" s="501"/>
      <c r="F400" s="501" t="s">
        <v>721</v>
      </c>
      <c r="G400" s="501" t="s">
        <v>1349</v>
      </c>
      <c r="H400" s="629">
        <v>7503.7</v>
      </c>
      <c r="I400" s="584" t="s">
        <v>1472</v>
      </c>
      <c r="J400" s="504">
        <v>45251.333333333336</v>
      </c>
      <c r="K400" s="504"/>
      <c r="L400" s="504" t="s">
        <v>192</v>
      </c>
      <c r="M400" s="504" t="s">
        <v>192</v>
      </c>
      <c r="N400" s="505" t="str">
        <f>IF(ISBLANK(J400)," ",IF(J400&lt;$F$394,"On time",(IF(DAY(J400-$F$394)&lt;1,"On time",(IF(J400&gt;$F$394,"DELAY ( "&amp;DAY(J400-$F$394)&amp;" day "&amp;HOUR(J400-$F$394)&amp;" hour "&amp;MINUTE(J400-$F$394)&amp;" minute )","xxx"))))))</f>
        <v>On time</v>
      </c>
      <c r="O400" s="597"/>
      <c r="P400" s="507" t="s">
        <v>551</v>
      </c>
      <c r="Q400" s="507" t="s">
        <v>551</v>
      </c>
      <c r="R400" s="507" t="s">
        <v>551</v>
      </c>
      <c r="S400" s="598"/>
      <c r="T400" s="599"/>
      <c r="U400" s="599"/>
      <c r="V400" s="599"/>
      <c r="W400" s="599"/>
      <c r="X400" s="599"/>
      <c r="Y400" s="599"/>
      <c r="Z400" s="599"/>
      <c r="AA400" s="599"/>
      <c r="AB400" s="599">
        <f>H400*0.55</f>
        <v>4127.0349999999999</v>
      </c>
      <c r="AC400" s="599">
        <f>H400*0.45</f>
        <v>3376.665</v>
      </c>
      <c r="AD400" s="599"/>
      <c r="AE400" s="599"/>
      <c r="AF400" s="599"/>
      <c r="AG400" s="599"/>
      <c r="AH400" s="599"/>
      <c r="AI400" s="599"/>
      <c r="AJ400" s="599"/>
      <c r="AK400" s="599"/>
      <c r="AL400" s="599"/>
      <c r="AM400" s="599"/>
      <c r="AN400" s="599"/>
      <c r="AO400" s="599"/>
      <c r="AP400" s="599"/>
      <c r="AQ400" s="599"/>
      <c r="AR400" s="599"/>
      <c r="AS400" s="599"/>
      <c r="AT400" s="599"/>
      <c r="AU400" s="599"/>
      <c r="AV400" s="599"/>
      <c r="AW400" s="599"/>
      <c r="AX400" s="599"/>
      <c r="AY400" s="599"/>
      <c r="AZ400" s="599"/>
      <c r="BA400" s="599"/>
      <c r="BB400" s="599"/>
      <c r="BC400" s="599"/>
      <c r="BD400" s="599"/>
      <c r="BE400" s="598"/>
    </row>
    <row r="401" spans="2:57">
      <c r="B401" s="1315" t="s">
        <v>548</v>
      </c>
      <c r="C401" s="1316"/>
      <c r="D401" s="501" t="s">
        <v>3531</v>
      </c>
      <c r="E401" s="501"/>
      <c r="F401" s="501" t="s">
        <v>355</v>
      </c>
      <c r="G401" s="501" t="s">
        <v>356</v>
      </c>
      <c r="H401" s="629">
        <v>7465.058</v>
      </c>
      <c r="I401" s="584" t="s">
        <v>1472</v>
      </c>
      <c r="J401" s="504">
        <v>45251.336805555555</v>
      </c>
      <c r="K401" s="504"/>
      <c r="L401" s="504" t="s">
        <v>192</v>
      </c>
      <c r="M401" s="504" t="s">
        <v>192</v>
      </c>
      <c r="N401" s="505" t="str">
        <f t="shared" ref="N401:N409" si="37">IF(ISBLANK(J401)," ",IF(J401&lt;$F$394,"On time",(IF(DAY(J401-$F$394)&lt;1,"On time",(IF(J401&gt;$F$394,"DELAY ( "&amp;DAY(J401-$F$394)&amp;" day "&amp;HOUR(J401-$F$394)&amp;" hour "&amp;MINUTE(J401-$F$394)&amp;" minute )","xxx"))))))</f>
        <v>On time</v>
      </c>
      <c r="O401" s="597"/>
      <c r="P401" s="507" t="s">
        <v>551</v>
      </c>
      <c r="Q401" s="507" t="s">
        <v>551</v>
      </c>
      <c r="R401" s="507" t="s">
        <v>551</v>
      </c>
      <c r="S401" s="598"/>
      <c r="T401" s="599"/>
      <c r="U401" s="599"/>
      <c r="V401" s="599"/>
      <c r="W401" s="599"/>
      <c r="X401" s="599"/>
      <c r="Y401" s="599"/>
      <c r="Z401" s="599"/>
      <c r="AA401" s="599"/>
      <c r="AB401" s="599">
        <f t="shared" ref="AB401" si="38">H401*0.55</f>
        <v>4105.7819</v>
      </c>
      <c r="AC401" s="599">
        <f t="shared" ref="AC401" si="39">H401*0.45</f>
        <v>3359.2761</v>
      </c>
      <c r="AD401" s="599"/>
      <c r="AE401" s="599"/>
      <c r="AF401" s="599"/>
      <c r="AG401" s="599"/>
      <c r="AH401" s="599"/>
      <c r="AI401" s="599"/>
      <c r="AJ401" s="599"/>
      <c r="AK401" s="599"/>
      <c r="AL401" s="599"/>
      <c r="AM401" s="599"/>
      <c r="AN401" s="599"/>
      <c r="AO401" s="599"/>
      <c r="AP401" s="598"/>
      <c r="AQ401" s="599"/>
      <c r="AR401" s="599"/>
      <c r="AS401" s="599"/>
      <c r="AT401" s="599"/>
      <c r="AU401" s="599"/>
      <c r="AV401" s="599"/>
      <c r="AW401" s="599"/>
      <c r="AX401" s="599"/>
      <c r="AY401" s="599"/>
      <c r="AZ401" s="599"/>
      <c r="BA401" s="599"/>
      <c r="BB401" s="599"/>
      <c r="BC401" s="599"/>
      <c r="BD401" s="599"/>
      <c r="BE401" s="598"/>
    </row>
    <row r="402" spans="2:57">
      <c r="B402" s="1315" t="s">
        <v>548</v>
      </c>
      <c r="C402" s="1316"/>
      <c r="D402" s="501" t="s">
        <v>3527</v>
      </c>
      <c r="E402" s="501"/>
      <c r="F402" s="501" t="s">
        <v>390</v>
      </c>
      <c r="G402" s="501" t="s">
        <v>3346</v>
      </c>
      <c r="H402" s="629">
        <v>5366.6080000000002</v>
      </c>
      <c r="I402" s="584" t="s">
        <v>418</v>
      </c>
      <c r="J402" s="504">
        <v>45251.996527777781</v>
      </c>
      <c r="K402" s="574"/>
      <c r="L402" s="504" t="s">
        <v>192</v>
      </c>
      <c r="M402" s="504" t="s">
        <v>192</v>
      </c>
      <c r="N402" s="505" t="str">
        <f t="shared" si="37"/>
        <v>On time</v>
      </c>
      <c r="O402" s="597"/>
      <c r="P402" s="507" t="s">
        <v>551</v>
      </c>
      <c r="Q402" s="507" t="s">
        <v>551</v>
      </c>
      <c r="R402" s="507" t="s">
        <v>551</v>
      </c>
      <c r="S402" s="598"/>
      <c r="T402" s="599"/>
      <c r="U402" s="599"/>
      <c r="V402" s="599"/>
      <c r="W402" s="599"/>
      <c r="X402" s="599"/>
      <c r="Y402" s="599"/>
      <c r="Z402" s="599"/>
      <c r="AA402" s="599"/>
      <c r="AB402" s="599">
        <f>H402*0.65</f>
        <v>3488.2952</v>
      </c>
      <c r="AC402" s="599">
        <f>H402*0.35</f>
        <v>1878.3127999999999</v>
      </c>
      <c r="AD402" s="599"/>
      <c r="AE402" s="599"/>
      <c r="AF402" s="599"/>
      <c r="AG402" s="599"/>
      <c r="AH402" s="599"/>
      <c r="AI402" s="599"/>
      <c r="AJ402" s="599"/>
      <c r="AK402" s="599"/>
      <c r="AL402" s="599"/>
      <c r="AM402" s="599"/>
      <c r="AN402" s="599"/>
      <c r="AO402" s="599"/>
      <c r="AP402" s="599"/>
      <c r="AQ402" s="599"/>
      <c r="AR402" s="599"/>
      <c r="AS402" s="599"/>
      <c r="AT402" s="599"/>
      <c r="AU402" s="599"/>
      <c r="AV402" s="599"/>
      <c r="AW402" s="599"/>
      <c r="AX402" s="599"/>
      <c r="AY402" s="599"/>
      <c r="AZ402" s="599"/>
      <c r="BA402" s="599"/>
      <c r="BB402" s="599"/>
      <c r="BC402" s="599"/>
      <c r="BD402" s="599"/>
      <c r="BE402" s="598"/>
    </row>
    <row r="403" spans="2:57">
      <c r="B403" s="1326" t="s">
        <v>653</v>
      </c>
      <c r="C403" s="1327"/>
      <c r="D403" s="501" t="s">
        <v>3635</v>
      </c>
      <c r="E403" s="502"/>
      <c r="F403" s="501" t="s">
        <v>809</v>
      </c>
      <c r="G403" s="501" t="s">
        <v>1365</v>
      </c>
      <c r="H403" s="629">
        <f>5215.248</f>
        <v>5215.2479999999996</v>
      </c>
      <c r="I403" s="584" t="s">
        <v>183</v>
      </c>
      <c r="J403" s="504">
        <v>45256.083333333336</v>
      </c>
      <c r="K403" s="504"/>
      <c r="L403" s="504" t="s">
        <v>192</v>
      </c>
      <c r="M403" s="504" t="s">
        <v>192</v>
      </c>
      <c r="N403" s="505" t="str">
        <f t="shared" si="37"/>
        <v>DELAY ( 4 day 16 hour 42 minute )</v>
      </c>
      <c r="O403" s="597"/>
      <c r="P403" s="507" t="s">
        <v>551</v>
      </c>
      <c r="Q403" s="507" t="s">
        <v>551</v>
      </c>
      <c r="R403" s="507" t="s">
        <v>551</v>
      </c>
      <c r="S403" s="598"/>
      <c r="T403" s="599"/>
      <c r="U403" s="599"/>
      <c r="V403" s="599"/>
      <c r="W403" s="599"/>
      <c r="X403" s="599"/>
      <c r="Y403" s="599"/>
      <c r="Z403" s="599"/>
      <c r="AA403" s="599"/>
      <c r="AB403" s="599"/>
      <c r="AC403" s="599"/>
      <c r="AD403" s="599"/>
      <c r="AE403" s="599"/>
      <c r="AF403" s="599"/>
      <c r="AG403" s="599"/>
      <c r="AH403" s="599"/>
      <c r="AI403" s="599"/>
      <c r="AJ403" s="599"/>
      <c r="AK403" s="598"/>
      <c r="AL403" s="599"/>
      <c r="AM403" s="599"/>
      <c r="AN403" s="599"/>
      <c r="AO403" s="599"/>
      <c r="AP403" s="599"/>
      <c r="AQ403" s="599"/>
      <c r="AR403" s="599"/>
      <c r="AS403" s="599"/>
      <c r="AT403" s="599"/>
      <c r="AU403" s="599"/>
      <c r="AV403" s="599">
        <f>H403</f>
        <v>5215.2479999999996</v>
      </c>
      <c r="AW403" s="599"/>
      <c r="AX403" s="598"/>
      <c r="AY403" s="599"/>
      <c r="AZ403" s="599"/>
      <c r="BA403" s="599"/>
      <c r="BB403" s="599"/>
      <c r="BC403" s="599"/>
      <c r="BD403" s="599"/>
      <c r="BE403" s="598"/>
    </row>
    <row r="404" spans="2:57">
      <c r="B404" s="1421"/>
      <c r="C404" s="1422"/>
      <c r="D404" s="501" t="s">
        <v>3530</v>
      </c>
      <c r="E404" s="501"/>
      <c r="F404" s="501" t="s">
        <v>492</v>
      </c>
      <c r="G404" s="501" t="s">
        <v>493</v>
      </c>
      <c r="H404" s="629">
        <v>7456.7309999999998</v>
      </c>
      <c r="I404" s="584" t="s">
        <v>1472</v>
      </c>
      <c r="J404" s="504">
        <v>45251.458333333336</v>
      </c>
      <c r="K404" s="504"/>
      <c r="L404" s="504" t="s">
        <v>192</v>
      </c>
      <c r="M404" s="504" t="s">
        <v>192</v>
      </c>
      <c r="N404" s="505" t="str">
        <f t="shared" si="37"/>
        <v>On time</v>
      </c>
      <c r="O404" s="597"/>
      <c r="P404" s="507" t="s">
        <v>551</v>
      </c>
      <c r="Q404" s="507" t="s">
        <v>551</v>
      </c>
      <c r="R404" s="507" t="s">
        <v>551</v>
      </c>
      <c r="S404" s="598"/>
      <c r="T404" s="599"/>
      <c r="U404" s="599"/>
      <c r="V404" s="599"/>
      <c r="W404" s="599"/>
      <c r="X404" s="599"/>
      <c r="Y404" s="599"/>
      <c r="Z404" s="599"/>
      <c r="AA404" s="599"/>
      <c r="AB404" s="599">
        <f>H404*0.55</f>
        <v>4101.2020499999999</v>
      </c>
      <c r="AC404" s="599">
        <f>H404*0.45</f>
        <v>3355.5289499999999</v>
      </c>
      <c r="AD404" s="599"/>
      <c r="AE404" s="599"/>
      <c r="AF404" s="599"/>
      <c r="AG404" s="599"/>
      <c r="AH404" s="599"/>
      <c r="AI404" s="599"/>
      <c r="AJ404" s="599"/>
      <c r="AK404" s="598"/>
      <c r="AL404" s="599"/>
      <c r="AM404" s="599"/>
      <c r="AN404" s="599"/>
      <c r="AO404" s="599"/>
      <c r="AP404" s="599"/>
      <c r="AQ404" s="599"/>
      <c r="AR404" s="599"/>
      <c r="AS404" s="599"/>
      <c r="AT404" s="599"/>
      <c r="AU404" s="599"/>
      <c r="AV404" s="599"/>
      <c r="AW404" s="599"/>
      <c r="AX404" s="599"/>
      <c r="AY404" s="599"/>
      <c r="AZ404" s="599"/>
      <c r="BA404" s="599"/>
      <c r="BB404" s="599"/>
      <c r="BC404" s="599"/>
      <c r="BD404" s="599"/>
      <c r="BE404" s="598"/>
    </row>
    <row r="405" spans="2:57">
      <c r="B405" s="1326" t="s">
        <v>653</v>
      </c>
      <c r="C405" s="1327"/>
      <c r="D405" s="501" t="s">
        <v>3636</v>
      </c>
      <c r="E405" s="502"/>
      <c r="F405" s="501" t="s">
        <v>1617</v>
      </c>
      <c r="G405" s="501" t="s">
        <v>2833</v>
      </c>
      <c r="H405" s="629">
        <f>5196.424</f>
        <v>5196.424</v>
      </c>
      <c r="I405" s="584" t="s">
        <v>183</v>
      </c>
      <c r="J405" s="897" t="s">
        <v>196</v>
      </c>
      <c r="K405" s="504"/>
      <c r="L405" s="504" t="s">
        <v>192</v>
      </c>
      <c r="M405" s="504" t="s">
        <v>192</v>
      </c>
      <c r="N405" s="898" t="e">
        <f t="shared" si="37"/>
        <v>#VALUE!</v>
      </c>
      <c r="O405" s="597"/>
      <c r="P405" s="507" t="s">
        <v>551</v>
      </c>
      <c r="Q405" s="507" t="s">
        <v>551</v>
      </c>
      <c r="R405" s="507" t="s">
        <v>551</v>
      </c>
      <c r="S405" s="598"/>
      <c r="T405" s="599"/>
      <c r="U405" s="599"/>
      <c r="V405" s="599"/>
      <c r="W405" s="599"/>
      <c r="X405" s="599"/>
      <c r="Y405" s="599"/>
      <c r="Z405" s="599"/>
      <c r="AA405" s="599"/>
      <c r="AB405" s="599"/>
      <c r="AC405" s="599"/>
      <c r="AD405" s="599"/>
      <c r="AE405" s="599"/>
      <c r="AF405" s="599"/>
      <c r="AG405" s="599"/>
      <c r="AH405" s="599"/>
      <c r="AI405" s="599"/>
      <c r="AJ405" s="599"/>
      <c r="AK405" s="599"/>
      <c r="AL405" s="599"/>
      <c r="AM405" s="599"/>
      <c r="AN405" s="599"/>
      <c r="AO405" s="599"/>
      <c r="AP405" s="599"/>
      <c r="AQ405" s="599"/>
      <c r="AR405" s="599"/>
      <c r="AS405" s="599"/>
      <c r="AT405" s="599"/>
      <c r="AU405" s="599"/>
      <c r="AV405" s="599">
        <f>H405</f>
        <v>5196.424</v>
      </c>
      <c r="AW405" s="599"/>
      <c r="AX405" s="598"/>
      <c r="AY405" s="599"/>
      <c r="AZ405" s="599"/>
      <c r="BA405" s="599"/>
      <c r="BB405" s="599"/>
      <c r="BC405" s="599"/>
      <c r="BD405" s="599"/>
      <c r="BE405" s="598"/>
    </row>
    <row r="406" spans="2:57">
      <c r="B406" s="1421"/>
      <c r="C406" s="1422"/>
      <c r="D406" s="501" t="s">
        <v>3528</v>
      </c>
      <c r="E406" s="501"/>
      <c r="F406" s="501" t="s">
        <v>1240</v>
      </c>
      <c r="G406" s="501" t="s">
        <v>1241</v>
      </c>
      <c r="H406" s="629">
        <v>7820.72</v>
      </c>
      <c r="I406" s="584" t="s">
        <v>1472</v>
      </c>
      <c r="J406" s="504">
        <v>45251.583333333336</v>
      </c>
      <c r="K406" s="504"/>
      <c r="L406" s="504" t="s">
        <v>192</v>
      </c>
      <c r="M406" s="504" t="s">
        <v>192</v>
      </c>
      <c r="N406" s="505" t="str">
        <f t="shared" si="37"/>
        <v>On time</v>
      </c>
      <c r="O406" s="597"/>
      <c r="P406" s="507" t="s">
        <v>551</v>
      </c>
      <c r="Q406" s="507" t="s">
        <v>551</v>
      </c>
      <c r="R406" s="507" t="s">
        <v>551</v>
      </c>
      <c r="S406" s="598"/>
      <c r="T406" s="599"/>
      <c r="U406" s="599"/>
      <c r="V406" s="599"/>
      <c r="W406" s="599"/>
      <c r="X406" s="599"/>
      <c r="Y406" s="599"/>
      <c r="Z406" s="599"/>
      <c r="AA406" s="599"/>
      <c r="AB406" s="599">
        <f>H406*0.55</f>
        <v>4301.3960000000006</v>
      </c>
      <c r="AC406" s="599">
        <f>H406*0.45</f>
        <v>3519.3240000000001</v>
      </c>
      <c r="AD406" s="599"/>
      <c r="AE406" s="599"/>
      <c r="AF406" s="599"/>
      <c r="AG406" s="599"/>
      <c r="AH406" s="599"/>
      <c r="AI406" s="599"/>
      <c r="AJ406" s="599"/>
      <c r="AK406" s="599"/>
      <c r="AL406" s="599"/>
      <c r="AM406" s="599"/>
      <c r="AN406" s="599"/>
      <c r="AO406" s="599"/>
      <c r="AP406" s="598"/>
      <c r="AQ406" s="599"/>
      <c r="AR406" s="599"/>
      <c r="AS406" s="599"/>
      <c r="AT406" s="599"/>
      <c r="AU406" s="599"/>
      <c r="AV406" s="599"/>
      <c r="AW406" s="599"/>
      <c r="AX406" s="599"/>
      <c r="AY406" s="599"/>
      <c r="AZ406" s="599"/>
      <c r="BA406" s="599"/>
      <c r="BB406" s="599"/>
      <c r="BC406" s="599"/>
      <c r="BD406" s="599"/>
      <c r="BE406" s="598"/>
    </row>
    <row r="407" spans="2:57">
      <c r="B407" s="1315" t="s">
        <v>548</v>
      </c>
      <c r="C407" s="1316"/>
      <c r="D407" s="501" t="s">
        <v>3532</v>
      </c>
      <c r="E407" s="501"/>
      <c r="F407" s="501" t="s">
        <v>249</v>
      </c>
      <c r="G407" s="501" t="s">
        <v>2315</v>
      </c>
      <c r="H407" s="629">
        <f>7472.915-3297.404</f>
        <v>4175.5110000000004</v>
      </c>
      <c r="I407" s="584" t="s">
        <v>418</v>
      </c>
      <c r="J407" s="574">
        <v>45252.763888888891</v>
      </c>
      <c r="K407" s="574"/>
      <c r="L407" s="504" t="s">
        <v>192</v>
      </c>
      <c r="M407" s="504" t="s">
        <v>192</v>
      </c>
      <c r="N407" s="505" t="str">
        <f t="shared" si="37"/>
        <v>DELAY ( 1 day 9 hour 2 minute )</v>
      </c>
      <c r="O407" s="597"/>
      <c r="P407" s="507" t="s">
        <v>551</v>
      </c>
      <c r="Q407" s="507" t="s">
        <v>551</v>
      </c>
      <c r="R407" s="507" t="s">
        <v>551</v>
      </c>
      <c r="S407" s="598"/>
      <c r="T407" s="599"/>
      <c r="U407" s="599"/>
      <c r="V407" s="599"/>
      <c r="W407" s="599"/>
      <c r="X407" s="599"/>
      <c r="Y407" s="599"/>
      <c r="Z407" s="599"/>
      <c r="AA407" s="599"/>
      <c r="AB407" s="599">
        <f>H407*0.65</f>
        <v>2714.0821500000002</v>
      </c>
      <c r="AC407" s="599">
        <f>H407*0.35</f>
        <v>1461.42885</v>
      </c>
      <c r="AD407" s="599"/>
      <c r="AE407" s="599"/>
      <c r="AF407" s="599"/>
      <c r="AG407" s="599"/>
      <c r="AH407" s="599"/>
      <c r="AI407" s="599"/>
      <c r="AJ407" s="599"/>
      <c r="AK407" s="599"/>
      <c r="AL407" s="599"/>
      <c r="AM407" s="599"/>
      <c r="AN407" s="599"/>
      <c r="AO407" s="599"/>
      <c r="AP407" s="599"/>
      <c r="AQ407" s="599"/>
      <c r="AR407" s="599"/>
      <c r="AS407" s="599"/>
      <c r="AT407" s="599"/>
      <c r="AU407" s="599"/>
      <c r="AV407" s="599"/>
      <c r="AW407" s="599"/>
      <c r="AX407" s="599"/>
      <c r="AY407" s="599"/>
      <c r="AZ407" s="599"/>
      <c r="BA407" s="599"/>
      <c r="BB407" s="599"/>
      <c r="BC407" s="599"/>
      <c r="BD407" s="599"/>
      <c r="BE407" s="598"/>
    </row>
    <row r="408" spans="2:57">
      <c r="B408" s="1258" t="s">
        <v>556</v>
      </c>
      <c r="C408" s="1259"/>
      <c r="D408" s="1259"/>
      <c r="E408" s="1259"/>
      <c r="F408" s="1259"/>
      <c r="G408" s="1260"/>
      <c r="H408" s="863">
        <f>SUM(H400:H407)</f>
        <v>50200</v>
      </c>
      <c r="I408" s="1458"/>
      <c r="J408" s="1458"/>
      <c r="K408" s="1458"/>
      <c r="L408" s="1458"/>
      <c r="M408" s="1458"/>
      <c r="N408" s="505" t="str">
        <f t="shared" si="37"/>
        <v xml:space="preserve"> </v>
      </c>
      <c r="O408" s="212"/>
      <c r="P408" s="590"/>
      <c r="Q408" s="590"/>
      <c r="R408" s="590"/>
      <c r="S408" s="633"/>
      <c r="T408" s="1307"/>
      <c r="U408" s="1308"/>
      <c r="V408" s="1308"/>
      <c r="W408" s="1308"/>
      <c r="X408" s="1308"/>
      <c r="Y408" s="1308"/>
      <c r="Z408" s="1308"/>
      <c r="AA408" s="1308"/>
      <c r="AB408" s="1308"/>
      <c r="AC408" s="1308"/>
      <c r="AD408" s="1308"/>
      <c r="AE408" s="1308"/>
      <c r="AF408" s="1308"/>
      <c r="AG408" s="1308"/>
      <c r="AH408" s="1308"/>
      <c r="AI408" s="1308"/>
      <c r="AJ408" s="1308"/>
      <c r="AK408" s="1308"/>
      <c r="AL408" s="1308"/>
      <c r="AM408" s="1308"/>
      <c r="AN408" s="1308"/>
      <c r="AO408" s="1308"/>
      <c r="AP408" s="1308"/>
      <c r="AQ408" s="1308"/>
      <c r="AR408" s="1308"/>
      <c r="AS408" s="1308"/>
      <c r="AT408" s="1308"/>
      <c r="AU408" s="1308"/>
      <c r="AV408" s="1308"/>
      <c r="AW408" s="1308"/>
      <c r="AX408" s="1308"/>
      <c r="AY408" s="1308"/>
      <c r="AZ408" s="1308"/>
      <c r="BA408" s="1308"/>
      <c r="BB408" s="1308"/>
      <c r="BC408" s="1308"/>
      <c r="BD408" s="1308"/>
    </row>
    <row r="409" spans="2:57">
      <c r="B409" s="1415" t="s">
        <v>557</v>
      </c>
      <c r="C409" s="1416"/>
      <c r="D409" s="1416"/>
      <c r="E409" s="1416"/>
      <c r="F409" s="1416"/>
      <c r="G409" s="1417"/>
      <c r="H409" s="899">
        <v>50200</v>
      </c>
      <c r="I409" s="1455"/>
      <c r="J409" s="1455"/>
      <c r="K409" s="1455"/>
      <c r="L409" s="1455"/>
      <c r="M409" s="1455"/>
      <c r="N409" s="505" t="str">
        <f t="shared" si="37"/>
        <v xml:space="preserve"> </v>
      </c>
      <c r="O409" s="591"/>
      <c r="P409" s="415"/>
      <c r="Q409" s="415"/>
      <c r="R409" s="415"/>
      <c r="S409" s="740"/>
      <c r="T409" s="592">
        <f t="shared" ref="T409:BD409" si="40">SUM(T400:T407)</f>
        <v>0</v>
      </c>
      <c r="U409" s="592">
        <f t="shared" si="40"/>
        <v>0</v>
      </c>
      <c r="V409" s="592">
        <f t="shared" si="40"/>
        <v>0</v>
      </c>
      <c r="W409" s="592">
        <f t="shared" si="40"/>
        <v>0</v>
      </c>
      <c r="X409" s="592">
        <f t="shared" si="40"/>
        <v>0</v>
      </c>
      <c r="Y409" s="592">
        <f t="shared" si="40"/>
        <v>0</v>
      </c>
      <c r="Z409" s="592">
        <f t="shared" si="40"/>
        <v>0</v>
      </c>
      <c r="AA409" s="592">
        <f t="shared" si="40"/>
        <v>0</v>
      </c>
      <c r="AB409" s="592">
        <f t="shared" si="40"/>
        <v>22837.792300000001</v>
      </c>
      <c r="AC409" s="592">
        <f t="shared" si="40"/>
        <v>16950.5357</v>
      </c>
      <c r="AD409" s="592">
        <f t="shared" si="40"/>
        <v>0</v>
      </c>
      <c r="AE409" s="592">
        <f t="shared" si="40"/>
        <v>0</v>
      </c>
      <c r="AF409" s="592">
        <f t="shared" si="40"/>
        <v>0</v>
      </c>
      <c r="AG409" s="592">
        <f t="shared" si="40"/>
        <v>0</v>
      </c>
      <c r="AH409" s="592">
        <f t="shared" si="40"/>
        <v>0</v>
      </c>
      <c r="AI409" s="592">
        <f t="shared" si="40"/>
        <v>0</v>
      </c>
      <c r="AJ409" s="592">
        <f t="shared" si="40"/>
        <v>0</v>
      </c>
      <c r="AK409" s="592">
        <f t="shared" si="40"/>
        <v>0</v>
      </c>
      <c r="AL409" s="592">
        <f t="shared" si="40"/>
        <v>0</v>
      </c>
      <c r="AM409" s="592">
        <f t="shared" si="40"/>
        <v>0</v>
      </c>
      <c r="AN409" s="592">
        <f t="shared" si="40"/>
        <v>0</v>
      </c>
      <c r="AO409" s="592">
        <f t="shared" si="40"/>
        <v>0</v>
      </c>
      <c r="AP409" s="592">
        <f t="shared" si="40"/>
        <v>0</v>
      </c>
      <c r="AQ409" s="592">
        <f t="shared" si="40"/>
        <v>0</v>
      </c>
      <c r="AR409" s="592">
        <f t="shared" si="40"/>
        <v>0</v>
      </c>
      <c r="AS409" s="592">
        <f t="shared" si="40"/>
        <v>0</v>
      </c>
      <c r="AT409" s="592">
        <f t="shared" si="40"/>
        <v>0</v>
      </c>
      <c r="AU409" s="592">
        <f t="shared" si="40"/>
        <v>0</v>
      </c>
      <c r="AV409" s="592">
        <f t="shared" si="40"/>
        <v>10411.671999999999</v>
      </c>
      <c r="AW409" s="592">
        <f t="shared" si="40"/>
        <v>0</v>
      </c>
      <c r="AX409" s="592">
        <f t="shared" si="40"/>
        <v>0</v>
      </c>
      <c r="AY409" s="592">
        <f t="shared" si="40"/>
        <v>0</v>
      </c>
      <c r="AZ409" s="592">
        <f t="shared" si="40"/>
        <v>0</v>
      </c>
      <c r="BA409" s="592">
        <f t="shared" si="40"/>
        <v>0</v>
      </c>
      <c r="BB409" s="592">
        <f t="shared" si="40"/>
        <v>0</v>
      </c>
      <c r="BC409" s="592">
        <f t="shared" si="40"/>
        <v>0</v>
      </c>
      <c r="BD409" s="592">
        <f t="shared" si="40"/>
        <v>0</v>
      </c>
      <c r="BE409" s="592">
        <f>SUM(T409:BD409)</f>
        <v>50200</v>
      </c>
    </row>
    <row r="410" spans="2:57">
      <c r="B410" s="1415" t="s">
        <v>558</v>
      </c>
      <c r="C410" s="1416"/>
      <c r="D410" s="1416"/>
      <c r="E410" s="1416"/>
      <c r="F410" s="1416"/>
      <c r="G410" s="1417"/>
      <c r="H410" s="900">
        <f>H409-L394</f>
        <v>0</v>
      </c>
      <c r="I410" s="745"/>
      <c r="J410" s="746"/>
      <c r="K410" s="746"/>
      <c r="L410" s="674"/>
      <c r="M410" s="633"/>
      <c r="N410" s="591"/>
      <c r="O410" s="591"/>
      <c r="P410" s="591"/>
      <c r="Q410" s="744"/>
      <c r="R410" s="744"/>
      <c r="S410" s="591"/>
      <c r="T410" s="645"/>
      <c r="U410" s="645"/>
      <c r="V410" s="645"/>
      <c r="W410" s="645"/>
      <c r="X410" s="645"/>
      <c r="Y410" s="645"/>
      <c r="Z410" s="645"/>
      <c r="AA410" s="645"/>
      <c r="AB410" s="645"/>
      <c r="AC410" s="591"/>
      <c r="AD410" s="591"/>
      <c r="AE410" s="591"/>
      <c r="AF410" s="591"/>
      <c r="AG410" s="591"/>
      <c r="AH410" s="591"/>
      <c r="AI410" s="591"/>
      <c r="AJ410" s="591"/>
      <c r="AK410" s="591"/>
      <c r="AL410" s="591"/>
      <c r="AM410" s="591"/>
      <c r="AN410" s="591"/>
      <c r="AO410" s="591"/>
      <c r="AP410" s="591"/>
      <c r="AQ410" s="591"/>
      <c r="AR410" s="591"/>
    </row>
    <row r="411" spans="2:57">
      <c r="B411" s="1415" t="s">
        <v>559</v>
      </c>
      <c r="C411" s="1416"/>
      <c r="D411" s="1416"/>
      <c r="E411" s="1416"/>
      <c r="F411" s="1416"/>
      <c r="G411" s="1417"/>
      <c r="H411" s="895">
        <v>1571.1590000000001</v>
      </c>
      <c r="I411" s="745"/>
      <c r="J411" s="746"/>
      <c r="K411" s="746"/>
      <c r="L411" s="674"/>
      <c r="M411" s="633"/>
      <c r="N411" s="613"/>
      <c r="O411" s="591"/>
      <c r="P411" s="591"/>
      <c r="Q411" s="591"/>
      <c r="R411" s="591"/>
      <c r="S411" s="591"/>
      <c r="T411" s="645"/>
      <c r="U411" s="645"/>
      <c r="V411" s="645"/>
      <c r="W411" s="645"/>
      <c r="X411" s="645"/>
      <c r="Y411" s="645"/>
      <c r="Z411" s="645"/>
      <c r="AA411" s="645"/>
      <c r="AB411" s="645"/>
      <c r="AC411" s="591"/>
      <c r="AD411" s="591"/>
      <c r="AE411" s="591"/>
      <c r="AF411" s="591"/>
      <c r="AG411" s="591"/>
      <c r="AH411" s="591"/>
      <c r="AI411" s="591"/>
      <c r="AJ411" s="591"/>
      <c r="AK411" s="591"/>
      <c r="AL411" s="591"/>
      <c r="AM411" s="591"/>
      <c r="AN411" s="591"/>
      <c r="AO411" s="591"/>
      <c r="AP411" s="591"/>
      <c r="AQ411" s="591"/>
      <c r="AR411" s="591"/>
    </row>
    <row r="412" spans="2:57" ht="11.25" customHeight="1">
      <c r="B412" s="1415" t="s">
        <v>560</v>
      </c>
      <c r="C412" s="1416"/>
      <c r="D412" s="1416"/>
      <c r="E412" s="1416"/>
      <c r="F412" s="1416"/>
      <c r="G412" s="1417"/>
      <c r="H412" s="741">
        <f>H411-3297.404</f>
        <v>-1726.2449999999999</v>
      </c>
      <c r="I412" s="641"/>
      <c r="J412" s="642"/>
      <c r="K412" s="642"/>
      <c r="L412" s="499"/>
      <c r="M412" s="613"/>
      <c r="N412" s="613"/>
      <c r="O412" s="613"/>
      <c r="P412" s="613"/>
      <c r="Q412" s="613"/>
      <c r="R412" s="613"/>
      <c r="S412" s="616"/>
      <c r="T412" s="616"/>
      <c r="U412" s="616"/>
      <c r="V412" s="616"/>
      <c r="W412" s="616"/>
      <c r="X412" s="616"/>
      <c r="Y412" s="616"/>
      <c r="Z412" s="616"/>
      <c r="AA412" s="616"/>
      <c r="AB412" s="613"/>
      <c r="AC412" s="613"/>
      <c r="AD412" s="613"/>
      <c r="AE412" s="613"/>
      <c r="AF412" s="613"/>
      <c r="AG412" s="613"/>
      <c r="AH412" s="613"/>
      <c r="AI412" s="613"/>
      <c r="AJ412" s="613"/>
      <c r="AK412" s="613"/>
      <c r="AL412" s="613"/>
      <c r="AM412" s="613"/>
      <c r="AN412" s="613"/>
      <c r="AO412" s="613"/>
      <c r="AP412" s="613"/>
      <c r="AQ412" s="613"/>
      <c r="AR412" s="496"/>
      <c r="AS412" s="496"/>
      <c r="AT412" s="496"/>
      <c r="AU412" s="496"/>
      <c r="AV412" s="496"/>
      <c r="AW412" s="496"/>
      <c r="AX412" s="496"/>
      <c r="AY412" s="496"/>
      <c r="AZ412" s="496"/>
      <c r="BA412" s="496"/>
    </row>
    <row r="413" spans="2:57">
      <c r="B413" s="613"/>
      <c r="C413" s="613"/>
      <c r="D413" s="613"/>
      <c r="E413" s="613"/>
      <c r="F413" s="613"/>
      <c r="G413" s="613"/>
      <c r="H413" s="613"/>
      <c r="I413" s="643"/>
      <c r="J413" s="641"/>
      <c r="K413" s="641"/>
      <c r="L413" s="644"/>
      <c r="M413" s="613"/>
      <c r="N413" s="613"/>
      <c r="O413" s="641"/>
      <c r="P413" s="591"/>
      <c r="Q413" s="591"/>
      <c r="R413" s="591"/>
      <c r="S413" s="591"/>
      <c r="T413" s="645"/>
      <c r="U413" s="645"/>
      <c r="V413" s="645"/>
      <c r="W413" s="645"/>
      <c r="X413" s="645"/>
      <c r="Y413" s="645"/>
      <c r="Z413" s="645"/>
      <c r="AA413" s="645"/>
      <c r="AB413" s="645"/>
      <c r="AC413" s="591"/>
      <c r="AD413" s="591"/>
      <c r="AE413" s="591"/>
      <c r="AF413" s="591"/>
      <c r="AG413" s="591"/>
      <c r="AH413" s="591"/>
      <c r="AI413" s="591"/>
      <c r="AJ413" s="591"/>
      <c r="AK413" s="591"/>
      <c r="AL413" s="591"/>
      <c r="AM413" s="591"/>
      <c r="AN413" s="591"/>
      <c r="AO413" s="591"/>
      <c r="AP413" s="591"/>
      <c r="AQ413" s="591"/>
      <c r="AR413" s="591"/>
    </row>
    <row r="414" spans="2:57">
      <c r="B414" s="619" t="s">
        <v>561</v>
      </c>
      <c r="C414" s="619"/>
      <c r="D414" s="591"/>
      <c r="E414" s="591"/>
      <c r="F414" s="591"/>
      <c r="G414" s="591"/>
      <c r="H414" s="591"/>
      <c r="I414" s="591"/>
      <c r="J414" s="646"/>
      <c r="K414" s="646"/>
      <c r="L414" s="647"/>
      <c r="M414" s="591"/>
      <c r="N414" s="613"/>
      <c r="O414" s="646"/>
      <c r="P414" s="616"/>
      <c r="Q414" s="616"/>
      <c r="R414" s="616"/>
      <c r="S414" s="616"/>
      <c r="T414" s="616"/>
      <c r="U414" s="616"/>
      <c r="V414" s="616"/>
      <c r="W414" s="616"/>
      <c r="X414" s="616"/>
      <c r="Y414" s="616"/>
      <c r="Z414" s="616"/>
      <c r="AA414" s="616"/>
      <c r="AB414" s="613"/>
      <c r="AC414" s="613"/>
      <c r="AD414" s="613"/>
      <c r="AE414" s="613"/>
      <c r="AF414" s="613"/>
      <c r="AG414" s="613"/>
      <c r="AH414" s="613"/>
      <c r="AI414" s="613"/>
      <c r="AJ414" s="613"/>
      <c r="AK414" s="613"/>
      <c r="AL414" s="613"/>
      <c r="AM414" s="613"/>
      <c r="AN414" s="613"/>
      <c r="AO414" s="613"/>
      <c r="AP414" s="613"/>
      <c r="AQ414" s="613"/>
      <c r="AR414" s="613"/>
      <c r="AS414" s="613"/>
      <c r="AT414" s="613"/>
      <c r="AU414" s="613"/>
      <c r="BE414" s="613"/>
    </row>
    <row r="415" spans="2:57">
      <c r="B415" s="422">
        <v>1</v>
      </c>
      <c r="C415" s="1249" t="s">
        <v>3740</v>
      </c>
      <c r="D415" s="1249"/>
      <c r="E415" s="1249"/>
      <c r="F415" s="1249"/>
      <c r="G415" s="1249"/>
      <c r="H415" s="1249"/>
      <c r="I415" s="1249"/>
      <c r="J415" s="1249"/>
      <c r="K415" s="1249"/>
      <c r="L415" s="644"/>
      <c r="M415" s="644"/>
      <c r="N415" s="613"/>
      <c r="O415" s="641"/>
      <c r="P415" s="616"/>
      <c r="Q415" s="616"/>
      <c r="R415" s="616"/>
      <c r="S415" s="616"/>
      <c r="T415" s="616"/>
      <c r="U415" s="616"/>
      <c r="V415" s="616"/>
      <c r="W415" s="616"/>
      <c r="X415" s="616"/>
      <c r="Y415" s="616"/>
      <c r="Z415" s="616"/>
      <c r="AA415" s="616"/>
      <c r="AB415" s="613"/>
      <c r="AC415" s="613"/>
      <c r="AD415" s="613"/>
      <c r="AE415" s="613"/>
      <c r="AF415" s="613"/>
      <c r="AG415" s="613"/>
      <c r="AH415" s="613"/>
      <c r="AI415" s="613"/>
      <c r="AJ415" s="613"/>
      <c r="AK415" s="613"/>
      <c r="AL415" s="613"/>
      <c r="AM415" s="613"/>
      <c r="AN415" s="613"/>
      <c r="AO415" s="613"/>
      <c r="AP415" s="613"/>
      <c r="AQ415" s="613"/>
      <c r="AR415" s="613"/>
      <c r="AS415" s="613"/>
      <c r="AT415" s="613"/>
      <c r="AU415" s="613"/>
      <c r="AV415" s="613"/>
      <c r="AW415" s="613"/>
      <c r="AX415" s="613"/>
      <c r="AY415" s="613"/>
      <c r="AZ415" s="613"/>
      <c r="BA415" s="613"/>
      <c r="BB415" s="613"/>
      <c r="BC415" s="613"/>
      <c r="BD415" s="613"/>
      <c r="BE415" s="613"/>
    </row>
    <row r="417" spans="2:57">
      <c r="B417" s="28" t="s">
        <v>126</v>
      </c>
      <c r="C417" s="28"/>
      <c r="D417" s="614"/>
      <c r="E417" s="30" t="s">
        <v>511</v>
      </c>
      <c r="F417" s="31" t="s">
        <v>3156</v>
      </c>
      <c r="G417" s="591"/>
      <c r="H417" s="33"/>
      <c r="I417" s="615"/>
      <c r="J417" s="35" t="s">
        <v>513</v>
      </c>
      <c r="K417" s="36" t="s">
        <v>511</v>
      </c>
      <c r="L417" s="516">
        <v>45257.677083333336</v>
      </c>
      <c r="M417" s="591"/>
      <c r="N417" s="591"/>
      <c r="O417" s="206"/>
      <c r="P417" s="205"/>
      <c r="Q417" s="616"/>
      <c r="R417" s="204"/>
      <c r="S417" s="617"/>
      <c r="T417" s="613"/>
      <c r="U417" s="613"/>
      <c r="V417" s="613"/>
      <c r="W417" s="613"/>
      <c r="X417" s="613"/>
      <c r="Y417" s="613"/>
      <c r="Z417" s="613"/>
      <c r="AA417" s="613"/>
      <c r="AB417" s="616"/>
      <c r="AC417" s="616"/>
      <c r="AD417" s="616"/>
      <c r="AE417" s="616"/>
      <c r="AF417" s="616"/>
      <c r="AG417" s="613"/>
      <c r="AH417" s="613"/>
      <c r="AI417" s="613"/>
      <c r="AJ417" s="613"/>
      <c r="AK417" s="613"/>
      <c r="AL417" s="613"/>
      <c r="AM417" s="613"/>
      <c r="AN417" s="613"/>
      <c r="AO417" s="613"/>
      <c r="AP417" s="613"/>
      <c r="AQ417" s="613"/>
      <c r="AR417" s="613"/>
      <c r="AS417" s="613"/>
      <c r="AT417" s="613"/>
      <c r="AU417" s="613"/>
      <c r="AV417" s="613"/>
      <c r="AW417" s="613"/>
      <c r="AX417" s="613"/>
      <c r="AY417" s="613"/>
      <c r="AZ417" s="613"/>
      <c r="BA417" s="613"/>
      <c r="BB417" s="613"/>
      <c r="BC417" s="613"/>
      <c r="BD417" s="613"/>
      <c r="BE417" s="613"/>
    </row>
    <row r="418" spans="2:57">
      <c r="B418" s="35" t="s">
        <v>514</v>
      </c>
      <c r="C418" s="35"/>
      <c r="D418" s="591"/>
      <c r="E418" s="36" t="s">
        <v>511</v>
      </c>
      <c r="F418" s="311" t="s">
        <v>3741</v>
      </c>
      <c r="G418" s="648" t="s">
        <v>647</v>
      </c>
      <c r="H418" s="33"/>
      <c r="I418" s="615"/>
      <c r="J418" s="35" t="s">
        <v>516</v>
      </c>
      <c r="K418" s="36" t="s">
        <v>511</v>
      </c>
      <c r="L418" s="516">
        <v>45260.03125</v>
      </c>
      <c r="M418" s="591"/>
      <c r="N418" s="591"/>
      <c r="O418" s="206"/>
      <c r="P418" s="205"/>
      <c r="Q418" s="616"/>
      <c r="R418" s="204"/>
      <c r="S418" s="617"/>
      <c r="T418" s="613"/>
      <c r="U418" s="613"/>
      <c r="V418" s="613"/>
      <c r="W418" s="613"/>
      <c r="X418" s="613"/>
      <c r="Y418" s="613"/>
      <c r="Z418" s="613"/>
      <c r="AA418" s="613"/>
      <c r="AB418" s="616"/>
      <c r="AC418" s="616"/>
      <c r="AD418" s="616"/>
      <c r="AE418" s="616"/>
      <c r="AF418" s="616"/>
      <c r="AG418" s="613"/>
      <c r="AH418" s="613"/>
      <c r="AI418" s="613"/>
      <c r="AJ418" s="613"/>
      <c r="AK418" s="613"/>
      <c r="AL418" s="613"/>
      <c r="AM418" s="613"/>
      <c r="AN418" s="613"/>
      <c r="AO418" s="613"/>
      <c r="AP418" s="613"/>
      <c r="AQ418" s="613"/>
      <c r="AR418" s="613"/>
      <c r="AS418" s="613"/>
      <c r="AT418" s="613"/>
      <c r="AU418" s="613"/>
      <c r="AV418" s="613"/>
      <c r="AW418" s="613"/>
      <c r="AX418" s="613"/>
      <c r="AY418" s="613"/>
      <c r="AZ418" s="613"/>
      <c r="BA418" s="613"/>
      <c r="BB418" s="613"/>
      <c r="BC418" s="613"/>
      <c r="BD418" s="613"/>
      <c r="BE418" s="613"/>
    </row>
    <row r="419" spans="2:57">
      <c r="B419" s="35" t="s">
        <v>517</v>
      </c>
      <c r="C419" s="35"/>
      <c r="D419" s="591"/>
      <c r="E419" s="36" t="s">
        <v>511</v>
      </c>
      <c r="F419" s="37">
        <v>45252.01666666667</v>
      </c>
      <c r="G419" s="769">
        <v>45253</v>
      </c>
      <c r="H419" s="33"/>
      <c r="I419" s="615"/>
      <c r="J419" s="35" t="s">
        <v>518</v>
      </c>
      <c r="K419" s="36" t="s">
        <v>511</v>
      </c>
      <c r="L419" s="859">
        <v>67000</v>
      </c>
      <c r="M419" s="619" t="s">
        <v>519</v>
      </c>
      <c r="N419" s="619"/>
      <c r="O419" s="206"/>
      <c r="P419" s="205"/>
      <c r="Q419" s="616"/>
      <c r="R419" s="204"/>
      <c r="S419" s="617"/>
      <c r="T419" s="613"/>
      <c r="U419" s="613"/>
      <c r="V419" s="613"/>
      <c r="W419" s="613"/>
      <c r="X419" s="613"/>
      <c r="Y419" s="613"/>
      <c r="Z419" s="613"/>
      <c r="AA419" s="613"/>
      <c r="AB419" s="616"/>
      <c r="AC419" s="616"/>
      <c r="AD419" s="616"/>
      <c r="AE419" s="616"/>
      <c r="AF419" s="616"/>
      <c r="AG419" s="613"/>
      <c r="AH419" s="613"/>
      <c r="AI419" s="613"/>
      <c r="AJ419" s="613"/>
      <c r="AK419" s="613"/>
      <c r="AL419" s="613"/>
      <c r="AM419" s="613"/>
      <c r="AN419" s="613"/>
      <c r="AO419" s="613"/>
      <c r="AP419" s="613"/>
      <c r="AQ419" s="613"/>
      <c r="AR419" s="613"/>
      <c r="AS419" s="613"/>
      <c r="AT419" s="613"/>
      <c r="AU419" s="613"/>
      <c r="AV419" s="613"/>
      <c r="AW419" s="613"/>
      <c r="AX419" s="613"/>
      <c r="AY419" s="613"/>
      <c r="AZ419" s="613"/>
      <c r="BA419" s="613"/>
      <c r="BB419" s="613"/>
      <c r="BC419" s="613"/>
      <c r="BD419" s="613"/>
      <c r="BE419" s="613"/>
    </row>
    <row r="420" spans="2:57">
      <c r="B420" s="35" t="s">
        <v>520</v>
      </c>
      <c r="C420" s="35"/>
      <c r="D420" s="591"/>
      <c r="E420" s="36" t="s">
        <v>511</v>
      </c>
      <c r="F420" s="37" t="s">
        <v>4</v>
      </c>
      <c r="G420" s="591"/>
      <c r="H420" s="33"/>
      <c r="I420" s="615"/>
      <c r="J420" s="35" t="s">
        <v>521</v>
      </c>
      <c r="K420" s="36" t="s">
        <v>511</v>
      </c>
      <c r="L420" s="758" t="s">
        <v>3157</v>
      </c>
      <c r="M420" s="591"/>
      <c r="N420" s="591"/>
      <c r="O420" s="206"/>
      <c r="P420" s="616"/>
      <c r="Q420" s="616"/>
      <c r="R420" s="204"/>
      <c r="S420" s="617"/>
      <c r="T420" s="613"/>
      <c r="U420" s="613"/>
      <c r="V420" s="613"/>
      <c r="W420" s="613"/>
      <c r="X420" s="613"/>
      <c r="Y420" s="613"/>
      <c r="Z420" s="613"/>
      <c r="AA420" s="613"/>
      <c r="AB420" s="616"/>
      <c r="AC420" s="616"/>
      <c r="AD420" s="616"/>
      <c r="AE420" s="616"/>
      <c r="AF420" s="616"/>
      <c r="AG420" s="613"/>
      <c r="AH420" s="613"/>
      <c r="AI420" s="613"/>
      <c r="AJ420" s="613"/>
      <c r="AK420" s="613"/>
      <c r="AL420" s="613"/>
      <c r="AM420" s="613"/>
      <c r="AN420" s="613"/>
      <c r="AO420" s="613"/>
      <c r="AP420" s="613"/>
      <c r="AQ420" s="613"/>
      <c r="AR420" s="613"/>
      <c r="AS420" s="613"/>
      <c r="AT420" s="613"/>
      <c r="AU420" s="613"/>
      <c r="AV420" s="613"/>
      <c r="AW420" s="613"/>
      <c r="AX420" s="613"/>
      <c r="AY420" s="613"/>
      <c r="AZ420" s="613"/>
      <c r="BA420" s="613"/>
      <c r="BB420" s="613"/>
      <c r="BC420" s="613"/>
      <c r="BD420" s="613"/>
      <c r="BE420" s="613"/>
    </row>
    <row r="421" spans="2:57">
      <c r="B421" s="35" t="s">
        <v>523</v>
      </c>
      <c r="C421" s="35"/>
      <c r="D421" s="591"/>
      <c r="E421" s="36" t="s">
        <v>511</v>
      </c>
      <c r="F421" s="37" t="s">
        <v>5</v>
      </c>
      <c r="G421" s="591"/>
      <c r="H421" s="33"/>
      <c r="I421" s="615"/>
      <c r="J421" s="35" t="s">
        <v>524</v>
      </c>
      <c r="K421" s="36" t="s">
        <v>511</v>
      </c>
      <c r="L421" s="621" t="s">
        <v>15</v>
      </c>
      <c r="M421" s="611"/>
      <c r="N421" s="611"/>
      <c r="O421" s="206"/>
      <c r="P421" s="205"/>
      <c r="Q421" s="616"/>
      <c r="R421" s="204"/>
      <c r="S421" s="617"/>
      <c r="T421" s="613"/>
      <c r="U421" s="613"/>
      <c r="V421" s="613"/>
      <c r="W421" s="613"/>
      <c r="X421" s="613"/>
      <c r="Y421" s="613"/>
      <c r="Z421" s="613"/>
      <c r="AA421" s="613"/>
      <c r="AB421" s="616"/>
      <c r="AC421" s="616"/>
      <c r="AD421" s="616"/>
      <c r="AE421" s="616"/>
      <c r="AF421" s="616"/>
      <c r="AG421" s="613"/>
      <c r="AH421" s="613"/>
      <c r="AI421" s="613"/>
      <c r="AJ421" s="613"/>
      <c r="AK421" s="613"/>
      <c r="AL421" s="613"/>
      <c r="AM421" s="613"/>
      <c r="AN421" s="613"/>
      <c r="AO421" s="613"/>
      <c r="AP421" s="613"/>
      <c r="AQ421" s="613"/>
      <c r="AR421" s="613"/>
      <c r="AS421" s="613"/>
      <c r="AT421" s="613"/>
      <c r="AU421" s="613"/>
      <c r="AV421" s="613"/>
      <c r="AW421" s="613"/>
      <c r="AX421" s="613"/>
      <c r="AY421" s="613"/>
      <c r="AZ421" s="613"/>
      <c r="BA421" s="613"/>
      <c r="BB421" s="613"/>
      <c r="BC421" s="613"/>
      <c r="BD421" s="613"/>
      <c r="BE421" s="613"/>
    </row>
    <row r="422" spans="2:57">
      <c r="B422" s="35" t="s">
        <v>2</v>
      </c>
      <c r="C422" s="35"/>
      <c r="D422" s="591"/>
      <c r="E422" s="36" t="s">
        <v>511</v>
      </c>
      <c r="F422" s="37" t="s">
        <v>44</v>
      </c>
      <c r="G422" s="591"/>
      <c r="H422" s="33"/>
      <c r="I422" s="622"/>
      <c r="J422" s="35"/>
      <c r="K422" s="36"/>
      <c r="L422" s="211"/>
      <c r="M422" s="613"/>
      <c r="N422" s="613"/>
      <c r="O422" s="35"/>
      <c r="P422" s="611"/>
      <c r="Q422" s="611"/>
      <c r="R422" s="611"/>
      <c r="S422" s="615"/>
      <c r="T422" s="613"/>
      <c r="U422" s="613"/>
      <c r="V422" s="613"/>
      <c r="W422" s="613"/>
      <c r="X422" s="613"/>
      <c r="Y422" s="613"/>
      <c r="Z422" s="613"/>
      <c r="AA422" s="613"/>
      <c r="AB422" s="615"/>
      <c r="AC422" s="615"/>
      <c r="AD422" s="615"/>
      <c r="AE422" s="615"/>
      <c r="AF422" s="615"/>
      <c r="AG422" s="615"/>
      <c r="AH422" s="615"/>
      <c r="AI422" s="615"/>
      <c r="AJ422" s="615"/>
      <c r="AK422" s="615"/>
      <c r="AL422" s="615"/>
      <c r="AM422" s="615"/>
      <c r="AN422" s="615"/>
      <c r="AO422" s="613"/>
      <c r="AP422" s="613"/>
      <c r="AQ422" s="613"/>
      <c r="AR422" s="613"/>
      <c r="AS422" s="613"/>
      <c r="AT422" s="613"/>
      <c r="AU422" s="613"/>
      <c r="AV422" s="613"/>
      <c r="AW422" s="613"/>
      <c r="AX422" s="613"/>
      <c r="AY422" s="613"/>
      <c r="AZ422" s="613"/>
      <c r="BA422" s="613"/>
      <c r="BB422" s="613"/>
      <c r="BC422" s="613"/>
      <c r="BD422" s="613"/>
      <c r="BE422" s="613"/>
    </row>
    <row r="423" spans="2:57">
      <c r="B423" s="613"/>
      <c r="C423" s="613"/>
      <c r="D423" s="613"/>
      <c r="E423" s="613"/>
      <c r="F423" s="613"/>
      <c r="G423" s="613"/>
      <c r="H423" s="613"/>
      <c r="I423" s="622"/>
      <c r="J423" s="35"/>
      <c r="K423" s="35"/>
      <c r="L423" s="621"/>
      <c r="M423" s="611"/>
      <c r="N423" s="611"/>
      <c r="O423" s="35"/>
      <c r="P423" s="611"/>
      <c r="Q423" s="611"/>
      <c r="R423" s="611"/>
      <c r="S423" s="615"/>
      <c r="T423" s="1317" t="s">
        <v>87</v>
      </c>
      <c r="U423" s="1317"/>
      <c r="V423" s="1317"/>
      <c r="W423" s="1317"/>
      <c r="X423" s="1317"/>
      <c r="Y423" s="1317" t="s">
        <v>73</v>
      </c>
      <c r="Z423" s="1317"/>
      <c r="AA423" s="1317"/>
      <c r="AB423" s="1317" t="s">
        <v>74</v>
      </c>
      <c r="AC423" s="1317"/>
      <c r="AD423" s="623" t="s">
        <v>85</v>
      </c>
      <c r="AE423" s="854" t="s">
        <v>77</v>
      </c>
      <c r="AF423" s="1459" t="s">
        <v>525</v>
      </c>
      <c r="AG423" s="1459"/>
      <c r="AH423" s="1459"/>
      <c r="AI423" s="1459"/>
      <c r="AJ423" s="1459"/>
      <c r="AK423" s="1459"/>
      <c r="AL423" s="1459"/>
      <c r="AM423" s="1459"/>
      <c r="AN423" s="1459"/>
      <c r="AO423" s="1459"/>
      <c r="AP423" s="1459"/>
      <c r="AQ423" s="1459"/>
      <c r="AR423" s="1459"/>
      <c r="AS423" s="1459"/>
      <c r="AT423" s="1459"/>
      <c r="AU423" s="1459"/>
      <c r="AV423" s="1459"/>
      <c r="AW423" s="1459"/>
      <c r="AX423" s="1459"/>
      <c r="AY423" s="1459"/>
      <c r="AZ423" s="1459"/>
      <c r="BA423" s="1459"/>
      <c r="BB423" s="1459"/>
      <c r="BC423" s="1459"/>
      <c r="BD423" s="1459"/>
      <c r="BE423" s="613"/>
    </row>
    <row r="424" spans="2:57">
      <c r="B424" s="1318" t="s">
        <v>526</v>
      </c>
      <c r="C424" s="1319"/>
      <c r="D424" s="624" t="s">
        <v>527</v>
      </c>
      <c r="E424" s="624"/>
      <c r="F424" s="624" t="s">
        <v>528</v>
      </c>
      <c r="G424" s="624" t="s">
        <v>529</v>
      </c>
      <c r="H424" s="624" t="s">
        <v>530</v>
      </c>
      <c r="I424" s="624" t="s">
        <v>531</v>
      </c>
      <c r="J424" s="624" t="s">
        <v>532</v>
      </c>
      <c r="K424" s="624"/>
      <c r="L424" s="624" t="s">
        <v>130</v>
      </c>
      <c r="M424" s="624" t="s">
        <v>533</v>
      </c>
      <c r="N424" s="625" t="str">
        <f>"On time - "&amp;COUNTIF(N425:N449,"On time")&amp;" from "&amp;ROWS(N425:N449)-COUNTIF(N425:N449," ")</f>
        <v>On time - 1 from 10</v>
      </c>
      <c r="O424" s="626"/>
      <c r="P424" s="627" t="s">
        <v>534</v>
      </c>
      <c r="Q424" s="627" t="s">
        <v>535</v>
      </c>
      <c r="R424" s="627" t="s">
        <v>536</v>
      </c>
      <c r="S424" s="591"/>
      <c r="T424" s="628" t="s">
        <v>537</v>
      </c>
      <c r="U424" s="628" t="s">
        <v>538</v>
      </c>
      <c r="V424" s="628" t="s">
        <v>539</v>
      </c>
      <c r="W424" s="628" t="s">
        <v>540</v>
      </c>
      <c r="X424" s="628" t="s">
        <v>541</v>
      </c>
      <c r="Y424" s="628" t="s">
        <v>167</v>
      </c>
      <c r="Z424" s="628" t="s">
        <v>168</v>
      </c>
      <c r="AA424" s="628" t="s">
        <v>169</v>
      </c>
      <c r="AB424" s="628" t="s">
        <v>235</v>
      </c>
      <c r="AC424" s="628" t="s">
        <v>240</v>
      </c>
      <c r="AD424" s="623" t="s">
        <v>85</v>
      </c>
      <c r="AE424" s="628" t="s">
        <v>139</v>
      </c>
      <c r="AF424" s="855" t="s">
        <v>72</v>
      </c>
      <c r="AG424" s="855" t="s">
        <v>88</v>
      </c>
      <c r="AH424" s="855" t="s">
        <v>75</v>
      </c>
      <c r="AI424" s="855" t="s">
        <v>543</v>
      </c>
      <c r="AJ424" s="855" t="s">
        <v>78</v>
      </c>
      <c r="AK424" s="855" t="s">
        <v>76</v>
      </c>
      <c r="AL424" s="855" t="s">
        <v>544</v>
      </c>
      <c r="AM424" s="855" t="s">
        <v>545</v>
      </c>
      <c r="AN424" s="855" t="s">
        <v>86</v>
      </c>
      <c r="AO424" s="855" t="s">
        <v>83</v>
      </c>
      <c r="AP424" s="855" t="s">
        <v>84</v>
      </c>
      <c r="AQ424" s="855" t="s">
        <v>546</v>
      </c>
      <c r="AR424" s="855" t="s">
        <v>81</v>
      </c>
      <c r="AS424" s="855" t="s">
        <v>80</v>
      </c>
      <c r="AT424" s="855" t="s">
        <v>82</v>
      </c>
      <c r="AU424" s="855" t="s">
        <v>181</v>
      </c>
      <c r="AV424" s="855" t="s">
        <v>183</v>
      </c>
      <c r="AW424" s="855" t="s">
        <v>547</v>
      </c>
      <c r="AX424" s="855" t="s">
        <v>182</v>
      </c>
      <c r="AY424" s="855" t="s">
        <v>172</v>
      </c>
      <c r="AZ424" s="855" t="s">
        <v>173</v>
      </c>
      <c r="BA424" s="855" t="s">
        <v>184</v>
      </c>
      <c r="BB424" s="855" t="s">
        <v>100</v>
      </c>
      <c r="BC424" s="855" t="s">
        <v>913</v>
      </c>
      <c r="BD424" s="855" t="s">
        <v>2747</v>
      </c>
      <c r="BE424" s="613"/>
    </row>
    <row r="425" spans="2:57">
      <c r="B425" s="1326" t="s">
        <v>616</v>
      </c>
      <c r="C425" s="1327"/>
      <c r="D425" s="501" t="s">
        <v>3599</v>
      </c>
      <c r="E425" s="585"/>
      <c r="F425" s="501" t="s">
        <v>489</v>
      </c>
      <c r="G425" s="501" t="s">
        <v>483</v>
      </c>
      <c r="H425" s="629">
        <v>7531.1040000000003</v>
      </c>
      <c r="I425" s="584" t="s">
        <v>2335</v>
      </c>
      <c r="J425" s="504">
        <v>45253.965277777781</v>
      </c>
      <c r="K425" s="574"/>
      <c r="L425" s="504" t="s">
        <v>192</v>
      </c>
      <c r="M425" s="504" t="s">
        <v>192</v>
      </c>
      <c r="N425" s="505" t="str">
        <f t="shared" ref="N425:N449" si="41">IF(ISBLANK(J425)," ",IF(J425&lt;$G$419,"On time",(IF(DAY(J425-$G$419)&lt;1,"On time",(IF(J425&gt;$G$419,"DELAY ( "&amp;DAY(J425-$G$419)&amp;" day "&amp;HOUR(J425-$G$419)&amp;" hour "&amp;MINUTE(J425-$G$419)&amp;" minute )","xxx"))))))</f>
        <v>On time</v>
      </c>
      <c r="O425" s="597"/>
      <c r="P425" s="507" t="s">
        <v>551</v>
      </c>
      <c r="Q425" s="507" t="s">
        <v>551</v>
      </c>
      <c r="R425" s="507" t="s">
        <v>551</v>
      </c>
      <c r="S425" s="598"/>
      <c r="T425" s="599"/>
      <c r="U425" s="599"/>
      <c r="V425" s="599"/>
      <c r="W425" s="599"/>
      <c r="X425" s="599">
        <f>H425</f>
        <v>7531.1040000000003</v>
      </c>
      <c r="Y425" s="599"/>
      <c r="Z425" s="599"/>
      <c r="AA425" s="599"/>
      <c r="AB425" s="599"/>
      <c r="AC425" s="599"/>
      <c r="AD425" s="599"/>
      <c r="AE425" s="599"/>
      <c r="AF425" s="599"/>
      <c r="AG425" s="599"/>
      <c r="AH425" s="599"/>
      <c r="AI425" s="599"/>
      <c r="AJ425" s="599"/>
      <c r="AK425" s="599"/>
      <c r="AL425" s="599"/>
      <c r="AM425" s="599"/>
      <c r="AN425" s="599"/>
      <c r="AO425" s="599"/>
      <c r="AP425" s="599"/>
      <c r="AQ425" s="599"/>
      <c r="AR425" s="599"/>
      <c r="AS425" s="599"/>
      <c r="AT425" s="599"/>
      <c r="AU425" s="599"/>
      <c r="AV425" s="599"/>
      <c r="AW425" s="599"/>
      <c r="AX425" s="599"/>
      <c r="AY425" s="599"/>
      <c r="AZ425" s="599"/>
      <c r="BA425" s="599"/>
      <c r="BB425" s="599"/>
      <c r="BC425" s="599"/>
      <c r="BD425" s="599"/>
      <c r="BE425" s="598"/>
    </row>
    <row r="426" spans="2:57">
      <c r="B426" s="1326" t="s">
        <v>668</v>
      </c>
      <c r="C426" s="1327"/>
      <c r="D426" s="501" t="s">
        <v>3605</v>
      </c>
      <c r="E426" s="585"/>
      <c r="F426" s="501" t="s">
        <v>70</v>
      </c>
      <c r="G426" s="501" t="s">
        <v>1982</v>
      </c>
      <c r="H426" s="503">
        <v>7319.5739999999996</v>
      </c>
      <c r="I426" s="584" t="s">
        <v>85</v>
      </c>
      <c r="J426" s="504">
        <v>45257.041666666664</v>
      </c>
      <c r="K426" s="504"/>
      <c r="L426" s="504" t="s">
        <v>192</v>
      </c>
      <c r="M426" s="504" t="s">
        <v>192</v>
      </c>
      <c r="N426" s="505" t="str">
        <f t="shared" si="41"/>
        <v>DELAY ( 4 day 1 hour 0 minute )</v>
      </c>
      <c r="O426" s="597"/>
      <c r="P426" s="507" t="s">
        <v>551</v>
      </c>
      <c r="Q426" s="507" t="s">
        <v>551</v>
      </c>
      <c r="R426" s="507" t="s">
        <v>551</v>
      </c>
      <c r="S426" s="598"/>
      <c r="T426" s="599"/>
      <c r="U426" s="599"/>
      <c r="V426" s="599"/>
      <c r="W426" s="599"/>
      <c r="X426" s="599"/>
      <c r="Y426" s="599"/>
      <c r="Z426" s="599"/>
      <c r="AA426" s="599"/>
      <c r="AB426" s="599"/>
      <c r="AC426" s="599"/>
      <c r="AD426" s="508">
        <f>H426</f>
        <v>7319.5739999999996</v>
      </c>
      <c r="AE426" s="599"/>
      <c r="AF426" s="599"/>
      <c r="AG426" s="599"/>
      <c r="AH426" s="599"/>
      <c r="AI426" s="599"/>
      <c r="AJ426" s="599"/>
      <c r="AK426" s="599"/>
      <c r="AL426" s="599"/>
      <c r="AM426" s="599"/>
      <c r="AN426" s="599"/>
      <c r="AO426" s="599"/>
      <c r="AP426" s="599"/>
      <c r="AQ426" s="599"/>
      <c r="AR426" s="599"/>
      <c r="AS426" s="599"/>
      <c r="AT426" s="599"/>
      <c r="AU426" s="599"/>
      <c r="AV426" s="599"/>
      <c r="AW426" s="599"/>
      <c r="AX426" s="598"/>
      <c r="AY426" s="599"/>
      <c r="AZ426" s="599"/>
      <c r="BA426" s="599"/>
      <c r="BB426" s="599"/>
      <c r="BC426" s="599"/>
      <c r="BD426" s="599"/>
      <c r="BE426" s="598"/>
    </row>
    <row r="427" spans="2:57">
      <c r="B427" s="1351" t="s">
        <v>1721</v>
      </c>
      <c r="C427" s="1352"/>
      <c r="D427" s="1352"/>
      <c r="E427" s="1352"/>
      <c r="F427" s="1352"/>
      <c r="G427" s="1353"/>
      <c r="H427" s="702">
        <f>SUM(H425:H426)</f>
        <v>14850.678</v>
      </c>
      <c r="I427" s="703"/>
      <c r="J427" s="704"/>
      <c r="K427" s="704"/>
      <c r="L427" s="704"/>
      <c r="M427" s="705"/>
      <c r="N427" s="505" t="str">
        <f t="shared" si="41"/>
        <v xml:space="preserve"> </v>
      </c>
      <c r="O427" s="552"/>
      <c r="P427" s="706"/>
      <c r="Q427" s="706"/>
      <c r="R427" s="706"/>
      <c r="S427" s="598"/>
      <c r="T427" s="599"/>
      <c r="U427" s="599"/>
      <c r="V427" s="599"/>
      <c r="W427" s="599"/>
      <c r="X427" s="599"/>
      <c r="Y427" s="599"/>
      <c r="Z427" s="599"/>
      <c r="AA427" s="599"/>
      <c r="AB427" s="599"/>
      <c r="AC427" s="599"/>
      <c r="AD427" s="599"/>
      <c r="AE427" s="599"/>
      <c r="AF427" s="599"/>
      <c r="AG427" s="599"/>
      <c r="AH427" s="599"/>
      <c r="AI427" s="599"/>
      <c r="AJ427" s="599"/>
      <c r="AK427" s="599"/>
      <c r="AL427" s="599"/>
      <c r="AM427" s="599"/>
      <c r="AN427" s="599"/>
      <c r="AO427" s="599"/>
      <c r="AP427" s="598"/>
      <c r="AQ427" s="599"/>
      <c r="AR427" s="599"/>
      <c r="AS427" s="599"/>
      <c r="AT427" s="599"/>
      <c r="AU427" s="599"/>
      <c r="AV427" s="599"/>
      <c r="AW427" s="599"/>
      <c r="AX427" s="599"/>
      <c r="AY427" s="599"/>
      <c r="AZ427" s="599"/>
      <c r="BA427" s="599"/>
      <c r="BB427" s="599"/>
      <c r="BC427" s="599"/>
      <c r="BD427" s="599"/>
      <c r="BE427" s="598"/>
    </row>
    <row r="428" spans="2:57">
      <c r="B428" s="1326" t="s">
        <v>619</v>
      </c>
      <c r="C428" s="1327"/>
      <c r="D428" s="501" t="s">
        <v>3539</v>
      </c>
      <c r="E428" s="501"/>
      <c r="F428" s="501" t="s">
        <v>2207</v>
      </c>
      <c r="G428" s="501" t="s">
        <v>2208</v>
      </c>
      <c r="H428" s="629">
        <f>869.573</f>
        <v>869.57299999999998</v>
      </c>
      <c r="I428" s="584" t="s">
        <v>418</v>
      </c>
      <c r="J428" s="504">
        <v>45256.770833333336</v>
      </c>
      <c r="K428" s="574"/>
      <c r="L428" s="504" t="s">
        <v>192</v>
      </c>
      <c r="M428" s="504" t="s">
        <v>192</v>
      </c>
      <c r="N428" s="505" t="str">
        <f t="shared" si="41"/>
        <v>DELAY ( 3 day 18 hour 30 minute )</v>
      </c>
      <c r="O428" s="597"/>
      <c r="P428" s="507" t="s">
        <v>551</v>
      </c>
      <c r="Q428" s="507" t="s">
        <v>551</v>
      </c>
      <c r="R428" s="507" t="s">
        <v>551</v>
      </c>
      <c r="S428" s="598"/>
      <c r="T428" s="599"/>
      <c r="U428" s="599"/>
      <c r="V428" s="599"/>
      <c r="W428" s="599"/>
      <c r="X428" s="599"/>
      <c r="Y428" s="599"/>
      <c r="Z428" s="599"/>
      <c r="AA428" s="599"/>
      <c r="AB428" s="508">
        <f>(H428*0.65)</f>
        <v>565.22244999999998</v>
      </c>
      <c r="AC428" s="508">
        <f>(H428*0.35)</f>
        <v>304.35055</v>
      </c>
      <c r="AD428" s="599"/>
      <c r="AE428" s="599"/>
      <c r="AF428" s="599"/>
      <c r="AG428" s="599"/>
      <c r="AH428" s="599"/>
      <c r="AI428" s="599"/>
      <c r="AJ428" s="599"/>
      <c r="AK428" s="599"/>
      <c r="AL428" s="599"/>
      <c r="AM428" s="599"/>
      <c r="AN428" s="599"/>
      <c r="AO428" s="599"/>
      <c r="AP428" s="599"/>
      <c r="AQ428" s="599"/>
      <c r="AR428" s="599"/>
      <c r="AS428" s="599"/>
      <c r="AT428" s="599"/>
      <c r="AU428" s="599"/>
      <c r="AV428" s="599"/>
      <c r="AW428" s="599"/>
      <c r="AX428" s="599"/>
      <c r="AY428" s="599"/>
      <c r="AZ428" s="599"/>
      <c r="BA428" s="599"/>
      <c r="BB428" s="599"/>
      <c r="BC428" s="599"/>
      <c r="BD428" s="599"/>
      <c r="BE428" s="598"/>
    </row>
    <row r="429" spans="2:57">
      <c r="B429" s="1328"/>
      <c r="C429" s="1329"/>
      <c r="D429" s="501"/>
      <c r="E429" s="501"/>
      <c r="F429" s="1315" t="s">
        <v>616</v>
      </c>
      <c r="G429" s="1316"/>
      <c r="H429" s="629">
        <v>1000</v>
      </c>
      <c r="I429" s="584"/>
      <c r="J429" s="504"/>
      <c r="K429" s="574"/>
      <c r="L429" s="504"/>
      <c r="M429" s="504"/>
      <c r="N429" s="505" t="str">
        <f t="shared" si="41"/>
        <v xml:space="preserve"> </v>
      </c>
      <c r="O429" s="597"/>
      <c r="P429" s="507"/>
      <c r="Q429" s="507"/>
      <c r="R429" s="507"/>
      <c r="S429" s="598"/>
      <c r="T429" s="599"/>
      <c r="U429" s="599"/>
      <c r="V429" s="599"/>
      <c r="W429" s="599"/>
      <c r="X429" s="599"/>
      <c r="Y429" s="599"/>
      <c r="Z429" s="599"/>
      <c r="AA429" s="599"/>
      <c r="AB429" s="508"/>
      <c r="AC429" s="821"/>
      <c r="AD429" s="599"/>
      <c r="AE429" s="599"/>
      <c r="AF429" s="599"/>
      <c r="AG429" s="599"/>
      <c r="AH429" s="599"/>
      <c r="AI429" s="599"/>
      <c r="AJ429" s="599"/>
      <c r="AK429" s="599"/>
      <c r="AL429" s="599"/>
      <c r="AM429" s="599"/>
      <c r="AN429" s="599"/>
      <c r="AO429" s="599"/>
      <c r="AP429" s="599"/>
      <c r="AQ429" s="599"/>
      <c r="AR429" s="599"/>
      <c r="AS429" s="599"/>
      <c r="AT429" s="599"/>
      <c r="AU429" s="599"/>
      <c r="AV429" s="599"/>
      <c r="AW429" s="599"/>
      <c r="AX429" s="599"/>
      <c r="AY429" s="599"/>
      <c r="AZ429" s="599"/>
      <c r="BA429" s="599"/>
      <c r="BB429" s="599"/>
      <c r="BC429" s="599"/>
      <c r="BD429" s="599"/>
      <c r="BE429" s="598"/>
    </row>
    <row r="430" spans="2:57">
      <c r="B430" s="1326" t="s">
        <v>621</v>
      </c>
      <c r="C430" s="1327"/>
      <c r="D430" s="501" t="s">
        <v>3548</v>
      </c>
      <c r="E430" s="501"/>
      <c r="F430" s="501" t="s">
        <v>343</v>
      </c>
      <c r="G430" s="501" t="s">
        <v>344</v>
      </c>
      <c r="H430" s="503">
        <v>7515.5959999999995</v>
      </c>
      <c r="I430" s="584" t="s">
        <v>235</v>
      </c>
      <c r="J430" s="504">
        <v>45254.708333333336</v>
      </c>
      <c r="K430" s="574"/>
      <c r="L430" s="504" t="s">
        <v>192</v>
      </c>
      <c r="M430" s="504" t="s">
        <v>192</v>
      </c>
      <c r="N430" s="505" t="str">
        <f t="shared" si="41"/>
        <v>DELAY ( 1 day 17 hour 0 minute )</v>
      </c>
      <c r="O430" s="597"/>
      <c r="P430" s="507" t="s">
        <v>551</v>
      </c>
      <c r="Q430" s="507" t="s">
        <v>551</v>
      </c>
      <c r="R430" s="507" t="s">
        <v>551</v>
      </c>
      <c r="S430" s="598"/>
      <c r="T430" s="599"/>
      <c r="U430" s="599"/>
      <c r="V430" s="599"/>
      <c r="W430" s="599"/>
      <c r="X430" s="599"/>
      <c r="Y430" s="599"/>
      <c r="Z430" s="599"/>
      <c r="AA430" s="599"/>
      <c r="AB430" s="508">
        <f>H430</f>
        <v>7515.5959999999995</v>
      </c>
      <c r="AC430" s="598"/>
      <c r="AD430" s="599"/>
      <c r="AE430" s="599"/>
      <c r="AF430" s="599"/>
      <c r="AG430" s="599"/>
      <c r="AH430" s="599"/>
      <c r="AI430" s="599"/>
      <c r="AJ430" s="599"/>
      <c r="AK430" s="599"/>
      <c r="AL430" s="599"/>
      <c r="AM430" s="599"/>
      <c r="AN430" s="599"/>
      <c r="AO430" s="599"/>
      <c r="AP430" s="599"/>
      <c r="AQ430" s="599"/>
      <c r="AR430" s="599"/>
      <c r="AS430" s="599"/>
      <c r="AT430" s="599"/>
      <c r="AU430" s="599"/>
      <c r="AV430" s="599"/>
      <c r="AW430" s="599"/>
      <c r="AX430" s="599"/>
      <c r="AY430" s="599"/>
      <c r="AZ430" s="599"/>
      <c r="BA430" s="599"/>
      <c r="BB430" s="599"/>
      <c r="BC430" s="599"/>
      <c r="BD430" s="599"/>
      <c r="BE430" s="598"/>
    </row>
    <row r="431" spans="2:57">
      <c r="B431" s="1421"/>
      <c r="C431" s="1422"/>
      <c r="D431" s="501"/>
      <c r="E431" s="501"/>
      <c r="F431" s="1315" t="s">
        <v>668</v>
      </c>
      <c r="G431" s="1316"/>
      <c r="H431" s="629">
        <v>1000</v>
      </c>
      <c r="I431" s="584"/>
      <c r="J431" s="504"/>
      <c r="K431" s="574"/>
      <c r="L431" s="504"/>
      <c r="M431" s="504"/>
      <c r="N431" s="505" t="str">
        <f t="shared" si="41"/>
        <v xml:space="preserve"> </v>
      </c>
      <c r="O431" s="597"/>
      <c r="P431" s="507"/>
      <c r="Q431" s="507"/>
      <c r="R431" s="507"/>
      <c r="S431" s="598"/>
      <c r="T431" s="599"/>
      <c r="U431" s="599"/>
      <c r="V431" s="599"/>
      <c r="W431" s="599"/>
      <c r="X431" s="599"/>
      <c r="Y431" s="599"/>
      <c r="Z431" s="599"/>
      <c r="AA431" s="599"/>
      <c r="AB431" s="508"/>
      <c r="AC431" s="821"/>
      <c r="AD431" s="599"/>
      <c r="AE431" s="599"/>
      <c r="AF431" s="599"/>
      <c r="AG431" s="599"/>
      <c r="AH431" s="599"/>
      <c r="AI431" s="599"/>
      <c r="AJ431" s="599"/>
      <c r="AK431" s="599"/>
      <c r="AL431" s="599"/>
      <c r="AM431" s="599"/>
      <c r="AN431" s="599"/>
      <c r="AO431" s="599"/>
      <c r="AP431" s="599"/>
      <c r="AQ431" s="599"/>
      <c r="AR431" s="599"/>
      <c r="AS431" s="599"/>
      <c r="AT431" s="599"/>
      <c r="AU431" s="599"/>
      <c r="AV431" s="599"/>
      <c r="AW431" s="599"/>
      <c r="AX431" s="599"/>
      <c r="AY431" s="599"/>
      <c r="AZ431" s="599"/>
      <c r="BA431" s="599"/>
      <c r="BB431" s="599"/>
      <c r="BC431" s="599"/>
      <c r="BD431" s="599"/>
      <c r="BE431" s="598"/>
    </row>
    <row r="432" spans="2:57">
      <c r="B432" s="1328"/>
      <c r="C432" s="1329"/>
      <c r="D432" s="501"/>
      <c r="E432" s="501"/>
      <c r="F432" s="1315" t="s">
        <v>616</v>
      </c>
      <c r="G432" s="1316"/>
      <c r="H432" s="629">
        <v>4000</v>
      </c>
      <c r="I432" s="584"/>
      <c r="J432" s="504"/>
      <c r="K432" s="574"/>
      <c r="L432" s="504"/>
      <c r="M432" s="504"/>
      <c r="N432" s="505" t="str">
        <f t="shared" si="41"/>
        <v xml:space="preserve"> </v>
      </c>
      <c r="O432" s="597"/>
      <c r="P432" s="507"/>
      <c r="Q432" s="507"/>
      <c r="R432" s="507"/>
      <c r="S432" s="598"/>
      <c r="T432" s="599"/>
      <c r="U432" s="599"/>
      <c r="V432" s="599"/>
      <c r="W432" s="599"/>
      <c r="X432" s="599"/>
      <c r="Y432" s="599"/>
      <c r="Z432" s="599"/>
      <c r="AA432" s="599"/>
      <c r="AB432" s="508"/>
      <c r="AC432" s="821"/>
      <c r="AD432" s="599"/>
      <c r="AE432" s="599"/>
      <c r="AF432" s="599"/>
      <c r="AG432" s="599"/>
      <c r="AH432" s="599"/>
      <c r="AI432" s="599"/>
      <c r="AJ432" s="599"/>
      <c r="AK432" s="599"/>
      <c r="AL432" s="599"/>
      <c r="AM432" s="599"/>
      <c r="AN432" s="599"/>
      <c r="AO432" s="599"/>
      <c r="AP432" s="599"/>
      <c r="AQ432" s="599"/>
      <c r="AR432" s="599"/>
      <c r="AS432" s="599"/>
      <c r="AT432" s="599"/>
      <c r="AU432" s="599"/>
      <c r="AV432" s="599"/>
      <c r="AW432" s="599"/>
      <c r="AX432" s="599"/>
      <c r="AY432" s="599"/>
      <c r="AZ432" s="599"/>
      <c r="BA432" s="599"/>
      <c r="BB432" s="599"/>
      <c r="BC432" s="599"/>
      <c r="BD432" s="599"/>
      <c r="BE432" s="598"/>
    </row>
    <row r="433" spans="2:57">
      <c r="B433" s="1296" t="s">
        <v>622</v>
      </c>
      <c r="C433" s="1297"/>
      <c r="D433" s="436" t="s">
        <v>3552</v>
      </c>
      <c r="E433" s="436"/>
      <c r="F433" s="436" t="s">
        <v>377</v>
      </c>
      <c r="G433" s="436" t="s">
        <v>378</v>
      </c>
      <c r="H433" s="630">
        <v>7904.0860000000002</v>
      </c>
      <c r="I433" s="906" t="s">
        <v>240</v>
      </c>
      <c r="J433" s="439">
        <v>45254.763888888891</v>
      </c>
      <c r="K433" s="439"/>
      <c r="L433" s="504" t="s">
        <v>192</v>
      </c>
      <c r="M433" s="504" t="s">
        <v>192</v>
      </c>
      <c r="N433" s="505" t="str">
        <f t="shared" si="41"/>
        <v>DELAY ( 1 day 18 hour 20 minute )</v>
      </c>
      <c r="O433" s="631"/>
      <c r="P433" s="440" t="s">
        <v>551</v>
      </c>
      <c r="Q433" s="440" t="s">
        <v>551</v>
      </c>
      <c r="R433" s="440" t="s">
        <v>551</v>
      </c>
      <c r="S433" s="613"/>
      <c r="T433" s="632"/>
      <c r="U433" s="632"/>
      <c r="V433" s="632"/>
      <c r="W433" s="632"/>
      <c r="X433" s="632"/>
      <c r="Y433" s="632"/>
      <c r="Z433" s="632"/>
      <c r="AA433" s="632"/>
      <c r="AB433" s="632"/>
      <c r="AC433" s="632">
        <f>H433</f>
        <v>7904.0860000000002</v>
      </c>
      <c r="AD433" s="632"/>
      <c r="AE433" s="632"/>
      <c r="AF433" s="632"/>
      <c r="AG433" s="632"/>
      <c r="AH433" s="632"/>
      <c r="AI433" s="632"/>
      <c r="AJ433" s="632"/>
      <c r="AK433" s="613"/>
      <c r="AL433" s="632"/>
      <c r="AM433" s="632"/>
      <c r="AN433" s="632"/>
      <c r="AO433" s="632"/>
      <c r="AP433" s="632"/>
      <c r="AQ433" s="632"/>
      <c r="AR433" s="632"/>
      <c r="AS433" s="632"/>
      <c r="AT433" s="632"/>
      <c r="AU433" s="632"/>
      <c r="AV433" s="632"/>
      <c r="AW433" s="632"/>
      <c r="AX433" s="632"/>
      <c r="AY433" s="632"/>
      <c r="AZ433" s="632"/>
      <c r="BA433" s="632"/>
      <c r="BB433" s="632"/>
      <c r="BC433" s="632"/>
      <c r="BD433" s="632"/>
      <c r="BE433" s="613"/>
    </row>
    <row r="434" spans="2:57">
      <c r="B434" s="1298"/>
      <c r="C434" s="1299"/>
      <c r="D434" s="436"/>
      <c r="E434" s="436"/>
      <c r="F434" s="1294" t="s">
        <v>668</v>
      </c>
      <c r="G434" s="1295"/>
      <c r="H434" s="630">
        <v>1100</v>
      </c>
      <c r="I434" s="906"/>
      <c r="J434" s="439"/>
      <c r="K434" s="907"/>
      <c r="L434" s="439"/>
      <c r="M434" s="439"/>
      <c r="N434" s="505" t="str">
        <f t="shared" si="41"/>
        <v xml:space="preserve"> </v>
      </c>
      <c r="O434" s="631"/>
      <c r="P434" s="440"/>
      <c r="Q434" s="440"/>
      <c r="R434" s="440"/>
      <c r="S434" s="613"/>
      <c r="T434" s="632"/>
      <c r="U434" s="632"/>
      <c r="V434" s="632"/>
      <c r="W434" s="632"/>
      <c r="X434" s="632"/>
      <c r="Y434" s="632"/>
      <c r="Z434" s="632"/>
      <c r="AA434" s="632"/>
      <c r="AB434" s="441"/>
      <c r="AC434" s="822"/>
      <c r="AD434" s="632"/>
      <c r="AE434" s="632"/>
      <c r="AF434" s="632"/>
      <c r="AG434" s="632"/>
      <c r="AH434" s="632"/>
      <c r="AI434" s="632"/>
      <c r="AJ434" s="632"/>
      <c r="AK434" s="632"/>
      <c r="AL434" s="632"/>
      <c r="AM434" s="632"/>
      <c r="AN434" s="632"/>
      <c r="AO434" s="632"/>
      <c r="AP434" s="632"/>
      <c r="AQ434" s="632"/>
      <c r="AR434" s="632"/>
      <c r="AS434" s="632"/>
      <c r="AT434" s="632"/>
      <c r="AU434" s="632"/>
      <c r="AV434" s="632"/>
      <c r="AW434" s="632"/>
      <c r="AX434" s="632"/>
      <c r="AY434" s="632"/>
      <c r="AZ434" s="632"/>
      <c r="BA434" s="632"/>
      <c r="BB434" s="632"/>
      <c r="BC434" s="632"/>
      <c r="BD434" s="632"/>
      <c r="BE434" s="613"/>
    </row>
    <row r="435" spans="2:57">
      <c r="B435" s="1296" t="s">
        <v>623</v>
      </c>
      <c r="C435" s="1297"/>
      <c r="D435" s="436" t="s">
        <v>3553</v>
      </c>
      <c r="E435" s="436"/>
      <c r="F435" s="436" t="s">
        <v>201</v>
      </c>
      <c r="G435" s="436" t="s">
        <v>202</v>
      </c>
      <c r="H435" s="630">
        <v>7592.0739999999996</v>
      </c>
      <c r="I435" s="906" t="s">
        <v>240</v>
      </c>
      <c r="J435" s="439">
        <v>45254.947916666664</v>
      </c>
      <c r="K435" s="439"/>
      <c r="L435" s="504" t="s">
        <v>192</v>
      </c>
      <c r="M435" s="504" t="s">
        <v>192</v>
      </c>
      <c r="N435" s="505" t="str">
        <f t="shared" si="41"/>
        <v>DELAY ( 1 day 22 hour 45 minute )</v>
      </c>
      <c r="O435" s="631"/>
      <c r="P435" s="440" t="s">
        <v>551</v>
      </c>
      <c r="Q435" s="440" t="s">
        <v>551</v>
      </c>
      <c r="R435" s="440" t="s">
        <v>551</v>
      </c>
      <c r="S435" s="613"/>
      <c r="T435" s="632"/>
      <c r="U435" s="632"/>
      <c r="V435" s="632"/>
      <c r="W435" s="632"/>
      <c r="X435" s="632"/>
      <c r="Y435" s="632"/>
      <c r="Z435" s="632"/>
      <c r="AA435" s="632"/>
      <c r="AB435" s="632"/>
      <c r="AC435" s="632">
        <f>H435</f>
        <v>7592.0739999999996</v>
      </c>
      <c r="AD435" s="632"/>
      <c r="AE435" s="632"/>
      <c r="AF435" s="632"/>
      <c r="AG435" s="632"/>
      <c r="AH435" s="632"/>
      <c r="AI435" s="632"/>
      <c r="AJ435" s="632"/>
      <c r="AK435" s="632"/>
      <c r="AL435" s="632"/>
      <c r="AM435" s="632"/>
      <c r="AN435" s="632"/>
      <c r="AO435" s="632"/>
      <c r="AP435" s="613"/>
      <c r="AQ435" s="632"/>
      <c r="AR435" s="632"/>
      <c r="AS435" s="632"/>
      <c r="AT435" s="632"/>
      <c r="AU435" s="632"/>
      <c r="AV435" s="632"/>
      <c r="AW435" s="632"/>
      <c r="AX435" s="632"/>
      <c r="AY435" s="632"/>
      <c r="AZ435" s="632"/>
      <c r="BA435" s="632"/>
      <c r="BB435" s="632"/>
      <c r="BC435" s="632"/>
      <c r="BD435" s="632"/>
      <c r="BE435" s="613"/>
    </row>
    <row r="436" spans="2:57">
      <c r="B436" s="1298"/>
      <c r="C436" s="1299"/>
      <c r="D436" s="436"/>
      <c r="E436" s="436"/>
      <c r="F436" s="1294" t="s">
        <v>668</v>
      </c>
      <c r="G436" s="1295"/>
      <c r="H436" s="630">
        <v>1500</v>
      </c>
      <c r="I436" s="906"/>
      <c r="J436" s="439"/>
      <c r="K436" s="907"/>
      <c r="L436" s="439"/>
      <c r="M436" s="439"/>
      <c r="N436" s="505" t="str">
        <f t="shared" si="41"/>
        <v xml:space="preserve"> </v>
      </c>
      <c r="O436" s="631"/>
      <c r="P436" s="440"/>
      <c r="Q436" s="440"/>
      <c r="R436" s="440"/>
      <c r="S436" s="613"/>
      <c r="T436" s="632"/>
      <c r="U436" s="632"/>
      <c r="V436" s="632"/>
      <c r="W436" s="632"/>
      <c r="X436" s="632"/>
      <c r="Y436" s="632"/>
      <c r="Z436" s="632"/>
      <c r="AA436" s="632"/>
      <c r="AB436" s="441"/>
      <c r="AC436" s="822"/>
      <c r="AD436" s="632"/>
      <c r="AE436" s="632"/>
      <c r="AF436" s="632"/>
      <c r="AG436" s="632"/>
      <c r="AH436" s="632"/>
      <c r="AI436" s="632"/>
      <c r="AJ436" s="632"/>
      <c r="AK436" s="632"/>
      <c r="AL436" s="632"/>
      <c r="AM436" s="632"/>
      <c r="AN436" s="632"/>
      <c r="AO436" s="632"/>
      <c r="AP436" s="632"/>
      <c r="AQ436" s="632"/>
      <c r="AR436" s="632"/>
      <c r="AS436" s="632"/>
      <c r="AT436" s="632"/>
      <c r="AU436" s="632"/>
      <c r="AV436" s="632"/>
      <c r="AW436" s="632"/>
      <c r="AX436" s="632"/>
      <c r="AY436" s="632"/>
      <c r="AZ436" s="632"/>
      <c r="BA436" s="632"/>
      <c r="BB436" s="632"/>
      <c r="BC436" s="632"/>
      <c r="BD436" s="632"/>
      <c r="BE436" s="613"/>
    </row>
    <row r="437" spans="2:57">
      <c r="B437" s="1296" t="s">
        <v>624</v>
      </c>
      <c r="C437" s="1297"/>
      <c r="D437" s="436" t="s">
        <v>3549</v>
      </c>
      <c r="E437" s="436"/>
      <c r="F437" s="436" t="s">
        <v>383</v>
      </c>
      <c r="G437" s="436" t="s">
        <v>384</v>
      </c>
      <c r="H437" s="630">
        <v>5287.9920000000002</v>
      </c>
      <c r="I437" s="906" t="s">
        <v>240</v>
      </c>
      <c r="J437" s="439">
        <v>45255.006944444445</v>
      </c>
      <c r="K437" s="439"/>
      <c r="L437" s="504" t="s">
        <v>192</v>
      </c>
      <c r="M437" s="504" t="s">
        <v>192</v>
      </c>
      <c r="N437" s="505" t="str">
        <f t="shared" si="41"/>
        <v>DELAY ( 2 day 0 hour 10 minute )</v>
      </c>
      <c r="O437" s="631"/>
      <c r="P437" s="440" t="s">
        <v>551</v>
      </c>
      <c r="Q437" s="440" t="s">
        <v>551</v>
      </c>
      <c r="R437" s="440" t="s">
        <v>551</v>
      </c>
      <c r="S437" s="613"/>
      <c r="T437" s="632"/>
      <c r="U437" s="632"/>
      <c r="V437" s="632"/>
      <c r="W437" s="632"/>
      <c r="X437" s="632"/>
      <c r="Y437" s="632"/>
      <c r="Z437" s="632"/>
      <c r="AA437" s="632"/>
      <c r="AB437" s="632"/>
      <c r="AC437" s="632">
        <f t="shared" ref="AC437:AC439" si="42">H437</f>
        <v>5287.9920000000002</v>
      </c>
      <c r="AD437" s="632"/>
      <c r="AE437" s="632"/>
      <c r="AF437" s="632"/>
      <c r="AG437" s="632"/>
      <c r="AH437" s="632"/>
      <c r="AI437" s="632"/>
      <c r="AJ437" s="632"/>
      <c r="AK437" s="632"/>
      <c r="AL437" s="632"/>
      <c r="AM437" s="632"/>
      <c r="AN437" s="632"/>
      <c r="AO437" s="632"/>
      <c r="AP437" s="632"/>
      <c r="AQ437" s="632"/>
      <c r="AR437" s="632"/>
      <c r="AS437" s="632"/>
      <c r="AT437" s="632"/>
      <c r="AU437" s="632"/>
      <c r="AV437" s="632"/>
      <c r="AW437" s="632"/>
      <c r="AX437" s="632"/>
      <c r="AY437" s="632"/>
      <c r="AZ437" s="632"/>
      <c r="BA437" s="632"/>
      <c r="BB437" s="632"/>
      <c r="BC437" s="632"/>
      <c r="BD437" s="632"/>
      <c r="BE437" s="613"/>
    </row>
    <row r="438" spans="2:57">
      <c r="B438" s="1298"/>
      <c r="C438" s="1299"/>
      <c r="D438" s="436"/>
      <c r="E438" s="436"/>
      <c r="F438" s="1294" t="s">
        <v>668</v>
      </c>
      <c r="G438" s="1295"/>
      <c r="H438" s="630">
        <v>720</v>
      </c>
      <c r="I438" s="906"/>
      <c r="J438" s="439"/>
      <c r="K438" s="907"/>
      <c r="L438" s="439"/>
      <c r="M438" s="439"/>
      <c r="N438" s="505" t="str">
        <f t="shared" si="41"/>
        <v xml:space="preserve"> </v>
      </c>
      <c r="O438" s="631"/>
      <c r="P438" s="440"/>
      <c r="Q438" s="440"/>
      <c r="R438" s="440"/>
      <c r="S438" s="613"/>
      <c r="T438" s="632"/>
      <c r="U438" s="632"/>
      <c r="V438" s="632"/>
      <c r="W438" s="632"/>
      <c r="X438" s="632"/>
      <c r="Y438" s="632"/>
      <c r="Z438" s="632"/>
      <c r="AA438" s="632"/>
      <c r="AB438" s="441"/>
      <c r="AC438" s="822"/>
      <c r="AD438" s="632"/>
      <c r="AE438" s="632"/>
      <c r="AF438" s="632"/>
      <c r="AG438" s="632"/>
      <c r="AH438" s="632"/>
      <c r="AI438" s="632"/>
      <c r="AJ438" s="632"/>
      <c r="AK438" s="632"/>
      <c r="AL438" s="632"/>
      <c r="AM438" s="632"/>
      <c r="AN438" s="632"/>
      <c r="AO438" s="632"/>
      <c r="AP438" s="632"/>
      <c r="AQ438" s="632"/>
      <c r="AR438" s="632"/>
      <c r="AS438" s="632"/>
      <c r="AT438" s="632"/>
      <c r="AU438" s="632"/>
      <c r="AV438" s="632"/>
      <c r="AW438" s="632"/>
      <c r="AX438" s="632"/>
      <c r="AY438" s="632"/>
      <c r="AZ438" s="632"/>
      <c r="BA438" s="632"/>
      <c r="BB438" s="632"/>
      <c r="BC438" s="632"/>
      <c r="BD438" s="632"/>
      <c r="BE438" s="613"/>
    </row>
    <row r="439" spans="2:57">
      <c r="B439" s="1296" t="s">
        <v>625</v>
      </c>
      <c r="C439" s="1297"/>
      <c r="D439" s="436" t="s">
        <v>3551</v>
      </c>
      <c r="E439" s="436"/>
      <c r="F439" s="436" t="s">
        <v>295</v>
      </c>
      <c r="G439" s="436" t="s">
        <v>296</v>
      </c>
      <c r="H439" s="630">
        <v>9977.7489999999998</v>
      </c>
      <c r="I439" s="906" t="s">
        <v>240</v>
      </c>
      <c r="J439" s="439">
        <v>45255.541666666664</v>
      </c>
      <c r="K439" s="439"/>
      <c r="L439" s="504" t="s">
        <v>192</v>
      </c>
      <c r="M439" s="504" t="s">
        <v>192</v>
      </c>
      <c r="N439" s="505" t="str">
        <f t="shared" si="41"/>
        <v>DELAY ( 2 day 13 hour 0 minute )</v>
      </c>
      <c r="O439" s="631"/>
      <c r="P439" s="440" t="s">
        <v>551</v>
      </c>
      <c r="Q439" s="440" t="s">
        <v>551</v>
      </c>
      <c r="R439" s="440" t="s">
        <v>551</v>
      </c>
      <c r="S439" s="613"/>
      <c r="T439" s="632"/>
      <c r="U439" s="632"/>
      <c r="V439" s="632"/>
      <c r="W439" s="632"/>
      <c r="X439" s="632"/>
      <c r="Y439" s="632"/>
      <c r="Z439" s="632"/>
      <c r="AA439" s="632"/>
      <c r="AB439" s="632"/>
      <c r="AC439" s="632">
        <f t="shared" si="42"/>
        <v>9977.7489999999998</v>
      </c>
      <c r="AD439" s="632"/>
      <c r="AE439" s="632"/>
      <c r="AF439" s="632"/>
      <c r="AG439" s="632"/>
      <c r="AH439" s="632"/>
      <c r="AI439" s="632"/>
      <c r="AJ439" s="632"/>
      <c r="AK439" s="632"/>
      <c r="AL439" s="632"/>
      <c r="AM439" s="632"/>
      <c r="AN439" s="632"/>
      <c r="AO439" s="632"/>
      <c r="AP439" s="613"/>
      <c r="AQ439" s="632"/>
      <c r="AR439" s="632"/>
      <c r="AS439" s="632"/>
      <c r="AT439" s="632"/>
      <c r="AU439" s="632"/>
      <c r="AV439" s="632"/>
      <c r="AW439" s="632"/>
      <c r="AX439" s="632"/>
      <c r="AY439" s="632"/>
      <c r="AZ439" s="632"/>
      <c r="BA439" s="632"/>
      <c r="BB439" s="632"/>
      <c r="BC439" s="632"/>
      <c r="BD439" s="632"/>
      <c r="BE439" s="613"/>
    </row>
    <row r="440" spans="2:57">
      <c r="B440" s="1452"/>
      <c r="C440" s="1453"/>
      <c r="D440" s="436"/>
      <c r="E440" s="436"/>
      <c r="F440" s="1294" t="s">
        <v>668</v>
      </c>
      <c r="G440" s="1295"/>
      <c r="H440" s="630">
        <v>2000</v>
      </c>
      <c r="I440" s="906"/>
      <c r="J440" s="439"/>
      <c r="K440" s="907"/>
      <c r="L440" s="439"/>
      <c r="M440" s="439"/>
      <c r="N440" s="505" t="str">
        <f t="shared" si="41"/>
        <v xml:space="preserve"> </v>
      </c>
      <c r="O440" s="631"/>
      <c r="P440" s="440"/>
      <c r="Q440" s="440"/>
      <c r="R440" s="440"/>
      <c r="S440" s="613"/>
      <c r="T440" s="632"/>
      <c r="U440" s="632"/>
      <c r="V440" s="632"/>
      <c r="W440" s="632"/>
      <c r="X440" s="632"/>
      <c r="Y440" s="632"/>
      <c r="Z440" s="632"/>
      <c r="AA440" s="632"/>
      <c r="AB440" s="441"/>
      <c r="AC440" s="822"/>
      <c r="AD440" s="632"/>
      <c r="AE440" s="632"/>
      <c r="AF440" s="632"/>
      <c r="AG440" s="632"/>
      <c r="AH440" s="632"/>
      <c r="AI440" s="632"/>
      <c r="AJ440" s="632"/>
      <c r="AK440" s="632"/>
      <c r="AL440" s="632"/>
      <c r="AM440" s="632"/>
      <c r="AN440" s="632"/>
      <c r="AO440" s="632"/>
      <c r="AP440" s="632"/>
      <c r="AQ440" s="632"/>
      <c r="AR440" s="632"/>
      <c r="AS440" s="632"/>
      <c r="AT440" s="632"/>
      <c r="AU440" s="632"/>
      <c r="AV440" s="632"/>
      <c r="AW440" s="632"/>
      <c r="AX440" s="632"/>
      <c r="AY440" s="632"/>
      <c r="AZ440" s="632"/>
      <c r="BA440" s="632"/>
      <c r="BB440" s="632"/>
      <c r="BC440" s="632"/>
      <c r="BD440" s="632"/>
      <c r="BE440" s="613"/>
    </row>
    <row r="441" spans="2:57">
      <c r="B441" s="1298"/>
      <c r="C441" s="1299"/>
      <c r="D441" s="436"/>
      <c r="E441" s="436"/>
      <c r="F441" s="1294" t="s">
        <v>616</v>
      </c>
      <c r="G441" s="1295"/>
      <c r="H441" s="630">
        <v>1000</v>
      </c>
      <c r="I441" s="906"/>
      <c r="J441" s="439"/>
      <c r="K441" s="907"/>
      <c r="L441" s="439"/>
      <c r="M441" s="439"/>
      <c r="N441" s="505" t="str">
        <f t="shared" si="41"/>
        <v xml:space="preserve"> </v>
      </c>
      <c r="O441" s="631"/>
      <c r="P441" s="440"/>
      <c r="Q441" s="440"/>
      <c r="R441" s="440"/>
      <c r="S441" s="613"/>
      <c r="T441" s="632"/>
      <c r="U441" s="632"/>
      <c r="V441" s="632"/>
      <c r="W441" s="632"/>
      <c r="X441" s="632"/>
      <c r="Y441" s="632"/>
      <c r="Z441" s="632"/>
      <c r="AA441" s="632"/>
      <c r="AB441" s="441"/>
      <c r="AC441" s="599"/>
      <c r="AD441" s="632"/>
      <c r="AE441" s="632"/>
      <c r="AF441" s="632"/>
      <c r="AG441" s="632"/>
      <c r="AH441" s="632"/>
      <c r="AI441" s="632"/>
      <c r="AJ441" s="632"/>
      <c r="AK441" s="632"/>
      <c r="AL441" s="632"/>
      <c r="AM441" s="632"/>
      <c r="AN441" s="632"/>
      <c r="AO441" s="632"/>
      <c r="AP441" s="632"/>
      <c r="AQ441" s="632"/>
      <c r="AR441" s="632"/>
      <c r="AS441" s="632"/>
      <c r="AT441" s="632"/>
      <c r="AU441" s="632"/>
      <c r="AV441" s="632"/>
      <c r="AW441" s="632"/>
      <c r="AX441" s="632"/>
      <c r="AY441" s="632"/>
      <c r="AZ441" s="632"/>
      <c r="BA441" s="632"/>
      <c r="BB441" s="632"/>
      <c r="BC441" s="632"/>
      <c r="BD441" s="632"/>
      <c r="BE441" s="613"/>
    </row>
    <row r="442" spans="2:57">
      <c r="B442" s="1326" t="s">
        <v>669</v>
      </c>
      <c r="C442" s="1327"/>
      <c r="D442" s="501" t="s">
        <v>3621</v>
      </c>
      <c r="E442" s="501"/>
      <c r="F442" s="501" t="s">
        <v>208</v>
      </c>
      <c r="G442" s="501" t="s">
        <v>328</v>
      </c>
      <c r="H442" s="629">
        <v>7519.0940000000001</v>
      </c>
      <c r="I442" s="584" t="s">
        <v>172</v>
      </c>
      <c r="J442" s="504">
        <v>45256.823611111111</v>
      </c>
      <c r="K442" s="504"/>
      <c r="L442" s="504" t="s">
        <v>192</v>
      </c>
      <c r="M442" s="504" t="s">
        <v>192</v>
      </c>
      <c r="N442" s="505" t="str">
        <f t="shared" si="41"/>
        <v>DELAY ( 3 day 19 hour 46 minute )</v>
      </c>
      <c r="O442" s="597"/>
      <c r="P442" s="507" t="s">
        <v>551</v>
      </c>
      <c r="Q442" s="507" t="s">
        <v>551</v>
      </c>
      <c r="R442" s="507" t="s">
        <v>551</v>
      </c>
      <c r="S442" s="598"/>
      <c r="T442" s="599"/>
      <c r="U442" s="599"/>
      <c r="V442" s="599"/>
      <c r="W442" s="599"/>
      <c r="X442" s="599"/>
      <c r="Y442" s="599"/>
      <c r="Z442" s="599"/>
      <c r="AA442" s="599"/>
      <c r="AB442" s="599"/>
      <c r="AC442" s="599"/>
      <c r="AD442" s="599"/>
      <c r="AE442" s="599"/>
      <c r="AF442" s="599"/>
      <c r="AG442" s="599"/>
      <c r="AH442" s="599"/>
      <c r="AI442" s="599"/>
      <c r="AJ442" s="599"/>
      <c r="AK442" s="598"/>
      <c r="AL442" s="599"/>
      <c r="AM442" s="599"/>
      <c r="AN442" s="599"/>
      <c r="AO442" s="599"/>
      <c r="AP442" s="599"/>
      <c r="AQ442" s="599"/>
      <c r="AR442" s="599"/>
      <c r="AS442" s="599"/>
      <c r="AT442" s="599"/>
      <c r="AU442" s="599"/>
      <c r="AV442" s="599"/>
      <c r="AW442" s="599"/>
      <c r="AX442" s="598"/>
      <c r="AY442" s="599">
        <f>H442</f>
        <v>7519.0940000000001</v>
      </c>
      <c r="AZ442" s="599"/>
      <c r="BA442" s="599"/>
      <c r="BB442" s="599"/>
      <c r="BC442" s="599"/>
      <c r="BD442" s="599"/>
      <c r="BE442" s="598"/>
    </row>
    <row r="443" spans="2:57">
      <c r="B443" s="1328"/>
      <c r="C443" s="1329"/>
      <c r="D443" s="501"/>
      <c r="E443" s="501"/>
      <c r="F443" s="1315" t="s">
        <v>616</v>
      </c>
      <c r="G443" s="1316"/>
      <c r="H443" s="629">
        <v>1000</v>
      </c>
      <c r="I443" s="584"/>
      <c r="J443" s="504"/>
      <c r="K443" s="574"/>
      <c r="L443" s="504"/>
      <c r="M443" s="504"/>
      <c r="N443" s="505" t="str">
        <f t="shared" si="41"/>
        <v xml:space="preserve"> </v>
      </c>
      <c r="O443" s="597"/>
      <c r="P443" s="507"/>
      <c r="Q443" s="507"/>
      <c r="R443" s="507"/>
      <c r="S443" s="598"/>
      <c r="T443" s="599"/>
      <c r="U443" s="599"/>
      <c r="V443" s="599"/>
      <c r="W443" s="599"/>
      <c r="X443" s="599"/>
      <c r="Y443" s="599"/>
      <c r="Z443" s="599"/>
      <c r="AA443" s="599"/>
      <c r="AB443" s="508"/>
      <c r="AC443" s="821"/>
      <c r="AD443" s="599"/>
      <c r="AE443" s="599"/>
      <c r="AF443" s="599"/>
      <c r="AG443" s="599"/>
      <c r="AH443" s="599"/>
      <c r="AI443" s="599"/>
      <c r="AJ443" s="599"/>
      <c r="AK443" s="599"/>
      <c r="AL443" s="599"/>
      <c r="AM443" s="599"/>
      <c r="AN443" s="599"/>
      <c r="AO443" s="599"/>
      <c r="AP443" s="599"/>
      <c r="AQ443" s="599"/>
      <c r="AR443" s="599"/>
      <c r="AS443" s="599"/>
      <c r="AT443" s="599"/>
      <c r="AU443" s="599"/>
      <c r="AV443" s="599"/>
      <c r="AW443" s="599"/>
      <c r="AX443" s="599"/>
      <c r="AY443" s="599"/>
      <c r="AZ443" s="599"/>
      <c r="BA443" s="599"/>
      <c r="BB443" s="599"/>
      <c r="BC443" s="599"/>
      <c r="BD443" s="599"/>
      <c r="BE443" s="598"/>
    </row>
    <row r="444" spans="2:57">
      <c r="B444" s="1326" t="s">
        <v>670</v>
      </c>
      <c r="C444" s="1327"/>
      <c r="D444" s="501" t="s">
        <v>3554</v>
      </c>
      <c r="E444" s="501"/>
      <c r="F444" s="501" t="s">
        <v>406</v>
      </c>
      <c r="G444" s="501" t="s">
        <v>407</v>
      </c>
      <c r="H444" s="888">
        <f>7502.309-2019.151</f>
        <v>5483.1580000000004</v>
      </c>
      <c r="I444" s="584" t="s">
        <v>240</v>
      </c>
      <c r="J444" s="574">
        <v>45255.805555555555</v>
      </c>
      <c r="K444" s="574"/>
      <c r="L444" s="504" t="s">
        <v>192</v>
      </c>
      <c r="M444" s="504" t="s">
        <v>192</v>
      </c>
      <c r="N444" s="505" t="str">
        <f t="shared" si="41"/>
        <v>DELAY ( 2 day 19 hour 20 minute )</v>
      </c>
      <c r="O444" s="597"/>
      <c r="P444" s="507" t="s">
        <v>551</v>
      </c>
      <c r="Q444" s="507" t="s">
        <v>551</v>
      </c>
      <c r="R444" s="507" t="s">
        <v>551</v>
      </c>
      <c r="S444" s="598"/>
      <c r="T444" s="599"/>
      <c r="U444" s="599"/>
      <c r="V444" s="599"/>
      <c r="W444" s="599"/>
      <c r="X444" s="599"/>
      <c r="Y444" s="599"/>
      <c r="Z444" s="599"/>
      <c r="AA444" s="599"/>
      <c r="AB444" s="599"/>
      <c r="AC444" s="599">
        <f>H444</f>
        <v>5483.1580000000004</v>
      </c>
      <c r="AD444" s="599"/>
      <c r="AE444" s="599"/>
      <c r="AF444" s="599"/>
      <c r="AG444" s="599"/>
      <c r="AH444" s="599"/>
      <c r="AI444" s="599"/>
      <c r="AJ444" s="599"/>
      <c r="AK444" s="599"/>
      <c r="AL444" s="599"/>
      <c r="AM444" s="599"/>
      <c r="AN444" s="599"/>
      <c r="AO444" s="599"/>
      <c r="AP444" s="599"/>
      <c r="AQ444" s="599"/>
      <c r="AR444" s="599"/>
      <c r="AS444" s="599"/>
      <c r="AT444" s="599"/>
      <c r="AU444" s="599"/>
      <c r="AV444" s="599"/>
      <c r="AW444" s="599"/>
      <c r="AX444" s="599"/>
      <c r="AY444" s="599"/>
      <c r="AZ444" s="599"/>
      <c r="BA444" s="599"/>
      <c r="BB444" s="599"/>
      <c r="BC444" s="599"/>
      <c r="BD444" s="599"/>
      <c r="BE444" s="598"/>
    </row>
    <row r="445" spans="2:57">
      <c r="B445" s="1421"/>
      <c r="C445" s="1422"/>
      <c r="D445" s="501"/>
      <c r="E445" s="501"/>
      <c r="F445" s="1315" t="s">
        <v>668</v>
      </c>
      <c r="G445" s="1316"/>
      <c r="H445" s="629">
        <f>1000-0.426</f>
        <v>999.57399999999996</v>
      </c>
      <c r="I445" s="584"/>
      <c r="J445" s="504"/>
      <c r="K445" s="574"/>
      <c r="L445" s="504"/>
      <c r="M445" s="504"/>
      <c r="N445" s="505" t="str">
        <f t="shared" si="41"/>
        <v xml:space="preserve"> </v>
      </c>
      <c r="O445" s="597"/>
      <c r="P445" s="507"/>
      <c r="Q445" s="507"/>
      <c r="R445" s="507"/>
      <c r="S445" s="598"/>
      <c r="T445" s="599"/>
      <c r="U445" s="599"/>
      <c r="V445" s="599"/>
      <c r="W445" s="599"/>
      <c r="X445" s="599"/>
      <c r="Y445" s="599"/>
      <c r="Z445" s="599"/>
      <c r="AA445" s="599"/>
      <c r="AB445" s="508"/>
      <c r="AC445" s="599"/>
      <c r="AD445" s="599"/>
      <c r="AE445" s="599"/>
      <c r="AF445" s="599"/>
      <c r="AG445" s="599"/>
      <c r="AH445" s="599"/>
      <c r="AI445" s="599"/>
      <c r="AJ445" s="599"/>
      <c r="AK445" s="599"/>
      <c r="AL445" s="599"/>
      <c r="AM445" s="599"/>
      <c r="AN445" s="599"/>
      <c r="AO445" s="599"/>
      <c r="AP445" s="599"/>
      <c r="AQ445" s="599"/>
      <c r="AR445" s="599"/>
      <c r="AS445" s="599"/>
      <c r="AT445" s="599"/>
      <c r="AU445" s="599"/>
      <c r="AV445" s="599"/>
      <c r="AW445" s="599"/>
      <c r="AX445" s="599"/>
      <c r="AY445" s="599"/>
      <c r="AZ445" s="599"/>
      <c r="BA445" s="599"/>
      <c r="BB445" s="599"/>
      <c r="BC445" s="599"/>
      <c r="BD445" s="599"/>
      <c r="BE445" s="598"/>
    </row>
    <row r="446" spans="2:57">
      <c r="B446" s="1328"/>
      <c r="C446" s="1329"/>
      <c r="D446" s="501"/>
      <c r="E446" s="501"/>
      <c r="F446" s="1315" t="s">
        <v>616</v>
      </c>
      <c r="G446" s="1316"/>
      <c r="H446" s="629">
        <f>531.104</f>
        <v>531.10400000000004</v>
      </c>
      <c r="I446" s="584"/>
      <c r="J446" s="574"/>
      <c r="K446" s="574"/>
      <c r="L446" s="574"/>
      <c r="M446" s="574"/>
      <c r="N446" s="505" t="str">
        <f t="shared" si="41"/>
        <v xml:space="preserve"> </v>
      </c>
      <c r="O446" s="597"/>
      <c r="P446" s="507"/>
      <c r="Q446" s="507"/>
      <c r="R446" s="507"/>
      <c r="S446" s="598"/>
      <c r="T446" s="599"/>
      <c r="U446" s="599"/>
      <c r="V446" s="599"/>
      <c r="W446" s="599"/>
      <c r="X446" s="599"/>
      <c r="Y446" s="599"/>
      <c r="Z446" s="599"/>
      <c r="AA446" s="599"/>
      <c r="AB446" s="508"/>
      <c r="AC446" s="821"/>
      <c r="AD446" s="599"/>
      <c r="AE446" s="599"/>
      <c r="AF446" s="599"/>
      <c r="AG446" s="599"/>
      <c r="AH446" s="599"/>
      <c r="AI446" s="599"/>
      <c r="AJ446" s="599"/>
      <c r="AK446" s="599"/>
      <c r="AL446" s="599"/>
      <c r="AM446" s="599"/>
      <c r="AN446" s="599"/>
      <c r="AO446" s="599"/>
      <c r="AP446" s="599"/>
      <c r="AQ446" s="599"/>
      <c r="AR446" s="599"/>
      <c r="AS446" s="599"/>
      <c r="AT446" s="599"/>
      <c r="AU446" s="599"/>
      <c r="AV446" s="599"/>
      <c r="AW446" s="599"/>
      <c r="AX446" s="599"/>
      <c r="AY446" s="599"/>
      <c r="AZ446" s="599"/>
      <c r="BA446" s="599"/>
      <c r="BB446" s="599"/>
      <c r="BC446" s="599"/>
      <c r="BD446" s="599"/>
      <c r="BE446" s="598"/>
    </row>
    <row r="447" spans="2:57">
      <c r="B447" s="1351" t="s">
        <v>626</v>
      </c>
      <c r="C447" s="1352"/>
      <c r="D447" s="1352"/>
      <c r="E447" s="1352"/>
      <c r="F447" s="1352"/>
      <c r="G447" s="1352"/>
      <c r="H447" s="908">
        <f>H428+H430+H437+H433+H439+H435+H442+H444</f>
        <v>52149.322</v>
      </c>
      <c r="I447" s="868"/>
      <c r="J447" s="869"/>
      <c r="K447" s="869"/>
      <c r="L447" s="869"/>
      <c r="M447" s="869"/>
      <c r="N447" s="505" t="str">
        <f t="shared" si="41"/>
        <v xml:space="preserve"> </v>
      </c>
      <c r="O447" s="552"/>
      <c r="P447" s="706"/>
      <c r="Q447" s="706"/>
      <c r="R447" s="706"/>
      <c r="S447" s="598"/>
      <c r="T447" s="1462"/>
      <c r="U447" s="1462"/>
      <c r="V447" s="1462"/>
      <c r="W447" s="1462"/>
      <c r="X447" s="1462"/>
      <c r="Y447" s="1462"/>
      <c r="Z447" s="1462"/>
      <c r="AA447" s="1462"/>
      <c r="AB447" s="1462"/>
      <c r="AC447" s="1462"/>
      <c r="AD447" s="1462"/>
      <c r="AE447" s="1462"/>
      <c r="AF447" s="1462"/>
      <c r="AG447" s="1462"/>
      <c r="AH447" s="1462"/>
      <c r="AI447" s="1462"/>
      <c r="AJ447" s="1462"/>
      <c r="AK447" s="1462"/>
      <c r="AL447" s="1462"/>
      <c r="AM447" s="1462"/>
      <c r="AN447" s="1462"/>
      <c r="AO447" s="1462"/>
      <c r="AP447" s="1462"/>
      <c r="AQ447" s="1462"/>
      <c r="AR447" s="1462"/>
      <c r="AS447" s="1462"/>
      <c r="AT447" s="1462"/>
      <c r="AU447" s="1462"/>
      <c r="AV447" s="1462"/>
      <c r="AW447" s="1462"/>
      <c r="AX447" s="1462"/>
      <c r="AY447" s="1462"/>
      <c r="AZ447" s="1462"/>
      <c r="BA447" s="1462"/>
      <c r="BB447" s="1462"/>
      <c r="BC447" s="1462"/>
      <c r="BD447" s="1462"/>
      <c r="BE447" s="554"/>
    </row>
    <row r="448" spans="2:57">
      <c r="B448" s="1258" t="s">
        <v>556</v>
      </c>
      <c r="C448" s="1259"/>
      <c r="D448" s="1259"/>
      <c r="E448" s="1259"/>
      <c r="F448" s="1259"/>
      <c r="G448" s="1260"/>
      <c r="H448" s="863">
        <f>H427+H447</f>
        <v>67000</v>
      </c>
      <c r="I448" s="1458"/>
      <c r="J448" s="1458"/>
      <c r="K448" s="1458"/>
      <c r="L448" s="1458"/>
      <c r="M448" s="1458"/>
      <c r="N448" s="505" t="str">
        <f t="shared" si="41"/>
        <v xml:space="preserve"> </v>
      </c>
      <c r="O448" s="212"/>
      <c r="P448" s="590"/>
      <c r="Q448" s="590"/>
      <c r="R448" s="590"/>
      <c r="S448" s="633"/>
      <c r="T448" s="1307"/>
      <c r="U448" s="1308"/>
      <c r="V448" s="1308"/>
      <c r="W448" s="1308"/>
      <c r="X448" s="1308"/>
      <c r="Y448" s="1308"/>
      <c r="Z448" s="1308"/>
      <c r="AA448" s="1308"/>
      <c r="AB448" s="1308"/>
      <c r="AC448" s="1308"/>
      <c r="AD448" s="1308"/>
      <c r="AE448" s="1308"/>
      <c r="AF448" s="1308"/>
      <c r="AG448" s="1308"/>
      <c r="AH448" s="1308"/>
      <c r="AI448" s="1308"/>
      <c r="AJ448" s="1308"/>
      <c r="AK448" s="1308"/>
      <c r="AL448" s="1308"/>
      <c r="AM448" s="1308"/>
      <c r="AN448" s="1308"/>
      <c r="AO448" s="1308"/>
      <c r="AP448" s="1308"/>
      <c r="AQ448" s="1308"/>
      <c r="AR448" s="1308"/>
      <c r="AS448" s="1308"/>
      <c r="AT448" s="1308"/>
      <c r="AU448" s="1308"/>
      <c r="AV448" s="1308"/>
      <c r="AW448" s="1308"/>
      <c r="AX448" s="1308"/>
      <c r="AY448" s="1308"/>
      <c r="AZ448" s="1308"/>
      <c r="BA448" s="1308"/>
      <c r="BB448" s="1308"/>
      <c r="BC448" s="1308"/>
      <c r="BD448" s="1308"/>
    </row>
    <row r="449" spans="2:57">
      <c r="B449" s="1415" t="s">
        <v>557</v>
      </c>
      <c r="C449" s="1416"/>
      <c r="D449" s="1416"/>
      <c r="E449" s="1416"/>
      <c r="F449" s="1416"/>
      <c r="G449" s="1417"/>
      <c r="H449" s="845">
        <v>67000</v>
      </c>
      <c r="I449" s="1455"/>
      <c r="J449" s="1455"/>
      <c r="K449" s="1455"/>
      <c r="L449" s="1455"/>
      <c r="M449" s="1455"/>
      <c r="N449" s="505" t="str">
        <f t="shared" si="41"/>
        <v xml:space="preserve"> </v>
      </c>
      <c r="O449" s="591"/>
      <c r="P449" s="415"/>
      <c r="Q449" s="415"/>
      <c r="R449" s="415"/>
      <c r="S449" s="740"/>
      <c r="T449" s="592">
        <f>SUM(T425:T444)</f>
        <v>0</v>
      </c>
      <c r="U449" s="592">
        <f t="shared" ref="U449:BD449" si="43">SUM(U425:U444)</f>
        <v>0</v>
      </c>
      <c r="V449" s="592">
        <f t="shared" si="43"/>
        <v>0</v>
      </c>
      <c r="W449" s="592">
        <f t="shared" si="43"/>
        <v>0</v>
      </c>
      <c r="X449" s="592">
        <f t="shared" si="43"/>
        <v>7531.1040000000003</v>
      </c>
      <c r="Y449" s="592">
        <f t="shared" si="43"/>
        <v>0</v>
      </c>
      <c r="Z449" s="592">
        <f t="shared" si="43"/>
        <v>0</v>
      </c>
      <c r="AA449" s="592">
        <f t="shared" si="43"/>
        <v>0</v>
      </c>
      <c r="AB449" s="592">
        <f t="shared" si="43"/>
        <v>8080.8184499999998</v>
      </c>
      <c r="AC449" s="592">
        <f t="shared" si="43"/>
        <v>36549.409549999997</v>
      </c>
      <c r="AD449" s="592">
        <f t="shared" si="43"/>
        <v>7319.5739999999996</v>
      </c>
      <c r="AE449" s="592">
        <f t="shared" si="43"/>
        <v>0</v>
      </c>
      <c r="AF449" s="592">
        <f t="shared" si="43"/>
        <v>0</v>
      </c>
      <c r="AG449" s="592">
        <f t="shared" si="43"/>
        <v>0</v>
      </c>
      <c r="AH449" s="592">
        <f t="shared" si="43"/>
        <v>0</v>
      </c>
      <c r="AI449" s="592">
        <f t="shared" si="43"/>
        <v>0</v>
      </c>
      <c r="AJ449" s="592">
        <f t="shared" si="43"/>
        <v>0</v>
      </c>
      <c r="AK449" s="592">
        <f t="shared" si="43"/>
        <v>0</v>
      </c>
      <c r="AL449" s="592">
        <f t="shared" si="43"/>
        <v>0</v>
      </c>
      <c r="AM449" s="592">
        <f t="shared" si="43"/>
        <v>0</v>
      </c>
      <c r="AN449" s="592">
        <f t="shared" si="43"/>
        <v>0</v>
      </c>
      <c r="AO449" s="592">
        <f t="shared" si="43"/>
        <v>0</v>
      </c>
      <c r="AP449" s="592">
        <f t="shared" si="43"/>
        <v>0</v>
      </c>
      <c r="AQ449" s="592">
        <f t="shared" si="43"/>
        <v>0</v>
      </c>
      <c r="AR449" s="592">
        <f t="shared" si="43"/>
        <v>0</v>
      </c>
      <c r="AS449" s="592">
        <f t="shared" si="43"/>
        <v>0</v>
      </c>
      <c r="AT449" s="592">
        <f t="shared" si="43"/>
        <v>0</v>
      </c>
      <c r="AU449" s="592">
        <f t="shared" si="43"/>
        <v>0</v>
      </c>
      <c r="AV449" s="592">
        <f t="shared" si="43"/>
        <v>0</v>
      </c>
      <c r="AW449" s="592">
        <f t="shared" si="43"/>
        <v>0</v>
      </c>
      <c r="AX449" s="592">
        <f t="shared" si="43"/>
        <v>0</v>
      </c>
      <c r="AY449" s="592">
        <f t="shared" si="43"/>
        <v>7519.0940000000001</v>
      </c>
      <c r="AZ449" s="592">
        <f t="shared" si="43"/>
        <v>0</v>
      </c>
      <c r="BA449" s="592">
        <f t="shared" si="43"/>
        <v>0</v>
      </c>
      <c r="BB449" s="592">
        <f t="shared" si="43"/>
        <v>0</v>
      </c>
      <c r="BC449" s="592">
        <f t="shared" si="43"/>
        <v>0</v>
      </c>
      <c r="BD449" s="592">
        <f t="shared" si="43"/>
        <v>0</v>
      </c>
      <c r="BE449" s="592">
        <f>SUM(T449:BD449)</f>
        <v>67000</v>
      </c>
    </row>
    <row r="450" spans="2:57">
      <c r="B450" s="1415" t="s">
        <v>558</v>
      </c>
      <c r="C450" s="1416"/>
      <c r="D450" s="1416"/>
      <c r="E450" s="1416"/>
      <c r="F450" s="1416"/>
      <c r="G450" s="1417"/>
      <c r="H450" s="872">
        <f>H449-L419</f>
        <v>0</v>
      </c>
      <c r="I450" s="745"/>
      <c r="J450" s="746"/>
      <c r="K450" s="746"/>
      <c r="L450" s="674"/>
      <c r="M450" s="633"/>
      <c r="N450" s="591"/>
      <c r="O450" s="591"/>
      <c r="P450" s="591"/>
      <c r="Q450" s="744"/>
      <c r="R450" s="744"/>
      <c r="S450" s="591"/>
      <c r="T450" s="645"/>
      <c r="U450" s="645"/>
      <c r="V450" s="645"/>
      <c r="W450" s="645"/>
      <c r="X450" s="645"/>
      <c r="Y450" s="645"/>
      <c r="Z450" s="645"/>
      <c r="AA450" s="645"/>
      <c r="AB450" s="645"/>
      <c r="AC450" s="591"/>
      <c r="AD450" s="591"/>
      <c r="AE450" s="591"/>
      <c r="AF450" s="591"/>
      <c r="AG450" s="591"/>
      <c r="AH450" s="591"/>
      <c r="AI450" s="591"/>
      <c r="AJ450" s="591"/>
      <c r="AK450" s="591"/>
      <c r="AL450" s="591"/>
      <c r="AM450" s="591"/>
      <c r="AN450" s="591"/>
      <c r="AO450" s="591"/>
      <c r="AP450" s="591"/>
      <c r="AQ450" s="591"/>
      <c r="AR450" s="591"/>
    </row>
    <row r="451" spans="2:57">
      <c r="B451" s="1415" t="s">
        <v>559</v>
      </c>
      <c r="C451" s="1416"/>
      <c r="D451" s="1416"/>
      <c r="E451" s="1416"/>
      <c r="F451" s="1416"/>
      <c r="G451" s="1417"/>
      <c r="H451" s="747">
        <v>1579.106</v>
      </c>
      <c r="I451" s="745"/>
      <c r="J451" s="746"/>
      <c r="K451" s="746"/>
      <c r="L451" s="674"/>
      <c r="M451" s="633"/>
      <c r="N451" s="613"/>
      <c r="O451" s="591"/>
      <c r="P451" s="591"/>
      <c r="Q451" s="591"/>
      <c r="R451" s="591"/>
      <c r="S451" s="591"/>
      <c r="T451" s="645"/>
      <c r="U451" s="645"/>
      <c r="V451" s="645"/>
      <c r="W451" s="645"/>
      <c r="X451" s="645"/>
      <c r="Y451" s="645"/>
      <c r="Z451" s="645"/>
      <c r="AA451" s="645"/>
      <c r="AB451" s="645"/>
      <c r="AC451" s="591"/>
      <c r="AD451" s="591"/>
      <c r="AE451" s="591"/>
      <c r="AF451" s="591"/>
      <c r="AG451" s="591"/>
      <c r="AH451" s="591"/>
      <c r="AI451" s="591"/>
      <c r="AJ451" s="591"/>
      <c r="AK451" s="591"/>
      <c r="AL451" s="591"/>
      <c r="AM451" s="591"/>
      <c r="AN451" s="591"/>
      <c r="AO451" s="591"/>
      <c r="AP451" s="591"/>
      <c r="AQ451" s="591"/>
      <c r="AR451" s="591"/>
    </row>
    <row r="452" spans="2:57" ht="11.25" customHeight="1">
      <c r="B452" s="1415" t="s">
        <v>560</v>
      </c>
      <c r="C452" s="1416"/>
      <c r="D452" s="1416"/>
      <c r="E452" s="1416"/>
      <c r="F452" s="1416"/>
      <c r="G452" s="1417"/>
      <c r="H452" s="741">
        <f>H451-2019.151</f>
        <v>-440.04500000000007</v>
      </c>
      <c r="I452" s="641"/>
      <c r="J452" s="642"/>
      <c r="K452" s="642"/>
      <c r="L452" s="499"/>
      <c r="M452" s="613"/>
      <c r="N452" s="613"/>
      <c r="O452" s="613"/>
      <c r="P452" s="613"/>
      <c r="Q452" s="613"/>
      <c r="R452" s="613"/>
      <c r="S452" s="616"/>
      <c r="T452" s="616"/>
      <c r="U452" s="616"/>
      <c r="V452" s="616"/>
      <c r="W452" s="616"/>
      <c r="X452" s="616"/>
      <c r="Y452" s="616"/>
      <c r="Z452" s="616"/>
      <c r="AA452" s="616"/>
      <c r="AB452" s="645"/>
      <c r="AC452" s="591"/>
      <c r="AD452" s="613"/>
      <c r="AE452" s="613"/>
      <c r="AF452" s="613"/>
      <c r="AG452" s="613"/>
      <c r="AH452" s="613"/>
      <c r="AI452" s="613"/>
      <c r="AJ452" s="613"/>
      <c r="AK452" s="613"/>
      <c r="AL452" s="613"/>
      <c r="AM452" s="613"/>
      <c r="AN452" s="613"/>
      <c r="AO452" s="613"/>
      <c r="AP452" s="613"/>
      <c r="AQ452" s="613"/>
      <c r="AR452" s="496"/>
      <c r="AS452" s="496"/>
      <c r="AT452" s="496"/>
      <c r="AU452" s="496"/>
      <c r="AV452" s="496"/>
      <c r="AW452" s="496"/>
      <c r="AX452" s="496"/>
      <c r="AY452" s="496"/>
      <c r="AZ452" s="496"/>
      <c r="BA452" s="496"/>
    </row>
    <row r="453" spans="2:57">
      <c r="B453" s="613"/>
      <c r="C453" s="613"/>
      <c r="D453" s="613"/>
      <c r="E453" s="613"/>
      <c r="F453" s="613"/>
      <c r="G453" s="613"/>
      <c r="H453" s="613"/>
      <c r="I453" s="643"/>
      <c r="J453" s="641"/>
      <c r="K453" s="641"/>
      <c r="L453" s="644"/>
      <c r="M453" s="613"/>
      <c r="N453" s="613"/>
      <c r="O453" s="641"/>
      <c r="P453" s="591"/>
      <c r="Q453" s="591"/>
      <c r="R453" s="591"/>
      <c r="S453" s="591"/>
      <c r="T453" s="645"/>
      <c r="U453" s="645"/>
      <c r="V453" s="645"/>
      <c r="W453" s="645"/>
      <c r="X453" s="645"/>
      <c r="Y453" s="645"/>
      <c r="Z453" s="645"/>
      <c r="AA453" s="645"/>
      <c r="AB453" s="645"/>
      <c r="AC453" s="591"/>
      <c r="AD453" s="591"/>
      <c r="AE453" s="591"/>
      <c r="AF453" s="591"/>
      <c r="AG453" s="591"/>
      <c r="AH453" s="591"/>
      <c r="AI453" s="591"/>
      <c r="AJ453" s="591"/>
      <c r="AK453" s="591"/>
      <c r="AL453" s="591"/>
      <c r="AM453" s="591"/>
      <c r="AN453" s="591"/>
      <c r="AO453" s="591"/>
      <c r="AP453" s="591"/>
      <c r="AQ453" s="591"/>
      <c r="AR453" s="591"/>
    </row>
    <row r="454" spans="2:57">
      <c r="B454" s="619" t="s">
        <v>561</v>
      </c>
      <c r="C454" s="619"/>
      <c r="D454" s="591"/>
      <c r="E454" s="591"/>
      <c r="F454" s="591"/>
      <c r="G454" s="591"/>
      <c r="H454" s="591"/>
      <c r="I454" s="591"/>
      <c r="J454" s="646"/>
      <c r="K454" s="646"/>
      <c r="L454" s="647"/>
      <c r="M454" s="591"/>
      <c r="N454" s="613"/>
      <c r="O454" s="64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616"/>
      <c r="AB454" s="613"/>
      <c r="AC454" s="613"/>
      <c r="AD454" s="613"/>
      <c r="AE454" s="613"/>
      <c r="AF454" s="613"/>
      <c r="AG454" s="613"/>
      <c r="AH454" s="613"/>
      <c r="AI454" s="613"/>
      <c r="AJ454" s="613"/>
      <c r="AK454" s="613"/>
      <c r="AL454" s="613"/>
      <c r="AM454" s="613"/>
      <c r="AN454" s="613"/>
      <c r="AO454" s="613"/>
      <c r="AP454" s="613"/>
      <c r="AQ454" s="613"/>
      <c r="AR454" s="613"/>
      <c r="AS454" s="613"/>
      <c r="AT454" s="613"/>
      <c r="AU454" s="613"/>
      <c r="BE454" s="613"/>
    </row>
    <row r="455" spans="2:57">
      <c r="B455" s="422">
        <v>1</v>
      </c>
      <c r="C455" s="1249" t="s">
        <v>1741</v>
      </c>
      <c r="D455" s="1249"/>
      <c r="E455" s="1249"/>
      <c r="F455" s="1249"/>
      <c r="G455" s="1249"/>
      <c r="H455" s="1249"/>
      <c r="I455" s="1249"/>
      <c r="J455" s="1249"/>
      <c r="K455" s="1249"/>
      <c r="L455" s="644"/>
      <c r="M455" s="644"/>
      <c r="N455" s="613"/>
      <c r="O455" s="641"/>
      <c r="P455" s="616"/>
      <c r="Q455" s="616"/>
      <c r="R455" s="616"/>
      <c r="S455" s="616"/>
      <c r="T455" s="616"/>
      <c r="U455" s="616"/>
      <c r="V455" s="616"/>
      <c r="W455" s="616"/>
      <c r="X455" s="616"/>
      <c r="Y455" s="616"/>
      <c r="Z455" s="616"/>
      <c r="AA455" s="616"/>
      <c r="AB455" s="613"/>
      <c r="AC455" s="613"/>
      <c r="AD455" s="613"/>
      <c r="AE455" s="613"/>
      <c r="AF455" s="613"/>
      <c r="AG455" s="613"/>
      <c r="AH455" s="613"/>
      <c r="AI455" s="613"/>
      <c r="AJ455" s="613"/>
      <c r="AK455" s="613"/>
      <c r="AL455" s="613"/>
      <c r="AM455" s="613"/>
      <c r="AN455" s="613"/>
      <c r="AO455" s="613"/>
      <c r="AP455" s="613"/>
      <c r="AQ455" s="613"/>
      <c r="AR455" s="613"/>
      <c r="AS455" s="613"/>
      <c r="AT455" s="613"/>
      <c r="AU455" s="613"/>
      <c r="AV455" s="613"/>
      <c r="AW455" s="613"/>
      <c r="AX455" s="613"/>
      <c r="AY455" s="613"/>
      <c r="AZ455" s="613"/>
      <c r="BA455" s="613"/>
      <c r="BB455" s="613"/>
      <c r="BC455" s="613"/>
      <c r="BD455" s="613"/>
      <c r="BE455" s="613"/>
    </row>
    <row r="457" spans="2:57">
      <c r="B457" s="28" t="s">
        <v>126</v>
      </c>
      <c r="C457" s="28"/>
      <c r="D457" s="614"/>
      <c r="E457" s="30" t="s">
        <v>511</v>
      </c>
      <c r="F457" s="31" t="s">
        <v>3159</v>
      </c>
      <c r="G457" s="591"/>
      <c r="H457" s="33"/>
      <c r="I457" s="615"/>
      <c r="J457" s="35" t="s">
        <v>513</v>
      </c>
      <c r="K457" s="36" t="s">
        <v>511</v>
      </c>
      <c r="L457" s="516">
        <v>45258.381944444445</v>
      </c>
      <c r="M457" s="591"/>
      <c r="N457" s="591"/>
      <c r="O457" s="206"/>
      <c r="P457" s="205"/>
      <c r="Q457" s="616"/>
      <c r="R457" s="204"/>
      <c r="S457" s="617"/>
      <c r="T457" s="613"/>
      <c r="U457" s="613"/>
      <c r="V457" s="613"/>
      <c r="W457" s="613"/>
      <c r="X457" s="613"/>
      <c r="Y457" s="613"/>
      <c r="Z457" s="613"/>
      <c r="AA457" s="613"/>
      <c r="AB457" s="616"/>
      <c r="AC457" s="616"/>
      <c r="AD457" s="616"/>
      <c r="AE457" s="616"/>
      <c r="AF457" s="616"/>
      <c r="AG457" s="613"/>
      <c r="AH457" s="613"/>
      <c r="AI457" s="613"/>
      <c r="AJ457" s="613"/>
      <c r="AK457" s="613"/>
      <c r="AL457" s="613"/>
      <c r="AM457" s="613"/>
      <c r="AN457" s="613"/>
      <c r="AO457" s="613"/>
      <c r="AP457" s="613"/>
      <c r="AQ457" s="613"/>
      <c r="AR457" s="613"/>
      <c r="AS457" s="613"/>
      <c r="AT457" s="613"/>
      <c r="AU457" s="613"/>
      <c r="AV457" s="613"/>
      <c r="AW457" s="613"/>
      <c r="AX457" s="613"/>
      <c r="AY457" s="613"/>
      <c r="AZ457" s="613"/>
      <c r="BA457" s="613"/>
      <c r="BB457" s="613"/>
      <c r="BC457" s="613"/>
      <c r="BD457" s="613"/>
      <c r="BE457" s="613"/>
    </row>
    <row r="458" spans="2:57">
      <c r="B458" s="35" t="s">
        <v>514</v>
      </c>
      <c r="C458" s="35"/>
      <c r="D458" s="591"/>
      <c r="E458" s="36" t="s">
        <v>511</v>
      </c>
      <c r="F458" s="311" t="s">
        <v>3742</v>
      </c>
      <c r="G458" s="648" t="s">
        <v>647</v>
      </c>
      <c r="H458" s="33"/>
      <c r="I458" s="615"/>
      <c r="J458" s="35" t="s">
        <v>516</v>
      </c>
      <c r="K458" s="36" t="s">
        <v>511</v>
      </c>
      <c r="L458" s="516">
        <v>45260.590277777781</v>
      </c>
      <c r="M458" s="591"/>
      <c r="N458" s="591"/>
      <c r="O458" s="206"/>
      <c r="P458" s="205"/>
      <c r="Q458" s="616"/>
      <c r="R458" s="204"/>
      <c r="S458" s="617"/>
      <c r="T458" s="613"/>
      <c r="U458" s="613"/>
      <c r="V458" s="613"/>
      <c r="W458" s="613"/>
      <c r="X458" s="613"/>
      <c r="Y458" s="613"/>
      <c r="Z458" s="613"/>
      <c r="AA458" s="613"/>
      <c r="AB458" s="616"/>
      <c r="AC458" s="616"/>
      <c r="AD458" s="616"/>
      <c r="AE458" s="616"/>
      <c r="AF458" s="616"/>
      <c r="AG458" s="613"/>
      <c r="AH458" s="613"/>
      <c r="AI458" s="613"/>
      <c r="AJ458" s="613"/>
      <c r="AK458" s="613"/>
      <c r="AL458" s="613"/>
      <c r="AM458" s="613"/>
      <c r="AN458" s="613"/>
      <c r="AO458" s="613"/>
      <c r="AP458" s="613"/>
      <c r="AQ458" s="613"/>
      <c r="AR458" s="613"/>
      <c r="AS458" s="613"/>
      <c r="AT458" s="613"/>
      <c r="AU458" s="613"/>
      <c r="AV458" s="613"/>
      <c r="AW458" s="613"/>
      <c r="AX458" s="613"/>
      <c r="AY458" s="613"/>
      <c r="AZ458" s="613"/>
      <c r="BA458" s="613"/>
      <c r="BB458" s="613"/>
      <c r="BC458" s="613"/>
      <c r="BD458" s="613"/>
      <c r="BE458" s="613"/>
    </row>
    <row r="459" spans="2:57">
      <c r="B459" s="35" t="s">
        <v>517</v>
      </c>
      <c r="C459" s="35"/>
      <c r="D459" s="591"/>
      <c r="E459" s="36" t="s">
        <v>511</v>
      </c>
      <c r="F459" s="516">
        <v>45255.055555555555</v>
      </c>
      <c r="G459" s="769">
        <v>45258</v>
      </c>
      <c r="H459" s="33"/>
      <c r="I459" s="615"/>
      <c r="J459" s="35" t="s">
        <v>518</v>
      </c>
      <c r="K459" s="36" t="s">
        <v>511</v>
      </c>
      <c r="L459" s="692">
        <v>68830</v>
      </c>
      <c r="M459" s="619" t="s">
        <v>519</v>
      </c>
      <c r="N459" s="619"/>
      <c r="O459" s="206"/>
      <c r="P459" s="205"/>
      <c r="Q459" s="616"/>
      <c r="R459" s="204"/>
      <c r="S459" s="617"/>
      <c r="T459" s="613"/>
      <c r="U459" s="613"/>
      <c r="V459" s="613"/>
      <c r="W459" s="613"/>
      <c r="X459" s="613"/>
      <c r="Y459" s="613"/>
      <c r="Z459" s="613"/>
      <c r="AA459" s="613"/>
      <c r="AB459" s="616"/>
      <c r="AC459" s="616"/>
      <c r="AD459" s="616"/>
      <c r="AE459" s="616"/>
      <c r="AF459" s="616"/>
      <c r="AG459" s="613"/>
      <c r="AH459" s="613"/>
      <c r="AI459" s="613"/>
      <c r="AJ459" s="613"/>
      <c r="AK459" s="613"/>
      <c r="AL459" s="613"/>
      <c r="AM459" s="613"/>
      <c r="AN459" s="613"/>
      <c r="AO459" s="613"/>
      <c r="AP459" s="613"/>
      <c r="AQ459" s="613"/>
      <c r="AR459" s="613"/>
      <c r="AS459" s="613"/>
      <c r="AT459" s="613"/>
      <c r="AU459" s="613"/>
      <c r="AV459" s="613"/>
      <c r="AW459" s="613"/>
      <c r="AX459" s="613"/>
      <c r="AY459" s="613"/>
      <c r="AZ459" s="613"/>
      <c r="BA459" s="613"/>
      <c r="BB459" s="613"/>
      <c r="BC459" s="613"/>
      <c r="BD459" s="613"/>
      <c r="BE459" s="613"/>
    </row>
    <row r="460" spans="2:57">
      <c r="B460" s="35" t="s">
        <v>520</v>
      </c>
      <c r="C460" s="35"/>
      <c r="D460" s="591"/>
      <c r="E460" s="36" t="s">
        <v>511</v>
      </c>
      <c r="F460" s="37" t="s">
        <v>12</v>
      </c>
      <c r="G460" s="591"/>
      <c r="H460" s="33"/>
      <c r="I460" s="615"/>
      <c r="J460" s="35" t="s">
        <v>521</v>
      </c>
      <c r="K460" s="36" t="s">
        <v>511</v>
      </c>
      <c r="L460" s="620" t="s">
        <v>3160</v>
      </c>
      <c r="M460" s="591"/>
      <c r="N460" s="591"/>
      <c r="O460" s="206"/>
      <c r="P460" s="616"/>
      <c r="Q460" s="616"/>
      <c r="R460" s="204"/>
      <c r="S460" s="617"/>
      <c r="T460" s="613"/>
      <c r="U460" s="613"/>
      <c r="V460" s="613"/>
      <c r="W460" s="613"/>
      <c r="X460" s="613"/>
      <c r="Y460" s="613"/>
      <c r="Z460" s="613"/>
      <c r="AA460" s="613"/>
      <c r="AB460" s="616"/>
      <c r="AC460" s="616"/>
      <c r="AD460" s="616"/>
      <c r="AE460" s="616"/>
      <c r="AF460" s="616"/>
      <c r="AG460" s="613"/>
      <c r="AH460" s="613"/>
      <c r="AI460" s="613"/>
      <c r="AJ460" s="613"/>
      <c r="AK460" s="613"/>
      <c r="AL460" s="613"/>
      <c r="AM460" s="613"/>
      <c r="AN460" s="613"/>
      <c r="AO460" s="613"/>
      <c r="AP460" s="613"/>
      <c r="AQ460" s="613"/>
      <c r="AR460" s="613"/>
      <c r="AS460" s="613"/>
      <c r="AT460" s="613"/>
      <c r="AU460" s="613"/>
      <c r="AV460" s="613"/>
      <c r="AW460" s="613"/>
      <c r="AX460" s="613"/>
      <c r="AY460" s="613"/>
      <c r="AZ460" s="613"/>
      <c r="BA460" s="613"/>
      <c r="BB460" s="613"/>
      <c r="BC460" s="613"/>
      <c r="BD460" s="613"/>
      <c r="BE460" s="613"/>
    </row>
    <row r="461" spans="2:57">
      <c r="B461" s="35" t="s">
        <v>523</v>
      </c>
      <c r="C461" s="35"/>
      <c r="D461" s="591"/>
      <c r="E461" s="36" t="s">
        <v>511</v>
      </c>
      <c r="F461" s="37" t="s">
        <v>32</v>
      </c>
      <c r="G461" s="591"/>
      <c r="H461" s="33"/>
      <c r="I461" s="615"/>
      <c r="J461" s="35" t="s">
        <v>524</v>
      </c>
      <c r="K461" s="36" t="s">
        <v>511</v>
      </c>
      <c r="L461" s="621" t="s">
        <v>15</v>
      </c>
      <c r="M461" s="611"/>
      <c r="N461" s="611"/>
      <c r="O461" s="206"/>
      <c r="P461" s="205"/>
      <c r="Q461" s="616"/>
      <c r="R461" s="204"/>
      <c r="S461" s="617"/>
      <c r="T461" s="613"/>
      <c r="U461" s="613"/>
      <c r="V461" s="613"/>
      <c r="W461" s="613"/>
      <c r="X461" s="613"/>
      <c r="Y461" s="613"/>
      <c r="Z461" s="613"/>
      <c r="AA461" s="613"/>
      <c r="AB461" s="616"/>
      <c r="AC461" s="616"/>
      <c r="AD461" s="616"/>
      <c r="AE461" s="616"/>
      <c r="AF461" s="616"/>
      <c r="AG461" s="613"/>
      <c r="AH461" s="613"/>
      <c r="AI461" s="613"/>
      <c r="AJ461" s="613"/>
      <c r="AK461" s="613"/>
      <c r="AL461" s="613"/>
      <c r="AM461" s="613"/>
      <c r="AN461" s="613"/>
      <c r="AO461" s="613"/>
      <c r="AP461" s="613"/>
      <c r="AQ461" s="613"/>
      <c r="AR461" s="613"/>
      <c r="AS461" s="613"/>
      <c r="AT461" s="613"/>
      <c r="AU461" s="613"/>
      <c r="AV461" s="613"/>
      <c r="AW461" s="613"/>
      <c r="AX461" s="613"/>
      <c r="AY461" s="613"/>
      <c r="AZ461" s="613"/>
      <c r="BA461" s="613"/>
      <c r="BB461" s="613"/>
      <c r="BC461" s="613"/>
      <c r="BD461" s="613"/>
      <c r="BE461" s="613"/>
    </row>
    <row r="462" spans="2:57">
      <c r="B462" s="35" t="s">
        <v>2</v>
      </c>
      <c r="C462" s="35"/>
      <c r="D462" s="591"/>
      <c r="E462" s="36" t="s">
        <v>511</v>
      </c>
      <c r="F462" s="37" t="s">
        <v>14</v>
      </c>
      <c r="G462" s="591"/>
      <c r="H462" s="33"/>
      <c r="I462" s="622"/>
      <c r="J462" s="35"/>
      <c r="K462" s="36"/>
      <c r="L462" s="211"/>
      <c r="M462" s="613"/>
      <c r="N462" s="613"/>
      <c r="O462" s="35"/>
      <c r="P462" s="611"/>
      <c r="Q462" s="611"/>
      <c r="R462" s="611"/>
      <c r="S462" s="615"/>
      <c r="T462" s="613"/>
      <c r="U462" s="613"/>
      <c r="V462" s="613"/>
      <c r="W462" s="613"/>
      <c r="X462" s="613"/>
      <c r="Y462" s="613"/>
      <c r="Z462" s="613"/>
      <c r="AA462" s="613"/>
      <c r="AB462" s="615"/>
      <c r="AC462" s="615"/>
      <c r="AD462" s="615"/>
      <c r="AE462" s="615"/>
      <c r="AF462" s="615"/>
      <c r="AG462" s="615"/>
      <c r="AH462" s="615"/>
      <c r="AI462" s="615"/>
      <c r="AJ462" s="615"/>
      <c r="AK462" s="615"/>
      <c r="AL462" s="615"/>
      <c r="AM462" s="615"/>
      <c r="AN462" s="615"/>
      <c r="AO462" s="613"/>
      <c r="AP462" s="613"/>
      <c r="AQ462" s="613"/>
      <c r="AR462" s="613"/>
      <c r="AS462" s="613"/>
      <c r="AT462" s="613"/>
      <c r="AU462" s="613"/>
      <c r="AV462" s="613"/>
      <c r="AW462" s="613"/>
      <c r="AX462" s="613"/>
      <c r="AY462" s="613"/>
      <c r="AZ462" s="613"/>
      <c r="BA462" s="613"/>
      <c r="BB462" s="613"/>
      <c r="BC462" s="613"/>
      <c r="BD462" s="613"/>
      <c r="BE462" s="613"/>
    </row>
    <row r="463" spans="2:57">
      <c r="B463" s="613"/>
      <c r="C463" s="613"/>
      <c r="D463" s="613"/>
      <c r="E463" s="613"/>
      <c r="F463" s="613"/>
      <c r="G463" s="613"/>
      <c r="H463" s="613"/>
      <c r="I463" s="622"/>
      <c r="J463" s="35"/>
      <c r="K463" s="35"/>
      <c r="L463" s="621"/>
      <c r="M463" s="611"/>
      <c r="N463" s="611"/>
      <c r="O463" s="35"/>
      <c r="P463" s="611"/>
      <c r="Q463" s="611"/>
      <c r="R463" s="611"/>
      <c r="S463" s="615"/>
      <c r="T463" s="1317" t="s">
        <v>87</v>
      </c>
      <c r="U463" s="1317"/>
      <c r="V463" s="1317"/>
      <c r="W463" s="1317"/>
      <c r="X463" s="1317"/>
      <c r="Y463" s="1317" t="s">
        <v>73</v>
      </c>
      <c r="Z463" s="1317"/>
      <c r="AA463" s="1317"/>
      <c r="AB463" s="1317" t="s">
        <v>74</v>
      </c>
      <c r="AC463" s="1317"/>
      <c r="AD463" s="623" t="s">
        <v>85</v>
      </c>
      <c r="AE463" s="854" t="s">
        <v>77</v>
      </c>
      <c r="AF463" s="1459" t="s">
        <v>525</v>
      </c>
      <c r="AG463" s="1459"/>
      <c r="AH463" s="1459"/>
      <c r="AI463" s="1459"/>
      <c r="AJ463" s="1459"/>
      <c r="AK463" s="1459"/>
      <c r="AL463" s="1459"/>
      <c r="AM463" s="1459"/>
      <c r="AN463" s="1459"/>
      <c r="AO463" s="1459"/>
      <c r="AP463" s="1459"/>
      <c r="AQ463" s="1459"/>
      <c r="AR463" s="1459"/>
      <c r="AS463" s="1459"/>
      <c r="AT463" s="1459"/>
      <c r="AU463" s="1459"/>
      <c r="AV463" s="1459"/>
      <c r="AW463" s="1459"/>
      <c r="AX463" s="1459"/>
      <c r="AY463" s="1459"/>
      <c r="AZ463" s="1459"/>
      <c r="BA463" s="1459"/>
      <c r="BB463" s="1459"/>
      <c r="BC463" s="1459"/>
      <c r="BD463" s="1459"/>
      <c r="BE463" s="613"/>
    </row>
    <row r="464" spans="2:57">
      <c r="B464" s="1318" t="s">
        <v>526</v>
      </c>
      <c r="C464" s="1319"/>
      <c r="D464" s="624" t="s">
        <v>527</v>
      </c>
      <c r="E464" s="624"/>
      <c r="F464" s="624" t="s">
        <v>528</v>
      </c>
      <c r="G464" s="624" t="s">
        <v>529</v>
      </c>
      <c r="H464" s="624" t="s">
        <v>530</v>
      </c>
      <c r="I464" s="624" t="s">
        <v>531</v>
      </c>
      <c r="J464" s="624" t="s">
        <v>532</v>
      </c>
      <c r="K464" s="624"/>
      <c r="L464" s="624" t="s">
        <v>130</v>
      </c>
      <c r="M464" s="624" t="s">
        <v>533</v>
      </c>
      <c r="N464" s="625" t="str">
        <f>"On time - "&amp;COUNTIF(N465:N478,"On time")&amp;" from "&amp;ROWS(N465:N478)-COUNTIF(N465:N478," ")</f>
        <v>On time - 9 from 9</v>
      </c>
      <c r="O464" s="626"/>
      <c r="P464" s="627" t="s">
        <v>534</v>
      </c>
      <c r="Q464" s="627" t="s">
        <v>535</v>
      </c>
      <c r="R464" s="627" t="s">
        <v>536</v>
      </c>
      <c r="S464" s="591"/>
      <c r="T464" s="628" t="s">
        <v>537</v>
      </c>
      <c r="U464" s="628" t="s">
        <v>538</v>
      </c>
      <c r="V464" s="628" t="s">
        <v>539</v>
      </c>
      <c r="W464" s="628" t="s">
        <v>540</v>
      </c>
      <c r="X464" s="628" t="s">
        <v>541</v>
      </c>
      <c r="Y464" s="628" t="s">
        <v>167</v>
      </c>
      <c r="Z464" s="628" t="s">
        <v>168</v>
      </c>
      <c r="AA464" s="628" t="s">
        <v>169</v>
      </c>
      <c r="AB464" s="628" t="s">
        <v>235</v>
      </c>
      <c r="AC464" s="628" t="s">
        <v>240</v>
      </c>
      <c r="AD464" s="623" t="s">
        <v>85</v>
      </c>
      <c r="AE464" s="628" t="s">
        <v>139</v>
      </c>
      <c r="AF464" s="855" t="s">
        <v>72</v>
      </c>
      <c r="AG464" s="855" t="s">
        <v>88</v>
      </c>
      <c r="AH464" s="855" t="s">
        <v>75</v>
      </c>
      <c r="AI464" s="855" t="s">
        <v>543</v>
      </c>
      <c r="AJ464" s="855" t="s">
        <v>78</v>
      </c>
      <c r="AK464" s="855" t="s">
        <v>76</v>
      </c>
      <c r="AL464" s="855" t="s">
        <v>544</v>
      </c>
      <c r="AM464" s="855" t="s">
        <v>545</v>
      </c>
      <c r="AN464" s="855" t="s">
        <v>86</v>
      </c>
      <c r="AO464" s="855" t="s">
        <v>83</v>
      </c>
      <c r="AP464" s="855" t="s">
        <v>84</v>
      </c>
      <c r="AQ464" s="855" t="s">
        <v>546</v>
      </c>
      <c r="AR464" s="855" t="s">
        <v>81</v>
      </c>
      <c r="AS464" s="855" t="s">
        <v>80</v>
      </c>
      <c r="AT464" s="855" t="s">
        <v>82</v>
      </c>
      <c r="AU464" s="855" t="s">
        <v>181</v>
      </c>
      <c r="AV464" s="855" t="s">
        <v>183</v>
      </c>
      <c r="AW464" s="855" t="s">
        <v>547</v>
      </c>
      <c r="AX464" s="855" t="s">
        <v>182</v>
      </c>
      <c r="AY464" s="855" t="s">
        <v>172</v>
      </c>
      <c r="AZ464" s="855" t="s">
        <v>173</v>
      </c>
      <c r="BA464" s="855" t="s">
        <v>184</v>
      </c>
      <c r="BB464" s="855" t="s">
        <v>100</v>
      </c>
      <c r="BC464" s="855" t="s">
        <v>913</v>
      </c>
      <c r="BD464" s="855" t="s">
        <v>2747</v>
      </c>
      <c r="BE464" s="613"/>
    </row>
    <row r="465" spans="2:57">
      <c r="B465" s="1296" t="s">
        <v>1154</v>
      </c>
      <c r="C465" s="1297"/>
      <c r="D465" s="436" t="s">
        <v>3555</v>
      </c>
      <c r="E465" s="436"/>
      <c r="F465" s="436" t="s">
        <v>284</v>
      </c>
      <c r="G465" s="436" t="s">
        <v>285</v>
      </c>
      <c r="H465" s="630">
        <v>9065.6170000000002</v>
      </c>
      <c r="I465" s="906" t="s">
        <v>1472</v>
      </c>
      <c r="J465" s="439">
        <v>45255.861111111109</v>
      </c>
      <c r="K465" s="439"/>
      <c r="L465" s="907" t="s">
        <v>192</v>
      </c>
      <c r="M465" s="907" t="s">
        <v>192</v>
      </c>
      <c r="N465" s="438" t="str">
        <f t="shared" ref="N465:N478" si="44">IF(ISBLANK(J465)," ",IF(J465&lt;$G$459,"On time",(IF(DAY(J465-$G$459)&lt;1,"On time",(IF(J465&gt;$G$459,"DELAY ( "&amp;DAY(J465-$G$459)&amp;" day "&amp;HOUR(J465-$G$459)&amp;" hour "&amp;MINUTE(J465-$G$459)&amp;" minute )","xxx"))))))</f>
        <v>On time</v>
      </c>
      <c r="O465" s="631"/>
      <c r="P465" s="440" t="s">
        <v>551</v>
      </c>
      <c r="Q465" s="440" t="s">
        <v>551</v>
      </c>
      <c r="R465" s="440" t="s">
        <v>551</v>
      </c>
      <c r="S465" s="613"/>
      <c r="T465" s="632"/>
      <c r="U465" s="632"/>
      <c r="V465" s="632"/>
      <c r="W465" s="632"/>
      <c r="X465" s="632"/>
      <c r="Y465" s="632"/>
      <c r="Z465" s="632"/>
      <c r="AA465" s="632"/>
      <c r="AB465" s="632">
        <f>H465*0.45</f>
        <v>4079.52765</v>
      </c>
      <c r="AC465" s="632">
        <f>H465*0.55</f>
        <v>4986.0893500000002</v>
      </c>
      <c r="AD465" s="632"/>
      <c r="AE465" s="632"/>
      <c r="AF465" s="632"/>
      <c r="AG465" s="632"/>
      <c r="AH465" s="632"/>
      <c r="AI465" s="632"/>
      <c r="AJ465" s="632"/>
      <c r="AK465" s="632"/>
      <c r="AL465" s="632"/>
      <c r="AM465" s="632"/>
      <c r="AN465" s="632"/>
      <c r="AO465" s="632"/>
      <c r="AP465" s="632"/>
      <c r="AQ465" s="632"/>
      <c r="AR465" s="632"/>
      <c r="AS465" s="632"/>
      <c r="AT465" s="632"/>
      <c r="AU465" s="632"/>
      <c r="AV465" s="632"/>
      <c r="AW465" s="632"/>
      <c r="AX465" s="632"/>
      <c r="AY465" s="632"/>
      <c r="AZ465" s="632"/>
      <c r="BA465" s="632"/>
      <c r="BB465" s="632"/>
      <c r="BC465" s="632"/>
      <c r="BD465" s="632"/>
      <c r="BE465" s="613"/>
    </row>
    <row r="466" spans="2:57">
      <c r="B466" s="1298"/>
      <c r="C466" s="1299"/>
      <c r="D466" s="436" t="s">
        <v>3679</v>
      </c>
      <c r="E466" s="442"/>
      <c r="F466" s="436" t="s">
        <v>346</v>
      </c>
      <c r="G466" s="436" t="s">
        <v>347</v>
      </c>
      <c r="H466" s="630">
        <f>7488.803/2</f>
        <v>3744.4014999999999</v>
      </c>
      <c r="I466" s="1363" t="s">
        <v>1372</v>
      </c>
      <c r="J466" s="1365">
        <v>45255.840277777781</v>
      </c>
      <c r="K466" s="1031"/>
      <c r="L466" s="1460" t="s">
        <v>192</v>
      </c>
      <c r="M466" s="1460" t="s">
        <v>192</v>
      </c>
      <c r="N466" s="438" t="str">
        <f t="shared" si="44"/>
        <v>On time</v>
      </c>
      <c r="O466" s="631"/>
      <c r="P466" s="440" t="s">
        <v>551</v>
      </c>
      <c r="Q466" s="440" t="s">
        <v>551</v>
      </c>
      <c r="R466" s="440" t="s">
        <v>551</v>
      </c>
      <c r="S466" s="613"/>
      <c r="T466" s="632"/>
      <c r="U466" s="632"/>
      <c r="V466" s="632"/>
      <c r="W466" s="632"/>
      <c r="X466" s="632"/>
      <c r="Y466" s="632">
        <f>H466*0.75</f>
        <v>2808.301125</v>
      </c>
      <c r="Z466" s="632">
        <f>H466*0.25</f>
        <v>936.10037499999999</v>
      </c>
      <c r="AA466" s="632"/>
      <c r="AB466" s="632"/>
      <c r="AC466" s="613"/>
      <c r="AD466" s="632"/>
      <c r="AE466" s="632"/>
      <c r="AF466" s="632"/>
      <c r="AG466" s="632"/>
      <c r="AH466" s="632"/>
      <c r="AI466" s="632"/>
      <c r="AJ466" s="632"/>
      <c r="AK466" s="632"/>
      <c r="AL466" s="632"/>
      <c r="AM466" s="632"/>
      <c r="AN466" s="632"/>
      <c r="AO466" s="632"/>
      <c r="AP466" s="632"/>
      <c r="AQ466" s="632"/>
      <c r="AR466" s="632"/>
      <c r="AS466" s="632"/>
      <c r="AT466" s="632"/>
      <c r="AU466" s="632"/>
      <c r="AV466" s="632"/>
      <c r="AW466" s="632"/>
      <c r="AX466" s="632"/>
      <c r="AY466" s="632"/>
      <c r="AZ466" s="632"/>
      <c r="BA466" s="632"/>
      <c r="BB466" s="632"/>
      <c r="BC466" s="632"/>
      <c r="BD466" s="632"/>
      <c r="BE466" s="613"/>
    </row>
    <row r="467" spans="2:57">
      <c r="B467" s="1296" t="s">
        <v>656</v>
      </c>
      <c r="C467" s="1297"/>
      <c r="D467" s="436" t="s">
        <v>3679</v>
      </c>
      <c r="E467" s="442"/>
      <c r="F467" s="436" t="s">
        <v>346</v>
      </c>
      <c r="G467" s="436" t="s">
        <v>347</v>
      </c>
      <c r="H467" s="630">
        <f>H466</f>
        <v>3744.4014999999999</v>
      </c>
      <c r="I467" s="1364"/>
      <c r="J467" s="1366"/>
      <c r="K467" s="1031"/>
      <c r="L467" s="1461"/>
      <c r="M467" s="1461"/>
      <c r="N467" s="438" t="str">
        <f t="shared" si="44"/>
        <v xml:space="preserve"> </v>
      </c>
      <c r="O467" s="631"/>
      <c r="P467" s="440" t="s">
        <v>551</v>
      </c>
      <c r="Q467" s="440" t="s">
        <v>551</v>
      </c>
      <c r="R467" s="440" t="s">
        <v>551</v>
      </c>
      <c r="S467" s="613"/>
      <c r="T467" s="632"/>
      <c r="U467" s="632"/>
      <c r="V467" s="632"/>
      <c r="W467" s="632"/>
      <c r="X467" s="632"/>
      <c r="Y467" s="632">
        <f>H467*0.75</f>
        <v>2808.301125</v>
      </c>
      <c r="Z467" s="632">
        <f>H467*0.25</f>
        <v>936.10037499999999</v>
      </c>
      <c r="AA467" s="632"/>
      <c r="AB467" s="632"/>
      <c r="AC467" s="613"/>
      <c r="AD467" s="632"/>
      <c r="AE467" s="632"/>
      <c r="AF467" s="632"/>
      <c r="AG467" s="632"/>
      <c r="AH467" s="632"/>
      <c r="AI467" s="632"/>
      <c r="AJ467" s="632"/>
      <c r="AK467" s="632"/>
      <c r="AL467" s="632"/>
      <c r="AM467" s="632"/>
      <c r="AN467" s="632"/>
      <c r="AO467" s="632"/>
      <c r="AP467" s="632"/>
      <c r="AQ467" s="632"/>
      <c r="AR467" s="632"/>
      <c r="AS467" s="632"/>
      <c r="AT467" s="632"/>
      <c r="AU467" s="632"/>
      <c r="AV467" s="632"/>
      <c r="AW467" s="632"/>
      <c r="AX467" s="632"/>
      <c r="AY467" s="632"/>
      <c r="AZ467" s="632"/>
      <c r="BA467" s="632"/>
      <c r="BB467" s="632"/>
      <c r="BC467" s="632"/>
      <c r="BD467" s="632"/>
      <c r="BE467" s="613"/>
    </row>
    <row r="468" spans="2:57">
      <c r="B468" s="1298"/>
      <c r="C468" s="1299"/>
      <c r="D468" s="501" t="s">
        <v>3556</v>
      </c>
      <c r="E468" s="501"/>
      <c r="F468" s="501" t="s">
        <v>218</v>
      </c>
      <c r="G468" s="501" t="s">
        <v>350</v>
      </c>
      <c r="H468" s="629">
        <v>7449.57</v>
      </c>
      <c r="I468" s="584" t="s">
        <v>1472</v>
      </c>
      <c r="J468" s="504">
        <v>45256.90625</v>
      </c>
      <c r="K468" s="608"/>
      <c r="L468" s="1032" t="s">
        <v>192</v>
      </c>
      <c r="M468" s="1032" t="s">
        <v>192</v>
      </c>
      <c r="N468" s="438" t="str">
        <f t="shared" si="44"/>
        <v>On time</v>
      </c>
      <c r="O468" s="597"/>
      <c r="P468" s="507" t="s">
        <v>551</v>
      </c>
      <c r="Q468" s="507" t="s">
        <v>551</v>
      </c>
      <c r="R468" s="507" t="s">
        <v>551</v>
      </c>
      <c r="S468" s="598"/>
      <c r="T468" s="599"/>
      <c r="U468" s="599"/>
      <c r="V468" s="599"/>
      <c r="W468" s="599"/>
      <c r="X468" s="599"/>
      <c r="Y468" s="599"/>
      <c r="Z468" s="599"/>
      <c r="AA468" s="599"/>
      <c r="AB468" s="599">
        <f>H468*0.45</f>
        <v>3352.3065000000001</v>
      </c>
      <c r="AC468" s="599">
        <f>H468*0.55</f>
        <v>4097.2635</v>
      </c>
      <c r="AD468" s="599"/>
      <c r="AE468" s="599"/>
      <c r="AF468" s="599"/>
      <c r="AG468" s="599"/>
      <c r="AH468" s="599"/>
      <c r="AI468" s="599"/>
      <c r="AJ468" s="599"/>
      <c r="AK468" s="599"/>
      <c r="AL468" s="599"/>
      <c r="AM468" s="599"/>
      <c r="AN468" s="599"/>
      <c r="AO468" s="599"/>
      <c r="AP468" s="598"/>
      <c r="AQ468" s="599"/>
      <c r="AR468" s="599"/>
      <c r="AS468" s="599"/>
      <c r="AT468" s="599"/>
      <c r="AU468" s="599"/>
      <c r="AV468" s="599"/>
      <c r="AW468" s="599"/>
      <c r="AX468" s="599"/>
      <c r="AY468" s="599"/>
      <c r="AZ468" s="599"/>
      <c r="BA468" s="599"/>
      <c r="BB468" s="599"/>
      <c r="BC468" s="599"/>
      <c r="BD468" s="599"/>
      <c r="BE468" s="598"/>
    </row>
    <row r="469" spans="2:57">
      <c r="B469" s="1326" t="s">
        <v>872</v>
      </c>
      <c r="C469" s="1327"/>
      <c r="D469" s="501" t="s">
        <v>3557</v>
      </c>
      <c r="E469" s="501"/>
      <c r="F469" s="501" t="s">
        <v>238</v>
      </c>
      <c r="G469" s="501" t="s">
        <v>239</v>
      </c>
      <c r="H469" s="629">
        <v>7501.02</v>
      </c>
      <c r="I469" s="584" t="s">
        <v>1472</v>
      </c>
      <c r="J469" s="504">
        <v>45256.875</v>
      </c>
      <c r="K469" s="1033"/>
      <c r="L469" s="1032" t="s">
        <v>192</v>
      </c>
      <c r="M469" s="1032" t="s">
        <v>192</v>
      </c>
      <c r="N469" s="438" t="str">
        <f t="shared" si="44"/>
        <v>On time</v>
      </c>
      <c r="O469" s="597"/>
      <c r="P469" s="507" t="s">
        <v>551</v>
      </c>
      <c r="Q469" s="507" t="s">
        <v>551</v>
      </c>
      <c r="R469" s="507" t="s">
        <v>551</v>
      </c>
      <c r="S469" s="598"/>
      <c r="T469" s="599"/>
      <c r="U469" s="599"/>
      <c r="V469" s="599"/>
      <c r="W469" s="599"/>
      <c r="X469" s="599"/>
      <c r="Y469" s="599"/>
      <c r="Z469" s="599"/>
      <c r="AA469" s="599"/>
      <c r="AB469" s="599">
        <f>H469*0.45</f>
        <v>3375.4590000000003</v>
      </c>
      <c r="AC469" s="599">
        <f>H469*0.55</f>
        <v>4125.5610000000006</v>
      </c>
      <c r="AD469" s="599"/>
      <c r="AE469" s="599"/>
      <c r="AF469" s="599"/>
      <c r="AG469" s="599"/>
      <c r="AH469" s="599"/>
      <c r="AI469" s="599"/>
      <c r="AJ469" s="599"/>
      <c r="AK469" s="599"/>
      <c r="AL469" s="599"/>
      <c r="AM469" s="599"/>
      <c r="AN469" s="599"/>
      <c r="AO469" s="599"/>
      <c r="AP469" s="599"/>
      <c r="AQ469" s="599"/>
      <c r="AR469" s="599"/>
      <c r="AS469" s="599"/>
      <c r="AT469" s="599"/>
      <c r="AU469" s="599"/>
      <c r="AV469" s="599"/>
      <c r="AW469" s="599"/>
      <c r="AX469" s="599"/>
      <c r="AY469" s="599"/>
      <c r="AZ469" s="599"/>
      <c r="BA469" s="599"/>
      <c r="BB469" s="599"/>
      <c r="BC469" s="599"/>
      <c r="BD469" s="599"/>
      <c r="BE469" s="598"/>
    </row>
    <row r="470" spans="2:57">
      <c r="B470" s="1328"/>
      <c r="C470" s="1329"/>
      <c r="D470" s="501" t="s">
        <v>3600</v>
      </c>
      <c r="E470" s="502"/>
      <c r="F470" s="501" t="s">
        <v>371</v>
      </c>
      <c r="G470" s="501" t="s">
        <v>372</v>
      </c>
      <c r="H470" s="629">
        <f>7525.236/2</f>
        <v>3762.6179999999999</v>
      </c>
      <c r="I470" s="1359" t="s">
        <v>3601</v>
      </c>
      <c r="J470" s="1361">
        <v>45255.260416666664</v>
      </c>
      <c r="K470" s="1033"/>
      <c r="L470" s="1032" t="s">
        <v>192</v>
      </c>
      <c r="M470" s="1032" t="s">
        <v>192</v>
      </c>
      <c r="N470" s="438" t="str">
        <f t="shared" si="44"/>
        <v>On time</v>
      </c>
      <c r="O470" s="597"/>
      <c r="P470" s="507" t="s">
        <v>551</v>
      </c>
      <c r="Q470" s="507" t="s">
        <v>551</v>
      </c>
      <c r="R470" s="507" t="s">
        <v>551</v>
      </c>
      <c r="S470" s="598"/>
      <c r="T470" s="599">
        <f>H470</f>
        <v>3762.6179999999999</v>
      </c>
      <c r="U470" s="599"/>
      <c r="V470" s="599"/>
      <c r="W470" s="599"/>
      <c r="X470" s="599"/>
      <c r="Y470" s="599"/>
      <c r="Z470" s="599"/>
      <c r="AA470" s="599"/>
      <c r="AB470" s="599"/>
      <c r="AC470" s="599"/>
      <c r="AD470" s="599"/>
      <c r="AE470" s="599"/>
      <c r="AF470" s="599"/>
      <c r="AG470" s="599"/>
      <c r="AH470" s="599"/>
      <c r="AI470" s="599"/>
      <c r="AJ470" s="599"/>
      <c r="AK470" s="599"/>
      <c r="AL470" s="599"/>
      <c r="AM470" s="599"/>
      <c r="AN470" s="599"/>
      <c r="AO470" s="599"/>
      <c r="AP470" s="599"/>
      <c r="AQ470" s="599"/>
      <c r="AR470" s="599"/>
      <c r="AS470" s="599"/>
      <c r="AT470" s="599"/>
      <c r="AU470" s="599"/>
      <c r="AV470" s="599"/>
      <c r="AW470" s="599"/>
      <c r="AX470" s="599"/>
      <c r="AY470" s="599"/>
      <c r="AZ470" s="599"/>
      <c r="BA470" s="599"/>
      <c r="BB470" s="599"/>
      <c r="BC470" s="599"/>
      <c r="BD470" s="599"/>
      <c r="BE470" s="598"/>
    </row>
    <row r="471" spans="2:57">
      <c r="B471" s="1326" t="s">
        <v>644</v>
      </c>
      <c r="C471" s="1327"/>
      <c r="D471" s="501" t="s">
        <v>3600</v>
      </c>
      <c r="E471" s="502"/>
      <c r="F471" s="501" t="s">
        <v>371</v>
      </c>
      <c r="G471" s="501" t="s">
        <v>372</v>
      </c>
      <c r="H471" s="629">
        <f>H470</f>
        <v>3762.6179999999999</v>
      </c>
      <c r="I471" s="1360"/>
      <c r="J471" s="1362"/>
      <c r="K471" s="1033"/>
      <c r="L471" s="1032" t="s">
        <v>192</v>
      </c>
      <c r="M471" s="1032" t="s">
        <v>192</v>
      </c>
      <c r="N471" s="438" t="str">
        <f t="shared" si="44"/>
        <v xml:space="preserve"> </v>
      </c>
      <c r="O471" s="597"/>
      <c r="P471" s="507" t="s">
        <v>551</v>
      </c>
      <c r="Q471" s="507" t="s">
        <v>551</v>
      </c>
      <c r="R471" s="507" t="s">
        <v>551</v>
      </c>
      <c r="S471" s="598"/>
      <c r="T471" s="599">
        <f>H471</f>
        <v>3762.6179999999999</v>
      </c>
      <c r="U471" s="599"/>
      <c r="V471" s="599"/>
      <c r="W471" s="599"/>
      <c r="X471" s="599"/>
      <c r="Y471" s="599"/>
      <c r="Z471" s="599"/>
      <c r="AA471" s="599"/>
      <c r="AB471" s="599"/>
      <c r="AC471" s="599"/>
      <c r="AD471" s="599"/>
      <c r="AE471" s="599"/>
      <c r="AF471" s="599"/>
      <c r="AG471" s="599"/>
      <c r="AH471" s="599"/>
      <c r="AI471" s="599"/>
      <c r="AJ471" s="599"/>
      <c r="AK471" s="599"/>
      <c r="AL471" s="599"/>
      <c r="AM471" s="599"/>
      <c r="AN471" s="599"/>
      <c r="AO471" s="599"/>
      <c r="AP471" s="599"/>
      <c r="AQ471" s="599"/>
      <c r="AR471" s="599"/>
      <c r="AS471" s="599"/>
      <c r="AT471" s="599"/>
      <c r="AU471" s="599"/>
      <c r="AV471" s="599"/>
      <c r="AW471" s="599"/>
      <c r="AX471" s="599"/>
      <c r="AY471" s="599"/>
      <c r="AZ471" s="599"/>
      <c r="BA471" s="599"/>
      <c r="BB471" s="599"/>
      <c r="BC471" s="599"/>
      <c r="BD471" s="599"/>
      <c r="BE471" s="598"/>
    </row>
    <row r="472" spans="2:57">
      <c r="B472" s="1328"/>
      <c r="C472" s="1329"/>
      <c r="D472" s="501" t="s">
        <v>3558</v>
      </c>
      <c r="E472" s="501"/>
      <c r="F472" s="501" t="s">
        <v>334</v>
      </c>
      <c r="G472" s="501" t="s">
        <v>335</v>
      </c>
      <c r="H472" s="629">
        <v>7908.817</v>
      </c>
      <c r="I472" s="584" t="s">
        <v>1472</v>
      </c>
      <c r="J472" s="504">
        <v>45257</v>
      </c>
      <c r="K472" s="1033"/>
      <c r="L472" s="1032" t="s">
        <v>192</v>
      </c>
      <c r="M472" s="1032" t="s">
        <v>192</v>
      </c>
      <c r="N472" s="438" t="str">
        <f t="shared" si="44"/>
        <v>On time</v>
      </c>
      <c r="O472" s="597"/>
      <c r="P472" s="507" t="s">
        <v>551</v>
      </c>
      <c r="Q472" s="507" t="s">
        <v>551</v>
      </c>
      <c r="R472" s="507" t="s">
        <v>551</v>
      </c>
      <c r="S472" s="598"/>
      <c r="T472" s="599"/>
      <c r="U472" s="599"/>
      <c r="V472" s="599"/>
      <c r="W472" s="599"/>
      <c r="X472" s="599"/>
      <c r="Y472" s="599"/>
      <c r="Z472" s="599"/>
      <c r="AA472" s="599"/>
      <c r="AB472" s="599">
        <f t="shared" ref="AB472" si="45">H472*0.45</f>
        <v>3558.96765</v>
      </c>
      <c r="AC472" s="599">
        <f t="shared" ref="AC472" si="46">H472*0.55</f>
        <v>4349.8493500000004</v>
      </c>
      <c r="AD472" s="599"/>
      <c r="AE472" s="599"/>
      <c r="AF472" s="599"/>
      <c r="AG472" s="599"/>
      <c r="AH472" s="599"/>
      <c r="AI472" s="599"/>
      <c r="AJ472" s="599"/>
      <c r="AK472" s="599"/>
      <c r="AL472" s="599"/>
      <c r="AM472" s="599"/>
      <c r="AN472" s="599"/>
      <c r="AO472" s="599"/>
      <c r="AP472" s="599"/>
      <c r="AQ472" s="599"/>
      <c r="AR472" s="599"/>
      <c r="AS472" s="599"/>
      <c r="AT472" s="599"/>
      <c r="AU472" s="599"/>
      <c r="AV472" s="599"/>
      <c r="AW472" s="599"/>
      <c r="AX472" s="599"/>
      <c r="AY472" s="599"/>
      <c r="AZ472" s="599"/>
      <c r="BA472" s="599"/>
      <c r="BB472" s="599"/>
      <c r="BC472" s="599"/>
      <c r="BD472" s="599"/>
      <c r="BE472" s="598"/>
    </row>
    <row r="473" spans="2:57">
      <c r="B473" s="1326" t="s">
        <v>2123</v>
      </c>
      <c r="C473" s="1327"/>
      <c r="D473" s="501" t="s">
        <v>3559</v>
      </c>
      <c r="E473" s="501"/>
      <c r="F473" s="501" t="s">
        <v>298</v>
      </c>
      <c r="G473" s="501" t="s">
        <v>299</v>
      </c>
      <c r="H473" s="629">
        <v>10354.564</v>
      </c>
      <c r="I473" s="584" t="s">
        <v>1472</v>
      </c>
      <c r="J473" s="504">
        <v>45257.5</v>
      </c>
      <c r="K473" s="608"/>
      <c r="L473" s="1032" t="s">
        <v>192</v>
      </c>
      <c r="M473" s="1032" t="s">
        <v>192</v>
      </c>
      <c r="N473" s="438" t="str">
        <f t="shared" si="44"/>
        <v>On time</v>
      </c>
      <c r="O473" s="597"/>
      <c r="P473" s="507" t="s">
        <v>551</v>
      </c>
      <c r="Q473" s="507" t="s">
        <v>551</v>
      </c>
      <c r="R473" s="507" t="s">
        <v>551</v>
      </c>
      <c r="S473" s="598"/>
      <c r="T473" s="599"/>
      <c r="U473" s="599"/>
      <c r="V473" s="599"/>
      <c r="W473" s="599"/>
      <c r="X473" s="599"/>
      <c r="Y473" s="599"/>
      <c r="Z473" s="599"/>
      <c r="AA473" s="599"/>
      <c r="AB473" s="599">
        <f>H473*0.45</f>
        <v>4659.5538000000006</v>
      </c>
      <c r="AC473" s="599">
        <f>H473*0.55</f>
        <v>5695.0102000000006</v>
      </c>
      <c r="AD473" s="599"/>
      <c r="AE473" s="599"/>
      <c r="AF473" s="599"/>
      <c r="AG473" s="599"/>
      <c r="AH473" s="599"/>
      <c r="AI473" s="599"/>
      <c r="AJ473" s="599"/>
      <c r="AK473" s="599"/>
      <c r="AL473" s="599"/>
      <c r="AM473" s="599"/>
      <c r="AN473" s="599"/>
      <c r="AO473" s="599"/>
      <c r="AP473" s="598"/>
      <c r="AQ473" s="599"/>
      <c r="AR473" s="599"/>
      <c r="AS473" s="599"/>
      <c r="AT473" s="599"/>
      <c r="AU473" s="599"/>
      <c r="AV473" s="599"/>
      <c r="AW473" s="599"/>
      <c r="AX473" s="599"/>
      <c r="AY473" s="599"/>
      <c r="AZ473" s="599"/>
      <c r="BA473" s="599"/>
      <c r="BB473" s="599"/>
      <c r="BC473" s="599"/>
      <c r="BD473" s="599"/>
      <c r="BE473" s="598"/>
    </row>
    <row r="474" spans="2:57">
      <c r="B474" s="1328"/>
      <c r="C474" s="1329"/>
      <c r="D474" s="501" t="s">
        <v>3602</v>
      </c>
      <c r="E474" s="502"/>
      <c r="F474" s="501" t="s">
        <v>2277</v>
      </c>
      <c r="G474" s="501" t="s">
        <v>2278</v>
      </c>
      <c r="H474" s="629">
        <f>7519.639/2</f>
        <v>3759.8195000000001</v>
      </c>
      <c r="I474" s="584" t="s">
        <v>3601</v>
      </c>
      <c r="J474" s="1361">
        <v>45256.951388888891</v>
      </c>
      <c r="K474" s="608"/>
      <c r="L474" s="1032" t="s">
        <v>192</v>
      </c>
      <c r="M474" s="1032" t="s">
        <v>192</v>
      </c>
      <c r="N474" s="438" t="str">
        <f t="shared" si="44"/>
        <v>On time</v>
      </c>
      <c r="O474" s="597"/>
      <c r="P474" s="507" t="s">
        <v>551</v>
      </c>
      <c r="Q474" s="507" t="s">
        <v>551</v>
      </c>
      <c r="R474" s="507" t="s">
        <v>551</v>
      </c>
      <c r="S474" s="598"/>
      <c r="T474" s="599">
        <f>H474</f>
        <v>3759.8195000000001</v>
      </c>
      <c r="U474" s="599"/>
      <c r="V474" s="599"/>
      <c r="W474" s="599"/>
      <c r="X474" s="599"/>
      <c r="Y474" s="599"/>
      <c r="Z474" s="599"/>
      <c r="AA474" s="599"/>
      <c r="AB474" s="599"/>
      <c r="AC474" s="599"/>
      <c r="AD474" s="599"/>
      <c r="AE474" s="599"/>
      <c r="AF474" s="599"/>
      <c r="AG474" s="599"/>
      <c r="AH474" s="599"/>
      <c r="AI474" s="599"/>
      <c r="AJ474" s="599"/>
      <c r="AK474" s="599"/>
      <c r="AL474" s="599"/>
      <c r="AM474" s="599"/>
      <c r="AN474" s="599"/>
      <c r="AO474" s="599"/>
      <c r="AP474" s="599"/>
      <c r="AQ474" s="599"/>
      <c r="AR474" s="599"/>
      <c r="AS474" s="599"/>
      <c r="AT474" s="599"/>
      <c r="AU474" s="599"/>
      <c r="AV474" s="599"/>
      <c r="AW474" s="599"/>
      <c r="AX474" s="598"/>
      <c r="AY474" s="599"/>
      <c r="AZ474" s="599"/>
      <c r="BA474" s="599"/>
      <c r="BB474" s="599"/>
      <c r="BC474" s="599"/>
      <c r="BD474" s="599"/>
      <c r="BE474" s="598"/>
    </row>
    <row r="475" spans="2:57">
      <c r="B475" s="1326" t="s">
        <v>3743</v>
      </c>
      <c r="C475" s="1327"/>
      <c r="D475" s="501" t="s">
        <v>3602</v>
      </c>
      <c r="E475" s="502"/>
      <c r="F475" s="501" t="s">
        <v>2277</v>
      </c>
      <c r="G475" s="501" t="s">
        <v>2278</v>
      </c>
      <c r="H475" s="629">
        <f>H474</f>
        <v>3759.8195000000001</v>
      </c>
      <c r="I475" s="584" t="s">
        <v>3601</v>
      </c>
      <c r="J475" s="1362"/>
      <c r="K475" s="608"/>
      <c r="L475" s="1032" t="s">
        <v>192</v>
      </c>
      <c r="M475" s="1032" t="s">
        <v>192</v>
      </c>
      <c r="N475" s="438" t="str">
        <f t="shared" si="44"/>
        <v xml:space="preserve"> </v>
      </c>
      <c r="O475" s="597"/>
      <c r="P475" s="507" t="s">
        <v>551</v>
      </c>
      <c r="Q475" s="507" t="s">
        <v>551</v>
      </c>
      <c r="R475" s="507" t="s">
        <v>551</v>
      </c>
      <c r="S475" s="598"/>
      <c r="T475" s="599">
        <f>H475</f>
        <v>3759.8195000000001</v>
      </c>
      <c r="U475" s="599"/>
      <c r="V475" s="599"/>
      <c r="W475" s="599"/>
      <c r="X475" s="599"/>
      <c r="Y475" s="599"/>
      <c r="Z475" s="599"/>
      <c r="AA475" s="599"/>
      <c r="AB475" s="599"/>
      <c r="AC475" s="599"/>
      <c r="AD475" s="599"/>
      <c r="AE475" s="599"/>
      <c r="AF475" s="599"/>
      <c r="AG475" s="599"/>
      <c r="AH475" s="599"/>
      <c r="AI475" s="599"/>
      <c r="AJ475" s="599"/>
      <c r="AK475" s="599"/>
      <c r="AL475" s="599"/>
      <c r="AM475" s="599"/>
      <c r="AN475" s="599"/>
      <c r="AO475" s="599"/>
      <c r="AP475" s="599"/>
      <c r="AQ475" s="599"/>
      <c r="AR475" s="599"/>
      <c r="AS475" s="599"/>
      <c r="AT475" s="599"/>
      <c r="AU475" s="599"/>
      <c r="AV475" s="599"/>
      <c r="AW475" s="599"/>
      <c r="AX475" s="598"/>
      <c r="AY475" s="599"/>
      <c r="AZ475" s="599"/>
      <c r="BA475" s="599"/>
      <c r="BB475" s="599"/>
      <c r="BC475" s="599"/>
      <c r="BD475" s="599"/>
      <c r="BE475" s="598"/>
    </row>
    <row r="476" spans="2:57">
      <c r="B476" s="1456"/>
      <c r="C476" s="1457"/>
      <c r="D476" s="501" t="s">
        <v>3560</v>
      </c>
      <c r="E476" s="501"/>
      <c r="F476" s="501" t="s">
        <v>252</v>
      </c>
      <c r="G476" s="501" t="s">
        <v>253</v>
      </c>
      <c r="H476" s="629">
        <f>7502.37-3485.636</f>
        <v>4016.7339999999999</v>
      </c>
      <c r="I476" s="584" t="s">
        <v>1472</v>
      </c>
      <c r="J476" s="574">
        <v>45256.704861111109</v>
      </c>
      <c r="K476" s="574"/>
      <c r="L476" s="1032" t="s">
        <v>192</v>
      </c>
      <c r="M476" s="1032" t="s">
        <v>192</v>
      </c>
      <c r="N476" s="438" t="str">
        <f t="shared" si="44"/>
        <v>On time</v>
      </c>
      <c r="O476" s="597"/>
      <c r="P476" s="507" t="s">
        <v>551</v>
      </c>
      <c r="Q476" s="507" t="s">
        <v>551</v>
      </c>
      <c r="R476" s="507" t="s">
        <v>551</v>
      </c>
      <c r="S476" s="598"/>
      <c r="T476" s="599"/>
      <c r="U476" s="599"/>
      <c r="V476" s="599"/>
      <c r="W476" s="599"/>
      <c r="X476" s="599"/>
      <c r="Y476" s="599"/>
      <c r="Z476" s="599"/>
      <c r="AA476" s="599"/>
      <c r="AB476" s="599">
        <f>H476*0.45</f>
        <v>1807.5302999999999</v>
      </c>
      <c r="AC476" s="599">
        <f>H476*0.55</f>
        <v>2209.2037</v>
      </c>
      <c r="AD476" s="599"/>
      <c r="AE476" s="599"/>
      <c r="AF476" s="599"/>
      <c r="AG476" s="599"/>
      <c r="AH476" s="599"/>
      <c r="AI476" s="599"/>
      <c r="AJ476" s="599"/>
      <c r="AK476" s="598"/>
      <c r="AL476" s="599"/>
      <c r="AM476" s="599"/>
      <c r="AN476" s="599"/>
      <c r="AO476" s="599"/>
      <c r="AP476" s="599"/>
      <c r="AQ476" s="599"/>
      <c r="AR476" s="599"/>
      <c r="AS476" s="599"/>
      <c r="AT476" s="599"/>
      <c r="AU476" s="599"/>
      <c r="AV476" s="599"/>
      <c r="AW476" s="599"/>
      <c r="AX476" s="598"/>
      <c r="AY476" s="599"/>
      <c r="AZ476" s="599"/>
      <c r="BA476" s="599"/>
      <c r="BB476" s="599"/>
      <c r="BC476" s="599"/>
      <c r="BD476" s="599"/>
      <c r="BE476" s="598"/>
    </row>
    <row r="477" spans="2:57">
      <c r="B477" s="1258" t="s">
        <v>556</v>
      </c>
      <c r="C477" s="1259"/>
      <c r="D477" s="1259"/>
      <c r="E477" s="1259"/>
      <c r="F477" s="1259"/>
      <c r="G477" s="1260"/>
      <c r="H477" s="863">
        <f>SUM(H465:H476)</f>
        <v>68830</v>
      </c>
      <c r="I477" s="1458"/>
      <c r="J477" s="1458"/>
      <c r="K477" s="1458"/>
      <c r="L477" s="1458"/>
      <c r="M477" s="1458"/>
      <c r="N477" s="438" t="str">
        <f t="shared" si="44"/>
        <v xml:space="preserve"> </v>
      </c>
      <c r="O477" s="212"/>
      <c r="P477" s="590"/>
      <c r="Q477" s="590"/>
      <c r="R477" s="590"/>
      <c r="S477" s="633"/>
      <c r="T477" s="1307"/>
      <c r="U477" s="1308"/>
      <c r="V477" s="1308"/>
      <c r="W477" s="1308"/>
      <c r="X477" s="1308"/>
      <c r="Y477" s="1308"/>
      <c r="Z477" s="1308"/>
      <c r="AA477" s="1308"/>
      <c r="AB477" s="1308"/>
      <c r="AC477" s="1308"/>
      <c r="AD477" s="1308"/>
      <c r="AE477" s="1308"/>
      <c r="AF477" s="1308"/>
      <c r="AG477" s="1308"/>
      <c r="AH477" s="1308"/>
      <c r="AI477" s="1308"/>
      <c r="AJ477" s="1308"/>
      <c r="AK477" s="1308"/>
      <c r="AL477" s="1308"/>
      <c r="AM477" s="1308"/>
      <c r="AN477" s="1308"/>
      <c r="AO477" s="1308"/>
      <c r="AP477" s="1308"/>
      <c r="AQ477" s="1308"/>
      <c r="AR477" s="1308"/>
      <c r="AS477" s="1308"/>
      <c r="AT477" s="1308"/>
      <c r="AU477" s="1308"/>
      <c r="AV477" s="1308"/>
      <c r="AW477" s="1308"/>
      <c r="AX477" s="1308"/>
      <c r="AY477" s="1308"/>
      <c r="AZ477" s="1308"/>
      <c r="BA477" s="1308"/>
      <c r="BB477" s="1308"/>
      <c r="BC477" s="1308"/>
      <c r="BD477" s="1308"/>
    </row>
    <row r="478" spans="2:57">
      <c r="B478" s="1415" t="s">
        <v>557</v>
      </c>
      <c r="C478" s="1416"/>
      <c r="D478" s="1416"/>
      <c r="E478" s="1416"/>
      <c r="F478" s="1416"/>
      <c r="G478" s="1417"/>
      <c r="H478" s="845">
        <v>68830</v>
      </c>
      <c r="I478" s="1455"/>
      <c r="J478" s="1455"/>
      <c r="K478" s="1455"/>
      <c r="L478" s="1455"/>
      <c r="M478" s="1455"/>
      <c r="N478" s="438" t="str">
        <f t="shared" si="44"/>
        <v xml:space="preserve"> </v>
      </c>
      <c r="O478" s="591"/>
      <c r="P478" s="415"/>
      <c r="Q478" s="415"/>
      <c r="R478" s="415"/>
      <c r="S478" s="740"/>
      <c r="T478" s="592">
        <f t="shared" ref="T478:BD478" si="47">SUM(T465:T476)</f>
        <v>15044.875</v>
      </c>
      <c r="U478" s="592">
        <f t="shared" si="47"/>
        <v>0</v>
      </c>
      <c r="V478" s="592">
        <f t="shared" si="47"/>
        <v>0</v>
      </c>
      <c r="W478" s="592">
        <f t="shared" si="47"/>
        <v>0</v>
      </c>
      <c r="X478" s="592">
        <f t="shared" si="47"/>
        <v>0</v>
      </c>
      <c r="Y478" s="592">
        <f t="shared" si="47"/>
        <v>5616.6022499999999</v>
      </c>
      <c r="Z478" s="592">
        <f t="shared" si="47"/>
        <v>1872.20075</v>
      </c>
      <c r="AA478" s="592">
        <f t="shared" si="47"/>
        <v>0</v>
      </c>
      <c r="AB478" s="592">
        <f t="shared" si="47"/>
        <v>20833.3449</v>
      </c>
      <c r="AC478" s="592">
        <f t="shared" si="47"/>
        <v>25462.977100000004</v>
      </c>
      <c r="AD478" s="592">
        <f t="shared" si="47"/>
        <v>0</v>
      </c>
      <c r="AE478" s="592">
        <f t="shared" si="47"/>
        <v>0</v>
      </c>
      <c r="AF478" s="592">
        <f t="shared" si="47"/>
        <v>0</v>
      </c>
      <c r="AG478" s="592">
        <f t="shared" si="47"/>
        <v>0</v>
      </c>
      <c r="AH478" s="592">
        <f t="shared" si="47"/>
        <v>0</v>
      </c>
      <c r="AI478" s="592">
        <f t="shared" si="47"/>
        <v>0</v>
      </c>
      <c r="AJ478" s="592">
        <f t="shared" si="47"/>
        <v>0</v>
      </c>
      <c r="AK478" s="592">
        <f t="shared" si="47"/>
        <v>0</v>
      </c>
      <c r="AL478" s="592">
        <f t="shared" si="47"/>
        <v>0</v>
      </c>
      <c r="AM478" s="592">
        <f t="shared" si="47"/>
        <v>0</v>
      </c>
      <c r="AN478" s="592">
        <f t="shared" si="47"/>
        <v>0</v>
      </c>
      <c r="AO478" s="592">
        <f t="shared" si="47"/>
        <v>0</v>
      </c>
      <c r="AP478" s="592">
        <f t="shared" si="47"/>
        <v>0</v>
      </c>
      <c r="AQ478" s="592">
        <f t="shared" si="47"/>
        <v>0</v>
      </c>
      <c r="AR478" s="592">
        <f t="shared" si="47"/>
        <v>0</v>
      </c>
      <c r="AS478" s="592">
        <f t="shared" si="47"/>
        <v>0</v>
      </c>
      <c r="AT478" s="592">
        <f t="shared" si="47"/>
        <v>0</v>
      </c>
      <c r="AU478" s="592">
        <f t="shared" si="47"/>
        <v>0</v>
      </c>
      <c r="AV478" s="592">
        <f t="shared" si="47"/>
        <v>0</v>
      </c>
      <c r="AW478" s="592">
        <f t="shared" si="47"/>
        <v>0</v>
      </c>
      <c r="AX478" s="592">
        <f t="shared" si="47"/>
        <v>0</v>
      </c>
      <c r="AY478" s="592">
        <f t="shared" si="47"/>
        <v>0</v>
      </c>
      <c r="AZ478" s="592">
        <f t="shared" si="47"/>
        <v>0</v>
      </c>
      <c r="BA478" s="592">
        <f t="shared" si="47"/>
        <v>0</v>
      </c>
      <c r="BB478" s="592">
        <f t="shared" si="47"/>
        <v>0</v>
      </c>
      <c r="BC478" s="592">
        <f t="shared" si="47"/>
        <v>0</v>
      </c>
      <c r="BD478" s="592">
        <f t="shared" si="47"/>
        <v>0</v>
      </c>
      <c r="BE478" s="592">
        <f>SUM(T478:BD478)</f>
        <v>68830</v>
      </c>
    </row>
    <row r="479" spans="2:57">
      <c r="B479" s="1415" t="s">
        <v>558</v>
      </c>
      <c r="C479" s="1416"/>
      <c r="D479" s="1416"/>
      <c r="E479" s="1416"/>
      <c r="F479" s="1416"/>
      <c r="G479" s="1417"/>
      <c r="H479" s="712">
        <f>H478-L459</f>
        <v>0</v>
      </c>
      <c r="I479" s="745"/>
      <c r="J479" s="746"/>
      <c r="K479" s="746"/>
      <c r="L479" s="674"/>
      <c r="M479" s="633"/>
      <c r="N479" s="591"/>
      <c r="O479" s="591"/>
      <c r="P479" s="591"/>
      <c r="Q479" s="744"/>
      <c r="R479" s="744"/>
      <c r="S479" s="591"/>
      <c r="T479" s="645"/>
      <c r="U479" s="645"/>
      <c r="V479" s="645"/>
      <c r="W479" s="645"/>
      <c r="X479" s="645"/>
      <c r="Y479" s="645"/>
      <c r="Z479" s="645"/>
      <c r="AA479" s="645"/>
      <c r="AB479" s="645"/>
      <c r="AC479" s="591"/>
      <c r="AD479" s="591"/>
      <c r="AE479" s="591"/>
      <c r="AF479" s="591"/>
      <c r="AG479" s="591"/>
      <c r="AH479" s="591"/>
      <c r="AI479" s="591"/>
      <c r="AJ479" s="591"/>
      <c r="AK479" s="591"/>
      <c r="AL479" s="591"/>
      <c r="AM479" s="591"/>
      <c r="AN479" s="591"/>
      <c r="AO479" s="591"/>
      <c r="AP479" s="591"/>
      <c r="AQ479" s="591"/>
      <c r="AR479" s="591"/>
    </row>
    <row r="480" spans="2:57">
      <c r="B480" s="1415" t="s">
        <v>559</v>
      </c>
      <c r="C480" s="1416"/>
      <c r="D480" s="1416"/>
      <c r="E480" s="1416"/>
      <c r="F480" s="1416"/>
      <c r="G480" s="1417"/>
      <c r="H480" s="747">
        <v>3033.1689999999999</v>
      </c>
      <c r="I480" s="745"/>
      <c r="J480" s="746"/>
      <c r="K480" s="746"/>
      <c r="L480" s="674"/>
      <c r="M480" s="633"/>
      <c r="N480" s="613"/>
      <c r="O480" s="591"/>
      <c r="P480" s="591"/>
      <c r="Q480" s="591"/>
      <c r="R480" s="591"/>
      <c r="S480" s="591"/>
      <c r="T480" s="645"/>
      <c r="U480" s="645"/>
      <c r="V480" s="645"/>
      <c r="W480" s="645"/>
      <c r="X480" s="645"/>
      <c r="Y480" s="645"/>
      <c r="Z480" s="645"/>
      <c r="AA480" s="645"/>
      <c r="AB480" s="645"/>
      <c r="AC480" s="591"/>
      <c r="AD480" s="591"/>
      <c r="AE480" s="591"/>
      <c r="AF480" s="591"/>
      <c r="AG480" s="591"/>
      <c r="AH480" s="591"/>
      <c r="AI480" s="591"/>
      <c r="AJ480" s="591"/>
      <c r="AK480" s="591"/>
      <c r="AL480" s="591"/>
      <c r="AM480" s="591"/>
      <c r="AN480" s="591"/>
      <c r="AO480" s="591"/>
      <c r="AP480" s="591"/>
      <c r="AQ480" s="591"/>
      <c r="AR480" s="591"/>
    </row>
    <row r="481" spans="2:57" ht="11.25" customHeight="1">
      <c r="B481" s="1415" t="s">
        <v>560</v>
      </c>
      <c r="C481" s="1416"/>
      <c r="D481" s="1416"/>
      <c r="E481" s="1416"/>
      <c r="F481" s="1416"/>
      <c r="G481" s="1417"/>
      <c r="H481" s="741">
        <f>H480-3485.636</f>
        <v>-452.4670000000001</v>
      </c>
      <c r="I481" s="641"/>
      <c r="J481" s="642"/>
      <c r="K481" s="642"/>
      <c r="L481" s="499"/>
      <c r="M481" s="613"/>
      <c r="N481" s="613"/>
      <c r="O481" s="613"/>
      <c r="P481" s="613"/>
      <c r="Q481" s="613"/>
      <c r="R481" s="613"/>
      <c r="S481" s="616"/>
      <c r="T481" s="616"/>
      <c r="U481" s="616"/>
      <c r="V481" s="616"/>
      <c r="W481" s="616"/>
      <c r="X481" s="616"/>
      <c r="Y481" s="616"/>
      <c r="Z481" s="616"/>
      <c r="AA481" s="616"/>
      <c r="AB481" s="645"/>
      <c r="AC481" s="591"/>
      <c r="AD481" s="613"/>
      <c r="AE481" s="613"/>
      <c r="AF481" s="613"/>
      <c r="AG481" s="613"/>
      <c r="AH481" s="613"/>
      <c r="AI481" s="613"/>
      <c r="AJ481" s="613"/>
      <c r="AK481" s="613"/>
      <c r="AL481" s="613"/>
      <c r="AM481" s="613"/>
      <c r="AN481" s="613"/>
      <c r="AO481" s="613"/>
      <c r="AP481" s="613"/>
      <c r="AQ481" s="613"/>
      <c r="AR481" s="496"/>
      <c r="AS481" s="496"/>
      <c r="AT481" s="496"/>
      <c r="AU481" s="496"/>
      <c r="AV481" s="496"/>
      <c r="AW481" s="496"/>
      <c r="AX481" s="496"/>
      <c r="AY481" s="496"/>
      <c r="AZ481" s="496"/>
      <c r="BA481" s="496"/>
    </row>
    <row r="482" spans="2:57">
      <c r="B482" s="613"/>
      <c r="C482" s="613"/>
      <c r="D482" s="613"/>
      <c r="E482" s="613"/>
      <c r="F482" s="613"/>
      <c r="G482" s="613"/>
      <c r="H482" s="613"/>
      <c r="I482" s="643"/>
      <c r="J482" s="641"/>
      <c r="K482" s="641"/>
      <c r="L482" s="644"/>
      <c r="M482" s="613"/>
      <c r="N482" s="613"/>
      <c r="O482" s="641"/>
      <c r="P482" s="591"/>
      <c r="Q482" s="591"/>
      <c r="R482" s="591"/>
      <c r="S482" s="591"/>
      <c r="T482" s="645"/>
      <c r="U482" s="645"/>
      <c r="V482" s="645"/>
      <c r="W482" s="645"/>
      <c r="X482" s="645"/>
      <c r="Y482" s="645"/>
      <c r="Z482" s="645"/>
      <c r="AA482" s="645"/>
      <c r="AB482" s="645"/>
      <c r="AC482" s="591"/>
      <c r="AD482" s="591"/>
      <c r="AE482" s="591"/>
      <c r="AF482" s="591"/>
      <c r="AG482" s="591"/>
      <c r="AH482" s="591"/>
      <c r="AI482" s="591"/>
      <c r="AJ482" s="591"/>
      <c r="AK482" s="591"/>
      <c r="AL482" s="591"/>
      <c r="AM482" s="591"/>
      <c r="AN482" s="591"/>
      <c r="AO482" s="591"/>
      <c r="AP482" s="591"/>
      <c r="AQ482" s="591"/>
      <c r="AR482" s="591"/>
    </row>
    <row r="483" spans="2:57">
      <c r="B483" s="619" t="s">
        <v>561</v>
      </c>
      <c r="C483" s="619"/>
      <c r="D483" s="591"/>
      <c r="E483" s="591"/>
      <c r="F483" s="591"/>
      <c r="G483" s="591"/>
      <c r="H483" s="591"/>
      <c r="I483" s="591"/>
      <c r="J483" s="646"/>
      <c r="K483" s="646"/>
      <c r="L483" s="647"/>
      <c r="M483" s="591"/>
      <c r="N483" s="613"/>
      <c r="O483" s="646"/>
      <c r="P483" s="616"/>
      <c r="Q483" s="616"/>
      <c r="R483" s="616"/>
      <c r="S483" s="616"/>
      <c r="T483" s="616"/>
      <c r="U483" s="616"/>
      <c r="V483" s="616"/>
      <c r="W483" s="616"/>
      <c r="X483" s="616"/>
      <c r="Y483" s="616"/>
      <c r="Z483" s="616"/>
      <c r="AA483" s="616"/>
      <c r="AB483" s="613"/>
      <c r="AC483" s="613"/>
      <c r="AD483" s="613"/>
      <c r="AE483" s="613"/>
      <c r="AF483" s="613"/>
      <c r="AG483" s="613"/>
      <c r="AH483" s="613"/>
      <c r="AI483" s="613"/>
      <c r="AJ483" s="613"/>
      <c r="AK483" s="613"/>
      <c r="AL483" s="613"/>
      <c r="AM483" s="613"/>
      <c r="AN483" s="613"/>
      <c r="AO483" s="613"/>
      <c r="AP483" s="613"/>
      <c r="AQ483" s="613"/>
      <c r="AR483" s="613"/>
      <c r="AS483" s="613"/>
      <c r="AT483" s="613"/>
      <c r="AU483" s="613"/>
      <c r="BE483" s="613"/>
    </row>
    <row r="484" spans="2:57">
      <c r="B484" s="422">
        <v>1</v>
      </c>
      <c r="C484" s="1249" t="s">
        <v>3744</v>
      </c>
      <c r="D484" s="1249"/>
      <c r="E484" s="1249"/>
      <c r="F484" s="1249"/>
      <c r="G484" s="1249"/>
      <c r="H484" s="1249"/>
      <c r="I484" s="1249"/>
      <c r="J484" s="1249"/>
      <c r="K484" s="1249"/>
      <c r="L484" s="644"/>
      <c r="M484" s="644"/>
      <c r="N484" s="613"/>
      <c r="O484" s="641"/>
      <c r="P484" s="616"/>
      <c r="Q484" s="616"/>
      <c r="R484" s="616"/>
      <c r="S484" s="616"/>
      <c r="T484" s="616"/>
      <c r="U484" s="616"/>
      <c r="V484" s="616"/>
      <c r="W484" s="616"/>
      <c r="X484" s="616"/>
      <c r="Y484" s="616"/>
      <c r="Z484" s="616"/>
      <c r="AA484" s="616"/>
      <c r="AB484" s="613"/>
      <c r="AC484" s="613"/>
      <c r="AD484" s="613"/>
      <c r="AE484" s="613"/>
      <c r="AF484" s="613"/>
      <c r="AG484" s="613"/>
      <c r="AH484" s="613"/>
      <c r="AI484" s="613"/>
      <c r="AJ484" s="613"/>
      <c r="AK484" s="613"/>
      <c r="AL484" s="613"/>
      <c r="AM484" s="613"/>
      <c r="AN484" s="613"/>
      <c r="AO484" s="613"/>
      <c r="AP484" s="613"/>
      <c r="AQ484" s="613"/>
      <c r="AR484" s="613"/>
      <c r="AS484" s="613"/>
      <c r="AT484" s="613"/>
      <c r="AU484" s="613"/>
      <c r="AV484" s="613"/>
      <c r="AW484" s="613"/>
      <c r="AX484" s="613"/>
      <c r="AY484" s="613"/>
      <c r="AZ484" s="613"/>
      <c r="BA484" s="613"/>
      <c r="BB484" s="613"/>
      <c r="BC484" s="613"/>
      <c r="BD484" s="613"/>
      <c r="BE484" s="613"/>
    </row>
  </sheetData>
  <mergeCells count="417">
    <mergeCell ref="T447:BD447"/>
    <mergeCell ref="B448:G448"/>
    <mergeCell ref="I448:M448"/>
    <mergeCell ref="T448:BD448"/>
    <mergeCell ref="B449:G449"/>
    <mergeCell ref="I449:M449"/>
    <mergeCell ref="B450:G450"/>
    <mergeCell ref="B451:G451"/>
    <mergeCell ref="C455:K455"/>
    <mergeCell ref="B452:G452"/>
    <mergeCell ref="B439:C441"/>
    <mergeCell ref="F440:G440"/>
    <mergeCell ref="F441:G441"/>
    <mergeCell ref="B442:C443"/>
    <mergeCell ref="F443:G443"/>
    <mergeCell ref="B444:C446"/>
    <mergeCell ref="F445:G445"/>
    <mergeCell ref="F446:G446"/>
    <mergeCell ref="B447:G447"/>
    <mergeCell ref="B430:C432"/>
    <mergeCell ref="F431:G431"/>
    <mergeCell ref="F432:G432"/>
    <mergeCell ref="B433:C434"/>
    <mergeCell ref="F434:G434"/>
    <mergeCell ref="B435:C436"/>
    <mergeCell ref="F436:G436"/>
    <mergeCell ref="B437:C438"/>
    <mergeCell ref="F438:G438"/>
    <mergeCell ref="T423:X423"/>
    <mergeCell ref="Y423:AA423"/>
    <mergeCell ref="AB423:AC423"/>
    <mergeCell ref="AF423:BD423"/>
    <mergeCell ref="B424:C424"/>
    <mergeCell ref="B425:C425"/>
    <mergeCell ref="B426:C426"/>
    <mergeCell ref="B427:G427"/>
    <mergeCell ref="B428:C429"/>
    <mergeCell ref="F429:G429"/>
    <mergeCell ref="C415:K415"/>
    <mergeCell ref="B412:G412"/>
    <mergeCell ref="B405:C406"/>
    <mergeCell ref="B407:C407"/>
    <mergeCell ref="B408:G408"/>
    <mergeCell ref="I408:M408"/>
    <mergeCell ref="T408:BD408"/>
    <mergeCell ref="B409:G409"/>
    <mergeCell ref="I409:M409"/>
    <mergeCell ref="B410:G410"/>
    <mergeCell ref="B411:G411"/>
    <mergeCell ref="T398:X398"/>
    <mergeCell ref="Y398:AA398"/>
    <mergeCell ref="AB398:AC398"/>
    <mergeCell ref="AF398:BD398"/>
    <mergeCell ref="B399:C399"/>
    <mergeCell ref="B400:C400"/>
    <mergeCell ref="B401:C401"/>
    <mergeCell ref="B402:C402"/>
    <mergeCell ref="B403:C404"/>
    <mergeCell ref="C322:K322"/>
    <mergeCell ref="B319:G319"/>
    <mergeCell ref="B312:C313"/>
    <mergeCell ref="B314:C314"/>
    <mergeCell ref="B315:G315"/>
    <mergeCell ref="I315:M315"/>
    <mergeCell ref="T315:BD315"/>
    <mergeCell ref="B316:G316"/>
    <mergeCell ref="I316:M316"/>
    <mergeCell ref="B317:G317"/>
    <mergeCell ref="B318:G318"/>
    <mergeCell ref="T302:X302"/>
    <mergeCell ref="Y302:AA302"/>
    <mergeCell ref="AB302:AC302"/>
    <mergeCell ref="AF302:BD302"/>
    <mergeCell ref="B303:C303"/>
    <mergeCell ref="B304:C305"/>
    <mergeCell ref="B306:C307"/>
    <mergeCell ref="B308:C309"/>
    <mergeCell ref="B310:C311"/>
    <mergeCell ref="B263:G263"/>
    <mergeCell ref="I263:M263"/>
    <mergeCell ref="C266:K266"/>
    <mergeCell ref="T257:X257"/>
    <mergeCell ref="Y257:AA257"/>
    <mergeCell ref="AB257:AC257"/>
    <mergeCell ref="AF257:BD257"/>
    <mergeCell ref="B258:C258"/>
    <mergeCell ref="B259:C259"/>
    <mergeCell ref="B260:C260"/>
    <mergeCell ref="B261:C261"/>
    <mergeCell ref="B262:G262"/>
    <mergeCell ref="T262:BD262"/>
    <mergeCell ref="B169:G169"/>
    <mergeCell ref="C172:K172"/>
    <mergeCell ref="B162:C162"/>
    <mergeCell ref="B163:C163"/>
    <mergeCell ref="B164:C164"/>
    <mergeCell ref="B165:G165"/>
    <mergeCell ref="B166:G166"/>
    <mergeCell ref="T166:BD166"/>
    <mergeCell ref="B167:G167"/>
    <mergeCell ref="I167:M167"/>
    <mergeCell ref="B168:G168"/>
    <mergeCell ref="T156:X156"/>
    <mergeCell ref="Y156:AA156"/>
    <mergeCell ref="AB156:AC156"/>
    <mergeCell ref="AF156:BD156"/>
    <mergeCell ref="B157:C157"/>
    <mergeCell ref="B158:C158"/>
    <mergeCell ref="B159:C159"/>
    <mergeCell ref="B160:C160"/>
    <mergeCell ref="B161:C161"/>
    <mergeCell ref="B117:G117"/>
    <mergeCell ref="C121:K121"/>
    <mergeCell ref="B114:G114"/>
    <mergeCell ref="T114:BD114"/>
    <mergeCell ref="B115:G115"/>
    <mergeCell ref="I115:M115"/>
    <mergeCell ref="B116:G116"/>
    <mergeCell ref="B118:G118"/>
    <mergeCell ref="B145:G145"/>
    <mergeCell ref="T129:X129"/>
    <mergeCell ref="Y129:AA129"/>
    <mergeCell ref="AB129:AC129"/>
    <mergeCell ref="AF129:BD129"/>
    <mergeCell ref="B130:C130"/>
    <mergeCell ref="B143:G143"/>
    <mergeCell ref="B144:G144"/>
    <mergeCell ref="B106:C107"/>
    <mergeCell ref="F107:G107"/>
    <mergeCell ref="B108:C109"/>
    <mergeCell ref="F109:G109"/>
    <mergeCell ref="B110:C111"/>
    <mergeCell ref="F111:G111"/>
    <mergeCell ref="B112:C112"/>
    <mergeCell ref="B113:G113"/>
    <mergeCell ref="T113:BD113"/>
    <mergeCell ref="AB97:AC97"/>
    <mergeCell ref="AF97:BD97"/>
    <mergeCell ref="B98:C98"/>
    <mergeCell ref="B99:C99"/>
    <mergeCell ref="B100:C100"/>
    <mergeCell ref="B101:G101"/>
    <mergeCell ref="B102:C103"/>
    <mergeCell ref="F103:G103"/>
    <mergeCell ref="B104:C105"/>
    <mergeCell ref="F105:G105"/>
    <mergeCell ref="B84:G84"/>
    <mergeCell ref="B85:G85"/>
    <mergeCell ref="C89:K89"/>
    <mergeCell ref="B80:C80"/>
    <mergeCell ref="B81:C81"/>
    <mergeCell ref="B82:G82"/>
    <mergeCell ref="B86:G86"/>
    <mergeCell ref="T97:X97"/>
    <mergeCell ref="Y97:AA97"/>
    <mergeCell ref="AB70:AC70"/>
    <mergeCell ref="AF70:BD70"/>
    <mergeCell ref="B71:C71"/>
    <mergeCell ref="T82:BD82"/>
    <mergeCell ref="B83:G83"/>
    <mergeCell ref="I83:M83"/>
    <mergeCell ref="B72:C72"/>
    <mergeCell ref="B73:C74"/>
    <mergeCell ref="B75:C75"/>
    <mergeCell ref="B76:C77"/>
    <mergeCell ref="B78:C79"/>
    <mergeCell ref="B56:G56"/>
    <mergeCell ref="I56:M56"/>
    <mergeCell ref="B57:G57"/>
    <mergeCell ref="B58:G58"/>
    <mergeCell ref="C62:K62"/>
    <mergeCell ref="B59:G59"/>
    <mergeCell ref="B54:G54"/>
    <mergeCell ref="T70:X70"/>
    <mergeCell ref="Y70:AA70"/>
    <mergeCell ref="B48:C49"/>
    <mergeCell ref="F49:G49"/>
    <mergeCell ref="B50:C51"/>
    <mergeCell ref="F51:G51"/>
    <mergeCell ref="B52:C53"/>
    <mergeCell ref="F53:G53"/>
    <mergeCell ref="T54:BD54"/>
    <mergeCell ref="B55:G55"/>
    <mergeCell ref="T55:BD55"/>
    <mergeCell ref="B18:C18"/>
    <mergeCell ref="B19:C19"/>
    <mergeCell ref="B20:C20"/>
    <mergeCell ref="B21:G21"/>
    <mergeCell ref="B22:G22"/>
    <mergeCell ref="I22:M22"/>
    <mergeCell ref="T21:BD21"/>
    <mergeCell ref="B16:C17"/>
    <mergeCell ref="T8:X8"/>
    <mergeCell ref="Y8:AA8"/>
    <mergeCell ref="AB8:AC8"/>
    <mergeCell ref="AF8:BD8"/>
    <mergeCell ref="B9:C9"/>
    <mergeCell ref="B10:C10"/>
    <mergeCell ref="B11:C11"/>
    <mergeCell ref="B12:C13"/>
    <mergeCell ref="B14:C15"/>
    <mergeCell ref="B23:G23"/>
    <mergeCell ref="B24:G24"/>
    <mergeCell ref="C28:K28"/>
    <mergeCell ref="B25:G25"/>
    <mergeCell ref="T36:X36"/>
    <mergeCell ref="Y36:AA36"/>
    <mergeCell ref="AB36:AC36"/>
    <mergeCell ref="AF36:BD36"/>
    <mergeCell ref="B37:C37"/>
    <mergeCell ref="B38:C38"/>
    <mergeCell ref="B39:G39"/>
    <mergeCell ref="B40:C41"/>
    <mergeCell ref="F41:G41"/>
    <mergeCell ref="B42:C42"/>
    <mergeCell ref="B43:C43"/>
    <mergeCell ref="B44:C45"/>
    <mergeCell ref="F45:G45"/>
    <mergeCell ref="B46:C47"/>
    <mergeCell ref="F47:G47"/>
    <mergeCell ref="C148:K148"/>
    <mergeCell ref="B140:C140"/>
    <mergeCell ref="B141:G141"/>
    <mergeCell ref="T141:BD141"/>
    <mergeCell ref="B142:G142"/>
    <mergeCell ref="I142:M142"/>
    <mergeCell ref="B131:C132"/>
    <mergeCell ref="B133:C134"/>
    <mergeCell ref="B135:C136"/>
    <mergeCell ref="B137:C138"/>
    <mergeCell ref="B139:C139"/>
    <mergeCell ref="T180:X180"/>
    <mergeCell ref="Y180:AA180"/>
    <mergeCell ref="AB180:AC180"/>
    <mergeCell ref="AF180:BD180"/>
    <mergeCell ref="B181:C181"/>
    <mergeCell ref="B182:C182"/>
    <mergeCell ref="B183:C183"/>
    <mergeCell ref="B184:G184"/>
    <mergeCell ref="B185:C186"/>
    <mergeCell ref="F186:G186"/>
    <mergeCell ref="B187:C188"/>
    <mergeCell ref="F188:G188"/>
    <mergeCell ref="B189:C190"/>
    <mergeCell ref="F190:G190"/>
    <mergeCell ref="B191:C192"/>
    <mergeCell ref="F192:G192"/>
    <mergeCell ref="B193:C194"/>
    <mergeCell ref="F194:G194"/>
    <mergeCell ref="B195:C196"/>
    <mergeCell ref="F196:G196"/>
    <mergeCell ref="C205:K205"/>
    <mergeCell ref="B202:G202"/>
    <mergeCell ref="B197:G197"/>
    <mergeCell ref="T197:BD197"/>
    <mergeCell ref="B198:G198"/>
    <mergeCell ref="I198:M198"/>
    <mergeCell ref="T198:BD198"/>
    <mergeCell ref="B199:G199"/>
    <mergeCell ref="I199:M199"/>
    <mergeCell ref="B200:G200"/>
    <mergeCell ref="B201:G201"/>
    <mergeCell ref="T213:X213"/>
    <mergeCell ref="Y213:AA213"/>
    <mergeCell ref="AB213:AC213"/>
    <mergeCell ref="AF213:BD213"/>
    <mergeCell ref="B214:C214"/>
    <mergeCell ref="B215:C215"/>
    <mergeCell ref="B216:C216"/>
    <mergeCell ref="B217:C217"/>
    <mergeCell ref="B218:G218"/>
    <mergeCell ref="B219:C221"/>
    <mergeCell ref="F220:G220"/>
    <mergeCell ref="F221:G221"/>
    <mergeCell ref="B222:C224"/>
    <mergeCell ref="F223:G223"/>
    <mergeCell ref="F224:G224"/>
    <mergeCell ref="B225:C227"/>
    <mergeCell ref="F226:G226"/>
    <mergeCell ref="F227:G227"/>
    <mergeCell ref="B228:C229"/>
    <mergeCell ref="F229:G229"/>
    <mergeCell ref="B230:C232"/>
    <mergeCell ref="F231:G231"/>
    <mergeCell ref="F232:G232"/>
    <mergeCell ref="B233:C235"/>
    <mergeCell ref="F234:G234"/>
    <mergeCell ref="F235:G235"/>
    <mergeCell ref="B236:C237"/>
    <mergeCell ref="F237:G237"/>
    <mergeCell ref="B244:G244"/>
    <mergeCell ref="B245:G245"/>
    <mergeCell ref="C249:K249"/>
    <mergeCell ref="B246:G246"/>
    <mergeCell ref="B238:C240"/>
    <mergeCell ref="F239:G239"/>
    <mergeCell ref="F240:G240"/>
    <mergeCell ref="B241:G241"/>
    <mergeCell ref="T241:BD241"/>
    <mergeCell ref="B242:G242"/>
    <mergeCell ref="I242:M242"/>
    <mergeCell ref="T242:BD242"/>
    <mergeCell ref="B243:G243"/>
    <mergeCell ref="I243:M243"/>
    <mergeCell ref="T287:BD287"/>
    <mergeCell ref="T274:X274"/>
    <mergeCell ref="Y274:AA274"/>
    <mergeCell ref="AB274:AC274"/>
    <mergeCell ref="AF274:BD274"/>
    <mergeCell ref="B275:C275"/>
    <mergeCell ref="B276:C276"/>
    <mergeCell ref="B277:C277"/>
    <mergeCell ref="B278:C278"/>
    <mergeCell ref="B279:C279"/>
    <mergeCell ref="B288:G288"/>
    <mergeCell ref="I288:M288"/>
    <mergeCell ref="B289:G289"/>
    <mergeCell ref="B290:G290"/>
    <mergeCell ref="C294:K294"/>
    <mergeCell ref="B291:G291"/>
    <mergeCell ref="B280:C280"/>
    <mergeCell ref="B281:C281"/>
    <mergeCell ref="B282:C282"/>
    <mergeCell ref="B283:C283"/>
    <mergeCell ref="B284:C284"/>
    <mergeCell ref="B285:C285"/>
    <mergeCell ref="B286:C286"/>
    <mergeCell ref="B287:G287"/>
    <mergeCell ref="T330:X330"/>
    <mergeCell ref="Y330:AA330"/>
    <mergeCell ref="AB330:AC330"/>
    <mergeCell ref="AF330:BD330"/>
    <mergeCell ref="B331:C331"/>
    <mergeCell ref="B332:C332"/>
    <mergeCell ref="B333:C333"/>
    <mergeCell ref="B334:C334"/>
    <mergeCell ref="B335:C335"/>
    <mergeCell ref="B343:G343"/>
    <mergeCell ref="C346:K346"/>
    <mergeCell ref="B336:C336"/>
    <mergeCell ref="B337:C337"/>
    <mergeCell ref="B338:C338"/>
    <mergeCell ref="B339:G339"/>
    <mergeCell ref="B340:G340"/>
    <mergeCell ref="T340:BD340"/>
    <mergeCell ref="B341:G341"/>
    <mergeCell ref="I341:M341"/>
    <mergeCell ref="B342:G342"/>
    <mergeCell ref="T354:X354"/>
    <mergeCell ref="Y354:AA354"/>
    <mergeCell ref="AB354:AC354"/>
    <mergeCell ref="AF354:BD354"/>
    <mergeCell ref="B355:C355"/>
    <mergeCell ref="B356:C356"/>
    <mergeCell ref="B357:C357"/>
    <mergeCell ref="B358:G358"/>
    <mergeCell ref="B359:C360"/>
    <mergeCell ref="F360:G360"/>
    <mergeCell ref="B361:C362"/>
    <mergeCell ref="F362:G362"/>
    <mergeCell ref="B363:G363"/>
    <mergeCell ref="B364:C364"/>
    <mergeCell ref="B365:G365"/>
    <mergeCell ref="B366:C367"/>
    <mergeCell ref="F367:G367"/>
    <mergeCell ref="B368:C370"/>
    <mergeCell ref="F369:G369"/>
    <mergeCell ref="F370:G370"/>
    <mergeCell ref="B371:C373"/>
    <mergeCell ref="F372:G372"/>
    <mergeCell ref="F373:G373"/>
    <mergeCell ref="B374:C375"/>
    <mergeCell ref="F375:G375"/>
    <mergeCell ref="B376:C378"/>
    <mergeCell ref="F377:G377"/>
    <mergeCell ref="F378:G378"/>
    <mergeCell ref="B379:C381"/>
    <mergeCell ref="F380:G380"/>
    <mergeCell ref="F381:G381"/>
    <mergeCell ref="C390:K390"/>
    <mergeCell ref="B387:G387"/>
    <mergeCell ref="B382:G382"/>
    <mergeCell ref="T382:BD382"/>
    <mergeCell ref="B383:G383"/>
    <mergeCell ref="I383:M383"/>
    <mergeCell ref="T383:BD383"/>
    <mergeCell ref="B384:G384"/>
    <mergeCell ref="I384:M384"/>
    <mergeCell ref="B385:G385"/>
    <mergeCell ref="B386:G386"/>
    <mergeCell ref="T463:X463"/>
    <mergeCell ref="Y463:AA463"/>
    <mergeCell ref="AB463:AC463"/>
    <mergeCell ref="AF463:BD463"/>
    <mergeCell ref="B464:C464"/>
    <mergeCell ref="B465:C466"/>
    <mergeCell ref="I466:I467"/>
    <mergeCell ref="J466:J467"/>
    <mergeCell ref="L466:L467"/>
    <mergeCell ref="M466:M467"/>
    <mergeCell ref="B467:C468"/>
    <mergeCell ref="T477:BD477"/>
    <mergeCell ref="B478:G478"/>
    <mergeCell ref="I478:M478"/>
    <mergeCell ref="B479:G479"/>
    <mergeCell ref="B480:G480"/>
    <mergeCell ref="C484:K484"/>
    <mergeCell ref="B481:G481"/>
    <mergeCell ref="B469:C470"/>
    <mergeCell ref="I470:I471"/>
    <mergeCell ref="J470:J471"/>
    <mergeCell ref="B471:C472"/>
    <mergeCell ref="B473:C474"/>
    <mergeCell ref="J474:J475"/>
    <mergeCell ref="B475:C476"/>
    <mergeCell ref="B477:G477"/>
    <mergeCell ref="I477:M477"/>
  </mergeCells>
  <dataValidations count="2">
    <dataValidation type="list" allowBlank="1" showInputMessage="1" showErrorMessage="1" sqref="F174 F296 F268 F251 F207 F150 F123 F30 F64 F91" xr:uid="{00000000-0002-0000-1900-000000000000}">
      <formula1>$H$297:$H$339</formula1>
    </dataValidation>
    <dataValidation type="list" allowBlank="1" showInputMessage="1" showErrorMessage="1" sqref="L177 L299 L271 L253 L210 L153 L126 L33 L67 L94" xr:uid="{00000000-0002-0000-1900-000001000000}">
      <formula1>$I$297:$I$339</formula1>
    </dataValidation>
  </dataValidations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1900-000002000000}">
          <x14:formula1>
            <xm:f>'FLF &amp; AGENT INFO'!$B$3:$B$20</xm:f>
          </x14:formula1>
          <xm:sqref>F5 F33 F67 F94 F126 F153 F177 F210 F254 F271 F299 F327 F351 F395 F420 F460</xm:sqref>
        </x14:dataValidation>
        <x14:dataValidation type="list" allowBlank="1" showInputMessage="1" showErrorMessage="1" xr:uid="{00000000-0002-0000-1900-000003000000}">
          <x14:formula1>
            <xm:f>'FLF &amp; AGENT INFO'!$H$3:$H$7</xm:f>
          </x14:formula1>
          <xm:sqref>L6 L34 L68 L95 L127 L154 L178 L211 L254 L272 L300 L328 L352 L396 L421 L461</xm:sqref>
        </x14:dataValidation>
        <x14:dataValidation type="list" allowBlank="1" showInputMessage="1" showErrorMessage="1" xr:uid="{00000000-0002-0000-1900-000004000000}">
          <x14:formula1>
            <xm:f>'FLF &amp; AGENT INFO'!$F$3:$F$28</xm:f>
          </x14:formula1>
          <xm:sqref>F7 F35 F69 F96 F128 F155 F179 F212 F256 F273 F301 F329 F353 F397 F422 F462</xm:sqref>
        </x14:dataValidation>
        <x14:dataValidation type="list" allowBlank="1" showInputMessage="1" showErrorMessage="1" xr:uid="{00000000-0002-0000-1900-000005000000}">
          <x14:formula1>
            <xm:f>'FLF &amp; AGENT INFO'!$D$3:$D$31</xm:f>
          </x14:formula1>
          <xm:sqref>F6 F34 F68 F95 F127 F154 F178 F211 F255 F272 F300 F328 F352 F396 F421 F461</xm:sqref>
        </x14:dataValidation>
        <x14:dataValidation type="list" allowBlank="1" showInputMessage="1" showErrorMessage="1" xr:uid="{00000000-0002-0000-1900-000006000000}">
          <x14:formula1>
            <xm:f>'VLU 2023 &amp; 2024'!$H$207:$H$236</xm:f>
          </x14:formula1>
          <xm:sqref>F417 F392 F348 F324 F2 F457</xm:sqref>
        </x14:dataValidation>
        <x14:dataValidation type="list" allowBlank="1" showInputMessage="1" showErrorMessage="1" xr:uid="{00000000-0002-0000-1900-000007000000}">
          <x14:formula1>
            <xm:f>'VLU 2023 &amp; 2024'!$I$207:$I$236</xm:f>
          </x14:formula1>
          <xm:sqref>L5 L460 L395 L351 L327 L420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CJ889"/>
  <sheetViews>
    <sheetView zoomScale="70" zoomScaleNormal="70" zoomScaleSheetLayoutView="73" workbookViewId="0">
      <pane xSplit="16" ySplit="2" topLeftCell="Q205" activePane="bottomRight" state="frozen"/>
      <selection pane="topRight" activeCell="G346" sqref="G346"/>
      <selection pane="bottomLeft" activeCell="G346" sqref="G346"/>
      <selection pane="bottomRight" activeCell="E221" sqref="E221"/>
    </sheetView>
  </sheetViews>
  <sheetFormatPr defaultColWidth="9.33203125" defaultRowHeight="14.4" outlineLevelRow="1" outlineLevelCol="1"/>
  <cols>
    <col min="1" max="1" width="12" style="119" customWidth="1"/>
    <col min="2" max="2" width="8.44140625" style="119" customWidth="1"/>
    <col min="3" max="3" width="9.33203125" style="115" customWidth="1"/>
    <col min="4" max="4" width="6" style="115" customWidth="1"/>
    <col min="5" max="5" width="17.6640625" style="115" customWidth="1"/>
    <col min="6" max="6" width="10.33203125" style="115" hidden="1" customWidth="1"/>
    <col min="7" max="8" width="14.88671875" style="252" hidden="1" customWidth="1"/>
    <col min="9" max="9" width="11.88671875" style="117" customWidth="1"/>
    <col min="10" max="10" width="20.6640625" style="115" customWidth="1"/>
    <col min="11" max="11" width="18.44140625" style="115" customWidth="1"/>
    <col min="12" max="12" width="15" style="115" customWidth="1"/>
    <col min="13" max="13" width="0.5546875" style="118" customWidth="1"/>
    <col min="14" max="14" width="23.33203125" style="115" bestFit="1" customWidth="1"/>
    <col min="15" max="15" width="23.88671875" style="115" bestFit="1" customWidth="1"/>
    <col min="16" max="16" width="23.33203125" style="115" customWidth="1"/>
    <col min="17" max="18" width="9.33203125" style="117" customWidth="1"/>
    <col min="19" max="19" width="10.44140625" style="117" customWidth="1"/>
    <col min="20" max="20" width="0.33203125" style="117" customWidth="1"/>
    <col min="21" max="22" width="10.109375" style="115" bestFit="1" customWidth="1"/>
    <col min="23" max="23" width="9.33203125" style="115" customWidth="1"/>
    <col min="24" max="25" width="10.109375" style="115" bestFit="1" customWidth="1"/>
    <col min="26" max="29" width="9.33203125" style="115" customWidth="1"/>
    <col min="30" max="34" width="10.88671875" style="115" customWidth="1"/>
    <col min="35" max="55" width="9.33203125" style="115" customWidth="1"/>
    <col min="56" max="57" width="14.88671875" style="251" customWidth="1"/>
    <col min="58" max="58" width="9.33203125" style="251" customWidth="1"/>
    <col min="59" max="59" width="14.88671875" style="251" customWidth="1"/>
    <col min="60" max="60" width="16.109375" style="251" customWidth="1"/>
    <col min="61" max="61" width="16.33203125" style="251" customWidth="1"/>
    <col min="62" max="62" width="16" style="251" customWidth="1"/>
    <col min="63" max="63" width="15.5546875" style="251" customWidth="1"/>
    <col min="64" max="64" width="16.44140625" style="251" customWidth="1"/>
    <col min="65" max="65" width="15.5546875" style="251" customWidth="1"/>
    <col min="66" max="66" width="15.44140625" style="251" customWidth="1"/>
    <col min="67" max="67" width="16.44140625" style="251" customWidth="1"/>
    <col min="68" max="68" width="16.33203125" style="252" customWidth="1"/>
    <col min="69" max="69" width="16.109375" style="251" customWidth="1"/>
    <col min="70" max="70" width="16.33203125" style="251" customWidth="1"/>
    <col min="71" max="71" width="15.5546875" style="251" customWidth="1"/>
    <col min="72" max="72" width="16.44140625" style="251" customWidth="1"/>
    <col min="73" max="74" width="15.5546875" style="115" customWidth="1"/>
    <col min="75" max="75" width="16.44140625" style="115" customWidth="1"/>
    <col min="76" max="76" width="49.5546875" style="116" customWidth="1"/>
    <col min="77" max="77" width="1.33203125" style="116" customWidth="1"/>
    <col min="78" max="78" width="10.5546875" style="251" customWidth="1" outlineLevel="1"/>
    <col min="79" max="85" width="9.6640625" style="251" customWidth="1" outlineLevel="1"/>
    <col min="86" max="86" width="11.33203125" style="115" customWidth="1" outlineLevel="1"/>
    <col min="87" max="16384" width="9.33203125" style="115"/>
  </cols>
  <sheetData>
    <row r="1" spans="1:88" s="193" customFormat="1" ht="14.4" customHeight="1">
      <c r="A1" s="1237" t="s">
        <v>122</v>
      </c>
      <c r="B1" s="1237" t="s">
        <v>123</v>
      </c>
      <c r="C1" s="1232" t="s">
        <v>124</v>
      </c>
      <c r="D1" s="1232" t="s">
        <v>3465</v>
      </c>
      <c r="E1" s="1239" t="s">
        <v>126</v>
      </c>
      <c r="F1" s="1240"/>
      <c r="G1" s="1230" t="s">
        <v>127</v>
      </c>
      <c r="H1" s="1230" t="s">
        <v>128</v>
      </c>
      <c r="I1" s="1232" t="s">
        <v>3466</v>
      </c>
      <c r="J1" s="1234" t="s">
        <v>130</v>
      </c>
      <c r="K1" s="1234" t="s">
        <v>131</v>
      </c>
      <c r="L1" s="1232" t="s">
        <v>132</v>
      </c>
      <c r="M1" s="1232"/>
      <c r="N1" s="1234" t="s">
        <v>133</v>
      </c>
      <c r="O1" s="1234" t="s">
        <v>134</v>
      </c>
      <c r="P1" s="1217" t="s">
        <v>135</v>
      </c>
      <c r="Q1" s="1236" t="s">
        <v>1436</v>
      </c>
      <c r="R1" s="1286" t="s">
        <v>136</v>
      </c>
      <c r="S1" s="1236" t="s">
        <v>1437</v>
      </c>
      <c r="T1" s="403"/>
      <c r="U1" s="1224" t="s">
        <v>73</v>
      </c>
      <c r="V1" s="1224"/>
      <c r="W1" s="1224"/>
      <c r="X1" s="1220" t="s">
        <v>74</v>
      </c>
      <c r="Y1" s="1221"/>
      <c r="Z1" s="1222" t="s">
        <v>138</v>
      </c>
      <c r="AA1" s="1223"/>
      <c r="AB1" s="404" t="s">
        <v>85</v>
      </c>
      <c r="AC1" s="404" t="s">
        <v>139</v>
      </c>
      <c r="AD1" s="1224" t="s">
        <v>87</v>
      </c>
      <c r="AE1" s="1224"/>
      <c r="AF1" s="1224"/>
      <c r="AG1" s="1224"/>
      <c r="AH1" s="1224"/>
      <c r="AI1" s="1225" t="s">
        <v>138</v>
      </c>
      <c r="AJ1" s="1220"/>
      <c r="AK1" s="1220"/>
      <c r="AL1" s="1220"/>
      <c r="AM1" s="1220"/>
      <c r="AN1" s="1220"/>
      <c r="AO1" s="1220"/>
      <c r="AP1" s="1220"/>
      <c r="AQ1" s="1220"/>
      <c r="AR1" s="1220"/>
      <c r="AS1" s="1220"/>
      <c r="AT1" s="1220"/>
      <c r="AU1" s="1220"/>
      <c r="AV1" s="1220"/>
      <c r="AW1" s="1220"/>
      <c r="AX1" s="1220"/>
      <c r="AY1" s="1220"/>
      <c r="AZ1" s="1220"/>
      <c r="BA1" s="1220"/>
      <c r="BB1" s="1220"/>
      <c r="BC1" s="1221"/>
      <c r="BD1" s="1218" t="s">
        <v>140</v>
      </c>
      <c r="BE1" s="1218" t="s">
        <v>141</v>
      </c>
      <c r="BF1" s="1226" t="s">
        <v>142</v>
      </c>
      <c r="BG1" s="1228" t="s">
        <v>143</v>
      </c>
      <c r="BH1" s="1228" t="s">
        <v>144</v>
      </c>
      <c r="BI1" s="1219" t="s">
        <v>1438</v>
      </c>
      <c r="BJ1" s="1218" t="s">
        <v>146</v>
      </c>
      <c r="BK1" s="1218" t="s">
        <v>147</v>
      </c>
      <c r="BL1" s="1218" t="s">
        <v>148</v>
      </c>
      <c r="BM1" s="1218" t="s">
        <v>149</v>
      </c>
      <c r="BN1" s="1219" t="s">
        <v>150</v>
      </c>
      <c r="BO1" s="1219" t="s">
        <v>151</v>
      </c>
      <c r="BP1" s="1219" t="s">
        <v>152</v>
      </c>
      <c r="BQ1" s="1219" t="s">
        <v>153</v>
      </c>
      <c r="BR1" s="1219" t="s">
        <v>154</v>
      </c>
      <c r="BS1" s="1218" t="s">
        <v>155</v>
      </c>
      <c r="BT1" s="1218" t="s">
        <v>156</v>
      </c>
      <c r="BU1" s="1218" t="s">
        <v>157</v>
      </c>
      <c r="BV1" s="1218" t="s">
        <v>149</v>
      </c>
      <c r="BW1" s="1218" t="s">
        <v>158</v>
      </c>
      <c r="BX1" s="1217" t="s">
        <v>159</v>
      </c>
      <c r="BY1" s="569"/>
      <c r="BZ1" s="1213" t="s">
        <v>160</v>
      </c>
      <c r="CA1" s="1213" t="s">
        <v>111</v>
      </c>
      <c r="CB1" s="1213" t="s">
        <v>161</v>
      </c>
      <c r="CC1" s="1213" t="s">
        <v>162</v>
      </c>
      <c r="CD1" s="1213" t="s">
        <v>120</v>
      </c>
      <c r="CE1" s="1213" t="s">
        <v>163</v>
      </c>
      <c r="CF1" s="1215" t="s">
        <v>164</v>
      </c>
      <c r="CG1" s="1215" t="s">
        <v>165</v>
      </c>
      <c r="CH1" s="1215" t="s">
        <v>166</v>
      </c>
    </row>
    <row r="2" spans="1:88" s="193" customFormat="1" ht="28.5" customHeight="1">
      <c r="A2" s="1238"/>
      <c r="B2" s="1238"/>
      <c r="C2" s="1233"/>
      <c r="D2" s="1233"/>
      <c r="E2" s="1241"/>
      <c r="F2" s="1242"/>
      <c r="G2" s="1231"/>
      <c r="H2" s="1231"/>
      <c r="I2" s="1233"/>
      <c r="J2" s="1235"/>
      <c r="K2" s="1235"/>
      <c r="L2" s="1233"/>
      <c r="M2" s="1233"/>
      <c r="N2" s="1235"/>
      <c r="O2" s="1235"/>
      <c r="P2" s="1217"/>
      <c r="Q2" s="1236"/>
      <c r="R2" s="1287"/>
      <c r="S2" s="1236"/>
      <c r="T2" s="403"/>
      <c r="U2" s="404" t="s">
        <v>167</v>
      </c>
      <c r="V2" s="404" t="s">
        <v>168</v>
      </c>
      <c r="W2" s="405" t="s">
        <v>169</v>
      </c>
      <c r="X2" s="404" t="s">
        <v>170</v>
      </c>
      <c r="Y2" s="404" t="s">
        <v>171</v>
      </c>
      <c r="Z2" s="406" t="s">
        <v>172</v>
      </c>
      <c r="AA2" s="406" t="s">
        <v>173</v>
      </c>
      <c r="AB2" s="404" t="s">
        <v>174</v>
      </c>
      <c r="AC2" s="404" t="s">
        <v>139</v>
      </c>
      <c r="AD2" s="405" t="s">
        <v>175</v>
      </c>
      <c r="AE2" s="405" t="s">
        <v>176</v>
      </c>
      <c r="AF2" s="405" t="s">
        <v>177</v>
      </c>
      <c r="AG2" s="405" t="s">
        <v>178</v>
      </c>
      <c r="AH2" s="405" t="s">
        <v>179</v>
      </c>
      <c r="AI2" s="404" t="s">
        <v>81</v>
      </c>
      <c r="AJ2" s="404" t="s">
        <v>180</v>
      </c>
      <c r="AK2" s="404" t="s">
        <v>181</v>
      </c>
      <c r="AL2" s="404" t="s">
        <v>76</v>
      </c>
      <c r="AM2" s="404" t="s">
        <v>84</v>
      </c>
      <c r="AN2" s="404" t="s">
        <v>88</v>
      </c>
      <c r="AO2" s="404" t="s">
        <v>78</v>
      </c>
      <c r="AP2" s="404" t="s">
        <v>80</v>
      </c>
      <c r="AQ2" s="404" t="s">
        <v>86</v>
      </c>
      <c r="AR2" s="404" t="s">
        <v>82</v>
      </c>
      <c r="AS2" s="404" t="s">
        <v>182</v>
      </c>
      <c r="AT2" s="404" t="s">
        <v>183</v>
      </c>
      <c r="AU2" s="404" t="s">
        <v>184</v>
      </c>
      <c r="AV2" s="404" t="s">
        <v>100</v>
      </c>
      <c r="AW2" s="404" t="s">
        <v>913</v>
      </c>
      <c r="AX2" s="404" t="s">
        <v>2747</v>
      </c>
      <c r="AY2" s="405" t="s">
        <v>3278</v>
      </c>
      <c r="AZ2" s="405" t="s">
        <v>2896</v>
      </c>
      <c r="BA2" s="405" t="s">
        <v>2862</v>
      </c>
      <c r="BB2" s="405" t="s">
        <v>2856</v>
      </c>
      <c r="BC2" s="405" t="s">
        <v>2897</v>
      </c>
      <c r="BD2" s="1218"/>
      <c r="BE2" s="1218"/>
      <c r="BF2" s="1227"/>
      <c r="BG2" s="1229"/>
      <c r="BH2" s="1229"/>
      <c r="BI2" s="1219"/>
      <c r="BJ2" s="1218"/>
      <c r="BK2" s="1218"/>
      <c r="BL2" s="1218"/>
      <c r="BM2" s="1218"/>
      <c r="BN2" s="1219"/>
      <c r="BO2" s="1219"/>
      <c r="BP2" s="1219"/>
      <c r="BQ2" s="1219"/>
      <c r="BR2" s="1219"/>
      <c r="BS2" s="1218"/>
      <c r="BT2" s="1218"/>
      <c r="BU2" s="1218"/>
      <c r="BV2" s="1218"/>
      <c r="BW2" s="1218"/>
      <c r="BX2" s="1217"/>
      <c r="BY2" s="250"/>
      <c r="BZ2" s="1214"/>
      <c r="CA2" s="1214"/>
      <c r="CB2" s="1214"/>
      <c r="CC2" s="1214"/>
      <c r="CD2" s="1214"/>
      <c r="CE2" s="1214"/>
      <c r="CF2" s="1216"/>
      <c r="CG2" s="1216"/>
      <c r="CH2" s="1216"/>
    </row>
    <row r="3" spans="1:88">
      <c r="A3" s="208" t="s">
        <v>3161</v>
      </c>
      <c r="B3" s="115"/>
      <c r="E3" s="77"/>
      <c r="G3" s="299"/>
      <c r="H3" s="299"/>
      <c r="I3" s="115"/>
      <c r="M3" s="529"/>
      <c r="Z3" s="117"/>
      <c r="BF3" s="300"/>
      <c r="BP3" s="251"/>
      <c r="BU3" s="251"/>
      <c r="BV3" s="251"/>
      <c r="BW3" s="251"/>
      <c r="BX3" s="115"/>
      <c r="BY3" s="115"/>
      <c r="BZ3" s="302"/>
      <c r="CA3" s="302"/>
      <c r="CB3" s="302"/>
      <c r="CC3" s="302"/>
      <c r="CD3" s="303"/>
      <c r="CE3" s="303"/>
      <c r="CF3" s="304"/>
      <c r="CG3" s="304"/>
      <c r="CH3" s="305"/>
    </row>
    <row r="4" spans="1:88" s="475" customFormat="1">
      <c r="A4" s="474">
        <f t="shared" ref="A4:A35" si="0">BJ4</f>
        <v>45282.621527777781</v>
      </c>
      <c r="B4" s="475" t="s">
        <v>188</v>
      </c>
      <c r="C4" s="475" t="s">
        <v>88</v>
      </c>
      <c r="D4" s="475" t="s">
        <v>189</v>
      </c>
      <c r="E4" s="1126" t="s">
        <v>3745</v>
      </c>
      <c r="F4" s="475" t="s">
        <v>3378</v>
      </c>
      <c r="G4" s="901"/>
      <c r="H4" s="901"/>
      <c r="I4" s="475" t="s">
        <v>191</v>
      </c>
      <c r="J4" s="475" t="s">
        <v>192</v>
      </c>
      <c r="K4" s="475" t="s">
        <v>192</v>
      </c>
      <c r="L4" s="475" t="s">
        <v>3746</v>
      </c>
      <c r="M4" s="530"/>
      <c r="N4" s="475" t="s">
        <v>3280</v>
      </c>
      <c r="O4" s="475" t="s">
        <v>3747</v>
      </c>
      <c r="P4" s="399" t="s">
        <v>88</v>
      </c>
      <c r="Q4" s="477">
        <v>5500</v>
      </c>
      <c r="R4" s="477">
        <v>5500</v>
      </c>
      <c r="S4" s="477">
        <v>5498.73</v>
      </c>
      <c r="T4" s="399"/>
      <c r="U4" s="401"/>
      <c r="V4" s="401"/>
      <c r="W4" s="401"/>
      <c r="Y4" s="401"/>
      <c r="Z4" s="401"/>
      <c r="AA4" s="401"/>
      <c r="AB4" s="401"/>
      <c r="AC4" s="401"/>
      <c r="AD4" s="401"/>
      <c r="AE4" s="399"/>
      <c r="AF4" s="399"/>
      <c r="AG4" s="399"/>
      <c r="AH4" s="399"/>
      <c r="AI4" s="399"/>
      <c r="AJ4" s="399"/>
      <c r="AK4" s="399"/>
      <c r="AL4" s="399"/>
      <c r="AM4" s="399"/>
      <c r="AN4" s="580">
        <f>S4</f>
        <v>5498.73</v>
      </c>
      <c r="AO4" s="399"/>
      <c r="AP4" s="399"/>
      <c r="AQ4" s="399"/>
      <c r="AR4" s="399"/>
      <c r="AS4" s="399"/>
      <c r="AU4" s="399"/>
      <c r="AV4" s="399"/>
      <c r="AW4" s="399"/>
      <c r="AX4" s="399"/>
      <c r="AY4" s="399"/>
      <c r="AZ4" s="399"/>
      <c r="BA4" s="399"/>
      <c r="BB4" s="399"/>
      <c r="BC4" s="399"/>
      <c r="BD4" s="473">
        <f t="shared" ref="BD4:BD35" si="1">BG4</f>
        <v>45282.614583333336</v>
      </c>
      <c r="BE4" s="473">
        <f t="shared" ref="BE4:BE35" si="2">BW4</f>
        <v>45288.065972222219</v>
      </c>
      <c r="BF4" s="479">
        <f t="shared" ref="BF4:BF35" si="3">BE4-BD4</f>
        <v>5.4513888888832298</v>
      </c>
      <c r="BG4" s="473">
        <v>45282.614583333336</v>
      </c>
      <c r="BH4" s="473">
        <v>45282.614583333336</v>
      </c>
      <c r="BI4" s="473">
        <v>45282.614583333336</v>
      </c>
      <c r="BJ4" s="473">
        <v>45282.621527777781</v>
      </c>
      <c r="BK4" s="473">
        <v>45283.024305555555</v>
      </c>
      <c r="BL4" s="473">
        <v>45283.041666666664</v>
      </c>
      <c r="BM4" s="473">
        <v>45283.041666666664</v>
      </c>
      <c r="BN4" s="473">
        <v>45283.041666666664</v>
      </c>
      <c r="BO4" s="518" t="s">
        <v>196</v>
      </c>
      <c r="BP4" s="518" t="s">
        <v>196</v>
      </c>
      <c r="BQ4" s="518" t="s">
        <v>196</v>
      </c>
      <c r="BR4" s="473">
        <v>45287.364583333336</v>
      </c>
      <c r="BS4" s="473">
        <v>45287.677083333336</v>
      </c>
      <c r="BT4" s="473">
        <v>45288.048611111109</v>
      </c>
      <c r="BU4" s="473">
        <v>45288.065972222219</v>
      </c>
      <c r="BV4" s="473">
        <v>45288.065972222219</v>
      </c>
      <c r="BW4" s="473">
        <v>45288.065972222219</v>
      </c>
      <c r="BZ4" s="481">
        <f t="shared" ref="BZ4:BZ35" si="4">(BI4-BH4)*24</f>
        <v>0</v>
      </c>
      <c r="CA4" s="481">
        <f t="shared" ref="CA4:CA35" si="5">(BK4-BJ4)*24</f>
        <v>9.6666666665696539</v>
      </c>
      <c r="CB4" s="481">
        <f t="shared" ref="CB4:CB35" si="6">(BN4-BM4)*24</f>
        <v>0</v>
      </c>
      <c r="CC4" s="481">
        <f>(BR4-BN4)*24</f>
        <v>103.75000000011642</v>
      </c>
      <c r="CD4" s="482">
        <f t="shared" ref="CD4:CD35" si="7">(BT4-BS4)*24</f>
        <v>8.9166666665696539</v>
      </c>
      <c r="CE4" s="482">
        <f t="shared" ref="CE4:CE35" si="8">(BW4-BV4)*24</f>
        <v>0</v>
      </c>
      <c r="CF4" s="483">
        <f t="shared" ref="CF4:CF35" si="9">SUM(BZ4:CE4)/24</f>
        <v>5.0972222222189885</v>
      </c>
      <c r="CG4" s="483">
        <f t="shared" ref="CG4:CG35" si="10">BF4</f>
        <v>5.4513888888832298</v>
      </c>
      <c r="CH4" s="484">
        <f t="shared" ref="CH4:CH35" si="11">CF4/CG4</f>
        <v>0.93503184713413545</v>
      </c>
    </row>
    <row r="5" spans="1:88" s="475" customFormat="1">
      <c r="A5" s="474">
        <f t="shared" si="0"/>
        <v>45280.635416666664</v>
      </c>
      <c r="B5" s="475" t="s">
        <v>228</v>
      </c>
      <c r="C5" s="475" t="s">
        <v>78</v>
      </c>
      <c r="D5" s="475" t="s">
        <v>197</v>
      </c>
      <c r="E5" s="476" t="s">
        <v>3156</v>
      </c>
      <c r="F5" s="399" t="s">
        <v>3474</v>
      </c>
      <c r="G5" s="472">
        <v>45271</v>
      </c>
      <c r="H5" s="472">
        <v>45271.366666666669</v>
      </c>
      <c r="I5" s="475" t="s">
        <v>211</v>
      </c>
      <c r="J5" s="475" t="s">
        <v>192</v>
      </c>
      <c r="K5" s="475" t="s">
        <v>192</v>
      </c>
      <c r="L5" s="399" t="s">
        <v>3748</v>
      </c>
      <c r="M5" s="530"/>
      <c r="N5" s="475" t="s">
        <v>330</v>
      </c>
      <c r="O5" s="475" t="s">
        <v>331</v>
      </c>
      <c r="P5" s="399" t="s">
        <v>78</v>
      </c>
      <c r="Q5" s="477">
        <f>3136*2.4</f>
        <v>7526.4</v>
      </c>
      <c r="R5" s="477">
        <f>7550+100</f>
        <v>7650</v>
      </c>
      <c r="S5" s="477">
        <v>7500</v>
      </c>
      <c r="T5" s="667"/>
      <c r="V5" s="581"/>
      <c r="W5" s="581"/>
      <c r="X5" s="581"/>
      <c r="Y5" s="581"/>
      <c r="Z5" s="581"/>
      <c r="AA5" s="581"/>
      <c r="AB5" s="401"/>
      <c r="AC5" s="581"/>
      <c r="AD5" s="581"/>
      <c r="AE5" s="581"/>
      <c r="AF5" s="581"/>
      <c r="AG5" s="581"/>
      <c r="AH5" s="581"/>
      <c r="AO5" s="726">
        <f>S5</f>
        <v>7500</v>
      </c>
      <c r="BD5" s="473">
        <f t="shared" si="1"/>
        <v>45277.095833333333</v>
      </c>
      <c r="BE5" s="473">
        <f t="shared" si="2"/>
        <v>45288.763888888891</v>
      </c>
      <c r="BF5" s="479">
        <f t="shared" si="3"/>
        <v>11.668055555557657</v>
      </c>
      <c r="BG5" s="473">
        <v>45277.095833333333</v>
      </c>
      <c r="BH5" s="473">
        <v>45278.829861111109</v>
      </c>
      <c r="BI5" s="473">
        <v>45278.881944444445</v>
      </c>
      <c r="BJ5" s="473">
        <v>45280.635416666664</v>
      </c>
      <c r="BK5" s="473">
        <v>45281.097222222219</v>
      </c>
      <c r="BL5" s="473">
        <v>45281.114583333336</v>
      </c>
      <c r="BM5" s="473">
        <v>45281.118055555555</v>
      </c>
      <c r="BN5" s="473">
        <f>BM5+(5/24)</f>
        <v>45281.326388888891</v>
      </c>
      <c r="BO5" s="480">
        <v>45281.458333333336</v>
      </c>
      <c r="BP5" s="480">
        <v>45281.625</v>
      </c>
      <c r="BQ5" s="480">
        <v>45281.621527777781</v>
      </c>
      <c r="BR5" s="473">
        <v>45283.479166666664</v>
      </c>
      <c r="BS5" s="473">
        <v>45287.666666666664</v>
      </c>
      <c r="BT5" s="473">
        <v>45288.243055555555</v>
      </c>
      <c r="BU5" s="473">
        <v>45288.263888888891</v>
      </c>
      <c r="BV5" s="473">
        <v>45288.555555555555</v>
      </c>
      <c r="BW5" s="473">
        <v>45288.763888888891</v>
      </c>
      <c r="BZ5" s="481">
        <f t="shared" si="4"/>
        <v>1.2500000000582077</v>
      </c>
      <c r="CA5" s="481">
        <f t="shared" si="5"/>
        <v>11.083333333313931</v>
      </c>
      <c r="CB5" s="481">
        <f t="shared" si="6"/>
        <v>5.0000000000582077</v>
      </c>
      <c r="CC5" s="481">
        <f>(BR5-BP5)*24</f>
        <v>44.499999999941792</v>
      </c>
      <c r="CD5" s="482">
        <f t="shared" si="7"/>
        <v>13.833333333372138</v>
      </c>
      <c r="CE5" s="482">
        <f t="shared" si="8"/>
        <v>5.0000000000582077</v>
      </c>
      <c r="CF5" s="483">
        <f t="shared" si="9"/>
        <v>3.3611111111167702</v>
      </c>
      <c r="CG5" s="483">
        <f t="shared" si="10"/>
        <v>11.668055555557657</v>
      </c>
      <c r="CH5" s="484">
        <f t="shared" si="11"/>
        <v>0.28806094512601338</v>
      </c>
    </row>
    <row r="6" spans="1:88" s="475" customFormat="1">
      <c r="A6" s="474">
        <f t="shared" si="0"/>
        <v>45274.357638888891</v>
      </c>
      <c r="B6" s="475" t="s">
        <v>188</v>
      </c>
      <c r="C6" s="475" t="s">
        <v>2856</v>
      </c>
      <c r="D6" s="475" t="s">
        <v>197</v>
      </c>
      <c r="E6" s="399" t="s">
        <v>3749</v>
      </c>
      <c r="F6" s="475" t="s">
        <v>3378</v>
      </c>
      <c r="G6" s="472">
        <v>45276.241666666669</v>
      </c>
      <c r="H6" s="472">
        <v>45276.241666666669</v>
      </c>
      <c r="I6" s="475" t="s">
        <v>3750</v>
      </c>
      <c r="J6" s="475" t="s">
        <v>192</v>
      </c>
      <c r="K6" s="475" t="s">
        <v>192</v>
      </c>
      <c r="L6" s="475" t="s">
        <v>3751</v>
      </c>
      <c r="M6" s="530"/>
      <c r="N6" s="475" t="s">
        <v>263</v>
      </c>
      <c r="O6" s="475" t="s">
        <v>264</v>
      </c>
      <c r="P6" s="475" t="s">
        <v>2856</v>
      </c>
      <c r="Q6" s="477">
        <f>3136*2.4</f>
        <v>7526.4</v>
      </c>
      <c r="R6" s="477">
        <f>7550+100</f>
        <v>7650</v>
      </c>
      <c r="S6" s="477">
        <v>7497.3029999999999</v>
      </c>
      <c r="T6" s="399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BB6" s="580">
        <f>S6</f>
        <v>7497.3029999999999</v>
      </c>
      <c r="BC6" s="580"/>
      <c r="BD6" s="473">
        <f t="shared" si="1"/>
        <v>45271.569444444445</v>
      </c>
      <c r="BE6" s="473">
        <f t="shared" si="2"/>
        <v>45286.458333333336</v>
      </c>
      <c r="BF6" s="479">
        <f t="shared" si="3"/>
        <v>14.888888888890506</v>
      </c>
      <c r="BG6" s="473">
        <v>45271.569444444445</v>
      </c>
      <c r="BH6" s="473">
        <v>45271.815972222219</v>
      </c>
      <c r="BI6" s="473">
        <v>45273.635416666664</v>
      </c>
      <c r="BJ6" s="473">
        <v>45274.357638888891</v>
      </c>
      <c r="BK6" s="473">
        <v>45274.927083333336</v>
      </c>
      <c r="BL6" s="473">
        <v>45274.9375</v>
      </c>
      <c r="BM6" s="473">
        <v>45282.565972222219</v>
      </c>
      <c r="BN6" s="473">
        <f>BM6</f>
        <v>45282.565972222219</v>
      </c>
      <c r="BO6" s="518" t="s">
        <v>196</v>
      </c>
      <c r="BP6" s="518" t="s">
        <v>196</v>
      </c>
      <c r="BQ6" s="518" t="s">
        <v>196</v>
      </c>
      <c r="BR6" s="473">
        <v>45285.024305555555</v>
      </c>
      <c r="BS6" s="473">
        <v>45285.253472222219</v>
      </c>
      <c r="BT6" s="473">
        <v>45285.701388888891</v>
      </c>
      <c r="BU6" s="473">
        <v>45285.71875</v>
      </c>
      <c r="BV6" s="473">
        <v>45286.006944444445</v>
      </c>
      <c r="BW6" s="473">
        <v>45286.458333333336</v>
      </c>
      <c r="BZ6" s="481">
        <f t="shared" si="4"/>
        <v>43.666666666686069</v>
      </c>
      <c r="CA6" s="481">
        <f t="shared" si="5"/>
        <v>13.666666666686069</v>
      </c>
      <c r="CB6" s="481">
        <f t="shared" si="6"/>
        <v>0</v>
      </c>
      <c r="CC6" s="481">
        <f>(BR6-BN6)*24</f>
        <v>59.000000000058208</v>
      </c>
      <c r="CD6" s="482">
        <f t="shared" si="7"/>
        <v>10.750000000116415</v>
      </c>
      <c r="CE6" s="482">
        <f t="shared" si="8"/>
        <v>10.833333333372138</v>
      </c>
      <c r="CF6" s="483">
        <f t="shared" si="9"/>
        <v>5.7465277777882875</v>
      </c>
      <c r="CG6" s="483">
        <f t="shared" si="10"/>
        <v>14.888888888890506</v>
      </c>
      <c r="CH6" s="484">
        <f t="shared" si="11"/>
        <v>0.38596082089618633</v>
      </c>
    </row>
    <row r="7" spans="1:88" s="369" customFormat="1">
      <c r="A7" s="474">
        <f t="shared" si="0"/>
        <v>45263.319444444445</v>
      </c>
      <c r="B7" s="475" t="s">
        <v>228</v>
      </c>
      <c r="C7" s="475" t="s">
        <v>229</v>
      </c>
      <c r="D7" s="475" t="s">
        <v>197</v>
      </c>
      <c r="E7" s="399" t="s">
        <v>3177</v>
      </c>
      <c r="F7" s="399" t="s">
        <v>3474</v>
      </c>
      <c r="G7" s="472">
        <v>45262.8125</v>
      </c>
      <c r="H7" s="472">
        <v>45262.770833333336</v>
      </c>
      <c r="I7" s="667" t="s">
        <v>231</v>
      </c>
      <c r="J7" s="475" t="s">
        <v>192</v>
      </c>
      <c r="K7" s="475" t="s">
        <v>192</v>
      </c>
      <c r="L7" s="667" t="s">
        <v>3752</v>
      </c>
      <c r="M7" s="529"/>
      <c r="N7" s="475" t="s">
        <v>218</v>
      </c>
      <c r="O7" s="475" t="s">
        <v>350</v>
      </c>
      <c r="P7" s="399" t="s">
        <v>3753</v>
      </c>
      <c r="Q7" s="477">
        <f>3077*2.4</f>
        <v>7384.7999999999993</v>
      </c>
      <c r="R7" s="477">
        <f>7400+100</f>
        <v>7500</v>
      </c>
      <c r="S7" s="477">
        <v>7542.2089999999998</v>
      </c>
      <c r="T7" s="477"/>
      <c r="U7" s="581"/>
      <c r="V7" s="581"/>
      <c r="W7" s="581"/>
      <c r="X7" s="726">
        <f>S7*0.8</f>
        <v>6033.7672000000002</v>
      </c>
      <c r="Y7" s="726">
        <f>S7*0.2</f>
        <v>1508.4418000000001</v>
      </c>
      <c r="Z7" s="581"/>
      <c r="AA7" s="58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1"/>
      <c r="AP7" s="401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73">
        <f t="shared" si="1"/>
        <v>45259.4375</v>
      </c>
      <c r="BE7" s="473">
        <f t="shared" si="2"/>
        <v>45269.333333333336</v>
      </c>
      <c r="BF7" s="479">
        <f t="shared" si="3"/>
        <v>9.8958333333357587</v>
      </c>
      <c r="BG7" s="473">
        <v>45259.4375</v>
      </c>
      <c r="BH7" s="473">
        <v>45259.767361111109</v>
      </c>
      <c r="BI7" s="473">
        <v>45262.291666666664</v>
      </c>
      <c r="BJ7" s="473">
        <v>45263.319444444445</v>
      </c>
      <c r="BK7" s="473">
        <v>45263.454861111109</v>
      </c>
      <c r="BL7" s="473">
        <v>45263.465277777781</v>
      </c>
      <c r="BM7" s="473">
        <v>45263.465277777781</v>
      </c>
      <c r="BN7" s="473">
        <f t="shared" ref="BN7:BN38" si="12">BM7+(41/24)</f>
        <v>45265.173611111117</v>
      </c>
      <c r="BO7" s="480">
        <v>45265.291666666664</v>
      </c>
      <c r="BP7" s="480">
        <v>45265.458333333328</v>
      </c>
      <c r="BQ7" s="480">
        <v>45265.322916666664</v>
      </c>
      <c r="BR7" s="473">
        <v>45266.565972222219</v>
      </c>
      <c r="BS7" s="473">
        <v>45268.791666666664</v>
      </c>
      <c r="BT7" s="473">
        <v>45268.944444444445</v>
      </c>
      <c r="BU7" s="473">
        <v>45268.954861111109</v>
      </c>
      <c r="BV7" s="473">
        <v>45268.954861111109</v>
      </c>
      <c r="BW7" s="473">
        <v>45269.333333333336</v>
      </c>
      <c r="BX7" s="475"/>
      <c r="BY7" s="475"/>
      <c r="BZ7" s="481">
        <f t="shared" si="4"/>
        <v>60.583333333313931</v>
      </c>
      <c r="CA7" s="481">
        <f t="shared" si="5"/>
        <v>3.2499999999417923</v>
      </c>
      <c r="CB7" s="481">
        <f t="shared" si="6"/>
        <v>41.000000000058208</v>
      </c>
      <c r="CC7" s="481">
        <f t="shared" ref="CC7:CC38" si="13">(BR7-BP7)*24</f>
        <v>26.583333333372138</v>
      </c>
      <c r="CD7" s="482">
        <f t="shared" si="7"/>
        <v>3.6666666667442769</v>
      </c>
      <c r="CE7" s="482">
        <f t="shared" si="8"/>
        <v>9.0833333334303461</v>
      </c>
      <c r="CF7" s="483">
        <f t="shared" si="9"/>
        <v>6.0069444444525288</v>
      </c>
      <c r="CG7" s="483">
        <f t="shared" si="10"/>
        <v>9.8958333333357587</v>
      </c>
      <c r="CH7" s="484">
        <f t="shared" si="11"/>
        <v>0.60701754386031725</v>
      </c>
      <c r="CI7" s="475"/>
      <c r="CJ7" s="475"/>
    </row>
    <row r="8" spans="1:88" s="369" customFormat="1">
      <c r="A8" s="474">
        <f t="shared" si="0"/>
        <v>45263.737500000003</v>
      </c>
      <c r="B8" s="475" t="s">
        <v>228</v>
      </c>
      <c r="C8" s="475" t="s">
        <v>229</v>
      </c>
      <c r="D8" s="475" t="s">
        <v>197</v>
      </c>
      <c r="E8" s="399" t="s">
        <v>3177</v>
      </c>
      <c r="F8" s="399" t="s">
        <v>3474</v>
      </c>
      <c r="G8" s="472">
        <v>45262.8125</v>
      </c>
      <c r="H8" s="472">
        <v>45262.770833333336</v>
      </c>
      <c r="I8" s="667" t="s">
        <v>231</v>
      </c>
      <c r="J8" s="475" t="s">
        <v>192</v>
      </c>
      <c r="K8" s="475" t="s">
        <v>192</v>
      </c>
      <c r="L8" s="667" t="s">
        <v>3754</v>
      </c>
      <c r="M8" s="529"/>
      <c r="N8" s="475" t="s">
        <v>208</v>
      </c>
      <c r="O8" s="475" t="s">
        <v>328</v>
      </c>
      <c r="P8" s="399" t="s">
        <v>3753</v>
      </c>
      <c r="Q8" s="477">
        <f>3128*2.4</f>
        <v>7507.2</v>
      </c>
      <c r="R8" s="477">
        <f>7550+100</f>
        <v>7650</v>
      </c>
      <c r="S8" s="477">
        <v>7449.0749999999998</v>
      </c>
      <c r="T8" s="399"/>
      <c r="U8" s="581"/>
      <c r="V8" s="581"/>
      <c r="W8" s="581"/>
      <c r="X8" s="726">
        <f>S8*0.8</f>
        <v>5959.26</v>
      </c>
      <c r="Y8" s="726">
        <f>S8*0.2</f>
        <v>1489.8150000000001</v>
      </c>
      <c r="Z8" s="581"/>
      <c r="AA8" s="581"/>
      <c r="AB8" s="401"/>
      <c r="AC8" s="581"/>
      <c r="AD8" s="581"/>
      <c r="AE8" s="724"/>
      <c r="AF8" s="724"/>
      <c r="AG8" s="724"/>
      <c r="AH8" s="724"/>
      <c r="AI8" s="475"/>
      <c r="AJ8" s="475"/>
      <c r="AK8" s="475"/>
      <c r="AL8" s="475"/>
      <c r="AM8" s="475"/>
      <c r="AN8" s="475"/>
      <c r="AO8" s="581"/>
      <c r="AP8" s="581"/>
      <c r="AQ8" s="581"/>
      <c r="AR8" s="581"/>
      <c r="AS8" s="581"/>
      <c r="AT8" s="581"/>
      <c r="AU8" s="581"/>
      <c r="AV8" s="581"/>
      <c r="AW8" s="581"/>
      <c r="AX8" s="581"/>
      <c r="AY8" s="581"/>
      <c r="AZ8" s="581"/>
      <c r="BA8" s="581"/>
      <c r="BB8" s="581"/>
      <c r="BC8" s="581"/>
      <c r="BD8" s="473">
        <f t="shared" si="1"/>
        <v>45259.868055555555</v>
      </c>
      <c r="BE8" s="473">
        <f t="shared" si="2"/>
        <v>45269</v>
      </c>
      <c r="BF8" s="479">
        <f t="shared" si="3"/>
        <v>9.1319444444452529</v>
      </c>
      <c r="BG8" s="473">
        <v>45259.868055555555</v>
      </c>
      <c r="BH8" s="473">
        <v>45260.770833333336</v>
      </c>
      <c r="BI8" s="473">
        <v>45262.59375</v>
      </c>
      <c r="BJ8" s="473">
        <v>45263.737500000003</v>
      </c>
      <c r="BK8" s="473">
        <v>45263.944444444445</v>
      </c>
      <c r="BL8" s="473">
        <v>45263.951388888891</v>
      </c>
      <c r="BM8" s="473">
        <v>45263.958333333336</v>
      </c>
      <c r="BN8" s="473">
        <f t="shared" si="12"/>
        <v>45265.666666666672</v>
      </c>
      <c r="BO8" s="480">
        <v>45265.291666666664</v>
      </c>
      <c r="BP8" s="480">
        <v>45265.458333333328</v>
      </c>
      <c r="BQ8" s="480">
        <v>45265.3125</v>
      </c>
      <c r="BR8" s="473">
        <v>45266.458333333328</v>
      </c>
      <c r="BS8" s="473">
        <v>45268.583333333336</v>
      </c>
      <c r="BT8" s="473">
        <v>45268.75</v>
      </c>
      <c r="BU8" s="473">
        <v>45268.770833333336</v>
      </c>
      <c r="BV8" s="473">
        <v>45268.770833333336</v>
      </c>
      <c r="BW8" s="473">
        <v>45269</v>
      </c>
      <c r="BX8" s="475"/>
      <c r="BY8" s="475"/>
      <c r="BZ8" s="481">
        <f t="shared" si="4"/>
        <v>43.749999999941792</v>
      </c>
      <c r="CA8" s="481">
        <f t="shared" si="5"/>
        <v>4.96666666661622</v>
      </c>
      <c r="CB8" s="481">
        <f t="shared" si="6"/>
        <v>41.000000000058208</v>
      </c>
      <c r="CC8" s="481">
        <f t="shared" si="13"/>
        <v>24</v>
      </c>
      <c r="CD8" s="482">
        <f t="shared" si="7"/>
        <v>3.9999999999417923</v>
      </c>
      <c r="CE8" s="482">
        <f t="shared" si="8"/>
        <v>5.4999999999417923</v>
      </c>
      <c r="CF8" s="483">
        <f t="shared" si="9"/>
        <v>5.1340277777708252</v>
      </c>
      <c r="CG8" s="483">
        <f t="shared" si="10"/>
        <v>9.1319444444452529</v>
      </c>
      <c r="CH8" s="484">
        <f t="shared" si="11"/>
        <v>0.56220532319310523</v>
      </c>
      <c r="CI8" s="475"/>
      <c r="CJ8" s="475"/>
    </row>
    <row r="9" spans="1:88" s="475" customFormat="1">
      <c r="A9" s="474">
        <f t="shared" si="0"/>
        <v>45263.981249999997</v>
      </c>
      <c r="B9" s="475" t="s">
        <v>228</v>
      </c>
      <c r="C9" s="475" t="s">
        <v>229</v>
      </c>
      <c r="D9" s="475" t="s">
        <v>197</v>
      </c>
      <c r="E9" s="399" t="s">
        <v>3177</v>
      </c>
      <c r="F9" s="399" t="s">
        <v>3474</v>
      </c>
      <c r="G9" s="472">
        <v>45262.8125</v>
      </c>
      <c r="H9" s="472">
        <v>45262.770833333336</v>
      </c>
      <c r="I9" s="399" t="s">
        <v>231</v>
      </c>
      <c r="J9" s="475" t="s">
        <v>192</v>
      </c>
      <c r="K9" s="475" t="s">
        <v>192</v>
      </c>
      <c r="L9" s="399" t="s">
        <v>3755</v>
      </c>
      <c r="M9" s="529"/>
      <c r="N9" s="475" t="s">
        <v>298</v>
      </c>
      <c r="O9" s="475" t="s">
        <v>299</v>
      </c>
      <c r="P9" s="399" t="s">
        <v>3753</v>
      </c>
      <c r="Q9" s="477">
        <f>4337*2.4</f>
        <v>10408.799999999999</v>
      </c>
      <c r="R9" s="477">
        <f>10450+100</f>
        <v>10550</v>
      </c>
      <c r="S9" s="477">
        <v>10426.517</v>
      </c>
      <c r="T9" s="399"/>
      <c r="U9" s="401"/>
      <c r="V9" s="401"/>
      <c r="W9" s="401"/>
      <c r="X9" s="580">
        <f>S9*0.8</f>
        <v>8341.213600000001</v>
      </c>
      <c r="Y9" s="580">
        <f>S9*0.2</f>
        <v>2085.3034000000002</v>
      </c>
      <c r="Z9" s="401"/>
      <c r="AA9" s="401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1"/>
      <c r="AP9" s="401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73">
        <f t="shared" si="1"/>
        <v>45260.642361111109</v>
      </c>
      <c r="BE9" s="473">
        <f t="shared" si="2"/>
        <v>45270.9375</v>
      </c>
      <c r="BF9" s="479">
        <f t="shared" si="3"/>
        <v>10.295138888890506</v>
      </c>
      <c r="BG9" s="473">
        <v>45260.642361111109</v>
      </c>
      <c r="BH9" s="473">
        <v>45261.555555555555</v>
      </c>
      <c r="BI9" s="473">
        <v>45263.208333333336</v>
      </c>
      <c r="BJ9" s="473">
        <v>45263.981249999997</v>
      </c>
      <c r="BK9" s="473">
        <v>45264.215277777781</v>
      </c>
      <c r="BL9" s="473">
        <v>45264.225694444445</v>
      </c>
      <c r="BM9" s="473">
        <v>45264.236111111109</v>
      </c>
      <c r="BN9" s="473">
        <f t="shared" si="12"/>
        <v>45265.944444444445</v>
      </c>
      <c r="BO9" s="480">
        <v>45266.541666666664</v>
      </c>
      <c r="BP9" s="480">
        <v>45266.708333333328</v>
      </c>
      <c r="BQ9" s="480">
        <v>45266.586805555555</v>
      </c>
      <c r="BR9" s="473">
        <v>45267.770833333336</v>
      </c>
      <c r="BS9" s="473">
        <v>45270.34375</v>
      </c>
      <c r="BT9" s="473">
        <v>45270.569444444445</v>
      </c>
      <c r="BU9" s="473">
        <v>45270.604166666664</v>
      </c>
      <c r="BV9" s="473">
        <v>45270.625</v>
      </c>
      <c r="BW9" s="473">
        <v>45270.9375</v>
      </c>
      <c r="BZ9" s="481">
        <f t="shared" si="4"/>
        <v>39.666666666744277</v>
      </c>
      <c r="CA9" s="481">
        <f t="shared" si="5"/>
        <v>5.6166666668141261</v>
      </c>
      <c r="CB9" s="481">
        <f t="shared" si="6"/>
        <v>41.000000000058208</v>
      </c>
      <c r="CC9" s="481">
        <f t="shared" si="13"/>
        <v>25.500000000174623</v>
      </c>
      <c r="CD9" s="482">
        <f t="shared" si="7"/>
        <v>5.4166666666860692</v>
      </c>
      <c r="CE9" s="482">
        <f t="shared" si="8"/>
        <v>7.5</v>
      </c>
      <c r="CF9" s="483">
        <f t="shared" si="9"/>
        <v>5.195833333353221</v>
      </c>
      <c r="CG9" s="483">
        <f t="shared" si="10"/>
        <v>10.295138888890506</v>
      </c>
      <c r="CH9" s="484">
        <f t="shared" si="11"/>
        <v>0.50468802698330273</v>
      </c>
    </row>
    <row r="10" spans="1:88" s="475" customFormat="1">
      <c r="A10" s="474">
        <f t="shared" si="0"/>
        <v>45264.254166666666</v>
      </c>
      <c r="B10" s="475" t="s">
        <v>228</v>
      </c>
      <c r="C10" s="475" t="s">
        <v>229</v>
      </c>
      <c r="D10" s="475" t="s">
        <v>197</v>
      </c>
      <c r="E10" s="399" t="s">
        <v>3177</v>
      </c>
      <c r="F10" s="399" t="s">
        <v>3474</v>
      </c>
      <c r="G10" s="472">
        <v>45262.8125</v>
      </c>
      <c r="H10" s="472">
        <v>45262.770833333336</v>
      </c>
      <c r="I10" s="667" t="s">
        <v>231</v>
      </c>
      <c r="J10" s="475" t="s">
        <v>192</v>
      </c>
      <c r="K10" s="475" t="s">
        <v>192</v>
      </c>
      <c r="L10" s="667" t="s">
        <v>3756</v>
      </c>
      <c r="M10" s="529"/>
      <c r="N10" s="475" t="s">
        <v>406</v>
      </c>
      <c r="O10" s="475" t="s">
        <v>407</v>
      </c>
      <c r="P10" s="399" t="s">
        <v>3753</v>
      </c>
      <c r="Q10" s="477">
        <f>3107*2.4</f>
        <v>7456.7999999999993</v>
      </c>
      <c r="R10" s="477">
        <f>7500+100</f>
        <v>7600</v>
      </c>
      <c r="S10" s="477">
        <v>7517.674</v>
      </c>
      <c r="T10" s="399"/>
      <c r="U10" s="581"/>
      <c r="V10" s="581"/>
      <c r="W10" s="581"/>
      <c r="X10" s="726">
        <f>S10*0.8</f>
        <v>6014.1392000000005</v>
      </c>
      <c r="Y10" s="726">
        <f>S10*0.2</f>
        <v>1503.5348000000001</v>
      </c>
      <c r="Z10" s="581"/>
      <c r="AA10" s="581"/>
      <c r="AB10" s="401"/>
      <c r="AC10" s="581"/>
      <c r="AD10" s="581"/>
      <c r="AE10" s="581"/>
      <c r="BD10" s="473">
        <f t="shared" si="1"/>
        <v>45260.958333333336</v>
      </c>
      <c r="BE10" s="473">
        <f t="shared" si="2"/>
        <v>45270.770833333336</v>
      </c>
      <c r="BF10" s="479">
        <f t="shared" si="3"/>
        <v>9.8125</v>
      </c>
      <c r="BG10" s="473">
        <v>45260.958333333336</v>
      </c>
      <c r="BH10" s="473">
        <v>45261.8125</v>
      </c>
      <c r="BI10" s="473">
        <v>45263.388888888891</v>
      </c>
      <c r="BJ10" s="473">
        <v>45264.254166666666</v>
      </c>
      <c r="BK10" s="473">
        <v>45264.427083333336</v>
      </c>
      <c r="BL10" s="473">
        <v>45264.451388888891</v>
      </c>
      <c r="BM10" s="473">
        <v>45264.451388888891</v>
      </c>
      <c r="BN10" s="473">
        <f t="shared" si="12"/>
        <v>45266.159722222226</v>
      </c>
      <c r="BO10" s="480">
        <v>45266.541666666664</v>
      </c>
      <c r="BP10" s="480">
        <v>45266.708333333328</v>
      </c>
      <c r="BQ10" s="480">
        <v>45266.638888888891</v>
      </c>
      <c r="BR10" s="473">
        <v>45267.708333333336</v>
      </c>
      <c r="BS10" s="473">
        <v>45270.027777777781</v>
      </c>
      <c r="BT10" s="473">
        <v>45270.270833333336</v>
      </c>
      <c r="BU10" s="473">
        <v>45270.28125</v>
      </c>
      <c r="BV10" s="473">
        <v>45270.541666666664</v>
      </c>
      <c r="BW10" s="473">
        <v>45270.770833333336</v>
      </c>
      <c r="BZ10" s="481">
        <f t="shared" si="4"/>
        <v>37.833333333372138</v>
      </c>
      <c r="CA10" s="481">
        <f t="shared" si="5"/>
        <v>4.1500000000814907</v>
      </c>
      <c r="CB10" s="481">
        <f t="shared" si="6"/>
        <v>41.000000000058208</v>
      </c>
      <c r="CC10" s="481">
        <f t="shared" si="13"/>
        <v>24.000000000174623</v>
      </c>
      <c r="CD10" s="482">
        <f t="shared" si="7"/>
        <v>5.8333333333139308</v>
      </c>
      <c r="CE10" s="482">
        <f t="shared" si="8"/>
        <v>5.5000000001164153</v>
      </c>
      <c r="CF10" s="483">
        <f t="shared" si="9"/>
        <v>4.9298611111298669</v>
      </c>
      <c r="CG10" s="483">
        <f t="shared" si="10"/>
        <v>9.8125</v>
      </c>
      <c r="CH10" s="484">
        <f t="shared" si="11"/>
        <v>0.50240622788584632</v>
      </c>
    </row>
    <row r="11" spans="1:88" s="475" customFormat="1">
      <c r="A11" s="474">
        <f t="shared" si="0"/>
        <v>45265.309027777781</v>
      </c>
      <c r="B11" s="475" t="s">
        <v>228</v>
      </c>
      <c r="C11" s="475" t="s">
        <v>229</v>
      </c>
      <c r="D11" s="475" t="s">
        <v>215</v>
      </c>
      <c r="E11" s="399" t="s">
        <v>3177</v>
      </c>
      <c r="F11" s="399" t="s">
        <v>3474</v>
      </c>
      <c r="G11" s="472">
        <v>45262.8125</v>
      </c>
      <c r="H11" s="472">
        <v>45262.770833333336</v>
      </c>
      <c r="I11" s="667" t="s">
        <v>231</v>
      </c>
      <c r="J11" s="475" t="s">
        <v>192</v>
      </c>
      <c r="K11" s="475" t="s">
        <v>192</v>
      </c>
      <c r="L11" s="667" t="s">
        <v>3757</v>
      </c>
      <c r="M11" s="529"/>
      <c r="N11" s="475" t="s">
        <v>271</v>
      </c>
      <c r="O11" s="475" t="s">
        <v>272</v>
      </c>
      <c r="P11" s="475" t="s">
        <v>3753</v>
      </c>
      <c r="Q11" s="477">
        <f>3852*2.4</f>
        <v>9244.7999999999993</v>
      </c>
      <c r="R11" s="477">
        <f>9250+100</f>
        <v>9350</v>
      </c>
      <c r="S11" s="477">
        <v>9070.1830000000009</v>
      </c>
      <c r="T11" s="477"/>
      <c r="U11" s="581"/>
      <c r="V11" s="581"/>
      <c r="W11" s="581"/>
      <c r="X11" s="726">
        <f>S11*0.8</f>
        <v>7256.1464000000014</v>
      </c>
      <c r="Y11" s="726">
        <f>S11*0.2</f>
        <v>1814.0366000000004</v>
      </c>
      <c r="Z11" s="581"/>
      <c r="AA11" s="581"/>
      <c r="AB11" s="581"/>
      <c r="AC11" s="581"/>
      <c r="AD11" s="401"/>
      <c r="AE11" s="401"/>
      <c r="BD11" s="473">
        <f t="shared" si="1"/>
        <v>45260.055555555555</v>
      </c>
      <c r="BE11" s="473">
        <f t="shared" si="2"/>
        <v>45271.352777777778</v>
      </c>
      <c r="BF11" s="479">
        <f t="shared" si="3"/>
        <v>11.297222222223354</v>
      </c>
      <c r="BG11" s="473">
        <v>45260.055555555555</v>
      </c>
      <c r="BH11" s="473">
        <v>45261.739583333336</v>
      </c>
      <c r="BI11" s="473">
        <v>45263.510416666664</v>
      </c>
      <c r="BJ11" s="473">
        <v>45265.309027777781</v>
      </c>
      <c r="BK11" s="473">
        <v>45265.489583333336</v>
      </c>
      <c r="BL11" s="473">
        <v>45265.493055555555</v>
      </c>
      <c r="BM11" s="473">
        <v>45265.495138888888</v>
      </c>
      <c r="BN11" s="473">
        <f t="shared" si="12"/>
        <v>45267.203472222223</v>
      </c>
      <c r="BO11" s="480">
        <v>45267.541666608799</v>
      </c>
      <c r="BP11" s="480">
        <v>45267.708333275463</v>
      </c>
      <c r="BQ11" s="480">
        <v>45267.565972222219</v>
      </c>
      <c r="BR11" s="473">
        <v>45268.625</v>
      </c>
      <c r="BS11" s="473">
        <v>45270.638888888891</v>
      </c>
      <c r="BT11" s="473">
        <v>45270.822916666664</v>
      </c>
      <c r="BU11" s="473">
        <v>45270.84375</v>
      </c>
      <c r="BV11" s="473">
        <v>45271.09375</v>
      </c>
      <c r="BW11" s="473">
        <v>45271.352777777778</v>
      </c>
      <c r="BZ11" s="481">
        <f t="shared" si="4"/>
        <v>42.499999999883585</v>
      </c>
      <c r="CA11" s="481">
        <f t="shared" si="5"/>
        <v>4.3333333333139308</v>
      </c>
      <c r="CB11" s="481">
        <f t="shared" si="6"/>
        <v>41.000000000058208</v>
      </c>
      <c r="CC11" s="481">
        <f t="shared" si="13"/>
        <v>22.000001388892997</v>
      </c>
      <c r="CD11" s="482">
        <f t="shared" si="7"/>
        <v>4.4166666665696539</v>
      </c>
      <c r="CE11" s="482">
        <f t="shared" si="8"/>
        <v>6.2166666666744277</v>
      </c>
      <c r="CF11" s="483">
        <f t="shared" si="9"/>
        <v>5.0194445023080334</v>
      </c>
      <c r="CG11" s="483">
        <f t="shared" si="10"/>
        <v>11.297222222223354</v>
      </c>
      <c r="CH11" s="484">
        <f t="shared" si="11"/>
        <v>0.44430784874126161</v>
      </c>
    </row>
    <row r="12" spans="1:88" s="475" customFormat="1">
      <c r="A12" s="474">
        <f t="shared" si="0"/>
        <v>45265.920138888891</v>
      </c>
      <c r="B12" s="475" t="s">
        <v>228</v>
      </c>
      <c r="C12" s="475" t="s">
        <v>229</v>
      </c>
      <c r="D12" s="475" t="s">
        <v>197</v>
      </c>
      <c r="E12" s="399" t="s">
        <v>3177</v>
      </c>
      <c r="F12" s="399" t="s">
        <v>3474</v>
      </c>
      <c r="G12" s="472">
        <v>45262.8125</v>
      </c>
      <c r="H12" s="472">
        <v>45262.770833333336</v>
      </c>
      <c r="I12" s="667" t="s">
        <v>231</v>
      </c>
      <c r="J12" s="475" t="s">
        <v>192</v>
      </c>
      <c r="K12" s="475" t="s">
        <v>192</v>
      </c>
      <c r="L12" s="667" t="s">
        <v>3758</v>
      </c>
      <c r="M12" s="529"/>
      <c r="N12" s="475" t="s">
        <v>2277</v>
      </c>
      <c r="O12" s="475" t="s">
        <v>2278</v>
      </c>
      <c r="P12" s="399" t="s">
        <v>235</v>
      </c>
      <c r="Q12" s="477">
        <f>3099 *2.4</f>
        <v>7437.5999999999995</v>
      </c>
      <c r="R12" s="477">
        <f>7500+100</f>
        <v>7600</v>
      </c>
      <c r="S12" s="477">
        <v>7575.8440000000001</v>
      </c>
      <c r="T12" s="667"/>
      <c r="U12" s="581"/>
      <c r="V12" s="581"/>
      <c r="W12" s="581"/>
      <c r="X12" s="726">
        <f>S12</f>
        <v>7575.8440000000001</v>
      </c>
      <c r="Y12" s="581"/>
      <c r="Z12" s="581"/>
      <c r="AA12" s="581"/>
      <c r="AB12" s="581"/>
      <c r="AC12" s="667"/>
      <c r="AD12" s="667"/>
      <c r="AX12" s="667"/>
      <c r="AY12" s="667"/>
      <c r="AZ12" s="667"/>
      <c r="BA12" s="667"/>
      <c r="BB12" s="667"/>
      <c r="BC12" s="667"/>
      <c r="BD12" s="473">
        <f t="shared" si="1"/>
        <v>45260.927083333336</v>
      </c>
      <c r="BE12" s="473">
        <f t="shared" si="2"/>
        <v>45269.708333333336</v>
      </c>
      <c r="BF12" s="479">
        <f t="shared" si="3"/>
        <v>8.78125</v>
      </c>
      <c r="BG12" s="473">
        <v>45260.927083333336</v>
      </c>
      <c r="BH12" s="473">
        <v>45261.75</v>
      </c>
      <c r="BI12" s="473">
        <v>45263.958333333336</v>
      </c>
      <c r="BJ12" s="473">
        <v>45265.920138888891</v>
      </c>
      <c r="BK12" s="473">
        <v>45266.052083333336</v>
      </c>
      <c r="BL12" s="473">
        <v>45266.059027777781</v>
      </c>
      <c r="BM12" s="473">
        <v>45266.0625</v>
      </c>
      <c r="BN12" s="473">
        <f t="shared" si="12"/>
        <v>45267.770833333336</v>
      </c>
      <c r="BO12" s="480">
        <v>45267.541666608799</v>
      </c>
      <c r="BP12" s="480">
        <v>45267.708333275463</v>
      </c>
      <c r="BQ12" s="480">
        <v>45267.672222222223</v>
      </c>
      <c r="BR12" s="473">
        <v>45268.916666666664</v>
      </c>
      <c r="BS12" s="473">
        <v>45268.986111111109</v>
      </c>
      <c r="BT12" s="473">
        <v>45269.159722222219</v>
      </c>
      <c r="BU12" s="473">
        <v>45269.166666666664</v>
      </c>
      <c r="BV12" s="473">
        <v>45269.475694444445</v>
      </c>
      <c r="BW12" s="473">
        <v>45269.708333333336</v>
      </c>
      <c r="BZ12" s="481">
        <f t="shared" si="4"/>
        <v>53.000000000058208</v>
      </c>
      <c r="CA12" s="481">
        <f t="shared" si="5"/>
        <v>3.1666666666860692</v>
      </c>
      <c r="CB12" s="481">
        <f t="shared" si="6"/>
        <v>41.000000000058208</v>
      </c>
      <c r="CC12" s="481">
        <f t="shared" si="13"/>
        <v>29.000001388834789</v>
      </c>
      <c r="CD12" s="482">
        <f t="shared" si="7"/>
        <v>4.1666666666278616</v>
      </c>
      <c r="CE12" s="482">
        <f t="shared" si="8"/>
        <v>5.5833333333721384</v>
      </c>
      <c r="CF12" s="483">
        <f t="shared" si="9"/>
        <v>5.6631945023182197</v>
      </c>
      <c r="CG12" s="483">
        <f t="shared" si="10"/>
        <v>8.78125</v>
      </c>
      <c r="CH12" s="484">
        <f t="shared" si="11"/>
        <v>0.64491894688321361</v>
      </c>
    </row>
    <row r="13" spans="1:88" s="475" customFormat="1">
      <c r="A13" s="474">
        <f t="shared" si="0"/>
        <v>45266.086805555555</v>
      </c>
      <c r="B13" s="475" t="s">
        <v>228</v>
      </c>
      <c r="C13" s="475" t="s">
        <v>229</v>
      </c>
      <c r="D13" s="475" t="s">
        <v>197</v>
      </c>
      <c r="E13" s="399" t="s">
        <v>3177</v>
      </c>
      <c r="F13" s="399" t="s">
        <v>3474</v>
      </c>
      <c r="G13" s="472">
        <v>45262.8125</v>
      </c>
      <c r="H13" s="472">
        <v>45262.770833333336</v>
      </c>
      <c r="I13" s="667" t="s">
        <v>231</v>
      </c>
      <c r="J13" s="475" t="s">
        <v>192</v>
      </c>
      <c r="K13" s="475" t="s">
        <v>192</v>
      </c>
      <c r="L13" s="667" t="s">
        <v>3759</v>
      </c>
      <c r="M13" s="529"/>
      <c r="N13" s="475" t="s">
        <v>334</v>
      </c>
      <c r="O13" s="475" t="s">
        <v>335</v>
      </c>
      <c r="P13" s="475" t="s">
        <v>3753</v>
      </c>
      <c r="Q13" s="477">
        <f>3242 *2.4</f>
        <v>7780.7999999999993</v>
      </c>
      <c r="R13" s="477">
        <f>7800+100</f>
        <v>7900</v>
      </c>
      <c r="S13" s="477">
        <v>7844.7510000000002</v>
      </c>
      <c r="T13" s="667"/>
      <c r="U13" s="581"/>
      <c r="V13" s="581"/>
      <c r="W13" s="581"/>
      <c r="X13" s="726">
        <f>S13*0.8</f>
        <v>6275.8008000000009</v>
      </c>
      <c r="Y13" s="726">
        <f>S13*0.2</f>
        <v>1568.9502000000002</v>
      </c>
      <c r="Z13" s="581"/>
      <c r="AA13" s="581"/>
      <c r="AB13" s="401"/>
      <c r="AC13" s="581"/>
      <c r="AD13" s="581"/>
      <c r="AE13" s="581"/>
      <c r="AF13" s="581"/>
      <c r="AG13" s="581"/>
      <c r="AH13" s="581"/>
      <c r="AI13" s="667"/>
      <c r="AJ13" s="667"/>
      <c r="AK13" s="667"/>
      <c r="AL13" s="667"/>
      <c r="AM13" s="667"/>
      <c r="AN13" s="667"/>
      <c r="AO13" s="667"/>
      <c r="AP13" s="667"/>
      <c r="AQ13" s="667"/>
      <c r="AR13" s="667"/>
      <c r="AS13" s="667"/>
      <c r="AT13" s="667"/>
      <c r="AU13" s="667"/>
      <c r="AV13" s="667"/>
      <c r="AW13" s="667"/>
      <c r="AX13" s="667"/>
      <c r="AY13" s="667"/>
      <c r="AZ13" s="667"/>
      <c r="BA13" s="667"/>
      <c r="BB13" s="667"/>
      <c r="BC13" s="667"/>
      <c r="BD13" s="473">
        <f t="shared" si="1"/>
        <v>45260.229166666664</v>
      </c>
      <c r="BE13" s="473">
        <f t="shared" si="2"/>
        <v>45271.625</v>
      </c>
      <c r="BF13" s="479">
        <f t="shared" si="3"/>
        <v>11.395833333335759</v>
      </c>
      <c r="BG13" s="473">
        <v>45260.229166666664</v>
      </c>
      <c r="BH13" s="473">
        <v>45261.569444444445</v>
      </c>
      <c r="BI13" s="473">
        <v>45264.229166666664</v>
      </c>
      <c r="BJ13" s="473">
        <v>45266.086805555555</v>
      </c>
      <c r="BK13" s="473">
        <v>45266.256944444445</v>
      </c>
      <c r="BL13" s="473">
        <v>45266.260416666664</v>
      </c>
      <c r="BM13" s="473">
        <v>45266.267361111109</v>
      </c>
      <c r="BN13" s="473">
        <f t="shared" si="12"/>
        <v>45267.975694444445</v>
      </c>
      <c r="BO13" s="480">
        <v>45267.541666608799</v>
      </c>
      <c r="BP13" s="480">
        <v>45267.708333275463</v>
      </c>
      <c r="BQ13" s="480">
        <v>45267.659722222219</v>
      </c>
      <c r="BR13" s="473">
        <v>45269.020833333336</v>
      </c>
      <c r="BS13" s="473">
        <v>45270.875</v>
      </c>
      <c r="BT13" s="473">
        <v>45271.159722222219</v>
      </c>
      <c r="BU13" s="473">
        <v>45271.180555555555</v>
      </c>
      <c r="BV13" s="473">
        <v>45271.270833333336</v>
      </c>
      <c r="BW13" s="473">
        <v>45271.625</v>
      </c>
      <c r="BZ13" s="481">
        <f t="shared" si="4"/>
        <v>63.833333333255723</v>
      </c>
      <c r="CA13" s="481">
        <f t="shared" si="5"/>
        <v>4.0833333333721384</v>
      </c>
      <c r="CB13" s="481">
        <f t="shared" si="6"/>
        <v>41.000000000058208</v>
      </c>
      <c r="CC13" s="481">
        <f t="shared" si="13"/>
        <v>31.500001388951205</v>
      </c>
      <c r="CD13" s="482">
        <f t="shared" si="7"/>
        <v>6.8333333332557231</v>
      </c>
      <c r="CE13" s="482">
        <f t="shared" si="8"/>
        <v>8.4999999999417923</v>
      </c>
      <c r="CF13" s="483">
        <f t="shared" si="9"/>
        <v>6.4895833912014496</v>
      </c>
      <c r="CG13" s="483">
        <f t="shared" si="10"/>
        <v>11.395833333335759</v>
      </c>
      <c r="CH13" s="484">
        <f t="shared" si="11"/>
        <v>0.56946984054406447</v>
      </c>
    </row>
    <row r="14" spans="1:88" s="475" customFormat="1">
      <c r="A14" s="474">
        <f t="shared" si="0"/>
        <v>45266.311111111114</v>
      </c>
      <c r="B14" s="475" t="s">
        <v>228</v>
      </c>
      <c r="C14" s="475" t="s">
        <v>229</v>
      </c>
      <c r="D14" s="475" t="s">
        <v>197</v>
      </c>
      <c r="E14" s="399" t="s">
        <v>3177</v>
      </c>
      <c r="F14" s="399" t="s">
        <v>3474</v>
      </c>
      <c r="G14" s="472">
        <v>45262.8125</v>
      </c>
      <c r="H14" s="472">
        <v>45262.770833333336</v>
      </c>
      <c r="I14" s="667" t="s">
        <v>231</v>
      </c>
      <c r="J14" s="475" t="s">
        <v>192</v>
      </c>
      <c r="K14" s="475" t="s">
        <v>192</v>
      </c>
      <c r="L14" s="667" t="s">
        <v>3760</v>
      </c>
      <c r="M14" s="529"/>
      <c r="N14" s="475" t="s">
        <v>1799</v>
      </c>
      <c r="O14" s="475" t="s">
        <v>2437</v>
      </c>
      <c r="P14" s="475" t="s">
        <v>235</v>
      </c>
      <c r="Q14" s="477">
        <f>3147*2.4</f>
        <v>7552.7999999999993</v>
      </c>
      <c r="R14" s="477">
        <f>7550+100</f>
        <v>7650</v>
      </c>
      <c r="S14" s="477">
        <v>7548.3890000000001</v>
      </c>
      <c r="T14" s="667"/>
      <c r="U14" s="581"/>
      <c r="V14" s="581"/>
      <c r="W14" s="581"/>
      <c r="X14" s="726">
        <f t="shared" ref="X14:X26" si="14">S14</f>
        <v>7548.3890000000001</v>
      </c>
      <c r="Y14" s="581"/>
      <c r="Z14" s="581"/>
      <c r="AA14" s="581"/>
      <c r="AB14" s="581"/>
      <c r="AC14" s="581"/>
      <c r="AD14" s="581"/>
      <c r="AE14" s="581"/>
      <c r="AF14" s="667"/>
      <c r="AG14" s="667"/>
      <c r="AH14" s="667"/>
      <c r="AI14" s="667"/>
      <c r="AJ14" s="667"/>
      <c r="AK14" s="667"/>
      <c r="AL14" s="667"/>
      <c r="AM14" s="667"/>
      <c r="AN14" s="667"/>
      <c r="AO14" s="667"/>
      <c r="AP14" s="667"/>
      <c r="AQ14" s="667"/>
      <c r="AR14" s="667"/>
      <c r="AS14" s="667"/>
      <c r="AT14" s="667"/>
      <c r="AU14" s="667"/>
      <c r="AV14" s="667"/>
      <c r="AW14" s="667"/>
      <c r="AX14" s="667"/>
      <c r="AY14" s="667"/>
      <c r="AZ14" s="667"/>
      <c r="BA14" s="667"/>
      <c r="BB14" s="667"/>
      <c r="BC14" s="667"/>
      <c r="BD14" s="473">
        <f t="shared" si="1"/>
        <v>45259.427083333336</v>
      </c>
      <c r="BE14" s="473">
        <f t="shared" si="2"/>
        <v>45270.416666666664</v>
      </c>
      <c r="BF14" s="479">
        <f t="shared" si="3"/>
        <v>10.989583333328483</v>
      </c>
      <c r="BG14" s="473">
        <v>45259.427083333336</v>
      </c>
      <c r="BH14" s="473">
        <v>45261.809027777781</v>
      </c>
      <c r="BI14" s="473">
        <v>45264.25</v>
      </c>
      <c r="BJ14" s="473">
        <v>45266.311111111114</v>
      </c>
      <c r="BK14" s="473">
        <v>45266.488194444442</v>
      </c>
      <c r="BL14" s="473">
        <v>45266.493055555555</v>
      </c>
      <c r="BM14" s="473">
        <v>45266.506944444445</v>
      </c>
      <c r="BN14" s="473">
        <f t="shared" si="12"/>
        <v>45268.215277777781</v>
      </c>
      <c r="BO14" s="480">
        <v>45268.541666608799</v>
      </c>
      <c r="BP14" s="480">
        <v>45268.708333275463</v>
      </c>
      <c r="BQ14" s="480">
        <v>45268.576388888891</v>
      </c>
      <c r="BR14" s="473">
        <v>45269.739583333336</v>
      </c>
      <c r="BS14" s="473">
        <v>45269.822916666664</v>
      </c>
      <c r="BT14" s="473">
        <v>45269.986111111109</v>
      </c>
      <c r="BU14" s="473">
        <v>45270.006944444445</v>
      </c>
      <c r="BV14" s="473">
        <v>45270.013888888891</v>
      </c>
      <c r="BW14" s="473">
        <v>45270.416666666664</v>
      </c>
      <c r="BZ14" s="481">
        <f t="shared" si="4"/>
        <v>58.583333333255723</v>
      </c>
      <c r="CA14" s="481">
        <f t="shared" si="5"/>
        <v>4.2499999998835847</v>
      </c>
      <c r="CB14" s="481">
        <f t="shared" si="6"/>
        <v>41.000000000058208</v>
      </c>
      <c r="CC14" s="481">
        <f t="shared" si="13"/>
        <v>24.750001388951205</v>
      </c>
      <c r="CD14" s="482">
        <f t="shared" si="7"/>
        <v>3.9166666666860692</v>
      </c>
      <c r="CE14" s="482">
        <f t="shared" si="8"/>
        <v>9.6666666665696539</v>
      </c>
      <c r="CF14" s="483">
        <f t="shared" si="9"/>
        <v>5.9236111689751851</v>
      </c>
      <c r="CG14" s="483">
        <f t="shared" si="10"/>
        <v>10.989583333328483</v>
      </c>
      <c r="CH14" s="484">
        <f t="shared" si="11"/>
        <v>0.53902054239039698</v>
      </c>
    </row>
    <row r="15" spans="1:88" s="475" customFormat="1">
      <c r="A15" s="474">
        <f t="shared" si="0"/>
        <v>45266.513888888891</v>
      </c>
      <c r="B15" s="475" t="s">
        <v>228</v>
      </c>
      <c r="C15" s="475" t="s">
        <v>229</v>
      </c>
      <c r="D15" s="475" t="s">
        <v>197</v>
      </c>
      <c r="E15" s="399" t="s">
        <v>3177</v>
      </c>
      <c r="F15" s="399" t="s">
        <v>3474</v>
      </c>
      <c r="G15" s="472">
        <v>45262.8125</v>
      </c>
      <c r="H15" s="472">
        <v>45262.770833333336</v>
      </c>
      <c r="I15" s="667" t="s">
        <v>231</v>
      </c>
      <c r="J15" s="475" t="s">
        <v>192</v>
      </c>
      <c r="K15" s="475" t="s">
        <v>192</v>
      </c>
      <c r="L15" s="667" t="s">
        <v>3761</v>
      </c>
      <c r="M15" s="529"/>
      <c r="N15" s="475" t="s">
        <v>371</v>
      </c>
      <c r="O15" s="475" t="s">
        <v>372</v>
      </c>
      <c r="P15" s="475" t="s">
        <v>235</v>
      </c>
      <c r="Q15" s="477">
        <f>3117*2.4</f>
        <v>7480.7999999999993</v>
      </c>
      <c r="R15" s="477">
        <f>7500+100</f>
        <v>7600</v>
      </c>
      <c r="S15" s="477">
        <f>7528.376-1839.412</f>
        <v>5688.9639999999999</v>
      </c>
      <c r="T15" s="667"/>
      <c r="U15" s="581"/>
      <c r="V15" s="581"/>
      <c r="W15" s="581"/>
      <c r="X15" s="726">
        <f t="shared" si="14"/>
        <v>5688.9639999999999</v>
      </c>
      <c r="Y15" s="581"/>
      <c r="Z15" s="581"/>
      <c r="AA15" s="581"/>
      <c r="AB15" s="581"/>
      <c r="AC15" s="667"/>
      <c r="AD15" s="667"/>
      <c r="AX15" s="667"/>
      <c r="AY15" s="667"/>
      <c r="AZ15" s="667"/>
      <c r="BA15" s="667"/>
      <c r="BB15" s="667"/>
      <c r="BC15" s="667"/>
      <c r="BD15" s="473">
        <f t="shared" si="1"/>
        <v>45260.135416666664</v>
      </c>
      <c r="BE15" s="473">
        <f t="shared" si="2"/>
        <v>45271.5</v>
      </c>
      <c r="BF15" s="479">
        <f t="shared" si="3"/>
        <v>11.364583333335759</v>
      </c>
      <c r="BG15" s="473">
        <v>45260.135416666664</v>
      </c>
      <c r="BH15" s="473">
        <v>45262.539583333331</v>
      </c>
      <c r="BI15" s="473">
        <v>45264.381944444445</v>
      </c>
      <c r="BJ15" s="473">
        <v>45266.513888888891</v>
      </c>
      <c r="BK15" s="473">
        <v>45266.635416666664</v>
      </c>
      <c r="BL15" s="473">
        <v>45266.642361111109</v>
      </c>
      <c r="BM15" s="473">
        <v>45266.652777777781</v>
      </c>
      <c r="BN15" s="473">
        <f t="shared" si="12"/>
        <v>45268.361111111117</v>
      </c>
      <c r="BO15" s="480">
        <v>45268.541666608799</v>
      </c>
      <c r="BP15" s="480">
        <v>45268.708333275463</v>
      </c>
      <c r="BQ15" s="480">
        <v>45268.670138888891</v>
      </c>
      <c r="BR15" s="473">
        <v>45269.871527777781</v>
      </c>
      <c r="BS15" s="473">
        <v>45271.270833333336</v>
      </c>
      <c r="BT15" s="473">
        <v>45271.458333333336</v>
      </c>
      <c r="BU15" s="473">
        <v>45271.5</v>
      </c>
      <c r="BV15" s="473">
        <v>45271.5</v>
      </c>
      <c r="BW15" s="473">
        <v>45271.5</v>
      </c>
      <c r="BZ15" s="481">
        <f t="shared" si="4"/>
        <v>44.216666666732635</v>
      </c>
      <c r="CA15" s="481">
        <f t="shared" si="5"/>
        <v>2.9166666665696539</v>
      </c>
      <c r="CB15" s="481">
        <f t="shared" si="6"/>
        <v>41.000000000058208</v>
      </c>
      <c r="CC15" s="481">
        <f t="shared" si="13"/>
        <v>27.916668055637274</v>
      </c>
      <c r="CD15" s="482">
        <f t="shared" si="7"/>
        <v>4.5</v>
      </c>
      <c r="CE15" s="482">
        <f t="shared" si="8"/>
        <v>0</v>
      </c>
      <c r="CF15" s="483">
        <f t="shared" si="9"/>
        <v>5.0229167245415738</v>
      </c>
      <c r="CG15" s="483">
        <f t="shared" si="10"/>
        <v>11.364583333335759</v>
      </c>
      <c r="CH15" s="484">
        <f t="shared" si="11"/>
        <v>0.44197984010622199</v>
      </c>
    </row>
    <row r="16" spans="1:88" s="475" customFormat="1">
      <c r="A16" s="474">
        <f t="shared" si="0"/>
        <v>45266.513888888891</v>
      </c>
      <c r="B16" s="475" t="s">
        <v>228</v>
      </c>
      <c r="C16" s="475" t="s">
        <v>229</v>
      </c>
      <c r="D16" s="475" t="s">
        <v>197</v>
      </c>
      <c r="E16" s="399" t="s">
        <v>3188</v>
      </c>
      <c r="F16" s="475" t="s">
        <v>3378</v>
      </c>
      <c r="G16" s="472">
        <v>45274.625</v>
      </c>
      <c r="H16" s="472">
        <v>45274.604166666664</v>
      </c>
      <c r="I16" s="667" t="s">
        <v>231</v>
      </c>
      <c r="J16" s="369" t="s">
        <v>192</v>
      </c>
      <c r="K16" s="369" t="s">
        <v>192</v>
      </c>
      <c r="L16" s="667" t="s">
        <v>3761</v>
      </c>
      <c r="M16" s="529"/>
      <c r="N16" s="475" t="s">
        <v>371</v>
      </c>
      <c r="O16" s="475" t="s">
        <v>372</v>
      </c>
      <c r="P16" s="475" t="s">
        <v>235</v>
      </c>
      <c r="Q16" s="477">
        <f>3117*2.4</f>
        <v>7480.7999999999993</v>
      </c>
      <c r="R16" s="477">
        <f>7500+100</f>
        <v>7600</v>
      </c>
      <c r="S16" s="477">
        <f>1197.983</f>
        <v>1197.9829999999999</v>
      </c>
      <c r="T16" s="667"/>
      <c r="U16" s="581"/>
      <c r="V16" s="581"/>
      <c r="W16" s="581"/>
      <c r="X16" s="726">
        <f t="shared" si="14"/>
        <v>1197.9829999999999</v>
      </c>
      <c r="Y16" s="581"/>
      <c r="Z16" s="581"/>
      <c r="AA16" s="581"/>
      <c r="AB16" s="581"/>
      <c r="AC16" s="667"/>
      <c r="AD16" s="667"/>
      <c r="AX16" s="667"/>
      <c r="AY16" s="667"/>
      <c r="AZ16" s="667"/>
      <c r="BA16" s="667"/>
      <c r="BB16" s="667"/>
      <c r="BC16" s="667"/>
      <c r="BD16" s="473">
        <f t="shared" si="1"/>
        <v>45260.135416666664</v>
      </c>
      <c r="BE16" s="473">
        <f t="shared" si="2"/>
        <v>45276.574305555558</v>
      </c>
      <c r="BF16" s="479">
        <f t="shared" si="3"/>
        <v>16.438888888893416</v>
      </c>
      <c r="BG16" s="473">
        <v>45260.135416666664</v>
      </c>
      <c r="BH16" s="473">
        <v>45262.539583333331</v>
      </c>
      <c r="BI16" s="473">
        <v>45264.381944444445</v>
      </c>
      <c r="BJ16" s="473">
        <v>45266.513888888891</v>
      </c>
      <c r="BK16" s="473">
        <v>45266.635416666664</v>
      </c>
      <c r="BL16" s="473">
        <v>45266.642361111109</v>
      </c>
      <c r="BM16" s="473">
        <v>45266.652777777781</v>
      </c>
      <c r="BN16" s="473">
        <f t="shared" si="12"/>
        <v>45268.361111111117</v>
      </c>
      <c r="BO16" s="473">
        <v>45268.541666608799</v>
      </c>
      <c r="BP16" s="473">
        <v>45268.708333275463</v>
      </c>
      <c r="BQ16" s="473">
        <v>45268.670138888891</v>
      </c>
      <c r="BR16" s="473">
        <v>45271.5</v>
      </c>
      <c r="BS16" s="473">
        <v>45276.083333333336</v>
      </c>
      <c r="BT16" s="473">
        <v>45276.1875</v>
      </c>
      <c r="BU16" s="473">
        <v>45276.208333333336</v>
      </c>
      <c r="BV16" s="473">
        <v>45276.208333333336</v>
      </c>
      <c r="BW16" s="473">
        <v>45276.574305555558</v>
      </c>
      <c r="BZ16" s="481">
        <f t="shared" si="4"/>
        <v>44.216666666732635</v>
      </c>
      <c r="CA16" s="481">
        <f t="shared" si="5"/>
        <v>2.9166666665696539</v>
      </c>
      <c r="CB16" s="481">
        <f t="shared" si="6"/>
        <v>41.000000000058208</v>
      </c>
      <c r="CC16" s="481">
        <f t="shared" si="13"/>
        <v>67.000001388892997</v>
      </c>
      <c r="CD16" s="482">
        <f t="shared" si="7"/>
        <v>2.4999999999417923</v>
      </c>
      <c r="CE16" s="482">
        <f t="shared" si="8"/>
        <v>8.7833333333255723</v>
      </c>
      <c r="CF16" s="483">
        <f t="shared" si="9"/>
        <v>6.9340278356467024</v>
      </c>
      <c r="CG16" s="483">
        <f t="shared" si="10"/>
        <v>16.438888888893416</v>
      </c>
      <c r="CH16" s="484">
        <f t="shared" si="11"/>
        <v>0.42180635701793268</v>
      </c>
    </row>
    <row r="17" spans="1:86" s="475" customFormat="1">
      <c r="A17" s="474">
        <f t="shared" si="0"/>
        <v>45266.863194444442</v>
      </c>
      <c r="B17" s="475" t="s">
        <v>228</v>
      </c>
      <c r="C17" s="475" t="s">
        <v>229</v>
      </c>
      <c r="D17" s="475" t="s">
        <v>197</v>
      </c>
      <c r="E17" s="399" t="s">
        <v>3182</v>
      </c>
      <c r="F17" s="399" t="s">
        <v>3378</v>
      </c>
      <c r="G17" s="473">
        <v>45269.229166666664</v>
      </c>
      <c r="H17" s="473">
        <v>45269.25</v>
      </c>
      <c r="I17" s="667" t="s">
        <v>231</v>
      </c>
      <c r="J17" s="475" t="s">
        <v>192</v>
      </c>
      <c r="K17" s="475" t="s">
        <v>192</v>
      </c>
      <c r="L17" s="667" t="s">
        <v>3762</v>
      </c>
      <c r="M17" s="529"/>
      <c r="N17" s="475" t="s">
        <v>2859</v>
      </c>
      <c r="O17" s="475" t="s">
        <v>324</v>
      </c>
      <c r="P17" s="475" t="s">
        <v>235</v>
      </c>
      <c r="Q17" s="477">
        <f>3095*2.4</f>
        <v>7428</v>
      </c>
      <c r="R17" s="477">
        <f>7450+100</f>
        <v>7550</v>
      </c>
      <c r="S17" s="477">
        <v>7746.7659999999996</v>
      </c>
      <c r="T17" s="667"/>
      <c r="U17" s="581"/>
      <c r="V17" s="581"/>
      <c r="W17" s="581"/>
      <c r="X17" s="726">
        <f t="shared" si="14"/>
        <v>7746.7659999999996</v>
      </c>
      <c r="Y17" s="581"/>
      <c r="Z17" s="581"/>
      <c r="AA17" s="581"/>
      <c r="AB17" s="581"/>
      <c r="AC17" s="581"/>
      <c r="AD17" s="581"/>
      <c r="AE17" s="581"/>
      <c r="AF17" s="581"/>
      <c r="BD17" s="473">
        <f t="shared" si="1"/>
        <v>45248.020833333336</v>
      </c>
      <c r="BE17" s="473">
        <f t="shared" si="2"/>
        <v>45272.625</v>
      </c>
      <c r="BF17" s="479">
        <f t="shared" si="3"/>
        <v>24.604166666664241</v>
      </c>
      <c r="BG17" s="473">
        <v>45248.020833333336</v>
      </c>
      <c r="BH17" s="473">
        <v>45261.840277777781</v>
      </c>
      <c r="BI17" s="473">
        <v>45265.25</v>
      </c>
      <c r="BJ17" s="473">
        <v>45266.863194444442</v>
      </c>
      <c r="BK17" s="473">
        <v>45266.989583333336</v>
      </c>
      <c r="BL17" s="473">
        <v>45267</v>
      </c>
      <c r="BM17" s="473">
        <v>45267</v>
      </c>
      <c r="BN17" s="473">
        <f t="shared" si="12"/>
        <v>45268.708333333336</v>
      </c>
      <c r="BO17" s="480">
        <v>45269.541666608799</v>
      </c>
      <c r="BP17" s="480">
        <v>45269.708333275463</v>
      </c>
      <c r="BQ17" s="480">
        <v>45269.715277777781</v>
      </c>
      <c r="BR17" s="473">
        <v>45271.666666666664</v>
      </c>
      <c r="BS17" s="473">
        <v>45271.881944444445</v>
      </c>
      <c r="BT17" s="473">
        <v>45272.0625</v>
      </c>
      <c r="BU17" s="473">
        <v>45272.083333333336</v>
      </c>
      <c r="BV17" s="473">
        <v>45272.197916666664</v>
      </c>
      <c r="BW17" s="473">
        <v>45272.625</v>
      </c>
      <c r="BZ17" s="481">
        <f t="shared" si="4"/>
        <v>81.833333333255723</v>
      </c>
      <c r="CA17" s="481">
        <f t="shared" si="5"/>
        <v>3.0333333334419876</v>
      </c>
      <c r="CB17" s="481">
        <f t="shared" si="6"/>
        <v>41.000000000058208</v>
      </c>
      <c r="CC17" s="481">
        <f t="shared" si="13"/>
        <v>47.000001388834789</v>
      </c>
      <c r="CD17" s="482">
        <f t="shared" si="7"/>
        <v>4.3333333333139308</v>
      </c>
      <c r="CE17" s="482">
        <f t="shared" si="8"/>
        <v>10.250000000058208</v>
      </c>
      <c r="CF17" s="483">
        <f t="shared" si="9"/>
        <v>7.8104167245401186</v>
      </c>
      <c r="CG17" s="483">
        <f t="shared" si="10"/>
        <v>24.604166666664241</v>
      </c>
      <c r="CH17" s="484">
        <f t="shared" si="11"/>
        <v>0.31744284739878292</v>
      </c>
    </row>
    <row r="18" spans="1:86" s="475" customFormat="1">
      <c r="A18" s="474">
        <f t="shared" si="0"/>
        <v>45267.604166666664</v>
      </c>
      <c r="B18" s="475" t="s">
        <v>228</v>
      </c>
      <c r="C18" s="475" t="s">
        <v>229</v>
      </c>
      <c r="D18" s="475" t="s">
        <v>197</v>
      </c>
      <c r="E18" s="399" t="s">
        <v>3186</v>
      </c>
      <c r="F18" s="399" t="s">
        <v>3378</v>
      </c>
      <c r="G18" s="473">
        <v>45274.708333333336</v>
      </c>
      <c r="H18" s="473">
        <v>45274.670138888891</v>
      </c>
      <c r="I18" s="475" t="s">
        <v>231</v>
      </c>
      <c r="J18" s="369" t="s">
        <v>192</v>
      </c>
      <c r="K18" s="369" t="s">
        <v>192</v>
      </c>
      <c r="L18" s="667" t="s">
        <v>3763</v>
      </c>
      <c r="M18" s="529"/>
      <c r="N18" s="475" t="s">
        <v>695</v>
      </c>
      <c r="O18" s="475" t="s">
        <v>281</v>
      </c>
      <c r="P18" s="475" t="s">
        <v>235</v>
      </c>
      <c r="Q18" s="477">
        <f>3102*2.4</f>
        <v>7444.7999999999993</v>
      </c>
      <c r="R18" s="477">
        <f>7450+100</f>
        <v>7550</v>
      </c>
      <c r="S18" s="477">
        <v>7301.9920000000002</v>
      </c>
      <c r="T18" s="667"/>
      <c r="V18" s="581"/>
      <c r="W18" s="581"/>
      <c r="X18" s="726">
        <f t="shared" si="14"/>
        <v>7301.9920000000002</v>
      </c>
      <c r="Y18" s="581"/>
      <c r="Z18" s="581"/>
      <c r="AA18" s="581"/>
      <c r="AB18" s="577"/>
      <c r="AC18" s="577"/>
      <c r="AD18" s="581"/>
      <c r="AE18" s="575"/>
      <c r="AF18" s="575"/>
      <c r="AG18" s="575"/>
      <c r="AH18" s="575"/>
      <c r="AI18" s="575"/>
      <c r="BD18" s="473">
        <f t="shared" si="1"/>
        <v>45252.506944444445</v>
      </c>
      <c r="BE18" s="473">
        <f t="shared" si="2"/>
        <v>45276.333333333336</v>
      </c>
      <c r="BF18" s="479">
        <f t="shared" si="3"/>
        <v>23.826388888890506</v>
      </c>
      <c r="BG18" s="473">
        <v>45252.506944444445</v>
      </c>
      <c r="BH18" s="473">
        <v>45254.364583333336</v>
      </c>
      <c r="BI18" s="473">
        <v>45266.409722222219</v>
      </c>
      <c r="BJ18" s="473">
        <v>45267.604166666664</v>
      </c>
      <c r="BK18" s="473">
        <v>45267.71875</v>
      </c>
      <c r="BL18" s="473">
        <v>45267.722222222219</v>
      </c>
      <c r="BM18" s="473">
        <v>45267.725694444445</v>
      </c>
      <c r="BN18" s="473">
        <f t="shared" si="12"/>
        <v>45269.434027777781</v>
      </c>
      <c r="BO18" s="480">
        <v>45269.541666608799</v>
      </c>
      <c r="BP18" s="480">
        <v>45269.708333275463</v>
      </c>
      <c r="BQ18" s="480">
        <v>45269.59375</v>
      </c>
      <c r="BR18" s="473">
        <v>45273.5</v>
      </c>
      <c r="BS18" s="473">
        <v>45275.479166666664</v>
      </c>
      <c r="BT18" s="473">
        <v>45275.8125</v>
      </c>
      <c r="BU18" s="473">
        <v>45275.833333333336</v>
      </c>
      <c r="BV18" s="473">
        <v>45276</v>
      </c>
      <c r="BW18" s="473">
        <v>45276.333333333336</v>
      </c>
      <c r="BZ18" s="481">
        <f t="shared" si="4"/>
        <v>289.08333333319752</v>
      </c>
      <c r="CA18" s="481">
        <f t="shared" si="5"/>
        <v>2.7500000000582077</v>
      </c>
      <c r="CB18" s="481">
        <f t="shared" si="6"/>
        <v>41.000000000058208</v>
      </c>
      <c r="CC18" s="481">
        <f t="shared" si="13"/>
        <v>91.000001388892997</v>
      </c>
      <c r="CD18" s="482">
        <f t="shared" si="7"/>
        <v>8.0000000000582077</v>
      </c>
      <c r="CE18" s="482">
        <f t="shared" si="8"/>
        <v>8.0000000000582077</v>
      </c>
      <c r="CF18" s="483">
        <f t="shared" si="9"/>
        <v>18.326388946763473</v>
      </c>
      <c r="CG18" s="483">
        <f t="shared" si="10"/>
        <v>23.826388888890506</v>
      </c>
      <c r="CH18" s="484">
        <f t="shared" si="11"/>
        <v>0.76916351160995655</v>
      </c>
    </row>
    <row r="19" spans="1:86" s="475" customFormat="1">
      <c r="A19" s="474">
        <f t="shared" si="0"/>
        <v>45267.743055555555</v>
      </c>
      <c r="B19" s="475" t="s">
        <v>228</v>
      </c>
      <c r="C19" s="475" t="s">
        <v>229</v>
      </c>
      <c r="D19" s="475" t="s">
        <v>197</v>
      </c>
      <c r="E19" s="399" t="s">
        <v>3186</v>
      </c>
      <c r="F19" s="399" t="s">
        <v>3378</v>
      </c>
      <c r="G19" s="473">
        <v>45274.708333333336</v>
      </c>
      <c r="H19" s="473">
        <v>45274.670138888891</v>
      </c>
      <c r="I19" s="475" t="s">
        <v>231</v>
      </c>
      <c r="J19" s="369" t="s">
        <v>192</v>
      </c>
      <c r="K19" s="369" t="s">
        <v>192</v>
      </c>
      <c r="L19" s="399" t="s">
        <v>3764</v>
      </c>
      <c r="M19" s="529"/>
      <c r="N19" s="475" t="s">
        <v>2388</v>
      </c>
      <c r="O19" s="475" t="s">
        <v>289</v>
      </c>
      <c r="P19" s="475" t="s">
        <v>235</v>
      </c>
      <c r="Q19" s="477">
        <f>3107*2.4</f>
        <v>7456.7999999999993</v>
      </c>
      <c r="R19" s="477">
        <f>7500+100</f>
        <v>7600</v>
      </c>
      <c r="S19" s="477">
        <v>7581.4120000000003</v>
      </c>
      <c r="T19" s="477"/>
      <c r="V19" s="401"/>
      <c r="W19" s="581"/>
      <c r="X19" s="580">
        <f t="shared" si="14"/>
        <v>7581.4120000000003</v>
      </c>
      <c r="Y19" s="581"/>
      <c r="Z19" s="581"/>
      <c r="AA19" s="58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401"/>
      <c r="AN19" s="401"/>
      <c r="AO19" s="401"/>
      <c r="AP19" s="401"/>
      <c r="AQ19" s="401"/>
      <c r="AR19" s="401"/>
      <c r="AS19" s="401"/>
      <c r="AT19" s="401"/>
      <c r="AU19" s="401"/>
      <c r="AV19" s="401"/>
      <c r="AW19" s="401"/>
      <c r="AX19" s="401"/>
      <c r="AY19" s="401"/>
      <c r="AZ19" s="401"/>
      <c r="BA19" s="401"/>
      <c r="BB19" s="401"/>
      <c r="BC19" s="401"/>
      <c r="BD19" s="473">
        <f t="shared" si="1"/>
        <v>45263.576388888891</v>
      </c>
      <c r="BE19" s="473">
        <f t="shared" si="2"/>
        <v>45276.520833333336</v>
      </c>
      <c r="BF19" s="479">
        <f t="shared" si="3"/>
        <v>12.944444444445253</v>
      </c>
      <c r="BG19" s="473">
        <v>45263.576388888891</v>
      </c>
      <c r="BH19" s="473">
        <v>45264.597222222219</v>
      </c>
      <c r="BI19" s="473">
        <v>45266.725694444445</v>
      </c>
      <c r="BJ19" s="473">
        <v>45267.743055555555</v>
      </c>
      <c r="BK19" s="473">
        <v>45267.911111111112</v>
      </c>
      <c r="BL19" s="473">
        <v>45267.916666666664</v>
      </c>
      <c r="BM19" s="473">
        <v>45267.930555555555</v>
      </c>
      <c r="BN19" s="473">
        <f t="shared" si="12"/>
        <v>45269.638888888891</v>
      </c>
      <c r="BO19" s="480">
        <v>45269.541666608799</v>
      </c>
      <c r="BP19" s="480">
        <v>45269.708333275463</v>
      </c>
      <c r="BQ19" s="480">
        <v>45269.604166666664</v>
      </c>
      <c r="BR19" s="473">
        <v>45272.590277777781</v>
      </c>
      <c r="BS19" s="473">
        <v>45275.875</v>
      </c>
      <c r="BT19" s="473">
        <v>45276.138888888891</v>
      </c>
      <c r="BU19" s="473">
        <v>45276.159722222219</v>
      </c>
      <c r="BV19" s="473">
        <v>45276.291666666664</v>
      </c>
      <c r="BW19" s="473">
        <v>45276.520833333336</v>
      </c>
      <c r="BZ19" s="481">
        <f t="shared" si="4"/>
        <v>51.083333333430346</v>
      </c>
      <c r="CA19" s="481">
        <f t="shared" si="5"/>
        <v>4.03333333338378</v>
      </c>
      <c r="CB19" s="481">
        <f t="shared" si="6"/>
        <v>41.000000000058208</v>
      </c>
      <c r="CC19" s="481">
        <f t="shared" si="13"/>
        <v>69.166668055637274</v>
      </c>
      <c r="CD19" s="482">
        <f t="shared" si="7"/>
        <v>6.3333333333721384</v>
      </c>
      <c r="CE19" s="482">
        <f t="shared" si="8"/>
        <v>5.5000000001164153</v>
      </c>
      <c r="CF19" s="483">
        <f t="shared" si="9"/>
        <v>7.3798611689999234</v>
      </c>
      <c r="CG19" s="483">
        <f t="shared" si="10"/>
        <v>12.944444444445253</v>
      </c>
      <c r="CH19" s="484">
        <f t="shared" si="11"/>
        <v>0.57011803022313445</v>
      </c>
    </row>
    <row r="20" spans="1:86" s="475" customFormat="1">
      <c r="A20" s="474">
        <f t="shared" si="0"/>
        <v>45269.256944444445</v>
      </c>
      <c r="B20" s="475" t="s">
        <v>228</v>
      </c>
      <c r="C20" s="475" t="s">
        <v>229</v>
      </c>
      <c r="D20" s="475" t="s">
        <v>215</v>
      </c>
      <c r="E20" s="399" t="s">
        <v>986</v>
      </c>
      <c r="F20" s="475" t="s">
        <v>3378</v>
      </c>
      <c r="G20" s="473">
        <v>45277.375</v>
      </c>
      <c r="H20" s="473">
        <v>45277.366666666669</v>
      </c>
      <c r="I20" s="475" t="s">
        <v>243</v>
      </c>
      <c r="J20" s="369" t="s">
        <v>192</v>
      </c>
      <c r="K20" s="369" t="s">
        <v>192</v>
      </c>
      <c r="L20" s="399" t="s">
        <v>3765</v>
      </c>
      <c r="M20" s="529"/>
      <c r="N20" s="475" t="s">
        <v>352</v>
      </c>
      <c r="O20" s="475" t="s">
        <v>353</v>
      </c>
      <c r="P20" s="399" t="s">
        <v>235</v>
      </c>
      <c r="Q20" s="477">
        <f>3852*2.4</f>
        <v>9244.7999999999993</v>
      </c>
      <c r="R20" s="477">
        <f>9250+100</f>
        <v>9350</v>
      </c>
      <c r="S20" s="477">
        <v>9201.1630000000005</v>
      </c>
      <c r="T20" s="667"/>
      <c r="U20" s="401"/>
      <c r="V20" s="401"/>
      <c r="W20" s="581"/>
      <c r="X20" s="580">
        <f t="shared" si="14"/>
        <v>9201.1630000000005</v>
      </c>
      <c r="Y20" s="581"/>
      <c r="Z20" s="581"/>
      <c r="AA20" s="581"/>
      <c r="AB20" s="577"/>
      <c r="AC20" s="577"/>
      <c r="AD20" s="577"/>
      <c r="AE20" s="577"/>
      <c r="AF20" s="577"/>
      <c r="AG20" s="577"/>
      <c r="AH20" s="577"/>
      <c r="AI20" s="577"/>
      <c r="AJ20" s="577"/>
      <c r="BD20" s="473">
        <f t="shared" si="1"/>
        <v>45264.420138888891</v>
      </c>
      <c r="BE20" s="473">
        <f t="shared" si="2"/>
        <v>45276.888888888891</v>
      </c>
      <c r="BF20" s="479">
        <f t="shared" si="3"/>
        <v>12.46875</v>
      </c>
      <c r="BG20" s="473">
        <v>45264.420138888891</v>
      </c>
      <c r="BH20" s="473">
        <v>45266.868055555555</v>
      </c>
      <c r="BI20" s="473">
        <v>45268.875</v>
      </c>
      <c r="BJ20" s="473">
        <v>45269.256944444445</v>
      </c>
      <c r="BK20" s="473">
        <v>45269.511805555558</v>
      </c>
      <c r="BL20" s="473">
        <v>45269.517361111109</v>
      </c>
      <c r="BM20" s="473">
        <v>45269.520833333336</v>
      </c>
      <c r="BN20" s="473">
        <f t="shared" si="12"/>
        <v>45271.229166666672</v>
      </c>
      <c r="BO20" s="480">
        <v>45271.583333333336</v>
      </c>
      <c r="BP20" s="480">
        <v>45271.75</v>
      </c>
      <c r="BQ20" s="480">
        <v>45271.635416666664</v>
      </c>
      <c r="BR20" s="473">
        <v>45273.53125</v>
      </c>
      <c r="BS20" s="473">
        <v>45275.888888888891</v>
      </c>
      <c r="BT20" s="473">
        <v>45276.34375</v>
      </c>
      <c r="BU20" s="473">
        <v>45276.364583333336</v>
      </c>
      <c r="BV20" s="473">
        <v>45276.368055555555</v>
      </c>
      <c r="BW20" s="473">
        <v>45276.888888888891</v>
      </c>
      <c r="BZ20" s="481">
        <f t="shared" si="4"/>
        <v>48.166666666686069</v>
      </c>
      <c r="CA20" s="481">
        <f t="shared" si="5"/>
        <v>6.1166666666977108</v>
      </c>
      <c r="CB20" s="481">
        <f t="shared" si="6"/>
        <v>41.000000000058208</v>
      </c>
      <c r="CC20" s="481">
        <f t="shared" si="13"/>
        <v>42.75</v>
      </c>
      <c r="CD20" s="482">
        <f t="shared" si="7"/>
        <v>10.916666666627862</v>
      </c>
      <c r="CE20" s="482">
        <f t="shared" si="8"/>
        <v>12.500000000058208</v>
      </c>
      <c r="CF20" s="483">
        <f t="shared" si="9"/>
        <v>6.727083333338669</v>
      </c>
      <c r="CG20" s="483">
        <f t="shared" si="10"/>
        <v>12.46875</v>
      </c>
      <c r="CH20" s="484">
        <f t="shared" si="11"/>
        <v>0.53951545530535694</v>
      </c>
    </row>
    <row r="21" spans="1:86" s="475" customFormat="1">
      <c r="A21" s="474">
        <f t="shared" si="0"/>
        <v>45269.855555555558</v>
      </c>
      <c r="B21" s="475" t="s">
        <v>228</v>
      </c>
      <c r="C21" s="475" t="s">
        <v>229</v>
      </c>
      <c r="D21" s="475" t="s">
        <v>197</v>
      </c>
      <c r="E21" s="399" t="s">
        <v>986</v>
      </c>
      <c r="F21" s="475" t="s">
        <v>3378</v>
      </c>
      <c r="G21" s="473">
        <v>45277.375</v>
      </c>
      <c r="H21" s="473">
        <v>45277.366666666669</v>
      </c>
      <c r="I21" s="475" t="s">
        <v>243</v>
      </c>
      <c r="J21" s="369" t="s">
        <v>192</v>
      </c>
      <c r="K21" s="369" t="s">
        <v>192</v>
      </c>
      <c r="L21" s="399" t="s">
        <v>3766</v>
      </c>
      <c r="M21" s="529"/>
      <c r="N21" s="475" t="s">
        <v>2156</v>
      </c>
      <c r="O21" s="475" t="s">
        <v>3391</v>
      </c>
      <c r="P21" s="475" t="s">
        <v>235</v>
      </c>
      <c r="Q21" s="477">
        <f>3034*2.4</f>
        <v>7281.5999999999995</v>
      </c>
      <c r="R21" s="477">
        <f>7300+100</f>
        <v>7400</v>
      </c>
      <c r="S21" s="477">
        <v>7251.9009999999998</v>
      </c>
      <c r="T21" s="667"/>
      <c r="U21" s="401"/>
      <c r="V21" s="401"/>
      <c r="W21" s="581"/>
      <c r="X21" s="580">
        <f t="shared" si="14"/>
        <v>7251.9009999999998</v>
      </c>
      <c r="Y21" s="581"/>
      <c r="Z21" s="581"/>
      <c r="AA21" s="581"/>
      <c r="AB21" s="577"/>
      <c r="AC21" s="577"/>
      <c r="AD21" s="577"/>
      <c r="AE21" s="577"/>
      <c r="AF21" s="577"/>
      <c r="AG21" s="577"/>
      <c r="AH21" s="577"/>
      <c r="AI21" s="577"/>
      <c r="AJ21" s="577"/>
      <c r="BD21" s="473">
        <f t="shared" si="1"/>
        <v>45265.46875</v>
      </c>
      <c r="BE21" s="473">
        <f t="shared" si="2"/>
        <v>45279.75</v>
      </c>
      <c r="BF21" s="479">
        <f t="shared" si="3"/>
        <v>14.28125</v>
      </c>
      <c r="BG21" s="473">
        <v>45265.46875</v>
      </c>
      <c r="BH21" s="473">
        <v>45266.350694444445</v>
      </c>
      <c r="BI21" s="473">
        <v>45269.145833333336</v>
      </c>
      <c r="BJ21" s="473">
        <v>45269.855555555558</v>
      </c>
      <c r="BK21" s="473">
        <v>45269.977777777778</v>
      </c>
      <c r="BL21" s="473">
        <v>45269.993055555555</v>
      </c>
      <c r="BM21" s="473">
        <v>45269.996527777781</v>
      </c>
      <c r="BN21" s="473">
        <f t="shared" si="12"/>
        <v>45271.704861111117</v>
      </c>
      <c r="BO21" s="473">
        <v>45273.229166666664</v>
      </c>
      <c r="BP21" s="473">
        <v>45273.395833333328</v>
      </c>
      <c r="BQ21" s="480">
        <v>45273.277777777781</v>
      </c>
      <c r="BR21" s="473">
        <v>45275.229166666664</v>
      </c>
      <c r="BS21" s="473">
        <v>45278.319444444445</v>
      </c>
      <c r="BT21" s="473">
        <v>45278.552083333336</v>
      </c>
      <c r="BU21" s="473">
        <v>45278.59375</v>
      </c>
      <c r="BV21" s="473">
        <v>45278.993055555555</v>
      </c>
      <c r="BW21" s="473">
        <v>45279.75</v>
      </c>
      <c r="BZ21" s="481">
        <f t="shared" si="4"/>
        <v>67.083333333372138</v>
      </c>
      <c r="CA21" s="481">
        <f t="shared" si="5"/>
        <v>2.9333333332906477</v>
      </c>
      <c r="CB21" s="481">
        <f t="shared" si="6"/>
        <v>41.000000000058208</v>
      </c>
      <c r="CC21" s="481">
        <f t="shared" si="13"/>
        <v>44.000000000058208</v>
      </c>
      <c r="CD21" s="482">
        <f t="shared" si="7"/>
        <v>5.5833333333721384</v>
      </c>
      <c r="CE21" s="482">
        <f t="shared" si="8"/>
        <v>18.166666666686069</v>
      </c>
      <c r="CF21" s="483">
        <f t="shared" si="9"/>
        <v>7.4486111111182254</v>
      </c>
      <c r="CG21" s="483">
        <f t="shared" si="10"/>
        <v>14.28125</v>
      </c>
      <c r="CH21" s="484">
        <f t="shared" si="11"/>
        <v>0.52156576708048841</v>
      </c>
    </row>
    <row r="22" spans="1:86" s="475" customFormat="1">
      <c r="A22" s="474">
        <f t="shared" si="0"/>
        <v>45270.248611111114</v>
      </c>
      <c r="B22" s="475" t="s">
        <v>228</v>
      </c>
      <c r="C22" s="475" t="s">
        <v>229</v>
      </c>
      <c r="D22" s="475" t="s">
        <v>197</v>
      </c>
      <c r="E22" s="399" t="s">
        <v>986</v>
      </c>
      <c r="F22" s="475" t="s">
        <v>3378</v>
      </c>
      <c r="G22" s="473">
        <v>45277.375</v>
      </c>
      <c r="H22" s="473">
        <v>45277.366666666669</v>
      </c>
      <c r="I22" s="475" t="s">
        <v>243</v>
      </c>
      <c r="J22" s="369" t="s">
        <v>192</v>
      </c>
      <c r="K22" s="475" t="s">
        <v>192</v>
      </c>
      <c r="L22" s="399" t="s">
        <v>3767</v>
      </c>
      <c r="M22" s="529"/>
      <c r="N22" s="475" t="s">
        <v>367</v>
      </c>
      <c r="O22" s="475" t="s">
        <v>261</v>
      </c>
      <c r="P22" s="475" t="s">
        <v>235</v>
      </c>
      <c r="Q22" s="477">
        <f>3107*2.4</f>
        <v>7456.7999999999993</v>
      </c>
      <c r="R22" s="477">
        <f>7500+100</f>
        <v>7600</v>
      </c>
      <c r="S22" s="477">
        <v>7578.8720000000003</v>
      </c>
      <c r="T22" s="667"/>
      <c r="U22" s="401"/>
      <c r="V22" s="401"/>
      <c r="W22" s="581"/>
      <c r="X22" s="580">
        <f t="shared" si="14"/>
        <v>7578.8720000000003</v>
      </c>
      <c r="Y22" s="581"/>
      <c r="Z22" s="581"/>
      <c r="AA22" s="581"/>
      <c r="AB22" s="577"/>
      <c r="AC22" s="581"/>
      <c r="AD22" s="581"/>
      <c r="BD22" s="473">
        <f t="shared" si="1"/>
        <v>45263.538194444445</v>
      </c>
      <c r="BE22" s="473">
        <f t="shared" si="2"/>
        <v>45277.958333333336</v>
      </c>
      <c r="BF22" s="479">
        <f t="shared" si="3"/>
        <v>14.420138888890506</v>
      </c>
      <c r="BG22" s="473">
        <v>45263.538194444445</v>
      </c>
      <c r="BH22" s="473">
        <v>45266.878472222219</v>
      </c>
      <c r="BI22" s="473">
        <v>45269.152777777781</v>
      </c>
      <c r="BJ22" s="473">
        <v>45270.248611111114</v>
      </c>
      <c r="BK22" s="473">
        <v>45270.826388888891</v>
      </c>
      <c r="BL22" s="473">
        <v>45270.833333333336</v>
      </c>
      <c r="BM22" s="473">
        <v>45270.84375</v>
      </c>
      <c r="BN22" s="473">
        <f t="shared" si="12"/>
        <v>45272.552083333336</v>
      </c>
      <c r="BO22" s="480">
        <v>45272.583333333336</v>
      </c>
      <c r="BP22" s="480">
        <v>45272.75</v>
      </c>
      <c r="BQ22" s="480">
        <v>45273.604166666664</v>
      </c>
      <c r="BR22" s="473">
        <v>45274.208333333336</v>
      </c>
      <c r="BS22" s="473">
        <v>45277.090277777781</v>
      </c>
      <c r="BT22" s="473">
        <v>45277.475694444445</v>
      </c>
      <c r="BU22" s="473">
        <v>45277.489583333336</v>
      </c>
      <c r="BV22" s="473">
        <v>45277.625</v>
      </c>
      <c r="BW22" s="473">
        <v>45277.958333333336</v>
      </c>
      <c r="BX22" s="864" t="s">
        <v>3768</v>
      </c>
      <c r="BZ22" s="481">
        <f t="shared" si="4"/>
        <v>54.583333333488554</v>
      </c>
      <c r="CA22" s="481">
        <f t="shared" si="5"/>
        <v>13.866666666639503</v>
      </c>
      <c r="CB22" s="481">
        <f t="shared" si="6"/>
        <v>41.000000000058208</v>
      </c>
      <c r="CC22" s="481">
        <f t="shared" si="13"/>
        <v>35.000000000058208</v>
      </c>
      <c r="CD22" s="482">
        <f t="shared" si="7"/>
        <v>9.2499999999417923</v>
      </c>
      <c r="CE22" s="482">
        <f t="shared" si="8"/>
        <v>8.0000000000582077</v>
      </c>
      <c r="CF22" s="483">
        <f t="shared" si="9"/>
        <v>6.7375000000101863</v>
      </c>
      <c r="CG22" s="483">
        <f t="shared" si="10"/>
        <v>14.420138888890506</v>
      </c>
      <c r="CH22" s="484">
        <f t="shared" si="11"/>
        <v>0.46722850951185074</v>
      </c>
    </row>
    <row r="23" spans="1:86" s="475" customFormat="1">
      <c r="A23" s="474">
        <f t="shared" si="0"/>
        <v>45270.364583333336</v>
      </c>
      <c r="B23" s="475" t="s">
        <v>228</v>
      </c>
      <c r="C23" s="475" t="s">
        <v>229</v>
      </c>
      <c r="D23" s="475" t="s">
        <v>197</v>
      </c>
      <c r="E23" s="399" t="s">
        <v>986</v>
      </c>
      <c r="F23" s="475" t="s">
        <v>3378</v>
      </c>
      <c r="G23" s="473">
        <v>45277.375</v>
      </c>
      <c r="H23" s="473">
        <v>45277.366666666669</v>
      </c>
      <c r="I23" s="475" t="s">
        <v>243</v>
      </c>
      <c r="J23" s="369" t="s">
        <v>192</v>
      </c>
      <c r="K23" s="369" t="s">
        <v>192</v>
      </c>
      <c r="L23" s="399" t="s">
        <v>3769</v>
      </c>
      <c r="M23" s="529"/>
      <c r="N23" s="475" t="s">
        <v>1767</v>
      </c>
      <c r="O23" s="475" t="s">
        <v>308</v>
      </c>
      <c r="P23" s="399" t="s">
        <v>235</v>
      </c>
      <c r="Q23" s="477">
        <f>3170*2.4</f>
        <v>7608</v>
      </c>
      <c r="R23" s="477">
        <f>7650+100</f>
        <v>7750</v>
      </c>
      <c r="S23" s="477">
        <v>7644.9870000000001</v>
      </c>
      <c r="T23" s="477"/>
      <c r="U23" s="401"/>
      <c r="V23" s="401"/>
      <c r="W23" s="581"/>
      <c r="X23" s="580">
        <f t="shared" si="14"/>
        <v>7644.9870000000001</v>
      </c>
      <c r="Y23" s="581"/>
      <c r="Z23" s="581"/>
      <c r="AA23" s="581"/>
      <c r="AB23" s="577"/>
      <c r="AC23" s="577"/>
      <c r="AD23" s="577"/>
      <c r="AE23" s="577"/>
      <c r="AF23" s="577"/>
      <c r="AG23" s="577"/>
      <c r="AH23" s="577"/>
      <c r="AI23" s="577"/>
      <c r="AJ23" s="577"/>
      <c r="BD23" s="473">
        <f t="shared" si="1"/>
        <v>45265.388888888891</v>
      </c>
      <c r="BE23" s="473">
        <f t="shared" si="2"/>
        <v>45280.0625</v>
      </c>
      <c r="BF23" s="479">
        <f t="shared" si="3"/>
        <v>14.673611111109494</v>
      </c>
      <c r="BG23" s="473">
        <v>45265.388888888891</v>
      </c>
      <c r="BH23" s="473">
        <v>45266.392361111109</v>
      </c>
      <c r="BI23" s="473">
        <v>45269.159722222219</v>
      </c>
      <c r="BJ23" s="473">
        <v>45270.364583333336</v>
      </c>
      <c r="BK23" s="473">
        <v>45270.489583333336</v>
      </c>
      <c r="BL23" s="473">
        <v>45270.503472222219</v>
      </c>
      <c r="BM23" s="473">
        <v>45270.504861111112</v>
      </c>
      <c r="BN23" s="473">
        <f t="shared" si="12"/>
        <v>45272.213194444448</v>
      </c>
      <c r="BO23" s="473">
        <v>45272.583333333336</v>
      </c>
      <c r="BP23" s="473">
        <v>45272.75</v>
      </c>
      <c r="BQ23" s="473">
        <v>45272.694444444445</v>
      </c>
      <c r="BR23" s="473">
        <v>45275.708333333336</v>
      </c>
      <c r="BS23" s="473">
        <v>45278.684027777781</v>
      </c>
      <c r="BT23" s="473">
        <v>45279.041666666664</v>
      </c>
      <c r="BU23" s="473">
        <v>45279.069444444445</v>
      </c>
      <c r="BV23" s="473">
        <v>45279.072916666664</v>
      </c>
      <c r="BW23" s="473">
        <v>45280.0625</v>
      </c>
      <c r="BX23" s="832" t="s">
        <v>3770</v>
      </c>
      <c r="BZ23" s="481">
        <f t="shared" si="4"/>
        <v>66.416666666627862</v>
      </c>
      <c r="CA23" s="481">
        <f t="shared" si="5"/>
        <v>3</v>
      </c>
      <c r="CB23" s="481">
        <f t="shared" si="6"/>
        <v>41.000000000058208</v>
      </c>
      <c r="CC23" s="481">
        <f t="shared" si="13"/>
        <v>71.000000000058208</v>
      </c>
      <c r="CD23" s="482">
        <f t="shared" si="7"/>
        <v>8.5833333331975155</v>
      </c>
      <c r="CE23" s="482">
        <f t="shared" si="8"/>
        <v>23.750000000058208</v>
      </c>
      <c r="CF23" s="483">
        <f t="shared" si="9"/>
        <v>8.90625</v>
      </c>
      <c r="CG23" s="483">
        <f t="shared" si="10"/>
        <v>14.673611111109494</v>
      </c>
      <c r="CH23" s="484">
        <f t="shared" si="11"/>
        <v>0.60695693327029876</v>
      </c>
    </row>
    <row r="24" spans="1:86" s="475" customFormat="1">
      <c r="A24" s="474">
        <f t="shared" si="0"/>
        <v>45270.527777777781</v>
      </c>
      <c r="B24" s="475" t="s">
        <v>228</v>
      </c>
      <c r="C24" s="475" t="s">
        <v>229</v>
      </c>
      <c r="D24" s="475" t="s">
        <v>197</v>
      </c>
      <c r="E24" s="399" t="s">
        <v>986</v>
      </c>
      <c r="F24" s="475" t="s">
        <v>3378</v>
      </c>
      <c r="G24" s="473">
        <v>45277.375</v>
      </c>
      <c r="H24" s="473">
        <v>45277.366666666669</v>
      </c>
      <c r="I24" s="475" t="s">
        <v>243</v>
      </c>
      <c r="J24" s="369" t="s">
        <v>192</v>
      </c>
      <c r="K24" s="369" t="s">
        <v>192</v>
      </c>
      <c r="L24" s="399" t="s">
        <v>3771</v>
      </c>
      <c r="M24" s="529"/>
      <c r="N24" s="475" t="s">
        <v>249</v>
      </c>
      <c r="O24" s="475" t="s">
        <v>2315</v>
      </c>
      <c r="P24" s="399" t="s">
        <v>235</v>
      </c>
      <c r="Q24" s="477">
        <f>3139*2.4</f>
        <v>7533.5999999999995</v>
      </c>
      <c r="R24" s="477">
        <f>7550+100</f>
        <v>7650</v>
      </c>
      <c r="S24" s="477">
        <v>7522.3509999999997</v>
      </c>
      <c r="T24" s="667"/>
      <c r="U24" s="401"/>
      <c r="V24" s="401"/>
      <c r="W24" s="581"/>
      <c r="X24" s="580">
        <f t="shared" si="14"/>
        <v>7522.3509999999997</v>
      </c>
      <c r="Y24" s="581"/>
      <c r="Z24" s="581"/>
      <c r="AA24" s="581"/>
      <c r="AB24" s="577"/>
      <c r="AC24" s="581"/>
      <c r="AD24" s="581"/>
      <c r="AX24" s="667"/>
      <c r="AY24" s="667"/>
      <c r="AZ24" s="667"/>
      <c r="BA24" s="667"/>
      <c r="BB24" s="667"/>
      <c r="BC24" s="667"/>
      <c r="BD24" s="473">
        <f t="shared" si="1"/>
        <v>45265.708333333336</v>
      </c>
      <c r="BE24" s="473">
        <f t="shared" si="2"/>
        <v>45277.815972222219</v>
      </c>
      <c r="BF24" s="479">
        <f t="shared" si="3"/>
        <v>12.10763888888323</v>
      </c>
      <c r="BG24" s="473">
        <v>45265.708333333336</v>
      </c>
      <c r="BH24" s="473">
        <v>45266.833333333336</v>
      </c>
      <c r="BI24" s="473">
        <v>45269.194444444445</v>
      </c>
      <c r="BJ24" s="473">
        <v>45270.527777777781</v>
      </c>
      <c r="BK24" s="473">
        <v>45270.649305555555</v>
      </c>
      <c r="BL24" s="473">
        <v>45270.65625</v>
      </c>
      <c r="BM24" s="473">
        <v>45270.659722222219</v>
      </c>
      <c r="BN24" s="473">
        <f t="shared" si="12"/>
        <v>45272.368055555555</v>
      </c>
      <c r="BO24" s="473">
        <v>45272.583333333336</v>
      </c>
      <c r="BP24" s="473">
        <v>45272.75</v>
      </c>
      <c r="BQ24" s="473">
        <v>45272.619444444441</v>
      </c>
      <c r="BR24" s="473">
        <v>45274.375</v>
      </c>
      <c r="BS24" s="473">
        <v>45277.541666666664</v>
      </c>
      <c r="BT24" s="473">
        <v>45277.815972222219</v>
      </c>
      <c r="BU24" s="473">
        <v>45277.815972222219</v>
      </c>
      <c r="BV24" s="473">
        <v>45277.815972222219</v>
      </c>
      <c r="BW24" s="473">
        <v>45277.815972222219</v>
      </c>
      <c r="BZ24" s="481">
        <f t="shared" si="4"/>
        <v>56.666666666627862</v>
      </c>
      <c r="CA24" s="481">
        <f t="shared" si="5"/>
        <v>2.9166666665696539</v>
      </c>
      <c r="CB24" s="481">
        <f t="shared" si="6"/>
        <v>41.000000000058208</v>
      </c>
      <c r="CC24" s="481">
        <f t="shared" si="13"/>
        <v>39</v>
      </c>
      <c r="CD24" s="482">
        <f t="shared" si="7"/>
        <v>6.5833333333139308</v>
      </c>
      <c r="CE24" s="482">
        <f t="shared" si="8"/>
        <v>0</v>
      </c>
      <c r="CF24" s="483">
        <f t="shared" si="9"/>
        <v>6.0902777777737356</v>
      </c>
      <c r="CG24" s="483">
        <f t="shared" si="10"/>
        <v>12.10763888888323</v>
      </c>
      <c r="CH24" s="484">
        <f t="shared" si="11"/>
        <v>0.50301118439909831</v>
      </c>
    </row>
    <row r="25" spans="1:86" s="475" customFormat="1">
      <c r="A25" s="474">
        <f t="shared" si="0"/>
        <v>45270.850694444445</v>
      </c>
      <c r="B25" s="475" t="s">
        <v>228</v>
      </c>
      <c r="C25" s="475" t="s">
        <v>229</v>
      </c>
      <c r="D25" s="475" t="s">
        <v>215</v>
      </c>
      <c r="E25" s="399" t="s">
        <v>986</v>
      </c>
      <c r="F25" s="475" t="s">
        <v>3378</v>
      </c>
      <c r="G25" s="473">
        <v>45277.375</v>
      </c>
      <c r="H25" s="473">
        <v>45277.366666666669</v>
      </c>
      <c r="I25" s="475" t="s">
        <v>243</v>
      </c>
      <c r="J25" s="369" t="s">
        <v>192</v>
      </c>
      <c r="K25" s="475" t="s">
        <v>192</v>
      </c>
      <c r="L25" s="399" t="s">
        <v>3772</v>
      </c>
      <c r="M25" s="529"/>
      <c r="N25" s="475" t="s">
        <v>1972</v>
      </c>
      <c r="O25" s="475" t="s">
        <v>1973</v>
      </c>
      <c r="P25" s="399" t="s">
        <v>235</v>
      </c>
      <c r="Q25" s="477">
        <f>3107*2.4</f>
        <v>7456.7999999999993</v>
      </c>
      <c r="R25" s="477">
        <f>7500+100</f>
        <v>7600</v>
      </c>
      <c r="S25" s="477">
        <v>7410.2179999999998</v>
      </c>
      <c r="T25" s="667"/>
      <c r="U25" s="401"/>
      <c r="V25" s="401"/>
      <c r="W25" s="581"/>
      <c r="X25" s="580">
        <f t="shared" si="14"/>
        <v>7410.2179999999998</v>
      </c>
      <c r="Y25" s="581"/>
      <c r="Z25" s="581"/>
      <c r="AA25" s="581"/>
      <c r="AB25" s="577"/>
      <c r="AC25" s="581"/>
      <c r="AD25" s="581"/>
      <c r="AE25" s="401"/>
      <c r="AF25" s="401"/>
      <c r="AG25" s="401"/>
      <c r="AH25" s="401"/>
      <c r="AI25" s="401"/>
      <c r="AJ25" s="401"/>
      <c r="AK25" s="401"/>
      <c r="AL25" s="401"/>
      <c r="AM25" s="401"/>
      <c r="AN25" s="401"/>
      <c r="AO25" s="401"/>
      <c r="AP25" s="401"/>
      <c r="AQ25" s="401"/>
      <c r="AR25" s="401"/>
      <c r="AS25" s="401"/>
      <c r="AT25" s="401"/>
      <c r="AU25" s="401"/>
      <c r="BD25" s="473">
        <f t="shared" si="1"/>
        <v>45266.0625</v>
      </c>
      <c r="BE25" s="473">
        <f t="shared" si="2"/>
        <v>45277.399305555555</v>
      </c>
      <c r="BF25" s="479">
        <f t="shared" si="3"/>
        <v>11.336805555554747</v>
      </c>
      <c r="BG25" s="473">
        <v>45266.0625</v>
      </c>
      <c r="BH25" s="473">
        <v>45267.447916666664</v>
      </c>
      <c r="BI25" s="473">
        <v>45269.295138888891</v>
      </c>
      <c r="BJ25" s="473">
        <v>45270.850694444445</v>
      </c>
      <c r="BK25" s="473">
        <v>45270.979166666664</v>
      </c>
      <c r="BL25" s="473">
        <v>45270.989583333336</v>
      </c>
      <c r="BM25" s="473">
        <v>45271.291666666664</v>
      </c>
      <c r="BN25" s="473">
        <f t="shared" si="12"/>
        <v>45273</v>
      </c>
      <c r="BO25" s="480">
        <v>45272.583333333336</v>
      </c>
      <c r="BP25" s="480">
        <v>45272.75</v>
      </c>
      <c r="BQ25" s="480">
        <v>45272.618055555555</v>
      </c>
      <c r="BR25" s="473">
        <v>45274.1875</v>
      </c>
      <c r="BS25" s="473">
        <v>45276.805555555555</v>
      </c>
      <c r="BT25" s="473">
        <v>45277.013888888891</v>
      </c>
      <c r="BU25" s="473">
        <v>45277.027777777781</v>
      </c>
      <c r="BV25" s="473">
        <v>45277.034722222219</v>
      </c>
      <c r="BW25" s="473">
        <v>45277.399305555555</v>
      </c>
      <c r="BZ25" s="481">
        <f t="shared" si="4"/>
        <v>44.333333333430346</v>
      </c>
      <c r="CA25" s="481">
        <f t="shared" si="5"/>
        <v>3.0833333332557231</v>
      </c>
      <c r="CB25" s="481">
        <f t="shared" si="6"/>
        <v>41.000000000058208</v>
      </c>
      <c r="CC25" s="481">
        <f t="shared" si="13"/>
        <v>34.5</v>
      </c>
      <c r="CD25" s="482">
        <f t="shared" si="7"/>
        <v>5.0000000000582077</v>
      </c>
      <c r="CE25" s="482">
        <f t="shared" si="8"/>
        <v>8.7500000000582077</v>
      </c>
      <c r="CF25" s="483">
        <f t="shared" si="9"/>
        <v>5.6944444444525288</v>
      </c>
      <c r="CG25" s="483">
        <f t="shared" si="10"/>
        <v>11.336805555554747</v>
      </c>
      <c r="CH25" s="484">
        <f t="shared" si="11"/>
        <v>0.50229709035296943</v>
      </c>
    </row>
    <row r="26" spans="1:86" s="475" customFormat="1">
      <c r="A26" s="474">
        <f t="shared" si="0"/>
        <v>45271.211805555555</v>
      </c>
      <c r="B26" s="475" t="s">
        <v>228</v>
      </c>
      <c r="C26" s="475" t="s">
        <v>229</v>
      </c>
      <c r="D26" s="475" t="s">
        <v>197</v>
      </c>
      <c r="E26" s="476" t="s">
        <v>3188</v>
      </c>
      <c r="F26" s="475" t="s">
        <v>3378</v>
      </c>
      <c r="G26" s="472">
        <v>45274.625</v>
      </c>
      <c r="H26" s="472">
        <v>45274.604166666664</v>
      </c>
      <c r="I26" s="475" t="s">
        <v>231</v>
      </c>
      <c r="J26" s="369" t="s">
        <v>192</v>
      </c>
      <c r="K26" s="369" t="s">
        <v>192</v>
      </c>
      <c r="L26" s="399" t="s">
        <v>3773</v>
      </c>
      <c r="M26" s="529"/>
      <c r="N26" s="475" t="s">
        <v>429</v>
      </c>
      <c r="O26" s="475" t="s">
        <v>430</v>
      </c>
      <c r="P26" s="475" t="s">
        <v>235</v>
      </c>
      <c r="Q26" s="477">
        <f>3145 *2.4</f>
        <v>7548</v>
      </c>
      <c r="R26" s="477">
        <f>7550+100</f>
        <v>7650</v>
      </c>
      <c r="S26" s="477">
        <v>7555.1419999999998</v>
      </c>
      <c r="T26" s="667"/>
      <c r="U26" s="581"/>
      <c r="V26" s="581"/>
      <c r="W26" s="581"/>
      <c r="X26" s="580">
        <f t="shared" si="14"/>
        <v>7555.1419999999998</v>
      </c>
      <c r="Y26" s="581"/>
      <c r="Z26" s="581"/>
      <c r="AA26" s="581"/>
      <c r="AB26" s="581"/>
      <c r="AC26" s="581"/>
      <c r="AD26" s="581"/>
      <c r="AE26" s="581"/>
      <c r="AF26" s="581"/>
      <c r="AG26" s="581"/>
      <c r="AH26" s="581"/>
      <c r="AI26" s="581"/>
      <c r="AJ26" s="581"/>
      <c r="AK26" s="581"/>
      <c r="BD26" s="473">
        <f t="shared" si="1"/>
        <v>45266.659722222219</v>
      </c>
      <c r="BE26" s="473">
        <f t="shared" si="2"/>
        <v>45276.885416666664</v>
      </c>
      <c r="BF26" s="479">
        <f t="shared" si="3"/>
        <v>10.225694444445253</v>
      </c>
      <c r="BG26" s="473">
        <v>45266.659722222219</v>
      </c>
      <c r="BH26" s="473">
        <v>45267.440972222219</v>
      </c>
      <c r="BI26" s="473">
        <v>45269.833333333336</v>
      </c>
      <c r="BJ26" s="473">
        <v>45271.211805555555</v>
      </c>
      <c r="BK26" s="473">
        <v>45271.4375</v>
      </c>
      <c r="BL26" s="473">
        <v>45271.440972222219</v>
      </c>
      <c r="BM26" s="473">
        <v>45271.451388888891</v>
      </c>
      <c r="BN26" s="473">
        <f t="shared" si="12"/>
        <v>45273.159722222226</v>
      </c>
      <c r="BO26" s="480">
        <v>45273.229166666664</v>
      </c>
      <c r="BP26" s="480">
        <v>45273.395833333328</v>
      </c>
      <c r="BQ26" s="480">
        <v>45273.309027777781</v>
      </c>
      <c r="BR26" s="473">
        <v>45274.458333333336</v>
      </c>
      <c r="BS26" s="473">
        <v>45276.229166666664</v>
      </c>
      <c r="BT26" s="473">
        <v>45276.541666666664</v>
      </c>
      <c r="BU26" s="473">
        <v>45276.5625</v>
      </c>
      <c r="BV26" s="473">
        <v>45276.708333333336</v>
      </c>
      <c r="BW26" s="473">
        <v>45276.885416666664</v>
      </c>
      <c r="BZ26" s="481">
        <f t="shared" si="4"/>
        <v>57.416666666802485</v>
      </c>
      <c r="CA26" s="481">
        <f t="shared" si="5"/>
        <v>5.4166666666860692</v>
      </c>
      <c r="CB26" s="481">
        <f t="shared" si="6"/>
        <v>41.000000000058208</v>
      </c>
      <c r="CC26" s="481">
        <f t="shared" si="13"/>
        <v>25.500000000174623</v>
      </c>
      <c r="CD26" s="482">
        <f t="shared" si="7"/>
        <v>7.5</v>
      </c>
      <c r="CE26" s="482">
        <f t="shared" si="8"/>
        <v>4.2499999998835847</v>
      </c>
      <c r="CF26" s="483">
        <f t="shared" si="9"/>
        <v>5.8784722222335404</v>
      </c>
      <c r="CG26" s="483">
        <f t="shared" si="10"/>
        <v>10.225694444445253</v>
      </c>
      <c r="CH26" s="484">
        <f t="shared" si="11"/>
        <v>0.57487266553586613</v>
      </c>
    </row>
    <row r="27" spans="1:86" s="475" customFormat="1">
      <c r="A27" s="474">
        <f t="shared" si="0"/>
        <v>45271.46875</v>
      </c>
      <c r="B27" s="475" t="s">
        <v>228</v>
      </c>
      <c r="C27" s="475" t="s">
        <v>229</v>
      </c>
      <c r="D27" s="475" t="s">
        <v>197</v>
      </c>
      <c r="E27" s="476" t="s">
        <v>3188</v>
      </c>
      <c r="F27" s="475" t="s">
        <v>3378</v>
      </c>
      <c r="G27" s="472">
        <v>45274.625</v>
      </c>
      <c r="H27" s="472">
        <v>45274.604166666664</v>
      </c>
      <c r="I27" s="475" t="s">
        <v>231</v>
      </c>
      <c r="J27" s="369" t="s">
        <v>192</v>
      </c>
      <c r="K27" s="369" t="s">
        <v>192</v>
      </c>
      <c r="L27" s="399" t="s">
        <v>3774</v>
      </c>
      <c r="M27" s="529"/>
      <c r="N27" s="475" t="s">
        <v>330</v>
      </c>
      <c r="O27" s="475" t="s">
        <v>331</v>
      </c>
      <c r="P27" s="475" t="s">
        <v>1472</v>
      </c>
      <c r="Q27" s="477">
        <f>3136*2.4</f>
        <v>7526.4</v>
      </c>
      <c r="R27" s="477">
        <f>7550+100</f>
        <v>7650</v>
      </c>
      <c r="S27" s="477">
        <v>7400.3379999999997</v>
      </c>
      <c r="T27" s="667"/>
      <c r="U27" s="581"/>
      <c r="V27" s="581"/>
      <c r="W27" s="581"/>
      <c r="X27" s="726">
        <f>S27*0.3</f>
        <v>2220.1014</v>
      </c>
      <c r="Y27" s="726">
        <f>S27*0.7</f>
        <v>5180.2365999999993</v>
      </c>
      <c r="Z27" s="581"/>
      <c r="AA27" s="581"/>
      <c r="AB27" s="581"/>
      <c r="AC27" s="581"/>
      <c r="AD27" s="581"/>
      <c r="AE27" s="581"/>
      <c r="AF27" s="581"/>
      <c r="AG27" s="581"/>
      <c r="AH27" s="581"/>
      <c r="BD27" s="473">
        <f t="shared" si="1"/>
        <v>45266.826388888891</v>
      </c>
      <c r="BE27" s="473">
        <f t="shared" si="2"/>
        <v>45277.095833333333</v>
      </c>
      <c r="BF27" s="479">
        <f t="shared" si="3"/>
        <v>10.269444444442343</v>
      </c>
      <c r="BG27" s="473">
        <v>45266.826388888891</v>
      </c>
      <c r="BH27" s="473">
        <v>45267.864583333336</v>
      </c>
      <c r="BI27" s="473">
        <v>45270.083333333336</v>
      </c>
      <c r="BJ27" s="473">
        <v>45271.46875</v>
      </c>
      <c r="BK27" s="473">
        <v>45271.629166666666</v>
      </c>
      <c r="BL27" s="473">
        <v>45271.631944444445</v>
      </c>
      <c r="BM27" s="473">
        <v>45271.645833333336</v>
      </c>
      <c r="BN27" s="473">
        <f t="shared" si="12"/>
        <v>45273.354166666672</v>
      </c>
      <c r="BO27" s="480">
        <v>45273.229166666664</v>
      </c>
      <c r="BP27" s="480">
        <v>45273.395833333328</v>
      </c>
      <c r="BQ27" s="480">
        <v>45273.274305555555</v>
      </c>
      <c r="BR27" s="473">
        <v>45274.756944444445</v>
      </c>
      <c r="BS27" s="473">
        <v>45276.597222222219</v>
      </c>
      <c r="BT27" s="473">
        <v>45276.770833333336</v>
      </c>
      <c r="BU27" s="473">
        <v>45276.791666666664</v>
      </c>
      <c r="BV27" s="473">
        <v>45276.791666666664</v>
      </c>
      <c r="BW27" s="473">
        <v>45277.095833333333</v>
      </c>
      <c r="BZ27" s="481">
        <f t="shared" si="4"/>
        <v>53.25</v>
      </c>
      <c r="CA27" s="481">
        <f t="shared" si="5"/>
        <v>3.8499999999767169</v>
      </c>
      <c r="CB27" s="481">
        <f t="shared" si="6"/>
        <v>41.000000000058208</v>
      </c>
      <c r="CC27" s="481">
        <f t="shared" si="13"/>
        <v>32.666666666802485</v>
      </c>
      <c r="CD27" s="482">
        <f t="shared" si="7"/>
        <v>4.1666666668024845</v>
      </c>
      <c r="CE27" s="482">
        <f t="shared" si="8"/>
        <v>7.3000000000465661</v>
      </c>
      <c r="CF27" s="483">
        <f t="shared" si="9"/>
        <v>5.9263888889036025</v>
      </c>
      <c r="CG27" s="483">
        <f t="shared" si="10"/>
        <v>10.269444444442343</v>
      </c>
      <c r="CH27" s="484">
        <f t="shared" si="11"/>
        <v>0.57708953205456681</v>
      </c>
    </row>
    <row r="28" spans="1:86" s="475" customFormat="1">
      <c r="A28" s="474">
        <f t="shared" si="0"/>
        <v>45272.231944444444</v>
      </c>
      <c r="B28" s="475" t="s">
        <v>228</v>
      </c>
      <c r="C28" s="475" t="s">
        <v>229</v>
      </c>
      <c r="D28" s="475" t="s">
        <v>197</v>
      </c>
      <c r="E28" s="476" t="s">
        <v>3188</v>
      </c>
      <c r="F28" s="475" t="s">
        <v>3378</v>
      </c>
      <c r="G28" s="472">
        <v>45274.625</v>
      </c>
      <c r="H28" s="472">
        <v>45274.604166666664</v>
      </c>
      <c r="I28" s="475" t="s">
        <v>231</v>
      </c>
      <c r="J28" s="369" t="s">
        <v>192</v>
      </c>
      <c r="K28" s="475" t="s">
        <v>192</v>
      </c>
      <c r="L28" s="399" t="s">
        <v>3775</v>
      </c>
      <c r="M28" s="529"/>
      <c r="N28" s="475" t="s">
        <v>218</v>
      </c>
      <c r="O28" s="475" t="s">
        <v>350</v>
      </c>
      <c r="P28" s="475" t="s">
        <v>1472</v>
      </c>
      <c r="Q28" s="477">
        <f>3077*2.4</f>
        <v>7384.7999999999993</v>
      </c>
      <c r="R28" s="477">
        <f>7400+100</f>
        <v>7500</v>
      </c>
      <c r="S28" s="477">
        <v>7417.8919999999998</v>
      </c>
      <c r="T28" s="477"/>
      <c r="U28" s="581"/>
      <c r="V28" s="581"/>
      <c r="W28" s="581"/>
      <c r="X28" s="726">
        <f>S28*0.3</f>
        <v>2225.3676</v>
      </c>
      <c r="Y28" s="726">
        <f>S28*0.7</f>
        <v>5192.5243999999993</v>
      </c>
      <c r="Z28" s="581"/>
      <c r="AA28" s="581"/>
      <c r="AD28" s="401"/>
      <c r="AE28" s="401"/>
      <c r="AF28" s="401"/>
      <c r="AG28" s="401"/>
      <c r="AH28" s="401"/>
      <c r="AI28" s="401"/>
      <c r="AJ28" s="401"/>
      <c r="AK28" s="401"/>
      <c r="AL28" s="401"/>
      <c r="AM28" s="401"/>
      <c r="AN28" s="401"/>
      <c r="AO28" s="401"/>
      <c r="AP28" s="401"/>
      <c r="AQ28" s="401"/>
      <c r="AR28" s="401"/>
      <c r="AS28" s="401"/>
      <c r="AT28" s="401"/>
      <c r="AU28" s="401"/>
      <c r="AV28" s="401"/>
      <c r="AW28" s="401"/>
      <c r="AX28" s="401"/>
      <c r="AY28" s="401"/>
      <c r="AZ28" s="401"/>
      <c r="BA28" s="401"/>
      <c r="BB28" s="401"/>
      <c r="BC28" s="401"/>
      <c r="BD28" s="473">
        <f t="shared" si="1"/>
        <v>45269.333333333336</v>
      </c>
      <c r="BE28" s="473">
        <f t="shared" si="2"/>
        <v>45277.506944444445</v>
      </c>
      <c r="BF28" s="479">
        <f t="shared" si="3"/>
        <v>8.1736111111094942</v>
      </c>
      <c r="BG28" s="473">
        <v>45269.333333333336</v>
      </c>
      <c r="BH28" s="473">
        <v>45269.798611111109</v>
      </c>
      <c r="BI28" s="473">
        <v>45272.121527777781</v>
      </c>
      <c r="BJ28" s="473">
        <v>45272.231944444444</v>
      </c>
      <c r="BK28" s="473">
        <v>45272.427083333336</v>
      </c>
      <c r="BL28" s="473">
        <v>45272.434027777781</v>
      </c>
      <c r="BM28" s="473">
        <v>45272.4375</v>
      </c>
      <c r="BN28" s="473">
        <f t="shared" si="12"/>
        <v>45274.145833333336</v>
      </c>
      <c r="BO28" s="480">
        <v>45274.229166608799</v>
      </c>
      <c r="BP28" s="480">
        <v>45274.395833275463</v>
      </c>
      <c r="BQ28" s="480">
        <v>45274.333333333336</v>
      </c>
      <c r="BR28" s="473">
        <v>45275.680555555555</v>
      </c>
      <c r="BS28" s="473">
        <v>45276.833333333336</v>
      </c>
      <c r="BT28" s="473">
        <v>45277.069444444445</v>
      </c>
      <c r="BU28" s="473">
        <v>45277.083333333336</v>
      </c>
      <c r="BV28" s="473">
        <v>45277.222222222219</v>
      </c>
      <c r="BW28" s="473">
        <v>45277.506944444445</v>
      </c>
      <c r="BZ28" s="481">
        <f t="shared" si="4"/>
        <v>55.750000000116415</v>
      </c>
      <c r="CA28" s="481">
        <f t="shared" si="5"/>
        <v>4.683333333407063</v>
      </c>
      <c r="CB28" s="481">
        <f t="shared" si="6"/>
        <v>41.000000000058208</v>
      </c>
      <c r="CC28" s="481">
        <f t="shared" si="13"/>
        <v>30.833334722206928</v>
      </c>
      <c r="CD28" s="482">
        <f t="shared" si="7"/>
        <v>5.6666666666278616</v>
      </c>
      <c r="CE28" s="482">
        <f t="shared" si="8"/>
        <v>6.8333333334303461</v>
      </c>
      <c r="CF28" s="483">
        <f t="shared" si="9"/>
        <v>6.0319445023269509</v>
      </c>
      <c r="CG28" s="483">
        <f t="shared" si="10"/>
        <v>8.1736111111094942</v>
      </c>
      <c r="CH28" s="484">
        <f t="shared" si="11"/>
        <v>0.73797791702230475</v>
      </c>
    </row>
    <row r="29" spans="1:86" s="475" customFormat="1">
      <c r="A29" s="474">
        <f t="shared" si="0"/>
        <v>45272.909722222219</v>
      </c>
      <c r="B29" s="475" t="s">
        <v>228</v>
      </c>
      <c r="C29" s="475" t="s">
        <v>229</v>
      </c>
      <c r="D29" s="475" t="s">
        <v>197</v>
      </c>
      <c r="E29" s="476" t="s">
        <v>3188</v>
      </c>
      <c r="F29" s="475" t="s">
        <v>3378</v>
      </c>
      <c r="G29" s="472">
        <v>45274.625</v>
      </c>
      <c r="H29" s="472">
        <v>45274.604166666664</v>
      </c>
      <c r="I29" s="475" t="s">
        <v>231</v>
      </c>
      <c r="J29" s="369" t="s">
        <v>192</v>
      </c>
      <c r="K29" s="369" t="s">
        <v>192</v>
      </c>
      <c r="L29" s="399" t="s">
        <v>3776</v>
      </c>
      <c r="M29" s="529"/>
      <c r="N29" s="475" t="s">
        <v>3403</v>
      </c>
      <c r="O29" s="475" t="s">
        <v>255</v>
      </c>
      <c r="P29" s="475" t="s">
        <v>235</v>
      </c>
      <c r="Q29" s="477">
        <f>3047*2.4</f>
        <v>7312.8</v>
      </c>
      <c r="R29" s="477">
        <f>7400+100</f>
        <v>7500</v>
      </c>
      <c r="S29" s="477">
        <v>7315.2560000000003</v>
      </c>
      <c r="T29" s="667"/>
      <c r="U29" s="581"/>
      <c r="V29" s="581"/>
      <c r="W29" s="581"/>
      <c r="X29" s="726">
        <f>S29</f>
        <v>7315.2560000000003</v>
      </c>
      <c r="Y29" s="581"/>
      <c r="Z29" s="581"/>
      <c r="AA29" s="581"/>
      <c r="AB29" s="581"/>
      <c r="AC29" s="581"/>
      <c r="AD29" s="581"/>
      <c r="AE29" s="581"/>
      <c r="AF29" s="581"/>
      <c r="AG29" s="581"/>
      <c r="AH29" s="581"/>
      <c r="BD29" s="473">
        <f t="shared" si="1"/>
        <v>45267.6875</v>
      </c>
      <c r="BE29" s="473">
        <f t="shared" si="2"/>
        <v>45280.647222222222</v>
      </c>
      <c r="BF29" s="479">
        <f t="shared" si="3"/>
        <v>12.959722222221899</v>
      </c>
      <c r="BG29" s="473">
        <v>45267.6875</v>
      </c>
      <c r="BH29" s="473">
        <v>45269.836805555555</v>
      </c>
      <c r="BI29" s="473">
        <v>45272.166666666664</v>
      </c>
      <c r="BJ29" s="473">
        <v>45272.909722222219</v>
      </c>
      <c r="BK29" s="473">
        <v>45273.024305555555</v>
      </c>
      <c r="BL29" s="473">
        <v>45273.041666666664</v>
      </c>
      <c r="BM29" s="473">
        <v>45273.048611111109</v>
      </c>
      <c r="BN29" s="473">
        <f t="shared" si="12"/>
        <v>45274.756944444445</v>
      </c>
      <c r="BO29" s="473">
        <v>45275.229166608799</v>
      </c>
      <c r="BP29" s="473">
        <v>45275.395833275463</v>
      </c>
      <c r="BQ29" s="473">
        <v>45275.4375</v>
      </c>
      <c r="BR29" s="473">
        <v>45276.875</v>
      </c>
      <c r="BS29" s="473">
        <v>45279.822916666664</v>
      </c>
      <c r="BT29" s="473">
        <v>45280.090277777781</v>
      </c>
      <c r="BU29" s="473">
        <v>45280.125</v>
      </c>
      <c r="BV29" s="473">
        <v>45280.416666666664</v>
      </c>
      <c r="BW29" s="473">
        <v>45280.647222222222</v>
      </c>
      <c r="BZ29" s="481">
        <f t="shared" si="4"/>
        <v>55.916666666627862</v>
      </c>
      <c r="CA29" s="481">
        <f t="shared" si="5"/>
        <v>2.7500000000582077</v>
      </c>
      <c r="CB29" s="481">
        <f t="shared" si="6"/>
        <v>41.000000000058208</v>
      </c>
      <c r="CC29" s="481">
        <f t="shared" si="13"/>
        <v>35.500001388892997</v>
      </c>
      <c r="CD29" s="482">
        <f t="shared" si="7"/>
        <v>6.4166666668024845</v>
      </c>
      <c r="CE29" s="482">
        <f t="shared" si="8"/>
        <v>5.53333333338378</v>
      </c>
      <c r="CF29" s="483">
        <f t="shared" si="9"/>
        <v>6.1298611689926474</v>
      </c>
      <c r="CG29" s="483">
        <f t="shared" si="10"/>
        <v>12.959722222221899</v>
      </c>
      <c r="CH29" s="484">
        <f t="shared" si="11"/>
        <v>0.47299325277835347</v>
      </c>
    </row>
    <row r="30" spans="1:86" s="475" customFormat="1">
      <c r="A30" s="474">
        <f t="shared" si="0"/>
        <v>45273.0625</v>
      </c>
      <c r="B30" s="475" t="s">
        <v>228</v>
      </c>
      <c r="C30" s="475" t="s">
        <v>229</v>
      </c>
      <c r="D30" s="475" t="s">
        <v>197</v>
      </c>
      <c r="E30" s="476" t="s">
        <v>3188</v>
      </c>
      <c r="F30" s="475" t="s">
        <v>3378</v>
      </c>
      <c r="G30" s="472">
        <v>45274.625</v>
      </c>
      <c r="H30" s="472">
        <v>45274.604166666664</v>
      </c>
      <c r="I30" s="475" t="s">
        <v>231</v>
      </c>
      <c r="J30" s="369" t="s">
        <v>192</v>
      </c>
      <c r="K30" s="369" t="s">
        <v>192</v>
      </c>
      <c r="L30" s="399" t="s">
        <v>3777</v>
      </c>
      <c r="M30" s="529"/>
      <c r="N30" s="475" t="s">
        <v>208</v>
      </c>
      <c r="O30" s="475" t="s">
        <v>328</v>
      </c>
      <c r="P30" s="475" t="s">
        <v>235</v>
      </c>
      <c r="Q30" s="477">
        <f>3128*2.4</f>
        <v>7507.2</v>
      </c>
      <c r="R30" s="477">
        <f>7550+100</f>
        <v>7650</v>
      </c>
      <c r="S30" s="477">
        <v>7514.7950000000001</v>
      </c>
      <c r="T30" s="399"/>
      <c r="U30" s="581"/>
      <c r="V30" s="581"/>
      <c r="W30" s="581"/>
      <c r="X30" s="726">
        <f>S30</f>
        <v>7514.7950000000001</v>
      </c>
      <c r="Y30" s="581"/>
      <c r="Z30" s="581"/>
      <c r="AA30" s="581"/>
      <c r="AD30" s="581"/>
      <c r="AE30" s="724"/>
      <c r="AF30" s="724"/>
      <c r="AG30" s="724"/>
      <c r="AH30" s="724"/>
      <c r="AO30" s="581"/>
      <c r="AP30" s="581"/>
      <c r="AQ30" s="581"/>
      <c r="AR30" s="581"/>
      <c r="AS30" s="581"/>
      <c r="AT30" s="581"/>
      <c r="AU30" s="581"/>
      <c r="AV30" s="581"/>
      <c r="AW30" s="581"/>
      <c r="AX30" s="581"/>
      <c r="AY30" s="581"/>
      <c r="AZ30" s="581"/>
      <c r="BA30" s="581"/>
      <c r="BB30" s="581"/>
      <c r="BC30" s="581"/>
      <c r="BD30" s="473">
        <f t="shared" si="1"/>
        <v>45269</v>
      </c>
      <c r="BE30" s="473">
        <f t="shared" si="2"/>
        <v>45280</v>
      </c>
      <c r="BF30" s="479">
        <f t="shared" si="3"/>
        <v>11</v>
      </c>
      <c r="BG30" s="473">
        <v>45269</v>
      </c>
      <c r="BH30" s="473">
        <v>45270.350694444445</v>
      </c>
      <c r="BI30" s="473">
        <v>45272.208333333336</v>
      </c>
      <c r="BJ30" s="473">
        <v>45273.0625</v>
      </c>
      <c r="BK30" s="473">
        <v>45273.1875</v>
      </c>
      <c r="BL30" s="473">
        <v>45273.211805555555</v>
      </c>
      <c r="BM30" s="473">
        <v>45273.211805555555</v>
      </c>
      <c r="BN30" s="473">
        <f t="shared" si="12"/>
        <v>45274.920138888891</v>
      </c>
      <c r="BO30" s="473">
        <v>45275.229166608799</v>
      </c>
      <c r="BP30" s="473">
        <v>45275.395833275463</v>
      </c>
      <c r="BQ30" s="473">
        <v>45275.364583333336</v>
      </c>
      <c r="BR30" s="473">
        <v>45276.642361111109</v>
      </c>
      <c r="BS30" s="473">
        <v>45279.527777777781</v>
      </c>
      <c r="BT30" s="473">
        <v>45279.75</v>
      </c>
      <c r="BU30" s="473">
        <v>45279.770833333336</v>
      </c>
      <c r="BV30" s="473">
        <v>45279.770833333336</v>
      </c>
      <c r="BW30" s="473">
        <v>45280</v>
      </c>
      <c r="BZ30" s="481">
        <f t="shared" si="4"/>
        <v>44.583333333372138</v>
      </c>
      <c r="CA30" s="481">
        <f t="shared" si="5"/>
        <v>3</v>
      </c>
      <c r="CB30" s="481">
        <f t="shared" si="6"/>
        <v>41.000000000058208</v>
      </c>
      <c r="CC30" s="481">
        <f t="shared" si="13"/>
        <v>29.916668055520859</v>
      </c>
      <c r="CD30" s="482">
        <f t="shared" si="7"/>
        <v>5.3333333332557231</v>
      </c>
      <c r="CE30" s="482">
        <f t="shared" si="8"/>
        <v>5.4999999999417923</v>
      </c>
      <c r="CF30" s="483">
        <f t="shared" si="9"/>
        <v>5.3888889467561967</v>
      </c>
      <c r="CG30" s="483">
        <f t="shared" si="10"/>
        <v>11</v>
      </c>
      <c r="CH30" s="484">
        <f t="shared" si="11"/>
        <v>0.48989899515965424</v>
      </c>
    </row>
    <row r="31" spans="1:86" s="475" customFormat="1">
      <c r="A31" s="474">
        <f t="shared" si="0"/>
        <v>45272.451388888891</v>
      </c>
      <c r="B31" s="475" t="s">
        <v>228</v>
      </c>
      <c r="C31" s="475" t="s">
        <v>229</v>
      </c>
      <c r="D31" s="475" t="s">
        <v>215</v>
      </c>
      <c r="E31" s="476" t="s">
        <v>3188</v>
      </c>
      <c r="F31" s="475" t="s">
        <v>3378</v>
      </c>
      <c r="G31" s="472">
        <v>45274.625</v>
      </c>
      <c r="H31" s="472">
        <v>45274.604166666664</v>
      </c>
      <c r="I31" s="475" t="s">
        <v>231</v>
      </c>
      <c r="J31" s="369" t="s">
        <v>192</v>
      </c>
      <c r="K31" s="475" t="s">
        <v>192</v>
      </c>
      <c r="L31" s="399" t="s">
        <v>3778</v>
      </c>
      <c r="M31" s="529"/>
      <c r="N31" s="475" t="s">
        <v>301</v>
      </c>
      <c r="O31" s="475" t="s">
        <v>302</v>
      </c>
      <c r="P31" s="475" t="s">
        <v>1472</v>
      </c>
      <c r="Q31" s="477">
        <f>3852*2.4</f>
        <v>9244.7999999999993</v>
      </c>
      <c r="R31" s="477">
        <v>9250</v>
      </c>
      <c r="S31" s="477">
        <v>9154.4570000000003</v>
      </c>
      <c r="T31" s="399"/>
      <c r="U31" s="581"/>
      <c r="V31" s="581"/>
      <c r="W31" s="581"/>
      <c r="X31" s="726">
        <f>S31*0.3</f>
        <v>2746.3371000000002</v>
      </c>
      <c r="Y31" s="726">
        <f>S31*0.7</f>
        <v>6408.1198999999997</v>
      </c>
      <c r="Z31" s="581"/>
      <c r="AA31" s="581"/>
      <c r="AB31" s="577"/>
      <c r="AC31" s="577"/>
      <c r="AD31" s="577"/>
      <c r="AE31" s="577"/>
      <c r="AF31" s="577"/>
      <c r="AG31" s="577"/>
      <c r="AH31" s="577"/>
      <c r="AI31" s="577"/>
      <c r="AJ31" s="577"/>
      <c r="BD31" s="473">
        <f t="shared" si="1"/>
        <v>45269.663888888892</v>
      </c>
      <c r="BE31" s="473">
        <f t="shared" si="2"/>
        <v>45277.808333333334</v>
      </c>
      <c r="BF31" s="479">
        <f t="shared" si="3"/>
        <v>8.1444444444423425</v>
      </c>
      <c r="BG31" s="473">
        <v>45269.663888888892</v>
      </c>
      <c r="BH31" s="473">
        <v>45270.368055555555</v>
      </c>
      <c r="BI31" s="473">
        <v>45272.152777777781</v>
      </c>
      <c r="BJ31" s="473">
        <v>45272.451388888891</v>
      </c>
      <c r="BK31" s="473">
        <v>45272.618055555555</v>
      </c>
      <c r="BL31" s="473">
        <v>45272.625</v>
      </c>
      <c r="BM31" s="473">
        <v>45272.621527777781</v>
      </c>
      <c r="BN31" s="473">
        <f t="shared" si="12"/>
        <v>45274.329861111117</v>
      </c>
      <c r="BO31" s="473">
        <v>45274.229166608799</v>
      </c>
      <c r="BP31" s="473">
        <v>45274.395833275463</v>
      </c>
      <c r="BQ31" s="473">
        <v>45274.303472222222</v>
      </c>
      <c r="BR31" s="473">
        <v>45275.668749999997</v>
      </c>
      <c r="BS31" s="473">
        <v>45277.131944444445</v>
      </c>
      <c r="BT31" s="473">
        <v>45277.40625</v>
      </c>
      <c r="BU31" s="473">
        <v>45277.440972222219</v>
      </c>
      <c r="BV31" s="473">
        <v>45277.583333333336</v>
      </c>
      <c r="BW31" s="473">
        <v>45277.808333333334</v>
      </c>
      <c r="BZ31" s="481">
        <f t="shared" si="4"/>
        <v>42.833333333430346</v>
      </c>
      <c r="CA31" s="481">
        <f t="shared" si="5"/>
        <v>3.9999999999417923</v>
      </c>
      <c r="CB31" s="481">
        <f t="shared" si="6"/>
        <v>41.000000000058208</v>
      </c>
      <c r="CC31" s="481">
        <f t="shared" si="13"/>
        <v>30.550001388823148</v>
      </c>
      <c r="CD31" s="482">
        <f t="shared" si="7"/>
        <v>6.5833333333139308</v>
      </c>
      <c r="CE31" s="482">
        <f t="shared" si="8"/>
        <v>5.3999999999650754</v>
      </c>
      <c r="CF31" s="483">
        <f t="shared" si="9"/>
        <v>5.4319445023138542</v>
      </c>
      <c r="CG31" s="483">
        <f t="shared" si="10"/>
        <v>8.1444444444423425</v>
      </c>
      <c r="CH31" s="484">
        <f t="shared" si="11"/>
        <v>0.6669508938722688</v>
      </c>
    </row>
    <row r="32" spans="1:86" s="475" customFormat="1">
      <c r="A32" s="474">
        <f t="shared" si="0"/>
        <v>45273.229166666664</v>
      </c>
      <c r="B32" s="475" t="s">
        <v>228</v>
      </c>
      <c r="C32" s="475" t="s">
        <v>229</v>
      </c>
      <c r="D32" s="475" t="s">
        <v>197</v>
      </c>
      <c r="E32" s="476" t="s">
        <v>3188</v>
      </c>
      <c r="F32" s="475" t="s">
        <v>3378</v>
      </c>
      <c r="G32" s="472">
        <v>45274.625</v>
      </c>
      <c r="H32" s="472">
        <v>45274.604166666664</v>
      </c>
      <c r="I32" s="475" t="s">
        <v>231</v>
      </c>
      <c r="J32" s="369" t="s">
        <v>192</v>
      </c>
      <c r="K32" s="369" t="s">
        <v>192</v>
      </c>
      <c r="L32" s="399" t="s">
        <v>3779</v>
      </c>
      <c r="M32" s="529"/>
      <c r="N32" s="475" t="s">
        <v>2277</v>
      </c>
      <c r="O32" s="475" t="s">
        <v>2278</v>
      </c>
      <c r="P32" s="475" t="s">
        <v>1472</v>
      </c>
      <c r="Q32" s="477">
        <f>3099 *2.4</f>
        <v>7437.5999999999995</v>
      </c>
      <c r="R32" s="477">
        <f>7500+100</f>
        <v>7600</v>
      </c>
      <c r="S32" s="477">
        <f>7507.994-4333.105</f>
        <v>3174.8890000000001</v>
      </c>
      <c r="T32" s="667"/>
      <c r="U32" s="581"/>
      <c r="V32" s="581"/>
      <c r="W32" s="581"/>
      <c r="X32" s="726">
        <f>S32*0.3</f>
        <v>952.46669999999995</v>
      </c>
      <c r="Y32" s="726">
        <f>S32*0.7</f>
        <v>2222.4222999999997</v>
      </c>
      <c r="Z32" s="581"/>
      <c r="AA32" s="581"/>
      <c r="AB32" s="581"/>
      <c r="AC32" s="667"/>
      <c r="AD32" s="667"/>
      <c r="AX32" s="667"/>
      <c r="AY32" s="667"/>
      <c r="AZ32" s="667"/>
      <c r="BA32" s="667"/>
      <c r="BB32" s="667"/>
      <c r="BC32" s="667"/>
      <c r="BD32" s="473">
        <f t="shared" si="1"/>
        <v>45269.708333333336</v>
      </c>
      <c r="BE32" s="473">
        <f t="shared" si="2"/>
        <v>45280.361111111109</v>
      </c>
      <c r="BF32" s="479">
        <f t="shared" si="3"/>
        <v>10.652777777773736</v>
      </c>
      <c r="BG32" s="473">
        <v>45269.708333333336</v>
      </c>
      <c r="BH32" s="473">
        <v>45270.368055555555</v>
      </c>
      <c r="BI32" s="473">
        <v>45272.5</v>
      </c>
      <c r="BJ32" s="473">
        <v>45273.229166666664</v>
      </c>
      <c r="BK32" s="473">
        <v>45273.4375</v>
      </c>
      <c r="BL32" s="473">
        <v>45273.440972222219</v>
      </c>
      <c r="BM32" s="473">
        <v>45273.440972222219</v>
      </c>
      <c r="BN32" s="473">
        <f t="shared" si="12"/>
        <v>45275.149305555555</v>
      </c>
      <c r="BO32" s="473">
        <v>45275.229166608799</v>
      </c>
      <c r="BP32" s="473">
        <v>45275.395833275463</v>
      </c>
      <c r="BQ32" s="473">
        <v>45275.3125</v>
      </c>
      <c r="BR32" s="473">
        <v>45276.75</v>
      </c>
      <c r="BS32" s="473">
        <v>45280.145833333336</v>
      </c>
      <c r="BT32" s="473">
        <v>45280.25</v>
      </c>
      <c r="BU32" s="473">
        <v>45280.361111111109</v>
      </c>
      <c r="BV32" s="473">
        <v>45280.361111111109</v>
      </c>
      <c r="BW32" s="473">
        <v>45280.361111111109</v>
      </c>
      <c r="BZ32" s="481">
        <f t="shared" si="4"/>
        <v>51.166666666686069</v>
      </c>
      <c r="CA32" s="481">
        <f t="shared" si="5"/>
        <v>5.0000000000582077</v>
      </c>
      <c r="CB32" s="481">
        <f t="shared" si="6"/>
        <v>41.000000000058208</v>
      </c>
      <c r="CC32" s="481">
        <f t="shared" si="13"/>
        <v>32.500001388892997</v>
      </c>
      <c r="CD32" s="482">
        <f t="shared" si="7"/>
        <v>2.4999999999417923</v>
      </c>
      <c r="CE32" s="482">
        <f t="shared" si="8"/>
        <v>0</v>
      </c>
      <c r="CF32" s="483">
        <f t="shared" si="9"/>
        <v>5.5069445023182197</v>
      </c>
      <c r="CG32" s="483">
        <f t="shared" si="10"/>
        <v>10.652777777773736</v>
      </c>
      <c r="CH32" s="484">
        <f t="shared" si="11"/>
        <v>0.51694915797530938</v>
      </c>
    </row>
    <row r="33" spans="1:88" s="475" customFormat="1">
      <c r="A33" s="474">
        <f t="shared" si="0"/>
        <v>45273.229166666664</v>
      </c>
      <c r="B33" s="475" t="s">
        <v>228</v>
      </c>
      <c r="C33" s="475" t="s">
        <v>229</v>
      </c>
      <c r="D33" s="475" t="s">
        <v>197</v>
      </c>
      <c r="E33" s="476" t="s">
        <v>3194</v>
      </c>
      <c r="F33" s="475" t="s">
        <v>3378</v>
      </c>
      <c r="G33" s="472">
        <v>45278.166666666664</v>
      </c>
      <c r="H33" s="472">
        <v>45278.170138888891</v>
      </c>
      <c r="I33" s="475" t="s">
        <v>231</v>
      </c>
      <c r="J33" s="475" t="s">
        <v>192</v>
      </c>
      <c r="K33" s="475" t="s">
        <v>192</v>
      </c>
      <c r="L33" s="399" t="s">
        <v>3779</v>
      </c>
      <c r="M33" s="530"/>
      <c r="N33" s="475" t="s">
        <v>2277</v>
      </c>
      <c r="O33" s="475" t="s">
        <v>2278</v>
      </c>
      <c r="P33" s="475" t="s">
        <v>1472</v>
      </c>
      <c r="Q33" s="477">
        <f>3099 *2.4</f>
        <v>7437.5999999999995</v>
      </c>
      <c r="R33" s="477">
        <f>7500+100</f>
        <v>7600</v>
      </c>
      <c r="S33" s="477">
        <v>4138.1350000000002</v>
      </c>
      <c r="T33" s="667"/>
      <c r="U33" s="581"/>
      <c r="V33" s="581"/>
      <c r="W33" s="581"/>
      <c r="X33" s="726">
        <f>S33*0.3</f>
        <v>1241.4404999999999</v>
      </c>
      <c r="Y33" s="726">
        <f>S33*0.7</f>
        <v>2896.6945000000001</v>
      </c>
      <c r="Z33" s="581"/>
      <c r="AA33" s="581"/>
      <c r="AB33" s="581"/>
      <c r="AC33" s="667"/>
      <c r="AD33" s="667"/>
      <c r="AX33" s="667"/>
      <c r="AY33" s="667"/>
      <c r="AZ33" s="667"/>
      <c r="BA33" s="667"/>
      <c r="BB33" s="667"/>
      <c r="BC33" s="667"/>
      <c r="BD33" s="473">
        <f t="shared" si="1"/>
        <v>45269.708333333336</v>
      </c>
      <c r="BE33" s="473">
        <f t="shared" si="2"/>
        <v>45282.854166666664</v>
      </c>
      <c r="BF33" s="479">
        <f t="shared" si="3"/>
        <v>13.145833333328483</v>
      </c>
      <c r="BG33" s="473">
        <v>45269.708333333336</v>
      </c>
      <c r="BH33" s="473">
        <v>45270.368055555555</v>
      </c>
      <c r="BI33" s="473">
        <v>45272.5</v>
      </c>
      <c r="BJ33" s="473">
        <v>45273.229166666664</v>
      </c>
      <c r="BK33" s="473">
        <v>45273.4375</v>
      </c>
      <c r="BL33" s="473">
        <v>45273.440972222219</v>
      </c>
      <c r="BM33" s="473">
        <v>45273.440972222219</v>
      </c>
      <c r="BN33" s="473">
        <f t="shared" si="12"/>
        <v>45275.149305555555</v>
      </c>
      <c r="BO33" s="473">
        <v>45275.229166608799</v>
      </c>
      <c r="BP33" s="473">
        <v>45275.395833275463</v>
      </c>
      <c r="BQ33" s="473">
        <v>45275.3125</v>
      </c>
      <c r="BR33" s="473">
        <v>45280.361111111109</v>
      </c>
      <c r="BS33" s="473">
        <v>45282.284722222219</v>
      </c>
      <c r="BT33" s="473">
        <v>45282.381944444445</v>
      </c>
      <c r="BU33" s="473">
        <v>45282.402777777781</v>
      </c>
      <c r="BV33" s="473">
        <v>45282.402777777781</v>
      </c>
      <c r="BW33" s="473">
        <v>45282.854166666664</v>
      </c>
      <c r="BZ33" s="481">
        <f t="shared" si="4"/>
        <v>51.166666666686069</v>
      </c>
      <c r="CA33" s="481">
        <f t="shared" si="5"/>
        <v>5.0000000000582077</v>
      </c>
      <c r="CB33" s="481">
        <f t="shared" si="6"/>
        <v>41.000000000058208</v>
      </c>
      <c r="CC33" s="481">
        <f t="shared" si="13"/>
        <v>119.16666805552086</v>
      </c>
      <c r="CD33" s="482">
        <f t="shared" si="7"/>
        <v>2.3333333334303461</v>
      </c>
      <c r="CE33" s="482">
        <f t="shared" si="8"/>
        <v>10.833333333197515</v>
      </c>
      <c r="CF33" s="483">
        <f t="shared" si="9"/>
        <v>9.5625000578729669</v>
      </c>
      <c r="CG33" s="483">
        <f t="shared" si="10"/>
        <v>13.145833333328483</v>
      </c>
      <c r="CH33" s="484">
        <f t="shared" si="11"/>
        <v>0.7274168031348206</v>
      </c>
    </row>
    <row r="34" spans="1:88" s="475" customFormat="1">
      <c r="A34" s="474">
        <f t="shared" si="0"/>
        <v>45274.663194444445</v>
      </c>
      <c r="B34" s="475" t="s">
        <v>228</v>
      </c>
      <c r="C34" s="475" t="s">
        <v>229</v>
      </c>
      <c r="D34" s="475" t="s">
        <v>197</v>
      </c>
      <c r="E34" s="399" t="s">
        <v>971</v>
      </c>
      <c r="F34" s="475" t="s">
        <v>3474</v>
      </c>
      <c r="G34" s="473">
        <v>45278.5</v>
      </c>
      <c r="H34" s="473">
        <v>45278.5</v>
      </c>
      <c r="I34" s="475" t="s">
        <v>243</v>
      </c>
      <c r="J34" s="369" t="s">
        <v>192</v>
      </c>
      <c r="K34" s="369" t="s">
        <v>192</v>
      </c>
      <c r="L34" s="399" t="s">
        <v>3780</v>
      </c>
      <c r="M34" s="529"/>
      <c r="N34" s="475" t="s">
        <v>1799</v>
      </c>
      <c r="O34" s="475" t="s">
        <v>2437</v>
      </c>
      <c r="P34" s="475" t="s">
        <v>235</v>
      </c>
      <c r="Q34" s="477">
        <f>3147*2.4</f>
        <v>7552.7999999999993</v>
      </c>
      <c r="R34" s="477">
        <f>7550+100</f>
        <v>7650</v>
      </c>
      <c r="S34" s="477">
        <v>7570.5119999999997</v>
      </c>
      <c r="T34" s="667"/>
      <c r="U34" s="581"/>
      <c r="V34" s="581"/>
      <c r="W34" s="581"/>
      <c r="X34" s="726">
        <f>S34</f>
        <v>7570.5119999999997</v>
      </c>
      <c r="Y34" s="581"/>
      <c r="Z34" s="581"/>
      <c r="AA34" s="581"/>
      <c r="AD34" s="581"/>
      <c r="AE34" s="581"/>
      <c r="AF34" s="667"/>
      <c r="AG34" s="667"/>
      <c r="AH34" s="667"/>
      <c r="AI34" s="667"/>
      <c r="AJ34" s="667"/>
      <c r="AK34" s="667"/>
      <c r="AL34" s="667"/>
      <c r="AM34" s="667"/>
      <c r="AN34" s="667"/>
      <c r="AO34" s="667"/>
      <c r="AP34" s="667"/>
      <c r="AQ34" s="667"/>
      <c r="AR34" s="667"/>
      <c r="AS34" s="667"/>
      <c r="AT34" s="667"/>
      <c r="AU34" s="667"/>
      <c r="AV34" s="667"/>
      <c r="AW34" s="667"/>
      <c r="AX34" s="667"/>
      <c r="AY34" s="667"/>
      <c r="AZ34" s="667"/>
      <c r="BA34" s="667"/>
      <c r="BB34" s="667"/>
      <c r="BC34" s="667"/>
      <c r="BD34" s="473">
        <f t="shared" si="1"/>
        <v>45270.416666666664</v>
      </c>
      <c r="BE34" s="473">
        <f t="shared" si="2"/>
        <v>45280.791666666664</v>
      </c>
      <c r="BF34" s="479">
        <f t="shared" si="3"/>
        <v>10.375</v>
      </c>
      <c r="BG34" s="473">
        <v>45270.416666666664</v>
      </c>
      <c r="BH34" s="473">
        <v>45271.826388888891</v>
      </c>
      <c r="BI34" s="473">
        <v>45274.166666666664</v>
      </c>
      <c r="BJ34" s="473">
        <v>45274.663194444445</v>
      </c>
      <c r="BK34" s="473">
        <v>45274.829861111109</v>
      </c>
      <c r="BL34" s="473">
        <v>45274.833333333336</v>
      </c>
      <c r="BM34" s="473">
        <v>45274.847222222219</v>
      </c>
      <c r="BN34" s="473">
        <f t="shared" si="12"/>
        <v>45276.555555555555</v>
      </c>
      <c r="BO34" s="473">
        <v>45276.25</v>
      </c>
      <c r="BP34" s="473">
        <v>45276.416666666664</v>
      </c>
      <c r="BQ34" s="473">
        <v>45276.305555555555</v>
      </c>
      <c r="BR34" s="473">
        <v>45278.59375</v>
      </c>
      <c r="BS34" s="473">
        <v>45279.659722222219</v>
      </c>
      <c r="BT34" s="473">
        <v>45279.972222222219</v>
      </c>
      <c r="BU34" s="473">
        <v>45280.302083333336</v>
      </c>
      <c r="BV34" s="473">
        <v>45280.326388888891</v>
      </c>
      <c r="BW34" s="473">
        <v>45280.791666666664</v>
      </c>
      <c r="BZ34" s="481">
        <f t="shared" si="4"/>
        <v>56.166666666569654</v>
      </c>
      <c r="CA34" s="481">
        <f t="shared" si="5"/>
        <v>3.9999999999417923</v>
      </c>
      <c r="CB34" s="481">
        <f t="shared" si="6"/>
        <v>41.000000000058208</v>
      </c>
      <c r="CC34" s="481">
        <f t="shared" si="13"/>
        <v>52.250000000058208</v>
      </c>
      <c r="CD34" s="482">
        <f t="shared" si="7"/>
        <v>7.5</v>
      </c>
      <c r="CE34" s="482">
        <f t="shared" si="8"/>
        <v>11.166666666569654</v>
      </c>
      <c r="CF34" s="483">
        <f t="shared" si="9"/>
        <v>7.1701388888832298</v>
      </c>
      <c r="CG34" s="483">
        <f t="shared" si="10"/>
        <v>10.375</v>
      </c>
      <c r="CH34" s="484">
        <f t="shared" si="11"/>
        <v>0.69109772422970894</v>
      </c>
    </row>
    <row r="35" spans="1:88" s="369" customFormat="1">
      <c r="A35" s="474">
        <f t="shared" si="0"/>
        <v>45276.152777777781</v>
      </c>
      <c r="B35" s="475" t="s">
        <v>228</v>
      </c>
      <c r="C35" s="475" t="s">
        <v>229</v>
      </c>
      <c r="D35" s="475" t="s">
        <v>197</v>
      </c>
      <c r="E35" s="476" t="s">
        <v>3194</v>
      </c>
      <c r="F35" s="399" t="s">
        <v>3378</v>
      </c>
      <c r="G35" s="472">
        <v>45278.166666666664</v>
      </c>
      <c r="H35" s="472">
        <v>45278.170138888891</v>
      </c>
      <c r="I35" s="475" t="s">
        <v>231</v>
      </c>
      <c r="J35" s="475" t="s">
        <v>192</v>
      </c>
      <c r="K35" s="475" t="s">
        <v>192</v>
      </c>
      <c r="L35" s="399" t="s">
        <v>3781</v>
      </c>
      <c r="M35" s="530"/>
      <c r="N35" s="475" t="s">
        <v>2207</v>
      </c>
      <c r="O35" s="475" t="s">
        <v>2208</v>
      </c>
      <c r="P35" s="399" t="s">
        <v>3753</v>
      </c>
      <c r="Q35" s="477">
        <f>3031*2.4</f>
        <v>7274.4</v>
      </c>
      <c r="R35" s="477">
        <f>7300+100</f>
        <v>7400</v>
      </c>
      <c r="S35" s="477">
        <v>7506.6819999999998</v>
      </c>
      <c r="T35" s="399"/>
      <c r="U35" s="581"/>
      <c r="V35" s="475"/>
      <c r="W35" s="581"/>
      <c r="X35" s="726">
        <f>S35*0.8</f>
        <v>6005.3456000000006</v>
      </c>
      <c r="Y35" s="726">
        <f>S35*0.2</f>
        <v>1501.3364000000001</v>
      </c>
      <c r="Z35" s="581"/>
      <c r="AA35" s="581"/>
      <c r="AB35" s="401"/>
      <c r="AC35" s="581"/>
      <c r="AD35" s="581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  <c r="AW35" s="475"/>
      <c r="AX35" s="475"/>
      <c r="AY35" s="475"/>
      <c r="AZ35" s="475"/>
      <c r="BA35" s="475"/>
      <c r="BB35" s="475"/>
      <c r="BC35" s="475"/>
      <c r="BD35" s="473">
        <f t="shared" si="1"/>
        <v>45272.736111111109</v>
      </c>
      <c r="BE35" s="473">
        <f t="shared" si="2"/>
        <v>45281.909722222219</v>
      </c>
      <c r="BF35" s="479">
        <f t="shared" si="3"/>
        <v>9.1736111111094942</v>
      </c>
      <c r="BG35" s="473">
        <v>45272.736111111109</v>
      </c>
      <c r="BH35" s="473">
        <v>45273.850694444445</v>
      </c>
      <c r="BI35" s="473">
        <v>45276.003472222219</v>
      </c>
      <c r="BJ35" s="473">
        <v>45276.152777777781</v>
      </c>
      <c r="BK35" s="473">
        <v>45276.347222222219</v>
      </c>
      <c r="BL35" s="473">
        <v>45276.371527777781</v>
      </c>
      <c r="BM35" s="473">
        <v>45276.371527777781</v>
      </c>
      <c r="BN35" s="473">
        <f t="shared" si="12"/>
        <v>45278.079861111117</v>
      </c>
      <c r="BO35" s="480">
        <v>45278.291666666664</v>
      </c>
      <c r="BP35" s="480">
        <v>45278.458333333328</v>
      </c>
      <c r="BQ35" s="480">
        <v>45278.427083333336</v>
      </c>
      <c r="BR35" s="473">
        <v>45279.59375</v>
      </c>
      <c r="BS35" s="473">
        <v>45281.388888888891</v>
      </c>
      <c r="BT35" s="473">
        <v>45281.631944444445</v>
      </c>
      <c r="BU35" s="473">
        <v>45281.652777777781</v>
      </c>
      <c r="BV35" s="473">
        <v>45281.652777777781</v>
      </c>
      <c r="BW35" s="473">
        <v>45281.909722222219</v>
      </c>
      <c r="BX35" s="475"/>
      <c r="BY35" s="475"/>
      <c r="BZ35" s="481">
        <f t="shared" si="4"/>
        <v>51.666666666569654</v>
      </c>
      <c r="CA35" s="481">
        <f t="shared" si="5"/>
        <v>4.6666666665114462</v>
      </c>
      <c r="CB35" s="481">
        <f t="shared" si="6"/>
        <v>41.000000000058208</v>
      </c>
      <c r="CC35" s="481">
        <f t="shared" si="13"/>
        <v>27.250000000116415</v>
      </c>
      <c r="CD35" s="482">
        <f t="shared" si="7"/>
        <v>5.8333333333139308</v>
      </c>
      <c r="CE35" s="482">
        <f t="shared" si="8"/>
        <v>6.1666666665114462</v>
      </c>
      <c r="CF35" s="483">
        <f t="shared" si="9"/>
        <v>5.6909722222117125</v>
      </c>
      <c r="CG35" s="483">
        <f t="shared" si="10"/>
        <v>9.1736111111094942</v>
      </c>
      <c r="CH35" s="484">
        <f t="shared" si="11"/>
        <v>0.62036336108904699</v>
      </c>
      <c r="CI35" s="475"/>
      <c r="CJ35" s="475"/>
    </row>
    <row r="36" spans="1:88" s="369" customFormat="1">
      <c r="A36" s="474">
        <f t="shared" ref="A36:A67" si="15">BJ36</f>
        <v>45276.604166666664</v>
      </c>
      <c r="B36" s="475" t="s">
        <v>228</v>
      </c>
      <c r="C36" s="475" t="s">
        <v>229</v>
      </c>
      <c r="D36" s="475" t="s">
        <v>215</v>
      </c>
      <c r="E36" s="476" t="s">
        <v>3194</v>
      </c>
      <c r="F36" s="399" t="s">
        <v>3378</v>
      </c>
      <c r="G36" s="472">
        <v>45278.166666666664</v>
      </c>
      <c r="H36" s="472">
        <v>45278.170138888891</v>
      </c>
      <c r="I36" s="475" t="s">
        <v>231</v>
      </c>
      <c r="J36" s="475" t="s">
        <v>192</v>
      </c>
      <c r="K36" s="475" t="s">
        <v>192</v>
      </c>
      <c r="L36" s="399" t="s">
        <v>3782</v>
      </c>
      <c r="M36" s="530"/>
      <c r="N36" s="475" t="s">
        <v>358</v>
      </c>
      <c r="O36" s="475" t="s">
        <v>359</v>
      </c>
      <c r="P36" s="399" t="s">
        <v>3753</v>
      </c>
      <c r="Q36" s="477">
        <f>3852*2.4</f>
        <v>9244.7999999999993</v>
      </c>
      <c r="R36" s="477">
        <v>9250</v>
      </c>
      <c r="S36" s="477">
        <v>9257.57</v>
      </c>
      <c r="T36" s="667"/>
      <c r="U36" s="581"/>
      <c r="V36" s="475"/>
      <c r="W36" s="581"/>
      <c r="X36" s="726">
        <f>S36*0.8</f>
        <v>7406.0560000000005</v>
      </c>
      <c r="Y36" s="726">
        <f>S36*0.2</f>
        <v>1851.5140000000001</v>
      </c>
      <c r="Z36" s="581"/>
      <c r="AA36" s="581"/>
      <c r="AB36" s="581"/>
      <c r="AC36" s="581"/>
      <c r="AD36" s="581"/>
      <c r="AE36" s="581"/>
      <c r="AF36" s="575"/>
      <c r="AG36" s="575"/>
      <c r="AH36" s="575"/>
      <c r="AI36" s="575"/>
      <c r="AJ36" s="475"/>
      <c r="AK36" s="475"/>
      <c r="AL36" s="475"/>
      <c r="AM36" s="475"/>
      <c r="AN36" s="475"/>
      <c r="AO36" s="475"/>
      <c r="AP36" s="475"/>
      <c r="AQ36" s="475"/>
      <c r="AR36" s="475"/>
      <c r="AS36" s="475"/>
      <c r="AT36" s="475"/>
      <c r="AU36" s="475"/>
      <c r="AV36" s="475"/>
      <c r="AW36" s="475"/>
      <c r="AX36" s="475"/>
      <c r="AY36" s="475"/>
      <c r="AZ36" s="475"/>
      <c r="BA36" s="475"/>
      <c r="BB36" s="475"/>
      <c r="BC36" s="475"/>
      <c r="BD36" s="473">
        <f t="shared" ref="BD36:BD67" si="16">BG36</f>
        <v>45273.333333333336</v>
      </c>
      <c r="BE36" s="473">
        <f t="shared" ref="BE36:BE67" si="17">BW36</f>
        <v>45282.333333333336</v>
      </c>
      <c r="BF36" s="479">
        <f t="shared" ref="BF36:BF67" si="18">BE36-BD36</f>
        <v>9</v>
      </c>
      <c r="BG36" s="473">
        <v>45273.333333333336</v>
      </c>
      <c r="BH36" s="473">
        <v>45274.555555555555</v>
      </c>
      <c r="BI36" s="473">
        <v>45276.513888888891</v>
      </c>
      <c r="BJ36" s="473">
        <v>45276.604166666664</v>
      </c>
      <c r="BK36" s="473">
        <v>45276.878472222219</v>
      </c>
      <c r="BL36" s="473">
        <v>45276.881944444445</v>
      </c>
      <c r="BM36" s="473">
        <v>45277.25</v>
      </c>
      <c r="BN36" s="473">
        <f t="shared" si="12"/>
        <v>45278.958333333336</v>
      </c>
      <c r="BO36" s="480">
        <v>45279.333333333336</v>
      </c>
      <c r="BP36" s="480">
        <v>45279.5</v>
      </c>
      <c r="BQ36" s="480">
        <v>45279.350694444445</v>
      </c>
      <c r="BR36" s="473">
        <v>45280.5</v>
      </c>
      <c r="BS36" s="473">
        <v>45281.71875</v>
      </c>
      <c r="BT36" s="473">
        <v>45281.9375</v>
      </c>
      <c r="BU36" s="473">
        <v>45281.958333333336</v>
      </c>
      <c r="BV36" s="473">
        <v>45281.958333333336</v>
      </c>
      <c r="BW36" s="473">
        <v>45282.333333333336</v>
      </c>
      <c r="BX36" s="475"/>
      <c r="BY36" s="475"/>
      <c r="BZ36" s="481">
        <f t="shared" ref="BZ36:BZ67" si="19">(BI36-BH36)*24</f>
        <v>47.000000000058208</v>
      </c>
      <c r="CA36" s="481">
        <f t="shared" ref="CA36:CA67" si="20">(BK36-BJ36)*24</f>
        <v>6.5833333333139308</v>
      </c>
      <c r="CB36" s="481">
        <f t="shared" ref="CB36:CB67" si="21">(BN36-BM36)*24</f>
        <v>41.000000000058208</v>
      </c>
      <c r="CC36" s="481">
        <f t="shared" si="13"/>
        <v>24</v>
      </c>
      <c r="CD36" s="482">
        <f t="shared" ref="CD36:CD67" si="22">(BT36-BS36)*24</f>
        <v>5.25</v>
      </c>
      <c r="CE36" s="482">
        <f t="shared" ref="CE36:CE67" si="23">(BW36-BV36)*24</f>
        <v>9</v>
      </c>
      <c r="CF36" s="483">
        <f t="shared" ref="CF36:CF67" si="24">SUM(BZ36:CE36)/24</f>
        <v>5.5347222222262644</v>
      </c>
      <c r="CG36" s="483">
        <f t="shared" ref="CG36:CG67" si="25">BF36</f>
        <v>9</v>
      </c>
      <c r="CH36" s="484">
        <f t="shared" ref="CH36:CH67" si="26">CF36/CG36</f>
        <v>0.61496913580291823</v>
      </c>
      <c r="CI36" s="475"/>
      <c r="CJ36" s="475"/>
    </row>
    <row r="37" spans="1:88" s="369" customFormat="1">
      <c r="A37" s="474">
        <f t="shared" si="15"/>
        <v>45277.3125</v>
      </c>
      <c r="B37" s="475" t="s">
        <v>228</v>
      </c>
      <c r="C37" s="475" t="s">
        <v>229</v>
      </c>
      <c r="D37" s="475" t="s">
        <v>215</v>
      </c>
      <c r="E37" s="476" t="s">
        <v>3194</v>
      </c>
      <c r="F37" s="399" t="s">
        <v>3378</v>
      </c>
      <c r="G37" s="472">
        <v>45278.166666666664</v>
      </c>
      <c r="H37" s="472">
        <v>45278.170138888891</v>
      </c>
      <c r="I37" s="475" t="s">
        <v>231</v>
      </c>
      <c r="J37" s="475" t="s">
        <v>192</v>
      </c>
      <c r="K37" s="475" t="s">
        <v>192</v>
      </c>
      <c r="L37" s="399" t="s">
        <v>3783</v>
      </c>
      <c r="M37" s="530"/>
      <c r="N37" s="475" t="s">
        <v>403</v>
      </c>
      <c r="O37" s="475" t="s">
        <v>404</v>
      </c>
      <c r="P37" s="399" t="s">
        <v>235</v>
      </c>
      <c r="Q37" s="477">
        <f>3107*2.4</f>
        <v>7456.7999999999993</v>
      </c>
      <c r="R37" s="477">
        <f>7500+100</f>
        <v>7600</v>
      </c>
      <c r="S37" s="477">
        <v>7341.7950000000001</v>
      </c>
      <c r="T37" s="477"/>
      <c r="U37" s="581"/>
      <c r="V37" s="475"/>
      <c r="W37" s="581"/>
      <c r="X37" s="580">
        <f>S37</f>
        <v>7341.7950000000001</v>
      </c>
      <c r="Y37" s="581"/>
      <c r="Z37" s="581"/>
      <c r="AA37" s="581"/>
      <c r="AB37" s="401"/>
      <c r="AC37" s="581"/>
      <c r="AD37" s="581"/>
      <c r="AE37" s="475"/>
      <c r="AF37" s="475"/>
      <c r="AG37" s="475"/>
      <c r="AH37" s="475"/>
      <c r="AI37" s="475"/>
      <c r="AJ37" s="475"/>
      <c r="AK37" s="475"/>
      <c r="AL37" s="475"/>
      <c r="AM37" s="475"/>
      <c r="AN37" s="475"/>
      <c r="AO37" s="475"/>
      <c r="AP37" s="475"/>
      <c r="AQ37" s="475"/>
      <c r="AR37" s="475"/>
      <c r="AS37" s="475"/>
      <c r="AT37" s="475"/>
      <c r="AU37" s="475"/>
      <c r="AV37" s="475"/>
      <c r="AW37" s="475"/>
      <c r="AX37" s="475"/>
      <c r="AY37" s="475"/>
      <c r="AZ37" s="475"/>
      <c r="BA37" s="475"/>
      <c r="BB37" s="475"/>
      <c r="BC37" s="475"/>
      <c r="BD37" s="473">
        <f t="shared" si="16"/>
        <v>45273.677083333336</v>
      </c>
      <c r="BE37" s="473">
        <f t="shared" si="17"/>
        <v>45283.309027777781</v>
      </c>
      <c r="BF37" s="479">
        <f t="shared" si="18"/>
        <v>9.6319444444452529</v>
      </c>
      <c r="BG37" s="473">
        <v>45273.677083333336</v>
      </c>
      <c r="BH37" s="473">
        <v>45274.538194444445</v>
      </c>
      <c r="BI37" s="473">
        <v>45276.770833333336</v>
      </c>
      <c r="BJ37" s="473">
        <v>45277.3125</v>
      </c>
      <c r="BK37" s="473">
        <v>45277.439583333333</v>
      </c>
      <c r="BL37" s="473">
        <v>45277.444444444445</v>
      </c>
      <c r="BM37" s="473">
        <v>45277.447916666664</v>
      </c>
      <c r="BN37" s="473">
        <f t="shared" si="12"/>
        <v>45279.15625</v>
      </c>
      <c r="BO37" s="480">
        <v>45279.333333333336</v>
      </c>
      <c r="BP37" s="480">
        <v>45279.5</v>
      </c>
      <c r="BQ37" s="480">
        <v>45279.347222222219</v>
      </c>
      <c r="BR37" s="473">
        <v>45280.472222222219</v>
      </c>
      <c r="BS37" s="473">
        <v>45282.444444444445</v>
      </c>
      <c r="BT37" s="473">
        <v>45282.708333333336</v>
      </c>
      <c r="BU37" s="473">
        <v>45282.729166666664</v>
      </c>
      <c r="BV37" s="473">
        <v>45283.020833333336</v>
      </c>
      <c r="BW37" s="473">
        <v>45283.309027777781</v>
      </c>
      <c r="BX37" s="475"/>
      <c r="BY37" s="475"/>
      <c r="BZ37" s="481">
        <f t="shared" si="19"/>
        <v>53.583333333372138</v>
      </c>
      <c r="CA37" s="481">
        <f t="shared" si="20"/>
        <v>3.0499999999883585</v>
      </c>
      <c r="CB37" s="481">
        <f t="shared" si="21"/>
        <v>41.000000000058208</v>
      </c>
      <c r="CC37" s="481">
        <f t="shared" si="13"/>
        <v>23.333333333255723</v>
      </c>
      <c r="CD37" s="482">
        <f t="shared" si="22"/>
        <v>6.3333333333721384</v>
      </c>
      <c r="CE37" s="482">
        <f t="shared" si="23"/>
        <v>6.9166666666860692</v>
      </c>
      <c r="CF37" s="483">
        <f t="shared" si="24"/>
        <v>5.5923611111138598</v>
      </c>
      <c r="CG37" s="483">
        <f t="shared" si="25"/>
        <v>9.6319444444452529</v>
      </c>
      <c r="CH37" s="484">
        <f t="shared" si="26"/>
        <v>0.58060562364839818</v>
      </c>
      <c r="CI37" s="475"/>
      <c r="CJ37" s="475"/>
    </row>
    <row r="38" spans="1:88" s="369" customFormat="1">
      <c r="A38" s="474">
        <f t="shared" si="15"/>
        <v>45277.072916666664</v>
      </c>
      <c r="B38" s="475" t="s">
        <v>228</v>
      </c>
      <c r="C38" s="475" t="s">
        <v>229</v>
      </c>
      <c r="D38" s="475" t="s">
        <v>197</v>
      </c>
      <c r="E38" s="476" t="s">
        <v>3194</v>
      </c>
      <c r="F38" s="399" t="s">
        <v>3378</v>
      </c>
      <c r="G38" s="472">
        <v>45278.166666666664</v>
      </c>
      <c r="H38" s="472">
        <v>45278.170138888891</v>
      </c>
      <c r="I38" s="475" t="s">
        <v>231</v>
      </c>
      <c r="J38" s="475" t="s">
        <v>192</v>
      </c>
      <c r="K38" s="475" t="s">
        <v>192</v>
      </c>
      <c r="L38" s="399" t="s">
        <v>3784</v>
      </c>
      <c r="M38" s="530"/>
      <c r="N38" s="475" t="s">
        <v>295</v>
      </c>
      <c r="O38" s="475" t="s">
        <v>296</v>
      </c>
      <c r="P38" s="399" t="s">
        <v>235</v>
      </c>
      <c r="Q38" s="477">
        <f>4118*2.4</f>
        <v>9883.1999999999989</v>
      </c>
      <c r="R38" s="477">
        <f>9900+100</f>
        <v>10000</v>
      </c>
      <c r="S38" s="477">
        <v>9532.6720000000005</v>
      </c>
      <c r="T38" s="667"/>
      <c r="U38" s="581"/>
      <c r="V38" s="475"/>
      <c r="W38" s="581"/>
      <c r="X38" s="580">
        <f>S38</f>
        <v>9532.6720000000005</v>
      </c>
      <c r="Y38" s="581"/>
      <c r="Z38" s="581"/>
      <c r="AA38" s="581"/>
      <c r="AB38" s="401"/>
      <c r="AC38" s="581"/>
      <c r="AD38" s="581"/>
      <c r="AE38" s="475"/>
      <c r="AF38" s="475"/>
      <c r="AG38" s="475"/>
      <c r="AH38" s="475"/>
      <c r="AI38" s="475"/>
      <c r="AJ38" s="475"/>
      <c r="AK38" s="475"/>
      <c r="AL38" s="475"/>
      <c r="AM38" s="475"/>
      <c r="AN38" s="475"/>
      <c r="AO38" s="581"/>
      <c r="AP38" s="581"/>
      <c r="AQ38" s="581"/>
      <c r="AR38" s="581"/>
      <c r="AS38" s="581"/>
      <c r="AT38" s="581"/>
      <c r="AU38" s="581"/>
      <c r="AV38" s="581"/>
      <c r="AW38" s="581"/>
      <c r="AX38" s="581"/>
      <c r="AY38" s="581"/>
      <c r="AZ38" s="581"/>
      <c r="BA38" s="581"/>
      <c r="BB38" s="581"/>
      <c r="BC38" s="581"/>
      <c r="BD38" s="473">
        <f t="shared" si="16"/>
        <v>45273.753472222219</v>
      </c>
      <c r="BE38" s="473">
        <f t="shared" si="17"/>
        <v>45284.024305555555</v>
      </c>
      <c r="BF38" s="479">
        <f t="shared" si="18"/>
        <v>10.270833333335759</v>
      </c>
      <c r="BG38" s="473">
        <v>45273.753472222219</v>
      </c>
      <c r="BH38" s="473">
        <v>45274.559027777781</v>
      </c>
      <c r="BI38" s="473">
        <v>45276.75</v>
      </c>
      <c r="BJ38" s="473">
        <v>45277.072916666664</v>
      </c>
      <c r="BK38" s="473">
        <v>45277.243055555555</v>
      </c>
      <c r="BL38" s="473">
        <v>45277.246527777781</v>
      </c>
      <c r="BM38" s="473">
        <v>45277.253472222219</v>
      </c>
      <c r="BN38" s="473">
        <f t="shared" si="12"/>
        <v>45278.961805555555</v>
      </c>
      <c r="BO38" s="480">
        <v>45279.333333333336</v>
      </c>
      <c r="BP38" s="480">
        <v>45279.5</v>
      </c>
      <c r="BQ38" s="480">
        <v>45279.465277777781</v>
      </c>
      <c r="BR38" s="473">
        <v>45280.965277777781</v>
      </c>
      <c r="BS38" s="473">
        <v>45283.166666666664</v>
      </c>
      <c r="BT38" s="473">
        <v>45283.631944444445</v>
      </c>
      <c r="BU38" s="473">
        <v>45283.652777777781</v>
      </c>
      <c r="BV38" s="473">
        <v>45283.652777777781</v>
      </c>
      <c r="BW38" s="473">
        <v>45284.024305555555</v>
      </c>
      <c r="BX38" s="475"/>
      <c r="BY38" s="475"/>
      <c r="BZ38" s="481">
        <f t="shared" si="19"/>
        <v>52.583333333255723</v>
      </c>
      <c r="CA38" s="481">
        <f t="shared" si="20"/>
        <v>4.0833333333721384</v>
      </c>
      <c r="CB38" s="481">
        <f t="shared" si="21"/>
        <v>41.000000000058208</v>
      </c>
      <c r="CC38" s="481">
        <f t="shared" si="13"/>
        <v>35.166666666744277</v>
      </c>
      <c r="CD38" s="482">
        <f t="shared" si="22"/>
        <v>11.166666666744277</v>
      </c>
      <c r="CE38" s="482">
        <f t="shared" si="23"/>
        <v>8.9166666665696539</v>
      </c>
      <c r="CF38" s="483">
        <f t="shared" si="24"/>
        <v>6.3715277777810115</v>
      </c>
      <c r="CG38" s="483">
        <f t="shared" si="25"/>
        <v>10.270833333335759</v>
      </c>
      <c r="CH38" s="484">
        <f t="shared" si="26"/>
        <v>0.62035158891159503</v>
      </c>
      <c r="CI38" s="475"/>
      <c r="CJ38" s="475"/>
    </row>
    <row r="39" spans="1:88" s="369" customFormat="1">
      <c r="A39" s="474">
        <f t="shared" si="15"/>
        <v>45276.913194444445</v>
      </c>
      <c r="B39" s="475" t="s">
        <v>228</v>
      </c>
      <c r="C39" s="475" t="s">
        <v>229</v>
      </c>
      <c r="D39" s="475" t="s">
        <v>197</v>
      </c>
      <c r="E39" s="476" t="s">
        <v>3194</v>
      </c>
      <c r="F39" s="399" t="s">
        <v>3378</v>
      </c>
      <c r="G39" s="472">
        <v>45278.166666666664</v>
      </c>
      <c r="H39" s="472">
        <v>45278.170138888891</v>
      </c>
      <c r="I39" s="475" t="s">
        <v>231</v>
      </c>
      <c r="J39" s="475" t="s">
        <v>192</v>
      </c>
      <c r="K39" s="475" t="s">
        <v>192</v>
      </c>
      <c r="L39" s="399" t="s">
        <v>3785</v>
      </c>
      <c r="M39" s="530"/>
      <c r="N39" s="475" t="s">
        <v>1848</v>
      </c>
      <c r="O39" s="475" t="s">
        <v>3786</v>
      </c>
      <c r="P39" s="399" t="s">
        <v>235</v>
      </c>
      <c r="Q39" s="477">
        <f>3084*2.4</f>
        <v>7401.5999999999995</v>
      </c>
      <c r="R39" s="477">
        <f>7450+100</f>
        <v>7550</v>
      </c>
      <c r="S39" s="477">
        <v>7404.79</v>
      </c>
      <c r="T39" s="477"/>
      <c r="U39" s="581"/>
      <c r="V39" s="475"/>
      <c r="W39" s="581"/>
      <c r="X39" s="580">
        <f>S39</f>
        <v>7404.79</v>
      </c>
      <c r="Y39" s="581"/>
      <c r="Z39" s="581"/>
      <c r="AA39" s="581"/>
      <c r="AB39" s="401"/>
      <c r="AC39" s="581"/>
      <c r="AD39" s="581"/>
      <c r="AE39" s="581"/>
      <c r="AF39" s="581"/>
      <c r="AG39" s="581"/>
      <c r="AH39" s="581"/>
      <c r="AI39" s="581"/>
      <c r="AJ39" s="581"/>
      <c r="AK39" s="581"/>
      <c r="AL39" s="475"/>
      <c r="AM39" s="475"/>
      <c r="AN39" s="475"/>
      <c r="AO39" s="475"/>
      <c r="AP39" s="475"/>
      <c r="AQ39" s="475"/>
      <c r="AR39" s="475"/>
      <c r="AS39" s="475"/>
      <c r="AT39" s="475"/>
      <c r="AU39" s="475"/>
      <c r="AV39" s="475"/>
      <c r="AW39" s="475"/>
      <c r="AX39" s="475"/>
      <c r="AY39" s="475"/>
      <c r="AZ39" s="475"/>
      <c r="BA39" s="475"/>
      <c r="BB39" s="475"/>
      <c r="BC39" s="475"/>
      <c r="BD39" s="473">
        <f t="shared" si="16"/>
        <v>45272.625</v>
      </c>
      <c r="BE39" s="473">
        <f t="shared" si="17"/>
        <v>45282.729166666664</v>
      </c>
      <c r="BF39" s="479">
        <f t="shared" si="18"/>
        <v>10.104166666664241</v>
      </c>
      <c r="BG39" s="473">
        <v>45272.625</v>
      </c>
      <c r="BH39" s="473">
        <v>45274.5625</v>
      </c>
      <c r="BI39" s="473">
        <v>45276.659722222219</v>
      </c>
      <c r="BJ39" s="473">
        <v>45276.913194444445</v>
      </c>
      <c r="BK39" s="473">
        <v>45277.041666666664</v>
      </c>
      <c r="BL39" s="473">
        <v>45277.052083333336</v>
      </c>
      <c r="BM39" s="473">
        <v>45277.256944444445</v>
      </c>
      <c r="BN39" s="473">
        <f t="shared" ref="BN39:BN70" si="27">BM39+(41/24)</f>
        <v>45278.965277777781</v>
      </c>
      <c r="BO39" s="480">
        <v>45279.333333333336</v>
      </c>
      <c r="BP39" s="480">
        <v>45279.5</v>
      </c>
      <c r="BQ39" s="480">
        <v>45279.402777777781</v>
      </c>
      <c r="BR39" s="473">
        <v>45280.583333333336</v>
      </c>
      <c r="BS39" s="473">
        <v>45282</v>
      </c>
      <c r="BT39" s="473">
        <v>45282.222222222219</v>
      </c>
      <c r="BU39" s="473">
        <v>45282.243055555555</v>
      </c>
      <c r="BV39" s="473">
        <v>45282.4375</v>
      </c>
      <c r="BW39" s="473">
        <v>45282.729166666664</v>
      </c>
      <c r="BX39" s="475"/>
      <c r="BY39" s="475"/>
      <c r="BZ39" s="481">
        <f t="shared" si="19"/>
        <v>50.333333333255723</v>
      </c>
      <c r="CA39" s="481">
        <f t="shared" si="20"/>
        <v>3.0833333332557231</v>
      </c>
      <c r="CB39" s="481">
        <f t="shared" si="21"/>
        <v>41.000000000058208</v>
      </c>
      <c r="CC39" s="481">
        <f t="shared" ref="CC39:CC75" si="28">(BR39-BP39)*24</f>
        <v>26.000000000058208</v>
      </c>
      <c r="CD39" s="482">
        <f t="shared" si="22"/>
        <v>5.3333333332557231</v>
      </c>
      <c r="CE39" s="482">
        <f t="shared" si="23"/>
        <v>6.9999999999417923</v>
      </c>
      <c r="CF39" s="483">
        <f t="shared" si="24"/>
        <v>5.531249999992724</v>
      </c>
      <c r="CG39" s="483">
        <f t="shared" si="25"/>
        <v>10.104166666664241</v>
      </c>
      <c r="CH39" s="484">
        <f t="shared" si="26"/>
        <v>0.54742268041178244</v>
      </c>
      <c r="CI39" s="475"/>
      <c r="CJ39" s="475"/>
    </row>
    <row r="40" spans="1:88" s="369" customFormat="1">
      <c r="A40" s="474">
        <f t="shared" si="15"/>
        <v>45277.465277777781</v>
      </c>
      <c r="B40" s="475" t="s">
        <v>228</v>
      </c>
      <c r="C40" s="475" t="s">
        <v>229</v>
      </c>
      <c r="D40" s="475" t="s">
        <v>197</v>
      </c>
      <c r="E40" s="476" t="s">
        <v>3194</v>
      </c>
      <c r="F40" s="399" t="s">
        <v>3378</v>
      </c>
      <c r="G40" s="472">
        <v>45278.166666666664</v>
      </c>
      <c r="H40" s="472">
        <v>45278.170138888891</v>
      </c>
      <c r="I40" s="475" t="s">
        <v>231</v>
      </c>
      <c r="J40" s="475" t="s">
        <v>192</v>
      </c>
      <c r="K40" s="475" t="s">
        <v>192</v>
      </c>
      <c r="L40" s="399" t="s">
        <v>3787</v>
      </c>
      <c r="M40" s="530"/>
      <c r="N40" s="475" t="s">
        <v>334</v>
      </c>
      <c r="O40" s="475" t="s">
        <v>335</v>
      </c>
      <c r="P40" s="399" t="s">
        <v>235</v>
      </c>
      <c r="Q40" s="477">
        <f>3242 *2.4</f>
        <v>7780.7999999999993</v>
      </c>
      <c r="R40" s="477">
        <f>7800+100</f>
        <v>7900</v>
      </c>
      <c r="S40" s="477">
        <v>7821.8789999999999</v>
      </c>
      <c r="T40" s="399"/>
      <c r="U40" s="581"/>
      <c r="V40" s="475"/>
      <c r="W40" s="581"/>
      <c r="X40" s="580">
        <f>S40</f>
        <v>7821.8789999999999</v>
      </c>
      <c r="Y40" s="581"/>
      <c r="Z40" s="581"/>
      <c r="AA40" s="581"/>
      <c r="AB40" s="401"/>
      <c r="AC40" s="401"/>
      <c r="AD40" s="401"/>
      <c r="AE40" s="401"/>
      <c r="AF40" s="401"/>
      <c r="AG40" s="401"/>
      <c r="AH40" s="401"/>
      <c r="AI40" s="399"/>
      <c r="AJ40" s="399"/>
      <c r="AK40" s="399"/>
      <c r="AL40" s="399"/>
      <c r="AM40" s="399"/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473">
        <f t="shared" si="16"/>
        <v>45271.625</v>
      </c>
      <c r="BE40" s="473">
        <f t="shared" si="17"/>
        <v>45283.541666666664</v>
      </c>
      <c r="BF40" s="479">
        <f t="shared" si="18"/>
        <v>11.916666666664241</v>
      </c>
      <c r="BG40" s="473">
        <v>45271.625</v>
      </c>
      <c r="BH40" s="473">
        <v>45274.548611111109</v>
      </c>
      <c r="BI40" s="473">
        <v>45277.020833333336</v>
      </c>
      <c r="BJ40" s="473">
        <v>45277.465277777781</v>
      </c>
      <c r="BK40" s="473">
        <v>45277.607638888891</v>
      </c>
      <c r="BL40" s="473">
        <v>45277.618055555555</v>
      </c>
      <c r="BM40" s="473">
        <v>45277.708333333336</v>
      </c>
      <c r="BN40" s="473">
        <f t="shared" si="27"/>
        <v>45279.416666666672</v>
      </c>
      <c r="BO40" s="480">
        <v>45279.333333333336</v>
      </c>
      <c r="BP40" s="480">
        <v>45279.5</v>
      </c>
      <c r="BQ40" s="480">
        <v>45279.4375</v>
      </c>
      <c r="BR40" s="473">
        <v>45280.645833333336</v>
      </c>
      <c r="BS40" s="473">
        <v>45282.770833333336</v>
      </c>
      <c r="BT40" s="473">
        <v>45283.104166666672</v>
      </c>
      <c r="BU40" s="473">
        <v>45283.125</v>
      </c>
      <c r="BV40" s="473">
        <v>45283.125</v>
      </c>
      <c r="BW40" s="473">
        <v>45283.541666666664</v>
      </c>
      <c r="BX40" s="475" t="s">
        <v>3788</v>
      </c>
      <c r="BY40" s="475"/>
      <c r="BZ40" s="481">
        <f t="shared" si="19"/>
        <v>59.333333333430346</v>
      </c>
      <c r="CA40" s="481">
        <f t="shared" si="20"/>
        <v>3.4166666666278616</v>
      </c>
      <c r="CB40" s="481">
        <f t="shared" si="21"/>
        <v>41.000000000058208</v>
      </c>
      <c r="CC40" s="481">
        <f t="shared" si="28"/>
        <v>27.500000000058208</v>
      </c>
      <c r="CD40" s="482">
        <f t="shared" si="22"/>
        <v>8.0000000000582077</v>
      </c>
      <c r="CE40" s="482">
        <f t="shared" si="23"/>
        <v>9.9999999999417923</v>
      </c>
      <c r="CF40" s="483">
        <f t="shared" si="24"/>
        <v>6.218750000007276</v>
      </c>
      <c r="CG40" s="483">
        <f t="shared" si="25"/>
        <v>11.916666666664241</v>
      </c>
      <c r="CH40" s="484">
        <f t="shared" si="26"/>
        <v>0.52185314685386364</v>
      </c>
      <c r="CI40" s="475"/>
      <c r="CJ40" s="475"/>
    </row>
    <row r="41" spans="1:88" s="475" customFormat="1">
      <c r="A41" s="474">
        <f t="shared" si="15"/>
        <v>45277.634027777778</v>
      </c>
      <c r="B41" s="475" t="s">
        <v>228</v>
      </c>
      <c r="C41" s="475" t="s">
        <v>229</v>
      </c>
      <c r="D41" s="475" t="s">
        <v>197</v>
      </c>
      <c r="E41" s="476" t="s">
        <v>3194</v>
      </c>
      <c r="F41" s="399" t="s">
        <v>3378</v>
      </c>
      <c r="G41" s="472">
        <v>45278.166666666664</v>
      </c>
      <c r="H41" s="472">
        <v>45278.170138888891</v>
      </c>
      <c r="I41" s="475" t="s">
        <v>231</v>
      </c>
      <c r="J41" s="475" t="s">
        <v>192</v>
      </c>
      <c r="K41" s="475" t="s">
        <v>192</v>
      </c>
      <c r="L41" s="399" t="s">
        <v>3789</v>
      </c>
      <c r="M41" s="530"/>
      <c r="N41" s="475" t="s">
        <v>238</v>
      </c>
      <c r="O41" s="475" t="s">
        <v>239</v>
      </c>
      <c r="P41" s="399" t="s">
        <v>235</v>
      </c>
      <c r="Q41" s="477">
        <f>3161*2.4</f>
        <v>7586.4</v>
      </c>
      <c r="R41" s="477">
        <f>7550+100</f>
        <v>7650</v>
      </c>
      <c r="S41" s="477">
        <v>7612.567</v>
      </c>
      <c r="T41" s="667"/>
      <c r="U41" s="581"/>
      <c r="W41" s="581"/>
      <c r="X41" s="580">
        <f>S41</f>
        <v>7612.567</v>
      </c>
      <c r="Y41" s="581"/>
      <c r="Z41" s="581"/>
      <c r="AA41" s="581"/>
      <c r="AB41" s="581"/>
      <c r="AC41" s="581"/>
      <c r="AD41" s="581"/>
      <c r="AE41" s="581"/>
      <c r="AF41" s="581"/>
      <c r="AG41" s="401"/>
      <c r="AH41" s="401"/>
      <c r="AI41" s="401"/>
      <c r="AJ41" s="401"/>
      <c r="AK41" s="401"/>
      <c r="AL41" s="401"/>
      <c r="AM41" s="401"/>
      <c r="AN41" s="401"/>
      <c r="AP41" s="401"/>
      <c r="AQ41" s="401"/>
      <c r="AR41" s="401"/>
      <c r="AS41" s="401"/>
      <c r="AT41" s="401"/>
      <c r="AU41" s="401"/>
      <c r="BD41" s="473">
        <f t="shared" si="16"/>
        <v>45273.208333333336</v>
      </c>
      <c r="BE41" s="473">
        <f t="shared" si="17"/>
        <v>45284.854166666664</v>
      </c>
      <c r="BF41" s="479">
        <f t="shared" si="18"/>
        <v>11.645833333328483</v>
      </c>
      <c r="BG41" s="473">
        <v>45273.208333333336</v>
      </c>
      <c r="BH41" s="473">
        <v>45274.774305555555</v>
      </c>
      <c r="BI41" s="473">
        <v>45277.013888888891</v>
      </c>
      <c r="BJ41" s="473">
        <v>45277.634027777778</v>
      </c>
      <c r="BK41" s="473">
        <v>45277.822916666664</v>
      </c>
      <c r="BL41" s="473">
        <v>45277.826388888891</v>
      </c>
      <c r="BM41" s="473">
        <v>45277.833333333336</v>
      </c>
      <c r="BN41" s="473">
        <f t="shared" si="27"/>
        <v>45279.541666666672</v>
      </c>
      <c r="BO41" s="480">
        <v>45280.458333333336</v>
      </c>
      <c r="BP41" s="480">
        <v>45280.625</v>
      </c>
      <c r="BQ41" s="480">
        <v>45280.614583333336</v>
      </c>
      <c r="BR41" s="473">
        <v>45281.986111111109</v>
      </c>
      <c r="BS41" s="473">
        <v>45283.694444444445</v>
      </c>
      <c r="BT41" s="473">
        <v>45283.940972222219</v>
      </c>
      <c r="BU41" s="473">
        <v>45283.961805555555</v>
      </c>
      <c r="BV41" s="473">
        <v>45284.09375</v>
      </c>
      <c r="BW41" s="473">
        <v>45284.854166666664</v>
      </c>
      <c r="BZ41" s="481">
        <f t="shared" si="19"/>
        <v>53.750000000058208</v>
      </c>
      <c r="CA41" s="481">
        <f t="shared" si="20"/>
        <v>4.5333333332673647</v>
      </c>
      <c r="CB41" s="481">
        <f t="shared" si="21"/>
        <v>41.000000000058208</v>
      </c>
      <c r="CC41" s="481">
        <f t="shared" si="28"/>
        <v>32.666666666627862</v>
      </c>
      <c r="CD41" s="482">
        <f t="shared" si="22"/>
        <v>5.9166666665696539</v>
      </c>
      <c r="CE41" s="482">
        <f t="shared" si="23"/>
        <v>18.249999999941792</v>
      </c>
      <c r="CF41" s="483">
        <f t="shared" si="24"/>
        <v>6.5048611111051287</v>
      </c>
      <c r="CG41" s="483">
        <f t="shared" si="25"/>
        <v>11.645833333328483</v>
      </c>
      <c r="CH41" s="484">
        <f t="shared" si="26"/>
        <v>0.5585569469287589</v>
      </c>
    </row>
    <row r="42" spans="1:88" s="475" customFormat="1">
      <c r="A42" s="474">
        <f t="shared" si="15"/>
        <v>45277.864583333336</v>
      </c>
      <c r="B42" s="475" t="s">
        <v>228</v>
      </c>
      <c r="C42" s="475" t="s">
        <v>229</v>
      </c>
      <c r="D42" s="475" t="s">
        <v>197</v>
      </c>
      <c r="E42" s="476" t="s">
        <v>3194</v>
      </c>
      <c r="F42" s="399" t="s">
        <v>3378</v>
      </c>
      <c r="G42" s="472">
        <v>45278.166666666664</v>
      </c>
      <c r="H42" s="472">
        <v>45278.170138888891</v>
      </c>
      <c r="I42" s="475" t="s">
        <v>231</v>
      </c>
      <c r="J42" s="475" t="s">
        <v>192</v>
      </c>
      <c r="K42" s="475" t="s">
        <v>192</v>
      </c>
      <c r="L42" s="399" t="s">
        <v>3790</v>
      </c>
      <c r="M42" s="530"/>
      <c r="N42" s="475" t="s">
        <v>2295</v>
      </c>
      <c r="O42" s="475" t="s">
        <v>2296</v>
      </c>
      <c r="P42" s="399" t="s">
        <v>3753</v>
      </c>
      <c r="Q42" s="477">
        <f>4272*2.4</f>
        <v>10252.799999999999</v>
      </c>
      <c r="R42" s="477">
        <f>10300+100</f>
        <v>10400</v>
      </c>
      <c r="S42" s="477">
        <f>10274.529-6208.615</f>
        <v>4065.9140000000007</v>
      </c>
      <c r="T42" s="667"/>
      <c r="U42" s="581"/>
      <c r="W42" s="581"/>
      <c r="X42" s="726">
        <f>S42*0.8</f>
        <v>3252.7312000000006</v>
      </c>
      <c r="Y42" s="726">
        <f>S42*0.2</f>
        <v>813.18280000000016</v>
      </c>
      <c r="Z42" s="581"/>
      <c r="AA42" s="581"/>
      <c r="AB42" s="401"/>
      <c r="AD42" s="581"/>
      <c r="AE42" s="667"/>
      <c r="AF42" s="667"/>
      <c r="AG42" s="667"/>
      <c r="AH42" s="667"/>
      <c r="AI42" s="667"/>
      <c r="AJ42" s="667"/>
      <c r="AK42" s="667"/>
      <c r="AL42" s="667"/>
      <c r="AM42" s="667"/>
      <c r="AN42" s="667"/>
      <c r="AO42" s="667"/>
      <c r="AP42" s="667"/>
      <c r="AQ42" s="667"/>
      <c r="AR42" s="667"/>
      <c r="AS42" s="667"/>
      <c r="AT42" s="667"/>
      <c r="AU42" s="667"/>
      <c r="AV42" s="667"/>
      <c r="AW42" s="667"/>
      <c r="BD42" s="473">
        <f t="shared" si="16"/>
        <v>45273.083333333336</v>
      </c>
      <c r="BE42" s="473">
        <f t="shared" si="17"/>
        <v>45284.402777777781</v>
      </c>
      <c r="BF42" s="479">
        <f t="shared" si="18"/>
        <v>11.319444444445253</v>
      </c>
      <c r="BG42" s="473">
        <v>45273.083333333336</v>
      </c>
      <c r="BH42" s="473">
        <v>45274.625</v>
      </c>
      <c r="BI42" s="473">
        <v>45276.979166666664</v>
      </c>
      <c r="BJ42" s="473">
        <v>45277.864583333336</v>
      </c>
      <c r="BK42" s="473">
        <v>45278.052083333336</v>
      </c>
      <c r="BL42" s="473">
        <v>45278.0625</v>
      </c>
      <c r="BM42" s="473">
        <v>45278.069444444445</v>
      </c>
      <c r="BN42" s="473">
        <f t="shared" si="27"/>
        <v>45279.777777777781</v>
      </c>
      <c r="BO42" s="480">
        <v>45280.458333333336</v>
      </c>
      <c r="BP42" s="480">
        <v>45280.625</v>
      </c>
      <c r="BQ42" s="480">
        <v>45280.631944444445</v>
      </c>
      <c r="BR42" s="473">
        <v>45282.333333333336</v>
      </c>
      <c r="BS42" s="473">
        <v>45284.003472222219</v>
      </c>
      <c r="BT42" s="473">
        <v>45284.333333333336</v>
      </c>
      <c r="BU42" s="473">
        <v>45284.402777777781</v>
      </c>
      <c r="BV42" s="473">
        <v>45284.402777777781</v>
      </c>
      <c r="BW42" s="473">
        <v>45284.402777777781</v>
      </c>
      <c r="BZ42" s="481">
        <f t="shared" si="19"/>
        <v>56.499999999941792</v>
      </c>
      <c r="CA42" s="481">
        <f t="shared" si="20"/>
        <v>4.5</v>
      </c>
      <c r="CB42" s="481">
        <f t="shared" si="21"/>
        <v>41.000000000058208</v>
      </c>
      <c r="CC42" s="481">
        <f t="shared" si="28"/>
        <v>41.000000000058208</v>
      </c>
      <c r="CD42" s="482">
        <f t="shared" si="22"/>
        <v>7.9166666668024845</v>
      </c>
      <c r="CE42" s="482">
        <f t="shared" si="23"/>
        <v>0</v>
      </c>
      <c r="CF42" s="483">
        <f t="shared" si="24"/>
        <v>6.2881944444525288</v>
      </c>
      <c r="CG42" s="483">
        <f t="shared" si="25"/>
        <v>11.319444444445253</v>
      </c>
      <c r="CH42" s="484">
        <f t="shared" si="26"/>
        <v>0.55552147239331262</v>
      </c>
    </row>
    <row r="43" spans="1:88" s="475" customFormat="1">
      <c r="A43" s="474">
        <f t="shared" si="15"/>
        <v>45277.864583333336</v>
      </c>
      <c r="B43" s="475" t="s">
        <v>228</v>
      </c>
      <c r="C43" s="475" t="s">
        <v>229</v>
      </c>
      <c r="D43" s="475" t="s">
        <v>197</v>
      </c>
      <c r="E43" s="399" t="s">
        <v>3199</v>
      </c>
      <c r="F43" s="399" t="s">
        <v>3378</v>
      </c>
      <c r="G43" s="472">
        <v>45281.104166666664</v>
      </c>
      <c r="H43" s="472">
        <v>45281.104166666664</v>
      </c>
      <c r="I43" s="475" t="s">
        <v>231</v>
      </c>
      <c r="J43" s="475" t="s">
        <v>192</v>
      </c>
      <c r="K43" s="475" t="s">
        <v>192</v>
      </c>
      <c r="L43" s="399" t="s">
        <v>3790</v>
      </c>
      <c r="M43" s="530"/>
      <c r="N43" s="475" t="s">
        <v>2295</v>
      </c>
      <c r="O43" s="475" t="s">
        <v>2296</v>
      </c>
      <c r="P43" s="399" t="s">
        <v>3753</v>
      </c>
      <c r="Q43" s="477">
        <f>4272*2.4</f>
        <v>10252.799999999999</v>
      </c>
      <c r="R43" s="477">
        <f>10300+100</f>
        <v>10400</v>
      </c>
      <c r="S43" s="477">
        <f>5334.387</f>
        <v>5334.3869999999997</v>
      </c>
      <c r="T43" s="667"/>
      <c r="U43" s="581"/>
      <c r="W43" s="581"/>
      <c r="X43" s="726">
        <f>S43*0.8</f>
        <v>4267.5096000000003</v>
      </c>
      <c r="Y43" s="726">
        <f>S43*0.2</f>
        <v>1066.8774000000001</v>
      </c>
      <c r="Z43" s="581"/>
      <c r="AA43" s="581"/>
      <c r="AB43" s="401"/>
      <c r="AD43" s="581"/>
      <c r="AE43" s="667"/>
      <c r="AF43" s="667"/>
      <c r="AG43" s="667"/>
      <c r="AH43" s="667"/>
      <c r="AI43" s="667"/>
      <c r="AJ43" s="667"/>
      <c r="AK43" s="667"/>
      <c r="AL43" s="667"/>
      <c r="AM43" s="667"/>
      <c r="AN43" s="667"/>
      <c r="AO43" s="667"/>
      <c r="AP43" s="667"/>
      <c r="AQ43" s="667"/>
      <c r="AR43" s="667"/>
      <c r="AS43" s="667"/>
      <c r="AT43" s="667"/>
      <c r="AU43" s="667"/>
      <c r="AV43" s="667"/>
      <c r="AW43" s="667"/>
      <c r="BD43" s="473">
        <f t="shared" si="16"/>
        <v>45273.083333333336</v>
      </c>
      <c r="BE43" s="473">
        <f t="shared" si="17"/>
        <v>45286.5</v>
      </c>
      <c r="BF43" s="479">
        <f t="shared" si="18"/>
        <v>13.416666666664241</v>
      </c>
      <c r="BG43" s="473">
        <v>45273.083333333336</v>
      </c>
      <c r="BH43" s="473">
        <v>45274.625</v>
      </c>
      <c r="BI43" s="473">
        <v>45276.979166666664</v>
      </c>
      <c r="BJ43" s="473">
        <v>45277.864583333336</v>
      </c>
      <c r="BK43" s="473">
        <v>45278.052083333336</v>
      </c>
      <c r="BL43" s="473">
        <v>45278.0625</v>
      </c>
      <c r="BM43" s="473">
        <v>45278.069444444445</v>
      </c>
      <c r="BN43" s="473">
        <f t="shared" si="27"/>
        <v>45279.777777777781</v>
      </c>
      <c r="BO43" s="473">
        <v>45280.458333333336</v>
      </c>
      <c r="BP43" s="473">
        <v>45280.625</v>
      </c>
      <c r="BQ43" s="473">
        <v>45280.631944444445</v>
      </c>
      <c r="BR43" s="473">
        <v>45284.402777777781</v>
      </c>
      <c r="BS43" s="473">
        <v>45285.756944444445</v>
      </c>
      <c r="BT43" s="473">
        <v>45285.934027777781</v>
      </c>
      <c r="BU43" s="473">
        <v>45285.954861111109</v>
      </c>
      <c r="BV43" s="473">
        <v>45286.25</v>
      </c>
      <c r="BW43" s="473">
        <v>45286.5</v>
      </c>
      <c r="BZ43" s="481">
        <f t="shared" si="19"/>
        <v>56.499999999941792</v>
      </c>
      <c r="CA43" s="481">
        <f t="shared" si="20"/>
        <v>4.5</v>
      </c>
      <c r="CB43" s="481">
        <f t="shared" si="21"/>
        <v>41.000000000058208</v>
      </c>
      <c r="CC43" s="481">
        <f t="shared" si="28"/>
        <v>90.666666666744277</v>
      </c>
      <c r="CD43" s="482">
        <f t="shared" si="22"/>
        <v>4.2500000000582077</v>
      </c>
      <c r="CE43" s="482">
        <f t="shared" si="23"/>
        <v>6</v>
      </c>
      <c r="CF43" s="483">
        <f t="shared" si="24"/>
        <v>8.4548611111167702</v>
      </c>
      <c r="CG43" s="483">
        <f t="shared" si="25"/>
        <v>13.416666666664241</v>
      </c>
      <c r="CH43" s="484">
        <f t="shared" si="26"/>
        <v>0.63017598343738868</v>
      </c>
    </row>
    <row r="44" spans="1:88" s="475" customFormat="1">
      <c r="A44" s="474">
        <f t="shared" si="15"/>
        <v>45278.086805555555</v>
      </c>
      <c r="B44" s="475" t="s">
        <v>228</v>
      </c>
      <c r="C44" s="475" t="s">
        <v>229</v>
      </c>
      <c r="D44" s="475" t="s">
        <v>215</v>
      </c>
      <c r="E44" s="476" t="s">
        <v>3791</v>
      </c>
      <c r="F44" s="475" t="s">
        <v>3378</v>
      </c>
      <c r="G44" s="473">
        <v>45280.341666666667</v>
      </c>
      <c r="H44" s="473">
        <v>45280.341666666667</v>
      </c>
      <c r="I44" s="475" t="s">
        <v>243</v>
      </c>
      <c r="J44" s="475" t="s">
        <v>192</v>
      </c>
      <c r="K44" s="475" t="s">
        <v>192</v>
      </c>
      <c r="L44" s="399" t="s">
        <v>3792</v>
      </c>
      <c r="M44" s="530"/>
      <c r="N44" s="475" t="s">
        <v>252</v>
      </c>
      <c r="O44" s="475" t="s">
        <v>253</v>
      </c>
      <c r="P44" s="475" t="s">
        <v>235</v>
      </c>
      <c r="Q44" s="477">
        <f>3107*2.4</f>
        <v>7456.7999999999993</v>
      </c>
      <c r="R44" s="477">
        <f>7500+100</f>
        <v>7600</v>
      </c>
      <c r="S44" s="477">
        <v>7504.8909999999996</v>
      </c>
      <c r="T44" s="667"/>
      <c r="U44" s="581"/>
      <c r="W44" s="581"/>
      <c r="X44" s="580">
        <f t="shared" ref="X44:X53" si="29">S44</f>
        <v>7504.8909999999996</v>
      </c>
      <c r="Y44" s="581"/>
      <c r="Z44" s="581"/>
      <c r="AA44" s="581"/>
      <c r="AB44" s="401"/>
      <c r="AD44" s="401"/>
      <c r="AE44" s="401"/>
      <c r="AF44" s="401"/>
      <c r="AG44" s="401"/>
      <c r="AH44" s="401"/>
      <c r="AI44" s="401"/>
      <c r="AJ44" s="401"/>
      <c r="AK44" s="401"/>
      <c r="AL44" s="401"/>
      <c r="AM44" s="401"/>
      <c r="AN44" s="401"/>
      <c r="AO44" s="401"/>
      <c r="AP44" s="401"/>
      <c r="AQ44" s="401"/>
      <c r="AR44" s="401"/>
      <c r="AS44" s="401"/>
      <c r="AT44" s="401"/>
      <c r="AU44" s="401"/>
      <c r="AV44" s="401"/>
      <c r="AW44" s="401"/>
      <c r="AX44" s="401"/>
      <c r="AY44" s="401"/>
      <c r="AZ44" s="401"/>
      <c r="BA44" s="401"/>
      <c r="BB44" s="401"/>
      <c r="BC44" s="401"/>
      <c r="BD44" s="473">
        <f t="shared" si="16"/>
        <v>45274.798611111109</v>
      </c>
      <c r="BE44" s="473">
        <f t="shared" si="17"/>
        <v>45284.739583333336</v>
      </c>
      <c r="BF44" s="479">
        <f t="shared" si="18"/>
        <v>9.9409722222262644</v>
      </c>
      <c r="BG44" s="473">
        <v>45274.798611111109</v>
      </c>
      <c r="BH44" s="473">
        <v>45275.5625</v>
      </c>
      <c r="BI44" s="473">
        <v>45277.232638888891</v>
      </c>
      <c r="BJ44" s="473">
        <v>45278.086805555555</v>
      </c>
      <c r="BK44" s="473">
        <v>45278.341666666667</v>
      </c>
      <c r="BL44" s="473">
        <v>45278.347222222219</v>
      </c>
      <c r="BM44" s="473">
        <v>45278.354166666664</v>
      </c>
      <c r="BN44" s="473">
        <f t="shared" si="27"/>
        <v>45280.0625</v>
      </c>
      <c r="BO44" s="480">
        <v>45280.458333333336</v>
      </c>
      <c r="BP44" s="480">
        <v>45280.625</v>
      </c>
      <c r="BQ44" s="480">
        <v>45280.631944444445</v>
      </c>
      <c r="BR44" s="473">
        <v>45282.083333333336</v>
      </c>
      <c r="BS44" s="473">
        <v>45284.114583333336</v>
      </c>
      <c r="BT44" s="473">
        <v>45284.388888888891</v>
      </c>
      <c r="BU44" s="473">
        <v>45284.395833333336</v>
      </c>
      <c r="BV44" s="473">
        <v>45284.399305555555</v>
      </c>
      <c r="BW44" s="473">
        <v>45284.739583333336</v>
      </c>
      <c r="BZ44" s="481">
        <f t="shared" si="19"/>
        <v>40.083333333372138</v>
      </c>
      <c r="CA44" s="481">
        <f t="shared" si="20"/>
        <v>6.1166666666977108</v>
      </c>
      <c r="CB44" s="481">
        <f t="shared" si="21"/>
        <v>41.000000000058208</v>
      </c>
      <c r="CC44" s="481">
        <f t="shared" si="28"/>
        <v>35.000000000058208</v>
      </c>
      <c r="CD44" s="482">
        <f t="shared" si="22"/>
        <v>6.5833333333139308</v>
      </c>
      <c r="CE44" s="482">
        <f t="shared" si="23"/>
        <v>8.1666666667442769</v>
      </c>
      <c r="CF44" s="483">
        <f t="shared" si="24"/>
        <v>5.7062500000101863</v>
      </c>
      <c r="CG44" s="483">
        <f t="shared" si="25"/>
        <v>9.9409722222262644</v>
      </c>
      <c r="CH44" s="484">
        <f t="shared" si="26"/>
        <v>0.57401327279157022</v>
      </c>
    </row>
    <row r="45" spans="1:88" s="475" customFormat="1">
      <c r="A45" s="474">
        <f t="shared" si="15"/>
        <v>45278.368055555555</v>
      </c>
      <c r="B45" s="475" t="s">
        <v>228</v>
      </c>
      <c r="C45" s="475" t="s">
        <v>229</v>
      </c>
      <c r="D45" s="475" t="s">
        <v>215</v>
      </c>
      <c r="E45" s="476" t="s">
        <v>3199</v>
      </c>
      <c r="F45" s="475" t="s">
        <v>3378</v>
      </c>
      <c r="G45" s="472">
        <v>45281.104166666664</v>
      </c>
      <c r="H45" s="472">
        <v>45281.104166666664</v>
      </c>
      <c r="I45" s="475" t="s">
        <v>231</v>
      </c>
      <c r="J45" s="475" t="s">
        <v>192</v>
      </c>
      <c r="K45" s="475" t="s">
        <v>192</v>
      </c>
      <c r="L45" s="399" t="s">
        <v>3793</v>
      </c>
      <c r="M45" s="530"/>
      <c r="N45" s="475" t="s">
        <v>271</v>
      </c>
      <c r="O45" s="475" t="s">
        <v>272</v>
      </c>
      <c r="P45" s="475" t="s">
        <v>235</v>
      </c>
      <c r="Q45" s="477">
        <f>3852*2.4</f>
        <v>9244.7999999999993</v>
      </c>
      <c r="R45" s="477">
        <f>9250+100</f>
        <v>9350</v>
      </c>
      <c r="S45" s="477">
        <v>9238.1450000000004</v>
      </c>
      <c r="T45" s="477"/>
      <c r="U45" s="581"/>
      <c r="W45" s="581"/>
      <c r="X45" s="580">
        <f t="shared" si="29"/>
        <v>9238.1450000000004</v>
      </c>
      <c r="Y45" s="581"/>
      <c r="Z45" s="581"/>
      <c r="AA45" s="581"/>
      <c r="AB45" s="401"/>
      <c r="AD45" s="401"/>
      <c r="AE45" s="401"/>
      <c r="BD45" s="473">
        <f t="shared" si="16"/>
        <v>45271.352777777778</v>
      </c>
      <c r="BE45" s="473">
        <f t="shared" si="17"/>
        <v>45286.722222222219</v>
      </c>
      <c r="BF45" s="479">
        <f t="shared" si="18"/>
        <v>15.369444444440887</v>
      </c>
      <c r="BG45" s="473">
        <v>45271.352777777778</v>
      </c>
      <c r="BH45" s="473">
        <v>45275.561805555553</v>
      </c>
      <c r="BI45" s="473">
        <v>45277.458333333336</v>
      </c>
      <c r="BJ45" s="473">
        <v>45278.368055555555</v>
      </c>
      <c r="BK45" s="473">
        <v>45278.529166666667</v>
      </c>
      <c r="BL45" s="473">
        <v>45278.534722222219</v>
      </c>
      <c r="BM45" s="473">
        <v>45278.536805555559</v>
      </c>
      <c r="BN45" s="473">
        <f t="shared" si="27"/>
        <v>45280.245138888895</v>
      </c>
      <c r="BO45" s="480">
        <v>45280.458333333336</v>
      </c>
      <c r="BP45" s="480">
        <v>45280.625</v>
      </c>
      <c r="BQ45" s="480">
        <v>45280.506944444445</v>
      </c>
      <c r="BR45" s="473">
        <v>45281.458333333336</v>
      </c>
      <c r="BS45" s="473">
        <v>45285.996527777781</v>
      </c>
      <c r="BT45" s="473">
        <v>45286.28125</v>
      </c>
      <c r="BU45" s="473">
        <v>45286.302083333336</v>
      </c>
      <c r="BV45" s="473">
        <v>45286.545138888891</v>
      </c>
      <c r="BW45" s="473">
        <v>45286.722222222219</v>
      </c>
      <c r="BX45" s="475" t="s">
        <v>3788</v>
      </c>
      <c r="BZ45" s="481">
        <f t="shared" si="19"/>
        <v>45.516666666779201</v>
      </c>
      <c r="CA45" s="481">
        <f t="shared" si="20"/>
        <v>3.8666666666977108</v>
      </c>
      <c r="CB45" s="481">
        <f t="shared" si="21"/>
        <v>41.000000000058208</v>
      </c>
      <c r="CC45" s="481">
        <f t="shared" si="28"/>
        <v>20.000000000058208</v>
      </c>
      <c r="CD45" s="482">
        <f t="shared" si="22"/>
        <v>6.8333333332557231</v>
      </c>
      <c r="CE45" s="482">
        <f t="shared" si="23"/>
        <v>4.2499999998835847</v>
      </c>
      <c r="CF45" s="483">
        <f t="shared" si="24"/>
        <v>5.0611111111138598</v>
      </c>
      <c r="CG45" s="483">
        <f t="shared" si="25"/>
        <v>15.369444444440887</v>
      </c>
      <c r="CH45" s="484">
        <f t="shared" si="26"/>
        <v>0.32929694559938755</v>
      </c>
    </row>
    <row r="46" spans="1:88" s="475" customFormat="1">
      <c r="A46" s="474">
        <f t="shared" si="15"/>
        <v>45278.564583333333</v>
      </c>
      <c r="B46" s="475" t="s">
        <v>228</v>
      </c>
      <c r="C46" s="475" t="s">
        <v>229</v>
      </c>
      <c r="D46" s="475" t="s">
        <v>197</v>
      </c>
      <c r="E46" s="476" t="s">
        <v>3791</v>
      </c>
      <c r="F46" s="399" t="s">
        <v>3378</v>
      </c>
      <c r="G46" s="473">
        <v>45280.341666666667</v>
      </c>
      <c r="H46" s="473">
        <v>45280.341666666667</v>
      </c>
      <c r="I46" s="475" t="s">
        <v>243</v>
      </c>
      <c r="J46" s="475" t="s">
        <v>192</v>
      </c>
      <c r="K46" s="475" t="s">
        <v>192</v>
      </c>
      <c r="L46" s="399" t="s">
        <v>3794</v>
      </c>
      <c r="M46" s="530"/>
      <c r="N46" s="475" t="s">
        <v>2859</v>
      </c>
      <c r="O46" s="475" t="s">
        <v>324</v>
      </c>
      <c r="P46" s="475" t="s">
        <v>235</v>
      </c>
      <c r="Q46" s="477">
        <f>3095*2.4</f>
        <v>7428</v>
      </c>
      <c r="R46" s="477">
        <f>7450+100</f>
        <v>7550</v>
      </c>
      <c r="S46" s="477">
        <v>7509.8519999999999</v>
      </c>
      <c r="T46" s="667"/>
      <c r="U46" s="401"/>
      <c r="W46" s="581"/>
      <c r="X46" s="580">
        <f t="shared" si="29"/>
        <v>7509.8519999999999</v>
      </c>
      <c r="Y46" s="581"/>
      <c r="Z46" s="581"/>
      <c r="AA46" s="581"/>
      <c r="AB46" s="401"/>
      <c r="AD46" s="581"/>
      <c r="AE46" s="581"/>
      <c r="AF46" s="581"/>
      <c r="BD46" s="473">
        <f t="shared" si="16"/>
        <v>45272.625</v>
      </c>
      <c r="BE46" s="473">
        <f t="shared" si="17"/>
        <v>45284.878472222219</v>
      </c>
      <c r="BF46" s="479">
        <f t="shared" si="18"/>
        <v>12.253472222218988</v>
      </c>
      <c r="BG46" s="473">
        <v>45272.625</v>
      </c>
      <c r="BH46" s="473">
        <v>45274.788194444445</v>
      </c>
      <c r="BI46" s="473">
        <v>45277.541666666664</v>
      </c>
      <c r="BJ46" s="473">
        <v>45278.564583333333</v>
      </c>
      <c r="BK46" s="473">
        <v>45278.699305555558</v>
      </c>
      <c r="BL46" s="473">
        <v>45278.701388888891</v>
      </c>
      <c r="BM46" s="473">
        <v>45278.708333333336</v>
      </c>
      <c r="BN46" s="473">
        <f t="shared" si="27"/>
        <v>45280.416666666672</v>
      </c>
      <c r="BO46" s="480">
        <v>45280.458333333336</v>
      </c>
      <c r="BP46" s="480">
        <v>45280.625</v>
      </c>
      <c r="BQ46" s="480">
        <v>45280.5625</v>
      </c>
      <c r="BR46" s="473">
        <v>45282.333333333336</v>
      </c>
      <c r="BS46" s="473">
        <v>45284.493055555555</v>
      </c>
      <c r="BT46" s="473">
        <v>45284.878472222219</v>
      </c>
      <c r="BU46" s="473">
        <v>45284.878472222219</v>
      </c>
      <c r="BV46" s="473">
        <v>45284.878472222219</v>
      </c>
      <c r="BW46" s="473">
        <v>45284.878472222219</v>
      </c>
      <c r="BX46" s="475" t="s">
        <v>3795</v>
      </c>
      <c r="BZ46" s="481">
        <f t="shared" si="19"/>
        <v>66.083333333255723</v>
      </c>
      <c r="CA46" s="481">
        <f t="shared" si="20"/>
        <v>3.2333333333954215</v>
      </c>
      <c r="CB46" s="481">
        <f t="shared" si="21"/>
        <v>41.000000000058208</v>
      </c>
      <c r="CC46" s="481">
        <f t="shared" si="28"/>
        <v>41.000000000058208</v>
      </c>
      <c r="CD46" s="482">
        <f t="shared" si="22"/>
        <v>9.2499999999417923</v>
      </c>
      <c r="CE46" s="482">
        <f t="shared" si="23"/>
        <v>0</v>
      </c>
      <c r="CF46" s="483">
        <f t="shared" si="24"/>
        <v>6.6902777777795563</v>
      </c>
      <c r="CG46" s="483">
        <f t="shared" si="25"/>
        <v>12.253472222218988</v>
      </c>
      <c r="CH46" s="484">
        <f t="shared" si="26"/>
        <v>0.5459903655429359</v>
      </c>
    </row>
    <row r="47" spans="1:88" s="475" customFormat="1">
      <c r="A47" s="474">
        <f t="shared" si="15"/>
        <v>45278.951388888891</v>
      </c>
      <c r="B47" s="475" t="s">
        <v>228</v>
      </c>
      <c r="C47" s="475" t="s">
        <v>229</v>
      </c>
      <c r="D47" s="475" t="s">
        <v>197</v>
      </c>
      <c r="E47" s="476" t="s">
        <v>3199</v>
      </c>
      <c r="F47" s="475" t="s">
        <v>3378</v>
      </c>
      <c r="G47" s="472">
        <v>45281.104166666664</v>
      </c>
      <c r="H47" s="472">
        <v>45281.104166666664</v>
      </c>
      <c r="I47" s="475" t="s">
        <v>231</v>
      </c>
      <c r="J47" s="475" t="s">
        <v>192</v>
      </c>
      <c r="K47" s="475" t="s">
        <v>192</v>
      </c>
      <c r="L47" s="399" t="s">
        <v>3796</v>
      </c>
      <c r="M47" s="530"/>
      <c r="N47" s="475" t="s">
        <v>257</v>
      </c>
      <c r="O47" s="475" t="s">
        <v>258</v>
      </c>
      <c r="P47" s="475" t="s">
        <v>235</v>
      </c>
      <c r="Q47" s="477">
        <f>3139*2.4</f>
        <v>7533.5999999999995</v>
      </c>
      <c r="R47" s="477">
        <f>7550+100</f>
        <v>7650</v>
      </c>
      <c r="S47" s="477">
        <v>7426.2120000000004</v>
      </c>
      <c r="T47" s="667"/>
      <c r="U47" s="401"/>
      <c r="W47" s="581"/>
      <c r="X47" s="580">
        <f t="shared" si="29"/>
        <v>7426.2120000000004</v>
      </c>
      <c r="Y47" s="581"/>
      <c r="Z47" s="581"/>
      <c r="AA47" s="581"/>
      <c r="AB47" s="401"/>
      <c r="AC47" s="581"/>
      <c r="AD47" s="581"/>
      <c r="AG47" s="575"/>
      <c r="AH47" s="575"/>
      <c r="AI47" s="575"/>
      <c r="BD47" s="473">
        <f t="shared" si="16"/>
        <v>45275.041666666664</v>
      </c>
      <c r="BE47" s="473">
        <f t="shared" si="17"/>
        <v>45287.395833333336</v>
      </c>
      <c r="BF47" s="479">
        <f t="shared" si="18"/>
        <v>12.354166666671517</v>
      </c>
      <c r="BG47" s="473">
        <v>45275.041666666664</v>
      </c>
      <c r="BH47" s="473">
        <v>45276.565972222219</v>
      </c>
      <c r="BI47" s="473">
        <v>45278.5625</v>
      </c>
      <c r="BJ47" s="473">
        <v>45278.951388888891</v>
      </c>
      <c r="BK47" s="473">
        <v>45279.079861111109</v>
      </c>
      <c r="BL47" s="473">
        <v>45279.090277777781</v>
      </c>
      <c r="BM47" s="473">
        <v>45279.333333333336</v>
      </c>
      <c r="BN47" s="473">
        <f t="shared" si="27"/>
        <v>45281.041666666672</v>
      </c>
      <c r="BO47" s="480">
        <v>45281.458333333336</v>
      </c>
      <c r="BP47" s="480">
        <v>45281.625</v>
      </c>
      <c r="BQ47" s="480">
        <v>45281.517361111109</v>
      </c>
      <c r="BR47" s="473">
        <v>45282.527777777781</v>
      </c>
      <c r="BS47" s="473">
        <v>45286.697916666664</v>
      </c>
      <c r="BT47" s="473">
        <v>45286.993055555555</v>
      </c>
      <c r="BU47" s="473">
        <v>45287.013888888891</v>
      </c>
      <c r="BV47" s="473">
        <v>45287.145833333336</v>
      </c>
      <c r="BW47" s="473">
        <v>45287.395833333336</v>
      </c>
      <c r="BZ47" s="481">
        <f t="shared" si="19"/>
        <v>47.916666666744277</v>
      </c>
      <c r="CA47" s="481">
        <f t="shared" si="20"/>
        <v>3.0833333332557231</v>
      </c>
      <c r="CB47" s="481">
        <f t="shared" si="21"/>
        <v>41.000000000058208</v>
      </c>
      <c r="CC47" s="481">
        <f t="shared" si="28"/>
        <v>21.666666666744277</v>
      </c>
      <c r="CD47" s="482">
        <f t="shared" si="22"/>
        <v>7.0833333333721384</v>
      </c>
      <c r="CE47" s="482">
        <f t="shared" si="23"/>
        <v>6</v>
      </c>
      <c r="CF47" s="483">
        <f t="shared" si="24"/>
        <v>5.281250000007276</v>
      </c>
      <c r="CG47" s="483">
        <f t="shared" si="25"/>
        <v>12.354166666671517</v>
      </c>
      <c r="CH47" s="484">
        <f t="shared" si="26"/>
        <v>0.42748735244561503</v>
      </c>
    </row>
    <row r="48" spans="1:88" s="475" customFormat="1">
      <c r="A48" s="474">
        <f t="shared" si="15"/>
        <v>45278.725694444445</v>
      </c>
      <c r="B48" s="475" t="s">
        <v>228</v>
      </c>
      <c r="C48" s="475" t="s">
        <v>229</v>
      </c>
      <c r="D48" s="475" t="s">
        <v>197</v>
      </c>
      <c r="E48" s="399" t="s">
        <v>3199</v>
      </c>
      <c r="F48" s="399" t="s">
        <v>3378</v>
      </c>
      <c r="G48" s="472">
        <v>45281.104166666664</v>
      </c>
      <c r="H48" s="472">
        <v>45281.104166666664</v>
      </c>
      <c r="I48" s="475" t="s">
        <v>231</v>
      </c>
      <c r="J48" s="475" t="s">
        <v>192</v>
      </c>
      <c r="K48" s="475" t="s">
        <v>192</v>
      </c>
      <c r="L48" s="399" t="s">
        <v>3797</v>
      </c>
      <c r="M48" s="530"/>
      <c r="N48" s="475" t="s">
        <v>377</v>
      </c>
      <c r="O48" s="475" t="s">
        <v>378</v>
      </c>
      <c r="P48" s="475" t="s">
        <v>235</v>
      </c>
      <c r="Q48" s="477">
        <f>3271*2.4</f>
        <v>7850.4</v>
      </c>
      <c r="R48" s="477">
        <f>7900+100</f>
        <v>8000</v>
      </c>
      <c r="S48" s="477">
        <v>7944.1869999999999</v>
      </c>
      <c r="T48" s="477"/>
      <c r="U48" s="581"/>
      <c r="V48" s="581"/>
      <c r="W48" s="581"/>
      <c r="X48" s="580">
        <f t="shared" si="29"/>
        <v>7944.1869999999999</v>
      </c>
      <c r="Y48" s="581"/>
      <c r="Z48" s="581"/>
      <c r="AA48" s="581"/>
      <c r="AB48" s="401"/>
      <c r="AC48" s="401"/>
      <c r="AD48" s="401"/>
      <c r="AE48" s="724"/>
      <c r="AF48" s="724"/>
      <c r="AG48" s="724"/>
      <c r="AH48" s="724"/>
      <c r="BD48" s="473">
        <f t="shared" si="16"/>
        <v>45275.427083333336</v>
      </c>
      <c r="BE48" s="473">
        <f t="shared" si="17"/>
        <v>45287.013888888891</v>
      </c>
      <c r="BF48" s="479">
        <f t="shared" si="18"/>
        <v>11.586805555554747</v>
      </c>
      <c r="BG48" s="473">
        <v>45275.427083333336</v>
      </c>
      <c r="BH48" s="473">
        <v>45276.559027777781</v>
      </c>
      <c r="BI48" s="473">
        <v>45278.541666666664</v>
      </c>
      <c r="BJ48" s="473">
        <v>45278.725694444445</v>
      </c>
      <c r="BK48" s="473">
        <v>45278.923611111109</v>
      </c>
      <c r="BL48" s="473">
        <v>45278.927083333336</v>
      </c>
      <c r="BM48" s="473">
        <v>45278.931944444441</v>
      </c>
      <c r="BN48" s="473">
        <f t="shared" si="27"/>
        <v>45280.640277777777</v>
      </c>
      <c r="BO48" s="480">
        <v>45280.458333333336</v>
      </c>
      <c r="BP48" s="480">
        <v>45280.625</v>
      </c>
      <c r="BQ48" s="480">
        <v>45280.53125</v>
      </c>
      <c r="BR48" s="473">
        <v>45281.635416666664</v>
      </c>
      <c r="BS48" s="473">
        <v>45286.34375</v>
      </c>
      <c r="BT48" s="473">
        <v>45286.635416666664</v>
      </c>
      <c r="BU48" s="473">
        <v>45286.65625</v>
      </c>
      <c r="BV48" s="473">
        <v>45286.65625</v>
      </c>
      <c r="BW48" s="473">
        <v>45287.013888888891</v>
      </c>
      <c r="BZ48" s="481">
        <f t="shared" si="19"/>
        <v>47.583333333197515</v>
      </c>
      <c r="CA48" s="481">
        <f t="shared" si="20"/>
        <v>4.7499999999417923</v>
      </c>
      <c r="CB48" s="481">
        <f t="shared" si="21"/>
        <v>41.000000000058208</v>
      </c>
      <c r="CC48" s="481">
        <f t="shared" si="28"/>
        <v>24.249999999941792</v>
      </c>
      <c r="CD48" s="482">
        <f t="shared" si="22"/>
        <v>6.9999999999417923</v>
      </c>
      <c r="CE48" s="482">
        <f t="shared" si="23"/>
        <v>8.5833333333721384</v>
      </c>
      <c r="CF48" s="483">
        <f t="shared" si="24"/>
        <v>5.5486111111022183</v>
      </c>
      <c r="CG48" s="483">
        <f t="shared" si="25"/>
        <v>11.586805555554747</v>
      </c>
      <c r="CH48" s="484">
        <f t="shared" si="26"/>
        <v>0.47887323943588561</v>
      </c>
    </row>
    <row r="49" spans="1:86" s="475" customFormat="1">
      <c r="A49" s="474">
        <f t="shared" si="15"/>
        <v>45279.569444444445</v>
      </c>
      <c r="B49" s="475" t="s">
        <v>228</v>
      </c>
      <c r="C49" s="475" t="s">
        <v>229</v>
      </c>
      <c r="D49" s="475" t="s">
        <v>197</v>
      </c>
      <c r="E49" s="399" t="s">
        <v>3199</v>
      </c>
      <c r="F49" s="399" t="s">
        <v>3378</v>
      </c>
      <c r="G49" s="472">
        <v>45281.104166666664</v>
      </c>
      <c r="H49" s="472">
        <v>45281.104166666664</v>
      </c>
      <c r="I49" s="475" t="s">
        <v>231</v>
      </c>
      <c r="J49" s="475" t="s">
        <v>192</v>
      </c>
      <c r="K49" s="475" t="s">
        <v>192</v>
      </c>
      <c r="L49" s="399" t="s">
        <v>3798</v>
      </c>
      <c r="M49" s="530"/>
      <c r="N49" s="475" t="s">
        <v>371</v>
      </c>
      <c r="O49" s="475" t="s">
        <v>372</v>
      </c>
      <c r="P49" s="475" t="s">
        <v>235</v>
      </c>
      <c r="Q49" s="477">
        <f>3117*2.4</f>
        <v>7480.7999999999993</v>
      </c>
      <c r="R49" s="477">
        <f>7500+100</f>
        <v>7600</v>
      </c>
      <c r="S49" s="477">
        <v>7400.9359999999997</v>
      </c>
      <c r="T49" s="667"/>
      <c r="U49" s="581"/>
      <c r="V49" s="581"/>
      <c r="W49" s="581"/>
      <c r="X49" s="580">
        <f t="shared" si="29"/>
        <v>7400.9359999999997</v>
      </c>
      <c r="Y49" s="401"/>
      <c r="Z49" s="401"/>
      <c r="AA49" s="581"/>
      <c r="AB49" s="401"/>
      <c r="AC49" s="577"/>
      <c r="AD49" s="667"/>
      <c r="AX49" s="667"/>
      <c r="AY49" s="667"/>
      <c r="AZ49" s="667"/>
      <c r="BA49" s="667"/>
      <c r="BB49" s="667"/>
      <c r="BC49" s="667"/>
      <c r="BD49" s="473">
        <f t="shared" si="16"/>
        <v>45276.574305555558</v>
      </c>
      <c r="BE49" s="473">
        <f t="shared" si="17"/>
        <v>45287.789583333331</v>
      </c>
      <c r="BF49" s="479">
        <f t="shared" si="18"/>
        <v>11.215277777773736</v>
      </c>
      <c r="BG49" s="473">
        <v>45276.574305555558</v>
      </c>
      <c r="BH49" s="473">
        <v>45277.599305555559</v>
      </c>
      <c r="BI49" s="473">
        <v>45279.555555555555</v>
      </c>
      <c r="BJ49" s="473">
        <v>45279.569444444445</v>
      </c>
      <c r="BK49" s="473">
        <v>45279.680555555555</v>
      </c>
      <c r="BL49" s="473">
        <v>45279.684027777781</v>
      </c>
      <c r="BM49" s="473">
        <v>45279.693749999999</v>
      </c>
      <c r="BN49" s="473">
        <f t="shared" si="27"/>
        <v>45281.402083333334</v>
      </c>
      <c r="BO49" s="480">
        <v>45281.458333333336</v>
      </c>
      <c r="BP49" s="480">
        <v>45281.625</v>
      </c>
      <c r="BQ49" s="480">
        <v>45281.499305555553</v>
      </c>
      <c r="BR49" s="473">
        <v>45282.6</v>
      </c>
      <c r="BS49" s="473">
        <v>45287.055555555555</v>
      </c>
      <c r="BT49" s="473">
        <v>45287.322916666664</v>
      </c>
      <c r="BU49" s="473">
        <v>45287.34375</v>
      </c>
      <c r="BV49" s="473">
        <v>45287.607638888891</v>
      </c>
      <c r="BW49" s="473">
        <v>45287.789583333331</v>
      </c>
      <c r="BZ49" s="481">
        <f t="shared" si="19"/>
        <v>46.949999999895226</v>
      </c>
      <c r="CA49" s="481">
        <f t="shared" si="20"/>
        <v>2.6666666666278616</v>
      </c>
      <c r="CB49" s="481">
        <f t="shared" si="21"/>
        <v>41.000000000058208</v>
      </c>
      <c r="CC49" s="481">
        <f t="shared" si="28"/>
        <v>23.399999999965075</v>
      </c>
      <c r="CD49" s="482">
        <f t="shared" si="22"/>
        <v>6.4166666666278616</v>
      </c>
      <c r="CE49" s="482">
        <f t="shared" si="23"/>
        <v>4.3666666665812954</v>
      </c>
      <c r="CF49" s="483">
        <f t="shared" si="24"/>
        <v>5.1999999999898137</v>
      </c>
      <c r="CG49" s="483">
        <f t="shared" si="25"/>
        <v>11.215277777773736</v>
      </c>
      <c r="CH49" s="484">
        <f t="shared" si="26"/>
        <v>0.46365325077325265</v>
      </c>
    </row>
    <row r="50" spans="1:86" s="475" customFormat="1">
      <c r="A50" s="474">
        <f t="shared" si="15"/>
        <v>45279.716666666667</v>
      </c>
      <c r="B50" s="475" t="s">
        <v>228</v>
      </c>
      <c r="C50" s="475" t="s">
        <v>229</v>
      </c>
      <c r="D50" s="475" t="s">
        <v>197</v>
      </c>
      <c r="E50" s="399" t="s">
        <v>3199</v>
      </c>
      <c r="F50" s="399" t="s">
        <v>3378</v>
      </c>
      <c r="G50" s="472">
        <v>45281.104166666664</v>
      </c>
      <c r="H50" s="472">
        <v>45281.104166666664</v>
      </c>
      <c r="I50" s="475" t="s">
        <v>231</v>
      </c>
      <c r="J50" s="475" t="s">
        <v>192</v>
      </c>
      <c r="K50" s="475" t="s">
        <v>192</v>
      </c>
      <c r="L50" s="399" t="s">
        <v>3799</v>
      </c>
      <c r="M50" s="530"/>
      <c r="N50" s="475" t="s">
        <v>284</v>
      </c>
      <c r="O50" s="475" t="s">
        <v>285</v>
      </c>
      <c r="P50" s="399" t="s">
        <v>235</v>
      </c>
      <c r="Q50" s="477">
        <f>3852*2.4</f>
        <v>9244.7999999999993</v>
      </c>
      <c r="R50" s="477">
        <f>9250+100</f>
        <v>9350</v>
      </c>
      <c r="S50" s="477">
        <v>9106.7999999999993</v>
      </c>
      <c r="T50" s="477"/>
      <c r="U50" s="581"/>
      <c r="V50" s="581"/>
      <c r="W50" s="581"/>
      <c r="X50" s="580">
        <f t="shared" si="29"/>
        <v>9106.7999999999993</v>
      </c>
      <c r="Y50" s="581"/>
      <c r="Z50" s="581"/>
      <c r="AA50" s="581"/>
      <c r="AB50" s="401"/>
      <c r="AC50" s="401"/>
      <c r="AD50" s="401"/>
      <c r="AE50" s="724"/>
      <c r="AF50" s="724"/>
      <c r="AG50" s="724"/>
      <c r="AH50" s="724"/>
      <c r="BD50" s="473">
        <f t="shared" si="16"/>
        <v>45275.854166666664</v>
      </c>
      <c r="BE50" s="473">
        <f t="shared" si="17"/>
        <v>45288.208333333336</v>
      </c>
      <c r="BF50" s="479">
        <f t="shared" si="18"/>
        <v>12.354166666671517</v>
      </c>
      <c r="BG50" s="473">
        <v>45275.854166666664</v>
      </c>
      <c r="BH50" s="473">
        <v>45277.770833333336</v>
      </c>
      <c r="BI50" s="473">
        <v>45279.555555555555</v>
      </c>
      <c r="BJ50" s="473">
        <v>45279.716666666667</v>
      </c>
      <c r="BK50" s="473">
        <v>45279.916666666664</v>
      </c>
      <c r="BL50" s="473">
        <v>45279.923611111109</v>
      </c>
      <c r="BM50" s="473">
        <v>45279.927083333336</v>
      </c>
      <c r="BN50" s="473">
        <f t="shared" si="27"/>
        <v>45281.635416666672</v>
      </c>
      <c r="BO50" s="480">
        <v>45281.458333333336</v>
      </c>
      <c r="BP50" s="480">
        <v>45281.625</v>
      </c>
      <c r="BQ50" s="480">
        <v>45281.559027777781</v>
      </c>
      <c r="BR50" s="473">
        <v>45282.729166666664</v>
      </c>
      <c r="BS50" s="473">
        <v>45287.385416666664</v>
      </c>
      <c r="BT50" s="473">
        <v>45287.701388888891</v>
      </c>
      <c r="BU50" s="473">
        <v>45287.722222222226</v>
      </c>
      <c r="BV50" s="473">
        <v>45287.722222222226</v>
      </c>
      <c r="BW50" s="473">
        <v>45288.208333333336</v>
      </c>
      <c r="BZ50" s="481">
        <f t="shared" si="19"/>
        <v>42.833333333255723</v>
      </c>
      <c r="CA50" s="481">
        <f t="shared" si="20"/>
        <v>4.7999999999301508</v>
      </c>
      <c r="CB50" s="481">
        <f t="shared" si="21"/>
        <v>41.000000000058208</v>
      </c>
      <c r="CC50" s="481">
        <f t="shared" si="28"/>
        <v>26.499999999941792</v>
      </c>
      <c r="CD50" s="482">
        <f t="shared" si="22"/>
        <v>7.5833333334303461</v>
      </c>
      <c r="CE50" s="482">
        <f t="shared" si="23"/>
        <v>11.666666666627862</v>
      </c>
      <c r="CF50" s="483">
        <f t="shared" si="24"/>
        <v>5.5993055555518367</v>
      </c>
      <c r="CG50" s="483">
        <f t="shared" si="25"/>
        <v>12.354166666671517</v>
      </c>
      <c r="CH50" s="484">
        <f t="shared" si="26"/>
        <v>0.45323215289440577</v>
      </c>
    </row>
    <row r="51" spans="1:86" s="475" customFormat="1">
      <c r="A51" s="474">
        <f t="shared" si="15"/>
        <v>45280.111111111109</v>
      </c>
      <c r="B51" s="475" t="s">
        <v>228</v>
      </c>
      <c r="C51" s="475" t="s">
        <v>229</v>
      </c>
      <c r="D51" s="475" t="s">
        <v>215</v>
      </c>
      <c r="E51" s="399" t="s">
        <v>3199</v>
      </c>
      <c r="F51" s="399" t="s">
        <v>3378</v>
      </c>
      <c r="G51" s="472">
        <v>45281.104166666664</v>
      </c>
      <c r="H51" s="472">
        <v>45281.104166666664</v>
      </c>
      <c r="I51" s="475" t="s">
        <v>231</v>
      </c>
      <c r="J51" s="475" t="s">
        <v>192</v>
      </c>
      <c r="K51" s="475" t="s">
        <v>192</v>
      </c>
      <c r="L51" s="399" t="s">
        <v>3800</v>
      </c>
      <c r="M51" s="530"/>
      <c r="N51" s="475" t="s">
        <v>343</v>
      </c>
      <c r="O51" s="475" t="s">
        <v>344</v>
      </c>
      <c r="P51" s="399" t="s">
        <v>235</v>
      </c>
      <c r="Q51" s="477">
        <f>3136*2.4</f>
        <v>7526.4</v>
      </c>
      <c r="R51" s="477">
        <f>7550+100</f>
        <v>7650</v>
      </c>
      <c r="S51" s="477">
        <f>7744.122-5170.108</f>
        <v>2574.0140000000001</v>
      </c>
      <c r="T51" s="667"/>
      <c r="U51" s="581"/>
      <c r="V51" s="401"/>
      <c r="W51" s="581"/>
      <c r="X51" s="580">
        <f t="shared" si="29"/>
        <v>2574.0140000000001</v>
      </c>
      <c r="Y51" s="581"/>
      <c r="Z51" s="581"/>
      <c r="AA51" s="581"/>
      <c r="AB51" s="401"/>
      <c r="AC51" s="581"/>
      <c r="AD51" s="581"/>
      <c r="AE51" s="581"/>
      <c r="AF51" s="581"/>
      <c r="AG51" s="581"/>
      <c r="AH51" s="581"/>
      <c r="AI51" s="581"/>
      <c r="AJ51" s="581"/>
      <c r="AK51" s="581"/>
      <c r="AL51" s="667"/>
      <c r="AM51" s="667"/>
      <c r="AN51" s="667"/>
      <c r="AO51" s="667"/>
      <c r="AP51" s="667"/>
      <c r="AQ51" s="667"/>
      <c r="AR51" s="667"/>
      <c r="AS51" s="667"/>
      <c r="AT51" s="667"/>
      <c r="AU51" s="667"/>
      <c r="AV51" s="667"/>
      <c r="AW51" s="667"/>
      <c r="BD51" s="473">
        <f t="shared" si="16"/>
        <v>45272.375</v>
      </c>
      <c r="BE51" s="473">
        <f t="shared" si="17"/>
        <v>45288.246527777781</v>
      </c>
      <c r="BF51" s="479">
        <f t="shared" si="18"/>
        <v>15.871527777781012</v>
      </c>
      <c r="BG51" s="1134">
        <v>45272.375</v>
      </c>
      <c r="BH51" s="473">
        <v>45277.805555555555</v>
      </c>
      <c r="BI51" s="473">
        <v>45279.604166666664</v>
      </c>
      <c r="BJ51" s="473">
        <v>45280.111111111109</v>
      </c>
      <c r="BK51" s="473">
        <v>45280.256944444445</v>
      </c>
      <c r="BL51" s="473">
        <v>45280.260416666664</v>
      </c>
      <c r="BM51" s="473">
        <v>45280.270833333336</v>
      </c>
      <c r="BN51" s="473">
        <f t="shared" si="27"/>
        <v>45281.979166666672</v>
      </c>
      <c r="BO51" s="480">
        <v>45281.458333333336</v>
      </c>
      <c r="BP51" s="480">
        <v>45281.625</v>
      </c>
      <c r="BQ51" s="480">
        <v>45281.597222222219</v>
      </c>
      <c r="BR51" s="473">
        <v>45282.791666666664</v>
      </c>
      <c r="BS51" s="473">
        <v>45287.763888888891</v>
      </c>
      <c r="BT51" s="473">
        <v>45288.194444444445</v>
      </c>
      <c r="BU51" s="473">
        <v>45288.246527777781</v>
      </c>
      <c r="BV51" s="473">
        <v>45288.246527777781</v>
      </c>
      <c r="BW51" s="473">
        <v>45288.246527777781</v>
      </c>
      <c r="BX51" s="475" t="s">
        <v>3788</v>
      </c>
      <c r="BZ51" s="481">
        <f t="shared" si="19"/>
        <v>43.166666666627862</v>
      </c>
      <c r="CA51" s="481">
        <f t="shared" si="20"/>
        <v>3.5000000000582077</v>
      </c>
      <c r="CB51" s="481">
        <f t="shared" si="21"/>
        <v>41.000000000058208</v>
      </c>
      <c r="CC51" s="481">
        <f t="shared" si="28"/>
        <v>27.999999999941792</v>
      </c>
      <c r="CD51" s="482">
        <f t="shared" si="22"/>
        <v>10.333333333313931</v>
      </c>
      <c r="CE51" s="482">
        <f t="shared" si="23"/>
        <v>0</v>
      </c>
      <c r="CF51" s="483">
        <f t="shared" si="24"/>
        <v>5.25</v>
      </c>
      <c r="CG51" s="483">
        <f t="shared" si="25"/>
        <v>15.871527777781012</v>
      </c>
      <c r="CH51" s="484">
        <f t="shared" si="26"/>
        <v>0.33078101071968757</v>
      </c>
    </row>
    <row r="52" spans="1:86" s="475" customFormat="1">
      <c r="A52" s="474">
        <f t="shared" si="15"/>
        <v>45280.111111111109</v>
      </c>
      <c r="B52" s="475" t="s">
        <v>228</v>
      </c>
      <c r="C52" s="475" t="s">
        <v>229</v>
      </c>
      <c r="D52" s="475" t="s">
        <v>215</v>
      </c>
      <c r="E52" s="399" t="s">
        <v>965</v>
      </c>
      <c r="F52" s="399" t="s">
        <v>3474</v>
      </c>
      <c r="G52" s="472">
        <v>45281</v>
      </c>
      <c r="H52" s="472">
        <v>45281.033333333333</v>
      </c>
      <c r="I52" s="475" t="s">
        <v>231</v>
      </c>
      <c r="J52" s="475" t="s">
        <v>192</v>
      </c>
      <c r="K52" s="475" t="s">
        <v>192</v>
      </c>
      <c r="L52" s="399" t="s">
        <v>3800</v>
      </c>
      <c r="M52" s="530"/>
      <c r="N52" s="475" t="s">
        <v>343</v>
      </c>
      <c r="O52" s="475" t="s">
        <v>344</v>
      </c>
      <c r="P52" s="399" t="s">
        <v>235</v>
      </c>
      <c r="Q52" s="477">
        <f>3136*2.4</f>
        <v>7526.4</v>
      </c>
      <c r="R52" s="477">
        <f>7550+100</f>
        <v>7650</v>
      </c>
      <c r="S52" s="477">
        <v>3257.1840000000002</v>
      </c>
      <c r="T52" s="667"/>
      <c r="U52" s="581"/>
      <c r="V52" s="401"/>
      <c r="W52" s="581"/>
      <c r="X52" s="580">
        <f t="shared" si="29"/>
        <v>3257.1840000000002</v>
      </c>
      <c r="Y52" s="581"/>
      <c r="Z52" s="581"/>
      <c r="AA52" s="581"/>
      <c r="AB52" s="401"/>
      <c r="AC52" s="581"/>
      <c r="AD52" s="581"/>
      <c r="AE52" s="581"/>
      <c r="AF52" s="581"/>
      <c r="AG52" s="581"/>
      <c r="AH52" s="581"/>
      <c r="AI52" s="581"/>
      <c r="AJ52" s="581"/>
      <c r="AK52" s="581"/>
      <c r="AL52" s="667"/>
      <c r="AM52" s="667"/>
      <c r="AN52" s="667"/>
      <c r="AO52" s="667"/>
      <c r="AP52" s="667"/>
      <c r="AQ52" s="667"/>
      <c r="AR52" s="667"/>
      <c r="AS52" s="667"/>
      <c r="AT52" s="667"/>
      <c r="AU52" s="667"/>
      <c r="AV52" s="667"/>
      <c r="AW52" s="667"/>
      <c r="BD52" s="473">
        <f t="shared" si="16"/>
        <v>45272.375</v>
      </c>
      <c r="BE52" s="473">
        <f t="shared" si="17"/>
        <v>45288.888888888891</v>
      </c>
      <c r="BF52" s="479">
        <f t="shared" si="18"/>
        <v>16.513888888890506</v>
      </c>
      <c r="BG52" s="1134">
        <v>45272.375</v>
      </c>
      <c r="BH52" s="473">
        <v>45277.805555555555</v>
      </c>
      <c r="BI52" s="473">
        <v>45279.604166666664</v>
      </c>
      <c r="BJ52" s="473">
        <v>45280.111111111109</v>
      </c>
      <c r="BK52" s="473">
        <v>45280.256944444445</v>
      </c>
      <c r="BL52" s="473">
        <v>45280.260416666664</v>
      </c>
      <c r="BM52" s="473">
        <v>45280.270833333336</v>
      </c>
      <c r="BN52" s="473">
        <f t="shared" si="27"/>
        <v>45281.979166666672</v>
      </c>
      <c r="BO52" s="480">
        <v>45281.458333333336</v>
      </c>
      <c r="BP52" s="480">
        <v>45281.625</v>
      </c>
      <c r="BQ52" s="480">
        <v>45281.597222222219</v>
      </c>
      <c r="BR52" s="473">
        <v>45288.246527777781</v>
      </c>
      <c r="BS52" s="473">
        <v>45288.548611111109</v>
      </c>
      <c r="BT52" s="473">
        <v>45288.590277777781</v>
      </c>
      <c r="BU52" s="473">
        <v>45288.652777777781</v>
      </c>
      <c r="BV52" s="473">
        <v>45288.652777777781</v>
      </c>
      <c r="BW52" s="473">
        <v>45288.888888888891</v>
      </c>
      <c r="BX52" s="475" t="s">
        <v>3788</v>
      </c>
      <c r="BZ52" s="481">
        <f t="shared" si="19"/>
        <v>43.166666666627862</v>
      </c>
      <c r="CA52" s="481">
        <f t="shared" si="20"/>
        <v>3.5000000000582077</v>
      </c>
      <c r="CB52" s="481">
        <f t="shared" si="21"/>
        <v>41.000000000058208</v>
      </c>
      <c r="CC52" s="481">
        <f t="shared" si="28"/>
        <v>158.91666666674428</v>
      </c>
      <c r="CD52" s="482">
        <f t="shared" si="22"/>
        <v>1.0000000001164153</v>
      </c>
      <c r="CE52" s="482">
        <f t="shared" si="23"/>
        <v>5.6666666666278616</v>
      </c>
      <c r="CF52" s="483">
        <f t="shared" si="24"/>
        <v>10.552083333343035</v>
      </c>
      <c r="CG52" s="483">
        <f t="shared" si="25"/>
        <v>16.513888888890506</v>
      </c>
      <c r="CH52" s="484">
        <f t="shared" si="26"/>
        <v>0.63898233809976801</v>
      </c>
    </row>
    <row r="53" spans="1:86" s="475" customFormat="1">
      <c r="A53" s="474">
        <f t="shared" si="15"/>
        <v>45280.729166666664</v>
      </c>
      <c r="B53" s="475" t="s">
        <v>228</v>
      </c>
      <c r="C53" s="475" t="s">
        <v>229</v>
      </c>
      <c r="D53" s="475" t="s">
        <v>215</v>
      </c>
      <c r="E53" s="476" t="s">
        <v>3156</v>
      </c>
      <c r="F53" s="399" t="s">
        <v>3474</v>
      </c>
      <c r="G53" s="472">
        <v>45271</v>
      </c>
      <c r="H53" s="472">
        <v>45271.366666666669</v>
      </c>
      <c r="I53" s="475" t="s">
        <v>231</v>
      </c>
      <c r="J53" s="475" t="s">
        <v>192</v>
      </c>
      <c r="K53" s="475" t="s">
        <v>192</v>
      </c>
      <c r="L53" s="399" t="s">
        <v>3801</v>
      </c>
      <c r="M53" s="530"/>
      <c r="N53" s="475" t="s">
        <v>422</v>
      </c>
      <c r="O53" s="475" t="s">
        <v>3342</v>
      </c>
      <c r="P53" s="399" t="s">
        <v>235</v>
      </c>
      <c r="Q53" s="477">
        <f>3094*2.4</f>
        <v>7425.5999999999995</v>
      </c>
      <c r="R53" s="477">
        <f>7450+100</f>
        <v>7550</v>
      </c>
      <c r="S53" s="477">
        <v>7481.57</v>
      </c>
      <c r="T53" s="399"/>
      <c r="U53" s="581"/>
      <c r="V53" s="581"/>
      <c r="W53" s="581"/>
      <c r="X53" s="580">
        <f t="shared" si="29"/>
        <v>7481.57</v>
      </c>
      <c r="Z53" s="581"/>
      <c r="AA53" s="581"/>
      <c r="AB53" s="401"/>
      <c r="AC53" s="581"/>
      <c r="AD53" s="581"/>
      <c r="AE53" s="581"/>
      <c r="AF53" s="581"/>
      <c r="AG53" s="581"/>
      <c r="AH53" s="581"/>
      <c r="AI53" s="581"/>
      <c r="AJ53" s="581"/>
      <c r="AK53" s="581"/>
      <c r="AL53" s="581"/>
      <c r="AM53" s="581"/>
      <c r="AN53" s="581"/>
      <c r="AO53" s="581"/>
      <c r="AP53" s="581"/>
      <c r="AQ53" s="581"/>
      <c r="BD53" s="473">
        <f t="shared" si="16"/>
        <v>45276.868055555555</v>
      </c>
      <c r="BE53" s="473">
        <f t="shared" si="17"/>
        <v>45289.0625</v>
      </c>
      <c r="BF53" s="479">
        <f t="shared" si="18"/>
        <v>12.194444444445253</v>
      </c>
      <c r="BG53" s="473">
        <v>45276.868055555555</v>
      </c>
      <c r="BH53" s="473">
        <v>45277.840277777781</v>
      </c>
      <c r="BI53" s="473">
        <v>45279.756944444445</v>
      </c>
      <c r="BJ53" s="473">
        <v>45280.729166666664</v>
      </c>
      <c r="BK53" s="473">
        <v>45280.902777777781</v>
      </c>
      <c r="BL53" s="473">
        <v>45280.90625</v>
      </c>
      <c r="BM53" s="473">
        <v>45281.270833333336</v>
      </c>
      <c r="BN53" s="473">
        <f t="shared" si="27"/>
        <v>45282.979166666672</v>
      </c>
      <c r="BO53" s="473">
        <v>45282.541666666664</v>
      </c>
      <c r="BP53" s="473">
        <v>45282.708333333336</v>
      </c>
      <c r="BQ53" s="473">
        <v>45282.684027777781</v>
      </c>
      <c r="BR53" s="473">
        <v>45284.069444444445</v>
      </c>
      <c r="BS53" s="473">
        <v>45288.305555555555</v>
      </c>
      <c r="BT53" s="473">
        <v>45288.524305555555</v>
      </c>
      <c r="BU53" s="473">
        <v>45288.555555555555</v>
      </c>
      <c r="BV53" s="473">
        <v>45288.555555555555</v>
      </c>
      <c r="BW53" s="473">
        <v>45289.0625</v>
      </c>
      <c r="BZ53" s="481">
        <f t="shared" si="19"/>
        <v>45.999999999941792</v>
      </c>
      <c r="CA53" s="481">
        <f t="shared" si="20"/>
        <v>4.1666666668024845</v>
      </c>
      <c r="CB53" s="481">
        <f t="shared" si="21"/>
        <v>41.000000000058208</v>
      </c>
      <c r="CC53" s="481">
        <f t="shared" si="28"/>
        <v>32.666666666627862</v>
      </c>
      <c r="CD53" s="482">
        <f t="shared" si="22"/>
        <v>5.25</v>
      </c>
      <c r="CE53" s="482">
        <f t="shared" si="23"/>
        <v>12.166666666686069</v>
      </c>
      <c r="CF53" s="483">
        <f t="shared" si="24"/>
        <v>5.8854166666715173</v>
      </c>
      <c r="CG53" s="483">
        <f t="shared" si="25"/>
        <v>12.194444444445253</v>
      </c>
      <c r="CH53" s="484">
        <f t="shared" si="26"/>
        <v>0.48263097949922684</v>
      </c>
    </row>
    <row r="54" spans="1:86" s="475" customFormat="1">
      <c r="A54" s="474">
        <f t="shared" si="15"/>
        <v>45280.930555555555</v>
      </c>
      <c r="B54" s="475" t="s">
        <v>228</v>
      </c>
      <c r="C54" s="475" t="s">
        <v>229</v>
      </c>
      <c r="D54" s="475" t="s">
        <v>197</v>
      </c>
      <c r="E54" s="476" t="s">
        <v>3156</v>
      </c>
      <c r="F54" s="399" t="s">
        <v>3474</v>
      </c>
      <c r="G54" s="472">
        <v>45271</v>
      </c>
      <c r="H54" s="472">
        <v>45271.366666666669</v>
      </c>
      <c r="I54" s="475" t="s">
        <v>231</v>
      </c>
      <c r="J54" s="475" t="s">
        <v>192</v>
      </c>
      <c r="K54" s="475" t="s">
        <v>192</v>
      </c>
      <c r="L54" s="475" t="s">
        <v>3802</v>
      </c>
      <c r="M54" s="530"/>
      <c r="N54" s="475" t="s">
        <v>1392</v>
      </c>
      <c r="O54" s="475" t="s">
        <v>365</v>
      </c>
      <c r="P54" s="399" t="s">
        <v>240</v>
      </c>
      <c r="Q54" s="477">
        <f>3142*2.4</f>
        <v>7540.7999999999993</v>
      </c>
      <c r="R54" s="477">
        <f>7550+100</f>
        <v>7650</v>
      </c>
      <c r="S54" s="477">
        <v>7501.6</v>
      </c>
      <c r="T54" s="667"/>
      <c r="U54" s="581"/>
      <c r="V54" s="581"/>
      <c r="W54" s="581"/>
      <c r="Y54" s="726">
        <f>S54</f>
        <v>7501.6</v>
      </c>
      <c r="AB54" s="401"/>
      <c r="AC54" s="401"/>
      <c r="AD54" s="401"/>
      <c r="AE54" s="401"/>
      <c r="AF54" s="401"/>
      <c r="AG54" s="401"/>
      <c r="AH54" s="401"/>
      <c r="AI54" s="401"/>
      <c r="AJ54" s="401"/>
      <c r="AK54" s="401"/>
      <c r="AL54" s="401"/>
      <c r="AM54" s="401"/>
      <c r="AN54" s="401"/>
      <c r="AO54" s="401"/>
      <c r="AP54" s="401"/>
      <c r="AQ54" s="401"/>
      <c r="AR54" s="401"/>
      <c r="AS54" s="401"/>
      <c r="AT54" s="401"/>
      <c r="AU54" s="401"/>
      <c r="AV54" s="401"/>
      <c r="AW54" s="401"/>
      <c r="AX54" s="401"/>
      <c r="AY54" s="401"/>
      <c r="AZ54" s="401"/>
      <c r="BA54" s="401"/>
      <c r="BB54" s="401"/>
      <c r="BC54" s="401"/>
      <c r="BD54" s="473">
        <f t="shared" si="16"/>
        <v>45275.916666666664</v>
      </c>
      <c r="BE54" s="473">
        <f t="shared" si="17"/>
        <v>45288.770833333336</v>
      </c>
      <c r="BF54" s="479">
        <f t="shared" si="18"/>
        <v>12.854166666671517</v>
      </c>
      <c r="BG54" s="473">
        <v>45275.916666666664</v>
      </c>
      <c r="BH54" s="473">
        <v>45277.795138888891</v>
      </c>
      <c r="BI54" s="473">
        <v>45279.826388888891</v>
      </c>
      <c r="BJ54" s="473">
        <v>45280.930555555555</v>
      </c>
      <c r="BK54" s="473">
        <v>45281.072916666664</v>
      </c>
      <c r="BL54" s="473">
        <v>45281.090277777781</v>
      </c>
      <c r="BM54" s="473">
        <v>45281.090277777781</v>
      </c>
      <c r="BN54" s="473">
        <f t="shared" si="27"/>
        <v>45282.798611111117</v>
      </c>
      <c r="BO54" s="473">
        <v>45282.541666666664</v>
      </c>
      <c r="BP54" s="473">
        <v>45282.708333333336</v>
      </c>
      <c r="BQ54" s="473">
        <v>45282.642361111109</v>
      </c>
      <c r="BR54" s="473">
        <v>45283.916666666664</v>
      </c>
      <c r="BS54" s="473">
        <v>45287.993055555555</v>
      </c>
      <c r="BT54" s="473">
        <v>45288.243055555555</v>
      </c>
      <c r="BU54" s="473">
        <v>45288.270833333336</v>
      </c>
      <c r="BV54" s="473">
        <v>45288.270833333336</v>
      </c>
      <c r="BW54" s="473">
        <v>45288.770833333336</v>
      </c>
      <c r="BX54" s="475" t="s">
        <v>3803</v>
      </c>
      <c r="BZ54" s="481">
        <f t="shared" si="19"/>
        <v>48.75</v>
      </c>
      <c r="CA54" s="481">
        <f t="shared" si="20"/>
        <v>3.4166666666278616</v>
      </c>
      <c r="CB54" s="481">
        <f t="shared" si="21"/>
        <v>41.000000000058208</v>
      </c>
      <c r="CC54" s="481">
        <f t="shared" si="28"/>
        <v>28.999999999883585</v>
      </c>
      <c r="CD54" s="482">
        <f t="shared" si="22"/>
        <v>6</v>
      </c>
      <c r="CE54" s="482">
        <f t="shared" si="23"/>
        <v>12</v>
      </c>
      <c r="CF54" s="483">
        <f t="shared" si="24"/>
        <v>5.8402777777737356</v>
      </c>
      <c r="CG54" s="483">
        <f t="shared" si="25"/>
        <v>12.854166666671517</v>
      </c>
      <c r="CH54" s="484">
        <f t="shared" si="26"/>
        <v>0.45434900053976257</v>
      </c>
    </row>
    <row r="55" spans="1:86" s="475" customFormat="1">
      <c r="A55" s="474">
        <f t="shared" si="15"/>
        <v>45280.569444444445</v>
      </c>
      <c r="B55" s="475" t="s">
        <v>228</v>
      </c>
      <c r="C55" s="475" t="s">
        <v>229</v>
      </c>
      <c r="D55" s="475" t="s">
        <v>197</v>
      </c>
      <c r="E55" s="476" t="s">
        <v>3156</v>
      </c>
      <c r="F55" s="399" t="s">
        <v>3474</v>
      </c>
      <c r="G55" s="472">
        <v>45271</v>
      </c>
      <c r="H55" s="472">
        <v>45271.366666666669</v>
      </c>
      <c r="I55" s="475" t="s">
        <v>231</v>
      </c>
      <c r="J55" s="475" t="s">
        <v>192</v>
      </c>
      <c r="K55" s="475" t="s">
        <v>192</v>
      </c>
      <c r="L55" s="399" t="s">
        <v>3804</v>
      </c>
      <c r="M55" s="530"/>
      <c r="N55" s="475" t="s">
        <v>218</v>
      </c>
      <c r="O55" s="475" t="s">
        <v>350</v>
      </c>
      <c r="P55" s="399" t="s">
        <v>240</v>
      </c>
      <c r="Q55" s="477">
        <f>3077*2.4</f>
        <v>7384.7999999999993</v>
      </c>
      <c r="R55" s="477">
        <f>7400+100</f>
        <v>7500</v>
      </c>
      <c r="S55" s="477">
        <v>7503.8680000000004</v>
      </c>
      <c r="T55" s="477"/>
      <c r="U55" s="581"/>
      <c r="V55" s="581"/>
      <c r="W55" s="581"/>
      <c r="Y55" s="726">
        <f>S55</f>
        <v>7503.8680000000004</v>
      </c>
      <c r="AB55" s="401"/>
      <c r="AD55" s="401"/>
      <c r="AE55" s="401"/>
      <c r="AF55" s="401"/>
      <c r="AG55" s="401"/>
      <c r="AH55" s="401"/>
      <c r="AI55" s="401"/>
      <c r="AJ55" s="401"/>
      <c r="AK55" s="401"/>
      <c r="AL55" s="401"/>
      <c r="AM55" s="401"/>
      <c r="AN55" s="401"/>
      <c r="AO55" s="401"/>
      <c r="AP55" s="401"/>
      <c r="AQ55" s="401"/>
      <c r="AR55" s="401"/>
      <c r="AS55" s="401"/>
      <c r="AT55" s="401"/>
      <c r="AU55" s="401"/>
      <c r="AV55" s="401"/>
      <c r="AW55" s="401"/>
      <c r="AX55" s="401"/>
      <c r="AY55" s="401"/>
      <c r="AZ55" s="401"/>
      <c r="BA55" s="401"/>
      <c r="BB55" s="401"/>
      <c r="BC55" s="401"/>
      <c r="BD55" s="473">
        <f t="shared" si="16"/>
        <v>45277.506944444445</v>
      </c>
      <c r="BE55" s="473">
        <f t="shared" si="17"/>
        <v>45288.5</v>
      </c>
      <c r="BF55" s="479">
        <f t="shared" si="18"/>
        <v>10.993055555554747</v>
      </c>
      <c r="BG55" s="473">
        <v>45277.506944444445</v>
      </c>
      <c r="BH55" s="473">
        <v>45277.784722222219</v>
      </c>
      <c r="BI55" s="473">
        <v>45279.989583333336</v>
      </c>
      <c r="BJ55" s="473">
        <v>45280.569444444445</v>
      </c>
      <c r="BK55" s="473">
        <v>45280.694444444445</v>
      </c>
      <c r="BL55" s="473">
        <v>45280.701388888891</v>
      </c>
      <c r="BM55" s="473">
        <v>45280.708333333336</v>
      </c>
      <c r="BN55" s="473">
        <f t="shared" si="27"/>
        <v>45282.416666666672</v>
      </c>
      <c r="BO55" s="473">
        <v>45282.541666666664</v>
      </c>
      <c r="BP55" s="473">
        <v>45282.708333333336</v>
      </c>
      <c r="BQ55" s="473">
        <v>45282.600694444445</v>
      </c>
      <c r="BR55" s="473">
        <v>45283.8125</v>
      </c>
      <c r="BS55" s="473">
        <v>45287.666666666664</v>
      </c>
      <c r="BT55" s="473">
        <v>45287.923611111109</v>
      </c>
      <c r="BU55" s="473">
        <v>45287.9375</v>
      </c>
      <c r="BV55" s="473">
        <v>45287.9375</v>
      </c>
      <c r="BW55" s="473">
        <v>45288.5</v>
      </c>
      <c r="BZ55" s="481">
        <f t="shared" si="19"/>
        <v>52.916666666802485</v>
      </c>
      <c r="CA55" s="481">
        <f t="shared" si="20"/>
        <v>3</v>
      </c>
      <c r="CB55" s="481">
        <f t="shared" si="21"/>
        <v>41.000000000058208</v>
      </c>
      <c r="CC55" s="481">
        <f t="shared" si="28"/>
        <v>26.499999999941792</v>
      </c>
      <c r="CD55" s="482">
        <f t="shared" si="22"/>
        <v>6.1666666666860692</v>
      </c>
      <c r="CE55" s="482">
        <f t="shared" si="23"/>
        <v>13.5</v>
      </c>
      <c r="CF55" s="483">
        <f t="shared" si="24"/>
        <v>5.9618055555620231</v>
      </c>
      <c r="CG55" s="483">
        <f t="shared" si="25"/>
        <v>10.993055555554747</v>
      </c>
      <c r="CH55" s="484">
        <f t="shared" si="26"/>
        <v>0.54232469993745702</v>
      </c>
    </row>
    <row r="56" spans="1:86" s="475" customFormat="1">
      <c r="A56" s="474">
        <f t="shared" si="15"/>
        <v>45281.107638888891</v>
      </c>
      <c r="B56" s="475" t="s">
        <v>228</v>
      </c>
      <c r="C56" s="475" t="s">
        <v>229</v>
      </c>
      <c r="D56" s="475" t="s">
        <v>197</v>
      </c>
      <c r="E56" s="476" t="s">
        <v>3156</v>
      </c>
      <c r="F56" s="399" t="s">
        <v>3474</v>
      </c>
      <c r="G56" s="472">
        <v>45271</v>
      </c>
      <c r="H56" s="472">
        <v>45271.366666666669</v>
      </c>
      <c r="I56" s="475" t="s">
        <v>231</v>
      </c>
      <c r="J56" s="475" t="s">
        <v>192</v>
      </c>
      <c r="K56" s="475" t="s">
        <v>192</v>
      </c>
      <c r="L56" s="475" t="s">
        <v>3805</v>
      </c>
      <c r="M56" s="530"/>
      <c r="N56" s="475" t="s">
        <v>695</v>
      </c>
      <c r="O56" s="475" t="s">
        <v>281</v>
      </c>
      <c r="P56" s="399" t="s">
        <v>240</v>
      </c>
      <c r="Q56" s="477">
        <f>3102*2.4</f>
        <v>7444.7999999999993</v>
      </c>
      <c r="R56" s="477">
        <f>7450+100</f>
        <v>7550</v>
      </c>
      <c r="S56" s="477">
        <v>7464.3519999999999</v>
      </c>
      <c r="T56" s="667"/>
      <c r="U56" s="581"/>
      <c r="V56" s="581"/>
      <c r="W56" s="581"/>
      <c r="Y56" s="726">
        <f>S56</f>
        <v>7464.3519999999999</v>
      </c>
      <c r="AB56" s="401"/>
      <c r="AC56" s="577"/>
      <c r="AD56" s="581"/>
      <c r="AE56" s="575"/>
      <c r="AF56" s="575"/>
      <c r="AG56" s="575"/>
      <c r="AH56" s="575"/>
      <c r="AI56" s="575"/>
      <c r="BD56" s="473">
        <f t="shared" si="16"/>
        <v>45276.333333333336</v>
      </c>
      <c r="BE56" s="473">
        <f t="shared" si="17"/>
        <v>45289.920138888891</v>
      </c>
      <c r="BF56" s="479">
        <f t="shared" si="18"/>
        <v>13.586805555554747</v>
      </c>
      <c r="BG56" s="473">
        <v>45276.333333333336</v>
      </c>
      <c r="BH56" s="473">
        <v>45277.638888888891</v>
      </c>
      <c r="BI56" s="473">
        <v>45280.493055555555</v>
      </c>
      <c r="BJ56" s="473">
        <v>45281.107638888891</v>
      </c>
      <c r="BK56" s="473">
        <v>45281.256944444445</v>
      </c>
      <c r="BL56" s="473">
        <v>45281.260416666664</v>
      </c>
      <c r="BM56" s="473">
        <v>45281.267361111109</v>
      </c>
      <c r="BN56" s="473">
        <f t="shared" si="27"/>
        <v>45282.975694444445</v>
      </c>
      <c r="BO56" s="473">
        <v>45284.541666666664</v>
      </c>
      <c r="BP56" s="473">
        <v>45284.708333333328</v>
      </c>
      <c r="BQ56" s="473">
        <v>45284.628472222219</v>
      </c>
      <c r="BR56" s="473">
        <v>45286.3125</v>
      </c>
      <c r="BS56" s="473">
        <v>45289.118055555555</v>
      </c>
      <c r="BT56" s="473">
        <v>45289.270833333336</v>
      </c>
      <c r="BU56" s="473">
        <v>45289.291666666664</v>
      </c>
      <c r="BV56" s="473">
        <v>45289.645833333336</v>
      </c>
      <c r="BW56" s="473">
        <v>45289.920138888891</v>
      </c>
      <c r="BZ56" s="481">
        <f t="shared" si="19"/>
        <v>68.499999999941792</v>
      </c>
      <c r="CA56" s="481">
        <f t="shared" si="20"/>
        <v>3.5833333333139308</v>
      </c>
      <c r="CB56" s="481">
        <f t="shared" si="21"/>
        <v>41.000000000058208</v>
      </c>
      <c r="CC56" s="481">
        <f t="shared" si="28"/>
        <v>38.500000000116415</v>
      </c>
      <c r="CD56" s="482">
        <f t="shared" si="22"/>
        <v>3.6666666667442769</v>
      </c>
      <c r="CE56" s="482">
        <f t="shared" si="23"/>
        <v>6.5833333333139308</v>
      </c>
      <c r="CF56" s="483">
        <f t="shared" si="24"/>
        <v>6.7430555555620231</v>
      </c>
      <c r="CG56" s="483">
        <f t="shared" si="25"/>
        <v>13.586805555554747</v>
      </c>
      <c r="CH56" s="484">
        <f t="shared" si="26"/>
        <v>0.49629440327165303</v>
      </c>
    </row>
    <row r="57" spans="1:86" s="475" customFormat="1">
      <c r="A57" s="474">
        <f t="shared" si="15"/>
        <v>45281.6875</v>
      </c>
      <c r="B57" s="475" t="s">
        <v>228</v>
      </c>
      <c r="C57" s="475" t="s">
        <v>229</v>
      </c>
      <c r="D57" s="475" t="s">
        <v>197</v>
      </c>
      <c r="E57" s="476" t="s">
        <v>3156</v>
      </c>
      <c r="F57" s="399" t="s">
        <v>3474</v>
      </c>
      <c r="G57" s="472">
        <v>45271</v>
      </c>
      <c r="H57" s="472">
        <v>45271.366666666669</v>
      </c>
      <c r="I57" s="475" t="s">
        <v>231</v>
      </c>
      <c r="J57" s="475" t="s">
        <v>192</v>
      </c>
      <c r="K57" s="475" t="s">
        <v>192</v>
      </c>
      <c r="L57" s="399" t="s">
        <v>3806</v>
      </c>
      <c r="M57" s="530"/>
      <c r="N57" s="475" t="s">
        <v>3807</v>
      </c>
      <c r="O57" s="475" t="s">
        <v>227</v>
      </c>
      <c r="P57" s="399" t="s">
        <v>240</v>
      </c>
      <c r="Q57" s="477">
        <f>3100*2.4</f>
        <v>7440</v>
      </c>
      <c r="R57" s="477">
        <f>7450+100</f>
        <v>7550</v>
      </c>
      <c r="S57" s="477">
        <v>7464.9809999999998</v>
      </c>
      <c r="T57" s="667"/>
      <c r="U57" s="581"/>
      <c r="V57" s="581"/>
      <c r="W57" s="581"/>
      <c r="Y57" s="726">
        <f>S57</f>
        <v>7464.9809999999998</v>
      </c>
      <c r="AB57" s="581"/>
      <c r="AC57" s="581"/>
      <c r="AD57" s="581"/>
      <c r="AE57" s="581"/>
      <c r="AF57" s="581"/>
      <c r="AG57" s="581"/>
      <c r="AH57" s="581"/>
      <c r="AI57" s="581"/>
      <c r="AJ57" s="581"/>
      <c r="AK57" s="581"/>
      <c r="AL57" s="401"/>
      <c r="AM57" s="401"/>
      <c r="AN57" s="401"/>
      <c r="AO57" s="401"/>
      <c r="AP57" s="401"/>
      <c r="AQ57" s="401"/>
      <c r="AR57" s="401"/>
      <c r="AS57" s="401"/>
      <c r="AT57" s="401"/>
      <c r="AU57" s="401"/>
      <c r="BD57" s="473">
        <f t="shared" si="16"/>
        <v>45259.430555555555</v>
      </c>
      <c r="BE57" s="473">
        <f t="shared" si="17"/>
        <v>45289.482638888891</v>
      </c>
      <c r="BF57" s="479">
        <f t="shared" si="18"/>
        <v>30.052083333335759</v>
      </c>
      <c r="BG57" s="473">
        <v>45259.430555555555</v>
      </c>
      <c r="BH57" s="473">
        <v>45276.625</v>
      </c>
      <c r="BI57" s="473">
        <v>45280.604166666664</v>
      </c>
      <c r="BJ57" s="473">
        <v>45281.6875</v>
      </c>
      <c r="BK57" s="473">
        <v>45281.864583333336</v>
      </c>
      <c r="BL57" s="473">
        <v>45281.868055555555</v>
      </c>
      <c r="BM57" s="473">
        <v>45281.881944444445</v>
      </c>
      <c r="BN57" s="473">
        <f t="shared" si="27"/>
        <v>45283.590277777781</v>
      </c>
      <c r="BO57" s="473">
        <v>45283.5</v>
      </c>
      <c r="BP57" s="473">
        <v>45283.666666666664</v>
      </c>
      <c r="BQ57" s="473">
        <v>45283.628472222219</v>
      </c>
      <c r="BR57" s="473">
        <v>45284.791666666664</v>
      </c>
      <c r="BS57" s="473">
        <v>45288.909722222219</v>
      </c>
      <c r="BT57" s="473">
        <v>45289.079861111109</v>
      </c>
      <c r="BU57" s="473">
        <v>45289.097222222219</v>
      </c>
      <c r="BV57" s="473">
        <v>45289.097222222219</v>
      </c>
      <c r="BW57" s="473">
        <v>45289.482638888891</v>
      </c>
      <c r="BX57" s="475" t="s">
        <v>3808</v>
      </c>
      <c r="BZ57" s="481">
        <f t="shared" si="19"/>
        <v>95.499999999941792</v>
      </c>
      <c r="CA57" s="481">
        <f t="shared" si="20"/>
        <v>4.2500000000582077</v>
      </c>
      <c r="CB57" s="481">
        <f t="shared" si="21"/>
        <v>41.000000000058208</v>
      </c>
      <c r="CC57" s="481">
        <f t="shared" si="28"/>
        <v>27</v>
      </c>
      <c r="CD57" s="482">
        <f t="shared" si="22"/>
        <v>4.0833333333721384</v>
      </c>
      <c r="CE57" s="482">
        <f t="shared" si="23"/>
        <v>9.2500000001164153</v>
      </c>
      <c r="CF57" s="483">
        <f t="shared" si="24"/>
        <v>7.5451388888977817</v>
      </c>
      <c r="CG57" s="483">
        <f t="shared" si="25"/>
        <v>30.052083333335759</v>
      </c>
      <c r="CH57" s="484">
        <f t="shared" si="26"/>
        <v>0.25106874638964594</v>
      </c>
    </row>
    <row r="58" spans="1:86" s="475" customFormat="1">
      <c r="A58" s="474">
        <f t="shared" si="15"/>
        <v>45281.319444444445</v>
      </c>
      <c r="B58" s="475" t="s">
        <v>228</v>
      </c>
      <c r="C58" s="475" t="s">
        <v>229</v>
      </c>
      <c r="D58" s="475" t="s">
        <v>215</v>
      </c>
      <c r="E58" s="476" t="s">
        <v>3156</v>
      </c>
      <c r="F58" s="399" t="s">
        <v>3474</v>
      </c>
      <c r="G58" s="472">
        <v>45271</v>
      </c>
      <c r="H58" s="472">
        <v>45271.366666666669</v>
      </c>
      <c r="I58" s="475" t="s">
        <v>231</v>
      </c>
      <c r="J58" s="475" t="s">
        <v>192</v>
      </c>
      <c r="K58" s="475" t="s">
        <v>192</v>
      </c>
      <c r="L58" s="475" t="s">
        <v>3809</v>
      </c>
      <c r="M58" s="530"/>
      <c r="N58" s="475" t="s">
        <v>1972</v>
      </c>
      <c r="O58" s="475" t="s">
        <v>1973</v>
      </c>
      <c r="P58" s="399" t="s">
        <v>240</v>
      </c>
      <c r="Q58" s="477">
        <f>3107*2.4</f>
        <v>7456.7999999999993</v>
      </c>
      <c r="R58" s="477">
        <f>7500+100</f>
        <v>7600</v>
      </c>
      <c r="S58" s="477">
        <v>7274.0950000000003</v>
      </c>
      <c r="T58" s="667"/>
      <c r="U58" s="581"/>
      <c r="V58" s="581"/>
      <c r="X58" s="581"/>
      <c r="Y58" s="726">
        <f>S58</f>
        <v>7274.0950000000003</v>
      </c>
      <c r="AA58" s="581"/>
      <c r="AB58" s="401"/>
      <c r="AC58" s="581"/>
      <c r="AD58" s="581"/>
      <c r="AE58" s="581"/>
      <c r="AF58" s="581"/>
      <c r="AG58" s="581"/>
      <c r="AH58" s="581"/>
      <c r="AI58" s="581"/>
      <c r="AJ58" s="581"/>
      <c r="AK58" s="581"/>
      <c r="AL58" s="581"/>
      <c r="AM58" s="581"/>
      <c r="AN58" s="581"/>
      <c r="AO58" s="581"/>
      <c r="AP58" s="581"/>
      <c r="AQ58" s="581"/>
      <c r="AR58" s="401"/>
      <c r="AS58" s="401"/>
      <c r="AT58" s="401"/>
      <c r="AU58" s="401"/>
      <c r="BD58" s="473">
        <f t="shared" si="16"/>
        <v>45277.399305555555</v>
      </c>
      <c r="BE58" s="473">
        <f t="shared" si="17"/>
        <v>45289.423611111109</v>
      </c>
      <c r="BF58" s="479">
        <f t="shared" si="18"/>
        <v>12.024305555554747</v>
      </c>
      <c r="BG58" s="473">
        <v>45277.399305555555</v>
      </c>
      <c r="BH58" s="473">
        <v>45278.861111111109</v>
      </c>
      <c r="BI58" s="473">
        <v>45280.597222222219</v>
      </c>
      <c r="BJ58" s="473">
        <v>45281.319444444445</v>
      </c>
      <c r="BK58" s="473">
        <v>45281.454861111109</v>
      </c>
      <c r="BL58" s="473">
        <v>45281.458333333336</v>
      </c>
      <c r="BM58" s="473">
        <v>45281.479166666664</v>
      </c>
      <c r="BN58" s="473">
        <f t="shared" si="27"/>
        <v>45283.1875</v>
      </c>
      <c r="BO58" s="473">
        <v>45283.5</v>
      </c>
      <c r="BP58" s="473">
        <v>45283.666666666664</v>
      </c>
      <c r="BQ58" s="473">
        <v>45283.614583333336</v>
      </c>
      <c r="BR58" s="473">
        <v>45284.708333333328</v>
      </c>
      <c r="BS58" s="473">
        <v>45288.597222222219</v>
      </c>
      <c r="BT58" s="473">
        <v>45288.861111111109</v>
      </c>
      <c r="BU58" s="473">
        <v>45288.888888888891</v>
      </c>
      <c r="BV58" s="473">
        <v>45289.166666666664</v>
      </c>
      <c r="BW58" s="473">
        <v>45289.423611111109</v>
      </c>
      <c r="BX58" s="475" t="s">
        <v>3810</v>
      </c>
      <c r="BZ58" s="481">
        <f t="shared" si="19"/>
        <v>41.666666666627862</v>
      </c>
      <c r="CA58" s="481">
        <f t="shared" si="20"/>
        <v>3.2499999999417923</v>
      </c>
      <c r="CB58" s="481">
        <f t="shared" si="21"/>
        <v>41.000000000058208</v>
      </c>
      <c r="CC58" s="481">
        <f t="shared" si="28"/>
        <v>24.999999999941792</v>
      </c>
      <c r="CD58" s="482">
        <f t="shared" si="22"/>
        <v>6.3333333333721384</v>
      </c>
      <c r="CE58" s="482">
        <f t="shared" si="23"/>
        <v>6.1666666666860692</v>
      </c>
      <c r="CF58" s="483">
        <f t="shared" si="24"/>
        <v>5.1423611111094942</v>
      </c>
      <c r="CG58" s="483">
        <f t="shared" si="25"/>
        <v>12.024305555554747</v>
      </c>
      <c r="CH58" s="484">
        <f t="shared" si="26"/>
        <v>0.42766387525256538</v>
      </c>
    </row>
    <row r="59" spans="1:86" s="475" customFormat="1">
      <c r="A59" s="474">
        <f t="shared" si="15"/>
        <v>45281.496527777781</v>
      </c>
      <c r="B59" s="475" t="s">
        <v>228</v>
      </c>
      <c r="C59" s="475" t="s">
        <v>229</v>
      </c>
      <c r="D59" s="475" t="s">
        <v>197</v>
      </c>
      <c r="E59" s="476" t="s">
        <v>3156</v>
      </c>
      <c r="F59" s="399" t="s">
        <v>3474</v>
      </c>
      <c r="G59" s="472">
        <v>45271</v>
      </c>
      <c r="H59" s="472">
        <v>45271.366666666669</v>
      </c>
      <c r="I59" s="475" t="s">
        <v>231</v>
      </c>
      <c r="J59" s="475" t="s">
        <v>192</v>
      </c>
      <c r="K59" s="475" t="s">
        <v>192</v>
      </c>
      <c r="L59" s="399" t="s">
        <v>3811</v>
      </c>
      <c r="M59" s="530"/>
      <c r="N59" s="475" t="s">
        <v>367</v>
      </c>
      <c r="O59" s="475" t="s">
        <v>368</v>
      </c>
      <c r="P59" s="399" t="s">
        <v>235</v>
      </c>
      <c r="Q59" s="477">
        <f>4111*2.4</f>
        <v>9866.4</v>
      </c>
      <c r="R59" s="477">
        <f>9900+100</f>
        <v>10000</v>
      </c>
      <c r="S59" s="477">
        <f>9687.936-2411.463</f>
        <v>7276.473</v>
      </c>
      <c r="T59" s="667"/>
      <c r="U59" s="581"/>
      <c r="V59" s="581"/>
      <c r="W59" s="581"/>
      <c r="X59" s="726">
        <f t="shared" ref="X59:X66" si="30">S59</f>
        <v>7276.473</v>
      </c>
      <c r="AB59" s="581"/>
      <c r="AC59" s="581"/>
      <c r="AD59" s="401"/>
      <c r="AE59" s="401"/>
      <c r="AF59" s="401"/>
      <c r="AG59" s="401"/>
      <c r="AH59" s="401"/>
      <c r="AI59" s="401"/>
      <c r="AJ59" s="401"/>
      <c r="AK59" s="401"/>
      <c r="AL59" s="401"/>
      <c r="AM59" s="401"/>
      <c r="AN59" s="401"/>
      <c r="AO59" s="401"/>
      <c r="AP59" s="401"/>
      <c r="AQ59" s="401"/>
      <c r="AR59" s="401"/>
      <c r="AS59" s="401"/>
      <c r="AT59" s="401"/>
      <c r="AU59" s="401"/>
      <c r="AV59" s="401"/>
      <c r="AW59" s="401"/>
      <c r="AX59" s="401"/>
      <c r="AY59" s="401"/>
      <c r="AZ59" s="401"/>
      <c r="BA59" s="401"/>
      <c r="BB59" s="401"/>
      <c r="BC59" s="401"/>
      <c r="BD59" s="473">
        <f t="shared" si="16"/>
        <v>45264.833333333336</v>
      </c>
      <c r="BE59" s="473">
        <f t="shared" si="17"/>
        <v>45289.611111111109</v>
      </c>
      <c r="BF59" s="479">
        <f t="shared" si="18"/>
        <v>24.777777777773736</v>
      </c>
      <c r="BG59" s="473">
        <v>45264.833333333336</v>
      </c>
      <c r="BH59" s="473">
        <v>45278.875</v>
      </c>
      <c r="BI59" s="473">
        <v>45280.989583333336</v>
      </c>
      <c r="BJ59" s="473">
        <v>45281.496527777781</v>
      </c>
      <c r="BK59" s="473">
        <v>45281.654166666667</v>
      </c>
      <c r="BL59" s="473">
        <v>45281.663194444445</v>
      </c>
      <c r="BM59" s="473">
        <v>45281.673611111109</v>
      </c>
      <c r="BN59" s="473">
        <f t="shared" si="27"/>
        <v>45283.381944444445</v>
      </c>
      <c r="BO59" s="473">
        <v>45283.5</v>
      </c>
      <c r="BP59" s="473">
        <v>45283.666666666664</v>
      </c>
      <c r="BQ59" s="473">
        <v>45283.625</v>
      </c>
      <c r="BR59" s="473">
        <v>45284.8125</v>
      </c>
      <c r="BS59" s="473">
        <v>45289.3125</v>
      </c>
      <c r="BT59" s="473">
        <v>45289.555555555555</v>
      </c>
      <c r="BU59" s="473">
        <v>45289.611111111109</v>
      </c>
      <c r="BV59" s="473">
        <v>45289.611111111109</v>
      </c>
      <c r="BW59" s="473">
        <v>45289.611111111109</v>
      </c>
      <c r="BX59" s="475" t="s">
        <v>3812</v>
      </c>
      <c r="BZ59" s="481">
        <f t="shared" si="19"/>
        <v>50.750000000058208</v>
      </c>
      <c r="CA59" s="481">
        <f t="shared" si="20"/>
        <v>3.7833333332673647</v>
      </c>
      <c r="CB59" s="481">
        <f t="shared" si="21"/>
        <v>41.000000000058208</v>
      </c>
      <c r="CC59" s="481">
        <f t="shared" si="28"/>
        <v>27.500000000058208</v>
      </c>
      <c r="CD59" s="482">
        <f t="shared" si="22"/>
        <v>5.8333333333139308</v>
      </c>
      <c r="CE59" s="482">
        <f t="shared" si="23"/>
        <v>0</v>
      </c>
      <c r="CF59" s="483">
        <f t="shared" si="24"/>
        <v>5.3694444444481633</v>
      </c>
      <c r="CG59" s="483">
        <f t="shared" si="25"/>
        <v>24.777777777773736</v>
      </c>
      <c r="CH59" s="484">
        <f t="shared" si="26"/>
        <v>0.21670403587462489</v>
      </c>
    </row>
    <row r="60" spans="1:86" s="475" customFormat="1">
      <c r="A60" s="474">
        <f t="shared" si="15"/>
        <v>45281.496527777781</v>
      </c>
      <c r="B60" s="475" t="s">
        <v>228</v>
      </c>
      <c r="C60" s="475" t="s">
        <v>229</v>
      </c>
      <c r="D60" s="475" t="s">
        <v>197</v>
      </c>
      <c r="E60" s="399" t="s">
        <v>965</v>
      </c>
      <c r="F60" s="399" t="s">
        <v>3474</v>
      </c>
      <c r="G60" s="472">
        <v>45281</v>
      </c>
      <c r="H60" s="472">
        <v>45281.033333333333</v>
      </c>
      <c r="I60" s="475" t="s">
        <v>231</v>
      </c>
      <c r="J60" s="475" t="s">
        <v>192</v>
      </c>
      <c r="K60" s="475" t="s">
        <v>192</v>
      </c>
      <c r="L60" s="399" t="s">
        <v>3811</v>
      </c>
      <c r="M60" s="530"/>
      <c r="N60" s="475" t="s">
        <v>367</v>
      </c>
      <c r="O60" s="475" t="s">
        <v>368</v>
      </c>
      <c r="P60" s="399" t="s">
        <v>235</v>
      </c>
      <c r="Q60" s="477">
        <f>4111*2.4</f>
        <v>9866.4</v>
      </c>
      <c r="R60" s="477">
        <f>9900+100</f>
        <v>10000</v>
      </c>
      <c r="S60" s="477">
        <v>1962.443</v>
      </c>
      <c r="T60" s="399"/>
      <c r="U60" s="401"/>
      <c r="V60" s="401"/>
      <c r="W60" s="401"/>
      <c r="X60" s="580">
        <f t="shared" si="30"/>
        <v>1962.443</v>
      </c>
      <c r="AB60" s="401"/>
      <c r="AC60" s="401"/>
      <c r="AD60" s="401"/>
      <c r="AE60" s="401"/>
      <c r="AF60" s="401"/>
      <c r="AG60" s="401"/>
      <c r="AH60" s="401"/>
      <c r="AI60" s="401"/>
      <c r="AJ60" s="401"/>
      <c r="AK60" s="401"/>
      <c r="AL60" s="401"/>
      <c r="AM60" s="401"/>
      <c r="AN60" s="401"/>
      <c r="AO60" s="401"/>
      <c r="AP60" s="401"/>
      <c r="AQ60" s="401"/>
      <c r="AR60" s="401"/>
      <c r="AS60" s="401"/>
      <c r="AT60" s="401"/>
      <c r="AU60" s="401"/>
      <c r="AV60" s="401"/>
      <c r="AW60" s="401"/>
      <c r="AX60" s="401"/>
      <c r="AY60" s="401"/>
      <c r="AZ60" s="401"/>
      <c r="BA60" s="401"/>
      <c r="BB60" s="401"/>
      <c r="BC60" s="401"/>
      <c r="BD60" s="473">
        <f t="shared" si="16"/>
        <v>45264.833333333336</v>
      </c>
      <c r="BE60" s="473">
        <f t="shared" si="17"/>
        <v>45290.375</v>
      </c>
      <c r="BF60" s="479">
        <f t="shared" si="18"/>
        <v>25.541666666664241</v>
      </c>
      <c r="BG60" s="473">
        <v>45264.833333333336</v>
      </c>
      <c r="BH60" s="473">
        <v>45278.875</v>
      </c>
      <c r="BI60" s="473">
        <v>45280.989583333336</v>
      </c>
      <c r="BJ60" s="473">
        <v>45281.496527777781</v>
      </c>
      <c r="BK60" s="473">
        <v>45281.654166666667</v>
      </c>
      <c r="BL60" s="473">
        <v>45281.663194444445</v>
      </c>
      <c r="BM60" s="473">
        <v>45281.673611111109</v>
      </c>
      <c r="BN60" s="473">
        <f t="shared" si="27"/>
        <v>45283.381944444445</v>
      </c>
      <c r="BO60" s="473">
        <v>45283.5</v>
      </c>
      <c r="BP60" s="473">
        <v>45283.666666666664</v>
      </c>
      <c r="BQ60" s="473">
        <v>45283.625</v>
      </c>
      <c r="BR60" s="473">
        <v>45289.611111111109</v>
      </c>
      <c r="BS60" s="473">
        <v>45290.041666666664</v>
      </c>
      <c r="BT60" s="473">
        <v>45290.097222222219</v>
      </c>
      <c r="BU60" s="473">
        <v>45290.104166666664</v>
      </c>
      <c r="BV60" s="473">
        <v>45290.229166666664</v>
      </c>
      <c r="BW60" s="473">
        <v>45290.375</v>
      </c>
      <c r="BX60" s="475" t="s">
        <v>3812</v>
      </c>
      <c r="BZ60" s="481">
        <f t="shared" si="19"/>
        <v>50.750000000058208</v>
      </c>
      <c r="CA60" s="481">
        <f t="shared" si="20"/>
        <v>3.7833333332673647</v>
      </c>
      <c r="CB60" s="481">
        <f t="shared" si="21"/>
        <v>41.000000000058208</v>
      </c>
      <c r="CC60" s="481">
        <f t="shared" si="28"/>
        <v>142.66666666668607</v>
      </c>
      <c r="CD60" s="482">
        <f t="shared" si="22"/>
        <v>1.3333333333139308</v>
      </c>
      <c r="CE60" s="482">
        <f t="shared" si="23"/>
        <v>3.5000000000582077</v>
      </c>
      <c r="CF60" s="483">
        <f t="shared" si="24"/>
        <v>10.126388888893416</v>
      </c>
      <c r="CG60" s="483">
        <f t="shared" si="25"/>
        <v>25.541666666664241</v>
      </c>
      <c r="CH60" s="484">
        <f t="shared" si="26"/>
        <v>0.39646547036454333</v>
      </c>
    </row>
    <row r="61" spans="1:86" s="475" customFormat="1">
      <c r="A61" s="474">
        <f t="shared" si="15"/>
        <v>45281.895833333336</v>
      </c>
      <c r="B61" s="475" t="s">
        <v>228</v>
      </c>
      <c r="C61" s="475" t="s">
        <v>229</v>
      </c>
      <c r="D61" s="475" t="s">
        <v>197</v>
      </c>
      <c r="E61" s="476" t="s">
        <v>3207</v>
      </c>
      <c r="F61" s="475" t="s">
        <v>3378</v>
      </c>
      <c r="G61" s="472">
        <v>45282.125</v>
      </c>
      <c r="H61" s="472">
        <v>45282.184027777781</v>
      </c>
      <c r="I61" s="475" t="s">
        <v>231</v>
      </c>
      <c r="J61" s="475" t="s">
        <v>192</v>
      </c>
      <c r="K61" s="475" t="s">
        <v>192</v>
      </c>
      <c r="L61" s="399" t="s">
        <v>3813</v>
      </c>
      <c r="M61" s="530"/>
      <c r="N61" s="475" t="s">
        <v>686</v>
      </c>
      <c r="O61" s="475" t="s">
        <v>1186</v>
      </c>
      <c r="P61" s="475" t="s">
        <v>235</v>
      </c>
      <c r="Q61" s="477">
        <f>3136*2.4</f>
        <v>7526.4</v>
      </c>
      <c r="R61" s="477">
        <f>7550+100</f>
        <v>7650</v>
      </c>
      <c r="S61" s="477">
        <v>7403.1</v>
      </c>
      <c r="T61" s="667"/>
      <c r="U61" s="581"/>
      <c r="V61" s="581"/>
      <c r="W61" s="581"/>
      <c r="X61" s="726">
        <f t="shared" si="30"/>
        <v>7403.1</v>
      </c>
      <c r="AB61" s="401"/>
      <c r="AC61" s="581"/>
      <c r="AD61" s="581"/>
      <c r="AE61" s="581"/>
      <c r="AF61" s="724"/>
      <c r="AG61" s="724"/>
      <c r="AH61" s="581"/>
      <c r="AI61" s="575"/>
      <c r="BD61" s="473">
        <f t="shared" si="16"/>
        <v>45277.395833333336</v>
      </c>
      <c r="BE61" s="473">
        <f t="shared" si="17"/>
        <v>45289.416666666664</v>
      </c>
      <c r="BF61" s="479">
        <f t="shared" si="18"/>
        <v>12.020833333328483</v>
      </c>
      <c r="BG61" s="473">
        <v>45277.395833333336</v>
      </c>
      <c r="BH61" s="473">
        <v>45278.788194444445</v>
      </c>
      <c r="BI61" s="473">
        <v>45280.75</v>
      </c>
      <c r="BJ61" s="473">
        <v>45281.895833333336</v>
      </c>
      <c r="BK61" s="473">
        <v>45282.024305555555</v>
      </c>
      <c r="BL61" s="473">
        <v>45282.03125</v>
      </c>
      <c r="BM61" s="473">
        <v>45282.038194444445</v>
      </c>
      <c r="BN61" s="473">
        <f t="shared" si="27"/>
        <v>45283.746527777781</v>
      </c>
      <c r="BO61" s="473">
        <v>45283.5</v>
      </c>
      <c r="BP61" s="473">
        <v>45283.666666666664</v>
      </c>
      <c r="BQ61" s="473">
        <v>45283.600694444445</v>
      </c>
      <c r="BR61" s="473">
        <v>45285.645833333336</v>
      </c>
      <c r="BS61" s="473">
        <v>45288.618055555555</v>
      </c>
      <c r="BT61" s="473">
        <v>45289.048611111109</v>
      </c>
      <c r="BU61" s="473">
        <v>45289.069444444445</v>
      </c>
      <c r="BV61" s="473">
        <v>45289.069444444445</v>
      </c>
      <c r="BW61" s="473">
        <v>45289.416666666664</v>
      </c>
      <c r="BZ61" s="481">
        <f t="shared" si="19"/>
        <v>47.083333333313931</v>
      </c>
      <c r="CA61" s="481">
        <f t="shared" si="20"/>
        <v>3.0833333332557231</v>
      </c>
      <c r="CB61" s="481">
        <f t="shared" si="21"/>
        <v>41.000000000058208</v>
      </c>
      <c r="CC61" s="481">
        <f t="shared" si="28"/>
        <v>47.500000000116415</v>
      </c>
      <c r="CD61" s="482">
        <f t="shared" si="22"/>
        <v>10.333333333313931</v>
      </c>
      <c r="CE61" s="482">
        <f t="shared" si="23"/>
        <v>8.3333333332557231</v>
      </c>
      <c r="CF61" s="483">
        <f t="shared" si="24"/>
        <v>6.5555555555547471</v>
      </c>
      <c r="CG61" s="483">
        <f t="shared" si="25"/>
        <v>12.020833333328483</v>
      </c>
      <c r="CH61" s="484">
        <f t="shared" si="26"/>
        <v>0.54534950895451439</v>
      </c>
    </row>
    <row r="62" spans="1:86" s="475" customFormat="1">
      <c r="A62" s="474">
        <f t="shared" si="15"/>
        <v>45282.243055555555</v>
      </c>
      <c r="B62" s="475" t="s">
        <v>228</v>
      </c>
      <c r="C62" s="475" t="s">
        <v>229</v>
      </c>
      <c r="D62" s="475" t="s">
        <v>197</v>
      </c>
      <c r="E62" s="476" t="s">
        <v>3207</v>
      </c>
      <c r="F62" s="475" t="s">
        <v>3378</v>
      </c>
      <c r="G62" s="472">
        <v>45282.125</v>
      </c>
      <c r="H62" s="472">
        <v>45282.184027777781</v>
      </c>
      <c r="I62" s="475" t="s">
        <v>231</v>
      </c>
      <c r="J62" s="475" t="s">
        <v>192</v>
      </c>
      <c r="K62" s="475" t="s">
        <v>192</v>
      </c>
      <c r="L62" s="399" t="s">
        <v>3814</v>
      </c>
      <c r="M62" s="530"/>
      <c r="N62" s="475" t="s">
        <v>1313</v>
      </c>
      <c r="O62" s="475" t="s">
        <v>2486</v>
      </c>
      <c r="P62" s="475" t="s">
        <v>235</v>
      </c>
      <c r="Q62" s="477">
        <f>3071*2.4</f>
        <v>7370.4</v>
      </c>
      <c r="R62" s="477">
        <f>7400+100</f>
        <v>7500</v>
      </c>
      <c r="S62" s="477">
        <v>7564.2219999999998</v>
      </c>
      <c r="U62" s="581"/>
      <c r="V62" s="581"/>
      <c r="W62" s="581"/>
      <c r="X62" s="726">
        <f t="shared" si="30"/>
        <v>7564.2219999999998</v>
      </c>
      <c r="AB62" s="401"/>
      <c r="AC62" s="581"/>
      <c r="AD62" s="581"/>
      <c r="AE62" s="577"/>
      <c r="AF62" s="577"/>
      <c r="AG62" s="577"/>
      <c r="AH62" s="577"/>
      <c r="AI62" s="577"/>
      <c r="AJ62" s="577"/>
      <c r="AM62" s="581"/>
      <c r="BD62" s="473">
        <f t="shared" si="16"/>
        <v>45277.3125</v>
      </c>
      <c r="BE62" s="473">
        <f t="shared" si="17"/>
        <v>45289.854166666664</v>
      </c>
      <c r="BF62" s="479">
        <f t="shared" si="18"/>
        <v>12.541666666664241</v>
      </c>
      <c r="BG62" s="473">
        <v>45277.3125</v>
      </c>
      <c r="BH62" s="473">
        <v>45278.819444444445</v>
      </c>
      <c r="BI62" s="473">
        <v>45280.979166666664</v>
      </c>
      <c r="BJ62" s="473">
        <v>45282.243055555555</v>
      </c>
      <c r="BK62" s="473">
        <v>45282.402777777781</v>
      </c>
      <c r="BL62" s="473">
        <v>45282.413194444445</v>
      </c>
      <c r="BM62" s="473">
        <v>45282.413194444445</v>
      </c>
      <c r="BN62" s="473">
        <f t="shared" si="27"/>
        <v>45284.121527777781</v>
      </c>
      <c r="BO62" s="473">
        <v>45284.541666666664</v>
      </c>
      <c r="BP62" s="473">
        <v>45284.708333333328</v>
      </c>
      <c r="BQ62" s="473">
        <v>45284.71875</v>
      </c>
      <c r="BR62" s="473">
        <v>45286.375</v>
      </c>
      <c r="BS62" s="473">
        <v>45289.111111111109</v>
      </c>
      <c r="BT62" s="473">
        <v>45289.416666666664</v>
      </c>
      <c r="BU62" s="473">
        <v>45289.4375</v>
      </c>
      <c r="BV62" s="473">
        <v>45289.4375</v>
      </c>
      <c r="BW62" s="473">
        <v>45289.854166666664</v>
      </c>
      <c r="BZ62" s="481">
        <f t="shared" si="19"/>
        <v>51.833333333255723</v>
      </c>
      <c r="CA62" s="481">
        <f t="shared" si="20"/>
        <v>3.8333333334303461</v>
      </c>
      <c r="CB62" s="481">
        <f t="shared" si="21"/>
        <v>41.000000000058208</v>
      </c>
      <c r="CC62" s="481">
        <f t="shared" si="28"/>
        <v>40.000000000116415</v>
      </c>
      <c r="CD62" s="482">
        <f t="shared" si="22"/>
        <v>7.3333333333139308</v>
      </c>
      <c r="CE62" s="482">
        <f t="shared" si="23"/>
        <v>9.9999999999417923</v>
      </c>
      <c r="CF62" s="483">
        <f t="shared" si="24"/>
        <v>6.4166666666715173</v>
      </c>
      <c r="CG62" s="483">
        <f t="shared" si="25"/>
        <v>12.541666666664241</v>
      </c>
      <c r="CH62" s="484">
        <f t="shared" si="26"/>
        <v>0.51162790697722993</v>
      </c>
    </row>
    <row r="63" spans="1:86" s="475" customFormat="1">
      <c r="A63" s="474">
        <f t="shared" si="15"/>
        <v>45282.590277777781</v>
      </c>
      <c r="B63" s="475" t="s">
        <v>228</v>
      </c>
      <c r="C63" s="475" t="s">
        <v>229</v>
      </c>
      <c r="D63" s="475" t="s">
        <v>215</v>
      </c>
      <c r="E63" s="399" t="s">
        <v>965</v>
      </c>
      <c r="F63" s="475" t="s">
        <v>3474</v>
      </c>
      <c r="G63" s="472">
        <v>45281</v>
      </c>
      <c r="H63" s="472">
        <v>45281.033333333333</v>
      </c>
      <c r="I63" s="475" t="s">
        <v>231</v>
      </c>
      <c r="J63" s="475" t="s">
        <v>192</v>
      </c>
      <c r="K63" s="475" t="s">
        <v>192</v>
      </c>
      <c r="L63" s="399" t="s">
        <v>3815</v>
      </c>
      <c r="M63" s="530"/>
      <c r="N63" s="475" t="s">
        <v>301</v>
      </c>
      <c r="O63" s="475" t="s">
        <v>302</v>
      </c>
      <c r="P63" s="475" t="s">
        <v>235</v>
      </c>
      <c r="Q63" s="477">
        <f>3852*2.4</f>
        <v>9244.7999999999993</v>
      </c>
      <c r="R63" s="477">
        <v>9250</v>
      </c>
      <c r="S63" s="477">
        <v>9089.0380000000005</v>
      </c>
      <c r="T63" s="399"/>
      <c r="U63" s="581"/>
      <c r="V63" s="581"/>
      <c r="W63" s="581"/>
      <c r="X63" s="726">
        <f t="shared" si="30"/>
        <v>9089.0380000000005</v>
      </c>
      <c r="AB63" s="401"/>
      <c r="AC63" s="577"/>
      <c r="AD63" s="577"/>
      <c r="AE63" s="577"/>
      <c r="AF63" s="577"/>
      <c r="AG63" s="577"/>
      <c r="AH63" s="577"/>
      <c r="AI63" s="577"/>
      <c r="AJ63" s="577"/>
      <c r="BD63" s="473">
        <f t="shared" si="16"/>
        <v>45277.808333333334</v>
      </c>
      <c r="BE63" s="473">
        <f t="shared" si="17"/>
        <v>45288.427083333336</v>
      </c>
      <c r="BF63" s="479">
        <f t="shared" si="18"/>
        <v>10.618750000001455</v>
      </c>
      <c r="BG63" s="473">
        <v>45277.808333333334</v>
      </c>
      <c r="BH63" s="473">
        <v>45279.815972222219</v>
      </c>
      <c r="BI63" s="473">
        <v>45281.659722222219</v>
      </c>
      <c r="BJ63" s="473">
        <v>45282.590277777781</v>
      </c>
      <c r="BK63" s="473">
        <v>45282.767361111109</v>
      </c>
      <c r="BL63" s="473">
        <v>45282.770833333336</v>
      </c>
      <c r="BM63" s="473">
        <v>45282.770833333336</v>
      </c>
      <c r="BN63" s="473">
        <f t="shared" si="27"/>
        <v>45284.479166666672</v>
      </c>
      <c r="BO63" s="473">
        <v>45284.541666666664</v>
      </c>
      <c r="BP63" s="473">
        <v>45284.708333333328</v>
      </c>
      <c r="BQ63" s="473">
        <v>45284.579861111109</v>
      </c>
      <c r="BR63" s="473">
        <v>45286.21875</v>
      </c>
      <c r="BS63" s="473">
        <v>45287.840277777781</v>
      </c>
      <c r="BT63" s="473">
        <v>45288.020833333336</v>
      </c>
      <c r="BU63" s="473">
        <v>45288.041666666664</v>
      </c>
      <c r="BV63" s="473">
        <v>45288.041666666664</v>
      </c>
      <c r="BW63" s="473">
        <v>45288.427083333336</v>
      </c>
      <c r="BZ63" s="481">
        <f t="shared" si="19"/>
        <v>44.25</v>
      </c>
      <c r="CA63" s="481">
        <f t="shared" si="20"/>
        <v>4.2499999998835847</v>
      </c>
      <c r="CB63" s="481">
        <f t="shared" si="21"/>
        <v>41.000000000058208</v>
      </c>
      <c r="CC63" s="481">
        <f t="shared" si="28"/>
        <v>36.250000000116415</v>
      </c>
      <c r="CD63" s="482">
        <f t="shared" si="22"/>
        <v>4.3333333333139308</v>
      </c>
      <c r="CE63" s="482">
        <f t="shared" si="23"/>
        <v>9.2500000001164153</v>
      </c>
      <c r="CF63" s="483">
        <f t="shared" si="24"/>
        <v>5.8055555555620231</v>
      </c>
      <c r="CG63" s="483">
        <f t="shared" si="25"/>
        <v>10.618750000001455</v>
      </c>
      <c r="CH63" s="484">
        <f t="shared" si="26"/>
        <v>0.54672683277798495</v>
      </c>
    </row>
    <row r="64" spans="1:86" s="475" customFormat="1">
      <c r="A64" s="474">
        <f t="shared" si="15"/>
        <v>45283.805555555555</v>
      </c>
      <c r="B64" s="475" t="s">
        <v>228</v>
      </c>
      <c r="C64" s="475" t="s">
        <v>229</v>
      </c>
      <c r="D64" s="475" t="s">
        <v>197</v>
      </c>
      <c r="E64" s="399" t="s">
        <v>965</v>
      </c>
      <c r="F64" s="475" t="s">
        <v>3474</v>
      </c>
      <c r="G64" s="472">
        <v>45281</v>
      </c>
      <c r="H64" s="472">
        <v>45281.033333333333</v>
      </c>
      <c r="I64" s="475" t="s">
        <v>231</v>
      </c>
      <c r="J64" s="475" t="s">
        <v>192</v>
      </c>
      <c r="K64" s="475" t="s">
        <v>192</v>
      </c>
      <c r="L64" s="399" t="s">
        <v>3816</v>
      </c>
      <c r="M64" s="530"/>
      <c r="N64" s="475" t="s">
        <v>2404</v>
      </c>
      <c r="O64" s="475" t="s">
        <v>2405</v>
      </c>
      <c r="P64" s="475" t="s">
        <v>235</v>
      </c>
      <c r="Q64" s="477">
        <f>4337*2.4</f>
        <v>10408.799999999999</v>
      </c>
      <c r="R64" s="477">
        <f>10500+100</f>
        <v>10600</v>
      </c>
      <c r="S64" s="477">
        <v>10462.859</v>
      </c>
      <c r="T64" s="667"/>
      <c r="U64" s="581"/>
      <c r="V64" s="581"/>
      <c r="W64" s="581"/>
      <c r="X64" s="726">
        <f t="shared" si="30"/>
        <v>10462.859</v>
      </c>
      <c r="AA64" s="581"/>
      <c r="AB64" s="401"/>
      <c r="AC64" s="581"/>
      <c r="AD64" s="581"/>
      <c r="BD64" s="473">
        <f t="shared" si="16"/>
        <v>45278.986111111109</v>
      </c>
      <c r="BE64" s="473">
        <f t="shared" si="17"/>
        <v>45288.666666666664</v>
      </c>
      <c r="BF64" s="479">
        <f t="shared" si="18"/>
        <v>9.6805555555547471</v>
      </c>
      <c r="BG64" s="473">
        <v>45278.986111111109</v>
      </c>
      <c r="BH64" s="473">
        <v>45279.770833333336</v>
      </c>
      <c r="BI64" s="473">
        <v>45281.666666666664</v>
      </c>
      <c r="BJ64" s="473">
        <v>45283.805555555555</v>
      </c>
      <c r="BK64" s="473">
        <v>45284.03125</v>
      </c>
      <c r="BL64" s="473">
        <v>45284.034722222219</v>
      </c>
      <c r="BM64" s="473">
        <v>45284.034722222219</v>
      </c>
      <c r="BN64" s="473">
        <f t="shared" si="27"/>
        <v>45285.743055555555</v>
      </c>
      <c r="BO64" s="473">
        <v>45285.583333333336</v>
      </c>
      <c r="BP64" s="473">
        <v>45285.75</v>
      </c>
      <c r="BQ64" s="473">
        <v>45285.75</v>
      </c>
      <c r="BR64" s="473">
        <v>45287.125</v>
      </c>
      <c r="BS64" s="473">
        <v>45288.0625</v>
      </c>
      <c r="BT64" s="473">
        <v>45288.28125</v>
      </c>
      <c r="BU64" s="473">
        <v>45288.302083333336</v>
      </c>
      <c r="BV64" s="473">
        <v>45288.302083333336</v>
      </c>
      <c r="BW64" s="473">
        <v>45288.666666666664</v>
      </c>
      <c r="BZ64" s="481">
        <f t="shared" si="19"/>
        <v>45.499999999883585</v>
      </c>
      <c r="CA64" s="481">
        <f t="shared" si="20"/>
        <v>5.4166666666860692</v>
      </c>
      <c r="CB64" s="481">
        <f t="shared" si="21"/>
        <v>41.000000000058208</v>
      </c>
      <c r="CC64" s="481">
        <f t="shared" si="28"/>
        <v>33</v>
      </c>
      <c r="CD64" s="482">
        <f t="shared" si="22"/>
        <v>5.25</v>
      </c>
      <c r="CE64" s="482">
        <f t="shared" si="23"/>
        <v>8.7499999998835847</v>
      </c>
      <c r="CF64" s="483">
        <f t="shared" si="24"/>
        <v>5.7881944444379769</v>
      </c>
      <c r="CG64" s="483">
        <f t="shared" si="25"/>
        <v>9.6805555555547471</v>
      </c>
      <c r="CH64" s="484">
        <f t="shared" si="26"/>
        <v>0.59791965566652672</v>
      </c>
    </row>
    <row r="65" spans="1:88" s="475" customFormat="1">
      <c r="A65" s="474">
        <f t="shared" si="15"/>
        <v>45284.059027777781</v>
      </c>
      <c r="B65" s="475" t="s">
        <v>228</v>
      </c>
      <c r="C65" s="475" t="s">
        <v>229</v>
      </c>
      <c r="D65" s="475" t="s">
        <v>197</v>
      </c>
      <c r="E65" s="399" t="s">
        <v>965</v>
      </c>
      <c r="F65" s="475" t="s">
        <v>3474</v>
      </c>
      <c r="G65" s="472">
        <v>45281</v>
      </c>
      <c r="H65" s="472">
        <v>45281.033333333333</v>
      </c>
      <c r="I65" s="475" t="s">
        <v>231</v>
      </c>
      <c r="J65" s="475" t="s">
        <v>192</v>
      </c>
      <c r="K65" s="475" t="s">
        <v>192</v>
      </c>
      <c r="L65" s="399" t="s">
        <v>3817</v>
      </c>
      <c r="M65" s="530"/>
      <c r="N65" s="475" t="s">
        <v>260</v>
      </c>
      <c r="O65" s="475" t="s">
        <v>261</v>
      </c>
      <c r="P65" s="475" t="s">
        <v>235</v>
      </c>
      <c r="Q65" s="477">
        <f>3107*2.4</f>
        <v>7456.7999999999993</v>
      </c>
      <c r="R65" s="477">
        <f>7500+100</f>
        <v>7600</v>
      </c>
      <c r="S65" s="477">
        <v>7553.9709999999995</v>
      </c>
      <c r="T65" s="667"/>
      <c r="U65" s="581"/>
      <c r="V65" s="581"/>
      <c r="W65" s="581"/>
      <c r="X65" s="726">
        <f t="shared" si="30"/>
        <v>7553.9709999999995</v>
      </c>
      <c r="AB65" s="401"/>
      <c r="AC65" s="581"/>
      <c r="AD65" s="581"/>
      <c r="BD65" s="473">
        <f t="shared" si="16"/>
        <v>45277.958333333336</v>
      </c>
      <c r="BE65" s="473">
        <f t="shared" si="17"/>
        <v>45290.291666666664</v>
      </c>
      <c r="BF65" s="479">
        <f t="shared" si="18"/>
        <v>12.333333333328483</v>
      </c>
      <c r="BG65" s="473">
        <v>45277.958333333336</v>
      </c>
      <c r="BH65" s="473">
        <v>45279.826388888891</v>
      </c>
      <c r="BI65" s="473">
        <v>45282.354166666664</v>
      </c>
      <c r="BJ65" s="473">
        <v>45284.059027777781</v>
      </c>
      <c r="BK65" s="473">
        <v>45284.1875</v>
      </c>
      <c r="BL65" s="473">
        <v>45284.190972222219</v>
      </c>
      <c r="BM65" s="473">
        <v>45284.190972222219</v>
      </c>
      <c r="BN65" s="473">
        <f t="shared" si="27"/>
        <v>45285.899305555555</v>
      </c>
      <c r="BO65" s="480">
        <v>45287.229166608799</v>
      </c>
      <c r="BP65" s="480">
        <v>45287.395833275463</v>
      </c>
      <c r="BQ65" s="480">
        <v>45287.371527777781</v>
      </c>
      <c r="BR65" s="473">
        <v>45288.84375</v>
      </c>
      <c r="BS65" s="473">
        <v>45289.854166666664</v>
      </c>
      <c r="BT65" s="473">
        <v>45290</v>
      </c>
      <c r="BU65" s="473">
        <v>45290.020833333336</v>
      </c>
      <c r="BV65" s="473">
        <v>45290.236111111109</v>
      </c>
      <c r="BW65" s="473">
        <v>45290.291666666664</v>
      </c>
      <c r="BX65" s="475" t="s">
        <v>3818</v>
      </c>
      <c r="BZ65" s="481">
        <f t="shared" si="19"/>
        <v>60.666666666569654</v>
      </c>
      <c r="CA65" s="481">
        <f t="shared" si="20"/>
        <v>3.0833333332557231</v>
      </c>
      <c r="CB65" s="481">
        <f t="shared" si="21"/>
        <v>41.000000000058208</v>
      </c>
      <c r="CC65" s="481">
        <f t="shared" si="28"/>
        <v>34.750001388892997</v>
      </c>
      <c r="CD65" s="482">
        <f t="shared" si="22"/>
        <v>3.5000000000582077</v>
      </c>
      <c r="CE65" s="482">
        <f t="shared" si="23"/>
        <v>1.3333333333139308</v>
      </c>
      <c r="CF65" s="483">
        <f t="shared" si="24"/>
        <v>6.0138889467561967</v>
      </c>
      <c r="CG65" s="483">
        <f t="shared" si="25"/>
        <v>12.333333333328483</v>
      </c>
      <c r="CH65" s="484">
        <f t="shared" si="26"/>
        <v>0.48761261730474825</v>
      </c>
    </row>
    <row r="66" spans="1:88" s="475" customFormat="1">
      <c r="A66" s="474">
        <f t="shared" si="15"/>
        <v>45284.440972222219</v>
      </c>
      <c r="B66" s="475" t="s">
        <v>228</v>
      </c>
      <c r="C66" s="475" t="s">
        <v>229</v>
      </c>
      <c r="D66" s="475" t="s">
        <v>197</v>
      </c>
      <c r="E66" s="399" t="s">
        <v>965</v>
      </c>
      <c r="F66" s="475" t="s">
        <v>3474</v>
      </c>
      <c r="G66" s="472">
        <v>45281</v>
      </c>
      <c r="H66" s="472">
        <v>45281.033333333333</v>
      </c>
      <c r="I66" s="475" t="s">
        <v>231</v>
      </c>
      <c r="J66" s="475" t="s">
        <v>192</v>
      </c>
      <c r="K66" s="475" t="s">
        <v>192</v>
      </c>
      <c r="L66" s="399" t="s">
        <v>3819</v>
      </c>
      <c r="M66" s="530"/>
      <c r="N66" s="475" t="s">
        <v>429</v>
      </c>
      <c r="O66" s="475" t="s">
        <v>430</v>
      </c>
      <c r="P66" s="475" t="s">
        <v>235</v>
      </c>
      <c r="Q66" s="477">
        <f>3145 *2.4</f>
        <v>7548</v>
      </c>
      <c r="R66" s="477">
        <f>7550+100</f>
        <v>7650</v>
      </c>
      <c r="S66" s="477">
        <v>7529.1959999999999</v>
      </c>
      <c r="T66" s="667"/>
      <c r="U66" s="581"/>
      <c r="V66" s="581"/>
      <c r="W66" s="581"/>
      <c r="X66" s="726">
        <f t="shared" si="30"/>
        <v>7529.1959999999999</v>
      </c>
      <c r="AB66" s="401"/>
      <c r="AC66" s="581"/>
      <c r="AD66" s="581"/>
      <c r="AE66" s="581"/>
      <c r="AF66" s="581"/>
      <c r="AG66" s="581"/>
      <c r="AH66" s="581"/>
      <c r="AI66" s="581"/>
      <c r="AJ66" s="581"/>
      <c r="AK66" s="581"/>
      <c r="BD66" s="473">
        <f t="shared" si="16"/>
        <v>45276.885416666664</v>
      </c>
      <c r="BE66" s="473">
        <f t="shared" si="17"/>
        <v>45288.916666666664</v>
      </c>
      <c r="BF66" s="479">
        <f t="shared" si="18"/>
        <v>12.03125</v>
      </c>
      <c r="BG66" s="473">
        <v>45276.885416666664</v>
      </c>
      <c r="BH66" s="473">
        <v>45280.402777777781</v>
      </c>
      <c r="BI66" s="473">
        <v>45282.75</v>
      </c>
      <c r="BJ66" s="473">
        <v>45284.440972222219</v>
      </c>
      <c r="BK66" s="473">
        <v>45284.579861111109</v>
      </c>
      <c r="BL66" s="473">
        <v>45284.583333333336</v>
      </c>
      <c r="BM66" s="473">
        <v>45284.583333333336</v>
      </c>
      <c r="BN66" s="473">
        <f t="shared" si="27"/>
        <v>45286.291666666672</v>
      </c>
      <c r="BO66" s="473">
        <v>45286.229166666664</v>
      </c>
      <c r="BP66" s="473">
        <v>45286.395833333328</v>
      </c>
      <c r="BQ66" s="473">
        <v>45286.288194444445</v>
      </c>
      <c r="BR66" s="473">
        <v>45287.395833333336</v>
      </c>
      <c r="BS66" s="473">
        <v>45288.322916666664</v>
      </c>
      <c r="BT66" s="473">
        <v>45288.506944444445</v>
      </c>
      <c r="BU66" s="473">
        <v>45288.527777777781</v>
      </c>
      <c r="BV66" s="473">
        <v>45288.704861111109</v>
      </c>
      <c r="BW66" s="473">
        <v>45288.916666666664</v>
      </c>
      <c r="BZ66" s="481">
        <f t="shared" si="19"/>
        <v>56.333333333255723</v>
      </c>
      <c r="CA66" s="481">
        <f t="shared" si="20"/>
        <v>3.3333333333721384</v>
      </c>
      <c r="CB66" s="481">
        <f t="shared" si="21"/>
        <v>41.000000000058208</v>
      </c>
      <c r="CC66" s="481">
        <f t="shared" si="28"/>
        <v>24.000000000174623</v>
      </c>
      <c r="CD66" s="482">
        <f t="shared" si="22"/>
        <v>4.4166666667442769</v>
      </c>
      <c r="CE66" s="482">
        <f t="shared" si="23"/>
        <v>5.0833333333139308</v>
      </c>
      <c r="CF66" s="483">
        <f t="shared" si="24"/>
        <v>5.5902777777882875</v>
      </c>
      <c r="CG66" s="483">
        <f t="shared" si="25"/>
        <v>12.03125</v>
      </c>
      <c r="CH66" s="484">
        <f t="shared" si="26"/>
        <v>0.46464646464733816</v>
      </c>
    </row>
    <row r="67" spans="1:88" s="475" customFormat="1">
      <c r="A67" s="474">
        <f t="shared" si="15"/>
        <v>45284.607638888891</v>
      </c>
      <c r="B67" s="475" t="s">
        <v>228</v>
      </c>
      <c r="C67" s="475" t="s">
        <v>229</v>
      </c>
      <c r="D67" s="475" t="s">
        <v>197</v>
      </c>
      <c r="E67" s="399" t="s">
        <v>965</v>
      </c>
      <c r="F67" s="475" t="s">
        <v>3474</v>
      </c>
      <c r="G67" s="472">
        <v>45281</v>
      </c>
      <c r="H67" s="472">
        <v>45281.033333333333</v>
      </c>
      <c r="I67" s="475" t="s">
        <v>231</v>
      </c>
      <c r="J67" s="475" t="s">
        <v>192</v>
      </c>
      <c r="K67" s="475" t="s">
        <v>192</v>
      </c>
      <c r="L67" s="399" t="s">
        <v>3820</v>
      </c>
      <c r="M67" s="530"/>
      <c r="N67" s="475" t="s">
        <v>208</v>
      </c>
      <c r="O67" s="475" t="s">
        <v>328</v>
      </c>
      <c r="P67" s="475" t="s">
        <v>240</v>
      </c>
      <c r="Q67" s="477">
        <f>3128*2.4</f>
        <v>7507.2</v>
      </c>
      <c r="R67" s="477">
        <f>7550+100</f>
        <v>7650</v>
      </c>
      <c r="S67" s="477">
        <v>7433.1760000000004</v>
      </c>
      <c r="T67" s="399"/>
      <c r="U67" s="581"/>
      <c r="W67" s="581"/>
      <c r="Y67" s="726">
        <f>S67</f>
        <v>7433.1760000000004</v>
      </c>
      <c r="Z67" s="581"/>
      <c r="AA67" s="581"/>
      <c r="AB67" s="581"/>
      <c r="AD67" s="581"/>
      <c r="AE67" s="724"/>
      <c r="AF67" s="724"/>
      <c r="AG67" s="724"/>
      <c r="AH67" s="724"/>
      <c r="AO67" s="581"/>
      <c r="AP67" s="581"/>
      <c r="AQ67" s="581"/>
      <c r="AR67" s="581"/>
      <c r="AS67" s="581"/>
      <c r="AT67" s="581"/>
      <c r="AU67" s="581"/>
      <c r="AV67" s="581"/>
      <c r="AW67" s="581"/>
      <c r="AX67" s="581"/>
      <c r="AY67" s="581"/>
      <c r="AZ67" s="581"/>
      <c r="BA67" s="581"/>
      <c r="BB67" s="581"/>
      <c r="BC67" s="581"/>
      <c r="BD67" s="473">
        <f t="shared" si="16"/>
        <v>45280</v>
      </c>
      <c r="BE67" s="473">
        <f t="shared" si="17"/>
        <v>45289.034722222219</v>
      </c>
      <c r="BF67" s="479">
        <f t="shared" si="18"/>
        <v>9.0347222222189885</v>
      </c>
      <c r="BG67" s="473">
        <v>45280</v>
      </c>
      <c r="BH67" s="473">
        <v>45280.805555555555</v>
      </c>
      <c r="BI67" s="473">
        <v>45282.791666666664</v>
      </c>
      <c r="BJ67" s="473">
        <v>45284.607638888891</v>
      </c>
      <c r="BK67" s="473">
        <v>45284.739583333336</v>
      </c>
      <c r="BL67" s="473">
        <v>45284.75</v>
      </c>
      <c r="BM67" s="473">
        <v>45284.75</v>
      </c>
      <c r="BN67" s="473">
        <f t="shared" si="27"/>
        <v>45286.458333333336</v>
      </c>
      <c r="BO67" s="473">
        <v>45286.229166666664</v>
      </c>
      <c r="BP67" s="473">
        <v>45286.395833333328</v>
      </c>
      <c r="BQ67" s="473">
        <v>45286.253472222219</v>
      </c>
      <c r="BR67" s="473">
        <v>45287.375</v>
      </c>
      <c r="BS67" s="473">
        <v>45288.673611111109</v>
      </c>
      <c r="BT67" s="473">
        <v>45288.815972222219</v>
      </c>
      <c r="BU67" s="473">
        <v>45288.826388888891</v>
      </c>
      <c r="BV67" s="473">
        <v>45288.826388888891</v>
      </c>
      <c r="BW67" s="473">
        <v>45289.034722222219</v>
      </c>
      <c r="BZ67" s="481">
        <f t="shared" si="19"/>
        <v>47.666666666627862</v>
      </c>
      <c r="CA67" s="481">
        <f t="shared" si="20"/>
        <v>3.1666666666860692</v>
      </c>
      <c r="CB67" s="481">
        <f t="shared" si="21"/>
        <v>41.000000000058208</v>
      </c>
      <c r="CC67" s="481">
        <f t="shared" si="28"/>
        <v>23.500000000116415</v>
      </c>
      <c r="CD67" s="482">
        <f t="shared" si="22"/>
        <v>3.4166666666278616</v>
      </c>
      <c r="CE67" s="482">
        <f t="shared" si="23"/>
        <v>4.9999999998835847</v>
      </c>
      <c r="CF67" s="483">
        <f t="shared" si="24"/>
        <v>5.15625</v>
      </c>
      <c r="CG67" s="483">
        <f t="shared" si="25"/>
        <v>9.0347222222189885</v>
      </c>
      <c r="CH67" s="484">
        <f t="shared" si="26"/>
        <v>0.57071483474271001</v>
      </c>
    </row>
    <row r="68" spans="1:88" s="475" customFormat="1">
      <c r="A68" s="474">
        <f t="shared" ref="A68:A99" si="31">BJ68</f>
        <v>45284.222222222219</v>
      </c>
      <c r="B68" s="475" t="s">
        <v>228</v>
      </c>
      <c r="C68" s="475" t="s">
        <v>229</v>
      </c>
      <c r="D68" s="475" t="s">
        <v>197</v>
      </c>
      <c r="E68" s="399" t="s">
        <v>965</v>
      </c>
      <c r="F68" s="475" t="s">
        <v>3474</v>
      </c>
      <c r="G68" s="472">
        <v>45281</v>
      </c>
      <c r="H68" s="472">
        <v>45281.033333333333</v>
      </c>
      <c r="I68" s="475" t="s">
        <v>231</v>
      </c>
      <c r="J68" s="475" t="s">
        <v>192</v>
      </c>
      <c r="K68" s="475" t="s">
        <v>192</v>
      </c>
      <c r="L68" s="399" t="s">
        <v>3821</v>
      </c>
      <c r="M68" s="530"/>
      <c r="N68" s="475" t="s">
        <v>2156</v>
      </c>
      <c r="O68" s="475" t="s">
        <v>3391</v>
      </c>
      <c r="P68" s="475" t="s">
        <v>235</v>
      </c>
      <c r="Q68" s="477">
        <f>3034*2.4</f>
        <v>7281.5999999999995</v>
      </c>
      <c r="R68" s="477">
        <f>7300+100</f>
        <v>7400</v>
      </c>
      <c r="S68" s="477">
        <f>7515.816-1553.683</f>
        <v>5962.1329999999998</v>
      </c>
      <c r="T68" s="667"/>
      <c r="U68" s="581"/>
      <c r="W68" s="581"/>
      <c r="X68" s="726">
        <f>S68</f>
        <v>5962.1329999999998</v>
      </c>
      <c r="Y68" s="581"/>
      <c r="Z68" s="581"/>
      <c r="AA68" s="581"/>
      <c r="AB68" s="581"/>
      <c r="AC68" s="581"/>
      <c r="AD68" s="581"/>
      <c r="AE68" s="581"/>
      <c r="AF68" s="581"/>
      <c r="AG68" s="581"/>
      <c r="AH68" s="581"/>
      <c r="AI68" s="581"/>
      <c r="AJ68" s="581"/>
      <c r="AK68" s="581"/>
      <c r="AL68" s="581"/>
      <c r="AM68" s="581"/>
      <c r="AN68" s="581"/>
      <c r="AO68" s="581"/>
      <c r="AP68" s="581"/>
      <c r="AQ68" s="581"/>
      <c r="BD68" s="473">
        <f t="shared" ref="BD68:BD99" si="32">BG68</f>
        <v>45279.75</v>
      </c>
      <c r="BE68" s="473">
        <f t="shared" ref="BE68:BE99" si="33">BW68</f>
        <v>45290.791666666664</v>
      </c>
      <c r="BF68" s="479">
        <f t="shared" ref="BF68:BF99" si="34">BE68-BD68</f>
        <v>11.041666666664241</v>
      </c>
      <c r="BG68" s="473">
        <v>45279.75</v>
      </c>
      <c r="BH68" s="473">
        <v>45280.350694444445</v>
      </c>
      <c r="BI68" s="473">
        <v>45283.25</v>
      </c>
      <c r="BJ68" s="473">
        <v>45284.222222222219</v>
      </c>
      <c r="BK68" s="473">
        <v>45284.416666666664</v>
      </c>
      <c r="BL68" s="473">
        <v>45284.420138888891</v>
      </c>
      <c r="BM68" s="473">
        <v>45284.420138888891</v>
      </c>
      <c r="BN68" s="473">
        <f t="shared" si="27"/>
        <v>45286.128472222226</v>
      </c>
      <c r="BO68" s="480">
        <v>45286.229166666664</v>
      </c>
      <c r="BP68" s="480">
        <v>45286.395833333328</v>
      </c>
      <c r="BQ68" s="480">
        <v>45286.302083333336</v>
      </c>
      <c r="BR68" s="473">
        <v>45287.756944444445</v>
      </c>
      <c r="BS68" s="473">
        <v>45290.125</v>
      </c>
      <c r="BT68" s="473">
        <v>45290.388888888891</v>
      </c>
      <c r="BU68" s="473">
        <v>45290.402777777781</v>
      </c>
      <c r="BV68" s="473">
        <v>45290.579861111109</v>
      </c>
      <c r="BW68" s="473">
        <v>45290.791666666664</v>
      </c>
      <c r="BZ68" s="481">
        <f t="shared" ref="BZ68:BZ99" si="35">(BI68-BH68)*24</f>
        <v>69.583333333313931</v>
      </c>
      <c r="CA68" s="481">
        <f t="shared" ref="CA68:CA99" si="36">(BK68-BJ68)*24</f>
        <v>4.6666666666860692</v>
      </c>
      <c r="CB68" s="481">
        <f t="shared" ref="CB68:CB99" si="37">(BN68-BM68)*24</f>
        <v>41.000000000058208</v>
      </c>
      <c r="CC68" s="481">
        <f t="shared" si="28"/>
        <v>32.666666666802485</v>
      </c>
      <c r="CD68" s="482">
        <f t="shared" ref="CD68:CD99" si="38">(BT68-BS68)*24</f>
        <v>6.3333333333721384</v>
      </c>
      <c r="CE68" s="482">
        <f t="shared" ref="CE68:CE99" si="39">(BW68-BV68)*24</f>
        <v>5.0833333333139308</v>
      </c>
      <c r="CF68" s="483">
        <f t="shared" ref="CF68:CF99" si="40">SUM(BZ68:CE68)/24</f>
        <v>6.6388888888977817</v>
      </c>
      <c r="CG68" s="483">
        <f t="shared" ref="CG68:CG99" si="41">BF68</f>
        <v>11.041666666664241</v>
      </c>
      <c r="CH68" s="484">
        <f t="shared" ref="CH68:CH99" si="42">CF68/CG68</f>
        <v>0.60125786163615758</v>
      </c>
    </row>
    <row r="69" spans="1:88" s="475" customFormat="1">
      <c r="A69" s="474">
        <f t="shared" si="31"/>
        <v>45263.53125</v>
      </c>
      <c r="B69" s="475" t="s">
        <v>228</v>
      </c>
      <c r="C69" s="475" t="s">
        <v>229</v>
      </c>
      <c r="D69" s="475" t="s">
        <v>197</v>
      </c>
      <c r="E69" s="832" t="s">
        <v>1936</v>
      </c>
      <c r="F69" s="667" t="s">
        <v>3378</v>
      </c>
      <c r="G69" s="472">
        <v>45267.770833333336</v>
      </c>
      <c r="H69" s="472">
        <v>45267.787499999999</v>
      </c>
      <c r="I69" s="667" t="s">
        <v>1550</v>
      </c>
      <c r="J69" s="475" t="s">
        <v>192</v>
      </c>
      <c r="K69" s="475" t="s">
        <v>192</v>
      </c>
      <c r="L69" s="399" t="s">
        <v>3822</v>
      </c>
      <c r="M69" s="529"/>
      <c r="N69" s="475" t="s">
        <v>238</v>
      </c>
      <c r="O69" s="475" t="s">
        <v>239</v>
      </c>
      <c r="P69" s="475" t="s">
        <v>173</v>
      </c>
      <c r="Q69" s="477">
        <f>3161*2.4</f>
        <v>7586.4</v>
      </c>
      <c r="R69" s="477">
        <f>7550+100</f>
        <v>7650</v>
      </c>
      <c r="S69" s="477">
        <v>7552.942</v>
      </c>
      <c r="T69" s="667"/>
      <c r="U69" s="581"/>
      <c r="V69" s="581"/>
      <c r="W69" s="581"/>
      <c r="Y69" s="581"/>
      <c r="Z69" s="581"/>
      <c r="AA69" s="726">
        <f>S69</f>
        <v>7552.942</v>
      </c>
      <c r="AB69" s="581"/>
      <c r="AC69" s="581"/>
      <c r="AD69" s="581"/>
      <c r="AE69" s="581"/>
      <c r="AF69" s="581"/>
      <c r="AG69" s="401"/>
      <c r="AH69" s="401"/>
      <c r="AI69" s="401"/>
      <c r="AJ69" s="401"/>
      <c r="AK69" s="401"/>
      <c r="AL69" s="401"/>
      <c r="AM69" s="401"/>
      <c r="AN69" s="401"/>
      <c r="AP69" s="401"/>
      <c r="AQ69" s="401"/>
      <c r="AR69" s="401"/>
      <c r="AS69" s="401"/>
      <c r="AT69" s="401"/>
      <c r="AU69" s="401"/>
      <c r="BD69" s="473">
        <f t="shared" si="32"/>
        <v>45259.75</v>
      </c>
      <c r="BE69" s="473">
        <f t="shared" si="33"/>
        <v>45273.208333333336</v>
      </c>
      <c r="BF69" s="479">
        <f t="shared" si="34"/>
        <v>13.458333333335759</v>
      </c>
      <c r="BG69" s="473">
        <v>45259.75</v>
      </c>
      <c r="BH69" s="473">
        <v>45260.552083333336</v>
      </c>
      <c r="BI69" s="473">
        <v>45262.583333333336</v>
      </c>
      <c r="BJ69" s="473">
        <v>45263.53125</v>
      </c>
      <c r="BK69" s="473">
        <v>45264.65625</v>
      </c>
      <c r="BL69" s="473">
        <v>45264.663194444445</v>
      </c>
      <c r="BM69" s="473">
        <v>45264.677083333336</v>
      </c>
      <c r="BN69" s="473">
        <f t="shared" si="27"/>
        <v>45266.385416666672</v>
      </c>
      <c r="BO69" s="473">
        <v>45266.541666666664</v>
      </c>
      <c r="BP69" s="473">
        <v>45266.708333333336</v>
      </c>
      <c r="BQ69" s="480">
        <v>45266.652777777781</v>
      </c>
      <c r="BR69" s="473">
        <v>45268.486111111109</v>
      </c>
      <c r="BS69" s="473">
        <v>45272.378472222219</v>
      </c>
      <c r="BT69" s="473">
        <v>45272.756944444445</v>
      </c>
      <c r="BU69" s="473">
        <v>45272.822916666664</v>
      </c>
      <c r="BV69" s="473">
        <v>45272.826388888891</v>
      </c>
      <c r="BW69" s="473">
        <v>45273.208333333336</v>
      </c>
      <c r="BZ69" s="481">
        <f t="shared" si="35"/>
        <v>48.75</v>
      </c>
      <c r="CA69" s="481">
        <f t="shared" si="36"/>
        <v>27</v>
      </c>
      <c r="CB69" s="481">
        <f t="shared" si="37"/>
        <v>41.000000000058208</v>
      </c>
      <c r="CC69" s="481">
        <f t="shared" si="28"/>
        <v>42.666666666569654</v>
      </c>
      <c r="CD69" s="482">
        <f t="shared" si="38"/>
        <v>9.0833333334303461</v>
      </c>
      <c r="CE69" s="482">
        <f t="shared" si="39"/>
        <v>9.1666666666860692</v>
      </c>
      <c r="CF69" s="483">
        <f t="shared" si="40"/>
        <v>7.4027777777810115</v>
      </c>
      <c r="CG69" s="483">
        <f t="shared" si="41"/>
        <v>13.458333333335759</v>
      </c>
      <c r="CH69" s="484">
        <f t="shared" si="42"/>
        <v>0.55005159958734451</v>
      </c>
    </row>
    <row r="70" spans="1:88" s="475" customFormat="1">
      <c r="A70" s="474">
        <f t="shared" si="31"/>
        <v>45269.5625</v>
      </c>
      <c r="B70" s="475" t="s">
        <v>228</v>
      </c>
      <c r="C70" s="475" t="s">
        <v>229</v>
      </c>
      <c r="D70" s="475" t="s">
        <v>215</v>
      </c>
      <c r="E70" s="399" t="s">
        <v>3397</v>
      </c>
      <c r="F70" s="475" t="s">
        <v>3378</v>
      </c>
      <c r="G70" s="472">
        <v>45273.416666666664</v>
      </c>
      <c r="H70" s="472">
        <v>45273.416666666664</v>
      </c>
      <c r="I70" s="475" t="s">
        <v>1550</v>
      </c>
      <c r="J70" s="369" t="s">
        <v>192</v>
      </c>
      <c r="K70" s="369" t="s">
        <v>192</v>
      </c>
      <c r="L70" s="399" t="s">
        <v>3823</v>
      </c>
      <c r="M70" s="529"/>
      <c r="N70" s="475" t="s">
        <v>310</v>
      </c>
      <c r="O70" s="475" t="s">
        <v>219</v>
      </c>
      <c r="P70" s="475" t="s">
        <v>173</v>
      </c>
      <c r="Q70" s="477">
        <f>3087*2.4</f>
        <v>7408.7999999999993</v>
      </c>
      <c r="R70" s="477">
        <f>7450+100</f>
        <v>7550</v>
      </c>
      <c r="S70" s="477">
        <v>7550.9620000000004</v>
      </c>
      <c r="T70" s="667"/>
      <c r="U70" s="581"/>
      <c r="W70" s="581"/>
      <c r="X70" s="581"/>
      <c r="Y70" s="581"/>
      <c r="Z70" s="581"/>
      <c r="AA70" s="580">
        <f>S70</f>
        <v>7550.9620000000004</v>
      </c>
      <c r="AB70" s="401"/>
      <c r="AC70" s="577"/>
      <c r="AD70" s="577"/>
      <c r="AE70" s="577"/>
      <c r="AF70" s="577"/>
      <c r="AG70" s="577"/>
      <c r="AH70" s="577"/>
      <c r="AI70" s="577"/>
      <c r="AJ70" s="577"/>
      <c r="BD70" s="473">
        <f t="shared" si="32"/>
        <v>45265.222222222219</v>
      </c>
      <c r="BE70" s="473">
        <f t="shared" si="33"/>
        <v>45282.15625</v>
      </c>
      <c r="BF70" s="479">
        <f t="shared" si="34"/>
        <v>16.934027777781012</v>
      </c>
      <c r="BG70" s="473">
        <v>45265.222222222219</v>
      </c>
      <c r="BH70" s="473">
        <v>45266.378472222219</v>
      </c>
      <c r="BI70" s="473">
        <v>45268.444444444445</v>
      </c>
      <c r="BJ70" s="473">
        <v>45269.5625</v>
      </c>
      <c r="BK70" s="473">
        <v>45269.817361111112</v>
      </c>
      <c r="BL70" s="473">
        <v>45269.829861111109</v>
      </c>
      <c r="BM70" s="473">
        <v>45269.833333333336</v>
      </c>
      <c r="BN70" s="473">
        <f t="shared" si="27"/>
        <v>45271.541666666672</v>
      </c>
      <c r="BO70" s="480">
        <v>45271.583333333336</v>
      </c>
      <c r="BP70" s="480">
        <v>45271.75</v>
      </c>
      <c r="BQ70" s="480">
        <v>45271.71875</v>
      </c>
      <c r="BR70" s="473">
        <v>45273.833333333336</v>
      </c>
      <c r="BS70" s="473">
        <v>45280.805555555555</v>
      </c>
      <c r="BT70" s="473">
        <v>45282.15625</v>
      </c>
      <c r="BU70" s="473">
        <v>45282.15625</v>
      </c>
      <c r="BV70" s="473">
        <v>45282.15625</v>
      </c>
      <c r="BW70" s="473">
        <v>45282.15625</v>
      </c>
      <c r="BX70" s="475" t="s">
        <v>3824</v>
      </c>
      <c r="BZ70" s="481">
        <f t="shared" si="35"/>
        <v>49.583333333430346</v>
      </c>
      <c r="CA70" s="481">
        <f t="shared" si="36"/>
        <v>6.1166666666977108</v>
      </c>
      <c r="CB70" s="481">
        <f t="shared" si="37"/>
        <v>41.000000000058208</v>
      </c>
      <c r="CC70" s="481">
        <f t="shared" si="28"/>
        <v>50.000000000058208</v>
      </c>
      <c r="CD70" s="482">
        <f t="shared" si="38"/>
        <v>32.416666666686069</v>
      </c>
      <c r="CE70" s="482">
        <f t="shared" si="39"/>
        <v>0</v>
      </c>
      <c r="CF70" s="483">
        <f t="shared" si="40"/>
        <v>7.4631944444554392</v>
      </c>
      <c r="CG70" s="483">
        <f t="shared" si="41"/>
        <v>16.934027777781012</v>
      </c>
      <c r="CH70" s="484">
        <f t="shared" si="42"/>
        <v>0.44072175517792822</v>
      </c>
    </row>
    <row r="71" spans="1:88" s="475" customFormat="1">
      <c r="A71" s="474">
        <f t="shared" si="31"/>
        <v>45276.385416666664</v>
      </c>
      <c r="B71" s="475" t="s">
        <v>228</v>
      </c>
      <c r="C71" s="475" t="s">
        <v>229</v>
      </c>
      <c r="D71" s="475" t="s">
        <v>197</v>
      </c>
      <c r="E71" s="476" t="s">
        <v>3194</v>
      </c>
      <c r="F71" s="399" t="s">
        <v>3378</v>
      </c>
      <c r="G71" s="472">
        <v>45278.166666666664</v>
      </c>
      <c r="H71" s="472">
        <v>45278.170138888891</v>
      </c>
      <c r="I71" s="475" t="s">
        <v>1031</v>
      </c>
      <c r="J71" s="475" t="s">
        <v>192</v>
      </c>
      <c r="K71" s="475" t="s">
        <v>192</v>
      </c>
      <c r="L71" s="475" t="s">
        <v>3825</v>
      </c>
      <c r="M71" s="530"/>
      <c r="N71" s="475" t="s">
        <v>805</v>
      </c>
      <c r="O71" s="475" t="s">
        <v>381</v>
      </c>
      <c r="P71" s="475" t="s">
        <v>173</v>
      </c>
      <c r="Q71" s="477">
        <f>3100*2.4</f>
        <v>7440</v>
      </c>
      <c r="R71" s="477">
        <f>7450+100</f>
        <v>7550</v>
      </c>
      <c r="S71" s="477">
        <v>7517.9960000000001</v>
      </c>
      <c r="T71" s="667"/>
      <c r="U71" s="581"/>
      <c r="W71" s="581"/>
      <c r="Y71" s="581"/>
      <c r="AA71" s="580">
        <f>S71</f>
        <v>7517.9960000000001</v>
      </c>
      <c r="AB71" s="401"/>
      <c r="AC71" s="581"/>
      <c r="AD71" s="581"/>
      <c r="AE71" s="667"/>
      <c r="AF71" s="667"/>
      <c r="AG71" s="667"/>
      <c r="AH71" s="667"/>
      <c r="AI71" s="667"/>
      <c r="AJ71" s="667"/>
      <c r="AK71" s="667"/>
      <c r="AL71" s="667"/>
      <c r="AM71" s="667"/>
      <c r="AN71" s="667"/>
      <c r="AO71" s="667"/>
      <c r="AP71" s="667"/>
      <c r="AQ71" s="667"/>
      <c r="AR71" s="667"/>
      <c r="AS71" s="667"/>
      <c r="AT71" s="667"/>
      <c r="AU71" s="667"/>
      <c r="AV71" s="667"/>
      <c r="AW71" s="667"/>
      <c r="AX71" s="667"/>
      <c r="AY71" s="667"/>
      <c r="AZ71" s="667"/>
      <c r="BA71" s="667"/>
      <c r="BB71" s="667"/>
      <c r="BC71" s="667"/>
      <c r="BD71" s="473">
        <f t="shared" si="32"/>
        <v>45272.833333333336</v>
      </c>
      <c r="BE71" s="473">
        <f t="shared" si="33"/>
        <v>45281.625</v>
      </c>
      <c r="BF71" s="479">
        <f t="shared" si="34"/>
        <v>8.7916666666642413</v>
      </c>
      <c r="BG71" s="473">
        <v>45272.833333333336</v>
      </c>
      <c r="BH71" s="473">
        <v>45273.791666666664</v>
      </c>
      <c r="BI71" s="473">
        <v>45276</v>
      </c>
      <c r="BJ71" s="473">
        <v>45276.385416666664</v>
      </c>
      <c r="BK71" s="473">
        <v>45276.534722222219</v>
      </c>
      <c r="BL71" s="473">
        <v>45276.538194444445</v>
      </c>
      <c r="BM71" s="473">
        <v>45276.538194444445</v>
      </c>
      <c r="BN71" s="473">
        <f t="shared" ref="BN71" si="43">BM71+(41/24)</f>
        <v>45278.246527777781</v>
      </c>
      <c r="BO71" s="480">
        <v>45278.291666666664</v>
      </c>
      <c r="BP71" s="480">
        <v>45278.458333333328</v>
      </c>
      <c r="BQ71" s="480">
        <v>45278.375</v>
      </c>
      <c r="BR71" s="473">
        <v>45279.59375</v>
      </c>
      <c r="BS71" s="473">
        <v>45281.003472222219</v>
      </c>
      <c r="BT71" s="473">
        <v>45281.270833333336</v>
      </c>
      <c r="BU71" s="473">
        <v>45281.291666666664</v>
      </c>
      <c r="BV71" s="473">
        <v>45281.291666666664</v>
      </c>
      <c r="BW71" s="473">
        <v>45281.625</v>
      </c>
      <c r="BZ71" s="481">
        <f t="shared" si="35"/>
        <v>53.000000000058208</v>
      </c>
      <c r="CA71" s="481">
        <f t="shared" si="36"/>
        <v>3.5833333333139308</v>
      </c>
      <c r="CB71" s="481">
        <f t="shared" si="37"/>
        <v>41.000000000058208</v>
      </c>
      <c r="CC71" s="481">
        <f t="shared" si="28"/>
        <v>27.250000000116415</v>
      </c>
      <c r="CD71" s="482">
        <f t="shared" si="38"/>
        <v>6.4166666668024845</v>
      </c>
      <c r="CE71" s="482">
        <f t="shared" si="39"/>
        <v>8.0000000000582077</v>
      </c>
      <c r="CF71" s="483">
        <f t="shared" si="40"/>
        <v>5.8020833333503106</v>
      </c>
      <c r="CG71" s="483">
        <f t="shared" si="41"/>
        <v>8.7916666666642413</v>
      </c>
      <c r="CH71" s="484">
        <f t="shared" si="42"/>
        <v>0.65995260663718425</v>
      </c>
    </row>
    <row r="72" spans="1:88" s="475" customFormat="1">
      <c r="A72" s="521">
        <f t="shared" si="31"/>
        <v>45266.583333333336</v>
      </c>
      <c r="B72" s="369" t="s">
        <v>188</v>
      </c>
      <c r="C72" s="369" t="s">
        <v>2896</v>
      </c>
      <c r="D72" s="369" t="s">
        <v>197</v>
      </c>
      <c r="E72" s="271" t="s">
        <v>3651</v>
      </c>
      <c r="F72" s="369" t="s">
        <v>3378</v>
      </c>
      <c r="G72" s="398">
        <v>45270.833333333336</v>
      </c>
      <c r="H72" s="398">
        <v>45270.833333333336</v>
      </c>
      <c r="I72" s="369" t="s">
        <v>3826</v>
      </c>
      <c r="J72" s="369" t="s">
        <v>192</v>
      </c>
      <c r="K72" s="369" t="s">
        <v>192</v>
      </c>
      <c r="L72" s="661" t="s">
        <v>3827</v>
      </c>
      <c r="M72" s="529"/>
      <c r="N72" s="369" t="s">
        <v>292</v>
      </c>
      <c r="O72" s="369" t="s">
        <v>268</v>
      </c>
      <c r="P72" s="649" t="s">
        <v>2896</v>
      </c>
      <c r="Q72" s="520">
        <f>3142*2.4</f>
        <v>7540.7999999999993</v>
      </c>
      <c r="R72" s="520">
        <f>7550+100</f>
        <v>7650</v>
      </c>
      <c r="S72" s="520">
        <v>7600.4309999999996</v>
      </c>
      <c r="T72" s="661"/>
      <c r="U72" s="369"/>
      <c r="V72" s="904"/>
      <c r="W72" s="904"/>
      <c r="X72" s="904"/>
      <c r="Y72" s="904"/>
      <c r="Z72" s="904"/>
      <c r="AA72" s="904"/>
      <c r="AB72" s="904"/>
      <c r="AC72" s="904"/>
      <c r="AD72" s="904"/>
      <c r="AE72" s="904"/>
      <c r="AF72" s="904"/>
      <c r="AG72" s="904"/>
      <c r="AH72" s="904"/>
      <c r="AI72" s="369"/>
      <c r="AJ72" s="369"/>
      <c r="AK72" s="369"/>
      <c r="AL72" s="369"/>
      <c r="AM72" s="369"/>
      <c r="AN72" s="369"/>
      <c r="AO72" s="369"/>
      <c r="AP72" s="369"/>
      <c r="AQ72" s="369"/>
      <c r="AR72" s="369"/>
      <c r="AS72" s="369"/>
      <c r="AT72" s="369"/>
      <c r="AU72" s="369"/>
      <c r="AV72" s="369"/>
      <c r="AW72" s="369"/>
      <c r="AX72" s="369"/>
      <c r="AY72" s="369"/>
      <c r="AZ72" s="760">
        <f>S72</f>
        <v>7600.4309999999996</v>
      </c>
      <c r="BA72" s="760"/>
      <c r="BB72" s="760"/>
      <c r="BC72" s="760"/>
      <c r="BD72" s="522">
        <f t="shared" si="32"/>
        <v>45263.916666666664</v>
      </c>
      <c r="BE72" s="522">
        <f t="shared" si="33"/>
        <v>45275.395833333336</v>
      </c>
      <c r="BF72" s="523">
        <f t="shared" si="34"/>
        <v>11.479166666671517</v>
      </c>
      <c r="BG72" s="522">
        <v>45263.916666666664</v>
      </c>
      <c r="BH72" s="522">
        <v>45265.774305555555</v>
      </c>
      <c r="BI72" s="522">
        <v>45265.840277777781</v>
      </c>
      <c r="BJ72" s="522">
        <v>45266.583333333336</v>
      </c>
      <c r="BK72" s="522">
        <v>45267.284722222219</v>
      </c>
      <c r="BL72" s="522">
        <v>45267.326388888891</v>
      </c>
      <c r="BM72" s="522">
        <v>45267.326388888891</v>
      </c>
      <c r="BN72" s="522">
        <f>BM72+(5/24)</f>
        <v>45267.534722222226</v>
      </c>
      <c r="BO72" s="522">
        <v>45267.541666608799</v>
      </c>
      <c r="BP72" s="522">
        <v>45267.708333275463</v>
      </c>
      <c r="BQ72" s="522">
        <v>45267.645833333336</v>
      </c>
      <c r="BR72" s="522">
        <v>45269.802083333336</v>
      </c>
      <c r="BS72" s="522">
        <v>45274.71875</v>
      </c>
      <c r="BT72" s="522">
        <v>45275.010416666664</v>
      </c>
      <c r="BU72" s="522">
        <v>45275.024305555555</v>
      </c>
      <c r="BV72" s="522">
        <v>45275.027777777781</v>
      </c>
      <c r="BW72" s="522">
        <v>45275.395833333336</v>
      </c>
      <c r="BX72" s="369" t="s">
        <v>3828</v>
      </c>
      <c r="BY72" s="369"/>
      <c r="BZ72" s="525">
        <f t="shared" si="35"/>
        <v>1.5833333334303461</v>
      </c>
      <c r="CA72" s="525">
        <f t="shared" si="36"/>
        <v>16.833333333197515</v>
      </c>
      <c r="CB72" s="525">
        <f t="shared" si="37"/>
        <v>5.0000000000582077</v>
      </c>
      <c r="CC72" s="525">
        <f t="shared" si="28"/>
        <v>50.250001388951205</v>
      </c>
      <c r="CD72" s="526">
        <f t="shared" si="38"/>
        <v>6.9999999999417923</v>
      </c>
      <c r="CE72" s="526">
        <f t="shared" si="39"/>
        <v>8.8333333333139308</v>
      </c>
      <c r="CF72" s="304">
        <f t="shared" si="40"/>
        <v>3.7291667245372082</v>
      </c>
      <c r="CG72" s="304">
        <f t="shared" si="41"/>
        <v>11.479166666671517</v>
      </c>
      <c r="CH72" s="305">
        <f t="shared" si="42"/>
        <v>0.32486388888876655</v>
      </c>
      <c r="CI72" s="369"/>
      <c r="CJ72" s="369"/>
    </row>
    <row r="73" spans="1:88" s="475" customFormat="1">
      <c r="A73" s="474">
        <f t="shared" si="31"/>
        <v>45274.798611111109</v>
      </c>
      <c r="B73" s="475" t="s">
        <v>188</v>
      </c>
      <c r="C73" s="475" t="s">
        <v>2896</v>
      </c>
      <c r="D73" s="475" t="s">
        <v>197</v>
      </c>
      <c r="E73" s="399" t="s">
        <v>971</v>
      </c>
      <c r="F73" s="475" t="s">
        <v>3474</v>
      </c>
      <c r="G73" s="473">
        <v>45278.5</v>
      </c>
      <c r="H73" s="473">
        <v>45278.5</v>
      </c>
      <c r="I73" s="475" t="s">
        <v>3826</v>
      </c>
      <c r="J73" s="369" t="s">
        <v>192</v>
      </c>
      <c r="K73" s="369" t="s">
        <v>192</v>
      </c>
      <c r="L73" s="667" t="s">
        <v>3829</v>
      </c>
      <c r="M73" s="529"/>
      <c r="N73" s="475" t="s">
        <v>277</v>
      </c>
      <c r="O73" s="475" t="s">
        <v>278</v>
      </c>
      <c r="P73" s="475" t="s">
        <v>2896</v>
      </c>
      <c r="Q73" s="477">
        <f>3117*2.4</f>
        <v>7480.7999999999993</v>
      </c>
      <c r="R73" s="477">
        <f>7500+100</f>
        <v>7600</v>
      </c>
      <c r="S73" s="477">
        <v>7613</v>
      </c>
      <c r="T73" s="667"/>
      <c r="U73" s="581"/>
      <c r="V73" s="581"/>
      <c r="W73" s="581"/>
      <c r="Y73" s="401"/>
      <c r="Z73" s="581"/>
      <c r="AA73" s="581"/>
      <c r="AB73" s="581"/>
      <c r="AC73" s="581"/>
      <c r="AD73" s="581"/>
      <c r="AZ73" s="580">
        <f>S73</f>
        <v>7613</v>
      </c>
      <c r="BD73" s="473">
        <f t="shared" si="32"/>
        <v>45273.46875</v>
      </c>
      <c r="BE73" s="473">
        <f t="shared" si="33"/>
        <v>45279.576388888891</v>
      </c>
      <c r="BF73" s="479">
        <f t="shared" si="34"/>
        <v>6.1076388888905058</v>
      </c>
      <c r="BG73" s="473">
        <v>45273.46875</v>
      </c>
      <c r="BH73" s="473">
        <v>45274.538194444445</v>
      </c>
      <c r="BI73" s="473">
        <v>45274.597222222219</v>
      </c>
      <c r="BJ73" s="473">
        <v>45274.798611111109</v>
      </c>
      <c r="BK73" s="473">
        <v>45275.25</v>
      </c>
      <c r="BL73" s="473">
        <v>45275.263888888891</v>
      </c>
      <c r="BM73" s="473">
        <v>45275.263888888891</v>
      </c>
      <c r="BN73" s="473">
        <f>BM73+(5/24)</f>
        <v>45275.472222222226</v>
      </c>
      <c r="BO73" s="473">
        <v>45276.25</v>
      </c>
      <c r="BP73" s="473">
        <v>45276.416666666664</v>
      </c>
      <c r="BQ73" s="473">
        <v>45276.371527777781</v>
      </c>
      <c r="BR73" s="473">
        <v>45278.190972222219</v>
      </c>
      <c r="BS73" s="473">
        <v>45279.347222222219</v>
      </c>
      <c r="BT73" s="473">
        <v>45279.576388888891</v>
      </c>
      <c r="BU73" s="473">
        <v>45279.576388888891</v>
      </c>
      <c r="BV73" s="473">
        <v>45279.576388888891</v>
      </c>
      <c r="BW73" s="473">
        <v>45279.576388888891</v>
      </c>
      <c r="BX73" s="475" t="s">
        <v>788</v>
      </c>
      <c r="BZ73" s="481">
        <f t="shared" si="35"/>
        <v>1.4166666665696539</v>
      </c>
      <c r="CA73" s="481">
        <f t="shared" si="36"/>
        <v>10.833333333372138</v>
      </c>
      <c r="CB73" s="481">
        <f t="shared" si="37"/>
        <v>5.0000000000582077</v>
      </c>
      <c r="CC73" s="481">
        <f t="shared" si="28"/>
        <v>42.583333333313931</v>
      </c>
      <c r="CD73" s="482">
        <f t="shared" si="38"/>
        <v>5.5000000001164153</v>
      </c>
      <c r="CE73" s="482">
        <f t="shared" si="39"/>
        <v>0</v>
      </c>
      <c r="CF73" s="483">
        <f t="shared" si="40"/>
        <v>2.7222222222262644</v>
      </c>
      <c r="CG73" s="483">
        <f t="shared" si="41"/>
        <v>6.1076388888905058</v>
      </c>
      <c r="CH73" s="484">
        <f t="shared" si="42"/>
        <v>0.4457077885167462</v>
      </c>
    </row>
    <row r="74" spans="1:88" s="475" customFormat="1">
      <c r="A74" s="474">
        <f t="shared" si="31"/>
        <v>45277.215277777781</v>
      </c>
      <c r="B74" s="475" t="s">
        <v>188</v>
      </c>
      <c r="C74" s="475" t="s">
        <v>2896</v>
      </c>
      <c r="D74" s="475" t="s">
        <v>197</v>
      </c>
      <c r="E74" s="476" t="s">
        <v>3791</v>
      </c>
      <c r="F74" s="475" t="s">
        <v>3378</v>
      </c>
      <c r="G74" s="473">
        <v>45280.341666666667</v>
      </c>
      <c r="H74" s="473">
        <v>45280.341666666667</v>
      </c>
      <c r="I74" s="475" t="s">
        <v>3826</v>
      </c>
      <c r="J74" s="475" t="s">
        <v>192</v>
      </c>
      <c r="K74" s="475" t="s">
        <v>192</v>
      </c>
      <c r="L74" s="667" t="s">
        <v>3830</v>
      </c>
      <c r="M74" s="530"/>
      <c r="N74" s="475" t="s">
        <v>339</v>
      </c>
      <c r="O74" s="475" t="s">
        <v>506</v>
      </c>
      <c r="P74" s="475" t="s">
        <v>2896</v>
      </c>
      <c r="Q74" s="477">
        <f>3071*2.4</f>
        <v>7370.4</v>
      </c>
      <c r="R74" s="477">
        <f>7400+100</f>
        <v>7500</v>
      </c>
      <c r="S74" s="477">
        <v>7430.2719999999999</v>
      </c>
      <c r="T74" s="667"/>
      <c r="U74" s="581"/>
      <c r="W74" s="581"/>
      <c r="Y74" s="581"/>
      <c r="Z74" s="581"/>
      <c r="AA74" s="581"/>
      <c r="AB74" s="401"/>
      <c r="AC74" s="581"/>
      <c r="AD74" s="581"/>
      <c r="AE74" s="667"/>
      <c r="AF74" s="667"/>
      <c r="AG74" s="667"/>
      <c r="AH74" s="667"/>
      <c r="AI74" s="667"/>
      <c r="AJ74" s="667"/>
      <c r="AK74" s="667"/>
      <c r="AL74" s="667"/>
      <c r="AM74" s="667"/>
      <c r="AN74" s="667"/>
      <c r="AO74" s="667"/>
      <c r="AP74" s="667"/>
      <c r="AQ74" s="667"/>
      <c r="AR74" s="667"/>
      <c r="AS74" s="667"/>
      <c r="AT74" s="667"/>
      <c r="AU74" s="667"/>
      <c r="AV74" s="667"/>
      <c r="AW74" s="667"/>
      <c r="AX74" s="667"/>
      <c r="AY74" s="667"/>
      <c r="AZ74" s="580">
        <f>S74</f>
        <v>7430.2719999999999</v>
      </c>
      <c r="BA74" s="667"/>
      <c r="BB74" s="667"/>
      <c r="BC74" s="667"/>
      <c r="BD74" s="473">
        <f t="shared" si="32"/>
        <v>45274.413888888892</v>
      </c>
      <c r="BE74" s="473">
        <f t="shared" si="33"/>
        <v>45284.506944444445</v>
      </c>
      <c r="BF74" s="479">
        <f t="shared" si="34"/>
        <v>10.093055555553292</v>
      </c>
      <c r="BG74" s="473">
        <v>45274.413888888892</v>
      </c>
      <c r="BH74" s="473">
        <v>45275.586805555555</v>
      </c>
      <c r="BI74" s="473">
        <v>45275.649305555555</v>
      </c>
      <c r="BJ74" s="473">
        <v>45277.215277777781</v>
      </c>
      <c r="BK74" s="473">
        <v>45277.680555555555</v>
      </c>
      <c r="BL74" s="473">
        <v>45277.708333333336</v>
      </c>
      <c r="BM74" s="473">
        <v>45277.708333333336</v>
      </c>
      <c r="BN74" s="473">
        <f>BM74+(5/24)</f>
        <v>45277.916666666672</v>
      </c>
      <c r="BO74" s="480">
        <v>45279.333333333336</v>
      </c>
      <c r="BP74" s="480">
        <v>45279.5</v>
      </c>
      <c r="BQ74" s="480">
        <v>45279.350694444445</v>
      </c>
      <c r="BR74" s="473">
        <v>45280.75</v>
      </c>
      <c r="BS74" s="473">
        <v>45283.770833333336</v>
      </c>
      <c r="BT74" s="473">
        <v>45284.041666666672</v>
      </c>
      <c r="BU74" s="473">
        <v>45284.055555555555</v>
      </c>
      <c r="BV74" s="473">
        <v>45284.059027777781</v>
      </c>
      <c r="BW74" s="473">
        <v>45284.506944444445</v>
      </c>
      <c r="BZ74" s="481">
        <f t="shared" si="35"/>
        <v>1.5</v>
      </c>
      <c r="CA74" s="481">
        <f t="shared" si="36"/>
        <v>11.166666666569654</v>
      </c>
      <c r="CB74" s="481">
        <f t="shared" si="37"/>
        <v>5.0000000000582077</v>
      </c>
      <c r="CC74" s="481">
        <f t="shared" si="28"/>
        <v>30</v>
      </c>
      <c r="CD74" s="482">
        <f t="shared" si="38"/>
        <v>6.5000000000582077</v>
      </c>
      <c r="CE74" s="482">
        <f t="shared" si="39"/>
        <v>10.749999999941792</v>
      </c>
      <c r="CF74" s="483">
        <f t="shared" si="40"/>
        <v>2.7048611111094942</v>
      </c>
      <c r="CG74" s="483">
        <f t="shared" si="41"/>
        <v>10.093055555553292</v>
      </c>
      <c r="CH74" s="484">
        <f t="shared" si="42"/>
        <v>0.26799229393137092</v>
      </c>
    </row>
    <row r="75" spans="1:88" s="475" customFormat="1">
      <c r="A75" s="474">
        <f t="shared" si="31"/>
        <v>45282.090277777781</v>
      </c>
      <c r="B75" s="475" t="s">
        <v>188</v>
      </c>
      <c r="C75" s="475" t="s">
        <v>2896</v>
      </c>
      <c r="D75" s="475" t="s">
        <v>197</v>
      </c>
      <c r="E75" s="1126" t="s">
        <v>3831</v>
      </c>
      <c r="F75" s="399" t="s">
        <v>3378</v>
      </c>
      <c r="G75" s="901"/>
      <c r="H75" s="901"/>
      <c r="I75" s="475" t="s">
        <v>3826</v>
      </c>
      <c r="J75" s="475" t="s">
        <v>192</v>
      </c>
      <c r="K75" s="475" t="s">
        <v>192</v>
      </c>
      <c r="L75" s="667" t="s">
        <v>3832</v>
      </c>
      <c r="M75" s="530"/>
      <c r="N75" s="475" t="s">
        <v>1799</v>
      </c>
      <c r="O75" s="475" t="s">
        <v>2437</v>
      </c>
      <c r="P75" s="399" t="s">
        <v>2896</v>
      </c>
      <c r="Q75" s="477">
        <f>3147*2.4</f>
        <v>7552.7999999999993</v>
      </c>
      <c r="R75" s="477">
        <f>7550+100</f>
        <v>7650</v>
      </c>
      <c r="S75" s="477">
        <v>7639.6469999999999</v>
      </c>
      <c r="T75" s="667"/>
      <c r="U75" s="581"/>
      <c r="V75" s="581"/>
      <c r="W75" s="581"/>
      <c r="X75" s="581"/>
      <c r="Y75" s="581"/>
      <c r="Z75" s="581"/>
      <c r="AA75" s="581"/>
      <c r="AB75" s="581"/>
      <c r="AD75" s="581"/>
      <c r="AE75" s="581"/>
      <c r="AF75" s="667"/>
      <c r="AG75" s="667"/>
      <c r="AH75" s="667"/>
      <c r="AI75" s="667"/>
      <c r="AJ75" s="667"/>
      <c r="AK75" s="667"/>
      <c r="AL75" s="667"/>
      <c r="AM75" s="667"/>
      <c r="AN75" s="667"/>
      <c r="AO75" s="667"/>
      <c r="AP75" s="667"/>
      <c r="AQ75" s="667"/>
      <c r="AR75" s="667"/>
      <c r="AS75" s="667"/>
      <c r="AT75" s="667"/>
      <c r="AU75" s="667"/>
      <c r="AV75" s="667"/>
      <c r="AW75" s="667"/>
      <c r="AX75" s="667"/>
      <c r="AY75" s="667"/>
      <c r="AZ75" s="726">
        <f>S75</f>
        <v>7639.6469999999999</v>
      </c>
      <c r="BA75" s="667"/>
      <c r="BB75" s="667"/>
      <c r="BC75" s="667"/>
      <c r="BD75" s="473">
        <f t="shared" si="32"/>
        <v>45280.791666666664</v>
      </c>
      <c r="BE75" s="473">
        <f t="shared" si="33"/>
        <v>45288.229166666664</v>
      </c>
      <c r="BF75" s="479">
        <f t="shared" si="34"/>
        <v>7.4375</v>
      </c>
      <c r="BG75" s="473">
        <v>45280.791666666664</v>
      </c>
      <c r="BH75" s="473">
        <v>45281.840277777781</v>
      </c>
      <c r="BI75" s="473">
        <v>45281.934027777781</v>
      </c>
      <c r="BJ75" s="473">
        <v>45282.090277777781</v>
      </c>
      <c r="BK75" s="473">
        <v>45282.708333333336</v>
      </c>
      <c r="BL75" s="473">
        <v>45282.729166666664</v>
      </c>
      <c r="BM75" s="473">
        <v>45282.729166666664</v>
      </c>
      <c r="BN75" s="473">
        <f>BM75+(5/24)</f>
        <v>45282.9375</v>
      </c>
      <c r="BO75" s="473">
        <v>45283.5</v>
      </c>
      <c r="BP75" s="473">
        <v>45283.666666666664</v>
      </c>
      <c r="BQ75" s="473">
        <v>45283.503472222219</v>
      </c>
      <c r="BR75" s="473">
        <v>45285.923611111109</v>
      </c>
      <c r="BS75" s="473">
        <v>45287.1875</v>
      </c>
      <c r="BT75" s="473">
        <v>45287.4375</v>
      </c>
      <c r="BU75" s="473">
        <v>45287.451388888891</v>
      </c>
      <c r="BV75" s="473">
        <v>45287.732638888891</v>
      </c>
      <c r="BW75" s="473">
        <v>45288.229166666664</v>
      </c>
      <c r="BZ75" s="481">
        <f t="shared" si="35"/>
        <v>2.25</v>
      </c>
      <c r="CA75" s="481">
        <f t="shared" si="36"/>
        <v>14.833333333313931</v>
      </c>
      <c r="CB75" s="481">
        <f t="shared" si="37"/>
        <v>5.0000000000582077</v>
      </c>
      <c r="CC75" s="481">
        <f t="shared" si="28"/>
        <v>54.166666666686069</v>
      </c>
      <c r="CD75" s="482">
        <f t="shared" si="38"/>
        <v>6</v>
      </c>
      <c r="CE75" s="482">
        <f t="shared" si="39"/>
        <v>11.916666666569654</v>
      </c>
      <c r="CF75" s="483">
        <f t="shared" si="40"/>
        <v>3.9236111111094942</v>
      </c>
      <c r="CG75" s="483">
        <f t="shared" si="41"/>
        <v>7.4375</v>
      </c>
      <c r="CH75" s="484">
        <f t="shared" si="42"/>
        <v>0.52754435107354547</v>
      </c>
    </row>
    <row r="76" spans="1:88" s="475" customFormat="1">
      <c r="A76" s="474">
        <f t="shared" si="31"/>
        <v>45262.993055555555</v>
      </c>
      <c r="B76" s="475" t="s">
        <v>188</v>
      </c>
      <c r="C76" s="475" t="s">
        <v>87</v>
      </c>
      <c r="D76" s="475" t="s">
        <v>197</v>
      </c>
      <c r="E76" s="476" t="s">
        <v>3168</v>
      </c>
      <c r="F76" s="399" t="s">
        <v>3378</v>
      </c>
      <c r="G76" s="472">
        <v>45259.041666666664</v>
      </c>
      <c r="H76" s="472">
        <v>45259.041666666664</v>
      </c>
      <c r="I76" s="667" t="s">
        <v>751</v>
      </c>
      <c r="J76" s="475" t="s">
        <v>192</v>
      </c>
      <c r="K76" s="475" t="s">
        <v>192</v>
      </c>
      <c r="L76" s="475" t="s">
        <v>3833</v>
      </c>
      <c r="M76" s="530"/>
      <c r="N76" s="475" t="s">
        <v>249</v>
      </c>
      <c r="O76" s="475" t="s">
        <v>2315</v>
      </c>
      <c r="P76" s="475" t="s">
        <v>611</v>
      </c>
      <c r="Q76" s="477">
        <f>3139*2.4</f>
        <v>7533.5999999999995</v>
      </c>
      <c r="R76" s="477">
        <f>7550+100</f>
        <v>7650</v>
      </c>
      <c r="S76" s="477">
        <v>7531.2070000000003</v>
      </c>
      <c r="T76" s="667"/>
      <c r="U76" s="581"/>
      <c r="V76" s="581"/>
      <c r="W76" s="581"/>
      <c r="Y76" s="581"/>
      <c r="Z76" s="581"/>
      <c r="AA76" s="581"/>
      <c r="AB76" s="581"/>
      <c r="AC76" s="581"/>
      <c r="AD76" s="726">
        <f t="shared" ref="AD76:AD83" si="44">S76</f>
        <v>7531.2070000000003</v>
      </c>
      <c r="AX76" s="667"/>
      <c r="AY76" s="667"/>
      <c r="AZ76" s="667"/>
      <c r="BA76" s="667"/>
      <c r="BB76" s="667"/>
      <c r="BC76" s="667"/>
      <c r="BD76" s="473">
        <f t="shared" si="32"/>
        <v>45260.409722222219</v>
      </c>
      <c r="BE76" s="473">
        <f t="shared" si="33"/>
        <v>45265.708333333336</v>
      </c>
      <c r="BF76" s="479">
        <f t="shared" si="34"/>
        <v>5.2986111111167702</v>
      </c>
      <c r="BG76" s="473">
        <v>45260.409722222219</v>
      </c>
      <c r="BH76" s="473">
        <v>45260.916666666664</v>
      </c>
      <c r="BI76" s="473">
        <v>45261.100694444445</v>
      </c>
      <c r="BJ76" s="473">
        <v>45262.993055555555</v>
      </c>
      <c r="BK76" s="473">
        <v>45263.154166666667</v>
      </c>
      <c r="BL76" s="473">
        <v>45263.161111111112</v>
      </c>
      <c r="BM76" s="473">
        <v>45263.666666666664</v>
      </c>
      <c r="BN76" s="473">
        <f>BM76</f>
        <v>45263.666666666664</v>
      </c>
      <c r="BO76" s="518" t="s">
        <v>196</v>
      </c>
      <c r="BP76" s="518" t="s">
        <v>196</v>
      </c>
      <c r="BQ76" s="518" t="s">
        <v>196</v>
      </c>
      <c r="BR76" s="473">
        <v>45263.916666666664</v>
      </c>
      <c r="BS76" s="473">
        <v>45264.645833333336</v>
      </c>
      <c r="BT76" s="473">
        <v>45265.260416666664</v>
      </c>
      <c r="BU76" s="473">
        <v>45265.28125</v>
      </c>
      <c r="BV76" s="473">
        <v>45265.430555555555</v>
      </c>
      <c r="BW76" s="473">
        <v>45265.708333333336</v>
      </c>
      <c r="BZ76" s="481">
        <f t="shared" si="35"/>
        <v>4.4166666667442769</v>
      </c>
      <c r="CA76" s="481">
        <f t="shared" si="36"/>
        <v>3.8666666666977108</v>
      </c>
      <c r="CB76" s="481">
        <f t="shared" si="37"/>
        <v>0</v>
      </c>
      <c r="CC76" s="481">
        <f t="shared" ref="CC76:CC88" si="45">(BR76-BN76)*24</f>
        <v>6</v>
      </c>
      <c r="CD76" s="482">
        <f t="shared" si="38"/>
        <v>14.749999999883585</v>
      </c>
      <c r="CE76" s="482">
        <f t="shared" si="39"/>
        <v>6.6666666667442769</v>
      </c>
      <c r="CF76" s="483">
        <f t="shared" si="40"/>
        <v>1.4875000000029104</v>
      </c>
      <c r="CG76" s="483">
        <f t="shared" si="41"/>
        <v>5.2986111111167702</v>
      </c>
      <c r="CH76" s="484">
        <f t="shared" si="42"/>
        <v>0.28073394495437787</v>
      </c>
    </row>
    <row r="77" spans="1:88" s="475" customFormat="1">
      <c r="A77" s="474">
        <f t="shared" si="31"/>
        <v>45263.368055555555</v>
      </c>
      <c r="B77" s="475" t="s">
        <v>188</v>
      </c>
      <c r="C77" s="475" t="s">
        <v>87</v>
      </c>
      <c r="D77" s="475" t="s">
        <v>215</v>
      </c>
      <c r="E77" s="476" t="s">
        <v>3168</v>
      </c>
      <c r="F77" s="399" t="s">
        <v>3378</v>
      </c>
      <c r="G77" s="472">
        <v>45259.041666666664</v>
      </c>
      <c r="H77" s="472">
        <v>45259.041666666664</v>
      </c>
      <c r="I77" s="667" t="s">
        <v>751</v>
      </c>
      <c r="J77" s="475" t="s">
        <v>192</v>
      </c>
      <c r="K77" s="475" t="s">
        <v>192</v>
      </c>
      <c r="L77" s="475" t="s">
        <v>3834</v>
      </c>
      <c r="M77" s="529"/>
      <c r="N77" s="475" t="s">
        <v>222</v>
      </c>
      <c r="O77" s="475" t="s">
        <v>223</v>
      </c>
      <c r="P77" s="475" t="s">
        <v>611</v>
      </c>
      <c r="Q77" s="477">
        <f>3137*2.4</f>
        <v>7528.7999999999993</v>
      </c>
      <c r="R77" s="477">
        <f>7550+100</f>
        <v>7650</v>
      </c>
      <c r="S77" s="477">
        <v>7516.4719999999998</v>
      </c>
      <c r="T77" s="667"/>
      <c r="U77" s="581"/>
      <c r="V77" s="581"/>
      <c r="W77" s="581"/>
      <c r="X77" s="401"/>
      <c r="Y77" s="581"/>
      <c r="Z77" s="581"/>
      <c r="AA77" s="581"/>
      <c r="AB77" s="581"/>
      <c r="AC77" s="581"/>
      <c r="AD77" s="580">
        <f t="shared" si="44"/>
        <v>7516.4719999999998</v>
      </c>
      <c r="AO77" s="401"/>
      <c r="BD77" s="473">
        <f t="shared" si="32"/>
        <v>45261.909722222219</v>
      </c>
      <c r="BE77" s="473">
        <f t="shared" si="33"/>
        <v>45266.5</v>
      </c>
      <c r="BF77" s="479">
        <f t="shared" si="34"/>
        <v>4.5902777777810115</v>
      </c>
      <c r="BG77" s="473">
        <v>45261.909722222219</v>
      </c>
      <c r="BH77" s="473">
        <v>45261.930555555555</v>
      </c>
      <c r="BI77" s="473">
        <v>45261.961805555555</v>
      </c>
      <c r="BJ77" s="473">
        <v>45263.368055555555</v>
      </c>
      <c r="BK77" s="473">
        <v>45263.53125</v>
      </c>
      <c r="BL77" s="473">
        <v>45263.538194444445</v>
      </c>
      <c r="BM77" s="473">
        <v>45263.913194444445</v>
      </c>
      <c r="BN77" s="473">
        <v>45263.913194444445</v>
      </c>
      <c r="BO77" s="518" t="s">
        <v>196</v>
      </c>
      <c r="BP77" s="518" t="s">
        <v>196</v>
      </c>
      <c r="BQ77" s="518" t="s">
        <v>196</v>
      </c>
      <c r="BR77" s="473">
        <v>45264.166666666664</v>
      </c>
      <c r="BS77" s="473">
        <v>45265.322916666664</v>
      </c>
      <c r="BT77" s="473">
        <v>45266.128472222219</v>
      </c>
      <c r="BU77" s="473">
        <v>45266.177083333336</v>
      </c>
      <c r="BV77" s="473">
        <v>45266.177083333336</v>
      </c>
      <c r="BW77" s="473">
        <v>45266.5</v>
      </c>
      <c r="BZ77" s="481">
        <f t="shared" si="35"/>
        <v>0.75</v>
      </c>
      <c r="CA77" s="481">
        <f t="shared" si="36"/>
        <v>3.9166666666860692</v>
      </c>
      <c r="CB77" s="481">
        <f t="shared" si="37"/>
        <v>0</v>
      </c>
      <c r="CC77" s="481">
        <f t="shared" si="45"/>
        <v>6.0833333332557231</v>
      </c>
      <c r="CD77" s="482">
        <f t="shared" si="38"/>
        <v>19.333333333313931</v>
      </c>
      <c r="CE77" s="482">
        <f t="shared" si="39"/>
        <v>7.7499999999417923</v>
      </c>
      <c r="CF77" s="483">
        <f t="shared" si="40"/>
        <v>1.5763888888832298</v>
      </c>
      <c r="CG77" s="483">
        <f t="shared" si="41"/>
        <v>4.5902777777810115</v>
      </c>
      <c r="CH77" s="484">
        <f t="shared" si="42"/>
        <v>0.34341906202575667</v>
      </c>
    </row>
    <row r="78" spans="1:88" s="475" customFormat="1">
      <c r="A78" s="474">
        <f t="shared" si="31"/>
        <v>45265.066666666666</v>
      </c>
      <c r="B78" s="475" t="s">
        <v>188</v>
      </c>
      <c r="C78" s="475" t="s">
        <v>87</v>
      </c>
      <c r="D78" s="475" t="s">
        <v>197</v>
      </c>
      <c r="E78" s="476" t="s">
        <v>1270</v>
      </c>
      <c r="F78" s="475" t="s">
        <v>3474</v>
      </c>
      <c r="G78" s="472">
        <v>45261.333333333336</v>
      </c>
      <c r="H78" s="472">
        <v>45261.291666666664</v>
      </c>
      <c r="I78" s="667" t="s">
        <v>751</v>
      </c>
      <c r="J78" s="475" t="s">
        <v>192</v>
      </c>
      <c r="K78" s="475" t="s">
        <v>192</v>
      </c>
      <c r="L78" s="475" t="s">
        <v>3835</v>
      </c>
      <c r="M78" s="529"/>
      <c r="N78" s="475" t="s">
        <v>213</v>
      </c>
      <c r="O78" s="475" t="s">
        <v>214</v>
      </c>
      <c r="P78" s="475" t="s">
        <v>611</v>
      </c>
      <c r="Q78" s="477">
        <f>3113*2.4</f>
        <v>7471.2</v>
      </c>
      <c r="R78" s="477">
        <f>7500+100</f>
        <v>7600</v>
      </c>
      <c r="S78" s="477">
        <v>7578.4870000000001</v>
      </c>
      <c r="T78" s="667"/>
      <c r="U78" s="581"/>
      <c r="V78" s="581"/>
      <c r="W78" s="581"/>
      <c r="X78" s="581"/>
      <c r="Y78" s="581"/>
      <c r="Z78" s="581"/>
      <c r="AA78" s="581"/>
      <c r="AB78" s="581"/>
      <c r="AC78" s="581"/>
      <c r="AD78" s="580">
        <f t="shared" si="44"/>
        <v>7578.4870000000001</v>
      </c>
      <c r="AE78" s="581"/>
      <c r="AF78" s="581"/>
      <c r="AG78" s="581"/>
      <c r="AH78" s="581"/>
      <c r="AI78" s="667"/>
      <c r="AJ78" s="667"/>
      <c r="AK78" s="667"/>
      <c r="AL78" s="667"/>
      <c r="AM78" s="667"/>
      <c r="AN78" s="667"/>
      <c r="AO78" s="667"/>
      <c r="AP78" s="667"/>
      <c r="AQ78" s="667"/>
      <c r="AR78" s="667"/>
      <c r="AS78" s="667"/>
      <c r="AT78" s="667"/>
      <c r="AU78" s="667"/>
      <c r="AV78" s="667"/>
      <c r="AW78" s="667"/>
      <c r="BD78" s="473">
        <f t="shared" si="32"/>
        <v>45262.71875</v>
      </c>
      <c r="BE78" s="473">
        <f t="shared" si="33"/>
        <v>45266.809027777781</v>
      </c>
      <c r="BF78" s="479">
        <f t="shared" si="34"/>
        <v>4.0902777777810115</v>
      </c>
      <c r="BG78" s="473">
        <v>45262.71875</v>
      </c>
      <c r="BH78" s="473">
        <v>45262.736111111109</v>
      </c>
      <c r="BI78" s="473">
        <v>45262.763888888891</v>
      </c>
      <c r="BJ78" s="473">
        <v>45265.066666666666</v>
      </c>
      <c r="BK78" s="473">
        <v>45265.253472222219</v>
      </c>
      <c r="BL78" s="473">
        <v>45265.260416666664</v>
      </c>
      <c r="BM78" s="473">
        <v>45265.84375</v>
      </c>
      <c r="BN78" s="473">
        <v>45265.84375</v>
      </c>
      <c r="BO78" s="518" t="s">
        <v>196</v>
      </c>
      <c r="BP78" s="518" t="s">
        <v>196</v>
      </c>
      <c r="BQ78" s="518" t="s">
        <v>196</v>
      </c>
      <c r="BR78" s="473">
        <v>45266.083333333336</v>
      </c>
      <c r="BS78" s="473">
        <v>45266.152777777781</v>
      </c>
      <c r="BT78" s="473">
        <v>45266.534722222219</v>
      </c>
      <c r="BU78" s="473">
        <v>45266.548611111109</v>
      </c>
      <c r="BV78" s="473">
        <v>45266.5625</v>
      </c>
      <c r="BW78" s="473">
        <v>45266.809027777781</v>
      </c>
      <c r="BZ78" s="481">
        <f t="shared" si="35"/>
        <v>0.66666666674427688</v>
      </c>
      <c r="CA78" s="481">
        <f t="shared" si="36"/>
        <v>4.4833333332790062</v>
      </c>
      <c r="CB78" s="481">
        <f t="shared" si="37"/>
        <v>0</v>
      </c>
      <c r="CC78" s="481">
        <f t="shared" si="45"/>
        <v>5.7500000000582077</v>
      </c>
      <c r="CD78" s="482">
        <f t="shared" si="38"/>
        <v>9.1666666665114462</v>
      </c>
      <c r="CE78" s="482">
        <f t="shared" si="39"/>
        <v>5.9166666667442769</v>
      </c>
      <c r="CF78" s="483">
        <f t="shared" si="40"/>
        <v>1.0826388888890506</v>
      </c>
      <c r="CG78" s="483">
        <f t="shared" si="41"/>
        <v>4.0902777777810115</v>
      </c>
      <c r="CH78" s="484">
        <f t="shared" si="42"/>
        <v>0.26468590831901534</v>
      </c>
    </row>
    <row r="79" spans="1:88" s="475" customFormat="1">
      <c r="A79" s="474">
        <f t="shared" si="31"/>
        <v>45268.118055555555</v>
      </c>
      <c r="B79" s="475" t="s">
        <v>188</v>
      </c>
      <c r="C79" s="475" t="s">
        <v>87</v>
      </c>
      <c r="D79" s="475" t="s">
        <v>197</v>
      </c>
      <c r="E79" s="476" t="s">
        <v>3182</v>
      </c>
      <c r="F79" s="475" t="s">
        <v>3378</v>
      </c>
      <c r="G79" s="473">
        <v>45269.229166666664</v>
      </c>
      <c r="H79" s="473">
        <v>45269.25</v>
      </c>
      <c r="I79" s="475" t="s">
        <v>751</v>
      </c>
      <c r="J79" s="475" t="s">
        <v>192</v>
      </c>
      <c r="K79" s="475" t="s">
        <v>192</v>
      </c>
      <c r="L79" s="667" t="s">
        <v>3836</v>
      </c>
      <c r="M79" s="529"/>
      <c r="N79" s="475" t="s">
        <v>277</v>
      </c>
      <c r="O79" s="475" t="s">
        <v>278</v>
      </c>
      <c r="P79" s="475" t="s">
        <v>611</v>
      </c>
      <c r="Q79" s="477">
        <f>3117*2.4</f>
        <v>7480.7999999999993</v>
      </c>
      <c r="R79" s="477">
        <f>7500+100</f>
        <v>7600</v>
      </c>
      <c r="S79" s="477">
        <v>7503.0820000000003</v>
      </c>
      <c r="T79" s="667"/>
      <c r="U79" s="581"/>
      <c r="V79" s="581"/>
      <c r="W79" s="581"/>
      <c r="X79" s="581"/>
      <c r="Z79" s="581"/>
      <c r="AA79" s="581"/>
      <c r="AB79" s="581"/>
      <c r="AC79" s="581"/>
      <c r="AD79" s="726">
        <f t="shared" si="44"/>
        <v>7503.0820000000003</v>
      </c>
      <c r="BD79" s="473">
        <f t="shared" si="32"/>
        <v>45267.451388888891</v>
      </c>
      <c r="BE79" s="473">
        <f t="shared" si="33"/>
        <v>45273.46875</v>
      </c>
      <c r="BF79" s="479">
        <f t="shared" si="34"/>
        <v>6.0173611111094942</v>
      </c>
      <c r="BG79" s="473">
        <v>45267.451388888891</v>
      </c>
      <c r="BH79" s="473">
        <v>45267.46875</v>
      </c>
      <c r="BI79" s="473">
        <v>45267.5</v>
      </c>
      <c r="BJ79" s="473">
        <v>45268.118055555555</v>
      </c>
      <c r="BK79" s="473">
        <v>45268.265277777777</v>
      </c>
      <c r="BL79" s="473">
        <v>45268.270833333336</v>
      </c>
      <c r="BM79" s="473">
        <v>45268.666666666664</v>
      </c>
      <c r="BN79" s="473">
        <v>45268.666666666664</v>
      </c>
      <c r="BO79" s="518" t="s">
        <v>196</v>
      </c>
      <c r="BP79" s="518" t="s">
        <v>196</v>
      </c>
      <c r="BQ79" s="518" t="s">
        <v>196</v>
      </c>
      <c r="BR79" s="473">
        <v>45268.875</v>
      </c>
      <c r="BS79" s="473">
        <v>45272.819444444445</v>
      </c>
      <c r="BT79" s="473">
        <v>45273.208333333336</v>
      </c>
      <c r="BU79" s="473">
        <v>45273.229166666664</v>
      </c>
      <c r="BV79" s="473">
        <v>45273.229166666664</v>
      </c>
      <c r="BW79" s="473">
        <v>45273.46875</v>
      </c>
      <c r="BZ79" s="481">
        <f t="shared" si="35"/>
        <v>0.75</v>
      </c>
      <c r="CA79" s="481">
        <f t="shared" si="36"/>
        <v>3.5333333333255723</v>
      </c>
      <c r="CB79" s="481">
        <f t="shared" si="37"/>
        <v>0</v>
      </c>
      <c r="CC79" s="481">
        <f t="shared" si="45"/>
        <v>5.0000000000582077</v>
      </c>
      <c r="CD79" s="482">
        <f t="shared" si="38"/>
        <v>9.3333333333721384</v>
      </c>
      <c r="CE79" s="482">
        <f t="shared" si="39"/>
        <v>5.7500000000582077</v>
      </c>
      <c r="CF79" s="483">
        <f t="shared" si="40"/>
        <v>1.0152777777839219</v>
      </c>
      <c r="CG79" s="483">
        <f t="shared" si="41"/>
        <v>6.0173611111094942</v>
      </c>
      <c r="CH79" s="484">
        <f t="shared" si="42"/>
        <v>0.16872475476159729</v>
      </c>
    </row>
    <row r="80" spans="1:88" s="475" customFormat="1">
      <c r="A80" s="474">
        <f t="shared" si="31"/>
        <v>45278.440972222219</v>
      </c>
      <c r="B80" s="475" t="s">
        <v>188</v>
      </c>
      <c r="C80" s="475" t="s">
        <v>87</v>
      </c>
      <c r="D80" s="475" t="s">
        <v>197</v>
      </c>
      <c r="E80" s="476" t="s">
        <v>3191</v>
      </c>
      <c r="F80" s="475" t="s">
        <v>3474</v>
      </c>
      <c r="G80" s="473">
        <v>45276.3125</v>
      </c>
      <c r="H80" s="473">
        <v>45276.341666666667</v>
      </c>
      <c r="I80" s="475" t="s">
        <v>751</v>
      </c>
      <c r="J80" s="475" t="s">
        <v>192</v>
      </c>
      <c r="K80" s="475" t="s">
        <v>192</v>
      </c>
      <c r="L80" s="475" t="s">
        <v>3837</v>
      </c>
      <c r="M80" s="530"/>
      <c r="N80" s="475" t="s">
        <v>249</v>
      </c>
      <c r="O80" s="475" t="s">
        <v>2315</v>
      </c>
      <c r="P80" s="475" t="s">
        <v>611</v>
      </c>
      <c r="Q80" s="477">
        <f>3139*2.4</f>
        <v>7533.5999999999995</v>
      </c>
      <c r="R80" s="477">
        <f>7550+100</f>
        <v>7650</v>
      </c>
      <c r="S80" s="477">
        <v>7550.7370000000001</v>
      </c>
      <c r="T80" s="399"/>
      <c r="U80" s="401"/>
      <c r="V80" s="401"/>
      <c r="W80" s="401"/>
      <c r="X80" s="401"/>
      <c r="Y80" s="401"/>
      <c r="Z80" s="401"/>
      <c r="AA80" s="401"/>
      <c r="AB80" s="401"/>
      <c r="AC80" s="401"/>
      <c r="AD80" s="580">
        <f t="shared" si="44"/>
        <v>7550.7370000000001</v>
      </c>
      <c r="AE80" s="401"/>
      <c r="AF80" s="401"/>
      <c r="AG80" s="401"/>
      <c r="AH80" s="401"/>
      <c r="AI80" s="401"/>
      <c r="AJ80" s="401"/>
      <c r="AK80" s="401"/>
      <c r="AL80" s="401"/>
      <c r="AM80" s="401"/>
      <c r="AN80" s="401"/>
      <c r="AO80" s="401"/>
      <c r="AP80" s="401"/>
      <c r="AQ80" s="401"/>
      <c r="AX80" s="399"/>
      <c r="AY80" s="399"/>
      <c r="AZ80" s="399"/>
      <c r="BA80" s="399"/>
      <c r="BB80" s="399"/>
      <c r="BC80" s="399"/>
      <c r="BD80" s="473">
        <f t="shared" si="32"/>
        <v>45277.815972222219</v>
      </c>
      <c r="BE80" s="473">
        <f t="shared" si="33"/>
        <v>45282.083333333336</v>
      </c>
      <c r="BF80" s="479">
        <f t="shared" si="34"/>
        <v>4.2673611111167702</v>
      </c>
      <c r="BG80" s="473">
        <v>45277.815972222219</v>
      </c>
      <c r="BH80" s="473">
        <v>45277.836805555555</v>
      </c>
      <c r="BI80" s="473">
        <v>45277.861111111109</v>
      </c>
      <c r="BJ80" s="473">
        <v>45278.440972222219</v>
      </c>
      <c r="BK80" s="473">
        <v>45278.571527777778</v>
      </c>
      <c r="BL80" s="473">
        <v>45278.581944444442</v>
      </c>
      <c r="BM80" s="473">
        <v>45278.993055555555</v>
      </c>
      <c r="BN80" s="473">
        <f>BM80</f>
        <v>45278.993055555555</v>
      </c>
      <c r="BO80" s="518" t="s">
        <v>196</v>
      </c>
      <c r="BP80" s="518" t="s">
        <v>196</v>
      </c>
      <c r="BQ80" s="518" t="s">
        <v>196</v>
      </c>
      <c r="BR80" s="473">
        <v>45279.277777777781</v>
      </c>
      <c r="BS80" s="473">
        <v>45280.975694444445</v>
      </c>
      <c r="BT80" s="473">
        <v>45281.708333333336</v>
      </c>
      <c r="BU80" s="473">
        <v>45281.729166666664</v>
      </c>
      <c r="BV80" s="473">
        <v>45281.729166666664</v>
      </c>
      <c r="BW80" s="473">
        <v>45282.083333333336</v>
      </c>
      <c r="BZ80" s="481">
        <f t="shared" si="35"/>
        <v>0.58333333331393078</v>
      </c>
      <c r="CA80" s="481">
        <f t="shared" si="36"/>
        <v>3.1333333334187046</v>
      </c>
      <c r="CB80" s="481">
        <f t="shared" si="37"/>
        <v>0</v>
      </c>
      <c r="CC80" s="481">
        <f t="shared" si="45"/>
        <v>6.8333333334303461</v>
      </c>
      <c r="CD80" s="482">
        <f t="shared" si="38"/>
        <v>17.583333333372138</v>
      </c>
      <c r="CE80" s="482">
        <f t="shared" si="39"/>
        <v>8.5000000001164153</v>
      </c>
      <c r="CF80" s="483">
        <f t="shared" si="40"/>
        <v>1.5263888889021473</v>
      </c>
      <c r="CG80" s="483">
        <f t="shared" si="41"/>
        <v>4.2673611111167702</v>
      </c>
      <c r="CH80" s="484">
        <f t="shared" si="42"/>
        <v>0.35768917819628598</v>
      </c>
    </row>
    <row r="81" spans="1:88" s="475" customFormat="1">
      <c r="A81" s="474">
        <f t="shared" si="31"/>
        <v>45280.072916666664</v>
      </c>
      <c r="B81" s="475" t="s">
        <v>188</v>
      </c>
      <c r="C81" s="475" t="s">
        <v>87</v>
      </c>
      <c r="D81" s="475" t="s">
        <v>197</v>
      </c>
      <c r="E81" s="476" t="s">
        <v>3191</v>
      </c>
      <c r="F81" s="475" t="s">
        <v>3474</v>
      </c>
      <c r="G81" s="473">
        <v>45276.3125</v>
      </c>
      <c r="H81" s="473">
        <v>45276.341666666667</v>
      </c>
      <c r="I81" s="475" t="s">
        <v>751</v>
      </c>
      <c r="J81" s="475" t="s">
        <v>192</v>
      </c>
      <c r="K81" s="475" t="s">
        <v>192</v>
      </c>
      <c r="L81" s="475" t="s">
        <v>3838</v>
      </c>
      <c r="M81" s="530"/>
      <c r="N81" s="475" t="s">
        <v>277</v>
      </c>
      <c r="O81" s="475" t="s">
        <v>278</v>
      </c>
      <c r="P81" s="475" t="s">
        <v>611</v>
      </c>
      <c r="Q81" s="477">
        <f>3117*2.4</f>
        <v>7480.7999999999993</v>
      </c>
      <c r="R81" s="477">
        <f>7500+100</f>
        <v>7600</v>
      </c>
      <c r="S81" s="477">
        <v>7551.7280000000001</v>
      </c>
      <c r="T81" s="667"/>
      <c r="U81" s="581"/>
      <c r="V81" s="581"/>
      <c r="W81" s="581"/>
      <c r="X81" s="581"/>
      <c r="Y81" s="581"/>
      <c r="Z81" s="581"/>
      <c r="AA81" s="581"/>
      <c r="AB81" s="581"/>
      <c r="AC81" s="581"/>
      <c r="AD81" s="580">
        <f t="shared" si="44"/>
        <v>7551.7280000000001</v>
      </c>
      <c r="BD81" s="473">
        <f t="shared" si="32"/>
        <v>45279.576388888891</v>
      </c>
      <c r="BE81" s="473">
        <f t="shared" si="33"/>
        <v>45282.6875</v>
      </c>
      <c r="BF81" s="479">
        <f t="shared" si="34"/>
        <v>3.1111111111094942</v>
      </c>
      <c r="BG81" s="473">
        <v>45279.576388888891</v>
      </c>
      <c r="BH81" s="473">
        <v>45279.586805555555</v>
      </c>
      <c r="BI81" s="473">
        <v>45279.607638888891</v>
      </c>
      <c r="BJ81" s="473">
        <v>45280.072916666664</v>
      </c>
      <c r="BK81" s="473">
        <v>45280.272222222222</v>
      </c>
      <c r="BL81" s="473">
        <v>45280.275694444441</v>
      </c>
      <c r="BM81" s="473">
        <v>45280.715277777781</v>
      </c>
      <c r="BN81" s="473">
        <v>45280.715277777781</v>
      </c>
      <c r="BO81" s="518" t="s">
        <v>196</v>
      </c>
      <c r="BP81" s="518" t="s">
        <v>196</v>
      </c>
      <c r="BQ81" s="518" t="s">
        <v>196</v>
      </c>
      <c r="BR81" s="473">
        <v>45280.9375</v>
      </c>
      <c r="BS81" s="473">
        <v>45281.784722222219</v>
      </c>
      <c r="BT81" s="473">
        <v>45282.15625</v>
      </c>
      <c r="BU81" s="473">
        <v>45282.208333333336</v>
      </c>
      <c r="BV81" s="473">
        <v>45282.524305555555</v>
      </c>
      <c r="BW81" s="473">
        <v>45282.6875</v>
      </c>
      <c r="BZ81" s="481">
        <f t="shared" si="35"/>
        <v>0.50000000005820766</v>
      </c>
      <c r="CA81" s="481">
        <f t="shared" si="36"/>
        <v>4.78333333338378</v>
      </c>
      <c r="CB81" s="481">
        <f t="shared" si="37"/>
        <v>0</v>
      </c>
      <c r="CC81" s="481">
        <f t="shared" si="45"/>
        <v>5.3333333332557231</v>
      </c>
      <c r="CD81" s="482">
        <f t="shared" si="38"/>
        <v>8.9166666667442769</v>
      </c>
      <c r="CE81" s="482">
        <f t="shared" si="39"/>
        <v>3.9166666666860692</v>
      </c>
      <c r="CF81" s="483">
        <f t="shared" si="40"/>
        <v>0.97708333333866904</v>
      </c>
      <c r="CG81" s="483">
        <f t="shared" si="41"/>
        <v>3.1111111111094942</v>
      </c>
      <c r="CH81" s="484">
        <f t="shared" si="42"/>
        <v>0.31406250000187824</v>
      </c>
    </row>
    <row r="82" spans="1:88" s="475" customFormat="1">
      <c r="A82" s="474">
        <f t="shared" si="31"/>
        <v>45281.809027777781</v>
      </c>
      <c r="B82" s="475" t="s">
        <v>188</v>
      </c>
      <c r="C82" s="475" t="s">
        <v>87</v>
      </c>
      <c r="D82" s="475" t="s">
        <v>197</v>
      </c>
      <c r="E82" s="399" t="s">
        <v>3199</v>
      </c>
      <c r="F82" s="399" t="s">
        <v>3378</v>
      </c>
      <c r="G82" s="472">
        <v>45281.104166666664</v>
      </c>
      <c r="H82" s="472">
        <v>45281.104166666664</v>
      </c>
      <c r="I82" s="475" t="s">
        <v>751</v>
      </c>
      <c r="J82" s="475" t="s">
        <v>192</v>
      </c>
      <c r="K82" s="475" t="s">
        <v>192</v>
      </c>
      <c r="L82" s="667" t="s">
        <v>3839</v>
      </c>
      <c r="M82" s="530"/>
      <c r="N82" s="475" t="s">
        <v>1874</v>
      </c>
      <c r="O82" s="475" t="s">
        <v>1875</v>
      </c>
      <c r="P82" s="399" t="s">
        <v>611</v>
      </c>
      <c r="Q82" s="477">
        <f>2205*2.4</f>
        <v>5292</v>
      </c>
      <c r="R82" s="477">
        <f>5300+100</f>
        <v>5400</v>
      </c>
      <c r="S82" s="477">
        <v>4754.0770000000002</v>
      </c>
      <c r="T82" s="477"/>
      <c r="U82" s="581"/>
      <c r="V82" s="581"/>
      <c r="W82" s="581"/>
      <c r="X82" s="581"/>
      <c r="Y82" s="581"/>
      <c r="Z82" s="581"/>
      <c r="AA82" s="581"/>
      <c r="AB82" s="401"/>
      <c r="AC82" s="577"/>
      <c r="AD82" s="726">
        <f t="shared" si="44"/>
        <v>4754.0770000000002</v>
      </c>
      <c r="AE82" s="577"/>
      <c r="AF82" s="577"/>
      <c r="AG82" s="577"/>
      <c r="AH82" s="577"/>
      <c r="AI82" s="577"/>
      <c r="AJ82" s="577"/>
      <c r="BD82" s="473">
        <f t="shared" si="32"/>
        <v>45279.836805555555</v>
      </c>
      <c r="BE82" s="473">
        <f t="shared" si="33"/>
        <v>45285.618055555555</v>
      </c>
      <c r="BF82" s="479">
        <f t="shared" si="34"/>
        <v>5.78125</v>
      </c>
      <c r="BG82" s="473">
        <v>45279.836805555555</v>
      </c>
      <c r="BH82" s="473">
        <v>45280.739583333336</v>
      </c>
      <c r="BI82" s="473">
        <v>45281.1875</v>
      </c>
      <c r="BJ82" s="473">
        <v>45281.809027777781</v>
      </c>
      <c r="BK82" s="473">
        <v>45281.914583333331</v>
      </c>
      <c r="BL82" s="473">
        <v>45281.920138888891</v>
      </c>
      <c r="BM82" s="473">
        <v>45282.760416666664</v>
      </c>
      <c r="BN82" s="473">
        <v>45282.760416666664</v>
      </c>
      <c r="BO82" s="518" t="s">
        <v>196</v>
      </c>
      <c r="BP82" s="518" t="s">
        <v>196</v>
      </c>
      <c r="BQ82" s="518" t="s">
        <v>196</v>
      </c>
      <c r="BR82" s="473">
        <v>45283.145833333336</v>
      </c>
      <c r="BS82" s="473">
        <v>45284.895833333336</v>
      </c>
      <c r="BT82" s="473">
        <v>45285.090277777781</v>
      </c>
      <c r="BU82" s="473">
        <v>45285.111111111109</v>
      </c>
      <c r="BV82" s="473">
        <v>45285.111111111109</v>
      </c>
      <c r="BW82" s="473">
        <v>45285.618055555555</v>
      </c>
      <c r="BZ82" s="481">
        <f t="shared" si="35"/>
        <v>10.749999999941792</v>
      </c>
      <c r="CA82" s="481">
        <f t="shared" si="36"/>
        <v>2.533333333209157</v>
      </c>
      <c r="CB82" s="481">
        <f t="shared" si="37"/>
        <v>0</v>
      </c>
      <c r="CC82" s="481">
        <f t="shared" si="45"/>
        <v>9.2500000001164153</v>
      </c>
      <c r="CD82" s="482">
        <f t="shared" si="38"/>
        <v>4.6666666666860692</v>
      </c>
      <c r="CE82" s="482">
        <f t="shared" si="39"/>
        <v>12.166666666686069</v>
      </c>
      <c r="CF82" s="483">
        <f t="shared" si="40"/>
        <v>1.640277777776646</v>
      </c>
      <c r="CG82" s="483">
        <f t="shared" si="41"/>
        <v>5.78125</v>
      </c>
      <c r="CH82" s="484">
        <f t="shared" si="42"/>
        <v>0.28372372372352794</v>
      </c>
    </row>
    <row r="83" spans="1:88" s="475" customFormat="1">
      <c r="A83" s="474">
        <f t="shared" si="31"/>
        <v>45281.950694444444</v>
      </c>
      <c r="B83" s="475" t="s">
        <v>188</v>
      </c>
      <c r="C83" s="475" t="s">
        <v>87</v>
      </c>
      <c r="D83" s="475" t="s">
        <v>197</v>
      </c>
      <c r="E83" s="399" t="s">
        <v>3199</v>
      </c>
      <c r="F83" s="399" t="s">
        <v>3378</v>
      </c>
      <c r="G83" s="472">
        <v>45281.104166666664</v>
      </c>
      <c r="H83" s="472">
        <v>45281.104166666664</v>
      </c>
      <c r="I83" s="475" t="s">
        <v>751</v>
      </c>
      <c r="J83" s="475" t="s">
        <v>192</v>
      </c>
      <c r="K83" s="475" t="s">
        <v>192</v>
      </c>
      <c r="L83" s="667" t="s">
        <v>3840</v>
      </c>
      <c r="M83" s="530"/>
      <c r="N83" s="475" t="s">
        <v>3546</v>
      </c>
      <c r="O83" s="475" t="s">
        <v>1308</v>
      </c>
      <c r="P83" s="475" t="s">
        <v>611</v>
      </c>
      <c r="Q83" s="477">
        <f>2205*2.4</f>
        <v>5292</v>
      </c>
      <c r="R83" s="477">
        <f>5300+100</f>
        <v>5400</v>
      </c>
      <c r="S83" s="477">
        <v>4752.951</v>
      </c>
      <c r="T83" s="477"/>
      <c r="U83" s="581"/>
      <c r="V83" s="581"/>
      <c r="W83" s="581"/>
      <c r="Y83" s="581"/>
      <c r="Z83" s="581"/>
      <c r="AA83" s="581"/>
      <c r="AB83" s="401"/>
      <c r="AC83" s="581"/>
      <c r="AD83" s="726">
        <f t="shared" si="44"/>
        <v>4752.951</v>
      </c>
      <c r="AE83" s="401"/>
      <c r="AS83" s="581"/>
      <c r="AT83" s="581"/>
      <c r="BD83" s="473">
        <f t="shared" si="32"/>
        <v>45278.625</v>
      </c>
      <c r="BE83" s="473">
        <f t="shared" si="33"/>
        <v>45286.4375</v>
      </c>
      <c r="BF83" s="479">
        <f t="shared" si="34"/>
        <v>7.8125</v>
      </c>
      <c r="BG83" s="473">
        <v>45278.625</v>
      </c>
      <c r="BH83" s="473">
        <v>45280.9375</v>
      </c>
      <c r="BI83" s="473">
        <v>45281.666666666664</v>
      </c>
      <c r="BJ83" s="473">
        <v>45281.950694444444</v>
      </c>
      <c r="BK83" s="473">
        <v>45282.063888888886</v>
      </c>
      <c r="BL83" s="473">
        <v>45282.072916666664</v>
      </c>
      <c r="BM83" s="473">
        <v>45282.763888888891</v>
      </c>
      <c r="BN83" s="473">
        <v>45282.763888888891</v>
      </c>
      <c r="BO83" s="518" t="s">
        <v>196</v>
      </c>
      <c r="BP83" s="518" t="s">
        <v>196</v>
      </c>
      <c r="BQ83" s="518" t="s">
        <v>196</v>
      </c>
      <c r="BR83" s="473">
        <v>45283.194444444445</v>
      </c>
      <c r="BS83" s="473">
        <v>45285.527777777781</v>
      </c>
      <c r="BT83" s="473">
        <v>45285.694444444445</v>
      </c>
      <c r="BU83" s="473">
        <v>45285.715277777781</v>
      </c>
      <c r="BV83" s="473">
        <v>45286.083333333336</v>
      </c>
      <c r="BW83" s="473">
        <v>45286.4375</v>
      </c>
      <c r="BZ83" s="481">
        <f t="shared" si="35"/>
        <v>17.499999999941792</v>
      </c>
      <c r="CA83" s="481">
        <f t="shared" si="36"/>
        <v>2.71666666661622</v>
      </c>
      <c r="CB83" s="481">
        <f t="shared" si="37"/>
        <v>0</v>
      </c>
      <c r="CC83" s="481">
        <f t="shared" si="45"/>
        <v>10.333333333313931</v>
      </c>
      <c r="CD83" s="482">
        <f t="shared" si="38"/>
        <v>3.9999999999417923</v>
      </c>
      <c r="CE83" s="482">
        <f t="shared" si="39"/>
        <v>8.4999999999417923</v>
      </c>
      <c r="CF83" s="483">
        <f t="shared" si="40"/>
        <v>1.7937499999898137</v>
      </c>
      <c r="CG83" s="483">
        <f t="shared" si="41"/>
        <v>7.8125</v>
      </c>
      <c r="CH83" s="484">
        <f t="shared" si="42"/>
        <v>0.22959999999869615</v>
      </c>
    </row>
    <row r="84" spans="1:88" s="475" customFormat="1">
      <c r="A84" s="474">
        <f t="shared" si="31"/>
        <v>45283.559027777781</v>
      </c>
      <c r="B84" s="475" t="s">
        <v>188</v>
      </c>
      <c r="C84" s="475" t="s">
        <v>87</v>
      </c>
      <c r="D84" s="475" t="s">
        <v>197</v>
      </c>
      <c r="E84" s="399" t="s">
        <v>3156</v>
      </c>
      <c r="F84" s="399" t="s">
        <v>3474</v>
      </c>
      <c r="G84" s="472">
        <v>45271</v>
      </c>
      <c r="H84" s="472">
        <v>45271.366666666669</v>
      </c>
      <c r="I84" s="475" t="s">
        <v>751</v>
      </c>
      <c r="J84" s="475" t="s">
        <v>192</v>
      </c>
      <c r="K84" s="475" t="s">
        <v>192</v>
      </c>
      <c r="L84" s="667" t="s">
        <v>3841</v>
      </c>
      <c r="M84" s="530"/>
      <c r="N84" s="475" t="s">
        <v>390</v>
      </c>
      <c r="O84" s="475" t="s">
        <v>3346</v>
      </c>
      <c r="P84" s="475" t="s">
        <v>1164</v>
      </c>
      <c r="Q84" s="477">
        <f>3094*2.4</f>
        <v>7425.5999999999995</v>
      </c>
      <c r="R84" s="477">
        <f>7450+100</f>
        <v>7550</v>
      </c>
      <c r="S84" s="477">
        <v>7533.0609999999997</v>
      </c>
      <c r="T84" s="667"/>
      <c r="U84" s="581"/>
      <c r="V84" s="581"/>
      <c r="W84" s="581"/>
      <c r="X84" s="581"/>
      <c r="Y84" s="581"/>
      <c r="Z84" s="581"/>
      <c r="AA84" s="581"/>
      <c r="AB84" s="581"/>
      <c r="AC84" s="581"/>
      <c r="AD84" s="581"/>
      <c r="AE84" s="581"/>
      <c r="AF84" s="581"/>
      <c r="AH84" s="726">
        <f>S84</f>
        <v>7533.0609999999997</v>
      </c>
      <c r="BD84" s="473">
        <f t="shared" si="32"/>
        <v>45282.864583333336</v>
      </c>
      <c r="BE84" s="473">
        <f t="shared" si="33"/>
        <v>45289.489583333336</v>
      </c>
      <c r="BF84" s="479">
        <f t="shared" si="34"/>
        <v>6.625</v>
      </c>
      <c r="BG84" s="473">
        <v>45282.864583333336</v>
      </c>
      <c r="BH84" s="473">
        <v>45282.875</v>
      </c>
      <c r="BI84" s="473">
        <v>45282.902777777781</v>
      </c>
      <c r="BJ84" s="473">
        <v>45283.559027777781</v>
      </c>
      <c r="BK84" s="473">
        <v>45283.690972222219</v>
      </c>
      <c r="BL84" s="473">
        <v>45283.696527777778</v>
      </c>
      <c r="BM84" s="473">
        <v>45284.78125</v>
      </c>
      <c r="BN84" s="473">
        <v>45284.78125</v>
      </c>
      <c r="BO84" s="518" t="s">
        <v>196</v>
      </c>
      <c r="BP84" s="518" t="s">
        <v>196</v>
      </c>
      <c r="BQ84" s="518" t="s">
        <v>196</v>
      </c>
      <c r="BR84" s="473">
        <v>45285.0625</v>
      </c>
      <c r="BS84" s="473">
        <v>45288.305555555555</v>
      </c>
      <c r="BT84" s="473">
        <v>45288.861111111109</v>
      </c>
      <c r="BU84" s="473">
        <v>45288.881944444445</v>
      </c>
      <c r="BV84" s="473">
        <v>45288.881944444445</v>
      </c>
      <c r="BW84" s="473">
        <v>45289.489583333336</v>
      </c>
      <c r="BZ84" s="481">
        <f t="shared" si="35"/>
        <v>0.66666666674427688</v>
      </c>
      <c r="CA84" s="481">
        <f t="shared" si="36"/>
        <v>3.1666666665114462</v>
      </c>
      <c r="CB84" s="481">
        <f t="shared" si="37"/>
        <v>0</v>
      </c>
      <c r="CC84" s="481">
        <f t="shared" si="45"/>
        <v>6.75</v>
      </c>
      <c r="CD84" s="482">
        <f t="shared" si="38"/>
        <v>13.333333333313931</v>
      </c>
      <c r="CE84" s="482">
        <f t="shared" si="39"/>
        <v>14.583333333372138</v>
      </c>
      <c r="CF84" s="483">
        <f t="shared" si="40"/>
        <v>1.6041666666642413</v>
      </c>
      <c r="CG84" s="483">
        <f t="shared" si="41"/>
        <v>6.625</v>
      </c>
      <c r="CH84" s="484">
        <f t="shared" si="42"/>
        <v>0.24213836477950812</v>
      </c>
    </row>
    <row r="85" spans="1:88" s="475" customFormat="1">
      <c r="A85" s="521">
        <f t="shared" si="31"/>
        <v>45266.479166666664</v>
      </c>
      <c r="B85" s="369" t="s">
        <v>188</v>
      </c>
      <c r="C85" s="369" t="s">
        <v>181</v>
      </c>
      <c r="D85" s="369" t="s">
        <v>189</v>
      </c>
      <c r="E85" s="649" t="s">
        <v>971</v>
      </c>
      <c r="F85" s="369" t="s">
        <v>3378</v>
      </c>
      <c r="G85" s="473">
        <v>45278.5</v>
      </c>
      <c r="H85" s="473">
        <v>45278.5</v>
      </c>
      <c r="I85" s="369" t="s">
        <v>448</v>
      </c>
      <c r="J85" s="369" t="s">
        <v>192</v>
      </c>
      <c r="K85" s="369" t="s">
        <v>192</v>
      </c>
      <c r="L85" s="369" t="s">
        <v>3842</v>
      </c>
      <c r="M85" s="529"/>
      <c r="N85" s="369" t="s">
        <v>3843</v>
      </c>
      <c r="O85" s="369" t="s">
        <v>3844</v>
      </c>
      <c r="P85" s="649" t="s">
        <v>181</v>
      </c>
      <c r="Q85" s="520">
        <v>7500</v>
      </c>
      <c r="R85" s="520">
        <v>7500</v>
      </c>
      <c r="S85" s="520">
        <v>7519.598</v>
      </c>
      <c r="T85" s="649"/>
      <c r="U85" s="650"/>
      <c r="V85" s="650"/>
      <c r="W85" s="650"/>
      <c r="X85" s="369"/>
      <c r="Y85" s="650"/>
      <c r="Z85" s="650"/>
      <c r="AA85" s="650"/>
      <c r="AB85" s="650"/>
      <c r="AC85" s="650"/>
      <c r="AD85" s="650"/>
      <c r="AE85" s="649"/>
      <c r="AF85" s="649"/>
      <c r="AG85" s="649"/>
      <c r="AH85" s="649"/>
      <c r="AI85" s="649"/>
      <c r="AJ85" s="649"/>
      <c r="AK85" s="1082">
        <f>S85</f>
        <v>7519.598</v>
      </c>
      <c r="AL85" s="649"/>
      <c r="AM85" s="649"/>
      <c r="AN85" s="649"/>
      <c r="AO85" s="649"/>
      <c r="AP85" s="649"/>
      <c r="AQ85" s="649"/>
      <c r="AR85" s="649"/>
      <c r="AS85" s="649"/>
      <c r="AT85" s="369"/>
      <c r="AU85" s="649"/>
      <c r="AV85" s="649"/>
      <c r="AW85" s="649"/>
      <c r="AX85" s="649"/>
      <c r="AY85" s="649"/>
      <c r="AZ85" s="649"/>
      <c r="BA85" s="649"/>
      <c r="BB85" s="649"/>
      <c r="BC85" s="649"/>
      <c r="BD85" s="522">
        <f t="shared" si="32"/>
        <v>45266.385416666664</v>
      </c>
      <c r="BE85" s="522">
        <f t="shared" si="33"/>
        <v>45275.826388888891</v>
      </c>
      <c r="BF85" s="523">
        <f t="shared" si="34"/>
        <v>9.4409722222262644</v>
      </c>
      <c r="BG85" s="522">
        <v>45266.385416666664</v>
      </c>
      <c r="BH85" s="522">
        <v>45266.385416666664</v>
      </c>
      <c r="BI85" s="522">
        <v>45266.385416666664</v>
      </c>
      <c r="BJ85" s="522">
        <v>45266.479166666664</v>
      </c>
      <c r="BK85" s="522">
        <v>45267.986111111109</v>
      </c>
      <c r="BL85" s="522">
        <v>45268.645833333336</v>
      </c>
      <c r="BM85" s="522">
        <v>45268.645833333336</v>
      </c>
      <c r="BN85" s="522">
        <v>45268.645833333336</v>
      </c>
      <c r="BO85" s="398" t="s">
        <v>196</v>
      </c>
      <c r="BP85" s="398" t="s">
        <v>196</v>
      </c>
      <c r="BQ85" s="398" t="s">
        <v>196</v>
      </c>
      <c r="BR85" s="522">
        <v>45270.506944444445</v>
      </c>
      <c r="BS85" s="522">
        <v>45275.475694444445</v>
      </c>
      <c r="BT85" s="522">
        <v>45275.809027777781</v>
      </c>
      <c r="BU85" s="522">
        <v>45275.826388888891</v>
      </c>
      <c r="BV85" s="522">
        <v>45275.826388888891</v>
      </c>
      <c r="BW85" s="522">
        <v>45275.826388888891</v>
      </c>
      <c r="BX85" s="369"/>
      <c r="BY85" s="369"/>
      <c r="BZ85" s="525">
        <f t="shared" si="35"/>
        <v>0</v>
      </c>
      <c r="CA85" s="525">
        <f t="shared" si="36"/>
        <v>36.166666666686069</v>
      </c>
      <c r="CB85" s="525">
        <f t="shared" si="37"/>
        <v>0</v>
      </c>
      <c r="CC85" s="525">
        <f t="shared" si="45"/>
        <v>44.666666666627862</v>
      </c>
      <c r="CD85" s="526">
        <f t="shared" si="38"/>
        <v>8.0000000000582077</v>
      </c>
      <c r="CE85" s="526">
        <f t="shared" si="39"/>
        <v>0</v>
      </c>
      <c r="CF85" s="304">
        <f t="shared" si="40"/>
        <v>3.7013888888905058</v>
      </c>
      <c r="CG85" s="304">
        <f t="shared" si="41"/>
        <v>9.4409722222262644</v>
      </c>
      <c r="CH85" s="305">
        <f t="shared" si="42"/>
        <v>0.39205590290548337</v>
      </c>
      <c r="CI85" s="369"/>
      <c r="CJ85" s="369"/>
    </row>
    <row r="86" spans="1:88" s="475" customFormat="1">
      <c r="A86" s="474">
        <f t="shared" si="31"/>
        <v>45276.986111111109</v>
      </c>
      <c r="B86" s="475" t="s">
        <v>188</v>
      </c>
      <c r="C86" s="475" t="s">
        <v>181</v>
      </c>
      <c r="D86" s="475" t="s">
        <v>189</v>
      </c>
      <c r="E86" s="1126" t="s">
        <v>3745</v>
      </c>
      <c r="F86" s="475" t="s">
        <v>3378</v>
      </c>
      <c r="G86" s="901"/>
      <c r="H86" s="901"/>
      <c r="I86" s="475" t="s">
        <v>448</v>
      </c>
      <c r="J86" s="475" t="s">
        <v>192</v>
      </c>
      <c r="K86" s="475" t="s">
        <v>192</v>
      </c>
      <c r="L86" s="475" t="s">
        <v>3845</v>
      </c>
      <c r="M86" s="530"/>
      <c r="N86" s="475" t="s">
        <v>1322</v>
      </c>
      <c r="O86" s="475" t="s">
        <v>1323</v>
      </c>
      <c r="P86" s="399" t="s">
        <v>181</v>
      </c>
      <c r="Q86" s="477">
        <v>7500</v>
      </c>
      <c r="R86" s="477">
        <v>7500</v>
      </c>
      <c r="S86" s="477">
        <v>7581.9740000000002</v>
      </c>
      <c r="T86" s="399"/>
      <c r="U86" s="401"/>
      <c r="V86" s="401"/>
      <c r="W86" s="401"/>
      <c r="Y86" s="401"/>
      <c r="Z86" s="401"/>
      <c r="AA86" s="401"/>
      <c r="AB86" s="401"/>
      <c r="AC86" s="401"/>
      <c r="AD86" s="401"/>
      <c r="AE86" s="399"/>
      <c r="AF86" s="399"/>
      <c r="AG86" s="399"/>
      <c r="AH86" s="399"/>
      <c r="AI86" s="399"/>
      <c r="AJ86" s="399"/>
      <c r="AK86" s="580">
        <f>S86</f>
        <v>7581.9740000000002</v>
      </c>
      <c r="AL86" s="399"/>
      <c r="AM86" s="399"/>
      <c r="AO86" s="399"/>
      <c r="AP86" s="399"/>
      <c r="AQ86" s="399"/>
      <c r="AR86" s="399"/>
      <c r="AS86" s="399"/>
      <c r="AU86" s="399"/>
      <c r="AV86" s="399"/>
      <c r="AW86" s="399"/>
      <c r="AX86" s="399"/>
      <c r="AY86" s="399"/>
      <c r="AZ86" s="399"/>
      <c r="BA86" s="399"/>
      <c r="BB86" s="399"/>
      <c r="BC86" s="399"/>
      <c r="BD86" s="473">
        <f t="shared" si="32"/>
        <v>45276.680555555555</v>
      </c>
      <c r="BE86" s="473">
        <f t="shared" si="33"/>
        <v>45286.659722222219</v>
      </c>
      <c r="BF86" s="479">
        <f t="shared" si="34"/>
        <v>9.9791666666642413</v>
      </c>
      <c r="BG86" s="473">
        <v>45276.680555555555</v>
      </c>
      <c r="BH86" s="473">
        <v>45276.680555555555</v>
      </c>
      <c r="BI86" s="473">
        <v>45276.680555555555</v>
      </c>
      <c r="BJ86" s="473">
        <v>45276.986111111109</v>
      </c>
      <c r="BK86" s="473">
        <v>45282.479166666664</v>
      </c>
      <c r="BL86" s="473">
        <v>45282.479166666664</v>
      </c>
      <c r="BM86" s="473">
        <v>45282.479166666664</v>
      </c>
      <c r="BN86" s="473">
        <v>45282.479166666664</v>
      </c>
      <c r="BO86" s="518" t="s">
        <v>196</v>
      </c>
      <c r="BP86" s="518" t="s">
        <v>196</v>
      </c>
      <c r="BQ86" s="518" t="s">
        <v>196</v>
      </c>
      <c r="BR86" s="473">
        <v>45284.427083333336</v>
      </c>
      <c r="BS86" s="473">
        <v>45286.260416666664</v>
      </c>
      <c r="BT86" s="473">
        <v>45286.638888888891</v>
      </c>
      <c r="BU86" s="473">
        <v>45286.659722222219</v>
      </c>
      <c r="BV86" s="473">
        <v>45286.659722222219</v>
      </c>
      <c r="BW86" s="473">
        <v>45286.659722222219</v>
      </c>
      <c r="BZ86" s="481">
        <f t="shared" si="35"/>
        <v>0</v>
      </c>
      <c r="CA86" s="481">
        <f t="shared" si="36"/>
        <v>131.83333333331393</v>
      </c>
      <c r="CB86" s="481">
        <f t="shared" si="37"/>
        <v>0</v>
      </c>
      <c r="CC86" s="481">
        <f t="shared" si="45"/>
        <v>46.750000000116415</v>
      </c>
      <c r="CD86" s="482">
        <f t="shared" si="38"/>
        <v>9.0833333334303461</v>
      </c>
      <c r="CE86" s="482">
        <f t="shared" si="39"/>
        <v>0</v>
      </c>
      <c r="CF86" s="483">
        <f t="shared" si="40"/>
        <v>7.8194444444525288</v>
      </c>
      <c r="CG86" s="483">
        <f t="shared" si="41"/>
        <v>9.9791666666642413</v>
      </c>
      <c r="CH86" s="484">
        <f t="shared" si="42"/>
        <v>0.78357689631276117</v>
      </c>
    </row>
    <row r="87" spans="1:88" s="475" customFormat="1">
      <c r="A87" s="474">
        <f t="shared" si="31"/>
        <v>45273.356944444444</v>
      </c>
      <c r="B87" s="475" t="s">
        <v>188</v>
      </c>
      <c r="C87" s="475" t="s">
        <v>2862</v>
      </c>
      <c r="D87" s="475" t="s">
        <v>197</v>
      </c>
      <c r="E87" s="399" t="s">
        <v>3397</v>
      </c>
      <c r="F87" s="475" t="s">
        <v>3378</v>
      </c>
      <c r="G87" s="472">
        <v>45273.416666666664</v>
      </c>
      <c r="H87" s="472">
        <v>45273.416666666664</v>
      </c>
      <c r="I87" s="475" t="s">
        <v>3846</v>
      </c>
      <c r="J87" s="475" t="s">
        <v>192</v>
      </c>
      <c r="K87" s="475" t="s">
        <v>192</v>
      </c>
      <c r="L87" s="667" t="s">
        <v>3847</v>
      </c>
      <c r="M87" s="530"/>
      <c r="N87" s="475" t="s">
        <v>383</v>
      </c>
      <c r="O87" s="475" t="s">
        <v>384</v>
      </c>
      <c r="P87" s="475" t="s">
        <v>2862</v>
      </c>
      <c r="Q87" s="477">
        <f>2205*2.4</f>
        <v>5292</v>
      </c>
      <c r="R87" s="477">
        <f>5300+100</f>
        <v>5400</v>
      </c>
      <c r="S87" s="477">
        <v>3500.5120000000002</v>
      </c>
      <c r="T87" s="477"/>
      <c r="U87" s="581"/>
      <c r="V87" s="581"/>
      <c r="W87" s="581"/>
      <c r="X87" s="581"/>
      <c r="Y87" s="581"/>
      <c r="Z87" s="581"/>
      <c r="AA87" s="581"/>
      <c r="AB87" s="581"/>
      <c r="AC87" s="581"/>
      <c r="AD87" s="581"/>
      <c r="AE87" s="581"/>
      <c r="AF87" s="581"/>
      <c r="AG87" s="581"/>
      <c r="AH87" s="581"/>
      <c r="AI87" s="581"/>
      <c r="AJ87" s="581"/>
      <c r="AK87" s="581"/>
      <c r="AT87" s="581"/>
      <c r="BA87" s="726">
        <f>S87</f>
        <v>3500.5120000000002</v>
      </c>
      <c r="BD87" s="473">
        <f t="shared" si="32"/>
        <v>45272.21875</v>
      </c>
      <c r="BE87" s="473">
        <f t="shared" si="33"/>
        <v>45282.510416666664</v>
      </c>
      <c r="BF87" s="479">
        <f t="shared" si="34"/>
        <v>10.291666666664241</v>
      </c>
      <c r="BG87" s="473">
        <v>45272.21875</v>
      </c>
      <c r="BH87" s="473">
        <v>45272.256944444445</v>
      </c>
      <c r="BI87" s="473">
        <v>45272.486111111109</v>
      </c>
      <c r="BJ87" s="473">
        <v>45273.356944444444</v>
      </c>
      <c r="BK87" s="473">
        <v>45273.979166666664</v>
      </c>
      <c r="BL87" s="473">
        <v>45274.28125</v>
      </c>
      <c r="BM87" s="473">
        <v>45275.673611111109</v>
      </c>
      <c r="BN87" s="473">
        <v>45275.673611111109</v>
      </c>
      <c r="BO87" s="518" t="s">
        <v>196</v>
      </c>
      <c r="BP87" s="518" t="s">
        <v>196</v>
      </c>
      <c r="BQ87" s="518" t="s">
        <v>196</v>
      </c>
      <c r="BR87" s="473">
        <v>45275.958333333336</v>
      </c>
      <c r="BS87" s="473">
        <v>45280.048611111109</v>
      </c>
      <c r="BT87" s="473">
        <v>45282.510416666664</v>
      </c>
      <c r="BU87" s="473">
        <v>45282.510416666664</v>
      </c>
      <c r="BV87" s="473">
        <v>45282.510416666664</v>
      </c>
      <c r="BW87" s="473">
        <v>45282.510416666664</v>
      </c>
      <c r="BX87" s="475" t="s">
        <v>3848</v>
      </c>
      <c r="BZ87" s="481">
        <f t="shared" si="35"/>
        <v>5.4999999999417923</v>
      </c>
      <c r="CA87" s="481">
        <f t="shared" si="36"/>
        <v>14.933333333290648</v>
      </c>
      <c r="CB87" s="481">
        <f t="shared" si="37"/>
        <v>0</v>
      </c>
      <c r="CC87" s="481">
        <f t="shared" si="45"/>
        <v>6.8333333334303461</v>
      </c>
      <c r="CD87" s="482">
        <f t="shared" si="38"/>
        <v>59.083333333313931</v>
      </c>
      <c r="CE87" s="482">
        <f t="shared" si="39"/>
        <v>0</v>
      </c>
      <c r="CF87" s="483">
        <f t="shared" si="40"/>
        <v>3.5979166666656965</v>
      </c>
      <c r="CG87" s="483">
        <f t="shared" si="41"/>
        <v>10.291666666664241</v>
      </c>
      <c r="CH87" s="484">
        <f t="shared" si="42"/>
        <v>0.34959514170039296</v>
      </c>
    </row>
    <row r="88" spans="1:88" s="475" customFormat="1">
      <c r="A88" s="474">
        <f t="shared" si="31"/>
        <v>45274.357638888891</v>
      </c>
      <c r="B88" s="475" t="s">
        <v>188</v>
      </c>
      <c r="C88" s="475" t="s">
        <v>2862</v>
      </c>
      <c r="D88" s="475" t="s">
        <v>197</v>
      </c>
      <c r="E88" s="399" t="s">
        <v>3749</v>
      </c>
      <c r="F88" s="475" t="s">
        <v>3378</v>
      </c>
      <c r="G88" s="472">
        <v>45276.241666666669</v>
      </c>
      <c r="H88" s="472">
        <v>45276.241666666669</v>
      </c>
      <c r="I88" s="667" t="s">
        <v>3846</v>
      </c>
      <c r="J88" s="475" t="s">
        <v>192</v>
      </c>
      <c r="K88" s="475" t="s">
        <v>192</v>
      </c>
      <c r="L88" s="667" t="s">
        <v>3849</v>
      </c>
      <c r="M88" s="530"/>
      <c r="N88" s="475" t="s">
        <v>2800</v>
      </c>
      <c r="O88" s="475" t="s">
        <v>2801</v>
      </c>
      <c r="P88" s="399" t="s">
        <v>2862</v>
      </c>
      <c r="Q88" s="477">
        <f>2205*2.4</f>
        <v>5292</v>
      </c>
      <c r="R88" s="477">
        <f>5300+100</f>
        <v>5400</v>
      </c>
      <c r="S88" s="477">
        <v>3590.4580000000001</v>
      </c>
      <c r="T88" s="477"/>
      <c r="U88" s="581"/>
      <c r="V88" s="581"/>
      <c r="W88" s="581"/>
      <c r="X88" s="581"/>
      <c r="Y88" s="581"/>
      <c r="Z88" s="581"/>
      <c r="AB88" s="581"/>
      <c r="AC88" s="581"/>
      <c r="AD88" s="581"/>
      <c r="AE88" s="667"/>
      <c r="AT88" s="581"/>
      <c r="BA88" s="726">
        <f>S88</f>
        <v>3590.4580000000001</v>
      </c>
      <c r="BD88" s="473">
        <f t="shared" si="32"/>
        <v>45267.25</v>
      </c>
      <c r="BE88" s="473">
        <f t="shared" si="33"/>
        <v>45286.666666666664</v>
      </c>
      <c r="BF88" s="479">
        <f t="shared" si="34"/>
        <v>19.416666666664241</v>
      </c>
      <c r="BG88" s="473">
        <v>45267.25</v>
      </c>
      <c r="BH88" s="473">
        <v>45272.041666666664</v>
      </c>
      <c r="BI88" s="473">
        <v>45272.791666666664</v>
      </c>
      <c r="BJ88" s="473">
        <v>45274.357638888891</v>
      </c>
      <c r="BK88" s="473">
        <v>45275.708333333336</v>
      </c>
      <c r="BL88" s="473">
        <v>45275.791666666664</v>
      </c>
      <c r="BM88" s="473">
        <v>45276.90625</v>
      </c>
      <c r="BN88" s="473">
        <v>45276.90625</v>
      </c>
      <c r="BO88" s="518" t="s">
        <v>196</v>
      </c>
      <c r="BP88" s="518" t="s">
        <v>196</v>
      </c>
      <c r="BQ88" s="518" t="s">
        <v>196</v>
      </c>
      <c r="BR88" s="473">
        <v>45277.229166666664</v>
      </c>
      <c r="BS88" s="473">
        <v>45285.350694444445</v>
      </c>
      <c r="BT88" s="473">
        <v>45286.083333333336</v>
      </c>
      <c r="BU88" s="473">
        <v>45286.100694444445</v>
      </c>
      <c r="BV88" s="473">
        <v>45286.104166666664</v>
      </c>
      <c r="BW88" s="473">
        <v>45286.666666666664</v>
      </c>
      <c r="BZ88" s="481">
        <f t="shared" si="35"/>
        <v>18</v>
      </c>
      <c r="CA88" s="481">
        <f t="shared" si="36"/>
        <v>32.416666666686069</v>
      </c>
      <c r="CB88" s="481">
        <f t="shared" si="37"/>
        <v>0</v>
      </c>
      <c r="CC88" s="481">
        <f t="shared" si="45"/>
        <v>7.7499999999417923</v>
      </c>
      <c r="CD88" s="482">
        <f t="shared" si="38"/>
        <v>17.583333333372138</v>
      </c>
      <c r="CE88" s="482">
        <f t="shared" si="39"/>
        <v>13.5</v>
      </c>
      <c r="CF88" s="483">
        <f t="shared" si="40"/>
        <v>3.71875</v>
      </c>
      <c r="CG88" s="483">
        <f t="shared" si="41"/>
        <v>19.416666666664241</v>
      </c>
      <c r="CH88" s="484">
        <f t="shared" si="42"/>
        <v>0.1915236051502385</v>
      </c>
    </row>
    <row r="89" spans="1:88" s="475" customFormat="1">
      <c r="A89" s="474">
        <f t="shared" si="31"/>
        <v>45263.458333333336</v>
      </c>
      <c r="B89" s="475" t="s">
        <v>188</v>
      </c>
      <c r="C89" s="475" t="s">
        <v>182</v>
      </c>
      <c r="D89" s="475" t="s">
        <v>197</v>
      </c>
      <c r="E89" s="476" t="s">
        <v>3648</v>
      </c>
      <c r="F89" s="399" t="s">
        <v>3378</v>
      </c>
      <c r="G89" s="473">
        <v>45268.3125</v>
      </c>
      <c r="H89" s="473">
        <v>45268.3125</v>
      </c>
      <c r="I89" s="475" t="s">
        <v>782</v>
      </c>
      <c r="J89" s="475" t="s">
        <v>192</v>
      </c>
      <c r="K89" s="475" t="s">
        <v>192</v>
      </c>
      <c r="L89" s="399" t="s">
        <v>3850</v>
      </c>
      <c r="M89" s="529"/>
      <c r="N89" s="475" t="s">
        <v>383</v>
      </c>
      <c r="O89" s="475" t="s">
        <v>384</v>
      </c>
      <c r="P89" s="475" t="s">
        <v>182</v>
      </c>
      <c r="Q89" s="477">
        <f>2205*2.4</f>
        <v>5292</v>
      </c>
      <c r="R89" s="477">
        <f>5300+100</f>
        <v>5400</v>
      </c>
      <c r="S89" s="477">
        <v>5365.9970000000003</v>
      </c>
      <c r="T89" s="477"/>
      <c r="U89" s="581"/>
      <c r="W89" s="581"/>
      <c r="X89" s="581"/>
      <c r="Y89" s="581"/>
      <c r="Z89" s="581"/>
      <c r="AA89" s="581"/>
      <c r="AB89" s="581"/>
      <c r="AC89" s="581"/>
      <c r="AD89" s="581"/>
      <c r="AE89" s="581"/>
      <c r="AF89" s="581"/>
      <c r="AG89" s="581"/>
      <c r="AH89" s="581"/>
      <c r="AI89" s="581"/>
      <c r="AJ89" s="581"/>
      <c r="AK89" s="581"/>
      <c r="AS89" s="726">
        <f>S89</f>
        <v>5365.9970000000003</v>
      </c>
      <c r="AT89" s="581"/>
      <c r="BD89" s="473">
        <f t="shared" si="32"/>
        <v>45259.305555555555</v>
      </c>
      <c r="BE89" s="473">
        <f t="shared" si="33"/>
        <v>45272.21875</v>
      </c>
      <c r="BF89" s="479">
        <f t="shared" si="34"/>
        <v>12.913194444445253</v>
      </c>
      <c r="BG89" s="473">
        <v>45259.305555555555</v>
      </c>
      <c r="BH89" s="473">
        <v>45260.59375</v>
      </c>
      <c r="BI89" s="473">
        <v>45263.326388888891</v>
      </c>
      <c r="BJ89" s="473">
        <v>45263.458333333336</v>
      </c>
      <c r="BK89" s="473">
        <v>45264.666666666664</v>
      </c>
      <c r="BL89" s="473">
        <v>45264.71875</v>
      </c>
      <c r="BM89" s="473">
        <v>45264.71875</v>
      </c>
      <c r="BN89" s="473">
        <f>BM89+(41/24)</f>
        <v>45266.427083333336</v>
      </c>
      <c r="BO89" s="473">
        <v>45266.541666666664</v>
      </c>
      <c r="BP89" s="473">
        <v>45266.708333333328</v>
      </c>
      <c r="BQ89" s="480">
        <v>45266.590277777781</v>
      </c>
      <c r="BR89" s="473">
        <v>45268.506944444445</v>
      </c>
      <c r="BS89" s="473">
        <v>45268.982638888891</v>
      </c>
      <c r="BT89" s="473">
        <v>45272.21875</v>
      </c>
      <c r="BU89" s="473">
        <v>45272.21875</v>
      </c>
      <c r="BV89" s="473">
        <v>45272.21875</v>
      </c>
      <c r="BW89" s="473">
        <v>45272.21875</v>
      </c>
      <c r="BX89" s="475" t="s">
        <v>3851</v>
      </c>
      <c r="BZ89" s="481">
        <f t="shared" si="35"/>
        <v>65.583333333372138</v>
      </c>
      <c r="CA89" s="481">
        <f t="shared" si="36"/>
        <v>28.999999999883585</v>
      </c>
      <c r="CB89" s="481">
        <f t="shared" si="37"/>
        <v>41.000000000058208</v>
      </c>
      <c r="CC89" s="481">
        <f t="shared" ref="CC89:CC98" si="46">(BR89-BP89)*24</f>
        <v>43.166666666802485</v>
      </c>
      <c r="CD89" s="482">
        <f t="shared" si="38"/>
        <v>77.666666666627862</v>
      </c>
      <c r="CE89" s="482">
        <f t="shared" si="39"/>
        <v>0</v>
      </c>
      <c r="CF89" s="483">
        <f t="shared" si="40"/>
        <v>10.684027777781012</v>
      </c>
      <c r="CG89" s="483">
        <f t="shared" si="41"/>
        <v>12.913194444445253</v>
      </c>
      <c r="CH89" s="484">
        <f t="shared" si="42"/>
        <v>0.82737294971786468</v>
      </c>
    </row>
    <row r="90" spans="1:88" s="475" customFormat="1">
      <c r="A90" s="474">
        <f t="shared" si="31"/>
        <v>45266.409722222219</v>
      </c>
      <c r="B90" s="475" t="s">
        <v>188</v>
      </c>
      <c r="C90" s="475" t="s">
        <v>182</v>
      </c>
      <c r="D90" s="475" t="s">
        <v>197</v>
      </c>
      <c r="E90" s="476" t="s">
        <v>986</v>
      </c>
      <c r="F90" s="475" t="s">
        <v>3378</v>
      </c>
      <c r="G90" s="473">
        <v>45277.375</v>
      </c>
      <c r="H90" s="473">
        <v>45277.366666666669</v>
      </c>
      <c r="I90" s="667" t="s">
        <v>782</v>
      </c>
      <c r="J90" s="369" t="s">
        <v>192</v>
      </c>
      <c r="K90" s="475" t="s">
        <v>192</v>
      </c>
      <c r="L90" s="399" t="s">
        <v>3852</v>
      </c>
      <c r="M90" s="529"/>
      <c r="N90" s="475" t="s">
        <v>3546</v>
      </c>
      <c r="O90" s="475" t="s">
        <v>1308</v>
      </c>
      <c r="P90" s="399" t="s">
        <v>182</v>
      </c>
      <c r="Q90" s="477">
        <f>2205*2.4</f>
        <v>5292</v>
      </c>
      <c r="R90" s="477">
        <f>5300+100</f>
        <v>5400</v>
      </c>
      <c r="S90" s="477">
        <v>5286.1189999999997</v>
      </c>
      <c r="T90" s="477"/>
      <c r="W90" s="581"/>
      <c r="X90" s="581"/>
      <c r="Y90" s="581"/>
      <c r="Z90" s="581"/>
      <c r="AA90" s="581"/>
      <c r="AB90" s="401"/>
      <c r="AC90" s="581"/>
      <c r="AD90" s="581"/>
      <c r="AE90" s="401"/>
      <c r="AS90" s="726">
        <f>S90</f>
        <v>5286.1189999999997</v>
      </c>
      <c r="AT90" s="581"/>
      <c r="BD90" s="473">
        <f t="shared" si="32"/>
        <v>45261.75</v>
      </c>
      <c r="BE90" s="473">
        <f t="shared" si="33"/>
        <v>45278.625</v>
      </c>
      <c r="BF90" s="479">
        <f t="shared" si="34"/>
        <v>16.875</v>
      </c>
      <c r="BG90" s="473">
        <v>45261.75</v>
      </c>
      <c r="BH90" s="473">
        <v>45262.795138888891</v>
      </c>
      <c r="BI90" s="473">
        <v>45266.291666666664</v>
      </c>
      <c r="BJ90" s="473">
        <v>45266.409722222219</v>
      </c>
      <c r="BK90" s="473">
        <v>45267.690972222219</v>
      </c>
      <c r="BL90" s="473">
        <v>45267.722222222219</v>
      </c>
      <c r="BM90" s="473">
        <v>45268.263888888891</v>
      </c>
      <c r="BN90" s="473">
        <f>BM90+(51/24)</f>
        <v>45270.388888888891</v>
      </c>
      <c r="BO90" s="480">
        <v>45270.583333333336</v>
      </c>
      <c r="BP90" s="480">
        <v>45270.75</v>
      </c>
      <c r="BQ90" s="480">
        <v>45270.65625</v>
      </c>
      <c r="BR90" s="473">
        <v>45272.760416666664</v>
      </c>
      <c r="BS90" s="473">
        <v>45275.902777777781</v>
      </c>
      <c r="BT90" s="473">
        <v>45277.680555555555</v>
      </c>
      <c r="BU90" s="473">
        <v>45277.71875</v>
      </c>
      <c r="BV90" s="473">
        <v>45277.895833333336</v>
      </c>
      <c r="BW90" s="473">
        <v>45278.625</v>
      </c>
      <c r="BZ90" s="481">
        <f t="shared" si="35"/>
        <v>83.916666666569654</v>
      </c>
      <c r="CA90" s="481">
        <f t="shared" si="36"/>
        <v>30.75</v>
      </c>
      <c r="CB90" s="481">
        <f t="shared" si="37"/>
        <v>51</v>
      </c>
      <c r="CC90" s="481">
        <f t="shared" si="46"/>
        <v>48.249999999941792</v>
      </c>
      <c r="CD90" s="482">
        <f t="shared" si="38"/>
        <v>42.666666666569654</v>
      </c>
      <c r="CE90" s="482">
        <f t="shared" si="39"/>
        <v>17.499999999941792</v>
      </c>
      <c r="CF90" s="483">
        <f t="shared" si="40"/>
        <v>11.420138888875954</v>
      </c>
      <c r="CG90" s="483">
        <f t="shared" si="41"/>
        <v>16.875</v>
      </c>
      <c r="CH90" s="484">
        <f t="shared" si="42"/>
        <v>0.6767489711926491</v>
      </c>
    </row>
    <row r="91" spans="1:88" s="475" customFormat="1">
      <c r="A91" s="474">
        <f t="shared" si="31"/>
        <v>45264.694444444445</v>
      </c>
      <c r="B91" s="475" t="s">
        <v>228</v>
      </c>
      <c r="C91" s="475" t="s">
        <v>229</v>
      </c>
      <c r="D91" s="475" t="s">
        <v>197</v>
      </c>
      <c r="E91" s="832" t="s">
        <v>1936</v>
      </c>
      <c r="F91" s="667" t="s">
        <v>3378</v>
      </c>
      <c r="G91" s="472">
        <v>45267.770833333336</v>
      </c>
      <c r="H91" s="472">
        <v>45267.787499999999</v>
      </c>
      <c r="I91" s="475" t="s">
        <v>469</v>
      </c>
      <c r="J91" s="475" t="s">
        <v>192</v>
      </c>
      <c r="K91" s="475" t="s">
        <v>192</v>
      </c>
      <c r="L91" s="399" t="s">
        <v>3853</v>
      </c>
      <c r="M91" s="529"/>
      <c r="N91" s="475" t="s">
        <v>805</v>
      </c>
      <c r="O91" s="475" t="s">
        <v>381</v>
      </c>
      <c r="P91" s="667" t="s">
        <v>172</v>
      </c>
      <c r="Q91" s="477">
        <f>3100*2.4</f>
        <v>7440</v>
      </c>
      <c r="R91" s="477">
        <f>7450+100</f>
        <v>7550</v>
      </c>
      <c r="S91" s="477">
        <v>7550.0079999999998</v>
      </c>
      <c r="T91" s="667"/>
      <c r="U91" s="581"/>
      <c r="V91" s="581"/>
      <c r="W91" s="581"/>
      <c r="X91" s="581"/>
      <c r="Y91" s="581"/>
      <c r="Z91" s="726">
        <f>S91</f>
        <v>7550.0079999999998</v>
      </c>
      <c r="AA91" s="581"/>
      <c r="AB91" s="401"/>
      <c r="AC91" s="581"/>
      <c r="AD91" s="581"/>
      <c r="AE91" s="667"/>
      <c r="AF91" s="667"/>
      <c r="AG91" s="667"/>
      <c r="AH91" s="667"/>
      <c r="AI91" s="667"/>
      <c r="AJ91" s="667"/>
      <c r="AK91" s="667"/>
      <c r="AL91" s="667"/>
      <c r="AM91" s="667"/>
      <c r="AN91" s="667"/>
      <c r="AO91" s="667"/>
      <c r="AP91" s="667"/>
      <c r="AQ91" s="667"/>
      <c r="AR91" s="667"/>
      <c r="AS91" s="667"/>
      <c r="AT91" s="667"/>
      <c r="AU91" s="667"/>
      <c r="AV91" s="667"/>
      <c r="AW91" s="667"/>
      <c r="AX91" s="667"/>
      <c r="AY91" s="667"/>
      <c r="AZ91" s="667"/>
      <c r="BA91" s="667"/>
      <c r="BB91" s="667"/>
      <c r="BC91" s="667"/>
      <c r="BD91" s="473">
        <f t="shared" si="32"/>
        <v>45258.5625</v>
      </c>
      <c r="BE91" s="473">
        <f t="shared" si="33"/>
        <v>45272.833333333336</v>
      </c>
      <c r="BF91" s="479">
        <f t="shared" si="34"/>
        <v>14.270833333335759</v>
      </c>
      <c r="BG91" s="473">
        <v>45258.5625</v>
      </c>
      <c r="BH91" s="473">
        <v>45259.802083333336</v>
      </c>
      <c r="BI91" s="473">
        <v>45261.916666666664</v>
      </c>
      <c r="BJ91" s="473">
        <v>45264.694444444445</v>
      </c>
      <c r="BK91" s="473">
        <v>45264.944444444445</v>
      </c>
      <c r="BL91" s="473">
        <v>45264.947916666664</v>
      </c>
      <c r="BM91" s="473">
        <v>45264.972222222219</v>
      </c>
      <c r="BN91" s="473">
        <f t="shared" ref="BN91:BN98" si="47">BM91+(41/24)</f>
        <v>45266.680555555555</v>
      </c>
      <c r="BO91" s="480">
        <v>45266.541666666664</v>
      </c>
      <c r="BP91" s="480">
        <v>45266.708333333328</v>
      </c>
      <c r="BQ91" s="480">
        <v>45266.600694444445</v>
      </c>
      <c r="BR91" s="473">
        <v>45268.298611111109</v>
      </c>
      <c r="BS91" s="473">
        <v>45271.840277777781</v>
      </c>
      <c r="BT91" s="473">
        <v>45272.222222222219</v>
      </c>
      <c r="BU91" s="473">
        <v>45272.243055555555</v>
      </c>
      <c r="BV91" s="473">
        <v>45272.246527777781</v>
      </c>
      <c r="BW91" s="473">
        <v>45272.833333333336</v>
      </c>
      <c r="BZ91" s="481">
        <f t="shared" si="35"/>
        <v>50.749999999883585</v>
      </c>
      <c r="CA91" s="481">
        <f t="shared" si="36"/>
        <v>6</v>
      </c>
      <c r="CB91" s="481">
        <f t="shared" si="37"/>
        <v>41.000000000058208</v>
      </c>
      <c r="CC91" s="481">
        <f t="shared" si="46"/>
        <v>38.166666666744277</v>
      </c>
      <c r="CD91" s="482">
        <f t="shared" si="38"/>
        <v>9.1666666665114462</v>
      </c>
      <c r="CE91" s="482">
        <f t="shared" si="39"/>
        <v>14.083333333313931</v>
      </c>
      <c r="CF91" s="483">
        <f t="shared" si="40"/>
        <v>6.6319444444379769</v>
      </c>
      <c r="CG91" s="483">
        <f t="shared" si="41"/>
        <v>14.270833333335759</v>
      </c>
      <c r="CH91" s="484">
        <f t="shared" si="42"/>
        <v>0.46472019464666975</v>
      </c>
    </row>
    <row r="92" spans="1:88" s="475" customFormat="1">
      <c r="A92" s="474">
        <f t="shared" si="31"/>
        <v>45267.552083333336</v>
      </c>
      <c r="B92" s="475" t="s">
        <v>188</v>
      </c>
      <c r="C92" s="475" t="s">
        <v>172</v>
      </c>
      <c r="D92" s="475" t="s">
        <v>215</v>
      </c>
      <c r="E92" s="399" t="s">
        <v>3397</v>
      </c>
      <c r="F92" s="475" t="s">
        <v>3378</v>
      </c>
      <c r="G92" s="472">
        <v>45273.416666666664</v>
      </c>
      <c r="H92" s="472">
        <v>45273.416666666664</v>
      </c>
      <c r="I92" s="475" t="s">
        <v>3622</v>
      </c>
      <c r="J92" s="369" t="s">
        <v>192</v>
      </c>
      <c r="K92" s="369" t="s">
        <v>192</v>
      </c>
      <c r="L92" s="399" t="s">
        <v>3854</v>
      </c>
      <c r="M92" s="529"/>
      <c r="N92" s="475" t="s">
        <v>399</v>
      </c>
      <c r="O92" s="475" t="s">
        <v>275</v>
      </c>
      <c r="P92" s="475" t="s">
        <v>172</v>
      </c>
      <c r="Q92" s="477">
        <f>3097*2.4</f>
        <v>7432.7999999999993</v>
      </c>
      <c r="R92" s="477">
        <f>7450+100</f>
        <v>7550</v>
      </c>
      <c r="S92" s="477">
        <v>7500.2460000000001</v>
      </c>
      <c r="T92" s="667"/>
      <c r="U92" s="581"/>
      <c r="X92" s="401"/>
      <c r="Y92" s="581"/>
      <c r="Z92" s="581"/>
      <c r="AA92" s="581"/>
      <c r="AB92" s="581"/>
      <c r="AC92" s="581"/>
      <c r="AD92" s="581"/>
      <c r="AE92" s="581"/>
      <c r="AF92" s="581"/>
      <c r="AG92" s="575"/>
      <c r="AH92" s="575"/>
      <c r="AI92" s="575"/>
      <c r="AY92" s="580">
        <f>S92</f>
        <v>7500.2460000000001</v>
      </c>
      <c r="BD92" s="473">
        <f t="shared" si="32"/>
        <v>45264.666666666664</v>
      </c>
      <c r="BE92" s="473">
        <f t="shared" si="33"/>
        <v>45281.270833333336</v>
      </c>
      <c r="BF92" s="479">
        <f t="shared" si="34"/>
        <v>16.604166666671517</v>
      </c>
      <c r="BG92" s="473">
        <v>45264.666666666664</v>
      </c>
      <c r="BH92" s="473">
        <v>45265.565972222219</v>
      </c>
      <c r="BI92" s="473">
        <v>45267.5</v>
      </c>
      <c r="BJ92" s="473">
        <v>45267.552083333336</v>
      </c>
      <c r="BK92" s="473">
        <v>45268.598611111112</v>
      </c>
      <c r="BL92" s="473">
        <v>45268.614583333336</v>
      </c>
      <c r="BM92" s="473">
        <v>45268.614583333336</v>
      </c>
      <c r="BN92" s="473">
        <f t="shared" si="47"/>
        <v>45270.322916666672</v>
      </c>
      <c r="BO92" s="480">
        <v>45270.583333333336</v>
      </c>
      <c r="BP92" s="480">
        <v>45270.75</v>
      </c>
      <c r="BQ92" s="480">
        <v>45270.628472222219</v>
      </c>
      <c r="BR92" s="473">
        <v>45271.958333333336</v>
      </c>
      <c r="BS92" s="473">
        <v>45280.371527777781</v>
      </c>
      <c r="BT92" s="473">
        <v>45280.715277777781</v>
      </c>
      <c r="BU92" s="473">
        <v>45280.732638888891</v>
      </c>
      <c r="BV92" s="473">
        <v>45280.736111111109</v>
      </c>
      <c r="BW92" s="473">
        <v>45281.270833333336</v>
      </c>
      <c r="BZ92" s="481">
        <f t="shared" si="35"/>
        <v>46.416666666744277</v>
      </c>
      <c r="CA92" s="481">
        <f t="shared" si="36"/>
        <v>25.116666666639503</v>
      </c>
      <c r="CB92" s="481">
        <f t="shared" si="37"/>
        <v>41.000000000058208</v>
      </c>
      <c r="CC92" s="481">
        <f t="shared" si="46"/>
        <v>29.000000000058208</v>
      </c>
      <c r="CD92" s="482">
        <f t="shared" si="38"/>
        <v>8.25</v>
      </c>
      <c r="CE92" s="482">
        <f t="shared" si="39"/>
        <v>12.833333333430346</v>
      </c>
      <c r="CF92" s="483">
        <f t="shared" si="40"/>
        <v>6.7756944444554392</v>
      </c>
      <c r="CG92" s="483">
        <f t="shared" si="41"/>
        <v>16.604166666671517</v>
      </c>
      <c r="CH92" s="484">
        <f t="shared" si="42"/>
        <v>0.40807193642881567</v>
      </c>
    </row>
    <row r="93" spans="1:88" s="475" customFormat="1">
      <c r="A93" s="521">
        <f t="shared" si="31"/>
        <v>45268.645833333336</v>
      </c>
      <c r="B93" s="369" t="s">
        <v>188</v>
      </c>
      <c r="C93" s="369" t="s">
        <v>172</v>
      </c>
      <c r="D93" s="369" t="s">
        <v>197</v>
      </c>
      <c r="E93" s="649" t="s">
        <v>3651</v>
      </c>
      <c r="F93" s="369" t="s">
        <v>3378</v>
      </c>
      <c r="G93" s="398">
        <v>45270.833333333336</v>
      </c>
      <c r="H93" s="398">
        <v>45270.833333333336</v>
      </c>
      <c r="I93" s="369" t="s">
        <v>3622</v>
      </c>
      <c r="J93" s="369" t="s">
        <v>192</v>
      </c>
      <c r="K93" s="369" t="s">
        <v>192</v>
      </c>
      <c r="L93" s="649" t="s">
        <v>3855</v>
      </c>
      <c r="M93" s="529"/>
      <c r="N93" s="369" t="s">
        <v>1392</v>
      </c>
      <c r="O93" s="369" t="s">
        <v>365</v>
      </c>
      <c r="P93" s="369" t="s">
        <v>172</v>
      </c>
      <c r="Q93" s="520">
        <f>3142*2.4</f>
        <v>7540.7999999999993</v>
      </c>
      <c r="R93" s="520">
        <f>7550+100</f>
        <v>7650</v>
      </c>
      <c r="S93" s="520">
        <v>7536.7060000000001</v>
      </c>
      <c r="T93" s="661"/>
      <c r="U93" s="904"/>
      <c r="V93" s="904"/>
      <c r="W93" s="904"/>
      <c r="X93" s="904"/>
      <c r="Y93" s="904"/>
      <c r="Z93" s="904"/>
      <c r="AA93" s="904"/>
      <c r="AB93" s="650"/>
      <c r="AC93" s="650"/>
      <c r="AD93" s="650"/>
      <c r="AE93" s="650"/>
      <c r="AF93" s="650"/>
      <c r="AG93" s="650"/>
      <c r="AH93" s="650"/>
      <c r="AI93" s="650"/>
      <c r="AJ93" s="650"/>
      <c r="AK93" s="650"/>
      <c r="AL93" s="650"/>
      <c r="AM93" s="650"/>
      <c r="AN93" s="650"/>
      <c r="AO93" s="650"/>
      <c r="AP93" s="650"/>
      <c r="AQ93" s="650"/>
      <c r="AR93" s="650"/>
      <c r="AS93" s="650"/>
      <c r="AT93" s="650"/>
      <c r="AU93" s="650"/>
      <c r="AV93" s="650"/>
      <c r="AW93" s="650"/>
      <c r="AX93" s="650"/>
      <c r="AY93" s="1082">
        <f>S93</f>
        <v>7536.7060000000001</v>
      </c>
      <c r="AZ93" s="650"/>
      <c r="BA93" s="650"/>
      <c r="BB93" s="650"/>
      <c r="BC93" s="650"/>
      <c r="BD93" s="522">
        <f t="shared" si="32"/>
        <v>45265.25</v>
      </c>
      <c r="BE93" s="522">
        <f t="shared" si="33"/>
        <v>45275.916666666664</v>
      </c>
      <c r="BF93" s="523">
        <f t="shared" si="34"/>
        <v>10.666666666664241</v>
      </c>
      <c r="BG93" s="522">
        <v>45265.25</v>
      </c>
      <c r="BH93" s="522">
        <v>45266.388888888891</v>
      </c>
      <c r="BI93" s="522">
        <v>45268.486111111109</v>
      </c>
      <c r="BJ93" s="522">
        <v>45268.645833333336</v>
      </c>
      <c r="BK93" s="522">
        <v>45269.472222222219</v>
      </c>
      <c r="BL93" s="522">
        <v>45269.489583333336</v>
      </c>
      <c r="BM93" s="522">
        <v>45269.489583333336</v>
      </c>
      <c r="BN93" s="522">
        <f t="shared" si="47"/>
        <v>45271.197916666672</v>
      </c>
      <c r="BO93" s="527">
        <v>45271.583333333336</v>
      </c>
      <c r="BP93" s="527">
        <v>45271.75</v>
      </c>
      <c r="BQ93" s="527">
        <v>45271.618055555555</v>
      </c>
      <c r="BR93" s="522">
        <v>45273.75</v>
      </c>
      <c r="BS93" s="522">
        <v>45275.097222222219</v>
      </c>
      <c r="BT93" s="522">
        <v>45275.364583333336</v>
      </c>
      <c r="BU93" s="522">
        <v>45275.381944444445</v>
      </c>
      <c r="BV93" s="522">
        <v>45275.385416666664</v>
      </c>
      <c r="BW93" s="522">
        <v>45275.916666666664</v>
      </c>
      <c r="BX93" s="369"/>
      <c r="BY93" s="369"/>
      <c r="BZ93" s="525">
        <f t="shared" si="35"/>
        <v>50.333333333255723</v>
      </c>
      <c r="CA93" s="525">
        <f t="shared" si="36"/>
        <v>19.833333333197515</v>
      </c>
      <c r="CB93" s="525">
        <f t="shared" si="37"/>
        <v>41.000000000058208</v>
      </c>
      <c r="CC93" s="525">
        <f t="shared" si="46"/>
        <v>48</v>
      </c>
      <c r="CD93" s="526">
        <f t="shared" si="38"/>
        <v>6.4166666668024845</v>
      </c>
      <c r="CE93" s="526">
        <f t="shared" si="39"/>
        <v>12.75</v>
      </c>
      <c r="CF93" s="304">
        <f t="shared" si="40"/>
        <v>7.4305555555547471</v>
      </c>
      <c r="CG93" s="304">
        <f t="shared" si="41"/>
        <v>10.666666666664241</v>
      </c>
      <c r="CH93" s="305">
        <f t="shared" si="42"/>
        <v>0.69661458333341597</v>
      </c>
      <c r="CI93" s="369"/>
      <c r="CJ93" s="369"/>
    </row>
    <row r="94" spans="1:88" s="475" customFormat="1">
      <c r="A94" s="474">
        <f t="shared" si="31"/>
        <v>45269.930555555555</v>
      </c>
      <c r="B94" s="475" t="s">
        <v>188</v>
      </c>
      <c r="C94" s="475" t="s">
        <v>172</v>
      </c>
      <c r="D94" s="475" t="s">
        <v>197</v>
      </c>
      <c r="E94" s="399" t="s">
        <v>3397</v>
      </c>
      <c r="F94" s="475" t="s">
        <v>3378</v>
      </c>
      <c r="G94" s="472">
        <v>45273.416666666664</v>
      </c>
      <c r="H94" s="472">
        <v>45273.416666666664</v>
      </c>
      <c r="I94" s="475" t="s">
        <v>3622</v>
      </c>
      <c r="J94" s="475" t="s">
        <v>192</v>
      </c>
      <c r="K94" s="475" t="s">
        <v>192</v>
      </c>
      <c r="L94" s="399" t="s">
        <v>3856</v>
      </c>
      <c r="M94" s="530"/>
      <c r="N94" s="475" t="s">
        <v>213</v>
      </c>
      <c r="O94" s="475" t="s">
        <v>214</v>
      </c>
      <c r="P94" s="475" t="s">
        <v>172</v>
      </c>
      <c r="Q94" s="477">
        <f>3113*2.4</f>
        <v>7471.2</v>
      </c>
      <c r="R94" s="477">
        <f>7500+100</f>
        <v>7600</v>
      </c>
      <c r="S94" s="477">
        <v>7504.3419999999996</v>
      </c>
      <c r="T94" s="667"/>
      <c r="U94" s="581"/>
      <c r="V94" s="581"/>
      <c r="W94" s="581"/>
      <c r="X94" s="581"/>
      <c r="Y94" s="581"/>
      <c r="Z94" s="581"/>
      <c r="AA94" s="581"/>
      <c r="AB94" s="581"/>
      <c r="AC94" s="581"/>
      <c r="AD94" s="581"/>
      <c r="AE94" s="581"/>
      <c r="AF94" s="581"/>
      <c r="AG94" s="581"/>
      <c r="AH94" s="581"/>
      <c r="AI94" s="667"/>
      <c r="AJ94" s="667"/>
      <c r="AK94" s="667"/>
      <c r="AL94" s="667"/>
      <c r="AM94" s="667"/>
      <c r="AN94" s="667"/>
      <c r="AO94" s="667"/>
      <c r="AP94" s="667"/>
      <c r="AQ94" s="667"/>
      <c r="AR94" s="667"/>
      <c r="AS94" s="667"/>
      <c r="AT94" s="667"/>
      <c r="AU94" s="667"/>
      <c r="AV94" s="667"/>
      <c r="AW94" s="667"/>
      <c r="AY94" s="580">
        <f>S94</f>
        <v>7504.3419999999996</v>
      </c>
      <c r="BD94" s="473">
        <f t="shared" si="32"/>
        <v>45266.809027777781</v>
      </c>
      <c r="BE94" s="473">
        <f t="shared" si="33"/>
        <v>45282.604166666664</v>
      </c>
      <c r="BF94" s="479">
        <f t="shared" si="34"/>
        <v>15.79513888888323</v>
      </c>
      <c r="BG94" s="473">
        <v>45266.809027777781</v>
      </c>
      <c r="BH94" s="480">
        <v>45267.895833333336</v>
      </c>
      <c r="BI94" s="473">
        <v>45269.895833333336</v>
      </c>
      <c r="BJ94" s="473">
        <v>45269.930555555555</v>
      </c>
      <c r="BK94" s="473">
        <v>45270.625</v>
      </c>
      <c r="BL94" s="473">
        <v>45270.704861111109</v>
      </c>
      <c r="BM94" s="473">
        <v>45270.704861111109</v>
      </c>
      <c r="BN94" s="473">
        <f t="shared" si="47"/>
        <v>45272.413194444445</v>
      </c>
      <c r="BO94" s="473">
        <v>45273.229166666664</v>
      </c>
      <c r="BP94" s="473">
        <v>45273.395833333328</v>
      </c>
      <c r="BQ94" s="480">
        <v>45273.284722222219</v>
      </c>
      <c r="BR94" s="473">
        <v>45275.017361111109</v>
      </c>
      <c r="BS94" s="473">
        <v>45281.239583333336</v>
      </c>
      <c r="BT94" s="473">
        <v>45281.927083333336</v>
      </c>
      <c r="BU94" s="473">
        <v>45282.086805555555</v>
      </c>
      <c r="BV94" s="473">
        <v>45282.378472222219</v>
      </c>
      <c r="BW94" s="473">
        <v>45282.604166666664</v>
      </c>
      <c r="BZ94" s="481">
        <f t="shared" si="35"/>
        <v>48</v>
      </c>
      <c r="CA94" s="481">
        <f t="shared" si="36"/>
        <v>16.666666666686069</v>
      </c>
      <c r="CB94" s="481">
        <f t="shared" si="37"/>
        <v>41.000000000058208</v>
      </c>
      <c r="CC94" s="481">
        <f t="shared" si="46"/>
        <v>38.916666666744277</v>
      </c>
      <c r="CD94" s="482">
        <f t="shared" si="38"/>
        <v>16.5</v>
      </c>
      <c r="CE94" s="482">
        <f t="shared" si="39"/>
        <v>5.4166666666860692</v>
      </c>
      <c r="CF94" s="483">
        <f t="shared" si="40"/>
        <v>6.937500000007276</v>
      </c>
      <c r="CG94" s="483">
        <f t="shared" si="41"/>
        <v>15.79513888888323</v>
      </c>
      <c r="CH94" s="484">
        <f t="shared" si="42"/>
        <v>0.43921741042049051</v>
      </c>
    </row>
    <row r="95" spans="1:88" s="475" customFormat="1">
      <c r="A95" s="474">
        <f t="shared" si="31"/>
        <v>45270.015972222223</v>
      </c>
      <c r="B95" s="475" t="s">
        <v>228</v>
      </c>
      <c r="C95" s="475" t="s">
        <v>229</v>
      </c>
      <c r="D95" s="475" t="s">
        <v>215</v>
      </c>
      <c r="E95" s="399" t="s">
        <v>3397</v>
      </c>
      <c r="F95" s="475" t="s">
        <v>3378</v>
      </c>
      <c r="G95" s="472">
        <v>45273.416666666664</v>
      </c>
      <c r="H95" s="472">
        <v>45273.416666666664</v>
      </c>
      <c r="I95" s="475" t="s">
        <v>469</v>
      </c>
      <c r="J95" s="475" t="s">
        <v>192</v>
      </c>
      <c r="K95" s="475" t="s">
        <v>192</v>
      </c>
      <c r="L95" s="399" t="s">
        <v>3857</v>
      </c>
      <c r="M95" s="530"/>
      <c r="N95" s="475" t="s">
        <v>390</v>
      </c>
      <c r="O95" s="475" t="s">
        <v>3346</v>
      </c>
      <c r="P95" s="399" t="s">
        <v>172</v>
      </c>
      <c r="Q95" s="477">
        <f>3094*2.4</f>
        <v>7425.5999999999995</v>
      </c>
      <c r="R95" s="477">
        <f>7450+100</f>
        <v>7550</v>
      </c>
      <c r="S95" s="477">
        <v>7514.0349999999999</v>
      </c>
      <c r="T95" s="667"/>
      <c r="U95" s="581"/>
      <c r="V95" s="401"/>
      <c r="W95" s="581"/>
      <c r="X95" s="581"/>
      <c r="Z95" s="726">
        <f>S95</f>
        <v>7514.0349999999999</v>
      </c>
      <c r="AA95" s="581"/>
      <c r="AB95" s="581"/>
      <c r="AC95" s="581"/>
      <c r="AD95" s="581"/>
      <c r="AE95" s="667"/>
      <c r="AF95" s="667"/>
      <c r="AG95" s="667"/>
      <c r="AH95" s="667"/>
      <c r="AI95" s="667"/>
      <c r="AJ95" s="667"/>
      <c r="AK95" s="667"/>
      <c r="AL95" s="667"/>
      <c r="AM95" s="667"/>
      <c r="AN95" s="667"/>
      <c r="AO95" s="667"/>
      <c r="AP95" s="667"/>
      <c r="AQ95" s="667"/>
      <c r="AR95" s="667"/>
      <c r="AS95" s="667"/>
      <c r="AT95" s="667"/>
      <c r="AU95" s="667"/>
      <c r="AV95" s="667"/>
      <c r="AW95" s="667"/>
      <c r="AX95" s="667"/>
      <c r="AY95" s="667"/>
      <c r="AZ95" s="667"/>
      <c r="BA95" s="667"/>
      <c r="BB95" s="667"/>
      <c r="BC95" s="667"/>
      <c r="BD95" s="473">
        <f t="shared" si="32"/>
        <v>45265.930555555555</v>
      </c>
      <c r="BE95" s="473">
        <f t="shared" si="33"/>
        <v>45282.864583333336</v>
      </c>
      <c r="BF95" s="479">
        <f t="shared" si="34"/>
        <v>16.934027777781012</v>
      </c>
      <c r="BG95" s="473">
        <v>45265.930555555555</v>
      </c>
      <c r="BH95" s="473">
        <v>45267.357638888891</v>
      </c>
      <c r="BI95" s="473">
        <v>45269.375</v>
      </c>
      <c r="BJ95" s="473">
        <v>45270.015972222223</v>
      </c>
      <c r="BK95" s="473">
        <v>45270.204861111109</v>
      </c>
      <c r="BL95" s="473">
        <v>45270.222222222219</v>
      </c>
      <c r="BM95" s="473">
        <v>45270.225694444445</v>
      </c>
      <c r="BN95" s="473">
        <f t="shared" si="47"/>
        <v>45271.934027777781</v>
      </c>
      <c r="BO95" s="480">
        <v>45271.583333333336</v>
      </c>
      <c r="BP95" s="480">
        <v>45271.75</v>
      </c>
      <c r="BQ95" s="480">
        <v>45271.71875</v>
      </c>
      <c r="BR95" s="473">
        <v>45273.458333333336</v>
      </c>
      <c r="BS95" s="473">
        <v>45282.597222222219</v>
      </c>
      <c r="BT95" s="473">
        <v>45282.864583333336</v>
      </c>
      <c r="BU95" s="473">
        <v>45282.864583333336</v>
      </c>
      <c r="BV95" s="473">
        <v>45282.864583333336</v>
      </c>
      <c r="BW95" s="473">
        <v>45282.864583333336</v>
      </c>
      <c r="BX95" s="475" t="s">
        <v>3858</v>
      </c>
      <c r="BZ95" s="481">
        <f t="shared" si="35"/>
        <v>48.416666666627862</v>
      </c>
      <c r="CA95" s="481">
        <f t="shared" si="36"/>
        <v>4.5333333332673647</v>
      </c>
      <c r="CB95" s="481">
        <f t="shared" si="37"/>
        <v>41.000000000058208</v>
      </c>
      <c r="CC95" s="481">
        <f t="shared" si="46"/>
        <v>41.000000000058208</v>
      </c>
      <c r="CD95" s="482">
        <f t="shared" si="38"/>
        <v>6.4166666668024845</v>
      </c>
      <c r="CE95" s="482">
        <f t="shared" si="39"/>
        <v>0</v>
      </c>
      <c r="CF95" s="483">
        <f t="shared" si="40"/>
        <v>5.8902777777839219</v>
      </c>
      <c r="CG95" s="483">
        <f t="shared" si="41"/>
        <v>16.934027777781012</v>
      </c>
      <c r="CH95" s="484">
        <f t="shared" si="42"/>
        <v>0.34783678490905179</v>
      </c>
    </row>
    <row r="96" spans="1:88" s="475" customFormat="1">
      <c r="A96" s="474">
        <f t="shared" si="31"/>
        <v>45272.652777777781</v>
      </c>
      <c r="B96" s="475" t="s">
        <v>228</v>
      </c>
      <c r="C96" s="475" t="s">
        <v>229</v>
      </c>
      <c r="D96" s="475" t="s">
        <v>215</v>
      </c>
      <c r="E96" s="476" t="s">
        <v>3188</v>
      </c>
      <c r="F96" s="475" t="s">
        <v>3378</v>
      </c>
      <c r="G96" s="472">
        <v>45274.625</v>
      </c>
      <c r="H96" s="472">
        <v>45274.604166666664</v>
      </c>
      <c r="I96" s="475" t="s">
        <v>471</v>
      </c>
      <c r="J96" s="369" t="s">
        <v>192</v>
      </c>
      <c r="K96" s="475" t="s">
        <v>192</v>
      </c>
      <c r="L96" s="399" t="s">
        <v>3859</v>
      </c>
      <c r="M96" s="529"/>
      <c r="N96" s="475" t="s">
        <v>222</v>
      </c>
      <c r="O96" s="475" t="s">
        <v>223</v>
      </c>
      <c r="P96" s="475" t="s">
        <v>172</v>
      </c>
      <c r="Q96" s="477">
        <f>3137*2.4</f>
        <v>7528.7999999999993</v>
      </c>
      <c r="R96" s="477">
        <f>7550+100</f>
        <v>7650</v>
      </c>
      <c r="S96" s="477">
        <v>7590.2160000000003</v>
      </c>
      <c r="T96" s="667"/>
      <c r="U96" s="581"/>
      <c r="V96" s="581"/>
      <c r="W96" s="581"/>
      <c r="X96" s="581"/>
      <c r="Y96" s="581"/>
      <c r="Z96" s="580">
        <f>S96</f>
        <v>7590.2160000000003</v>
      </c>
      <c r="AA96" s="581"/>
      <c r="AB96" s="581"/>
      <c r="AC96" s="581"/>
      <c r="AD96" s="581"/>
      <c r="AO96" s="401"/>
      <c r="BD96" s="473">
        <f t="shared" si="32"/>
        <v>45266.5</v>
      </c>
      <c r="BE96" s="473">
        <f t="shared" si="33"/>
        <v>45277.888888888891</v>
      </c>
      <c r="BF96" s="479">
        <f t="shared" si="34"/>
        <v>11.388888888890506</v>
      </c>
      <c r="BG96" s="473">
        <v>45266.5</v>
      </c>
      <c r="BH96" s="473">
        <v>45268.84375</v>
      </c>
      <c r="BI96" s="473">
        <v>45271.392361111109</v>
      </c>
      <c r="BJ96" s="473">
        <v>45272.652777777781</v>
      </c>
      <c r="BK96" s="473">
        <v>45272.875</v>
      </c>
      <c r="BL96" s="473">
        <v>45272.881944444445</v>
      </c>
      <c r="BM96" s="473">
        <v>45273.527777777781</v>
      </c>
      <c r="BN96" s="473">
        <f t="shared" si="47"/>
        <v>45275.236111111117</v>
      </c>
      <c r="BO96" s="480">
        <v>45275.229166608799</v>
      </c>
      <c r="BP96" s="480">
        <v>45275.395833275463</v>
      </c>
      <c r="BQ96" s="480">
        <v>45275.305555555555</v>
      </c>
      <c r="BR96" s="473">
        <v>45276.638888888891</v>
      </c>
      <c r="BS96" s="473">
        <v>45276.833333333336</v>
      </c>
      <c r="BT96" s="473">
        <v>45277.40625</v>
      </c>
      <c r="BU96" s="473">
        <v>45277.427083333336</v>
      </c>
      <c r="BV96" s="473">
        <v>45277.645833333336</v>
      </c>
      <c r="BW96" s="473">
        <v>45277.888888888891</v>
      </c>
      <c r="BZ96" s="481">
        <f t="shared" si="35"/>
        <v>61.166666666627862</v>
      </c>
      <c r="CA96" s="481">
        <f t="shared" si="36"/>
        <v>5.3333333332557231</v>
      </c>
      <c r="CB96" s="481">
        <f t="shared" si="37"/>
        <v>41.000000000058208</v>
      </c>
      <c r="CC96" s="481">
        <f t="shared" si="46"/>
        <v>29.833334722265135</v>
      </c>
      <c r="CD96" s="482">
        <f t="shared" si="38"/>
        <v>13.749999999941792</v>
      </c>
      <c r="CE96" s="482">
        <f t="shared" si="39"/>
        <v>5.8333333333139308</v>
      </c>
      <c r="CF96" s="483">
        <f t="shared" si="40"/>
        <v>6.5381945023109438</v>
      </c>
      <c r="CG96" s="483">
        <f t="shared" si="41"/>
        <v>11.388888888890506</v>
      </c>
      <c r="CH96" s="484">
        <f t="shared" si="42"/>
        <v>0.57408537093453793</v>
      </c>
    </row>
    <row r="97" spans="1:88" s="475" customFormat="1">
      <c r="A97" s="474">
        <f t="shared" si="31"/>
        <v>45275.961805555555</v>
      </c>
      <c r="B97" s="475" t="s">
        <v>228</v>
      </c>
      <c r="C97" s="475" t="s">
        <v>229</v>
      </c>
      <c r="D97" s="475" t="s">
        <v>197</v>
      </c>
      <c r="E97" s="476" t="s">
        <v>3188</v>
      </c>
      <c r="F97" s="399" t="s">
        <v>3378</v>
      </c>
      <c r="G97" s="472">
        <v>45274.625</v>
      </c>
      <c r="H97" s="472">
        <v>45274.604166666664</v>
      </c>
      <c r="I97" s="475" t="s">
        <v>471</v>
      </c>
      <c r="J97" s="369" t="s">
        <v>192</v>
      </c>
      <c r="K97" s="369" t="s">
        <v>192</v>
      </c>
      <c r="L97" s="399" t="s">
        <v>3860</v>
      </c>
      <c r="M97" s="529"/>
      <c r="N97" s="475" t="s">
        <v>492</v>
      </c>
      <c r="O97" s="475" t="s">
        <v>493</v>
      </c>
      <c r="P97" s="399" t="s">
        <v>172</v>
      </c>
      <c r="Q97" s="477">
        <f>3141*2.4</f>
        <v>7538.4</v>
      </c>
      <c r="R97" s="477">
        <f>7550+100</f>
        <v>7650</v>
      </c>
      <c r="S97" s="477">
        <v>7575.9170000000004</v>
      </c>
      <c r="T97" s="667"/>
      <c r="U97" s="581"/>
      <c r="W97" s="581"/>
      <c r="Z97" s="726">
        <f>S97</f>
        <v>7575.9170000000004</v>
      </c>
      <c r="AA97" s="581"/>
      <c r="AB97" s="401"/>
      <c r="AC97" s="581"/>
      <c r="AD97" s="581"/>
      <c r="BD97" s="473">
        <f t="shared" si="32"/>
        <v>45272.854166666664</v>
      </c>
      <c r="BE97" s="473">
        <f t="shared" si="33"/>
        <v>45280.604166666664</v>
      </c>
      <c r="BF97" s="479">
        <f t="shared" si="34"/>
        <v>7.75</v>
      </c>
      <c r="BG97" s="473">
        <v>45272.854166666664</v>
      </c>
      <c r="BH97" s="473">
        <v>45273.756944444445</v>
      </c>
      <c r="BI97" s="473">
        <v>45275.833333333336</v>
      </c>
      <c r="BJ97" s="473">
        <v>45275.961805555555</v>
      </c>
      <c r="BK97" s="473">
        <v>45276.128472222219</v>
      </c>
      <c r="BL97" s="473">
        <v>45276.135416666664</v>
      </c>
      <c r="BM97" s="473">
        <v>45246.375</v>
      </c>
      <c r="BN97" s="473">
        <f t="shared" si="47"/>
        <v>45248.083333333336</v>
      </c>
      <c r="BO97" s="480">
        <v>45278.291666666664</v>
      </c>
      <c r="BP97" s="480">
        <v>45278.458333333328</v>
      </c>
      <c r="BQ97" s="480">
        <v>45278.298611111109</v>
      </c>
      <c r="BR97" s="473">
        <v>45279.416666666664</v>
      </c>
      <c r="BS97" s="473">
        <v>45279.527777777781</v>
      </c>
      <c r="BT97" s="473">
        <v>45280.090277777781</v>
      </c>
      <c r="BU97" s="473">
        <v>45280.111111111109</v>
      </c>
      <c r="BV97" s="473">
        <v>45280.305555555555</v>
      </c>
      <c r="BW97" s="473">
        <v>45280.604166666664</v>
      </c>
      <c r="BZ97" s="481">
        <f t="shared" si="35"/>
        <v>49.833333333372138</v>
      </c>
      <c r="CA97" s="481">
        <f t="shared" si="36"/>
        <v>3.9999999999417923</v>
      </c>
      <c r="CB97" s="481">
        <f t="shared" si="37"/>
        <v>41.000000000058208</v>
      </c>
      <c r="CC97" s="481">
        <f t="shared" si="46"/>
        <v>23.000000000058208</v>
      </c>
      <c r="CD97" s="482">
        <f t="shared" si="38"/>
        <v>13.5</v>
      </c>
      <c r="CE97" s="482">
        <f t="shared" si="39"/>
        <v>7.1666666666278616</v>
      </c>
      <c r="CF97" s="483">
        <f t="shared" si="40"/>
        <v>5.7708333333357587</v>
      </c>
      <c r="CG97" s="483">
        <f t="shared" si="41"/>
        <v>7.75</v>
      </c>
      <c r="CH97" s="484">
        <f t="shared" si="42"/>
        <v>0.74462365591429147</v>
      </c>
    </row>
    <row r="98" spans="1:88" s="475" customFormat="1">
      <c r="A98" s="474">
        <f t="shared" si="31"/>
        <v>45279.133333333331</v>
      </c>
      <c r="B98" s="475" t="s">
        <v>228</v>
      </c>
      <c r="C98" s="475" t="s">
        <v>229</v>
      </c>
      <c r="D98" s="475" t="s">
        <v>197</v>
      </c>
      <c r="E98" s="399" t="s">
        <v>3861</v>
      </c>
      <c r="F98" s="475" t="s">
        <v>3378</v>
      </c>
      <c r="G98" s="473">
        <v>45282.987500000003</v>
      </c>
      <c r="H98" s="473">
        <v>45282.987500000003</v>
      </c>
      <c r="I98" s="475" t="s">
        <v>469</v>
      </c>
      <c r="J98" s="475" t="s">
        <v>192</v>
      </c>
      <c r="K98" s="475" t="s">
        <v>192</v>
      </c>
      <c r="L98" s="667" t="s">
        <v>3862</v>
      </c>
      <c r="M98" s="530"/>
      <c r="N98" s="475" t="s">
        <v>201</v>
      </c>
      <c r="O98" s="475" t="s">
        <v>202</v>
      </c>
      <c r="P98" s="475" t="s">
        <v>172</v>
      </c>
      <c r="Q98" s="477">
        <f>3141*2.4</f>
        <v>7538.4</v>
      </c>
      <c r="R98" s="477">
        <f>7550+100</f>
        <v>7650</v>
      </c>
      <c r="S98" s="477">
        <v>7553.4430000000002</v>
      </c>
      <c r="T98" s="667"/>
      <c r="U98" s="581"/>
      <c r="W98" s="581"/>
      <c r="Y98" s="581"/>
      <c r="Z98" s="580">
        <f>S98</f>
        <v>7553.4430000000002</v>
      </c>
      <c r="AA98" s="581"/>
      <c r="AB98" s="401"/>
      <c r="AC98" s="581"/>
      <c r="AD98" s="581"/>
      <c r="AE98" s="667"/>
      <c r="AF98" s="667"/>
      <c r="AG98" s="667"/>
      <c r="AH98" s="667"/>
      <c r="AI98" s="667"/>
      <c r="AJ98" s="667"/>
      <c r="AK98" s="667"/>
      <c r="AL98" s="667"/>
      <c r="AM98" s="667"/>
      <c r="AN98" s="667"/>
      <c r="AO98" s="581"/>
      <c r="AP98" s="581"/>
      <c r="AQ98" s="581"/>
      <c r="AR98" s="581"/>
      <c r="AS98" s="581"/>
      <c r="AT98" s="581"/>
      <c r="AU98" s="581"/>
      <c r="AV98" s="581"/>
      <c r="AW98" s="581"/>
      <c r="AX98" s="581"/>
      <c r="AY98" s="581"/>
      <c r="AZ98" s="581"/>
      <c r="BA98" s="581"/>
      <c r="BB98" s="581"/>
      <c r="BC98" s="581"/>
      <c r="BD98" s="473">
        <f t="shared" si="32"/>
        <v>45275.263888888891</v>
      </c>
      <c r="BE98" s="473">
        <f t="shared" si="33"/>
        <v>45285.159722222219</v>
      </c>
      <c r="BF98" s="479">
        <f t="shared" si="34"/>
        <v>9.8958333333284827</v>
      </c>
      <c r="BG98" s="473">
        <v>45275.263888888891</v>
      </c>
      <c r="BH98" s="473">
        <v>45276.569444444445</v>
      </c>
      <c r="BI98" s="473">
        <v>45278.583333333336</v>
      </c>
      <c r="BJ98" s="473">
        <v>45279.133333333331</v>
      </c>
      <c r="BK98" s="473">
        <v>45279.326388888891</v>
      </c>
      <c r="BL98" s="473">
        <v>45279.333333333336</v>
      </c>
      <c r="BM98" s="473">
        <v>45279.378472222219</v>
      </c>
      <c r="BN98" s="473">
        <f t="shared" si="47"/>
        <v>45281.086805555555</v>
      </c>
      <c r="BO98" s="473">
        <v>45281.458333333336</v>
      </c>
      <c r="BP98" s="473">
        <v>45281.625</v>
      </c>
      <c r="BQ98" s="518">
        <v>45281.472222222219</v>
      </c>
      <c r="BR98" s="473">
        <v>45283.21875</v>
      </c>
      <c r="BS98" s="473">
        <v>45284.947916666664</v>
      </c>
      <c r="BT98" s="473">
        <v>45285.159722222219</v>
      </c>
      <c r="BU98" s="473">
        <v>45285.159722222219</v>
      </c>
      <c r="BV98" s="473">
        <v>45285.159722222219</v>
      </c>
      <c r="BW98" s="473">
        <v>45285.159722222219</v>
      </c>
      <c r="BX98" s="475" t="s">
        <v>788</v>
      </c>
      <c r="BZ98" s="481">
        <f t="shared" si="35"/>
        <v>48.333333333372138</v>
      </c>
      <c r="CA98" s="481">
        <f t="shared" si="36"/>
        <v>4.6333333334187046</v>
      </c>
      <c r="CB98" s="481">
        <f t="shared" si="37"/>
        <v>41.000000000058208</v>
      </c>
      <c r="CC98" s="481">
        <f t="shared" si="46"/>
        <v>38.25</v>
      </c>
      <c r="CD98" s="482">
        <f t="shared" si="38"/>
        <v>5.0833333333139308</v>
      </c>
      <c r="CE98" s="482">
        <f t="shared" si="39"/>
        <v>0</v>
      </c>
      <c r="CF98" s="483">
        <f t="shared" si="40"/>
        <v>5.7208333333401242</v>
      </c>
      <c r="CG98" s="483">
        <f t="shared" si="41"/>
        <v>9.8958333333284827</v>
      </c>
      <c r="CH98" s="484">
        <f t="shared" si="42"/>
        <v>0.57810526315886435</v>
      </c>
    </row>
    <row r="99" spans="1:88" s="475" customFormat="1">
      <c r="A99" s="474">
        <f t="shared" si="31"/>
        <v>45262.559027777781</v>
      </c>
      <c r="B99" s="475" t="s">
        <v>188</v>
      </c>
      <c r="C99" s="475" t="s">
        <v>183</v>
      </c>
      <c r="D99" s="475" t="s">
        <v>189</v>
      </c>
      <c r="E99" s="476" t="s">
        <v>1936</v>
      </c>
      <c r="F99" s="475" t="s">
        <v>3378</v>
      </c>
      <c r="G99" s="472">
        <v>45267.770833333336</v>
      </c>
      <c r="H99" s="472">
        <v>45267.787499999999</v>
      </c>
      <c r="I99" s="475" t="s">
        <v>791</v>
      </c>
      <c r="J99" s="475" t="s">
        <v>192</v>
      </c>
      <c r="K99" s="475" t="s">
        <v>192</v>
      </c>
      <c r="L99" s="475" t="s">
        <v>3863</v>
      </c>
      <c r="M99" s="529"/>
      <c r="N99" s="475" t="s">
        <v>3864</v>
      </c>
      <c r="O99" s="475" t="s">
        <v>3865</v>
      </c>
      <c r="P99" s="399" t="s">
        <v>183</v>
      </c>
      <c r="Q99" s="477">
        <v>5200</v>
      </c>
      <c r="R99" s="477">
        <v>5200</v>
      </c>
      <c r="S99" s="477">
        <v>5105.2960000000003</v>
      </c>
      <c r="T99" s="399"/>
      <c r="U99" s="401"/>
      <c r="V99" s="401"/>
      <c r="W99" s="401"/>
      <c r="Y99" s="401"/>
      <c r="Z99" s="401"/>
      <c r="AA99" s="401"/>
      <c r="AB99" s="401"/>
      <c r="AC99" s="401"/>
      <c r="AD99" s="401"/>
      <c r="AE99" s="399"/>
      <c r="AF99" s="399"/>
      <c r="AG99" s="399"/>
      <c r="AH99" s="399"/>
      <c r="AI99" s="399"/>
      <c r="AJ99" s="399"/>
      <c r="AK99" s="399"/>
      <c r="AL99" s="399"/>
      <c r="AM99" s="399"/>
      <c r="AN99" s="399"/>
      <c r="AO99" s="399"/>
      <c r="AP99" s="399"/>
      <c r="AQ99" s="399"/>
      <c r="AR99" s="399"/>
      <c r="AS99" s="399"/>
      <c r="AT99" s="580">
        <f t="shared" ref="AT99:AT106" si="48">S99</f>
        <v>5105.2960000000003</v>
      </c>
      <c r="AU99" s="399"/>
      <c r="AV99" s="399"/>
      <c r="AW99" s="399"/>
      <c r="AX99" s="399"/>
      <c r="AY99" s="399"/>
      <c r="AZ99" s="399"/>
      <c r="BA99" s="399"/>
      <c r="BB99" s="399"/>
      <c r="BC99" s="399"/>
      <c r="BD99" s="473">
        <f t="shared" si="32"/>
        <v>45262.559027777781</v>
      </c>
      <c r="BE99" s="473">
        <f t="shared" si="33"/>
        <v>45273.201388888891</v>
      </c>
      <c r="BF99" s="479">
        <f t="shared" si="34"/>
        <v>10.642361111109494</v>
      </c>
      <c r="BG99" s="473">
        <v>45262.559027777781</v>
      </c>
      <c r="BH99" s="473">
        <v>45262.559027777781</v>
      </c>
      <c r="BI99" s="473">
        <v>45262.559027777781</v>
      </c>
      <c r="BJ99" s="473">
        <v>45262.559027777781</v>
      </c>
      <c r="BK99" s="473">
        <v>45263.0625</v>
      </c>
      <c r="BL99" s="473">
        <v>45263.0625</v>
      </c>
      <c r="BM99" s="473">
        <v>45263.0625</v>
      </c>
      <c r="BN99" s="473">
        <v>45263.0625</v>
      </c>
      <c r="BO99" s="518" t="s">
        <v>196</v>
      </c>
      <c r="BP99" s="518" t="s">
        <v>196</v>
      </c>
      <c r="BQ99" s="518" t="s">
        <v>196</v>
      </c>
      <c r="BR99" s="473">
        <v>45268.510416666664</v>
      </c>
      <c r="BS99" s="473">
        <v>45272.875</v>
      </c>
      <c r="BT99" s="473">
        <v>45273.177083333336</v>
      </c>
      <c r="BU99" s="473">
        <v>45273.201388888891</v>
      </c>
      <c r="BV99" s="473">
        <v>45273.201388888891</v>
      </c>
      <c r="BW99" s="473">
        <v>45273.201388888891</v>
      </c>
      <c r="BZ99" s="481">
        <f t="shared" si="35"/>
        <v>0</v>
      </c>
      <c r="CA99" s="481">
        <f t="shared" si="36"/>
        <v>12.083333333255723</v>
      </c>
      <c r="CB99" s="481">
        <f t="shared" si="37"/>
        <v>0</v>
      </c>
      <c r="CC99" s="481">
        <f>(BR99-BN99)*24</f>
        <v>130.74999999994179</v>
      </c>
      <c r="CD99" s="482">
        <f t="shared" si="38"/>
        <v>7.2500000000582077</v>
      </c>
      <c r="CE99" s="482">
        <f t="shared" si="39"/>
        <v>0</v>
      </c>
      <c r="CF99" s="483">
        <f t="shared" si="40"/>
        <v>6.2534722222189885</v>
      </c>
      <c r="CG99" s="483">
        <f t="shared" si="41"/>
        <v>10.642361111109494</v>
      </c>
      <c r="CH99" s="484">
        <f t="shared" si="42"/>
        <v>0.58760195758542977</v>
      </c>
    </row>
    <row r="100" spans="1:88" s="475" customFormat="1">
      <c r="A100" s="474">
        <f t="shared" ref="A100:A131" si="49">BJ100</f>
        <v>45263.333333333336</v>
      </c>
      <c r="B100" s="475" t="s">
        <v>188</v>
      </c>
      <c r="C100" s="475" t="s">
        <v>183</v>
      </c>
      <c r="D100" s="475" t="s">
        <v>189</v>
      </c>
      <c r="E100" s="399" t="s">
        <v>3177</v>
      </c>
      <c r="F100" s="399" t="s">
        <v>3474</v>
      </c>
      <c r="G100" s="472">
        <v>45262.8125</v>
      </c>
      <c r="H100" s="472">
        <v>45262.770833333336</v>
      </c>
      <c r="I100" s="667" t="s">
        <v>807</v>
      </c>
      <c r="J100" s="475" t="s">
        <v>192</v>
      </c>
      <c r="K100" s="475" t="s">
        <v>192</v>
      </c>
      <c r="L100" s="667" t="s">
        <v>3866</v>
      </c>
      <c r="M100" s="529"/>
      <c r="N100" s="475" t="s">
        <v>809</v>
      </c>
      <c r="O100" s="475" t="s">
        <v>1365</v>
      </c>
      <c r="P100" s="399" t="s">
        <v>183</v>
      </c>
      <c r="Q100" s="477">
        <v>5300</v>
      </c>
      <c r="R100" s="477">
        <v>5300</v>
      </c>
      <c r="S100" s="477">
        <v>5236.3940000000002</v>
      </c>
      <c r="T100" s="667"/>
      <c r="U100" s="581"/>
      <c r="V100" s="581"/>
      <c r="W100" s="581"/>
      <c r="X100" s="401"/>
      <c r="Y100" s="401"/>
      <c r="Z100" s="581"/>
      <c r="AA100" s="581"/>
      <c r="AB100" s="401"/>
      <c r="AC100" s="401"/>
      <c r="AD100" s="401"/>
      <c r="AE100" s="401"/>
      <c r="AF100" s="401"/>
      <c r="AG100" s="401"/>
      <c r="AH100" s="401"/>
      <c r="AI100" s="401"/>
      <c r="AJ100" s="401"/>
      <c r="AK100" s="401"/>
      <c r="AL100" s="401"/>
      <c r="AM100" s="401"/>
      <c r="AN100" s="401"/>
      <c r="AO100" s="401"/>
      <c r="AP100" s="401"/>
      <c r="AQ100" s="401"/>
      <c r="AR100" s="401"/>
      <c r="AS100" s="401"/>
      <c r="AT100" s="580">
        <f t="shared" si="48"/>
        <v>5236.3940000000002</v>
      </c>
      <c r="AU100" s="401"/>
      <c r="AV100" s="401"/>
      <c r="AW100" s="401"/>
      <c r="AX100" s="401"/>
      <c r="AY100" s="401"/>
      <c r="AZ100" s="401"/>
      <c r="BA100" s="401"/>
      <c r="BB100" s="401"/>
      <c r="BC100" s="401"/>
      <c r="BD100" s="473">
        <f t="shared" ref="BD100:BD131" si="50">BG100</f>
        <v>45263.291666666664</v>
      </c>
      <c r="BE100" s="473">
        <f t="shared" ref="BE100:BE131" si="51">BW100</f>
        <v>45271.159722222219</v>
      </c>
      <c r="BF100" s="479">
        <f t="shared" ref="BF100:BF131" si="52">BE100-BD100</f>
        <v>7.8680555555547471</v>
      </c>
      <c r="BG100" s="473">
        <v>45263.291666666664</v>
      </c>
      <c r="BH100" s="473">
        <v>45263.291666666664</v>
      </c>
      <c r="BI100" s="473">
        <v>45263.291666666664</v>
      </c>
      <c r="BJ100" s="473">
        <v>45263.333333333336</v>
      </c>
      <c r="BK100" s="473">
        <v>45263.763888888891</v>
      </c>
      <c r="BL100" s="473">
        <v>45263.833333333336</v>
      </c>
      <c r="BM100" s="473">
        <v>45263.833333333336</v>
      </c>
      <c r="BN100" s="473">
        <v>45263.833333333336</v>
      </c>
      <c r="BO100" s="518" t="s">
        <v>196</v>
      </c>
      <c r="BP100" s="518" t="s">
        <v>196</v>
      </c>
      <c r="BQ100" s="518" t="s">
        <v>196</v>
      </c>
      <c r="BR100" s="901" t="s">
        <v>196</v>
      </c>
      <c r="BS100" s="473">
        <v>45270.027777777781</v>
      </c>
      <c r="BT100" s="473">
        <v>45271.159722222219</v>
      </c>
      <c r="BU100" s="473">
        <v>45271.159722222219</v>
      </c>
      <c r="BV100" s="473">
        <v>45271.159722222219</v>
      </c>
      <c r="BW100" s="473">
        <v>45271.159722222219</v>
      </c>
      <c r="BZ100" s="481">
        <f t="shared" ref="BZ100:BZ131" si="53">(BI100-BH100)*24</f>
        <v>0</v>
      </c>
      <c r="CA100" s="481">
        <f t="shared" ref="CA100:CA131" si="54">(BK100-BJ100)*24</f>
        <v>10.333333333313931</v>
      </c>
      <c r="CB100" s="481">
        <f t="shared" ref="CB100:CB131" si="55">(BN100-BM100)*24</f>
        <v>0</v>
      </c>
      <c r="CC100" s="481" t="e">
        <f>(BR100-BN100)*24</f>
        <v>#VALUE!</v>
      </c>
      <c r="CD100" s="482">
        <f t="shared" ref="CD100:CD131" si="56">(BT100-BS100)*24</f>
        <v>27.166666666511446</v>
      </c>
      <c r="CE100" s="482">
        <f t="shared" ref="CE100:CE131" si="57">(BW100-BV100)*24</f>
        <v>0</v>
      </c>
      <c r="CF100" s="483" t="e">
        <f t="shared" ref="CF100:CF131" si="58">SUM(BZ100:CE100)/24</f>
        <v>#VALUE!</v>
      </c>
      <c r="CG100" s="483">
        <f t="shared" ref="CG100:CG131" si="59">BF100</f>
        <v>7.8680555555547471</v>
      </c>
      <c r="CH100" s="484" t="e">
        <f t="shared" ref="CH100:CH131" si="60">CF100/CG100</f>
        <v>#VALUE!</v>
      </c>
    </row>
    <row r="101" spans="1:88" s="475" customFormat="1">
      <c r="A101" s="474">
        <f t="shared" si="49"/>
        <v>45264.600694444445</v>
      </c>
      <c r="B101" s="475" t="s">
        <v>188</v>
      </c>
      <c r="C101" s="475" t="s">
        <v>183</v>
      </c>
      <c r="D101" s="475" t="s">
        <v>189</v>
      </c>
      <c r="E101" s="476" t="s">
        <v>1936</v>
      </c>
      <c r="F101" s="475" t="s">
        <v>3378</v>
      </c>
      <c r="G101" s="472">
        <v>45267.770833333336</v>
      </c>
      <c r="H101" s="472">
        <v>45267.787499999999</v>
      </c>
      <c r="I101" s="475" t="s">
        <v>791</v>
      </c>
      <c r="J101" s="475" t="s">
        <v>192</v>
      </c>
      <c r="K101" s="475" t="s">
        <v>192</v>
      </c>
      <c r="L101" s="399" t="s">
        <v>3867</v>
      </c>
      <c r="M101" s="529"/>
      <c r="N101" s="475" t="s">
        <v>3632</v>
      </c>
      <c r="O101" s="475" t="s">
        <v>1618</v>
      </c>
      <c r="P101" s="399" t="s">
        <v>183</v>
      </c>
      <c r="Q101" s="477">
        <v>5200</v>
      </c>
      <c r="R101" s="477">
        <v>5200</v>
      </c>
      <c r="S101" s="477">
        <v>5201.4669999999996</v>
      </c>
      <c r="T101" s="399"/>
      <c r="U101" s="401"/>
      <c r="V101" s="401"/>
      <c r="W101" s="401"/>
      <c r="Y101" s="401"/>
      <c r="Z101" s="401"/>
      <c r="AA101" s="401"/>
      <c r="AB101" s="401"/>
      <c r="AC101" s="401"/>
      <c r="AD101" s="401"/>
      <c r="AE101" s="399"/>
      <c r="AF101" s="399"/>
      <c r="AG101" s="399"/>
      <c r="AH101" s="399"/>
      <c r="AI101" s="399"/>
      <c r="AJ101" s="399"/>
      <c r="AK101" s="399"/>
      <c r="AL101" s="399"/>
      <c r="AM101" s="399"/>
      <c r="AN101" s="399"/>
      <c r="AO101" s="399"/>
      <c r="AP101" s="399"/>
      <c r="AQ101" s="399"/>
      <c r="AR101" s="399"/>
      <c r="AS101" s="399"/>
      <c r="AT101" s="580">
        <f t="shared" si="48"/>
        <v>5201.4669999999996</v>
      </c>
      <c r="AU101" s="399"/>
      <c r="AV101" s="399"/>
      <c r="AW101" s="399"/>
      <c r="AX101" s="399"/>
      <c r="AY101" s="399"/>
      <c r="AZ101" s="399"/>
      <c r="BA101" s="399"/>
      <c r="BB101" s="399"/>
      <c r="BC101" s="399"/>
      <c r="BD101" s="473">
        <f t="shared" si="50"/>
        <v>45264.576388888891</v>
      </c>
      <c r="BE101" s="473">
        <f t="shared" si="51"/>
        <v>45273.361111111109</v>
      </c>
      <c r="BF101" s="479">
        <f t="shared" si="52"/>
        <v>8.7847222222189885</v>
      </c>
      <c r="BG101" s="473">
        <v>45264.576388888891</v>
      </c>
      <c r="BH101" s="473">
        <v>45264.576388888891</v>
      </c>
      <c r="BI101" s="473">
        <v>45264.576388888891</v>
      </c>
      <c r="BJ101" s="473">
        <v>45264.600694444445</v>
      </c>
      <c r="BK101" s="473">
        <v>45265.618055555555</v>
      </c>
      <c r="BL101" s="473">
        <v>45265.618055555555</v>
      </c>
      <c r="BM101" s="473">
        <v>45265.618055555555</v>
      </c>
      <c r="BN101" s="473">
        <v>45265.618055555555</v>
      </c>
      <c r="BO101" s="518" t="s">
        <v>196</v>
      </c>
      <c r="BP101" s="518" t="s">
        <v>196</v>
      </c>
      <c r="BQ101" s="518" t="s">
        <v>196</v>
      </c>
      <c r="BR101" s="473">
        <v>45271.059027777781</v>
      </c>
      <c r="BS101" s="473">
        <v>45272.385416666664</v>
      </c>
      <c r="BT101" s="473">
        <v>45273.361111111109</v>
      </c>
      <c r="BU101" s="473">
        <v>45273.361111111109</v>
      </c>
      <c r="BV101" s="473">
        <v>45273.361111111109</v>
      </c>
      <c r="BW101" s="473">
        <v>45273.361111111109</v>
      </c>
      <c r="BZ101" s="481">
        <f t="shared" si="53"/>
        <v>0</v>
      </c>
      <c r="CA101" s="481">
        <f t="shared" si="54"/>
        <v>24.416666666627862</v>
      </c>
      <c r="CB101" s="481">
        <f t="shared" si="55"/>
        <v>0</v>
      </c>
      <c r="CC101" s="481">
        <f>(BR101-BN101)*24</f>
        <v>130.58333333343035</v>
      </c>
      <c r="CD101" s="482">
        <f t="shared" si="56"/>
        <v>23.416666666686069</v>
      </c>
      <c r="CE101" s="482">
        <f t="shared" si="57"/>
        <v>0</v>
      </c>
      <c r="CF101" s="483">
        <f t="shared" si="58"/>
        <v>7.4340277777810115</v>
      </c>
      <c r="CG101" s="483">
        <f t="shared" si="59"/>
        <v>8.7847222222189885</v>
      </c>
      <c r="CH101" s="484">
        <f t="shared" si="60"/>
        <v>0.84624505928921723</v>
      </c>
    </row>
    <row r="102" spans="1:88" s="475" customFormat="1">
      <c r="A102" s="474">
        <f t="shared" si="49"/>
        <v>45266.368055555555</v>
      </c>
      <c r="B102" s="475" t="s">
        <v>188</v>
      </c>
      <c r="C102" s="475" t="s">
        <v>183</v>
      </c>
      <c r="D102" s="475" t="s">
        <v>189</v>
      </c>
      <c r="E102" s="476" t="s">
        <v>3182</v>
      </c>
      <c r="F102" s="399" t="s">
        <v>3378</v>
      </c>
      <c r="G102" s="473">
        <v>45269.229166666664</v>
      </c>
      <c r="H102" s="473">
        <v>45269.25</v>
      </c>
      <c r="I102" s="667" t="s">
        <v>807</v>
      </c>
      <c r="J102" s="475" t="s">
        <v>192</v>
      </c>
      <c r="K102" s="475" t="s">
        <v>192</v>
      </c>
      <c r="L102" s="399" t="s">
        <v>3868</v>
      </c>
      <c r="M102" s="529"/>
      <c r="N102" s="475" t="s">
        <v>1617</v>
      </c>
      <c r="O102" s="475" t="s">
        <v>2833</v>
      </c>
      <c r="P102" s="399" t="s">
        <v>183</v>
      </c>
      <c r="Q102" s="477">
        <v>5300</v>
      </c>
      <c r="R102" s="477">
        <v>5300</v>
      </c>
      <c r="S102" s="477">
        <v>5200.6710000000003</v>
      </c>
      <c r="T102" s="667"/>
      <c r="U102" s="581"/>
      <c r="V102" s="581"/>
      <c r="W102" s="581"/>
      <c r="X102" s="581"/>
      <c r="Y102" s="581"/>
      <c r="Z102" s="581"/>
      <c r="AA102" s="581"/>
      <c r="AB102" s="581"/>
      <c r="AC102" s="581"/>
      <c r="AD102" s="581"/>
      <c r="AE102" s="667"/>
      <c r="AF102" s="667"/>
      <c r="AG102" s="667"/>
      <c r="AH102" s="667"/>
      <c r="AI102" s="667"/>
      <c r="AJ102" s="667"/>
      <c r="AK102" s="667"/>
      <c r="AL102" s="667"/>
      <c r="AM102" s="667"/>
      <c r="AN102" s="667"/>
      <c r="AO102" s="667"/>
      <c r="AP102" s="667"/>
      <c r="AQ102" s="667"/>
      <c r="AR102" s="667"/>
      <c r="AS102" s="667"/>
      <c r="AT102" s="726">
        <f t="shared" si="48"/>
        <v>5200.6710000000003</v>
      </c>
      <c r="AU102" s="667"/>
      <c r="AV102" s="667"/>
      <c r="AW102" s="667"/>
      <c r="AX102" s="667"/>
      <c r="AY102" s="667"/>
      <c r="AZ102" s="667"/>
      <c r="BA102" s="667"/>
      <c r="BB102" s="667"/>
      <c r="BC102" s="667"/>
      <c r="BD102" s="473">
        <f t="shared" si="50"/>
        <v>45266.354166666664</v>
      </c>
      <c r="BE102" s="473">
        <f t="shared" si="51"/>
        <v>45273.635416666672</v>
      </c>
      <c r="BF102" s="479">
        <f t="shared" si="52"/>
        <v>7.281250000007276</v>
      </c>
      <c r="BG102" s="473">
        <v>45266.354166666664</v>
      </c>
      <c r="BH102" s="473">
        <v>45266.354166666664</v>
      </c>
      <c r="BI102" s="473">
        <v>45266.354166666664</v>
      </c>
      <c r="BJ102" s="473">
        <v>45266.368055555555</v>
      </c>
      <c r="BK102" s="473">
        <v>45266.895833333336</v>
      </c>
      <c r="BL102" s="473">
        <v>45266.895833333336</v>
      </c>
      <c r="BM102" s="473">
        <v>45266.895833333336</v>
      </c>
      <c r="BN102" s="473">
        <v>45266.895833333336</v>
      </c>
      <c r="BO102" s="518" t="s">
        <v>196</v>
      </c>
      <c r="BP102" s="518" t="s">
        <v>196</v>
      </c>
      <c r="BQ102" s="518" t="s">
        <v>196</v>
      </c>
      <c r="BR102" s="473">
        <v>45272.21875</v>
      </c>
      <c r="BS102" s="473">
        <v>45273.302083333336</v>
      </c>
      <c r="BT102" s="473">
        <v>45273.614583333336</v>
      </c>
      <c r="BU102" s="473">
        <v>45273.635416666672</v>
      </c>
      <c r="BV102" s="473">
        <v>45273.635416666672</v>
      </c>
      <c r="BW102" s="473">
        <v>45273.635416666672</v>
      </c>
      <c r="BZ102" s="481">
        <f t="shared" si="53"/>
        <v>0</v>
      </c>
      <c r="CA102" s="481">
        <f t="shared" si="54"/>
        <v>12.666666666744277</v>
      </c>
      <c r="CB102" s="481">
        <f t="shared" si="55"/>
        <v>0</v>
      </c>
      <c r="CC102" s="481">
        <f>(BR102-BN102)*24</f>
        <v>127.74999999994179</v>
      </c>
      <c r="CD102" s="482">
        <f t="shared" si="56"/>
        <v>7.5</v>
      </c>
      <c r="CE102" s="482">
        <f t="shared" si="57"/>
        <v>0</v>
      </c>
      <c r="CF102" s="483">
        <f t="shared" si="58"/>
        <v>6.1631944444452529</v>
      </c>
      <c r="CG102" s="483">
        <f t="shared" si="59"/>
        <v>7.281250000007276</v>
      </c>
      <c r="CH102" s="484">
        <f t="shared" si="60"/>
        <v>0.8464473056740387</v>
      </c>
    </row>
    <row r="103" spans="1:88" s="475" customFormat="1">
      <c r="A103" s="474">
        <f t="shared" si="49"/>
        <v>45269.392361111109</v>
      </c>
      <c r="B103" s="475" t="s">
        <v>188</v>
      </c>
      <c r="C103" s="475" t="s">
        <v>183</v>
      </c>
      <c r="D103" s="475" t="s">
        <v>189</v>
      </c>
      <c r="E103" s="399" t="s">
        <v>3397</v>
      </c>
      <c r="F103" s="475" t="s">
        <v>3378</v>
      </c>
      <c r="G103" s="472">
        <v>45273.416666666664</v>
      </c>
      <c r="H103" s="472">
        <v>45273.416666666664</v>
      </c>
      <c r="I103" s="475" t="s">
        <v>791</v>
      </c>
      <c r="J103" s="475" t="s">
        <v>192</v>
      </c>
      <c r="K103" s="475" t="s">
        <v>192</v>
      </c>
      <c r="L103" s="399" t="s">
        <v>3869</v>
      </c>
      <c r="M103" s="530"/>
      <c r="N103" s="475" t="s">
        <v>3870</v>
      </c>
      <c r="O103" s="475" t="s">
        <v>3871</v>
      </c>
      <c r="P103" s="399" t="s">
        <v>183</v>
      </c>
      <c r="Q103" s="477">
        <v>7500</v>
      </c>
      <c r="R103" s="477">
        <v>7500</v>
      </c>
      <c r="S103" s="477">
        <v>7516.1639999999998</v>
      </c>
      <c r="T103" s="399"/>
      <c r="U103" s="401"/>
      <c r="V103" s="401"/>
      <c r="W103" s="401"/>
      <c r="Y103" s="401"/>
      <c r="Z103" s="401"/>
      <c r="AA103" s="401"/>
      <c r="AB103" s="401"/>
      <c r="AC103" s="401"/>
      <c r="AD103" s="401"/>
      <c r="AE103" s="399"/>
      <c r="AF103" s="399"/>
      <c r="AG103" s="399"/>
      <c r="AH103" s="399"/>
      <c r="AI103" s="399"/>
      <c r="AJ103" s="399"/>
      <c r="AK103" s="399"/>
      <c r="AL103" s="399"/>
      <c r="AM103" s="399"/>
      <c r="AN103" s="399"/>
      <c r="AO103" s="399"/>
      <c r="AP103" s="399"/>
      <c r="AQ103" s="399"/>
      <c r="AR103" s="399"/>
      <c r="AS103" s="399"/>
      <c r="AT103" s="580">
        <f t="shared" si="48"/>
        <v>7516.1639999999998</v>
      </c>
      <c r="AU103" s="399"/>
      <c r="AV103" s="399"/>
      <c r="AW103" s="399"/>
      <c r="AX103" s="399"/>
      <c r="AY103" s="399"/>
      <c r="AZ103" s="399"/>
      <c r="BA103" s="399"/>
      <c r="BB103" s="399"/>
      <c r="BC103" s="399"/>
      <c r="BD103" s="473">
        <f t="shared" si="50"/>
        <v>45269.354166666664</v>
      </c>
      <c r="BE103" s="473">
        <f t="shared" si="51"/>
        <v>45283.711805555555</v>
      </c>
      <c r="BF103" s="479">
        <f t="shared" si="52"/>
        <v>14.357638888890506</v>
      </c>
      <c r="BG103" s="473">
        <v>45269.354166666664</v>
      </c>
      <c r="BH103" s="473">
        <v>45269.354166666664</v>
      </c>
      <c r="BI103" s="473">
        <v>45269.354166666664</v>
      </c>
      <c r="BJ103" s="473">
        <v>45269.392361111109</v>
      </c>
      <c r="BK103" s="473">
        <v>45270.659722222219</v>
      </c>
      <c r="BL103" s="473">
        <v>45270.6875</v>
      </c>
      <c r="BM103" s="473">
        <v>45270.6875</v>
      </c>
      <c r="BN103" s="473">
        <v>45270.6875</v>
      </c>
      <c r="BO103" s="518" t="s">
        <v>196</v>
      </c>
      <c r="BP103" s="518" t="s">
        <v>196</v>
      </c>
      <c r="BQ103" s="518" t="s">
        <v>196</v>
      </c>
      <c r="BR103" s="473">
        <v>45275.947916666664</v>
      </c>
      <c r="BS103" s="473">
        <v>45282.940972222219</v>
      </c>
      <c r="BT103" s="473">
        <v>45283.559027777781</v>
      </c>
      <c r="BU103" s="473">
        <v>45283.711805555555</v>
      </c>
      <c r="BV103" s="473">
        <v>45283.711805555555</v>
      </c>
      <c r="BW103" s="473">
        <v>45283.711805555555</v>
      </c>
      <c r="BZ103" s="481">
        <f t="shared" si="53"/>
        <v>0</v>
      </c>
      <c r="CA103" s="481">
        <f t="shared" si="54"/>
        <v>30.416666666627862</v>
      </c>
      <c r="CB103" s="481">
        <f t="shared" si="55"/>
        <v>0</v>
      </c>
      <c r="CC103" s="481">
        <f>(BR103-BN103)*24</f>
        <v>126.24999999994179</v>
      </c>
      <c r="CD103" s="482">
        <f t="shared" si="56"/>
        <v>14.833333333488554</v>
      </c>
      <c r="CE103" s="482">
        <f t="shared" si="57"/>
        <v>0</v>
      </c>
      <c r="CF103" s="483">
        <f t="shared" si="58"/>
        <v>7.1458333333357587</v>
      </c>
      <c r="CG103" s="483">
        <f t="shared" si="59"/>
        <v>14.357638888890506</v>
      </c>
      <c r="CH103" s="484">
        <f t="shared" si="60"/>
        <v>0.49770253929878278</v>
      </c>
    </row>
    <row r="104" spans="1:88" s="475" customFormat="1">
      <c r="A104" s="474">
        <f t="shared" si="49"/>
        <v>45271.434027777781</v>
      </c>
      <c r="B104" s="475" t="s">
        <v>188</v>
      </c>
      <c r="C104" s="475" t="s">
        <v>183</v>
      </c>
      <c r="D104" s="475" t="s">
        <v>197</v>
      </c>
      <c r="E104" s="476" t="s">
        <v>986</v>
      </c>
      <c r="F104" s="475" t="s">
        <v>3378</v>
      </c>
      <c r="G104" s="473">
        <v>45277.375</v>
      </c>
      <c r="H104" s="473">
        <v>45277.366666666669</v>
      </c>
      <c r="I104" s="667" t="s">
        <v>791</v>
      </c>
      <c r="J104" s="369" t="s">
        <v>192</v>
      </c>
      <c r="K104" s="369" t="s">
        <v>192</v>
      </c>
      <c r="L104" s="667" t="s">
        <v>3872</v>
      </c>
      <c r="M104" s="529"/>
      <c r="N104" s="475" t="s">
        <v>1874</v>
      </c>
      <c r="O104" s="475" t="s">
        <v>1875</v>
      </c>
      <c r="P104" s="475" t="s">
        <v>183</v>
      </c>
      <c r="Q104" s="477">
        <f>2205*2.4</f>
        <v>5292</v>
      </c>
      <c r="R104" s="477">
        <f>5300+100</f>
        <v>5400</v>
      </c>
      <c r="S104" s="477">
        <v>5351.5159999999996</v>
      </c>
      <c r="T104" s="477"/>
      <c r="U104" s="401"/>
      <c r="V104" s="401"/>
      <c r="W104" s="581"/>
      <c r="Y104" s="581"/>
      <c r="Z104" s="581"/>
      <c r="AA104" s="581"/>
      <c r="AB104" s="577"/>
      <c r="AC104" s="577"/>
      <c r="AD104" s="577"/>
      <c r="AE104" s="577"/>
      <c r="AF104" s="577"/>
      <c r="AG104" s="577"/>
      <c r="AH104" s="577"/>
      <c r="AI104" s="577"/>
      <c r="AJ104" s="577"/>
      <c r="AT104" s="580">
        <f t="shared" si="48"/>
        <v>5351.5159999999996</v>
      </c>
      <c r="BD104" s="473">
        <f t="shared" si="50"/>
        <v>45264.784722222219</v>
      </c>
      <c r="BE104" s="473">
        <f t="shared" si="51"/>
        <v>45279.836805555555</v>
      </c>
      <c r="BF104" s="479">
        <f t="shared" si="52"/>
        <v>15.052083333335759</v>
      </c>
      <c r="BG104" s="473">
        <v>45264.784722222219</v>
      </c>
      <c r="BH104" s="473">
        <v>45265.614583333336</v>
      </c>
      <c r="BI104" s="473">
        <v>45269.131944444445</v>
      </c>
      <c r="BJ104" s="473">
        <v>45271.434027777781</v>
      </c>
      <c r="BK104" s="473">
        <v>45272.434027777781</v>
      </c>
      <c r="BL104" s="473">
        <v>45272.444444444445</v>
      </c>
      <c r="BM104" s="473">
        <v>45272.444444444445</v>
      </c>
      <c r="BN104" s="473">
        <f>BM104+(51/24)</f>
        <v>45274.569444444445</v>
      </c>
      <c r="BO104" s="473">
        <v>45275.229166608799</v>
      </c>
      <c r="BP104" s="473">
        <v>45275.395833275463</v>
      </c>
      <c r="BQ104" s="473">
        <v>45275.392361111109</v>
      </c>
      <c r="BR104" s="473">
        <v>45277.395833333336</v>
      </c>
      <c r="BS104" s="473">
        <v>45277.850694444445</v>
      </c>
      <c r="BT104" s="473">
        <v>45279.201388888891</v>
      </c>
      <c r="BU104" s="473">
        <v>45279.270833333336</v>
      </c>
      <c r="BV104" s="473">
        <v>45279.274305555555</v>
      </c>
      <c r="BW104" s="473">
        <v>45279.836805555555</v>
      </c>
      <c r="BZ104" s="481">
        <f t="shared" si="53"/>
        <v>84.416666666627862</v>
      </c>
      <c r="CA104" s="481">
        <f t="shared" si="54"/>
        <v>24</v>
      </c>
      <c r="CB104" s="481">
        <f t="shared" si="55"/>
        <v>51</v>
      </c>
      <c r="CC104" s="481">
        <f>(BR104-BP104)*24</f>
        <v>48.000001388951205</v>
      </c>
      <c r="CD104" s="482">
        <f t="shared" si="56"/>
        <v>32.416666666686069</v>
      </c>
      <c r="CE104" s="482">
        <f t="shared" si="57"/>
        <v>13.5</v>
      </c>
      <c r="CF104" s="483">
        <f t="shared" si="58"/>
        <v>10.555555613427714</v>
      </c>
      <c r="CG104" s="483">
        <f t="shared" si="59"/>
        <v>15.052083333335759</v>
      </c>
      <c r="CH104" s="484">
        <f t="shared" si="60"/>
        <v>0.7012687466359151</v>
      </c>
    </row>
    <row r="105" spans="1:88" s="475" customFormat="1">
      <c r="A105" s="474">
        <f t="shared" si="49"/>
        <v>45278.729166666664</v>
      </c>
      <c r="B105" s="475" t="s">
        <v>188</v>
      </c>
      <c r="C105" s="475" t="s">
        <v>183</v>
      </c>
      <c r="D105" s="475" t="s">
        <v>189</v>
      </c>
      <c r="E105" s="399" t="s">
        <v>3861</v>
      </c>
      <c r="F105" s="475" t="s">
        <v>3378</v>
      </c>
      <c r="G105" s="473">
        <v>45282.987500000003</v>
      </c>
      <c r="H105" s="473">
        <v>45282.987500000003</v>
      </c>
      <c r="I105" s="475" t="s">
        <v>791</v>
      </c>
      <c r="J105" s="475" t="s">
        <v>192</v>
      </c>
      <c r="K105" s="475" t="s">
        <v>192</v>
      </c>
      <c r="L105" s="475" t="s">
        <v>3873</v>
      </c>
      <c r="M105" s="530"/>
      <c r="N105" s="475" t="s">
        <v>2836</v>
      </c>
      <c r="O105" s="475" t="s">
        <v>3874</v>
      </c>
      <c r="P105" s="399" t="s">
        <v>183</v>
      </c>
      <c r="Q105" s="477">
        <v>5500</v>
      </c>
      <c r="R105" s="477">
        <v>5500</v>
      </c>
      <c r="S105" s="477">
        <v>5204.9930000000004</v>
      </c>
      <c r="T105" s="399"/>
      <c r="U105" s="401"/>
      <c r="V105" s="401"/>
      <c r="W105" s="401"/>
      <c r="Y105" s="401"/>
      <c r="Z105" s="401"/>
      <c r="AA105" s="401"/>
      <c r="AB105" s="401"/>
      <c r="AC105" s="401"/>
      <c r="AD105" s="401"/>
      <c r="AE105" s="399"/>
      <c r="AF105" s="399"/>
      <c r="AG105" s="399"/>
      <c r="AH105" s="399"/>
      <c r="AI105" s="399"/>
      <c r="AJ105" s="399"/>
      <c r="AK105" s="399"/>
      <c r="AL105" s="399"/>
      <c r="AM105" s="399"/>
      <c r="AO105" s="399"/>
      <c r="AP105" s="399"/>
      <c r="AQ105" s="399"/>
      <c r="AR105" s="399"/>
      <c r="AS105" s="399"/>
      <c r="AT105" s="580">
        <f t="shared" si="48"/>
        <v>5204.9930000000004</v>
      </c>
      <c r="AU105" s="399"/>
      <c r="AV105" s="399"/>
      <c r="AW105" s="399"/>
      <c r="AX105" s="399"/>
      <c r="AY105" s="399"/>
      <c r="AZ105" s="399"/>
      <c r="BA105" s="399"/>
      <c r="BB105" s="399"/>
      <c r="BC105" s="399"/>
      <c r="BD105" s="473">
        <f t="shared" si="50"/>
        <v>45278.729166666664</v>
      </c>
      <c r="BE105" s="473">
        <f t="shared" si="51"/>
        <v>45287.111111111109</v>
      </c>
      <c r="BF105" s="479">
        <f t="shared" si="52"/>
        <v>8.3819444444452529</v>
      </c>
      <c r="BG105" s="473">
        <v>45278.729166666664</v>
      </c>
      <c r="BH105" s="473">
        <v>45278.729166666664</v>
      </c>
      <c r="BI105" s="473">
        <v>45278.729166666664</v>
      </c>
      <c r="BJ105" s="473">
        <v>45278.729166666664</v>
      </c>
      <c r="BK105" s="473">
        <v>45279.055555555555</v>
      </c>
      <c r="BL105" s="473">
        <v>45279.229166666664</v>
      </c>
      <c r="BM105" s="473">
        <v>45279.229166666664</v>
      </c>
      <c r="BN105" s="473">
        <v>45279.229166666664</v>
      </c>
      <c r="BO105" s="518" t="s">
        <v>196</v>
      </c>
      <c r="BP105" s="518" t="s">
        <v>196</v>
      </c>
      <c r="BQ105" s="518" t="s">
        <v>196</v>
      </c>
      <c r="BR105" s="473">
        <v>45286.083333333336</v>
      </c>
      <c r="BS105" s="473">
        <v>45286.725694444445</v>
      </c>
      <c r="BT105" s="473">
        <v>45287.086805555555</v>
      </c>
      <c r="BU105" s="473">
        <v>45287.111111111109</v>
      </c>
      <c r="BV105" s="473">
        <v>45287.111111111109</v>
      </c>
      <c r="BW105" s="473">
        <v>45287.111111111109</v>
      </c>
      <c r="BZ105" s="481">
        <f t="shared" si="53"/>
        <v>0</v>
      </c>
      <c r="CA105" s="481">
        <f t="shared" si="54"/>
        <v>7.8333333333721384</v>
      </c>
      <c r="CB105" s="481">
        <f t="shared" si="55"/>
        <v>0</v>
      </c>
      <c r="CC105" s="481">
        <f>(BR105-BN105)*24</f>
        <v>164.50000000011642</v>
      </c>
      <c r="CD105" s="482">
        <f t="shared" si="56"/>
        <v>8.6666666666278616</v>
      </c>
      <c r="CE105" s="482">
        <f t="shared" si="57"/>
        <v>0</v>
      </c>
      <c r="CF105" s="483">
        <f t="shared" si="58"/>
        <v>7.5416666666715173</v>
      </c>
      <c r="CG105" s="483">
        <f t="shared" si="59"/>
        <v>8.3819444444452529</v>
      </c>
      <c r="CH105" s="484">
        <f t="shared" si="60"/>
        <v>0.8997514498762168</v>
      </c>
    </row>
    <row r="106" spans="1:88" s="475" customFormat="1">
      <c r="A106" s="474">
        <f t="shared" si="49"/>
        <v>45280.559027777781</v>
      </c>
      <c r="B106" s="475" t="s">
        <v>188</v>
      </c>
      <c r="C106" s="475" t="s">
        <v>183</v>
      </c>
      <c r="D106" s="475" t="s">
        <v>189</v>
      </c>
      <c r="E106" s="399" t="s">
        <v>3861</v>
      </c>
      <c r="F106" s="475" t="s">
        <v>3378</v>
      </c>
      <c r="G106" s="473">
        <v>45282.987500000003</v>
      </c>
      <c r="H106" s="473">
        <v>45282.987500000003</v>
      </c>
      <c r="I106" s="475" t="s">
        <v>791</v>
      </c>
      <c r="J106" s="475" t="s">
        <v>192</v>
      </c>
      <c r="K106" s="475" t="s">
        <v>192</v>
      </c>
      <c r="L106" s="475" t="s">
        <v>3875</v>
      </c>
      <c r="M106" s="530"/>
      <c r="N106" s="475" t="s">
        <v>3876</v>
      </c>
      <c r="O106" s="475" t="s">
        <v>3865</v>
      </c>
      <c r="P106" s="399" t="s">
        <v>183</v>
      </c>
      <c r="Q106" s="477">
        <v>5500</v>
      </c>
      <c r="R106" s="477">
        <v>5500</v>
      </c>
      <c r="S106" s="477">
        <v>5273.5230000000001</v>
      </c>
      <c r="T106" s="399"/>
      <c r="U106" s="401"/>
      <c r="V106" s="401"/>
      <c r="W106" s="401"/>
      <c r="Y106" s="401"/>
      <c r="Z106" s="401"/>
      <c r="AA106" s="401"/>
      <c r="AB106" s="401"/>
      <c r="AC106" s="401"/>
      <c r="AD106" s="401"/>
      <c r="AE106" s="399"/>
      <c r="AF106" s="399"/>
      <c r="AG106" s="399"/>
      <c r="AH106" s="399"/>
      <c r="AI106" s="399"/>
      <c r="AJ106" s="399"/>
      <c r="AK106" s="399"/>
      <c r="AL106" s="399"/>
      <c r="AM106" s="399"/>
      <c r="AN106" s="580"/>
      <c r="AO106" s="399"/>
      <c r="AP106" s="399"/>
      <c r="AQ106" s="399"/>
      <c r="AR106" s="399"/>
      <c r="AS106" s="399"/>
      <c r="AT106" s="580">
        <f t="shared" si="48"/>
        <v>5273.5230000000001</v>
      </c>
      <c r="AU106" s="399"/>
      <c r="AV106" s="399"/>
      <c r="AW106" s="399"/>
      <c r="AX106" s="399"/>
      <c r="AY106" s="399"/>
      <c r="AZ106" s="399"/>
      <c r="BA106" s="399"/>
      <c r="BB106" s="399"/>
      <c r="BC106" s="399"/>
      <c r="BD106" s="473">
        <f t="shared" si="50"/>
        <v>45280.520833333336</v>
      </c>
      <c r="BE106" s="473">
        <f t="shared" si="51"/>
        <v>45288.756944444445</v>
      </c>
      <c r="BF106" s="479">
        <f t="shared" si="52"/>
        <v>8.2361111111094942</v>
      </c>
      <c r="BG106" s="473">
        <v>45280.520833333336</v>
      </c>
      <c r="BH106" s="473">
        <v>45280.520833333336</v>
      </c>
      <c r="BI106" s="473">
        <v>45280.520833333336</v>
      </c>
      <c r="BJ106" s="473">
        <v>45280.559027777781</v>
      </c>
      <c r="BK106" s="473">
        <v>45281.416666666664</v>
      </c>
      <c r="BL106" s="473">
        <v>45281.479166666664</v>
      </c>
      <c r="BM106" s="473">
        <v>45281.479166666664</v>
      </c>
      <c r="BN106" s="473">
        <v>45281.479166666664</v>
      </c>
      <c r="BO106" s="518" t="s">
        <v>196</v>
      </c>
      <c r="BP106" s="518" t="s">
        <v>196</v>
      </c>
      <c r="BQ106" s="518" t="s">
        <v>196</v>
      </c>
      <c r="BR106" s="473">
        <v>45288.333333333336</v>
      </c>
      <c r="BS106" s="473">
        <v>45288.440972222219</v>
      </c>
      <c r="BT106" s="473">
        <v>45288.736111111109</v>
      </c>
      <c r="BU106" s="473">
        <v>45288.756944444445</v>
      </c>
      <c r="BV106" s="473">
        <v>45288.756944444445</v>
      </c>
      <c r="BW106" s="473">
        <v>45288.756944444445</v>
      </c>
      <c r="BZ106" s="481">
        <f t="shared" si="53"/>
        <v>0</v>
      </c>
      <c r="CA106" s="481">
        <f t="shared" si="54"/>
        <v>20.583333333197515</v>
      </c>
      <c r="CB106" s="481">
        <f t="shared" si="55"/>
        <v>0</v>
      </c>
      <c r="CC106" s="481">
        <f>(BR106-BN106)*24</f>
        <v>164.50000000011642</v>
      </c>
      <c r="CD106" s="482">
        <f t="shared" si="56"/>
        <v>7.0833333333721384</v>
      </c>
      <c r="CE106" s="482">
        <f t="shared" si="57"/>
        <v>0</v>
      </c>
      <c r="CF106" s="483">
        <f t="shared" si="58"/>
        <v>8.0069444444452529</v>
      </c>
      <c r="CG106" s="483">
        <f t="shared" si="59"/>
        <v>8.2361111111094942</v>
      </c>
      <c r="CH106" s="484">
        <f t="shared" si="60"/>
        <v>0.97217537942693322</v>
      </c>
    </row>
    <row r="107" spans="1:88" s="475" customFormat="1">
      <c r="A107" s="474">
        <f t="shared" si="49"/>
        <v>45264.711805555555</v>
      </c>
      <c r="B107" s="475" t="s">
        <v>188</v>
      </c>
      <c r="C107" s="475" t="s">
        <v>184</v>
      </c>
      <c r="D107" s="475" t="s">
        <v>197</v>
      </c>
      <c r="E107" s="399" t="s">
        <v>3397</v>
      </c>
      <c r="F107" s="399" t="s">
        <v>3378</v>
      </c>
      <c r="G107" s="473">
        <v>45273.416666666664</v>
      </c>
      <c r="H107" s="473">
        <v>45273.416666666664</v>
      </c>
      <c r="I107" s="667" t="s">
        <v>818</v>
      </c>
      <c r="J107" s="475" t="s">
        <v>192</v>
      </c>
      <c r="K107" s="475" t="s">
        <v>192</v>
      </c>
      <c r="L107" s="667" t="s">
        <v>3877</v>
      </c>
      <c r="M107" s="529"/>
      <c r="N107" s="475" t="s">
        <v>201</v>
      </c>
      <c r="O107" s="475" t="s">
        <v>202</v>
      </c>
      <c r="P107" s="667" t="s">
        <v>184</v>
      </c>
      <c r="Q107" s="477">
        <f>3141*2.4</f>
        <v>7538.4</v>
      </c>
      <c r="R107" s="477">
        <f>7550+100</f>
        <v>7650</v>
      </c>
      <c r="S107" s="477">
        <v>7526.94</v>
      </c>
      <c r="T107" s="667"/>
      <c r="U107" s="581"/>
      <c r="V107" s="581"/>
      <c r="W107" s="581"/>
      <c r="X107" s="581"/>
      <c r="Y107" s="581"/>
      <c r="Z107" s="581"/>
      <c r="AB107" s="401"/>
      <c r="AC107" s="581"/>
      <c r="AD107" s="581"/>
      <c r="AE107" s="667"/>
      <c r="AF107" s="667"/>
      <c r="AG107" s="667"/>
      <c r="AH107" s="667"/>
      <c r="AI107" s="667"/>
      <c r="AJ107" s="667"/>
      <c r="AK107" s="667"/>
      <c r="AL107" s="667"/>
      <c r="AM107" s="667"/>
      <c r="AN107" s="667"/>
      <c r="AO107" s="581"/>
      <c r="AP107" s="581"/>
      <c r="AQ107" s="581"/>
      <c r="AR107" s="581"/>
      <c r="AS107" s="581"/>
      <c r="AT107" s="581"/>
      <c r="AU107" s="726">
        <f>S107</f>
        <v>7526.94</v>
      </c>
      <c r="AV107" s="581"/>
      <c r="AW107" s="581"/>
      <c r="AX107" s="581"/>
      <c r="AY107" s="581"/>
      <c r="AZ107" s="581"/>
      <c r="BA107" s="581"/>
      <c r="BB107" s="581"/>
      <c r="BC107" s="581"/>
      <c r="BD107" s="473">
        <f t="shared" si="50"/>
        <v>45258.993055555555</v>
      </c>
      <c r="BE107" s="473">
        <f t="shared" si="51"/>
        <v>45275.263888888891</v>
      </c>
      <c r="BF107" s="479">
        <f t="shared" si="52"/>
        <v>16.270833333335759</v>
      </c>
      <c r="BG107" s="473">
        <v>45258.993055555555</v>
      </c>
      <c r="BH107" s="473">
        <v>45259.5625</v>
      </c>
      <c r="BI107" s="473">
        <v>45261.854166666664</v>
      </c>
      <c r="BJ107" s="473">
        <v>45264.711805555555</v>
      </c>
      <c r="BK107" s="473">
        <v>45265.451388888891</v>
      </c>
      <c r="BL107" s="473">
        <v>45265.472222222219</v>
      </c>
      <c r="BM107" s="473">
        <v>45265.472222222219</v>
      </c>
      <c r="BN107" s="473">
        <f>BM107+(51/24)</f>
        <v>45267.597222222219</v>
      </c>
      <c r="BO107" s="480">
        <v>45267.541666608799</v>
      </c>
      <c r="BP107" s="480">
        <v>45267.708333275463</v>
      </c>
      <c r="BQ107" s="480">
        <v>45267.614583333336</v>
      </c>
      <c r="BR107" s="473">
        <v>45269.270833333336</v>
      </c>
      <c r="BS107" s="473">
        <v>45273.583333333336</v>
      </c>
      <c r="BT107" s="473">
        <v>45274.642361111109</v>
      </c>
      <c r="BU107" s="473">
        <v>45274.659722222219</v>
      </c>
      <c r="BV107" s="473">
        <v>45274.774305555555</v>
      </c>
      <c r="BW107" s="473">
        <v>45275.263888888891</v>
      </c>
      <c r="BZ107" s="481">
        <f t="shared" si="53"/>
        <v>54.999999999941792</v>
      </c>
      <c r="CA107" s="481">
        <f t="shared" si="54"/>
        <v>17.750000000058208</v>
      </c>
      <c r="CB107" s="481">
        <f t="shared" si="55"/>
        <v>51</v>
      </c>
      <c r="CC107" s="481">
        <f t="shared" ref="CC107:CC149" si="61">(BR107-BP107)*24</f>
        <v>37.500001388951205</v>
      </c>
      <c r="CD107" s="482">
        <f t="shared" si="56"/>
        <v>25.416666666569654</v>
      </c>
      <c r="CE107" s="482">
        <f t="shared" si="57"/>
        <v>11.750000000058208</v>
      </c>
      <c r="CF107" s="483">
        <f t="shared" si="58"/>
        <v>8.2673611689824611</v>
      </c>
      <c r="CG107" s="483">
        <f t="shared" si="59"/>
        <v>16.270833333335759</v>
      </c>
      <c r="CH107" s="484">
        <f t="shared" si="60"/>
        <v>0.50810926518706656</v>
      </c>
    </row>
    <row r="108" spans="1:88" s="475" customFormat="1">
      <c r="A108" s="474">
        <f t="shared" si="49"/>
        <v>45265.520833333336</v>
      </c>
      <c r="B108" s="475" t="s">
        <v>188</v>
      </c>
      <c r="C108" s="475" t="s">
        <v>184</v>
      </c>
      <c r="D108" s="475" t="s">
        <v>197</v>
      </c>
      <c r="E108" s="399" t="s">
        <v>3397</v>
      </c>
      <c r="F108" s="399" t="s">
        <v>3378</v>
      </c>
      <c r="G108" s="473">
        <v>45273.416666666664</v>
      </c>
      <c r="H108" s="473">
        <v>45273.416666666664</v>
      </c>
      <c r="I108" s="667" t="s">
        <v>818</v>
      </c>
      <c r="J108" s="369" t="s">
        <v>192</v>
      </c>
      <c r="K108" s="369" t="s">
        <v>192</v>
      </c>
      <c r="L108" s="667" t="s">
        <v>3878</v>
      </c>
      <c r="M108" s="529"/>
      <c r="N108" s="475" t="s">
        <v>489</v>
      </c>
      <c r="O108" s="475" t="s">
        <v>483</v>
      </c>
      <c r="P108" s="399" t="s">
        <v>184</v>
      </c>
      <c r="Q108" s="477">
        <f>3107*2.4</f>
        <v>7456.7999999999993</v>
      </c>
      <c r="R108" s="477">
        <f>7500+100</f>
        <v>7600</v>
      </c>
      <c r="S108" s="477">
        <v>7516.6180000000004</v>
      </c>
      <c r="T108" s="667"/>
      <c r="U108" s="581"/>
      <c r="W108" s="581"/>
      <c r="Y108" s="581"/>
      <c r="Z108" s="581"/>
      <c r="AA108" s="581"/>
      <c r="AB108" s="581"/>
      <c r="AC108" s="581"/>
      <c r="AE108" s="581"/>
      <c r="AF108" s="581"/>
      <c r="AG108" s="401"/>
      <c r="AI108" s="401"/>
      <c r="AJ108" s="401"/>
      <c r="AK108" s="401"/>
      <c r="AL108" s="401"/>
      <c r="AM108" s="401"/>
      <c r="AN108" s="401"/>
      <c r="AO108" s="401"/>
      <c r="AP108" s="401"/>
      <c r="AQ108" s="401"/>
      <c r="AR108" s="401"/>
      <c r="AS108" s="401"/>
      <c r="AT108" s="401"/>
      <c r="AU108" s="726">
        <f>S108</f>
        <v>7516.6180000000004</v>
      </c>
      <c r="BD108" s="473">
        <f t="shared" si="50"/>
        <v>45257.336805555555</v>
      </c>
      <c r="BE108" s="473">
        <f t="shared" si="51"/>
        <v>45276.46875</v>
      </c>
      <c r="BF108" s="479">
        <f t="shared" si="52"/>
        <v>19.131944444445253</v>
      </c>
      <c r="BG108" s="473">
        <v>45257.336805555555</v>
      </c>
      <c r="BH108" s="473">
        <v>45259.645833333336</v>
      </c>
      <c r="BI108" s="473">
        <v>45261.875</v>
      </c>
      <c r="BJ108" s="473">
        <v>45265.520833333336</v>
      </c>
      <c r="BK108" s="473">
        <v>45266.409722222219</v>
      </c>
      <c r="BL108" s="473">
        <v>45266.447916666664</v>
      </c>
      <c r="BM108" s="473">
        <v>45266.447916666664</v>
      </c>
      <c r="BN108" s="473">
        <f>BM108+(51/24)</f>
        <v>45268.572916666664</v>
      </c>
      <c r="BO108" s="480">
        <v>45268.541666608799</v>
      </c>
      <c r="BP108" s="480">
        <v>45268.708333275463</v>
      </c>
      <c r="BQ108" s="480">
        <v>45268.572916666664</v>
      </c>
      <c r="BR108" s="473">
        <v>45270.649305555555</v>
      </c>
      <c r="BS108" s="473">
        <v>45273.496527777781</v>
      </c>
      <c r="BT108" s="473">
        <v>45274.232638888891</v>
      </c>
      <c r="BU108" s="473">
        <v>45274.232638888891</v>
      </c>
      <c r="BV108" s="473">
        <v>45276.027777777781</v>
      </c>
      <c r="BW108" s="473">
        <v>45276.46875</v>
      </c>
      <c r="BX108" s="475" t="s">
        <v>3879</v>
      </c>
      <c r="BZ108" s="481">
        <f t="shared" si="53"/>
        <v>53.499999999941792</v>
      </c>
      <c r="CA108" s="481">
        <f t="shared" si="54"/>
        <v>21.333333333197515</v>
      </c>
      <c r="CB108" s="481">
        <f t="shared" si="55"/>
        <v>51</v>
      </c>
      <c r="CC108" s="481">
        <f t="shared" si="61"/>
        <v>46.583334722206928</v>
      </c>
      <c r="CD108" s="482">
        <f t="shared" si="56"/>
        <v>17.666666666627862</v>
      </c>
      <c r="CE108" s="482">
        <f t="shared" si="57"/>
        <v>10.583333333255723</v>
      </c>
      <c r="CF108" s="483">
        <f t="shared" si="58"/>
        <v>8.3611111689679092</v>
      </c>
      <c r="CG108" s="483">
        <f t="shared" si="59"/>
        <v>19.131944444445253</v>
      </c>
      <c r="CH108" s="484">
        <f t="shared" si="60"/>
        <v>0.43702359649050021</v>
      </c>
    </row>
    <row r="109" spans="1:88" s="475" customFormat="1">
      <c r="A109" s="474">
        <f t="shared" si="49"/>
        <v>45261.201388888891</v>
      </c>
      <c r="B109" s="475" t="s">
        <v>228</v>
      </c>
      <c r="C109" s="475" t="s">
        <v>229</v>
      </c>
      <c r="D109" s="475" t="s">
        <v>197</v>
      </c>
      <c r="E109" s="399" t="s">
        <v>3179</v>
      </c>
      <c r="F109" s="667" t="s">
        <v>3378</v>
      </c>
      <c r="G109" s="473">
        <v>45269.791666666664</v>
      </c>
      <c r="H109" s="473">
        <v>45269.805555555555</v>
      </c>
      <c r="I109" s="667" t="s">
        <v>490</v>
      </c>
      <c r="J109" s="475" t="s">
        <v>192</v>
      </c>
      <c r="K109" s="475" t="s">
        <v>192</v>
      </c>
      <c r="L109" s="399" t="s">
        <v>3880</v>
      </c>
      <c r="M109" s="529"/>
      <c r="N109" s="475" t="s">
        <v>1848</v>
      </c>
      <c r="O109" s="475" t="s">
        <v>3786</v>
      </c>
      <c r="P109" s="399" t="s">
        <v>835</v>
      </c>
      <c r="Q109" s="477">
        <f>3084*2.4</f>
        <v>7401.5999999999995</v>
      </c>
      <c r="R109" s="477">
        <f>7450+100</f>
        <v>7550</v>
      </c>
      <c r="S109" s="477">
        <v>7466.1080000000002</v>
      </c>
      <c r="T109" s="477"/>
      <c r="U109" s="581"/>
      <c r="V109" s="726">
        <f>S109</f>
        <v>7466.1080000000002</v>
      </c>
      <c r="W109" s="581"/>
      <c r="X109" s="581"/>
      <c r="Y109" s="581"/>
      <c r="Z109" s="581"/>
      <c r="AA109" s="581"/>
      <c r="AB109" s="581"/>
      <c r="AC109" s="581"/>
      <c r="AD109" s="581"/>
      <c r="AE109" s="581"/>
      <c r="AF109" s="581"/>
      <c r="AG109" s="581"/>
      <c r="AH109" s="581"/>
      <c r="AI109" s="581"/>
      <c r="AJ109" s="581"/>
      <c r="AK109" s="581"/>
      <c r="BD109" s="473">
        <f t="shared" si="50"/>
        <v>45256.784722222219</v>
      </c>
      <c r="BE109" s="473">
        <f t="shared" si="51"/>
        <v>45272.625</v>
      </c>
      <c r="BF109" s="479">
        <f t="shared" si="52"/>
        <v>15.840277777781012</v>
      </c>
      <c r="BG109" s="473">
        <v>45256.784722222219</v>
      </c>
      <c r="BH109" s="473">
        <v>45258.791666666664</v>
      </c>
      <c r="BI109" s="473">
        <v>45260.895833333336</v>
      </c>
      <c r="BJ109" s="473">
        <v>45261.201388888891</v>
      </c>
      <c r="BK109" s="473">
        <v>45262.216666666667</v>
      </c>
      <c r="BL109" s="473">
        <v>45262.246527777781</v>
      </c>
      <c r="BM109" s="473">
        <v>45262.25</v>
      </c>
      <c r="BN109" s="473">
        <f t="shared" ref="BN109:BN141" si="62">BM109+(41/24)</f>
        <v>45263.958333333336</v>
      </c>
      <c r="BO109" s="480">
        <v>45264.291666666664</v>
      </c>
      <c r="BP109" s="480">
        <v>45264.458333333328</v>
      </c>
      <c r="BQ109" s="480">
        <v>45264.340277777781</v>
      </c>
      <c r="BR109" s="473">
        <v>45265.458333333328</v>
      </c>
      <c r="BS109" s="473">
        <v>45271.979166666664</v>
      </c>
      <c r="BT109" s="473">
        <v>45272.1875</v>
      </c>
      <c r="BU109" s="473">
        <v>45272.208333333336</v>
      </c>
      <c r="BV109" s="473">
        <v>45272.222222222219</v>
      </c>
      <c r="BW109" s="473">
        <v>45272.625</v>
      </c>
      <c r="BX109" s="832" t="s">
        <v>3881</v>
      </c>
      <c r="BZ109" s="481">
        <f t="shared" si="53"/>
        <v>50.500000000116415</v>
      </c>
      <c r="CA109" s="481">
        <f t="shared" si="54"/>
        <v>24.366666666639503</v>
      </c>
      <c r="CB109" s="481">
        <f t="shared" si="55"/>
        <v>41.000000000058208</v>
      </c>
      <c r="CC109" s="481">
        <f t="shared" si="61"/>
        <v>24</v>
      </c>
      <c r="CD109" s="482">
        <f t="shared" si="56"/>
        <v>5.0000000000582077</v>
      </c>
      <c r="CE109" s="482">
        <f t="shared" si="57"/>
        <v>9.6666666667442769</v>
      </c>
      <c r="CF109" s="483">
        <f t="shared" si="58"/>
        <v>6.4388888889006921</v>
      </c>
      <c r="CG109" s="483">
        <f t="shared" si="59"/>
        <v>15.840277777781012</v>
      </c>
      <c r="CH109" s="484">
        <f t="shared" si="60"/>
        <v>0.40648838228913214</v>
      </c>
    </row>
    <row r="110" spans="1:88" s="475" customFormat="1">
      <c r="A110" s="474">
        <f t="shared" si="49"/>
        <v>45262.3125</v>
      </c>
      <c r="B110" s="475" t="s">
        <v>228</v>
      </c>
      <c r="C110" s="475" t="s">
        <v>229</v>
      </c>
      <c r="D110" s="475" t="s">
        <v>197</v>
      </c>
      <c r="E110" s="399" t="s">
        <v>3179</v>
      </c>
      <c r="F110" s="667" t="s">
        <v>3378</v>
      </c>
      <c r="G110" s="473">
        <v>45269.791666666664</v>
      </c>
      <c r="H110" s="473">
        <v>45269.805555555555</v>
      </c>
      <c r="I110" s="667" t="s">
        <v>490</v>
      </c>
      <c r="J110" s="475" t="s">
        <v>192</v>
      </c>
      <c r="K110" s="475" t="s">
        <v>192</v>
      </c>
      <c r="L110" s="399" t="s">
        <v>3882</v>
      </c>
      <c r="M110" s="529"/>
      <c r="N110" s="475" t="s">
        <v>2207</v>
      </c>
      <c r="O110" s="475" t="s">
        <v>2208</v>
      </c>
      <c r="P110" s="399" t="s">
        <v>835</v>
      </c>
      <c r="Q110" s="477">
        <f>3031*2.4</f>
        <v>7274.4</v>
      </c>
      <c r="R110" s="477">
        <f>7300+100</f>
        <v>7400</v>
      </c>
      <c r="S110" s="477">
        <v>7330.8029999999999</v>
      </c>
      <c r="T110" s="399"/>
      <c r="U110" s="581"/>
      <c r="V110" s="726">
        <f>S110</f>
        <v>7330.8029999999999</v>
      </c>
      <c r="W110" s="581"/>
      <c r="Y110" s="581"/>
      <c r="Z110" s="581"/>
      <c r="AA110" s="581"/>
      <c r="AB110" s="401"/>
      <c r="AC110" s="581"/>
      <c r="AD110" s="581"/>
      <c r="BD110" s="473">
        <f t="shared" si="50"/>
        <v>45258.104166666664</v>
      </c>
      <c r="BE110" s="473">
        <f t="shared" si="51"/>
        <v>45272.736111111109</v>
      </c>
      <c r="BF110" s="479">
        <f t="shared" si="52"/>
        <v>14.631944444445253</v>
      </c>
      <c r="BG110" s="473">
        <v>45258.104166666664</v>
      </c>
      <c r="BH110" s="473">
        <v>45258.84375</v>
      </c>
      <c r="BI110" s="473">
        <v>45260.979166666664</v>
      </c>
      <c r="BJ110" s="473">
        <v>45262.3125</v>
      </c>
      <c r="BK110" s="473">
        <v>45262.442361111112</v>
      </c>
      <c r="BL110" s="473">
        <v>45262.447916666664</v>
      </c>
      <c r="BM110" s="473">
        <v>45262.447916666664</v>
      </c>
      <c r="BN110" s="473">
        <f t="shared" si="62"/>
        <v>45264.15625</v>
      </c>
      <c r="BO110" s="480">
        <v>45264.291666666664</v>
      </c>
      <c r="BP110" s="480">
        <v>45264.458333333328</v>
      </c>
      <c r="BQ110" s="480">
        <v>45264.378472222219</v>
      </c>
      <c r="BR110" s="473">
        <v>45265.465277777781</v>
      </c>
      <c r="BS110" s="473">
        <v>45272.263888888891</v>
      </c>
      <c r="BT110" s="473">
        <v>45272.486111111109</v>
      </c>
      <c r="BU110" s="473">
        <v>45272.506944444445</v>
      </c>
      <c r="BV110" s="473">
        <v>45272.572916666664</v>
      </c>
      <c r="BW110" s="473">
        <v>45272.736111111109</v>
      </c>
      <c r="BZ110" s="481">
        <f t="shared" si="53"/>
        <v>51.249999999941792</v>
      </c>
      <c r="CA110" s="481">
        <f t="shared" si="54"/>
        <v>3.1166666666977108</v>
      </c>
      <c r="CB110" s="481">
        <f t="shared" si="55"/>
        <v>41.000000000058208</v>
      </c>
      <c r="CC110" s="481">
        <f t="shared" si="61"/>
        <v>24.166666666860692</v>
      </c>
      <c r="CD110" s="482">
        <f t="shared" si="56"/>
        <v>5.3333333332557231</v>
      </c>
      <c r="CE110" s="482">
        <f t="shared" si="57"/>
        <v>3.9166666666860692</v>
      </c>
      <c r="CF110" s="483">
        <f t="shared" si="58"/>
        <v>5.3659722222291748</v>
      </c>
      <c r="CG110" s="483">
        <f t="shared" si="59"/>
        <v>14.631944444445253</v>
      </c>
      <c r="CH110" s="484">
        <f t="shared" si="60"/>
        <v>0.36672994779352563</v>
      </c>
    </row>
    <row r="111" spans="1:88" s="475" customFormat="1">
      <c r="A111" s="474">
        <f t="shared" si="49"/>
        <v>45262.46875</v>
      </c>
      <c r="B111" s="475" t="s">
        <v>228</v>
      </c>
      <c r="C111" s="475" t="s">
        <v>229</v>
      </c>
      <c r="D111" s="475" t="s">
        <v>215</v>
      </c>
      <c r="E111" s="399" t="s">
        <v>3179</v>
      </c>
      <c r="F111" s="667" t="s">
        <v>3378</v>
      </c>
      <c r="G111" s="473">
        <v>45269.791666666664</v>
      </c>
      <c r="H111" s="473">
        <v>45269.805555555555</v>
      </c>
      <c r="I111" s="667" t="s">
        <v>490</v>
      </c>
      <c r="J111" s="475" t="s">
        <v>192</v>
      </c>
      <c r="K111" s="475" t="s">
        <v>192</v>
      </c>
      <c r="L111" s="399" t="s">
        <v>3883</v>
      </c>
      <c r="M111" s="529"/>
      <c r="N111" s="475" t="s">
        <v>343</v>
      </c>
      <c r="O111" s="475" t="s">
        <v>344</v>
      </c>
      <c r="P111" s="475" t="s">
        <v>835</v>
      </c>
      <c r="Q111" s="477">
        <f>3136*2.4</f>
        <v>7526.4</v>
      </c>
      <c r="R111" s="477">
        <f>7550+100</f>
        <v>7650</v>
      </c>
      <c r="S111" s="477">
        <v>7465.48</v>
      </c>
      <c r="T111" s="667"/>
      <c r="U111" s="581"/>
      <c r="V111" s="726">
        <f>S111</f>
        <v>7465.48</v>
      </c>
      <c r="W111" s="581"/>
      <c r="Y111" s="581"/>
      <c r="Z111" s="581"/>
      <c r="AA111" s="581"/>
      <c r="AB111" s="401"/>
      <c r="AC111" s="581"/>
      <c r="AD111" s="581"/>
      <c r="AE111" s="581"/>
      <c r="AF111" s="581"/>
      <c r="AG111" s="581"/>
      <c r="AH111" s="581"/>
      <c r="AI111" s="581"/>
      <c r="AJ111" s="581"/>
      <c r="AK111" s="581"/>
      <c r="AL111" s="667"/>
      <c r="AM111" s="667"/>
      <c r="AN111" s="667"/>
      <c r="AO111" s="667"/>
      <c r="AP111" s="667"/>
      <c r="AQ111" s="667"/>
      <c r="AR111" s="667"/>
      <c r="AS111" s="667"/>
      <c r="AT111" s="667"/>
      <c r="AU111" s="667"/>
      <c r="AV111" s="667"/>
      <c r="AW111" s="667"/>
      <c r="BD111" s="473">
        <f t="shared" si="50"/>
        <v>45258.416666666664</v>
      </c>
      <c r="BE111" s="473">
        <f t="shared" si="51"/>
        <v>45272.375</v>
      </c>
      <c r="BF111" s="479">
        <f t="shared" si="52"/>
        <v>13.958333333335759</v>
      </c>
      <c r="BG111" s="473">
        <v>45258.416666666664</v>
      </c>
      <c r="BH111" s="473">
        <v>45259.597222222219</v>
      </c>
      <c r="BI111" s="473">
        <v>45261.25</v>
      </c>
      <c r="BJ111" s="473">
        <v>45262.46875</v>
      </c>
      <c r="BK111" s="473">
        <v>45262.59375</v>
      </c>
      <c r="BL111" s="473">
        <v>45262.600694444445</v>
      </c>
      <c r="BM111" s="473">
        <v>45262.600694444445</v>
      </c>
      <c r="BN111" s="473">
        <f t="shared" si="62"/>
        <v>45264.309027777781</v>
      </c>
      <c r="BO111" s="480">
        <v>45264.291666666664</v>
      </c>
      <c r="BP111" s="480">
        <v>45264.458333333328</v>
      </c>
      <c r="BQ111" s="480">
        <v>45264.291666666664</v>
      </c>
      <c r="BR111" s="473">
        <v>45265.395833333336</v>
      </c>
      <c r="BS111" s="473">
        <v>45271.708333333336</v>
      </c>
      <c r="BT111" s="473">
        <v>45271.90625</v>
      </c>
      <c r="BU111" s="473">
        <v>45271.9375</v>
      </c>
      <c r="BV111" s="473">
        <v>45272.125</v>
      </c>
      <c r="BW111" s="473">
        <v>45272.375</v>
      </c>
      <c r="BZ111" s="481">
        <f t="shared" si="53"/>
        <v>39.666666666744277</v>
      </c>
      <c r="CA111" s="481">
        <f t="shared" si="54"/>
        <v>3</v>
      </c>
      <c r="CB111" s="481">
        <f t="shared" si="55"/>
        <v>41.000000000058208</v>
      </c>
      <c r="CC111" s="481">
        <f t="shared" si="61"/>
        <v>22.500000000174623</v>
      </c>
      <c r="CD111" s="482">
        <f t="shared" si="56"/>
        <v>4.7499999999417923</v>
      </c>
      <c r="CE111" s="482">
        <f t="shared" si="57"/>
        <v>6</v>
      </c>
      <c r="CF111" s="483">
        <f t="shared" si="58"/>
        <v>4.8715277777882875</v>
      </c>
      <c r="CG111" s="483">
        <f t="shared" si="59"/>
        <v>13.958333333335759</v>
      </c>
      <c r="CH111" s="484">
        <f t="shared" si="60"/>
        <v>0.34900497512507039</v>
      </c>
    </row>
    <row r="112" spans="1:88" s="475" customFormat="1">
      <c r="A112" s="521">
        <f t="shared" si="49"/>
        <v>45262.618055555555</v>
      </c>
      <c r="B112" s="369" t="s">
        <v>228</v>
      </c>
      <c r="C112" s="369" t="s">
        <v>229</v>
      </c>
      <c r="D112" s="369" t="s">
        <v>197</v>
      </c>
      <c r="E112" s="649" t="s">
        <v>3182</v>
      </c>
      <c r="F112" s="661" t="s">
        <v>3378</v>
      </c>
      <c r="G112" s="522">
        <v>45269.229166666664</v>
      </c>
      <c r="H112" s="522">
        <v>45269.25</v>
      </c>
      <c r="I112" s="661" t="s">
        <v>490</v>
      </c>
      <c r="J112" s="369" t="s">
        <v>192</v>
      </c>
      <c r="K112" s="369" t="s">
        <v>192</v>
      </c>
      <c r="L112" s="649" t="s">
        <v>3884</v>
      </c>
      <c r="M112" s="529"/>
      <c r="N112" s="369" t="s">
        <v>377</v>
      </c>
      <c r="O112" s="369" t="s">
        <v>378</v>
      </c>
      <c r="P112" s="649" t="s">
        <v>509</v>
      </c>
      <c r="Q112" s="520">
        <f>3271*2.4</f>
        <v>7850.4</v>
      </c>
      <c r="R112" s="520">
        <f>7900+100</f>
        <v>8000</v>
      </c>
      <c r="S112" s="520">
        <v>7702.7060000000001</v>
      </c>
      <c r="T112" s="520"/>
      <c r="U112" s="760">
        <f>S112*0.7</f>
        <v>5391.8941999999997</v>
      </c>
      <c r="V112" s="760">
        <f>S112*0.3</f>
        <v>2310.8117999999999</v>
      </c>
      <c r="W112" s="904"/>
      <c r="X112" s="369"/>
      <c r="Y112" s="904"/>
      <c r="Z112" s="904"/>
      <c r="AA112" s="904"/>
      <c r="AB112" s="904"/>
      <c r="AC112" s="904"/>
      <c r="AD112" s="904"/>
      <c r="AE112" s="677"/>
      <c r="AF112" s="677"/>
      <c r="AG112" s="677"/>
      <c r="AH112" s="677"/>
      <c r="AI112" s="369"/>
      <c r="AJ112" s="369"/>
      <c r="AK112" s="369"/>
      <c r="AL112" s="369"/>
      <c r="AM112" s="369"/>
      <c r="AN112" s="369"/>
      <c r="AO112" s="369"/>
      <c r="AP112" s="369"/>
      <c r="AQ112" s="369"/>
      <c r="AR112" s="369"/>
      <c r="AS112" s="369"/>
      <c r="AT112" s="369"/>
      <c r="AU112" s="369"/>
      <c r="AV112" s="369"/>
      <c r="AW112" s="369"/>
      <c r="AX112" s="369"/>
      <c r="AY112" s="369"/>
      <c r="AZ112" s="369"/>
      <c r="BA112" s="369"/>
      <c r="BB112" s="369"/>
      <c r="BC112" s="369"/>
      <c r="BD112" s="522">
        <f t="shared" si="50"/>
        <v>45258.802083333336</v>
      </c>
      <c r="BE112" s="522">
        <f t="shared" si="51"/>
        <v>45275.427083333336</v>
      </c>
      <c r="BF112" s="523">
        <f t="shared" si="52"/>
        <v>16.625</v>
      </c>
      <c r="BG112" s="522">
        <v>45258.802083333336</v>
      </c>
      <c r="BH112" s="522">
        <v>45259.59375</v>
      </c>
      <c r="BI112" s="522">
        <v>45261.263888888891</v>
      </c>
      <c r="BJ112" s="522">
        <v>45262.618055555555</v>
      </c>
      <c r="BK112" s="522">
        <v>45262.753472222219</v>
      </c>
      <c r="BL112" s="522">
        <v>45262.760416666664</v>
      </c>
      <c r="BM112" s="522">
        <v>45262.760416666664</v>
      </c>
      <c r="BN112" s="522">
        <f t="shared" si="62"/>
        <v>45264.46875</v>
      </c>
      <c r="BO112" s="522">
        <v>45264.291666666664</v>
      </c>
      <c r="BP112" s="522">
        <v>45264.458333333328</v>
      </c>
      <c r="BQ112" s="522">
        <v>45264.305555555555</v>
      </c>
      <c r="BR112" s="522">
        <v>45265.430555555555</v>
      </c>
      <c r="BS112" s="522">
        <v>45274.75</v>
      </c>
      <c r="BT112" s="522">
        <v>45274.920138888891</v>
      </c>
      <c r="BU112" s="522">
        <v>45274.940972222219</v>
      </c>
      <c r="BV112" s="522">
        <v>45275.166666666664</v>
      </c>
      <c r="BW112" s="522">
        <v>45275.427083333336</v>
      </c>
      <c r="BX112" s="369"/>
      <c r="BY112" s="369"/>
      <c r="BZ112" s="525">
        <f t="shared" si="53"/>
        <v>40.083333333372138</v>
      </c>
      <c r="CA112" s="525">
        <f t="shared" si="54"/>
        <v>3.2499999999417923</v>
      </c>
      <c r="CB112" s="525">
        <f t="shared" si="55"/>
        <v>41.000000000058208</v>
      </c>
      <c r="CC112" s="525">
        <f t="shared" si="61"/>
        <v>23.333333333430346</v>
      </c>
      <c r="CD112" s="526">
        <f t="shared" si="56"/>
        <v>4.0833333333721384</v>
      </c>
      <c r="CE112" s="526">
        <f t="shared" si="57"/>
        <v>6.2500000001164153</v>
      </c>
      <c r="CF112" s="304">
        <f t="shared" si="58"/>
        <v>4.9166666666787933</v>
      </c>
      <c r="CG112" s="304">
        <f t="shared" si="59"/>
        <v>16.625</v>
      </c>
      <c r="CH112" s="305">
        <f t="shared" si="60"/>
        <v>0.29573934837165672</v>
      </c>
      <c r="CI112" s="369"/>
      <c r="CJ112" s="369"/>
    </row>
    <row r="113" spans="1:88" s="475" customFormat="1">
      <c r="A113" s="474">
        <f t="shared" si="49"/>
        <v>45262.805555555555</v>
      </c>
      <c r="B113" s="475" t="s">
        <v>228</v>
      </c>
      <c r="C113" s="475" t="s">
        <v>229</v>
      </c>
      <c r="D113" s="475" t="s">
        <v>215</v>
      </c>
      <c r="E113" s="399" t="s">
        <v>3179</v>
      </c>
      <c r="F113" s="667" t="s">
        <v>3378</v>
      </c>
      <c r="G113" s="473">
        <v>45269.791666666664</v>
      </c>
      <c r="H113" s="473">
        <v>45269.805555555555</v>
      </c>
      <c r="I113" s="667" t="s">
        <v>490</v>
      </c>
      <c r="J113" s="475" t="s">
        <v>192</v>
      </c>
      <c r="K113" s="475" t="s">
        <v>192</v>
      </c>
      <c r="L113" s="399" t="s">
        <v>3885</v>
      </c>
      <c r="M113" s="529"/>
      <c r="N113" s="475" t="s">
        <v>358</v>
      </c>
      <c r="O113" s="475" t="s">
        <v>359</v>
      </c>
      <c r="P113" s="399" t="s">
        <v>835</v>
      </c>
      <c r="Q113" s="477">
        <f>3852*2.4</f>
        <v>9244.7999999999993</v>
      </c>
      <c r="R113" s="477">
        <f>9250+100</f>
        <v>9350</v>
      </c>
      <c r="S113" s="477">
        <v>8501.1319999999996</v>
      </c>
      <c r="T113" s="667"/>
      <c r="U113" s="581"/>
      <c r="V113" s="726">
        <f>S113</f>
        <v>8501.1319999999996</v>
      </c>
      <c r="W113" s="581"/>
      <c r="X113" s="581"/>
      <c r="Y113" s="581"/>
      <c r="Z113" s="581"/>
      <c r="AA113" s="581"/>
      <c r="AB113" s="581"/>
      <c r="AC113" s="581"/>
      <c r="AD113" s="581"/>
      <c r="AE113" s="581"/>
      <c r="AF113" s="575"/>
      <c r="AG113" s="575"/>
      <c r="AH113" s="575"/>
      <c r="AI113" s="575"/>
      <c r="BD113" s="473">
        <f t="shared" si="50"/>
        <v>45258.3125</v>
      </c>
      <c r="BE113" s="473">
        <f t="shared" si="51"/>
        <v>45273.333333333336</v>
      </c>
      <c r="BF113" s="479">
        <f t="shared" si="52"/>
        <v>15.020833333335759</v>
      </c>
      <c r="BG113" s="473">
        <v>45258.3125</v>
      </c>
      <c r="BH113" s="473">
        <v>45259.774305555555</v>
      </c>
      <c r="BI113" s="473">
        <v>45261.645833333336</v>
      </c>
      <c r="BJ113" s="473">
        <v>45262.805555555555</v>
      </c>
      <c r="BK113" s="473">
        <v>45262.993055555555</v>
      </c>
      <c r="BL113" s="473">
        <v>45263</v>
      </c>
      <c r="BM113" s="473">
        <v>45263.25</v>
      </c>
      <c r="BN113" s="473">
        <f t="shared" si="62"/>
        <v>45264.958333333336</v>
      </c>
      <c r="BO113" s="480">
        <v>45265.291666666664</v>
      </c>
      <c r="BP113" s="480">
        <v>45265.458333333328</v>
      </c>
      <c r="BQ113" s="480">
        <v>45265.326388888891</v>
      </c>
      <c r="BR113" s="473">
        <v>45266.708333333336</v>
      </c>
      <c r="BS113" s="473">
        <v>45272.576388888891</v>
      </c>
      <c r="BT113" s="473">
        <v>45272.791666666664</v>
      </c>
      <c r="BU113" s="473">
        <v>45272.822916666664</v>
      </c>
      <c r="BV113" s="473">
        <v>45273.097222222219</v>
      </c>
      <c r="BW113" s="473">
        <v>45273.333333333336</v>
      </c>
      <c r="BZ113" s="481">
        <f t="shared" si="53"/>
        <v>44.916666666744277</v>
      </c>
      <c r="CA113" s="481">
        <f t="shared" si="54"/>
        <v>4.5</v>
      </c>
      <c r="CB113" s="481">
        <f t="shared" si="55"/>
        <v>41.000000000058208</v>
      </c>
      <c r="CC113" s="481">
        <f t="shared" si="61"/>
        <v>30.000000000174623</v>
      </c>
      <c r="CD113" s="482">
        <f t="shared" si="56"/>
        <v>5.1666666665696539</v>
      </c>
      <c r="CE113" s="482">
        <f t="shared" si="57"/>
        <v>5.6666666668024845</v>
      </c>
      <c r="CF113" s="483">
        <f t="shared" si="58"/>
        <v>5.4687500000145519</v>
      </c>
      <c r="CG113" s="483">
        <f t="shared" si="59"/>
        <v>15.020833333335759</v>
      </c>
      <c r="CH113" s="484">
        <f t="shared" si="60"/>
        <v>0.36407766990382262</v>
      </c>
    </row>
    <row r="114" spans="1:88" s="475" customFormat="1">
      <c r="A114" s="474">
        <f t="shared" si="49"/>
        <v>45263.052083333336</v>
      </c>
      <c r="B114" s="475" t="s">
        <v>228</v>
      </c>
      <c r="C114" s="475" t="s">
        <v>229</v>
      </c>
      <c r="D114" s="475" t="s">
        <v>197</v>
      </c>
      <c r="E114" s="399" t="s">
        <v>3179</v>
      </c>
      <c r="F114" s="399" t="s">
        <v>3378</v>
      </c>
      <c r="G114" s="473">
        <v>45269.791666666664</v>
      </c>
      <c r="H114" s="473">
        <v>45269.805555555555</v>
      </c>
      <c r="I114" s="667" t="s">
        <v>490</v>
      </c>
      <c r="J114" s="475" t="s">
        <v>192</v>
      </c>
      <c r="K114" s="475" t="s">
        <v>192</v>
      </c>
      <c r="L114" s="399" t="s">
        <v>3886</v>
      </c>
      <c r="M114" s="529"/>
      <c r="N114" s="475" t="s">
        <v>295</v>
      </c>
      <c r="O114" s="475" t="s">
        <v>296</v>
      </c>
      <c r="P114" s="399" t="s">
        <v>835</v>
      </c>
      <c r="Q114" s="477">
        <f>4118*2.4</f>
        <v>9883.1999999999989</v>
      </c>
      <c r="R114" s="477">
        <f>9900+100</f>
        <v>10000</v>
      </c>
      <c r="S114" s="477">
        <f>9262.045-413.511</f>
        <v>8848.5339999999997</v>
      </c>
      <c r="T114" s="667"/>
      <c r="U114" s="581"/>
      <c r="V114" s="726">
        <f>S114</f>
        <v>8848.5339999999997</v>
      </c>
      <c r="W114" s="581"/>
      <c r="X114" s="581"/>
      <c r="Y114" s="581"/>
      <c r="Z114" s="581"/>
      <c r="AA114" s="581"/>
      <c r="AB114" s="401"/>
      <c r="AC114" s="581"/>
      <c r="AD114" s="581"/>
      <c r="AO114" s="581"/>
      <c r="AP114" s="581"/>
      <c r="AQ114" s="581"/>
      <c r="AR114" s="581"/>
      <c r="AS114" s="581"/>
      <c r="AT114" s="581"/>
      <c r="AU114" s="581"/>
      <c r="AV114" s="581"/>
      <c r="AW114" s="581"/>
      <c r="AX114" s="581"/>
      <c r="AY114" s="581"/>
      <c r="AZ114" s="581"/>
      <c r="BA114" s="581"/>
      <c r="BB114" s="581"/>
      <c r="BC114" s="581"/>
      <c r="BD114" s="473">
        <f t="shared" si="50"/>
        <v>45259.543749999997</v>
      </c>
      <c r="BE114" s="473">
        <f t="shared" si="51"/>
        <v>45273.753472222219</v>
      </c>
      <c r="BF114" s="479">
        <f t="shared" si="52"/>
        <v>14.209722222221899</v>
      </c>
      <c r="BG114" s="473">
        <v>45259.543749999997</v>
      </c>
      <c r="BH114" s="473">
        <v>45259.799305555556</v>
      </c>
      <c r="BI114" s="473">
        <v>45261.923611111109</v>
      </c>
      <c r="BJ114" s="473">
        <v>45263.052083333336</v>
      </c>
      <c r="BK114" s="473">
        <v>45263.21875</v>
      </c>
      <c r="BL114" s="473">
        <v>45263.232638888891</v>
      </c>
      <c r="BM114" s="473">
        <v>45263.354166666664</v>
      </c>
      <c r="BN114" s="473">
        <f t="shared" si="62"/>
        <v>45265.0625</v>
      </c>
      <c r="BO114" s="480">
        <v>45265.291666666664</v>
      </c>
      <c r="BP114" s="480">
        <v>45265.458333333328</v>
      </c>
      <c r="BQ114" s="480">
        <v>45265.430555555555</v>
      </c>
      <c r="BR114" s="473">
        <v>45266.958333333336</v>
      </c>
      <c r="BS114" s="473">
        <v>45272.864583333328</v>
      </c>
      <c r="BT114" s="473">
        <v>45273.274305555555</v>
      </c>
      <c r="BU114" s="473">
        <v>45273.333333333336</v>
      </c>
      <c r="BV114" s="473">
        <v>45273.541666666664</v>
      </c>
      <c r="BW114" s="473">
        <v>45273.753472222219</v>
      </c>
      <c r="BZ114" s="481">
        <f t="shared" si="53"/>
        <v>50.983333333279006</v>
      </c>
      <c r="CA114" s="481">
        <f t="shared" si="54"/>
        <v>3.9999999999417923</v>
      </c>
      <c r="CB114" s="481">
        <f t="shared" si="55"/>
        <v>41.000000000058208</v>
      </c>
      <c r="CC114" s="481">
        <f t="shared" si="61"/>
        <v>36.000000000174623</v>
      </c>
      <c r="CD114" s="482">
        <f t="shared" si="56"/>
        <v>9.8333333334303461</v>
      </c>
      <c r="CE114" s="482">
        <f t="shared" si="57"/>
        <v>5.0833333333139308</v>
      </c>
      <c r="CF114" s="483">
        <f t="shared" si="58"/>
        <v>6.1208333333415794</v>
      </c>
      <c r="CG114" s="483">
        <f t="shared" si="59"/>
        <v>14.209722222221899</v>
      </c>
      <c r="CH114" s="484">
        <f t="shared" si="60"/>
        <v>0.43074968233858252</v>
      </c>
    </row>
    <row r="115" spans="1:88" s="475" customFormat="1">
      <c r="A115" s="474">
        <f t="shared" si="49"/>
        <v>45265.121527777781</v>
      </c>
      <c r="B115" s="475" t="s">
        <v>228</v>
      </c>
      <c r="C115" s="475" t="s">
        <v>229</v>
      </c>
      <c r="D115" s="475" t="s">
        <v>197</v>
      </c>
      <c r="E115" s="399" t="s">
        <v>3887</v>
      </c>
      <c r="F115" s="399" t="s">
        <v>3378</v>
      </c>
      <c r="G115" s="473">
        <v>45268.3125</v>
      </c>
      <c r="H115" s="473">
        <v>45268.3125</v>
      </c>
      <c r="I115" s="399" t="s">
        <v>3888</v>
      </c>
      <c r="J115" s="475" t="s">
        <v>192</v>
      </c>
      <c r="K115" s="475" t="s">
        <v>192</v>
      </c>
      <c r="L115" s="399" t="s">
        <v>3889</v>
      </c>
      <c r="M115" s="529"/>
      <c r="N115" s="475" t="s">
        <v>70</v>
      </c>
      <c r="O115" s="475" t="s">
        <v>1982</v>
      </c>
      <c r="P115" s="399" t="s">
        <v>835</v>
      </c>
      <c r="Q115" s="477">
        <f>3142*2.4</f>
        <v>7540.7999999999993</v>
      </c>
      <c r="R115" s="477">
        <f>7550+100</f>
        <v>7650</v>
      </c>
      <c r="S115" s="477">
        <v>7596.7870000000003</v>
      </c>
      <c r="T115" s="667"/>
      <c r="U115" s="581"/>
      <c r="V115" s="580">
        <f>S115</f>
        <v>7596.7870000000003</v>
      </c>
      <c r="W115" s="581"/>
      <c r="Z115" s="581"/>
      <c r="AA115" s="581"/>
      <c r="AB115" s="581"/>
      <c r="AC115" s="581"/>
      <c r="AD115" s="581"/>
      <c r="AE115" s="667"/>
      <c r="AF115" s="667"/>
      <c r="AG115" s="667"/>
      <c r="AH115" s="667"/>
      <c r="AI115" s="667"/>
      <c r="AJ115" s="667"/>
      <c r="AK115" s="667"/>
      <c r="AL115" s="667"/>
      <c r="AM115" s="667"/>
      <c r="AN115" s="667"/>
      <c r="AO115" s="667"/>
      <c r="AP115" s="667"/>
      <c r="AQ115" s="667"/>
      <c r="AR115" s="667"/>
      <c r="AS115" s="667"/>
      <c r="AT115" s="667"/>
      <c r="AU115" s="667"/>
      <c r="AV115" s="667"/>
      <c r="AW115" s="667"/>
      <c r="BD115" s="473">
        <f t="shared" si="50"/>
        <v>45257.833333333336</v>
      </c>
      <c r="BE115" s="473">
        <f t="shared" si="51"/>
        <v>45270.564583333333</v>
      </c>
      <c r="BF115" s="479">
        <f t="shared" si="52"/>
        <v>12.73124999999709</v>
      </c>
      <c r="BG115" s="473">
        <v>45257.833333333336</v>
      </c>
      <c r="BH115" s="473">
        <v>45259.534722222219</v>
      </c>
      <c r="BI115" s="473">
        <v>45261.090277777781</v>
      </c>
      <c r="BJ115" s="473">
        <v>45265.121527777781</v>
      </c>
      <c r="BK115" s="473">
        <v>45265.253472222219</v>
      </c>
      <c r="BL115" s="473">
        <v>45265.256944444445</v>
      </c>
      <c r="BM115" s="473">
        <v>45265.260416666664</v>
      </c>
      <c r="BN115" s="473">
        <f t="shared" si="62"/>
        <v>45266.96875</v>
      </c>
      <c r="BO115" s="480">
        <v>45266.541666666664</v>
      </c>
      <c r="BP115" s="480">
        <v>45266.708333333336</v>
      </c>
      <c r="BQ115" s="480">
        <v>45266.690972222219</v>
      </c>
      <c r="BR115" s="473">
        <v>45269.378472222219</v>
      </c>
      <c r="BS115" s="473">
        <v>45269.899305555555</v>
      </c>
      <c r="BT115" s="473">
        <v>45270.194444444445</v>
      </c>
      <c r="BU115" s="473">
        <v>45270.208333333336</v>
      </c>
      <c r="BV115" s="473">
        <v>45270.211805555555</v>
      </c>
      <c r="BW115" s="473">
        <v>45270.564583333333</v>
      </c>
      <c r="BX115" s="475" t="s">
        <v>3890</v>
      </c>
      <c r="BZ115" s="481">
        <f t="shared" si="53"/>
        <v>37.333333333488554</v>
      </c>
      <c r="CA115" s="481">
        <f t="shared" si="54"/>
        <v>3.1666666665114462</v>
      </c>
      <c r="CB115" s="481">
        <f t="shared" si="55"/>
        <v>41.000000000058208</v>
      </c>
      <c r="CC115" s="481">
        <f t="shared" si="61"/>
        <v>64.083333333197515</v>
      </c>
      <c r="CD115" s="482">
        <f t="shared" si="56"/>
        <v>7.0833333333721384</v>
      </c>
      <c r="CE115" s="482">
        <f t="shared" si="57"/>
        <v>8.4666666666744277</v>
      </c>
      <c r="CF115" s="483">
        <f t="shared" si="58"/>
        <v>6.7138888888875954</v>
      </c>
      <c r="CG115" s="483">
        <f t="shared" si="59"/>
        <v>12.73124999999709</v>
      </c>
      <c r="CH115" s="484">
        <f t="shared" si="60"/>
        <v>0.52735504281897927</v>
      </c>
    </row>
    <row r="116" spans="1:88" s="475" customFormat="1">
      <c r="A116" s="474">
        <f t="shared" si="49"/>
        <v>45265.527777777781</v>
      </c>
      <c r="B116" s="475" t="s">
        <v>228</v>
      </c>
      <c r="C116" s="475" t="s">
        <v>229</v>
      </c>
      <c r="D116" s="475" t="s">
        <v>197</v>
      </c>
      <c r="E116" s="476" t="s">
        <v>3182</v>
      </c>
      <c r="F116" s="399" t="s">
        <v>3378</v>
      </c>
      <c r="G116" s="473">
        <v>45269.229166666664</v>
      </c>
      <c r="H116" s="473">
        <v>45269.25</v>
      </c>
      <c r="I116" s="667" t="s">
        <v>490</v>
      </c>
      <c r="J116" s="475" t="s">
        <v>192</v>
      </c>
      <c r="K116" s="475" t="s">
        <v>192</v>
      </c>
      <c r="L116" s="399" t="s">
        <v>3891</v>
      </c>
      <c r="M116" s="529"/>
      <c r="N116" s="475" t="s">
        <v>339</v>
      </c>
      <c r="O116" s="475" t="s">
        <v>506</v>
      </c>
      <c r="P116" s="399" t="s">
        <v>509</v>
      </c>
      <c r="Q116" s="477">
        <f>3071*2.4</f>
        <v>7370.4</v>
      </c>
      <c r="R116" s="477">
        <f>7400+100</f>
        <v>7500</v>
      </c>
      <c r="S116" s="477">
        <v>7257.7659999999996</v>
      </c>
      <c r="T116" s="667"/>
      <c r="U116" s="726">
        <f t="shared" ref="U116:U123" si="63">S116*0.7</f>
        <v>5080.4361999999992</v>
      </c>
      <c r="V116" s="726">
        <f t="shared" ref="V116:V123" si="64">S116*0.3</f>
        <v>2177.3298</v>
      </c>
      <c r="W116" s="581"/>
      <c r="X116" s="581"/>
      <c r="Y116" s="581"/>
      <c r="Z116" s="581"/>
      <c r="AA116" s="581"/>
      <c r="AB116" s="581"/>
      <c r="AC116" s="581"/>
      <c r="AD116" s="581"/>
      <c r="AE116" s="667"/>
      <c r="AF116" s="667"/>
      <c r="AG116" s="667"/>
      <c r="AH116" s="667"/>
      <c r="AI116" s="667"/>
      <c r="AJ116" s="667"/>
      <c r="AK116" s="667"/>
      <c r="AL116" s="667"/>
      <c r="AM116" s="667"/>
      <c r="AN116" s="667"/>
      <c r="AO116" s="667"/>
      <c r="AP116" s="667"/>
      <c r="AQ116" s="667"/>
      <c r="AR116" s="667"/>
      <c r="AS116" s="667"/>
      <c r="AT116" s="667"/>
      <c r="AU116" s="667"/>
      <c r="AV116" s="667"/>
      <c r="AW116" s="667"/>
      <c r="AX116" s="667"/>
      <c r="AY116" s="667"/>
      <c r="AZ116" s="667"/>
      <c r="BA116" s="667"/>
      <c r="BB116" s="667"/>
      <c r="BC116" s="667"/>
      <c r="BD116" s="473">
        <f t="shared" si="50"/>
        <v>45261.916666666664</v>
      </c>
      <c r="BE116" s="473">
        <f t="shared" si="51"/>
        <v>45274.413888888892</v>
      </c>
      <c r="BF116" s="479">
        <f t="shared" si="52"/>
        <v>12.49722222222772</v>
      </c>
      <c r="BG116" s="473">
        <v>45261.916666666664</v>
      </c>
      <c r="BH116" s="473">
        <v>45262.767361111109</v>
      </c>
      <c r="BI116" s="473">
        <v>45264.833333333336</v>
      </c>
      <c r="BJ116" s="473">
        <v>45265.527777777781</v>
      </c>
      <c r="BK116" s="473">
        <v>45265.670138888891</v>
      </c>
      <c r="BL116" s="473">
        <v>45265.673611111109</v>
      </c>
      <c r="BM116" s="473">
        <v>45265.677083333336</v>
      </c>
      <c r="BN116" s="473">
        <f t="shared" si="62"/>
        <v>45267.385416666672</v>
      </c>
      <c r="BO116" s="480">
        <v>45267.541666608799</v>
      </c>
      <c r="BP116" s="480">
        <v>45267.708333275463</v>
      </c>
      <c r="BQ116" s="480">
        <v>45267.631944444445</v>
      </c>
      <c r="BR116" s="473">
        <v>45268.6875</v>
      </c>
      <c r="BS116" s="473">
        <v>45273.677083333336</v>
      </c>
      <c r="BT116" s="473">
        <v>45273.916666666664</v>
      </c>
      <c r="BU116" s="473">
        <v>45273.9375</v>
      </c>
      <c r="BV116" s="473">
        <v>45274.163194444445</v>
      </c>
      <c r="BW116" s="473">
        <v>45274.413888888892</v>
      </c>
      <c r="BZ116" s="481">
        <f t="shared" si="53"/>
        <v>49.583333333430346</v>
      </c>
      <c r="CA116" s="481">
        <f t="shared" si="54"/>
        <v>3.4166666666278616</v>
      </c>
      <c r="CB116" s="481">
        <f t="shared" si="55"/>
        <v>41.000000000058208</v>
      </c>
      <c r="CC116" s="481">
        <f t="shared" si="61"/>
        <v>23.500001388892997</v>
      </c>
      <c r="CD116" s="482">
        <f t="shared" si="56"/>
        <v>5.7499999998835847</v>
      </c>
      <c r="CE116" s="482">
        <f t="shared" si="57"/>
        <v>6.0166666667209938</v>
      </c>
      <c r="CF116" s="483">
        <f t="shared" si="58"/>
        <v>5.3861111689839163</v>
      </c>
      <c r="CG116" s="483">
        <f t="shared" si="59"/>
        <v>12.49722222222772</v>
      </c>
      <c r="CH116" s="484">
        <f t="shared" si="60"/>
        <v>0.43098466788916578</v>
      </c>
    </row>
    <row r="117" spans="1:88" s="475" customFormat="1">
      <c r="A117" s="474">
        <f t="shared" si="49"/>
        <v>45265.701388888891</v>
      </c>
      <c r="B117" s="475" t="s">
        <v>228</v>
      </c>
      <c r="C117" s="475" t="s">
        <v>229</v>
      </c>
      <c r="D117" s="475" t="s">
        <v>197</v>
      </c>
      <c r="E117" s="476" t="s">
        <v>3182</v>
      </c>
      <c r="F117" s="399" t="s">
        <v>3378</v>
      </c>
      <c r="G117" s="473">
        <v>45269.229166666664</v>
      </c>
      <c r="H117" s="473">
        <v>45269.25</v>
      </c>
      <c r="I117" s="667" t="s">
        <v>490</v>
      </c>
      <c r="J117" s="475" t="s">
        <v>192</v>
      </c>
      <c r="K117" s="475" t="s">
        <v>192</v>
      </c>
      <c r="L117" s="399" t="s">
        <v>3892</v>
      </c>
      <c r="M117" s="529"/>
      <c r="N117" s="475" t="s">
        <v>3893</v>
      </c>
      <c r="O117" s="475" t="s">
        <v>347</v>
      </c>
      <c r="P117" s="475" t="s">
        <v>509</v>
      </c>
      <c r="Q117" s="477">
        <f>3136*2.4</f>
        <v>7526.4</v>
      </c>
      <c r="R117" s="477">
        <f>7550+100</f>
        <v>7650</v>
      </c>
      <c r="S117" s="477">
        <v>7595.451</v>
      </c>
      <c r="T117" s="667"/>
      <c r="U117" s="726">
        <f t="shared" si="63"/>
        <v>5316.8157000000001</v>
      </c>
      <c r="V117" s="726">
        <f t="shared" si="64"/>
        <v>2278.6352999999999</v>
      </c>
      <c r="W117" s="581"/>
      <c r="X117" s="581"/>
      <c r="Y117" s="581"/>
      <c r="Z117" s="581"/>
      <c r="AA117" s="581"/>
      <c r="AB117" s="401"/>
      <c r="AC117" s="581"/>
      <c r="AD117" s="581"/>
      <c r="AO117" s="581"/>
      <c r="AP117" s="581"/>
      <c r="AQ117" s="581"/>
      <c r="AR117" s="581"/>
      <c r="AS117" s="581"/>
      <c r="AT117" s="581"/>
      <c r="AU117" s="581"/>
      <c r="AV117" s="581"/>
      <c r="AW117" s="581"/>
      <c r="AX117" s="581"/>
      <c r="AY117" s="581"/>
      <c r="AZ117" s="581"/>
      <c r="BA117" s="581"/>
      <c r="BB117" s="581"/>
      <c r="BC117" s="581"/>
      <c r="BD117" s="473">
        <f t="shared" si="50"/>
        <v>45259.495138888888</v>
      </c>
      <c r="BE117" s="473">
        <f t="shared" si="51"/>
        <v>45274.770833333336</v>
      </c>
      <c r="BF117" s="479">
        <f t="shared" si="52"/>
        <v>15.275694444448163</v>
      </c>
      <c r="BG117" s="473">
        <v>45259.495138888888</v>
      </c>
      <c r="BH117" s="473">
        <v>45262.5625</v>
      </c>
      <c r="BI117" s="473">
        <v>45264.875</v>
      </c>
      <c r="BJ117" s="473">
        <v>45265.701388888891</v>
      </c>
      <c r="BK117" s="473">
        <v>45265.888888888891</v>
      </c>
      <c r="BL117" s="473">
        <v>45265.892361111109</v>
      </c>
      <c r="BM117" s="473">
        <v>45265.899305555555</v>
      </c>
      <c r="BN117" s="473">
        <f t="shared" si="62"/>
        <v>45267.607638888891</v>
      </c>
      <c r="BO117" s="480">
        <v>45267.541666608799</v>
      </c>
      <c r="BP117" s="480">
        <v>45267.708333275463</v>
      </c>
      <c r="BQ117" s="480">
        <v>45267.621527777781</v>
      </c>
      <c r="BR117" s="473">
        <v>45269.291666666664</v>
      </c>
      <c r="BS117" s="473">
        <v>45273.979166666664</v>
      </c>
      <c r="BT117" s="473">
        <v>45274.166666666664</v>
      </c>
      <c r="BU117" s="473">
        <v>45274.1875</v>
      </c>
      <c r="BV117" s="473">
        <v>45274.208333333336</v>
      </c>
      <c r="BW117" s="473">
        <v>45274.770833333336</v>
      </c>
      <c r="BX117" s="475" t="s">
        <v>3894</v>
      </c>
      <c r="BZ117" s="481">
        <f t="shared" si="53"/>
        <v>55.5</v>
      </c>
      <c r="CA117" s="481">
        <f t="shared" si="54"/>
        <v>4.5</v>
      </c>
      <c r="CB117" s="481">
        <f t="shared" si="55"/>
        <v>41.000000000058208</v>
      </c>
      <c r="CC117" s="481">
        <f t="shared" si="61"/>
        <v>38.000001388834789</v>
      </c>
      <c r="CD117" s="482">
        <f t="shared" si="56"/>
        <v>4.5</v>
      </c>
      <c r="CE117" s="482">
        <f t="shared" si="57"/>
        <v>13.5</v>
      </c>
      <c r="CF117" s="483">
        <f t="shared" si="58"/>
        <v>6.5416667245372082</v>
      </c>
      <c r="CG117" s="483">
        <f t="shared" si="59"/>
        <v>15.275694444448163</v>
      </c>
      <c r="CH117" s="484">
        <f t="shared" si="60"/>
        <v>0.42824021836301707</v>
      </c>
    </row>
    <row r="118" spans="1:88" s="475" customFormat="1">
      <c r="A118" s="521">
        <f t="shared" si="49"/>
        <v>45266.663194444445</v>
      </c>
      <c r="B118" s="369" t="s">
        <v>228</v>
      </c>
      <c r="C118" s="369" t="s">
        <v>229</v>
      </c>
      <c r="D118" s="369" t="s">
        <v>215</v>
      </c>
      <c r="E118" s="271" t="s">
        <v>3182</v>
      </c>
      <c r="F118" s="649" t="s">
        <v>3378</v>
      </c>
      <c r="G118" s="522">
        <v>45269.229166666664</v>
      </c>
      <c r="H118" s="522">
        <v>45269.25</v>
      </c>
      <c r="I118" s="661" t="s">
        <v>490</v>
      </c>
      <c r="J118" s="369" t="s">
        <v>192</v>
      </c>
      <c r="K118" s="369" t="s">
        <v>192</v>
      </c>
      <c r="L118" s="649" t="s">
        <v>3895</v>
      </c>
      <c r="M118" s="529"/>
      <c r="N118" s="369" t="s">
        <v>252</v>
      </c>
      <c r="O118" s="369" t="s">
        <v>253</v>
      </c>
      <c r="P118" s="369" t="s">
        <v>509</v>
      </c>
      <c r="Q118" s="520">
        <f>3107*2.4</f>
        <v>7456.7999999999993</v>
      </c>
      <c r="R118" s="520">
        <f>7500+100</f>
        <v>7600</v>
      </c>
      <c r="S118" s="520">
        <v>7502.6120000000001</v>
      </c>
      <c r="T118" s="661"/>
      <c r="U118" s="760">
        <f t="shared" si="63"/>
        <v>5251.8283999999994</v>
      </c>
      <c r="V118" s="760">
        <f t="shared" si="64"/>
        <v>2250.7835999999998</v>
      </c>
      <c r="W118" s="904"/>
      <c r="X118" s="904"/>
      <c r="Y118" s="904"/>
      <c r="Z118" s="904"/>
      <c r="AA118" s="904"/>
      <c r="AB118" s="650"/>
      <c r="AC118" s="650"/>
      <c r="AD118" s="650"/>
      <c r="AE118" s="650"/>
      <c r="AF118" s="650"/>
      <c r="AG118" s="650"/>
      <c r="AH118" s="650"/>
      <c r="AI118" s="650"/>
      <c r="AJ118" s="650"/>
      <c r="AK118" s="650"/>
      <c r="AL118" s="650"/>
      <c r="AM118" s="650"/>
      <c r="AN118" s="650"/>
      <c r="AO118" s="650"/>
      <c r="AP118" s="650"/>
      <c r="AQ118" s="650"/>
      <c r="AR118" s="650"/>
      <c r="AS118" s="650"/>
      <c r="AT118" s="650"/>
      <c r="AU118" s="650"/>
      <c r="AV118" s="650"/>
      <c r="AW118" s="650"/>
      <c r="AX118" s="650"/>
      <c r="AY118" s="650"/>
      <c r="AZ118" s="650"/>
      <c r="BA118" s="650"/>
      <c r="BB118" s="650"/>
      <c r="BC118" s="650"/>
      <c r="BD118" s="522">
        <f t="shared" si="50"/>
        <v>45262.871527777781</v>
      </c>
      <c r="BE118" s="522">
        <f t="shared" si="51"/>
        <v>45274.798611111109</v>
      </c>
      <c r="BF118" s="523">
        <f t="shared" si="52"/>
        <v>11.927083333328483</v>
      </c>
      <c r="BG118" s="522">
        <v>45262.871527777781</v>
      </c>
      <c r="BH118" s="522">
        <v>45263.559027777781</v>
      </c>
      <c r="BI118" s="522">
        <v>45265.208333333336</v>
      </c>
      <c r="BJ118" s="522">
        <v>45266.663194444445</v>
      </c>
      <c r="BK118" s="522">
        <v>45266.833333333336</v>
      </c>
      <c r="BL118" s="522">
        <v>45266.84375</v>
      </c>
      <c r="BM118" s="522">
        <v>45266.84375</v>
      </c>
      <c r="BN118" s="522">
        <f t="shared" si="62"/>
        <v>45268.552083333336</v>
      </c>
      <c r="BO118" s="522">
        <v>45268.541666608799</v>
      </c>
      <c r="BP118" s="522">
        <v>45268.708333275463</v>
      </c>
      <c r="BQ118" s="522">
        <v>45268.579861111109</v>
      </c>
      <c r="BR118" s="522">
        <v>45269.659722222219</v>
      </c>
      <c r="BS118" s="522">
        <v>45274.229166666664</v>
      </c>
      <c r="BT118" s="522">
        <v>45274.4375</v>
      </c>
      <c r="BU118" s="522">
        <v>45274.458333333336</v>
      </c>
      <c r="BV118" s="522">
        <v>45274.642361111109</v>
      </c>
      <c r="BW118" s="522">
        <v>45274.798611111109</v>
      </c>
      <c r="BX118" s="369"/>
      <c r="BY118" s="369"/>
      <c r="BZ118" s="525">
        <f t="shared" si="53"/>
        <v>39.583333333313931</v>
      </c>
      <c r="CA118" s="525">
        <f t="shared" si="54"/>
        <v>4.0833333333721384</v>
      </c>
      <c r="CB118" s="525">
        <f t="shared" si="55"/>
        <v>41.000000000058208</v>
      </c>
      <c r="CC118" s="525">
        <f t="shared" si="61"/>
        <v>22.83333472214872</v>
      </c>
      <c r="CD118" s="526">
        <f t="shared" si="56"/>
        <v>5.0000000000582077</v>
      </c>
      <c r="CE118" s="526">
        <f t="shared" si="57"/>
        <v>3.75</v>
      </c>
      <c r="CF118" s="304">
        <f t="shared" si="58"/>
        <v>4.8437500578729669</v>
      </c>
      <c r="CG118" s="304">
        <f t="shared" si="59"/>
        <v>11.927083333328483</v>
      </c>
      <c r="CH118" s="305">
        <f t="shared" si="60"/>
        <v>0.40611354197030036</v>
      </c>
      <c r="CI118" s="369"/>
      <c r="CJ118" s="369"/>
    </row>
    <row r="119" spans="1:88" s="475" customFormat="1">
      <c r="A119" s="474">
        <f t="shared" si="49"/>
        <v>45267.029861111114</v>
      </c>
      <c r="B119" s="475" t="s">
        <v>228</v>
      </c>
      <c r="C119" s="475" t="s">
        <v>229</v>
      </c>
      <c r="D119" s="475" t="s">
        <v>197</v>
      </c>
      <c r="E119" s="476" t="s">
        <v>3182</v>
      </c>
      <c r="F119" s="399" t="s">
        <v>3378</v>
      </c>
      <c r="G119" s="473">
        <v>45269.229166666664</v>
      </c>
      <c r="H119" s="473">
        <v>45269.25</v>
      </c>
      <c r="I119" s="667" t="s">
        <v>490</v>
      </c>
      <c r="J119" s="475" t="s">
        <v>192</v>
      </c>
      <c r="K119" s="475" t="s">
        <v>192</v>
      </c>
      <c r="L119" s="399" t="s">
        <v>3896</v>
      </c>
      <c r="M119" s="529"/>
      <c r="N119" s="475" t="s">
        <v>257</v>
      </c>
      <c r="O119" s="475" t="s">
        <v>258</v>
      </c>
      <c r="P119" s="475" t="s">
        <v>509</v>
      </c>
      <c r="Q119" s="477">
        <f>3139*2.4</f>
        <v>7533.5999999999995</v>
      </c>
      <c r="R119" s="477">
        <f>7550+100</f>
        <v>7650</v>
      </c>
      <c r="S119" s="477">
        <v>7567.4620000000004</v>
      </c>
      <c r="T119" s="667"/>
      <c r="U119" s="726">
        <f t="shared" si="63"/>
        <v>5297.2233999999999</v>
      </c>
      <c r="V119" s="726">
        <f t="shared" si="64"/>
        <v>2270.2386000000001</v>
      </c>
      <c r="W119" s="581"/>
      <c r="X119" s="581"/>
      <c r="Y119" s="581"/>
      <c r="Z119" s="581"/>
      <c r="AA119" s="581"/>
      <c r="AB119" s="401"/>
      <c r="AC119" s="581"/>
      <c r="AD119" s="581"/>
      <c r="AG119" s="575"/>
      <c r="AH119" s="575"/>
      <c r="AI119" s="575"/>
      <c r="BD119" s="473">
        <f t="shared" si="50"/>
        <v>45262.458333333336</v>
      </c>
      <c r="BE119" s="473">
        <f t="shared" si="51"/>
        <v>45275.041666666664</v>
      </c>
      <c r="BF119" s="479">
        <f t="shared" si="52"/>
        <v>12.583333333328483</v>
      </c>
      <c r="BG119" s="473">
        <v>45262.458333333336</v>
      </c>
      <c r="BH119" s="473">
        <v>45263.5625</v>
      </c>
      <c r="BI119" s="473">
        <v>45265.524305555555</v>
      </c>
      <c r="BJ119" s="473">
        <v>45267.029861111114</v>
      </c>
      <c r="BK119" s="473">
        <v>45267.152777777781</v>
      </c>
      <c r="BL119" s="473">
        <v>45267.159722222219</v>
      </c>
      <c r="BM119" s="473">
        <v>45267.170138888891</v>
      </c>
      <c r="BN119" s="473">
        <f t="shared" si="62"/>
        <v>45268.878472222226</v>
      </c>
      <c r="BO119" s="473">
        <v>45268.541666608799</v>
      </c>
      <c r="BP119" s="473">
        <v>45268.708333275463</v>
      </c>
      <c r="BQ119" s="473">
        <v>45268.690972222219</v>
      </c>
      <c r="BR119" s="473">
        <v>45269.881944444445</v>
      </c>
      <c r="BS119" s="473">
        <v>45274.5</v>
      </c>
      <c r="BT119" s="473">
        <v>45274.6875</v>
      </c>
      <c r="BU119" s="473">
        <v>45274.708333333336</v>
      </c>
      <c r="BV119" s="473">
        <v>45274.708333333336</v>
      </c>
      <c r="BW119" s="473">
        <v>45275.041666666664</v>
      </c>
      <c r="BZ119" s="481">
        <f t="shared" si="53"/>
        <v>47.083333333313931</v>
      </c>
      <c r="CA119" s="481">
        <f t="shared" si="54"/>
        <v>2.9500000000116415</v>
      </c>
      <c r="CB119" s="481">
        <f t="shared" si="55"/>
        <v>41.000000000058208</v>
      </c>
      <c r="CC119" s="481">
        <f t="shared" si="61"/>
        <v>28.166668055579066</v>
      </c>
      <c r="CD119" s="482">
        <f t="shared" si="56"/>
        <v>4.5</v>
      </c>
      <c r="CE119" s="482">
        <f t="shared" si="57"/>
        <v>7.9999999998835847</v>
      </c>
      <c r="CF119" s="483">
        <f t="shared" si="58"/>
        <v>5.4875000578686013</v>
      </c>
      <c r="CG119" s="483">
        <f t="shared" si="59"/>
        <v>12.583333333328483</v>
      </c>
      <c r="CH119" s="484">
        <f t="shared" si="60"/>
        <v>0.4360927198307854</v>
      </c>
    </row>
    <row r="120" spans="1:88" s="475" customFormat="1">
      <c r="A120" s="521">
        <f t="shared" si="49"/>
        <v>45267.202777777777</v>
      </c>
      <c r="B120" s="369" t="s">
        <v>228</v>
      </c>
      <c r="C120" s="369" t="s">
        <v>229</v>
      </c>
      <c r="D120" s="369" t="s">
        <v>197</v>
      </c>
      <c r="E120" s="271" t="s">
        <v>3186</v>
      </c>
      <c r="F120" s="649" t="s">
        <v>3378</v>
      </c>
      <c r="G120" s="522">
        <v>45274.708333333336</v>
      </c>
      <c r="H120" s="522">
        <v>45274.670138888891</v>
      </c>
      <c r="I120" s="369" t="s">
        <v>490</v>
      </c>
      <c r="J120" s="369" t="s">
        <v>192</v>
      </c>
      <c r="K120" s="369" t="s">
        <v>192</v>
      </c>
      <c r="L120" s="649" t="s">
        <v>3897</v>
      </c>
      <c r="M120" s="529"/>
      <c r="N120" s="369" t="s">
        <v>284</v>
      </c>
      <c r="O120" s="369" t="s">
        <v>285</v>
      </c>
      <c r="P120" s="369" t="s">
        <v>509</v>
      </c>
      <c r="Q120" s="520">
        <f>3852*2.4</f>
        <v>9244.7999999999993</v>
      </c>
      <c r="R120" s="520">
        <f>9250+100</f>
        <v>9350</v>
      </c>
      <c r="S120" s="520">
        <v>4656.0420000000004</v>
      </c>
      <c r="T120" s="520"/>
      <c r="U120" s="760">
        <f t="shared" si="63"/>
        <v>3259.2294000000002</v>
      </c>
      <c r="V120" s="760">
        <f t="shared" si="64"/>
        <v>1396.8126</v>
      </c>
      <c r="W120" s="904"/>
      <c r="X120" s="904"/>
      <c r="Y120" s="904"/>
      <c r="Z120" s="904"/>
      <c r="AA120" s="904"/>
      <c r="AB120" s="650"/>
      <c r="AC120" s="904"/>
      <c r="AD120" s="904"/>
      <c r="AE120" s="677"/>
      <c r="AF120" s="677"/>
      <c r="AG120" s="677"/>
      <c r="AH120" s="677"/>
      <c r="AI120" s="369"/>
      <c r="AJ120" s="369"/>
      <c r="AK120" s="369"/>
      <c r="AL120" s="369"/>
      <c r="AM120" s="369"/>
      <c r="AN120" s="369"/>
      <c r="AO120" s="369"/>
      <c r="AP120" s="369"/>
      <c r="AQ120" s="369"/>
      <c r="AR120" s="369"/>
      <c r="AS120" s="369"/>
      <c r="AT120" s="369"/>
      <c r="AU120" s="369"/>
      <c r="AV120" s="369"/>
      <c r="AW120" s="369"/>
      <c r="AX120" s="369"/>
      <c r="AY120" s="369"/>
      <c r="AZ120" s="369"/>
      <c r="BA120" s="369"/>
      <c r="BB120" s="369"/>
      <c r="BC120" s="369"/>
      <c r="BD120" s="522">
        <f t="shared" si="50"/>
        <v>45259.027777777781</v>
      </c>
      <c r="BE120" s="522">
        <f t="shared" si="51"/>
        <v>45275.854166666664</v>
      </c>
      <c r="BF120" s="523">
        <f t="shared" si="52"/>
        <v>16.82638888888323</v>
      </c>
      <c r="BG120" s="522">
        <v>45259.027777777781</v>
      </c>
      <c r="BH120" s="522">
        <v>45263.746527777781</v>
      </c>
      <c r="BI120" s="522">
        <v>45265.645833333336</v>
      </c>
      <c r="BJ120" s="522">
        <v>45267.202777777777</v>
      </c>
      <c r="BK120" s="522">
        <v>45267.388888888891</v>
      </c>
      <c r="BL120" s="522">
        <v>45267.395833333336</v>
      </c>
      <c r="BM120" s="522">
        <v>45267.395833333336</v>
      </c>
      <c r="BN120" s="522">
        <f t="shared" si="62"/>
        <v>45269.104166666672</v>
      </c>
      <c r="BO120" s="527">
        <v>45269.541666608799</v>
      </c>
      <c r="BP120" s="527">
        <v>45269.708333275463</v>
      </c>
      <c r="BQ120" s="527">
        <v>45269.677083333336</v>
      </c>
      <c r="BR120" s="522">
        <v>45275.208333333336</v>
      </c>
      <c r="BS120" s="522">
        <v>45275.305555555555</v>
      </c>
      <c r="BT120" s="522">
        <v>45275.458333333336</v>
      </c>
      <c r="BU120" s="522">
        <v>45275.479166666664</v>
      </c>
      <c r="BV120" s="522">
        <v>45275.645833333336</v>
      </c>
      <c r="BW120" s="522">
        <v>45275.854166666664</v>
      </c>
      <c r="BX120" s="369"/>
      <c r="BY120" s="369"/>
      <c r="BZ120" s="525">
        <f t="shared" si="53"/>
        <v>45.583333333313931</v>
      </c>
      <c r="CA120" s="525">
        <f t="shared" si="54"/>
        <v>4.4666666667326353</v>
      </c>
      <c r="CB120" s="525">
        <f t="shared" si="55"/>
        <v>41.000000000058208</v>
      </c>
      <c r="CC120" s="525">
        <f t="shared" si="61"/>
        <v>132.0000013889512</v>
      </c>
      <c r="CD120" s="526">
        <f t="shared" si="56"/>
        <v>3.6666666667442769</v>
      </c>
      <c r="CE120" s="526">
        <f t="shared" si="57"/>
        <v>4.9999999998835847</v>
      </c>
      <c r="CF120" s="304">
        <f t="shared" si="58"/>
        <v>9.6548611689868267</v>
      </c>
      <c r="CG120" s="304">
        <f t="shared" si="59"/>
        <v>16.82638888888323</v>
      </c>
      <c r="CH120" s="305">
        <f t="shared" si="60"/>
        <v>0.5737928222594183</v>
      </c>
      <c r="CI120" s="369"/>
      <c r="CJ120" s="369"/>
    </row>
    <row r="121" spans="1:88" s="475" customFormat="1">
      <c r="A121" s="474">
        <f t="shared" si="49"/>
        <v>45267.202777777777</v>
      </c>
      <c r="B121" s="475" t="s">
        <v>228</v>
      </c>
      <c r="C121" s="475" t="s">
        <v>229</v>
      </c>
      <c r="D121" s="475" t="s">
        <v>197</v>
      </c>
      <c r="E121" s="476" t="s">
        <v>3182</v>
      </c>
      <c r="F121" s="399" t="s">
        <v>3378</v>
      </c>
      <c r="G121" s="473">
        <v>45269.229166666664</v>
      </c>
      <c r="H121" s="473">
        <v>45269.25</v>
      </c>
      <c r="I121" s="475" t="s">
        <v>490</v>
      </c>
      <c r="J121" s="369" t="s">
        <v>192</v>
      </c>
      <c r="K121" s="369" t="s">
        <v>192</v>
      </c>
      <c r="L121" s="399" t="s">
        <v>3897</v>
      </c>
      <c r="M121" s="529"/>
      <c r="N121" s="475" t="s">
        <v>284</v>
      </c>
      <c r="O121" s="475" t="s">
        <v>285</v>
      </c>
      <c r="P121" s="475" t="s">
        <v>509</v>
      </c>
      <c r="Q121" s="477">
        <f>3852*2.4</f>
        <v>9244.7999999999993</v>
      </c>
      <c r="R121" s="477">
        <f>9250+100</f>
        <v>9350</v>
      </c>
      <c r="S121" s="477">
        <v>9202.6839999999993</v>
      </c>
      <c r="T121" s="477"/>
      <c r="U121" s="726">
        <f t="shared" si="63"/>
        <v>6441.8787999999995</v>
      </c>
      <c r="V121" s="726">
        <f t="shared" si="64"/>
        <v>2760.8051999999998</v>
      </c>
      <c r="W121" s="581"/>
      <c r="X121" s="581"/>
      <c r="Y121" s="581"/>
      <c r="Z121" s="581"/>
      <c r="AA121" s="581"/>
      <c r="AB121" s="401"/>
      <c r="AC121" s="581"/>
      <c r="AD121" s="581"/>
      <c r="AE121" s="724"/>
      <c r="AF121" s="724"/>
      <c r="AG121" s="724"/>
      <c r="AH121" s="724"/>
      <c r="BD121" s="473">
        <f t="shared" si="50"/>
        <v>45259.027777777781</v>
      </c>
      <c r="BE121" s="473">
        <f t="shared" si="51"/>
        <v>45275.208333333336</v>
      </c>
      <c r="BF121" s="479">
        <f t="shared" si="52"/>
        <v>16.180555555554747</v>
      </c>
      <c r="BG121" s="473">
        <v>45259.027777777781</v>
      </c>
      <c r="BH121" s="473">
        <v>45263.746527777781</v>
      </c>
      <c r="BI121" s="473">
        <v>45265.645833333336</v>
      </c>
      <c r="BJ121" s="473">
        <v>45267.202777777777</v>
      </c>
      <c r="BK121" s="473">
        <v>45267.388888888891</v>
      </c>
      <c r="BL121" s="473">
        <v>45267.395833333336</v>
      </c>
      <c r="BM121" s="473">
        <v>45267.395833333336</v>
      </c>
      <c r="BN121" s="473">
        <f t="shared" si="62"/>
        <v>45269.104166666672</v>
      </c>
      <c r="BO121" s="480">
        <v>45269.541666608799</v>
      </c>
      <c r="BP121" s="480">
        <v>45269.708333275463</v>
      </c>
      <c r="BQ121" s="480">
        <v>45269.677083333336</v>
      </c>
      <c r="BR121" s="473">
        <v>45271.027777777781</v>
      </c>
      <c r="BS121" s="473">
        <v>45274.982638888891</v>
      </c>
      <c r="BT121" s="473">
        <v>45275.208333333336</v>
      </c>
      <c r="BU121" s="473">
        <v>45275.208333333336</v>
      </c>
      <c r="BV121" s="473">
        <v>45275.208333333336</v>
      </c>
      <c r="BW121" s="473">
        <v>45275.208333333336</v>
      </c>
      <c r="BZ121" s="481">
        <f t="shared" si="53"/>
        <v>45.583333333313931</v>
      </c>
      <c r="CA121" s="481">
        <f t="shared" si="54"/>
        <v>4.4666666667326353</v>
      </c>
      <c r="CB121" s="481">
        <f t="shared" si="55"/>
        <v>41.000000000058208</v>
      </c>
      <c r="CC121" s="481">
        <f t="shared" si="61"/>
        <v>31.666668055637274</v>
      </c>
      <c r="CD121" s="482">
        <f t="shared" si="56"/>
        <v>5.4166666666860692</v>
      </c>
      <c r="CE121" s="482">
        <f t="shared" si="57"/>
        <v>0</v>
      </c>
      <c r="CF121" s="483">
        <f t="shared" si="58"/>
        <v>5.3388889467678382</v>
      </c>
      <c r="CG121" s="483">
        <f t="shared" si="59"/>
        <v>16.180555555554747</v>
      </c>
      <c r="CH121" s="484">
        <f t="shared" si="60"/>
        <v>0.329957085122149</v>
      </c>
    </row>
    <row r="122" spans="1:88" s="475" customFormat="1">
      <c r="A122" s="474">
        <f t="shared" si="49"/>
        <v>45267.423611111109</v>
      </c>
      <c r="B122" s="475" t="s">
        <v>228</v>
      </c>
      <c r="C122" s="475" t="s">
        <v>229</v>
      </c>
      <c r="D122" s="475" t="s">
        <v>215</v>
      </c>
      <c r="E122" s="476" t="s">
        <v>3186</v>
      </c>
      <c r="F122" s="399" t="s">
        <v>3378</v>
      </c>
      <c r="G122" s="473">
        <v>45274.708333333336</v>
      </c>
      <c r="H122" s="473">
        <v>45274.670138888891</v>
      </c>
      <c r="I122" s="667" t="s">
        <v>490</v>
      </c>
      <c r="J122" s="369" t="s">
        <v>192</v>
      </c>
      <c r="K122" s="475" t="s">
        <v>192</v>
      </c>
      <c r="L122" s="399" t="s">
        <v>3898</v>
      </c>
      <c r="M122" s="529"/>
      <c r="N122" s="475" t="s">
        <v>774</v>
      </c>
      <c r="O122" s="475" t="s">
        <v>423</v>
      </c>
      <c r="P122" s="475" t="s">
        <v>509</v>
      </c>
      <c r="Q122" s="477">
        <f>3156*2.4</f>
        <v>7574.4</v>
      </c>
      <c r="R122" s="477">
        <f>7600+100</f>
        <v>7700</v>
      </c>
      <c r="S122" s="477">
        <v>7506.0339999999997</v>
      </c>
      <c r="T122" s="667"/>
      <c r="U122" s="726">
        <f t="shared" si="63"/>
        <v>5254.2237999999998</v>
      </c>
      <c r="V122" s="726">
        <f t="shared" si="64"/>
        <v>2251.8101999999999</v>
      </c>
      <c r="W122" s="581"/>
      <c r="X122" s="581"/>
      <c r="Y122" s="581"/>
      <c r="Z122" s="581"/>
      <c r="AA122" s="581"/>
      <c r="AB122" s="581"/>
      <c r="AC122" s="581"/>
      <c r="AD122" s="581"/>
      <c r="AE122" s="581"/>
      <c r="AF122" s="581"/>
      <c r="AG122" s="581"/>
      <c r="AH122" s="581"/>
      <c r="AI122" s="575"/>
      <c r="BD122" s="473">
        <f t="shared" si="50"/>
        <v>45262.625</v>
      </c>
      <c r="BE122" s="473">
        <f t="shared" si="51"/>
        <v>45277.708333333336</v>
      </c>
      <c r="BF122" s="479">
        <f t="shared" si="52"/>
        <v>15.083333333335759</v>
      </c>
      <c r="BG122" s="473">
        <v>45262.625</v>
      </c>
      <c r="BH122" s="473">
        <v>45263.614583333336</v>
      </c>
      <c r="BI122" s="473">
        <v>45265.666666666664</v>
      </c>
      <c r="BJ122" s="473">
        <v>45267.423611111109</v>
      </c>
      <c r="BK122" s="473">
        <v>45267.569444444445</v>
      </c>
      <c r="BL122" s="473">
        <v>45267.579861111109</v>
      </c>
      <c r="BM122" s="473">
        <v>45267.583333333336</v>
      </c>
      <c r="BN122" s="473">
        <f t="shared" si="62"/>
        <v>45269.291666666672</v>
      </c>
      <c r="BO122" s="480">
        <v>45269.541666608799</v>
      </c>
      <c r="BP122" s="480">
        <v>45269.708333275463</v>
      </c>
      <c r="BQ122" s="480">
        <v>45269.666666666664</v>
      </c>
      <c r="BR122" s="473">
        <v>45272.541666666664</v>
      </c>
      <c r="BS122" s="473">
        <v>45276.53125</v>
      </c>
      <c r="BT122" s="473">
        <v>45276.8125</v>
      </c>
      <c r="BU122" s="473">
        <v>45276.833333333336</v>
      </c>
      <c r="BV122" s="473">
        <v>45277.270833333336</v>
      </c>
      <c r="BW122" s="473">
        <v>45277.708333333336</v>
      </c>
      <c r="BZ122" s="481">
        <f t="shared" si="53"/>
        <v>49.249999999883585</v>
      </c>
      <c r="CA122" s="481">
        <f t="shared" si="54"/>
        <v>3.5000000000582077</v>
      </c>
      <c r="CB122" s="481">
        <f t="shared" si="55"/>
        <v>41.000000000058208</v>
      </c>
      <c r="CC122" s="481">
        <f t="shared" si="61"/>
        <v>68.000001388834789</v>
      </c>
      <c r="CD122" s="482">
        <f t="shared" si="56"/>
        <v>6.75</v>
      </c>
      <c r="CE122" s="482">
        <f t="shared" si="57"/>
        <v>10.5</v>
      </c>
      <c r="CF122" s="483">
        <f t="shared" si="58"/>
        <v>7.4583333912014496</v>
      </c>
      <c r="CG122" s="483">
        <f t="shared" si="59"/>
        <v>15.083333333335759</v>
      </c>
      <c r="CH122" s="484">
        <f t="shared" si="60"/>
        <v>0.49447514195802766</v>
      </c>
    </row>
    <row r="123" spans="1:88" s="475" customFormat="1">
      <c r="A123" s="474">
        <f t="shared" si="49"/>
        <v>45267.938888888886</v>
      </c>
      <c r="B123" s="475" t="s">
        <v>228</v>
      </c>
      <c r="C123" s="475" t="s">
        <v>229</v>
      </c>
      <c r="D123" s="475" t="s">
        <v>215</v>
      </c>
      <c r="E123" s="399" t="s">
        <v>3186</v>
      </c>
      <c r="F123" s="475" t="s">
        <v>3378</v>
      </c>
      <c r="G123" s="473">
        <v>45274.708333333336</v>
      </c>
      <c r="H123" s="473">
        <v>45274.670138888891</v>
      </c>
      <c r="I123" s="475" t="s">
        <v>490</v>
      </c>
      <c r="J123" s="369" t="s">
        <v>192</v>
      </c>
      <c r="K123" s="369" t="s">
        <v>192</v>
      </c>
      <c r="L123" s="399" t="s">
        <v>3899</v>
      </c>
      <c r="M123" s="529"/>
      <c r="N123" s="475" t="s">
        <v>721</v>
      </c>
      <c r="O123" s="475" t="s">
        <v>1349</v>
      </c>
      <c r="P123" s="475" t="s">
        <v>509</v>
      </c>
      <c r="Q123" s="477">
        <f>3136*2.4</f>
        <v>7526.4</v>
      </c>
      <c r="R123" s="477">
        <f>7550+100</f>
        <v>7650</v>
      </c>
      <c r="S123" s="477">
        <v>7521.34</v>
      </c>
      <c r="T123" s="667"/>
      <c r="U123" s="726">
        <f t="shared" si="63"/>
        <v>5264.9380000000001</v>
      </c>
      <c r="V123" s="726">
        <f t="shared" si="64"/>
        <v>2256.402</v>
      </c>
      <c r="W123" s="581"/>
      <c r="X123" s="581"/>
      <c r="Y123" s="581"/>
      <c r="Z123" s="581"/>
      <c r="AA123" s="581"/>
      <c r="AB123" s="577"/>
      <c r="AC123" s="581"/>
      <c r="AD123" s="581"/>
      <c r="BD123" s="473">
        <f t="shared" si="50"/>
        <v>45264.458333333336</v>
      </c>
      <c r="BE123" s="473">
        <f t="shared" si="51"/>
        <v>45277.854166666664</v>
      </c>
      <c r="BF123" s="479">
        <f t="shared" si="52"/>
        <v>13.395833333328483</v>
      </c>
      <c r="BG123" s="473">
        <v>45264.458333333336</v>
      </c>
      <c r="BH123" s="473">
        <v>45265.552083333336</v>
      </c>
      <c r="BI123" s="473">
        <v>45267.5</v>
      </c>
      <c r="BJ123" s="473">
        <v>45267.938888888886</v>
      </c>
      <c r="BK123" s="473">
        <v>45268.0625</v>
      </c>
      <c r="BL123" s="473">
        <v>45268.072916666664</v>
      </c>
      <c r="BM123" s="473">
        <v>45268.072916666664</v>
      </c>
      <c r="BN123" s="473">
        <f t="shared" si="62"/>
        <v>45269.78125</v>
      </c>
      <c r="BO123" s="480">
        <v>45269.541666608799</v>
      </c>
      <c r="BP123" s="480">
        <v>45269.708333275463</v>
      </c>
      <c r="BQ123" s="480">
        <v>45269.604166666664</v>
      </c>
      <c r="BR123" s="473">
        <v>45272.458333333336</v>
      </c>
      <c r="BS123" s="473">
        <v>45277.194444444445</v>
      </c>
      <c r="BT123" s="473">
        <v>45277.5625</v>
      </c>
      <c r="BU123" s="473">
        <v>45277.583333333336</v>
      </c>
      <c r="BV123" s="473">
        <v>45277.583333333336</v>
      </c>
      <c r="BW123" s="473">
        <v>45277.854166666664</v>
      </c>
      <c r="BZ123" s="481">
        <f t="shared" si="53"/>
        <v>46.749999999941792</v>
      </c>
      <c r="CA123" s="481">
        <f t="shared" si="54"/>
        <v>2.9666666667326353</v>
      </c>
      <c r="CB123" s="481">
        <f t="shared" si="55"/>
        <v>41.000000000058208</v>
      </c>
      <c r="CC123" s="481">
        <f t="shared" si="61"/>
        <v>66.000001388951205</v>
      </c>
      <c r="CD123" s="482">
        <f t="shared" si="56"/>
        <v>8.8333333333139308</v>
      </c>
      <c r="CE123" s="482">
        <f t="shared" si="57"/>
        <v>6.4999999998835847</v>
      </c>
      <c r="CF123" s="483">
        <f t="shared" si="58"/>
        <v>7.1687500578700565</v>
      </c>
      <c r="CG123" s="483">
        <f t="shared" si="59"/>
        <v>13.395833333328483</v>
      </c>
      <c r="CH123" s="484">
        <f t="shared" si="60"/>
        <v>0.53514774926576569</v>
      </c>
    </row>
    <row r="124" spans="1:88" s="475" customFormat="1">
      <c r="A124" s="474">
        <f t="shared" si="49"/>
        <v>45268.527777777781</v>
      </c>
      <c r="B124" s="475" t="s">
        <v>228</v>
      </c>
      <c r="C124" s="475" t="s">
        <v>229</v>
      </c>
      <c r="D124" s="475" t="s">
        <v>197</v>
      </c>
      <c r="E124" s="399" t="s">
        <v>3186</v>
      </c>
      <c r="F124" s="475" t="s">
        <v>3378</v>
      </c>
      <c r="G124" s="473">
        <v>45274.708333333336</v>
      </c>
      <c r="H124" s="473">
        <v>45274.670138888891</v>
      </c>
      <c r="I124" s="475" t="s">
        <v>490</v>
      </c>
      <c r="J124" s="369" t="s">
        <v>192</v>
      </c>
      <c r="K124" s="475" t="s">
        <v>192</v>
      </c>
      <c r="L124" s="399" t="s">
        <v>3900</v>
      </c>
      <c r="M124" s="529"/>
      <c r="N124" s="475" t="s">
        <v>686</v>
      </c>
      <c r="O124" s="475" t="s">
        <v>1186</v>
      </c>
      <c r="P124" s="475" t="s">
        <v>1968</v>
      </c>
      <c r="Q124" s="477">
        <f>3136*2.4</f>
        <v>7526.4</v>
      </c>
      <c r="R124" s="477">
        <f>7550+100</f>
        <v>7650</v>
      </c>
      <c r="S124" s="477">
        <v>7599.5630000000001</v>
      </c>
      <c r="T124" s="667"/>
      <c r="U124" s="580">
        <f>S124*0.8</f>
        <v>6079.6504000000004</v>
      </c>
      <c r="V124" s="580">
        <f>S124*0.2</f>
        <v>1519.9126000000001</v>
      </c>
      <c r="W124" s="581"/>
      <c r="X124" s="401"/>
      <c r="Y124" s="581"/>
      <c r="Z124" s="581"/>
      <c r="AA124" s="581"/>
      <c r="AB124" s="581"/>
      <c r="AC124" s="581"/>
      <c r="AD124" s="581"/>
      <c r="AE124" s="581"/>
      <c r="AF124" s="724"/>
      <c r="AG124" s="724"/>
      <c r="AH124" s="581"/>
      <c r="AI124" s="575"/>
      <c r="BD124" s="473">
        <f t="shared" si="50"/>
        <v>45264.541666666664</v>
      </c>
      <c r="BE124" s="473">
        <f t="shared" si="51"/>
        <v>45277.395833333336</v>
      </c>
      <c r="BF124" s="479">
        <f t="shared" si="52"/>
        <v>12.854166666671517</v>
      </c>
      <c r="BG124" s="473">
        <v>45264.541666666664</v>
      </c>
      <c r="BH124" s="473">
        <v>45265.572916666664</v>
      </c>
      <c r="BI124" s="473">
        <v>45267.583333333336</v>
      </c>
      <c r="BJ124" s="473">
        <v>45268.527777777781</v>
      </c>
      <c r="BK124" s="473">
        <v>45268.673611111109</v>
      </c>
      <c r="BL124" s="473">
        <v>45268.697916666664</v>
      </c>
      <c r="BM124" s="473">
        <v>45268.697916666664</v>
      </c>
      <c r="BN124" s="473">
        <f t="shared" si="62"/>
        <v>45270.40625</v>
      </c>
      <c r="BO124" s="480">
        <v>45270.583333333336</v>
      </c>
      <c r="BP124" s="480">
        <v>45270.75</v>
      </c>
      <c r="BQ124" s="480">
        <v>45270.677083333336</v>
      </c>
      <c r="BR124" s="473">
        <v>45272.416666666664</v>
      </c>
      <c r="BS124" s="473">
        <v>45276.875</v>
      </c>
      <c r="BT124" s="473">
        <v>45277.131944444445</v>
      </c>
      <c r="BU124" s="473">
        <v>45277.152777777781</v>
      </c>
      <c r="BV124" s="473">
        <v>45277.152777777781</v>
      </c>
      <c r="BW124" s="473">
        <v>45277.395833333336</v>
      </c>
      <c r="BZ124" s="481">
        <f t="shared" si="53"/>
        <v>48.250000000116415</v>
      </c>
      <c r="CA124" s="481">
        <f t="shared" si="54"/>
        <v>3.4999999998835847</v>
      </c>
      <c r="CB124" s="481">
        <f t="shared" si="55"/>
        <v>41.000000000058208</v>
      </c>
      <c r="CC124" s="481">
        <f t="shared" si="61"/>
        <v>39.999999999941792</v>
      </c>
      <c r="CD124" s="482">
        <f t="shared" si="56"/>
        <v>6.1666666666860692</v>
      </c>
      <c r="CE124" s="482">
        <f t="shared" si="57"/>
        <v>5.8333333333139308</v>
      </c>
      <c r="CF124" s="483">
        <f t="shared" si="58"/>
        <v>6.03125</v>
      </c>
      <c r="CG124" s="483">
        <f t="shared" si="59"/>
        <v>12.854166666671517</v>
      </c>
      <c r="CH124" s="484">
        <f t="shared" si="60"/>
        <v>0.46920583468377758</v>
      </c>
    </row>
    <row r="125" spans="1:88" s="475" customFormat="1">
      <c r="A125" s="474">
        <f t="shared" si="49"/>
        <v>45268.09375</v>
      </c>
      <c r="B125" s="475" t="s">
        <v>228</v>
      </c>
      <c r="C125" s="475" t="s">
        <v>229</v>
      </c>
      <c r="D125" s="475" t="s">
        <v>215</v>
      </c>
      <c r="E125" s="399" t="s">
        <v>3186</v>
      </c>
      <c r="F125" s="475" t="s">
        <v>3378</v>
      </c>
      <c r="G125" s="473">
        <v>45274.708333333336</v>
      </c>
      <c r="H125" s="473">
        <v>45274.670138888891</v>
      </c>
      <c r="I125" s="475" t="s">
        <v>490</v>
      </c>
      <c r="J125" s="369" t="s">
        <v>192</v>
      </c>
      <c r="K125" s="475" t="s">
        <v>192</v>
      </c>
      <c r="L125" s="399" t="s">
        <v>3901</v>
      </c>
      <c r="M125" s="529"/>
      <c r="N125" s="475" t="s">
        <v>274</v>
      </c>
      <c r="O125" s="475" t="s">
        <v>1093</v>
      </c>
      <c r="P125" s="475" t="s">
        <v>1968</v>
      </c>
      <c r="Q125" s="477">
        <f>3136*2.4</f>
        <v>7526.4</v>
      </c>
      <c r="R125" s="477">
        <f>7550+100</f>
        <v>7650</v>
      </c>
      <c r="S125" s="477">
        <v>7529.567</v>
      </c>
      <c r="T125" s="667"/>
      <c r="U125" s="580">
        <f>S125*0.8</f>
        <v>6023.6536000000006</v>
      </c>
      <c r="V125" s="580">
        <f>S125*0.2</f>
        <v>1505.9134000000001</v>
      </c>
      <c r="W125" s="581"/>
      <c r="X125" s="401"/>
      <c r="Y125" s="581"/>
      <c r="Z125" s="581"/>
      <c r="AA125" s="581"/>
      <c r="AB125" s="581"/>
      <c r="AC125" s="581"/>
      <c r="AD125" s="581"/>
      <c r="AE125" s="575"/>
      <c r="AF125" s="575"/>
      <c r="AG125" s="575"/>
      <c r="AH125" s="575"/>
      <c r="AI125" s="575"/>
      <c r="BD125" s="473">
        <f t="shared" si="50"/>
        <v>45264.951388888891</v>
      </c>
      <c r="BE125" s="473">
        <f t="shared" si="51"/>
        <v>45278.559027777781</v>
      </c>
      <c r="BF125" s="479">
        <f t="shared" si="52"/>
        <v>13.607638888890506</v>
      </c>
      <c r="BG125" s="473">
        <v>45264.951388888891</v>
      </c>
      <c r="BH125" s="473">
        <v>45265.565972222219</v>
      </c>
      <c r="BI125" s="473">
        <v>45267.572916666664</v>
      </c>
      <c r="BJ125" s="473">
        <v>45268.09375</v>
      </c>
      <c r="BK125" s="473">
        <v>45268.243055555555</v>
      </c>
      <c r="BL125" s="473">
        <v>45268.25</v>
      </c>
      <c r="BM125" s="473">
        <v>45268.25</v>
      </c>
      <c r="BN125" s="473">
        <f t="shared" si="62"/>
        <v>45269.958333333336</v>
      </c>
      <c r="BO125" s="480">
        <v>45270.583333333336</v>
      </c>
      <c r="BP125" s="480">
        <v>45270.75</v>
      </c>
      <c r="BQ125" s="480">
        <v>45269.704861111109</v>
      </c>
      <c r="BR125" s="473">
        <v>45272.583333333336</v>
      </c>
      <c r="BS125" s="473">
        <v>45277.625</v>
      </c>
      <c r="BT125" s="473">
        <v>45278.104166666664</v>
      </c>
      <c r="BU125" s="473">
        <v>45278.125</v>
      </c>
      <c r="BV125" s="473">
        <v>45278.25</v>
      </c>
      <c r="BW125" s="473">
        <v>45278.559027777781</v>
      </c>
      <c r="BZ125" s="481">
        <f t="shared" si="53"/>
        <v>48.166666666686069</v>
      </c>
      <c r="CA125" s="481">
        <f t="shared" si="54"/>
        <v>3.5833333333139308</v>
      </c>
      <c r="CB125" s="481">
        <f t="shared" si="55"/>
        <v>41.000000000058208</v>
      </c>
      <c r="CC125" s="481">
        <f t="shared" si="61"/>
        <v>44.000000000058208</v>
      </c>
      <c r="CD125" s="482">
        <f t="shared" si="56"/>
        <v>11.499999999941792</v>
      </c>
      <c r="CE125" s="482">
        <f t="shared" si="57"/>
        <v>7.4166666667442769</v>
      </c>
      <c r="CF125" s="483">
        <f t="shared" si="58"/>
        <v>6.4861111111167702</v>
      </c>
      <c r="CG125" s="483">
        <f t="shared" si="59"/>
        <v>13.607638888890506</v>
      </c>
      <c r="CH125" s="484">
        <f t="shared" si="60"/>
        <v>0.47665220719607243</v>
      </c>
    </row>
    <row r="126" spans="1:88" s="475" customFormat="1">
      <c r="A126" s="474">
        <f t="shared" si="49"/>
        <v>45268.309027777781</v>
      </c>
      <c r="B126" s="475" t="s">
        <v>228</v>
      </c>
      <c r="C126" s="475" t="s">
        <v>229</v>
      </c>
      <c r="D126" s="475" t="s">
        <v>197</v>
      </c>
      <c r="E126" s="399" t="s">
        <v>3186</v>
      </c>
      <c r="F126" s="475" t="s">
        <v>3378</v>
      </c>
      <c r="G126" s="473">
        <v>45274.708333333336</v>
      </c>
      <c r="H126" s="473">
        <v>45274.670138888891</v>
      </c>
      <c r="I126" s="475" t="s">
        <v>490</v>
      </c>
      <c r="J126" s="369" t="s">
        <v>192</v>
      </c>
      <c r="K126" s="475" t="s">
        <v>192</v>
      </c>
      <c r="L126" s="399" t="s">
        <v>3902</v>
      </c>
      <c r="M126" s="529"/>
      <c r="N126" s="475" t="s">
        <v>2404</v>
      </c>
      <c r="O126" s="475" t="s">
        <v>2405</v>
      </c>
      <c r="P126" s="475" t="s">
        <v>1968</v>
      </c>
      <c r="Q126" s="477">
        <f>4337*2.4</f>
        <v>10408.799999999999</v>
      </c>
      <c r="R126" s="477">
        <f>10500+100</f>
        <v>10600</v>
      </c>
      <c r="S126" s="477">
        <v>10470.937</v>
      </c>
      <c r="T126" s="667"/>
      <c r="U126" s="580">
        <f>S126*0.8</f>
        <v>8376.749600000001</v>
      </c>
      <c r="V126" s="580">
        <f>S126*0.2</f>
        <v>2094.1874000000003</v>
      </c>
      <c r="W126" s="581"/>
      <c r="X126" s="401"/>
      <c r="Y126" s="581"/>
      <c r="Z126" s="581"/>
      <c r="AA126" s="581"/>
      <c r="AB126" s="581"/>
      <c r="AC126" s="581"/>
      <c r="AD126" s="581"/>
      <c r="BD126" s="473">
        <f t="shared" si="50"/>
        <v>45264.506944444445</v>
      </c>
      <c r="BE126" s="473">
        <f t="shared" si="51"/>
        <v>45278.986111111109</v>
      </c>
      <c r="BF126" s="479">
        <f t="shared" si="52"/>
        <v>14.479166666664241</v>
      </c>
      <c r="BG126" s="473">
        <v>45264.506944444445</v>
      </c>
      <c r="BH126" s="473">
        <v>45265.885416666664</v>
      </c>
      <c r="BI126" s="473">
        <v>45267.576388888891</v>
      </c>
      <c r="BJ126" s="473">
        <v>45268.309027777781</v>
      </c>
      <c r="BK126" s="473">
        <v>45268.503472222219</v>
      </c>
      <c r="BL126" s="473">
        <v>45268.506944444445</v>
      </c>
      <c r="BM126" s="473">
        <v>45268.506944444445</v>
      </c>
      <c r="BN126" s="473">
        <f t="shared" si="62"/>
        <v>45270.215277777781</v>
      </c>
      <c r="BO126" s="480">
        <v>45270.583333333336</v>
      </c>
      <c r="BP126" s="480">
        <v>45270.75</v>
      </c>
      <c r="BQ126" s="480">
        <v>45270.791666666664</v>
      </c>
      <c r="BR126" s="473">
        <v>45272.791666666664</v>
      </c>
      <c r="BS126" s="473">
        <v>45278.166666666664</v>
      </c>
      <c r="BT126" s="473">
        <v>45278.572916666664</v>
      </c>
      <c r="BU126" s="473">
        <v>45278.59375</v>
      </c>
      <c r="BV126" s="473">
        <v>45278.736111111109</v>
      </c>
      <c r="BW126" s="473">
        <v>45278.986111111109</v>
      </c>
      <c r="BZ126" s="481">
        <f t="shared" si="53"/>
        <v>40.583333333430346</v>
      </c>
      <c r="CA126" s="481">
        <f t="shared" si="54"/>
        <v>4.6666666665114462</v>
      </c>
      <c r="CB126" s="481">
        <f t="shared" si="55"/>
        <v>41.000000000058208</v>
      </c>
      <c r="CC126" s="481">
        <f t="shared" si="61"/>
        <v>48.999999999941792</v>
      </c>
      <c r="CD126" s="482">
        <f t="shared" si="56"/>
        <v>9.75</v>
      </c>
      <c r="CE126" s="482">
        <f t="shared" si="57"/>
        <v>6</v>
      </c>
      <c r="CF126" s="483">
        <f t="shared" si="58"/>
        <v>6.2916666666642413</v>
      </c>
      <c r="CG126" s="483">
        <f t="shared" si="59"/>
        <v>14.479166666664241</v>
      </c>
      <c r="CH126" s="484">
        <f t="shared" si="60"/>
        <v>0.43453237410062473</v>
      </c>
    </row>
    <row r="127" spans="1:88" s="475" customFormat="1">
      <c r="A127" s="474">
        <f t="shared" si="49"/>
        <v>45268.732638888891</v>
      </c>
      <c r="B127" s="475" t="s">
        <v>228</v>
      </c>
      <c r="C127" s="475" t="s">
        <v>229</v>
      </c>
      <c r="D127" s="475" t="s">
        <v>197</v>
      </c>
      <c r="E127" s="399" t="s">
        <v>3186</v>
      </c>
      <c r="F127" s="475" t="s">
        <v>3378</v>
      </c>
      <c r="G127" s="473">
        <v>45274.708333333336</v>
      </c>
      <c r="H127" s="473">
        <v>45274.670138888891</v>
      </c>
      <c r="I127" s="475" t="s">
        <v>490</v>
      </c>
      <c r="J127" s="369" t="s">
        <v>192</v>
      </c>
      <c r="K127" s="369" t="s">
        <v>192</v>
      </c>
      <c r="L127" s="399" t="s">
        <v>3903</v>
      </c>
      <c r="M127" s="529"/>
      <c r="N127" s="475" t="s">
        <v>3563</v>
      </c>
      <c r="O127" s="475" t="s">
        <v>206</v>
      </c>
      <c r="P127" s="475" t="s">
        <v>1968</v>
      </c>
      <c r="Q127" s="477">
        <f>3015*2.4</f>
        <v>7236</v>
      </c>
      <c r="R127" s="477">
        <f>7250+100</f>
        <v>7350</v>
      </c>
      <c r="S127" s="477">
        <f>7398.094-1564.981</f>
        <v>5833.1130000000003</v>
      </c>
      <c r="T127" s="667"/>
      <c r="U127" s="726">
        <f>S127*0.8</f>
        <v>4666.4904000000006</v>
      </c>
      <c r="V127" s="726">
        <f>S127*0.2</f>
        <v>1166.6226000000001</v>
      </c>
      <c r="W127" s="581"/>
      <c r="X127" s="581"/>
      <c r="Y127" s="581"/>
      <c r="Z127" s="581"/>
      <c r="AA127" s="581"/>
      <c r="AB127" s="581"/>
      <c r="AC127" s="581"/>
      <c r="AD127" s="581"/>
      <c r="AE127" s="667"/>
      <c r="AF127" s="667"/>
      <c r="AG127" s="667"/>
      <c r="AH127" s="667"/>
      <c r="AI127" s="667"/>
      <c r="AJ127" s="667"/>
      <c r="AK127" s="667"/>
      <c r="AL127" s="667"/>
      <c r="AM127" s="667"/>
      <c r="AN127" s="667"/>
      <c r="AO127" s="667"/>
      <c r="AP127" s="667"/>
      <c r="AQ127" s="667"/>
      <c r="AR127" s="667"/>
      <c r="AS127" s="667"/>
      <c r="AT127" s="667"/>
      <c r="AU127" s="667"/>
      <c r="AV127" s="667"/>
      <c r="AW127" s="667"/>
      <c r="BD127" s="473">
        <f t="shared" si="50"/>
        <v>45263.3125</v>
      </c>
      <c r="BE127" s="473">
        <f t="shared" si="51"/>
        <v>45278.972222222219</v>
      </c>
      <c r="BF127" s="479">
        <f t="shared" si="52"/>
        <v>15.659722222218988</v>
      </c>
      <c r="BG127" s="473">
        <v>45263.3125</v>
      </c>
      <c r="BH127" s="473">
        <v>45265.579861111109</v>
      </c>
      <c r="BI127" s="473">
        <v>45268.333333333336</v>
      </c>
      <c r="BJ127" s="473">
        <v>45268.732638888891</v>
      </c>
      <c r="BK127" s="473">
        <v>45268.909722222219</v>
      </c>
      <c r="BL127" s="473">
        <v>45268.930555555555</v>
      </c>
      <c r="BM127" s="473">
        <v>45268.930555555555</v>
      </c>
      <c r="BN127" s="473">
        <f t="shared" si="62"/>
        <v>45270.638888888891</v>
      </c>
      <c r="BO127" s="480">
        <v>45270.583333333336</v>
      </c>
      <c r="BP127" s="480">
        <v>45270.75</v>
      </c>
      <c r="BQ127" s="480">
        <v>45270.697916666664</v>
      </c>
      <c r="BR127" s="473">
        <v>45272.833333333336</v>
      </c>
      <c r="BS127" s="473">
        <v>45278.659722222219</v>
      </c>
      <c r="BT127" s="473">
        <v>45278.923611111109</v>
      </c>
      <c r="BU127" s="473">
        <v>45278.972222222219</v>
      </c>
      <c r="BV127" s="473">
        <v>45278.972222222219</v>
      </c>
      <c r="BW127" s="473">
        <v>45278.972222222219</v>
      </c>
      <c r="BZ127" s="481">
        <f t="shared" si="53"/>
        <v>66.083333333430346</v>
      </c>
      <c r="CA127" s="481">
        <f t="shared" si="54"/>
        <v>4.2499999998835847</v>
      </c>
      <c r="CB127" s="481">
        <f t="shared" si="55"/>
        <v>41.000000000058208</v>
      </c>
      <c r="CC127" s="481">
        <f t="shared" si="61"/>
        <v>50.000000000058208</v>
      </c>
      <c r="CD127" s="482">
        <f t="shared" si="56"/>
        <v>6.3333333333721384</v>
      </c>
      <c r="CE127" s="482">
        <f t="shared" si="57"/>
        <v>0</v>
      </c>
      <c r="CF127" s="483">
        <f t="shared" si="58"/>
        <v>6.9861111111167702</v>
      </c>
      <c r="CG127" s="483">
        <f t="shared" si="59"/>
        <v>15.659722222218988</v>
      </c>
      <c r="CH127" s="484">
        <f t="shared" si="60"/>
        <v>0.44611973392506549</v>
      </c>
    </row>
    <row r="128" spans="1:88" s="475" customFormat="1">
      <c r="A128" s="474">
        <f t="shared" si="49"/>
        <v>45268.732638888891</v>
      </c>
      <c r="B128" s="475" t="s">
        <v>228</v>
      </c>
      <c r="C128" s="475" t="s">
        <v>229</v>
      </c>
      <c r="D128" s="475" t="s">
        <v>197</v>
      </c>
      <c r="E128" s="476" t="s">
        <v>3191</v>
      </c>
      <c r="F128" s="475" t="s">
        <v>3474</v>
      </c>
      <c r="G128" s="473">
        <v>45276.3125</v>
      </c>
      <c r="H128" s="473">
        <v>45276.341666666667</v>
      </c>
      <c r="I128" s="475" t="s">
        <v>490</v>
      </c>
      <c r="J128" s="369" t="s">
        <v>192</v>
      </c>
      <c r="K128" s="369" t="s">
        <v>192</v>
      </c>
      <c r="L128" s="399" t="s">
        <v>3903</v>
      </c>
      <c r="M128" s="529"/>
      <c r="N128" s="475" t="s">
        <v>3563</v>
      </c>
      <c r="O128" s="475" t="s">
        <v>206</v>
      </c>
      <c r="P128" s="475" t="s">
        <v>1968</v>
      </c>
      <c r="Q128" s="477">
        <f>3015*2.4</f>
        <v>7236</v>
      </c>
      <c r="R128" s="477">
        <f>7250+100</f>
        <v>7350</v>
      </c>
      <c r="S128" s="477">
        <f>985.063</f>
        <v>985.06299999999999</v>
      </c>
      <c r="T128" s="667"/>
      <c r="U128" s="726">
        <f>S128*0.8</f>
        <v>788.05040000000008</v>
      </c>
      <c r="V128" s="726">
        <f>S128*0.2</f>
        <v>197.01260000000002</v>
      </c>
      <c r="W128" s="581"/>
      <c r="X128" s="581"/>
      <c r="Y128" s="581"/>
      <c r="Z128" s="581"/>
      <c r="AA128" s="581"/>
      <c r="AB128" s="581"/>
      <c r="AC128" s="581"/>
      <c r="AD128" s="581"/>
      <c r="AE128" s="667"/>
      <c r="AF128" s="667"/>
      <c r="AG128" s="667"/>
      <c r="AH128" s="667"/>
      <c r="AI128" s="667"/>
      <c r="AJ128" s="667"/>
      <c r="AK128" s="667"/>
      <c r="AL128" s="667"/>
      <c r="AM128" s="667"/>
      <c r="AN128" s="667"/>
      <c r="AO128" s="667"/>
      <c r="AP128" s="667"/>
      <c r="AQ128" s="667"/>
      <c r="AR128" s="667"/>
      <c r="AS128" s="667"/>
      <c r="AT128" s="667"/>
      <c r="AU128" s="667"/>
      <c r="AV128" s="667"/>
      <c r="AW128" s="667"/>
      <c r="BD128" s="473">
        <f t="shared" si="50"/>
        <v>45263.3125</v>
      </c>
      <c r="BE128" s="473">
        <f t="shared" si="51"/>
        <v>45281.020833333336</v>
      </c>
      <c r="BF128" s="479">
        <f t="shared" si="52"/>
        <v>17.708333333335759</v>
      </c>
      <c r="BG128" s="473">
        <v>45263.3125</v>
      </c>
      <c r="BH128" s="473">
        <v>45265.579861111109</v>
      </c>
      <c r="BI128" s="473">
        <v>45268.333333333336</v>
      </c>
      <c r="BJ128" s="473">
        <v>45268.732638888891</v>
      </c>
      <c r="BK128" s="473">
        <v>45268.909722222219</v>
      </c>
      <c r="BL128" s="473">
        <v>45268.930555555555</v>
      </c>
      <c r="BM128" s="473">
        <v>45268.930555555555</v>
      </c>
      <c r="BN128" s="473">
        <f t="shared" si="62"/>
        <v>45270.638888888891</v>
      </c>
      <c r="BO128" s="480">
        <v>45270.583333333336</v>
      </c>
      <c r="BP128" s="480">
        <v>45270.75</v>
      </c>
      <c r="BQ128" s="480">
        <v>45270.697916666664</v>
      </c>
      <c r="BR128" s="473">
        <v>45278.972222222219</v>
      </c>
      <c r="BS128" s="473">
        <v>45280.6875</v>
      </c>
      <c r="BT128" s="473">
        <v>45280.729166666664</v>
      </c>
      <c r="BU128" s="473">
        <v>45280.75</v>
      </c>
      <c r="BV128" s="473">
        <v>45280.770833333336</v>
      </c>
      <c r="BW128" s="473">
        <v>45281.020833333336</v>
      </c>
      <c r="BZ128" s="481">
        <f t="shared" si="53"/>
        <v>66.083333333430346</v>
      </c>
      <c r="CA128" s="481">
        <f t="shared" si="54"/>
        <v>4.2499999998835847</v>
      </c>
      <c r="CB128" s="481">
        <f t="shared" si="55"/>
        <v>41.000000000058208</v>
      </c>
      <c r="CC128" s="481">
        <f t="shared" si="61"/>
        <v>197.33333333325572</v>
      </c>
      <c r="CD128" s="482">
        <f t="shared" si="56"/>
        <v>0.99999999994179234</v>
      </c>
      <c r="CE128" s="482">
        <f t="shared" si="57"/>
        <v>6</v>
      </c>
      <c r="CF128" s="483">
        <f t="shared" si="58"/>
        <v>13.152777777773736</v>
      </c>
      <c r="CG128" s="483">
        <f t="shared" si="59"/>
        <v>17.708333333335759</v>
      </c>
      <c r="CH128" s="484">
        <f t="shared" si="60"/>
        <v>0.74274509803888566</v>
      </c>
    </row>
    <row r="129" spans="1:86" s="475" customFormat="1">
      <c r="A129" s="474">
        <f t="shared" si="49"/>
        <v>45268.948611111111</v>
      </c>
      <c r="B129" s="475" t="s">
        <v>228</v>
      </c>
      <c r="C129" s="475" t="s">
        <v>229</v>
      </c>
      <c r="D129" s="475" t="s">
        <v>197</v>
      </c>
      <c r="E129" s="399" t="s">
        <v>986</v>
      </c>
      <c r="F129" s="475" t="s">
        <v>3378</v>
      </c>
      <c r="G129" s="473">
        <v>45277.375</v>
      </c>
      <c r="H129" s="473">
        <v>45277.366666666669</v>
      </c>
      <c r="I129" s="475" t="s">
        <v>497</v>
      </c>
      <c r="J129" s="369" t="s">
        <v>192</v>
      </c>
      <c r="K129" s="369" t="s">
        <v>192</v>
      </c>
      <c r="L129" s="399" t="s">
        <v>3904</v>
      </c>
      <c r="M129" s="529"/>
      <c r="N129" s="475" t="s">
        <v>1313</v>
      </c>
      <c r="O129" s="475" t="s">
        <v>2486</v>
      </c>
      <c r="P129" s="475" t="s">
        <v>835</v>
      </c>
      <c r="Q129" s="477">
        <f>3071*2.4</f>
        <v>7370.4</v>
      </c>
      <c r="R129" s="477">
        <f>7400+100</f>
        <v>7500</v>
      </c>
      <c r="S129" s="477">
        <v>7434.6270000000004</v>
      </c>
      <c r="T129" s="667"/>
      <c r="U129" s="401"/>
      <c r="V129" s="580">
        <f>S129</f>
        <v>7434.6270000000004</v>
      </c>
      <c r="W129" s="581"/>
      <c r="X129" s="581"/>
      <c r="Y129" s="581"/>
      <c r="Z129" s="581"/>
      <c r="AA129" s="581"/>
      <c r="AB129" s="577"/>
      <c r="AC129" s="577"/>
      <c r="AD129" s="577"/>
      <c r="AE129" s="577"/>
      <c r="AF129" s="577"/>
      <c r="AG129" s="577"/>
      <c r="AH129" s="577"/>
      <c r="AI129" s="577"/>
      <c r="AJ129" s="577"/>
      <c r="AM129" s="581"/>
      <c r="BD129" s="473">
        <f t="shared" si="50"/>
        <v>45264.541666666664</v>
      </c>
      <c r="BE129" s="473">
        <f t="shared" si="51"/>
        <v>45277.3125</v>
      </c>
      <c r="BF129" s="479">
        <f t="shared" si="52"/>
        <v>12.770833333335759</v>
      </c>
      <c r="BG129" s="473">
        <v>45264.541666666664</v>
      </c>
      <c r="BH129" s="473">
        <v>45266.371527777781</v>
      </c>
      <c r="BI129" s="473">
        <v>45268.666666666664</v>
      </c>
      <c r="BJ129" s="473">
        <v>45268.948611111111</v>
      </c>
      <c r="BK129" s="473">
        <v>45269.069444444445</v>
      </c>
      <c r="BL129" s="473">
        <v>45269.072916666664</v>
      </c>
      <c r="BM129" s="473">
        <v>45269.072916666664</v>
      </c>
      <c r="BN129" s="473">
        <f t="shared" si="62"/>
        <v>45270.78125</v>
      </c>
      <c r="BO129" s="480">
        <v>45270.583333333336</v>
      </c>
      <c r="BP129" s="480">
        <v>45270.75</v>
      </c>
      <c r="BQ129" s="480">
        <v>45270.704861111109</v>
      </c>
      <c r="BR129" s="473">
        <v>45273.888888888891</v>
      </c>
      <c r="BS129" s="473">
        <v>45276.409722222219</v>
      </c>
      <c r="BT129" s="473">
        <v>45276.701388888891</v>
      </c>
      <c r="BU129" s="473">
        <v>45276.71875</v>
      </c>
      <c r="BV129" s="473">
        <v>45276.753472222219</v>
      </c>
      <c r="BW129" s="473">
        <v>45277.3125</v>
      </c>
      <c r="BZ129" s="481">
        <f t="shared" si="53"/>
        <v>55.083333333197515</v>
      </c>
      <c r="CA129" s="481">
        <f t="shared" si="54"/>
        <v>2.9000000000232831</v>
      </c>
      <c r="CB129" s="481">
        <f t="shared" si="55"/>
        <v>41.000000000058208</v>
      </c>
      <c r="CC129" s="481">
        <f t="shared" si="61"/>
        <v>75.333333333372138</v>
      </c>
      <c r="CD129" s="482">
        <f t="shared" si="56"/>
        <v>7.0000000001164153</v>
      </c>
      <c r="CE129" s="482">
        <f t="shared" si="57"/>
        <v>13.416666666744277</v>
      </c>
      <c r="CF129" s="483">
        <f t="shared" si="58"/>
        <v>8.1138888888963265</v>
      </c>
      <c r="CG129" s="483">
        <f t="shared" si="59"/>
        <v>12.770833333335759</v>
      </c>
      <c r="CH129" s="484">
        <f t="shared" si="60"/>
        <v>0.63534529635717729</v>
      </c>
    </row>
    <row r="130" spans="1:86" s="475" customFormat="1">
      <c r="A130" s="474">
        <f t="shared" si="49"/>
        <v>45269.095138888886</v>
      </c>
      <c r="B130" s="475" t="s">
        <v>228</v>
      </c>
      <c r="C130" s="475" t="s">
        <v>229</v>
      </c>
      <c r="D130" s="475" t="s">
        <v>197</v>
      </c>
      <c r="E130" s="399" t="s">
        <v>986</v>
      </c>
      <c r="F130" s="475" t="s">
        <v>3378</v>
      </c>
      <c r="G130" s="473">
        <v>45277.375</v>
      </c>
      <c r="H130" s="473">
        <v>45277.366666666669</v>
      </c>
      <c r="I130" s="475" t="s">
        <v>497</v>
      </c>
      <c r="J130" s="475" t="s">
        <v>192</v>
      </c>
      <c r="K130" s="475" t="s">
        <v>192</v>
      </c>
      <c r="L130" s="399" t="s">
        <v>3905</v>
      </c>
      <c r="M130" s="530"/>
      <c r="N130" s="475" t="s">
        <v>355</v>
      </c>
      <c r="O130" s="475" t="s">
        <v>356</v>
      </c>
      <c r="P130" s="399" t="s">
        <v>835</v>
      </c>
      <c r="Q130" s="477">
        <f>3107*2.4</f>
        <v>7456.7999999999993</v>
      </c>
      <c r="R130" s="477">
        <f>7500+100</f>
        <v>7600</v>
      </c>
      <c r="S130" s="477">
        <v>7644.8459999999995</v>
      </c>
      <c r="T130" s="667"/>
      <c r="U130" s="401"/>
      <c r="V130" s="580">
        <f>S130</f>
        <v>7644.8459999999995</v>
      </c>
      <c r="W130" s="581"/>
      <c r="X130" s="581"/>
      <c r="Y130" s="581"/>
      <c r="Z130" s="581"/>
      <c r="AA130" s="581"/>
      <c r="AB130" s="581"/>
      <c r="AC130" s="581"/>
      <c r="AD130" s="581"/>
      <c r="BD130" s="473">
        <f t="shared" si="50"/>
        <v>45265.534722222219</v>
      </c>
      <c r="BE130" s="473">
        <f t="shared" si="51"/>
        <v>45278.996527777781</v>
      </c>
      <c r="BF130" s="479">
        <f t="shared" si="52"/>
        <v>13.461805555562023</v>
      </c>
      <c r="BG130" s="473">
        <v>45265.534722222219</v>
      </c>
      <c r="BH130" s="473">
        <v>45266.850694444445</v>
      </c>
      <c r="BI130" s="473">
        <v>45268.6875</v>
      </c>
      <c r="BJ130" s="473">
        <v>45269.095138888886</v>
      </c>
      <c r="BK130" s="473">
        <v>45269.232638888891</v>
      </c>
      <c r="BL130" s="473">
        <v>45269.239583333336</v>
      </c>
      <c r="BM130" s="473">
        <v>45269.239583333336</v>
      </c>
      <c r="BN130" s="473">
        <f t="shared" si="62"/>
        <v>45270.947916666672</v>
      </c>
      <c r="BO130" s="480">
        <v>45270.583333333336</v>
      </c>
      <c r="BP130" s="480">
        <v>45270.75</v>
      </c>
      <c r="BQ130" s="480">
        <v>45270.743055555555</v>
      </c>
      <c r="BR130" s="473">
        <v>45274.729166666664</v>
      </c>
      <c r="BS130" s="473">
        <v>45277.930555555555</v>
      </c>
      <c r="BT130" s="473">
        <v>45278.201388888891</v>
      </c>
      <c r="BU130" s="473">
        <v>45278.21875</v>
      </c>
      <c r="BV130" s="473">
        <v>45278.642361111109</v>
      </c>
      <c r="BW130" s="473">
        <v>45278.996527777781</v>
      </c>
      <c r="BZ130" s="481">
        <f t="shared" si="53"/>
        <v>44.083333333313931</v>
      </c>
      <c r="CA130" s="481">
        <f t="shared" si="54"/>
        <v>3.3000000001047738</v>
      </c>
      <c r="CB130" s="481">
        <f t="shared" si="55"/>
        <v>41.000000000058208</v>
      </c>
      <c r="CC130" s="481">
        <f t="shared" si="61"/>
        <v>95.499999999941792</v>
      </c>
      <c r="CD130" s="482">
        <f t="shared" si="56"/>
        <v>6.5000000000582077</v>
      </c>
      <c r="CE130" s="482">
        <f t="shared" si="57"/>
        <v>8.5000000001164153</v>
      </c>
      <c r="CF130" s="483">
        <f t="shared" si="58"/>
        <v>8.2868055555663886</v>
      </c>
      <c r="CG130" s="483">
        <f t="shared" si="59"/>
        <v>13.461805555562023</v>
      </c>
      <c r="CH130" s="484">
        <f t="shared" si="60"/>
        <v>0.61557905597162066</v>
      </c>
    </row>
    <row r="131" spans="1:86" s="475" customFormat="1">
      <c r="A131" s="474">
        <f t="shared" si="49"/>
        <v>45271.010416666664</v>
      </c>
      <c r="B131" s="475" t="s">
        <v>228</v>
      </c>
      <c r="C131" s="475" t="s">
        <v>229</v>
      </c>
      <c r="D131" s="475" t="s">
        <v>215</v>
      </c>
      <c r="E131" s="476" t="s">
        <v>3188</v>
      </c>
      <c r="F131" s="475" t="s">
        <v>3378</v>
      </c>
      <c r="G131" s="472">
        <v>45274.625</v>
      </c>
      <c r="H131" s="472">
        <v>45274.604166666664</v>
      </c>
      <c r="I131" s="475" t="s">
        <v>490</v>
      </c>
      <c r="J131" s="475" t="s">
        <v>192</v>
      </c>
      <c r="K131" s="475" t="s">
        <v>192</v>
      </c>
      <c r="L131" s="399" t="s">
        <v>3906</v>
      </c>
      <c r="M131" s="529"/>
      <c r="N131" s="475" t="s">
        <v>422</v>
      </c>
      <c r="O131" s="475" t="s">
        <v>3342</v>
      </c>
      <c r="P131" s="475" t="s">
        <v>835</v>
      </c>
      <c r="Q131" s="477">
        <f>3094*2.4</f>
        <v>7425.5999999999995</v>
      </c>
      <c r="R131" s="477">
        <f>7450+100</f>
        <v>7550</v>
      </c>
      <c r="S131" s="477">
        <v>7573.1149999999998</v>
      </c>
      <c r="T131" s="399"/>
      <c r="U131" s="581"/>
      <c r="V131" s="580">
        <f>S131</f>
        <v>7573.1149999999998</v>
      </c>
      <c r="W131" s="581"/>
      <c r="X131" s="581"/>
      <c r="Y131" s="581"/>
      <c r="Z131" s="581"/>
      <c r="AA131" s="581"/>
      <c r="AB131" s="581"/>
      <c r="AC131" s="577"/>
      <c r="AD131" s="577"/>
      <c r="AE131" s="577"/>
      <c r="AF131" s="577"/>
      <c r="AG131" s="577"/>
      <c r="AH131" s="577"/>
      <c r="AI131" s="577"/>
      <c r="AJ131" s="577"/>
      <c r="BD131" s="473">
        <f t="shared" si="50"/>
        <v>45266.125</v>
      </c>
      <c r="BE131" s="473">
        <f t="shared" si="51"/>
        <v>45276.868055555555</v>
      </c>
      <c r="BF131" s="479">
        <f t="shared" si="52"/>
        <v>10.743055555554747</v>
      </c>
      <c r="BG131" s="473">
        <v>45266.125</v>
      </c>
      <c r="BH131" s="473">
        <v>45267.333333333336</v>
      </c>
      <c r="BI131" s="473">
        <v>45269.267361111109</v>
      </c>
      <c r="BJ131" s="473">
        <v>45271.010416666664</v>
      </c>
      <c r="BK131" s="473">
        <v>45271.180555555555</v>
      </c>
      <c r="BL131" s="473">
        <v>45271.184027777781</v>
      </c>
      <c r="BM131" s="473">
        <v>45271.270833333336</v>
      </c>
      <c r="BN131" s="473">
        <f t="shared" si="62"/>
        <v>45272.979166666672</v>
      </c>
      <c r="BO131" s="473">
        <v>45272.583333333336</v>
      </c>
      <c r="BP131" s="473">
        <v>45272.75</v>
      </c>
      <c r="BQ131" s="480">
        <v>45272.642361111109</v>
      </c>
      <c r="BR131" s="473">
        <v>45274.458333333336</v>
      </c>
      <c r="BS131" s="473">
        <v>45276.083333333336</v>
      </c>
      <c r="BT131" s="473">
        <v>45276.541666666664</v>
      </c>
      <c r="BU131" s="473">
        <v>45276.576388888891</v>
      </c>
      <c r="BV131" s="473">
        <v>45276.576388888891</v>
      </c>
      <c r="BW131" s="473">
        <v>45276.868055555555</v>
      </c>
      <c r="BZ131" s="481">
        <f t="shared" si="53"/>
        <v>46.416666666569654</v>
      </c>
      <c r="CA131" s="481">
        <f t="shared" si="54"/>
        <v>4.0833333333721384</v>
      </c>
      <c r="CB131" s="481">
        <f t="shared" si="55"/>
        <v>41.000000000058208</v>
      </c>
      <c r="CC131" s="481">
        <f t="shared" si="61"/>
        <v>41.000000000058208</v>
      </c>
      <c r="CD131" s="482">
        <f t="shared" si="56"/>
        <v>10.999999999883585</v>
      </c>
      <c r="CE131" s="482">
        <f t="shared" si="57"/>
        <v>6.9999999999417923</v>
      </c>
      <c r="CF131" s="483">
        <f t="shared" si="58"/>
        <v>6.2708333333284827</v>
      </c>
      <c r="CG131" s="483">
        <f t="shared" si="59"/>
        <v>10.743055555554747</v>
      </c>
      <c r="CH131" s="484">
        <f t="shared" si="60"/>
        <v>0.58371040723941137</v>
      </c>
    </row>
    <row r="132" spans="1:86" s="475" customFormat="1">
      <c r="A132" s="474">
        <f t="shared" ref="A132:A142" si="65">BJ132</f>
        <v>45273.46875</v>
      </c>
      <c r="B132" s="475" t="s">
        <v>228</v>
      </c>
      <c r="C132" s="475" t="s">
        <v>229</v>
      </c>
      <c r="D132" s="475" t="s">
        <v>197</v>
      </c>
      <c r="E132" s="399" t="s">
        <v>3191</v>
      </c>
      <c r="F132" s="475" t="s">
        <v>3474</v>
      </c>
      <c r="G132" s="473">
        <v>45276.3125</v>
      </c>
      <c r="H132" s="473">
        <v>45276.341666666667</v>
      </c>
      <c r="I132" s="475" t="s">
        <v>490</v>
      </c>
      <c r="J132" s="369" t="s">
        <v>192</v>
      </c>
      <c r="K132" s="369" t="s">
        <v>192</v>
      </c>
      <c r="L132" s="399" t="s">
        <v>3907</v>
      </c>
      <c r="M132" s="529"/>
      <c r="N132" s="475" t="s">
        <v>437</v>
      </c>
      <c r="O132" s="475" t="s">
        <v>320</v>
      </c>
      <c r="P132" s="475" t="s">
        <v>509</v>
      </c>
      <c r="Q132" s="477">
        <f>3136*2.4</f>
        <v>7526.4</v>
      </c>
      <c r="R132" s="477">
        <f>7550+100</f>
        <v>7650</v>
      </c>
      <c r="S132" s="477">
        <v>7440.0519999999997</v>
      </c>
      <c r="T132" s="667"/>
      <c r="U132" s="726">
        <f>S132*0.65</f>
        <v>4836.0338000000002</v>
      </c>
      <c r="V132" s="726">
        <f>S132*0.35</f>
        <v>2604.0181999999995</v>
      </c>
      <c r="W132" s="581"/>
      <c r="X132" s="581"/>
      <c r="Y132" s="581"/>
      <c r="Z132" s="581"/>
      <c r="AA132" s="581"/>
      <c r="AB132" s="577"/>
      <c r="AC132" s="581"/>
      <c r="AD132" s="581"/>
      <c r="AE132" s="581"/>
      <c r="AF132" s="401"/>
      <c r="AG132" s="401"/>
      <c r="AH132" s="401"/>
      <c r="AI132" s="401"/>
      <c r="AJ132" s="401"/>
      <c r="AK132" s="401"/>
      <c r="AL132" s="401"/>
      <c r="AM132" s="401"/>
      <c r="AN132" s="401"/>
      <c r="AO132" s="401"/>
      <c r="AP132" s="401"/>
      <c r="AQ132" s="401"/>
      <c r="AR132" s="401"/>
      <c r="AS132" s="401"/>
      <c r="AT132" s="401"/>
      <c r="AU132" s="401"/>
      <c r="BD132" s="473">
        <f t="shared" ref="BD132:BD149" si="66">BG132</f>
        <v>45269.302083333336</v>
      </c>
      <c r="BE132" s="473">
        <f t="shared" ref="BE132:BE149" si="67">BW132</f>
        <v>45281.239583333336</v>
      </c>
      <c r="BF132" s="479">
        <f t="shared" ref="BF132:BF149" si="68">BE132-BD132</f>
        <v>11.9375</v>
      </c>
      <c r="BG132" s="473">
        <v>45269.302083333336</v>
      </c>
      <c r="BH132" s="473">
        <v>45270.361111111109</v>
      </c>
      <c r="BI132" s="473">
        <v>45272.138888888891</v>
      </c>
      <c r="BJ132" s="473">
        <v>45273.46875</v>
      </c>
      <c r="BK132" s="473">
        <v>45273.635416666664</v>
      </c>
      <c r="BL132" s="473">
        <v>45273.638888888891</v>
      </c>
      <c r="BM132" s="473">
        <v>45273.638888888891</v>
      </c>
      <c r="BN132" s="473">
        <f t="shared" si="62"/>
        <v>45275.347222222226</v>
      </c>
      <c r="BO132" s="480">
        <v>45275.229166608799</v>
      </c>
      <c r="BP132" s="480">
        <v>45275.395833275463</v>
      </c>
      <c r="BQ132" s="480">
        <v>45275.298611111109</v>
      </c>
      <c r="BR132" s="473">
        <v>45276.9375</v>
      </c>
      <c r="BS132" s="473">
        <v>45280.770833333336</v>
      </c>
      <c r="BT132" s="473">
        <v>45280.913194444445</v>
      </c>
      <c r="BU132" s="473">
        <v>45280.934027777781</v>
      </c>
      <c r="BV132" s="473">
        <v>45281.010416666664</v>
      </c>
      <c r="BW132" s="473">
        <v>45281.239583333336</v>
      </c>
      <c r="BX132" s="475" t="s">
        <v>3908</v>
      </c>
      <c r="BZ132" s="481">
        <f t="shared" ref="BZ132:BZ149" si="69">(BI132-BH132)*24</f>
        <v>42.666666666744277</v>
      </c>
      <c r="CA132" s="481">
        <f t="shared" ref="CA132:CA149" si="70">(BK132-BJ132)*24</f>
        <v>3.9999999999417923</v>
      </c>
      <c r="CB132" s="481">
        <f t="shared" ref="CB132:CB149" si="71">(BN132-BM132)*24</f>
        <v>41.000000000058208</v>
      </c>
      <c r="CC132" s="481">
        <f t="shared" si="61"/>
        <v>37.000001388892997</v>
      </c>
      <c r="CD132" s="482">
        <f t="shared" ref="CD132:CD149" si="72">(BT132-BS132)*24</f>
        <v>3.4166666666278616</v>
      </c>
      <c r="CE132" s="482">
        <f t="shared" ref="CE132:CE149" si="73">(BW132-BV132)*24</f>
        <v>5.5000000001164153</v>
      </c>
      <c r="CF132" s="483">
        <f t="shared" ref="CF132:CF149" si="74">SUM(BZ132:CE132)/24</f>
        <v>5.5659722800992313</v>
      </c>
      <c r="CG132" s="483">
        <f t="shared" ref="CG132:CG149" si="75">BF132</f>
        <v>11.9375</v>
      </c>
      <c r="CH132" s="484">
        <f t="shared" ref="CH132:CH149" si="76">CF132/CG132</f>
        <v>0.46625945801878377</v>
      </c>
    </row>
    <row r="133" spans="1:86" s="475" customFormat="1">
      <c r="A133" s="474">
        <f t="shared" si="65"/>
        <v>45273.621527777781</v>
      </c>
      <c r="B133" s="475" t="s">
        <v>228</v>
      </c>
      <c r="C133" s="475" t="s">
        <v>229</v>
      </c>
      <c r="D133" s="475" t="s">
        <v>197</v>
      </c>
      <c r="E133" s="399" t="s">
        <v>3191</v>
      </c>
      <c r="F133" s="475" t="s">
        <v>3474</v>
      </c>
      <c r="G133" s="473">
        <v>45276.3125</v>
      </c>
      <c r="H133" s="473">
        <v>45276.341666666667</v>
      </c>
      <c r="I133" s="475" t="s">
        <v>490</v>
      </c>
      <c r="J133" s="475" t="s">
        <v>192</v>
      </c>
      <c r="K133" s="475" t="s">
        <v>192</v>
      </c>
      <c r="L133" s="399" t="s">
        <v>3909</v>
      </c>
      <c r="M133" s="530"/>
      <c r="N133" s="475" t="s">
        <v>298</v>
      </c>
      <c r="O133" s="475" t="s">
        <v>299</v>
      </c>
      <c r="P133" s="475" t="s">
        <v>509</v>
      </c>
      <c r="Q133" s="477">
        <f>4337*2.4</f>
        <v>10408.799999999999</v>
      </c>
      <c r="R133" s="477">
        <f>10450+100</f>
        <v>10550</v>
      </c>
      <c r="S133" s="477">
        <v>10356.275</v>
      </c>
      <c r="T133" s="667"/>
      <c r="U133" s="726">
        <f>S133*0.65</f>
        <v>6731.5787499999997</v>
      </c>
      <c r="V133" s="726">
        <f>S133*0.35</f>
        <v>3624.6962499999995</v>
      </c>
      <c r="W133" s="581"/>
      <c r="X133" s="581"/>
      <c r="Y133" s="581"/>
      <c r="Z133" s="581"/>
      <c r="AA133" s="581"/>
      <c r="AB133" s="581"/>
      <c r="AC133" s="401"/>
      <c r="AD133" s="401"/>
      <c r="AE133" s="401"/>
      <c r="AF133" s="401"/>
      <c r="AG133" s="401"/>
      <c r="AH133" s="401"/>
      <c r="AI133" s="401"/>
      <c r="AJ133" s="401"/>
      <c r="AK133" s="401"/>
      <c r="AL133" s="401"/>
      <c r="AM133" s="401"/>
      <c r="AN133" s="401"/>
      <c r="AO133" s="401"/>
      <c r="AP133" s="401"/>
      <c r="AQ133" s="401"/>
      <c r="AR133" s="401"/>
      <c r="AS133" s="401"/>
      <c r="AT133" s="401"/>
      <c r="AU133" s="401"/>
      <c r="AV133" s="401"/>
      <c r="AW133" s="401"/>
      <c r="AX133" s="401"/>
      <c r="AY133" s="401"/>
      <c r="AZ133" s="401"/>
      <c r="BA133" s="401"/>
      <c r="BB133" s="401"/>
      <c r="BC133" s="401"/>
      <c r="BD133" s="473">
        <f t="shared" si="66"/>
        <v>45270.9375</v>
      </c>
      <c r="BE133" s="473">
        <f t="shared" si="67"/>
        <v>45281.673611111109</v>
      </c>
      <c r="BF133" s="479">
        <f t="shared" si="68"/>
        <v>10.736111111109494</v>
      </c>
      <c r="BG133" s="473">
        <v>45270.9375</v>
      </c>
      <c r="BH133" s="473">
        <v>45271.802083333336</v>
      </c>
      <c r="BI133" s="473">
        <v>45273.46597222222</v>
      </c>
      <c r="BJ133" s="473">
        <v>45273.621527777781</v>
      </c>
      <c r="BK133" s="473">
        <v>45273.875</v>
      </c>
      <c r="BL133" s="473">
        <v>45273.885416666664</v>
      </c>
      <c r="BM133" s="473">
        <v>45273.885416666664</v>
      </c>
      <c r="BN133" s="473">
        <f t="shared" si="62"/>
        <v>45275.59375</v>
      </c>
      <c r="BO133" s="473">
        <v>45275.229166608799</v>
      </c>
      <c r="BP133" s="473">
        <v>45275.395833275463</v>
      </c>
      <c r="BQ133" s="473">
        <v>45275.368055555555</v>
      </c>
      <c r="BR133" s="473">
        <v>45277.010416666664</v>
      </c>
      <c r="BS133" s="473">
        <v>45280.975694444445</v>
      </c>
      <c r="BT133" s="473">
        <v>45281.277777777781</v>
      </c>
      <c r="BU133" s="473">
        <v>45281.309027777781</v>
      </c>
      <c r="BV133" s="473">
        <v>45281.309027777781</v>
      </c>
      <c r="BW133" s="473">
        <v>45281.673611111109</v>
      </c>
      <c r="BX133" s="475" t="s">
        <v>3908</v>
      </c>
      <c r="BZ133" s="481">
        <f t="shared" si="69"/>
        <v>39.93333333323244</v>
      </c>
      <c r="CA133" s="481">
        <f t="shared" si="70"/>
        <v>6.0833333332557231</v>
      </c>
      <c r="CB133" s="481">
        <f t="shared" si="71"/>
        <v>41.000000000058208</v>
      </c>
      <c r="CC133" s="481">
        <f t="shared" si="61"/>
        <v>38.750001388834789</v>
      </c>
      <c r="CD133" s="482">
        <f t="shared" si="72"/>
        <v>7.2500000000582077</v>
      </c>
      <c r="CE133" s="482">
        <f t="shared" si="73"/>
        <v>8.7499999998835847</v>
      </c>
      <c r="CF133" s="483">
        <f t="shared" si="74"/>
        <v>5.906944502305123</v>
      </c>
      <c r="CG133" s="483">
        <f t="shared" si="75"/>
        <v>10.736111111109494</v>
      </c>
      <c r="CH133" s="484">
        <f t="shared" si="76"/>
        <v>0.55019405454855486</v>
      </c>
    </row>
    <row r="134" spans="1:86" s="475" customFormat="1">
      <c r="A134" s="474">
        <f t="shared" si="65"/>
        <v>45274.254861111112</v>
      </c>
      <c r="B134" s="475" t="s">
        <v>228</v>
      </c>
      <c r="C134" s="475" t="s">
        <v>229</v>
      </c>
      <c r="D134" s="475" t="s">
        <v>197</v>
      </c>
      <c r="E134" s="399" t="s">
        <v>3191</v>
      </c>
      <c r="F134" s="475" t="s">
        <v>3474</v>
      </c>
      <c r="G134" s="473">
        <v>45276.3125</v>
      </c>
      <c r="H134" s="473">
        <v>45276.341666666667</v>
      </c>
      <c r="I134" s="475" t="s">
        <v>490</v>
      </c>
      <c r="J134" s="475" t="s">
        <v>192</v>
      </c>
      <c r="K134" s="475" t="s">
        <v>192</v>
      </c>
      <c r="L134" s="399" t="s">
        <v>3910</v>
      </c>
      <c r="M134" s="530"/>
      <c r="N134" s="475" t="s">
        <v>70</v>
      </c>
      <c r="O134" s="475" t="s">
        <v>1982</v>
      </c>
      <c r="P134" s="475" t="s">
        <v>509</v>
      </c>
      <c r="Q134" s="477">
        <f>3142*2.4</f>
        <v>7540.7999999999993</v>
      </c>
      <c r="R134" s="477">
        <f>7550+100</f>
        <v>7650</v>
      </c>
      <c r="S134" s="477">
        <v>7639.8339999999998</v>
      </c>
      <c r="T134" s="667"/>
      <c r="U134" s="726">
        <f>S134*0.65</f>
        <v>4965.8921</v>
      </c>
      <c r="V134" s="726">
        <f>S134*0.35</f>
        <v>2673.9418999999998</v>
      </c>
      <c r="W134" s="581"/>
      <c r="X134" s="581"/>
      <c r="Y134" s="581"/>
      <c r="Z134" s="581"/>
      <c r="AA134" s="581"/>
      <c r="AB134" s="581"/>
      <c r="AC134" s="581"/>
      <c r="AD134" s="581"/>
      <c r="AE134" s="667"/>
      <c r="AF134" s="667"/>
      <c r="AG134" s="667"/>
      <c r="AH134" s="667"/>
      <c r="AI134" s="667"/>
      <c r="AJ134" s="667"/>
      <c r="AK134" s="667"/>
      <c r="AL134" s="667"/>
      <c r="AN134" s="667"/>
      <c r="AO134" s="667"/>
      <c r="AP134" s="667"/>
      <c r="AQ134" s="667"/>
      <c r="AR134" s="667"/>
      <c r="AS134" s="667"/>
      <c r="AT134" s="667"/>
      <c r="AU134" s="667"/>
      <c r="AV134" s="667"/>
      <c r="AW134" s="667"/>
      <c r="BD134" s="473">
        <f t="shared" si="66"/>
        <v>45270.564583333333</v>
      </c>
      <c r="BE134" s="473">
        <f t="shared" si="67"/>
        <v>45281.940972222219</v>
      </c>
      <c r="BF134" s="479">
        <f t="shared" si="68"/>
        <v>11.37638888888614</v>
      </c>
      <c r="BG134" s="473">
        <v>45270.564583333333</v>
      </c>
      <c r="BH134" s="473">
        <v>45272.315972222219</v>
      </c>
      <c r="BI134" s="473">
        <v>45274.138888888891</v>
      </c>
      <c r="BJ134" s="473">
        <v>45274.254861111112</v>
      </c>
      <c r="BK134" s="473">
        <v>45274.447916666664</v>
      </c>
      <c r="BL134" s="473">
        <v>45274.454861111109</v>
      </c>
      <c r="BM134" s="473">
        <v>45274.465277777781</v>
      </c>
      <c r="BN134" s="473">
        <f t="shared" si="62"/>
        <v>45276.173611111117</v>
      </c>
      <c r="BO134" s="473">
        <v>45276.25</v>
      </c>
      <c r="BP134" s="473">
        <v>45276.416666666664</v>
      </c>
      <c r="BQ134" s="473">
        <v>45276.291666666664</v>
      </c>
      <c r="BR134" s="473">
        <v>45277.572916666664</v>
      </c>
      <c r="BS134" s="473">
        <v>45281.350694444445</v>
      </c>
      <c r="BT134" s="473">
        <v>45281.708333333336</v>
      </c>
      <c r="BU134" s="473">
        <v>45281.743055555555</v>
      </c>
      <c r="BV134" s="473">
        <v>45281.729166666664</v>
      </c>
      <c r="BW134" s="473">
        <v>45281.940972222219</v>
      </c>
      <c r="BX134" s="475" t="s">
        <v>3911</v>
      </c>
      <c r="BZ134" s="481">
        <f t="shared" si="69"/>
        <v>43.750000000116415</v>
      </c>
      <c r="CA134" s="481">
        <f t="shared" si="70"/>
        <v>4.6333333332440816</v>
      </c>
      <c r="CB134" s="481">
        <f t="shared" si="71"/>
        <v>41.000000000058208</v>
      </c>
      <c r="CC134" s="481">
        <f t="shared" si="61"/>
        <v>27.75</v>
      </c>
      <c r="CD134" s="482">
        <f t="shared" si="72"/>
        <v>8.5833333333721384</v>
      </c>
      <c r="CE134" s="482">
        <f t="shared" si="73"/>
        <v>5.0833333333139308</v>
      </c>
      <c r="CF134" s="483">
        <f t="shared" si="74"/>
        <v>5.4500000000043656</v>
      </c>
      <c r="CG134" s="483">
        <f t="shared" si="75"/>
        <v>11.37638888888614</v>
      </c>
      <c r="CH134" s="484">
        <f t="shared" si="76"/>
        <v>0.47906238554560998</v>
      </c>
    </row>
    <row r="135" spans="1:86" s="475" customFormat="1">
      <c r="A135" s="474">
        <f t="shared" si="65"/>
        <v>45274.475694444445</v>
      </c>
      <c r="B135" s="475" t="s">
        <v>228</v>
      </c>
      <c r="C135" s="475" t="s">
        <v>229</v>
      </c>
      <c r="D135" s="475" t="s">
        <v>197</v>
      </c>
      <c r="E135" s="399" t="s">
        <v>3191</v>
      </c>
      <c r="F135" s="475" t="s">
        <v>3474</v>
      </c>
      <c r="G135" s="473">
        <v>45276.3125</v>
      </c>
      <c r="H135" s="473">
        <v>45276.341666666667</v>
      </c>
      <c r="I135" s="475" t="s">
        <v>490</v>
      </c>
      <c r="J135" s="475" t="s">
        <v>192</v>
      </c>
      <c r="K135" s="475" t="s">
        <v>192</v>
      </c>
      <c r="L135" s="399" t="s">
        <v>3912</v>
      </c>
      <c r="M135" s="530"/>
      <c r="N135" s="475" t="s">
        <v>406</v>
      </c>
      <c r="O135" s="475" t="s">
        <v>407</v>
      </c>
      <c r="P135" s="399" t="s">
        <v>509</v>
      </c>
      <c r="Q135" s="477">
        <f>3107*2.4</f>
        <v>7456.7999999999993</v>
      </c>
      <c r="R135" s="477">
        <f>7500+100</f>
        <v>7600</v>
      </c>
      <c r="S135" s="477">
        <v>7662.52</v>
      </c>
      <c r="T135" s="399"/>
      <c r="U135" s="726">
        <f>S135*0.65</f>
        <v>4980.6380000000008</v>
      </c>
      <c r="V135" s="726">
        <f>S135*0.35</f>
        <v>2681.8820000000001</v>
      </c>
      <c r="W135" s="581"/>
      <c r="X135" s="581"/>
      <c r="Y135" s="581"/>
      <c r="Z135" s="581"/>
      <c r="AA135" s="581"/>
      <c r="AB135" s="581"/>
      <c r="AC135" s="581"/>
      <c r="AD135" s="581"/>
      <c r="AE135" s="581"/>
      <c r="BD135" s="473">
        <f t="shared" si="66"/>
        <v>45270.770833333336</v>
      </c>
      <c r="BE135" s="473">
        <f t="shared" si="67"/>
        <v>45282.628472222219</v>
      </c>
      <c r="BF135" s="479">
        <f t="shared" si="68"/>
        <v>11.85763888888323</v>
      </c>
      <c r="BG135" s="473">
        <v>45270.770833333336</v>
      </c>
      <c r="BH135" s="473">
        <v>45272.420138888891</v>
      </c>
      <c r="BI135" s="473">
        <v>45274.145833333336</v>
      </c>
      <c r="BJ135" s="473">
        <v>45274.475694444445</v>
      </c>
      <c r="BK135" s="473">
        <v>45274.635416666664</v>
      </c>
      <c r="BL135" s="473">
        <v>45274.642361111109</v>
      </c>
      <c r="BM135" s="473">
        <v>45274.652777777781</v>
      </c>
      <c r="BN135" s="473">
        <f t="shared" si="62"/>
        <v>45276.361111111117</v>
      </c>
      <c r="BO135" s="473">
        <v>45276.25</v>
      </c>
      <c r="BP135" s="473">
        <v>45276.416666666664</v>
      </c>
      <c r="BQ135" s="473">
        <v>45276.361111111109</v>
      </c>
      <c r="BR135" s="473">
        <v>45277.565972222219</v>
      </c>
      <c r="BS135" s="473">
        <v>45281.784722222219</v>
      </c>
      <c r="BT135" s="473">
        <v>45282.15625</v>
      </c>
      <c r="BU135" s="473">
        <v>45282.1875</v>
      </c>
      <c r="BV135" s="473">
        <v>45282.40625</v>
      </c>
      <c r="BW135" s="473">
        <v>45282.628472222219</v>
      </c>
      <c r="BX135" s="475" t="s">
        <v>3913</v>
      </c>
      <c r="BZ135" s="481">
        <f t="shared" si="69"/>
        <v>41.416666666686069</v>
      </c>
      <c r="CA135" s="481">
        <f t="shared" si="70"/>
        <v>3.8333333332557231</v>
      </c>
      <c r="CB135" s="481">
        <f t="shared" si="71"/>
        <v>41.000000000058208</v>
      </c>
      <c r="CC135" s="481">
        <f t="shared" si="61"/>
        <v>27.583333333313931</v>
      </c>
      <c r="CD135" s="482">
        <f t="shared" si="72"/>
        <v>8.9166666667442769</v>
      </c>
      <c r="CE135" s="482">
        <f t="shared" si="73"/>
        <v>5.3333333332557231</v>
      </c>
      <c r="CF135" s="483">
        <f t="shared" si="74"/>
        <v>5.3368055555547471</v>
      </c>
      <c r="CG135" s="483">
        <f t="shared" si="75"/>
        <v>11.85763888888323</v>
      </c>
      <c r="CH135" s="484">
        <f t="shared" si="76"/>
        <v>0.45007320644231352</v>
      </c>
    </row>
    <row r="136" spans="1:86" s="475" customFormat="1">
      <c r="A136" s="474">
        <f t="shared" si="65"/>
        <v>45275.802083333336</v>
      </c>
      <c r="B136" s="475" t="s">
        <v>228</v>
      </c>
      <c r="C136" s="475" t="s">
        <v>229</v>
      </c>
      <c r="D136" s="475" t="s">
        <v>197</v>
      </c>
      <c r="E136" s="399" t="s">
        <v>3191</v>
      </c>
      <c r="F136" s="475" t="s">
        <v>3474</v>
      </c>
      <c r="G136" s="473">
        <v>45276.3125</v>
      </c>
      <c r="H136" s="473">
        <v>45276.341666666667</v>
      </c>
      <c r="I136" s="475" t="s">
        <v>490</v>
      </c>
      <c r="J136" s="475" t="s">
        <v>192</v>
      </c>
      <c r="K136" s="475" t="s">
        <v>192</v>
      </c>
      <c r="L136" s="399" t="s">
        <v>3914</v>
      </c>
      <c r="M136" s="530"/>
      <c r="N136" s="475" t="s">
        <v>1240</v>
      </c>
      <c r="O136" s="475" t="s">
        <v>1241</v>
      </c>
      <c r="P136" s="399" t="s">
        <v>494</v>
      </c>
      <c r="Q136" s="477">
        <f>3243*2.4</f>
        <v>7783.2</v>
      </c>
      <c r="R136" s="477">
        <v>7500</v>
      </c>
      <c r="S136" s="477">
        <f>7719.127-6405.336</f>
        <v>1313.7910000000002</v>
      </c>
      <c r="T136" s="667"/>
      <c r="U136" s="726">
        <f>S136</f>
        <v>1313.7910000000002</v>
      </c>
      <c r="W136" s="581"/>
      <c r="X136" s="581"/>
      <c r="Y136" s="581"/>
      <c r="Z136" s="581"/>
      <c r="AA136" s="581"/>
      <c r="AB136" s="401"/>
      <c r="AC136" s="581"/>
      <c r="AD136" s="581"/>
      <c r="AE136" s="401"/>
      <c r="AF136" s="401"/>
      <c r="AG136" s="401"/>
      <c r="AH136" s="401"/>
      <c r="AI136" s="401"/>
      <c r="AJ136" s="401"/>
      <c r="AK136" s="401"/>
      <c r="AL136" s="401"/>
      <c r="AM136" s="401"/>
      <c r="AN136" s="401"/>
      <c r="AO136" s="401"/>
      <c r="AP136" s="401"/>
      <c r="AQ136" s="401"/>
      <c r="AR136" s="401"/>
      <c r="AS136" s="401"/>
      <c r="AT136" s="401"/>
      <c r="AU136" s="401"/>
      <c r="BD136" s="473">
        <f t="shared" si="66"/>
        <v>45272.777777777781</v>
      </c>
      <c r="BE136" s="473">
        <f t="shared" si="67"/>
        <v>45282.3125</v>
      </c>
      <c r="BF136" s="479">
        <f t="shared" si="68"/>
        <v>9.5347222222189885</v>
      </c>
      <c r="BG136" s="473">
        <v>45272.777777777781</v>
      </c>
      <c r="BH136" s="473">
        <v>45273.761805555558</v>
      </c>
      <c r="BI136" s="473">
        <v>45275.71875</v>
      </c>
      <c r="BJ136" s="473">
        <v>45275.802083333336</v>
      </c>
      <c r="BK136" s="473">
        <v>45275.930555555555</v>
      </c>
      <c r="BL136" s="473">
        <v>45275.9375</v>
      </c>
      <c r="BM136" s="473">
        <v>45275.9375</v>
      </c>
      <c r="BN136" s="473">
        <f t="shared" si="62"/>
        <v>45277.645833333336</v>
      </c>
      <c r="BO136" s="480">
        <v>45278.291666666664</v>
      </c>
      <c r="BP136" s="480">
        <v>45278.458333333328</v>
      </c>
      <c r="BQ136" s="480">
        <v>45278.340277777781</v>
      </c>
      <c r="BR136" s="473">
        <v>45279.791666666664</v>
      </c>
      <c r="BS136" s="473">
        <v>45282.208333333336</v>
      </c>
      <c r="BT136" s="473">
        <v>45282.243055555555</v>
      </c>
      <c r="BU136" s="473">
        <v>45282.3125</v>
      </c>
      <c r="BV136" s="473">
        <v>45282.3125</v>
      </c>
      <c r="BW136" s="473">
        <v>45282.3125</v>
      </c>
      <c r="BZ136" s="481">
        <f t="shared" si="69"/>
        <v>46.96666666661622</v>
      </c>
      <c r="CA136" s="481">
        <f t="shared" si="70"/>
        <v>3.0833333332557231</v>
      </c>
      <c r="CB136" s="481">
        <f t="shared" si="71"/>
        <v>41.000000000058208</v>
      </c>
      <c r="CC136" s="481">
        <f t="shared" si="61"/>
        <v>32.000000000058208</v>
      </c>
      <c r="CD136" s="482">
        <f t="shared" si="72"/>
        <v>0.83333333325572312</v>
      </c>
      <c r="CE136" s="482">
        <f t="shared" si="73"/>
        <v>0</v>
      </c>
      <c r="CF136" s="483">
        <f t="shared" si="74"/>
        <v>5.1618055555518367</v>
      </c>
      <c r="CG136" s="483">
        <f t="shared" si="75"/>
        <v>9.5347222222189885</v>
      </c>
      <c r="CH136" s="484">
        <f t="shared" si="76"/>
        <v>0.54136926438435296</v>
      </c>
    </row>
    <row r="137" spans="1:86" s="475" customFormat="1">
      <c r="A137" s="474">
        <f t="shared" si="65"/>
        <v>45275.802083333336</v>
      </c>
      <c r="B137" s="475" t="s">
        <v>228</v>
      </c>
      <c r="C137" s="475" t="s">
        <v>229</v>
      </c>
      <c r="D137" s="475" t="s">
        <v>197</v>
      </c>
      <c r="E137" s="399" t="s">
        <v>3207</v>
      </c>
      <c r="F137" s="475" t="s">
        <v>3474</v>
      </c>
      <c r="G137" s="472">
        <v>45282.125</v>
      </c>
      <c r="H137" s="472">
        <v>45282.184027777781</v>
      </c>
      <c r="I137" s="475" t="s">
        <v>490</v>
      </c>
      <c r="J137" s="475" t="s">
        <v>192</v>
      </c>
      <c r="K137" s="475" t="s">
        <v>192</v>
      </c>
      <c r="L137" s="399" t="s">
        <v>3914</v>
      </c>
      <c r="M137" s="530"/>
      <c r="N137" s="475" t="s">
        <v>1240</v>
      </c>
      <c r="O137" s="475" t="s">
        <v>1241</v>
      </c>
      <c r="P137" s="399" t="s">
        <v>494</v>
      </c>
      <c r="Q137" s="477">
        <f>3243*2.4</f>
        <v>7783.2</v>
      </c>
      <c r="R137" s="477">
        <v>7500</v>
      </c>
      <c r="S137" s="477">
        <v>6388.4790000000003</v>
      </c>
      <c r="T137" s="667"/>
      <c r="U137" s="726">
        <f>S137</f>
        <v>6388.4790000000003</v>
      </c>
      <c r="W137" s="581"/>
      <c r="X137" s="581"/>
      <c r="Y137" s="581"/>
      <c r="Z137" s="581"/>
      <c r="AA137" s="581"/>
      <c r="AB137" s="401"/>
      <c r="AC137" s="581"/>
      <c r="AD137" s="581"/>
      <c r="AE137" s="401"/>
      <c r="AF137" s="401"/>
      <c r="AG137" s="401"/>
      <c r="AH137" s="401"/>
      <c r="AI137" s="401"/>
      <c r="AJ137" s="401"/>
      <c r="AK137" s="401"/>
      <c r="AL137" s="401"/>
      <c r="AM137" s="401"/>
      <c r="AN137" s="401"/>
      <c r="AO137" s="401"/>
      <c r="AP137" s="401"/>
      <c r="AQ137" s="401"/>
      <c r="AR137" s="401"/>
      <c r="AS137" s="401"/>
      <c r="AT137" s="401"/>
      <c r="AU137" s="401"/>
      <c r="BD137" s="473">
        <f t="shared" si="66"/>
        <v>45272.777777777781</v>
      </c>
      <c r="BE137" s="473">
        <f t="shared" si="67"/>
        <v>45288.861805555556</v>
      </c>
      <c r="BF137" s="479">
        <f t="shared" si="68"/>
        <v>16.084027777775191</v>
      </c>
      <c r="BG137" s="473">
        <v>45272.777777777781</v>
      </c>
      <c r="BH137" s="473">
        <v>45273.761805555558</v>
      </c>
      <c r="BI137" s="473">
        <v>45275.71875</v>
      </c>
      <c r="BJ137" s="473">
        <v>45275.802083333336</v>
      </c>
      <c r="BK137" s="473">
        <v>45275.930555555555</v>
      </c>
      <c r="BL137" s="473">
        <v>45275.9375</v>
      </c>
      <c r="BM137" s="473">
        <v>45275.9375</v>
      </c>
      <c r="BN137" s="473">
        <f t="shared" si="62"/>
        <v>45277.645833333336</v>
      </c>
      <c r="BO137" s="480">
        <v>45278.291666666664</v>
      </c>
      <c r="BP137" s="480">
        <v>45278.458333333328</v>
      </c>
      <c r="BQ137" s="480">
        <v>45278.340277777781</v>
      </c>
      <c r="BR137" s="473">
        <v>45282.3125</v>
      </c>
      <c r="BS137" s="473">
        <v>45288.291666666664</v>
      </c>
      <c r="BT137" s="473">
        <v>45288.555555555555</v>
      </c>
      <c r="BU137" s="473">
        <v>45288.576388888891</v>
      </c>
      <c r="BV137" s="473">
        <v>45288.576388888891</v>
      </c>
      <c r="BW137" s="473">
        <v>45288.861805555556</v>
      </c>
      <c r="BZ137" s="481">
        <f t="shared" si="69"/>
        <v>46.96666666661622</v>
      </c>
      <c r="CA137" s="481">
        <f t="shared" si="70"/>
        <v>3.0833333332557231</v>
      </c>
      <c r="CB137" s="481">
        <f t="shared" si="71"/>
        <v>41.000000000058208</v>
      </c>
      <c r="CC137" s="481">
        <f t="shared" si="61"/>
        <v>92.500000000116415</v>
      </c>
      <c r="CD137" s="482">
        <f t="shared" si="72"/>
        <v>6.3333333333721384</v>
      </c>
      <c r="CE137" s="482">
        <f t="shared" si="73"/>
        <v>6.8499999999767169</v>
      </c>
      <c r="CF137" s="483">
        <f t="shared" si="74"/>
        <v>8.1972222222248092</v>
      </c>
      <c r="CG137" s="483">
        <f t="shared" si="75"/>
        <v>16.084027777775191</v>
      </c>
      <c r="CH137" s="484">
        <f t="shared" si="76"/>
        <v>0.50964984240773814</v>
      </c>
    </row>
    <row r="138" spans="1:86" s="475" customFormat="1">
      <c r="A138" s="474">
        <f t="shared" si="65"/>
        <v>45280.3125</v>
      </c>
      <c r="B138" s="475" t="s">
        <v>228</v>
      </c>
      <c r="C138" s="475" t="s">
        <v>229</v>
      </c>
      <c r="D138" s="475" t="s">
        <v>197</v>
      </c>
      <c r="E138" s="399" t="s">
        <v>3199</v>
      </c>
      <c r="F138" s="399" t="s">
        <v>3378</v>
      </c>
      <c r="G138" s="472">
        <v>45281.104166666664</v>
      </c>
      <c r="H138" s="472">
        <v>45281.104166666664</v>
      </c>
      <c r="I138" s="475" t="s">
        <v>490</v>
      </c>
      <c r="J138" s="475" t="s">
        <v>192</v>
      </c>
      <c r="K138" s="475" t="s">
        <v>192</v>
      </c>
      <c r="L138" s="399" t="s">
        <v>3915</v>
      </c>
      <c r="M138" s="530"/>
      <c r="N138" s="475" t="s">
        <v>2388</v>
      </c>
      <c r="O138" s="475" t="s">
        <v>289</v>
      </c>
      <c r="P138" s="399" t="s">
        <v>835</v>
      </c>
      <c r="Q138" s="477">
        <f>3107*2.4</f>
        <v>7456.7999999999993</v>
      </c>
      <c r="R138" s="477">
        <f>7500+100</f>
        <v>7600</v>
      </c>
      <c r="S138" s="477">
        <v>7500.0619999999999</v>
      </c>
      <c r="T138" s="477"/>
      <c r="U138" s="581"/>
      <c r="V138" s="580">
        <f>S138</f>
        <v>7500.0619999999999</v>
      </c>
      <c r="W138" s="581"/>
      <c r="X138" s="401"/>
      <c r="Y138" s="401"/>
      <c r="Z138" s="401"/>
      <c r="AA138" s="581"/>
      <c r="AB138" s="401"/>
      <c r="AC138" s="401"/>
      <c r="AD138" s="401"/>
      <c r="AE138" s="401"/>
      <c r="AF138" s="401"/>
      <c r="AG138" s="401"/>
      <c r="AH138" s="401"/>
      <c r="AI138" s="401"/>
      <c r="AJ138" s="401"/>
      <c r="AK138" s="401"/>
      <c r="AL138" s="401"/>
      <c r="AM138" s="401"/>
      <c r="AN138" s="401"/>
      <c r="AO138" s="401"/>
      <c r="AP138" s="401"/>
      <c r="AQ138" s="401"/>
      <c r="AR138" s="401"/>
      <c r="AS138" s="401"/>
      <c r="AT138" s="401"/>
      <c r="AU138" s="401"/>
      <c r="AV138" s="401"/>
      <c r="AW138" s="401"/>
      <c r="AX138" s="401"/>
      <c r="AY138" s="401"/>
      <c r="AZ138" s="401"/>
      <c r="BA138" s="401"/>
      <c r="BB138" s="401"/>
      <c r="BC138" s="401"/>
      <c r="BD138" s="473">
        <f t="shared" si="66"/>
        <v>45276.520833333336</v>
      </c>
      <c r="BE138" s="473">
        <f t="shared" si="67"/>
        <v>45285.75</v>
      </c>
      <c r="BF138" s="479">
        <f t="shared" si="68"/>
        <v>9.2291666666642413</v>
      </c>
      <c r="BG138" s="473">
        <v>45276.520833333336</v>
      </c>
      <c r="BH138" s="473">
        <v>45277.618055555555</v>
      </c>
      <c r="BI138" s="473">
        <v>45279.645833333336</v>
      </c>
      <c r="BJ138" s="473">
        <v>45280.3125</v>
      </c>
      <c r="BK138" s="473">
        <v>45280.527777777781</v>
      </c>
      <c r="BL138" s="473">
        <v>45280.534722222219</v>
      </c>
      <c r="BM138" s="473">
        <v>45280.548611111109</v>
      </c>
      <c r="BN138" s="473">
        <f t="shared" si="62"/>
        <v>45282.256944444445</v>
      </c>
      <c r="BO138" s="473">
        <v>45282.541666666664</v>
      </c>
      <c r="BP138" s="473">
        <v>45282.708333333336</v>
      </c>
      <c r="BQ138" s="473">
        <v>45282.638888888891</v>
      </c>
      <c r="BR138" s="473">
        <v>45283.71875</v>
      </c>
      <c r="BS138" s="473">
        <v>45285.152777777781</v>
      </c>
      <c r="BT138" s="473">
        <v>45285.465277777781</v>
      </c>
      <c r="BU138" s="473">
        <v>45285.486111111109</v>
      </c>
      <c r="BV138" s="473">
        <v>45285.486111111109</v>
      </c>
      <c r="BW138" s="473">
        <v>45285.75</v>
      </c>
      <c r="BZ138" s="481">
        <f t="shared" si="69"/>
        <v>48.666666666744277</v>
      </c>
      <c r="CA138" s="481">
        <f t="shared" si="70"/>
        <v>5.1666666667442769</v>
      </c>
      <c r="CB138" s="481">
        <f t="shared" si="71"/>
        <v>41.000000000058208</v>
      </c>
      <c r="CC138" s="481">
        <f t="shared" si="61"/>
        <v>24.249999999941792</v>
      </c>
      <c r="CD138" s="482">
        <f t="shared" si="72"/>
        <v>7.5</v>
      </c>
      <c r="CE138" s="482">
        <f t="shared" si="73"/>
        <v>6.3333333333721384</v>
      </c>
      <c r="CF138" s="483">
        <f t="shared" si="74"/>
        <v>5.5381944444525288</v>
      </c>
      <c r="CG138" s="483">
        <f t="shared" si="75"/>
        <v>9.2291666666642413</v>
      </c>
      <c r="CH138" s="484">
        <f t="shared" si="76"/>
        <v>0.60007524454580419</v>
      </c>
    </row>
    <row r="139" spans="1:86" s="475" customFormat="1">
      <c r="A139" s="474">
        <f t="shared" si="65"/>
        <v>45279.944444444445</v>
      </c>
      <c r="B139" s="475" t="s">
        <v>228</v>
      </c>
      <c r="C139" s="475" t="s">
        <v>229</v>
      </c>
      <c r="D139" s="475" t="s">
        <v>197</v>
      </c>
      <c r="E139" s="399" t="s">
        <v>3199</v>
      </c>
      <c r="F139" s="399" t="s">
        <v>3378</v>
      </c>
      <c r="G139" s="472">
        <v>45281.104166666664</v>
      </c>
      <c r="H139" s="472">
        <v>45281.104166666664</v>
      </c>
      <c r="I139" s="475" t="s">
        <v>490</v>
      </c>
      <c r="J139" s="475" t="s">
        <v>192</v>
      </c>
      <c r="K139" s="475" t="s">
        <v>192</v>
      </c>
      <c r="L139" s="399" t="s">
        <v>3916</v>
      </c>
      <c r="M139" s="530"/>
      <c r="N139" s="475" t="s">
        <v>292</v>
      </c>
      <c r="O139" s="475" t="s">
        <v>268</v>
      </c>
      <c r="P139" s="399" t="s">
        <v>835</v>
      </c>
      <c r="Q139" s="477">
        <f>3142*2.4</f>
        <v>7540.7999999999993</v>
      </c>
      <c r="R139" s="477">
        <f>7550+100</f>
        <v>7650</v>
      </c>
      <c r="S139" s="477">
        <v>7468.2290000000003</v>
      </c>
      <c r="T139" s="667"/>
      <c r="U139" s="581"/>
      <c r="V139" s="580">
        <f>S139</f>
        <v>7468.2290000000003</v>
      </c>
      <c r="W139" s="581"/>
      <c r="X139" s="581"/>
      <c r="Y139" s="581"/>
      <c r="Z139" s="581"/>
      <c r="AA139" s="581"/>
      <c r="AB139" s="401"/>
      <c r="AC139" s="401"/>
      <c r="AD139" s="401"/>
      <c r="AE139" s="581"/>
      <c r="AF139" s="581"/>
      <c r="AG139" s="581"/>
      <c r="AH139" s="581"/>
      <c r="BD139" s="473">
        <f t="shared" si="66"/>
        <v>45275.395833333336</v>
      </c>
      <c r="BE139" s="473">
        <f t="shared" si="67"/>
        <v>45285.291666666664</v>
      </c>
      <c r="BF139" s="479">
        <f t="shared" si="68"/>
        <v>9.8958333333284827</v>
      </c>
      <c r="BG139" s="473">
        <v>45275.395833333336</v>
      </c>
      <c r="BH139" s="473">
        <v>45277.607638888891</v>
      </c>
      <c r="BI139" s="473">
        <v>45279.5625</v>
      </c>
      <c r="BJ139" s="473">
        <v>45279.944444444445</v>
      </c>
      <c r="BK139" s="473">
        <v>45280.078472222223</v>
      </c>
      <c r="BL139" s="473">
        <v>45280.09375</v>
      </c>
      <c r="BM139" s="473">
        <v>45279.100694444445</v>
      </c>
      <c r="BN139" s="473">
        <f t="shared" si="62"/>
        <v>45280.809027777781</v>
      </c>
      <c r="BO139" s="480">
        <v>45281.458333333336</v>
      </c>
      <c r="BP139" s="480">
        <v>45281.625</v>
      </c>
      <c r="BQ139" s="480">
        <v>45281.583333333336</v>
      </c>
      <c r="BR139" s="473">
        <v>45282.770833333336</v>
      </c>
      <c r="BS139" s="473">
        <v>45284.486111111109</v>
      </c>
      <c r="BT139" s="473">
        <v>45284.819444444445</v>
      </c>
      <c r="BU139" s="473">
        <v>45284.840277777781</v>
      </c>
      <c r="BV139" s="473">
        <v>45285.083333333336</v>
      </c>
      <c r="BW139" s="473">
        <v>45285.291666666664</v>
      </c>
      <c r="BZ139" s="481">
        <f t="shared" si="69"/>
        <v>46.916666666627862</v>
      </c>
      <c r="CA139" s="481">
        <f t="shared" si="70"/>
        <v>3.2166666666744277</v>
      </c>
      <c r="CB139" s="481">
        <f t="shared" si="71"/>
        <v>41.000000000058208</v>
      </c>
      <c r="CC139" s="481">
        <f t="shared" si="61"/>
        <v>27.500000000058208</v>
      </c>
      <c r="CD139" s="482">
        <f t="shared" si="72"/>
        <v>8.0000000000582077</v>
      </c>
      <c r="CE139" s="482">
        <f t="shared" si="73"/>
        <v>4.9999999998835847</v>
      </c>
      <c r="CF139" s="483">
        <f t="shared" si="74"/>
        <v>5.484722222223354</v>
      </c>
      <c r="CG139" s="483">
        <f t="shared" si="75"/>
        <v>9.8958333333284827</v>
      </c>
      <c r="CH139" s="484">
        <f t="shared" si="76"/>
        <v>0.55424561403547379</v>
      </c>
    </row>
    <row r="140" spans="1:86" s="475" customFormat="1">
      <c r="A140" s="474">
        <f t="shared" si="65"/>
        <v>45282.074999999997</v>
      </c>
      <c r="B140" s="475" t="s">
        <v>228</v>
      </c>
      <c r="C140" s="475" t="s">
        <v>229</v>
      </c>
      <c r="D140" s="475" t="s">
        <v>197</v>
      </c>
      <c r="E140" s="399" t="s">
        <v>3207</v>
      </c>
      <c r="F140" s="475" t="s">
        <v>3378</v>
      </c>
      <c r="G140" s="472">
        <v>45282.125</v>
      </c>
      <c r="H140" s="472">
        <v>45282.184027777781</v>
      </c>
      <c r="I140" s="475" t="s">
        <v>490</v>
      </c>
      <c r="J140" s="475" t="s">
        <v>192</v>
      </c>
      <c r="K140" s="475" t="s">
        <v>192</v>
      </c>
      <c r="L140" s="399" t="s">
        <v>3917</v>
      </c>
      <c r="M140" s="530"/>
      <c r="N140" s="475" t="s">
        <v>489</v>
      </c>
      <c r="O140" s="475" t="s">
        <v>483</v>
      </c>
      <c r="P140" s="399" t="s">
        <v>3918</v>
      </c>
      <c r="Q140" s="477">
        <f>3107*2.4</f>
        <v>7456.7999999999993</v>
      </c>
      <c r="R140" s="477">
        <f>7500+100</f>
        <v>7600</v>
      </c>
      <c r="S140" s="477">
        <v>7427.4880000000003</v>
      </c>
      <c r="T140" s="667"/>
      <c r="U140" s="726">
        <f>S140*0.8</f>
        <v>5941.9904000000006</v>
      </c>
      <c r="V140" s="726">
        <f>S140*0.2</f>
        <v>1485.4976000000001</v>
      </c>
      <c r="W140" s="581"/>
      <c r="X140" s="581"/>
      <c r="Y140" s="581"/>
      <c r="Z140" s="581"/>
      <c r="AA140" s="581"/>
      <c r="AB140" s="581"/>
      <c r="AD140" s="401"/>
      <c r="AE140" s="581"/>
      <c r="AF140" s="581"/>
      <c r="AG140" s="401"/>
      <c r="AI140" s="401"/>
      <c r="AJ140" s="401"/>
      <c r="AK140" s="401"/>
      <c r="AL140" s="401"/>
      <c r="AM140" s="401"/>
      <c r="AN140" s="401"/>
      <c r="AO140" s="401"/>
      <c r="AP140" s="401"/>
      <c r="AQ140" s="401"/>
      <c r="AR140" s="401"/>
      <c r="AS140" s="401"/>
      <c r="AT140" s="401"/>
      <c r="AU140" s="401"/>
      <c r="BD140" s="473">
        <f t="shared" si="66"/>
        <v>45276.46875</v>
      </c>
      <c r="BE140" s="473">
        <f t="shared" si="67"/>
        <v>45290.052083333336</v>
      </c>
      <c r="BF140" s="479">
        <f t="shared" si="68"/>
        <v>13.583333333335759</v>
      </c>
      <c r="BG140" s="473">
        <v>45276.46875</v>
      </c>
      <c r="BH140" s="473">
        <v>45278.878472222219</v>
      </c>
      <c r="BI140" s="473">
        <v>45280.958333333336</v>
      </c>
      <c r="BJ140" s="473">
        <v>45282.074999999997</v>
      </c>
      <c r="BK140" s="473">
        <v>45282.190972222219</v>
      </c>
      <c r="BL140" s="473">
        <v>45282.197916666664</v>
      </c>
      <c r="BM140" s="473">
        <v>45282.25</v>
      </c>
      <c r="BN140" s="473">
        <f t="shared" si="62"/>
        <v>45283.958333333336</v>
      </c>
      <c r="BO140" s="473">
        <v>45283.5</v>
      </c>
      <c r="BP140" s="473">
        <v>45283.666666666664</v>
      </c>
      <c r="BQ140" s="473">
        <v>45283.704861111109</v>
      </c>
      <c r="BR140" s="473">
        <v>45284.8125</v>
      </c>
      <c r="BS140" s="473">
        <v>45289.479166666664</v>
      </c>
      <c r="BT140" s="473">
        <v>45289.774305555555</v>
      </c>
      <c r="BU140" s="473">
        <v>45289.795138888891</v>
      </c>
      <c r="BV140" s="473">
        <v>45289.795138888891</v>
      </c>
      <c r="BW140" s="473">
        <v>45290.052083333336</v>
      </c>
      <c r="BZ140" s="481">
        <f t="shared" si="69"/>
        <v>49.916666666802485</v>
      </c>
      <c r="CA140" s="481">
        <f t="shared" si="70"/>
        <v>2.7833333333255723</v>
      </c>
      <c r="CB140" s="481">
        <f t="shared" si="71"/>
        <v>41.000000000058208</v>
      </c>
      <c r="CC140" s="481">
        <f t="shared" si="61"/>
        <v>27.500000000058208</v>
      </c>
      <c r="CD140" s="482">
        <f t="shared" si="72"/>
        <v>7.0833333333721384</v>
      </c>
      <c r="CE140" s="482">
        <f t="shared" si="73"/>
        <v>6.1666666666860692</v>
      </c>
      <c r="CF140" s="483">
        <f t="shared" si="74"/>
        <v>5.602083333345945</v>
      </c>
      <c r="CG140" s="483">
        <f t="shared" si="75"/>
        <v>13.583333333335759</v>
      </c>
      <c r="CH140" s="484">
        <f t="shared" si="76"/>
        <v>0.41242331288429041</v>
      </c>
    </row>
    <row r="141" spans="1:86" s="475" customFormat="1">
      <c r="A141" s="474">
        <f t="shared" si="65"/>
        <v>45282.4375</v>
      </c>
      <c r="B141" s="475" t="s">
        <v>228</v>
      </c>
      <c r="C141" s="475" t="s">
        <v>229</v>
      </c>
      <c r="D141" s="475" t="s">
        <v>215</v>
      </c>
      <c r="E141" s="399" t="s">
        <v>3207</v>
      </c>
      <c r="F141" s="475" t="s">
        <v>3378</v>
      </c>
      <c r="G141" s="472">
        <v>45282.125</v>
      </c>
      <c r="H141" s="472">
        <v>45282.184027777781</v>
      </c>
      <c r="I141" s="475" t="s">
        <v>490</v>
      </c>
      <c r="J141" s="475" t="s">
        <v>192</v>
      </c>
      <c r="K141" s="475" t="s">
        <v>192</v>
      </c>
      <c r="L141" s="399" t="s">
        <v>3919</v>
      </c>
      <c r="M141" s="530"/>
      <c r="N141" s="475" t="s">
        <v>721</v>
      </c>
      <c r="O141" s="475" t="s">
        <v>1349</v>
      </c>
      <c r="P141" s="399" t="s">
        <v>3918</v>
      </c>
      <c r="Q141" s="477">
        <f>3136*2.4</f>
        <v>7526.4</v>
      </c>
      <c r="R141" s="477">
        <f>7550+100</f>
        <v>7650</v>
      </c>
      <c r="S141" s="477">
        <v>7429.5770000000002</v>
      </c>
      <c r="T141" s="667"/>
      <c r="U141" s="726">
        <f>S141*0.8</f>
        <v>5943.6616000000004</v>
      </c>
      <c r="V141" s="726">
        <f>S141*0.2</f>
        <v>1485.9154000000001</v>
      </c>
      <c r="W141" s="581"/>
      <c r="X141" s="581"/>
      <c r="Y141" s="581"/>
      <c r="Z141" s="581"/>
      <c r="AA141" s="581"/>
      <c r="AB141" s="401"/>
      <c r="AC141" s="581"/>
      <c r="AD141" s="581"/>
      <c r="BD141" s="473">
        <f t="shared" si="66"/>
        <v>45277.854166666664</v>
      </c>
      <c r="BE141" s="473">
        <f t="shared" si="67"/>
        <v>45290.395833333336</v>
      </c>
      <c r="BF141" s="479">
        <f t="shared" si="68"/>
        <v>12.541666666671517</v>
      </c>
      <c r="BG141" s="473">
        <v>45277.854166666664</v>
      </c>
      <c r="BH141" s="473">
        <v>45279.788194444445</v>
      </c>
      <c r="BI141" s="473">
        <v>45281.604166666664</v>
      </c>
      <c r="BJ141" s="473">
        <v>45282.4375</v>
      </c>
      <c r="BK141" s="473">
        <v>45282.5625</v>
      </c>
      <c r="BL141" s="473">
        <v>45282.565972222219</v>
      </c>
      <c r="BM141" s="473">
        <v>45282.565972222219</v>
      </c>
      <c r="BN141" s="473">
        <f t="shared" si="62"/>
        <v>45284.274305555555</v>
      </c>
      <c r="BO141" s="473">
        <v>45284.541666666664</v>
      </c>
      <c r="BP141" s="473">
        <v>45284.708333333328</v>
      </c>
      <c r="BQ141" s="473">
        <v>45284.621527777781</v>
      </c>
      <c r="BR141" s="473">
        <v>45285.833333333336</v>
      </c>
      <c r="BS141" s="473">
        <v>45289.833333333336</v>
      </c>
      <c r="BT141" s="473">
        <v>45290.097222222219</v>
      </c>
      <c r="BU141" s="473">
        <v>45290.118055555555</v>
      </c>
      <c r="BV141" s="473">
        <v>45290.118055555555</v>
      </c>
      <c r="BW141" s="473">
        <v>45290.395833333336</v>
      </c>
      <c r="BZ141" s="481">
        <f t="shared" si="69"/>
        <v>43.583333333255723</v>
      </c>
      <c r="CA141" s="481">
        <f t="shared" si="70"/>
        <v>3</v>
      </c>
      <c r="CB141" s="481">
        <f t="shared" si="71"/>
        <v>41.000000000058208</v>
      </c>
      <c r="CC141" s="481">
        <f t="shared" si="61"/>
        <v>27.000000000174623</v>
      </c>
      <c r="CD141" s="482">
        <f t="shared" si="72"/>
        <v>6.3333333331975155</v>
      </c>
      <c r="CE141" s="482">
        <f t="shared" si="73"/>
        <v>6.6666666667442769</v>
      </c>
      <c r="CF141" s="483">
        <f t="shared" si="74"/>
        <v>5.3159722222262644</v>
      </c>
      <c r="CG141" s="483">
        <f t="shared" si="75"/>
        <v>12.541666666671517</v>
      </c>
      <c r="CH141" s="484">
        <f t="shared" si="76"/>
        <v>0.42386489479528572</v>
      </c>
    </row>
    <row r="142" spans="1:86" s="475" customFormat="1">
      <c r="A142" s="474">
        <f t="shared" si="65"/>
        <v>45286.677083333336</v>
      </c>
      <c r="B142" s="475" t="s">
        <v>188</v>
      </c>
      <c r="C142" s="475" t="s">
        <v>184</v>
      </c>
      <c r="D142" s="475" t="s">
        <v>197</v>
      </c>
      <c r="E142" s="399" t="s">
        <v>3920</v>
      </c>
      <c r="F142" s="475" t="s">
        <v>3378</v>
      </c>
      <c r="G142" s="901"/>
      <c r="H142" s="901"/>
      <c r="I142" s="475" t="s">
        <v>818</v>
      </c>
      <c r="J142" s="475" t="s">
        <v>192</v>
      </c>
      <c r="K142" s="475" t="s">
        <v>192</v>
      </c>
      <c r="L142" s="399" t="s">
        <v>2857</v>
      </c>
      <c r="M142" s="530"/>
      <c r="N142" s="475" t="s">
        <v>492</v>
      </c>
      <c r="O142" s="475" t="s">
        <v>493</v>
      </c>
      <c r="P142" s="399" t="s">
        <v>184</v>
      </c>
      <c r="Q142" s="477">
        <f>3141*2.4</f>
        <v>7538.4</v>
      </c>
      <c r="R142" s="477">
        <f>7550+100</f>
        <v>7650</v>
      </c>
      <c r="S142" s="477">
        <v>7500.692</v>
      </c>
      <c r="T142" s="667"/>
      <c r="U142" s="581"/>
      <c r="V142" s="581"/>
      <c r="W142" s="581"/>
      <c r="X142" s="581"/>
      <c r="AB142" s="581"/>
      <c r="AC142" s="581"/>
      <c r="AD142" s="581"/>
      <c r="AE142" s="581"/>
      <c r="AU142" s="726">
        <f>S142</f>
        <v>7500.692</v>
      </c>
      <c r="BD142" s="473">
        <f t="shared" si="66"/>
        <v>45280.604166666664</v>
      </c>
      <c r="BE142" s="473">
        <f t="shared" si="67"/>
        <v>45291.940972222219</v>
      </c>
      <c r="BF142" s="479">
        <f t="shared" si="68"/>
        <v>11.336805555554747</v>
      </c>
      <c r="BG142" s="473">
        <v>45280.604166666664</v>
      </c>
      <c r="BH142" s="473">
        <v>45281.835416666669</v>
      </c>
      <c r="BI142" s="473">
        <v>45284.375</v>
      </c>
      <c r="BJ142" s="473">
        <v>45286.677083333336</v>
      </c>
      <c r="BK142" s="473">
        <v>45287.375</v>
      </c>
      <c r="BL142" s="473">
        <v>45287.416666666664</v>
      </c>
      <c r="BM142" s="473">
        <v>45287.416666666664</v>
      </c>
      <c r="BN142" s="473">
        <f>BM142+(51/24)</f>
        <v>45289.541666666664</v>
      </c>
      <c r="BO142" s="473">
        <v>45289.25</v>
      </c>
      <c r="BP142" s="473">
        <v>45289.416666666664</v>
      </c>
      <c r="BQ142" s="473">
        <v>45289.347222222219</v>
      </c>
      <c r="BR142" s="473">
        <v>45291.246527777781</v>
      </c>
      <c r="BS142" s="473">
        <v>45291.461805555555</v>
      </c>
      <c r="BT142" s="473">
        <v>45291.940972222219</v>
      </c>
      <c r="BU142" s="473">
        <v>45291.940972222219</v>
      </c>
      <c r="BV142" s="473">
        <v>45291.940972222219</v>
      </c>
      <c r="BW142" s="473">
        <v>45291.940972222219</v>
      </c>
      <c r="BX142" s="475" t="s">
        <v>788</v>
      </c>
      <c r="BZ142" s="481">
        <f t="shared" si="69"/>
        <v>60.949999999953434</v>
      </c>
      <c r="CA142" s="481">
        <f t="shared" si="70"/>
        <v>16.749999999941792</v>
      </c>
      <c r="CB142" s="481">
        <f t="shared" si="71"/>
        <v>51</v>
      </c>
      <c r="CC142" s="481">
        <f t="shared" si="61"/>
        <v>43.916666666802485</v>
      </c>
      <c r="CD142" s="482">
        <f t="shared" si="72"/>
        <v>11.499999999941792</v>
      </c>
      <c r="CE142" s="482">
        <f t="shared" si="73"/>
        <v>0</v>
      </c>
      <c r="CF142" s="483">
        <f t="shared" si="74"/>
        <v>7.671527777776646</v>
      </c>
      <c r="CG142" s="483">
        <f t="shared" si="75"/>
        <v>11.336805555554747</v>
      </c>
      <c r="CH142" s="484">
        <f t="shared" si="76"/>
        <v>0.67669218989275082</v>
      </c>
    </row>
    <row r="143" spans="1:86" s="475" customFormat="1">
      <c r="A143" s="474"/>
      <c r="D143" s="475" t="s">
        <v>215</v>
      </c>
      <c r="E143" s="476"/>
      <c r="G143" s="518"/>
      <c r="H143" s="518"/>
      <c r="K143" s="475" t="s">
        <v>312</v>
      </c>
      <c r="L143" s="475" t="s">
        <v>3921</v>
      </c>
      <c r="M143" s="530"/>
      <c r="N143" s="475" t="s">
        <v>1230</v>
      </c>
      <c r="O143" s="475" t="s">
        <v>1231</v>
      </c>
      <c r="Q143" s="477">
        <f>3107*2.4</f>
        <v>7456.7999999999993</v>
      </c>
      <c r="R143" s="477">
        <f>7500+100</f>
        <v>7600</v>
      </c>
      <c r="S143" s="477"/>
      <c r="T143" s="477"/>
      <c r="BD143" s="473">
        <f t="shared" si="66"/>
        <v>45261</v>
      </c>
      <c r="BE143" s="473">
        <f t="shared" si="67"/>
        <v>45292</v>
      </c>
      <c r="BF143" s="479">
        <f t="shared" si="68"/>
        <v>31</v>
      </c>
      <c r="BG143" s="473">
        <v>45261</v>
      </c>
      <c r="BH143" s="473"/>
      <c r="BI143" s="473"/>
      <c r="BJ143" s="473"/>
      <c r="BK143" s="473"/>
      <c r="BL143" s="473"/>
      <c r="BM143" s="473"/>
      <c r="BN143" s="473"/>
      <c r="BO143" s="485"/>
      <c r="BP143" s="485"/>
      <c r="BQ143" s="518"/>
      <c r="BR143" s="473"/>
      <c r="BS143" s="473"/>
      <c r="BT143" s="473"/>
      <c r="BU143" s="473"/>
      <c r="BV143" s="473"/>
      <c r="BW143" s="473">
        <v>45292</v>
      </c>
      <c r="BZ143" s="481">
        <f t="shared" si="69"/>
        <v>0</v>
      </c>
      <c r="CA143" s="481">
        <f t="shared" si="70"/>
        <v>0</v>
      </c>
      <c r="CB143" s="481">
        <f t="shared" si="71"/>
        <v>0</v>
      </c>
      <c r="CC143" s="481">
        <f t="shared" si="61"/>
        <v>0</v>
      </c>
      <c r="CD143" s="482">
        <f t="shared" si="72"/>
        <v>0</v>
      </c>
      <c r="CE143" s="482">
        <f t="shared" si="73"/>
        <v>1087008</v>
      </c>
      <c r="CF143" s="483">
        <f t="shared" si="74"/>
        <v>45292</v>
      </c>
      <c r="CG143" s="483">
        <f t="shared" si="75"/>
        <v>31</v>
      </c>
      <c r="CH143" s="484">
        <f t="shared" si="76"/>
        <v>1461.0322580645161</v>
      </c>
    </row>
    <row r="144" spans="1:86" s="475" customFormat="1">
      <c r="A144" s="474"/>
      <c r="D144" s="475" t="s">
        <v>197</v>
      </c>
      <c r="E144" s="476"/>
      <c r="G144" s="518"/>
      <c r="H144" s="518"/>
      <c r="K144" s="475" t="s">
        <v>2693</v>
      </c>
      <c r="L144" s="475" t="s">
        <v>3922</v>
      </c>
      <c r="M144" s="530"/>
      <c r="N144" s="475" t="s">
        <v>233</v>
      </c>
      <c r="O144" s="475" t="s">
        <v>234</v>
      </c>
      <c r="P144" s="667"/>
      <c r="Q144" s="477">
        <f>3215*2.4</f>
        <v>7716</v>
      </c>
      <c r="R144" s="477">
        <f>7750+100</f>
        <v>7850</v>
      </c>
      <c r="S144" s="477"/>
      <c r="T144" s="477"/>
      <c r="U144" s="581"/>
      <c r="V144" s="581"/>
      <c r="W144" s="581"/>
      <c r="X144" s="581"/>
      <c r="Y144" s="581"/>
      <c r="Z144" s="581"/>
      <c r="AA144" s="581"/>
      <c r="AB144" s="581"/>
      <c r="AE144" s="575"/>
      <c r="AF144" s="575"/>
      <c r="AG144" s="575"/>
      <c r="BD144" s="473">
        <f t="shared" si="66"/>
        <v>45253</v>
      </c>
      <c r="BE144" s="473">
        <f t="shared" si="67"/>
        <v>45292</v>
      </c>
      <c r="BF144" s="479">
        <f t="shared" si="68"/>
        <v>39</v>
      </c>
      <c r="BG144" s="473">
        <v>45253</v>
      </c>
      <c r="BH144" s="473"/>
      <c r="BI144" s="473"/>
      <c r="BJ144" s="473"/>
      <c r="BK144" s="473"/>
      <c r="BL144" s="473"/>
      <c r="BM144" s="473"/>
      <c r="BN144" s="473"/>
      <c r="BO144" s="485"/>
      <c r="BP144" s="485"/>
      <c r="BQ144" s="518"/>
      <c r="BR144" s="473"/>
      <c r="BS144" s="473"/>
      <c r="BT144" s="473"/>
      <c r="BU144" s="473"/>
      <c r="BV144" s="473"/>
      <c r="BW144" s="473">
        <v>45292</v>
      </c>
      <c r="BZ144" s="481">
        <f t="shared" si="69"/>
        <v>0</v>
      </c>
      <c r="CA144" s="481">
        <f t="shared" si="70"/>
        <v>0</v>
      </c>
      <c r="CB144" s="481">
        <f t="shared" si="71"/>
        <v>0</v>
      </c>
      <c r="CC144" s="481">
        <f t="shared" si="61"/>
        <v>0</v>
      </c>
      <c r="CD144" s="482">
        <f t="shared" si="72"/>
        <v>0</v>
      </c>
      <c r="CE144" s="482">
        <f t="shared" si="73"/>
        <v>1087008</v>
      </c>
      <c r="CF144" s="483">
        <f t="shared" si="74"/>
        <v>45292</v>
      </c>
      <c r="CG144" s="483">
        <f t="shared" si="75"/>
        <v>39</v>
      </c>
      <c r="CH144" s="484">
        <f t="shared" si="76"/>
        <v>1161.3333333333333</v>
      </c>
    </row>
    <row r="145" spans="1:88" s="475" customFormat="1">
      <c r="A145" s="474"/>
      <c r="D145" s="475" t="s">
        <v>197</v>
      </c>
      <c r="E145" s="476"/>
      <c r="G145" s="518"/>
      <c r="H145" s="518"/>
      <c r="K145" s="399" t="s">
        <v>312</v>
      </c>
      <c r="L145" s="399" t="s">
        <v>3923</v>
      </c>
      <c r="M145" s="530"/>
      <c r="N145" s="475" t="s">
        <v>361</v>
      </c>
      <c r="O145" s="475" t="s">
        <v>362</v>
      </c>
      <c r="P145" s="667"/>
      <c r="Q145" s="477">
        <f>3117*2.4</f>
        <v>7480.7999999999993</v>
      </c>
      <c r="R145" s="477">
        <f>7500+100</f>
        <v>7600</v>
      </c>
      <c r="S145" s="477"/>
      <c r="T145" s="667"/>
      <c r="U145" s="581"/>
      <c r="V145" s="581"/>
      <c r="W145" s="581"/>
      <c r="X145" s="581"/>
      <c r="Y145" s="581"/>
      <c r="Z145" s="581"/>
      <c r="AA145" s="581"/>
      <c r="AB145" s="581"/>
      <c r="AC145" s="581"/>
      <c r="AD145" s="581"/>
      <c r="AE145" s="581"/>
      <c r="AF145" s="581"/>
      <c r="AG145" s="581"/>
      <c r="AH145" s="581"/>
      <c r="AI145" s="581"/>
      <c r="AJ145" s="581"/>
      <c r="AK145" s="581"/>
      <c r="BD145" s="473">
        <f t="shared" si="66"/>
        <v>45260.510416666664</v>
      </c>
      <c r="BE145" s="473">
        <f t="shared" si="67"/>
        <v>45292</v>
      </c>
      <c r="BF145" s="479">
        <f t="shared" si="68"/>
        <v>31.489583333335759</v>
      </c>
      <c r="BG145" s="473">
        <v>45260.510416666664</v>
      </c>
      <c r="BH145" s="473"/>
      <c r="BI145" s="473"/>
      <c r="BJ145" s="473"/>
      <c r="BK145" s="473"/>
      <c r="BL145" s="473"/>
      <c r="BM145" s="473"/>
      <c r="BN145" s="473"/>
      <c r="BO145" s="473"/>
      <c r="BP145" s="473"/>
      <c r="BQ145" s="518"/>
      <c r="BR145" s="473"/>
      <c r="BS145" s="473"/>
      <c r="BT145" s="473"/>
      <c r="BU145" s="473"/>
      <c r="BV145" s="473"/>
      <c r="BW145" s="473">
        <v>45292</v>
      </c>
      <c r="BZ145" s="481">
        <f t="shared" si="69"/>
        <v>0</v>
      </c>
      <c r="CA145" s="481">
        <f t="shared" si="70"/>
        <v>0</v>
      </c>
      <c r="CB145" s="481">
        <f t="shared" si="71"/>
        <v>0</v>
      </c>
      <c r="CC145" s="481">
        <f t="shared" si="61"/>
        <v>0</v>
      </c>
      <c r="CD145" s="482">
        <f t="shared" si="72"/>
        <v>0</v>
      </c>
      <c r="CE145" s="482">
        <f t="shared" si="73"/>
        <v>1087008</v>
      </c>
      <c r="CF145" s="483">
        <f t="shared" si="74"/>
        <v>45292</v>
      </c>
      <c r="CG145" s="483">
        <f t="shared" si="75"/>
        <v>31.489583333335759</v>
      </c>
      <c r="CH145" s="484">
        <f t="shared" si="76"/>
        <v>1438.3169037378977</v>
      </c>
    </row>
    <row r="146" spans="1:88" s="475" customFormat="1">
      <c r="A146" s="474">
        <f>BJ146</f>
        <v>45282.979166666664</v>
      </c>
      <c r="B146" s="475" t="s">
        <v>228</v>
      </c>
      <c r="C146" s="475" t="s">
        <v>229</v>
      </c>
      <c r="D146" s="475" t="s">
        <v>197</v>
      </c>
      <c r="E146" s="399" t="s">
        <v>3207</v>
      </c>
      <c r="F146" s="475" t="s">
        <v>3378</v>
      </c>
      <c r="G146" s="472">
        <v>45282.125</v>
      </c>
      <c r="H146" s="472">
        <v>45282.184027777781</v>
      </c>
      <c r="I146" s="475" t="s">
        <v>490</v>
      </c>
      <c r="J146" s="475" t="s">
        <v>192</v>
      </c>
      <c r="K146" s="475" t="s">
        <v>192</v>
      </c>
      <c r="L146" s="399" t="s">
        <v>3924</v>
      </c>
      <c r="M146" s="530"/>
      <c r="N146" s="475" t="s">
        <v>355</v>
      </c>
      <c r="O146" s="475" t="s">
        <v>356</v>
      </c>
      <c r="P146" s="399" t="s">
        <v>3918</v>
      </c>
      <c r="Q146" s="477">
        <f>3107*2.4</f>
        <v>7456.7999999999993</v>
      </c>
      <c r="R146" s="477">
        <f>7500+100</f>
        <v>7600</v>
      </c>
      <c r="S146" s="477">
        <v>7622.1450000000004</v>
      </c>
      <c r="T146" s="667"/>
      <c r="U146" s="726">
        <f>S146*0.7</f>
        <v>5335.5015000000003</v>
      </c>
      <c r="V146" s="726">
        <f>S146*0.3</f>
        <v>2286.6435000000001</v>
      </c>
      <c r="W146" s="581"/>
      <c r="X146" s="581"/>
      <c r="Y146" s="581"/>
      <c r="Z146" s="581"/>
      <c r="AA146" s="581"/>
      <c r="AB146" s="401"/>
      <c r="AC146" s="581"/>
      <c r="AD146" s="581"/>
      <c r="AE146" s="581"/>
      <c r="AF146" s="581"/>
      <c r="AG146" s="581"/>
      <c r="AH146" s="581"/>
      <c r="AI146" s="581"/>
      <c r="AJ146" s="581"/>
      <c r="AK146" s="581"/>
      <c r="AL146" s="581"/>
      <c r="AM146" s="581"/>
      <c r="AN146" s="581"/>
      <c r="AO146" s="581"/>
      <c r="AP146" s="581"/>
      <c r="AQ146" s="581"/>
      <c r="BD146" s="473">
        <f t="shared" si="66"/>
        <v>45278.996527777781</v>
      </c>
      <c r="BE146" s="473">
        <f t="shared" si="67"/>
        <v>45291.479166666664</v>
      </c>
      <c r="BF146" s="479">
        <f t="shared" si="68"/>
        <v>12.48263888888323</v>
      </c>
      <c r="BG146" s="473">
        <v>45278.996527777781</v>
      </c>
      <c r="BH146" s="473">
        <v>45279.809027777781</v>
      </c>
      <c r="BI146" s="473">
        <v>45281.673611111109</v>
      </c>
      <c r="BJ146" s="473">
        <v>45282.979166666664</v>
      </c>
      <c r="BK146" s="473">
        <v>45283.114583333336</v>
      </c>
      <c r="BL146" s="473">
        <v>45283.118055555555</v>
      </c>
      <c r="BM146" s="473">
        <v>45283.118055555555</v>
      </c>
      <c r="BN146" s="473">
        <f t="shared" ref="BN146" si="77">BM146+(41/24)</f>
        <v>45284.826388888891</v>
      </c>
      <c r="BO146" s="473">
        <v>45284.541666666664</v>
      </c>
      <c r="BP146" s="473">
        <v>45284.708333333328</v>
      </c>
      <c r="BQ146" s="473">
        <v>45284.6875</v>
      </c>
      <c r="BR146" s="473">
        <v>45286.25</v>
      </c>
      <c r="BS146" s="473">
        <v>45290.5</v>
      </c>
      <c r="BT146" s="473">
        <v>45290.888888888891</v>
      </c>
      <c r="BU146" s="473">
        <v>45290.909722222219</v>
      </c>
      <c r="BV146" s="473">
        <v>45290.909722222219</v>
      </c>
      <c r="BW146" s="473">
        <v>45291.479166666664</v>
      </c>
      <c r="BZ146" s="481">
        <f t="shared" si="69"/>
        <v>44.749999999883585</v>
      </c>
      <c r="CA146" s="481">
        <f t="shared" si="70"/>
        <v>3.2500000001164153</v>
      </c>
      <c r="CB146" s="481">
        <f t="shared" si="71"/>
        <v>41.000000000058208</v>
      </c>
      <c r="CC146" s="481">
        <f t="shared" si="61"/>
        <v>37.000000000116415</v>
      </c>
      <c r="CD146" s="482">
        <f t="shared" si="72"/>
        <v>9.3333333333721384</v>
      </c>
      <c r="CE146" s="482">
        <f t="shared" si="73"/>
        <v>13.666666666686069</v>
      </c>
      <c r="CF146" s="483">
        <f t="shared" si="74"/>
        <v>6.2083333333430346</v>
      </c>
      <c r="CG146" s="483">
        <f t="shared" si="75"/>
        <v>12.48263888888323</v>
      </c>
      <c r="CH146" s="484">
        <f t="shared" si="76"/>
        <v>0.49735744089112782</v>
      </c>
    </row>
    <row r="147" spans="1:88" s="475" customFormat="1">
      <c r="A147" s="474">
        <f>BJ147</f>
        <v>45282.809027777781</v>
      </c>
      <c r="B147" s="475" t="s">
        <v>228</v>
      </c>
      <c r="C147" s="475" t="s">
        <v>229</v>
      </c>
      <c r="D147" s="475" t="s">
        <v>215</v>
      </c>
      <c r="E147" s="399" t="s">
        <v>3207</v>
      </c>
      <c r="F147" s="475" t="s">
        <v>3378</v>
      </c>
      <c r="G147" s="472">
        <v>45282.125</v>
      </c>
      <c r="H147" s="472">
        <v>45282.184027777781</v>
      </c>
      <c r="I147" s="475" t="s">
        <v>490</v>
      </c>
      <c r="J147" s="475" t="s">
        <v>192</v>
      </c>
      <c r="K147" s="475" t="s">
        <v>192</v>
      </c>
      <c r="L147" s="399" t="s">
        <v>3925</v>
      </c>
      <c r="M147" s="530"/>
      <c r="N147" s="475" t="s">
        <v>274</v>
      </c>
      <c r="O147" s="475" t="s">
        <v>1093</v>
      </c>
      <c r="P147" s="475" t="s">
        <v>3918</v>
      </c>
      <c r="Q147" s="477">
        <f>3136*2.4</f>
        <v>7526.4</v>
      </c>
      <c r="R147" s="477">
        <f>7550+100</f>
        <v>7650</v>
      </c>
      <c r="S147" s="477">
        <v>7504.8729999999996</v>
      </c>
      <c r="T147" s="667"/>
      <c r="U147" s="726">
        <f>S147*0.7</f>
        <v>5253.4110999999994</v>
      </c>
      <c r="V147" s="726">
        <f>S147*0.3</f>
        <v>2251.4618999999998</v>
      </c>
      <c r="W147" s="581"/>
      <c r="X147" s="581"/>
      <c r="Y147" s="581"/>
      <c r="Z147" s="581"/>
      <c r="AA147" s="581"/>
      <c r="AB147" s="401"/>
      <c r="AC147" s="581"/>
      <c r="AD147" s="581"/>
      <c r="AE147" s="575"/>
      <c r="AF147" s="575"/>
      <c r="AG147" s="575"/>
      <c r="AH147" s="575"/>
      <c r="AI147" s="575"/>
      <c r="BD147" s="473">
        <f t="shared" si="66"/>
        <v>45278.559027777781</v>
      </c>
      <c r="BE147" s="473">
        <f t="shared" si="67"/>
        <v>45290.868055555555</v>
      </c>
      <c r="BF147" s="479">
        <f t="shared" si="68"/>
        <v>12.309027777773736</v>
      </c>
      <c r="BG147" s="473">
        <v>45278.559027777781</v>
      </c>
      <c r="BH147" s="473">
        <v>45279.614583333336</v>
      </c>
      <c r="BI147" s="473">
        <v>45281.65625</v>
      </c>
      <c r="BJ147" s="473">
        <v>45282.809027777781</v>
      </c>
      <c r="BK147" s="473">
        <v>45282.954861111109</v>
      </c>
      <c r="BL147" s="473">
        <v>45282.961805555555</v>
      </c>
      <c r="BM147" s="473">
        <v>45282.961805555555</v>
      </c>
      <c r="BN147" s="473">
        <f>BM147+(41/24)</f>
        <v>45284.670138888891</v>
      </c>
      <c r="BO147" s="473">
        <v>45284.541666666664</v>
      </c>
      <c r="BP147" s="473">
        <v>45284.708333333328</v>
      </c>
      <c r="BQ147" s="473">
        <v>45284.5625</v>
      </c>
      <c r="BR147" s="473">
        <v>45285.854166666664</v>
      </c>
      <c r="BS147" s="473">
        <v>45290.159722222219</v>
      </c>
      <c r="BT147" s="473">
        <v>45290.4375</v>
      </c>
      <c r="BU147" s="473">
        <v>45290.458333333336</v>
      </c>
      <c r="BV147" s="473">
        <v>45290.642361111109</v>
      </c>
      <c r="BW147" s="473">
        <v>45290.868055555555</v>
      </c>
      <c r="BZ147" s="481">
        <f t="shared" si="69"/>
        <v>48.999999999941792</v>
      </c>
      <c r="CA147" s="481">
        <f t="shared" si="70"/>
        <v>3.4999999998835847</v>
      </c>
      <c r="CB147" s="481">
        <f t="shared" si="71"/>
        <v>41.000000000058208</v>
      </c>
      <c r="CC147" s="481">
        <f t="shared" si="61"/>
        <v>27.500000000058208</v>
      </c>
      <c r="CD147" s="482">
        <f t="shared" si="72"/>
        <v>6.6666666667442769</v>
      </c>
      <c r="CE147" s="482">
        <f t="shared" si="73"/>
        <v>5.4166666666860692</v>
      </c>
      <c r="CF147" s="483">
        <f t="shared" si="74"/>
        <v>5.5451388888905058</v>
      </c>
      <c r="CG147" s="483">
        <f t="shared" si="75"/>
        <v>12.309027777773736</v>
      </c>
      <c r="CH147" s="484">
        <f t="shared" si="76"/>
        <v>0.45049365303271938</v>
      </c>
    </row>
    <row r="148" spans="1:88" s="475" customFormat="1">
      <c r="A148" s="474">
        <f>BJ148</f>
        <v>45286.916666666664</v>
      </c>
      <c r="B148" s="475" t="s">
        <v>188</v>
      </c>
      <c r="C148" s="475" t="s">
        <v>2896</v>
      </c>
      <c r="D148" s="475" t="s">
        <v>197</v>
      </c>
      <c r="E148" s="476" t="s">
        <v>3745</v>
      </c>
      <c r="F148" s="399" t="s">
        <v>3378</v>
      </c>
      <c r="G148" s="901"/>
      <c r="H148" s="901"/>
      <c r="I148" s="475" t="s">
        <v>3826</v>
      </c>
      <c r="J148" s="475" t="s">
        <v>192</v>
      </c>
      <c r="K148" s="475" t="s">
        <v>192</v>
      </c>
      <c r="L148" s="667" t="s">
        <v>3926</v>
      </c>
      <c r="M148" s="530"/>
      <c r="N148" s="475" t="s">
        <v>292</v>
      </c>
      <c r="O148" s="475" t="s">
        <v>268</v>
      </c>
      <c r="P148" s="399" t="s">
        <v>2896</v>
      </c>
      <c r="Q148" s="477">
        <f>3142*2.4</f>
        <v>7540.7999999999993</v>
      </c>
      <c r="R148" s="477">
        <f>7550+100</f>
        <v>7650</v>
      </c>
      <c r="S148" s="477">
        <v>7526.7759999999998</v>
      </c>
      <c r="T148" s="667"/>
      <c r="U148" s="581"/>
      <c r="V148" s="581"/>
      <c r="W148" s="581"/>
      <c r="Z148" s="581"/>
      <c r="AA148" s="581"/>
      <c r="AB148" s="581"/>
      <c r="AC148" s="401"/>
      <c r="AD148" s="401"/>
      <c r="AE148" s="581"/>
      <c r="AF148" s="581"/>
      <c r="AG148" s="581"/>
      <c r="AH148" s="581"/>
      <c r="AZ148" s="726">
        <f>S148</f>
        <v>7526.7759999999998</v>
      </c>
      <c r="BD148" s="473">
        <f t="shared" si="66"/>
        <v>45285.291666666664</v>
      </c>
      <c r="BE148" s="473">
        <f t="shared" si="67"/>
        <v>45293.291666666664</v>
      </c>
      <c r="BF148" s="479">
        <f t="shared" si="68"/>
        <v>8</v>
      </c>
      <c r="BG148" s="473">
        <v>45285.291666666664</v>
      </c>
      <c r="BH148" s="473">
        <v>45286.541666666664</v>
      </c>
      <c r="BI148" s="473">
        <v>45286.590277777781</v>
      </c>
      <c r="BJ148" s="473">
        <v>45286.916666666664</v>
      </c>
      <c r="BK148" s="473">
        <v>45287.604166666664</v>
      </c>
      <c r="BL148" s="473">
        <v>45287.638888888891</v>
      </c>
      <c r="BM148" s="473">
        <v>45288.208333333336</v>
      </c>
      <c r="BN148" s="473">
        <f>BM148+(5/24)</f>
        <v>45288.416666666672</v>
      </c>
      <c r="BO148" s="473">
        <v>45288.229166608799</v>
      </c>
      <c r="BP148" s="473">
        <v>45288.395833275463</v>
      </c>
      <c r="BQ148" s="473">
        <v>45288.329861111109</v>
      </c>
      <c r="BR148" s="473">
        <v>45291.270833333336</v>
      </c>
      <c r="BS148" s="473">
        <v>45292.034722222219</v>
      </c>
      <c r="BT148" s="473">
        <v>45292.461805555555</v>
      </c>
      <c r="BU148" s="473">
        <v>45292.704861111109</v>
      </c>
      <c r="BV148" s="473">
        <v>45292.708333333336</v>
      </c>
      <c r="BW148" s="473">
        <v>45293.291666666664</v>
      </c>
      <c r="BZ148" s="481">
        <f t="shared" si="69"/>
        <v>1.1666666668024845</v>
      </c>
      <c r="CA148" s="481">
        <f t="shared" si="70"/>
        <v>16.5</v>
      </c>
      <c r="CB148" s="481">
        <f t="shared" si="71"/>
        <v>5.0000000000582077</v>
      </c>
      <c r="CC148" s="481">
        <f t="shared" si="61"/>
        <v>69.000001388951205</v>
      </c>
      <c r="CD148" s="482">
        <f t="shared" si="72"/>
        <v>10.250000000058208</v>
      </c>
      <c r="CE148" s="482">
        <f t="shared" si="73"/>
        <v>13.999999999883585</v>
      </c>
      <c r="CF148" s="483">
        <f t="shared" si="74"/>
        <v>4.8298611689897371</v>
      </c>
      <c r="CG148" s="483">
        <f t="shared" si="75"/>
        <v>8</v>
      </c>
      <c r="CH148" s="484">
        <f t="shared" si="76"/>
        <v>0.60373264612371713</v>
      </c>
    </row>
    <row r="149" spans="1:88" s="475" customFormat="1">
      <c r="A149" s="474">
        <f>BJ149</f>
        <v>45283.607638888891</v>
      </c>
      <c r="B149" s="475" t="s">
        <v>228</v>
      </c>
      <c r="C149" s="475" t="s">
        <v>229</v>
      </c>
      <c r="D149" s="475" t="s">
        <v>215</v>
      </c>
      <c r="E149" s="399" t="s">
        <v>3207</v>
      </c>
      <c r="F149" s="475" t="s">
        <v>3378</v>
      </c>
      <c r="G149" s="472">
        <v>45282.125</v>
      </c>
      <c r="H149" s="472">
        <v>45282.184027777781</v>
      </c>
      <c r="I149" s="475" t="s">
        <v>490</v>
      </c>
      <c r="J149" s="475" t="s">
        <v>192</v>
      </c>
      <c r="K149" s="475" t="s">
        <v>192</v>
      </c>
      <c r="L149" s="399" t="s">
        <v>3927</v>
      </c>
      <c r="M149" s="530"/>
      <c r="N149" s="475" t="s">
        <v>774</v>
      </c>
      <c r="O149" s="475" t="s">
        <v>391</v>
      </c>
      <c r="P149" s="399" t="s">
        <v>3918</v>
      </c>
      <c r="Q149" s="477">
        <f>3156*2.4</f>
        <v>7574.4</v>
      </c>
      <c r="R149" s="477">
        <f>7600+100</f>
        <v>7700</v>
      </c>
      <c r="S149" s="477">
        <f>7539.022-2578.906</f>
        <v>4960.116</v>
      </c>
      <c r="T149" s="667"/>
      <c r="U149" s="726">
        <f>S149*0.7</f>
        <v>3472.0811999999996</v>
      </c>
      <c r="V149" s="726">
        <f>S149*0.3</f>
        <v>1488.0347999999999</v>
      </c>
      <c r="W149" s="581"/>
      <c r="X149" s="581"/>
      <c r="Y149" s="581"/>
      <c r="Z149" s="581"/>
      <c r="AA149" s="581"/>
      <c r="AB149" s="401"/>
      <c r="AC149" s="581"/>
      <c r="AD149" s="581"/>
      <c r="AE149" s="581"/>
      <c r="AF149" s="581"/>
      <c r="AG149" s="581"/>
      <c r="AH149" s="581"/>
      <c r="AI149" s="575"/>
      <c r="BD149" s="473">
        <f t="shared" si="66"/>
        <v>45277.708333333336</v>
      </c>
      <c r="BE149" s="473">
        <f t="shared" si="67"/>
        <v>45291.375</v>
      </c>
      <c r="BF149" s="479">
        <f t="shared" si="68"/>
        <v>13.666666666664241</v>
      </c>
      <c r="BG149" s="473">
        <v>45277.708333333336</v>
      </c>
      <c r="BH149" s="473">
        <v>45279.850694444445</v>
      </c>
      <c r="BI149" s="473">
        <v>45281.9375</v>
      </c>
      <c r="BJ149" s="473">
        <v>45283.607638888891</v>
      </c>
      <c r="BK149" s="473">
        <v>45283.75</v>
      </c>
      <c r="BL149" s="473">
        <v>45283.753472222219</v>
      </c>
      <c r="BM149" s="473">
        <v>45283.753472222219</v>
      </c>
      <c r="BN149" s="473">
        <f>BM149+(41/24)</f>
        <v>45285.461805555555</v>
      </c>
      <c r="BO149" s="473">
        <v>45285.583333333336</v>
      </c>
      <c r="BP149" s="473">
        <v>45285.75</v>
      </c>
      <c r="BQ149" s="473">
        <v>45285.611111111109</v>
      </c>
      <c r="BR149" s="473">
        <v>45287.208333333336</v>
      </c>
      <c r="BS149" s="473">
        <v>45290.951388888891</v>
      </c>
      <c r="BT149" s="473">
        <v>45291.326388888891</v>
      </c>
      <c r="BU149" s="473">
        <v>45291.375</v>
      </c>
      <c r="BV149" s="473">
        <v>45291.375</v>
      </c>
      <c r="BW149" s="473">
        <v>45291.375</v>
      </c>
      <c r="BX149" s="475" t="s">
        <v>3928</v>
      </c>
      <c r="BZ149" s="481">
        <f t="shared" si="69"/>
        <v>50.083333333313931</v>
      </c>
      <c r="CA149" s="481">
        <f t="shared" si="70"/>
        <v>3.4166666666278616</v>
      </c>
      <c r="CB149" s="481">
        <f t="shared" si="71"/>
        <v>41.000000000058208</v>
      </c>
      <c r="CC149" s="481">
        <f t="shared" si="61"/>
        <v>35.000000000058208</v>
      </c>
      <c r="CD149" s="482">
        <f t="shared" si="72"/>
        <v>9</v>
      </c>
      <c r="CE149" s="482">
        <f t="shared" si="73"/>
        <v>0</v>
      </c>
      <c r="CF149" s="483">
        <f t="shared" si="74"/>
        <v>5.7708333333357587</v>
      </c>
      <c r="CG149" s="483">
        <f t="shared" si="75"/>
        <v>13.666666666664241</v>
      </c>
      <c r="CH149" s="484">
        <f t="shared" si="76"/>
        <v>0.42225609756122801</v>
      </c>
    </row>
    <row r="150" spans="1:88" s="475" customFormat="1">
      <c r="A150" s="1061"/>
      <c r="G150" s="518"/>
      <c r="H150" s="518"/>
      <c r="I150" s="477"/>
      <c r="M150" s="529"/>
      <c r="Q150" s="477"/>
      <c r="R150" s="477"/>
      <c r="S150" s="1062">
        <f>SUM(S4:S149)</f>
        <v>1009619.1399999999</v>
      </c>
      <c r="T150" s="1062">
        <f t="shared" ref="T150:BB150" si="78">SUM(T4:T149)</f>
        <v>0</v>
      </c>
      <c r="U150" s="1062">
        <f t="shared" si="78"/>
        <v>127656.12075</v>
      </c>
      <c r="V150" s="1062">
        <f t="shared" si="78"/>
        <v>131849.09225000002</v>
      </c>
      <c r="W150" s="1062">
        <f t="shared" si="78"/>
        <v>0</v>
      </c>
      <c r="X150" s="1062">
        <f t="shared" si="78"/>
        <v>365365.15889999998</v>
      </c>
      <c r="Y150" s="1062">
        <f t="shared" si="78"/>
        <v>81745.06210000001</v>
      </c>
      <c r="Z150" s="1062">
        <f t="shared" si="78"/>
        <v>37783.618999999999</v>
      </c>
      <c r="AA150" s="1062">
        <f t="shared" si="78"/>
        <v>22621.9</v>
      </c>
      <c r="AB150" s="1062">
        <f t="shared" si="78"/>
        <v>0</v>
      </c>
      <c r="AC150" s="1062">
        <f t="shared" si="78"/>
        <v>0</v>
      </c>
      <c r="AD150" s="1062">
        <f t="shared" si="78"/>
        <v>54738.741000000002</v>
      </c>
      <c r="AE150" s="1062">
        <f t="shared" si="78"/>
        <v>0</v>
      </c>
      <c r="AF150" s="1062">
        <f t="shared" si="78"/>
        <v>0</v>
      </c>
      <c r="AG150" s="1062">
        <f t="shared" si="78"/>
        <v>0</v>
      </c>
      <c r="AH150" s="1062">
        <f t="shared" si="78"/>
        <v>7533.0609999999997</v>
      </c>
      <c r="AI150" s="1062">
        <f t="shared" si="78"/>
        <v>0</v>
      </c>
      <c r="AJ150" s="1062">
        <f t="shared" si="78"/>
        <v>0</v>
      </c>
      <c r="AK150" s="1062">
        <f t="shared" si="78"/>
        <v>15101.572</v>
      </c>
      <c r="AL150" s="1062">
        <f t="shared" si="78"/>
        <v>0</v>
      </c>
      <c r="AM150" s="1062">
        <f t="shared" si="78"/>
        <v>0</v>
      </c>
      <c r="AN150" s="1062">
        <f t="shared" si="78"/>
        <v>5498.73</v>
      </c>
      <c r="AO150" s="1062">
        <f t="shared" si="78"/>
        <v>7500</v>
      </c>
      <c r="AP150" s="1062">
        <f t="shared" si="78"/>
        <v>0</v>
      </c>
      <c r="AQ150" s="1062">
        <f t="shared" si="78"/>
        <v>0</v>
      </c>
      <c r="AR150" s="1062">
        <f t="shared" si="78"/>
        <v>0</v>
      </c>
      <c r="AS150" s="1062">
        <f t="shared" si="78"/>
        <v>10652.116</v>
      </c>
      <c r="AT150" s="1062">
        <f t="shared" si="78"/>
        <v>44090.024000000005</v>
      </c>
      <c r="AU150" s="1062">
        <f t="shared" si="78"/>
        <v>22544.25</v>
      </c>
      <c r="AV150" s="1062">
        <f t="shared" si="78"/>
        <v>0</v>
      </c>
      <c r="AW150" s="1062">
        <f t="shared" si="78"/>
        <v>0</v>
      </c>
      <c r="AX150" s="1062">
        <f t="shared" si="78"/>
        <v>0</v>
      </c>
      <c r="AY150" s="1062">
        <f t="shared" si="78"/>
        <v>22541.294000000002</v>
      </c>
      <c r="AZ150" s="1062">
        <f t="shared" si="78"/>
        <v>37810.126000000004</v>
      </c>
      <c r="BA150" s="1062">
        <f t="shared" si="78"/>
        <v>7090.97</v>
      </c>
      <c r="BB150" s="1062">
        <f t="shared" si="78"/>
        <v>7497.3029999999999</v>
      </c>
      <c r="BC150" s="1062"/>
      <c r="BD150" s="473"/>
      <c r="BE150" s="473"/>
      <c r="BF150" s="473"/>
      <c r="BG150" s="473"/>
      <c r="BH150" s="473"/>
      <c r="BI150" s="473"/>
      <c r="BJ150" s="473"/>
      <c r="BK150" s="473"/>
      <c r="BL150" s="473"/>
      <c r="BM150" s="473"/>
      <c r="BN150" s="473"/>
      <c r="BO150" s="473"/>
      <c r="BP150" s="473"/>
      <c r="BQ150" s="473"/>
      <c r="BR150" s="473"/>
      <c r="BS150" s="473"/>
      <c r="BT150" s="473"/>
      <c r="BU150" s="473"/>
      <c r="BV150" s="473"/>
      <c r="BW150" s="473"/>
      <c r="BZ150" s="481"/>
      <c r="CA150" s="481"/>
      <c r="CB150" s="481"/>
      <c r="CC150" s="481"/>
      <c r="CD150" s="482"/>
      <c r="CE150" s="482"/>
      <c r="CF150" s="473"/>
      <c r="CG150" s="473"/>
    </row>
    <row r="151" spans="1:88" s="126" customFormat="1" ht="46.2">
      <c r="A151" s="190" t="s">
        <v>3929</v>
      </c>
      <c r="B151" s="190"/>
      <c r="C151" s="187"/>
      <c r="D151" s="187"/>
      <c r="E151" s="187"/>
      <c r="F151" s="187"/>
      <c r="G151" s="189"/>
      <c r="H151" s="189"/>
      <c r="I151" s="188"/>
      <c r="J151" s="187"/>
      <c r="M151" s="167"/>
      <c r="N151" s="116"/>
      <c r="O151" s="116"/>
      <c r="Q151" s="181"/>
      <c r="R151" s="181"/>
      <c r="S151" s="181"/>
      <c r="T151" s="181"/>
      <c r="BD151" s="127"/>
      <c r="BE151" s="165"/>
      <c r="BF151" s="165"/>
      <c r="BG151" s="165"/>
      <c r="BH151" s="120"/>
      <c r="BI151" s="165"/>
      <c r="BJ151" s="165"/>
      <c r="BK151" s="165"/>
      <c r="BL151" s="165"/>
      <c r="BM151" s="165"/>
      <c r="BN151" s="165"/>
      <c r="BO151" s="165"/>
      <c r="BP151" s="165"/>
      <c r="BQ151" s="166"/>
      <c r="BS151" s="165"/>
      <c r="BT151" s="165"/>
      <c r="BU151" s="165"/>
      <c r="BV151" s="165"/>
      <c r="BW151" s="186"/>
      <c r="BX151" s="159"/>
      <c r="BY151" s="159"/>
      <c r="BZ151" s="165"/>
      <c r="CA151" s="165"/>
      <c r="CB151" s="165"/>
      <c r="CC151" s="165"/>
      <c r="CD151" s="165"/>
      <c r="CE151" s="165"/>
      <c r="CF151" s="165"/>
      <c r="CG151" s="165"/>
    </row>
    <row r="152" spans="1:88" s="128" customFormat="1">
      <c r="A152" s="125"/>
      <c r="B152" s="116"/>
      <c r="C152" s="116"/>
      <c r="D152" s="116" t="s">
        <v>215</v>
      </c>
      <c r="E152" s="100"/>
      <c r="F152" s="116"/>
      <c r="G152" s="130"/>
      <c r="H152" s="130"/>
      <c r="I152" s="116"/>
      <c r="J152" s="116"/>
      <c r="K152" s="116" t="s">
        <v>312</v>
      </c>
      <c r="L152" s="116" t="s">
        <v>3930</v>
      </c>
      <c r="M152" s="129"/>
      <c r="N152" s="116" t="s">
        <v>1230</v>
      </c>
      <c r="O152" s="116" t="s">
        <v>1231</v>
      </c>
      <c r="P152" s="116"/>
      <c r="Q152" s="131">
        <f>3107*2.4</f>
        <v>7456.7999999999993</v>
      </c>
      <c r="R152" s="131">
        <f>7500+100</f>
        <v>7600</v>
      </c>
      <c r="S152" s="122"/>
      <c r="T152" s="122"/>
      <c r="U152" s="115"/>
      <c r="V152" s="115"/>
      <c r="W152" s="115"/>
      <c r="X152" s="121"/>
      <c r="Y152" s="121"/>
      <c r="Z152" s="121"/>
      <c r="AA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/>
      <c r="BD152" s="127">
        <f>BG152</f>
        <v>45292</v>
      </c>
      <c r="BE152" s="120">
        <f>BW152</f>
        <v>0</v>
      </c>
      <c r="BF152" s="137">
        <f>BE152-BD152</f>
        <v>-45292</v>
      </c>
      <c r="BG152" s="127">
        <v>45292</v>
      </c>
      <c r="BH152" s="120"/>
      <c r="BI152" s="120"/>
      <c r="BJ152" s="120"/>
      <c r="BK152" s="120"/>
      <c r="BL152" s="120"/>
      <c r="BM152" s="120"/>
      <c r="BN152" s="120"/>
      <c r="BO152" s="359"/>
      <c r="BP152" s="359"/>
      <c r="BQ152" s="124"/>
      <c r="BR152" s="120"/>
      <c r="BS152" s="120"/>
      <c r="BT152" s="120"/>
      <c r="BU152" s="120"/>
      <c r="BV152" s="120"/>
      <c r="BW152" s="127"/>
      <c r="BX152" s="121"/>
      <c r="BY152" s="121"/>
      <c r="BZ152" s="136">
        <f>(BI152-BH152)*24</f>
        <v>0</v>
      </c>
      <c r="CA152" s="136">
        <f>(BK152-BJ152)*24</f>
        <v>0</v>
      </c>
      <c r="CB152" s="136">
        <f>(BN152-BM152)*24</f>
        <v>0</v>
      </c>
      <c r="CC152" s="136">
        <f>(BR152-BP152)*24</f>
        <v>0</v>
      </c>
      <c r="CD152" s="135">
        <f>(BT152-BS152)*24</f>
        <v>0</v>
      </c>
      <c r="CE152" s="135">
        <f>(BW152-BV152)*24</f>
        <v>0</v>
      </c>
      <c r="CF152" s="134">
        <f>SUM(BZ152:CE152)/24</f>
        <v>0</v>
      </c>
      <c r="CG152" s="134">
        <f>BF152</f>
        <v>-45292</v>
      </c>
      <c r="CH152" s="133">
        <f>CF152/CG152</f>
        <v>0</v>
      </c>
      <c r="CJ152" s="115"/>
    </row>
    <row r="153" spans="1:88" s="116" customFormat="1">
      <c r="A153" s="125"/>
      <c r="D153" s="116" t="s">
        <v>197</v>
      </c>
      <c r="E153" s="100"/>
      <c r="G153" s="130"/>
      <c r="H153" s="130"/>
      <c r="K153" s="116" t="s">
        <v>2693</v>
      </c>
      <c r="L153" s="116" t="s">
        <v>3931</v>
      </c>
      <c r="M153" s="129"/>
      <c r="N153" s="116" t="s">
        <v>233</v>
      </c>
      <c r="O153" s="116" t="s">
        <v>234</v>
      </c>
      <c r="P153" s="578"/>
      <c r="Q153" s="131">
        <f>3215*2.4</f>
        <v>7716</v>
      </c>
      <c r="R153" s="131">
        <f>7750+100</f>
        <v>7850</v>
      </c>
      <c r="S153" s="122"/>
      <c r="T153" s="131"/>
      <c r="U153" s="815"/>
      <c r="V153" s="815"/>
      <c r="W153" s="815"/>
      <c r="X153" s="815"/>
      <c r="Y153" s="815"/>
      <c r="Z153" s="815"/>
      <c r="AA153" s="815"/>
      <c r="AB153" s="815"/>
      <c r="AE153" s="881"/>
      <c r="AF153" s="881"/>
      <c r="AG153" s="881"/>
      <c r="BD153" s="127">
        <f>BG153</f>
        <v>45292</v>
      </c>
      <c r="BE153" s="120">
        <f>BW153</f>
        <v>0</v>
      </c>
      <c r="BF153" s="137">
        <f>BE153-BD153</f>
        <v>-45292</v>
      </c>
      <c r="BG153" s="127">
        <v>45292</v>
      </c>
      <c r="BH153" s="120"/>
      <c r="BI153" s="120"/>
      <c r="BJ153" s="120"/>
      <c r="BK153" s="120"/>
      <c r="BL153" s="120"/>
      <c r="BM153" s="120"/>
      <c r="BN153" s="120"/>
      <c r="BO153" s="359"/>
      <c r="BP153" s="359"/>
      <c r="BQ153" s="124"/>
      <c r="BR153" s="120"/>
      <c r="BS153" s="120"/>
      <c r="BT153" s="120"/>
      <c r="BU153" s="120"/>
      <c r="BV153" s="120"/>
      <c r="BW153" s="127"/>
      <c r="BZ153" s="136">
        <f>(BI153-BH153)*24</f>
        <v>0</v>
      </c>
      <c r="CA153" s="136">
        <f>(BK153-BJ153)*24</f>
        <v>0</v>
      </c>
      <c r="CB153" s="136">
        <f>(BN153-BM153)*24</f>
        <v>0</v>
      </c>
      <c r="CC153" s="136">
        <f>(BR153-BP153)*24</f>
        <v>0</v>
      </c>
      <c r="CD153" s="135">
        <f>(BT153-BS153)*24</f>
        <v>0</v>
      </c>
      <c r="CE153" s="135">
        <f>(BW153-BV153)*24</f>
        <v>0</v>
      </c>
      <c r="CF153" s="134">
        <f>SUM(BZ153:CE153)/24</f>
        <v>0</v>
      </c>
      <c r="CG153" s="134">
        <f>BF153</f>
        <v>-45292</v>
      </c>
      <c r="CH153" s="133">
        <f>CF153/CG153</f>
        <v>0</v>
      </c>
    </row>
    <row r="154" spans="1:88">
      <c r="A154" s="125"/>
      <c r="B154" s="116"/>
      <c r="C154" s="116"/>
      <c r="D154" s="116" t="s">
        <v>197</v>
      </c>
      <c r="E154" s="100"/>
      <c r="F154" s="116"/>
      <c r="G154" s="130"/>
      <c r="H154" s="130"/>
      <c r="I154" s="116"/>
      <c r="J154" s="116"/>
      <c r="K154" s="519" t="s">
        <v>312</v>
      </c>
      <c r="L154" s="116" t="s">
        <v>3932</v>
      </c>
      <c r="M154" s="129"/>
      <c r="N154" s="116" t="s">
        <v>361</v>
      </c>
      <c r="O154" s="116" t="s">
        <v>362</v>
      </c>
      <c r="P154" s="578"/>
      <c r="Q154" s="131">
        <f>3117*2.4</f>
        <v>7480.7999999999993</v>
      </c>
      <c r="R154" s="131">
        <f>7500+100</f>
        <v>7600</v>
      </c>
      <c r="S154" s="122"/>
      <c r="T154" s="667"/>
      <c r="U154" s="581"/>
      <c r="V154" s="581"/>
      <c r="W154" s="581"/>
      <c r="X154" s="581"/>
      <c r="Y154" s="581"/>
      <c r="Z154" s="581"/>
      <c r="AA154" s="581"/>
      <c r="AB154" s="581"/>
      <c r="AC154" s="581"/>
      <c r="AD154" s="581"/>
      <c r="AE154" s="581"/>
      <c r="AF154" s="581"/>
      <c r="AG154" s="581"/>
      <c r="AH154" s="581"/>
      <c r="AI154" s="581"/>
      <c r="AJ154" s="581"/>
      <c r="AK154" s="581"/>
      <c r="AW154" s="121"/>
      <c r="AX154" s="121"/>
      <c r="AY154" s="121"/>
      <c r="AZ154" s="121"/>
      <c r="BA154" s="121"/>
      <c r="BB154" s="121"/>
      <c r="BC154" s="121"/>
      <c r="BD154" s="127">
        <f>BG154</f>
        <v>45292</v>
      </c>
      <c r="BE154" s="120">
        <f>BW154</f>
        <v>0</v>
      </c>
      <c r="BF154" s="137">
        <f>BE154-BD154</f>
        <v>-45292</v>
      </c>
      <c r="BG154" s="127">
        <v>45292</v>
      </c>
      <c r="BH154" s="120"/>
      <c r="BI154" s="120"/>
      <c r="BJ154" s="120"/>
      <c r="BK154" s="120"/>
      <c r="BL154" s="120"/>
      <c r="BM154" s="120"/>
      <c r="BN154" s="120"/>
      <c r="BO154" s="120"/>
      <c r="BP154" s="120"/>
      <c r="BQ154" s="124"/>
      <c r="BR154" s="120"/>
      <c r="BS154" s="120"/>
      <c r="BT154" s="120"/>
      <c r="BU154" s="120"/>
      <c r="BV154" s="120"/>
      <c r="BW154" s="127"/>
      <c r="BX154" s="121"/>
      <c r="BY154" s="121"/>
      <c r="BZ154" s="136">
        <f>(BI154-BH154)*24</f>
        <v>0</v>
      </c>
      <c r="CA154" s="136">
        <f>(BK154-BJ154)*24</f>
        <v>0</v>
      </c>
      <c r="CB154" s="136">
        <f>(BN154-BM154)*24</f>
        <v>0</v>
      </c>
      <c r="CC154" s="136">
        <f>(BR154-BP154)*24</f>
        <v>0</v>
      </c>
      <c r="CD154" s="135">
        <f>(BT154-BS154)*24</f>
        <v>0</v>
      </c>
      <c r="CE154" s="135">
        <f>(BW154-BV154)*24</f>
        <v>0</v>
      </c>
      <c r="CF154" s="134">
        <f>SUM(BZ154:CE154)/24</f>
        <v>0</v>
      </c>
      <c r="CG154" s="134">
        <f>BF154</f>
        <v>-45292</v>
      </c>
      <c r="CH154" s="133">
        <f>CF154/CG154</f>
        <v>0</v>
      </c>
      <c r="CI154" s="121"/>
      <c r="CJ154" s="128"/>
    </row>
    <row r="155" spans="1:88" s="121" customFormat="1" ht="18">
      <c r="A155" s="132"/>
      <c r="B155" s="116"/>
      <c r="E155" s="100"/>
      <c r="K155" s="116"/>
      <c r="L155" s="578"/>
      <c r="M155" s="116"/>
      <c r="N155" s="151"/>
      <c r="O155" s="151"/>
      <c r="P155" s="116"/>
      <c r="Q155" s="131"/>
      <c r="R155" s="131"/>
      <c r="S155" s="131"/>
      <c r="T155" s="131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  <c r="AT155" s="116"/>
      <c r="AU155" s="116"/>
      <c r="AV155" s="116"/>
      <c r="AW155" s="116"/>
      <c r="AX155" s="116"/>
      <c r="AY155" s="116"/>
      <c r="AZ155" s="116"/>
      <c r="BA155" s="116"/>
      <c r="BB155" s="116"/>
      <c r="BC155" s="116"/>
      <c r="BD155" s="127"/>
      <c r="BE155" s="120"/>
      <c r="BF155" s="120"/>
      <c r="BG155" s="127"/>
      <c r="BH155" s="120"/>
      <c r="BI155" s="127"/>
      <c r="BJ155" s="127"/>
      <c r="BK155" s="127"/>
      <c r="BL155" s="127"/>
      <c r="BM155" s="120"/>
      <c r="BN155" s="120"/>
      <c r="BO155" s="120"/>
      <c r="BP155" s="120"/>
      <c r="BQ155" s="124"/>
      <c r="BR155" s="120"/>
      <c r="BS155" s="120"/>
      <c r="BT155" s="120"/>
      <c r="BU155" s="120"/>
      <c r="BV155" s="120"/>
      <c r="BW155" s="120"/>
      <c r="BZ155" s="120"/>
      <c r="CA155" s="120"/>
      <c r="CB155" s="120"/>
      <c r="CC155" s="120"/>
      <c r="CD155" s="120"/>
      <c r="CE155" s="120"/>
      <c r="CF155" s="120"/>
      <c r="CG155" s="120"/>
    </row>
    <row r="156" spans="1:88" ht="17.399999999999999" customHeight="1">
      <c r="A156" s="185" t="s">
        <v>3933</v>
      </c>
      <c r="B156" s="185"/>
      <c r="C156" s="184"/>
      <c r="J156" s="116"/>
      <c r="L156" s="116"/>
      <c r="M156" s="129"/>
      <c r="N156" s="151"/>
      <c r="O156" s="116"/>
      <c r="P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  <c r="AS156" s="116"/>
      <c r="AT156" s="116"/>
      <c r="AU156" s="116"/>
      <c r="AV156" s="116"/>
      <c r="AW156" s="116"/>
      <c r="AX156" s="116"/>
      <c r="AY156" s="116"/>
      <c r="AZ156" s="116"/>
      <c r="BA156" s="116"/>
      <c r="BB156" s="116"/>
      <c r="BC156" s="116"/>
      <c r="BI156" s="263"/>
      <c r="BM156" s="140"/>
      <c r="BN156" s="140"/>
      <c r="BO156" s="140"/>
      <c r="BP156" s="140"/>
      <c r="BT156" s="115"/>
      <c r="BV156" s="116"/>
      <c r="BX156" s="115"/>
      <c r="BY156" s="115"/>
    </row>
    <row r="157" spans="1:88" s="121" customFormat="1">
      <c r="A157" s="132">
        <f>BJ157</f>
        <v>45283.140277777777</v>
      </c>
      <c r="B157" s="116" t="s">
        <v>228</v>
      </c>
      <c r="C157" s="116" t="s">
        <v>229</v>
      </c>
      <c r="D157" s="116" t="s">
        <v>215</v>
      </c>
      <c r="E157" s="519" t="s">
        <v>3749</v>
      </c>
      <c r="F157" s="116" t="s">
        <v>3378</v>
      </c>
      <c r="G157" s="472">
        <v>45276.241666666669</v>
      </c>
      <c r="H157" s="472">
        <v>45276.241666666669</v>
      </c>
      <c r="I157" s="116" t="s">
        <v>469</v>
      </c>
      <c r="J157" s="116" t="s">
        <v>3934</v>
      </c>
      <c r="K157" s="519" t="s">
        <v>3935</v>
      </c>
      <c r="L157" s="519" t="s">
        <v>2852</v>
      </c>
      <c r="M157" s="1043"/>
      <c r="N157" s="116" t="s">
        <v>222</v>
      </c>
      <c r="O157" s="116" t="s">
        <v>223</v>
      </c>
      <c r="P157" s="116" t="s">
        <v>172</v>
      </c>
      <c r="Q157" s="131">
        <f>3137*2.4</f>
        <v>7528.7999999999993</v>
      </c>
      <c r="R157" s="131">
        <f>7550+100</f>
        <v>7650</v>
      </c>
      <c r="S157" s="131">
        <v>7582.0010000000002</v>
      </c>
      <c r="T157" s="667"/>
      <c r="U157" s="1084"/>
      <c r="V157" s="581"/>
      <c r="W157" s="581"/>
      <c r="Y157" s="581"/>
      <c r="Z157" s="664">
        <f>S157</f>
        <v>7582.0010000000002</v>
      </c>
      <c r="AA157" s="815"/>
      <c r="AB157" s="400"/>
      <c r="AC157" s="581"/>
      <c r="AD157" s="581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401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7">
        <f>BG157</f>
        <v>45277.888888888891</v>
      </c>
      <c r="BE157" s="120">
        <f>BW157</f>
        <v>45293.569444444445</v>
      </c>
      <c r="BF157" s="137">
        <f>BE157-BD157</f>
        <v>15.680555555554747</v>
      </c>
      <c r="BG157" s="127">
        <v>45277.888888888891</v>
      </c>
      <c r="BH157" s="127">
        <v>45279.84375</v>
      </c>
      <c r="BI157" s="127">
        <v>45282.25</v>
      </c>
      <c r="BJ157" s="127">
        <v>45283.140277777777</v>
      </c>
      <c r="BK157" s="127">
        <v>45283.399305555555</v>
      </c>
      <c r="BL157" s="127">
        <v>45283.402777777781</v>
      </c>
      <c r="BM157" s="127">
        <v>45283.402777777781</v>
      </c>
      <c r="BN157" s="127">
        <f>BM157+(41/24)</f>
        <v>45285.111111111117</v>
      </c>
      <c r="BO157" s="127">
        <v>45288.229166608799</v>
      </c>
      <c r="BP157" s="127">
        <v>45288.395833275463</v>
      </c>
      <c r="BQ157" s="127">
        <v>45288.322916666664</v>
      </c>
      <c r="BR157" s="127">
        <v>45290.048611111109</v>
      </c>
      <c r="BS157" s="127">
        <v>45290.21875</v>
      </c>
      <c r="BT157" s="127">
        <v>45292.836805555555</v>
      </c>
      <c r="BU157" s="127">
        <v>45292.857638888891</v>
      </c>
      <c r="BV157" s="127">
        <v>45292.861111111109</v>
      </c>
      <c r="BW157" s="120">
        <f>BV157+(17/24)</f>
        <v>45293.569444444445</v>
      </c>
      <c r="BZ157" s="136">
        <f>(BI157-BH157)*24</f>
        <v>57.75</v>
      </c>
      <c r="CA157" s="136">
        <f>(BK157-BJ157)*24</f>
        <v>6.2166666666744277</v>
      </c>
      <c r="CB157" s="136">
        <f>(BN157-BM157)*24</f>
        <v>41.000000000058208</v>
      </c>
      <c r="CC157" s="136">
        <f>(BR157-BP157)*24</f>
        <v>39.666668055520859</v>
      </c>
      <c r="CD157" s="135">
        <f>(BT157-BS157)*24</f>
        <v>62.833333333313931</v>
      </c>
      <c r="CE157" s="135">
        <f>(BW157-BV157)*24</f>
        <v>17.000000000058208</v>
      </c>
      <c r="CF157" s="134">
        <f>SUM(BZ157:CE157)/24</f>
        <v>9.352777835651068</v>
      </c>
      <c r="CG157" s="134">
        <f>BF157</f>
        <v>15.680555555554747</v>
      </c>
      <c r="CH157" s="133">
        <f>CF157/CG157</f>
        <v>0.59645704532055943</v>
      </c>
      <c r="CI157" s="128"/>
      <c r="CJ157" s="115"/>
    </row>
    <row r="158" spans="1:88" s="121" customFormat="1">
      <c r="A158" s="132">
        <f>BJ158</f>
        <v>45283.416666666664</v>
      </c>
      <c r="B158" s="116" t="s">
        <v>228</v>
      </c>
      <c r="C158" s="116" t="s">
        <v>229</v>
      </c>
      <c r="D158" s="116" t="s">
        <v>215</v>
      </c>
      <c r="E158" s="519" t="s">
        <v>3749</v>
      </c>
      <c r="F158" s="116" t="s">
        <v>3378</v>
      </c>
      <c r="G158" s="472">
        <v>45276.241666666669</v>
      </c>
      <c r="H158" s="472">
        <v>45276.241666666669</v>
      </c>
      <c r="I158" s="116" t="s">
        <v>1550</v>
      </c>
      <c r="J158" s="116" t="s">
        <v>3934</v>
      </c>
      <c r="K158" s="519" t="s">
        <v>3935</v>
      </c>
      <c r="L158" s="519" t="s">
        <v>2851</v>
      </c>
      <c r="M158" s="1043"/>
      <c r="N158" s="116" t="s">
        <v>352</v>
      </c>
      <c r="O158" s="116" t="s">
        <v>353</v>
      </c>
      <c r="P158" s="116" t="s">
        <v>173</v>
      </c>
      <c r="Q158" s="131">
        <f>3852*2.4</f>
        <v>9244.7999999999993</v>
      </c>
      <c r="R158" s="131">
        <f>9250+100</f>
        <v>9350</v>
      </c>
      <c r="S158" s="131">
        <v>8000.41</v>
      </c>
      <c r="T158" s="667"/>
      <c r="U158" s="581"/>
      <c r="V158" s="581"/>
      <c r="W158" s="581"/>
      <c r="Z158" s="116"/>
      <c r="AA158" s="664">
        <f>S158</f>
        <v>8000.41</v>
      </c>
      <c r="AB158" s="400"/>
      <c r="AC158" s="577"/>
      <c r="AD158" s="577"/>
      <c r="AE158" s="577"/>
      <c r="AF158" s="577"/>
      <c r="AG158" s="577"/>
      <c r="AH158" s="577"/>
      <c r="AI158" s="577"/>
      <c r="AJ158" s="577"/>
      <c r="AK158" s="115"/>
      <c r="AL158" s="115"/>
      <c r="BD158" s="127">
        <f>BG158</f>
        <v>45276.888888888891</v>
      </c>
      <c r="BE158" s="120">
        <f>BW158</f>
        <v>45293.739583333336</v>
      </c>
      <c r="BF158" s="137">
        <f>BE158-BD158</f>
        <v>16.850694444445253</v>
      </c>
      <c r="BG158" s="127">
        <v>45276.888888888891</v>
      </c>
      <c r="BH158" s="127">
        <v>45279.854166666664</v>
      </c>
      <c r="BI158" s="127">
        <v>45281.916666666664</v>
      </c>
      <c r="BJ158" s="127">
        <v>45283.416666666664</v>
      </c>
      <c r="BK158" s="127">
        <v>45283.583333333336</v>
      </c>
      <c r="BL158" s="127">
        <v>45283.590277777781</v>
      </c>
      <c r="BM158" s="127">
        <v>45283.590277777781</v>
      </c>
      <c r="BN158" s="127">
        <f>BM158+(41/24)</f>
        <v>45285.298611111117</v>
      </c>
      <c r="BO158" s="127">
        <v>45285.583333333336</v>
      </c>
      <c r="BP158" s="127">
        <v>45285.75</v>
      </c>
      <c r="BQ158" s="127">
        <v>45285.559027777781</v>
      </c>
      <c r="BR158" s="127">
        <v>45289.5</v>
      </c>
      <c r="BS158" s="127">
        <v>45289.638888888891</v>
      </c>
      <c r="BT158" s="127">
        <v>45293.017361111109</v>
      </c>
      <c r="BU158" s="127">
        <v>45293.027777777781</v>
      </c>
      <c r="BV158" s="127">
        <v>45293.03125</v>
      </c>
      <c r="BW158" s="120">
        <f>BV158+(17/24)</f>
        <v>45293.739583333336</v>
      </c>
      <c r="BZ158" s="136">
        <f>(BI158-BH158)*24</f>
        <v>49.5</v>
      </c>
      <c r="CA158" s="136">
        <f>(BK158-BJ158)*24</f>
        <v>4.0000000001164153</v>
      </c>
      <c r="CB158" s="136">
        <f>(BN158-BM158)*24</f>
        <v>41.000000000058208</v>
      </c>
      <c r="CC158" s="136">
        <f>(BR158-BP158)*24</f>
        <v>90</v>
      </c>
      <c r="CD158" s="135">
        <f>(BT158-BS158)*24</f>
        <v>81.083333333255723</v>
      </c>
      <c r="CE158" s="135">
        <f>(BW158-BV158)*24</f>
        <v>17.000000000058208</v>
      </c>
      <c r="CF158" s="134">
        <f>SUM(BZ158:CE158)/24</f>
        <v>11.774305555562023</v>
      </c>
      <c r="CG158" s="134">
        <f>BF158</f>
        <v>16.850694444445253</v>
      </c>
      <c r="CH158" s="133">
        <f>CF158/CG158</f>
        <v>0.6987430455391922</v>
      </c>
      <c r="CI158" s="128"/>
    </row>
    <row r="159" spans="1:88" s="146" customFormat="1" ht="31.2">
      <c r="A159" s="177" t="s">
        <v>3936</v>
      </c>
      <c r="B159" s="177"/>
      <c r="C159" s="177"/>
      <c r="D159" s="177"/>
      <c r="E159" s="177"/>
      <c r="F159" s="177"/>
      <c r="G159" s="178"/>
      <c r="H159" s="178"/>
      <c r="I159" s="177"/>
      <c r="J159" s="173"/>
      <c r="K159" s="173"/>
      <c r="L159" s="173"/>
      <c r="M159" s="129"/>
      <c r="N159" s="173"/>
      <c r="O159" s="173"/>
      <c r="Q159" s="183"/>
      <c r="R159" s="183"/>
      <c r="S159" s="183"/>
      <c r="T159" s="18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3"/>
      <c r="AT159" s="173"/>
      <c r="AU159" s="173"/>
      <c r="AV159" s="173"/>
      <c r="AW159" s="173"/>
      <c r="AX159" s="173"/>
      <c r="AY159" s="173"/>
      <c r="AZ159" s="173"/>
      <c r="BA159" s="173"/>
      <c r="BB159" s="173"/>
      <c r="BC159" s="173"/>
      <c r="BD159" s="176"/>
      <c r="BE159" s="148"/>
      <c r="BF159" s="148"/>
      <c r="BG159" s="176"/>
      <c r="BH159" s="148"/>
      <c r="BI159" s="176"/>
      <c r="BJ159" s="148"/>
      <c r="BK159" s="148"/>
      <c r="BL159" s="148"/>
      <c r="BM159" s="148"/>
      <c r="BN159" s="148"/>
      <c r="BO159" s="148"/>
      <c r="BP159" s="147"/>
      <c r="BQ159" s="148"/>
      <c r="BR159" s="148"/>
      <c r="BS159" s="127"/>
      <c r="BT159" s="127"/>
      <c r="BU159" s="127"/>
      <c r="BZ159" s="148"/>
      <c r="CA159" s="148"/>
      <c r="CB159" s="148"/>
      <c r="CC159" s="148"/>
      <c r="CD159" s="148"/>
      <c r="CE159" s="148"/>
      <c r="CF159" s="148"/>
      <c r="CG159" s="148"/>
    </row>
    <row r="160" spans="1:88" s="151" customFormat="1" ht="18">
      <c r="A160" s="1476" t="s">
        <v>3937</v>
      </c>
      <c r="B160" s="1476"/>
      <c r="C160" s="1476"/>
      <c r="D160" s="1476"/>
      <c r="E160" s="174"/>
      <c r="F160" s="174"/>
      <c r="G160" s="130"/>
      <c r="H160" s="130"/>
      <c r="I160" s="131"/>
      <c r="J160" s="174"/>
      <c r="M160" s="129"/>
      <c r="Q160" s="131"/>
      <c r="R160" s="131"/>
      <c r="S160" s="131"/>
      <c r="T160" s="131"/>
      <c r="BD160" s="155"/>
      <c r="BE160" s="120"/>
      <c r="BF160" s="120"/>
      <c r="BG160" s="155"/>
      <c r="BH160" s="180"/>
      <c r="BI160" s="127"/>
      <c r="BJ160" s="127"/>
      <c r="BK160" s="127"/>
      <c r="BL160" s="180"/>
      <c r="BM160" s="162"/>
      <c r="BN160" s="152"/>
      <c r="BO160" s="152"/>
      <c r="BP160" s="153"/>
      <c r="BQ160" s="152"/>
      <c r="BR160" s="152"/>
      <c r="BS160" s="152"/>
      <c r="BT160" s="152"/>
      <c r="BU160" s="152"/>
      <c r="BZ160" s="120"/>
      <c r="CA160" s="120"/>
      <c r="CB160" s="120"/>
      <c r="CC160" s="120"/>
      <c r="CD160" s="120"/>
      <c r="CE160" s="120"/>
      <c r="CF160" s="120"/>
      <c r="CG160" s="120"/>
    </row>
    <row r="161" spans="1:88" s="121" customFormat="1">
      <c r="A161" s="168" t="s">
        <v>3997</v>
      </c>
      <c r="B161" s="116"/>
      <c r="C161" s="116"/>
      <c r="D161" s="116"/>
      <c r="E161" s="116"/>
      <c r="F161" s="116"/>
      <c r="G161" s="127"/>
      <c r="H161" s="127"/>
      <c r="I161" s="116"/>
      <c r="J161" s="116"/>
      <c r="K161" s="116"/>
      <c r="L161" s="116"/>
      <c r="M161" s="129"/>
      <c r="N161" s="182"/>
      <c r="O161" s="182"/>
      <c r="P161" s="116"/>
      <c r="Q161" s="131"/>
      <c r="R161" s="131"/>
      <c r="S161" s="131"/>
      <c r="T161" s="122"/>
      <c r="U161" s="131"/>
      <c r="BD161" s="127"/>
      <c r="BE161" s="120"/>
      <c r="BF161" s="120"/>
      <c r="BG161" s="127"/>
      <c r="BH161" s="127"/>
      <c r="BI161" s="127"/>
      <c r="BJ161" s="127"/>
      <c r="BK161" s="127"/>
      <c r="BL161" s="127"/>
      <c r="BM161" s="127"/>
      <c r="BN161" s="127"/>
      <c r="BO161" s="140"/>
      <c r="BP161" s="120"/>
      <c r="BQ161" s="124"/>
      <c r="BR161" s="120"/>
      <c r="BS161" s="120"/>
      <c r="BT161" s="120"/>
      <c r="BU161" s="120"/>
      <c r="BV161" s="120"/>
      <c r="BW161" s="120"/>
      <c r="BZ161" s="136"/>
      <c r="CA161" s="136"/>
      <c r="CB161" s="136"/>
      <c r="CC161" s="136"/>
      <c r="CD161" s="135"/>
      <c r="CE161" s="128"/>
      <c r="CF161" s="128"/>
      <c r="CG161" s="128"/>
      <c r="CH161" s="128"/>
      <c r="CI161" s="128"/>
    </row>
    <row r="162" spans="1:88" s="121" customFormat="1" ht="18">
      <c r="A162" s="132" t="s">
        <v>3938</v>
      </c>
      <c r="B162" s="116"/>
      <c r="E162" s="519"/>
      <c r="K162" s="116"/>
      <c r="L162" s="116"/>
      <c r="M162" s="116"/>
      <c r="N162" s="151"/>
      <c r="O162" s="151"/>
      <c r="P162" s="116"/>
      <c r="Q162" s="131"/>
      <c r="R162" s="131"/>
      <c r="S162" s="131"/>
      <c r="T162" s="131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  <c r="AM162" s="116"/>
      <c r="AN162" s="116"/>
      <c r="AO162" s="116"/>
      <c r="AP162" s="116"/>
      <c r="AQ162" s="116"/>
      <c r="AR162" s="116"/>
      <c r="AS162" s="116"/>
      <c r="AT162" s="116"/>
      <c r="AU162" s="116"/>
      <c r="AV162" s="116"/>
      <c r="AW162" s="116"/>
      <c r="AX162" s="116"/>
      <c r="AY162" s="116"/>
      <c r="AZ162" s="116"/>
      <c r="BA162" s="116"/>
      <c r="BB162" s="116"/>
      <c r="BC162" s="116"/>
      <c r="BD162" s="127"/>
      <c r="BE162" s="120"/>
      <c r="BF162" s="120"/>
      <c r="BG162" s="127"/>
      <c r="BH162" s="120"/>
      <c r="BI162" s="127"/>
      <c r="BJ162" s="127"/>
      <c r="BK162" s="127"/>
      <c r="BL162" s="127"/>
      <c r="BM162" s="120"/>
      <c r="BN162" s="120"/>
      <c r="BO162" s="120"/>
      <c r="BP162" s="120"/>
      <c r="BQ162" s="124"/>
      <c r="BR162" s="120"/>
      <c r="BS162" s="120"/>
      <c r="BT162" s="120"/>
      <c r="BU162" s="120"/>
      <c r="BV162" s="120"/>
      <c r="BW162" s="120"/>
      <c r="BZ162" s="120"/>
      <c r="CA162" s="120"/>
      <c r="CB162" s="120"/>
      <c r="CC162" s="120"/>
      <c r="CD162" s="120"/>
      <c r="CE162" s="120"/>
      <c r="CF162" s="120"/>
      <c r="CG162" s="120"/>
    </row>
    <row r="163" spans="1:88" s="151" customFormat="1" ht="18">
      <c r="A163" s="1476" t="s">
        <v>3939</v>
      </c>
      <c r="B163" s="1476"/>
      <c r="C163" s="1476"/>
      <c r="D163" s="1476"/>
      <c r="E163" s="174"/>
      <c r="F163" s="174"/>
      <c r="G163" s="158"/>
      <c r="H163" s="158"/>
      <c r="I163" s="156"/>
      <c r="J163" s="174"/>
      <c r="M163" s="129"/>
      <c r="N163" s="116"/>
      <c r="O163" s="116"/>
      <c r="Q163" s="156"/>
      <c r="R163" s="156"/>
      <c r="S163" s="156"/>
      <c r="T163" s="156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52"/>
      <c r="BE163" s="120"/>
      <c r="BF163" s="120"/>
      <c r="BG163" s="155"/>
      <c r="BH163" s="152"/>
      <c r="BI163" s="127"/>
      <c r="BJ163" s="152"/>
      <c r="BK163" s="152"/>
      <c r="BL163" s="152"/>
      <c r="BM163" s="152"/>
      <c r="BN163" s="152"/>
      <c r="BO163" s="152"/>
      <c r="BP163" s="153"/>
      <c r="BQ163" s="127"/>
      <c r="BR163" s="152"/>
      <c r="BS163" s="120"/>
      <c r="BT163" s="120"/>
      <c r="BU163" s="120"/>
      <c r="BV163" s="120"/>
      <c r="BZ163" s="120"/>
      <c r="CA163" s="120"/>
      <c r="CB163" s="120"/>
      <c r="CC163" s="120"/>
      <c r="CD163" s="120"/>
      <c r="CE163" s="120"/>
      <c r="CF163" s="120"/>
      <c r="CG163" s="120"/>
    </row>
    <row r="164" spans="1:88" s="121" customFormat="1">
      <c r="A164" s="168" t="s">
        <v>4592</v>
      </c>
      <c r="B164" s="116"/>
      <c r="C164" s="116"/>
      <c r="D164" s="116"/>
      <c r="E164" s="100"/>
      <c r="F164" s="116"/>
      <c r="G164" s="116"/>
      <c r="H164" s="116"/>
      <c r="I164" s="116"/>
      <c r="J164" s="116"/>
      <c r="K164" s="116"/>
      <c r="L164" s="116"/>
      <c r="M164" s="129"/>
      <c r="N164" s="116"/>
      <c r="O164" s="116"/>
      <c r="P164" s="116"/>
      <c r="Q164" s="131"/>
      <c r="R164" s="131"/>
      <c r="S164" s="131"/>
      <c r="T164" s="122"/>
      <c r="U164" s="131"/>
      <c r="BD164" s="127"/>
      <c r="BE164" s="120"/>
      <c r="BF164" s="120"/>
      <c r="BG164" s="127"/>
      <c r="BH164" s="127"/>
      <c r="BI164" s="127"/>
      <c r="BJ164" s="127"/>
      <c r="BK164" s="127"/>
      <c r="BL164" s="127"/>
      <c r="BM164" s="127"/>
      <c r="BN164" s="127"/>
      <c r="BO164" s="140"/>
      <c r="BP164" s="120"/>
      <c r="BQ164" s="120"/>
      <c r="BR164" s="120"/>
      <c r="BS164" s="127"/>
      <c r="BT164" s="120"/>
      <c r="BU164" s="120"/>
      <c r="BV164" s="120"/>
      <c r="BW164" s="120"/>
      <c r="BZ164" s="136"/>
      <c r="CA164" s="136"/>
      <c r="CB164" s="136"/>
      <c r="CC164" s="136"/>
      <c r="CD164" s="135"/>
      <c r="CE164" s="128"/>
      <c r="CF164" s="128"/>
      <c r="CG164" s="128"/>
      <c r="CH164" s="128"/>
      <c r="CI164" s="128"/>
    </row>
    <row r="165" spans="1:88" s="369" customFormat="1">
      <c r="A165" s="132">
        <f t="shared" ref="A165:A172" si="79">BJ165</f>
        <v>45269.666666666664</v>
      </c>
      <c r="B165" s="116" t="s">
        <v>188</v>
      </c>
      <c r="C165" s="116" t="s">
        <v>2897</v>
      </c>
      <c r="D165" s="116" t="s">
        <v>189</v>
      </c>
      <c r="E165" s="519" t="s">
        <v>3749</v>
      </c>
      <c r="F165" s="116" t="s">
        <v>3378</v>
      </c>
      <c r="G165" s="472">
        <v>45276.241666666669</v>
      </c>
      <c r="H165" s="472">
        <v>45276.241666666669</v>
      </c>
      <c r="I165" s="116" t="s">
        <v>3940</v>
      </c>
      <c r="J165" s="116" t="s">
        <v>3941</v>
      </c>
      <c r="K165" s="519" t="s">
        <v>3942</v>
      </c>
      <c r="L165" s="519" t="s">
        <v>3943</v>
      </c>
      <c r="M165" s="1043"/>
      <c r="N165" s="116" t="s">
        <v>3944</v>
      </c>
      <c r="O165" s="116" t="s">
        <v>3945</v>
      </c>
      <c r="P165" s="519" t="s">
        <v>2897</v>
      </c>
      <c r="Q165" s="131">
        <v>7500</v>
      </c>
      <c r="R165" s="131">
        <v>7500</v>
      </c>
      <c r="S165" s="131">
        <v>7560.4939999999997</v>
      </c>
      <c r="T165" s="399"/>
      <c r="U165" s="401"/>
      <c r="V165" s="401"/>
      <c r="W165" s="400"/>
      <c r="Y165" s="401"/>
      <c r="Z165" s="401"/>
      <c r="AA165" s="400"/>
      <c r="AB165" s="401"/>
      <c r="AC165" s="401"/>
      <c r="AD165" s="401"/>
      <c r="AE165" s="399"/>
      <c r="AF165" s="399"/>
      <c r="AG165" s="399"/>
      <c r="AH165" s="399"/>
      <c r="AI165" s="399"/>
      <c r="AJ165" s="399"/>
      <c r="AK165" s="399"/>
      <c r="AL165" s="399"/>
      <c r="AM165" s="399"/>
      <c r="AN165" s="399"/>
      <c r="AO165" s="399"/>
      <c r="AP165" s="399"/>
      <c r="AQ165" s="399"/>
      <c r="AR165" s="399"/>
      <c r="AS165" s="399"/>
      <c r="AT165" s="399"/>
      <c r="AU165" s="399"/>
      <c r="AV165" s="399"/>
      <c r="AW165" s="399"/>
      <c r="AX165" s="399"/>
      <c r="AY165" s="399"/>
      <c r="AZ165" s="399"/>
      <c r="BA165" s="399"/>
      <c r="BB165" s="399"/>
      <c r="BC165" s="664">
        <f>S165</f>
        <v>7560.4939999999997</v>
      </c>
      <c r="BD165" s="127">
        <f t="shared" ref="BD165:BD172" si="80">BG165</f>
        <v>45268.71875</v>
      </c>
      <c r="BE165" s="120">
        <f t="shared" ref="BE165:BE172" si="81">BW165</f>
        <v>45294.979166666672</v>
      </c>
      <c r="BF165" s="137">
        <f t="shared" ref="BF165:BF172" si="82">BE165-BD165</f>
        <v>26.260416666671517</v>
      </c>
      <c r="BG165" s="127">
        <v>45268.71875</v>
      </c>
      <c r="BH165" s="127">
        <v>45268.71875</v>
      </c>
      <c r="BI165" s="127">
        <v>45268.71875</v>
      </c>
      <c r="BJ165" s="127">
        <v>45269.666666666664</v>
      </c>
      <c r="BK165" s="127">
        <v>45272.5</v>
      </c>
      <c r="BL165" s="127">
        <v>45272.5</v>
      </c>
      <c r="BM165" s="127">
        <v>45272.5</v>
      </c>
      <c r="BN165" s="127">
        <v>45272.5</v>
      </c>
      <c r="BO165" s="130" t="s">
        <v>196</v>
      </c>
      <c r="BP165" s="130" t="s">
        <v>196</v>
      </c>
      <c r="BQ165" s="130" t="s">
        <v>196</v>
      </c>
      <c r="BR165" s="127">
        <v>45281.354166666664</v>
      </c>
      <c r="BS165" s="127">
        <v>45282.798611111109</v>
      </c>
      <c r="BT165" s="120">
        <v>45294.229166666664</v>
      </c>
      <c r="BU165" s="120">
        <f>BT165+(0.5/24)</f>
        <v>45294.25</v>
      </c>
      <c r="BV165" s="120">
        <f>BU165+(0.5/24)</f>
        <v>45294.270833333336</v>
      </c>
      <c r="BW165" s="179">
        <f>BV165+(17/24)</f>
        <v>45294.979166666672</v>
      </c>
      <c r="BX165" s="121"/>
      <c r="BY165" s="121"/>
      <c r="BZ165" s="136">
        <f t="shared" ref="BZ165:BZ172" si="83">(BI165-BH165)*24</f>
        <v>0</v>
      </c>
      <c r="CA165" s="136">
        <f t="shared" ref="CA165:CA172" si="84">(BK165-BJ165)*24</f>
        <v>68.000000000058208</v>
      </c>
      <c r="CB165" s="136">
        <f t="shared" ref="CB165:CB172" si="85">(BN165-BM165)*24</f>
        <v>0</v>
      </c>
      <c r="CC165" s="136">
        <f>(BR165-BN165)*24</f>
        <v>212.49999999994179</v>
      </c>
      <c r="CD165" s="135">
        <f t="shared" ref="CD165:CD172" si="86">(BT165-BS165)*24</f>
        <v>274.33333333331393</v>
      </c>
      <c r="CE165" s="135">
        <f t="shared" ref="CE165:CE172" si="87">(BW165-BV165)*24</f>
        <v>17.000000000058208</v>
      </c>
      <c r="CF165" s="134">
        <f t="shared" ref="CF165:CF172" si="88">SUM(BZ165:CE165)/24</f>
        <v>23.826388888890506</v>
      </c>
      <c r="CG165" s="134">
        <f t="shared" ref="CG165:CG172" si="89">BF165</f>
        <v>26.260416666671517</v>
      </c>
      <c r="CH165" s="133">
        <f t="shared" ref="CH165:CH172" si="90">CF165/CG165</f>
        <v>0.90731191326182703</v>
      </c>
      <c r="CI165" s="121"/>
      <c r="CJ165" s="121"/>
    </row>
    <row r="166" spans="1:88" s="128" customFormat="1">
      <c r="A166" s="132">
        <f t="shared" si="79"/>
        <v>45286.440972222219</v>
      </c>
      <c r="B166" s="116" t="s">
        <v>188</v>
      </c>
      <c r="C166" s="116" t="s">
        <v>3278</v>
      </c>
      <c r="D166" s="116" t="s">
        <v>197</v>
      </c>
      <c r="E166" s="519" t="s">
        <v>3749</v>
      </c>
      <c r="F166" s="116" t="s">
        <v>3378</v>
      </c>
      <c r="G166" s="472">
        <v>45276.241666666669</v>
      </c>
      <c r="H166" s="472">
        <v>45276.241666666669</v>
      </c>
      <c r="I166" s="116" t="s">
        <v>3946</v>
      </c>
      <c r="J166" s="116" t="s">
        <v>3941</v>
      </c>
      <c r="K166" s="519" t="s">
        <v>3942</v>
      </c>
      <c r="L166" s="519" t="s">
        <v>3947</v>
      </c>
      <c r="M166" s="1043"/>
      <c r="N166" s="116" t="s">
        <v>70</v>
      </c>
      <c r="O166" s="116" t="s">
        <v>1982</v>
      </c>
      <c r="P166" s="519" t="s">
        <v>172</v>
      </c>
      <c r="Q166" s="131">
        <f>3142*2.4</f>
        <v>7540.7999999999993</v>
      </c>
      <c r="R166" s="131">
        <f>7550+100</f>
        <v>7650</v>
      </c>
      <c r="S166" s="131">
        <v>7601.0169999999998</v>
      </c>
      <c r="T166" s="667"/>
      <c r="U166" s="581"/>
      <c r="V166" s="581"/>
      <c r="W166" s="581"/>
      <c r="X166" s="581"/>
      <c r="Y166" s="121"/>
      <c r="Z166" s="115"/>
      <c r="AA166" s="115"/>
      <c r="AB166" s="581"/>
      <c r="AC166" s="581"/>
      <c r="AD166" s="581"/>
      <c r="AE166" s="667"/>
      <c r="AF166" s="667"/>
      <c r="AG166" s="667"/>
      <c r="AH166" s="667"/>
      <c r="AI166" s="667"/>
      <c r="AJ166" s="667"/>
      <c r="AK166" s="667"/>
      <c r="AL166" s="667"/>
      <c r="AN166" s="667"/>
      <c r="AO166" s="667"/>
      <c r="AP166" s="667"/>
      <c r="AQ166" s="667"/>
      <c r="AR166" s="667"/>
      <c r="AS166" s="667"/>
      <c r="AT166" s="667"/>
      <c r="AU166" s="667"/>
      <c r="AV166" s="667"/>
      <c r="AW166" s="667"/>
      <c r="AX166" s="121"/>
      <c r="AY166" s="664">
        <f>S166</f>
        <v>7601.0169999999998</v>
      </c>
      <c r="AZ166" s="121"/>
      <c r="BA166" s="121"/>
      <c r="BB166" s="121"/>
      <c r="BC166" s="121"/>
      <c r="BD166" s="127">
        <f t="shared" si="80"/>
        <v>45281.940972222219</v>
      </c>
      <c r="BE166" s="120">
        <f t="shared" si="81"/>
        <v>45294.229166666672</v>
      </c>
      <c r="BF166" s="137">
        <f t="shared" si="82"/>
        <v>12.288194444452529</v>
      </c>
      <c r="BG166" s="127">
        <v>45281.940972222219</v>
      </c>
      <c r="BH166" s="127">
        <v>45282.875</v>
      </c>
      <c r="BI166" s="127">
        <v>45284.5</v>
      </c>
      <c r="BJ166" s="127">
        <v>45286.440972222219</v>
      </c>
      <c r="BK166" s="127">
        <v>45287.715277777781</v>
      </c>
      <c r="BL166" s="127">
        <v>45287.770833333336</v>
      </c>
      <c r="BM166" s="127">
        <v>45287.777777777781</v>
      </c>
      <c r="BN166" s="127">
        <f>BM166+(41/24)</f>
        <v>45289.486111111117</v>
      </c>
      <c r="BO166" s="127">
        <v>45289.25</v>
      </c>
      <c r="BP166" s="127">
        <v>45289.416666666664</v>
      </c>
      <c r="BQ166" s="127">
        <v>45289.263888888891</v>
      </c>
      <c r="BR166" s="127">
        <v>45291.46875</v>
      </c>
      <c r="BS166" s="127">
        <v>45293.104166666664</v>
      </c>
      <c r="BT166" s="120">
        <f>BS166+(9/24)</f>
        <v>45293.479166666664</v>
      </c>
      <c r="BU166" s="120">
        <f>BT166+(0.5/24)</f>
        <v>45293.5</v>
      </c>
      <c r="BV166" s="120">
        <f>BU166+(0.5/24)</f>
        <v>45293.520833333336</v>
      </c>
      <c r="BW166" s="120">
        <f>BV166+(17/24)</f>
        <v>45294.229166666672</v>
      </c>
      <c r="BX166" s="121"/>
      <c r="BY166" s="121"/>
      <c r="BZ166" s="136">
        <f t="shared" si="83"/>
        <v>39</v>
      </c>
      <c r="CA166" s="136">
        <f t="shared" si="84"/>
        <v>30.583333333488554</v>
      </c>
      <c r="CB166" s="136">
        <f t="shared" si="85"/>
        <v>41.000000000058208</v>
      </c>
      <c r="CC166" s="136">
        <f>(BR166-BP166)*24</f>
        <v>49.250000000058208</v>
      </c>
      <c r="CD166" s="135">
        <f t="shared" si="86"/>
        <v>9</v>
      </c>
      <c r="CE166" s="135">
        <f t="shared" si="87"/>
        <v>17.000000000058208</v>
      </c>
      <c r="CF166" s="134">
        <f t="shared" si="88"/>
        <v>7.743055555569299</v>
      </c>
      <c r="CG166" s="134">
        <f t="shared" si="89"/>
        <v>12.288194444452529</v>
      </c>
      <c r="CH166" s="133">
        <f t="shared" si="90"/>
        <v>0.63012150325020944</v>
      </c>
      <c r="CI166" s="121"/>
      <c r="CJ166" s="121"/>
    </row>
    <row r="167" spans="1:88" s="369" customFormat="1">
      <c r="A167" s="132">
        <f t="shared" si="79"/>
        <v>45286.841666666667</v>
      </c>
      <c r="B167" s="116" t="s">
        <v>228</v>
      </c>
      <c r="C167" s="116" t="s">
        <v>229</v>
      </c>
      <c r="D167" s="116" t="s">
        <v>197</v>
      </c>
      <c r="E167" s="519" t="s">
        <v>3749</v>
      </c>
      <c r="F167" s="116" t="s">
        <v>3378</v>
      </c>
      <c r="G167" s="472">
        <v>45276.241666666669</v>
      </c>
      <c r="H167" s="472">
        <v>45276.241666666669</v>
      </c>
      <c r="I167" s="116" t="s">
        <v>469</v>
      </c>
      <c r="J167" s="116" t="s">
        <v>3948</v>
      </c>
      <c r="K167" s="519" t="s">
        <v>3942</v>
      </c>
      <c r="L167" s="519" t="s">
        <v>2853</v>
      </c>
      <c r="M167" s="1043"/>
      <c r="N167" s="116" t="s">
        <v>1767</v>
      </c>
      <c r="O167" s="116" t="s">
        <v>2854</v>
      </c>
      <c r="P167" s="519" t="s">
        <v>172</v>
      </c>
      <c r="Q167" s="131">
        <f>3116*2.4</f>
        <v>7478.4</v>
      </c>
      <c r="R167" s="131">
        <f>7500+100</f>
        <v>7600</v>
      </c>
      <c r="S167" s="131">
        <v>7580.35</v>
      </c>
      <c r="T167" s="122"/>
      <c r="U167" s="1084"/>
      <c r="V167" s="581"/>
      <c r="W167" s="581"/>
      <c r="X167" s="121"/>
      <c r="Y167" s="581"/>
      <c r="Z167" s="664">
        <f>S167</f>
        <v>7580.35</v>
      </c>
      <c r="AA167" s="581"/>
      <c r="AB167" s="400"/>
      <c r="AC167" s="581"/>
      <c r="AD167" s="581"/>
      <c r="AE167" s="581"/>
      <c r="AF167" s="581"/>
      <c r="AG167" s="581"/>
      <c r="AH167" s="581"/>
      <c r="AI167" s="581"/>
      <c r="AJ167" s="581"/>
      <c r="AK167" s="581"/>
      <c r="AL167" s="581"/>
      <c r="AM167" s="581"/>
      <c r="AN167" s="581"/>
      <c r="AO167" s="581"/>
      <c r="AP167" s="581"/>
      <c r="AQ167" s="581"/>
      <c r="AR167" s="115"/>
      <c r="AS167" s="115"/>
      <c r="AT167" s="115"/>
      <c r="AU167" s="115"/>
      <c r="AV167" s="115"/>
      <c r="AW167" s="121"/>
      <c r="AX167" s="121"/>
      <c r="AY167" s="121"/>
      <c r="AZ167" s="121"/>
      <c r="BA167" s="121"/>
      <c r="BB167" s="121"/>
      <c r="BC167" s="121"/>
      <c r="BD167" s="127">
        <f t="shared" si="80"/>
        <v>45280.0625</v>
      </c>
      <c r="BE167" s="120">
        <f t="shared" si="81"/>
        <v>45294.791666666672</v>
      </c>
      <c r="BF167" s="137">
        <f t="shared" si="82"/>
        <v>14.729166666671517</v>
      </c>
      <c r="BG167" s="127">
        <v>45280.0625</v>
      </c>
      <c r="BH167" s="127">
        <v>45281.625</v>
      </c>
      <c r="BI167" s="127">
        <v>45284.493055555555</v>
      </c>
      <c r="BJ167" s="127">
        <v>45286.841666666667</v>
      </c>
      <c r="BK167" s="127">
        <v>45287.008333333331</v>
      </c>
      <c r="BL167" s="127">
        <v>45287.020833333336</v>
      </c>
      <c r="BM167" s="127">
        <v>45287.256944444445</v>
      </c>
      <c r="BN167" s="127">
        <f>BM167+(41/24)</f>
        <v>45288.965277777781</v>
      </c>
      <c r="BO167" s="127">
        <v>45289.25</v>
      </c>
      <c r="BP167" s="127">
        <v>45289.416666666664</v>
      </c>
      <c r="BQ167" s="127">
        <v>45289.361111111109</v>
      </c>
      <c r="BR167" s="127">
        <v>45291.482638888891</v>
      </c>
      <c r="BS167" s="120">
        <f>BU166+(1/24)</f>
        <v>45293.541666666664</v>
      </c>
      <c r="BT167" s="120">
        <f>BS167+(12/24)</f>
        <v>45294.041666666664</v>
      </c>
      <c r="BU167" s="120">
        <f t="shared" ref="BU167:BV167" si="91">BT167+(0.5/24)</f>
        <v>45294.0625</v>
      </c>
      <c r="BV167" s="120">
        <f t="shared" si="91"/>
        <v>45294.083333333336</v>
      </c>
      <c r="BW167" s="120">
        <f>BV167+(17/24)</f>
        <v>45294.791666666672</v>
      </c>
      <c r="BX167" s="121" t="s">
        <v>3949</v>
      </c>
      <c r="BY167" s="121"/>
      <c r="BZ167" s="136">
        <f t="shared" si="83"/>
        <v>68.833333333313931</v>
      </c>
      <c r="CA167" s="136">
        <f t="shared" si="84"/>
        <v>3.9999999999417923</v>
      </c>
      <c r="CB167" s="136">
        <f t="shared" si="85"/>
        <v>41.000000000058208</v>
      </c>
      <c r="CC167" s="136">
        <f>(BR167-BP167)*24</f>
        <v>49.583333333430346</v>
      </c>
      <c r="CD167" s="135">
        <f t="shared" si="86"/>
        <v>12</v>
      </c>
      <c r="CE167" s="135">
        <f t="shared" si="87"/>
        <v>17.000000000058208</v>
      </c>
      <c r="CF167" s="134">
        <f t="shared" si="88"/>
        <v>8.0173611111167702</v>
      </c>
      <c r="CG167" s="134">
        <f t="shared" si="89"/>
        <v>14.729166666671517</v>
      </c>
      <c r="CH167" s="133">
        <f t="shared" si="90"/>
        <v>0.54431871758624928</v>
      </c>
      <c r="CI167" s="121"/>
      <c r="CJ167" s="121"/>
    </row>
    <row r="168" spans="1:88">
      <c r="A168" s="132">
        <f t="shared" si="79"/>
        <v>45285.489583333336</v>
      </c>
      <c r="B168" s="116" t="s">
        <v>188</v>
      </c>
      <c r="C168" s="116" t="s">
        <v>2856</v>
      </c>
      <c r="D168" s="116" t="s">
        <v>215</v>
      </c>
      <c r="E168" s="519" t="s">
        <v>3749</v>
      </c>
      <c r="F168" s="116" t="s">
        <v>3378</v>
      </c>
      <c r="G168" s="472">
        <v>45276.241666666669</v>
      </c>
      <c r="H168" s="472">
        <v>45276.241666666669</v>
      </c>
      <c r="I168" s="116" t="s">
        <v>3750</v>
      </c>
      <c r="J168" s="116" t="s">
        <v>3948</v>
      </c>
      <c r="K168" s="519" t="s">
        <v>3942</v>
      </c>
      <c r="L168" s="116" t="s">
        <v>2855</v>
      </c>
      <c r="M168" s="1043"/>
      <c r="N168" s="116" t="s">
        <v>310</v>
      </c>
      <c r="O168" s="116" t="s">
        <v>219</v>
      </c>
      <c r="P168" s="519" t="s">
        <v>2856</v>
      </c>
      <c r="Q168" s="131">
        <f>3087*2.4</f>
        <v>7408.7999999999993</v>
      </c>
      <c r="R168" s="131">
        <f>7450+100</f>
        <v>7550</v>
      </c>
      <c r="S168" s="131">
        <v>7499.009</v>
      </c>
      <c r="T168" s="667"/>
      <c r="U168" s="581"/>
      <c r="V168" s="581"/>
      <c r="W168" s="581"/>
      <c r="X168" s="581"/>
      <c r="Y168" s="581"/>
      <c r="AA168" s="581"/>
      <c r="AB168" s="581"/>
      <c r="AD168" s="577"/>
      <c r="AE168" s="577"/>
      <c r="AF168" s="577"/>
      <c r="AG168" s="577"/>
      <c r="AH168" s="577"/>
      <c r="AI168" s="577"/>
      <c r="AJ168" s="577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664">
        <f>S168</f>
        <v>7499.009</v>
      </c>
      <c r="BC168" s="121"/>
      <c r="BD168" s="127">
        <f t="shared" si="80"/>
        <v>45282.15625</v>
      </c>
      <c r="BE168" s="120">
        <f t="shared" si="81"/>
        <v>45294.770833333336</v>
      </c>
      <c r="BF168" s="137">
        <f t="shared" si="82"/>
        <v>12.614583333335759</v>
      </c>
      <c r="BG168" s="127">
        <v>45282.15625</v>
      </c>
      <c r="BH168" s="127">
        <v>45282.763888888891</v>
      </c>
      <c r="BI168" s="127">
        <v>45285.416666666664</v>
      </c>
      <c r="BJ168" s="127">
        <v>45285.489583333336</v>
      </c>
      <c r="BK168" s="127">
        <v>45285.927083333336</v>
      </c>
      <c r="BL168" s="127">
        <v>45286.010416666664</v>
      </c>
      <c r="BM168" s="127">
        <v>45288.680555555555</v>
      </c>
      <c r="BN168" s="127">
        <v>45288.680555555555</v>
      </c>
      <c r="BO168" s="130" t="s">
        <v>196</v>
      </c>
      <c r="BP168" s="130" t="s">
        <v>196</v>
      </c>
      <c r="BQ168" s="130" t="s">
        <v>196</v>
      </c>
      <c r="BR168" s="127">
        <v>45291.645833333336</v>
      </c>
      <c r="BS168" s="120">
        <f>BU167+(1/24)</f>
        <v>45294.104166666664</v>
      </c>
      <c r="BT168" s="120">
        <f>BS168+(15/24)</f>
        <v>45294.729166666664</v>
      </c>
      <c r="BU168" s="120">
        <f t="shared" ref="BU168:BV168" si="92">BT168+(0.5/24)</f>
        <v>45294.75</v>
      </c>
      <c r="BV168" s="120">
        <f t="shared" si="92"/>
        <v>45294.770833333336</v>
      </c>
      <c r="BW168" s="1164">
        <f>BV168</f>
        <v>45294.770833333336</v>
      </c>
      <c r="BX168" s="121"/>
      <c r="BY168" s="121"/>
      <c r="BZ168" s="136">
        <f t="shared" si="83"/>
        <v>63.666666666569654</v>
      </c>
      <c r="CA168" s="136">
        <f t="shared" si="84"/>
        <v>10.5</v>
      </c>
      <c r="CB168" s="136">
        <f t="shared" si="85"/>
        <v>0</v>
      </c>
      <c r="CC168" s="136">
        <f>(BR168-BN168)*24</f>
        <v>71.166666666744277</v>
      </c>
      <c r="CD168" s="135">
        <f t="shared" si="86"/>
        <v>15</v>
      </c>
      <c r="CE168" s="135">
        <f t="shared" si="87"/>
        <v>0</v>
      </c>
      <c r="CF168" s="134">
        <f t="shared" si="88"/>
        <v>6.6805555555547471</v>
      </c>
      <c r="CG168" s="134">
        <f t="shared" si="89"/>
        <v>12.614583333335759</v>
      </c>
      <c r="CH168" s="133">
        <f t="shared" si="90"/>
        <v>0.52958987063016716</v>
      </c>
      <c r="CJ168" s="116"/>
    </row>
    <row r="169" spans="1:88" s="121" customFormat="1">
      <c r="A169" s="132">
        <f t="shared" si="79"/>
        <v>45286.333333333336</v>
      </c>
      <c r="B169" s="116" t="s">
        <v>188</v>
      </c>
      <c r="C169" s="116" t="s">
        <v>2862</v>
      </c>
      <c r="D169" s="116" t="s">
        <v>197</v>
      </c>
      <c r="E169" s="519" t="s">
        <v>3920</v>
      </c>
      <c r="F169" s="116" t="s">
        <v>3378</v>
      </c>
      <c r="G169" s="1088"/>
      <c r="H169" s="1088"/>
      <c r="I169" s="116" t="s">
        <v>3846</v>
      </c>
      <c r="J169" s="116" t="s">
        <v>3948</v>
      </c>
      <c r="K169" s="519" t="s">
        <v>3942</v>
      </c>
      <c r="L169" s="116" t="s">
        <v>3950</v>
      </c>
      <c r="M169" s="129"/>
      <c r="N169" s="116" t="s">
        <v>383</v>
      </c>
      <c r="O169" s="116" t="s">
        <v>384</v>
      </c>
      <c r="P169" s="519" t="s">
        <v>2862</v>
      </c>
      <c r="Q169" s="131">
        <f>2205*2.4</f>
        <v>5292</v>
      </c>
      <c r="R169" s="131">
        <f>5300+100</f>
        <v>5400</v>
      </c>
      <c r="S169" s="131">
        <v>4036.5909999999999</v>
      </c>
      <c r="T169" s="667"/>
      <c r="U169" s="581"/>
      <c r="V169" s="1084"/>
      <c r="W169" s="581"/>
      <c r="X169" s="581"/>
      <c r="Z169" s="581"/>
      <c r="AA169" s="581"/>
      <c r="AB169" s="581"/>
      <c r="AC169" s="115"/>
      <c r="AD169" s="581"/>
      <c r="AE169" s="581"/>
      <c r="AF169" s="581"/>
      <c r="AG169" s="581"/>
      <c r="AH169" s="581"/>
      <c r="AI169" s="581"/>
      <c r="AJ169" s="581"/>
      <c r="AK169" s="581"/>
      <c r="AL169" s="401"/>
      <c r="AM169" s="401"/>
      <c r="AN169" s="401"/>
      <c r="AO169" s="401"/>
      <c r="AP169" s="401"/>
      <c r="AQ169" s="401"/>
      <c r="AR169" s="401"/>
      <c r="AS169" s="401"/>
      <c r="AT169" s="401"/>
      <c r="AU169" s="401"/>
      <c r="BA169" s="664">
        <f>S169</f>
        <v>4036.5909999999999</v>
      </c>
      <c r="BD169" s="127">
        <f t="shared" si="80"/>
        <v>45282.510416666664</v>
      </c>
      <c r="BE169" s="120">
        <f t="shared" si="81"/>
        <v>45295.666666666664</v>
      </c>
      <c r="BF169" s="137">
        <f t="shared" si="82"/>
        <v>13.15625</v>
      </c>
      <c r="BG169" s="127">
        <v>45282.510416666664</v>
      </c>
      <c r="BH169" s="127">
        <v>45284.809027777781</v>
      </c>
      <c r="BI169" s="127">
        <v>45285.694444444445</v>
      </c>
      <c r="BJ169" s="127">
        <v>45286.333333333336</v>
      </c>
      <c r="BK169" s="127">
        <v>45288.479166666664</v>
      </c>
      <c r="BL169" s="127">
        <v>45289.635416666664</v>
      </c>
      <c r="BM169" s="127">
        <v>45289.635416666664</v>
      </c>
      <c r="BN169" s="127">
        <v>45289.635416666664</v>
      </c>
      <c r="BO169" s="130" t="s">
        <v>196</v>
      </c>
      <c r="BP169" s="130" t="s">
        <v>196</v>
      </c>
      <c r="BQ169" s="130" t="s">
        <v>196</v>
      </c>
      <c r="BR169" s="127">
        <v>45290.194444444445</v>
      </c>
      <c r="BS169" s="120">
        <f>BU168+(1/24)</f>
        <v>45294.791666666664</v>
      </c>
      <c r="BT169" s="120">
        <f>BS169+(10/24)</f>
        <v>45295.208333333328</v>
      </c>
      <c r="BU169" s="120">
        <f>BT169+(0.5/24)</f>
        <v>45295.229166666664</v>
      </c>
      <c r="BV169" s="120">
        <f>BU169+(0.5/24)</f>
        <v>45295.25</v>
      </c>
      <c r="BW169" s="120">
        <f>BV169+(10/24)</f>
        <v>45295.666666666664</v>
      </c>
      <c r="BZ169" s="136">
        <f t="shared" si="83"/>
        <v>21.249999999941792</v>
      </c>
      <c r="CA169" s="136">
        <f t="shared" si="84"/>
        <v>51.499999999883585</v>
      </c>
      <c r="CB169" s="136">
        <f t="shared" si="85"/>
        <v>0</v>
      </c>
      <c r="CC169" s="136">
        <f>(BR169-BN169)*24</f>
        <v>13.416666666744277</v>
      </c>
      <c r="CD169" s="135">
        <f t="shared" si="86"/>
        <v>9.9999999999417923</v>
      </c>
      <c r="CE169" s="135">
        <f t="shared" si="87"/>
        <v>9.9999999999417923</v>
      </c>
      <c r="CF169" s="134">
        <f t="shared" si="88"/>
        <v>4.4236111111022183</v>
      </c>
      <c r="CG169" s="134">
        <f t="shared" si="89"/>
        <v>13.15625</v>
      </c>
      <c r="CH169" s="133">
        <f t="shared" si="90"/>
        <v>0.33623647400301898</v>
      </c>
    </row>
    <row r="170" spans="1:88" s="369" customFormat="1">
      <c r="A170" s="132">
        <f t="shared" si="79"/>
        <v>45289.104166666664</v>
      </c>
      <c r="B170" s="116" t="s">
        <v>188</v>
      </c>
      <c r="C170" s="116" t="s">
        <v>181</v>
      </c>
      <c r="D170" s="116" t="s">
        <v>189</v>
      </c>
      <c r="E170" s="519"/>
      <c r="F170" s="116" t="s">
        <v>3378</v>
      </c>
      <c r="G170" s="472">
        <v>45276.241666666669</v>
      </c>
      <c r="H170" s="472">
        <v>45276.241666666669</v>
      </c>
      <c r="I170" s="116" t="s">
        <v>448</v>
      </c>
      <c r="J170" s="519" t="s">
        <v>3951</v>
      </c>
      <c r="K170" s="519" t="s">
        <v>64</v>
      </c>
      <c r="L170" s="519" t="s">
        <v>3952</v>
      </c>
      <c r="M170" s="129"/>
      <c r="N170" s="116" t="s">
        <v>1322</v>
      </c>
      <c r="O170" s="116" t="s">
        <v>1323</v>
      </c>
      <c r="P170" s="519" t="s">
        <v>181</v>
      </c>
      <c r="Q170" s="131">
        <v>7500</v>
      </c>
      <c r="R170" s="131">
        <v>7500</v>
      </c>
      <c r="S170" s="131">
        <v>7713.6719999999996</v>
      </c>
      <c r="T170" s="399"/>
      <c r="U170" s="401"/>
      <c r="V170" s="401"/>
      <c r="W170" s="400"/>
      <c r="Y170" s="401"/>
      <c r="Z170" s="401"/>
      <c r="AA170" s="400"/>
      <c r="AB170" s="401"/>
      <c r="AC170" s="401"/>
      <c r="AD170" s="401"/>
      <c r="AE170" s="399"/>
      <c r="AF170" s="399"/>
      <c r="AG170" s="399"/>
      <c r="AH170" s="399"/>
      <c r="AI170" s="399"/>
      <c r="AJ170" s="399"/>
      <c r="AK170" s="664">
        <f>S170</f>
        <v>7713.6719999999996</v>
      </c>
      <c r="AL170" s="399"/>
      <c r="AM170" s="399"/>
      <c r="AN170" s="399"/>
      <c r="AO170" s="399"/>
      <c r="AP170" s="399"/>
      <c r="AQ170" s="399"/>
      <c r="AR170" s="399"/>
      <c r="AS170" s="399"/>
      <c r="AT170" s="399"/>
      <c r="AU170" s="399"/>
      <c r="AV170" s="399"/>
      <c r="AW170" s="399"/>
      <c r="AX170" s="399"/>
      <c r="AY170" s="399"/>
      <c r="AZ170" s="399"/>
      <c r="BA170" s="399"/>
      <c r="BB170" s="399"/>
      <c r="BD170" s="127">
        <f t="shared" si="80"/>
        <v>45289.013888888891</v>
      </c>
      <c r="BE170" s="120">
        <f t="shared" si="81"/>
        <v>45299.791666666672</v>
      </c>
      <c r="BF170" s="137">
        <f t="shared" si="82"/>
        <v>10.777777777781012</v>
      </c>
      <c r="BG170" s="127">
        <v>45289.013888888891</v>
      </c>
      <c r="BH170" s="127">
        <v>45289.013888888891</v>
      </c>
      <c r="BI170" s="127">
        <v>45289.013888888891</v>
      </c>
      <c r="BJ170" s="127">
        <v>45289.104166666664</v>
      </c>
      <c r="BK170" s="127">
        <v>45290.878472222219</v>
      </c>
      <c r="BL170" s="127">
        <v>45291.815972222219</v>
      </c>
      <c r="BM170" s="127">
        <v>45291.815972222219</v>
      </c>
      <c r="BN170" s="127">
        <v>45291.815972222219</v>
      </c>
      <c r="BO170" s="130" t="s">
        <v>196</v>
      </c>
      <c r="BP170" s="130" t="s">
        <v>196</v>
      </c>
      <c r="BQ170" s="130" t="s">
        <v>196</v>
      </c>
      <c r="BR170" s="120">
        <v>45293.479166666664</v>
      </c>
      <c r="BS170" s="120">
        <v>45298.791666666664</v>
      </c>
      <c r="BT170" s="120">
        <f>BS170+(6/24)</f>
        <v>45299.041666666664</v>
      </c>
      <c r="BU170" s="120">
        <f t="shared" ref="BU170" si="93">BT170+(0.5/24)</f>
        <v>45299.0625</v>
      </c>
      <c r="BV170" s="120">
        <f t="shared" ref="BV170" si="94">BU170+(0.5/24)</f>
        <v>45299.083333333336</v>
      </c>
      <c r="BW170" s="179">
        <f>BV170+(17/24)</f>
        <v>45299.791666666672</v>
      </c>
      <c r="BX170" s="121"/>
      <c r="BY170" s="121"/>
      <c r="BZ170" s="136">
        <f t="shared" si="83"/>
        <v>0</v>
      </c>
      <c r="CA170" s="136">
        <f t="shared" si="84"/>
        <v>42.583333333313931</v>
      </c>
      <c r="CB170" s="136">
        <f t="shared" si="85"/>
        <v>0</v>
      </c>
      <c r="CC170" s="136">
        <f>(BR170-BN170)*24</f>
        <v>39.916666666686069</v>
      </c>
      <c r="CD170" s="135">
        <f t="shared" si="86"/>
        <v>6</v>
      </c>
      <c r="CE170" s="135">
        <f t="shared" si="87"/>
        <v>17.000000000058208</v>
      </c>
      <c r="CF170" s="134">
        <f t="shared" si="88"/>
        <v>4.3958333333357587</v>
      </c>
      <c r="CG170" s="134">
        <f t="shared" si="89"/>
        <v>10.777777777781012</v>
      </c>
      <c r="CH170" s="133">
        <f t="shared" si="90"/>
        <v>0.40786082474237068</v>
      </c>
      <c r="CI170" s="121"/>
      <c r="CJ170" s="121"/>
    </row>
    <row r="171" spans="1:88" s="121" customFormat="1">
      <c r="A171" s="132">
        <f t="shared" si="79"/>
        <v>45289.892361111109</v>
      </c>
      <c r="B171" s="116" t="s">
        <v>188</v>
      </c>
      <c r="C171" s="116" t="s">
        <v>2896</v>
      </c>
      <c r="D171" s="116" t="s">
        <v>197</v>
      </c>
      <c r="E171" s="100" t="s">
        <v>3745</v>
      </c>
      <c r="F171" s="519" t="s">
        <v>3378</v>
      </c>
      <c r="G171" s="1088"/>
      <c r="H171" s="1088"/>
      <c r="I171" s="116" t="s">
        <v>3826</v>
      </c>
      <c r="J171" s="519" t="s">
        <v>3951</v>
      </c>
      <c r="K171" s="519" t="s">
        <v>3953</v>
      </c>
      <c r="L171" s="116" t="s">
        <v>3926</v>
      </c>
      <c r="M171" s="129"/>
      <c r="N171" s="116" t="s">
        <v>1799</v>
      </c>
      <c r="O171" s="116" t="s">
        <v>2437</v>
      </c>
      <c r="P171" s="519" t="s">
        <v>2896</v>
      </c>
      <c r="Q171" s="131">
        <f>3147*2.4</f>
        <v>7552.7999999999993</v>
      </c>
      <c r="R171" s="131">
        <f>7550+100</f>
        <v>7650</v>
      </c>
      <c r="S171" s="131">
        <v>7587.1930000000002</v>
      </c>
      <c r="T171" s="667"/>
      <c r="U171" s="581"/>
      <c r="V171" s="581"/>
      <c r="W171" s="581"/>
      <c r="X171" s="581"/>
      <c r="Z171" s="581"/>
      <c r="AA171" s="581"/>
      <c r="AB171" s="581"/>
      <c r="AC171" s="115"/>
      <c r="AD171" s="581"/>
      <c r="AE171" s="739"/>
      <c r="AF171" s="667"/>
      <c r="AG171" s="667"/>
      <c r="AH171" s="667"/>
      <c r="AI171" s="667"/>
      <c r="AJ171" s="667"/>
      <c r="AK171" s="667"/>
      <c r="AL171" s="667"/>
      <c r="AM171" s="581"/>
      <c r="AN171" s="581"/>
      <c r="AO171" s="581"/>
      <c r="AP171" s="581"/>
      <c r="AQ171" s="581"/>
      <c r="AR171" s="581"/>
      <c r="AS171" s="581"/>
      <c r="AT171" s="581"/>
      <c r="AU171" s="581"/>
      <c r="AV171" s="581"/>
      <c r="AW171" s="581"/>
      <c r="AX171" s="581"/>
      <c r="AY171" s="581"/>
      <c r="AZ171" s="664">
        <f>S171</f>
        <v>7587.1930000000002</v>
      </c>
      <c r="BA171" s="667"/>
      <c r="BB171" s="667"/>
      <c r="BC171" s="667"/>
      <c r="BD171" s="127">
        <f t="shared" si="80"/>
        <v>45288.229166666664</v>
      </c>
      <c r="BE171" s="120">
        <f t="shared" si="81"/>
        <v>45300.104166666672</v>
      </c>
      <c r="BF171" s="137">
        <f t="shared" si="82"/>
        <v>11.875000000007276</v>
      </c>
      <c r="BG171" s="127">
        <v>45288.229166666664</v>
      </c>
      <c r="BH171" s="127">
        <v>45289.798611111109</v>
      </c>
      <c r="BI171" s="127">
        <v>45289.847222222219</v>
      </c>
      <c r="BJ171" s="127">
        <v>45289.892361111109</v>
      </c>
      <c r="BK171" s="127">
        <v>45290.409722222219</v>
      </c>
      <c r="BL171" s="127">
        <v>45290.4375</v>
      </c>
      <c r="BM171" s="127">
        <v>45290.4375</v>
      </c>
      <c r="BN171" s="127">
        <f>BM171+(5/24)</f>
        <v>45290.645833333336</v>
      </c>
      <c r="BO171" s="127">
        <v>45291.25</v>
      </c>
      <c r="BP171" s="127">
        <v>45291.416666608799</v>
      </c>
      <c r="BQ171" s="127">
        <v>45291.420138888891</v>
      </c>
      <c r="BR171" s="120">
        <v>45293.541666666664</v>
      </c>
      <c r="BS171" s="120">
        <f>BU170+(1/24)</f>
        <v>45299.104166666664</v>
      </c>
      <c r="BT171" s="120">
        <f t="shared" ref="BT171" si="95">BS171+(6/24)</f>
        <v>45299.354166666664</v>
      </c>
      <c r="BU171" s="120">
        <f>BT171+(0.5/24)</f>
        <v>45299.375</v>
      </c>
      <c r="BV171" s="120">
        <f>BU171+(0.5/24)</f>
        <v>45299.395833333336</v>
      </c>
      <c r="BW171" s="120">
        <f t="shared" ref="BW171" si="96">BV171+(17/24)</f>
        <v>45300.104166666672</v>
      </c>
      <c r="BZ171" s="136">
        <f t="shared" si="83"/>
        <v>1.1666666666278616</v>
      </c>
      <c r="CA171" s="136">
        <f t="shared" si="84"/>
        <v>12.416666666627862</v>
      </c>
      <c r="CB171" s="136">
        <f t="shared" si="85"/>
        <v>5.0000000000582077</v>
      </c>
      <c r="CC171" s="136">
        <f>(BR171-BP171)*24</f>
        <v>51.000001388776582</v>
      </c>
      <c r="CD171" s="135">
        <f t="shared" si="86"/>
        <v>6</v>
      </c>
      <c r="CE171" s="135">
        <f t="shared" si="87"/>
        <v>17.000000000058208</v>
      </c>
      <c r="CF171" s="134">
        <f t="shared" si="88"/>
        <v>3.8576389467561967</v>
      </c>
      <c r="CG171" s="134">
        <f t="shared" si="89"/>
        <v>11.875000000007276</v>
      </c>
      <c r="CH171" s="133">
        <f t="shared" si="90"/>
        <v>0.32485380604242803</v>
      </c>
      <c r="CI171" s="128"/>
      <c r="CJ171" s="115"/>
    </row>
    <row r="172" spans="1:88" s="121" customFormat="1">
      <c r="A172" s="132">
        <f t="shared" si="79"/>
        <v>45291.763888888891</v>
      </c>
      <c r="B172" s="116" t="s">
        <v>188</v>
      </c>
      <c r="C172" s="116" t="s">
        <v>2896</v>
      </c>
      <c r="D172" s="116" t="s">
        <v>215</v>
      </c>
      <c r="E172" s="100" t="s">
        <v>2798</v>
      </c>
      <c r="F172" s="519" t="s">
        <v>3378</v>
      </c>
      <c r="G172" s="1088"/>
      <c r="H172" s="1088"/>
      <c r="I172" s="116" t="s">
        <v>3826</v>
      </c>
      <c r="J172" s="519" t="s">
        <v>3951</v>
      </c>
      <c r="K172" s="519" t="s">
        <v>3954</v>
      </c>
      <c r="L172" s="116" t="s">
        <v>3955</v>
      </c>
      <c r="M172" s="129"/>
      <c r="N172" s="116" t="s">
        <v>1972</v>
      </c>
      <c r="O172" s="116" t="s">
        <v>1973</v>
      </c>
      <c r="P172" s="519" t="s">
        <v>2896</v>
      </c>
      <c r="Q172" s="131">
        <f>3107*2.4</f>
        <v>7456.7999999999993</v>
      </c>
      <c r="R172" s="131">
        <f>7500+100</f>
        <v>7600</v>
      </c>
      <c r="S172" s="131">
        <v>7311.4989999999998</v>
      </c>
      <c r="T172" s="667"/>
      <c r="U172" s="581"/>
      <c r="V172" s="581"/>
      <c r="W172" s="581"/>
      <c r="X172" s="581"/>
      <c r="Y172" s="581"/>
      <c r="Z172" s="581"/>
      <c r="AA172" s="581"/>
      <c r="AB172" s="581"/>
      <c r="AC172" s="581"/>
      <c r="AD172" s="581"/>
      <c r="AE172" s="581"/>
      <c r="AF172" s="581"/>
      <c r="AG172" s="581"/>
      <c r="AH172" s="581"/>
      <c r="AI172" s="581"/>
      <c r="AJ172" s="581"/>
      <c r="AK172" s="581"/>
      <c r="AL172" s="581"/>
      <c r="AM172" s="581"/>
      <c r="AN172" s="581"/>
      <c r="AO172" s="581"/>
      <c r="AP172" s="581"/>
      <c r="AQ172" s="581"/>
      <c r="AR172" s="581"/>
      <c r="AS172" s="581"/>
      <c r="AT172" s="581"/>
      <c r="AU172" s="581"/>
      <c r="AV172" s="581"/>
      <c r="AW172" s="581"/>
      <c r="AX172" s="581"/>
      <c r="AY172" s="581"/>
      <c r="AZ172" s="664">
        <f>S172</f>
        <v>7311.4989999999998</v>
      </c>
      <c r="BA172" s="581"/>
      <c r="BB172" s="581"/>
      <c r="BC172" s="581"/>
      <c r="BD172" s="127">
        <f t="shared" si="80"/>
        <v>45289.423611111109</v>
      </c>
      <c r="BE172" s="120">
        <f t="shared" si="81"/>
        <v>45300.416666666672</v>
      </c>
      <c r="BF172" s="137">
        <f t="shared" si="82"/>
        <v>10.993055555562023</v>
      </c>
      <c r="BG172" s="127">
        <v>45289.423611111109</v>
      </c>
      <c r="BH172" s="127">
        <v>45290.548611111109</v>
      </c>
      <c r="BI172" s="127">
        <v>45290.631944444445</v>
      </c>
      <c r="BJ172" s="127">
        <v>45291.763888888891</v>
      </c>
      <c r="BK172" s="127">
        <v>45291.875</v>
      </c>
      <c r="BL172" s="127">
        <v>45291.881944444445</v>
      </c>
      <c r="BM172" s="127">
        <v>45291.881944444445</v>
      </c>
      <c r="BN172" s="127">
        <f>BM172+(5/24)</f>
        <v>45292.090277777781</v>
      </c>
      <c r="BO172" s="120">
        <v>45293.291666608799</v>
      </c>
      <c r="BP172" s="120">
        <v>45293.458333275463</v>
      </c>
      <c r="BQ172" s="124" t="s">
        <v>64</v>
      </c>
      <c r="BR172" s="120">
        <f>BP172+((30+12)/24)</f>
        <v>45295.208333275463</v>
      </c>
      <c r="BS172" s="120">
        <f>BU171+(1/24)</f>
        <v>45299.416666666664</v>
      </c>
      <c r="BT172" s="120">
        <f>BS172+(6/24)</f>
        <v>45299.666666666664</v>
      </c>
      <c r="BU172" s="120">
        <f t="shared" ref="BU172" si="97">BT172+(0.5/24)</f>
        <v>45299.6875</v>
      </c>
      <c r="BV172" s="120">
        <f t="shared" ref="BV172" si="98">BU172+(0.5/24)</f>
        <v>45299.708333333336</v>
      </c>
      <c r="BW172" s="120">
        <f>BV172+(17/24)</f>
        <v>45300.416666666672</v>
      </c>
      <c r="BZ172" s="136">
        <f t="shared" si="83"/>
        <v>2.0000000000582077</v>
      </c>
      <c r="CA172" s="136">
        <f t="shared" si="84"/>
        <v>2.6666666666278616</v>
      </c>
      <c r="CB172" s="136">
        <f t="shared" si="85"/>
        <v>5.0000000000582077</v>
      </c>
      <c r="CC172" s="136">
        <f>(BR172-BP172)*24</f>
        <v>42</v>
      </c>
      <c r="CD172" s="135">
        <f t="shared" si="86"/>
        <v>6</v>
      </c>
      <c r="CE172" s="135">
        <f t="shared" si="87"/>
        <v>17.000000000058208</v>
      </c>
      <c r="CF172" s="134">
        <f t="shared" si="88"/>
        <v>3.1111111111167702</v>
      </c>
      <c r="CG172" s="134">
        <f t="shared" si="89"/>
        <v>10.993055555562023</v>
      </c>
      <c r="CH172" s="133">
        <f t="shared" si="90"/>
        <v>0.2830069488316812</v>
      </c>
    </row>
    <row r="173" spans="1:88" s="151" customFormat="1" ht="18">
      <c r="A173" s="1476" t="s">
        <v>3956</v>
      </c>
      <c r="B173" s="1476"/>
      <c r="C173" s="1476"/>
      <c r="D173" s="1476"/>
      <c r="E173" s="100"/>
      <c r="F173" s="174"/>
      <c r="G173" s="130"/>
      <c r="H173" s="130"/>
      <c r="I173" s="131"/>
      <c r="J173" s="174"/>
      <c r="M173" s="116"/>
      <c r="Q173" s="156"/>
      <c r="R173" s="156"/>
      <c r="S173" s="156"/>
      <c r="T173" s="156"/>
      <c r="U173" s="157"/>
      <c r="V173" s="156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  <c r="AT173" s="131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52"/>
      <c r="BE173" s="120"/>
      <c r="BF173" s="120"/>
      <c r="BG173" s="155"/>
      <c r="BH173" s="180"/>
      <c r="BI173" s="127"/>
      <c r="BJ173" s="152"/>
      <c r="BK173" s="152"/>
      <c r="BL173" s="180"/>
      <c r="BM173" s="127"/>
      <c r="BN173" s="152"/>
      <c r="BO173" s="152"/>
      <c r="BP173" s="152"/>
      <c r="BQ173" s="127"/>
      <c r="BR173" s="152"/>
      <c r="BS173" s="120"/>
      <c r="BT173" s="152"/>
      <c r="BU173" s="152"/>
      <c r="BZ173" s="120"/>
      <c r="CA173" s="120"/>
      <c r="CB173" s="120"/>
      <c r="CC173" s="120"/>
      <c r="CD173" s="120"/>
      <c r="CE173" s="120"/>
      <c r="CF173" s="120"/>
      <c r="CG173" s="120"/>
    </row>
    <row r="174" spans="1:88" s="121" customFormat="1" ht="13.95" customHeight="1">
      <c r="A174" s="168" t="s">
        <v>4592</v>
      </c>
      <c r="B174" s="116"/>
      <c r="C174" s="116"/>
      <c r="D174" s="116"/>
      <c r="E174" s="519"/>
      <c r="F174" s="116"/>
      <c r="G174" s="127"/>
      <c r="H174" s="127"/>
      <c r="I174" s="116"/>
      <c r="J174" s="116"/>
      <c r="K174" s="116"/>
      <c r="L174" s="116"/>
      <c r="M174" s="116"/>
      <c r="N174" s="116"/>
      <c r="O174" s="116"/>
      <c r="P174" s="116"/>
      <c r="Q174" s="131"/>
      <c r="R174" s="131"/>
      <c r="S174" s="131"/>
      <c r="T174" s="122"/>
      <c r="U174" s="131"/>
      <c r="BD174" s="127"/>
      <c r="BE174" s="120"/>
      <c r="BF174" s="120"/>
      <c r="BG174" s="127"/>
      <c r="BH174" s="127"/>
      <c r="BI174" s="127"/>
      <c r="BJ174" s="127"/>
      <c r="BK174" s="127"/>
      <c r="BL174" s="127"/>
      <c r="BM174" s="127"/>
      <c r="BN174" s="127"/>
      <c r="BO174" s="140"/>
      <c r="BP174" s="120"/>
      <c r="BQ174" s="124"/>
      <c r="BR174" s="127"/>
      <c r="BS174" s="127"/>
      <c r="BT174" s="127"/>
      <c r="BU174" s="127"/>
      <c r="BV174" s="120"/>
      <c r="BW174" s="120"/>
      <c r="BZ174" s="136"/>
      <c r="CA174" s="136"/>
      <c r="CB174" s="136"/>
      <c r="CC174" s="136"/>
      <c r="CD174" s="135"/>
      <c r="CE174" s="128"/>
      <c r="CF174" s="128"/>
      <c r="CG174" s="128"/>
      <c r="CH174" s="128"/>
      <c r="CI174" s="128"/>
    </row>
    <row r="175" spans="1:88" s="121" customFormat="1">
      <c r="A175" s="132">
        <f t="shared" ref="A175:A184" si="99">BJ175</f>
        <v>45288.006944444445</v>
      </c>
      <c r="B175" s="116" t="s">
        <v>228</v>
      </c>
      <c r="C175" s="116" t="s">
        <v>229</v>
      </c>
      <c r="D175" s="116" t="s">
        <v>215</v>
      </c>
      <c r="E175" s="100" t="s">
        <v>1852</v>
      </c>
      <c r="F175" s="519" t="s">
        <v>3378</v>
      </c>
      <c r="G175" s="472">
        <v>45287.458333333336</v>
      </c>
      <c r="H175" s="472">
        <v>45287.461805555555</v>
      </c>
      <c r="I175" s="116" t="s">
        <v>231</v>
      </c>
      <c r="J175" s="116" t="s">
        <v>3948</v>
      </c>
      <c r="K175" s="519" t="s">
        <v>3935</v>
      </c>
      <c r="L175" s="519" t="s">
        <v>3957</v>
      </c>
      <c r="M175" s="1043"/>
      <c r="N175" s="116" t="s">
        <v>399</v>
      </c>
      <c r="O175" s="116" t="s">
        <v>275</v>
      </c>
      <c r="P175" s="116" t="s">
        <v>235</v>
      </c>
      <c r="Q175" s="131">
        <f>3097*2.4</f>
        <v>7432.7999999999993</v>
      </c>
      <c r="R175" s="131">
        <f>7450+100</f>
        <v>7550</v>
      </c>
      <c r="S175" s="131">
        <v>7523.2830000000004</v>
      </c>
      <c r="T175" s="667"/>
      <c r="U175" s="401"/>
      <c r="V175" s="401"/>
      <c r="W175" s="581"/>
      <c r="X175" s="819">
        <f>S175</f>
        <v>7523.2830000000004</v>
      </c>
      <c r="Z175" s="115"/>
      <c r="AA175" s="581"/>
      <c r="AB175" s="581"/>
      <c r="AC175" s="581"/>
      <c r="AD175" s="581"/>
      <c r="AE175" s="739"/>
      <c r="AF175" s="581"/>
      <c r="AG175" s="575"/>
      <c r="AH175" s="575"/>
      <c r="AI175" s="575"/>
      <c r="BD175" s="127">
        <f t="shared" ref="BD175:BD184" si="100">BG175</f>
        <v>45281.270833333336</v>
      </c>
      <c r="BE175" s="120">
        <f t="shared" ref="BE175:BE184" si="101">BW175</f>
        <v>45295.666666666664</v>
      </c>
      <c r="BF175" s="137">
        <f t="shared" ref="BF175:BF184" si="102">BE175-BD175</f>
        <v>14.395833333328483</v>
      </c>
      <c r="BG175" s="127">
        <v>45281.270833333336</v>
      </c>
      <c r="BH175" s="127">
        <v>45283.381944444445</v>
      </c>
      <c r="BI175" s="127">
        <v>45285.083333333336</v>
      </c>
      <c r="BJ175" s="127">
        <v>45288.006944444445</v>
      </c>
      <c r="BK175" s="127">
        <v>45288.138888888891</v>
      </c>
      <c r="BL175" s="127">
        <v>45288.149305555555</v>
      </c>
      <c r="BM175" s="127">
        <v>45288.152777777781</v>
      </c>
      <c r="BN175" s="127">
        <f>BM175+(41/24)</f>
        <v>45289.861111111117</v>
      </c>
      <c r="BO175" s="127">
        <v>45290.25</v>
      </c>
      <c r="BP175" s="127">
        <v>45290.416666666664</v>
      </c>
      <c r="BQ175" s="127">
        <v>45290.309027777781</v>
      </c>
      <c r="BR175" s="127">
        <v>45291.625</v>
      </c>
      <c r="BS175" s="169">
        <v>45294.291666666664</v>
      </c>
      <c r="BT175" s="120">
        <f>BS175+((6+8+8)/24)</f>
        <v>45295.208333333328</v>
      </c>
      <c r="BU175" s="120">
        <f>BT175+(0.5/24)</f>
        <v>45295.229166666664</v>
      </c>
      <c r="BV175" s="120">
        <f>BU175+(0.5/24)</f>
        <v>45295.25</v>
      </c>
      <c r="BW175" s="120">
        <f t="shared" ref="BW175:BW181" si="103">BV175+(10/24)</f>
        <v>45295.666666666664</v>
      </c>
      <c r="BZ175" s="136">
        <f t="shared" ref="BZ175:BZ184" si="104">(BI175-BH175)*24</f>
        <v>40.833333333372138</v>
      </c>
      <c r="CA175" s="136">
        <f t="shared" ref="CA175:CA184" si="105">(BK175-BJ175)*24</f>
        <v>3.1666666666860692</v>
      </c>
      <c r="CB175" s="136">
        <f t="shared" ref="CB175:CB184" si="106">(BN175-BM175)*24</f>
        <v>41.000000000058208</v>
      </c>
      <c r="CC175" s="136">
        <f>(BR175-BP175)*24</f>
        <v>29.000000000058208</v>
      </c>
      <c r="CD175" s="135">
        <f t="shared" ref="CD175:CD184" si="107">(BT175-BS175)*24</f>
        <v>21.999999999941792</v>
      </c>
      <c r="CE175" s="135">
        <f t="shared" ref="CE175:CE184" si="108">(BW175-BV175)*24</f>
        <v>9.9999999999417923</v>
      </c>
      <c r="CF175" s="134">
        <f t="shared" ref="CF175:CF184" si="109">SUM(BZ175:CE175)/24</f>
        <v>6.0833333333357587</v>
      </c>
      <c r="CG175" s="134">
        <f t="shared" ref="CG175:CG184" si="110">BF175</f>
        <v>14.395833333328483</v>
      </c>
      <c r="CH175" s="133">
        <f t="shared" ref="CH175:CH184" si="111">CF175/CG175</f>
        <v>0.42257597684546283</v>
      </c>
    </row>
    <row r="176" spans="1:88" s="121" customFormat="1">
      <c r="A176" s="132">
        <f t="shared" si="99"/>
        <v>45288.173611111109</v>
      </c>
      <c r="B176" s="116" t="s">
        <v>228</v>
      </c>
      <c r="C176" s="116" t="s">
        <v>229</v>
      </c>
      <c r="D176" s="116" t="s">
        <v>215</v>
      </c>
      <c r="E176" s="100" t="s">
        <v>1852</v>
      </c>
      <c r="F176" s="519" t="s">
        <v>3378</v>
      </c>
      <c r="G176" s="472">
        <v>45287.458333333336</v>
      </c>
      <c r="H176" s="472">
        <v>45287.461805555555</v>
      </c>
      <c r="I176" s="116" t="s">
        <v>231</v>
      </c>
      <c r="J176" s="116" t="s">
        <v>3948</v>
      </c>
      <c r="K176" s="519" t="s">
        <v>3935</v>
      </c>
      <c r="L176" s="519" t="s">
        <v>3958</v>
      </c>
      <c r="M176" s="1043"/>
      <c r="N176" s="116" t="s">
        <v>358</v>
      </c>
      <c r="O176" s="116" t="s">
        <v>359</v>
      </c>
      <c r="P176" s="116" t="s">
        <v>240</v>
      </c>
      <c r="Q176" s="131">
        <f>3852*2.4</f>
        <v>9244.7999999999993</v>
      </c>
      <c r="R176" s="131">
        <v>9250</v>
      </c>
      <c r="S176" s="131">
        <v>9289.5570000000007</v>
      </c>
      <c r="T176" s="667"/>
      <c r="U176" s="401"/>
      <c r="V176" s="401"/>
      <c r="W176" s="581"/>
      <c r="X176" s="581"/>
      <c r="Y176" s="819">
        <f>S176</f>
        <v>9289.5570000000007</v>
      </c>
      <c r="Z176" s="115"/>
      <c r="AA176" s="581"/>
      <c r="AB176" s="581"/>
      <c r="AC176" s="581"/>
      <c r="AD176" s="581"/>
      <c r="AE176" s="739"/>
      <c r="AF176" s="575"/>
      <c r="AG176" s="575"/>
      <c r="AH176" s="575"/>
      <c r="AI176" s="575"/>
      <c r="AJ176" s="115"/>
      <c r="AK176" s="115"/>
      <c r="AL176" s="115"/>
      <c r="AM176" s="115"/>
      <c r="AN176" s="115"/>
      <c r="AO176" s="115"/>
      <c r="AP176" s="115"/>
      <c r="AQ176" s="115"/>
      <c r="BD176" s="127">
        <f t="shared" si="100"/>
        <v>45282.333333333336</v>
      </c>
      <c r="BE176" s="120">
        <f t="shared" si="101"/>
        <v>45295</v>
      </c>
      <c r="BF176" s="137">
        <f t="shared" si="102"/>
        <v>12.666666666664241</v>
      </c>
      <c r="BG176" s="127">
        <v>45282.333333333336</v>
      </c>
      <c r="BH176" s="127">
        <v>45283.361111111109</v>
      </c>
      <c r="BI176" s="127">
        <v>45285.097222222219</v>
      </c>
      <c r="BJ176" s="127">
        <v>45288.173611111109</v>
      </c>
      <c r="BK176" s="127">
        <v>45288.378472222219</v>
      </c>
      <c r="BL176" s="127">
        <v>45288.388888888891</v>
      </c>
      <c r="BM176" s="127">
        <v>45288.388888888891</v>
      </c>
      <c r="BN176" s="127">
        <f>BM176+(41/24)</f>
        <v>45290.097222222226</v>
      </c>
      <c r="BO176" s="127">
        <v>45290.25</v>
      </c>
      <c r="BP176" s="127">
        <v>45290.416666666664</v>
      </c>
      <c r="BQ176" s="127">
        <v>45290.274305555555</v>
      </c>
      <c r="BR176" s="127">
        <v>45291.611111111109</v>
      </c>
      <c r="BS176" s="169">
        <f>BS175</f>
        <v>45294.291666666664</v>
      </c>
      <c r="BT176" s="120">
        <f>BS176+(6/24)</f>
        <v>45294.541666666664</v>
      </c>
      <c r="BU176" s="120">
        <f t="shared" ref="BU176:BV176" si="112">BT176+(0.5/24)</f>
        <v>45294.5625</v>
      </c>
      <c r="BV176" s="120">
        <f t="shared" si="112"/>
        <v>45294.583333333336</v>
      </c>
      <c r="BW176" s="120">
        <f t="shared" si="103"/>
        <v>45295</v>
      </c>
      <c r="BZ176" s="136">
        <f t="shared" si="104"/>
        <v>41.666666666627862</v>
      </c>
      <c r="CA176" s="136">
        <f t="shared" si="105"/>
        <v>4.9166666666278616</v>
      </c>
      <c r="CB176" s="136">
        <f t="shared" si="106"/>
        <v>41.000000000058208</v>
      </c>
      <c r="CC176" s="136">
        <f>(BR176-BP176)*24</f>
        <v>28.666666666686069</v>
      </c>
      <c r="CD176" s="135">
        <f t="shared" si="107"/>
        <v>6</v>
      </c>
      <c r="CE176" s="135">
        <f t="shared" si="108"/>
        <v>9.9999999999417923</v>
      </c>
      <c r="CF176" s="134">
        <f t="shared" si="109"/>
        <v>5.5104166666642413</v>
      </c>
      <c r="CG176" s="134">
        <f t="shared" si="110"/>
        <v>12.666666666664241</v>
      </c>
      <c r="CH176" s="133">
        <f t="shared" si="111"/>
        <v>0.43503289473673395</v>
      </c>
      <c r="CJ176" s="116"/>
    </row>
    <row r="177" spans="1:88" s="121" customFormat="1">
      <c r="A177" s="132">
        <f t="shared" si="99"/>
        <v>45288.618055555555</v>
      </c>
      <c r="B177" s="116" t="s">
        <v>228</v>
      </c>
      <c r="C177" s="116" t="s">
        <v>229</v>
      </c>
      <c r="D177" s="116" t="s">
        <v>197</v>
      </c>
      <c r="E177" s="100" t="s">
        <v>1852</v>
      </c>
      <c r="F177" s="519" t="s">
        <v>3378</v>
      </c>
      <c r="G177" s="472">
        <v>45287.458333333336</v>
      </c>
      <c r="H177" s="472">
        <v>45287.461805555555</v>
      </c>
      <c r="I177" s="116" t="s">
        <v>231</v>
      </c>
      <c r="J177" s="116" t="s">
        <v>3948</v>
      </c>
      <c r="K177" s="519" t="s">
        <v>3935</v>
      </c>
      <c r="L177" s="519" t="s">
        <v>3959</v>
      </c>
      <c r="M177" s="1043"/>
      <c r="N177" s="116" t="s">
        <v>805</v>
      </c>
      <c r="O177" s="116" t="s">
        <v>381</v>
      </c>
      <c r="P177" s="116" t="s">
        <v>240</v>
      </c>
      <c r="Q177" s="131">
        <f>3100*2.4</f>
        <v>7440</v>
      </c>
      <c r="R177" s="131">
        <f>7450+100</f>
        <v>7550</v>
      </c>
      <c r="S177" s="131">
        <v>7502.9650000000001</v>
      </c>
      <c r="T177" s="667"/>
      <c r="U177" s="581"/>
      <c r="V177" s="581"/>
      <c r="W177" s="581"/>
      <c r="X177" s="815"/>
      <c r="Y177" s="664">
        <f>S177</f>
        <v>7502.9650000000001</v>
      </c>
      <c r="Z177" s="115"/>
      <c r="AA177" s="401"/>
      <c r="AB177" s="581"/>
      <c r="AC177" s="581"/>
      <c r="AD177" s="581"/>
      <c r="AE177" s="581"/>
      <c r="AF177" s="667"/>
      <c r="AG177" s="667"/>
      <c r="AH177" s="667"/>
      <c r="AI177" s="667"/>
      <c r="AJ177" s="667"/>
      <c r="AK177" s="667"/>
      <c r="AL177" s="667"/>
      <c r="AM177" s="667"/>
      <c r="AN177" s="667"/>
      <c r="AO177" s="667"/>
      <c r="AP177" s="667"/>
      <c r="AQ177" s="667"/>
      <c r="AR177" s="667"/>
      <c r="AS177" s="667"/>
      <c r="AT177" s="667"/>
      <c r="AU177" s="667"/>
      <c r="AV177" s="667"/>
      <c r="AW177" s="667"/>
      <c r="AX177" s="667"/>
      <c r="AY177" s="667"/>
      <c r="AZ177" s="667"/>
      <c r="BA177" s="667"/>
      <c r="BB177" s="667"/>
      <c r="BC177" s="667"/>
      <c r="BD177" s="127">
        <f t="shared" si="100"/>
        <v>45281.625</v>
      </c>
      <c r="BE177" s="120">
        <f t="shared" si="101"/>
        <v>45295.333333333336</v>
      </c>
      <c r="BF177" s="137">
        <f t="shared" si="102"/>
        <v>13.708333333335759</v>
      </c>
      <c r="BG177" s="127">
        <v>45281.625</v>
      </c>
      <c r="BH177" s="127">
        <v>45283.805555555555</v>
      </c>
      <c r="BI177" s="127">
        <v>45285.923611111109</v>
      </c>
      <c r="BJ177" s="127">
        <v>45288.618055555555</v>
      </c>
      <c r="BK177" s="127">
        <v>45288.84375</v>
      </c>
      <c r="BL177" s="127">
        <v>45288.850694444445</v>
      </c>
      <c r="BM177" s="127">
        <v>45288.850694444445</v>
      </c>
      <c r="BN177" s="127">
        <f>BM177+(41/24)</f>
        <v>45290.559027777781</v>
      </c>
      <c r="BO177" s="127">
        <v>45290.25</v>
      </c>
      <c r="BP177" s="127">
        <v>45290.416666666664</v>
      </c>
      <c r="BQ177" s="127">
        <v>45290.319444444445</v>
      </c>
      <c r="BR177" s="127">
        <v>45291.666666666664</v>
      </c>
      <c r="BS177" s="120">
        <f>BV176+(1/24)</f>
        <v>45294.625</v>
      </c>
      <c r="BT177" s="120">
        <f>BS177+(6/24)</f>
        <v>45294.875</v>
      </c>
      <c r="BU177" s="120">
        <f t="shared" ref="BU177:BV177" si="113">BT177+(0.5/24)</f>
        <v>45294.895833333336</v>
      </c>
      <c r="BV177" s="120">
        <f t="shared" si="113"/>
        <v>45294.916666666672</v>
      </c>
      <c r="BW177" s="120">
        <f t="shared" si="103"/>
        <v>45295.333333333336</v>
      </c>
      <c r="BZ177" s="136">
        <f t="shared" si="104"/>
        <v>50.833333333313931</v>
      </c>
      <c r="CA177" s="136">
        <f t="shared" si="105"/>
        <v>5.4166666666860692</v>
      </c>
      <c r="CB177" s="136">
        <f t="shared" si="106"/>
        <v>41.000000000058208</v>
      </c>
      <c r="CC177" s="136">
        <f>(BR177-BP177)*24</f>
        <v>30</v>
      </c>
      <c r="CD177" s="135">
        <f t="shared" si="107"/>
        <v>6</v>
      </c>
      <c r="CE177" s="135">
        <f t="shared" si="108"/>
        <v>9.9999999999417923</v>
      </c>
      <c r="CF177" s="134">
        <f t="shared" si="109"/>
        <v>5.96875</v>
      </c>
      <c r="CG177" s="134">
        <f t="shared" si="110"/>
        <v>13.708333333335759</v>
      </c>
      <c r="CH177" s="133">
        <f t="shared" si="111"/>
        <v>0.43541033434642751</v>
      </c>
    </row>
    <row r="178" spans="1:88" s="121" customFormat="1">
      <c r="A178" s="132">
        <f t="shared" si="99"/>
        <v>45287.756944444445</v>
      </c>
      <c r="B178" s="116" t="s">
        <v>228</v>
      </c>
      <c r="C178" s="116" t="s">
        <v>229</v>
      </c>
      <c r="D178" s="116" t="s">
        <v>197</v>
      </c>
      <c r="E178" s="100" t="s">
        <v>1852</v>
      </c>
      <c r="F178" s="519" t="s">
        <v>3378</v>
      </c>
      <c r="G178" s="472">
        <v>45287.458333333336</v>
      </c>
      <c r="H178" s="472">
        <v>45287.461805555555</v>
      </c>
      <c r="I178" s="116" t="s">
        <v>231</v>
      </c>
      <c r="J178" s="116" t="s">
        <v>3948</v>
      </c>
      <c r="K178" s="519" t="s">
        <v>3935</v>
      </c>
      <c r="L178" s="519" t="s">
        <v>3960</v>
      </c>
      <c r="M178" s="1043"/>
      <c r="N178" s="116" t="s">
        <v>2207</v>
      </c>
      <c r="O178" s="116" t="s">
        <v>2208</v>
      </c>
      <c r="P178" s="116" t="s">
        <v>240</v>
      </c>
      <c r="Q178" s="131">
        <f>3031*2.4</f>
        <v>7274.4</v>
      </c>
      <c r="R178" s="131">
        <f>7300+100</f>
        <v>7400</v>
      </c>
      <c r="S178" s="131">
        <v>7165.8069999999998</v>
      </c>
      <c r="T178" s="399"/>
      <c r="V178" s="401"/>
      <c r="W178" s="581"/>
      <c r="X178" s="581"/>
      <c r="Y178" s="664">
        <f>S178</f>
        <v>7165.8069999999998</v>
      </c>
      <c r="Z178" s="115"/>
      <c r="AA178" s="581"/>
      <c r="AB178" s="581"/>
      <c r="AC178" s="581"/>
      <c r="AD178" s="581"/>
      <c r="AE178" s="581"/>
      <c r="AF178" s="115"/>
      <c r="AG178" s="115"/>
      <c r="AH178" s="115"/>
      <c r="AI178" s="272"/>
      <c r="AJ178" s="272"/>
      <c r="AK178" s="272"/>
      <c r="AL178" s="272"/>
      <c r="BD178" s="127">
        <f t="shared" si="100"/>
        <v>45281.909722222219</v>
      </c>
      <c r="BE178" s="120">
        <f t="shared" si="101"/>
        <v>45295.666666666672</v>
      </c>
      <c r="BF178" s="137">
        <f t="shared" si="102"/>
        <v>13.756944444452529</v>
      </c>
      <c r="BG178" s="127">
        <v>45281.909722222219</v>
      </c>
      <c r="BH178" s="127">
        <v>45282.90625</v>
      </c>
      <c r="BI178" s="127">
        <v>45285.020833333336</v>
      </c>
      <c r="BJ178" s="127">
        <v>45287.756944444445</v>
      </c>
      <c r="BK178" s="127">
        <v>45287.972222222219</v>
      </c>
      <c r="BL178" s="127">
        <v>45287.982638888891</v>
      </c>
      <c r="BM178" s="127">
        <v>45287.993055555555</v>
      </c>
      <c r="BN178" s="127">
        <f>BM178+(41/24)</f>
        <v>45289.701388888891</v>
      </c>
      <c r="BO178" s="127">
        <v>45290.25</v>
      </c>
      <c r="BP178" s="127">
        <v>45290.416666666664</v>
      </c>
      <c r="BQ178" s="127">
        <v>45290.399305555555</v>
      </c>
      <c r="BR178" s="127">
        <v>45291.756944444445</v>
      </c>
      <c r="BS178" s="120">
        <f>BV177+(1/24)</f>
        <v>45294.958333333336</v>
      </c>
      <c r="BT178" s="120">
        <f>BS178+(6/24)</f>
        <v>45295.208333333336</v>
      </c>
      <c r="BU178" s="120">
        <f>BT178+(0.5/24)</f>
        <v>45295.229166666672</v>
      </c>
      <c r="BV178" s="120">
        <f>BU178+(0.5/24)</f>
        <v>45295.250000000007</v>
      </c>
      <c r="BW178" s="120">
        <f t="shared" si="103"/>
        <v>45295.666666666672</v>
      </c>
      <c r="BZ178" s="136">
        <f t="shared" si="104"/>
        <v>50.750000000058208</v>
      </c>
      <c r="CA178" s="136">
        <f t="shared" si="105"/>
        <v>5.1666666665696539</v>
      </c>
      <c r="CB178" s="136">
        <f t="shared" si="106"/>
        <v>41.000000000058208</v>
      </c>
      <c r="CC178" s="136">
        <f>(BR178-BP178)*24</f>
        <v>32.166666666744277</v>
      </c>
      <c r="CD178" s="135">
        <f t="shared" si="107"/>
        <v>6</v>
      </c>
      <c r="CE178" s="135">
        <f t="shared" si="108"/>
        <v>9.9999999999417923</v>
      </c>
      <c r="CF178" s="134">
        <f t="shared" si="109"/>
        <v>6.0451388888905058</v>
      </c>
      <c r="CG178" s="134">
        <f t="shared" si="110"/>
        <v>13.756944444452529</v>
      </c>
      <c r="CH178" s="133">
        <f t="shared" si="111"/>
        <v>0.43942453306396834</v>
      </c>
    </row>
    <row r="179" spans="1:88" s="128" customFormat="1">
      <c r="A179" s="132">
        <f t="shared" si="99"/>
        <v>45288.871527777781</v>
      </c>
      <c r="B179" s="116" t="s">
        <v>228</v>
      </c>
      <c r="C179" s="116" t="s">
        <v>229</v>
      </c>
      <c r="D179" s="116" t="s">
        <v>215</v>
      </c>
      <c r="E179" s="100" t="s">
        <v>1852</v>
      </c>
      <c r="F179" s="519" t="s">
        <v>3378</v>
      </c>
      <c r="G179" s="472">
        <v>45287.458333333336</v>
      </c>
      <c r="H179" s="472">
        <v>45287.461805555555</v>
      </c>
      <c r="I179" s="116" t="s">
        <v>231</v>
      </c>
      <c r="J179" s="116" t="s">
        <v>3948</v>
      </c>
      <c r="K179" s="519" t="s">
        <v>3935</v>
      </c>
      <c r="L179" s="519" t="s">
        <v>3961</v>
      </c>
      <c r="M179" s="1043"/>
      <c r="N179" s="116" t="s">
        <v>403</v>
      </c>
      <c r="O179" s="116" t="s">
        <v>404</v>
      </c>
      <c r="P179" s="116" t="s">
        <v>240</v>
      </c>
      <c r="Q179" s="131">
        <f>3107*2.4</f>
        <v>7456.7999999999993</v>
      </c>
      <c r="R179" s="131">
        <f>7500+100</f>
        <v>7600</v>
      </c>
      <c r="S179" s="131">
        <v>7592.5280000000002</v>
      </c>
      <c r="T179" s="122"/>
      <c r="U179" s="581"/>
      <c r="V179" s="401"/>
      <c r="W179" s="581"/>
      <c r="X179" s="1141"/>
      <c r="Y179" s="819">
        <f>S179</f>
        <v>7592.5280000000002</v>
      </c>
      <c r="Z179" s="369"/>
      <c r="AA179" s="581"/>
      <c r="AB179" s="581"/>
      <c r="AC179" s="581"/>
      <c r="AD179" s="581"/>
      <c r="AE179" s="115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  <c r="AP179" s="121"/>
      <c r="AQ179" s="121"/>
      <c r="AR179" s="121"/>
      <c r="AS179" s="121"/>
      <c r="AT179" s="121"/>
      <c r="AU179" s="121"/>
      <c r="AV179" s="121"/>
      <c r="AW179" s="121"/>
      <c r="AX179" s="121"/>
      <c r="AY179" s="121"/>
      <c r="AZ179" s="121"/>
      <c r="BA179" s="121"/>
      <c r="BB179" s="121"/>
      <c r="BC179" s="121"/>
      <c r="BD179" s="127">
        <f t="shared" si="100"/>
        <v>45283.309027777781</v>
      </c>
      <c r="BE179" s="120">
        <f t="shared" si="101"/>
        <v>45296.250000000007</v>
      </c>
      <c r="BF179" s="137">
        <f t="shared" si="102"/>
        <v>12.940972222226264</v>
      </c>
      <c r="BG179" s="127">
        <v>45283.309027777781</v>
      </c>
      <c r="BH179" s="127">
        <v>45283.822916666664</v>
      </c>
      <c r="BI179" s="127">
        <v>45285.90625</v>
      </c>
      <c r="BJ179" s="127">
        <v>45288.871527777781</v>
      </c>
      <c r="BK179" s="127">
        <v>45289.018750000003</v>
      </c>
      <c r="BL179" s="127">
        <v>45289.020833333336</v>
      </c>
      <c r="BM179" s="127">
        <v>45289.020833333336</v>
      </c>
      <c r="BN179" s="127">
        <f>BM179+(41/24)</f>
        <v>45290.729166666672</v>
      </c>
      <c r="BO179" s="127">
        <v>45291.25</v>
      </c>
      <c r="BP179" s="127">
        <v>45291.416666608799</v>
      </c>
      <c r="BQ179" s="127">
        <v>45291.350694444445</v>
      </c>
      <c r="BR179" s="127">
        <v>45292.673611111109</v>
      </c>
      <c r="BS179" s="120">
        <f>BV178+(1/24)</f>
        <v>45295.291666666672</v>
      </c>
      <c r="BT179" s="120">
        <f>BS179+(12/24)</f>
        <v>45295.791666666672</v>
      </c>
      <c r="BU179" s="120">
        <f t="shared" ref="BU179:BV179" si="114">BT179+(0.5/24)</f>
        <v>45295.812500000007</v>
      </c>
      <c r="BV179" s="120">
        <f t="shared" si="114"/>
        <v>45295.833333333343</v>
      </c>
      <c r="BW179" s="120">
        <f t="shared" si="103"/>
        <v>45296.250000000007</v>
      </c>
      <c r="BX179" s="121"/>
      <c r="BY179" s="121"/>
      <c r="BZ179" s="136">
        <f t="shared" si="104"/>
        <v>50.000000000058208</v>
      </c>
      <c r="CA179" s="136">
        <f t="shared" si="105"/>
        <v>3.5333333333255723</v>
      </c>
      <c r="CB179" s="136">
        <f t="shared" si="106"/>
        <v>41.000000000058208</v>
      </c>
      <c r="CC179" s="136">
        <f>(BR179-BP179)*24</f>
        <v>30.166668055462651</v>
      </c>
      <c r="CD179" s="135">
        <f t="shared" si="107"/>
        <v>12</v>
      </c>
      <c r="CE179" s="135">
        <f t="shared" si="108"/>
        <v>9.9999999999417923</v>
      </c>
      <c r="CF179" s="134">
        <f t="shared" si="109"/>
        <v>6.1125000578686013</v>
      </c>
      <c r="CG179" s="134">
        <f t="shared" si="110"/>
        <v>12.940972222226264</v>
      </c>
      <c r="CH179" s="133">
        <f t="shared" si="111"/>
        <v>0.47233700473989998</v>
      </c>
      <c r="CI179" s="115"/>
      <c r="CJ179" s="116"/>
    </row>
    <row r="180" spans="1:88" s="128" customFormat="1">
      <c r="A180" s="132">
        <f t="shared" si="99"/>
        <v>45292.090277777781</v>
      </c>
      <c r="B180" s="116" t="s">
        <v>188</v>
      </c>
      <c r="C180" s="116" t="s">
        <v>87</v>
      </c>
      <c r="D180" s="116" t="s">
        <v>197</v>
      </c>
      <c r="E180" s="100" t="s">
        <v>1852</v>
      </c>
      <c r="F180" s="519" t="s">
        <v>3378</v>
      </c>
      <c r="G180" s="339">
        <v>45287.458333333336</v>
      </c>
      <c r="H180" s="339">
        <v>45287.461805555555</v>
      </c>
      <c r="I180" s="116" t="s">
        <v>751</v>
      </c>
      <c r="J180" s="519" t="s">
        <v>3962</v>
      </c>
      <c r="K180" s="578" t="s">
        <v>3942</v>
      </c>
      <c r="L180" s="116" t="s">
        <v>3963</v>
      </c>
      <c r="M180" s="1167"/>
      <c r="N180" s="116" t="s">
        <v>492</v>
      </c>
      <c r="O180" s="116" t="s">
        <v>493</v>
      </c>
      <c r="P180" s="116" t="s">
        <v>611</v>
      </c>
      <c r="Q180" s="131">
        <f>3141*2.4</f>
        <v>7538.4</v>
      </c>
      <c r="R180" s="131">
        <f>7550+100</f>
        <v>7650</v>
      </c>
      <c r="S180" s="131">
        <v>7591.6610000000001</v>
      </c>
      <c r="T180" s="667"/>
      <c r="U180" s="581"/>
      <c r="V180" s="581"/>
      <c r="W180" s="581"/>
      <c r="X180" s="581"/>
      <c r="Y180" s="581"/>
      <c r="AA180" s="581"/>
      <c r="AB180" s="581"/>
      <c r="AC180" s="581"/>
      <c r="AD180" s="664">
        <f>S180</f>
        <v>7591.6610000000001</v>
      </c>
      <c r="AE180" s="581"/>
      <c r="AF180" s="581"/>
      <c r="AG180" s="581"/>
      <c r="AH180" s="581"/>
      <c r="AI180" s="581"/>
      <c r="AJ180" s="581"/>
      <c r="AK180" s="581"/>
      <c r="AL180" s="581"/>
      <c r="AM180" s="581"/>
      <c r="AN180" s="581"/>
      <c r="AO180" s="581"/>
      <c r="AP180" s="581"/>
      <c r="AQ180" s="581"/>
      <c r="AR180" s="581"/>
      <c r="AS180" s="581"/>
      <c r="AT180" s="581"/>
      <c r="AU180" s="581"/>
      <c r="AV180" s="581"/>
      <c r="AW180" s="581"/>
      <c r="AX180" s="581"/>
      <c r="AY180" s="581"/>
      <c r="AZ180" s="581"/>
      <c r="BA180" s="581"/>
      <c r="BB180" s="581"/>
      <c r="BC180" s="581"/>
      <c r="BD180" s="127">
        <f t="shared" si="100"/>
        <v>45291.940972222219</v>
      </c>
      <c r="BE180" s="120">
        <f t="shared" si="101"/>
        <v>45296.250000000007</v>
      </c>
      <c r="BF180" s="137">
        <f t="shared" si="102"/>
        <v>4.3090277777882875</v>
      </c>
      <c r="BG180" s="127">
        <v>45291.940972222219</v>
      </c>
      <c r="BH180" s="127">
        <v>45291.954861111109</v>
      </c>
      <c r="BI180" s="127">
        <v>45292</v>
      </c>
      <c r="BJ180" s="127">
        <v>45292.090277777781</v>
      </c>
      <c r="BK180" s="127">
        <v>45292.243055555555</v>
      </c>
      <c r="BL180" s="127">
        <v>45292.25</v>
      </c>
      <c r="BM180" s="120">
        <v>45293.791666666664</v>
      </c>
      <c r="BN180" s="120">
        <f>BM180</f>
        <v>45293.791666666664</v>
      </c>
      <c r="BO180" s="124" t="s">
        <v>196</v>
      </c>
      <c r="BP180" s="124" t="s">
        <v>196</v>
      </c>
      <c r="BQ180" s="124" t="s">
        <v>196</v>
      </c>
      <c r="BR180" s="120">
        <f>BN180+(6/24)</f>
        <v>45294.041666666664</v>
      </c>
      <c r="BS180" s="120">
        <f>BS179</f>
        <v>45295.291666666672</v>
      </c>
      <c r="BT180" s="120">
        <f>BS180+(12/24)</f>
        <v>45295.791666666672</v>
      </c>
      <c r="BU180" s="120">
        <f>BT180+(0.5/24)</f>
        <v>45295.812500000007</v>
      </c>
      <c r="BV180" s="120">
        <f>BU180+(0.5/24)</f>
        <v>45295.833333333343</v>
      </c>
      <c r="BW180" s="120">
        <f t="shared" si="103"/>
        <v>45296.250000000007</v>
      </c>
      <c r="BX180" s="121"/>
      <c r="BY180" s="121"/>
      <c r="BZ180" s="136">
        <f t="shared" si="104"/>
        <v>1.0833333333721384</v>
      </c>
      <c r="CA180" s="136">
        <f t="shared" si="105"/>
        <v>3.6666666665696539</v>
      </c>
      <c r="CB180" s="136">
        <f t="shared" si="106"/>
        <v>0</v>
      </c>
      <c r="CC180" s="136">
        <f>(BR180-BN180)*24</f>
        <v>6</v>
      </c>
      <c r="CD180" s="135">
        <f t="shared" si="107"/>
        <v>12</v>
      </c>
      <c r="CE180" s="135">
        <f t="shared" si="108"/>
        <v>9.9999999999417923</v>
      </c>
      <c r="CF180" s="134">
        <f t="shared" si="109"/>
        <v>1.3645833333284827</v>
      </c>
      <c r="CG180" s="134">
        <f t="shared" si="110"/>
        <v>4.3090277777882875</v>
      </c>
      <c r="CH180" s="133">
        <f t="shared" si="111"/>
        <v>0.31668009669431468</v>
      </c>
      <c r="CJ180" s="115"/>
    </row>
    <row r="181" spans="1:88" s="369" customFormat="1">
      <c r="A181" s="132">
        <f t="shared" si="99"/>
        <v>45288.413194444445</v>
      </c>
      <c r="B181" s="116" t="s">
        <v>228</v>
      </c>
      <c r="C181" s="116" t="s">
        <v>229</v>
      </c>
      <c r="D181" s="116" t="s">
        <v>197</v>
      </c>
      <c r="E181" s="100" t="s">
        <v>1852</v>
      </c>
      <c r="F181" s="519" t="s">
        <v>3378</v>
      </c>
      <c r="G181" s="472">
        <v>45287.458333333336</v>
      </c>
      <c r="H181" s="472">
        <v>45287.461805555555</v>
      </c>
      <c r="I181" s="116" t="s">
        <v>1031</v>
      </c>
      <c r="J181" s="116" t="s">
        <v>3948</v>
      </c>
      <c r="K181" s="519" t="s">
        <v>3935</v>
      </c>
      <c r="L181" s="116" t="s">
        <v>3964</v>
      </c>
      <c r="M181" s="1043"/>
      <c r="N181" s="116" t="s">
        <v>249</v>
      </c>
      <c r="O181" s="116" t="s">
        <v>2315</v>
      </c>
      <c r="P181" s="519" t="s">
        <v>173</v>
      </c>
      <c r="Q181" s="131">
        <f>3139*2.4</f>
        <v>7533.5999999999995</v>
      </c>
      <c r="R181" s="131">
        <f>7550+100</f>
        <v>7650</v>
      </c>
      <c r="S181" s="131">
        <v>7615.6350000000002</v>
      </c>
      <c r="T181" s="667"/>
      <c r="W181" s="581"/>
      <c r="X181" s="581"/>
      <c r="Y181" s="581"/>
      <c r="Z181" s="115"/>
      <c r="AA181" s="664">
        <f>S181</f>
        <v>7615.6350000000002</v>
      </c>
      <c r="AB181" s="581"/>
      <c r="AC181" s="581"/>
      <c r="AD181" s="581"/>
      <c r="AE181" s="581"/>
      <c r="AF181" s="581"/>
      <c r="AG181" s="581"/>
      <c r="AH181" s="581"/>
      <c r="AI181" s="581"/>
      <c r="AJ181" s="581"/>
      <c r="AK181" s="581"/>
      <c r="AL181" s="581"/>
      <c r="AM181" s="581"/>
      <c r="AN181" s="581"/>
      <c r="AO181" s="581"/>
      <c r="AP181" s="581"/>
      <c r="AQ181" s="581"/>
      <c r="AR181" s="115"/>
      <c r="AS181" s="115"/>
      <c r="AT181" s="121"/>
      <c r="AU181" s="121"/>
      <c r="AV181" s="121"/>
      <c r="AW181" s="121"/>
      <c r="AX181" s="517"/>
      <c r="AY181" s="517"/>
      <c r="AZ181" s="517"/>
      <c r="BA181" s="517"/>
      <c r="BB181" s="517"/>
      <c r="BC181" s="517"/>
      <c r="BD181" s="127">
        <f t="shared" si="100"/>
        <v>45282.083333333336</v>
      </c>
      <c r="BE181" s="120">
        <f t="shared" si="101"/>
        <v>45296.916666666679</v>
      </c>
      <c r="BF181" s="137">
        <f t="shared" si="102"/>
        <v>14.833333333343035</v>
      </c>
      <c r="BG181" s="127">
        <v>45282.083333333336</v>
      </c>
      <c r="BH181" s="127">
        <v>45282.827777777777</v>
      </c>
      <c r="BI181" s="127">
        <v>45285.041666666664</v>
      </c>
      <c r="BJ181" s="127">
        <v>45288.413194444445</v>
      </c>
      <c r="BK181" s="127">
        <v>45288.583333333336</v>
      </c>
      <c r="BL181" s="127">
        <v>45288.600694444445</v>
      </c>
      <c r="BM181" s="127">
        <v>45288.600694444445</v>
      </c>
      <c r="BN181" s="127">
        <f>BM181+(41/24)</f>
        <v>45290.309027777781</v>
      </c>
      <c r="BO181" s="127">
        <v>45290.25</v>
      </c>
      <c r="BP181" s="127">
        <v>45290.416666666664</v>
      </c>
      <c r="BQ181" s="127">
        <v>45290.295138888891</v>
      </c>
      <c r="BR181" s="127">
        <v>45291.75</v>
      </c>
      <c r="BS181" s="120">
        <f>BV180+(1/24)</f>
        <v>45295.875000000007</v>
      </c>
      <c r="BT181" s="120">
        <f>BS181+((6+8)/24)</f>
        <v>45296.458333333343</v>
      </c>
      <c r="BU181" s="120">
        <f t="shared" ref="BU181:BV181" si="115">BT181+(0.5/24)</f>
        <v>45296.479166666679</v>
      </c>
      <c r="BV181" s="120">
        <f t="shared" si="115"/>
        <v>45296.500000000015</v>
      </c>
      <c r="BW181" s="120">
        <f t="shared" si="103"/>
        <v>45296.916666666679</v>
      </c>
      <c r="BX181" s="121"/>
      <c r="BY181" s="121"/>
      <c r="BZ181" s="136">
        <f t="shared" si="104"/>
        <v>53.133333333302289</v>
      </c>
      <c r="CA181" s="136">
        <f t="shared" si="105"/>
        <v>4.0833333333721384</v>
      </c>
      <c r="CB181" s="136">
        <f t="shared" si="106"/>
        <v>41.000000000058208</v>
      </c>
      <c r="CC181" s="136">
        <f>(BR181-BP181)*24</f>
        <v>32.000000000058208</v>
      </c>
      <c r="CD181" s="135">
        <f t="shared" si="107"/>
        <v>14.000000000058208</v>
      </c>
      <c r="CE181" s="135">
        <f t="shared" si="108"/>
        <v>9.9999999999417923</v>
      </c>
      <c r="CF181" s="134">
        <f t="shared" si="109"/>
        <v>6.4256944444496185</v>
      </c>
      <c r="CG181" s="134">
        <f t="shared" si="110"/>
        <v>14.833333333343035</v>
      </c>
      <c r="CH181" s="133">
        <f t="shared" si="111"/>
        <v>0.43319288389519656</v>
      </c>
      <c r="CI181" s="128"/>
      <c r="CJ181" s="128"/>
    </row>
    <row r="182" spans="1:88" s="121" customFormat="1">
      <c r="A182" s="132">
        <f t="shared" si="99"/>
        <v>45289.215277777781</v>
      </c>
      <c r="B182" s="116" t="s">
        <v>228</v>
      </c>
      <c r="C182" s="116" t="s">
        <v>229</v>
      </c>
      <c r="D182" s="116" t="s">
        <v>197</v>
      </c>
      <c r="E182" s="100" t="s">
        <v>1852</v>
      </c>
      <c r="F182" s="519" t="s">
        <v>3378</v>
      </c>
      <c r="G182" s="472">
        <v>45287.458333333336</v>
      </c>
      <c r="H182" s="472">
        <v>45287.461805555555</v>
      </c>
      <c r="I182" s="116" t="s">
        <v>231</v>
      </c>
      <c r="J182" s="116" t="s">
        <v>3948</v>
      </c>
      <c r="K182" s="519" t="s">
        <v>3935</v>
      </c>
      <c r="L182" s="519" t="s">
        <v>3965</v>
      </c>
      <c r="M182" s="1043"/>
      <c r="N182" s="116" t="s">
        <v>2277</v>
      </c>
      <c r="O182" s="116" t="s">
        <v>2278</v>
      </c>
      <c r="P182" s="116" t="s">
        <v>240</v>
      </c>
      <c r="Q182" s="131">
        <f>3099 *2.4</f>
        <v>7437.5999999999995</v>
      </c>
      <c r="R182" s="131">
        <f>7500+100</f>
        <v>7600</v>
      </c>
      <c r="S182" s="131">
        <v>7535.9790000000003</v>
      </c>
      <c r="T182" s="667"/>
      <c r="U182" s="581"/>
      <c r="V182" s="401"/>
      <c r="W182" s="581"/>
      <c r="X182" s="581"/>
      <c r="Y182" s="664">
        <f>S182</f>
        <v>7535.9790000000003</v>
      </c>
      <c r="Z182" s="369"/>
      <c r="AA182" s="581"/>
      <c r="AB182" s="581"/>
      <c r="AC182" s="581"/>
      <c r="AD182" s="581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5"/>
      <c r="AP182" s="115"/>
      <c r="AQ182" s="115"/>
      <c r="AR182" s="115"/>
      <c r="AS182" s="115"/>
      <c r="AX182" s="517"/>
      <c r="AY182" s="517"/>
      <c r="AZ182" s="517"/>
      <c r="BA182" s="517"/>
      <c r="BB182" s="517"/>
      <c r="BC182" s="517"/>
      <c r="BD182" s="127">
        <f t="shared" si="100"/>
        <v>45282.854166666664</v>
      </c>
      <c r="BE182" s="120">
        <f t="shared" si="101"/>
        <v>45296.583333333343</v>
      </c>
      <c r="BF182" s="137">
        <f t="shared" si="102"/>
        <v>13.729166666678793</v>
      </c>
      <c r="BG182" s="127">
        <v>45282.854166666664</v>
      </c>
      <c r="BH182" s="127">
        <v>45284.34375</v>
      </c>
      <c r="BI182" s="127">
        <v>45286.666666666664</v>
      </c>
      <c r="BJ182" s="127">
        <v>45289.215277777781</v>
      </c>
      <c r="BK182" s="127">
        <v>45289.420138888891</v>
      </c>
      <c r="BL182" s="127">
        <v>45289.427083333336</v>
      </c>
      <c r="BM182" s="127">
        <v>45289.427083333336</v>
      </c>
      <c r="BN182" s="127">
        <f>BM182+(41/24)</f>
        <v>45291.135416666672</v>
      </c>
      <c r="BO182" s="127">
        <v>45291.25</v>
      </c>
      <c r="BP182" s="127">
        <v>45291.416666608799</v>
      </c>
      <c r="BQ182" s="127">
        <v>45291.319444444445</v>
      </c>
      <c r="BR182" s="127">
        <v>45292.708333333336</v>
      </c>
      <c r="BS182" s="120">
        <f>BS181</f>
        <v>45295.875000000007</v>
      </c>
      <c r="BT182" s="120">
        <f t="shared" ref="BT182" si="116">BS182+(6/24)</f>
        <v>45296.125000000007</v>
      </c>
      <c r="BU182" s="120">
        <f t="shared" ref="BU182:BV182" si="117">BT182+(0.5/24)</f>
        <v>45296.145833333343</v>
      </c>
      <c r="BV182" s="120">
        <f t="shared" si="117"/>
        <v>45296.166666666679</v>
      </c>
      <c r="BW182" s="120">
        <f t="shared" ref="BW182" si="118">BV182+(10/24)</f>
        <v>45296.583333333343</v>
      </c>
      <c r="BZ182" s="136">
        <f t="shared" si="104"/>
        <v>55.749999999941792</v>
      </c>
      <c r="CA182" s="136">
        <f t="shared" si="105"/>
        <v>4.9166666666278616</v>
      </c>
      <c r="CB182" s="136">
        <f t="shared" si="106"/>
        <v>41.000000000058208</v>
      </c>
      <c r="CC182" s="136">
        <f>(BR182-BP182)*24</f>
        <v>31.000001388892997</v>
      </c>
      <c r="CD182" s="135">
        <f t="shared" si="107"/>
        <v>6</v>
      </c>
      <c r="CE182" s="135">
        <f t="shared" si="108"/>
        <v>9.9999999999417923</v>
      </c>
      <c r="CF182" s="134">
        <f t="shared" si="109"/>
        <v>6.1944445023109438</v>
      </c>
      <c r="CG182" s="134">
        <f t="shared" si="110"/>
        <v>13.729166666678793</v>
      </c>
      <c r="CH182" s="133">
        <f t="shared" si="111"/>
        <v>0.45118867391602835</v>
      </c>
      <c r="CI182" s="128"/>
      <c r="CJ182" s="128"/>
    </row>
    <row r="183" spans="1:88">
      <c r="A183" s="132">
        <f t="shared" si="99"/>
        <v>45289.451388888891</v>
      </c>
      <c r="B183" s="116" t="s">
        <v>228</v>
      </c>
      <c r="C183" s="116" t="s">
        <v>229</v>
      </c>
      <c r="D183" s="116" t="s">
        <v>197</v>
      </c>
      <c r="E183" s="100" t="s">
        <v>1852</v>
      </c>
      <c r="F183" s="519" t="s">
        <v>3378</v>
      </c>
      <c r="G183" s="472">
        <v>45287.458333333336</v>
      </c>
      <c r="H183" s="472">
        <v>45287.461805555555</v>
      </c>
      <c r="I183" s="116" t="s">
        <v>231</v>
      </c>
      <c r="J183" s="519" t="s">
        <v>3962</v>
      </c>
      <c r="K183" s="519" t="s">
        <v>3966</v>
      </c>
      <c r="L183" s="519" t="s">
        <v>3967</v>
      </c>
      <c r="M183" s="1043"/>
      <c r="N183" s="116" t="s">
        <v>295</v>
      </c>
      <c r="O183" s="116" t="s">
        <v>296</v>
      </c>
      <c r="P183" s="116" t="s">
        <v>240</v>
      </c>
      <c r="Q183" s="131">
        <f>4118*2.4</f>
        <v>9883.1999999999989</v>
      </c>
      <c r="R183" s="131">
        <f>9900+100</f>
        <v>10000</v>
      </c>
      <c r="S183" s="131">
        <v>9912.741</v>
      </c>
      <c r="T183" s="667"/>
      <c r="U183" s="581"/>
      <c r="V183" s="1084"/>
      <c r="W183" s="1127"/>
      <c r="X183" s="581"/>
      <c r="Y183" s="664">
        <f>S183</f>
        <v>9912.741</v>
      </c>
      <c r="Z183" s="1127"/>
      <c r="AA183" s="581"/>
      <c r="AB183" s="581"/>
      <c r="AC183" s="581"/>
      <c r="AD183" s="581"/>
      <c r="AE183" s="121"/>
      <c r="AF183" s="121"/>
      <c r="AG183" s="121"/>
      <c r="AH183" s="121"/>
      <c r="AI183" s="121"/>
      <c r="AJ183" s="121"/>
      <c r="AK183" s="121"/>
      <c r="AL183" s="121"/>
      <c r="AM183" s="121"/>
      <c r="AN183" s="121"/>
      <c r="AO183" s="739"/>
      <c r="AP183" s="739"/>
      <c r="AQ183" s="739"/>
      <c r="AR183" s="739"/>
      <c r="AS183" s="739"/>
      <c r="AT183" s="739"/>
      <c r="AU183" s="739"/>
      <c r="AV183" s="739"/>
      <c r="AW183" s="739"/>
      <c r="AX183" s="739"/>
      <c r="AY183" s="739"/>
      <c r="AZ183" s="739"/>
      <c r="BA183" s="739"/>
      <c r="BB183" s="739"/>
      <c r="BC183" s="739"/>
      <c r="BD183" s="127">
        <f t="shared" si="100"/>
        <v>45284.024305555555</v>
      </c>
      <c r="BE183" s="120">
        <f t="shared" si="101"/>
        <v>45296.916666666679</v>
      </c>
      <c r="BF183" s="137">
        <f t="shared" si="102"/>
        <v>12.892361111124046</v>
      </c>
      <c r="BG183" s="127">
        <v>45284.024305555555</v>
      </c>
      <c r="BH183" s="127">
        <v>45284.852777777778</v>
      </c>
      <c r="BI183" s="127">
        <v>45287.041666666664</v>
      </c>
      <c r="BJ183" s="127">
        <v>45289.451388888891</v>
      </c>
      <c r="BK183" s="127">
        <v>45289.65625</v>
      </c>
      <c r="BL183" s="127">
        <v>45289.659722222219</v>
      </c>
      <c r="BM183" s="127">
        <v>45289.659722222219</v>
      </c>
      <c r="BN183" s="127">
        <f>BM183+(41/24)</f>
        <v>45291.368055555555</v>
      </c>
      <c r="BO183" s="127">
        <v>45291.25</v>
      </c>
      <c r="BP183" s="127">
        <v>45291.416666608799</v>
      </c>
      <c r="BQ183" s="127">
        <v>45291.294444444444</v>
      </c>
      <c r="BR183" s="120">
        <f>BP183+((24+24)/24)</f>
        <v>45293.416666608799</v>
      </c>
      <c r="BS183" s="120">
        <f>BV182+(1/24)</f>
        <v>45296.208333333343</v>
      </c>
      <c r="BT183" s="120">
        <f t="shared" ref="BT183" si="119">BS183+(6/24)</f>
        <v>45296.458333333343</v>
      </c>
      <c r="BU183" s="120">
        <f t="shared" ref="BU183" si="120">BT183+(0.5/24)</f>
        <v>45296.479166666679</v>
      </c>
      <c r="BV183" s="120">
        <f t="shared" ref="BV183" si="121">BU183+(0.5/24)</f>
        <v>45296.500000000015</v>
      </c>
      <c r="BW183" s="120">
        <f t="shared" ref="BW183" si="122">BV183+(10/24)</f>
        <v>45296.916666666679</v>
      </c>
      <c r="BX183" s="121"/>
      <c r="BY183" s="121"/>
      <c r="BZ183" s="136">
        <f t="shared" si="104"/>
        <v>52.533333333267365</v>
      </c>
      <c r="CA183" s="136">
        <f t="shared" si="105"/>
        <v>4.9166666666278616</v>
      </c>
      <c r="CB183" s="136">
        <f t="shared" si="106"/>
        <v>41.000000000058208</v>
      </c>
      <c r="CC183" s="136">
        <f>(BR183-BP183)*24</f>
        <v>48</v>
      </c>
      <c r="CD183" s="135">
        <f t="shared" si="107"/>
        <v>6</v>
      </c>
      <c r="CE183" s="135">
        <f t="shared" si="108"/>
        <v>9.9999999999417923</v>
      </c>
      <c r="CF183" s="134">
        <f t="shared" si="109"/>
        <v>6.7687499999956344</v>
      </c>
      <c r="CG183" s="134">
        <f t="shared" si="110"/>
        <v>12.892361111124046</v>
      </c>
      <c r="CH183" s="133">
        <f t="shared" si="111"/>
        <v>0.52502019929889221</v>
      </c>
      <c r="CI183" s="128"/>
      <c r="CJ183" s="121"/>
    </row>
    <row r="184" spans="1:88">
      <c r="A184" s="132">
        <f t="shared" si="99"/>
        <v>45290.559027777781</v>
      </c>
      <c r="B184" s="116" t="s">
        <v>228</v>
      </c>
      <c r="C184" s="116" t="s">
        <v>229</v>
      </c>
      <c r="D184" s="116" t="s">
        <v>197</v>
      </c>
      <c r="E184" s="100" t="s">
        <v>1852</v>
      </c>
      <c r="F184" s="519" t="s">
        <v>3378</v>
      </c>
      <c r="G184" s="472">
        <v>45287.458333333336</v>
      </c>
      <c r="H184" s="472">
        <v>45287.461805555555</v>
      </c>
      <c r="I184" s="116" t="s">
        <v>231</v>
      </c>
      <c r="J184" s="519" t="s">
        <v>3962</v>
      </c>
      <c r="K184" s="519" t="s">
        <v>3954</v>
      </c>
      <c r="L184" s="519" t="s">
        <v>3968</v>
      </c>
      <c r="M184" s="1043"/>
      <c r="N184" s="116" t="s">
        <v>238</v>
      </c>
      <c r="O184" s="116" t="s">
        <v>239</v>
      </c>
      <c r="P184" s="116" t="s">
        <v>240</v>
      </c>
      <c r="Q184" s="131">
        <f>3161*2.4</f>
        <v>7586.4</v>
      </c>
      <c r="R184" s="131">
        <f>7550+100</f>
        <v>7650</v>
      </c>
      <c r="S184" s="131">
        <v>4617.9210000000003</v>
      </c>
      <c r="T184" s="667"/>
      <c r="U184" s="581"/>
      <c r="W184" s="1127"/>
      <c r="X184" s="664">
        <f>S184*0.5</f>
        <v>2308.9605000000001</v>
      </c>
      <c r="Y184" s="664">
        <f>S184*0.5</f>
        <v>2308.9605000000001</v>
      </c>
      <c r="Z184" s="369"/>
      <c r="AA184" s="581"/>
      <c r="AB184" s="581"/>
      <c r="AC184" s="581"/>
      <c r="AD184" s="581"/>
      <c r="AE184" s="581"/>
      <c r="AF184" s="581"/>
      <c r="AG184" s="401"/>
      <c r="AH184" s="401"/>
      <c r="AI184" s="401"/>
      <c r="AJ184" s="401"/>
      <c r="AK184" s="401"/>
      <c r="AL184" s="401"/>
      <c r="AM184" s="401"/>
      <c r="AN184" s="401"/>
      <c r="AP184" s="401"/>
      <c r="AQ184" s="401"/>
      <c r="AR184" s="401"/>
      <c r="AS184" s="401"/>
      <c r="AT184" s="401"/>
      <c r="AU184" s="401"/>
      <c r="AV184" s="121"/>
      <c r="AW184" s="121"/>
      <c r="AX184" s="121"/>
      <c r="AY184" s="121"/>
      <c r="AZ184" s="121"/>
      <c r="BA184" s="121"/>
      <c r="BB184" s="121"/>
      <c r="BC184" s="121"/>
      <c r="BD184" s="127">
        <f t="shared" si="100"/>
        <v>45284.854166666664</v>
      </c>
      <c r="BE184" s="120">
        <f t="shared" si="101"/>
        <v>45296.70833333335</v>
      </c>
      <c r="BF184" s="137">
        <f t="shared" si="102"/>
        <v>11.854166666686069</v>
      </c>
      <c r="BG184" s="127">
        <v>45284.854166666664</v>
      </c>
      <c r="BH184" s="127">
        <v>45286.552083333336</v>
      </c>
      <c r="BI184" s="127">
        <v>45288.680555555555</v>
      </c>
      <c r="BJ184" s="127">
        <v>45290.559027777781</v>
      </c>
      <c r="BK184" s="127">
        <v>45290.638888888891</v>
      </c>
      <c r="BL184" s="127">
        <v>45290.645833333336</v>
      </c>
      <c r="BM184" s="127">
        <v>45290.645833333336</v>
      </c>
      <c r="BN184" s="127">
        <f>BM184+(41/24)</f>
        <v>45292.354166666672</v>
      </c>
      <c r="BO184" s="120">
        <v>45293.291666608799</v>
      </c>
      <c r="BP184" s="120">
        <v>45293.458333275463</v>
      </c>
      <c r="BQ184" s="124" t="s">
        <v>64</v>
      </c>
      <c r="BR184" s="120">
        <f>BP184+(24/24)</f>
        <v>45294.458333275463</v>
      </c>
      <c r="BS184" s="120">
        <f>BV183+(1/24)</f>
        <v>45296.541666666679</v>
      </c>
      <c r="BT184" s="179">
        <f>BS184+(3/24)</f>
        <v>45296.666666666679</v>
      </c>
      <c r="BU184" s="120">
        <f>BT184+(0.5/24)</f>
        <v>45296.687500000015</v>
      </c>
      <c r="BV184" s="120">
        <f>BU184+(0.5/24)</f>
        <v>45296.70833333335</v>
      </c>
      <c r="BW184" s="179">
        <f>BV184</f>
        <v>45296.70833333335</v>
      </c>
      <c r="BX184" s="121"/>
      <c r="BY184" s="121"/>
      <c r="BZ184" s="136">
        <f t="shared" si="104"/>
        <v>51.083333333255723</v>
      </c>
      <c r="CA184" s="136">
        <f t="shared" si="105"/>
        <v>1.9166666666278616</v>
      </c>
      <c r="CB184" s="136">
        <f t="shared" si="106"/>
        <v>41.000000000058208</v>
      </c>
      <c r="CC184" s="136">
        <f>(BR184-BP184)*24</f>
        <v>24</v>
      </c>
      <c r="CD184" s="135">
        <f t="shared" si="107"/>
        <v>3</v>
      </c>
      <c r="CE184" s="135">
        <f t="shared" si="108"/>
        <v>0</v>
      </c>
      <c r="CF184" s="134">
        <f t="shared" si="109"/>
        <v>5.0416666666642413</v>
      </c>
      <c r="CG184" s="134">
        <f t="shared" si="110"/>
        <v>11.854166666686069</v>
      </c>
      <c r="CH184" s="133">
        <f t="shared" si="111"/>
        <v>0.4253075571168497</v>
      </c>
      <c r="CI184" s="121"/>
      <c r="CJ184" s="121"/>
    </row>
    <row r="185" spans="1:88" s="121" customFormat="1">
      <c r="A185" s="132"/>
      <c r="B185" s="132"/>
      <c r="C185" s="116"/>
      <c r="D185" s="116"/>
      <c r="F185" s="116"/>
      <c r="G185" s="130"/>
      <c r="H185" s="130"/>
      <c r="J185" s="116"/>
      <c r="K185" s="519"/>
      <c r="M185" s="129"/>
      <c r="N185" s="116"/>
      <c r="O185" s="116"/>
      <c r="Q185" s="131"/>
      <c r="R185" s="131"/>
      <c r="S185" s="163"/>
      <c r="T185" s="163"/>
      <c r="U185" s="164"/>
      <c r="V185" s="164"/>
      <c r="W185" s="164"/>
      <c r="X185" s="164"/>
      <c r="Y185" s="164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  <c r="BB185" s="163"/>
      <c r="BC185" s="163"/>
      <c r="BD185" s="127"/>
      <c r="BE185" s="120"/>
      <c r="BF185" s="120"/>
      <c r="BG185" s="127"/>
      <c r="BH185" s="120"/>
      <c r="BI185" s="120"/>
      <c r="BJ185" s="120"/>
      <c r="BK185" s="120"/>
      <c r="BL185" s="127"/>
      <c r="BM185" s="127"/>
      <c r="BN185" s="120"/>
      <c r="BO185" s="120"/>
      <c r="BP185" s="120"/>
      <c r="BQ185" s="124"/>
      <c r="BR185" s="120"/>
      <c r="BS185" s="120"/>
      <c r="BT185" s="120"/>
      <c r="BU185" s="120"/>
      <c r="BV185" s="120"/>
      <c r="BW185" s="120"/>
      <c r="BX185" s="116"/>
      <c r="BY185" s="116"/>
      <c r="BZ185" s="120"/>
      <c r="CA185" s="120"/>
      <c r="CB185" s="120"/>
      <c r="CC185" s="120"/>
      <c r="CD185" s="120"/>
      <c r="CE185" s="120"/>
      <c r="CF185" s="120"/>
      <c r="CG185" s="120"/>
    </row>
    <row r="186" spans="1:88" s="369" customFormat="1">
      <c r="A186" s="132">
        <f t="shared" ref="A186:A194" si="123">BJ186</f>
        <v>45286.402777777781</v>
      </c>
      <c r="B186" s="116" t="s">
        <v>228</v>
      </c>
      <c r="C186" s="116" t="s">
        <v>229</v>
      </c>
      <c r="D186" s="116" t="s">
        <v>197</v>
      </c>
      <c r="E186" s="100" t="s">
        <v>3221</v>
      </c>
      <c r="F186" s="519" t="s">
        <v>3378</v>
      </c>
      <c r="G186" s="473">
        <v>45286.5</v>
      </c>
      <c r="H186" s="473">
        <v>45286.493055555555</v>
      </c>
      <c r="I186" s="116" t="s">
        <v>231</v>
      </c>
      <c r="J186" s="116" t="s">
        <v>3948</v>
      </c>
      <c r="K186" s="519" t="s">
        <v>3935</v>
      </c>
      <c r="L186" s="519" t="s">
        <v>3969</v>
      </c>
      <c r="M186" s="1043"/>
      <c r="N186" s="116" t="s">
        <v>3403</v>
      </c>
      <c r="O186" s="116" t="s">
        <v>255</v>
      </c>
      <c r="P186" s="519" t="s">
        <v>235</v>
      </c>
      <c r="Q186" s="131">
        <f>3047*2.4</f>
        <v>7312.8</v>
      </c>
      <c r="R186" s="131">
        <f>7400+100</f>
        <v>7500</v>
      </c>
      <c r="S186" s="131">
        <v>7374.1660000000002</v>
      </c>
      <c r="T186" s="667"/>
      <c r="U186" s="581"/>
      <c r="V186" s="581"/>
      <c r="W186" s="581"/>
      <c r="X186" s="664">
        <f>S186</f>
        <v>7374.1660000000002</v>
      </c>
      <c r="Y186" s="121"/>
      <c r="Z186" s="115"/>
      <c r="AA186" s="115"/>
      <c r="AB186" s="581"/>
      <c r="AC186" s="581"/>
      <c r="AD186" s="581"/>
      <c r="AE186" s="581"/>
      <c r="AF186" s="581"/>
      <c r="AG186" s="581"/>
      <c r="AH186" s="581"/>
      <c r="AI186" s="121"/>
      <c r="AJ186" s="121"/>
      <c r="AK186" s="121"/>
      <c r="AL186" s="121"/>
      <c r="AM186" s="121"/>
      <c r="AN186" s="121"/>
      <c r="AO186" s="121"/>
      <c r="AP186" s="121"/>
      <c r="AQ186" s="121"/>
      <c r="AR186" s="121"/>
      <c r="AS186" s="121"/>
      <c r="AT186" s="121"/>
      <c r="AU186" s="121"/>
      <c r="AV186" s="121"/>
      <c r="AW186" s="121"/>
      <c r="AX186" s="121"/>
      <c r="AY186" s="121"/>
      <c r="AZ186" s="121"/>
      <c r="BA186" s="121"/>
      <c r="BB186" s="121"/>
      <c r="BC186" s="121"/>
      <c r="BD186" s="127">
        <f t="shared" ref="BD186:BD194" si="124">BG186</f>
        <v>45280.647222222222</v>
      </c>
      <c r="BE186" s="120">
        <f t="shared" ref="BE186:BE194" si="125">BW186</f>
        <v>45302.5</v>
      </c>
      <c r="BF186" s="137">
        <f t="shared" ref="BF186:BF194" si="126">BE186-BD186</f>
        <v>21.852777777778101</v>
      </c>
      <c r="BG186" s="127">
        <v>45280.647222222222</v>
      </c>
      <c r="BH186" s="127">
        <v>45281.847222222219</v>
      </c>
      <c r="BI186" s="127">
        <v>45284.041666666664</v>
      </c>
      <c r="BJ186" s="127">
        <v>45286.402777777781</v>
      </c>
      <c r="BK186" s="127">
        <v>45286.520833333336</v>
      </c>
      <c r="BL186" s="127">
        <v>45286.524305555555</v>
      </c>
      <c r="BM186" s="127">
        <v>45286.527777777781</v>
      </c>
      <c r="BN186" s="127">
        <f>BM186+(41/24)</f>
        <v>45288.236111111117</v>
      </c>
      <c r="BO186" s="127">
        <v>45288.229166608799</v>
      </c>
      <c r="BP186" s="127">
        <v>45288.395833275463</v>
      </c>
      <c r="BQ186" s="127">
        <v>45288.381944444445</v>
      </c>
      <c r="BR186" s="127">
        <v>45290.086805555555</v>
      </c>
      <c r="BS186" s="1087">
        <v>45301.791666666664</v>
      </c>
      <c r="BT186" s="120">
        <f>BS186+(6/24)</f>
        <v>45302.041666666664</v>
      </c>
      <c r="BU186" s="120">
        <f t="shared" ref="BU186:BV194" si="127">BT186+(0.5/24)</f>
        <v>45302.0625</v>
      </c>
      <c r="BV186" s="120">
        <f t="shared" si="127"/>
        <v>45302.083333333336</v>
      </c>
      <c r="BW186" s="120">
        <f t="shared" ref="BW186:BW194" si="128">BV186+(10/24)</f>
        <v>45302.5</v>
      </c>
      <c r="BX186" s="121"/>
      <c r="BY186" s="121"/>
      <c r="BZ186" s="136">
        <f t="shared" ref="BZ186:BZ194" si="129">(BI186-BH186)*24</f>
        <v>52.666666666686069</v>
      </c>
      <c r="CA186" s="136">
        <f t="shared" ref="CA186:CA194" si="130">(BK186-BJ186)*24</f>
        <v>2.8333333333139308</v>
      </c>
      <c r="CB186" s="136">
        <f t="shared" ref="CB186:CB194" si="131">(BN186-BM186)*24</f>
        <v>41.000000000058208</v>
      </c>
      <c r="CC186" s="136">
        <f>(BR186-BP186)*24</f>
        <v>40.583334722206928</v>
      </c>
      <c r="CD186" s="135">
        <f t="shared" ref="CD186:CD194" si="132">(BT186-BS186)*24</f>
        <v>6</v>
      </c>
      <c r="CE186" s="135">
        <f t="shared" ref="CE186:CE194" si="133">(BW186-BV186)*24</f>
        <v>9.9999999999417923</v>
      </c>
      <c r="CF186" s="134">
        <f t="shared" ref="CF186:CF194" si="134">SUM(BZ186:CE186)/24</f>
        <v>6.3784722800919553</v>
      </c>
      <c r="CG186" s="134">
        <f t="shared" ref="CG186:CG194" si="135">BF186</f>
        <v>21.852777777778101</v>
      </c>
      <c r="CH186" s="133">
        <f t="shared" ref="CH186:CH194" si="136">CF186/CG186</f>
        <v>0.2918838211304271</v>
      </c>
      <c r="CI186" s="128"/>
      <c r="CJ186" s="115"/>
    </row>
    <row r="187" spans="1:88">
      <c r="A187" s="132">
        <f t="shared" si="123"/>
        <v>45287.1875</v>
      </c>
      <c r="B187" s="116" t="s">
        <v>228</v>
      </c>
      <c r="C187" s="116" t="s">
        <v>229</v>
      </c>
      <c r="D187" s="116" t="s">
        <v>197</v>
      </c>
      <c r="E187" s="100" t="s">
        <v>3221</v>
      </c>
      <c r="F187" s="519" t="s">
        <v>3378</v>
      </c>
      <c r="G187" s="473">
        <v>45286.5</v>
      </c>
      <c r="H187" s="473">
        <v>45286.493055555555</v>
      </c>
      <c r="I187" s="116" t="s">
        <v>231</v>
      </c>
      <c r="J187" s="116" t="s">
        <v>3948</v>
      </c>
      <c r="K187" s="519" t="s">
        <v>3935</v>
      </c>
      <c r="L187" s="519" t="s">
        <v>3970</v>
      </c>
      <c r="M187" s="1043"/>
      <c r="N187" s="116" t="s">
        <v>437</v>
      </c>
      <c r="O187" s="116" t="s">
        <v>320</v>
      </c>
      <c r="P187" s="519" t="s">
        <v>235</v>
      </c>
      <c r="Q187" s="131">
        <f>3136*2.4</f>
        <v>7526.4</v>
      </c>
      <c r="R187" s="131">
        <f>7550+100</f>
        <v>7650</v>
      </c>
      <c r="S187" s="131">
        <v>7576.2120000000004</v>
      </c>
      <c r="T187" s="667"/>
      <c r="U187" s="581"/>
      <c r="V187" s="581"/>
      <c r="W187" s="581"/>
      <c r="X187" s="664">
        <f>S187</f>
        <v>7576.2120000000004</v>
      </c>
      <c r="Y187" s="121"/>
      <c r="AB187" s="581"/>
      <c r="AC187" s="581"/>
      <c r="AD187" s="581"/>
      <c r="AE187" s="739"/>
      <c r="AF187" s="401"/>
      <c r="AG187" s="401"/>
      <c r="AH187" s="401"/>
      <c r="AI187" s="401"/>
      <c r="AJ187" s="401"/>
      <c r="AK187" s="401"/>
      <c r="AL187" s="401"/>
      <c r="AN187" s="401"/>
      <c r="AO187" s="401"/>
      <c r="AP187" s="401"/>
      <c r="AQ187" s="401"/>
      <c r="AR187" s="401"/>
      <c r="AS187" s="401"/>
      <c r="AT187" s="401"/>
      <c r="AU187" s="401"/>
      <c r="AW187" s="121"/>
      <c r="AX187" s="121"/>
      <c r="AY187" s="121"/>
      <c r="AZ187" s="121"/>
      <c r="BA187" s="121"/>
      <c r="BB187" s="121"/>
      <c r="BC187" s="121"/>
      <c r="BD187" s="127">
        <f t="shared" si="124"/>
        <v>45281.239583333336</v>
      </c>
      <c r="BE187" s="120">
        <f t="shared" si="125"/>
        <v>45302.8125</v>
      </c>
      <c r="BF187" s="137">
        <f t="shared" si="126"/>
        <v>21.572916666664241</v>
      </c>
      <c r="BG187" s="127">
        <v>45281.239583333336</v>
      </c>
      <c r="BH187" s="127">
        <v>45282.791666666664</v>
      </c>
      <c r="BI187" s="127">
        <v>45284.590277777781</v>
      </c>
      <c r="BJ187" s="127">
        <v>45287.1875</v>
      </c>
      <c r="BK187" s="127">
        <v>45287.364583333336</v>
      </c>
      <c r="BL187" s="127">
        <v>45287.371527777781</v>
      </c>
      <c r="BM187" s="127">
        <v>45287.375</v>
      </c>
      <c r="BN187" s="127">
        <f>BM187+(41/24)</f>
        <v>45289.083333333336</v>
      </c>
      <c r="BO187" s="127">
        <v>45289.25</v>
      </c>
      <c r="BP187" s="127">
        <v>45289.416666666664</v>
      </c>
      <c r="BQ187" s="127">
        <v>45289.305555555555</v>
      </c>
      <c r="BR187" s="127">
        <v>45290.534722222219</v>
      </c>
      <c r="BS187" s="120">
        <f t="shared" ref="BS187:BS194" si="137">BU186+(1/24)</f>
        <v>45302.104166666664</v>
      </c>
      <c r="BT187" s="120">
        <f>BS187+(6/24)</f>
        <v>45302.354166666664</v>
      </c>
      <c r="BU187" s="120">
        <f t="shared" si="127"/>
        <v>45302.375</v>
      </c>
      <c r="BV187" s="120">
        <f t="shared" si="127"/>
        <v>45302.395833333336</v>
      </c>
      <c r="BW187" s="120">
        <f t="shared" si="128"/>
        <v>45302.8125</v>
      </c>
      <c r="BX187" s="121" t="s">
        <v>3971</v>
      </c>
      <c r="BY187" s="121"/>
      <c r="BZ187" s="136">
        <f t="shared" si="129"/>
        <v>43.166666666802485</v>
      </c>
      <c r="CA187" s="136">
        <f t="shared" si="130"/>
        <v>4.2500000000582077</v>
      </c>
      <c r="CB187" s="136">
        <f t="shared" si="131"/>
        <v>41.000000000058208</v>
      </c>
      <c r="CC187" s="136">
        <f>(BR187-BN187)*24</f>
        <v>34.833333333197515</v>
      </c>
      <c r="CD187" s="135">
        <f t="shared" si="132"/>
        <v>6</v>
      </c>
      <c r="CE187" s="135">
        <f t="shared" si="133"/>
        <v>9.9999999999417923</v>
      </c>
      <c r="CF187" s="134">
        <f t="shared" si="134"/>
        <v>5.8020833333357587</v>
      </c>
      <c r="CG187" s="134">
        <f t="shared" si="135"/>
        <v>21.572916666664241</v>
      </c>
      <c r="CH187" s="133">
        <f t="shared" si="136"/>
        <v>0.26895219700641981</v>
      </c>
      <c r="CI187" s="121"/>
      <c r="CJ187" s="121"/>
    </row>
    <row r="188" spans="1:88" s="121" customFormat="1">
      <c r="A188" s="132">
        <f t="shared" si="123"/>
        <v>45287.041666666664</v>
      </c>
      <c r="B188" s="116" t="s">
        <v>228</v>
      </c>
      <c r="C188" s="116" t="s">
        <v>229</v>
      </c>
      <c r="D188" s="116" t="s">
        <v>197</v>
      </c>
      <c r="E188" s="100" t="s">
        <v>3221</v>
      </c>
      <c r="F188" s="519" t="s">
        <v>3378</v>
      </c>
      <c r="G188" s="473">
        <v>45286.5</v>
      </c>
      <c r="H188" s="473">
        <v>45286.493055555555</v>
      </c>
      <c r="I188" s="116" t="s">
        <v>231</v>
      </c>
      <c r="J188" s="116" t="s">
        <v>3948</v>
      </c>
      <c r="K188" s="519" t="s">
        <v>3935</v>
      </c>
      <c r="L188" s="519" t="s">
        <v>3972</v>
      </c>
      <c r="M188" s="1043"/>
      <c r="N188" s="116" t="s">
        <v>3563</v>
      </c>
      <c r="O188" s="116" t="s">
        <v>206</v>
      </c>
      <c r="P188" s="519" t="s">
        <v>235</v>
      </c>
      <c r="Q188" s="131">
        <f>3015*2.4</f>
        <v>7236</v>
      </c>
      <c r="R188" s="131">
        <f>7250+100</f>
        <v>7350</v>
      </c>
      <c r="S188" s="131">
        <v>7454.3549999999996</v>
      </c>
      <c r="T188" s="667"/>
      <c r="U188" s="581"/>
      <c r="V188" s="581"/>
      <c r="W188" s="581"/>
      <c r="X188" s="664">
        <f>S188</f>
        <v>7454.3549999999996</v>
      </c>
      <c r="Z188" s="115"/>
      <c r="AA188" s="115"/>
      <c r="AB188" s="581"/>
      <c r="AC188" s="581"/>
      <c r="AD188" s="581"/>
      <c r="AE188" s="667"/>
      <c r="AF188" s="667"/>
      <c r="AG188" s="667"/>
      <c r="AH188" s="667"/>
      <c r="AI188" s="667"/>
      <c r="AJ188" s="667"/>
      <c r="AK188" s="667"/>
      <c r="AL188" s="667"/>
      <c r="AM188" s="667"/>
      <c r="AN188" s="667"/>
      <c r="AO188" s="667"/>
      <c r="AP188" s="667"/>
      <c r="AQ188" s="667"/>
      <c r="AR188" s="667"/>
      <c r="AS188" s="667"/>
      <c r="AT188" s="667"/>
      <c r="AU188" s="667"/>
      <c r="AV188" s="667"/>
      <c r="AW188" s="667"/>
      <c r="BD188" s="127">
        <f t="shared" si="124"/>
        <v>45281.020833333336</v>
      </c>
      <c r="BE188" s="120">
        <f t="shared" si="125"/>
        <v>45303.125</v>
      </c>
      <c r="BF188" s="137">
        <f t="shared" si="126"/>
        <v>22.104166666664241</v>
      </c>
      <c r="BG188" s="127">
        <v>45281.020833333336</v>
      </c>
      <c r="BH188" s="127">
        <v>45281.868055555555</v>
      </c>
      <c r="BI188" s="127">
        <v>45284.541666666664</v>
      </c>
      <c r="BJ188" s="127">
        <v>45287.041666666664</v>
      </c>
      <c r="BK188" s="127">
        <v>45287.157638888886</v>
      </c>
      <c r="BL188" s="127">
        <v>45287.163194444445</v>
      </c>
      <c r="BM188" s="127">
        <v>45287.180555555555</v>
      </c>
      <c r="BN188" s="127">
        <f t="shared" ref="BN188" si="138">BM188+(41/24)</f>
        <v>45288.888888888891</v>
      </c>
      <c r="BO188" s="127">
        <v>45289.25</v>
      </c>
      <c r="BP188" s="127">
        <v>45289.416666666664</v>
      </c>
      <c r="BQ188" s="127">
        <v>45289.3125</v>
      </c>
      <c r="BR188" s="127">
        <v>45290.875</v>
      </c>
      <c r="BS188" s="120">
        <f t="shared" si="137"/>
        <v>45302.416666666664</v>
      </c>
      <c r="BT188" s="120">
        <f>BS188+(6/24)</f>
        <v>45302.666666666664</v>
      </c>
      <c r="BU188" s="120">
        <f t="shared" si="127"/>
        <v>45302.6875</v>
      </c>
      <c r="BV188" s="120">
        <f t="shared" si="127"/>
        <v>45302.708333333336</v>
      </c>
      <c r="BW188" s="120">
        <f t="shared" si="128"/>
        <v>45303.125</v>
      </c>
      <c r="BZ188" s="136">
        <f t="shared" si="129"/>
        <v>64.166666666627862</v>
      </c>
      <c r="CA188" s="136">
        <f t="shared" si="130"/>
        <v>2.7833333333255723</v>
      </c>
      <c r="CB188" s="136">
        <f t="shared" si="131"/>
        <v>41.000000000058208</v>
      </c>
      <c r="CC188" s="136">
        <f>(BR188-BP188)*24</f>
        <v>35.000000000058208</v>
      </c>
      <c r="CD188" s="135">
        <f t="shared" si="132"/>
        <v>6</v>
      </c>
      <c r="CE188" s="135">
        <f t="shared" si="133"/>
        <v>9.9999999999417923</v>
      </c>
      <c r="CF188" s="134">
        <f t="shared" si="134"/>
        <v>6.6229166666671517</v>
      </c>
      <c r="CG188" s="134">
        <f t="shared" si="135"/>
        <v>22.104166666664241</v>
      </c>
      <c r="CH188" s="133">
        <f t="shared" si="136"/>
        <v>0.2996229971725336</v>
      </c>
      <c r="CI188" s="128"/>
    </row>
    <row r="189" spans="1:88">
      <c r="A189" s="132">
        <f t="shared" si="123"/>
        <v>45285.868055555555</v>
      </c>
      <c r="B189" s="116" t="s">
        <v>188</v>
      </c>
      <c r="C189" s="116" t="s">
        <v>87</v>
      </c>
      <c r="D189" s="116" t="s">
        <v>197</v>
      </c>
      <c r="E189" s="100" t="s">
        <v>3221</v>
      </c>
      <c r="F189" s="519" t="s">
        <v>3378</v>
      </c>
      <c r="G189" s="473">
        <v>45286.5</v>
      </c>
      <c r="H189" s="473">
        <v>45286.493055555555</v>
      </c>
      <c r="I189" s="116" t="s">
        <v>751</v>
      </c>
      <c r="J189" s="116" t="s">
        <v>3948</v>
      </c>
      <c r="K189" s="519" t="s">
        <v>3935</v>
      </c>
      <c r="L189" s="578" t="s">
        <v>3973</v>
      </c>
      <c r="M189" s="1043"/>
      <c r="N189" s="116" t="s">
        <v>2859</v>
      </c>
      <c r="O189" s="116" t="s">
        <v>324</v>
      </c>
      <c r="P189" s="116" t="s">
        <v>611</v>
      </c>
      <c r="Q189" s="131">
        <f>3095*2.4</f>
        <v>7428</v>
      </c>
      <c r="R189" s="131">
        <f>7450+100</f>
        <v>7550</v>
      </c>
      <c r="S189" s="131">
        <v>7530.3469999999998</v>
      </c>
      <c r="T189" s="667"/>
      <c r="U189" s="581"/>
      <c r="V189" s="581"/>
      <c r="W189" s="581"/>
      <c r="X189" s="581"/>
      <c r="Y189" s="581"/>
      <c r="Z189" s="581"/>
      <c r="AA189" s="581"/>
      <c r="AB189" s="581"/>
      <c r="AC189" s="581"/>
      <c r="AD189" s="664">
        <f>S189</f>
        <v>7530.3469999999998</v>
      </c>
      <c r="AE189" s="581"/>
      <c r="AF189" s="581"/>
      <c r="AT189" s="121"/>
      <c r="AU189" s="121"/>
      <c r="AV189" s="121"/>
      <c r="AW189" s="121"/>
      <c r="AX189" s="121"/>
      <c r="AY189" s="121"/>
      <c r="AZ189" s="121"/>
      <c r="BA189" s="121"/>
      <c r="BB189" s="121"/>
      <c r="BC189" s="121"/>
      <c r="BD189" s="127">
        <f t="shared" si="124"/>
        <v>45284.878472222219</v>
      </c>
      <c r="BE189" s="120">
        <f t="shared" si="125"/>
        <v>45303.4375</v>
      </c>
      <c r="BF189" s="137">
        <f t="shared" si="126"/>
        <v>18.559027777781012</v>
      </c>
      <c r="BG189" s="127">
        <v>45284.878472222219</v>
      </c>
      <c r="BH189" s="127">
        <v>45284.909722222219</v>
      </c>
      <c r="BI189" s="127">
        <v>45284.961805555555</v>
      </c>
      <c r="BJ189" s="127">
        <v>45285.868055555555</v>
      </c>
      <c r="BK189" s="127">
        <v>45286.02847222222</v>
      </c>
      <c r="BL189" s="127">
        <v>45286.038194444445</v>
      </c>
      <c r="BM189" s="127">
        <v>45286.739583333336</v>
      </c>
      <c r="BN189" s="127">
        <v>45286.739583333336</v>
      </c>
      <c r="BO189" s="130" t="s">
        <v>196</v>
      </c>
      <c r="BP189" s="130" t="s">
        <v>196</v>
      </c>
      <c r="BQ189" s="130" t="s">
        <v>196</v>
      </c>
      <c r="BR189" s="127">
        <v>45287.15625</v>
      </c>
      <c r="BS189" s="169">
        <f t="shared" si="137"/>
        <v>45302.729166666664</v>
      </c>
      <c r="BT189" s="120">
        <f>BS189+(6/24)</f>
        <v>45302.979166666664</v>
      </c>
      <c r="BU189" s="120">
        <f t="shared" si="127"/>
        <v>45303</v>
      </c>
      <c r="BV189" s="120">
        <f t="shared" si="127"/>
        <v>45303.020833333336</v>
      </c>
      <c r="BW189" s="120">
        <f t="shared" si="128"/>
        <v>45303.4375</v>
      </c>
      <c r="BX189" s="121"/>
      <c r="BY189" s="121"/>
      <c r="BZ189" s="136">
        <f t="shared" si="129"/>
        <v>1.2500000000582077</v>
      </c>
      <c r="CA189" s="136">
        <f t="shared" si="130"/>
        <v>3.8499999999767169</v>
      </c>
      <c r="CB189" s="136">
        <f t="shared" si="131"/>
        <v>0</v>
      </c>
      <c r="CC189" s="136">
        <f>(BR189-BN189)*24</f>
        <v>9.9999999999417923</v>
      </c>
      <c r="CD189" s="135">
        <f t="shared" si="132"/>
        <v>6</v>
      </c>
      <c r="CE189" s="135">
        <f t="shared" si="133"/>
        <v>9.9999999999417923</v>
      </c>
      <c r="CF189" s="134">
        <f t="shared" si="134"/>
        <v>1.2958333333299379</v>
      </c>
      <c r="CG189" s="134">
        <f t="shared" si="135"/>
        <v>18.559027777781012</v>
      </c>
      <c r="CH189" s="133">
        <f t="shared" si="136"/>
        <v>6.9822263797746878E-2</v>
      </c>
      <c r="CI189" s="121"/>
      <c r="CJ189" s="121"/>
    </row>
    <row r="190" spans="1:88" s="121" customFormat="1">
      <c r="A190" s="132">
        <f t="shared" si="123"/>
        <v>45287.631944444445</v>
      </c>
      <c r="B190" s="116" t="s">
        <v>188</v>
      </c>
      <c r="C190" s="116" t="s">
        <v>87</v>
      </c>
      <c r="D190" s="116" t="s">
        <v>197</v>
      </c>
      <c r="E190" s="100" t="s">
        <v>3221</v>
      </c>
      <c r="F190" s="519" t="s">
        <v>3378</v>
      </c>
      <c r="G190" s="473">
        <v>45286.5</v>
      </c>
      <c r="H190" s="473">
        <v>45286.493055555555</v>
      </c>
      <c r="I190" s="116" t="s">
        <v>751</v>
      </c>
      <c r="J190" s="116" t="s">
        <v>3948</v>
      </c>
      <c r="K190" s="519" t="s">
        <v>3935</v>
      </c>
      <c r="L190" s="116" t="s">
        <v>3974</v>
      </c>
      <c r="M190" s="1043"/>
      <c r="N190" s="116" t="s">
        <v>201</v>
      </c>
      <c r="O190" s="116" t="s">
        <v>202</v>
      </c>
      <c r="P190" s="519" t="s">
        <v>611</v>
      </c>
      <c r="Q190" s="131">
        <f>3141*2.4</f>
        <v>7538.4</v>
      </c>
      <c r="R190" s="131">
        <f>7550+100</f>
        <v>7650</v>
      </c>
      <c r="S190" s="131">
        <v>7510.5290000000005</v>
      </c>
      <c r="T190" s="667"/>
      <c r="U190" s="581"/>
      <c r="V190" s="581"/>
      <c r="W190" s="581"/>
      <c r="X190" s="581"/>
      <c r="Y190" s="581"/>
      <c r="Z190" s="581"/>
      <c r="AA190" s="581"/>
      <c r="AB190" s="581"/>
      <c r="AC190" s="581"/>
      <c r="AD190" s="664">
        <f>S190</f>
        <v>7510.5290000000005</v>
      </c>
      <c r="AE190" s="667"/>
      <c r="AF190" s="667"/>
      <c r="AG190" s="667"/>
      <c r="AI190" s="667"/>
      <c r="AJ190" s="667"/>
      <c r="AK190" s="667"/>
      <c r="AL190" s="667"/>
      <c r="AM190" s="667"/>
      <c r="AN190" s="667"/>
      <c r="AO190" s="739"/>
      <c r="AP190" s="739"/>
      <c r="AQ190" s="739"/>
      <c r="AR190" s="739"/>
      <c r="AS190" s="739"/>
      <c r="AT190" s="739"/>
      <c r="AU190" s="739"/>
      <c r="AV190" s="739"/>
      <c r="AW190" s="739"/>
      <c r="AX190" s="739"/>
      <c r="AY190" s="739"/>
      <c r="AZ190" s="739"/>
      <c r="BA190" s="739"/>
      <c r="BB190" s="739"/>
      <c r="BC190" s="739"/>
      <c r="BD190" s="127">
        <f t="shared" si="124"/>
        <v>45285.159722222219</v>
      </c>
      <c r="BE190" s="120">
        <f t="shared" si="125"/>
        <v>45303.75</v>
      </c>
      <c r="BF190" s="137">
        <f t="shared" si="126"/>
        <v>18.590277777781012</v>
      </c>
      <c r="BG190" s="127">
        <v>45285.159722222219</v>
      </c>
      <c r="BH190" s="127">
        <v>45285.173611111109</v>
      </c>
      <c r="BI190" s="127">
        <v>45285.197916666664</v>
      </c>
      <c r="BJ190" s="127">
        <v>45287.631944444445</v>
      </c>
      <c r="BK190" s="127">
        <v>45287.798611111109</v>
      </c>
      <c r="BL190" s="127">
        <v>45287.802083333336</v>
      </c>
      <c r="BM190" s="127">
        <v>45288.670138888891</v>
      </c>
      <c r="BN190" s="127">
        <v>45288.670138888891</v>
      </c>
      <c r="BO190" s="130" t="s">
        <v>196</v>
      </c>
      <c r="BP190" s="130" t="s">
        <v>196</v>
      </c>
      <c r="BQ190" s="130" t="s">
        <v>196</v>
      </c>
      <c r="BR190" s="127">
        <v>45288.916666666664</v>
      </c>
      <c r="BS190" s="120">
        <f t="shared" si="137"/>
        <v>45303.041666666664</v>
      </c>
      <c r="BT190" s="120">
        <f>BS190+(6/24)</f>
        <v>45303.291666666664</v>
      </c>
      <c r="BU190" s="120">
        <f t="shared" si="127"/>
        <v>45303.3125</v>
      </c>
      <c r="BV190" s="120">
        <f t="shared" si="127"/>
        <v>45303.333333333336</v>
      </c>
      <c r="BW190" s="120">
        <f t="shared" si="128"/>
        <v>45303.75</v>
      </c>
      <c r="BZ190" s="136">
        <f t="shared" si="129"/>
        <v>0.58333333331393078</v>
      </c>
      <c r="CA190" s="136">
        <f t="shared" si="130"/>
        <v>3.9999999999417923</v>
      </c>
      <c r="CB190" s="136">
        <f t="shared" si="131"/>
        <v>0</v>
      </c>
      <c r="CC190" s="136">
        <f>(BR190-BN190)*24</f>
        <v>5.9166666665696539</v>
      </c>
      <c r="CD190" s="135">
        <f t="shared" si="132"/>
        <v>6</v>
      </c>
      <c r="CE190" s="135">
        <f t="shared" si="133"/>
        <v>9.9999999999417923</v>
      </c>
      <c r="CF190" s="134">
        <f t="shared" si="134"/>
        <v>1.1041666666569654</v>
      </c>
      <c r="CG190" s="134">
        <f t="shared" si="135"/>
        <v>18.590277777781012</v>
      </c>
      <c r="CH190" s="133">
        <f t="shared" si="136"/>
        <v>5.9394844975186913E-2</v>
      </c>
    </row>
    <row r="191" spans="1:88" s="121" customFormat="1">
      <c r="A191" s="132">
        <f t="shared" si="123"/>
        <v>45286.548611111109</v>
      </c>
      <c r="B191" s="116" t="s">
        <v>228</v>
      </c>
      <c r="C191" s="116" t="s">
        <v>229</v>
      </c>
      <c r="D191" s="116" t="s">
        <v>197</v>
      </c>
      <c r="E191" s="100" t="s">
        <v>3221</v>
      </c>
      <c r="F191" s="519" t="s">
        <v>3378</v>
      </c>
      <c r="G191" s="473">
        <v>45286.5</v>
      </c>
      <c r="H191" s="473">
        <v>45286.493055555555</v>
      </c>
      <c r="I191" s="116" t="s">
        <v>490</v>
      </c>
      <c r="J191" s="116" t="s">
        <v>3948</v>
      </c>
      <c r="K191" s="519" t="s">
        <v>3935</v>
      </c>
      <c r="L191" s="519" t="s">
        <v>3975</v>
      </c>
      <c r="M191" s="1043"/>
      <c r="N191" s="116" t="s">
        <v>298</v>
      </c>
      <c r="O191" s="116" t="s">
        <v>299</v>
      </c>
      <c r="P191" s="519" t="s">
        <v>846</v>
      </c>
      <c r="Q191" s="131">
        <f>4337*2.4</f>
        <v>10408.799999999999</v>
      </c>
      <c r="R191" s="131">
        <f>10450+100</f>
        <v>10550</v>
      </c>
      <c r="S191" s="131">
        <v>10256.735000000001</v>
      </c>
      <c r="T191" s="667"/>
      <c r="U191" s="664">
        <f>S191*0.45</f>
        <v>4615.5307500000008</v>
      </c>
      <c r="V191" s="664">
        <f>S191*0.55</f>
        <v>5641.2042500000007</v>
      </c>
      <c r="W191" s="581"/>
      <c r="X191" s="581"/>
      <c r="Y191" s="581"/>
      <c r="Z191" s="115"/>
      <c r="AA191" s="581"/>
      <c r="AB191" s="581"/>
      <c r="AC191" s="401"/>
      <c r="AD191" s="401"/>
      <c r="AE191" s="401"/>
      <c r="AF191" s="401"/>
      <c r="AG191" s="401"/>
      <c r="AH191" s="401"/>
      <c r="AI191" s="401"/>
      <c r="AJ191" s="401"/>
      <c r="AK191" s="401"/>
      <c r="AL191" s="401"/>
      <c r="AM191" s="401"/>
      <c r="AN191" s="401"/>
      <c r="AO191" s="401"/>
      <c r="AP191" s="401"/>
      <c r="AQ191" s="401"/>
      <c r="AR191" s="401"/>
      <c r="AS191" s="401"/>
      <c r="AT191" s="401"/>
      <c r="AU191" s="401"/>
      <c r="AV191" s="401"/>
      <c r="AW191" s="401"/>
      <c r="AX191" s="401"/>
      <c r="AY191" s="401"/>
      <c r="AZ191" s="401"/>
      <c r="BA191" s="401"/>
      <c r="BB191" s="401"/>
      <c r="BC191" s="401"/>
      <c r="BD191" s="127">
        <f t="shared" si="124"/>
        <v>45281.673611111109</v>
      </c>
      <c r="BE191" s="120">
        <f t="shared" si="125"/>
        <v>45304.0625</v>
      </c>
      <c r="BF191" s="137">
        <f t="shared" si="126"/>
        <v>22.388888888890506</v>
      </c>
      <c r="BG191" s="127">
        <v>45281.673611111109</v>
      </c>
      <c r="BH191" s="127">
        <v>45282.395833333336</v>
      </c>
      <c r="BI191" s="127">
        <v>45284.083333333336</v>
      </c>
      <c r="BJ191" s="127">
        <v>45286.548611111109</v>
      </c>
      <c r="BK191" s="127">
        <v>45286.753472222219</v>
      </c>
      <c r="BL191" s="127">
        <v>45286.760416666664</v>
      </c>
      <c r="BM191" s="127">
        <v>45286.760416666664</v>
      </c>
      <c r="BN191" s="127">
        <f>BM191+(41/24)</f>
        <v>45288.46875</v>
      </c>
      <c r="BO191" s="127">
        <v>45288.229166608799</v>
      </c>
      <c r="BP191" s="127">
        <v>45288.395833275463</v>
      </c>
      <c r="BQ191" s="564">
        <v>45288.298611111109</v>
      </c>
      <c r="BR191" s="127">
        <v>45290.006944444445</v>
      </c>
      <c r="BS191" s="120">
        <f t="shared" si="137"/>
        <v>45303.354166666664</v>
      </c>
      <c r="BT191" s="120">
        <f t="shared" ref="BT191:BT194" si="139">BS191+(6/24)</f>
        <v>45303.604166666664</v>
      </c>
      <c r="BU191" s="120">
        <f t="shared" si="127"/>
        <v>45303.625</v>
      </c>
      <c r="BV191" s="120">
        <f t="shared" si="127"/>
        <v>45303.645833333336</v>
      </c>
      <c r="BW191" s="120">
        <f t="shared" si="128"/>
        <v>45304.0625</v>
      </c>
      <c r="BZ191" s="136">
        <f t="shared" si="129"/>
        <v>40.5</v>
      </c>
      <c r="CA191" s="136">
        <f t="shared" si="130"/>
        <v>4.9166666666278616</v>
      </c>
      <c r="CB191" s="136">
        <f t="shared" si="131"/>
        <v>41.000000000058208</v>
      </c>
      <c r="CC191" s="136">
        <f>(BR191-BP191)*24</f>
        <v>38.666668055579066</v>
      </c>
      <c r="CD191" s="135">
        <f t="shared" si="132"/>
        <v>6</v>
      </c>
      <c r="CE191" s="135">
        <f t="shared" si="133"/>
        <v>9.9999999999417923</v>
      </c>
      <c r="CF191" s="134">
        <f t="shared" si="134"/>
        <v>5.8784722800919553</v>
      </c>
      <c r="CG191" s="134">
        <f t="shared" si="135"/>
        <v>22.388888888890506</v>
      </c>
      <c r="CH191" s="133">
        <f t="shared" si="136"/>
        <v>0.26256203732418748</v>
      </c>
      <c r="CJ191" s="115"/>
    </row>
    <row r="192" spans="1:88">
      <c r="A192" s="132">
        <f t="shared" si="123"/>
        <v>45287.565972222219</v>
      </c>
      <c r="B192" s="116" t="s">
        <v>228</v>
      </c>
      <c r="C192" s="116" t="s">
        <v>229</v>
      </c>
      <c r="D192" s="116" t="s">
        <v>197</v>
      </c>
      <c r="E192" s="100" t="s">
        <v>3221</v>
      </c>
      <c r="F192" s="519" t="s">
        <v>3378</v>
      </c>
      <c r="G192" s="473">
        <v>45286.5</v>
      </c>
      <c r="H192" s="473">
        <v>45286.493055555555</v>
      </c>
      <c r="I192" s="116" t="s">
        <v>490</v>
      </c>
      <c r="J192" s="116" t="s">
        <v>3948</v>
      </c>
      <c r="K192" s="519" t="s">
        <v>3935</v>
      </c>
      <c r="L192" s="519" t="s">
        <v>3976</v>
      </c>
      <c r="M192" s="1043"/>
      <c r="N192" s="116" t="s">
        <v>277</v>
      </c>
      <c r="O192" s="116" t="s">
        <v>278</v>
      </c>
      <c r="P192" s="116" t="s">
        <v>846</v>
      </c>
      <c r="Q192" s="131">
        <f>3117*2.4</f>
        <v>7480.7999999999993</v>
      </c>
      <c r="R192" s="131">
        <f>7500+100</f>
        <v>7600</v>
      </c>
      <c r="S192" s="131">
        <v>7754.82</v>
      </c>
      <c r="T192" s="667"/>
      <c r="U192" s="664">
        <f>S192*0.45</f>
        <v>3489.6689999999999</v>
      </c>
      <c r="V192" s="664">
        <f>S192*0.55</f>
        <v>4265.1509999999998</v>
      </c>
      <c r="W192" s="581"/>
      <c r="X192" s="581"/>
      <c r="Y192" s="581"/>
      <c r="AA192" s="581"/>
      <c r="AB192" s="581"/>
      <c r="AC192" s="581"/>
      <c r="AD192" s="581"/>
      <c r="AT192" s="121"/>
      <c r="AU192" s="121"/>
      <c r="AV192" s="121"/>
      <c r="AW192" s="121"/>
      <c r="AX192" s="121"/>
      <c r="AY192" s="121"/>
      <c r="AZ192" s="121"/>
      <c r="BA192" s="121"/>
      <c r="BB192" s="121"/>
      <c r="BC192" s="121"/>
      <c r="BD192" s="127">
        <f t="shared" si="124"/>
        <v>45282.6875</v>
      </c>
      <c r="BE192" s="120">
        <f t="shared" si="125"/>
        <v>45304.375</v>
      </c>
      <c r="BF192" s="137">
        <f t="shared" si="126"/>
        <v>21.6875</v>
      </c>
      <c r="BG192" s="127">
        <v>45282.6875</v>
      </c>
      <c r="BH192" s="127">
        <v>45283.364583333336</v>
      </c>
      <c r="BI192" s="127">
        <v>45285.177083333336</v>
      </c>
      <c r="BJ192" s="127">
        <v>45287.565972222219</v>
      </c>
      <c r="BK192" s="127">
        <v>45287.729166666664</v>
      </c>
      <c r="BL192" s="127">
        <v>45287.732638888891</v>
      </c>
      <c r="BM192" s="127">
        <v>45287.736111111109</v>
      </c>
      <c r="BN192" s="127">
        <f>BM192+(41/24)</f>
        <v>45289.444444444445</v>
      </c>
      <c r="BO192" s="127">
        <v>45289.25</v>
      </c>
      <c r="BP192" s="127">
        <v>45289.416666666664</v>
      </c>
      <c r="BQ192" s="127">
        <v>45289.28125</v>
      </c>
      <c r="BR192" s="127">
        <v>45290.635416666664</v>
      </c>
      <c r="BS192" s="120">
        <f t="shared" si="137"/>
        <v>45303.666666666664</v>
      </c>
      <c r="BT192" s="120">
        <f t="shared" si="139"/>
        <v>45303.916666666664</v>
      </c>
      <c r="BU192" s="120">
        <f t="shared" si="127"/>
        <v>45303.9375</v>
      </c>
      <c r="BV192" s="120">
        <f t="shared" si="127"/>
        <v>45303.958333333336</v>
      </c>
      <c r="BW192" s="120">
        <f t="shared" si="128"/>
        <v>45304.375</v>
      </c>
      <c r="BX192" s="121"/>
      <c r="BY192" s="121"/>
      <c r="BZ192" s="136">
        <f t="shared" si="129"/>
        <v>43.5</v>
      </c>
      <c r="CA192" s="136">
        <f t="shared" si="130"/>
        <v>3.9166666666860692</v>
      </c>
      <c r="CB192" s="136">
        <f t="shared" si="131"/>
        <v>41.000000000058208</v>
      </c>
      <c r="CC192" s="136">
        <f>(BR192-BP192)*24</f>
        <v>29.25</v>
      </c>
      <c r="CD192" s="135">
        <f t="shared" si="132"/>
        <v>6</v>
      </c>
      <c r="CE192" s="135">
        <f t="shared" si="133"/>
        <v>9.9999999999417923</v>
      </c>
      <c r="CF192" s="134">
        <f t="shared" si="134"/>
        <v>5.5694444444452529</v>
      </c>
      <c r="CG192" s="134">
        <f t="shared" si="135"/>
        <v>21.6875</v>
      </c>
      <c r="CH192" s="133">
        <f t="shared" si="136"/>
        <v>0.25680435478710101</v>
      </c>
      <c r="CI192" s="121"/>
      <c r="CJ192" s="121"/>
    </row>
    <row r="193" spans="1:88" s="121" customFormat="1">
      <c r="A193" s="132">
        <f t="shared" si="123"/>
        <v>45287.392361111109</v>
      </c>
      <c r="B193" s="116" t="s">
        <v>228</v>
      </c>
      <c r="C193" s="116" t="s">
        <v>229</v>
      </c>
      <c r="D193" s="116" t="s">
        <v>197</v>
      </c>
      <c r="E193" s="100" t="s">
        <v>3221</v>
      </c>
      <c r="F193" s="519" t="s">
        <v>3378</v>
      </c>
      <c r="G193" s="473">
        <v>45286.5</v>
      </c>
      <c r="H193" s="473">
        <v>45286.493055555555</v>
      </c>
      <c r="I193" s="116" t="s">
        <v>490</v>
      </c>
      <c r="J193" s="116" t="s">
        <v>3948</v>
      </c>
      <c r="K193" s="519" t="s">
        <v>3935</v>
      </c>
      <c r="L193" s="519" t="s">
        <v>3977</v>
      </c>
      <c r="M193" s="1043"/>
      <c r="N193" s="116" t="s">
        <v>406</v>
      </c>
      <c r="O193" s="116" t="s">
        <v>407</v>
      </c>
      <c r="P193" s="116" t="s">
        <v>846</v>
      </c>
      <c r="Q193" s="131">
        <f>3107*2.4</f>
        <v>7456.7999999999993</v>
      </c>
      <c r="R193" s="131">
        <f>7500+100</f>
        <v>7600</v>
      </c>
      <c r="S193" s="131">
        <v>7467.2060000000001</v>
      </c>
      <c r="T193" s="399"/>
      <c r="U193" s="664">
        <f>S193*0.45</f>
        <v>3360.2427000000002</v>
      </c>
      <c r="V193" s="664">
        <f>S193*0.55</f>
        <v>4106.9633000000003</v>
      </c>
      <c r="W193" s="581"/>
      <c r="X193" s="581"/>
      <c r="Y193" s="581"/>
      <c r="Z193" s="115"/>
      <c r="AA193" s="581"/>
      <c r="AB193" s="581"/>
      <c r="AC193" s="581"/>
      <c r="AD193" s="581"/>
      <c r="AE193" s="115"/>
      <c r="BD193" s="127">
        <f t="shared" si="124"/>
        <v>45282.628472222219</v>
      </c>
      <c r="BE193" s="120">
        <f t="shared" si="125"/>
        <v>45304.6875</v>
      </c>
      <c r="BF193" s="137">
        <f t="shared" si="126"/>
        <v>22.059027777781012</v>
      </c>
      <c r="BG193" s="127">
        <v>45282.628472222219</v>
      </c>
      <c r="BH193" s="127">
        <v>45283.402777777781</v>
      </c>
      <c r="BI193" s="127">
        <v>45285.013888888891</v>
      </c>
      <c r="BJ193" s="127">
        <v>45287.392361111109</v>
      </c>
      <c r="BK193" s="127">
        <v>45287.538194444445</v>
      </c>
      <c r="BL193" s="127">
        <v>45287.545138888891</v>
      </c>
      <c r="BM193" s="127">
        <v>45287.559027777781</v>
      </c>
      <c r="BN193" s="127">
        <f>BM193+(41/24)</f>
        <v>45289.267361111117</v>
      </c>
      <c r="BO193" s="127">
        <v>45289.25</v>
      </c>
      <c r="BP193" s="127">
        <v>45289.416666666664</v>
      </c>
      <c r="BQ193" s="127">
        <v>45289.357638888891</v>
      </c>
      <c r="BR193" s="127">
        <v>45290.645833333336</v>
      </c>
      <c r="BS193" s="120">
        <f t="shared" si="137"/>
        <v>45303.979166666664</v>
      </c>
      <c r="BT193" s="120">
        <f t="shared" si="139"/>
        <v>45304.229166666664</v>
      </c>
      <c r="BU193" s="120">
        <f t="shared" si="127"/>
        <v>45304.25</v>
      </c>
      <c r="BV193" s="120">
        <f t="shared" si="127"/>
        <v>45304.270833333336</v>
      </c>
      <c r="BW193" s="120">
        <f t="shared" si="128"/>
        <v>45304.6875</v>
      </c>
      <c r="BZ193" s="136">
        <f t="shared" si="129"/>
        <v>38.666666666627862</v>
      </c>
      <c r="CA193" s="136">
        <f t="shared" si="130"/>
        <v>3.5000000000582077</v>
      </c>
      <c r="CB193" s="136">
        <f t="shared" si="131"/>
        <v>41.000000000058208</v>
      </c>
      <c r="CC193" s="136">
        <f>(BR193-BP193)*24</f>
        <v>29.500000000116415</v>
      </c>
      <c r="CD193" s="135">
        <f t="shared" si="132"/>
        <v>6</v>
      </c>
      <c r="CE193" s="135">
        <f t="shared" si="133"/>
        <v>9.9999999999417923</v>
      </c>
      <c r="CF193" s="134">
        <f t="shared" si="134"/>
        <v>5.3611111111167702</v>
      </c>
      <c r="CG193" s="134">
        <f t="shared" si="135"/>
        <v>22.059027777781012</v>
      </c>
      <c r="CH193" s="133">
        <f t="shared" si="136"/>
        <v>0.24303478671515874</v>
      </c>
    </row>
    <row r="194" spans="1:88" s="121" customFormat="1">
      <c r="A194" s="132">
        <f t="shared" si="123"/>
        <v>45283.607638888891</v>
      </c>
      <c r="B194" s="116" t="s">
        <v>228</v>
      </c>
      <c r="C194" s="116" t="s">
        <v>229</v>
      </c>
      <c r="D194" s="116" t="s">
        <v>215</v>
      </c>
      <c r="E194" s="519" t="s">
        <v>3221</v>
      </c>
      <c r="F194" s="116" t="s">
        <v>3378</v>
      </c>
      <c r="G194" s="473">
        <v>45286.5</v>
      </c>
      <c r="H194" s="473">
        <v>45286.493055555555</v>
      </c>
      <c r="I194" s="116" t="s">
        <v>490</v>
      </c>
      <c r="J194" s="116" t="s">
        <v>3948</v>
      </c>
      <c r="K194" s="519" t="s">
        <v>3935</v>
      </c>
      <c r="L194" s="519" t="s">
        <v>3927</v>
      </c>
      <c r="M194" s="1039"/>
      <c r="N194" s="116" t="s">
        <v>774</v>
      </c>
      <c r="O194" s="116" t="s">
        <v>391</v>
      </c>
      <c r="P194" s="519" t="s">
        <v>3918</v>
      </c>
      <c r="Q194" s="131">
        <f>3156*2.4</f>
        <v>7574.4</v>
      </c>
      <c r="R194" s="131">
        <f>7600+100</f>
        <v>7700</v>
      </c>
      <c r="S194" s="131">
        <v>970.85500000000002</v>
      </c>
      <c r="T194" s="667"/>
      <c r="U194" s="664">
        <f>S194*0.7</f>
        <v>679.59849999999994</v>
      </c>
      <c r="V194" s="664">
        <f>S194*0.3</f>
        <v>291.25650000000002</v>
      </c>
      <c r="W194" s="581"/>
      <c r="X194" s="581"/>
      <c r="Y194" s="581"/>
      <c r="Z194" s="581"/>
      <c r="AA194" s="581"/>
      <c r="AB194" s="400"/>
      <c r="AC194" s="581"/>
      <c r="AD194" s="581"/>
      <c r="AE194" s="581"/>
      <c r="AF194" s="581"/>
      <c r="AG194" s="581"/>
      <c r="AH194" s="581"/>
      <c r="AI194" s="575"/>
      <c r="AJ194" s="115"/>
      <c r="AK194" s="115"/>
      <c r="AL194" s="115"/>
      <c r="AM194" s="115"/>
      <c r="AN194" s="115"/>
      <c r="AO194" s="115"/>
      <c r="AP194" s="115"/>
      <c r="AQ194" s="115"/>
      <c r="AR194" s="115"/>
      <c r="AS194" s="115"/>
      <c r="BD194" s="127">
        <f t="shared" si="124"/>
        <v>45277.708333333336</v>
      </c>
      <c r="BE194" s="120">
        <f t="shared" si="125"/>
        <v>45305</v>
      </c>
      <c r="BF194" s="137">
        <f t="shared" si="126"/>
        <v>27.291666666664241</v>
      </c>
      <c r="BG194" s="127">
        <v>45277.708333333336</v>
      </c>
      <c r="BH194" s="127">
        <v>45279.850694444445</v>
      </c>
      <c r="BI194" s="127">
        <v>45281.9375</v>
      </c>
      <c r="BJ194" s="127">
        <v>45283.607638888891</v>
      </c>
      <c r="BK194" s="127">
        <v>45283.75</v>
      </c>
      <c r="BL194" s="127">
        <v>45283.753472222219</v>
      </c>
      <c r="BM194" s="127">
        <v>45283.753472222219</v>
      </c>
      <c r="BN194" s="127">
        <f>BM194+(41/24)</f>
        <v>45285.461805555555</v>
      </c>
      <c r="BO194" s="127">
        <v>45285.583333333336</v>
      </c>
      <c r="BP194" s="127">
        <v>45285.75</v>
      </c>
      <c r="BQ194" s="127">
        <v>45285.611111111109</v>
      </c>
      <c r="BR194" s="127">
        <v>45291.375</v>
      </c>
      <c r="BS194" s="120">
        <f t="shared" si="137"/>
        <v>45304.291666666664</v>
      </c>
      <c r="BT194" s="120">
        <f t="shared" si="139"/>
        <v>45304.541666666664</v>
      </c>
      <c r="BU194" s="120">
        <f t="shared" si="127"/>
        <v>45304.5625</v>
      </c>
      <c r="BV194" s="120">
        <f t="shared" si="127"/>
        <v>45304.583333333336</v>
      </c>
      <c r="BW194" s="120">
        <f t="shared" si="128"/>
        <v>45305</v>
      </c>
      <c r="BX194" s="121" t="s">
        <v>3928</v>
      </c>
      <c r="BZ194" s="136">
        <f t="shared" si="129"/>
        <v>50.083333333313931</v>
      </c>
      <c r="CA194" s="136">
        <f t="shared" si="130"/>
        <v>3.4166666666278616</v>
      </c>
      <c r="CB194" s="136">
        <f t="shared" si="131"/>
        <v>41.000000000058208</v>
      </c>
      <c r="CC194" s="136">
        <f>(BR194-BP194)*24</f>
        <v>135</v>
      </c>
      <c r="CD194" s="135">
        <f t="shared" si="132"/>
        <v>6</v>
      </c>
      <c r="CE194" s="135">
        <f t="shared" si="133"/>
        <v>9.9999999999417923</v>
      </c>
      <c r="CF194" s="134">
        <f t="shared" si="134"/>
        <v>10.229166666664241</v>
      </c>
      <c r="CG194" s="134">
        <f t="shared" si="135"/>
        <v>27.291666666664241</v>
      </c>
      <c r="CH194" s="133">
        <f t="shared" si="136"/>
        <v>0.37480916030528794</v>
      </c>
      <c r="CI194" s="128"/>
      <c r="CJ194" s="115"/>
    </row>
    <row r="195" spans="1:88" s="121" customFormat="1">
      <c r="A195" s="132"/>
      <c r="B195" s="132"/>
      <c r="C195" s="116"/>
      <c r="D195" s="116"/>
      <c r="F195" s="116"/>
      <c r="G195" s="130"/>
      <c r="H195" s="130"/>
      <c r="J195" s="116"/>
      <c r="K195" s="519"/>
      <c r="M195" s="129"/>
      <c r="N195" s="116"/>
      <c r="O195" s="116"/>
      <c r="Q195" s="131"/>
      <c r="R195" s="131"/>
      <c r="S195" s="163"/>
      <c r="T195" s="163"/>
      <c r="U195" s="164"/>
      <c r="V195" s="164"/>
      <c r="W195" s="164"/>
      <c r="X195" s="164"/>
      <c r="Y195" s="164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  <c r="BB195" s="163"/>
      <c r="BC195" s="163"/>
      <c r="BD195" s="127"/>
      <c r="BE195" s="120"/>
      <c r="BF195" s="120"/>
      <c r="BG195" s="127"/>
      <c r="BH195" s="120"/>
      <c r="BI195" s="120"/>
      <c r="BJ195" s="120"/>
      <c r="BK195" s="120"/>
      <c r="BL195" s="127"/>
      <c r="BM195" s="127"/>
      <c r="BN195" s="120"/>
      <c r="BO195" s="120"/>
      <c r="BP195" s="120"/>
      <c r="BQ195" s="124"/>
      <c r="BR195" s="120"/>
      <c r="BS195" s="120"/>
      <c r="BT195" s="120"/>
      <c r="BU195" s="120"/>
      <c r="BV195" s="120"/>
      <c r="BW195" s="120"/>
      <c r="BX195" s="116"/>
      <c r="BY195" s="116"/>
      <c r="BZ195" s="120"/>
      <c r="CA195" s="120"/>
      <c r="CB195" s="120"/>
      <c r="CC195" s="120"/>
      <c r="CD195" s="120"/>
      <c r="CE195" s="120"/>
      <c r="CF195" s="120"/>
      <c r="CG195" s="120"/>
    </row>
    <row r="196" spans="1:88" s="128" customFormat="1">
      <c r="A196" s="132">
        <f>BJ196</f>
        <v>45271.48333333333</v>
      </c>
      <c r="B196" s="116" t="s">
        <v>188</v>
      </c>
      <c r="C196" s="116" t="s">
        <v>172</v>
      </c>
      <c r="D196" s="116" t="s">
        <v>197</v>
      </c>
      <c r="E196" s="1079" t="s">
        <v>3244</v>
      </c>
      <c r="F196" s="116" t="s">
        <v>3378</v>
      </c>
      <c r="G196" s="130"/>
      <c r="H196" s="130"/>
      <c r="I196" s="116" t="s">
        <v>3978</v>
      </c>
      <c r="J196" s="519" t="s">
        <v>3962</v>
      </c>
      <c r="K196" s="578" t="s">
        <v>3979</v>
      </c>
      <c r="L196" s="519" t="s">
        <v>3980</v>
      </c>
      <c r="M196" s="1039"/>
      <c r="N196" s="116" t="s">
        <v>473</v>
      </c>
      <c r="O196" s="116" t="s">
        <v>474</v>
      </c>
      <c r="P196" s="116" t="s">
        <v>172</v>
      </c>
      <c r="Q196" s="131">
        <f>3136*2.4</f>
        <v>7526.4</v>
      </c>
      <c r="R196" s="131">
        <f>7550+100</f>
        <v>7650</v>
      </c>
      <c r="S196" s="131">
        <v>7523.4709999999995</v>
      </c>
      <c r="T196" s="399"/>
      <c r="U196" s="581"/>
      <c r="V196" s="581"/>
      <c r="W196" s="581"/>
      <c r="X196" s="581"/>
      <c r="Y196" s="581"/>
      <c r="Z196" s="581"/>
      <c r="AA196" s="581"/>
      <c r="AB196" s="581"/>
      <c r="AC196" s="581"/>
      <c r="AD196" s="581"/>
      <c r="AE196" s="581"/>
      <c r="AF196" s="581"/>
      <c r="AG196" s="581"/>
      <c r="AH196" s="58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/>
      <c r="AX196" s="121"/>
      <c r="AY196" s="819">
        <f>S196</f>
        <v>7523.4709999999995</v>
      </c>
      <c r="AZ196" s="121"/>
      <c r="BA196" s="121"/>
      <c r="BB196" s="121"/>
      <c r="BC196" s="121"/>
      <c r="BD196" s="127">
        <f>BG196</f>
        <v>45265.375</v>
      </c>
      <c r="BE196" s="120">
        <f>BW196</f>
        <v>45300.375</v>
      </c>
      <c r="BF196" s="137">
        <f>BE196-BD196</f>
        <v>35</v>
      </c>
      <c r="BG196" s="127">
        <v>45265.375</v>
      </c>
      <c r="BH196" s="127">
        <v>45268.395833333336</v>
      </c>
      <c r="BI196" s="127">
        <v>45270.475694444445</v>
      </c>
      <c r="BJ196" s="127">
        <v>45271.48333333333</v>
      </c>
      <c r="BK196" s="127">
        <v>45272.493055555555</v>
      </c>
      <c r="BL196" s="127">
        <v>45272.510416666664</v>
      </c>
      <c r="BM196" s="127">
        <v>45272.510416666664</v>
      </c>
      <c r="BN196" s="127">
        <f>BM196+(41/24)</f>
        <v>45274.21875</v>
      </c>
      <c r="BO196" s="120">
        <v>45298.458333333336</v>
      </c>
      <c r="BP196" s="120">
        <v>45298.625</v>
      </c>
      <c r="BQ196" s="124" t="s">
        <v>64</v>
      </c>
      <c r="BR196" s="120">
        <f>BP196+(24/24)</f>
        <v>45299.625</v>
      </c>
      <c r="BS196" s="120">
        <f>BR196+(1/24)</f>
        <v>45299.666666666664</v>
      </c>
      <c r="BT196" s="120">
        <f>BS196+(6/24)</f>
        <v>45299.916666666664</v>
      </c>
      <c r="BU196" s="120">
        <f>BT196+(0.5/24)</f>
        <v>45299.9375</v>
      </c>
      <c r="BV196" s="120">
        <f>BU196+(0.5/24)</f>
        <v>45299.958333333336</v>
      </c>
      <c r="BW196" s="120">
        <f>BV196+(10/24)</f>
        <v>45300.375</v>
      </c>
      <c r="BX196" s="121" t="s">
        <v>3981</v>
      </c>
      <c r="BY196" s="121"/>
      <c r="BZ196" s="136">
        <f>(BI196-BH196)*24</f>
        <v>49.916666666627862</v>
      </c>
      <c r="CA196" s="136">
        <f>(BK196-BJ196)*24</f>
        <v>24.233333333395422</v>
      </c>
      <c r="CB196" s="136">
        <f>(BN196-BM196)*24</f>
        <v>41.000000000058208</v>
      </c>
      <c r="CC196" s="136">
        <f>(BR196-BP196)*24</f>
        <v>24</v>
      </c>
      <c r="CD196" s="135">
        <f>(BT196-BS196)*24</f>
        <v>6</v>
      </c>
      <c r="CE196" s="135">
        <f>(BW196-BV196)*24</f>
        <v>9.9999999999417923</v>
      </c>
      <c r="CF196" s="134">
        <f>SUM(BZ196:CE196)/24</f>
        <v>6.4645833333343035</v>
      </c>
      <c r="CG196" s="134">
        <f>BF196</f>
        <v>35</v>
      </c>
      <c r="CH196" s="133">
        <f>CF196/CG196</f>
        <v>0.18470238095240868</v>
      </c>
      <c r="CI196" s="121"/>
      <c r="CJ196" s="121"/>
    </row>
    <row r="197" spans="1:88" s="151" customFormat="1" ht="18">
      <c r="A197" s="1476" t="s">
        <v>3982</v>
      </c>
      <c r="B197" s="1476"/>
      <c r="C197" s="1476"/>
      <c r="D197" s="1476"/>
      <c r="E197" s="100"/>
      <c r="F197" s="174"/>
      <c r="G197" s="130"/>
      <c r="H197" s="130"/>
      <c r="I197" s="131"/>
      <c r="J197" s="174"/>
      <c r="M197" s="116"/>
      <c r="Q197" s="156"/>
      <c r="R197" s="156"/>
      <c r="S197" s="156"/>
      <c r="T197" s="156"/>
      <c r="U197" s="157"/>
      <c r="V197" s="156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31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52"/>
      <c r="BE197" s="120"/>
      <c r="BF197" s="120"/>
      <c r="BG197" s="155"/>
      <c r="BH197" s="180"/>
      <c r="BI197" s="127"/>
      <c r="BJ197" s="152"/>
      <c r="BK197" s="152"/>
      <c r="BL197" s="180"/>
      <c r="BM197" s="127"/>
      <c r="BN197" s="152"/>
      <c r="BO197" s="152"/>
      <c r="BP197" s="152"/>
      <c r="BQ197" s="127"/>
      <c r="BR197" s="152"/>
      <c r="BS197" s="120"/>
      <c r="BT197" s="152"/>
      <c r="BU197" s="152"/>
      <c r="BZ197" s="120"/>
      <c r="CA197" s="120"/>
      <c r="CB197" s="120"/>
      <c r="CC197" s="120"/>
      <c r="CD197" s="120"/>
      <c r="CE197" s="120"/>
      <c r="CF197" s="120"/>
      <c r="CG197" s="120"/>
    </row>
    <row r="198" spans="1:88" s="121" customFormat="1" ht="13.95" customHeight="1">
      <c r="A198" s="168" t="s">
        <v>4592</v>
      </c>
      <c r="B198" s="116"/>
      <c r="C198" s="116"/>
      <c r="D198" s="116"/>
      <c r="E198" s="519"/>
      <c r="F198" s="116"/>
      <c r="G198" s="127"/>
      <c r="H198" s="127"/>
      <c r="I198" s="116"/>
      <c r="J198" s="116"/>
      <c r="K198" s="116"/>
      <c r="L198" s="116"/>
      <c r="M198" s="116"/>
      <c r="N198" s="116"/>
      <c r="O198" s="116"/>
      <c r="P198" s="116"/>
      <c r="Q198" s="131"/>
      <c r="R198" s="131"/>
      <c r="S198" s="131"/>
      <c r="T198" s="122"/>
      <c r="U198" s="131"/>
      <c r="BD198" s="127"/>
      <c r="BE198" s="120"/>
      <c r="BF198" s="120"/>
      <c r="BG198" s="127"/>
      <c r="BH198" s="127"/>
      <c r="BI198" s="127"/>
      <c r="BJ198" s="127"/>
      <c r="BK198" s="127"/>
      <c r="BL198" s="127"/>
      <c r="BM198" s="127"/>
      <c r="BN198" s="127"/>
      <c r="BO198" s="140"/>
      <c r="BP198" s="120"/>
      <c r="BQ198" s="124"/>
      <c r="BR198" s="127"/>
      <c r="BS198" s="127"/>
      <c r="BT198" s="127"/>
      <c r="BU198" s="127"/>
      <c r="BV198" s="120"/>
      <c r="BW198" s="120"/>
      <c r="BZ198" s="136"/>
      <c r="CA198" s="136"/>
      <c r="CB198" s="136"/>
      <c r="CC198" s="136"/>
      <c r="CD198" s="135"/>
      <c r="CE198" s="128"/>
      <c r="CF198" s="128"/>
      <c r="CG198" s="128"/>
      <c r="CH198" s="128"/>
      <c r="CI198" s="128"/>
    </row>
    <row r="199" spans="1:88" s="121" customFormat="1">
      <c r="A199" s="132">
        <f>BJ199</f>
        <v>45289.6875</v>
      </c>
      <c r="B199" s="116" t="s">
        <v>228</v>
      </c>
      <c r="C199" s="116" t="s">
        <v>229</v>
      </c>
      <c r="D199" s="116" t="s">
        <v>197</v>
      </c>
      <c r="E199" s="100" t="s">
        <v>1052</v>
      </c>
      <c r="F199" s="519" t="s">
        <v>3378</v>
      </c>
      <c r="G199" s="472">
        <v>45287.333333333336</v>
      </c>
      <c r="H199" s="472">
        <v>45287.333333333336</v>
      </c>
      <c r="I199" s="116" t="s">
        <v>3983</v>
      </c>
      <c r="J199" s="116" t="s">
        <v>3948</v>
      </c>
      <c r="K199" s="519" t="s">
        <v>3984</v>
      </c>
      <c r="L199" s="519" t="s">
        <v>3985</v>
      </c>
      <c r="M199" s="1043"/>
      <c r="N199" s="116" t="s">
        <v>2388</v>
      </c>
      <c r="O199" s="116" t="s">
        <v>289</v>
      </c>
      <c r="P199" s="116" t="s">
        <v>835</v>
      </c>
      <c r="Q199" s="131">
        <f>3107*2.4</f>
        <v>7456.7999999999993</v>
      </c>
      <c r="R199" s="131">
        <f>7500+100</f>
        <v>7600</v>
      </c>
      <c r="S199" s="131">
        <v>7504.3130000000001</v>
      </c>
      <c r="T199" s="131"/>
      <c r="U199" s="581"/>
      <c r="V199" s="664">
        <f>S199</f>
        <v>7504.3130000000001</v>
      </c>
      <c r="W199" s="1127"/>
      <c r="X199" s="1127"/>
      <c r="Z199" s="369"/>
      <c r="AA199" s="581"/>
      <c r="AB199" s="581"/>
      <c r="AC199" s="581"/>
      <c r="AD199" s="581"/>
      <c r="AE199" s="581"/>
      <c r="AF199" s="581"/>
      <c r="AG199" s="581"/>
      <c r="AH199" s="401"/>
      <c r="AI199" s="401"/>
      <c r="AJ199" s="401"/>
      <c r="AK199" s="401"/>
      <c r="AL199" s="401"/>
      <c r="AM199" s="401"/>
      <c r="AN199" s="401"/>
      <c r="AO199" s="401"/>
      <c r="AP199" s="401"/>
      <c r="AQ199" s="401"/>
      <c r="AR199" s="401"/>
      <c r="AS199" s="401"/>
      <c r="AT199" s="401"/>
      <c r="AU199" s="401"/>
      <c r="AV199" s="401"/>
      <c r="AW199" s="401"/>
      <c r="AX199" s="401"/>
      <c r="AY199" s="401"/>
      <c r="AZ199" s="401"/>
      <c r="BA199" s="401"/>
      <c r="BB199" s="401"/>
      <c r="BC199" s="401"/>
      <c r="BD199" s="127">
        <f t="shared" ref="BD199:BD204" si="140">BG199</f>
        <v>45285.75</v>
      </c>
      <c r="BE199" s="120">
        <f t="shared" ref="BE199:BE204" si="141">BW199</f>
        <v>45295.833333333336</v>
      </c>
      <c r="BF199" s="137">
        <f t="shared" ref="BF199:BF204" si="142">BE199-BD199</f>
        <v>10.083333333335759</v>
      </c>
      <c r="BG199" s="127">
        <v>45285.75</v>
      </c>
      <c r="BH199" s="127">
        <v>45286.864583333336</v>
      </c>
      <c r="BI199" s="127">
        <v>45288.899305555555</v>
      </c>
      <c r="BJ199" s="127">
        <v>45289.6875</v>
      </c>
      <c r="BK199" s="127">
        <v>45289.868055555555</v>
      </c>
      <c r="BL199" s="127">
        <v>45289.871527777781</v>
      </c>
      <c r="BM199" s="127">
        <v>45290.28125</v>
      </c>
      <c r="BN199" s="127">
        <f t="shared" ref="BN199:BN204" si="143">BM199+(41/24)</f>
        <v>45291.989583333336</v>
      </c>
      <c r="BO199" s="127">
        <v>45292.25</v>
      </c>
      <c r="BP199" s="127">
        <v>45292.416666666664</v>
      </c>
      <c r="BQ199" s="127">
        <v>45292.291666666664</v>
      </c>
      <c r="BR199" s="127">
        <v>45292.892361111109</v>
      </c>
      <c r="BS199" s="169">
        <v>45294.791666666664</v>
      </c>
      <c r="BT199" s="120">
        <f>BS199+((6+8)/24)</f>
        <v>45295.375</v>
      </c>
      <c r="BU199" s="120">
        <f>BT199+(0.5/24)</f>
        <v>45295.395833333336</v>
      </c>
      <c r="BV199" s="120">
        <f>BU199+(0.5/24)</f>
        <v>45295.416666666672</v>
      </c>
      <c r="BW199" s="120">
        <f>BV199+(10/24)</f>
        <v>45295.833333333336</v>
      </c>
      <c r="BZ199" s="136">
        <f t="shared" ref="BZ199:BZ204" si="144">(BI199-BH199)*24</f>
        <v>48.833333333255723</v>
      </c>
      <c r="CA199" s="136">
        <f t="shared" ref="CA199:CA204" si="145">(BK199-BJ199)*24</f>
        <v>4.3333333333139308</v>
      </c>
      <c r="CB199" s="136">
        <f t="shared" ref="CB199:CB204" si="146">(BN199-BM199)*24</f>
        <v>41.000000000058208</v>
      </c>
      <c r="CC199" s="136">
        <f t="shared" ref="CC199:CC204" si="147">(BR199-BP199)*24</f>
        <v>11.416666666686069</v>
      </c>
      <c r="CD199" s="135">
        <f t="shared" ref="CD199:CD204" si="148">(BT199-BS199)*24</f>
        <v>14.000000000058208</v>
      </c>
      <c r="CE199" s="135">
        <f t="shared" ref="CE199:CE204" si="149">(BW199-BV199)*24</f>
        <v>9.9999999999417923</v>
      </c>
      <c r="CF199" s="134">
        <f t="shared" ref="CF199:CF204" si="150">SUM(BZ199:CE199)/24</f>
        <v>5.3993055555547471</v>
      </c>
      <c r="CG199" s="134">
        <f t="shared" ref="CG199:CG204" si="151">BF199</f>
        <v>10.083333333335759</v>
      </c>
      <c r="CH199" s="133">
        <f t="shared" ref="CH199:CH204" si="152">CF199/CG199</f>
        <v>0.53546831955901963</v>
      </c>
    </row>
    <row r="200" spans="1:88" s="121" customFormat="1">
      <c r="A200" s="132">
        <f>BJ200</f>
        <v>45289.046527777777</v>
      </c>
      <c r="B200" s="116" t="s">
        <v>228</v>
      </c>
      <c r="C200" s="116" t="s">
        <v>229</v>
      </c>
      <c r="D200" s="116" t="s">
        <v>197</v>
      </c>
      <c r="E200" s="100" t="s">
        <v>1052</v>
      </c>
      <c r="F200" s="519" t="s">
        <v>3378</v>
      </c>
      <c r="G200" s="472">
        <v>45287.333333333336</v>
      </c>
      <c r="H200" s="472">
        <v>45287.333333333336</v>
      </c>
      <c r="I200" s="116" t="s">
        <v>3986</v>
      </c>
      <c r="J200" s="519" t="s">
        <v>3987</v>
      </c>
      <c r="K200" s="519" t="s">
        <v>3988</v>
      </c>
      <c r="L200" s="519" t="s">
        <v>3989</v>
      </c>
      <c r="M200" s="1043"/>
      <c r="N200" s="116" t="s">
        <v>1848</v>
      </c>
      <c r="O200" s="116" t="s">
        <v>3786</v>
      </c>
      <c r="P200" s="116" t="s">
        <v>235</v>
      </c>
      <c r="Q200" s="131">
        <f>3084*2.4</f>
        <v>7401.5999999999995</v>
      </c>
      <c r="R200" s="131">
        <f>7450+100</f>
        <v>7550</v>
      </c>
      <c r="S200" s="131">
        <v>7530.77</v>
      </c>
      <c r="T200" s="131"/>
      <c r="U200" s="581"/>
      <c r="V200" s="401"/>
      <c r="W200" s="581"/>
      <c r="X200" s="664">
        <f>S200</f>
        <v>7530.77</v>
      </c>
      <c r="Y200" s="116"/>
      <c r="Z200" s="369"/>
      <c r="AA200" s="581"/>
      <c r="AB200" s="581"/>
      <c r="AC200" s="581"/>
      <c r="AD200" s="581"/>
      <c r="AE200" s="115"/>
      <c r="AF200" s="581"/>
      <c r="AG200" s="581"/>
      <c r="AH200" s="581"/>
      <c r="AI200" s="581"/>
      <c r="AJ200" s="581"/>
      <c r="AK200" s="581"/>
      <c r="AL200" s="272"/>
      <c r="AO200" s="128"/>
      <c r="BD200" s="127">
        <f t="shared" si="140"/>
        <v>45282.729166666664</v>
      </c>
      <c r="BE200" s="120">
        <f t="shared" si="141"/>
        <v>45295.5</v>
      </c>
      <c r="BF200" s="137">
        <f t="shared" si="142"/>
        <v>12.770833333335759</v>
      </c>
      <c r="BG200" s="127">
        <v>45282.729166666664</v>
      </c>
      <c r="BH200" s="127">
        <v>45283.826388888891</v>
      </c>
      <c r="BI200" s="127">
        <v>45285.96875</v>
      </c>
      <c r="BJ200" s="127">
        <v>45289.046527777777</v>
      </c>
      <c r="BK200" s="127">
        <v>45289.177083333336</v>
      </c>
      <c r="BL200" s="127">
        <v>45289.190972222219</v>
      </c>
      <c r="BM200" s="127">
        <v>45289.190972222219</v>
      </c>
      <c r="BN200" s="127">
        <f t="shared" si="143"/>
        <v>45290.899305555555</v>
      </c>
      <c r="BO200" s="127">
        <v>45291.25</v>
      </c>
      <c r="BP200" s="127">
        <v>45291.416666608799</v>
      </c>
      <c r="BQ200" s="127">
        <v>45291.416666608799</v>
      </c>
      <c r="BR200" s="120">
        <f>BP200+((24+24+24)/24)</f>
        <v>45294.416666608799</v>
      </c>
      <c r="BS200" s="169">
        <v>45294.791666666664</v>
      </c>
      <c r="BT200" s="120">
        <f>BS200+(6/24)</f>
        <v>45295.041666666664</v>
      </c>
      <c r="BU200" s="120">
        <f t="shared" ref="BU200:BV200" si="153">BT200+(0.5/24)</f>
        <v>45295.0625</v>
      </c>
      <c r="BV200" s="120">
        <f t="shared" si="153"/>
        <v>45295.083333333336</v>
      </c>
      <c r="BW200" s="120">
        <f>BV200+(10/24)</f>
        <v>45295.5</v>
      </c>
      <c r="BZ200" s="136">
        <f t="shared" si="144"/>
        <v>51.416666666627862</v>
      </c>
      <c r="CA200" s="136">
        <f t="shared" si="145"/>
        <v>3.1333333334187046</v>
      </c>
      <c r="CB200" s="136">
        <f t="shared" si="146"/>
        <v>41.000000000058208</v>
      </c>
      <c r="CC200" s="136">
        <f t="shared" si="147"/>
        <v>72</v>
      </c>
      <c r="CD200" s="135">
        <f t="shared" si="148"/>
        <v>6</v>
      </c>
      <c r="CE200" s="135">
        <f t="shared" si="149"/>
        <v>9.9999999999417923</v>
      </c>
      <c r="CF200" s="134">
        <f t="shared" si="150"/>
        <v>7.6479166666686069</v>
      </c>
      <c r="CG200" s="134">
        <f t="shared" si="151"/>
        <v>12.770833333335759</v>
      </c>
      <c r="CH200" s="133">
        <f t="shared" si="152"/>
        <v>0.59885807504082122</v>
      </c>
      <c r="CI200" s="115"/>
    </row>
    <row r="201" spans="1:88" s="121" customFormat="1">
      <c r="A201" s="132">
        <f>BJ201</f>
        <v>45290.09375</v>
      </c>
      <c r="B201" s="116" t="s">
        <v>228</v>
      </c>
      <c r="C201" s="116" t="s">
        <v>229</v>
      </c>
      <c r="D201" s="116" t="s">
        <v>215</v>
      </c>
      <c r="E201" s="100" t="s">
        <v>1052</v>
      </c>
      <c r="F201" s="519" t="s">
        <v>3378</v>
      </c>
      <c r="G201" s="472">
        <v>45287.333333333336</v>
      </c>
      <c r="H201" s="472">
        <v>45287.333333333336</v>
      </c>
      <c r="I201" s="116" t="s">
        <v>3986</v>
      </c>
      <c r="J201" s="116" t="s">
        <v>3948</v>
      </c>
      <c r="K201" s="519" t="s">
        <v>3984</v>
      </c>
      <c r="L201" s="519" t="s">
        <v>3990</v>
      </c>
      <c r="M201" s="1043"/>
      <c r="N201" s="116" t="s">
        <v>271</v>
      </c>
      <c r="O201" s="116" t="s">
        <v>272</v>
      </c>
      <c r="P201" s="116" t="s">
        <v>235</v>
      </c>
      <c r="Q201" s="131">
        <f>3852*2.4</f>
        <v>9244.7999999999993</v>
      </c>
      <c r="R201" s="131">
        <f>9250+100</f>
        <v>9350</v>
      </c>
      <c r="S201" s="131">
        <v>8050.0389999999998</v>
      </c>
      <c r="T201" s="131"/>
      <c r="U201" s="581"/>
      <c r="V201" s="581"/>
      <c r="W201" s="581"/>
      <c r="X201" s="664">
        <f>S201</f>
        <v>8050.0389999999998</v>
      </c>
      <c r="Z201" s="581"/>
      <c r="AA201" s="581"/>
      <c r="AB201" s="581"/>
      <c r="AC201" s="115"/>
      <c r="AD201" s="401"/>
      <c r="AE201" s="401"/>
      <c r="AF201" s="115"/>
      <c r="AG201" s="115"/>
      <c r="AH201" s="115"/>
      <c r="BD201" s="127">
        <f t="shared" si="140"/>
        <v>45286.722222222219</v>
      </c>
      <c r="BE201" s="120">
        <f t="shared" si="141"/>
        <v>45295.833333333336</v>
      </c>
      <c r="BF201" s="137">
        <f t="shared" si="142"/>
        <v>9.1111111111167702</v>
      </c>
      <c r="BG201" s="127">
        <v>45286.722222222219</v>
      </c>
      <c r="BH201" s="127">
        <v>45287.774305555555</v>
      </c>
      <c r="BI201" s="127">
        <v>45289.739583333336</v>
      </c>
      <c r="BJ201" s="127">
        <v>45290.09375</v>
      </c>
      <c r="BK201" s="127">
        <v>45290.254861111112</v>
      </c>
      <c r="BL201" s="127">
        <v>45290.260416666664</v>
      </c>
      <c r="BM201" s="127">
        <v>45290.260416666664</v>
      </c>
      <c r="BN201" s="127">
        <f t="shared" si="143"/>
        <v>45291.96875</v>
      </c>
      <c r="BO201" s="127">
        <v>45292.25</v>
      </c>
      <c r="BP201" s="127">
        <v>45292.416666666664</v>
      </c>
      <c r="BQ201" s="127">
        <v>45292.3125</v>
      </c>
      <c r="BR201" s="127">
        <v>45292.868055555555</v>
      </c>
      <c r="BS201" s="120">
        <f>BV200+(1/24)</f>
        <v>45295.125</v>
      </c>
      <c r="BT201" s="120">
        <f>BS201+(6/24)</f>
        <v>45295.375</v>
      </c>
      <c r="BU201" s="120">
        <f>BT201+(0.5/24)</f>
        <v>45295.395833333336</v>
      </c>
      <c r="BV201" s="120">
        <f>BU201+(0.5/24)</f>
        <v>45295.416666666672</v>
      </c>
      <c r="BW201" s="120">
        <f>BV201+(10/24)</f>
        <v>45295.833333333336</v>
      </c>
      <c r="BZ201" s="136">
        <f t="shared" si="144"/>
        <v>47.166666666744277</v>
      </c>
      <c r="CA201" s="136">
        <f t="shared" si="145"/>
        <v>3.8666666666977108</v>
      </c>
      <c r="CB201" s="136">
        <f t="shared" si="146"/>
        <v>41.000000000058208</v>
      </c>
      <c r="CC201" s="136">
        <f t="shared" si="147"/>
        <v>10.833333333372138</v>
      </c>
      <c r="CD201" s="135">
        <f t="shared" si="148"/>
        <v>6</v>
      </c>
      <c r="CE201" s="135">
        <f t="shared" si="149"/>
        <v>9.9999999999417923</v>
      </c>
      <c r="CF201" s="134">
        <f t="shared" si="150"/>
        <v>4.9527777777839219</v>
      </c>
      <c r="CG201" s="134">
        <f t="shared" si="151"/>
        <v>9.1111111111167702</v>
      </c>
      <c r="CH201" s="133">
        <f t="shared" si="152"/>
        <v>0.54359756097594647</v>
      </c>
    </row>
    <row r="202" spans="1:88" s="121" customFormat="1">
      <c r="A202" s="132">
        <f>BJ202</f>
        <v>45289.913194444445</v>
      </c>
      <c r="B202" s="116" t="s">
        <v>228</v>
      </c>
      <c r="C202" s="116" t="s">
        <v>229</v>
      </c>
      <c r="D202" s="116" t="s">
        <v>197</v>
      </c>
      <c r="E202" s="100" t="s">
        <v>1052</v>
      </c>
      <c r="F202" s="519" t="s">
        <v>3378</v>
      </c>
      <c r="G202" s="472">
        <v>45287.333333333336</v>
      </c>
      <c r="H202" s="472">
        <v>45287.333333333336</v>
      </c>
      <c r="I202" s="116" t="s">
        <v>3983</v>
      </c>
      <c r="J202" s="116" t="s">
        <v>3948</v>
      </c>
      <c r="K202" s="519" t="s">
        <v>3984</v>
      </c>
      <c r="L202" s="519" t="s">
        <v>3991</v>
      </c>
      <c r="M202" s="1043"/>
      <c r="N202" s="116" t="s">
        <v>334</v>
      </c>
      <c r="O202" s="116" t="s">
        <v>335</v>
      </c>
      <c r="P202" s="116" t="s">
        <v>835</v>
      </c>
      <c r="Q202" s="131">
        <f>3242 *2.4</f>
        <v>7780.7999999999993</v>
      </c>
      <c r="R202" s="131">
        <f>7800+100</f>
        <v>7900</v>
      </c>
      <c r="S202" s="131">
        <v>7580.3990000000003</v>
      </c>
      <c r="T202" s="131"/>
      <c r="U202" s="581"/>
      <c r="V202" s="664">
        <f>S202</f>
        <v>7580.3990000000003</v>
      </c>
      <c r="W202" s="1127"/>
      <c r="X202" s="1127"/>
      <c r="Z202" s="581"/>
      <c r="AA202" s="581"/>
      <c r="AB202" s="581"/>
      <c r="AC202" s="581"/>
      <c r="AD202" s="581"/>
      <c r="AE202" s="115"/>
      <c r="AF202" s="739"/>
      <c r="AG202" s="739"/>
      <c r="AH202" s="739"/>
      <c r="AI202" s="667"/>
      <c r="AJ202" s="667"/>
      <c r="AK202" s="667"/>
      <c r="AL202" s="667"/>
      <c r="AM202" s="667"/>
      <c r="AN202" s="667"/>
      <c r="AO202" s="667"/>
      <c r="AP202" s="667"/>
      <c r="AQ202" s="667"/>
      <c r="AR202" s="667"/>
      <c r="AS202" s="667"/>
      <c r="AT202" s="667"/>
      <c r="AU202" s="667"/>
      <c r="AV202" s="667"/>
      <c r="AW202" s="667"/>
      <c r="AX202" s="667"/>
      <c r="AY202" s="667"/>
      <c r="AZ202" s="667"/>
      <c r="BA202" s="667"/>
      <c r="BB202" s="667"/>
      <c r="BC202" s="667"/>
      <c r="BD202" s="127">
        <f t="shared" si="140"/>
        <v>45283.541666666664</v>
      </c>
      <c r="BE202" s="120">
        <f t="shared" si="141"/>
        <v>45296.500000000007</v>
      </c>
      <c r="BF202" s="137">
        <f t="shared" si="142"/>
        <v>12.958333333343035</v>
      </c>
      <c r="BG202" s="127">
        <v>45283.541666666664</v>
      </c>
      <c r="BH202" s="127">
        <v>45286.534722222219</v>
      </c>
      <c r="BI202" s="127">
        <v>45289.083333333336</v>
      </c>
      <c r="BJ202" s="127">
        <v>45289.913194444445</v>
      </c>
      <c r="BK202" s="127">
        <v>45290.059027777781</v>
      </c>
      <c r="BL202" s="127">
        <v>45290.065972222219</v>
      </c>
      <c r="BM202" s="127">
        <v>45290.065972222219</v>
      </c>
      <c r="BN202" s="127">
        <f t="shared" si="143"/>
        <v>45291.774305555555</v>
      </c>
      <c r="BO202" s="127">
        <v>45292.25</v>
      </c>
      <c r="BP202" s="127">
        <v>45292.416666666664</v>
      </c>
      <c r="BQ202" s="127">
        <v>45292.350694444445</v>
      </c>
      <c r="BR202" s="127">
        <v>45293.072916666664</v>
      </c>
      <c r="BS202" s="120">
        <f>BV201+(1/24)</f>
        <v>45295.458333333336</v>
      </c>
      <c r="BT202" s="120">
        <f>BS202+((6+8)/24)</f>
        <v>45296.041666666672</v>
      </c>
      <c r="BU202" s="120">
        <f t="shared" ref="BU202:BV202" si="154">BT202+(0.5/24)</f>
        <v>45296.062500000007</v>
      </c>
      <c r="BV202" s="120">
        <f t="shared" si="154"/>
        <v>45296.083333333343</v>
      </c>
      <c r="BW202" s="120">
        <f t="shared" ref="BW202" si="155">BV202+(10/24)</f>
        <v>45296.500000000007</v>
      </c>
      <c r="BZ202" s="136">
        <f t="shared" si="144"/>
        <v>61.166666666802485</v>
      </c>
      <c r="CA202" s="136">
        <f t="shared" si="145"/>
        <v>3.5000000000582077</v>
      </c>
      <c r="CB202" s="136">
        <f t="shared" si="146"/>
        <v>41.000000000058208</v>
      </c>
      <c r="CC202" s="136">
        <f t="shared" si="147"/>
        <v>15.75</v>
      </c>
      <c r="CD202" s="135">
        <f t="shared" si="148"/>
        <v>14.000000000058208</v>
      </c>
      <c r="CE202" s="135">
        <f t="shared" si="149"/>
        <v>9.9999999999417923</v>
      </c>
      <c r="CF202" s="134">
        <f t="shared" si="150"/>
        <v>6.0590277777882875</v>
      </c>
      <c r="CG202" s="134">
        <f t="shared" si="151"/>
        <v>12.958333333343035</v>
      </c>
      <c r="CH202" s="133">
        <f t="shared" si="152"/>
        <v>0.46757770632414802</v>
      </c>
    </row>
    <row r="203" spans="1:88" s="121" customFormat="1">
      <c r="A203" s="132">
        <f t="shared" ref="A203:A204" si="156">BJ203</f>
        <v>45290.395833333336</v>
      </c>
      <c r="B203" s="116" t="s">
        <v>228</v>
      </c>
      <c r="C203" s="116" t="s">
        <v>229</v>
      </c>
      <c r="D203" s="116" t="s">
        <v>197</v>
      </c>
      <c r="E203" s="100" t="s">
        <v>1052</v>
      </c>
      <c r="F203" s="519" t="s">
        <v>3378</v>
      </c>
      <c r="G203" s="472">
        <v>45287.333333333336</v>
      </c>
      <c r="H203" s="472">
        <v>45287.333333333336</v>
      </c>
      <c r="I203" s="116" t="s">
        <v>3986</v>
      </c>
      <c r="J203" s="519" t="s">
        <v>3987</v>
      </c>
      <c r="K203" s="519" t="s">
        <v>3992</v>
      </c>
      <c r="L203" s="519" t="s">
        <v>3993</v>
      </c>
      <c r="M203" s="1043"/>
      <c r="N203" s="116" t="s">
        <v>339</v>
      </c>
      <c r="O203" s="116" t="s">
        <v>506</v>
      </c>
      <c r="P203" s="116" t="s">
        <v>235</v>
      </c>
      <c r="Q203" s="131">
        <f>3071*2.4</f>
        <v>7370.4</v>
      </c>
      <c r="R203" s="131">
        <f>7400+100</f>
        <v>7500</v>
      </c>
      <c r="S203" s="131">
        <v>7027.6</v>
      </c>
      <c r="T203" s="131"/>
      <c r="U203" s="581"/>
      <c r="V203" s="581"/>
      <c r="W203" s="581"/>
      <c r="X203" s="664">
        <f>S203</f>
        <v>7027.6</v>
      </c>
      <c r="Y203" s="116"/>
      <c r="Z203" s="581"/>
      <c r="AA203" s="581"/>
      <c r="AB203" s="581"/>
      <c r="AC203" s="581"/>
      <c r="AD203" s="581"/>
      <c r="AE203" s="667"/>
      <c r="AF203" s="667"/>
      <c r="AG203" s="667"/>
      <c r="AH203" s="667"/>
      <c r="AI203" s="667"/>
      <c r="AJ203" s="667"/>
      <c r="AK203" s="667"/>
      <c r="AL203" s="667"/>
      <c r="AM203" s="667"/>
      <c r="AN203" s="667"/>
      <c r="AO203" s="667"/>
      <c r="AP203" s="667"/>
      <c r="AQ203" s="667"/>
      <c r="AR203" s="667"/>
      <c r="AS203" s="667"/>
      <c r="AT203" s="667"/>
      <c r="AU203" s="667"/>
      <c r="AV203" s="667"/>
      <c r="AW203" s="667"/>
      <c r="AX203" s="667"/>
      <c r="AY203" s="667"/>
      <c r="AZ203" s="667"/>
      <c r="BA203" s="667"/>
      <c r="BB203" s="667"/>
      <c r="BC203" s="667"/>
      <c r="BD203" s="127">
        <f t="shared" si="140"/>
        <v>45284.506944444445</v>
      </c>
      <c r="BE203" s="120">
        <f t="shared" si="141"/>
        <v>45296.166666666672</v>
      </c>
      <c r="BF203" s="137">
        <f t="shared" si="142"/>
        <v>11.659722222226264</v>
      </c>
      <c r="BG203" s="127">
        <v>45284.506944444445</v>
      </c>
      <c r="BH203" s="127">
        <v>45287.805555555555</v>
      </c>
      <c r="BI203" s="127">
        <v>45289.71875</v>
      </c>
      <c r="BJ203" s="127">
        <v>45290.395833333336</v>
      </c>
      <c r="BK203" s="127">
        <v>45290.534722222219</v>
      </c>
      <c r="BL203" s="127">
        <v>45290.538194444445</v>
      </c>
      <c r="BM203" s="127">
        <v>45290.538194444445</v>
      </c>
      <c r="BN203" s="127">
        <f t="shared" si="143"/>
        <v>45292.246527777781</v>
      </c>
      <c r="BO203" s="127">
        <v>45292.25</v>
      </c>
      <c r="BP203" s="127">
        <v>45292.416666666664</v>
      </c>
      <c r="BQ203" s="127">
        <v>45292.427083333336</v>
      </c>
      <c r="BR203" s="120">
        <f>BP203+(48/24)</f>
        <v>45294.416666666664</v>
      </c>
      <c r="BS203" s="120">
        <f>BS202</f>
        <v>45295.458333333336</v>
      </c>
      <c r="BT203" s="120">
        <f>BS203+(6/24)</f>
        <v>45295.708333333336</v>
      </c>
      <c r="BU203" s="120">
        <f t="shared" ref="BU203" si="157">BT203+(0.5/24)</f>
        <v>45295.729166666672</v>
      </c>
      <c r="BV203" s="120">
        <f t="shared" ref="BV203" si="158">BU203+(0.5/24)</f>
        <v>45295.750000000007</v>
      </c>
      <c r="BW203" s="120">
        <f t="shared" ref="BW203" si="159">BV203+(10/24)</f>
        <v>45296.166666666672</v>
      </c>
      <c r="BZ203" s="136">
        <f t="shared" si="144"/>
        <v>45.916666666686069</v>
      </c>
      <c r="CA203" s="136">
        <f t="shared" si="145"/>
        <v>3.3333333331975155</v>
      </c>
      <c r="CB203" s="136">
        <f t="shared" si="146"/>
        <v>41.000000000058208</v>
      </c>
      <c r="CC203" s="136">
        <f t="shared" si="147"/>
        <v>48</v>
      </c>
      <c r="CD203" s="135">
        <f t="shared" si="148"/>
        <v>6</v>
      </c>
      <c r="CE203" s="135">
        <f t="shared" si="149"/>
        <v>9.9999999999417923</v>
      </c>
      <c r="CF203" s="134">
        <f t="shared" si="150"/>
        <v>6.4270833333284827</v>
      </c>
      <c r="CG203" s="134">
        <f t="shared" si="151"/>
        <v>11.659722222226264</v>
      </c>
      <c r="CH203" s="133">
        <f t="shared" si="152"/>
        <v>0.55122096485942862</v>
      </c>
      <c r="CI203" s="128"/>
      <c r="CJ203" s="115"/>
    </row>
    <row r="204" spans="1:88" s="121" customFormat="1">
      <c r="A204" s="132">
        <f t="shared" si="156"/>
        <v>45290.678472222222</v>
      </c>
      <c r="B204" s="116" t="s">
        <v>228</v>
      </c>
      <c r="C204" s="116" t="s">
        <v>229</v>
      </c>
      <c r="D204" s="116" t="s">
        <v>197</v>
      </c>
      <c r="E204" s="100" t="s">
        <v>1052</v>
      </c>
      <c r="F204" s="519" t="s">
        <v>3378</v>
      </c>
      <c r="G204" s="472">
        <v>45287.333333333336</v>
      </c>
      <c r="H204" s="472">
        <v>45287.333333333336</v>
      </c>
      <c r="I204" s="116" t="s">
        <v>3986</v>
      </c>
      <c r="J204" s="519" t="s">
        <v>3987</v>
      </c>
      <c r="K204" s="519" t="s">
        <v>3954</v>
      </c>
      <c r="L204" s="519" t="s">
        <v>3994</v>
      </c>
      <c r="M204" s="1043"/>
      <c r="N204" s="116" t="s">
        <v>2295</v>
      </c>
      <c r="O204" s="116" t="s">
        <v>2296</v>
      </c>
      <c r="P204" s="116" t="s">
        <v>235</v>
      </c>
      <c r="Q204" s="131">
        <f>4272*2.4</f>
        <v>10252.799999999999</v>
      </c>
      <c r="R204" s="131">
        <f>10300+100</f>
        <v>10400</v>
      </c>
      <c r="S204" s="131">
        <v>7810.7610000000004</v>
      </c>
      <c r="T204" s="131"/>
      <c r="U204" s="581"/>
      <c r="V204" s="581"/>
      <c r="W204" s="581"/>
      <c r="X204" s="664">
        <f>S204</f>
        <v>7810.7610000000004</v>
      </c>
      <c r="Y204" s="116"/>
      <c r="Z204" s="581"/>
      <c r="AA204" s="581"/>
      <c r="AB204" s="581"/>
      <c r="AC204" s="581"/>
      <c r="AD204" s="581"/>
      <c r="AE204" s="581"/>
      <c r="AF204" s="667"/>
      <c r="AG204" s="667"/>
      <c r="AH204" s="667"/>
      <c r="AI204" s="667"/>
      <c r="AJ204" s="667"/>
      <c r="AK204" s="667"/>
      <c r="AL204" s="667"/>
      <c r="AM204" s="667"/>
      <c r="AN204" s="667"/>
      <c r="AO204" s="667"/>
      <c r="AP204" s="667"/>
      <c r="AQ204" s="667"/>
      <c r="AR204" s="667"/>
      <c r="AS204" s="667"/>
      <c r="AT204" s="667"/>
      <c r="AU204" s="667"/>
      <c r="AV204" s="667"/>
      <c r="AW204" s="667"/>
      <c r="BD204" s="127">
        <f t="shared" si="140"/>
        <v>45286.5</v>
      </c>
      <c r="BE204" s="120">
        <f t="shared" si="141"/>
        <v>45295.958333333343</v>
      </c>
      <c r="BF204" s="137">
        <f t="shared" si="142"/>
        <v>9.4583333333430346</v>
      </c>
      <c r="BG204" s="127">
        <v>45286.5</v>
      </c>
      <c r="BH204" s="127">
        <v>45287.576388888891</v>
      </c>
      <c r="BI204" s="127">
        <v>45289.895833333336</v>
      </c>
      <c r="BJ204" s="127">
        <v>45290.678472222222</v>
      </c>
      <c r="BK204" s="127">
        <v>45290.930555555555</v>
      </c>
      <c r="BL204" s="127">
        <v>45290.934027777781</v>
      </c>
      <c r="BM204" s="127">
        <v>45290.934027777781</v>
      </c>
      <c r="BN204" s="127">
        <f t="shared" si="143"/>
        <v>45292.642361111117</v>
      </c>
      <c r="BO204" s="120">
        <v>45293.291666608799</v>
      </c>
      <c r="BP204" s="120">
        <v>45293.458333275463</v>
      </c>
      <c r="BQ204" s="124" t="s">
        <v>64</v>
      </c>
      <c r="BR204" s="120">
        <f t="shared" ref="BR204" si="160">BP204+(24/24)</f>
        <v>45294.458333275463</v>
      </c>
      <c r="BS204" s="120">
        <f>BV203+(1/24)</f>
        <v>45295.791666666672</v>
      </c>
      <c r="BT204" s="179">
        <f>BS204+(3/24)</f>
        <v>45295.916666666672</v>
      </c>
      <c r="BU204" s="120">
        <f>BT204+(0.5/24)</f>
        <v>45295.937500000007</v>
      </c>
      <c r="BV204" s="120">
        <f>BU204+(0.5/24)</f>
        <v>45295.958333333343</v>
      </c>
      <c r="BW204" s="179">
        <f>BV204</f>
        <v>45295.958333333343</v>
      </c>
      <c r="BZ204" s="136">
        <f t="shared" si="144"/>
        <v>55.666666666686069</v>
      </c>
      <c r="CA204" s="136">
        <f t="shared" si="145"/>
        <v>6.0499999999883585</v>
      </c>
      <c r="CB204" s="136">
        <f t="shared" si="146"/>
        <v>41.000000000058208</v>
      </c>
      <c r="CC204" s="136">
        <f t="shared" si="147"/>
        <v>24</v>
      </c>
      <c r="CD204" s="135">
        <f t="shared" si="148"/>
        <v>3</v>
      </c>
      <c r="CE204" s="135">
        <f t="shared" si="149"/>
        <v>0</v>
      </c>
      <c r="CF204" s="134">
        <f t="shared" si="150"/>
        <v>5.4048611111138598</v>
      </c>
      <c r="CG204" s="134">
        <f t="shared" si="151"/>
        <v>9.4583333333430346</v>
      </c>
      <c r="CH204" s="133">
        <f t="shared" si="152"/>
        <v>0.57143906020528457</v>
      </c>
    </row>
    <row r="205" spans="1:88" s="146" customFormat="1" ht="31.2">
      <c r="A205" s="177" t="s">
        <v>3995</v>
      </c>
      <c r="B205" s="177"/>
      <c r="C205" s="177"/>
      <c r="D205" s="177"/>
      <c r="E205" s="116"/>
      <c r="F205" s="116"/>
      <c r="G205" s="165"/>
      <c r="H205" s="165"/>
      <c r="I205" s="116"/>
      <c r="J205" s="676"/>
      <c r="K205" s="173"/>
      <c r="L205" s="116"/>
      <c r="M205" s="173"/>
      <c r="N205" s="173"/>
      <c r="O205" s="173"/>
      <c r="P205" s="116"/>
      <c r="Q205" s="173"/>
      <c r="R205" s="173"/>
      <c r="S205" s="131"/>
      <c r="T205" s="173"/>
      <c r="U205" s="170"/>
      <c r="V205" s="170"/>
      <c r="W205" s="170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3"/>
      <c r="AM205" s="173"/>
      <c r="AN205" s="173"/>
      <c r="AO205" s="173"/>
      <c r="AP205" s="173"/>
      <c r="AQ205" s="173"/>
      <c r="AR205" s="173"/>
      <c r="AS205" s="173"/>
      <c r="AT205" s="173"/>
      <c r="AU205" s="173"/>
      <c r="AV205" s="173"/>
      <c r="AW205" s="173"/>
      <c r="AX205" s="173"/>
      <c r="AY205" s="173"/>
      <c r="AZ205" s="173"/>
      <c r="BA205" s="173"/>
      <c r="BB205" s="173"/>
      <c r="BC205" s="173"/>
      <c r="BD205" s="176"/>
      <c r="BE205" s="148"/>
      <c r="BF205" s="148"/>
      <c r="BG205" s="176"/>
      <c r="BH205" s="148"/>
      <c r="BI205" s="176"/>
      <c r="BJ205" s="148"/>
      <c r="BK205" s="148"/>
      <c r="BL205" s="148"/>
      <c r="BM205" s="148"/>
      <c r="BN205" s="176"/>
      <c r="BO205" s="120"/>
      <c r="BP205" s="120"/>
      <c r="BQ205" s="147"/>
      <c r="BR205" s="148"/>
      <c r="BS205" s="120"/>
      <c r="BT205" s="120"/>
      <c r="BU205" s="148"/>
      <c r="BV205" s="148"/>
      <c r="BW205" s="148"/>
      <c r="BZ205" s="148"/>
      <c r="CA205" s="148"/>
      <c r="CB205" s="148"/>
      <c r="CC205" s="148"/>
      <c r="CD205" s="148"/>
      <c r="CE205" s="148"/>
      <c r="CF205" s="148"/>
      <c r="CG205" s="148"/>
    </row>
    <row r="206" spans="1:88" s="151" customFormat="1" ht="18" customHeight="1">
      <c r="A206" s="175" t="s">
        <v>3996</v>
      </c>
      <c r="B206" s="175"/>
      <c r="C206" s="175"/>
      <c r="D206" s="175"/>
      <c r="E206" s="100"/>
      <c r="F206" s="116"/>
      <c r="G206" s="165"/>
      <c r="H206" s="165"/>
      <c r="I206" s="116"/>
      <c r="L206" s="116"/>
      <c r="M206" s="129"/>
      <c r="N206" s="116"/>
      <c r="O206" s="173"/>
      <c r="P206" s="116"/>
      <c r="Q206" s="173"/>
      <c r="R206" s="173"/>
      <c r="S206" s="173"/>
      <c r="T206" s="173"/>
      <c r="U206" s="173"/>
      <c r="V206" s="173"/>
      <c r="W206" s="173"/>
      <c r="X206" s="173"/>
      <c r="Y206" s="173"/>
      <c r="Z206" s="157"/>
      <c r="AA206" s="157"/>
      <c r="AB206" s="173"/>
      <c r="AC206" s="157"/>
      <c r="AD206" s="157"/>
      <c r="AE206" s="157"/>
      <c r="AF206" s="157"/>
      <c r="AG206" s="157"/>
      <c r="AH206" s="157"/>
      <c r="AI206" s="157"/>
      <c r="AJ206" s="157"/>
      <c r="AK206" s="157"/>
      <c r="AL206" s="157"/>
      <c r="AM206" s="157"/>
      <c r="AN206" s="157"/>
      <c r="AO206" s="157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155"/>
      <c r="BE206" s="120"/>
      <c r="BF206" s="120"/>
      <c r="BG206" s="155"/>
      <c r="BH206" s="152"/>
      <c r="BI206" s="116"/>
      <c r="BJ206" s="127"/>
      <c r="BK206" s="127"/>
      <c r="BL206" s="152"/>
      <c r="BM206" s="152"/>
      <c r="BN206" s="155"/>
      <c r="BO206" s="152"/>
      <c r="BP206" s="152"/>
      <c r="BQ206" s="153"/>
      <c r="BR206" s="152"/>
      <c r="BS206" s="152"/>
      <c r="BT206" s="152"/>
      <c r="BU206" s="152"/>
      <c r="BV206" s="152"/>
      <c r="BW206" s="152"/>
      <c r="BZ206" s="120"/>
      <c r="CA206" s="136"/>
      <c r="CB206" s="120"/>
      <c r="CC206" s="120"/>
      <c r="CD206" s="120"/>
      <c r="CE206" s="120"/>
      <c r="CF206" s="120"/>
      <c r="CG206" s="120"/>
      <c r="CI206" s="170"/>
    </row>
    <row r="207" spans="1:88" s="126" customFormat="1" ht="14.4" customHeight="1">
      <c r="A207" s="168" t="s">
        <v>3997</v>
      </c>
      <c r="E207" s="100"/>
      <c r="F207" s="116"/>
      <c r="G207" s="165"/>
      <c r="H207" s="165"/>
      <c r="I207" s="116"/>
      <c r="J207" s="116"/>
      <c r="L207" s="116"/>
      <c r="M207" s="129"/>
      <c r="N207" s="100"/>
      <c r="O207" s="116"/>
      <c r="P207" s="1169" t="s">
        <v>3998</v>
      </c>
      <c r="Q207" s="1168" t="s">
        <v>2850</v>
      </c>
      <c r="R207" s="1168" t="s">
        <v>2850</v>
      </c>
      <c r="S207" s="1168" t="s">
        <v>2850</v>
      </c>
      <c r="T207" s="1168" t="s">
        <v>2850</v>
      </c>
      <c r="U207" s="1170">
        <v>2879</v>
      </c>
      <c r="V207" s="1170">
        <v>12292</v>
      </c>
      <c r="W207" s="1171">
        <v>0</v>
      </c>
      <c r="X207" s="1170">
        <v>161969</v>
      </c>
      <c r="Y207" s="1170">
        <v>3935</v>
      </c>
      <c r="Z207" s="1170">
        <v>6424</v>
      </c>
      <c r="AA207" s="1170">
        <v>15273</v>
      </c>
      <c r="AB207" s="259"/>
      <c r="AC207" s="248"/>
      <c r="AD207" s="248"/>
      <c r="AE207" s="171"/>
      <c r="AF207" s="171"/>
      <c r="AG207" s="171"/>
      <c r="AH207" s="171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5"/>
      <c r="BE207" s="165"/>
      <c r="BF207" s="135"/>
      <c r="BG207" s="165"/>
      <c r="BH207" s="127"/>
      <c r="BI207" s="165"/>
      <c r="BJ207" s="127"/>
      <c r="BK207" s="127"/>
      <c r="BL207" s="127"/>
      <c r="BM207" s="127"/>
      <c r="BN207" s="127"/>
      <c r="BO207" s="120"/>
      <c r="BP207" s="140"/>
      <c r="BQ207" s="166"/>
      <c r="BR207" s="165"/>
      <c r="BS207" s="165"/>
      <c r="BT207" s="165"/>
      <c r="BU207" s="165"/>
      <c r="BV207" s="165"/>
      <c r="BW207" s="165"/>
      <c r="BZ207" s="136"/>
      <c r="CA207" s="136"/>
      <c r="CB207" s="136"/>
      <c r="CC207" s="136"/>
      <c r="CD207" s="135"/>
      <c r="CE207" s="135"/>
      <c r="CF207" s="161"/>
      <c r="CG207" s="161"/>
      <c r="CH207" s="160"/>
      <c r="CI207" s="170"/>
    </row>
    <row r="208" spans="1:88" s="121" customFormat="1">
      <c r="A208" s="125">
        <f t="shared" ref="A208:A240" si="161">BJ208</f>
        <v>45293.791666666664</v>
      </c>
      <c r="B208" s="116" t="s">
        <v>228</v>
      </c>
      <c r="C208" s="116" t="s">
        <v>229</v>
      </c>
      <c r="D208" s="116" t="s">
        <v>215</v>
      </c>
      <c r="E208" s="100" t="s">
        <v>3225</v>
      </c>
      <c r="F208" s="519" t="s">
        <v>3378</v>
      </c>
      <c r="G208" s="130"/>
      <c r="H208" s="130"/>
      <c r="I208" s="116" t="s">
        <v>231</v>
      </c>
      <c r="J208" s="116" t="s">
        <v>3999</v>
      </c>
      <c r="K208" s="519" t="s">
        <v>229</v>
      </c>
      <c r="L208" s="519" t="s">
        <v>4000</v>
      </c>
      <c r="M208" s="129"/>
      <c r="N208" s="116" t="s">
        <v>252</v>
      </c>
      <c r="O208" s="116" t="s">
        <v>253</v>
      </c>
      <c r="P208" s="519" t="s">
        <v>235</v>
      </c>
      <c r="Q208" s="131">
        <f>3107*2.4</f>
        <v>7456.7999999999993</v>
      </c>
      <c r="R208" s="131">
        <f>7500+100</f>
        <v>7600</v>
      </c>
      <c r="S208" s="122">
        <v>7500</v>
      </c>
      <c r="T208" s="667"/>
      <c r="U208" s="581"/>
      <c r="V208" s="1127"/>
      <c r="W208" s="1127"/>
      <c r="X208" s="723">
        <f>S208</f>
        <v>7500</v>
      </c>
      <c r="Y208" s="739"/>
      <c r="Z208" s="581"/>
      <c r="AA208" s="581"/>
      <c r="AB208" s="581"/>
      <c r="AC208" s="115"/>
      <c r="AD208" s="401"/>
      <c r="AE208" s="401"/>
      <c r="AF208" s="401"/>
      <c r="AG208" s="401"/>
      <c r="AH208" s="401"/>
      <c r="AI208" s="401"/>
      <c r="AJ208" s="401"/>
      <c r="AK208" s="401"/>
      <c r="AL208" s="401"/>
      <c r="AM208" s="401"/>
      <c r="AN208" s="401"/>
      <c r="AO208" s="401"/>
      <c r="AP208" s="401"/>
      <c r="AQ208" s="401"/>
      <c r="AR208" s="401"/>
      <c r="AS208" s="401"/>
      <c r="AT208" s="401"/>
      <c r="AU208" s="401"/>
      <c r="AV208" s="401"/>
      <c r="AW208" s="401"/>
      <c r="AX208" s="401"/>
      <c r="AY208" s="401"/>
      <c r="AZ208" s="401"/>
      <c r="BA208" s="401"/>
      <c r="BB208" s="401"/>
      <c r="BC208" s="401"/>
      <c r="BD208" s="127">
        <f t="shared" ref="BD208:BD240" si="162">BG208</f>
        <v>45284.739583333336</v>
      </c>
      <c r="BE208" s="120">
        <f t="shared" ref="BE208:BE240" si="163">BW208</f>
        <v>45300.125</v>
      </c>
      <c r="BF208" s="137">
        <f t="shared" ref="BF208:BF240" si="164">BE208-BD208</f>
        <v>15.385416666664241</v>
      </c>
      <c r="BG208" s="127">
        <v>45284.739583333336</v>
      </c>
      <c r="BH208" s="127">
        <v>45288.527777777781</v>
      </c>
      <c r="BI208" s="127">
        <v>45290.131944444445</v>
      </c>
      <c r="BJ208" s="169">
        <v>45293.791666666664</v>
      </c>
      <c r="BK208" s="120">
        <f t="shared" ref="BK208:BK236" si="165">BJ208+(4/24)</f>
        <v>45293.958333333328</v>
      </c>
      <c r="BL208" s="120">
        <f t="shared" ref="BL208:BM235" si="166">BK208+(0.5/24)</f>
        <v>45293.979166666664</v>
      </c>
      <c r="BM208" s="120">
        <f t="shared" si="166"/>
        <v>45294</v>
      </c>
      <c r="BN208" s="120">
        <f t="shared" ref="BN208:BN237" si="167">BM208+(41/24)</f>
        <v>45295.708333333336</v>
      </c>
      <c r="BO208" s="120">
        <v>45296.333333333336</v>
      </c>
      <c r="BP208" s="120">
        <v>45296.5</v>
      </c>
      <c r="BQ208" s="124" t="s">
        <v>64</v>
      </c>
      <c r="BR208" s="120">
        <f t="shared" ref="BR208:BR215" si="168">BP208+(24/24)</f>
        <v>45297.5</v>
      </c>
      <c r="BS208" s="169">
        <f>BU247+(1/24)</f>
        <v>45299.416666666664</v>
      </c>
      <c r="BT208" s="120">
        <f>BS208+(6/24)</f>
        <v>45299.666666666664</v>
      </c>
      <c r="BU208" s="120">
        <f t="shared" ref="BU208:BV212" si="169">BT208+(0.5/24)</f>
        <v>45299.6875</v>
      </c>
      <c r="BV208" s="120">
        <f t="shared" si="169"/>
        <v>45299.708333333336</v>
      </c>
      <c r="BW208" s="120">
        <f>BV208+(10/24)</f>
        <v>45300.125</v>
      </c>
      <c r="BZ208" s="136">
        <f t="shared" ref="BZ208:BZ240" si="170">(BI208-BH208)*24</f>
        <v>38.499999999941792</v>
      </c>
      <c r="CA208" s="136">
        <f t="shared" ref="CA208:CA240" si="171">(BK208-BJ208)*24</f>
        <v>3.9999999999417923</v>
      </c>
      <c r="CB208" s="136">
        <f t="shared" ref="CB208:CB240" si="172">(BN208-BM208)*24</f>
        <v>41.000000000058208</v>
      </c>
      <c r="CC208" s="136">
        <f t="shared" ref="CC208:CC240" si="173">(BR208-BP208)*24</f>
        <v>24</v>
      </c>
      <c r="CD208" s="135">
        <f t="shared" ref="CD208:CD240" si="174">(BT208-BS208)*24</f>
        <v>6</v>
      </c>
      <c r="CE208" s="135">
        <f t="shared" ref="CE208:CE240" si="175">(BW208-BV208)*24</f>
        <v>9.9999999999417923</v>
      </c>
      <c r="CF208" s="134">
        <f t="shared" ref="CF208:CF240" si="176">SUM(BZ208:CE208)/24</f>
        <v>5.1458333333284827</v>
      </c>
      <c r="CG208" s="134">
        <f t="shared" ref="CG208:CG240" si="177">BF208</f>
        <v>15.385416666664241</v>
      </c>
      <c r="CH208" s="133">
        <f t="shared" ref="CH208:CH240" si="178">CF208/CG208</f>
        <v>0.33446174678375912</v>
      </c>
    </row>
    <row r="209" spans="1:88" s="121" customFormat="1">
      <c r="A209" s="125">
        <f t="shared" si="161"/>
        <v>45294</v>
      </c>
      <c r="B209" s="116" t="s">
        <v>228</v>
      </c>
      <c r="C209" s="116" t="s">
        <v>229</v>
      </c>
      <c r="D209" s="116" t="s">
        <v>197</v>
      </c>
      <c r="E209" s="100" t="s">
        <v>3225</v>
      </c>
      <c r="F209" s="519" t="s">
        <v>3378</v>
      </c>
      <c r="G209" s="130"/>
      <c r="H209" s="130"/>
      <c r="I209" s="116" t="s">
        <v>231</v>
      </c>
      <c r="J209" s="116" t="s">
        <v>4001</v>
      </c>
      <c r="K209" s="519" t="s">
        <v>229</v>
      </c>
      <c r="L209" s="519" t="s">
        <v>4002</v>
      </c>
      <c r="M209" s="129"/>
      <c r="N209" s="116" t="s">
        <v>371</v>
      </c>
      <c r="O209" s="116" t="s">
        <v>372</v>
      </c>
      <c r="P209" s="519" t="s">
        <v>235</v>
      </c>
      <c r="Q209" s="131">
        <f>3117*2.4</f>
        <v>7480.7999999999993</v>
      </c>
      <c r="R209" s="131">
        <f>7500+100</f>
        <v>7600</v>
      </c>
      <c r="S209" s="122">
        <v>7500</v>
      </c>
      <c r="T209" s="667"/>
      <c r="U209" s="581"/>
      <c r="V209" s="581"/>
      <c r="W209" s="581"/>
      <c r="X209" s="723">
        <f>S209</f>
        <v>7500</v>
      </c>
      <c r="Y209" s="739"/>
      <c r="Z209" s="581"/>
      <c r="AA209" s="581"/>
      <c r="AB209" s="581"/>
      <c r="AC209" s="581"/>
      <c r="AD209" s="581"/>
      <c r="AE209" s="581"/>
      <c r="AF209" s="581"/>
      <c r="AG209" s="581"/>
      <c r="AH209" s="115"/>
      <c r="AI209" s="115"/>
      <c r="AJ209" s="115"/>
      <c r="AK209" s="115"/>
      <c r="AL209" s="115"/>
      <c r="AM209" s="115"/>
      <c r="AN209" s="115"/>
      <c r="AO209" s="115"/>
      <c r="AP209" s="115"/>
      <c r="AQ209" s="115"/>
      <c r="AR209" s="115"/>
      <c r="AS209" s="115"/>
      <c r="AX209" s="517"/>
      <c r="AY209" s="517"/>
      <c r="AZ209" s="517"/>
      <c r="BA209" s="517"/>
      <c r="BB209" s="517"/>
      <c r="BC209" s="517"/>
      <c r="BD209" s="127">
        <f t="shared" si="162"/>
        <v>45287.789583333331</v>
      </c>
      <c r="BE209" s="120">
        <f t="shared" si="163"/>
        <v>45300.4375</v>
      </c>
      <c r="BF209" s="137">
        <f t="shared" si="164"/>
        <v>12.647916666668607</v>
      </c>
      <c r="BG209" s="127">
        <v>45287.789583333331</v>
      </c>
      <c r="BH209" s="127">
        <v>45288.564583333333</v>
      </c>
      <c r="BI209" s="127">
        <v>45290.401388888888</v>
      </c>
      <c r="BJ209" s="120">
        <f>BL208+(0.5/24)</f>
        <v>45294</v>
      </c>
      <c r="BK209" s="120">
        <f t="shared" si="165"/>
        <v>45294.166666666664</v>
      </c>
      <c r="BL209" s="120">
        <f t="shared" si="166"/>
        <v>45294.1875</v>
      </c>
      <c r="BM209" s="120">
        <f t="shared" si="166"/>
        <v>45294.208333333336</v>
      </c>
      <c r="BN209" s="120">
        <f t="shared" si="167"/>
        <v>45295.916666666672</v>
      </c>
      <c r="BO209" s="120">
        <v>45296.333333333336</v>
      </c>
      <c r="BP209" s="120">
        <v>45296.5</v>
      </c>
      <c r="BQ209" s="124" t="s">
        <v>64</v>
      </c>
      <c r="BR209" s="120">
        <f t="shared" si="168"/>
        <v>45297.5</v>
      </c>
      <c r="BS209" s="120">
        <f t="shared" ref="BS209:BS215" si="179">BU208+(1/24)</f>
        <v>45299.729166666664</v>
      </c>
      <c r="BT209" s="120">
        <f>BS209+(6/24)</f>
        <v>45299.979166666664</v>
      </c>
      <c r="BU209" s="120">
        <f t="shared" si="169"/>
        <v>45300</v>
      </c>
      <c r="BV209" s="120">
        <f t="shared" si="169"/>
        <v>45300.020833333336</v>
      </c>
      <c r="BW209" s="120">
        <f>BV209+(10/24)</f>
        <v>45300.4375</v>
      </c>
      <c r="BZ209" s="136">
        <f t="shared" si="170"/>
        <v>44.083333333313931</v>
      </c>
      <c r="CA209" s="136">
        <f t="shared" si="171"/>
        <v>3.9999999999417923</v>
      </c>
      <c r="CB209" s="136">
        <f t="shared" si="172"/>
        <v>41.000000000058208</v>
      </c>
      <c r="CC209" s="136">
        <f t="shared" si="173"/>
        <v>24</v>
      </c>
      <c r="CD209" s="135">
        <f t="shared" si="174"/>
        <v>6</v>
      </c>
      <c r="CE209" s="135">
        <f t="shared" si="175"/>
        <v>9.9999999999417923</v>
      </c>
      <c r="CF209" s="134">
        <f t="shared" si="176"/>
        <v>5.3784722222189885</v>
      </c>
      <c r="CG209" s="134">
        <f t="shared" si="177"/>
        <v>12.647916666668607</v>
      </c>
      <c r="CH209" s="133">
        <f t="shared" si="178"/>
        <v>0.4252457036179737</v>
      </c>
      <c r="CI209" s="128"/>
      <c r="CJ209" s="128"/>
    </row>
    <row r="210" spans="1:88" s="121" customFormat="1">
      <c r="A210" s="125">
        <f t="shared" si="161"/>
        <v>45294.208333333336</v>
      </c>
      <c r="B210" s="116" t="s">
        <v>228</v>
      </c>
      <c r="C210" s="116" t="s">
        <v>229</v>
      </c>
      <c r="D210" s="116" t="s">
        <v>197</v>
      </c>
      <c r="E210" s="100" t="s">
        <v>3225</v>
      </c>
      <c r="F210" s="519" t="s">
        <v>3378</v>
      </c>
      <c r="G210" s="130"/>
      <c r="H210" s="130"/>
      <c r="I210" s="116" t="s">
        <v>231</v>
      </c>
      <c r="J210" s="116" t="s">
        <v>4003</v>
      </c>
      <c r="K210" s="519" t="s">
        <v>229</v>
      </c>
      <c r="L210" s="519" t="s">
        <v>4004</v>
      </c>
      <c r="M210" s="129"/>
      <c r="N210" s="116" t="s">
        <v>257</v>
      </c>
      <c r="O210" s="116" t="s">
        <v>258</v>
      </c>
      <c r="P210" s="519" t="s">
        <v>235</v>
      </c>
      <c r="Q210" s="131">
        <f>3139*2.4</f>
        <v>7533.5999999999995</v>
      </c>
      <c r="R210" s="131">
        <f>7550+100</f>
        <v>7650</v>
      </c>
      <c r="S210" s="122">
        <v>7550</v>
      </c>
      <c r="T210" s="667"/>
      <c r="U210" s="581"/>
      <c r="V210" s="581"/>
      <c r="W210" s="581"/>
      <c r="X210" s="723">
        <f>S210</f>
        <v>7550</v>
      </c>
      <c r="Y210" s="739"/>
      <c r="Z210" s="581"/>
      <c r="AA210" s="581"/>
      <c r="AB210" s="581"/>
      <c r="AC210" s="581"/>
      <c r="AD210" s="581"/>
      <c r="AE210" s="272"/>
      <c r="AF210" s="272"/>
      <c r="AG210" s="575"/>
      <c r="AH210" s="575"/>
      <c r="AI210" s="575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7">
        <f t="shared" si="162"/>
        <v>45287.395833333336</v>
      </c>
      <c r="BE210" s="120">
        <f t="shared" si="163"/>
        <v>45300.75</v>
      </c>
      <c r="BF210" s="137">
        <f t="shared" si="164"/>
        <v>13.354166666664241</v>
      </c>
      <c r="BG210" s="127">
        <v>45287.395833333336</v>
      </c>
      <c r="BH210" s="127">
        <v>45288.53125</v>
      </c>
      <c r="BI210" s="127">
        <v>45290.416666666664</v>
      </c>
      <c r="BJ210" s="120">
        <f t="shared" ref="BJ210:BJ240" si="180">BL209+(0.5/24)</f>
        <v>45294.208333333336</v>
      </c>
      <c r="BK210" s="120">
        <f t="shared" si="165"/>
        <v>45294.375</v>
      </c>
      <c r="BL210" s="120">
        <f t="shared" si="166"/>
        <v>45294.395833333336</v>
      </c>
      <c r="BM210" s="120">
        <f t="shared" si="166"/>
        <v>45294.416666666672</v>
      </c>
      <c r="BN210" s="120">
        <f t="shared" si="167"/>
        <v>45296.125000000007</v>
      </c>
      <c r="BO210" s="120">
        <v>45297.333333333336</v>
      </c>
      <c r="BP210" s="120">
        <v>45297.5</v>
      </c>
      <c r="BQ210" s="124" t="s">
        <v>64</v>
      </c>
      <c r="BR210" s="120">
        <f t="shared" si="168"/>
        <v>45298.5</v>
      </c>
      <c r="BS210" s="120">
        <f t="shared" si="179"/>
        <v>45300.041666666664</v>
      </c>
      <c r="BT210" s="120">
        <f>BS210+(6/24)</f>
        <v>45300.291666666664</v>
      </c>
      <c r="BU210" s="120">
        <f t="shared" si="169"/>
        <v>45300.3125</v>
      </c>
      <c r="BV210" s="120">
        <f t="shared" si="169"/>
        <v>45300.333333333336</v>
      </c>
      <c r="BW210" s="120">
        <f>BV210+(10/24)</f>
        <v>45300.75</v>
      </c>
      <c r="BZ210" s="136">
        <f t="shared" si="170"/>
        <v>45.249999999941792</v>
      </c>
      <c r="CA210" s="136">
        <f t="shared" si="171"/>
        <v>3.9999999999417923</v>
      </c>
      <c r="CB210" s="136">
        <f t="shared" si="172"/>
        <v>41.000000000058208</v>
      </c>
      <c r="CC210" s="136">
        <f t="shared" si="173"/>
        <v>24</v>
      </c>
      <c r="CD210" s="135">
        <f t="shared" si="174"/>
        <v>6</v>
      </c>
      <c r="CE210" s="135">
        <f t="shared" si="175"/>
        <v>9.9999999999417923</v>
      </c>
      <c r="CF210" s="134">
        <f t="shared" si="176"/>
        <v>5.4270833333284827</v>
      </c>
      <c r="CG210" s="134">
        <f t="shared" si="177"/>
        <v>13.354166666664241</v>
      </c>
      <c r="CH210" s="133">
        <f t="shared" si="178"/>
        <v>0.4063962558499446</v>
      </c>
    </row>
    <row r="211" spans="1:88" s="121" customFormat="1">
      <c r="A211" s="125">
        <f t="shared" si="161"/>
        <v>45294.416666666672</v>
      </c>
      <c r="B211" s="116" t="s">
        <v>228</v>
      </c>
      <c r="C211" s="116" t="s">
        <v>229</v>
      </c>
      <c r="D211" s="116" t="s">
        <v>197</v>
      </c>
      <c r="E211" s="100" t="s">
        <v>3225</v>
      </c>
      <c r="F211" s="519" t="s">
        <v>3378</v>
      </c>
      <c r="G211" s="130"/>
      <c r="H211" s="130"/>
      <c r="I211" s="116" t="s">
        <v>231</v>
      </c>
      <c r="J211" s="116" t="s">
        <v>4005</v>
      </c>
      <c r="K211" s="519" t="s">
        <v>229</v>
      </c>
      <c r="L211" s="519" t="s">
        <v>4006</v>
      </c>
      <c r="M211" s="129"/>
      <c r="N211" s="116" t="s">
        <v>377</v>
      </c>
      <c r="O211" s="116" t="s">
        <v>378</v>
      </c>
      <c r="P211" s="519" t="s">
        <v>235</v>
      </c>
      <c r="Q211" s="131">
        <f>3271*2.4</f>
        <v>7850.4</v>
      </c>
      <c r="R211" s="131">
        <f>7900+100</f>
        <v>8000</v>
      </c>
      <c r="S211" s="122">
        <v>7900</v>
      </c>
      <c r="T211" s="122"/>
      <c r="U211" s="739"/>
      <c r="V211" s="581"/>
      <c r="W211" s="581"/>
      <c r="X211" s="723">
        <f>S211</f>
        <v>7900</v>
      </c>
      <c r="Y211" s="739"/>
      <c r="Z211" s="581"/>
      <c r="AA211" s="581"/>
      <c r="AB211" s="739"/>
      <c r="AC211" s="401"/>
      <c r="AD211" s="401"/>
      <c r="AE211" s="678"/>
      <c r="AF211" s="678"/>
      <c r="AG211" s="678"/>
      <c r="AH211" s="678"/>
      <c r="BD211" s="127">
        <f t="shared" si="162"/>
        <v>45287.013888888891</v>
      </c>
      <c r="BE211" s="120">
        <f t="shared" si="163"/>
        <v>45301.0625</v>
      </c>
      <c r="BF211" s="137">
        <f t="shared" si="164"/>
        <v>14.048611111109494</v>
      </c>
      <c r="BG211" s="127">
        <v>45287.013888888891</v>
      </c>
      <c r="BH211" s="127">
        <v>45288.569444444445</v>
      </c>
      <c r="BI211" s="127">
        <v>45290.420138888891</v>
      </c>
      <c r="BJ211" s="120">
        <f t="shared" si="180"/>
        <v>45294.416666666672</v>
      </c>
      <c r="BK211" s="120">
        <f t="shared" si="165"/>
        <v>45294.583333333336</v>
      </c>
      <c r="BL211" s="120">
        <f t="shared" si="166"/>
        <v>45294.604166666672</v>
      </c>
      <c r="BM211" s="120">
        <f t="shared" si="166"/>
        <v>45294.625000000007</v>
      </c>
      <c r="BN211" s="120">
        <f t="shared" si="167"/>
        <v>45296.333333333343</v>
      </c>
      <c r="BO211" s="120">
        <v>45297.333333333336</v>
      </c>
      <c r="BP211" s="120">
        <v>45297.5</v>
      </c>
      <c r="BQ211" s="124" t="s">
        <v>64</v>
      </c>
      <c r="BR211" s="120">
        <f t="shared" si="168"/>
        <v>45298.5</v>
      </c>
      <c r="BS211" s="120">
        <f t="shared" si="179"/>
        <v>45300.354166666664</v>
      </c>
      <c r="BT211" s="120">
        <f>BS211+(6/24)</f>
        <v>45300.604166666664</v>
      </c>
      <c r="BU211" s="120">
        <f t="shared" si="169"/>
        <v>45300.625</v>
      </c>
      <c r="BV211" s="120">
        <f t="shared" si="169"/>
        <v>45300.645833333336</v>
      </c>
      <c r="BW211" s="120">
        <f>BV211+(10/24)</f>
        <v>45301.0625</v>
      </c>
      <c r="BZ211" s="136">
        <f t="shared" si="170"/>
        <v>44.416666666686069</v>
      </c>
      <c r="CA211" s="136">
        <f t="shared" si="171"/>
        <v>3.9999999999417923</v>
      </c>
      <c r="CB211" s="136">
        <f t="shared" si="172"/>
        <v>41.000000000058208</v>
      </c>
      <c r="CC211" s="136">
        <f t="shared" si="173"/>
        <v>24</v>
      </c>
      <c r="CD211" s="135">
        <f t="shared" si="174"/>
        <v>6</v>
      </c>
      <c r="CE211" s="135">
        <f t="shared" si="175"/>
        <v>9.9999999999417923</v>
      </c>
      <c r="CF211" s="134">
        <f t="shared" si="176"/>
        <v>5.3923611111094942</v>
      </c>
      <c r="CG211" s="134">
        <f t="shared" si="177"/>
        <v>14.048611111109494</v>
      </c>
      <c r="CH211" s="133">
        <f t="shared" si="178"/>
        <v>0.38383588729602397</v>
      </c>
    </row>
    <row r="212" spans="1:88">
      <c r="A212" s="125">
        <f t="shared" si="161"/>
        <v>45294.625000000007</v>
      </c>
      <c r="B212" s="116" t="s">
        <v>188</v>
      </c>
      <c r="C212" s="116" t="s">
        <v>229</v>
      </c>
      <c r="D212" s="116" t="s">
        <v>197</v>
      </c>
      <c r="E212" s="100" t="s">
        <v>3225</v>
      </c>
      <c r="F212" s="519" t="s">
        <v>3378</v>
      </c>
      <c r="G212" s="130"/>
      <c r="H212" s="130"/>
      <c r="I212" s="116" t="s">
        <v>231</v>
      </c>
      <c r="J212" s="116" t="s">
        <v>4007</v>
      </c>
      <c r="K212" s="519" t="s">
        <v>229</v>
      </c>
      <c r="L212" s="519" t="s">
        <v>4008</v>
      </c>
      <c r="M212" s="129"/>
      <c r="N212" s="116" t="s">
        <v>2800</v>
      </c>
      <c r="O212" s="116" t="s">
        <v>2801</v>
      </c>
      <c r="P212" s="116" t="s">
        <v>235</v>
      </c>
      <c r="Q212" s="131">
        <f>2205*2.4</f>
        <v>5292</v>
      </c>
      <c r="R212" s="131">
        <f>5300+100</f>
        <v>5400</v>
      </c>
      <c r="S212" s="122">
        <v>5300</v>
      </c>
      <c r="T212" s="122"/>
      <c r="U212" s="581"/>
      <c r="V212" s="581"/>
      <c r="W212" s="581"/>
      <c r="X212" s="723">
        <f t="shared" ref="X212" si="181">S212</f>
        <v>5300</v>
      </c>
      <c r="Y212" s="121"/>
      <c r="Z212" s="581"/>
      <c r="AA212" s="581"/>
      <c r="AB212" s="739"/>
      <c r="AD212" s="581"/>
      <c r="AE212" s="667"/>
      <c r="AF212" s="272"/>
      <c r="AG212" s="272"/>
      <c r="AH212" s="272"/>
      <c r="AI212" s="369"/>
      <c r="AJ212" s="272"/>
      <c r="AK212" s="272"/>
      <c r="AL212" s="272"/>
      <c r="AM212" s="121"/>
      <c r="AN212" s="121"/>
      <c r="AO212" s="121"/>
      <c r="AP212" s="121"/>
      <c r="AQ212" s="121"/>
      <c r="AR212" s="121"/>
      <c r="AS212" s="121"/>
      <c r="AT212" s="121"/>
      <c r="AU212" s="121"/>
      <c r="AV212" s="121"/>
      <c r="AW212" s="121"/>
      <c r="AX212" s="121"/>
      <c r="AY212" s="121"/>
      <c r="AZ212" s="121"/>
      <c r="BA212" s="121"/>
      <c r="BB212" s="121"/>
      <c r="BC212" s="121"/>
      <c r="BD212" s="127">
        <f t="shared" si="162"/>
        <v>45286.666666666664</v>
      </c>
      <c r="BE212" s="120">
        <f t="shared" si="163"/>
        <v>45301.375</v>
      </c>
      <c r="BF212" s="137">
        <f t="shared" si="164"/>
        <v>14.708333333335759</v>
      </c>
      <c r="BG212" s="127">
        <v>45286.666666666664</v>
      </c>
      <c r="BH212" s="127">
        <v>45288.572916666664</v>
      </c>
      <c r="BI212" s="127">
        <v>45291.364583333336</v>
      </c>
      <c r="BJ212" s="120">
        <f t="shared" si="180"/>
        <v>45294.625000000007</v>
      </c>
      <c r="BK212" s="120">
        <f t="shared" si="165"/>
        <v>45294.791666666672</v>
      </c>
      <c r="BL212" s="120">
        <f t="shared" si="166"/>
        <v>45294.812500000007</v>
      </c>
      <c r="BM212" s="120">
        <f t="shared" si="166"/>
        <v>45294.833333333343</v>
      </c>
      <c r="BN212" s="120">
        <f t="shared" si="167"/>
        <v>45296.541666666679</v>
      </c>
      <c r="BO212" s="120">
        <v>45297.333333333336</v>
      </c>
      <c r="BP212" s="120">
        <v>45297.5</v>
      </c>
      <c r="BQ212" s="124" t="s">
        <v>64</v>
      </c>
      <c r="BR212" s="120">
        <f t="shared" si="168"/>
        <v>45298.5</v>
      </c>
      <c r="BS212" s="120">
        <f t="shared" si="179"/>
        <v>45300.666666666664</v>
      </c>
      <c r="BT212" s="120">
        <f>BS212+(6/24)</f>
        <v>45300.916666666664</v>
      </c>
      <c r="BU212" s="120">
        <f t="shared" si="169"/>
        <v>45300.9375</v>
      </c>
      <c r="BV212" s="120">
        <f t="shared" si="169"/>
        <v>45300.958333333336</v>
      </c>
      <c r="BW212" s="120">
        <f>BV212+(10/24)</f>
        <v>45301.375</v>
      </c>
      <c r="BX212" s="121"/>
      <c r="BY212" s="121"/>
      <c r="BZ212" s="136">
        <f t="shared" si="170"/>
        <v>67.000000000116415</v>
      </c>
      <c r="CA212" s="136">
        <f t="shared" si="171"/>
        <v>3.9999999999417923</v>
      </c>
      <c r="CB212" s="136">
        <f t="shared" si="172"/>
        <v>41.000000000058208</v>
      </c>
      <c r="CC212" s="136">
        <f t="shared" si="173"/>
        <v>24</v>
      </c>
      <c r="CD212" s="135">
        <f t="shared" si="174"/>
        <v>6</v>
      </c>
      <c r="CE212" s="135">
        <f t="shared" si="175"/>
        <v>9.9999999999417923</v>
      </c>
      <c r="CF212" s="134">
        <f t="shared" si="176"/>
        <v>6.3333333333357587</v>
      </c>
      <c r="CG212" s="134">
        <f t="shared" si="177"/>
        <v>14.708333333335759</v>
      </c>
      <c r="CH212" s="133">
        <f t="shared" si="178"/>
        <v>0.43059490084995222</v>
      </c>
      <c r="CI212" s="121"/>
      <c r="CJ212" s="121"/>
    </row>
    <row r="213" spans="1:88" s="121" customFormat="1">
      <c r="A213" s="125">
        <f t="shared" si="161"/>
        <v>45294.833333333343</v>
      </c>
      <c r="B213" s="116" t="s">
        <v>188</v>
      </c>
      <c r="C213" s="116" t="s">
        <v>229</v>
      </c>
      <c r="D213" s="116" t="s">
        <v>197</v>
      </c>
      <c r="E213" s="100" t="s">
        <v>3225</v>
      </c>
      <c r="F213" s="519" t="s">
        <v>3378</v>
      </c>
      <c r="G213" s="130"/>
      <c r="H213" s="130"/>
      <c r="I213" s="116" t="s">
        <v>231</v>
      </c>
      <c r="J213" s="116" t="s">
        <v>4009</v>
      </c>
      <c r="K213" s="519" t="s">
        <v>229</v>
      </c>
      <c r="L213" s="519" t="s">
        <v>4010</v>
      </c>
      <c r="M213" s="129"/>
      <c r="N213" s="116" t="s">
        <v>2404</v>
      </c>
      <c r="O213" s="116" t="s">
        <v>2405</v>
      </c>
      <c r="P213" s="116" t="s">
        <v>235</v>
      </c>
      <c r="Q213" s="131">
        <f>4337*2.4</f>
        <v>10408.799999999999</v>
      </c>
      <c r="R213" s="131">
        <f>10500+100</f>
        <v>10600</v>
      </c>
      <c r="S213" s="122">
        <v>10500</v>
      </c>
      <c r="T213" s="667"/>
      <c r="U213" s="581"/>
      <c r="V213" s="581"/>
      <c r="W213" s="581"/>
      <c r="X213" s="723">
        <f t="shared" ref="X213" si="182">S213</f>
        <v>10500</v>
      </c>
      <c r="Z213" s="581"/>
      <c r="AA213" s="581"/>
      <c r="AB213" s="739"/>
      <c r="AC213" s="581"/>
      <c r="AD213" s="581"/>
      <c r="AE213" s="581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7">
        <f t="shared" si="162"/>
        <v>45288.666666666664</v>
      </c>
      <c r="BE213" s="120">
        <f t="shared" si="163"/>
        <v>45301.6875</v>
      </c>
      <c r="BF213" s="137">
        <f t="shared" si="164"/>
        <v>13.020833333335759</v>
      </c>
      <c r="BG213" s="127">
        <v>45288.666666666664</v>
      </c>
      <c r="BH213" s="127">
        <v>45289.878472222219</v>
      </c>
      <c r="BI213" s="127">
        <v>45291.423611111109</v>
      </c>
      <c r="BJ213" s="120">
        <f t="shared" si="180"/>
        <v>45294.833333333343</v>
      </c>
      <c r="BK213" s="120">
        <f t="shared" si="165"/>
        <v>45295.000000000007</v>
      </c>
      <c r="BL213" s="120">
        <f t="shared" si="166"/>
        <v>45295.020833333343</v>
      </c>
      <c r="BM213" s="120">
        <f t="shared" si="166"/>
        <v>45295.041666666679</v>
      </c>
      <c r="BN213" s="120">
        <f t="shared" si="167"/>
        <v>45296.750000000015</v>
      </c>
      <c r="BO213" s="120">
        <v>45297.333333333336</v>
      </c>
      <c r="BP213" s="120">
        <v>45297.5</v>
      </c>
      <c r="BQ213" s="124" t="s">
        <v>64</v>
      </c>
      <c r="BR213" s="120">
        <f t="shared" si="168"/>
        <v>45298.5</v>
      </c>
      <c r="BS213" s="120">
        <f t="shared" si="179"/>
        <v>45300.979166666664</v>
      </c>
      <c r="BT213" s="120">
        <f t="shared" ref="BT213:BT214" si="183">BS213+(6/24)</f>
        <v>45301.229166666664</v>
      </c>
      <c r="BU213" s="120">
        <f t="shared" ref="BU213:BV213" si="184">BT213+(0.5/24)</f>
        <v>45301.25</v>
      </c>
      <c r="BV213" s="120">
        <f t="shared" si="184"/>
        <v>45301.270833333336</v>
      </c>
      <c r="BW213" s="120">
        <f t="shared" ref="BW213:BW214" si="185">BV213+(10/24)</f>
        <v>45301.6875</v>
      </c>
      <c r="BZ213" s="136">
        <f t="shared" si="170"/>
        <v>37.083333333372138</v>
      </c>
      <c r="CA213" s="136">
        <f t="shared" si="171"/>
        <v>3.9999999999417923</v>
      </c>
      <c r="CB213" s="136">
        <f t="shared" si="172"/>
        <v>41.000000000058208</v>
      </c>
      <c r="CC213" s="136">
        <f t="shared" si="173"/>
        <v>24</v>
      </c>
      <c r="CD213" s="135">
        <f t="shared" si="174"/>
        <v>6</v>
      </c>
      <c r="CE213" s="135">
        <f t="shared" si="175"/>
        <v>9.9999999999417923</v>
      </c>
      <c r="CF213" s="134">
        <f t="shared" si="176"/>
        <v>5.0868055555547471</v>
      </c>
      <c r="CG213" s="134">
        <f t="shared" si="177"/>
        <v>13.020833333335759</v>
      </c>
      <c r="CH213" s="133">
        <f t="shared" si="178"/>
        <v>0.39066666666653183</v>
      </c>
      <c r="CI213" s="128"/>
      <c r="CJ213" s="115"/>
    </row>
    <row r="214" spans="1:88" s="121" customFormat="1">
      <c r="A214" s="125">
        <f t="shared" si="161"/>
        <v>45295.041666666679</v>
      </c>
      <c r="B214" s="116" t="s">
        <v>188</v>
      </c>
      <c r="C214" s="116" t="s">
        <v>229</v>
      </c>
      <c r="D214" s="116" t="s">
        <v>197</v>
      </c>
      <c r="E214" s="100" t="s">
        <v>3225</v>
      </c>
      <c r="F214" s="519" t="s">
        <v>3378</v>
      </c>
      <c r="G214" s="130"/>
      <c r="H214" s="130"/>
      <c r="I214" s="116" t="s">
        <v>231</v>
      </c>
      <c r="J214" s="116" t="s">
        <v>4011</v>
      </c>
      <c r="K214" s="519" t="s">
        <v>229</v>
      </c>
      <c r="L214" s="519" t="s">
        <v>4012</v>
      </c>
      <c r="M214" s="129"/>
      <c r="N214" s="116" t="s">
        <v>1874</v>
      </c>
      <c r="O214" s="116" t="s">
        <v>1875</v>
      </c>
      <c r="P214" s="116" t="s">
        <v>235</v>
      </c>
      <c r="Q214" s="131">
        <f>2205*2.4</f>
        <v>5292</v>
      </c>
      <c r="R214" s="131">
        <f>5300+100</f>
        <v>5400</v>
      </c>
      <c r="S214" s="122">
        <v>5300</v>
      </c>
      <c r="T214" s="122"/>
      <c r="U214" s="581"/>
      <c r="V214" s="581"/>
      <c r="W214" s="581"/>
      <c r="X214" s="723">
        <f t="shared" ref="X214" si="186">S214</f>
        <v>5300</v>
      </c>
      <c r="Z214" s="581"/>
      <c r="AA214" s="581"/>
      <c r="AB214" s="739"/>
      <c r="AC214" s="577"/>
      <c r="AD214" s="581"/>
      <c r="AE214" s="577"/>
      <c r="AF214" s="577"/>
      <c r="AG214" s="577"/>
      <c r="AH214" s="577"/>
      <c r="AI214" s="577"/>
      <c r="AJ214" s="577"/>
      <c r="AK214" s="272"/>
      <c r="AL214" s="272"/>
      <c r="BD214" s="127">
        <f t="shared" si="162"/>
        <v>45285.618055555555</v>
      </c>
      <c r="BE214" s="120">
        <f t="shared" si="163"/>
        <v>45302</v>
      </c>
      <c r="BF214" s="137">
        <f t="shared" si="164"/>
        <v>16.381944444445253</v>
      </c>
      <c r="BG214" s="127">
        <v>45285.618055555555</v>
      </c>
      <c r="BH214" s="127">
        <v>45288.805555555555</v>
      </c>
      <c r="BI214" s="127">
        <v>45291.479166666664</v>
      </c>
      <c r="BJ214" s="120">
        <f t="shared" si="180"/>
        <v>45295.041666666679</v>
      </c>
      <c r="BK214" s="120">
        <f t="shared" si="165"/>
        <v>45295.208333333343</v>
      </c>
      <c r="BL214" s="120">
        <f t="shared" si="166"/>
        <v>45295.229166666679</v>
      </c>
      <c r="BM214" s="120">
        <f t="shared" si="166"/>
        <v>45295.250000000015</v>
      </c>
      <c r="BN214" s="120">
        <f t="shared" si="167"/>
        <v>45296.95833333335</v>
      </c>
      <c r="BO214" s="120">
        <v>45297.333333333336</v>
      </c>
      <c r="BP214" s="120">
        <v>45297.5</v>
      </c>
      <c r="BQ214" s="124" t="s">
        <v>64</v>
      </c>
      <c r="BR214" s="120">
        <f t="shared" si="168"/>
        <v>45298.5</v>
      </c>
      <c r="BS214" s="120">
        <f t="shared" si="179"/>
        <v>45301.291666666664</v>
      </c>
      <c r="BT214" s="120">
        <f t="shared" si="183"/>
        <v>45301.541666666664</v>
      </c>
      <c r="BU214" s="120">
        <f t="shared" ref="BU214:BV214" si="187">BT214+(0.5/24)</f>
        <v>45301.5625</v>
      </c>
      <c r="BV214" s="120">
        <f t="shared" si="187"/>
        <v>45301.583333333336</v>
      </c>
      <c r="BW214" s="120">
        <f t="shared" si="185"/>
        <v>45302</v>
      </c>
      <c r="BZ214" s="136">
        <f t="shared" si="170"/>
        <v>64.166666666627862</v>
      </c>
      <c r="CA214" s="136">
        <f t="shared" si="171"/>
        <v>3.9999999999417923</v>
      </c>
      <c r="CB214" s="136">
        <f t="shared" si="172"/>
        <v>41.000000000058208</v>
      </c>
      <c r="CC214" s="136">
        <f t="shared" si="173"/>
        <v>24</v>
      </c>
      <c r="CD214" s="135">
        <f t="shared" si="174"/>
        <v>6</v>
      </c>
      <c r="CE214" s="135">
        <f t="shared" si="175"/>
        <v>9.9999999999417923</v>
      </c>
      <c r="CF214" s="134">
        <f t="shared" si="176"/>
        <v>6.2152777777737356</v>
      </c>
      <c r="CG214" s="134">
        <f t="shared" si="177"/>
        <v>16.381944444445253</v>
      </c>
      <c r="CH214" s="133">
        <f t="shared" si="178"/>
        <v>0.37939805002092997</v>
      </c>
    </row>
    <row r="215" spans="1:88" s="121" customFormat="1">
      <c r="A215" s="125">
        <f t="shared" si="161"/>
        <v>45295.250000000015</v>
      </c>
      <c r="B215" s="116" t="s">
        <v>188</v>
      </c>
      <c r="C215" s="116" t="s">
        <v>229</v>
      </c>
      <c r="D215" s="116" t="s">
        <v>215</v>
      </c>
      <c r="E215" s="100" t="s">
        <v>3225</v>
      </c>
      <c r="F215" s="519" t="s">
        <v>3378</v>
      </c>
      <c r="G215" s="130"/>
      <c r="H215" s="130"/>
      <c r="I215" s="116" t="s">
        <v>231</v>
      </c>
      <c r="J215" s="116" t="s">
        <v>4013</v>
      </c>
      <c r="K215" s="519" t="s">
        <v>229</v>
      </c>
      <c r="L215" s="519" t="s">
        <v>4014</v>
      </c>
      <c r="M215" s="129"/>
      <c r="N215" s="116" t="s">
        <v>301</v>
      </c>
      <c r="O215" s="116" t="s">
        <v>302</v>
      </c>
      <c r="P215" s="116" t="s">
        <v>235</v>
      </c>
      <c r="Q215" s="131">
        <f>3852*2.4</f>
        <v>9244.7999999999993</v>
      </c>
      <c r="R215" s="131">
        <v>9250</v>
      </c>
      <c r="S215" s="122">
        <v>9250</v>
      </c>
      <c r="T215" s="399"/>
      <c r="U215" s="581"/>
      <c r="V215" s="1127"/>
      <c r="W215" s="1127"/>
      <c r="X215" s="723">
        <f>S215</f>
        <v>9250</v>
      </c>
      <c r="Z215" s="369"/>
      <c r="AA215" s="581"/>
      <c r="AB215" s="581"/>
      <c r="AC215" s="581"/>
      <c r="AD215" s="581"/>
      <c r="AE215" s="581"/>
      <c r="AF215" s="581"/>
      <c r="AG215" s="581"/>
      <c r="AH215" s="581"/>
      <c r="AI215" s="581"/>
      <c r="AJ215" s="581"/>
      <c r="AK215" s="581"/>
      <c r="AL215" s="581"/>
      <c r="AM215" s="581"/>
      <c r="AN215" s="581"/>
      <c r="AO215" s="581"/>
      <c r="AP215" s="581"/>
      <c r="AQ215" s="581"/>
      <c r="AR215" s="581"/>
      <c r="AS215" s="581"/>
      <c r="AT215" s="581"/>
      <c r="AU215" s="581"/>
      <c r="AV215" s="581"/>
      <c r="AW215" s="581"/>
      <c r="AX215" s="581"/>
      <c r="AY215" s="581"/>
      <c r="AZ215" s="581"/>
      <c r="BA215" s="581"/>
      <c r="BB215" s="581"/>
      <c r="BC215" s="581"/>
      <c r="BD215" s="127">
        <f t="shared" si="162"/>
        <v>45288.427083333336</v>
      </c>
      <c r="BE215" s="120">
        <f t="shared" si="163"/>
        <v>45301.770833333336</v>
      </c>
      <c r="BF215" s="137">
        <f t="shared" si="164"/>
        <v>13.34375</v>
      </c>
      <c r="BG215" s="127">
        <v>45288.427083333336</v>
      </c>
      <c r="BH215" s="127">
        <v>45289.756944444445</v>
      </c>
      <c r="BI215" s="127">
        <v>45291.482638888891</v>
      </c>
      <c r="BJ215" s="120">
        <f t="shared" si="180"/>
        <v>45295.250000000015</v>
      </c>
      <c r="BK215" s="120">
        <f t="shared" si="165"/>
        <v>45295.416666666679</v>
      </c>
      <c r="BL215" s="120">
        <f t="shared" si="166"/>
        <v>45295.437500000015</v>
      </c>
      <c r="BM215" s="120">
        <f t="shared" si="166"/>
        <v>45295.45833333335</v>
      </c>
      <c r="BN215" s="120">
        <f t="shared" si="167"/>
        <v>45297.166666666686</v>
      </c>
      <c r="BO215" s="120">
        <v>45298.458333333336</v>
      </c>
      <c r="BP215" s="120">
        <v>45298.625</v>
      </c>
      <c r="BQ215" s="124" t="s">
        <v>64</v>
      </c>
      <c r="BR215" s="120">
        <f t="shared" si="168"/>
        <v>45299.625</v>
      </c>
      <c r="BS215" s="120">
        <f t="shared" si="179"/>
        <v>45301.604166666664</v>
      </c>
      <c r="BT215" s="179">
        <f>BS215+(3/24)</f>
        <v>45301.729166666664</v>
      </c>
      <c r="BU215" s="120">
        <f>BT215+(0.5/24)</f>
        <v>45301.75</v>
      </c>
      <c r="BV215" s="120">
        <f>BU215+(0.5/24)</f>
        <v>45301.770833333336</v>
      </c>
      <c r="BW215" s="179">
        <f>BV215</f>
        <v>45301.770833333336</v>
      </c>
      <c r="BZ215" s="136">
        <f t="shared" si="170"/>
        <v>41.416666666686069</v>
      </c>
      <c r="CA215" s="136">
        <f t="shared" si="171"/>
        <v>3.9999999999417923</v>
      </c>
      <c r="CB215" s="136">
        <f t="shared" si="172"/>
        <v>41.000000000058208</v>
      </c>
      <c r="CC215" s="136">
        <f t="shared" si="173"/>
        <v>24</v>
      </c>
      <c r="CD215" s="135">
        <f t="shared" si="174"/>
        <v>3</v>
      </c>
      <c r="CE215" s="135">
        <f t="shared" si="175"/>
        <v>0</v>
      </c>
      <c r="CF215" s="134">
        <f t="shared" si="176"/>
        <v>4.7256944444452529</v>
      </c>
      <c r="CG215" s="134">
        <f t="shared" si="177"/>
        <v>13.34375</v>
      </c>
      <c r="CH215" s="133">
        <f t="shared" si="178"/>
        <v>0.35415040333079179</v>
      </c>
      <c r="CJ215" s="115"/>
    </row>
    <row r="216" spans="1:88" s="128" customFormat="1">
      <c r="A216" s="125">
        <f t="shared" si="161"/>
        <v>45295.45833333335</v>
      </c>
      <c r="B216" s="116" t="s">
        <v>188</v>
      </c>
      <c r="C216" s="116" t="s">
        <v>229</v>
      </c>
      <c r="D216" s="116" t="s">
        <v>197</v>
      </c>
      <c r="E216" s="100" t="s">
        <v>3231</v>
      </c>
      <c r="F216" s="519" t="s">
        <v>3378</v>
      </c>
      <c r="G216" s="130"/>
      <c r="H216" s="130"/>
      <c r="I216" s="116" t="s">
        <v>243</v>
      </c>
      <c r="J216" s="116" t="s">
        <v>4015</v>
      </c>
      <c r="K216" s="519" t="s">
        <v>229</v>
      </c>
      <c r="L216" s="519" t="s">
        <v>4016</v>
      </c>
      <c r="M216" s="129"/>
      <c r="N216" s="116" t="s">
        <v>3546</v>
      </c>
      <c r="O216" s="116" t="s">
        <v>1308</v>
      </c>
      <c r="P216" s="519" t="s">
        <v>240</v>
      </c>
      <c r="Q216" s="131">
        <f>2205*2.4</f>
        <v>5292</v>
      </c>
      <c r="R216" s="131">
        <f>5300+100</f>
        <v>5400</v>
      </c>
      <c r="S216" s="122">
        <v>5300</v>
      </c>
      <c r="T216" s="122"/>
      <c r="U216" s="581"/>
      <c r="V216" s="581"/>
      <c r="W216" s="581"/>
      <c r="X216" s="581"/>
      <c r="Y216" s="1142">
        <f>S216</f>
        <v>5300</v>
      </c>
      <c r="Z216" s="581"/>
      <c r="AA216" s="581"/>
      <c r="AB216" s="581"/>
      <c r="AC216" s="581"/>
      <c r="AD216" s="581"/>
      <c r="AE216" s="401"/>
      <c r="AF216" s="272"/>
      <c r="AG216" s="272"/>
      <c r="AH216" s="272"/>
      <c r="AI216" s="369"/>
      <c r="AJ216" s="272"/>
      <c r="AK216" s="272"/>
      <c r="AL216" s="272"/>
      <c r="AM216" s="121"/>
      <c r="AN216" s="121"/>
      <c r="AO216" s="121"/>
      <c r="AP216" s="121"/>
      <c r="AQ216" s="121"/>
      <c r="AR216" s="121"/>
      <c r="AS216" s="739"/>
      <c r="AT216" s="739"/>
      <c r="AU216" s="121"/>
      <c r="AV216" s="121"/>
      <c r="AW216" s="121"/>
      <c r="AX216" s="121"/>
      <c r="AY216" s="121"/>
      <c r="AZ216" s="121"/>
      <c r="BA216" s="121"/>
      <c r="BB216" s="121"/>
      <c r="BC216" s="121"/>
      <c r="BD216" s="127">
        <f t="shared" si="162"/>
        <v>45286.4375</v>
      </c>
      <c r="BE216" s="120">
        <f t="shared" si="163"/>
        <v>45301.416666666672</v>
      </c>
      <c r="BF216" s="137">
        <f t="shared" si="164"/>
        <v>14.979166666671517</v>
      </c>
      <c r="BG216" s="127">
        <v>45286.4375</v>
      </c>
      <c r="BH216" s="127">
        <v>45287.826388888891</v>
      </c>
      <c r="BI216" s="127">
        <v>45291.5</v>
      </c>
      <c r="BJ216" s="120">
        <f t="shared" ref="BJ216:BJ226" si="188">BL215+(0.5/24)</f>
        <v>45295.45833333335</v>
      </c>
      <c r="BK216" s="120">
        <f t="shared" si="165"/>
        <v>45295.625000000015</v>
      </c>
      <c r="BL216" s="120">
        <f t="shared" si="166"/>
        <v>45295.64583333335</v>
      </c>
      <c r="BM216" s="120">
        <f t="shared" si="166"/>
        <v>45295.666666666686</v>
      </c>
      <c r="BN216" s="120">
        <f t="shared" si="167"/>
        <v>45297.375000000022</v>
      </c>
      <c r="BO216" s="120">
        <v>45298.458333333336</v>
      </c>
      <c r="BP216" s="120">
        <v>45298.625</v>
      </c>
      <c r="BQ216" s="124" t="s">
        <v>64</v>
      </c>
      <c r="BR216" s="120">
        <f t="shared" ref="BR216:BR221" si="189">BP216+((30+12)/24)</f>
        <v>45300.375</v>
      </c>
      <c r="BS216" s="120">
        <f>BR216+(1/24)</f>
        <v>45300.416666666664</v>
      </c>
      <c r="BT216" s="120">
        <f t="shared" ref="BT216:BT221" si="190">BS216+(6/24)</f>
        <v>45300.666666666664</v>
      </c>
      <c r="BU216" s="120">
        <f t="shared" ref="BU216:BV216" si="191">BT216+(0.5/24)</f>
        <v>45300.6875</v>
      </c>
      <c r="BV216" s="120">
        <f t="shared" si="191"/>
        <v>45300.708333333336</v>
      </c>
      <c r="BW216" s="120">
        <f t="shared" ref="BW216:BW221" si="192">BV216+(17/24)</f>
        <v>45301.416666666672</v>
      </c>
      <c r="BX216" s="121"/>
      <c r="BY216" s="121"/>
      <c r="BZ216" s="136">
        <f t="shared" si="170"/>
        <v>88.166666666627862</v>
      </c>
      <c r="CA216" s="136">
        <f t="shared" si="171"/>
        <v>3.9999999999417923</v>
      </c>
      <c r="CB216" s="136">
        <f t="shared" si="172"/>
        <v>41.000000000058208</v>
      </c>
      <c r="CC216" s="136">
        <f t="shared" si="173"/>
        <v>42</v>
      </c>
      <c r="CD216" s="135">
        <f t="shared" si="174"/>
        <v>6</v>
      </c>
      <c r="CE216" s="135">
        <f t="shared" si="175"/>
        <v>17.000000000058208</v>
      </c>
      <c r="CF216" s="134">
        <f t="shared" si="176"/>
        <v>8.2569444444452529</v>
      </c>
      <c r="CG216" s="134">
        <f t="shared" si="177"/>
        <v>14.979166666671517</v>
      </c>
      <c r="CH216" s="133">
        <f t="shared" si="178"/>
        <v>0.55122855818253658</v>
      </c>
      <c r="CI216" s="121"/>
      <c r="CJ216" s="121"/>
    </row>
    <row r="217" spans="1:88">
      <c r="A217" s="125">
        <f t="shared" si="161"/>
        <v>45295.666666666686</v>
      </c>
      <c r="B217" s="116" t="s">
        <v>188</v>
      </c>
      <c r="C217" s="116" t="s">
        <v>229</v>
      </c>
      <c r="D217" s="116" t="s">
        <v>197</v>
      </c>
      <c r="E217" s="100" t="s">
        <v>3221</v>
      </c>
      <c r="F217" s="519" t="s">
        <v>3378</v>
      </c>
      <c r="G217" s="473"/>
      <c r="H217" s="473"/>
      <c r="I217" s="116" t="s">
        <v>490</v>
      </c>
      <c r="J217" s="116" t="s">
        <v>4017</v>
      </c>
      <c r="K217" s="519" t="s">
        <v>229</v>
      </c>
      <c r="L217" s="519" t="s">
        <v>4018</v>
      </c>
      <c r="M217" s="129"/>
      <c r="N217" s="116" t="s">
        <v>284</v>
      </c>
      <c r="O217" s="116" t="s">
        <v>285</v>
      </c>
      <c r="P217" s="116" t="s">
        <v>846</v>
      </c>
      <c r="Q217" s="131">
        <f>3852*2.4</f>
        <v>9244.7999999999993</v>
      </c>
      <c r="R217" s="131">
        <f>9250+100</f>
        <v>9350</v>
      </c>
      <c r="S217" s="122">
        <v>9250</v>
      </c>
      <c r="T217" s="122"/>
      <c r="U217" s="1142">
        <f>S217*0.45</f>
        <v>4162.5</v>
      </c>
      <c r="V217" s="723">
        <f>S217*0.55</f>
        <v>5087.5</v>
      </c>
      <c r="W217" s="581"/>
      <c r="X217" s="581"/>
      <c r="Y217" s="121"/>
      <c r="Z217" s="369"/>
      <c r="AA217" s="581"/>
      <c r="AB217" s="581"/>
      <c r="AC217" s="401"/>
      <c r="AD217" s="401"/>
      <c r="AE217" s="678"/>
      <c r="AF217" s="678"/>
      <c r="AG217" s="678"/>
      <c r="AH217" s="67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7">
        <f t="shared" si="162"/>
        <v>45288.208333333336</v>
      </c>
      <c r="BE217" s="120">
        <f t="shared" si="163"/>
        <v>45305.3125</v>
      </c>
      <c r="BF217" s="137">
        <f t="shared" si="164"/>
        <v>17.104166666664241</v>
      </c>
      <c r="BG217" s="127">
        <v>45288.208333333336</v>
      </c>
      <c r="BH217" s="127">
        <v>45289.788194444445</v>
      </c>
      <c r="BI217" s="127">
        <v>45291.527777777781</v>
      </c>
      <c r="BJ217" s="120">
        <f t="shared" si="188"/>
        <v>45295.666666666686</v>
      </c>
      <c r="BK217" s="120">
        <f t="shared" si="165"/>
        <v>45295.83333333335</v>
      </c>
      <c r="BL217" s="120">
        <f t="shared" si="166"/>
        <v>45295.854166666686</v>
      </c>
      <c r="BM217" s="120">
        <f t="shared" si="166"/>
        <v>45295.875000000022</v>
      </c>
      <c r="BN217" s="120">
        <f t="shared" si="167"/>
        <v>45297.583333333358</v>
      </c>
      <c r="BO217" s="120">
        <v>45298.458333333336</v>
      </c>
      <c r="BP217" s="120">
        <v>45298.625</v>
      </c>
      <c r="BQ217" s="124" t="s">
        <v>64</v>
      </c>
      <c r="BR217" s="120">
        <f>BP217+(24/24)</f>
        <v>45299.625</v>
      </c>
      <c r="BS217" s="120">
        <f>BU194+(1/24)</f>
        <v>45304.604166666664</v>
      </c>
      <c r="BT217" s="120">
        <f>BS217+(6/24)</f>
        <v>45304.854166666664</v>
      </c>
      <c r="BU217" s="120">
        <f t="shared" ref="BU217:BV219" si="193">BT217+(0.5/24)</f>
        <v>45304.875</v>
      </c>
      <c r="BV217" s="120">
        <f t="shared" si="193"/>
        <v>45304.895833333336</v>
      </c>
      <c r="BW217" s="120">
        <f>BV217+(10/24)</f>
        <v>45305.3125</v>
      </c>
      <c r="BX217" s="121"/>
      <c r="BY217" s="121"/>
      <c r="BZ217" s="136">
        <f t="shared" si="170"/>
        <v>41.750000000058208</v>
      </c>
      <c r="CA217" s="136">
        <f t="shared" si="171"/>
        <v>3.9999999999417923</v>
      </c>
      <c r="CB217" s="136">
        <f t="shared" si="172"/>
        <v>41.000000000058208</v>
      </c>
      <c r="CC217" s="136">
        <f t="shared" si="173"/>
        <v>24</v>
      </c>
      <c r="CD217" s="135">
        <f t="shared" si="174"/>
        <v>6</v>
      </c>
      <c r="CE217" s="135">
        <f t="shared" si="175"/>
        <v>9.9999999999417923</v>
      </c>
      <c r="CF217" s="134">
        <f t="shared" si="176"/>
        <v>5.28125</v>
      </c>
      <c r="CG217" s="134">
        <f t="shared" si="177"/>
        <v>17.104166666664241</v>
      </c>
      <c r="CH217" s="133">
        <f t="shared" si="178"/>
        <v>0.30876979293548834</v>
      </c>
      <c r="CI217" s="121"/>
      <c r="CJ217" s="121"/>
    </row>
    <row r="218" spans="1:88" s="121" customFormat="1">
      <c r="A218" s="125">
        <f t="shared" si="161"/>
        <v>45295.875000000022</v>
      </c>
      <c r="B218" s="116" t="s">
        <v>188</v>
      </c>
      <c r="C218" s="116" t="s">
        <v>229</v>
      </c>
      <c r="D218" s="116" t="s">
        <v>197</v>
      </c>
      <c r="E218" s="100" t="s">
        <v>3221</v>
      </c>
      <c r="F218" s="519" t="s">
        <v>3378</v>
      </c>
      <c r="G218" s="473"/>
      <c r="H218" s="473"/>
      <c r="I218" s="116" t="s">
        <v>490</v>
      </c>
      <c r="J218" s="116" t="s">
        <v>4019</v>
      </c>
      <c r="K218" s="519" t="s">
        <v>229</v>
      </c>
      <c r="L218" s="519" t="s">
        <v>4020</v>
      </c>
      <c r="M218" s="129"/>
      <c r="N218" s="116" t="s">
        <v>263</v>
      </c>
      <c r="O218" s="116" t="s">
        <v>264</v>
      </c>
      <c r="P218" s="116" t="s">
        <v>846</v>
      </c>
      <c r="Q218" s="131">
        <f>3136*2.4</f>
        <v>7526.4</v>
      </c>
      <c r="R218" s="131">
        <f>7550+100</f>
        <v>7650</v>
      </c>
      <c r="S218" s="122">
        <v>7550</v>
      </c>
      <c r="T218" s="667"/>
      <c r="U218" s="1158">
        <f>S218*0.45</f>
        <v>3397.5</v>
      </c>
      <c r="V218" s="723">
        <f>S218*0.55</f>
        <v>4152.5</v>
      </c>
      <c r="W218" s="581"/>
      <c r="X218" s="581"/>
      <c r="Z218" s="369"/>
      <c r="AA218" s="581"/>
      <c r="AB218" s="581"/>
      <c r="AC218" s="581"/>
      <c r="AD218" s="581"/>
      <c r="AK218" s="272"/>
      <c r="AL218" s="272"/>
      <c r="BB218" s="401"/>
      <c r="BC218" s="401"/>
      <c r="BD218" s="127">
        <f t="shared" si="162"/>
        <v>45286.458333333336</v>
      </c>
      <c r="BE218" s="120">
        <f t="shared" si="163"/>
        <v>45305.625</v>
      </c>
      <c r="BF218" s="137">
        <f t="shared" si="164"/>
        <v>19.166666666664241</v>
      </c>
      <c r="BG218" s="127">
        <v>45286.458333333336</v>
      </c>
      <c r="BH218" s="127">
        <v>45289.78125</v>
      </c>
      <c r="BI218" s="127">
        <v>45291.534722222219</v>
      </c>
      <c r="BJ218" s="120">
        <f t="shared" si="188"/>
        <v>45295.875000000022</v>
      </c>
      <c r="BK218" s="120">
        <f t="shared" si="165"/>
        <v>45296.041666666686</v>
      </c>
      <c r="BL218" s="120">
        <f t="shared" si="166"/>
        <v>45296.062500000022</v>
      </c>
      <c r="BM218" s="120">
        <f t="shared" si="166"/>
        <v>45296.083333333358</v>
      </c>
      <c r="BN218" s="120">
        <f t="shared" si="167"/>
        <v>45297.791666666693</v>
      </c>
      <c r="BO218" s="120">
        <v>45298.458333333336</v>
      </c>
      <c r="BP218" s="120">
        <v>45298.625</v>
      </c>
      <c r="BQ218" s="124" t="s">
        <v>64</v>
      </c>
      <c r="BR218" s="120">
        <f>BP218+(24/24)</f>
        <v>45299.625</v>
      </c>
      <c r="BS218" s="120">
        <f>BU217+(1/24)</f>
        <v>45304.916666666664</v>
      </c>
      <c r="BT218" s="120">
        <f>BS218+(6/24)</f>
        <v>45305.166666666664</v>
      </c>
      <c r="BU218" s="120">
        <f t="shared" si="193"/>
        <v>45305.1875</v>
      </c>
      <c r="BV218" s="120">
        <f t="shared" si="193"/>
        <v>45305.208333333336</v>
      </c>
      <c r="BW218" s="120">
        <f>BV218+(10/24)</f>
        <v>45305.625</v>
      </c>
      <c r="BZ218" s="136">
        <f t="shared" si="170"/>
        <v>42.083333333255723</v>
      </c>
      <c r="CA218" s="136">
        <f t="shared" si="171"/>
        <v>3.9999999999417923</v>
      </c>
      <c r="CB218" s="136">
        <f t="shared" si="172"/>
        <v>41.000000000058208</v>
      </c>
      <c r="CC218" s="136">
        <f t="shared" si="173"/>
        <v>24</v>
      </c>
      <c r="CD218" s="135">
        <f t="shared" si="174"/>
        <v>6</v>
      </c>
      <c r="CE218" s="135">
        <f t="shared" si="175"/>
        <v>9.9999999999417923</v>
      </c>
      <c r="CF218" s="134">
        <f t="shared" si="176"/>
        <v>5.2951388888832298</v>
      </c>
      <c r="CG218" s="134">
        <f t="shared" si="177"/>
        <v>19.166666666664241</v>
      </c>
      <c r="CH218" s="133">
        <f t="shared" si="178"/>
        <v>0.2762681159417687</v>
      </c>
    </row>
    <row r="219" spans="1:88" s="128" customFormat="1">
      <c r="A219" s="125">
        <f t="shared" si="161"/>
        <v>45296.083333333358</v>
      </c>
      <c r="B219" s="116" t="s">
        <v>188</v>
      </c>
      <c r="C219" s="116" t="s">
        <v>229</v>
      </c>
      <c r="D219" s="116" t="s">
        <v>215</v>
      </c>
      <c r="E219" s="100" t="s">
        <v>3221</v>
      </c>
      <c r="F219" s="519" t="s">
        <v>3378</v>
      </c>
      <c r="G219" s="473"/>
      <c r="H219" s="473"/>
      <c r="I219" s="116" t="s">
        <v>490</v>
      </c>
      <c r="J219" s="116" t="s">
        <v>4021</v>
      </c>
      <c r="K219" s="519" t="s">
        <v>229</v>
      </c>
      <c r="L219" s="519" t="s">
        <v>4022</v>
      </c>
      <c r="M219" s="129"/>
      <c r="N219" s="116" t="s">
        <v>422</v>
      </c>
      <c r="O219" s="116" t="s">
        <v>3342</v>
      </c>
      <c r="P219" s="116" t="s">
        <v>846</v>
      </c>
      <c r="Q219" s="131">
        <f>3094*2.4</f>
        <v>7425.5999999999995</v>
      </c>
      <c r="R219" s="131">
        <f>7450+100</f>
        <v>7550</v>
      </c>
      <c r="S219" s="122">
        <v>7500</v>
      </c>
      <c r="T219" s="399"/>
      <c r="U219" s="1158">
        <f>S219*0.45</f>
        <v>3375</v>
      </c>
      <c r="V219" s="1142">
        <f>S219*0.55</f>
        <v>4125</v>
      </c>
      <c r="W219" s="581"/>
      <c r="X219" s="581"/>
      <c r="Y219" s="121"/>
      <c r="Z219" s="369"/>
      <c r="AA219" s="581"/>
      <c r="AB219" s="581"/>
      <c r="AC219" s="581"/>
      <c r="AD219" s="581"/>
      <c r="AE219" s="581"/>
      <c r="AF219" s="581"/>
      <c r="AG219" s="581"/>
      <c r="AH219" s="581"/>
      <c r="AI219" s="581"/>
      <c r="AJ219" s="581"/>
      <c r="AK219" s="581"/>
      <c r="AL219" s="581"/>
      <c r="AM219" s="581"/>
      <c r="AN219" s="581"/>
      <c r="AO219" s="581"/>
      <c r="AP219" s="581"/>
      <c r="AQ219" s="581"/>
      <c r="AR219" s="121"/>
      <c r="AS219" s="121"/>
      <c r="AT219" s="121"/>
      <c r="AU219" s="121"/>
      <c r="AV219" s="121"/>
      <c r="AW219" s="121"/>
      <c r="AX219" s="121"/>
      <c r="AY219" s="121"/>
      <c r="AZ219" s="121"/>
      <c r="BA219" s="121"/>
      <c r="BB219" s="121"/>
      <c r="BC219" s="121"/>
      <c r="BD219" s="127">
        <f t="shared" si="162"/>
        <v>45289.0625</v>
      </c>
      <c r="BE219" s="120">
        <f t="shared" si="163"/>
        <v>45305.395833333336</v>
      </c>
      <c r="BF219" s="137">
        <f t="shared" si="164"/>
        <v>16.333333333335759</v>
      </c>
      <c r="BG219" s="127">
        <v>45289.0625</v>
      </c>
      <c r="BH219" s="127">
        <v>45289.770833333336</v>
      </c>
      <c r="BI219" s="127">
        <v>45291.545138888891</v>
      </c>
      <c r="BJ219" s="120">
        <f t="shared" si="188"/>
        <v>45296.083333333358</v>
      </c>
      <c r="BK219" s="120">
        <f t="shared" si="165"/>
        <v>45296.250000000022</v>
      </c>
      <c r="BL219" s="120">
        <f t="shared" si="166"/>
        <v>45296.270833333358</v>
      </c>
      <c r="BM219" s="120">
        <f t="shared" si="166"/>
        <v>45296.291666666693</v>
      </c>
      <c r="BN219" s="120">
        <f t="shared" si="167"/>
        <v>45298.000000000029</v>
      </c>
      <c r="BO219" s="120">
        <v>45299.541666666664</v>
      </c>
      <c r="BP219" s="120">
        <v>45299.708333333328</v>
      </c>
      <c r="BQ219" s="124" t="s">
        <v>64</v>
      </c>
      <c r="BR219" s="120">
        <f>BP219+(24/24)</f>
        <v>45300.708333333328</v>
      </c>
      <c r="BS219" s="120">
        <f>BU218+(1/24)</f>
        <v>45305.229166666664</v>
      </c>
      <c r="BT219" s="179">
        <f>BS219+(3/24)</f>
        <v>45305.354166666664</v>
      </c>
      <c r="BU219" s="120">
        <f t="shared" si="193"/>
        <v>45305.375</v>
      </c>
      <c r="BV219" s="120">
        <f t="shared" si="193"/>
        <v>45305.395833333336</v>
      </c>
      <c r="BW219" s="179">
        <f>BV219</f>
        <v>45305.395833333336</v>
      </c>
      <c r="BX219" s="121"/>
      <c r="BY219" s="121"/>
      <c r="BZ219" s="136">
        <f t="shared" si="170"/>
        <v>42.583333333313931</v>
      </c>
      <c r="CA219" s="136">
        <f t="shared" si="171"/>
        <v>3.9999999999417923</v>
      </c>
      <c r="CB219" s="136">
        <f t="shared" si="172"/>
        <v>41.000000000058208</v>
      </c>
      <c r="CC219" s="136">
        <f t="shared" si="173"/>
        <v>24</v>
      </c>
      <c r="CD219" s="135">
        <f t="shared" si="174"/>
        <v>3</v>
      </c>
      <c r="CE219" s="135">
        <f t="shared" si="175"/>
        <v>0</v>
      </c>
      <c r="CF219" s="134">
        <f t="shared" si="176"/>
        <v>4.7743055555547471</v>
      </c>
      <c r="CG219" s="134">
        <f t="shared" si="177"/>
        <v>16.333333333335759</v>
      </c>
      <c r="CH219" s="133">
        <f t="shared" si="178"/>
        <v>0.2923044217686146</v>
      </c>
      <c r="CI219" s="121"/>
      <c r="CJ219" s="121"/>
    </row>
    <row r="220" spans="1:88" s="121" customFormat="1">
      <c r="A220" s="125">
        <f t="shared" si="161"/>
        <v>45296.291666666693</v>
      </c>
      <c r="B220" s="116" t="s">
        <v>188</v>
      </c>
      <c r="C220" s="116" t="s">
        <v>229</v>
      </c>
      <c r="D220" s="116" t="s">
        <v>197</v>
      </c>
      <c r="E220" s="100" t="s">
        <v>3231</v>
      </c>
      <c r="F220" s="519" t="s">
        <v>3378</v>
      </c>
      <c r="G220" s="130"/>
      <c r="H220" s="130"/>
      <c r="I220" s="116" t="s">
        <v>243</v>
      </c>
      <c r="J220" s="116" t="s">
        <v>4023</v>
      </c>
      <c r="K220" s="519" t="s">
        <v>229</v>
      </c>
      <c r="L220" s="519" t="s">
        <v>4024</v>
      </c>
      <c r="M220" s="129"/>
      <c r="N220" s="116" t="s">
        <v>218</v>
      </c>
      <c r="O220" s="116" t="s">
        <v>350</v>
      </c>
      <c r="P220" s="519" t="s">
        <v>240</v>
      </c>
      <c r="Q220" s="131">
        <f>3077*2.4</f>
        <v>7384.7999999999993</v>
      </c>
      <c r="R220" s="131">
        <f>7400+100</f>
        <v>7500</v>
      </c>
      <c r="S220" s="122">
        <v>7400</v>
      </c>
      <c r="T220" s="122"/>
      <c r="U220" s="581"/>
      <c r="V220" s="581"/>
      <c r="W220" s="581"/>
      <c r="X220" s="581"/>
      <c r="Y220" s="1158">
        <f>S220</f>
        <v>7400</v>
      </c>
      <c r="Z220" s="369"/>
      <c r="AA220" s="581"/>
      <c r="AB220" s="581"/>
      <c r="AC220" s="581"/>
      <c r="AD220" s="581"/>
      <c r="AE220" s="581"/>
      <c r="AF220" s="581"/>
      <c r="AG220" s="581"/>
      <c r="AH220" s="581"/>
      <c r="AI220" s="581"/>
      <c r="AJ220" s="581"/>
      <c r="AK220" s="581"/>
      <c r="AL220" s="581"/>
      <c r="AM220" s="581"/>
      <c r="AN220" s="581"/>
      <c r="AO220" s="581"/>
      <c r="AP220" s="581"/>
      <c r="AQ220" s="581"/>
      <c r="AR220" s="581"/>
      <c r="AS220" s="581"/>
      <c r="AT220" s="581"/>
      <c r="AU220" s="581"/>
      <c r="AV220" s="581"/>
      <c r="AW220" s="581"/>
      <c r="AX220" s="581"/>
      <c r="AY220" s="581"/>
      <c r="AZ220" s="581"/>
      <c r="BA220" s="581"/>
      <c r="BB220" s="581"/>
      <c r="BC220" s="581"/>
      <c r="BD220" s="127">
        <f t="shared" si="162"/>
        <v>45288.5</v>
      </c>
      <c r="BE220" s="120">
        <f t="shared" si="163"/>
        <v>45302.5</v>
      </c>
      <c r="BF220" s="137">
        <f t="shared" si="164"/>
        <v>14</v>
      </c>
      <c r="BG220" s="127">
        <v>45288.5</v>
      </c>
      <c r="BH220" s="127">
        <v>45289.569444444445</v>
      </c>
      <c r="BI220" s="127">
        <v>45291.78125</v>
      </c>
      <c r="BJ220" s="120">
        <f t="shared" si="188"/>
        <v>45296.291666666693</v>
      </c>
      <c r="BK220" s="120">
        <f t="shared" si="165"/>
        <v>45296.458333333358</v>
      </c>
      <c r="BL220" s="120">
        <f t="shared" si="166"/>
        <v>45296.479166666693</v>
      </c>
      <c r="BM220" s="120">
        <f t="shared" si="166"/>
        <v>45296.500000000029</v>
      </c>
      <c r="BN220" s="120">
        <f t="shared" si="167"/>
        <v>45298.208333333365</v>
      </c>
      <c r="BO220" s="120">
        <v>45299.541666666664</v>
      </c>
      <c r="BP220" s="120">
        <v>45299.708333333328</v>
      </c>
      <c r="BQ220" s="124" t="s">
        <v>64</v>
      </c>
      <c r="BR220" s="120">
        <f t="shared" si="189"/>
        <v>45301.458333333328</v>
      </c>
      <c r="BS220" s="120">
        <f>BR220+(1/24)</f>
        <v>45301.499999999993</v>
      </c>
      <c r="BT220" s="120">
        <f t="shared" si="190"/>
        <v>45301.749999999993</v>
      </c>
      <c r="BU220" s="120">
        <f t="shared" ref="BU220:BV220" si="194">BT220+(0.5/24)</f>
        <v>45301.770833333328</v>
      </c>
      <c r="BV220" s="120">
        <f t="shared" si="194"/>
        <v>45301.791666666664</v>
      </c>
      <c r="BW220" s="120">
        <f t="shared" si="192"/>
        <v>45302.5</v>
      </c>
      <c r="BZ220" s="136">
        <f t="shared" si="170"/>
        <v>53.083333333313931</v>
      </c>
      <c r="CA220" s="136">
        <f t="shared" si="171"/>
        <v>3.9999999999417923</v>
      </c>
      <c r="CB220" s="136">
        <f t="shared" si="172"/>
        <v>41.000000000058208</v>
      </c>
      <c r="CC220" s="136">
        <f t="shared" si="173"/>
        <v>42</v>
      </c>
      <c r="CD220" s="135">
        <f t="shared" si="174"/>
        <v>6</v>
      </c>
      <c r="CE220" s="135">
        <f t="shared" si="175"/>
        <v>17.000000000058208</v>
      </c>
      <c r="CF220" s="134">
        <f t="shared" si="176"/>
        <v>6.7951388888905058</v>
      </c>
      <c r="CG220" s="134">
        <f t="shared" si="177"/>
        <v>14</v>
      </c>
      <c r="CH220" s="133">
        <f t="shared" si="178"/>
        <v>0.48536706349217901</v>
      </c>
    </row>
    <row r="221" spans="1:88" s="121" customFormat="1">
      <c r="A221" s="125">
        <f t="shared" si="161"/>
        <v>45296.500000000029</v>
      </c>
      <c r="B221" s="116" t="s">
        <v>188</v>
      </c>
      <c r="C221" s="116" t="s">
        <v>229</v>
      </c>
      <c r="D221" s="116" t="s">
        <v>197</v>
      </c>
      <c r="E221" s="100" t="s">
        <v>3231</v>
      </c>
      <c r="F221" s="519" t="s">
        <v>3378</v>
      </c>
      <c r="G221" s="130"/>
      <c r="H221" s="130"/>
      <c r="I221" s="116" t="s">
        <v>243</v>
      </c>
      <c r="J221" s="116" t="s">
        <v>4025</v>
      </c>
      <c r="K221" s="519" t="s">
        <v>229</v>
      </c>
      <c r="L221" s="519" t="s">
        <v>4026</v>
      </c>
      <c r="M221" s="129"/>
      <c r="N221" s="116" t="s">
        <v>330</v>
      </c>
      <c r="O221" s="116" t="s">
        <v>331</v>
      </c>
      <c r="P221" s="519" t="s">
        <v>235</v>
      </c>
      <c r="Q221" s="131">
        <f>3136*2.4</f>
        <v>7526.4</v>
      </c>
      <c r="R221" s="131">
        <f>7550+100</f>
        <v>7650</v>
      </c>
      <c r="S221" s="122">
        <v>7500</v>
      </c>
      <c r="T221" s="667"/>
      <c r="U221" s="581"/>
      <c r="V221" s="581"/>
      <c r="W221" s="581"/>
      <c r="X221" s="723">
        <f>S221</f>
        <v>7500</v>
      </c>
      <c r="Y221" s="581"/>
      <c r="Z221" s="581"/>
      <c r="AA221" s="581"/>
      <c r="AB221" s="581"/>
      <c r="AC221" s="581"/>
      <c r="AD221" s="581"/>
      <c r="AE221" s="581"/>
      <c r="AF221" s="581"/>
      <c r="AG221" s="581"/>
      <c r="AH221" s="739"/>
      <c r="AI221" s="115"/>
      <c r="AJ221" s="115"/>
      <c r="AK221" s="115"/>
      <c r="AL221" s="115"/>
      <c r="AM221" s="115"/>
      <c r="AN221" s="115"/>
      <c r="AO221" s="115"/>
      <c r="AP221" s="115"/>
      <c r="AQ221" s="115"/>
      <c r="BD221" s="127">
        <f t="shared" si="162"/>
        <v>45288.763888888891</v>
      </c>
      <c r="BE221" s="120">
        <f t="shared" si="163"/>
        <v>45302.8125</v>
      </c>
      <c r="BF221" s="137">
        <f t="shared" si="164"/>
        <v>14.048611111109494</v>
      </c>
      <c r="BG221" s="127">
        <v>45288.763888888891</v>
      </c>
      <c r="BH221" s="127">
        <v>45289.763888888891</v>
      </c>
      <c r="BI221" s="127">
        <v>45291.791666666664</v>
      </c>
      <c r="BJ221" s="120">
        <f t="shared" si="188"/>
        <v>45296.500000000029</v>
      </c>
      <c r="BK221" s="120">
        <f t="shared" si="165"/>
        <v>45296.666666666693</v>
      </c>
      <c r="BL221" s="120">
        <f t="shared" si="166"/>
        <v>45296.687500000029</v>
      </c>
      <c r="BM221" s="120">
        <f t="shared" si="166"/>
        <v>45296.708333333365</v>
      </c>
      <c r="BN221" s="120">
        <f t="shared" si="167"/>
        <v>45298.416666666701</v>
      </c>
      <c r="BO221" s="120">
        <v>45299.541666666664</v>
      </c>
      <c r="BP221" s="120">
        <v>45299.708333333328</v>
      </c>
      <c r="BQ221" s="124" t="s">
        <v>64</v>
      </c>
      <c r="BR221" s="120">
        <f t="shared" si="189"/>
        <v>45301.458333333328</v>
      </c>
      <c r="BS221" s="120">
        <f>BU220+(1/24)</f>
        <v>45301.812499999993</v>
      </c>
      <c r="BT221" s="120">
        <f t="shared" si="190"/>
        <v>45302.062499999993</v>
      </c>
      <c r="BU221" s="120">
        <f t="shared" ref="BU221:BV221" si="195">BT221+(0.5/24)</f>
        <v>45302.083333333328</v>
      </c>
      <c r="BV221" s="120">
        <f t="shared" si="195"/>
        <v>45302.104166666664</v>
      </c>
      <c r="BW221" s="120">
        <f t="shared" si="192"/>
        <v>45302.8125</v>
      </c>
      <c r="BZ221" s="136">
        <f t="shared" si="170"/>
        <v>48.666666666569654</v>
      </c>
      <c r="CA221" s="136">
        <f t="shared" si="171"/>
        <v>3.9999999999417923</v>
      </c>
      <c r="CB221" s="136">
        <f t="shared" si="172"/>
        <v>41.000000000058208</v>
      </c>
      <c r="CC221" s="136">
        <f t="shared" si="173"/>
        <v>42</v>
      </c>
      <c r="CD221" s="135">
        <f t="shared" si="174"/>
        <v>6</v>
      </c>
      <c r="CE221" s="135">
        <f t="shared" si="175"/>
        <v>17.000000000058208</v>
      </c>
      <c r="CF221" s="134">
        <f t="shared" si="176"/>
        <v>6.6111111111094942</v>
      </c>
      <c r="CG221" s="134">
        <f t="shared" si="177"/>
        <v>14.048611111109494</v>
      </c>
      <c r="CH221" s="133">
        <f t="shared" si="178"/>
        <v>0.47058823529405669</v>
      </c>
    </row>
    <row r="222" spans="1:88" s="121" customFormat="1">
      <c r="A222" s="125">
        <f t="shared" si="161"/>
        <v>45296.708333333365</v>
      </c>
      <c r="B222" s="116" t="s">
        <v>188</v>
      </c>
      <c r="C222" s="116" t="s">
        <v>229</v>
      </c>
      <c r="D222" s="116" t="s">
        <v>197</v>
      </c>
      <c r="E222" s="100" t="s">
        <v>3231</v>
      </c>
      <c r="F222" s="519" t="s">
        <v>3378</v>
      </c>
      <c r="G222" s="130"/>
      <c r="H222" s="130"/>
      <c r="I222" s="116" t="s">
        <v>243</v>
      </c>
      <c r="J222" s="116" t="s">
        <v>4027</v>
      </c>
      <c r="K222" s="519" t="s">
        <v>229</v>
      </c>
      <c r="L222" s="519" t="s">
        <v>4028</v>
      </c>
      <c r="M222" s="129"/>
      <c r="N222" s="116" t="s">
        <v>686</v>
      </c>
      <c r="O222" s="116" t="s">
        <v>1186</v>
      </c>
      <c r="P222" s="519" t="s">
        <v>235</v>
      </c>
      <c r="Q222" s="131">
        <f>3136*2.4</f>
        <v>7526.4</v>
      </c>
      <c r="R222" s="131">
        <f>7550+100</f>
        <v>7650</v>
      </c>
      <c r="S222" s="122">
        <v>7550</v>
      </c>
      <c r="T222" s="667"/>
      <c r="U222" s="581"/>
      <c r="V222" s="581"/>
      <c r="W222" s="581"/>
      <c r="X222" s="723">
        <f>S222</f>
        <v>7550</v>
      </c>
      <c r="Y222" s="581"/>
      <c r="Z222" s="581"/>
      <c r="AA222" s="581"/>
      <c r="AB222" s="581"/>
      <c r="AC222" s="581"/>
      <c r="AD222" s="581"/>
      <c r="AE222" s="581"/>
      <c r="AF222" s="581"/>
      <c r="AG222" s="581"/>
      <c r="AH222" s="581"/>
      <c r="AI222" s="581"/>
      <c r="AJ222" s="581"/>
      <c r="AK222" s="581"/>
      <c r="AL222" s="581"/>
      <c r="AM222" s="581"/>
      <c r="AN222" s="581"/>
      <c r="AO222" s="581"/>
      <c r="AP222" s="581"/>
      <c r="AQ222" s="581"/>
      <c r="AR222" s="581"/>
      <c r="AS222" s="581"/>
      <c r="AT222" s="581"/>
      <c r="AU222" s="581"/>
      <c r="AV222" s="581"/>
      <c r="AW222" s="581"/>
      <c r="AX222" s="581"/>
      <c r="AY222" s="581"/>
      <c r="AZ222" s="581"/>
      <c r="BA222" s="581"/>
      <c r="BB222" s="581"/>
      <c r="BC222" s="581"/>
      <c r="BD222" s="127">
        <f t="shared" si="162"/>
        <v>45289.416666666664</v>
      </c>
      <c r="BE222" s="120">
        <f t="shared" si="163"/>
        <v>45303.125</v>
      </c>
      <c r="BF222" s="137">
        <f t="shared" si="164"/>
        <v>13.708333333335759</v>
      </c>
      <c r="BG222" s="127">
        <v>45289.416666666664</v>
      </c>
      <c r="BH222" s="127">
        <v>45290.545138888891</v>
      </c>
      <c r="BI222" s="127">
        <v>45292.395833333336</v>
      </c>
      <c r="BJ222" s="120">
        <f t="shared" si="188"/>
        <v>45296.708333333365</v>
      </c>
      <c r="BK222" s="120">
        <f t="shared" si="165"/>
        <v>45296.875000000029</v>
      </c>
      <c r="BL222" s="120">
        <f t="shared" si="166"/>
        <v>45296.895833333365</v>
      </c>
      <c r="BM222" s="120">
        <f t="shared" si="166"/>
        <v>45296.916666666701</v>
      </c>
      <c r="BN222" s="120">
        <f t="shared" si="167"/>
        <v>45298.625000000036</v>
      </c>
      <c r="BO222" s="120">
        <v>45299.541666666664</v>
      </c>
      <c r="BP222" s="120">
        <v>45299.708333333328</v>
      </c>
      <c r="BQ222" s="124" t="s">
        <v>64</v>
      </c>
      <c r="BR222" s="120">
        <f>BP222+((30+12)/24)</f>
        <v>45301.458333333328</v>
      </c>
      <c r="BS222" s="120">
        <f>BU221+(1/24)</f>
        <v>45302.124999999993</v>
      </c>
      <c r="BT222" s="120">
        <f>BS222+(6/24)</f>
        <v>45302.374999999993</v>
      </c>
      <c r="BU222" s="120">
        <f>BT222+(0.5/24)</f>
        <v>45302.395833333328</v>
      </c>
      <c r="BV222" s="120">
        <f>BU222+(0.5/24)</f>
        <v>45302.416666666664</v>
      </c>
      <c r="BW222" s="120">
        <f>BV222+(17/24)</f>
        <v>45303.125</v>
      </c>
      <c r="BZ222" s="136">
        <f t="shared" si="170"/>
        <v>44.416666666686069</v>
      </c>
      <c r="CA222" s="136">
        <f t="shared" si="171"/>
        <v>3.9999999999417923</v>
      </c>
      <c r="CB222" s="136">
        <f t="shared" si="172"/>
        <v>41.000000000058208</v>
      </c>
      <c r="CC222" s="136">
        <f t="shared" si="173"/>
        <v>42</v>
      </c>
      <c r="CD222" s="135">
        <f t="shared" si="174"/>
        <v>6</v>
      </c>
      <c r="CE222" s="135">
        <f t="shared" si="175"/>
        <v>17.000000000058208</v>
      </c>
      <c r="CF222" s="134">
        <f t="shared" si="176"/>
        <v>6.4340277777810115</v>
      </c>
      <c r="CG222" s="134">
        <f t="shared" si="177"/>
        <v>13.708333333335759</v>
      </c>
      <c r="CH222" s="133">
        <f t="shared" si="178"/>
        <v>0.46935157041555309</v>
      </c>
      <c r="CI222" s="128"/>
      <c r="CJ222" s="128"/>
    </row>
    <row r="223" spans="1:88" s="369" customFormat="1">
      <c r="A223" s="125">
        <f t="shared" si="161"/>
        <v>45296.916666666701</v>
      </c>
      <c r="B223" s="116" t="s">
        <v>188</v>
      </c>
      <c r="C223" s="116" t="s">
        <v>229</v>
      </c>
      <c r="D223" s="116" t="s">
        <v>215</v>
      </c>
      <c r="E223" s="100" t="s">
        <v>3231</v>
      </c>
      <c r="F223" s="519" t="s">
        <v>3378</v>
      </c>
      <c r="G223" s="130"/>
      <c r="H223" s="130"/>
      <c r="I223" s="116" t="s">
        <v>243</v>
      </c>
      <c r="J223" s="116" t="s">
        <v>4029</v>
      </c>
      <c r="K223" s="519" t="s">
        <v>229</v>
      </c>
      <c r="L223" s="519" t="s">
        <v>4030</v>
      </c>
      <c r="M223" s="129"/>
      <c r="N223" s="116" t="s">
        <v>343</v>
      </c>
      <c r="O223" s="116" t="s">
        <v>344</v>
      </c>
      <c r="P223" s="519" t="s">
        <v>235</v>
      </c>
      <c r="Q223" s="131">
        <f>3136*2.4</f>
        <v>7526.4</v>
      </c>
      <c r="R223" s="131">
        <f>7550+100</f>
        <v>7650</v>
      </c>
      <c r="S223" s="122">
        <v>7550</v>
      </c>
      <c r="T223" s="667"/>
      <c r="U223" s="581"/>
      <c r="V223" s="581"/>
      <c r="W223" s="581"/>
      <c r="X223" s="723">
        <f>S223</f>
        <v>7550</v>
      </c>
      <c r="Y223" s="581"/>
      <c r="Z223" s="581"/>
      <c r="AA223" s="581"/>
      <c r="AB223" s="581"/>
      <c r="AC223" s="581"/>
      <c r="AD223" s="581"/>
      <c r="AE223" s="581"/>
      <c r="AF223" s="581"/>
      <c r="AG223" s="581"/>
      <c r="AH223" s="581"/>
      <c r="AI223" s="581"/>
      <c r="AJ223" s="581"/>
      <c r="AK223" s="581"/>
      <c r="AL223" s="667"/>
      <c r="AM223" s="667"/>
      <c r="AN223" s="667"/>
      <c r="AO223" s="667"/>
      <c r="AP223" s="667"/>
      <c r="AQ223" s="667"/>
      <c r="AR223" s="667"/>
      <c r="AS223" s="667"/>
      <c r="AT223" s="667"/>
      <c r="AU223" s="667"/>
      <c r="AV223" s="667"/>
      <c r="AW223" s="667"/>
      <c r="AX223" s="121"/>
      <c r="AY223" s="121"/>
      <c r="AZ223" s="121"/>
      <c r="BA223" s="121"/>
      <c r="BB223" s="121"/>
      <c r="BC223" s="121"/>
      <c r="BD223" s="127">
        <f t="shared" si="162"/>
        <v>45288.888888888891</v>
      </c>
      <c r="BE223" s="120">
        <f t="shared" si="163"/>
        <v>45303.4375</v>
      </c>
      <c r="BF223" s="137">
        <f t="shared" si="164"/>
        <v>14.548611111109494</v>
      </c>
      <c r="BG223" s="1072">
        <v>45288.888888888891</v>
      </c>
      <c r="BH223" s="127">
        <v>45290.625</v>
      </c>
      <c r="BI223" s="127">
        <v>45292.416666666664</v>
      </c>
      <c r="BJ223" s="120">
        <f t="shared" si="188"/>
        <v>45296.916666666701</v>
      </c>
      <c r="BK223" s="120">
        <f t="shared" si="165"/>
        <v>45297.083333333365</v>
      </c>
      <c r="BL223" s="120">
        <f t="shared" si="166"/>
        <v>45297.104166666701</v>
      </c>
      <c r="BM223" s="120">
        <f t="shared" si="166"/>
        <v>45297.125000000036</v>
      </c>
      <c r="BN223" s="120">
        <f t="shared" si="167"/>
        <v>45298.833333333372</v>
      </c>
      <c r="BO223" s="120">
        <v>45299.541666666664</v>
      </c>
      <c r="BP223" s="120">
        <v>45299.708333333328</v>
      </c>
      <c r="BQ223" s="124" t="s">
        <v>64</v>
      </c>
      <c r="BR223" s="120">
        <f t="shared" ref="BR223:BR225" si="196">BP223+((30+12)/24)</f>
        <v>45301.458333333328</v>
      </c>
      <c r="BS223" s="120">
        <f>BU222+(1/24)</f>
        <v>45302.437499999993</v>
      </c>
      <c r="BT223" s="120">
        <f t="shared" ref="BT223:BT225" si="197">BS223+(6/24)</f>
        <v>45302.687499999993</v>
      </c>
      <c r="BU223" s="120">
        <f t="shared" ref="BU223:BV223" si="198">BT223+(0.5/24)</f>
        <v>45302.708333333328</v>
      </c>
      <c r="BV223" s="120">
        <f t="shared" si="198"/>
        <v>45302.729166666664</v>
      </c>
      <c r="BW223" s="120">
        <f t="shared" ref="BW223:BW225" si="199">BV223+(17/24)</f>
        <v>45303.4375</v>
      </c>
      <c r="BX223" s="121"/>
      <c r="BY223" s="121"/>
      <c r="BZ223" s="136">
        <f t="shared" si="170"/>
        <v>42.999999999941792</v>
      </c>
      <c r="CA223" s="136">
        <f t="shared" si="171"/>
        <v>3.9999999999417923</v>
      </c>
      <c r="CB223" s="136">
        <f t="shared" si="172"/>
        <v>41.000000000058208</v>
      </c>
      <c r="CC223" s="136">
        <f t="shared" si="173"/>
        <v>42</v>
      </c>
      <c r="CD223" s="135">
        <f t="shared" si="174"/>
        <v>6</v>
      </c>
      <c r="CE223" s="135">
        <f t="shared" si="175"/>
        <v>17.000000000058208</v>
      </c>
      <c r="CF223" s="134">
        <f t="shared" si="176"/>
        <v>6.375</v>
      </c>
      <c r="CG223" s="134">
        <f t="shared" si="177"/>
        <v>14.548611111109494</v>
      </c>
      <c r="CH223" s="133">
        <f t="shared" si="178"/>
        <v>0.43818615751794848</v>
      </c>
      <c r="CI223" s="121"/>
      <c r="CJ223" s="116"/>
    </row>
    <row r="224" spans="1:88" s="369" customFormat="1">
      <c r="A224" s="125">
        <f t="shared" si="161"/>
        <v>45297.125000000036</v>
      </c>
      <c r="B224" s="116" t="s">
        <v>188</v>
      </c>
      <c r="C224" s="116" t="s">
        <v>229</v>
      </c>
      <c r="D224" s="116" t="s">
        <v>197</v>
      </c>
      <c r="E224" s="100" t="s">
        <v>3231</v>
      </c>
      <c r="F224" s="519" t="s">
        <v>3378</v>
      </c>
      <c r="G224" s="130"/>
      <c r="H224" s="130"/>
      <c r="I224" s="116" t="s">
        <v>243</v>
      </c>
      <c r="J224" s="116" t="s">
        <v>4031</v>
      </c>
      <c r="K224" s="519" t="s">
        <v>229</v>
      </c>
      <c r="L224" s="519" t="s">
        <v>4032</v>
      </c>
      <c r="M224" s="129"/>
      <c r="N224" s="116" t="s">
        <v>489</v>
      </c>
      <c r="O224" s="116" t="s">
        <v>483</v>
      </c>
      <c r="P224" s="519" t="s">
        <v>235</v>
      </c>
      <c r="Q224" s="131">
        <f>3107*2.4</f>
        <v>7456.7999999999993</v>
      </c>
      <c r="R224" s="131">
        <f>7500+100</f>
        <v>7600</v>
      </c>
      <c r="S224" s="122">
        <v>7500</v>
      </c>
      <c r="T224" s="667"/>
      <c r="U224" s="581"/>
      <c r="V224" s="581"/>
      <c r="W224" s="581"/>
      <c r="X224" s="723">
        <f>S224</f>
        <v>7500</v>
      </c>
      <c r="Y224" s="581"/>
      <c r="Z224" s="581"/>
      <c r="AA224" s="581"/>
      <c r="AB224" s="581"/>
      <c r="AC224" s="581"/>
      <c r="AD224" s="581"/>
      <c r="AE224" s="581"/>
      <c r="AF224" s="581"/>
      <c r="AG224" s="581"/>
      <c r="AH224" s="121"/>
      <c r="AI224" s="401"/>
      <c r="AJ224" s="401"/>
      <c r="AK224" s="401"/>
      <c r="AL224" s="401"/>
      <c r="AM224" s="401"/>
      <c r="AN224" s="401"/>
      <c r="AO224" s="401"/>
      <c r="AP224" s="401"/>
      <c r="AQ224" s="401"/>
      <c r="AR224" s="401"/>
      <c r="AS224" s="401"/>
      <c r="AT224" s="401"/>
      <c r="AU224" s="401"/>
      <c r="AV224" s="128"/>
      <c r="AW224" s="128"/>
      <c r="AX224" s="128"/>
      <c r="AY224" s="128"/>
      <c r="AZ224" s="128"/>
      <c r="BA224" s="128"/>
      <c r="BB224" s="128"/>
      <c r="BC224" s="128"/>
      <c r="BD224" s="127">
        <f t="shared" si="162"/>
        <v>45290.052083333336</v>
      </c>
      <c r="BE224" s="120">
        <f t="shared" si="163"/>
        <v>45303.75</v>
      </c>
      <c r="BF224" s="137">
        <f t="shared" si="164"/>
        <v>13.697916666664241</v>
      </c>
      <c r="BG224" s="127">
        <v>45290.052083333336</v>
      </c>
      <c r="BH224" s="127">
        <v>45290.861111111109</v>
      </c>
      <c r="BI224" s="127">
        <v>45292.677083333336</v>
      </c>
      <c r="BJ224" s="120">
        <f t="shared" si="188"/>
        <v>45297.125000000036</v>
      </c>
      <c r="BK224" s="120">
        <f t="shared" si="165"/>
        <v>45297.291666666701</v>
      </c>
      <c r="BL224" s="120">
        <f t="shared" si="166"/>
        <v>45297.312500000036</v>
      </c>
      <c r="BM224" s="120">
        <f t="shared" si="166"/>
        <v>45297.333333333372</v>
      </c>
      <c r="BN224" s="120">
        <f t="shared" si="167"/>
        <v>45299.041666666708</v>
      </c>
      <c r="BO224" s="120">
        <v>45300.541666666664</v>
      </c>
      <c r="BP224" s="120">
        <v>45300.708333333328</v>
      </c>
      <c r="BQ224" s="124" t="s">
        <v>64</v>
      </c>
      <c r="BR224" s="120">
        <f t="shared" si="196"/>
        <v>45302.458333333328</v>
      </c>
      <c r="BS224" s="120">
        <f>BU223+(1/24)</f>
        <v>45302.749999999993</v>
      </c>
      <c r="BT224" s="120">
        <f t="shared" si="197"/>
        <v>45302.999999999993</v>
      </c>
      <c r="BU224" s="120">
        <f t="shared" ref="BU224:BV224" si="200">BT224+(0.5/24)</f>
        <v>45303.020833333328</v>
      </c>
      <c r="BV224" s="120">
        <f t="shared" si="200"/>
        <v>45303.041666666664</v>
      </c>
      <c r="BW224" s="120">
        <f t="shared" si="199"/>
        <v>45303.75</v>
      </c>
      <c r="BX224" s="121"/>
      <c r="BY224" s="121"/>
      <c r="BZ224" s="136">
        <f t="shared" si="170"/>
        <v>43.583333333430346</v>
      </c>
      <c r="CA224" s="136">
        <f t="shared" si="171"/>
        <v>3.9999999999417923</v>
      </c>
      <c r="CB224" s="136">
        <f t="shared" si="172"/>
        <v>41.000000000058208</v>
      </c>
      <c r="CC224" s="136">
        <f t="shared" si="173"/>
        <v>42</v>
      </c>
      <c r="CD224" s="135">
        <f t="shared" si="174"/>
        <v>6</v>
      </c>
      <c r="CE224" s="135">
        <f t="shared" si="175"/>
        <v>17.000000000058208</v>
      </c>
      <c r="CF224" s="134">
        <f t="shared" si="176"/>
        <v>6.3993055555620231</v>
      </c>
      <c r="CG224" s="134">
        <f t="shared" si="177"/>
        <v>13.697916666664241</v>
      </c>
      <c r="CH224" s="133">
        <f t="shared" si="178"/>
        <v>0.46717363751639773</v>
      </c>
      <c r="CI224" s="128"/>
      <c r="CJ224" s="121"/>
    </row>
    <row r="225" spans="1:88" s="121" customFormat="1">
      <c r="A225" s="125">
        <f t="shared" si="161"/>
        <v>45297.333333333372</v>
      </c>
      <c r="B225" s="116" t="s">
        <v>188</v>
      </c>
      <c r="C225" s="116" t="s">
        <v>229</v>
      </c>
      <c r="D225" s="116" t="s">
        <v>215</v>
      </c>
      <c r="E225" s="100" t="s">
        <v>3231</v>
      </c>
      <c r="F225" s="519" t="s">
        <v>3378</v>
      </c>
      <c r="G225" s="130"/>
      <c r="H225" s="130"/>
      <c r="I225" s="116" t="s">
        <v>243</v>
      </c>
      <c r="J225" s="116" t="s">
        <v>4033</v>
      </c>
      <c r="K225" s="519" t="s">
        <v>229</v>
      </c>
      <c r="L225" s="519" t="s">
        <v>4034</v>
      </c>
      <c r="M225" s="129"/>
      <c r="N225" s="116" t="s">
        <v>390</v>
      </c>
      <c r="O225" s="116" t="s">
        <v>3346</v>
      </c>
      <c r="P225" s="519" t="s">
        <v>235</v>
      </c>
      <c r="Q225" s="131">
        <f>3094*2.4</f>
        <v>7425.5999999999995</v>
      </c>
      <c r="R225" s="131">
        <f>7450+100</f>
        <v>7550</v>
      </c>
      <c r="S225" s="122">
        <v>7500</v>
      </c>
      <c r="T225" s="667"/>
      <c r="U225" s="581"/>
      <c r="V225" s="581"/>
      <c r="W225" s="581"/>
      <c r="X225" s="723">
        <f>S225</f>
        <v>7500</v>
      </c>
      <c r="Y225" s="581"/>
      <c r="Z225" s="581"/>
      <c r="AA225" s="581"/>
      <c r="AB225" s="739"/>
      <c r="AC225" s="581"/>
      <c r="AD225" s="581"/>
      <c r="AE225" s="581"/>
      <c r="AF225" s="581"/>
      <c r="AG225" s="581"/>
      <c r="AH225" s="581"/>
      <c r="AI225" s="581"/>
      <c r="AJ225" s="581"/>
      <c r="AK225" s="581"/>
      <c r="AL225" s="581"/>
      <c r="AM225" s="581"/>
      <c r="AN225" s="581"/>
      <c r="AO225" s="581"/>
      <c r="AP225" s="581"/>
      <c r="AQ225" s="581"/>
      <c r="AR225" s="667"/>
      <c r="AS225" s="667"/>
      <c r="AT225" s="667"/>
      <c r="AU225" s="667"/>
      <c r="AV225" s="667"/>
      <c r="AW225" s="667"/>
      <c r="AX225" s="667"/>
      <c r="AY225" s="667"/>
      <c r="AZ225" s="667"/>
      <c r="BA225" s="667"/>
      <c r="BB225" s="667"/>
      <c r="BC225" s="667"/>
      <c r="BD225" s="127">
        <f t="shared" si="162"/>
        <v>45289.489583333336</v>
      </c>
      <c r="BE225" s="120">
        <f t="shared" si="163"/>
        <v>45304.0625</v>
      </c>
      <c r="BF225" s="137">
        <f t="shared" si="164"/>
        <v>14.572916666664241</v>
      </c>
      <c r="BG225" s="127">
        <v>45289.489583333336</v>
      </c>
      <c r="BH225" s="127">
        <v>45290.784722222219</v>
      </c>
      <c r="BI225" s="127">
        <v>45292.6875</v>
      </c>
      <c r="BJ225" s="120">
        <f t="shared" si="188"/>
        <v>45297.333333333372</v>
      </c>
      <c r="BK225" s="120">
        <f t="shared" si="165"/>
        <v>45297.500000000036</v>
      </c>
      <c r="BL225" s="120">
        <f t="shared" si="166"/>
        <v>45297.520833333372</v>
      </c>
      <c r="BM225" s="120">
        <f t="shared" si="166"/>
        <v>45297.541666666708</v>
      </c>
      <c r="BN225" s="120">
        <f t="shared" si="167"/>
        <v>45299.250000000044</v>
      </c>
      <c r="BO225" s="120">
        <v>45300.541666666664</v>
      </c>
      <c r="BP225" s="120">
        <v>45300.708333333328</v>
      </c>
      <c r="BQ225" s="124" t="s">
        <v>64</v>
      </c>
      <c r="BR225" s="120">
        <f t="shared" si="196"/>
        <v>45302.458333333328</v>
      </c>
      <c r="BS225" s="120">
        <f>BU224+(1/24)</f>
        <v>45303.062499999993</v>
      </c>
      <c r="BT225" s="120">
        <f t="shared" si="197"/>
        <v>45303.312499999993</v>
      </c>
      <c r="BU225" s="120">
        <f t="shared" ref="BU225:BV225" si="201">BT225+(0.5/24)</f>
        <v>45303.333333333328</v>
      </c>
      <c r="BV225" s="120">
        <f t="shared" si="201"/>
        <v>45303.354166666664</v>
      </c>
      <c r="BW225" s="120">
        <f t="shared" si="199"/>
        <v>45304.0625</v>
      </c>
      <c r="BZ225" s="136">
        <f t="shared" si="170"/>
        <v>45.666666666744277</v>
      </c>
      <c r="CA225" s="136">
        <f t="shared" si="171"/>
        <v>3.9999999999417923</v>
      </c>
      <c r="CB225" s="136">
        <f t="shared" si="172"/>
        <v>41.000000000058208</v>
      </c>
      <c r="CC225" s="136">
        <f t="shared" si="173"/>
        <v>42</v>
      </c>
      <c r="CD225" s="135">
        <f t="shared" si="174"/>
        <v>6</v>
      </c>
      <c r="CE225" s="135">
        <f t="shared" si="175"/>
        <v>17.000000000058208</v>
      </c>
      <c r="CF225" s="134">
        <f t="shared" si="176"/>
        <v>6.4861111111167702</v>
      </c>
      <c r="CG225" s="134">
        <f t="shared" si="177"/>
        <v>14.572916666664241</v>
      </c>
      <c r="CH225" s="133">
        <f t="shared" si="178"/>
        <v>0.44507981891873738</v>
      </c>
      <c r="CI225" s="128"/>
      <c r="CJ225" s="115"/>
    </row>
    <row r="226" spans="1:88" s="128" customFormat="1">
      <c r="A226" s="125">
        <f t="shared" si="161"/>
        <v>45297.541666666708</v>
      </c>
      <c r="B226" s="116" t="s">
        <v>188</v>
      </c>
      <c r="C226" s="116" t="s">
        <v>229</v>
      </c>
      <c r="D226" s="116" t="s">
        <v>197</v>
      </c>
      <c r="E226" s="100" t="s">
        <v>230</v>
      </c>
      <c r="F226" s="519" t="s">
        <v>3474</v>
      </c>
      <c r="G226" s="130"/>
      <c r="H226" s="130"/>
      <c r="I226" s="116" t="s">
        <v>471</v>
      </c>
      <c r="J226" s="116" t="s">
        <v>4035</v>
      </c>
      <c r="K226" s="519" t="s">
        <v>229</v>
      </c>
      <c r="L226" s="519" t="s">
        <v>4036</v>
      </c>
      <c r="M226" s="129"/>
      <c r="N226" s="116" t="s">
        <v>1313</v>
      </c>
      <c r="O226" s="116" t="s">
        <v>2486</v>
      </c>
      <c r="P226" s="519" t="s">
        <v>172</v>
      </c>
      <c r="Q226" s="131">
        <f>3071*2.4</f>
        <v>7370.4</v>
      </c>
      <c r="R226" s="131">
        <f>7400+100</f>
        <v>7500</v>
      </c>
      <c r="S226" s="122">
        <v>7400</v>
      </c>
      <c r="T226" s="121"/>
      <c r="V226" s="581"/>
      <c r="W226" s="581"/>
      <c r="Y226" s="581"/>
      <c r="Z226" s="1142">
        <f>S226</f>
        <v>7400</v>
      </c>
      <c r="AA226" s="581"/>
      <c r="AB226" s="581"/>
      <c r="AC226" s="581"/>
      <c r="AD226" s="581"/>
      <c r="AE226" s="581"/>
      <c r="AF226" s="581"/>
      <c r="AG226" s="581"/>
      <c r="AH226" s="577"/>
      <c r="AI226" s="577"/>
      <c r="AJ226" s="577"/>
      <c r="AK226" s="115"/>
      <c r="AL226" s="115"/>
      <c r="AM226" s="739"/>
      <c r="AN226" s="115"/>
      <c r="AO226" s="115"/>
      <c r="AP226" s="115"/>
      <c r="AQ226" s="115"/>
      <c r="AR226" s="121"/>
      <c r="AS226" s="121"/>
      <c r="AT226" s="121"/>
      <c r="AU226" s="121"/>
      <c r="AV226" s="121"/>
      <c r="AW226" s="121"/>
      <c r="AX226" s="121"/>
      <c r="AY226" s="121"/>
      <c r="AZ226" s="121"/>
      <c r="BA226" s="121"/>
      <c r="BB226" s="121"/>
      <c r="BC226" s="121"/>
      <c r="BD226" s="127">
        <f t="shared" si="162"/>
        <v>45289.854166666664</v>
      </c>
      <c r="BE226" s="120">
        <f t="shared" si="163"/>
        <v>45302.5</v>
      </c>
      <c r="BF226" s="137">
        <f t="shared" si="164"/>
        <v>12.645833333335759</v>
      </c>
      <c r="BG226" s="127">
        <v>45289.854166666664</v>
      </c>
      <c r="BH226" s="127">
        <v>45290.826388888891</v>
      </c>
      <c r="BI226" s="127">
        <v>45292.833333333336</v>
      </c>
      <c r="BJ226" s="120">
        <f t="shared" si="188"/>
        <v>45297.541666666708</v>
      </c>
      <c r="BK226" s="120">
        <f t="shared" si="165"/>
        <v>45297.708333333372</v>
      </c>
      <c r="BL226" s="120">
        <f t="shared" si="166"/>
        <v>45297.729166666708</v>
      </c>
      <c r="BM226" s="120">
        <f t="shared" si="166"/>
        <v>45297.750000000044</v>
      </c>
      <c r="BN226" s="120">
        <f t="shared" si="167"/>
        <v>45299.458333333379</v>
      </c>
      <c r="BO226" s="120">
        <v>45300.541666666664</v>
      </c>
      <c r="BP226" s="120">
        <v>45300.708333333328</v>
      </c>
      <c r="BQ226" s="124" t="s">
        <v>64</v>
      </c>
      <c r="BR226" s="120">
        <f>BP226+(24/24)</f>
        <v>45301.708333333328</v>
      </c>
      <c r="BS226" s="169">
        <v>45301.791666666664</v>
      </c>
      <c r="BT226" s="120">
        <f t="shared" ref="BT226" si="202">BS226+(6/24)</f>
        <v>45302.041666666664</v>
      </c>
      <c r="BU226" s="120">
        <f t="shared" ref="BU226" si="203">BT226+(0.5/24)</f>
        <v>45302.0625</v>
      </c>
      <c r="BV226" s="120">
        <f t="shared" ref="BV226" si="204">BU226+(0.5/24)</f>
        <v>45302.083333333336</v>
      </c>
      <c r="BW226" s="120">
        <f t="shared" ref="BW226" si="205">BV226+(10/24)</f>
        <v>45302.5</v>
      </c>
      <c r="BX226" s="121"/>
      <c r="BY226" s="121"/>
      <c r="BZ226" s="136">
        <f t="shared" si="170"/>
        <v>48.166666666686069</v>
      </c>
      <c r="CA226" s="136">
        <f t="shared" si="171"/>
        <v>3.9999999999417923</v>
      </c>
      <c r="CB226" s="136">
        <f t="shared" si="172"/>
        <v>41.000000000058208</v>
      </c>
      <c r="CC226" s="136">
        <f t="shared" si="173"/>
        <v>24</v>
      </c>
      <c r="CD226" s="135">
        <f t="shared" si="174"/>
        <v>6</v>
      </c>
      <c r="CE226" s="135">
        <f t="shared" si="175"/>
        <v>9.9999999999417923</v>
      </c>
      <c r="CF226" s="134">
        <f t="shared" si="176"/>
        <v>5.5486111111094942</v>
      </c>
      <c r="CG226" s="134">
        <f t="shared" si="177"/>
        <v>12.645833333335759</v>
      </c>
      <c r="CH226" s="133">
        <f t="shared" si="178"/>
        <v>0.43876990664448873</v>
      </c>
      <c r="CI226" s="121"/>
      <c r="CJ226" s="121"/>
    </row>
    <row r="227" spans="1:88" s="121" customFormat="1">
      <c r="A227" s="125">
        <f t="shared" si="161"/>
        <v>45297.750000000044</v>
      </c>
      <c r="B227" s="116" t="s">
        <v>188</v>
      </c>
      <c r="C227" s="116" t="s">
        <v>229</v>
      </c>
      <c r="D227" s="116" t="s">
        <v>197</v>
      </c>
      <c r="E227" s="100" t="s">
        <v>230</v>
      </c>
      <c r="F227" s="519" t="s">
        <v>3474</v>
      </c>
      <c r="G227" s="130"/>
      <c r="H227" s="130"/>
      <c r="I227" s="116" t="s">
        <v>231</v>
      </c>
      <c r="J227" s="116" t="s">
        <v>4037</v>
      </c>
      <c r="K227" s="519" t="s">
        <v>4038</v>
      </c>
      <c r="L227" s="519" t="s">
        <v>4039</v>
      </c>
      <c r="M227" s="129"/>
      <c r="N227" s="116" t="s">
        <v>1240</v>
      </c>
      <c r="O227" s="116" t="s">
        <v>1241</v>
      </c>
      <c r="P227" s="519" t="s">
        <v>235</v>
      </c>
      <c r="Q227" s="131">
        <f>3243*2.4</f>
        <v>7783.2</v>
      </c>
      <c r="R227" s="131">
        <f>7800+100</f>
        <v>7900</v>
      </c>
      <c r="S227" s="122">
        <v>7800</v>
      </c>
      <c r="T227" s="667"/>
      <c r="U227" s="581"/>
      <c r="V227" s="581"/>
      <c r="W227" s="581"/>
      <c r="X227" s="723">
        <f>S227</f>
        <v>7800</v>
      </c>
      <c r="Y227" s="581"/>
      <c r="Z227" s="581"/>
      <c r="AA227" s="581"/>
      <c r="AB227" s="581"/>
      <c r="AC227" s="581"/>
      <c r="AD227" s="581"/>
      <c r="AE227" s="581"/>
      <c r="AF227" s="401"/>
      <c r="AG227" s="401"/>
      <c r="AH227" s="401"/>
      <c r="AI227" s="401"/>
      <c r="AJ227" s="401"/>
      <c r="AK227" s="401"/>
      <c r="AL227" s="401"/>
      <c r="AM227" s="401"/>
      <c r="AN227" s="401"/>
      <c r="AO227" s="401"/>
      <c r="AP227" s="401"/>
      <c r="AQ227" s="401"/>
      <c r="AR227" s="401"/>
      <c r="AS227" s="401"/>
      <c r="AT227" s="401"/>
      <c r="AU227" s="401"/>
      <c r="BD227" s="127">
        <f t="shared" si="162"/>
        <v>45288.861805555556</v>
      </c>
      <c r="BE227" s="120">
        <f t="shared" si="163"/>
        <v>45302.833333333336</v>
      </c>
      <c r="BF227" s="137">
        <f t="shared" si="164"/>
        <v>13.971527777779556</v>
      </c>
      <c r="BG227" s="127">
        <v>45288.861805555556</v>
      </c>
      <c r="BH227" s="127">
        <v>45290.586805555555</v>
      </c>
      <c r="BI227" s="120">
        <f>BH227+(41/24)</f>
        <v>45292.295138888891</v>
      </c>
      <c r="BJ227" s="120">
        <f t="shared" si="180"/>
        <v>45297.750000000044</v>
      </c>
      <c r="BK227" s="120">
        <f t="shared" si="165"/>
        <v>45297.916666666708</v>
      </c>
      <c r="BL227" s="120">
        <f t="shared" si="166"/>
        <v>45297.937500000044</v>
      </c>
      <c r="BM227" s="120">
        <f t="shared" si="166"/>
        <v>45297.958333333379</v>
      </c>
      <c r="BN227" s="120">
        <f t="shared" si="167"/>
        <v>45299.666666666715</v>
      </c>
      <c r="BO227" s="120">
        <v>45300.541666666664</v>
      </c>
      <c r="BP227" s="120">
        <v>45300.708333333328</v>
      </c>
      <c r="BQ227" s="124" t="s">
        <v>64</v>
      </c>
      <c r="BR227" s="120">
        <f t="shared" ref="BR227:BR232" si="206">BP227+(24/24)</f>
        <v>45301.708333333328</v>
      </c>
      <c r="BS227" s="120">
        <f>BV226+(1/24)</f>
        <v>45302.125</v>
      </c>
      <c r="BT227" s="120">
        <f t="shared" ref="BT227:BT231" si="207">BS227+(6/24)</f>
        <v>45302.375</v>
      </c>
      <c r="BU227" s="120">
        <f t="shared" ref="BU227:BU231" si="208">BT227+(0.5/24)</f>
        <v>45302.395833333336</v>
      </c>
      <c r="BV227" s="120">
        <f t="shared" ref="BV227:BV231" si="209">BU227+(0.5/24)</f>
        <v>45302.416666666672</v>
      </c>
      <c r="BW227" s="120">
        <f t="shared" ref="BW227:BW231" si="210">BV227+(10/24)</f>
        <v>45302.833333333336</v>
      </c>
      <c r="BZ227" s="136">
        <f t="shared" si="170"/>
        <v>41.000000000058208</v>
      </c>
      <c r="CA227" s="136">
        <f t="shared" si="171"/>
        <v>3.9999999999417923</v>
      </c>
      <c r="CB227" s="136">
        <f t="shared" si="172"/>
        <v>41.000000000058208</v>
      </c>
      <c r="CC227" s="136">
        <f t="shared" si="173"/>
        <v>24</v>
      </c>
      <c r="CD227" s="135">
        <f t="shared" si="174"/>
        <v>6</v>
      </c>
      <c r="CE227" s="135">
        <f t="shared" si="175"/>
        <v>9.9999999999417923</v>
      </c>
      <c r="CF227" s="134">
        <f t="shared" si="176"/>
        <v>5.25</v>
      </c>
      <c r="CG227" s="134">
        <f t="shared" si="177"/>
        <v>13.971527777779556</v>
      </c>
      <c r="CH227" s="133">
        <f t="shared" si="178"/>
        <v>0.37576420299214858</v>
      </c>
    </row>
    <row r="228" spans="1:88" s="121" customFormat="1">
      <c r="A228" s="125">
        <f t="shared" si="161"/>
        <v>45297.958333333379</v>
      </c>
      <c r="B228" s="116" t="s">
        <v>188</v>
      </c>
      <c r="C228" s="116" t="s">
        <v>229</v>
      </c>
      <c r="D228" s="116" t="s">
        <v>197</v>
      </c>
      <c r="E228" s="100" t="s">
        <v>230</v>
      </c>
      <c r="F228" s="519" t="s">
        <v>3474</v>
      </c>
      <c r="G228" s="130"/>
      <c r="H228" s="130"/>
      <c r="I228" s="116" t="s">
        <v>490</v>
      </c>
      <c r="J228" s="116" t="s">
        <v>4040</v>
      </c>
      <c r="K228" s="519" t="s">
        <v>4041</v>
      </c>
      <c r="L228" s="519" t="s">
        <v>4042</v>
      </c>
      <c r="M228" s="129"/>
      <c r="N228" s="116" t="s">
        <v>429</v>
      </c>
      <c r="O228" s="116" t="s">
        <v>430</v>
      </c>
      <c r="P228" s="578" t="s">
        <v>835</v>
      </c>
      <c r="Q228" s="131">
        <f>3145 *2.4</f>
        <v>7548</v>
      </c>
      <c r="R228" s="131">
        <f>7550+100</f>
        <v>7650</v>
      </c>
      <c r="S228" s="122">
        <v>7550</v>
      </c>
      <c r="T228" s="667"/>
      <c r="U228" s="581"/>
      <c r="V228" s="1158">
        <f>S228</f>
        <v>7550</v>
      </c>
      <c r="W228" s="581"/>
      <c r="Y228" s="739"/>
      <c r="Z228" s="581"/>
      <c r="AA228" s="581"/>
      <c r="AB228" s="739"/>
      <c r="AC228" s="581"/>
      <c r="AD228" s="581"/>
      <c r="AE228" s="581"/>
      <c r="AF228" s="581"/>
      <c r="AG228" s="581"/>
      <c r="AH228" s="581"/>
      <c r="AI228" s="581"/>
      <c r="AJ228" s="581"/>
      <c r="AK228" s="581"/>
      <c r="BD228" s="127">
        <f t="shared" si="162"/>
        <v>45288.916666666664</v>
      </c>
      <c r="BE228" s="120">
        <f t="shared" si="163"/>
        <v>45303.166666666672</v>
      </c>
      <c r="BF228" s="137">
        <f t="shared" si="164"/>
        <v>14.250000000007276</v>
      </c>
      <c r="BG228" s="127">
        <v>45288.916666666664</v>
      </c>
      <c r="BH228" s="127">
        <v>45290.59375</v>
      </c>
      <c r="BI228" s="120">
        <f>BH228+(41/24)</f>
        <v>45292.302083333336</v>
      </c>
      <c r="BJ228" s="120">
        <f t="shared" si="180"/>
        <v>45297.958333333379</v>
      </c>
      <c r="BK228" s="120">
        <f t="shared" si="165"/>
        <v>45298.125000000044</v>
      </c>
      <c r="BL228" s="120">
        <f t="shared" si="166"/>
        <v>45298.145833333379</v>
      </c>
      <c r="BM228" s="120">
        <f t="shared" si="166"/>
        <v>45298.166666666715</v>
      </c>
      <c r="BN228" s="120">
        <f t="shared" si="167"/>
        <v>45299.875000000051</v>
      </c>
      <c r="BO228" s="120">
        <v>45300.541666666664</v>
      </c>
      <c r="BP228" s="120">
        <v>45300.708333333328</v>
      </c>
      <c r="BQ228" s="124" t="s">
        <v>64</v>
      </c>
      <c r="BR228" s="120">
        <f t="shared" si="206"/>
        <v>45301.708333333328</v>
      </c>
      <c r="BS228" s="120">
        <f t="shared" ref="BS228:BS231" si="211">BV227+(1/24)</f>
        <v>45302.458333333336</v>
      </c>
      <c r="BT228" s="120">
        <f t="shared" si="207"/>
        <v>45302.708333333336</v>
      </c>
      <c r="BU228" s="120">
        <f t="shared" si="208"/>
        <v>45302.729166666672</v>
      </c>
      <c r="BV228" s="120">
        <f t="shared" si="209"/>
        <v>45302.750000000007</v>
      </c>
      <c r="BW228" s="120">
        <f t="shared" si="210"/>
        <v>45303.166666666672</v>
      </c>
      <c r="BZ228" s="136">
        <f t="shared" si="170"/>
        <v>41.000000000058208</v>
      </c>
      <c r="CA228" s="136">
        <f t="shared" si="171"/>
        <v>3.9999999999417923</v>
      </c>
      <c r="CB228" s="136">
        <f t="shared" si="172"/>
        <v>41.000000000058208</v>
      </c>
      <c r="CC228" s="136">
        <f t="shared" si="173"/>
        <v>24</v>
      </c>
      <c r="CD228" s="135">
        <f t="shared" si="174"/>
        <v>6</v>
      </c>
      <c r="CE228" s="135">
        <f t="shared" si="175"/>
        <v>9.9999999999417923</v>
      </c>
      <c r="CF228" s="134">
        <f t="shared" si="176"/>
        <v>5.25</v>
      </c>
      <c r="CG228" s="134">
        <f t="shared" si="177"/>
        <v>14.250000000007276</v>
      </c>
      <c r="CH228" s="133">
        <f t="shared" si="178"/>
        <v>0.36842105263139086</v>
      </c>
      <c r="CI228" s="128"/>
    </row>
    <row r="229" spans="1:88" s="121" customFormat="1">
      <c r="A229" s="125">
        <f t="shared" si="161"/>
        <v>45298.166666666715</v>
      </c>
      <c r="B229" s="116" t="s">
        <v>188</v>
      </c>
      <c r="C229" s="116" t="s">
        <v>229</v>
      </c>
      <c r="D229" s="116" t="s">
        <v>197</v>
      </c>
      <c r="E229" s="100" t="s">
        <v>230</v>
      </c>
      <c r="F229" s="519" t="s">
        <v>3474</v>
      </c>
      <c r="G229" s="130"/>
      <c r="H229" s="130"/>
      <c r="I229" s="116" t="s">
        <v>490</v>
      </c>
      <c r="J229" s="116" t="s">
        <v>4043</v>
      </c>
      <c r="K229" s="519" t="s">
        <v>4044</v>
      </c>
      <c r="L229" s="519" t="s">
        <v>4045</v>
      </c>
      <c r="M229" s="129"/>
      <c r="N229" s="116" t="s">
        <v>3807</v>
      </c>
      <c r="O229" s="116" t="s">
        <v>227</v>
      </c>
      <c r="P229" s="578" t="s">
        <v>835</v>
      </c>
      <c r="Q229" s="131">
        <f>3100*2.4</f>
        <v>7440</v>
      </c>
      <c r="R229" s="131">
        <f>7450+100</f>
        <v>7550</v>
      </c>
      <c r="S229" s="122">
        <v>7500</v>
      </c>
      <c r="T229" s="667"/>
      <c r="U229" s="581"/>
      <c r="V229" s="1158">
        <f>S229</f>
        <v>7500</v>
      </c>
      <c r="W229" s="581"/>
      <c r="Y229" s="739"/>
      <c r="Z229" s="581"/>
      <c r="AA229" s="581"/>
      <c r="AB229" s="739"/>
      <c r="AC229" s="581"/>
      <c r="AD229" s="581"/>
      <c r="AE229" s="581"/>
      <c r="AF229" s="581"/>
      <c r="AG229" s="581"/>
      <c r="AH229" s="581"/>
      <c r="AI229" s="581"/>
      <c r="AJ229" s="581"/>
      <c r="AK229" s="581"/>
      <c r="AL229" s="401"/>
      <c r="AM229" s="401"/>
      <c r="AN229" s="401"/>
      <c r="AO229" s="401"/>
      <c r="AP229" s="401"/>
      <c r="AQ229" s="401"/>
      <c r="AR229" s="401"/>
      <c r="AS229" s="401"/>
      <c r="AT229" s="401"/>
      <c r="AU229" s="401"/>
      <c r="BD229" s="127">
        <f t="shared" si="162"/>
        <v>45289.482638888891</v>
      </c>
      <c r="BE229" s="120">
        <f t="shared" si="163"/>
        <v>45303.500000000007</v>
      </c>
      <c r="BF229" s="137">
        <f t="shared" si="164"/>
        <v>14.01736111111677</v>
      </c>
      <c r="BG229" s="127">
        <v>45289.482638888891</v>
      </c>
      <c r="BH229" s="127">
        <v>45290.798611111109</v>
      </c>
      <c r="BI229" s="120">
        <f>BH229+(41/24)</f>
        <v>45292.506944444445</v>
      </c>
      <c r="BJ229" s="120">
        <f t="shared" si="180"/>
        <v>45298.166666666715</v>
      </c>
      <c r="BK229" s="120">
        <f t="shared" si="165"/>
        <v>45298.333333333379</v>
      </c>
      <c r="BL229" s="120">
        <f t="shared" si="166"/>
        <v>45298.354166666715</v>
      </c>
      <c r="BM229" s="120">
        <f t="shared" si="166"/>
        <v>45298.375000000051</v>
      </c>
      <c r="BN229" s="120">
        <f t="shared" si="167"/>
        <v>45300.083333333387</v>
      </c>
      <c r="BO229" s="120">
        <v>45300.541666666664</v>
      </c>
      <c r="BP229" s="120">
        <v>45300.708333333328</v>
      </c>
      <c r="BQ229" s="124" t="s">
        <v>64</v>
      </c>
      <c r="BR229" s="120">
        <f t="shared" si="206"/>
        <v>45301.708333333328</v>
      </c>
      <c r="BS229" s="120">
        <f t="shared" si="211"/>
        <v>45302.791666666672</v>
      </c>
      <c r="BT229" s="120">
        <f t="shared" si="207"/>
        <v>45303.041666666672</v>
      </c>
      <c r="BU229" s="120">
        <f t="shared" si="208"/>
        <v>45303.062500000007</v>
      </c>
      <c r="BV229" s="120">
        <f t="shared" si="209"/>
        <v>45303.083333333343</v>
      </c>
      <c r="BW229" s="120">
        <f t="shared" si="210"/>
        <v>45303.500000000007</v>
      </c>
      <c r="BZ229" s="136">
        <f t="shared" si="170"/>
        <v>41.000000000058208</v>
      </c>
      <c r="CA229" s="136">
        <f t="shared" si="171"/>
        <v>3.9999999999417923</v>
      </c>
      <c r="CB229" s="136">
        <f t="shared" si="172"/>
        <v>41.000000000058208</v>
      </c>
      <c r="CC229" s="136">
        <f t="shared" si="173"/>
        <v>24</v>
      </c>
      <c r="CD229" s="135">
        <f t="shared" si="174"/>
        <v>6</v>
      </c>
      <c r="CE229" s="135">
        <f t="shared" si="175"/>
        <v>9.9999999999417923</v>
      </c>
      <c r="CF229" s="134">
        <f t="shared" si="176"/>
        <v>5.25</v>
      </c>
      <c r="CG229" s="134">
        <f t="shared" si="177"/>
        <v>14.01736111111677</v>
      </c>
      <c r="CH229" s="133">
        <f t="shared" si="178"/>
        <v>0.37453554619752033</v>
      </c>
    </row>
    <row r="230" spans="1:88" s="121" customFormat="1">
      <c r="A230" s="125">
        <f t="shared" si="161"/>
        <v>45298.375000000051</v>
      </c>
      <c r="B230" s="116" t="s">
        <v>188</v>
      </c>
      <c r="C230" s="116" t="s">
        <v>229</v>
      </c>
      <c r="D230" s="116" t="s">
        <v>215</v>
      </c>
      <c r="E230" s="100" t="s">
        <v>230</v>
      </c>
      <c r="F230" s="519" t="s">
        <v>3474</v>
      </c>
      <c r="G230" s="130"/>
      <c r="H230" s="130"/>
      <c r="I230" s="116" t="s">
        <v>490</v>
      </c>
      <c r="J230" s="116" t="s">
        <v>4046</v>
      </c>
      <c r="K230" s="578" t="s">
        <v>4047</v>
      </c>
      <c r="L230" s="519" t="s">
        <v>4048</v>
      </c>
      <c r="M230" s="129"/>
      <c r="N230" s="116" t="s">
        <v>721</v>
      </c>
      <c r="O230" s="116" t="s">
        <v>1349</v>
      </c>
      <c r="P230" s="519" t="s">
        <v>494</v>
      </c>
      <c r="Q230" s="131">
        <f>3136*2.4</f>
        <v>7526.4</v>
      </c>
      <c r="R230" s="131">
        <f>7550+100</f>
        <v>7650</v>
      </c>
      <c r="S230" s="122">
        <v>7550</v>
      </c>
      <c r="T230" s="667"/>
      <c r="U230" s="1158">
        <f>S230</f>
        <v>7550</v>
      </c>
      <c r="V230" s="581"/>
      <c r="W230" s="581"/>
      <c r="X230" s="128"/>
      <c r="Y230" s="581"/>
      <c r="Z230" s="581"/>
      <c r="AA230" s="581"/>
      <c r="AB230" s="581"/>
      <c r="AC230" s="581"/>
      <c r="AD230" s="581"/>
      <c r="AE230" s="581"/>
      <c r="AF230" s="581"/>
      <c r="AG230" s="581"/>
      <c r="AH230" s="581"/>
      <c r="AI230" s="581"/>
      <c r="AJ230" s="581"/>
      <c r="AK230" s="581"/>
      <c r="AL230" s="581"/>
      <c r="AM230" s="581"/>
      <c r="AN230" s="581"/>
      <c r="AO230" s="581"/>
      <c r="AP230" s="581"/>
      <c r="AQ230" s="581"/>
      <c r="AR230" s="581"/>
      <c r="AS230" s="581"/>
      <c r="AT230" s="581"/>
      <c r="AU230" s="581"/>
      <c r="AV230" s="581"/>
      <c r="AW230" s="581"/>
      <c r="AX230" s="581"/>
      <c r="AY230" s="581"/>
      <c r="AZ230" s="581"/>
      <c r="BA230" s="581"/>
      <c r="BB230" s="581"/>
      <c r="BC230" s="581"/>
      <c r="BD230" s="127">
        <f t="shared" si="162"/>
        <v>45290.395833333336</v>
      </c>
      <c r="BE230" s="120">
        <f t="shared" si="163"/>
        <v>45303.833333333343</v>
      </c>
      <c r="BF230" s="137">
        <f t="shared" si="164"/>
        <v>13.437500000007276</v>
      </c>
      <c r="BG230" s="1072">
        <v>45290.395833333336</v>
      </c>
      <c r="BH230" s="127">
        <v>45290.791666666664</v>
      </c>
      <c r="BI230" s="120">
        <f>BH230+(41/24)</f>
        <v>45292.5</v>
      </c>
      <c r="BJ230" s="120">
        <f t="shared" si="180"/>
        <v>45298.375000000051</v>
      </c>
      <c r="BK230" s="120">
        <f t="shared" si="165"/>
        <v>45298.541666666715</v>
      </c>
      <c r="BL230" s="120">
        <f t="shared" si="166"/>
        <v>45298.562500000051</v>
      </c>
      <c r="BM230" s="120">
        <f t="shared" si="166"/>
        <v>45298.583333333387</v>
      </c>
      <c r="BN230" s="120">
        <f t="shared" si="167"/>
        <v>45300.291666666722</v>
      </c>
      <c r="BO230" s="120">
        <v>45301.583333333336</v>
      </c>
      <c r="BP230" s="120">
        <v>45301.75</v>
      </c>
      <c r="BQ230" s="124" t="s">
        <v>64</v>
      </c>
      <c r="BR230" s="120">
        <f t="shared" si="206"/>
        <v>45302.75</v>
      </c>
      <c r="BS230" s="120">
        <f t="shared" si="211"/>
        <v>45303.125000000007</v>
      </c>
      <c r="BT230" s="120">
        <f t="shared" si="207"/>
        <v>45303.375000000007</v>
      </c>
      <c r="BU230" s="120">
        <f t="shared" si="208"/>
        <v>45303.395833333343</v>
      </c>
      <c r="BV230" s="120">
        <f t="shared" si="209"/>
        <v>45303.416666666679</v>
      </c>
      <c r="BW230" s="120">
        <f t="shared" si="210"/>
        <v>45303.833333333343</v>
      </c>
      <c r="BZ230" s="136">
        <f t="shared" si="170"/>
        <v>41.000000000058208</v>
      </c>
      <c r="CA230" s="136">
        <f t="shared" si="171"/>
        <v>3.9999999999417923</v>
      </c>
      <c r="CB230" s="136">
        <f t="shared" si="172"/>
        <v>41.000000000058208</v>
      </c>
      <c r="CC230" s="136">
        <f t="shared" si="173"/>
        <v>24</v>
      </c>
      <c r="CD230" s="135">
        <f t="shared" si="174"/>
        <v>6</v>
      </c>
      <c r="CE230" s="135">
        <f t="shared" si="175"/>
        <v>9.9999999999417923</v>
      </c>
      <c r="CF230" s="134">
        <f t="shared" si="176"/>
        <v>5.25</v>
      </c>
      <c r="CG230" s="134">
        <f t="shared" si="177"/>
        <v>13.437500000007276</v>
      </c>
      <c r="CH230" s="133">
        <f t="shared" si="178"/>
        <v>0.39069767441839309</v>
      </c>
    </row>
    <row r="231" spans="1:88" s="128" customFormat="1">
      <c r="A231" s="125">
        <f t="shared" si="161"/>
        <v>45298.583333333387</v>
      </c>
      <c r="B231" s="116" t="s">
        <v>188</v>
      </c>
      <c r="C231" s="116" t="s">
        <v>229</v>
      </c>
      <c r="D231" s="116" t="s">
        <v>197</v>
      </c>
      <c r="E231" s="100" t="s">
        <v>230</v>
      </c>
      <c r="F231" s="519" t="s">
        <v>3474</v>
      </c>
      <c r="G231" s="130"/>
      <c r="H231" s="130"/>
      <c r="I231" s="116" t="s">
        <v>490</v>
      </c>
      <c r="J231" s="116" t="s">
        <v>4049</v>
      </c>
      <c r="K231" s="578" t="s">
        <v>4050</v>
      </c>
      <c r="L231" s="519" t="s">
        <v>4051</v>
      </c>
      <c r="M231" s="129"/>
      <c r="N231" s="116" t="s">
        <v>1392</v>
      </c>
      <c r="O231" s="116" t="s">
        <v>365</v>
      </c>
      <c r="P231" s="519" t="s">
        <v>494</v>
      </c>
      <c r="Q231" s="131">
        <f>3142*2.4</f>
        <v>7540.7999999999993</v>
      </c>
      <c r="R231" s="131">
        <f>7550+100</f>
        <v>7650</v>
      </c>
      <c r="S231" s="122">
        <v>7550</v>
      </c>
      <c r="T231" s="667"/>
      <c r="U231" s="1158">
        <f>S231</f>
        <v>7550</v>
      </c>
      <c r="V231" s="581"/>
      <c r="W231" s="581"/>
      <c r="Y231" s="581"/>
      <c r="Z231" s="581"/>
      <c r="AA231" s="581"/>
      <c r="AB231" s="581"/>
      <c r="AC231" s="401"/>
      <c r="AD231" s="401"/>
      <c r="AE231" s="401"/>
      <c r="AF231" s="401"/>
      <c r="AG231" s="401"/>
      <c r="AH231" s="401"/>
      <c r="AI231" s="401"/>
      <c r="AJ231" s="401"/>
      <c r="AK231" s="401"/>
      <c r="AL231" s="401"/>
      <c r="AM231" s="401"/>
      <c r="AN231" s="401"/>
      <c r="AO231" s="401"/>
      <c r="AP231" s="401"/>
      <c r="AQ231" s="401"/>
      <c r="AR231" s="401"/>
      <c r="AS231" s="401"/>
      <c r="AT231" s="401"/>
      <c r="AU231" s="401"/>
      <c r="AV231" s="401"/>
      <c r="AW231" s="401"/>
      <c r="AX231" s="401"/>
      <c r="AY231" s="401"/>
      <c r="AZ231" s="401"/>
      <c r="BA231" s="401"/>
      <c r="BB231" s="401"/>
      <c r="BC231" s="401"/>
      <c r="BD231" s="127">
        <f t="shared" si="162"/>
        <v>45288.770833333336</v>
      </c>
      <c r="BE231" s="120">
        <f t="shared" si="163"/>
        <v>45304.166666666679</v>
      </c>
      <c r="BF231" s="137">
        <f t="shared" si="164"/>
        <v>15.395833333343035</v>
      </c>
      <c r="BG231" s="127">
        <v>45288.770833333336</v>
      </c>
      <c r="BH231" s="127">
        <v>45291.583333333336</v>
      </c>
      <c r="BI231" s="120">
        <v>45295.291666666664</v>
      </c>
      <c r="BJ231" s="120">
        <f t="shared" si="180"/>
        <v>45298.583333333387</v>
      </c>
      <c r="BK231" s="120">
        <f t="shared" si="165"/>
        <v>45298.750000000051</v>
      </c>
      <c r="BL231" s="120">
        <f t="shared" si="166"/>
        <v>45298.770833333387</v>
      </c>
      <c r="BM231" s="120">
        <f t="shared" si="166"/>
        <v>45298.791666666722</v>
      </c>
      <c r="BN231" s="120">
        <f t="shared" si="167"/>
        <v>45300.500000000058</v>
      </c>
      <c r="BO231" s="120">
        <v>45301.583333333336</v>
      </c>
      <c r="BP231" s="120">
        <v>45301.75</v>
      </c>
      <c r="BQ231" s="124" t="s">
        <v>64</v>
      </c>
      <c r="BR231" s="120">
        <f t="shared" si="206"/>
        <v>45302.75</v>
      </c>
      <c r="BS231" s="120">
        <f t="shared" si="211"/>
        <v>45303.458333333343</v>
      </c>
      <c r="BT231" s="120">
        <f t="shared" si="207"/>
        <v>45303.708333333343</v>
      </c>
      <c r="BU231" s="120">
        <f t="shared" si="208"/>
        <v>45303.729166666679</v>
      </c>
      <c r="BV231" s="120">
        <f t="shared" si="209"/>
        <v>45303.750000000015</v>
      </c>
      <c r="BW231" s="120">
        <f t="shared" si="210"/>
        <v>45304.166666666679</v>
      </c>
      <c r="BX231" s="121"/>
      <c r="BY231" s="121"/>
      <c r="BZ231" s="136">
        <f t="shared" si="170"/>
        <v>88.999999999883585</v>
      </c>
      <c r="CA231" s="136">
        <f t="shared" si="171"/>
        <v>3.9999999999417923</v>
      </c>
      <c r="CB231" s="136">
        <f t="shared" si="172"/>
        <v>41.000000000058208</v>
      </c>
      <c r="CC231" s="136">
        <f t="shared" si="173"/>
        <v>24</v>
      </c>
      <c r="CD231" s="135">
        <f t="shared" si="174"/>
        <v>6</v>
      </c>
      <c r="CE231" s="135">
        <f t="shared" si="175"/>
        <v>9.9999999999417923</v>
      </c>
      <c r="CF231" s="134">
        <f t="shared" si="176"/>
        <v>7.249999999992724</v>
      </c>
      <c r="CG231" s="134">
        <f t="shared" si="177"/>
        <v>15.395833333343035</v>
      </c>
      <c r="CH231" s="133">
        <f t="shared" si="178"/>
        <v>0.47090663058109805</v>
      </c>
      <c r="CI231" s="121"/>
      <c r="CJ231" s="121"/>
    </row>
    <row r="232" spans="1:88" s="121" customFormat="1">
      <c r="A232" s="125">
        <f t="shared" si="161"/>
        <v>45298.791666666722</v>
      </c>
      <c r="B232" s="116" t="s">
        <v>188</v>
      </c>
      <c r="C232" s="116" t="s">
        <v>229</v>
      </c>
      <c r="D232" s="116" t="s">
        <v>197</v>
      </c>
      <c r="E232" s="100" t="s">
        <v>230</v>
      </c>
      <c r="F232" s="519" t="s">
        <v>3474</v>
      </c>
      <c r="G232" s="130"/>
      <c r="H232" s="130"/>
      <c r="I232" s="116" t="s">
        <v>490</v>
      </c>
      <c r="J232" s="116" t="s">
        <v>4052</v>
      </c>
      <c r="K232" s="578" t="s">
        <v>4053</v>
      </c>
      <c r="L232" s="519" t="s">
        <v>4054</v>
      </c>
      <c r="M232" s="129"/>
      <c r="N232" s="116" t="s">
        <v>695</v>
      </c>
      <c r="O232" s="116" t="s">
        <v>281</v>
      </c>
      <c r="P232" s="519" t="s">
        <v>494</v>
      </c>
      <c r="Q232" s="131">
        <f>3102*2.4</f>
        <v>7444.7999999999993</v>
      </c>
      <c r="R232" s="131">
        <f>7450+100</f>
        <v>7550</v>
      </c>
      <c r="S232" s="122">
        <v>7500</v>
      </c>
      <c r="T232" s="667"/>
      <c r="U232" s="1158">
        <f>S232</f>
        <v>7500</v>
      </c>
      <c r="V232" s="581"/>
      <c r="W232" s="581"/>
      <c r="X232" s="128"/>
      <c r="Y232" s="581"/>
      <c r="Z232" s="581"/>
      <c r="AA232" s="581"/>
      <c r="AB232" s="581"/>
      <c r="AC232" s="581"/>
      <c r="AD232" s="581"/>
      <c r="AE232" s="581"/>
      <c r="AF232" s="581"/>
      <c r="AG232" s="581"/>
      <c r="AH232" s="575"/>
      <c r="AI232" s="575"/>
      <c r="AJ232" s="115"/>
      <c r="AK232" s="115"/>
      <c r="AL232" s="115"/>
      <c r="AM232" s="115"/>
      <c r="AN232" s="115"/>
      <c r="AO232" s="115"/>
      <c r="AP232" s="115"/>
      <c r="AQ232" s="115"/>
      <c r="BD232" s="127">
        <f t="shared" si="162"/>
        <v>45289.920138888891</v>
      </c>
      <c r="BE232" s="120">
        <f t="shared" si="163"/>
        <v>45303.95833333335</v>
      </c>
      <c r="BF232" s="137">
        <f t="shared" si="164"/>
        <v>14.038194444459805</v>
      </c>
      <c r="BG232" s="127">
        <v>45289.920138888891</v>
      </c>
      <c r="BH232" s="127">
        <v>45290.607638888891</v>
      </c>
      <c r="BI232" s="120">
        <v>45295.291666666664</v>
      </c>
      <c r="BJ232" s="120">
        <f t="shared" si="180"/>
        <v>45298.791666666722</v>
      </c>
      <c r="BK232" s="120">
        <f t="shared" si="165"/>
        <v>45298.958333333387</v>
      </c>
      <c r="BL232" s="120">
        <f t="shared" si="166"/>
        <v>45298.979166666722</v>
      </c>
      <c r="BM232" s="120">
        <f t="shared" si="166"/>
        <v>45299.000000000058</v>
      </c>
      <c r="BN232" s="120">
        <f t="shared" si="167"/>
        <v>45300.708333333394</v>
      </c>
      <c r="BO232" s="120">
        <v>45301.583333333336</v>
      </c>
      <c r="BP232" s="120">
        <v>45301.75</v>
      </c>
      <c r="BQ232" s="124" t="s">
        <v>64</v>
      </c>
      <c r="BR232" s="120">
        <f t="shared" si="206"/>
        <v>45302.75</v>
      </c>
      <c r="BS232" s="120">
        <f>BV231+(1/24)</f>
        <v>45303.791666666679</v>
      </c>
      <c r="BT232" s="179">
        <f>BS232+(3/24)</f>
        <v>45303.916666666679</v>
      </c>
      <c r="BU232" s="120">
        <f>BT232+(0.5/24)</f>
        <v>45303.937500000015</v>
      </c>
      <c r="BV232" s="120">
        <f>BU232+(0.5/24)</f>
        <v>45303.95833333335</v>
      </c>
      <c r="BW232" s="179">
        <f>BV232</f>
        <v>45303.95833333335</v>
      </c>
      <c r="BZ232" s="136">
        <f t="shared" si="170"/>
        <v>112.41666666656965</v>
      </c>
      <c r="CA232" s="136">
        <f t="shared" si="171"/>
        <v>3.9999999999417923</v>
      </c>
      <c r="CB232" s="136">
        <f t="shared" si="172"/>
        <v>41.000000000058208</v>
      </c>
      <c r="CC232" s="136">
        <f t="shared" si="173"/>
        <v>24</v>
      </c>
      <c r="CD232" s="135">
        <f t="shared" si="174"/>
        <v>3</v>
      </c>
      <c r="CE232" s="135">
        <f t="shared" si="175"/>
        <v>0</v>
      </c>
      <c r="CF232" s="134">
        <f t="shared" si="176"/>
        <v>7.6840277777737356</v>
      </c>
      <c r="CG232" s="134">
        <f t="shared" si="177"/>
        <v>14.038194444459805</v>
      </c>
      <c r="CH232" s="133">
        <f t="shared" si="178"/>
        <v>0.54736581746139368</v>
      </c>
    </row>
    <row r="233" spans="1:88" s="121" customFormat="1">
      <c r="A233" s="125">
        <f t="shared" si="161"/>
        <v>45299.000000000058</v>
      </c>
      <c r="B233" s="116" t="s">
        <v>188</v>
      </c>
      <c r="C233" s="116" t="s">
        <v>229</v>
      </c>
      <c r="D233" s="116" t="s">
        <v>197</v>
      </c>
      <c r="E233" s="100" t="s">
        <v>2463</v>
      </c>
      <c r="F233" s="519" t="s">
        <v>3474</v>
      </c>
      <c r="G233" s="130"/>
      <c r="H233" s="130"/>
      <c r="I233" s="116" t="s">
        <v>471</v>
      </c>
      <c r="J233" s="116" t="s">
        <v>4055</v>
      </c>
      <c r="K233" s="578" t="s">
        <v>4050</v>
      </c>
      <c r="L233" s="519" t="s">
        <v>4056</v>
      </c>
      <c r="M233" s="129"/>
      <c r="N233" s="116" t="s">
        <v>260</v>
      </c>
      <c r="O233" s="116" t="s">
        <v>261</v>
      </c>
      <c r="P233" s="578" t="s">
        <v>172</v>
      </c>
      <c r="Q233" s="131">
        <f>3107*2.4</f>
        <v>7456.7999999999993</v>
      </c>
      <c r="R233" s="131">
        <f>7500+100</f>
        <v>7600</v>
      </c>
      <c r="S233" s="122">
        <v>7500</v>
      </c>
      <c r="T233" s="667"/>
      <c r="U233" s="581"/>
      <c r="V233" s="581"/>
      <c r="W233" s="581"/>
      <c r="Y233" s="581"/>
      <c r="Z233" s="1158">
        <f>S233</f>
        <v>7500</v>
      </c>
      <c r="AA233" s="581"/>
      <c r="AB233" s="739"/>
      <c r="AC233" s="581"/>
      <c r="AD233" s="581"/>
      <c r="AE233" s="581"/>
      <c r="AF233" s="581"/>
      <c r="AG233" s="581"/>
      <c r="AH233" s="581"/>
      <c r="AI233" s="581"/>
      <c r="AJ233" s="581"/>
      <c r="AK233" s="581"/>
      <c r="AL233" s="581"/>
      <c r="AM233" s="581"/>
      <c r="AN233" s="581"/>
      <c r="AO233" s="581"/>
      <c r="AP233" s="581"/>
      <c r="AQ233" s="581"/>
      <c r="AR233" s="581"/>
      <c r="AS233" s="581"/>
      <c r="AT233" s="581"/>
      <c r="AU233" s="581"/>
      <c r="AV233" s="581"/>
      <c r="AW233" s="581"/>
      <c r="AX233" s="581"/>
      <c r="AY233" s="581"/>
      <c r="AZ233" s="581"/>
      <c r="BA233" s="581"/>
      <c r="BB233" s="581"/>
      <c r="BC233" s="581"/>
      <c r="BD233" s="127">
        <f t="shared" si="162"/>
        <v>45290.291666666664</v>
      </c>
      <c r="BE233" s="120">
        <f t="shared" si="163"/>
        <v>45304.666666666672</v>
      </c>
      <c r="BF233" s="137">
        <f t="shared" si="164"/>
        <v>14.375000000007276</v>
      </c>
      <c r="BG233" s="127">
        <v>45290.291666666664</v>
      </c>
      <c r="BH233" s="127">
        <v>45291.788194444445</v>
      </c>
      <c r="BI233" s="120">
        <v>45295.291666666664</v>
      </c>
      <c r="BJ233" s="120">
        <f t="shared" si="180"/>
        <v>45299.000000000058</v>
      </c>
      <c r="BK233" s="120">
        <f t="shared" si="165"/>
        <v>45299.166666666722</v>
      </c>
      <c r="BL233" s="120">
        <f t="shared" si="166"/>
        <v>45299.187500000058</v>
      </c>
      <c r="BM233" s="120">
        <f t="shared" si="166"/>
        <v>45299.208333333394</v>
      </c>
      <c r="BN233" s="120">
        <f t="shared" si="167"/>
        <v>45300.91666666673</v>
      </c>
      <c r="BO233" s="120">
        <v>45301.583333333336</v>
      </c>
      <c r="BP233" s="120">
        <v>45301.75</v>
      </c>
      <c r="BQ233" s="124" t="s">
        <v>64</v>
      </c>
      <c r="BR233" s="120">
        <f>BP233+(24/24)</f>
        <v>45302.75</v>
      </c>
      <c r="BS233" s="169">
        <v>45303.958333333336</v>
      </c>
      <c r="BT233" s="120">
        <f t="shared" ref="BT233" si="212">BS233+(6/24)</f>
        <v>45304.208333333336</v>
      </c>
      <c r="BU233" s="120">
        <f t="shared" ref="BU233" si="213">BT233+(0.5/24)</f>
        <v>45304.229166666672</v>
      </c>
      <c r="BV233" s="120">
        <f t="shared" ref="BV233" si="214">BU233+(0.5/24)</f>
        <v>45304.250000000007</v>
      </c>
      <c r="BW233" s="120">
        <f>BV233+(10/24)</f>
        <v>45304.666666666672</v>
      </c>
      <c r="BZ233" s="136">
        <f t="shared" si="170"/>
        <v>84.083333333255723</v>
      </c>
      <c r="CA233" s="136">
        <f t="shared" si="171"/>
        <v>3.9999999999417923</v>
      </c>
      <c r="CB233" s="136">
        <f t="shared" si="172"/>
        <v>41.000000000058208</v>
      </c>
      <c r="CC233" s="136">
        <f t="shared" si="173"/>
        <v>24</v>
      </c>
      <c r="CD233" s="135">
        <f t="shared" si="174"/>
        <v>6</v>
      </c>
      <c r="CE233" s="135">
        <f t="shared" si="175"/>
        <v>9.9999999999417923</v>
      </c>
      <c r="CF233" s="134">
        <f t="shared" si="176"/>
        <v>7.0451388888832298</v>
      </c>
      <c r="CG233" s="134">
        <f t="shared" si="177"/>
        <v>14.375000000007276</v>
      </c>
      <c r="CH233" s="133">
        <f t="shared" si="178"/>
        <v>0.4900966183568462</v>
      </c>
      <c r="CJ233" s="115"/>
    </row>
    <row r="234" spans="1:88" s="121" customFormat="1">
      <c r="A234" s="125">
        <f t="shared" si="161"/>
        <v>45299.208333333394</v>
      </c>
      <c r="B234" s="116" t="s">
        <v>188</v>
      </c>
      <c r="C234" s="116" t="s">
        <v>229</v>
      </c>
      <c r="D234" s="116" t="s">
        <v>197</v>
      </c>
      <c r="E234" s="100" t="s">
        <v>2463</v>
      </c>
      <c r="F234" s="519" t="s">
        <v>3474</v>
      </c>
      <c r="G234" s="130"/>
      <c r="H234" s="130"/>
      <c r="I234" s="116" t="s">
        <v>231</v>
      </c>
      <c r="J234" s="116" t="s">
        <v>4057</v>
      </c>
      <c r="K234" s="578" t="s">
        <v>4058</v>
      </c>
      <c r="L234" s="519" t="s">
        <v>4059</v>
      </c>
      <c r="M234" s="129"/>
      <c r="N234" s="116" t="s">
        <v>367</v>
      </c>
      <c r="O234" s="116" t="s">
        <v>368</v>
      </c>
      <c r="P234" s="578" t="s">
        <v>235</v>
      </c>
      <c r="Q234" s="131">
        <f>4111*2.4</f>
        <v>9866.4</v>
      </c>
      <c r="R234" s="131">
        <f>9900+100</f>
        <v>10000</v>
      </c>
      <c r="S234" s="122">
        <v>9900</v>
      </c>
      <c r="T234" s="667"/>
      <c r="U234" s="581"/>
      <c r="V234" s="581"/>
      <c r="W234" s="581"/>
      <c r="X234" s="723">
        <f>S234</f>
        <v>9900</v>
      </c>
      <c r="Y234" s="581"/>
      <c r="Z234" s="581"/>
      <c r="AA234" s="581"/>
      <c r="AB234" s="739"/>
      <c r="AC234" s="581"/>
      <c r="AD234" s="401"/>
      <c r="AE234" s="401"/>
      <c r="AF234" s="401"/>
      <c r="AG234" s="401"/>
      <c r="AH234" s="401"/>
      <c r="AI234" s="401"/>
      <c r="AJ234" s="401"/>
      <c r="AK234" s="401"/>
      <c r="AL234" s="401"/>
      <c r="AM234" s="401"/>
      <c r="AN234" s="401"/>
      <c r="AO234" s="401"/>
      <c r="AP234" s="401"/>
      <c r="AQ234" s="401"/>
      <c r="AR234" s="401"/>
      <c r="AS234" s="401"/>
      <c r="AT234" s="401"/>
      <c r="AU234" s="401"/>
      <c r="AV234" s="401"/>
      <c r="AW234" s="401"/>
      <c r="AX234" s="401"/>
      <c r="AY234" s="401"/>
      <c r="AZ234" s="401"/>
      <c r="BA234" s="401"/>
      <c r="BB234" s="401"/>
      <c r="BC234" s="401"/>
      <c r="BD234" s="127">
        <f t="shared" si="162"/>
        <v>45290.375</v>
      </c>
      <c r="BE234" s="120">
        <f t="shared" si="163"/>
        <v>45305.000000000007</v>
      </c>
      <c r="BF234" s="137">
        <f t="shared" si="164"/>
        <v>14.625000000007276</v>
      </c>
      <c r="BG234" s="1072">
        <v>45290.375</v>
      </c>
      <c r="BH234" s="127">
        <v>45291.618055555555</v>
      </c>
      <c r="BI234" s="120">
        <f>BH234+(41/24)</f>
        <v>45293.326388888891</v>
      </c>
      <c r="BJ234" s="120">
        <f t="shared" si="180"/>
        <v>45299.208333333394</v>
      </c>
      <c r="BK234" s="120">
        <f t="shared" si="165"/>
        <v>45299.375000000058</v>
      </c>
      <c r="BL234" s="120">
        <f t="shared" si="166"/>
        <v>45299.395833333394</v>
      </c>
      <c r="BM234" s="120">
        <f t="shared" si="166"/>
        <v>45299.41666666673</v>
      </c>
      <c r="BN234" s="120">
        <f t="shared" si="167"/>
        <v>45301.125000000065</v>
      </c>
      <c r="BO234" s="120">
        <v>45302.583333333336</v>
      </c>
      <c r="BP234" s="120">
        <v>45302.75</v>
      </c>
      <c r="BQ234" s="124" t="s">
        <v>64</v>
      </c>
      <c r="BR234" s="120">
        <f>BP234+(24/24)</f>
        <v>45303.75</v>
      </c>
      <c r="BS234" s="120">
        <f t="shared" ref="BS234:BS236" si="215">BV233+(1/24)</f>
        <v>45304.291666666672</v>
      </c>
      <c r="BT234" s="120">
        <f t="shared" ref="BT234:BT236" si="216">BS234+(6/24)</f>
        <v>45304.541666666672</v>
      </c>
      <c r="BU234" s="120">
        <f t="shared" ref="BU234:BU236" si="217">BT234+(0.5/24)</f>
        <v>45304.562500000007</v>
      </c>
      <c r="BV234" s="120">
        <f t="shared" ref="BV234:BV236" si="218">BU234+(0.5/24)</f>
        <v>45304.583333333343</v>
      </c>
      <c r="BW234" s="120">
        <f t="shared" ref="BW234:BW236" si="219">BV234+(10/24)</f>
        <v>45305.000000000007</v>
      </c>
      <c r="BZ234" s="136">
        <f t="shared" si="170"/>
        <v>41.000000000058208</v>
      </c>
      <c r="CA234" s="136">
        <f t="shared" si="171"/>
        <v>3.9999999999417923</v>
      </c>
      <c r="CB234" s="136">
        <f t="shared" si="172"/>
        <v>41.000000000058208</v>
      </c>
      <c r="CC234" s="136">
        <f t="shared" si="173"/>
        <v>24</v>
      </c>
      <c r="CD234" s="135">
        <f t="shared" si="174"/>
        <v>6</v>
      </c>
      <c r="CE234" s="135">
        <f t="shared" si="175"/>
        <v>9.9999999999417923</v>
      </c>
      <c r="CF234" s="134">
        <f t="shared" si="176"/>
        <v>5.25</v>
      </c>
      <c r="CG234" s="134">
        <f t="shared" si="177"/>
        <v>14.625000000007276</v>
      </c>
      <c r="CH234" s="133">
        <f t="shared" si="178"/>
        <v>0.3589743589741804</v>
      </c>
      <c r="CI234" s="128"/>
      <c r="CJ234" s="115"/>
    </row>
    <row r="235" spans="1:88" s="121" customFormat="1">
      <c r="A235" s="125">
        <f t="shared" si="161"/>
        <v>45299.41666666673</v>
      </c>
      <c r="B235" s="116" t="s">
        <v>188</v>
      </c>
      <c r="C235" s="116" t="s">
        <v>229</v>
      </c>
      <c r="D235" s="116" t="s">
        <v>215</v>
      </c>
      <c r="E235" s="100" t="s">
        <v>2463</v>
      </c>
      <c r="F235" s="519" t="s">
        <v>3474</v>
      </c>
      <c r="G235" s="130"/>
      <c r="H235" s="130"/>
      <c r="I235" s="116" t="s">
        <v>231</v>
      </c>
      <c r="J235" s="116" t="s">
        <v>4060</v>
      </c>
      <c r="K235" s="578" t="s">
        <v>4061</v>
      </c>
      <c r="L235" s="519" t="s">
        <v>4062</v>
      </c>
      <c r="M235" s="129"/>
      <c r="N235" s="116" t="s">
        <v>274</v>
      </c>
      <c r="O235" s="116" t="s">
        <v>1093</v>
      </c>
      <c r="P235" s="578" t="s">
        <v>235</v>
      </c>
      <c r="Q235" s="131">
        <f>3136*2.4</f>
        <v>7526.4</v>
      </c>
      <c r="R235" s="131">
        <f>7550+100</f>
        <v>7650</v>
      </c>
      <c r="S235" s="122">
        <v>7550</v>
      </c>
      <c r="T235" s="667"/>
      <c r="U235" s="581"/>
      <c r="V235" s="581"/>
      <c r="W235" s="581"/>
      <c r="X235" s="723">
        <f>S235</f>
        <v>7550</v>
      </c>
      <c r="Y235" s="581"/>
      <c r="Z235" s="581"/>
      <c r="AA235" s="581"/>
      <c r="AB235" s="581"/>
      <c r="AC235" s="581"/>
      <c r="AD235" s="581"/>
      <c r="AE235" s="575"/>
      <c r="AF235" s="575"/>
      <c r="AG235" s="575"/>
      <c r="AH235" s="575"/>
      <c r="AI235" s="575"/>
      <c r="BD235" s="127">
        <f t="shared" si="162"/>
        <v>45290.868055555555</v>
      </c>
      <c r="BE235" s="120">
        <f t="shared" si="163"/>
        <v>45305.333333333343</v>
      </c>
      <c r="BF235" s="137">
        <f t="shared" si="164"/>
        <v>14.465277777788287</v>
      </c>
      <c r="BG235" s="127">
        <v>45290.868055555555</v>
      </c>
      <c r="BH235" s="127">
        <v>45291.552083333336</v>
      </c>
      <c r="BI235" s="120">
        <f>BH235+(41/24)</f>
        <v>45293.260416666672</v>
      </c>
      <c r="BJ235" s="120">
        <f t="shared" si="180"/>
        <v>45299.41666666673</v>
      </c>
      <c r="BK235" s="120">
        <f t="shared" si="165"/>
        <v>45299.583333333394</v>
      </c>
      <c r="BL235" s="120">
        <f t="shared" si="166"/>
        <v>45299.60416666673</v>
      </c>
      <c r="BM235" s="120">
        <f t="shared" si="166"/>
        <v>45299.625000000065</v>
      </c>
      <c r="BN235" s="120">
        <f t="shared" si="167"/>
        <v>45301.333333333401</v>
      </c>
      <c r="BO235" s="120">
        <v>45302.583333333336</v>
      </c>
      <c r="BP235" s="120">
        <v>45302.75</v>
      </c>
      <c r="BQ235" s="124" t="s">
        <v>64</v>
      </c>
      <c r="BR235" s="120">
        <f>BP235+(24/24)</f>
        <v>45303.75</v>
      </c>
      <c r="BS235" s="120">
        <f t="shared" si="215"/>
        <v>45304.625000000007</v>
      </c>
      <c r="BT235" s="120">
        <f t="shared" si="216"/>
        <v>45304.875000000007</v>
      </c>
      <c r="BU235" s="120">
        <f t="shared" si="217"/>
        <v>45304.895833333343</v>
      </c>
      <c r="BV235" s="120">
        <f t="shared" si="218"/>
        <v>45304.916666666679</v>
      </c>
      <c r="BW235" s="120">
        <f t="shared" si="219"/>
        <v>45305.333333333343</v>
      </c>
      <c r="BZ235" s="136">
        <f t="shared" si="170"/>
        <v>41.000000000058208</v>
      </c>
      <c r="CA235" s="136">
        <f t="shared" si="171"/>
        <v>3.9999999999417923</v>
      </c>
      <c r="CB235" s="136">
        <f t="shared" si="172"/>
        <v>41.000000000058208</v>
      </c>
      <c r="CC235" s="136">
        <f t="shared" si="173"/>
        <v>24</v>
      </c>
      <c r="CD235" s="135">
        <f t="shared" si="174"/>
        <v>6</v>
      </c>
      <c r="CE235" s="135">
        <f t="shared" si="175"/>
        <v>9.9999999999417923</v>
      </c>
      <c r="CF235" s="134">
        <f t="shared" si="176"/>
        <v>5.25</v>
      </c>
      <c r="CG235" s="134">
        <f t="shared" si="177"/>
        <v>14.465277777788287</v>
      </c>
      <c r="CH235" s="133">
        <f t="shared" si="178"/>
        <v>0.36293807009095091</v>
      </c>
    </row>
    <row r="236" spans="1:88" s="369" customFormat="1">
      <c r="A236" s="125">
        <f t="shared" si="161"/>
        <v>45299.625000000065</v>
      </c>
      <c r="B236" s="116" t="s">
        <v>188</v>
      </c>
      <c r="C236" s="116" t="s">
        <v>229</v>
      </c>
      <c r="D236" s="116" t="s">
        <v>197</v>
      </c>
      <c r="E236" s="100" t="s">
        <v>2463</v>
      </c>
      <c r="F236" s="519" t="s">
        <v>3474</v>
      </c>
      <c r="G236" s="130"/>
      <c r="H236" s="130"/>
      <c r="I236" s="116" t="s">
        <v>231</v>
      </c>
      <c r="J236" s="116" t="s">
        <v>4063</v>
      </c>
      <c r="K236" s="519" t="s">
        <v>4064</v>
      </c>
      <c r="L236" s="519" t="s">
        <v>4065</v>
      </c>
      <c r="M236" s="129"/>
      <c r="N236" s="116" t="s">
        <v>1483</v>
      </c>
      <c r="O236" s="116" t="s">
        <v>4066</v>
      </c>
      <c r="P236" s="578" t="s">
        <v>235</v>
      </c>
      <c r="Q236" s="131">
        <f>3136*2.4</f>
        <v>7526.4</v>
      </c>
      <c r="R236" s="131">
        <f>7550+100</f>
        <v>7650</v>
      </c>
      <c r="S236" s="122">
        <v>7550</v>
      </c>
      <c r="T236" s="667"/>
      <c r="U236" s="581"/>
      <c r="V236" s="581"/>
      <c r="W236" s="581"/>
      <c r="X236" s="723">
        <f>S236</f>
        <v>7550</v>
      </c>
      <c r="Y236" s="581"/>
      <c r="Z236" s="581"/>
      <c r="AA236" s="581"/>
      <c r="AB236" s="581"/>
      <c r="AC236" s="115"/>
      <c r="AD236" s="581"/>
      <c r="AE236" s="121"/>
      <c r="AF236" s="121"/>
      <c r="AG236" s="121"/>
      <c r="AH236" s="121"/>
      <c r="AI236" s="121"/>
      <c r="AJ236" s="121"/>
      <c r="AK236" s="121"/>
      <c r="AL236" s="121"/>
      <c r="AM236" s="121"/>
      <c r="AN236" s="121"/>
      <c r="AO236" s="739"/>
      <c r="AP236" s="739"/>
      <c r="AQ236" s="739"/>
      <c r="AR236" s="739"/>
      <c r="AS236" s="739"/>
      <c r="AT236" s="739"/>
      <c r="AU236" s="739"/>
      <c r="AV236" s="739"/>
      <c r="AW236" s="739"/>
      <c r="AX236" s="739"/>
      <c r="AY236" s="739"/>
      <c r="AZ236" s="739"/>
      <c r="BA236" s="739"/>
      <c r="BB236" s="739"/>
      <c r="BC236" s="739"/>
      <c r="BD236" s="127">
        <f t="shared" si="162"/>
        <v>45274.770833333336</v>
      </c>
      <c r="BE236" s="120">
        <f t="shared" si="163"/>
        <v>45305.666666666679</v>
      </c>
      <c r="BF236" s="137">
        <f t="shared" si="164"/>
        <v>30.895833333343035</v>
      </c>
      <c r="BG236" s="127">
        <v>45274.770833333336</v>
      </c>
      <c r="BH236" s="127">
        <v>45291.545138888891</v>
      </c>
      <c r="BI236" s="120">
        <f>BH236+(41/24)</f>
        <v>45293.253472222226</v>
      </c>
      <c r="BJ236" s="120">
        <f t="shared" si="180"/>
        <v>45299.625000000065</v>
      </c>
      <c r="BK236" s="120">
        <f t="shared" si="165"/>
        <v>45299.79166666673</v>
      </c>
      <c r="BL236" s="120">
        <f t="shared" ref="BL236" si="220">BK236+(0.5/24)</f>
        <v>45299.812500000065</v>
      </c>
      <c r="BM236" s="120">
        <f t="shared" ref="BM236" si="221">BL236+(0.5/24)</f>
        <v>45299.833333333401</v>
      </c>
      <c r="BN236" s="120">
        <f t="shared" si="167"/>
        <v>45301.541666666737</v>
      </c>
      <c r="BO236" s="120">
        <v>45302.583333333336</v>
      </c>
      <c r="BP236" s="120">
        <v>45302.75</v>
      </c>
      <c r="BQ236" s="124" t="s">
        <v>64</v>
      </c>
      <c r="BR236" s="120">
        <f t="shared" ref="BR236:BR237" si="222">BP236+(24/24)</f>
        <v>45303.75</v>
      </c>
      <c r="BS236" s="120">
        <f t="shared" si="215"/>
        <v>45304.958333333343</v>
      </c>
      <c r="BT236" s="120">
        <f t="shared" si="216"/>
        <v>45305.208333333343</v>
      </c>
      <c r="BU236" s="120">
        <f t="shared" si="217"/>
        <v>45305.229166666679</v>
      </c>
      <c r="BV236" s="120">
        <f t="shared" si="218"/>
        <v>45305.250000000015</v>
      </c>
      <c r="BW236" s="120">
        <f t="shared" si="219"/>
        <v>45305.666666666679</v>
      </c>
      <c r="BX236" s="121" t="s">
        <v>4067</v>
      </c>
      <c r="BY236" s="121"/>
      <c r="BZ236" s="136">
        <f t="shared" si="170"/>
        <v>41.000000000058208</v>
      </c>
      <c r="CA236" s="136">
        <f t="shared" si="171"/>
        <v>3.9999999999417923</v>
      </c>
      <c r="CB236" s="136">
        <f t="shared" si="172"/>
        <v>41.000000000058208</v>
      </c>
      <c r="CC236" s="136">
        <f t="shared" si="173"/>
        <v>24</v>
      </c>
      <c r="CD236" s="135">
        <f t="shared" si="174"/>
        <v>6</v>
      </c>
      <c r="CE236" s="135">
        <f t="shared" si="175"/>
        <v>9.9999999999417923</v>
      </c>
      <c r="CF236" s="134">
        <f t="shared" si="176"/>
        <v>5.25</v>
      </c>
      <c r="CG236" s="134">
        <f t="shared" si="177"/>
        <v>30.895833333343035</v>
      </c>
      <c r="CH236" s="133">
        <f t="shared" si="178"/>
        <v>0.16992582602826761</v>
      </c>
      <c r="CI236" s="128"/>
      <c r="CJ236" s="128"/>
    </row>
    <row r="237" spans="1:88">
      <c r="A237" s="125">
        <f t="shared" si="161"/>
        <v>45299.833333333401</v>
      </c>
      <c r="B237" s="116" t="s">
        <v>188</v>
      </c>
      <c r="C237" s="116" t="s">
        <v>229</v>
      </c>
      <c r="D237" s="116" t="s">
        <v>197</v>
      </c>
      <c r="E237" s="100" t="s">
        <v>2463</v>
      </c>
      <c r="F237" s="519" t="s">
        <v>3474</v>
      </c>
      <c r="G237" s="130"/>
      <c r="H237" s="130"/>
      <c r="I237" s="116" t="s">
        <v>231</v>
      </c>
      <c r="J237" s="116" t="s">
        <v>4068</v>
      </c>
      <c r="K237" s="519" t="s">
        <v>3992</v>
      </c>
      <c r="L237" s="519" t="s">
        <v>4069</v>
      </c>
      <c r="M237" s="129"/>
      <c r="N237" s="116" t="s">
        <v>213</v>
      </c>
      <c r="O237" s="116" t="s">
        <v>214</v>
      </c>
      <c r="P237" s="578" t="s">
        <v>235</v>
      </c>
      <c r="Q237" s="131">
        <f>3113*2.4</f>
        <v>7471.2</v>
      </c>
      <c r="R237" s="131">
        <f>7500+100</f>
        <v>7600</v>
      </c>
      <c r="S237" s="122">
        <v>7500</v>
      </c>
      <c r="T237" s="667"/>
      <c r="U237" s="581"/>
      <c r="V237" s="581"/>
      <c r="W237" s="581"/>
      <c r="X237" s="723">
        <f>S237</f>
        <v>7500</v>
      </c>
      <c r="Y237" s="581"/>
      <c r="Z237" s="581"/>
      <c r="AA237" s="581"/>
      <c r="AB237" s="581"/>
      <c r="AC237" s="581"/>
      <c r="AD237" s="581"/>
      <c r="AF237" s="581"/>
      <c r="AG237" s="581"/>
      <c r="AH237" s="581"/>
      <c r="AI237" s="667"/>
      <c r="AJ237" s="667"/>
      <c r="AK237" s="667"/>
      <c r="AL237" s="667"/>
      <c r="AM237" s="667"/>
      <c r="AN237" s="667"/>
      <c r="AO237" s="667"/>
      <c r="AP237" s="667"/>
      <c r="AQ237" s="667"/>
      <c r="AR237" s="667"/>
      <c r="AS237" s="667"/>
      <c r="AT237" s="667"/>
      <c r="AU237" s="667"/>
      <c r="AV237" s="667"/>
      <c r="AW237" s="667"/>
      <c r="AX237" s="121"/>
      <c r="AY237" s="121"/>
      <c r="AZ237" s="121"/>
      <c r="BA237" s="121"/>
      <c r="BB237" s="121"/>
      <c r="BC237" s="121"/>
      <c r="BD237" s="127">
        <f t="shared" si="162"/>
        <v>45282.604166666664</v>
      </c>
      <c r="BE237" s="120">
        <f t="shared" si="163"/>
        <v>45305.45833333335</v>
      </c>
      <c r="BF237" s="137">
        <f t="shared" si="164"/>
        <v>22.854166666686069</v>
      </c>
      <c r="BG237" s="127">
        <v>45282.604166666664</v>
      </c>
      <c r="BH237" s="120">
        <v>45296.708333333328</v>
      </c>
      <c r="BI237" s="120">
        <f>BH237+(41/24)</f>
        <v>45298.416666666664</v>
      </c>
      <c r="BJ237" s="120">
        <f t="shared" si="180"/>
        <v>45299.833333333401</v>
      </c>
      <c r="BK237" s="120">
        <f t="shared" ref="BK237" si="223">BJ237+(4/24)</f>
        <v>45300.000000000065</v>
      </c>
      <c r="BL237" s="120">
        <f>BK237+(0.5/24)</f>
        <v>45300.020833333401</v>
      </c>
      <c r="BM237" s="120">
        <f>BL237+(0.5/24)</f>
        <v>45300.041666666737</v>
      </c>
      <c r="BN237" s="120">
        <f t="shared" si="167"/>
        <v>45301.750000000073</v>
      </c>
      <c r="BO237" s="120">
        <v>45302.583333333336</v>
      </c>
      <c r="BP237" s="120">
        <v>45302.75</v>
      </c>
      <c r="BQ237" s="124" t="s">
        <v>64</v>
      </c>
      <c r="BR237" s="120">
        <f t="shared" si="222"/>
        <v>45303.75</v>
      </c>
      <c r="BS237" s="120">
        <f>BV236+(1/24)</f>
        <v>45305.291666666679</v>
      </c>
      <c r="BT237" s="179">
        <f>BS237+(3/24)</f>
        <v>45305.416666666679</v>
      </c>
      <c r="BU237" s="120">
        <f>BT237+(0.5/24)</f>
        <v>45305.437500000015</v>
      </c>
      <c r="BV237" s="120">
        <f>BU237+(0.5/24)</f>
        <v>45305.45833333335</v>
      </c>
      <c r="BW237" s="179">
        <f>BV237</f>
        <v>45305.45833333335</v>
      </c>
      <c r="BX237" s="121"/>
      <c r="BY237" s="121"/>
      <c r="BZ237" s="136">
        <f t="shared" si="170"/>
        <v>41.000000000058208</v>
      </c>
      <c r="CA237" s="136">
        <f t="shared" si="171"/>
        <v>3.9999999999417923</v>
      </c>
      <c r="CB237" s="136">
        <f t="shared" si="172"/>
        <v>41.000000000058208</v>
      </c>
      <c r="CC237" s="136">
        <f t="shared" si="173"/>
        <v>24</v>
      </c>
      <c r="CD237" s="135">
        <f t="shared" si="174"/>
        <v>3</v>
      </c>
      <c r="CE237" s="135">
        <f t="shared" si="175"/>
        <v>0</v>
      </c>
      <c r="CF237" s="134">
        <f t="shared" si="176"/>
        <v>4.7083333333357587</v>
      </c>
      <c r="CG237" s="134">
        <f t="shared" si="177"/>
        <v>22.854166666686069</v>
      </c>
      <c r="CH237" s="133">
        <f t="shared" si="178"/>
        <v>0.20601640838643989</v>
      </c>
      <c r="CI237" s="128"/>
      <c r="CJ237" s="128"/>
    </row>
    <row r="238" spans="1:88" s="121" customFormat="1">
      <c r="A238" s="125">
        <f t="shared" si="161"/>
        <v>45300.041666666737</v>
      </c>
      <c r="B238" s="1159" t="s">
        <v>187</v>
      </c>
      <c r="C238" s="116" t="s">
        <v>229</v>
      </c>
      <c r="D238" s="116" t="s">
        <v>197</v>
      </c>
      <c r="E238" s="519" t="s">
        <v>1515</v>
      </c>
      <c r="F238" s="519" t="s">
        <v>3474</v>
      </c>
      <c r="G238" s="130"/>
      <c r="H238" s="130"/>
      <c r="I238" s="116" t="s">
        <v>231</v>
      </c>
      <c r="J238" s="116" t="s">
        <v>4070</v>
      </c>
      <c r="K238" s="519" t="s">
        <v>3992</v>
      </c>
      <c r="L238" s="519" t="s">
        <v>4071</v>
      </c>
      <c r="M238" s="129"/>
      <c r="N238" s="116" t="s">
        <v>2156</v>
      </c>
      <c r="O238" s="116" t="s">
        <v>3391</v>
      </c>
      <c r="P238" s="519" t="s">
        <v>240</v>
      </c>
      <c r="Q238" s="131">
        <f>3034*2.4</f>
        <v>7281.5999999999995</v>
      </c>
      <c r="R238" s="131">
        <f>7300+100</f>
        <v>7400</v>
      </c>
      <c r="S238" s="122">
        <v>7300</v>
      </c>
      <c r="T238" s="667"/>
      <c r="U238" s="581"/>
      <c r="V238" s="581"/>
      <c r="W238" s="581"/>
      <c r="X238" s="581"/>
      <c r="Y238" s="1158">
        <f t="shared" ref="Y238" si="224">S238</f>
        <v>7300</v>
      </c>
      <c r="Z238" s="581"/>
      <c r="AA238" s="581"/>
      <c r="AB238" s="581"/>
      <c r="AC238" s="581"/>
      <c r="AD238" s="581"/>
      <c r="AE238" s="581"/>
      <c r="AF238" s="581"/>
      <c r="AG238" s="581"/>
      <c r="AH238" s="581"/>
      <c r="AI238" s="581"/>
      <c r="AJ238" s="581"/>
      <c r="AK238" s="581"/>
      <c r="AL238" s="581"/>
      <c r="AM238" s="581"/>
      <c r="AN238" s="581"/>
      <c r="AO238" s="581"/>
      <c r="AP238" s="581"/>
      <c r="AQ238" s="581"/>
      <c r="BD238" s="127">
        <f t="shared" si="162"/>
        <v>45290.791666666664</v>
      </c>
      <c r="BE238" s="120">
        <f t="shared" si="163"/>
        <v>45306.5</v>
      </c>
      <c r="BF238" s="137">
        <f t="shared" si="164"/>
        <v>15.708333333335759</v>
      </c>
      <c r="BG238" s="127">
        <v>45290.791666666664</v>
      </c>
      <c r="BH238" s="120">
        <v>45296.708333333328</v>
      </c>
      <c r="BI238" s="120">
        <f t="shared" ref="BI238" si="225">BH238+(41/24)</f>
        <v>45298.416666666664</v>
      </c>
      <c r="BJ238" s="120">
        <f t="shared" si="180"/>
        <v>45300.041666666737</v>
      </c>
      <c r="BK238" s="120">
        <f t="shared" ref="BK238" si="226">BJ238+(4/24)</f>
        <v>45300.208333333401</v>
      </c>
      <c r="BL238" s="120">
        <f t="shared" ref="BL238" si="227">BK238+(0.5/24)</f>
        <v>45300.229166666737</v>
      </c>
      <c r="BM238" s="120">
        <f t="shared" ref="BM238" si="228">BL238+(0.5/24)</f>
        <v>45300.250000000073</v>
      </c>
      <c r="BN238" s="120">
        <f t="shared" ref="BN238" si="229">BM238+(41/24)</f>
        <v>45301.958333333409</v>
      </c>
      <c r="BO238" s="120">
        <v>45302.583333333336</v>
      </c>
      <c r="BP238" s="120">
        <v>45302.75</v>
      </c>
      <c r="BQ238" s="124" t="s">
        <v>64</v>
      </c>
      <c r="BR238" s="120">
        <f t="shared" ref="BR238" si="230">BP238+(24/24)</f>
        <v>45303.75</v>
      </c>
      <c r="BS238" s="169">
        <v>45305.791666666664</v>
      </c>
      <c r="BT238" s="120">
        <f t="shared" ref="BT238" si="231">BS238+(6/24)</f>
        <v>45306.041666666664</v>
      </c>
      <c r="BU238" s="120">
        <f t="shared" ref="BU238" si="232">BT238+(0.5/24)</f>
        <v>45306.0625</v>
      </c>
      <c r="BV238" s="120">
        <f t="shared" ref="BV238" si="233">BU238+(0.5/24)</f>
        <v>45306.083333333336</v>
      </c>
      <c r="BW238" s="120">
        <f t="shared" ref="BW238" si="234">BV238+(10/24)</f>
        <v>45306.5</v>
      </c>
      <c r="BZ238" s="136">
        <f t="shared" si="170"/>
        <v>41.000000000058208</v>
      </c>
      <c r="CA238" s="136">
        <f t="shared" si="171"/>
        <v>3.9999999999417923</v>
      </c>
      <c r="CB238" s="136">
        <f t="shared" si="172"/>
        <v>41.000000000058208</v>
      </c>
      <c r="CC238" s="136">
        <f t="shared" si="173"/>
        <v>24</v>
      </c>
      <c r="CD238" s="135">
        <f t="shared" si="174"/>
        <v>6</v>
      </c>
      <c r="CE238" s="135">
        <f t="shared" si="175"/>
        <v>9.9999999999417923</v>
      </c>
      <c r="CF238" s="134">
        <f t="shared" si="176"/>
        <v>5.25</v>
      </c>
      <c r="CG238" s="134">
        <f t="shared" si="177"/>
        <v>15.708333333335759</v>
      </c>
      <c r="CH238" s="133">
        <f t="shared" si="178"/>
        <v>0.33421750663124811</v>
      </c>
    </row>
    <row r="239" spans="1:88" s="121" customFormat="1">
      <c r="A239" s="125">
        <f t="shared" si="161"/>
        <v>45300.250000000073</v>
      </c>
      <c r="B239" s="116" t="s">
        <v>188</v>
      </c>
      <c r="C239" s="116" t="s">
        <v>229</v>
      </c>
      <c r="D239" s="116" t="s">
        <v>197</v>
      </c>
      <c r="E239" s="100" t="s">
        <v>1515</v>
      </c>
      <c r="F239" s="519" t="s">
        <v>3474</v>
      </c>
      <c r="G239" s="130"/>
      <c r="H239" s="130"/>
      <c r="I239" s="116" t="s">
        <v>231</v>
      </c>
      <c r="J239" s="116" t="s">
        <v>4072</v>
      </c>
      <c r="K239" s="519" t="s">
        <v>3992</v>
      </c>
      <c r="L239" s="519" t="s">
        <v>4073</v>
      </c>
      <c r="M239" s="129"/>
      <c r="N239" s="116" t="s">
        <v>355</v>
      </c>
      <c r="O239" s="116" t="s">
        <v>356</v>
      </c>
      <c r="P239" s="519" t="s">
        <v>240</v>
      </c>
      <c r="Q239" s="131">
        <f>3107*2.4</f>
        <v>7456.7999999999993</v>
      </c>
      <c r="R239" s="131">
        <f>7500+100</f>
        <v>7600</v>
      </c>
      <c r="S239" s="122">
        <v>7500</v>
      </c>
      <c r="T239" s="667"/>
      <c r="U239" s="581"/>
      <c r="V239" s="581"/>
      <c r="W239" s="581"/>
      <c r="X239" s="739"/>
      <c r="Y239" s="846">
        <f>S239</f>
        <v>7500</v>
      </c>
      <c r="Z239" s="581"/>
      <c r="AA239" s="581"/>
      <c r="AB239" s="581"/>
      <c r="AC239" s="581"/>
      <c r="AD239" s="581"/>
      <c r="AE239" s="581"/>
      <c r="AF239" s="581"/>
      <c r="AG239" s="581"/>
      <c r="AH239" s="581"/>
      <c r="AI239" s="581"/>
      <c r="AJ239" s="581"/>
      <c r="AK239" s="581"/>
      <c r="AL239" s="581"/>
      <c r="AM239" s="581"/>
      <c r="AN239" s="581"/>
      <c r="AO239" s="581"/>
      <c r="AP239" s="581"/>
      <c r="AQ239" s="581"/>
      <c r="AR239" s="115"/>
      <c r="AS239" s="115"/>
      <c r="AT239" s="115"/>
      <c r="AU239" s="115"/>
      <c r="AV239" s="115"/>
      <c r="BD239" s="127">
        <f t="shared" si="162"/>
        <v>45291.479166666664</v>
      </c>
      <c r="BE239" s="120">
        <f t="shared" si="163"/>
        <v>45306.833333333336</v>
      </c>
      <c r="BF239" s="137">
        <f t="shared" si="164"/>
        <v>15.354166666671517</v>
      </c>
      <c r="BG239" s="127">
        <v>45291.479166666664</v>
      </c>
      <c r="BH239" s="120">
        <v>45296.708333333328</v>
      </c>
      <c r="BI239" s="120">
        <f>BH239+(41/24)</f>
        <v>45298.416666666664</v>
      </c>
      <c r="BJ239" s="120">
        <f t="shared" si="180"/>
        <v>45300.250000000073</v>
      </c>
      <c r="BK239" s="120">
        <f>BJ239+(4/24)</f>
        <v>45300.416666666737</v>
      </c>
      <c r="BL239" s="120">
        <f>BK239+(0.5/24)</f>
        <v>45300.437500000073</v>
      </c>
      <c r="BM239" s="120">
        <f>BL239+(0.5/24)</f>
        <v>45300.458333333409</v>
      </c>
      <c r="BN239" s="120">
        <f>BM239+(41/24)</f>
        <v>45302.166666666744</v>
      </c>
      <c r="BO239" s="120">
        <v>45303.229166666664</v>
      </c>
      <c r="BP239" s="120">
        <v>45303.395833333328</v>
      </c>
      <c r="BQ239" s="124" t="s">
        <v>64</v>
      </c>
      <c r="BR239" s="120">
        <f>BP239+(24/24)</f>
        <v>45304.395833333328</v>
      </c>
      <c r="BS239" s="120">
        <f t="shared" ref="BS239:BS240" si="235">BV238+(1/24)</f>
        <v>45306.125</v>
      </c>
      <c r="BT239" s="120">
        <f>BS239+(6/24)</f>
        <v>45306.375</v>
      </c>
      <c r="BU239" s="120">
        <f>BT239+(0.5/24)</f>
        <v>45306.395833333336</v>
      </c>
      <c r="BV239" s="120">
        <f>BU239+(0.5/24)</f>
        <v>45306.416666666672</v>
      </c>
      <c r="BW239" s="120">
        <f>BV239+(10/24)</f>
        <v>45306.833333333336</v>
      </c>
      <c r="BZ239" s="136">
        <f t="shared" si="170"/>
        <v>41.000000000058208</v>
      </c>
      <c r="CA239" s="136">
        <f t="shared" si="171"/>
        <v>3.9999999999417923</v>
      </c>
      <c r="CB239" s="136">
        <f t="shared" si="172"/>
        <v>41.000000000058208</v>
      </c>
      <c r="CC239" s="136">
        <f t="shared" si="173"/>
        <v>24</v>
      </c>
      <c r="CD239" s="135">
        <f t="shared" si="174"/>
        <v>6</v>
      </c>
      <c r="CE239" s="135">
        <f t="shared" si="175"/>
        <v>9.9999999999417923</v>
      </c>
      <c r="CF239" s="134">
        <f t="shared" si="176"/>
        <v>5.25</v>
      </c>
      <c r="CG239" s="134">
        <f t="shared" si="177"/>
        <v>15.354166666671517</v>
      </c>
      <c r="CH239" s="133">
        <f t="shared" si="178"/>
        <v>0.34192672998632345</v>
      </c>
      <c r="CI239" s="128"/>
    </row>
    <row r="240" spans="1:88" s="369" customFormat="1">
      <c r="A240" s="125">
        <f t="shared" si="161"/>
        <v>45300.458333333409</v>
      </c>
      <c r="B240" s="1159" t="s">
        <v>187</v>
      </c>
      <c r="C240" s="116" t="s">
        <v>229</v>
      </c>
      <c r="D240" s="116" t="s">
        <v>197</v>
      </c>
      <c r="E240" s="100" t="s">
        <v>1515</v>
      </c>
      <c r="F240" s="519" t="s">
        <v>3474</v>
      </c>
      <c r="G240" s="130"/>
      <c r="H240" s="130"/>
      <c r="I240" s="116" t="s">
        <v>231</v>
      </c>
      <c r="J240" s="116" t="s">
        <v>4074</v>
      </c>
      <c r="K240" s="519" t="s">
        <v>3992</v>
      </c>
      <c r="L240" s="519" t="s">
        <v>4075</v>
      </c>
      <c r="M240" s="129"/>
      <c r="N240" s="116" t="s">
        <v>292</v>
      </c>
      <c r="O240" s="116" t="s">
        <v>268</v>
      </c>
      <c r="P240" s="519" t="s">
        <v>240</v>
      </c>
      <c r="Q240" s="131">
        <f>3142*2.4</f>
        <v>7540.7999999999993</v>
      </c>
      <c r="R240" s="131">
        <f>7550+100</f>
        <v>7650</v>
      </c>
      <c r="S240" s="122">
        <v>7550</v>
      </c>
      <c r="T240" s="667"/>
      <c r="U240" s="581"/>
      <c r="V240" s="581"/>
      <c r="W240" s="581"/>
      <c r="X240" s="581"/>
      <c r="Y240" s="846">
        <f>S240</f>
        <v>7550</v>
      </c>
      <c r="Z240" s="581"/>
      <c r="AA240" s="581"/>
      <c r="AB240" s="581"/>
      <c r="AC240" s="581"/>
      <c r="AD240" s="581"/>
      <c r="AE240" s="739"/>
      <c r="AF240" s="739"/>
      <c r="AG240" s="739"/>
      <c r="AH240" s="739"/>
      <c r="AI240" s="115"/>
      <c r="AJ240" s="115"/>
      <c r="AK240" s="115"/>
      <c r="AL240" s="115"/>
      <c r="AM240" s="115"/>
      <c r="AN240" s="115"/>
      <c r="AO240" s="115"/>
      <c r="AP240" s="115"/>
      <c r="AQ240" s="115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7">
        <f t="shared" si="162"/>
        <v>45293.291666666664</v>
      </c>
      <c r="BE240" s="120">
        <f t="shared" si="163"/>
        <v>45307.166666666672</v>
      </c>
      <c r="BF240" s="137">
        <f t="shared" si="164"/>
        <v>13.875000000007276</v>
      </c>
      <c r="BG240" s="127">
        <v>45293.291666666664</v>
      </c>
      <c r="BH240" s="120">
        <v>45296.708333333328</v>
      </c>
      <c r="BI240" s="120">
        <f t="shared" ref="BI240" si="236">BH240+(41/24)</f>
        <v>45298.416666666664</v>
      </c>
      <c r="BJ240" s="120">
        <f t="shared" si="180"/>
        <v>45300.458333333409</v>
      </c>
      <c r="BK240" s="120">
        <f t="shared" ref="BK240" si="237">BJ240+(4/24)</f>
        <v>45300.625000000073</v>
      </c>
      <c r="BL240" s="120">
        <f t="shared" ref="BL240" si="238">BK240+(0.5/24)</f>
        <v>45300.645833333409</v>
      </c>
      <c r="BM240" s="120">
        <f t="shared" ref="BM240" si="239">BL240+(0.5/24)</f>
        <v>45300.666666666744</v>
      </c>
      <c r="BN240" s="120">
        <f t="shared" ref="BN240" si="240">BM240+(41/24)</f>
        <v>45302.37500000008</v>
      </c>
      <c r="BO240" s="120">
        <v>45303.229166666664</v>
      </c>
      <c r="BP240" s="120">
        <v>45303.395833333328</v>
      </c>
      <c r="BQ240" s="124" t="s">
        <v>64</v>
      </c>
      <c r="BR240" s="120">
        <f t="shared" ref="BR240" si="241">BP240+(24/24)</f>
        <v>45304.395833333328</v>
      </c>
      <c r="BS240" s="120">
        <f t="shared" si="235"/>
        <v>45306.458333333336</v>
      </c>
      <c r="BT240" s="120">
        <f t="shared" ref="BT240" si="242">BS240+(6/24)</f>
        <v>45306.708333333336</v>
      </c>
      <c r="BU240" s="120">
        <f t="shared" ref="BU240" si="243">BT240+(0.5/24)</f>
        <v>45306.729166666672</v>
      </c>
      <c r="BV240" s="120">
        <f t="shared" ref="BV240" si="244">BU240+(0.5/24)</f>
        <v>45306.750000000007</v>
      </c>
      <c r="BW240" s="120">
        <f t="shared" ref="BW240" si="245">BV240+(10/24)</f>
        <v>45307.166666666672</v>
      </c>
      <c r="BX240" s="121"/>
      <c r="BY240" s="121"/>
      <c r="BZ240" s="136">
        <f t="shared" si="170"/>
        <v>41.000000000058208</v>
      </c>
      <c r="CA240" s="136">
        <f t="shared" si="171"/>
        <v>3.9999999999417923</v>
      </c>
      <c r="CB240" s="136">
        <f t="shared" si="172"/>
        <v>41.000000000058208</v>
      </c>
      <c r="CC240" s="136">
        <f t="shared" si="173"/>
        <v>24</v>
      </c>
      <c r="CD240" s="135">
        <f t="shared" si="174"/>
        <v>6</v>
      </c>
      <c r="CE240" s="135">
        <f t="shared" si="175"/>
        <v>9.9999999999417923</v>
      </c>
      <c r="CF240" s="134">
        <f t="shared" si="176"/>
        <v>5.25</v>
      </c>
      <c r="CG240" s="134">
        <f t="shared" si="177"/>
        <v>13.875000000007276</v>
      </c>
      <c r="CH240" s="133">
        <f t="shared" si="178"/>
        <v>0.37837837837817995</v>
      </c>
      <c r="CI240" s="115"/>
      <c r="CJ240" s="121"/>
    </row>
    <row r="241" spans="1:88" s="128" customFormat="1">
      <c r="A241" s="125"/>
      <c r="B241" s="125"/>
      <c r="C241" s="116"/>
      <c r="D241" s="116"/>
      <c r="E241" s="116"/>
      <c r="F241" s="116"/>
      <c r="G241" s="127"/>
      <c r="H241" s="127"/>
      <c r="I241" s="116"/>
      <c r="J241" s="116"/>
      <c r="K241" s="116"/>
      <c r="L241" s="666"/>
      <c r="M241" s="129"/>
      <c r="N241" s="116"/>
      <c r="O241" s="116"/>
      <c r="P241" s="116"/>
      <c r="Q241" s="131"/>
      <c r="R241" s="131"/>
      <c r="S241" s="143">
        <f>SUM(S208:S240)</f>
        <v>250600</v>
      </c>
      <c r="T241" s="143">
        <f t="shared" ref="T241:AA241" si="246">SUM(T208:T240)</f>
        <v>0</v>
      </c>
      <c r="U241" s="143">
        <f t="shared" si="246"/>
        <v>33535</v>
      </c>
      <c r="V241" s="143">
        <f t="shared" si="246"/>
        <v>28415</v>
      </c>
      <c r="W241" s="143">
        <f t="shared" si="246"/>
        <v>0</v>
      </c>
      <c r="X241" s="143">
        <f t="shared" si="246"/>
        <v>138700</v>
      </c>
      <c r="Y241" s="143">
        <f t="shared" si="246"/>
        <v>35050</v>
      </c>
      <c r="Z241" s="143">
        <f t="shared" si="246"/>
        <v>14900</v>
      </c>
      <c r="AA241" s="143">
        <f t="shared" si="246"/>
        <v>0</v>
      </c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115"/>
      <c r="AO241" s="115"/>
      <c r="AP241" s="115"/>
      <c r="AQ241" s="115"/>
      <c r="AR241" s="115"/>
      <c r="AS241" s="115"/>
      <c r="AT241" s="115"/>
      <c r="AU241" s="115"/>
      <c r="AV241" s="115"/>
      <c r="AW241" s="115"/>
      <c r="AX241" s="115"/>
      <c r="AY241" s="115"/>
      <c r="AZ241" s="115"/>
      <c r="BA241" s="115"/>
      <c r="BB241" s="115"/>
      <c r="BC241" s="115"/>
      <c r="BD241" s="127"/>
      <c r="BE241" s="120"/>
      <c r="BF241" s="120"/>
      <c r="BG241" s="127"/>
      <c r="BH241" s="120"/>
      <c r="BI241" s="120"/>
      <c r="BJ241" s="120"/>
      <c r="BK241" s="120"/>
      <c r="BL241" s="120"/>
      <c r="BM241" s="120"/>
      <c r="BN241" s="120"/>
      <c r="BO241" s="120"/>
      <c r="BP241" s="120"/>
      <c r="BQ241" s="124"/>
      <c r="BR241" s="120"/>
      <c r="BS241" s="120"/>
      <c r="BT241" s="120"/>
      <c r="BU241" s="120"/>
      <c r="BV241" s="120"/>
      <c r="BW241" s="120"/>
      <c r="BX241" s="121"/>
      <c r="BY241" s="121"/>
      <c r="BZ241" s="136"/>
      <c r="CA241" s="136"/>
      <c r="CB241" s="136"/>
      <c r="CC241" s="136"/>
      <c r="CD241" s="135"/>
      <c r="CE241" s="135"/>
      <c r="CF241" s="135"/>
      <c r="CG241" s="135"/>
      <c r="CH241" s="135"/>
      <c r="CI241" s="135"/>
    </row>
    <row r="242" spans="1:88" s="121" customFormat="1">
      <c r="A242" s="132"/>
      <c r="B242" s="132"/>
      <c r="C242" s="116"/>
      <c r="D242" s="116"/>
      <c r="F242" s="116"/>
      <c r="G242" s="130"/>
      <c r="H242" s="130"/>
      <c r="J242" s="116"/>
      <c r="K242" s="116"/>
      <c r="M242" s="129"/>
      <c r="N242" s="116"/>
      <c r="O242" s="116"/>
      <c r="Q242" s="131"/>
      <c r="R242" s="131"/>
      <c r="S242" s="131"/>
      <c r="T242" s="163"/>
      <c r="U242" s="1132">
        <f t="shared" ref="U242:AA242" si="247">U207-U241</f>
        <v>-30656</v>
      </c>
      <c r="V242" s="1132">
        <f t="shared" si="247"/>
        <v>-16123</v>
      </c>
      <c r="W242" s="142">
        <f t="shared" si="247"/>
        <v>0</v>
      </c>
      <c r="X242" s="142">
        <f t="shared" si="247"/>
        <v>23269</v>
      </c>
      <c r="Y242" s="1132">
        <f t="shared" si="247"/>
        <v>-31115</v>
      </c>
      <c r="Z242" s="1132">
        <f t="shared" si="247"/>
        <v>-8476</v>
      </c>
      <c r="AA242" s="142">
        <f t="shared" si="247"/>
        <v>15273</v>
      </c>
      <c r="BD242" s="127"/>
      <c r="BE242" s="120"/>
      <c r="BF242" s="120"/>
      <c r="BG242" s="127"/>
      <c r="BH242" s="120"/>
      <c r="BI242" s="120"/>
      <c r="BJ242" s="120"/>
      <c r="BK242" s="120"/>
      <c r="BL242" s="127"/>
      <c r="BM242" s="127"/>
      <c r="BN242" s="120"/>
      <c r="BO242" s="120"/>
      <c r="BP242" s="120"/>
      <c r="BQ242" s="124"/>
      <c r="BR242" s="120"/>
      <c r="BS242" s="120"/>
      <c r="BT242" s="120"/>
      <c r="BU242" s="120"/>
      <c r="BV242" s="120"/>
      <c r="BW242" s="120"/>
      <c r="BX242" s="116"/>
      <c r="BY242" s="116"/>
      <c r="BZ242" s="120"/>
      <c r="CA242" s="120"/>
      <c r="CB242" s="120"/>
      <c r="CC242" s="120"/>
      <c r="CD242" s="120"/>
      <c r="CE242" s="120"/>
      <c r="CF242" s="120"/>
      <c r="CG242" s="120"/>
    </row>
    <row r="243" spans="1:88" s="121" customFormat="1">
      <c r="A243" s="132"/>
      <c r="B243" s="132"/>
      <c r="C243" s="116"/>
      <c r="D243" s="116"/>
      <c r="F243" s="116"/>
      <c r="G243" s="130"/>
      <c r="H243" s="130"/>
      <c r="J243" s="116"/>
      <c r="K243" s="116"/>
      <c r="M243" s="129"/>
      <c r="O243" s="116"/>
      <c r="Q243" s="131"/>
      <c r="R243" s="131"/>
      <c r="S243" s="163"/>
      <c r="T243" s="163"/>
      <c r="U243" s="164"/>
      <c r="V243" s="164"/>
      <c r="W243" s="164"/>
      <c r="X243" s="164"/>
      <c r="Y243" s="164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  <c r="AY243" s="163"/>
      <c r="AZ243" s="163"/>
      <c r="BA243" s="163"/>
      <c r="BB243" s="163"/>
      <c r="BC243" s="163"/>
      <c r="BD243" s="127"/>
      <c r="BE243" s="120"/>
      <c r="BF243" s="120"/>
      <c r="BG243" s="127"/>
      <c r="BH243" s="120"/>
      <c r="BI243" s="120"/>
      <c r="BJ243" s="120"/>
      <c r="BK243" s="120"/>
      <c r="BL243" s="127"/>
      <c r="BM243" s="127"/>
      <c r="BN243" s="120"/>
      <c r="BO243" s="120"/>
      <c r="BP243" s="120"/>
      <c r="BQ243" s="124"/>
      <c r="BR243" s="120"/>
      <c r="BS243" s="120"/>
      <c r="BT243" s="120"/>
      <c r="BU243" s="120"/>
      <c r="BV243" s="120"/>
      <c r="BW243" s="120"/>
      <c r="BX243" s="116"/>
      <c r="BY243" s="116"/>
      <c r="BZ243" s="120"/>
      <c r="CA243" s="120"/>
      <c r="CB243" s="120"/>
      <c r="CC243" s="120"/>
      <c r="CD243" s="120"/>
      <c r="CE243" s="120"/>
      <c r="CF243" s="120"/>
      <c r="CG243" s="120"/>
    </row>
    <row r="244" spans="1:88" s="151" customFormat="1" ht="18.600000000000001" customHeight="1">
      <c r="A244" s="1477" t="s">
        <v>3939</v>
      </c>
      <c r="B244" s="1477"/>
      <c r="C244" s="1477"/>
      <c r="D244" s="1477"/>
      <c r="E244" s="100"/>
      <c r="F244" s="116"/>
      <c r="G244" s="130"/>
      <c r="H244" s="130"/>
      <c r="I244" s="116"/>
      <c r="L244" s="121"/>
      <c r="M244" s="157"/>
      <c r="N244" s="886"/>
      <c r="Q244" s="131"/>
      <c r="R244" s="131"/>
      <c r="S244" s="122"/>
      <c r="BD244" s="155"/>
      <c r="BE244" s="152"/>
      <c r="BF244" s="152"/>
      <c r="BG244" s="155"/>
      <c r="BH244" s="120"/>
      <c r="BI244" s="154"/>
      <c r="BJ244" s="152"/>
      <c r="BK244" s="152"/>
      <c r="BL244" s="152"/>
      <c r="BM244" s="152"/>
      <c r="BN244" s="152"/>
      <c r="BO244" s="120"/>
      <c r="BP244" s="120"/>
      <c r="BQ244" s="153"/>
      <c r="BR244" s="152"/>
      <c r="BS244" s="152"/>
      <c r="BT244" s="152"/>
      <c r="BU244" s="152"/>
      <c r="BV244" s="120"/>
      <c r="BW244" s="152"/>
      <c r="BZ244" s="152"/>
      <c r="CA244" s="152"/>
      <c r="CB244" s="152"/>
      <c r="CC244" s="152"/>
      <c r="CD244" s="152"/>
      <c r="CE244" s="152"/>
      <c r="CF244" s="152"/>
      <c r="CG244" s="152"/>
    </row>
    <row r="245" spans="1:88" s="128" customFormat="1">
      <c r="A245" s="125">
        <f>BJ245</f>
        <v>45296.791666666664</v>
      </c>
      <c r="B245" s="121" t="s">
        <v>187</v>
      </c>
      <c r="C245" s="121" t="s">
        <v>87</v>
      </c>
      <c r="D245" s="121" t="s">
        <v>215</v>
      </c>
      <c r="E245" s="253" t="s">
        <v>3225</v>
      </c>
      <c r="F245" s="397" t="s">
        <v>3378</v>
      </c>
      <c r="G245" s="398"/>
      <c r="H245" s="398"/>
      <c r="I245" s="121" t="s">
        <v>751</v>
      </c>
      <c r="J245" s="121" t="s">
        <v>15</v>
      </c>
      <c r="K245" s="517" t="s">
        <v>187</v>
      </c>
      <c r="L245" s="121" t="s">
        <v>4076</v>
      </c>
      <c r="M245" s="123"/>
      <c r="N245" s="121" t="s">
        <v>310</v>
      </c>
      <c r="O245" s="121" t="s">
        <v>219</v>
      </c>
      <c r="P245" s="517" t="s">
        <v>2335</v>
      </c>
      <c r="Q245" s="122">
        <f>3087*2.4</f>
        <v>7408.7999999999993</v>
      </c>
      <c r="R245" s="122">
        <f>7450+100</f>
        <v>7550</v>
      </c>
      <c r="S245" s="122">
        <v>7500</v>
      </c>
      <c r="T245" s="667"/>
      <c r="U245" s="1084"/>
      <c r="W245" s="581"/>
      <c r="X245" s="581"/>
      <c r="Y245" s="581"/>
      <c r="Z245" s="581"/>
      <c r="AA245" s="581"/>
      <c r="AB245" s="581"/>
      <c r="AC245" s="581"/>
      <c r="AD245" s="577"/>
      <c r="AE245" s="577"/>
      <c r="AF245" s="577"/>
      <c r="AG245" s="577"/>
      <c r="AH245" s="723">
        <f>S245</f>
        <v>7500</v>
      </c>
      <c r="AI245" s="577"/>
      <c r="AJ245" s="577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581"/>
      <c r="BC245" s="121"/>
      <c r="BD245" s="120">
        <f>BG245</f>
        <v>45294.770833333336</v>
      </c>
      <c r="BE245" s="120">
        <f>BW245</f>
        <v>45299.5</v>
      </c>
      <c r="BF245" s="137">
        <f>BE245-BD245</f>
        <v>4.7291666666642413</v>
      </c>
      <c r="BG245" s="120">
        <f>$BE$168</f>
        <v>45294.770833333336</v>
      </c>
      <c r="BH245" s="120">
        <f>BG245</f>
        <v>45294.770833333336</v>
      </c>
      <c r="BI245" s="120">
        <f>BH245</f>
        <v>45294.770833333336</v>
      </c>
      <c r="BJ245" s="120">
        <v>45296.791666666664</v>
      </c>
      <c r="BK245" s="120">
        <f>BJ245+(4/24)</f>
        <v>45296.958333333328</v>
      </c>
      <c r="BL245" s="120">
        <f>BK245+(0.5/24)</f>
        <v>45296.979166666664</v>
      </c>
      <c r="BM245" s="120">
        <f>BL245+(0.5/24)</f>
        <v>45297</v>
      </c>
      <c r="BN245" s="120">
        <f>BM245+(12/24)</f>
        <v>45297.5</v>
      </c>
      <c r="BO245" s="124" t="s">
        <v>196</v>
      </c>
      <c r="BP245" s="124" t="s">
        <v>196</v>
      </c>
      <c r="BQ245" s="124" t="s">
        <v>196</v>
      </c>
      <c r="BR245" s="120">
        <f>BN245+(6/24)</f>
        <v>45297.75</v>
      </c>
      <c r="BS245" s="1087">
        <v>45298.791666666664</v>
      </c>
      <c r="BT245" s="120">
        <f>BS245+(6/24)</f>
        <v>45299.041666666664</v>
      </c>
      <c r="BU245" s="120">
        <f t="shared" ref="BU245:BV245" si="248">BT245+(0.5/24)</f>
        <v>45299.0625</v>
      </c>
      <c r="BV245" s="120">
        <f t="shared" si="248"/>
        <v>45299.083333333336</v>
      </c>
      <c r="BW245" s="120">
        <f>BV245+(10/24)</f>
        <v>45299.5</v>
      </c>
      <c r="BX245" s="121"/>
      <c r="BY245" s="121"/>
      <c r="BZ245" s="136">
        <f>(BI245-BH245)*24</f>
        <v>0</v>
      </c>
      <c r="CA245" s="136">
        <f>(BK245-BJ245)*24</f>
        <v>3.9999999999417923</v>
      </c>
      <c r="CB245" s="136">
        <f>(BN245-BM245)*24</f>
        <v>12</v>
      </c>
      <c r="CC245" s="136">
        <f>(BR245-BN245)*24</f>
        <v>6</v>
      </c>
      <c r="CD245" s="135">
        <f>(BT245-BS245)*24</f>
        <v>6</v>
      </c>
      <c r="CE245" s="135">
        <f>(BW245-BV245)*24</f>
        <v>9.9999999999417923</v>
      </c>
      <c r="CF245" s="134">
        <f>SUM(BZ245:CE245)/24</f>
        <v>1.5833333333284827</v>
      </c>
      <c r="CG245" s="134">
        <f>BF245</f>
        <v>4.7291666666642413</v>
      </c>
      <c r="CH245" s="133">
        <f>CF245/CG245</f>
        <v>0.33480176211368345</v>
      </c>
      <c r="CI245" s="115"/>
      <c r="CJ245" s="116"/>
    </row>
    <row r="246" spans="1:88" s="151" customFormat="1" ht="18.600000000000001" customHeight="1">
      <c r="A246" s="1477" t="s">
        <v>4077</v>
      </c>
      <c r="B246" s="1477"/>
      <c r="C246" s="1477"/>
      <c r="D246" s="1477"/>
      <c r="E246" s="116"/>
      <c r="G246" s="158"/>
      <c r="H246" s="158"/>
      <c r="I246" s="156"/>
      <c r="J246" s="116"/>
      <c r="K246" s="116"/>
      <c r="M246" s="157"/>
      <c r="N246" s="121"/>
      <c r="O246" s="121"/>
      <c r="P246" s="116"/>
      <c r="Q246" s="156"/>
      <c r="R246" s="156"/>
      <c r="S246" s="156"/>
      <c r="T246" s="156"/>
      <c r="BD246" s="155"/>
      <c r="BE246" s="152"/>
      <c r="BF246" s="152"/>
      <c r="BG246" s="155"/>
      <c r="BH246" s="127"/>
      <c r="BI246" s="120"/>
      <c r="BJ246" s="120"/>
      <c r="BK246" s="152"/>
      <c r="BL246" s="152"/>
      <c r="BM246" s="152"/>
      <c r="BN246" s="152"/>
      <c r="BO246" s="120"/>
      <c r="BP246" s="120"/>
      <c r="BQ246" s="153"/>
      <c r="BR246" s="152"/>
      <c r="BS246" s="152"/>
      <c r="BT246" s="152"/>
      <c r="BU246" s="152"/>
      <c r="BV246" s="152"/>
      <c r="BW246" s="152"/>
      <c r="BZ246" s="230"/>
      <c r="CA246" s="230"/>
      <c r="CB246" s="230"/>
      <c r="CC246" s="230"/>
      <c r="CD246" s="230"/>
      <c r="CE246" s="230"/>
      <c r="CF246" s="230"/>
      <c r="CG246" s="230"/>
      <c r="CH246" s="231"/>
    </row>
    <row r="247" spans="1:88" s="121" customFormat="1">
      <c r="A247" s="125">
        <f>BJ247</f>
        <v>45294.791666666664</v>
      </c>
      <c r="B247" s="116" t="s">
        <v>188</v>
      </c>
      <c r="C247" s="116" t="s">
        <v>78</v>
      </c>
      <c r="D247" s="116" t="s">
        <v>197</v>
      </c>
      <c r="E247" s="100" t="s">
        <v>3225</v>
      </c>
      <c r="F247" s="519" t="s">
        <v>3378</v>
      </c>
      <c r="G247" s="130"/>
      <c r="H247" s="130"/>
      <c r="I247" s="116" t="s">
        <v>211</v>
      </c>
      <c r="J247" s="116" t="s">
        <v>4078</v>
      </c>
      <c r="K247" s="578" t="s">
        <v>4050</v>
      </c>
      <c r="L247" s="519" t="s">
        <v>4079</v>
      </c>
      <c r="M247" s="129"/>
      <c r="N247" s="116" t="s">
        <v>208</v>
      </c>
      <c r="O247" s="116" t="s">
        <v>328</v>
      </c>
      <c r="P247" s="519" t="s">
        <v>78</v>
      </c>
      <c r="Q247" s="131">
        <f>3128*2.4</f>
        <v>7507.2</v>
      </c>
      <c r="R247" s="131">
        <f>7550+100</f>
        <v>7650</v>
      </c>
      <c r="S247" s="122">
        <v>7500</v>
      </c>
      <c r="T247" s="399"/>
      <c r="U247" s="581"/>
      <c r="V247" s="581"/>
      <c r="W247" s="581"/>
      <c r="Z247" s="581"/>
      <c r="AA247" s="581"/>
      <c r="AB247" s="581"/>
      <c r="AC247" s="115"/>
      <c r="AD247" s="581"/>
      <c r="AE247" s="678"/>
      <c r="AF247" s="678"/>
      <c r="AG247" s="678"/>
      <c r="AH247" s="678"/>
      <c r="AO247" s="723">
        <f>S247</f>
        <v>7500</v>
      </c>
      <c r="AP247" s="739"/>
      <c r="AQ247" s="739"/>
      <c r="AR247" s="739"/>
      <c r="AS247" s="739"/>
      <c r="AT247" s="739"/>
      <c r="AU247" s="739"/>
      <c r="AV247" s="739"/>
      <c r="AW247" s="739"/>
      <c r="AX247" s="739"/>
      <c r="AY247" s="739"/>
      <c r="AZ247" s="739"/>
      <c r="BA247" s="739"/>
      <c r="BB247" s="739"/>
      <c r="BC247" s="739"/>
      <c r="BD247" s="127">
        <f>BG247</f>
        <v>45289.034722222219</v>
      </c>
      <c r="BE247" s="120">
        <f>BW247</f>
        <v>45299.8125</v>
      </c>
      <c r="BF247" s="137">
        <f>BE247-BD247</f>
        <v>10.777777777781012</v>
      </c>
      <c r="BG247" s="127">
        <v>45289.034722222219</v>
      </c>
      <c r="BH247" s="127">
        <v>45291.565972222219</v>
      </c>
      <c r="BI247" s="127">
        <v>45291.607638888891</v>
      </c>
      <c r="BJ247" s="120">
        <v>45294.791666666664</v>
      </c>
      <c r="BK247" s="120">
        <f>BJ247+(15/24)</f>
        <v>45295.416666666664</v>
      </c>
      <c r="BL247" s="120">
        <f>BK247+(0.5/24)</f>
        <v>45295.4375</v>
      </c>
      <c r="BM247" s="120">
        <f>BL247+(0.5/24)</f>
        <v>45295.458333333336</v>
      </c>
      <c r="BN247" s="120">
        <f>BM247+(5/24)</f>
        <v>45295.666666666672</v>
      </c>
      <c r="BO247" s="120">
        <v>45296.333333333336</v>
      </c>
      <c r="BP247" s="120">
        <v>45296.5</v>
      </c>
      <c r="BQ247" s="124" t="s">
        <v>64</v>
      </c>
      <c r="BR247" s="120">
        <f t="shared" ref="BR247" si="249">BP247+(24/24)</f>
        <v>45297.5</v>
      </c>
      <c r="BS247" s="120">
        <f>BU245+(1/24)</f>
        <v>45299.104166666664</v>
      </c>
      <c r="BT247" s="120">
        <f>BS247+(6/24)</f>
        <v>45299.354166666664</v>
      </c>
      <c r="BU247" s="120">
        <f t="shared" ref="BU247:BV247" si="250">BT247+(0.5/24)</f>
        <v>45299.375</v>
      </c>
      <c r="BV247" s="120">
        <f t="shared" si="250"/>
        <v>45299.395833333336</v>
      </c>
      <c r="BW247" s="120">
        <f>BV247+(10/24)</f>
        <v>45299.8125</v>
      </c>
      <c r="BX247" s="121" t="s">
        <v>4080</v>
      </c>
      <c r="BZ247" s="136">
        <f>(BI247-BH247)*24</f>
        <v>1.0000000001164153</v>
      </c>
      <c r="CA247" s="136">
        <f>(BK247-BJ247)*24</f>
        <v>15</v>
      </c>
      <c r="CB247" s="136">
        <f>(BN247-BM247)*24</f>
        <v>5.0000000000582077</v>
      </c>
      <c r="CC247" s="136">
        <f>(BR247-BP247)*24</f>
        <v>24</v>
      </c>
      <c r="CD247" s="135">
        <f>(BT247-BS247)*24</f>
        <v>6</v>
      </c>
      <c r="CE247" s="135">
        <f>(BW247-BV247)*24</f>
        <v>9.9999999999417923</v>
      </c>
      <c r="CF247" s="134">
        <f>SUM(BZ247:CE247)/24</f>
        <v>2.5416666666715173</v>
      </c>
      <c r="CG247" s="134">
        <f>BF247</f>
        <v>10.777777777781012</v>
      </c>
      <c r="CH247" s="133">
        <f>CF247/CG247</f>
        <v>0.23582474226842054</v>
      </c>
    </row>
    <row r="248" spans="1:88" s="151" customFormat="1" ht="18.600000000000001" customHeight="1">
      <c r="A248" s="1477" t="s">
        <v>4081</v>
      </c>
      <c r="B248" s="1477"/>
      <c r="C248" s="1477"/>
      <c r="D248" s="1477"/>
      <c r="E248" s="116"/>
      <c r="G248" s="158"/>
      <c r="H248" s="158"/>
      <c r="I248" s="156"/>
      <c r="J248" s="116"/>
      <c r="K248" s="116"/>
      <c r="M248" s="157"/>
      <c r="N248" s="121"/>
      <c r="O248" s="121"/>
      <c r="P248" s="116"/>
      <c r="Q248" s="156"/>
      <c r="R248" s="156"/>
      <c r="S248" s="156"/>
      <c r="T248" s="156"/>
      <c r="BD248" s="155"/>
      <c r="BE248" s="152"/>
      <c r="BF248" s="152"/>
      <c r="BG248" s="155"/>
      <c r="BH248" s="127"/>
      <c r="BI248" s="120"/>
      <c r="BJ248" s="120"/>
      <c r="BK248" s="152"/>
      <c r="BL248" s="152"/>
      <c r="BM248" s="152"/>
      <c r="BN248" s="152"/>
      <c r="BO248" s="120"/>
      <c r="BP248" s="120"/>
      <c r="BQ248" s="153"/>
      <c r="BR248" s="152"/>
      <c r="BS248" s="152"/>
      <c r="BT248" s="152"/>
      <c r="BU248" s="152"/>
      <c r="BV248" s="152"/>
      <c r="BW248" s="152"/>
      <c r="BZ248" s="230"/>
      <c r="CA248" s="230"/>
      <c r="CB248" s="230"/>
      <c r="CC248" s="230"/>
      <c r="CD248" s="230"/>
      <c r="CE248" s="230"/>
      <c r="CF248" s="230"/>
      <c r="CG248" s="230"/>
      <c r="CH248" s="231"/>
    </row>
    <row r="249" spans="1:88" s="121" customFormat="1" ht="18">
      <c r="A249" s="132" t="s">
        <v>3938</v>
      </c>
      <c r="B249" s="116"/>
      <c r="E249" s="519"/>
      <c r="K249" s="116"/>
      <c r="L249" s="116"/>
      <c r="M249" s="116"/>
      <c r="N249" s="151"/>
      <c r="O249" s="151"/>
      <c r="P249" s="116"/>
      <c r="Q249" s="131"/>
      <c r="R249" s="131"/>
      <c r="S249" s="131"/>
      <c r="T249" s="131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  <c r="AR249" s="116"/>
      <c r="AS249" s="116"/>
      <c r="AT249" s="116"/>
      <c r="AU249" s="116"/>
      <c r="AV249" s="116"/>
      <c r="AW249" s="116"/>
      <c r="AX249" s="116"/>
      <c r="AY249" s="116"/>
      <c r="AZ249" s="116"/>
      <c r="BA249" s="116"/>
      <c r="BB249" s="116"/>
      <c r="BC249" s="116"/>
      <c r="BD249" s="127"/>
      <c r="BE249" s="120"/>
      <c r="BF249" s="120"/>
      <c r="BG249" s="127"/>
      <c r="BH249" s="120"/>
      <c r="BI249" s="127"/>
      <c r="BJ249" s="127"/>
      <c r="BK249" s="127"/>
      <c r="BL249" s="127"/>
      <c r="BM249" s="120"/>
      <c r="BN249" s="120"/>
      <c r="BO249" s="120"/>
      <c r="BP249" s="120"/>
      <c r="BQ249" s="124"/>
      <c r="BR249" s="120"/>
      <c r="BS249" s="120"/>
      <c r="BT249" s="120"/>
      <c r="BU249" s="120"/>
      <c r="BV249" s="120"/>
      <c r="BW249" s="120"/>
      <c r="BZ249" s="120"/>
      <c r="CA249" s="120"/>
      <c r="CB249" s="120"/>
      <c r="CC249" s="120"/>
      <c r="CD249" s="120"/>
      <c r="CE249" s="120"/>
      <c r="CF249" s="120"/>
      <c r="CG249" s="120"/>
    </row>
    <row r="250" spans="1:88" s="151" customFormat="1" ht="18">
      <c r="A250" s="1477" t="s">
        <v>4082</v>
      </c>
      <c r="B250" s="1477"/>
      <c r="C250" s="1477"/>
      <c r="D250" s="1477"/>
      <c r="G250" s="158"/>
      <c r="H250" s="158"/>
      <c r="I250" s="156"/>
      <c r="J250" s="116"/>
      <c r="K250" s="116"/>
      <c r="L250" s="121"/>
      <c r="M250" s="157"/>
      <c r="N250" s="162"/>
      <c r="Q250" s="156"/>
      <c r="R250" s="156"/>
      <c r="S250" s="156"/>
      <c r="T250" s="156"/>
      <c r="BD250" s="155"/>
      <c r="BE250" s="152"/>
      <c r="BF250" s="152"/>
      <c r="BG250" s="127"/>
      <c r="BH250" s="120"/>
      <c r="BI250" s="120"/>
      <c r="BJ250" s="120"/>
      <c r="BK250" s="120"/>
      <c r="BL250" s="120"/>
      <c r="BM250" s="120"/>
      <c r="BN250" s="120"/>
      <c r="BO250" s="120"/>
      <c r="BP250" s="120"/>
      <c r="BQ250" s="124"/>
      <c r="BR250" s="120"/>
      <c r="BS250" s="152"/>
      <c r="BT250" s="152"/>
      <c r="BU250" s="152"/>
      <c r="BV250" s="152"/>
      <c r="BW250" s="152"/>
      <c r="BZ250" s="230"/>
      <c r="CA250" s="230"/>
      <c r="CB250" s="230"/>
      <c r="CC250" s="230"/>
      <c r="CD250" s="230"/>
      <c r="CE250" s="230"/>
      <c r="CF250" s="230"/>
      <c r="CG250" s="230"/>
      <c r="CH250" s="231"/>
    </row>
    <row r="251" spans="1:88" s="121" customFormat="1" ht="18">
      <c r="A251" s="132" t="s">
        <v>3938</v>
      </c>
      <c r="B251" s="116"/>
      <c r="E251" s="519"/>
      <c r="K251" s="116"/>
      <c r="L251" s="116"/>
      <c r="M251" s="116"/>
      <c r="N251" s="151"/>
      <c r="O251" s="151"/>
      <c r="P251" s="116"/>
      <c r="Q251" s="131"/>
      <c r="R251" s="131"/>
      <c r="S251" s="131"/>
      <c r="T251" s="131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6"/>
      <c r="AN251" s="116"/>
      <c r="AO251" s="116"/>
      <c r="AP251" s="116"/>
      <c r="AQ251" s="116"/>
      <c r="AR251" s="116"/>
      <c r="AS251" s="116"/>
      <c r="AT251" s="116"/>
      <c r="AU251" s="116"/>
      <c r="AV251" s="116"/>
      <c r="AW251" s="116"/>
      <c r="AX251" s="116"/>
      <c r="AY251" s="116"/>
      <c r="AZ251" s="116"/>
      <c r="BA251" s="116"/>
      <c r="BB251" s="116"/>
      <c r="BC251" s="116"/>
      <c r="BD251" s="127"/>
      <c r="BE251" s="120"/>
      <c r="BF251" s="120"/>
      <c r="BG251" s="127"/>
      <c r="BH251" s="120"/>
      <c r="BI251" s="127"/>
      <c r="BJ251" s="127"/>
      <c r="BK251" s="127"/>
      <c r="BL251" s="127"/>
      <c r="BM251" s="120"/>
      <c r="BN251" s="120"/>
      <c r="BO251" s="120"/>
      <c r="BP251" s="120"/>
      <c r="BQ251" s="124"/>
      <c r="BR251" s="120"/>
      <c r="BS251" s="120"/>
      <c r="BT251" s="120"/>
      <c r="BU251" s="120"/>
      <c r="BV251" s="120"/>
      <c r="BW251" s="120"/>
      <c r="BZ251" s="120"/>
      <c r="CA251" s="120"/>
      <c r="CB251" s="120"/>
      <c r="CC251" s="120"/>
      <c r="CD251" s="120"/>
      <c r="CE251" s="120"/>
      <c r="CF251" s="120"/>
      <c r="CG251" s="120"/>
    </row>
    <row r="252" spans="1:88" s="151" customFormat="1" ht="18">
      <c r="A252" s="1477" t="s">
        <v>4083</v>
      </c>
      <c r="B252" s="1477"/>
      <c r="C252" s="1477"/>
      <c r="D252" s="1477"/>
      <c r="G252" s="158"/>
      <c r="H252" s="158"/>
      <c r="I252" s="156"/>
      <c r="J252" s="116"/>
      <c r="K252" s="116"/>
      <c r="L252" s="121"/>
      <c r="M252" s="157"/>
      <c r="N252" s="162"/>
      <c r="Q252" s="156"/>
      <c r="R252" s="156"/>
      <c r="S252" s="156"/>
      <c r="T252" s="156"/>
      <c r="BD252" s="155"/>
      <c r="BE252" s="152"/>
      <c r="BF252" s="152"/>
      <c r="BG252" s="127"/>
      <c r="BH252" s="120"/>
      <c r="BI252" s="120"/>
      <c r="BJ252" s="120"/>
      <c r="BK252" s="121"/>
      <c r="BL252" s="120"/>
      <c r="BM252" s="120"/>
      <c r="BN252" s="120"/>
      <c r="BO252" s="359"/>
      <c r="BP252" s="359"/>
      <c r="BQ252" s="124"/>
      <c r="BR252" s="120"/>
      <c r="BS252" s="152"/>
      <c r="BT252" s="152"/>
      <c r="BU252" s="152"/>
      <c r="BV252" s="152"/>
      <c r="BW252" s="152"/>
      <c r="BZ252" s="230"/>
      <c r="CA252" s="230"/>
      <c r="CB252" s="230"/>
      <c r="CC252" s="230"/>
      <c r="CD252" s="230"/>
      <c r="CE252" s="230"/>
      <c r="CF252" s="230"/>
      <c r="CG252" s="230"/>
      <c r="CH252" s="231"/>
    </row>
    <row r="253" spans="1:88" s="121" customFormat="1" ht="18">
      <c r="A253" s="132" t="s">
        <v>3938</v>
      </c>
      <c r="B253" s="116"/>
      <c r="E253" s="519"/>
      <c r="K253" s="116"/>
      <c r="L253" s="116"/>
      <c r="M253" s="116"/>
      <c r="N253" s="151"/>
      <c r="O253" s="151"/>
      <c r="P253" s="116"/>
      <c r="Q253" s="131"/>
      <c r="R253" s="131"/>
      <c r="S253" s="131"/>
      <c r="T253" s="131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  <c r="AM253" s="116"/>
      <c r="AN253" s="116"/>
      <c r="AO253" s="116"/>
      <c r="AP253" s="116"/>
      <c r="AQ253" s="116"/>
      <c r="AR253" s="116"/>
      <c r="AS253" s="116"/>
      <c r="AT253" s="116"/>
      <c r="AU253" s="116"/>
      <c r="AV253" s="116"/>
      <c r="AW253" s="116"/>
      <c r="AX253" s="116"/>
      <c r="AY253" s="116"/>
      <c r="AZ253" s="116"/>
      <c r="BA253" s="116"/>
      <c r="BB253" s="116"/>
      <c r="BC253" s="116"/>
      <c r="BD253" s="127"/>
      <c r="BE253" s="120"/>
      <c r="BF253" s="120"/>
      <c r="BG253" s="127"/>
      <c r="BH253" s="120"/>
      <c r="BI253" s="127"/>
      <c r="BJ253" s="127"/>
      <c r="BK253" s="127"/>
      <c r="BL253" s="127"/>
      <c r="BM253" s="120"/>
      <c r="BN253" s="120"/>
      <c r="BO253" s="120"/>
      <c r="BP253" s="120"/>
      <c r="BQ253" s="124"/>
      <c r="BR253" s="120"/>
      <c r="BS253" s="120"/>
      <c r="BT253" s="120"/>
      <c r="BU253" s="120"/>
      <c r="BV253" s="120"/>
      <c r="BW253" s="120"/>
      <c r="BZ253" s="120"/>
      <c r="CA253" s="120"/>
      <c r="CB253" s="120"/>
      <c r="CC253" s="120"/>
      <c r="CD253" s="120"/>
      <c r="CE253" s="120"/>
      <c r="CF253" s="120"/>
      <c r="CG253" s="120"/>
    </row>
    <row r="254" spans="1:88" s="151" customFormat="1" ht="18">
      <c r="A254" s="1477" t="s">
        <v>4084</v>
      </c>
      <c r="B254" s="1477"/>
      <c r="C254" s="1477"/>
      <c r="D254" s="1477"/>
      <c r="E254" s="519"/>
      <c r="G254" s="158"/>
      <c r="H254" s="158"/>
      <c r="I254" s="156"/>
      <c r="J254" s="116"/>
      <c r="K254" s="116"/>
      <c r="M254" s="157"/>
      <c r="N254" s="336"/>
      <c r="Q254" s="156"/>
      <c r="R254" s="156"/>
      <c r="S254" s="156"/>
      <c r="T254" s="156"/>
      <c r="BD254" s="155"/>
      <c r="BE254" s="152"/>
      <c r="BF254" s="152"/>
      <c r="BG254" s="155"/>
      <c r="BH254" s="120"/>
      <c r="BI254" s="152"/>
      <c r="BJ254" s="152"/>
      <c r="BK254" s="152"/>
      <c r="BL254" s="152"/>
      <c r="BM254" s="152"/>
      <c r="BN254" s="152"/>
      <c r="BO254" s="120"/>
      <c r="BP254" s="120"/>
      <c r="BQ254" s="153"/>
      <c r="BR254" s="152"/>
      <c r="BS254" s="152"/>
      <c r="BT254" s="152"/>
      <c r="BU254" s="152"/>
      <c r="BV254" s="152"/>
      <c r="BW254" s="152"/>
      <c r="BZ254" s="152"/>
      <c r="CA254" s="152"/>
      <c r="CB254" s="152"/>
      <c r="CC254" s="152"/>
      <c r="CD254" s="152"/>
      <c r="CE254" s="152"/>
      <c r="CF254" s="152"/>
      <c r="CG254" s="152"/>
    </row>
    <row r="255" spans="1:88" s="121" customFormat="1" ht="18">
      <c r="A255" s="132" t="s">
        <v>3938</v>
      </c>
      <c r="B255" s="116"/>
      <c r="E255" s="519"/>
      <c r="K255" s="116"/>
      <c r="L255" s="116"/>
      <c r="M255" s="116"/>
      <c r="N255" s="151"/>
      <c r="O255" s="151"/>
      <c r="P255" s="116"/>
      <c r="Q255" s="131"/>
      <c r="R255" s="131"/>
      <c r="S255" s="131"/>
      <c r="T255" s="131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  <c r="AM255" s="116"/>
      <c r="AN255" s="116"/>
      <c r="AO255" s="116"/>
      <c r="AP255" s="116"/>
      <c r="AQ255" s="116"/>
      <c r="AR255" s="116"/>
      <c r="AS255" s="116"/>
      <c r="AT255" s="116"/>
      <c r="AU255" s="116"/>
      <c r="AV255" s="116"/>
      <c r="AW255" s="116"/>
      <c r="AX255" s="116"/>
      <c r="AY255" s="116"/>
      <c r="AZ255" s="116"/>
      <c r="BA255" s="116"/>
      <c r="BB255" s="116"/>
      <c r="BC255" s="116"/>
      <c r="BD255" s="127"/>
      <c r="BE255" s="120"/>
      <c r="BF255" s="120"/>
      <c r="BG255" s="127"/>
      <c r="BH255" s="120"/>
      <c r="BI255" s="127"/>
      <c r="BJ255" s="127"/>
      <c r="BK255" s="127"/>
      <c r="BL255" s="127"/>
      <c r="BM255" s="120"/>
      <c r="BN255" s="120"/>
      <c r="BO255" s="120"/>
      <c r="BP255" s="120"/>
      <c r="BQ255" s="124"/>
      <c r="BR255" s="120"/>
      <c r="BS255" s="120"/>
      <c r="BT255" s="120"/>
      <c r="BU255" s="120"/>
      <c r="BV255" s="120"/>
      <c r="BW255" s="120"/>
      <c r="BZ255" s="120"/>
      <c r="CA255" s="120"/>
      <c r="CB255" s="120"/>
      <c r="CC255" s="120"/>
      <c r="CD255" s="120"/>
      <c r="CE255" s="120"/>
      <c r="CF255" s="120"/>
      <c r="CG255" s="120"/>
    </row>
    <row r="256" spans="1:88" s="151" customFormat="1" ht="18" customHeight="1">
      <c r="A256" s="1477" t="s">
        <v>4085</v>
      </c>
      <c r="B256" s="1477"/>
      <c r="C256" s="1477"/>
      <c r="D256" s="1477"/>
      <c r="E256" s="100"/>
      <c r="G256" s="158"/>
      <c r="H256" s="158"/>
      <c r="I256" s="156"/>
      <c r="J256" s="116"/>
      <c r="L256" s="116"/>
      <c r="M256" s="157"/>
      <c r="Q256" s="131"/>
      <c r="R256" s="131"/>
      <c r="S256" s="156"/>
      <c r="T256" s="156"/>
      <c r="BD256" s="155"/>
      <c r="BE256" s="152"/>
      <c r="BF256" s="152"/>
      <c r="BG256" s="155"/>
      <c r="BH256" s="120"/>
      <c r="BI256" s="116"/>
      <c r="BJ256" s="152"/>
      <c r="BK256" s="152"/>
      <c r="BL256" s="152"/>
      <c r="BM256" s="152"/>
      <c r="BN256" s="152"/>
      <c r="BO256" s="120"/>
      <c r="BP256" s="120"/>
      <c r="BQ256" s="153"/>
      <c r="BR256" s="152"/>
      <c r="BS256" s="152"/>
      <c r="BT256" s="152"/>
      <c r="BU256" s="152"/>
      <c r="BV256" s="152"/>
      <c r="BW256" s="152"/>
      <c r="BZ256" s="152"/>
      <c r="CA256" s="152"/>
      <c r="CB256" s="152"/>
      <c r="CC256" s="152"/>
      <c r="CD256" s="152"/>
      <c r="CE256" s="152"/>
      <c r="CF256" s="152"/>
      <c r="CG256" s="152"/>
    </row>
    <row r="257" spans="1:86" s="121" customFormat="1" ht="18">
      <c r="A257" s="132" t="s">
        <v>3938</v>
      </c>
      <c r="B257" s="116"/>
      <c r="E257" s="519"/>
      <c r="K257" s="116"/>
      <c r="L257" s="116"/>
      <c r="M257" s="116"/>
      <c r="N257" s="151"/>
      <c r="O257" s="151"/>
      <c r="P257" s="116"/>
      <c r="Q257" s="131"/>
      <c r="R257" s="131"/>
      <c r="S257" s="131"/>
      <c r="T257" s="131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6"/>
      <c r="AT257" s="116"/>
      <c r="AU257" s="116"/>
      <c r="AV257" s="116"/>
      <c r="AW257" s="116"/>
      <c r="AX257" s="116"/>
      <c r="AY257" s="116"/>
      <c r="AZ257" s="116"/>
      <c r="BA257" s="116"/>
      <c r="BB257" s="116"/>
      <c r="BC257" s="116"/>
      <c r="BD257" s="127"/>
      <c r="BE257" s="120"/>
      <c r="BF257" s="120"/>
      <c r="BG257" s="127"/>
      <c r="BH257" s="120"/>
      <c r="BI257" s="127"/>
      <c r="BJ257" s="127"/>
      <c r="BK257" s="127"/>
      <c r="BL257" s="127"/>
      <c r="BM257" s="120"/>
      <c r="BN257" s="120"/>
      <c r="BO257" s="120"/>
      <c r="BP257" s="120"/>
      <c r="BQ257" s="124"/>
      <c r="BR257" s="120"/>
      <c r="BS257" s="120"/>
      <c r="BT257" s="120"/>
      <c r="BU257" s="120"/>
      <c r="BV257" s="120"/>
      <c r="BW257" s="120"/>
      <c r="BZ257" s="120"/>
      <c r="CA257" s="120"/>
      <c r="CB257" s="120"/>
      <c r="CC257" s="120"/>
      <c r="CD257" s="120"/>
      <c r="CE257" s="120"/>
      <c r="CF257" s="120"/>
      <c r="CG257" s="120"/>
    </row>
    <row r="258" spans="1:86" s="151" customFormat="1" ht="18">
      <c r="A258" s="1477" t="s">
        <v>4086</v>
      </c>
      <c r="B258" s="1477"/>
      <c r="C258" s="1477"/>
      <c r="D258" s="1477"/>
      <c r="E258" s="116"/>
      <c r="G258" s="158"/>
      <c r="H258" s="158"/>
      <c r="I258" s="156"/>
      <c r="J258" s="121"/>
      <c r="K258" s="116"/>
      <c r="L258" s="121"/>
      <c r="M258" s="129"/>
      <c r="N258" s="121"/>
      <c r="O258" s="121"/>
      <c r="Q258" s="156"/>
      <c r="R258" s="156"/>
      <c r="S258" s="122"/>
      <c r="T258" s="156"/>
      <c r="BD258" s="155"/>
      <c r="BE258" s="152"/>
      <c r="BF258" s="152"/>
      <c r="BG258" s="155"/>
      <c r="BH258" s="120"/>
      <c r="BI258" s="154"/>
      <c r="BJ258" s="152"/>
      <c r="BK258" s="152"/>
      <c r="BL258" s="152"/>
      <c r="BM258" s="152"/>
      <c r="BN258" s="152"/>
      <c r="BO258" s="120"/>
      <c r="BP258" s="120"/>
      <c r="BQ258" s="153"/>
      <c r="BR258" s="152"/>
      <c r="BS258" s="152"/>
      <c r="BT258" s="152"/>
      <c r="BU258" s="152"/>
      <c r="BV258" s="152"/>
      <c r="BW258" s="152"/>
      <c r="BZ258" s="152"/>
      <c r="CA258" s="152"/>
      <c r="CB258" s="152"/>
      <c r="CC258" s="152"/>
      <c r="CD258" s="152"/>
      <c r="CE258" s="152"/>
      <c r="CF258" s="152"/>
      <c r="CG258" s="152"/>
    </row>
    <row r="259" spans="1:86" s="121" customFormat="1" ht="18">
      <c r="A259" s="132" t="s">
        <v>3938</v>
      </c>
      <c r="B259" s="116"/>
      <c r="E259" s="519"/>
      <c r="K259" s="116"/>
      <c r="L259" s="116"/>
      <c r="M259" s="116"/>
      <c r="N259" s="151"/>
      <c r="O259" s="151"/>
      <c r="P259" s="116"/>
      <c r="Q259" s="131"/>
      <c r="R259" s="131"/>
      <c r="S259" s="131"/>
      <c r="T259" s="131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  <c r="AM259" s="116"/>
      <c r="AN259" s="116"/>
      <c r="AO259" s="116"/>
      <c r="AP259" s="116"/>
      <c r="AQ259" s="116"/>
      <c r="AR259" s="116"/>
      <c r="AS259" s="116"/>
      <c r="AT259" s="116"/>
      <c r="AU259" s="116"/>
      <c r="AV259" s="116"/>
      <c r="AW259" s="116"/>
      <c r="AX259" s="116"/>
      <c r="AY259" s="116"/>
      <c r="AZ259" s="116"/>
      <c r="BA259" s="116"/>
      <c r="BB259" s="116"/>
      <c r="BC259" s="116"/>
      <c r="BD259" s="127"/>
      <c r="BE259" s="120"/>
      <c r="BF259" s="120"/>
      <c r="BG259" s="127"/>
      <c r="BH259" s="120"/>
      <c r="BI259" s="127"/>
      <c r="BJ259" s="127"/>
      <c r="BK259" s="127"/>
      <c r="BL259" s="127"/>
      <c r="BM259" s="120"/>
      <c r="BN259" s="120"/>
      <c r="BO259" s="120"/>
      <c r="BP259" s="120"/>
      <c r="BQ259" s="124"/>
      <c r="BR259" s="120"/>
      <c r="BS259" s="120"/>
      <c r="BT259" s="120"/>
      <c r="BU259" s="120"/>
      <c r="BV259" s="120"/>
      <c r="BW259" s="120"/>
      <c r="BZ259" s="120"/>
      <c r="CA259" s="120"/>
      <c r="CB259" s="120"/>
      <c r="CC259" s="120"/>
      <c r="CD259" s="120"/>
      <c r="CE259" s="120"/>
      <c r="CF259" s="120"/>
      <c r="CG259" s="120"/>
    </row>
    <row r="260" spans="1:86" s="151" customFormat="1" ht="18">
      <c r="A260" s="1477" t="s">
        <v>4087</v>
      </c>
      <c r="B260" s="1477"/>
      <c r="C260" s="1477"/>
      <c r="D260" s="1477"/>
      <c r="E260" s="116"/>
      <c r="F260" s="116"/>
      <c r="G260" s="127"/>
      <c r="H260" s="127"/>
      <c r="I260" s="116"/>
      <c r="J260" s="116"/>
      <c r="L260" s="116"/>
      <c r="M260" s="157"/>
      <c r="Q260" s="156"/>
      <c r="R260" s="156"/>
      <c r="S260" s="156"/>
      <c r="T260" s="156"/>
      <c r="BD260" s="155"/>
      <c r="BE260" s="152"/>
      <c r="BF260" s="152"/>
      <c r="BG260" s="155"/>
      <c r="BH260" s="120"/>
      <c r="BI260" s="154"/>
      <c r="BJ260" s="152"/>
      <c r="BK260" s="180"/>
      <c r="BL260" s="152"/>
      <c r="BM260" s="127"/>
      <c r="BN260" s="152"/>
      <c r="BO260" s="120"/>
      <c r="BP260" s="120"/>
      <c r="BQ260" s="153"/>
      <c r="BR260" s="152"/>
      <c r="BS260" s="152"/>
      <c r="BT260" s="152"/>
      <c r="BU260" s="152"/>
      <c r="BV260" s="152"/>
      <c r="BW260" s="152"/>
      <c r="BZ260" s="152"/>
      <c r="CA260" s="152"/>
      <c r="CB260" s="152"/>
      <c r="CC260" s="152"/>
      <c r="CD260" s="152"/>
      <c r="CE260" s="152"/>
      <c r="CF260" s="152"/>
      <c r="CG260" s="152"/>
    </row>
    <row r="261" spans="1:86" s="121" customFormat="1" ht="18">
      <c r="A261" s="132" t="s">
        <v>3938</v>
      </c>
      <c r="B261" s="116"/>
      <c r="E261" s="519"/>
      <c r="K261" s="116"/>
      <c r="L261" s="116"/>
      <c r="M261" s="116"/>
      <c r="N261" s="151"/>
      <c r="O261" s="151"/>
      <c r="P261" s="116"/>
      <c r="Q261" s="131"/>
      <c r="R261" s="131"/>
      <c r="S261" s="131"/>
      <c r="T261" s="131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16"/>
      <c r="AP261" s="116"/>
      <c r="AQ261" s="116"/>
      <c r="AR261" s="116"/>
      <c r="AS261" s="116"/>
      <c r="AT261" s="116"/>
      <c r="AU261" s="116"/>
      <c r="AV261" s="116"/>
      <c r="AW261" s="116"/>
      <c r="AX261" s="116"/>
      <c r="AY261" s="116"/>
      <c r="AZ261" s="116"/>
      <c r="BA261" s="116"/>
      <c r="BB261" s="116"/>
      <c r="BC261" s="116"/>
      <c r="BD261" s="127"/>
      <c r="BE261" s="120"/>
      <c r="BF261" s="120"/>
      <c r="BG261" s="127"/>
      <c r="BH261" s="120"/>
      <c r="BI261" s="127"/>
      <c r="BJ261" s="127"/>
      <c r="BK261" s="127"/>
      <c r="BL261" s="127"/>
      <c r="BM261" s="120"/>
      <c r="BN261" s="120"/>
      <c r="BO261" s="120"/>
      <c r="BP261" s="120"/>
      <c r="BQ261" s="124"/>
      <c r="BR261" s="120"/>
      <c r="BS261" s="120"/>
      <c r="BT261" s="120"/>
      <c r="BU261" s="120"/>
      <c r="BV261" s="120"/>
      <c r="BW261" s="120"/>
      <c r="BZ261" s="120"/>
      <c r="CA261" s="120"/>
      <c r="CB261" s="120"/>
      <c r="CC261" s="120"/>
      <c r="CD261" s="120"/>
      <c r="CE261" s="120"/>
      <c r="CF261" s="120"/>
      <c r="CG261" s="120"/>
    </row>
    <row r="262" spans="1:86" s="151" customFormat="1" ht="18" customHeight="1">
      <c r="A262" s="1477" t="s">
        <v>4088</v>
      </c>
      <c r="B262" s="1477"/>
      <c r="C262" s="1477"/>
      <c r="D262" s="1477"/>
      <c r="E262" s="100"/>
      <c r="G262" s="158"/>
      <c r="H262" s="158"/>
      <c r="I262" s="156"/>
      <c r="J262" s="116"/>
      <c r="L262" s="116"/>
      <c r="M262" s="157"/>
      <c r="Q262" s="131"/>
      <c r="R262" s="131"/>
      <c r="S262" s="156"/>
      <c r="T262" s="156"/>
      <c r="BD262" s="155"/>
      <c r="BE262" s="152"/>
      <c r="BF262" s="152"/>
      <c r="BG262" s="155"/>
      <c r="BH262" s="120"/>
      <c r="BI262" s="116"/>
      <c r="BJ262" s="152"/>
      <c r="BK262" s="152"/>
      <c r="BL262" s="152"/>
      <c r="BM262" s="152"/>
      <c r="BN262" s="152"/>
      <c r="BO262" s="120"/>
      <c r="BP262" s="120"/>
      <c r="BQ262" s="153"/>
      <c r="BR262" s="152"/>
      <c r="BS262" s="152"/>
      <c r="BT262" s="152"/>
      <c r="BU262" s="152"/>
      <c r="BV262" s="152"/>
      <c r="BW262" s="152"/>
      <c r="BZ262" s="152"/>
      <c r="CA262" s="152"/>
      <c r="CB262" s="152"/>
      <c r="CC262" s="152"/>
      <c r="CD262" s="152"/>
      <c r="CE262" s="152"/>
      <c r="CF262" s="152"/>
      <c r="CG262" s="152"/>
    </row>
    <row r="263" spans="1:86" s="121" customFormat="1" ht="18">
      <c r="A263" s="132" t="s">
        <v>3938</v>
      </c>
      <c r="B263" s="116"/>
      <c r="E263" s="519"/>
      <c r="K263" s="116"/>
      <c r="L263" s="116"/>
      <c r="M263" s="116"/>
      <c r="N263" s="151"/>
      <c r="O263" s="151"/>
      <c r="P263" s="116"/>
      <c r="Q263" s="131"/>
      <c r="R263" s="131"/>
      <c r="S263" s="131"/>
      <c r="T263" s="131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  <c r="AL263" s="116"/>
      <c r="AM263" s="116"/>
      <c r="AN263" s="116"/>
      <c r="AO263" s="116"/>
      <c r="AP263" s="116"/>
      <c r="AQ263" s="116"/>
      <c r="AR263" s="116"/>
      <c r="AS263" s="116"/>
      <c r="AT263" s="116"/>
      <c r="AU263" s="116"/>
      <c r="AV263" s="116"/>
      <c r="AW263" s="116"/>
      <c r="AX263" s="116"/>
      <c r="AY263" s="116"/>
      <c r="AZ263" s="116"/>
      <c r="BA263" s="116"/>
      <c r="BB263" s="116"/>
      <c r="BC263" s="116"/>
      <c r="BD263" s="127"/>
      <c r="BE263" s="120"/>
      <c r="BF263" s="120"/>
      <c r="BG263" s="127"/>
      <c r="BH263" s="120"/>
      <c r="BI263" s="127"/>
      <c r="BJ263" s="127"/>
      <c r="BK263" s="127"/>
      <c r="BL263" s="127"/>
      <c r="BM263" s="120"/>
      <c r="BN263" s="120"/>
      <c r="BO263" s="120"/>
      <c r="BP263" s="120"/>
      <c r="BQ263" s="124"/>
      <c r="BR263" s="120"/>
      <c r="BS263" s="120"/>
      <c r="BT263" s="120"/>
      <c r="BU263" s="120"/>
      <c r="BV263" s="120"/>
      <c r="BW263" s="120"/>
      <c r="BZ263" s="120"/>
      <c r="CA263" s="120"/>
      <c r="CB263" s="120"/>
      <c r="CC263" s="120"/>
      <c r="CD263" s="120"/>
      <c r="CE263" s="120"/>
      <c r="CF263" s="120"/>
      <c r="CG263" s="120"/>
    </row>
    <row r="264" spans="1:86" s="151" customFormat="1" ht="18">
      <c r="A264" s="1477" t="s">
        <v>4089</v>
      </c>
      <c r="B264" s="1477"/>
      <c r="C264" s="1477"/>
      <c r="D264" s="1477"/>
      <c r="E264" s="100"/>
      <c r="G264" s="158"/>
      <c r="H264" s="158"/>
      <c r="I264" s="156"/>
      <c r="J264" s="116"/>
      <c r="K264" s="116"/>
      <c r="M264" s="157"/>
      <c r="Q264" s="156"/>
      <c r="R264" s="156"/>
      <c r="S264" s="156"/>
      <c r="T264" s="156"/>
      <c r="BD264" s="155"/>
      <c r="BE264" s="152"/>
      <c r="BF264" s="152"/>
      <c r="BG264" s="155"/>
      <c r="BH264" s="120"/>
      <c r="BI264" s="152"/>
      <c r="BJ264" s="152"/>
      <c r="BK264" s="152"/>
      <c r="BL264" s="152"/>
      <c r="BM264" s="152"/>
      <c r="BN264" s="152"/>
      <c r="BO264" s="120"/>
      <c r="BP264" s="120"/>
      <c r="BQ264" s="153"/>
      <c r="BR264" s="152"/>
      <c r="BS264" s="152"/>
      <c r="BT264" s="152"/>
      <c r="BU264" s="152"/>
      <c r="BV264" s="152"/>
      <c r="BW264" s="152"/>
      <c r="BZ264" s="152"/>
      <c r="CA264" s="152"/>
      <c r="CB264" s="152"/>
      <c r="CC264" s="152"/>
      <c r="CD264" s="152"/>
      <c r="CE264" s="152"/>
      <c r="CF264" s="152"/>
      <c r="CG264" s="152"/>
    </row>
    <row r="265" spans="1:86" s="121" customFormat="1" ht="18">
      <c r="A265" s="132" t="s">
        <v>3938</v>
      </c>
      <c r="B265" s="116"/>
      <c r="E265" s="519"/>
      <c r="K265" s="116"/>
      <c r="L265" s="116"/>
      <c r="M265" s="116"/>
      <c r="N265" s="151"/>
      <c r="O265" s="151"/>
      <c r="P265" s="116"/>
      <c r="Q265" s="131"/>
      <c r="R265" s="131"/>
      <c r="S265" s="131"/>
      <c r="T265" s="131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  <c r="AL265" s="116"/>
      <c r="AM265" s="116"/>
      <c r="AN265" s="116"/>
      <c r="AO265" s="116"/>
      <c r="AP265" s="116"/>
      <c r="AQ265" s="116"/>
      <c r="AR265" s="116"/>
      <c r="AS265" s="116"/>
      <c r="AT265" s="116"/>
      <c r="AU265" s="116"/>
      <c r="AV265" s="116"/>
      <c r="AW265" s="116"/>
      <c r="AX265" s="116"/>
      <c r="AY265" s="116"/>
      <c r="AZ265" s="116"/>
      <c r="BA265" s="116"/>
      <c r="BB265" s="116"/>
      <c r="BC265" s="116"/>
      <c r="BD265" s="127"/>
      <c r="BE265" s="120"/>
      <c r="BF265" s="120"/>
      <c r="BG265" s="127"/>
      <c r="BH265" s="120"/>
      <c r="BI265" s="127"/>
      <c r="BJ265" s="127"/>
      <c r="BK265" s="127"/>
      <c r="BL265" s="127"/>
      <c r="BM265" s="120"/>
      <c r="BN265" s="120"/>
      <c r="BO265" s="120"/>
      <c r="BP265" s="120"/>
      <c r="BQ265" s="124"/>
      <c r="BR265" s="120"/>
      <c r="BS265" s="120"/>
      <c r="BT265" s="120"/>
      <c r="BU265" s="120"/>
      <c r="BV265" s="120"/>
      <c r="BW265" s="120"/>
      <c r="BZ265" s="120"/>
      <c r="CA265" s="120"/>
      <c r="CB265" s="120"/>
      <c r="CC265" s="120"/>
      <c r="CD265" s="120"/>
      <c r="CE265" s="120"/>
      <c r="CF265" s="120"/>
      <c r="CG265" s="120"/>
    </row>
    <row r="266" spans="1:86" s="151" customFormat="1" ht="18.75" customHeight="1">
      <c r="A266" s="1477" t="s">
        <v>4090</v>
      </c>
      <c r="B266" s="1477"/>
      <c r="C266" s="1477"/>
      <c r="D266" s="1477"/>
      <c r="E266" s="100"/>
      <c r="G266" s="158"/>
      <c r="H266" s="158"/>
      <c r="I266" s="156"/>
      <c r="J266" s="116"/>
      <c r="L266" s="116"/>
      <c r="M266" s="157"/>
      <c r="Q266" s="131"/>
      <c r="R266" s="131"/>
      <c r="S266" s="156"/>
      <c r="T266" s="156"/>
      <c r="BD266" s="155"/>
      <c r="BE266" s="152"/>
      <c r="BF266" s="152"/>
      <c r="BG266" s="155"/>
      <c r="BH266" s="120"/>
      <c r="BI266" s="116"/>
      <c r="BJ266" s="152"/>
      <c r="BK266" s="152"/>
      <c r="BL266" s="152"/>
      <c r="BM266" s="152"/>
      <c r="BN266" s="152"/>
      <c r="BO266" s="120"/>
      <c r="BP266" s="120"/>
      <c r="BQ266" s="153"/>
      <c r="BR266" s="152"/>
      <c r="BS266" s="152"/>
      <c r="BT266" s="152"/>
      <c r="BU266" s="152"/>
      <c r="BV266" s="152"/>
      <c r="BW266" s="152"/>
      <c r="BZ266" s="152"/>
      <c r="CA266" s="152"/>
      <c r="CB266" s="152"/>
      <c r="CC266" s="152"/>
      <c r="CD266" s="152"/>
      <c r="CE266" s="152"/>
      <c r="CF266" s="152"/>
      <c r="CG266" s="152"/>
    </row>
    <row r="267" spans="1:86" s="121" customFormat="1" ht="18">
      <c r="A267" s="132" t="s">
        <v>3938</v>
      </c>
      <c r="B267" s="116"/>
      <c r="E267" s="519"/>
      <c r="K267" s="116"/>
      <c r="L267" s="116"/>
      <c r="M267" s="116"/>
      <c r="N267" s="151"/>
      <c r="O267" s="151"/>
      <c r="P267" s="116"/>
      <c r="Q267" s="131"/>
      <c r="R267" s="131"/>
      <c r="S267" s="131"/>
      <c r="T267" s="131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  <c r="AR267" s="116"/>
      <c r="AS267" s="116"/>
      <c r="AT267" s="116"/>
      <c r="AU267" s="116"/>
      <c r="AV267" s="116"/>
      <c r="AW267" s="116"/>
      <c r="AX267" s="116"/>
      <c r="AY267" s="116"/>
      <c r="AZ267" s="116"/>
      <c r="BA267" s="116"/>
      <c r="BB267" s="116"/>
      <c r="BC267" s="116"/>
      <c r="BD267" s="127"/>
      <c r="BE267" s="120"/>
      <c r="BF267" s="120"/>
      <c r="BG267" s="127"/>
      <c r="BH267" s="120"/>
      <c r="BI267" s="127"/>
      <c r="BJ267" s="127"/>
      <c r="BK267" s="127"/>
      <c r="BL267" s="127"/>
      <c r="BM267" s="120"/>
      <c r="BN267" s="120"/>
      <c r="BO267" s="120"/>
      <c r="BP267" s="120"/>
      <c r="BQ267" s="124"/>
      <c r="BR267" s="120"/>
      <c r="BS267" s="120"/>
      <c r="BT267" s="120"/>
      <c r="BU267" s="120"/>
      <c r="BV267" s="120"/>
      <c r="BW267" s="120"/>
      <c r="BZ267" s="120"/>
      <c r="CA267" s="120"/>
      <c r="CB267" s="120"/>
      <c r="CC267" s="120"/>
      <c r="CD267" s="120"/>
      <c r="CE267" s="120"/>
      <c r="CF267" s="120"/>
      <c r="CG267" s="120"/>
    </row>
    <row r="268" spans="1:86" s="151" customFormat="1" ht="18">
      <c r="A268" s="1477" t="s">
        <v>4091</v>
      </c>
      <c r="B268" s="1477"/>
      <c r="C268" s="1477"/>
      <c r="D268" s="1477"/>
      <c r="G268" s="158"/>
      <c r="H268" s="158"/>
      <c r="I268" s="156"/>
      <c r="J268" s="116"/>
      <c r="K268" s="116"/>
      <c r="L268" s="121"/>
      <c r="M268" s="157"/>
      <c r="N268" s="162"/>
      <c r="Q268" s="156"/>
      <c r="R268" s="156"/>
      <c r="S268" s="156"/>
      <c r="T268" s="156"/>
      <c r="BD268" s="155"/>
      <c r="BE268" s="152"/>
      <c r="BF268" s="152"/>
      <c r="BG268" s="127"/>
      <c r="BH268" s="120"/>
      <c r="BI268" s="120"/>
      <c r="BJ268" s="120"/>
      <c r="BK268" s="120"/>
      <c r="BL268" s="120"/>
      <c r="BM268" s="120"/>
      <c r="BN268" s="120"/>
      <c r="BO268" s="359"/>
      <c r="BP268" s="359"/>
      <c r="BQ268" s="124"/>
      <c r="BR268" s="120"/>
      <c r="BS268" s="152"/>
      <c r="BT268" s="152"/>
      <c r="BU268" s="152"/>
      <c r="BV268" s="152"/>
      <c r="BW268" s="152"/>
      <c r="BZ268" s="230"/>
      <c r="CA268" s="230"/>
      <c r="CB268" s="230"/>
      <c r="CC268" s="230"/>
      <c r="CD268" s="230"/>
      <c r="CE268" s="230"/>
      <c r="CF268" s="230"/>
      <c r="CG268" s="230"/>
      <c r="CH268" s="231"/>
    </row>
    <row r="269" spans="1:86" s="121" customFormat="1" ht="18">
      <c r="A269" s="132" t="s">
        <v>3938</v>
      </c>
      <c r="B269" s="116"/>
      <c r="E269" s="519"/>
      <c r="K269" s="116"/>
      <c r="L269" s="116"/>
      <c r="M269" s="116"/>
      <c r="N269" s="151"/>
      <c r="O269" s="151"/>
      <c r="P269" s="116"/>
      <c r="Q269" s="131"/>
      <c r="R269" s="131"/>
      <c r="S269" s="131"/>
      <c r="T269" s="131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  <c r="AR269" s="116"/>
      <c r="AS269" s="116"/>
      <c r="AT269" s="116"/>
      <c r="AU269" s="116"/>
      <c r="AV269" s="116"/>
      <c r="AW269" s="116"/>
      <c r="AX269" s="116"/>
      <c r="AY269" s="116"/>
      <c r="AZ269" s="116"/>
      <c r="BA269" s="116"/>
      <c r="BB269" s="116"/>
      <c r="BC269" s="116"/>
      <c r="BD269" s="127"/>
      <c r="BE269" s="120"/>
      <c r="BF269" s="120"/>
      <c r="BG269" s="127"/>
      <c r="BH269" s="120"/>
      <c r="BI269" s="127"/>
      <c r="BJ269" s="127"/>
      <c r="BK269" s="127"/>
      <c r="BL269" s="127"/>
      <c r="BM269" s="120"/>
      <c r="BN269" s="120"/>
      <c r="BO269" s="120"/>
      <c r="BP269" s="120"/>
      <c r="BQ269" s="124"/>
      <c r="BR269" s="120"/>
      <c r="BS269" s="120"/>
      <c r="BT269" s="120"/>
      <c r="BU269" s="120"/>
      <c r="BV269" s="120"/>
      <c r="BW269" s="120"/>
      <c r="BZ269" s="120"/>
      <c r="CA269" s="120"/>
      <c r="CB269" s="120"/>
      <c r="CC269" s="120"/>
      <c r="CD269" s="120"/>
      <c r="CE269" s="120"/>
      <c r="CF269" s="120"/>
      <c r="CG269" s="120"/>
    </row>
    <row r="270" spans="1:86" s="151" customFormat="1" ht="18">
      <c r="A270" s="1477" t="s">
        <v>4092</v>
      </c>
      <c r="B270" s="1477"/>
      <c r="C270" s="1477"/>
      <c r="D270" s="1477"/>
      <c r="G270" s="158"/>
      <c r="H270" s="158"/>
      <c r="I270" s="156"/>
      <c r="L270" s="116"/>
      <c r="M270" s="157"/>
      <c r="N270" s="336"/>
      <c r="Q270" s="156"/>
      <c r="R270" s="156"/>
      <c r="S270" s="156"/>
      <c r="T270" s="156"/>
      <c r="BD270" s="155"/>
      <c r="BE270" s="152"/>
      <c r="BF270" s="152"/>
      <c r="BG270" s="155"/>
      <c r="BH270" s="120"/>
      <c r="BI270" s="154"/>
      <c r="BJ270" s="152"/>
      <c r="BK270" s="152"/>
      <c r="BL270" s="152"/>
      <c r="BM270" s="152"/>
      <c r="BN270" s="152"/>
      <c r="BO270" s="120"/>
      <c r="BP270" s="120"/>
      <c r="BQ270" s="153"/>
      <c r="BR270" s="180"/>
      <c r="BS270" s="152"/>
      <c r="BT270" s="152"/>
      <c r="BU270" s="152"/>
      <c r="BV270" s="152"/>
      <c r="BW270" s="152"/>
      <c r="BZ270" s="152"/>
      <c r="CA270" s="152"/>
      <c r="CB270" s="152"/>
      <c r="CC270" s="152"/>
      <c r="CD270" s="152"/>
      <c r="CE270" s="152"/>
      <c r="CF270" s="152"/>
      <c r="CG270" s="152"/>
    </row>
    <row r="271" spans="1:86" s="121" customFormat="1" ht="18">
      <c r="A271" s="132" t="s">
        <v>3938</v>
      </c>
      <c r="B271" s="116"/>
      <c r="E271" s="519"/>
      <c r="K271" s="116"/>
      <c r="L271" s="116"/>
      <c r="M271" s="116"/>
      <c r="N271" s="151"/>
      <c r="O271" s="151"/>
      <c r="P271" s="116"/>
      <c r="Q271" s="131"/>
      <c r="R271" s="131"/>
      <c r="S271" s="131"/>
      <c r="T271" s="131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  <c r="AM271" s="116"/>
      <c r="AN271" s="116"/>
      <c r="AO271" s="116"/>
      <c r="AP271" s="116"/>
      <c r="AQ271" s="116"/>
      <c r="AR271" s="116"/>
      <c r="AS271" s="116"/>
      <c r="AT271" s="116"/>
      <c r="AU271" s="116"/>
      <c r="AV271" s="116"/>
      <c r="AW271" s="116"/>
      <c r="AX271" s="116"/>
      <c r="AY271" s="116"/>
      <c r="AZ271" s="116"/>
      <c r="BA271" s="116"/>
      <c r="BB271" s="116"/>
      <c r="BC271" s="116"/>
      <c r="BD271" s="127"/>
      <c r="BE271" s="120"/>
      <c r="BF271" s="120"/>
      <c r="BG271" s="127"/>
      <c r="BH271" s="120"/>
      <c r="BI271" s="127"/>
      <c r="BJ271" s="127"/>
      <c r="BK271" s="127"/>
      <c r="BL271" s="127"/>
      <c r="BM271" s="120"/>
      <c r="BN271" s="120"/>
      <c r="BO271" s="120"/>
      <c r="BP271" s="120"/>
      <c r="BQ271" s="124"/>
      <c r="BR271" s="120"/>
      <c r="BS271" s="120"/>
      <c r="BT271" s="120"/>
      <c r="BU271" s="120"/>
      <c r="BV271" s="120"/>
      <c r="BW271" s="120"/>
      <c r="BZ271" s="120"/>
      <c r="CA271" s="120"/>
      <c r="CB271" s="120"/>
      <c r="CC271" s="120"/>
      <c r="CD271" s="120"/>
      <c r="CE271" s="120"/>
      <c r="CF271" s="120"/>
      <c r="CG271" s="120"/>
    </row>
    <row r="272" spans="1:86" s="151" customFormat="1" ht="18">
      <c r="A272" s="1477" t="s">
        <v>4093</v>
      </c>
      <c r="B272" s="1477"/>
      <c r="C272" s="1477"/>
      <c r="D272" s="1477"/>
      <c r="G272" s="158"/>
      <c r="H272" s="158"/>
      <c r="I272" s="156"/>
      <c r="J272" s="116"/>
      <c r="K272" s="116"/>
      <c r="L272" s="121"/>
      <c r="M272" s="157"/>
      <c r="N272" s="162"/>
      <c r="Q272" s="156"/>
      <c r="R272" s="156"/>
      <c r="S272" s="156"/>
      <c r="T272" s="156"/>
      <c r="BD272" s="155"/>
      <c r="BE272" s="152"/>
      <c r="BF272" s="152"/>
      <c r="BG272" s="127"/>
      <c r="BH272" s="120"/>
      <c r="BI272" s="120"/>
      <c r="BJ272" s="120"/>
      <c r="BK272" s="121"/>
      <c r="BL272" s="120"/>
      <c r="BM272" s="120"/>
      <c r="BN272" s="120"/>
      <c r="BO272" s="359"/>
      <c r="BP272" s="359"/>
      <c r="BQ272" s="124"/>
      <c r="BR272" s="120"/>
      <c r="BS272" s="152"/>
      <c r="BT272" s="152"/>
      <c r="BU272" s="152"/>
      <c r="BV272" s="152"/>
      <c r="BW272" s="152"/>
      <c r="BZ272" s="230"/>
      <c r="CA272" s="230"/>
      <c r="CB272" s="230"/>
      <c r="CC272" s="230"/>
      <c r="CD272" s="230"/>
      <c r="CE272" s="230"/>
      <c r="CF272" s="230"/>
      <c r="CG272" s="230"/>
      <c r="CH272" s="231"/>
    </row>
    <row r="273" spans="1:88" s="121" customFormat="1" ht="18">
      <c r="A273" s="132" t="s">
        <v>3938</v>
      </c>
      <c r="B273" s="116"/>
      <c r="E273" s="578"/>
      <c r="K273" s="116"/>
      <c r="L273" s="116"/>
      <c r="M273" s="116"/>
      <c r="N273" s="151"/>
      <c r="O273" s="151"/>
      <c r="P273" s="116"/>
      <c r="Q273" s="131"/>
      <c r="R273" s="131"/>
      <c r="S273" s="131"/>
      <c r="T273" s="131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  <c r="AR273" s="116"/>
      <c r="AS273" s="116"/>
      <c r="AT273" s="116"/>
      <c r="AU273" s="116"/>
      <c r="AV273" s="116"/>
      <c r="AW273" s="116"/>
      <c r="AX273" s="116"/>
      <c r="AY273" s="116"/>
      <c r="AZ273" s="116"/>
      <c r="BA273" s="116"/>
      <c r="BB273" s="116"/>
      <c r="BC273" s="116"/>
      <c r="BD273" s="127"/>
      <c r="BE273" s="120"/>
      <c r="BF273" s="120"/>
      <c r="BG273" s="127"/>
      <c r="BH273" s="120"/>
      <c r="BI273" s="127"/>
      <c r="BJ273" s="127"/>
      <c r="BK273" s="127"/>
      <c r="BL273" s="127"/>
      <c r="BM273" s="120"/>
      <c r="BN273" s="120"/>
      <c r="BO273" s="120"/>
      <c r="BP273" s="120"/>
      <c r="BQ273" s="124"/>
      <c r="BR273" s="120"/>
      <c r="BS273" s="120"/>
      <c r="BT273" s="120"/>
      <c r="BU273" s="120"/>
      <c r="BV273" s="120"/>
      <c r="BW273" s="120"/>
      <c r="BZ273" s="120"/>
      <c r="CA273" s="120"/>
      <c r="CB273" s="120"/>
      <c r="CC273" s="120"/>
      <c r="CD273" s="120"/>
      <c r="CE273" s="120"/>
      <c r="CF273" s="120"/>
      <c r="CG273" s="120"/>
    </row>
    <row r="274" spans="1:88" s="151" customFormat="1" ht="18" customHeight="1">
      <c r="A274" s="1477" t="s">
        <v>4094</v>
      </c>
      <c r="B274" s="1477"/>
      <c r="C274" s="1477"/>
      <c r="D274" s="1477"/>
      <c r="E274" s="116"/>
      <c r="G274" s="158"/>
      <c r="H274" s="158"/>
      <c r="I274" s="116"/>
      <c r="J274" s="121"/>
      <c r="K274" s="116"/>
      <c r="L274" s="116"/>
      <c r="M274" s="116"/>
      <c r="N274" s="116"/>
      <c r="O274" s="116"/>
      <c r="P274" s="116"/>
      <c r="Q274" s="131"/>
      <c r="R274" s="131"/>
      <c r="S274" s="122"/>
      <c r="T274" s="156"/>
      <c r="BD274" s="155"/>
      <c r="BE274" s="152"/>
      <c r="BF274" s="152"/>
      <c r="BG274" s="155"/>
      <c r="BH274" s="120"/>
      <c r="BI274" s="120"/>
      <c r="BJ274" s="120"/>
      <c r="BK274" s="120"/>
      <c r="BL274" s="120"/>
      <c r="BM274" s="120"/>
      <c r="BN274" s="120"/>
      <c r="BO274" s="120"/>
      <c r="BP274" s="120"/>
      <c r="BQ274" s="120"/>
      <c r="BR274" s="120"/>
      <c r="BS274" s="120"/>
      <c r="BT274" s="120"/>
      <c r="BU274" s="120"/>
      <c r="BV274" s="120"/>
      <c r="BW274" s="120"/>
      <c r="BX274" s="120"/>
      <c r="BY274" s="120"/>
      <c r="BZ274" s="165"/>
      <c r="CA274" s="165"/>
      <c r="CB274" s="165"/>
      <c r="CC274" s="165"/>
      <c r="CD274" s="165"/>
      <c r="CE274" s="165"/>
      <c r="CF274" s="165"/>
      <c r="CG274" s="165"/>
      <c r="CH274" s="165"/>
      <c r="CI274" s="120"/>
      <c r="CJ274" s="120"/>
    </row>
    <row r="275" spans="1:88" s="121" customFormat="1" ht="18">
      <c r="A275" s="132" t="s">
        <v>3938</v>
      </c>
      <c r="B275" s="116"/>
      <c r="E275" s="578"/>
      <c r="K275" s="116"/>
      <c r="L275" s="116"/>
      <c r="M275" s="116"/>
      <c r="N275" s="151"/>
      <c r="O275" s="151"/>
      <c r="P275" s="116"/>
      <c r="Q275" s="131"/>
      <c r="R275" s="131"/>
      <c r="S275" s="131"/>
      <c r="T275" s="131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  <c r="AR275" s="116"/>
      <c r="AS275" s="116"/>
      <c r="AT275" s="116"/>
      <c r="AU275" s="116"/>
      <c r="AV275" s="116"/>
      <c r="AW275" s="116"/>
      <c r="AX275" s="116"/>
      <c r="AY275" s="116"/>
      <c r="AZ275" s="116"/>
      <c r="BA275" s="116"/>
      <c r="BB275" s="116"/>
      <c r="BC275" s="116"/>
      <c r="BD275" s="127"/>
      <c r="BE275" s="120"/>
      <c r="BF275" s="120"/>
      <c r="BG275" s="127"/>
      <c r="BH275" s="120"/>
      <c r="BI275" s="127"/>
      <c r="BJ275" s="127"/>
      <c r="BK275" s="127"/>
      <c r="BL275" s="127"/>
      <c r="BM275" s="120"/>
      <c r="BN275" s="120"/>
      <c r="BO275" s="120"/>
      <c r="BP275" s="120"/>
      <c r="BQ275" s="124"/>
      <c r="BR275" s="120"/>
      <c r="BS275" s="120"/>
      <c r="BT275" s="120"/>
      <c r="BU275" s="120"/>
      <c r="BV275" s="120"/>
      <c r="BW275" s="120"/>
      <c r="BZ275" s="120"/>
      <c r="CA275" s="120"/>
      <c r="CB275" s="120"/>
      <c r="CC275" s="120"/>
      <c r="CD275" s="120"/>
      <c r="CE275" s="120"/>
      <c r="CF275" s="120"/>
      <c r="CG275" s="120"/>
    </row>
    <row r="276" spans="1:88" s="151" customFormat="1" ht="18">
      <c r="A276" s="1477" t="s">
        <v>4095</v>
      </c>
      <c r="B276" s="1477"/>
      <c r="C276" s="1477"/>
      <c r="D276" s="1477"/>
      <c r="G276" s="158"/>
      <c r="H276" s="158"/>
      <c r="I276" s="156"/>
      <c r="J276" s="116"/>
      <c r="K276" s="116"/>
      <c r="M276" s="157"/>
      <c r="Q276" s="156"/>
      <c r="R276" s="156"/>
      <c r="S276" s="156"/>
      <c r="T276" s="156"/>
      <c r="BD276" s="155"/>
      <c r="BE276" s="152"/>
      <c r="BF276" s="152"/>
      <c r="BG276" s="155"/>
      <c r="BH276" s="120"/>
      <c r="BI276" s="154"/>
      <c r="BJ276" s="152"/>
      <c r="BK276" s="152"/>
      <c r="BL276" s="152"/>
      <c r="BM276" s="120"/>
      <c r="BN276" s="152"/>
      <c r="BO276" s="152"/>
      <c r="BP276" s="152"/>
      <c r="BQ276" s="153"/>
      <c r="BR276" s="152"/>
      <c r="BS276" s="152"/>
      <c r="BT276" s="152"/>
      <c r="BU276" s="152"/>
      <c r="BV276" s="152"/>
      <c r="BW276" s="152"/>
      <c r="BZ276" s="152"/>
      <c r="CA276" s="152"/>
      <c r="CB276" s="152"/>
      <c r="CC276" s="152"/>
      <c r="CD276" s="152"/>
      <c r="CE276" s="152"/>
      <c r="CF276" s="152"/>
      <c r="CG276" s="152"/>
    </row>
    <row r="277" spans="1:88" s="121" customFormat="1">
      <c r="A277" s="132" t="s">
        <v>3938</v>
      </c>
      <c r="B277" s="116"/>
      <c r="C277" s="116"/>
      <c r="D277" s="116"/>
      <c r="E277" s="116"/>
      <c r="F277" s="116"/>
      <c r="G277" s="166"/>
      <c r="H277" s="166"/>
      <c r="I277" s="131"/>
      <c r="J277" s="116"/>
      <c r="K277" s="116"/>
      <c r="L277" s="116"/>
      <c r="M277" s="116"/>
      <c r="N277" s="116"/>
      <c r="O277" s="116"/>
      <c r="P277" s="116"/>
      <c r="Q277" s="131"/>
      <c r="R277" s="131"/>
      <c r="S277" s="131"/>
      <c r="T277" s="131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6"/>
      <c r="AR277" s="116"/>
      <c r="AS277" s="116"/>
      <c r="AT277" s="116"/>
      <c r="AU277" s="116"/>
      <c r="AV277" s="116"/>
      <c r="AW277" s="116"/>
      <c r="AX277" s="116"/>
      <c r="AY277" s="116"/>
      <c r="AZ277" s="116"/>
      <c r="BA277" s="116"/>
      <c r="BB277" s="116"/>
      <c r="BC277" s="116"/>
      <c r="BD277" s="127"/>
      <c r="BE277" s="120"/>
      <c r="BF277" s="120"/>
      <c r="BG277" s="127"/>
      <c r="BH277" s="127"/>
      <c r="BI277" s="127"/>
      <c r="BJ277" s="127"/>
      <c r="BK277" s="127"/>
      <c r="BL277" s="127"/>
      <c r="BM277" s="120"/>
      <c r="BN277" s="120"/>
      <c r="BO277" s="120"/>
      <c r="BP277" s="120"/>
      <c r="BQ277" s="124"/>
      <c r="BR277" s="120"/>
      <c r="BS277" s="120"/>
      <c r="BT277" s="120"/>
      <c r="BU277" s="120"/>
      <c r="BV277" s="120"/>
      <c r="BW277" s="120"/>
      <c r="BZ277" s="120"/>
      <c r="CA277" s="120"/>
      <c r="CB277" s="120"/>
      <c r="CC277" s="120"/>
      <c r="CD277" s="120"/>
      <c r="CE277" s="120"/>
      <c r="CF277" s="120"/>
      <c r="CG277" s="120"/>
    </row>
    <row r="278" spans="1:88" s="151" customFormat="1" ht="18">
      <c r="A278" s="1477" t="s">
        <v>4096</v>
      </c>
      <c r="B278" s="1477"/>
      <c r="C278" s="1477"/>
      <c r="D278" s="1477"/>
      <c r="E278" s="116"/>
      <c r="G278" s="158"/>
      <c r="H278" s="158"/>
      <c r="I278" s="156"/>
      <c r="J278" s="116"/>
      <c r="L278" s="116"/>
      <c r="M278" s="157"/>
      <c r="Q278" s="131"/>
      <c r="R278" s="131"/>
      <c r="S278" s="156"/>
      <c r="T278" s="156"/>
      <c r="BD278" s="155"/>
      <c r="BE278" s="152"/>
      <c r="BF278" s="152"/>
      <c r="BG278" s="155"/>
      <c r="BH278" s="120"/>
      <c r="BI278" s="116"/>
      <c r="BJ278" s="152"/>
      <c r="BK278" s="152"/>
      <c r="BL278" s="152"/>
      <c r="BM278" s="152"/>
      <c r="BN278" s="152"/>
      <c r="BO278" s="120"/>
      <c r="BP278" s="120"/>
      <c r="BQ278" s="153"/>
      <c r="BR278" s="152"/>
      <c r="BS278" s="152"/>
      <c r="BT278" s="152"/>
      <c r="BU278" s="152"/>
      <c r="BV278" s="152"/>
      <c r="BW278" s="152"/>
      <c r="BZ278" s="230"/>
      <c r="CA278" s="230"/>
      <c r="CB278" s="230"/>
      <c r="CC278" s="230"/>
      <c r="CD278" s="230"/>
      <c r="CE278" s="230"/>
      <c r="CF278" s="230"/>
      <c r="CG278" s="230"/>
      <c r="CH278" s="231"/>
    </row>
    <row r="279" spans="1:88" s="121" customFormat="1">
      <c r="A279" s="132" t="s">
        <v>3938</v>
      </c>
      <c r="B279" s="116"/>
      <c r="C279" s="116"/>
      <c r="D279" s="116"/>
      <c r="E279" s="116"/>
      <c r="F279" s="116"/>
      <c r="G279" s="166"/>
      <c r="H279" s="166"/>
      <c r="I279" s="131"/>
      <c r="J279" s="116"/>
      <c r="K279" s="116"/>
      <c r="L279" s="116"/>
      <c r="M279" s="116"/>
      <c r="N279" s="116"/>
      <c r="O279" s="116"/>
      <c r="P279" s="116"/>
      <c r="Q279" s="131"/>
      <c r="R279" s="131"/>
      <c r="S279" s="131"/>
      <c r="T279" s="131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  <c r="AM279" s="116"/>
      <c r="AN279" s="116"/>
      <c r="AO279" s="116"/>
      <c r="AP279" s="116"/>
      <c r="AQ279" s="116"/>
      <c r="AR279" s="116"/>
      <c r="AS279" s="116"/>
      <c r="AT279" s="116"/>
      <c r="AU279" s="116"/>
      <c r="AV279" s="116"/>
      <c r="AW279" s="116"/>
      <c r="AX279" s="116"/>
      <c r="AY279" s="116"/>
      <c r="AZ279" s="116"/>
      <c r="BA279" s="116"/>
      <c r="BB279" s="116"/>
      <c r="BC279" s="116"/>
      <c r="BD279" s="127"/>
      <c r="BE279" s="120"/>
      <c r="BF279" s="120"/>
      <c r="BG279" s="127"/>
      <c r="BH279" s="127"/>
      <c r="BI279" s="127"/>
      <c r="BJ279" s="127"/>
      <c r="BK279" s="127"/>
      <c r="BL279" s="127"/>
      <c r="BM279" s="120"/>
      <c r="BN279" s="120"/>
      <c r="BO279" s="120"/>
      <c r="BP279" s="120"/>
      <c r="BQ279" s="124"/>
      <c r="BR279" s="120"/>
      <c r="BS279" s="120"/>
      <c r="BT279" s="120"/>
      <c r="BU279" s="120"/>
      <c r="BV279" s="120"/>
      <c r="BW279" s="120"/>
      <c r="BZ279" s="120"/>
      <c r="CA279" s="120"/>
      <c r="CB279" s="120"/>
      <c r="CC279" s="120"/>
      <c r="CD279" s="120"/>
      <c r="CE279" s="120"/>
      <c r="CF279" s="120"/>
      <c r="CG279" s="120"/>
    </row>
    <row r="280" spans="1:88" s="151" customFormat="1" ht="18">
      <c r="A280" s="1477" t="s">
        <v>4097</v>
      </c>
      <c r="B280" s="1477"/>
      <c r="C280" s="1477"/>
      <c r="D280" s="1477"/>
      <c r="G280" s="158"/>
      <c r="H280" s="158"/>
      <c r="I280" s="156"/>
      <c r="J280" s="116"/>
      <c r="M280" s="129"/>
      <c r="Q280" s="156"/>
      <c r="R280" s="156"/>
      <c r="S280" s="156"/>
      <c r="T280" s="156"/>
      <c r="X280" s="121"/>
      <c r="Y280" s="121"/>
      <c r="BD280" s="155"/>
      <c r="BE280" s="152"/>
      <c r="BF280" s="152"/>
      <c r="BG280" s="155"/>
      <c r="BH280" s="120"/>
      <c r="BI280" s="154"/>
      <c r="BJ280" s="152"/>
      <c r="BK280" s="152"/>
      <c r="BL280" s="152"/>
      <c r="BM280" s="152"/>
      <c r="BN280" s="152"/>
      <c r="BO280" s="120"/>
      <c r="BP280" s="120"/>
      <c r="BQ280" s="153"/>
      <c r="BR280" s="152"/>
      <c r="BS280" s="152"/>
      <c r="BT280" s="152"/>
      <c r="BU280" s="152"/>
      <c r="BV280" s="152"/>
      <c r="BW280" s="152"/>
      <c r="BZ280" s="152"/>
      <c r="CA280" s="152"/>
      <c r="CB280" s="152"/>
      <c r="CC280" s="152"/>
      <c r="CD280" s="152"/>
      <c r="CE280" s="152"/>
      <c r="CF280" s="152"/>
      <c r="CG280" s="152"/>
    </row>
    <row r="281" spans="1:88" s="121" customFormat="1">
      <c r="A281" s="132" t="s">
        <v>3938</v>
      </c>
      <c r="B281" s="116"/>
      <c r="C281" s="116"/>
      <c r="D281" s="116"/>
      <c r="E281" s="116"/>
      <c r="F281" s="116"/>
      <c r="G281" s="166"/>
      <c r="H281" s="166"/>
      <c r="I281" s="131"/>
      <c r="J281" s="116"/>
      <c r="K281" s="116"/>
      <c r="L281" s="116"/>
      <c r="M281" s="116"/>
      <c r="N281" s="116"/>
      <c r="O281" s="116"/>
      <c r="P281" s="116"/>
      <c r="Q281" s="131"/>
      <c r="R281" s="131"/>
      <c r="S281" s="131"/>
      <c r="T281" s="131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  <c r="AR281" s="116"/>
      <c r="AS281" s="116"/>
      <c r="AT281" s="116"/>
      <c r="AU281" s="116"/>
      <c r="AV281" s="116"/>
      <c r="AW281" s="116"/>
      <c r="AX281" s="116"/>
      <c r="AY281" s="116"/>
      <c r="AZ281" s="116"/>
      <c r="BA281" s="116"/>
      <c r="BB281" s="116"/>
      <c r="BC281" s="116"/>
      <c r="BD281" s="127"/>
      <c r="BE281" s="120"/>
      <c r="BF281" s="120"/>
      <c r="BG281" s="127"/>
      <c r="BH281" s="127"/>
      <c r="BI281" s="127"/>
      <c r="BJ281" s="127"/>
      <c r="BK281" s="127"/>
      <c r="BL281" s="127"/>
      <c r="BM281" s="120"/>
      <c r="BN281" s="120"/>
      <c r="BO281" s="120"/>
      <c r="BP281" s="120"/>
      <c r="BQ281" s="124"/>
      <c r="BR281" s="120"/>
      <c r="BS281" s="120"/>
      <c r="BT281" s="120"/>
      <c r="BU281" s="120"/>
      <c r="BV281" s="120"/>
      <c r="BW281" s="120"/>
      <c r="BZ281" s="120"/>
      <c r="CA281" s="120"/>
      <c r="CB281" s="120"/>
      <c r="CC281" s="120"/>
      <c r="CD281" s="120"/>
      <c r="CE281" s="120"/>
      <c r="CF281" s="120"/>
      <c r="CG281" s="120"/>
    </row>
    <row r="282" spans="1:88" s="151" customFormat="1" ht="18">
      <c r="A282" s="1477" t="s">
        <v>4098</v>
      </c>
      <c r="B282" s="1477"/>
      <c r="C282" s="1477"/>
      <c r="D282" s="1477"/>
      <c r="G282" s="158"/>
      <c r="H282" s="158"/>
      <c r="I282" s="156"/>
      <c r="J282" s="116"/>
      <c r="K282" s="116"/>
      <c r="M282" s="157"/>
      <c r="N282" s="116"/>
      <c r="O282" s="116"/>
      <c r="Q282" s="156"/>
      <c r="R282" s="156"/>
      <c r="S282" s="156"/>
      <c r="T282" s="156"/>
      <c r="BD282" s="155"/>
      <c r="BE282" s="152"/>
      <c r="BF282" s="152"/>
      <c r="BG282" s="127"/>
      <c r="BH282" s="120"/>
      <c r="BI282" s="154"/>
      <c r="BJ282" s="152"/>
      <c r="BK282" s="152"/>
      <c r="BL282" s="152"/>
      <c r="BM282" s="120"/>
      <c r="BN282" s="152"/>
      <c r="BO282" s="152"/>
      <c r="BP282" s="152"/>
      <c r="BQ282" s="153"/>
      <c r="BR282" s="152"/>
      <c r="BS282" s="152"/>
      <c r="BT282" s="152"/>
      <c r="BU282" s="152"/>
      <c r="BV282" s="152"/>
      <c r="BW282" s="152"/>
      <c r="BZ282" s="152"/>
      <c r="CA282" s="152"/>
      <c r="CB282" s="152"/>
      <c r="CC282" s="152"/>
      <c r="CD282" s="152"/>
      <c r="CE282" s="152"/>
      <c r="CF282" s="152"/>
      <c r="CG282" s="152"/>
    </row>
    <row r="283" spans="1:88">
      <c r="A283" s="132" t="s">
        <v>3938</v>
      </c>
      <c r="B283" s="116"/>
      <c r="C283" s="116"/>
      <c r="D283" s="116"/>
      <c r="E283" s="116"/>
      <c r="F283" s="116"/>
      <c r="G283" s="127"/>
      <c r="H283" s="127"/>
      <c r="I283" s="116"/>
      <c r="J283" s="116"/>
      <c r="K283" s="116"/>
      <c r="L283" s="116"/>
      <c r="M283" s="129"/>
      <c r="N283" s="116"/>
      <c r="O283" s="116"/>
      <c r="P283" s="116"/>
      <c r="Q283" s="131"/>
      <c r="R283" s="131"/>
      <c r="S283" s="131"/>
      <c r="T283" s="122"/>
      <c r="U283" s="121"/>
      <c r="V283" s="122"/>
      <c r="W283" s="121"/>
      <c r="X283" s="131"/>
      <c r="Y283" s="13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2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7"/>
      <c r="BE283" s="120"/>
      <c r="BF283" s="135"/>
      <c r="BG283" s="127"/>
      <c r="BH283" s="127"/>
      <c r="BI283" s="127"/>
      <c r="BJ283" s="127"/>
      <c r="BK283" s="127"/>
      <c r="BL283" s="127"/>
      <c r="BM283" s="127"/>
      <c r="BN283" s="127"/>
      <c r="BO283" s="127"/>
      <c r="BP283" s="127"/>
      <c r="BQ283" s="127"/>
      <c r="BR283" s="127"/>
      <c r="BS283" s="127"/>
      <c r="BT283" s="127"/>
      <c r="BU283" s="127"/>
      <c r="BV283" s="127"/>
      <c r="BW283" s="120"/>
      <c r="BX283" s="121"/>
      <c r="BY283" s="121"/>
      <c r="BZ283" s="136"/>
      <c r="CA283" s="136"/>
      <c r="CB283" s="136"/>
      <c r="CC283" s="136"/>
      <c r="CD283" s="135"/>
      <c r="CE283" s="135"/>
      <c r="CF283" s="161"/>
      <c r="CG283" s="161"/>
      <c r="CH283" s="160"/>
      <c r="CI283" s="121"/>
    </row>
    <row r="284" spans="1:88" s="151" customFormat="1" ht="18">
      <c r="A284" s="1477" t="s">
        <v>4099</v>
      </c>
      <c r="B284" s="1477"/>
      <c r="C284" s="1477"/>
      <c r="D284" s="1477"/>
      <c r="G284" s="158"/>
      <c r="H284" s="158"/>
      <c r="I284" s="156"/>
      <c r="J284" s="116"/>
      <c r="K284" s="116"/>
      <c r="M284" s="157"/>
      <c r="Q284" s="156"/>
      <c r="R284" s="156"/>
      <c r="S284" s="156"/>
      <c r="T284" s="156"/>
      <c r="BD284" s="155"/>
      <c r="BE284" s="152"/>
      <c r="BF284" s="152"/>
      <c r="BG284" s="155"/>
      <c r="BH284" s="120"/>
      <c r="BI284" s="154"/>
      <c r="BJ284" s="152"/>
      <c r="BK284" s="152"/>
      <c r="BL284" s="152"/>
      <c r="BM284" s="152"/>
      <c r="BN284" s="152"/>
      <c r="BO284" s="120"/>
      <c r="BP284" s="120"/>
      <c r="BQ284" s="153"/>
      <c r="BR284" s="152"/>
      <c r="BS284" s="152"/>
      <c r="BT284" s="152"/>
      <c r="BU284" s="152"/>
      <c r="BV284" s="152"/>
      <c r="BW284" s="152"/>
      <c r="BZ284" s="152"/>
      <c r="CA284" s="152"/>
      <c r="CB284" s="152"/>
      <c r="CC284" s="152"/>
      <c r="CD284" s="152"/>
      <c r="CE284" s="152"/>
      <c r="CF284" s="152"/>
      <c r="CG284" s="152"/>
    </row>
    <row r="285" spans="1:88" s="121" customFormat="1">
      <c r="A285" s="132" t="s">
        <v>3938</v>
      </c>
      <c r="B285" s="132"/>
      <c r="C285" s="116"/>
      <c r="D285" s="116"/>
      <c r="E285" s="116"/>
      <c r="F285" s="116"/>
      <c r="G285" s="130"/>
      <c r="H285" s="130"/>
      <c r="I285" s="131"/>
      <c r="J285" s="116"/>
      <c r="K285" s="116"/>
      <c r="L285" s="116"/>
      <c r="M285" s="129"/>
      <c r="N285" s="116"/>
      <c r="O285" s="116"/>
      <c r="P285" s="116"/>
      <c r="Q285" s="131"/>
      <c r="R285" s="131"/>
      <c r="S285" s="131"/>
      <c r="T285" s="131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16"/>
      <c r="AP285" s="116"/>
      <c r="AQ285" s="116"/>
      <c r="AR285" s="116"/>
      <c r="AS285" s="116"/>
      <c r="AT285" s="116"/>
      <c r="AU285" s="116"/>
      <c r="AV285" s="116"/>
      <c r="AW285" s="116"/>
      <c r="AX285" s="116"/>
      <c r="AY285" s="116"/>
      <c r="AZ285" s="116"/>
      <c r="BA285" s="116"/>
      <c r="BB285" s="116"/>
      <c r="BC285" s="116"/>
      <c r="BD285" s="127"/>
      <c r="BE285" s="120"/>
      <c r="BF285" s="120"/>
      <c r="BG285" s="127"/>
      <c r="BH285" s="159"/>
      <c r="BI285" s="159"/>
      <c r="BJ285" s="127"/>
      <c r="BK285" s="127"/>
      <c r="BL285" s="127"/>
      <c r="BM285" s="127"/>
      <c r="BN285" s="120"/>
      <c r="BO285" s="120"/>
      <c r="BP285" s="120"/>
      <c r="BQ285" s="124"/>
      <c r="BR285" s="120"/>
      <c r="BS285" s="120"/>
      <c r="BT285" s="120"/>
      <c r="BU285" s="120"/>
      <c r="BV285" s="120"/>
      <c r="BW285" s="120"/>
      <c r="BX285" s="116"/>
      <c r="BY285" s="116"/>
      <c r="BZ285" s="120"/>
      <c r="CA285" s="120"/>
      <c r="CB285" s="120"/>
      <c r="CC285" s="120"/>
      <c r="CD285" s="120"/>
      <c r="CE285" s="120"/>
      <c r="CF285" s="120"/>
      <c r="CG285" s="120"/>
    </row>
    <row r="286" spans="1:88" s="151" customFormat="1" ht="18.600000000000001" customHeight="1">
      <c r="A286" s="1477" t="s">
        <v>4100</v>
      </c>
      <c r="B286" s="1477"/>
      <c r="C286" s="1477"/>
      <c r="D286" s="1477"/>
      <c r="G286" s="158"/>
      <c r="H286" s="158"/>
      <c r="I286" s="156"/>
      <c r="J286" s="116"/>
      <c r="K286" s="116"/>
      <c r="M286" s="157"/>
      <c r="Q286" s="156"/>
      <c r="R286" s="156"/>
      <c r="S286" s="156"/>
      <c r="T286" s="156"/>
      <c r="BD286" s="155"/>
      <c r="BE286" s="152"/>
      <c r="BF286" s="152"/>
      <c r="BG286" s="155"/>
      <c r="BH286" s="152"/>
      <c r="BI286" s="152"/>
      <c r="BJ286" s="152"/>
      <c r="BK286" s="152"/>
      <c r="BL286" s="152"/>
      <c r="BM286" s="152"/>
      <c r="BN286" s="152"/>
      <c r="BO286" s="120"/>
      <c r="BP286" s="120"/>
      <c r="BQ286" s="153"/>
      <c r="BR286" s="152"/>
      <c r="BS286" s="152"/>
      <c r="BT286" s="152"/>
      <c r="BU286" s="152"/>
      <c r="BV286" s="152"/>
      <c r="BW286" s="152"/>
      <c r="BZ286" s="152"/>
      <c r="CA286" s="152"/>
      <c r="CB286" s="152"/>
      <c r="CC286" s="152"/>
      <c r="CD286" s="152"/>
      <c r="CE286" s="152"/>
      <c r="CF286" s="152"/>
      <c r="CG286" s="152"/>
    </row>
    <row r="287" spans="1:88" s="121" customFormat="1">
      <c r="A287" s="132" t="s">
        <v>3938</v>
      </c>
      <c r="B287" s="132"/>
      <c r="C287" s="116"/>
      <c r="D287" s="116"/>
      <c r="F287" s="116"/>
      <c r="G287" s="130"/>
      <c r="H287" s="130"/>
      <c r="J287" s="116"/>
      <c r="K287" s="116"/>
      <c r="M287" s="129"/>
      <c r="N287" s="116"/>
      <c r="O287" s="116"/>
      <c r="Q287" s="131"/>
      <c r="R287" s="131"/>
      <c r="S287" s="131"/>
      <c r="T287" s="131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  <c r="AL287" s="116"/>
      <c r="AM287" s="116"/>
      <c r="AN287" s="116"/>
      <c r="AO287" s="116"/>
      <c r="AP287" s="116"/>
      <c r="AQ287" s="116"/>
      <c r="AR287" s="116"/>
      <c r="AS287" s="116"/>
      <c r="AT287" s="116"/>
      <c r="AU287" s="116"/>
      <c r="AV287" s="116"/>
      <c r="AW287" s="116"/>
      <c r="AX287" s="116"/>
      <c r="AY287" s="116"/>
      <c r="AZ287" s="116"/>
      <c r="BA287" s="116"/>
      <c r="BB287" s="116"/>
      <c r="BC287" s="116"/>
      <c r="BD287" s="127"/>
      <c r="BE287" s="120"/>
      <c r="BF287" s="120"/>
      <c r="BG287" s="127"/>
      <c r="BH287" s="127"/>
      <c r="BI287" s="116"/>
      <c r="BJ287" s="127"/>
      <c r="BK287" s="127"/>
      <c r="BL287" s="127"/>
      <c r="BM287" s="127"/>
      <c r="BN287" s="120"/>
      <c r="BO287" s="120"/>
      <c r="BP287" s="120"/>
      <c r="BQ287" s="124"/>
      <c r="BR287" s="120"/>
      <c r="BS287" s="120"/>
      <c r="BT287" s="120"/>
      <c r="BU287" s="120"/>
      <c r="BV287" s="120"/>
      <c r="BW287" s="120"/>
      <c r="BX287" s="116"/>
      <c r="BY287" s="116"/>
      <c r="BZ287" s="120"/>
      <c r="CA287" s="120"/>
      <c r="CB287" s="120"/>
      <c r="CC287" s="120"/>
      <c r="CD287" s="120"/>
      <c r="CE287" s="120"/>
      <c r="CF287" s="120"/>
      <c r="CG287" s="120"/>
    </row>
    <row r="288" spans="1:88" s="128" customFormat="1">
      <c r="A288" s="125"/>
      <c r="B288" s="125"/>
      <c r="C288" s="116"/>
      <c r="D288" s="116"/>
      <c r="E288" s="116"/>
      <c r="F288" s="116"/>
      <c r="G288" s="127"/>
      <c r="H288" s="127"/>
      <c r="I288" s="116"/>
      <c r="J288" s="116"/>
      <c r="K288" s="116"/>
      <c r="L288" s="116"/>
      <c r="M288" s="129"/>
      <c r="N288" s="116"/>
      <c r="O288" s="116"/>
      <c r="P288" s="116"/>
      <c r="Q288" s="131"/>
      <c r="R288" s="131"/>
      <c r="S288" s="143">
        <f>SUM(S245:S287)</f>
        <v>15000</v>
      </c>
      <c r="T288" s="143">
        <f t="shared" ref="T288:BC288" si="251">SUM(T245:T287)</f>
        <v>0</v>
      </c>
      <c r="U288" s="143">
        <f t="shared" si="251"/>
        <v>0</v>
      </c>
      <c r="V288" s="143">
        <f t="shared" si="251"/>
        <v>0</v>
      </c>
      <c r="W288" s="143">
        <f t="shared" si="251"/>
        <v>0</v>
      </c>
      <c r="X288" s="143">
        <f t="shared" si="251"/>
        <v>0</v>
      </c>
      <c r="Y288" s="143">
        <f t="shared" si="251"/>
        <v>0</v>
      </c>
      <c r="Z288" s="143">
        <f t="shared" si="251"/>
        <v>0</v>
      </c>
      <c r="AA288" s="143">
        <f t="shared" si="251"/>
        <v>0</v>
      </c>
      <c r="AB288" s="143">
        <f t="shared" si="251"/>
        <v>0</v>
      </c>
      <c r="AC288" s="143">
        <f t="shared" si="251"/>
        <v>0</v>
      </c>
      <c r="AD288" s="143">
        <f t="shared" si="251"/>
        <v>0</v>
      </c>
      <c r="AE288" s="143">
        <f t="shared" si="251"/>
        <v>0</v>
      </c>
      <c r="AF288" s="143">
        <f t="shared" si="251"/>
        <v>0</v>
      </c>
      <c r="AG288" s="143">
        <f t="shared" si="251"/>
        <v>0</v>
      </c>
      <c r="AH288" s="143">
        <f t="shared" si="251"/>
        <v>7500</v>
      </c>
      <c r="AI288" s="143">
        <f t="shared" si="251"/>
        <v>0</v>
      </c>
      <c r="AJ288" s="143">
        <f t="shared" si="251"/>
        <v>0</v>
      </c>
      <c r="AK288" s="143">
        <f t="shared" si="251"/>
        <v>0</v>
      </c>
      <c r="AL288" s="143">
        <f t="shared" si="251"/>
        <v>0</v>
      </c>
      <c r="AM288" s="143">
        <f t="shared" si="251"/>
        <v>0</v>
      </c>
      <c r="AN288" s="143">
        <f t="shared" si="251"/>
        <v>0</v>
      </c>
      <c r="AO288" s="143">
        <f t="shared" si="251"/>
        <v>7500</v>
      </c>
      <c r="AP288" s="143">
        <f t="shared" si="251"/>
        <v>0</v>
      </c>
      <c r="AQ288" s="143">
        <f t="shared" si="251"/>
        <v>0</v>
      </c>
      <c r="AR288" s="143">
        <f t="shared" si="251"/>
        <v>0</v>
      </c>
      <c r="AS288" s="143">
        <f t="shared" si="251"/>
        <v>0</v>
      </c>
      <c r="AT288" s="143">
        <f t="shared" si="251"/>
        <v>0</v>
      </c>
      <c r="AU288" s="143">
        <f t="shared" si="251"/>
        <v>0</v>
      </c>
      <c r="AV288" s="143">
        <f t="shared" si="251"/>
        <v>0</v>
      </c>
      <c r="AW288" s="143">
        <f t="shared" si="251"/>
        <v>0</v>
      </c>
      <c r="AX288" s="143">
        <f t="shared" si="251"/>
        <v>0</v>
      </c>
      <c r="AY288" s="143">
        <f t="shared" si="251"/>
        <v>0</v>
      </c>
      <c r="AZ288" s="143">
        <f t="shared" si="251"/>
        <v>0</v>
      </c>
      <c r="BA288" s="143">
        <f t="shared" si="251"/>
        <v>0</v>
      </c>
      <c r="BB288" s="143">
        <f t="shared" si="251"/>
        <v>0</v>
      </c>
      <c r="BC288" s="143">
        <f t="shared" si="251"/>
        <v>0</v>
      </c>
      <c r="BD288" s="120"/>
      <c r="BE288" s="120"/>
      <c r="BF288" s="120"/>
      <c r="BG288" s="127"/>
      <c r="BH288" s="120"/>
      <c r="BI288" s="120"/>
      <c r="BJ288" s="120"/>
      <c r="BK288" s="120"/>
      <c r="BL288" s="120"/>
      <c r="BM288" s="120"/>
      <c r="BN288" s="120"/>
      <c r="BO288" s="120"/>
      <c r="BP288" s="120"/>
      <c r="BQ288" s="124"/>
      <c r="BR288" s="120"/>
      <c r="BS288" s="120"/>
      <c r="BT288" s="120"/>
      <c r="BU288" s="120"/>
      <c r="BV288" s="120"/>
      <c r="BW288" s="120"/>
      <c r="BX288" s="121"/>
      <c r="BY288" s="121"/>
      <c r="BZ288" s="136"/>
      <c r="CA288" s="136"/>
      <c r="CB288" s="136"/>
      <c r="CC288" s="136"/>
      <c r="CD288" s="135"/>
      <c r="CE288" s="135"/>
      <c r="CF288" s="135"/>
      <c r="CG288" s="135"/>
      <c r="CH288" s="135"/>
      <c r="CI288" s="135"/>
    </row>
    <row r="289" spans="1:88" s="144" customFormat="1" ht="44.25" customHeight="1">
      <c r="A289" s="150" t="s">
        <v>4101</v>
      </c>
      <c r="B289" s="150"/>
      <c r="E289" s="121"/>
      <c r="F289" s="115"/>
      <c r="G289" s="120"/>
      <c r="H289" s="120"/>
      <c r="I289" s="121"/>
      <c r="J289" s="121"/>
      <c r="K289" s="121"/>
      <c r="L289" s="121"/>
      <c r="M289" s="121"/>
      <c r="N289" s="121"/>
      <c r="O289" s="121"/>
      <c r="P289" s="121"/>
      <c r="Q289" s="131"/>
      <c r="R289" s="122"/>
      <c r="S289" s="149"/>
      <c r="T289" s="149"/>
      <c r="BD289" s="145"/>
      <c r="BE289" s="145"/>
      <c r="BF289" s="145"/>
      <c r="BG289" s="145"/>
      <c r="BH289" s="145"/>
      <c r="BI289" s="145"/>
      <c r="BJ289" s="145"/>
      <c r="BK289" s="145"/>
      <c r="BL289" s="145"/>
      <c r="BM289" s="145"/>
      <c r="BN289" s="148"/>
      <c r="BO289" s="120"/>
      <c r="BP289" s="120"/>
      <c r="BQ289" s="147"/>
      <c r="BR289" s="145"/>
      <c r="BS289" s="145"/>
      <c r="BT289" s="145"/>
      <c r="BU289" s="145"/>
      <c r="BV289" s="145"/>
      <c r="BW289" s="145"/>
      <c r="BX289" s="146"/>
      <c r="BY289" s="146"/>
      <c r="BZ289" s="145"/>
      <c r="CA289" s="145"/>
      <c r="CB289" s="145"/>
      <c r="CC289" s="145"/>
      <c r="CD289" s="145"/>
      <c r="CE289" s="145"/>
      <c r="CF289" s="145"/>
      <c r="CG289" s="145"/>
    </row>
    <row r="290" spans="1:88" s="128" customFormat="1">
      <c r="A290" s="125">
        <f t="shared" ref="A290:A321" si="252">BJ290</f>
        <v>45300.666666666744</v>
      </c>
      <c r="B290" s="138" t="s">
        <v>187</v>
      </c>
      <c r="C290" s="121" t="s">
        <v>229</v>
      </c>
      <c r="D290" s="121" t="s">
        <v>215</v>
      </c>
      <c r="E290" s="253" t="s">
        <v>1515</v>
      </c>
      <c r="F290" s="397" t="s">
        <v>3474</v>
      </c>
      <c r="G290" s="398"/>
      <c r="H290" s="398"/>
      <c r="I290" s="121" t="s">
        <v>231</v>
      </c>
      <c r="J290" s="121"/>
      <c r="K290" s="517" t="s">
        <v>187</v>
      </c>
      <c r="L290" s="121" t="s">
        <v>4102</v>
      </c>
      <c r="M290" s="123"/>
      <c r="N290" s="121" t="s">
        <v>222</v>
      </c>
      <c r="O290" s="121" t="s">
        <v>223</v>
      </c>
      <c r="P290" s="517" t="s">
        <v>240</v>
      </c>
      <c r="Q290" s="122">
        <f>3137*2.4</f>
        <v>7528.7999999999993</v>
      </c>
      <c r="R290" s="122">
        <f>7550+100</f>
        <v>7650</v>
      </c>
      <c r="S290" s="122">
        <v>7500</v>
      </c>
      <c r="T290" s="667"/>
      <c r="U290" s="581"/>
      <c r="V290" s="581"/>
      <c r="W290" s="581"/>
      <c r="X290" s="739"/>
      <c r="Y290" s="846">
        <f>S290</f>
        <v>7500</v>
      </c>
      <c r="Z290" s="581"/>
      <c r="AA290" s="581"/>
      <c r="AB290" s="581"/>
      <c r="AC290" s="581"/>
      <c r="AD290" s="581"/>
      <c r="AE290" s="581"/>
      <c r="AF290" s="581"/>
      <c r="AG290" s="581"/>
      <c r="AH290" s="581"/>
      <c r="AI290" s="581"/>
      <c r="AJ290" s="581"/>
      <c r="AK290" s="581"/>
      <c r="AL290" s="581"/>
      <c r="AM290" s="581"/>
      <c r="AN290" s="581"/>
      <c r="AO290" s="581"/>
      <c r="AP290" s="581"/>
      <c r="AQ290" s="581"/>
      <c r="AR290" s="581"/>
      <c r="AS290" s="581"/>
      <c r="AT290" s="581"/>
      <c r="AU290" s="581"/>
      <c r="AV290" s="581"/>
      <c r="AW290" s="581"/>
      <c r="AX290" s="581"/>
      <c r="AY290" s="581"/>
      <c r="AZ290" s="581"/>
      <c r="BA290" s="581"/>
      <c r="BB290" s="581"/>
      <c r="BC290" s="581"/>
      <c r="BD290" s="120">
        <f t="shared" ref="BD290:BD321" si="253">BG290</f>
        <v>45293.569444444445</v>
      </c>
      <c r="BE290" s="120">
        <f t="shared" ref="BE290:BE321" si="254">BW290</f>
        <v>45304.5</v>
      </c>
      <c r="BF290" s="137">
        <f t="shared" ref="BF290:BF321" si="255">BE290-BD290</f>
        <v>10.930555555554747</v>
      </c>
      <c r="BG290" s="120">
        <f>$BE$157</f>
        <v>45293.569444444445</v>
      </c>
      <c r="BH290" s="120">
        <v>45296.708333333328</v>
      </c>
      <c r="BI290" s="120">
        <f>BH290+(41/24)</f>
        <v>45298.416666666664</v>
      </c>
      <c r="BJ290" s="120">
        <f>BL240+(0.5/24)</f>
        <v>45300.666666666744</v>
      </c>
      <c r="BK290" s="120">
        <f>BJ290+(4/24)</f>
        <v>45300.833333333409</v>
      </c>
      <c r="BL290" s="120">
        <f>BK290+(0.5/24)</f>
        <v>45300.854166666744</v>
      </c>
      <c r="BM290" s="120">
        <f>BL290+(0.5/24)</f>
        <v>45300.87500000008</v>
      </c>
      <c r="BN290" s="120">
        <f>BM290+(41/24)</f>
        <v>45302.583333333416</v>
      </c>
      <c r="BO290" s="120">
        <v>45302.583333333336</v>
      </c>
      <c r="BP290" s="120">
        <v>45302.75</v>
      </c>
      <c r="BQ290" s="124" t="s">
        <v>64</v>
      </c>
      <c r="BR290" s="120">
        <f>BP290+(24/24)</f>
        <v>45303.75</v>
      </c>
      <c r="BS290" s="120">
        <f>BR290+(1/24)</f>
        <v>45303.791666666664</v>
      </c>
      <c r="BT290" s="120">
        <f>BS290+(6/24)</f>
        <v>45304.041666666664</v>
      </c>
      <c r="BU290" s="120">
        <f t="shared" ref="BU290:BV292" si="256">BT290+(0.5/24)</f>
        <v>45304.0625</v>
      </c>
      <c r="BV290" s="120">
        <f t="shared" si="256"/>
        <v>45304.083333333336</v>
      </c>
      <c r="BW290" s="120">
        <f>BV290+(10/24)</f>
        <v>45304.5</v>
      </c>
      <c r="BX290" s="121"/>
      <c r="BY290" s="121"/>
      <c r="BZ290" s="136">
        <f t="shared" ref="BZ290:BZ321" si="257">(BI290-BH290)*24</f>
        <v>41.000000000058208</v>
      </c>
      <c r="CA290" s="136">
        <f t="shared" ref="CA290:CA321" si="258">(BK290-BJ290)*24</f>
        <v>3.9999999999417923</v>
      </c>
      <c r="CB290" s="136">
        <f t="shared" ref="CB290:CB321" si="259">(BN290-BM290)*24</f>
        <v>41.000000000058208</v>
      </c>
      <c r="CC290" s="136">
        <f t="shared" ref="CC290:CC321" si="260">(BR290-BP290)*24</f>
        <v>24</v>
      </c>
      <c r="CD290" s="135">
        <f t="shared" ref="CD290:CD321" si="261">(BT290-BS290)*24</f>
        <v>6</v>
      </c>
      <c r="CE290" s="135">
        <f t="shared" ref="CE290:CE321" si="262">(BW290-BV290)*24</f>
        <v>9.9999999999417923</v>
      </c>
      <c r="CF290" s="134">
        <f t="shared" ref="CF290:CF321" si="263">SUM(BZ290:CE290)/24</f>
        <v>5.25</v>
      </c>
      <c r="CG290" s="134">
        <f t="shared" ref="CG290:CG321" si="264">BF290</f>
        <v>10.930555555554747</v>
      </c>
      <c r="CH290" s="133">
        <f t="shared" ref="CH290:CH321" si="265">CF290/CG290</f>
        <v>0.48030495552735447</v>
      </c>
      <c r="CJ290" s="115"/>
    </row>
    <row r="291" spans="1:88" s="121" customFormat="1">
      <c r="A291" s="125">
        <f t="shared" si="252"/>
        <v>45300.87500000008</v>
      </c>
      <c r="B291" s="121" t="s">
        <v>188</v>
      </c>
      <c r="C291" s="121" t="s">
        <v>229</v>
      </c>
      <c r="D291" s="121" t="s">
        <v>215</v>
      </c>
      <c r="E291" s="253" t="s">
        <v>1515</v>
      </c>
      <c r="F291" s="397" t="s">
        <v>3474</v>
      </c>
      <c r="G291" s="398"/>
      <c r="H291" s="398"/>
      <c r="I291" s="121" t="s">
        <v>231</v>
      </c>
      <c r="K291" s="517" t="s">
        <v>187</v>
      </c>
      <c r="L291" s="121" t="s">
        <v>4102</v>
      </c>
      <c r="M291" s="123"/>
      <c r="N291" s="121" t="s">
        <v>352</v>
      </c>
      <c r="O291" s="121" t="s">
        <v>353</v>
      </c>
      <c r="P291" s="517" t="s">
        <v>240</v>
      </c>
      <c r="Q291" s="122">
        <f>3852*2.4</f>
        <v>9244.7999999999993</v>
      </c>
      <c r="R291" s="122">
        <f>9250+100</f>
        <v>9350</v>
      </c>
      <c r="S291" s="122">
        <v>9250</v>
      </c>
      <c r="T291" s="667"/>
      <c r="U291" s="581"/>
      <c r="V291" s="581"/>
      <c r="W291" s="581"/>
      <c r="X291" s="739"/>
      <c r="Y291" s="846">
        <f>S291</f>
        <v>9250</v>
      </c>
      <c r="Z291" s="581"/>
      <c r="AA291" s="581"/>
      <c r="AB291" s="739"/>
      <c r="AC291" s="581"/>
      <c r="AD291" s="581"/>
      <c r="AE291" s="581"/>
      <c r="AF291" s="581"/>
      <c r="AG291" s="581"/>
      <c r="AH291" s="577"/>
      <c r="AI291" s="577"/>
      <c r="AJ291" s="577"/>
      <c r="AK291" s="115"/>
      <c r="AL291" s="115"/>
      <c r="BD291" s="120">
        <f t="shared" si="253"/>
        <v>45293.739583333336</v>
      </c>
      <c r="BE291" s="120">
        <f t="shared" si="254"/>
        <v>45305.145833333328</v>
      </c>
      <c r="BF291" s="137">
        <f t="shared" si="255"/>
        <v>11.406249999992724</v>
      </c>
      <c r="BG291" s="120">
        <f>$BE$158</f>
        <v>45293.739583333336</v>
      </c>
      <c r="BH291" s="120">
        <v>45296.708333333328</v>
      </c>
      <c r="BI291" s="120">
        <f>BH291+(41/24)</f>
        <v>45298.416666666664</v>
      </c>
      <c r="BJ291" s="120">
        <f>BL290+(0.5/24)</f>
        <v>45300.87500000008</v>
      </c>
      <c r="BK291" s="120">
        <f>BJ291+(4/24)</f>
        <v>45301.041666666744</v>
      </c>
      <c r="BL291" s="120">
        <f>BK291+(0.5/24)</f>
        <v>45301.06250000008</v>
      </c>
      <c r="BM291" s="120">
        <f>BL291+(0.5/24)</f>
        <v>45301.083333333416</v>
      </c>
      <c r="BN291" s="120">
        <f>BM291+(41/24)</f>
        <v>45302.791666666752</v>
      </c>
      <c r="BO291" s="120">
        <v>45303.229166666664</v>
      </c>
      <c r="BP291" s="120">
        <v>45303.395833333328</v>
      </c>
      <c r="BQ291" s="124" t="s">
        <v>64</v>
      </c>
      <c r="BR291" s="120">
        <f>BP291+(24/24)</f>
        <v>45304.395833333328</v>
      </c>
      <c r="BS291" s="120">
        <f>BR291+(1/24)</f>
        <v>45304.437499999993</v>
      </c>
      <c r="BT291" s="120">
        <f>BS291+(6/24)</f>
        <v>45304.687499999993</v>
      </c>
      <c r="BU291" s="120">
        <f t="shared" si="256"/>
        <v>45304.708333333328</v>
      </c>
      <c r="BV291" s="120">
        <f t="shared" si="256"/>
        <v>45304.729166666664</v>
      </c>
      <c r="BW291" s="120">
        <f>BV291+(10/24)</f>
        <v>45305.145833333328</v>
      </c>
      <c r="BZ291" s="136">
        <f t="shared" si="257"/>
        <v>41.000000000058208</v>
      </c>
      <c r="CA291" s="136">
        <f t="shared" si="258"/>
        <v>3.9999999999417923</v>
      </c>
      <c r="CB291" s="136">
        <f t="shared" si="259"/>
        <v>41.000000000058208</v>
      </c>
      <c r="CC291" s="136">
        <f t="shared" si="260"/>
        <v>24</v>
      </c>
      <c r="CD291" s="135">
        <f t="shared" si="261"/>
        <v>6</v>
      </c>
      <c r="CE291" s="135">
        <f t="shared" si="262"/>
        <v>9.9999999999417923</v>
      </c>
      <c r="CF291" s="134">
        <f t="shared" si="263"/>
        <v>5.25</v>
      </c>
      <c r="CG291" s="134">
        <f t="shared" si="264"/>
        <v>11.406249999992724</v>
      </c>
      <c r="CH291" s="133">
        <f t="shared" si="265"/>
        <v>0.46027397260303332</v>
      </c>
      <c r="CI291" s="128"/>
    </row>
    <row r="292" spans="1:88" s="369" customFormat="1">
      <c r="A292" s="125">
        <f t="shared" si="252"/>
        <v>45301.083333333416</v>
      </c>
      <c r="B292" s="138" t="s">
        <v>187</v>
      </c>
      <c r="C292" s="121" t="s">
        <v>229</v>
      </c>
      <c r="D292" s="121" t="s">
        <v>197</v>
      </c>
      <c r="E292" s="253" t="s">
        <v>1515</v>
      </c>
      <c r="F292" s="397" t="s">
        <v>3474</v>
      </c>
      <c r="G292" s="398"/>
      <c r="H292" s="398"/>
      <c r="I292" s="121" t="s">
        <v>231</v>
      </c>
      <c r="J292" s="121"/>
      <c r="K292" s="517" t="s">
        <v>187</v>
      </c>
      <c r="L292" s="121" t="s">
        <v>4102</v>
      </c>
      <c r="M292" s="123"/>
      <c r="N292" s="121" t="s">
        <v>70</v>
      </c>
      <c r="O292" s="121" t="s">
        <v>1982</v>
      </c>
      <c r="P292" s="517" t="s">
        <v>235</v>
      </c>
      <c r="Q292" s="122">
        <f>3142*2.4</f>
        <v>7540.7999999999993</v>
      </c>
      <c r="R292" s="122">
        <f>7550+100</f>
        <v>7650</v>
      </c>
      <c r="S292" s="122">
        <v>7550</v>
      </c>
      <c r="T292" s="667"/>
      <c r="U292" s="581"/>
      <c r="V292" s="581"/>
      <c r="W292" s="581"/>
      <c r="X292" s="723">
        <f>S292</f>
        <v>7550</v>
      </c>
      <c r="Y292" s="581"/>
      <c r="Z292" s="581"/>
      <c r="AA292" s="581"/>
      <c r="AB292" s="581"/>
      <c r="AC292" s="581"/>
      <c r="AD292" s="581"/>
      <c r="AE292" s="667"/>
      <c r="AF292" s="667"/>
      <c r="AG292" s="667"/>
      <c r="AH292" s="667"/>
      <c r="AI292" s="667"/>
      <c r="AJ292" s="667"/>
      <c r="AK292" s="667"/>
      <c r="AL292" s="667"/>
      <c r="AM292" s="128"/>
      <c r="AN292" s="667"/>
      <c r="AO292" s="667"/>
      <c r="AP292" s="667"/>
      <c r="AQ292" s="667"/>
      <c r="AR292" s="667"/>
      <c r="AS292" s="667"/>
      <c r="AT292" s="667"/>
      <c r="AU292" s="667"/>
      <c r="AV292" s="667"/>
      <c r="AW292" s="667"/>
      <c r="AX292" s="121"/>
      <c r="AY292" s="121"/>
      <c r="AZ292" s="121"/>
      <c r="BA292" s="121"/>
      <c r="BB292" s="121"/>
      <c r="BC292" s="121"/>
      <c r="BD292" s="120">
        <f t="shared" si="253"/>
        <v>45294.229166666672</v>
      </c>
      <c r="BE292" s="120">
        <f t="shared" si="254"/>
        <v>45306.145833275463</v>
      </c>
      <c r="BF292" s="137">
        <f t="shared" si="255"/>
        <v>11.916666608791274</v>
      </c>
      <c r="BG292" s="120">
        <f>$BE$166</f>
        <v>45294.229166666672</v>
      </c>
      <c r="BH292" s="120">
        <v>45294.666666666664</v>
      </c>
      <c r="BI292" s="120">
        <f t="shared" ref="BI292:BI352" si="266">BH292+(41/24)</f>
        <v>45296.375</v>
      </c>
      <c r="BJ292" s="120">
        <f t="shared" ref="BJ292:BJ352" si="267">BL291+(0.5/24)</f>
        <v>45301.083333333416</v>
      </c>
      <c r="BK292" s="120">
        <f t="shared" ref="BK292:BK352" si="268">BJ292+(4/24)</f>
        <v>45301.25000000008</v>
      </c>
      <c r="BL292" s="120">
        <f t="shared" ref="BL292:BM292" si="269">BK292+(0.5/24)</f>
        <v>45301.270833333416</v>
      </c>
      <c r="BM292" s="120">
        <f t="shared" si="269"/>
        <v>45301.291666666752</v>
      </c>
      <c r="BN292" s="120">
        <f t="shared" ref="BN292:BN352" si="270">BM292+(41/24)</f>
        <v>45303.000000000087</v>
      </c>
      <c r="BO292" s="120">
        <v>45304.229166608799</v>
      </c>
      <c r="BP292" s="120">
        <v>45304.395833275463</v>
      </c>
      <c r="BQ292" s="124" t="s">
        <v>64</v>
      </c>
      <c r="BR292" s="120">
        <f>BP292+(24/24)</f>
        <v>45305.395833275463</v>
      </c>
      <c r="BS292" s="120">
        <f>BR292+(1/24)</f>
        <v>45305.437499942127</v>
      </c>
      <c r="BT292" s="120">
        <f>BS292+(6/24)</f>
        <v>45305.687499942127</v>
      </c>
      <c r="BU292" s="120">
        <f t="shared" si="256"/>
        <v>45305.708333275463</v>
      </c>
      <c r="BV292" s="120">
        <f t="shared" si="256"/>
        <v>45305.729166608799</v>
      </c>
      <c r="BW292" s="120">
        <f>BV292+(10/24)</f>
        <v>45306.145833275463</v>
      </c>
      <c r="BX292" s="121"/>
      <c r="BY292" s="121"/>
      <c r="BZ292" s="136">
        <f t="shared" si="257"/>
        <v>41.000000000058208</v>
      </c>
      <c r="CA292" s="136">
        <f t="shared" si="258"/>
        <v>3.9999999999417923</v>
      </c>
      <c r="CB292" s="136">
        <f t="shared" si="259"/>
        <v>41.000000000058208</v>
      </c>
      <c r="CC292" s="136">
        <f t="shared" si="260"/>
        <v>24</v>
      </c>
      <c r="CD292" s="135">
        <f t="shared" si="261"/>
        <v>6</v>
      </c>
      <c r="CE292" s="135">
        <f t="shared" si="262"/>
        <v>9.9999999999417923</v>
      </c>
      <c r="CF292" s="134">
        <f t="shared" si="263"/>
        <v>5.25</v>
      </c>
      <c r="CG292" s="134">
        <f t="shared" si="264"/>
        <v>11.916666608791274</v>
      </c>
      <c r="CH292" s="133">
        <f t="shared" si="265"/>
        <v>0.44055944269909514</v>
      </c>
      <c r="CI292" s="121"/>
      <c r="CJ292" s="121"/>
    </row>
    <row r="293" spans="1:88" s="121" customFormat="1">
      <c r="A293" s="125">
        <f t="shared" si="252"/>
        <v>45301.291666666752</v>
      </c>
      <c r="B293" s="138" t="s">
        <v>187</v>
      </c>
      <c r="C293" s="121" t="s">
        <v>229</v>
      </c>
      <c r="D293" s="121" t="s">
        <v>197</v>
      </c>
      <c r="E293" s="253" t="s">
        <v>3245</v>
      </c>
      <c r="F293" s="121" t="s">
        <v>3378</v>
      </c>
      <c r="G293" s="398"/>
      <c r="H293" s="398"/>
      <c r="I293" s="121" t="s">
        <v>469</v>
      </c>
      <c r="K293" s="517" t="s">
        <v>187</v>
      </c>
      <c r="L293" s="121" t="s">
        <v>4103</v>
      </c>
      <c r="M293" s="123"/>
      <c r="N293" s="121" t="s">
        <v>1767</v>
      </c>
      <c r="O293" s="121" t="s">
        <v>2854</v>
      </c>
      <c r="P293" s="517" t="s">
        <v>172</v>
      </c>
      <c r="Q293" s="122">
        <f>3116*2.4</f>
        <v>7478.4</v>
      </c>
      <c r="R293" s="122">
        <f>7500+100</f>
        <v>7600</v>
      </c>
      <c r="S293" s="122">
        <v>7500</v>
      </c>
      <c r="T293" s="122"/>
      <c r="U293" s="739"/>
      <c r="W293" s="739"/>
      <c r="X293" s="739"/>
      <c r="Y293" s="739"/>
      <c r="Z293" s="846">
        <f>S293</f>
        <v>7500</v>
      </c>
      <c r="AA293" s="739"/>
      <c r="AB293" s="581"/>
      <c r="AC293" s="401"/>
      <c r="AD293" s="581"/>
      <c r="AE293" s="581"/>
      <c r="AF293" s="581"/>
      <c r="AG293" s="581"/>
      <c r="AH293" s="581"/>
      <c r="AI293" s="581"/>
      <c r="AJ293" s="581"/>
      <c r="AK293" s="581"/>
      <c r="AL293" s="581"/>
      <c r="AM293" s="581"/>
      <c r="AN293" s="581"/>
      <c r="AO293" s="581"/>
      <c r="AP293" s="581"/>
      <c r="AQ293" s="581"/>
      <c r="AR293" s="115"/>
      <c r="AS293" s="115"/>
      <c r="AT293" s="115"/>
      <c r="AU293" s="115"/>
      <c r="AV293" s="115"/>
      <c r="BD293" s="120">
        <f t="shared" si="253"/>
        <v>45294.791666666672</v>
      </c>
      <c r="BE293" s="120">
        <f t="shared" si="254"/>
        <v>45307.187499942134</v>
      </c>
      <c r="BF293" s="137">
        <f t="shared" si="255"/>
        <v>12.395833275462792</v>
      </c>
      <c r="BG293" s="120">
        <f>$BE$167</f>
        <v>45294.791666666672</v>
      </c>
      <c r="BH293" s="120">
        <v>45294.666666666664</v>
      </c>
      <c r="BI293" s="120">
        <f t="shared" si="266"/>
        <v>45296.375</v>
      </c>
      <c r="BJ293" s="120">
        <f t="shared" si="267"/>
        <v>45301.291666666752</v>
      </c>
      <c r="BK293" s="120">
        <f t="shared" si="268"/>
        <v>45301.458333333416</v>
      </c>
      <c r="BL293" s="120">
        <f t="shared" ref="BL293:BM293" si="271">BK293+(0.5/24)</f>
        <v>45301.479166666752</v>
      </c>
      <c r="BM293" s="120">
        <f t="shared" si="271"/>
        <v>45301.500000000087</v>
      </c>
      <c r="BN293" s="120">
        <f t="shared" si="270"/>
        <v>45303.208333333423</v>
      </c>
      <c r="BO293" s="120">
        <v>45304.229166608799</v>
      </c>
      <c r="BP293" s="120">
        <v>45304.395833275463</v>
      </c>
      <c r="BQ293" s="124" t="s">
        <v>64</v>
      </c>
      <c r="BR293" s="120">
        <f t="shared" ref="BR293:BR297" si="272">BP293+((30+12)/24)</f>
        <v>45306.145833275463</v>
      </c>
      <c r="BS293" s="120">
        <f t="shared" ref="BS293:BS297" si="273">BR293+(1/24)</f>
        <v>45306.187499942127</v>
      </c>
      <c r="BT293" s="120">
        <f t="shared" ref="BT293:BT297" si="274">BS293+(6/24)</f>
        <v>45306.437499942127</v>
      </c>
      <c r="BU293" s="120">
        <f t="shared" ref="BU293:BV293" si="275">BT293+(0.5/24)</f>
        <v>45306.458333275463</v>
      </c>
      <c r="BV293" s="120">
        <f t="shared" si="275"/>
        <v>45306.479166608799</v>
      </c>
      <c r="BW293" s="120">
        <f t="shared" ref="BW293:BW297" si="276">BV293+(17/24)</f>
        <v>45307.187499942134</v>
      </c>
      <c r="BZ293" s="136">
        <f t="shared" si="257"/>
        <v>41.000000000058208</v>
      </c>
      <c r="CA293" s="136">
        <f t="shared" si="258"/>
        <v>3.9999999999417923</v>
      </c>
      <c r="CB293" s="136">
        <f t="shared" si="259"/>
        <v>41.000000000058208</v>
      </c>
      <c r="CC293" s="136">
        <f t="shared" si="260"/>
        <v>42</v>
      </c>
      <c r="CD293" s="135">
        <f t="shared" si="261"/>
        <v>6</v>
      </c>
      <c r="CE293" s="135">
        <f t="shared" si="262"/>
        <v>17.000000000058208</v>
      </c>
      <c r="CF293" s="134">
        <f t="shared" si="263"/>
        <v>6.2916666666715173</v>
      </c>
      <c r="CG293" s="134">
        <f t="shared" si="264"/>
        <v>12.395833275462792</v>
      </c>
      <c r="CH293" s="133">
        <f t="shared" si="265"/>
        <v>0.50756302758005767</v>
      </c>
    </row>
    <row r="294" spans="1:88" s="121" customFormat="1">
      <c r="A294" s="125">
        <f t="shared" si="252"/>
        <v>45301.500000000087</v>
      </c>
      <c r="B294" s="138" t="s">
        <v>187</v>
      </c>
      <c r="C294" s="121" t="s">
        <v>229</v>
      </c>
      <c r="D294" s="121" t="s">
        <v>215</v>
      </c>
      <c r="E294" s="253" t="s">
        <v>3245</v>
      </c>
      <c r="F294" s="121" t="s">
        <v>3378</v>
      </c>
      <c r="G294" s="398"/>
      <c r="H294" s="398"/>
      <c r="I294" s="121" t="s">
        <v>243</v>
      </c>
      <c r="K294" s="517" t="s">
        <v>187</v>
      </c>
      <c r="L294" s="121" t="s">
        <v>4102</v>
      </c>
      <c r="M294" s="123"/>
      <c r="N294" s="121" t="s">
        <v>358</v>
      </c>
      <c r="O294" s="121" t="s">
        <v>359</v>
      </c>
      <c r="P294" s="517" t="s">
        <v>235</v>
      </c>
      <c r="Q294" s="122">
        <f>3852*2.4</f>
        <v>9244.7999999999993</v>
      </c>
      <c r="R294" s="122">
        <v>9250</v>
      </c>
      <c r="S294" s="122">
        <v>9250</v>
      </c>
      <c r="T294" s="667"/>
      <c r="U294" s="581"/>
      <c r="V294" s="739"/>
      <c r="W294" s="581"/>
      <c r="X294" s="723">
        <f>S294</f>
        <v>9250</v>
      </c>
      <c r="Y294" s="581"/>
      <c r="Z294" s="581"/>
      <c r="AA294" s="581"/>
      <c r="AB294" s="739"/>
      <c r="AC294" s="581"/>
      <c r="AD294" s="581"/>
      <c r="AE294" s="739"/>
      <c r="AF294" s="575"/>
      <c r="AG294" s="575"/>
      <c r="AH294" s="575"/>
      <c r="AI294" s="575"/>
      <c r="AJ294" s="115"/>
      <c r="AK294" s="115"/>
      <c r="AL294" s="115"/>
      <c r="AM294" s="115"/>
      <c r="AN294" s="115"/>
      <c r="AO294" s="115"/>
      <c r="AP294" s="115"/>
      <c r="AQ294" s="115"/>
      <c r="BD294" s="120">
        <f t="shared" si="253"/>
        <v>45295</v>
      </c>
      <c r="BE294" s="120">
        <f t="shared" si="254"/>
        <v>45307.187499942134</v>
      </c>
      <c r="BF294" s="137">
        <f t="shared" si="255"/>
        <v>12.187499942134309</v>
      </c>
      <c r="BG294" s="120">
        <f>$BE$176</f>
        <v>45295</v>
      </c>
      <c r="BH294" s="120">
        <v>45294.666666666664</v>
      </c>
      <c r="BI294" s="120">
        <f t="shared" si="266"/>
        <v>45296.375</v>
      </c>
      <c r="BJ294" s="120">
        <f t="shared" si="267"/>
        <v>45301.500000000087</v>
      </c>
      <c r="BK294" s="120">
        <f t="shared" si="268"/>
        <v>45301.666666666752</v>
      </c>
      <c r="BL294" s="120">
        <f t="shared" ref="BL294:BM294" si="277">BK294+(0.5/24)</f>
        <v>45301.687500000087</v>
      </c>
      <c r="BM294" s="120">
        <f t="shared" si="277"/>
        <v>45301.708333333423</v>
      </c>
      <c r="BN294" s="120">
        <f t="shared" si="270"/>
        <v>45303.416666666759</v>
      </c>
      <c r="BO294" s="120">
        <v>45304.229166608799</v>
      </c>
      <c r="BP294" s="120">
        <v>45304.395833275463</v>
      </c>
      <c r="BQ294" s="124" t="s">
        <v>64</v>
      </c>
      <c r="BR294" s="120">
        <f t="shared" si="272"/>
        <v>45306.145833275463</v>
      </c>
      <c r="BS294" s="120">
        <f t="shared" si="273"/>
        <v>45306.187499942127</v>
      </c>
      <c r="BT294" s="120">
        <f t="shared" si="274"/>
        <v>45306.437499942127</v>
      </c>
      <c r="BU294" s="120">
        <f t="shared" ref="BU294:BV294" si="278">BT294+(0.5/24)</f>
        <v>45306.458333275463</v>
      </c>
      <c r="BV294" s="120">
        <f t="shared" si="278"/>
        <v>45306.479166608799</v>
      </c>
      <c r="BW294" s="120">
        <f t="shared" si="276"/>
        <v>45307.187499942134</v>
      </c>
      <c r="BZ294" s="136">
        <f t="shared" si="257"/>
        <v>41.000000000058208</v>
      </c>
      <c r="CA294" s="136">
        <f t="shared" si="258"/>
        <v>3.9999999999417923</v>
      </c>
      <c r="CB294" s="136">
        <f t="shared" si="259"/>
        <v>41.000000000058208</v>
      </c>
      <c r="CC294" s="136">
        <f t="shared" si="260"/>
        <v>42</v>
      </c>
      <c r="CD294" s="135">
        <f t="shared" si="261"/>
        <v>6</v>
      </c>
      <c r="CE294" s="135">
        <f t="shared" si="262"/>
        <v>17.000000000058208</v>
      </c>
      <c r="CF294" s="134">
        <f t="shared" si="263"/>
        <v>6.2916666666715173</v>
      </c>
      <c r="CG294" s="134">
        <f t="shared" si="264"/>
        <v>12.187499942134309</v>
      </c>
      <c r="CH294" s="133">
        <f t="shared" si="265"/>
        <v>0.51623931869079487</v>
      </c>
      <c r="CJ294" s="116"/>
    </row>
    <row r="295" spans="1:88" s="121" customFormat="1">
      <c r="A295" s="125">
        <f t="shared" si="252"/>
        <v>45301.708333333423</v>
      </c>
      <c r="B295" s="138" t="s">
        <v>187</v>
      </c>
      <c r="C295" s="121" t="s">
        <v>229</v>
      </c>
      <c r="D295" s="121" t="s">
        <v>197</v>
      </c>
      <c r="E295" s="253" t="s">
        <v>3245</v>
      </c>
      <c r="F295" s="121" t="s">
        <v>3378</v>
      </c>
      <c r="G295" s="398"/>
      <c r="H295" s="398"/>
      <c r="I295" s="121" t="s">
        <v>243</v>
      </c>
      <c r="K295" s="517" t="s">
        <v>187</v>
      </c>
      <c r="L295" s="121" t="s">
        <v>4102</v>
      </c>
      <c r="M295" s="123"/>
      <c r="N295" s="121" t="s">
        <v>805</v>
      </c>
      <c r="O295" s="121" t="s">
        <v>381</v>
      </c>
      <c r="P295" s="517" t="s">
        <v>235</v>
      </c>
      <c r="Q295" s="122">
        <f>3100*2.4</f>
        <v>7440</v>
      </c>
      <c r="R295" s="122">
        <f>7450+100</f>
        <v>7550</v>
      </c>
      <c r="S295" s="122">
        <v>7500</v>
      </c>
      <c r="T295" s="667"/>
      <c r="U295" s="581"/>
      <c r="V295" s="739"/>
      <c r="W295" s="581"/>
      <c r="X295" s="723">
        <f>S295</f>
        <v>7500</v>
      </c>
      <c r="Y295" s="581"/>
      <c r="Z295" s="581"/>
      <c r="AA295" s="581"/>
      <c r="AB295" s="739"/>
      <c r="AC295" s="581"/>
      <c r="AD295" s="581"/>
      <c r="AE295" s="581"/>
      <c r="AF295" s="667"/>
      <c r="AG295" s="667"/>
      <c r="AH295" s="667"/>
      <c r="AI295" s="667"/>
      <c r="AJ295" s="667"/>
      <c r="AK295" s="667"/>
      <c r="AL295" s="667"/>
      <c r="AM295" s="667"/>
      <c r="AN295" s="667"/>
      <c r="AO295" s="667"/>
      <c r="AP295" s="667"/>
      <c r="AQ295" s="667"/>
      <c r="AR295" s="667"/>
      <c r="AS295" s="667"/>
      <c r="AT295" s="667"/>
      <c r="AU295" s="667"/>
      <c r="AV295" s="667"/>
      <c r="AW295" s="667"/>
      <c r="AX295" s="667"/>
      <c r="AY295" s="667"/>
      <c r="AZ295" s="667"/>
      <c r="BA295" s="667"/>
      <c r="BB295" s="667"/>
      <c r="BC295" s="667"/>
      <c r="BD295" s="120">
        <f t="shared" si="253"/>
        <v>45295.333333333336</v>
      </c>
      <c r="BE295" s="120">
        <f t="shared" si="254"/>
        <v>45307.187499942134</v>
      </c>
      <c r="BF295" s="137">
        <f t="shared" si="255"/>
        <v>11.85416660879855</v>
      </c>
      <c r="BG295" s="120">
        <f>$BE$177</f>
        <v>45295.333333333336</v>
      </c>
      <c r="BH295" s="120">
        <v>45294.666666666664</v>
      </c>
      <c r="BI295" s="120">
        <f t="shared" si="266"/>
        <v>45296.375</v>
      </c>
      <c r="BJ295" s="120">
        <f t="shared" si="267"/>
        <v>45301.708333333423</v>
      </c>
      <c r="BK295" s="120">
        <f t="shared" si="268"/>
        <v>45301.875000000087</v>
      </c>
      <c r="BL295" s="120">
        <f t="shared" ref="BL295:BM295" si="279">BK295+(0.5/24)</f>
        <v>45301.895833333423</v>
      </c>
      <c r="BM295" s="120">
        <f t="shared" si="279"/>
        <v>45301.916666666759</v>
      </c>
      <c r="BN295" s="120">
        <f t="shared" si="270"/>
        <v>45303.625000000095</v>
      </c>
      <c r="BO295" s="120">
        <v>45304.229166608799</v>
      </c>
      <c r="BP295" s="120">
        <v>45304.395833275463</v>
      </c>
      <c r="BQ295" s="124" t="s">
        <v>64</v>
      </c>
      <c r="BR295" s="120">
        <f t="shared" si="272"/>
        <v>45306.145833275463</v>
      </c>
      <c r="BS295" s="120">
        <f t="shared" si="273"/>
        <v>45306.187499942127</v>
      </c>
      <c r="BT295" s="120">
        <f t="shared" si="274"/>
        <v>45306.437499942127</v>
      </c>
      <c r="BU295" s="120">
        <f t="shared" ref="BU295:BV295" si="280">BT295+(0.5/24)</f>
        <v>45306.458333275463</v>
      </c>
      <c r="BV295" s="120">
        <f t="shared" si="280"/>
        <v>45306.479166608799</v>
      </c>
      <c r="BW295" s="120">
        <f t="shared" si="276"/>
        <v>45307.187499942134</v>
      </c>
      <c r="BZ295" s="136">
        <f t="shared" si="257"/>
        <v>41.000000000058208</v>
      </c>
      <c r="CA295" s="136">
        <f t="shared" si="258"/>
        <v>3.9999999999417923</v>
      </c>
      <c r="CB295" s="136">
        <f t="shared" si="259"/>
        <v>41.000000000058208</v>
      </c>
      <c r="CC295" s="136">
        <f t="shared" si="260"/>
        <v>42</v>
      </c>
      <c r="CD295" s="135">
        <f t="shared" si="261"/>
        <v>6</v>
      </c>
      <c r="CE295" s="135">
        <f t="shared" si="262"/>
        <v>17.000000000058208</v>
      </c>
      <c r="CF295" s="134">
        <f t="shared" si="263"/>
        <v>6.2916666666715173</v>
      </c>
      <c r="CG295" s="134">
        <f t="shared" si="264"/>
        <v>11.85416660879855</v>
      </c>
      <c r="CH295" s="133">
        <f t="shared" si="265"/>
        <v>0.53075571436642677</v>
      </c>
    </row>
    <row r="296" spans="1:88" s="121" customFormat="1">
      <c r="A296" s="125">
        <f t="shared" si="252"/>
        <v>45301.916666666759</v>
      </c>
      <c r="B296" s="138" t="s">
        <v>187</v>
      </c>
      <c r="C296" s="121" t="s">
        <v>229</v>
      </c>
      <c r="D296" s="121" t="s">
        <v>197</v>
      </c>
      <c r="E296" s="253" t="s">
        <v>3245</v>
      </c>
      <c r="F296" s="121" t="s">
        <v>3378</v>
      </c>
      <c r="G296" s="398"/>
      <c r="H296" s="398"/>
      <c r="I296" s="121" t="s">
        <v>243</v>
      </c>
      <c r="K296" s="517" t="s">
        <v>187</v>
      </c>
      <c r="L296" s="121" t="s">
        <v>4102</v>
      </c>
      <c r="M296" s="123"/>
      <c r="N296" s="121" t="s">
        <v>1848</v>
      </c>
      <c r="O296" s="121" t="s">
        <v>3786</v>
      </c>
      <c r="P296" s="517" t="s">
        <v>235</v>
      </c>
      <c r="Q296" s="122">
        <f>3084*2.4</f>
        <v>7401.5999999999995</v>
      </c>
      <c r="R296" s="122">
        <f>7450+100</f>
        <v>7550</v>
      </c>
      <c r="S296" s="122">
        <v>7450</v>
      </c>
      <c r="T296" s="131"/>
      <c r="U296" s="581"/>
      <c r="V296" s="739"/>
      <c r="W296" s="581"/>
      <c r="X296" s="1142">
        <f>S296</f>
        <v>7450</v>
      </c>
      <c r="Y296" s="581"/>
      <c r="Z296" s="581"/>
      <c r="AA296" s="581"/>
      <c r="AB296" s="739"/>
      <c r="AC296" s="401"/>
      <c r="AD296" s="581"/>
      <c r="AE296" s="115"/>
      <c r="AF296" s="581"/>
      <c r="AG296" s="581"/>
      <c r="AH296" s="581"/>
      <c r="AI296" s="581"/>
      <c r="AJ296" s="581"/>
      <c r="AK296" s="581"/>
      <c r="AL296" s="272"/>
      <c r="AO296" s="128"/>
      <c r="BD296" s="120">
        <f t="shared" si="253"/>
        <v>45295.5</v>
      </c>
      <c r="BE296" s="120">
        <f t="shared" si="254"/>
        <v>45307.187499942134</v>
      </c>
      <c r="BF296" s="137">
        <f t="shared" si="255"/>
        <v>11.687499942134309</v>
      </c>
      <c r="BG296" s="120">
        <f>$BE$200</f>
        <v>45295.5</v>
      </c>
      <c r="BH296" s="120">
        <v>45294.666666666664</v>
      </c>
      <c r="BI296" s="120">
        <f t="shared" si="266"/>
        <v>45296.375</v>
      </c>
      <c r="BJ296" s="120">
        <f t="shared" si="267"/>
        <v>45301.916666666759</v>
      </c>
      <c r="BK296" s="120">
        <f t="shared" si="268"/>
        <v>45302.083333333423</v>
      </c>
      <c r="BL296" s="120">
        <f t="shared" ref="BL296:BM296" si="281">BK296+(0.5/24)</f>
        <v>45302.104166666759</v>
      </c>
      <c r="BM296" s="120">
        <f t="shared" si="281"/>
        <v>45302.125000000095</v>
      </c>
      <c r="BN296" s="120">
        <f t="shared" si="270"/>
        <v>45303.83333333343</v>
      </c>
      <c r="BO296" s="120">
        <v>45304.229166608799</v>
      </c>
      <c r="BP296" s="120">
        <v>45304.395833275463</v>
      </c>
      <c r="BQ296" s="124" t="s">
        <v>64</v>
      </c>
      <c r="BR296" s="120">
        <f t="shared" si="272"/>
        <v>45306.145833275463</v>
      </c>
      <c r="BS296" s="120">
        <f t="shared" si="273"/>
        <v>45306.187499942127</v>
      </c>
      <c r="BT296" s="120">
        <f t="shared" si="274"/>
        <v>45306.437499942127</v>
      </c>
      <c r="BU296" s="120">
        <f t="shared" ref="BU296:BV296" si="282">BT296+(0.5/24)</f>
        <v>45306.458333275463</v>
      </c>
      <c r="BV296" s="120">
        <f t="shared" si="282"/>
        <v>45306.479166608799</v>
      </c>
      <c r="BW296" s="120">
        <f t="shared" si="276"/>
        <v>45307.187499942134</v>
      </c>
      <c r="BZ296" s="136">
        <f t="shared" si="257"/>
        <v>41.000000000058208</v>
      </c>
      <c r="CA296" s="136">
        <f t="shared" si="258"/>
        <v>3.9999999999417923</v>
      </c>
      <c r="CB296" s="136">
        <f t="shared" si="259"/>
        <v>41.000000000058208</v>
      </c>
      <c r="CC296" s="136">
        <f t="shared" si="260"/>
        <v>42</v>
      </c>
      <c r="CD296" s="135">
        <f t="shared" si="261"/>
        <v>6</v>
      </c>
      <c r="CE296" s="135">
        <f t="shared" si="262"/>
        <v>17.000000000058208</v>
      </c>
      <c r="CF296" s="134">
        <f t="shared" si="263"/>
        <v>6.2916666666715173</v>
      </c>
      <c r="CG296" s="134">
        <f t="shared" si="264"/>
        <v>11.687499942134309</v>
      </c>
      <c r="CH296" s="133">
        <f t="shared" si="265"/>
        <v>0.53832442334306152</v>
      </c>
      <c r="CI296" s="115"/>
    </row>
    <row r="297" spans="1:88" s="121" customFormat="1">
      <c r="A297" s="125">
        <f t="shared" si="252"/>
        <v>45302.125000000095</v>
      </c>
      <c r="B297" s="138" t="s">
        <v>187</v>
      </c>
      <c r="C297" s="121" t="s">
        <v>229</v>
      </c>
      <c r="D297" s="121" t="s">
        <v>197</v>
      </c>
      <c r="E297" s="253" t="s">
        <v>3245</v>
      </c>
      <c r="F297" s="121" t="s">
        <v>3378</v>
      </c>
      <c r="G297" s="398"/>
      <c r="H297" s="398"/>
      <c r="I297" s="121" t="s">
        <v>243</v>
      </c>
      <c r="K297" s="517" t="s">
        <v>187</v>
      </c>
      <c r="L297" s="121" t="s">
        <v>4102</v>
      </c>
      <c r="M297" s="123"/>
      <c r="N297" s="121" t="s">
        <v>383</v>
      </c>
      <c r="O297" s="121" t="s">
        <v>384</v>
      </c>
      <c r="P297" s="517" t="s">
        <v>235</v>
      </c>
      <c r="Q297" s="122">
        <f>2205*2.4</f>
        <v>5292</v>
      </c>
      <c r="R297" s="122">
        <f>5300+100</f>
        <v>5400</v>
      </c>
      <c r="S297" s="122">
        <v>5300</v>
      </c>
      <c r="T297" s="667"/>
      <c r="U297" s="581"/>
      <c r="V297" s="739"/>
      <c r="W297" s="581"/>
      <c r="X297" s="846">
        <f>S297</f>
        <v>5300</v>
      </c>
      <c r="Y297" s="581"/>
      <c r="Z297" s="581"/>
      <c r="AA297" s="581"/>
      <c r="AB297" s="739"/>
      <c r="AC297" s="581"/>
      <c r="AD297" s="581"/>
      <c r="AE297" s="581"/>
      <c r="AF297" s="581"/>
      <c r="AG297" s="581"/>
      <c r="AH297" s="581"/>
      <c r="AI297" s="581"/>
      <c r="AJ297" s="581"/>
      <c r="AK297" s="581"/>
      <c r="AL297" s="401"/>
      <c r="AM297" s="401"/>
      <c r="AN297" s="401"/>
      <c r="AO297" s="401"/>
      <c r="AP297" s="401"/>
      <c r="AQ297" s="401"/>
      <c r="AR297" s="401"/>
      <c r="AS297" s="401"/>
      <c r="AT297" s="401"/>
      <c r="AU297" s="401"/>
      <c r="BD297" s="120">
        <f t="shared" si="253"/>
        <v>45295.666666666664</v>
      </c>
      <c r="BE297" s="120">
        <f t="shared" si="254"/>
        <v>45308.187499942134</v>
      </c>
      <c r="BF297" s="137">
        <f t="shared" si="255"/>
        <v>12.520833275470068</v>
      </c>
      <c r="BG297" s="120">
        <f>$BE$169</f>
        <v>45295.666666666664</v>
      </c>
      <c r="BH297" s="120">
        <v>45294.666666666664</v>
      </c>
      <c r="BI297" s="120">
        <f t="shared" si="266"/>
        <v>45296.375</v>
      </c>
      <c r="BJ297" s="120">
        <f t="shared" si="267"/>
        <v>45302.125000000095</v>
      </c>
      <c r="BK297" s="120">
        <f t="shared" si="268"/>
        <v>45302.291666666759</v>
      </c>
      <c r="BL297" s="120">
        <f t="shared" ref="BL297:BM297" si="283">BK297+(0.5/24)</f>
        <v>45302.312500000095</v>
      </c>
      <c r="BM297" s="120">
        <f t="shared" si="283"/>
        <v>45302.33333333343</v>
      </c>
      <c r="BN297" s="120">
        <f t="shared" si="270"/>
        <v>45304.041666666766</v>
      </c>
      <c r="BO297" s="120">
        <v>45305.229166608799</v>
      </c>
      <c r="BP297" s="120">
        <v>45305.395833275463</v>
      </c>
      <c r="BQ297" s="124" t="s">
        <v>64</v>
      </c>
      <c r="BR297" s="120">
        <f t="shared" si="272"/>
        <v>45307.145833275463</v>
      </c>
      <c r="BS297" s="120">
        <f t="shared" si="273"/>
        <v>45307.187499942127</v>
      </c>
      <c r="BT297" s="120">
        <f t="shared" si="274"/>
        <v>45307.437499942127</v>
      </c>
      <c r="BU297" s="120">
        <f t="shared" ref="BU297:BV297" si="284">BT297+(0.5/24)</f>
        <v>45307.458333275463</v>
      </c>
      <c r="BV297" s="120">
        <f t="shared" si="284"/>
        <v>45307.479166608799</v>
      </c>
      <c r="BW297" s="120">
        <f t="shared" si="276"/>
        <v>45308.187499942134</v>
      </c>
      <c r="BZ297" s="136">
        <f t="shared" si="257"/>
        <v>41.000000000058208</v>
      </c>
      <c r="CA297" s="136">
        <f t="shared" si="258"/>
        <v>3.9999999999417923</v>
      </c>
      <c r="CB297" s="136">
        <f t="shared" si="259"/>
        <v>41.000000000058208</v>
      </c>
      <c r="CC297" s="136">
        <f t="shared" si="260"/>
        <v>42</v>
      </c>
      <c r="CD297" s="135">
        <f t="shared" si="261"/>
        <v>6</v>
      </c>
      <c r="CE297" s="135">
        <f t="shared" si="262"/>
        <v>17.000000000058208</v>
      </c>
      <c r="CF297" s="134">
        <f t="shared" si="263"/>
        <v>6.2916666666715173</v>
      </c>
      <c r="CG297" s="134">
        <f t="shared" si="264"/>
        <v>12.520833275470068</v>
      </c>
      <c r="CH297" s="133">
        <f t="shared" si="265"/>
        <v>0.50249584258882407</v>
      </c>
    </row>
    <row r="298" spans="1:88" s="128" customFormat="1">
      <c r="A298" s="125">
        <f t="shared" si="252"/>
        <v>45302.33333333343</v>
      </c>
      <c r="B298" s="138" t="s">
        <v>187</v>
      </c>
      <c r="C298" s="121" t="s">
        <v>229</v>
      </c>
      <c r="D298" s="121" t="s">
        <v>215</v>
      </c>
      <c r="E298" s="253" t="s">
        <v>3245</v>
      </c>
      <c r="F298" s="121" t="s">
        <v>3378</v>
      </c>
      <c r="G298" s="398"/>
      <c r="H298" s="398"/>
      <c r="I298" s="121" t="s">
        <v>243</v>
      </c>
      <c r="J298" s="121"/>
      <c r="K298" s="517" t="s">
        <v>187</v>
      </c>
      <c r="L298" s="121" t="s">
        <v>4102</v>
      </c>
      <c r="M298" s="123"/>
      <c r="N298" s="121" t="s">
        <v>399</v>
      </c>
      <c r="O298" s="121" t="s">
        <v>275</v>
      </c>
      <c r="P298" s="517" t="s">
        <v>235</v>
      </c>
      <c r="Q298" s="122">
        <f>3097*2.4</f>
        <v>7432.7999999999993</v>
      </c>
      <c r="R298" s="122">
        <f>7450+100</f>
        <v>7550</v>
      </c>
      <c r="S298" s="122">
        <v>7500</v>
      </c>
      <c r="T298" s="667"/>
      <c r="U298" s="581"/>
      <c r="V298" s="739"/>
      <c r="W298" s="581"/>
      <c r="X298" s="846">
        <f t="shared" ref="X298:X300" si="285">S298</f>
        <v>7500</v>
      </c>
      <c r="Y298" s="581"/>
      <c r="Z298" s="581"/>
      <c r="AA298" s="581"/>
      <c r="AB298" s="739"/>
      <c r="AC298" s="581"/>
      <c r="AD298" s="581"/>
      <c r="AE298" s="739"/>
      <c r="AF298" s="581"/>
      <c r="AG298" s="575"/>
      <c r="AH298" s="575"/>
      <c r="AI298" s="575"/>
      <c r="AJ298" s="121"/>
      <c r="AK298" s="121"/>
      <c r="AL298" s="121"/>
      <c r="AM298" s="121"/>
      <c r="AN298" s="121"/>
      <c r="AO298" s="121"/>
      <c r="AP298" s="121"/>
      <c r="AQ298" s="121"/>
      <c r="AR298" s="121"/>
      <c r="AS298" s="121"/>
      <c r="AT298" s="121"/>
      <c r="AU298" s="121"/>
      <c r="AV298" s="121"/>
      <c r="AW298" s="121"/>
      <c r="AX298" s="121"/>
      <c r="AY298" s="121"/>
      <c r="AZ298" s="121"/>
      <c r="BA298" s="121"/>
      <c r="BB298" s="121"/>
      <c r="BC298" s="121"/>
      <c r="BD298" s="120">
        <f t="shared" si="253"/>
        <v>45295.666666666664</v>
      </c>
      <c r="BE298" s="120">
        <f t="shared" si="254"/>
        <v>45308.187499942134</v>
      </c>
      <c r="BF298" s="137">
        <f t="shared" si="255"/>
        <v>12.520833275470068</v>
      </c>
      <c r="BG298" s="120">
        <f>$BE$175</f>
        <v>45295.666666666664</v>
      </c>
      <c r="BH298" s="120">
        <v>45294.666666666664</v>
      </c>
      <c r="BI298" s="120">
        <f t="shared" si="266"/>
        <v>45296.375</v>
      </c>
      <c r="BJ298" s="120">
        <f t="shared" si="267"/>
        <v>45302.33333333343</v>
      </c>
      <c r="BK298" s="120">
        <f t="shared" si="268"/>
        <v>45302.500000000095</v>
      </c>
      <c r="BL298" s="120">
        <f t="shared" ref="BL298:BM298" si="286">BK298+(0.5/24)</f>
        <v>45302.52083333343</v>
      </c>
      <c r="BM298" s="120">
        <f t="shared" si="286"/>
        <v>45302.541666666766</v>
      </c>
      <c r="BN298" s="120">
        <f t="shared" si="270"/>
        <v>45304.250000000102</v>
      </c>
      <c r="BO298" s="120">
        <v>45305.229166608799</v>
      </c>
      <c r="BP298" s="120">
        <v>45305.395833275463</v>
      </c>
      <c r="BQ298" s="124" t="s">
        <v>64</v>
      </c>
      <c r="BR298" s="120">
        <f>BP298+((30+12)/24)</f>
        <v>45307.145833275463</v>
      </c>
      <c r="BS298" s="120">
        <f>BR298+(1/24)</f>
        <v>45307.187499942127</v>
      </c>
      <c r="BT298" s="120">
        <f>BS298+(6/24)</f>
        <v>45307.437499942127</v>
      </c>
      <c r="BU298" s="120">
        <f>BT298+(0.5/24)</f>
        <v>45307.458333275463</v>
      </c>
      <c r="BV298" s="120">
        <f>BU298+(0.5/24)</f>
        <v>45307.479166608799</v>
      </c>
      <c r="BW298" s="120">
        <f>BV298+(17/24)</f>
        <v>45308.187499942134</v>
      </c>
      <c r="BX298" s="121"/>
      <c r="BY298" s="121"/>
      <c r="BZ298" s="136">
        <f t="shared" si="257"/>
        <v>41.000000000058208</v>
      </c>
      <c r="CA298" s="136">
        <f t="shared" si="258"/>
        <v>3.9999999999417923</v>
      </c>
      <c r="CB298" s="136">
        <f t="shared" si="259"/>
        <v>41.000000000058208</v>
      </c>
      <c r="CC298" s="136">
        <f t="shared" si="260"/>
        <v>42</v>
      </c>
      <c r="CD298" s="135">
        <f t="shared" si="261"/>
        <v>6</v>
      </c>
      <c r="CE298" s="135">
        <f t="shared" si="262"/>
        <v>17.000000000058208</v>
      </c>
      <c r="CF298" s="134">
        <f t="shared" si="263"/>
        <v>6.2916666666715173</v>
      </c>
      <c r="CG298" s="134">
        <f t="shared" si="264"/>
        <v>12.520833275470068</v>
      </c>
      <c r="CH298" s="133">
        <f t="shared" si="265"/>
        <v>0.50249584258882407</v>
      </c>
      <c r="CI298" s="121"/>
      <c r="CJ298" s="121"/>
    </row>
    <row r="299" spans="1:88" s="121" customFormat="1">
      <c r="A299" s="125">
        <f t="shared" si="252"/>
        <v>45302.541666666766</v>
      </c>
      <c r="B299" s="138" t="s">
        <v>187</v>
      </c>
      <c r="C299" s="121" t="s">
        <v>229</v>
      </c>
      <c r="D299" s="121" t="s">
        <v>197</v>
      </c>
      <c r="E299" s="253" t="s">
        <v>3245</v>
      </c>
      <c r="F299" s="121" t="s">
        <v>3378</v>
      </c>
      <c r="G299" s="398"/>
      <c r="H299" s="398"/>
      <c r="I299" s="121" t="s">
        <v>243</v>
      </c>
      <c r="K299" s="517" t="s">
        <v>187</v>
      </c>
      <c r="L299" s="121" t="s">
        <v>4102</v>
      </c>
      <c r="M299" s="123"/>
      <c r="N299" s="121" t="s">
        <v>2207</v>
      </c>
      <c r="O299" s="121" t="s">
        <v>2208</v>
      </c>
      <c r="P299" s="517" t="s">
        <v>235</v>
      </c>
      <c r="Q299" s="122">
        <f>3031*2.4</f>
        <v>7274.4</v>
      </c>
      <c r="R299" s="122">
        <f>7300+100</f>
        <v>7400</v>
      </c>
      <c r="S299" s="122">
        <v>7300</v>
      </c>
      <c r="T299" s="399"/>
      <c r="U299" s="581"/>
      <c r="V299" s="739"/>
      <c r="W299" s="581"/>
      <c r="X299" s="846">
        <f t="shared" si="285"/>
        <v>7300</v>
      </c>
      <c r="Y299" s="581"/>
      <c r="Z299" s="581"/>
      <c r="AA299" s="581"/>
      <c r="AB299" s="739"/>
      <c r="AC299" s="581"/>
      <c r="AD299" s="581"/>
      <c r="AE299" s="581"/>
      <c r="AF299" s="115"/>
      <c r="AG299" s="115"/>
      <c r="AH299" s="115"/>
      <c r="AI299" s="272"/>
      <c r="AJ299" s="272"/>
      <c r="AK299" s="272"/>
      <c r="AL299" s="272"/>
      <c r="BD299" s="120">
        <f t="shared" si="253"/>
        <v>45295.666666666672</v>
      </c>
      <c r="BE299" s="120">
        <f t="shared" si="254"/>
        <v>45308.187499942134</v>
      </c>
      <c r="BF299" s="137">
        <f t="shared" si="255"/>
        <v>12.520833275462792</v>
      </c>
      <c r="BG299" s="120">
        <f>$BE$178</f>
        <v>45295.666666666672</v>
      </c>
      <c r="BH299" s="120">
        <v>45294.666666666664</v>
      </c>
      <c r="BI299" s="120">
        <f t="shared" si="266"/>
        <v>45296.375</v>
      </c>
      <c r="BJ299" s="120">
        <f t="shared" si="267"/>
        <v>45302.541666666766</v>
      </c>
      <c r="BK299" s="120">
        <f t="shared" si="268"/>
        <v>45302.70833333343</v>
      </c>
      <c r="BL299" s="120">
        <f t="shared" ref="BL299:BM299" si="287">BK299+(0.5/24)</f>
        <v>45302.729166666766</v>
      </c>
      <c r="BM299" s="120">
        <f t="shared" si="287"/>
        <v>45302.750000000102</v>
      </c>
      <c r="BN299" s="120">
        <f t="shared" si="270"/>
        <v>45304.458333333438</v>
      </c>
      <c r="BO299" s="120">
        <v>45305.229166608799</v>
      </c>
      <c r="BP299" s="120">
        <v>45305.395833275463</v>
      </c>
      <c r="BQ299" s="124" t="s">
        <v>64</v>
      </c>
      <c r="BR299" s="120">
        <f t="shared" ref="BR299" si="288">BP299+((30+12)/24)</f>
        <v>45307.145833275463</v>
      </c>
      <c r="BS299" s="120">
        <f t="shared" ref="BS299:BS306" si="289">BR299+(1/24)</f>
        <v>45307.187499942127</v>
      </c>
      <c r="BT299" s="120">
        <f t="shared" ref="BT299:BT306" si="290">BS299+(6/24)</f>
        <v>45307.437499942127</v>
      </c>
      <c r="BU299" s="120">
        <f t="shared" ref="BU299:BV299" si="291">BT299+(0.5/24)</f>
        <v>45307.458333275463</v>
      </c>
      <c r="BV299" s="120">
        <f t="shared" si="291"/>
        <v>45307.479166608799</v>
      </c>
      <c r="BW299" s="120">
        <f t="shared" ref="BW299" si="292">BV299+(17/24)</f>
        <v>45308.187499942134</v>
      </c>
      <c r="BZ299" s="136">
        <f t="shared" si="257"/>
        <v>41.000000000058208</v>
      </c>
      <c r="CA299" s="136">
        <f t="shared" si="258"/>
        <v>3.9999999999417923</v>
      </c>
      <c r="CB299" s="136">
        <f t="shared" si="259"/>
        <v>41.000000000058208</v>
      </c>
      <c r="CC299" s="136">
        <f t="shared" si="260"/>
        <v>42</v>
      </c>
      <c r="CD299" s="135">
        <f t="shared" si="261"/>
        <v>6</v>
      </c>
      <c r="CE299" s="135">
        <f t="shared" si="262"/>
        <v>17.000000000058208</v>
      </c>
      <c r="CF299" s="134">
        <f t="shared" si="263"/>
        <v>6.2916666666715173</v>
      </c>
      <c r="CG299" s="134">
        <f t="shared" si="264"/>
        <v>12.520833275462792</v>
      </c>
      <c r="CH299" s="133">
        <f t="shared" si="265"/>
        <v>0.50249584258911606</v>
      </c>
    </row>
    <row r="300" spans="1:88" s="121" customFormat="1">
      <c r="A300" s="125">
        <f t="shared" si="252"/>
        <v>45302.750000000102</v>
      </c>
      <c r="B300" s="138" t="s">
        <v>187</v>
      </c>
      <c r="C300" s="121" t="s">
        <v>229</v>
      </c>
      <c r="D300" s="121" t="s">
        <v>197</v>
      </c>
      <c r="E300" s="253" t="s">
        <v>4104</v>
      </c>
      <c r="F300" s="121" t="s">
        <v>3378</v>
      </c>
      <c r="G300" s="398"/>
      <c r="H300" s="398"/>
      <c r="I300" s="121" t="s">
        <v>231</v>
      </c>
      <c r="K300" s="517" t="s">
        <v>187</v>
      </c>
      <c r="L300" s="121" t="s">
        <v>4102</v>
      </c>
      <c r="M300" s="123"/>
      <c r="N300" s="121" t="s">
        <v>2388</v>
      </c>
      <c r="O300" s="121" t="s">
        <v>289</v>
      </c>
      <c r="P300" s="517" t="s">
        <v>235</v>
      </c>
      <c r="Q300" s="122">
        <f>3107*2.4</f>
        <v>7456.7999999999993</v>
      </c>
      <c r="R300" s="122">
        <f>7500+100</f>
        <v>7600</v>
      </c>
      <c r="S300" s="122">
        <v>7500</v>
      </c>
      <c r="T300" s="122"/>
      <c r="U300" s="739"/>
      <c r="V300" s="739"/>
      <c r="W300" s="739"/>
      <c r="X300" s="846">
        <f t="shared" si="285"/>
        <v>7500</v>
      </c>
      <c r="Y300" s="739"/>
      <c r="Z300" s="739"/>
      <c r="AA300" s="739"/>
      <c r="AB300" s="581"/>
      <c r="AC300" s="581"/>
      <c r="AD300" s="581"/>
      <c r="AE300" s="581"/>
      <c r="AF300" s="581"/>
      <c r="AG300" s="581"/>
      <c r="AH300" s="401"/>
      <c r="AI300" s="401"/>
      <c r="AJ300" s="401"/>
      <c r="AK300" s="401"/>
      <c r="AL300" s="401"/>
      <c r="AM300" s="401"/>
      <c r="AN300" s="401"/>
      <c r="AO300" s="401"/>
      <c r="AP300" s="401"/>
      <c r="AQ300" s="401"/>
      <c r="AR300" s="401"/>
      <c r="AS300" s="401"/>
      <c r="AT300" s="401"/>
      <c r="AU300" s="401"/>
      <c r="AV300" s="401"/>
      <c r="AW300" s="401"/>
      <c r="AX300" s="401"/>
      <c r="AY300" s="401"/>
      <c r="AZ300" s="401"/>
      <c r="BA300" s="401"/>
      <c r="BB300" s="401"/>
      <c r="BC300" s="401"/>
      <c r="BD300" s="120">
        <f t="shared" si="253"/>
        <v>45295.833333333336</v>
      </c>
      <c r="BE300" s="120">
        <f t="shared" si="254"/>
        <v>45307.145833275463</v>
      </c>
      <c r="BF300" s="137">
        <f t="shared" si="255"/>
        <v>11.312499942127033</v>
      </c>
      <c r="BG300" s="120">
        <f>$BE$199</f>
        <v>45295.833333333336</v>
      </c>
      <c r="BH300" s="120">
        <v>45294.666666666664</v>
      </c>
      <c r="BI300" s="120">
        <f t="shared" si="266"/>
        <v>45296.375</v>
      </c>
      <c r="BJ300" s="120">
        <f t="shared" si="267"/>
        <v>45302.750000000102</v>
      </c>
      <c r="BK300" s="120">
        <f t="shared" si="268"/>
        <v>45302.916666666766</v>
      </c>
      <c r="BL300" s="120">
        <f t="shared" ref="BL300:BM300" si="293">BK300+(0.5/24)</f>
        <v>45302.937500000102</v>
      </c>
      <c r="BM300" s="120">
        <f t="shared" si="293"/>
        <v>45302.958333333438</v>
      </c>
      <c r="BN300" s="120">
        <f t="shared" si="270"/>
        <v>45304.666666666773</v>
      </c>
      <c r="BO300" s="120">
        <v>45305.229166608799</v>
      </c>
      <c r="BP300" s="120">
        <v>45305.395833275463</v>
      </c>
      <c r="BQ300" s="124" t="s">
        <v>64</v>
      </c>
      <c r="BR300" s="120">
        <f t="shared" ref="BR300:BR306" si="294">BP300+(24/24)</f>
        <v>45306.395833275463</v>
      </c>
      <c r="BS300" s="120">
        <f t="shared" si="289"/>
        <v>45306.437499942127</v>
      </c>
      <c r="BT300" s="120">
        <f t="shared" si="290"/>
        <v>45306.687499942127</v>
      </c>
      <c r="BU300" s="120">
        <f t="shared" ref="BU300:BV300" si="295">BT300+(0.5/24)</f>
        <v>45306.708333275463</v>
      </c>
      <c r="BV300" s="120">
        <f t="shared" si="295"/>
        <v>45306.729166608799</v>
      </c>
      <c r="BW300" s="120">
        <f t="shared" ref="BW300:BW306" si="296">BV300+(10/24)</f>
        <v>45307.145833275463</v>
      </c>
      <c r="BZ300" s="136">
        <f t="shared" si="257"/>
        <v>41.000000000058208</v>
      </c>
      <c r="CA300" s="136">
        <f t="shared" si="258"/>
        <v>3.9999999999417923</v>
      </c>
      <c r="CB300" s="136">
        <f t="shared" si="259"/>
        <v>41.000000000058208</v>
      </c>
      <c r="CC300" s="136">
        <f t="shared" si="260"/>
        <v>24</v>
      </c>
      <c r="CD300" s="135">
        <f t="shared" si="261"/>
        <v>6</v>
      </c>
      <c r="CE300" s="135">
        <f t="shared" si="262"/>
        <v>9.9999999999417923</v>
      </c>
      <c r="CF300" s="134">
        <f t="shared" si="263"/>
        <v>5.25</v>
      </c>
      <c r="CG300" s="134">
        <f t="shared" si="264"/>
        <v>11.312499942127033</v>
      </c>
      <c r="CH300" s="133">
        <f t="shared" si="265"/>
        <v>0.46408840016425834</v>
      </c>
    </row>
    <row r="301" spans="1:88">
      <c r="A301" s="125">
        <f t="shared" si="252"/>
        <v>45302.958333333438</v>
      </c>
      <c r="B301" s="138" t="s">
        <v>187</v>
      </c>
      <c r="C301" s="121" t="s">
        <v>229</v>
      </c>
      <c r="D301" s="121" t="s">
        <v>215</v>
      </c>
      <c r="E301" s="253" t="s">
        <v>4104</v>
      </c>
      <c r="F301" s="121" t="s">
        <v>3378</v>
      </c>
      <c r="G301" s="398"/>
      <c r="H301" s="398"/>
      <c r="I301" s="121" t="s">
        <v>490</v>
      </c>
      <c r="J301" s="121"/>
      <c r="K301" s="517" t="s">
        <v>187</v>
      </c>
      <c r="L301" s="121" t="s">
        <v>4105</v>
      </c>
      <c r="M301" s="123"/>
      <c r="N301" s="121" t="s">
        <v>271</v>
      </c>
      <c r="O301" s="121" t="s">
        <v>272</v>
      </c>
      <c r="P301" s="517" t="s">
        <v>494</v>
      </c>
      <c r="Q301" s="122">
        <f>3852*2.4</f>
        <v>9244.7999999999993</v>
      </c>
      <c r="R301" s="122">
        <f>9250+100</f>
        <v>9350</v>
      </c>
      <c r="S301" s="122">
        <v>9250</v>
      </c>
      <c r="T301" s="122"/>
      <c r="U301" s="846">
        <f>S301</f>
        <v>9250</v>
      </c>
      <c r="V301" s="581"/>
      <c r="W301" s="581"/>
      <c r="X301" s="1084"/>
      <c r="Y301" s="581"/>
      <c r="Z301" s="581"/>
      <c r="AA301" s="581"/>
      <c r="AB301" s="581"/>
      <c r="AC301" s="581"/>
      <c r="AD301" s="401"/>
      <c r="AE301" s="401"/>
      <c r="AI301" s="121"/>
      <c r="AJ301" s="121"/>
      <c r="AK301" s="121"/>
      <c r="AL301" s="121"/>
      <c r="AM301" s="121"/>
      <c r="AN301" s="121"/>
      <c r="AO301" s="121"/>
      <c r="AP301" s="121"/>
      <c r="AQ301" s="121"/>
      <c r="AR301" s="121"/>
      <c r="AS301" s="121"/>
      <c r="AT301" s="121"/>
      <c r="AU301" s="121"/>
      <c r="AV301" s="121"/>
      <c r="AW301" s="121"/>
      <c r="AX301" s="121"/>
      <c r="AY301" s="121"/>
      <c r="AZ301" s="121"/>
      <c r="BA301" s="121"/>
      <c r="BB301" s="121"/>
      <c r="BC301" s="121"/>
      <c r="BD301" s="120">
        <f t="shared" si="253"/>
        <v>45295.833333333336</v>
      </c>
      <c r="BE301" s="120">
        <f t="shared" si="254"/>
        <v>45307.145833275463</v>
      </c>
      <c r="BF301" s="137">
        <f t="shared" si="255"/>
        <v>11.312499942127033</v>
      </c>
      <c r="BG301" s="120">
        <f>$BE$201</f>
        <v>45295.833333333336</v>
      </c>
      <c r="BH301" s="120">
        <v>45294.666666666664</v>
      </c>
      <c r="BI301" s="120">
        <f t="shared" si="266"/>
        <v>45296.375</v>
      </c>
      <c r="BJ301" s="120">
        <f t="shared" si="267"/>
        <v>45302.958333333438</v>
      </c>
      <c r="BK301" s="120">
        <f t="shared" si="268"/>
        <v>45303.125000000102</v>
      </c>
      <c r="BL301" s="120">
        <f t="shared" ref="BL301:BM301" si="297">BK301+(0.5/24)</f>
        <v>45303.145833333438</v>
      </c>
      <c r="BM301" s="120">
        <f t="shared" si="297"/>
        <v>45303.166666666773</v>
      </c>
      <c r="BN301" s="120">
        <f t="shared" si="270"/>
        <v>45304.875000000109</v>
      </c>
      <c r="BO301" s="120">
        <v>45305.229166608799</v>
      </c>
      <c r="BP301" s="120">
        <v>45305.395833275463</v>
      </c>
      <c r="BQ301" s="124" t="s">
        <v>64</v>
      </c>
      <c r="BR301" s="120">
        <f t="shared" si="294"/>
        <v>45306.395833275463</v>
      </c>
      <c r="BS301" s="120">
        <f t="shared" si="289"/>
        <v>45306.437499942127</v>
      </c>
      <c r="BT301" s="120">
        <f t="shared" si="290"/>
        <v>45306.687499942127</v>
      </c>
      <c r="BU301" s="120">
        <f t="shared" ref="BU301:BV301" si="298">BT301+(0.5/24)</f>
        <v>45306.708333275463</v>
      </c>
      <c r="BV301" s="120">
        <f t="shared" si="298"/>
        <v>45306.729166608799</v>
      </c>
      <c r="BW301" s="120">
        <f t="shared" si="296"/>
        <v>45307.145833275463</v>
      </c>
      <c r="BX301" s="121"/>
      <c r="BY301" s="121"/>
      <c r="BZ301" s="136">
        <f t="shared" si="257"/>
        <v>41.000000000058208</v>
      </c>
      <c r="CA301" s="136">
        <f t="shared" si="258"/>
        <v>3.9999999999417923</v>
      </c>
      <c r="CB301" s="136">
        <f t="shared" si="259"/>
        <v>41.000000000058208</v>
      </c>
      <c r="CC301" s="136">
        <f t="shared" si="260"/>
        <v>24</v>
      </c>
      <c r="CD301" s="135">
        <f t="shared" si="261"/>
        <v>6</v>
      </c>
      <c r="CE301" s="135">
        <f t="shared" si="262"/>
        <v>9.9999999999417923</v>
      </c>
      <c r="CF301" s="134">
        <f t="shared" si="263"/>
        <v>5.25</v>
      </c>
      <c r="CG301" s="134">
        <f t="shared" si="264"/>
        <v>11.312499942127033</v>
      </c>
      <c r="CH301" s="133">
        <f t="shared" si="265"/>
        <v>0.46408840016425834</v>
      </c>
      <c r="CI301" s="121"/>
      <c r="CJ301" s="121"/>
    </row>
    <row r="302" spans="1:88" s="121" customFormat="1">
      <c r="A302" s="125">
        <f t="shared" si="252"/>
        <v>45303.166666666773</v>
      </c>
      <c r="B302" s="138" t="s">
        <v>187</v>
      </c>
      <c r="C302" s="121" t="s">
        <v>229</v>
      </c>
      <c r="D302" s="121" t="s">
        <v>197</v>
      </c>
      <c r="E302" s="253" t="s">
        <v>4104</v>
      </c>
      <c r="F302" s="121" t="s">
        <v>3378</v>
      </c>
      <c r="G302" s="398"/>
      <c r="H302" s="398"/>
      <c r="I302" s="121" t="s">
        <v>490</v>
      </c>
      <c r="K302" s="517" t="s">
        <v>187</v>
      </c>
      <c r="L302" s="121" t="s">
        <v>4105</v>
      </c>
      <c r="M302" s="123"/>
      <c r="N302" s="121" t="s">
        <v>339</v>
      </c>
      <c r="O302" s="121" t="s">
        <v>506</v>
      </c>
      <c r="P302" s="517" t="s">
        <v>494</v>
      </c>
      <c r="Q302" s="122">
        <f>3071*2.4</f>
        <v>7370.4</v>
      </c>
      <c r="R302" s="122">
        <f>7400+100</f>
        <v>7500</v>
      </c>
      <c r="S302" s="122">
        <v>7400</v>
      </c>
      <c r="T302" s="667"/>
      <c r="U302" s="846">
        <f>S302</f>
        <v>7400</v>
      </c>
      <c r="V302" s="581"/>
      <c r="W302" s="581"/>
      <c r="X302" s="1084"/>
      <c r="Y302" s="581"/>
      <c r="Z302" s="581"/>
      <c r="AA302" s="581"/>
      <c r="AB302" s="581"/>
      <c r="AC302" s="581"/>
      <c r="AD302" s="581"/>
      <c r="AE302" s="667"/>
      <c r="AF302" s="667"/>
      <c r="AG302" s="667"/>
      <c r="AH302" s="667"/>
      <c r="AI302" s="667"/>
      <c r="AJ302" s="667"/>
      <c r="AK302" s="667"/>
      <c r="AL302" s="667"/>
      <c r="AM302" s="667"/>
      <c r="AN302" s="667"/>
      <c r="AO302" s="667"/>
      <c r="AP302" s="667"/>
      <c r="AQ302" s="667"/>
      <c r="AR302" s="667"/>
      <c r="AS302" s="667"/>
      <c r="AT302" s="667"/>
      <c r="AU302" s="667"/>
      <c r="AV302" s="667"/>
      <c r="AW302" s="667"/>
      <c r="AX302" s="667"/>
      <c r="AY302" s="667"/>
      <c r="AZ302" s="667"/>
      <c r="BA302" s="667"/>
      <c r="BB302" s="667"/>
      <c r="BC302" s="667"/>
      <c r="BD302" s="120">
        <f t="shared" si="253"/>
        <v>45296.166666666672</v>
      </c>
      <c r="BE302" s="120">
        <f t="shared" si="254"/>
        <v>45308.166666666664</v>
      </c>
      <c r="BF302" s="137">
        <f t="shared" si="255"/>
        <v>11.999999999992724</v>
      </c>
      <c r="BG302" s="120">
        <f>$BE$203</f>
        <v>45296.166666666672</v>
      </c>
      <c r="BH302" s="120">
        <v>45297.708333275463</v>
      </c>
      <c r="BI302" s="120">
        <f t="shared" si="266"/>
        <v>45299.416666608799</v>
      </c>
      <c r="BJ302" s="120">
        <f t="shared" si="267"/>
        <v>45303.166666666773</v>
      </c>
      <c r="BK302" s="120">
        <f t="shared" si="268"/>
        <v>45303.333333333438</v>
      </c>
      <c r="BL302" s="120">
        <f t="shared" ref="BL302:BM302" si="299">BK302+(0.5/24)</f>
        <v>45303.354166666773</v>
      </c>
      <c r="BM302" s="120">
        <f t="shared" si="299"/>
        <v>45303.375000000109</v>
      </c>
      <c r="BN302" s="120">
        <f t="shared" si="270"/>
        <v>45305.083333333445</v>
      </c>
      <c r="BO302" s="120">
        <v>45306.25</v>
      </c>
      <c r="BP302" s="120">
        <v>45306.416666666664</v>
      </c>
      <c r="BQ302" s="124" t="s">
        <v>64</v>
      </c>
      <c r="BR302" s="120">
        <f t="shared" si="294"/>
        <v>45307.416666666664</v>
      </c>
      <c r="BS302" s="120">
        <f t="shared" si="289"/>
        <v>45307.458333333328</v>
      </c>
      <c r="BT302" s="120">
        <f t="shared" si="290"/>
        <v>45307.708333333328</v>
      </c>
      <c r="BU302" s="120">
        <f t="shared" ref="BU302:BV302" si="300">BT302+(0.5/24)</f>
        <v>45307.729166666664</v>
      </c>
      <c r="BV302" s="120">
        <f t="shared" si="300"/>
        <v>45307.75</v>
      </c>
      <c r="BW302" s="120">
        <f t="shared" si="296"/>
        <v>45308.166666666664</v>
      </c>
      <c r="BZ302" s="136">
        <f t="shared" si="257"/>
        <v>41.000000000058208</v>
      </c>
      <c r="CA302" s="136">
        <f t="shared" si="258"/>
        <v>3.9999999999417923</v>
      </c>
      <c r="CB302" s="136">
        <f t="shared" si="259"/>
        <v>41.000000000058208</v>
      </c>
      <c r="CC302" s="136">
        <f t="shared" si="260"/>
        <v>24</v>
      </c>
      <c r="CD302" s="135">
        <f t="shared" si="261"/>
        <v>6</v>
      </c>
      <c r="CE302" s="135">
        <f t="shared" si="262"/>
        <v>9.9999999999417923</v>
      </c>
      <c r="CF302" s="134">
        <f t="shared" si="263"/>
        <v>5.25</v>
      </c>
      <c r="CG302" s="134">
        <f t="shared" si="264"/>
        <v>11.999999999992724</v>
      </c>
      <c r="CH302" s="133">
        <f t="shared" si="265"/>
        <v>0.43750000000026529</v>
      </c>
      <c r="CI302" s="128"/>
      <c r="CJ302" s="115"/>
    </row>
    <row r="303" spans="1:88" s="121" customFormat="1">
      <c r="A303" s="125">
        <f t="shared" si="252"/>
        <v>45303.375000000109</v>
      </c>
      <c r="B303" s="138" t="s">
        <v>187</v>
      </c>
      <c r="C303" s="121" t="s">
        <v>229</v>
      </c>
      <c r="D303" s="121" t="s">
        <v>215</v>
      </c>
      <c r="E303" s="253" t="s">
        <v>4104</v>
      </c>
      <c r="F303" s="121" t="s">
        <v>3378</v>
      </c>
      <c r="G303" s="398"/>
      <c r="H303" s="398"/>
      <c r="I303" s="121" t="s">
        <v>490</v>
      </c>
      <c r="K303" s="517" t="s">
        <v>187</v>
      </c>
      <c r="L303" s="121" t="s">
        <v>4105</v>
      </c>
      <c r="M303" s="123"/>
      <c r="N303" s="121" t="s">
        <v>403</v>
      </c>
      <c r="O303" s="121" t="s">
        <v>404</v>
      </c>
      <c r="P303" s="517" t="s">
        <v>494</v>
      </c>
      <c r="Q303" s="122">
        <f>3107*2.4</f>
        <v>7456.7999999999993</v>
      </c>
      <c r="R303" s="122">
        <f>7500+100</f>
        <v>7600</v>
      </c>
      <c r="S303" s="122">
        <v>7500</v>
      </c>
      <c r="T303" s="122"/>
      <c r="U303" s="846">
        <f>S303</f>
        <v>7500</v>
      </c>
      <c r="V303" s="581"/>
      <c r="W303" s="581"/>
      <c r="X303" s="1084"/>
      <c r="Y303" s="581"/>
      <c r="Z303" s="581"/>
      <c r="AA303" s="581"/>
      <c r="AB303" s="581"/>
      <c r="AC303" s="581"/>
      <c r="AD303" s="581"/>
      <c r="AE303" s="115"/>
      <c r="BD303" s="120">
        <f t="shared" si="253"/>
        <v>45296.250000000007</v>
      </c>
      <c r="BE303" s="120">
        <f t="shared" si="254"/>
        <v>45308.166666666664</v>
      </c>
      <c r="BF303" s="137">
        <f t="shared" si="255"/>
        <v>11.916666666656965</v>
      </c>
      <c r="BG303" s="120">
        <f>$BE$179</f>
        <v>45296.250000000007</v>
      </c>
      <c r="BH303" s="120">
        <v>45297.708333275463</v>
      </c>
      <c r="BI303" s="120">
        <f t="shared" si="266"/>
        <v>45299.416666608799</v>
      </c>
      <c r="BJ303" s="120">
        <f t="shared" si="267"/>
        <v>45303.375000000109</v>
      </c>
      <c r="BK303" s="120">
        <f t="shared" si="268"/>
        <v>45303.541666666773</v>
      </c>
      <c r="BL303" s="120">
        <f t="shared" ref="BL303:BM303" si="301">BK303+(0.5/24)</f>
        <v>45303.562500000109</v>
      </c>
      <c r="BM303" s="120">
        <f t="shared" si="301"/>
        <v>45303.583333333445</v>
      </c>
      <c r="BN303" s="120">
        <f t="shared" si="270"/>
        <v>45305.291666666781</v>
      </c>
      <c r="BO303" s="120">
        <v>45306.25</v>
      </c>
      <c r="BP303" s="120">
        <v>45306.416666666664</v>
      </c>
      <c r="BQ303" s="124" t="s">
        <v>64</v>
      </c>
      <c r="BR303" s="120">
        <f t="shared" si="294"/>
        <v>45307.416666666664</v>
      </c>
      <c r="BS303" s="120">
        <f t="shared" si="289"/>
        <v>45307.458333333328</v>
      </c>
      <c r="BT303" s="120">
        <f t="shared" si="290"/>
        <v>45307.708333333328</v>
      </c>
      <c r="BU303" s="120">
        <f t="shared" ref="BU303:BV303" si="302">BT303+(0.5/24)</f>
        <v>45307.729166666664</v>
      </c>
      <c r="BV303" s="120">
        <f t="shared" si="302"/>
        <v>45307.75</v>
      </c>
      <c r="BW303" s="120">
        <f t="shared" si="296"/>
        <v>45308.166666666664</v>
      </c>
      <c r="BZ303" s="136">
        <f t="shared" si="257"/>
        <v>41.000000000058208</v>
      </c>
      <c r="CA303" s="136">
        <f t="shared" si="258"/>
        <v>3.9999999999417923</v>
      </c>
      <c r="CB303" s="136">
        <f t="shared" si="259"/>
        <v>41.000000000058208</v>
      </c>
      <c r="CC303" s="136">
        <f t="shared" si="260"/>
        <v>24</v>
      </c>
      <c r="CD303" s="135">
        <f t="shared" si="261"/>
        <v>6</v>
      </c>
      <c r="CE303" s="135">
        <f t="shared" si="262"/>
        <v>9.9999999999417923</v>
      </c>
      <c r="CF303" s="134">
        <f t="shared" si="263"/>
        <v>5.25</v>
      </c>
      <c r="CG303" s="134">
        <f t="shared" si="264"/>
        <v>11.916666666656965</v>
      </c>
      <c r="CH303" s="133">
        <f t="shared" si="265"/>
        <v>0.44055944055979923</v>
      </c>
      <c r="CI303" s="115"/>
      <c r="CJ303" s="116"/>
    </row>
    <row r="304" spans="1:88" s="128" customFormat="1">
      <c r="A304" s="125">
        <f t="shared" si="252"/>
        <v>45303.583333333445</v>
      </c>
      <c r="B304" s="138" t="s">
        <v>187</v>
      </c>
      <c r="C304" s="121" t="s">
        <v>229</v>
      </c>
      <c r="D304" s="121" t="s">
        <v>197</v>
      </c>
      <c r="E304" s="253" t="s">
        <v>4104</v>
      </c>
      <c r="F304" s="121" t="s">
        <v>3378</v>
      </c>
      <c r="G304" s="398"/>
      <c r="H304" s="398"/>
      <c r="I304" s="121" t="s">
        <v>490</v>
      </c>
      <c r="J304" s="121"/>
      <c r="K304" s="517" t="s">
        <v>187</v>
      </c>
      <c r="L304" s="121" t="s">
        <v>4105</v>
      </c>
      <c r="M304" s="123"/>
      <c r="N304" s="121" t="s">
        <v>492</v>
      </c>
      <c r="O304" s="121" t="s">
        <v>493</v>
      </c>
      <c r="P304" s="517" t="s">
        <v>494</v>
      </c>
      <c r="Q304" s="122">
        <f>3141*2.4</f>
        <v>7538.4</v>
      </c>
      <c r="R304" s="122">
        <f>7550+100</f>
        <v>7650</v>
      </c>
      <c r="S304" s="122">
        <v>7550</v>
      </c>
      <c r="T304" s="667"/>
      <c r="U304" s="846">
        <f>S304</f>
        <v>7550</v>
      </c>
      <c r="V304" s="581"/>
      <c r="W304" s="581"/>
      <c r="X304" s="1084"/>
      <c r="Y304" s="581"/>
      <c r="Z304" s="581"/>
      <c r="AA304" s="581"/>
      <c r="AB304" s="581"/>
      <c r="AC304" s="581"/>
      <c r="AD304" s="581"/>
      <c r="AE304" s="581"/>
      <c r="AF304" s="121"/>
      <c r="AG304" s="272"/>
      <c r="AH304" s="272"/>
      <c r="AI304" s="272"/>
      <c r="AJ304" s="272"/>
      <c r="AK304" s="272"/>
      <c r="AL304" s="272"/>
      <c r="AM304" s="121"/>
      <c r="AN304" s="121"/>
      <c r="AO304" s="121"/>
      <c r="AP304" s="121"/>
      <c r="AQ304" s="121"/>
      <c r="AR304" s="121"/>
      <c r="AS304" s="121"/>
      <c r="AT304" s="121"/>
      <c r="AU304" s="121"/>
      <c r="AV304" s="121"/>
      <c r="AW304" s="121"/>
      <c r="AX304" s="121"/>
      <c r="AY304" s="121"/>
      <c r="AZ304" s="121"/>
      <c r="BA304" s="121"/>
      <c r="BB304" s="121"/>
      <c r="BC304" s="121"/>
      <c r="BD304" s="120">
        <f t="shared" si="253"/>
        <v>45296.250000000007</v>
      </c>
      <c r="BE304" s="120">
        <f t="shared" si="254"/>
        <v>45308.166666666664</v>
      </c>
      <c r="BF304" s="137">
        <f t="shared" si="255"/>
        <v>11.916666666656965</v>
      </c>
      <c r="BG304" s="120">
        <f>$BE$180</f>
        <v>45296.250000000007</v>
      </c>
      <c r="BH304" s="120">
        <v>45297.708333275463</v>
      </c>
      <c r="BI304" s="120">
        <f t="shared" si="266"/>
        <v>45299.416666608799</v>
      </c>
      <c r="BJ304" s="120">
        <f t="shared" si="267"/>
        <v>45303.583333333445</v>
      </c>
      <c r="BK304" s="120">
        <f t="shared" si="268"/>
        <v>45303.750000000109</v>
      </c>
      <c r="BL304" s="120">
        <f t="shared" ref="BL304:BM304" si="303">BK304+(0.5/24)</f>
        <v>45303.770833333445</v>
      </c>
      <c r="BM304" s="120">
        <f t="shared" si="303"/>
        <v>45303.791666666781</v>
      </c>
      <c r="BN304" s="120">
        <f t="shared" si="270"/>
        <v>45305.500000000116</v>
      </c>
      <c r="BO304" s="120">
        <v>45306.25</v>
      </c>
      <c r="BP304" s="120">
        <v>45306.416666666664</v>
      </c>
      <c r="BQ304" s="124" t="s">
        <v>64</v>
      </c>
      <c r="BR304" s="120">
        <f t="shared" si="294"/>
        <v>45307.416666666664</v>
      </c>
      <c r="BS304" s="120">
        <f t="shared" si="289"/>
        <v>45307.458333333328</v>
      </c>
      <c r="BT304" s="120">
        <f t="shared" si="290"/>
        <v>45307.708333333328</v>
      </c>
      <c r="BU304" s="120">
        <f t="shared" ref="BU304:BV304" si="304">BT304+(0.5/24)</f>
        <v>45307.729166666664</v>
      </c>
      <c r="BV304" s="120">
        <f t="shared" si="304"/>
        <v>45307.75</v>
      </c>
      <c r="BW304" s="120">
        <f t="shared" si="296"/>
        <v>45308.166666666664</v>
      </c>
      <c r="BX304" s="121"/>
      <c r="BY304" s="121"/>
      <c r="BZ304" s="136">
        <f t="shared" si="257"/>
        <v>41.000000000058208</v>
      </c>
      <c r="CA304" s="136">
        <f t="shared" si="258"/>
        <v>3.9999999999417923</v>
      </c>
      <c r="CB304" s="136">
        <f t="shared" si="259"/>
        <v>41.000000000058208</v>
      </c>
      <c r="CC304" s="136">
        <f t="shared" si="260"/>
        <v>24</v>
      </c>
      <c r="CD304" s="135">
        <f t="shared" si="261"/>
        <v>6</v>
      </c>
      <c r="CE304" s="135">
        <f t="shared" si="262"/>
        <v>9.9999999999417923</v>
      </c>
      <c r="CF304" s="134">
        <f t="shared" si="263"/>
        <v>5.25</v>
      </c>
      <c r="CG304" s="134">
        <f t="shared" si="264"/>
        <v>11.916666666656965</v>
      </c>
      <c r="CH304" s="133">
        <f t="shared" si="265"/>
        <v>0.44055944055979923</v>
      </c>
      <c r="CI304" s="121"/>
      <c r="CJ304" s="121"/>
    </row>
    <row r="305" spans="1:88" s="121" customFormat="1">
      <c r="A305" s="125">
        <f t="shared" si="252"/>
        <v>45303.791666666781</v>
      </c>
      <c r="B305" s="138" t="s">
        <v>187</v>
      </c>
      <c r="C305" s="121" t="s">
        <v>229</v>
      </c>
      <c r="D305" s="121" t="s">
        <v>197</v>
      </c>
      <c r="E305" s="253" t="s">
        <v>4104</v>
      </c>
      <c r="F305" s="121" t="s">
        <v>3378</v>
      </c>
      <c r="G305" s="398"/>
      <c r="H305" s="398"/>
      <c r="I305" s="121" t="s">
        <v>490</v>
      </c>
      <c r="K305" s="517" t="s">
        <v>187</v>
      </c>
      <c r="L305" s="121" t="s">
        <v>4105</v>
      </c>
      <c r="M305" s="123"/>
      <c r="N305" s="121" t="s">
        <v>334</v>
      </c>
      <c r="O305" s="121" t="s">
        <v>335</v>
      </c>
      <c r="P305" s="517" t="s">
        <v>835</v>
      </c>
      <c r="Q305" s="122">
        <f>3242 *2.4</f>
        <v>7780.7999999999993</v>
      </c>
      <c r="R305" s="122">
        <f>7800+100</f>
        <v>7900</v>
      </c>
      <c r="S305" s="122">
        <v>7800</v>
      </c>
      <c r="T305" s="667"/>
      <c r="U305" s="581"/>
      <c r="V305" s="846">
        <f>S305</f>
        <v>7800</v>
      </c>
      <c r="W305" s="581"/>
      <c r="X305" s="581"/>
      <c r="Y305" s="581"/>
      <c r="Z305" s="581"/>
      <c r="AA305" s="581"/>
      <c r="AB305" s="581"/>
      <c r="AC305" s="581"/>
      <c r="AD305" s="581"/>
      <c r="AE305" s="115"/>
      <c r="AF305" s="739"/>
      <c r="AG305" s="739"/>
      <c r="AH305" s="739"/>
      <c r="AI305" s="667"/>
      <c r="AJ305" s="667"/>
      <c r="AK305" s="667"/>
      <c r="AL305" s="667"/>
      <c r="AM305" s="667"/>
      <c r="AN305" s="667"/>
      <c r="AO305" s="667"/>
      <c r="AP305" s="667"/>
      <c r="AQ305" s="667"/>
      <c r="AR305" s="667"/>
      <c r="AS305" s="667"/>
      <c r="AT305" s="667"/>
      <c r="AU305" s="667"/>
      <c r="AV305" s="667"/>
      <c r="AW305" s="667"/>
      <c r="AX305" s="667"/>
      <c r="AY305" s="667"/>
      <c r="AZ305" s="667"/>
      <c r="BA305" s="667"/>
      <c r="BB305" s="667"/>
      <c r="BC305" s="667"/>
      <c r="BD305" s="120">
        <f t="shared" si="253"/>
        <v>45296.500000000007</v>
      </c>
      <c r="BE305" s="120">
        <f t="shared" si="254"/>
        <v>45308.166666666664</v>
      </c>
      <c r="BF305" s="137">
        <f t="shared" si="255"/>
        <v>11.666666666656965</v>
      </c>
      <c r="BG305" s="120">
        <f>$BE$202</f>
        <v>45296.500000000007</v>
      </c>
      <c r="BH305" s="120">
        <v>45297.708333275463</v>
      </c>
      <c r="BI305" s="120">
        <f t="shared" si="266"/>
        <v>45299.416666608799</v>
      </c>
      <c r="BJ305" s="120">
        <f t="shared" si="267"/>
        <v>45303.791666666781</v>
      </c>
      <c r="BK305" s="120">
        <f t="shared" si="268"/>
        <v>45303.958333333445</v>
      </c>
      <c r="BL305" s="120">
        <f t="shared" ref="BL305:BM305" si="305">BK305+(0.5/24)</f>
        <v>45303.979166666781</v>
      </c>
      <c r="BM305" s="120">
        <f t="shared" si="305"/>
        <v>45304.000000000116</v>
      </c>
      <c r="BN305" s="120">
        <f t="shared" si="270"/>
        <v>45305.708333333452</v>
      </c>
      <c r="BO305" s="120">
        <v>45306.25</v>
      </c>
      <c r="BP305" s="120">
        <v>45306.416666666664</v>
      </c>
      <c r="BQ305" s="124" t="s">
        <v>64</v>
      </c>
      <c r="BR305" s="120">
        <f t="shared" si="294"/>
        <v>45307.416666666664</v>
      </c>
      <c r="BS305" s="120">
        <f t="shared" si="289"/>
        <v>45307.458333333328</v>
      </c>
      <c r="BT305" s="120">
        <f t="shared" si="290"/>
        <v>45307.708333333328</v>
      </c>
      <c r="BU305" s="120">
        <f t="shared" ref="BU305:BV305" si="306">BT305+(0.5/24)</f>
        <v>45307.729166666664</v>
      </c>
      <c r="BV305" s="120">
        <f t="shared" si="306"/>
        <v>45307.75</v>
      </c>
      <c r="BW305" s="120">
        <f t="shared" si="296"/>
        <v>45308.166666666664</v>
      </c>
      <c r="BZ305" s="136">
        <f t="shared" si="257"/>
        <v>41.000000000058208</v>
      </c>
      <c r="CA305" s="136">
        <f t="shared" si="258"/>
        <v>3.9999999999417923</v>
      </c>
      <c r="CB305" s="136">
        <f t="shared" si="259"/>
        <v>41.000000000058208</v>
      </c>
      <c r="CC305" s="136">
        <f t="shared" si="260"/>
        <v>24</v>
      </c>
      <c r="CD305" s="135">
        <f t="shared" si="261"/>
        <v>6</v>
      </c>
      <c r="CE305" s="135">
        <f t="shared" si="262"/>
        <v>9.9999999999417923</v>
      </c>
      <c r="CF305" s="134">
        <f t="shared" si="263"/>
        <v>5.25</v>
      </c>
      <c r="CG305" s="134">
        <f t="shared" si="264"/>
        <v>11.666666666656965</v>
      </c>
      <c r="CH305" s="133">
        <f t="shared" si="265"/>
        <v>0.45000000000037421</v>
      </c>
    </row>
    <row r="306" spans="1:88" s="121" customFormat="1">
      <c r="A306" s="125">
        <f t="shared" si="252"/>
        <v>45304.000000000116</v>
      </c>
      <c r="B306" s="138" t="s">
        <v>187</v>
      </c>
      <c r="C306" s="121" t="s">
        <v>229</v>
      </c>
      <c r="D306" s="121" t="s">
        <v>197</v>
      </c>
      <c r="E306" s="253" t="s">
        <v>4104</v>
      </c>
      <c r="F306" s="121" t="s">
        <v>3378</v>
      </c>
      <c r="G306" s="398"/>
      <c r="H306" s="398"/>
      <c r="I306" s="121" t="s">
        <v>490</v>
      </c>
      <c r="K306" s="517" t="s">
        <v>187</v>
      </c>
      <c r="L306" s="121" t="s">
        <v>4105</v>
      </c>
      <c r="M306" s="123"/>
      <c r="N306" s="121" t="s">
        <v>2277</v>
      </c>
      <c r="O306" s="121" t="s">
        <v>2278</v>
      </c>
      <c r="P306" s="517" t="s">
        <v>835</v>
      </c>
      <c r="Q306" s="122">
        <f>3099 *2.4</f>
        <v>7437.5999999999995</v>
      </c>
      <c r="R306" s="122">
        <f>7500+100</f>
        <v>7600</v>
      </c>
      <c r="S306" s="122">
        <v>7500</v>
      </c>
      <c r="T306" s="667"/>
      <c r="U306" s="581"/>
      <c r="V306" s="846">
        <f>S306</f>
        <v>7500</v>
      </c>
      <c r="W306" s="581"/>
      <c r="X306" s="581"/>
      <c r="Y306" s="581"/>
      <c r="Z306" s="581"/>
      <c r="AA306" s="581"/>
      <c r="AB306" s="581"/>
      <c r="AC306" s="581"/>
      <c r="AD306" s="581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115"/>
      <c r="AR306" s="115"/>
      <c r="AS306" s="115"/>
      <c r="AX306" s="517"/>
      <c r="AY306" s="517"/>
      <c r="AZ306" s="517"/>
      <c r="BA306" s="517"/>
      <c r="BB306" s="517"/>
      <c r="BC306" s="517"/>
      <c r="BD306" s="120">
        <f t="shared" si="253"/>
        <v>45296.583333333343</v>
      </c>
      <c r="BE306" s="120">
        <f t="shared" si="254"/>
        <v>45308.166666666664</v>
      </c>
      <c r="BF306" s="137">
        <f t="shared" si="255"/>
        <v>11.583333333321207</v>
      </c>
      <c r="BG306" s="120">
        <f>$BE$182</f>
        <v>45296.583333333343</v>
      </c>
      <c r="BH306" s="120">
        <v>45297.708333275463</v>
      </c>
      <c r="BI306" s="120">
        <f t="shared" si="266"/>
        <v>45299.416666608799</v>
      </c>
      <c r="BJ306" s="120">
        <f t="shared" si="267"/>
        <v>45304.000000000116</v>
      </c>
      <c r="BK306" s="120">
        <f t="shared" si="268"/>
        <v>45304.166666666781</v>
      </c>
      <c r="BL306" s="120">
        <f t="shared" ref="BL306:BM306" si="307">BK306+(0.5/24)</f>
        <v>45304.187500000116</v>
      </c>
      <c r="BM306" s="120">
        <f t="shared" si="307"/>
        <v>45304.208333333452</v>
      </c>
      <c r="BN306" s="120">
        <f t="shared" si="270"/>
        <v>45305.916666666788</v>
      </c>
      <c r="BO306" s="120">
        <v>45306.25</v>
      </c>
      <c r="BP306" s="120">
        <v>45306.416666666664</v>
      </c>
      <c r="BQ306" s="124" t="s">
        <v>64</v>
      </c>
      <c r="BR306" s="120">
        <f t="shared" si="294"/>
        <v>45307.416666666664</v>
      </c>
      <c r="BS306" s="120">
        <f t="shared" si="289"/>
        <v>45307.458333333328</v>
      </c>
      <c r="BT306" s="120">
        <f t="shared" si="290"/>
        <v>45307.708333333328</v>
      </c>
      <c r="BU306" s="120">
        <f t="shared" ref="BU306:BV306" si="308">BT306+(0.5/24)</f>
        <v>45307.729166666664</v>
      </c>
      <c r="BV306" s="120">
        <f t="shared" si="308"/>
        <v>45307.75</v>
      </c>
      <c r="BW306" s="120">
        <f t="shared" si="296"/>
        <v>45308.166666666664</v>
      </c>
      <c r="BZ306" s="136">
        <f t="shared" si="257"/>
        <v>41.000000000058208</v>
      </c>
      <c r="CA306" s="136">
        <f t="shared" si="258"/>
        <v>3.9999999999417923</v>
      </c>
      <c r="CB306" s="136">
        <f t="shared" si="259"/>
        <v>41.000000000058208</v>
      </c>
      <c r="CC306" s="136">
        <f t="shared" si="260"/>
        <v>24</v>
      </c>
      <c r="CD306" s="135">
        <f t="shared" si="261"/>
        <v>6</v>
      </c>
      <c r="CE306" s="135">
        <f t="shared" si="262"/>
        <v>9.9999999999417923</v>
      </c>
      <c r="CF306" s="134">
        <f t="shared" si="263"/>
        <v>5.25</v>
      </c>
      <c r="CG306" s="134">
        <f t="shared" si="264"/>
        <v>11.583333333321207</v>
      </c>
      <c r="CH306" s="133">
        <f t="shared" si="265"/>
        <v>0.45323741007241691</v>
      </c>
      <c r="CI306" s="128"/>
      <c r="CJ306" s="128"/>
    </row>
    <row r="307" spans="1:88" s="128" customFormat="1">
      <c r="A307" s="125">
        <f t="shared" si="252"/>
        <v>45304.208333333452</v>
      </c>
      <c r="B307" s="138" t="s">
        <v>187</v>
      </c>
      <c r="C307" s="121" t="s">
        <v>229</v>
      </c>
      <c r="D307" s="121" t="s">
        <v>197</v>
      </c>
      <c r="E307" s="253" t="s">
        <v>4104</v>
      </c>
      <c r="F307" s="121" t="s">
        <v>3378</v>
      </c>
      <c r="G307" s="398"/>
      <c r="H307" s="398"/>
      <c r="I307" s="121" t="s">
        <v>490</v>
      </c>
      <c r="J307" s="121"/>
      <c r="K307" s="517" t="s">
        <v>187</v>
      </c>
      <c r="L307" s="121" t="s">
        <v>4105</v>
      </c>
      <c r="M307" s="123"/>
      <c r="N307" s="121" t="s">
        <v>249</v>
      </c>
      <c r="O307" s="121" t="s">
        <v>2315</v>
      </c>
      <c r="P307" s="517" t="s">
        <v>835</v>
      </c>
      <c r="Q307" s="122">
        <f>3139*2.4</f>
        <v>7533.5999999999995</v>
      </c>
      <c r="R307" s="122">
        <f>7550+100</f>
        <v>7650</v>
      </c>
      <c r="S307" s="122">
        <v>7550</v>
      </c>
      <c r="T307" s="667"/>
      <c r="U307" s="581"/>
      <c r="V307" s="846">
        <f>S307</f>
        <v>7550</v>
      </c>
      <c r="W307" s="581"/>
      <c r="X307" s="581"/>
      <c r="Y307" s="581"/>
      <c r="Z307" s="581"/>
      <c r="AA307" s="581"/>
      <c r="AB307" s="581"/>
      <c r="AC307" s="581"/>
      <c r="AD307" s="581"/>
      <c r="AE307" s="581"/>
      <c r="AF307" s="581"/>
      <c r="AG307" s="581"/>
      <c r="AH307" s="581"/>
      <c r="AI307" s="581"/>
      <c r="AJ307" s="581"/>
      <c r="AK307" s="581"/>
      <c r="AL307" s="581"/>
      <c r="AM307" s="581"/>
      <c r="AN307" s="581"/>
      <c r="AO307" s="581"/>
      <c r="AP307" s="581"/>
      <c r="AQ307" s="581"/>
      <c r="AR307" s="115"/>
      <c r="AS307" s="115"/>
      <c r="AT307" s="121"/>
      <c r="AU307" s="121"/>
      <c r="AV307" s="121"/>
      <c r="AW307" s="121"/>
      <c r="AX307" s="517"/>
      <c r="AY307" s="517"/>
      <c r="AZ307" s="517"/>
      <c r="BA307" s="517"/>
      <c r="BB307" s="517"/>
      <c r="BC307" s="517"/>
      <c r="BD307" s="120">
        <f t="shared" si="253"/>
        <v>45296.916666666679</v>
      </c>
      <c r="BE307" s="120">
        <f t="shared" si="254"/>
        <v>45309.166666666664</v>
      </c>
      <c r="BF307" s="137">
        <f t="shared" si="255"/>
        <v>12.249999999985448</v>
      </c>
      <c r="BG307" s="120">
        <f>$BE$181</f>
        <v>45296.916666666679</v>
      </c>
      <c r="BH307" s="120">
        <v>45297.708333275463</v>
      </c>
      <c r="BI307" s="120">
        <f t="shared" si="266"/>
        <v>45299.416666608799</v>
      </c>
      <c r="BJ307" s="120">
        <f t="shared" si="267"/>
        <v>45304.208333333452</v>
      </c>
      <c r="BK307" s="120">
        <f t="shared" si="268"/>
        <v>45304.375000000116</v>
      </c>
      <c r="BL307" s="120">
        <f t="shared" ref="BL307:BM307" si="309">BK307+(0.5/24)</f>
        <v>45304.395833333452</v>
      </c>
      <c r="BM307" s="120">
        <f t="shared" si="309"/>
        <v>45304.416666666788</v>
      </c>
      <c r="BN307" s="120">
        <f t="shared" si="270"/>
        <v>45306.125000000124</v>
      </c>
      <c r="BO307" s="120">
        <v>45307.25</v>
      </c>
      <c r="BP307" s="120">
        <v>45307.416666666664</v>
      </c>
      <c r="BQ307" s="124" t="s">
        <v>64</v>
      </c>
      <c r="BR307" s="120">
        <f>BP307+(24/24)</f>
        <v>45308.416666666664</v>
      </c>
      <c r="BS307" s="120">
        <f>BR307+(1/24)</f>
        <v>45308.458333333328</v>
      </c>
      <c r="BT307" s="120">
        <f>BS307+(6/24)</f>
        <v>45308.708333333328</v>
      </c>
      <c r="BU307" s="120">
        <f>BT307+(0.5/24)</f>
        <v>45308.729166666664</v>
      </c>
      <c r="BV307" s="120">
        <f>BU307+(0.5/24)</f>
        <v>45308.75</v>
      </c>
      <c r="BW307" s="120">
        <f>BV307+(10/24)</f>
        <v>45309.166666666664</v>
      </c>
      <c r="BX307" s="121"/>
      <c r="BY307" s="121"/>
      <c r="BZ307" s="136">
        <f t="shared" si="257"/>
        <v>41.000000000058208</v>
      </c>
      <c r="CA307" s="136">
        <f t="shared" si="258"/>
        <v>3.9999999999417923</v>
      </c>
      <c r="CB307" s="136">
        <f t="shared" si="259"/>
        <v>41.000000000058208</v>
      </c>
      <c r="CC307" s="136">
        <f t="shared" si="260"/>
        <v>24</v>
      </c>
      <c r="CD307" s="135">
        <f t="shared" si="261"/>
        <v>6</v>
      </c>
      <c r="CE307" s="135">
        <f t="shared" si="262"/>
        <v>9.9999999999417923</v>
      </c>
      <c r="CF307" s="134">
        <f t="shared" si="263"/>
        <v>5.25</v>
      </c>
      <c r="CG307" s="134">
        <f t="shared" si="264"/>
        <v>12.249999999985448</v>
      </c>
      <c r="CH307" s="133">
        <f t="shared" si="265"/>
        <v>0.4285714285719377</v>
      </c>
    </row>
    <row r="308" spans="1:88" s="121" customFormat="1">
      <c r="A308" s="125">
        <f t="shared" si="252"/>
        <v>45304.416666666788</v>
      </c>
      <c r="B308" s="138" t="s">
        <v>187</v>
      </c>
      <c r="C308" s="121" t="s">
        <v>229</v>
      </c>
      <c r="D308" s="121" t="s">
        <v>197</v>
      </c>
      <c r="E308" s="253" t="s">
        <v>2158</v>
      </c>
      <c r="F308" s="397" t="s">
        <v>3474</v>
      </c>
      <c r="G308" s="398"/>
      <c r="H308" s="398"/>
      <c r="I308" s="121" t="s">
        <v>471</v>
      </c>
      <c r="K308" s="517" t="s">
        <v>187</v>
      </c>
      <c r="L308" s="121" t="s">
        <v>4103</v>
      </c>
      <c r="M308" s="123"/>
      <c r="N308" s="121" t="s">
        <v>295</v>
      </c>
      <c r="O308" s="121" t="s">
        <v>296</v>
      </c>
      <c r="P308" s="517" t="s">
        <v>172</v>
      </c>
      <c r="Q308" s="122">
        <f>4118*2.4</f>
        <v>9883.1999999999989</v>
      </c>
      <c r="R308" s="122">
        <f>9900+100</f>
        <v>10000</v>
      </c>
      <c r="S308" s="122">
        <v>9900</v>
      </c>
      <c r="T308" s="667"/>
      <c r="U308" s="581"/>
      <c r="V308" s="581"/>
      <c r="W308" s="581"/>
      <c r="X308" s="739"/>
      <c r="Y308" s="581"/>
      <c r="Z308" s="846">
        <f>S308</f>
        <v>9900</v>
      </c>
      <c r="AA308" s="581"/>
      <c r="AB308" s="581"/>
      <c r="AC308" s="581"/>
      <c r="AD308" s="581"/>
      <c r="AO308" s="739"/>
      <c r="AP308" s="739"/>
      <c r="AQ308" s="739"/>
      <c r="AR308" s="739"/>
      <c r="AS308" s="739"/>
      <c r="AT308" s="739"/>
      <c r="AU308" s="739"/>
      <c r="AV308" s="739"/>
      <c r="AW308" s="739"/>
      <c r="AX308" s="739"/>
      <c r="AY308" s="739"/>
      <c r="AZ308" s="739"/>
      <c r="BA308" s="739"/>
      <c r="BB308" s="739"/>
      <c r="BC308" s="739"/>
      <c r="BD308" s="120">
        <f t="shared" si="253"/>
        <v>45296.916666666679</v>
      </c>
      <c r="BE308" s="120">
        <f t="shared" si="254"/>
        <v>45309.166666666664</v>
      </c>
      <c r="BF308" s="137">
        <f t="shared" si="255"/>
        <v>12.249999999985448</v>
      </c>
      <c r="BG308" s="120">
        <f>$BE$183</f>
        <v>45296.916666666679</v>
      </c>
      <c r="BH308" s="120">
        <v>45297.708333275463</v>
      </c>
      <c r="BI308" s="120">
        <f t="shared" si="266"/>
        <v>45299.416666608799</v>
      </c>
      <c r="BJ308" s="120">
        <f t="shared" si="267"/>
        <v>45304.416666666788</v>
      </c>
      <c r="BK308" s="120">
        <f t="shared" si="268"/>
        <v>45304.583333333452</v>
      </c>
      <c r="BL308" s="120">
        <f t="shared" ref="BL308:BM308" si="310">BK308+(0.5/24)</f>
        <v>45304.604166666788</v>
      </c>
      <c r="BM308" s="120">
        <f t="shared" si="310"/>
        <v>45304.625000000124</v>
      </c>
      <c r="BN308" s="120">
        <f t="shared" si="270"/>
        <v>45306.333333333459</v>
      </c>
      <c r="BO308" s="120">
        <v>45307.25</v>
      </c>
      <c r="BP308" s="120">
        <v>45307.416666666664</v>
      </c>
      <c r="BQ308" s="124" t="s">
        <v>64</v>
      </c>
      <c r="BR308" s="120">
        <f>BP308+(24/24)</f>
        <v>45308.416666666664</v>
      </c>
      <c r="BS308" s="120">
        <f>BR308+(1/24)</f>
        <v>45308.458333333328</v>
      </c>
      <c r="BT308" s="120">
        <f>BS308+(6/24)</f>
        <v>45308.708333333328</v>
      </c>
      <c r="BU308" s="120">
        <f>BT308+(0.5/24)</f>
        <v>45308.729166666664</v>
      </c>
      <c r="BV308" s="120">
        <f>BU308+(0.5/24)</f>
        <v>45308.75</v>
      </c>
      <c r="BW308" s="120">
        <f>BV308+(10/24)</f>
        <v>45309.166666666664</v>
      </c>
      <c r="BZ308" s="136">
        <f t="shared" si="257"/>
        <v>41.000000000058208</v>
      </c>
      <c r="CA308" s="136">
        <f t="shared" si="258"/>
        <v>3.9999999999417923</v>
      </c>
      <c r="CB308" s="136">
        <f t="shared" si="259"/>
        <v>41.000000000058208</v>
      </c>
      <c r="CC308" s="136">
        <f t="shared" si="260"/>
        <v>24</v>
      </c>
      <c r="CD308" s="135">
        <f t="shared" si="261"/>
        <v>6</v>
      </c>
      <c r="CE308" s="135">
        <f t="shared" si="262"/>
        <v>9.9999999999417923</v>
      </c>
      <c r="CF308" s="134">
        <f t="shared" si="263"/>
        <v>5.25</v>
      </c>
      <c r="CG308" s="134">
        <f t="shared" si="264"/>
        <v>12.249999999985448</v>
      </c>
      <c r="CH308" s="133">
        <f t="shared" si="265"/>
        <v>0.4285714285719377</v>
      </c>
      <c r="CI308" s="128"/>
    </row>
    <row r="309" spans="1:88" s="128" customFormat="1">
      <c r="A309" s="125">
        <f t="shared" si="252"/>
        <v>45304.625000000124</v>
      </c>
      <c r="B309" s="138" t="s">
        <v>187</v>
      </c>
      <c r="C309" s="121" t="s">
        <v>229</v>
      </c>
      <c r="D309" s="121" t="s">
        <v>215</v>
      </c>
      <c r="E309" s="253" t="s">
        <v>2158</v>
      </c>
      <c r="F309" s="397" t="s">
        <v>3474</v>
      </c>
      <c r="G309" s="398"/>
      <c r="H309" s="398"/>
      <c r="I309" s="121" t="s">
        <v>231</v>
      </c>
      <c r="J309" s="121"/>
      <c r="K309" s="517" t="s">
        <v>187</v>
      </c>
      <c r="L309" s="121" t="s">
        <v>4102</v>
      </c>
      <c r="M309" s="123"/>
      <c r="N309" s="121" t="s">
        <v>310</v>
      </c>
      <c r="O309" s="121" t="s">
        <v>219</v>
      </c>
      <c r="P309" s="517" t="s">
        <v>235</v>
      </c>
      <c r="Q309" s="122">
        <f>3087*2.4</f>
        <v>7408.7999999999993</v>
      </c>
      <c r="R309" s="122">
        <f>7450+100</f>
        <v>7550</v>
      </c>
      <c r="S309" s="122">
        <v>7500</v>
      </c>
      <c r="T309" s="667"/>
      <c r="U309" s="739"/>
      <c r="V309" s="739"/>
      <c r="W309" s="739"/>
      <c r="X309" s="846">
        <f t="shared" ref="X309" si="311">S309</f>
        <v>7500</v>
      </c>
      <c r="Y309" s="739"/>
      <c r="Z309" s="739"/>
      <c r="AA309" s="739"/>
      <c r="AB309" s="581"/>
      <c r="AC309" s="581"/>
      <c r="AD309" s="577"/>
      <c r="AE309" s="577"/>
      <c r="AF309" s="577"/>
      <c r="AG309" s="577"/>
      <c r="AH309" s="577"/>
      <c r="AI309" s="577"/>
      <c r="AJ309" s="577"/>
      <c r="AK309" s="121"/>
      <c r="AL309" s="121"/>
      <c r="AM309" s="121"/>
      <c r="AN309" s="121"/>
      <c r="AO309" s="121"/>
      <c r="AP309" s="121"/>
      <c r="AQ309" s="121"/>
      <c r="AR309" s="121"/>
      <c r="AS309" s="121"/>
      <c r="AT309" s="121"/>
      <c r="AU309" s="121"/>
      <c r="AV309" s="121"/>
      <c r="AW309" s="121"/>
      <c r="AX309" s="121"/>
      <c r="AY309" s="121"/>
      <c r="AZ309" s="121"/>
      <c r="BA309" s="121"/>
      <c r="BB309" s="581"/>
      <c r="BC309" s="121"/>
      <c r="BD309" s="120">
        <f t="shared" si="253"/>
        <v>45299.5</v>
      </c>
      <c r="BE309" s="120">
        <f t="shared" si="254"/>
        <v>45309.166666666664</v>
      </c>
      <c r="BF309" s="137">
        <f t="shared" si="255"/>
        <v>9.6666666666642413</v>
      </c>
      <c r="BG309" s="120">
        <f>$BE$245</f>
        <v>45299.5</v>
      </c>
      <c r="BH309" s="120">
        <v>45300.416666666664</v>
      </c>
      <c r="BI309" s="120">
        <f t="shared" si="266"/>
        <v>45302.125</v>
      </c>
      <c r="BJ309" s="120">
        <f t="shared" si="267"/>
        <v>45304.625000000124</v>
      </c>
      <c r="BK309" s="120">
        <f t="shared" si="268"/>
        <v>45304.791666666788</v>
      </c>
      <c r="BL309" s="120">
        <f t="shared" ref="BL309:BM309" si="312">BK309+(0.5/24)</f>
        <v>45304.812500000124</v>
      </c>
      <c r="BM309" s="120">
        <f t="shared" si="312"/>
        <v>45304.833333333459</v>
      </c>
      <c r="BN309" s="120">
        <f t="shared" si="270"/>
        <v>45306.541666666795</v>
      </c>
      <c r="BO309" s="120">
        <v>45307.25</v>
      </c>
      <c r="BP309" s="120">
        <v>45307.416666666664</v>
      </c>
      <c r="BQ309" s="124" t="s">
        <v>64</v>
      </c>
      <c r="BR309" s="120">
        <f t="shared" ref="BR309:BR314" si="313">BP309+(24/24)</f>
        <v>45308.416666666664</v>
      </c>
      <c r="BS309" s="120">
        <f t="shared" ref="BS309:BS314" si="314">BR309+(1/24)</f>
        <v>45308.458333333328</v>
      </c>
      <c r="BT309" s="120">
        <f t="shared" ref="BT309:BT314" si="315">BS309+(6/24)</f>
        <v>45308.708333333328</v>
      </c>
      <c r="BU309" s="120">
        <f t="shared" ref="BU309:BV309" si="316">BT309+(0.5/24)</f>
        <v>45308.729166666664</v>
      </c>
      <c r="BV309" s="120">
        <f t="shared" si="316"/>
        <v>45308.75</v>
      </c>
      <c r="BW309" s="120">
        <f t="shared" ref="BW309:BW314" si="317">BV309+(10/24)</f>
        <v>45309.166666666664</v>
      </c>
      <c r="BX309" s="121"/>
      <c r="BY309" s="121"/>
      <c r="BZ309" s="136">
        <f t="shared" si="257"/>
        <v>41.000000000058208</v>
      </c>
      <c r="CA309" s="136">
        <f t="shared" si="258"/>
        <v>3.9999999999417923</v>
      </c>
      <c r="CB309" s="136">
        <f t="shared" si="259"/>
        <v>41.000000000058208</v>
      </c>
      <c r="CC309" s="136">
        <f t="shared" si="260"/>
        <v>24</v>
      </c>
      <c r="CD309" s="135">
        <f t="shared" si="261"/>
        <v>6</v>
      </c>
      <c r="CE309" s="135">
        <f t="shared" si="262"/>
        <v>9.9999999999417923</v>
      </c>
      <c r="CF309" s="134">
        <f t="shared" si="263"/>
        <v>5.25</v>
      </c>
      <c r="CG309" s="134">
        <f t="shared" si="264"/>
        <v>9.6666666666642413</v>
      </c>
      <c r="CH309" s="133">
        <f t="shared" si="265"/>
        <v>0.54310344827599832</v>
      </c>
      <c r="CI309" s="115"/>
      <c r="CJ309" s="116"/>
    </row>
    <row r="310" spans="1:88" s="121" customFormat="1">
      <c r="A310" s="125">
        <f t="shared" si="252"/>
        <v>45304.833333333459</v>
      </c>
      <c r="B310" s="138" t="s">
        <v>187</v>
      </c>
      <c r="C310" s="121" t="s">
        <v>229</v>
      </c>
      <c r="D310" s="121" t="s">
        <v>197</v>
      </c>
      <c r="E310" s="253" t="s">
        <v>2158</v>
      </c>
      <c r="F310" s="397" t="s">
        <v>3474</v>
      </c>
      <c r="G310" s="398"/>
      <c r="H310" s="398"/>
      <c r="I310" s="121" t="s">
        <v>490</v>
      </c>
      <c r="K310" s="517" t="s">
        <v>187</v>
      </c>
      <c r="L310" s="121" t="s">
        <v>4105</v>
      </c>
      <c r="M310" s="123"/>
      <c r="N310" s="121" t="s">
        <v>208</v>
      </c>
      <c r="O310" s="121" t="s">
        <v>328</v>
      </c>
      <c r="P310" s="517" t="s">
        <v>835</v>
      </c>
      <c r="Q310" s="122">
        <f>3128*2.4</f>
        <v>7507.2</v>
      </c>
      <c r="R310" s="122">
        <f>7550+100</f>
        <v>7650</v>
      </c>
      <c r="S310" s="122">
        <v>7500</v>
      </c>
      <c r="T310" s="399"/>
      <c r="U310" s="581"/>
      <c r="V310" s="846">
        <f>S310</f>
        <v>7500</v>
      </c>
      <c r="W310" s="739"/>
      <c r="X310" s="581"/>
      <c r="Y310" s="739"/>
      <c r="Z310" s="581"/>
      <c r="AA310" s="581"/>
      <c r="AB310" s="739"/>
      <c r="AC310" s="581"/>
      <c r="AD310" s="581"/>
      <c r="AE310" s="678"/>
      <c r="AF310" s="678"/>
      <c r="AG310" s="678"/>
      <c r="AH310" s="678"/>
      <c r="AO310" s="739"/>
      <c r="AP310" s="739"/>
      <c r="AQ310" s="739"/>
      <c r="AR310" s="739"/>
      <c r="AS310" s="739"/>
      <c r="AT310" s="739"/>
      <c r="AU310" s="739"/>
      <c r="AV310" s="739"/>
      <c r="AW310" s="739"/>
      <c r="AX310" s="739"/>
      <c r="AY310" s="739"/>
      <c r="AZ310" s="739"/>
      <c r="BA310" s="739"/>
      <c r="BB310" s="739"/>
      <c r="BC310" s="739"/>
      <c r="BD310" s="120">
        <f t="shared" si="253"/>
        <v>45299.8125</v>
      </c>
      <c r="BE310" s="120">
        <f t="shared" si="254"/>
        <v>45309.166666666664</v>
      </c>
      <c r="BF310" s="137">
        <f t="shared" si="255"/>
        <v>9.3541666666642413</v>
      </c>
      <c r="BG310" s="120">
        <f>$BE$247</f>
        <v>45299.8125</v>
      </c>
      <c r="BH310" s="120">
        <v>45300.416666666664</v>
      </c>
      <c r="BI310" s="120">
        <f t="shared" si="266"/>
        <v>45302.125</v>
      </c>
      <c r="BJ310" s="120">
        <f t="shared" si="267"/>
        <v>45304.833333333459</v>
      </c>
      <c r="BK310" s="120">
        <f t="shared" si="268"/>
        <v>45305.000000000124</v>
      </c>
      <c r="BL310" s="120">
        <f t="shared" ref="BL310:BM310" si="318">BK310+(0.5/24)</f>
        <v>45305.020833333459</v>
      </c>
      <c r="BM310" s="120">
        <f t="shared" si="318"/>
        <v>45305.041666666795</v>
      </c>
      <c r="BN310" s="120">
        <f t="shared" si="270"/>
        <v>45306.750000000131</v>
      </c>
      <c r="BO310" s="120">
        <v>45307.25</v>
      </c>
      <c r="BP310" s="120">
        <v>45307.416666666664</v>
      </c>
      <c r="BQ310" s="124" t="s">
        <v>64</v>
      </c>
      <c r="BR310" s="120">
        <f t="shared" si="313"/>
        <v>45308.416666666664</v>
      </c>
      <c r="BS310" s="120">
        <f t="shared" si="314"/>
        <v>45308.458333333328</v>
      </c>
      <c r="BT310" s="120">
        <f t="shared" si="315"/>
        <v>45308.708333333328</v>
      </c>
      <c r="BU310" s="120">
        <f t="shared" ref="BU310:BV310" si="319">BT310+(0.5/24)</f>
        <v>45308.729166666664</v>
      </c>
      <c r="BV310" s="120">
        <f t="shared" si="319"/>
        <v>45308.75</v>
      </c>
      <c r="BW310" s="120">
        <f t="shared" si="317"/>
        <v>45309.166666666664</v>
      </c>
      <c r="BZ310" s="136">
        <f t="shared" si="257"/>
        <v>41.000000000058208</v>
      </c>
      <c r="CA310" s="136">
        <f t="shared" si="258"/>
        <v>3.9999999999417923</v>
      </c>
      <c r="CB310" s="136">
        <f t="shared" si="259"/>
        <v>41.000000000058208</v>
      </c>
      <c r="CC310" s="136">
        <f t="shared" si="260"/>
        <v>24</v>
      </c>
      <c r="CD310" s="135">
        <f t="shared" si="261"/>
        <v>6</v>
      </c>
      <c r="CE310" s="135">
        <f t="shared" si="262"/>
        <v>9.9999999999417923</v>
      </c>
      <c r="CF310" s="134">
        <f t="shared" si="263"/>
        <v>5.25</v>
      </c>
      <c r="CG310" s="134">
        <f t="shared" si="264"/>
        <v>9.3541666666642413</v>
      </c>
      <c r="CH310" s="133">
        <f t="shared" si="265"/>
        <v>0.56124721603578032</v>
      </c>
    </row>
    <row r="311" spans="1:88" s="128" customFormat="1">
      <c r="A311" s="125">
        <f t="shared" si="252"/>
        <v>45305.041666666795</v>
      </c>
      <c r="B311" s="138" t="s">
        <v>187</v>
      </c>
      <c r="C311" s="121" t="s">
        <v>229</v>
      </c>
      <c r="D311" s="121" t="s">
        <v>197</v>
      </c>
      <c r="E311" s="253" t="s">
        <v>2158</v>
      </c>
      <c r="F311" s="397" t="s">
        <v>3474</v>
      </c>
      <c r="G311" s="398"/>
      <c r="H311" s="398"/>
      <c r="I311" s="121" t="s">
        <v>490</v>
      </c>
      <c r="J311" s="121"/>
      <c r="K311" s="517" t="s">
        <v>187</v>
      </c>
      <c r="L311" s="121" t="s">
        <v>4105</v>
      </c>
      <c r="M311" s="123"/>
      <c r="N311" s="121" t="s">
        <v>1799</v>
      </c>
      <c r="O311" s="121" t="s">
        <v>2437</v>
      </c>
      <c r="P311" s="517" t="s">
        <v>835</v>
      </c>
      <c r="Q311" s="122">
        <f>3147*2.4</f>
        <v>7552.7999999999993</v>
      </c>
      <c r="R311" s="122">
        <f>7550+100</f>
        <v>7650</v>
      </c>
      <c r="S311" s="122">
        <v>7600</v>
      </c>
      <c r="T311" s="667"/>
      <c r="U311" s="581"/>
      <c r="V311" s="846">
        <f>S311</f>
        <v>7600</v>
      </c>
      <c r="W311" s="739"/>
      <c r="X311" s="581"/>
      <c r="Y311" s="739"/>
      <c r="Z311" s="581"/>
      <c r="AA311" s="581"/>
      <c r="AB311" s="739"/>
      <c r="AC311" s="581"/>
      <c r="AD311" s="581"/>
      <c r="AE311" s="739"/>
      <c r="AF311" s="667"/>
      <c r="AG311" s="667"/>
      <c r="AH311" s="667"/>
      <c r="AI311" s="667"/>
      <c r="AJ311" s="667"/>
      <c r="AK311" s="667"/>
      <c r="AL311" s="667"/>
      <c r="AM311" s="581"/>
      <c r="AN311" s="581"/>
      <c r="AO311" s="581"/>
      <c r="AP311" s="581"/>
      <c r="AQ311" s="581"/>
      <c r="AR311" s="581"/>
      <c r="AS311" s="581"/>
      <c r="AT311" s="581"/>
      <c r="AU311" s="581"/>
      <c r="AV311" s="581"/>
      <c r="AW311" s="581"/>
      <c r="AX311" s="581"/>
      <c r="AY311" s="581"/>
      <c r="AZ311" s="581"/>
      <c r="BA311" s="581"/>
      <c r="BB311" s="581"/>
      <c r="BC311" s="581"/>
      <c r="BD311" s="120">
        <f t="shared" si="253"/>
        <v>45300.104166666672</v>
      </c>
      <c r="BE311" s="120">
        <f t="shared" si="254"/>
        <v>45309.166666666664</v>
      </c>
      <c r="BF311" s="137">
        <f t="shared" si="255"/>
        <v>9.062499999992724</v>
      </c>
      <c r="BG311" s="120">
        <f>$BE$171</f>
        <v>45300.104166666672</v>
      </c>
      <c r="BH311" s="120">
        <v>45301.416666666664</v>
      </c>
      <c r="BI311" s="120">
        <f t="shared" si="266"/>
        <v>45303.125</v>
      </c>
      <c r="BJ311" s="120">
        <f t="shared" si="267"/>
        <v>45305.041666666795</v>
      </c>
      <c r="BK311" s="120">
        <f t="shared" si="268"/>
        <v>45305.208333333459</v>
      </c>
      <c r="BL311" s="120">
        <f t="shared" ref="BL311:BM311" si="320">BK311+(0.5/24)</f>
        <v>45305.229166666795</v>
      </c>
      <c r="BM311" s="120">
        <f t="shared" si="320"/>
        <v>45305.250000000131</v>
      </c>
      <c r="BN311" s="120">
        <f t="shared" si="270"/>
        <v>45306.958333333467</v>
      </c>
      <c r="BO311" s="120">
        <v>45307.25</v>
      </c>
      <c r="BP311" s="120">
        <v>45307.416666666664</v>
      </c>
      <c r="BQ311" s="124" t="s">
        <v>64</v>
      </c>
      <c r="BR311" s="120">
        <f t="shared" si="313"/>
        <v>45308.416666666664</v>
      </c>
      <c r="BS311" s="120">
        <f t="shared" si="314"/>
        <v>45308.458333333328</v>
      </c>
      <c r="BT311" s="120">
        <f t="shared" si="315"/>
        <v>45308.708333333328</v>
      </c>
      <c r="BU311" s="120">
        <f t="shared" ref="BU311:BV311" si="321">BT311+(0.5/24)</f>
        <v>45308.729166666664</v>
      </c>
      <c r="BV311" s="120">
        <f t="shared" si="321"/>
        <v>45308.75</v>
      </c>
      <c r="BW311" s="120">
        <f t="shared" si="317"/>
        <v>45309.166666666664</v>
      </c>
      <c r="BX311" s="121"/>
      <c r="BY311" s="121"/>
      <c r="BZ311" s="136">
        <f t="shared" si="257"/>
        <v>41.000000000058208</v>
      </c>
      <c r="CA311" s="136">
        <f t="shared" si="258"/>
        <v>3.9999999999417923</v>
      </c>
      <c r="CB311" s="136">
        <f t="shared" si="259"/>
        <v>41.000000000058208</v>
      </c>
      <c r="CC311" s="136">
        <f t="shared" si="260"/>
        <v>24</v>
      </c>
      <c r="CD311" s="135">
        <f t="shared" si="261"/>
        <v>6</v>
      </c>
      <c r="CE311" s="135">
        <f t="shared" si="262"/>
        <v>9.9999999999417923</v>
      </c>
      <c r="CF311" s="134">
        <f t="shared" si="263"/>
        <v>5.25</v>
      </c>
      <c r="CG311" s="134">
        <f t="shared" si="264"/>
        <v>9.062499999992724</v>
      </c>
      <c r="CH311" s="133">
        <f t="shared" si="265"/>
        <v>0.57931034482805133</v>
      </c>
      <c r="CJ311" s="115"/>
    </row>
    <row r="312" spans="1:88" s="121" customFormat="1">
      <c r="A312" s="125">
        <f t="shared" si="252"/>
        <v>45305.250000000131</v>
      </c>
      <c r="B312" s="138" t="s">
        <v>187</v>
      </c>
      <c r="C312" s="121" t="s">
        <v>229</v>
      </c>
      <c r="D312" s="121" t="s">
        <v>215</v>
      </c>
      <c r="E312" s="253" t="s">
        <v>2158</v>
      </c>
      <c r="F312" s="397" t="s">
        <v>3474</v>
      </c>
      <c r="G312" s="398"/>
      <c r="H312" s="398"/>
      <c r="I312" s="121" t="s">
        <v>490</v>
      </c>
      <c r="K312" s="517" t="s">
        <v>187</v>
      </c>
      <c r="L312" s="121" t="s">
        <v>4105</v>
      </c>
      <c r="M312" s="123"/>
      <c r="N312" s="121" t="s">
        <v>252</v>
      </c>
      <c r="O312" s="121" t="s">
        <v>253</v>
      </c>
      <c r="P312" s="517" t="s">
        <v>835</v>
      </c>
      <c r="Q312" s="122">
        <f>3107*2.4</f>
        <v>7456.7999999999993</v>
      </c>
      <c r="R312" s="122">
        <f>7500+100</f>
        <v>7600</v>
      </c>
      <c r="S312" s="122">
        <v>7500</v>
      </c>
      <c r="T312" s="667"/>
      <c r="U312" s="581"/>
      <c r="V312" s="846">
        <f>S312</f>
        <v>7500</v>
      </c>
      <c r="W312" s="739"/>
      <c r="X312" s="581"/>
      <c r="Y312" s="739"/>
      <c r="Z312" s="581"/>
      <c r="AA312" s="581"/>
      <c r="AB312" s="739"/>
      <c r="AC312" s="581"/>
      <c r="AD312" s="401"/>
      <c r="AE312" s="401"/>
      <c r="AF312" s="401"/>
      <c r="AG312" s="401"/>
      <c r="AH312" s="401"/>
      <c r="AI312" s="401"/>
      <c r="AJ312" s="401"/>
      <c r="AK312" s="401"/>
      <c r="AL312" s="401"/>
      <c r="AM312" s="401"/>
      <c r="AN312" s="401"/>
      <c r="AO312" s="401"/>
      <c r="AP312" s="401"/>
      <c r="AQ312" s="401"/>
      <c r="AR312" s="401"/>
      <c r="AS312" s="401"/>
      <c r="AT312" s="401"/>
      <c r="AU312" s="401"/>
      <c r="AV312" s="401"/>
      <c r="AW312" s="401"/>
      <c r="AX312" s="401"/>
      <c r="AY312" s="401"/>
      <c r="AZ312" s="401"/>
      <c r="BA312" s="401"/>
      <c r="BB312" s="401"/>
      <c r="BC312" s="401"/>
      <c r="BD312" s="120">
        <f t="shared" si="253"/>
        <v>45300.125</v>
      </c>
      <c r="BE312" s="120">
        <f t="shared" si="254"/>
        <v>45310.208333333328</v>
      </c>
      <c r="BF312" s="137">
        <f t="shared" si="255"/>
        <v>10.083333333328483</v>
      </c>
      <c r="BG312" s="120">
        <f>$BE$208</f>
        <v>45300.125</v>
      </c>
      <c r="BH312" s="120">
        <v>45301.416666666664</v>
      </c>
      <c r="BI312" s="120">
        <f t="shared" si="266"/>
        <v>45303.125</v>
      </c>
      <c r="BJ312" s="120">
        <f t="shared" si="267"/>
        <v>45305.250000000131</v>
      </c>
      <c r="BK312" s="120">
        <f t="shared" si="268"/>
        <v>45305.416666666795</v>
      </c>
      <c r="BL312" s="120">
        <f t="shared" ref="BL312:BM312" si="322">BK312+(0.5/24)</f>
        <v>45305.437500000131</v>
      </c>
      <c r="BM312" s="120">
        <f t="shared" si="322"/>
        <v>45305.458333333467</v>
      </c>
      <c r="BN312" s="120">
        <f t="shared" si="270"/>
        <v>45307.166666666802</v>
      </c>
      <c r="BO312" s="120">
        <v>45308.291666666664</v>
      </c>
      <c r="BP312" s="120">
        <v>45308.458333333328</v>
      </c>
      <c r="BQ312" s="124" t="s">
        <v>64</v>
      </c>
      <c r="BR312" s="120">
        <f t="shared" si="313"/>
        <v>45309.458333333328</v>
      </c>
      <c r="BS312" s="120">
        <f t="shared" si="314"/>
        <v>45309.499999999993</v>
      </c>
      <c r="BT312" s="120">
        <f t="shared" si="315"/>
        <v>45309.749999999993</v>
      </c>
      <c r="BU312" s="120">
        <f t="shared" ref="BU312:BV312" si="323">BT312+(0.5/24)</f>
        <v>45309.770833333328</v>
      </c>
      <c r="BV312" s="120">
        <f t="shared" si="323"/>
        <v>45309.791666666664</v>
      </c>
      <c r="BW312" s="120">
        <f t="shared" si="317"/>
        <v>45310.208333333328</v>
      </c>
      <c r="BZ312" s="136">
        <f t="shared" si="257"/>
        <v>41.000000000058208</v>
      </c>
      <c r="CA312" s="136">
        <f t="shared" si="258"/>
        <v>3.9999999999417923</v>
      </c>
      <c r="CB312" s="136">
        <f t="shared" si="259"/>
        <v>41.000000000058208</v>
      </c>
      <c r="CC312" s="136">
        <f t="shared" si="260"/>
        <v>24</v>
      </c>
      <c r="CD312" s="135">
        <f t="shared" si="261"/>
        <v>6</v>
      </c>
      <c r="CE312" s="135">
        <f t="shared" si="262"/>
        <v>9.9999999999417923</v>
      </c>
      <c r="CF312" s="134">
        <f t="shared" si="263"/>
        <v>5.25</v>
      </c>
      <c r="CG312" s="134">
        <f t="shared" si="264"/>
        <v>10.083333333328483</v>
      </c>
      <c r="CH312" s="133">
        <f t="shared" si="265"/>
        <v>0.5206611570250439</v>
      </c>
    </row>
    <row r="313" spans="1:88" s="121" customFormat="1">
      <c r="A313" s="125">
        <f t="shared" si="252"/>
        <v>45305.458333333467</v>
      </c>
      <c r="B313" s="138" t="s">
        <v>187</v>
      </c>
      <c r="C313" s="121" t="s">
        <v>229</v>
      </c>
      <c r="D313" s="121" t="s">
        <v>197</v>
      </c>
      <c r="E313" s="253" t="s">
        <v>2158</v>
      </c>
      <c r="F313" s="397" t="s">
        <v>3474</v>
      </c>
      <c r="G313" s="398"/>
      <c r="H313" s="398"/>
      <c r="I313" s="121" t="s">
        <v>490</v>
      </c>
      <c r="K313" s="517" t="s">
        <v>187</v>
      </c>
      <c r="L313" s="121" t="s">
        <v>4105</v>
      </c>
      <c r="M313" s="123"/>
      <c r="N313" s="121" t="s">
        <v>473</v>
      </c>
      <c r="O313" s="121" t="s">
        <v>474</v>
      </c>
      <c r="P313" s="517" t="s">
        <v>494</v>
      </c>
      <c r="Q313" s="122">
        <f>3136*2.4</f>
        <v>7526.4</v>
      </c>
      <c r="R313" s="122">
        <f>7550+100</f>
        <v>7650</v>
      </c>
      <c r="S313" s="122">
        <v>7500</v>
      </c>
      <c r="T313" s="399"/>
      <c r="U313" s="846">
        <f>S313</f>
        <v>7500</v>
      </c>
      <c r="W313" s="739"/>
      <c r="X313" s="581"/>
      <c r="Y313" s="739"/>
      <c r="Z313" s="739"/>
      <c r="AA313" s="739"/>
      <c r="AB313" s="581"/>
      <c r="AC313" s="581"/>
      <c r="AD313" s="581"/>
      <c r="AE313" s="581"/>
      <c r="AF313" s="581"/>
      <c r="AG313" s="581"/>
      <c r="AH313" s="581"/>
      <c r="AI313" s="581"/>
      <c r="AJ313" s="581"/>
      <c r="AK313" s="581"/>
      <c r="AL313" s="581"/>
      <c r="AM313" s="581"/>
      <c r="AN313" s="581"/>
      <c r="AO313" s="581"/>
      <c r="AP313" s="581"/>
      <c r="AQ313" s="581"/>
      <c r="BD313" s="120">
        <f t="shared" si="253"/>
        <v>45300.375</v>
      </c>
      <c r="BE313" s="120">
        <f t="shared" si="254"/>
        <v>45310.208333333328</v>
      </c>
      <c r="BF313" s="137">
        <f t="shared" si="255"/>
        <v>9.8333333333284827</v>
      </c>
      <c r="BG313" s="120">
        <f>$BE$196</f>
        <v>45300.375</v>
      </c>
      <c r="BH313" s="120">
        <v>45301.416666666664</v>
      </c>
      <c r="BI313" s="120">
        <f t="shared" si="266"/>
        <v>45303.125</v>
      </c>
      <c r="BJ313" s="120">
        <f t="shared" si="267"/>
        <v>45305.458333333467</v>
      </c>
      <c r="BK313" s="120">
        <f t="shared" si="268"/>
        <v>45305.625000000131</v>
      </c>
      <c r="BL313" s="120">
        <f t="shared" ref="BL313:BM313" si="324">BK313+(0.5/24)</f>
        <v>45305.645833333467</v>
      </c>
      <c r="BM313" s="120">
        <f t="shared" si="324"/>
        <v>45305.666666666802</v>
      </c>
      <c r="BN313" s="120">
        <f t="shared" si="270"/>
        <v>45307.375000000138</v>
      </c>
      <c r="BO313" s="120">
        <v>45308.291666666664</v>
      </c>
      <c r="BP313" s="120">
        <v>45308.458333333328</v>
      </c>
      <c r="BQ313" s="124" t="s">
        <v>64</v>
      </c>
      <c r="BR313" s="120">
        <f t="shared" si="313"/>
        <v>45309.458333333328</v>
      </c>
      <c r="BS313" s="120">
        <f t="shared" si="314"/>
        <v>45309.499999999993</v>
      </c>
      <c r="BT313" s="120">
        <f t="shared" si="315"/>
        <v>45309.749999999993</v>
      </c>
      <c r="BU313" s="120">
        <f t="shared" ref="BU313:BV313" si="325">BT313+(0.5/24)</f>
        <v>45309.770833333328</v>
      </c>
      <c r="BV313" s="120">
        <f t="shared" si="325"/>
        <v>45309.791666666664</v>
      </c>
      <c r="BW313" s="120">
        <f t="shared" si="317"/>
        <v>45310.208333333328</v>
      </c>
      <c r="BZ313" s="136">
        <f t="shared" si="257"/>
        <v>41.000000000058208</v>
      </c>
      <c r="CA313" s="136">
        <f t="shared" si="258"/>
        <v>3.9999999999417923</v>
      </c>
      <c r="CB313" s="136">
        <f t="shared" si="259"/>
        <v>41.000000000058208</v>
      </c>
      <c r="CC313" s="136">
        <f t="shared" si="260"/>
        <v>24</v>
      </c>
      <c r="CD313" s="135">
        <f t="shared" si="261"/>
        <v>6</v>
      </c>
      <c r="CE313" s="135">
        <f t="shared" si="262"/>
        <v>9.9999999999417923</v>
      </c>
      <c r="CF313" s="134">
        <f t="shared" si="263"/>
        <v>5.25</v>
      </c>
      <c r="CG313" s="134">
        <f t="shared" si="264"/>
        <v>9.8333333333284827</v>
      </c>
      <c r="CH313" s="133">
        <f t="shared" si="265"/>
        <v>0.53389830508500913</v>
      </c>
    </row>
    <row r="314" spans="1:88" s="121" customFormat="1">
      <c r="A314" s="125">
        <f t="shared" si="252"/>
        <v>45305.666666666802</v>
      </c>
      <c r="B314" s="138" t="s">
        <v>187</v>
      </c>
      <c r="C314" s="121" t="s">
        <v>229</v>
      </c>
      <c r="D314" s="121" t="s">
        <v>215</v>
      </c>
      <c r="E314" s="253" t="s">
        <v>2158</v>
      </c>
      <c r="F314" s="397" t="s">
        <v>3474</v>
      </c>
      <c r="G314" s="398"/>
      <c r="H314" s="398"/>
      <c r="I314" s="121" t="s">
        <v>490</v>
      </c>
      <c r="K314" s="517" t="s">
        <v>187</v>
      </c>
      <c r="L314" s="121" t="s">
        <v>4105</v>
      </c>
      <c r="M314" s="123"/>
      <c r="N314" s="121" t="s">
        <v>1972</v>
      </c>
      <c r="O314" s="121" t="s">
        <v>1973</v>
      </c>
      <c r="P314" s="517" t="s">
        <v>494</v>
      </c>
      <c r="Q314" s="122">
        <f>3107*2.4</f>
        <v>7456.7999999999993</v>
      </c>
      <c r="R314" s="122">
        <f>7500+100</f>
        <v>7600</v>
      </c>
      <c r="S314" s="122">
        <v>7500</v>
      </c>
      <c r="T314" s="667"/>
      <c r="U314" s="846">
        <f>S314</f>
        <v>7500</v>
      </c>
      <c r="W314" s="739"/>
      <c r="X314" s="581"/>
      <c r="Y314" s="739"/>
      <c r="Z314" s="739"/>
      <c r="AA314" s="739"/>
      <c r="AB314" s="581"/>
      <c r="AC314" s="581"/>
      <c r="AD314" s="581"/>
      <c r="AE314" s="581"/>
      <c r="AF314" s="581"/>
      <c r="AG314" s="581"/>
      <c r="AH314" s="581"/>
      <c r="AI314" s="581"/>
      <c r="AJ314" s="581"/>
      <c r="AK314" s="581"/>
      <c r="AL314" s="581"/>
      <c r="AM314" s="581"/>
      <c r="AN314" s="581"/>
      <c r="AO314" s="581"/>
      <c r="AP314" s="581"/>
      <c r="AQ314" s="581"/>
      <c r="AR314" s="581"/>
      <c r="AS314" s="581"/>
      <c r="AT314" s="581"/>
      <c r="AU314" s="581"/>
      <c r="AV314" s="581"/>
      <c r="AW314" s="581"/>
      <c r="AX314" s="581"/>
      <c r="AY314" s="581"/>
      <c r="AZ314" s="581"/>
      <c r="BA314" s="581"/>
      <c r="BB314" s="581"/>
      <c r="BC314" s="581"/>
      <c r="BD314" s="120">
        <f t="shared" si="253"/>
        <v>45300.416666666672</v>
      </c>
      <c r="BE314" s="120">
        <f t="shared" si="254"/>
        <v>45310.208333333328</v>
      </c>
      <c r="BF314" s="137">
        <f t="shared" si="255"/>
        <v>9.7916666666569654</v>
      </c>
      <c r="BG314" s="120">
        <f>$BE$172</f>
        <v>45300.416666666672</v>
      </c>
      <c r="BH314" s="120">
        <v>45301.416666666664</v>
      </c>
      <c r="BI314" s="120">
        <f t="shared" si="266"/>
        <v>45303.125</v>
      </c>
      <c r="BJ314" s="120">
        <f t="shared" si="267"/>
        <v>45305.666666666802</v>
      </c>
      <c r="BK314" s="120">
        <f t="shared" si="268"/>
        <v>45305.833333333467</v>
      </c>
      <c r="BL314" s="120">
        <f t="shared" ref="BL314:BM314" si="326">BK314+(0.5/24)</f>
        <v>45305.854166666802</v>
      </c>
      <c r="BM314" s="120">
        <f t="shared" si="326"/>
        <v>45305.875000000138</v>
      </c>
      <c r="BN314" s="120">
        <f t="shared" si="270"/>
        <v>45307.583333333474</v>
      </c>
      <c r="BO314" s="120">
        <v>45308.291666666664</v>
      </c>
      <c r="BP314" s="120">
        <v>45308.458333333328</v>
      </c>
      <c r="BQ314" s="124" t="s">
        <v>64</v>
      </c>
      <c r="BR314" s="120">
        <f t="shared" si="313"/>
        <v>45309.458333333328</v>
      </c>
      <c r="BS314" s="120">
        <f t="shared" si="314"/>
        <v>45309.499999999993</v>
      </c>
      <c r="BT314" s="120">
        <f t="shared" si="315"/>
        <v>45309.749999999993</v>
      </c>
      <c r="BU314" s="120">
        <f t="shared" ref="BU314:BV314" si="327">BT314+(0.5/24)</f>
        <v>45309.770833333328</v>
      </c>
      <c r="BV314" s="120">
        <f t="shared" si="327"/>
        <v>45309.791666666664</v>
      </c>
      <c r="BW314" s="120">
        <f t="shared" si="317"/>
        <v>45310.208333333328</v>
      </c>
      <c r="BZ314" s="136">
        <f t="shared" si="257"/>
        <v>41.000000000058208</v>
      </c>
      <c r="CA314" s="136">
        <f t="shared" si="258"/>
        <v>3.9999999999417923</v>
      </c>
      <c r="CB314" s="136">
        <f t="shared" si="259"/>
        <v>41.000000000058208</v>
      </c>
      <c r="CC314" s="136">
        <f t="shared" si="260"/>
        <v>24</v>
      </c>
      <c r="CD314" s="135">
        <f t="shared" si="261"/>
        <v>6</v>
      </c>
      <c r="CE314" s="135">
        <f t="shared" si="262"/>
        <v>9.9999999999417923</v>
      </c>
      <c r="CF314" s="134">
        <f t="shared" si="263"/>
        <v>5.25</v>
      </c>
      <c r="CG314" s="134">
        <f t="shared" si="264"/>
        <v>9.7916666666569654</v>
      </c>
      <c r="CH314" s="133">
        <f t="shared" si="265"/>
        <v>0.53617021276648869</v>
      </c>
    </row>
    <row r="315" spans="1:88" s="121" customFormat="1">
      <c r="A315" s="125">
        <f t="shared" si="252"/>
        <v>45305.875000000138</v>
      </c>
      <c r="B315" s="138" t="s">
        <v>187</v>
      </c>
      <c r="C315" s="121" t="s">
        <v>229</v>
      </c>
      <c r="D315" s="121" t="s">
        <v>197</v>
      </c>
      <c r="E315" s="253" t="s">
        <v>3254</v>
      </c>
      <c r="F315" s="121" t="s">
        <v>3474</v>
      </c>
      <c r="G315" s="398"/>
      <c r="H315" s="398"/>
      <c r="I315" s="121" t="s">
        <v>231</v>
      </c>
      <c r="K315" s="517" t="s">
        <v>187</v>
      </c>
      <c r="L315" s="121" t="s">
        <v>4102</v>
      </c>
      <c r="M315" s="123"/>
      <c r="N315" s="121" t="s">
        <v>371</v>
      </c>
      <c r="O315" s="121" t="s">
        <v>372</v>
      </c>
      <c r="P315" s="397" t="s">
        <v>240</v>
      </c>
      <c r="Q315" s="122">
        <f>3117*2.4</f>
        <v>7480.7999999999993</v>
      </c>
      <c r="R315" s="122">
        <f>7500+100</f>
        <v>7600</v>
      </c>
      <c r="S315" s="122">
        <v>7500</v>
      </c>
      <c r="T315" s="667"/>
      <c r="U315" s="581"/>
      <c r="V315" s="581"/>
      <c r="W315" s="739"/>
      <c r="Y315" s="846">
        <f>S315</f>
        <v>7500</v>
      </c>
      <c r="Z315" s="739"/>
      <c r="AA315" s="739"/>
      <c r="AB315" s="581"/>
      <c r="AC315" s="581"/>
      <c r="AD315" s="581"/>
      <c r="AE315" s="581"/>
      <c r="AF315" s="581"/>
      <c r="AG315" s="581"/>
      <c r="AH315" s="115"/>
      <c r="AI315" s="115"/>
      <c r="AJ315" s="115"/>
      <c r="AK315" s="115"/>
      <c r="AL315" s="115"/>
      <c r="AM315" s="115"/>
      <c r="AN315" s="115"/>
      <c r="AO315" s="115"/>
      <c r="AP315" s="115"/>
      <c r="AQ315" s="115"/>
      <c r="AR315" s="115"/>
      <c r="AS315" s="115"/>
      <c r="AX315" s="517"/>
      <c r="AY315" s="517"/>
      <c r="AZ315" s="581"/>
      <c r="BA315" s="581"/>
      <c r="BB315" s="581"/>
      <c r="BC315" s="581"/>
      <c r="BD315" s="120">
        <f t="shared" si="253"/>
        <v>45300.4375</v>
      </c>
      <c r="BE315" s="120">
        <f t="shared" si="254"/>
        <v>45310.208333333328</v>
      </c>
      <c r="BF315" s="137">
        <f t="shared" si="255"/>
        <v>9.7708333333284827</v>
      </c>
      <c r="BG315" s="120">
        <f>$BE$209</f>
        <v>45300.4375</v>
      </c>
      <c r="BH315" s="120">
        <v>45301.416666666664</v>
      </c>
      <c r="BI315" s="120">
        <f t="shared" si="266"/>
        <v>45303.125</v>
      </c>
      <c r="BJ315" s="120">
        <f t="shared" si="267"/>
        <v>45305.875000000138</v>
      </c>
      <c r="BK315" s="120">
        <f t="shared" si="268"/>
        <v>45306.041666666802</v>
      </c>
      <c r="BL315" s="120">
        <f t="shared" ref="BL315:BM315" si="328">BK315+(0.5/24)</f>
        <v>45306.062500000138</v>
      </c>
      <c r="BM315" s="120">
        <f t="shared" si="328"/>
        <v>45306.083333333474</v>
      </c>
      <c r="BN315" s="120">
        <f t="shared" si="270"/>
        <v>45307.79166666681</v>
      </c>
      <c r="BO315" s="120">
        <v>45308.291666666664</v>
      </c>
      <c r="BP315" s="120">
        <v>45308.458333333328</v>
      </c>
      <c r="BQ315" s="124" t="s">
        <v>64</v>
      </c>
      <c r="BR315" s="120">
        <f t="shared" ref="BR315:BR320" si="329">BP315+(24/24)</f>
        <v>45309.458333333328</v>
      </c>
      <c r="BS315" s="120">
        <f t="shared" ref="BS315:BS322" si="330">BR315+(1/24)</f>
        <v>45309.499999999993</v>
      </c>
      <c r="BT315" s="120">
        <f t="shared" ref="BT315:BT322" si="331">BS315+(6/24)</f>
        <v>45309.749999999993</v>
      </c>
      <c r="BU315" s="120">
        <f t="shared" ref="BU315:BV322" si="332">BT315+(0.5/24)</f>
        <v>45309.770833333328</v>
      </c>
      <c r="BV315" s="120">
        <f t="shared" si="332"/>
        <v>45309.791666666664</v>
      </c>
      <c r="BW315" s="120">
        <f t="shared" ref="BW315:BW320" si="333">BV315+(10/24)</f>
        <v>45310.208333333328</v>
      </c>
      <c r="BZ315" s="136">
        <f t="shared" si="257"/>
        <v>41.000000000058208</v>
      </c>
      <c r="CA315" s="136">
        <f t="shared" si="258"/>
        <v>3.9999999999417923</v>
      </c>
      <c r="CB315" s="136">
        <f t="shared" si="259"/>
        <v>41.000000000058208</v>
      </c>
      <c r="CC315" s="136">
        <f t="shared" si="260"/>
        <v>24</v>
      </c>
      <c r="CD315" s="135">
        <f t="shared" si="261"/>
        <v>6</v>
      </c>
      <c r="CE315" s="135">
        <f t="shared" si="262"/>
        <v>9.9999999999417923</v>
      </c>
      <c r="CF315" s="134">
        <f t="shared" si="263"/>
        <v>5.25</v>
      </c>
      <c r="CG315" s="134">
        <f t="shared" si="264"/>
        <v>9.7708333333284827</v>
      </c>
      <c r="CH315" s="133">
        <f t="shared" si="265"/>
        <v>0.53731343283608768</v>
      </c>
      <c r="CI315" s="128"/>
      <c r="CJ315" s="128"/>
    </row>
    <row r="316" spans="1:88" s="121" customFormat="1">
      <c r="A316" s="125">
        <f t="shared" si="252"/>
        <v>45306.083333333474</v>
      </c>
      <c r="B316" s="138" t="s">
        <v>187</v>
      </c>
      <c r="C316" s="121" t="s">
        <v>229</v>
      </c>
      <c r="D316" s="121" t="s">
        <v>197</v>
      </c>
      <c r="E316" s="253" t="s">
        <v>3254</v>
      </c>
      <c r="F316" s="121" t="s">
        <v>3474</v>
      </c>
      <c r="G316" s="398"/>
      <c r="H316" s="398"/>
      <c r="I316" s="121" t="s">
        <v>231</v>
      </c>
      <c r="K316" s="517" t="s">
        <v>187</v>
      </c>
      <c r="L316" s="121" t="s">
        <v>4102</v>
      </c>
      <c r="M316" s="123"/>
      <c r="N316" s="121" t="s">
        <v>257</v>
      </c>
      <c r="O316" s="121" t="s">
        <v>258</v>
      </c>
      <c r="P316" s="517" t="s">
        <v>235</v>
      </c>
      <c r="Q316" s="122">
        <f>3139*2.4</f>
        <v>7533.5999999999995</v>
      </c>
      <c r="R316" s="122">
        <f>7550+100</f>
        <v>7650</v>
      </c>
      <c r="S316" s="122">
        <v>7550</v>
      </c>
      <c r="T316" s="667"/>
      <c r="V316" s="581"/>
      <c r="W316" s="739"/>
      <c r="X316" s="846">
        <f>S316</f>
        <v>7550</v>
      </c>
      <c r="Y316" s="739"/>
      <c r="Z316" s="739"/>
      <c r="AA316" s="739"/>
      <c r="AB316" s="581"/>
      <c r="AC316" s="581"/>
      <c r="AD316" s="581"/>
      <c r="AE316" s="272"/>
      <c r="AF316" s="272"/>
      <c r="AG316" s="575"/>
      <c r="AH316" s="575"/>
      <c r="AI316" s="575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581"/>
      <c r="BA316" s="581"/>
      <c r="BB316" s="581"/>
      <c r="BC316" s="581"/>
      <c r="BD316" s="120">
        <f t="shared" si="253"/>
        <v>45300.75</v>
      </c>
      <c r="BE316" s="120">
        <f t="shared" si="254"/>
        <v>45311.25</v>
      </c>
      <c r="BF316" s="137">
        <f t="shared" si="255"/>
        <v>10.5</v>
      </c>
      <c r="BG316" s="120">
        <f>$BE$210</f>
        <v>45300.75</v>
      </c>
      <c r="BH316" s="120">
        <v>45301.416666666664</v>
      </c>
      <c r="BI316" s="120">
        <f t="shared" si="266"/>
        <v>45303.125</v>
      </c>
      <c r="BJ316" s="120">
        <f t="shared" si="267"/>
        <v>45306.083333333474</v>
      </c>
      <c r="BK316" s="120">
        <f t="shared" si="268"/>
        <v>45306.250000000138</v>
      </c>
      <c r="BL316" s="120">
        <f t="shared" ref="BL316:BM316" si="334">BK316+(0.5/24)</f>
        <v>45306.270833333474</v>
      </c>
      <c r="BM316" s="120">
        <f t="shared" si="334"/>
        <v>45306.29166666681</v>
      </c>
      <c r="BN316" s="120">
        <f t="shared" si="270"/>
        <v>45308.000000000146</v>
      </c>
      <c r="BO316" s="120">
        <v>45309.333333333336</v>
      </c>
      <c r="BP316" s="120">
        <v>45309.5</v>
      </c>
      <c r="BQ316" s="124" t="s">
        <v>64</v>
      </c>
      <c r="BR316" s="120">
        <f t="shared" si="329"/>
        <v>45310.5</v>
      </c>
      <c r="BS316" s="120">
        <f t="shared" si="330"/>
        <v>45310.541666666664</v>
      </c>
      <c r="BT316" s="120">
        <f t="shared" si="331"/>
        <v>45310.791666666664</v>
      </c>
      <c r="BU316" s="120">
        <f t="shared" si="332"/>
        <v>45310.8125</v>
      </c>
      <c r="BV316" s="120">
        <f t="shared" si="332"/>
        <v>45310.833333333336</v>
      </c>
      <c r="BW316" s="120">
        <f t="shared" si="333"/>
        <v>45311.25</v>
      </c>
      <c r="BZ316" s="136">
        <f t="shared" si="257"/>
        <v>41.000000000058208</v>
      </c>
      <c r="CA316" s="136">
        <f t="shared" si="258"/>
        <v>3.9999999999417923</v>
      </c>
      <c r="CB316" s="136">
        <f t="shared" si="259"/>
        <v>41.000000000058208</v>
      </c>
      <c r="CC316" s="136">
        <f t="shared" si="260"/>
        <v>24</v>
      </c>
      <c r="CD316" s="135">
        <f t="shared" si="261"/>
        <v>6</v>
      </c>
      <c r="CE316" s="135">
        <f t="shared" si="262"/>
        <v>9.9999999999417923</v>
      </c>
      <c r="CF316" s="134">
        <f t="shared" si="263"/>
        <v>5.25</v>
      </c>
      <c r="CG316" s="134">
        <f t="shared" si="264"/>
        <v>10.5</v>
      </c>
      <c r="CH316" s="133">
        <f t="shared" si="265"/>
        <v>0.5</v>
      </c>
    </row>
    <row r="317" spans="1:88" s="121" customFormat="1">
      <c r="A317" s="125">
        <f t="shared" si="252"/>
        <v>45306.29166666681</v>
      </c>
      <c r="B317" s="138" t="s">
        <v>187</v>
      </c>
      <c r="C317" s="121" t="s">
        <v>229</v>
      </c>
      <c r="D317" s="121" t="s">
        <v>197</v>
      </c>
      <c r="E317" s="253" t="s">
        <v>3254</v>
      </c>
      <c r="F317" s="121" t="s">
        <v>3474</v>
      </c>
      <c r="G317" s="398"/>
      <c r="H317" s="398"/>
      <c r="I317" s="121" t="s">
        <v>231</v>
      </c>
      <c r="K317" s="517" t="s">
        <v>187</v>
      </c>
      <c r="L317" s="121" t="s">
        <v>4102</v>
      </c>
      <c r="M317" s="123"/>
      <c r="N317" s="121" t="s">
        <v>377</v>
      </c>
      <c r="O317" s="121" t="s">
        <v>378</v>
      </c>
      <c r="P317" s="517" t="s">
        <v>235</v>
      </c>
      <c r="Q317" s="122">
        <f>3271*2.4</f>
        <v>7850.4</v>
      </c>
      <c r="R317" s="122">
        <f>7900+100</f>
        <v>8000</v>
      </c>
      <c r="S317" s="122">
        <v>7900</v>
      </c>
      <c r="T317" s="122"/>
      <c r="V317" s="581"/>
      <c r="W317" s="739"/>
      <c r="X317" s="846">
        <f t="shared" ref="X317:X319" si="335">S317</f>
        <v>7900</v>
      </c>
      <c r="Y317" s="739"/>
      <c r="Z317" s="739"/>
      <c r="AA317" s="739"/>
      <c r="AB317" s="581"/>
      <c r="AC317" s="581"/>
      <c r="AD317" s="401"/>
      <c r="AE317" s="678"/>
      <c r="AF317" s="678"/>
      <c r="AG317" s="678"/>
      <c r="AH317" s="678"/>
      <c r="BD317" s="120">
        <f t="shared" si="253"/>
        <v>45301.0625</v>
      </c>
      <c r="BE317" s="120">
        <f t="shared" si="254"/>
        <v>45311.25</v>
      </c>
      <c r="BF317" s="137">
        <f t="shared" si="255"/>
        <v>10.1875</v>
      </c>
      <c r="BG317" s="120">
        <f>$BE$211</f>
        <v>45301.0625</v>
      </c>
      <c r="BH317" s="120">
        <v>45302.416666666664</v>
      </c>
      <c r="BI317" s="120">
        <f t="shared" si="266"/>
        <v>45304.125</v>
      </c>
      <c r="BJ317" s="120">
        <f t="shared" si="267"/>
        <v>45306.29166666681</v>
      </c>
      <c r="BK317" s="120">
        <f t="shared" si="268"/>
        <v>45306.458333333474</v>
      </c>
      <c r="BL317" s="120">
        <f t="shared" ref="BL317:BM317" si="336">BK317+(0.5/24)</f>
        <v>45306.47916666681</v>
      </c>
      <c r="BM317" s="120">
        <f t="shared" si="336"/>
        <v>45306.500000000146</v>
      </c>
      <c r="BN317" s="120">
        <f t="shared" si="270"/>
        <v>45308.208333333481</v>
      </c>
      <c r="BO317" s="120">
        <v>45309.333333333336</v>
      </c>
      <c r="BP317" s="120">
        <v>45309.5</v>
      </c>
      <c r="BQ317" s="124" t="s">
        <v>64</v>
      </c>
      <c r="BR317" s="120">
        <f t="shared" si="329"/>
        <v>45310.5</v>
      </c>
      <c r="BS317" s="120">
        <f t="shared" si="330"/>
        <v>45310.541666666664</v>
      </c>
      <c r="BT317" s="120">
        <f t="shared" si="331"/>
        <v>45310.791666666664</v>
      </c>
      <c r="BU317" s="120">
        <f t="shared" si="332"/>
        <v>45310.8125</v>
      </c>
      <c r="BV317" s="120">
        <f t="shared" si="332"/>
        <v>45310.833333333336</v>
      </c>
      <c r="BW317" s="120">
        <f t="shared" si="333"/>
        <v>45311.25</v>
      </c>
      <c r="BZ317" s="136">
        <f t="shared" si="257"/>
        <v>41.000000000058208</v>
      </c>
      <c r="CA317" s="136">
        <f t="shared" si="258"/>
        <v>3.9999999999417923</v>
      </c>
      <c r="CB317" s="136">
        <f t="shared" si="259"/>
        <v>41.000000000058208</v>
      </c>
      <c r="CC317" s="136">
        <f t="shared" si="260"/>
        <v>24</v>
      </c>
      <c r="CD317" s="135">
        <f t="shared" si="261"/>
        <v>6</v>
      </c>
      <c r="CE317" s="135">
        <f t="shared" si="262"/>
        <v>9.9999999999417923</v>
      </c>
      <c r="CF317" s="134">
        <f t="shared" si="263"/>
        <v>5.25</v>
      </c>
      <c r="CG317" s="134">
        <f t="shared" si="264"/>
        <v>10.1875</v>
      </c>
      <c r="CH317" s="133">
        <f t="shared" si="265"/>
        <v>0.51533742331288346</v>
      </c>
    </row>
    <row r="318" spans="1:88">
      <c r="A318" s="125">
        <f t="shared" si="252"/>
        <v>45306.500000000146</v>
      </c>
      <c r="B318" s="138" t="s">
        <v>187</v>
      </c>
      <c r="C318" s="121" t="s">
        <v>229</v>
      </c>
      <c r="D318" s="121" t="s">
        <v>197</v>
      </c>
      <c r="E318" s="253" t="s">
        <v>3254</v>
      </c>
      <c r="F318" s="121" t="s">
        <v>3474</v>
      </c>
      <c r="G318" s="398"/>
      <c r="H318" s="398"/>
      <c r="I318" s="121" t="s">
        <v>231</v>
      </c>
      <c r="J318" s="121"/>
      <c r="K318" s="517" t="s">
        <v>187</v>
      </c>
      <c r="L318" s="121" t="s">
        <v>4102</v>
      </c>
      <c r="M318" s="123"/>
      <c r="N318" s="121" t="s">
        <v>2800</v>
      </c>
      <c r="O318" s="121" t="s">
        <v>2801</v>
      </c>
      <c r="P318" s="517" t="s">
        <v>235</v>
      </c>
      <c r="Q318" s="122">
        <f>2205*2.4</f>
        <v>5292</v>
      </c>
      <c r="R318" s="122">
        <f>5300+100</f>
        <v>5400</v>
      </c>
      <c r="S318" s="122">
        <v>5300</v>
      </c>
      <c r="T318" s="122"/>
      <c r="U318" s="121"/>
      <c r="V318" s="581"/>
      <c r="W318" s="739"/>
      <c r="X318" s="846">
        <f t="shared" si="335"/>
        <v>5300</v>
      </c>
      <c r="Y318" s="739"/>
      <c r="Z318" s="739"/>
      <c r="AA318" s="739"/>
      <c r="AB318" s="581"/>
      <c r="AD318" s="581"/>
      <c r="AE318" s="667"/>
      <c r="AF318" s="272"/>
      <c r="AG318" s="272"/>
      <c r="AH318" s="272"/>
      <c r="AI318" s="369"/>
      <c r="AJ318" s="272"/>
      <c r="AK318" s="272"/>
      <c r="AL318" s="272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0">
        <f t="shared" si="253"/>
        <v>45301.375</v>
      </c>
      <c r="BE318" s="120">
        <f t="shared" si="254"/>
        <v>45311.25</v>
      </c>
      <c r="BF318" s="137">
        <f t="shared" si="255"/>
        <v>9.875</v>
      </c>
      <c r="BG318" s="120">
        <f>$BE$212</f>
        <v>45301.375</v>
      </c>
      <c r="BH318" s="120">
        <v>45302.416666666664</v>
      </c>
      <c r="BI318" s="120">
        <f t="shared" si="266"/>
        <v>45304.125</v>
      </c>
      <c r="BJ318" s="120">
        <f t="shared" si="267"/>
        <v>45306.500000000146</v>
      </c>
      <c r="BK318" s="120">
        <f t="shared" si="268"/>
        <v>45306.66666666681</v>
      </c>
      <c r="BL318" s="120">
        <f t="shared" ref="BL318:BM318" si="337">BK318+(0.5/24)</f>
        <v>45306.687500000146</v>
      </c>
      <c r="BM318" s="120">
        <f t="shared" si="337"/>
        <v>45306.708333333481</v>
      </c>
      <c r="BN318" s="120">
        <f t="shared" si="270"/>
        <v>45308.416666666817</v>
      </c>
      <c r="BO318" s="120">
        <v>45309.333333333336</v>
      </c>
      <c r="BP318" s="120">
        <v>45309.5</v>
      </c>
      <c r="BQ318" s="124" t="s">
        <v>64</v>
      </c>
      <c r="BR318" s="120">
        <f t="shared" si="329"/>
        <v>45310.5</v>
      </c>
      <c r="BS318" s="120">
        <f t="shared" si="330"/>
        <v>45310.541666666664</v>
      </c>
      <c r="BT318" s="120">
        <f t="shared" si="331"/>
        <v>45310.791666666664</v>
      </c>
      <c r="BU318" s="120">
        <f t="shared" si="332"/>
        <v>45310.8125</v>
      </c>
      <c r="BV318" s="120">
        <f t="shared" si="332"/>
        <v>45310.833333333336</v>
      </c>
      <c r="BW318" s="120">
        <f t="shared" si="333"/>
        <v>45311.25</v>
      </c>
      <c r="BX318" s="121"/>
      <c r="BY318" s="121"/>
      <c r="BZ318" s="136">
        <f t="shared" si="257"/>
        <v>41.000000000058208</v>
      </c>
      <c r="CA318" s="136">
        <f t="shared" si="258"/>
        <v>3.9999999999417923</v>
      </c>
      <c r="CB318" s="136">
        <f t="shared" si="259"/>
        <v>41.000000000058208</v>
      </c>
      <c r="CC318" s="136">
        <f t="shared" si="260"/>
        <v>24</v>
      </c>
      <c r="CD318" s="135">
        <f t="shared" si="261"/>
        <v>6</v>
      </c>
      <c r="CE318" s="135">
        <f t="shared" si="262"/>
        <v>9.9999999999417923</v>
      </c>
      <c r="CF318" s="134">
        <f t="shared" si="263"/>
        <v>5.25</v>
      </c>
      <c r="CG318" s="134">
        <f t="shared" si="264"/>
        <v>9.875</v>
      </c>
      <c r="CH318" s="133">
        <f t="shared" si="265"/>
        <v>0.53164556962025311</v>
      </c>
      <c r="CI318" s="121"/>
      <c r="CJ318" s="121"/>
    </row>
    <row r="319" spans="1:88" s="121" customFormat="1">
      <c r="A319" s="125">
        <f t="shared" si="252"/>
        <v>45306.708333333481</v>
      </c>
      <c r="B319" s="138" t="s">
        <v>187</v>
      </c>
      <c r="C319" s="121" t="s">
        <v>229</v>
      </c>
      <c r="D319" s="121" t="s">
        <v>197</v>
      </c>
      <c r="E319" s="253" t="s">
        <v>3254</v>
      </c>
      <c r="F319" s="121" t="s">
        <v>3474</v>
      </c>
      <c r="G319" s="398"/>
      <c r="H319" s="398"/>
      <c r="I319" s="121" t="s">
        <v>231</v>
      </c>
      <c r="K319" s="517" t="s">
        <v>187</v>
      </c>
      <c r="L319" s="121" t="s">
        <v>4102</v>
      </c>
      <c r="M319" s="123"/>
      <c r="N319" s="121" t="s">
        <v>3546</v>
      </c>
      <c r="O319" s="121" t="s">
        <v>1308</v>
      </c>
      <c r="P319" s="517" t="s">
        <v>235</v>
      </c>
      <c r="Q319" s="122">
        <f>2205*2.4</f>
        <v>5292</v>
      </c>
      <c r="R319" s="122">
        <f>5300+100</f>
        <v>5400</v>
      </c>
      <c r="S319" s="122">
        <v>5300</v>
      </c>
      <c r="T319" s="122"/>
      <c r="V319" s="581"/>
      <c r="W319" s="739"/>
      <c r="X319" s="846">
        <f t="shared" si="335"/>
        <v>5300</v>
      </c>
      <c r="Y319" s="739"/>
      <c r="Z319" s="739"/>
      <c r="AA319" s="739"/>
      <c r="AB319" s="581"/>
      <c r="AC319" s="581"/>
      <c r="AD319" s="581"/>
      <c r="AE319" s="401"/>
      <c r="AF319" s="272"/>
      <c r="AG319" s="272"/>
      <c r="AH319" s="272"/>
      <c r="AI319" s="369"/>
      <c r="AJ319" s="272"/>
      <c r="AK319" s="272"/>
      <c r="AL319" s="272"/>
      <c r="AS319" s="739"/>
      <c r="AT319" s="739"/>
      <c r="BD319" s="120">
        <f t="shared" si="253"/>
        <v>45301.416666666672</v>
      </c>
      <c r="BE319" s="120">
        <f t="shared" si="254"/>
        <v>45311.25</v>
      </c>
      <c r="BF319" s="137">
        <f t="shared" si="255"/>
        <v>9.8333333333284827</v>
      </c>
      <c r="BG319" s="120">
        <f>$BE$216</f>
        <v>45301.416666666672</v>
      </c>
      <c r="BH319" s="120">
        <v>45302.416666666664</v>
      </c>
      <c r="BI319" s="120">
        <f t="shared" si="266"/>
        <v>45304.125</v>
      </c>
      <c r="BJ319" s="120">
        <f t="shared" si="267"/>
        <v>45306.708333333481</v>
      </c>
      <c r="BK319" s="120">
        <f t="shared" si="268"/>
        <v>45306.875000000146</v>
      </c>
      <c r="BL319" s="120">
        <f t="shared" ref="BL319:BM319" si="338">BK319+(0.5/24)</f>
        <v>45306.895833333481</v>
      </c>
      <c r="BM319" s="120">
        <f t="shared" si="338"/>
        <v>45306.916666666817</v>
      </c>
      <c r="BN319" s="120">
        <f t="shared" si="270"/>
        <v>45308.625000000153</v>
      </c>
      <c r="BO319" s="120">
        <v>45309.333333333336</v>
      </c>
      <c r="BP319" s="120">
        <v>45309.5</v>
      </c>
      <c r="BQ319" s="124" t="s">
        <v>64</v>
      </c>
      <c r="BR319" s="120">
        <f t="shared" si="329"/>
        <v>45310.5</v>
      </c>
      <c r="BS319" s="120">
        <f t="shared" si="330"/>
        <v>45310.541666666664</v>
      </c>
      <c r="BT319" s="120">
        <f t="shared" si="331"/>
        <v>45310.791666666664</v>
      </c>
      <c r="BU319" s="120">
        <f t="shared" si="332"/>
        <v>45310.8125</v>
      </c>
      <c r="BV319" s="120">
        <f t="shared" si="332"/>
        <v>45310.833333333336</v>
      </c>
      <c r="BW319" s="120">
        <f t="shared" si="333"/>
        <v>45311.25</v>
      </c>
      <c r="BZ319" s="136">
        <f t="shared" si="257"/>
        <v>41.000000000058208</v>
      </c>
      <c r="CA319" s="136">
        <f t="shared" si="258"/>
        <v>3.9999999999417923</v>
      </c>
      <c r="CB319" s="136">
        <f t="shared" si="259"/>
        <v>41.000000000058208</v>
      </c>
      <c r="CC319" s="136">
        <f t="shared" si="260"/>
        <v>24</v>
      </c>
      <c r="CD319" s="135">
        <f t="shared" si="261"/>
        <v>6</v>
      </c>
      <c r="CE319" s="135">
        <f t="shared" si="262"/>
        <v>9.9999999999417923</v>
      </c>
      <c r="CF319" s="134">
        <f t="shared" si="263"/>
        <v>5.25</v>
      </c>
      <c r="CG319" s="134">
        <f t="shared" si="264"/>
        <v>9.8333333333284827</v>
      </c>
      <c r="CH319" s="133">
        <f t="shared" si="265"/>
        <v>0.53389830508500913</v>
      </c>
    </row>
    <row r="320" spans="1:88" s="121" customFormat="1">
      <c r="A320" s="125">
        <f t="shared" si="252"/>
        <v>45306.916666666817</v>
      </c>
      <c r="B320" s="138" t="s">
        <v>187</v>
      </c>
      <c r="C320" s="121" t="s">
        <v>229</v>
      </c>
      <c r="D320" s="121" t="s">
        <v>197</v>
      </c>
      <c r="E320" s="253" t="s">
        <v>3257</v>
      </c>
      <c r="F320" s="397" t="s">
        <v>3378</v>
      </c>
      <c r="G320" s="398"/>
      <c r="H320" s="398"/>
      <c r="I320" s="121" t="s">
        <v>4106</v>
      </c>
      <c r="K320" s="517" t="s">
        <v>187</v>
      </c>
      <c r="L320" s="121" t="s">
        <v>4107</v>
      </c>
      <c r="M320" s="123"/>
      <c r="N320" s="121" t="s">
        <v>2404</v>
      </c>
      <c r="O320" s="121" t="s">
        <v>2405</v>
      </c>
      <c r="P320" s="121" t="s">
        <v>173</v>
      </c>
      <c r="Q320" s="122">
        <f>4337*2.4</f>
        <v>10408.799999999999</v>
      </c>
      <c r="R320" s="122">
        <f>10500+100</f>
        <v>10600</v>
      </c>
      <c r="S320" s="122">
        <v>10500</v>
      </c>
      <c r="T320" s="667"/>
      <c r="U320" s="581"/>
      <c r="V320" s="581"/>
      <c r="W320" s="581"/>
      <c r="X320" s="581"/>
      <c r="Y320" s="581"/>
      <c r="Z320" s="581"/>
      <c r="AA320" s="1172">
        <f>S320</f>
        <v>10500</v>
      </c>
      <c r="AB320" s="581"/>
      <c r="AC320" s="581"/>
      <c r="AD320" s="581"/>
      <c r="AE320" s="581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0">
        <f t="shared" si="253"/>
        <v>45301.6875</v>
      </c>
      <c r="BE320" s="120">
        <f t="shared" si="254"/>
        <v>45311.25</v>
      </c>
      <c r="BF320" s="137">
        <f t="shared" si="255"/>
        <v>9.5625</v>
      </c>
      <c r="BG320" s="120">
        <f>$BE$213</f>
        <v>45301.6875</v>
      </c>
      <c r="BH320" s="120">
        <v>45302.416666666664</v>
      </c>
      <c r="BI320" s="120">
        <f t="shared" si="266"/>
        <v>45304.125</v>
      </c>
      <c r="BJ320" s="120">
        <f t="shared" si="267"/>
        <v>45306.916666666817</v>
      </c>
      <c r="BK320" s="120">
        <f t="shared" si="268"/>
        <v>45307.083333333481</v>
      </c>
      <c r="BL320" s="120">
        <f t="shared" ref="BL320:BM320" si="339">BK320+(0.5/24)</f>
        <v>45307.104166666817</v>
      </c>
      <c r="BM320" s="120">
        <f t="shared" si="339"/>
        <v>45307.125000000153</v>
      </c>
      <c r="BN320" s="120">
        <f t="shared" si="270"/>
        <v>45308.833333333489</v>
      </c>
      <c r="BO320" s="120">
        <v>45309.333333333336</v>
      </c>
      <c r="BP320" s="120">
        <v>45309.5</v>
      </c>
      <c r="BQ320" s="124" t="s">
        <v>64</v>
      </c>
      <c r="BR320" s="120">
        <f t="shared" si="329"/>
        <v>45310.5</v>
      </c>
      <c r="BS320" s="120">
        <f t="shared" si="330"/>
        <v>45310.541666666664</v>
      </c>
      <c r="BT320" s="120">
        <f t="shared" si="331"/>
        <v>45310.791666666664</v>
      </c>
      <c r="BU320" s="120">
        <f t="shared" si="332"/>
        <v>45310.8125</v>
      </c>
      <c r="BV320" s="120">
        <f t="shared" si="332"/>
        <v>45310.833333333336</v>
      </c>
      <c r="BW320" s="120">
        <f t="shared" si="333"/>
        <v>45311.25</v>
      </c>
      <c r="BZ320" s="136">
        <f t="shared" si="257"/>
        <v>41.000000000058208</v>
      </c>
      <c r="CA320" s="136">
        <f t="shared" si="258"/>
        <v>3.9999999999417923</v>
      </c>
      <c r="CB320" s="136">
        <f t="shared" si="259"/>
        <v>41.000000000058208</v>
      </c>
      <c r="CC320" s="136">
        <f t="shared" si="260"/>
        <v>24</v>
      </c>
      <c r="CD320" s="135">
        <f t="shared" si="261"/>
        <v>6</v>
      </c>
      <c r="CE320" s="135">
        <f t="shared" si="262"/>
        <v>9.9999999999417923</v>
      </c>
      <c r="CF320" s="134">
        <f t="shared" si="263"/>
        <v>5.25</v>
      </c>
      <c r="CG320" s="134">
        <f t="shared" si="264"/>
        <v>9.5625</v>
      </c>
      <c r="CH320" s="133">
        <f t="shared" si="265"/>
        <v>0.5490196078431373</v>
      </c>
      <c r="CI320" s="128"/>
      <c r="CJ320" s="115"/>
    </row>
    <row r="321" spans="1:88" s="128" customFormat="1">
      <c r="A321" s="125">
        <f t="shared" si="252"/>
        <v>45307.125000000153</v>
      </c>
      <c r="B321" s="138" t="s">
        <v>187</v>
      </c>
      <c r="C321" s="121" t="s">
        <v>229</v>
      </c>
      <c r="D321" s="121" t="s">
        <v>215</v>
      </c>
      <c r="E321" s="253" t="s">
        <v>3260</v>
      </c>
      <c r="F321" s="121" t="s">
        <v>3378</v>
      </c>
      <c r="G321" s="398"/>
      <c r="H321" s="398"/>
      <c r="I321" s="121" t="s">
        <v>469</v>
      </c>
      <c r="J321" s="121"/>
      <c r="K321" s="517" t="s">
        <v>187</v>
      </c>
      <c r="L321" s="121" t="s">
        <v>4103</v>
      </c>
      <c r="M321" s="123"/>
      <c r="N321" s="121" t="s">
        <v>301</v>
      </c>
      <c r="O321" s="121" t="s">
        <v>302</v>
      </c>
      <c r="P321" s="397" t="s">
        <v>172</v>
      </c>
      <c r="Q321" s="122">
        <f>3852*2.4</f>
        <v>9244.7999999999993</v>
      </c>
      <c r="R321" s="122">
        <v>9250</v>
      </c>
      <c r="S321" s="122">
        <v>9250</v>
      </c>
      <c r="T321" s="399"/>
      <c r="U321" s="115"/>
      <c r="W321" s="121"/>
      <c r="X321" s="369"/>
      <c r="Y321" s="121"/>
      <c r="Z321" s="846">
        <f>S321</f>
        <v>9250</v>
      </c>
      <c r="AA321" s="581"/>
      <c r="AB321" s="581"/>
      <c r="AC321" s="581"/>
      <c r="AD321" s="581"/>
      <c r="AE321" s="581"/>
      <c r="AF321" s="581"/>
      <c r="AG321" s="581"/>
      <c r="AH321" s="581"/>
      <c r="AI321" s="581"/>
      <c r="AJ321" s="581"/>
      <c r="AK321" s="581"/>
      <c r="AL321" s="581"/>
      <c r="AM321" s="581"/>
      <c r="AN321" s="581"/>
      <c r="AO321" s="581"/>
      <c r="AP321" s="581"/>
      <c r="AQ321" s="581"/>
      <c r="AR321" s="581"/>
      <c r="AS321" s="581"/>
      <c r="AT321" s="581"/>
      <c r="AU321" s="581"/>
      <c r="AV321" s="581"/>
      <c r="AW321" s="581"/>
      <c r="AX321" s="581"/>
      <c r="AY321" s="581"/>
      <c r="AZ321" s="581"/>
      <c r="BA321" s="581"/>
      <c r="BB321" s="581"/>
      <c r="BC321" s="581"/>
      <c r="BD321" s="120">
        <f t="shared" si="253"/>
        <v>45301.770833333336</v>
      </c>
      <c r="BE321" s="120">
        <f t="shared" si="254"/>
        <v>45313.291666666672</v>
      </c>
      <c r="BF321" s="137">
        <f t="shared" si="255"/>
        <v>11.520833333335759</v>
      </c>
      <c r="BG321" s="120">
        <f>$BE$215</f>
        <v>45301.770833333336</v>
      </c>
      <c r="BH321" s="120">
        <v>45302.416666666664</v>
      </c>
      <c r="BI321" s="120">
        <f t="shared" si="266"/>
        <v>45304.125</v>
      </c>
      <c r="BJ321" s="120">
        <f t="shared" si="267"/>
        <v>45307.125000000153</v>
      </c>
      <c r="BK321" s="120">
        <f t="shared" si="268"/>
        <v>45307.291666666817</v>
      </c>
      <c r="BL321" s="120">
        <f t="shared" ref="BL321:BM321" si="340">BK321+(0.5/24)</f>
        <v>45307.312500000153</v>
      </c>
      <c r="BM321" s="120">
        <f t="shared" si="340"/>
        <v>45307.333333333489</v>
      </c>
      <c r="BN321" s="120">
        <f t="shared" si="270"/>
        <v>45309.041666666824</v>
      </c>
      <c r="BO321" s="120">
        <v>45310.333333333336</v>
      </c>
      <c r="BP321" s="120">
        <v>45310.5</v>
      </c>
      <c r="BQ321" s="124" t="s">
        <v>64</v>
      </c>
      <c r="BR321" s="120">
        <f>BP321+((30+12)/24)</f>
        <v>45312.25</v>
      </c>
      <c r="BS321" s="120">
        <f t="shared" si="330"/>
        <v>45312.291666666664</v>
      </c>
      <c r="BT321" s="120">
        <f t="shared" si="331"/>
        <v>45312.541666666664</v>
      </c>
      <c r="BU321" s="120">
        <f t="shared" si="332"/>
        <v>45312.5625</v>
      </c>
      <c r="BV321" s="120">
        <f t="shared" si="332"/>
        <v>45312.583333333336</v>
      </c>
      <c r="BW321" s="120">
        <f>BV321+(17/24)</f>
        <v>45313.291666666672</v>
      </c>
      <c r="BX321" s="121"/>
      <c r="BY321" s="121"/>
      <c r="BZ321" s="136">
        <f t="shared" si="257"/>
        <v>41.000000000058208</v>
      </c>
      <c r="CA321" s="136">
        <f t="shared" si="258"/>
        <v>3.9999999999417923</v>
      </c>
      <c r="CB321" s="136">
        <f t="shared" si="259"/>
        <v>41.000000000058208</v>
      </c>
      <c r="CC321" s="136">
        <f t="shared" si="260"/>
        <v>42</v>
      </c>
      <c r="CD321" s="135">
        <f t="shared" si="261"/>
        <v>6</v>
      </c>
      <c r="CE321" s="135">
        <f t="shared" si="262"/>
        <v>17.000000000058208</v>
      </c>
      <c r="CF321" s="134">
        <f t="shared" si="263"/>
        <v>6.2916666666715173</v>
      </c>
      <c r="CG321" s="134">
        <f t="shared" si="264"/>
        <v>11.520833333335759</v>
      </c>
      <c r="CH321" s="133">
        <f t="shared" si="265"/>
        <v>0.54611211573267493</v>
      </c>
      <c r="CI321" s="121"/>
      <c r="CJ321" s="115"/>
    </row>
    <row r="322" spans="1:88" s="128" customFormat="1">
      <c r="A322" s="125">
        <f t="shared" ref="A322:A352" si="341">BJ322</f>
        <v>45307.333333333489</v>
      </c>
      <c r="B322" s="138" t="s">
        <v>187</v>
      </c>
      <c r="C322" s="121" t="s">
        <v>229</v>
      </c>
      <c r="D322" s="121" t="s">
        <v>197</v>
      </c>
      <c r="E322" s="253" t="s">
        <v>1746</v>
      </c>
      <c r="F322" s="121" t="s">
        <v>3378</v>
      </c>
      <c r="G322" s="398"/>
      <c r="H322" s="398"/>
      <c r="I322" s="121" t="s">
        <v>471</v>
      </c>
      <c r="J322" s="121"/>
      <c r="K322" s="517" t="s">
        <v>187</v>
      </c>
      <c r="L322" s="121" t="s">
        <v>4103</v>
      </c>
      <c r="M322" s="123"/>
      <c r="N322" s="121" t="s">
        <v>1874</v>
      </c>
      <c r="O322" s="121" t="s">
        <v>1875</v>
      </c>
      <c r="P322" s="397" t="s">
        <v>172</v>
      </c>
      <c r="Q322" s="122">
        <f>2205*2.4</f>
        <v>5292</v>
      </c>
      <c r="R322" s="122">
        <f>5300+100</f>
        <v>5400</v>
      </c>
      <c r="S322" s="122">
        <v>5300</v>
      </c>
      <c r="T322" s="122"/>
      <c r="U322" s="581"/>
      <c r="W322" s="739"/>
      <c r="X322" s="581"/>
      <c r="Y322" s="739"/>
      <c r="Z322" s="846">
        <f>S322</f>
        <v>5300</v>
      </c>
      <c r="AA322" s="581"/>
      <c r="AB322" s="581"/>
      <c r="AC322" s="577"/>
      <c r="AD322" s="581"/>
      <c r="AE322" s="577"/>
      <c r="AF322" s="577"/>
      <c r="AG322" s="577"/>
      <c r="AH322" s="577"/>
      <c r="AI322" s="577"/>
      <c r="AJ322" s="577"/>
      <c r="AK322" s="272"/>
      <c r="AL322" s="272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0">
        <f t="shared" ref="BD322:BD352" si="342">BG322</f>
        <v>45302</v>
      </c>
      <c r="BE322" s="120">
        <f t="shared" ref="BE322:BE352" si="343">BW322</f>
        <v>45312.25</v>
      </c>
      <c r="BF322" s="137">
        <f t="shared" ref="BF322:BF352" si="344">BE322-BD322</f>
        <v>10.25</v>
      </c>
      <c r="BG322" s="120">
        <f>$BE$214</f>
        <v>45302</v>
      </c>
      <c r="BH322" s="120">
        <v>45303.604166666664</v>
      </c>
      <c r="BI322" s="120">
        <f t="shared" si="266"/>
        <v>45305.3125</v>
      </c>
      <c r="BJ322" s="120">
        <f t="shared" si="267"/>
        <v>45307.333333333489</v>
      </c>
      <c r="BK322" s="120">
        <f t="shared" si="268"/>
        <v>45307.500000000153</v>
      </c>
      <c r="BL322" s="120">
        <f t="shared" ref="BL322:BM322" si="345">BK322+(0.5/24)</f>
        <v>45307.520833333489</v>
      </c>
      <c r="BM322" s="120">
        <f t="shared" si="345"/>
        <v>45307.541666666824</v>
      </c>
      <c r="BN322" s="120">
        <f t="shared" si="270"/>
        <v>45309.25000000016</v>
      </c>
      <c r="BO322" s="120">
        <v>45310.333333333336</v>
      </c>
      <c r="BP322" s="120">
        <v>45310.5</v>
      </c>
      <c r="BQ322" s="124" t="s">
        <v>64</v>
      </c>
      <c r="BR322" s="120">
        <f>BP322+(24/24)</f>
        <v>45311.5</v>
      </c>
      <c r="BS322" s="120">
        <f t="shared" si="330"/>
        <v>45311.541666666664</v>
      </c>
      <c r="BT322" s="120">
        <f t="shared" si="331"/>
        <v>45311.791666666664</v>
      </c>
      <c r="BU322" s="120">
        <f t="shared" si="332"/>
        <v>45311.8125</v>
      </c>
      <c r="BV322" s="120">
        <f t="shared" si="332"/>
        <v>45311.833333333336</v>
      </c>
      <c r="BW322" s="120">
        <f>BV322+(10/24)</f>
        <v>45312.25</v>
      </c>
      <c r="BX322" s="121"/>
      <c r="BY322" s="121"/>
      <c r="BZ322" s="136">
        <f t="shared" ref="BZ322:BZ352" si="346">(BI322-BH322)*24</f>
        <v>41.000000000058208</v>
      </c>
      <c r="CA322" s="136">
        <f t="shared" ref="CA322:CA352" si="347">(BK322-BJ322)*24</f>
        <v>3.9999999999417923</v>
      </c>
      <c r="CB322" s="136">
        <f t="shared" ref="CB322:CB352" si="348">(BN322-BM322)*24</f>
        <v>41.000000000058208</v>
      </c>
      <c r="CC322" s="136">
        <f t="shared" ref="CC322:CC352" si="349">(BR322-BP322)*24</f>
        <v>24</v>
      </c>
      <c r="CD322" s="135">
        <f t="shared" ref="CD322:CD352" si="350">(BT322-BS322)*24</f>
        <v>6</v>
      </c>
      <c r="CE322" s="135">
        <f t="shared" ref="CE322:CE352" si="351">(BW322-BV322)*24</f>
        <v>9.9999999999417923</v>
      </c>
      <c r="CF322" s="134">
        <f t="shared" ref="CF322:CF352" si="352">SUM(BZ322:CE322)/24</f>
        <v>5.25</v>
      </c>
      <c r="CG322" s="134">
        <f t="shared" ref="CG322:CG352" si="353">BF322</f>
        <v>10.25</v>
      </c>
      <c r="CH322" s="133">
        <f t="shared" ref="CH322:CH352" si="354">CF322/CG322</f>
        <v>0.51219512195121952</v>
      </c>
      <c r="CI322" s="121"/>
      <c r="CJ322" s="121"/>
    </row>
    <row r="323" spans="1:88" s="128" customFormat="1">
      <c r="A323" s="125">
        <f t="shared" si="341"/>
        <v>45307.541666666824</v>
      </c>
      <c r="B323" s="138" t="s">
        <v>187</v>
      </c>
      <c r="C323" s="121" t="s">
        <v>229</v>
      </c>
      <c r="D323" s="121" t="s">
        <v>197</v>
      </c>
      <c r="E323" s="253" t="s">
        <v>1746</v>
      </c>
      <c r="F323" s="121" t="s">
        <v>3378</v>
      </c>
      <c r="G323" s="398"/>
      <c r="H323" s="398"/>
      <c r="I323" s="121" t="s">
        <v>471</v>
      </c>
      <c r="J323" s="121"/>
      <c r="K323" s="517" t="s">
        <v>187</v>
      </c>
      <c r="L323" s="121" t="s">
        <v>4102</v>
      </c>
      <c r="M323" s="123"/>
      <c r="N323" s="121" t="s">
        <v>3403</v>
      </c>
      <c r="O323" s="121" t="s">
        <v>255</v>
      </c>
      <c r="P323" s="517" t="s">
        <v>240</v>
      </c>
      <c r="Q323" s="122">
        <f>3047*2.4</f>
        <v>7312.8</v>
      </c>
      <c r="R323" s="122">
        <f>7400+100</f>
        <v>7500</v>
      </c>
      <c r="S323" s="122">
        <v>7300</v>
      </c>
      <c r="T323" s="667"/>
      <c r="U323" s="581"/>
      <c r="V323" s="581"/>
      <c r="W323" s="739"/>
      <c r="X323" s="581"/>
      <c r="Y323" s="846">
        <f>S323</f>
        <v>7300</v>
      </c>
      <c r="Z323" s="739"/>
      <c r="AA323" s="739"/>
      <c r="AB323" s="581"/>
      <c r="AC323" s="581"/>
      <c r="AD323" s="581"/>
      <c r="AE323" s="581"/>
      <c r="AF323" s="581"/>
      <c r="AG323" s="581"/>
      <c r="AH323" s="58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0">
        <f t="shared" si="342"/>
        <v>45302.5</v>
      </c>
      <c r="BE323" s="120">
        <f t="shared" si="343"/>
        <v>45312.25</v>
      </c>
      <c r="BF323" s="137">
        <f t="shared" si="344"/>
        <v>9.75</v>
      </c>
      <c r="BG323" s="120">
        <f>$BE$186</f>
        <v>45302.5</v>
      </c>
      <c r="BH323" s="120">
        <v>45303.604166666664</v>
      </c>
      <c r="BI323" s="120">
        <f t="shared" si="266"/>
        <v>45305.3125</v>
      </c>
      <c r="BJ323" s="120">
        <f t="shared" si="267"/>
        <v>45307.541666666824</v>
      </c>
      <c r="BK323" s="120">
        <f t="shared" si="268"/>
        <v>45307.708333333489</v>
      </c>
      <c r="BL323" s="120">
        <f t="shared" ref="BL323:BM323" si="355">BK323+(0.5/24)</f>
        <v>45307.729166666824</v>
      </c>
      <c r="BM323" s="120">
        <f t="shared" si="355"/>
        <v>45307.75000000016</v>
      </c>
      <c r="BN323" s="120">
        <f t="shared" si="270"/>
        <v>45309.458333333496</v>
      </c>
      <c r="BO323" s="120">
        <v>45310.333333333336</v>
      </c>
      <c r="BP323" s="120">
        <v>45310.5</v>
      </c>
      <c r="BQ323" s="124" t="s">
        <v>64</v>
      </c>
      <c r="BR323" s="120">
        <f t="shared" ref="BR323:BR330" si="356">BP323+(24/24)</f>
        <v>45311.5</v>
      </c>
      <c r="BS323" s="120">
        <f t="shared" ref="BS323:BS330" si="357">BR323+(1/24)</f>
        <v>45311.541666666664</v>
      </c>
      <c r="BT323" s="120">
        <f t="shared" ref="BT323:BT330" si="358">BS323+(6/24)</f>
        <v>45311.791666666664</v>
      </c>
      <c r="BU323" s="120">
        <f t="shared" ref="BU323:BV323" si="359">BT323+(0.5/24)</f>
        <v>45311.8125</v>
      </c>
      <c r="BV323" s="120">
        <f t="shared" si="359"/>
        <v>45311.833333333336</v>
      </c>
      <c r="BW323" s="120">
        <f t="shared" ref="BW323:BW330" si="360">BV323+(10/24)</f>
        <v>45312.25</v>
      </c>
      <c r="BX323" s="121"/>
      <c r="BY323" s="121"/>
      <c r="BZ323" s="136">
        <f t="shared" si="346"/>
        <v>41.000000000058208</v>
      </c>
      <c r="CA323" s="136">
        <f t="shared" si="347"/>
        <v>3.9999999999417923</v>
      </c>
      <c r="CB323" s="136">
        <f t="shared" si="348"/>
        <v>41.000000000058208</v>
      </c>
      <c r="CC323" s="136">
        <f t="shared" si="349"/>
        <v>24</v>
      </c>
      <c r="CD323" s="135">
        <f t="shared" si="350"/>
        <v>6</v>
      </c>
      <c r="CE323" s="135">
        <f t="shared" si="351"/>
        <v>9.9999999999417923</v>
      </c>
      <c r="CF323" s="134">
        <f t="shared" si="352"/>
        <v>5.25</v>
      </c>
      <c r="CG323" s="134">
        <f t="shared" si="353"/>
        <v>9.75</v>
      </c>
      <c r="CH323" s="133">
        <f t="shared" si="354"/>
        <v>0.53846153846153844</v>
      </c>
      <c r="CJ323" s="115"/>
    </row>
    <row r="324" spans="1:88" s="128" customFormat="1">
      <c r="A324" s="125">
        <f t="shared" si="341"/>
        <v>45307.75000000016</v>
      </c>
      <c r="B324" s="138" t="s">
        <v>187</v>
      </c>
      <c r="C324" s="121" t="s">
        <v>229</v>
      </c>
      <c r="D324" s="121" t="s">
        <v>197</v>
      </c>
      <c r="E324" s="253" t="s">
        <v>1746</v>
      </c>
      <c r="F324" s="121" t="s">
        <v>3378</v>
      </c>
      <c r="G324" s="398"/>
      <c r="H324" s="398"/>
      <c r="I324" s="121" t="s">
        <v>231</v>
      </c>
      <c r="J324" s="121"/>
      <c r="K324" s="517" t="s">
        <v>187</v>
      </c>
      <c r="L324" s="121" t="s">
        <v>4102</v>
      </c>
      <c r="M324" s="123"/>
      <c r="N324" s="121" t="s">
        <v>218</v>
      </c>
      <c r="O324" s="121" t="s">
        <v>350</v>
      </c>
      <c r="P324" s="517" t="s">
        <v>240</v>
      </c>
      <c r="Q324" s="122">
        <f>3077*2.4</f>
        <v>7384.7999999999993</v>
      </c>
      <c r="R324" s="122">
        <f>7400+100</f>
        <v>7500</v>
      </c>
      <c r="S324" s="122">
        <v>7400</v>
      </c>
      <c r="T324" s="122"/>
      <c r="U324" s="581"/>
      <c r="V324" s="581"/>
      <c r="W324" s="739"/>
      <c r="X324" s="581"/>
      <c r="Y324" s="846">
        <f t="shared" ref="Y324:Y330" si="361">S324</f>
        <v>7400</v>
      </c>
      <c r="Z324" s="739"/>
      <c r="AA324" s="739"/>
      <c r="AB324" s="581"/>
      <c r="AC324" s="581"/>
      <c r="AD324" s="581"/>
      <c r="AE324" s="581"/>
      <c r="AF324" s="581"/>
      <c r="AG324" s="581"/>
      <c r="AH324" s="581"/>
      <c r="AI324" s="581"/>
      <c r="AJ324" s="581"/>
      <c r="AK324" s="581"/>
      <c r="AL324" s="581"/>
      <c r="AM324" s="581"/>
      <c r="AN324" s="581"/>
      <c r="AO324" s="581"/>
      <c r="AP324" s="581"/>
      <c r="AQ324" s="581"/>
      <c r="AR324" s="581"/>
      <c r="AS324" s="581"/>
      <c r="AT324" s="581"/>
      <c r="AU324" s="581"/>
      <c r="AV324" s="581"/>
      <c r="AW324" s="581"/>
      <c r="AX324" s="581"/>
      <c r="AY324" s="581"/>
      <c r="AZ324" s="581"/>
      <c r="BA324" s="581"/>
      <c r="BB324" s="581"/>
      <c r="BC324" s="581"/>
      <c r="BD324" s="120">
        <f t="shared" si="342"/>
        <v>45302.5</v>
      </c>
      <c r="BE324" s="120">
        <f t="shared" si="343"/>
        <v>45312.25</v>
      </c>
      <c r="BF324" s="137">
        <f t="shared" si="344"/>
        <v>9.75</v>
      </c>
      <c r="BG324" s="120">
        <f>$BE$220</f>
        <v>45302.5</v>
      </c>
      <c r="BH324" s="120">
        <v>45303.604166666664</v>
      </c>
      <c r="BI324" s="120">
        <f t="shared" si="266"/>
        <v>45305.3125</v>
      </c>
      <c r="BJ324" s="120">
        <f t="shared" si="267"/>
        <v>45307.75000000016</v>
      </c>
      <c r="BK324" s="120">
        <f t="shared" si="268"/>
        <v>45307.916666666824</v>
      </c>
      <c r="BL324" s="120">
        <f t="shared" ref="BL324:BM324" si="362">BK324+(0.5/24)</f>
        <v>45307.93750000016</v>
      </c>
      <c r="BM324" s="120">
        <f t="shared" si="362"/>
        <v>45307.958333333496</v>
      </c>
      <c r="BN324" s="120">
        <f t="shared" si="270"/>
        <v>45309.666666666832</v>
      </c>
      <c r="BO324" s="120">
        <v>45310.333333333336</v>
      </c>
      <c r="BP324" s="120">
        <v>45310.5</v>
      </c>
      <c r="BQ324" s="124" t="s">
        <v>64</v>
      </c>
      <c r="BR324" s="120">
        <f t="shared" si="356"/>
        <v>45311.5</v>
      </c>
      <c r="BS324" s="120">
        <f t="shared" si="357"/>
        <v>45311.541666666664</v>
      </c>
      <c r="BT324" s="120">
        <f t="shared" si="358"/>
        <v>45311.791666666664</v>
      </c>
      <c r="BU324" s="120">
        <f t="shared" ref="BU324:BV324" si="363">BT324+(0.5/24)</f>
        <v>45311.8125</v>
      </c>
      <c r="BV324" s="120">
        <f t="shared" si="363"/>
        <v>45311.833333333336</v>
      </c>
      <c r="BW324" s="120">
        <f t="shared" si="360"/>
        <v>45312.25</v>
      </c>
      <c r="BX324" s="121"/>
      <c r="BY324" s="121"/>
      <c r="BZ324" s="136">
        <f t="shared" si="346"/>
        <v>41.000000000058208</v>
      </c>
      <c r="CA324" s="136">
        <f t="shared" si="347"/>
        <v>3.9999999999417923</v>
      </c>
      <c r="CB324" s="136">
        <f t="shared" si="348"/>
        <v>41.000000000058208</v>
      </c>
      <c r="CC324" s="136">
        <f t="shared" si="349"/>
        <v>24</v>
      </c>
      <c r="CD324" s="135">
        <f t="shared" si="350"/>
        <v>6</v>
      </c>
      <c r="CE324" s="135">
        <f t="shared" si="351"/>
        <v>9.9999999999417923</v>
      </c>
      <c r="CF324" s="134">
        <f t="shared" si="352"/>
        <v>5.25</v>
      </c>
      <c r="CG324" s="134">
        <f t="shared" si="353"/>
        <v>9.75</v>
      </c>
      <c r="CH324" s="133">
        <f t="shared" si="354"/>
        <v>0.53846153846153844</v>
      </c>
      <c r="CI324" s="121"/>
      <c r="CJ324" s="121"/>
    </row>
    <row r="325" spans="1:88" s="128" customFormat="1">
      <c r="A325" s="125">
        <f t="shared" si="341"/>
        <v>45307.958333333496</v>
      </c>
      <c r="B325" s="138" t="s">
        <v>187</v>
      </c>
      <c r="C325" s="121" t="s">
        <v>229</v>
      </c>
      <c r="D325" s="121" t="s">
        <v>197</v>
      </c>
      <c r="E325" s="253" t="s">
        <v>1746</v>
      </c>
      <c r="F325" s="121" t="s">
        <v>3378</v>
      </c>
      <c r="G325" s="398"/>
      <c r="H325" s="398"/>
      <c r="I325" s="121" t="s">
        <v>231</v>
      </c>
      <c r="J325" s="121"/>
      <c r="K325" s="517" t="s">
        <v>187</v>
      </c>
      <c r="L325" s="121" t="s">
        <v>4102</v>
      </c>
      <c r="M325" s="123"/>
      <c r="N325" s="121" t="s">
        <v>1313</v>
      </c>
      <c r="O325" s="121" t="s">
        <v>2486</v>
      </c>
      <c r="P325" s="517" t="s">
        <v>240</v>
      </c>
      <c r="Q325" s="122">
        <f>3071*2.4</f>
        <v>7370.4</v>
      </c>
      <c r="R325" s="122">
        <f>7400+100</f>
        <v>7500</v>
      </c>
      <c r="S325" s="122">
        <v>7400</v>
      </c>
      <c r="T325" s="121"/>
      <c r="U325" s="581"/>
      <c r="V325" s="581"/>
      <c r="W325" s="739"/>
      <c r="X325" s="581"/>
      <c r="Y325" s="846">
        <f t="shared" si="361"/>
        <v>7400</v>
      </c>
      <c r="Z325" s="739"/>
      <c r="AA325" s="739"/>
      <c r="AB325" s="581"/>
      <c r="AC325" s="581"/>
      <c r="AD325" s="581"/>
      <c r="AE325" s="581"/>
      <c r="AF325" s="581"/>
      <c r="AG325" s="581"/>
      <c r="AH325" s="577"/>
      <c r="AI325" s="577"/>
      <c r="AJ325" s="577"/>
      <c r="AK325" s="115"/>
      <c r="AL325" s="115"/>
      <c r="AM325" s="739"/>
      <c r="AN325" s="115"/>
      <c r="AO325" s="115"/>
      <c r="AP325" s="115"/>
      <c r="AQ325" s="115"/>
      <c r="AR325" s="121"/>
      <c r="AS325" s="121"/>
      <c r="AT325" s="121"/>
      <c r="AU325" s="121"/>
      <c r="AV325" s="121"/>
      <c r="AW325" s="121"/>
      <c r="AX325" s="121"/>
      <c r="AY325" s="121"/>
      <c r="AZ325" s="121"/>
      <c r="BA325" s="121"/>
      <c r="BB325" s="121"/>
      <c r="BC325" s="121"/>
      <c r="BD325" s="120">
        <f t="shared" si="342"/>
        <v>45302.5</v>
      </c>
      <c r="BE325" s="120">
        <f t="shared" si="343"/>
        <v>45312.25</v>
      </c>
      <c r="BF325" s="137">
        <f t="shared" si="344"/>
        <v>9.75</v>
      </c>
      <c r="BG325" s="120">
        <f>$BE$226</f>
        <v>45302.5</v>
      </c>
      <c r="BH325" s="120">
        <v>45303.604166666664</v>
      </c>
      <c r="BI325" s="120">
        <f t="shared" si="266"/>
        <v>45305.3125</v>
      </c>
      <c r="BJ325" s="120">
        <f t="shared" si="267"/>
        <v>45307.958333333496</v>
      </c>
      <c r="BK325" s="120">
        <f t="shared" si="268"/>
        <v>45308.12500000016</v>
      </c>
      <c r="BL325" s="120">
        <f t="shared" ref="BL325:BM325" si="364">BK325+(0.5/24)</f>
        <v>45308.145833333496</v>
      </c>
      <c r="BM325" s="120">
        <f t="shared" si="364"/>
        <v>45308.166666666832</v>
      </c>
      <c r="BN325" s="120">
        <f t="shared" si="270"/>
        <v>45309.875000000167</v>
      </c>
      <c r="BO325" s="120">
        <v>45310.333333333336</v>
      </c>
      <c r="BP325" s="120">
        <v>45310.5</v>
      </c>
      <c r="BQ325" s="124" t="s">
        <v>64</v>
      </c>
      <c r="BR325" s="120">
        <f t="shared" si="356"/>
        <v>45311.5</v>
      </c>
      <c r="BS325" s="120">
        <f t="shared" si="357"/>
        <v>45311.541666666664</v>
      </c>
      <c r="BT325" s="120">
        <f t="shared" si="358"/>
        <v>45311.791666666664</v>
      </c>
      <c r="BU325" s="120">
        <f t="shared" ref="BU325:BV325" si="365">BT325+(0.5/24)</f>
        <v>45311.8125</v>
      </c>
      <c r="BV325" s="120">
        <f t="shared" si="365"/>
        <v>45311.833333333336</v>
      </c>
      <c r="BW325" s="120">
        <f t="shared" si="360"/>
        <v>45312.25</v>
      </c>
      <c r="BX325" s="121"/>
      <c r="BY325" s="121"/>
      <c r="BZ325" s="136">
        <f t="shared" si="346"/>
        <v>41.000000000058208</v>
      </c>
      <c r="CA325" s="136">
        <f t="shared" si="347"/>
        <v>3.9999999999417923</v>
      </c>
      <c r="CB325" s="136">
        <f t="shared" si="348"/>
        <v>41.000000000058208</v>
      </c>
      <c r="CC325" s="136">
        <f t="shared" si="349"/>
        <v>24</v>
      </c>
      <c r="CD325" s="135">
        <f t="shared" si="350"/>
        <v>6</v>
      </c>
      <c r="CE325" s="135">
        <f t="shared" si="351"/>
        <v>9.9999999999417923</v>
      </c>
      <c r="CF325" s="134">
        <f t="shared" si="352"/>
        <v>5.25</v>
      </c>
      <c r="CG325" s="134">
        <f t="shared" si="353"/>
        <v>9.75</v>
      </c>
      <c r="CH325" s="133">
        <f t="shared" si="354"/>
        <v>0.53846153846153844</v>
      </c>
      <c r="CI325" s="121"/>
      <c r="CJ325" s="121"/>
    </row>
    <row r="326" spans="1:88" s="369" customFormat="1">
      <c r="A326" s="125">
        <f t="shared" si="341"/>
        <v>45308.166666666832</v>
      </c>
      <c r="B326" s="138" t="s">
        <v>187</v>
      </c>
      <c r="C326" s="121" t="s">
        <v>229</v>
      </c>
      <c r="D326" s="121" t="s">
        <v>197</v>
      </c>
      <c r="E326" s="253" t="s">
        <v>1746</v>
      </c>
      <c r="F326" s="121" t="s">
        <v>3378</v>
      </c>
      <c r="G326" s="398"/>
      <c r="H326" s="398"/>
      <c r="I326" s="121" t="s">
        <v>231</v>
      </c>
      <c r="J326" s="121"/>
      <c r="K326" s="517" t="s">
        <v>187</v>
      </c>
      <c r="L326" s="121" t="s">
        <v>4102</v>
      </c>
      <c r="M326" s="123"/>
      <c r="N326" s="121" t="s">
        <v>437</v>
      </c>
      <c r="O326" s="121" t="s">
        <v>320</v>
      </c>
      <c r="P326" s="517" t="s">
        <v>240</v>
      </c>
      <c r="Q326" s="122">
        <f>3136*2.4</f>
        <v>7526.4</v>
      </c>
      <c r="R326" s="122">
        <f>7550+100</f>
        <v>7650</v>
      </c>
      <c r="S326" s="122">
        <v>7550</v>
      </c>
      <c r="T326" s="667"/>
      <c r="U326" s="581"/>
      <c r="V326" s="581"/>
      <c r="W326" s="739"/>
      <c r="X326" s="581"/>
      <c r="Y326" s="846">
        <f t="shared" si="361"/>
        <v>7550</v>
      </c>
      <c r="Z326" s="739"/>
      <c r="AA326" s="739"/>
      <c r="AB326" s="581"/>
      <c r="AC326" s="581"/>
      <c r="AD326" s="581"/>
      <c r="AE326" s="739"/>
      <c r="AF326" s="401"/>
      <c r="AG326" s="401"/>
      <c r="AH326" s="401"/>
      <c r="AI326" s="401"/>
      <c r="AJ326" s="401"/>
      <c r="AK326" s="401"/>
      <c r="AL326" s="401"/>
      <c r="AM326" s="581"/>
      <c r="AN326" s="581"/>
      <c r="AO326" s="581"/>
      <c r="AP326" s="581"/>
      <c r="AQ326" s="581"/>
      <c r="AR326" s="581"/>
      <c r="AS326" s="581"/>
      <c r="AT326" s="581"/>
      <c r="AU326" s="581"/>
      <c r="AV326" s="581"/>
      <c r="AW326" s="581"/>
      <c r="AX326" s="581"/>
      <c r="AY326" s="581"/>
      <c r="AZ326" s="581"/>
      <c r="BA326" s="121"/>
      <c r="BB326" s="121"/>
      <c r="BC326" s="121"/>
      <c r="BD326" s="120">
        <f t="shared" si="342"/>
        <v>45302.8125</v>
      </c>
      <c r="BE326" s="120">
        <f t="shared" si="343"/>
        <v>45313.25</v>
      </c>
      <c r="BF326" s="137">
        <f t="shared" si="344"/>
        <v>10.4375</v>
      </c>
      <c r="BG326" s="120">
        <f>$BE$187</f>
        <v>45302.8125</v>
      </c>
      <c r="BH326" s="120">
        <v>45303.604166666664</v>
      </c>
      <c r="BI326" s="120">
        <f t="shared" si="266"/>
        <v>45305.3125</v>
      </c>
      <c r="BJ326" s="120">
        <f t="shared" si="267"/>
        <v>45308.166666666832</v>
      </c>
      <c r="BK326" s="120">
        <f t="shared" si="268"/>
        <v>45308.333333333496</v>
      </c>
      <c r="BL326" s="120">
        <f t="shared" ref="BL326:BM326" si="366">BK326+(0.5/24)</f>
        <v>45308.354166666832</v>
      </c>
      <c r="BM326" s="120">
        <f t="shared" si="366"/>
        <v>45308.375000000167</v>
      </c>
      <c r="BN326" s="120">
        <f t="shared" si="270"/>
        <v>45310.083333333503</v>
      </c>
      <c r="BO326" s="120">
        <v>45311.333333333336</v>
      </c>
      <c r="BP326" s="120">
        <v>45311.5</v>
      </c>
      <c r="BQ326" s="124" t="s">
        <v>64</v>
      </c>
      <c r="BR326" s="120">
        <f t="shared" si="356"/>
        <v>45312.5</v>
      </c>
      <c r="BS326" s="120">
        <f t="shared" si="357"/>
        <v>45312.541666666664</v>
      </c>
      <c r="BT326" s="120">
        <f t="shared" si="358"/>
        <v>45312.791666666664</v>
      </c>
      <c r="BU326" s="120">
        <f t="shared" ref="BU326:BV326" si="367">BT326+(0.5/24)</f>
        <v>45312.8125</v>
      </c>
      <c r="BV326" s="120">
        <f t="shared" si="367"/>
        <v>45312.833333333336</v>
      </c>
      <c r="BW326" s="120">
        <f t="shared" si="360"/>
        <v>45313.25</v>
      </c>
      <c r="BX326" s="121"/>
      <c r="BY326" s="121"/>
      <c r="BZ326" s="136">
        <f t="shared" si="346"/>
        <v>41.000000000058208</v>
      </c>
      <c r="CA326" s="136">
        <f t="shared" si="347"/>
        <v>3.9999999999417923</v>
      </c>
      <c r="CB326" s="136">
        <f t="shared" si="348"/>
        <v>41.000000000058208</v>
      </c>
      <c r="CC326" s="136">
        <f t="shared" si="349"/>
        <v>24</v>
      </c>
      <c r="CD326" s="135">
        <f t="shared" si="350"/>
        <v>6</v>
      </c>
      <c r="CE326" s="135">
        <f t="shared" si="351"/>
        <v>9.9999999999417923</v>
      </c>
      <c r="CF326" s="134">
        <f t="shared" si="352"/>
        <v>5.25</v>
      </c>
      <c r="CG326" s="134">
        <f t="shared" si="353"/>
        <v>10.4375</v>
      </c>
      <c r="CH326" s="133">
        <f t="shared" si="354"/>
        <v>0.50299401197604787</v>
      </c>
      <c r="CI326" s="121"/>
      <c r="CJ326" s="121"/>
    </row>
    <row r="327" spans="1:88" s="121" customFormat="1">
      <c r="A327" s="125">
        <f t="shared" si="341"/>
        <v>45308.375000000167</v>
      </c>
      <c r="B327" s="138" t="s">
        <v>187</v>
      </c>
      <c r="C327" s="121" t="s">
        <v>229</v>
      </c>
      <c r="D327" s="121" t="s">
        <v>197</v>
      </c>
      <c r="E327" s="253" t="s">
        <v>1746</v>
      </c>
      <c r="F327" s="121" t="s">
        <v>3378</v>
      </c>
      <c r="G327" s="398"/>
      <c r="H327" s="398"/>
      <c r="I327" s="121" t="s">
        <v>231</v>
      </c>
      <c r="K327" s="517" t="s">
        <v>187</v>
      </c>
      <c r="L327" s="121" t="s">
        <v>4102</v>
      </c>
      <c r="M327" s="123"/>
      <c r="N327" s="121" t="s">
        <v>330</v>
      </c>
      <c r="O327" s="121" t="s">
        <v>331</v>
      </c>
      <c r="P327" s="517" t="s">
        <v>240</v>
      </c>
      <c r="Q327" s="122">
        <f>3136*2.4</f>
        <v>7526.4</v>
      </c>
      <c r="R327" s="122">
        <f>7550+100</f>
        <v>7650</v>
      </c>
      <c r="S327" s="122">
        <v>7500</v>
      </c>
      <c r="T327" s="667"/>
      <c r="U327" s="581"/>
      <c r="V327" s="581"/>
      <c r="W327" s="739"/>
      <c r="X327" s="581"/>
      <c r="Y327" s="846">
        <f t="shared" si="361"/>
        <v>7500</v>
      </c>
      <c r="Z327" s="739"/>
      <c r="AA327" s="739"/>
      <c r="AB327" s="581"/>
      <c r="AC327" s="581"/>
      <c r="AD327" s="581"/>
      <c r="AE327" s="581"/>
      <c r="AF327" s="581"/>
      <c r="AG327" s="581"/>
      <c r="AH327" s="739"/>
      <c r="AI327" s="115"/>
      <c r="AJ327" s="115"/>
      <c r="AK327" s="115"/>
      <c r="AL327" s="115"/>
      <c r="AM327" s="115"/>
      <c r="AN327" s="115"/>
      <c r="AO327" s="115"/>
      <c r="AP327" s="115"/>
      <c r="AQ327" s="115"/>
      <c r="BD327" s="120">
        <f t="shared" si="342"/>
        <v>45302.8125</v>
      </c>
      <c r="BE327" s="120">
        <f t="shared" si="343"/>
        <v>45313.25</v>
      </c>
      <c r="BF327" s="137">
        <f t="shared" si="344"/>
        <v>10.4375</v>
      </c>
      <c r="BG327" s="120">
        <f>$BE$221</f>
        <v>45302.8125</v>
      </c>
      <c r="BH327" s="120">
        <v>45303.604166666664</v>
      </c>
      <c r="BI327" s="120">
        <f t="shared" si="266"/>
        <v>45305.3125</v>
      </c>
      <c r="BJ327" s="120">
        <f t="shared" si="267"/>
        <v>45308.375000000167</v>
      </c>
      <c r="BK327" s="120">
        <f t="shared" si="268"/>
        <v>45308.541666666832</v>
      </c>
      <c r="BL327" s="120">
        <f t="shared" ref="BL327:BM327" si="368">BK327+(0.5/24)</f>
        <v>45308.562500000167</v>
      </c>
      <c r="BM327" s="120">
        <f t="shared" si="368"/>
        <v>45308.583333333503</v>
      </c>
      <c r="BN327" s="120">
        <f t="shared" si="270"/>
        <v>45310.291666666839</v>
      </c>
      <c r="BO327" s="120">
        <v>45311.333333333336</v>
      </c>
      <c r="BP327" s="120">
        <v>45311.5</v>
      </c>
      <c r="BQ327" s="124" t="s">
        <v>64</v>
      </c>
      <c r="BR327" s="120">
        <f t="shared" si="356"/>
        <v>45312.5</v>
      </c>
      <c r="BS327" s="120">
        <f t="shared" si="357"/>
        <v>45312.541666666664</v>
      </c>
      <c r="BT327" s="120">
        <f t="shared" si="358"/>
        <v>45312.791666666664</v>
      </c>
      <c r="BU327" s="120">
        <f t="shared" ref="BU327:BV327" si="369">BT327+(0.5/24)</f>
        <v>45312.8125</v>
      </c>
      <c r="BV327" s="120">
        <f t="shared" si="369"/>
        <v>45312.833333333336</v>
      </c>
      <c r="BW327" s="120">
        <f t="shared" si="360"/>
        <v>45313.25</v>
      </c>
      <c r="BZ327" s="136">
        <f t="shared" si="346"/>
        <v>41.000000000058208</v>
      </c>
      <c r="CA327" s="136">
        <f t="shared" si="347"/>
        <v>3.9999999999417923</v>
      </c>
      <c r="CB327" s="136">
        <f t="shared" si="348"/>
        <v>41.000000000058208</v>
      </c>
      <c r="CC327" s="136">
        <f t="shared" si="349"/>
        <v>24</v>
      </c>
      <c r="CD327" s="135">
        <f t="shared" si="350"/>
        <v>6</v>
      </c>
      <c r="CE327" s="135">
        <f t="shared" si="351"/>
        <v>9.9999999999417923</v>
      </c>
      <c r="CF327" s="134">
        <f t="shared" si="352"/>
        <v>5.25</v>
      </c>
      <c r="CG327" s="134">
        <f t="shared" si="353"/>
        <v>10.4375</v>
      </c>
      <c r="CH327" s="133">
        <f t="shared" si="354"/>
        <v>0.50299401197604787</v>
      </c>
    </row>
    <row r="328" spans="1:88" s="128" customFormat="1">
      <c r="A328" s="125">
        <f t="shared" si="341"/>
        <v>45308.583333333503</v>
      </c>
      <c r="B328" s="138" t="s">
        <v>187</v>
      </c>
      <c r="C328" s="121" t="s">
        <v>229</v>
      </c>
      <c r="D328" s="121" t="s">
        <v>197</v>
      </c>
      <c r="E328" s="253" t="s">
        <v>1746</v>
      </c>
      <c r="F328" s="121" t="s">
        <v>3378</v>
      </c>
      <c r="G328" s="398"/>
      <c r="H328" s="398"/>
      <c r="I328" s="121" t="s">
        <v>231</v>
      </c>
      <c r="J328" s="517"/>
      <c r="K328" s="517" t="s">
        <v>187</v>
      </c>
      <c r="L328" s="121" t="s">
        <v>4102</v>
      </c>
      <c r="M328" s="123"/>
      <c r="N328" s="121" t="s">
        <v>1240</v>
      </c>
      <c r="O328" s="121" t="s">
        <v>1241</v>
      </c>
      <c r="P328" s="517" t="s">
        <v>240</v>
      </c>
      <c r="Q328" s="122">
        <f>3243*2.4</f>
        <v>7783.2</v>
      </c>
      <c r="R328" s="122">
        <f>7800+100</f>
        <v>7900</v>
      </c>
      <c r="S328" s="122">
        <v>7800</v>
      </c>
      <c r="T328" s="667"/>
      <c r="U328" s="581"/>
      <c r="V328" s="581"/>
      <c r="W328" s="739"/>
      <c r="X328" s="581"/>
      <c r="Y328" s="846">
        <f t="shared" si="361"/>
        <v>7800</v>
      </c>
      <c r="Z328" s="739"/>
      <c r="AA328" s="739"/>
      <c r="AB328" s="581"/>
      <c r="AC328" s="581"/>
      <c r="AD328" s="581"/>
      <c r="AE328" s="581"/>
      <c r="AF328" s="401"/>
      <c r="AG328" s="401"/>
      <c r="AH328" s="401"/>
      <c r="AI328" s="401"/>
      <c r="AJ328" s="401"/>
      <c r="AK328" s="401"/>
      <c r="AL328" s="401"/>
      <c r="AM328" s="401"/>
      <c r="AN328" s="401"/>
      <c r="AO328" s="401"/>
      <c r="AP328" s="401"/>
      <c r="AQ328" s="401"/>
      <c r="AR328" s="401"/>
      <c r="AS328" s="401"/>
      <c r="AT328" s="401"/>
      <c r="AU328" s="401"/>
      <c r="AV328" s="121"/>
      <c r="AW328" s="121"/>
      <c r="AX328" s="121"/>
      <c r="AY328" s="121"/>
      <c r="AZ328" s="121"/>
      <c r="BA328" s="121"/>
      <c r="BB328" s="121"/>
      <c r="BC328" s="121"/>
      <c r="BD328" s="120">
        <f t="shared" si="342"/>
        <v>45302.833333333336</v>
      </c>
      <c r="BE328" s="120">
        <f t="shared" si="343"/>
        <v>45313.25</v>
      </c>
      <c r="BF328" s="137">
        <f t="shared" si="344"/>
        <v>10.416666666664241</v>
      </c>
      <c r="BG328" s="120">
        <f>$BE$227</f>
        <v>45302.833333333336</v>
      </c>
      <c r="BH328" s="120">
        <v>45303.604166666664</v>
      </c>
      <c r="BI328" s="120">
        <f t="shared" si="266"/>
        <v>45305.3125</v>
      </c>
      <c r="BJ328" s="120">
        <f t="shared" si="267"/>
        <v>45308.583333333503</v>
      </c>
      <c r="BK328" s="120">
        <f t="shared" si="268"/>
        <v>45308.750000000167</v>
      </c>
      <c r="BL328" s="120">
        <f t="shared" ref="BL328:BM328" si="370">BK328+(0.5/24)</f>
        <v>45308.770833333503</v>
      </c>
      <c r="BM328" s="120">
        <f t="shared" si="370"/>
        <v>45308.791666666839</v>
      </c>
      <c r="BN328" s="120">
        <f t="shared" si="270"/>
        <v>45310.500000000175</v>
      </c>
      <c r="BO328" s="120">
        <v>45311.333333333336</v>
      </c>
      <c r="BP328" s="120">
        <v>45311.5</v>
      </c>
      <c r="BQ328" s="124" t="s">
        <v>64</v>
      </c>
      <c r="BR328" s="120">
        <f t="shared" si="356"/>
        <v>45312.5</v>
      </c>
      <c r="BS328" s="120">
        <f t="shared" si="357"/>
        <v>45312.541666666664</v>
      </c>
      <c r="BT328" s="120">
        <f t="shared" si="358"/>
        <v>45312.791666666664</v>
      </c>
      <c r="BU328" s="120">
        <f t="shared" ref="BU328:BV328" si="371">BT328+(0.5/24)</f>
        <v>45312.8125</v>
      </c>
      <c r="BV328" s="120">
        <f t="shared" si="371"/>
        <v>45312.833333333336</v>
      </c>
      <c r="BW328" s="120">
        <f t="shared" si="360"/>
        <v>45313.25</v>
      </c>
      <c r="BX328" s="121"/>
      <c r="BY328" s="121"/>
      <c r="BZ328" s="136">
        <f t="shared" si="346"/>
        <v>41.000000000058208</v>
      </c>
      <c r="CA328" s="136">
        <f t="shared" si="347"/>
        <v>3.9999999999417923</v>
      </c>
      <c r="CB328" s="136">
        <f t="shared" si="348"/>
        <v>41.000000000058208</v>
      </c>
      <c r="CC328" s="136">
        <f t="shared" si="349"/>
        <v>24</v>
      </c>
      <c r="CD328" s="135">
        <f t="shared" si="350"/>
        <v>6</v>
      </c>
      <c r="CE328" s="135">
        <f t="shared" si="351"/>
        <v>9.9999999999417923</v>
      </c>
      <c r="CF328" s="134">
        <f t="shared" si="352"/>
        <v>5.25</v>
      </c>
      <c r="CG328" s="134">
        <f t="shared" si="353"/>
        <v>10.416666666664241</v>
      </c>
      <c r="CH328" s="133">
        <f t="shared" si="354"/>
        <v>0.50400000000011735</v>
      </c>
      <c r="CI328" s="121"/>
      <c r="CJ328" s="121"/>
    </row>
    <row r="329" spans="1:88" s="128" customFormat="1">
      <c r="A329" s="125">
        <f t="shared" si="341"/>
        <v>45308.791666666839</v>
      </c>
      <c r="B329" s="138" t="s">
        <v>187</v>
      </c>
      <c r="C329" s="121" t="s">
        <v>229</v>
      </c>
      <c r="D329" s="121" t="s">
        <v>197</v>
      </c>
      <c r="E329" s="253" t="s">
        <v>1746</v>
      </c>
      <c r="F329" s="121" t="s">
        <v>3378</v>
      </c>
      <c r="G329" s="398"/>
      <c r="H329" s="398"/>
      <c r="I329" s="121" t="s">
        <v>231</v>
      </c>
      <c r="J329" s="121"/>
      <c r="K329" s="517" t="s">
        <v>187</v>
      </c>
      <c r="L329" s="121" t="s">
        <v>4102</v>
      </c>
      <c r="M329" s="123"/>
      <c r="N329" s="121" t="s">
        <v>3563</v>
      </c>
      <c r="O329" s="121" t="s">
        <v>206</v>
      </c>
      <c r="P329" s="517" t="s">
        <v>240</v>
      </c>
      <c r="Q329" s="122">
        <f>3015*2.4</f>
        <v>7236</v>
      </c>
      <c r="R329" s="122">
        <f>7250+100</f>
        <v>7350</v>
      </c>
      <c r="S329" s="122">
        <v>7300</v>
      </c>
      <c r="T329" s="667"/>
      <c r="U329" s="581"/>
      <c r="V329" s="581"/>
      <c r="W329" s="739"/>
      <c r="X329" s="581"/>
      <c r="Y329" s="846">
        <f t="shared" si="361"/>
        <v>7300</v>
      </c>
      <c r="Z329" s="739"/>
      <c r="AA329" s="739"/>
      <c r="AB329" s="581"/>
      <c r="AC329" s="581"/>
      <c r="AD329" s="581"/>
      <c r="AE329" s="667"/>
      <c r="AF329" s="667"/>
      <c r="AG329" s="667"/>
      <c r="AH329" s="667"/>
      <c r="AI329" s="667"/>
      <c r="AJ329" s="667"/>
      <c r="AK329" s="667"/>
      <c r="AL329" s="667"/>
      <c r="AM329" s="667"/>
      <c r="AN329" s="667"/>
      <c r="AO329" s="667"/>
      <c r="AP329" s="667"/>
      <c r="AQ329" s="667"/>
      <c r="AR329" s="667"/>
      <c r="AS329" s="667"/>
      <c r="AT329" s="667"/>
      <c r="AU329" s="667"/>
      <c r="AV329" s="667"/>
      <c r="AW329" s="667"/>
      <c r="AX329" s="121"/>
      <c r="AY329" s="121"/>
      <c r="AZ329" s="121"/>
      <c r="BA329" s="121"/>
      <c r="BB329" s="121"/>
      <c r="BC329" s="121"/>
      <c r="BD329" s="120">
        <f t="shared" si="342"/>
        <v>45303.125</v>
      </c>
      <c r="BE329" s="120">
        <f t="shared" si="343"/>
        <v>45313.25</v>
      </c>
      <c r="BF329" s="137">
        <f t="shared" si="344"/>
        <v>10.125</v>
      </c>
      <c r="BG329" s="120">
        <f>$BE$188</f>
        <v>45303.125</v>
      </c>
      <c r="BH329" s="120">
        <v>45304.604166666664</v>
      </c>
      <c r="BI329" s="120">
        <f t="shared" si="266"/>
        <v>45306.3125</v>
      </c>
      <c r="BJ329" s="120">
        <f t="shared" si="267"/>
        <v>45308.791666666839</v>
      </c>
      <c r="BK329" s="120">
        <f t="shared" si="268"/>
        <v>45308.958333333503</v>
      </c>
      <c r="BL329" s="120">
        <f t="shared" ref="BL329:BM329" si="372">BK329+(0.5/24)</f>
        <v>45308.979166666839</v>
      </c>
      <c r="BM329" s="120">
        <f t="shared" si="372"/>
        <v>45309.000000000175</v>
      </c>
      <c r="BN329" s="120">
        <f t="shared" si="270"/>
        <v>45310.70833333351</v>
      </c>
      <c r="BO329" s="120">
        <v>45311.333333333336</v>
      </c>
      <c r="BP329" s="120">
        <v>45311.5</v>
      </c>
      <c r="BQ329" s="124" t="s">
        <v>64</v>
      </c>
      <c r="BR329" s="120">
        <f t="shared" si="356"/>
        <v>45312.5</v>
      </c>
      <c r="BS329" s="120">
        <f t="shared" si="357"/>
        <v>45312.541666666664</v>
      </c>
      <c r="BT329" s="120">
        <f t="shared" si="358"/>
        <v>45312.791666666664</v>
      </c>
      <c r="BU329" s="120">
        <f t="shared" ref="BU329:BV329" si="373">BT329+(0.5/24)</f>
        <v>45312.8125</v>
      </c>
      <c r="BV329" s="120">
        <f t="shared" si="373"/>
        <v>45312.833333333336</v>
      </c>
      <c r="BW329" s="120">
        <f t="shared" si="360"/>
        <v>45313.25</v>
      </c>
      <c r="BX329" s="121"/>
      <c r="BY329" s="121"/>
      <c r="BZ329" s="136">
        <f t="shared" si="346"/>
        <v>41.000000000058208</v>
      </c>
      <c r="CA329" s="136">
        <f t="shared" si="347"/>
        <v>3.9999999999417923</v>
      </c>
      <c r="CB329" s="136">
        <f t="shared" si="348"/>
        <v>41.000000000058208</v>
      </c>
      <c r="CC329" s="136">
        <f t="shared" si="349"/>
        <v>24</v>
      </c>
      <c r="CD329" s="135">
        <f t="shared" si="350"/>
        <v>6</v>
      </c>
      <c r="CE329" s="135">
        <f t="shared" si="351"/>
        <v>9.9999999999417923</v>
      </c>
      <c r="CF329" s="134">
        <f t="shared" si="352"/>
        <v>5.25</v>
      </c>
      <c r="CG329" s="134">
        <f t="shared" si="353"/>
        <v>10.125</v>
      </c>
      <c r="CH329" s="133">
        <f t="shared" si="354"/>
        <v>0.51851851851851849</v>
      </c>
      <c r="CJ329" s="121"/>
    </row>
    <row r="330" spans="1:88" s="128" customFormat="1">
      <c r="A330" s="125">
        <f t="shared" si="341"/>
        <v>45309.000000000175</v>
      </c>
      <c r="B330" s="138" t="s">
        <v>187</v>
      </c>
      <c r="C330" s="121" t="s">
        <v>229</v>
      </c>
      <c r="D330" s="121" t="s">
        <v>197</v>
      </c>
      <c r="E330" s="253" t="s">
        <v>1746</v>
      </c>
      <c r="F330" s="121" t="s">
        <v>3378</v>
      </c>
      <c r="G330" s="398"/>
      <c r="H330" s="398"/>
      <c r="I330" s="121" t="s">
        <v>231</v>
      </c>
      <c r="J330" s="121"/>
      <c r="K330" s="517" t="s">
        <v>187</v>
      </c>
      <c r="L330" s="121" t="s">
        <v>4102</v>
      </c>
      <c r="M330" s="123"/>
      <c r="N330" s="121" t="s">
        <v>686</v>
      </c>
      <c r="O330" s="121" t="s">
        <v>1186</v>
      </c>
      <c r="P330" s="517" t="s">
        <v>240</v>
      </c>
      <c r="Q330" s="122">
        <f>3136*2.4</f>
        <v>7526.4</v>
      </c>
      <c r="R330" s="122">
        <f>7550+100</f>
        <v>7650</v>
      </c>
      <c r="S330" s="122">
        <v>7550</v>
      </c>
      <c r="T330" s="667"/>
      <c r="U330" s="581"/>
      <c r="V330" s="581"/>
      <c r="W330" s="739"/>
      <c r="X330" s="581"/>
      <c r="Y330" s="846">
        <f t="shared" si="361"/>
        <v>7550</v>
      </c>
      <c r="Z330" s="739"/>
      <c r="AA330" s="739"/>
      <c r="AB330" s="581"/>
      <c r="AC330" s="581"/>
      <c r="AD330" s="581"/>
      <c r="AE330" s="581"/>
      <c r="AF330" s="581"/>
      <c r="AG330" s="581"/>
      <c r="AH330" s="581"/>
      <c r="AI330" s="581"/>
      <c r="AJ330" s="581"/>
      <c r="AK330" s="581"/>
      <c r="AL330" s="581"/>
      <c r="AM330" s="581"/>
      <c r="AN330" s="581"/>
      <c r="AO330" s="581"/>
      <c r="AP330" s="581"/>
      <c r="AQ330" s="581"/>
      <c r="AR330" s="581"/>
      <c r="AS330" s="581"/>
      <c r="AT330" s="581"/>
      <c r="AU330" s="581"/>
      <c r="AV330" s="581"/>
      <c r="AW330" s="581"/>
      <c r="AX330" s="581"/>
      <c r="AY330" s="581"/>
      <c r="AZ330" s="581"/>
      <c r="BA330" s="581"/>
      <c r="BB330" s="581"/>
      <c r="BC330" s="581"/>
      <c r="BD330" s="120">
        <f t="shared" si="342"/>
        <v>45303.125</v>
      </c>
      <c r="BE330" s="120">
        <f t="shared" si="343"/>
        <v>45313.25</v>
      </c>
      <c r="BF330" s="137">
        <f t="shared" si="344"/>
        <v>10.125</v>
      </c>
      <c r="BG330" s="120">
        <f>$BE$222</f>
        <v>45303.125</v>
      </c>
      <c r="BH330" s="120">
        <v>45304.604166666664</v>
      </c>
      <c r="BI330" s="120">
        <f t="shared" si="266"/>
        <v>45306.3125</v>
      </c>
      <c r="BJ330" s="120">
        <f t="shared" si="267"/>
        <v>45309.000000000175</v>
      </c>
      <c r="BK330" s="120">
        <f t="shared" si="268"/>
        <v>45309.166666666839</v>
      </c>
      <c r="BL330" s="120">
        <f t="shared" ref="BL330:BM330" si="374">BK330+(0.5/24)</f>
        <v>45309.187500000175</v>
      </c>
      <c r="BM330" s="120">
        <f t="shared" si="374"/>
        <v>45309.20833333351</v>
      </c>
      <c r="BN330" s="120">
        <f t="shared" si="270"/>
        <v>45310.916666666846</v>
      </c>
      <c r="BO330" s="120">
        <v>45311.333333333336</v>
      </c>
      <c r="BP330" s="120">
        <v>45311.5</v>
      </c>
      <c r="BQ330" s="124" t="s">
        <v>64</v>
      </c>
      <c r="BR330" s="120">
        <f t="shared" si="356"/>
        <v>45312.5</v>
      </c>
      <c r="BS330" s="120">
        <f t="shared" si="357"/>
        <v>45312.541666666664</v>
      </c>
      <c r="BT330" s="120">
        <f t="shared" si="358"/>
        <v>45312.791666666664</v>
      </c>
      <c r="BU330" s="120">
        <f t="shared" ref="BU330:BV330" si="375">BT330+(0.5/24)</f>
        <v>45312.8125</v>
      </c>
      <c r="BV330" s="120">
        <f t="shared" si="375"/>
        <v>45312.833333333336</v>
      </c>
      <c r="BW330" s="120">
        <f t="shared" si="360"/>
        <v>45313.25</v>
      </c>
      <c r="BX330" s="121"/>
      <c r="BY330" s="121"/>
      <c r="BZ330" s="136">
        <f t="shared" si="346"/>
        <v>41.000000000058208</v>
      </c>
      <c r="CA330" s="136">
        <f t="shared" si="347"/>
        <v>3.9999999999417923</v>
      </c>
      <c r="CB330" s="136">
        <f t="shared" si="348"/>
        <v>41.000000000058208</v>
      </c>
      <c r="CC330" s="136">
        <f t="shared" si="349"/>
        <v>24</v>
      </c>
      <c r="CD330" s="135">
        <f t="shared" si="350"/>
        <v>6</v>
      </c>
      <c r="CE330" s="135">
        <f t="shared" si="351"/>
        <v>9.9999999999417923</v>
      </c>
      <c r="CF330" s="134">
        <f t="shared" si="352"/>
        <v>5.25</v>
      </c>
      <c r="CG330" s="134">
        <f t="shared" si="353"/>
        <v>10.125</v>
      </c>
      <c r="CH330" s="133">
        <f t="shared" si="354"/>
        <v>0.51851851851851849</v>
      </c>
    </row>
    <row r="331" spans="1:88" s="128" customFormat="1">
      <c r="A331" s="125">
        <f t="shared" si="341"/>
        <v>45309.20833333351</v>
      </c>
      <c r="B331" s="138" t="s">
        <v>187</v>
      </c>
      <c r="C331" s="121" t="s">
        <v>229</v>
      </c>
      <c r="D331" s="121" t="s">
        <v>197</v>
      </c>
      <c r="E331" s="253" t="s">
        <v>1746</v>
      </c>
      <c r="F331" s="121" t="s">
        <v>3378</v>
      </c>
      <c r="G331" s="398"/>
      <c r="H331" s="398"/>
      <c r="I331" s="121" t="s">
        <v>231</v>
      </c>
      <c r="J331" s="121"/>
      <c r="K331" s="517" t="s">
        <v>187</v>
      </c>
      <c r="L331" s="121" t="s">
        <v>4102</v>
      </c>
      <c r="M331" s="123"/>
      <c r="N331" s="121" t="s">
        <v>429</v>
      </c>
      <c r="O331" s="121" t="s">
        <v>430</v>
      </c>
      <c r="P331" s="517" t="s">
        <v>235</v>
      </c>
      <c r="Q331" s="122">
        <f>3145 *2.4</f>
        <v>7548</v>
      </c>
      <c r="R331" s="122">
        <f>7550+100</f>
        <v>7650</v>
      </c>
      <c r="S331" s="122">
        <v>7550</v>
      </c>
      <c r="T331" s="667"/>
      <c r="U331" s="581"/>
      <c r="V331" s="581"/>
      <c r="W331" s="739"/>
      <c r="X331" s="846">
        <f>S331</f>
        <v>7550</v>
      </c>
      <c r="Z331" s="739"/>
      <c r="AA331" s="739"/>
      <c r="AB331" s="581"/>
      <c r="AC331" s="581"/>
      <c r="AD331" s="581"/>
      <c r="AE331" s="581"/>
      <c r="AF331" s="581"/>
      <c r="AG331" s="581"/>
      <c r="AH331" s="581"/>
      <c r="AI331" s="581"/>
      <c r="AJ331" s="581"/>
      <c r="AK331" s="581"/>
      <c r="AL331" s="121"/>
      <c r="AM331" s="121"/>
      <c r="AN331" s="121"/>
      <c r="AO331" s="121"/>
      <c r="AP331" s="121"/>
      <c r="AQ331" s="121"/>
      <c r="AR331" s="121"/>
      <c r="AS331" s="121"/>
      <c r="AT331" s="121"/>
      <c r="AU331" s="121"/>
      <c r="AV331" s="121"/>
      <c r="AW331" s="121"/>
      <c r="AX331" s="121"/>
      <c r="AY331" s="121"/>
      <c r="AZ331" s="121"/>
      <c r="BA331" s="121"/>
      <c r="BB331" s="121"/>
      <c r="BC331" s="121"/>
      <c r="BD331" s="120">
        <f t="shared" si="342"/>
        <v>45303.166666666672</v>
      </c>
      <c r="BE331" s="120">
        <f t="shared" si="343"/>
        <v>45314.25</v>
      </c>
      <c r="BF331" s="137">
        <f t="shared" si="344"/>
        <v>11.083333333328483</v>
      </c>
      <c r="BG331" s="120">
        <f>$BE$228</f>
        <v>45303.166666666672</v>
      </c>
      <c r="BH331" s="120">
        <v>45304.604166666664</v>
      </c>
      <c r="BI331" s="120">
        <f t="shared" si="266"/>
        <v>45306.3125</v>
      </c>
      <c r="BJ331" s="120">
        <f t="shared" si="267"/>
        <v>45309.20833333351</v>
      </c>
      <c r="BK331" s="120">
        <f t="shared" si="268"/>
        <v>45309.375000000175</v>
      </c>
      <c r="BL331" s="120">
        <f t="shared" ref="BL331:BM331" si="376">BK331+(0.5/24)</f>
        <v>45309.39583333351</v>
      </c>
      <c r="BM331" s="120">
        <f t="shared" si="376"/>
        <v>45309.416666666846</v>
      </c>
      <c r="BN331" s="120">
        <f t="shared" si="270"/>
        <v>45311.125000000182</v>
      </c>
      <c r="BO331" s="120">
        <v>45312.333333333336</v>
      </c>
      <c r="BP331" s="120">
        <v>45312.5</v>
      </c>
      <c r="BQ331" s="124" t="s">
        <v>64</v>
      </c>
      <c r="BR331" s="120">
        <f>BP331+(24/24)</f>
        <v>45313.5</v>
      </c>
      <c r="BS331" s="120">
        <f>BR331+(1/24)</f>
        <v>45313.541666666664</v>
      </c>
      <c r="BT331" s="120">
        <f>BS331+(6/24)</f>
        <v>45313.791666666664</v>
      </c>
      <c r="BU331" s="120">
        <f>BT331+(0.5/24)</f>
        <v>45313.8125</v>
      </c>
      <c r="BV331" s="120">
        <f>BU331+(0.5/24)</f>
        <v>45313.833333333336</v>
      </c>
      <c r="BW331" s="120">
        <f>BV331+(10/24)</f>
        <v>45314.25</v>
      </c>
      <c r="BX331" s="121"/>
      <c r="BY331" s="121"/>
      <c r="BZ331" s="136">
        <f t="shared" si="346"/>
        <v>41.000000000058208</v>
      </c>
      <c r="CA331" s="136">
        <f t="shared" si="347"/>
        <v>3.9999999999417923</v>
      </c>
      <c r="CB331" s="136">
        <f t="shared" si="348"/>
        <v>41.000000000058208</v>
      </c>
      <c r="CC331" s="136">
        <f t="shared" si="349"/>
        <v>24</v>
      </c>
      <c r="CD331" s="135">
        <f t="shared" si="350"/>
        <v>6</v>
      </c>
      <c r="CE331" s="135">
        <f t="shared" si="351"/>
        <v>9.9999999999417923</v>
      </c>
      <c r="CF331" s="134">
        <f t="shared" si="352"/>
        <v>5.25</v>
      </c>
      <c r="CG331" s="134">
        <f t="shared" si="353"/>
        <v>11.083333333328483</v>
      </c>
      <c r="CH331" s="133">
        <f t="shared" si="354"/>
        <v>0.4736842105265231</v>
      </c>
      <c r="CJ331" s="121"/>
    </row>
    <row r="332" spans="1:88" s="128" customFormat="1">
      <c r="A332" s="125">
        <f t="shared" si="341"/>
        <v>45309.416666666846</v>
      </c>
      <c r="B332" s="138" t="s">
        <v>187</v>
      </c>
      <c r="C332" s="121" t="s">
        <v>229</v>
      </c>
      <c r="D332" s="121" t="s">
        <v>197</v>
      </c>
      <c r="E332" s="253" t="s">
        <v>3263</v>
      </c>
      <c r="F332" s="121" t="s">
        <v>3378</v>
      </c>
      <c r="G332" s="398"/>
      <c r="H332" s="398"/>
      <c r="I332" s="121" t="s">
        <v>231</v>
      </c>
      <c r="J332" s="121"/>
      <c r="K332" s="517" t="s">
        <v>187</v>
      </c>
      <c r="L332" s="121" t="s">
        <v>4102</v>
      </c>
      <c r="M332" s="123"/>
      <c r="N332" s="121" t="s">
        <v>2859</v>
      </c>
      <c r="O332" s="121" t="s">
        <v>324</v>
      </c>
      <c r="P332" s="517" t="s">
        <v>235</v>
      </c>
      <c r="Q332" s="122">
        <f>3095*2.4</f>
        <v>7428</v>
      </c>
      <c r="R332" s="122">
        <f>7450+100</f>
        <v>7550</v>
      </c>
      <c r="S332" s="122">
        <v>7500</v>
      </c>
      <c r="T332" s="667"/>
      <c r="V332" s="581"/>
      <c r="W332" s="739"/>
      <c r="X332" s="846">
        <f>S332</f>
        <v>7500</v>
      </c>
      <c r="Y332" s="739"/>
      <c r="Z332" s="739"/>
      <c r="AA332" s="739"/>
      <c r="AB332" s="581"/>
      <c r="AC332" s="581"/>
      <c r="AD332" s="581"/>
      <c r="AE332" s="581"/>
      <c r="AF332" s="581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115"/>
      <c r="AR332" s="115"/>
      <c r="AS332" s="115"/>
      <c r="AT332" s="121"/>
      <c r="AU332" s="121"/>
      <c r="AV332" s="121"/>
      <c r="AW332" s="121"/>
      <c r="AX332" s="121"/>
      <c r="AY332" s="121"/>
      <c r="AZ332" s="121"/>
      <c r="BA332" s="121"/>
      <c r="BB332" s="121"/>
      <c r="BC332" s="121"/>
      <c r="BD332" s="120">
        <f t="shared" si="342"/>
        <v>45303.4375</v>
      </c>
      <c r="BE332" s="120">
        <f t="shared" si="343"/>
        <v>45314.25</v>
      </c>
      <c r="BF332" s="137">
        <f t="shared" si="344"/>
        <v>10.8125</v>
      </c>
      <c r="BG332" s="120">
        <f>$BE$189</f>
        <v>45303.4375</v>
      </c>
      <c r="BH332" s="120">
        <v>45304.604166666664</v>
      </c>
      <c r="BI332" s="120">
        <f t="shared" si="266"/>
        <v>45306.3125</v>
      </c>
      <c r="BJ332" s="120">
        <f t="shared" si="267"/>
        <v>45309.416666666846</v>
      </c>
      <c r="BK332" s="120">
        <f t="shared" si="268"/>
        <v>45309.58333333351</v>
      </c>
      <c r="BL332" s="120">
        <f t="shared" ref="BL332:BM332" si="377">BK332+(0.5/24)</f>
        <v>45309.604166666846</v>
      </c>
      <c r="BM332" s="120">
        <f t="shared" si="377"/>
        <v>45309.625000000182</v>
      </c>
      <c r="BN332" s="120">
        <f t="shared" si="270"/>
        <v>45311.333333333518</v>
      </c>
      <c r="BO332" s="120">
        <v>45312.333333333336</v>
      </c>
      <c r="BP332" s="120">
        <v>45312.5</v>
      </c>
      <c r="BQ332" s="124" t="s">
        <v>64</v>
      </c>
      <c r="BR332" s="120">
        <f>BP332+(24/24)</f>
        <v>45313.5</v>
      </c>
      <c r="BS332" s="120">
        <f>BR332+(1/24)</f>
        <v>45313.541666666664</v>
      </c>
      <c r="BT332" s="120">
        <f>BS332+(6/24)</f>
        <v>45313.791666666664</v>
      </c>
      <c r="BU332" s="120">
        <f>BT332+(0.5/24)</f>
        <v>45313.8125</v>
      </c>
      <c r="BV332" s="120">
        <f>BU332+(0.5/24)</f>
        <v>45313.833333333336</v>
      </c>
      <c r="BW332" s="120">
        <f>BV332+(10/24)</f>
        <v>45314.25</v>
      </c>
      <c r="BX332" s="121"/>
      <c r="BY332" s="121"/>
      <c r="BZ332" s="136">
        <f t="shared" si="346"/>
        <v>41.000000000058208</v>
      </c>
      <c r="CA332" s="136">
        <f t="shared" si="347"/>
        <v>3.9999999999417923</v>
      </c>
      <c r="CB332" s="136">
        <f t="shared" si="348"/>
        <v>41.000000000058208</v>
      </c>
      <c r="CC332" s="136">
        <f t="shared" si="349"/>
        <v>24</v>
      </c>
      <c r="CD332" s="135">
        <f t="shared" si="350"/>
        <v>6</v>
      </c>
      <c r="CE332" s="135">
        <f t="shared" si="351"/>
        <v>9.9999999999417923</v>
      </c>
      <c r="CF332" s="134">
        <f t="shared" si="352"/>
        <v>5.25</v>
      </c>
      <c r="CG332" s="134">
        <f t="shared" si="353"/>
        <v>10.8125</v>
      </c>
      <c r="CH332" s="133">
        <f t="shared" si="354"/>
        <v>0.48554913294797686</v>
      </c>
      <c r="CI332" s="121"/>
      <c r="CJ332" s="121"/>
    </row>
    <row r="333" spans="1:88" s="121" customFormat="1">
      <c r="A333" s="125">
        <f t="shared" si="341"/>
        <v>45309.625000000182</v>
      </c>
      <c r="B333" s="138" t="s">
        <v>187</v>
      </c>
      <c r="C333" s="121" t="s">
        <v>229</v>
      </c>
      <c r="D333" s="121" t="s">
        <v>215</v>
      </c>
      <c r="E333" s="253" t="s">
        <v>3263</v>
      </c>
      <c r="F333" s="121" t="s">
        <v>3378</v>
      </c>
      <c r="G333" s="398"/>
      <c r="H333" s="398"/>
      <c r="I333" s="121" t="s">
        <v>490</v>
      </c>
      <c r="K333" s="517" t="s">
        <v>187</v>
      </c>
      <c r="L333" s="121" t="s">
        <v>4105</v>
      </c>
      <c r="M333" s="123"/>
      <c r="N333" s="121" t="s">
        <v>343</v>
      </c>
      <c r="O333" s="121" t="s">
        <v>344</v>
      </c>
      <c r="P333" s="397" t="s">
        <v>494</v>
      </c>
      <c r="Q333" s="122">
        <f>3136*2.4</f>
        <v>7526.4</v>
      </c>
      <c r="R333" s="122">
        <f>7550+100</f>
        <v>7650</v>
      </c>
      <c r="S333" s="122">
        <v>7550</v>
      </c>
      <c r="T333" s="667"/>
      <c r="U333" s="846">
        <f>S333</f>
        <v>7550</v>
      </c>
      <c r="V333" s="581"/>
      <c r="W333" s="739"/>
      <c r="X333" s="581"/>
      <c r="Y333" s="739"/>
      <c r="Z333" s="739"/>
      <c r="AA333" s="739"/>
      <c r="AB333" s="581"/>
      <c r="AC333" s="581"/>
      <c r="AD333" s="581"/>
      <c r="AE333" s="581"/>
      <c r="AF333" s="581"/>
      <c r="AG333" s="581"/>
      <c r="AH333" s="581"/>
      <c r="AI333" s="581"/>
      <c r="AJ333" s="581"/>
      <c r="AK333" s="581"/>
      <c r="AL333" s="667"/>
      <c r="AM333" s="667"/>
      <c r="AN333" s="667"/>
      <c r="AO333" s="667"/>
      <c r="AP333" s="667"/>
      <c r="AQ333" s="667"/>
      <c r="AR333" s="667"/>
      <c r="AS333" s="667"/>
      <c r="AT333" s="667"/>
      <c r="AU333" s="667"/>
      <c r="AV333" s="667"/>
      <c r="AW333" s="667"/>
      <c r="BD333" s="120">
        <f t="shared" si="342"/>
        <v>45303.4375</v>
      </c>
      <c r="BE333" s="120">
        <f t="shared" si="343"/>
        <v>45314.25</v>
      </c>
      <c r="BF333" s="137">
        <f t="shared" si="344"/>
        <v>10.8125</v>
      </c>
      <c r="BG333" s="905">
        <f>$BE$223</f>
        <v>45303.4375</v>
      </c>
      <c r="BH333" s="120">
        <v>45304.604166666664</v>
      </c>
      <c r="BI333" s="120">
        <f t="shared" si="266"/>
        <v>45306.3125</v>
      </c>
      <c r="BJ333" s="120">
        <f t="shared" si="267"/>
        <v>45309.625000000182</v>
      </c>
      <c r="BK333" s="120">
        <f t="shared" si="268"/>
        <v>45309.791666666846</v>
      </c>
      <c r="BL333" s="120">
        <f t="shared" ref="BL333:BM333" si="378">BK333+(0.5/24)</f>
        <v>45309.812500000182</v>
      </c>
      <c r="BM333" s="120">
        <f t="shared" si="378"/>
        <v>45309.833333333518</v>
      </c>
      <c r="BN333" s="120">
        <f t="shared" si="270"/>
        <v>45311.541666666853</v>
      </c>
      <c r="BO333" s="120">
        <v>45312.333333333336</v>
      </c>
      <c r="BP333" s="120">
        <v>45312.5</v>
      </c>
      <c r="BQ333" s="124" t="s">
        <v>64</v>
      </c>
      <c r="BR333" s="120">
        <f t="shared" ref="BR333:BR337" si="379">BP333+(24/24)</f>
        <v>45313.5</v>
      </c>
      <c r="BS333" s="120">
        <f t="shared" ref="BS333:BS337" si="380">BR333+(1/24)</f>
        <v>45313.541666666664</v>
      </c>
      <c r="BT333" s="120">
        <f t="shared" ref="BT333:BT337" si="381">BS333+(6/24)</f>
        <v>45313.791666666664</v>
      </c>
      <c r="BU333" s="120">
        <f t="shared" ref="BU333:BV333" si="382">BT333+(0.5/24)</f>
        <v>45313.8125</v>
      </c>
      <c r="BV333" s="120">
        <f t="shared" si="382"/>
        <v>45313.833333333336</v>
      </c>
      <c r="BW333" s="120">
        <f t="shared" ref="BW333:BW337" si="383">BV333+(10/24)</f>
        <v>45314.25</v>
      </c>
      <c r="BZ333" s="136">
        <f t="shared" si="346"/>
        <v>41.000000000058208</v>
      </c>
      <c r="CA333" s="136">
        <f t="shared" si="347"/>
        <v>3.9999999999417923</v>
      </c>
      <c r="CB333" s="136">
        <f t="shared" si="348"/>
        <v>41.000000000058208</v>
      </c>
      <c r="CC333" s="136">
        <f t="shared" si="349"/>
        <v>24</v>
      </c>
      <c r="CD333" s="135">
        <f t="shared" si="350"/>
        <v>6</v>
      </c>
      <c r="CE333" s="135">
        <f t="shared" si="351"/>
        <v>9.9999999999417923</v>
      </c>
      <c r="CF333" s="134">
        <f t="shared" si="352"/>
        <v>5.25</v>
      </c>
      <c r="CG333" s="134">
        <f t="shared" si="353"/>
        <v>10.8125</v>
      </c>
      <c r="CH333" s="133">
        <f t="shared" si="354"/>
        <v>0.48554913294797686</v>
      </c>
      <c r="CJ333" s="116"/>
    </row>
    <row r="334" spans="1:88">
      <c r="A334" s="125">
        <f t="shared" si="341"/>
        <v>45309.833333333518</v>
      </c>
      <c r="B334" s="138" t="s">
        <v>187</v>
      </c>
      <c r="C334" s="121" t="s">
        <v>229</v>
      </c>
      <c r="D334" s="121" t="s">
        <v>197</v>
      </c>
      <c r="E334" s="253" t="s">
        <v>3263</v>
      </c>
      <c r="F334" s="121" t="s">
        <v>3378</v>
      </c>
      <c r="G334" s="398"/>
      <c r="H334" s="398"/>
      <c r="I334" s="121" t="s">
        <v>490</v>
      </c>
      <c r="J334" s="517"/>
      <c r="K334" s="517" t="s">
        <v>187</v>
      </c>
      <c r="L334" s="121" t="s">
        <v>4105</v>
      </c>
      <c r="M334" s="123"/>
      <c r="N334" s="121" t="s">
        <v>3807</v>
      </c>
      <c r="O334" s="121" t="s">
        <v>227</v>
      </c>
      <c r="P334" s="397" t="s">
        <v>494</v>
      </c>
      <c r="Q334" s="122">
        <f>3100*2.4</f>
        <v>7440</v>
      </c>
      <c r="R334" s="122">
        <f>7450+100</f>
        <v>7550</v>
      </c>
      <c r="S334" s="122">
        <v>7500</v>
      </c>
      <c r="T334" s="667"/>
      <c r="U334" s="846">
        <f>S334</f>
        <v>7500</v>
      </c>
      <c r="V334" s="581"/>
      <c r="W334" s="739"/>
      <c r="X334" s="581"/>
      <c r="Y334" s="739"/>
      <c r="Z334" s="739"/>
      <c r="AA334" s="739"/>
      <c r="AB334" s="581"/>
      <c r="AD334" s="581"/>
      <c r="AE334" s="581"/>
      <c r="AF334" s="581"/>
      <c r="AG334" s="581"/>
      <c r="AH334" s="581"/>
      <c r="AI334" s="581"/>
      <c r="AJ334" s="581"/>
      <c r="AK334" s="581"/>
      <c r="AL334" s="401"/>
      <c r="AM334" s="401"/>
      <c r="AN334" s="401"/>
      <c r="AO334" s="401"/>
      <c r="AP334" s="401"/>
      <c r="AQ334" s="401"/>
      <c r="AR334" s="401"/>
      <c r="AS334" s="401"/>
      <c r="AT334" s="401"/>
      <c r="AU334" s="401"/>
      <c r="AV334" s="121"/>
      <c r="AW334" s="121"/>
      <c r="AX334" s="121"/>
      <c r="AY334" s="121"/>
      <c r="AZ334" s="121"/>
      <c r="BA334" s="121"/>
      <c r="BB334" s="121"/>
      <c r="BC334" s="121"/>
      <c r="BD334" s="120">
        <f t="shared" si="342"/>
        <v>45303.500000000007</v>
      </c>
      <c r="BE334" s="120">
        <f t="shared" si="343"/>
        <v>45314.25</v>
      </c>
      <c r="BF334" s="137">
        <f t="shared" si="344"/>
        <v>10.749999999992724</v>
      </c>
      <c r="BG334" s="120">
        <f>$BE$229</f>
        <v>45303.500000000007</v>
      </c>
      <c r="BH334" s="120">
        <v>45304.604166666664</v>
      </c>
      <c r="BI334" s="120">
        <f t="shared" si="266"/>
        <v>45306.3125</v>
      </c>
      <c r="BJ334" s="120">
        <f t="shared" si="267"/>
        <v>45309.833333333518</v>
      </c>
      <c r="BK334" s="120">
        <f t="shared" si="268"/>
        <v>45310.000000000182</v>
      </c>
      <c r="BL334" s="120">
        <f t="shared" ref="BL334:BM334" si="384">BK334+(0.5/24)</f>
        <v>45310.020833333518</v>
      </c>
      <c r="BM334" s="120">
        <f t="shared" si="384"/>
        <v>45310.041666666853</v>
      </c>
      <c r="BN334" s="120">
        <f t="shared" si="270"/>
        <v>45311.750000000189</v>
      </c>
      <c r="BO334" s="120">
        <v>45312.333333333336</v>
      </c>
      <c r="BP334" s="120">
        <v>45312.5</v>
      </c>
      <c r="BQ334" s="124" t="s">
        <v>64</v>
      </c>
      <c r="BR334" s="120">
        <f t="shared" si="379"/>
        <v>45313.5</v>
      </c>
      <c r="BS334" s="120">
        <f t="shared" si="380"/>
        <v>45313.541666666664</v>
      </c>
      <c r="BT334" s="120">
        <f t="shared" si="381"/>
        <v>45313.791666666664</v>
      </c>
      <c r="BU334" s="120">
        <f t="shared" ref="BU334:BV334" si="385">BT334+(0.5/24)</f>
        <v>45313.8125</v>
      </c>
      <c r="BV334" s="120">
        <f t="shared" si="385"/>
        <v>45313.833333333336</v>
      </c>
      <c r="BW334" s="120">
        <f t="shared" si="383"/>
        <v>45314.25</v>
      </c>
      <c r="BX334" s="121"/>
      <c r="BY334" s="121"/>
      <c r="BZ334" s="136">
        <f t="shared" si="346"/>
        <v>41.000000000058208</v>
      </c>
      <c r="CA334" s="136">
        <f t="shared" si="347"/>
        <v>3.9999999999417923</v>
      </c>
      <c r="CB334" s="136">
        <f t="shared" si="348"/>
        <v>41.000000000058208</v>
      </c>
      <c r="CC334" s="136">
        <f t="shared" si="349"/>
        <v>24</v>
      </c>
      <c r="CD334" s="135">
        <f t="shared" si="350"/>
        <v>6</v>
      </c>
      <c r="CE334" s="135">
        <f t="shared" si="351"/>
        <v>9.9999999999417923</v>
      </c>
      <c r="CF334" s="134">
        <f t="shared" si="352"/>
        <v>5.25</v>
      </c>
      <c r="CG334" s="134">
        <f t="shared" si="353"/>
        <v>10.749999999992724</v>
      </c>
      <c r="CH334" s="133">
        <f t="shared" si="354"/>
        <v>0.48837209302358636</v>
      </c>
      <c r="CI334" s="121"/>
      <c r="CJ334" s="121"/>
    </row>
    <row r="335" spans="1:88" s="121" customFormat="1">
      <c r="A335" s="125">
        <f t="shared" si="341"/>
        <v>45310.041666666853</v>
      </c>
      <c r="B335" s="138" t="s">
        <v>187</v>
      </c>
      <c r="C335" s="121" t="s">
        <v>229</v>
      </c>
      <c r="D335" s="121" t="s">
        <v>197</v>
      </c>
      <c r="E335" s="253" t="s">
        <v>3263</v>
      </c>
      <c r="F335" s="121" t="s">
        <v>3378</v>
      </c>
      <c r="G335" s="398"/>
      <c r="H335" s="398"/>
      <c r="I335" s="121" t="s">
        <v>490</v>
      </c>
      <c r="K335" s="517" t="s">
        <v>187</v>
      </c>
      <c r="L335" s="121" t="s">
        <v>4105</v>
      </c>
      <c r="M335" s="123"/>
      <c r="N335" s="121" t="s">
        <v>201</v>
      </c>
      <c r="O335" s="121" t="s">
        <v>202</v>
      </c>
      <c r="P335" s="397" t="s">
        <v>494</v>
      </c>
      <c r="Q335" s="122">
        <f>3141*2.4</f>
        <v>7538.4</v>
      </c>
      <c r="R335" s="122">
        <f>7550+100</f>
        <v>7650</v>
      </c>
      <c r="S335" s="122">
        <v>7550</v>
      </c>
      <c r="T335" s="667"/>
      <c r="U335" s="846">
        <f>S335</f>
        <v>7550</v>
      </c>
      <c r="V335" s="581"/>
      <c r="W335" s="739"/>
      <c r="X335" s="581"/>
      <c r="Y335" s="739"/>
      <c r="Z335" s="739"/>
      <c r="AA335" s="739"/>
      <c r="AB335" s="581"/>
      <c r="AC335" s="581"/>
      <c r="AD335" s="581"/>
      <c r="AE335" s="667"/>
      <c r="AF335" s="667"/>
      <c r="AG335" s="667"/>
      <c r="AH335" s="115"/>
      <c r="AI335" s="667"/>
      <c r="AJ335" s="667"/>
      <c r="AK335" s="667"/>
      <c r="AL335" s="667"/>
      <c r="AM335" s="667"/>
      <c r="AN335" s="667"/>
      <c r="AO335" s="739"/>
      <c r="AP335" s="739"/>
      <c r="AQ335" s="739"/>
      <c r="AR335" s="739"/>
      <c r="AS335" s="739"/>
      <c r="AT335" s="739"/>
      <c r="AU335" s="739"/>
      <c r="AV335" s="739"/>
      <c r="AW335" s="739"/>
      <c r="AX335" s="739"/>
      <c r="AY335" s="739"/>
      <c r="AZ335" s="739"/>
      <c r="BA335" s="739"/>
      <c r="BB335" s="739"/>
      <c r="BC335" s="739"/>
      <c r="BD335" s="120">
        <f t="shared" si="342"/>
        <v>45303.75</v>
      </c>
      <c r="BE335" s="120">
        <f t="shared" si="343"/>
        <v>45314.25</v>
      </c>
      <c r="BF335" s="137">
        <f t="shared" si="344"/>
        <v>10.5</v>
      </c>
      <c r="BG335" s="120">
        <f>$BE$190</f>
        <v>45303.75</v>
      </c>
      <c r="BH335" s="120">
        <v>45304.604166666664</v>
      </c>
      <c r="BI335" s="120">
        <f t="shared" si="266"/>
        <v>45306.3125</v>
      </c>
      <c r="BJ335" s="120">
        <f t="shared" si="267"/>
        <v>45310.041666666853</v>
      </c>
      <c r="BK335" s="120">
        <f t="shared" si="268"/>
        <v>45310.208333333518</v>
      </c>
      <c r="BL335" s="120">
        <f t="shared" ref="BL335:BM335" si="386">BK335+(0.5/24)</f>
        <v>45310.229166666853</v>
      </c>
      <c r="BM335" s="120">
        <f t="shared" si="386"/>
        <v>45310.250000000189</v>
      </c>
      <c r="BN335" s="120">
        <f t="shared" si="270"/>
        <v>45311.958333333525</v>
      </c>
      <c r="BO335" s="120">
        <v>45312.333333333336</v>
      </c>
      <c r="BP335" s="120">
        <v>45312.5</v>
      </c>
      <c r="BQ335" s="124" t="s">
        <v>64</v>
      </c>
      <c r="BR335" s="120">
        <f t="shared" si="379"/>
        <v>45313.5</v>
      </c>
      <c r="BS335" s="120">
        <f t="shared" si="380"/>
        <v>45313.541666666664</v>
      </c>
      <c r="BT335" s="120">
        <f t="shared" si="381"/>
        <v>45313.791666666664</v>
      </c>
      <c r="BU335" s="120">
        <f t="shared" ref="BU335:BV335" si="387">BT335+(0.5/24)</f>
        <v>45313.8125</v>
      </c>
      <c r="BV335" s="120">
        <f t="shared" si="387"/>
        <v>45313.833333333336</v>
      </c>
      <c r="BW335" s="120">
        <f t="shared" si="383"/>
        <v>45314.25</v>
      </c>
      <c r="BZ335" s="136">
        <f t="shared" si="346"/>
        <v>41.000000000058208</v>
      </c>
      <c r="CA335" s="136">
        <f t="shared" si="347"/>
        <v>3.9999999999417923</v>
      </c>
      <c r="CB335" s="136">
        <f t="shared" si="348"/>
        <v>41.000000000058208</v>
      </c>
      <c r="CC335" s="136">
        <f t="shared" si="349"/>
        <v>24</v>
      </c>
      <c r="CD335" s="135">
        <f t="shared" si="350"/>
        <v>6</v>
      </c>
      <c r="CE335" s="135">
        <f t="shared" si="351"/>
        <v>9.9999999999417923</v>
      </c>
      <c r="CF335" s="134">
        <f t="shared" si="352"/>
        <v>5.25</v>
      </c>
      <c r="CG335" s="134">
        <f t="shared" si="353"/>
        <v>10.5</v>
      </c>
      <c r="CH335" s="133">
        <f t="shared" si="354"/>
        <v>0.5</v>
      </c>
    </row>
    <row r="336" spans="1:88" s="369" customFormat="1">
      <c r="A336" s="125">
        <f t="shared" si="341"/>
        <v>45310.250000000189</v>
      </c>
      <c r="B336" s="138" t="s">
        <v>187</v>
      </c>
      <c r="C336" s="121" t="s">
        <v>229</v>
      </c>
      <c r="D336" s="121" t="s">
        <v>197</v>
      </c>
      <c r="E336" s="253" t="s">
        <v>3263</v>
      </c>
      <c r="F336" s="121" t="s">
        <v>3378</v>
      </c>
      <c r="G336" s="398"/>
      <c r="H336" s="398"/>
      <c r="I336" s="121" t="s">
        <v>490</v>
      </c>
      <c r="J336" s="121"/>
      <c r="K336" s="517" t="s">
        <v>187</v>
      </c>
      <c r="L336" s="121" t="s">
        <v>4105</v>
      </c>
      <c r="M336" s="123"/>
      <c r="N336" s="121" t="s">
        <v>489</v>
      </c>
      <c r="O336" s="121" t="s">
        <v>483</v>
      </c>
      <c r="P336" s="397" t="s">
        <v>494</v>
      </c>
      <c r="Q336" s="122">
        <f>3107*2.4</f>
        <v>7456.7999999999993</v>
      </c>
      <c r="R336" s="122">
        <f>7500+100</f>
        <v>7600</v>
      </c>
      <c r="S336" s="122">
        <v>7500</v>
      </c>
      <c r="T336" s="667"/>
      <c r="U336" s="846">
        <f>S336</f>
        <v>7500</v>
      </c>
      <c r="V336" s="581"/>
      <c r="W336" s="739"/>
      <c r="X336" s="581"/>
      <c r="Y336" s="739"/>
      <c r="Z336" s="739"/>
      <c r="AA336" s="739"/>
      <c r="AB336" s="581"/>
      <c r="AC336" s="581"/>
      <c r="AD336" s="581"/>
      <c r="AE336" s="581"/>
      <c r="AF336" s="581"/>
      <c r="AG336" s="581"/>
      <c r="AH336" s="121"/>
      <c r="AI336" s="401"/>
      <c r="AJ336" s="401"/>
      <c r="AK336" s="401"/>
      <c r="AL336" s="401"/>
      <c r="AM336" s="401"/>
      <c r="AN336" s="401"/>
      <c r="AO336" s="401"/>
      <c r="AP336" s="401"/>
      <c r="AQ336" s="401"/>
      <c r="AR336" s="401"/>
      <c r="AS336" s="401"/>
      <c r="AT336" s="401"/>
      <c r="AU336" s="401"/>
      <c r="AV336" s="128"/>
      <c r="AW336" s="128"/>
      <c r="AX336" s="128"/>
      <c r="AY336" s="128"/>
      <c r="AZ336" s="128"/>
      <c r="BA336" s="128"/>
      <c r="BB336" s="128"/>
      <c r="BC336" s="128"/>
      <c r="BD336" s="120">
        <f t="shared" si="342"/>
        <v>45303.75</v>
      </c>
      <c r="BE336" s="120">
        <f t="shared" si="343"/>
        <v>45315.458333333328</v>
      </c>
      <c r="BF336" s="137">
        <f t="shared" si="344"/>
        <v>11.708333333328483</v>
      </c>
      <c r="BG336" s="120">
        <f>$BE$224</f>
        <v>45303.75</v>
      </c>
      <c r="BH336" s="120">
        <v>45304.604166666664</v>
      </c>
      <c r="BI336" s="120">
        <f t="shared" si="266"/>
        <v>45306.3125</v>
      </c>
      <c r="BJ336" s="120">
        <f t="shared" si="267"/>
        <v>45310.250000000189</v>
      </c>
      <c r="BK336" s="120">
        <f t="shared" si="268"/>
        <v>45310.416666666853</v>
      </c>
      <c r="BL336" s="120">
        <f t="shared" ref="BL336:BM336" si="388">BK336+(0.5/24)</f>
        <v>45310.437500000189</v>
      </c>
      <c r="BM336" s="120">
        <f t="shared" si="388"/>
        <v>45310.458333333525</v>
      </c>
      <c r="BN336" s="120">
        <f t="shared" si="270"/>
        <v>45312.166666666861</v>
      </c>
      <c r="BO336" s="120">
        <v>45313.541666666664</v>
      </c>
      <c r="BP336" s="120">
        <v>45313.708333333328</v>
      </c>
      <c r="BQ336" s="124" t="s">
        <v>64</v>
      </c>
      <c r="BR336" s="120">
        <f t="shared" si="379"/>
        <v>45314.708333333328</v>
      </c>
      <c r="BS336" s="120">
        <f t="shared" si="380"/>
        <v>45314.749999999993</v>
      </c>
      <c r="BT336" s="120">
        <f t="shared" si="381"/>
        <v>45314.999999999993</v>
      </c>
      <c r="BU336" s="120">
        <f t="shared" ref="BU336:BV336" si="389">BT336+(0.5/24)</f>
        <v>45315.020833333328</v>
      </c>
      <c r="BV336" s="120">
        <f t="shared" si="389"/>
        <v>45315.041666666664</v>
      </c>
      <c r="BW336" s="120">
        <f t="shared" si="383"/>
        <v>45315.458333333328</v>
      </c>
      <c r="BX336" s="121"/>
      <c r="BY336" s="121"/>
      <c r="BZ336" s="136">
        <f t="shared" si="346"/>
        <v>41.000000000058208</v>
      </c>
      <c r="CA336" s="136">
        <f t="shared" si="347"/>
        <v>3.9999999999417923</v>
      </c>
      <c r="CB336" s="136">
        <f t="shared" si="348"/>
        <v>41.000000000058208</v>
      </c>
      <c r="CC336" s="136">
        <f t="shared" si="349"/>
        <v>24</v>
      </c>
      <c r="CD336" s="135">
        <f t="shared" si="350"/>
        <v>6</v>
      </c>
      <c r="CE336" s="135">
        <f t="shared" si="351"/>
        <v>9.9999999999417923</v>
      </c>
      <c r="CF336" s="134">
        <f t="shared" si="352"/>
        <v>5.25</v>
      </c>
      <c r="CG336" s="134">
        <f t="shared" si="353"/>
        <v>11.708333333328483</v>
      </c>
      <c r="CH336" s="133">
        <f t="shared" si="354"/>
        <v>0.44839857651264126</v>
      </c>
      <c r="CI336" s="128"/>
      <c r="CJ336" s="121"/>
    </row>
    <row r="337" spans="1:88" s="128" customFormat="1">
      <c r="A337" s="125">
        <f t="shared" si="341"/>
        <v>45310.458333333525</v>
      </c>
      <c r="B337" s="138" t="s">
        <v>187</v>
      </c>
      <c r="C337" s="121" t="s">
        <v>229</v>
      </c>
      <c r="D337" s="121" t="s">
        <v>215</v>
      </c>
      <c r="E337" s="253" t="s">
        <v>3263</v>
      </c>
      <c r="F337" s="121" t="s">
        <v>3378</v>
      </c>
      <c r="G337" s="398"/>
      <c r="H337" s="398"/>
      <c r="I337" s="121" t="s">
        <v>490</v>
      </c>
      <c r="J337" s="121"/>
      <c r="K337" s="517" t="s">
        <v>187</v>
      </c>
      <c r="L337" s="121" t="s">
        <v>4105</v>
      </c>
      <c r="M337" s="123"/>
      <c r="N337" s="121" t="s">
        <v>721</v>
      </c>
      <c r="O337" s="121" t="s">
        <v>1349</v>
      </c>
      <c r="P337" s="397" t="s">
        <v>835</v>
      </c>
      <c r="Q337" s="122">
        <f>3136*2.4</f>
        <v>7526.4</v>
      </c>
      <c r="R337" s="122">
        <f>7550+100</f>
        <v>7650</v>
      </c>
      <c r="S337" s="122">
        <v>7550</v>
      </c>
      <c r="T337" s="667"/>
      <c r="V337" s="846">
        <f>S337</f>
        <v>7550</v>
      </c>
      <c r="W337" s="739"/>
      <c r="X337" s="581"/>
      <c r="Y337" s="739"/>
      <c r="Z337" s="739"/>
      <c r="AA337" s="739"/>
      <c r="AB337" s="739"/>
      <c r="AC337" s="581"/>
      <c r="AD337" s="581"/>
      <c r="AE337" s="581"/>
      <c r="AF337" s="581"/>
      <c r="AG337" s="581"/>
      <c r="AH337" s="581"/>
      <c r="AI337" s="581"/>
      <c r="AJ337" s="581"/>
      <c r="AK337" s="581"/>
      <c r="AL337" s="581"/>
      <c r="AM337" s="581"/>
      <c r="AN337" s="581"/>
      <c r="AO337" s="581"/>
      <c r="AP337" s="581"/>
      <c r="AQ337" s="581"/>
      <c r="AR337" s="581"/>
      <c r="AS337" s="581"/>
      <c r="AT337" s="581"/>
      <c r="AU337" s="581"/>
      <c r="AV337" s="581"/>
      <c r="AW337" s="581"/>
      <c r="AX337" s="581"/>
      <c r="AY337" s="581"/>
      <c r="AZ337" s="581"/>
      <c r="BA337" s="581"/>
      <c r="BB337" s="581"/>
      <c r="BC337" s="581"/>
      <c r="BD337" s="120">
        <f t="shared" si="342"/>
        <v>45303.833333333343</v>
      </c>
      <c r="BE337" s="120">
        <f t="shared" si="343"/>
        <v>45315.458333333328</v>
      </c>
      <c r="BF337" s="137">
        <f t="shared" si="344"/>
        <v>11.624999999985448</v>
      </c>
      <c r="BG337" s="905">
        <f>$BE$230</f>
        <v>45303.833333333343</v>
      </c>
      <c r="BH337" s="120">
        <v>45304.604166666664</v>
      </c>
      <c r="BI337" s="120">
        <f t="shared" si="266"/>
        <v>45306.3125</v>
      </c>
      <c r="BJ337" s="120">
        <f t="shared" si="267"/>
        <v>45310.458333333525</v>
      </c>
      <c r="BK337" s="120">
        <f t="shared" si="268"/>
        <v>45310.625000000189</v>
      </c>
      <c r="BL337" s="120">
        <f t="shared" ref="BL337:BM337" si="390">BK337+(0.5/24)</f>
        <v>45310.645833333525</v>
      </c>
      <c r="BM337" s="120">
        <f t="shared" si="390"/>
        <v>45310.666666666861</v>
      </c>
      <c r="BN337" s="120">
        <f t="shared" si="270"/>
        <v>45312.375000000196</v>
      </c>
      <c r="BO337" s="120">
        <v>45313.541666666664</v>
      </c>
      <c r="BP337" s="120">
        <v>45313.708333333328</v>
      </c>
      <c r="BQ337" s="124" t="s">
        <v>64</v>
      </c>
      <c r="BR337" s="120">
        <f t="shared" si="379"/>
        <v>45314.708333333328</v>
      </c>
      <c r="BS337" s="120">
        <f t="shared" si="380"/>
        <v>45314.749999999993</v>
      </c>
      <c r="BT337" s="120">
        <f t="shared" si="381"/>
        <v>45314.999999999993</v>
      </c>
      <c r="BU337" s="120">
        <f t="shared" ref="BU337:BV337" si="391">BT337+(0.5/24)</f>
        <v>45315.020833333328</v>
      </c>
      <c r="BV337" s="120">
        <f t="shared" si="391"/>
        <v>45315.041666666664</v>
      </c>
      <c r="BW337" s="120">
        <f t="shared" si="383"/>
        <v>45315.458333333328</v>
      </c>
      <c r="BX337" s="121"/>
      <c r="BY337" s="121"/>
      <c r="BZ337" s="136">
        <f t="shared" si="346"/>
        <v>41.000000000058208</v>
      </c>
      <c r="CA337" s="136">
        <f t="shared" si="347"/>
        <v>3.9999999999417923</v>
      </c>
      <c r="CB337" s="136">
        <f t="shared" si="348"/>
        <v>41.000000000058208</v>
      </c>
      <c r="CC337" s="136">
        <f t="shared" si="349"/>
        <v>24</v>
      </c>
      <c r="CD337" s="135">
        <f t="shared" si="350"/>
        <v>6</v>
      </c>
      <c r="CE337" s="135">
        <f t="shared" si="351"/>
        <v>9.9999999999417923</v>
      </c>
      <c r="CF337" s="134">
        <f t="shared" si="352"/>
        <v>5.25</v>
      </c>
      <c r="CG337" s="134">
        <f t="shared" si="353"/>
        <v>11.624999999985448</v>
      </c>
      <c r="CH337" s="133">
        <f t="shared" si="354"/>
        <v>0.45161290322637176</v>
      </c>
      <c r="CI337" s="121"/>
      <c r="CJ337" s="121"/>
    </row>
    <row r="338" spans="1:88" s="121" customFormat="1">
      <c r="A338" s="125">
        <f t="shared" si="341"/>
        <v>45310.666666666861</v>
      </c>
      <c r="B338" s="138" t="s">
        <v>187</v>
      </c>
      <c r="C338" s="121" t="s">
        <v>229</v>
      </c>
      <c r="D338" s="121" t="s">
        <v>197</v>
      </c>
      <c r="E338" s="253" t="s">
        <v>1445</v>
      </c>
      <c r="F338" s="397" t="s">
        <v>3474</v>
      </c>
      <c r="G338" s="398"/>
      <c r="H338" s="398"/>
      <c r="I338" s="121" t="s">
        <v>231</v>
      </c>
      <c r="K338" s="517" t="s">
        <v>187</v>
      </c>
      <c r="L338" s="121" t="s">
        <v>4102</v>
      </c>
      <c r="M338" s="123"/>
      <c r="N338" s="121" t="s">
        <v>298</v>
      </c>
      <c r="O338" s="121" t="s">
        <v>299</v>
      </c>
      <c r="P338" s="517" t="s">
        <v>240</v>
      </c>
      <c r="Q338" s="122">
        <f>4337*2.4</f>
        <v>10408.799999999999</v>
      </c>
      <c r="R338" s="122">
        <f>10450+100</f>
        <v>10550</v>
      </c>
      <c r="S338" s="122">
        <v>10450</v>
      </c>
      <c r="T338" s="667"/>
      <c r="U338" s="581"/>
      <c r="V338" s="581"/>
      <c r="W338" s="739"/>
      <c r="X338" s="581"/>
      <c r="Y338" s="846">
        <f>S338</f>
        <v>10450</v>
      </c>
      <c r="Z338" s="739"/>
      <c r="AA338" s="581"/>
      <c r="AB338" s="581"/>
      <c r="AC338" s="581"/>
      <c r="AD338" s="401"/>
      <c r="AE338" s="401"/>
      <c r="AF338" s="401"/>
      <c r="AG338" s="401"/>
      <c r="AH338" s="401"/>
      <c r="AI338" s="401"/>
      <c r="AJ338" s="401"/>
      <c r="AK338" s="401"/>
      <c r="AL338" s="401"/>
      <c r="AM338" s="401"/>
      <c r="AN338" s="401"/>
      <c r="AO338" s="401"/>
      <c r="AP338" s="401"/>
      <c r="AQ338" s="401"/>
      <c r="AR338" s="401"/>
      <c r="AS338" s="401"/>
      <c r="AT338" s="401"/>
      <c r="AU338" s="401"/>
      <c r="AV338" s="401"/>
      <c r="AW338" s="401"/>
      <c r="AX338" s="401"/>
      <c r="AY338" s="401"/>
      <c r="AZ338" s="401"/>
      <c r="BA338" s="401"/>
      <c r="BB338" s="401"/>
      <c r="BC338" s="401"/>
      <c r="BD338" s="120">
        <f t="shared" si="342"/>
        <v>45304.0625</v>
      </c>
      <c r="BE338" s="120">
        <f t="shared" si="343"/>
        <v>45316.5</v>
      </c>
      <c r="BF338" s="137">
        <f t="shared" si="344"/>
        <v>12.4375</v>
      </c>
      <c r="BG338" s="120">
        <f>$BE$191</f>
        <v>45304.0625</v>
      </c>
      <c r="BH338" s="120">
        <v>45305.604166666664</v>
      </c>
      <c r="BI338" s="120">
        <f t="shared" si="266"/>
        <v>45307.3125</v>
      </c>
      <c r="BJ338" s="120">
        <f t="shared" si="267"/>
        <v>45310.666666666861</v>
      </c>
      <c r="BK338" s="120">
        <f t="shared" si="268"/>
        <v>45310.833333333525</v>
      </c>
      <c r="BL338" s="120">
        <f t="shared" ref="BL338:BM338" si="392">BK338+(0.5/24)</f>
        <v>45310.854166666861</v>
      </c>
      <c r="BM338" s="120">
        <f t="shared" si="392"/>
        <v>45310.875000000196</v>
      </c>
      <c r="BN338" s="120">
        <f t="shared" si="270"/>
        <v>45312.583333333532</v>
      </c>
      <c r="BO338" s="120">
        <v>45313.541666666664</v>
      </c>
      <c r="BP338" s="120">
        <v>45313.708333333328</v>
      </c>
      <c r="BQ338" s="124" t="s">
        <v>64</v>
      </c>
      <c r="BR338" s="120">
        <f>BP338+((30+12)/24)</f>
        <v>45315.458333333328</v>
      </c>
      <c r="BS338" s="120">
        <f>BR338+(1/24)</f>
        <v>45315.499999999993</v>
      </c>
      <c r="BT338" s="120">
        <f>BS338+(6/24)</f>
        <v>45315.749999999993</v>
      </c>
      <c r="BU338" s="120">
        <f>BT338+(0.5/24)</f>
        <v>45315.770833333328</v>
      </c>
      <c r="BV338" s="120">
        <f>BU338+(0.5/24)</f>
        <v>45315.791666666664</v>
      </c>
      <c r="BW338" s="120">
        <f>BV338+(17/24)</f>
        <v>45316.5</v>
      </c>
      <c r="BZ338" s="136">
        <f t="shared" si="346"/>
        <v>41.000000000058208</v>
      </c>
      <c r="CA338" s="136">
        <f t="shared" si="347"/>
        <v>3.9999999999417923</v>
      </c>
      <c r="CB338" s="136">
        <f t="shared" si="348"/>
        <v>41.000000000058208</v>
      </c>
      <c r="CC338" s="136">
        <f t="shared" si="349"/>
        <v>42</v>
      </c>
      <c r="CD338" s="135">
        <f t="shared" si="350"/>
        <v>6</v>
      </c>
      <c r="CE338" s="135">
        <f t="shared" si="351"/>
        <v>17.000000000058208</v>
      </c>
      <c r="CF338" s="134">
        <f t="shared" si="352"/>
        <v>6.2916666666715173</v>
      </c>
      <c r="CG338" s="134">
        <f t="shared" si="353"/>
        <v>12.4375</v>
      </c>
      <c r="CH338" s="133">
        <f t="shared" si="354"/>
        <v>0.50586264656655411</v>
      </c>
      <c r="CJ338" s="115"/>
    </row>
    <row r="339" spans="1:88" s="128" customFormat="1">
      <c r="A339" s="125">
        <f t="shared" si="341"/>
        <v>45310.875000000196</v>
      </c>
      <c r="B339" s="138" t="s">
        <v>187</v>
      </c>
      <c r="C339" s="121" t="s">
        <v>229</v>
      </c>
      <c r="D339" s="121" t="s">
        <v>215</v>
      </c>
      <c r="E339" s="253" t="s">
        <v>1445</v>
      </c>
      <c r="F339" s="397" t="s">
        <v>3474</v>
      </c>
      <c r="G339" s="398"/>
      <c r="H339" s="398"/>
      <c r="I339" s="121" t="s">
        <v>231</v>
      </c>
      <c r="J339" s="121"/>
      <c r="K339" s="517" t="s">
        <v>187</v>
      </c>
      <c r="L339" s="121" t="s">
        <v>4102</v>
      </c>
      <c r="M339" s="123"/>
      <c r="N339" s="121" t="s">
        <v>390</v>
      </c>
      <c r="O339" s="121" t="s">
        <v>3346</v>
      </c>
      <c r="P339" s="517" t="s">
        <v>240</v>
      </c>
      <c r="Q339" s="122">
        <f>3094*2.4</f>
        <v>7425.5999999999995</v>
      </c>
      <c r="R339" s="122">
        <f>7450+100</f>
        <v>7550</v>
      </c>
      <c r="S339" s="122">
        <v>7500</v>
      </c>
      <c r="T339" s="667"/>
      <c r="U339" s="581"/>
      <c r="V339" s="581"/>
      <c r="W339" s="739"/>
      <c r="X339" s="581"/>
      <c r="Y339" s="846">
        <f>S339</f>
        <v>7500</v>
      </c>
      <c r="Z339" s="739"/>
      <c r="AA339" s="581"/>
      <c r="AB339" s="739"/>
      <c r="AC339" s="581"/>
      <c r="AD339" s="581"/>
      <c r="AE339" s="581"/>
      <c r="AF339" s="581"/>
      <c r="AG339" s="581"/>
      <c r="AH339" s="581"/>
      <c r="AI339" s="581"/>
      <c r="AJ339" s="581"/>
      <c r="AK339" s="581"/>
      <c r="AL339" s="581"/>
      <c r="AM339" s="581"/>
      <c r="AN339" s="581"/>
      <c r="AO339" s="581"/>
      <c r="AP339" s="581"/>
      <c r="AQ339" s="581"/>
      <c r="AR339" s="667"/>
      <c r="AS339" s="667"/>
      <c r="AT339" s="667"/>
      <c r="AU339" s="667"/>
      <c r="AV339" s="667"/>
      <c r="AW339" s="667"/>
      <c r="AX339" s="667"/>
      <c r="AY339" s="667"/>
      <c r="AZ339" s="667"/>
      <c r="BA339" s="667"/>
      <c r="BB339" s="667"/>
      <c r="BC339" s="667"/>
      <c r="BD339" s="120">
        <f t="shared" si="342"/>
        <v>45304.0625</v>
      </c>
      <c r="BE339" s="120">
        <f t="shared" si="343"/>
        <v>45316.5</v>
      </c>
      <c r="BF339" s="137">
        <f t="shared" si="344"/>
        <v>12.4375</v>
      </c>
      <c r="BG339" s="120">
        <f>$BE$225</f>
        <v>45304.0625</v>
      </c>
      <c r="BH339" s="120">
        <v>45305.604166666664</v>
      </c>
      <c r="BI339" s="120">
        <f t="shared" si="266"/>
        <v>45307.3125</v>
      </c>
      <c r="BJ339" s="120">
        <f t="shared" si="267"/>
        <v>45310.875000000196</v>
      </c>
      <c r="BK339" s="120">
        <f t="shared" si="268"/>
        <v>45311.041666666861</v>
      </c>
      <c r="BL339" s="120">
        <f t="shared" ref="BL339:BM339" si="393">BK339+(0.5/24)</f>
        <v>45311.062500000196</v>
      </c>
      <c r="BM339" s="120">
        <f t="shared" si="393"/>
        <v>45311.083333333532</v>
      </c>
      <c r="BN339" s="120">
        <f t="shared" si="270"/>
        <v>45312.791666666868</v>
      </c>
      <c r="BO339" s="120">
        <v>45313.541666666664</v>
      </c>
      <c r="BP339" s="120">
        <v>45313.708333333328</v>
      </c>
      <c r="BQ339" s="124" t="s">
        <v>64</v>
      </c>
      <c r="BR339" s="120">
        <f t="shared" ref="BR339:BR342" si="394">BP339+((30+12)/24)</f>
        <v>45315.458333333328</v>
      </c>
      <c r="BS339" s="120">
        <f t="shared" ref="BS339:BS343" si="395">BR339+(1/24)</f>
        <v>45315.499999999993</v>
      </c>
      <c r="BT339" s="120">
        <f t="shared" ref="BT339:BT343" si="396">BS339+(6/24)</f>
        <v>45315.749999999993</v>
      </c>
      <c r="BU339" s="120">
        <f t="shared" ref="BU339:BV339" si="397">BT339+(0.5/24)</f>
        <v>45315.770833333328</v>
      </c>
      <c r="BV339" s="120">
        <f t="shared" si="397"/>
        <v>45315.791666666664</v>
      </c>
      <c r="BW339" s="120">
        <f t="shared" ref="BW339:BW342" si="398">BV339+(17/24)</f>
        <v>45316.5</v>
      </c>
      <c r="BX339" s="121"/>
      <c r="BY339" s="121"/>
      <c r="BZ339" s="136">
        <f t="shared" si="346"/>
        <v>41.000000000058208</v>
      </c>
      <c r="CA339" s="136">
        <f t="shared" si="347"/>
        <v>3.9999999999417923</v>
      </c>
      <c r="CB339" s="136">
        <f t="shared" si="348"/>
        <v>41.000000000058208</v>
      </c>
      <c r="CC339" s="136">
        <f t="shared" si="349"/>
        <v>42</v>
      </c>
      <c r="CD339" s="135">
        <f t="shared" si="350"/>
        <v>6</v>
      </c>
      <c r="CE339" s="135">
        <f t="shared" si="351"/>
        <v>17.000000000058208</v>
      </c>
      <c r="CF339" s="134">
        <f t="shared" si="352"/>
        <v>6.2916666666715173</v>
      </c>
      <c r="CG339" s="134">
        <f t="shared" si="353"/>
        <v>12.4375</v>
      </c>
      <c r="CH339" s="133">
        <f t="shared" si="354"/>
        <v>0.50586264656655411</v>
      </c>
      <c r="CJ339" s="115"/>
    </row>
    <row r="340" spans="1:88" s="121" customFormat="1">
      <c r="A340" s="125">
        <f t="shared" si="341"/>
        <v>45311.083333333532</v>
      </c>
      <c r="B340" s="138" t="s">
        <v>187</v>
      </c>
      <c r="C340" s="121" t="s">
        <v>229</v>
      </c>
      <c r="D340" s="121" t="s">
        <v>197</v>
      </c>
      <c r="E340" s="253" t="s">
        <v>1445</v>
      </c>
      <c r="F340" s="397" t="s">
        <v>3474</v>
      </c>
      <c r="G340" s="398"/>
      <c r="H340" s="398"/>
      <c r="I340" s="121" t="s">
        <v>231</v>
      </c>
      <c r="K340" s="517" t="s">
        <v>187</v>
      </c>
      <c r="L340" s="121" t="s">
        <v>4102</v>
      </c>
      <c r="M340" s="123"/>
      <c r="N340" s="121" t="s">
        <v>1392</v>
      </c>
      <c r="O340" s="121" t="s">
        <v>365</v>
      </c>
      <c r="P340" s="517" t="s">
        <v>240</v>
      </c>
      <c r="Q340" s="122">
        <f>3142*2.4</f>
        <v>7540.7999999999993</v>
      </c>
      <c r="R340" s="122">
        <f>7550+100</f>
        <v>7650</v>
      </c>
      <c r="S340" s="122">
        <v>7550</v>
      </c>
      <c r="T340" s="667"/>
      <c r="U340" s="581"/>
      <c r="V340" s="581"/>
      <c r="W340" s="739"/>
      <c r="X340" s="581"/>
      <c r="Y340" s="846">
        <f>S340</f>
        <v>7550</v>
      </c>
      <c r="Z340" s="739"/>
      <c r="AA340" s="581"/>
      <c r="AB340" s="581"/>
      <c r="AC340" s="581"/>
      <c r="AD340" s="401"/>
      <c r="AE340" s="401"/>
      <c r="AF340" s="401"/>
      <c r="AG340" s="401"/>
      <c r="AH340" s="401"/>
      <c r="AI340" s="401"/>
      <c r="AJ340" s="401"/>
      <c r="AK340" s="401"/>
      <c r="AL340" s="401"/>
      <c r="AM340" s="401"/>
      <c r="AN340" s="401"/>
      <c r="AO340" s="401"/>
      <c r="AP340" s="401"/>
      <c r="AQ340" s="401"/>
      <c r="AR340" s="401"/>
      <c r="AS340" s="401"/>
      <c r="AT340" s="401"/>
      <c r="AU340" s="401"/>
      <c r="AV340" s="401"/>
      <c r="AW340" s="401"/>
      <c r="AX340" s="401"/>
      <c r="AY340" s="401"/>
      <c r="AZ340" s="401"/>
      <c r="BA340" s="401"/>
      <c r="BB340" s="401"/>
      <c r="BC340" s="401"/>
      <c r="BD340" s="120">
        <f t="shared" si="342"/>
        <v>45304.166666666679</v>
      </c>
      <c r="BE340" s="120">
        <f t="shared" si="343"/>
        <v>45317.499999942134</v>
      </c>
      <c r="BF340" s="137">
        <f t="shared" si="344"/>
        <v>13.333333275455516</v>
      </c>
      <c r="BG340" s="120">
        <f>$BE$231</f>
        <v>45304.166666666679</v>
      </c>
      <c r="BH340" s="120">
        <v>45305.604166666664</v>
      </c>
      <c r="BI340" s="120">
        <f t="shared" si="266"/>
        <v>45307.3125</v>
      </c>
      <c r="BJ340" s="120">
        <f t="shared" si="267"/>
        <v>45311.083333333532</v>
      </c>
      <c r="BK340" s="120">
        <f t="shared" si="268"/>
        <v>45311.250000000196</v>
      </c>
      <c r="BL340" s="120">
        <f t="shared" ref="BL340:BM340" si="399">BK340+(0.5/24)</f>
        <v>45311.270833333532</v>
      </c>
      <c r="BM340" s="120">
        <f t="shared" si="399"/>
        <v>45311.291666666868</v>
      </c>
      <c r="BN340" s="120">
        <f t="shared" si="270"/>
        <v>45313.000000000204</v>
      </c>
      <c r="BO340" s="120">
        <v>45314.541666608799</v>
      </c>
      <c r="BP340" s="120">
        <v>45314.708333275463</v>
      </c>
      <c r="BQ340" s="124" t="s">
        <v>64</v>
      </c>
      <c r="BR340" s="120">
        <f t="shared" si="394"/>
        <v>45316.458333275463</v>
      </c>
      <c r="BS340" s="120">
        <f t="shared" si="395"/>
        <v>45316.499999942127</v>
      </c>
      <c r="BT340" s="120">
        <f t="shared" si="396"/>
        <v>45316.749999942127</v>
      </c>
      <c r="BU340" s="120">
        <f t="shared" ref="BU340:BV340" si="400">BT340+(0.5/24)</f>
        <v>45316.770833275463</v>
      </c>
      <c r="BV340" s="120">
        <f t="shared" si="400"/>
        <v>45316.791666608799</v>
      </c>
      <c r="BW340" s="120">
        <f t="shared" si="398"/>
        <v>45317.499999942134</v>
      </c>
      <c r="BZ340" s="136">
        <f t="shared" si="346"/>
        <v>41.000000000058208</v>
      </c>
      <c r="CA340" s="136">
        <f t="shared" si="347"/>
        <v>3.9999999999417923</v>
      </c>
      <c r="CB340" s="136">
        <f t="shared" si="348"/>
        <v>41.000000000058208</v>
      </c>
      <c r="CC340" s="136">
        <f t="shared" si="349"/>
        <v>42</v>
      </c>
      <c r="CD340" s="135">
        <f t="shared" si="350"/>
        <v>6</v>
      </c>
      <c r="CE340" s="135">
        <f t="shared" si="351"/>
        <v>17.000000000058208</v>
      </c>
      <c r="CF340" s="134">
        <f t="shared" si="352"/>
        <v>6.2916666666715173</v>
      </c>
      <c r="CG340" s="134">
        <f t="shared" si="353"/>
        <v>13.333333275455516</v>
      </c>
      <c r="CH340" s="133">
        <f t="shared" si="354"/>
        <v>0.47187500204869592</v>
      </c>
    </row>
    <row r="341" spans="1:88" s="121" customFormat="1">
      <c r="A341" s="125">
        <f t="shared" si="341"/>
        <v>45311.291666666868</v>
      </c>
      <c r="B341" s="138" t="s">
        <v>187</v>
      </c>
      <c r="C341" s="121" t="s">
        <v>229</v>
      </c>
      <c r="D341" s="121" t="s">
        <v>197</v>
      </c>
      <c r="E341" s="253" t="s">
        <v>1445</v>
      </c>
      <c r="F341" s="397" t="s">
        <v>3474</v>
      </c>
      <c r="G341" s="398"/>
      <c r="H341" s="398"/>
      <c r="I341" s="121" t="s">
        <v>231</v>
      </c>
      <c r="K341" s="517" t="s">
        <v>187</v>
      </c>
      <c r="L341" s="121" t="s">
        <v>4102</v>
      </c>
      <c r="M341" s="123"/>
      <c r="N341" s="121" t="s">
        <v>277</v>
      </c>
      <c r="O341" s="121" t="s">
        <v>278</v>
      </c>
      <c r="P341" s="517" t="s">
        <v>235</v>
      </c>
      <c r="Q341" s="122">
        <f>3117*2.4</f>
        <v>7480.7999999999993</v>
      </c>
      <c r="R341" s="122">
        <f>7500+100</f>
        <v>7600</v>
      </c>
      <c r="S341" s="122">
        <v>7500</v>
      </c>
      <c r="T341" s="667"/>
      <c r="U341" s="581"/>
      <c r="V341" s="581"/>
      <c r="W341" s="581"/>
      <c r="X341" s="846">
        <f>S341</f>
        <v>7500</v>
      </c>
      <c r="Z341" s="581"/>
      <c r="AA341" s="581"/>
      <c r="AB341" s="739"/>
      <c r="AC341" s="581"/>
      <c r="AD341" s="581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15"/>
      <c r="AQ341" s="115"/>
      <c r="AR341" s="115"/>
      <c r="AS341" s="115"/>
      <c r="BD341" s="120">
        <f t="shared" si="342"/>
        <v>45304.375</v>
      </c>
      <c r="BE341" s="120">
        <f t="shared" si="343"/>
        <v>45317.499999942134</v>
      </c>
      <c r="BF341" s="137">
        <f t="shared" si="344"/>
        <v>13.124999942134309</v>
      </c>
      <c r="BG341" s="120">
        <f>$BE$192</f>
        <v>45304.375</v>
      </c>
      <c r="BH341" s="120">
        <v>45305.604166666664</v>
      </c>
      <c r="BI341" s="120">
        <f t="shared" si="266"/>
        <v>45307.3125</v>
      </c>
      <c r="BJ341" s="120">
        <f t="shared" si="267"/>
        <v>45311.291666666868</v>
      </c>
      <c r="BK341" s="120">
        <f t="shared" si="268"/>
        <v>45311.458333333532</v>
      </c>
      <c r="BL341" s="120">
        <f t="shared" ref="BL341:BM341" si="401">BK341+(0.5/24)</f>
        <v>45311.479166666868</v>
      </c>
      <c r="BM341" s="120">
        <f t="shared" si="401"/>
        <v>45311.500000000204</v>
      </c>
      <c r="BN341" s="120">
        <f t="shared" si="270"/>
        <v>45313.208333333539</v>
      </c>
      <c r="BO341" s="120">
        <v>45314.541666608799</v>
      </c>
      <c r="BP341" s="120">
        <v>45314.708333275463</v>
      </c>
      <c r="BQ341" s="124" t="s">
        <v>64</v>
      </c>
      <c r="BR341" s="120">
        <f t="shared" si="394"/>
        <v>45316.458333275463</v>
      </c>
      <c r="BS341" s="120">
        <f t="shared" si="395"/>
        <v>45316.499999942127</v>
      </c>
      <c r="BT341" s="120">
        <f t="shared" si="396"/>
        <v>45316.749999942127</v>
      </c>
      <c r="BU341" s="120">
        <f t="shared" ref="BU341:BV341" si="402">BT341+(0.5/24)</f>
        <v>45316.770833275463</v>
      </c>
      <c r="BV341" s="120">
        <f t="shared" si="402"/>
        <v>45316.791666608799</v>
      </c>
      <c r="BW341" s="120">
        <f t="shared" si="398"/>
        <v>45317.499999942134</v>
      </c>
      <c r="BZ341" s="136">
        <f t="shared" si="346"/>
        <v>41.000000000058208</v>
      </c>
      <c r="CA341" s="136">
        <f t="shared" si="347"/>
        <v>3.9999999999417923</v>
      </c>
      <c r="CB341" s="136">
        <f t="shared" si="348"/>
        <v>41.000000000058208</v>
      </c>
      <c r="CC341" s="136">
        <f t="shared" si="349"/>
        <v>42</v>
      </c>
      <c r="CD341" s="135">
        <f t="shared" si="350"/>
        <v>6</v>
      </c>
      <c r="CE341" s="135">
        <f t="shared" si="351"/>
        <v>17.000000000058208</v>
      </c>
      <c r="CF341" s="134">
        <f t="shared" si="352"/>
        <v>6.2916666666715173</v>
      </c>
      <c r="CG341" s="134">
        <f t="shared" si="353"/>
        <v>13.124999942134309</v>
      </c>
      <c r="CH341" s="133">
        <f t="shared" si="354"/>
        <v>0.47936508147888068</v>
      </c>
    </row>
    <row r="342" spans="1:88">
      <c r="A342" s="125">
        <f t="shared" si="341"/>
        <v>45311.500000000204</v>
      </c>
      <c r="B342" s="138" t="s">
        <v>187</v>
      </c>
      <c r="C342" s="121" t="s">
        <v>229</v>
      </c>
      <c r="D342" s="121" t="s">
        <v>197</v>
      </c>
      <c r="E342" s="253" t="s">
        <v>1445</v>
      </c>
      <c r="F342" s="397" t="s">
        <v>3474</v>
      </c>
      <c r="G342" s="398"/>
      <c r="H342" s="398"/>
      <c r="I342" s="121" t="s">
        <v>231</v>
      </c>
      <c r="J342" s="121"/>
      <c r="K342" s="517" t="s">
        <v>187</v>
      </c>
      <c r="L342" s="121" t="s">
        <v>4102</v>
      </c>
      <c r="M342" s="123"/>
      <c r="N342" s="121" t="s">
        <v>260</v>
      </c>
      <c r="O342" s="121" t="s">
        <v>261</v>
      </c>
      <c r="P342" s="517" t="s">
        <v>235</v>
      </c>
      <c r="Q342" s="122">
        <f>3107*2.4</f>
        <v>7456.7999999999993</v>
      </c>
      <c r="R342" s="122">
        <f>7500+100</f>
        <v>7600</v>
      </c>
      <c r="S342" s="122">
        <v>7500</v>
      </c>
      <c r="T342" s="667"/>
      <c r="U342" s="581"/>
      <c r="W342" s="121"/>
      <c r="X342" s="846">
        <f>S342</f>
        <v>7500</v>
      </c>
      <c r="Y342" s="121"/>
      <c r="Z342" s="581"/>
      <c r="AA342" s="581"/>
      <c r="AB342" s="739"/>
      <c r="AC342" s="581"/>
      <c r="AD342" s="581"/>
      <c r="AE342" s="581"/>
      <c r="AF342" s="581"/>
      <c r="AG342" s="581"/>
      <c r="AH342" s="581"/>
      <c r="AI342" s="581"/>
      <c r="AJ342" s="581"/>
      <c r="AK342" s="581"/>
      <c r="AL342" s="581"/>
      <c r="AM342" s="581"/>
      <c r="AN342" s="581"/>
      <c r="AO342" s="581"/>
      <c r="AP342" s="581"/>
      <c r="AQ342" s="581"/>
      <c r="AR342" s="581"/>
      <c r="AS342" s="581"/>
      <c r="AT342" s="581"/>
      <c r="AU342" s="581"/>
      <c r="AV342" s="581"/>
      <c r="AW342" s="581"/>
      <c r="AX342" s="581"/>
      <c r="AY342" s="581"/>
      <c r="AZ342" s="581"/>
      <c r="BA342" s="581"/>
      <c r="BB342" s="581"/>
      <c r="BC342" s="581"/>
      <c r="BD342" s="120">
        <f t="shared" si="342"/>
        <v>45304.666666666672</v>
      </c>
      <c r="BE342" s="120">
        <f t="shared" si="343"/>
        <v>45317.499999942134</v>
      </c>
      <c r="BF342" s="137">
        <f t="shared" si="344"/>
        <v>12.833333275462792</v>
      </c>
      <c r="BG342" s="120">
        <f>$BE$233</f>
        <v>45304.666666666672</v>
      </c>
      <c r="BH342" s="120">
        <v>45305.604166666664</v>
      </c>
      <c r="BI342" s="120">
        <f t="shared" si="266"/>
        <v>45307.3125</v>
      </c>
      <c r="BJ342" s="120">
        <f t="shared" si="267"/>
        <v>45311.500000000204</v>
      </c>
      <c r="BK342" s="120">
        <f t="shared" si="268"/>
        <v>45311.666666666868</v>
      </c>
      <c r="BL342" s="120">
        <f t="shared" ref="BL342:BM342" si="403">BK342+(0.5/24)</f>
        <v>45311.687500000204</v>
      </c>
      <c r="BM342" s="120">
        <f t="shared" si="403"/>
        <v>45311.708333333539</v>
      </c>
      <c r="BN342" s="120">
        <f t="shared" si="270"/>
        <v>45313.416666666875</v>
      </c>
      <c r="BO342" s="120">
        <v>45314.541666608799</v>
      </c>
      <c r="BP342" s="120">
        <v>45314.708333275463</v>
      </c>
      <c r="BQ342" s="124" t="s">
        <v>64</v>
      </c>
      <c r="BR342" s="120">
        <f t="shared" si="394"/>
        <v>45316.458333275463</v>
      </c>
      <c r="BS342" s="120">
        <f t="shared" si="395"/>
        <v>45316.499999942127</v>
      </c>
      <c r="BT342" s="120">
        <f t="shared" si="396"/>
        <v>45316.749999942127</v>
      </c>
      <c r="BU342" s="120">
        <f t="shared" ref="BU342:BV342" si="404">BT342+(0.5/24)</f>
        <v>45316.770833275463</v>
      </c>
      <c r="BV342" s="120">
        <f t="shared" si="404"/>
        <v>45316.791666608799</v>
      </c>
      <c r="BW342" s="120">
        <f t="shared" si="398"/>
        <v>45317.499999942134</v>
      </c>
      <c r="BX342" s="121"/>
      <c r="BY342" s="121"/>
      <c r="BZ342" s="136">
        <f t="shared" si="346"/>
        <v>41.000000000058208</v>
      </c>
      <c r="CA342" s="136">
        <f t="shared" si="347"/>
        <v>3.9999999999417923</v>
      </c>
      <c r="CB342" s="136">
        <f t="shared" si="348"/>
        <v>41.000000000058208</v>
      </c>
      <c r="CC342" s="136">
        <f t="shared" si="349"/>
        <v>42</v>
      </c>
      <c r="CD342" s="135">
        <f t="shared" si="350"/>
        <v>6</v>
      </c>
      <c r="CE342" s="135">
        <f t="shared" si="351"/>
        <v>17.000000000058208</v>
      </c>
      <c r="CF342" s="134">
        <f t="shared" si="352"/>
        <v>6.2916666666715173</v>
      </c>
      <c r="CG342" s="134">
        <f t="shared" si="353"/>
        <v>12.833333275462792</v>
      </c>
      <c r="CH342" s="133">
        <f t="shared" si="354"/>
        <v>0.49025974247089199</v>
      </c>
      <c r="CI342" s="121"/>
    </row>
    <row r="343" spans="1:88" s="128" customFormat="1">
      <c r="A343" s="125">
        <f t="shared" si="341"/>
        <v>45311.708333333539</v>
      </c>
      <c r="B343" s="138" t="s">
        <v>187</v>
      </c>
      <c r="C343" s="121" t="s">
        <v>229</v>
      </c>
      <c r="D343" s="121" t="s">
        <v>197</v>
      </c>
      <c r="E343" s="253" t="s">
        <v>3269</v>
      </c>
      <c r="F343" s="121" t="s">
        <v>3378</v>
      </c>
      <c r="G343" s="398"/>
      <c r="H343" s="398"/>
      <c r="I343" s="121" t="s">
        <v>231</v>
      </c>
      <c r="J343" s="121"/>
      <c r="K343" s="517" t="s">
        <v>187</v>
      </c>
      <c r="L343" s="121" t="s">
        <v>4102</v>
      </c>
      <c r="M343" s="123"/>
      <c r="N343" s="121" t="s">
        <v>406</v>
      </c>
      <c r="O343" s="121" t="s">
        <v>407</v>
      </c>
      <c r="P343" s="517" t="s">
        <v>240</v>
      </c>
      <c r="Q343" s="122">
        <f>3107*2.4</f>
        <v>7456.7999999999993</v>
      </c>
      <c r="R343" s="122">
        <f>7500+100</f>
        <v>7600</v>
      </c>
      <c r="S343" s="122">
        <v>7500</v>
      </c>
      <c r="T343" s="399"/>
      <c r="U343" s="581"/>
      <c r="V343" s="581"/>
      <c r="W343" s="581"/>
      <c r="X343" s="581"/>
      <c r="Y343" s="846">
        <f>S343</f>
        <v>7500</v>
      </c>
      <c r="Z343" s="581"/>
      <c r="AA343" s="739"/>
      <c r="AB343" s="581"/>
      <c r="AC343" s="581"/>
      <c r="AD343" s="581"/>
      <c r="AE343" s="115"/>
      <c r="AF343" s="121"/>
      <c r="AG343" s="121"/>
      <c r="AH343" s="121"/>
      <c r="AI343" s="121"/>
      <c r="AJ343" s="121"/>
      <c r="AK343" s="121"/>
      <c r="AL343" s="121"/>
      <c r="AM343" s="121"/>
      <c r="AN343" s="121"/>
      <c r="AO343" s="121"/>
      <c r="AP343" s="121"/>
      <c r="AQ343" s="121"/>
      <c r="AR343" s="121"/>
      <c r="AS343" s="121"/>
      <c r="AT343" s="121"/>
      <c r="AU343" s="121"/>
      <c r="AV343" s="121"/>
      <c r="AW343" s="121"/>
      <c r="AX343" s="121"/>
      <c r="AY343" s="121"/>
      <c r="AZ343" s="121"/>
      <c r="BA343" s="121"/>
      <c r="BB343" s="121"/>
      <c r="BC343" s="121"/>
      <c r="BD343" s="120">
        <f t="shared" si="342"/>
        <v>45304.6875</v>
      </c>
      <c r="BE343" s="120">
        <f t="shared" si="343"/>
        <v>45316.458333275463</v>
      </c>
      <c r="BF343" s="137">
        <f t="shared" si="344"/>
        <v>11.770833275462792</v>
      </c>
      <c r="BG343" s="120">
        <f>$BE$193</f>
        <v>45304.6875</v>
      </c>
      <c r="BH343" s="120">
        <v>45305.604166666664</v>
      </c>
      <c r="BI343" s="120">
        <f t="shared" si="266"/>
        <v>45307.3125</v>
      </c>
      <c r="BJ343" s="120">
        <f t="shared" si="267"/>
        <v>45311.708333333539</v>
      </c>
      <c r="BK343" s="120">
        <f t="shared" si="268"/>
        <v>45311.875000000204</v>
      </c>
      <c r="BL343" s="120">
        <f t="shared" ref="BL343:BM343" si="405">BK343+(0.5/24)</f>
        <v>45311.895833333539</v>
      </c>
      <c r="BM343" s="120">
        <f t="shared" si="405"/>
        <v>45311.916666666875</v>
      </c>
      <c r="BN343" s="120">
        <f t="shared" si="270"/>
        <v>45313.625000000211</v>
      </c>
      <c r="BO343" s="120">
        <v>45314.541666608799</v>
      </c>
      <c r="BP343" s="120">
        <v>45314.708333275463</v>
      </c>
      <c r="BQ343" s="124" t="s">
        <v>64</v>
      </c>
      <c r="BR343" s="120">
        <f t="shared" ref="BR343" si="406">BP343+(24/24)</f>
        <v>45315.708333275463</v>
      </c>
      <c r="BS343" s="120">
        <f t="shared" si="395"/>
        <v>45315.749999942127</v>
      </c>
      <c r="BT343" s="120">
        <f t="shared" si="396"/>
        <v>45315.999999942127</v>
      </c>
      <c r="BU343" s="120">
        <f t="shared" ref="BU343:BV343" si="407">BT343+(0.5/24)</f>
        <v>45316.020833275463</v>
      </c>
      <c r="BV343" s="120">
        <f t="shared" si="407"/>
        <v>45316.041666608799</v>
      </c>
      <c r="BW343" s="120">
        <f t="shared" ref="BW343" si="408">BV343+(10/24)</f>
        <v>45316.458333275463</v>
      </c>
      <c r="BX343" s="121"/>
      <c r="BY343" s="121"/>
      <c r="BZ343" s="136">
        <f t="shared" si="346"/>
        <v>41.000000000058208</v>
      </c>
      <c r="CA343" s="136">
        <f t="shared" si="347"/>
        <v>3.9999999999417923</v>
      </c>
      <c r="CB343" s="136">
        <f t="shared" si="348"/>
        <v>41.000000000058208</v>
      </c>
      <c r="CC343" s="136">
        <f t="shared" si="349"/>
        <v>24</v>
      </c>
      <c r="CD343" s="135">
        <f t="shared" si="350"/>
        <v>6</v>
      </c>
      <c r="CE343" s="135">
        <f t="shared" si="351"/>
        <v>9.9999999999417923</v>
      </c>
      <c r="CF343" s="134">
        <f t="shared" si="352"/>
        <v>5.25</v>
      </c>
      <c r="CG343" s="134">
        <f t="shared" si="353"/>
        <v>11.770833275462792</v>
      </c>
      <c r="CH343" s="133">
        <f t="shared" si="354"/>
        <v>0.44601770130786145</v>
      </c>
      <c r="CI343" s="121"/>
      <c r="CJ343" s="121"/>
    </row>
    <row r="344" spans="1:88" s="128" customFormat="1">
      <c r="A344" s="125">
        <f t="shared" si="341"/>
        <v>45311.916666666875</v>
      </c>
      <c r="B344" s="138" t="s">
        <v>187</v>
      </c>
      <c r="C344" s="121" t="s">
        <v>229</v>
      </c>
      <c r="D344" s="121" t="s">
        <v>215</v>
      </c>
      <c r="E344" s="253" t="s">
        <v>3269</v>
      </c>
      <c r="F344" s="121" t="s">
        <v>3378</v>
      </c>
      <c r="G344" s="398"/>
      <c r="H344" s="398"/>
      <c r="I344" s="121" t="s">
        <v>231</v>
      </c>
      <c r="J344" s="121"/>
      <c r="K344" s="517" t="s">
        <v>187</v>
      </c>
      <c r="L344" s="121" t="s">
        <v>4102</v>
      </c>
      <c r="M344" s="123"/>
      <c r="N344" s="121" t="s">
        <v>774</v>
      </c>
      <c r="O344" s="121" t="s">
        <v>391</v>
      </c>
      <c r="P344" s="517" t="s">
        <v>240</v>
      </c>
      <c r="Q344" s="122">
        <f>3156 *2.4</f>
        <v>7574.4</v>
      </c>
      <c r="R344" s="122">
        <f>7450+100</f>
        <v>7550</v>
      </c>
      <c r="S344" s="122">
        <v>7500</v>
      </c>
      <c r="T344" s="667"/>
      <c r="U344" s="581"/>
      <c r="V344" s="581"/>
      <c r="W344" s="581"/>
      <c r="X344" s="581"/>
      <c r="Y344" s="846">
        <f>S344</f>
        <v>7500</v>
      </c>
      <c r="Z344" s="581"/>
      <c r="AA344" s="581"/>
      <c r="AB344" s="581"/>
      <c r="AC344" s="581"/>
      <c r="AD344" s="581"/>
      <c r="AE344" s="581"/>
      <c r="AF344" s="581"/>
      <c r="AG344" s="581"/>
      <c r="AH344" s="581"/>
      <c r="AI344" s="581"/>
      <c r="AJ344" s="581"/>
      <c r="AK344" s="581"/>
      <c r="AL344" s="581"/>
      <c r="AM344" s="581"/>
      <c r="AN344" s="581"/>
      <c r="AO344" s="581"/>
      <c r="AP344" s="581"/>
      <c r="AQ344" s="581"/>
      <c r="AR344" s="581"/>
      <c r="AS344" s="581"/>
      <c r="AT344" s="581"/>
      <c r="AU344" s="581"/>
      <c r="AV344" s="581"/>
      <c r="AW344" s="581"/>
      <c r="AX344" s="581"/>
      <c r="AY344" s="581"/>
      <c r="AZ344" s="581"/>
      <c r="BA344" s="581"/>
      <c r="BB344" s="581"/>
      <c r="BC344" s="581"/>
      <c r="BD344" s="120">
        <f t="shared" si="342"/>
        <v>45305</v>
      </c>
      <c r="BE344" s="120">
        <f t="shared" si="343"/>
        <v>45316.458333275463</v>
      </c>
      <c r="BF344" s="137">
        <f t="shared" si="344"/>
        <v>11.458333275462792</v>
      </c>
      <c r="BG344" s="120">
        <f>$BE$194</f>
        <v>45305</v>
      </c>
      <c r="BH344" s="120">
        <v>45306.625</v>
      </c>
      <c r="BI344" s="120">
        <f t="shared" si="266"/>
        <v>45308.333333333336</v>
      </c>
      <c r="BJ344" s="120">
        <f t="shared" si="267"/>
        <v>45311.916666666875</v>
      </c>
      <c r="BK344" s="120">
        <f t="shared" si="268"/>
        <v>45312.083333333539</v>
      </c>
      <c r="BL344" s="120">
        <f t="shared" ref="BL344:BM344" si="409">BK344+(0.5/24)</f>
        <v>45312.104166666875</v>
      </c>
      <c r="BM344" s="120">
        <f t="shared" si="409"/>
        <v>45312.125000000211</v>
      </c>
      <c r="BN344" s="120">
        <f t="shared" si="270"/>
        <v>45313.833333333547</v>
      </c>
      <c r="BO344" s="120">
        <v>45314.541666608799</v>
      </c>
      <c r="BP344" s="120">
        <v>45314.708333275463</v>
      </c>
      <c r="BQ344" s="124" t="s">
        <v>64</v>
      </c>
      <c r="BR344" s="120">
        <f>BP344+(24/24)</f>
        <v>45315.708333275463</v>
      </c>
      <c r="BS344" s="120">
        <f>BR344+(1/24)</f>
        <v>45315.749999942127</v>
      </c>
      <c r="BT344" s="120">
        <f>BS344+(6/24)</f>
        <v>45315.999999942127</v>
      </c>
      <c r="BU344" s="120">
        <f>BT344+(0.5/24)</f>
        <v>45316.020833275463</v>
      </c>
      <c r="BV344" s="120">
        <f>BU344+(0.5/24)</f>
        <v>45316.041666608799</v>
      </c>
      <c r="BW344" s="120">
        <f>BV344+(10/24)</f>
        <v>45316.458333275463</v>
      </c>
      <c r="BX344" s="121"/>
      <c r="BY344" s="121"/>
      <c r="BZ344" s="136">
        <f t="shared" si="346"/>
        <v>41.000000000058208</v>
      </c>
      <c r="CA344" s="136">
        <f t="shared" si="347"/>
        <v>3.9999999999417923</v>
      </c>
      <c r="CB344" s="136">
        <f t="shared" si="348"/>
        <v>41.000000000058208</v>
      </c>
      <c r="CC344" s="136">
        <f t="shared" si="349"/>
        <v>24</v>
      </c>
      <c r="CD344" s="135">
        <f t="shared" si="350"/>
        <v>6</v>
      </c>
      <c r="CE344" s="135">
        <f t="shared" si="351"/>
        <v>9.9999999999417923</v>
      </c>
      <c r="CF344" s="134">
        <f t="shared" si="352"/>
        <v>5.25</v>
      </c>
      <c r="CG344" s="134">
        <f t="shared" si="353"/>
        <v>11.458333275462792</v>
      </c>
      <c r="CH344" s="133">
        <f t="shared" si="354"/>
        <v>0.45818182049587464</v>
      </c>
      <c r="CJ344" s="115"/>
    </row>
    <row r="345" spans="1:88" s="121" customFormat="1">
      <c r="A345" s="125">
        <f t="shared" si="341"/>
        <v>45312.125000000211</v>
      </c>
      <c r="B345" s="138" t="s">
        <v>187</v>
      </c>
      <c r="C345" s="121" t="s">
        <v>229</v>
      </c>
      <c r="D345" s="121" t="s">
        <v>197</v>
      </c>
      <c r="E345" s="253" t="s">
        <v>3269</v>
      </c>
      <c r="F345" s="121" t="s">
        <v>3378</v>
      </c>
      <c r="G345" s="398"/>
      <c r="H345" s="398"/>
      <c r="I345" s="121" t="s">
        <v>490</v>
      </c>
      <c r="K345" s="517" t="s">
        <v>187</v>
      </c>
      <c r="L345" s="121" t="s">
        <v>4105</v>
      </c>
      <c r="M345" s="123"/>
      <c r="N345" s="121" t="s">
        <v>367</v>
      </c>
      <c r="O345" s="121" t="s">
        <v>368</v>
      </c>
      <c r="P345" s="397" t="s">
        <v>835</v>
      </c>
      <c r="Q345" s="122">
        <f>4111*2.4</f>
        <v>9866.4</v>
      </c>
      <c r="R345" s="122">
        <f>9900+100</f>
        <v>10000</v>
      </c>
      <c r="S345" s="122">
        <v>9900</v>
      </c>
      <c r="T345" s="667"/>
      <c r="U345" s="581"/>
      <c r="V345" s="846">
        <f>S345</f>
        <v>9900</v>
      </c>
      <c r="W345" s="581"/>
      <c r="X345" s="581"/>
      <c r="Y345" s="581"/>
      <c r="Z345" s="581"/>
      <c r="AA345" s="581"/>
      <c r="AB345" s="739"/>
      <c r="AC345" s="581"/>
      <c r="AD345" s="401"/>
      <c r="AE345" s="401"/>
      <c r="AF345" s="401"/>
      <c r="AG345" s="401"/>
      <c r="AH345" s="401"/>
      <c r="AI345" s="401"/>
      <c r="AJ345" s="401"/>
      <c r="AK345" s="401"/>
      <c r="AL345" s="401"/>
      <c r="AM345" s="401"/>
      <c r="AN345" s="401"/>
      <c r="AO345" s="401"/>
      <c r="AP345" s="401"/>
      <c r="AQ345" s="401"/>
      <c r="AR345" s="401"/>
      <c r="AS345" s="401"/>
      <c r="AT345" s="401"/>
      <c r="AU345" s="401"/>
      <c r="AV345" s="401"/>
      <c r="AW345" s="401"/>
      <c r="AX345" s="401"/>
      <c r="AY345" s="401"/>
      <c r="AZ345" s="401"/>
      <c r="BA345" s="401"/>
      <c r="BB345" s="401"/>
      <c r="BC345" s="401"/>
      <c r="BD345" s="120">
        <f t="shared" si="342"/>
        <v>45305.000000000007</v>
      </c>
      <c r="BE345" s="120">
        <f t="shared" si="343"/>
        <v>45317.5</v>
      </c>
      <c r="BF345" s="137">
        <f t="shared" si="344"/>
        <v>12.499999999992724</v>
      </c>
      <c r="BG345" s="905">
        <f>$BE$234</f>
        <v>45305.000000000007</v>
      </c>
      <c r="BH345" s="120">
        <v>45306.625</v>
      </c>
      <c r="BI345" s="120">
        <f t="shared" si="266"/>
        <v>45308.333333333336</v>
      </c>
      <c r="BJ345" s="120">
        <f t="shared" si="267"/>
        <v>45312.125000000211</v>
      </c>
      <c r="BK345" s="120">
        <f t="shared" si="268"/>
        <v>45312.291666666875</v>
      </c>
      <c r="BL345" s="120">
        <f t="shared" ref="BL345:BM345" si="410">BK345+(0.5/24)</f>
        <v>45312.312500000211</v>
      </c>
      <c r="BM345" s="120">
        <f t="shared" si="410"/>
        <v>45312.333333333547</v>
      </c>
      <c r="BN345" s="120">
        <f t="shared" si="270"/>
        <v>45314.041666666883</v>
      </c>
      <c r="BO345" s="120">
        <v>45315.583333333336</v>
      </c>
      <c r="BP345" s="120">
        <v>45315.75</v>
      </c>
      <c r="BQ345" s="124" t="s">
        <v>64</v>
      </c>
      <c r="BR345" s="120">
        <f t="shared" ref="BR345:BR348" si="411">BP345+(24/24)</f>
        <v>45316.75</v>
      </c>
      <c r="BS345" s="120">
        <f t="shared" ref="BS345:BS348" si="412">BR345+(1/24)</f>
        <v>45316.791666666664</v>
      </c>
      <c r="BT345" s="120">
        <f t="shared" ref="BT345:BT348" si="413">BS345+(6/24)</f>
        <v>45317.041666666664</v>
      </c>
      <c r="BU345" s="120">
        <f t="shared" ref="BU345:BV345" si="414">BT345+(0.5/24)</f>
        <v>45317.0625</v>
      </c>
      <c r="BV345" s="120">
        <f t="shared" si="414"/>
        <v>45317.083333333336</v>
      </c>
      <c r="BW345" s="120">
        <f t="shared" ref="BW345:BW348" si="415">BV345+(10/24)</f>
        <v>45317.5</v>
      </c>
      <c r="BZ345" s="136">
        <f t="shared" si="346"/>
        <v>41.000000000058208</v>
      </c>
      <c r="CA345" s="136">
        <f t="shared" si="347"/>
        <v>3.9999999999417923</v>
      </c>
      <c r="CB345" s="136">
        <f t="shared" si="348"/>
        <v>41.000000000058208</v>
      </c>
      <c r="CC345" s="136">
        <f t="shared" si="349"/>
        <v>24</v>
      </c>
      <c r="CD345" s="135">
        <f t="shared" si="350"/>
        <v>6</v>
      </c>
      <c r="CE345" s="135">
        <f t="shared" si="351"/>
        <v>9.9999999999417923</v>
      </c>
      <c r="CF345" s="134">
        <f t="shared" si="352"/>
        <v>5.25</v>
      </c>
      <c r="CG345" s="134">
        <f t="shared" si="353"/>
        <v>12.499999999992724</v>
      </c>
      <c r="CH345" s="133">
        <f t="shared" si="354"/>
        <v>0.42000000000024446</v>
      </c>
      <c r="CI345" s="128"/>
      <c r="CJ345" s="115"/>
    </row>
    <row r="346" spans="1:88" s="121" customFormat="1">
      <c r="A346" s="125">
        <f t="shared" si="341"/>
        <v>45312.333333333547</v>
      </c>
      <c r="B346" s="138" t="s">
        <v>187</v>
      </c>
      <c r="C346" s="121" t="s">
        <v>229</v>
      </c>
      <c r="D346" s="121" t="s">
        <v>197</v>
      </c>
      <c r="E346" s="253" t="s">
        <v>3269</v>
      </c>
      <c r="F346" s="121" t="s">
        <v>3378</v>
      </c>
      <c r="G346" s="398"/>
      <c r="H346" s="398"/>
      <c r="I346" s="121" t="s">
        <v>490</v>
      </c>
      <c r="K346" s="517" t="s">
        <v>187</v>
      </c>
      <c r="L346" s="121" t="s">
        <v>4105</v>
      </c>
      <c r="M346" s="123"/>
      <c r="N346" s="121" t="s">
        <v>284</v>
      </c>
      <c r="O346" s="121" t="s">
        <v>285</v>
      </c>
      <c r="P346" s="397" t="s">
        <v>835</v>
      </c>
      <c r="Q346" s="122">
        <f>3852*2.4</f>
        <v>9244.7999999999993</v>
      </c>
      <c r="R346" s="122">
        <f>9250+100</f>
        <v>9350</v>
      </c>
      <c r="S346" s="122">
        <v>9250</v>
      </c>
      <c r="T346" s="122"/>
      <c r="U346" s="581"/>
      <c r="V346" s="846">
        <f>S346</f>
        <v>9250</v>
      </c>
      <c r="W346" s="581"/>
      <c r="X346" s="581"/>
      <c r="Y346" s="581"/>
      <c r="Z346" s="581"/>
      <c r="AA346" s="581"/>
      <c r="AB346" s="739"/>
      <c r="AC346" s="401"/>
      <c r="AD346" s="401"/>
      <c r="AE346" s="678"/>
      <c r="AF346" s="678"/>
      <c r="AG346" s="678"/>
      <c r="AH346" s="67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581"/>
      <c r="BA346" s="581"/>
      <c r="BB346" s="581"/>
      <c r="BC346" s="581"/>
      <c r="BD346" s="120">
        <f t="shared" si="342"/>
        <v>45305.3125</v>
      </c>
      <c r="BE346" s="120">
        <f t="shared" si="343"/>
        <v>45317.5</v>
      </c>
      <c r="BF346" s="137">
        <f t="shared" si="344"/>
        <v>12.1875</v>
      </c>
      <c r="BG346" s="120">
        <f>$BE$217</f>
        <v>45305.3125</v>
      </c>
      <c r="BH346" s="120">
        <v>45306.625</v>
      </c>
      <c r="BI346" s="120">
        <f t="shared" si="266"/>
        <v>45308.333333333336</v>
      </c>
      <c r="BJ346" s="120">
        <f t="shared" si="267"/>
        <v>45312.333333333547</v>
      </c>
      <c r="BK346" s="120">
        <f t="shared" si="268"/>
        <v>45312.500000000211</v>
      </c>
      <c r="BL346" s="120">
        <f t="shared" ref="BL346:BM346" si="416">BK346+(0.5/24)</f>
        <v>45312.520833333547</v>
      </c>
      <c r="BM346" s="120">
        <f t="shared" si="416"/>
        <v>45312.541666666883</v>
      </c>
      <c r="BN346" s="120">
        <f t="shared" si="270"/>
        <v>45314.250000000218</v>
      </c>
      <c r="BO346" s="120">
        <v>45315.583333333336</v>
      </c>
      <c r="BP346" s="120">
        <v>45315.75</v>
      </c>
      <c r="BQ346" s="124" t="s">
        <v>64</v>
      </c>
      <c r="BR346" s="120">
        <f t="shared" si="411"/>
        <v>45316.75</v>
      </c>
      <c r="BS346" s="120">
        <f t="shared" si="412"/>
        <v>45316.791666666664</v>
      </c>
      <c r="BT346" s="120">
        <f t="shared" si="413"/>
        <v>45317.041666666664</v>
      </c>
      <c r="BU346" s="120">
        <f t="shared" ref="BU346:BV346" si="417">BT346+(0.5/24)</f>
        <v>45317.0625</v>
      </c>
      <c r="BV346" s="120">
        <f t="shared" si="417"/>
        <v>45317.083333333336</v>
      </c>
      <c r="BW346" s="120">
        <f t="shared" si="415"/>
        <v>45317.5</v>
      </c>
      <c r="BZ346" s="136">
        <f t="shared" si="346"/>
        <v>41.000000000058208</v>
      </c>
      <c r="CA346" s="136">
        <f t="shared" si="347"/>
        <v>3.9999999999417923</v>
      </c>
      <c r="CB346" s="136">
        <f t="shared" si="348"/>
        <v>41.000000000058208</v>
      </c>
      <c r="CC346" s="136">
        <f t="shared" si="349"/>
        <v>24</v>
      </c>
      <c r="CD346" s="135">
        <f t="shared" si="350"/>
        <v>6</v>
      </c>
      <c r="CE346" s="135">
        <f t="shared" si="351"/>
        <v>9.9999999999417923</v>
      </c>
      <c r="CF346" s="134">
        <f t="shared" si="352"/>
        <v>5.25</v>
      </c>
      <c r="CG346" s="134">
        <f t="shared" si="353"/>
        <v>12.1875</v>
      </c>
      <c r="CH346" s="133">
        <f t="shared" si="354"/>
        <v>0.43076923076923079</v>
      </c>
    </row>
    <row r="347" spans="1:88" s="369" customFormat="1">
      <c r="A347" s="125">
        <f t="shared" si="341"/>
        <v>45312.541666666883</v>
      </c>
      <c r="B347" s="138" t="s">
        <v>187</v>
      </c>
      <c r="C347" s="121" t="s">
        <v>229</v>
      </c>
      <c r="D347" s="121" t="s">
        <v>215</v>
      </c>
      <c r="E347" s="253" t="s">
        <v>3269</v>
      </c>
      <c r="F347" s="121" t="s">
        <v>3378</v>
      </c>
      <c r="G347" s="398"/>
      <c r="H347" s="398"/>
      <c r="I347" s="121" t="s">
        <v>490</v>
      </c>
      <c r="J347" s="121"/>
      <c r="K347" s="517" t="s">
        <v>187</v>
      </c>
      <c r="L347" s="121" t="s">
        <v>4105</v>
      </c>
      <c r="M347" s="123"/>
      <c r="N347" s="121" t="s">
        <v>274</v>
      </c>
      <c r="O347" s="121" t="s">
        <v>1093</v>
      </c>
      <c r="P347" s="397" t="s">
        <v>835</v>
      </c>
      <c r="Q347" s="122">
        <f>3136*2.4</f>
        <v>7526.4</v>
      </c>
      <c r="R347" s="122">
        <f>7550+100</f>
        <v>7650</v>
      </c>
      <c r="S347" s="122">
        <v>7550</v>
      </c>
      <c r="T347" s="667"/>
      <c r="U347" s="581"/>
      <c r="V347" s="846">
        <f>S347</f>
        <v>7550</v>
      </c>
      <c r="W347" s="581"/>
      <c r="X347" s="581"/>
      <c r="Y347" s="581"/>
      <c r="Z347" s="581"/>
      <c r="AA347" s="581"/>
      <c r="AB347" s="581"/>
      <c r="AC347" s="581"/>
      <c r="AD347" s="581"/>
      <c r="AE347" s="575"/>
      <c r="AF347" s="575"/>
      <c r="AG347" s="575"/>
      <c r="AH347" s="575"/>
      <c r="AI347" s="575"/>
      <c r="AJ347" s="121"/>
      <c r="AK347" s="121"/>
      <c r="AL347" s="121"/>
      <c r="AM347" s="121"/>
      <c r="AN347" s="121"/>
      <c r="AO347" s="121"/>
      <c r="AP347" s="121"/>
      <c r="AQ347" s="121"/>
      <c r="AR347" s="121"/>
      <c r="AS347" s="121"/>
      <c r="AT347" s="121"/>
      <c r="AU347" s="121"/>
      <c r="AV347" s="121"/>
      <c r="AW347" s="121"/>
      <c r="AX347" s="121"/>
      <c r="AY347" s="121"/>
      <c r="AZ347" s="121"/>
      <c r="BA347" s="121"/>
      <c r="BB347" s="121"/>
      <c r="BC347" s="121"/>
      <c r="BD347" s="120">
        <f t="shared" si="342"/>
        <v>45305.333333333343</v>
      </c>
      <c r="BE347" s="120">
        <f t="shared" si="343"/>
        <v>45317.5</v>
      </c>
      <c r="BF347" s="137">
        <f t="shared" si="344"/>
        <v>12.166666666656965</v>
      </c>
      <c r="BG347" s="120">
        <f>$BE$235</f>
        <v>45305.333333333343</v>
      </c>
      <c r="BH347" s="120">
        <v>45306.625</v>
      </c>
      <c r="BI347" s="120">
        <f t="shared" si="266"/>
        <v>45308.333333333336</v>
      </c>
      <c r="BJ347" s="120">
        <f t="shared" si="267"/>
        <v>45312.541666666883</v>
      </c>
      <c r="BK347" s="120">
        <f t="shared" si="268"/>
        <v>45312.708333333547</v>
      </c>
      <c r="BL347" s="120">
        <f t="shared" ref="BL347:BM347" si="418">BK347+(0.5/24)</f>
        <v>45312.729166666883</v>
      </c>
      <c r="BM347" s="120">
        <f t="shared" si="418"/>
        <v>45312.750000000218</v>
      </c>
      <c r="BN347" s="120">
        <f t="shared" si="270"/>
        <v>45314.458333333554</v>
      </c>
      <c r="BO347" s="120">
        <v>45315.583333333336</v>
      </c>
      <c r="BP347" s="120">
        <v>45315.75</v>
      </c>
      <c r="BQ347" s="124" t="s">
        <v>64</v>
      </c>
      <c r="BR347" s="120">
        <f t="shared" si="411"/>
        <v>45316.75</v>
      </c>
      <c r="BS347" s="120">
        <f t="shared" si="412"/>
        <v>45316.791666666664</v>
      </c>
      <c r="BT347" s="120">
        <f t="shared" si="413"/>
        <v>45317.041666666664</v>
      </c>
      <c r="BU347" s="120">
        <f t="shared" ref="BU347:BV347" si="419">BT347+(0.5/24)</f>
        <v>45317.0625</v>
      </c>
      <c r="BV347" s="120">
        <f t="shared" si="419"/>
        <v>45317.083333333336</v>
      </c>
      <c r="BW347" s="120">
        <f t="shared" si="415"/>
        <v>45317.5</v>
      </c>
      <c r="BX347" s="121"/>
      <c r="BY347" s="121"/>
      <c r="BZ347" s="136">
        <f t="shared" si="346"/>
        <v>41.000000000058208</v>
      </c>
      <c r="CA347" s="136">
        <f t="shared" si="347"/>
        <v>3.9999999999417923</v>
      </c>
      <c r="CB347" s="136">
        <f t="shared" si="348"/>
        <v>41.000000000058208</v>
      </c>
      <c r="CC347" s="136">
        <f t="shared" si="349"/>
        <v>24</v>
      </c>
      <c r="CD347" s="135">
        <f t="shared" si="350"/>
        <v>6</v>
      </c>
      <c r="CE347" s="135">
        <f t="shared" si="351"/>
        <v>9.9999999999417923</v>
      </c>
      <c r="CF347" s="134">
        <f t="shared" si="352"/>
        <v>5.25</v>
      </c>
      <c r="CG347" s="134">
        <f t="shared" si="353"/>
        <v>12.166666666656965</v>
      </c>
      <c r="CH347" s="133">
        <f t="shared" si="354"/>
        <v>0.43150684931541256</v>
      </c>
      <c r="CI347" s="121"/>
      <c r="CJ347" s="121"/>
    </row>
    <row r="348" spans="1:88">
      <c r="A348" s="125">
        <f t="shared" si="341"/>
        <v>45312.750000000218</v>
      </c>
      <c r="B348" s="138" t="s">
        <v>187</v>
      </c>
      <c r="C348" s="121" t="s">
        <v>229</v>
      </c>
      <c r="D348" s="121" t="s">
        <v>197</v>
      </c>
      <c r="E348" s="253" t="s">
        <v>3269</v>
      </c>
      <c r="F348" s="121" t="s">
        <v>3378</v>
      </c>
      <c r="G348" s="398"/>
      <c r="H348" s="398"/>
      <c r="I348" s="121" t="s">
        <v>490</v>
      </c>
      <c r="J348" s="121"/>
      <c r="K348" s="517" t="s">
        <v>187</v>
      </c>
      <c r="L348" s="121" t="s">
        <v>4105</v>
      </c>
      <c r="M348" s="123"/>
      <c r="N348" s="121" t="s">
        <v>263</v>
      </c>
      <c r="O348" s="121" t="s">
        <v>264</v>
      </c>
      <c r="P348" s="397" t="s">
        <v>835</v>
      </c>
      <c r="Q348" s="122">
        <f>3136*2.4</f>
        <v>7526.4</v>
      </c>
      <c r="R348" s="122">
        <f>7550+100</f>
        <v>7650</v>
      </c>
      <c r="S348" s="122">
        <v>7550</v>
      </c>
      <c r="T348" s="667"/>
      <c r="U348" s="581"/>
      <c r="V348" s="846">
        <f>S348</f>
        <v>7550</v>
      </c>
      <c r="W348" s="581"/>
      <c r="X348" s="581"/>
      <c r="Y348" s="581"/>
      <c r="Z348" s="581"/>
      <c r="AA348" s="581"/>
      <c r="AB348" s="581"/>
      <c r="AC348" s="581"/>
      <c r="AD348" s="581"/>
      <c r="AE348" s="121"/>
      <c r="AF348" s="121"/>
      <c r="AG348" s="121"/>
      <c r="AH348" s="121"/>
      <c r="AI348" s="121"/>
      <c r="AJ348" s="121"/>
      <c r="AK348" s="272"/>
      <c r="AL348" s="272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/>
      <c r="AX348" s="121"/>
      <c r="AY348" s="121"/>
      <c r="AZ348" s="121"/>
      <c r="BA348" s="121"/>
      <c r="BB348" s="401"/>
      <c r="BC348" s="401"/>
      <c r="BD348" s="120">
        <f t="shared" si="342"/>
        <v>45305.625</v>
      </c>
      <c r="BE348" s="120">
        <f t="shared" si="343"/>
        <v>45317.5</v>
      </c>
      <c r="BF348" s="137">
        <f t="shared" si="344"/>
        <v>11.875</v>
      </c>
      <c r="BG348" s="120">
        <f>$BE$218</f>
        <v>45305.625</v>
      </c>
      <c r="BH348" s="120">
        <v>45306.625</v>
      </c>
      <c r="BI348" s="120">
        <f t="shared" si="266"/>
        <v>45308.333333333336</v>
      </c>
      <c r="BJ348" s="120">
        <f t="shared" si="267"/>
        <v>45312.750000000218</v>
      </c>
      <c r="BK348" s="120">
        <f t="shared" si="268"/>
        <v>45312.916666666883</v>
      </c>
      <c r="BL348" s="120">
        <f t="shared" ref="BL348:BM348" si="420">BK348+(0.5/24)</f>
        <v>45312.937500000218</v>
      </c>
      <c r="BM348" s="120">
        <f t="shared" si="420"/>
        <v>45312.958333333554</v>
      </c>
      <c r="BN348" s="120">
        <f t="shared" si="270"/>
        <v>45314.66666666689</v>
      </c>
      <c r="BO348" s="120">
        <v>45315.583333333336</v>
      </c>
      <c r="BP348" s="120">
        <v>45315.75</v>
      </c>
      <c r="BQ348" s="124" t="s">
        <v>64</v>
      </c>
      <c r="BR348" s="120">
        <f t="shared" si="411"/>
        <v>45316.75</v>
      </c>
      <c r="BS348" s="120">
        <f t="shared" si="412"/>
        <v>45316.791666666664</v>
      </c>
      <c r="BT348" s="120">
        <f t="shared" si="413"/>
        <v>45317.041666666664</v>
      </c>
      <c r="BU348" s="120">
        <f t="shared" ref="BU348:BV348" si="421">BT348+(0.5/24)</f>
        <v>45317.0625</v>
      </c>
      <c r="BV348" s="120">
        <f t="shared" si="421"/>
        <v>45317.083333333336</v>
      </c>
      <c r="BW348" s="120">
        <f t="shared" si="415"/>
        <v>45317.5</v>
      </c>
      <c r="BX348" s="121"/>
      <c r="BY348" s="121"/>
      <c r="BZ348" s="136">
        <f t="shared" si="346"/>
        <v>41.000000000058208</v>
      </c>
      <c r="CA348" s="136">
        <f t="shared" si="347"/>
        <v>3.9999999999417923</v>
      </c>
      <c r="CB348" s="136">
        <f t="shared" si="348"/>
        <v>41.000000000058208</v>
      </c>
      <c r="CC348" s="136">
        <f t="shared" si="349"/>
        <v>24</v>
      </c>
      <c r="CD348" s="135">
        <f t="shared" si="350"/>
        <v>6</v>
      </c>
      <c r="CE348" s="135">
        <f t="shared" si="351"/>
        <v>9.9999999999417923</v>
      </c>
      <c r="CF348" s="134">
        <f t="shared" si="352"/>
        <v>5.25</v>
      </c>
      <c r="CG348" s="134">
        <f t="shared" si="353"/>
        <v>11.875</v>
      </c>
      <c r="CH348" s="133">
        <f t="shared" si="354"/>
        <v>0.44210526315789472</v>
      </c>
      <c r="CI348" s="121"/>
      <c r="CJ348" s="121"/>
    </row>
    <row r="349" spans="1:88" s="121" customFormat="1">
      <c r="A349" s="125">
        <f t="shared" si="341"/>
        <v>45312.958333333554</v>
      </c>
      <c r="B349" s="138" t="s">
        <v>187</v>
      </c>
      <c r="C349" s="121" t="s">
        <v>229</v>
      </c>
      <c r="D349" s="121" t="s">
        <v>197</v>
      </c>
      <c r="E349" s="253" t="s">
        <v>3271</v>
      </c>
      <c r="F349" s="121" t="s">
        <v>3378</v>
      </c>
      <c r="G349" s="398"/>
      <c r="H349" s="398"/>
      <c r="I349" s="121" t="s">
        <v>231</v>
      </c>
      <c r="K349" s="517" t="s">
        <v>187</v>
      </c>
      <c r="L349" s="121" t="s">
        <v>4102</v>
      </c>
      <c r="M349" s="123"/>
      <c r="N349" s="121" t="s">
        <v>1483</v>
      </c>
      <c r="O349" s="121" t="s">
        <v>4066</v>
      </c>
      <c r="P349" s="517" t="s">
        <v>240</v>
      </c>
      <c r="Q349" s="122">
        <f>3136*2.4</f>
        <v>7526.4</v>
      </c>
      <c r="R349" s="122">
        <f>7550+100</f>
        <v>7650</v>
      </c>
      <c r="S349" s="122">
        <v>7550</v>
      </c>
      <c r="T349" s="667"/>
      <c r="U349" s="581"/>
      <c r="V349" s="581"/>
      <c r="W349" s="581"/>
      <c r="X349" s="581"/>
      <c r="Y349" s="846">
        <f>S349</f>
        <v>7550</v>
      </c>
      <c r="Z349" s="739"/>
      <c r="AA349" s="739"/>
      <c r="AB349" s="581"/>
      <c r="AC349" s="115"/>
      <c r="AD349" s="581"/>
      <c r="AE349" s="581"/>
      <c r="AF349" s="581"/>
      <c r="AG349" s="581"/>
      <c r="AH349" s="581"/>
      <c r="AI349" s="581"/>
      <c r="AJ349" s="581"/>
      <c r="AK349" s="581"/>
      <c r="AL349" s="401"/>
      <c r="AM349" s="401"/>
      <c r="AN349" s="401"/>
      <c r="AO349" s="401"/>
      <c r="AP349" s="401"/>
      <c r="AQ349" s="401"/>
      <c r="AR349" s="401"/>
      <c r="AS349" s="401"/>
      <c r="AT349" s="401"/>
      <c r="AU349" s="401"/>
      <c r="BD349" s="120">
        <f t="shared" si="342"/>
        <v>45305.666666666679</v>
      </c>
      <c r="BE349" s="120">
        <f t="shared" si="343"/>
        <v>45317.5</v>
      </c>
      <c r="BF349" s="137">
        <f t="shared" si="344"/>
        <v>11.833333333321207</v>
      </c>
      <c r="BG349" s="120">
        <f>$BE$236</f>
        <v>45305.666666666679</v>
      </c>
      <c r="BH349" s="120">
        <v>45306.625</v>
      </c>
      <c r="BI349" s="120">
        <f t="shared" si="266"/>
        <v>45308.333333333336</v>
      </c>
      <c r="BJ349" s="120">
        <f t="shared" si="267"/>
        <v>45312.958333333554</v>
      </c>
      <c r="BK349" s="120">
        <f t="shared" si="268"/>
        <v>45313.125000000218</v>
      </c>
      <c r="BL349" s="120">
        <f t="shared" ref="BL349:BM349" si="422">BK349+(0.5/24)</f>
        <v>45313.145833333554</v>
      </c>
      <c r="BM349" s="120">
        <f t="shared" si="422"/>
        <v>45313.16666666689</v>
      </c>
      <c r="BN349" s="120">
        <f t="shared" si="270"/>
        <v>45314.875000000226</v>
      </c>
      <c r="BO349" s="120">
        <v>45315.583333333336</v>
      </c>
      <c r="BP349" s="120">
        <v>45315.75</v>
      </c>
      <c r="BQ349" s="124" t="s">
        <v>64</v>
      </c>
      <c r="BR349" s="120">
        <f>BP349+(24/24)</f>
        <v>45316.75</v>
      </c>
      <c r="BS349" s="120">
        <f>BR349+(1/24)</f>
        <v>45316.791666666664</v>
      </c>
      <c r="BT349" s="120">
        <f>BS349+(6/24)</f>
        <v>45317.041666666664</v>
      </c>
      <c r="BU349" s="120">
        <f>BT349+(0.5/24)</f>
        <v>45317.0625</v>
      </c>
      <c r="BV349" s="120">
        <f>BU349+(0.5/24)</f>
        <v>45317.083333333336</v>
      </c>
      <c r="BW349" s="120">
        <f>BV349+(10/24)</f>
        <v>45317.5</v>
      </c>
      <c r="BZ349" s="136">
        <f t="shared" si="346"/>
        <v>41.000000000058208</v>
      </c>
      <c r="CA349" s="136">
        <f t="shared" si="347"/>
        <v>3.9999999999417923</v>
      </c>
      <c r="CB349" s="136">
        <f t="shared" si="348"/>
        <v>41.000000000058208</v>
      </c>
      <c r="CC349" s="136">
        <f t="shared" si="349"/>
        <v>24</v>
      </c>
      <c r="CD349" s="135">
        <f t="shared" si="350"/>
        <v>6</v>
      </c>
      <c r="CE349" s="135">
        <f t="shared" si="351"/>
        <v>9.9999999999417923</v>
      </c>
      <c r="CF349" s="134">
        <f t="shared" si="352"/>
        <v>5.25</v>
      </c>
      <c r="CG349" s="134">
        <f t="shared" si="353"/>
        <v>11.833333333321207</v>
      </c>
      <c r="CH349" s="133">
        <f t="shared" si="354"/>
        <v>0.44366197183144057</v>
      </c>
    </row>
    <row r="350" spans="1:88" s="121" customFormat="1">
      <c r="A350" s="125">
        <f t="shared" si="341"/>
        <v>45313.16666666689</v>
      </c>
      <c r="B350" s="138" t="s">
        <v>187</v>
      </c>
      <c r="C350" s="121" t="s">
        <v>229</v>
      </c>
      <c r="D350" s="121" t="s">
        <v>197</v>
      </c>
      <c r="E350" s="253" t="s">
        <v>3271</v>
      </c>
      <c r="F350" s="121" t="s">
        <v>3378</v>
      </c>
      <c r="G350" s="398"/>
      <c r="H350" s="398"/>
      <c r="I350" s="121" t="s">
        <v>231</v>
      </c>
      <c r="K350" s="517" t="s">
        <v>187</v>
      </c>
      <c r="L350" s="121" t="s">
        <v>4102</v>
      </c>
      <c r="M350" s="123"/>
      <c r="N350" s="121" t="s">
        <v>2156</v>
      </c>
      <c r="O350" s="121" t="s">
        <v>3391</v>
      </c>
      <c r="P350" s="517" t="s">
        <v>235</v>
      </c>
      <c r="Q350" s="122">
        <f>3034*2.4</f>
        <v>7281.5999999999995</v>
      </c>
      <c r="R350" s="122">
        <f>7300+100</f>
        <v>7400</v>
      </c>
      <c r="S350" s="122">
        <v>7300</v>
      </c>
      <c r="T350" s="667"/>
      <c r="U350" s="581"/>
      <c r="V350" s="581"/>
      <c r="W350" s="581"/>
      <c r="X350" s="846">
        <f>S350</f>
        <v>7300</v>
      </c>
      <c r="Z350" s="581"/>
      <c r="AA350" s="581"/>
      <c r="AB350" s="581"/>
      <c r="AC350" s="581"/>
      <c r="AD350" s="581"/>
      <c r="AE350" s="581"/>
      <c r="AF350" s="581"/>
      <c r="AG350" s="581"/>
      <c r="AH350" s="581"/>
      <c r="AI350" s="581"/>
      <c r="AJ350" s="581"/>
      <c r="AK350" s="581"/>
      <c r="AL350" s="581"/>
      <c r="AM350" s="581"/>
      <c r="AN350" s="581"/>
      <c r="AO350" s="581"/>
      <c r="AP350" s="581"/>
      <c r="AQ350" s="581"/>
      <c r="BD350" s="120">
        <f t="shared" si="342"/>
        <v>45306.5</v>
      </c>
      <c r="BE350" s="120">
        <f t="shared" si="343"/>
        <v>45318.145833333328</v>
      </c>
      <c r="BF350" s="137">
        <f t="shared" si="344"/>
        <v>11.645833333328483</v>
      </c>
      <c r="BG350" s="120">
        <f>$BE$238</f>
        <v>45306.5</v>
      </c>
      <c r="BH350" s="120">
        <v>45307.625</v>
      </c>
      <c r="BI350" s="120">
        <f t="shared" si="266"/>
        <v>45309.333333333336</v>
      </c>
      <c r="BJ350" s="120">
        <f t="shared" si="267"/>
        <v>45313.16666666689</v>
      </c>
      <c r="BK350" s="120">
        <f t="shared" si="268"/>
        <v>45313.333333333554</v>
      </c>
      <c r="BL350" s="120">
        <f t="shared" ref="BL350:BM350" si="423">BK350+(0.5/24)</f>
        <v>45313.35416666689</v>
      </c>
      <c r="BM350" s="120">
        <f t="shared" si="423"/>
        <v>45313.375000000226</v>
      </c>
      <c r="BN350" s="120">
        <f t="shared" si="270"/>
        <v>45315.083333333561</v>
      </c>
      <c r="BO350" s="120">
        <v>45316.229166666664</v>
      </c>
      <c r="BP350" s="120">
        <v>45316.395833333328</v>
      </c>
      <c r="BQ350" s="124" t="s">
        <v>64</v>
      </c>
      <c r="BR350" s="120">
        <f t="shared" ref="BR350:BR352" si="424">BP350+(24/24)</f>
        <v>45317.395833333328</v>
      </c>
      <c r="BS350" s="120">
        <f t="shared" ref="BS350:BS352" si="425">BR350+(1/24)</f>
        <v>45317.437499999993</v>
      </c>
      <c r="BT350" s="120">
        <f t="shared" ref="BT350:BT352" si="426">BS350+(6/24)</f>
        <v>45317.687499999993</v>
      </c>
      <c r="BU350" s="120">
        <f t="shared" ref="BU350:BV350" si="427">BT350+(0.5/24)</f>
        <v>45317.708333333328</v>
      </c>
      <c r="BV350" s="120">
        <f t="shared" si="427"/>
        <v>45317.729166666664</v>
      </c>
      <c r="BW350" s="120">
        <f t="shared" ref="BW350:BW352" si="428">BV350+(10/24)</f>
        <v>45318.145833333328</v>
      </c>
      <c r="BZ350" s="136">
        <f t="shared" si="346"/>
        <v>41.000000000058208</v>
      </c>
      <c r="CA350" s="136">
        <f t="shared" si="347"/>
        <v>3.9999999999417923</v>
      </c>
      <c r="CB350" s="136">
        <f t="shared" si="348"/>
        <v>41.000000000058208</v>
      </c>
      <c r="CC350" s="136">
        <f t="shared" si="349"/>
        <v>24</v>
      </c>
      <c r="CD350" s="135">
        <f t="shared" si="350"/>
        <v>6</v>
      </c>
      <c r="CE350" s="135">
        <f t="shared" si="351"/>
        <v>9.9999999999417923</v>
      </c>
      <c r="CF350" s="134">
        <f t="shared" si="352"/>
        <v>5.25</v>
      </c>
      <c r="CG350" s="134">
        <f t="shared" si="353"/>
        <v>11.645833333328483</v>
      </c>
      <c r="CH350" s="133">
        <f t="shared" si="354"/>
        <v>0.45080500894473158</v>
      </c>
    </row>
    <row r="351" spans="1:88" s="121" customFormat="1">
      <c r="A351" s="125">
        <f t="shared" si="341"/>
        <v>45313.375000000226</v>
      </c>
      <c r="B351" s="138" t="s">
        <v>187</v>
      </c>
      <c r="C351" s="121" t="s">
        <v>229</v>
      </c>
      <c r="D351" s="121" t="s">
        <v>197</v>
      </c>
      <c r="E351" s="253" t="s">
        <v>3271</v>
      </c>
      <c r="F351" s="121" t="s">
        <v>3378</v>
      </c>
      <c r="G351" s="398"/>
      <c r="H351" s="398"/>
      <c r="I351" s="121" t="s">
        <v>231</v>
      </c>
      <c r="K351" s="517" t="s">
        <v>187</v>
      </c>
      <c r="L351" s="121" t="s">
        <v>4102</v>
      </c>
      <c r="M351" s="123"/>
      <c r="N351" s="121" t="s">
        <v>355</v>
      </c>
      <c r="O351" s="121" t="s">
        <v>356</v>
      </c>
      <c r="P351" s="517" t="s">
        <v>235</v>
      </c>
      <c r="Q351" s="122">
        <f>3107*2.4</f>
        <v>7456.7999999999993</v>
      </c>
      <c r="R351" s="122">
        <f>7500+100</f>
        <v>7600</v>
      </c>
      <c r="S351" s="122">
        <v>7500</v>
      </c>
      <c r="T351" s="667"/>
      <c r="U351" s="581"/>
      <c r="V351" s="581"/>
      <c r="W351" s="581"/>
      <c r="X351" s="846">
        <f>S351</f>
        <v>7500</v>
      </c>
      <c r="Y351" s="581"/>
      <c r="Z351" s="581"/>
      <c r="AA351" s="581"/>
      <c r="AB351" s="581"/>
      <c r="AC351" s="581"/>
      <c r="AD351" s="581"/>
      <c r="AE351" s="581"/>
      <c r="AF351" s="581"/>
      <c r="AG351" s="581"/>
      <c r="AH351" s="581"/>
      <c r="AI351" s="581"/>
      <c r="AJ351" s="581"/>
      <c r="AK351" s="581"/>
      <c r="AL351" s="581"/>
      <c r="AM351" s="581"/>
      <c r="AN351" s="581"/>
      <c r="AO351" s="581"/>
      <c r="AP351" s="581"/>
      <c r="AQ351" s="581"/>
      <c r="AR351" s="115"/>
      <c r="AS351" s="115"/>
      <c r="AT351" s="115"/>
      <c r="AU351" s="115"/>
      <c r="AV351" s="115"/>
      <c r="BD351" s="120">
        <f t="shared" si="342"/>
        <v>45306.833333333336</v>
      </c>
      <c r="BE351" s="120">
        <f t="shared" si="343"/>
        <v>45318.145833333328</v>
      </c>
      <c r="BF351" s="137">
        <f t="shared" si="344"/>
        <v>11.312499999992724</v>
      </c>
      <c r="BG351" s="120">
        <f>$BE$239</f>
        <v>45306.833333333336</v>
      </c>
      <c r="BH351" s="120">
        <v>45307.625</v>
      </c>
      <c r="BI351" s="120">
        <f t="shared" si="266"/>
        <v>45309.333333333336</v>
      </c>
      <c r="BJ351" s="120">
        <f t="shared" si="267"/>
        <v>45313.375000000226</v>
      </c>
      <c r="BK351" s="120">
        <f t="shared" si="268"/>
        <v>45313.54166666689</v>
      </c>
      <c r="BL351" s="120">
        <f t="shared" ref="BL351:BM351" si="429">BK351+(0.5/24)</f>
        <v>45313.562500000226</v>
      </c>
      <c r="BM351" s="120">
        <f t="shared" si="429"/>
        <v>45313.583333333561</v>
      </c>
      <c r="BN351" s="120">
        <f t="shared" si="270"/>
        <v>45315.291666666897</v>
      </c>
      <c r="BO351" s="120">
        <v>45316.229166666664</v>
      </c>
      <c r="BP351" s="120">
        <v>45316.395833333328</v>
      </c>
      <c r="BQ351" s="124" t="s">
        <v>64</v>
      </c>
      <c r="BR351" s="120">
        <f t="shared" si="424"/>
        <v>45317.395833333328</v>
      </c>
      <c r="BS351" s="120">
        <f t="shared" si="425"/>
        <v>45317.437499999993</v>
      </c>
      <c r="BT351" s="120">
        <f t="shared" si="426"/>
        <v>45317.687499999993</v>
      </c>
      <c r="BU351" s="120">
        <f t="shared" ref="BU351:BV351" si="430">BT351+(0.5/24)</f>
        <v>45317.708333333328</v>
      </c>
      <c r="BV351" s="120">
        <f t="shared" si="430"/>
        <v>45317.729166666664</v>
      </c>
      <c r="BW351" s="120">
        <f t="shared" si="428"/>
        <v>45318.145833333328</v>
      </c>
      <c r="BZ351" s="136">
        <f t="shared" si="346"/>
        <v>41.000000000058208</v>
      </c>
      <c r="CA351" s="136">
        <f t="shared" si="347"/>
        <v>3.9999999999417923</v>
      </c>
      <c r="CB351" s="136">
        <f t="shared" si="348"/>
        <v>41.000000000058208</v>
      </c>
      <c r="CC351" s="136">
        <f t="shared" si="349"/>
        <v>24</v>
      </c>
      <c r="CD351" s="135">
        <f t="shared" si="350"/>
        <v>6</v>
      </c>
      <c r="CE351" s="135">
        <f t="shared" si="351"/>
        <v>9.9999999999417923</v>
      </c>
      <c r="CF351" s="134">
        <f t="shared" si="352"/>
        <v>5.25</v>
      </c>
      <c r="CG351" s="134">
        <f t="shared" si="353"/>
        <v>11.312499999992724</v>
      </c>
      <c r="CH351" s="133">
        <f t="shared" si="354"/>
        <v>0.46408839779035371</v>
      </c>
      <c r="CI351" s="128"/>
    </row>
    <row r="352" spans="1:88">
      <c r="A352" s="125">
        <f t="shared" si="341"/>
        <v>45313.583333333561</v>
      </c>
      <c r="B352" s="138" t="s">
        <v>187</v>
      </c>
      <c r="C352" s="121" t="s">
        <v>229</v>
      </c>
      <c r="D352" s="121" t="s">
        <v>197</v>
      </c>
      <c r="E352" s="253" t="s">
        <v>3271</v>
      </c>
      <c r="F352" s="121" t="s">
        <v>3378</v>
      </c>
      <c r="G352" s="398"/>
      <c r="H352" s="398"/>
      <c r="I352" s="121" t="s">
        <v>231</v>
      </c>
      <c r="J352" s="121"/>
      <c r="K352" s="517" t="s">
        <v>187</v>
      </c>
      <c r="L352" s="121" t="s">
        <v>4102</v>
      </c>
      <c r="M352" s="123"/>
      <c r="N352" s="121" t="s">
        <v>292</v>
      </c>
      <c r="O352" s="121" t="s">
        <v>268</v>
      </c>
      <c r="P352" s="517" t="s">
        <v>235</v>
      </c>
      <c r="Q352" s="122">
        <f>3142*2.4</f>
        <v>7540.7999999999993</v>
      </c>
      <c r="R352" s="122">
        <f>7550+100</f>
        <v>7650</v>
      </c>
      <c r="S352" s="122">
        <v>7550</v>
      </c>
      <c r="T352" s="667"/>
      <c r="U352" s="581"/>
      <c r="V352" s="581"/>
      <c r="W352" s="581"/>
      <c r="X352" s="846">
        <f>S352</f>
        <v>7550</v>
      </c>
      <c r="Y352" s="581"/>
      <c r="Z352" s="581"/>
      <c r="AA352" s="581"/>
      <c r="AB352" s="581"/>
      <c r="AC352" s="581"/>
      <c r="AD352" s="581"/>
      <c r="AE352" s="739"/>
      <c r="AF352" s="739"/>
      <c r="AG352" s="739"/>
      <c r="AH352" s="739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0">
        <f t="shared" si="342"/>
        <v>45307.166666666672</v>
      </c>
      <c r="BE352" s="120">
        <f t="shared" si="343"/>
        <v>45318.145833333328</v>
      </c>
      <c r="BF352" s="137">
        <f t="shared" si="344"/>
        <v>10.979166666656965</v>
      </c>
      <c r="BG352" s="120">
        <f>$BE$240</f>
        <v>45307.166666666672</v>
      </c>
      <c r="BH352" s="120">
        <v>45307.625</v>
      </c>
      <c r="BI352" s="120">
        <f t="shared" si="266"/>
        <v>45309.333333333336</v>
      </c>
      <c r="BJ352" s="120">
        <f t="shared" si="267"/>
        <v>45313.583333333561</v>
      </c>
      <c r="BK352" s="120">
        <f t="shared" si="268"/>
        <v>45313.750000000226</v>
      </c>
      <c r="BL352" s="120">
        <f t="shared" ref="BL352:BM352" si="431">BK352+(0.5/24)</f>
        <v>45313.770833333561</v>
      </c>
      <c r="BM352" s="120">
        <f t="shared" si="431"/>
        <v>45313.791666666897</v>
      </c>
      <c r="BN352" s="120">
        <f t="shared" si="270"/>
        <v>45315.500000000233</v>
      </c>
      <c r="BO352" s="120">
        <v>45316.229166666664</v>
      </c>
      <c r="BP352" s="120">
        <v>45316.395833333328</v>
      </c>
      <c r="BQ352" s="124" t="s">
        <v>64</v>
      </c>
      <c r="BR352" s="120">
        <f t="shared" si="424"/>
        <v>45317.395833333328</v>
      </c>
      <c r="BS352" s="120">
        <f t="shared" si="425"/>
        <v>45317.437499999993</v>
      </c>
      <c r="BT352" s="120">
        <f t="shared" si="426"/>
        <v>45317.687499999993</v>
      </c>
      <c r="BU352" s="120">
        <f t="shared" ref="BU352:BV352" si="432">BT352+(0.5/24)</f>
        <v>45317.708333333328</v>
      </c>
      <c r="BV352" s="120">
        <f t="shared" si="432"/>
        <v>45317.729166666664</v>
      </c>
      <c r="BW352" s="120">
        <f t="shared" si="428"/>
        <v>45318.145833333328</v>
      </c>
      <c r="BX352" s="121"/>
      <c r="BY352" s="121"/>
      <c r="BZ352" s="136">
        <f t="shared" si="346"/>
        <v>41.000000000058208</v>
      </c>
      <c r="CA352" s="136">
        <f t="shared" si="347"/>
        <v>3.9999999999417923</v>
      </c>
      <c r="CB352" s="136">
        <f t="shared" si="348"/>
        <v>41.000000000058208</v>
      </c>
      <c r="CC352" s="136">
        <f t="shared" si="349"/>
        <v>24</v>
      </c>
      <c r="CD352" s="135">
        <f t="shared" si="350"/>
        <v>6</v>
      </c>
      <c r="CE352" s="135">
        <f t="shared" si="351"/>
        <v>9.9999999999417923</v>
      </c>
      <c r="CF352" s="134">
        <f t="shared" si="352"/>
        <v>5.25</v>
      </c>
      <c r="CG352" s="134">
        <f t="shared" si="353"/>
        <v>10.979166666656965</v>
      </c>
      <c r="CH352" s="133">
        <f t="shared" si="354"/>
        <v>0.47817836812186465</v>
      </c>
      <c r="CJ352" s="121"/>
    </row>
    <row r="353" spans="1:88" s="352" customFormat="1" ht="17.399999999999999">
      <c r="A353" s="343"/>
      <c r="B353" s="238"/>
      <c r="C353" s="238"/>
      <c r="D353" s="344"/>
      <c r="E353" s="238"/>
      <c r="F353" s="345"/>
      <c r="G353" s="346"/>
      <c r="H353" s="346"/>
      <c r="I353" s="238"/>
      <c r="J353" s="344"/>
      <c r="K353" s="344"/>
      <c r="L353" s="344"/>
      <c r="M353" s="347"/>
      <c r="N353" s="344"/>
      <c r="O353" s="344"/>
      <c r="P353" s="121"/>
      <c r="Q353" s="348"/>
      <c r="R353" s="348"/>
      <c r="S353" s="349">
        <f>SUM(S290:S352)</f>
        <v>483900</v>
      </c>
      <c r="T353" s="349">
        <f t="shared" ref="T353:BC353" si="433">SUM(T290:T352)</f>
        <v>0</v>
      </c>
      <c r="U353" s="349">
        <f t="shared" si="433"/>
        <v>76800</v>
      </c>
      <c r="V353" s="349">
        <f t="shared" si="433"/>
        <v>87250</v>
      </c>
      <c r="W353" s="349">
        <f t="shared" si="433"/>
        <v>0</v>
      </c>
      <c r="X353" s="349">
        <f t="shared" si="433"/>
        <v>145300</v>
      </c>
      <c r="Y353" s="349">
        <f t="shared" si="433"/>
        <v>132100</v>
      </c>
      <c r="Z353" s="349">
        <f t="shared" si="433"/>
        <v>31950</v>
      </c>
      <c r="AA353" s="349">
        <f t="shared" si="433"/>
        <v>10500</v>
      </c>
      <c r="AB353" s="349">
        <f t="shared" si="433"/>
        <v>0</v>
      </c>
      <c r="AC353" s="349">
        <f t="shared" si="433"/>
        <v>0</v>
      </c>
      <c r="AD353" s="349">
        <f t="shared" si="433"/>
        <v>0</v>
      </c>
      <c r="AE353" s="349">
        <f t="shared" si="433"/>
        <v>0</v>
      </c>
      <c r="AF353" s="349">
        <f t="shared" si="433"/>
        <v>0</v>
      </c>
      <c r="AG353" s="349">
        <f t="shared" si="433"/>
        <v>0</v>
      </c>
      <c r="AH353" s="349">
        <f t="shared" si="433"/>
        <v>0</v>
      </c>
      <c r="AI353" s="349">
        <f t="shared" si="433"/>
        <v>0</v>
      </c>
      <c r="AJ353" s="349">
        <f t="shared" si="433"/>
        <v>0</v>
      </c>
      <c r="AK353" s="349">
        <f t="shared" si="433"/>
        <v>0</v>
      </c>
      <c r="AL353" s="349">
        <f t="shared" si="433"/>
        <v>0</v>
      </c>
      <c r="AM353" s="349">
        <f t="shared" si="433"/>
        <v>0</v>
      </c>
      <c r="AN353" s="349">
        <f t="shared" si="433"/>
        <v>0</v>
      </c>
      <c r="AO353" s="349">
        <f t="shared" si="433"/>
        <v>0</v>
      </c>
      <c r="AP353" s="349">
        <f t="shared" si="433"/>
        <v>0</v>
      </c>
      <c r="AQ353" s="349">
        <f t="shared" si="433"/>
        <v>0</v>
      </c>
      <c r="AR353" s="349">
        <f t="shared" si="433"/>
        <v>0</v>
      </c>
      <c r="AS353" s="349">
        <f t="shared" si="433"/>
        <v>0</v>
      </c>
      <c r="AT353" s="349">
        <f t="shared" si="433"/>
        <v>0</v>
      </c>
      <c r="AU353" s="349">
        <f t="shared" si="433"/>
        <v>0</v>
      </c>
      <c r="AV353" s="349">
        <f t="shared" si="433"/>
        <v>0</v>
      </c>
      <c r="AW353" s="349">
        <f t="shared" si="433"/>
        <v>0</v>
      </c>
      <c r="AX353" s="349">
        <f t="shared" si="433"/>
        <v>0</v>
      </c>
      <c r="AY353" s="349">
        <f t="shared" si="433"/>
        <v>0</v>
      </c>
      <c r="AZ353" s="349">
        <f t="shared" si="433"/>
        <v>0</v>
      </c>
      <c r="BA353" s="349">
        <f t="shared" si="433"/>
        <v>0</v>
      </c>
      <c r="BB353" s="349">
        <f t="shared" si="433"/>
        <v>0</v>
      </c>
      <c r="BC353" s="349">
        <f t="shared" si="433"/>
        <v>0</v>
      </c>
      <c r="BD353" s="345"/>
      <c r="BE353" s="345"/>
      <c r="BF353" s="345"/>
      <c r="BG353" s="345"/>
      <c r="BH353" s="120"/>
      <c r="BI353" s="120"/>
      <c r="BJ353" s="120"/>
      <c r="BK353" s="120"/>
      <c r="BL353" s="120"/>
      <c r="BM353" s="120"/>
      <c r="BN353" s="120"/>
      <c r="BO353" s="359"/>
      <c r="BP353" s="120"/>
      <c r="BQ353" s="124"/>
      <c r="BR353" s="120"/>
      <c r="BS353" s="120"/>
      <c r="BT353" s="120"/>
      <c r="BU353" s="120"/>
      <c r="BV353" s="120"/>
      <c r="BW353" s="120"/>
      <c r="BX353" s="345"/>
      <c r="BY353" s="345"/>
      <c r="BZ353" s="345"/>
      <c r="CA353" s="345"/>
      <c r="CB353" s="345"/>
      <c r="CC353" s="345"/>
      <c r="CD353" s="345"/>
      <c r="CE353" s="345"/>
      <c r="CF353" s="345"/>
      <c r="CG353" s="345"/>
      <c r="CH353" s="345"/>
      <c r="CI353" s="345"/>
    </row>
    <row r="354" spans="1:88" s="128" customFormat="1" ht="17.399999999999999">
      <c r="A354" s="238"/>
      <c r="B354" s="238"/>
      <c r="C354" s="238"/>
      <c r="D354" s="238"/>
      <c r="E354" s="238"/>
      <c r="F354" s="115"/>
      <c r="G354" s="252"/>
      <c r="H354" s="252"/>
      <c r="I354" s="238"/>
      <c r="J354" s="238"/>
      <c r="K354" s="238"/>
      <c r="L354" s="121"/>
      <c r="M354" s="240"/>
      <c r="N354" s="238"/>
      <c r="O354" s="238"/>
      <c r="P354" s="241"/>
      <c r="Q354" s="242"/>
      <c r="R354" s="242"/>
      <c r="S354" s="242"/>
      <c r="T354" s="249">
        <f t="shared" ref="T354" si="434">T353</f>
        <v>0</v>
      </c>
      <c r="U354" s="268">
        <f t="shared" ref="U354:AA354" si="435">U242-U353</f>
        <v>-107456</v>
      </c>
      <c r="V354" s="268">
        <f t="shared" si="435"/>
        <v>-103373</v>
      </c>
      <c r="W354" s="242">
        <f t="shared" si="435"/>
        <v>0</v>
      </c>
      <c r="X354" s="268">
        <f t="shared" si="435"/>
        <v>-122031</v>
      </c>
      <c r="Y354" s="268">
        <f t="shared" si="435"/>
        <v>-163215</v>
      </c>
      <c r="Z354" s="268">
        <f t="shared" si="435"/>
        <v>-40426</v>
      </c>
      <c r="AA354" s="242">
        <f t="shared" si="435"/>
        <v>4773</v>
      </c>
      <c r="AB354" s="249">
        <f t="shared" ref="AB354:AZ354" si="436">AB353</f>
        <v>0</v>
      </c>
      <c r="AC354" s="249">
        <f t="shared" si="436"/>
        <v>0</v>
      </c>
      <c r="AD354" s="249">
        <f t="shared" si="436"/>
        <v>0</v>
      </c>
      <c r="AE354" s="249">
        <f t="shared" si="436"/>
        <v>0</v>
      </c>
      <c r="AF354" s="249">
        <f t="shared" si="436"/>
        <v>0</v>
      </c>
      <c r="AG354" s="249">
        <f t="shared" si="436"/>
        <v>0</v>
      </c>
      <c r="AH354" s="249">
        <f t="shared" si="436"/>
        <v>0</v>
      </c>
      <c r="AI354" s="249">
        <f t="shared" si="436"/>
        <v>0</v>
      </c>
      <c r="AJ354" s="249">
        <f t="shared" si="436"/>
        <v>0</v>
      </c>
      <c r="AK354" s="249">
        <f t="shared" si="436"/>
        <v>0</v>
      </c>
      <c r="AL354" s="249">
        <f t="shared" si="436"/>
        <v>0</v>
      </c>
      <c r="AM354" s="249">
        <f t="shared" si="436"/>
        <v>0</v>
      </c>
      <c r="AN354" s="249">
        <f t="shared" si="436"/>
        <v>0</v>
      </c>
      <c r="AO354" s="249">
        <f t="shared" si="436"/>
        <v>0</v>
      </c>
      <c r="AP354" s="249">
        <f t="shared" si="436"/>
        <v>0</v>
      </c>
      <c r="AQ354" s="249">
        <f t="shared" si="436"/>
        <v>0</v>
      </c>
      <c r="AR354" s="249">
        <f t="shared" si="436"/>
        <v>0</v>
      </c>
      <c r="AS354" s="249">
        <f t="shared" si="436"/>
        <v>0</v>
      </c>
      <c r="AT354" s="249">
        <f t="shared" si="436"/>
        <v>0</v>
      </c>
      <c r="AU354" s="249">
        <f t="shared" si="436"/>
        <v>0</v>
      </c>
      <c r="AV354" s="249">
        <f t="shared" si="436"/>
        <v>0</v>
      </c>
      <c r="AW354" s="249">
        <f t="shared" ref="AW354" si="437">AW353</f>
        <v>0</v>
      </c>
      <c r="AX354" s="249">
        <f t="shared" si="436"/>
        <v>0</v>
      </c>
      <c r="AY354" s="249">
        <f t="shared" si="436"/>
        <v>0</v>
      </c>
      <c r="AZ354" s="249">
        <f t="shared" si="436"/>
        <v>0</v>
      </c>
      <c r="BA354" s="249">
        <f t="shared" ref="BA354:BB354" si="438">BA353</f>
        <v>0</v>
      </c>
      <c r="BB354" s="249">
        <f t="shared" si="438"/>
        <v>0</v>
      </c>
      <c r="BC354" s="249">
        <f t="shared" ref="BC354" si="439">BC353</f>
        <v>0</v>
      </c>
      <c r="BD354" s="238"/>
      <c r="BE354" s="238"/>
      <c r="BF354" s="238"/>
      <c r="BG354" s="243"/>
      <c r="BH354" s="243"/>
      <c r="BI354" s="239"/>
      <c r="BJ354" s="239"/>
      <c r="BK354" s="239"/>
      <c r="BL354" s="239"/>
      <c r="BM354" s="239"/>
      <c r="BN354" s="239"/>
      <c r="BO354" s="120"/>
      <c r="BP354" s="120"/>
      <c r="BQ354" s="238"/>
      <c r="BR354" s="238"/>
      <c r="BS354" s="238"/>
      <c r="BT354" s="238"/>
      <c r="BU354" s="238"/>
      <c r="BV354" s="238"/>
      <c r="BW354" s="238"/>
      <c r="BX354" s="238"/>
      <c r="BY354" s="238"/>
      <c r="BZ354" s="238"/>
      <c r="CA354" s="238"/>
      <c r="CB354" s="238"/>
      <c r="CC354" s="238"/>
      <c r="CD354" s="238"/>
      <c r="CE354" s="238"/>
      <c r="CF354" s="238"/>
      <c r="CG354" s="238"/>
      <c r="CH354" s="238"/>
      <c r="CI354" s="238"/>
      <c r="CJ354" s="244"/>
    </row>
    <row r="355" spans="1:88" s="128" customFormat="1" ht="31.2">
      <c r="A355" s="150" t="s">
        <v>4108</v>
      </c>
      <c r="B355" s="238"/>
      <c r="C355" s="238"/>
      <c r="D355" s="238"/>
      <c r="E355" s="238"/>
      <c r="F355" s="238"/>
      <c r="G355" s="239"/>
      <c r="H355" s="239"/>
      <c r="I355" s="238"/>
      <c r="J355" s="238"/>
      <c r="K355" s="238"/>
      <c r="L355" s="238"/>
      <c r="M355" s="240"/>
      <c r="N355" s="238"/>
      <c r="O355" s="238"/>
      <c r="P355" s="277" t="s">
        <v>235</v>
      </c>
      <c r="Q355" s="278"/>
      <c r="R355" s="278"/>
      <c r="S355" s="278"/>
      <c r="T355" s="278"/>
      <c r="U355" s="577"/>
      <c r="V355" s="577"/>
      <c r="W355" s="577"/>
      <c r="X355" s="278"/>
      <c r="Y355" s="577"/>
      <c r="Z355" s="577"/>
      <c r="AA355" s="577"/>
      <c r="AB355" s="278"/>
      <c r="AC355" s="279"/>
      <c r="AD355" s="279"/>
      <c r="AE355" s="279"/>
      <c r="AF355" s="279"/>
      <c r="AG355" s="279"/>
      <c r="AH355" s="279"/>
      <c r="AI355" s="279"/>
      <c r="AJ355" s="279"/>
      <c r="AK355" s="279"/>
      <c r="AL355" s="279"/>
      <c r="AM355" s="279"/>
      <c r="AN355" s="279"/>
      <c r="AO355" s="279"/>
      <c r="AP355" s="279"/>
      <c r="AQ355" s="279"/>
      <c r="AR355" s="279"/>
      <c r="AS355" s="279"/>
      <c r="AT355" s="279"/>
      <c r="AU355" s="279"/>
      <c r="AV355" s="279"/>
      <c r="AW355" s="279"/>
      <c r="AX355" s="279"/>
      <c r="AY355" s="279"/>
      <c r="AZ355" s="279"/>
      <c r="BA355" s="279"/>
      <c r="BB355" s="279"/>
      <c r="BC355" s="279"/>
      <c r="BD355" s="238"/>
      <c r="BE355" s="238"/>
      <c r="BF355" s="238"/>
      <c r="BG355" s="243"/>
      <c r="BH355" s="243"/>
      <c r="BI355" s="239"/>
      <c r="BJ355" s="239"/>
      <c r="BK355" s="239"/>
      <c r="BL355" s="239"/>
      <c r="BM355" s="239"/>
      <c r="BN355" s="239"/>
      <c r="BO355" s="120"/>
      <c r="BP355" s="120"/>
      <c r="BQ355" s="238"/>
      <c r="BR355" s="238"/>
      <c r="BS355" s="238"/>
      <c r="BT355" s="238"/>
      <c r="BU355" s="238"/>
      <c r="BV355" s="238"/>
      <c r="BW355" s="238"/>
      <c r="BX355" s="238"/>
      <c r="BY355" s="238"/>
      <c r="BZ355" s="238"/>
      <c r="CA355" s="238"/>
      <c r="CB355" s="238"/>
      <c r="CC355" s="238"/>
      <c r="CD355" s="238"/>
      <c r="CE355" s="238"/>
      <c r="CF355" s="238"/>
      <c r="CG355" s="238"/>
      <c r="CH355" s="238"/>
      <c r="CI355" s="238"/>
      <c r="CJ355" s="244"/>
    </row>
    <row r="356" spans="1:88">
      <c r="A356" s="125">
        <f t="shared" ref="A356:A357" si="440">BJ356</f>
        <v>45313.791666666897</v>
      </c>
      <c r="B356" s="138" t="s">
        <v>187</v>
      </c>
      <c r="C356" s="121" t="s">
        <v>229</v>
      </c>
      <c r="D356" s="121"/>
      <c r="E356" s="253" t="s">
        <v>3271</v>
      </c>
      <c r="F356" s="121" t="s">
        <v>3378</v>
      </c>
      <c r="G356" s="398"/>
      <c r="H356" s="398"/>
      <c r="I356" s="121" t="s">
        <v>231</v>
      </c>
      <c r="J356" s="121"/>
      <c r="K356" s="517" t="s">
        <v>187</v>
      </c>
      <c r="L356" s="121" t="s">
        <v>4102</v>
      </c>
      <c r="M356" s="123"/>
      <c r="N356" s="121"/>
      <c r="O356" s="121"/>
      <c r="P356" s="397" t="s">
        <v>235</v>
      </c>
      <c r="Q356" s="122"/>
      <c r="R356" s="122"/>
      <c r="S356" s="122">
        <v>7550</v>
      </c>
      <c r="T356" s="369"/>
      <c r="W356" s="121"/>
      <c r="X356" s="846">
        <f>S356</f>
        <v>7550</v>
      </c>
      <c r="Z356" s="121"/>
      <c r="AA356" s="121"/>
      <c r="AB356" s="369"/>
      <c r="AC356" s="369"/>
      <c r="AD356" s="369"/>
      <c r="AE356" s="369"/>
      <c r="AF356" s="369"/>
      <c r="AG356" s="369"/>
      <c r="AH356" s="369"/>
      <c r="AI356" s="369"/>
      <c r="AJ356" s="369"/>
      <c r="AK356" s="369"/>
      <c r="AL356" s="369"/>
      <c r="AM356" s="369"/>
      <c r="AN356" s="369"/>
      <c r="AO356" s="369"/>
      <c r="AP356" s="369"/>
      <c r="AQ356" s="369"/>
      <c r="AR356" s="369"/>
      <c r="AS356" s="369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0"/>
      <c r="BE356" s="120"/>
      <c r="BF356" s="137"/>
      <c r="BG356" s="120"/>
      <c r="BH356" s="120"/>
      <c r="BI356" s="120"/>
      <c r="BJ356" s="120">
        <f>BL352+(0.5/24)</f>
        <v>45313.791666666897</v>
      </c>
      <c r="BK356" s="120">
        <f t="shared" ref="BK356:BK357" si="441">BJ356+(4/24)</f>
        <v>45313.958333333561</v>
      </c>
      <c r="BL356" s="120">
        <f t="shared" ref="BL356:BL357" si="442">BK356+(0.5/24)</f>
        <v>45313.979166666897</v>
      </c>
      <c r="BM356" s="120">
        <f t="shared" ref="BM356:BM357" si="443">BL356+(0.5/24)</f>
        <v>45314.000000000233</v>
      </c>
      <c r="BN356" s="120">
        <f t="shared" ref="BN356:BN357" si="444">BM356+(41/24)</f>
        <v>45315.708333333569</v>
      </c>
      <c r="BO356" s="120">
        <v>45316.229166666664</v>
      </c>
      <c r="BP356" s="120">
        <v>45316.395833333328</v>
      </c>
      <c r="BQ356" s="124" t="s">
        <v>64</v>
      </c>
      <c r="BR356" s="120">
        <f t="shared" ref="BR356:BR357" si="445">BP356+(24/24)</f>
        <v>45317.395833333328</v>
      </c>
      <c r="BS356" s="120">
        <f t="shared" ref="BS356:BS360" si="446">BR356+(1/24)</f>
        <v>45317.437499999993</v>
      </c>
      <c r="BT356" s="120">
        <f t="shared" ref="BT356:BT360" si="447">BS356+(6/24)</f>
        <v>45317.687499999993</v>
      </c>
      <c r="BU356" s="120">
        <f t="shared" ref="BU356:BU360" si="448">BT356+(0.5/24)</f>
        <v>45317.708333333328</v>
      </c>
      <c r="BV356" s="120">
        <f t="shared" ref="BV356:BV360" si="449">BU356+(0.5/24)</f>
        <v>45317.729166666664</v>
      </c>
      <c r="BW356" s="120">
        <f t="shared" ref="BW356:BW357" si="450">BV356+(10/24)</f>
        <v>45318.145833333328</v>
      </c>
      <c r="BX356" s="121"/>
      <c r="BY356" s="121"/>
      <c r="BZ356" s="136"/>
      <c r="CA356" s="136"/>
      <c r="CB356" s="136"/>
      <c r="CC356" s="136"/>
      <c r="CD356" s="135"/>
      <c r="CE356" s="135"/>
      <c r="CF356" s="134"/>
      <c r="CG356" s="134"/>
      <c r="CH356" s="133"/>
      <c r="CI356" s="121"/>
      <c r="CJ356" s="121"/>
    </row>
    <row r="357" spans="1:88">
      <c r="A357" s="125">
        <f t="shared" si="440"/>
        <v>45314.000000000233</v>
      </c>
      <c r="B357" s="138" t="s">
        <v>187</v>
      </c>
      <c r="C357" s="121" t="s">
        <v>229</v>
      </c>
      <c r="D357" s="121"/>
      <c r="E357" s="253" t="s">
        <v>3271</v>
      </c>
      <c r="F357" s="121" t="s">
        <v>3378</v>
      </c>
      <c r="G357" s="398"/>
      <c r="H357" s="398"/>
      <c r="I357" s="121" t="s">
        <v>231</v>
      </c>
      <c r="J357" s="121"/>
      <c r="K357" s="517" t="s">
        <v>187</v>
      </c>
      <c r="L357" s="121" t="s">
        <v>4102</v>
      </c>
      <c r="M357" s="123"/>
      <c r="N357" s="121"/>
      <c r="O357" s="121"/>
      <c r="P357" s="397" t="s">
        <v>235</v>
      </c>
      <c r="Q357" s="122"/>
      <c r="R357" s="122"/>
      <c r="S357" s="122">
        <v>7550</v>
      </c>
      <c r="T357" s="369"/>
      <c r="W357" s="121"/>
      <c r="X357" s="846">
        <f>S357</f>
        <v>7550</v>
      </c>
      <c r="Z357" s="121"/>
      <c r="AA357" s="121"/>
      <c r="AB357" s="369"/>
      <c r="AC357" s="369"/>
      <c r="AD357" s="369"/>
      <c r="AE357" s="369"/>
      <c r="AF357" s="369"/>
      <c r="AG357" s="369"/>
      <c r="AH357" s="369"/>
      <c r="AI357" s="369"/>
      <c r="AJ357" s="369"/>
      <c r="AK357" s="369"/>
      <c r="AL357" s="369"/>
      <c r="AM357" s="369"/>
      <c r="AN357" s="369"/>
      <c r="AO357" s="369"/>
      <c r="AP357" s="369"/>
      <c r="AQ357" s="369"/>
      <c r="AR357" s="369"/>
      <c r="AS357" s="369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0"/>
      <c r="BE357" s="120"/>
      <c r="BF357" s="137"/>
      <c r="BG357" s="120"/>
      <c r="BH357" s="120"/>
      <c r="BI357" s="120"/>
      <c r="BJ357" s="120">
        <f t="shared" ref="BJ357:BJ363" si="451">BL356+(0.5/24)</f>
        <v>45314.000000000233</v>
      </c>
      <c r="BK357" s="120">
        <f t="shared" si="441"/>
        <v>45314.166666666897</v>
      </c>
      <c r="BL357" s="120">
        <f t="shared" si="442"/>
        <v>45314.187500000233</v>
      </c>
      <c r="BM357" s="120">
        <f t="shared" si="443"/>
        <v>45314.208333333569</v>
      </c>
      <c r="BN357" s="120">
        <f t="shared" si="444"/>
        <v>45315.916666666904</v>
      </c>
      <c r="BO357" s="120">
        <v>45316.229166666664</v>
      </c>
      <c r="BP357" s="120">
        <v>45316.395833333328</v>
      </c>
      <c r="BQ357" s="124" t="s">
        <v>64</v>
      </c>
      <c r="BR357" s="120">
        <f t="shared" si="445"/>
        <v>45317.395833333328</v>
      </c>
      <c r="BS357" s="120">
        <f t="shared" si="446"/>
        <v>45317.437499999993</v>
      </c>
      <c r="BT357" s="120">
        <f t="shared" si="447"/>
        <v>45317.687499999993</v>
      </c>
      <c r="BU357" s="120">
        <f t="shared" si="448"/>
        <v>45317.708333333328</v>
      </c>
      <c r="BV357" s="120">
        <f t="shared" si="449"/>
        <v>45317.729166666664</v>
      </c>
      <c r="BW357" s="120">
        <f t="shared" si="450"/>
        <v>45318.145833333328</v>
      </c>
      <c r="BX357" s="121"/>
      <c r="BY357" s="121"/>
      <c r="BZ357" s="136"/>
      <c r="CA357" s="136"/>
      <c r="CB357" s="136"/>
      <c r="CC357" s="136"/>
      <c r="CD357" s="135"/>
      <c r="CE357" s="135"/>
      <c r="CF357" s="134"/>
      <c r="CG357" s="134"/>
      <c r="CH357" s="133"/>
      <c r="CI357" s="121"/>
      <c r="CJ357" s="121"/>
    </row>
    <row r="358" spans="1:88">
      <c r="A358" s="125">
        <f t="shared" ref="A358:A360" si="452">BJ358</f>
        <v>45314.208333333569</v>
      </c>
      <c r="B358" s="138" t="s">
        <v>187</v>
      </c>
      <c r="C358" s="121" t="s">
        <v>229</v>
      </c>
      <c r="D358" s="121"/>
      <c r="E358" s="253" t="s">
        <v>888</v>
      </c>
      <c r="F358" s="121" t="s">
        <v>3378</v>
      </c>
      <c r="G358" s="398"/>
      <c r="H358" s="398"/>
      <c r="I358" s="121" t="s">
        <v>434</v>
      </c>
      <c r="J358" s="121"/>
      <c r="K358" s="517" t="s">
        <v>187</v>
      </c>
      <c r="L358" s="121" t="s">
        <v>4102</v>
      </c>
      <c r="M358" s="123"/>
      <c r="N358" s="121"/>
      <c r="O358" s="121"/>
      <c r="P358" s="397" t="s">
        <v>240</v>
      </c>
      <c r="Q358" s="122"/>
      <c r="R358" s="122"/>
      <c r="S358" s="122">
        <v>7550</v>
      </c>
      <c r="T358" s="369"/>
      <c r="W358" s="121"/>
      <c r="X358" s="369"/>
      <c r="Y358" s="846">
        <f>S358</f>
        <v>7550</v>
      </c>
      <c r="Z358" s="121"/>
      <c r="AA358" s="121"/>
      <c r="AB358" s="369"/>
      <c r="AC358" s="369"/>
      <c r="AD358" s="369"/>
      <c r="AE358" s="369"/>
      <c r="AF358" s="369"/>
      <c r="AG358" s="369"/>
      <c r="AH358" s="369"/>
      <c r="AI358" s="369"/>
      <c r="AJ358" s="369"/>
      <c r="AK358" s="369"/>
      <c r="AL358" s="369"/>
      <c r="AM358" s="369"/>
      <c r="AN358" s="369"/>
      <c r="AO358" s="369"/>
      <c r="AP358" s="369"/>
      <c r="AQ358" s="369"/>
      <c r="AR358" s="369"/>
      <c r="AS358" s="369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0"/>
      <c r="BE358" s="120"/>
      <c r="BF358" s="137"/>
      <c r="BG358" s="120"/>
      <c r="BH358" s="120"/>
      <c r="BI358" s="120"/>
      <c r="BJ358" s="120">
        <f t="shared" si="451"/>
        <v>45314.208333333569</v>
      </c>
      <c r="BK358" s="120">
        <f t="shared" ref="BK358:BK364" si="453">BJ358+(4/24)</f>
        <v>45314.375000000233</v>
      </c>
      <c r="BL358" s="120">
        <f t="shared" ref="BL358:BL364" si="454">BK358+(0.5/24)</f>
        <v>45314.395833333569</v>
      </c>
      <c r="BM358" s="120">
        <f t="shared" ref="BM358:BM364" si="455">BL358+(0.5/24)</f>
        <v>45314.416666666904</v>
      </c>
      <c r="BN358" s="120">
        <f t="shared" ref="BN358:BN364" si="456">BM358+(41/24)</f>
        <v>45316.12500000024</v>
      </c>
      <c r="BO358" s="120">
        <v>45317.229166608799</v>
      </c>
      <c r="BP358" s="120">
        <v>45317.395833275463</v>
      </c>
      <c r="BQ358" s="124" t="s">
        <v>64</v>
      </c>
      <c r="BR358" s="120">
        <f>BP358+(96/24)</f>
        <v>45321.395833275463</v>
      </c>
      <c r="BS358" s="120">
        <f t="shared" si="446"/>
        <v>45321.437499942127</v>
      </c>
      <c r="BT358" s="120">
        <f t="shared" si="447"/>
        <v>45321.687499942127</v>
      </c>
      <c r="BU358" s="120">
        <f t="shared" si="448"/>
        <v>45321.708333275463</v>
      </c>
      <c r="BV358" s="120">
        <f t="shared" si="449"/>
        <v>45321.729166608799</v>
      </c>
      <c r="BW358" s="120">
        <f>BV358+(96/24)</f>
        <v>45325.729166608799</v>
      </c>
      <c r="BX358" s="121"/>
      <c r="BY358" s="121"/>
      <c r="BZ358" s="136"/>
      <c r="CA358" s="136"/>
      <c r="CB358" s="136"/>
      <c r="CC358" s="136"/>
      <c r="CD358" s="135"/>
      <c r="CE358" s="135"/>
      <c r="CF358" s="134"/>
      <c r="CG358" s="134"/>
      <c r="CH358" s="133"/>
      <c r="CI358" s="121"/>
      <c r="CJ358" s="121"/>
    </row>
    <row r="359" spans="1:88">
      <c r="A359" s="125">
        <f t="shared" si="452"/>
        <v>45314.416666666904</v>
      </c>
      <c r="B359" s="138" t="s">
        <v>187</v>
      </c>
      <c r="C359" s="121" t="s">
        <v>229</v>
      </c>
      <c r="D359" s="121"/>
      <c r="E359" s="253" t="s">
        <v>888</v>
      </c>
      <c r="F359" s="121" t="s">
        <v>3378</v>
      </c>
      <c r="G359" s="398"/>
      <c r="H359" s="398"/>
      <c r="I359" s="121" t="s">
        <v>434</v>
      </c>
      <c r="J359" s="121"/>
      <c r="K359" s="517" t="s">
        <v>187</v>
      </c>
      <c r="L359" s="121" t="s">
        <v>4102</v>
      </c>
      <c r="M359" s="123"/>
      <c r="N359" s="121"/>
      <c r="O359" s="121"/>
      <c r="P359" s="397" t="s">
        <v>240</v>
      </c>
      <c r="Q359" s="122"/>
      <c r="R359" s="122"/>
      <c r="S359" s="122">
        <v>7550</v>
      </c>
      <c r="T359" s="369"/>
      <c r="W359" s="121"/>
      <c r="X359" s="369"/>
      <c r="Y359" s="846">
        <f>S359</f>
        <v>7550</v>
      </c>
      <c r="Z359" s="121"/>
      <c r="AA359" s="121"/>
      <c r="AB359" s="369"/>
      <c r="AC359" s="369"/>
      <c r="AD359" s="369"/>
      <c r="AE359" s="369"/>
      <c r="AF359" s="369"/>
      <c r="AG359" s="369"/>
      <c r="AH359" s="369"/>
      <c r="AI359" s="369"/>
      <c r="AJ359" s="369"/>
      <c r="AK359" s="369"/>
      <c r="AL359" s="369"/>
      <c r="AM359" s="369"/>
      <c r="AN359" s="369"/>
      <c r="AO359" s="369"/>
      <c r="AP359" s="369"/>
      <c r="AQ359" s="369"/>
      <c r="AR359" s="369"/>
      <c r="AS359" s="369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0"/>
      <c r="BE359" s="120"/>
      <c r="BF359" s="137"/>
      <c r="BG359" s="120"/>
      <c r="BH359" s="120"/>
      <c r="BI359" s="120"/>
      <c r="BJ359" s="120">
        <f t="shared" si="451"/>
        <v>45314.416666666904</v>
      </c>
      <c r="BK359" s="120">
        <f t="shared" si="453"/>
        <v>45314.583333333569</v>
      </c>
      <c r="BL359" s="120">
        <f t="shared" si="454"/>
        <v>45314.604166666904</v>
      </c>
      <c r="BM359" s="120">
        <f t="shared" si="455"/>
        <v>45314.62500000024</v>
      </c>
      <c r="BN359" s="120">
        <f t="shared" si="456"/>
        <v>45316.333333333576</v>
      </c>
      <c r="BO359" s="120">
        <v>45317.229166608799</v>
      </c>
      <c r="BP359" s="120">
        <v>45317.395833275463</v>
      </c>
      <c r="BQ359" s="124" t="s">
        <v>64</v>
      </c>
      <c r="BR359" s="120">
        <f>BP359+(96/24)</f>
        <v>45321.395833275463</v>
      </c>
      <c r="BS359" s="120">
        <f t="shared" si="446"/>
        <v>45321.437499942127</v>
      </c>
      <c r="BT359" s="120">
        <f t="shared" si="447"/>
        <v>45321.687499942127</v>
      </c>
      <c r="BU359" s="120">
        <f t="shared" si="448"/>
        <v>45321.708333275463</v>
      </c>
      <c r="BV359" s="120">
        <f t="shared" si="449"/>
        <v>45321.729166608799</v>
      </c>
      <c r="BW359" s="120">
        <f>BV359+(96/24)</f>
        <v>45325.729166608799</v>
      </c>
      <c r="BX359" s="121"/>
      <c r="BY359" s="121"/>
      <c r="BZ359" s="136"/>
      <c r="CA359" s="136"/>
      <c r="CB359" s="136"/>
      <c r="CC359" s="136"/>
      <c r="CD359" s="135"/>
      <c r="CE359" s="135"/>
      <c r="CF359" s="134"/>
      <c r="CG359" s="134"/>
      <c r="CH359" s="133"/>
      <c r="CI359" s="121"/>
      <c r="CJ359" s="121"/>
    </row>
    <row r="360" spans="1:88">
      <c r="A360" s="125">
        <f t="shared" si="452"/>
        <v>45314.62500000024</v>
      </c>
      <c r="B360" s="138" t="s">
        <v>187</v>
      </c>
      <c r="C360" s="121" t="s">
        <v>229</v>
      </c>
      <c r="D360" s="121"/>
      <c r="E360" s="253" t="s">
        <v>888</v>
      </c>
      <c r="F360" s="121" t="s">
        <v>3378</v>
      </c>
      <c r="G360" s="398"/>
      <c r="H360" s="398"/>
      <c r="I360" s="121" t="s">
        <v>434</v>
      </c>
      <c r="J360" s="121"/>
      <c r="K360" s="517" t="s">
        <v>187</v>
      </c>
      <c r="L360" s="121" t="s">
        <v>4102</v>
      </c>
      <c r="M360" s="123"/>
      <c r="N360" s="121"/>
      <c r="O360" s="121"/>
      <c r="P360" s="397" t="s">
        <v>240</v>
      </c>
      <c r="Q360" s="122"/>
      <c r="R360" s="122"/>
      <c r="S360" s="122">
        <v>7550</v>
      </c>
      <c r="T360" s="369"/>
      <c r="W360" s="121"/>
      <c r="X360" s="369"/>
      <c r="Y360" s="846">
        <f>S360</f>
        <v>7550</v>
      </c>
      <c r="Z360" s="121"/>
      <c r="AA360" s="121"/>
      <c r="AB360" s="369"/>
      <c r="AC360" s="369"/>
      <c r="AD360" s="369"/>
      <c r="AE360" s="369"/>
      <c r="AF360" s="369"/>
      <c r="AG360" s="369"/>
      <c r="AH360" s="369"/>
      <c r="AI360" s="369"/>
      <c r="AJ360" s="369"/>
      <c r="AK360" s="369"/>
      <c r="AL360" s="369"/>
      <c r="AM360" s="369"/>
      <c r="AN360" s="369"/>
      <c r="AO360" s="369"/>
      <c r="AP360" s="369"/>
      <c r="AQ360" s="369"/>
      <c r="AR360" s="369"/>
      <c r="AS360" s="369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0"/>
      <c r="BE360" s="120"/>
      <c r="BF360" s="137"/>
      <c r="BG360" s="120"/>
      <c r="BH360" s="120"/>
      <c r="BI360" s="120"/>
      <c r="BJ360" s="120">
        <f t="shared" si="451"/>
        <v>45314.62500000024</v>
      </c>
      <c r="BK360" s="120">
        <f t="shared" ref="BK360" si="457">BJ360+(4/24)</f>
        <v>45314.791666666904</v>
      </c>
      <c r="BL360" s="120">
        <f t="shared" ref="BL360" si="458">BK360+(0.5/24)</f>
        <v>45314.81250000024</v>
      </c>
      <c r="BM360" s="120">
        <f t="shared" ref="BM360" si="459">BL360+(0.5/24)</f>
        <v>45314.833333333576</v>
      </c>
      <c r="BN360" s="120">
        <f t="shared" ref="BN360" si="460">BM360+(41/24)</f>
        <v>45316.541666666912</v>
      </c>
      <c r="BO360" s="120">
        <v>45317.229166608799</v>
      </c>
      <c r="BP360" s="120">
        <v>45317.395833275463</v>
      </c>
      <c r="BQ360" s="124" t="s">
        <v>64</v>
      </c>
      <c r="BR360" s="120">
        <f>BP360+(96/24)</f>
        <v>45321.395833275463</v>
      </c>
      <c r="BS360" s="120">
        <f t="shared" si="446"/>
        <v>45321.437499942127</v>
      </c>
      <c r="BT360" s="120">
        <f t="shared" si="447"/>
        <v>45321.687499942127</v>
      </c>
      <c r="BU360" s="120">
        <f t="shared" si="448"/>
        <v>45321.708333275463</v>
      </c>
      <c r="BV360" s="120">
        <f t="shared" si="449"/>
        <v>45321.729166608799</v>
      </c>
      <c r="BW360" s="120">
        <f>BV360+(96/24)</f>
        <v>45325.729166608799</v>
      </c>
      <c r="BX360" s="121"/>
      <c r="BY360" s="121"/>
      <c r="BZ360" s="136"/>
      <c r="CA360" s="136"/>
      <c r="CB360" s="136"/>
      <c r="CC360" s="136"/>
      <c r="CD360" s="135"/>
      <c r="CE360" s="135"/>
      <c r="CF360" s="134"/>
      <c r="CG360" s="134"/>
      <c r="CH360" s="133"/>
      <c r="CI360" s="121"/>
      <c r="CJ360" s="121"/>
    </row>
    <row r="361" spans="1:88">
      <c r="A361" s="125">
        <f t="shared" ref="A361:A364" si="461">BJ361</f>
        <v>45314.833333333576</v>
      </c>
      <c r="B361" s="138" t="s">
        <v>187</v>
      </c>
      <c r="C361" s="121" t="s">
        <v>229</v>
      </c>
      <c r="D361" s="121"/>
      <c r="E361" s="253" t="s">
        <v>3275</v>
      </c>
      <c r="F361" s="121" t="s">
        <v>3378</v>
      </c>
      <c r="G361" s="398"/>
      <c r="H361" s="398"/>
      <c r="I361" s="121" t="s">
        <v>231</v>
      </c>
      <c r="J361" s="121"/>
      <c r="K361" s="517" t="s">
        <v>187</v>
      </c>
      <c r="L361" s="121" t="s">
        <v>4102</v>
      </c>
      <c r="M361" s="123"/>
      <c r="N361" s="121"/>
      <c r="O361" s="121"/>
      <c r="P361" s="397" t="s">
        <v>235</v>
      </c>
      <c r="Q361" s="122"/>
      <c r="R361" s="122"/>
      <c r="S361" s="122">
        <v>7550</v>
      </c>
      <c r="T361" s="369"/>
      <c r="W361" s="121"/>
      <c r="X361" s="846">
        <f>S361</f>
        <v>7550</v>
      </c>
      <c r="Y361" s="121"/>
      <c r="Z361" s="121"/>
      <c r="AA361" s="121"/>
      <c r="AB361" s="369"/>
      <c r="AC361" s="369"/>
      <c r="AD361" s="369"/>
      <c r="AE361" s="369"/>
      <c r="AF361" s="369"/>
      <c r="AG361" s="369"/>
      <c r="AH361" s="369"/>
      <c r="AI361" s="369"/>
      <c r="AJ361" s="369"/>
      <c r="AK361" s="369"/>
      <c r="AL361" s="369"/>
      <c r="AM361" s="369"/>
      <c r="AN361" s="369"/>
      <c r="AO361" s="369"/>
      <c r="AP361" s="369"/>
      <c r="AQ361" s="369"/>
      <c r="AR361" s="369"/>
      <c r="AS361" s="369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0"/>
      <c r="BE361" s="120"/>
      <c r="BF361" s="137"/>
      <c r="BG361" s="120"/>
      <c r="BH361" s="120"/>
      <c r="BI361" s="120"/>
      <c r="BJ361" s="120">
        <f t="shared" si="451"/>
        <v>45314.833333333576</v>
      </c>
      <c r="BK361" s="120">
        <f t="shared" si="453"/>
        <v>45315.00000000024</v>
      </c>
      <c r="BL361" s="120">
        <f t="shared" si="454"/>
        <v>45315.020833333576</v>
      </c>
      <c r="BM361" s="120">
        <f t="shared" si="455"/>
        <v>45315.041666666912</v>
      </c>
      <c r="BN361" s="120">
        <f t="shared" si="456"/>
        <v>45316.750000000247</v>
      </c>
      <c r="BO361" s="120">
        <v>45317.229166608799</v>
      </c>
      <c r="BP361" s="120">
        <v>45317.395833275463</v>
      </c>
      <c r="BQ361" s="124" t="s">
        <v>64</v>
      </c>
      <c r="BR361" s="120">
        <f t="shared" ref="BR361" si="462">BP361+(24/24)</f>
        <v>45318.395833275463</v>
      </c>
      <c r="BS361" s="120">
        <f t="shared" ref="BS361" si="463">BR361+(1/24)</f>
        <v>45318.437499942127</v>
      </c>
      <c r="BT361" s="120">
        <f t="shared" ref="BT361" si="464">BS361+(6/24)</f>
        <v>45318.687499942127</v>
      </c>
      <c r="BU361" s="120">
        <f t="shared" ref="BU361" si="465">BT361+(0.5/24)</f>
        <v>45318.708333275463</v>
      </c>
      <c r="BV361" s="120">
        <f t="shared" ref="BV361" si="466">BU361+(0.5/24)</f>
        <v>45318.729166608799</v>
      </c>
      <c r="BW361" s="120">
        <f t="shared" ref="BW361" si="467">BV361+(10/24)</f>
        <v>45319.145833275463</v>
      </c>
      <c r="BX361" s="121"/>
      <c r="BY361" s="121"/>
      <c r="BZ361" s="136"/>
      <c r="CA361" s="136"/>
      <c r="CB361" s="136"/>
      <c r="CC361" s="136"/>
      <c r="CD361" s="135"/>
      <c r="CE361" s="135"/>
      <c r="CF361" s="134"/>
      <c r="CG361" s="134"/>
      <c r="CH361" s="133"/>
      <c r="CI361" s="121"/>
      <c r="CJ361" s="121"/>
    </row>
    <row r="362" spans="1:88">
      <c r="A362" s="125">
        <f t="shared" si="461"/>
        <v>45315.041666666912</v>
      </c>
      <c r="B362" s="138" t="s">
        <v>187</v>
      </c>
      <c r="C362" s="121" t="s">
        <v>229</v>
      </c>
      <c r="D362" s="121"/>
      <c r="E362" s="253" t="s">
        <v>3275</v>
      </c>
      <c r="F362" s="121" t="s">
        <v>3378</v>
      </c>
      <c r="G362" s="398"/>
      <c r="H362" s="398"/>
      <c r="I362" s="121" t="s">
        <v>231</v>
      </c>
      <c r="J362" s="121"/>
      <c r="K362" s="517" t="s">
        <v>187</v>
      </c>
      <c r="L362" s="121" t="s">
        <v>4102</v>
      </c>
      <c r="M362" s="123"/>
      <c r="N362" s="121"/>
      <c r="O362" s="121"/>
      <c r="P362" s="397" t="s">
        <v>235</v>
      </c>
      <c r="Q362" s="122"/>
      <c r="R362" s="122"/>
      <c r="S362" s="122">
        <v>7550</v>
      </c>
      <c r="T362" s="369"/>
      <c r="W362" s="121"/>
      <c r="X362" s="846">
        <f t="shared" ref="X362:X364" si="468">S362</f>
        <v>7550</v>
      </c>
      <c r="Y362" s="121"/>
      <c r="Z362" s="121"/>
      <c r="AA362" s="121"/>
      <c r="AB362" s="369"/>
      <c r="AC362" s="369"/>
      <c r="AD362" s="369"/>
      <c r="AE362" s="369"/>
      <c r="AF362" s="369"/>
      <c r="AG362" s="369"/>
      <c r="AH362" s="369"/>
      <c r="AI362" s="369"/>
      <c r="AJ362" s="369"/>
      <c r="AK362" s="369"/>
      <c r="AL362" s="369"/>
      <c r="AM362" s="369"/>
      <c r="AN362" s="369"/>
      <c r="AO362" s="369"/>
      <c r="AP362" s="369"/>
      <c r="AQ362" s="369"/>
      <c r="AR362" s="369"/>
      <c r="AS362" s="369"/>
      <c r="AT362" s="121"/>
      <c r="AU362" s="121"/>
      <c r="AV362" s="121"/>
      <c r="AW362" s="121"/>
      <c r="AX362" s="121"/>
      <c r="AY362" s="121"/>
      <c r="AZ362" s="121"/>
      <c r="BA362" s="121"/>
      <c r="BB362" s="121"/>
      <c r="BC362" s="121"/>
      <c r="BD362" s="120"/>
      <c r="BE362" s="120"/>
      <c r="BF362" s="137"/>
      <c r="BG362" s="120"/>
      <c r="BH362" s="120"/>
      <c r="BI362" s="120"/>
      <c r="BJ362" s="120">
        <f t="shared" si="451"/>
        <v>45315.041666666912</v>
      </c>
      <c r="BK362" s="120">
        <f t="shared" si="453"/>
        <v>45315.208333333576</v>
      </c>
      <c r="BL362" s="120">
        <f t="shared" si="454"/>
        <v>45315.229166666912</v>
      </c>
      <c r="BM362" s="120">
        <f t="shared" si="455"/>
        <v>45315.250000000247</v>
      </c>
      <c r="BN362" s="120">
        <f t="shared" si="456"/>
        <v>45316.958333333583</v>
      </c>
      <c r="BO362" s="120">
        <v>45317.229166608799</v>
      </c>
      <c r="BP362" s="120">
        <v>45317.395833275463</v>
      </c>
      <c r="BQ362" s="124" t="s">
        <v>64</v>
      </c>
      <c r="BR362" s="120">
        <f t="shared" ref="BR362:BR364" si="469">BP362+(24/24)</f>
        <v>45318.395833275463</v>
      </c>
      <c r="BS362" s="120">
        <f t="shared" ref="BS362:BS364" si="470">BR362+(1/24)</f>
        <v>45318.437499942127</v>
      </c>
      <c r="BT362" s="120">
        <f t="shared" ref="BT362:BT364" si="471">BS362+(6/24)</f>
        <v>45318.687499942127</v>
      </c>
      <c r="BU362" s="120">
        <f t="shared" ref="BU362:BU364" si="472">BT362+(0.5/24)</f>
        <v>45318.708333275463</v>
      </c>
      <c r="BV362" s="120">
        <f t="shared" ref="BV362:BV364" si="473">BU362+(0.5/24)</f>
        <v>45318.729166608799</v>
      </c>
      <c r="BW362" s="120">
        <f t="shared" ref="BW362:BW364" si="474">BV362+(10/24)</f>
        <v>45319.145833275463</v>
      </c>
      <c r="BX362" s="121"/>
      <c r="BY362" s="121"/>
      <c r="BZ362" s="136"/>
      <c r="CA362" s="136"/>
      <c r="CB362" s="136"/>
      <c r="CC362" s="136"/>
      <c r="CD362" s="135"/>
      <c r="CE362" s="135"/>
      <c r="CF362" s="134"/>
      <c r="CG362" s="134"/>
      <c r="CH362" s="133"/>
      <c r="CI362" s="121"/>
      <c r="CJ362" s="121"/>
    </row>
    <row r="363" spans="1:88">
      <c r="A363" s="125">
        <f t="shared" si="461"/>
        <v>45315.250000000247</v>
      </c>
      <c r="B363" s="138" t="s">
        <v>187</v>
      </c>
      <c r="C363" s="121" t="s">
        <v>229</v>
      </c>
      <c r="D363" s="121"/>
      <c r="E363" s="253" t="s">
        <v>3275</v>
      </c>
      <c r="F363" s="121" t="s">
        <v>3378</v>
      </c>
      <c r="G363" s="398"/>
      <c r="H363" s="398"/>
      <c r="I363" s="121" t="s">
        <v>231</v>
      </c>
      <c r="J363" s="121"/>
      <c r="K363" s="517" t="s">
        <v>187</v>
      </c>
      <c r="L363" s="121" t="s">
        <v>4102</v>
      </c>
      <c r="M363" s="123"/>
      <c r="N363" s="121"/>
      <c r="O363" s="121"/>
      <c r="P363" s="397" t="s">
        <v>235</v>
      </c>
      <c r="Q363" s="122"/>
      <c r="R363" s="122"/>
      <c r="S363" s="122">
        <v>7550</v>
      </c>
      <c r="T363" s="369"/>
      <c r="W363" s="121"/>
      <c r="X363" s="846">
        <f t="shared" si="468"/>
        <v>7550</v>
      </c>
      <c r="Y363" s="121"/>
      <c r="Z363" s="121"/>
      <c r="AA363" s="121"/>
      <c r="AB363" s="369"/>
      <c r="AC363" s="369"/>
      <c r="AD363" s="369"/>
      <c r="AE363" s="369"/>
      <c r="AF363" s="369"/>
      <c r="AG363" s="369"/>
      <c r="AH363" s="369"/>
      <c r="AI363" s="369"/>
      <c r="AJ363" s="369"/>
      <c r="AK363" s="369"/>
      <c r="AL363" s="369"/>
      <c r="AM363" s="369"/>
      <c r="AN363" s="369"/>
      <c r="AO363" s="369"/>
      <c r="AP363" s="369"/>
      <c r="AQ363" s="369"/>
      <c r="AR363" s="369"/>
      <c r="AS363" s="369"/>
      <c r="AT363" s="121"/>
      <c r="AU363" s="121"/>
      <c r="AV363" s="121"/>
      <c r="AW363" s="121"/>
      <c r="AX363" s="121"/>
      <c r="AY363" s="121"/>
      <c r="AZ363" s="121"/>
      <c r="BA363" s="121"/>
      <c r="BB363" s="121"/>
      <c r="BC363" s="121"/>
      <c r="BD363" s="120"/>
      <c r="BE363" s="120"/>
      <c r="BF363" s="137"/>
      <c r="BG363" s="120"/>
      <c r="BH363" s="120"/>
      <c r="BI363" s="120"/>
      <c r="BJ363" s="120">
        <f t="shared" si="451"/>
        <v>45315.250000000247</v>
      </c>
      <c r="BK363" s="120">
        <f t="shared" si="453"/>
        <v>45315.416666666912</v>
      </c>
      <c r="BL363" s="120">
        <f t="shared" si="454"/>
        <v>45315.437500000247</v>
      </c>
      <c r="BM363" s="120">
        <f t="shared" si="455"/>
        <v>45315.458333333583</v>
      </c>
      <c r="BN363" s="120">
        <f t="shared" si="456"/>
        <v>45317.166666666919</v>
      </c>
      <c r="BO363" s="120">
        <v>45318.229166608799</v>
      </c>
      <c r="BP363" s="120">
        <v>45318.395833275463</v>
      </c>
      <c r="BQ363" s="124" t="s">
        <v>64</v>
      </c>
      <c r="BR363" s="120">
        <f t="shared" si="469"/>
        <v>45319.395833275463</v>
      </c>
      <c r="BS363" s="120">
        <f t="shared" si="470"/>
        <v>45319.437499942127</v>
      </c>
      <c r="BT363" s="120">
        <f t="shared" si="471"/>
        <v>45319.687499942127</v>
      </c>
      <c r="BU363" s="120">
        <f t="shared" si="472"/>
        <v>45319.708333275463</v>
      </c>
      <c r="BV363" s="120">
        <f t="shared" si="473"/>
        <v>45319.729166608799</v>
      </c>
      <c r="BW363" s="120">
        <f t="shared" si="474"/>
        <v>45320.145833275463</v>
      </c>
      <c r="BX363" s="121"/>
      <c r="BY363" s="121"/>
      <c r="BZ363" s="136"/>
      <c r="CA363" s="136"/>
      <c r="CB363" s="136"/>
      <c r="CC363" s="136"/>
      <c r="CD363" s="135"/>
      <c r="CE363" s="135"/>
      <c r="CF363" s="134"/>
      <c r="CG363" s="134"/>
      <c r="CH363" s="133"/>
      <c r="CI363" s="121"/>
      <c r="CJ363" s="121"/>
    </row>
    <row r="364" spans="1:88">
      <c r="A364" s="125">
        <f t="shared" si="461"/>
        <v>45315.458333333583</v>
      </c>
      <c r="B364" s="138" t="s">
        <v>187</v>
      </c>
      <c r="C364" s="121" t="s">
        <v>229</v>
      </c>
      <c r="D364" s="121"/>
      <c r="E364" s="253" t="s">
        <v>3275</v>
      </c>
      <c r="F364" s="121" t="s">
        <v>3378</v>
      </c>
      <c r="G364" s="398"/>
      <c r="H364" s="398"/>
      <c r="I364" s="121" t="s">
        <v>231</v>
      </c>
      <c r="J364" s="121"/>
      <c r="K364" s="517" t="s">
        <v>187</v>
      </c>
      <c r="L364" s="121" t="s">
        <v>4102</v>
      </c>
      <c r="M364" s="123"/>
      <c r="N364" s="121"/>
      <c r="O364" s="121"/>
      <c r="P364" s="397" t="s">
        <v>235</v>
      </c>
      <c r="Q364" s="122"/>
      <c r="R364" s="122"/>
      <c r="S364" s="122">
        <v>7550</v>
      </c>
      <c r="T364" s="369"/>
      <c r="W364" s="121"/>
      <c r="X364" s="846">
        <f t="shared" si="468"/>
        <v>7550</v>
      </c>
      <c r="Y364" s="121"/>
      <c r="Z364" s="121"/>
      <c r="AA364" s="121"/>
      <c r="AB364" s="369"/>
      <c r="AC364" s="369"/>
      <c r="AD364" s="369"/>
      <c r="AE364" s="369"/>
      <c r="AF364" s="369"/>
      <c r="AG364" s="369"/>
      <c r="AH364" s="369"/>
      <c r="AI364" s="369"/>
      <c r="AJ364" s="369"/>
      <c r="AK364" s="369"/>
      <c r="AL364" s="369"/>
      <c r="AM364" s="369"/>
      <c r="AN364" s="369"/>
      <c r="AO364" s="369"/>
      <c r="AP364" s="369"/>
      <c r="AQ364" s="369"/>
      <c r="AR364" s="369"/>
      <c r="AS364" s="369"/>
      <c r="AT364" s="121"/>
      <c r="AU364" s="121"/>
      <c r="AV364" s="121"/>
      <c r="AW364" s="121"/>
      <c r="AX364" s="121"/>
      <c r="AY364" s="121"/>
      <c r="AZ364" s="121"/>
      <c r="BA364" s="121"/>
      <c r="BB364" s="121"/>
      <c r="BC364" s="121"/>
      <c r="BD364" s="120"/>
      <c r="BE364" s="120"/>
      <c r="BF364" s="137"/>
      <c r="BG364" s="120"/>
      <c r="BH364" s="120"/>
      <c r="BI364" s="120"/>
      <c r="BJ364" s="120">
        <f>BL363+(0.5/24)</f>
        <v>45315.458333333583</v>
      </c>
      <c r="BK364" s="120">
        <f t="shared" si="453"/>
        <v>45315.625000000247</v>
      </c>
      <c r="BL364" s="120">
        <f t="shared" si="454"/>
        <v>45315.645833333583</v>
      </c>
      <c r="BM364" s="120">
        <f t="shared" si="455"/>
        <v>45315.666666666919</v>
      </c>
      <c r="BN364" s="120">
        <f t="shared" si="456"/>
        <v>45317.375000000255</v>
      </c>
      <c r="BO364" s="120">
        <v>45318.229166608799</v>
      </c>
      <c r="BP364" s="120">
        <v>45318.395833275463</v>
      </c>
      <c r="BQ364" s="124" t="s">
        <v>64</v>
      </c>
      <c r="BR364" s="120">
        <f t="shared" si="469"/>
        <v>45319.395833275463</v>
      </c>
      <c r="BS364" s="120">
        <f t="shared" si="470"/>
        <v>45319.437499942127</v>
      </c>
      <c r="BT364" s="120">
        <f t="shared" si="471"/>
        <v>45319.687499942127</v>
      </c>
      <c r="BU364" s="120">
        <f t="shared" si="472"/>
        <v>45319.708333275463</v>
      </c>
      <c r="BV364" s="120">
        <f t="shared" si="473"/>
        <v>45319.729166608799</v>
      </c>
      <c r="BW364" s="120">
        <f t="shared" si="474"/>
        <v>45320.145833275463</v>
      </c>
      <c r="BX364" s="121"/>
      <c r="BY364" s="121"/>
      <c r="BZ364" s="136"/>
      <c r="CA364" s="136"/>
      <c r="CB364" s="136"/>
      <c r="CC364" s="136"/>
      <c r="CD364" s="135"/>
      <c r="CE364" s="135"/>
      <c r="CF364" s="134"/>
      <c r="CG364" s="134"/>
      <c r="CH364" s="133"/>
      <c r="CI364" s="121"/>
      <c r="CJ364" s="121"/>
    </row>
    <row r="365" spans="1:88" s="352" customFormat="1" ht="17.399999999999999">
      <c r="A365" s="343"/>
      <c r="B365" s="344"/>
      <c r="C365" s="344"/>
      <c r="D365" s="344"/>
      <c r="E365" s="344"/>
      <c r="F365" s="344"/>
      <c r="G365" s="350"/>
      <c r="H365" s="350"/>
      <c r="I365" s="344"/>
      <c r="J365" s="344"/>
      <c r="K365" s="344"/>
      <c r="L365" s="344"/>
      <c r="M365" s="347"/>
      <c r="N365" s="344"/>
      <c r="O365" s="344"/>
      <c r="P365" s="344"/>
      <c r="Q365" s="348"/>
      <c r="R365" s="348"/>
      <c r="S365" s="349">
        <f t="shared" ref="S365:BC365" si="475">SUM(S356:S364)</f>
        <v>67950</v>
      </c>
      <c r="T365" s="349">
        <f t="shared" si="475"/>
        <v>0</v>
      </c>
      <c r="U365" s="349">
        <f t="shared" si="475"/>
        <v>0</v>
      </c>
      <c r="V365" s="349">
        <f t="shared" si="475"/>
        <v>0</v>
      </c>
      <c r="W365" s="349">
        <f t="shared" si="475"/>
        <v>0</v>
      </c>
      <c r="X365" s="349">
        <f t="shared" si="475"/>
        <v>45300</v>
      </c>
      <c r="Y365" s="349">
        <f t="shared" si="475"/>
        <v>22650</v>
      </c>
      <c r="Z365" s="349">
        <f t="shared" si="475"/>
        <v>0</v>
      </c>
      <c r="AA365" s="349">
        <f t="shared" si="475"/>
        <v>0</v>
      </c>
      <c r="AB365" s="349">
        <f t="shared" si="475"/>
        <v>0</v>
      </c>
      <c r="AC365" s="349">
        <f t="shared" si="475"/>
        <v>0</v>
      </c>
      <c r="AD365" s="349">
        <f t="shared" si="475"/>
        <v>0</v>
      </c>
      <c r="AE365" s="349">
        <f t="shared" si="475"/>
        <v>0</v>
      </c>
      <c r="AF365" s="349">
        <f t="shared" si="475"/>
        <v>0</v>
      </c>
      <c r="AG365" s="349">
        <f t="shared" si="475"/>
        <v>0</v>
      </c>
      <c r="AH365" s="349">
        <f t="shared" si="475"/>
        <v>0</v>
      </c>
      <c r="AI365" s="349">
        <f t="shared" si="475"/>
        <v>0</v>
      </c>
      <c r="AJ365" s="349">
        <f t="shared" si="475"/>
        <v>0</v>
      </c>
      <c r="AK365" s="349">
        <f t="shared" si="475"/>
        <v>0</v>
      </c>
      <c r="AL365" s="349">
        <f t="shared" si="475"/>
        <v>0</v>
      </c>
      <c r="AM365" s="349">
        <f t="shared" si="475"/>
        <v>0</v>
      </c>
      <c r="AN365" s="349">
        <f t="shared" si="475"/>
        <v>0</v>
      </c>
      <c r="AO365" s="349">
        <f t="shared" si="475"/>
        <v>0</v>
      </c>
      <c r="AP365" s="349">
        <f t="shared" si="475"/>
        <v>0</v>
      </c>
      <c r="AQ365" s="349">
        <f t="shared" si="475"/>
        <v>0</v>
      </c>
      <c r="AR365" s="349">
        <f t="shared" si="475"/>
        <v>0</v>
      </c>
      <c r="AS365" s="349">
        <f t="shared" si="475"/>
        <v>0</v>
      </c>
      <c r="AT365" s="349">
        <f t="shared" si="475"/>
        <v>0</v>
      </c>
      <c r="AU365" s="349">
        <f t="shared" si="475"/>
        <v>0</v>
      </c>
      <c r="AV365" s="349">
        <f t="shared" si="475"/>
        <v>0</v>
      </c>
      <c r="AW365" s="349">
        <f t="shared" si="475"/>
        <v>0</v>
      </c>
      <c r="AX365" s="349">
        <f t="shared" si="475"/>
        <v>0</v>
      </c>
      <c r="AY365" s="349">
        <f t="shared" si="475"/>
        <v>0</v>
      </c>
      <c r="AZ365" s="349">
        <f t="shared" si="475"/>
        <v>0</v>
      </c>
      <c r="BA365" s="349">
        <f t="shared" si="475"/>
        <v>0</v>
      </c>
      <c r="BB365" s="349">
        <f t="shared" si="475"/>
        <v>0</v>
      </c>
      <c r="BC365" s="349">
        <f t="shared" si="475"/>
        <v>0</v>
      </c>
      <c r="BD365" s="345"/>
      <c r="BE365" s="345"/>
      <c r="BF365" s="345"/>
      <c r="BG365" s="345"/>
      <c r="BH365" s="350"/>
      <c r="BI365" s="350"/>
      <c r="BJ365" s="350"/>
      <c r="BK365" s="350"/>
      <c r="BL365" s="350"/>
      <c r="BM365" s="350"/>
      <c r="BN365" s="350"/>
      <c r="BO365" s="359"/>
      <c r="BP365" s="359"/>
      <c r="BQ365" s="351"/>
      <c r="BR365" s="350"/>
      <c r="BS365" s="350"/>
      <c r="BT365" s="350"/>
      <c r="BU365" s="350"/>
      <c r="BV365" s="350"/>
      <c r="BW365" s="350"/>
      <c r="BX365" s="345"/>
      <c r="BY365" s="345"/>
      <c r="BZ365" s="345"/>
      <c r="CA365" s="345"/>
      <c r="CB365" s="345"/>
      <c r="CC365" s="345"/>
      <c r="CD365" s="345"/>
      <c r="CE365" s="345"/>
      <c r="CF365" s="345"/>
      <c r="CG365" s="345"/>
      <c r="CH365" s="345"/>
      <c r="CI365" s="345"/>
    </row>
    <row r="366" spans="1:88" s="128" customFormat="1" ht="17.399999999999999">
      <c r="A366" s="238"/>
      <c r="B366" s="238"/>
      <c r="C366" s="238"/>
      <c r="D366" s="238"/>
      <c r="E366" s="238"/>
      <c r="F366" s="238"/>
      <c r="G366" s="239"/>
      <c r="H366" s="239"/>
      <c r="I366" s="238"/>
      <c r="J366" s="238"/>
      <c r="K366" s="238"/>
      <c r="L366" s="238"/>
      <c r="M366" s="240"/>
      <c r="N366" s="238"/>
      <c r="O366" s="238"/>
      <c r="P366" s="241"/>
      <c r="Q366" s="242"/>
      <c r="R366" s="242"/>
      <c r="S366" s="242"/>
      <c r="T366" s="242"/>
      <c r="U366" s="268">
        <f t="shared" ref="U366:AA366" si="476">U354-U365</f>
        <v>-107456</v>
      </c>
      <c r="V366" s="268">
        <f t="shared" si="476"/>
        <v>-103373</v>
      </c>
      <c r="W366" s="242">
        <f t="shared" si="476"/>
        <v>0</v>
      </c>
      <c r="X366" s="268">
        <f t="shared" si="476"/>
        <v>-167331</v>
      </c>
      <c r="Y366" s="268">
        <f t="shared" si="476"/>
        <v>-185865</v>
      </c>
      <c r="Z366" s="268">
        <f t="shared" si="476"/>
        <v>-40426</v>
      </c>
      <c r="AA366" s="242">
        <f t="shared" si="476"/>
        <v>4773</v>
      </c>
      <c r="AB366" s="249">
        <f t="shared" ref="AB366:AX366" si="477">AB365</f>
        <v>0</v>
      </c>
      <c r="AC366" s="249">
        <f t="shared" si="477"/>
        <v>0</v>
      </c>
      <c r="AD366" s="249">
        <f t="shared" si="477"/>
        <v>0</v>
      </c>
      <c r="AE366" s="249">
        <f t="shared" si="477"/>
        <v>0</v>
      </c>
      <c r="AF366" s="249">
        <f t="shared" si="477"/>
        <v>0</v>
      </c>
      <c r="AG366" s="249">
        <f t="shared" si="477"/>
        <v>0</v>
      </c>
      <c r="AH366" s="249">
        <f t="shared" si="477"/>
        <v>0</v>
      </c>
      <c r="AI366" s="249">
        <f t="shared" si="477"/>
        <v>0</v>
      </c>
      <c r="AJ366" s="249">
        <f t="shared" si="477"/>
        <v>0</v>
      </c>
      <c r="AK366" s="249">
        <f t="shared" si="477"/>
        <v>0</v>
      </c>
      <c r="AL366" s="249">
        <f t="shared" si="477"/>
        <v>0</v>
      </c>
      <c r="AM366" s="249">
        <f t="shared" si="477"/>
        <v>0</v>
      </c>
      <c r="AN366" s="249">
        <f t="shared" si="477"/>
        <v>0</v>
      </c>
      <c r="AO366" s="249">
        <f t="shared" si="477"/>
        <v>0</v>
      </c>
      <c r="AP366" s="249">
        <f t="shared" si="477"/>
        <v>0</v>
      </c>
      <c r="AQ366" s="249">
        <f t="shared" si="477"/>
        <v>0</v>
      </c>
      <c r="AR366" s="249">
        <f t="shared" si="477"/>
        <v>0</v>
      </c>
      <c r="AS366" s="249">
        <f t="shared" si="477"/>
        <v>0</v>
      </c>
      <c r="AT366" s="249">
        <f t="shared" si="477"/>
        <v>0</v>
      </c>
      <c r="AU366" s="249">
        <f t="shared" si="477"/>
        <v>0</v>
      </c>
      <c r="AV366" s="249">
        <f t="shared" si="477"/>
        <v>0</v>
      </c>
      <c r="AW366" s="249">
        <f t="shared" ref="AW366" si="478">AW365</f>
        <v>0</v>
      </c>
      <c r="AX366" s="249">
        <f t="shared" si="477"/>
        <v>0</v>
      </c>
      <c r="AY366" s="249">
        <f t="shared" ref="AY366:BC366" si="479">AY365</f>
        <v>0</v>
      </c>
      <c r="AZ366" s="249">
        <f t="shared" si="479"/>
        <v>0</v>
      </c>
      <c r="BA366" s="249">
        <f t="shared" si="479"/>
        <v>0</v>
      </c>
      <c r="BB366" s="249">
        <f t="shared" si="479"/>
        <v>0</v>
      </c>
      <c r="BC366" s="249">
        <f t="shared" si="479"/>
        <v>0</v>
      </c>
      <c r="BD366" s="238"/>
      <c r="BE366" s="238"/>
      <c r="BF366" s="238"/>
      <c r="BG366" s="243"/>
      <c r="BH366" s="243"/>
      <c r="BI366" s="239"/>
      <c r="BJ366" s="239"/>
      <c r="BK366" s="239"/>
      <c r="BL366" s="239"/>
      <c r="BM366" s="239"/>
      <c r="BN366" s="239"/>
      <c r="BO366" s="359"/>
      <c r="BP366" s="359"/>
      <c r="BQ366" s="238"/>
      <c r="BR366" s="238"/>
      <c r="BS366" s="238"/>
      <c r="BT366" s="238"/>
      <c r="BU366" s="238"/>
      <c r="BV366" s="238"/>
      <c r="BW366" s="238"/>
      <c r="BX366" s="238"/>
      <c r="BY366" s="238"/>
      <c r="BZ366" s="238"/>
      <c r="CA366" s="238"/>
      <c r="CB366" s="238"/>
      <c r="CC366" s="238"/>
      <c r="CD366" s="238"/>
      <c r="CE366" s="238"/>
      <c r="CF366" s="238"/>
      <c r="CG366" s="238"/>
      <c r="CH366" s="238"/>
      <c r="CI366" s="238"/>
      <c r="CJ366" s="244"/>
    </row>
    <row r="367" spans="1:88" s="121" customFormat="1" hidden="1" outlineLevel="1">
      <c r="A367" s="119"/>
      <c r="B367" s="119"/>
      <c r="C367" s="115"/>
      <c r="D367" s="115"/>
      <c r="E367" s="115"/>
      <c r="F367" s="115"/>
      <c r="G367" s="252"/>
      <c r="H367" s="252"/>
      <c r="I367" s="117"/>
      <c r="J367" s="115"/>
      <c r="K367" s="115"/>
      <c r="L367" s="115"/>
      <c r="M367" s="118"/>
      <c r="N367" s="115"/>
      <c r="O367" s="115"/>
      <c r="P367" s="115"/>
      <c r="Q367" s="117"/>
      <c r="R367" s="117"/>
      <c r="S367" s="117"/>
      <c r="T367" s="117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5"/>
      <c r="AR367" s="115"/>
      <c r="AS367" s="115"/>
      <c r="AT367" s="115"/>
      <c r="AU367" s="115"/>
      <c r="AV367" s="115"/>
      <c r="AW367" s="115"/>
      <c r="AX367" s="115"/>
      <c r="AY367" s="115"/>
      <c r="AZ367" s="115"/>
      <c r="BA367" s="115"/>
      <c r="BB367" s="115"/>
      <c r="BC367" s="115"/>
      <c r="BD367" s="251"/>
      <c r="BE367" s="251"/>
      <c r="BF367" s="251"/>
      <c r="BG367" s="120"/>
      <c r="BH367" s="251"/>
      <c r="BI367" s="251"/>
      <c r="BJ367" s="251"/>
      <c r="BK367" s="251"/>
      <c r="BL367" s="251"/>
      <c r="BM367" s="251"/>
      <c r="BN367" s="251"/>
      <c r="BO367" s="359"/>
      <c r="BP367" s="359"/>
      <c r="BQ367" s="251"/>
      <c r="BR367" s="251"/>
      <c r="BS367" s="251"/>
      <c r="BT367" s="251"/>
      <c r="BU367" s="115"/>
      <c r="BV367" s="115"/>
      <c r="BW367" s="115"/>
      <c r="BX367" s="116"/>
      <c r="BY367" s="116"/>
      <c r="BZ367" s="251"/>
      <c r="CA367" s="251"/>
      <c r="CB367" s="251"/>
      <c r="CC367" s="251"/>
      <c r="CD367" s="251"/>
      <c r="CE367" s="251"/>
      <c r="CF367" s="251"/>
      <c r="CG367" s="251"/>
      <c r="CH367" s="115"/>
      <c r="CI367" s="115"/>
    </row>
    <row r="368" spans="1:88" s="121" customFormat="1" hidden="1" outlineLevel="1">
      <c r="A368" s="119"/>
      <c r="B368" s="119"/>
      <c r="C368" s="115"/>
      <c r="D368" s="115"/>
      <c r="E368" s="115"/>
      <c r="F368" s="115"/>
      <c r="G368" s="252"/>
      <c r="H368" s="252"/>
      <c r="I368" s="117"/>
      <c r="J368" s="115"/>
      <c r="K368" s="115"/>
      <c r="L368" s="115"/>
      <c r="M368" s="118"/>
      <c r="N368" s="115"/>
      <c r="O368" s="115"/>
      <c r="P368" s="115"/>
      <c r="Q368" s="117"/>
      <c r="R368" s="117"/>
      <c r="S368" s="117"/>
      <c r="T368" s="117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15"/>
      <c r="AR368" s="115"/>
      <c r="AS368" s="115"/>
      <c r="AT368" s="115"/>
      <c r="AU368" s="115"/>
      <c r="AV368" s="115"/>
      <c r="AW368" s="115"/>
      <c r="AX368" s="115"/>
      <c r="AY368" s="115"/>
      <c r="AZ368" s="115"/>
      <c r="BA368" s="115"/>
      <c r="BB368" s="115"/>
      <c r="BC368" s="115"/>
      <c r="BD368" s="251"/>
      <c r="BE368" s="251"/>
      <c r="BF368" s="251"/>
      <c r="BG368" s="251"/>
      <c r="BH368" s="251"/>
      <c r="BI368" s="251"/>
      <c r="BJ368" s="251"/>
      <c r="BK368" s="251"/>
      <c r="BL368" s="251"/>
      <c r="BM368" s="251"/>
      <c r="BN368" s="251"/>
      <c r="BO368" s="359"/>
      <c r="BP368" s="359"/>
      <c r="BQ368" s="251"/>
      <c r="BR368" s="251"/>
      <c r="BS368" s="251"/>
      <c r="BT368" s="251"/>
      <c r="BU368" s="115"/>
      <c r="BV368" s="115"/>
      <c r="BW368" s="115"/>
      <c r="BX368" s="116"/>
      <c r="BY368" s="116"/>
      <c r="BZ368" s="251"/>
      <c r="CA368" s="251"/>
      <c r="CB368" s="251"/>
      <c r="CC368" s="251"/>
      <c r="CD368" s="251"/>
      <c r="CE368" s="251"/>
      <c r="CF368" s="251"/>
      <c r="CG368" s="251"/>
      <c r="CH368" s="115"/>
      <c r="CI368" s="115"/>
      <c r="CJ368" s="128"/>
    </row>
    <row r="369" spans="1:88" s="121" customFormat="1" hidden="1" outlineLevel="1">
      <c r="A369" s="119"/>
      <c r="B369" s="119"/>
      <c r="C369" s="115"/>
      <c r="D369" s="115"/>
      <c r="E369" s="115"/>
      <c r="F369" s="115"/>
      <c r="G369" s="252"/>
      <c r="H369" s="252"/>
      <c r="I369" s="117"/>
      <c r="J369" s="115"/>
      <c r="K369" s="115"/>
      <c r="L369" s="115"/>
      <c r="M369" s="118"/>
      <c r="N369" s="115"/>
      <c r="O369" s="115"/>
      <c r="P369" s="115"/>
      <c r="Q369" s="117"/>
      <c r="R369" s="117"/>
      <c r="S369" s="117"/>
      <c r="T369" s="117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115"/>
      <c r="BC369" s="115"/>
      <c r="BD369" s="251"/>
      <c r="BE369" s="251"/>
      <c r="BF369" s="251"/>
      <c r="BG369" s="251"/>
      <c r="BH369" s="251"/>
      <c r="BI369" s="251"/>
      <c r="BJ369" s="251"/>
      <c r="BK369" s="251"/>
      <c r="BL369" s="251"/>
      <c r="BM369" s="251"/>
      <c r="BN369" s="251"/>
      <c r="BO369" s="251"/>
      <c r="BP369" s="252"/>
      <c r="BQ369" s="251"/>
      <c r="BR369" s="251"/>
      <c r="BS369" s="251"/>
      <c r="BT369" s="251"/>
      <c r="BU369" s="115"/>
      <c r="BV369" s="115"/>
      <c r="BW369" s="115"/>
      <c r="BX369" s="116"/>
      <c r="BY369" s="116"/>
      <c r="BZ369" s="251"/>
      <c r="CA369" s="251"/>
      <c r="CB369" s="251"/>
      <c r="CC369" s="251"/>
      <c r="CD369" s="251"/>
      <c r="CE369" s="251"/>
      <c r="CF369" s="251"/>
      <c r="CG369" s="251"/>
      <c r="CH369" s="115"/>
      <c r="CI369" s="115"/>
    </row>
    <row r="370" spans="1:88" s="121" customFormat="1" hidden="1" outlineLevel="1">
      <c r="A370" s="119"/>
      <c r="B370" s="119"/>
      <c r="C370" s="115"/>
      <c r="D370" s="115"/>
      <c r="E370" s="115"/>
      <c r="F370" s="115"/>
      <c r="G370" s="252"/>
      <c r="H370" s="252"/>
      <c r="I370" s="117"/>
      <c r="J370" s="115"/>
      <c r="K370" s="115"/>
      <c r="L370" s="115"/>
      <c r="M370" s="118"/>
      <c r="N370" s="115"/>
      <c r="O370" s="115"/>
      <c r="P370" s="115"/>
      <c r="Q370" s="117"/>
      <c r="R370" s="117"/>
      <c r="S370" s="117"/>
      <c r="T370" s="117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15"/>
      <c r="AR370" s="115"/>
      <c r="AS370" s="115"/>
      <c r="AT370" s="115"/>
      <c r="AU370" s="115"/>
      <c r="AV370" s="115"/>
      <c r="AW370" s="115"/>
      <c r="AX370" s="115"/>
      <c r="AY370" s="115"/>
      <c r="AZ370" s="115"/>
      <c r="BA370" s="115"/>
      <c r="BB370" s="115"/>
      <c r="BC370" s="115"/>
      <c r="BD370" s="251"/>
      <c r="BE370" s="251"/>
      <c r="BF370" s="251"/>
      <c r="BG370" s="251"/>
      <c r="BH370" s="251"/>
      <c r="BI370" s="251"/>
      <c r="BJ370" s="251"/>
      <c r="BK370" s="251"/>
      <c r="BL370" s="251"/>
      <c r="BM370" s="251"/>
      <c r="BN370" s="251"/>
      <c r="BO370" s="251"/>
      <c r="BP370" s="252"/>
      <c r="BQ370" s="251"/>
      <c r="BR370" s="251"/>
      <c r="BS370" s="251"/>
      <c r="BT370" s="251"/>
      <c r="BU370" s="115"/>
      <c r="BV370" s="115"/>
      <c r="BW370" s="115"/>
      <c r="BX370" s="116"/>
      <c r="BY370" s="116"/>
      <c r="BZ370" s="251"/>
      <c r="CA370" s="251"/>
      <c r="CB370" s="251"/>
      <c r="CC370" s="251"/>
      <c r="CD370" s="251"/>
      <c r="CE370" s="251"/>
      <c r="CF370" s="251"/>
      <c r="CG370" s="251"/>
      <c r="CH370" s="115"/>
      <c r="CI370" s="115"/>
    </row>
    <row r="371" spans="1:88" s="121" customFormat="1" hidden="1" outlineLevel="1">
      <c r="A371" s="119"/>
      <c r="B371" s="119"/>
      <c r="C371" s="115"/>
      <c r="D371" s="115"/>
      <c r="E371" s="115"/>
      <c r="F371" s="115"/>
      <c r="G371" s="252"/>
      <c r="H371" s="252"/>
      <c r="I371" s="117"/>
      <c r="J371" s="115"/>
      <c r="K371" s="115"/>
      <c r="L371" s="115"/>
      <c r="M371" s="118"/>
      <c r="N371" s="115"/>
      <c r="O371" s="115"/>
      <c r="P371" s="115"/>
      <c r="Q371" s="117"/>
      <c r="R371" s="117"/>
      <c r="S371" s="117"/>
      <c r="T371" s="117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15"/>
      <c r="AR371" s="115"/>
      <c r="AS371" s="115"/>
      <c r="AT371" s="115"/>
      <c r="AU371" s="115"/>
      <c r="AV371" s="115"/>
      <c r="AW371" s="115"/>
      <c r="AX371" s="115"/>
      <c r="AY371" s="115"/>
      <c r="AZ371" s="115"/>
      <c r="BA371" s="115"/>
      <c r="BB371" s="115"/>
      <c r="BC371" s="115"/>
      <c r="BD371" s="251"/>
      <c r="BE371" s="251"/>
      <c r="BF371" s="251"/>
      <c r="BG371" s="251"/>
      <c r="BH371" s="251"/>
      <c r="BI371" s="251"/>
      <c r="BJ371" s="251"/>
      <c r="BK371" s="251"/>
      <c r="BL371" s="251"/>
      <c r="BM371" s="251"/>
      <c r="BN371" s="251"/>
      <c r="BO371" s="251"/>
      <c r="BP371" s="252"/>
      <c r="BQ371" s="251"/>
      <c r="BR371" s="251"/>
      <c r="BS371" s="251"/>
      <c r="BT371" s="251"/>
      <c r="BU371" s="115"/>
      <c r="BV371" s="115"/>
      <c r="BW371" s="115"/>
      <c r="BX371" s="116"/>
      <c r="BY371" s="116"/>
      <c r="BZ371" s="251"/>
      <c r="CA371" s="251"/>
      <c r="CB371" s="251"/>
      <c r="CC371" s="251"/>
      <c r="CD371" s="251"/>
      <c r="CE371" s="251"/>
      <c r="CF371" s="251"/>
      <c r="CG371" s="251"/>
      <c r="CH371" s="115"/>
      <c r="CI371" s="115"/>
    </row>
    <row r="372" spans="1:88" s="121" customFormat="1" hidden="1" outlineLevel="1">
      <c r="A372" s="125"/>
      <c r="C372" s="121" t="s">
        <v>229</v>
      </c>
      <c r="G372" s="124"/>
      <c r="H372" s="124"/>
      <c r="I372" s="122"/>
      <c r="J372" s="121" t="s">
        <v>4109</v>
      </c>
      <c r="M372" s="123"/>
      <c r="Q372" s="122"/>
      <c r="R372" s="122"/>
      <c r="S372" s="122"/>
      <c r="T372" s="122"/>
      <c r="BD372" s="120"/>
      <c r="BE372" s="120"/>
      <c r="BF372" s="120"/>
      <c r="BG372" s="120"/>
      <c r="BH372" s="120"/>
      <c r="BI372" s="120">
        <f t="shared" ref="BI372:BI377" si="480">BH372+(41/24)</f>
        <v>1.7083333333333333</v>
      </c>
      <c r="BJ372" s="120">
        <f t="shared" ref="BJ372:BJ395" si="481">BI372+(1/24)</f>
        <v>1.75</v>
      </c>
      <c r="BK372" s="120">
        <f t="shared" ref="BK372:BK377" si="482">BJ372+(4/24)</f>
        <v>1.9166666666666667</v>
      </c>
      <c r="BL372" s="120">
        <f t="shared" ref="BL372:BM395" si="483">BK372+(0.5/24)</f>
        <v>1.9375</v>
      </c>
      <c r="BM372" s="120">
        <f t="shared" si="483"/>
        <v>1.9583333333333333</v>
      </c>
      <c r="BN372" s="120">
        <f t="shared" ref="BN372:BN377" si="484">BM372+(41/24)</f>
        <v>3.6666666666666665</v>
      </c>
      <c r="BO372" s="120"/>
      <c r="BP372" s="120"/>
      <c r="BQ372" s="124" t="s">
        <v>64</v>
      </c>
      <c r="BR372" s="120">
        <f>BP372+(24/24)</f>
        <v>1</v>
      </c>
      <c r="BS372" s="120">
        <f t="shared" ref="BS372:BS395" si="485">BR372+(1/24)</f>
        <v>1.0416666666666667</v>
      </c>
      <c r="BT372" s="120">
        <f t="shared" ref="BT372:BT382" si="486">BS372+(6/24)</f>
        <v>1.2916666666666667</v>
      </c>
      <c r="BU372" s="120">
        <f t="shared" ref="BU372:BV392" si="487">BT372+(0.5/24)</f>
        <v>1.3125</v>
      </c>
      <c r="BV372" s="120">
        <f t="shared" si="487"/>
        <v>1.3333333333333333</v>
      </c>
      <c r="BW372" s="120">
        <f>BV372+(10/24)</f>
        <v>1.75</v>
      </c>
      <c r="BX372" s="116"/>
      <c r="BY372" s="116"/>
      <c r="BZ372" s="120"/>
      <c r="CA372" s="120"/>
      <c r="CB372" s="120"/>
      <c r="CC372" s="120"/>
      <c r="CD372" s="120"/>
      <c r="CE372" s="120"/>
      <c r="CF372" s="120"/>
      <c r="CG372" s="120"/>
      <c r="CI372" s="128"/>
    </row>
    <row r="373" spans="1:88" s="121" customFormat="1" hidden="1" outlineLevel="1">
      <c r="A373" s="125"/>
      <c r="C373" s="121" t="s">
        <v>229</v>
      </c>
      <c r="G373" s="124"/>
      <c r="H373" s="124"/>
      <c r="I373" s="122"/>
      <c r="J373" s="121" t="s">
        <v>4109</v>
      </c>
      <c r="M373" s="123"/>
      <c r="Q373" s="122"/>
      <c r="R373" s="122"/>
      <c r="S373" s="122"/>
      <c r="T373" s="122"/>
      <c r="BD373" s="120"/>
      <c r="BE373" s="120"/>
      <c r="BF373" s="120"/>
      <c r="BG373" s="120"/>
      <c r="BH373" s="120"/>
      <c r="BI373" s="120">
        <f t="shared" si="480"/>
        <v>1.7083333333333333</v>
      </c>
      <c r="BJ373" s="120">
        <f t="shared" si="481"/>
        <v>1.75</v>
      </c>
      <c r="BK373" s="120">
        <f t="shared" si="482"/>
        <v>1.9166666666666667</v>
      </c>
      <c r="BL373" s="120">
        <f t="shared" si="483"/>
        <v>1.9375</v>
      </c>
      <c r="BM373" s="120">
        <f t="shared" si="483"/>
        <v>1.9583333333333333</v>
      </c>
      <c r="BN373" s="120">
        <f t="shared" si="484"/>
        <v>3.6666666666666665</v>
      </c>
      <c r="BO373" s="120"/>
      <c r="BP373" s="120"/>
      <c r="BQ373" s="124" t="s">
        <v>64</v>
      </c>
      <c r="BR373" s="120">
        <f>BP373+(30/24)</f>
        <v>1.25</v>
      </c>
      <c r="BS373" s="120">
        <f t="shared" si="485"/>
        <v>1.2916666666666667</v>
      </c>
      <c r="BT373" s="120">
        <f t="shared" si="486"/>
        <v>1.5416666666666667</v>
      </c>
      <c r="BU373" s="120">
        <f t="shared" si="487"/>
        <v>1.5625</v>
      </c>
      <c r="BV373" s="120">
        <f t="shared" si="487"/>
        <v>1.5833333333333333</v>
      </c>
      <c r="BW373" s="120">
        <f>BV373+(17/24)</f>
        <v>2.2916666666666665</v>
      </c>
      <c r="BX373" s="116"/>
      <c r="BY373" s="116"/>
      <c r="BZ373" s="120"/>
      <c r="CA373" s="120"/>
      <c r="CB373" s="120"/>
      <c r="CC373" s="120"/>
      <c r="CD373" s="120"/>
      <c r="CE373" s="120"/>
      <c r="CF373" s="120"/>
      <c r="CG373" s="120"/>
      <c r="CJ373" s="115"/>
    </row>
    <row r="374" spans="1:88" s="121" customFormat="1" hidden="1" outlineLevel="1">
      <c r="A374" s="125"/>
      <c r="C374" s="121" t="s">
        <v>229</v>
      </c>
      <c r="G374" s="124"/>
      <c r="H374" s="124"/>
      <c r="I374" s="122"/>
      <c r="J374" s="121" t="s">
        <v>4109</v>
      </c>
      <c r="M374" s="123"/>
      <c r="Q374" s="122"/>
      <c r="R374" s="122"/>
      <c r="S374" s="122"/>
      <c r="T374" s="122"/>
      <c r="BD374" s="120"/>
      <c r="BE374" s="120"/>
      <c r="BF374" s="120"/>
      <c r="BG374" s="120"/>
      <c r="BH374" s="120"/>
      <c r="BI374" s="120">
        <f t="shared" si="480"/>
        <v>1.7083333333333333</v>
      </c>
      <c r="BJ374" s="120">
        <f t="shared" si="481"/>
        <v>1.75</v>
      </c>
      <c r="BK374" s="120">
        <f t="shared" si="482"/>
        <v>1.9166666666666667</v>
      </c>
      <c r="BL374" s="120">
        <f t="shared" si="483"/>
        <v>1.9375</v>
      </c>
      <c r="BM374" s="120">
        <f t="shared" si="483"/>
        <v>1.9583333333333333</v>
      </c>
      <c r="BN374" s="120">
        <f t="shared" si="484"/>
        <v>3.6666666666666665</v>
      </c>
      <c r="BO374" s="120"/>
      <c r="BP374" s="120"/>
      <c r="BQ374" s="124" t="s">
        <v>64</v>
      </c>
      <c r="BR374" s="120">
        <f>BP374+(96/24)</f>
        <v>4</v>
      </c>
      <c r="BS374" s="120">
        <f t="shared" si="485"/>
        <v>4.041666666666667</v>
      </c>
      <c r="BT374" s="120">
        <f t="shared" si="486"/>
        <v>4.291666666666667</v>
      </c>
      <c r="BU374" s="120">
        <f t="shared" si="487"/>
        <v>4.3125</v>
      </c>
      <c r="BV374" s="120">
        <f t="shared" si="487"/>
        <v>4.333333333333333</v>
      </c>
      <c r="BW374" s="120">
        <f>BV374+(96/24)</f>
        <v>8.3333333333333321</v>
      </c>
      <c r="BX374" s="116"/>
      <c r="BY374" s="116"/>
      <c r="BZ374" s="120"/>
      <c r="CA374" s="120"/>
      <c r="CB374" s="120"/>
      <c r="CC374" s="120"/>
      <c r="CD374" s="120"/>
      <c r="CE374" s="120"/>
      <c r="CF374" s="120"/>
      <c r="CG374" s="120"/>
      <c r="CJ374" s="115"/>
    </row>
    <row r="375" spans="1:88" s="121" customFormat="1" hidden="1" outlineLevel="1">
      <c r="A375" s="125"/>
      <c r="C375" s="121" t="s">
        <v>229</v>
      </c>
      <c r="G375" s="124"/>
      <c r="H375" s="124"/>
      <c r="I375" s="122"/>
      <c r="J375" s="121" t="s">
        <v>4109</v>
      </c>
      <c r="M375" s="123"/>
      <c r="Q375" s="122"/>
      <c r="R375" s="122"/>
      <c r="S375" s="122"/>
      <c r="T375" s="122"/>
      <c r="BD375" s="120"/>
      <c r="BE375" s="120"/>
      <c r="BF375" s="120"/>
      <c r="BG375" s="120"/>
      <c r="BH375" s="120"/>
      <c r="BI375" s="120">
        <f t="shared" si="480"/>
        <v>1.7083333333333333</v>
      </c>
      <c r="BJ375" s="120">
        <f t="shared" si="481"/>
        <v>1.75</v>
      </c>
      <c r="BK375" s="120">
        <f t="shared" si="482"/>
        <v>1.9166666666666667</v>
      </c>
      <c r="BL375" s="120">
        <f t="shared" si="483"/>
        <v>1.9375</v>
      </c>
      <c r="BM375" s="120">
        <f t="shared" si="483"/>
        <v>1.9583333333333333</v>
      </c>
      <c r="BN375" s="120">
        <f t="shared" si="484"/>
        <v>3.6666666666666665</v>
      </c>
      <c r="BO375" s="120"/>
      <c r="BP375" s="120"/>
      <c r="BQ375" s="124" t="s">
        <v>64</v>
      </c>
      <c r="BR375" s="120">
        <f>BP375+(24/24)</f>
        <v>1</v>
      </c>
      <c r="BS375" s="120">
        <f t="shared" si="485"/>
        <v>1.0416666666666667</v>
      </c>
      <c r="BT375" s="120">
        <f t="shared" si="486"/>
        <v>1.2916666666666667</v>
      </c>
      <c r="BU375" s="120">
        <f t="shared" si="487"/>
        <v>1.3125</v>
      </c>
      <c r="BV375" s="120">
        <f t="shared" si="487"/>
        <v>1.3333333333333333</v>
      </c>
      <c r="BW375" s="120">
        <f>BV375+(10/24)</f>
        <v>1.75</v>
      </c>
      <c r="BX375" s="116"/>
      <c r="BY375" s="116"/>
      <c r="BZ375" s="120"/>
      <c r="CA375" s="120"/>
      <c r="CB375" s="120"/>
      <c r="CC375" s="120"/>
      <c r="CD375" s="120"/>
      <c r="CE375" s="120"/>
      <c r="CF375" s="120"/>
      <c r="CG375" s="120"/>
      <c r="CI375" s="220"/>
    </row>
    <row r="376" spans="1:88" hidden="1" outlineLevel="1">
      <c r="A376" s="125"/>
      <c r="B376" s="121"/>
      <c r="C376" s="121" t="s">
        <v>229</v>
      </c>
      <c r="D376" s="121"/>
      <c r="E376" s="121"/>
      <c r="F376" s="121"/>
      <c r="G376" s="124"/>
      <c r="H376" s="124"/>
      <c r="I376" s="122"/>
      <c r="J376" s="121" t="s">
        <v>4109</v>
      </c>
      <c r="K376" s="121"/>
      <c r="L376" s="121"/>
      <c r="M376" s="123"/>
      <c r="N376" s="121"/>
      <c r="O376" s="121"/>
      <c r="P376" s="121"/>
      <c r="Q376" s="122"/>
      <c r="R376" s="122"/>
      <c r="S376" s="122"/>
      <c r="T376" s="122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  <c r="AL376" s="121"/>
      <c r="AM376" s="121"/>
      <c r="AN376" s="121"/>
      <c r="AO376" s="121"/>
      <c r="AP376" s="121"/>
      <c r="AQ376" s="121"/>
      <c r="AR376" s="121"/>
      <c r="AS376" s="121"/>
      <c r="AT376" s="121"/>
      <c r="AU376" s="121"/>
      <c r="AV376" s="121"/>
      <c r="AW376" s="121"/>
      <c r="AX376" s="121"/>
      <c r="AY376" s="121"/>
      <c r="AZ376" s="121"/>
      <c r="BA376" s="121"/>
      <c r="BB376" s="121"/>
      <c r="BC376" s="121"/>
      <c r="BD376" s="120"/>
      <c r="BE376" s="120"/>
      <c r="BF376" s="120"/>
      <c r="BG376" s="120"/>
      <c r="BH376" s="120"/>
      <c r="BI376" s="120">
        <f t="shared" si="480"/>
        <v>1.7083333333333333</v>
      </c>
      <c r="BJ376" s="120">
        <f t="shared" si="481"/>
        <v>1.75</v>
      </c>
      <c r="BK376" s="120">
        <f t="shared" si="482"/>
        <v>1.9166666666666667</v>
      </c>
      <c r="BL376" s="120">
        <f t="shared" si="483"/>
        <v>1.9375</v>
      </c>
      <c r="BM376" s="120">
        <f t="shared" si="483"/>
        <v>1.9583333333333333</v>
      </c>
      <c r="BN376" s="120">
        <f t="shared" si="484"/>
        <v>3.6666666666666665</v>
      </c>
      <c r="BO376" s="120"/>
      <c r="BP376" s="120"/>
      <c r="BQ376" s="124" t="s">
        <v>64</v>
      </c>
      <c r="BR376" s="120">
        <f>BP376+(30/24)</f>
        <v>1.25</v>
      </c>
      <c r="BS376" s="120">
        <f t="shared" si="485"/>
        <v>1.2916666666666667</v>
      </c>
      <c r="BT376" s="120">
        <f t="shared" si="486"/>
        <v>1.5416666666666667</v>
      </c>
      <c r="BU376" s="120">
        <f t="shared" si="487"/>
        <v>1.5625</v>
      </c>
      <c r="BV376" s="120">
        <f t="shared" si="487"/>
        <v>1.5833333333333333</v>
      </c>
      <c r="BW376" s="120">
        <f>BV376+(17/24)</f>
        <v>2.2916666666666665</v>
      </c>
      <c r="BZ376" s="120"/>
      <c r="CA376" s="120"/>
      <c r="CB376" s="120"/>
      <c r="CC376" s="120"/>
      <c r="CD376" s="120"/>
      <c r="CE376" s="120"/>
      <c r="CF376" s="120"/>
      <c r="CG376" s="120"/>
      <c r="CH376" s="121"/>
      <c r="CI376" s="121"/>
      <c r="CJ376" s="128"/>
    </row>
    <row r="377" spans="1:88" s="128" customFormat="1" hidden="1" outlineLevel="1">
      <c r="A377" s="125"/>
      <c r="B377" s="121"/>
      <c r="C377" s="121" t="s">
        <v>229</v>
      </c>
      <c r="D377" s="121"/>
      <c r="E377" s="121"/>
      <c r="F377" s="121"/>
      <c r="G377" s="124"/>
      <c r="H377" s="124"/>
      <c r="I377" s="122"/>
      <c r="J377" s="121" t="s">
        <v>4109</v>
      </c>
      <c r="K377" s="121"/>
      <c r="L377" s="121"/>
      <c r="M377" s="123"/>
      <c r="N377" s="121"/>
      <c r="O377" s="121"/>
      <c r="P377" s="121"/>
      <c r="Q377" s="122"/>
      <c r="R377" s="122"/>
      <c r="S377" s="122"/>
      <c r="T377" s="122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  <c r="AL377" s="121"/>
      <c r="AM377" s="121"/>
      <c r="AN377" s="121"/>
      <c r="AO377" s="121"/>
      <c r="AP377" s="121"/>
      <c r="AQ377" s="121"/>
      <c r="AR377" s="121"/>
      <c r="AS377" s="121"/>
      <c r="AT377" s="121"/>
      <c r="AU377" s="121"/>
      <c r="AV377" s="121"/>
      <c r="AW377" s="121"/>
      <c r="AX377" s="121"/>
      <c r="AY377" s="121"/>
      <c r="AZ377" s="121"/>
      <c r="BA377" s="121"/>
      <c r="BB377" s="121"/>
      <c r="BC377" s="121"/>
      <c r="BD377" s="120"/>
      <c r="BE377" s="120"/>
      <c r="BF377" s="120"/>
      <c r="BG377" s="120"/>
      <c r="BH377" s="120"/>
      <c r="BI377" s="120">
        <f t="shared" si="480"/>
        <v>1.7083333333333333</v>
      </c>
      <c r="BJ377" s="120">
        <f t="shared" si="481"/>
        <v>1.75</v>
      </c>
      <c r="BK377" s="120">
        <f t="shared" si="482"/>
        <v>1.9166666666666667</v>
      </c>
      <c r="BL377" s="120">
        <f t="shared" si="483"/>
        <v>1.9375</v>
      </c>
      <c r="BM377" s="120">
        <f t="shared" si="483"/>
        <v>1.9583333333333333</v>
      </c>
      <c r="BN377" s="120">
        <f t="shared" si="484"/>
        <v>3.6666666666666665</v>
      </c>
      <c r="BO377" s="120"/>
      <c r="BP377" s="120"/>
      <c r="BQ377" s="124" t="s">
        <v>64</v>
      </c>
      <c r="BR377" s="120">
        <f>BP377+(96/24)</f>
        <v>4</v>
      </c>
      <c r="BS377" s="120">
        <f t="shared" si="485"/>
        <v>4.041666666666667</v>
      </c>
      <c r="BT377" s="120">
        <f t="shared" si="486"/>
        <v>4.291666666666667</v>
      </c>
      <c r="BU377" s="120">
        <f t="shared" si="487"/>
        <v>4.3125</v>
      </c>
      <c r="BV377" s="120">
        <f t="shared" si="487"/>
        <v>4.333333333333333</v>
      </c>
      <c r="BW377" s="120">
        <f>BV377+(96/24)</f>
        <v>8.3333333333333321</v>
      </c>
      <c r="BX377" s="116"/>
      <c r="BY377" s="116"/>
      <c r="BZ377" s="120"/>
      <c r="CA377" s="120"/>
      <c r="CB377" s="120"/>
      <c r="CC377" s="120"/>
      <c r="CD377" s="120"/>
      <c r="CE377" s="120"/>
      <c r="CF377" s="120"/>
      <c r="CG377" s="120"/>
      <c r="CH377" s="121"/>
      <c r="CJ377" s="121"/>
    </row>
    <row r="378" spans="1:88" hidden="1" outlineLevel="1">
      <c r="A378" s="125"/>
      <c r="B378" s="121"/>
      <c r="C378" s="121" t="s">
        <v>77</v>
      </c>
      <c r="D378" s="121"/>
      <c r="E378" s="121"/>
      <c r="F378" s="121"/>
      <c r="G378" s="124"/>
      <c r="H378" s="124"/>
      <c r="I378" s="122"/>
      <c r="J378" s="121" t="s">
        <v>4109</v>
      </c>
      <c r="K378" s="121"/>
      <c r="L378" s="121"/>
      <c r="M378" s="123"/>
      <c r="N378" s="121"/>
      <c r="O378" s="121"/>
      <c r="P378" s="121" t="s">
        <v>139</v>
      </c>
      <c r="Q378" s="122"/>
      <c r="R378" s="122"/>
      <c r="S378" s="122"/>
      <c r="T378" s="122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  <c r="AL378" s="121"/>
      <c r="AM378" s="121"/>
      <c r="AN378" s="121"/>
      <c r="AO378" s="121"/>
      <c r="AP378" s="121"/>
      <c r="AQ378" s="121"/>
      <c r="AR378" s="121"/>
      <c r="AS378" s="121"/>
      <c r="AT378" s="121"/>
      <c r="AU378" s="121"/>
      <c r="AV378" s="121"/>
      <c r="AW378" s="121"/>
      <c r="AX378" s="121"/>
      <c r="AY378" s="121"/>
      <c r="AZ378" s="121"/>
      <c r="BA378" s="121"/>
      <c r="BB378" s="121"/>
      <c r="BC378" s="121"/>
      <c r="BD378" s="120"/>
      <c r="BE378" s="120"/>
      <c r="BF378" s="120"/>
      <c r="BG378" s="120"/>
      <c r="BH378" s="120"/>
      <c r="BI378" s="120">
        <f>BH378+(8/24)</f>
        <v>0.33333333333333331</v>
      </c>
      <c r="BJ378" s="120">
        <f t="shared" si="481"/>
        <v>0.375</v>
      </c>
      <c r="BK378" s="120">
        <f>BJ378+(15/24)</f>
        <v>1</v>
      </c>
      <c r="BL378" s="120">
        <f t="shared" si="483"/>
        <v>1.0208333333333333</v>
      </c>
      <c r="BM378" s="120">
        <f t="shared" si="483"/>
        <v>1.0416666666666665</v>
      </c>
      <c r="BN378" s="120">
        <f>BM378+(8/24)</f>
        <v>1.3749999999999998</v>
      </c>
      <c r="BO378" s="120"/>
      <c r="BP378" s="120"/>
      <c r="BQ378" s="124" t="s">
        <v>64</v>
      </c>
      <c r="BR378" s="120">
        <f>BP378+(24/24)</f>
        <v>1</v>
      </c>
      <c r="BS378" s="120">
        <f t="shared" si="485"/>
        <v>1.0416666666666667</v>
      </c>
      <c r="BT378" s="120">
        <f t="shared" si="486"/>
        <v>1.2916666666666667</v>
      </c>
      <c r="BU378" s="120">
        <f t="shared" si="487"/>
        <v>1.3125</v>
      </c>
      <c r="BV378" s="120">
        <f t="shared" si="487"/>
        <v>1.3333333333333333</v>
      </c>
      <c r="BW378" s="120">
        <f>BV378+(10/24)</f>
        <v>1.75</v>
      </c>
      <c r="BX378" s="121"/>
      <c r="BY378" s="121"/>
      <c r="BZ378" s="120"/>
      <c r="CA378" s="120"/>
      <c r="CB378" s="120"/>
      <c r="CC378" s="120"/>
      <c r="CD378" s="120"/>
      <c r="CE378" s="120"/>
      <c r="CF378" s="120"/>
      <c r="CG378" s="120"/>
      <c r="CH378" s="121"/>
      <c r="CI378" s="121"/>
      <c r="CJ378" s="121"/>
    </row>
    <row r="379" spans="1:88" hidden="1" outlineLevel="1">
      <c r="A379" s="125"/>
      <c r="B379" s="121"/>
      <c r="C379" s="121" t="s">
        <v>77</v>
      </c>
      <c r="D379" s="121"/>
      <c r="E379" s="121"/>
      <c r="F379" s="121"/>
      <c r="G379" s="124"/>
      <c r="H379" s="124"/>
      <c r="I379" s="122"/>
      <c r="J379" s="121" t="s">
        <v>4109</v>
      </c>
      <c r="K379" s="121"/>
      <c r="L379" s="121"/>
      <c r="M379" s="123"/>
      <c r="N379" s="121"/>
      <c r="O379" s="121"/>
      <c r="P379" s="121" t="s">
        <v>139</v>
      </c>
      <c r="Q379" s="122"/>
      <c r="R379" s="122"/>
      <c r="S379" s="122"/>
      <c r="T379" s="122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  <c r="AL379" s="121"/>
      <c r="AM379" s="121"/>
      <c r="AN379" s="121"/>
      <c r="AO379" s="121"/>
      <c r="AP379" s="121"/>
      <c r="AQ379" s="121"/>
      <c r="AR379" s="121"/>
      <c r="AS379" s="121"/>
      <c r="AT379" s="121"/>
      <c r="AU379" s="121"/>
      <c r="AV379" s="121"/>
      <c r="AW379" s="121"/>
      <c r="AX379" s="121"/>
      <c r="AY379" s="121"/>
      <c r="AZ379" s="121"/>
      <c r="BA379" s="121"/>
      <c r="BB379" s="121"/>
      <c r="BC379" s="121"/>
      <c r="BD379" s="120"/>
      <c r="BE379" s="120"/>
      <c r="BF379" s="120"/>
      <c r="BG379" s="120"/>
      <c r="BH379" s="120"/>
      <c r="BI379" s="120">
        <f>BH379+(8/24)</f>
        <v>0.33333333333333331</v>
      </c>
      <c r="BJ379" s="120">
        <f t="shared" si="481"/>
        <v>0.375</v>
      </c>
      <c r="BK379" s="120">
        <f>BJ379+(15/24)</f>
        <v>1</v>
      </c>
      <c r="BL379" s="120">
        <f t="shared" si="483"/>
        <v>1.0208333333333333</v>
      </c>
      <c r="BM379" s="120">
        <f t="shared" si="483"/>
        <v>1.0416666666666665</v>
      </c>
      <c r="BN379" s="120">
        <f>BM379+(8/24)</f>
        <v>1.3749999999999998</v>
      </c>
      <c r="BO379" s="120"/>
      <c r="BP379" s="120"/>
      <c r="BQ379" s="124" t="s">
        <v>64</v>
      </c>
      <c r="BR379" s="120">
        <f>BP379+(30/24)</f>
        <v>1.25</v>
      </c>
      <c r="BS379" s="120">
        <f t="shared" si="485"/>
        <v>1.2916666666666667</v>
      </c>
      <c r="BT379" s="120">
        <f t="shared" si="486"/>
        <v>1.5416666666666667</v>
      </c>
      <c r="BU379" s="120">
        <f t="shared" si="487"/>
        <v>1.5625</v>
      </c>
      <c r="BV379" s="120">
        <f t="shared" si="487"/>
        <v>1.5833333333333333</v>
      </c>
      <c r="BW379" s="120">
        <f>BV379+(17/24)</f>
        <v>2.2916666666666665</v>
      </c>
      <c r="BX379" s="121"/>
      <c r="BY379" s="121"/>
      <c r="BZ379" s="120"/>
      <c r="CA379" s="120"/>
      <c r="CB379" s="120"/>
      <c r="CC379" s="120"/>
      <c r="CD379" s="120"/>
      <c r="CE379" s="120"/>
      <c r="CF379" s="120"/>
      <c r="CG379" s="120"/>
      <c r="CH379" s="121"/>
      <c r="CI379" s="128"/>
    </row>
    <row r="380" spans="1:88" s="128" customFormat="1" hidden="1" outlineLevel="1">
      <c r="A380" s="125"/>
      <c r="B380" s="121"/>
      <c r="C380" s="121" t="s">
        <v>76</v>
      </c>
      <c r="D380" s="121"/>
      <c r="E380" s="121"/>
      <c r="F380" s="121"/>
      <c r="G380" s="124"/>
      <c r="H380" s="124"/>
      <c r="I380" s="122"/>
      <c r="J380" s="121" t="s">
        <v>4109</v>
      </c>
      <c r="K380" s="121"/>
      <c r="L380" s="121"/>
      <c r="M380" s="123"/>
      <c r="N380" s="121"/>
      <c r="O380" s="121"/>
      <c r="P380" s="121" t="s">
        <v>76</v>
      </c>
      <c r="Q380" s="122"/>
      <c r="R380" s="122"/>
      <c r="S380" s="122"/>
      <c r="T380" s="122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  <c r="AL380" s="121"/>
      <c r="AM380" s="121"/>
      <c r="AN380" s="121"/>
      <c r="AO380" s="121"/>
      <c r="AP380" s="121"/>
      <c r="AQ380" s="121"/>
      <c r="AR380" s="121"/>
      <c r="AS380" s="121"/>
      <c r="AT380" s="121"/>
      <c r="AU380" s="121"/>
      <c r="AV380" s="121"/>
      <c r="AW380" s="121"/>
      <c r="AX380" s="121"/>
      <c r="AY380" s="121"/>
      <c r="AZ380" s="121"/>
      <c r="BA380" s="121"/>
      <c r="BB380" s="121"/>
      <c r="BC380" s="121"/>
      <c r="BD380" s="120"/>
      <c r="BE380" s="120"/>
      <c r="BF380" s="120"/>
      <c r="BG380" s="120"/>
      <c r="BH380" s="120"/>
      <c r="BI380" s="120">
        <f>BH380+(10/24)</f>
        <v>0.41666666666666669</v>
      </c>
      <c r="BJ380" s="120">
        <f t="shared" si="481"/>
        <v>0.45833333333333337</v>
      </c>
      <c r="BK380" s="120">
        <f>BJ380+(15/24)</f>
        <v>1.0833333333333335</v>
      </c>
      <c r="BL380" s="120">
        <f t="shared" si="483"/>
        <v>1.1041666666666667</v>
      </c>
      <c r="BM380" s="120">
        <f t="shared" si="483"/>
        <v>1.125</v>
      </c>
      <c r="BN380" s="120">
        <f>BM380+(10/24)</f>
        <v>1.5416666666666667</v>
      </c>
      <c r="BO380" s="120"/>
      <c r="BP380" s="120"/>
      <c r="BQ380" s="124" t="s">
        <v>64</v>
      </c>
      <c r="BR380" s="120">
        <f>BP380+(24/24)</f>
        <v>1</v>
      </c>
      <c r="BS380" s="120">
        <f t="shared" si="485"/>
        <v>1.0416666666666667</v>
      </c>
      <c r="BT380" s="120">
        <f t="shared" si="486"/>
        <v>1.2916666666666667</v>
      </c>
      <c r="BU380" s="120">
        <f t="shared" si="487"/>
        <v>1.3125</v>
      </c>
      <c r="BV380" s="120">
        <f t="shared" si="487"/>
        <v>1.3333333333333333</v>
      </c>
      <c r="BW380" s="120">
        <f>BV380+(10/24)</f>
        <v>1.75</v>
      </c>
      <c r="BX380" s="121"/>
      <c r="BY380" s="121"/>
      <c r="BZ380" s="120"/>
      <c r="CA380" s="120"/>
      <c r="CB380" s="120"/>
      <c r="CC380" s="120"/>
      <c r="CD380" s="120"/>
      <c r="CE380" s="120"/>
      <c r="CF380" s="120"/>
      <c r="CG380" s="120"/>
      <c r="CH380" s="121"/>
      <c r="CI380" s="121"/>
      <c r="CJ380" s="115"/>
    </row>
    <row r="381" spans="1:88" s="128" customFormat="1" hidden="1" outlineLevel="1">
      <c r="A381" s="125"/>
      <c r="B381" s="121"/>
      <c r="C381" s="121" t="s">
        <v>76</v>
      </c>
      <c r="D381" s="121"/>
      <c r="E381" s="121"/>
      <c r="F381" s="121"/>
      <c r="G381" s="124"/>
      <c r="H381" s="124"/>
      <c r="I381" s="122"/>
      <c r="J381" s="121" t="s">
        <v>4109</v>
      </c>
      <c r="K381" s="121"/>
      <c r="L381" s="121"/>
      <c r="M381" s="123"/>
      <c r="N381" s="121"/>
      <c r="O381" s="121"/>
      <c r="P381" s="121" t="s">
        <v>76</v>
      </c>
      <c r="Q381" s="122"/>
      <c r="R381" s="122"/>
      <c r="S381" s="122"/>
      <c r="T381" s="122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  <c r="AL381" s="121"/>
      <c r="AM381" s="121"/>
      <c r="AN381" s="121"/>
      <c r="AO381" s="121"/>
      <c r="AP381" s="121"/>
      <c r="AQ381" s="121"/>
      <c r="AR381" s="121"/>
      <c r="AS381" s="121"/>
      <c r="AT381" s="121"/>
      <c r="AU381" s="121"/>
      <c r="AV381" s="121"/>
      <c r="AW381" s="121"/>
      <c r="AX381" s="121"/>
      <c r="AY381" s="121"/>
      <c r="AZ381" s="121"/>
      <c r="BA381" s="121"/>
      <c r="BB381" s="121"/>
      <c r="BC381" s="121"/>
      <c r="BD381" s="120"/>
      <c r="BE381" s="120"/>
      <c r="BF381" s="120"/>
      <c r="BG381" s="120"/>
      <c r="BH381" s="120"/>
      <c r="BI381" s="120">
        <f>BH381+(10/24)</f>
        <v>0.41666666666666669</v>
      </c>
      <c r="BJ381" s="120">
        <f t="shared" si="481"/>
        <v>0.45833333333333337</v>
      </c>
      <c r="BK381" s="120">
        <f>BJ381+(15/24)</f>
        <v>1.0833333333333335</v>
      </c>
      <c r="BL381" s="120">
        <f t="shared" si="483"/>
        <v>1.1041666666666667</v>
      </c>
      <c r="BM381" s="120">
        <f t="shared" si="483"/>
        <v>1.125</v>
      </c>
      <c r="BN381" s="120">
        <f>BM381+(10/24)</f>
        <v>1.5416666666666667</v>
      </c>
      <c r="BO381" s="120"/>
      <c r="BP381" s="120"/>
      <c r="BQ381" s="124" t="s">
        <v>64</v>
      </c>
      <c r="BR381" s="120">
        <f>BP381+(30/24)</f>
        <v>1.25</v>
      </c>
      <c r="BS381" s="120">
        <f t="shared" si="485"/>
        <v>1.2916666666666667</v>
      </c>
      <c r="BT381" s="120">
        <f t="shared" si="486"/>
        <v>1.5416666666666667</v>
      </c>
      <c r="BU381" s="120">
        <f t="shared" si="487"/>
        <v>1.5625</v>
      </c>
      <c r="BV381" s="120">
        <f t="shared" si="487"/>
        <v>1.5833333333333333</v>
      </c>
      <c r="BW381" s="120">
        <f>BV381+(17/24)</f>
        <v>2.2916666666666665</v>
      </c>
      <c r="BX381" s="121"/>
      <c r="BY381" s="121"/>
      <c r="BZ381" s="120"/>
      <c r="CA381" s="120"/>
      <c r="CB381" s="120"/>
      <c r="CC381" s="120"/>
      <c r="CD381" s="120"/>
      <c r="CE381" s="120"/>
      <c r="CF381" s="120"/>
      <c r="CG381" s="120"/>
      <c r="CH381" s="121"/>
      <c r="CI381" s="121"/>
      <c r="CJ381" s="121"/>
    </row>
    <row r="382" spans="1:88" hidden="1" outlineLevel="1">
      <c r="A382" s="125"/>
      <c r="B382" s="121"/>
      <c r="C382" s="121" t="s">
        <v>78</v>
      </c>
      <c r="D382" s="121"/>
      <c r="E382" s="121"/>
      <c r="F382" s="121"/>
      <c r="G382" s="124"/>
      <c r="H382" s="124"/>
      <c r="I382" s="122"/>
      <c r="J382" s="121" t="s">
        <v>4109</v>
      </c>
      <c r="K382" s="121"/>
      <c r="L382" s="121"/>
      <c r="M382" s="123"/>
      <c r="N382" s="121"/>
      <c r="O382" s="121"/>
      <c r="P382" s="121" t="s">
        <v>78</v>
      </c>
      <c r="Q382" s="122"/>
      <c r="R382" s="122"/>
      <c r="S382" s="122"/>
      <c r="T382" s="122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  <c r="AL382" s="121"/>
      <c r="AM382" s="121"/>
      <c r="AN382" s="121"/>
      <c r="AO382" s="121"/>
      <c r="AP382" s="121"/>
      <c r="AQ382" s="121"/>
      <c r="AR382" s="121"/>
      <c r="AS382" s="121"/>
      <c r="AT382" s="121"/>
      <c r="AU382" s="121"/>
      <c r="AV382" s="121"/>
      <c r="AW382" s="121"/>
      <c r="AX382" s="121"/>
      <c r="AY382" s="121"/>
      <c r="AZ382" s="121"/>
      <c r="BA382" s="121"/>
      <c r="BB382" s="121"/>
      <c r="BC382" s="121"/>
      <c r="BD382" s="120"/>
      <c r="BE382" s="120"/>
      <c r="BF382" s="120"/>
      <c r="BG382" s="120"/>
      <c r="BH382" s="120"/>
      <c r="BI382" s="120">
        <f>BH382+(5/24)</f>
        <v>0.20833333333333334</v>
      </c>
      <c r="BJ382" s="120">
        <f t="shared" si="481"/>
        <v>0.25</v>
      </c>
      <c r="BK382" s="120">
        <f>BJ382+(15/24)</f>
        <v>0.875</v>
      </c>
      <c r="BL382" s="120">
        <f t="shared" si="483"/>
        <v>0.89583333333333337</v>
      </c>
      <c r="BM382" s="120">
        <f t="shared" si="483"/>
        <v>0.91666666666666674</v>
      </c>
      <c r="BN382" s="120">
        <f>BM382+(5/24)</f>
        <v>1.125</v>
      </c>
      <c r="BO382" s="120"/>
      <c r="BP382" s="120"/>
      <c r="BQ382" s="124" t="s">
        <v>64</v>
      </c>
      <c r="BR382" s="120">
        <f>BP382+(24/24)</f>
        <v>1</v>
      </c>
      <c r="BS382" s="120">
        <f t="shared" si="485"/>
        <v>1.0416666666666667</v>
      </c>
      <c r="BT382" s="120">
        <f t="shared" si="486"/>
        <v>1.2916666666666667</v>
      </c>
      <c r="BU382" s="120">
        <f t="shared" si="487"/>
        <v>1.3125</v>
      </c>
      <c r="BV382" s="120">
        <f t="shared" si="487"/>
        <v>1.3333333333333333</v>
      </c>
      <c r="BW382" s="120">
        <f t="shared" ref="BW382:BW391" si="488">BV382+(10/24)</f>
        <v>1.75</v>
      </c>
      <c r="BX382" s="121"/>
      <c r="BY382" s="121"/>
      <c r="BZ382" s="120"/>
      <c r="CA382" s="120"/>
      <c r="CB382" s="120"/>
      <c r="CC382" s="120"/>
      <c r="CD382" s="120"/>
      <c r="CE382" s="120"/>
      <c r="CF382" s="120"/>
      <c r="CG382" s="120"/>
      <c r="CH382" s="121"/>
      <c r="CI382" s="121"/>
      <c r="CJ382" s="121"/>
    </row>
    <row r="383" spans="1:88" s="121" customFormat="1" hidden="1" outlineLevel="1">
      <c r="A383" s="125"/>
      <c r="C383" s="121" t="s">
        <v>87</v>
      </c>
      <c r="G383" s="124"/>
      <c r="H383" s="124"/>
      <c r="I383" s="122"/>
      <c r="J383" s="121" t="s">
        <v>4110</v>
      </c>
      <c r="M383" s="123"/>
      <c r="Q383" s="122"/>
      <c r="R383" s="122"/>
      <c r="S383" s="122"/>
      <c r="T383" s="122"/>
      <c r="BD383" s="120"/>
      <c r="BE383" s="120"/>
      <c r="BF383" s="120"/>
      <c r="BG383" s="120"/>
      <c r="BH383" s="120"/>
      <c r="BI383" s="120">
        <f>BH383</f>
        <v>0</v>
      </c>
      <c r="BJ383" s="120">
        <f t="shared" si="481"/>
        <v>4.1666666666666664E-2</v>
      </c>
      <c r="BK383" s="120">
        <f>BJ383+(4/24)</f>
        <v>0.20833333333333331</v>
      </c>
      <c r="BL383" s="120">
        <f t="shared" si="483"/>
        <v>0.22916666666666666</v>
      </c>
      <c r="BM383" s="120">
        <f t="shared" si="483"/>
        <v>0.25</v>
      </c>
      <c r="BN383" s="120">
        <f>BM383+(0.5/24)</f>
        <v>0.27083333333333331</v>
      </c>
      <c r="BO383" s="124"/>
      <c r="BP383" s="124"/>
      <c r="BQ383" s="124" t="s">
        <v>196</v>
      </c>
      <c r="BR383" s="120">
        <f>BN383+(6/24)</f>
        <v>0.52083333333333326</v>
      </c>
      <c r="BS383" s="120">
        <f t="shared" si="485"/>
        <v>0.56249999999999989</v>
      </c>
      <c r="BT383" s="120">
        <f>BS383+((6+8+8)/24)</f>
        <v>1.4791666666666665</v>
      </c>
      <c r="BU383" s="120">
        <f t="shared" si="487"/>
        <v>1.4999999999999998</v>
      </c>
      <c r="BV383" s="120">
        <f t="shared" si="487"/>
        <v>1.520833333333333</v>
      </c>
      <c r="BW383" s="120">
        <f t="shared" si="488"/>
        <v>1.9374999999999998</v>
      </c>
      <c r="BZ383" s="120"/>
      <c r="CA383" s="120"/>
      <c r="CB383" s="120"/>
      <c r="CC383" s="120"/>
      <c r="CD383" s="120"/>
      <c r="CE383" s="120"/>
      <c r="CF383" s="120"/>
      <c r="CG383" s="120"/>
      <c r="CJ383" s="115"/>
    </row>
    <row r="384" spans="1:88" s="128" customFormat="1" hidden="1" outlineLevel="1">
      <c r="A384" s="125"/>
      <c r="B384" s="121"/>
      <c r="C384" s="121" t="s">
        <v>87</v>
      </c>
      <c r="D384" s="121"/>
      <c r="E384" s="121"/>
      <c r="F384" s="121"/>
      <c r="G384" s="124"/>
      <c r="H384" s="124"/>
      <c r="I384" s="122"/>
      <c r="J384" s="121" t="s">
        <v>4111</v>
      </c>
      <c r="K384" s="121"/>
      <c r="L384" s="121"/>
      <c r="M384" s="123"/>
      <c r="N384" s="121"/>
      <c r="O384" s="121"/>
      <c r="P384" s="121"/>
      <c r="Q384" s="122"/>
      <c r="R384" s="122"/>
      <c r="S384" s="122"/>
      <c r="T384" s="122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  <c r="AL384" s="121"/>
      <c r="AM384" s="121"/>
      <c r="AN384" s="121"/>
      <c r="AO384" s="121"/>
      <c r="AP384" s="121"/>
      <c r="AQ384" s="121"/>
      <c r="AR384" s="121"/>
      <c r="AS384" s="121"/>
      <c r="AT384" s="121"/>
      <c r="AU384" s="121"/>
      <c r="AV384" s="121"/>
      <c r="AW384" s="121"/>
      <c r="AX384" s="121"/>
      <c r="AY384" s="121"/>
      <c r="AZ384" s="121"/>
      <c r="BA384" s="121"/>
      <c r="BB384" s="121"/>
      <c r="BC384" s="121"/>
      <c r="BD384" s="120"/>
      <c r="BE384" s="120"/>
      <c r="BF384" s="120"/>
      <c r="BG384" s="120"/>
      <c r="BH384" s="120"/>
      <c r="BI384" s="120">
        <f>BH384+(6/24)</f>
        <v>0.25</v>
      </c>
      <c r="BJ384" s="120">
        <f t="shared" si="481"/>
        <v>0.29166666666666669</v>
      </c>
      <c r="BK384" s="120">
        <f>BJ384+(4/24)</f>
        <v>0.45833333333333337</v>
      </c>
      <c r="BL384" s="120">
        <f t="shared" si="483"/>
        <v>0.47916666666666669</v>
      </c>
      <c r="BM384" s="120">
        <f t="shared" si="483"/>
        <v>0.5</v>
      </c>
      <c r="BN384" s="120">
        <f>BM384+(0.5/24)</f>
        <v>0.52083333333333337</v>
      </c>
      <c r="BO384" s="124"/>
      <c r="BP384" s="124"/>
      <c r="BQ384" s="124" t="s">
        <v>196</v>
      </c>
      <c r="BR384" s="120">
        <f>BN384+(6/24)</f>
        <v>0.77083333333333337</v>
      </c>
      <c r="BS384" s="120">
        <f t="shared" si="485"/>
        <v>0.8125</v>
      </c>
      <c r="BT384" s="120">
        <f>BS384+((6+8+8)/24)</f>
        <v>1.7291666666666665</v>
      </c>
      <c r="BU384" s="120">
        <f t="shared" si="487"/>
        <v>1.7499999999999998</v>
      </c>
      <c r="BV384" s="120">
        <f t="shared" si="487"/>
        <v>1.770833333333333</v>
      </c>
      <c r="BW384" s="120">
        <f t="shared" si="488"/>
        <v>2.1874999999999996</v>
      </c>
      <c r="BX384" s="121"/>
      <c r="BY384" s="121"/>
      <c r="BZ384" s="120"/>
      <c r="CA384" s="120"/>
      <c r="CB384" s="120"/>
      <c r="CC384" s="120"/>
      <c r="CD384" s="120"/>
      <c r="CE384" s="120"/>
      <c r="CF384" s="120"/>
      <c r="CG384" s="120"/>
      <c r="CH384" s="121"/>
      <c r="CI384" s="121"/>
      <c r="CJ384" s="121"/>
    </row>
    <row r="385" spans="1:88" s="128" customFormat="1" hidden="1" outlineLevel="1">
      <c r="A385" s="125"/>
      <c r="B385" s="121"/>
      <c r="C385" s="121" t="s">
        <v>85</v>
      </c>
      <c r="D385" s="121"/>
      <c r="E385" s="121"/>
      <c r="F385" s="121"/>
      <c r="G385" s="124"/>
      <c r="H385" s="124"/>
      <c r="I385" s="122"/>
      <c r="J385" s="121" t="s">
        <v>4112</v>
      </c>
      <c r="K385" s="121"/>
      <c r="L385" s="121"/>
      <c r="M385" s="123"/>
      <c r="N385" s="121"/>
      <c r="O385" s="121"/>
      <c r="P385" s="121" t="s">
        <v>4113</v>
      </c>
      <c r="Q385" s="122"/>
      <c r="R385" s="122"/>
      <c r="S385" s="122"/>
      <c r="T385" s="122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  <c r="AL385" s="121"/>
      <c r="AM385" s="121"/>
      <c r="AN385" s="121"/>
      <c r="AO385" s="121"/>
      <c r="AP385" s="121"/>
      <c r="AQ385" s="121"/>
      <c r="AR385" s="121"/>
      <c r="AS385" s="121"/>
      <c r="AT385" s="121"/>
      <c r="AU385" s="121"/>
      <c r="AV385" s="121"/>
      <c r="AW385" s="121"/>
      <c r="AX385" s="121"/>
      <c r="AY385" s="121"/>
      <c r="AZ385" s="121"/>
      <c r="BA385" s="121"/>
      <c r="BB385" s="121"/>
      <c r="BC385" s="121"/>
      <c r="BD385" s="120"/>
      <c r="BE385" s="120"/>
      <c r="BF385" s="120"/>
      <c r="BG385" s="120"/>
      <c r="BH385" s="120"/>
      <c r="BI385" s="120">
        <f>BH385+(6/24)</f>
        <v>0.25</v>
      </c>
      <c r="BJ385" s="120">
        <f t="shared" si="481"/>
        <v>0.29166666666666669</v>
      </c>
      <c r="BK385" s="120">
        <f>BJ385+(15/24)</f>
        <v>0.91666666666666674</v>
      </c>
      <c r="BL385" s="120">
        <f t="shared" si="483"/>
        <v>0.93750000000000011</v>
      </c>
      <c r="BM385" s="120">
        <f t="shared" si="483"/>
        <v>0.95833333333333348</v>
      </c>
      <c r="BN385" s="120">
        <f>BM385+(0.5/24)</f>
        <v>0.97916666666666685</v>
      </c>
      <c r="BO385" s="124"/>
      <c r="BP385" s="124"/>
      <c r="BQ385" s="124" t="s">
        <v>196</v>
      </c>
      <c r="BR385" s="120">
        <f>BN385+(96/24)</f>
        <v>4.979166666666667</v>
      </c>
      <c r="BS385" s="120">
        <f t="shared" si="485"/>
        <v>5.0208333333333339</v>
      </c>
      <c r="BT385" s="120">
        <f>BS385+((6+8+8)/24)</f>
        <v>5.9375000000000009</v>
      </c>
      <c r="BU385" s="120">
        <f t="shared" si="487"/>
        <v>5.9583333333333339</v>
      </c>
      <c r="BV385" s="120">
        <f t="shared" si="487"/>
        <v>5.979166666666667</v>
      </c>
      <c r="BW385" s="120">
        <f t="shared" si="488"/>
        <v>6.3958333333333339</v>
      </c>
      <c r="BX385" s="121"/>
      <c r="BY385" s="121"/>
      <c r="BZ385" s="120"/>
      <c r="CA385" s="120"/>
      <c r="CB385" s="120"/>
      <c r="CC385" s="120"/>
      <c r="CD385" s="120"/>
      <c r="CE385" s="120"/>
      <c r="CF385" s="120"/>
      <c r="CG385" s="120"/>
      <c r="CH385" s="121"/>
      <c r="CI385" s="220"/>
      <c r="CJ385" s="121"/>
    </row>
    <row r="386" spans="1:88" s="128" customFormat="1" hidden="1" outlineLevel="1">
      <c r="A386" s="125"/>
      <c r="B386" s="121"/>
      <c r="C386" s="121" t="s">
        <v>84</v>
      </c>
      <c r="D386" s="121"/>
      <c r="E386" s="121"/>
      <c r="F386" s="121"/>
      <c r="G386" s="124"/>
      <c r="H386" s="124"/>
      <c r="I386" s="122"/>
      <c r="J386" s="121" t="s">
        <v>4109</v>
      </c>
      <c r="K386" s="121"/>
      <c r="L386" s="121"/>
      <c r="M386" s="123"/>
      <c r="N386" s="121"/>
      <c r="O386" s="121"/>
      <c r="P386" s="121" t="s">
        <v>4114</v>
      </c>
      <c r="Q386" s="122"/>
      <c r="R386" s="122"/>
      <c r="S386" s="122"/>
      <c r="T386" s="122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/>
      <c r="AX386" s="121"/>
      <c r="AY386" s="121"/>
      <c r="AZ386" s="121"/>
      <c r="BA386" s="121"/>
      <c r="BB386" s="121"/>
      <c r="BC386" s="121"/>
      <c r="BD386" s="120"/>
      <c r="BE386" s="120"/>
      <c r="BF386" s="120"/>
      <c r="BG386" s="120"/>
      <c r="BH386" s="120"/>
      <c r="BI386" s="120">
        <f>BH386+(20/24)</f>
        <v>0.83333333333333337</v>
      </c>
      <c r="BJ386" s="120">
        <f t="shared" si="481"/>
        <v>0.875</v>
      </c>
      <c r="BK386" s="120">
        <f>BJ386+(4/24)</f>
        <v>1.0416666666666667</v>
      </c>
      <c r="BL386" s="120">
        <f t="shared" si="483"/>
        <v>1.0625</v>
      </c>
      <c r="BM386" s="120">
        <f t="shared" si="483"/>
        <v>1.0833333333333333</v>
      </c>
      <c r="BN386" s="120">
        <f>BM386+(24/24)</f>
        <v>2.083333333333333</v>
      </c>
      <c r="BO386" s="124"/>
      <c r="BP386" s="124"/>
      <c r="BQ386" s="124" t="s">
        <v>196</v>
      </c>
      <c r="BR386" s="120">
        <f>BN386+(35/24)</f>
        <v>3.5416666666666661</v>
      </c>
      <c r="BS386" s="120">
        <f t="shared" si="485"/>
        <v>3.5833333333333326</v>
      </c>
      <c r="BT386" s="120">
        <f>BS386+(6/24)</f>
        <v>3.8333333333333326</v>
      </c>
      <c r="BU386" s="120">
        <f t="shared" si="487"/>
        <v>3.8541666666666661</v>
      </c>
      <c r="BV386" s="120">
        <f t="shared" si="487"/>
        <v>3.8749999999999996</v>
      </c>
      <c r="BW386" s="120">
        <f t="shared" si="488"/>
        <v>4.2916666666666661</v>
      </c>
      <c r="BX386" s="120"/>
      <c r="BY386" s="120"/>
      <c r="BZ386" s="120"/>
      <c r="CA386" s="120"/>
      <c r="CB386" s="120"/>
      <c r="CC386" s="120"/>
      <c r="CD386" s="120"/>
      <c r="CE386" s="120"/>
      <c r="CF386" s="120"/>
      <c r="CG386" s="120"/>
      <c r="CH386" s="121"/>
      <c r="CI386" s="121"/>
    </row>
    <row r="387" spans="1:88" s="121" customFormat="1" hidden="1" outlineLevel="1">
      <c r="A387" s="125"/>
      <c r="C387" s="121" t="s">
        <v>84</v>
      </c>
      <c r="G387" s="124"/>
      <c r="H387" s="124"/>
      <c r="I387" s="122"/>
      <c r="J387" s="121" t="s">
        <v>4110</v>
      </c>
      <c r="M387" s="123"/>
      <c r="P387" s="121" t="s">
        <v>4114</v>
      </c>
      <c r="Q387" s="122"/>
      <c r="R387" s="122"/>
      <c r="S387" s="122"/>
      <c r="T387" s="122"/>
      <c r="BD387" s="120"/>
      <c r="BE387" s="120"/>
      <c r="BF387" s="120"/>
      <c r="BG387" s="120"/>
      <c r="BH387" s="120"/>
      <c r="BI387" s="120">
        <f>BH387+(40/24)</f>
        <v>1.6666666666666667</v>
      </c>
      <c r="BJ387" s="120">
        <f t="shared" si="481"/>
        <v>1.7083333333333335</v>
      </c>
      <c r="BK387" s="120">
        <f>BJ387+(4/24)</f>
        <v>1.8750000000000002</v>
      </c>
      <c r="BL387" s="120">
        <f t="shared" si="483"/>
        <v>1.8958333333333335</v>
      </c>
      <c r="BM387" s="120">
        <f t="shared" si="483"/>
        <v>1.9166666666666667</v>
      </c>
      <c r="BN387" s="120">
        <f>BM387+(24/24)</f>
        <v>2.916666666666667</v>
      </c>
      <c r="BO387" s="124"/>
      <c r="BP387" s="124"/>
      <c r="BQ387" s="124" t="s">
        <v>196</v>
      </c>
      <c r="BR387" s="120">
        <f>BN387+(35/24)</f>
        <v>4.375</v>
      </c>
      <c r="BS387" s="120">
        <f t="shared" si="485"/>
        <v>4.416666666666667</v>
      </c>
      <c r="BT387" s="120">
        <f>BS387+(6/24)</f>
        <v>4.666666666666667</v>
      </c>
      <c r="BU387" s="120">
        <f t="shared" si="487"/>
        <v>4.6875</v>
      </c>
      <c r="BV387" s="120">
        <f t="shared" si="487"/>
        <v>4.708333333333333</v>
      </c>
      <c r="BW387" s="120">
        <f t="shared" si="488"/>
        <v>5.125</v>
      </c>
      <c r="BX387" s="120"/>
      <c r="BY387" s="120"/>
      <c r="BZ387" s="120"/>
      <c r="CA387" s="120"/>
      <c r="CB387" s="120"/>
      <c r="CC387" s="120"/>
      <c r="CD387" s="120"/>
      <c r="CE387" s="120"/>
      <c r="CF387" s="120"/>
      <c r="CG387" s="120"/>
    </row>
    <row r="388" spans="1:88" s="128" customFormat="1" hidden="1" outlineLevel="1">
      <c r="A388" s="125"/>
      <c r="B388" s="121"/>
      <c r="C388" s="121" t="s">
        <v>84</v>
      </c>
      <c r="D388" s="121"/>
      <c r="E388" s="121"/>
      <c r="F388" s="121"/>
      <c r="G388" s="124"/>
      <c r="H388" s="124"/>
      <c r="I388" s="122"/>
      <c r="J388" s="121" t="s">
        <v>4109</v>
      </c>
      <c r="K388" s="121"/>
      <c r="L388" s="121"/>
      <c r="M388" s="123"/>
      <c r="N388" s="121"/>
      <c r="O388" s="121"/>
      <c r="P388" s="121" t="s">
        <v>4114</v>
      </c>
      <c r="Q388" s="122"/>
      <c r="R388" s="122"/>
      <c r="S388" s="122"/>
      <c r="T388" s="122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  <c r="AL388" s="121"/>
      <c r="AM388" s="121"/>
      <c r="AN388" s="121"/>
      <c r="AO388" s="121"/>
      <c r="AP388" s="121"/>
      <c r="AQ388" s="121"/>
      <c r="AR388" s="121"/>
      <c r="AS388" s="121"/>
      <c r="AT388" s="121"/>
      <c r="AU388" s="121"/>
      <c r="AV388" s="121"/>
      <c r="AW388" s="121"/>
      <c r="AX388" s="121"/>
      <c r="AY388" s="121"/>
      <c r="AZ388" s="121"/>
      <c r="BA388" s="121"/>
      <c r="BB388" s="121"/>
      <c r="BC388" s="121"/>
      <c r="BD388" s="120"/>
      <c r="BE388" s="120"/>
      <c r="BF388" s="120"/>
      <c r="BG388" s="120"/>
      <c r="BH388" s="120"/>
      <c r="BI388" s="120">
        <f>BH388+(20/24)</f>
        <v>0.83333333333333337</v>
      </c>
      <c r="BJ388" s="120">
        <f t="shared" si="481"/>
        <v>0.875</v>
      </c>
      <c r="BK388" s="120">
        <f>BJ388+(4/24)</f>
        <v>1.0416666666666667</v>
      </c>
      <c r="BL388" s="120">
        <f t="shared" si="483"/>
        <v>1.0625</v>
      </c>
      <c r="BM388" s="120">
        <f t="shared" si="483"/>
        <v>1.0833333333333333</v>
      </c>
      <c r="BN388" s="120">
        <f>BM388+(24/24)</f>
        <v>2.083333333333333</v>
      </c>
      <c r="BO388" s="124"/>
      <c r="BP388" s="124"/>
      <c r="BQ388" s="124" t="s">
        <v>196</v>
      </c>
      <c r="BR388" s="120">
        <f>BN388+(42/24)</f>
        <v>3.833333333333333</v>
      </c>
      <c r="BS388" s="120">
        <f t="shared" si="485"/>
        <v>3.8749999999999996</v>
      </c>
      <c r="BT388" s="120">
        <f>BS388+(6/24)</f>
        <v>4.125</v>
      </c>
      <c r="BU388" s="120">
        <f t="shared" si="487"/>
        <v>4.145833333333333</v>
      </c>
      <c r="BV388" s="120">
        <f t="shared" si="487"/>
        <v>4.1666666666666661</v>
      </c>
      <c r="BW388" s="120">
        <f t="shared" si="488"/>
        <v>4.583333333333333</v>
      </c>
      <c r="BX388" s="120"/>
      <c r="BY388" s="120"/>
      <c r="BZ388" s="120"/>
      <c r="CA388" s="120"/>
      <c r="CB388" s="120"/>
      <c r="CC388" s="120"/>
      <c r="CD388" s="120"/>
      <c r="CE388" s="120"/>
      <c r="CF388" s="120"/>
      <c r="CG388" s="120"/>
      <c r="CH388" s="121"/>
      <c r="CJ388" s="121"/>
    </row>
    <row r="389" spans="1:88" s="128" customFormat="1" hidden="1" outlineLevel="1">
      <c r="A389" s="125"/>
      <c r="B389" s="121"/>
      <c r="C389" s="121" t="s">
        <v>84</v>
      </c>
      <c r="D389" s="121"/>
      <c r="E389" s="121"/>
      <c r="F389" s="121"/>
      <c r="G389" s="124"/>
      <c r="H389" s="124"/>
      <c r="I389" s="122"/>
      <c r="J389" s="121" t="s">
        <v>4110</v>
      </c>
      <c r="K389" s="121"/>
      <c r="L389" s="121"/>
      <c r="M389" s="123"/>
      <c r="N389" s="121"/>
      <c r="O389" s="121"/>
      <c r="P389" s="121" t="s">
        <v>4114</v>
      </c>
      <c r="Q389" s="122"/>
      <c r="R389" s="122"/>
      <c r="S389" s="122"/>
      <c r="T389" s="122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  <c r="AL389" s="121"/>
      <c r="AM389" s="121"/>
      <c r="AN389" s="121"/>
      <c r="AO389" s="121"/>
      <c r="AP389" s="121"/>
      <c r="AQ389" s="121"/>
      <c r="AR389" s="121"/>
      <c r="AS389" s="121"/>
      <c r="AT389" s="121"/>
      <c r="AU389" s="121"/>
      <c r="AV389" s="121"/>
      <c r="AW389" s="121"/>
      <c r="AX389" s="121"/>
      <c r="AY389" s="121"/>
      <c r="AZ389" s="121"/>
      <c r="BA389" s="121"/>
      <c r="BB389" s="121"/>
      <c r="BC389" s="121"/>
      <c r="BD389" s="120"/>
      <c r="BE389" s="120"/>
      <c r="BF389" s="120"/>
      <c r="BG389" s="120"/>
      <c r="BH389" s="120"/>
      <c r="BI389" s="120">
        <f>BH389+(40/24)</f>
        <v>1.6666666666666667</v>
      </c>
      <c r="BJ389" s="120">
        <f t="shared" si="481"/>
        <v>1.7083333333333335</v>
      </c>
      <c r="BK389" s="120">
        <f>BJ389+(4/24)</f>
        <v>1.8750000000000002</v>
      </c>
      <c r="BL389" s="120">
        <f t="shared" si="483"/>
        <v>1.8958333333333335</v>
      </c>
      <c r="BM389" s="120">
        <f t="shared" si="483"/>
        <v>1.9166666666666667</v>
      </c>
      <c r="BN389" s="120">
        <f>BM389+(24/24)</f>
        <v>2.916666666666667</v>
      </c>
      <c r="BO389" s="124"/>
      <c r="BP389" s="124"/>
      <c r="BQ389" s="124" t="s">
        <v>196</v>
      </c>
      <c r="BR389" s="120">
        <f>BN389+(42/24)</f>
        <v>4.666666666666667</v>
      </c>
      <c r="BS389" s="120">
        <f t="shared" si="485"/>
        <v>4.7083333333333339</v>
      </c>
      <c r="BT389" s="120">
        <f>BS389+(6/24)</f>
        <v>4.9583333333333339</v>
      </c>
      <c r="BU389" s="120">
        <f t="shared" si="487"/>
        <v>4.979166666666667</v>
      </c>
      <c r="BV389" s="120">
        <f t="shared" si="487"/>
        <v>5</v>
      </c>
      <c r="BW389" s="120">
        <f t="shared" si="488"/>
        <v>5.416666666666667</v>
      </c>
      <c r="BX389" s="120"/>
      <c r="BY389" s="120"/>
      <c r="BZ389" s="120"/>
      <c r="CA389" s="120"/>
      <c r="CB389" s="120"/>
      <c r="CC389" s="120"/>
      <c r="CD389" s="120"/>
      <c r="CE389" s="120"/>
      <c r="CF389" s="120"/>
      <c r="CG389" s="120"/>
      <c r="CH389" s="121"/>
      <c r="CI389" s="121"/>
      <c r="CJ389" s="121"/>
    </row>
    <row r="390" spans="1:88" s="128" customFormat="1" hidden="1" outlineLevel="1">
      <c r="A390" s="221"/>
      <c r="C390" s="128" t="s">
        <v>88</v>
      </c>
      <c r="G390" s="222"/>
      <c r="H390" s="222"/>
      <c r="I390" s="223"/>
      <c r="J390" s="128" t="s">
        <v>4110</v>
      </c>
      <c r="M390" s="224"/>
      <c r="P390" s="128" t="s">
        <v>88</v>
      </c>
      <c r="Q390" s="223"/>
      <c r="R390" s="223"/>
      <c r="S390" s="223"/>
      <c r="T390" s="223"/>
      <c r="BD390" s="225"/>
      <c r="BE390" s="225"/>
      <c r="BF390" s="225"/>
      <c r="BG390" s="225"/>
      <c r="BH390" s="225"/>
      <c r="BI390" s="225">
        <f>BH390+(96/24)</f>
        <v>4</v>
      </c>
      <c r="BJ390" s="225">
        <f t="shared" si="481"/>
        <v>4.041666666666667</v>
      </c>
      <c r="BK390" s="225">
        <f>BJ390+(15/24)</f>
        <v>4.666666666666667</v>
      </c>
      <c r="BL390" s="225">
        <f t="shared" si="483"/>
        <v>4.6875</v>
      </c>
      <c r="BM390" s="225">
        <f t="shared" si="483"/>
        <v>4.708333333333333</v>
      </c>
      <c r="BN390" s="225">
        <f>BM390+(0.5/24)</f>
        <v>4.7291666666666661</v>
      </c>
      <c r="BO390" s="222"/>
      <c r="BP390" s="222"/>
      <c r="BQ390" s="222" t="s">
        <v>64</v>
      </c>
      <c r="BR390" s="225">
        <f>BN390+(96/24)</f>
        <v>8.7291666666666661</v>
      </c>
      <c r="BS390" s="225">
        <f t="shared" si="485"/>
        <v>8.7708333333333321</v>
      </c>
      <c r="BT390" s="225">
        <f>BS390+((6+8+8)/24)</f>
        <v>9.6874999999999982</v>
      </c>
      <c r="BU390" s="225">
        <f t="shared" si="487"/>
        <v>9.7083333333333321</v>
      </c>
      <c r="BV390" s="225">
        <f t="shared" si="487"/>
        <v>9.7291666666666661</v>
      </c>
      <c r="BW390" s="225">
        <f t="shared" si="488"/>
        <v>10.145833333333332</v>
      </c>
      <c r="BZ390" s="225"/>
      <c r="CA390" s="225"/>
      <c r="CB390" s="225"/>
      <c r="CC390" s="225"/>
      <c r="CD390" s="225"/>
      <c r="CE390" s="225"/>
      <c r="CF390" s="225"/>
      <c r="CG390" s="225"/>
      <c r="CI390" s="121"/>
    </row>
    <row r="391" spans="1:88" s="121" customFormat="1" hidden="1" outlineLevel="1">
      <c r="A391" s="221"/>
      <c r="B391" s="128"/>
      <c r="C391" s="121" t="s">
        <v>4115</v>
      </c>
      <c r="G391" s="124"/>
      <c r="H391" s="124"/>
      <c r="I391" s="122"/>
      <c r="J391" s="121" t="s">
        <v>4109</v>
      </c>
      <c r="M391" s="123"/>
      <c r="P391" s="121" t="s">
        <v>4116</v>
      </c>
      <c r="Q391" s="122">
        <v>7500</v>
      </c>
      <c r="R391" s="122"/>
      <c r="S391" s="122"/>
      <c r="T391" s="122"/>
      <c r="BD391" s="120"/>
      <c r="BE391" s="120"/>
      <c r="BF391" s="120"/>
      <c r="BG391" s="225"/>
      <c r="BH391" s="225"/>
      <c r="BI391" s="120">
        <f>BH391+(3/24)</f>
        <v>0.125</v>
      </c>
      <c r="BJ391" s="120">
        <f t="shared" si="481"/>
        <v>0.16666666666666666</v>
      </c>
      <c r="BK391" s="120">
        <f>BJ391+(10/24)</f>
        <v>0.58333333333333337</v>
      </c>
      <c r="BL391" s="120">
        <f t="shared" si="483"/>
        <v>0.60416666666666674</v>
      </c>
      <c r="BM391" s="120">
        <f t="shared" si="483"/>
        <v>0.62500000000000011</v>
      </c>
      <c r="BN391" s="120">
        <f>BM391+(0.5/24)</f>
        <v>0.64583333333333348</v>
      </c>
      <c r="BO391" s="124"/>
      <c r="BP391" s="124"/>
      <c r="BQ391" s="124" t="s">
        <v>196</v>
      </c>
      <c r="BR391" s="120">
        <f>BN391+(17/24)</f>
        <v>1.354166666666667</v>
      </c>
      <c r="BS391" s="120">
        <f t="shared" si="485"/>
        <v>1.3958333333333337</v>
      </c>
      <c r="BT391" s="120">
        <f t="shared" ref="BT391:BT395" si="489">BS391+(6/24)</f>
        <v>1.6458333333333337</v>
      </c>
      <c r="BU391" s="120">
        <f t="shared" si="487"/>
        <v>1.666666666666667</v>
      </c>
      <c r="BV391" s="120">
        <f t="shared" si="487"/>
        <v>1.6875000000000002</v>
      </c>
      <c r="BW391" s="120">
        <f t="shared" si="488"/>
        <v>2.104166666666667</v>
      </c>
      <c r="BZ391" s="120"/>
      <c r="CA391" s="120"/>
      <c r="CB391" s="120"/>
      <c r="CC391" s="120"/>
      <c r="CD391" s="120"/>
      <c r="CE391" s="120"/>
      <c r="CF391" s="120"/>
      <c r="CG391" s="120"/>
      <c r="CI391" s="128"/>
      <c r="CJ391" s="128"/>
    </row>
    <row r="392" spans="1:88" s="121" customFormat="1" hidden="1" outlineLevel="1">
      <c r="A392" s="125"/>
      <c r="B392" s="125"/>
      <c r="C392" s="121" t="s">
        <v>4115</v>
      </c>
      <c r="G392" s="124"/>
      <c r="H392" s="124"/>
      <c r="I392" s="122"/>
      <c r="J392" s="121" t="s">
        <v>4110</v>
      </c>
      <c r="M392" s="123"/>
      <c r="P392" s="121" t="s">
        <v>4116</v>
      </c>
      <c r="Q392" s="122"/>
      <c r="R392" s="122"/>
      <c r="S392" s="122"/>
      <c r="T392" s="122"/>
      <c r="BD392" s="120"/>
      <c r="BE392" s="120"/>
      <c r="BF392" s="120"/>
      <c r="BG392" s="120"/>
      <c r="BH392" s="120"/>
      <c r="BI392" s="120">
        <f>BH392+(3/24)</f>
        <v>0.125</v>
      </c>
      <c r="BJ392" s="120">
        <f t="shared" si="481"/>
        <v>0.16666666666666666</v>
      </c>
      <c r="BK392" s="120">
        <f>BJ392+(10/24)</f>
        <v>0.58333333333333337</v>
      </c>
      <c r="BL392" s="120">
        <f t="shared" si="483"/>
        <v>0.60416666666666674</v>
      </c>
      <c r="BM392" s="120">
        <f t="shared" si="483"/>
        <v>0.62500000000000011</v>
      </c>
      <c r="BN392" s="120">
        <f>BM392+(0.5/24)</f>
        <v>0.64583333333333348</v>
      </c>
      <c r="BO392" s="124"/>
      <c r="BP392" s="124"/>
      <c r="BQ392" s="124" t="s">
        <v>196</v>
      </c>
      <c r="BR392" s="120">
        <f>BN392+(24/24)</f>
        <v>1.6458333333333335</v>
      </c>
      <c r="BS392" s="120">
        <f t="shared" si="485"/>
        <v>1.6875000000000002</v>
      </c>
      <c r="BT392" s="120">
        <f t="shared" si="489"/>
        <v>1.9375000000000002</v>
      </c>
      <c r="BU392" s="120">
        <f t="shared" si="487"/>
        <v>1.9583333333333335</v>
      </c>
      <c r="BV392" s="120">
        <f t="shared" si="487"/>
        <v>1.9791666666666667</v>
      </c>
      <c r="BW392" s="120">
        <f>BV392+(17/24)</f>
        <v>2.6875</v>
      </c>
      <c r="BZ392" s="120"/>
      <c r="CA392" s="120"/>
      <c r="CB392" s="120"/>
      <c r="CC392" s="120"/>
      <c r="CD392" s="120"/>
      <c r="CE392" s="120"/>
      <c r="CF392" s="120"/>
      <c r="CG392" s="120"/>
    </row>
    <row r="393" spans="1:88" s="121" customFormat="1" hidden="1" outlineLevel="1">
      <c r="A393" s="125"/>
      <c r="C393" s="121" t="s">
        <v>83</v>
      </c>
      <c r="G393" s="124"/>
      <c r="H393" s="124"/>
      <c r="I393" s="122"/>
      <c r="J393" s="121" t="s">
        <v>4109</v>
      </c>
      <c r="M393" s="123"/>
      <c r="P393" s="121" t="s">
        <v>4117</v>
      </c>
      <c r="Q393" s="122"/>
      <c r="R393" s="122"/>
      <c r="S393" s="122"/>
      <c r="T393" s="122"/>
      <c r="BD393" s="120"/>
      <c r="BE393" s="124"/>
      <c r="BF393" s="124"/>
      <c r="BG393" s="120"/>
      <c r="BH393" s="120"/>
      <c r="BI393" s="120">
        <f>BH393</f>
        <v>0</v>
      </c>
      <c r="BJ393" s="120">
        <f t="shared" si="481"/>
        <v>4.1666666666666664E-2</v>
      </c>
      <c r="BK393" s="120">
        <f>BJ393+(15/24)</f>
        <v>0.66666666666666663</v>
      </c>
      <c r="BL393" s="120">
        <f t="shared" si="483"/>
        <v>0.6875</v>
      </c>
      <c r="BM393" s="120">
        <f t="shared" si="483"/>
        <v>0.70833333333333337</v>
      </c>
      <c r="BN393" s="120">
        <f>BM393</f>
        <v>0.70833333333333337</v>
      </c>
      <c r="BO393" s="124"/>
      <c r="BP393" s="124"/>
      <c r="BQ393" s="124" t="s">
        <v>196</v>
      </c>
      <c r="BR393" s="120">
        <f>BN393+(46/24)</f>
        <v>2.625</v>
      </c>
      <c r="BS393" s="120">
        <f t="shared" si="485"/>
        <v>2.6666666666666665</v>
      </c>
      <c r="BT393" s="120">
        <f t="shared" si="489"/>
        <v>2.9166666666666665</v>
      </c>
      <c r="BU393" s="120">
        <f>BT393+(0.5/24)</f>
        <v>2.9375</v>
      </c>
      <c r="BV393" s="124" t="s">
        <v>196</v>
      </c>
      <c r="BW393" s="124" t="s">
        <v>196</v>
      </c>
      <c r="BZ393" s="124"/>
      <c r="CA393" s="124"/>
      <c r="CB393" s="124"/>
      <c r="CC393" s="124"/>
      <c r="CD393" s="124"/>
      <c r="CE393" s="124"/>
      <c r="CF393" s="124"/>
      <c r="CG393" s="124"/>
      <c r="CJ393" s="128"/>
    </row>
    <row r="394" spans="1:88" s="121" customFormat="1" hidden="1" outlineLevel="1">
      <c r="A394" s="125"/>
      <c r="C394" s="121" t="s">
        <v>83</v>
      </c>
      <c r="G394" s="124"/>
      <c r="H394" s="124"/>
      <c r="I394" s="122"/>
      <c r="J394" s="121" t="s">
        <v>4109</v>
      </c>
      <c r="M394" s="123"/>
      <c r="P394" s="121" t="s">
        <v>4117</v>
      </c>
      <c r="Q394" s="122"/>
      <c r="R394" s="122"/>
      <c r="S394" s="122"/>
      <c r="T394" s="122"/>
      <c r="BD394" s="120"/>
      <c r="BE394" s="124"/>
      <c r="BF394" s="124"/>
      <c r="BG394" s="120"/>
      <c r="BH394" s="120"/>
      <c r="BI394" s="120">
        <f>BH394</f>
        <v>0</v>
      </c>
      <c r="BJ394" s="120">
        <f t="shared" si="481"/>
        <v>4.1666666666666664E-2</v>
      </c>
      <c r="BK394" s="120">
        <f>BJ394+(15/24)</f>
        <v>0.66666666666666663</v>
      </c>
      <c r="BL394" s="120">
        <f t="shared" si="483"/>
        <v>0.6875</v>
      </c>
      <c r="BM394" s="120">
        <f t="shared" si="483"/>
        <v>0.70833333333333337</v>
      </c>
      <c r="BN394" s="120">
        <f>BM394</f>
        <v>0.70833333333333337</v>
      </c>
      <c r="BO394" s="124"/>
      <c r="BP394" s="124"/>
      <c r="BQ394" s="124" t="s">
        <v>196</v>
      </c>
      <c r="BR394" s="120">
        <f>BN394+(52/24)</f>
        <v>2.875</v>
      </c>
      <c r="BS394" s="120">
        <f t="shared" si="485"/>
        <v>2.9166666666666665</v>
      </c>
      <c r="BT394" s="120">
        <f t="shared" si="489"/>
        <v>3.1666666666666665</v>
      </c>
      <c r="BU394" s="120">
        <f>BT394+(0.5/24)</f>
        <v>3.1875</v>
      </c>
      <c r="BV394" s="124" t="s">
        <v>196</v>
      </c>
      <c r="BW394" s="124" t="s">
        <v>196</v>
      </c>
      <c r="BZ394" s="124"/>
      <c r="CA394" s="124"/>
      <c r="CB394" s="124"/>
      <c r="CC394" s="124"/>
      <c r="CD394" s="124"/>
      <c r="CE394" s="124"/>
      <c r="CF394" s="124"/>
      <c r="CG394" s="124"/>
    </row>
    <row r="395" spans="1:88" s="121" customFormat="1" hidden="1" outlineLevel="1">
      <c r="A395" s="125"/>
      <c r="C395" s="121" t="s">
        <v>83</v>
      </c>
      <c r="G395" s="124"/>
      <c r="H395" s="124"/>
      <c r="I395" s="122"/>
      <c r="J395" s="121" t="s">
        <v>4109</v>
      </c>
      <c r="M395" s="123"/>
      <c r="P395" s="121" t="s">
        <v>82</v>
      </c>
      <c r="Q395" s="122"/>
      <c r="R395" s="122"/>
      <c r="S395" s="122"/>
      <c r="T395" s="122"/>
      <c r="BD395" s="120"/>
      <c r="BE395" s="124"/>
      <c r="BF395" s="124"/>
      <c r="BG395" s="120"/>
      <c r="BH395" s="120"/>
      <c r="BI395" s="120">
        <f>BH395</f>
        <v>0</v>
      </c>
      <c r="BJ395" s="120">
        <f t="shared" si="481"/>
        <v>4.1666666666666664E-2</v>
      </c>
      <c r="BK395" s="120">
        <f>BJ395+(15/24)</f>
        <v>0.66666666666666663</v>
      </c>
      <c r="BL395" s="120">
        <f t="shared" si="483"/>
        <v>0.6875</v>
      </c>
      <c r="BM395" s="120">
        <f t="shared" si="483"/>
        <v>0.70833333333333337</v>
      </c>
      <c r="BN395" s="120">
        <f>BM395</f>
        <v>0.70833333333333337</v>
      </c>
      <c r="BO395" s="124"/>
      <c r="BP395" s="124"/>
      <c r="BQ395" s="124" t="s">
        <v>196</v>
      </c>
      <c r="BR395" s="120">
        <f>BN395+(46/24)</f>
        <v>2.625</v>
      </c>
      <c r="BS395" s="120">
        <f t="shared" si="485"/>
        <v>2.6666666666666665</v>
      </c>
      <c r="BT395" s="120">
        <f t="shared" si="489"/>
        <v>2.9166666666666665</v>
      </c>
      <c r="BU395" s="120">
        <f>BT395+(0.5/24)</f>
        <v>2.9375</v>
      </c>
      <c r="BV395" s="124" t="s">
        <v>196</v>
      </c>
      <c r="BW395" s="124" t="s">
        <v>196</v>
      </c>
      <c r="BZ395" s="124"/>
      <c r="CA395" s="124"/>
      <c r="CB395" s="124"/>
      <c r="CC395" s="124"/>
      <c r="CD395" s="124"/>
      <c r="CE395" s="124"/>
      <c r="CF395" s="124"/>
      <c r="CG395" s="124"/>
      <c r="CJ395" s="115"/>
    </row>
    <row r="396" spans="1:88" s="121" customFormat="1" collapsed="1">
      <c r="A396" s="125"/>
      <c r="G396" s="124"/>
      <c r="H396" s="124"/>
      <c r="I396" s="122"/>
      <c r="M396" s="123"/>
      <c r="Q396" s="122"/>
      <c r="R396" s="122"/>
      <c r="S396" s="122"/>
      <c r="T396" s="122"/>
      <c r="BD396" s="120"/>
      <c r="BE396" s="124"/>
      <c r="BF396" s="124"/>
      <c r="BG396" s="120"/>
      <c r="BH396" s="120"/>
      <c r="BI396" s="120"/>
      <c r="BJ396" s="120"/>
      <c r="BK396" s="120"/>
      <c r="BL396" s="120"/>
      <c r="BM396" s="120"/>
      <c r="BN396" s="120"/>
      <c r="BO396" s="124"/>
      <c r="BP396" s="124"/>
      <c r="BQ396" s="124"/>
      <c r="BR396" s="120"/>
      <c r="BS396" s="120"/>
      <c r="BT396" s="120"/>
      <c r="BU396" s="120"/>
      <c r="BV396" s="124"/>
      <c r="BW396" s="124"/>
      <c r="BZ396" s="124"/>
      <c r="CA396" s="124"/>
      <c r="CB396" s="124"/>
      <c r="CC396" s="124"/>
      <c r="CD396" s="124"/>
      <c r="CE396" s="124"/>
      <c r="CF396" s="124"/>
      <c r="CG396" s="124"/>
    </row>
    <row r="397" spans="1:88" s="121" customFormat="1">
      <c r="A397" s="125">
        <f t="shared" ref="A397:A412" si="490">BJ397</f>
        <v>0</v>
      </c>
      <c r="B397" s="138" t="s">
        <v>187</v>
      </c>
      <c r="D397" s="121" t="s">
        <v>197</v>
      </c>
      <c r="E397" s="397"/>
      <c r="F397" s="397"/>
      <c r="G397" s="252"/>
      <c r="H397" s="252"/>
      <c r="I397" s="517"/>
      <c r="J397" s="517"/>
      <c r="K397" s="517"/>
      <c r="L397" s="517"/>
      <c r="M397" s="123"/>
      <c r="N397" s="121" t="s">
        <v>1767</v>
      </c>
      <c r="O397" s="121" t="s">
        <v>308</v>
      </c>
      <c r="P397" s="397"/>
      <c r="Q397" s="122">
        <f>3170*2.4</f>
        <v>7608</v>
      </c>
      <c r="R397" s="122">
        <f>7550+100</f>
        <v>7650</v>
      </c>
      <c r="S397" s="122">
        <v>7650</v>
      </c>
      <c r="T397" s="667"/>
      <c r="U397" s="581"/>
      <c r="V397" s="581"/>
      <c r="W397" s="581"/>
      <c r="X397" s="581"/>
      <c r="Y397" s="581"/>
      <c r="Z397" s="581"/>
      <c r="AA397" s="581"/>
      <c r="AB397" s="115"/>
      <c r="AC397" s="115"/>
      <c r="AD397" s="581"/>
      <c r="AE397" s="581"/>
      <c r="AF397" s="581"/>
      <c r="AG397" s="581"/>
      <c r="AH397" s="581"/>
      <c r="AI397" s="581"/>
      <c r="AJ397" s="581"/>
      <c r="AK397" s="581"/>
      <c r="AL397" s="401"/>
      <c r="AM397" s="401"/>
      <c r="AN397" s="401"/>
      <c r="AO397" s="401"/>
      <c r="AP397" s="401"/>
      <c r="AQ397" s="401"/>
      <c r="AR397" s="401"/>
      <c r="AS397" s="401"/>
      <c r="AT397" s="401"/>
      <c r="AU397" s="401"/>
      <c r="BD397" s="120">
        <f t="shared" ref="BD397:BD412" si="491">BG397</f>
        <v>0</v>
      </c>
      <c r="BE397" s="120">
        <f t="shared" ref="BE397:BE412" si="492">BW397</f>
        <v>0</v>
      </c>
      <c r="BF397" s="137">
        <f t="shared" ref="BF397:BF412" si="493">BE397-BD397</f>
        <v>0</v>
      </c>
      <c r="BG397" s="120"/>
      <c r="BH397" s="120"/>
      <c r="BI397" s="120"/>
      <c r="BJ397" s="120"/>
      <c r="BK397" s="120"/>
      <c r="BL397" s="120"/>
      <c r="BM397" s="120"/>
      <c r="BN397" s="120"/>
      <c r="BO397" s="120"/>
      <c r="BP397" s="120"/>
      <c r="BQ397" s="124"/>
      <c r="BR397" s="120"/>
      <c r="BS397" s="120"/>
      <c r="BT397" s="120"/>
      <c r="BU397" s="120"/>
      <c r="BV397" s="120"/>
      <c r="BW397" s="120"/>
      <c r="BZ397" s="136">
        <f t="shared" ref="BZ397:BZ412" si="494">(BI397-BH397)*24</f>
        <v>0</v>
      </c>
      <c r="CA397" s="136">
        <f t="shared" ref="CA397:CA412" si="495">(BK397-BJ397)*24</f>
        <v>0</v>
      </c>
      <c r="CB397" s="136">
        <f t="shared" ref="CB397:CB412" si="496">(BN397-BM397)*24</f>
        <v>0</v>
      </c>
      <c r="CC397" s="136">
        <f t="shared" ref="CC397:CC412" si="497">(BR397-BP397)*24</f>
        <v>0</v>
      </c>
      <c r="CD397" s="135">
        <f t="shared" ref="CD397:CD412" si="498">(BT397-BS397)*24</f>
        <v>0</v>
      </c>
      <c r="CE397" s="135">
        <f t="shared" ref="CE397:CE412" si="499">(BW397-BV397)*24</f>
        <v>0</v>
      </c>
      <c r="CF397" s="134">
        <f t="shared" ref="CF397:CF412" si="500">SUM(BZ397:CE397)/24</f>
        <v>0</v>
      </c>
      <c r="CG397" s="134">
        <f t="shared" ref="CG397:CG412" si="501">BF397</f>
        <v>0</v>
      </c>
      <c r="CH397" s="133" t="e">
        <f t="shared" ref="CH397:CH412" si="502">CF397/CG397</f>
        <v>#DIV/0!</v>
      </c>
    </row>
    <row r="398" spans="1:88" s="121" customFormat="1">
      <c r="A398" s="125">
        <f t="shared" si="490"/>
        <v>0</v>
      </c>
      <c r="B398" s="138" t="s">
        <v>187</v>
      </c>
      <c r="D398" s="121" t="s">
        <v>197</v>
      </c>
      <c r="E398" s="253"/>
      <c r="F398" s="397"/>
      <c r="G398" s="398"/>
      <c r="H398" s="398"/>
      <c r="K398" s="517"/>
      <c r="M398" s="123"/>
      <c r="N398" s="121" t="s">
        <v>238</v>
      </c>
      <c r="O398" s="121" t="s">
        <v>239</v>
      </c>
      <c r="P398" s="397"/>
      <c r="Q398" s="122">
        <f>3161*2.4</f>
        <v>7586.4</v>
      </c>
      <c r="R398" s="122">
        <f>7550+100</f>
        <v>7650</v>
      </c>
      <c r="S398" s="122">
        <v>7600</v>
      </c>
      <c r="T398" s="667"/>
      <c r="U398" s="581"/>
      <c r="V398" s="581"/>
      <c r="W398" s="581"/>
      <c r="X398" s="581"/>
      <c r="Y398" s="581"/>
      <c r="Z398" s="581"/>
      <c r="AA398" s="581"/>
      <c r="AB398" s="581"/>
      <c r="AC398" s="581"/>
      <c r="AD398" s="581"/>
      <c r="AE398" s="581"/>
      <c r="AF398" s="581"/>
      <c r="AG398" s="401"/>
      <c r="AH398" s="401"/>
      <c r="AI398" s="401"/>
      <c r="AJ398" s="401"/>
      <c r="AK398" s="401"/>
      <c r="AL398" s="401"/>
      <c r="AM398" s="401"/>
      <c r="AN398" s="401"/>
      <c r="AO398" s="115"/>
      <c r="AP398" s="401"/>
      <c r="AQ398" s="401"/>
      <c r="AR398" s="401"/>
      <c r="AS398" s="401"/>
      <c r="AT398" s="401"/>
      <c r="AU398" s="401"/>
      <c r="BD398" s="120">
        <f t="shared" si="491"/>
        <v>0</v>
      </c>
      <c r="BE398" s="120">
        <f t="shared" si="492"/>
        <v>0</v>
      </c>
      <c r="BF398" s="137">
        <f t="shared" si="493"/>
        <v>0</v>
      </c>
      <c r="BG398" s="120"/>
      <c r="BH398" s="120"/>
      <c r="BI398" s="120"/>
      <c r="BJ398" s="120"/>
      <c r="BK398" s="120"/>
      <c r="BL398" s="120"/>
      <c r="BM398" s="120"/>
      <c r="BN398" s="120"/>
      <c r="BO398" s="120"/>
      <c r="BP398" s="120"/>
      <c r="BQ398" s="124"/>
      <c r="BR398" s="120"/>
      <c r="BS398" s="120"/>
      <c r="BT398" s="120"/>
      <c r="BU398" s="120"/>
      <c r="BV398" s="120"/>
      <c r="BW398" s="120"/>
      <c r="BZ398" s="136">
        <f t="shared" si="494"/>
        <v>0</v>
      </c>
      <c r="CA398" s="136">
        <f t="shared" si="495"/>
        <v>0</v>
      </c>
      <c r="CB398" s="136">
        <f t="shared" si="496"/>
        <v>0</v>
      </c>
      <c r="CC398" s="136">
        <f t="shared" si="497"/>
        <v>0</v>
      </c>
      <c r="CD398" s="135">
        <f t="shared" si="498"/>
        <v>0</v>
      </c>
      <c r="CE398" s="135">
        <f t="shared" si="499"/>
        <v>0</v>
      </c>
      <c r="CF398" s="134">
        <f t="shared" si="500"/>
        <v>0</v>
      </c>
      <c r="CG398" s="134">
        <f t="shared" si="501"/>
        <v>0</v>
      </c>
      <c r="CH398" s="133" t="e">
        <f t="shared" si="502"/>
        <v>#DIV/0!</v>
      </c>
    </row>
    <row r="399" spans="1:88">
      <c r="A399" s="125">
        <f t="shared" si="490"/>
        <v>0</v>
      </c>
      <c r="B399" s="138" t="s">
        <v>187</v>
      </c>
      <c r="C399" s="121"/>
      <c r="D399" s="121" t="s">
        <v>197</v>
      </c>
      <c r="E399" s="253"/>
      <c r="F399" s="121"/>
      <c r="G399" s="398"/>
      <c r="H399" s="398"/>
      <c r="I399" s="121"/>
      <c r="J399" s="121"/>
      <c r="K399" s="517"/>
      <c r="L399" s="121"/>
      <c r="M399" s="123"/>
      <c r="N399" s="121" t="s">
        <v>2295</v>
      </c>
      <c r="O399" s="121" t="s">
        <v>2296</v>
      </c>
      <c r="P399" s="397"/>
      <c r="Q399" s="122">
        <f>4272*2.4</f>
        <v>10252.799999999999</v>
      </c>
      <c r="R399" s="122">
        <f>10300+100</f>
        <v>10400</v>
      </c>
      <c r="S399" s="122">
        <v>10300</v>
      </c>
      <c r="T399" s="667"/>
      <c r="U399" s="581"/>
      <c r="V399" s="581"/>
      <c r="W399" s="581"/>
      <c r="X399" s="581"/>
      <c r="Y399" s="581"/>
      <c r="Z399" s="581"/>
      <c r="AA399" s="581"/>
      <c r="AB399" s="581"/>
      <c r="AC399" s="581"/>
      <c r="AD399" s="581"/>
      <c r="AE399" s="581"/>
      <c r="AF399" s="667"/>
      <c r="AG399" s="667"/>
      <c r="AH399" s="667"/>
      <c r="AI399" s="667"/>
      <c r="AJ399" s="667"/>
      <c r="AK399" s="667"/>
      <c r="AL399" s="667"/>
      <c r="AM399" s="667"/>
      <c r="AN399" s="667"/>
      <c r="AO399" s="667"/>
      <c r="AP399" s="667"/>
      <c r="AQ399" s="667"/>
      <c r="AR399" s="667"/>
      <c r="AS399" s="667"/>
      <c r="AT399" s="667"/>
      <c r="AU399" s="667"/>
      <c r="AV399" s="667"/>
      <c r="AW399" s="667"/>
      <c r="AX399" s="121"/>
      <c r="AY399" s="121"/>
      <c r="AZ399" s="121"/>
      <c r="BA399" s="121"/>
      <c r="BB399" s="121"/>
      <c r="BC399" s="121"/>
      <c r="BD399" s="120">
        <f t="shared" si="491"/>
        <v>0</v>
      </c>
      <c r="BE399" s="120">
        <f t="shared" si="492"/>
        <v>0</v>
      </c>
      <c r="BF399" s="137">
        <f t="shared" si="493"/>
        <v>0</v>
      </c>
      <c r="BG399" s="120"/>
      <c r="BH399" s="120"/>
      <c r="BI399" s="120"/>
      <c r="BJ399" s="120"/>
      <c r="BK399" s="120"/>
      <c r="BL399" s="120"/>
      <c r="BM399" s="120"/>
      <c r="BN399" s="120"/>
      <c r="BO399" s="120"/>
      <c r="BP399" s="120"/>
      <c r="BQ399" s="124"/>
      <c r="BR399" s="120"/>
      <c r="BS399" s="120"/>
      <c r="BT399" s="120"/>
      <c r="BU399" s="120"/>
      <c r="BV399" s="120"/>
      <c r="BW399" s="120"/>
      <c r="BX399" s="121"/>
      <c r="BY399" s="121"/>
      <c r="BZ399" s="136">
        <f t="shared" si="494"/>
        <v>0</v>
      </c>
      <c r="CA399" s="136">
        <f t="shared" si="495"/>
        <v>0</v>
      </c>
      <c r="CB399" s="136">
        <f t="shared" si="496"/>
        <v>0</v>
      </c>
      <c r="CC399" s="136">
        <f t="shared" si="497"/>
        <v>0</v>
      </c>
      <c r="CD399" s="135">
        <f t="shared" si="498"/>
        <v>0</v>
      </c>
      <c r="CE399" s="135">
        <f t="shared" si="499"/>
        <v>0</v>
      </c>
      <c r="CF399" s="134">
        <f t="shared" si="500"/>
        <v>0</v>
      </c>
      <c r="CG399" s="134">
        <f t="shared" si="501"/>
        <v>0</v>
      </c>
      <c r="CH399" s="133" t="e">
        <f t="shared" si="502"/>
        <v>#DIV/0!</v>
      </c>
      <c r="CI399" s="121"/>
      <c r="CJ399" s="121"/>
    </row>
    <row r="400" spans="1:88">
      <c r="A400" s="125">
        <f t="shared" si="490"/>
        <v>0</v>
      </c>
      <c r="B400" s="138" t="s">
        <v>187</v>
      </c>
      <c r="C400" s="121"/>
      <c r="D400" s="121" t="s">
        <v>215</v>
      </c>
      <c r="E400" s="253"/>
      <c r="F400" s="121"/>
      <c r="G400" s="398"/>
      <c r="H400" s="398"/>
      <c r="I400" s="121"/>
      <c r="J400" s="121"/>
      <c r="K400" s="517"/>
      <c r="L400" s="121"/>
      <c r="M400" s="123"/>
      <c r="N400" s="121" t="s">
        <v>422</v>
      </c>
      <c r="O400" s="121" t="s">
        <v>3342</v>
      </c>
      <c r="P400" s="517"/>
      <c r="Q400" s="122">
        <f>3094*2.4</f>
        <v>7425.5999999999995</v>
      </c>
      <c r="R400" s="122">
        <f>7450+100</f>
        <v>7550</v>
      </c>
      <c r="S400" s="122">
        <v>7500</v>
      </c>
      <c r="T400" s="399"/>
      <c r="U400" s="581"/>
      <c r="V400" s="581"/>
      <c r="W400" s="581"/>
      <c r="X400" s="581"/>
      <c r="Y400" s="581"/>
      <c r="Z400" s="581"/>
      <c r="AA400" s="581"/>
      <c r="AB400" s="581"/>
      <c r="AC400" s="581"/>
      <c r="AD400" s="581"/>
      <c r="AE400" s="581"/>
      <c r="AF400" s="581"/>
      <c r="AG400" s="581"/>
      <c r="AH400" s="581"/>
      <c r="AI400" s="581"/>
      <c r="AJ400" s="581"/>
      <c r="AK400" s="581"/>
      <c r="AL400" s="581"/>
      <c r="AM400" s="581"/>
      <c r="AN400" s="581"/>
      <c r="AO400" s="581"/>
      <c r="AP400" s="581"/>
      <c r="AQ400" s="581"/>
      <c r="AR400" s="121"/>
      <c r="AS400" s="121"/>
      <c r="AT400" s="121"/>
      <c r="AU400" s="121"/>
      <c r="AV400" s="121"/>
      <c r="AW400" s="121"/>
      <c r="AX400" s="121"/>
      <c r="AY400" s="121"/>
      <c r="AZ400" s="121"/>
      <c r="BA400" s="121"/>
      <c r="BB400" s="121"/>
      <c r="BC400" s="121"/>
      <c r="BD400" s="120">
        <f t="shared" si="491"/>
        <v>0</v>
      </c>
      <c r="BE400" s="120">
        <f t="shared" si="492"/>
        <v>0</v>
      </c>
      <c r="BF400" s="137">
        <f t="shared" si="493"/>
        <v>0</v>
      </c>
      <c r="BG400" s="120"/>
      <c r="BH400" s="120"/>
      <c r="BI400" s="120"/>
      <c r="BJ400" s="120"/>
      <c r="BK400" s="120"/>
      <c r="BL400" s="120"/>
      <c r="BM400" s="120"/>
      <c r="BN400" s="120"/>
      <c r="BO400" s="120"/>
      <c r="BP400" s="120"/>
      <c r="BQ400" s="124"/>
      <c r="BR400" s="120"/>
      <c r="BS400" s="120"/>
      <c r="BT400" s="120"/>
      <c r="BU400" s="120"/>
      <c r="BV400" s="120"/>
      <c r="BW400" s="120"/>
      <c r="BX400" s="121"/>
      <c r="BY400" s="121"/>
      <c r="BZ400" s="136">
        <f t="shared" si="494"/>
        <v>0</v>
      </c>
      <c r="CA400" s="136">
        <f t="shared" si="495"/>
        <v>0</v>
      </c>
      <c r="CB400" s="136">
        <f t="shared" si="496"/>
        <v>0</v>
      </c>
      <c r="CC400" s="136">
        <f t="shared" si="497"/>
        <v>0</v>
      </c>
      <c r="CD400" s="135">
        <f t="shared" si="498"/>
        <v>0</v>
      </c>
      <c r="CE400" s="135">
        <f t="shared" si="499"/>
        <v>0</v>
      </c>
      <c r="CF400" s="134">
        <f t="shared" si="500"/>
        <v>0</v>
      </c>
      <c r="CG400" s="134">
        <f t="shared" si="501"/>
        <v>0</v>
      </c>
      <c r="CH400" s="133" t="e">
        <f t="shared" si="502"/>
        <v>#DIV/0!</v>
      </c>
      <c r="CI400" s="121"/>
      <c r="CJ400" s="121"/>
    </row>
    <row r="401" spans="1:88" s="121" customFormat="1">
      <c r="A401" s="125">
        <f t="shared" si="490"/>
        <v>0</v>
      </c>
      <c r="B401" s="138" t="s">
        <v>187</v>
      </c>
      <c r="D401" s="121" t="s">
        <v>197</v>
      </c>
      <c r="E401" s="253"/>
      <c r="G401" s="398"/>
      <c r="H401" s="398"/>
      <c r="K401" s="517"/>
      <c r="M401" s="123"/>
      <c r="N401" s="121" t="s">
        <v>213</v>
      </c>
      <c r="O401" s="121" t="s">
        <v>214</v>
      </c>
      <c r="P401" s="517"/>
      <c r="Q401" s="122">
        <f>3113*2.4</f>
        <v>7471.2</v>
      </c>
      <c r="R401" s="122">
        <f>7500+100</f>
        <v>7600</v>
      </c>
      <c r="S401" s="122">
        <v>7500</v>
      </c>
      <c r="T401" s="667"/>
      <c r="U401" s="581"/>
      <c r="V401" s="581"/>
      <c r="W401" s="739"/>
      <c r="X401" s="581"/>
      <c r="Y401" s="581"/>
      <c r="Z401" s="739"/>
      <c r="AA401" s="739"/>
      <c r="AB401" s="581"/>
      <c r="AC401" s="581"/>
      <c r="AD401" s="581"/>
      <c r="AE401" s="115"/>
      <c r="AF401" s="581"/>
      <c r="AG401" s="581"/>
      <c r="AH401" s="581"/>
      <c r="AI401" s="667"/>
      <c r="AJ401" s="667"/>
      <c r="AK401" s="667"/>
      <c r="AL401" s="667"/>
      <c r="AM401" s="667"/>
      <c r="AN401" s="667"/>
      <c r="AO401" s="667"/>
      <c r="AP401" s="667"/>
      <c r="AQ401" s="667"/>
      <c r="AR401" s="667"/>
      <c r="AS401" s="667"/>
      <c r="AT401" s="667"/>
      <c r="AU401" s="667"/>
      <c r="AV401" s="667"/>
      <c r="AW401" s="667"/>
      <c r="BD401" s="120">
        <f t="shared" si="491"/>
        <v>0</v>
      </c>
      <c r="BE401" s="120">
        <f t="shared" si="492"/>
        <v>0</v>
      </c>
      <c r="BF401" s="137">
        <f t="shared" si="493"/>
        <v>0</v>
      </c>
      <c r="BG401" s="120"/>
      <c r="BH401" s="120"/>
      <c r="BI401" s="120"/>
      <c r="BJ401" s="120"/>
      <c r="BK401" s="120"/>
      <c r="BL401" s="120"/>
      <c r="BM401" s="120"/>
      <c r="BN401" s="120"/>
      <c r="BO401" s="120"/>
      <c r="BP401" s="120"/>
      <c r="BQ401" s="124"/>
      <c r="BR401" s="120"/>
      <c r="BS401" s="120"/>
      <c r="BT401" s="120"/>
      <c r="BU401" s="120"/>
      <c r="BV401" s="120"/>
      <c r="BW401" s="120"/>
      <c r="BZ401" s="136">
        <f t="shared" si="494"/>
        <v>0</v>
      </c>
      <c r="CA401" s="136">
        <f t="shared" si="495"/>
        <v>0</v>
      </c>
      <c r="CB401" s="136">
        <f t="shared" si="496"/>
        <v>0</v>
      </c>
      <c r="CC401" s="136">
        <f t="shared" si="497"/>
        <v>0</v>
      </c>
      <c r="CD401" s="135">
        <f t="shared" si="498"/>
        <v>0</v>
      </c>
      <c r="CE401" s="135">
        <f t="shared" si="499"/>
        <v>0</v>
      </c>
      <c r="CF401" s="134">
        <f t="shared" si="500"/>
        <v>0</v>
      </c>
      <c r="CG401" s="134">
        <f t="shared" si="501"/>
        <v>0</v>
      </c>
      <c r="CH401" s="133" t="e">
        <f t="shared" si="502"/>
        <v>#DIV/0!</v>
      </c>
      <c r="CI401" s="128"/>
      <c r="CJ401" s="128"/>
    </row>
    <row r="402" spans="1:88" s="128" customFormat="1">
      <c r="A402" s="125">
        <f t="shared" si="490"/>
        <v>0</v>
      </c>
      <c r="B402" s="138" t="s">
        <v>187</v>
      </c>
      <c r="C402" s="121"/>
      <c r="D402" s="121" t="s">
        <v>197</v>
      </c>
      <c r="E402" s="253"/>
      <c r="F402" s="121"/>
      <c r="G402" s="398"/>
      <c r="H402" s="398"/>
      <c r="I402" s="121"/>
      <c r="J402" s="121"/>
      <c r="K402" s="517"/>
      <c r="L402" s="121"/>
      <c r="M402" s="123"/>
      <c r="N402" s="121" t="s">
        <v>3893</v>
      </c>
      <c r="O402" s="121" t="s">
        <v>347</v>
      </c>
      <c r="P402" s="397"/>
      <c r="Q402" s="122">
        <f>3136*2.4</f>
        <v>7526.4</v>
      </c>
      <c r="R402" s="122">
        <f>7550+100</f>
        <v>7650</v>
      </c>
      <c r="S402" s="122">
        <v>7550</v>
      </c>
      <c r="T402" s="667"/>
      <c r="U402" s="581"/>
      <c r="V402" s="581"/>
      <c r="W402" s="581"/>
      <c r="X402" s="581"/>
      <c r="Y402" s="581"/>
      <c r="Z402" s="581"/>
      <c r="AA402" s="739"/>
      <c r="AB402" s="581"/>
      <c r="AC402" s="115"/>
      <c r="AD402" s="581"/>
      <c r="AE402" s="121"/>
      <c r="AF402" s="121"/>
      <c r="AG402" s="121"/>
      <c r="AH402" s="121"/>
      <c r="AI402" s="121"/>
      <c r="AJ402" s="121"/>
      <c r="AK402" s="121"/>
      <c r="AL402" s="121"/>
      <c r="AM402" s="121"/>
      <c r="AN402" s="121"/>
      <c r="AO402" s="739"/>
      <c r="AP402" s="739"/>
      <c r="AQ402" s="739"/>
      <c r="AR402" s="739"/>
      <c r="AS402" s="739"/>
      <c r="AT402" s="739"/>
      <c r="AU402" s="739"/>
      <c r="AV402" s="739"/>
      <c r="AW402" s="739"/>
      <c r="AX402" s="739"/>
      <c r="AY402" s="739"/>
      <c r="AZ402" s="739"/>
      <c r="BA402" s="739"/>
      <c r="BB402" s="739"/>
      <c r="BC402" s="739"/>
      <c r="BD402" s="120">
        <f t="shared" si="491"/>
        <v>0</v>
      </c>
      <c r="BE402" s="120">
        <f t="shared" si="492"/>
        <v>0</v>
      </c>
      <c r="BF402" s="137">
        <f t="shared" si="493"/>
        <v>0</v>
      </c>
      <c r="BG402" s="120"/>
      <c r="BH402" s="120"/>
      <c r="BI402" s="120"/>
      <c r="BJ402" s="120"/>
      <c r="BK402" s="120"/>
      <c r="BL402" s="120"/>
      <c r="BM402" s="120"/>
      <c r="BN402" s="120"/>
      <c r="BO402" s="120"/>
      <c r="BP402" s="120"/>
      <c r="BQ402" s="124"/>
      <c r="BR402" s="120"/>
      <c r="BS402" s="120"/>
      <c r="BT402" s="120"/>
      <c r="BU402" s="120"/>
      <c r="BV402" s="120"/>
      <c r="BW402" s="120"/>
      <c r="BX402" s="121"/>
      <c r="BY402" s="121"/>
      <c r="BZ402" s="136">
        <f t="shared" si="494"/>
        <v>0</v>
      </c>
      <c r="CA402" s="136">
        <f t="shared" si="495"/>
        <v>0</v>
      </c>
      <c r="CB402" s="136">
        <f t="shared" si="496"/>
        <v>0</v>
      </c>
      <c r="CC402" s="136">
        <f t="shared" si="497"/>
        <v>0</v>
      </c>
      <c r="CD402" s="135">
        <f t="shared" si="498"/>
        <v>0</v>
      </c>
      <c r="CE402" s="135">
        <f t="shared" si="499"/>
        <v>0</v>
      </c>
      <c r="CF402" s="134">
        <f t="shared" si="500"/>
        <v>0</v>
      </c>
      <c r="CG402" s="134">
        <f t="shared" si="501"/>
        <v>0</v>
      </c>
      <c r="CH402" s="133" t="e">
        <f t="shared" si="502"/>
        <v>#DIV/0!</v>
      </c>
    </row>
    <row r="403" spans="1:88">
      <c r="A403" s="125">
        <f t="shared" si="490"/>
        <v>0</v>
      </c>
      <c r="B403" s="138" t="s">
        <v>187</v>
      </c>
      <c r="C403" s="121"/>
      <c r="D403" s="121" t="s">
        <v>197</v>
      </c>
      <c r="E403" s="397"/>
      <c r="F403" s="397"/>
      <c r="I403" s="517"/>
      <c r="J403" s="517"/>
      <c r="K403" s="517"/>
      <c r="L403" s="517"/>
      <c r="M403" s="123"/>
      <c r="N403" s="121" t="s">
        <v>226</v>
      </c>
      <c r="O403" s="121" t="s">
        <v>227</v>
      </c>
      <c r="P403" s="397"/>
      <c r="Q403" s="122">
        <f>3100*2.4</f>
        <v>7440</v>
      </c>
      <c r="R403" s="122">
        <f>7450+100</f>
        <v>7550</v>
      </c>
      <c r="S403" s="122">
        <v>7500</v>
      </c>
      <c r="T403" s="667"/>
      <c r="U403" s="581"/>
      <c r="V403" s="581"/>
      <c r="W403" s="581"/>
      <c r="X403" s="581"/>
      <c r="Y403" s="581"/>
      <c r="Z403" s="581"/>
      <c r="AA403" s="581"/>
      <c r="AD403" s="581"/>
      <c r="AE403" s="581"/>
      <c r="AF403" s="581"/>
      <c r="AG403" s="581"/>
      <c r="AH403" s="581"/>
      <c r="AI403" s="581"/>
      <c r="AJ403" s="581"/>
      <c r="AK403" s="581"/>
      <c r="AL403" s="401"/>
      <c r="AM403" s="401"/>
      <c r="AN403" s="401"/>
      <c r="AO403" s="401"/>
      <c r="AP403" s="401"/>
      <c r="AQ403" s="401"/>
      <c r="AR403" s="401"/>
      <c r="AS403" s="401"/>
      <c r="AT403" s="401"/>
      <c r="AU403" s="401"/>
      <c r="AV403" s="121"/>
      <c r="AW403" s="121"/>
      <c r="AX403" s="121"/>
      <c r="AY403" s="121"/>
      <c r="AZ403" s="121"/>
      <c r="BA403" s="121"/>
      <c r="BB403" s="121"/>
      <c r="BC403" s="121"/>
      <c r="BD403" s="120">
        <f t="shared" si="491"/>
        <v>0</v>
      </c>
      <c r="BE403" s="120">
        <f t="shared" si="492"/>
        <v>0</v>
      </c>
      <c r="BF403" s="137">
        <f t="shared" si="493"/>
        <v>0</v>
      </c>
      <c r="BG403" s="120"/>
      <c r="BH403" s="120"/>
      <c r="BI403" s="120"/>
      <c r="BJ403" s="120"/>
      <c r="BK403" s="120"/>
      <c r="BL403" s="120"/>
      <c r="BM403" s="120"/>
      <c r="BN403" s="120"/>
      <c r="BO403" s="120"/>
      <c r="BP403" s="120"/>
      <c r="BQ403" s="124"/>
      <c r="BR403" s="120"/>
      <c r="BS403" s="120"/>
      <c r="BT403" s="120"/>
      <c r="BU403" s="120"/>
      <c r="BV403" s="120"/>
      <c r="BW403" s="120"/>
      <c r="BX403" s="121"/>
      <c r="BY403" s="121"/>
      <c r="BZ403" s="136">
        <f t="shared" si="494"/>
        <v>0</v>
      </c>
      <c r="CA403" s="136">
        <f t="shared" si="495"/>
        <v>0</v>
      </c>
      <c r="CB403" s="136">
        <f t="shared" si="496"/>
        <v>0</v>
      </c>
      <c r="CC403" s="136">
        <f t="shared" si="497"/>
        <v>0</v>
      </c>
      <c r="CD403" s="135">
        <f t="shared" si="498"/>
        <v>0</v>
      </c>
      <c r="CE403" s="135">
        <f t="shared" si="499"/>
        <v>0</v>
      </c>
      <c r="CF403" s="134">
        <f t="shared" si="500"/>
        <v>0</v>
      </c>
      <c r="CG403" s="134">
        <f t="shared" si="501"/>
        <v>0</v>
      </c>
      <c r="CH403" s="133" t="e">
        <f t="shared" si="502"/>
        <v>#DIV/0!</v>
      </c>
      <c r="CI403" s="121"/>
      <c r="CJ403" s="121"/>
    </row>
    <row r="404" spans="1:88" s="121" customFormat="1">
      <c r="A404" s="125">
        <f t="shared" si="490"/>
        <v>0</v>
      </c>
      <c r="B404" s="138" t="s">
        <v>187</v>
      </c>
      <c r="D404" s="121" t="s">
        <v>197</v>
      </c>
      <c r="E404" s="253"/>
      <c r="F404" s="397"/>
      <c r="G404" s="398"/>
      <c r="H404" s="398"/>
      <c r="K404" s="517"/>
      <c r="M404" s="123"/>
      <c r="N404" s="121" t="s">
        <v>260</v>
      </c>
      <c r="O404" s="121" t="s">
        <v>368</v>
      </c>
      <c r="P404" s="397"/>
      <c r="Q404" s="122">
        <f>4111*2.4</f>
        <v>9866.4</v>
      </c>
      <c r="R404" s="122">
        <f>9900+100</f>
        <v>10000</v>
      </c>
      <c r="S404" s="122">
        <v>9900</v>
      </c>
      <c r="T404" s="667"/>
      <c r="U404" s="581"/>
      <c r="V404" s="581"/>
      <c r="W404" s="581"/>
      <c r="X404" s="581"/>
      <c r="Y404" s="581"/>
      <c r="Z404" s="581"/>
      <c r="AA404" s="581"/>
      <c r="AB404" s="581"/>
      <c r="AC404" s="401"/>
      <c r="AD404" s="401"/>
      <c r="AE404" s="401"/>
      <c r="AF404" s="401"/>
      <c r="AG404" s="401"/>
      <c r="AH404" s="401"/>
      <c r="AI404" s="401"/>
      <c r="AJ404" s="401"/>
      <c r="AK404" s="401"/>
      <c r="AL404" s="401"/>
      <c r="AM404" s="401"/>
      <c r="AN404" s="401"/>
      <c r="AO404" s="401"/>
      <c r="AP404" s="401"/>
      <c r="AQ404" s="401"/>
      <c r="AR404" s="401"/>
      <c r="AS404" s="401"/>
      <c r="AT404" s="401"/>
      <c r="AU404" s="401"/>
      <c r="AV404" s="401"/>
      <c r="AW404" s="401"/>
      <c r="AX404" s="401"/>
      <c r="AY404" s="401"/>
      <c r="AZ404" s="401"/>
      <c r="BA404" s="401"/>
      <c r="BB404" s="401"/>
      <c r="BC404" s="401"/>
      <c r="BD404" s="120">
        <f t="shared" si="491"/>
        <v>0</v>
      </c>
      <c r="BE404" s="120">
        <f t="shared" si="492"/>
        <v>0</v>
      </c>
      <c r="BF404" s="137">
        <f t="shared" si="493"/>
        <v>0</v>
      </c>
      <c r="BG404" s="120"/>
      <c r="BH404" s="120"/>
      <c r="BI404" s="120"/>
      <c r="BJ404" s="120"/>
      <c r="BK404" s="120"/>
      <c r="BL404" s="120"/>
      <c r="BM404" s="120"/>
      <c r="BN404" s="120"/>
      <c r="BO404" s="120"/>
      <c r="BP404" s="120"/>
      <c r="BQ404" s="124"/>
      <c r="BR404" s="120"/>
      <c r="BS404" s="120"/>
      <c r="BT404" s="120"/>
      <c r="BU404" s="120"/>
      <c r="BV404" s="120"/>
      <c r="BW404" s="120"/>
      <c r="BZ404" s="136">
        <f t="shared" si="494"/>
        <v>0</v>
      </c>
      <c r="CA404" s="136">
        <f t="shared" si="495"/>
        <v>0</v>
      </c>
      <c r="CB404" s="136">
        <f t="shared" si="496"/>
        <v>0</v>
      </c>
      <c r="CC404" s="136">
        <f t="shared" si="497"/>
        <v>0</v>
      </c>
      <c r="CD404" s="135">
        <f t="shared" si="498"/>
        <v>0</v>
      </c>
      <c r="CE404" s="135">
        <f t="shared" si="499"/>
        <v>0</v>
      </c>
      <c r="CF404" s="134">
        <f t="shared" si="500"/>
        <v>0</v>
      </c>
      <c r="CG404" s="134">
        <f t="shared" si="501"/>
        <v>0</v>
      </c>
      <c r="CH404" s="133" t="e">
        <f t="shared" si="502"/>
        <v>#DIV/0!</v>
      </c>
      <c r="CI404" s="128"/>
      <c r="CJ404" s="115"/>
    </row>
    <row r="405" spans="1:88" s="128" customFormat="1">
      <c r="A405" s="125">
        <f t="shared" si="490"/>
        <v>0</v>
      </c>
      <c r="B405" s="138" t="s">
        <v>187</v>
      </c>
      <c r="C405" s="121"/>
      <c r="D405" s="121" t="s">
        <v>197</v>
      </c>
      <c r="E405" s="253"/>
      <c r="F405" s="397"/>
      <c r="G405" s="398"/>
      <c r="H405" s="398"/>
      <c r="I405" s="121"/>
      <c r="J405" s="121"/>
      <c r="K405" s="517"/>
      <c r="L405" s="121"/>
      <c r="M405" s="123"/>
      <c r="N405" s="121" t="s">
        <v>695</v>
      </c>
      <c r="O405" s="121" t="s">
        <v>281</v>
      </c>
      <c r="P405" s="397"/>
      <c r="Q405" s="122">
        <f>3102*2.4</f>
        <v>7444.7999999999993</v>
      </c>
      <c r="R405" s="122">
        <f>7450+100</f>
        <v>7550</v>
      </c>
      <c r="S405" s="122">
        <v>7500</v>
      </c>
      <c r="T405" s="667"/>
      <c r="U405" s="581"/>
      <c r="V405" s="581"/>
      <c r="W405" s="581"/>
      <c r="X405" s="581"/>
      <c r="Y405" s="581"/>
      <c r="Z405" s="581"/>
      <c r="AA405" s="581"/>
      <c r="AB405" s="581"/>
      <c r="AC405" s="581"/>
      <c r="AD405" s="581"/>
      <c r="AE405" s="581"/>
      <c r="AF405" s="581"/>
      <c r="AG405" s="581"/>
      <c r="AH405" s="575"/>
      <c r="AI405" s="575"/>
      <c r="AJ405" s="115"/>
      <c r="AK405" s="115"/>
      <c r="AL405" s="115"/>
      <c r="AM405" s="115"/>
      <c r="AN405" s="115"/>
      <c r="AO405" s="115"/>
      <c r="AP405" s="115"/>
      <c r="AQ405" s="115"/>
      <c r="AR405" s="121"/>
      <c r="AS405" s="121"/>
      <c r="AT405" s="121"/>
      <c r="AU405" s="121"/>
      <c r="AV405" s="121"/>
      <c r="AW405" s="121"/>
      <c r="AX405" s="121"/>
      <c r="AY405" s="121"/>
      <c r="AZ405" s="121"/>
      <c r="BA405" s="121"/>
      <c r="BB405" s="121"/>
      <c r="BC405" s="121"/>
      <c r="BD405" s="120">
        <f t="shared" si="491"/>
        <v>0</v>
      </c>
      <c r="BE405" s="120">
        <f t="shared" si="492"/>
        <v>0</v>
      </c>
      <c r="BF405" s="137">
        <f t="shared" si="493"/>
        <v>0</v>
      </c>
      <c r="BG405" s="120"/>
      <c r="BH405" s="120"/>
      <c r="BI405" s="120"/>
      <c r="BJ405" s="120"/>
      <c r="BK405" s="120"/>
      <c r="BL405" s="120"/>
      <c r="BM405" s="120"/>
      <c r="BN405" s="120"/>
      <c r="BO405" s="120"/>
      <c r="BP405" s="120"/>
      <c r="BQ405" s="124"/>
      <c r="BR405" s="120"/>
      <c r="BS405" s="120"/>
      <c r="BT405" s="120"/>
      <c r="BU405" s="120"/>
      <c r="BV405" s="120"/>
      <c r="BW405" s="120"/>
      <c r="BX405" s="121"/>
      <c r="BY405" s="121"/>
      <c r="BZ405" s="136">
        <f t="shared" si="494"/>
        <v>0</v>
      </c>
      <c r="CA405" s="136">
        <f t="shared" si="495"/>
        <v>0</v>
      </c>
      <c r="CB405" s="136">
        <f t="shared" si="496"/>
        <v>0</v>
      </c>
      <c r="CC405" s="136">
        <f t="shared" si="497"/>
        <v>0</v>
      </c>
      <c r="CD405" s="135">
        <f t="shared" si="498"/>
        <v>0</v>
      </c>
      <c r="CE405" s="135">
        <f t="shared" si="499"/>
        <v>0</v>
      </c>
      <c r="CF405" s="134">
        <f t="shared" si="500"/>
        <v>0</v>
      </c>
      <c r="CG405" s="134">
        <f t="shared" si="501"/>
        <v>0</v>
      </c>
      <c r="CH405" s="133" t="e">
        <f t="shared" si="502"/>
        <v>#DIV/0!</v>
      </c>
      <c r="CI405" s="121"/>
      <c r="CJ405" s="121"/>
    </row>
    <row r="406" spans="1:88">
      <c r="A406" s="125">
        <f t="shared" si="490"/>
        <v>0</v>
      </c>
      <c r="B406" s="138" t="s">
        <v>187</v>
      </c>
      <c r="C406" s="121"/>
      <c r="D406" s="121" t="s">
        <v>197</v>
      </c>
      <c r="E406" s="253"/>
      <c r="F406" s="397"/>
      <c r="G406" s="398"/>
      <c r="H406" s="398"/>
      <c r="I406" s="121"/>
      <c r="J406" s="121"/>
      <c r="K406" s="517"/>
      <c r="L406" s="121"/>
      <c r="M406" s="123"/>
      <c r="N406" s="121" t="s">
        <v>292</v>
      </c>
      <c r="O406" s="121" t="s">
        <v>268</v>
      </c>
      <c r="P406" s="397"/>
      <c r="Q406" s="122">
        <f>3142*2.4</f>
        <v>7540.7999999999993</v>
      </c>
      <c r="R406" s="122">
        <f>7550+100</f>
        <v>7650</v>
      </c>
      <c r="S406" s="122">
        <v>7550</v>
      </c>
      <c r="T406" s="667"/>
      <c r="U406" s="581"/>
      <c r="V406" s="581"/>
      <c r="W406" s="581"/>
      <c r="X406" s="581"/>
      <c r="Y406" s="581"/>
      <c r="Z406" s="581"/>
      <c r="AA406" s="581"/>
      <c r="AB406" s="581"/>
      <c r="AC406" s="401"/>
      <c r="AD406" s="401"/>
      <c r="AE406" s="739"/>
      <c r="AF406" s="739"/>
      <c r="AG406" s="739"/>
      <c r="AH406" s="739"/>
      <c r="AR406" s="121"/>
      <c r="AS406" s="121"/>
      <c r="AT406" s="121"/>
      <c r="AU406" s="121"/>
      <c r="AV406" s="121"/>
      <c r="AW406" s="121"/>
      <c r="AX406" s="121"/>
      <c r="AY406" s="121"/>
      <c r="AZ406" s="121"/>
      <c r="BA406" s="121"/>
      <c r="BB406" s="121"/>
      <c r="BC406" s="121"/>
      <c r="BD406" s="120">
        <f t="shared" si="491"/>
        <v>0</v>
      </c>
      <c r="BE406" s="120">
        <f t="shared" si="492"/>
        <v>0</v>
      </c>
      <c r="BF406" s="137">
        <f t="shared" si="493"/>
        <v>0</v>
      </c>
      <c r="BG406" s="120"/>
      <c r="BH406" s="120"/>
      <c r="BI406" s="120"/>
      <c r="BJ406" s="120"/>
      <c r="BK406" s="120"/>
      <c r="BL406" s="120"/>
      <c r="BM406" s="120"/>
      <c r="BN406" s="120"/>
      <c r="BO406" s="120"/>
      <c r="BP406" s="120"/>
      <c r="BQ406" s="124"/>
      <c r="BR406" s="120"/>
      <c r="BS406" s="120"/>
      <c r="BT406" s="120"/>
      <c r="BU406" s="120"/>
      <c r="BV406" s="120"/>
      <c r="BW406" s="120"/>
      <c r="BX406" s="121"/>
      <c r="BY406" s="121"/>
      <c r="BZ406" s="136">
        <f t="shared" si="494"/>
        <v>0</v>
      </c>
      <c r="CA406" s="136">
        <f t="shared" si="495"/>
        <v>0</v>
      </c>
      <c r="CB406" s="136">
        <f t="shared" si="496"/>
        <v>0</v>
      </c>
      <c r="CC406" s="136">
        <f t="shared" si="497"/>
        <v>0</v>
      </c>
      <c r="CD406" s="135">
        <f t="shared" si="498"/>
        <v>0</v>
      </c>
      <c r="CE406" s="135">
        <f t="shared" si="499"/>
        <v>0</v>
      </c>
      <c r="CF406" s="134">
        <f t="shared" si="500"/>
        <v>0</v>
      </c>
      <c r="CG406" s="134">
        <f t="shared" si="501"/>
        <v>0</v>
      </c>
      <c r="CH406" s="133" t="e">
        <f t="shared" si="502"/>
        <v>#DIV/0!</v>
      </c>
      <c r="CJ406" s="121"/>
    </row>
    <row r="407" spans="1:88" s="128" customFormat="1">
      <c r="A407" s="125">
        <f t="shared" si="490"/>
        <v>0</v>
      </c>
      <c r="B407" s="138" t="s">
        <v>187</v>
      </c>
      <c r="C407" s="121"/>
      <c r="D407" s="121" t="s">
        <v>215</v>
      </c>
      <c r="E407" s="253"/>
      <c r="F407" s="397"/>
      <c r="G407" s="398"/>
      <c r="H407" s="398"/>
      <c r="I407" s="121"/>
      <c r="J407" s="121"/>
      <c r="K407" s="517"/>
      <c r="L407" s="121"/>
      <c r="M407" s="123"/>
      <c r="N407" s="121" t="s">
        <v>774</v>
      </c>
      <c r="O407" s="121" t="s">
        <v>423</v>
      </c>
      <c r="P407" s="397"/>
      <c r="Q407" s="122">
        <f>3156*2.4</f>
        <v>7574.4</v>
      </c>
      <c r="R407" s="122">
        <f>7600+100</f>
        <v>7700</v>
      </c>
      <c r="S407" s="122">
        <v>7600</v>
      </c>
      <c r="T407" s="667"/>
      <c r="U407" s="581"/>
      <c r="V407" s="581"/>
      <c r="W407" s="581"/>
      <c r="X407" s="581"/>
      <c r="Y407" s="581"/>
      <c r="Z407" s="581"/>
      <c r="AA407" s="581"/>
      <c r="AB407" s="581"/>
      <c r="AC407" s="581"/>
      <c r="AD407" s="581"/>
      <c r="AE407" s="581"/>
      <c r="AF407" s="581"/>
      <c r="AG407" s="581"/>
      <c r="AH407" s="581"/>
      <c r="AI407" s="581"/>
      <c r="AJ407" s="581"/>
      <c r="AK407" s="581"/>
      <c r="AL407" s="581"/>
      <c r="AM407" s="581"/>
      <c r="AN407" s="581"/>
      <c r="AO407" s="581"/>
      <c r="AP407" s="581"/>
      <c r="AQ407" s="581"/>
      <c r="AR407" s="581"/>
      <c r="AS407" s="581"/>
      <c r="AT407" s="581"/>
      <c r="AU407" s="581"/>
      <c r="AV407" s="581"/>
      <c r="AW407" s="581"/>
      <c r="AX407" s="581"/>
      <c r="AY407" s="581"/>
      <c r="AZ407" s="581"/>
      <c r="BA407" s="581"/>
      <c r="BB407" s="581"/>
      <c r="BC407" s="581"/>
      <c r="BD407" s="120">
        <f t="shared" si="491"/>
        <v>0</v>
      </c>
      <c r="BE407" s="120">
        <f t="shared" si="492"/>
        <v>0</v>
      </c>
      <c r="BF407" s="137">
        <f t="shared" si="493"/>
        <v>0</v>
      </c>
      <c r="BG407" s="120"/>
      <c r="BH407" s="120"/>
      <c r="BI407" s="120"/>
      <c r="BJ407" s="120"/>
      <c r="BK407" s="120"/>
      <c r="BL407" s="120"/>
      <c r="BM407" s="120"/>
      <c r="BN407" s="120"/>
      <c r="BO407" s="120"/>
      <c r="BP407" s="120"/>
      <c r="BQ407" s="124"/>
      <c r="BR407" s="120"/>
      <c r="BS407" s="120"/>
      <c r="BT407" s="120"/>
      <c r="BU407" s="120"/>
      <c r="BV407" s="120"/>
      <c r="BW407" s="120"/>
      <c r="BX407" s="121"/>
      <c r="BY407" s="121"/>
      <c r="BZ407" s="136">
        <f t="shared" si="494"/>
        <v>0</v>
      </c>
      <c r="CA407" s="136">
        <f t="shared" si="495"/>
        <v>0</v>
      </c>
      <c r="CB407" s="136">
        <f t="shared" si="496"/>
        <v>0</v>
      </c>
      <c r="CC407" s="136">
        <f t="shared" si="497"/>
        <v>0</v>
      </c>
      <c r="CD407" s="135">
        <f t="shared" si="498"/>
        <v>0</v>
      </c>
      <c r="CE407" s="135">
        <f t="shared" si="499"/>
        <v>0</v>
      </c>
      <c r="CF407" s="134">
        <f t="shared" si="500"/>
        <v>0</v>
      </c>
      <c r="CG407" s="134">
        <f t="shared" si="501"/>
        <v>0</v>
      </c>
      <c r="CH407" s="133" t="e">
        <f t="shared" si="502"/>
        <v>#DIV/0!</v>
      </c>
      <c r="CJ407" s="115"/>
    </row>
    <row r="408" spans="1:88">
      <c r="A408" s="125">
        <f t="shared" si="490"/>
        <v>0</v>
      </c>
      <c r="B408" s="138" t="s">
        <v>187</v>
      </c>
      <c r="C408" s="121"/>
      <c r="D408" s="121" t="s">
        <v>197</v>
      </c>
      <c r="E408" s="253"/>
      <c r="F408" s="397"/>
      <c r="G408" s="398"/>
      <c r="H408" s="398"/>
      <c r="I408" s="121"/>
      <c r="J408" s="121"/>
      <c r="K408" s="397"/>
      <c r="L408" s="121"/>
      <c r="M408" s="123"/>
      <c r="N408" s="121" t="s">
        <v>1767</v>
      </c>
      <c r="O408" s="121" t="s">
        <v>2352</v>
      </c>
      <c r="P408" s="397"/>
      <c r="Q408" s="122">
        <f>3139*2.4</f>
        <v>7533.5999999999995</v>
      </c>
      <c r="R408" s="122">
        <f>7550+100</f>
        <v>7650</v>
      </c>
      <c r="S408" s="122">
        <v>7550</v>
      </c>
      <c r="T408" s="122"/>
      <c r="U408" s="581"/>
      <c r="V408" s="581"/>
      <c r="W408" s="581"/>
      <c r="X408" s="581"/>
      <c r="Y408" s="581"/>
      <c r="Z408" s="581"/>
      <c r="AA408" s="581"/>
      <c r="AB408" s="581"/>
      <c r="AC408" s="581"/>
      <c r="AD408" s="581"/>
      <c r="AE408" s="581"/>
      <c r="AF408" s="581"/>
      <c r="AG408" s="581"/>
      <c r="AH408" s="581"/>
      <c r="AI408" s="581"/>
      <c r="AJ408" s="581"/>
      <c r="AK408" s="581"/>
      <c r="AL408" s="581"/>
      <c r="AM408" s="581"/>
      <c r="AN408" s="581"/>
      <c r="AO408" s="581"/>
      <c r="AP408" s="581"/>
      <c r="AQ408" s="581"/>
      <c r="AW408" s="121"/>
      <c r="AX408" s="121"/>
      <c r="AY408" s="121"/>
      <c r="AZ408" s="121"/>
      <c r="BA408" s="121"/>
      <c r="BB408" s="121"/>
      <c r="BC408" s="121"/>
      <c r="BD408" s="120">
        <f t="shared" si="491"/>
        <v>0</v>
      </c>
      <c r="BE408" s="120">
        <f t="shared" si="492"/>
        <v>0</v>
      </c>
      <c r="BF408" s="137">
        <f t="shared" si="493"/>
        <v>0</v>
      </c>
      <c r="BG408" s="120"/>
      <c r="BH408" s="120"/>
      <c r="BI408" s="120"/>
      <c r="BJ408" s="120"/>
      <c r="BK408" s="120"/>
      <c r="BL408" s="120"/>
      <c r="BM408" s="120"/>
      <c r="BN408" s="120"/>
      <c r="BO408" s="120"/>
      <c r="BP408" s="120"/>
      <c r="BQ408" s="124"/>
      <c r="BR408" s="120"/>
      <c r="BS408" s="120"/>
      <c r="BT408" s="120"/>
      <c r="BU408" s="120"/>
      <c r="BV408" s="120"/>
      <c r="BW408" s="120"/>
      <c r="BX408" s="121"/>
      <c r="BY408" s="121"/>
      <c r="BZ408" s="136">
        <f t="shared" si="494"/>
        <v>0</v>
      </c>
      <c r="CA408" s="136">
        <f t="shared" si="495"/>
        <v>0</v>
      </c>
      <c r="CB408" s="136">
        <f t="shared" si="496"/>
        <v>0</v>
      </c>
      <c r="CC408" s="136">
        <f t="shared" si="497"/>
        <v>0</v>
      </c>
      <c r="CD408" s="135">
        <f t="shared" si="498"/>
        <v>0</v>
      </c>
      <c r="CE408" s="135">
        <f t="shared" si="499"/>
        <v>0</v>
      </c>
      <c r="CF408" s="134">
        <f t="shared" si="500"/>
        <v>0</v>
      </c>
      <c r="CG408" s="134">
        <f t="shared" si="501"/>
        <v>0</v>
      </c>
      <c r="CH408" s="133" t="e">
        <f t="shared" si="502"/>
        <v>#DIV/0!</v>
      </c>
      <c r="CI408" s="121"/>
      <c r="CJ408" s="121"/>
    </row>
    <row r="409" spans="1:88">
      <c r="A409" s="125">
        <f t="shared" si="490"/>
        <v>0</v>
      </c>
      <c r="B409" s="138" t="s">
        <v>187</v>
      </c>
      <c r="C409" s="121"/>
      <c r="D409" s="121" t="s">
        <v>197</v>
      </c>
      <c r="E409" s="253"/>
      <c r="F409" s="121"/>
      <c r="G409" s="398"/>
      <c r="H409" s="398"/>
      <c r="I409" s="121"/>
      <c r="J409" s="121"/>
      <c r="K409" s="517"/>
      <c r="L409" s="517"/>
      <c r="M409" s="123"/>
      <c r="N409" s="121" t="s">
        <v>292</v>
      </c>
      <c r="O409" s="121" t="s">
        <v>293</v>
      </c>
      <c r="P409" s="397"/>
      <c r="Q409" s="122">
        <f>3142*2.4</f>
        <v>7540.7999999999993</v>
      </c>
      <c r="R409" s="122">
        <f>7550+100</f>
        <v>7650</v>
      </c>
      <c r="S409" s="122">
        <v>7550</v>
      </c>
      <c r="T409" s="667"/>
      <c r="U409" s="581"/>
      <c r="V409" s="581"/>
      <c r="W409" s="581"/>
      <c r="X409" s="581"/>
      <c r="Y409" s="581"/>
      <c r="Z409" s="581"/>
      <c r="AA409" s="581"/>
      <c r="AB409" s="581"/>
      <c r="AC409" s="581"/>
      <c r="AD409" s="581"/>
      <c r="AE409" s="739"/>
      <c r="AF409" s="739"/>
      <c r="AG409" s="739"/>
      <c r="AH409" s="739"/>
      <c r="AR409" s="121"/>
      <c r="AS409" s="121"/>
      <c r="AT409" s="121"/>
      <c r="AU409" s="121"/>
      <c r="AV409" s="121"/>
      <c r="AW409" s="121"/>
      <c r="AX409" s="121"/>
      <c r="AY409" s="121"/>
      <c r="AZ409" s="121"/>
      <c r="BA409" s="121"/>
      <c r="BB409" s="121"/>
      <c r="BC409" s="121"/>
      <c r="BD409" s="120">
        <f t="shared" si="491"/>
        <v>0</v>
      </c>
      <c r="BE409" s="120">
        <f t="shared" si="492"/>
        <v>0</v>
      </c>
      <c r="BF409" s="137">
        <f t="shared" si="493"/>
        <v>0</v>
      </c>
      <c r="BG409" s="120"/>
      <c r="BH409" s="120"/>
      <c r="BI409" s="120"/>
      <c r="BJ409" s="120"/>
      <c r="BK409" s="120"/>
      <c r="BL409" s="120"/>
      <c r="BM409" s="120"/>
      <c r="BN409" s="120"/>
      <c r="BO409" s="120"/>
      <c r="BP409" s="120"/>
      <c r="BQ409" s="124"/>
      <c r="BR409" s="120"/>
      <c r="BS409" s="120"/>
      <c r="BT409" s="120"/>
      <c r="BU409" s="120"/>
      <c r="BV409" s="120"/>
      <c r="BW409" s="120"/>
      <c r="BX409" s="121"/>
      <c r="BY409" s="121"/>
      <c r="BZ409" s="136">
        <f t="shared" si="494"/>
        <v>0</v>
      </c>
      <c r="CA409" s="136">
        <f t="shared" si="495"/>
        <v>0</v>
      </c>
      <c r="CB409" s="136">
        <f t="shared" si="496"/>
        <v>0</v>
      </c>
      <c r="CC409" s="136">
        <f t="shared" si="497"/>
        <v>0</v>
      </c>
      <c r="CD409" s="135">
        <f t="shared" si="498"/>
        <v>0</v>
      </c>
      <c r="CE409" s="135">
        <f t="shared" si="499"/>
        <v>0</v>
      </c>
      <c r="CF409" s="134">
        <f t="shared" si="500"/>
        <v>0</v>
      </c>
      <c r="CG409" s="134">
        <f t="shared" si="501"/>
        <v>0</v>
      </c>
      <c r="CH409" s="133" t="e">
        <f t="shared" si="502"/>
        <v>#DIV/0!</v>
      </c>
      <c r="CJ409" s="121"/>
    </row>
    <row r="410" spans="1:88">
      <c r="A410" s="125">
        <f t="shared" si="490"/>
        <v>0</v>
      </c>
      <c r="B410" s="138" t="s">
        <v>187</v>
      </c>
      <c r="C410" s="121"/>
      <c r="D410" s="121" t="s">
        <v>197</v>
      </c>
      <c r="E410" s="253"/>
      <c r="F410" s="397"/>
      <c r="I410" s="517"/>
      <c r="J410" s="517"/>
      <c r="K410" s="517"/>
      <c r="L410" s="517"/>
      <c r="M410" s="123"/>
      <c r="N410" s="121" t="s">
        <v>361</v>
      </c>
      <c r="O410" s="121" t="s">
        <v>362</v>
      </c>
      <c r="P410" s="397"/>
      <c r="Q410" s="122">
        <f>3117*2.4</f>
        <v>7480.7999999999993</v>
      </c>
      <c r="R410" s="122">
        <f>7500+100</f>
        <v>7600</v>
      </c>
      <c r="S410" s="122">
        <v>7500</v>
      </c>
      <c r="T410" s="667"/>
      <c r="U410" s="581"/>
      <c r="V410" s="581"/>
      <c r="W410" s="581"/>
      <c r="X410" s="581"/>
      <c r="Y410" s="581"/>
      <c r="Z410" s="581"/>
      <c r="AA410" s="581"/>
      <c r="AB410" s="581"/>
      <c r="AC410" s="581"/>
      <c r="AD410" s="581"/>
      <c r="AE410" s="581"/>
      <c r="AF410" s="581"/>
      <c r="AG410" s="581"/>
      <c r="AH410" s="581"/>
      <c r="AI410" s="581"/>
      <c r="AJ410" s="581"/>
      <c r="AK410" s="581"/>
      <c r="AW410" s="121"/>
      <c r="AX410" s="121"/>
      <c r="AY410" s="121"/>
      <c r="AZ410" s="121"/>
      <c r="BA410" s="121"/>
      <c r="BB410" s="121"/>
      <c r="BC410" s="121"/>
      <c r="BD410" s="120">
        <f t="shared" si="491"/>
        <v>0</v>
      </c>
      <c r="BE410" s="120">
        <f t="shared" si="492"/>
        <v>0</v>
      </c>
      <c r="BF410" s="137">
        <f t="shared" si="493"/>
        <v>0</v>
      </c>
      <c r="BG410" s="120"/>
      <c r="BH410" s="120"/>
      <c r="BI410" s="120"/>
      <c r="BJ410" s="120"/>
      <c r="BK410" s="120"/>
      <c r="BL410" s="120"/>
      <c r="BM410" s="120"/>
      <c r="BN410" s="120"/>
      <c r="BO410" s="120"/>
      <c r="BP410" s="120"/>
      <c r="BQ410" s="124"/>
      <c r="BR410" s="120"/>
      <c r="BS410" s="120"/>
      <c r="BT410" s="120"/>
      <c r="BU410" s="120"/>
      <c r="BV410" s="120"/>
      <c r="BW410" s="120"/>
      <c r="BX410" s="121"/>
      <c r="BY410" s="121"/>
      <c r="BZ410" s="136">
        <f t="shared" si="494"/>
        <v>0</v>
      </c>
      <c r="CA410" s="136">
        <f t="shared" si="495"/>
        <v>0</v>
      </c>
      <c r="CB410" s="136">
        <f t="shared" si="496"/>
        <v>0</v>
      </c>
      <c r="CC410" s="136">
        <f t="shared" si="497"/>
        <v>0</v>
      </c>
      <c r="CD410" s="135">
        <f t="shared" si="498"/>
        <v>0</v>
      </c>
      <c r="CE410" s="135">
        <f t="shared" si="499"/>
        <v>0</v>
      </c>
      <c r="CF410" s="134">
        <f t="shared" si="500"/>
        <v>0</v>
      </c>
      <c r="CG410" s="134">
        <f t="shared" si="501"/>
        <v>0</v>
      </c>
      <c r="CH410" s="133" t="e">
        <f t="shared" si="502"/>
        <v>#DIV/0!</v>
      </c>
      <c r="CI410" s="121"/>
      <c r="CJ410" s="128"/>
    </row>
    <row r="411" spans="1:88">
      <c r="A411" s="125">
        <f t="shared" si="490"/>
        <v>0</v>
      </c>
      <c r="B411" s="138" t="s">
        <v>187</v>
      </c>
      <c r="C411" s="121"/>
      <c r="D411" s="121" t="s">
        <v>215</v>
      </c>
      <c r="E411" s="517"/>
      <c r="F411" s="121"/>
      <c r="I411" s="517"/>
      <c r="J411" s="397"/>
      <c r="K411" s="397"/>
      <c r="L411" s="121"/>
      <c r="M411" s="123"/>
      <c r="N411" s="121" t="s">
        <v>274</v>
      </c>
      <c r="O411" s="121" t="s">
        <v>1093</v>
      </c>
      <c r="P411" s="517"/>
      <c r="Q411" s="122">
        <f>3136*2.4</f>
        <v>7526.4</v>
      </c>
      <c r="R411" s="122">
        <f>7550+100</f>
        <v>7650</v>
      </c>
      <c r="S411" s="122">
        <v>7550</v>
      </c>
      <c r="T411" s="667"/>
      <c r="U411" s="581"/>
      <c r="V411" s="581"/>
      <c r="W411" s="121"/>
      <c r="X411" s="121"/>
      <c r="Y411" s="121"/>
      <c r="Z411" s="121"/>
      <c r="AA411" s="581"/>
      <c r="AB411" s="739"/>
      <c r="AC411" s="739"/>
      <c r="AD411" s="667"/>
      <c r="AE411" s="575"/>
      <c r="AF411" s="575"/>
      <c r="AG411" s="575"/>
      <c r="AH411" s="575"/>
      <c r="AI411" s="575"/>
      <c r="AJ411" s="121"/>
      <c r="AK411" s="121"/>
      <c r="AL411" s="121"/>
      <c r="AM411" s="121"/>
      <c r="AN411" s="121"/>
      <c r="AO411" s="121"/>
      <c r="AP411" s="121"/>
      <c r="AQ411" s="121"/>
      <c r="AR411" s="121"/>
      <c r="AS411" s="121"/>
      <c r="AT411" s="121"/>
      <c r="AU411" s="121"/>
      <c r="AV411" s="121"/>
      <c r="AW411" s="121"/>
      <c r="AX411" s="121"/>
      <c r="AY411" s="121"/>
      <c r="AZ411" s="121"/>
      <c r="BA411" s="121"/>
      <c r="BB411" s="121"/>
      <c r="BC411" s="121"/>
      <c r="BD411" s="120">
        <f t="shared" si="491"/>
        <v>0</v>
      </c>
      <c r="BE411" s="120">
        <f t="shared" si="492"/>
        <v>0</v>
      </c>
      <c r="BF411" s="137">
        <f t="shared" si="493"/>
        <v>0</v>
      </c>
      <c r="BG411" s="120"/>
      <c r="BH411" s="120"/>
      <c r="BI411" s="120"/>
      <c r="BJ411" s="120"/>
      <c r="BK411" s="120"/>
      <c r="BL411" s="120"/>
      <c r="BM411" s="120"/>
      <c r="BN411" s="120"/>
      <c r="BO411" s="124"/>
      <c r="BP411" s="124"/>
      <c r="BQ411" s="124"/>
      <c r="BR411" s="120"/>
      <c r="BS411" s="120"/>
      <c r="BT411" s="120"/>
      <c r="BU411" s="120"/>
      <c r="BV411" s="120"/>
      <c r="BW411" s="120"/>
      <c r="BX411" s="121"/>
      <c r="BY411" s="121"/>
      <c r="BZ411" s="136">
        <f t="shared" si="494"/>
        <v>0</v>
      </c>
      <c r="CA411" s="136">
        <f t="shared" si="495"/>
        <v>0</v>
      </c>
      <c r="CB411" s="136">
        <f t="shared" si="496"/>
        <v>0</v>
      </c>
      <c r="CC411" s="136">
        <f t="shared" si="497"/>
        <v>0</v>
      </c>
      <c r="CD411" s="135">
        <f t="shared" si="498"/>
        <v>0</v>
      </c>
      <c r="CE411" s="135">
        <f t="shared" si="499"/>
        <v>0</v>
      </c>
      <c r="CF411" s="134">
        <f t="shared" si="500"/>
        <v>0</v>
      </c>
      <c r="CG411" s="134">
        <f t="shared" si="501"/>
        <v>0</v>
      </c>
      <c r="CH411" s="133" t="e">
        <f t="shared" si="502"/>
        <v>#DIV/0!</v>
      </c>
      <c r="CI411" s="121"/>
      <c r="CJ411" s="121"/>
    </row>
    <row r="412" spans="1:88">
      <c r="A412" s="125">
        <f t="shared" si="490"/>
        <v>0</v>
      </c>
      <c r="B412" s="138" t="s">
        <v>187</v>
      </c>
      <c r="C412" s="121"/>
      <c r="D412" s="121" t="s">
        <v>197</v>
      </c>
      <c r="E412" s="397"/>
      <c r="F412" s="397"/>
      <c r="I412" s="517"/>
      <c r="J412" s="121"/>
      <c r="K412" s="517"/>
      <c r="L412" s="517"/>
      <c r="M412" s="123"/>
      <c r="N412" s="121" t="s">
        <v>307</v>
      </c>
      <c r="O412" s="121" t="s">
        <v>308</v>
      </c>
      <c r="P412" s="397"/>
      <c r="Q412" s="122">
        <f>3170*2.4</f>
        <v>7608</v>
      </c>
      <c r="R412" s="122">
        <f>7550+100</f>
        <v>7650</v>
      </c>
      <c r="S412" s="122">
        <v>7650</v>
      </c>
      <c r="T412" s="131"/>
      <c r="U412" s="581"/>
      <c r="V412" s="581"/>
      <c r="W412" s="581"/>
      <c r="X412" s="581"/>
      <c r="Y412" s="581"/>
      <c r="Z412" s="581"/>
      <c r="AA412" s="581"/>
      <c r="AB412" s="581"/>
      <c r="AC412" s="581"/>
      <c r="AD412" s="581"/>
      <c r="AE412" s="581"/>
      <c r="AF412" s="581"/>
      <c r="AG412" s="581"/>
      <c r="AH412" s="581"/>
      <c r="AI412" s="581"/>
      <c r="AJ412" s="581"/>
      <c r="AK412" s="581"/>
      <c r="AL412" s="272"/>
      <c r="AM412" s="121"/>
      <c r="AN412" s="121"/>
      <c r="AO412" s="128"/>
      <c r="AP412" s="121"/>
      <c r="AQ412" s="121"/>
      <c r="AR412" s="121"/>
      <c r="AS412" s="121"/>
      <c r="AT412" s="121"/>
      <c r="AU412" s="121"/>
      <c r="AV412" s="121"/>
      <c r="AW412" s="121"/>
      <c r="AX412" s="121"/>
      <c r="AY412" s="121"/>
      <c r="AZ412" s="121"/>
      <c r="BA412" s="121"/>
      <c r="BB412" s="121"/>
      <c r="BC412" s="121"/>
      <c r="BD412" s="120">
        <f t="shared" si="491"/>
        <v>0</v>
      </c>
      <c r="BE412" s="120">
        <f t="shared" si="492"/>
        <v>0</v>
      </c>
      <c r="BF412" s="137">
        <f t="shared" si="493"/>
        <v>0</v>
      </c>
      <c r="BG412" s="120"/>
      <c r="BH412" s="120"/>
      <c r="BI412" s="120"/>
      <c r="BJ412" s="120"/>
      <c r="BK412" s="120"/>
      <c r="BL412" s="120"/>
      <c r="BM412" s="120"/>
      <c r="BN412" s="120"/>
      <c r="BO412" s="120"/>
      <c r="BP412" s="120"/>
      <c r="BQ412" s="124"/>
      <c r="BR412" s="120"/>
      <c r="BS412" s="120"/>
      <c r="BT412" s="120"/>
      <c r="BU412" s="120"/>
      <c r="BV412" s="120"/>
      <c r="BW412" s="120"/>
      <c r="BX412" s="121"/>
      <c r="BY412" s="121"/>
      <c r="BZ412" s="136">
        <f t="shared" si="494"/>
        <v>0</v>
      </c>
      <c r="CA412" s="136">
        <f t="shared" si="495"/>
        <v>0</v>
      </c>
      <c r="CB412" s="136">
        <f t="shared" si="496"/>
        <v>0</v>
      </c>
      <c r="CC412" s="136">
        <f t="shared" si="497"/>
        <v>0</v>
      </c>
      <c r="CD412" s="135">
        <f t="shared" si="498"/>
        <v>0</v>
      </c>
      <c r="CE412" s="135">
        <f t="shared" si="499"/>
        <v>0</v>
      </c>
      <c r="CF412" s="134">
        <f t="shared" si="500"/>
        <v>0</v>
      </c>
      <c r="CG412" s="134">
        <f t="shared" si="501"/>
        <v>0</v>
      </c>
      <c r="CH412" s="133" t="e">
        <f t="shared" si="502"/>
        <v>#DIV/0!</v>
      </c>
      <c r="CJ412" s="121"/>
    </row>
    <row r="413" spans="1:88" s="121" customFormat="1">
      <c r="A413" s="125">
        <f t="shared" ref="A413:A416" si="503">BJ413</f>
        <v>0</v>
      </c>
      <c r="B413" s="138" t="s">
        <v>187</v>
      </c>
      <c r="D413" s="121" t="s">
        <v>197</v>
      </c>
      <c r="E413" s="517"/>
      <c r="G413" s="252"/>
      <c r="H413" s="252"/>
      <c r="I413" s="517"/>
      <c r="K413" s="397"/>
      <c r="M413" s="123"/>
      <c r="N413" s="121" t="s">
        <v>249</v>
      </c>
      <c r="O413" s="121" t="s">
        <v>2315</v>
      </c>
      <c r="P413" s="517"/>
      <c r="Q413" s="122">
        <f>3139*2.4</f>
        <v>7533.5999999999995</v>
      </c>
      <c r="R413" s="122">
        <f>7550+100</f>
        <v>7650</v>
      </c>
      <c r="S413" s="122">
        <v>7550</v>
      </c>
      <c r="T413" s="667"/>
      <c r="U413" s="581"/>
      <c r="V413" s="581"/>
      <c r="W413" s="739"/>
      <c r="X413" s="581"/>
      <c r="Y413" s="581"/>
      <c r="Z413" s="739"/>
      <c r="AA413" s="739"/>
      <c r="AB413" s="739"/>
      <c r="AC413" s="667"/>
      <c r="AD413" s="667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115"/>
      <c r="AS413" s="115"/>
      <c r="AX413" s="517"/>
      <c r="AY413" s="517"/>
      <c r="AZ413" s="517"/>
      <c r="BA413" s="517"/>
      <c r="BB413" s="517"/>
      <c r="BC413" s="517"/>
      <c r="BD413" s="120">
        <f t="shared" ref="BD413:BD416" si="504">BG413</f>
        <v>0</v>
      </c>
      <c r="BE413" s="120">
        <f t="shared" ref="BE413:BE416" si="505">BW413</f>
        <v>0</v>
      </c>
      <c r="BF413" s="137">
        <f t="shared" ref="BF413:BF416" si="506">BE413-BD413</f>
        <v>0</v>
      </c>
      <c r="BG413" s="120"/>
      <c r="BH413" s="120"/>
      <c r="BI413" s="120"/>
      <c r="BJ413" s="120"/>
      <c r="BK413" s="120"/>
      <c r="BL413" s="120"/>
      <c r="BM413" s="120"/>
      <c r="BN413" s="120"/>
      <c r="BO413" s="124"/>
      <c r="BP413" s="124"/>
      <c r="BQ413" s="124"/>
      <c r="BR413" s="120"/>
      <c r="BS413" s="120"/>
      <c r="BT413" s="120"/>
      <c r="BU413" s="120"/>
      <c r="BV413" s="120"/>
      <c r="BW413" s="120"/>
      <c r="BZ413" s="136">
        <f t="shared" ref="BZ413:BZ416" si="507">(BI413-BH413)*24</f>
        <v>0</v>
      </c>
      <c r="CA413" s="136">
        <f t="shared" ref="CA413:CA416" si="508">(BK413-BJ413)*24</f>
        <v>0</v>
      </c>
      <c r="CB413" s="136">
        <f t="shared" ref="CB413:CB416" si="509">(BN413-BM413)*24</f>
        <v>0</v>
      </c>
      <c r="CC413" s="136">
        <f t="shared" ref="CC413:CC416" si="510">(BR413-BP413)*24</f>
        <v>0</v>
      </c>
      <c r="CD413" s="135">
        <f t="shared" ref="CD413:CD416" si="511">(BT413-BS413)*24</f>
        <v>0</v>
      </c>
      <c r="CE413" s="135">
        <f t="shared" ref="CE413:CE416" si="512">(BW413-BV413)*24</f>
        <v>0</v>
      </c>
      <c r="CF413" s="134">
        <f t="shared" ref="CF413:CF416" si="513">SUM(BZ413:CE413)/24</f>
        <v>0</v>
      </c>
      <c r="CG413" s="134">
        <f t="shared" ref="CG413:CG416" si="514">BF413</f>
        <v>0</v>
      </c>
      <c r="CH413" s="133" t="e">
        <f t="shared" ref="CH413:CH416" si="515">CF413/CG413</f>
        <v>#DIV/0!</v>
      </c>
      <c r="CI413" s="128"/>
      <c r="CJ413" s="128"/>
    </row>
    <row r="414" spans="1:88" s="128" customFormat="1">
      <c r="A414" s="125">
        <f t="shared" si="503"/>
        <v>0</v>
      </c>
      <c r="B414" s="138" t="s">
        <v>187</v>
      </c>
      <c r="C414" s="121"/>
      <c r="D414" s="121" t="s">
        <v>197</v>
      </c>
      <c r="E414" s="253"/>
      <c r="F414" s="121"/>
      <c r="G414" s="121"/>
      <c r="H414" s="121"/>
      <c r="I414" s="121"/>
      <c r="J414" s="121"/>
      <c r="K414" s="397"/>
      <c r="L414" s="121"/>
      <c r="M414" s="123"/>
      <c r="N414" s="121" t="s">
        <v>233</v>
      </c>
      <c r="O414" s="121" t="s">
        <v>234</v>
      </c>
      <c r="P414" s="121"/>
      <c r="Q414" s="122">
        <f>3215*2.4</f>
        <v>7716</v>
      </c>
      <c r="R414" s="122">
        <f>7750+100</f>
        <v>7850</v>
      </c>
      <c r="S414" s="122">
        <v>7750</v>
      </c>
      <c r="T414" s="122"/>
      <c r="U414" s="581"/>
      <c r="V414" s="581"/>
      <c r="W414" s="581"/>
      <c r="X414" s="581"/>
      <c r="Y414" s="739"/>
      <c r="Z414" s="739"/>
      <c r="AA414" s="739"/>
      <c r="AB414" s="739"/>
      <c r="AC414" s="581"/>
      <c r="AD414" s="115"/>
      <c r="AE414" s="575"/>
      <c r="AF414" s="575"/>
      <c r="AG414" s="575"/>
      <c r="AH414" s="121"/>
      <c r="AI414" s="121"/>
      <c r="AJ414" s="121"/>
      <c r="AK414" s="121"/>
      <c r="AL414" s="121"/>
      <c r="AM414" s="121"/>
      <c r="AN414" s="121"/>
      <c r="AO414" s="121"/>
      <c r="AP414" s="121"/>
      <c r="AQ414" s="121"/>
      <c r="AR414" s="121"/>
      <c r="AS414" s="121"/>
      <c r="AT414" s="121"/>
      <c r="AU414" s="121"/>
      <c r="AV414" s="121"/>
      <c r="AW414" s="121"/>
      <c r="AX414" s="121"/>
      <c r="AY414" s="121"/>
      <c r="AZ414" s="121"/>
      <c r="BA414" s="121"/>
      <c r="BB414" s="121"/>
      <c r="BC414" s="121"/>
      <c r="BD414" s="120">
        <f t="shared" si="504"/>
        <v>0</v>
      </c>
      <c r="BE414" s="120">
        <f t="shared" si="505"/>
        <v>0</v>
      </c>
      <c r="BF414" s="137">
        <f t="shared" si="506"/>
        <v>0</v>
      </c>
      <c r="BG414" s="120"/>
      <c r="BH414" s="120"/>
      <c r="BI414" s="120"/>
      <c r="BJ414" s="120"/>
      <c r="BK414" s="120"/>
      <c r="BL414" s="120"/>
      <c r="BM414" s="120"/>
      <c r="BN414" s="120"/>
      <c r="BO414" s="120"/>
      <c r="BP414" s="120"/>
      <c r="BQ414" s="124"/>
      <c r="BR414" s="120"/>
      <c r="BS414" s="120"/>
      <c r="BT414" s="120"/>
      <c r="BU414" s="120"/>
      <c r="BV414" s="120"/>
      <c r="BW414" s="120"/>
      <c r="BX414" s="121"/>
      <c r="BY414" s="121"/>
      <c r="BZ414" s="136">
        <f t="shared" si="507"/>
        <v>0</v>
      </c>
      <c r="CA414" s="136">
        <f t="shared" si="508"/>
        <v>0</v>
      </c>
      <c r="CB414" s="136">
        <f t="shared" si="509"/>
        <v>0</v>
      </c>
      <c r="CC414" s="136">
        <f t="shared" si="510"/>
        <v>0</v>
      </c>
      <c r="CD414" s="135">
        <f t="shared" si="511"/>
        <v>0</v>
      </c>
      <c r="CE414" s="135">
        <f t="shared" si="512"/>
        <v>0</v>
      </c>
      <c r="CF414" s="134">
        <f t="shared" si="513"/>
        <v>0</v>
      </c>
      <c r="CG414" s="134">
        <f t="shared" si="514"/>
        <v>0</v>
      </c>
      <c r="CH414" s="133" t="e">
        <f t="shared" si="515"/>
        <v>#DIV/0!</v>
      </c>
      <c r="CJ414" s="115"/>
    </row>
    <row r="415" spans="1:88" s="128" customFormat="1">
      <c r="A415" s="125">
        <f t="shared" si="503"/>
        <v>0</v>
      </c>
      <c r="B415" s="138" t="s">
        <v>187</v>
      </c>
      <c r="C415" s="121"/>
      <c r="D415" s="121" t="s">
        <v>197</v>
      </c>
      <c r="E415" s="517"/>
      <c r="F415" s="115"/>
      <c r="G415" s="252"/>
      <c r="H415" s="252"/>
      <c r="I415" s="517"/>
      <c r="J415" s="121"/>
      <c r="K415" s="397"/>
      <c r="L415" s="517"/>
      <c r="M415" s="123"/>
      <c r="N415" s="121" t="s">
        <v>323</v>
      </c>
      <c r="O415" s="121" t="s">
        <v>324</v>
      </c>
      <c r="P415" s="517"/>
      <c r="Q415" s="122">
        <f>3095*2.4</f>
        <v>7428</v>
      </c>
      <c r="R415" s="122">
        <f>7450+100</f>
        <v>7550</v>
      </c>
      <c r="S415" s="122">
        <v>7500</v>
      </c>
      <c r="T415" s="667"/>
      <c r="U415" s="581"/>
      <c r="V415" s="581"/>
      <c r="W415" s="581"/>
      <c r="X415" s="121"/>
      <c r="Y415" s="121"/>
      <c r="Z415" s="121"/>
      <c r="AA415" s="121"/>
      <c r="AB415" s="739"/>
      <c r="AC415" s="581"/>
      <c r="AD415" s="581"/>
      <c r="AE415" s="581"/>
      <c r="AF415" s="581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115"/>
      <c r="AT415" s="121"/>
      <c r="AU415" s="121"/>
      <c r="AV415" s="121"/>
      <c r="AW415" s="121"/>
      <c r="AX415" s="121"/>
      <c r="AY415" s="121"/>
      <c r="AZ415" s="121"/>
      <c r="BA415" s="121"/>
      <c r="BB415" s="121"/>
      <c r="BC415" s="121"/>
      <c r="BD415" s="120">
        <f t="shared" si="504"/>
        <v>0</v>
      </c>
      <c r="BE415" s="120">
        <f t="shared" si="505"/>
        <v>0</v>
      </c>
      <c r="BF415" s="137">
        <f t="shared" si="506"/>
        <v>0</v>
      </c>
      <c r="BG415" s="120"/>
      <c r="BH415" s="120"/>
      <c r="BI415" s="120"/>
      <c r="BJ415" s="120"/>
      <c r="BK415" s="120"/>
      <c r="BL415" s="120"/>
      <c r="BM415" s="120"/>
      <c r="BN415" s="120"/>
      <c r="BO415" s="120"/>
      <c r="BP415" s="120"/>
      <c r="BQ415" s="124"/>
      <c r="BR415" s="120"/>
      <c r="BS415" s="120"/>
      <c r="BT415" s="120"/>
      <c r="BU415" s="120"/>
      <c r="BV415" s="120"/>
      <c r="BW415" s="120"/>
      <c r="BX415" s="121"/>
      <c r="BY415" s="121"/>
      <c r="BZ415" s="136">
        <f t="shared" si="507"/>
        <v>0</v>
      </c>
      <c r="CA415" s="136">
        <f t="shared" si="508"/>
        <v>0</v>
      </c>
      <c r="CB415" s="136">
        <f t="shared" si="509"/>
        <v>0</v>
      </c>
      <c r="CC415" s="136">
        <f t="shared" si="510"/>
        <v>0</v>
      </c>
      <c r="CD415" s="135">
        <f t="shared" si="511"/>
        <v>0</v>
      </c>
      <c r="CE415" s="135">
        <f t="shared" si="512"/>
        <v>0</v>
      </c>
      <c r="CF415" s="134">
        <f t="shared" si="513"/>
        <v>0</v>
      </c>
      <c r="CG415" s="134">
        <f t="shared" si="514"/>
        <v>0</v>
      </c>
      <c r="CH415" s="133" t="e">
        <f t="shared" si="515"/>
        <v>#DIV/0!</v>
      </c>
      <c r="CI415" s="121"/>
      <c r="CJ415" s="121"/>
    </row>
    <row r="416" spans="1:88" s="121" customFormat="1">
      <c r="A416" s="125">
        <f t="shared" si="503"/>
        <v>0</v>
      </c>
      <c r="B416" s="138" t="s">
        <v>187</v>
      </c>
      <c r="D416" s="121" t="s">
        <v>197</v>
      </c>
      <c r="E416" s="253"/>
      <c r="F416" s="115"/>
      <c r="G416" s="252"/>
      <c r="H416" s="252"/>
      <c r="I416" s="517"/>
      <c r="J416" s="517"/>
      <c r="K416" s="397"/>
      <c r="L416" s="517"/>
      <c r="M416" s="123"/>
      <c r="N416" s="121" t="s">
        <v>441</v>
      </c>
      <c r="O416" s="121" t="s">
        <v>1308</v>
      </c>
      <c r="P416" s="517"/>
      <c r="Q416" s="122">
        <f>2205*2.4</f>
        <v>5292</v>
      </c>
      <c r="R416" s="122">
        <f>5300+100</f>
        <v>5400</v>
      </c>
      <c r="S416" s="122">
        <v>5300</v>
      </c>
      <c r="T416" s="122"/>
      <c r="U416" s="739"/>
      <c r="V416" s="739"/>
      <c r="W416" s="739"/>
      <c r="X416" s="739"/>
      <c r="Y416" s="739"/>
      <c r="Z416" s="739"/>
      <c r="AA416" s="739"/>
      <c r="AB416" s="739"/>
      <c r="AC416" s="401"/>
      <c r="AD416" s="401"/>
      <c r="AE416" s="401"/>
      <c r="AF416" s="272"/>
      <c r="AG416" s="272"/>
      <c r="AH416" s="272"/>
      <c r="AI416" s="369"/>
      <c r="AJ416" s="272"/>
      <c r="AK416" s="272"/>
      <c r="AL416" s="272"/>
      <c r="AS416" s="739"/>
      <c r="AT416" s="739"/>
      <c r="BD416" s="120">
        <f t="shared" si="504"/>
        <v>0</v>
      </c>
      <c r="BE416" s="120">
        <f t="shared" si="505"/>
        <v>0</v>
      </c>
      <c r="BF416" s="137">
        <f t="shared" si="506"/>
        <v>0</v>
      </c>
      <c r="BG416" s="120"/>
      <c r="BH416" s="120"/>
      <c r="BI416" s="120"/>
      <c r="BJ416" s="120"/>
      <c r="BK416" s="120"/>
      <c r="BL416" s="120"/>
      <c r="BM416" s="120"/>
      <c r="BN416" s="120"/>
      <c r="BO416" s="120"/>
      <c r="BP416" s="120"/>
      <c r="BQ416" s="124"/>
      <c r="BR416" s="120"/>
      <c r="BS416" s="120"/>
      <c r="BT416" s="120"/>
      <c r="BU416" s="120"/>
      <c r="BV416" s="120"/>
      <c r="BW416" s="312"/>
      <c r="BZ416" s="136">
        <f t="shared" si="507"/>
        <v>0</v>
      </c>
      <c r="CA416" s="136">
        <f t="shared" si="508"/>
        <v>0</v>
      </c>
      <c r="CB416" s="136">
        <f t="shared" si="509"/>
        <v>0</v>
      </c>
      <c r="CC416" s="136">
        <f t="shared" si="510"/>
        <v>0</v>
      </c>
      <c r="CD416" s="135">
        <f t="shared" si="511"/>
        <v>0</v>
      </c>
      <c r="CE416" s="135">
        <f t="shared" si="512"/>
        <v>0</v>
      </c>
      <c r="CF416" s="134">
        <f t="shared" si="513"/>
        <v>0</v>
      </c>
      <c r="CG416" s="134">
        <f t="shared" si="514"/>
        <v>0</v>
      </c>
      <c r="CH416" s="133" t="e">
        <f t="shared" si="515"/>
        <v>#DIV/0!</v>
      </c>
    </row>
    <row r="417" spans="1:88" s="128" customFormat="1">
      <c r="A417" s="125">
        <f t="shared" ref="A417:A422" si="516">BJ417</f>
        <v>0</v>
      </c>
      <c r="B417" s="138" t="s">
        <v>187</v>
      </c>
      <c r="C417" s="121"/>
      <c r="D417" s="121" t="s">
        <v>197</v>
      </c>
      <c r="E417" s="253"/>
      <c r="F417" s="115"/>
      <c r="G417" s="252"/>
      <c r="H417" s="252"/>
      <c r="I417" s="121"/>
      <c r="J417" s="397"/>
      <c r="K417" s="397"/>
      <c r="L417" s="121"/>
      <c r="M417" s="123"/>
      <c r="N417" s="121" t="s">
        <v>2156</v>
      </c>
      <c r="O417" s="121" t="s">
        <v>1835</v>
      </c>
      <c r="P417" s="121"/>
      <c r="Q417" s="122">
        <f>3131*2.4</f>
        <v>7514.4</v>
      </c>
      <c r="R417" s="122">
        <f>7550+100</f>
        <v>7650</v>
      </c>
      <c r="S417" s="122">
        <v>7500</v>
      </c>
      <c r="T417" s="667"/>
      <c r="U417" s="115"/>
      <c r="V417" s="115"/>
      <c r="W417" s="115"/>
      <c r="X417" s="115"/>
      <c r="Y417" s="115"/>
      <c r="Z417" s="115"/>
      <c r="AA417" s="115"/>
      <c r="AB417" s="399"/>
      <c r="AC417" s="399"/>
      <c r="AD417" s="577"/>
      <c r="AE417" s="272"/>
      <c r="AF417" s="272"/>
      <c r="AG417" s="272"/>
      <c r="AH417" s="272"/>
      <c r="AI417" s="272"/>
      <c r="AJ417" s="272"/>
      <c r="AK417" s="272"/>
      <c r="AL417" s="272"/>
      <c r="AM417" s="121"/>
      <c r="AN417" s="121"/>
      <c r="AO417" s="121"/>
      <c r="AP417" s="121"/>
      <c r="AQ417" s="121"/>
      <c r="AR417" s="121"/>
      <c r="AS417" s="121"/>
      <c r="AT417" s="121"/>
      <c r="AU417" s="121"/>
      <c r="AV417" s="121"/>
      <c r="AW417" s="121"/>
      <c r="AX417" s="121"/>
      <c r="AY417" s="121"/>
      <c r="AZ417" s="121"/>
      <c r="BA417" s="121"/>
      <c r="BB417" s="121"/>
      <c r="BC417" s="121"/>
      <c r="BD417" s="120">
        <f t="shared" ref="BD417:BD422" si="517">BG417</f>
        <v>0</v>
      </c>
      <c r="BE417" s="120">
        <f t="shared" ref="BE417:BE422" si="518">BW417</f>
        <v>0</v>
      </c>
      <c r="BF417" s="137">
        <f t="shared" ref="BF417:BF422" si="519">BE417-BD417</f>
        <v>0</v>
      </c>
      <c r="BG417" s="120"/>
      <c r="BH417" s="120"/>
      <c r="BI417" s="120"/>
      <c r="BJ417" s="120"/>
      <c r="BK417" s="120"/>
      <c r="BL417" s="120"/>
      <c r="BM417" s="120"/>
      <c r="BN417" s="120"/>
      <c r="BO417" s="120"/>
      <c r="BP417" s="120"/>
      <c r="BQ417" s="124"/>
      <c r="BR417" s="120"/>
      <c r="BS417" s="120"/>
      <c r="BT417" s="120"/>
      <c r="BU417" s="120"/>
      <c r="BV417" s="120"/>
      <c r="BW417" s="120"/>
      <c r="BX417" s="121"/>
      <c r="BY417" s="121"/>
      <c r="BZ417" s="136">
        <f t="shared" ref="BZ417:BZ418" si="520">(BI417-BH417)*24</f>
        <v>0</v>
      </c>
      <c r="CA417" s="136">
        <f t="shared" ref="CA417:CA418" si="521">(BK417-BJ417)*24</f>
        <v>0</v>
      </c>
      <c r="CB417" s="136">
        <f t="shared" ref="CB417:CB418" si="522">(BN417-BM417)*24</f>
        <v>0</v>
      </c>
      <c r="CC417" s="136">
        <f t="shared" ref="CC417:CC418" si="523">(BR417-BP417)*24</f>
        <v>0</v>
      </c>
      <c r="CD417" s="135">
        <f t="shared" ref="CD417:CD418" si="524">(BT417-BS417)*24</f>
        <v>0</v>
      </c>
      <c r="CE417" s="135">
        <f t="shared" ref="CE417:CE418" si="525">(BW417-BV417)*24</f>
        <v>0</v>
      </c>
      <c r="CF417" s="134">
        <f t="shared" ref="CF417:CF418" si="526">SUM(BZ417:CE417)/24</f>
        <v>0</v>
      </c>
      <c r="CG417" s="134">
        <f t="shared" ref="CG417:CG418" si="527">BF417</f>
        <v>0</v>
      </c>
      <c r="CH417" s="133" t="e">
        <f t="shared" ref="CH417:CH418" si="528">CF417/CG417</f>
        <v>#DIV/0!</v>
      </c>
      <c r="CI417" s="121"/>
      <c r="CJ417" s="121"/>
    </row>
    <row r="418" spans="1:88">
      <c r="A418" s="125">
        <f t="shared" si="516"/>
        <v>0</v>
      </c>
      <c r="B418" s="138" t="s">
        <v>187</v>
      </c>
      <c r="C418" s="121"/>
      <c r="D418" s="121" t="s">
        <v>215</v>
      </c>
      <c r="E418" s="517"/>
      <c r="F418" s="121"/>
      <c r="G418" s="124"/>
      <c r="H418" s="124"/>
      <c r="I418" s="397"/>
      <c r="J418" s="121"/>
      <c r="K418" s="397"/>
      <c r="L418" s="517"/>
      <c r="M418" s="123"/>
      <c r="N418" s="121" t="s">
        <v>422</v>
      </c>
      <c r="O418" s="121" t="s">
        <v>375</v>
      </c>
      <c r="P418" s="517"/>
      <c r="Q418" s="122">
        <f>3097*2.4</f>
        <v>7432.7999999999993</v>
      </c>
      <c r="R418" s="122">
        <f>7450+100</f>
        <v>7550</v>
      </c>
      <c r="S418" s="122">
        <v>7500</v>
      </c>
      <c r="T418" s="667"/>
      <c r="U418" s="667"/>
      <c r="V418" s="667"/>
      <c r="W418" s="667"/>
      <c r="X418" s="399"/>
      <c r="Y418" s="399"/>
      <c r="Z418" s="399"/>
      <c r="AA418" s="399"/>
      <c r="AB418" s="399"/>
      <c r="AC418" s="399"/>
      <c r="AD418" s="121"/>
      <c r="AE418" s="121"/>
      <c r="AF418" s="121"/>
      <c r="AG418" s="121"/>
      <c r="AH418" s="121"/>
      <c r="AI418" s="121"/>
      <c r="AJ418" s="121"/>
      <c r="AK418" s="121"/>
      <c r="AL418" s="121"/>
      <c r="AM418" s="121"/>
      <c r="AN418" s="121"/>
      <c r="AO418" s="121"/>
      <c r="AP418" s="121"/>
      <c r="AQ418" s="121"/>
      <c r="AR418" s="121"/>
      <c r="AS418" s="121"/>
      <c r="AT418" s="121"/>
      <c r="AU418" s="121"/>
      <c r="AV418" s="121"/>
      <c r="AW418" s="121"/>
      <c r="AX418" s="121"/>
      <c r="AY418" s="121"/>
      <c r="AZ418" s="121"/>
      <c r="BA418" s="121"/>
      <c r="BB418" s="121"/>
      <c r="BC418" s="121"/>
      <c r="BD418" s="120">
        <f t="shared" si="517"/>
        <v>0</v>
      </c>
      <c r="BE418" s="120">
        <f t="shared" si="518"/>
        <v>0</v>
      </c>
      <c r="BF418" s="137">
        <f t="shared" si="519"/>
        <v>0</v>
      </c>
      <c r="BG418" s="120"/>
      <c r="BH418" s="120"/>
      <c r="BI418" s="120"/>
      <c r="BJ418" s="120"/>
      <c r="BK418" s="120"/>
      <c r="BL418" s="120"/>
      <c r="BM418" s="120"/>
      <c r="BN418" s="120"/>
      <c r="BO418" s="120"/>
      <c r="BP418" s="120"/>
      <c r="BQ418" s="124"/>
      <c r="BR418" s="120"/>
      <c r="BS418" s="120"/>
      <c r="BT418" s="120"/>
      <c r="BU418" s="120"/>
      <c r="BV418" s="120"/>
      <c r="BW418" s="120"/>
      <c r="BX418" s="121"/>
      <c r="BY418" s="121"/>
      <c r="BZ418" s="136">
        <f t="shared" si="520"/>
        <v>0</v>
      </c>
      <c r="CA418" s="136">
        <f t="shared" si="521"/>
        <v>0</v>
      </c>
      <c r="CB418" s="136">
        <f t="shared" si="522"/>
        <v>0</v>
      </c>
      <c r="CC418" s="136">
        <f t="shared" si="523"/>
        <v>0</v>
      </c>
      <c r="CD418" s="135">
        <f t="shared" si="524"/>
        <v>0</v>
      </c>
      <c r="CE418" s="135">
        <f t="shared" si="525"/>
        <v>0</v>
      </c>
      <c r="CF418" s="134">
        <f t="shared" si="526"/>
        <v>0</v>
      </c>
      <c r="CG418" s="134">
        <f t="shared" si="527"/>
        <v>0</v>
      </c>
      <c r="CH418" s="133" t="e">
        <f t="shared" si="528"/>
        <v>#DIV/0!</v>
      </c>
      <c r="CI418" s="121"/>
      <c r="CJ418" s="121"/>
    </row>
    <row r="419" spans="1:88" s="128" customFormat="1">
      <c r="A419" s="125">
        <f t="shared" si="516"/>
        <v>0</v>
      </c>
      <c r="B419" s="138" t="s">
        <v>187</v>
      </c>
      <c r="C419" s="121"/>
      <c r="D419" s="121" t="s">
        <v>197</v>
      </c>
      <c r="E419" s="253"/>
      <c r="F419" s="115"/>
      <c r="G419" s="252"/>
      <c r="H419" s="252"/>
      <c r="I419" s="517"/>
      <c r="J419" s="397"/>
      <c r="K419" s="397"/>
      <c r="L419" s="121"/>
      <c r="M419" s="123"/>
      <c r="N419" s="121" t="s">
        <v>4118</v>
      </c>
      <c r="O419" s="121" t="s">
        <v>1458</v>
      </c>
      <c r="P419" s="397"/>
      <c r="Q419" s="122">
        <f>3086*2.4</f>
        <v>7406.4</v>
      </c>
      <c r="R419" s="122">
        <f>7450+100</f>
        <v>7550</v>
      </c>
      <c r="S419" s="122">
        <v>7450</v>
      </c>
      <c r="T419" s="667"/>
      <c r="U419" s="667"/>
      <c r="V419" s="667"/>
      <c r="W419" s="667"/>
      <c r="X419" s="667"/>
      <c r="Y419" s="581"/>
      <c r="Z419" s="581"/>
      <c r="AA419" s="581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115"/>
      <c r="AS419" s="115"/>
      <c r="AT419" s="115"/>
      <c r="AU419" s="115"/>
      <c r="AV419" s="115"/>
      <c r="AW419" s="121"/>
      <c r="AX419" s="121"/>
      <c r="AY419" s="121"/>
      <c r="AZ419" s="121"/>
      <c r="BA419" s="121"/>
      <c r="BB419" s="121"/>
      <c r="BC419" s="121"/>
      <c r="BD419" s="120">
        <f t="shared" si="517"/>
        <v>0</v>
      </c>
      <c r="BE419" s="120">
        <f t="shared" si="518"/>
        <v>0</v>
      </c>
      <c r="BF419" s="137">
        <f t="shared" si="519"/>
        <v>0</v>
      </c>
      <c r="BG419" s="120"/>
      <c r="BH419" s="120"/>
      <c r="BI419" s="120"/>
      <c r="BJ419" s="120"/>
      <c r="BK419" s="120"/>
      <c r="BL419" s="120"/>
      <c r="BM419" s="120"/>
      <c r="BN419" s="120"/>
      <c r="BO419" s="120"/>
      <c r="BP419" s="120"/>
      <c r="BQ419" s="124"/>
      <c r="BR419" s="120"/>
      <c r="BS419" s="120"/>
      <c r="BT419" s="120"/>
      <c r="BU419" s="120"/>
      <c r="BV419" s="120"/>
      <c r="BW419" s="120"/>
      <c r="BX419" s="121"/>
      <c r="BY419" s="121"/>
      <c r="BZ419" s="136">
        <f t="shared" ref="BZ419:BZ422" si="529">(BI419-BH419)*24</f>
        <v>0</v>
      </c>
      <c r="CA419" s="136">
        <f t="shared" ref="CA419:CA422" si="530">(BK419-BJ419)*24</f>
        <v>0</v>
      </c>
      <c r="CB419" s="136">
        <f t="shared" ref="CB419:CB422" si="531">(BN419-BM419)*24</f>
        <v>0</v>
      </c>
      <c r="CC419" s="136">
        <f t="shared" ref="CC419:CC422" si="532">(BR419-BP419)*24</f>
        <v>0</v>
      </c>
      <c r="CD419" s="135">
        <f t="shared" ref="CD419:CD422" si="533">(BT419-BS419)*24</f>
        <v>0</v>
      </c>
      <c r="CE419" s="135">
        <f t="shared" ref="CE419:CE422" si="534">(BW419-BV419)*24</f>
        <v>0</v>
      </c>
      <c r="CF419" s="134">
        <f t="shared" ref="CF419:CF422" si="535">SUM(BZ419:CE419)/24</f>
        <v>0</v>
      </c>
      <c r="CG419" s="134">
        <f t="shared" ref="CG419:CG422" si="536">BF419</f>
        <v>0</v>
      </c>
      <c r="CH419" s="133" t="e">
        <f t="shared" ref="CH419:CH422" si="537">CF419/CG419</f>
        <v>#DIV/0!</v>
      </c>
      <c r="CI419" s="121"/>
      <c r="CJ419" s="121"/>
    </row>
    <row r="420" spans="1:88" s="121" customFormat="1">
      <c r="A420" s="125">
        <f t="shared" si="516"/>
        <v>0</v>
      </c>
      <c r="B420" s="138" t="s">
        <v>187</v>
      </c>
      <c r="D420" s="121" t="s">
        <v>197</v>
      </c>
      <c r="E420" s="517"/>
      <c r="F420" s="667"/>
      <c r="G420" s="667"/>
      <c r="H420" s="667"/>
      <c r="I420" s="517"/>
      <c r="J420" s="397"/>
      <c r="K420" s="397"/>
      <c r="L420" s="517"/>
      <c r="M420" s="123"/>
      <c r="N420" s="121" t="s">
        <v>2210</v>
      </c>
      <c r="O420" s="121" t="s">
        <v>493</v>
      </c>
      <c r="P420" s="517"/>
      <c r="Q420" s="122">
        <f>3141*2.4</f>
        <v>7538.4</v>
      </c>
      <c r="R420" s="122">
        <f>7550+100</f>
        <v>7650</v>
      </c>
      <c r="S420" s="122">
        <v>7550</v>
      </c>
      <c r="T420" s="667"/>
      <c r="U420" s="667"/>
      <c r="V420" s="667"/>
      <c r="W420" s="667"/>
      <c r="X420" s="667"/>
      <c r="Y420" s="517"/>
      <c r="Z420" s="667"/>
      <c r="AA420" s="667"/>
      <c r="AB420" s="115"/>
      <c r="AC420" s="115"/>
      <c r="AG420" s="272"/>
      <c r="AH420" s="272"/>
      <c r="AI420" s="272"/>
      <c r="AJ420" s="272"/>
      <c r="AK420" s="272"/>
      <c r="AL420" s="272"/>
      <c r="BD420" s="120">
        <f t="shared" si="517"/>
        <v>0</v>
      </c>
      <c r="BE420" s="120">
        <f t="shared" si="518"/>
        <v>0</v>
      </c>
      <c r="BF420" s="137">
        <f t="shared" si="519"/>
        <v>0</v>
      </c>
      <c r="BG420" s="120"/>
      <c r="BH420" s="120"/>
      <c r="BI420" s="120"/>
      <c r="BJ420" s="120"/>
      <c r="BK420" s="120"/>
      <c r="BL420" s="120"/>
      <c r="BM420" s="120"/>
      <c r="BN420" s="120"/>
      <c r="BO420" s="120"/>
      <c r="BP420" s="120"/>
      <c r="BQ420" s="124"/>
      <c r="BR420" s="120"/>
      <c r="BS420" s="120"/>
      <c r="BT420" s="120"/>
      <c r="BU420" s="120"/>
      <c r="BV420" s="120"/>
      <c r="BW420" s="120"/>
      <c r="BZ420" s="136">
        <f t="shared" si="529"/>
        <v>0</v>
      </c>
      <c r="CA420" s="136">
        <f t="shared" si="530"/>
        <v>0</v>
      </c>
      <c r="CB420" s="136">
        <f t="shared" si="531"/>
        <v>0</v>
      </c>
      <c r="CC420" s="136">
        <f t="shared" si="532"/>
        <v>0</v>
      </c>
      <c r="CD420" s="135">
        <f t="shared" si="533"/>
        <v>0</v>
      </c>
      <c r="CE420" s="135">
        <f t="shared" si="534"/>
        <v>0</v>
      </c>
      <c r="CF420" s="134">
        <f t="shared" si="535"/>
        <v>0</v>
      </c>
      <c r="CG420" s="134">
        <f t="shared" si="536"/>
        <v>0</v>
      </c>
      <c r="CH420" s="133" t="e">
        <f t="shared" si="537"/>
        <v>#DIV/0!</v>
      </c>
    </row>
    <row r="421" spans="1:88" s="128" customFormat="1">
      <c r="A421" s="125">
        <f t="shared" si="516"/>
        <v>0</v>
      </c>
      <c r="B421" s="138" t="s">
        <v>187</v>
      </c>
      <c r="C421" s="121"/>
      <c r="D421" s="121" t="s">
        <v>197</v>
      </c>
      <c r="E421" s="397"/>
      <c r="F421" s="399"/>
      <c r="G421" s="399"/>
      <c r="H421" s="399"/>
      <c r="I421" s="121"/>
      <c r="J421" s="397"/>
      <c r="K421" s="397"/>
      <c r="L421" s="397"/>
      <c r="M421" s="123"/>
      <c r="N421" s="121" t="s">
        <v>1848</v>
      </c>
      <c r="O421" s="121" t="s">
        <v>350</v>
      </c>
      <c r="P421" s="517"/>
      <c r="Q421" s="122">
        <f>3077*2.4</f>
        <v>7384.7999999999993</v>
      </c>
      <c r="R421" s="122">
        <f>7400+100</f>
        <v>7500</v>
      </c>
      <c r="S421" s="122">
        <v>7400</v>
      </c>
      <c r="T421" s="122"/>
      <c r="U421" s="577"/>
      <c r="V421" s="121"/>
      <c r="W421" s="577"/>
      <c r="X421" s="577"/>
      <c r="Z421" s="577"/>
      <c r="AA421" s="577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115"/>
      <c r="AS421" s="115"/>
      <c r="AT421" s="115"/>
      <c r="AU421" s="115"/>
      <c r="AV421" s="115"/>
      <c r="AW421" s="121"/>
      <c r="AX421" s="121"/>
      <c r="AY421" s="121"/>
      <c r="AZ421" s="121"/>
      <c r="BA421" s="121"/>
      <c r="BB421" s="121"/>
      <c r="BC421" s="121"/>
      <c r="BD421" s="120">
        <f t="shared" si="517"/>
        <v>0</v>
      </c>
      <c r="BE421" s="120">
        <f t="shared" si="518"/>
        <v>0</v>
      </c>
      <c r="BF421" s="137">
        <f t="shared" si="519"/>
        <v>0</v>
      </c>
      <c r="BG421" s="120"/>
      <c r="BH421" s="120"/>
      <c r="BI421" s="120"/>
      <c r="BJ421" s="120"/>
      <c r="BK421" s="120"/>
      <c r="BL421" s="120"/>
      <c r="BM421" s="120"/>
      <c r="BN421" s="120"/>
      <c r="BO421" s="120"/>
      <c r="BP421" s="120"/>
      <c r="BQ421" s="124"/>
      <c r="BR421" s="120"/>
      <c r="BS421" s="120"/>
      <c r="BT421" s="120"/>
      <c r="BU421" s="120"/>
      <c r="BV421" s="120"/>
      <c r="BW421" s="120"/>
      <c r="BX421" s="121"/>
      <c r="BY421" s="121"/>
      <c r="BZ421" s="136">
        <f t="shared" si="529"/>
        <v>0</v>
      </c>
      <c r="CA421" s="136">
        <f t="shared" si="530"/>
        <v>0</v>
      </c>
      <c r="CB421" s="136">
        <f t="shared" si="531"/>
        <v>0</v>
      </c>
      <c r="CC421" s="136">
        <f t="shared" si="532"/>
        <v>0</v>
      </c>
      <c r="CD421" s="135">
        <f t="shared" si="533"/>
        <v>0</v>
      </c>
      <c r="CE421" s="135">
        <f t="shared" si="534"/>
        <v>0</v>
      </c>
      <c r="CF421" s="134">
        <f t="shared" si="535"/>
        <v>0</v>
      </c>
      <c r="CG421" s="134">
        <f t="shared" si="536"/>
        <v>0</v>
      </c>
      <c r="CH421" s="133" t="e">
        <f t="shared" si="537"/>
        <v>#DIV/0!</v>
      </c>
      <c r="CI421" s="121"/>
      <c r="CJ421" s="121"/>
    </row>
    <row r="422" spans="1:88" s="128" customFormat="1">
      <c r="A422" s="125">
        <f t="shared" si="516"/>
        <v>0</v>
      </c>
      <c r="B422" s="138" t="s">
        <v>187</v>
      </c>
      <c r="C422" s="121"/>
      <c r="D422" s="121" t="s">
        <v>215</v>
      </c>
      <c r="E422" s="397"/>
      <c r="F422" s="115"/>
      <c r="G422" s="252"/>
      <c r="H422" s="252"/>
      <c r="I422" s="517"/>
      <c r="J422" s="397"/>
      <c r="K422" s="397"/>
      <c r="L422" s="517"/>
      <c r="M422" s="123"/>
      <c r="N422" s="121" t="s">
        <v>390</v>
      </c>
      <c r="O422" s="121" t="s">
        <v>391</v>
      </c>
      <c r="P422" s="397"/>
      <c r="Q422" s="122">
        <f>3097*2.4</f>
        <v>7432.7999999999993</v>
      </c>
      <c r="R422" s="122">
        <f>7450+100</f>
        <v>7550</v>
      </c>
      <c r="S422" s="122">
        <v>7500</v>
      </c>
      <c r="T422" s="122"/>
      <c r="U422" s="577"/>
      <c r="V422" s="577"/>
      <c r="W422" s="577"/>
      <c r="Y422" s="115"/>
      <c r="Z422" s="577"/>
      <c r="AA422" s="577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115"/>
      <c r="AS422" s="115"/>
      <c r="AT422" s="115"/>
      <c r="AU422" s="115"/>
      <c r="AV422" s="115"/>
      <c r="AW422" s="121"/>
      <c r="AX422" s="121"/>
      <c r="AY422" s="121"/>
      <c r="AZ422" s="121"/>
      <c r="BA422" s="121"/>
      <c r="BB422" s="121"/>
      <c r="BC422" s="121"/>
      <c r="BD422" s="120">
        <f t="shared" si="517"/>
        <v>0</v>
      </c>
      <c r="BE422" s="120">
        <f t="shared" si="518"/>
        <v>0</v>
      </c>
      <c r="BF422" s="137">
        <f t="shared" si="519"/>
        <v>0</v>
      </c>
      <c r="BG422" s="120"/>
      <c r="BH422" s="120"/>
      <c r="BI422" s="120"/>
      <c r="BJ422" s="120"/>
      <c r="BK422" s="120"/>
      <c r="BL422" s="120"/>
      <c r="BM422" s="120"/>
      <c r="BN422" s="120"/>
      <c r="BO422" s="120"/>
      <c r="BP422" s="120"/>
      <c r="BQ422" s="124"/>
      <c r="BR422" s="120"/>
      <c r="BS422" s="120"/>
      <c r="BT422" s="120"/>
      <c r="BU422" s="120"/>
      <c r="BV422" s="120"/>
      <c r="BW422" s="120"/>
      <c r="BX422" s="121"/>
      <c r="BY422" s="121"/>
      <c r="BZ422" s="136">
        <f t="shared" si="529"/>
        <v>0</v>
      </c>
      <c r="CA422" s="136">
        <f t="shared" si="530"/>
        <v>0</v>
      </c>
      <c r="CB422" s="136">
        <f t="shared" si="531"/>
        <v>0</v>
      </c>
      <c r="CC422" s="136">
        <f t="shared" si="532"/>
        <v>0</v>
      </c>
      <c r="CD422" s="135">
        <f t="shared" si="533"/>
        <v>0</v>
      </c>
      <c r="CE422" s="135">
        <f t="shared" si="534"/>
        <v>0</v>
      </c>
      <c r="CF422" s="134">
        <f t="shared" si="535"/>
        <v>0</v>
      </c>
      <c r="CG422" s="134">
        <f t="shared" si="536"/>
        <v>0</v>
      </c>
      <c r="CH422" s="133" t="e">
        <f t="shared" si="537"/>
        <v>#DIV/0!</v>
      </c>
      <c r="CJ422" s="115"/>
    </row>
    <row r="423" spans="1:88" s="128" customFormat="1">
      <c r="A423" s="125">
        <f t="shared" ref="A423:A424" si="538">BJ423</f>
        <v>0</v>
      </c>
      <c r="B423" s="138" t="s">
        <v>187</v>
      </c>
      <c r="C423" s="121"/>
      <c r="D423" s="121" t="s">
        <v>197</v>
      </c>
      <c r="E423" s="253"/>
      <c r="F423" s="115"/>
      <c r="G423" s="252"/>
      <c r="H423" s="252"/>
      <c r="I423" s="121"/>
      <c r="J423" s="121"/>
      <c r="K423" s="397"/>
      <c r="L423" s="121"/>
      <c r="M423" s="123"/>
      <c r="N423" s="121" t="s">
        <v>3807</v>
      </c>
      <c r="O423" s="121" t="s">
        <v>340</v>
      </c>
      <c r="P423" s="397"/>
      <c r="Q423" s="122">
        <f>3141*2.4</f>
        <v>7538.4</v>
      </c>
      <c r="R423" s="122">
        <v>7500</v>
      </c>
      <c r="S423" s="122">
        <v>7500</v>
      </c>
      <c r="T423" s="122"/>
      <c r="U423" s="401"/>
      <c r="V423" s="401"/>
      <c r="W423" s="401"/>
      <c r="X423" s="401"/>
      <c r="Y423" s="400"/>
      <c r="Z423" s="401"/>
      <c r="AA423" s="401"/>
      <c r="AB423" s="115"/>
      <c r="AC423" s="115"/>
      <c r="AD423" s="121"/>
      <c r="AE423" s="121"/>
      <c r="AF423" s="121"/>
      <c r="AG423" s="272"/>
      <c r="AH423" s="272"/>
      <c r="AI423" s="272"/>
      <c r="AJ423" s="272"/>
      <c r="AK423" s="272"/>
      <c r="AL423" s="272"/>
      <c r="AM423" s="121"/>
      <c r="AN423" s="121"/>
      <c r="AO423" s="121"/>
      <c r="AP423" s="121"/>
      <c r="AQ423" s="121"/>
      <c r="AR423" s="121"/>
      <c r="AS423" s="121"/>
      <c r="AT423" s="121"/>
      <c r="AU423" s="121"/>
      <c r="AV423" s="121"/>
      <c r="AW423" s="121"/>
      <c r="AX423" s="121"/>
      <c r="AY423" s="121"/>
      <c r="AZ423" s="121"/>
      <c r="BA423" s="121"/>
      <c r="BB423" s="121"/>
      <c r="BC423" s="121"/>
      <c r="BD423" s="120">
        <f t="shared" ref="BD423:BD424" si="539">BG423</f>
        <v>0</v>
      </c>
      <c r="BE423" s="120">
        <f t="shared" ref="BE423:BE424" si="540">BW423</f>
        <v>0</v>
      </c>
      <c r="BF423" s="137">
        <f t="shared" ref="BF423:BF424" si="541">BE423-BD423</f>
        <v>0</v>
      </c>
      <c r="BG423" s="120"/>
      <c r="BH423" s="120"/>
      <c r="BI423" s="120"/>
      <c r="BJ423" s="120"/>
      <c r="BK423" s="120"/>
      <c r="BL423" s="120"/>
      <c r="BM423" s="120"/>
      <c r="BN423" s="120"/>
      <c r="BO423" s="359"/>
      <c r="BP423" s="359"/>
      <c r="BQ423" s="124"/>
      <c r="BR423" s="120"/>
      <c r="BS423" s="120"/>
      <c r="BT423" s="120"/>
      <c r="BU423" s="120"/>
      <c r="BV423" s="120"/>
      <c r="BW423" s="120"/>
      <c r="BX423" s="121"/>
      <c r="BY423" s="121"/>
      <c r="BZ423" s="136">
        <f t="shared" ref="BZ423:BZ424" si="542">(BI423-BH423)*24</f>
        <v>0</v>
      </c>
      <c r="CA423" s="136">
        <f t="shared" ref="CA423:CA424" si="543">(BK423-BJ423)*24</f>
        <v>0</v>
      </c>
      <c r="CB423" s="136">
        <f t="shared" ref="CB423:CB424" si="544">(BN423-BM423)*24</f>
        <v>0</v>
      </c>
      <c r="CC423" s="136">
        <f t="shared" ref="CC423:CC424" si="545">(BR423-BP423)*24</f>
        <v>0</v>
      </c>
      <c r="CD423" s="135">
        <f t="shared" ref="CD423:CD424" si="546">(BT423-BS423)*24</f>
        <v>0</v>
      </c>
      <c r="CE423" s="135">
        <f t="shared" ref="CE423:CE424" si="547">(BW423-BV423)*24</f>
        <v>0</v>
      </c>
      <c r="CF423" s="134">
        <f t="shared" ref="CF423:CF424" si="548">SUM(BZ423:CE423)/24</f>
        <v>0</v>
      </c>
      <c r="CG423" s="134">
        <f t="shared" ref="CG423:CG424" si="549">BF423</f>
        <v>0</v>
      </c>
      <c r="CH423" s="133" t="e">
        <f t="shared" ref="CH423:CH424" si="550">CF423/CG423</f>
        <v>#DIV/0!</v>
      </c>
      <c r="CI423" s="121"/>
      <c r="CJ423" s="121"/>
    </row>
    <row r="424" spans="1:88" s="121" customFormat="1">
      <c r="A424" s="125">
        <f t="shared" si="538"/>
        <v>0</v>
      </c>
      <c r="B424" s="138" t="s">
        <v>187</v>
      </c>
      <c r="D424" s="121" t="s">
        <v>215</v>
      </c>
      <c r="E424" s="253"/>
      <c r="F424" s="115"/>
      <c r="G424" s="252"/>
      <c r="H424" s="252"/>
      <c r="M424" s="123"/>
      <c r="N424" s="121" t="s">
        <v>301</v>
      </c>
      <c r="O424" s="121" t="s">
        <v>302</v>
      </c>
      <c r="Q424" s="122">
        <f>3852*2.4</f>
        <v>9244.7999999999993</v>
      </c>
      <c r="R424" s="122">
        <v>9250</v>
      </c>
      <c r="S424" s="122">
        <v>9200</v>
      </c>
      <c r="T424" s="122"/>
      <c r="U424" s="115"/>
      <c r="V424" s="115"/>
      <c r="W424" s="401"/>
      <c r="X424" s="401"/>
      <c r="Y424" s="401"/>
      <c r="Z424" s="401"/>
      <c r="AA424" s="115"/>
      <c r="AB424" s="115"/>
      <c r="AC424" s="115"/>
      <c r="AD424" s="128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5"/>
      <c r="BD424" s="120">
        <f t="shared" si="539"/>
        <v>0</v>
      </c>
      <c r="BE424" s="120">
        <f t="shared" si="540"/>
        <v>0</v>
      </c>
      <c r="BF424" s="137">
        <f t="shared" si="541"/>
        <v>0</v>
      </c>
      <c r="BG424" s="120"/>
      <c r="BH424" s="120"/>
      <c r="BI424" s="120"/>
      <c r="BJ424" s="120"/>
      <c r="BK424" s="120"/>
      <c r="BL424" s="120"/>
      <c r="BM424" s="120"/>
      <c r="BN424" s="120"/>
      <c r="BO424" s="359"/>
      <c r="BP424" s="359"/>
      <c r="BQ424" s="124"/>
      <c r="BR424" s="120"/>
      <c r="BS424" s="120"/>
      <c r="BT424" s="120"/>
      <c r="BU424" s="120"/>
      <c r="BV424" s="120"/>
      <c r="BW424" s="120"/>
      <c r="BZ424" s="136">
        <f t="shared" si="542"/>
        <v>0</v>
      </c>
      <c r="CA424" s="136">
        <f t="shared" si="543"/>
        <v>0</v>
      </c>
      <c r="CB424" s="136">
        <f t="shared" si="544"/>
        <v>0</v>
      </c>
      <c r="CC424" s="136">
        <f t="shared" si="545"/>
        <v>0</v>
      </c>
      <c r="CD424" s="135">
        <f t="shared" si="546"/>
        <v>0</v>
      </c>
      <c r="CE424" s="135">
        <f t="shared" si="547"/>
        <v>0</v>
      </c>
      <c r="CF424" s="134">
        <f t="shared" si="548"/>
        <v>0</v>
      </c>
      <c r="CG424" s="134">
        <f t="shared" si="549"/>
        <v>0</v>
      </c>
      <c r="CH424" s="133" t="e">
        <f t="shared" si="550"/>
        <v>#DIV/0!</v>
      </c>
      <c r="CJ424" s="115"/>
    </row>
    <row r="425" spans="1:88" s="121" customFormat="1">
      <c r="A425" s="125">
        <f t="shared" ref="A425:A428" si="551">BJ425</f>
        <v>0</v>
      </c>
      <c r="B425" s="138" t="s">
        <v>187</v>
      </c>
      <c r="D425" s="121" t="s">
        <v>197</v>
      </c>
      <c r="E425" s="253"/>
      <c r="F425" s="115"/>
      <c r="G425" s="252"/>
      <c r="H425" s="252"/>
      <c r="M425" s="123"/>
      <c r="N425" s="121" t="s">
        <v>1767</v>
      </c>
      <c r="O425" s="121" t="s">
        <v>1768</v>
      </c>
      <c r="Q425" s="122">
        <f>3139*2.4</f>
        <v>7533.5999999999995</v>
      </c>
      <c r="R425" s="122">
        <f>7550+100</f>
        <v>7650</v>
      </c>
      <c r="S425" s="122">
        <v>7550</v>
      </c>
      <c r="T425" s="122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15"/>
      <c r="AU425" s="115"/>
      <c r="AV425" s="115"/>
      <c r="BD425" s="120">
        <f t="shared" ref="BD425:BD428" si="552">BG425</f>
        <v>0</v>
      </c>
      <c r="BE425" s="120">
        <f t="shared" ref="BE425:BE428" si="553">BW425</f>
        <v>0</v>
      </c>
      <c r="BF425" s="137">
        <f t="shared" ref="BF425:BF428" si="554">BE425-BD425</f>
        <v>0</v>
      </c>
      <c r="BG425" s="120"/>
      <c r="BH425" s="120"/>
      <c r="BI425" s="120"/>
      <c r="BJ425" s="120"/>
      <c r="BK425" s="120"/>
      <c r="BL425" s="120"/>
      <c r="BM425" s="120"/>
      <c r="BN425" s="120"/>
      <c r="BO425" s="140"/>
      <c r="BP425" s="140"/>
      <c r="BQ425" s="124"/>
      <c r="BR425" s="120"/>
      <c r="BS425" s="120"/>
      <c r="BT425" s="120"/>
      <c r="BU425" s="120"/>
      <c r="BV425" s="120"/>
      <c r="BW425" s="120"/>
      <c r="BZ425" s="136">
        <f t="shared" ref="BZ425:BZ428" si="555">(BI425-BH425)*24</f>
        <v>0</v>
      </c>
      <c r="CA425" s="136">
        <f t="shared" ref="CA425:CA428" si="556">(BK425-BJ425)*24</f>
        <v>0</v>
      </c>
      <c r="CB425" s="136">
        <f t="shared" ref="CB425:CB428" si="557">(BN425-BM425)*24</f>
        <v>0</v>
      </c>
      <c r="CC425" s="136">
        <f t="shared" ref="CC425:CC428" si="558">(BR425-BP425)*24</f>
        <v>0</v>
      </c>
      <c r="CD425" s="135">
        <f t="shared" ref="CD425:CD428" si="559">(BT425-BS425)*24</f>
        <v>0</v>
      </c>
      <c r="CE425" s="135">
        <f t="shared" ref="CE425:CE428" si="560">(BW425-BV425)*24</f>
        <v>0</v>
      </c>
      <c r="CF425" s="134">
        <f t="shared" ref="CF425:CF428" si="561">SUM(BZ425:CE425)/24</f>
        <v>0</v>
      </c>
      <c r="CG425" s="134">
        <f t="shared" ref="CG425:CG428" si="562">BF425</f>
        <v>0</v>
      </c>
      <c r="CH425" s="133" t="e">
        <f t="shared" ref="CH425:CH428" si="563">CF425/CG425</f>
        <v>#DIV/0!</v>
      </c>
    </row>
    <row r="426" spans="1:88" s="121" customFormat="1">
      <c r="A426" s="125">
        <f>BJ426</f>
        <v>0</v>
      </c>
      <c r="B426" s="138" t="s">
        <v>187</v>
      </c>
      <c r="D426" s="121" t="s">
        <v>197</v>
      </c>
      <c r="E426" s="253"/>
      <c r="F426" s="369"/>
      <c r="G426" s="398"/>
      <c r="H426" s="398"/>
      <c r="K426" s="397"/>
      <c r="M426" s="123"/>
      <c r="N426" s="121" t="s">
        <v>249</v>
      </c>
      <c r="O426" s="121" t="s">
        <v>2315</v>
      </c>
      <c r="Q426" s="122">
        <f>3139*2.4</f>
        <v>7533.5999999999995</v>
      </c>
      <c r="R426" s="122">
        <f>7550+100</f>
        <v>7650</v>
      </c>
      <c r="S426" s="122">
        <v>7550</v>
      </c>
      <c r="T426" s="122"/>
      <c r="U426" s="369"/>
      <c r="V426" s="369"/>
      <c r="W426" s="369"/>
      <c r="X426" s="369"/>
      <c r="Y426" s="369"/>
      <c r="Z426" s="369"/>
      <c r="AA426" s="369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115"/>
      <c r="AS426" s="115"/>
      <c r="BD426" s="120">
        <f>BG426</f>
        <v>0</v>
      </c>
      <c r="BE426" s="120">
        <f>BW426</f>
        <v>0</v>
      </c>
      <c r="BF426" s="137">
        <f>BE426-BD426</f>
        <v>0</v>
      </c>
      <c r="BG426" s="120"/>
      <c r="BH426" s="120"/>
      <c r="BI426" s="120"/>
      <c r="BJ426" s="120"/>
      <c r="BK426" s="120"/>
      <c r="BL426" s="120"/>
      <c r="BM426" s="120"/>
      <c r="BN426" s="120"/>
      <c r="BO426" s="359"/>
      <c r="BP426" s="359"/>
      <c r="BQ426" s="124"/>
      <c r="BR426" s="120"/>
      <c r="BS426" s="120"/>
      <c r="BT426" s="120"/>
      <c r="BU426" s="120"/>
      <c r="BV426" s="120"/>
      <c r="BW426" s="120"/>
      <c r="BZ426" s="136">
        <f>(BI426-BH426)*24</f>
        <v>0</v>
      </c>
      <c r="CA426" s="136">
        <f>(BK426-BJ426)*24</f>
        <v>0</v>
      </c>
      <c r="CB426" s="136">
        <f>(BN426-BM426)*24</f>
        <v>0</v>
      </c>
      <c r="CC426" s="136">
        <f>(BR426-BP426)*24</f>
        <v>0</v>
      </c>
      <c r="CD426" s="135">
        <f>(BT426-BS426)*24</f>
        <v>0</v>
      </c>
      <c r="CE426" s="135">
        <f>(BW426-BV426)*24</f>
        <v>0</v>
      </c>
      <c r="CF426" s="134">
        <f>SUM(BZ426:CE426)/24</f>
        <v>0</v>
      </c>
      <c r="CG426" s="134">
        <f>BF426</f>
        <v>0</v>
      </c>
      <c r="CH426" s="133" t="e">
        <f>CF426/CG426</f>
        <v>#DIV/0!</v>
      </c>
      <c r="CI426" s="128"/>
      <c r="CJ426" s="128"/>
    </row>
    <row r="427" spans="1:88" s="121" customFormat="1">
      <c r="A427" s="125">
        <f t="shared" si="551"/>
        <v>0</v>
      </c>
      <c r="B427" s="138" t="s">
        <v>187</v>
      </c>
      <c r="D427" s="121" t="s">
        <v>215</v>
      </c>
      <c r="E427" s="253"/>
      <c r="F427" s="115"/>
      <c r="G427" s="252"/>
      <c r="H427" s="252"/>
      <c r="M427" s="123"/>
      <c r="N427" s="121" t="s">
        <v>1230</v>
      </c>
      <c r="O427" s="121" t="s">
        <v>1231</v>
      </c>
      <c r="Q427" s="122">
        <f>3107*2.4</f>
        <v>7456.7999999999993</v>
      </c>
      <c r="R427" s="122">
        <f>7500+100</f>
        <v>7600</v>
      </c>
      <c r="S427" s="122">
        <v>7500</v>
      </c>
      <c r="T427" s="122"/>
      <c r="U427" s="115"/>
      <c r="V427" s="115"/>
      <c r="Y427" s="115"/>
      <c r="AB427" s="115"/>
      <c r="BD427" s="120">
        <f t="shared" si="552"/>
        <v>0</v>
      </c>
      <c r="BE427" s="120">
        <f t="shared" si="553"/>
        <v>0</v>
      </c>
      <c r="BF427" s="137">
        <f t="shared" si="554"/>
        <v>0</v>
      </c>
      <c r="BG427" s="120"/>
      <c r="BH427" s="120"/>
      <c r="BI427" s="120"/>
      <c r="BJ427" s="120"/>
      <c r="BK427" s="120"/>
      <c r="BL427" s="120"/>
      <c r="BM427" s="120"/>
      <c r="BN427" s="120"/>
      <c r="BO427" s="359"/>
      <c r="BP427" s="359"/>
      <c r="BQ427" s="124"/>
      <c r="BR427" s="120"/>
      <c r="BS427" s="120"/>
      <c r="BT427" s="120"/>
      <c r="BU427" s="120"/>
      <c r="BV427" s="120"/>
      <c r="BW427" s="120"/>
      <c r="BZ427" s="136">
        <f t="shared" si="555"/>
        <v>0</v>
      </c>
      <c r="CA427" s="136">
        <f t="shared" si="556"/>
        <v>0</v>
      </c>
      <c r="CB427" s="136">
        <f t="shared" si="557"/>
        <v>0</v>
      </c>
      <c r="CC427" s="136">
        <f t="shared" si="558"/>
        <v>0</v>
      </c>
      <c r="CD427" s="135">
        <f t="shared" si="559"/>
        <v>0</v>
      </c>
      <c r="CE427" s="135">
        <f t="shared" si="560"/>
        <v>0</v>
      </c>
      <c r="CF427" s="134">
        <f t="shared" si="561"/>
        <v>0</v>
      </c>
      <c r="CG427" s="134">
        <f t="shared" si="562"/>
        <v>0</v>
      </c>
      <c r="CH427" s="133" t="e">
        <f t="shared" si="563"/>
        <v>#DIV/0!</v>
      </c>
      <c r="CI427" s="128"/>
      <c r="CJ427" s="115"/>
    </row>
    <row r="428" spans="1:88">
      <c r="A428" s="125">
        <f t="shared" si="551"/>
        <v>0</v>
      </c>
      <c r="B428" s="138" t="s">
        <v>187</v>
      </c>
      <c r="C428" s="121"/>
      <c r="D428" s="121" t="s">
        <v>197</v>
      </c>
      <c r="E428" s="253"/>
      <c r="I428" s="121"/>
      <c r="J428" s="121"/>
      <c r="K428" s="121"/>
      <c r="L428" s="121"/>
      <c r="M428" s="123"/>
      <c r="N428" s="121" t="s">
        <v>492</v>
      </c>
      <c r="O428" s="121" t="s">
        <v>493</v>
      </c>
      <c r="P428" s="121"/>
      <c r="Q428" s="122">
        <f>3152*2.4</f>
        <v>7564.7999999999993</v>
      </c>
      <c r="R428" s="122">
        <f>7600+100</f>
        <v>7700</v>
      </c>
      <c r="S428" s="122">
        <v>7600</v>
      </c>
      <c r="T428" s="122"/>
      <c r="U428" s="121"/>
      <c r="V428" s="121"/>
      <c r="W428" s="121"/>
      <c r="X428" s="121"/>
      <c r="Y428" s="121"/>
      <c r="Z428" s="121"/>
      <c r="AA428" s="121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0">
        <f t="shared" si="552"/>
        <v>0</v>
      </c>
      <c r="BE428" s="120">
        <f t="shared" si="553"/>
        <v>0</v>
      </c>
      <c r="BF428" s="137">
        <f t="shared" si="554"/>
        <v>0</v>
      </c>
      <c r="BG428" s="120"/>
      <c r="BH428" s="120"/>
      <c r="BI428" s="120"/>
      <c r="BJ428" s="120"/>
      <c r="BK428" s="120"/>
      <c r="BL428" s="120"/>
      <c r="BM428" s="120"/>
      <c r="BN428" s="120"/>
      <c r="BO428" s="359"/>
      <c r="BP428" s="359"/>
      <c r="BQ428" s="124"/>
      <c r="BR428" s="120"/>
      <c r="BS428" s="120"/>
      <c r="BT428" s="120"/>
      <c r="BU428" s="120"/>
      <c r="BV428" s="120"/>
      <c r="BW428" s="120"/>
      <c r="BX428" s="121"/>
      <c r="BY428" s="121"/>
      <c r="BZ428" s="136">
        <f t="shared" si="555"/>
        <v>0</v>
      </c>
      <c r="CA428" s="136">
        <f t="shared" si="556"/>
        <v>0</v>
      </c>
      <c r="CB428" s="136">
        <f t="shared" si="557"/>
        <v>0</v>
      </c>
      <c r="CC428" s="136">
        <f t="shared" si="558"/>
        <v>0</v>
      </c>
      <c r="CD428" s="135">
        <f t="shared" si="559"/>
        <v>0</v>
      </c>
      <c r="CE428" s="135">
        <f t="shared" si="560"/>
        <v>0</v>
      </c>
      <c r="CF428" s="134">
        <f t="shared" si="561"/>
        <v>0</v>
      </c>
      <c r="CG428" s="134">
        <f t="shared" si="562"/>
        <v>0</v>
      </c>
      <c r="CH428" s="133" t="e">
        <f t="shared" si="563"/>
        <v>#DIV/0!</v>
      </c>
      <c r="CI428" s="121"/>
      <c r="CJ428" s="121"/>
    </row>
    <row r="429" spans="1:88" s="128" customFormat="1">
      <c r="A429" s="125">
        <f t="shared" ref="A429:A432" si="564">BJ429</f>
        <v>0</v>
      </c>
      <c r="B429" s="138" t="s">
        <v>187</v>
      </c>
      <c r="C429" s="121"/>
      <c r="D429" s="121" t="s">
        <v>197</v>
      </c>
      <c r="E429" s="253"/>
      <c r="F429" s="115"/>
      <c r="G429" s="252"/>
      <c r="H429" s="252"/>
      <c r="I429" s="121"/>
      <c r="J429" s="121"/>
      <c r="K429" s="121"/>
      <c r="L429" s="121"/>
      <c r="M429" s="123"/>
      <c r="N429" s="121" t="s">
        <v>429</v>
      </c>
      <c r="O429" s="121" t="s">
        <v>430</v>
      </c>
      <c r="P429" s="121"/>
      <c r="Q429" s="122">
        <f>3145 *2.4</f>
        <v>7548</v>
      </c>
      <c r="R429" s="122">
        <f>7550+100</f>
        <v>7650</v>
      </c>
      <c r="S429" s="122">
        <v>7550</v>
      </c>
      <c r="T429" s="122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0">
        <f t="shared" ref="BD429:BD432" si="565">BG429</f>
        <v>0</v>
      </c>
      <c r="BE429" s="120">
        <f t="shared" ref="BE429:BE432" si="566">BW429</f>
        <v>0</v>
      </c>
      <c r="BF429" s="137">
        <f t="shared" ref="BF429:BF432" si="567">BE429-BD429</f>
        <v>0</v>
      </c>
      <c r="BG429" s="120"/>
      <c r="BH429" s="120"/>
      <c r="BI429" s="120"/>
      <c r="BJ429" s="120"/>
      <c r="BK429" s="120"/>
      <c r="BL429" s="120"/>
      <c r="BM429" s="120"/>
      <c r="BN429" s="120"/>
      <c r="BO429" s="359"/>
      <c r="BP429" s="359"/>
      <c r="BQ429" s="124"/>
      <c r="BR429" s="120"/>
      <c r="BS429" s="120"/>
      <c r="BT429" s="120"/>
      <c r="BU429" s="120"/>
      <c r="BV429" s="120"/>
      <c r="BW429" s="120"/>
      <c r="BX429" s="121"/>
      <c r="BY429" s="121"/>
      <c r="BZ429" s="136">
        <f t="shared" ref="BZ429:BZ432" si="568">(BI429-BH429)*24</f>
        <v>0</v>
      </c>
      <c r="CA429" s="136">
        <f t="shared" ref="CA429:CA432" si="569">(BK429-BJ429)*24</f>
        <v>0</v>
      </c>
      <c r="CB429" s="136">
        <f t="shared" ref="CB429:CB432" si="570">(BN429-BM429)*24</f>
        <v>0</v>
      </c>
      <c r="CC429" s="136">
        <f t="shared" ref="CC429:CC432" si="571">(BR429-BP429)*24</f>
        <v>0</v>
      </c>
      <c r="CD429" s="135">
        <f t="shared" ref="CD429:CD432" si="572">(BT429-BS429)*24</f>
        <v>0</v>
      </c>
      <c r="CE429" s="135">
        <f t="shared" ref="CE429:CE432" si="573">(BW429-BV429)*24</f>
        <v>0</v>
      </c>
      <c r="CF429" s="134">
        <f t="shared" ref="CF429:CF432" si="574">SUM(BZ429:CE429)/24</f>
        <v>0</v>
      </c>
      <c r="CG429" s="134">
        <f t="shared" ref="CG429:CG432" si="575">BF429</f>
        <v>0</v>
      </c>
      <c r="CH429" s="133" t="e">
        <f t="shared" ref="CH429:CH432" si="576">CF429/CG429</f>
        <v>#DIV/0!</v>
      </c>
      <c r="CJ429" s="121"/>
    </row>
    <row r="430" spans="1:88" s="128" customFormat="1">
      <c r="A430" s="125">
        <f t="shared" si="564"/>
        <v>0</v>
      </c>
      <c r="B430" s="138" t="s">
        <v>187</v>
      </c>
      <c r="C430" s="121"/>
      <c r="D430" s="121" t="s">
        <v>197</v>
      </c>
      <c r="E430" s="253"/>
      <c r="F430" s="115"/>
      <c r="G430" s="252"/>
      <c r="H430" s="252"/>
      <c r="I430" s="121"/>
      <c r="J430" s="121"/>
      <c r="K430" s="121"/>
      <c r="L430" s="121"/>
      <c r="M430" s="123"/>
      <c r="N430" s="121" t="s">
        <v>1313</v>
      </c>
      <c r="O430" s="121" t="s">
        <v>438</v>
      </c>
      <c r="P430" s="121"/>
      <c r="Q430" s="122">
        <f>3136*2.4</f>
        <v>7526.4</v>
      </c>
      <c r="R430" s="122">
        <f>7550+100</f>
        <v>7650</v>
      </c>
      <c r="S430" s="122">
        <v>7550</v>
      </c>
      <c r="T430" s="122"/>
      <c r="U430" s="115"/>
      <c r="V430" s="121"/>
      <c r="W430" s="115"/>
      <c r="X430" s="115"/>
      <c r="Y430" s="115"/>
      <c r="Z430" s="115"/>
      <c r="AA430" s="115"/>
      <c r="AB430" s="115"/>
      <c r="AC430" s="121"/>
      <c r="AE430" s="121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0">
        <f t="shared" si="565"/>
        <v>0</v>
      </c>
      <c r="BE430" s="120">
        <f t="shared" si="566"/>
        <v>0</v>
      </c>
      <c r="BF430" s="137">
        <f t="shared" si="567"/>
        <v>0</v>
      </c>
      <c r="BG430" s="120"/>
      <c r="BH430" s="120"/>
      <c r="BI430" s="120"/>
      <c r="BJ430" s="120"/>
      <c r="BK430" s="120"/>
      <c r="BL430" s="120"/>
      <c r="BM430" s="120"/>
      <c r="BN430" s="120"/>
      <c r="BO430" s="140"/>
      <c r="BP430" s="140"/>
      <c r="BQ430" s="124"/>
      <c r="BR430" s="120"/>
      <c r="BS430" s="120"/>
      <c r="BT430" s="120"/>
      <c r="BU430" s="120"/>
      <c r="BV430" s="120"/>
      <c r="BW430" s="120"/>
      <c r="BX430" s="121"/>
      <c r="BY430" s="121"/>
      <c r="BZ430" s="136">
        <f t="shared" si="568"/>
        <v>0</v>
      </c>
      <c r="CA430" s="136">
        <f t="shared" si="569"/>
        <v>0</v>
      </c>
      <c r="CB430" s="136">
        <f t="shared" si="570"/>
        <v>0</v>
      </c>
      <c r="CC430" s="136">
        <f t="shared" si="571"/>
        <v>0</v>
      </c>
      <c r="CD430" s="135">
        <f t="shared" si="572"/>
        <v>0</v>
      </c>
      <c r="CE430" s="135">
        <f t="shared" si="573"/>
        <v>0</v>
      </c>
      <c r="CF430" s="134">
        <f t="shared" si="574"/>
        <v>0</v>
      </c>
      <c r="CG430" s="134">
        <f t="shared" si="575"/>
        <v>0</v>
      </c>
      <c r="CH430" s="133" t="e">
        <f t="shared" si="576"/>
        <v>#DIV/0!</v>
      </c>
      <c r="CI430" s="121"/>
      <c r="CJ430" s="121"/>
    </row>
    <row r="431" spans="1:88" s="128" customFormat="1">
      <c r="A431" s="125">
        <f t="shared" si="564"/>
        <v>0</v>
      </c>
      <c r="B431" s="138" t="s">
        <v>187</v>
      </c>
      <c r="C431" s="121"/>
      <c r="D431" s="121" t="s">
        <v>197</v>
      </c>
      <c r="E431" s="253"/>
      <c r="F431" s="115"/>
      <c r="G431" s="252"/>
      <c r="H431" s="252"/>
      <c r="I431" s="121"/>
      <c r="J431" s="115"/>
      <c r="K431" s="121"/>
      <c r="L431" s="121"/>
      <c r="M431" s="123"/>
      <c r="N431" s="121" t="s">
        <v>1799</v>
      </c>
      <c r="O431" s="121" t="s">
        <v>268</v>
      </c>
      <c r="P431" s="121"/>
      <c r="Q431" s="122">
        <f>3142*2.4</f>
        <v>7540.7999999999993</v>
      </c>
      <c r="R431" s="122">
        <f>7550+100</f>
        <v>7650</v>
      </c>
      <c r="S431" s="122">
        <v>7550</v>
      </c>
      <c r="T431" s="122"/>
      <c r="AB431" s="115"/>
      <c r="AC431" s="121"/>
      <c r="AD431" s="115"/>
      <c r="AE431" s="115"/>
      <c r="AF431" s="115"/>
      <c r="AG431" s="115"/>
      <c r="AH431" s="115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0">
        <f t="shared" si="565"/>
        <v>0</v>
      </c>
      <c r="BE431" s="120">
        <f t="shared" si="566"/>
        <v>0</v>
      </c>
      <c r="BF431" s="137">
        <f t="shared" si="567"/>
        <v>0</v>
      </c>
      <c r="BG431" s="120"/>
      <c r="BH431" s="120"/>
      <c r="BI431" s="120"/>
      <c r="BJ431" s="120"/>
      <c r="BK431" s="120"/>
      <c r="BL431" s="120"/>
      <c r="BM431" s="120"/>
      <c r="BN431" s="120"/>
      <c r="BO431" s="140"/>
      <c r="BP431" s="140"/>
      <c r="BQ431" s="124"/>
      <c r="BR431" s="120"/>
      <c r="BS431" s="120"/>
      <c r="BT431" s="120"/>
      <c r="BU431" s="120"/>
      <c r="BV431" s="120"/>
      <c r="BW431" s="120"/>
      <c r="BX431" s="121"/>
      <c r="BY431" s="121"/>
      <c r="BZ431" s="136">
        <f t="shared" si="568"/>
        <v>0</v>
      </c>
      <c r="CA431" s="136">
        <f t="shared" si="569"/>
        <v>0</v>
      </c>
      <c r="CB431" s="136">
        <f t="shared" si="570"/>
        <v>0</v>
      </c>
      <c r="CC431" s="136">
        <f t="shared" si="571"/>
        <v>0</v>
      </c>
      <c r="CD431" s="135">
        <f t="shared" si="572"/>
        <v>0</v>
      </c>
      <c r="CE431" s="135">
        <f t="shared" si="573"/>
        <v>0</v>
      </c>
      <c r="CF431" s="134">
        <f t="shared" si="574"/>
        <v>0</v>
      </c>
      <c r="CG431" s="134">
        <f t="shared" si="575"/>
        <v>0</v>
      </c>
      <c r="CH431" s="133" t="e">
        <f t="shared" si="576"/>
        <v>#DIV/0!</v>
      </c>
      <c r="CJ431" s="115"/>
    </row>
    <row r="432" spans="1:88" s="121" customFormat="1">
      <c r="A432" s="125">
        <f t="shared" si="564"/>
        <v>0</v>
      </c>
      <c r="B432" s="138" t="s">
        <v>187</v>
      </c>
      <c r="D432" s="121" t="s">
        <v>215</v>
      </c>
      <c r="E432" s="253"/>
      <c r="F432" s="115"/>
      <c r="G432" s="252"/>
      <c r="H432" s="252"/>
      <c r="M432" s="123"/>
      <c r="N432" s="121" t="s">
        <v>218</v>
      </c>
      <c r="O432" s="121" t="s">
        <v>219</v>
      </c>
      <c r="Q432" s="122">
        <f>3087*2.4</f>
        <v>7408.7999999999993</v>
      </c>
      <c r="R432" s="122">
        <f>7450+100</f>
        <v>7550</v>
      </c>
      <c r="S432" s="122">
        <v>7500</v>
      </c>
      <c r="T432" s="122"/>
      <c r="U432" s="128"/>
      <c r="V432" s="128"/>
      <c r="W432" s="128"/>
      <c r="X432" s="128"/>
      <c r="Y432" s="128"/>
      <c r="Z432" s="128"/>
      <c r="AA432" s="128"/>
      <c r="AB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115"/>
      <c r="BD432" s="120">
        <f t="shared" si="565"/>
        <v>0</v>
      </c>
      <c r="BE432" s="120">
        <f t="shared" si="566"/>
        <v>0</v>
      </c>
      <c r="BF432" s="137">
        <f t="shared" si="567"/>
        <v>0</v>
      </c>
      <c r="BG432" s="120"/>
      <c r="BH432" s="120"/>
      <c r="BI432" s="120"/>
      <c r="BJ432" s="120"/>
      <c r="BK432" s="120"/>
      <c r="BL432" s="120"/>
      <c r="BM432" s="120"/>
      <c r="BN432" s="120"/>
      <c r="BO432" s="140"/>
      <c r="BP432" s="140"/>
      <c r="BQ432" s="124"/>
      <c r="BR432" s="120"/>
      <c r="BS432" s="120"/>
      <c r="BT432" s="120"/>
      <c r="BU432" s="120"/>
      <c r="BV432" s="120"/>
      <c r="BW432" s="120"/>
      <c r="BZ432" s="136">
        <f t="shared" si="568"/>
        <v>0</v>
      </c>
      <c r="CA432" s="136">
        <f t="shared" si="569"/>
        <v>0</v>
      </c>
      <c r="CB432" s="136">
        <f t="shared" si="570"/>
        <v>0</v>
      </c>
      <c r="CC432" s="136">
        <f t="shared" si="571"/>
        <v>0</v>
      </c>
      <c r="CD432" s="135">
        <f t="shared" si="572"/>
        <v>0</v>
      </c>
      <c r="CE432" s="135">
        <f t="shared" si="573"/>
        <v>0</v>
      </c>
      <c r="CF432" s="134">
        <f t="shared" si="574"/>
        <v>0</v>
      </c>
      <c r="CG432" s="134">
        <f t="shared" si="575"/>
        <v>0</v>
      </c>
      <c r="CH432" s="133" t="e">
        <f t="shared" si="576"/>
        <v>#DIV/0!</v>
      </c>
      <c r="CI432" s="115"/>
      <c r="CJ432" s="116"/>
    </row>
    <row r="433" spans="1:88" s="128" customFormat="1">
      <c r="A433" s="125">
        <f t="shared" ref="A433" si="577">BJ433</f>
        <v>0</v>
      </c>
      <c r="B433" s="138" t="s">
        <v>187</v>
      </c>
      <c r="C433" s="121"/>
      <c r="D433" s="121" t="s">
        <v>197</v>
      </c>
      <c r="E433" s="253"/>
      <c r="F433" s="115"/>
      <c r="G433" s="252"/>
      <c r="H433" s="252"/>
      <c r="I433" s="121"/>
      <c r="J433" s="121"/>
      <c r="K433" s="121"/>
      <c r="L433" s="121"/>
      <c r="M433" s="123"/>
      <c r="N433" s="121" t="s">
        <v>1483</v>
      </c>
      <c r="O433" s="121" t="s">
        <v>258</v>
      </c>
      <c r="P433" s="121"/>
      <c r="Q433" s="122">
        <f>3139*2.4</f>
        <v>7533.5999999999995</v>
      </c>
      <c r="R433" s="122">
        <f>7550+100</f>
        <v>7650</v>
      </c>
      <c r="S433" s="122">
        <v>7550</v>
      </c>
      <c r="T433" s="122"/>
      <c r="V433" s="115"/>
      <c r="W433" s="115"/>
      <c r="AA433" s="115"/>
      <c r="BD433" s="120">
        <f t="shared" ref="BD433" si="578">BG433</f>
        <v>0</v>
      </c>
      <c r="BE433" s="120">
        <f t="shared" ref="BE433" si="579">BW433</f>
        <v>0</v>
      </c>
      <c r="BF433" s="137">
        <f t="shared" ref="BF433" si="580">BE433-BD433</f>
        <v>0</v>
      </c>
      <c r="BG433" s="120"/>
      <c r="BH433" s="120"/>
      <c r="BI433" s="120"/>
      <c r="BJ433" s="120"/>
      <c r="BK433" s="120"/>
      <c r="BL433" s="120"/>
      <c r="BM433" s="120"/>
      <c r="BN433" s="120"/>
      <c r="BO433" s="140"/>
      <c r="BP433" s="140"/>
      <c r="BQ433" s="124"/>
      <c r="BR433" s="120"/>
      <c r="BS433" s="120"/>
      <c r="BT433" s="120"/>
      <c r="BU433" s="120"/>
      <c r="BV433" s="120"/>
      <c r="BW433" s="120"/>
      <c r="BX433" s="121"/>
      <c r="BY433" s="121"/>
      <c r="BZ433" s="136">
        <f t="shared" ref="BZ433" si="581">(BI433-BH433)*24</f>
        <v>0</v>
      </c>
      <c r="CA433" s="136">
        <f t="shared" ref="CA433" si="582">(BK433-BJ433)*24</f>
        <v>0</v>
      </c>
      <c r="CB433" s="136">
        <f t="shared" ref="CB433" si="583">(BN433-BM433)*24</f>
        <v>0</v>
      </c>
      <c r="CC433" s="136">
        <f t="shared" ref="CC433" si="584">(BR433-BP433)*24</f>
        <v>0</v>
      </c>
      <c r="CD433" s="135">
        <f t="shared" ref="CD433" si="585">(BT433-BS433)*24</f>
        <v>0</v>
      </c>
      <c r="CE433" s="135">
        <f t="shared" ref="CE433" si="586">(BW433-BV433)*24</f>
        <v>0</v>
      </c>
      <c r="CF433" s="134">
        <f t="shared" ref="CF433" si="587">SUM(BZ433:CE433)/24</f>
        <v>0</v>
      </c>
      <c r="CG433" s="134">
        <f t="shared" ref="CG433" si="588">BF433</f>
        <v>0</v>
      </c>
      <c r="CH433" s="133" t="e">
        <f t="shared" ref="CH433" si="589">CF433/CG433</f>
        <v>#DIV/0!</v>
      </c>
      <c r="CI433" s="121"/>
      <c r="CJ433" s="121"/>
    </row>
    <row r="434" spans="1:88" s="128" customFormat="1">
      <c r="A434" s="125">
        <f t="shared" ref="A434:A438" si="590">BJ434</f>
        <v>0</v>
      </c>
      <c r="B434" s="138" t="s">
        <v>187</v>
      </c>
      <c r="C434" s="121"/>
      <c r="D434" s="121" t="s">
        <v>197</v>
      </c>
      <c r="E434" s="253"/>
      <c r="F434" s="115"/>
      <c r="G434" s="252"/>
      <c r="H434" s="252"/>
      <c r="I434" s="121"/>
      <c r="J434" s="121"/>
      <c r="K434" s="121"/>
      <c r="L434" s="121"/>
      <c r="M434" s="123"/>
      <c r="N434" s="121" t="s">
        <v>505</v>
      </c>
      <c r="O434" s="121" t="s">
        <v>506</v>
      </c>
      <c r="P434" s="121"/>
      <c r="Q434" s="122">
        <f>3071*2.4</f>
        <v>7370.4</v>
      </c>
      <c r="R434" s="122">
        <f>7400+100</f>
        <v>7500</v>
      </c>
      <c r="S434" s="122">
        <v>7400</v>
      </c>
      <c r="T434" s="122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0">
        <f t="shared" ref="BD434:BD438" si="591">BG434</f>
        <v>0</v>
      </c>
      <c r="BE434" s="120">
        <f t="shared" ref="BE434:BE438" si="592">BW434</f>
        <v>0</v>
      </c>
      <c r="BF434" s="137">
        <f t="shared" ref="BF434:BF438" si="593">BE434-BD434</f>
        <v>0</v>
      </c>
      <c r="BG434" s="120"/>
      <c r="BH434" s="120"/>
      <c r="BI434" s="120"/>
      <c r="BJ434" s="120"/>
      <c r="BK434" s="120"/>
      <c r="BL434" s="120"/>
      <c r="BM434" s="120"/>
      <c r="BN434" s="120"/>
      <c r="BO434" s="120"/>
      <c r="BP434" s="120"/>
      <c r="BQ434" s="124"/>
      <c r="BR434" s="120"/>
      <c r="BS434" s="120"/>
      <c r="BT434" s="120"/>
      <c r="BU434" s="120"/>
      <c r="BV434" s="120"/>
      <c r="BW434" s="120"/>
      <c r="BX434" s="121"/>
      <c r="BY434" s="121"/>
      <c r="BZ434" s="136">
        <f t="shared" ref="BZ434:BZ438" si="594">(BI434-BH434)*24</f>
        <v>0</v>
      </c>
      <c r="CA434" s="136">
        <f t="shared" ref="CA434:CA438" si="595">(BK434-BJ434)*24</f>
        <v>0</v>
      </c>
      <c r="CB434" s="136">
        <f t="shared" ref="CB434:CB438" si="596">(BN434-BM434)*24</f>
        <v>0</v>
      </c>
      <c r="CC434" s="136">
        <f t="shared" ref="CC434:CC438" si="597">(BR434-BP434)*24</f>
        <v>0</v>
      </c>
      <c r="CD434" s="135">
        <f t="shared" ref="CD434:CD438" si="598">(BT434-BS434)*24</f>
        <v>0</v>
      </c>
      <c r="CE434" s="135">
        <f t="shared" ref="CE434:CE438" si="599">(BW434-BV434)*24</f>
        <v>0</v>
      </c>
      <c r="CF434" s="134">
        <f t="shared" ref="CF434:CF438" si="600">SUM(BZ434:CE434)/24</f>
        <v>0</v>
      </c>
      <c r="CG434" s="134">
        <f t="shared" ref="CG434:CG438" si="601">BF434</f>
        <v>0</v>
      </c>
      <c r="CH434" s="133" t="e">
        <f t="shared" ref="CH434:CH438" si="602">CF434/CG434</f>
        <v>#DIV/0!</v>
      </c>
      <c r="CJ434" s="115"/>
    </row>
    <row r="435" spans="1:88" s="121" customFormat="1">
      <c r="A435" s="125">
        <f t="shared" ref="A435:A437" si="603">BJ435</f>
        <v>0</v>
      </c>
      <c r="B435" s="138" t="s">
        <v>187</v>
      </c>
      <c r="D435" s="121" t="s">
        <v>197</v>
      </c>
      <c r="E435" s="253"/>
      <c r="F435" s="115"/>
      <c r="G435" s="252"/>
      <c r="H435" s="252"/>
      <c r="M435" s="123"/>
      <c r="N435" s="121" t="s">
        <v>2210</v>
      </c>
      <c r="O435" s="121" t="s">
        <v>324</v>
      </c>
      <c r="Q435" s="122">
        <f>3095*2.4</f>
        <v>7428</v>
      </c>
      <c r="R435" s="122">
        <f>7450+100</f>
        <v>7550</v>
      </c>
      <c r="S435" s="122">
        <v>6600</v>
      </c>
      <c r="T435" s="122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115"/>
      <c r="AS435" s="115"/>
      <c r="BD435" s="120">
        <f t="shared" ref="BD435:BD437" si="604">BG435</f>
        <v>0</v>
      </c>
      <c r="BE435" s="120">
        <f t="shared" ref="BE435:BE437" si="605">BW435</f>
        <v>0</v>
      </c>
      <c r="BF435" s="137">
        <f t="shared" ref="BF435:BF437" si="606">BE435-BD435</f>
        <v>0</v>
      </c>
      <c r="BG435" s="120"/>
      <c r="BH435" s="120"/>
      <c r="BI435" s="120"/>
      <c r="BJ435" s="120"/>
      <c r="BK435" s="120"/>
      <c r="BL435" s="120"/>
      <c r="BM435" s="120"/>
      <c r="BN435" s="120"/>
      <c r="BO435" s="120"/>
      <c r="BP435" s="120"/>
      <c r="BQ435" s="124"/>
      <c r="BR435" s="120"/>
      <c r="BS435" s="120"/>
      <c r="BT435" s="120"/>
      <c r="BU435" s="120"/>
      <c r="BV435" s="120"/>
      <c r="BW435" s="120"/>
      <c r="BZ435" s="136">
        <f t="shared" ref="BZ435" si="607">(BI435-BH435)*24</f>
        <v>0</v>
      </c>
      <c r="CA435" s="136">
        <f t="shared" ref="CA435" si="608">(BK435-BJ435)*24</f>
        <v>0</v>
      </c>
      <c r="CB435" s="136">
        <f t="shared" ref="CB435" si="609">(BN435-BM435)*24</f>
        <v>0</v>
      </c>
      <c r="CC435" s="136">
        <f t="shared" ref="CC435" si="610">(BR435-BP435)*24</f>
        <v>0</v>
      </c>
      <c r="CD435" s="135">
        <f t="shared" ref="CD435" si="611">(BT435-BS435)*24</f>
        <v>0</v>
      </c>
      <c r="CE435" s="135">
        <f t="shared" ref="CE435" si="612">(BW435-BV435)*24</f>
        <v>0</v>
      </c>
      <c r="CF435" s="134">
        <f t="shared" ref="CF435" si="613">SUM(BZ435:CE435)/24</f>
        <v>0</v>
      </c>
      <c r="CG435" s="134">
        <f t="shared" ref="CG435" si="614">BF435</f>
        <v>0</v>
      </c>
      <c r="CH435" s="133" t="e">
        <f t="shared" ref="CH435" si="615">CF435/CG435</f>
        <v>#DIV/0!</v>
      </c>
    </row>
    <row r="436" spans="1:88">
      <c r="A436" s="125">
        <f t="shared" si="603"/>
        <v>0</v>
      </c>
      <c r="B436" s="138" t="s">
        <v>187</v>
      </c>
      <c r="C436" s="121"/>
      <c r="D436" s="121" t="s">
        <v>215</v>
      </c>
      <c r="E436" s="253"/>
      <c r="I436" s="121"/>
      <c r="J436" s="121"/>
      <c r="K436" s="121"/>
      <c r="L436" s="121"/>
      <c r="M436" s="123"/>
      <c r="N436" s="121" t="s">
        <v>374</v>
      </c>
      <c r="O436" s="121" t="s">
        <v>275</v>
      </c>
      <c r="P436" s="121"/>
      <c r="Q436" s="122">
        <f>3097*2.4</f>
        <v>7432.7999999999993</v>
      </c>
      <c r="R436" s="122">
        <f>7450+100</f>
        <v>7550</v>
      </c>
      <c r="S436" s="122">
        <v>6600</v>
      </c>
      <c r="T436" s="122"/>
      <c r="U436" s="128"/>
      <c r="V436" s="128"/>
      <c r="W436" s="128"/>
      <c r="X436" s="128"/>
      <c r="Y436" s="128"/>
      <c r="Z436" s="128"/>
      <c r="AA436" s="128"/>
      <c r="AB436" s="128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0">
        <f t="shared" si="604"/>
        <v>0</v>
      </c>
      <c r="BE436" s="120">
        <f t="shared" si="605"/>
        <v>0</v>
      </c>
      <c r="BF436" s="137">
        <f t="shared" si="606"/>
        <v>0</v>
      </c>
      <c r="BG436" s="120"/>
      <c r="BH436" s="120"/>
      <c r="BI436" s="120"/>
      <c r="BJ436" s="120"/>
      <c r="BK436" s="120"/>
      <c r="BL436" s="120"/>
      <c r="BM436" s="120"/>
      <c r="BN436" s="120"/>
      <c r="BO436" s="140"/>
      <c r="BP436" s="140"/>
      <c r="BQ436" s="124"/>
      <c r="BR436" s="120"/>
      <c r="BS436" s="120"/>
      <c r="BT436" s="120"/>
      <c r="BU436" s="120"/>
      <c r="BV436" s="120"/>
      <c r="BW436" s="120"/>
      <c r="BX436" s="121"/>
      <c r="BY436" s="121"/>
      <c r="BZ436" s="136">
        <f>(BI436-BH436)*24</f>
        <v>0</v>
      </c>
      <c r="CA436" s="136">
        <f>(BK436-BJ436)*24</f>
        <v>0</v>
      </c>
      <c r="CB436" s="136">
        <f>(BN436-BM436)*24</f>
        <v>0</v>
      </c>
      <c r="CC436" s="136">
        <f>(BR436-BP436)*24</f>
        <v>0</v>
      </c>
      <c r="CD436" s="135">
        <f>(BT436-BS436)*24</f>
        <v>0</v>
      </c>
      <c r="CE436" s="135">
        <f>(BW436-BV436)*24</f>
        <v>0</v>
      </c>
      <c r="CF436" s="134">
        <f>SUM(BZ436:CE436)/24</f>
        <v>0</v>
      </c>
      <c r="CG436" s="134">
        <f>BF436</f>
        <v>0</v>
      </c>
      <c r="CH436" s="133" t="e">
        <f>CF436/CG436</f>
        <v>#DIV/0!</v>
      </c>
      <c r="CI436" s="121"/>
      <c r="CJ436" s="121"/>
    </row>
    <row r="437" spans="1:88" s="128" customFormat="1">
      <c r="A437" s="125">
        <f t="shared" si="603"/>
        <v>0</v>
      </c>
      <c r="B437" s="138" t="s">
        <v>187</v>
      </c>
      <c r="C437" s="121"/>
      <c r="D437" s="121" t="s">
        <v>197</v>
      </c>
      <c r="E437" s="253"/>
      <c r="F437" s="115"/>
      <c r="G437" s="252"/>
      <c r="H437" s="252"/>
      <c r="I437" s="121"/>
      <c r="J437" s="121"/>
      <c r="K437" s="121"/>
      <c r="L437" s="121"/>
      <c r="M437" s="123"/>
      <c r="N437" s="121" t="s">
        <v>249</v>
      </c>
      <c r="O437" s="121" t="s">
        <v>250</v>
      </c>
      <c r="P437" s="121"/>
      <c r="Q437" s="122">
        <f>3139*2.4</f>
        <v>7533.5999999999995</v>
      </c>
      <c r="R437" s="122">
        <f>7550+100</f>
        <v>7650</v>
      </c>
      <c r="S437" s="122">
        <v>6600</v>
      </c>
      <c r="T437" s="122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0">
        <f t="shared" si="604"/>
        <v>0</v>
      </c>
      <c r="BE437" s="120">
        <f t="shared" si="605"/>
        <v>0</v>
      </c>
      <c r="BF437" s="137">
        <f t="shared" si="606"/>
        <v>0</v>
      </c>
      <c r="BG437" s="120"/>
      <c r="BH437" s="120"/>
      <c r="BI437" s="120"/>
      <c r="BJ437" s="120"/>
      <c r="BK437" s="120"/>
      <c r="BL437" s="120"/>
      <c r="BM437" s="120"/>
      <c r="BN437" s="120"/>
      <c r="BO437" s="124"/>
      <c r="BP437" s="124"/>
      <c r="BQ437" s="124"/>
      <c r="BR437" s="120"/>
      <c r="BS437" s="120"/>
      <c r="BT437" s="120"/>
      <c r="BU437" s="120"/>
      <c r="BV437" s="120"/>
      <c r="BW437" s="120"/>
      <c r="BX437" s="121"/>
      <c r="BY437" s="121"/>
      <c r="BZ437" s="136">
        <f t="shared" ref="BZ437" si="616">(BI437-BH437)*24</f>
        <v>0</v>
      </c>
      <c r="CA437" s="136">
        <f t="shared" ref="CA437" si="617">(BK437-BJ437)*24</f>
        <v>0</v>
      </c>
      <c r="CB437" s="136">
        <f t="shared" ref="CB437" si="618">(BN437-BM437)*24</f>
        <v>0</v>
      </c>
      <c r="CC437" s="136">
        <f t="shared" ref="CC437" si="619">(BR437-BP437)*24</f>
        <v>0</v>
      </c>
      <c r="CD437" s="135">
        <f t="shared" ref="CD437" si="620">(BT437-BS437)*24</f>
        <v>0</v>
      </c>
      <c r="CE437" s="135">
        <f t="shared" ref="CE437" si="621">(BW437-BV437)*24</f>
        <v>0</v>
      </c>
      <c r="CF437" s="134">
        <f t="shared" ref="CF437" si="622">SUM(BZ437:CE437)/24</f>
        <v>0</v>
      </c>
      <c r="CG437" s="134">
        <f t="shared" ref="CG437" si="623">BF437</f>
        <v>0</v>
      </c>
      <c r="CH437" s="133" t="e">
        <f t="shared" ref="CH437" si="624">CF437/CG437</f>
        <v>#DIV/0!</v>
      </c>
    </row>
    <row r="438" spans="1:88">
      <c r="A438" s="125">
        <f t="shared" si="590"/>
        <v>0</v>
      </c>
      <c r="B438" s="138" t="s">
        <v>187</v>
      </c>
      <c r="C438" s="121"/>
      <c r="D438" s="121" t="s">
        <v>197</v>
      </c>
      <c r="E438" s="253"/>
      <c r="I438" s="121"/>
      <c r="J438" s="121"/>
      <c r="K438" s="121"/>
      <c r="L438" s="121"/>
      <c r="M438" s="123"/>
      <c r="N438" s="121" t="s">
        <v>307</v>
      </c>
      <c r="O438" s="121" t="s">
        <v>1513</v>
      </c>
      <c r="P438" s="121"/>
      <c r="Q438" s="122">
        <f>2998*2.4</f>
        <v>7195.2</v>
      </c>
      <c r="R438" s="122">
        <f>7200+100</f>
        <v>7300</v>
      </c>
      <c r="S438" s="122">
        <v>7200</v>
      </c>
      <c r="T438" s="131"/>
      <c r="AA438" s="121"/>
      <c r="AD438" s="121"/>
      <c r="AE438" s="121"/>
      <c r="AF438" s="121"/>
      <c r="AG438" s="121"/>
      <c r="AH438" s="121"/>
      <c r="AI438" s="121"/>
      <c r="AJ438" s="121"/>
      <c r="AK438" s="121"/>
      <c r="AL438" s="121"/>
      <c r="AM438" s="121"/>
      <c r="AN438" s="121"/>
      <c r="AO438" s="121"/>
      <c r="AP438" s="121"/>
      <c r="AQ438" s="121"/>
      <c r="AR438" s="121"/>
      <c r="AS438" s="121"/>
      <c r="AT438" s="121"/>
      <c r="AU438" s="121"/>
      <c r="AV438" s="121"/>
      <c r="AW438" s="121"/>
      <c r="AX438" s="121"/>
      <c r="AY438" s="121"/>
      <c r="AZ438" s="121"/>
      <c r="BA438" s="121"/>
      <c r="BB438" s="121"/>
      <c r="BC438" s="121"/>
      <c r="BD438" s="120">
        <f t="shared" si="591"/>
        <v>0</v>
      </c>
      <c r="BE438" s="120">
        <f t="shared" si="592"/>
        <v>0</v>
      </c>
      <c r="BF438" s="137">
        <f t="shared" si="593"/>
        <v>0</v>
      </c>
      <c r="BG438" s="120"/>
      <c r="BH438" s="120"/>
      <c r="BI438" s="120"/>
      <c r="BJ438" s="120"/>
      <c r="BK438" s="120"/>
      <c r="BL438" s="120"/>
      <c r="BM438" s="120"/>
      <c r="BN438" s="120"/>
      <c r="BO438" s="120"/>
      <c r="BP438" s="120"/>
      <c r="BQ438" s="124"/>
      <c r="BR438" s="120"/>
      <c r="BS438" s="120"/>
      <c r="BT438" s="120"/>
      <c r="BU438" s="120"/>
      <c r="BV438" s="120"/>
      <c r="BW438" s="120"/>
      <c r="BX438" s="121"/>
      <c r="BY438" s="121"/>
      <c r="BZ438" s="136">
        <f t="shared" si="594"/>
        <v>0</v>
      </c>
      <c r="CA438" s="136">
        <f t="shared" si="595"/>
        <v>0</v>
      </c>
      <c r="CB438" s="136">
        <f t="shared" si="596"/>
        <v>0</v>
      </c>
      <c r="CC438" s="136">
        <f t="shared" si="597"/>
        <v>0</v>
      </c>
      <c r="CD438" s="135">
        <f t="shared" si="598"/>
        <v>0</v>
      </c>
      <c r="CE438" s="135">
        <f t="shared" si="599"/>
        <v>0</v>
      </c>
      <c r="CF438" s="134">
        <f t="shared" si="600"/>
        <v>0</v>
      </c>
      <c r="CG438" s="134">
        <f t="shared" si="601"/>
        <v>0</v>
      </c>
      <c r="CH438" s="133" t="e">
        <f t="shared" si="602"/>
        <v>#DIV/0!</v>
      </c>
      <c r="CJ438" s="121"/>
    </row>
    <row r="439" spans="1:88" s="121" customFormat="1">
      <c r="A439" s="125">
        <f t="shared" ref="A439:A441" si="625">BJ439</f>
        <v>0</v>
      </c>
      <c r="B439" s="138" t="s">
        <v>187</v>
      </c>
      <c r="D439" s="121" t="s">
        <v>215</v>
      </c>
      <c r="E439" s="253"/>
      <c r="F439" s="115"/>
      <c r="G439" s="252"/>
      <c r="H439" s="252"/>
      <c r="M439" s="123"/>
      <c r="N439" s="121" t="s">
        <v>301</v>
      </c>
      <c r="O439" s="121" t="s">
        <v>359</v>
      </c>
      <c r="Q439" s="122">
        <f>3852*2.4</f>
        <v>9244.7999999999993</v>
      </c>
      <c r="R439" s="122">
        <v>9250</v>
      </c>
      <c r="S439" s="122">
        <v>9200</v>
      </c>
      <c r="T439" s="122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BD439" s="120">
        <f t="shared" ref="BD439:BD441" si="626">BG439</f>
        <v>0</v>
      </c>
      <c r="BE439" s="120">
        <f t="shared" ref="BE439:BE441" si="627">BW439</f>
        <v>0</v>
      </c>
      <c r="BF439" s="137">
        <f t="shared" ref="BF439:BF441" si="628">BE439-BD439</f>
        <v>0</v>
      </c>
      <c r="BG439" s="120"/>
      <c r="BH439" s="120"/>
      <c r="BI439" s="120"/>
      <c r="BJ439" s="120"/>
      <c r="BK439" s="120"/>
      <c r="BL439" s="120"/>
      <c r="BM439" s="120"/>
      <c r="BN439" s="120"/>
      <c r="BO439" s="120"/>
      <c r="BP439" s="120"/>
      <c r="BQ439" s="124"/>
      <c r="BR439" s="120"/>
      <c r="BS439" s="120"/>
      <c r="BT439" s="120"/>
      <c r="BU439" s="120"/>
      <c r="BV439" s="120"/>
      <c r="BW439" s="120"/>
      <c r="BZ439" s="136">
        <f t="shared" ref="BZ439:BZ441" si="629">(BI439-BH439)*24</f>
        <v>0</v>
      </c>
      <c r="CA439" s="136">
        <f t="shared" ref="CA439:CA441" si="630">(BK439-BJ439)*24</f>
        <v>0</v>
      </c>
      <c r="CB439" s="136">
        <f t="shared" ref="CB439:CB441" si="631">(BN439-BM439)*24</f>
        <v>0</v>
      </c>
      <c r="CC439" s="136">
        <f t="shared" ref="CC439:CC441" si="632">(BR439-BP439)*24</f>
        <v>0</v>
      </c>
      <c r="CD439" s="135">
        <f t="shared" ref="CD439:CD441" si="633">(BT439-BS439)*24</f>
        <v>0</v>
      </c>
      <c r="CE439" s="135">
        <f t="shared" ref="CE439:CE441" si="634">(BW439-BV439)*24</f>
        <v>0</v>
      </c>
      <c r="CF439" s="134">
        <f t="shared" ref="CF439:CF441" si="635">SUM(BZ439:CE439)/24</f>
        <v>0</v>
      </c>
      <c r="CG439" s="134">
        <f t="shared" ref="CG439:CG441" si="636">BF439</f>
        <v>0</v>
      </c>
      <c r="CH439" s="133" t="e">
        <f t="shared" ref="CH439:CH441" si="637">CF439/CG439</f>
        <v>#DIV/0!</v>
      </c>
      <c r="CJ439" s="116"/>
    </row>
    <row r="440" spans="1:88" s="128" customFormat="1">
      <c r="A440" s="125">
        <f t="shared" si="625"/>
        <v>0</v>
      </c>
      <c r="B440" s="138" t="s">
        <v>187</v>
      </c>
      <c r="C440" s="121"/>
      <c r="D440" s="121" t="s">
        <v>215</v>
      </c>
      <c r="E440" s="253"/>
      <c r="F440" s="115"/>
      <c r="G440" s="252"/>
      <c r="H440" s="252"/>
      <c r="I440" s="121"/>
      <c r="J440" s="121"/>
      <c r="K440" s="121"/>
      <c r="L440" s="121"/>
      <c r="M440" s="123"/>
      <c r="N440" s="121" t="s">
        <v>246</v>
      </c>
      <c r="O440" s="121" t="s">
        <v>247</v>
      </c>
      <c r="P440" s="121"/>
      <c r="Q440" s="122">
        <f>3136*2.4</f>
        <v>7526.4</v>
      </c>
      <c r="R440" s="122">
        <f>7550+100</f>
        <v>7650</v>
      </c>
      <c r="S440" s="122">
        <v>7550</v>
      </c>
      <c r="T440" s="122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21"/>
      <c r="AS440" s="121"/>
      <c r="AT440" s="121"/>
      <c r="AU440" s="121"/>
      <c r="AV440" s="121"/>
      <c r="AW440" s="121"/>
      <c r="AX440" s="121"/>
      <c r="AY440" s="121"/>
      <c r="AZ440" s="121"/>
      <c r="BA440" s="121"/>
      <c r="BB440" s="121"/>
      <c r="BC440" s="121"/>
      <c r="BD440" s="120">
        <f t="shared" si="626"/>
        <v>0</v>
      </c>
      <c r="BE440" s="120">
        <f t="shared" si="627"/>
        <v>0</v>
      </c>
      <c r="BF440" s="137">
        <f t="shared" si="628"/>
        <v>0</v>
      </c>
      <c r="BG440" s="120"/>
      <c r="BH440" s="120"/>
      <c r="BI440" s="120"/>
      <c r="BJ440" s="120"/>
      <c r="BK440" s="120"/>
      <c r="BL440" s="120"/>
      <c r="BM440" s="120"/>
      <c r="BN440" s="120"/>
      <c r="BO440" s="120"/>
      <c r="BP440" s="120"/>
      <c r="BQ440" s="124"/>
      <c r="BR440" s="120"/>
      <c r="BS440" s="120"/>
      <c r="BT440" s="120"/>
      <c r="BU440" s="120"/>
      <c r="BV440" s="120"/>
      <c r="BW440" s="120"/>
      <c r="BX440" s="121"/>
      <c r="BY440" s="121"/>
      <c r="BZ440" s="136">
        <f t="shared" si="629"/>
        <v>0</v>
      </c>
      <c r="CA440" s="136">
        <f t="shared" si="630"/>
        <v>0</v>
      </c>
      <c r="CB440" s="136">
        <f t="shared" si="631"/>
        <v>0</v>
      </c>
      <c r="CC440" s="136">
        <f t="shared" si="632"/>
        <v>0</v>
      </c>
      <c r="CD440" s="135">
        <f t="shared" si="633"/>
        <v>0</v>
      </c>
      <c r="CE440" s="135">
        <f t="shared" si="634"/>
        <v>0</v>
      </c>
      <c r="CF440" s="134">
        <f t="shared" si="635"/>
        <v>0</v>
      </c>
      <c r="CG440" s="134">
        <f t="shared" si="636"/>
        <v>0</v>
      </c>
      <c r="CH440" s="133" t="e">
        <f t="shared" si="637"/>
        <v>#DIV/0!</v>
      </c>
      <c r="CI440" s="121"/>
      <c r="CJ440" s="115"/>
    </row>
    <row r="441" spans="1:88">
      <c r="A441" s="125">
        <f t="shared" si="625"/>
        <v>0</v>
      </c>
      <c r="B441" s="138" t="s">
        <v>187</v>
      </c>
      <c r="C441" s="121"/>
      <c r="D441" s="121" t="s">
        <v>197</v>
      </c>
      <c r="E441" s="253"/>
      <c r="F441" s="121"/>
      <c r="G441" s="124"/>
      <c r="H441" s="124"/>
      <c r="I441" s="121"/>
      <c r="J441" s="121"/>
      <c r="K441" s="121"/>
      <c r="L441" s="121"/>
      <c r="M441" s="123"/>
      <c r="N441" s="121" t="s">
        <v>323</v>
      </c>
      <c r="O441" s="121" t="s">
        <v>324</v>
      </c>
      <c r="P441" s="121"/>
      <c r="Q441" s="122">
        <f>3095*2.4</f>
        <v>7428</v>
      </c>
      <c r="R441" s="122">
        <f>7450+100</f>
        <v>7550</v>
      </c>
      <c r="S441" s="122">
        <v>7450</v>
      </c>
      <c r="T441" s="122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  <c r="AL441" s="121"/>
      <c r="AM441" s="121"/>
      <c r="AN441" s="121"/>
      <c r="AO441" s="121"/>
      <c r="AP441" s="121"/>
      <c r="AQ441" s="121"/>
      <c r="AR441" s="121"/>
      <c r="AS441" s="121"/>
      <c r="AT441" s="121"/>
      <c r="AU441" s="121"/>
      <c r="AV441" s="121"/>
      <c r="AW441" s="121"/>
      <c r="AX441" s="121"/>
      <c r="AY441" s="121"/>
      <c r="AZ441" s="121"/>
      <c r="BA441" s="121"/>
      <c r="BB441" s="121"/>
      <c r="BC441" s="121"/>
      <c r="BD441" s="120">
        <f t="shared" si="626"/>
        <v>0</v>
      </c>
      <c r="BE441" s="120">
        <f t="shared" si="627"/>
        <v>0</v>
      </c>
      <c r="BF441" s="137">
        <f t="shared" si="628"/>
        <v>0</v>
      </c>
      <c r="BG441" s="120"/>
      <c r="BH441" s="120"/>
      <c r="BI441" s="120"/>
      <c r="BJ441" s="120"/>
      <c r="BK441" s="120"/>
      <c r="BL441" s="120"/>
      <c r="BM441" s="120"/>
      <c r="BN441" s="120"/>
      <c r="BO441" s="120"/>
      <c r="BP441" s="120"/>
      <c r="BQ441" s="124"/>
      <c r="BR441" s="120"/>
      <c r="BS441" s="120"/>
      <c r="BT441" s="120"/>
      <c r="BU441" s="120"/>
      <c r="BV441" s="120"/>
      <c r="BW441" s="120"/>
      <c r="BX441" s="121"/>
      <c r="BY441" s="121"/>
      <c r="BZ441" s="136">
        <f t="shared" si="629"/>
        <v>0</v>
      </c>
      <c r="CA441" s="136">
        <f t="shared" si="630"/>
        <v>0</v>
      </c>
      <c r="CB441" s="136">
        <f t="shared" si="631"/>
        <v>0</v>
      </c>
      <c r="CC441" s="136">
        <f t="shared" si="632"/>
        <v>0</v>
      </c>
      <c r="CD441" s="135">
        <f t="shared" si="633"/>
        <v>0</v>
      </c>
      <c r="CE441" s="135">
        <f t="shared" si="634"/>
        <v>0</v>
      </c>
      <c r="CF441" s="134">
        <f t="shared" si="635"/>
        <v>0</v>
      </c>
      <c r="CG441" s="134">
        <f t="shared" si="636"/>
        <v>0</v>
      </c>
      <c r="CH441" s="133" t="e">
        <f t="shared" si="637"/>
        <v>#DIV/0!</v>
      </c>
      <c r="CI441" s="121"/>
      <c r="CJ441" s="121"/>
    </row>
    <row r="442" spans="1:88">
      <c r="A442" s="125">
        <f t="shared" ref="A442:A445" si="638">BJ442</f>
        <v>0</v>
      </c>
      <c r="B442" s="138" t="s">
        <v>187</v>
      </c>
      <c r="C442" s="121"/>
      <c r="D442" s="121" t="s">
        <v>197</v>
      </c>
      <c r="E442" s="253"/>
      <c r="I442" s="121"/>
      <c r="J442" s="121"/>
      <c r="K442" s="121"/>
      <c r="L442" s="121"/>
      <c r="M442" s="123"/>
      <c r="N442" s="121" t="s">
        <v>304</v>
      </c>
      <c r="O442" s="121" t="s">
        <v>305</v>
      </c>
      <c r="P442" s="121"/>
      <c r="Q442" s="122">
        <f>3107*2.4</f>
        <v>7456.7999999999993</v>
      </c>
      <c r="R442" s="122">
        <f>7500+100</f>
        <v>7600</v>
      </c>
      <c r="S442" s="122"/>
      <c r="T442" s="122"/>
      <c r="X442" s="128"/>
      <c r="Z442" s="121"/>
      <c r="AA442" s="121"/>
      <c r="AB442" s="121"/>
      <c r="AC442" s="121"/>
      <c r="AE442" s="121"/>
      <c r="AF442" s="121"/>
      <c r="AG442" s="121"/>
      <c r="AH442" s="121"/>
      <c r="AI442" s="121"/>
      <c r="AJ442" s="121"/>
      <c r="AK442" s="121"/>
      <c r="AM442" s="121"/>
      <c r="AN442" s="121"/>
      <c r="AO442" s="121"/>
      <c r="AP442" s="121"/>
      <c r="AQ442" s="121"/>
      <c r="AR442" s="121"/>
      <c r="AS442" s="121"/>
      <c r="AT442" s="121"/>
      <c r="AU442" s="121"/>
      <c r="AV442" s="121"/>
      <c r="AW442" s="121"/>
      <c r="AX442" s="121"/>
      <c r="AY442" s="121"/>
      <c r="AZ442" s="121"/>
      <c r="BA442" s="121"/>
      <c r="BB442" s="121"/>
      <c r="BC442" s="121"/>
      <c r="BD442" s="120">
        <f t="shared" ref="BD442:BD445" si="639">BG442</f>
        <v>0</v>
      </c>
      <c r="BE442" s="120">
        <f t="shared" ref="BE442:BE445" si="640">BW442</f>
        <v>0</v>
      </c>
      <c r="BF442" s="137">
        <f t="shared" ref="BF442:BF445" si="641">BE442-BD442</f>
        <v>0</v>
      </c>
      <c r="BG442" s="120"/>
      <c r="BH442" s="120"/>
      <c r="BI442" s="120"/>
      <c r="BJ442" s="120"/>
      <c r="BK442" s="120"/>
      <c r="BL442" s="120"/>
      <c r="BM442" s="120"/>
      <c r="BN442" s="120"/>
      <c r="BO442" s="120"/>
      <c r="BP442" s="120"/>
      <c r="BQ442" s="124"/>
      <c r="BR442" s="120"/>
      <c r="BS442" s="120"/>
      <c r="BT442" s="120"/>
      <c r="BU442" s="120"/>
      <c r="BV442" s="120"/>
      <c r="BW442" s="120"/>
      <c r="BX442" s="121"/>
      <c r="BY442" s="121"/>
      <c r="BZ442" s="136">
        <f t="shared" ref="BZ442:BZ445" si="642">(BI442-BH442)*24</f>
        <v>0</v>
      </c>
      <c r="CA442" s="136">
        <f t="shared" ref="CA442:CA445" si="643">(BK442-BJ442)*24</f>
        <v>0</v>
      </c>
      <c r="CB442" s="136">
        <f t="shared" ref="CB442:CB445" si="644">(BN442-BM442)*24</f>
        <v>0</v>
      </c>
      <c r="CC442" s="136">
        <f t="shared" ref="CC442:CC445" si="645">(BR442-BP442)*24</f>
        <v>0</v>
      </c>
      <c r="CD442" s="135">
        <f t="shared" ref="CD442:CD445" si="646">(BT442-BS442)*24</f>
        <v>0</v>
      </c>
      <c r="CE442" s="135">
        <f t="shared" ref="CE442:CE445" si="647">(BW442-BV442)*24</f>
        <v>0</v>
      </c>
      <c r="CF442" s="134">
        <f t="shared" ref="CF442:CF445" si="648">SUM(BZ442:CE442)/24</f>
        <v>0</v>
      </c>
      <c r="CG442" s="134">
        <f t="shared" ref="CG442:CG445" si="649">BF442</f>
        <v>0</v>
      </c>
      <c r="CH442" s="133" t="e">
        <f t="shared" ref="CH442:CH445" si="650">CF442/CG442</f>
        <v>#DIV/0!</v>
      </c>
      <c r="CI442" s="121"/>
      <c r="CJ442" s="121"/>
    </row>
    <row r="443" spans="1:88">
      <c r="A443" s="125">
        <f t="shared" si="638"/>
        <v>0</v>
      </c>
      <c r="B443" s="138" t="s">
        <v>187</v>
      </c>
      <c r="C443" s="121"/>
      <c r="D443" s="121" t="s">
        <v>197</v>
      </c>
      <c r="E443" s="253"/>
      <c r="I443" s="121"/>
      <c r="J443" s="121"/>
      <c r="K443" s="121"/>
      <c r="L443" s="121"/>
      <c r="M443" s="123"/>
      <c r="N443" s="121" t="s">
        <v>1834</v>
      </c>
      <c r="O443" s="121" t="s">
        <v>1835</v>
      </c>
      <c r="P443" s="121"/>
      <c r="Q443" s="122">
        <f>3131*2.4</f>
        <v>7514.4</v>
      </c>
      <c r="R443" s="122">
        <f>7550+100</f>
        <v>7650</v>
      </c>
      <c r="S443" s="122">
        <v>7550</v>
      </c>
      <c r="T443" s="122"/>
      <c r="AA443" s="121"/>
      <c r="AD443" s="121"/>
      <c r="AE443" s="121"/>
      <c r="AF443" s="121"/>
      <c r="AG443" s="121"/>
      <c r="AH443" s="121"/>
      <c r="AI443" s="121"/>
      <c r="AJ443" s="121"/>
      <c r="AK443" s="121"/>
      <c r="AL443" s="121"/>
      <c r="AM443" s="121"/>
      <c r="AN443" s="121"/>
      <c r="AO443" s="121"/>
      <c r="AP443" s="121"/>
      <c r="AQ443" s="121"/>
      <c r="AR443" s="121"/>
      <c r="AS443" s="121"/>
      <c r="AT443" s="121"/>
      <c r="AU443" s="121"/>
      <c r="AV443" s="121"/>
      <c r="AW443" s="121"/>
      <c r="AX443" s="121"/>
      <c r="AY443" s="121"/>
      <c r="AZ443" s="121"/>
      <c r="BA443" s="121"/>
      <c r="BB443" s="121"/>
      <c r="BC443" s="121"/>
      <c r="BD443" s="120">
        <f t="shared" si="639"/>
        <v>0</v>
      </c>
      <c r="BE443" s="120">
        <f t="shared" si="640"/>
        <v>0</v>
      </c>
      <c r="BF443" s="137">
        <f t="shared" si="641"/>
        <v>0</v>
      </c>
      <c r="BG443" s="120"/>
      <c r="BH443" s="120"/>
      <c r="BI443" s="120"/>
      <c r="BJ443" s="120"/>
      <c r="BK443" s="120"/>
      <c r="BL443" s="120"/>
      <c r="BM443" s="120"/>
      <c r="BN443" s="120"/>
      <c r="BO443" s="120"/>
      <c r="BP443" s="120"/>
      <c r="BQ443" s="124"/>
      <c r="BR443" s="120"/>
      <c r="BS443" s="120"/>
      <c r="BT443" s="120"/>
      <c r="BU443" s="120"/>
      <c r="BV443" s="120"/>
      <c r="BW443" s="120"/>
      <c r="BX443" s="121"/>
      <c r="BY443" s="121"/>
      <c r="BZ443" s="136">
        <f t="shared" si="642"/>
        <v>0</v>
      </c>
      <c r="CA443" s="136">
        <f t="shared" si="643"/>
        <v>0</v>
      </c>
      <c r="CB443" s="136">
        <f t="shared" si="644"/>
        <v>0</v>
      </c>
      <c r="CC443" s="136">
        <f t="shared" si="645"/>
        <v>0</v>
      </c>
      <c r="CD443" s="135">
        <f t="shared" si="646"/>
        <v>0</v>
      </c>
      <c r="CE443" s="135">
        <f t="shared" si="647"/>
        <v>0</v>
      </c>
      <c r="CF443" s="134">
        <f t="shared" si="648"/>
        <v>0</v>
      </c>
      <c r="CG443" s="134">
        <f t="shared" si="649"/>
        <v>0</v>
      </c>
      <c r="CH443" s="133" t="e">
        <f t="shared" si="650"/>
        <v>#DIV/0!</v>
      </c>
      <c r="CI443" s="128"/>
    </row>
    <row r="444" spans="1:88" s="128" customFormat="1">
      <c r="A444" s="125">
        <f t="shared" si="638"/>
        <v>0</v>
      </c>
      <c r="B444" s="138" t="s">
        <v>187</v>
      </c>
      <c r="C444" s="121"/>
      <c r="D444" s="121" t="s">
        <v>197</v>
      </c>
      <c r="E444" s="253"/>
      <c r="F444" s="115"/>
      <c r="G444" s="252"/>
      <c r="H444" s="252"/>
      <c r="I444" s="121"/>
      <c r="J444" s="115"/>
      <c r="K444" s="121"/>
      <c r="L444" s="121"/>
      <c r="M444" s="123"/>
      <c r="N444" s="121" t="s">
        <v>1799</v>
      </c>
      <c r="O444" s="121" t="s">
        <v>340</v>
      </c>
      <c r="P444" s="121"/>
      <c r="Q444" s="122">
        <f>3141*2.4</f>
        <v>7538.4</v>
      </c>
      <c r="R444" s="122">
        <f>7550+100</f>
        <v>7650</v>
      </c>
      <c r="S444" s="122">
        <v>7550</v>
      </c>
      <c r="T444" s="122"/>
      <c r="U444" s="115"/>
      <c r="V444" s="115"/>
      <c r="W444" s="115"/>
      <c r="X444" s="115"/>
      <c r="Y444" s="115"/>
      <c r="Z444" s="115"/>
      <c r="AA444" s="121"/>
      <c r="AB444" s="115"/>
      <c r="AC444" s="115"/>
      <c r="AD444" s="121"/>
      <c r="AE444" s="121"/>
      <c r="AF444" s="121"/>
      <c r="AG444" s="272"/>
      <c r="AH444" s="272"/>
      <c r="AI444" s="272"/>
      <c r="AJ444" s="272"/>
      <c r="AK444" s="272"/>
      <c r="AL444" s="272"/>
      <c r="AM444" s="121"/>
      <c r="AN444" s="121"/>
      <c r="AO444" s="121"/>
      <c r="AP444" s="121"/>
      <c r="AQ444" s="121"/>
      <c r="AR444" s="121"/>
      <c r="AS444" s="121"/>
      <c r="AT444" s="121"/>
      <c r="AU444" s="121"/>
      <c r="AV444" s="121"/>
      <c r="AW444" s="121"/>
      <c r="AX444" s="121"/>
      <c r="AY444" s="121"/>
      <c r="AZ444" s="121"/>
      <c r="BA444" s="121"/>
      <c r="BB444" s="121"/>
      <c r="BC444" s="121"/>
      <c r="BD444" s="120">
        <f t="shared" si="639"/>
        <v>0</v>
      </c>
      <c r="BE444" s="120">
        <f t="shared" si="640"/>
        <v>0</v>
      </c>
      <c r="BF444" s="137">
        <f t="shared" si="641"/>
        <v>0</v>
      </c>
      <c r="BG444" s="120"/>
      <c r="BH444" s="120"/>
      <c r="BI444" s="120"/>
      <c r="BJ444" s="120"/>
      <c r="BK444" s="120"/>
      <c r="BL444" s="120"/>
      <c r="BM444" s="120"/>
      <c r="BN444" s="120"/>
      <c r="BO444" s="120"/>
      <c r="BP444" s="120"/>
      <c r="BQ444" s="124"/>
      <c r="BR444" s="120"/>
      <c r="BS444" s="120"/>
      <c r="BT444" s="120"/>
      <c r="BU444" s="120"/>
      <c r="BV444" s="120"/>
      <c r="BW444" s="120"/>
      <c r="BX444" s="121"/>
      <c r="BY444" s="121"/>
      <c r="BZ444" s="136">
        <f t="shared" si="642"/>
        <v>0</v>
      </c>
      <c r="CA444" s="136">
        <f t="shared" si="643"/>
        <v>0</v>
      </c>
      <c r="CB444" s="136">
        <f t="shared" si="644"/>
        <v>0</v>
      </c>
      <c r="CC444" s="136">
        <f t="shared" si="645"/>
        <v>0</v>
      </c>
      <c r="CD444" s="135">
        <f t="shared" si="646"/>
        <v>0</v>
      </c>
      <c r="CE444" s="135">
        <f t="shared" si="647"/>
        <v>0</v>
      </c>
      <c r="CF444" s="134">
        <f t="shared" si="648"/>
        <v>0</v>
      </c>
      <c r="CG444" s="134">
        <f t="shared" si="649"/>
        <v>0</v>
      </c>
      <c r="CH444" s="133" t="e">
        <f t="shared" si="650"/>
        <v>#DIV/0!</v>
      </c>
      <c r="CI444" s="121"/>
      <c r="CJ444" s="121"/>
    </row>
    <row r="445" spans="1:88" s="128" customFormat="1">
      <c r="A445" s="125">
        <f t="shared" si="638"/>
        <v>0</v>
      </c>
      <c r="B445" s="138" t="s">
        <v>187</v>
      </c>
      <c r="C445" s="121"/>
      <c r="D445" s="121" t="s">
        <v>197</v>
      </c>
      <c r="E445" s="253"/>
      <c r="F445" s="115"/>
      <c r="G445" s="252"/>
      <c r="H445" s="252"/>
      <c r="I445" s="121"/>
      <c r="J445" s="121"/>
      <c r="K445" s="121"/>
      <c r="L445" s="121"/>
      <c r="M445" s="123"/>
      <c r="N445" s="121" t="s">
        <v>1512</v>
      </c>
      <c r="O445" s="121" t="s">
        <v>1513</v>
      </c>
      <c r="P445" s="121"/>
      <c r="Q445" s="122">
        <f>2998*2.4</f>
        <v>7195.2</v>
      </c>
      <c r="R445" s="122">
        <f>7200+100</f>
        <v>7300</v>
      </c>
      <c r="S445" s="122">
        <v>7200</v>
      </c>
      <c r="T445" s="131"/>
      <c r="U445" s="115"/>
      <c r="V445" s="121"/>
      <c r="W445" s="121"/>
      <c r="X445" s="121"/>
      <c r="Y445" s="121"/>
      <c r="Z445" s="121"/>
      <c r="AA445" s="121"/>
      <c r="AB445" s="115"/>
      <c r="AC445" s="115"/>
      <c r="AD445" s="121"/>
      <c r="AE445" s="121"/>
      <c r="AF445" s="121"/>
      <c r="AG445" s="121"/>
      <c r="AH445" s="121"/>
      <c r="AI445" s="121"/>
      <c r="AJ445" s="121"/>
      <c r="AK445" s="121"/>
      <c r="AL445" s="121"/>
      <c r="AM445" s="121"/>
      <c r="AN445" s="121"/>
      <c r="AO445" s="121"/>
      <c r="AP445" s="121"/>
      <c r="AQ445" s="121"/>
      <c r="AR445" s="121"/>
      <c r="AS445" s="121"/>
      <c r="AT445" s="121"/>
      <c r="AU445" s="121"/>
      <c r="AV445" s="121"/>
      <c r="AW445" s="121"/>
      <c r="AX445" s="121"/>
      <c r="AY445" s="121"/>
      <c r="AZ445" s="121"/>
      <c r="BA445" s="121"/>
      <c r="BB445" s="121"/>
      <c r="BC445" s="121"/>
      <c r="BD445" s="120">
        <f t="shared" si="639"/>
        <v>0</v>
      </c>
      <c r="BE445" s="120">
        <f t="shared" si="640"/>
        <v>0</v>
      </c>
      <c r="BF445" s="137">
        <f t="shared" si="641"/>
        <v>0</v>
      </c>
      <c r="BG445" s="120"/>
      <c r="BH445" s="120"/>
      <c r="BI445" s="120"/>
      <c r="BJ445" s="120"/>
      <c r="BK445" s="120"/>
      <c r="BL445" s="120"/>
      <c r="BM445" s="120"/>
      <c r="BN445" s="120"/>
      <c r="BO445" s="120"/>
      <c r="BP445" s="120"/>
      <c r="BQ445" s="124"/>
      <c r="BR445" s="120"/>
      <c r="BS445" s="120"/>
      <c r="BT445" s="120"/>
      <c r="BU445" s="120"/>
      <c r="BV445" s="120"/>
      <c r="BW445" s="120"/>
      <c r="BX445" s="121"/>
      <c r="BY445" s="121"/>
      <c r="BZ445" s="136">
        <f t="shared" si="642"/>
        <v>0</v>
      </c>
      <c r="CA445" s="136">
        <f t="shared" si="643"/>
        <v>0</v>
      </c>
      <c r="CB445" s="136">
        <f t="shared" si="644"/>
        <v>0</v>
      </c>
      <c r="CC445" s="136">
        <f t="shared" si="645"/>
        <v>0</v>
      </c>
      <c r="CD445" s="135">
        <f t="shared" si="646"/>
        <v>0</v>
      </c>
      <c r="CE445" s="135">
        <f t="shared" si="647"/>
        <v>0</v>
      </c>
      <c r="CF445" s="134">
        <f t="shared" si="648"/>
        <v>0</v>
      </c>
      <c r="CG445" s="134">
        <f t="shared" si="649"/>
        <v>0</v>
      </c>
      <c r="CH445" s="133" t="e">
        <f t="shared" si="650"/>
        <v>#DIV/0!</v>
      </c>
      <c r="CI445" s="115"/>
      <c r="CJ445" s="121"/>
    </row>
    <row r="446" spans="1:88" s="121" customFormat="1">
      <c r="A446" s="125">
        <f t="shared" ref="A446" si="651">BJ446</f>
        <v>0</v>
      </c>
      <c r="B446" s="138" t="s">
        <v>187</v>
      </c>
      <c r="D446" s="121" t="s">
        <v>197</v>
      </c>
      <c r="E446" s="253"/>
      <c r="F446" s="115"/>
      <c r="G446" s="252"/>
      <c r="H446" s="252"/>
      <c r="M446" s="123"/>
      <c r="N446" s="121" t="s">
        <v>257</v>
      </c>
      <c r="O446" s="121" t="s">
        <v>258</v>
      </c>
      <c r="Q446" s="122">
        <f>3139*2.4</f>
        <v>7533.5999999999995</v>
      </c>
      <c r="R446" s="122">
        <f>7550+100</f>
        <v>7650</v>
      </c>
      <c r="S446" s="122">
        <v>7550</v>
      </c>
      <c r="T446" s="122"/>
      <c r="AF446" s="272"/>
      <c r="AG446" s="272"/>
      <c r="AH446" s="272"/>
      <c r="AI446" s="272"/>
      <c r="AJ446" s="272"/>
      <c r="AK446" s="272"/>
      <c r="AL446" s="272"/>
      <c r="BD446" s="120">
        <f t="shared" ref="BD446" si="652">BG446</f>
        <v>0</v>
      </c>
      <c r="BE446" s="120">
        <f t="shared" ref="BE446" si="653">BW446</f>
        <v>0</v>
      </c>
      <c r="BF446" s="137">
        <f t="shared" ref="BF446" si="654">BE446-BD446</f>
        <v>0</v>
      </c>
      <c r="BG446" s="120"/>
      <c r="BH446" s="120"/>
      <c r="BI446" s="120"/>
      <c r="BJ446" s="120"/>
      <c r="BK446" s="120"/>
      <c r="BL446" s="120"/>
      <c r="BM446" s="120"/>
      <c r="BN446" s="120"/>
      <c r="BO446" s="120"/>
      <c r="BP446" s="120"/>
      <c r="BQ446" s="124"/>
      <c r="BR446" s="120"/>
      <c r="BS446" s="120"/>
      <c r="BT446" s="120"/>
      <c r="BU446" s="120"/>
      <c r="BV446" s="120"/>
      <c r="BW446" s="120"/>
      <c r="BZ446" s="136">
        <f t="shared" ref="BZ446" si="655">(BI446-BH446)*24</f>
        <v>0</v>
      </c>
      <c r="CA446" s="136">
        <f t="shared" ref="CA446" si="656">(BK446-BJ446)*24</f>
        <v>0</v>
      </c>
      <c r="CB446" s="136">
        <f t="shared" ref="CB446" si="657">(BN446-BM446)*24</f>
        <v>0</v>
      </c>
      <c r="CC446" s="136">
        <f t="shared" ref="CC446" si="658">(BR446-BP446)*24</f>
        <v>0</v>
      </c>
      <c r="CD446" s="135">
        <f t="shared" ref="CD446" si="659">(BT446-BS446)*24</f>
        <v>0</v>
      </c>
      <c r="CE446" s="135">
        <f t="shared" ref="CE446" si="660">(BW446-BV446)*24</f>
        <v>0</v>
      </c>
      <c r="CF446" s="134">
        <f t="shared" ref="CF446" si="661">SUM(BZ446:CE446)/24</f>
        <v>0</v>
      </c>
      <c r="CG446" s="134">
        <f t="shared" ref="CG446" si="662">BF446</f>
        <v>0</v>
      </c>
      <c r="CH446" s="133" t="e">
        <f t="shared" ref="CH446" si="663">CF446/CG446</f>
        <v>#DIV/0!</v>
      </c>
    </row>
    <row r="447" spans="1:88">
      <c r="A447" s="125">
        <f t="shared" ref="A447:A449" si="664">BJ447</f>
        <v>0</v>
      </c>
      <c r="B447" s="138" t="s">
        <v>187</v>
      </c>
      <c r="C447" s="121"/>
      <c r="D447" s="121" t="s">
        <v>197</v>
      </c>
      <c r="E447" s="253"/>
      <c r="I447" s="121"/>
      <c r="J447" s="121"/>
      <c r="K447" s="121"/>
      <c r="L447" s="121"/>
      <c r="M447" s="123"/>
      <c r="N447" s="121" t="s">
        <v>1874</v>
      </c>
      <c r="O447" s="121" t="s">
        <v>1875</v>
      </c>
      <c r="P447" s="121"/>
      <c r="Q447" s="122">
        <f>2228*2.4</f>
        <v>5347.2</v>
      </c>
      <c r="R447" s="122">
        <f>5350+100</f>
        <v>5450</v>
      </c>
      <c r="S447" s="122">
        <v>5350</v>
      </c>
      <c r="T447" s="122"/>
      <c r="U447" s="121"/>
      <c r="V447" s="121"/>
      <c r="W447" s="121"/>
      <c r="X447" s="121"/>
      <c r="Y447" s="121"/>
      <c r="Z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  <c r="AL447" s="121"/>
      <c r="AM447" s="121"/>
      <c r="AN447" s="121"/>
      <c r="AO447" s="121"/>
      <c r="AP447" s="121"/>
      <c r="AQ447" s="121"/>
      <c r="AR447" s="121"/>
      <c r="AS447" s="121"/>
      <c r="AT447" s="121"/>
      <c r="AU447" s="121"/>
      <c r="AV447" s="121"/>
      <c r="AW447" s="121"/>
      <c r="AX447" s="121"/>
      <c r="AY447" s="121"/>
      <c r="AZ447" s="121"/>
      <c r="BA447" s="121"/>
      <c r="BB447" s="121"/>
      <c r="BC447" s="121"/>
      <c r="BD447" s="120">
        <f t="shared" ref="BD447:BD449" si="665">BG447</f>
        <v>0</v>
      </c>
      <c r="BE447" s="120">
        <f t="shared" ref="BE447:BE449" si="666">BW447</f>
        <v>0</v>
      </c>
      <c r="BF447" s="137">
        <f t="shared" ref="BF447:BF449" si="667">BE447-BD447</f>
        <v>0</v>
      </c>
      <c r="BG447" s="120"/>
      <c r="BH447" s="120"/>
      <c r="BI447" s="120"/>
      <c r="BJ447" s="120"/>
      <c r="BK447" s="120"/>
      <c r="BL447" s="120"/>
      <c r="BM447" s="120"/>
      <c r="BN447" s="120"/>
      <c r="BO447" s="120"/>
      <c r="BP447" s="120"/>
      <c r="BQ447" s="124"/>
      <c r="BR447" s="120"/>
      <c r="BS447" s="120"/>
      <c r="BT447" s="120"/>
      <c r="BU447" s="120"/>
      <c r="BV447" s="120"/>
      <c r="BW447" s="120"/>
      <c r="BX447" s="121"/>
      <c r="BY447" s="121"/>
      <c r="BZ447" s="136">
        <f t="shared" ref="BZ447:BZ449" si="668">(BI447-BH447)*24</f>
        <v>0</v>
      </c>
      <c r="CA447" s="136">
        <f t="shared" ref="CA447:CA449" si="669">(BK447-BJ447)*24</f>
        <v>0</v>
      </c>
      <c r="CB447" s="136">
        <f t="shared" ref="CB447:CB449" si="670">(BN447-BM447)*24</f>
        <v>0</v>
      </c>
      <c r="CC447" s="136">
        <f t="shared" ref="CC447:CC449" si="671">(BR447-BP447)*24</f>
        <v>0</v>
      </c>
      <c r="CD447" s="135">
        <f t="shared" ref="CD447:CD449" si="672">(BT447-BS447)*24</f>
        <v>0</v>
      </c>
      <c r="CE447" s="135">
        <f t="shared" ref="CE447:CE449" si="673">(BW447-BV447)*24</f>
        <v>0</v>
      </c>
      <c r="CF447" s="134">
        <f t="shared" ref="CF447:CF449" si="674">SUM(BZ447:CE447)/24</f>
        <v>0</v>
      </c>
      <c r="CG447" s="134">
        <f t="shared" ref="CG447:CG449" si="675">BF447</f>
        <v>0</v>
      </c>
      <c r="CH447" s="133" t="e">
        <f t="shared" ref="CH447:CH449" si="676">CF447/CG447</f>
        <v>#DIV/0!</v>
      </c>
      <c r="CI447" s="121"/>
      <c r="CJ447" s="121"/>
    </row>
    <row r="448" spans="1:88" s="128" customFormat="1">
      <c r="A448" s="125">
        <f>BJ448</f>
        <v>0</v>
      </c>
      <c r="B448" s="138" t="s">
        <v>187</v>
      </c>
      <c r="C448" s="121"/>
      <c r="D448" s="121" t="s">
        <v>197</v>
      </c>
      <c r="E448" s="253"/>
      <c r="F448" s="115"/>
      <c r="G448" s="252"/>
      <c r="H448" s="252"/>
      <c r="I448" s="121"/>
      <c r="J448" s="121"/>
      <c r="K448" s="121" t="s">
        <v>187</v>
      </c>
      <c r="L448" s="121"/>
      <c r="M448" s="123"/>
      <c r="N448" s="121" t="s">
        <v>377</v>
      </c>
      <c r="O448" s="121" t="s">
        <v>378</v>
      </c>
      <c r="P448" s="121"/>
      <c r="Q448" s="122">
        <f>3271*2.4</f>
        <v>7850.4</v>
      </c>
      <c r="R448" s="122">
        <f>7900+100</f>
        <v>8000</v>
      </c>
      <c r="S448" s="122">
        <v>7900</v>
      </c>
      <c r="T448" s="122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272"/>
      <c r="AF448" s="272"/>
      <c r="AG448" s="272"/>
      <c r="AH448" s="272"/>
      <c r="AI448" s="272"/>
      <c r="AJ448" s="272"/>
      <c r="AK448" s="272"/>
      <c r="AL448" s="272"/>
      <c r="AM448" s="121"/>
      <c r="AN448" s="121"/>
      <c r="AO448" s="121"/>
      <c r="AP448" s="121"/>
      <c r="AQ448" s="121"/>
      <c r="AR448" s="121"/>
      <c r="AS448" s="121"/>
      <c r="AT448" s="121"/>
      <c r="AU448" s="121"/>
      <c r="AV448" s="121"/>
      <c r="AW448" s="121"/>
      <c r="AX448" s="121"/>
      <c r="AY448" s="121"/>
      <c r="AZ448" s="121"/>
      <c r="BA448" s="121"/>
      <c r="BB448" s="121"/>
      <c r="BC448" s="121"/>
      <c r="BD448" s="120">
        <f>BG448</f>
        <v>0</v>
      </c>
      <c r="BE448" s="120">
        <f>BW448</f>
        <v>0</v>
      </c>
      <c r="BF448" s="137">
        <f>BE448-BD448</f>
        <v>0</v>
      </c>
      <c r="BG448" s="120"/>
      <c r="BH448" s="120"/>
      <c r="BI448" s="120"/>
      <c r="BJ448" s="120"/>
      <c r="BK448" s="120"/>
      <c r="BL448" s="120"/>
      <c r="BM448" s="120"/>
      <c r="BN448" s="120"/>
      <c r="BO448" s="120"/>
      <c r="BP448" s="120"/>
      <c r="BQ448" s="124"/>
      <c r="BR448" s="120"/>
      <c r="BS448" s="120"/>
      <c r="BT448" s="120"/>
      <c r="BU448" s="120"/>
      <c r="BV448" s="120"/>
      <c r="BW448" s="120"/>
      <c r="BX448" s="121"/>
      <c r="BY448" s="121"/>
      <c r="BZ448" s="136">
        <f>(BI448-BH448)*24</f>
        <v>0</v>
      </c>
      <c r="CA448" s="136">
        <f>(BK448-BJ448)*24</f>
        <v>0</v>
      </c>
      <c r="CB448" s="136">
        <f>(BN448-BM448)*24</f>
        <v>0</v>
      </c>
      <c r="CC448" s="136">
        <f>(BR448-BP448)*24</f>
        <v>0</v>
      </c>
      <c r="CD448" s="135">
        <f>(BT448-BS448)*24</f>
        <v>0</v>
      </c>
      <c r="CE448" s="135">
        <f>(BW448-BV448)*24</f>
        <v>0</v>
      </c>
      <c r="CF448" s="134">
        <f>SUM(BZ448:CE448)/24</f>
        <v>0</v>
      </c>
      <c r="CG448" s="134">
        <f>BF448</f>
        <v>0</v>
      </c>
      <c r="CH448" s="133" t="e">
        <f>CF448/CG448</f>
        <v>#DIV/0!</v>
      </c>
      <c r="CI448" s="121"/>
      <c r="CJ448" s="121"/>
    </row>
    <row r="449" spans="1:88" s="121" customFormat="1">
      <c r="A449" s="125">
        <f t="shared" si="664"/>
        <v>0</v>
      </c>
      <c r="B449" s="138" t="s">
        <v>187</v>
      </c>
      <c r="D449" s="121" t="s">
        <v>197</v>
      </c>
      <c r="E449" s="253"/>
      <c r="F449" s="115"/>
      <c r="G449" s="252"/>
      <c r="H449" s="252"/>
      <c r="M449" s="123"/>
      <c r="N449" s="121" t="s">
        <v>1483</v>
      </c>
      <c r="O449" s="121" t="s">
        <v>378</v>
      </c>
      <c r="Q449" s="122">
        <f>3271*2.4</f>
        <v>7850.4</v>
      </c>
      <c r="R449" s="122">
        <f>7900+100</f>
        <v>8000</v>
      </c>
      <c r="S449" s="122">
        <v>7900</v>
      </c>
      <c r="T449" s="122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72"/>
      <c r="AF449" s="272"/>
      <c r="AG449" s="272"/>
      <c r="AH449" s="272"/>
      <c r="AI449" s="272"/>
      <c r="AJ449" s="272"/>
      <c r="AK449" s="272"/>
      <c r="AL449" s="272"/>
      <c r="BD449" s="120">
        <f t="shared" si="665"/>
        <v>0</v>
      </c>
      <c r="BE449" s="120">
        <f t="shared" si="666"/>
        <v>0</v>
      </c>
      <c r="BF449" s="137">
        <f t="shared" si="667"/>
        <v>0</v>
      </c>
      <c r="BG449" s="120"/>
      <c r="BH449" s="120"/>
      <c r="BI449" s="120"/>
      <c r="BJ449" s="120"/>
      <c r="BK449" s="120"/>
      <c r="BL449" s="120"/>
      <c r="BM449" s="120"/>
      <c r="BN449" s="120"/>
      <c r="BO449" s="120"/>
      <c r="BP449" s="120"/>
      <c r="BQ449" s="124"/>
      <c r="BR449" s="120"/>
      <c r="BS449" s="120"/>
      <c r="BT449" s="120"/>
      <c r="BU449" s="120"/>
      <c r="BV449" s="120"/>
      <c r="BW449" s="120"/>
      <c r="BZ449" s="136">
        <f t="shared" si="668"/>
        <v>0</v>
      </c>
      <c r="CA449" s="136">
        <f t="shared" si="669"/>
        <v>0</v>
      </c>
      <c r="CB449" s="136">
        <f t="shared" si="670"/>
        <v>0</v>
      </c>
      <c r="CC449" s="136">
        <f t="shared" si="671"/>
        <v>0</v>
      </c>
      <c r="CD449" s="135">
        <f t="shared" si="672"/>
        <v>0</v>
      </c>
      <c r="CE449" s="135">
        <f t="shared" si="673"/>
        <v>0</v>
      </c>
      <c r="CF449" s="134">
        <f t="shared" si="674"/>
        <v>0</v>
      </c>
      <c r="CG449" s="134">
        <f t="shared" si="675"/>
        <v>0</v>
      </c>
      <c r="CH449" s="133" t="e">
        <f t="shared" si="676"/>
        <v>#DIV/0!</v>
      </c>
    </row>
    <row r="450" spans="1:88" s="128" customFormat="1">
      <c r="A450" s="125">
        <f t="shared" ref="A450" si="677">BJ450</f>
        <v>0</v>
      </c>
      <c r="B450" s="138" t="s">
        <v>187</v>
      </c>
      <c r="C450" s="121"/>
      <c r="D450" s="121" t="s">
        <v>197</v>
      </c>
      <c r="E450" s="253"/>
      <c r="F450" s="115"/>
      <c r="G450" s="252"/>
      <c r="H450" s="252"/>
      <c r="I450" s="121"/>
      <c r="J450" s="121"/>
      <c r="K450" s="121"/>
      <c r="L450" s="121"/>
      <c r="M450" s="123"/>
      <c r="N450" s="121" t="s">
        <v>70</v>
      </c>
      <c r="O450" s="121" t="s">
        <v>255</v>
      </c>
      <c r="P450" s="121"/>
      <c r="Q450" s="122">
        <f>3047*2.4</f>
        <v>7312.8</v>
      </c>
      <c r="R450" s="122">
        <f>7350+100</f>
        <v>7450</v>
      </c>
      <c r="S450" s="122">
        <v>7350</v>
      </c>
      <c r="T450" s="122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21"/>
      <c r="AJ450" s="121"/>
      <c r="AK450" s="121"/>
      <c r="AM450" s="121"/>
      <c r="AN450" s="121"/>
      <c r="AP450" s="121"/>
      <c r="AQ450" s="121"/>
      <c r="AR450" s="121"/>
      <c r="AS450" s="121"/>
      <c r="AT450" s="121"/>
      <c r="AU450" s="121"/>
      <c r="AV450" s="121"/>
      <c r="AW450" s="121"/>
      <c r="AX450" s="121"/>
      <c r="AY450" s="121"/>
      <c r="AZ450" s="121"/>
      <c r="BA450" s="121"/>
      <c r="BB450" s="121"/>
      <c r="BC450" s="121"/>
      <c r="BD450" s="120">
        <f t="shared" ref="BD450" si="678">BG450</f>
        <v>0</v>
      </c>
      <c r="BE450" s="120">
        <f t="shared" ref="BE450" si="679">BW450</f>
        <v>0</v>
      </c>
      <c r="BF450" s="137">
        <f t="shared" ref="BF450" si="680">BE450-BD450</f>
        <v>0</v>
      </c>
      <c r="BG450" s="120"/>
      <c r="BH450" s="120"/>
      <c r="BI450" s="120"/>
      <c r="BJ450" s="120"/>
      <c r="BK450" s="120"/>
      <c r="BL450" s="120"/>
      <c r="BM450" s="120"/>
      <c r="BN450" s="120"/>
      <c r="BO450" s="120"/>
      <c r="BP450" s="120"/>
      <c r="BQ450" s="124"/>
      <c r="BR450" s="120"/>
      <c r="BS450" s="120"/>
      <c r="BT450" s="120"/>
      <c r="BU450" s="120"/>
      <c r="BV450" s="120"/>
      <c r="BW450" s="120"/>
      <c r="BX450" s="121"/>
      <c r="BY450" s="121"/>
      <c r="BZ450" s="136">
        <f t="shared" ref="BZ450" si="681">(BI450-BH450)*24</f>
        <v>0</v>
      </c>
      <c r="CA450" s="136">
        <f t="shared" ref="CA450" si="682">(BK450-BJ450)*24</f>
        <v>0</v>
      </c>
      <c r="CB450" s="136">
        <f t="shared" ref="CB450" si="683">(BN450-BM450)*24</f>
        <v>0</v>
      </c>
      <c r="CC450" s="136">
        <f t="shared" ref="CC450" si="684">(BR450-BP450)*24</f>
        <v>0</v>
      </c>
      <c r="CD450" s="135">
        <f t="shared" ref="CD450" si="685">(BT450-BS450)*24</f>
        <v>0</v>
      </c>
      <c r="CE450" s="135">
        <f t="shared" ref="CE450" si="686">(BW450-BV450)*24</f>
        <v>0</v>
      </c>
      <c r="CF450" s="134">
        <f t="shared" ref="CF450" si="687">SUM(BZ450:CE450)/24</f>
        <v>0</v>
      </c>
      <c r="CG450" s="134">
        <f t="shared" ref="CG450" si="688">BF450</f>
        <v>0</v>
      </c>
      <c r="CH450" s="133" t="e">
        <f t="shared" ref="CH450" si="689">CF450/CG450</f>
        <v>#DIV/0!</v>
      </c>
      <c r="CI450" s="121"/>
      <c r="CJ450" s="121"/>
    </row>
    <row r="451" spans="1:88" s="121" customFormat="1">
      <c r="A451" s="125">
        <f t="shared" ref="A451:A459" si="690">BJ451</f>
        <v>0</v>
      </c>
      <c r="B451" s="138" t="s">
        <v>187</v>
      </c>
      <c r="D451" s="121" t="s">
        <v>197</v>
      </c>
      <c r="E451" s="253"/>
      <c r="G451" s="120"/>
      <c r="H451" s="120"/>
      <c r="K451" s="121" t="s">
        <v>187</v>
      </c>
      <c r="M451" s="123"/>
      <c r="N451" s="121" t="s">
        <v>1303</v>
      </c>
      <c r="O451" s="121" t="s">
        <v>1304</v>
      </c>
      <c r="Q451" s="122">
        <f>2205*2.4</f>
        <v>5292</v>
      </c>
      <c r="R451" s="122">
        <f>5300+100</f>
        <v>5400</v>
      </c>
      <c r="S451" s="122">
        <v>5300</v>
      </c>
      <c r="T451" s="122"/>
      <c r="U451" s="115"/>
      <c r="V451" s="115"/>
      <c r="W451" s="115"/>
      <c r="X451" s="115"/>
      <c r="Y451" s="115"/>
      <c r="Z451" s="128"/>
      <c r="BD451" s="120">
        <f t="shared" ref="BD451:BD459" si="691">BG451</f>
        <v>0</v>
      </c>
      <c r="BE451" s="120">
        <f t="shared" ref="BE451:BE459" si="692">BW451</f>
        <v>0</v>
      </c>
      <c r="BF451" s="137">
        <f t="shared" ref="BF451:BF459" si="693">BE451-BD451</f>
        <v>0</v>
      </c>
      <c r="BG451" s="120"/>
      <c r="BH451" s="120"/>
      <c r="BI451" s="120"/>
      <c r="BJ451" s="120"/>
      <c r="BK451" s="120"/>
      <c r="BL451" s="120"/>
      <c r="BM451" s="120"/>
      <c r="BN451" s="120"/>
      <c r="BO451" s="120"/>
      <c r="BP451" s="120"/>
      <c r="BQ451" s="124"/>
      <c r="BR451" s="120"/>
      <c r="BS451" s="120"/>
      <c r="BT451" s="120"/>
      <c r="BU451" s="120"/>
      <c r="BV451" s="120"/>
      <c r="BW451" s="120"/>
      <c r="BZ451" s="136">
        <f t="shared" ref="BZ451:BZ459" si="694">(BI451-BH451)*24</f>
        <v>0</v>
      </c>
      <c r="CA451" s="136">
        <f t="shared" ref="CA451:CA459" si="695">(BK451-BJ451)*24</f>
        <v>0</v>
      </c>
      <c r="CB451" s="136">
        <f t="shared" ref="CB451:CB459" si="696">(BN451-BM451)*24</f>
        <v>0</v>
      </c>
      <c r="CC451" s="136">
        <f t="shared" ref="CC451:CC459" si="697">(BR451-BP451)*24</f>
        <v>0</v>
      </c>
      <c r="CD451" s="135">
        <f t="shared" ref="CD451:CD459" si="698">(BT451-BS451)*24</f>
        <v>0</v>
      </c>
      <c r="CE451" s="135">
        <f t="shared" ref="CE451:CE459" si="699">(BW451-BV451)*24</f>
        <v>0</v>
      </c>
      <c r="CF451" s="134">
        <f t="shared" ref="CF451:CF459" si="700">SUM(BZ451:CE451)/24</f>
        <v>0</v>
      </c>
      <c r="CG451" s="134">
        <f t="shared" ref="CG451:CG459" si="701">BF451</f>
        <v>0</v>
      </c>
      <c r="CH451" s="133" t="e">
        <f t="shared" ref="CH451:CH459" si="702">CF451/CG451</f>
        <v>#DIV/0!</v>
      </c>
    </row>
    <row r="452" spans="1:88" s="121" customFormat="1">
      <c r="A452" s="125">
        <f t="shared" si="690"/>
        <v>0</v>
      </c>
      <c r="B452" s="138" t="s">
        <v>187</v>
      </c>
      <c r="D452" s="121" t="s">
        <v>197</v>
      </c>
      <c r="E452" s="253"/>
      <c r="F452" s="115"/>
      <c r="G452" s="252"/>
      <c r="H452" s="252"/>
      <c r="K452" s="121" t="s">
        <v>187</v>
      </c>
      <c r="M452" s="123"/>
      <c r="N452" s="121" t="s">
        <v>805</v>
      </c>
      <c r="O452" s="121" t="s">
        <v>335</v>
      </c>
      <c r="Q452" s="122">
        <f>3242 *2.4</f>
        <v>7780.7999999999993</v>
      </c>
      <c r="R452" s="122">
        <f>7800+100</f>
        <v>7900</v>
      </c>
      <c r="S452" s="122">
        <v>7800</v>
      </c>
      <c r="T452" s="122"/>
      <c r="U452" s="115"/>
      <c r="V452" s="115"/>
      <c r="W452" s="115"/>
      <c r="X452" s="115"/>
      <c r="Y452" s="128"/>
      <c r="Z452" s="128"/>
      <c r="AA452" s="128"/>
      <c r="AB452" s="272"/>
      <c r="AC452" s="272"/>
      <c r="AD452" s="272"/>
      <c r="AE452" s="272"/>
      <c r="AF452" s="272"/>
      <c r="AG452" s="272"/>
      <c r="AH452" s="272"/>
      <c r="AI452" s="272"/>
      <c r="AJ452" s="272"/>
      <c r="AK452" s="272"/>
      <c r="AL452" s="272"/>
      <c r="BD452" s="120">
        <f t="shared" si="691"/>
        <v>0</v>
      </c>
      <c r="BE452" s="120">
        <f t="shared" si="692"/>
        <v>0</v>
      </c>
      <c r="BF452" s="137">
        <f t="shared" si="693"/>
        <v>0</v>
      </c>
      <c r="BG452" s="120"/>
      <c r="BH452" s="120"/>
      <c r="BI452" s="120"/>
      <c r="BJ452" s="120"/>
      <c r="BK452" s="120"/>
      <c r="BL452" s="120"/>
      <c r="BM452" s="120"/>
      <c r="BN452" s="120"/>
      <c r="BO452" s="120"/>
      <c r="BP452" s="120"/>
      <c r="BQ452" s="124"/>
      <c r="BR452" s="120"/>
      <c r="BS452" s="120"/>
      <c r="BT452" s="120"/>
      <c r="BU452" s="120"/>
      <c r="BV452" s="120"/>
      <c r="BW452" s="120"/>
      <c r="BZ452" s="136">
        <f t="shared" si="694"/>
        <v>0</v>
      </c>
      <c r="CA452" s="136">
        <f t="shared" si="695"/>
        <v>0</v>
      </c>
      <c r="CB452" s="136">
        <f t="shared" si="696"/>
        <v>0</v>
      </c>
      <c r="CC452" s="136">
        <f t="shared" si="697"/>
        <v>0</v>
      </c>
      <c r="CD452" s="135">
        <f t="shared" si="698"/>
        <v>0</v>
      </c>
      <c r="CE452" s="135">
        <f t="shared" si="699"/>
        <v>0</v>
      </c>
      <c r="CF452" s="134">
        <f t="shared" si="700"/>
        <v>0</v>
      </c>
      <c r="CG452" s="134">
        <f t="shared" si="701"/>
        <v>0</v>
      </c>
      <c r="CH452" s="133" t="e">
        <f t="shared" si="702"/>
        <v>#DIV/0!</v>
      </c>
    </row>
    <row r="453" spans="1:88" s="121" customFormat="1">
      <c r="A453" s="125">
        <f t="shared" si="690"/>
        <v>0</v>
      </c>
      <c r="B453" s="138" t="s">
        <v>187</v>
      </c>
      <c r="D453" s="121" t="s">
        <v>197</v>
      </c>
      <c r="E453" s="253"/>
      <c r="F453" s="115"/>
      <c r="G453" s="252"/>
      <c r="H453" s="252"/>
      <c r="K453" s="121" t="s">
        <v>187</v>
      </c>
      <c r="M453" s="123"/>
      <c r="N453" s="121" t="s">
        <v>349</v>
      </c>
      <c r="O453" s="121" t="s">
        <v>350</v>
      </c>
      <c r="Q453" s="122">
        <f>3077*2.4</f>
        <v>7384.7999999999993</v>
      </c>
      <c r="R453" s="122">
        <f>7400+100</f>
        <v>7500</v>
      </c>
      <c r="S453" s="122">
        <v>7400</v>
      </c>
      <c r="T453" s="122"/>
      <c r="Z453" s="115"/>
      <c r="BD453" s="120">
        <f t="shared" si="691"/>
        <v>0</v>
      </c>
      <c r="BE453" s="120">
        <f t="shared" si="692"/>
        <v>0</v>
      </c>
      <c r="BF453" s="137">
        <f t="shared" si="693"/>
        <v>0</v>
      </c>
      <c r="BG453" s="120"/>
      <c r="BH453" s="120"/>
      <c r="BI453" s="120"/>
      <c r="BJ453" s="120"/>
      <c r="BK453" s="120"/>
      <c r="BL453" s="120"/>
      <c r="BM453" s="120"/>
      <c r="BN453" s="120"/>
      <c r="BO453" s="124"/>
      <c r="BP453" s="124"/>
      <c r="BQ453" s="124"/>
      <c r="BR453" s="120"/>
      <c r="BS453" s="120"/>
      <c r="BT453" s="120"/>
      <c r="BU453" s="120"/>
      <c r="BV453" s="120"/>
      <c r="BW453" s="120"/>
      <c r="BZ453" s="136">
        <f t="shared" si="694"/>
        <v>0</v>
      </c>
      <c r="CA453" s="136">
        <f t="shared" si="695"/>
        <v>0</v>
      </c>
      <c r="CB453" s="136">
        <f t="shared" si="696"/>
        <v>0</v>
      </c>
      <c r="CC453" s="136">
        <f t="shared" si="697"/>
        <v>0</v>
      </c>
      <c r="CD453" s="135">
        <f t="shared" si="698"/>
        <v>0</v>
      </c>
      <c r="CE453" s="135">
        <f t="shared" si="699"/>
        <v>0</v>
      </c>
      <c r="CF453" s="134">
        <f t="shared" si="700"/>
        <v>0</v>
      </c>
      <c r="CG453" s="134">
        <f t="shared" si="701"/>
        <v>0</v>
      </c>
      <c r="CH453" s="133" t="e">
        <f t="shared" si="702"/>
        <v>#DIV/0!</v>
      </c>
    </row>
    <row r="454" spans="1:88" s="121" customFormat="1">
      <c r="A454" s="125">
        <f>BJ454</f>
        <v>0</v>
      </c>
      <c r="B454" s="138" t="s">
        <v>187</v>
      </c>
      <c r="D454" s="121" t="s">
        <v>197</v>
      </c>
      <c r="E454" s="253"/>
      <c r="F454" s="115"/>
      <c r="G454" s="252"/>
      <c r="H454" s="252"/>
      <c r="K454" s="121" t="s">
        <v>187</v>
      </c>
      <c r="M454" s="123"/>
      <c r="N454" s="121" t="s">
        <v>238</v>
      </c>
      <c r="O454" s="121" t="s">
        <v>239</v>
      </c>
      <c r="Q454" s="122">
        <f>3100*2.4</f>
        <v>7440</v>
      </c>
      <c r="R454" s="122">
        <f>7450+100</f>
        <v>7550</v>
      </c>
      <c r="S454" s="122">
        <v>7450</v>
      </c>
      <c r="T454" s="122"/>
      <c r="U454" s="115"/>
      <c r="V454" s="115"/>
      <c r="W454" s="115"/>
      <c r="X454" s="115"/>
      <c r="Y454" s="115"/>
      <c r="Z454" s="128"/>
      <c r="AA454" s="128"/>
      <c r="AD454" s="272"/>
      <c r="AE454" s="272"/>
      <c r="AF454" s="272"/>
      <c r="AG454" s="272"/>
      <c r="AH454" s="272"/>
      <c r="AI454" s="272"/>
      <c r="AJ454" s="272"/>
      <c r="AK454" s="272"/>
      <c r="AL454" s="115"/>
      <c r="BD454" s="120">
        <f>BG454</f>
        <v>0</v>
      </c>
      <c r="BE454" s="120">
        <f>BW454</f>
        <v>0</v>
      </c>
      <c r="BF454" s="137">
        <f>BE454-BD454</f>
        <v>0</v>
      </c>
      <c r="BG454" s="120"/>
      <c r="BH454" s="120"/>
      <c r="BI454" s="120"/>
      <c r="BJ454" s="120"/>
      <c r="BK454" s="120"/>
      <c r="BL454" s="120"/>
      <c r="BM454" s="120"/>
      <c r="BN454" s="120"/>
      <c r="BO454" s="120"/>
      <c r="BP454" s="120"/>
      <c r="BQ454" s="124"/>
      <c r="BR454" s="120"/>
      <c r="BS454" s="120"/>
      <c r="BT454" s="120"/>
      <c r="BU454" s="120"/>
      <c r="BV454" s="120"/>
      <c r="BW454" s="120"/>
      <c r="BZ454" s="136">
        <f>(BI454-BH454)*24</f>
        <v>0</v>
      </c>
      <c r="CA454" s="136">
        <f>(BK454-BJ454)*24</f>
        <v>0</v>
      </c>
      <c r="CB454" s="136">
        <f>(BN454-BM454)*24</f>
        <v>0</v>
      </c>
      <c r="CC454" s="136">
        <f>(BR454-BP454)*24</f>
        <v>0</v>
      </c>
      <c r="CD454" s="135">
        <f>(BT454-BS454)*24</f>
        <v>0</v>
      </c>
      <c r="CE454" s="135">
        <f>(BW454-BV454)*24</f>
        <v>0</v>
      </c>
      <c r="CF454" s="134">
        <f>SUM(BZ454:CE454)/24</f>
        <v>0</v>
      </c>
      <c r="CG454" s="134">
        <f>BF454</f>
        <v>0</v>
      </c>
      <c r="CH454" s="133" t="e">
        <f>CF454/CG454</f>
        <v>#DIV/0!</v>
      </c>
      <c r="CI454" s="128"/>
      <c r="CJ454" s="115"/>
    </row>
    <row r="455" spans="1:88" s="121" customFormat="1">
      <c r="A455" s="125">
        <f>BJ455</f>
        <v>0</v>
      </c>
      <c r="B455" s="138" t="s">
        <v>187</v>
      </c>
      <c r="D455" s="121" t="s">
        <v>197</v>
      </c>
      <c r="E455" s="253"/>
      <c r="F455" s="115"/>
      <c r="G455" s="252"/>
      <c r="H455" s="252"/>
      <c r="K455" s="121" t="s">
        <v>187</v>
      </c>
      <c r="M455" s="123"/>
      <c r="N455" s="121" t="s">
        <v>208</v>
      </c>
      <c r="O455" s="121" t="s">
        <v>328</v>
      </c>
      <c r="Q455" s="122">
        <f>3128*2.4</f>
        <v>7507.2</v>
      </c>
      <c r="R455" s="122">
        <f>7550+100</f>
        <v>7650</v>
      </c>
      <c r="S455" s="122">
        <v>7550</v>
      </c>
      <c r="T455" s="122"/>
      <c r="U455" s="115"/>
      <c r="V455" s="115"/>
      <c r="W455" s="115"/>
      <c r="X455" s="115"/>
      <c r="Y455" s="115"/>
      <c r="Z455" s="128"/>
      <c r="AA455" s="128"/>
      <c r="BD455" s="120">
        <f>BG455</f>
        <v>0</v>
      </c>
      <c r="BE455" s="120">
        <f>BW455</f>
        <v>0</v>
      </c>
      <c r="BF455" s="137">
        <f>BE455-BD455</f>
        <v>0</v>
      </c>
      <c r="BG455" s="120"/>
      <c r="BH455" s="120"/>
      <c r="BI455" s="120"/>
      <c r="BJ455" s="120"/>
      <c r="BK455" s="120"/>
      <c r="BL455" s="120"/>
      <c r="BM455" s="120"/>
      <c r="BN455" s="120"/>
      <c r="BO455" s="124"/>
      <c r="BP455" s="124"/>
      <c r="BQ455" s="124"/>
      <c r="BR455" s="120"/>
      <c r="BS455" s="120"/>
      <c r="BT455" s="120"/>
      <c r="BU455" s="120"/>
      <c r="BV455" s="120"/>
      <c r="BW455" s="120"/>
      <c r="BZ455" s="136">
        <f>(BI455-BH455)*24</f>
        <v>0</v>
      </c>
      <c r="CA455" s="136">
        <f>(BK455-BJ455)*24</f>
        <v>0</v>
      </c>
      <c r="CB455" s="136">
        <f>(BN455-BM455)*24</f>
        <v>0</v>
      </c>
      <c r="CC455" s="136">
        <f>(BR455-BP455)*24</f>
        <v>0</v>
      </c>
      <c r="CD455" s="135">
        <f>(BT455-BS455)*24</f>
        <v>0</v>
      </c>
      <c r="CE455" s="135">
        <f>(BW455-BV455)*24</f>
        <v>0</v>
      </c>
      <c r="CF455" s="134">
        <f>SUM(BZ455:CE455)/24</f>
        <v>0</v>
      </c>
      <c r="CG455" s="134">
        <f>BF455</f>
        <v>0</v>
      </c>
      <c r="CH455" s="133" t="e">
        <f>CF455/CG455</f>
        <v>#DIV/0!</v>
      </c>
    </row>
    <row r="456" spans="1:88" s="121" customFormat="1">
      <c r="A456" s="125">
        <f>BJ456</f>
        <v>0</v>
      </c>
      <c r="B456" s="138" t="s">
        <v>187</v>
      </c>
      <c r="D456" s="121" t="s">
        <v>215</v>
      </c>
      <c r="E456" s="253"/>
      <c r="F456" s="115"/>
      <c r="G456" s="252"/>
      <c r="H456" s="252"/>
      <c r="K456" s="121" t="s">
        <v>187</v>
      </c>
      <c r="M456" s="123"/>
      <c r="N456" s="121" t="s">
        <v>399</v>
      </c>
      <c r="O456" s="121" t="s">
        <v>1093</v>
      </c>
      <c r="Q456" s="122">
        <f>3136*2.4</f>
        <v>7526.4</v>
      </c>
      <c r="R456" s="122">
        <f>7550+100</f>
        <v>7650</v>
      </c>
      <c r="S456" s="122">
        <v>7550</v>
      </c>
      <c r="T456" s="122"/>
      <c r="U456" s="115"/>
      <c r="V456" s="115"/>
      <c r="W456" s="115"/>
      <c r="X456" s="115"/>
      <c r="Y456" s="115"/>
      <c r="Z456" s="128"/>
      <c r="AA456" s="272"/>
      <c r="BD456" s="120">
        <f>BG456</f>
        <v>0</v>
      </c>
      <c r="BE456" s="120">
        <f>BW456</f>
        <v>0</v>
      </c>
      <c r="BF456" s="137">
        <f>BE456-BD456</f>
        <v>0</v>
      </c>
      <c r="BG456" s="120"/>
      <c r="BH456" s="120"/>
      <c r="BI456" s="120"/>
      <c r="BJ456" s="120"/>
      <c r="BK456" s="120"/>
      <c r="BL456" s="120"/>
      <c r="BM456" s="120"/>
      <c r="BN456" s="120"/>
      <c r="BO456" s="120"/>
      <c r="BP456" s="120"/>
      <c r="BQ456" s="124"/>
      <c r="BR456" s="120"/>
      <c r="BS456" s="120"/>
      <c r="BT456" s="120"/>
      <c r="BU456" s="120"/>
      <c r="BV456" s="120"/>
      <c r="BW456" s="120"/>
      <c r="BZ456" s="136">
        <f>(BI456-BH456)*24</f>
        <v>0</v>
      </c>
      <c r="CA456" s="136">
        <f>(BK456-BJ456)*24</f>
        <v>0</v>
      </c>
      <c r="CB456" s="136">
        <f>(BN456-BM456)*24</f>
        <v>0</v>
      </c>
      <c r="CC456" s="136">
        <f>(BR456-BP456)*24</f>
        <v>0</v>
      </c>
      <c r="CD456" s="135">
        <f>(BT456-BS456)*24</f>
        <v>0</v>
      </c>
      <c r="CE456" s="135">
        <f>(BW456-BV456)*24</f>
        <v>0</v>
      </c>
      <c r="CF456" s="134">
        <f>SUM(BZ456:CE456)/24</f>
        <v>0</v>
      </c>
      <c r="CG456" s="134">
        <f>BF456</f>
        <v>0</v>
      </c>
      <c r="CH456" s="133" t="e">
        <f>CF456/CG456</f>
        <v>#DIV/0!</v>
      </c>
    </row>
    <row r="457" spans="1:88" s="121" customFormat="1">
      <c r="A457" s="125">
        <f>BJ457</f>
        <v>0</v>
      </c>
      <c r="B457" s="138" t="s">
        <v>187</v>
      </c>
      <c r="D457" s="121" t="s">
        <v>197</v>
      </c>
      <c r="E457" s="253"/>
      <c r="F457" s="115"/>
      <c r="G457" s="252"/>
      <c r="H457" s="252"/>
      <c r="K457" s="121" t="s">
        <v>187</v>
      </c>
      <c r="M457" s="123"/>
      <c r="N457" s="121" t="s">
        <v>249</v>
      </c>
      <c r="O457" s="121" t="s">
        <v>250</v>
      </c>
      <c r="Q457" s="122">
        <f>3139*2.4</f>
        <v>7533.5999999999995</v>
      </c>
      <c r="R457" s="122">
        <f>7550+100</f>
        <v>7650</v>
      </c>
      <c r="S457" s="122">
        <v>7550</v>
      </c>
      <c r="T457" s="122"/>
      <c r="U457" s="115"/>
      <c r="V457" s="115"/>
      <c r="W457" s="115"/>
      <c r="X457" s="115"/>
      <c r="Y457" s="115"/>
      <c r="Z457" s="115"/>
      <c r="AB457" s="272"/>
      <c r="AC457" s="272"/>
      <c r="AD457" s="272"/>
      <c r="AE457" s="272"/>
      <c r="AF457" s="272"/>
      <c r="AG457" s="272"/>
      <c r="AH457" s="272"/>
      <c r="AI457" s="272"/>
      <c r="AJ457" s="272"/>
      <c r="AK457" s="272"/>
      <c r="AL457" s="272"/>
      <c r="BD457" s="120">
        <f>BG457</f>
        <v>0</v>
      </c>
      <c r="BE457" s="120">
        <f>BW457</f>
        <v>0</v>
      </c>
      <c r="BF457" s="137">
        <f>BE457-BD457</f>
        <v>0</v>
      </c>
      <c r="BG457" s="120"/>
      <c r="BH457" s="120"/>
      <c r="BI457" s="120"/>
      <c r="BJ457" s="120"/>
      <c r="BK457" s="120"/>
      <c r="BL457" s="120"/>
      <c r="BM457" s="120"/>
      <c r="BN457" s="120"/>
      <c r="BO457" s="120"/>
      <c r="BP457" s="120"/>
      <c r="BQ457" s="124"/>
      <c r="BR457" s="120"/>
      <c r="BS457" s="120"/>
      <c r="BT457" s="120"/>
      <c r="BU457" s="120"/>
      <c r="BV457" s="120"/>
      <c r="BW457" s="120"/>
      <c r="BZ457" s="136">
        <f>(BI457-BH457)*24</f>
        <v>0</v>
      </c>
      <c r="CA457" s="136">
        <f>(BK457-BJ457)*24</f>
        <v>0</v>
      </c>
      <c r="CB457" s="136">
        <f>(BN457-BM457)*24</f>
        <v>0</v>
      </c>
      <c r="CC457" s="136">
        <f>(BR457-BP457)*24</f>
        <v>0</v>
      </c>
      <c r="CD457" s="135">
        <f>(BT457-BS457)*24</f>
        <v>0</v>
      </c>
      <c r="CE457" s="135">
        <f>(BW457-BV457)*24</f>
        <v>0</v>
      </c>
      <c r="CF457" s="134">
        <f>SUM(BZ457:CE457)/24</f>
        <v>0</v>
      </c>
      <c r="CG457" s="134">
        <f>BF457</f>
        <v>0</v>
      </c>
      <c r="CH457" s="133" t="e">
        <f>CF457/CG457</f>
        <v>#DIV/0!</v>
      </c>
    </row>
    <row r="458" spans="1:88" s="121" customFormat="1">
      <c r="A458" s="125">
        <f t="shared" si="690"/>
        <v>0</v>
      </c>
      <c r="B458" s="138" t="s">
        <v>187</v>
      </c>
      <c r="D458" s="121" t="s">
        <v>197</v>
      </c>
      <c r="E458" s="253"/>
      <c r="F458" s="115"/>
      <c r="G458" s="252"/>
      <c r="H458" s="252"/>
      <c r="K458" s="121" t="s">
        <v>187</v>
      </c>
      <c r="M458" s="123"/>
      <c r="N458" s="121" t="s">
        <v>346</v>
      </c>
      <c r="O458" s="121" t="s">
        <v>1544</v>
      </c>
      <c r="Q458" s="122">
        <f>3136*2.4</f>
        <v>7526.4</v>
      </c>
      <c r="R458" s="122"/>
      <c r="S458" s="122">
        <v>7500</v>
      </c>
      <c r="T458" s="122"/>
      <c r="U458" s="115"/>
      <c r="V458" s="115"/>
      <c r="W458" s="115"/>
      <c r="X458" s="115"/>
      <c r="Y458" s="115"/>
      <c r="Z458" s="115"/>
      <c r="BD458" s="120">
        <f t="shared" si="691"/>
        <v>0</v>
      </c>
      <c r="BE458" s="120">
        <f t="shared" si="692"/>
        <v>0</v>
      </c>
      <c r="BF458" s="137">
        <f t="shared" si="693"/>
        <v>0</v>
      </c>
      <c r="BG458" s="120"/>
      <c r="BH458" s="120"/>
      <c r="BI458" s="120"/>
      <c r="BJ458" s="120"/>
      <c r="BK458" s="120"/>
      <c r="BL458" s="120"/>
      <c r="BM458" s="120"/>
      <c r="BN458" s="120"/>
      <c r="BO458" s="120"/>
      <c r="BP458" s="120"/>
      <c r="BQ458" s="124"/>
      <c r="BR458" s="120"/>
      <c r="BS458" s="120"/>
      <c r="BT458" s="120"/>
      <c r="BU458" s="120"/>
      <c r="BV458" s="120"/>
      <c r="BW458" s="120"/>
      <c r="BZ458" s="136">
        <f t="shared" si="694"/>
        <v>0</v>
      </c>
      <c r="CA458" s="136">
        <f t="shared" si="695"/>
        <v>0</v>
      </c>
      <c r="CB458" s="136">
        <f t="shared" si="696"/>
        <v>0</v>
      </c>
      <c r="CC458" s="136">
        <f t="shared" si="697"/>
        <v>0</v>
      </c>
      <c r="CD458" s="135">
        <f t="shared" si="698"/>
        <v>0</v>
      </c>
      <c r="CE458" s="135">
        <f t="shared" si="699"/>
        <v>0</v>
      </c>
      <c r="CF458" s="134">
        <f t="shared" si="700"/>
        <v>0</v>
      </c>
      <c r="CG458" s="134">
        <f t="shared" si="701"/>
        <v>0</v>
      </c>
      <c r="CH458" s="133" t="e">
        <f t="shared" si="702"/>
        <v>#DIV/0!</v>
      </c>
    </row>
    <row r="459" spans="1:88">
      <c r="A459" s="125">
        <f t="shared" si="690"/>
        <v>0</v>
      </c>
      <c r="B459" s="138" t="s">
        <v>187</v>
      </c>
      <c r="C459" s="121"/>
      <c r="D459" s="121" t="s">
        <v>197</v>
      </c>
      <c r="E459" s="253"/>
      <c r="I459" s="121"/>
      <c r="J459" s="121"/>
      <c r="K459" s="121" t="s">
        <v>187</v>
      </c>
      <c r="L459" s="121"/>
      <c r="M459" s="123"/>
      <c r="N459" s="121" t="s">
        <v>310</v>
      </c>
      <c r="O459" s="121" t="s">
        <v>311</v>
      </c>
      <c r="P459" s="121"/>
      <c r="Q459" s="122">
        <f>3128*2.4</f>
        <v>7507.2</v>
      </c>
      <c r="R459" s="122"/>
      <c r="S459" s="122">
        <v>7500</v>
      </c>
      <c r="T459" s="122"/>
      <c r="AB459" s="128"/>
      <c r="AC459" s="128"/>
      <c r="AD459" s="128"/>
      <c r="AE459" s="121"/>
      <c r="AF459" s="121"/>
      <c r="AG459" s="121"/>
      <c r="AH459" s="121"/>
      <c r="AI459" s="121"/>
      <c r="AJ459" s="121"/>
      <c r="AK459" s="121"/>
      <c r="AL459" s="121"/>
      <c r="AM459" s="121"/>
      <c r="AN459" s="121"/>
      <c r="AO459" s="121"/>
      <c r="AP459" s="121"/>
      <c r="AQ459" s="121"/>
      <c r="AR459" s="121"/>
      <c r="AS459" s="121"/>
      <c r="AT459" s="121"/>
      <c r="AU459" s="121"/>
      <c r="AV459" s="121"/>
      <c r="AW459" s="121"/>
      <c r="AX459" s="121"/>
      <c r="AY459" s="121"/>
      <c r="AZ459" s="121"/>
      <c r="BA459" s="121"/>
      <c r="BB459" s="121"/>
      <c r="BC459" s="121"/>
      <c r="BD459" s="120">
        <f t="shared" si="691"/>
        <v>0</v>
      </c>
      <c r="BE459" s="120">
        <f t="shared" si="692"/>
        <v>0</v>
      </c>
      <c r="BF459" s="137">
        <f t="shared" si="693"/>
        <v>0</v>
      </c>
      <c r="BG459" s="120"/>
      <c r="BH459" s="120"/>
      <c r="BI459" s="120"/>
      <c r="BJ459" s="120"/>
      <c r="BK459" s="120"/>
      <c r="BL459" s="120"/>
      <c r="BM459" s="120"/>
      <c r="BN459" s="120"/>
      <c r="BO459" s="120"/>
      <c r="BP459" s="120"/>
      <c r="BQ459" s="124"/>
      <c r="BR459" s="120"/>
      <c r="BS459" s="120"/>
      <c r="BT459" s="120"/>
      <c r="BU459" s="120"/>
      <c r="BV459" s="120"/>
      <c r="BW459" s="120"/>
      <c r="BX459" s="121"/>
      <c r="BY459" s="121"/>
      <c r="BZ459" s="136">
        <f t="shared" si="694"/>
        <v>0</v>
      </c>
      <c r="CA459" s="136">
        <f t="shared" si="695"/>
        <v>0</v>
      </c>
      <c r="CB459" s="136">
        <f t="shared" si="696"/>
        <v>0</v>
      </c>
      <c r="CC459" s="136">
        <f t="shared" si="697"/>
        <v>0</v>
      </c>
      <c r="CD459" s="135">
        <f t="shared" si="698"/>
        <v>0</v>
      </c>
      <c r="CE459" s="135">
        <f t="shared" si="699"/>
        <v>0</v>
      </c>
      <c r="CF459" s="134">
        <f t="shared" si="700"/>
        <v>0</v>
      </c>
      <c r="CG459" s="134">
        <f t="shared" si="701"/>
        <v>0</v>
      </c>
      <c r="CH459" s="133" t="e">
        <f t="shared" si="702"/>
        <v>#DIV/0!</v>
      </c>
      <c r="CI459" s="128"/>
      <c r="CJ459" s="128"/>
    </row>
    <row r="460" spans="1:88" s="128" customFormat="1">
      <c r="A460" s="125">
        <f t="shared" ref="A460:A461" si="703">BJ460</f>
        <v>0</v>
      </c>
      <c r="B460" s="138" t="s">
        <v>187</v>
      </c>
      <c r="C460" s="121"/>
      <c r="D460" s="121" t="s">
        <v>215</v>
      </c>
      <c r="E460" s="253"/>
      <c r="F460" s="115"/>
      <c r="G460" s="252"/>
      <c r="H460" s="252"/>
      <c r="I460" s="121"/>
      <c r="J460" s="115"/>
      <c r="K460" s="121" t="s">
        <v>187</v>
      </c>
      <c r="L460" s="121"/>
      <c r="M460" s="123"/>
      <c r="N460" s="121" t="s">
        <v>301</v>
      </c>
      <c r="O460" s="121" t="s">
        <v>302</v>
      </c>
      <c r="P460" s="121"/>
      <c r="Q460" s="122">
        <f>3852*2.4</f>
        <v>9244.7999999999993</v>
      </c>
      <c r="R460" s="122"/>
      <c r="S460" s="122">
        <v>9200</v>
      </c>
      <c r="T460" s="122"/>
      <c r="U460" s="115"/>
      <c r="V460" s="115"/>
      <c r="W460" s="115"/>
      <c r="X460" s="115"/>
      <c r="Y460" s="115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  <c r="AL460" s="121"/>
      <c r="AM460" s="121"/>
      <c r="AN460" s="121"/>
      <c r="AO460" s="121"/>
      <c r="AP460" s="121"/>
      <c r="AQ460" s="121"/>
      <c r="AR460" s="121"/>
      <c r="AS460" s="121"/>
      <c r="AT460" s="121"/>
      <c r="AU460" s="121"/>
      <c r="AV460" s="121"/>
      <c r="AW460" s="121"/>
      <c r="AX460" s="121"/>
      <c r="AY460" s="121"/>
      <c r="AZ460" s="121"/>
      <c r="BA460" s="121"/>
      <c r="BB460" s="121"/>
      <c r="BC460" s="121"/>
      <c r="BD460" s="120">
        <f t="shared" ref="BD460:BD461" si="704">BG460</f>
        <v>0</v>
      </c>
      <c r="BE460" s="120">
        <f t="shared" ref="BE460:BE461" si="705">BW460</f>
        <v>0</v>
      </c>
      <c r="BF460" s="137">
        <f t="shared" ref="BF460:BF461" si="706">BE460-BD460</f>
        <v>0</v>
      </c>
      <c r="BG460" s="120"/>
      <c r="BH460" s="120"/>
      <c r="BI460" s="120"/>
      <c r="BJ460" s="120"/>
      <c r="BK460" s="120"/>
      <c r="BL460" s="120"/>
      <c r="BM460" s="120"/>
      <c r="BN460" s="120"/>
      <c r="BO460" s="120"/>
      <c r="BP460" s="120"/>
      <c r="BQ460" s="124"/>
      <c r="BR460" s="120"/>
      <c r="BS460" s="120"/>
      <c r="BT460" s="120"/>
      <c r="BU460" s="120"/>
      <c r="BV460" s="120"/>
      <c r="BW460" s="120"/>
      <c r="BX460" s="121"/>
      <c r="BY460" s="121"/>
      <c r="BZ460" s="136">
        <f t="shared" ref="BZ460:BZ463" si="707">(BI460-BH460)*24</f>
        <v>0</v>
      </c>
      <c r="CA460" s="136">
        <f t="shared" ref="CA460:CA463" si="708">(BK460-BJ460)*24</f>
        <v>0</v>
      </c>
      <c r="CB460" s="136">
        <f t="shared" ref="CB460:CB463" si="709">(BN460-BM460)*24</f>
        <v>0</v>
      </c>
      <c r="CC460" s="136">
        <f t="shared" ref="CC460:CC463" si="710">(BR460-BP460)*24</f>
        <v>0</v>
      </c>
      <c r="CD460" s="135">
        <f t="shared" ref="CD460:CD463" si="711">(BT460-BS460)*24</f>
        <v>0</v>
      </c>
      <c r="CE460" s="135">
        <f t="shared" ref="CE460:CE463" si="712">(BW460-BV460)*24</f>
        <v>0</v>
      </c>
      <c r="CF460" s="134">
        <f t="shared" ref="CF460:CF463" si="713">SUM(BZ460:CE460)/24</f>
        <v>0</v>
      </c>
      <c r="CG460" s="134">
        <f t="shared" ref="CG460:CG463" si="714">BF460</f>
        <v>0</v>
      </c>
      <c r="CH460" s="133" t="e">
        <f t="shared" ref="CH460:CH463" si="715">CF460/CG460</f>
        <v>#DIV/0!</v>
      </c>
      <c r="CI460" s="121"/>
      <c r="CJ460" s="116"/>
    </row>
    <row r="461" spans="1:88" s="121" customFormat="1">
      <c r="A461" s="125">
        <f t="shared" si="703"/>
        <v>0</v>
      </c>
      <c r="B461" s="138" t="s">
        <v>187</v>
      </c>
      <c r="D461" s="121" t="s">
        <v>197</v>
      </c>
      <c r="E461" s="253"/>
      <c r="F461" s="115"/>
      <c r="G461" s="252"/>
      <c r="H461" s="252"/>
      <c r="K461" s="121" t="s">
        <v>187</v>
      </c>
      <c r="M461" s="123"/>
      <c r="N461" s="121" t="s">
        <v>1457</v>
      </c>
      <c r="O461" s="121" t="s">
        <v>1458</v>
      </c>
      <c r="Q461" s="122">
        <f>3086*2.4</f>
        <v>7406.4</v>
      </c>
      <c r="R461" s="122"/>
      <c r="S461" s="122">
        <v>7500</v>
      </c>
      <c r="T461" s="131"/>
      <c r="BD461" s="120">
        <f t="shared" si="704"/>
        <v>0</v>
      </c>
      <c r="BE461" s="120">
        <f t="shared" si="705"/>
        <v>0</v>
      </c>
      <c r="BF461" s="137">
        <f t="shared" si="706"/>
        <v>0</v>
      </c>
      <c r="BG461" s="120"/>
      <c r="BH461" s="120"/>
      <c r="BI461" s="120"/>
      <c r="BJ461" s="120"/>
      <c r="BK461" s="120"/>
      <c r="BL461" s="120"/>
      <c r="BM461" s="120"/>
      <c r="BN461" s="120"/>
      <c r="BO461" s="120"/>
      <c r="BP461" s="120"/>
      <c r="BQ461" s="124"/>
      <c r="BR461" s="120"/>
      <c r="BS461" s="120"/>
      <c r="BT461" s="120"/>
      <c r="BU461" s="120"/>
      <c r="BV461" s="120"/>
      <c r="BW461" s="120"/>
      <c r="BZ461" s="136">
        <f t="shared" si="707"/>
        <v>0</v>
      </c>
      <c r="CA461" s="136">
        <f t="shared" si="708"/>
        <v>0</v>
      </c>
      <c r="CB461" s="136">
        <f t="shared" si="709"/>
        <v>0</v>
      </c>
      <c r="CC461" s="136">
        <f t="shared" si="710"/>
        <v>0</v>
      </c>
      <c r="CD461" s="135">
        <f t="shared" si="711"/>
        <v>0</v>
      </c>
      <c r="CE461" s="135">
        <f t="shared" si="712"/>
        <v>0</v>
      </c>
      <c r="CF461" s="134">
        <f t="shared" si="713"/>
        <v>0</v>
      </c>
      <c r="CG461" s="134">
        <f t="shared" si="714"/>
        <v>0</v>
      </c>
      <c r="CH461" s="133" t="e">
        <f t="shared" si="715"/>
        <v>#DIV/0!</v>
      </c>
      <c r="CI461" s="115"/>
    </row>
    <row r="462" spans="1:88" s="121" customFormat="1">
      <c r="A462" s="125">
        <f t="shared" ref="A462" si="716">BJ462</f>
        <v>0</v>
      </c>
      <c r="B462" s="138" t="s">
        <v>187</v>
      </c>
      <c r="D462" s="121" t="s">
        <v>197</v>
      </c>
      <c r="E462" s="253"/>
      <c r="F462" s="115"/>
      <c r="G462" s="252"/>
      <c r="H462" s="252"/>
      <c r="K462" s="121" t="s">
        <v>187</v>
      </c>
      <c r="M462" s="123"/>
      <c r="N462" s="121" t="s">
        <v>1313</v>
      </c>
      <c r="O462" s="121" t="s">
        <v>438</v>
      </c>
      <c r="Q462" s="122">
        <f>3136*2.4</f>
        <v>7526.4</v>
      </c>
      <c r="R462" s="122"/>
      <c r="S462" s="122">
        <v>7500</v>
      </c>
      <c r="T462" s="122"/>
      <c r="U462" s="115"/>
      <c r="V462" s="115"/>
      <c r="X462" s="115"/>
      <c r="Y462" s="128"/>
      <c r="Z462" s="128"/>
      <c r="BD462" s="120">
        <f t="shared" ref="BD462" si="717">BG462</f>
        <v>0</v>
      </c>
      <c r="BE462" s="120">
        <f t="shared" ref="BE462" si="718">BW462</f>
        <v>0</v>
      </c>
      <c r="BF462" s="137">
        <f t="shared" ref="BF462" si="719">BE462-BD462</f>
        <v>0</v>
      </c>
      <c r="BG462" s="120"/>
      <c r="BH462" s="120"/>
      <c r="BI462" s="120"/>
      <c r="BJ462" s="120"/>
      <c r="BK462" s="120"/>
      <c r="BL462" s="120"/>
      <c r="BM462" s="120"/>
      <c r="BN462" s="120"/>
      <c r="BO462" s="120"/>
      <c r="BP462" s="120"/>
      <c r="BQ462" s="124"/>
      <c r="BR462" s="120"/>
      <c r="BS462" s="120"/>
      <c r="BT462" s="120"/>
      <c r="BU462" s="120"/>
      <c r="BV462" s="120"/>
      <c r="BW462" s="120"/>
      <c r="BZ462" s="136">
        <f t="shared" si="707"/>
        <v>0</v>
      </c>
      <c r="CA462" s="136">
        <f t="shared" si="708"/>
        <v>0</v>
      </c>
      <c r="CB462" s="136">
        <f t="shared" si="709"/>
        <v>0</v>
      </c>
      <c r="CC462" s="136">
        <f t="shared" si="710"/>
        <v>0</v>
      </c>
      <c r="CD462" s="135">
        <f t="shared" si="711"/>
        <v>0</v>
      </c>
      <c r="CE462" s="135">
        <f t="shared" si="712"/>
        <v>0</v>
      </c>
      <c r="CF462" s="134">
        <f t="shared" si="713"/>
        <v>0</v>
      </c>
      <c r="CG462" s="134">
        <f t="shared" si="714"/>
        <v>0</v>
      </c>
      <c r="CH462" s="133" t="e">
        <f t="shared" si="715"/>
        <v>#DIV/0!</v>
      </c>
      <c r="CI462" s="128"/>
    </row>
    <row r="463" spans="1:88" s="121" customFormat="1">
      <c r="A463" s="125">
        <f t="shared" ref="A463:A494" si="720">BJ463</f>
        <v>0</v>
      </c>
      <c r="B463" s="138" t="s">
        <v>187</v>
      </c>
      <c r="D463" s="121" t="s">
        <v>215</v>
      </c>
      <c r="E463" s="253"/>
      <c r="F463" s="115"/>
      <c r="G463" s="252"/>
      <c r="H463" s="252"/>
      <c r="K463" s="121" t="s">
        <v>187</v>
      </c>
      <c r="M463" s="123"/>
      <c r="N463" s="121" t="s">
        <v>358</v>
      </c>
      <c r="O463" s="121" t="s">
        <v>359</v>
      </c>
      <c r="Q463" s="122">
        <f>3852*2.4</f>
        <v>9244.7999999999993</v>
      </c>
      <c r="R463" s="122"/>
      <c r="S463" s="122">
        <v>9200</v>
      </c>
      <c r="T463" s="122"/>
      <c r="BD463" s="120">
        <f t="shared" ref="BD463:BD494" si="721">BG463</f>
        <v>0</v>
      </c>
      <c r="BE463" s="120">
        <f t="shared" ref="BE463:BE494" si="722">BW463</f>
        <v>0</v>
      </c>
      <c r="BF463" s="137">
        <f t="shared" ref="BF463:BF494" si="723">BE463-BD463</f>
        <v>0</v>
      </c>
      <c r="BG463" s="120"/>
      <c r="BH463" s="120"/>
      <c r="BI463" s="120"/>
      <c r="BJ463" s="120"/>
      <c r="BK463" s="120"/>
      <c r="BL463" s="120"/>
      <c r="BM463" s="120"/>
      <c r="BN463" s="120"/>
      <c r="BO463" s="120"/>
      <c r="BP463" s="120"/>
      <c r="BQ463" s="124"/>
      <c r="BR463" s="120"/>
      <c r="BS463" s="120"/>
      <c r="BT463" s="120"/>
      <c r="BU463" s="120"/>
      <c r="BV463" s="120"/>
      <c r="BW463" s="120"/>
      <c r="BZ463" s="136">
        <f t="shared" si="707"/>
        <v>0</v>
      </c>
      <c r="CA463" s="136">
        <f t="shared" si="708"/>
        <v>0</v>
      </c>
      <c r="CB463" s="136">
        <f t="shared" si="709"/>
        <v>0</v>
      </c>
      <c r="CC463" s="136">
        <f t="shared" si="710"/>
        <v>0</v>
      </c>
      <c r="CD463" s="135">
        <f t="shared" si="711"/>
        <v>0</v>
      </c>
      <c r="CE463" s="135">
        <f t="shared" si="712"/>
        <v>0</v>
      </c>
      <c r="CF463" s="134">
        <f t="shared" si="713"/>
        <v>0</v>
      </c>
      <c r="CG463" s="134">
        <f t="shared" si="714"/>
        <v>0</v>
      </c>
      <c r="CH463" s="133" t="e">
        <f t="shared" si="715"/>
        <v>#DIV/0!</v>
      </c>
      <c r="CJ463" s="115"/>
    </row>
    <row r="464" spans="1:88" s="121" customFormat="1">
      <c r="A464" s="125">
        <f t="shared" si="720"/>
        <v>0</v>
      </c>
      <c r="B464" s="138" t="s">
        <v>187</v>
      </c>
      <c r="D464" s="121" t="s">
        <v>197</v>
      </c>
      <c r="E464" s="253"/>
      <c r="F464" s="115"/>
      <c r="G464" s="252"/>
      <c r="H464" s="252"/>
      <c r="J464" s="115"/>
      <c r="K464" s="121" t="s">
        <v>187</v>
      </c>
      <c r="M464" s="123"/>
      <c r="N464" s="121" t="s">
        <v>339</v>
      </c>
      <c r="O464" s="121" t="s">
        <v>340</v>
      </c>
      <c r="Q464" s="122">
        <f>3141*2.4</f>
        <v>7538.4</v>
      </c>
      <c r="R464" s="122"/>
      <c r="S464" s="122">
        <v>7500</v>
      </c>
      <c r="T464" s="122"/>
      <c r="AD464" s="272"/>
      <c r="AE464" s="272"/>
      <c r="AF464" s="272"/>
      <c r="AG464" s="272"/>
      <c r="AH464" s="272"/>
      <c r="AI464" s="272"/>
      <c r="AJ464" s="272"/>
      <c r="AK464" s="272"/>
      <c r="AL464" s="272"/>
      <c r="BD464" s="120">
        <f t="shared" si="721"/>
        <v>0</v>
      </c>
      <c r="BE464" s="120">
        <f t="shared" si="722"/>
        <v>0</v>
      </c>
      <c r="BF464" s="137">
        <f t="shared" si="723"/>
        <v>0</v>
      </c>
      <c r="BG464" s="120"/>
      <c r="BH464" s="120"/>
      <c r="BI464" s="120"/>
      <c r="BJ464" s="120"/>
      <c r="BK464" s="120"/>
      <c r="BL464" s="120"/>
      <c r="BM464" s="120"/>
      <c r="BN464" s="120"/>
      <c r="BO464" s="120"/>
      <c r="BP464" s="120"/>
      <c r="BQ464" s="124"/>
      <c r="BR464" s="120"/>
      <c r="BS464" s="120"/>
      <c r="BT464" s="120"/>
      <c r="BU464" s="120"/>
      <c r="BV464" s="120"/>
      <c r="BW464" s="120"/>
      <c r="BZ464" s="136">
        <f t="shared" ref="BZ464:BZ494" si="724">(BI464-BH464)*24</f>
        <v>0</v>
      </c>
      <c r="CA464" s="136">
        <f t="shared" ref="CA464:CA494" si="725">(BK464-BJ464)*24</f>
        <v>0</v>
      </c>
      <c r="CB464" s="136">
        <f t="shared" ref="CB464:CB494" si="726">(BN464-BM464)*24</f>
        <v>0</v>
      </c>
      <c r="CC464" s="136">
        <f t="shared" ref="CC464:CC494" si="727">(BR464-BP464)*24</f>
        <v>0</v>
      </c>
      <c r="CD464" s="135">
        <f t="shared" ref="CD464:CD494" si="728">(BT464-BS464)*24</f>
        <v>0</v>
      </c>
      <c r="CE464" s="135">
        <f t="shared" ref="CE464:CE494" si="729">(BW464-BV464)*24</f>
        <v>0</v>
      </c>
      <c r="CF464" s="134">
        <f t="shared" ref="CF464:CF494" si="730">SUM(BZ464:CE464)/24</f>
        <v>0</v>
      </c>
      <c r="CG464" s="134">
        <f t="shared" ref="CG464:CG494" si="731">BF464</f>
        <v>0</v>
      </c>
      <c r="CH464" s="133" t="e">
        <f t="shared" ref="CH464:CH494" si="732">CF464/CG464</f>
        <v>#DIV/0!</v>
      </c>
    </row>
    <row r="465" spans="1:88" s="121" customFormat="1">
      <c r="A465" s="125">
        <f t="shared" si="720"/>
        <v>0</v>
      </c>
      <c r="B465" s="138" t="s">
        <v>187</v>
      </c>
      <c r="D465" s="121" t="s">
        <v>197</v>
      </c>
      <c r="E465" s="253"/>
      <c r="F465" s="115"/>
      <c r="G465" s="252"/>
      <c r="H465" s="252"/>
      <c r="K465" s="121" t="s">
        <v>187</v>
      </c>
      <c r="M465" s="123"/>
      <c r="N465" s="121" t="s">
        <v>307</v>
      </c>
      <c r="O465" s="121" t="s">
        <v>308</v>
      </c>
      <c r="Q465" s="122">
        <f>3170*2.4</f>
        <v>7608</v>
      </c>
      <c r="R465" s="122"/>
      <c r="S465" s="122">
        <v>7700</v>
      </c>
      <c r="T465" s="131"/>
      <c r="BD465" s="120">
        <f t="shared" si="721"/>
        <v>0</v>
      </c>
      <c r="BE465" s="120">
        <f t="shared" si="722"/>
        <v>0</v>
      </c>
      <c r="BF465" s="137">
        <f t="shared" si="723"/>
        <v>0</v>
      </c>
      <c r="BG465" s="120"/>
      <c r="BH465" s="120"/>
      <c r="BI465" s="120"/>
      <c r="BJ465" s="120"/>
      <c r="BK465" s="120"/>
      <c r="BL465" s="120"/>
      <c r="BM465" s="120"/>
      <c r="BN465" s="120"/>
      <c r="BO465" s="120"/>
      <c r="BP465" s="120"/>
      <c r="BQ465" s="124"/>
      <c r="BR465" s="120"/>
      <c r="BS465" s="120"/>
      <c r="BT465" s="120"/>
      <c r="BU465" s="120"/>
      <c r="BV465" s="120"/>
      <c r="BW465" s="120"/>
      <c r="BZ465" s="136">
        <f t="shared" si="724"/>
        <v>0</v>
      </c>
      <c r="CA465" s="136">
        <f t="shared" si="725"/>
        <v>0</v>
      </c>
      <c r="CB465" s="136">
        <f t="shared" si="726"/>
        <v>0</v>
      </c>
      <c r="CC465" s="136">
        <f t="shared" si="727"/>
        <v>0</v>
      </c>
      <c r="CD465" s="135">
        <f t="shared" si="728"/>
        <v>0</v>
      </c>
      <c r="CE465" s="135">
        <f t="shared" si="729"/>
        <v>0</v>
      </c>
      <c r="CF465" s="134">
        <f t="shared" si="730"/>
        <v>0</v>
      </c>
      <c r="CG465" s="134">
        <f t="shared" si="731"/>
        <v>0</v>
      </c>
      <c r="CH465" s="133" t="e">
        <f t="shared" si="732"/>
        <v>#DIV/0!</v>
      </c>
      <c r="CI465" s="115"/>
    </row>
    <row r="466" spans="1:88" s="121" customFormat="1">
      <c r="A466" s="125">
        <f t="shared" si="720"/>
        <v>0</v>
      </c>
      <c r="B466" s="138" t="s">
        <v>187</v>
      </c>
      <c r="D466" s="121" t="s">
        <v>197</v>
      </c>
      <c r="E466" s="253"/>
      <c r="F466" s="115"/>
      <c r="G466" s="252"/>
      <c r="H466" s="252"/>
      <c r="K466" s="121" t="s">
        <v>187</v>
      </c>
      <c r="M466" s="123"/>
      <c r="N466" s="121" t="s">
        <v>246</v>
      </c>
      <c r="O466" s="121" t="s">
        <v>247</v>
      </c>
      <c r="Q466" s="122">
        <f>3136*2.4</f>
        <v>7526.4</v>
      </c>
      <c r="R466" s="122"/>
      <c r="S466" s="122">
        <v>7500</v>
      </c>
      <c r="T466" s="131"/>
      <c r="BD466" s="120">
        <f t="shared" si="721"/>
        <v>0</v>
      </c>
      <c r="BE466" s="120">
        <f t="shared" si="722"/>
        <v>0</v>
      </c>
      <c r="BF466" s="137">
        <f t="shared" si="723"/>
        <v>0</v>
      </c>
      <c r="BG466" s="120"/>
      <c r="BH466" s="120"/>
      <c r="BI466" s="120"/>
      <c r="BJ466" s="120"/>
      <c r="BK466" s="120"/>
      <c r="BL466" s="120"/>
      <c r="BM466" s="120"/>
      <c r="BN466" s="120"/>
      <c r="BO466" s="120"/>
      <c r="BP466" s="120"/>
      <c r="BQ466" s="124"/>
      <c r="BR466" s="120"/>
      <c r="BS466" s="120"/>
      <c r="BT466" s="120"/>
      <c r="BU466" s="120"/>
      <c r="BV466" s="120"/>
      <c r="BW466" s="120"/>
      <c r="BZ466" s="136">
        <f t="shared" si="724"/>
        <v>0</v>
      </c>
      <c r="CA466" s="136">
        <f t="shared" si="725"/>
        <v>0</v>
      </c>
      <c r="CB466" s="136">
        <f t="shared" si="726"/>
        <v>0</v>
      </c>
      <c r="CC466" s="136">
        <f t="shared" si="727"/>
        <v>0</v>
      </c>
      <c r="CD466" s="135">
        <f t="shared" si="728"/>
        <v>0</v>
      </c>
      <c r="CE466" s="135">
        <f t="shared" si="729"/>
        <v>0</v>
      </c>
      <c r="CF466" s="134">
        <f t="shared" si="730"/>
        <v>0</v>
      </c>
      <c r="CG466" s="134">
        <f t="shared" si="731"/>
        <v>0</v>
      </c>
      <c r="CH466" s="133" t="e">
        <f t="shared" si="732"/>
        <v>#DIV/0!</v>
      </c>
      <c r="CI466" s="115"/>
    </row>
    <row r="467" spans="1:88" s="121" customFormat="1">
      <c r="A467" s="125">
        <f t="shared" si="720"/>
        <v>0</v>
      </c>
      <c r="B467" s="138" t="s">
        <v>187</v>
      </c>
      <c r="D467" s="121" t="s">
        <v>197</v>
      </c>
      <c r="E467" s="253"/>
      <c r="F467" s="115"/>
      <c r="G467" s="120"/>
      <c r="H467" s="120"/>
      <c r="K467" s="121" t="s">
        <v>187</v>
      </c>
      <c r="M467" s="123"/>
      <c r="N467" s="121" t="s">
        <v>267</v>
      </c>
      <c r="O467" s="121" t="s">
        <v>268</v>
      </c>
      <c r="Q467" s="122">
        <f>3142*2.4</f>
        <v>7540.7999999999993</v>
      </c>
      <c r="R467" s="122"/>
      <c r="S467" s="122">
        <v>7500</v>
      </c>
      <c r="T467" s="122"/>
      <c r="BD467" s="120">
        <f t="shared" si="721"/>
        <v>0</v>
      </c>
      <c r="BE467" s="120">
        <f t="shared" si="722"/>
        <v>0</v>
      </c>
      <c r="BF467" s="137">
        <f t="shared" si="723"/>
        <v>0</v>
      </c>
      <c r="BG467" s="120"/>
      <c r="BH467" s="120"/>
      <c r="BI467" s="120"/>
      <c r="BJ467" s="120"/>
      <c r="BK467" s="120"/>
      <c r="BL467" s="120"/>
      <c r="BM467" s="120"/>
      <c r="BN467" s="120"/>
      <c r="BO467" s="120"/>
      <c r="BP467" s="120"/>
      <c r="BQ467" s="124"/>
      <c r="BR467" s="120"/>
      <c r="BS467" s="120"/>
      <c r="BT467" s="120"/>
      <c r="BU467" s="120"/>
      <c r="BV467" s="120"/>
      <c r="BW467" s="120"/>
      <c r="BZ467" s="136">
        <f t="shared" si="724"/>
        <v>0</v>
      </c>
      <c r="CA467" s="136">
        <f t="shared" si="725"/>
        <v>0</v>
      </c>
      <c r="CB467" s="136">
        <f t="shared" si="726"/>
        <v>0</v>
      </c>
      <c r="CC467" s="136">
        <f t="shared" si="727"/>
        <v>0</v>
      </c>
      <c r="CD467" s="135">
        <f t="shared" si="728"/>
        <v>0</v>
      </c>
      <c r="CE467" s="135">
        <f t="shared" si="729"/>
        <v>0</v>
      </c>
      <c r="CF467" s="134">
        <f t="shared" si="730"/>
        <v>0</v>
      </c>
      <c r="CG467" s="134">
        <f t="shared" si="731"/>
        <v>0</v>
      </c>
      <c r="CH467" s="133" t="e">
        <f t="shared" si="732"/>
        <v>#DIV/0!</v>
      </c>
      <c r="CI467" s="128"/>
      <c r="CJ467" s="115"/>
    </row>
    <row r="468" spans="1:88" s="121" customFormat="1">
      <c r="A468" s="125">
        <f t="shared" si="720"/>
        <v>0</v>
      </c>
      <c r="B468" s="138" t="s">
        <v>187</v>
      </c>
      <c r="D468" s="121" t="s">
        <v>215</v>
      </c>
      <c r="E468" s="253"/>
      <c r="F468" s="115"/>
      <c r="G468" s="120"/>
      <c r="H468" s="120"/>
      <c r="K468" s="121" t="s">
        <v>187</v>
      </c>
      <c r="M468" s="123"/>
      <c r="N468" s="121" t="s">
        <v>403</v>
      </c>
      <c r="O468" s="121" t="s">
        <v>404</v>
      </c>
      <c r="Q468" s="122">
        <f>3107*2.4</f>
        <v>7456.7999999999993</v>
      </c>
      <c r="R468" s="122"/>
      <c r="S468" s="122">
        <v>7500</v>
      </c>
      <c r="T468" s="122"/>
      <c r="Z468" s="272"/>
      <c r="AA468" s="272"/>
      <c r="AB468" s="272"/>
      <c r="AC468" s="272"/>
      <c r="AD468" s="272"/>
      <c r="AE468" s="272"/>
      <c r="AF468" s="272"/>
      <c r="AG468" s="272"/>
      <c r="AH468" s="272"/>
      <c r="AI468" s="272"/>
      <c r="AJ468" s="272"/>
      <c r="AK468" s="272"/>
      <c r="AL468" s="272"/>
      <c r="BD468" s="120">
        <f t="shared" si="721"/>
        <v>0</v>
      </c>
      <c r="BE468" s="120">
        <f t="shared" si="722"/>
        <v>0</v>
      </c>
      <c r="BF468" s="137">
        <f t="shared" si="723"/>
        <v>0</v>
      </c>
      <c r="BG468" s="120"/>
      <c r="BH468" s="120"/>
      <c r="BI468" s="120"/>
      <c r="BJ468" s="120"/>
      <c r="BK468" s="120"/>
      <c r="BL468" s="120"/>
      <c r="BM468" s="120"/>
      <c r="BN468" s="120"/>
      <c r="BO468" s="120"/>
      <c r="BP468" s="120"/>
      <c r="BQ468" s="124"/>
      <c r="BR468" s="120"/>
      <c r="BS468" s="120"/>
      <c r="BT468" s="120"/>
      <c r="BU468" s="120"/>
      <c r="BV468" s="120"/>
      <c r="BW468" s="120"/>
      <c r="BZ468" s="136">
        <f t="shared" si="724"/>
        <v>0</v>
      </c>
      <c r="CA468" s="136">
        <f t="shared" si="725"/>
        <v>0</v>
      </c>
      <c r="CB468" s="136">
        <f t="shared" si="726"/>
        <v>0</v>
      </c>
      <c r="CC468" s="136">
        <f t="shared" si="727"/>
        <v>0</v>
      </c>
      <c r="CD468" s="135">
        <f t="shared" si="728"/>
        <v>0</v>
      </c>
      <c r="CE468" s="135">
        <f t="shared" si="729"/>
        <v>0</v>
      </c>
      <c r="CF468" s="134">
        <f t="shared" si="730"/>
        <v>0</v>
      </c>
      <c r="CG468" s="134">
        <f t="shared" si="731"/>
        <v>0</v>
      </c>
      <c r="CH468" s="133" t="e">
        <f t="shared" si="732"/>
        <v>#DIV/0!</v>
      </c>
    </row>
    <row r="469" spans="1:88" s="121" customFormat="1">
      <c r="A469" s="125">
        <f t="shared" si="720"/>
        <v>0</v>
      </c>
      <c r="B469" s="138" t="s">
        <v>187</v>
      </c>
      <c r="D469" s="121" t="s">
        <v>215</v>
      </c>
      <c r="E469" s="253"/>
      <c r="K469" s="121" t="s">
        <v>187</v>
      </c>
      <c r="M469" s="123"/>
      <c r="N469" s="121" t="s">
        <v>274</v>
      </c>
      <c r="O469" s="121" t="s">
        <v>275</v>
      </c>
      <c r="Q469" s="122">
        <f>3097*2.4</f>
        <v>7432.7999999999993</v>
      </c>
      <c r="R469" s="122"/>
      <c r="S469" s="122">
        <v>7500</v>
      </c>
      <c r="T469" s="122"/>
      <c r="Y469" s="272" t="s">
        <v>4119</v>
      </c>
      <c r="BD469" s="120">
        <f t="shared" si="721"/>
        <v>0</v>
      </c>
      <c r="BE469" s="120">
        <f t="shared" si="722"/>
        <v>0</v>
      </c>
      <c r="BF469" s="137">
        <f t="shared" si="723"/>
        <v>0</v>
      </c>
      <c r="BG469" s="120"/>
      <c r="BH469" s="120"/>
      <c r="BI469" s="120"/>
      <c r="BJ469" s="120"/>
      <c r="BK469" s="120"/>
      <c r="BL469" s="120"/>
      <c r="BM469" s="120"/>
      <c r="BN469" s="120"/>
      <c r="BO469" s="120"/>
      <c r="BP469" s="120"/>
      <c r="BQ469" s="124"/>
      <c r="BR469" s="120"/>
      <c r="BS469" s="120"/>
      <c r="BT469" s="120"/>
      <c r="BU469" s="120"/>
      <c r="BV469" s="120"/>
      <c r="BW469" s="120"/>
      <c r="BZ469" s="136">
        <f t="shared" si="724"/>
        <v>0</v>
      </c>
      <c r="CA469" s="136">
        <f t="shared" si="725"/>
        <v>0</v>
      </c>
      <c r="CB469" s="136">
        <f t="shared" si="726"/>
        <v>0</v>
      </c>
      <c r="CC469" s="136">
        <f t="shared" si="727"/>
        <v>0</v>
      </c>
      <c r="CD469" s="135">
        <f t="shared" si="728"/>
        <v>0</v>
      </c>
      <c r="CE469" s="135">
        <f t="shared" si="729"/>
        <v>0</v>
      </c>
      <c r="CF469" s="134">
        <f t="shared" si="730"/>
        <v>0</v>
      </c>
      <c r="CG469" s="134">
        <f t="shared" si="731"/>
        <v>0</v>
      </c>
      <c r="CH469" s="133" t="e">
        <f t="shared" si="732"/>
        <v>#DIV/0!</v>
      </c>
    </row>
    <row r="470" spans="1:88" s="121" customFormat="1">
      <c r="A470" s="125">
        <f t="shared" si="720"/>
        <v>0</v>
      </c>
      <c r="B470" s="138" t="s">
        <v>187</v>
      </c>
      <c r="D470" s="121" t="s">
        <v>215</v>
      </c>
      <c r="E470" s="253"/>
      <c r="K470" s="121" t="s">
        <v>187</v>
      </c>
      <c r="M470" s="123"/>
      <c r="N470" s="121" t="s">
        <v>721</v>
      </c>
      <c r="O470" s="121" t="s">
        <v>722</v>
      </c>
      <c r="Q470" s="122">
        <f>3124*2.4</f>
        <v>7497.5999999999995</v>
      </c>
      <c r="R470" s="122"/>
      <c r="S470" s="122">
        <v>7500</v>
      </c>
      <c r="T470" s="122"/>
      <c r="AB470" s="272"/>
      <c r="AC470" s="272"/>
      <c r="AD470" s="272"/>
      <c r="AE470" s="272"/>
      <c r="AF470" s="272"/>
      <c r="AG470" s="272"/>
      <c r="AH470" s="272"/>
      <c r="AI470" s="272"/>
      <c r="AJ470" s="272"/>
      <c r="AK470" s="272"/>
      <c r="AL470" s="272"/>
      <c r="BD470" s="120">
        <f t="shared" si="721"/>
        <v>0</v>
      </c>
      <c r="BE470" s="120">
        <f t="shared" si="722"/>
        <v>0</v>
      </c>
      <c r="BF470" s="137">
        <f t="shared" si="723"/>
        <v>0</v>
      </c>
      <c r="BG470" s="120"/>
      <c r="BH470" s="120"/>
      <c r="BI470" s="120"/>
      <c r="BJ470" s="120"/>
      <c r="BK470" s="120"/>
      <c r="BL470" s="120"/>
      <c r="BM470" s="120"/>
      <c r="BN470" s="120"/>
      <c r="BO470" s="120"/>
      <c r="BP470" s="120"/>
      <c r="BQ470" s="124"/>
      <c r="BR470" s="120"/>
      <c r="BS470" s="120"/>
      <c r="BT470" s="120"/>
      <c r="BU470" s="120"/>
      <c r="BV470" s="120"/>
      <c r="BW470" s="120"/>
      <c r="BZ470" s="136">
        <f t="shared" si="724"/>
        <v>0</v>
      </c>
      <c r="CA470" s="136">
        <f t="shared" si="725"/>
        <v>0</v>
      </c>
      <c r="CB470" s="136">
        <f t="shared" si="726"/>
        <v>0</v>
      </c>
      <c r="CC470" s="136">
        <f t="shared" si="727"/>
        <v>0</v>
      </c>
      <c r="CD470" s="135">
        <f t="shared" si="728"/>
        <v>0</v>
      </c>
      <c r="CE470" s="135">
        <f t="shared" si="729"/>
        <v>0</v>
      </c>
      <c r="CF470" s="134">
        <f t="shared" si="730"/>
        <v>0</v>
      </c>
      <c r="CG470" s="134">
        <f t="shared" si="731"/>
        <v>0</v>
      </c>
      <c r="CH470" s="133" t="e">
        <f t="shared" si="732"/>
        <v>#DIV/0!</v>
      </c>
    </row>
    <row r="471" spans="1:88" s="121" customFormat="1">
      <c r="A471" s="125">
        <f t="shared" si="720"/>
        <v>0</v>
      </c>
      <c r="B471" s="138" t="s">
        <v>187</v>
      </c>
      <c r="D471" s="121" t="s">
        <v>197</v>
      </c>
      <c r="K471" s="121" t="s">
        <v>187</v>
      </c>
      <c r="M471" s="123"/>
      <c r="N471" s="121" t="s">
        <v>263</v>
      </c>
      <c r="O471" s="121" t="s">
        <v>344</v>
      </c>
      <c r="Q471" s="122">
        <f>3136*2.4</f>
        <v>7526.4</v>
      </c>
      <c r="R471" s="122"/>
      <c r="S471" s="122">
        <v>7500</v>
      </c>
      <c r="T471" s="122"/>
      <c r="AB471" s="272"/>
      <c r="AC471" s="272"/>
      <c r="AD471" s="272"/>
      <c r="AE471" s="272"/>
      <c r="AF471" s="272"/>
      <c r="AG471" s="272"/>
      <c r="AH471" s="272"/>
      <c r="AI471" s="272"/>
      <c r="AJ471" s="272"/>
      <c r="AK471" s="272"/>
      <c r="AL471" s="272"/>
      <c r="BD471" s="120">
        <f t="shared" si="721"/>
        <v>0</v>
      </c>
      <c r="BE471" s="120">
        <f t="shared" si="722"/>
        <v>0</v>
      </c>
      <c r="BF471" s="137">
        <f t="shared" si="723"/>
        <v>0</v>
      </c>
      <c r="BG471" s="120"/>
      <c r="BH471" s="120"/>
      <c r="BI471" s="120"/>
      <c r="BJ471" s="120"/>
      <c r="BK471" s="120"/>
      <c r="BL471" s="120"/>
      <c r="BM471" s="120"/>
      <c r="BN471" s="120"/>
      <c r="BO471" s="120"/>
      <c r="BP471" s="120"/>
      <c r="BQ471" s="124"/>
      <c r="BR471" s="120"/>
      <c r="BS471" s="120"/>
      <c r="BT471" s="120"/>
      <c r="BU471" s="120"/>
      <c r="BV471" s="120"/>
      <c r="BW471" s="120"/>
      <c r="BZ471" s="136">
        <f t="shared" si="724"/>
        <v>0</v>
      </c>
      <c r="CA471" s="136">
        <f t="shared" si="725"/>
        <v>0</v>
      </c>
      <c r="CB471" s="136">
        <f t="shared" si="726"/>
        <v>0</v>
      </c>
      <c r="CC471" s="136">
        <f t="shared" si="727"/>
        <v>0</v>
      </c>
      <c r="CD471" s="135">
        <f t="shared" si="728"/>
        <v>0</v>
      </c>
      <c r="CE471" s="135">
        <f t="shared" si="729"/>
        <v>0</v>
      </c>
      <c r="CF471" s="134">
        <f t="shared" si="730"/>
        <v>0</v>
      </c>
      <c r="CG471" s="134">
        <f t="shared" si="731"/>
        <v>0</v>
      </c>
      <c r="CH471" s="133" t="e">
        <f t="shared" si="732"/>
        <v>#DIV/0!</v>
      </c>
    </row>
    <row r="472" spans="1:88" s="128" customFormat="1">
      <c r="A472" s="125">
        <f t="shared" si="720"/>
        <v>0</v>
      </c>
      <c r="B472" s="138" t="s">
        <v>187</v>
      </c>
      <c r="C472" s="121"/>
      <c r="D472" s="121" t="s">
        <v>215</v>
      </c>
      <c r="E472" s="253"/>
      <c r="F472" s="115"/>
      <c r="G472" s="120"/>
      <c r="H472" s="120"/>
      <c r="I472" s="121"/>
      <c r="J472" s="121"/>
      <c r="K472" s="121" t="s">
        <v>187</v>
      </c>
      <c r="L472" s="121"/>
      <c r="M472" s="123"/>
      <c r="N472" s="121" t="s">
        <v>222</v>
      </c>
      <c r="O472" s="121" t="s">
        <v>223</v>
      </c>
      <c r="P472" s="121"/>
      <c r="Q472" s="122">
        <f>3137*2.4</f>
        <v>7528.7999999999993</v>
      </c>
      <c r="R472" s="122"/>
      <c r="S472" s="122">
        <v>7500</v>
      </c>
      <c r="T472" s="122"/>
      <c r="U472" s="121"/>
      <c r="V472" s="121"/>
      <c r="W472" s="121"/>
      <c r="X472" s="121"/>
      <c r="Y472" s="121"/>
      <c r="Z472" s="272"/>
      <c r="AA472" s="272"/>
      <c r="AB472" s="272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0">
        <f t="shared" si="721"/>
        <v>0</v>
      </c>
      <c r="BE472" s="120">
        <f t="shared" si="722"/>
        <v>0</v>
      </c>
      <c r="BF472" s="137">
        <f t="shared" si="723"/>
        <v>0</v>
      </c>
      <c r="BG472" s="120"/>
      <c r="BH472" s="120"/>
      <c r="BI472" s="120"/>
      <c r="BJ472" s="120"/>
      <c r="BK472" s="120"/>
      <c r="BL472" s="120"/>
      <c r="BM472" s="120"/>
      <c r="BN472" s="120"/>
      <c r="BO472" s="120"/>
      <c r="BP472" s="120"/>
      <c r="BQ472" s="124"/>
      <c r="BR472" s="120"/>
      <c r="BS472" s="120"/>
      <c r="BT472" s="120"/>
      <c r="BU472" s="120"/>
      <c r="BV472" s="120"/>
      <c r="BW472" s="120"/>
      <c r="BX472" s="121"/>
      <c r="BY472" s="121"/>
      <c r="BZ472" s="136">
        <f t="shared" si="724"/>
        <v>0</v>
      </c>
      <c r="CA472" s="136">
        <f t="shared" si="725"/>
        <v>0</v>
      </c>
      <c r="CB472" s="136">
        <f t="shared" si="726"/>
        <v>0</v>
      </c>
      <c r="CC472" s="136">
        <f t="shared" si="727"/>
        <v>0</v>
      </c>
      <c r="CD472" s="135">
        <f t="shared" si="728"/>
        <v>0</v>
      </c>
      <c r="CE472" s="135">
        <f t="shared" si="729"/>
        <v>0</v>
      </c>
      <c r="CF472" s="134">
        <f t="shared" si="730"/>
        <v>0</v>
      </c>
      <c r="CG472" s="134">
        <f t="shared" si="731"/>
        <v>0</v>
      </c>
      <c r="CH472" s="133" t="e">
        <f t="shared" si="732"/>
        <v>#DIV/0!</v>
      </c>
      <c r="CJ472" s="115"/>
    </row>
    <row r="473" spans="1:88" s="128" customFormat="1">
      <c r="A473" s="125">
        <f t="shared" si="720"/>
        <v>0</v>
      </c>
      <c r="B473" s="138" t="s">
        <v>187</v>
      </c>
      <c r="C473" s="121"/>
      <c r="D473" s="121" t="s">
        <v>197</v>
      </c>
      <c r="E473" s="253"/>
      <c r="F473" s="115"/>
      <c r="G473" s="120"/>
      <c r="H473" s="120"/>
      <c r="I473" s="121"/>
      <c r="J473" s="121"/>
      <c r="K473" s="121" t="s">
        <v>187</v>
      </c>
      <c r="L473" s="121"/>
      <c r="M473" s="123"/>
      <c r="N473" s="121" t="s">
        <v>267</v>
      </c>
      <c r="O473" s="121" t="s">
        <v>268</v>
      </c>
      <c r="P473" s="121"/>
      <c r="Q473" s="122">
        <f>3142*2.4</f>
        <v>7540.7999999999993</v>
      </c>
      <c r="R473" s="122"/>
      <c r="S473" s="122">
        <v>7500</v>
      </c>
      <c r="T473" s="122"/>
      <c r="U473" s="121"/>
      <c r="V473" s="121"/>
      <c r="W473" s="121"/>
      <c r="X473" s="121"/>
      <c r="Y473" s="121"/>
      <c r="Z473" s="272"/>
      <c r="AA473" s="272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0">
        <f t="shared" si="721"/>
        <v>0</v>
      </c>
      <c r="BE473" s="120">
        <f t="shared" si="722"/>
        <v>0</v>
      </c>
      <c r="BF473" s="137">
        <f t="shared" si="723"/>
        <v>0</v>
      </c>
      <c r="BG473" s="120"/>
      <c r="BH473" s="120"/>
      <c r="BI473" s="120"/>
      <c r="BJ473" s="120"/>
      <c r="BK473" s="120"/>
      <c r="BL473" s="120"/>
      <c r="BM473" s="120"/>
      <c r="BN473" s="120"/>
      <c r="BO473" s="120"/>
      <c r="BP473" s="120"/>
      <c r="BQ473" s="124"/>
      <c r="BR473" s="120"/>
      <c r="BS473" s="120"/>
      <c r="BT473" s="120"/>
      <c r="BU473" s="120"/>
      <c r="BV473" s="120"/>
      <c r="BW473" s="120"/>
      <c r="BX473" s="121"/>
      <c r="BY473" s="121"/>
      <c r="BZ473" s="136">
        <f t="shared" si="724"/>
        <v>0</v>
      </c>
      <c r="CA473" s="136">
        <f t="shared" si="725"/>
        <v>0</v>
      </c>
      <c r="CB473" s="136">
        <f t="shared" si="726"/>
        <v>0</v>
      </c>
      <c r="CC473" s="136">
        <f t="shared" si="727"/>
        <v>0</v>
      </c>
      <c r="CD473" s="135">
        <f t="shared" si="728"/>
        <v>0</v>
      </c>
      <c r="CE473" s="135">
        <f t="shared" si="729"/>
        <v>0</v>
      </c>
      <c r="CF473" s="134">
        <f t="shared" si="730"/>
        <v>0</v>
      </c>
      <c r="CG473" s="134">
        <f t="shared" si="731"/>
        <v>0</v>
      </c>
      <c r="CH473" s="133" t="e">
        <f t="shared" si="732"/>
        <v>#DIV/0!</v>
      </c>
      <c r="CI473" s="121"/>
      <c r="CJ473" s="121"/>
    </row>
    <row r="474" spans="1:88">
      <c r="A474" s="125">
        <f t="shared" si="720"/>
        <v>0</v>
      </c>
      <c r="B474" s="138" t="s">
        <v>187</v>
      </c>
      <c r="C474" s="121"/>
      <c r="D474" s="121" t="s">
        <v>197</v>
      </c>
      <c r="E474" s="253"/>
      <c r="F474" s="121"/>
      <c r="G474" s="120"/>
      <c r="H474" s="120"/>
      <c r="I474" s="121"/>
      <c r="J474" s="121"/>
      <c r="K474" s="121" t="s">
        <v>187</v>
      </c>
      <c r="L474" s="121"/>
      <c r="M474" s="123"/>
      <c r="N474" s="121" t="s">
        <v>364</v>
      </c>
      <c r="O474" s="121" t="s">
        <v>365</v>
      </c>
      <c r="P474" s="121"/>
      <c r="Q474" s="122">
        <f>3142*2.4</f>
        <v>7540.7999999999993</v>
      </c>
      <c r="R474" s="122"/>
      <c r="S474" s="122">
        <v>7500</v>
      </c>
      <c r="T474" s="122"/>
      <c r="U474" s="272"/>
      <c r="V474" s="272"/>
      <c r="W474" s="272"/>
      <c r="X474" s="272"/>
      <c r="Y474" s="272"/>
      <c r="Z474" s="272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0">
        <f t="shared" si="721"/>
        <v>0</v>
      </c>
      <c r="BE474" s="120">
        <f t="shared" si="722"/>
        <v>0</v>
      </c>
      <c r="BF474" s="137">
        <f t="shared" si="723"/>
        <v>0</v>
      </c>
      <c r="BG474" s="120"/>
      <c r="BH474" s="120"/>
      <c r="BI474" s="120"/>
      <c r="BJ474" s="120"/>
      <c r="BK474" s="120"/>
      <c r="BL474" s="120"/>
      <c r="BM474" s="120"/>
      <c r="BN474" s="120"/>
      <c r="BO474" s="120"/>
      <c r="BP474" s="120"/>
      <c r="BQ474" s="124"/>
      <c r="BR474" s="120"/>
      <c r="BS474" s="120"/>
      <c r="BT474" s="120"/>
      <c r="BU474" s="120"/>
      <c r="BV474" s="120"/>
      <c r="BW474" s="120"/>
      <c r="BX474" s="121"/>
      <c r="BY474" s="121"/>
      <c r="BZ474" s="136">
        <f t="shared" si="724"/>
        <v>0</v>
      </c>
      <c r="CA474" s="136">
        <f t="shared" si="725"/>
        <v>0</v>
      </c>
      <c r="CB474" s="136">
        <f t="shared" si="726"/>
        <v>0</v>
      </c>
      <c r="CC474" s="136">
        <f t="shared" si="727"/>
        <v>0</v>
      </c>
      <c r="CD474" s="135">
        <f t="shared" si="728"/>
        <v>0</v>
      </c>
      <c r="CE474" s="135">
        <f t="shared" si="729"/>
        <v>0</v>
      </c>
      <c r="CF474" s="134">
        <f t="shared" si="730"/>
        <v>0</v>
      </c>
      <c r="CG474" s="134">
        <f t="shared" si="731"/>
        <v>0</v>
      </c>
      <c r="CH474" s="133" t="e">
        <f t="shared" si="732"/>
        <v>#DIV/0!</v>
      </c>
      <c r="CI474" s="121"/>
      <c r="CJ474" s="121"/>
    </row>
    <row r="475" spans="1:88" s="121" customFormat="1">
      <c r="A475" s="125">
        <f t="shared" si="720"/>
        <v>0</v>
      </c>
      <c r="B475" s="138" t="s">
        <v>187</v>
      </c>
      <c r="D475" s="121" t="s">
        <v>215</v>
      </c>
      <c r="E475" s="253"/>
      <c r="F475" s="115"/>
      <c r="G475" s="120"/>
      <c r="H475" s="120"/>
      <c r="K475" s="121" t="s">
        <v>187</v>
      </c>
      <c r="M475" s="123"/>
      <c r="N475" s="121" t="s">
        <v>399</v>
      </c>
      <c r="O475" s="121" t="s">
        <v>400</v>
      </c>
      <c r="Q475" s="122">
        <f>3146*2.4</f>
        <v>7550.4</v>
      </c>
      <c r="R475" s="122"/>
      <c r="S475" s="122">
        <v>7500</v>
      </c>
      <c r="T475" s="122"/>
      <c r="BD475" s="120">
        <f t="shared" si="721"/>
        <v>0</v>
      </c>
      <c r="BE475" s="120">
        <f t="shared" si="722"/>
        <v>0</v>
      </c>
      <c r="BF475" s="137">
        <f t="shared" si="723"/>
        <v>0</v>
      </c>
      <c r="BG475" s="120"/>
      <c r="BH475" s="120"/>
      <c r="BI475" s="120"/>
      <c r="BJ475" s="120"/>
      <c r="BK475" s="120"/>
      <c r="BL475" s="120"/>
      <c r="BM475" s="120"/>
      <c r="BN475" s="120"/>
      <c r="BO475" s="120"/>
      <c r="BP475" s="120"/>
      <c r="BQ475" s="124"/>
      <c r="BR475" s="120"/>
      <c r="BS475" s="120"/>
      <c r="BT475" s="120"/>
      <c r="BU475" s="120"/>
      <c r="BV475" s="120"/>
      <c r="BW475" s="120"/>
      <c r="BZ475" s="136">
        <f t="shared" si="724"/>
        <v>0</v>
      </c>
      <c r="CA475" s="136">
        <f t="shared" si="725"/>
        <v>0</v>
      </c>
      <c r="CB475" s="136">
        <f t="shared" si="726"/>
        <v>0</v>
      </c>
      <c r="CC475" s="136">
        <f t="shared" si="727"/>
        <v>0</v>
      </c>
      <c r="CD475" s="135">
        <f t="shared" si="728"/>
        <v>0</v>
      </c>
      <c r="CE475" s="135">
        <f t="shared" si="729"/>
        <v>0</v>
      </c>
      <c r="CF475" s="134">
        <f t="shared" si="730"/>
        <v>0</v>
      </c>
      <c r="CG475" s="134">
        <f t="shared" si="731"/>
        <v>0</v>
      </c>
      <c r="CH475" s="133" t="e">
        <f t="shared" si="732"/>
        <v>#DIV/0!</v>
      </c>
    </row>
    <row r="476" spans="1:88" s="121" customFormat="1">
      <c r="A476" s="125">
        <f t="shared" si="720"/>
        <v>0</v>
      </c>
      <c r="B476" s="138" t="s">
        <v>187</v>
      </c>
      <c r="D476" s="121" t="s">
        <v>197</v>
      </c>
      <c r="F476" s="115"/>
      <c r="G476" s="120"/>
      <c r="H476" s="120"/>
      <c r="K476" s="121" t="s">
        <v>187</v>
      </c>
      <c r="M476" s="129"/>
      <c r="N476" s="121" t="s">
        <v>284</v>
      </c>
      <c r="O476" s="121" t="s">
        <v>264</v>
      </c>
      <c r="Q476" s="122">
        <f>3136*2.4</f>
        <v>7526.4</v>
      </c>
      <c r="R476" s="122"/>
      <c r="S476" s="122">
        <v>7500</v>
      </c>
      <c r="T476" s="122"/>
      <c r="BD476" s="120">
        <f t="shared" si="721"/>
        <v>0</v>
      </c>
      <c r="BE476" s="120">
        <f t="shared" si="722"/>
        <v>0</v>
      </c>
      <c r="BF476" s="137">
        <f t="shared" si="723"/>
        <v>0</v>
      </c>
      <c r="BG476" s="120"/>
      <c r="BH476" s="120"/>
      <c r="BI476" s="120"/>
      <c r="BJ476" s="120"/>
      <c r="BK476" s="120"/>
      <c r="BL476" s="120"/>
      <c r="BM476" s="120"/>
      <c r="BN476" s="120"/>
      <c r="BO476" s="120"/>
      <c r="BP476" s="120"/>
      <c r="BQ476" s="124"/>
      <c r="BR476" s="120"/>
      <c r="BS476" s="120"/>
      <c r="BT476" s="120"/>
      <c r="BU476" s="120"/>
      <c r="BV476" s="120"/>
      <c r="BW476" s="120"/>
      <c r="BZ476" s="136">
        <f t="shared" si="724"/>
        <v>0</v>
      </c>
      <c r="CA476" s="136">
        <f t="shared" si="725"/>
        <v>0</v>
      </c>
      <c r="CB476" s="136">
        <f t="shared" si="726"/>
        <v>0</v>
      </c>
      <c r="CC476" s="136">
        <f t="shared" si="727"/>
        <v>0</v>
      </c>
      <c r="CD476" s="135">
        <f t="shared" si="728"/>
        <v>0</v>
      </c>
      <c r="CE476" s="135">
        <f t="shared" si="729"/>
        <v>0</v>
      </c>
      <c r="CF476" s="134">
        <f t="shared" si="730"/>
        <v>0</v>
      </c>
      <c r="CG476" s="134">
        <f t="shared" si="731"/>
        <v>0</v>
      </c>
      <c r="CH476" s="133" t="e">
        <f t="shared" si="732"/>
        <v>#DIV/0!</v>
      </c>
    </row>
    <row r="477" spans="1:88" s="121" customFormat="1">
      <c r="A477" s="125">
        <f t="shared" si="720"/>
        <v>0</v>
      </c>
      <c r="B477" s="138" t="s">
        <v>187</v>
      </c>
      <c r="D477" s="121" t="s">
        <v>197</v>
      </c>
      <c r="K477" s="121" t="s">
        <v>187</v>
      </c>
      <c r="M477" s="123"/>
      <c r="N477" s="121" t="s">
        <v>226</v>
      </c>
      <c r="O477" s="121" t="s">
        <v>227</v>
      </c>
      <c r="Q477" s="122">
        <f>3100*2.4</f>
        <v>7440</v>
      </c>
      <c r="R477" s="122"/>
      <c r="S477" s="122">
        <v>7500</v>
      </c>
      <c r="T477" s="122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0">
        <f t="shared" si="721"/>
        <v>0</v>
      </c>
      <c r="BE477" s="120">
        <f t="shared" si="722"/>
        <v>0</v>
      </c>
      <c r="BF477" s="137">
        <f t="shared" si="723"/>
        <v>0</v>
      </c>
      <c r="BG477" s="120"/>
      <c r="BH477" s="120"/>
      <c r="BI477" s="120"/>
      <c r="BJ477" s="120"/>
      <c r="BK477" s="120"/>
      <c r="BL477" s="120"/>
      <c r="BM477" s="120"/>
      <c r="BN477" s="120"/>
      <c r="BO477" s="120"/>
      <c r="BP477" s="120"/>
      <c r="BQ477" s="124"/>
      <c r="BR477" s="120"/>
      <c r="BS477" s="120"/>
      <c r="BT477" s="120"/>
      <c r="BU477" s="120"/>
      <c r="BV477" s="120"/>
      <c r="BW477" s="120"/>
      <c r="BZ477" s="136">
        <f t="shared" si="724"/>
        <v>0</v>
      </c>
      <c r="CA477" s="136">
        <f t="shared" si="725"/>
        <v>0</v>
      </c>
      <c r="CB477" s="136">
        <f t="shared" si="726"/>
        <v>0</v>
      </c>
      <c r="CC477" s="136">
        <f t="shared" si="727"/>
        <v>0</v>
      </c>
      <c r="CD477" s="135">
        <f t="shared" si="728"/>
        <v>0</v>
      </c>
      <c r="CE477" s="135">
        <f t="shared" si="729"/>
        <v>0</v>
      </c>
      <c r="CF477" s="134">
        <f t="shared" si="730"/>
        <v>0</v>
      </c>
      <c r="CG477" s="134">
        <f t="shared" si="731"/>
        <v>0</v>
      </c>
      <c r="CH477" s="133" t="e">
        <f t="shared" si="732"/>
        <v>#DIV/0!</v>
      </c>
    </row>
    <row r="478" spans="1:88">
      <c r="A478" s="125">
        <f t="shared" si="720"/>
        <v>0</v>
      </c>
      <c r="B478" s="138" t="s">
        <v>187</v>
      </c>
      <c r="C478" s="121"/>
      <c r="D478" s="121" t="s">
        <v>215</v>
      </c>
      <c r="E478" s="121"/>
      <c r="F478" s="121"/>
      <c r="G478" s="121"/>
      <c r="H478" s="121"/>
      <c r="I478" s="121"/>
      <c r="J478" s="121"/>
      <c r="K478" s="121" t="s">
        <v>187</v>
      </c>
      <c r="L478" s="121"/>
      <c r="M478" s="123"/>
      <c r="N478" s="121" t="s">
        <v>422</v>
      </c>
      <c r="O478" s="121" t="s">
        <v>423</v>
      </c>
      <c r="P478" s="121"/>
      <c r="Q478" s="122">
        <f>3156*2.4</f>
        <v>7574.4</v>
      </c>
      <c r="R478" s="122"/>
      <c r="S478" s="122">
        <v>7500</v>
      </c>
      <c r="T478" s="122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/>
      <c r="AP478" s="121"/>
      <c r="AQ478" s="121"/>
      <c r="AR478" s="121"/>
      <c r="AS478" s="121"/>
      <c r="AT478" s="121"/>
      <c r="AU478" s="121"/>
      <c r="AV478" s="121"/>
      <c r="AW478" s="121"/>
      <c r="AX478" s="121"/>
      <c r="AY478" s="121"/>
      <c r="AZ478" s="121"/>
      <c r="BA478" s="121"/>
      <c r="BB478" s="121"/>
      <c r="BC478" s="121"/>
      <c r="BD478" s="120">
        <f t="shared" si="721"/>
        <v>0</v>
      </c>
      <c r="BE478" s="120">
        <f t="shared" si="722"/>
        <v>0</v>
      </c>
      <c r="BF478" s="137">
        <f t="shared" si="723"/>
        <v>0</v>
      </c>
      <c r="BG478" s="120"/>
      <c r="BH478" s="120"/>
      <c r="BI478" s="120"/>
      <c r="BJ478" s="120"/>
      <c r="BK478" s="120"/>
      <c r="BL478" s="120"/>
      <c r="BM478" s="120"/>
      <c r="BN478" s="120"/>
      <c r="BO478" s="120"/>
      <c r="BP478" s="120"/>
      <c r="BQ478" s="124"/>
      <c r="BR478" s="120"/>
      <c r="BS478" s="120"/>
      <c r="BT478" s="120"/>
      <c r="BU478" s="120"/>
      <c r="BV478" s="120"/>
      <c r="BW478" s="120"/>
      <c r="BX478" s="121"/>
      <c r="BY478" s="121"/>
      <c r="BZ478" s="136">
        <f t="shared" si="724"/>
        <v>0</v>
      </c>
      <c r="CA478" s="136">
        <f t="shared" si="725"/>
        <v>0</v>
      </c>
      <c r="CB478" s="136">
        <f t="shared" si="726"/>
        <v>0</v>
      </c>
      <c r="CC478" s="136">
        <f t="shared" si="727"/>
        <v>0</v>
      </c>
      <c r="CD478" s="135">
        <f t="shared" si="728"/>
        <v>0</v>
      </c>
      <c r="CE478" s="135">
        <f t="shared" si="729"/>
        <v>0</v>
      </c>
      <c r="CF478" s="134">
        <f t="shared" si="730"/>
        <v>0</v>
      </c>
      <c r="CG478" s="134">
        <f t="shared" si="731"/>
        <v>0</v>
      </c>
      <c r="CH478" s="133" t="e">
        <f t="shared" si="732"/>
        <v>#DIV/0!</v>
      </c>
      <c r="CI478" s="128"/>
    </row>
    <row r="479" spans="1:88" s="128" customFormat="1">
      <c r="A479" s="125">
        <f t="shared" si="720"/>
        <v>0</v>
      </c>
      <c r="B479" s="138" t="s">
        <v>187</v>
      </c>
      <c r="C479" s="121"/>
      <c r="D479" s="121" t="s">
        <v>197</v>
      </c>
      <c r="E479" s="121"/>
      <c r="F479" s="121"/>
      <c r="G479" s="121"/>
      <c r="H479" s="121"/>
      <c r="I479" s="121"/>
      <c r="J479" s="121"/>
      <c r="K479" s="121" t="s">
        <v>187</v>
      </c>
      <c r="L479" s="121"/>
      <c r="M479" s="123"/>
      <c r="N479" s="121" t="s">
        <v>280</v>
      </c>
      <c r="O479" s="121" t="s">
        <v>281</v>
      </c>
      <c r="P479" s="121"/>
      <c r="Q479" s="122">
        <f>3102*2.4</f>
        <v>7444.7999999999993</v>
      </c>
      <c r="R479" s="122"/>
      <c r="S479" s="122">
        <v>7500</v>
      </c>
      <c r="T479" s="122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  <c r="AP479" s="121"/>
      <c r="AQ479" s="121"/>
      <c r="AR479" s="121"/>
      <c r="AS479" s="121"/>
      <c r="AT479" s="121"/>
      <c r="AU479" s="121"/>
      <c r="AV479" s="121"/>
      <c r="AW479" s="121"/>
      <c r="AX479" s="121"/>
      <c r="AY479" s="121"/>
      <c r="AZ479" s="121"/>
      <c r="BA479" s="121"/>
      <c r="BB479" s="121"/>
      <c r="BC479" s="121"/>
      <c r="BD479" s="120">
        <f t="shared" si="721"/>
        <v>0</v>
      </c>
      <c r="BE479" s="120">
        <f t="shared" si="722"/>
        <v>0</v>
      </c>
      <c r="BF479" s="137">
        <f t="shared" si="723"/>
        <v>0</v>
      </c>
      <c r="BG479" s="120"/>
      <c r="BH479" s="120"/>
      <c r="BI479" s="120"/>
      <c r="BJ479" s="120"/>
      <c r="BK479" s="120"/>
      <c r="BL479" s="120"/>
      <c r="BM479" s="120"/>
      <c r="BN479" s="120"/>
      <c r="BO479" s="120"/>
      <c r="BP479" s="120"/>
      <c r="BQ479" s="124"/>
      <c r="BR479" s="120"/>
      <c r="BS479" s="120"/>
      <c r="BT479" s="120"/>
      <c r="BU479" s="120"/>
      <c r="BV479" s="120"/>
      <c r="BW479" s="120"/>
      <c r="BX479" s="121"/>
      <c r="BY479" s="121"/>
      <c r="BZ479" s="136">
        <f t="shared" si="724"/>
        <v>0</v>
      </c>
      <c r="CA479" s="136">
        <f t="shared" si="725"/>
        <v>0</v>
      </c>
      <c r="CB479" s="136">
        <f t="shared" si="726"/>
        <v>0</v>
      </c>
      <c r="CC479" s="136">
        <f t="shared" si="727"/>
        <v>0</v>
      </c>
      <c r="CD479" s="135">
        <f t="shared" si="728"/>
        <v>0</v>
      </c>
      <c r="CE479" s="135">
        <f t="shared" si="729"/>
        <v>0</v>
      </c>
      <c r="CF479" s="134">
        <f t="shared" si="730"/>
        <v>0</v>
      </c>
      <c r="CG479" s="134">
        <f t="shared" si="731"/>
        <v>0</v>
      </c>
      <c r="CH479" s="133" t="e">
        <f t="shared" si="732"/>
        <v>#DIV/0!</v>
      </c>
      <c r="CI479" s="121"/>
      <c r="CJ479" s="121"/>
    </row>
    <row r="480" spans="1:88" s="128" customFormat="1">
      <c r="A480" s="125">
        <f t="shared" si="720"/>
        <v>0</v>
      </c>
      <c r="B480" s="138" t="s">
        <v>187</v>
      </c>
      <c r="C480" s="121"/>
      <c r="D480" s="121" t="s">
        <v>197</v>
      </c>
      <c r="E480" s="121"/>
      <c r="F480" s="121"/>
      <c r="G480" s="121"/>
      <c r="H480" s="121"/>
      <c r="I480" s="121"/>
      <c r="J480" s="121"/>
      <c r="K480" s="121" t="s">
        <v>187</v>
      </c>
      <c r="L480" s="121"/>
      <c r="M480" s="129"/>
      <c r="N480" s="121" t="s">
        <v>319</v>
      </c>
      <c r="O480" s="121" t="s">
        <v>320</v>
      </c>
      <c r="P480" s="121"/>
      <c r="Q480" s="122">
        <f>3136*2.4</f>
        <v>7526.4</v>
      </c>
      <c r="R480" s="122"/>
      <c r="S480" s="122">
        <v>7500</v>
      </c>
      <c r="T480" s="122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  <c r="AL480" s="121"/>
      <c r="AM480" s="121"/>
      <c r="AN480" s="121"/>
      <c r="AO480" s="121"/>
      <c r="AP480" s="121"/>
      <c r="AQ480" s="121"/>
      <c r="AR480" s="121"/>
      <c r="AS480" s="121"/>
      <c r="AT480" s="121"/>
      <c r="AU480" s="121"/>
      <c r="AV480" s="121"/>
      <c r="AW480" s="121"/>
      <c r="AX480" s="121"/>
      <c r="AY480" s="121"/>
      <c r="AZ480" s="121"/>
      <c r="BA480" s="121"/>
      <c r="BB480" s="121"/>
      <c r="BC480" s="121"/>
      <c r="BD480" s="120">
        <f t="shared" si="721"/>
        <v>0</v>
      </c>
      <c r="BE480" s="120">
        <f t="shared" si="722"/>
        <v>0</v>
      </c>
      <c r="BF480" s="137">
        <f t="shared" si="723"/>
        <v>0</v>
      </c>
      <c r="BG480" s="120"/>
      <c r="BH480" s="120"/>
      <c r="BI480" s="120"/>
      <c r="BJ480" s="120"/>
      <c r="BK480" s="120"/>
      <c r="BL480" s="120"/>
      <c r="BM480" s="120"/>
      <c r="BN480" s="120"/>
      <c r="BO480" s="120"/>
      <c r="BP480" s="120"/>
      <c r="BQ480" s="124"/>
      <c r="BR480" s="120"/>
      <c r="BS480" s="120"/>
      <c r="BT480" s="120"/>
      <c r="BU480" s="120"/>
      <c r="BV480" s="120"/>
      <c r="BW480" s="120"/>
      <c r="BX480" s="121"/>
      <c r="BY480" s="121"/>
      <c r="BZ480" s="136">
        <f t="shared" si="724"/>
        <v>0</v>
      </c>
      <c r="CA480" s="136">
        <f t="shared" si="725"/>
        <v>0</v>
      </c>
      <c r="CB480" s="136">
        <f t="shared" si="726"/>
        <v>0</v>
      </c>
      <c r="CC480" s="136">
        <f t="shared" si="727"/>
        <v>0</v>
      </c>
      <c r="CD480" s="135">
        <f t="shared" si="728"/>
        <v>0</v>
      </c>
      <c r="CE480" s="135">
        <f t="shared" si="729"/>
        <v>0</v>
      </c>
      <c r="CF480" s="134">
        <f t="shared" si="730"/>
        <v>0</v>
      </c>
      <c r="CG480" s="134">
        <f t="shared" si="731"/>
        <v>0</v>
      </c>
      <c r="CH480" s="133" t="e">
        <f t="shared" si="732"/>
        <v>#DIV/0!</v>
      </c>
      <c r="CI480" s="121"/>
      <c r="CJ480" s="121"/>
    </row>
    <row r="481" spans="1:88" s="121" customFormat="1">
      <c r="A481" s="125">
        <f t="shared" si="720"/>
        <v>0</v>
      </c>
      <c r="B481" s="138" t="s">
        <v>187</v>
      </c>
      <c r="D481" s="121" t="s">
        <v>197</v>
      </c>
      <c r="K481" s="121" t="s">
        <v>187</v>
      </c>
      <c r="M481" s="123"/>
      <c r="N481" s="121" t="s">
        <v>327</v>
      </c>
      <c r="O481" s="121" t="s">
        <v>328</v>
      </c>
      <c r="Q481" s="122">
        <f>3143*2.4</f>
        <v>7543.2</v>
      </c>
      <c r="R481" s="122"/>
      <c r="S481" s="122">
        <v>7500</v>
      </c>
      <c r="T481" s="122"/>
      <c r="BD481" s="120">
        <f t="shared" si="721"/>
        <v>0</v>
      </c>
      <c r="BE481" s="120">
        <f t="shared" si="722"/>
        <v>0</v>
      </c>
      <c r="BF481" s="137">
        <f t="shared" si="723"/>
        <v>0</v>
      </c>
      <c r="BG481" s="120"/>
      <c r="BH481" s="120"/>
      <c r="BI481" s="120"/>
      <c r="BJ481" s="120"/>
      <c r="BK481" s="120"/>
      <c r="BL481" s="120"/>
      <c r="BM481" s="120"/>
      <c r="BN481" s="120"/>
      <c r="BO481" s="120"/>
      <c r="BP481" s="120"/>
      <c r="BQ481" s="124"/>
      <c r="BR481" s="120"/>
      <c r="BS481" s="120"/>
      <c r="BT481" s="120"/>
      <c r="BU481" s="120"/>
      <c r="BV481" s="120"/>
      <c r="BW481" s="120"/>
      <c r="BZ481" s="136">
        <f t="shared" si="724"/>
        <v>0</v>
      </c>
      <c r="CA481" s="136">
        <f t="shared" si="725"/>
        <v>0</v>
      </c>
      <c r="CB481" s="136">
        <f t="shared" si="726"/>
        <v>0</v>
      </c>
      <c r="CC481" s="136">
        <f t="shared" si="727"/>
        <v>0</v>
      </c>
      <c r="CD481" s="135">
        <f t="shared" si="728"/>
        <v>0</v>
      </c>
      <c r="CE481" s="135">
        <f t="shared" si="729"/>
        <v>0</v>
      </c>
      <c r="CF481" s="134">
        <f t="shared" si="730"/>
        <v>0</v>
      </c>
      <c r="CG481" s="134">
        <f t="shared" si="731"/>
        <v>0</v>
      </c>
      <c r="CH481" s="133" t="e">
        <f t="shared" si="732"/>
        <v>#DIV/0!</v>
      </c>
      <c r="CI481" s="128"/>
    </row>
    <row r="482" spans="1:88" s="121" customFormat="1">
      <c r="A482" s="125">
        <f t="shared" si="720"/>
        <v>0</v>
      </c>
      <c r="B482" s="138" t="s">
        <v>187</v>
      </c>
      <c r="D482" s="121" t="s">
        <v>197</v>
      </c>
      <c r="K482" s="121" t="s">
        <v>187</v>
      </c>
      <c r="M482" s="123"/>
      <c r="N482" s="121" t="s">
        <v>314</v>
      </c>
      <c r="O482" s="121" t="s">
        <v>315</v>
      </c>
      <c r="Q482" s="122">
        <f>3146*2.4</f>
        <v>7550.4</v>
      </c>
      <c r="R482" s="122"/>
      <c r="S482" s="122">
        <v>7500</v>
      </c>
      <c r="T482" s="131"/>
      <c r="BD482" s="120">
        <f t="shared" si="721"/>
        <v>0</v>
      </c>
      <c r="BE482" s="120">
        <f t="shared" si="722"/>
        <v>0</v>
      </c>
      <c r="BF482" s="137">
        <f t="shared" si="723"/>
        <v>0</v>
      </c>
      <c r="BG482" s="120"/>
      <c r="BH482" s="120"/>
      <c r="BI482" s="120"/>
      <c r="BJ482" s="120"/>
      <c r="BK482" s="120"/>
      <c r="BL482" s="120"/>
      <c r="BM482" s="120"/>
      <c r="BN482" s="120"/>
      <c r="BO482" s="120"/>
      <c r="BP482" s="120"/>
      <c r="BQ482" s="124"/>
      <c r="BR482" s="120"/>
      <c r="BS482" s="120"/>
      <c r="BT482" s="120"/>
      <c r="BU482" s="120"/>
      <c r="BV482" s="120"/>
      <c r="BW482" s="120"/>
      <c r="BZ482" s="136">
        <f t="shared" si="724"/>
        <v>0</v>
      </c>
      <c r="CA482" s="136">
        <f t="shared" si="725"/>
        <v>0</v>
      </c>
      <c r="CB482" s="136">
        <f t="shared" si="726"/>
        <v>0</v>
      </c>
      <c r="CC482" s="136">
        <f t="shared" si="727"/>
        <v>0</v>
      </c>
      <c r="CD482" s="135">
        <f t="shared" si="728"/>
        <v>0</v>
      </c>
      <c r="CE482" s="135">
        <f t="shared" si="729"/>
        <v>0</v>
      </c>
      <c r="CF482" s="134">
        <f t="shared" si="730"/>
        <v>0</v>
      </c>
      <c r="CG482" s="134">
        <f t="shared" si="731"/>
        <v>0</v>
      </c>
      <c r="CH482" s="133" t="e">
        <f t="shared" si="732"/>
        <v>#DIV/0!</v>
      </c>
      <c r="CI482" s="115"/>
    </row>
    <row r="483" spans="1:88">
      <c r="A483" s="125">
        <f t="shared" si="720"/>
        <v>0</v>
      </c>
      <c r="B483" s="138" t="s">
        <v>187</v>
      </c>
      <c r="C483" s="121"/>
      <c r="D483" s="121" t="s">
        <v>197</v>
      </c>
      <c r="E483" s="121"/>
      <c r="F483" s="121"/>
      <c r="G483" s="121"/>
      <c r="H483" s="121"/>
      <c r="I483" s="121"/>
      <c r="J483" s="121"/>
      <c r="K483" s="121" t="s">
        <v>187</v>
      </c>
      <c r="L483" s="121"/>
      <c r="M483" s="123"/>
      <c r="N483" s="121" t="s">
        <v>330</v>
      </c>
      <c r="O483" s="121" t="s">
        <v>320</v>
      </c>
      <c r="P483" s="121"/>
      <c r="Q483" s="122">
        <f>3136*2.4</f>
        <v>7526.4</v>
      </c>
      <c r="R483" s="122"/>
      <c r="S483" s="122">
        <v>7500</v>
      </c>
      <c r="T483" s="122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  <c r="AL483" s="121"/>
      <c r="AM483" s="121"/>
      <c r="AN483" s="121"/>
      <c r="AO483" s="121"/>
      <c r="AP483" s="121"/>
      <c r="AQ483" s="121"/>
      <c r="AR483" s="121"/>
      <c r="AS483" s="121"/>
      <c r="AT483" s="121"/>
      <c r="AU483" s="121"/>
      <c r="AV483" s="121"/>
      <c r="AW483" s="121"/>
      <c r="AX483" s="121"/>
      <c r="AY483" s="121"/>
      <c r="AZ483" s="121"/>
      <c r="BA483" s="121"/>
      <c r="BB483" s="121"/>
      <c r="BC483" s="121"/>
      <c r="BD483" s="120">
        <f t="shared" si="721"/>
        <v>0</v>
      </c>
      <c r="BE483" s="120">
        <f t="shared" si="722"/>
        <v>0</v>
      </c>
      <c r="BF483" s="137">
        <f t="shared" si="723"/>
        <v>0</v>
      </c>
      <c r="BG483" s="120"/>
      <c r="BH483" s="120"/>
      <c r="BI483" s="120"/>
      <c r="BJ483" s="120"/>
      <c r="BK483" s="120"/>
      <c r="BL483" s="120"/>
      <c r="BM483" s="120"/>
      <c r="BN483" s="120"/>
      <c r="BO483" s="120"/>
      <c r="BP483" s="120"/>
      <c r="BQ483" s="124"/>
      <c r="BR483" s="120"/>
      <c r="BS483" s="120"/>
      <c r="BT483" s="120"/>
      <c r="BU483" s="120"/>
      <c r="BV483" s="120"/>
      <c r="BW483" s="120"/>
      <c r="BX483" s="121"/>
      <c r="BY483" s="121"/>
      <c r="BZ483" s="136">
        <f t="shared" si="724"/>
        <v>0</v>
      </c>
      <c r="CA483" s="136">
        <f t="shared" si="725"/>
        <v>0</v>
      </c>
      <c r="CB483" s="136">
        <f t="shared" si="726"/>
        <v>0</v>
      </c>
      <c r="CC483" s="136">
        <f t="shared" si="727"/>
        <v>0</v>
      </c>
      <c r="CD483" s="135">
        <f t="shared" si="728"/>
        <v>0</v>
      </c>
      <c r="CE483" s="135">
        <f t="shared" si="729"/>
        <v>0</v>
      </c>
      <c r="CF483" s="134">
        <f t="shared" si="730"/>
        <v>0</v>
      </c>
      <c r="CG483" s="134">
        <f t="shared" si="731"/>
        <v>0</v>
      </c>
      <c r="CH483" s="133" t="e">
        <f t="shared" si="732"/>
        <v>#DIV/0!</v>
      </c>
      <c r="CI483" s="121"/>
      <c r="CJ483" s="121"/>
    </row>
    <row r="484" spans="1:88" s="121" customFormat="1">
      <c r="A484" s="125">
        <f t="shared" si="720"/>
        <v>0</v>
      </c>
      <c r="B484" s="138" t="s">
        <v>187</v>
      </c>
      <c r="D484" s="121" t="s">
        <v>197</v>
      </c>
      <c r="K484" s="121" t="s">
        <v>187</v>
      </c>
      <c r="M484" s="129"/>
      <c r="N484" s="121" t="s">
        <v>319</v>
      </c>
      <c r="O484" s="121" t="s">
        <v>331</v>
      </c>
      <c r="Q484" s="122">
        <f>3136*2.4</f>
        <v>7526.4</v>
      </c>
      <c r="R484" s="122"/>
      <c r="S484" s="122">
        <v>7500</v>
      </c>
      <c r="T484" s="122"/>
      <c r="BD484" s="120">
        <f t="shared" si="721"/>
        <v>0</v>
      </c>
      <c r="BE484" s="120">
        <f t="shared" si="722"/>
        <v>0</v>
      </c>
      <c r="BF484" s="137">
        <f t="shared" si="723"/>
        <v>0</v>
      </c>
      <c r="BG484" s="120"/>
      <c r="BH484" s="120"/>
      <c r="BI484" s="120"/>
      <c r="BJ484" s="120"/>
      <c r="BK484" s="120"/>
      <c r="BL484" s="120"/>
      <c r="BM484" s="120"/>
      <c r="BN484" s="120"/>
      <c r="BO484" s="120"/>
      <c r="BP484" s="120"/>
      <c r="BQ484" s="124"/>
      <c r="BR484" s="120"/>
      <c r="BS484" s="120"/>
      <c r="BT484" s="120"/>
      <c r="BU484" s="120"/>
      <c r="BV484" s="120"/>
      <c r="BW484" s="120"/>
      <c r="BZ484" s="136">
        <f t="shared" si="724"/>
        <v>0</v>
      </c>
      <c r="CA484" s="136">
        <f t="shared" si="725"/>
        <v>0</v>
      </c>
      <c r="CB484" s="136">
        <f t="shared" si="726"/>
        <v>0</v>
      </c>
      <c r="CC484" s="136">
        <f t="shared" si="727"/>
        <v>0</v>
      </c>
      <c r="CD484" s="135">
        <f t="shared" si="728"/>
        <v>0</v>
      </c>
      <c r="CE484" s="135">
        <f t="shared" si="729"/>
        <v>0</v>
      </c>
      <c r="CF484" s="134">
        <f t="shared" si="730"/>
        <v>0</v>
      </c>
      <c r="CG484" s="134">
        <f t="shared" si="731"/>
        <v>0</v>
      </c>
      <c r="CH484" s="133" t="e">
        <f t="shared" si="732"/>
        <v>#DIV/0!</v>
      </c>
    </row>
    <row r="485" spans="1:88" s="121" customFormat="1">
      <c r="A485" s="125">
        <f t="shared" si="720"/>
        <v>0</v>
      </c>
      <c r="B485" s="138" t="s">
        <v>187</v>
      </c>
      <c r="D485" s="121" t="s">
        <v>197</v>
      </c>
      <c r="K485" s="121" t="s">
        <v>187</v>
      </c>
      <c r="M485" s="123"/>
      <c r="N485" s="121" t="s">
        <v>314</v>
      </c>
      <c r="O485" s="121" t="s">
        <v>315</v>
      </c>
      <c r="Q485" s="122">
        <f>3146*2.4</f>
        <v>7550.4</v>
      </c>
      <c r="R485" s="122"/>
      <c r="S485" s="122">
        <v>7500</v>
      </c>
      <c r="T485" s="122"/>
      <c r="BD485" s="120">
        <f t="shared" si="721"/>
        <v>0</v>
      </c>
      <c r="BE485" s="120">
        <f t="shared" si="722"/>
        <v>0</v>
      </c>
      <c r="BF485" s="137">
        <f t="shared" si="723"/>
        <v>0</v>
      </c>
      <c r="BG485" s="120"/>
      <c r="BH485" s="120"/>
      <c r="BI485" s="120"/>
      <c r="BJ485" s="120"/>
      <c r="BK485" s="120"/>
      <c r="BL485" s="120"/>
      <c r="BM485" s="120"/>
      <c r="BN485" s="120"/>
      <c r="BO485" s="120"/>
      <c r="BP485" s="120"/>
      <c r="BQ485" s="124"/>
      <c r="BR485" s="120"/>
      <c r="BS485" s="120"/>
      <c r="BT485" s="120"/>
      <c r="BU485" s="120"/>
      <c r="BV485" s="120"/>
      <c r="BW485" s="120"/>
      <c r="BZ485" s="136">
        <f t="shared" si="724"/>
        <v>0</v>
      </c>
      <c r="CA485" s="136">
        <f t="shared" si="725"/>
        <v>0</v>
      </c>
      <c r="CB485" s="136">
        <f t="shared" si="726"/>
        <v>0</v>
      </c>
      <c r="CC485" s="136">
        <f t="shared" si="727"/>
        <v>0</v>
      </c>
      <c r="CD485" s="135">
        <f t="shared" si="728"/>
        <v>0</v>
      </c>
      <c r="CE485" s="135">
        <f t="shared" si="729"/>
        <v>0</v>
      </c>
      <c r="CF485" s="134">
        <f t="shared" si="730"/>
        <v>0</v>
      </c>
      <c r="CG485" s="134">
        <f t="shared" si="731"/>
        <v>0</v>
      </c>
      <c r="CH485" s="133" t="e">
        <f t="shared" si="732"/>
        <v>#DIV/0!</v>
      </c>
    </row>
    <row r="486" spans="1:88" s="121" customFormat="1">
      <c r="A486" s="125">
        <f t="shared" si="720"/>
        <v>0</v>
      </c>
      <c r="B486" s="138" t="s">
        <v>187</v>
      </c>
      <c r="D486" s="121" t="s">
        <v>197</v>
      </c>
      <c r="K486" s="121" t="s">
        <v>187</v>
      </c>
      <c r="M486" s="123"/>
      <c r="N486" s="121" t="s">
        <v>4120</v>
      </c>
      <c r="O486" s="121" t="s">
        <v>4121</v>
      </c>
      <c r="Q486" s="122">
        <f>3136*2.4</f>
        <v>7526.4</v>
      </c>
      <c r="R486" s="122"/>
      <c r="S486" s="122">
        <v>7500</v>
      </c>
      <c r="T486" s="122"/>
      <c r="BD486" s="120">
        <f t="shared" si="721"/>
        <v>0</v>
      </c>
      <c r="BE486" s="120">
        <f t="shared" si="722"/>
        <v>0</v>
      </c>
      <c r="BF486" s="137">
        <f t="shared" si="723"/>
        <v>0</v>
      </c>
      <c r="BG486" s="120"/>
      <c r="BH486" s="120"/>
      <c r="BI486" s="120"/>
      <c r="BJ486" s="120"/>
      <c r="BK486" s="120"/>
      <c r="BL486" s="120"/>
      <c r="BM486" s="120"/>
      <c r="BN486" s="120"/>
      <c r="BO486" s="120"/>
      <c r="BP486" s="120"/>
      <c r="BQ486" s="124"/>
      <c r="BR486" s="120"/>
      <c r="BS486" s="120"/>
      <c r="BT486" s="120"/>
      <c r="BU486" s="120"/>
      <c r="BV486" s="120"/>
      <c r="BW486" s="120"/>
      <c r="BZ486" s="136">
        <f t="shared" si="724"/>
        <v>0</v>
      </c>
      <c r="CA486" s="136">
        <f t="shared" si="725"/>
        <v>0</v>
      </c>
      <c r="CB486" s="136">
        <f t="shared" si="726"/>
        <v>0</v>
      </c>
      <c r="CC486" s="136">
        <f t="shared" si="727"/>
        <v>0</v>
      </c>
      <c r="CD486" s="135">
        <f t="shared" si="728"/>
        <v>0</v>
      </c>
      <c r="CE486" s="135">
        <f t="shared" si="729"/>
        <v>0</v>
      </c>
      <c r="CF486" s="134">
        <f t="shared" si="730"/>
        <v>0</v>
      </c>
      <c r="CG486" s="134">
        <f t="shared" si="731"/>
        <v>0</v>
      </c>
      <c r="CH486" s="133" t="e">
        <f t="shared" si="732"/>
        <v>#DIV/0!</v>
      </c>
    </row>
    <row r="487" spans="1:88" s="121" customFormat="1">
      <c r="A487" s="125">
        <f t="shared" si="720"/>
        <v>0</v>
      </c>
      <c r="B487" s="138" t="s">
        <v>187</v>
      </c>
      <c r="D487" s="121" t="s">
        <v>197</v>
      </c>
      <c r="F487" s="115"/>
      <c r="G487" s="120"/>
      <c r="H487" s="120"/>
      <c r="K487" s="121" t="s">
        <v>187</v>
      </c>
      <c r="M487" s="123"/>
      <c r="N487" s="121" t="s">
        <v>1799</v>
      </c>
      <c r="O487" s="121" t="s">
        <v>214</v>
      </c>
      <c r="Q487" s="122">
        <f>3113*2.4</f>
        <v>7471.2</v>
      </c>
      <c r="R487" s="122"/>
      <c r="S487" s="122">
        <v>7500</v>
      </c>
      <c r="T487" s="122"/>
      <c r="BD487" s="120">
        <f t="shared" si="721"/>
        <v>0</v>
      </c>
      <c r="BE487" s="120">
        <f t="shared" si="722"/>
        <v>0</v>
      </c>
      <c r="BF487" s="137">
        <f t="shared" si="723"/>
        <v>0</v>
      </c>
      <c r="BG487" s="120"/>
      <c r="BH487" s="120"/>
      <c r="BI487" s="120"/>
      <c r="BJ487" s="120"/>
      <c r="BK487" s="120"/>
      <c r="BL487" s="120"/>
      <c r="BM487" s="120"/>
      <c r="BN487" s="120"/>
      <c r="BO487" s="120"/>
      <c r="BP487" s="120"/>
      <c r="BQ487" s="124"/>
      <c r="BR487" s="120"/>
      <c r="BS487" s="120"/>
      <c r="BT487" s="120"/>
      <c r="BU487" s="120"/>
      <c r="BV487" s="120"/>
      <c r="BW487" s="120"/>
      <c r="BZ487" s="136">
        <f t="shared" si="724"/>
        <v>0</v>
      </c>
      <c r="CA487" s="136">
        <f t="shared" si="725"/>
        <v>0</v>
      </c>
      <c r="CB487" s="136">
        <f t="shared" si="726"/>
        <v>0</v>
      </c>
      <c r="CC487" s="136">
        <f t="shared" si="727"/>
        <v>0</v>
      </c>
      <c r="CD487" s="135">
        <f t="shared" si="728"/>
        <v>0</v>
      </c>
      <c r="CE487" s="135">
        <f t="shared" si="729"/>
        <v>0</v>
      </c>
      <c r="CF487" s="134">
        <f t="shared" si="730"/>
        <v>0</v>
      </c>
      <c r="CG487" s="134">
        <f t="shared" si="731"/>
        <v>0</v>
      </c>
      <c r="CH487" s="133" t="e">
        <f t="shared" si="732"/>
        <v>#DIV/0!</v>
      </c>
      <c r="CI487" s="115"/>
    </row>
    <row r="488" spans="1:88" s="128" customFormat="1">
      <c r="A488" s="125">
        <f t="shared" si="720"/>
        <v>0</v>
      </c>
      <c r="B488" s="138" t="s">
        <v>187</v>
      </c>
      <c r="C488" s="121"/>
      <c r="D488" s="121" t="s">
        <v>197</v>
      </c>
      <c r="E488" s="121"/>
      <c r="F488" s="121"/>
      <c r="G488" s="121"/>
      <c r="H488" s="121"/>
      <c r="I488" s="121"/>
      <c r="J488" s="121"/>
      <c r="K488" s="121" t="s">
        <v>187</v>
      </c>
      <c r="L488" s="121"/>
      <c r="M488" s="123"/>
      <c r="N488" s="121" t="s">
        <v>257</v>
      </c>
      <c r="O488" s="121" t="s">
        <v>4122</v>
      </c>
      <c r="P488" s="121"/>
      <c r="Q488" s="122">
        <f>3136*2.4</f>
        <v>7526.4</v>
      </c>
      <c r="R488" s="122"/>
      <c r="S488" s="122">
        <v>7500</v>
      </c>
      <c r="T488" s="122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/>
      <c r="AP488" s="121"/>
      <c r="AQ488" s="121"/>
      <c r="AR488" s="121"/>
      <c r="AS488" s="121"/>
      <c r="AT488" s="121"/>
      <c r="AU488" s="121"/>
      <c r="AV488" s="121"/>
      <c r="AW488" s="121"/>
      <c r="AX488" s="121"/>
      <c r="AY488" s="121"/>
      <c r="AZ488" s="121"/>
      <c r="BA488" s="121"/>
      <c r="BB488" s="121"/>
      <c r="BC488" s="121"/>
      <c r="BD488" s="120">
        <f t="shared" si="721"/>
        <v>0</v>
      </c>
      <c r="BE488" s="120">
        <f t="shared" si="722"/>
        <v>0</v>
      </c>
      <c r="BF488" s="137">
        <f t="shared" si="723"/>
        <v>0</v>
      </c>
      <c r="BG488" s="120"/>
      <c r="BH488" s="120"/>
      <c r="BI488" s="120"/>
      <c r="BJ488" s="120"/>
      <c r="BK488" s="120"/>
      <c r="BL488" s="120"/>
      <c r="BM488" s="120"/>
      <c r="BN488" s="120"/>
      <c r="BO488" s="120"/>
      <c r="BP488" s="120"/>
      <c r="BQ488" s="124"/>
      <c r="BR488" s="120"/>
      <c r="BS488" s="120"/>
      <c r="BT488" s="120"/>
      <c r="BU488" s="120"/>
      <c r="BV488" s="120"/>
      <c r="BW488" s="120"/>
      <c r="BX488" s="121"/>
      <c r="BY488" s="121"/>
      <c r="BZ488" s="136">
        <f t="shared" si="724"/>
        <v>0</v>
      </c>
      <c r="CA488" s="136">
        <f t="shared" si="725"/>
        <v>0</v>
      </c>
      <c r="CB488" s="136">
        <f t="shared" si="726"/>
        <v>0</v>
      </c>
      <c r="CC488" s="136">
        <f t="shared" si="727"/>
        <v>0</v>
      </c>
      <c r="CD488" s="135">
        <f t="shared" si="728"/>
        <v>0</v>
      </c>
      <c r="CE488" s="135">
        <f t="shared" si="729"/>
        <v>0</v>
      </c>
      <c r="CF488" s="134">
        <f t="shared" si="730"/>
        <v>0</v>
      </c>
      <c r="CG488" s="134">
        <f t="shared" si="731"/>
        <v>0</v>
      </c>
      <c r="CH488" s="133" t="e">
        <f t="shared" si="732"/>
        <v>#DIV/0!</v>
      </c>
      <c r="CI488" s="121"/>
      <c r="CJ488" s="121"/>
    </row>
    <row r="489" spans="1:88" s="121" customFormat="1">
      <c r="A489" s="125">
        <f t="shared" si="720"/>
        <v>0</v>
      </c>
      <c r="B489" s="138" t="s">
        <v>187</v>
      </c>
      <c r="D489" s="121" t="s">
        <v>215</v>
      </c>
      <c r="K489" s="121" t="s">
        <v>187</v>
      </c>
      <c r="M489" s="123"/>
      <c r="N489" s="121" t="s">
        <v>485</v>
      </c>
      <c r="O489" s="121" t="s">
        <v>4123</v>
      </c>
      <c r="Q489" s="122">
        <f>3102*2.4</f>
        <v>7444.7999999999993</v>
      </c>
      <c r="R489" s="122"/>
      <c r="S489" s="122">
        <v>7500</v>
      </c>
      <c r="T489" s="122"/>
      <c r="Z489" s="128"/>
      <c r="AA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0">
        <f t="shared" si="721"/>
        <v>0</v>
      </c>
      <c r="BE489" s="120">
        <f t="shared" si="722"/>
        <v>0</v>
      </c>
      <c r="BF489" s="137">
        <f t="shared" si="723"/>
        <v>0</v>
      </c>
      <c r="BG489" s="120"/>
      <c r="BH489" s="120"/>
      <c r="BI489" s="120"/>
      <c r="BJ489" s="120"/>
      <c r="BK489" s="120"/>
      <c r="BL489" s="120"/>
      <c r="BM489" s="120"/>
      <c r="BN489" s="120"/>
      <c r="BO489" s="120"/>
      <c r="BP489" s="120"/>
      <c r="BQ489" s="124"/>
      <c r="BR489" s="120"/>
      <c r="BS489" s="120"/>
      <c r="BT489" s="120"/>
      <c r="BU489" s="120"/>
      <c r="BV489" s="120"/>
      <c r="BW489" s="120"/>
      <c r="BZ489" s="136">
        <f t="shared" si="724"/>
        <v>0</v>
      </c>
      <c r="CA489" s="136">
        <f t="shared" si="725"/>
        <v>0</v>
      </c>
      <c r="CB489" s="136">
        <f t="shared" si="726"/>
        <v>0</v>
      </c>
      <c r="CC489" s="136">
        <f t="shared" si="727"/>
        <v>0</v>
      </c>
      <c r="CD489" s="135">
        <f t="shared" si="728"/>
        <v>0</v>
      </c>
      <c r="CE489" s="135">
        <f t="shared" si="729"/>
        <v>0</v>
      </c>
      <c r="CF489" s="134">
        <f t="shared" si="730"/>
        <v>0</v>
      </c>
      <c r="CG489" s="134">
        <f t="shared" si="731"/>
        <v>0</v>
      </c>
      <c r="CH489" s="133" t="e">
        <f t="shared" si="732"/>
        <v>#DIV/0!</v>
      </c>
    </row>
    <row r="490" spans="1:88" s="128" customFormat="1">
      <c r="A490" s="125">
        <f t="shared" si="720"/>
        <v>0</v>
      </c>
      <c r="B490" s="138" t="s">
        <v>187</v>
      </c>
      <c r="C490" s="121"/>
      <c r="D490" s="121" t="s">
        <v>197</v>
      </c>
      <c r="E490" s="121"/>
      <c r="F490" s="121"/>
      <c r="G490" s="121"/>
      <c r="H490" s="121"/>
      <c r="I490" s="121"/>
      <c r="J490" s="121"/>
      <c r="K490" s="121" t="s">
        <v>187</v>
      </c>
      <c r="L490" s="121"/>
      <c r="M490" s="123"/>
      <c r="N490" s="121" t="s">
        <v>429</v>
      </c>
      <c r="O490" s="121" t="s">
        <v>4124</v>
      </c>
      <c r="P490" s="121"/>
      <c r="Q490" s="122">
        <f>3142 *2.4</f>
        <v>7540.7999999999993</v>
      </c>
      <c r="R490" s="122"/>
      <c r="S490" s="122">
        <v>7500</v>
      </c>
      <c r="T490" s="122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  <c r="AP490" s="121"/>
      <c r="AQ490" s="121"/>
      <c r="AR490" s="121"/>
      <c r="AS490" s="121"/>
      <c r="AT490" s="121"/>
      <c r="AU490" s="121"/>
      <c r="AV490" s="121"/>
      <c r="AW490" s="121"/>
      <c r="AX490" s="121"/>
      <c r="AY490" s="121"/>
      <c r="AZ490" s="121"/>
      <c r="BA490" s="121"/>
      <c r="BB490" s="121"/>
      <c r="BC490" s="121"/>
      <c r="BD490" s="120">
        <f t="shared" si="721"/>
        <v>0</v>
      </c>
      <c r="BE490" s="120">
        <f t="shared" si="722"/>
        <v>0</v>
      </c>
      <c r="BF490" s="137">
        <f t="shared" si="723"/>
        <v>0</v>
      </c>
      <c r="BG490" s="120"/>
      <c r="BH490" s="120"/>
      <c r="BI490" s="120"/>
      <c r="BJ490" s="120"/>
      <c r="BK490" s="120"/>
      <c r="BL490" s="120"/>
      <c r="BM490" s="120"/>
      <c r="BN490" s="120"/>
      <c r="BO490" s="120"/>
      <c r="BP490" s="120"/>
      <c r="BQ490" s="124"/>
      <c r="BR490" s="120"/>
      <c r="BS490" s="120"/>
      <c r="BT490" s="120"/>
      <c r="BU490" s="120"/>
      <c r="BV490" s="120"/>
      <c r="BW490" s="120"/>
      <c r="BX490" s="121"/>
      <c r="BY490" s="121"/>
      <c r="BZ490" s="136">
        <f t="shared" si="724"/>
        <v>0</v>
      </c>
      <c r="CA490" s="136">
        <f t="shared" si="725"/>
        <v>0</v>
      </c>
      <c r="CB490" s="136">
        <f t="shared" si="726"/>
        <v>0</v>
      </c>
      <c r="CC490" s="136">
        <f t="shared" si="727"/>
        <v>0</v>
      </c>
      <c r="CD490" s="135">
        <f t="shared" si="728"/>
        <v>0</v>
      </c>
      <c r="CE490" s="135">
        <f t="shared" si="729"/>
        <v>0</v>
      </c>
      <c r="CF490" s="134">
        <f t="shared" si="730"/>
        <v>0</v>
      </c>
      <c r="CG490" s="134">
        <f t="shared" si="731"/>
        <v>0</v>
      </c>
      <c r="CH490" s="133" t="e">
        <f t="shared" si="732"/>
        <v>#DIV/0!</v>
      </c>
      <c r="CJ490" s="121"/>
    </row>
    <row r="491" spans="1:88" s="121" customFormat="1">
      <c r="A491" s="125">
        <f t="shared" si="720"/>
        <v>0</v>
      </c>
      <c r="B491" s="138" t="s">
        <v>187</v>
      </c>
      <c r="D491" s="121" t="s">
        <v>215</v>
      </c>
      <c r="F491" s="115"/>
      <c r="G491" s="120"/>
      <c r="H491" s="120"/>
      <c r="K491" s="121" t="s">
        <v>187</v>
      </c>
      <c r="M491" s="123"/>
      <c r="N491" s="121" t="s">
        <v>218</v>
      </c>
      <c r="O491" s="121" t="s">
        <v>219</v>
      </c>
      <c r="Q491" s="122">
        <f>3087*2.4</f>
        <v>7408.7999999999993</v>
      </c>
      <c r="R491" s="122"/>
      <c r="S491" s="122">
        <v>7500</v>
      </c>
      <c r="T491" s="122"/>
      <c r="BD491" s="120">
        <f t="shared" si="721"/>
        <v>0</v>
      </c>
      <c r="BE491" s="120">
        <f t="shared" si="722"/>
        <v>0</v>
      </c>
      <c r="BF491" s="137">
        <f t="shared" si="723"/>
        <v>0</v>
      </c>
      <c r="BG491" s="120"/>
      <c r="BH491" s="120"/>
      <c r="BI491" s="120"/>
      <c r="BJ491" s="120"/>
      <c r="BK491" s="120"/>
      <c r="BL491" s="120"/>
      <c r="BM491" s="120"/>
      <c r="BN491" s="120"/>
      <c r="BO491" s="120"/>
      <c r="BP491" s="120"/>
      <c r="BQ491" s="124"/>
      <c r="BR491" s="120"/>
      <c r="BS491" s="120"/>
      <c r="BT491" s="120"/>
      <c r="BU491" s="120"/>
      <c r="BV491" s="120"/>
      <c r="BW491" s="120"/>
      <c r="BZ491" s="136">
        <f t="shared" si="724"/>
        <v>0</v>
      </c>
      <c r="CA491" s="136">
        <f t="shared" si="725"/>
        <v>0</v>
      </c>
      <c r="CB491" s="136">
        <f t="shared" si="726"/>
        <v>0</v>
      </c>
      <c r="CC491" s="136">
        <f t="shared" si="727"/>
        <v>0</v>
      </c>
      <c r="CD491" s="135">
        <f t="shared" si="728"/>
        <v>0</v>
      </c>
      <c r="CE491" s="135">
        <f t="shared" si="729"/>
        <v>0</v>
      </c>
      <c r="CF491" s="134">
        <f t="shared" si="730"/>
        <v>0</v>
      </c>
      <c r="CG491" s="134">
        <f t="shared" si="731"/>
        <v>0</v>
      </c>
      <c r="CH491" s="133" t="e">
        <f t="shared" si="732"/>
        <v>#DIV/0!</v>
      </c>
      <c r="CI491" s="128"/>
    </row>
    <row r="492" spans="1:88" s="121" customFormat="1">
      <c r="A492" s="125">
        <f t="shared" si="720"/>
        <v>0</v>
      </c>
      <c r="B492" s="138" t="s">
        <v>187</v>
      </c>
      <c r="D492" s="121" t="s">
        <v>197</v>
      </c>
      <c r="F492" s="115"/>
      <c r="G492" s="120"/>
      <c r="H492" s="120"/>
      <c r="K492" s="121" t="s">
        <v>187</v>
      </c>
      <c r="M492" s="123"/>
      <c r="N492" s="121" t="s">
        <v>334</v>
      </c>
      <c r="O492" s="121" t="s">
        <v>335</v>
      </c>
      <c r="Q492" s="122">
        <f>3242 *2.4</f>
        <v>7780.7999999999993</v>
      </c>
      <c r="R492" s="122"/>
      <c r="S492" s="122">
        <v>7800</v>
      </c>
      <c r="T492" s="122"/>
      <c r="BD492" s="120">
        <f t="shared" si="721"/>
        <v>0</v>
      </c>
      <c r="BE492" s="120">
        <f t="shared" si="722"/>
        <v>0</v>
      </c>
      <c r="BF492" s="137">
        <f t="shared" si="723"/>
        <v>0</v>
      </c>
      <c r="BG492" s="120"/>
      <c r="BH492" s="120"/>
      <c r="BI492" s="120"/>
      <c r="BJ492" s="120"/>
      <c r="BK492" s="120"/>
      <c r="BL492" s="120"/>
      <c r="BM492" s="120"/>
      <c r="BN492" s="120"/>
      <c r="BO492" s="120"/>
      <c r="BP492" s="120"/>
      <c r="BQ492" s="124"/>
      <c r="BR492" s="120"/>
      <c r="BS492" s="120"/>
      <c r="BT492" s="120"/>
      <c r="BU492" s="120"/>
      <c r="BV492" s="120"/>
      <c r="BW492" s="120"/>
      <c r="BZ492" s="136">
        <f t="shared" si="724"/>
        <v>0</v>
      </c>
      <c r="CA492" s="136">
        <f t="shared" si="725"/>
        <v>0</v>
      </c>
      <c r="CB492" s="136">
        <f t="shared" si="726"/>
        <v>0</v>
      </c>
      <c r="CC492" s="136">
        <f t="shared" si="727"/>
        <v>0</v>
      </c>
      <c r="CD492" s="135">
        <f t="shared" si="728"/>
        <v>0</v>
      </c>
      <c r="CE492" s="135">
        <f t="shared" si="729"/>
        <v>0</v>
      </c>
      <c r="CF492" s="134">
        <f t="shared" si="730"/>
        <v>0</v>
      </c>
      <c r="CG492" s="134">
        <f t="shared" si="731"/>
        <v>0</v>
      </c>
      <c r="CH492" s="133" t="e">
        <f t="shared" si="732"/>
        <v>#DIV/0!</v>
      </c>
      <c r="CI492" s="115"/>
    </row>
    <row r="493" spans="1:88" s="121" customFormat="1">
      <c r="A493" s="125">
        <f t="shared" si="720"/>
        <v>0</v>
      </c>
      <c r="B493" s="138" t="s">
        <v>187</v>
      </c>
      <c r="D493" s="121" t="s">
        <v>197</v>
      </c>
      <c r="F493" s="115"/>
      <c r="G493" s="120"/>
      <c r="H493" s="120"/>
      <c r="K493" s="121" t="s">
        <v>187</v>
      </c>
      <c r="M493" s="123"/>
      <c r="N493" s="121" t="s">
        <v>257</v>
      </c>
      <c r="O493" s="121" t="s">
        <v>4125</v>
      </c>
      <c r="Q493" s="122">
        <f>3141*2.4</f>
        <v>7538.4</v>
      </c>
      <c r="R493" s="122"/>
      <c r="S493" s="122">
        <v>7500</v>
      </c>
      <c r="T493" s="122"/>
      <c r="BD493" s="120">
        <f t="shared" si="721"/>
        <v>0</v>
      </c>
      <c r="BE493" s="120">
        <f t="shared" si="722"/>
        <v>0</v>
      </c>
      <c r="BF493" s="137">
        <f t="shared" si="723"/>
        <v>0</v>
      </c>
      <c r="BG493" s="120"/>
      <c r="BH493" s="120"/>
      <c r="BI493" s="120"/>
      <c r="BJ493" s="120"/>
      <c r="BK493" s="120"/>
      <c r="BL493" s="120"/>
      <c r="BM493" s="120"/>
      <c r="BN493" s="120"/>
      <c r="BO493" s="120"/>
      <c r="BP493" s="120"/>
      <c r="BQ493" s="124"/>
      <c r="BR493" s="120"/>
      <c r="BS493" s="120"/>
      <c r="BT493" s="120"/>
      <c r="BU493" s="120"/>
      <c r="BV493" s="120"/>
      <c r="BW493" s="120"/>
      <c r="BZ493" s="136">
        <f t="shared" si="724"/>
        <v>0</v>
      </c>
      <c r="CA493" s="136">
        <f t="shared" si="725"/>
        <v>0</v>
      </c>
      <c r="CB493" s="136">
        <f t="shared" si="726"/>
        <v>0</v>
      </c>
      <c r="CC493" s="136">
        <f t="shared" si="727"/>
        <v>0</v>
      </c>
      <c r="CD493" s="135">
        <f t="shared" si="728"/>
        <v>0</v>
      </c>
      <c r="CE493" s="135">
        <f t="shared" si="729"/>
        <v>0</v>
      </c>
      <c r="CF493" s="134">
        <f t="shared" si="730"/>
        <v>0</v>
      </c>
      <c r="CG493" s="134">
        <f t="shared" si="731"/>
        <v>0</v>
      </c>
      <c r="CH493" s="133" t="e">
        <f t="shared" si="732"/>
        <v>#DIV/0!</v>
      </c>
    </row>
    <row r="494" spans="1:88" s="121" customFormat="1">
      <c r="A494" s="125">
        <f t="shared" si="720"/>
        <v>0</v>
      </c>
      <c r="B494" s="138" t="s">
        <v>187</v>
      </c>
      <c r="D494" s="121" t="s">
        <v>215</v>
      </c>
      <c r="K494" s="121" t="s">
        <v>187</v>
      </c>
      <c r="M494" s="123"/>
      <c r="N494" s="121" t="s">
        <v>721</v>
      </c>
      <c r="O494" s="121" t="s">
        <v>258</v>
      </c>
      <c r="Q494" s="122">
        <f>3139*2.4</f>
        <v>7533.5999999999995</v>
      </c>
      <c r="R494" s="122"/>
      <c r="S494" s="122">
        <v>7500</v>
      </c>
      <c r="T494" s="122"/>
      <c r="Z494" s="128"/>
      <c r="AA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0">
        <f t="shared" si="721"/>
        <v>0</v>
      </c>
      <c r="BE494" s="120">
        <f t="shared" si="722"/>
        <v>0</v>
      </c>
      <c r="BF494" s="137">
        <f t="shared" si="723"/>
        <v>0</v>
      </c>
      <c r="BG494" s="120"/>
      <c r="BH494" s="120"/>
      <c r="BI494" s="120"/>
      <c r="BJ494" s="120"/>
      <c r="BK494" s="120"/>
      <c r="BL494" s="120"/>
      <c r="BM494" s="120"/>
      <c r="BN494" s="120"/>
      <c r="BO494" s="120"/>
      <c r="BP494" s="120"/>
      <c r="BQ494" s="124"/>
      <c r="BR494" s="120"/>
      <c r="BS494" s="120"/>
      <c r="BT494" s="120"/>
      <c r="BU494" s="120"/>
      <c r="BV494" s="120"/>
      <c r="BW494" s="120"/>
      <c r="BZ494" s="136">
        <f t="shared" si="724"/>
        <v>0</v>
      </c>
      <c r="CA494" s="136">
        <f t="shared" si="725"/>
        <v>0</v>
      </c>
      <c r="CB494" s="136">
        <f t="shared" si="726"/>
        <v>0</v>
      </c>
      <c r="CC494" s="136">
        <f t="shared" si="727"/>
        <v>0</v>
      </c>
      <c r="CD494" s="135">
        <f t="shared" si="728"/>
        <v>0</v>
      </c>
      <c r="CE494" s="135">
        <f t="shared" si="729"/>
        <v>0</v>
      </c>
      <c r="CF494" s="134">
        <f t="shared" si="730"/>
        <v>0</v>
      </c>
      <c r="CG494" s="134">
        <f t="shared" si="731"/>
        <v>0</v>
      </c>
      <c r="CH494" s="133" t="e">
        <f t="shared" si="732"/>
        <v>#DIV/0!</v>
      </c>
    </row>
    <row r="495" spans="1:88" s="121" customFormat="1">
      <c r="A495" s="125">
        <f t="shared" ref="A495:A518" si="733">BJ495</f>
        <v>0</v>
      </c>
      <c r="B495" s="138" t="s">
        <v>187</v>
      </c>
      <c r="D495" s="121" t="s">
        <v>197</v>
      </c>
      <c r="K495" s="121" t="s">
        <v>187</v>
      </c>
      <c r="M495" s="123"/>
      <c r="N495" s="121" t="s">
        <v>349</v>
      </c>
      <c r="O495" s="121" t="s">
        <v>2854</v>
      </c>
      <c r="Q495" s="122">
        <f>3165*2.4</f>
        <v>7596</v>
      </c>
      <c r="R495" s="122"/>
      <c r="S495" s="122">
        <v>7500</v>
      </c>
      <c r="T495" s="122"/>
      <c r="BD495" s="120">
        <f t="shared" ref="BD495:BD518" si="734">BG495</f>
        <v>0</v>
      </c>
      <c r="BE495" s="120">
        <f t="shared" ref="BE495:BE518" si="735">BW495</f>
        <v>0</v>
      </c>
      <c r="BF495" s="137">
        <f t="shared" ref="BF495:BF518" si="736">BE495-BD495</f>
        <v>0</v>
      </c>
      <c r="BG495" s="120"/>
      <c r="BH495" s="120"/>
      <c r="BI495" s="120"/>
      <c r="BJ495" s="120"/>
      <c r="BK495" s="120"/>
      <c r="BL495" s="120"/>
      <c r="BM495" s="120"/>
      <c r="BN495" s="120"/>
      <c r="BO495" s="120"/>
      <c r="BP495" s="120"/>
      <c r="BQ495" s="124"/>
      <c r="BR495" s="120"/>
      <c r="BS495" s="120"/>
      <c r="BT495" s="120"/>
      <c r="BU495" s="120"/>
      <c r="BV495" s="120"/>
      <c r="BW495" s="120"/>
      <c r="BZ495" s="136">
        <f t="shared" ref="BZ495:BZ518" si="737">(BI495-BH495)*24</f>
        <v>0</v>
      </c>
      <c r="CA495" s="136">
        <f t="shared" ref="CA495:CA518" si="738">(BK495-BJ495)*24</f>
        <v>0</v>
      </c>
      <c r="CB495" s="136">
        <f t="shared" ref="CB495:CB518" si="739">(BN495-BM495)*24</f>
        <v>0</v>
      </c>
      <c r="CC495" s="136">
        <f t="shared" ref="CC495:CC518" si="740">(BR495-BP495)*24</f>
        <v>0</v>
      </c>
      <c r="CD495" s="135">
        <f t="shared" ref="CD495:CD518" si="741">(BT495-BS495)*24</f>
        <v>0</v>
      </c>
      <c r="CE495" s="135">
        <f t="shared" ref="CE495:CE518" si="742">(BW495-BV495)*24</f>
        <v>0</v>
      </c>
      <c r="CF495" s="134">
        <f t="shared" ref="CF495:CF518" si="743">SUM(BZ495:CE495)/24</f>
        <v>0</v>
      </c>
      <c r="CG495" s="134">
        <f t="shared" ref="CG495:CG518" si="744">BF495</f>
        <v>0</v>
      </c>
      <c r="CH495" s="133" t="e">
        <f t="shared" ref="CH495:CH518" si="745">CF495/CG495</f>
        <v>#DIV/0!</v>
      </c>
    </row>
    <row r="496" spans="1:88" s="121" customFormat="1">
      <c r="A496" s="125">
        <f t="shared" si="733"/>
        <v>0</v>
      </c>
      <c r="B496" s="138" t="s">
        <v>187</v>
      </c>
      <c r="D496" s="121" t="s">
        <v>197</v>
      </c>
      <c r="K496" s="121" t="s">
        <v>187</v>
      </c>
      <c r="M496" s="123"/>
      <c r="N496" s="121" t="s">
        <v>346</v>
      </c>
      <c r="O496" s="121" t="s">
        <v>4121</v>
      </c>
      <c r="Q496" s="122">
        <f>3136*2.4</f>
        <v>7526.4</v>
      </c>
      <c r="R496" s="122"/>
      <c r="S496" s="122">
        <v>7500</v>
      </c>
      <c r="T496" s="122"/>
      <c r="BD496" s="120">
        <f t="shared" si="734"/>
        <v>0</v>
      </c>
      <c r="BE496" s="120">
        <f t="shared" si="735"/>
        <v>0</v>
      </c>
      <c r="BF496" s="137">
        <f t="shared" si="736"/>
        <v>0</v>
      </c>
      <c r="BG496" s="120"/>
      <c r="BH496" s="120"/>
      <c r="BI496" s="120"/>
      <c r="BJ496" s="120"/>
      <c r="BK496" s="120"/>
      <c r="BL496" s="120"/>
      <c r="BM496" s="120"/>
      <c r="BN496" s="120"/>
      <c r="BO496" s="120"/>
      <c r="BP496" s="120"/>
      <c r="BQ496" s="124"/>
      <c r="BR496" s="120"/>
      <c r="BS496" s="120"/>
      <c r="BT496" s="120"/>
      <c r="BU496" s="120"/>
      <c r="BV496" s="120"/>
      <c r="BW496" s="120"/>
      <c r="BZ496" s="136">
        <f t="shared" si="737"/>
        <v>0</v>
      </c>
      <c r="CA496" s="136">
        <f t="shared" si="738"/>
        <v>0</v>
      </c>
      <c r="CB496" s="136">
        <f t="shared" si="739"/>
        <v>0</v>
      </c>
      <c r="CC496" s="136">
        <f t="shared" si="740"/>
        <v>0</v>
      </c>
      <c r="CD496" s="135">
        <f t="shared" si="741"/>
        <v>0</v>
      </c>
      <c r="CE496" s="135">
        <f t="shared" si="742"/>
        <v>0</v>
      </c>
      <c r="CF496" s="134">
        <f t="shared" si="743"/>
        <v>0</v>
      </c>
      <c r="CG496" s="134">
        <f t="shared" si="744"/>
        <v>0</v>
      </c>
      <c r="CH496" s="133" t="e">
        <f t="shared" si="745"/>
        <v>#DIV/0!</v>
      </c>
    </row>
    <row r="497" spans="1:88" s="121" customFormat="1">
      <c r="A497" s="125">
        <f t="shared" si="733"/>
        <v>0</v>
      </c>
      <c r="B497" s="138" t="s">
        <v>187</v>
      </c>
      <c r="D497" s="121" t="s">
        <v>215</v>
      </c>
      <c r="K497" s="121" t="s">
        <v>187</v>
      </c>
      <c r="M497" s="123"/>
      <c r="N497" s="121" t="s">
        <v>695</v>
      </c>
      <c r="O497" s="121" t="s">
        <v>4126</v>
      </c>
      <c r="Q497" s="122">
        <f>3140*2.4</f>
        <v>7536</v>
      </c>
      <c r="R497" s="122"/>
      <c r="S497" s="122">
        <v>7500</v>
      </c>
      <c r="T497" s="122"/>
      <c r="Z497" s="128"/>
      <c r="AA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0">
        <f t="shared" si="734"/>
        <v>0</v>
      </c>
      <c r="BE497" s="120">
        <f t="shared" si="735"/>
        <v>0</v>
      </c>
      <c r="BF497" s="137">
        <f t="shared" si="736"/>
        <v>0</v>
      </c>
      <c r="BG497" s="120"/>
      <c r="BH497" s="120"/>
      <c r="BI497" s="120"/>
      <c r="BJ497" s="120"/>
      <c r="BK497" s="120"/>
      <c r="BL497" s="120"/>
      <c r="BM497" s="120"/>
      <c r="BN497" s="120"/>
      <c r="BO497" s="120"/>
      <c r="BP497" s="120"/>
      <c r="BQ497" s="124"/>
      <c r="BR497" s="120"/>
      <c r="BS497" s="120"/>
      <c r="BT497" s="120"/>
      <c r="BU497" s="120"/>
      <c r="BV497" s="120"/>
      <c r="BW497" s="120"/>
      <c r="BZ497" s="136">
        <f t="shared" si="737"/>
        <v>0</v>
      </c>
      <c r="CA497" s="136">
        <f t="shared" si="738"/>
        <v>0</v>
      </c>
      <c r="CB497" s="136">
        <f t="shared" si="739"/>
        <v>0</v>
      </c>
      <c r="CC497" s="136">
        <f t="shared" si="740"/>
        <v>0</v>
      </c>
      <c r="CD497" s="135">
        <f t="shared" si="741"/>
        <v>0</v>
      </c>
      <c r="CE497" s="135">
        <f t="shared" si="742"/>
        <v>0</v>
      </c>
      <c r="CF497" s="134">
        <f t="shared" si="743"/>
        <v>0</v>
      </c>
      <c r="CG497" s="134">
        <f t="shared" si="744"/>
        <v>0</v>
      </c>
      <c r="CH497" s="133" t="e">
        <f t="shared" si="745"/>
        <v>#DIV/0!</v>
      </c>
    </row>
    <row r="498" spans="1:88" s="116" customFormat="1">
      <c r="A498" s="125">
        <f t="shared" si="733"/>
        <v>0</v>
      </c>
      <c r="B498" s="138" t="s">
        <v>187</v>
      </c>
      <c r="C498" s="121"/>
      <c r="D498" s="121" t="s">
        <v>197</v>
      </c>
      <c r="E498" s="121"/>
      <c r="F498" s="121"/>
      <c r="G498" s="121"/>
      <c r="H498" s="121"/>
      <c r="I498" s="121"/>
      <c r="J498" s="121"/>
      <c r="K498" s="121" t="s">
        <v>187</v>
      </c>
      <c r="L498" s="121"/>
      <c r="M498" s="123"/>
      <c r="N498" s="121" t="s">
        <v>327</v>
      </c>
      <c r="O498" s="121" t="s">
        <v>328</v>
      </c>
      <c r="P498" s="121"/>
      <c r="Q498" s="122">
        <f>3143*2.4</f>
        <v>7543.2</v>
      </c>
      <c r="R498" s="122"/>
      <c r="S498" s="122">
        <v>7500</v>
      </c>
      <c r="T498" s="122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  <c r="AL498" s="121"/>
      <c r="AM498" s="121"/>
      <c r="AN498" s="121"/>
      <c r="AO498" s="121"/>
      <c r="AP498" s="121"/>
      <c r="AQ498" s="121"/>
      <c r="AR498" s="121"/>
      <c r="AS498" s="121"/>
      <c r="AT498" s="121"/>
      <c r="AU498" s="121"/>
      <c r="AV498" s="121"/>
      <c r="AW498" s="121"/>
      <c r="AX498" s="121"/>
      <c r="AY498" s="121"/>
      <c r="AZ498" s="121"/>
      <c r="BA498" s="121"/>
      <c r="BB498" s="121"/>
      <c r="BC498" s="121"/>
      <c r="BD498" s="120">
        <f t="shared" si="734"/>
        <v>0</v>
      </c>
      <c r="BE498" s="120">
        <f t="shared" si="735"/>
        <v>0</v>
      </c>
      <c r="BF498" s="137">
        <f t="shared" si="736"/>
        <v>0</v>
      </c>
      <c r="BG498" s="120"/>
      <c r="BH498" s="120"/>
      <c r="BI498" s="120"/>
      <c r="BJ498" s="120"/>
      <c r="BK498" s="120"/>
      <c r="BL498" s="120"/>
      <c r="BM498" s="120"/>
      <c r="BN498" s="120"/>
      <c r="BO498" s="120"/>
      <c r="BP498" s="120"/>
      <c r="BQ498" s="124"/>
      <c r="BR498" s="120"/>
      <c r="BS498" s="120"/>
      <c r="BT498" s="120"/>
      <c r="BU498" s="120"/>
      <c r="BV498" s="120"/>
      <c r="BW498" s="120"/>
      <c r="BX498" s="121"/>
      <c r="BY498" s="121"/>
      <c r="BZ498" s="136">
        <f t="shared" si="737"/>
        <v>0</v>
      </c>
      <c r="CA498" s="136">
        <f t="shared" si="738"/>
        <v>0</v>
      </c>
      <c r="CB498" s="136">
        <f t="shared" si="739"/>
        <v>0</v>
      </c>
      <c r="CC498" s="136">
        <f t="shared" si="740"/>
        <v>0</v>
      </c>
      <c r="CD498" s="135">
        <f t="shared" si="741"/>
        <v>0</v>
      </c>
      <c r="CE498" s="135">
        <f t="shared" si="742"/>
        <v>0</v>
      </c>
      <c r="CF498" s="134">
        <f t="shared" si="743"/>
        <v>0</v>
      </c>
      <c r="CG498" s="134">
        <f t="shared" si="744"/>
        <v>0</v>
      </c>
      <c r="CH498" s="133" t="e">
        <f t="shared" si="745"/>
        <v>#DIV/0!</v>
      </c>
      <c r="CI498" s="121"/>
      <c r="CJ498" s="121"/>
    </row>
    <row r="499" spans="1:88" s="121" customFormat="1">
      <c r="A499" s="125">
        <f t="shared" si="733"/>
        <v>0</v>
      </c>
      <c r="B499" s="138" t="s">
        <v>187</v>
      </c>
      <c r="D499" s="121" t="s">
        <v>197</v>
      </c>
      <c r="K499" s="121" t="s">
        <v>187</v>
      </c>
      <c r="M499" s="123"/>
      <c r="N499" s="121" t="s">
        <v>4127</v>
      </c>
      <c r="O499" s="121" t="s">
        <v>255</v>
      </c>
      <c r="Q499" s="122">
        <f>3047*2.4</f>
        <v>7312.8</v>
      </c>
      <c r="R499" s="122"/>
      <c r="S499" s="122">
        <v>7400</v>
      </c>
      <c r="T499" s="122"/>
      <c r="Z499" s="128"/>
      <c r="AA499" s="128"/>
      <c r="BD499" s="120">
        <f t="shared" si="734"/>
        <v>0</v>
      </c>
      <c r="BE499" s="120">
        <f t="shared" si="735"/>
        <v>0</v>
      </c>
      <c r="BF499" s="137">
        <f t="shared" si="736"/>
        <v>0</v>
      </c>
      <c r="BG499" s="120"/>
      <c r="BH499" s="120"/>
      <c r="BI499" s="120"/>
      <c r="BJ499" s="120"/>
      <c r="BK499" s="120"/>
      <c r="BL499" s="120"/>
      <c r="BM499" s="120"/>
      <c r="BN499" s="120"/>
      <c r="BO499" s="124"/>
      <c r="BP499" s="124"/>
      <c r="BQ499" s="124"/>
      <c r="BR499" s="120"/>
      <c r="BS499" s="120"/>
      <c r="BT499" s="120"/>
      <c r="BU499" s="120"/>
      <c r="BV499" s="120"/>
      <c r="BW499" s="120"/>
      <c r="BZ499" s="136">
        <f t="shared" si="737"/>
        <v>0</v>
      </c>
      <c r="CA499" s="136">
        <f t="shared" si="738"/>
        <v>0</v>
      </c>
      <c r="CB499" s="136">
        <f t="shared" si="739"/>
        <v>0</v>
      </c>
      <c r="CC499" s="136">
        <f t="shared" si="740"/>
        <v>0</v>
      </c>
      <c r="CD499" s="135">
        <f t="shared" si="741"/>
        <v>0</v>
      </c>
      <c r="CE499" s="135">
        <f t="shared" si="742"/>
        <v>0</v>
      </c>
      <c r="CF499" s="134">
        <f t="shared" si="743"/>
        <v>0</v>
      </c>
      <c r="CG499" s="134">
        <f t="shared" si="744"/>
        <v>0</v>
      </c>
      <c r="CH499" s="133" t="e">
        <f t="shared" si="745"/>
        <v>#DIV/0!</v>
      </c>
    </row>
    <row r="500" spans="1:88" s="128" customFormat="1">
      <c r="A500" s="125">
        <f t="shared" si="733"/>
        <v>0</v>
      </c>
      <c r="B500" s="138" t="s">
        <v>187</v>
      </c>
      <c r="C500" s="121"/>
      <c r="D500" s="121" t="s">
        <v>197</v>
      </c>
      <c r="E500" s="121"/>
      <c r="F500" s="121"/>
      <c r="G500" s="121"/>
      <c r="H500" s="121"/>
      <c r="I500" s="121"/>
      <c r="J500" s="121"/>
      <c r="K500" s="121" t="s">
        <v>187</v>
      </c>
      <c r="L500" s="121"/>
      <c r="M500" s="123"/>
      <c r="N500" s="121" t="s">
        <v>327</v>
      </c>
      <c r="O500" s="121" t="s">
        <v>4128</v>
      </c>
      <c r="P500" s="121"/>
      <c r="Q500" s="122">
        <f>3142*2.4</f>
        <v>7540.7999999999993</v>
      </c>
      <c r="R500" s="122"/>
      <c r="S500" s="122">
        <v>7500</v>
      </c>
      <c r="T500" s="122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/>
      <c r="AX500" s="121"/>
      <c r="AY500" s="121"/>
      <c r="AZ500" s="121"/>
      <c r="BA500" s="121"/>
      <c r="BB500" s="121"/>
      <c r="BC500" s="121"/>
      <c r="BD500" s="120">
        <f t="shared" si="734"/>
        <v>0</v>
      </c>
      <c r="BE500" s="120">
        <f t="shared" si="735"/>
        <v>0</v>
      </c>
      <c r="BF500" s="137">
        <f t="shared" si="736"/>
        <v>0</v>
      </c>
      <c r="BG500" s="120"/>
      <c r="BH500" s="120"/>
      <c r="BI500" s="120"/>
      <c r="BJ500" s="120"/>
      <c r="BK500" s="120"/>
      <c r="BL500" s="120"/>
      <c r="BM500" s="120"/>
      <c r="BN500" s="120"/>
      <c r="BO500" s="120"/>
      <c r="BP500" s="120"/>
      <c r="BQ500" s="124"/>
      <c r="BR500" s="120"/>
      <c r="BS500" s="120"/>
      <c r="BT500" s="120"/>
      <c r="BU500" s="120"/>
      <c r="BV500" s="120"/>
      <c r="BW500" s="120"/>
      <c r="BX500" s="121"/>
      <c r="BY500" s="121"/>
      <c r="BZ500" s="136">
        <f t="shared" si="737"/>
        <v>0</v>
      </c>
      <c r="CA500" s="136">
        <f t="shared" si="738"/>
        <v>0</v>
      </c>
      <c r="CB500" s="136">
        <f t="shared" si="739"/>
        <v>0</v>
      </c>
      <c r="CC500" s="136">
        <f t="shared" si="740"/>
        <v>0</v>
      </c>
      <c r="CD500" s="135">
        <f t="shared" si="741"/>
        <v>0</v>
      </c>
      <c r="CE500" s="135">
        <f t="shared" si="742"/>
        <v>0</v>
      </c>
      <c r="CF500" s="134">
        <f t="shared" si="743"/>
        <v>0</v>
      </c>
      <c r="CG500" s="134">
        <f t="shared" si="744"/>
        <v>0</v>
      </c>
      <c r="CH500" s="133" t="e">
        <f t="shared" si="745"/>
        <v>#DIV/0!</v>
      </c>
    </row>
    <row r="501" spans="1:88" s="121" customFormat="1">
      <c r="A501" s="125">
        <f t="shared" si="733"/>
        <v>0</v>
      </c>
      <c r="B501" s="138" t="s">
        <v>187</v>
      </c>
      <c r="D501" s="121" t="s">
        <v>215</v>
      </c>
      <c r="G501" s="165"/>
      <c r="H501" s="165"/>
      <c r="K501" s="121" t="s">
        <v>187</v>
      </c>
      <c r="M501" s="123"/>
      <c r="N501" s="121" t="s">
        <v>399</v>
      </c>
      <c r="O501" s="121" t="s">
        <v>400</v>
      </c>
      <c r="Q501" s="122">
        <f>3146*2.4</f>
        <v>7550.4</v>
      </c>
      <c r="R501" s="122"/>
      <c r="S501" s="122">
        <v>7500</v>
      </c>
      <c r="T501" s="122"/>
      <c r="Y501" s="128"/>
      <c r="Z501" s="128"/>
      <c r="AA501" s="128"/>
      <c r="AB501" s="128"/>
      <c r="AC501" s="128"/>
      <c r="AD501" s="128"/>
      <c r="AE501" s="128"/>
      <c r="AF501" s="128"/>
      <c r="AG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0">
        <f t="shared" si="734"/>
        <v>0</v>
      </c>
      <c r="BE501" s="120">
        <f t="shared" si="735"/>
        <v>0</v>
      </c>
      <c r="BF501" s="137">
        <f t="shared" si="736"/>
        <v>0</v>
      </c>
      <c r="BG501" s="120"/>
      <c r="BH501" s="120"/>
      <c r="BI501" s="120"/>
      <c r="BJ501" s="120"/>
      <c r="BK501" s="120"/>
      <c r="BL501" s="120"/>
      <c r="BM501" s="120"/>
      <c r="BN501" s="120"/>
      <c r="BO501" s="124"/>
      <c r="BP501" s="124"/>
      <c r="BQ501" s="124"/>
      <c r="BR501" s="120"/>
      <c r="BS501" s="120"/>
      <c r="BT501" s="120"/>
      <c r="BU501" s="120"/>
      <c r="BV501" s="120"/>
      <c r="BW501" s="120"/>
      <c r="BZ501" s="136">
        <f t="shared" si="737"/>
        <v>0</v>
      </c>
      <c r="CA501" s="136">
        <f t="shared" si="738"/>
        <v>0</v>
      </c>
      <c r="CB501" s="136">
        <f t="shared" si="739"/>
        <v>0</v>
      </c>
      <c r="CC501" s="136">
        <f t="shared" si="740"/>
        <v>0</v>
      </c>
      <c r="CD501" s="135">
        <f t="shared" si="741"/>
        <v>0</v>
      </c>
      <c r="CE501" s="135">
        <f t="shared" si="742"/>
        <v>0</v>
      </c>
      <c r="CF501" s="134">
        <f t="shared" si="743"/>
        <v>0</v>
      </c>
      <c r="CG501" s="134">
        <f t="shared" si="744"/>
        <v>0</v>
      </c>
      <c r="CH501" s="133" t="e">
        <f t="shared" si="745"/>
        <v>#DIV/0!</v>
      </c>
      <c r="CJ501" s="128"/>
    </row>
    <row r="502" spans="1:88" s="128" customFormat="1">
      <c r="A502" s="125">
        <f t="shared" si="733"/>
        <v>0</v>
      </c>
      <c r="B502" s="138" t="s">
        <v>187</v>
      </c>
      <c r="C502" s="121"/>
      <c r="D502" s="121" t="s">
        <v>197</v>
      </c>
      <c r="E502" s="121"/>
      <c r="F502" s="115"/>
      <c r="G502" s="120"/>
      <c r="H502" s="120"/>
      <c r="I502" s="121"/>
      <c r="J502" s="121"/>
      <c r="K502" s="121" t="s">
        <v>187</v>
      </c>
      <c r="L502" s="121"/>
      <c r="M502" s="123"/>
      <c r="N502" s="121" t="s">
        <v>1636</v>
      </c>
      <c r="O502" s="121" t="s">
        <v>4129</v>
      </c>
      <c r="P502" s="121"/>
      <c r="Q502" s="122">
        <f>3136*2.4</f>
        <v>7526.4</v>
      </c>
      <c r="R502" s="122"/>
      <c r="S502" s="122">
        <v>7500</v>
      </c>
      <c r="T502" s="122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  <c r="AL502" s="121"/>
      <c r="AM502" s="121"/>
      <c r="AN502" s="121"/>
      <c r="AO502" s="121"/>
      <c r="AP502" s="121"/>
      <c r="AQ502" s="121"/>
      <c r="AR502" s="121"/>
      <c r="AS502" s="121"/>
      <c r="AT502" s="121"/>
      <c r="AU502" s="121"/>
      <c r="AV502" s="121"/>
      <c r="AW502" s="121"/>
      <c r="AX502" s="121"/>
      <c r="AY502" s="121"/>
      <c r="AZ502" s="121"/>
      <c r="BA502" s="121"/>
      <c r="BB502" s="121"/>
      <c r="BC502" s="121"/>
      <c r="BD502" s="120">
        <f t="shared" si="734"/>
        <v>0</v>
      </c>
      <c r="BE502" s="120">
        <f t="shared" si="735"/>
        <v>0</v>
      </c>
      <c r="BF502" s="137">
        <f t="shared" si="736"/>
        <v>0</v>
      </c>
      <c r="BG502" s="120"/>
      <c r="BH502" s="120"/>
      <c r="BI502" s="120"/>
      <c r="BJ502" s="120"/>
      <c r="BK502" s="120"/>
      <c r="BL502" s="120"/>
      <c r="BM502" s="120"/>
      <c r="BN502" s="120"/>
      <c r="BO502" s="120"/>
      <c r="BP502" s="120"/>
      <c r="BQ502" s="124"/>
      <c r="BR502" s="120"/>
      <c r="BS502" s="120"/>
      <c r="BT502" s="120"/>
      <c r="BU502" s="120"/>
      <c r="BV502" s="120"/>
      <c r="BW502" s="120"/>
      <c r="BX502" s="121"/>
      <c r="BY502" s="121"/>
      <c r="BZ502" s="136">
        <f t="shared" si="737"/>
        <v>0</v>
      </c>
      <c r="CA502" s="136">
        <f t="shared" si="738"/>
        <v>0</v>
      </c>
      <c r="CB502" s="136">
        <f t="shared" si="739"/>
        <v>0</v>
      </c>
      <c r="CC502" s="136">
        <f t="shared" si="740"/>
        <v>0</v>
      </c>
      <c r="CD502" s="135">
        <f t="shared" si="741"/>
        <v>0</v>
      </c>
      <c r="CE502" s="135">
        <f t="shared" si="742"/>
        <v>0</v>
      </c>
      <c r="CF502" s="134">
        <f t="shared" si="743"/>
        <v>0</v>
      </c>
      <c r="CG502" s="134">
        <f t="shared" si="744"/>
        <v>0</v>
      </c>
      <c r="CH502" s="133" t="e">
        <f t="shared" si="745"/>
        <v>#DIV/0!</v>
      </c>
      <c r="CI502" s="121"/>
      <c r="CJ502" s="121"/>
    </row>
    <row r="503" spans="1:88" s="128" customFormat="1">
      <c r="A503" s="125">
        <f t="shared" si="733"/>
        <v>0</v>
      </c>
      <c r="B503" s="138" t="s">
        <v>187</v>
      </c>
      <c r="C503" s="121"/>
      <c r="D503" s="121" t="s">
        <v>215</v>
      </c>
      <c r="E503" s="121"/>
      <c r="F503" s="121"/>
      <c r="G503" s="120"/>
      <c r="H503" s="120"/>
      <c r="I503" s="121"/>
      <c r="J503" s="121"/>
      <c r="K503" s="121" t="s">
        <v>187</v>
      </c>
      <c r="L503" s="121"/>
      <c r="M503" s="123"/>
      <c r="N503" s="121" t="s">
        <v>218</v>
      </c>
      <c r="O503" s="121" t="s">
        <v>219</v>
      </c>
      <c r="P503" s="121"/>
      <c r="Q503" s="122">
        <f>3087*2.4</f>
        <v>7408.7999999999993</v>
      </c>
      <c r="R503" s="122"/>
      <c r="S503" s="122">
        <v>7500</v>
      </c>
      <c r="T503" s="122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  <c r="AL503" s="121"/>
      <c r="AM503" s="121"/>
      <c r="AN503" s="121"/>
      <c r="AO503" s="121"/>
      <c r="AP503" s="121"/>
      <c r="AQ503" s="121"/>
      <c r="AR503" s="121"/>
      <c r="AS503" s="121"/>
      <c r="AT503" s="121"/>
      <c r="AU503" s="121"/>
      <c r="AV503" s="121"/>
      <c r="AW503" s="121"/>
      <c r="AX503" s="121"/>
      <c r="AY503" s="121"/>
      <c r="AZ503" s="121"/>
      <c r="BA503" s="121"/>
      <c r="BB503" s="121"/>
      <c r="BC503" s="121"/>
      <c r="BD503" s="120">
        <f t="shared" si="734"/>
        <v>0</v>
      </c>
      <c r="BE503" s="120">
        <f t="shared" si="735"/>
        <v>0</v>
      </c>
      <c r="BF503" s="137">
        <f t="shared" si="736"/>
        <v>0</v>
      </c>
      <c r="BG503" s="120"/>
      <c r="BH503" s="120"/>
      <c r="BI503" s="120"/>
      <c r="BJ503" s="120"/>
      <c r="BK503" s="120"/>
      <c r="BL503" s="120"/>
      <c r="BM503" s="120"/>
      <c r="BN503" s="120"/>
      <c r="BO503" s="120"/>
      <c r="BP503" s="120"/>
      <c r="BQ503" s="124"/>
      <c r="BR503" s="120"/>
      <c r="BS503" s="120"/>
      <c r="BT503" s="120"/>
      <c r="BU503" s="120"/>
      <c r="BV503" s="120"/>
      <c r="BW503" s="120"/>
      <c r="BX503" s="121"/>
      <c r="BY503" s="121"/>
      <c r="BZ503" s="136">
        <f t="shared" si="737"/>
        <v>0</v>
      </c>
      <c r="CA503" s="136">
        <f t="shared" si="738"/>
        <v>0</v>
      </c>
      <c r="CB503" s="136">
        <f t="shared" si="739"/>
        <v>0</v>
      </c>
      <c r="CC503" s="136">
        <f t="shared" si="740"/>
        <v>0</v>
      </c>
      <c r="CD503" s="135">
        <f t="shared" si="741"/>
        <v>0</v>
      </c>
      <c r="CE503" s="135">
        <f t="shared" si="742"/>
        <v>0</v>
      </c>
      <c r="CF503" s="134">
        <f t="shared" si="743"/>
        <v>0</v>
      </c>
      <c r="CG503" s="134">
        <f t="shared" si="744"/>
        <v>0</v>
      </c>
      <c r="CH503" s="133" t="e">
        <f t="shared" si="745"/>
        <v>#DIV/0!</v>
      </c>
    </row>
    <row r="504" spans="1:88" s="116" customFormat="1">
      <c r="A504" s="125">
        <f t="shared" si="733"/>
        <v>0</v>
      </c>
      <c r="B504" s="138" t="s">
        <v>187</v>
      </c>
      <c r="C504" s="121"/>
      <c r="D504" s="121" t="s">
        <v>197</v>
      </c>
      <c r="E504" s="121"/>
      <c r="F504" s="115"/>
      <c r="G504" s="120"/>
      <c r="H504" s="120"/>
      <c r="I504" s="121"/>
      <c r="J504" s="121"/>
      <c r="K504" s="121" t="s">
        <v>187</v>
      </c>
      <c r="L504" s="121"/>
      <c r="M504" s="123"/>
      <c r="N504" s="121" t="s">
        <v>280</v>
      </c>
      <c r="O504" s="121" t="s">
        <v>486</v>
      </c>
      <c r="P504" s="121"/>
      <c r="Q504" s="122">
        <f>3102*2.4</f>
        <v>7444.7999999999993</v>
      </c>
      <c r="R504" s="122"/>
      <c r="S504" s="122">
        <v>7500</v>
      </c>
      <c r="T504" s="122"/>
      <c r="U504" s="121"/>
      <c r="V504" s="121"/>
      <c r="W504" s="121"/>
      <c r="X504" s="121"/>
      <c r="Y504" s="121"/>
      <c r="Z504" s="121"/>
      <c r="AA504" s="121"/>
      <c r="AB504" s="121"/>
      <c r="AC504" s="128"/>
      <c r="AD504" s="128"/>
      <c r="AE504" s="128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0">
        <f t="shared" si="734"/>
        <v>0</v>
      </c>
      <c r="BE504" s="120">
        <f t="shared" si="735"/>
        <v>0</v>
      </c>
      <c r="BF504" s="137">
        <f t="shared" si="736"/>
        <v>0</v>
      </c>
      <c r="BG504" s="120"/>
      <c r="BH504" s="120"/>
      <c r="BI504" s="120"/>
      <c r="BJ504" s="120"/>
      <c r="BK504" s="120"/>
      <c r="BL504" s="120"/>
      <c r="BM504" s="120"/>
      <c r="BN504" s="120"/>
      <c r="BO504" s="120"/>
      <c r="BP504" s="120"/>
      <c r="BQ504" s="124"/>
      <c r="BR504" s="120"/>
      <c r="BS504" s="120"/>
      <c r="BT504" s="120"/>
      <c r="BU504" s="120"/>
      <c r="BV504" s="120"/>
      <c r="BW504" s="120"/>
      <c r="BX504" s="121"/>
      <c r="BY504" s="121"/>
      <c r="BZ504" s="136">
        <f t="shared" si="737"/>
        <v>0</v>
      </c>
      <c r="CA504" s="136">
        <f t="shared" si="738"/>
        <v>0</v>
      </c>
      <c r="CB504" s="136">
        <f t="shared" si="739"/>
        <v>0</v>
      </c>
      <c r="CC504" s="136">
        <f t="shared" si="740"/>
        <v>0</v>
      </c>
      <c r="CD504" s="135">
        <f t="shared" si="741"/>
        <v>0</v>
      </c>
      <c r="CE504" s="135">
        <f t="shared" si="742"/>
        <v>0</v>
      </c>
      <c r="CF504" s="134">
        <f t="shared" si="743"/>
        <v>0</v>
      </c>
      <c r="CG504" s="134">
        <f t="shared" si="744"/>
        <v>0</v>
      </c>
      <c r="CH504" s="133" t="e">
        <f t="shared" si="745"/>
        <v>#DIV/0!</v>
      </c>
      <c r="CI504" s="121"/>
      <c r="CJ504" s="121"/>
    </row>
    <row r="505" spans="1:88" s="128" customFormat="1">
      <c r="A505" s="125">
        <f t="shared" si="733"/>
        <v>0</v>
      </c>
      <c r="B505" s="138" t="s">
        <v>187</v>
      </c>
      <c r="C505" s="121"/>
      <c r="D505" s="121" t="s">
        <v>197</v>
      </c>
      <c r="E505" s="121"/>
      <c r="F505" s="115"/>
      <c r="G505" s="120"/>
      <c r="H505" s="120"/>
      <c r="I505" s="121"/>
      <c r="J505" s="121"/>
      <c r="K505" s="121" t="s">
        <v>187</v>
      </c>
      <c r="L505" s="121"/>
      <c r="M505" s="123"/>
      <c r="N505" s="121" t="s">
        <v>323</v>
      </c>
      <c r="O505" s="121" t="s">
        <v>324</v>
      </c>
      <c r="P505" s="121"/>
      <c r="Q505" s="122">
        <f>3095*2.4</f>
        <v>7428</v>
      </c>
      <c r="R505" s="122"/>
      <c r="S505" s="122">
        <v>7500</v>
      </c>
      <c r="T505" s="122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0">
        <f t="shared" si="734"/>
        <v>0</v>
      </c>
      <c r="BE505" s="120">
        <f t="shared" si="735"/>
        <v>0</v>
      </c>
      <c r="BF505" s="137">
        <f t="shared" si="736"/>
        <v>0</v>
      </c>
      <c r="BG505" s="120"/>
      <c r="BH505" s="120"/>
      <c r="BI505" s="120"/>
      <c r="BJ505" s="120"/>
      <c r="BK505" s="120"/>
      <c r="BL505" s="120"/>
      <c r="BM505" s="120"/>
      <c r="BN505" s="120"/>
      <c r="BO505" s="124"/>
      <c r="BP505" s="124"/>
      <c r="BQ505" s="124"/>
      <c r="BR505" s="120"/>
      <c r="BS505" s="120"/>
      <c r="BT505" s="120"/>
      <c r="BU505" s="120"/>
      <c r="BV505" s="120"/>
      <c r="BW505" s="120"/>
      <c r="BX505" s="121"/>
      <c r="BY505" s="121"/>
      <c r="BZ505" s="136">
        <f t="shared" si="737"/>
        <v>0</v>
      </c>
      <c r="CA505" s="136">
        <f t="shared" si="738"/>
        <v>0</v>
      </c>
      <c r="CB505" s="136">
        <f t="shared" si="739"/>
        <v>0</v>
      </c>
      <c r="CC505" s="136">
        <f t="shared" si="740"/>
        <v>0</v>
      </c>
      <c r="CD505" s="135">
        <f t="shared" si="741"/>
        <v>0</v>
      </c>
      <c r="CE505" s="135">
        <f t="shared" si="742"/>
        <v>0</v>
      </c>
      <c r="CF505" s="134">
        <f t="shared" si="743"/>
        <v>0</v>
      </c>
      <c r="CG505" s="134">
        <f t="shared" si="744"/>
        <v>0</v>
      </c>
      <c r="CH505" s="133" t="e">
        <f t="shared" si="745"/>
        <v>#DIV/0!</v>
      </c>
      <c r="CI505" s="121"/>
      <c r="CJ505" s="121"/>
    </row>
    <row r="506" spans="1:88" s="128" customFormat="1">
      <c r="A506" s="125">
        <f t="shared" si="733"/>
        <v>0</v>
      </c>
      <c r="B506" s="138" t="s">
        <v>187</v>
      </c>
      <c r="C506" s="121"/>
      <c r="D506" s="121" t="s">
        <v>215</v>
      </c>
      <c r="E506" s="121"/>
      <c r="F506" s="115"/>
      <c r="G506" s="120"/>
      <c r="H506" s="120"/>
      <c r="I506" s="121"/>
      <c r="J506" s="121"/>
      <c r="K506" s="121" t="s">
        <v>187</v>
      </c>
      <c r="L506" s="121"/>
      <c r="M506" s="123"/>
      <c r="N506" s="121" t="s">
        <v>310</v>
      </c>
      <c r="O506" s="121" t="s">
        <v>311</v>
      </c>
      <c r="P506" s="121"/>
      <c r="Q506" s="122">
        <f>3128*2.4</f>
        <v>7507.2</v>
      </c>
      <c r="R506" s="122"/>
      <c r="S506" s="122">
        <v>7500</v>
      </c>
      <c r="T506" s="122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0">
        <f t="shared" si="734"/>
        <v>0</v>
      </c>
      <c r="BE506" s="120">
        <f t="shared" si="735"/>
        <v>0</v>
      </c>
      <c r="BF506" s="137">
        <f t="shared" si="736"/>
        <v>0</v>
      </c>
      <c r="BG506" s="120"/>
      <c r="BH506" s="120"/>
      <c r="BI506" s="120"/>
      <c r="BJ506" s="120"/>
      <c r="BK506" s="120"/>
      <c r="BL506" s="120"/>
      <c r="BM506" s="120"/>
      <c r="BN506" s="120"/>
      <c r="BO506" s="124"/>
      <c r="BP506" s="124"/>
      <c r="BQ506" s="124"/>
      <c r="BR506" s="120"/>
      <c r="BS506" s="120"/>
      <c r="BT506" s="120"/>
      <c r="BU506" s="120"/>
      <c r="BV506" s="120"/>
      <c r="BW506" s="120"/>
      <c r="BX506" s="121"/>
      <c r="BY506" s="121"/>
      <c r="BZ506" s="136">
        <f t="shared" si="737"/>
        <v>0</v>
      </c>
      <c r="CA506" s="136">
        <f t="shared" si="738"/>
        <v>0</v>
      </c>
      <c r="CB506" s="136">
        <f t="shared" si="739"/>
        <v>0</v>
      </c>
      <c r="CC506" s="136">
        <f t="shared" si="740"/>
        <v>0</v>
      </c>
      <c r="CD506" s="135">
        <f t="shared" si="741"/>
        <v>0</v>
      </c>
      <c r="CE506" s="135">
        <f t="shared" si="742"/>
        <v>0</v>
      </c>
      <c r="CF506" s="134">
        <f t="shared" si="743"/>
        <v>0</v>
      </c>
      <c r="CG506" s="134">
        <f t="shared" si="744"/>
        <v>0</v>
      </c>
      <c r="CH506" s="133" t="e">
        <f t="shared" si="745"/>
        <v>#DIV/0!</v>
      </c>
      <c r="CI506" s="121"/>
      <c r="CJ506" s="121"/>
    </row>
    <row r="507" spans="1:88" s="121" customFormat="1">
      <c r="A507" s="125">
        <f t="shared" si="733"/>
        <v>0</v>
      </c>
      <c r="B507" s="138" t="s">
        <v>187</v>
      </c>
      <c r="D507" s="121" t="s">
        <v>197</v>
      </c>
      <c r="F507" s="115"/>
      <c r="G507" s="120"/>
      <c r="H507" s="120"/>
      <c r="K507" s="121" t="s">
        <v>187</v>
      </c>
      <c r="M507" s="123"/>
      <c r="N507" s="121" t="s">
        <v>257</v>
      </c>
      <c r="O507" s="121" t="s">
        <v>4125</v>
      </c>
      <c r="Q507" s="122">
        <f>3141*2.4</f>
        <v>7538.4</v>
      </c>
      <c r="R507" s="122"/>
      <c r="S507" s="122">
        <v>7500</v>
      </c>
      <c r="T507" s="122"/>
      <c r="BD507" s="120">
        <f t="shared" si="734"/>
        <v>0</v>
      </c>
      <c r="BE507" s="120">
        <f t="shared" si="735"/>
        <v>0</v>
      </c>
      <c r="BF507" s="137">
        <f t="shared" si="736"/>
        <v>0</v>
      </c>
      <c r="BG507" s="120"/>
      <c r="BH507" s="120"/>
      <c r="BI507" s="120"/>
      <c r="BJ507" s="120"/>
      <c r="BK507" s="120"/>
      <c r="BL507" s="120"/>
      <c r="BM507" s="120"/>
      <c r="BN507" s="120"/>
      <c r="BO507" s="120"/>
      <c r="BP507" s="120"/>
      <c r="BQ507" s="124"/>
      <c r="BR507" s="120"/>
      <c r="BS507" s="120"/>
      <c r="BT507" s="120"/>
      <c r="BU507" s="120"/>
      <c r="BV507" s="120"/>
      <c r="BW507" s="120"/>
      <c r="BZ507" s="136">
        <f t="shared" si="737"/>
        <v>0</v>
      </c>
      <c r="CA507" s="136">
        <f t="shared" si="738"/>
        <v>0</v>
      </c>
      <c r="CB507" s="136">
        <f t="shared" si="739"/>
        <v>0</v>
      </c>
      <c r="CC507" s="136">
        <f t="shared" si="740"/>
        <v>0</v>
      </c>
      <c r="CD507" s="135">
        <f t="shared" si="741"/>
        <v>0</v>
      </c>
      <c r="CE507" s="135">
        <f t="shared" si="742"/>
        <v>0</v>
      </c>
      <c r="CF507" s="134">
        <f t="shared" si="743"/>
        <v>0</v>
      </c>
      <c r="CG507" s="134">
        <f t="shared" si="744"/>
        <v>0</v>
      </c>
      <c r="CH507" s="133" t="e">
        <f t="shared" si="745"/>
        <v>#DIV/0!</v>
      </c>
    </row>
    <row r="508" spans="1:88" s="121" customFormat="1">
      <c r="A508" s="125">
        <f t="shared" si="733"/>
        <v>0</v>
      </c>
      <c r="B508" s="138" t="s">
        <v>187</v>
      </c>
      <c r="D508" s="121" t="s">
        <v>197</v>
      </c>
      <c r="F508" s="115"/>
      <c r="G508" s="120"/>
      <c r="H508" s="120"/>
      <c r="K508" s="121" t="s">
        <v>187</v>
      </c>
      <c r="M508" s="123"/>
      <c r="N508" s="121" t="s">
        <v>4130</v>
      </c>
      <c r="O508" s="121" t="s">
        <v>356</v>
      </c>
      <c r="Q508" s="122">
        <f>3107*2.4</f>
        <v>7456.7999999999993</v>
      </c>
      <c r="R508" s="122"/>
      <c r="S508" s="122">
        <v>7500</v>
      </c>
      <c r="T508" s="122"/>
      <c r="U508" s="128"/>
      <c r="V508" s="128"/>
      <c r="W508" s="128"/>
      <c r="X508" s="128"/>
      <c r="Y508" s="128"/>
      <c r="AB508" s="128"/>
      <c r="AC508" s="128"/>
      <c r="AD508" s="128"/>
      <c r="AE508" s="128"/>
      <c r="BD508" s="120">
        <f t="shared" si="734"/>
        <v>0</v>
      </c>
      <c r="BE508" s="120">
        <f t="shared" si="735"/>
        <v>0</v>
      </c>
      <c r="BF508" s="137">
        <f t="shared" si="736"/>
        <v>0</v>
      </c>
      <c r="BG508" s="120"/>
      <c r="BH508" s="120"/>
      <c r="BI508" s="120"/>
      <c r="BJ508" s="120"/>
      <c r="BK508" s="120"/>
      <c r="BL508" s="120"/>
      <c r="BM508" s="120"/>
      <c r="BN508" s="120"/>
      <c r="BO508" s="120"/>
      <c r="BP508" s="120"/>
      <c r="BQ508" s="124"/>
      <c r="BR508" s="120"/>
      <c r="BS508" s="120"/>
      <c r="BT508" s="120"/>
      <c r="BU508" s="120"/>
      <c r="BV508" s="120"/>
      <c r="BW508" s="120"/>
      <c r="BZ508" s="136">
        <f t="shared" si="737"/>
        <v>0</v>
      </c>
      <c r="CA508" s="136">
        <f t="shared" si="738"/>
        <v>0</v>
      </c>
      <c r="CB508" s="136">
        <f t="shared" si="739"/>
        <v>0</v>
      </c>
      <c r="CC508" s="136">
        <f t="shared" si="740"/>
        <v>0</v>
      </c>
      <c r="CD508" s="135">
        <f t="shared" si="741"/>
        <v>0</v>
      </c>
      <c r="CE508" s="135">
        <f t="shared" si="742"/>
        <v>0</v>
      </c>
      <c r="CF508" s="134">
        <f t="shared" si="743"/>
        <v>0</v>
      </c>
      <c r="CG508" s="134">
        <f t="shared" si="744"/>
        <v>0</v>
      </c>
      <c r="CH508" s="133" t="e">
        <f t="shared" si="745"/>
        <v>#DIV/0!</v>
      </c>
      <c r="CI508" s="128"/>
    </row>
    <row r="509" spans="1:88" s="121" customFormat="1">
      <c r="A509" s="125">
        <f t="shared" si="733"/>
        <v>0</v>
      </c>
      <c r="B509" s="138" t="s">
        <v>187</v>
      </c>
      <c r="D509" s="121" t="s">
        <v>197</v>
      </c>
      <c r="F509" s="115"/>
      <c r="G509" s="120"/>
      <c r="H509" s="120"/>
      <c r="K509" s="121" t="s">
        <v>187</v>
      </c>
      <c r="M509" s="123"/>
      <c r="N509" s="121" t="s">
        <v>4131</v>
      </c>
      <c r="O509" s="121" t="s">
        <v>308</v>
      </c>
      <c r="Q509" s="122">
        <f>3170*2.4</f>
        <v>7608</v>
      </c>
      <c r="R509" s="122"/>
      <c r="S509" s="122">
        <v>7600</v>
      </c>
      <c r="T509" s="122"/>
      <c r="U509" s="128"/>
      <c r="V509" s="128"/>
      <c r="W509" s="128"/>
      <c r="X509" s="128"/>
      <c r="Y509" s="128"/>
      <c r="AB509" s="128"/>
      <c r="AC509" s="128"/>
      <c r="AD509" s="128"/>
      <c r="AE509" s="128"/>
      <c r="BD509" s="120">
        <f t="shared" si="734"/>
        <v>0</v>
      </c>
      <c r="BE509" s="120">
        <f t="shared" si="735"/>
        <v>0</v>
      </c>
      <c r="BF509" s="137">
        <f t="shared" si="736"/>
        <v>0</v>
      </c>
      <c r="BG509" s="120"/>
      <c r="BH509" s="120"/>
      <c r="BI509" s="120"/>
      <c r="BJ509" s="120"/>
      <c r="BK509" s="120"/>
      <c r="BL509" s="120"/>
      <c r="BM509" s="120"/>
      <c r="BN509" s="120"/>
      <c r="BO509" s="120"/>
      <c r="BP509" s="120"/>
      <c r="BQ509" s="124"/>
      <c r="BR509" s="120"/>
      <c r="BS509" s="120"/>
      <c r="BT509" s="120"/>
      <c r="BU509" s="120"/>
      <c r="BV509" s="120"/>
      <c r="BW509" s="120"/>
      <c r="BZ509" s="136">
        <f t="shared" si="737"/>
        <v>0</v>
      </c>
      <c r="CA509" s="136">
        <f t="shared" si="738"/>
        <v>0</v>
      </c>
      <c r="CB509" s="136">
        <f t="shared" si="739"/>
        <v>0</v>
      </c>
      <c r="CC509" s="136">
        <f t="shared" si="740"/>
        <v>0</v>
      </c>
      <c r="CD509" s="135">
        <f t="shared" si="741"/>
        <v>0</v>
      </c>
      <c r="CE509" s="135">
        <f t="shared" si="742"/>
        <v>0</v>
      </c>
      <c r="CF509" s="134">
        <f t="shared" si="743"/>
        <v>0</v>
      </c>
      <c r="CG509" s="134">
        <f t="shared" si="744"/>
        <v>0</v>
      </c>
      <c r="CH509" s="133" t="e">
        <f t="shared" si="745"/>
        <v>#DIV/0!</v>
      </c>
      <c r="CI509" s="128"/>
    </row>
    <row r="510" spans="1:88" s="121" customFormat="1">
      <c r="A510" s="125">
        <f t="shared" si="733"/>
        <v>0</v>
      </c>
      <c r="B510" s="138" t="s">
        <v>187</v>
      </c>
      <c r="D510" s="121" t="s">
        <v>197</v>
      </c>
      <c r="F510" s="115"/>
      <c r="G510" s="120"/>
      <c r="H510" s="120"/>
      <c r="K510" s="121" t="s">
        <v>187</v>
      </c>
      <c r="M510" s="129"/>
      <c r="N510" s="121" t="s">
        <v>70</v>
      </c>
      <c r="O510" s="121" t="s">
        <v>209</v>
      </c>
      <c r="Q510" s="122">
        <f>3128*2.4</f>
        <v>7507.2</v>
      </c>
      <c r="R510" s="122"/>
      <c r="S510" s="122">
        <v>7500</v>
      </c>
      <c r="T510" s="122"/>
      <c r="BD510" s="120">
        <f t="shared" si="734"/>
        <v>0</v>
      </c>
      <c r="BE510" s="120">
        <f t="shared" si="735"/>
        <v>0</v>
      </c>
      <c r="BF510" s="137">
        <f t="shared" si="736"/>
        <v>0</v>
      </c>
      <c r="BG510" s="120"/>
      <c r="BH510" s="120"/>
      <c r="BI510" s="120"/>
      <c r="BJ510" s="120"/>
      <c r="BK510" s="120"/>
      <c r="BL510" s="120"/>
      <c r="BM510" s="120"/>
      <c r="BN510" s="120"/>
      <c r="BO510" s="120"/>
      <c r="BP510" s="120"/>
      <c r="BQ510" s="124"/>
      <c r="BR510" s="120"/>
      <c r="BS510" s="120"/>
      <c r="BT510" s="120"/>
      <c r="BU510" s="120"/>
      <c r="BV510" s="120"/>
      <c r="BW510" s="120"/>
      <c r="BZ510" s="136">
        <f t="shared" si="737"/>
        <v>0</v>
      </c>
      <c r="CA510" s="136">
        <f t="shared" si="738"/>
        <v>0</v>
      </c>
      <c r="CB510" s="136">
        <f t="shared" si="739"/>
        <v>0</v>
      </c>
      <c r="CC510" s="136">
        <f t="shared" si="740"/>
        <v>0</v>
      </c>
      <c r="CD510" s="135">
        <f t="shared" si="741"/>
        <v>0</v>
      </c>
      <c r="CE510" s="135">
        <f t="shared" si="742"/>
        <v>0</v>
      </c>
      <c r="CF510" s="134">
        <f t="shared" si="743"/>
        <v>0</v>
      </c>
      <c r="CG510" s="134">
        <f t="shared" si="744"/>
        <v>0</v>
      </c>
      <c r="CH510" s="133" t="e">
        <f t="shared" si="745"/>
        <v>#DIV/0!</v>
      </c>
      <c r="CI510" s="141"/>
    </row>
    <row r="511" spans="1:88" s="121" customFormat="1">
      <c r="A511" s="125">
        <f t="shared" si="733"/>
        <v>0</v>
      </c>
      <c r="B511" s="138" t="s">
        <v>187</v>
      </c>
      <c r="D511" s="121" t="s">
        <v>197</v>
      </c>
      <c r="F511" s="115"/>
      <c r="G511" s="120"/>
      <c r="H511" s="120"/>
      <c r="K511" s="121" t="s">
        <v>187</v>
      </c>
      <c r="M511" s="123"/>
      <c r="N511" s="121" t="s">
        <v>233</v>
      </c>
      <c r="O511" s="121" t="s">
        <v>234</v>
      </c>
      <c r="Q511" s="122">
        <f>3215*2.4</f>
        <v>7716</v>
      </c>
      <c r="R511" s="122"/>
      <c r="S511" s="122">
        <v>7700</v>
      </c>
      <c r="T511" s="122"/>
      <c r="BD511" s="120">
        <f t="shared" si="734"/>
        <v>0</v>
      </c>
      <c r="BE511" s="120">
        <f t="shared" si="735"/>
        <v>0</v>
      </c>
      <c r="BF511" s="137">
        <f t="shared" si="736"/>
        <v>0</v>
      </c>
      <c r="BG511" s="120"/>
      <c r="BH511" s="120"/>
      <c r="BI511" s="120"/>
      <c r="BJ511" s="120"/>
      <c r="BK511" s="120"/>
      <c r="BL511" s="120"/>
      <c r="BM511" s="120"/>
      <c r="BN511" s="120"/>
      <c r="BO511" s="124"/>
      <c r="BP511" s="124"/>
      <c r="BQ511" s="124"/>
      <c r="BR511" s="120"/>
      <c r="BS511" s="120"/>
      <c r="BT511" s="120"/>
      <c r="BU511" s="120"/>
      <c r="BV511" s="120"/>
      <c r="BW511" s="120"/>
      <c r="BZ511" s="136">
        <f t="shared" si="737"/>
        <v>0</v>
      </c>
      <c r="CA511" s="136">
        <f t="shared" si="738"/>
        <v>0</v>
      </c>
      <c r="CB511" s="136">
        <f t="shared" si="739"/>
        <v>0</v>
      </c>
      <c r="CC511" s="136">
        <f t="shared" si="740"/>
        <v>0</v>
      </c>
      <c r="CD511" s="135">
        <f t="shared" si="741"/>
        <v>0</v>
      </c>
      <c r="CE511" s="135">
        <f t="shared" si="742"/>
        <v>0</v>
      </c>
      <c r="CF511" s="134">
        <f t="shared" si="743"/>
        <v>0</v>
      </c>
      <c r="CG511" s="134">
        <f t="shared" si="744"/>
        <v>0</v>
      </c>
      <c r="CH511" s="133" t="e">
        <f t="shared" si="745"/>
        <v>#DIV/0!</v>
      </c>
    </row>
    <row r="512" spans="1:88" s="121" customFormat="1">
      <c r="A512" s="125">
        <f t="shared" si="733"/>
        <v>0</v>
      </c>
      <c r="B512" s="138" t="s">
        <v>187</v>
      </c>
      <c r="D512" s="121" t="s">
        <v>197</v>
      </c>
      <c r="F512" s="115"/>
      <c r="G512" s="120"/>
      <c r="H512" s="120"/>
      <c r="K512" s="121" t="s">
        <v>187</v>
      </c>
      <c r="M512" s="123"/>
      <c r="N512" s="121" t="s">
        <v>4127</v>
      </c>
      <c r="O512" s="121" t="s">
        <v>255</v>
      </c>
      <c r="Q512" s="122">
        <f>3047*2.4</f>
        <v>7312.8</v>
      </c>
      <c r="R512" s="122"/>
      <c r="S512" s="122">
        <v>7400</v>
      </c>
      <c r="T512" s="122"/>
      <c r="BD512" s="120">
        <f t="shared" si="734"/>
        <v>0</v>
      </c>
      <c r="BE512" s="120">
        <f t="shared" si="735"/>
        <v>0</v>
      </c>
      <c r="BF512" s="137">
        <f t="shared" si="736"/>
        <v>0</v>
      </c>
      <c r="BG512" s="120"/>
      <c r="BH512" s="120"/>
      <c r="BI512" s="120"/>
      <c r="BJ512" s="120"/>
      <c r="BK512" s="120"/>
      <c r="BL512" s="120"/>
      <c r="BM512" s="120"/>
      <c r="BN512" s="120"/>
      <c r="BO512" s="124"/>
      <c r="BP512" s="124"/>
      <c r="BQ512" s="124"/>
      <c r="BR512" s="120"/>
      <c r="BS512" s="120"/>
      <c r="BT512" s="120"/>
      <c r="BU512" s="120"/>
      <c r="BV512" s="120"/>
      <c r="BW512" s="120"/>
      <c r="BZ512" s="136">
        <f t="shared" si="737"/>
        <v>0</v>
      </c>
      <c r="CA512" s="136">
        <f t="shared" si="738"/>
        <v>0</v>
      </c>
      <c r="CB512" s="136">
        <f t="shared" si="739"/>
        <v>0</v>
      </c>
      <c r="CC512" s="136">
        <f t="shared" si="740"/>
        <v>0</v>
      </c>
      <c r="CD512" s="135">
        <f t="shared" si="741"/>
        <v>0</v>
      </c>
      <c r="CE512" s="135">
        <f t="shared" si="742"/>
        <v>0</v>
      </c>
      <c r="CF512" s="134">
        <f t="shared" si="743"/>
        <v>0</v>
      </c>
      <c r="CG512" s="134">
        <f t="shared" si="744"/>
        <v>0</v>
      </c>
      <c r="CH512" s="133" t="e">
        <f t="shared" si="745"/>
        <v>#DIV/0!</v>
      </c>
    </row>
    <row r="513" spans="1:88" s="121" customFormat="1">
      <c r="A513" s="125">
        <f t="shared" si="733"/>
        <v>0</v>
      </c>
      <c r="B513" s="138" t="s">
        <v>187</v>
      </c>
      <c r="D513" s="121" t="s">
        <v>215</v>
      </c>
      <c r="F513" s="115"/>
      <c r="G513" s="120"/>
      <c r="H513" s="120"/>
      <c r="K513" s="121" t="s">
        <v>187</v>
      </c>
      <c r="M513" s="123"/>
      <c r="N513" s="121" t="s">
        <v>222</v>
      </c>
      <c r="O513" s="121" t="s">
        <v>223</v>
      </c>
      <c r="Q513" s="122">
        <f>3136*2.4</f>
        <v>7526.4</v>
      </c>
      <c r="R513" s="122"/>
      <c r="S513" s="122">
        <v>7500</v>
      </c>
      <c r="T513" s="122"/>
      <c r="BD513" s="120">
        <f t="shared" si="734"/>
        <v>0</v>
      </c>
      <c r="BE513" s="120">
        <f t="shared" si="735"/>
        <v>0</v>
      </c>
      <c r="BF513" s="137">
        <f t="shared" si="736"/>
        <v>0</v>
      </c>
      <c r="BG513" s="120"/>
      <c r="BH513" s="120"/>
      <c r="BI513" s="120"/>
      <c r="BJ513" s="120"/>
      <c r="BK513" s="120"/>
      <c r="BL513" s="120"/>
      <c r="BM513" s="120"/>
      <c r="BN513" s="120"/>
      <c r="BO513" s="120"/>
      <c r="BP513" s="120"/>
      <c r="BQ513" s="124"/>
      <c r="BR513" s="120"/>
      <c r="BS513" s="120"/>
      <c r="BT513" s="120"/>
      <c r="BU513" s="120"/>
      <c r="BV513" s="120"/>
      <c r="BW513" s="120"/>
      <c r="BZ513" s="136">
        <f t="shared" si="737"/>
        <v>0</v>
      </c>
      <c r="CA513" s="136">
        <f t="shared" si="738"/>
        <v>0</v>
      </c>
      <c r="CB513" s="136">
        <f t="shared" si="739"/>
        <v>0</v>
      </c>
      <c r="CC513" s="136">
        <f t="shared" si="740"/>
        <v>0</v>
      </c>
      <c r="CD513" s="135">
        <f t="shared" si="741"/>
        <v>0</v>
      </c>
      <c r="CE513" s="135">
        <f t="shared" si="742"/>
        <v>0</v>
      </c>
      <c r="CF513" s="134">
        <f t="shared" si="743"/>
        <v>0</v>
      </c>
      <c r="CG513" s="134">
        <f t="shared" si="744"/>
        <v>0</v>
      </c>
      <c r="CH513" s="133" t="e">
        <f t="shared" si="745"/>
        <v>#DIV/0!</v>
      </c>
      <c r="CJ513" s="128"/>
    </row>
    <row r="514" spans="1:88" s="121" customFormat="1">
      <c r="A514" s="125">
        <f t="shared" si="733"/>
        <v>0</v>
      </c>
      <c r="B514" s="138" t="s">
        <v>187</v>
      </c>
      <c r="D514" s="121" t="s">
        <v>215</v>
      </c>
      <c r="F514" s="115"/>
      <c r="G514" s="120"/>
      <c r="H514" s="120"/>
      <c r="K514" s="121" t="s">
        <v>187</v>
      </c>
      <c r="M514" s="123"/>
      <c r="N514" s="121" t="s">
        <v>222</v>
      </c>
      <c r="O514" s="121" t="s">
        <v>347</v>
      </c>
      <c r="Q514" s="122">
        <f>3136*2.4</f>
        <v>7526.4</v>
      </c>
      <c r="R514" s="122"/>
      <c r="S514" s="122">
        <v>7500</v>
      </c>
      <c r="T514" s="122"/>
      <c r="BD514" s="120">
        <f t="shared" si="734"/>
        <v>0</v>
      </c>
      <c r="BE514" s="120">
        <f t="shared" si="735"/>
        <v>0</v>
      </c>
      <c r="BF514" s="137">
        <f t="shared" si="736"/>
        <v>0</v>
      </c>
      <c r="BG514" s="120"/>
      <c r="BH514" s="120"/>
      <c r="BI514" s="120"/>
      <c r="BJ514" s="120"/>
      <c r="BK514" s="120"/>
      <c r="BL514" s="120"/>
      <c r="BM514" s="120"/>
      <c r="BN514" s="120"/>
      <c r="BO514" s="120"/>
      <c r="BP514" s="120"/>
      <c r="BQ514" s="124"/>
      <c r="BR514" s="120"/>
      <c r="BS514" s="120"/>
      <c r="BT514" s="120"/>
      <c r="BU514" s="120"/>
      <c r="BV514" s="120"/>
      <c r="BW514" s="120"/>
      <c r="BZ514" s="136">
        <f t="shared" si="737"/>
        <v>0</v>
      </c>
      <c r="CA514" s="136">
        <f t="shared" si="738"/>
        <v>0</v>
      </c>
      <c r="CB514" s="136">
        <f t="shared" si="739"/>
        <v>0</v>
      </c>
      <c r="CC514" s="136">
        <f t="shared" si="740"/>
        <v>0</v>
      </c>
      <c r="CD514" s="135">
        <f t="shared" si="741"/>
        <v>0</v>
      </c>
      <c r="CE514" s="135">
        <f t="shared" si="742"/>
        <v>0</v>
      </c>
      <c r="CF514" s="134">
        <f t="shared" si="743"/>
        <v>0</v>
      </c>
      <c r="CG514" s="134">
        <f t="shared" si="744"/>
        <v>0</v>
      </c>
      <c r="CH514" s="133" t="e">
        <f t="shared" si="745"/>
        <v>#DIV/0!</v>
      </c>
      <c r="CJ514" s="128"/>
    </row>
    <row r="515" spans="1:88" s="121" customFormat="1">
      <c r="A515" s="125">
        <f t="shared" si="733"/>
        <v>0</v>
      </c>
      <c r="B515" s="138" t="s">
        <v>187</v>
      </c>
      <c r="D515" s="121" t="s">
        <v>197</v>
      </c>
      <c r="F515" s="115"/>
      <c r="G515" s="120"/>
      <c r="H515" s="120"/>
      <c r="K515" s="121" t="s">
        <v>187</v>
      </c>
      <c r="M515" s="129"/>
      <c r="N515" s="121" t="s">
        <v>327</v>
      </c>
      <c r="O515" s="121" t="s">
        <v>4128</v>
      </c>
      <c r="Q515" s="122">
        <f>3107*2.4</f>
        <v>7456.7999999999993</v>
      </c>
      <c r="R515" s="122"/>
      <c r="S515" s="122">
        <v>7500</v>
      </c>
      <c r="T515" s="122"/>
      <c r="BD515" s="120">
        <f t="shared" si="734"/>
        <v>0</v>
      </c>
      <c r="BE515" s="120">
        <f t="shared" si="735"/>
        <v>0</v>
      </c>
      <c r="BF515" s="137">
        <f t="shared" si="736"/>
        <v>0</v>
      </c>
      <c r="BG515" s="120"/>
      <c r="BH515" s="120"/>
      <c r="BI515" s="120"/>
      <c r="BJ515" s="120"/>
      <c r="BK515" s="120"/>
      <c r="BL515" s="120"/>
      <c r="BM515" s="120"/>
      <c r="BN515" s="120"/>
      <c r="BO515" s="124"/>
      <c r="BP515" s="124"/>
      <c r="BQ515" s="124"/>
      <c r="BR515" s="120"/>
      <c r="BS515" s="120"/>
      <c r="BT515" s="120"/>
      <c r="BU515" s="120"/>
      <c r="BV515" s="120"/>
      <c r="BW515" s="120"/>
      <c r="BZ515" s="136">
        <f t="shared" si="737"/>
        <v>0</v>
      </c>
      <c r="CA515" s="136">
        <f t="shared" si="738"/>
        <v>0</v>
      </c>
      <c r="CB515" s="136">
        <f t="shared" si="739"/>
        <v>0</v>
      </c>
      <c r="CC515" s="136">
        <f t="shared" si="740"/>
        <v>0</v>
      </c>
      <c r="CD515" s="135">
        <f t="shared" si="741"/>
        <v>0</v>
      </c>
      <c r="CE515" s="135">
        <f t="shared" si="742"/>
        <v>0</v>
      </c>
      <c r="CF515" s="134">
        <f t="shared" si="743"/>
        <v>0</v>
      </c>
      <c r="CG515" s="134">
        <f t="shared" si="744"/>
        <v>0</v>
      </c>
      <c r="CH515" s="133" t="e">
        <f t="shared" si="745"/>
        <v>#DIV/0!</v>
      </c>
    </row>
    <row r="516" spans="1:88" s="121" customFormat="1">
      <c r="A516" s="125">
        <f t="shared" si="733"/>
        <v>0</v>
      </c>
      <c r="B516" s="138" t="s">
        <v>187</v>
      </c>
      <c r="D516" s="121" t="s">
        <v>215</v>
      </c>
      <c r="F516" s="115"/>
      <c r="G516" s="120"/>
      <c r="H516" s="120"/>
      <c r="K516" s="121" t="s">
        <v>187</v>
      </c>
      <c r="M516" s="123"/>
      <c r="N516" s="121" t="s">
        <v>274</v>
      </c>
      <c r="O516" s="121" t="s">
        <v>4132</v>
      </c>
      <c r="Q516" s="122">
        <f>3107*2.4</f>
        <v>7456.7999999999993</v>
      </c>
      <c r="R516" s="122"/>
      <c r="S516" s="122">
        <v>7500</v>
      </c>
      <c r="T516" s="122"/>
      <c r="BD516" s="120">
        <f t="shared" si="734"/>
        <v>0</v>
      </c>
      <c r="BE516" s="120">
        <f t="shared" si="735"/>
        <v>0</v>
      </c>
      <c r="BF516" s="137">
        <f t="shared" si="736"/>
        <v>0</v>
      </c>
      <c r="BG516" s="120"/>
      <c r="BH516" s="120"/>
      <c r="BI516" s="120"/>
      <c r="BJ516" s="120"/>
      <c r="BK516" s="120"/>
      <c r="BL516" s="120"/>
      <c r="BM516" s="120"/>
      <c r="BN516" s="120"/>
      <c r="BO516" s="120"/>
      <c r="BP516" s="120"/>
      <c r="BQ516" s="124"/>
      <c r="BR516" s="120"/>
      <c r="BS516" s="120"/>
      <c r="BT516" s="120"/>
      <c r="BU516" s="120"/>
      <c r="BV516" s="120"/>
      <c r="BW516" s="120"/>
      <c r="BZ516" s="136">
        <f t="shared" si="737"/>
        <v>0</v>
      </c>
      <c r="CA516" s="136">
        <f t="shared" si="738"/>
        <v>0</v>
      </c>
      <c r="CB516" s="136">
        <f t="shared" si="739"/>
        <v>0</v>
      </c>
      <c r="CC516" s="136">
        <f t="shared" si="740"/>
        <v>0</v>
      </c>
      <c r="CD516" s="135">
        <f t="shared" si="741"/>
        <v>0</v>
      </c>
      <c r="CE516" s="135">
        <f t="shared" si="742"/>
        <v>0</v>
      </c>
      <c r="CF516" s="134">
        <f t="shared" si="743"/>
        <v>0</v>
      </c>
      <c r="CG516" s="134">
        <f t="shared" si="744"/>
        <v>0</v>
      </c>
      <c r="CH516" s="133" t="e">
        <f t="shared" si="745"/>
        <v>#DIV/0!</v>
      </c>
    </row>
    <row r="517" spans="1:88" s="121" customFormat="1">
      <c r="A517" s="125">
        <f t="shared" si="733"/>
        <v>0</v>
      </c>
      <c r="B517" s="138" t="s">
        <v>187</v>
      </c>
      <c r="D517" s="121" t="s">
        <v>197</v>
      </c>
      <c r="F517" s="115"/>
      <c r="G517" s="120"/>
      <c r="H517" s="120"/>
      <c r="K517" s="121" t="s">
        <v>187</v>
      </c>
      <c r="M517" s="123"/>
      <c r="N517" s="121" t="s">
        <v>233</v>
      </c>
      <c r="O517" s="121" t="s">
        <v>234</v>
      </c>
      <c r="Q517" s="122">
        <f>3215*2.4</f>
        <v>7716</v>
      </c>
      <c r="R517" s="122"/>
      <c r="S517" s="122">
        <v>7700</v>
      </c>
      <c r="T517" s="122"/>
      <c r="BD517" s="120">
        <f t="shared" si="734"/>
        <v>0</v>
      </c>
      <c r="BE517" s="120">
        <f t="shared" si="735"/>
        <v>0</v>
      </c>
      <c r="BF517" s="137">
        <f t="shared" si="736"/>
        <v>0</v>
      </c>
      <c r="BG517" s="120"/>
      <c r="BH517" s="120"/>
      <c r="BI517" s="120"/>
      <c r="BJ517" s="120"/>
      <c r="BK517" s="120"/>
      <c r="BL517" s="120"/>
      <c r="BM517" s="120"/>
      <c r="BN517" s="120"/>
      <c r="BO517" s="120"/>
      <c r="BP517" s="140"/>
      <c r="BQ517" s="124"/>
      <c r="BR517" s="120"/>
      <c r="BS517" s="120"/>
      <c r="BT517" s="120"/>
      <c r="BU517" s="120"/>
      <c r="BV517" s="120"/>
      <c r="BW517" s="120"/>
      <c r="BZ517" s="136">
        <f t="shared" si="737"/>
        <v>0</v>
      </c>
      <c r="CA517" s="136">
        <f t="shared" si="738"/>
        <v>0</v>
      </c>
      <c r="CB517" s="136">
        <f t="shared" si="739"/>
        <v>0</v>
      </c>
      <c r="CC517" s="136">
        <f t="shared" si="740"/>
        <v>0</v>
      </c>
      <c r="CD517" s="135">
        <f t="shared" si="741"/>
        <v>0</v>
      </c>
      <c r="CE517" s="135">
        <f t="shared" si="742"/>
        <v>0</v>
      </c>
      <c r="CF517" s="134">
        <f t="shared" si="743"/>
        <v>0</v>
      </c>
      <c r="CG517" s="134">
        <f t="shared" si="744"/>
        <v>0</v>
      </c>
      <c r="CH517" s="133" t="e">
        <f t="shared" si="745"/>
        <v>#DIV/0!</v>
      </c>
    </row>
    <row r="518" spans="1:88" s="121" customFormat="1">
      <c r="A518" s="125">
        <f t="shared" si="733"/>
        <v>0</v>
      </c>
      <c r="B518" s="138" t="s">
        <v>187</v>
      </c>
      <c r="D518" s="121" t="s">
        <v>197</v>
      </c>
      <c r="F518" s="115"/>
      <c r="G518" s="120"/>
      <c r="H518" s="120"/>
      <c r="K518" s="121" t="s">
        <v>187</v>
      </c>
      <c r="M518" s="123"/>
      <c r="N518" s="121" t="s">
        <v>323</v>
      </c>
      <c r="O518" s="121" t="s">
        <v>324</v>
      </c>
      <c r="Q518" s="122">
        <f>3095*2.4</f>
        <v>7428</v>
      </c>
      <c r="R518" s="122"/>
      <c r="S518" s="122">
        <v>7500</v>
      </c>
      <c r="T518" s="122"/>
      <c r="BD518" s="120">
        <f t="shared" si="734"/>
        <v>0</v>
      </c>
      <c r="BE518" s="120">
        <f t="shared" si="735"/>
        <v>0</v>
      </c>
      <c r="BF518" s="137">
        <f t="shared" si="736"/>
        <v>0</v>
      </c>
      <c r="BG518" s="120"/>
      <c r="BH518" s="120"/>
      <c r="BI518" s="120"/>
      <c r="BJ518" s="120"/>
      <c r="BK518" s="120"/>
      <c r="BL518" s="120"/>
      <c r="BM518" s="120"/>
      <c r="BN518" s="120"/>
      <c r="BO518" s="120"/>
      <c r="BP518" s="140"/>
      <c r="BQ518" s="124"/>
      <c r="BR518" s="120"/>
      <c r="BS518" s="120"/>
      <c r="BT518" s="120"/>
      <c r="BU518" s="120"/>
      <c r="BV518" s="120"/>
      <c r="BW518" s="120"/>
      <c r="BZ518" s="136">
        <f t="shared" si="737"/>
        <v>0</v>
      </c>
      <c r="CA518" s="136">
        <f t="shared" si="738"/>
        <v>0</v>
      </c>
      <c r="CB518" s="136">
        <f t="shared" si="739"/>
        <v>0</v>
      </c>
      <c r="CC518" s="136">
        <f t="shared" si="740"/>
        <v>0</v>
      </c>
      <c r="CD518" s="135">
        <f t="shared" si="741"/>
        <v>0</v>
      </c>
      <c r="CE518" s="135">
        <f t="shared" si="742"/>
        <v>0</v>
      </c>
      <c r="CF518" s="134">
        <f t="shared" si="743"/>
        <v>0</v>
      </c>
      <c r="CG518" s="134">
        <f t="shared" si="744"/>
        <v>0</v>
      </c>
      <c r="CH518" s="133" t="e">
        <f t="shared" si="745"/>
        <v>#DIV/0!</v>
      </c>
      <c r="CJ518" s="128"/>
    </row>
    <row r="519" spans="1:88" s="121" customFormat="1">
      <c r="A519" s="125">
        <f>BJ519</f>
        <v>0</v>
      </c>
      <c r="B519" s="138" t="s">
        <v>187</v>
      </c>
      <c r="D519" s="121" t="s">
        <v>197</v>
      </c>
      <c r="F519" s="115"/>
      <c r="G519" s="120"/>
      <c r="H519" s="120"/>
      <c r="K519" s="121" t="s">
        <v>187</v>
      </c>
      <c r="M519" s="123"/>
      <c r="N519" s="121" t="s">
        <v>437</v>
      </c>
      <c r="O519" s="121" t="s">
        <v>438</v>
      </c>
      <c r="Q519" s="122">
        <f>3136*2.4</f>
        <v>7526.4</v>
      </c>
      <c r="R519" s="122"/>
      <c r="S519" s="122">
        <v>7500</v>
      </c>
      <c r="T519" s="122"/>
      <c r="BD519" s="120">
        <f>BG519</f>
        <v>0</v>
      </c>
      <c r="BE519" s="120">
        <f>BW519</f>
        <v>0</v>
      </c>
      <c r="BF519" s="137">
        <f>BE519-BD519</f>
        <v>0</v>
      </c>
      <c r="BG519" s="120"/>
      <c r="BH519" s="120"/>
      <c r="BI519" s="120"/>
      <c r="BJ519" s="120"/>
      <c r="BK519" s="120"/>
      <c r="BL519" s="120"/>
      <c r="BM519" s="120"/>
      <c r="BN519" s="120"/>
      <c r="BO519" s="120"/>
      <c r="BP519" s="120"/>
      <c r="BQ519" s="120"/>
      <c r="BR519" s="120"/>
      <c r="BS519" s="120"/>
      <c r="BT519" s="120"/>
      <c r="BU519" s="120"/>
      <c r="BV519" s="120"/>
      <c r="BW519" s="120"/>
      <c r="BZ519" s="136">
        <f t="shared" ref="BZ519:BZ526" si="746">(BI519-BH519)*24</f>
        <v>0</v>
      </c>
      <c r="CA519" s="136">
        <f t="shared" ref="CA519:CA526" si="747">(BK519-BJ519)*24</f>
        <v>0</v>
      </c>
      <c r="CB519" s="136">
        <f t="shared" ref="CB519:CB526" si="748">(BN519-BM519)*24</f>
        <v>0</v>
      </c>
      <c r="CC519" s="136">
        <f t="shared" ref="CC519:CC526" si="749">(BR519-BP519)*24</f>
        <v>0</v>
      </c>
      <c r="CD519" s="135">
        <f t="shared" ref="CD519:CD526" si="750">(BT519-BS519)*24</f>
        <v>0</v>
      </c>
      <c r="CE519" s="135">
        <f t="shared" ref="CE519:CE526" si="751">(BW519-BV519)*24</f>
        <v>0</v>
      </c>
      <c r="CF519" s="134">
        <f t="shared" ref="CF519:CF526" si="752">SUM(BZ519:CE519)/24</f>
        <v>0</v>
      </c>
      <c r="CG519" s="134">
        <f t="shared" ref="CG519:CG526" si="753">BF519</f>
        <v>0</v>
      </c>
      <c r="CH519" s="133" t="e">
        <f t="shared" ref="CH519:CH526" si="754">CF519/CG519</f>
        <v>#DIV/0!</v>
      </c>
    </row>
    <row r="520" spans="1:88" s="121" customFormat="1">
      <c r="A520" s="125">
        <f>BJ520</f>
        <v>0</v>
      </c>
      <c r="B520" s="138" t="s">
        <v>187</v>
      </c>
      <c r="D520" s="121" t="s">
        <v>197</v>
      </c>
      <c r="F520" s="115"/>
      <c r="G520" s="120"/>
      <c r="H520" s="120"/>
      <c r="K520" s="121" t="s">
        <v>187</v>
      </c>
      <c r="M520" s="123"/>
      <c r="N520" s="121" t="s">
        <v>257</v>
      </c>
      <c r="O520" s="121" t="s">
        <v>4122</v>
      </c>
      <c r="Q520" s="122">
        <f>3136*2.4</f>
        <v>7526.4</v>
      </c>
      <c r="R520" s="122"/>
      <c r="S520" s="122">
        <v>7500</v>
      </c>
      <c r="T520" s="122"/>
      <c r="BD520" s="120">
        <f>BG520</f>
        <v>0</v>
      </c>
      <c r="BE520" s="120">
        <f>BW520</f>
        <v>0</v>
      </c>
      <c r="BF520" s="137">
        <f>BE520-BD520</f>
        <v>0</v>
      </c>
      <c r="BG520" s="120"/>
      <c r="BH520" s="120"/>
      <c r="BI520" s="120"/>
      <c r="BJ520" s="120"/>
      <c r="BK520" s="120"/>
      <c r="BL520" s="120"/>
      <c r="BM520" s="120"/>
      <c r="BN520" s="120"/>
      <c r="BO520" s="120"/>
      <c r="BP520" s="140"/>
      <c r="BQ520" s="124"/>
      <c r="BR520" s="120"/>
      <c r="BS520" s="120"/>
      <c r="BT520" s="120"/>
      <c r="BU520" s="120"/>
      <c r="BV520" s="120"/>
      <c r="BW520" s="120"/>
      <c r="BZ520" s="136">
        <f t="shared" si="746"/>
        <v>0</v>
      </c>
      <c r="CA520" s="136">
        <f t="shared" si="747"/>
        <v>0</v>
      </c>
      <c r="CB520" s="136">
        <f t="shared" si="748"/>
        <v>0</v>
      </c>
      <c r="CC520" s="136">
        <f t="shared" si="749"/>
        <v>0</v>
      </c>
      <c r="CD520" s="135">
        <f t="shared" si="750"/>
        <v>0</v>
      </c>
      <c r="CE520" s="135">
        <f t="shared" si="751"/>
        <v>0</v>
      </c>
      <c r="CF520" s="134">
        <f t="shared" si="752"/>
        <v>0</v>
      </c>
      <c r="CG520" s="134">
        <f t="shared" si="753"/>
        <v>0</v>
      </c>
      <c r="CH520" s="133" t="e">
        <f t="shared" si="754"/>
        <v>#DIV/0!</v>
      </c>
    </row>
    <row r="521" spans="1:88" s="121" customFormat="1">
      <c r="A521" s="125">
        <f t="shared" ref="A521:A557" si="755">BJ521</f>
        <v>0</v>
      </c>
      <c r="B521" s="138" t="s">
        <v>187</v>
      </c>
      <c r="D521" s="121" t="s">
        <v>215</v>
      </c>
      <c r="F521" s="115"/>
      <c r="G521" s="120"/>
      <c r="H521" s="120"/>
      <c r="K521" s="121" t="s">
        <v>187</v>
      </c>
      <c r="M521" s="123"/>
      <c r="N521" s="121" t="s">
        <v>4133</v>
      </c>
      <c r="O521" s="121" t="s">
        <v>4134</v>
      </c>
      <c r="Q521" s="122">
        <f>3150*2.4</f>
        <v>7560</v>
      </c>
      <c r="R521" s="122"/>
      <c r="S521" s="122">
        <v>7500</v>
      </c>
      <c r="T521" s="122"/>
      <c r="BD521" s="120">
        <f t="shared" ref="BD521:BD557" si="756">BG521</f>
        <v>0</v>
      </c>
      <c r="BE521" s="120">
        <f t="shared" ref="BE521:BE557" si="757">BW521</f>
        <v>0</v>
      </c>
      <c r="BF521" s="137">
        <f t="shared" ref="BF521:BF557" si="758">BE521-BD521</f>
        <v>0</v>
      </c>
      <c r="BG521" s="120"/>
      <c r="BH521" s="120"/>
      <c r="BI521" s="120"/>
      <c r="BJ521" s="120"/>
      <c r="BK521" s="120"/>
      <c r="BL521" s="120"/>
      <c r="BM521" s="120"/>
      <c r="BN521" s="120"/>
      <c r="BO521" s="120"/>
      <c r="BP521" s="140"/>
      <c r="BQ521" s="124"/>
      <c r="BR521" s="120"/>
      <c r="BS521" s="120"/>
      <c r="BT521" s="120"/>
      <c r="BU521" s="120"/>
      <c r="BV521" s="120"/>
      <c r="BW521" s="120"/>
      <c r="BZ521" s="136">
        <f t="shared" si="746"/>
        <v>0</v>
      </c>
      <c r="CA521" s="136">
        <f t="shared" si="747"/>
        <v>0</v>
      </c>
      <c r="CB521" s="136">
        <f t="shared" si="748"/>
        <v>0</v>
      </c>
      <c r="CC521" s="136">
        <f t="shared" si="749"/>
        <v>0</v>
      </c>
      <c r="CD521" s="135">
        <f t="shared" si="750"/>
        <v>0</v>
      </c>
      <c r="CE521" s="135">
        <f t="shared" si="751"/>
        <v>0</v>
      </c>
      <c r="CF521" s="134">
        <f t="shared" si="752"/>
        <v>0</v>
      </c>
      <c r="CG521" s="134">
        <f t="shared" si="753"/>
        <v>0</v>
      </c>
      <c r="CH521" s="133" t="e">
        <f t="shared" si="754"/>
        <v>#DIV/0!</v>
      </c>
      <c r="CJ521" s="128"/>
    </row>
    <row r="522" spans="1:88" s="121" customFormat="1">
      <c r="A522" s="125">
        <f t="shared" si="755"/>
        <v>0</v>
      </c>
      <c r="B522" s="138" t="s">
        <v>187</v>
      </c>
      <c r="D522" s="121" t="s">
        <v>197</v>
      </c>
      <c r="F522" s="115"/>
      <c r="G522" s="120"/>
      <c r="H522" s="120"/>
      <c r="K522" s="121" t="s">
        <v>187</v>
      </c>
      <c r="M522" s="123"/>
      <c r="N522" s="121" t="s">
        <v>1799</v>
      </c>
      <c r="O522" s="121" t="s">
        <v>4135</v>
      </c>
      <c r="Q522" s="122">
        <f>3142*2.4</f>
        <v>7540.7999999999993</v>
      </c>
      <c r="R522" s="122"/>
      <c r="S522" s="122">
        <v>7500</v>
      </c>
      <c r="T522" s="122"/>
      <c r="BD522" s="120">
        <f t="shared" si="756"/>
        <v>0</v>
      </c>
      <c r="BE522" s="120">
        <f t="shared" si="757"/>
        <v>0</v>
      </c>
      <c r="BF522" s="137">
        <f t="shared" si="758"/>
        <v>0</v>
      </c>
      <c r="BG522" s="120"/>
      <c r="BH522" s="120"/>
      <c r="BI522" s="120"/>
      <c r="BJ522" s="120"/>
      <c r="BK522" s="120"/>
      <c r="BL522" s="120"/>
      <c r="BM522" s="120"/>
      <c r="BN522" s="120"/>
      <c r="BO522" s="120"/>
      <c r="BP522" s="140"/>
      <c r="BQ522" s="124"/>
      <c r="BR522" s="120"/>
      <c r="BS522" s="120"/>
      <c r="BT522" s="120"/>
      <c r="BU522" s="120"/>
      <c r="BV522" s="120"/>
      <c r="BW522" s="120"/>
      <c r="BZ522" s="136">
        <f t="shared" si="746"/>
        <v>0</v>
      </c>
      <c r="CA522" s="136">
        <f t="shared" si="747"/>
        <v>0</v>
      </c>
      <c r="CB522" s="136">
        <f t="shared" si="748"/>
        <v>0</v>
      </c>
      <c r="CC522" s="136">
        <f t="shared" si="749"/>
        <v>0</v>
      </c>
      <c r="CD522" s="135">
        <f t="shared" si="750"/>
        <v>0</v>
      </c>
      <c r="CE522" s="135">
        <f t="shared" si="751"/>
        <v>0</v>
      </c>
      <c r="CF522" s="134">
        <f t="shared" si="752"/>
        <v>0</v>
      </c>
      <c r="CG522" s="134">
        <f t="shared" si="753"/>
        <v>0</v>
      </c>
      <c r="CH522" s="133" t="e">
        <f t="shared" si="754"/>
        <v>#DIV/0!</v>
      </c>
    </row>
    <row r="523" spans="1:88" s="121" customFormat="1">
      <c r="A523" s="125">
        <f t="shared" si="755"/>
        <v>0</v>
      </c>
      <c r="B523" s="138" t="s">
        <v>187</v>
      </c>
      <c r="D523" s="121" t="s">
        <v>197</v>
      </c>
      <c r="F523" s="115"/>
      <c r="G523" s="120"/>
      <c r="H523" s="120"/>
      <c r="K523" s="121" t="s">
        <v>187</v>
      </c>
      <c r="M523" s="123"/>
      <c r="N523" s="121" t="s">
        <v>343</v>
      </c>
      <c r="O523" s="121" t="s">
        <v>4125</v>
      </c>
      <c r="Q523" s="122">
        <f>3141*2.4</f>
        <v>7538.4</v>
      </c>
      <c r="R523" s="122"/>
      <c r="S523" s="122">
        <v>7500</v>
      </c>
      <c r="T523" s="122"/>
      <c r="BD523" s="120">
        <f t="shared" si="756"/>
        <v>0</v>
      </c>
      <c r="BE523" s="120">
        <f t="shared" si="757"/>
        <v>0</v>
      </c>
      <c r="BF523" s="137">
        <f t="shared" si="758"/>
        <v>0</v>
      </c>
      <c r="BG523" s="120"/>
      <c r="BH523" s="120"/>
      <c r="BI523" s="120"/>
      <c r="BJ523" s="120"/>
      <c r="BK523" s="120"/>
      <c r="BL523" s="120"/>
      <c r="BM523" s="120"/>
      <c r="BN523" s="120"/>
      <c r="BO523" s="120"/>
      <c r="BP523" s="140"/>
      <c r="BQ523" s="124"/>
      <c r="BR523" s="120"/>
      <c r="BS523" s="120"/>
      <c r="BT523" s="120"/>
      <c r="BU523" s="120"/>
      <c r="BV523" s="120"/>
      <c r="BW523" s="120"/>
      <c r="BZ523" s="136">
        <f t="shared" si="746"/>
        <v>0</v>
      </c>
      <c r="CA523" s="136">
        <f t="shared" si="747"/>
        <v>0</v>
      </c>
      <c r="CB523" s="136">
        <f t="shared" si="748"/>
        <v>0</v>
      </c>
      <c r="CC523" s="136">
        <f t="shared" si="749"/>
        <v>0</v>
      </c>
      <c r="CD523" s="135">
        <f t="shared" si="750"/>
        <v>0</v>
      </c>
      <c r="CE523" s="135">
        <f t="shared" si="751"/>
        <v>0</v>
      </c>
      <c r="CF523" s="134">
        <f t="shared" si="752"/>
        <v>0</v>
      </c>
      <c r="CG523" s="134">
        <f t="shared" si="753"/>
        <v>0</v>
      </c>
      <c r="CH523" s="133" t="e">
        <f t="shared" si="754"/>
        <v>#DIV/0!</v>
      </c>
    </row>
    <row r="524" spans="1:88" s="121" customFormat="1">
      <c r="A524" s="125">
        <f t="shared" si="755"/>
        <v>0</v>
      </c>
      <c r="B524" s="138" t="s">
        <v>187</v>
      </c>
      <c r="D524" s="121" t="s">
        <v>197</v>
      </c>
      <c r="G524" s="120"/>
      <c r="H524" s="120"/>
      <c r="K524" s="121" t="s">
        <v>187</v>
      </c>
      <c r="M524" s="123"/>
      <c r="N524" s="121" t="s">
        <v>4136</v>
      </c>
      <c r="O524" s="121" t="s">
        <v>227</v>
      </c>
      <c r="Q524" s="122">
        <f>3100*2.4</f>
        <v>7440</v>
      </c>
      <c r="R524" s="122"/>
      <c r="S524" s="122">
        <v>7500</v>
      </c>
      <c r="T524" s="122"/>
      <c r="BD524" s="120">
        <f t="shared" si="756"/>
        <v>0</v>
      </c>
      <c r="BE524" s="120">
        <f t="shared" si="757"/>
        <v>0</v>
      </c>
      <c r="BF524" s="137">
        <f t="shared" si="758"/>
        <v>0</v>
      </c>
      <c r="BG524" s="120"/>
      <c r="BH524" s="120"/>
      <c r="BI524" s="120"/>
      <c r="BJ524" s="120"/>
      <c r="BK524" s="120"/>
      <c r="BL524" s="120"/>
      <c r="BM524" s="120"/>
      <c r="BN524" s="120"/>
      <c r="BO524" s="120"/>
      <c r="BP524" s="140"/>
      <c r="BQ524" s="124"/>
      <c r="BR524" s="120"/>
      <c r="BS524" s="120"/>
      <c r="BT524" s="120"/>
      <c r="BU524" s="120"/>
      <c r="BV524" s="120"/>
      <c r="BW524" s="120"/>
      <c r="BZ524" s="136">
        <f t="shared" si="746"/>
        <v>0</v>
      </c>
      <c r="CA524" s="136">
        <f t="shared" si="747"/>
        <v>0</v>
      </c>
      <c r="CB524" s="136">
        <f t="shared" si="748"/>
        <v>0</v>
      </c>
      <c r="CC524" s="136">
        <f t="shared" si="749"/>
        <v>0</v>
      </c>
      <c r="CD524" s="135">
        <f t="shared" si="750"/>
        <v>0</v>
      </c>
      <c r="CE524" s="135">
        <f t="shared" si="751"/>
        <v>0</v>
      </c>
      <c r="CF524" s="134">
        <f t="shared" si="752"/>
        <v>0</v>
      </c>
      <c r="CG524" s="134">
        <f t="shared" si="753"/>
        <v>0</v>
      </c>
      <c r="CH524" s="133" t="e">
        <f t="shared" si="754"/>
        <v>#DIV/0!</v>
      </c>
    </row>
    <row r="525" spans="1:88" s="121" customFormat="1">
      <c r="A525" s="125">
        <f t="shared" si="755"/>
        <v>0</v>
      </c>
      <c r="B525" s="138" t="s">
        <v>187</v>
      </c>
      <c r="D525" s="121" t="s">
        <v>197</v>
      </c>
      <c r="F525" s="115"/>
      <c r="G525" s="120"/>
      <c r="H525" s="120"/>
      <c r="K525" s="121" t="s">
        <v>187</v>
      </c>
      <c r="M525" s="123"/>
      <c r="N525" s="121" t="s">
        <v>355</v>
      </c>
      <c r="O525" s="121" t="s">
        <v>320</v>
      </c>
      <c r="Q525" s="122">
        <f>3136*2.4</f>
        <v>7526.4</v>
      </c>
      <c r="R525" s="122"/>
      <c r="S525" s="122">
        <v>7500</v>
      </c>
      <c r="T525" s="122"/>
      <c r="BD525" s="120">
        <f t="shared" si="756"/>
        <v>0</v>
      </c>
      <c r="BE525" s="120">
        <f t="shared" si="757"/>
        <v>0</v>
      </c>
      <c r="BF525" s="137">
        <f t="shared" si="758"/>
        <v>0</v>
      </c>
      <c r="BG525" s="120"/>
      <c r="BH525" s="120"/>
      <c r="BI525" s="120"/>
      <c r="BJ525" s="120"/>
      <c r="BK525" s="120"/>
      <c r="BL525" s="120"/>
      <c r="BM525" s="120"/>
      <c r="BN525" s="120"/>
      <c r="BO525" s="120"/>
      <c r="BP525" s="140"/>
      <c r="BQ525" s="124"/>
      <c r="BR525" s="120"/>
      <c r="BS525" s="120"/>
      <c r="BT525" s="120"/>
      <c r="BU525" s="120"/>
      <c r="BV525" s="120"/>
      <c r="BW525" s="120"/>
      <c r="BZ525" s="136">
        <f t="shared" si="746"/>
        <v>0</v>
      </c>
      <c r="CA525" s="136">
        <f t="shared" si="747"/>
        <v>0</v>
      </c>
      <c r="CB525" s="136">
        <f t="shared" si="748"/>
        <v>0</v>
      </c>
      <c r="CC525" s="136">
        <f t="shared" si="749"/>
        <v>0</v>
      </c>
      <c r="CD525" s="135">
        <f t="shared" si="750"/>
        <v>0</v>
      </c>
      <c r="CE525" s="135">
        <f t="shared" si="751"/>
        <v>0</v>
      </c>
      <c r="CF525" s="134">
        <f t="shared" si="752"/>
        <v>0</v>
      </c>
      <c r="CG525" s="134">
        <f t="shared" si="753"/>
        <v>0</v>
      </c>
      <c r="CH525" s="133" t="e">
        <f t="shared" si="754"/>
        <v>#DIV/0!</v>
      </c>
      <c r="CJ525" s="128"/>
    </row>
    <row r="526" spans="1:88" s="121" customFormat="1">
      <c r="A526" s="125">
        <f t="shared" si="755"/>
        <v>0</v>
      </c>
      <c r="B526" s="138" t="s">
        <v>187</v>
      </c>
      <c r="D526" s="121" t="s">
        <v>197</v>
      </c>
      <c r="F526" s="115"/>
      <c r="G526" s="120"/>
      <c r="H526" s="120"/>
      <c r="K526" s="121" t="s">
        <v>187</v>
      </c>
      <c r="M526" s="129"/>
      <c r="N526" s="121" t="s">
        <v>319</v>
      </c>
      <c r="O526" s="121" t="s">
        <v>214</v>
      </c>
      <c r="Q526" s="122">
        <f>3113*2.4</f>
        <v>7471.2</v>
      </c>
      <c r="R526" s="122"/>
      <c r="S526" s="122">
        <v>7500</v>
      </c>
      <c r="T526" s="122"/>
      <c r="BD526" s="120">
        <f t="shared" si="756"/>
        <v>0</v>
      </c>
      <c r="BE526" s="120">
        <f t="shared" si="757"/>
        <v>0</v>
      </c>
      <c r="BF526" s="137">
        <f t="shared" si="758"/>
        <v>0</v>
      </c>
      <c r="BG526" s="120"/>
      <c r="BH526" s="120"/>
      <c r="BI526" s="120"/>
      <c r="BJ526" s="120"/>
      <c r="BK526" s="120"/>
      <c r="BL526" s="120"/>
      <c r="BM526" s="120"/>
      <c r="BN526" s="120"/>
      <c r="BO526" s="120"/>
      <c r="BP526" s="140"/>
      <c r="BQ526" s="124"/>
      <c r="BR526" s="120"/>
      <c r="BS526" s="120"/>
      <c r="BT526" s="120"/>
      <c r="BU526" s="120"/>
      <c r="BV526" s="120"/>
      <c r="BW526" s="120"/>
      <c r="BZ526" s="136">
        <f t="shared" si="746"/>
        <v>0</v>
      </c>
      <c r="CA526" s="136">
        <f t="shared" si="747"/>
        <v>0</v>
      </c>
      <c r="CB526" s="136">
        <f t="shared" si="748"/>
        <v>0</v>
      </c>
      <c r="CC526" s="136">
        <f t="shared" si="749"/>
        <v>0</v>
      </c>
      <c r="CD526" s="135">
        <f t="shared" si="750"/>
        <v>0</v>
      </c>
      <c r="CE526" s="135">
        <f t="shared" si="751"/>
        <v>0</v>
      </c>
      <c r="CF526" s="134">
        <f t="shared" si="752"/>
        <v>0</v>
      </c>
      <c r="CG526" s="134">
        <f t="shared" si="753"/>
        <v>0</v>
      </c>
      <c r="CH526" s="133" t="e">
        <f t="shared" si="754"/>
        <v>#DIV/0!</v>
      </c>
    </row>
    <row r="527" spans="1:88" s="121" customFormat="1">
      <c r="A527" s="125">
        <f t="shared" si="755"/>
        <v>0</v>
      </c>
      <c r="B527" s="138" t="s">
        <v>187</v>
      </c>
      <c r="D527" s="121" t="s">
        <v>215</v>
      </c>
      <c r="F527" s="115"/>
      <c r="G527" s="120"/>
      <c r="H527" s="120"/>
      <c r="K527" s="121" t="s">
        <v>187</v>
      </c>
      <c r="M527" s="123"/>
      <c r="N527" s="121" t="s">
        <v>334</v>
      </c>
      <c r="O527" s="121" t="s">
        <v>353</v>
      </c>
      <c r="Q527" s="122">
        <f>3852*2.4</f>
        <v>9244.7999999999993</v>
      </c>
      <c r="R527" s="122"/>
      <c r="S527" s="122">
        <v>9200</v>
      </c>
      <c r="T527" s="122"/>
      <c r="BD527" s="120">
        <f t="shared" si="756"/>
        <v>0</v>
      </c>
      <c r="BE527" s="120">
        <f t="shared" si="757"/>
        <v>0</v>
      </c>
      <c r="BF527" s="137">
        <f t="shared" si="758"/>
        <v>0</v>
      </c>
      <c r="BG527" s="120"/>
      <c r="BH527" s="120"/>
      <c r="BI527" s="120"/>
      <c r="BJ527" s="120"/>
      <c r="BK527" s="120"/>
      <c r="BL527" s="120"/>
      <c r="BM527" s="120"/>
      <c r="BN527" s="120"/>
      <c r="BO527" s="120"/>
      <c r="BP527" s="140"/>
      <c r="BQ527" s="124"/>
      <c r="BR527" s="120"/>
      <c r="BS527" s="120"/>
      <c r="BT527" s="120"/>
      <c r="BU527" s="120"/>
      <c r="BV527" s="120"/>
      <c r="BW527" s="120"/>
      <c r="BZ527" s="136">
        <f t="shared" ref="BZ527:BZ590" si="759">(BI527-BH527)*24</f>
        <v>0</v>
      </c>
      <c r="CA527" s="136">
        <f t="shared" ref="CA527:CA590" si="760">(BK527-BJ527)*24</f>
        <v>0</v>
      </c>
      <c r="CB527" s="136">
        <f t="shared" ref="CB527:CB590" si="761">(BN527-BM527)*24</f>
        <v>0</v>
      </c>
      <c r="CC527" s="136">
        <f t="shared" ref="CC527:CC590" si="762">(BR527-BP527)*24</f>
        <v>0</v>
      </c>
      <c r="CD527" s="135">
        <f t="shared" ref="CD527:CD590" si="763">(BT527-BS527)*24</f>
        <v>0</v>
      </c>
      <c r="CE527" s="135">
        <f t="shared" ref="CE527:CE590" si="764">(BW527-BV527)*24</f>
        <v>0</v>
      </c>
      <c r="CF527" s="134">
        <f t="shared" ref="CF527:CF590" si="765">SUM(BZ527:CE527)/24</f>
        <v>0</v>
      </c>
      <c r="CG527" s="134">
        <f t="shared" ref="CG527:CG590" si="766">BF527</f>
        <v>0</v>
      </c>
      <c r="CH527" s="133" t="e">
        <f t="shared" ref="CH527:CH590" si="767">CF527/CG527</f>
        <v>#DIV/0!</v>
      </c>
    </row>
    <row r="528" spans="1:88" s="121" customFormat="1">
      <c r="A528" s="125">
        <f t="shared" si="755"/>
        <v>0</v>
      </c>
      <c r="B528" s="138" t="s">
        <v>187</v>
      </c>
      <c r="D528" s="121" t="s">
        <v>215</v>
      </c>
      <c r="F528" s="115"/>
      <c r="G528" s="120"/>
      <c r="H528" s="120"/>
      <c r="K528" s="121" t="s">
        <v>187</v>
      </c>
      <c r="M528" s="123"/>
      <c r="N528" s="121" t="s">
        <v>4137</v>
      </c>
      <c r="O528" s="121" t="s">
        <v>391</v>
      </c>
      <c r="Q528" s="122">
        <f>3097*2.4</f>
        <v>7432.7999999999993</v>
      </c>
      <c r="R528" s="122"/>
      <c r="S528" s="122">
        <v>7500</v>
      </c>
      <c r="T528" s="122"/>
      <c r="BD528" s="120">
        <f t="shared" si="756"/>
        <v>0</v>
      </c>
      <c r="BE528" s="120">
        <f t="shared" si="757"/>
        <v>0</v>
      </c>
      <c r="BF528" s="137">
        <f t="shared" si="758"/>
        <v>0</v>
      </c>
      <c r="BG528" s="120"/>
      <c r="BH528" s="120"/>
      <c r="BI528" s="120"/>
      <c r="BJ528" s="120"/>
      <c r="BK528" s="120"/>
      <c r="BL528" s="120"/>
      <c r="BM528" s="120"/>
      <c r="BN528" s="120"/>
      <c r="BO528" s="120"/>
      <c r="BP528" s="120"/>
      <c r="BQ528" s="124"/>
      <c r="BR528" s="120"/>
      <c r="BS528" s="120"/>
      <c r="BT528" s="120"/>
      <c r="BU528" s="120"/>
      <c r="BV528" s="120"/>
      <c r="BW528" s="120"/>
      <c r="BZ528" s="136">
        <f t="shared" si="759"/>
        <v>0</v>
      </c>
      <c r="CA528" s="136">
        <f t="shared" si="760"/>
        <v>0</v>
      </c>
      <c r="CB528" s="136">
        <f t="shared" si="761"/>
        <v>0</v>
      </c>
      <c r="CC528" s="136">
        <f t="shared" si="762"/>
        <v>0</v>
      </c>
      <c r="CD528" s="135">
        <f t="shared" si="763"/>
        <v>0</v>
      </c>
      <c r="CE528" s="135">
        <f t="shared" si="764"/>
        <v>0</v>
      </c>
      <c r="CF528" s="134">
        <f t="shared" si="765"/>
        <v>0</v>
      </c>
      <c r="CG528" s="134">
        <f t="shared" si="766"/>
        <v>0</v>
      </c>
      <c r="CH528" s="133" t="e">
        <f t="shared" si="767"/>
        <v>#DIV/0!</v>
      </c>
      <c r="CI528" s="128"/>
      <c r="CJ528" s="116"/>
    </row>
    <row r="529" spans="1:88" s="121" customFormat="1">
      <c r="A529" s="125">
        <f t="shared" si="755"/>
        <v>0</v>
      </c>
      <c r="B529" s="138" t="s">
        <v>187</v>
      </c>
      <c r="D529" s="121" t="s">
        <v>197</v>
      </c>
      <c r="F529" s="115"/>
      <c r="G529" s="120"/>
      <c r="H529" s="120"/>
      <c r="K529" s="121" t="s">
        <v>187</v>
      </c>
      <c r="M529" s="123"/>
      <c r="N529" s="121" t="s">
        <v>346</v>
      </c>
      <c r="O529" s="121" t="s">
        <v>347</v>
      </c>
      <c r="Q529" s="122">
        <f>3136*2.4</f>
        <v>7526.4</v>
      </c>
      <c r="R529" s="122"/>
      <c r="S529" s="122">
        <v>7500</v>
      </c>
      <c r="T529" s="122"/>
      <c r="BD529" s="120">
        <f t="shared" si="756"/>
        <v>0</v>
      </c>
      <c r="BE529" s="120">
        <f t="shared" si="757"/>
        <v>0</v>
      </c>
      <c r="BF529" s="137">
        <f t="shared" si="758"/>
        <v>0</v>
      </c>
      <c r="BG529" s="120"/>
      <c r="BH529" s="120"/>
      <c r="BI529" s="120"/>
      <c r="BJ529" s="120"/>
      <c r="BK529" s="120"/>
      <c r="BL529" s="120"/>
      <c r="BM529" s="120"/>
      <c r="BN529" s="120"/>
      <c r="BO529" s="120"/>
      <c r="BP529" s="120"/>
      <c r="BQ529" s="124"/>
      <c r="BR529" s="120"/>
      <c r="BS529" s="120"/>
      <c r="BT529" s="120"/>
      <c r="BU529" s="120"/>
      <c r="BV529" s="120"/>
      <c r="BW529" s="120"/>
      <c r="BZ529" s="136">
        <f t="shared" si="759"/>
        <v>0</v>
      </c>
      <c r="CA529" s="136">
        <f t="shared" si="760"/>
        <v>0</v>
      </c>
      <c r="CB529" s="136">
        <f t="shared" si="761"/>
        <v>0</v>
      </c>
      <c r="CC529" s="136">
        <f t="shared" si="762"/>
        <v>0</v>
      </c>
      <c r="CD529" s="135">
        <f t="shared" si="763"/>
        <v>0</v>
      </c>
      <c r="CE529" s="135">
        <f t="shared" si="764"/>
        <v>0</v>
      </c>
      <c r="CF529" s="134">
        <f t="shared" si="765"/>
        <v>0</v>
      </c>
      <c r="CG529" s="134">
        <f t="shared" si="766"/>
        <v>0</v>
      </c>
      <c r="CH529" s="133" t="e">
        <f t="shared" si="767"/>
        <v>#DIV/0!</v>
      </c>
      <c r="CI529" s="128"/>
    </row>
    <row r="530" spans="1:88" s="121" customFormat="1">
      <c r="A530" s="125">
        <f t="shared" si="755"/>
        <v>0</v>
      </c>
      <c r="B530" s="138" t="s">
        <v>187</v>
      </c>
      <c r="D530" s="121" t="s">
        <v>215</v>
      </c>
      <c r="F530" s="115"/>
      <c r="G530" s="120"/>
      <c r="H530" s="120"/>
      <c r="K530" s="121" t="s">
        <v>187</v>
      </c>
      <c r="M530" s="123"/>
      <c r="N530" s="121" t="s">
        <v>485</v>
      </c>
      <c r="O530" s="121" t="s">
        <v>4134</v>
      </c>
      <c r="Q530" s="122">
        <f>3150*2.4</f>
        <v>7560</v>
      </c>
      <c r="R530" s="122"/>
      <c r="S530" s="122">
        <v>7500</v>
      </c>
      <c r="T530" s="122"/>
      <c r="BD530" s="120">
        <f t="shared" si="756"/>
        <v>0</v>
      </c>
      <c r="BE530" s="120">
        <f t="shared" si="757"/>
        <v>0</v>
      </c>
      <c r="BF530" s="137">
        <f t="shared" si="758"/>
        <v>0</v>
      </c>
      <c r="BG530" s="120"/>
      <c r="BH530" s="120"/>
      <c r="BI530" s="120"/>
      <c r="BJ530" s="120"/>
      <c r="BK530" s="120"/>
      <c r="BL530" s="120"/>
      <c r="BM530" s="120"/>
      <c r="BN530" s="120"/>
      <c r="BO530" s="120"/>
      <c r="BP530" s="120"/>
      <c r="BQ530" s="124"/>
      <c r="BR530" s="120"/>
      <c r="BS530" s="120"/>
      <c r="BT530" s="120"/>
      <c r="BU530" s="120"/>
      <c r="BV530" s="120"/>
      <c r="BW530" s="120"/>
      <c r="BZ530" s="136">
        <f t="shared" si="759"/>
        <v>0</v>
      </c>
      <c r="CA530" s="136">
        <f t="shared" si="760"/>
        <v>0</v>
      </c>
      <c r="CB530" s="136">
        <f t="shared" si="761"/>
        <v>0</v>
      </c>
      <c r="CC530" s="136">
        <f t="shared" si="762"/>
        <v>0</v>
      </c>
      <c r="CD530" s="135">
        <f t="shared" si="763"/>
        <v>0</v>
      </c>
      <c r="CE530" s="135">
        <f t="shared" si="764"/>
        <v>0</v>
      </c>
      <c r="CF530" s="134">
        <f t="shared" si="765"/>
        <v>0</v>
      </c>
      <c r="CG530" s="134">
        <f t="shared" si="766"/>
        <v>0</v>
      </c>
      <c r="CH530" s="133" t="e">
        <f t="shared" si="767"/>
        <v>#DIV/0!</v>
      </c>
      <c r="CJ530" s="128"/>
    </row>
    <row r="531" spans="1:88" s="121" customFormat="1">
      <c r="A531" s="125">
        <f t="shared" si="755"/>
        <v>0</v>
      </c>
      <c r="B531" s="138" t="s">
        <v>187</v>
      </c>
      <c r="D531" s="121" t="s">
        <v>215</v>
      </c>
      <c r="F531" s="115"/>
      <c r="G531" s="120"/>
      <c r="H531" s="120"/>
      <c r="K531" s="121" t="s">
        <v>187</v>
      </c>
      <c r="M531" s="123"/>
      <c r="N531" s="121" t="s">
        <v>377</v>
      </c>
      <c r="O531" s="121" t="s">
        <v>272</v>
      </c>
      <c r="Q531" s="122">
        <f>3852*2.4</f>
        <v>9244.7999999999993</v>
      </c>
      <c r="R531" s="122"/>
      <c r="S531" s="122">
        <v>9200</v>
      </c>
      <c r="T531" s="122"/>
      <c r="BD531" s="120">
        <f t="shared" si="756"/>
        <v>0</v>
      </c>
      <c r="BE531" s="120">
        <f t="shared" si="757"/>
        <v>0</v>
      </c>
      <c r="BF531" s="137">
        <f t="shared" si="758"/>
        <v>0</v>
      </c>
      <c r="BG531" s="120"/>
      <c r="BH531" s="120"/>
      <c r="BI531" s="120"/>
      <c r="BJ531" s="120"/>
      <c r="BK531" s="120"/>
      <c r="BL531" s="120"/>
      <c r="BM531" s="120"/>
      <c r="BN531" s="120"/>
      <c r="BO531" s="120"/>
      <c r="BP531" s="120"/>
      <c r="BQ531" s="124"/>
      <c r="BR531" s="120"/>
      <c r="BS531" s="120"/>
      <c r="BT531" s="120"/>
      <c r="BU531" s="120"/>
      <c r="BV531" s="120"/>
      <c r="BW531" s="120"/>
      <c r="BZ531" s="136">
        <f t="shared" si="759"/>
        <v>0</v>
      </c>
      <c r="CA531" s="136">
        <f t="shared" si="760"/>
        <v>0</v>
      </c>
      <c r="CB531" s="136">
        <f t="shared" si="761"/>
        <v>0</v>
      </c>
      <c r="CC531" s="136">
        <f t="shared" si="762"/>
        <v>0</v>
      </c>
      <c r="CD531" s="135">
        <f t="shared" si="763"/>
        <v>0</v>
      </c>
      <c r="CE531" s="135">
        <f t="shared" si="764"/>
        <v>0</v>
      </c>
      <c r="CF531" s="134">
        <f t="shared" si="765"/>
        <v>0</v>
      </c>
      <c r="CG531" s="134">
        <f t="shared" si="766"/>
        <v>0</v>
      </c>
      <c r="CH531" s="133" t="e">
        <f t="shared" si="767"/>
        <v>#DIV/0!</v>
      </c>
      <c r="CJ531" s="115"/>
    </row>
    <row r="532" spans="1:88" s="121" customFormat="1">
      <c r="A532" s="125">
        <f t="shared" si="755"/>
        <v>0</v>
      </c>
      <c r="B532" s="138" t="s">
        <v>187</v>
      </c>
      <c r="D532" s="121" t="s">
        <v>197</v>
      </c>
      <c r="F532" s="115"/>
      <c r="G532" s="120"/>
      <c r="H532" s="120"/>
      <c r="K532" s="121" t="s">
        <v>187</v>
      </c>
      <c r="M532" s="123"/>
      <c r="N532" s="121" t="s">
        <v>208</v>
      </c>
      <c r="O532" s="121" t="s">
        <v>268</v>
      </c>
      <c r="Q532" s="122">
        <f>3142*2.4</f>
        <v>7540.7999999999993</v>
      </c>
      <c r="R532" s="122"/>
      <c r="S532" s="122">
        <v>7500</v>
      </c>
      <c r="T532" s="122"/>
      <c r="BD532" s="120">
        <f t="shared" si="756"/>
        <v>0</v>
      </c>
      <c r="BE532" s="120">
        <f t="shared" si="757"/>
        <v>0</v>
      </c>
      <c r="BF532" s="137">
        <f t="shared" si="758"/>
        <v>0</v>
      </c>
      <c r="BG532" s="120"/>
      <c r="BH532" s="120"/>
      <c r="BI532" s="120"/>
      <c r="BJ532" s="120"/>
      <c r="BK532" s="120"/>
      <c r="BL532" s="120"/>
      <c r="BM532" s="120"/>
      <c r="BN532" s="120"/>
      <c r="BO532" s="120"/>
      <c r="BP532" s="120"/>
      <c r="BQ532" s="124"/>
      <c r="BR532" s="120"/>
      <c r="BS532" s="120"/>
      <c r="BT532" s="120"/>
      <c r="BU532" s="120"/>
      <c r="BV532" s="120"/>
      <c r="BW532" s="120"/>
      <c r="BZ532" s="136">
        <f t="shared" si="759"/>
        <v>0</v>
      </c>
      <c r="CA532" s="136">
        <f t="shared" si="760"/>
        <v>0</v>
      </c>
      <c r="CB532" s="136">
        <f t="shared" si="761"/>
        <v>0</v>
      </c>
      <c r="CC532" s="136">
        <f t="shared" si="762"/>
        <v>0</v>
      </c>
      <c r="CD532" s="135">
        <f t="shared" si="763"/>
        <v>0</v>
      </c>
      <c r="CE532" s="135">
        <f t="shared" si="764"/>
        <v>0</v>
      </c>
      <c r="CF532" s="134">
        <f t="shared" si="765"/>
        <v>0</v>
      </c>
      <c r="CG532" s="134">
        <f t="shared" si="766"/>
        <v>0</v>
      </c>
      <c r="CH532" s="133" t="e">
        <f t="shared" si="767"/>
        <v>#DIV/0!</v>
      </c>
    </row>
    <row r="533" spans="1:88" s="121" customFormat="1">
      <c r="A533" s="125">
        <f t="shared" si="755"/>
        <v>0</v>
      </c>
      <c r="B533" s="138" t="s">
        <v>187</v>
      </c>
      <c r="D533" s="121" t="s">
        <v>197</v>
      </c>
      <c r="F533" s="115"/>
      <c r="G533" s="120"/>
      <c r="H533" s="120"/>
      <c r="K533" s="121" t="s">
        <v>187</v>
      </c>
      <c r="M533" s="123"/>
      <c r="N533" s="121" t="s">
        <v>4138</v>
      </c>
      <c r="O533" s="121" t="s">
        <v>234</v>
      </c>
      <c r="Q533" s="122">
        <f>3215*2.4</f>
        <v>7716</v>
      </c>
      <c r="R533" s="122"/>
      <c r="S533" s="122">
        <v>7700</v>
      </c>
      <c r="T533" s="122"/>
      <c r="BD533" s="120">
        <f t="shared" si="756"/>
        <v>0</v>
      </c>
      <c r="BE533" s="120">
        <f t="shared" si="757"/>
        <v>0</v>
      </c>
      <c r="BF533" s="137">
        <f t="shared" si="758"/>
        <v>0</v>
      </c>
      <c r="BG533" s="120"/>
      <c r="BH533" s="120"/>
      <c r="BI533" s="120"/>
      <c r="BJ533" s="120"/>
      <c r="BK533" s="120"/>
      <c r="BL533" s="120"/>
      <c r="BM533" s="120"/>
      <c r="BN533" s="120"/>
      <c r="BO533" s="120"/>
      <c r="BP533" s="120"/>
      <c r="BQ533" s="124"/>
      <c r="BR533" s="120"/>
      <c r="BS533" s="120"/>
      <c r="BT533" s="120"/>
      <c r="BU533" s="120"/>
      <c r="BV533" s="120"/>
      <c r="BW533" s="120"/>
      <c r="BZ533" s="136">
        <f t="shared" si="759"/>
        <v>0</v>
      </c>
      <c r="CA533" s="136">
        <f t="shared" si="760"/>
        <v>0</v>
      </c>
      <c r="CB533" s="136">
        <f t="shared" si="761"/>
        <v>0</v>
      </c>
      <c r="CC533" s="136">
        <f t="shared" si="762"/>
        <v>0</v>
      </c>
      <c r="CD533" s="135">
        <f t="shared" si="763"/>
        <v>0</v>
      </c>
      <c r="CE533" s="135">
        <f t="shared" si="764"/>
        <v>0</v>
      </c>
      <c r="CF533" s="134">
        <f t="shared" si="765"/>
        <v>0</v>
      </c>
      <c r="CG533" s="134">
        <f t="shared" si="766"/>
        <v>0</v>
      </c>
      <c r="CH533" s="133" t="e">
        <f t="shared" si="767"/>
        <v>#DIV/0!</v>
      </c>
    </row>
    <row r="534" spans="1:88" s="121" customFormat="1">
      <c r="A534" s="125">
        <f t="shared" si="755"/>
        <v>0</v>
      </c>
      <c r="B534" s="138" t="s">
        <v>187</v>
      </c>
      <c r="D534" s="121" t="s">
        <v>197</v>
      </c>
      <c r="F534" s="115"/>
      <c r="G534" s="120"/>
      <c r="H534" s="120"/>
      <c r="K534" s="121" t="s">
        <v>187</v>
      </c>
      <c r="M534" s="123"/>
      <c r="N534" s="121" t="s">
        <v>213</v>
      </c>
      <c r="O534" s="121" t="s">
        <v>356</v>
      </c>
      <c r="Q534" s="122">
        <f>3107*2.4</f>
        <v>7456.7999999999993</v>
      </c>
      <c r="R534" s="122"/>
      <c r="S534" s="122">
        <v>7500</v>
      </c>
      <c r="T534" s="122"/>
      <c r="BD534" s="120">
        <f t="shared" si="756"/>
        <v>0</v>
      </c>
      <c r="BE534" s="120">
        <f t="shared" si="757"/>
        <v>0</v>
      </c>
      <c r="BF534" s="137">
        <f t="shared" si="758"/>
        <v>0</v>
      </c>
      <c r="BG534" s="120"/>
      <c r="BH534" s="120"/>
      <c r="BI534" s="120"/>
      <c r="BJ534" s="120"/>
      <c r="BK534" s="120"/>
      <c r="BL534" s="120"/>
      <c r="BM534" s="120"/>
      <c r="BN534" s="120"/>
      <c r="BO534" s="120"/>
      <c r="BP534" s="120"/>
      <c r="BQ534" s="124"/>
      <c r="BR534" s="120"/>
      <c r="BS534" s="120"/>
      <c r="BT534" s="120"/>
      <c r="BU534" s="120"/>
      <c r="BV534" s="120"/>
      <c r="BW534" s="120"/>
      <c r="BZ534" s="136">
        <f t="shared" si="759"/>
        <v>0</v>
      </c>
      <c r="CA534" s="136">
        <f t="shared" si="760"/>
        <v>0</v>
      </c>
      <c r="CB534" s="136">
        <f t="shared" si="761"/>
        <v>0</v>
      </c>
      <c r="CC534" s="136">
        <f t="shared" si="762"/>
        <v>0</v>
      </c>
      <c r="CD534" s="135">
        <f t="shared" si="763"/>
        <v>0</v>
      </c>
      <c r="CE534" s="135">
        <f t="shared" si="764"/>
        <v>0</v>
      </c>
      <c r="CF534" s="134">
        <f t="shared" si="765"/>
        <v>0</v>
      </c>
      <c r="CG534" s="134">
        <f t="shared" si="766"/>
        <v>0</v>
      </c>
      <c r="CH534" s="133" t="e">
        <f t="shared" si="767"/>
        <v>#DIV/0!</v>
      </c>
      <c r="CI534" s="128"/>
    </row>
    <row r="535" spans="1:88" s="121" customFormat="1">
      <c r="A535" s="125">
        <f t="shared" si="755"/>
        <v>0</v>
      </c>
      <c r="B535" s="138" t="s">
        <v>187</v>
      </c>
      <c r="D535" s="121" t="s">
        <v>197</v>
      </c>
      <c r="F535" s="115"/>
      <c r="G535" s="120"/>
      <c r="H535" s="120"/>
      <c r="K535" s="121" t="s">
        <v>187</v>
      </c>
      <c r="M535" s="123"/>
      <c r="N535" s="121" t="s">
        <v>2210</v>
      </c>
      <c r="O535" s="121" t="s">
        <v>493</v>
      </c>
      <c r="Q535" s="122">
        <f>3152*2.4</f>
        <v>7564.7999999999993</v>
      </c>
      <c r="R535" s="122"/>
      <c r="S535" s="122">
        <v>7500</v>
      </c>
      <c r="T535" s="122"/>
      <c r="BD535" s="120">
        <f t="shared" si="756"/>
        <v>0</v>
      </c>
      <c r="BE535" s="120">
        <f t="shared" si="757"/>
        <v>0</v>
      </c>
      <c r="BF535" s="137">
        <f t="shared" si="758"/>
        <v>0</v>
      </c>
      <c r="BG535" s="120"/>
      <c r="BH535" s="120"/>
      <c r="BI535" s="120"/>
      <c r="BJ535" s="120"/>
      <c r="BK535" s="120"/>
      <c r="BL535" s="120"/>
      <c r="BM535" s="120"/>
      <c r="BN535" s="120"/>
      <c r="BO535" s="120"/>
      <c r="BP535" s="120"/>
      <c r="BQ535" s="124"/>
      <c r="BR535" s="120"/>
      <c r="BS535" s="120"/>
      <c r="BT535" s="120"/>
      <c r="BU535" s="120"/>
      <c r="BV535" s="120"/>
      <c r="BW535" s="120"/>
      <c r="BZ535" s="136">
        <f t="shared" si="759"/>
        <v>0</v>
      </c>
      <c r="CA535" s="136">
        <f t="shared" si="760"/>
        <v>0</v>
      </c>
      <c r="CB535" s="136">
        <f t="shared" si="761"/>
        <v>0</v>
      </c>
      <c r="CC535" s="136">
        <f t="shared" si="762"/>
        <v>0</v>
      </c>
      <c r="CD535" s="135">
        <f t="shared" si="763"/>
        <v>0</v>
      </c>
      <c r="CE535" s="135">
        <f t="shared" si="764"/>
        <v>0</v>
      </c>
      <c r="CF535" s="134">
        <f t="shared" si="765"/>
        <v>0</v>
      </c>
      <c r="CG535" s="134">
        <f t="shared" si="766"/>
        <v>0</v>
      </c>
      <c r="CH535" s="133" t="e">
        <f t="shared" si="767"/>
        <v>#DIV/0!</v>
      </c>
      <c r="CI535" s="128"/>
    </row>
    <row r="536" spans="1:88" s="121" customFormat="1">
      <c r="A536" s="125">
        <f t="shared" si="755"/>
        <v>0</v>
      </c>
      <c r="B536" s="138" t="s">
        <v>187</v>
      </c>
      <c r="D536" s="121" t="s">
        <v>197</v>
      </c>
      <c r="F536" s="115"/>
      <c r="G536" s="120"/>
      <c r="H536" s="120"/>
      <c r="K536" s="121" t="s">
        <v>187</v>
      </c>
      <c r="M536" s="123"/>
      <c r="N536" s="121" t="s">
        <v>437</v>
      </c>
      <c r="O536" s="121" t="s">
        <v>438</v>
      </c>
      <c r="Q536" s="122">
        <f>3136*2.4</f>
        <v>7526.4</v>
      </c>
      <c r="R536" s="122"/>
      <c r="S536" s="122">
        <v>7500</v>
      </c>
      <c r="T536" s="122"/>
      <c r="BD536" s="120">
        <f t="shared" si="756"/>
        <v>0</v>
      </c>
      <c r="BE536" s="120">
        <f t="shared" si="757"/>
        <v>0</v>
      </c>
      <c r="BF536" s="137">
        <f t="shared" si="758"/>
        <v>0</v>
      </c>
      <c r="BG536" s="120"/>
      <c r="BH536" s="120"/>
      <c r="BI536" s="120"/>
      <c r="BJ536" s="120"/>
      <c r="BK536" s="120"/>
      <c r="BL536" s="120"/>
      <c r="BM536" s="120"/>
      <c r="BN536" s="120"/>
      <c r="BO536" s="120"/>
      <c r="BP536" s="120"/>
      <c r="BQ536" s="124"/>
      <c r="BR536" s="120"/>
      <c r="BS536" s="120"/>
      <c r="BT536" s="120"/>
      <c r="BU536" s="120"/>
      <c r="BV536" s="120"/>
      <c r="BW536" s="120"/>
      <c r="BZ536" s="136">
        <f t="shared" si="759"/>
        <v>0</v>
      </c>
      <c r="CA536" s="136">
        <f t="shared" si="760"/>
        <v>0</v>
      </c>
      <c r="CB536" s="136">
        <f t="shared" si="761"/>
        <v>0</v>
      </c>
      <c r="CC536" s="136">
        <f t="shared" si="762"/>
        <v>0</v>
      </c>
      <c r="CD536" s="135">
        <f t="shared" si="763"/>
        <v>0</v>
      </c>
      <c r="CE536" s="135">
        <f t="shared" si="764"/>
        <v>0</v>
      </c>
      <c r="CF536" s="134">
        <f t="shared" si="765"/>
        <v>0</v>
      </c>
      <c r="CG536" s="134">
        <f t="shared" si="766"/>
        <v>0</v>
      </c>
      <c r="CH536" s="133" t="e">
        <f t="shared" si="767"/>
        <v>#DIV/0!</v>
      </c>
    </row>
    <row r="537" spans="1:88" s="121" customFormat="1">
      <c r="A537" s="125">
        <f t="shared" si="755"/>
        <v>0</v>
      </c>
      <c r="B537" s="138" t="s">
        <v>187</v>
      </c>
      <c r="D537" s="121" t="s">
        <v>215</v>
      </c>
      <c r="F537" s="115"/>
      <c r="G537" s="120"/>
      <c r="H537" s="120"/>
      <c r="K537" s="121" t="s">
        <v>187</v>
      </c>
      <c r="M537" s="123"/>
      <c r="N537" s="121" t="s">
        <v>218</v>
      </c>
      <c r="O537" s="121" t="s">
        <v>4139</v>
      </c>
      <c r="Q537" s="122">
        <f>3077*2.4</f>
        <v>7384.7999999999993</v>
      </c>
      <c r="R537" s="122"/>
      <c r="S537" s="122">
        <v>7400</v>
      </c>
      <c r="T537" s="122"/>
      <c r="BD537" s="120">
        <f t="shared" si="756"/>
        <v>0</v>
      </c>
      <c r="BE537" s="120">
        <f t="shared" si="757"/>
        <v>0</v>
      </c>
      <c r="BF537" s="137">
        <f t="shared" si="758"/>
        <v>0</v>
      </c>
      <c r="BG537" s="120"/>
      <c r="BH537" s="120"/>
      <c r="BI537" s="120"/>
      <c r="BJ537" s="120"/>
      <c r="BK537" s="120"/>
      <c r="BL537" s="120"/>
      <c r="BM537" s="120"/>
      <c r="BN537" s="120"/>
      <c r="BO537" s="120"/>
      <c r="BP537" s="120"/>
      <c r="BQ537" s="124"/>
      <c r="BR537" s="120"/>
      <c r="BS537" s="120"/>
      <c r="BT537" s="120"/>
      <c r="BU537" s="120"/>
      <c r="BV537" s="120"/>
      <c r="BW537" s="120"/>
      <c r="BZ537" s="136">
        <f t="shared" si="759"/>
        <v>0</v>
      </c>
      <c r="CA537" s="136">
        <f t="shared" si="760"/>
        <v>0</v>
      </c>
      <c r="CB537" s="136">
        <f t="shared" si="761"/>
        <v>0</v>
      </c>
      <c r="CC537" s="136">
        <f t="shared" si="762"/>
        <v>0</v>
      </c>
      <c r="CD537" s="135">
        <f t="shared" si="763"/>
        <v>0</v>
      </c>
      <c r="CE537" s="135">
        <f t="shared" si="764"/>
        <v>0</v>
      </c>
      <c r="CF537" s="134">
        <f t="shared" si="765"/>
        <v>0</v>
      </c>
      <c r="CG537" s="134">
        <f t="shared" si="766"/>
        <v>0</v>
      </c>
      <c r="CH537" s="133" t="e">
        <f t="shared" si="767"/>
        <v>#DIV/0!</v>
      </c>
      <c r="CI537" s="128"/>
    </row>
    <row r="538" spans="1:88" s="121" customFormat="1">
      <c r="A538" s="125">
        <f t="shared" si="755"/>
        <v>0</v>
      </c>
      <c r="B538" s="138" t="s">
        <v>187</v>
      </c>
      <c r="D538" s="121" t="s">
        <v>197</v>
      </c>
      <c r="F538" s="115"/>
      <c r="G538" s="120"/>
      <c r="H538" s="120"/>
      <c r="K538" s="121" t="s">
        <v>187</v>
      </c>
      <c r="M538" s="123"/>
      <c r="N538" s="121" t="s">
        <v>4140</v>
      </c>
      <c r="O538" s="121" t="s">
        <v>293</v>
      </c>
      <c r="Q538" s="122">
        <f>3142*2.4</f>
        <v>7540.7999999999993</v>
      </c>
      <c r="R538" s="122"/>
      <c r="S538" s="122">
        <v>7500</v>
      </c>
      <c r="T538" s="122"/>
      <c r="BD538" s="120">
        <f t="shared" si="756"/>
        <v>0</v>
      </c>
      <c r="BE538" s="120">
        <f t="shared" si="757"/>
        <v>0</v>
      </c>
      <c r="BF538" s="137">
        <f t="shared" si="758"/>
        <v>0</v>
      </c>
      <c r="BG538" s="120"/>
      <c r="BH538" s="120"/>
      <c r="BI538" s="120"/>
      <c r="BJ538" s="120"/>
      <c r="BK538" s="120"/>
      <c r="BL538" s="120"/>
      <c r="BM538" s="120"/>
      <c r="BN538" s="120"/>
      <c r="BO538" s="120"/>
      <c r="BP538" s="120"/>
      <c r="BQ538" s="124"/>
      <c r="BR538" s="120"/>
      <c r="BS538" s="120"/>
      <c r="BT538" s="120"/>
      <c r="BU538" s="120"/>
      <c r="BV538" s="120"/>
      <c r="BW538" s="120"/>
      <c r="BZ538" s="136">
        <f t="shared" si="759"/>
        <v>0</v>
      </c>
      <c r="CA538" s="136">
        <f t="shared" si="760"/>
        <v>0</v>
      </c>
      <c r="CB538" s="136">
        <f t="shared" si="761"/>
        <v>0</v>
      </c>
      <c r="CC538" s="136">
        <f t="shared" si="762"/>
        <v>0</v>
      </c>
      <c r="CD538" s="135">
        <f t="shared" si="763"/>
        <v>0</v>
      </c>
      <c r="CE538" s="135">
        <f t="shared" si="764"/>
        <v>0</v>
      </c>
      <c r="CF538" s="134">
        <f t="shared" si="765"/>
        <v>0</v>
      </c>
      <c r="CG538" s="134">
        <f t="shared" si="766"/>
        <v>0</v>
      </c>
      <c r="CH538" s="133" t="e">
        <f t="shared" si="767"/>
        <v>#DIV/0!</v>
      </c>
    </row>
    <row r="539" spans="1:88" s="121" customFormat="1">
      <c r="A539" s="125">
        <f t="shared" si="755"/>
        <v>0</v>
      </c>
      <c r="B539" s="138" t="s">
        <v>187</v>
      </c>
      <c r="D539" s="121" t="s">
        <v>197</v>
      </c>
      <c r="F539" s="115"/>
      <c r="G539" s="120"/>
      <c r="H539" s="120"/>
      <c r="K539" s="121" t="s">
        <v>187</v>
      </c>
      <c r="M539" s="123"/>
      <c r="N539" s="121" t="s">
        <v>280</v>
      </c>
      <c r="O539" s="121" t="s">
        <v>486</v>
      </c>
      <c r="Q539" s="122">
        <f>3137*2.4</f>
        <v>7528.7999999999993</v>
      </c>
      <c r="R539" s="122"/>
      <c r="S539" s="122">
        <v>7500</v>
      </c>
      <c r="T539" s="122"/>
      <c r="BD539" s="120">
        <f t="shared" si="756"/>
        <v>0</v>
      </c>
      <c r="BE539" s="120">
        <f t="shared" si="757"/>
        <v>0</v>
      </c>
      <c r="BF539" s="137">
        <f t="shared" si="758"/>
        <v>0</v>
      </c>
      <c r="BG539" s="120"/>
      <c r="BH539" s="120"/>
      <c r="BI539" s="120"/>
      <c r="BJ539" s="120"/>
      <c r="BK539" s="120"/>
      <c r="BL539" s="120"/>
      <c r="BM539" s="120"/>
      <c r="BN539" s="120"/>
      <c r="BO539" s="120"/>
      <c r="BP539" s="120"/>
      <c r="BQ539" s="124"/>
      <c r="BR539" s="120"/>
      <c r="BS539" s="120"/>
      <c r="BT539" s="120"/>
      <c r="BU539" s="120"/>
      <c r="BV539" s="120"/>
      <c r="BW539" s="120"/>
      <c r="BZ539" s="136">
        <f t="shared" si="759"/>
        <v>0</v>
      </c>
      <c r="CA539" s="136">
        <f t="shared" si="760"/>
        <v>0</v>
      </c>
      <c r="CB539" s="136">
        <f t="shared" si="761"/>
        <v>0</v>
      </c>
      <c r="CC539" s="136">
        <f t="shared" si="762"/>
        <v>0</v>
      </c>
      <c r="CD539" s="135">
        <f t="shared" si="763"/>
        <v>0</v>
      </c>
      <c r="CE539" s="135">
        <f t="shared" si="764"/>
        <v>0</v>
      </c>
      <c r="CF539" s="134">
        <f t="shared" si="765"/>
        <v>0</v>
      </c>
      <c r="CG539" s="134">
        <f t="shared" si="766"/>
        <v>0</v>
      </c>
      <c r="CH539" s="133" t="e">
        <f t="shared" si="767"/>
        <v>#DIV/0!</v>
      </c>
    </row>
    <row r="540" spans="1:88" s="121" customFormat="1">
      <c r="A540" s="125">
        <f t="shared" si="755"/>
        <v>0</v>
      </c>
      <c r="B540" s="138" t="s">
        <v>187</v>
      </c>
      <c r="D540" s="121" t="s">
        <v>197</v>
      </c>
      <c r="F540" s="115"/>
      <c r="G540" s="120"/>
      <c r="H540" s="120"/>
      <c r="K540" s="121" t="s">
        <v>187</v>
      </c>
      <c r="M540" s="123"/>
      <c r="N540" s="121" t="s">
        <v>4127</v>
      </c>
      <c r="O540" s="121" t="s">
        <v>255</v>
      </c>
      <c r="Q540" s="122">
        <f>3047*2.4</f>
        <v>7312.8</v>
      </c>
      <c r="R540" s="122"/>
      <c r="S540" s="122">
        <v>7400</v>
      </c>
      <c r="T540" s="122"/>
      <c r="BD540" s="120">
        <f t="shared" si="756"/>
        <v>0</v>
      </c>
      <c r="BE540" s="120">
        <f t="shared" si="757"/>
        <v>0</v>
      </c>
      <c r="BF540" s="137">
        <f t="shared" si="758"/>
        <v>0</v>
      </c>
      <c r="BG540" s="120"/>
      <c r="BH540" s="120"/>
      <c r="BI540" s="120"/>
      <c r="BJ540" s="120"/>
      <c r="BK540" s="120"/>
      <c r="BL540" s="120"/>
      <c r="BM540" s="120"/>
      <c r="BN540" s="120"/>
      <c r="BO540" s="120"/>
      <c r="BP540" s="120"/>
      <c r="BQ540" s="124"/>
      <c r="BR540" s="120"/>
      <c r="BS540" s="120"/>
      <c r="BT540" s="120"/>
      <c r="BU540" s="120"/>
      <c r="BV540" s="120"/>
      <c r="BW540" s="120"/>
      <c r="BZ540" s="136">
        <f t="shared" si="759"/>
        <v>0</v>
      </c>
      <c r="CA540" s="136">
        <f t="shared" si="760"/>
        <v>0</v>
      </c>
      <c r="CB540" s="136">
        <f t="shared" si="761"/>
        <v>0</v>
      </c>
      <c r="CC540" s="136">
        <f t="shared" si="762"/>
        <v>0</v>
      </c>
      <c r="CD540" s="135">
        <f t="shared" si="763"/>
        <v>0</v>
      </c>
      <c r="CE540" s="135">
        <f t="shared" si="764"/>
        <v>0</v>
      </c>
      <c r="CF540" s="134">
        <f t="shared" si="765"/>
        <v>0</v>
      </c>
      <c r="CG540" s="134">
        <f t="shared" si="766"/>
        <v>0</v>
      </c>
      <c r="CH540" s="133" t="e">
        <f t="shared" si="767"/>
        <v>#DIV/0!</v>
      </c>
    </row>
    <row r="541" spans="1:88" s="121" customFormat="1">
      <c r="A541" s="125">
        <f t="shared" si="755"/>
        <v>0</v>
      </c>
      <c r="B541" s="138" t="s">
        <v>187</v>
      </c>
      <c r="D541" s="121" t="s">
        <v>215</v>
      </c>
      <c r="F541" s="115"/>
      <c r="G541" s="120"/>
      <c r="H541" s="120"/>
      <c r="K541" s="121" t="s">
        <v>187</v>
      </c>
      <c r="M541" s="123"/>
      <c r="N541" s="121" t="s">
        <v>399</v>
      </c>
      <c r="O541" s="121" t="s">
        <v>400</v>
      </c>
      <c r="Q541" s="122">
        <f>3146*2.4</f>
        <v>7550.4</v>
      </c>
      <c r="R541" s="122"/>
      <c r="S541" s="122">
        <v>7500</v>
      </c>
      <c r="T541" s="122"/>
      <c r="BD541" s="120">
        <f t="shared" si="756"/>
        <v>0</v>
      </c>
      <c r="BE541" s="120">
        <f t="shared" si="757"/>
        <v>0</v>
      </c>
      <c r="BF541" s="137">
        <f t="shared" si="758"/>
        <v>0</v>
      </c>
      <c r="BG541" s="120"/>
      <c r="BH541" s="120"/>
      <c r="BI541" s="120"/>
      <c r="BJ541" s="120"/>
      <c r="BK541" s="120"/>
      <c r="BL541" s="120"/>
      <c r="BM541" s="120"/>
      <c r="BN541" s="120"/>
      <c r="BO541" s="120"/>
      <c r="BP541" s="120"/>
      <c r="BQ541" s="124"/>
      <c r="BR541" s="120"/>
      <c r="BS541" s="120"/>
      <c r="BT541" s="120"/>
      <c r="BU541" s="120"/>
      <c r="BV541" s="120"/>
      <c r="BW541" s="120"/>
      <c r="BZ541" s="136">
        <f t="shared" si="759"/>
        <v>0</v>
      </c>
      <c r="CA541" s="136">
        <f t="shared" si="760"/>
        <v>0</v>
      </c>
      <c r="CB541" s="136">
        <f t="shared" si="761"/>
        <v>0</v>
      </c>
      <c r="CC541" s="136">
        <f t="shared" si="762"/>
        <v>0</v>
      </c>
      <c r="CD541" s="135">
        <f t="shared" si="763"/>
        <v>0</v>
      </c>
      <c r="CE541" s="135">
        <f t="shared" si="764"/>
        <v>0</v>
      </c>
      <c r="CF541" s="134">
        <f t="shared" si="765"/>
        <v>0</v>
      </c>
      <c r="CG541" s="134">
        <f t="shared" si="766"/>
        <v>0</v>
      </c>
      <c r="CH541" s="133" t="e">
        <f t="shared" si="767"/>
        <v>#DIV/0!</v>
      </c>
    </row>
    <row r="542" spans="1:88">
      <c r="A542" s="125">
        <f t="shared" si="755"/>
        <v>0</v>
      </c>
      <c r="B542" s="138" t="s">
        <v>187</v>
      </c>
      <c r="C542" s="121"/>
      <c r="D542" s="121" t="s">
        <v>197</v>
      </c>
      <c r="E542" s="121"/>
      <c r="G542" s="120"/>
      <c r="H542" s="120"/>
      <c r="I542" s="121"/>
      <c r="J542" s="121"/>
      <c r="K542" s="121" t="s">
        <v>187</v>
      </c>
      <c r="L542" s="121"/>
      <c r="M542" s="123"/>
      <c r="N542" s="121" t="s">
        <v>213</v>
      </c>
      <c r="O542" s="121" t="s">
        <v>356</v>
      </c>
      <c r="P542" s="121"/>
      <c r="Q542" s="122">
        <f>3107*2.4</f>
        <v>7456.7999999999993</v>
      </c>
      <c r="R542" s="122"/>
      <c r="S542" s="122">
        <v>7500</v>
      </c>
      <c r="T542" s="122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0">
        <f t="shared" si="756"/>
        <v>0</v>
      </c>
      <c r="BE542" s="120">
        <f t="shared" si="757"/>
        <v>0</v>
      </c>
      <c r="BF542" s="137">
        <f t="shared" si="758"/>
        <v>0</v>
      </c>
      <c r="BG542" s="120"/>
      <c r="BH542" s="120"/>
      <c r="BI542" s="120"/>
      <c r="BJ542" s="120"/>
      <c r="BK542" s="120"/>
      <c r="BL542" s="120"/>
      <c r="BM542" s="120"/>
      <c r="BN542" s="120"/>
      <c r="BO542" s="120"/>
      <c r="BP542" s="120"/>
      <c r="BQ542" s="124"/>
      <c r="BR542" s="120"/>
      <c r="BS542" s="120"/>
      <c r="BT542" s="120"/>
      <c r="BU542" s="120"/>
      <c r="BV542" s="120"/>
      <c r="BW542" s="120"/>
      <c r="BX542" s="121"/>
      <c r="BY542" s="121"/>
      <c r="BZ542" s="136">
        <f t="shared" si="759"/>
        <v>0</v>
      </c>
      <c r="CA542" s="136">
        <f t="shared" si="760"/>
        <v>0</v>
      </c>
      <c r="CB542" s="136">
        <f t="shared" si="761"/>
        <v>0</v>
      </c>
      <c r="CC542" s="136">
        <f t="shared" si="762"/>
        <v>0</v>
      </c>
      <c r="CD542" s="135">
        <f t="shared" si="763"/>
        <v>0</v>
      </c>
      <c r="CE542" s="135">
        <f t="shared" si="764"/>
        <v>0</v>
      </c>
      <c r="CF542" s="134">
        <f t="shared" si="765"/>
        <v>0</v>
      </c>
      <c r="CG542" s="134">
        <f t="shared" si="766"/>
        <v>0</v>
      </c>
      <c r="CH542" s="133" t="e">
        <f t="shared" si="767"/>
        <v>#DIV/0!</v>
      </c>
      <c r="CI542" s="128"/>
      <c r="CJ542" s="121"/>
    </row>
    <row r="543" spans="1:88">
      <c r="A543" s="125">
        <f t="shared" si="755"/>
        <v>0</v>
      </c>
      <c r="B543" s="138" t="s">
        <v>187</v>
      </c>
      <c r="C543" s="121"/>
      <c r="D543" s="121" t="s">
        <v>215</v>
      </c>
      <c r="E543" s="121"/>
      <c r="G543" s="120"/>
      <c r="H543" s="120"/>
      <c r="I543" s="121"/>
      <c r="J543" s="121"/>
      <c r="K543" s="121" t="s">
        <v>187</v>
      </c>
      <c r="L543" s="121"/>
      <c r="M543" s="123"/>
      <c r="N543" s="121" t="s">
        <v>218</v>
      </c>
      <c r="O543" s="121" t="s">
        <v>4141</v>
      </c>
      <c r="P543" s="121"/>
      <c r="Q543" s="122">
        <f>3077*2.4</f>
        <v>7384.7999999999993</v>
      </c>
      <c r="R543" s="122"/>
      <c r="S543" s="122">
        <v>7400</v>
      </c>
      <c r="T543" s="122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0">
        <f t="shared" si="756"/>
        <v>0</v>
      </c>
      <c r="BE543" s="120">
        <f t="shared" si="757"/>
        <v>0</v>
      </c>
      <c r="BF543" s="137">
        <f t="shared" si="758"/>
        <v>0</v>
      </c>
      <c r="BG543" s="120"/>
      <c r="BH543" s="120"/>
      <c r="BI543" s="120"/>
      <c r="BJ543" s="120"/>
      <c r="BK543" s="120"/>
      <c r="BL543" s="120"/>
      <c r="BM543" s="120"/>
      <c r="BN543" s="120"/>
      <c r="BO543" s="120"/>
      <c r="BP543" s="120"/>
      <c r="BQ543" s="124"/>
      <c r="BR543" s="120"/>
      <c r="BS543" s="120"/>
      <c r="BT543" s="120"/>
      <c r="BU543" s="120"/>
      <c r="BV543" s="120"/>
      <c r="BW543" s="120"/>
      <c r="BX543" s="121"/>
      <c r="BY543" s="121"/>
      <c r="BZ543" s="136">
        <f t="shared" si="759"/>
        <v>0</v>
      </c>
      <c r="CA543" s="136">
        <f t="shared" si="760"/>
        <v>0</v>
      </c>
      <c r="CB543" s="136">
        <f t="shared" si="761"/>
        <v>0</v>
      </c>
      <c r="CC543" s="136">
        <f t="shared" si="762"/>
        <v>0</v>
      </c>
      <c r="CD543" s="135">
        <f t="shared" si="763"/>
        <v>0</v>
      </c>
      <c r="CE543" s="135">
        <f t="shared" si="764"/>
        <v>0</v>
      </c>
      <c r="CF543" s="134">
        <f t="shared" si="765"/>
        <v>0</v>
      </c>
      <c r="CG543" s="134">
        <f t="shared" si="766"/>
        <v>0</v>
      </c>
      <c r="CH543" s="133" t="e">
        <f t="shared" si="767"/>
        <v>#DIV/0!</v>
      </c>
      <c r="CI543" s="121"/>
      <c r="CJ543" s="121"/>
    </row>
    <row r="544" spans="1:88">
      <c r="A544" s="125">
        <f t="shared" si="755"/>
        <v>0</v>
      </c>
      <c r="B544" s="138" t="s">
        <v>187</v>
      </c>
      <c r="C544" s="121"/>
      <c r="D544" s="121" t="s">
        <v>215</v>
      </c>
      <c r="E544" s="121"/>
      <c r="G544" s="120"/>
      <c r="H544" s="120"/>
      <c r="I544" s="121"/>
      <c r="J544" s="121"/>
      <c r="K544" s="121" t="s">
        <v>187</v>
      </c>
      <c r="L544" s="121"/>
      <c r="M544" s="123"/>
      <c r="N544" s="121" t="s">
        <v>343</v>
      </c>
      <c r="O544" s="121" t="s">
        <v>285</v>
      </c>
      <c r="P544" s="121"/>
      <c r="Q544" s="122">
        <f>3852*2.4</f>
        <v>9244.7999999999993</v>
      </c>
      <c r="R544" s="122"/>
      <c r="S544" s="122">
        <v>9200</v>
      </c>
      <c r="T544" s="122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0">
        <f t="shared" si="756"/>
        <v>0</v>
      </c>
      <c r="BE544" s="120">
        <f t="shared" si="757"/>
        <v>0</v>
      </c>
      <c r="BF544" s="137">
        <f t="shared" si="758"/>
        <v>0</v>
      </c>
      <c r="BG544" s="120"/>
      <c r="BH544" s="120"/>
      <c r="BI544" s="120"/>
      <c r="BJ544" s="120"/>
      <c r="BK544" s="120"/>
      <c r="BL544" s="120"/>
      <c r="BM544" s="120"/>
      <c r="BN544" s="120"/>
      <c r="BO544" s="120"/>
      <c r="BP544" s="120"/>
      <c r="BQ544" s="124"/>
      <c r="BR544" s="120"/>
      <c r="BS544" s="120"/>
      <c r="BT544" s="120"/>
      <c r="BU544" s="120"/>
      <c r="BV544" s="120"/>
      <c r="BW544" s="120"/>
      <c r="BX544" s="121"/>
      <c r="BY544" s="121"/>
      <c r="BZ544" s="136">
        <f t="shared" si="759"/>
        <v>0</v>
      </c>
      <c r="CA544" s="136">
        <f t="shared" si="760"/>
        <v>0</v>
      </c>
      <c r="CB544" s="136">
        <f t="shared" si="761"/>
        <v>0</v>
      </c>
      <c r="CC544" s="136">
        <f t="shared" si="762"/>
        <v>0</v>
      </c>
      <c r="CD544" s="135">
        <f t="shared" si="763"/>
        <v>0</v>
      </c>
      <c r="CE544" s="135">
        <f t="shared" si="764"/>
        <v>0</v>
      </c>
      <c r="CF544" s="134">
        <f t="shared" si="765"/>
        <v>0</v>
      </c>
      <c r="CG544" s="134">
        <f t="shared" si="766"/>
        <v>0</v>
      </c>
      <c r="CH544" s="133" t="e">
        <f t="shared" si="767"/>
        <v>#DIV/0!</v>
      </c>
      <c r="CI544" s="121"/>
      <c r="CJ544" s="121"/>
    </row>
    <row r="545" spans="1:88">
      <c r="A545" s="125">
        <f t="shared" si="755"/>
        <v>0</v>
      </c>
      <c r="B545" s="138" t="s">
        <v>187</v>
      </c>
      <c r="C545" s="121"/>
      <c r="D545" s="121" t="s">
        <v>215</v>
      </c>
      <c r="E545" s="121"/>
      <c r="G545" s="120"/>
      <c r="H545" s="120"/>
      <c r="I545" s="121"/>
      <c r="J545" s="121"/>
      <c r="K545" s="121" t="s">
        <v>187</v>
      </c>
      <c r="L545" s="121"/>
      <c r="M545" s="123"/>
      <c r="N545" s="121" t="s">
        <v>352</v>
      </c>
      <c r="O545" s="121" t="s">
        <v>353</v>
      </c>
      <c r="P545" s="121"/>
      <c r="Q545" s="122">
        <f>3852*2.4</f>
        <v>9244.7999999999993</v>
      </c>
      <c r="R545" s="122"/>
      <c r="S545" s="122">
        <v>9200</v>
      </c>
      <c r="T545" s="122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0">
        <f t="shared" si="756"/>
        <v>0</v>
      </c>
      <c r="BE545" s="120">
        <f t="shared" si="757"/>
        <v>0</v>
      </c>
      <c r="BF545" s="137">
        <f t="shared" si="758"/>
        <v>0</v>
      </c>
      <c r="BG545" s="120"/>
      <c r="BH545" s="120"/>
      <c r="BI545" s="120"/>
      <c r="BJ545" s="120"/>
      <c r="BK545" s="120"/>
      <c r="BL545" s="120"/>
      <c r="BM545" s="120"/>
      <c r="BN545" s="120"/>
      <c r="BO545" s="120"/>
      <c r="BP545" s="120"/>
      <c r="BQ545" s="124"/>
      <c r="BR545" s="120"/>
      <c r="BS545" s="120"/>
      <c r="BT545" s="120"/>
      <c r="BU545" s="120"/>
      <c r="BV545" s="120"/>
      <c r="BW545" s="120"/>
      <c r="BX545" s="121"/>
      <c r="BY545" s="121"/>
      <c r="BZ545" s="136">
        <f t="shared" si="759"/>
        <v>0</v>
      </c>
      <c r="CA545" s="136">
        <f t="shared" si="760"/>
        <v>0</v>
      </c>
      <c r="CB545" s="136">
        <f t="shared" si="761"/>
        <v>0</v>
      </c>
      <c r="CC545" s="136">
        <f t="shared" si="762"/>
        <v>0</v>
      </c>
      <c r="CD545" s="135">
        <f t="shared" si="763"/>
        <v>0</v>
      </c>
      <c r="CE545" s="135">
        <f t="shared" si="764"/>
        <v>0</v>
      </c>
      <c r="CF545" s="134">
        <f t="shared" si="765"/>
        <v>0</v>
      </c>
      <c r="CG545" s="134">
        <f t="shared" si="766"/>
        <v>0</v>
      </c>
      <c r="CH545" s="133" t="e">
        <f t="shared" si="767"/>
        <v>#DIV/0!</v>
      </c>
      <c r="CI545" s="121"/>
      <c r="CJ545" s="121"/>
    </row>
    <row r="546" spans="1:88">
      <c r="A546" s="125">
        <f t="shared" si="755"/>
        <v>0</v>
      </c>
      <c r="B546" s="138" t="s">
        <v>187</v>
      </c>
      <c r="C546" s="121"/>
      <c r="D546" s="121" t="s">
        <v>197</v>
      </c>
      <c r="E546" s="121"/>
      <c r="G546" s="120"/>
      <c r="H546" s="120"/>
      <c r="I546" s="121"/>
      <c r="J546" s="121"/>
      <c r="K546" s="121" t="s">
        <v>187</v>
      </c>
      <c r="L546" s="121"/>
      <c r="M546" s="123"/>
      <c r="N546" s="121" t="s">
        <v>4142</v>
      </c>
      <c r="O546" s="121" t="s">
        <v>365</v>
      </c>
      <c r="P546" s="121"/>
      <c r="Q546" s="122">
        <f>3142*2.4</f>
        <v>7540.7999999999993</v>
      </c>
      <c r="R546" s="122"/>
      <c r="S546" s="122">
        <v>7500</v>
      </c>
      <c r="T546" s="122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0">
        <f t="shared" si="756"/>
        <v>0</v>
      </c>
      <c r="BE546" s="120">
        <f t="shared" si="757"/>
        <v>0</v>
      </c>
      <c r="BF546" s="137">
        <f t="shared" si="758"/>
        <v>0</v>
      </c>
      <c r="BG546" s="120"/>
      <c r="BH546" s="120"/>
      <c r="BI546" s="120"/>
      <c r="BJ546" s="120"/>
      <c r="BK546" s="120"/>
      <c r="BL546" s="120"/>
      <c r="BM546" s="120"/>
      <c r="BN546" s="120"/>
      <c r="BO546" s="120"/>
      <c r="BP546" s="120"/>
      <c r="BQ546" s="124"/>
      <c r="BR546" s="120"/>
      <c r="BS546" s="120"/>
      <c r="BT546" s="120"/>
      <c r="BU546" s="120"/>
      <c r="BV546" s="120"/>
      <c r="BW546" s="120"/>
      <c r="BX546" s="121"/>
      <c r="BY546" s="121"/>
      <c r="BZ546" s="136">
        <f t="shared" si="759"/>
        <v>0</v>
      </c>
      <c r="CA546" s="136">
        <f t="shared" si="760"/>
        <v>0</v>
      </c>
      <c r="CB546" s="136">
        <f t="shared" si="761"/>
        <v>0</v>
      </c>
      <c r="CC546" s="136">
        <f t="shared" si="762"/>
        <v>0</v>
      </c>
      <c r="CD546" s="135">
        <f t="shared" si="763"/>
        <v>0</v>
      </c>
      <c r="CE546" s="135">
        <f t="shared" si="764"/>
        <v>0</v>
      </c>
      <c r="CF546" s="134">
        <f t="shared" si="765"/>
        <v>0</v>
      </c>
      <c r="CG546" s="134">
        <f t="shared" si="766"/>
        <v>0</v>
      </c>
      <c r="CH546" s="133" t="e">
        <f t="shared" si="767"/>
        <v>#DIV/0!</v>
      </c>
      <c r="CI546" s="121"/>
    </row>
    <row r="547" spans="1:88">
      <c r="A547" s="125">
        <f t="shared" si="755"/>
        <v>0</v>
      </c>
      <c r="B547" s="138" t="s">
        <v>187</v>
      </c>
      <c r="C547" s="121"/>
      <c r="D547" s="121" t="s">
        <v>197</v>
      </c>
      <c r="E547" s="121"/>
      <c r="G547" s="120"/>
      <c r="H547" s="120"/>
      <c r="I547" s="121"/>
      <c r="J547" s="121"/>
      <c r="K547" s="121" t="s">
        <v>187</v>
      </c>
      <c r="L547" s="121"/>
      <c r="M547" s="123"/>
      <c r="N547" s="121" t="s">
        <v>205</v>
      </c>
      <c r="O547" s="121" t="s">
        <v>4143</v>
      </c>
      <c r="P547" s="121"/>
      <c r="Q547" s="122">
        <f>3141*2.4</f>
        <v>7538.4</v>
      </c>
      <c r="R547" s="122"/>
      <c r="S547" s="122">
        <v>7500</v>
      </c>
      <c r="T547" s="122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0">
        <f t="shared" si="756"/>
        <v>0</v>
      </c>
      <c r="BE547" s="120">
        <f t="shared" si="757"/>
        <v>0</v>
      </c>
      <c r="BF547" s="137">
        <f t="shared" si="758"/>
        <v>0</v>
      </c>
      <c r="BG547" s="120"/>
      <c r="BH547" s="120"/>
      <c r="BI547" s="120"/>
      <c r="BJ547" s="120"/>
      <c r="BK547" s="120"/>
      <c r="BL547" s="120"/>
      <c r="BM547" s="120"/>
      <c r="BN547" s="120"/>
      <c r="BO547" s="120"/>
      <c r="BP547" s="120"/>
      <c r="BQ547" s="124"/>
      <c r="BR547" s="120"/>
      <c r="BS547" s="120"/>
      <c r="BT547" s="120"/>
      <c r="BU547" s="120"/>
      <c r="BV547" s="120"/>
      <c r="BW547" s="120"/>
      <c r="BX547" s="121"/>
      <c r="BY547" s="121"/>
      <c r="BZ547" s="136">
        <f t="shared" si="759"/>
        <v>0</v>
      </c>
      <c r="CA547" s="136">
        <f t="shared" si="760"/>
        <v>0</v>
      </c>
      <c r="CB547" s="136">
        <f t="shared" si="761"/>
        <v>0</v>
      </c>
      <c r="CC547" s="136">
        <f t="shared" si="762"/>
        <v>0</v>
      </c>
      <c r="CD547" s="135">
        <f t="shared" si="763"/>
        <v>0</v>
      </c>
      <c r="CE547" s="135">
        <f t="shared" si="764"/>
        <v>0</v>
      </c>
      <c r="CF547" s="134">
        <f t="shared" si="765"/>
        <v>0</v>
      </c>
      <c r="CG547" s="134">
        <f t="shared" si="766"/>
        <v>0</v>
      </c>
      <c r="CH547" s="133" t="e">
        <f t="shared" si="767"/>
        <v>#DIV/0!</v>
      </c>
      <c r="CI547" s="121"/>
    </row>
    <row r="548" spans="1:88" s="220" customFormat="1">
      <c r="A548" s="125">
        <f t="shared" si="755"/>
        <v>0</v>
      </c>
      <c r="B548" s="138" t="s">
        <v>187</v>
      </c>
      <c r="C548" s="121"/>
      <c r="D548" s="121" t="s">
        <v>197</v>
      </c>
      <c r="E548" s="121"/>
      <c r="F548" s="115"/>
      <c r="G548" s="120"/>
      <c r="H548" s="120"/>
      <c r="I548" s="121"/>
      <c r="J548" s="121"/>
      <c r="K548" s="121" t="s">
        <v>187</v>
      </c>
      <c r="L548" s="121"/>
      <c r="M548" s="123"/>
      <c r="N548" s="121" t="s">
        <v>260</v>
      </c>
      <c r="O548" s="121" t="s">
        <v>438</v>
      </c>
      <c r="P548" s="121"/>
      <c r="Q548" s="122">
        <f>3136*2.4</f>
        <v>7526.4</v>
      </c>
      <c r="R548" s="122"/>
      <c r="S548" s="122">
        <v>7500</v>
      </c>
      <c r="T548" s="122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0">
        <f t="shared" si="756"/>
        <v>0</v>
      </c>
      <c r="BE548" s="120">
        <f t="shared" si="757"/>
        <v>0</v>
      </c>
      <c r="BF548" s="137">
        <f t="shared" si="758"/>
        <v>0</v>
      </c>
      <c r="BG548" s="120"/>
      <c r="BH548" s="120"/>
      <c r="BI548" s="120"/>
      <c r="BJ548" s="120"/>
      <c r="BK548" s="120"/>
      <c r="BL548" s="120"/>
      <c r="BM548" s="120"/>
      <c r="BN548" s="120"/>
      <c r="BO548" s="120"/>
      <c r="BP548" s="120"/>
      <c r="BQ548" s="124"/>
      <c r="BR548" s="120"/>
      <c r="BS548" s="120"/>
      <c r="BT548" s="120"/>
      <c r="BU548" s="120"/>
      <c r="BV548" s="120"/>
      <c r="BW548" s="120"/>
      <c r="BX548" s="121"/>
      <c r="BY548" s="121"/>
      <c r="BZ548" s="136">
        <f t="shared" si="759"/>
        <v>0</v>
      </c>
      <c r="CA548" s="136">
        <f t="shared" si="760"/>
        <v>0</v>
      </c>
      <c r="CB548" s="136">
        <f t="shared" si="761"/>
        <v>0</v>
      </c>
      <c r="CC548" s="136">
        <f t="shared" si="762"/>
        <v>0</v>
      </c>
      <c r="CD548" s="135">
        <f t="shared" si="763"/>
        <v>0</v>
      </c>
      <c r="CE548" s="135">
        <f t="shared" si="764"/>
        <v>0</v>
      </c>
      <c r="CF548" s="134">
        <f t="shared" si="765"/>
        <v>0</v>
      </c>
      <c r="CG548" s="134">
        <f t="shared" si="766"/>
        <v>0</v>
      </c>
      <c r="CH548" s="133" t="e">
        <f t="shared" si="767"/>
        <v>#DIV/0!</v>
      </c>
      <c r="CI548" s="121"/>
      <c r="CJ548" s="115"/>
    </row>
    <row r="549" spans="1:88" s="121" customFormat="1">
      <c r="A549" s="125">
        <f t="shared" si="755"/>
        <v>0</v>
      </c>
      <c r="B549" s="138" t="s">
        <v>187</v>
      </c>
      <c r="D549" s="121" t="s">
        <v>197</v>
      </c>
      <c r="F549" s="115"/>
      <c r="G549" s="120"/>
      <c r="H549" s="120"/>
      <c r="K549" s="121" t="s">
        <v>187</v>
      </c>
      <c r="M549" s="123"/>
      <c r="N549" s="121" t="s">
        <v>226</v>
      </c>
      <c r="O549" s="121" t="s">
        <v>202</v>
      </c>
      <c r="Q549" s="122">
        <f>3141*2.4</f>
        <v>7538.4</v>
      </c>
      <c r="R549" s="122"/>
      <c r="S549" s="122">
        <v>7500</v>
      </c>
      <c r="T549" s="122"/>
      <c r="BD549" s="120">
        <f t="shared" si="756"/>
        <v>0</v>
      </c>
      <c r="BE549" s="120">
        <f t="shared" si="757"/>
        <v>0</v>
      </c>
      <c r="BF549" s="137">
        <f t="shared" si="758"/>
        <v>0</v>
      </c>
      <c r="BG549" s="120"/>
      <c r="BH549" s="120"/>
      <c r="BI549" s="120"/>
      <c r="BJ549" s="120"/>
      <c r="BK549" s="120"/>
      <c r="BL549" s="120"/>
      <c r="BM549" s="120"/>
      <c r="BN549" s="120"/>
      <c r="BO549" s="120"/>
      <c r="BP549" s="120"/>
      <c r="BQ549" s="124"/>
      <c r="BR549" s="120"/>
      <c r="BS549" s="120"/>
      <c r="BT549" s="120"/>
      <c r="BU549" s="120"/>
      <c r="BV549" s="120"/>
      <c r="BW549" s="120"/>
      <c r="BZ549" s="136">
        <f t="shared" si="759"/>
        <v>0</v>
      </c>
      <c r="CA549" s="136">
        <f t="shared" si="760"/>
        <v>0</v>
      </c>
      <c r="CB549" s="136">
        <f t="shared" si="761"/>
        <v>0</v>
      </c>
      <c r="CC549" s="136">
        <f t="shared" si="762"/>
        <v>0</v>
      </c>
      <c r="CD549" s="135">
        <f t="shared" si="763"/>
        <v>0</v>
      </c>
      <c r="CE549" s="135">
        <f t="shared" si="764"/>
        <v>0</v>
      </c>
      <c r="CF549" s="134">
        <f t="shared" si="765"/>
        <v>0</v>
      </c>
      <c r="CG549" s="134">
        <f t="shared" si="766"/>
        <v>0</v>
      </c>
      <c r="CH549" s="133" t="e">
        <f t="shared" si="767"/>
        <v>#DIV/0!</v>
      </c>
      <c r="CI549" s="128"/>
      <c r="CJ549" s="115"/>
    </row>
    <row r="550" spans="1:88" s="121" customFormat="1">
      <c r="A550" s="125">
        <f t="shared" si="755"/>
        <v>0</v>
      </c>
      <c r="B550" s="138" t="s">
        <v>187</v>
      </c>
      <c r="D550" s="121" t="s">
        <v>197</v>
      </c>
      <c r="F550" s="115"/>
      <c r="G550" s="120"/>
      <c r="H550" s="120"/>
      <c r="K550" s="121" t="s">
        <v>187</v>
      </c>
      <c r="M550" s="123"/>
      <c r="N550" s="121" t="s">
        <v>4144</v>
      </c>
      <c r="O550" s="121" t="s">
        <v>4125</v>
      </c>
      <c r="Q550" s="122">
        <f>3141*2.4</f>
        <v>7538.4</v>
      </c>
      <c r="R550" s="122"/>
      <c r="S550" s="122">
        <v>7500</v>
      </c>
      <c r="T550" s="122"/>
      <c r="BD550" s="120">
        <f t="shared" si="756"/>
        <v>0</v>
      </c>
      <c r="BE550" s="120">
        <f t="shared" si="757"/>
        <v>0</v>
      </c>
      <c r="BF550" s="137">
        <f t="shared" si="758"/>
        <v>0</v>
      </c>
      <c r="BG550" s="120"/>
      <c r="BH550" s="120"/>
      <c r="BI550" s="120"/>
      <c r="BJ550" s="120"/>
      <c r="BK550" s="120"/>
      <c r="BL550" s="120"/>
      <c r="BM550" s="120"/>
      <c r="BN550" s="120"/>
      <c r="BO550" s="120"/>
      <c r="BP550" s="120"/>
      <c r="BQ550" s="124"/>
      <c r="BR550" s="120"/>
      <c r="BS550" s="120"/>
      <c r="BT550" s="120"/>
      <c r="BU550" s="120"/>
      <c r="BV550" s="120"/>
      <c r="BW550" s="120"/>
      <c r="BZ550" s="136">
        <f t="shared" si="759"/>
        <v>0</v>
      </c>
      <c r="CA550" s="136">
        <f t="shared" si="760"/>
        <v>0</v>
      </c>
      <c r="CB550" s="136">
        <f t="shared" si="761"/>
        <v>0</v>
      </c>
      <c r="CC550" s="136">
        <f t="shared" si="762"/>
        <v>0</v>
      </c>
      <c r="CD550" s="135">
        <f t="shared" si="763"/>
        <v>0</v>
      </c>
      <c r="CE550" s="135">
        <f t="shared" si="764"/>
        <v>0</v>
      </c>
      <c r="CF550" s="134">
        <f t="shared" si="765"/>
        <v>0</v>
      </c>
      <c r="CG550" s="134">
        <f t="shared" si="766"/>
        <v>0</v>
      </c>
      <c r="CH550" s="133" t="e">
        <f t="shared" si="767"/>
        <v>#DIV/0!</v>
      </c>
      <c r="CJ550" s="220"/>
    </row>
    <row r="551" spans="1:88" s="128" customFormat="1">
      <c r="A551" s="125">
        <f t="shared" si="755"/>
        <v>0</v>
      </c>
      <c r="B551" s="138" t="s">
        <v>187</v>
      </c>
      <c r="C551" s="121"/>
      <c r="D551" s="121" t="s">
        <v>197</v>
      </c>
      <c r="E551" s="121"/>
      <c r="F551" s="115"/>
      <c r="G551" s="120"/>
      <c r="H551" s="120"/>
      <c r="I551" s="121"/>
      <c r="J551" s="121"/>
      <c r="K551" s="121" t="s">
        <v>187</v>
      </c>
      <c r="L551" s="121"/>
      <c r="M551" s="123"/>
      <c r="N551" s="121" t="s">
        <v>505</v>
      </c>
      <c r="O551" s="121" t="s">
        <v>506</v>
      </c>
      <c r="P551" s="121"/>
      <c r="Q551" s="122">
        <f>3071*2.4</f>
        <v>7370.4</v>
      </c>
      <c r="R551" s="122"/>
      <c r="S551" s="122">
        <v>7400</v>
      </c>
      <c r="T551" s="122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0">
        <f t="shared" si="756"/>
        <v>0</v>
      </c>
      <c r="BE551" s="120">
        <f t="shared" si="757"/>
        <v>0</v>
      </c>
      <c r="BF551" s="137">
        <f t="shared" si="758"/>
        <v>0</v>
      </c>
      <c r="BG551" s="120"/>
      <c r="BH551" s="120"/>
      <c r="BI551" s="120"/>
      <c r="BJ551" s="120"/>
      <c r="BK551" s="120"/>
      <c r="BL551" s="120"/>
      <c r="BM551" s="120"/>
      <c r="BN551" s="120"/>
      <c r="BO551" s="120"/>
      <c r="BP551" s="120"/>
      <c r="BQ551" s="124"/>
      <c r="BR551" s="120"/>
      <c r="BS551" s="120"/>
      <c r="BT551" s="120"/>
      <c r="BU551" s="120"/>
      <c r="BV551" s="120"/>
      <c r="BW551" s="120"/>
      <c r="BX551" s="121"/>
      <c r="BY551" s="121"/>
      <c r="BZ551" s="136">
        <f t="shared" si="759"/>
        <v>0</v>
      </c>
      <c r="CA551" s="136">
        <f t="shared" si="760"/>
        <v>0</v>
      </c>
      <c r="CB551" s="136">
        <f t="shared" si="761"/>
        <v>0</v>
      </c>
      <c r="CC551" s="136">
        <f t="shared" si="762"/>
        <v>0</v>
      </c>
      <c r="CD551" s="135">
        <f t="shared" si="763"/>
        <v>0</v>
      </c>
      <c r="CE551" s="135">
        <f t="shared" si="764"/>
        <v>0</v>
      </c>
      <c r="CF551" s="134">
        <f t="shared" si="765"/>
        <v>0</v>
      </c>
      <c r="CG551" s="134">
        <f t="shared" si="766"/>
        <v>0</v>
      </c>
      <c r="CH551" s="133" t="e">
        <f t="shared" si="767"/>
        <v>#DIV/0!</v>
      </c>
      <c r="CI551" s="121"/>
      <c r="CJ551" s="121"/>
    </row>
    <row r="552" spans="1:88" s="121" customFormat="1">
      <c r="A552" s="125">
        <f t="shared" si="755"/>
        <v>0</v>
      </c>
      <c r="B552" s="138" t="s">
        <v>187</v>
      </c>
      <c r="D552" s="121" t="s">
        <v>197</v>
      </c>
      <c r="G552" s="120"/>
      <c r="H552" s="120"/>
      <c r="K552" s="121" t="s">
        <v>187</v>
      </c>
      <c r="M552" s="123"/>
      <c r="N552" s="121" t="s">
        <v>307</v>
      </c>
      <c r="O552" s="121" t="s">
        <v>250</v>
      </c>
      <c r="Q552" s="122">
        <f>3139*2.4</f>
        <v>7533.5999999999995</v>
      </c>
      <c r="R552" s="122"/>
      <c r="S552" s="122">
        <v>7500</v>
      </c>
      <c r="T552" s="122"/>
      <c r="BD552" s="120">
        <f t="shared" si="756"/>
        <v>0</v>
      </c>
      <c r="BE552" s="120">
        <f t="shared" si="757"/>
        <v>0</v>
      </c>
      <c r="BF552" s="137">
        <f t="shared" si="758"/>
        <v>0</v>
      </c>
      <c r="BG552" s="120"/>
      <c r="BH552" s="120"/>
      <c r="BI552" s="120"/>
      <c r="BJ552" s="120"/>
      <c r="BK552" s="120"/>
      <c r="BL552" s="120"/>
      <c r="BM552" s="120"/>
      <c r="BN552" s="120"/>
      <c r="BO552" s="120"/>
      <c r="BP552" s="120"/>
      <c r="BQ552" s="124"/>
      <c r="BR552" s="120"/>
      <c r="BS552" s="120"/>
      <c r="BT552" s="120"/>
      <c r="BU552" s="120"/>
      <c r="BV552" s="120"/>
      <c r="BW552" s="120"/>
      <c r="BZ552" s="136">
        <f t="shared" si="759"/>
        <v>0</v>
      </c>
      <c r="CA552" s="136">
        <f t="shared" si="760"/>
        <v>0</v>
      </c>
      <c r="CB552" s="136">
        <f t="shared" si="761"/>
        <v>0</v>
      </c>
      <c r="CC552" s="136">
        <f t="shared" si="762"/>
        <v>0</v>
      </c>
      <c r="CD552" s="135">
        <f t="shared" si="763"/>
        <v>0</v>
      </c>
      <c r="CE552" s="135">
        <f t="shared" si="764"/>
        <v>0</v>
      </c>
      <c r="CF552" s="134">
        <f t="shared" si="765"/>
        <v>0</v>
      </c>
      <c r="CG552" s="134">
        <f t="shared" si="766"/>
        <v>0</v>
      </c>
      <c r="CH552" s="133" t="e">
        <f t="shared" si="767"/>
        <v>#DIV/0!</v>
      </c>
    </row>
    <row r="553" spans="1:88" s="128" customFormat="1">
      <c r="A553" s="125">
        <f t="shared" si="755"/>
        <v>0</v>
      </c>
      <c r="B553" s="138" t="s">
        <v>187</v>
      </c>
      <c r="C553" s="121"/>
      <c r="D553" s="121" t="s">
        <v>197</v>
      </c>
      <c r="E553" s="121"/>
      <c r="F553" s="121"/>
      <c r="G553" s="120"/>
      <c r="H553" s="120"/>
      <c r="I553" s="121"/>
      <c r="J553" s="121"/>
      <c r="K553" s="121" t="s">
        <v>187</v>
      </c>
      <c r="L553" s="121"/>
      <c r="M553" s="123"/>
      <c r="N553" s="121" t="s">
        <v>307</v>
      </c>
      <c r="O553" s="121" t="s">
        <v>1768</v>
      </c>
      <c r="P553" s="121"/>
      <c r="Q553" s="122">
        <f>3139*2.4</f>
        <v>7533.5999999999995</v>
      </c>
      <c r="R553" s="122"/>
      <c r="S553" s="122">
        <v>7500</v>
      </c>
      <c r="T553" s="122"/>
      <c r="U553" s="121"/>
      <c r="V553" s="121"/>
      <c r="W553" s="121"/>
      <c r="X553" s="121"/>
      <c r="Y553" s="226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  <c r="AL553" s="121"/>
      <c r="AM553" s="121"/>
      <c r="AN553" s="121"/>
      <c r="AO553" s="121"/>
      <c r="AP553" s="121"/>
      <c r="AQ553" s="121"/>
      <c r="AR553" s="121"/>
      <c r="AS553" s="121"/>
      <c r="AT553" s="121"/>
      <c r="AU553" s="121"/>
      <c r="AV553" s="121"/>
      <c r="AW553" s="121"/>
      <c r="AX553" s="121"/>
      <c r="AY553" s="121"/>
      <c r="AZ553" s="121"/>
      <c r="BA553" s="121"/>
      <c r="BB553" s="121"/>
      <c r="BC553" s="121"/>
      <c r="BD553" s="120">
        <f t="shared" si="756"/>
        <v>0</v>
      </c>
      <c r="BE553" s="120">
        <f t="shared" si="757"/>
        <v>0</v>
      </c>
      <c r="BF553" s="137">
        <f t="shared" si="758"/>
        <v>0</v>
      </c>
      <c r="BG553" s="120"/>
      <c r="BH553" s="120"/>
      <c r="BI553" s="120"/>
      <c r="BJ553" s="120"/>
      <c r="BK553" s="120"/>
      <c r="BL553" s="120"/>
      <c r="BM553" s="120"/>
      <c r="BN553" s="120"/>
      <c r="BO553" s="120"/>
      <c r="BP553" s="120"/>
      <c r="BQ553" s="124"/>
      <c r="BR553" s="120"/>
      <c r="BS553" s="120"/>
      <c r="BT553" s="120"/>
      <c r="BU553" s="120"/>
      <c r="BV553" s="120"/>
      <c r="BW553" s="120"/>
      <c r="BX553" s="121"/>
      <c r="BY553" s="121"/>
      <c r="BZ553" s="136">
        <f t="shared" si="759"/>
        <v>0</v>
      </c>
      <c r="CA553" s="136">
        <f t="shared" si="760"/>
        <v>0</v>
      </c>
      <c r="CB553" s="136">
        <f t="shared" si="761"/>
        <v>0</v>
      </c>
      <c r="CC553" s="136">
        <f t="shared" si="762"/>
        <v>0</v>
      </c>
      <c r="CD553" s="135">
        <f t="shared" si="763"/>
        <v>0</v>
      </c>
      <c r="CE553" s="135">
        <f t="shared" si="764"/>
        <v>0</v>
      </c>
      <c r="CF553" s="134">
        <f t="shared" si="765"/>
        <v>0</v>
      </c>
      <c r="CG553" s="134">
        <f t="shared" si="766"/>
        <v>0</v>
      </c>
      <c r="CH553" s="133" t="e">
        <f t="shared" si="767"/>
        <v>#DIV/0!</v>
      </c>
      <c r="CI553" s="121"/>
    </row>
    <row r="554" spans="1:88" s="121" customFormat="1">
      <c r="A554" s="125">
        <f t="shared" si="755"/>
        <v>0</v>
      </c>
      <c r="B554" s="138" t="s">
        <v>187</v>
      </c>
      <c r="D554" s="121" t="s">
        <v>197</v>
      </c>
      <c r="F554" s="115"/>
      <c r="G554" s="120"/>
      <c r="H554" s="120"/>
      <c r="K554" s="121" t="s">
        <v>187</v>
      </c>
      <c r="M554" s="123"/>
      <c r="N554" s="121" t="s">
        <v>307</v>
      </c>
      <c r="O554" s="121" t="s">
        <v>250</v>
      </c>
      <c r="Q554" s="122">
        <f>3139*2.4</f>
        <v>7533.5999999999995</v>
      </c>
      <c r="R554" s="122"/>
      <c r="S554" s="122">
        <v>7500</v>
      </c>
      <c r="T554" s="122"/>
      <c r="X554" s="226"/>
      <c r="Y554" s="226"/>
      <c r="BD554" s="120">
        <f t="shared" si="756"/>
        <v>0</v>
      </c>
      <c r="BE554" s="120">
        <f t="shared" si="757"/>
        <v>0</v>
      </c>
      <c r="BF554" s="137">
        <f t="shared" si="758"/>
        <v>0</v>
      </c>
      <c r="BG554" s="120"/>
      <c r="BH554" s="120"/>
      <c r="BI554" s="120"/>
      <c r="BJ554" s="120"/>
      <c r="BK554" s="120"/>
      <c r="BL554" s="120"/>
      <c r="BM554" s="120"/>
      <c r="BN554" s="120"/>
      <c r="BO554" s="120"/>
      <c r="BP554" s="120"/>
      <c r="BQ554" s="124"/>
      <c r="BR554" s="120"/>
      <c r="BS554" s="120"/>
      <c r="BT554" s="120"/>
      <c r="BU554" s="120"/>
      <c r="BV554" s="120"/>
      <c r="BW554" s="120"/>
      <c r="BZ554" s="136">
        <f t="shared" si="759"/>
        <v>0</v>
      </c>
      <c r="CA554" s="136">
        <f t="shared" si="760"/>
        <v>0</v>
      </c>
      <c r="CB554" s="136">
        <f t="shared" si="761"/>
        <v>0</v>
      </c>
      <c r="CC554" s="136">
        <f t="shared" si="762"/>
        <v>0</v>
      </c>
      <c r="CD554" s="135">
        <f t="shared" si="763"/>
        <v>0</v>
      </c>
      <c r="CE554" s="135">
        <f t="shared" si="764"/>
        <v>0</v>
      </c>
      <c r="CF554" s="134">
        <f t="shared" si="765"/>
        <v>0</v>
      </c>
      <c r="CG554" s="134">
        <f t="shared" si="766"/>
        <v>0</v>
      </c>
      <c r="CH554" s="133" t="e">
        <f t="shared" si="767"/>
        <v>#DIV/0!</v>
      </c>
    </row>
    <row r="555" spans="1:88" s="141" customFormat="1">
      <c r="A555" s="125">
        <f t="shared" si="755"/>
        <v>0</v>
      </c>
      <c r="B555" s="138" t="s">
        <v>187</v>
      </c>
      <c r="C555" s="121"/>
      <c r="D555" s="121" t="s">
        <v>197</v>
      </c>
      <c r="E555" s="121"/>
      <c r="F555" s="115"/>
      <c r="G555" s="120"/>
      <c r="H555" s="120"/>
      <c r="I555" s="121"/>
      <c r="J555" s="121"/>
      <c r="K555" s="121" t="s">
        <v>187</v>
      </c>
      <c r="L555" s="121"/>
      <c r="M555" s="123"/>
      <c r="N555" s="121" t="s">
        <v>213</v>
      </c>
      <c r="O555" s="121" t="s">
        <v>356</v>
      </c>
      <c r="P555" s="121"/>
      <c r="Q555" s="122">
        <f>3107*2.4</f>
        <v>7456.7999999999993</v>
      </c>
      <c r="R555" s="122"/>
      <c r="S555" s="122">
        <v>7500</v>
      </c>
      <c r="T555" s="122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  <c r="AL555" s="121"/>
      <c r="AM555" s="121"/>
      <c r="AN555" s="121"/>
      <c r="AO555" s="121"/>
      <c r="AP555" s="121"/>
      <c r="AQ555" s="121"/>
      <c r="AR555" s="121"/>
      <c r="AS555" s="121"/>
      <c r="AT555" s="121"/>
      <c r="AU555" s="121"/>
      <c r="AV555" s="121"/>
      <c r="AW555" s="121"/>
      <c r="AX555" s="121"/>
      <c r="AY555" s="121"/>
      <c r="AZ555" s="121"/>
      <c r="BA555" s="121"/>
      <c r="BB555" s="121"/>
      <c r="BC555" s="121"/>
      <c r="BD555" s="120">
        <f t="shared" si="756"/>
        <v>0</v>
      </c>
      <c r="BE555" s="120">
        <f t="shared" si="757"/>
        <v>0</v>
      </c>
      <c r="BF555" s="137">
        <f t="shared" si="758"/>
        <v>0</v>
      </c>
      <c r="BG555" s="120"/>
      <c r="BH555" s="120"/>
      <c r="BI555" s="120"/>
      <c r="BJ555" s="120"/>
      <c r="BK555" s="120"/>
      <c r="BL555" s="120"/>
      <c r="BM555" s="120"/>
      <c r="BN555" s="120"/>
      <c r="BO555" s="120"/>
      <c r="BP555" s="120"/>
      <c r="BQ555" s="124"/>
      <c r="BR555" s="120"/>
      <c r="BS555" s="120"/>
      <c r="BT555" s="120"/>
      <c r="BU555" s="120"/>
      <c r="BV555" s="120"/>
      <c r="BW555" s="120"/>
      <c r="BX555" s="121"/>
      <c r="BY555" s="121"/>
      <c r="BZ555" s="136">
        <f t="shared" si="759"/>
        <v>0</v>
      </c>
      <c r="CA555" s="136">
        <f t="shared" si="760"/>
        <v>0</v>
      </c>
      <c r="CB555" s="136">
        <f t="shared" si="761"/>
        <v>0</v>
      </c>
      <c r="CC555" s="136">
        <f t="shared" si="762"/>
        <v>0</v>
      </c>
      <c r="CD555" s="135">
        <f t="shared" si="763"/>
        <v>0</v>
      </c>
      <c r="CE555" s="135">
        <f t="shared" si="764"/>
        <v>0</v>
      </c>
      <c r="CF555" s="134">
        <f t="shared" si="765"/>
        <v>0</v>
      </c>
      <c r="CG555" s="134">
        <f t="shared" si="766"/>
        <v>0</v>
      </c>
      <c r="CH555" s="133" t="e">
        <f t="shared" si="767"/>
        <v>#DIV/0!</v>
      </c>
      <c r="CI555" s="128"/>
      <c r="CJ555" s="128"/>
    </row>
    <row r="556" spans="1:88" s="141" customFormat="1">
      <c r="A556" s="125">
        <f t="shared" si="755"/>
        <v>0</v>
      </c>
      <c r="B556" s="138" t="s">
        <v>187</v>
      </c>
      <c r="C556" s="121"/>
      <c r="D556" s="121" t="s">
        <v>197</v>
      </c>
      <c r="E556" s="121"/>
      <c r="F556" s="115"/>
      <c r="G556" s="120"/>
      <c r="H556" s="120"/>
      <c r="I556" s="121"/>
      <c r="J556" s="121"/>
      <c r="K556" s="121" t="s">
        <v>187</v>
      </c>
      <c r="L556" s="121"/>
      <c r="M556" s="123"/>
      <c r="N556" s="121" t="s">
        <v>4145</v>
      </c>
      <c r="O556" s="121" t="s">
        <v>234</v>
      </c>
      <c r="P556" s="121"/>
      <c r="Q556" s="122">
        <f>3215*2.4</f>
        <v>7716</v>
      </c>
      <c r="R556" s="122"/>
      <c r="S556" s="122">
        <v>7700</v>
      </c>
      <c r="T556" s="122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  <c r="AL556" s="121"/>
      <c r="AM556" s="121"/>
      <c r="AN556" s="121"/>
      <c r="AO556" s="121"/>
      <c r="AP556" s="121"/>
      <c r="AQ556" s="121"/>
      <c r="AR556" s="121"/>
      <c r="AS556" s="121"/>
      <c r="AT556" s="121"/>
      <c r="AU556" s="121"/>
      <c r="AV556" s="121"/>
      <c r="AW556" s="121"/>
      <c r="AX556" s="121"/>
      <c r="AY556" s="121"/>
      <c r="AZ556" s="121"/>
      <c r="BA556" s="121"/>
      <c r="BB556" s="121"/>
      <c r="BC556" s="121"/>
      <c r="BD556" s="120">
        <f t="shared" si="756"/>
        <v>0</v>
      </c>
      <c r="BE556" s="120">
        <f t="shared" si="757"/>
        <v>0</v>
      </c>
      <c r="BF556" s="137">
        <f t="shared" si="758"/>
        <v>0</v>
      </c>
      <c r="BG556" s="120"/>
      <c r="BH556" s="120"/>
      <c r="BI556" s="120"/>
      <c r="BJ556" s="120"/>
      <c r="BK556" s="120"/>
      <c r="BL556" s="120"/>
      <c r="BM556" s="120"/>
      <c r="BN556" s="120"/>
      <c r="BO556" s="120"/>
      <c r="BP556" s="120"/>
      <c r="BQ556" s="124"/>
      <c r="BR556" s="120"/>
      <c r="BS556" s="120"/>
      <c r="BT556" s="120"/>
      <c r="BU556" s="120"/>
      <c r="BV556" s="120"/>
      <c r="BW556" s="120"/>
      <c r="BX556" s="121"/>
      <c r="BY556" s="121"/>
      <c r="BZ556" s="136">
        <f t="shared" si="759"/>
        <v>0</v>
      </c>
      <c r="CA556" s="136">
        <f t="shared" si="760"/>
        <v>0</v>
      </c>
      <c r="CB556" s="136">
        <f t="shared" si="761"/>
        <v>0</v>
      </c>
      <c r="CC556" s="136">
        <f t="shared" si="762"/>
        <v>0</v>
      </c>
      <c r="CD556" s="135">
        <f t="shared" si="763"/>
        <v>0</v>
      </c>
      <c r="CE556" s="135">
        <f t="shared" si="764"/>
        <v>0</v>
      </c>
      <c r="CF556" s="134">
        <f t="shared" si="765"/>
        <v>0</v>
      </c>
      <c r="CG556" s="134">
        <f t="shared" si="766"/>
        <v>0</v>
      </c>
      <c r="CH556" s="133" t="e">
        <f t="shared" si="767"/>
        <v>#DIV/0!</v>
      </c>
      <c r="CI556" s="121"/>
      <c r="CJ556" s="121"/>
    </row>
    <row r="557" spans="1:88">
      <c r="A557" s="125">
        <f t="shared" si="755"/>
        <v>0</v>
      </c>
      <c r="B557" s="138" t="s">
        <v>187</v>
      </c>
      <c r="C557" s="121"/>
      <c r="D557" s="121" t="s">
        <v>197</v>
      </c>
      <c r="E557" s="121"/>
      <c r="F557" s="121"/>
      <c r="G557" s="120"/>
      <c r="H557" s="120"/>
      <c r="I557" s="121"/>
      <c r="J557" s="121"/>
      <c r="K557" s="121" t="s">
        <v>187</v>
      </c>
      <c r="L557" s="121"/>
      <c r="M557" s="123"/>
      <c r="N557" s="121" t="s">
        <v>4145</v>
      </c>
      <c r="O557" s="121" t="s">
        <v>234</v>
      </c>
      <c r="P557" s="121"/>
      <c r="Q557" s="122">
        <v>7500</v>
      </c>
      <c r="R557" s="122"/>
      <c r="S557" s="122">
        <v>7500</v>
      </c>
      <c r="T557" s="122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  <c r="AL557" s="121"/>
      <c r="AM557" s="121"/>
      <c r="AN557" s="121"/>
      <c r="AO557" s="121"/>
      <c r="AP557" s="121"/>
      <c r="AQ557" s="121"/>
      <c r="AR557" s="121"/>
      <c r="AS557" s="121"/>
      <c r="AT557" s="121"/>
      <c r="AU557" s="121"/>
      <c r="AV557" s="121"/>
      <c r="AW557" s="121"/>
      <c r="AX557" s="121"/>
      <c r="AY557" s="121"/>
      <c r="AZ557" s="121"/>
      <c r="BA557" s="121"/>
      <c r="BB557" s="121"/>
      <c r="BC557" s="121"/>
      <c r="BD557" s="120">
        <f t="shared" si="756"/>
        <v>0</v>
      </c>
      <c r="BE557" s="120">
        <f t="shared" si="757"/>
        <v>0</v>
      </c>
      <c r="BF557" s="137">
        <f t="shared" si="758"/>
        <v>0</v>
      </c>
      <c r="BG557" s="120"/>
      <c r="BH557" s="120"/>
      <c r="BI557" s="120"/>
      <c r="BJ557" s="120"/>
      <c r="BK557" s="120"/>
      <c r="BL557" s="120"/>
      <c r="BM557" s="120"/>
      <c r="BN557" s="120"/>
      <c r="BO557" s="120"/>
      <c r="BP557" s="120"/>
      <c r="BQ557" s="124"/>
      <c r="BR557" s="120"/>
      <c r="BS557" s="120"/>
      <c r="BT557" s="120"/>
      <c r="BU557" s="120"/>
      <c r="BV557" s="120"/>
      <c r="BW557" s="120"/>
      <c r="BX557" s="121"/>
      <c r="BY557" s="121"/>
      <c r="BZ557" s="136">
        <f t="shared" si="759"/>
        <v>0</v>
      </c>
      <c r="CA557" s="136">
        <f t="shared" si="760"/>
        <v>0</v>
      </c>
      <c r="CB557" s="136">
        <f t="shared" si="761"/>
        <v>0</v>
      </c>
      <c r="CC557" s="136">
        <f t="shared" si="762"/>
        <v>0</v>
      </c>
      <c r="CD557" s="135">
        <f t="shared" si="763"/>
        <v>0</v>
      </c>
      <c r="CE557" s="135">
        <f t="shared" si="764"/>
        <v>0</v>
      </c>
      <c r="CF557" s="134">
        <f t="shared" si="765"/>
        <v>0</v>
      </c>
      <c r="CG557" s="134">
        <f t="shared" si="766"/>
        <v>0</v>
      </c>
      <c r="CH557" s="133" t="e">
        <f t="shared" si="767"/>
        <v>#DIV/0!</v>
      </c>
      <c r="CI557" s="121"/>
      <c r="CJ557" s="141"/>
    </row>
    <row r="558" spans="1:88">
      <c r="A558" s="125">
        <f t="shared" ref="A558:A621" si="768">BJ558</f>
        <v>0</v>
      </c>
      <c r="B558" s="138" t="s">
        <v>187</v>
      </c>
      <c r="C558" s="121"/>
      <c r="D558" s="121" t="s">
        <v>197</v>
      </c>
      <c r="E558" s="121"/>
      <c r="F558" s="121"/>
      <c r="G558" s="120"/>
      <c r="H558" s="120"/>
      <c r="I558" s="121"/>
      <c r="J558" s="121"/>
      <c r="K558" s="121" t="s">
        <v>187</v>
      </c>
      <c r="L558" s="121"/>
      <c r="M558" s="123"/>
      <c r="N558" s="121" t="s">
        <v>4146</v>
      </c>
      <c r="O558" s="121" t="s">
        <v>474</v>
      </c>
      <c r="P558" s="121"/>
      <c r="Q558" s="122">
        <f>3136*2.4</f>
        <v>7526.4</v>
      </c>
      <c r="R558" s="122"/>
      <c r="S558" s="122">
        <v>7500</v>
      </c>
      <c r="T558" s="122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  <c r="AL558" s="121"/>
      <c r="AM558" s="121"/>
      <c r="AN558" s="121"/>
      <c r="AO558" s="121"/>
      <c r="AP558" s="121"/>
      <c r="AQ558" s="121"/>
      <c r="AR558" s="121"/>
      <c r="AS558" s="121"/>
      <c r="AT558" s="121"/>
      <c r="AU558" s="121"/>
      <c r="AV558" s="121"/>
      <c r="AW558" s="121"/>
      <c r="AX558" s="121"/>
      <c r="AY558" s="121"/>
      <c r="AZ558" s="121"/>
      <c r="BA558" s="121"/>
      <c r="BB558" s="121"/>
      <c r="BC558" s="121"/>
      <c r="BD558" s="120">
        <f t="shared" ref="BD558:BD581" si="769">BG558</f>
        <v>0</v>
      </c>
      <c r="BE558" s="120">
        <f t="shared" ref="BE558:BE581" si="770">BW558</f>
        <v>0</v>
      </c>
      <c r="BF558" s="137">
        <f t="shared" ref="BF558:BF581" si="771">BE558-BD558</f>
        <v>0</v>
      </c>
      <c r="BG558" s="120"/>
      <c r="BH558" s="120"/>
      <c r="BI558" s="120"/>
      <c r="BJ558" s="120"/>
      <c r="BK558" s="120"/>
      <c r="BL558" s="120"/>
      <c r="BM558" s="120"/>
      <c r="BN558" s="120"/>
      <c r="BO558" s="120"/>
      <c r="BP558" s="120"/>
      <c r="BQ558" s="124"/>
      <c r="BR558" s="120"/>
      <c r="BS558" s="120"/>
      <c r="BT558" s="120"/>
      <c r="BU558" s="120"/>
      <c r="BV558" s="120"/>
      <c r="BW558" s="120"/>
      <c r="BX558" s="121"/>
      <c r="BY558" s="121"/>
      <c r="BZ558" s="136">
        <f t="shared" si="759"/>
        <v>0</v>
      </c>
      <c r="CA558" s="136">
        <f t="shared" si="760"/>
        <v>0</v>
      </c>
      <c r="CB558" s="136">
        <f t="shared" si="761"/>
        <v>0</v>
      </c>
      <c r="CC558" s="136">
        <f t="shared" si="762"/>
        <v>0</v>
      </c>
      <c r="CD558" s="135">
        <f t="shared" si="763"/>
        <v>0</v>
      </c>
      <c r="CE558" s="135">
        <f t="shared" si="764"/>
        <v>0</v>
      </c>
      <c r="CF558" s="134">
        <f t="shared" si="765"/>
        <v>0</v>
      </c>
      <c r="CG558" s="134">
        <f t="shared" si="766"/>
        <v>0</v>
      </c>
      <c r="CH558" s="133" t="e">
        <f t="shared" si="767"/>
        <v>#DIV/0!</v>
      </c>
      <c r="CI558" s="128"/>
      <c r="CJ558" s="141"/>
    </row>
    <row r="559" spans="1:88" s="121" customFormat="1">
      <c r="A559" s="125">
        <f t="shared" si="768"/>
        <v>0</v>
      </c>
      <c r="B559" s="138" t="s">
        <v>187</v>
      </c>
      <c r="D559" s="121" t="s">
        <v>215</v>
      </c>
      <c r="G559" s="120"/>
      <c r="H559" s="120"/>
      <c r="K559" s="121" t="s">
        <v>187</v>
      </c>
      <c r="M559" s="123"/>
      <c r="N559" s="121" t="s">
        <v>4146</v>
      </c>
      <c r="O559" s="121" t="s">
        <v>258</v>
      </c>
      <c r="Q559" s="122">
        <f>3139*2.4</f>
        <v>7533.5999999999995</v>
      </c>
      <c r="R559" s="122"/>
      <c r="S559" s="122">
        <v>7500</v>
      </c>
      <c r="T559" s="122"/>
      <c r="BD559" s="120">
        <f t="shared" si="769"/>
        <v>0</v>
      </c>
      <c r="BE559" s="120">
        <f t="shared" si="770"/>
        <v>0</v>
      </c>
      <c r="BF559" s="137">
        <f t="shared" si="771"/>
        <v>0</v>
      </c>
      <c r="BG559" s="120"/>
      <c r="BH559" s="120"/>
      <c r="BI559" s="120"/>
      <c r="BJ559" s="120"/>
      <c r="BK559" s="120"/>
      <c r="BL559" s="120"/>
      <c r="BM559" s="120"/>
      <c r="BN559" s="120"/>
      <c r="BO559" s="124"/>
      <c r="BP559" s="124"/>
      <c r="BQ559" s="124"/>
      <c r="BR559" s="120"/>
      <c r="BS559" s="120"/>
      <c r="BT559" s="120"/>
      <c r="BU559" s="120"/>
      <c r="BV559" s="120"/>
      <c r="BW559" s="120"/>
      <c r="BZ559" s="136">
        <f t="shared" si="759"/>
        <v>0</v>
      </c>
      <c r="CA559" s="136">
        <f t="shared" si="760"/>
        <v>0</v>
      </c>
      <c r="CB559" s="136">
        <f t="shared" si="761"/>
        <v>0</v>
      </c>
      <c r="CC559" s="136">
        <f t="shared" si="762"/>
        <v>0</v>
      </c>
      <c r="CD559" s="135">
        <f t="shared" si="763"/>
        <v>0</v>
      </c>
      <c r="CE559" s="135">
        <f t="shared" si="764"/>
        <v>0</v>
      </c>
      <c r="CF559" s="134">
        <f t="shared" si="765"/>
        <v>0</v>
      </c>
      <c r="CG559" s="134">
        <f t="shared" si="766"/>
        <v>0</v>
      </c>
      <c r="CH559" s="133" t="e">
        <f t="shared" si="767"/>
        <v>#DIV/0!</v>
      </c>
      <c r="CI559" s="128"/>
      <c r="CJ559" s="115"/>
    </row>
    <row r="560" spans="1:88" s="121" customFormat="1">
      <c r="A560" s="125">
        <f t="shared" si="768"/>
        <v>0</v>
      </c>
      <c r="B560" s="138" t="s">
        <v>187</v>
      </c>
      <c r="D560" s="121" t="s">
        <v>197</v>
      </c>
      <c r="G560" s="120"/>
      <c r="H560" s="120"/>
      <c r="K560" s="121" t="s">
        <v>187</v>
      </c>
      <c r="M560" s="123"/>
      <c r="N560" s="121" t="s">
        <v>263</v>
      </c>
      <c r="O560" s="121" t="s">
        <v>264</v>
      </c>
      <c r="Q560" s="122">
        <f>3136*2.4</f>
        <v>7526.4</v>
      </c>
      <c r="R560" s="122"/>
      <c r="S560" s="122">
        <v>7500</v>
      </c>
      <c r="T560" s="122"/>
      <c r="BD560" s="120">
        <f t="shared" si="769"/>
        <v>0</v>
      </c>
      <c r="BE560" s="120">
        <f t="shared" si="770"/>
        <v>0</v>
      </c>
      <c r="BF560" s="137">
        <f t="shared" si="771"/>
        <v>0</v>
      </c>
      <c r="BG560" s="120"/>
      <c r="BH560" s="120"/>
      <c r="BI560" s="120"/>
      <c r="BJ560" s="120"/>
      <c r="BK560" s="120"/>
      <c r="BL560" s="120"/>
      <c r="BM560" s="120"/>
      <c r="BN560" s="120"/>
      <c r="BO560" s="140"/>
      <c r="BP560" s="140"/>
      <c r="BQ560" s="124"/>
      <c r="BR560" s="120"/>
      <c r="BS560" s="120"/>
      <c r="BT560" s="120"/>
      <c r="BU560" s="120"/>
      <c r="BV560" s="120"/>
      <c r="BW560" s="120"/>
      <c r="BZ560" s="136">
        <f t="shared" si="759"/>
        <v>0</v>
      </c>
      <c r="CA560" s="136">
        <f t="shared" si="760"/>
        <v>0</v>
      </c>
      <c r="CB560" s="136">
        <f t="shared" si="761"/>
        <v>0</v>
      </c>
      <c r="CC560" s="136">
        <f t="shared" si="762"/>
        <v>0</v>
      </c>
      <c r="CD560" s="135">
        <f t="shared" si="763"/>
        <v>0</v>
      </c>
      <c r="CE560" s="135">
        <f t="shared" si="764"/>
        <v>0</v>
      </c>
      <c r="CF560" s="134">
        <f t="shared" si="765"/>
        <v>0</v>
      </c>
      <c r="CG560" s="134">
        <f t="shared" si="766"/>
        <v>0</v>
      </c>
      <c r="CH560" s="133" t="e">
        <f t="shared" si="767"/>
        <v>#DIV/0!</v>
      </c>
      <c r="CJ560" s="115"/>
    </row>
    <row r="561" spans="1:88" s="121" customFormat="1">
      <c r="A561" s="125">
        <f t="shared" si="768"/>
        <v>0</v>
      </c>
      <c r="B561" s="138" t="s">
        <v>187</v>
      </c>
      <c r="D561" s="121" t="s">
        <v>215</v>
      </c>
      <c r="F561" s="115"/>
      <c r="G561" s="120"/>
      <c r="H561" s="120"/>
      <c r="K561" s="121" t="s">
        <v>187</v>
      </c>
      <c r="M561" s="123"/>
      <c r="N561" s="121" t="s">
        <v>721</v>
      </c>
      <c r="O561" s="121" t="s">
        <v>258</v>
      </c>
      <c r="Q561" s="122">
        <f>3139*2.4</f>
        <v>7533.5999999999995</v>
      </c>
      <c r="R561" s="122"/>
      <c r="S561" s="122">
        <v>7500</v>
      </c>
      <c r="T561" s="122"/>
      <c r="BD561" s="120">
        <f t="shared" si="769"/>
        <v>0</v>
      </c>
      <c r="BE561" s="120">
        <f t="shared" si="770"/>
        <v>0</v>
      </c>
      <c r="BF561" s="137">
        <f t="shared" si="771"/>
        <v>0</v>
      </c>
      <c r="BG561" s="120"/>
      <c r="BH561" s="120"/>
      <c r="BI561" s="120"/>
      <c r="BJ561" s="120"/>
      <c r="BK561" s="120"/>
      <c r="BL561" s="120"/>
      <c r="BM561" s="120"/>
      <c r="BN561" s="120"/>
      <c r="BO561" s="124"/>
      <c r="BP561" s="124"/>
      <c r="BQ561" s="124"/>
      <c r="BR561" s="120"/>
      <c r="BS561" s="120"/>
      <c r="BT561" s="120"/>
      <c r="BU561" s="120"/>
      <c r="BV561" s="120"/>
      <c r="BW561" s="120"/>
      <c r="BZ561" s="136">
        <f t="shared" si="759"/>
        <v>0</v>
      </c>
      <c r="CA561" s="136">
        <f t="shared" si="760"/>
        <v>0</v>
      </c>
      <c r="CB561" s="136">
        <f t="shared" si="761"/>
        <v>0</v>
      </c>
      <c r="CC561" s="136">
        <f t="shared" si="762"/>
        <v>0</v>
      </c>
      <c r="CD561" s="135">
        <f t="shared" si="763"/>
        <v>0</v>
      </c>
      <c r="CE561" s="135">
        <f t="shared" si="764"/>
        <v>0</v>
      </c>
      <c r="CF561" s="134">
        <f t="shared" si="765"/>
        <v>0</v>
      </c>
      <c r="CG561" s="134">
        <f t="shared" si="766"/>
        <v>0</v>
      </c>
      <c r="CH561" s="133" t="e">
        <f t="shared" si="767"/>
        <v>#DIV/0!</v>
      </c>
      <c r="CI561" s="128"/>
    </row>
    <row r="562" spans="1:88" s="128" customFormat="1">
      <c r="A562" s="125">
        <f t="shared" si="768"/>
        <v>0</v>
      </c>
      <c r="B562" s="138" t="s">
        <v>187</v>
      </c>
      <c r="C562" s="121"/>
      <c r="D562" s="121" t="s">
        <v>215</v>
      </c>
      <c r="E562" s="121"/>
      <c r="F562" s="121"/>
      <c r="G562" s="120"/>
      <c r="H562" s="120"/>
      <c r="I562" s="121"/>
      <c r="J562" s="121"/>
      <c r="K562" s="121" t="s">
        <v>187</v>
      </c>
      <c r="L562" s="121"/>
      <c r="M562" s="123"/>
      <c r="N562" s="121" t="s">
        <v>358</v>
      </c>
      <c r="O562" s="121" t="s">
        <v>1349</v>
      </c>
      <c r="P562" s="121"/>
      <c r="Q562" s="122">
        <f>3136*2.4</f>
        <v>7526.4</v>
      </c>
      <c r="R562" s="122"/>
      <c r="S562" s="122">
        <v>7500</v>
      </c>
      <c r="T562" s="122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  <c r="AP562" s="121"/>
      <c r="AQ562" s="121"/>
      <c r="AR562" s="121"/>
      <c r="AS562" s="121"/>
      <c r="AT562" s="121"/>
      <c r="AU562" s="121"/>
      <c r="AV562" s="121"/>
      <c r="AW562" s="121"/>
      <c r="AX562" s="121"/>
      <c r="AY562" s="121"/>
      <c r="AZ562" s="121"/>
      <c r="BA562" s="121"/>
      <c r="BB562" s="121"/>
      <c r="BC562" s="121"/>
      <c r="BD562" s="120">
        <f t="shared" si="769"/>
        <v>0</v>
      </c>
      <c r="BE562" s="120">
        <f t="shared" si="770"/>
        <v>0</v>
      </c>
      <c r="BF562" s="137">
        <f t="shared" si="771"/>
        <v>0</v>
      </c>
      <c r="BG562" s="120"/>
      <c r="BH562" s="120"/>
      <c r="BI562" s="120"/>
      <c r="BJ562" s="120"/>
      <c r="BK562" s="120"/>
      <c r="BL562" s="120"/>
      <c r="BM562" s="120"/>
      <c r="BN562" s="120"/>
      <c r="BO562" s="120"/>
      <c r="BP562" s="120"/>
      <c r="BQ562" s="124"/>
      <c r="BR562" s="120"/>
      <c r="BS562" s="120"/>
      <c r="BT562" s="120"/>
      <c r="BU562" s="120"/>
      <c r="BV562" s="120"/>
      <c r="BW562" s="120"/>
      <c r="BX562" s="121"/>
      <c r="BY562" s="121"/>
      <c r="BZ562" s="136">
        <f t="shared" si="759"/>
        <v>0</v>
      </c>
      <c r="CA562" s="136">
        <f t="shared" si="760"/>
        <v>0</v>
      </c>
      <c r="CB562" s="136">
        <f t="shared" si="761"/>
        <v>0</v>
      </c>
      <c r="CC562" s="136">
        <f t="shared" si="762"/>
        <v>0</v>
      </c>
      <c r="CD562" s="135">
        <f t="shared" si="763"/>
        <v>0</v>
      </c>
      <c r="CE562" s="135">
        <f t="shared" si="764"/>
        <v>0</v>
      </c>
      <c r="CF562" s="134">
        <f t="shared" si="765"/>
        <v>0</v>
      </c>
      <c r="CG562" s="134">
        <f t="shared" si="766"/>
        <v>0</v>
      </c>
      <c r="CH562" s="133" t="e">
        <f t="shared" si="767"/>
        <v>#DIV/0!</v>
      </c>
      <c r="CI562" s="121"/>
      <c r="CJ562" s="121"/>
    </row>
    <row r="563" spans="1:88" s="128" customFormat="1">
      <c r="A563" s="125">
        <f t="shared" si="768"/>
        <v>0</v>
      </c>
      <c r="B563" s="138" t="s">
        <v>187</v>
      </c>
      <c r="C563" s="121"/>
      <c r="D563" s="121" t="s">
        <v>197</v>
      </c>
      <c r="E563" s="121"/>
      <c r="F563" s="115"/>
      <c r="G563" s="120"/>
      <c r="H563" s="120"/>
      <c r="I563" s="121"/>
      <c r="J563" s="121"/>
      <c r="K563" s="121" t="s">
        <v>187</v>
      </c>
      <c r="L563" s="121"/>
      <c r="M563" s="123"/>
      <c r="N563" s="121" t="s">
        <v>4147</v>
      </c>
      <c r="O563" s="121" t="s">
        <v>4122</v>
      </c>
      <c r="P563" s="121"/>
      <c r="Q563" s="122">
        <f>3136*2.4</f>
        <v>7526.4</v>
      </c>
      <c r="R563" s="122"/>
      <c r="S563" s="122">
        <v>7500</v>
      </c>
      <c r="T563" s="122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  <c r="AL563" s="121"/>
      <c r="AM563" s="121"/>
      <c r="AN563" s="121"/>
      <c r="AO563" s="121"/>
      <c r="AP563" s="121"/>
      <c r="AQ563" s="121"/>
      <c r="AR563" s="121"/>
      <c r="AS563" s="121"/>
      <c r="AT563" s="121"/>
      <c r="AU563" s="121"/>
      <c r="AV563" s="121"/>
      <c r="AW563" s="121"/>
      <c r="AX563" s="121"/>
      <c r="AY563" s="121"/>
      <c r="AZ563" s="121"/>
      <c r="BA563" s="121"/>
      <c r="BB563" s="121"/>
      <c r="BC563" s="121"/>
      <c r="BD563" s="120">
        <f t="shared" si="769"/>
        <v>0</v>
      </c>
      <c r="BE563" s="120">
        <f t="shared" si="770"/>
        <v>0</v>
      </c>
      <c r="BF563" s="137">
        <f t="shared" si="771"/>
        <v>0</v>
      </c>
      <c r="BG563" s="120"/>
      <c r="BH563" s="120"/>
      <c r="BI563" s="120"/>
      <c r="BJ563" s="120"/>
      <c r="BK563" s="120"/>
      <c r="BL563" s="120"/>
      <c r="BM563" s="120"/>
      <c r="BN563" s="120"/>
      <c r="BO563" s="120"/>
      <c r="BP563" s="120"/>
      <c r="BQ563" s="124"/>
      <c r="BR563" s="120"/>
      <c r="BS563" s="120"/>
      <c r="BT563" s="120"/>
      <c r="BU563" s="120"/>
      <c r="BV563" s="120"/>
      <c r="BW563" s="120"/>
      <c r="BX563" s="121"/>
      <c r="BY563" s="121"/>
      <c r="BZ563" s="136">
        <f t="shared" si="759"/>
        <v>0</v>
      </c>
      <c r="CA563" s="136">
        <f t="shared" si="760"/>
        <v>0</v>
      </c>
      <c r="CB563" s="136">
        <f t="shared" si="761"/>
        <v>0</v>
      </c>
      <c r="CC563" s="136">
        <f t="shared" si="762"/>
        <v>0</v>
      </c>
      <c r="CD563" s="135">
        <f t="shared" si="763"/>
        <v>0</v>
      </c>
      <c r="CE563" s="135">
        <f t="shared" si="764"/>
        <v>0</v>
      </c>
      <c r="CF563" s="134">
        <f t="shared" si="765"/>
        <v>0</v>
      </c>
      <c r="CG563" s="134">
        <f t="shared" si="766"/>
        <v>0</v>
      </c>
      <c r="CH563" s="133" t="e">
        <f t="shared" si="767"/>
        <v>#DIV/0!</v>
      </c>
      <c r="CI563" s="121"/>
      <c r="CJ563" s="121"/>
    </row>
    <row r="564" spans="1:88" s="121" customFormat="1">
      <c r="A564" s="125">
        <f t="shared" si="768"/>
        <v>0</v>
      </c>
      <c r="B564" s="138" t="s">
        <v>187</v>
      </c>
      <c r="D564" s="121" t="s">
        <v>197</v>
      </c>
      <c r="F564" s="115"/>
      <c r="G564" s="120"/>
      <c r="H564" s="120"/>
      <c r="K564" s="121" t="s">
        <v>187</v>
      </c>
      <c r="M564" s="123"/>
      <c r="N564" s="121" t="s">
        <v>4147</v>
      </c>
      <c r="O564" s="121" t="s">
        <v>4122</v>
      </c>
      <c r="Q564" s="122">
        <f>3136*2.4</f>
        <v>7526.4</v>
      </c>
      <c r="R564" s="122"/>
      <c r="S564" s="122">
        <v>7500</v>
      </c>
      <c r="T564" s="122"/>
      <c r="BD564" s="120">
        <f t="shared" si="769"/>
        <v>0</v>
      </c>
      <c r="BE564" s="120">
        <f t="shared" si="770"/>
        <v>0</v>
      </c>
      <c r="BF564" s="137">
        <f t="shared" si="771"/>
        <v>0</v>
      </c>
      <c r="BG564" s="120"/>
      <c r="BH564" s="120"/>
      <c r="BI564" s="120"/>
      <c r="BJ564" s="120"/>
      <c r="BK564" s="120"/>
      <c r="BL564" s="120"/>
      <c r="BM564" s="120"/>
      <c r="BN564" s="120"/>
      <c r="BO564" s="120"/>
      <c r="BP564" s="120"/>
      <c r="BQ564" s="120"/>
      <c r="BR564" s="120"/>
      <c r="BS564" s="120"/>
      <c r="BT564" s="120"/>
      <c r="BU564" s="120"/>
      <c r="BV564" s="120"/>
      <c r="BW564" s="120"/>
      <c r="BX564" s="120"/>
      <c r="BY564" s="120"/>
      <c r="BZ564" s="136">
        <f t="shared" si="759"/>
        <v>0</v>
      </c>
      <c r="CA564" s="136">
        <f t="shared" si="760"/>
        <v>0</v>
      </c>
      <c r="CB564" s="136">
        <f t="shared" si="761"/>
        <v>0</v>
      </c>
      <c r="CC564" s="136">
        <f t="shared" si="762"/>
        <v>0</v>
      </c>
      <c r="CD564" s="135">
        <f t="shared" si="763"/>
        <v>0</v>
      </c>
      <c r="CE564" s="135">
        <f t="shared" si="764"/>
        <v>0</v>
      </c>
      <c r="CF564" s="134">
        <f t="shared" si="765"/>
        <v>0</v>
      </c>
      <c r="CG564" s="134">
        <f t="shared" si="766"/>
        <v>0</v>
      </c>
      <c r="CH564" s="133" t="e">
        <f t="shared" si="767"/>
        <v>#DIV/0!</v>
      </c>
      <c r="CJ564" s="128"/>
    </row>
    <row r="565" spans="1:88" s="121" customFormat="1">
      <c r="A565" s="125">
        <f t="shared" si="768"/>
        <v>0</v>
      </c>
      <c r="B565" s="138" t="s">
        <v>187</v>
      </c>
      <c r="D565" s="121" t="s">
        <v>197</v>
      </c>
      <c r="G565" s="120"/>
      <c r="H565" s="120"/>
      <c r="K565" s="121" t="s">
        <v>187</v>
      </c>
      <c r="M565" s="123"/>
      <c r="N565" s="121" t="s">
        <v>473</v>
      </c>
      <c r="O565" s="121" t="s">
        <v>474</v>
      </c>
      <c r="Q565" s="122">
        <f>3136*2.4</f>
        <v>7526.4</v>
      </c>
      <c r="R565" s="122"/>
      <c r="S565" s="122">
        <v>7500</v>
      </c>
      <c r="T565" s="122"/>
      <c r="BD565" s="120">
        <f t="shared" si="769"/>
        <v>0</v>
      </c>
      <c r="BE565" s="120">
        <f t="shared" si="770"/>
        <v>0</v>
      </c>
      <c r="BF565" s="137">
        <f t="shared" si="771"/>
        <v>0</v>
      </c>
      <c r="BG565" s="120"/>
      <c r="BH565" s="120"/>
      <c r="BI565" s="120"/>
      <c r="BJ565" s="120"/>
      <c r="BK565" s="120"/>
      <c r="BL565" s="120"/>
      <c r="BM565" s="120"/>
      <c r="BN565" s="120"/>
      <c r="BO565" s="124"/>
      <c r="BP565" s="124"/>
      <c r="BQ565" s="124"/>
      <c r="BR565" s="120"/>
      <c r="BS565" s="120"/>
      <c r="BT565" s="120"/>
      <c r="BU565" s="120"/>
      <c r="BV565" s="120"/>
      <c r="BW565" s="120"/>
      <c r="BZ565" s="136">
        <f t="shared" si="759"/>
        <v>0</v>
      </c>
      <c r="CA565" s="136">
        <f t="shared" si="760"/>
        <v>0</v>
      </c>
      <c r="CB565" s="136">
        <f t="shared" si="761"/>
        <v>0</v>
      </c>
      <c r="CC565" s="136">
        <f t="shared" si="762"/>
        <v>0</v>
      </c>
      <c r="CD565" s="135">
        <f t="shared" si="763"/>
        <v>0</v>
      </c>
      <c r="CE565" s="135">
        <f t="shared" si="764"/>
        <v>0</v>
      </c>
      <c r="CF565" s="134">
        <f t="shared" si="765"/>
        <v>0</v>
      </c>
      <c r="CG565" s="134">
        <f t="shared" si="766"/>
        <v>0</v>
      </c>
      <c r="CH565" s="133" t="e">
        <f t="shared" si="767"/>
        <v>#DIV/0!</v>
      </c>
      <c r="CJ565" s="128"/>
    </row>
    <row r="566" spans="1:88" s="121" customFormat="1">
      <c r="A566" s="125">
        <f t="shared" si="768"/>
        <v>0</v>
      </c>
      <c r="B566" s="138" t="s">
        <v>187</v>
      </c>
      <c r="D566" s="121" t="s">
        <v>215</v>
      </c>
      <c r="G566" s="120"/>
      <c r="H566" s="120"/>
      <c r="K566" s="121" t="s">
        <v>187</v>
      </c>
      <c r="M566" s="123"/>
      <c r="N566" s="121" t="s">
        <v>473</v>
      </c>
      <c r="O566" s="121" t="s">
        <v>223</v>
      </c>
      <c r="Q566" s="122">
        <f>3137*2.4</f>
        <v>7528.7999999999993</v>
      </c>
      <c r="R566" s="122"/>
      <c r="S566" s="122">
        <v>7500</v>
      </c>
      <c r="T566" s="122"/>
      <c r="U566" s="226"/>
      <c r="V566" s="226"/>
      <c r="Z566" s="226"/>
      <c r="AA566" s="226"/>
      <c r="AB566" s="226"/>
      <c r="AC566" s="226"/>
      <c r="AD566" s="226"/>
      <c r="AE566" s="226"/>
      <c r="AF566" s="226"/>
      <c r="AG566" s="226"/>
      <c r="AH566" s="226"/>
      <c r="AI566" s="226"/>
      <c r="AJ566" s="226"/>
      <c r="AK566" s="226"/>
      <c r="AL566" s="226"/>
      <c r="AM566" s="226"/>
      <c r="AN566" s="226"/>
      <c r="AO566" s="226"/>
      <c r="AP566" s="226"/>
      <c r="AQ566" s="226"/>
      <c r="AR566" s="226"/>
      <c r="AS566" s="226"/>
      <c r="AT566" s="226"/>
      <c r="AU566" s="226"/>
      <c r="AV566" s="226"/>
      <c r="AW566" s="226"/>
      <c r="AX566" s="226"/>
      <c r="AY566" s="226"/>
      <c r="AZ566" s="226"/>
      <c r="BA566" s="226"/>
      <c r="BB566" s="226"/>
      <c r="BC566" s="226"/>
      <c r="BD566" s="120">
        <f t="shared" si="769"/>
        <v>0</v>
      </c>
      <c r="BE566" s="120">
        <f t="shared" si="770"/>
        <v>0</v>
      </c>
      <c r="BF566" s="137">
        <f t="shared" si="771"/>
        <v>0</v>
      </c>
      <c r="BG566" s="120"/>
      <c r="BH566" s="120"/>
      <c r="BI566" s="120"/>
      <c r="BJ566" s="120"/>
      <c r="BK566" s="120"/>
      <c r="BL566" s="120"/>
      <c r="BM566" s="120"/>
      <c r="BN566" s="120"/>
      <c r="BO566" s="120"/>
      <c r="BP566" s="120"/>
      <c r="BQ566" s="124"/>
      <c r="BR566" s="120"/>
      <c r="BS566" s="120"/>
      <c r="BT566" s="120"/>
      <c r="BU566" s="120"/>
      <c r="BV566" s="120"/>
      <c r="BW566" s="120"/>
      <c r="BZ566" s="136">
        <f t="shared" si="759"/>
        <v>0</v>
      </c>
      <c r="CA566" s="136">
        <f t="shared" si="760"/>
        <v>0</v>
      </c>
      <c r="CB566" s="136">
        <f t="shared" si="761"/>
        <v>0</v>
      </c>
      <c r="CC566" s="136">
        <f t="shared" si="762"/>
        <v>0</v>
      </c>
      <c r="CD566" s="135">
        <f t="shared" si="763"/>
        <v>0</v>
      </c>
      <c r="CE566" s="135">
        <f t="shared" si="764"/>
        <v>0</v>
      </c>
      <c r="CF566" s="134">
        <f t="shared" si="765"/>
        <v>0</v>
      </c>
      <c r="CG566" s="134">
        <f t="shared" si="766"/>
        <v>0</v>
      </c>
      <c r="CH566" s="133" t="e">
        <f t="shared" si="767"/>
        <v>#DIV/0!</v>
      </c>
    </row>
    <row r="567" spans="1:88">
      <c r="A567" s="125">
        <f t="shared" si="768"/>
        <v>0</v>
      </c>
      <c r="B567" s="138" t="s">
        <v>187</v>
      </c>
      <c r="C567" s="121"/>
      <c r="D567" s="121" t="s">
        <v>215</v>
      </c>
      <c r="E567" s="121"/>
      <c r="F567" s="121"/>
      <c r="G567" s="120"/>
      <c r="H567" s="120"/>
      <c r="I567" s="121"/>
      <c r="J567" s="121"/>
      <c r="K567" s="121" t="s">
        <v>187</v>
      </c>
      <c r="L567" s="121"/>
      <c r="M567" s="123"/>
      <c r="N567" s="121" t="s">
        <v>473</v>
      </c>
      <c r="O567" s="121" t="s">
        <v>223</v>
      </c>
      <c r="P567" s="121"/>
      <c r="Q567" s="122">
        <f>3137*2.4</f>
        <v>7528.7999999999993</v>
      </c>
      <c r="R567" s="122"/>
      <c r="S567" s="122">
        <v>7500</v>
      </c>
      <c r="T567" s="122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  <c r="AL567" s="122"/>
      <c r="AM567" s="121"/>
      <c r="AN567" s="121"/>
      <c r="AO567" s="121"/>
      <c r="AP567" s="121"/>
      <c r="AQ567" s="121"/>
      <c r="AR567" s="121"/>
      <c r="AS567" s="121"/>
      <c r="AT567" s="121"/>
      <c r="AU567" s="121"/>
      <c r="AV567" s="121"/>
      <c r="AW567" s="121"/>
      <c r="AX567" s="121"/>
      <c r="AY567" s="121"/>
      <c r="AZ567" s="121"/>
      <c r="BA567" s="121"/>
      <c r="BB567" s="121"/>
      <c r="BC567" s="121"/>
      <c r="BD567" s="120">
        <f t="shared" si="769"/>
        <v>0</v>
      </c>
      <c r="BE567" s="120">
        <f t="shared" si="770"/>
        <v>0</v>
      </c>
      <c r="BF567" s="137">
        <f t="shared" si="771"/>
        <v>0</v>
      </c>
      <c r="BG567" s="120"/>
      <c r="BH567" s="120"/>
      <c r="BI567" s="120"/>
      <c r="BJ567" s="120"/>
      <c r="BK567" s="120"/>
      <c r="BL567" s="120"/>
      <c r="BM567" s="120"/>
      <c r="BN567" s="120"/>
      <c r="BO567" s="124"/>
      <c r="BP567" s="124"/>
      <c r="BQ567" s="124"/>
      <c r="BR567" s="120"/>
      <c r="BS567" s="120"/>
      <c r="BT567" s="120"/>
      <c r="BU567" s="120"/>
      <c r="BV567" s="120"/>
      <c r="BW567" s="120"/>
      <c r="BX567" s="121"/>
      <c r="BY567" s="121"/>
      <c r="BZ567" s="136">
        <f t="shared" si="759"/>
        <v>0</v>
      </c>
      <c r="CA567" s="136">
        <f t="shared" si="760"/>
        <v>0</v>
      </c>
      <c r="CB567" s="136">
        <f t="shared" si="761"/>
        <v>0</v>
      </c>
      <c r="CC567" s="136">
        <f t="shared" si="762"/>
        <v>0</v>
      </c>
      <c r="CD567" s="135">
        <f t="shared" si="763"/>
        <v>0</v>
      </c>
      <c r="CE567" s="135">
        <f t="shared" si="764"/>
        <v>0</v>
      </c>
      <c r="CF567" s="134">
        <f t="shared" si="765"/>
        <v>0</v>
      </c>
      <c r="CG567" s="134">
        <f t="shared" si="766"/>
        <v>0</v>
      </c>
      <c r="CH567" s="133" t="e">
        <f t="shared" si="767"/>
        <v>#DIV/0!</v>
      </c>
      <c r="CI567" s="121"/>
      <c r="CJ567" s="121"/>
    </row>
    <row r="568" spans="1:88" s="121" customFormat="1">
      <c r="A568" s="125">
        <f t="shared" si="768"/>
        <v>0</v>
      </c>
      <c r="B568" s="138" t="s">
        <v>187</v>
      </c>
      <c r="D568" s="121" t="s">
        <v>197</v>
      </c>
      <c r="G568" s="120"/>
      <c r="H568" s="120"/>
      <c r="M568" s="123"/>
      <c r="N568" s="121" t="s">
        <v>246</v>
      </c>
      <c r="O568" s="121" t="s">
        <v>4125</v>
      </c>
      <c r="Q568" s="122">
        <f>3141*2.4</f>
        <v>7538.4</v>
      </c>
      <c r="R568" s="122"/>
      <c r="S568" s="122">
        <v>7500</v>
      </c>
      <c r="T568" s="122"/>
      <c r="BD568" s="120">
        <f t="shared" si="769"/>
        <v>0</v>
      </c>
      <c r="BE568" s="120">
        <f t="shared" si="770"/>
        <v>0</v>
      </c>
      <c r="BF568" s="137">
        <f t="shared" si="771"/>
        <v>0</v>
      </c>
      <c r="BG568" s="120"/>
      <c r="BH568" s="120"/>
      <c r="BI568" s="120"/>
      <c r="BJ568" s="120"/>
      <c r="BK568" s="120"/>
      <c r="BL568" s="120"/>
      <c r="BM568" s="120"/>
      <c r="BN568" s="120"/>
      <c r="BO568" s="120"/>
      <c r="BP568" s="120"/>
      <c r="BQ568" s="124"/>
      <c r="BR568" s="120"/>
      <c r="BS568" s="120"/>
      <c r="BT568" s="120"/>
      <c r="BU568" s="120"/>
      <c r="BV568" s="120"/>
      <c r="BW568" s="120"/>
      <c r="BZ568" s="136">
        <f t="shared" si="759"/>
        <v>0</v>
      </c>
      <c r="CA568" s="136">
        <f t="shared" si="760"/>
        <v>0</v>
      </c>
      <c r="CB568" s="136">
        <f t="shared" si="761"/>
        <v>0</v>
      </c>
      <c r="CC568" s="136">
        <f t="shared" si="762"/>
        <v>0</v>
      </c>
      <c r="CD568" s="135">
        <f t="shared" si="763"/>
        <v>0</v>
      </c>
      <c r="CE568" s="135">
        <f t="shared" si="764"/>
        <v>0</v>
      </c>
      <c r="CF568" s="134">
        <f t="shared" si="765"/>
        <v>0</v>
      </c>
      <c r="CG568" s="134">
        <f t="shared" si="766"/>
        <v>0</v>
      </c>
      <c r="CH568" s="133" t="e">
        <f t="shared" si="767"/>
        <v>#DIV/0!</v>
      </c>
      <c r="CJ568" s="115"/>
    </row>
    <row r="569" spans="1:88" s="121" customFormat="1">
      <c r="A569" s="125">
        <f t="shared" si="768"/>
        <v>0</v>
      </c>
      <c r="B569" s="138" t="s">
        <v>187</v>
      </c>
      <c r="D569" s="121" t="s">
        <v>197</v>
      </c>
      <c r="F569" s="115"/>
      <c r="G569" s="120"/>
      <c r="H569" s="120"/>
      <c r="M569" s="123"/>
      <c r="N569" s="121" t="s">
        <v>257</v>
      </c>
      <c r="O569" s="121" t="s">
        <v>4122</v>
      </c>
      <c r="Q569" s="122">
        <f>3136*2.4</f>
        <v>7526.4</v>
      </c>
      <c r="R569" s="122"/>
      <c r="S569" s="122">
        <v>7500</v>
      </c>
      <c r="T569" s="122"/>
      <c r="Z569" s="226"/>
      <c r="AA569" s="226"/>
      <c r="AC569" s="226"/>
      <c r="AD569" s="226"/>
      <c r="AE569" s="226"/>
      <c r="AF569" s="226"/>
      <c r="AG569" s="226"/>
      <c r="AH569" s="226"/>
      <c r="AI569" s="226"/>
      <c r="AJ569" s="226"/>
      <c r="AK569" s="226"/>
      <c r="AL569" s="226"/>
      <c r="AM569" s="226"/>
      <c r="AN569" s="226"/>
      <c r="AO569" s="226"/>
      <c r="AQ569" s="226"/>
      <c r="AR569" s="226"/>
      <c r="AS569" s="226"/>
      <c r="AT569" s="226"/>
      <c r="AU569" s="226"/>
      <c r="AV569" s="226"/>
      <c r="AW569" s="226"/>
      <c r="AX569" s="226"/>
      <c r="AY569" s="226"/>
      <c r="AZ569" s="226"/>
      <c r="BA569" s="226"/>
      <c r="BB569" s="226"/>
      <c r="BC569" s="226"/>
      <c r="BD569" s="120">
        <f t="shared" si="769"/>
        <v>0</v>
      </c>
      <c r="BE569" s="120">
        <f t="shared" si="770"/>
        <v>0</v>
      </c>
      <c r="BF569" s="137">
        <f t="shared" si="771"/>
        <v>0</v>
      </c>
      <c r="BG569" s="120"/>
      <c r="BH569" s="120"/>
      <c r="BI569" s="120"/>
      <c r="BJ569" s="120"/>
      <c r="BK569" s="120"/>
      <c r="BL569" s="120"/>
      <c r="BM569" s="120"/>
      <c r="BN569" s="120"/>
      <c r="BO569" s="120"/>
      <c r="BP569" s="120"/>
      <c r="BQ569" s="124"/>
      <c r="BR569" s="120"/>
      <c r="BS569" s="120"/>
      <c r="BT569" s="120"/>
      <c r="BU569" s="120"/>
      <c r="BV569" s="120"/>
      <c r="BW569" s="120"/>
      <c r="BZ569" s="136">
        <f t="shared" si="759"/>
        <v>0</v>
      </c>
      <c r="CA569" s="136">
        <f t="shared" si="760"/>
        <v>0</v>
      </c>
      <c r="CB569" s="136">
        <f t="shared" si="761"/>
        <v>0</v>
      </c>
      <c r="CC569" s="136">
        <f t="shared" si="762"/>
        <v>0</v>
      </c>
      <c r="CD569" s="135">
        <f t="shared" si="763"/>
        <v>0</v>
      </c>
      <c r="CE569" s="135">
        <f t="shared" si="764"/>
        <v>0</v>
      </c>
      <c r="CF569" s="134">
        <f t="shared" si="765"/>
        <v>0</v>
      </c>
      <c r="CG569" s="134">
        <f t="shared" si="766"/>
        <v>0</v>
      </c>
      <c r="CH569" s="133" t="e">
        <f t="shared" si="767"/>
        <v>#DIV/0!</v>
      </c>
    </row>
    <row r="570" spans="1:88" s="121" customFormat="1">
      <c r="A570" s="125">
        <f t="shared" si="768"/>
        <v>0</v>
      </c>
      <c r="B570" s="138" t="s">
        <v>187</v>
      </c>
      <c r="D570" s="121" t="s">
        <v>197</v>
      </c>
      <c r="F570" s="115"/>
      <c r="G570" s="120"/>
      <c r="H570" s="120"/>
      <c r="M570" s="123"/>
      <c r="N570" s="121" t="s">
        <v>346</v>
      </c>
      <c r="O570" s="121" t="s">
        <v>264</v>
      </c>
      <c r="Q570" s="122">
        <f>3136*2.4</f>
        <v>7526.4</v>
      </c>
      <c r="R570" s="122"/>
      <c r="S570" s="122">
        <v>7500</v>
      </c>
      <c r="T570" s="122"/>
      <c r="BD570" s="120">
        <f t="shared" si="769"/>
        <v>0</v>
      </c>
      <c r="BE570" s="120">
        <f t="shared" si="770"/>
        <v>0</v>
      </c>
      <c r="BF570" s="137">
        <f t="shared" si="771"/>
        <v>0</v>
      </c>
      <c r="BG570" s="120"/>
      <c r="BH570" s="120"/>
      <c r="BI570" s="120"/>
      <c r="BJ570" s="120"/>
      <c r="BK570" s="120"/>
      <c r="BL570" s="120"/>
      <c r="BM570" s="120"/>
      <c r="BN570" s="120"/>
      <c r="BO570" s="120"/>
      <c r="BP570" s="120"/>
      <c r="BQ570" s="124"/>
      <c r="BR570" s="120"/>
      <c r="BS570" s="120"/>
      <c r="BT570" s="120"/>
      <c r="BU570" s="120"/>
      <c r="BV570" s="120"/>
      <c r="BW570" s="120"/>
      <c r="BZ570" s="136">
        <f t="shared" si="759"/>
        <v>0</v>
      </c>
      <c r="CA570" s="136">
        <f t="shared" si="760"/>
        <v>0</v>
      </c>
      <c r="CB570" s="136">
        <f t="shared" si="761"/>
        <v>0</v>
      </c>
      <c r="CC570" s="136">
        <f t="shared" si="762"/>
        <v>0</v>
      </c>
      <c r="CD570" s="135">
        <f t="shared" si="763"/>
        <v>0</v>
      </c>
      <c r="CE570" s="135">
        <f t="shared" si="764"/>
        <v>0</v>
      </c>
      <c r="CF570" s="134">
        <f t="shared" si="765"/>
        <v>0</v>
      </c>
      <c r="CG570" s="134">
        <f t="shared" si="766"/>
        <v>0</v>
      </c>
      <c r="CH570" s="133" t="e">
        <f t="shared" si="767"/>
        <v>#DIV/0!</v>
      </c>
    </row>
    <row r="571" spans="1:88" s="121" customFormat="1">
      <c r="A571" s="125">
        <f t="shared" si="768"/>
        <v>0</v>
      </c>
      <c r="B571" s="138" t="s">
        <v>187</v>
      </c>
      <c r="D571" s="121" t="s">
        <v>197</v>
      </c>
      <c r="F571" s="115"/>
      <c r="G571" s="120"/>
      <c r="H571" s="120"/>
      <c r="M571" s="123"/>
      <c r="N571" s="121" t="s">
        <v>4142</v>
      </c>
      <c r="O571" s="121" t="s">
        <v>4124</v>
      </c>
      <c r="Q571" s="122">
        <f>3142 *2.4</f>
        <v>7540.7999999999993</v>
      </c>
      <c r="R571" s="122"/>
      <c r="S571" s="122">
        <v>7500</v>
      </c>
      <c r="T571" s="122"/>
      <c r="BD571" s="120">
        <f t="shared" si="769"/>
        <v>0</v>
      </c>
      <c r="BE571" s="120">
        <f t="shared" si="770"/>
        <v>0</v>
      </c>
      <c r="BF571" s="137">
        <f t="shared" si="771"/>
        <v>0</v>
      </c>
      <c r="BG571" s="120"/>
      <c r="BH571" s="120"/>
      <c r="BI571" s="120"/>
      <c r="BJ571" s="120"/>
      <c r="BK571" s="120"/>
      <c r="BL571" s="120"/>
      <c r="BM571" s="120"/>
      <c r="BN571" s="120"/>
      <c r="BO571" s="120"/>
      <c r="BP571" s="120"/>
      <c r="BQ571" s="124"/>
      <c r="BR571" s="120"/>
      <c r="BS571" s="120"/>
      <c r="BT571" s="120"/>
      <c r="BU571" s="120"/>
      <c r="BV571" s="120"/>
      <c r="BW571" s="120"/>
      <c r="BZ571" s="136">
        <f t="shared" si="759"/>
        <v>0</v>
      </c>
      <c r="CA571" s="136">
        <f t="shared" si="760"/>
        <v>0</v>
      </c>
      <c r="CB571" s="136">
        <f t="shared" si="761"/>
        <v>0</v>
      </c>
      <c r="CC571" s="136">
        <f t="shared" si="762"/>
        <v>0</v>
      </c>
      <c r="CD571" s="135">
        <f t="shared" si="763"/>
        <v>0</v>
      </c>
      <c r="CE571" s="135">
        <f t="shared" si="764"/>
        <v>0</v>
      </c>
      <c r="CF571" s="134">
        <f t="shared" si="765"/>
        <v>0</v>
      </c>
      <c r="CG571" s="134">
        <f t="shared" si="766"/>
        <v>0</v>
      </c>
      <c r="CH571" s="133" t="e">
        <f t="shared" si="767"/>
        <v>#DIV/0!</v>
      </c>
      <c r="CI571" s="128"/>
    </row>
    <row r="572" spans="1:88" s="121" customFormat="1">
      <c r="A572" s="125">
        <f t="shared" si="768"/>
        <v>0</v>
      </c>
      <c r="B572" s="138" t="s">
        <v>187</v>
      </c>
      <c r="D572" s="121" t="s">
        <v>197</v>
      </c>
      <c r="F572" s="115"/>
      <c r="G572" s="120"/>
      <c r="H572" s="120"/>
      <c r="M572" s="123"/>
      <c r="N572" s="121" t="s">
        <v>4142</v>
      </c>
      <c r="O572" s="121" t="s">
        <v>368</v>
      </c>
      <c r="Q572" s="122">
        <f>4337*2.4</f>
        <v>10408.799999999999</v>
      </c>
      <c r="R572" s="122"/>
      <c r="S572" s="122">
        <v>10500</v>
      </c>
      <c r="T572" s="122"/>
      <c r="Z572" s="226"/>
      <c r="AA572" s="226"/>
      <c r="AB572" s="226"/>
      <c r="AC572" s="226"/>
      <c r="AD572" s="226"/>
      <c r="AE572" s="226"/>
      <c r="AF572" s="226"/>
      <c r="AG572" s="226"/>
      <c r="AH572" s="226"/>
      <c r="AI572" s="226"/>
      <c r="AJ572" s="226"/>
      <c r="AK572" s="226"/>
      <c r="AL572" s="226"/>
      <c r="AM572" s="226"/>
      <c r="AN572" s="226"/>
      <c r="AO572" s="226"/>
      <c r="AP572" s="226"/>
      <c r="AQ572" s="226"/>
      <c r="AR572" s="226"/>
      <c r="AS572" s="226"/>
      <c r="AT572" s="226"/>
      <c r="AU572" s="226"/>
      <c r="AV572" s="226"/>
      <c r="AW572" s="226"/>
      <c r="AX572" s="226"/>
      <c r="AY572" s="226"/>
      <c r="AZ572" s="226"/>
      <c r="BA572" s="226"/>
      <c r="BB572" s="226"/>
      <c r="BC572" s="226"/>
      <c r="BD572" s="120">
        <f t="shared" si="769"/>
        <v>0</v>
      </c>
      <c r="BE572" s="120">
        <f t="shared" si="770"/>
        <v>0</v>
      </c>
      <c r="BF572" s="137">
        <f t="shared" si="771"/>
        <v>0</v>
      </c>
      <c r="BG572" s="120"/>
      <c r="BH572" s="120"/>
      <c r="BI572" s="120"/>
      <c r="BJ572" s="120"/>
      <c r="BK572" s="120"/>
      <c r="BL572" s="120"/>
      <c r="BM572" s="120"/>
      <c r="BN572" s="120"/>
      <c r="BO572" s="120"/>
      <c r="BP572" s="120"/>
      <c r="BQ572" s="124"/>
      <c r="BR572" s="120"/>
      <c r="BS572" s="120"/>
      <c r="BT572" s="120"/>
      <c r="BU572" s="120"/>
      <c r="BV572" s="120"/>
      <c r="BW572" s="120"/>
      <c r="BZ572" s="136">
        <f t="shared" si="759"/>
        <v>0</v>
      </c>
      <c r="CA572" s="136">
        <f t="shared" si="760"/>
        <v>0</v>
      </c>
      <c r="CB572" s="136">
        <f t="shared" si="761"/>
        <v>0</v>
      </c>
      <c r="CC572" s="136">
        <f t="shared" si="762"/>
        <v>0</v>
      </c>
      <c r="CD572" s="135">
        <f t="shared" si="763"/>
        <v>0</v>
      </c>
      <c r="CE572" s="135">
        <f t="shared" si="764"/>
        <v>0</v>
      </c>
      <c r="CF572" s="134">
        <f t="shared" si="765"/>
        <v>0</v>
      </c>
      <c r="CG572" s="134">
        <f t="shared" si="766"/>
        <v>0</v>
      </c>
      <c r="CH572" s="133" t="e">
        <f t="shared" si="767"/>
        <v>#DIV/0!</v>
      </c>
      <c r="CI572" s="128"/>
    </row>
    <row r="573" spans="1:88" s="121" customFormat="1">
      <c r="A573" s="125">
        <f t="shared" si="768"/>
        <v>0</v>
      </c>
      <c r="B573" s="138" t="s">
        <v>187</v>
      </c>
      <c r="D573" s="121" t="s">
        <v>197</v>
      </c>
      <c r="G573" s="120"/>
      <c r="H573" s="120"/>
      <c r="M573" s="123"/>
      <c r="N573" s="121" t="s">
        <v>1483</v>
      </c>
      <c r="O573" s="121" t="s">
        <v>264</v>
      </c>
      <c r="Q573" s="122">
        <f>3136*2.4</f>
        <v>7526.4</v>
      </c>
      <c r="R573" s="122"/>
      <c r="S573" s="122">
        <v>7500</v>
      </c>
      <c r="T573" s="122"/>
      <c r="BD573" s="120">
        <f t="shared" si="769"/>
        <v>0</v>
      </c>
      <c r="BE573" s="120">
        <f t="shared" si="770"/>
        <v>0</v>
      </c>
      <c r="BF573" s="137">
        <f t="shared" si="771"/>
        <v>0</v>
      </c>
      <c r="BG573" s="120"/>
      <c r="BH573" s="120"/>
      <c r="BI573" s="120"/>
      <c r="BJ573" s="120"/>
      <c r="BK573" s="120"/>
      <c r="BL573" s="120"/>
      <c r="BM573" s="120"/>
      <c r="BN573" s="120"/>
      <c r="BO573" s="140"/>
      <c r="BP573" s="140"/>
      <c r="BQ573" s="124"/>
      <c r="BR573" s="120"/>
      <c r="BS573" s="120"/>
      <c r="BT573" s="120"/>
      <c r="BU573" s="120"/>
      <c r="BV573" s="120"/>
      <c r="BW573" s="120"/>
      <c r="BZ573" s="136">
        <f t="shared" si="759"/>
        <v>0</v>
      </c>
      <c r="CA573" s="136">
        <f t="shared" si="760"/>
        <v>0</v>
      </c>
      <c r="CB573" s="136">
        <f t="shared" si="761"/>
        <v>0</v>
      </c>
      <c r="CC573" s="136">
        <f t="shared" si="762"/>
        <v>0</v>
      </c>
      <c r="CD573" s="135">
        <f t="shared" si="763"/>
        <v>0</v>
      </c>
      <c r="CE573" s="135">
        <f t="shared" si="764"/>
        <v>0</v>
      </c>
      <c r="CF573" s="134">
        <f t="shared" si="765"/>
        <v>0</v>
      </c>
      <c r="CG573" s="134">
        <f t="shared" si="766"/>
        <v>0</v>
      </c>
      <c r="CH573" s="133" t="e">
        <f t="shared" si="767"/>
        <v>#DIV/0!</v>
      </c>
    </row>
    <row r="574" spans="1:88">
      <c r="A574" s="125">
        <f t="shared" si="768"/>
        <v>0</v>
      </c>
      <c r="B574" s="138" t="s">
        <v>187</v>
      </c>
      <c r="C574" s="121"/>
      <c r="D574" s="121" t="s">
        <v>215</v>
      </c>
      <c r="E574" s="121"/>
      <c r="G574" s="120"/>
      <c r="H574" s="120"/>
      <c r="I574" s="121"/>
      <c r="J574" s="121"/>
      <c r="K574" s="121"/>
      <c r="L574" s="121"/>
      <c r="M574" s="123"/>
      <c r="N574" s="121" t="s">
        <v>1483</v>
      </c>
      <c r="O574" s="121" t="s">
        <v>302</v>
      </c>
      <c r="P574" s="121"/>
      <c r="Q574" s="122">
        <f>3852*2.4</f>
        <v>9244.7999999999993</v>
      </c>
      <c r="R574" s="122"/>
      <c r="S574" s="122">
        <v>9200</v>
      </c>
      <c r="T574" s="122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  <c r="AL574" s="121"/>
      <c r="AM574" s="121"/>
      <c r="AN574" s="121"/>
      <c r="AO574" s="121"/>
      <c r="AP574" s="121"/>
      <c r="AQ574" s="121"/>
      <c r="AR574" s="121"/>
      <c r="AS574" s="121"/>
      <c r="AT574" s="121"/>
      <c r="AU574" s="121"/>
      <c r="AV574" s="121"/>
      <c r="AW574" s="121"/>
      <c r="AX574" s="121"/>
      <c r="AY574" s="121"/>
      <c r="AZ574" s="121"/>
      <c r="BA574" s="121"/>
      <c r="BB574" s="121"/>
      <c r="BC574" s="121"/>
      <c r="BD574" s="120">
        <f t="shared" si="769"/>
        <v>0</v>
      </c>
      <c r="BE574" s="120">
        <f t="shared" si="770"/>
        <v>0</v>
      </c>
      <c r="BF574" s="137">
        <f t="shared" si="771"/>
        <v>0</v>
      </c>
      <c r="BG574" s="120"/>
      <c r="BH574" s="120"/>
      <c r="BI574" s="120"/>
      <c r="BJ574" s="120"/>
      <c r="BK574" s="120"/>
      <c r="BL574" s="120"/>
      <c r="BM574" s="120"/>
      <c r="BN574" s="120"/>
      <c r="BO574" s="120"/>
      <c r="BP574" s="120"/>
      <c r="BQ574" s="124"/>
      <c r="BR574" s="120"/>
      <c r="BS574" s="120"/>
      <c r="BT574" s="120"/>
      <c r="BU574" s="120"/>
      <c r="BV574" s="120"/>
      <c r="BW574" s="120"/>
      <c r="BX574" s="121"/>
      <c r="BY574" s="121"/>
      <c r="BZ574" s="136">
        <f t="shared" si="759"/>
        <v>0</v>
      </c>
      <c r="CA574" s="136">
        <f t="shared" si="760"/>
        <v>0</v>
      </c>
      <c r="CB574" s="136">
        <f t="shared" si="761"/>
        <v>0</v>
      </c>
      <c r="CC574" s="136">
        <f t="shared" si="762"/>
        <v>0</v>
      </c>
      <c r="CD574" s="135">
        <f t="shared" si="763"/>
        <v>0</v>
      </c>
      <c r="CE574" s="135">
        <f t="shared" si="764"/>
        <v>0</v>
      </c>
      <c r="CF574" s="134">
        <f t="shared" si="765"/>
        <v>0</v>
      </c>
      <c r="CG574" s="134">
        <f t="shared" si="766"/>
        <v>0</v>
      </c>
      <c r="CH574" s="133" t="e">
        <f t="shared" si="767"/>
        <v>#DIV/0!</v>
      </c>
      <c r="CI574" s="121"/>
      <c r="CJ574" s="121"/>
    </row>
    <row r="575" spans="1:88">
      <c r="A575" s="125">
        <f t="shared" si="768"/>
        <v>0</v>
      </c>
      <c r="B575" s="138" t="s">
        <v>187</v>
      </c>
      <c r="C575" s="121"/>
      <c r="D575" s="121" t="s">
        <v>215</v>
      </c>
      <c r="E575" s="121"/>
      <c r="F575" s="121"/>
      <c r="G575" s="120"/>
      <c r="H575" s="120"/>
      <c r="I575" s="121"/>
      <c r="J575" s="121"/>
      <c r="K575" s="121"/>
      <c r="L575" s="121"/>
      <c r="M575" s="123"/>
      <c r="N575" s="121" t="s">
        <v>284</v>
      </c>
      <c r="O575" s="121" t="s">
        <v>285</v>
      </c>
      <c r="P575" s="121"/>
      <c r="Q575" s="122">
        <f>3852*2.4</f>
        <v>9244.7999999999993</v>
      </c>
      <c r="R575" s="122"/>
      <c r="S575" s="122">
        <v>9200</v>
      </c>
      <c r="T575" s="122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  <c r="AL575" s="121"/>
      <c r="AM575" s="121"/>
      <c r="AN575" s="121"/>
      <c r="AO575" s="121"/>
      <c r="AP575" s="121"/>
      <c r="AQ575" s="121"/>
      <c r="AR575" s="121"/>
      <c r="AS575" s="121"/>
      <c r="AT575" s="121"/>
      <c r="AU575" s="121"/>
      <c r="AV575" s="121"/>
      <c r="AW575" s="121"/>
      <c r="AX575" s="121"/>
      <c r="AY575" s="121"/>
      <c r="AZ575" s="121"/>
      <c r="BA575" s="121"/>
      <c r="BB575" s="121"/>
      <c r="BC575" s="121"/>
      <c r="BD575" s="120">
        <f t="shared" si="769"/>
        <v>0</v>
      </c>
      <c r="BE575" s="120">
        <f t="shared" si="770"/>
        <v>0</v>
      </c>
      <c r="BF575" s="137">
        <f t="shared" si="771"/>
        <v>0</v>
      </c>
      <c r="BG575" s="120"/>
      <c r="BH575" s="120"/>
      <c r="BI575" s="120"/>
      <c r="BJ575" s="120"/>
      <c r="BK575" s="120"/>
      <c r="BL575" s="120"/>
      <c r="BM575" s="120"/>
      <c r="BN575" s="120"/>
      <c r="BO575" s="120"/>
      <c r="BP575" s="120"/>
      <c r="BQ575" s="124"/>
      <c r="BR575" s="120"/>
      <c r="BS575" s="120"/>
      <c r="BT575" s="120"/>
      <c r="BU575" s="120"/>
      <c r="BV575" s="120"/>
      <c r="BW575" s="120"/>
      <c r="BX575" s="121"/>
      <c r="BY575" s="121"/>
      <c r="BZ575" s="136">
        <f t="shared" si="759"/>
        <v>0</v>
      </c>
      <c r="CA575" s="136">
        <f t="shared" si="760"/>
        <v>0</v>
      </c>
      <c r="CB575" s="136">
        <f t="shared" si="761"/>
        <v>0</v>
      </c>
      <c r="CC575" s="136">
        <f t="shared" si="762"/>
        <v>0</v>
      </c>
      <c r="CD575" s="135">
        <f t="shared" si="763"/>
        <v>0</v>
      </c>
      <c r="CE575" s="135">
        <f t="shared" si="764"/>
        <v>0</v>
      </c>
      <c r="CF575" s="134">
        <f t="shared" si="765"/>
        <v>0</v>
      </c>
      <c r="CG575" s="134">
        <f t="shared" si="766"/>
        <v>0</v>
      </c>
      <c r="CH575" s="133" t="e">
        <f t="shared" si="767"/>
        <v>#DIV/0!</v>
      </c>
      <c r="CI575" s="121"/>
    </row>
    <row r="576" spans="1:88" s="121" customFormat="1">
      <c r="A576" s="125">
        <f t="shared" si="768"/>
        <v>0</v>
      </c>
      <c r="B576" s="138" t="s">
        <v>187</v>
      </c>
      <c r="D576" s="121" t="s">
        <v>215</v>
      </c>
      <c r="F576" s="115"/>
      <c r="G576" s="120"/>
      <c r="H576" s="120"/>
      <c r="M576" s="123"/>
      <c r="N576" s="121" t="s">
        <v>2822</v>
      </c>
      <c r="O576" s="121" t="s">
        <v>1349</v>
      </c>
      <c r="Q576" s="122">
        <f>3136*2.4</f>
        <v>7526.4</v>
      </c>
      <c r="R576" s="122"/>
      <c r="S576" s="122">
        <v>7500</v>
      </c>
      <c r="T576" s="122"/>
      <c r="BD576" s="120">
        <f t="shared" si="769"/>
        <v>0</v>
      </c>
      <c r="BE576" s="120">
        <f t="shared" si="770"/>
        <v>0</v>
      </c>
      <c r="BF576" s="137">
        <f t="shared" si="771"/>
        <v>0</v>
      </c>
      <c r="BG576" s="120"/>
      <c r="BH576" s="120"/>
      <c r="BI576" s="120"/>
      <c r="BJ576" s="120"/>
      <c r="BK576" s="120"/>
      <c r="BL576" s="120"/>
      <c r="BM576" s="120"/>
      <c r="BN576" s="120"/>
      <c r="BO576" s="120"/>
      <c r="BP576" s="120"/>
      <c r="BQ576" s="124"/>
      <c r="BR576" s="120"/>
      <c r="BS576" s="120"/>
      <c r="BT576" s="120"/>
      <c r="BU576" s="120"/>
      <c r="BV576" s="120"/>
      <c r="BW576" s="120"/>
      <c r="BZ576" s="136">
        <f t="shared" si="759"/>
        <v>0</v>
      </c>
      <c r="CA576" s="136">
        <f t="shared" si="760"/>
        <v>0</v>
      </c>
      <c r="CB576" s="136">
        <f t="shared" si="761"/>
        <v>0</v>
      </c>
      <c r="CC576" s="136">
        <f t="shared" si="762"/>
        <v>0</v>
      </c>
      <c r="CD576" s="135">
        <f t="shared" si="763"/>
        <v>0</v>
      </c>
      <c r="CE576" s="135">
        <f t="shared" si="764"/>
        <v>0</v>
      </c>
      <c r="CF576" s="134">
        <f t="shared" si="765"/>
        <v>0</v>
      </c>
      <c r="CG576" s="134">
        <f t="shared" si="766"/>
        <v>0</v>
      </c>
      <c r="CH576" s="133" t="e">
        <f t="shared" si="767"/>
        <v>#DIV/0!</v>
      </c>
      <c r="CJ576" s="115"/>
    </row>
    <row r="577" spans="1:88" s="121" customFormat="1">
      <c r="A577" s="125">
        <f t="shared" si="768"/>
        <v>0</v>
      </c>
      <c r="B577" s="138" t="s">
        <v>187</v>
      </c>
      <c r="D577" s="121" t="s">
        <v>197</v>
      </c>
      <c r="F577" s="115"/>
      <c r="G577" s="120"/>
      <c r="H577" s="120"/>
      <c r="M577" s="123"/>
      <c r="N577" s="121" t="s">
        <v>4148</v>
      </c>
      <c r="O577" s="121" t="s">
        <v>2208</v>
      </c>
      <c r="Q577" s="122">
        <f>3146*2.4</f>
        <v>7550.4</v>
      </c>
      <c r="R577" s="122"/>
      <c r="S577" s="122">
        <v>7500</v>
      </c>
      <c r="T577" s="122"/>
      <c r="BD577" s="120">
        <f t="shared" si="769"/>
        <v>0</v>
      </c>
      <c r="BE577" s="120">
        <f t="shared" si="770"/>
        <v>0</v>
      </c>
      <c r="BF577" s="137">
        <f t="shared" si="771"/>
        <v>0</v>
      </c>
      <c r="BG577" s="120"/>
      <c r="BH577" s="120"/>
      <c r="BI577" s="120"/>
      <c r="BJ577" s="120"/>
      <c r="BK577" s="120"/>
      <c r="BL577" s="120"/>
      <c r="BM577" s="120"/>
      <c r="BN577" s="120"/>
      <c r="BO577" s="120"/>
      <c r="BP577" s="120"/>
      <c r="BQ577" s="124"/>
      <c r="BR577" s="120"/>
      <c r="BS577" s="120"/>
      <c r="BT577" s="120"/>
      <c r="BU577" s="120"/>
      <c r="BV577" s="120"/>
      <c r="BW577" s="120"/>
      <c r="BZ577" s="136">
        <f t="shared" si="759"/>
        <v>0</v>
      </c>
      <c r="CA577" s="136">
        <f t="shared" si="760"/>
        <v>0</v>
      </c>
      <c r="CB577" s="136">
        <f t="shared" si="761"/>
        <v>0</v>
      </c>
      <c r="CC577" s="136">
        <f t="shared" si="762"/>
        <v>0</v>
      </c>
      <c r="CD577" s="135">
        <f t="shared" si="763"/>
        <v>0</v>
      </c>
      <c r="CE577" s="135">
        <f t="shared" si="764"/>
        <v>0</v>
      </c>
      <c r="CF577" s="134">
        <f t="shared" si="765"/>
        <v>0</v>
      </c>
      <c r="CG577" s="134">
        <f t="shared" si="766"/>
        <v>0</v>
      </c>
      <c r="CH577" s="133" t="e">
        <f t="shared" si="767"/>
        <v>#DIV/0!</v>
      </c>
    </row>
    <row r="578" spans="1:88" s="121" customFormat="1">
      <c r="A578" s="125">
        <f t="shared" si="768"/>
        <v>0</v>
      </c>
      <c r="B578" s="138" t="s">
        <v>187</v>
      </c>
      <c r="D578" s="121" t="s">
        <v>197</v>
      </c>
      <c r="G578" s="120"/>
      <c r="H578" s="120"/>
      <c r="M578" s="123"/>
      <c r="N578" s="121" t="s">
        <v>4148</v>
      </c>
      <c r="O578" s="121" t="s">
        <v>4149</v>
      </c>
      <c r="Q578" s="122">
        <f>3146*2.4</f>
        <v>7550.4</v>
      </c>
      <c r="R578" s="122"/>
      <c r="S578" s="122">
        <v>7500</v>
      </c>
      <c r="T578" s="122"/>
      <c r="BD578" s="120">
        <f t="shared" si="769"/>
        <v>0</v>
      </c>
      <c r="BE578" s="120">
        <f t="shared" si="770"/>
        <v>0</v>
      </c>
      <c r="BF578" s="137">
        <f t="shared" si="771"/>
        <v>0</v>
      </c>
      <c r="BG578" s="120"/>
      <c r="BH578" s="120"/>
      <c r="BI578" s="120"/>
      <c r="BJ578" s="120"/>
      <c r="BK578" s="120"/>
      <c r="BL578" s="120"/>
      <c r="BM578" s="120"/>
      <c r="BN578" s="120"/>
      <c r="BO578" s="120"/>
      <c r="BP578" s="120"/>
      <c r="BQ578" s="124"/>
      <c r="BR578" s="120"/>
      <c r="BS578" s="120"/>
      <c r="BT578" s="120"/>
      <c r="BU578" s="120"/>
      <c r="BV578" s="120"/>
      <c r="BW578" s="120"/>
      <c r="BZ578" s="136">
        <f t="shared" si="759"/>
        <v>0</v>
      </c>
      <c r="CA578" s="136">
        <f t="shared" si="760"/>
        <v>0</v>
      </c>
      <c r="CB578" s="136">
        <f t="shared" si="761"/>
        <v>0</v>
      </c>
      <c r="CC578" s="136">
        <f t="shared" si="762"/>
        <v>0</v>
      </c>
      <c r="CD578" s="135">
        <f t="shared" si="763"/>
        <v>0</v>
      </c>
      <c r="CE578" s="135">
        <f t="shared" si="764"/>
        <v>0</v>
      </c>
      <c r="CF578" s="134">
        <f t="shared" si="765"/>
        <v>0</v>
      </c>
      <c r="CG578" s="134">
        <f t="shared" si="766"/>
        <v>0</v>
      </c>
      <c r="CH578" s="133" t="e">
        <f t="shared" si="767"/>
        <v>#DIV/0!</v>
      </c>
    </row>
    <row r="579" spans="1:88" s="121" customFormat="1">
      <c r="A579" s="125">
        <f t="shared" si="768"/>
        <v>0</v>
      </c>
      <c r="B579" s="138" t="s">
        <v>187</v>
      </c>
      <c r="D579" s="121" t="s">
        <v>197</v>
      </c>
      <c r="G579" s="120"/>
      <c r="H579" s="120"/>
      <c r="M579" s="123"/>
      <c r="N579" s="121" t="s">
        <v>2210</v>
      </c>
      <c r="O579" s="121" t="s">
        <v>493</v>
      </c>
      <c r="Q579" s="122">
        <f>3152*2.4</f>
        <v>7564.7999999999993</v>
      </c>
      <c r="R579" s="122"/>
      <c r="S579" s="122">
        <v>7500</v>
      </c>
      <c r="T579" s="122"/>
      <c r="U579" s="226"/>
      <c r="V579" s="226"/>
      <c r="W579" s="226"/>
      <c r="X579" s="226"/>
      <c r="Y579" s="226"/>
      <c r="Z579" s="226"/>
      <c r="AA579" s="226"/>
      <c r="AB579" s="226"/>
      <c r="AC579" s="226"/>
      <c r="AD579" s="226"/>
      <c r="AE579" s="226"/>
      <c r="AF579" s="226"/>
      <c r="AG579" s="226"/>
      <c r="AH579" s="226"/>
      <c r="AI579" s="226"/>
      <c r="AJ579" s="226"/>
      <c r="AK579" s="226"/>
      <c r="AL579" s="226"/>
      <c r="AM579" s="226"/>
      <c r="AN579" s="226"/>
      <c r="AO579" s="226"/>
      <c r="AP579" s="226"/>
      <c r="AQ579" s="226"/>
      <c r="AR579" s="226"/>
      <c r="AS579" s="226"/>
      <c r="AT579" s="226"/>
      <c r="AU579" s="226"/>
      <c r="AV579" s="226"/>
      <c r="AW579" s="226"/>
      <c r="AX579" s="226"/>
      <c r="AY579" s="226"/>
      <c r="AZ579" s="226"/>
      <c r="BA579" s="226"/>
      <c r="BB579" s="226"/>
      <c r="BC579" s="226"/>
      <c r="BD579" s="120">
        <f t="shared" si="769"/>
        <v>0</v>
      </c>
      <c r="BE579" s="120">
        <f t="shared" si="770"/>
        <v>0</v>
      </c>
      <c r="BF579" s="137">
        <f t="shared" si="771"/>
        <v>0</v>
      </c>
      <c r="BG579" s="120"/>
      <c r="BH579" s="120"/>
      <c r="BI579" s="120"/>
      <c r="BJ579" s="120"/>
      <c r="BK579" s="120"/>
      <c r="BL579" s="120"/>
      <c r="BM579" s="120"/>
      <c r="BN579" s="120"/>
      <c r="BO579" s="120"/>
      <c r="BP579" s="120"/>
      <c r="BQ579" s="124"/>
      <c r="BR579" s="120"/>
      <c r="BS579" s="120"/>
      <c r="BT579" s="120"/>
      <c r="BU579" s="120"/>
      <c r="BV579" s="120"/>
      <c r="BW579" s="120"/>
      <c r="BZ579" s="136">
        <f t="shared" si="759"/>
        <v>0</v>
      </c>
      <c r="CA579" s="136">
        <f t="shared" si="760"/>
        <v>0</v>
      </c>
      <c r="CB579" s="136">
        <f t="shared" si="761"/>
        <v>0</v>
      </c>
      <c r="CC579" s="136">
        <f t="shared" si="762"/>
        <v>0</v>
      </c>
      <c r="CD579" s="135">
        <f t="shared" si="763"/>
        <v>0</v>
      </c>
      <c r="CE579" s="135">
        <f t="shared" si="764"/>
        <v>0</v>
      </c>
      <c r="CF579" s="134">
        <f t="shared" si="765"/>
        <v>0</v>
      </c>
      <c r="CG579" s="134">
        <f t="shared" si="766"/>
        <v>0</v>
      </c>
      <c r="CH579" s="133" t="e">
        <f t="shared" si="767"/>
        <v>#DIV/0!</v>
      </c>
    </row>
    <row r="580" spans="1:88" s="121" customFormat="1">
      <c r="A580" s="125">
        <f t="shared" si="768"/>
        <v>0</v>
      </c>
      <c r="B580" s="138" t="s">
        <v>187</v>
      </c>
      <c r="D580" s="121" t="s">
        <v>197</v>
      </c>
      <c r="G580" s="120"/>
      <c r="H580" s="120"/>
      <c r="M580" s="123"/>
      <c r="N580" s="121" t="s">
        <v>406</v>
      </c>
      <c r="O580" s="121" t="s">
        <v>407</v>
      </c>
      <c r="Q580" s="122">
        <f>3107*2.4</f>
        <v>7456.7999999999993</v>
      </c>
      <c r="R580" s="122"/>
      <c r="S580" s="122">
        <v>7500</v>
      </c>
      <c r="T580" s="122"/>
      <c r="BD580" s="120">
        <f t="shared" si="769"/>
        <v>0</v>
      </c>
      <c r="BE580" s="120">
        <f t="shared" si="770"/>
        <v>0</v>
      </c>
      <c r="BF580" s="137">
        <f t="shared" si="771"/>
        <v>0</v>
      </c>
      <c r="BG580" s="120"/>
      <c r="BH580" s="120"/>
      <c r="BI580" s="120"/>
      <c r="BJ580" s="120"/>
      <c r="BK580" s="120"/>
      <c r="BL580" s="120"/>
      <c r="BM580" s="120"/>
      <c r="BN580" s="120"/>
      <c r="BO580" s="124"/>
      <c r="BP580" s="124"/>
      <c r="BQ580" s="124"/>
      <c r="BR580" s="120"/>
      <c r="BS580" s="120"/>
      <c r="BT580" s="120"/>
      <c r="BU580" s="120"/>
      <c r="BV580" s="120"/>
      <c r="BW580" s="120"/>
      <c r="BZ580" s="136">
        <f t="shared" si="759"/>
        <v>0</v>
      </c>
      <c r="CA580" s="136">
        <f t="shared" si="760"/>
        <v>0</v>
      </c>
      <c r="CB580" s="136">
        <f t="shared" si="761"/>
        <v>0</v>
      </c>
      <c r="CC580" s="136">
        <f t="shared" si="762"/>
        <v>0</v>
      </c>
      <c r="CD580" s="135">
        <f t="shared" si="763"/>
        <v>0</v>
      </c>
      <c r="CE580" s="135">
        <f t="shared" si="764"/>
        <v>0</v>
      </c>
      <c r="CF580" s="134">
        <f t="shared" si="765"/>
        <v>0</v>
      </c>
      <c r="CG580" s="134">
        <f t="shared" si="766"/>
        <v>0</v>
      </c>
      <c r="CH580" s="133" t="e">
        <f t="shared" si="767"/>
        <v>#DIV/0!</v>
      </c>
      <c r="CI580" s="128"/>
    </row>
    <row r="581" spans="1:88" s="121" customFormat="1">
      <c r="A581" s="125">
        <f t="shared" si="768"/>
        <v>0</v>
      </c>
      <c r="B581" s="138" t="s">
        <v>187</v>
      </c>
      <c r="D581" s="121" t="s">
        <v>197</v>
      </c>
      <c r="F581" s="115"/>
      <c r="G581" s="120"/>
      <c r="H581" s="120"/>
      <c r="M581" s="123"/>
      <c r="N581" s="121" t="s">
        <v>371</v>
      </c>
      <c r="O581" s="121" t="s">
        <v>372</v>
      </c>
      <c r="Q581" s="122">
        <f>3117*2.4</f>
        <v>7480.7999999999993</v>
      </c>
      <c r="R581" s="122"/>
      <c r="S581" s="122">
        <v>7500</v>
      </c>
      <c r="T581" s="122"/>
      <c r="BD581" s="120">
        <f t="shared" si="769"/>
        <v>0</v>
      </c>
      <c r="BE581" s="120">
        <f t="shared" si="770"/>
        <v>0</v>
      </c>
      <c r="BF581" s="137">
        <f t="shared" si="771"/>
        <v>0</v>
      </c>
      <c r="BG581" s="120"/>
      <c r="BH581" s="120"/>
      <c r="BI581" s="120"/>
      <c r="BJ581" s="120"/>
      <c r="BK581" s="120"/>
      <c r="BL581" s="120"/>
      <c r="BM581" s="120"/>
      <c r="BN581" s="120"/>
      <c r="BO581" s="124"/>
      <c r="BP581" s="124"/>
      <c r="BQ581" s="124"/>
      <c r="BR581" s="120"/>
      <c r="BS581" s="120"/>
      <c r="BT581" s="120"/>
      <c r="BU581" s="120"/>
      <c r="BV581" s="120"/>
      <c r="BW581" s="120"/>
      <c r="BZ581" s="136">
        <f t="shared" si="759"/>
        <v>0</v>
      </c>
      <c r="CA581" s="136">
        <f t="shared" si="760"/>
        <v>0</v>
      </c>
      <c r="CB581" s="136">
        <f t="shared" si="761"/>
        <v>0</v>
      </c>
      <c r="CC581" s="136">
        <f t="shared" si="762"/>
        <v>0</v>
      </c>
      <c r="CD581" s="135">
        <f t="shared" si="763"/>
        <v>0</v>
      </c>
      <c r="CE581" s="135">
        <f t="shared" si="764"/>
        <v>0</v>
      </c>
      <c r="CF581" s="134">
        <f t="shared" si="765"/>
        <v>0</v>
      </c>
      <c r="CG581" s="134">
        <f t="shared" si="766"/>
        <v>0</v>
      </c>
      <c r="CH581" s="133" t="e">
        <f t="shared" si="767"/>
        <v>#DIV/0!</v>
      </c>
    </row>
    <row r="582" spans="1:88" s="121" customFormat="1">
      <c r="A582" s="125">
        <f t="shared" si="768"/>
        <v>0</v>
      </c>
      <c r="B582" s="138" t="s">
        <v>187</v>
      </c>
      <c r="C582" s="116"/>
      <c r="D582" s="121" t="s">
        <v>197</v>
      </c>
      <c r="G582" s="120"/>
      <c r="H582" s="120"/>
      <c r="M582" s="123"/>
      <c r="N582" s="121" t="s">
        <v>2207</v>
      </c>
      <c r="O582" s="121" t="s">
        <v>4150</v>
      </c>
      <c r="P582" s="116"/>
      <c r="Q582" s="131">
        <f>3357*2.4</f>
        <v>8056.7999999999993</v>
      </c>
      <c r="R582" s="131"/>
      <c r="S582" s="122">
        <v>8000</v>
      </c>
      <c r="T582" s="131"/>
      <c r="U582" s="116"/>
      <c r="V582" s="116"/>
      <c r="W582" s="116"/>
      <c r="X582" s="116"/>
      <c r="Y582" s="116"/>
      <c r="Z582" s="116"/>
      <c r="AA582" s="116"/>
      <c r="AB582" s="227"/>
      <c r="AC582" s="227"/>
      <c r="AD582" s="116"/>
      <c r="AE582" s="116"/>
      <c r="AF582" s="116"/>
      <c r="AG582" s="116"/>
      <c r="AH582" s="116"/>
      <c r="AI582" s="116"/>
      <c r="AJ582" s="116"/>
      <c r="AK582" s="116"/>
      <c r="AL582" s="116"/>
      <c r="AM582" s="116"/>
      <c r="AN582" s="116"/>
      <c r="AO582" s="116"/>
      <c r="AP582" s="116"/>
      <c r="AQ582" s="116"/>
      <c r="AR582" s="116"/>
      <c r="AS582" s="116"/>
      <c r="AT582" s="116"/>
      <c r="AU582" s="116"/>
      <c r="AV582" s="116"/>
      <c r="AW582" s="116"/>
      <c r="AX582" s="116"/>
      <c r="AY582" s="116"/>
      <c r="AZ582" s="116"/>
      <c r="BA582" s="116"/>
      <c r="BB582" s="116"/>
      <c r="BC582" s="116"/>
      <c r="BD582" s="127"/>
      <c r="BE582" s="127"/>
      <c r="BF582" s="228"/>
      <c r="BG582" s="127"/>
      <c r="BH582" s="127"/>
      <c r="BI582" s="127"/>
      <c r="BJ582" s="127"/>
      <c r="BK582" s="127"/>
      <c r="BL582" s="127"/>
      <c r="BM582" s="127"/>
      <c r="BN582" s="127"/>
      <c r="BO582" s="127"/>
      <c r="BP582" s="127"/>
      <c r="BQ582" s="130"/>
      <c r="BR582" s="127"/>
      <c r="BS582" s="127"/>
      <c r="BT582" s="127"/>
      <c r="BU582" s="127"/>
      <c r="BV582" s="127"/>
      <c r="BW582" s="127"/>
      <c r="BX582" s="116"/>
      <c r="BY582" s="116"/>
      <c r="BZ582" s="136">
        <f t="shared" si="759"/>
        <v>0</v>
      </c>
      <c r="CA582" s="136">
        <f t="shared" si="760"/>
        <v>0</v>
      </c>
      <c r="CB582" s="136">
        <f t="shared" si="761"/>
        <v>0</v>
      </c>
      <c r="CC582" s="136">
        <f t="shared" si="762"/>
        <v>0</v>
      </c>
      <c r="CD582" s="135">
        <f t="shared" si="763"/>
        <v>0</v>
      </c>
      <c r="CE582" s="135">
        <f t="shared" si="764"/>
        <v>0</v>
      </c>
      <c r="CF582" s="134">
        <f t="shared" si="765"/>
        <v>0</v>
      </c>
      <c r="CG582" s="134">
        <f t="shared" si="766"/>
        <v>0</v>
      </c>
      <c r="CH582" s="133" t="e">
        <f t="shared" si="767"/>
        <v>#DIV/0!</v>
      </c>
      <c r="CI582" s="116"/>
    </row>
    <row r="583" spans="1:88">
      <c r="A583" s="125">
        <f t="shared" si="768"/>
        <v>0</v>
      </c>
      <c r="B583" s="138" t="s">
        <v>187</v>
      </c>
      <c r="C583" s="121"/>
      <c r="D583" s="121" t="s">
        <v>215</v>
      </c>
      <c r="E583" s="121"/>
      <c r="G583" s="120"/>
      <c r="H583" s="120"/>
      <c r="I583" s="121"/>
      <c r="J583" s="121"/>
      <c r="K583" s="121"/>
      <c r="L583" s="121"/>
      <c r="M583" s="123"/>
      <c r="N583" s="121" t="s">
        <v>403</v>
      </c>
      <c r="O583" s="121" t="s">
        <v>404</v>
      </c>
      <c r="P583" s="121"/>
      <c r="Q583" s="122">
        <f>3107*2.4</f>
        <v>7456.7999999999993</v>
      </c>
      <c r="R583" s="122"/>
      <c r="S583" s="122">
        <v>7500</v>
      </c>
      <c r="T583" s="122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0">
        <f>BG583</f>
        <v>0</v>
      </c>
      <c r="BE583" s="120">
        <f>BW583</f>
        <v>0</v>
      </c>
      <c r="BF583" s="137">
        <f>BE583-BD583</f>
        <v>0</v>
      </c>
      <c r="BG583" s="120"/>
      <c r="BH583" s="120"/>
      <c r="BI583" s="120"/>
      <c r="BJ583" s="120"/>
      <c r="BK583" s="120"/>
      <c r="BL583" s="120"/>
      <c r="BM583" s="120"/>
      <c r="BN583" s="120"/>
      <c r="BO583" s="120"/>
      <c r="BP583" s="120"/>
      <c r="BQ583" s="124"/>
      <c r="BR583" s="120"/>
      <c r="BS583" s="120"/>
      <c r="BT583" s="120"/>
      <c r="BU583" s="120"/>
      <c r="BV583" s="120"/>
      <c r="BW583" s="120"/>
      <c r="BX583" s="121"/>
      <c r="BY583" s="121"/>
      <c r="BZ583" s="136">
        <f t="shared" si="759"/>
        <v>0</v>
      </c>
      <c r="CA583" s="136">
        <f t="shared" si="760"/>
        <v>0</v>
      </c>
      <c r="CB583" s="136">
        <f t="shared" si="761"/>
        <v>0</v>
      </c>
      <c r="CC583" s="136">
        <f t="shared" si="762"/>
        <v>0</v>
      </c>
      <c r="CD583" s="135">
        <f t="shared" si="763"/>
        <v>0</v>
      </c>
      <c r="CE583" s="135">
        <f t="shared" si="764"/>
        <v>0</v>
      </c>
      <c r="CF583" s="134">
        <f t="shared" si="765"/>
        <v>0</v>
      </c>
      <c r="CG583" s="134">
        <f t="shared" si="766"/>
        <v>0</v>
      </c>
      <c r="CH583" s="133" t="e">
        <f t="shared" si="767"/>
        <v>#DIV/0!</v>
      </c>
      <c r="CI583" s="128"/>
      <c r="CJ583" s="121"/>
    </row>
    <row r="584" spans="1:88">
      <c r="A584" s="125">
        <f t="shared" si="768"/>
        <v>0</v>
      </c>
      <c r="B584" s="138" t="s">
        <v>187</v>
      </c>
      <c r="C584" s="121"/>
      <c r="D584" s="121" t="s">
        <v>197</v>
      </c>
      <c r="E584" s="121"/>
      <c r="F584" s="121"/>
      <c r="G584" s="120"/>
      <c r="H584" s="120"/>
      <c r="I584" s="121"/>
      <c r="J584" s="121"/>
      <c r="K584" s="121"/>
      <c r="L584" s="121"/>
      <c r="M584" s="123"/>
      <c r="N584" s="121" t="s">
        <v>288</v>
      </c>
      <c r="O584" s="121" t="s">
        <v>483</v>
      </c>
      <c r="P584" s="121"/>
      <c r="Q584" s="122">
        <f>3107*2.4</f>
        <v>7456.7999999999993</v>
      </c>
      <c r="R584" s="122"/>
      <c r="S584" s="122">
        <v>7500</v>
      </c>
      <c r="T584" s="122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0">
        <f>BG584</f>
        <v>0</v>
      </c>
      <c r="BE584" s="120">
        <f>BW584</f>
        <v>0</v>
      </c>
      <c r="BF584" s="137">
        <f>BE584-BD584</f>
        <v>0</v>
      </c>
      <c r="BG584" s="120"/>
      <c r="BH584" s="120"/>
      <c r="BI584" s="120"/>
      <c r="BJ584" s="120"/>
      <c r="BK584" s="120"/>
      <c r="BL584" s="120"/>
      <c r="BM584" s="120"/>
      <c r="BN584" s="120"/>
      <c r="BO584" s="120"/>
      <c r="BP584" s="120"/>
      <c r="BQ584" s="124"/>
      <c r="BR584" s="120"/>
      <c r="BS584" s="120"/>
      <c r="BT584" s="120"/>
      <c r="BU584" s="120"/>
      <c r="BV584" s="120"/>
      <c r="BW584" s="120"/>
      <c r="BX584" s="121"/>
      <c r="BY584" s="121"/>
      <c r="BZ584" s="136">
        <f t="shared" si="759"/>
        <v>0</v>
      </c>
      <c r="CA584" s="136">
        <f t="shared" si="760"/>
        <v>0</v>
      </c>
      <c r="CB584" s="136">
        <f t="shared" si="761"/>
        <v>0</v>
      </c>
      <c r="CC584" s="136">
        <f t="shared" si="762"/>
        <v>0</v>
      </c>
      <c r="CD584" s="135">
        <f t="shared" si="763"/>
        <v>0</v>
      </c>
      <c r="CE584" s="135">
        <f t="shared" si="764"/>
        <v>0</v>
      </c>
      <c r="CF584" s="134">
        <f t="shared" si="765"/>
        <v>0</v>
      </c>
      <c r="CG584" s="134">
        <f t="shared" si="766"/>
        <v>0</v>
      </c>
      <c r="CH584" s="133" t="e">
        <f t="shared" si="767"/>
        <v>#DIV/0!</v>
      </c>
      <c r="CI584" s="121"/>
    </row>
    <row r="585" spans="1:88" s="128" customFormat="1">
      <c r="A585" s="125">
        <f t="shared" si="768"/>
        <v>0</v>
      </c>
      <c r="B585" s="138" t="s">
        <v>187</v>
      </c>
      <c r="C585" s="121"/>
      <c r="D585" s="121" t="s">
        <v>215</v>
      </c>
      <c r="E585" s="121"/>
      <c r="F585" s="121"/>
      <c r="G585" s="120"/>
      <c r="H585" s="120"/>
      <c r="I585" s="121"/>
      <c r="J585" s="121"/>
      <c r="K585" s="121"/>
      <c r="L585" s="121"/>
      <c r="M585" s="123"/>
      <c r="N585" s="121" t="s">
        <v>482</v>
      </c>
      <c r="O585" s="121" t="s">
        <v>289</v>
      </c>
      <c r="P585" s="121"/>
      <c r="Q585" s="122">
        <f>3107*2.4</f>
        <v>7456.7999999999993</v>
      </c>
      <c r="R585" s="122"/>
      <c r="S585" s="122">
        <v>7500</v>
      </c>
      <c r="T585" s="122"/>
      <c r="U585" s="121"/>
      <c r="V585" s="121"/>
      <c r="W585" s="121"/>
      <c r="X585" s="122"/>
      <c r="Y585" s="122"/>
      <c r="Z585" s="121"/>
      <c r="AA585" s="121"/>
      <c r="AB585" s="121"/>
      <c r="AC585" s="121"/>
      <c r="AD585" s="121"/>
      <c r="AE585" s="122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0">
        <f>BG585</f>
        <v>0</v>
      </c>
      <c r="BE585" s="120">
        <f>BW585</f>
        <v>0</v>
      </c>
      <c r="BF585" s="137">
        <f>BE585-BD585</f>
        <v>0</v>
      </c>
      <c r="BG585" s="120"/>
      <c r="BH585" s="120"/>
      <c r="BI585" s="120"/>
      <c r="BJ585" s="120"/>
      <c r="BK585" s="120"/>
      <c r="BL585" s="120"/>
      <c r="BM585" s="120"/>
      <c r="BN585" s="120"/>
      <c r="BO585" s="124"/>
      <c r="BP585" s="124"/>
      <c r="BQ585" s="124"/>
      <c r="BR585" s="120"/>
      <c r="BS585" s="120"/>
      <c r="BT585" s="120"/>
      <c r="BU585" s="120"/>
      <c r="BV585" s="120"/>
      <c r="BW585" s="120"/>
      <c r="BX585" s="121"/>
      <c r="BY585" s="121"/>
      <c r="BZ585" s="136">
        <f t="shared" si="759"/>
        <v>0</v>
      </c>
      <c r="CA585" s="136">
        <f t="shared" si="760"/>
        <v>0</v>
      </c>
      <c r="CB585" s="136">
        <f t="shared" si="761"/>
        <v>0</v>
      </c>
      <c r="CC585" s="136">
        <f t="shared" si="762"/>
        <v>0</v>
      </c>
      <c r="CD585" s="135">
        <f t="shared" si="763"/>
        <v>0</v>
      </c>
      <c r="CE585" s="135">
        <f t="shared" si="764"/>
        <v>0</v>
      </c>
      <c r="CF585" s="134">
        <f t="shared" si="765"/>
        <v>0</v>
      </c>
      <c r="CG585" s="134">
        <f t="shared" si="766"/>
        <v>0</v>
      </c>
      <c r="CH585" s="133" t="e">
        <f t="shared" si="767"/>
        <v>#DIV/0!</v>
      </c>
      <c r="CI585" s="121"/>
      <c r="CJ585" s="115"/>
    </row>
    <row r="586" spans="1:88" s="128" customFormat="1">
      <c r="A586" s="125">
        <f t="shared" si="768"/>
        <v>0</v>
      </c>
      <c r="B586" s="138" t="s">
        <v>187</v>
      </c>
      <c r="C586" s="116"/>
      <c r="D586" s="121" t="s">
        <v>197</v>
      </c>
      <c r="E586" s="121"/>
      <c r="F586" s="121"/>
      <c r="G586" s="120"/>
      <c r="H586" s="120"/>
      <c r="I586" s="121"/>
      <c r="J586" s="121"/>
      <c r="K586" s="121"/>
      <c r="L586" s="121"/>
      <c r="M586" s="123"/>
      <c r="N586" s="121" t="s">
        <v>4151</v>
      </c>
      <c r="O586" s="121" t="s">
        <v>4152</v>
      </c>
      <c r="P586" s="116"/>
      <c r="Q586" s="131">
        <f>3357*2.4</f>
        <v>8056.7999999999993</v>
      </c>
      <c r="R586" s="131"/>
      <c r="S586" s="122">
        <v>8000</v>
      </c>
      <c r="T586" s="131"/>
      <c r="U586" s="116"/>
      <c r="V586" s="116"/>
      <c r="W586" s="116"/>
      <c r="X586" s="116"/>
      <c r="Y586" s="116"/>
      <c r="Z586" s="116"/>
      <c r="AA586" s="116"/>
      <c r="AB586" s="227"/>
      <c r="AC586" s="116"/>
      <c r="AD586" s="116"/>
      <c r="AE586" s="116"/>
      <c r="AF586" s="116"/>
      <c r="AG586" s="116"/>
      <c r="AH586" s="116"/>
      <c r="AI586" s="116"/>
      <c r="AJ586" s="116"/>
      <c r="AK586" s="116"/>
      <c r="AL586" s="116"/>
      <c r="AM586" s="116"/>
      <c r="AN586" s="116"/>
      <c r="AO586" s="116"/>
      <c r="AP586" s="116"/>
      <c r="AQ586" s="116"/>
      <c r="AR586" s="116"/>
      <c r="AS586" s="116"/>
      <c r="AT586" s="116"/>
      <c r="AU586" s="116"/>
      <c r="AV586" s="116"/>
      <c r="AW586" s="116"/>
      <c r="AX586" s="116"/>
      <c r="AY586" s="116"/>
      <c r="AZ586" s="116"/>
      <c r="BA586" s="116"/>
      <c r="BB586" s="116"/>
      <c r="BC586" s="116"/>
      <c r="BD586" s="127"/>
      <c r="BE586" s="127"/>
      <c r="BF586" s="228"/>
      <c r="BG586" s="127"/>
      <c r="BH586" s="127"/>
      <c r="BI586" s="127"/>
      <c r="BJ586" s="127"/>
      <c r="BK586" s="127"/>
      <c r="BL586" s="127"/>
      <c r="BM586" s="127"/>
      <c r="BN586" s="127"/>
      <c r="BO586" s="127"/>
      <c r="BP586" s="127"/>
      <c r="BQ586" s="130"/>
      <c r="BR586" s="127"/>
      <c r="BS586" s="127"/>
      <c r="BT586" s="127"/>
      <c r="BU586" s="127"/>
      <c r="BV586" s="127"/>
      <c r="BW586" s="127"/>
      <c r="BX586" s="116"/>
      <c r="BY586" s="116"/>
      <c r="BZ586" s="136">
        <f t="shared" si="759"/>
        <v>0</v>
      </c>
      <c r="CA586" s="136">
        <f t="shared" si="760"/>
        <v>0</v>
      </c>
      <c r="CB586" s="136">
        <f t="shared" si="761"/>
        <v>0</v>
      </c>
      <c r="CC586" s="136">
        <f t="shared" si="762"/>
        <v>0</v>
      </c>
      <c r="CD586" s="135">
        <f t="shared" si="763"/>
        <v>0</v>
      </c>
      <c r="CE586" s="135">
        <f t="shared" si="764"/>
        <v>0</v>
      </c>
      <c r="CF586" s="134">
        <f t="shared" si="765"/>
        <v>0</v>
      </c>
      <c r="CG586" s="134">
        <f t="shared" si="766"/>
        <v>0</v>
      </c>
      <c r="CH586" s="133" t="e">
        <f t="shared" si="767"/>
        <v>#DIV/0!</v>
      </c>
      <c r="CI586" s="116"/>
    </row>
    <row r="587" spans="1:88" s="128" customFormat="1">
      <c r="A587" s="125">
        <f t="shared" si="768"/>
        <v>0</v>
      </c>
      <c r="B587" s="138" t="s">
        <v>187</v>
      </c>
      <c r="C587" s="121"/>
      <c r="D587" s="121" t="s">
        <v>197</v>
      </c>
      <c r="E587" s="121"/>
      <c r="F587" s="121"/>
      <c r="G587" s="120"/>
      <c r="H587" s="120"/>
      <c r="I587" s="121"/>
      <c r="J587" s="121"/>
      <c r="K587" s="121"/>
      <c r="L587" s="121"/>
      <c r="M587" s="123"/>
      <c r="N587" s="121" t="s">
        <v>4131</v>
      </c>
      <c r="O587" s="121" t="s">
        <v>219</v>
      </c>
      <c r="P587" s="121"/>
      <c r="Q587" s="122">
        <v>7500</v>
      </c>
      <c r="R587" s="122"/>
      <c r="S587" s="122">
        <v>7500</v>
      </c>
      <c r="T587" s="122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0">
        <f t="shared" ref="BD587:BD595" si="772">BG587</f>
        <v>0</v>
      </c>
      <c r="BE587" s="120">
        <f t="shared" ref="BE587:BE595" si="773">BW587</f>
        <v>0</v>
      </c>
      <c r="BF587" s="137">
        <f t="shared" ref="BF587:BF595" si="774">BE587-BD587</f>
        <v>0</v>
      </c>
      <c r="BG587" s="120"/>
      <c r="BH587" s="120"/>
      <c r="BI587" s="120"/>
      <c r="BJ587" s="120"/>
      <c r="BK587" s="120"/>
      <c r="BL587" s="120"/>
      <c r="BM587" s="120"/>
      <c r="BN587" s="120"/>
      <c r="BO587" s="120"/>
      <c r="BP587" s="120"/>
      <c r="BQ587" s="124"/>
      <c r="BR587" s="120"/>
      <c r="BS587" s="120"/>
      <c r="BT587" s="120"/>
      <c r="BU587" s="120"/>
      <c r="BV587" s="120"/>
      <c r="BW587" s="120"/>
      <c r="BX587" s="121"/>
      <c r="BY587" s="121"/>
      <c r="BZ587" s="136">
        <f t="shared" si="759"/>
        <v>0</v>
      </c>
      <c r="CA587" s="136">
        <f t="shared" si="760"/>
        <v>0</v>
      </c>
      <c r="CB587" s="136">
        <f t="shared" si="761"/>
        <v>0</v>
      </c>
      <c r="CC587" s="136">
        <f t="shared" si="762"/>
        <v>0</v>
      </c>
      <c r="CD587" s="135">
        <f t="shared" si="763"/>
        <v>0</v>
      </c>
      <c r="CE587" s="135">
        <f t="shared" si="764"/>
        <v>0</v>
      </c>
      <c r="CF587" s="134">
        <f t="shared" si="765"/>
        <v>0</v>
      </c>
      <c r="CG587" s="134">
        <f t="shared" si="766"/>
        <v>0</v>
      </c>
      <c r="CH587" s="133" t="e">
        <f t="shared" si="767"/>
        <v>#DIV/0!</v>
      </c>
    </row>
    <row r="588" spans="1:88" s="121" customFormat="1">
      <c r="A588" s="125">
        <f t="shared" si="768"/>
        <v>0</v>
      </c>
      <c r="B588" s="138" t="s">
        <v>187</v>
      </c>
      <c r="D588" s="121" t="s">
        <v>215</v>
      </c>
      <c r="G588" s="120"/>
      <c r="H588" s="120"/>
      <c r="M588" s="123"/>
      <c r="N588" s="121" t="s">
        <v>249</v>
      </c>
      <c r="O588" s="121" t="s">
        <v>4153</v>
      </c>
      <c r="Q588" s="122">
        <f>3170*2.4</f>
        <v>7608</v>
      </c>
      <c r="R588" s="122"/>
      <c r="S588" s="122">
        <v>7600</v>
      </c>
      <c r="T588" s="122"/>
      <c r="BD588" s="120">
        <f t="shared" si="772"/>
        <v>0</v>
      </c>
      <c r="BE588" s="120">
        <f t="shared" si="773"/>
        <v>0</v>
      </c>
      <c r="BF588" s="137">
        <f t="shared" si="774"/>
        <v>0</v>
      </c>
      <c r="BG588" s="120"/>
      <c r="BH588" s="120"/>
      <c r="BI588" s="120"/>
      <c r="BJ588" s="120"/>
      <c r="BK588" s="120"/>
      <c r="BL588" s="120"/>
      <c r="BM588" s="120"/>
      <c r="BN588" s="120"/>
      <c r="BO588" s="120"/>
      <c r="BP588" s="120"/>
      <c r="BQ588" s="124"/>
      <c r="BR588" s="120"/>
      <c r="BS588" s="120"/>
      <c r="BT588" s="120"/>
      <c r="BU588" s="120"/>
      <c r="BV588" s="120"/>
      <c r="BW588" s="120"/>
      <c r="BZ588" s="136">
        <f t="shared" si="759"/>
        <v>0</v>
      </c>
      <c r="CA588" s="136">
        <f t="shared" si="760"/>
        <v>0</v>
      </c>
      <c r="CB588" s="136">
        <f t="shared" si="761"/>
        <v>0</v>
      </c>
      <c r="CC588" s="136">
        <f t="shared" si="762"/>
        <v>0</v>
      </c>
      <c r="CD588" s="135">
        <f t="shared" si="763"/>
        <v>0</v>
      </c>
      <c r="CE588" s="135">
        <f t="shared" si="764"/>
        <v>0</v>
      </c>
      <c r="CF588" s="134">
        <f t="shared" si="765"/>
        <v>0</v>
      </c>
      <c r="CG588" s="134">
        <f t="shared" si="766"/>
        <v>0</v>
      </c>
      <c r="CH588" s="133" t="e">
        <f t="shared" si="767"/>
        <v>#DIV/0!</v>
      </c>
    </row>
    <row r="589" spans="1:88" s="121" customFormat="1">
      <c r="A589" s="125">
        <f t="shared" si="768"/>
        <v>0</v>
      </c>
      <c r="B589" s="138" t="s">
        <v>187</v>
      </c>
      <c r="D589" s="121" t="s">
        <v>215</v>
      </c>
      <c r="F589" s="115"/>
      <c r="G589" s="120"/>
      <c r="H589" s="120"/>
      <c r="M589" s="123"/>
      <c r="N589" s="121" t="s">
        <v>249</v>
      </c>
      <c r="O589" s="121" t="s">
        <v>4153</v>
      </c>
      <c r="Q589" s="122">
        <f>3170*2.4</f>
        <v>7608</v>
      </c>
      <c r="R589" s="122"/>
      <c r="S589" s="122">
        <v>7600</v>
      </c>
      <c r="T589" s="122"/>
      <c r="AM589" s="226"/>
      <c r="BD589" s="120">
        <f t="shared" si="772"/>
        <v>0</v>
      </c>
      <c r="BE589" s="120">
        <f t="shared" si="773"/>
        <v>0</v>
      </c>
      <c r="BF589" s="137">
        <f t="shared" si="774"/>
        <v>0</v>
      </c>
      <c r="BG589" s="120"/>
      <c r="BH589" s="120"/>
      <c r="BI589" s="120"/>
      <c r="BJ589" s="120"/>
      <c r="BK589" s="120"/>
      <c r="BL589" s="120"/>
      <c r="BM589" s="120"/>
      <c r="BN589" s="120"/>
      <c r="BO589" s="124"/>
      <c r="BP589" s="124"/>
      <c r="BQ589" s="124"/>
      <c r="BR589" s="120"/>
      <c r="BS589" s="120"/>
      <c r="BT589" s="120"/>
      <c r="BU589" s="120"/>
      <c r="BV589" s="120"/>
      <c r="BW589" s="120"/>
      <c r="BZ589" s="136">
        <f t="shared" si="759"/>
        <v>0</v>
      </c>
      <c r="CA589" s="136">
        <f t="shared" si="760"/>
        <v>0</v>
      </c>
      <c r="CB589" s="136">
        <f t="shared" si="761"/>
        <v>0</v>
      </c>
      <c r="CC589" s="136">
        <f t="shared" si="762"/>
        <v>0</v>
      </c>
      <c r="CD589" s="135">
        <f t="shared" si="763"/>
        <v>0</v>
      </c>
      <c r="CE589" s="135">
        <f t="shared" si="764"/>
        <v>0</v>
      </c>
      <c r="CF589" s="134">
        <f t="shared" si="765"/>
        <v>0</v>
      </c>
      <c r="CG589" s="134">
        <f t="shared" si="766"/>
        <v>0</v>
      </c>
      <c r="CH589" s="133" t="e">
        <f t="shared" si="767"/>
        <v>#DIV/0!</v>
      </c>
    </row>
    <row r="590" spans="1:88" s="121" customFormat="1">
      <c r="A590" s="125">
        <f t="shared" si="768"/>
        <v>0</v>
      </c>
      <c r="B590" s="138" t="s">
        <v>187</v>
      </c>
      <c r="D590" s="121" t="s">
        <v>215</v>
      </c>
      <c r="G590" s="120"/>
      <c r="H590" s="120"/>
      <c r="M590" s="123"/>
      <c r="N590" s="121" t="s">
        <v>218</v>
      </c>
      <c r="O590" s="121" t="s">
        <v>4153</v>
      </c>
      <c r="Q590" s="122">
        <f>3170*2.4</f>
        <v>7608</v>
      </c>
      <c r="R590" s="122"/>
      <c r="S590" s="122">
        <v>7600</v>
      </c>
      <c r="T590" s="122"/>
      <c r="BD590" s="120">
        <f t="shared" si="772"/>
        <v>0</v>
      </c>
      <c r="BE590" s="120">
        <f t="shared" si="773"/>
        <v>0</v>
      </c>
      <c r="BF590" s="137">
        <f t="shared" si="774"/>
        <v>0</v>
      </c>
      <c r="BG590" s="120"/>
      <c r="BH590" s="120"/>
      <c r="BI590" s="120"/>
      <c r="BJ590" s="120"/>
      <c r="BK590" s="120"/>
      <c r="BL590" s="120"/>
      <c r="BM590" s="120"/>
      <c r="BN590" s="120"/>
      <c r="BO590" s="120"/>
      <c r="BP590" s="120"/>
      <c r="BQ590" s="124"/>
      <c r="BR590" s="120"/>
      <c r="BS590" s="120"/>
      <c r="BT590" s="120"/>
      <c r="BU590" s="120"/>
      <c r="BV590" s="120"/>
      <c r="BW590" s="120"/>
      <c r="BZ590" s="136">
        <f t="shared" si="759"/>
        <v>0</v>
      </c>
      <c r="CA590" s="136">
        <f t="shared" si="760"/>
        <v>0</v>
      </c>
      <c r="CB590" s="136">
        <f t="shared" si="761"/>
        <v>0</v>
      </c>
      <c r="CC590" s="136">
        <f t="shared" si="762"/>
        <v>0</v>
      </c>
      <c r="CD590" s="135">
        <f t="shared" si="763"/>
        <v>0</v>
      </c>
      <c r="CE590" s="135">
        <f t="shared" si="764"/>
        <v>0</v>
      </c>
      <c r="CF590" s="134">
        <f t="shared" si="765"/>
        <v>0</v>
      </c>
      <c r="CG590" s="134">
        <f t="shared" si="766"/>
        <v>0</v>
      </c>
      <c r="CH590" s="133" t="e">
        <f t="shared" si="767"/>
        <v>#DIV/0!</v>
      </c>
      <c r="CI590" s="128"/>
    </row>
    <row r="591" spans="1:88" s="121" customFormat="1">
      <c r="A591" s="125">
        <f t="shared" si="768"/>
        <v>0</v>
      </c>
      <c r="B591" s="138" t="s">
        <v>187</v>
      </c>
      <c r="D591" s="121" t="s">
        <v>197</v>
      </c>
      <c r="F591" s="115"/>
      <c r="G591" s="120"/>
      <c r="H591" s="120"/>
      <c r="M591" s="123"/>
      <c r="N591" s="121" t="s">
        <v>1848</v>
      </c>
      <c r="O591" s="121" t="s">
        <v>4154</v>
      </c>
      <c r="Q591" s="122">
        <v>7500</v>
      </c>
      <c r="R591" s="122"/>
      <c r="S591" s="122">
        <v>7500</v>
      </c>
      <c r="T591" s="122"/>
      <c r="BD591" s="120">
        <f t="shared" si="772"/>
        <v>0</v>
      </c>
      <c r="BE591" s="120">
        <f t="shared" si="773"/>
        <v>0</v>
      </c>
      <c r="BF591" s="137">
        <f t="shared" si="774"/>
        <v>0</v>
      </c>
      <c r="BG591" s="120"/>
      <c r="BH591" s="120"/>
      <c r="BI591" s="120"/>
      <c r="BJ591" s="120"/>
      <c r="BK591" s="120"/>
      <c r="BL591" s="120"/>
      <c r="BM591" s="120"/>
      <c r="BN591" s="120"/>
      <c r="BO591" s="120"/>
      <c r="BP591" s="120"/>
      <c r="BQ591" s="124"/>
      <c r="BR591" s="120"/>
      <c r="BS591" s="120"/>
      <c r="BT591" s="120"/>
      <c r="BU591" s="120"/>
      <c r="BV591" s="120"/>
      <c r="BW591" s="120"/>
      <c r="BZ591" s="136">
        <f t="shared" ref="BZ591:BZ654" si="775">(BI591-BH591)*24</f>
        <v>0</v>
      </c>
      <c r="CA591" s="136">
        <f t="shared" ref="CA591:CA654" si="776">(BK591-BJ591)*24</f>
        <v>0</v>
      </c>
      <c r="CB591" s="136">
        <f t="shared" ref="CB591:CB654" si="777">(BN591-BM591)*24</f>
        <v>0</v>
      </c>
      <c r="CC591" s="136">
        <f t="shared" ref="CC591:CC654" si="778">(BR591-BP591)*24</f>
        <v>0</v>
      </c>
      <c r="CD591" s="135">
        <f t="shared" ref="CD591:CD654" si="779">(BT591-BS591)*24</f>
        <v>0</v>
      </c>
      <c r="CE591" s="135">
        <f t="shared" ref="CE591:CE654" si="780">(BW591-BV591)*24</f>
        <v>0</v>
      </c>
      <c r="CF591" s="134">
        <f t="shared" ref="CF591:CF654" si="781">SUM(BZ591:CE591)/24</f>
        <v>0</v>
      </c>
      <c r="CG591" s="134">
        <f t="shared" ref="CG591:CG654" si="782">BF591</f>
        <v>0</v>
      </c>
      <c r="CH591" s="133" t="e">
        <f t="shared" ref="CH591:CH654" si="783">CF591/CG591</f>
        <v>#DIV/0!</v>
      </c>
    </row>
    <row r="592" spans="1:88" s="121" customFormat="1">
      <c r="A592" s="125">
        <f t="shared" si="768"/>
        <v>0</v>
      </c>
      <c r="B592" s="138" t="s">
        <v>187</v>
      </c>
      <c r="D592" s="121" t="s">
        <v>197</v>
      </c>
      <c r="F592" s="115"/>
      <c r="G592" s="120"/>
      <c r="H592" s="120"/>
      <c r="M592" s="123"/>
      <c r="N592" s="121" t="s">
        <v>349</v>
      </c>
      <c r="O592" s="121" t="s">
        <v>2352</v>
      </c>
      <c r="Q592" s="122">
        <f>3165*2.4</f>
        <v>7596</v>
      </c>
      <c r="R592" s="122"/>
      <c r="S592" s="122">
        <v>7500</v>
      </c>
      <c r="T592" s="122"/>
      <c r="BD592" s="120">
        <f t="shared" si="772"/>
        <v>0</v>
      </c>
      <c r="BE592" s="120">
        <f t="shared" si="773"/>
        <v>0</v>
      </c>
      <c r="BF592" s="137">
        <f t="shared" si="774"/>
        <v>0</v>
      </c>
      <c r="BG592" s="120"/>
      <c r="BH592" s="120"/>
      <c r="BI592" s="120"/>
      <c r="BJ592" s="120"/>
      <c r="BK592" s="120"/>
      <c r="BL592" s="120"/>
      <c r="BM592" s="120"/>
      <c r="BN592" s="120"/>
      <c r="BO592" s="120"/>
      <c r="BP592" s="120"/>
      <c r="BQ592" s="124"/>
      <c r="BR592" s="120"/>
      <c r="BS592" s="120"/>
      <c r="BT592" s="120"/>
      <c r="BU592" s="120"/>
      <c r="BV592" s="120"/>
      <c r="BW592" s="120"/>
      <c r="BZ592" s="136">
        <f t="shared" si="775"/>
        <v>0</v>
      </c>
      <c r="CA592" s="136">
        <f t="shared" si="776"/>
        <v>0</v>
      </c>
      <c r="CB592" s="136">
        <f t="shared" si="777"/>
        <v>0</v>
      </c>
      <c r="CC592" s="136">
        <f t="shared" si="778"/>
        <v>0</v>
      </c>
      <c r="CD592" s="135">
        <f t="shared" si="779"/>
        <v>0</v>
      </c>
      <c r="CE592" s="135">
        <f t="shared" si="780"/>
        <v>0</v>
      </c>
      <c r="CF592" s="134">
        <f t="shared" si="781"/>
        <v>0</v>
      </c>
      <c r="CG592" s="134">
        <f t="shared" si="782"/>
        <v>0</v>
      </c>
      <c r="CH592" s="133" t="e">
        <f t="shared" si="783"/>
        <v>#DIV/0!</v>
      </c>
      <c r="CI592" s="128"/>
    </row>
    <row r="593" spans="1:87" s="121" customFormat="1">
      <c r="A593" s="125">
        <f t="shared" si="768"/>
        <v>0</v>
      </c>
      <c r="B593" s="138" t="s">
        <v>187</v>
      </c>
      <c r="D593" s="121" t="s">
        <v>197</v>
      </c>
      <c r="G593" s="120"/>
      <c r="H593" s="120"/>
      <c r="M593" s="123"/>
      <c r="N593" s="121" t="s">
        <v>4155</v>
      </c>
      <c r="O593" s="121" t="s">
        <v>4156</v>
      </c>
      <c r="Q593" s="122">
        <f>3271*2.4</f>
        <v>7850.4</v>
      </c>
      <c r="R593" s="122"/>
      <c r="S593" s="122">
        <v>7800</v>
      </c>
      <c r="T593" s="122"/>
      <c r="BD593" s="120">
        <f t="shared" si="772"/>
        <v>0</v>
      </c>
      <c r="BE593" s="120">
        <f t="shared" si="773"/>
        <v>0</v>
      </c>
      <c r="BF593" s="137">
        <f t="shared" si="774"/>
        <v>0</v>
      </c>
      <c r="BG593" s="120"/>
      <c r="BH593" s="120"/>
      <c r="BI593" s="120"/>
      <c r="BJ593" s="120"/>
      <c r="BK593" s="120"/>
      <c r="BL593" s="120"/>
      <c r="BM593" s="120"/>
      <c r="BN593" s="120"/>
      <c r="BO593" s="120"/>
      <c r="BP593" s="120"/>
      <c r="BQ593" s="124"/>
      <c r="BR593" s="120"/>
      <c r="BS593" s="120"/>
      <c r="BT593" s="120"/>
      <c r="BU593" s="120"/>
      <c r="BV593" s="120"/>
      <c r="BW593" s="120"/>
      <c r="BZ593" s="136">
        <f t="shared" si="775"/>
        <v>0</v>
      </c>
      <c r="CA593" s="136">
        <f t="shared" si="776"/>
        <v>0</v>
      </c>
      <c r="CB593" s="136">
        <f t="shared" si="777"/>
        <v>0</v>
      </c>
      <c r="CC593" s="136">
        <f t="shared" si="778"/>
        <v>0</v>
      </c>
      <c r="CD593" s="135">
        <f t="shared" si="779"/>
        <v>0</v>
      </c>
      <c r="CE593" s="135">
        <f t="shared" si="780"/>
        <v>0</v>
      </c>
      <c r="CF593" s="134">
        <f t="shared" si="781"/>
        <v>0</v>
      </c>
      <c r="CG593" s="134">
        <f t="shared" si="782"/>
        <v>0</v>
      </c>
      <c r="CH593" s="133" t="e">
        <f t="shared" si="783"/>
        <v>#DIV/0!</v>
      </c>
      <c r="CI593" s="116"/>
    </row>
    <row r="594" spans="1:87" s="121" customFormat="1">
      <c r="A594" s="125">
        <f t="shared" si="768"/>
        <v>0</v>
      </c>
      <c r="B594" s="138" t="s">
        <v>187</v>
      </c>
      <c r="D594" s="121" t="s">
        <v>215</v>
      </c>
      <c r="G594" s="120"/>
      <c r="H594" s="120"/>
      <c r="M594" s="123"/>
      <c r="N594" s="121" t="s">
        <v>4157</v>
      </c>
      <c r="O594" s="121" t="s">
        <v>4158</v>
      </c>
      <c r="Q594" s="122">
        <f>3102*2.4</f>
        <v>7444.7999999999993</v>
      </c>
      <c r="R594" s="122"/>
      <c r="S594" s="122">
        <v>7500</v>
      </c>
      <c r="T594" s="122"/>
      <c r="BD594" s="120">
        <f t="shared" si="772"/>
        <v>0</v>
      </c>
      <c r="BE594" s="120">
        <f t="shared" si="773"/>
        <v>0</v>
      </c>
      <c r="BF594" s="137">
        <f t="shared" si="774"/>
        <v>0</v>
      </c>
      <c r="BG594" s="120"/>
      <c r="BH594" s="120"/>
      <c r="BI594" s="120"/>
      <c r="BJ594" s="120"/>
      <c r="BK594" s="120"/>
      <c r="BL594" s="120"/>
      <c r="BM594" s="120"/>
      <c r="BN594" s="120"/>
      <c r="BO594" s="124"/>
      <c r="BP594" s="124"/>
      <c r="BQ594" s="124"/>
      <c r="BR594" s="120"/>
      <c r="BS594" s="120"/>
      <c r="BT594" s="120"/>
      <c r="BU594" s="120"/>
      <c r="BV594" s="120"/>
      <c r="BW594" s="120"/>
      <c r="BZ594" s="136">
        <f t="shared" si="775"/>
        <v>0</v>
      </c>
      <c r="CA594" s="136">
        <f t="shared" si="776"/>
        <v>0</v>
      </c>
      <c r="CB594" s="136">
        <f t="shared" si="777"/>
        <v>0</v>
      </c>
      <c r="CC594" s="136">
        <f t="shared" si="778"/>
        <v>0</v>
      </c>
      <c r="CD594" s="135">
        <f t="shared" si="779"/>
        <v>0</v>
      </c>
      <c r="CE594" s="135">
        <f t="shared" si="780"/>
        <v>0</v>
      </c>
      <c r="CF594" s="134">
        <f t="shared" si="781"/>
        <v>0</v>
      </c>
      <c r="CG594" s="134">
        <f t="shared" si="782"/>
        <v>0</v>
      </c>
      <c r="CH594" s="133" t="e">
        <f t="shared" si="783"/>
        <v>#DIV/0!</v>
      </c>
    </row>
    <row r="595" spans="1:87" s="121" customFormat="1">
      <c r="A595" s="125">
        <f t="shared" si="768"/>
        <v>0</v>
      </c>
      <c r="B595" s="138" t="s">
        <v>187</v>
      </c>
      <c r="D595" s="121" t="s">
        <v>215</v>
      </c>
      <c r="G595" s="120"/>
      <c r="H595" s="120"/>
      <c r="M595" s="123"/>
      <c r="N595" s="121" t="s">
        <v>4157</v>
      </c>
      <c r="O595" s="121" t="s">
        <v>4158</v>
      </c>
      <c r="Q595" s="122">
        <f>3102*2.4</f>
        <v>7444.7999999999993</v>
      </c>
      <c r="R595" s="122"/>
      <c r="S595" s="122">
        <v>7500</v>
      </c>
      <c r="T595" s="122"/>
      <c r="BD595" s="120">
        <f t="shared" si="772"/>
        <v>0</v>
      </c>
      <c r="BE595" s="120">
        <f t="shared" si="773"/>
        <v>0</v>
      </c>
      <c r="BF595" s="137">
        <f t="shared" si="774"/>
        <v>0</v>
      </c>
      <c r="BG595" s="120"/>
      <c r="BH595" s="120"/>
      <c r="BI595" s="120"/>
      <c r="BJ595" s="120"/>
      <c r="BK595" s="120"/>
      <c r="BL595" s="120"/>
      <c r="BM595" s="120"/>
      <c r="BN595" s="120"/>
      <c r="BO595" s="120"/>
      <c r="BP595" s="120"/>
      <c r="BQ595" s="124"/>
      <c r="BR595" s="120"/>
      <c r="BS595" s="120"/>
      <c r="BT595" s="120"/>
      <c r="BU595" s="120"/>
      <c r="BV595" s="120"/>
      <c r="BW595" s="120"/>
      <c r="BZ595" s="136">
        <f t="shared" si="775"/>
        <v>0</v>
      </c>
      <c r="CA595" s="136">
        <f t="shared" si="776"/>
        <v>0</v>
      </c>
      <c r="CB595" s="136">
        <f t="shared" si="777"/>
        <v>0</v>
      </c>
      <c r="CC595" s="136">
        <f t="shared" si="778"/>
        <v>0</v>
      </c>
      <c r="CD595" s="135">
        <f t="shared" si="779"/>
        <v>0</v>
      </c>
      <c r="CE595" s="135">
        <f t="shared" si="780"/>
        <v>0</v>
      </c>
      <c r="CF595" s="134">
        <f t="shared" si="781"/>
        <v>0</v>
      </c>
      <c r="CG595" s="134">
        <f t="shared" si="782"/>
        <v>0</v>
      </c>
      <c r="CH595" s="133" t="e">
        <f t="shared" si="783"/>
        <v>#DIV/0!</v>
      </c>
      <c r="CI595" s="128"/>
    </row>
    <row r="596" spans="1:87" s="121" customFormat="1">
      <c r="A596" s="125">
        <f t="shared" si="768"/>
        <v>0</v>
      </c>
      <c r="B596" s="138" t="s">
        <v>187</v>
      </c>
      <c r="D596" s="121" t="s">
        <v>197</v>
      </c>
      <c r="F596" s="115"/>
      <c r="G596" s="120"/>
      <c r="H596" s="120"/>
      <c r="M596" s="123"/>
      <c r="N596" s="121" t="s">
        <v>4133</v>
      </c>
      <c r="O596" s="121" t="s">
        <v>4159</v>
      </c>
      <c r="Q596" s="122">
        <f>3102*2.4</f>
        <v>7444.7999999999993</v>
      </c>
      <c r="R596" s="122"/>
      <c r="S596" s="122">
        <v>7500</v>
      </c>
      <c r="T596" s="122"/>
      <c r="BD596" s="120"/>
      <c r="BE596" s="120"/>
      <c r="BF596" s="120"/>
      <c r="BG596" s="120"/>
      <c r="BH596" s="120"/>
      <c r="BI596" s="120"/>
      <c r="BJ596" s="120"/>
      <c r="BK596" s="120"/>
      <c r="BL596" s="120"/>
      <c r="BM596" s="120"/>
      <c r="BN596" s="120"/>
      <c r="BO596" s="120"/>
      <c r="BP596" s="120"/>
      <c r="BQ596" s="124"/>
      <c r="BR596" s="120"/>
      <c r="BS596" s="120"/>
      <c r="BT596" s="120"/>
      <c r="BU596" s="120"/>
      <c r="BV596" s="120"/>
      <c r="BW596" s="120"/>
      <c r="BZ596" s="136">
        <f t="shared" si="775"/>
        <v>0</v>
      </c>
      <c r="CA596" s="136">
        <f t="shared" si="776"/>
        <v>0</v>
      </c>
      <c r="CB596" s="136">
        <f t="shared" si="777"/>
        <v>0</v>
      </c>
      <c r="CC596" s="136">
        <f t="shared" si="778"/>
        <v>0</v>
      </c>
      <c r="CD596" s="135">
        <f t="shared" si="779"/>
        <v>0</v>
      </c>
      <c r="CE596" s="135">
        <f t="shared" si="780"/>
        <v>0</v>
      </c>
      <c r="CF596" s="134">
        <f t="shared" si="781"/>
        <v>0</v>
      </c>
      <c r="CG596" s="134">
        <f t="shared" si="782"/>
        <v>0</v>
      </c>
      <c r="CH596" s="133" t="e">
        <f t="shared" si="783"/>
        <v>#DIV/0!</v>
      </c>
    </row>
    <row r="597" spans="1:87" s="121" customFormat="1">
      <c r="A597" s="125">
        <f t="shared" si="768"/>
        <v>0</v>
      </c>
      <c r="B597" s="138" t="s">
        <v>187</v>
      </c>
      <c r="D597" s="121" t="s">
        <v>197</v>
      </c>
      <c r="F597" s="115"/>
      <c r="G597" s="120"/>
      <c r="H597" s="120"/>
      <c r="M597" s="123"/>
      <c r="N597" s="121" t="s">
        <v>280</v>
      </c>
      <c r="O597" s="121" t="s">
        <v>486</v>
      </c>
      <c r="Q597" s="122">
        <f>3137*2.4</f>
        <v>7528.7999999999993</v>
      </c>
      <c r="R597" s="122"/>
      <c r="S597" s="122">
        <v>7500</v>
      </c>
      <c r="T597" s="122"/>
      <c r="BD597" s="120">
        <f>BG597</f>
        <v>0</v>
      </c>
      <c r="BE597" s="120">
        <f>BW597</f>
        <v>0</v>
      </c>
      <c r="BF597" s="137">
        <f>BE597-BD597</f>
        <v>0</v>
      </c>
      <c r="BG597" s="120"/>
      <c r="BH597" s="120"/>
      <c r="BI597" s="120"/>
      <c r="BJ597" s="120"/>
      <c r="BK597" s="120"/>
      <c r="BL597" s="120"/>
      <c r="BM597" s="120"/>
      <c r="BN597" s="120"/>
      <c r="BO597" s="120"/>
      <c r="BP597" s="120"/>
      <c r="BQ597" s="124"/>
      <c r="BR597" s="120"/>
      <c r="BS597" s="120"/>
      <c r="BT597" s="120"/>
      <c r="BU597" s="120"/>
      <c r="BV597" s="120"/>
      <c r="BW597" s="120"/>
      <c r="BZ597" s="136">
        <f t="shared" si="775"/>
        <v>0</v>
      </c>
      <c r="CA597" s="136">
        <f t="shared" si="776"/>
        <v>0</v>
      </c>
      <c r="CB597" s="136">
        <f t="shared" si="777"/>
        <v>0</v>
      </c>
      <c r="CC597" s="136">
        <f t="shared" si="778"/>
        <v>0</v>
      </c>
      <c r="CD597" s="135">
        <f t="shared" si="779"/>
        <v>0</v>
      </c>
      <c r="CE597" s="135">
        <f t="shared" si="780"/>
        <v>0</v>
      </c>
      <c r="CF597" s="134">
        <f t="shared" si="781"/>
        <v>0</v>
      </c>
      <c r="CG597" s="134">
        <f t="shared" si="782"/>
        <v>0</v>
      </c>
      <c r="CH597" s="133" t="e">
        <f t="shared" si="783"/>
        <v>#DIV/0!</v>
      </c>
      <c r="CI597" s="116"/>
    </row>
    <row r="598" spans="1:87" s="121" customFormat="1">
      <c r="A598" s="125">
        <f t="shared" si="768"/>
        <v>0</v>
      </c>
      <c r="B598" s="138" t="s">
        <v>187</v>
      </c>
      <c r="D598" s="121" t="s">
        <v>215</v>
      </c>
      <c r="G598" s="120"/>
      <c r="H598" s="120"/>
      <c r="M598" s="123"/>
      <c r="N598" s="121" t="s">
        <v>485</v>
      </c>
      <c r="O598" s="121" t="s">
        <v>4126</v>
      </c>
      <c r="Q598" s="122">
        <f>3107*2.4</f>
        <v>7456.7999999999993</v>
      </c>
      <c r="R598" s="122"/>
      <c r="S598" s="122">
        <v>7500</v>
      </c>
      <c r="T598" s="122"/>
      <c r="BD598" s="120">
        <f>BG598</f>
        <v>0</v>
      </c>
      <c r="BE598" s="120">
        <f>BW598</f>
        <v>0</v>
      </c>
      <c r="BF598" s="137">
        <f>BE598-BD598</f>
        <v>0</v>
      </c>
      <c r="BG598" s="120"/>
      <c r="BH598" s="120"/>
      <c r="BI598" s="120"/>
      <c r="BJ598" s="120"/>
      <c r="BK598" s="120"/>
      <c r="BL598" s="120"/>
      <c r="BM598" s="120"/>
      <c r="BN598" s="120"/>
      <c r="BO598" s="120"/>
      <c r="BP598" s="120"/>
      <c r="BQ598" s="124"/>
      <c r="BR598" s="120"/>
      <c r="BS598" s="120"/>
      <c r="BT598" s="120"/>
      <c r="BU598" s="120"/>
      <c r="BV598" s="120"/>
      <c r="BW598" s="120"/>
      <c r="BZ598" s="136">
        <f t="shared" si="775"/>
        <v>0</v>
      </c>
      <c r="CA598" s="136">
        <f t="shared" si="776"/>
        <v>0</v>
      </c>
      <c r="CB598" s="136">
        <f t="shared" si="777"/>
        <v>0</v>
      </c>
      <c r="CC598" s="136">
        <f t="shared" si="778"/>
        <v>0</v>
      </c>
      <c r="CD598" s="135">
        <f t="shared" si="779"/>
        <v>0</v>
      </c>
      <c r="CE598" s="135">
        <f t="shared" si="780"/>
        <v>0</v>
      </c>
      <c r="CF598" s="134">
        <f t="shared" si="781"/>
        <v>0</v>
      </c>
      <c r="CG598" s="134">
        <f t="shared" si="782"/>
        <v>0</v>
      </c>
      <c r="CH598" s="133" t="e">
        <f t="shared" si="783"/>
        <v>#DIV/0!</v>
      </c>
    </row>
    <row r="599" spans="1:87" s="121" customFormat="1">
      <c r="A599" s="125">
        <f t="shared" si="768"/>
        <v>0</v>
      </c>
      <c r="B599" s="138" t="s">
        <v>187</v>
      </c>
      <c r="D599" s="121" t="s">
        <v>197</v>
      </c>
      <c r="F599" s="115"/>
      <c r="G599" s="120"/>
      <c r="H599" s="120"/>
      <c r="M599" s="123"/>
      <c r="N599" s="121" t="s">
        <v>4160</v>
      </c>
      <c r="O599" s="121" t="s">
        <v>486</v>
      </c>
      <c r="Q599" s="122">
        <f>3137*2.4</f>
        <v>7528.7999999999993</v>
      </c>
      <c r="R599" s="122"/>
      <c r="S599" s="122">
        <v>7500</v>
      </c>
      <c r="T599" s="122"/>
      <c r="BD599" s="120">
        <f t="shared" ref="BD599:BD622" si="784">BG599</f>
        <v>0</v>
      </c>
      <c r="BE599" s="120">
        <f t="shared" ref="BE599:BE631" si="785">BW599</f>
        <v>0</v>
      </c>
      <c r="BF599" s="137">
        <f t="shared" ref="BF599:BF662" si="786">BE599-BD599</f>
        <v>0</v>
      </c>
      <c r="BG599" s="120"/>
      <c r="BH599" s="120"/>
      <c r="BI599" s="120"/>
      <c r="BJ599" s="120"/>
      <c r="BK599" s="120"/>
      <c r="BL599" s="120"/>
      <c r="BM599" s="120"/>
      <c r="BN599" s="120"/>
      <c r="BO599" s="120"/>
      <c r="BP599" s="120"/>
      <c r="BQ599" s="124"/>
      <c r="BR599" s="120"/>
      <c r="BS599" s="120"/>
      <c r="BT599" s="120"/>
      <c r="BU599" s="120"/>
      <c r="BV599" s="120"/>
      <c r="BW599" s="120"/>
      <c r="BZ599" s="136">
        <f t="shared" si="775"/>
        <v>0</v>
      </c>
      <c r="CA599" s="136">
        <f t="shared" si="776"/>
        <v>0</v>
      </c>
      <c r="CB599" s="136">
        <f t="shared" si="777"/>
        <v>0</v>
      </c>
      <c r="CC599" s="136">
        <f t="shared" si="778"/>
        <v>0</v>
      </c>
      <c r="CD599" s="135">
        <f t="shared" si="779"/>
        <v>0</v>
      </c>
      <c r="CE599" s="135">
        <f t="shared" si="780"/>
        <v>0</v>
      </c>
      <c r="CF599" s="134">
        <f t="shared" si="781"/>
        <v>0</v>
      </c>
      <c r="CG599" s="134">
        <f t="shared" si="782"/>
        <v>0</v>
      </c>
      <c r="CH599" s="133" t="e">
        <f t="shared" si="783"/>
        <v>#DIV/0!</v>
      </c>
      <c r="CI599" s="116"/>
    </row>
    <row r="600" spans="1:87" s="121" customFormat="1">
      <c r="A600" s="125">
        <f t="shared" si="768"/>
        <v>0</v>
      </c>
      <c r="B600" s="138" t="s">
        <v>187</v>
      </c>
      <c r="D600" s="121" t="s">
        <v>197</v>
      </c>
      <c r="G600" s="120"/>
      <c r="H600" s="120"/>
      <c r="M600" s="123"/>
      <c r="N600" s="121" t="s">
        <v>4161</v>
      </c>
      <c r="O600" s="121" t="s">
        <v>4159</v>
      </c>
      <c r="Q600" s="122">
        <f>3102*2.4</f>
        <v>7444.7999999999993</v>
      </c>
      <c r="R600" s="122"/>
      <c r="S600" s="122">
        <v>7500</v>
      </c>
      <c r="T600" s="122"/>
      <c r="BD600" s="120">
        <f t="shared" si="784"/>
        <v>0</v>
      </c>
      <c r="BE600" s="120">
        <f t="shared" si="785"/>
        <v>0</v>
      </c>
      <c r="BF600" s="137">
        <f t="shared" si="786"/>
        <v>0</v>
      </c>
      <c r="BG600" s="120"/>
      <c r="BH600" s="120"/>
      <c r="BI600" s="120"/>
      <c r="BJ600" s="120"/>
      <c r="BK600" s="120"/>
      <c r="BL600" s="120"/>
      <c r="BM600" s="120"/>
      <c r="BN600" s="120"/>
      <c r="BO600" s="120"/>
      <c r="BP600" s="120"/>
      <c r="BQ600" s="124"/>
      <c r="BR600" s="120"/>
      <c r="BS600" s="120"/>
      <c r="BT600" s="120"/>
      <c r="BU600" s="120"/>
      <c r="BV600" s="120"/>
      <c r="BW600" s="120"/>
      <c r="BZ600" s="136">
        <f t="shared" si="775"/>
        <v>0</v>
      </c>
      <c r="CA600" s="136">
        <f t="shared" si="776"/>
        <v>0</v>
      </c>
      <c r="CB600" s="136">
        <f t="shared" si="777"/>
        <v>0</v>
      </c>
      <c r="CC600" s="136">
        <f t="shared" si="778"/>
        <v>0</v>
      </c>
      <c r="CD600" s="135">
        <f t="shared" si="779"/>
        <v>0</v>
      </c>
      <c r="CE600" s="135">
        <f t="shared" si="780"/>
        <v>0</v>
      </c>
      <c r="CF600" s="134">
        <f t="shared" si="781"/>
        <v>0</v>
      </c>
      <c r="CG600" s="134">
        <f t="shared" si="782"/>
        <v>0</v>
      </c>
      <c r="CH600" s="133" t="e">
        <f t="shared" si="783"/>
        <v>#DIV/0!</v>
      </c>
    </row>
    <row r="601" spans="1:87">
      <c r="A601" s="125">
        <f t="shared" si="768"/>
        <v>0</v>
      </c>
      <c r="B601" s="138" t="s">
        <v>187</v>
      </c>
      <c r="C601" s="121"/>
      <c r="D601" s="121" t="s">
        <v>197</v>
      </c>
      <c r="E601" s="121"/>
      <c r="F601" s="121"/>
      <c r="G601" s="120"/>
      <c r="H601" s="120"/>
      <c r="I601" s="121"/>
      <c r="J601" s="121"/>
      <c r="K601" s="121"/>
      <c r="L601" s="121"/>
      <c r="M601" s="123"/>
      <c r="N601" s="121" t="s">
        <v>4161</v>
      </c>
      <c r="O601" s="121" t="s">
        <v>4159</v>
      </c>
      <c r="P601" s="121"/>
      <c r="Q601" s="122">
        <f>3102*2.4</f>
        <v>7444.7999999999993</v>
      </c>
      <c r="R601" s="122"/>
      <c r="S601" s="122">
        <v>7500</v>
      </c>
      <c r="T601" s="122"/>
      <c r="U601" s="121"/>
      <c r="V601" s="121"/>
      <c r="W601" s="121"/>
      <c r="X601" s="121"/>
      <c r="Y601" s="226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  <c r="AL601" s="121"/>
      <c r="AM601" s="121"/>
      <c r="AN601" s="121"/>
      <c r="AO601" s="121"/>
      <c r="AP601" s="121"/>
      <c r="AQ601" s="121"/>
      <c r="AR601" s="121"/>
      <c r="AS601" s="121"/>
      <c r="AT601" s="121"/>
      <c r="AU601" s="121"/>
      <c r="AV601" s="121"/>
      <c r="AW601" s="121"/>
      <c r="AX601" s="121"/>
      <c r="AY601" s="121"/>
      <c r="AZ601" s="121"/>
      <c r="BA601" s="121"/>
      <c r="BB601" s="121"/>
      <c r="BC601" s="121"/>
      <c r="BD601" s="120">
        <f t="shared" si="784"/>
        <v>0</v>
      </c>
      <c r="BE601" s="120">
        <f t="shared" si="785"/>
        <v>0</v>
      </c>
      <c r="BF601" s="137">
        <f t="shared" si="786"/>
        <v>0</v>
      </c>
      <c r="BG601" s="120"/>
      <c r="BH601" s="120"/>
      <c r="BI601" s="120"/>
      <c r="BJ601" s="120"/>
      <c r="BK601" s="120"/>
      <c r="BL601" s="120"/>
      <c r="BM601" s="120"/>
      <c r="BN601" s="120"/>
      <c r="BO601" s="124"/>
      <c r="BP601" s="124"/>
      <c r="BQ601" s="124"/>
      <c r="BR601" s="120"/>
      <c r="BS601" s="120"/>
      <c r="BT601" s="120"/>
      <c r="BU601" s="120"/>
      <c r="BV601" s="120"/>
      <c r="BW601" s="120"/>
      <c r="BX601" s="121"/>
      <c r="BY601" s="121"/>
      <c r="BZ601" s="136">
        <f t="shared" si="775"/>
        <v>0</v>
      </c>
      <c r="CA601" s="136">
        <f t="shared" si="776"/>
        <v>0</v>
      </c>
      <c r="CB601" s="136">
        <f t="shared" si="777"/>
        <v>0</v>
      </c>
      <c r="CC601" s="136">
        <f t="shared" si="778"/>
        <v>0</v>
      </c>
      <c r="CD601" s="135">
        <f t="shared" si="779"/>
        <v>0</v>
      </c>
      <c r="CE601" s="135">
        <f t="shared" si="780"/>
        <v>0</v>
      </c>
      <c r="CF601" s="134">
        <f t="shared" si="781"/>
        <v>0</v>
      </c>
      <c r="CG601" s="134">
        <f t="shared" si="782"/>
        <v>0</v>
      </c>
      <c r="CH601" s="133" t="e">
        <f t="shared" si="783"/>
        <v>#DIV/0!</v>
      </c>
      <c r="CI601" s="121"/>
    </row>
    <row r="602" spans="1:87">
      <c r="A602" s="125">
        <f t="shared" si="768"/>
        <v>0</v>
      </c>
      <c r="B602" s="138" t="s">
        <v>187</v>
      </c>
      <c r="C602" s="121"/>
      <c r="D602" s="121" t="s">
        <v>215</v>
      </c>
      <c r="E602" s="121"/>
      <c r="F602" s="121"/>
      <c r="G602" s="120"/>
      <c r="H602" s="120"/>
      <c r="I602" s="121"/>
      <c r="J602" s="121"/>
      <c r="K602" s="121"/>
      <c r="L602" s="121"/>
      <c r="M602" s="123"/>
      <c r="N602" s="121" t="s">
        <v>422</v>
      </c>
      <c r="O602" s="121" t="s">
        <v>400</v>
      </c>
      <c r="P602" s="121"/>
      <c r="Q602" s="122">
        <f>3097*2.4</f>
        <v>7432.7999999999993</v>
      </c>
      <c r="R602" s="122"/>
      <c r="S602" s="122">
        <v>7500</v>
      </c>
      <c r="T602" s="122"/>
      <c r="U602" s="226"/>
      <c r="V602" s="226"/>
      <c r="W602" s="226"/>
      <c r="X602" s="226"/>
      <c r="Y602" s="226"/>
      <c r="Z602" s="121"/>
      <c r="AA602" s="121"/>
      <c r="AB602" s="226"/>
      <c r="AC602" s="121"/>
      <c r="AD602" s="121"/>
      <c r="AE602" s="121"/>
      <c r="AF602" s="121"/>
      <c r="AG602" s="121"/>
      <c r="AH602" s="121"/>
      <c r="AI602" s="121"/>
      <c r="AJ602" s="121"/>
      <c r="AK602" s="121"/>
      <c r="AL602" s="121"/>
      <c r="AM602" s="121"/>
      <c r="AN602" s="121"/>
      <c r="AO602" s="121"/>
      <c r="AP602" s="121"/>
      <c r="AQ602" s="121"/>
      <c r="AR602" s="121"/>
      <c r="AS602" s="121"/>
      <c r="AT602" s="121"/>
      <c r="AU602" s="121"/>
      <c r="AV602" s="121"/>
      <c r="AW602" s="121"/>
      <c r="AX602" s="121"/>
      <c r="AY602" s="121"/>
      <c r="AZ602" s="121"/>
      <c r="BA602" s="121"/>
      <c r="BB602" s="121"/>
      <c r="BC602" s="121"/>
      <c r="BD602" s="120">
        <f t="shared" si="784"/>
        <v>0</v>
      </c>
      <c r="BE602" s="120">
        <f t="shared" si="785"/>
        <v>0</v>
      </c>
      <c r="BF602" s="137">
        <f t="shared" si="786"/>
        <v>0</v>
      </c>
      <c r="BG602" s="120"/>
      <c r="BH602" s="120"/>
      <c r="BI602" s="120"/>
      <c r="BJ602" s="120"/>
      <c r="BK602" s="120"/>
      <c r="BL602" s="120"/>
      <c r="BM602" s="120"/>
      <c r="BN602" s="120"/>
      <c r="BO602" s="120"/>
      <c r="BP602" s="120"/>
      <c r="BQ602" s="124"/>
      <c r="BR602" s="120"/>
      <c r="BS602" s="120"/>
      <c r="BT602" s="120"/>
      <c r="BU602" s="120"/>
      <c r="BV602" s="120"/>
      <c r="BW602" s="120"/>
      <c r="BX602" s="121"/>
      <c r="BY602" s="121"/>
      <c r="BZ602" s="136">
        <f t="shared" si="775"/>
        <v>0</v>
      </c>
      <c r="CA602" s="136">
        <f t="shared" si="776"/>
        <v>0</v>
      </c>
      <c r="CB602" s="136">
        <f t="shared" si="777"/>
        <v>0</v>
      </c>
      <c r="CC602" s="136">
        <f t="shared" si="778"/>
        <v>0</v>
      </c>
      <c r="CD602" s="135">
        <f t="shared" si="779"/>
        <v>0</v>
      </c>
      <c r="CE602" s="135">
        <f t="shared" si="780"/>
        <v>0</v>
      </c>
      <c r="CF602" s="134">
        <f t="shared" si="781"/>
        <v>0</v>
      </c>
      <c r="CG602" s="134">
        <f t="shared" si="782"/>
        <v>0</v>
      </c>
      <c r="CH602" s="133" t="e">
        <f t="shared" si="783"/>
        <v>#DIV/0!</v>
      </c>
      <c r="CI602" s="121"/>
    </row>
    <row r="603" spans="1:87">
      <c r="A603" s="125">
        <f t="shared" si="768"/>
        <v>0</v>
      </c>
      <c r="B603" s="138" t="s">
        <v>187</v>
      </c>
      <c r="C603" s="121"/>
      <c r="D603" s="121" t="s">
        <v>215</v>
      </c>
      <c r="E603" s="121"/>
      <c r="G603" s="120"/>
      <c r="H603" s="120"/>
      <c r="I603" s="121"/>
      <c r="J603" s="121"/>
      <c r="K603" s="121"/>
      <c r="L603" s="121"/>
      <c r="M603" s="123"/>
      <c r="N603" s="121" t="s">
        <v>4162</v>
      </c>
      <c r="O603" s="121" t="s">
        <v>4163</v>
      </c>
      <c r="P603" s="121"/>
      <c r="Q603" s="122">
        <f>3138*2.4</f>
        <v>7531.2</v>
      </c>
      <c r="R603" s="122"/>
      <c r="S603" s="122">
        <v>7500</v>
      </c>
      <c r="T603" s="122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  <c r="AL603" s="121"/>
      <c r="AM603" s="121"/>
      <c r="AN603" s="121"/>
      <c r="AO603" s="121"/>
      <c r="AP603" s="121"/>
      <c r="AQ603" s="121"/>
      <c r="AR603" s="121"/>
      <c r="AS603" s="121"/>
      <c r="AT603" s="121"/>
      <c r="AU603" s="121"/>
      <c r="AV603" s="121"/>
      <c r="AW603" s="121"/>
      <c r="AX603" s="121"/>
      <c r="AY603" s="121"/>
      <c r="AZ603" s="121"/>
      <c r="BA603" s="121"/>
      <c r="BB603" s="121"/>
      <c r="BC603" s="121"/>
      <c r="BD603" s="120">
        <f t="shared" si="784"/>
        <v>0</v>
      </c>
      <c r="BE603" s="120">
        <f t="shared" si="785"/>
        <v>0</v>
      </c>
      <c r="BF603" s="137">
        <f t="shared" si="786"/>
        <v>0</v>
      </c>
      <c r="BG603" s="120"/>
      <c r="BH603" s="120"/>
      <c r="BI603" s="120"/>
      <c r="BJ603" s="120"/>
      <c r="BK603" s="120"/>
      <c r="BL603" s="120"/>
      <c r="BM603" s="120"/>
      <c r="BN603" s="120"/>
      <c r="BO603" s="120"/>
      <c r="BP603" s="120"/>
      <c r="BQ603" s="124"/>
      <c r="BR603" s="120"/>
      <c r="BS603" s="120"/>
      <c r="BT603" s="120"/>
      <c r="BU603" s="120"/>
      <c r="BV603" s="120"/>
      <c r="BW603" s="120"/>
      <c r="BX603" s="121"/>
      <c r="BY603" s="121"/>
      <c r="BZ603" s="136">
        <f t="shared" si="775"/>
        <v>0</v>
      </c>
      <c r="CA603" s="136">
        <f t="shared" si="776"/>
        <v>0</v>
      </c>
      <c r="CB603" s="136">
        <f t="shared" si="777"/>
        <v>0</v>
      </c>
      <c r="CC603" s="136">
        <f t="shared" si="778"/>
        <v>0</v>
      </c>
      <c r="CD603" s="135">
        <f t="shared" si="779"/>
        <v>0</v>
      </c>
      <c r="CE603" s="135">
        <f t="shared" si="780"/>
        <v>0</v>
      </c>
      <c r="CF603" s="134">
        <f t="shared" si="781"/>
        <v>0</v>
      </c>
      <c r="CG603" s="134">
        <f t="shared" si="782"/>
        <v>0</v>
      </c>
      <c r="CH603" s="133" t="e">
        <f t="shared" si="783"/>
        <v>#DIV/0!</v>
      </c>
      <c r="CI603" s="128"/>
    </row>
    <row r="604" spans="1:87">
      <c r="A604" s="125">
        <f t="shared" si="768"/>
        <v>0</v>
      </c>
      <c r="B604" s="138" t="s">
        <v>187</v>
      </c>
      <c r="C604" s="121"/>
      <c r="D604" s="121" t="s">
        <v>215</v>
      </c>
      <c r="E604" s="121"/>
      <c r="F604" s="121"/>
      <c r="G604" s="120"/>
      <c r="H604" s="120"/>
      <c r="I604" s="121"/>
      <c r="J604" s="121"/>
      <c r="K604" s="121"/>
      <c r="L604" s="121"/>
      <c r="M604" s="123"/>
      <c r="N604" s="121" t="s">
        <v>4162</v>
      </c>
      <c r="O604" s="121" t="s">
        <v>4163</v>
      </c>
      <c r="P604" s="121"/>
      <c r="Q604" s="122">
        <f>3138*2.4</f>
        <v>7531.2</v>
      </c>
      <c r="R604" s="122"/>
      <c r="S604" s="122">
        <v>7500</v>
      </c>
      <c r="T604" s="122"/>
      <c r="U604" s="121"/>
      <c r="V604" s="121"/>
      <c r="W604" s="121"/>
      <c r="X604" s="122"/>
      <c r="Y604" s="122"/>
      <c r="Z604" s="121"/>
      <c r="AA604" s="121"/>
      <c r="AB604" s="121"/>
      <c r="AC604" s="121"/>
      <c r="AD604" s="121"/>
      <c r="AE604" s="121"/>
      <c r="AF604" s="121"/>
      <c r="AG604" s="121"/>
      <c r="AH604" s="139"/>
      <c r="AI604" s="121"/>
      <c r="AJ604" s="121"/>
      <c r="AK604" s="121"/>
      <c r="AL604" s="121"/>
      <c r="AM604" s="121"/>
      <c r="AN604" s="121"/>
      <c r="AO604" s="121"/>
      <c r="AP604" s="121"/>
      <c r="AQ604" s="121"/>
      <c r="AR604" s="121"/>
      <c r="AS604" s="121"/>
      <c r="AT604" s="121"/>
      <c r="AU604" s="121"/>
      <c r="AV604" s="121"/>
      <c r="AW604" s="121"/>
      <c r="AX604" s="121"/>
      <c r="AY604" s="121"/>
      <c r="AZ604" s="121"/>
      <c r="BA604" s="121"/>
      <c r="BB604" s="121"/>
      <c r="BC604" s="121"/>
      <c r="BD604" s="120">
        <f t="shared" si="784"/>
        <v>0</v>
      </c>
      <c r="BE604" s="120">
        <f t="shared" si="785"/>
        <v>0</v>
      </c>
      <c r="BF604" s="137">
        <f t="shared" si="786"/>
        <v>0</v>
      </c>
      <c r="BG604" s="120"/>
      <c r="BH604" s="120"/>
      <c r="BI604" s="120"/>
      <c r="BJ604" s="120"/>
      <c r="BK604" s="120"/>
      <c r="BL604" s="120"/>
      <c r="BM604" s="120"/>
      <c r="BN604" s="120"/>
      <c r="BO604" s="124"/>
      <c r="BP604" s="124"/>
      <c r="BQ604" s="124"/>
      <c r="BR604" s="120"/>
      <c r="BS604" s="120"/>
      <c r="BT604" s="120"/>
      <c r="BU604" s="120"/>
      <c r="BV604" s="120"/>
      <c r="BW604" s="120"/>
      <c r="BX604" s="121"/>
      <c r="BY604" s="121"/>
      <c r="BZ604" s="136">
        <f t="shared" si="775"/>
        <v>0</v>
      </c>
      <c r="CA604" s="136">
        <f t="shared" si="776"/>
        <v>0</v>
      </c>
      <c r="CB604" s="136">
        <f t="shared" si="777"/>
        <v>0</v>
      </c>
      <c r="CC604" s="136">
        <f t="shared" si="778"/>
        <v>0</v>
      </c>
      <c r="CD604" s="135">
        <f t="shared" si="779"/>
        <v>0</v>
      </c>
      <c r="CE604" s="135">
        <f t="shared" si="780"/>
        <v>0</v>
      </c>
      <c r="CF604" s="134">
        <f t="shared" si="781"/>
        <v>0</v>
      </c>
      <c r="CG604" s="134">
        <f t="shared" si="782"/>
        <v>0</v>
      </c>
      <c r="CH604" s="133" t="e">
        <f t="shared" si="783"/>
        <v>#DIV/0!</v>
      </c>
    </row>
    <row r="605" spans="1:87">
      <c r="A605" s="125">
        <f t="shared" si="768"/>
        <v>0</v>
      </c>
      <c r="B605" s="138" t="s">
        <v>187</v>
      </c>
      <c r="C605" s="121"/>
      <c r="D605" s="121" t="s">
        <v>215</v>
      </c>
      <c r="E605" s="121"/>
      <c r="F605" s="121"/>
      <c r="G605" s="120"/>
      <c r="H605" s="120"/>
      <c r="I605" s="121"/>
      <c r="J605" s="121"/>
      <c r="K605" s="121"/>
      <c r="L605" s="121"/>
      <c r="M605" s="123"/>
      <c r="N605" s="121" t="s">
        <v>374</v>
      </c>
      <c r="O605" s="121" t="s">
        <v>4164</v>
      </c>
      <c r="P605" s="121"/>
      <c r="Q605" s="122">
        <f>3156*2.4</f>
        <v>7574.4</v>
      </c>
      <c r="R605" s="122"/>
      <c r="S605" s="122">
        <v>7500</v>
      </c>
      <c r="T605" s="122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  <c r="AL605" s="121"/>
      <c r="AM605" s="121"/>
      <c r="AN605" s="121"/>
      <c r="AO605" s="121"/>
      <c r="AP605" s="121"/>
      <c r="AQ605" s="121"/>
      <c r="AR605" s="121"/>
      <c r="AS605" s="121"/>
      <c r="AT605" s="121"/>
      <c r="AU605" s="121"/>
      <c r="AV605" s="121"/>
      <c r="AW605" s="121"/>
      <c r="AX605" s="121"/>
      <c r="AY605" s="121"/>
      <c r="AZ605" s="121"/>
      <c r="BA605" s="121"/>
      <c r="BB605" s="121"/>
      <c r="BC605" s="121"/>
      <c r="BD605" s="120">
        <f t="shared" si="784"/>
        <v>0</v>
      </c>
      <c r="BE605" s="120">
        <f t="shared" si="785"/>
        <v>0</v>
      </c>
      <c r="BF605" s="137">
        <f t="shared" si="786"/>
        <v>0</v>
      </c>
      <c r="BG605" s="120"/>
      <c r="BH605" s="120"/>
      <c r="BI605" s="120"/>
      <c r="BJ605" s="120"/>
      <c r="BK605" s="120"/>
      <c r="BL605" s="120"/>
      <c r="BM605" s="120"/>
      <c r="BN605" s="120"/>
      <c r="BO605" s="120"/>
      <c r="BP605" s="120"/>
      <c r="BQ605" s="124"/>
      <c r="BR605" s="120"/>
      <c r="BS605" s="120"/>
      <c r="BT605" s="120"/>
      <c r="BU605" s="120"/>
      <c r="BV605" s="120"/>
      <c r="BW605" s="120"/>
      <c r="BX605" s="121"/>
      <c r="BY605" s="121"/>
      <c r="BZ605" s="136">
        <f t="shared" si="775"/>
        <v>0</v>
      </c>
      <c r="CA605" s="136">
        <f t="shared" si="776"/>
        <v>0</v>
      </c>
      <c r="CB605" s="136">
        <f t="shared" si="777"/>
        <v>0</v>
      </c>
      <c r="CC605" s="136">
        <f t="shared" si="778"/>
        <v>0</v>
      </c>
      <c r="CD605" s="135">
        <f t="shared" si="779"/>
        <v>0</v>
      </c>
      <c r="CE605" s="135">
        <f t="shared" si="780"/>
        <v>0</v>
      </c>
      <c r="CF605" s="134">
        <f t="shared" si="781"/>
        <v>0</v>
      </c>
      <c r="CG605" s="134">
        <f t="shared" si="782"/>
        <v>0</v>
      </c>
      <c r="CH605" s="133" t="e">
        <f t="shared" si="783"/>
        <v>#DIV/0!</v>
      </c>
      <c r="CI605" s="121"/>
    </row>
    <row r="606" spans="1:87">
      <c r="A606" s="125">
        <f t="shared" si="768"/>
        <v>0</v>
      </c>
      <c r="B606" s="138" t="s">
        <v>187</v>
      </c>
      <c r="C606" s="121"/>
      <c r="D606" s="121" t="s">
        <v>215</v>
      </c>
      <c r="E606" s="121"/>
      <c r="G606" s="120"/>
      <c r="H606" s="120"/>
      <c r="I606" s="121"/>
      <c r="J606" s="121"/>
      <c r="K606" s="121"/>
      <c r="L606" s="121"/>
      <c r="M606" s="123"/>
      <c r="N606" s="121" t="s">
        <v>390</v>
      </c>
      <c r="O606" s="121" t="s">
        <v>391</v>
      </c>
      <c r="P606" s="121"/>
      <c r="Q606" s="122">
        <f>3097*2.4</f>
        <v>7432.7999999999993</v>
      </c>
      <c r="R606" s="122"/>
      <c r="S606" s="122">
        <v>7500</v>
      </c>
      <c r="T606" s="122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  <c r="AL606" s="121"/>
      <c r="AM606" s="121"/>
      <c r="AN606" s="121"/>
      <c r="AO606" s="121"/>
      <c r="AP606" s="121"/>
      <c r="AQ606" s="121"/>
      <c r="AR606" s="121"/>
      <c r="AS606" s="121"/>
      <c r="AT606" s="121"/>
      <c r="AU606" s="121"/>
      <c r="AV606" s="121"/>
      <c r="AW606" s="121"/>
      <c r="AX606" s="121"/>
      <c r="AY606" s="121"/>
      <c r="AZ606" s="121"/>
      <c r="BA606" s="121"/>
      <c r="BB606" s="121"/>
      <c r="BC606" s="121"/>
      <c r="BD606" s="120">
        <f t="shared" si="784"/>
        <v>0</v>
      </c>
      <c r="BE606" s="120">
        <f t="shared" si="785"/>
        <v>0</v>
      </c>
      <c r="BF606" s="137">
        <f t="shared" si="786"/>
        <v>0</v>
      </c>
      <c r="BG606" s="120"/>
      <c r="BH606" s="120"/>
      <c r="BI606" s="120"/>
      <c r="BJ606" s="120"/>
      <c r="BK606" s="120"/>
      <c r="BL606" s="120"/>
      <c r="BM606" s="120"/>
      <c r="BN606" s="120"/>
      <c r="BO606" s="124"/>
      <c r="BP606" s="124"/>
      <c r="BQ606" s="124"/>
      <c r="BR606" s="120"/>
      <c r="BS606" s="120"/>
      <c r="BT606" s="120"/>
      <c r="BU606" s="120"/>
      <c r="BV606" s="120"/>
      <c r="BW606" s="120"/>
      <c r="BX606" s="121"/>
      <c r="BY606" s="121"/>
      <c r="BZ606" s="136">
        <f t="shared" si="775"/>
        <v>0</v>
      </c>
      <c r="CA606" s="136">
        <f t="shared" si="776"/>
        <v>0</v>
      </c>
      <c r="CB606" s="136">
        <f t="shared" si="777"/>
        <v>0</v>
      </c>
      <c r="CC606" s="136">
        <f t="shared" si="778"/>
        <v>0</v>
      </c>
      <c r="CD606" s="135">
        <f t="shared" si="779"/>
        <v>0</v>
      </c>
      <c r="CE606" s="135">
        <f t="shared" si="780"/>
        <v>0</v>
      </c>
      <c r="CF606" s="134">
        <f t="shared" si="781"/>
        <v>0</v>
      </c>
      <c r="CG606" s="134">
        <f t="shared" si="782"/>
        <v>0</v>
      </c>
      <c r="CH606" s="133" t="e">
        <f t="shared" si="783"/>
        <v>#DIV/0!</v>
      </c>
      <c r="CI606" s="128"/>
    </row>
    <row r="607" spans="1:87">
      <c r="A607" s="125">
        <f t="shared" si="768"/>
        <v>0</v>
      </c>
      <c r="B607" s="138" t="s">
        <v>187</v>
      </c>
      <c r="C607" s="121"/>
      <c r="D607" s="121" t="s">
        <v>215</v>
      </c>
      <c r="E607" s="121"/>
      <c r="F607" s="121"/>
      <c r="G607" s="120"/>
      <c r="H607" s="120"/>
      <c r="I607" s="121"/>
      <c r="J607" s="121"/>
      <c r="K607" s="121"/>
      <c r="L607" s="121"/>
      <c r="M607" s="123"/>
      <c r="N607" s="121" t="s">
        <v>390</v>
      </c>
      <c r="O607" s="121" t="s">
        <v>1093</v>
      </c>
      <c r="P607" s="121"/>
      <c r="Q607" s="122">
        <f>3136*2.4</f>
        <v>7526.4</v>
      </c>
      <c r="R607" s="122"/>
      <c r="S607" s="122">
        <v>7500</v>
      </c>
      <c r="T607" s="122"/>
      <c r="U607" s="226"/>
      <c r="V607" s="226"/>
      <c r="W607" s="226"/>
      <c r="X607" s="226"/>
      <c r="Y607" s="226"/>
      <c r="Z607" s="226"/>
      <c r="AA607" s="226"/>
      <c r="AB607" s="226"/>
      <c r="AC607" s="226"/>
      <c r="AD607" s="226"/>
      <c r="AE607" s="226"/>
      <c r="AF607" s="226"/>
      <c r="AG607" s="226"/>
      <c r="AH607" s="226"/>
      <c r="AI607" s="226"/>
      <c r="AJ607" s="226"/>
      <c r="AK607" s="226"/>
      <c r="AL607" s="226"/>
      <c r="AM607" s="226"/>
      <c r="AN607" s="226"/>
      <c r="AO607" s="226"/>
      <c r="AP607" s="226"/>
      <c r="AQ607" s="226"/>
      <c r="AR607" s="226"/>
      <c r="AS607" s="226"/>
      <c r="AT607" s="226"/>
      <c r="AU607" s="226"/>
      <c r="AV607" s="226"/>
      <c r="AW607" s="226"/>
      <c r="AX607" s="226"/>
      <c r="AY607" s="226"/>
      <c r="AZ607" s="226"/>
      <c r="BA607" s="226"/>
      <c r="BB607" s="226"/>
      <c r="BC607" s="226"/>
      <c r="BD607" s="120">
        <f t="shared" si="784"/>
        <v>0</v>
      </c>
      <c r="BE607" s="120">
        <f t="shared" si="785"/>
        <v>0</v>
      </c>
      <c r="BF607" s="137">
        <f t="shared" si="786"/>
        <v>0</v>
      </c>
      <c r="BG607" s="120"/>
      <c r="BH607" s="120"/>
      <c r="BI607" s="120"/>
      <c r="BJ607" s="120"/>
      <c r="BK607" s="120"/>
      <c r="BL607" s="120"/>
      <c r="BM607" s="120"/>
      <c r="BN607" s="120"/>
      <c r="BO607" s="120"/>
      <c r="BP607" s="120"/>
      <c r="BQ607" s="124"/>
      <c r="BR607" s="120"/>
      <c r="BS607" s="120"/>
      <c r="BT607" s="120"/>
      <c r="BU607" s="120"/>
      <c r="BV607" s="120"/>
      <c r="BW607" s="120"/>
      <c r="BX607" s="121"/>
      <c r="BY607" s="121"/>
      <c r="BZ607" s="136">
        <f t="shared" si="775"/>
        <v>0</v>
      </c>
      <c r="CA607" s="136">
        <f t="shared" si="776"/>
        <v>0</v>
      </c>
      <c r="CB607" s="136">
        <f t="shared" si="777"/>
        <v>0</v>
      </c>
      <c r="CC607" s="136">
        <f t="shared" si="778"/>
        <v>0</v>
      </c>
      <c r="CD607" s="135">
        <f t="shared" si="779"/>
        <v>0</v>
      </c>
      <c r="CE607" s="135">
        <f t="shared" si="780"/>
        <v>0</v>
      </c>
      <c r="CF607" s="134">
        <f t="shared" si="781"/>
        <v>0</v>
      </c>
      <c r="CG607" s="134">
        <f t="shared" si="782"/>
        <v>0</v>
      </c>
      <c r="CH607" s="133" t="e">
        <f t="shared" si="783"/>
        <v>#DIV/0!</v>
      </c>
      <c r="CI607" s="128"/>
    </row>
    <row r="608" spans="1:87">
      <c r="A608" s="125">
        <f t="shared" si="768"/>
        <v>0</v>
      </c>
      <c r="B608" s="138" t="s">
        <v>187</v>
      </c>
      <c r="C608" s="121"/>
      <c r="D608" s="121" t="s">
        <v>197</v>
      </c>
      <c r="E608" s="121"/>
      <c r="F608" s="121"/>
      <c r="G608" s="120"/>
      <c r="H608" s="120"/>
      <c r="I608" s="121"/>
      <c r="J608" s="121"/>
      <c r="K608" s="121"/>
      <c r="L608" s="121"/>
      <c r="M608" s="123"/>
      <c r="N608" s="121" t="s">
        <v>505</v>
      </c>
      <c r="O608" s="121" t="s">
        <v>4165</v>
      </c>
      <c r="P608" s="121"/>
      <c r="Q608" s="122">
        <f>3136*2.4</f>
        <v>7526.4</v>
      </c>
      <c r="R608" s="122"/>
      <c r="S608" s="122">
        <v>7500</v>
      </c>
      <c r="T608" s="122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  <c r="AP608" s="121"/>
      <c r="AQ608" s="121"/>
      <c r="AR608" s="121"/>
      <c r="AS608" s="121"/>
      <c r="AT608" s="121"/>
      <c r="AU608" s="121"/>
      <c r="AV608" s="121"/>
      <c r="AW608" s="121"/>
      <c r="AX608" s="121"/>
      <c r="AY608" s="121"/>
      <c r="AZ608" s="121"/>
      <c r="BA608" s="121"/>
      <c r="BB608" s="121"/>
      <c r="BC608" s="121"/>
      <c r="BD608" s="120">
        <f t="shared" si="784"/>
        <v>0</v>
      </c>
      <c r="BE608" s="120">
        <f t="shared" si="785"/>
        <v>0</v>
      </c>
      <c r="BF608" s="137">
        <f t="shared" si="786"/>
        <v>0</v>
      </c>
      <c r="BG608" s="120"/>
      <c r="BH608" s="120"/>
      <c r="BI608" s="120"/>
      <c r="BJ608" s="120"/>
      <c r="BK608" s="120"/>
      <c r="BL608" s="120"/>
      <c r="BM608" s="120"/>
      <c r="BN608" s="120"/>
      <c r="BO608" s="120"/>
      <c r="BP608" s="120"/>
      <c r="BQ608" s="124"/>
      <c r="BR608" s="120"/>
      <c r="BS608" s="120"/>
      <c r="BT608" s="120"/>
      <c r="BU608" s="120"/>
      <c r="BV608" s="120"/>
      <c r="BW608" s="120"/>
      <c r="BX608" s="121"/>
      <c r="BY608" s="121"/>
      <c r="BZ608" s="136">
        <f t="shared" si="775"/>
        <v>0</v>
      </c>
      <c r="CA608" s="136">
        <f t="shared" si="776"/>
        <v>0</v>
      </c>
      <c r="CB608" s="136">
        <f t="shared" si="777"/>
        <v>0</v>
      </c>
      <c r="CC608" s="136">
        <f t="shared" si="778"/>
        <v>0</v>
      </c>
      <c r="CD608" s="135">
        <f t="shared" si="779"/>
        <v>0</v>
      </c>
      <c r="CE608" s="135">
        <f t="shared" si="780"/>
        <v>0</v>
      </c>
      <c r="CF608" s="134">
        <f t="shared" si="781"/>
        <v>0</v>
      </c>
      <c r="CG608" s="134">
        <f t="shared" si="782"/>
        <v>0</v>
      </c>
      <c r="CH608" s="133" t="e">
        <f t="shared" si="783"/>
        <v>#DIV/0!</v>
      </c>
      <c r="CI608" s="128"/>
    </row>
    <row r="609" spans="1:87">
      <c r="A609" s="125">
        <f t="shared" si="768"/>
        <v>0</v>
      </c>
      <c r="B609" s="138" t="s">
        <v>187</v>
      </c>
      <c r="C609" s="121"/>
      <c r="D609" s="121" t="s">
        <v>197</v>
      </c>
      <c r="E609" s="121"/>
      <c r="G609" s="120"/>
      <c r="H609" s="120"/>
      <c r="I609" s="121"/>
      <c r="J609" s="121"/>
      <c r="K609" s="121"/>
      <c r="L609" s="121"/>
      <c r="M609" s="123"/>
      <c r="N609" s="121" t="s">
        <v>505</v>
      </c>
      <c r="O609" s="121" t="s">
        <v>4165</v>
      </c>
      <c r="P609" s="121"/>
      <c r="Q609" s="122">
        <f>3136*2.4</f>
        <v>7526.4</v>
      </c>
      <c r="R609" s="122"/>
      <c r="S609" s="122">
        <v>7500</v>
      </c>
      <c r="T609" s="122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  <c r="AL609" s="121"/>
      <c r="AM609" s="121"/>
      <c r="AN609" s="121"/>
      <c r="AO609" s="121"/>
      <c r="AP609" s="121"/>
      <c r="AQ609" s="121"/>
      <c r="AR609" s="121"/>
      <c r="AS609" s="121"/>
      <c r="AT609" s="121"/>
      <c r="AU609" s="121"/>
      <c r="AV609" s="121"/>
      <c r="AW609" s="121"/>
      <c r="AX609" s="121"/>
      <c r="AY609" s="121"/>
      <c r="AZ609" s="121"/>
      <c r="BA609" s="121"/>
      <c r="BB609" s="121"/>
      <c r="BC609" s="121"/>
      <c r="BD609" s="120">
        <f t="shared" si="784"/>
        <v>0</v>
      </c>
      <c r="BE609" s="120">
        <f t="shared" si="785"/>
        <v>0</v>
      </c>
      <c r="BF609" s="137">
        <f t="shared" si="786"/>
        <v>0</v>
      </c>
      <c r="BG609" s="120"/>
      <c r="BH609" s="120"/>
      <c r="BI609" s="120"/>
      <c r="BJ609" s="120"/>
      <c r="BK609" s="120"/>
      <c r="BL609" s="120"/>
      <c r="BM609" s="120"/>
      <c r="BN609" s="120"/>
      <c r="BO609" s="124"/>
      <c r="BP609" s="124"/>
      <c r="BQ609" s="124"/>
      <c r="BR609" s="120"/>
      <c r="BS609" s="120"/>
      <c r="BT609" s="120"/>
      <c r="BU609" s="120"/>
      <c r="BV609" s="120"/>
      <c r="BW609" s="120"/>
      <c r="BX609" s="121"/>
      <c r="BY609" s="121"/>
      <c r="BZ609" s="136">
        <f t="shared" si="775"/>
        <v>0</v>
      </c>
      <c r="CA609" s="136">
        <f t="shared" si="776"/>
        <v>0</v>
      </c>
      <c r="CB609" s="136">
        <f t="shared" si="777"/>
        <v>0</v>
      </c>
      <c r="CC609" s="136">
        <f t="shared" si="778"/>
        <v>0</v>
      </c>
      <c r="CD609" s="135">
        <f t="shared" si="779"/>
        <v>0</v>
      </c>
      <c r="CE609" s="135">
        <f t="shared" si="780"/>
        <v>0</v>
      </c>
      <c r="CF609" s="134">
        <f t="shared" si="781"/>
        <v>0</v>
      </c>
      <c r="CG609" s="134">
        <f t="shared" si="782"/>
        <v>0</v>
      </c>
      <c r="CH609" s="133" t="e">
        <f t="shared" si="783"/>
        <v>#DIV/0!</v>
      </c>
      <c r="CI609" s="121"/>
    </row>
    <row r="610" spans="1:87" s="121" customFormat="1">
      <c r="A610" s="125">
        <f t="shared" si="768"/>
        <v>0</v>
      </c>
      <c r="B610" s="138" t="s">
        <v>187</v>
      </c>
      <c r="D610" s="121" t="s">
        <v>197</v>
      </c>
      <c r="F610" s="115"/>
      <c r="G610" s="120"/>
      <c r="H610" s="120"/>
      <c r="M610" s="123"/>
      <c r="N610" s="121" t="s">
        <v>327</v>
      </c>
      <c r="O610" s="121" t="s">
        <v>368</v>
      </c>
      <c r="Q610" s="122">
        <f>4337*2.4</f>
        <v>10408.799999999999</v>
      </c>
      <c r="R610" s="122"/>
      <c r="S610" s="122">
        <v>10500</v>
      </c>
      <c r="T610" s="122"/>
      <c r="Z610" s="226"/>
      <c r="AA610" s="226"/>
      <c r="AG610" s="226"/>
      <c r="AH610" s="226"/>
      <c r="AI610" s="226"/>
      <c r="AJ610" s="226"/>
      <c r="AK610" s="226"/>
      <c r="AL610" s="226"/>
      <c r="AM610" s="226"/>
      <c r="AN610" s="226"/>
      <c r="AO610" s="226"/>
      <c r="AP610" s="226"/>
      <c r="AQ610" s="226"/>
      <c r="AR610" s="226"/>
      <c r="AS610" s="226"/>
      <c r="AT610" s="226"/>
      <c r="AU610" s="226"/>
      <c r="AV610" s="226"/>
      <c r="AW610" s="226"/>
      <c r="AX610" s="226"/>
      <c r="AY610" s="226"/>
      <c r="AZ610" s="226"/>
      <c r="BA610" s="226"/>
      <c r="BB610" s="226"/>
      <c r="BC610" s="226"/>
      <c r="BD610" s="120">
        <f t="shared" si="784"/>
        <v>0</v>
      </c>
      <c r="BE610" s="120">
        <f t="shared" si="785"/>
        <v>0</v>
      </c>
      <c r="BF610" s="137">
        <f t="shared" si="786"/>
        <v>0</v>
      </c>
      <c r="BG610" s="120"/>
      <c r="BH610" s="120"/>
      <c r="BI610" s="120"/>
      <c r="BJ610" s="120"/>
      <c r="BK610" s="120"/>
      <c r="BL610" s="120"/>
      <c r="BM610" s="120"/>
      <c r="BN610" s="120"/>
      <c r="BO610" s="140"/>
      <c r="BP610" s="140"/>
      <c r="BQ610" s="124"/>
      <c r="BR610" s="120"/>
      <c r="BS610" s="120"/>
      <c r="BT610" s="120"/>
      <c r="BU610" s="120"/>
      <c r="BV610" s="120"/>
      <c r="BW610" s="120"/>
      <c r="BZ610" s="136">
        <f t="shared" si="775"/>
        <v>0</v>
      </c>
      <c r="CA610" s="136">
        <f t="shared" si="776"/>
        <v>0</v>
      </c>
      <c r="CB610" s="136">
        <f t="shared" si="777"/>
        <v>0</v>
      </c>
      <c r="CC610" s="136">
        <f t="shared" si="778"/>
        <v>0</v>
      </c>
      <c r="CD610" s="135">
        <f t="shared" si="779"/>
        <v>0</v>
      </c>
      <c r="CE610" s="135">
        <f t="shared" si="780"/>
        <v>0</v>
      </c>
      <c r="CF610" s="134">
        <f t="shared" si="781"/>
        <v>0</v>
      </c>
      <c r="CG610" s="134">
        <f t="shared" si="782"/>
        <v>0</v>
      </c>
      <c r="CH610" s="133" t="e">
        <f t="shared" si="783"/>
        <v>#DIV/0!</v>
      </c>
      <c r="CI610" s="128"/>
    </row>
    <row r="611" spans="1:87" s="121" customFormat="1">
      <c r="A611" s="125">
        <f t="shared" si="768"/>
        <v>0</v>
      </c>
      <c r="B611" s="138" t="s">
        <v>187</v>
      </c>
      <c r="D611" s="121" t="s">
        <v>197</v>
      </c>
      <c r="F611" s="115"/>
      <c r="G611" s="120"/>
      <c r="H611" s="120"/>
      <c r="M611" s="123"/>
      <c r="N611" s="121" t="s">
        <v>327</v>
      </c>
      <c r="O611" s="121" t="s">
        <v>239</v>
      </c>
      <c r="Q611" s="122">
        <f>3100*2.4</f>
        <v>7440</v>
      </c>
      <c r="R611" s="122"/>
      <c r="S611" s="122">
        <v>7500</v>
      </c>
      <c r="T611" s="122"/>
      <c r="BD611" s="120">
        <f t="shared" si="784"/>
        <v>0</v>
      </c>
      <c r="BE611" s="120">
        <f t="shared" si="785"/>
        <v>0</v>
      </c>
      <c r="BF611" s="137">
        <f t="shared" si="786"/>
        <v>0</v>
      </c>
      <c r="BG611" s="120"/>
      <c r="BH611" s="120"/>
      <c r="BI611" s="120"/>
      <c r="BJ611" s="120"/>
      <c r="BK611" s="120"/>
      <c r="BL611" s="120"/>
      <c r="BM611" s="120"/>
      <c r="BN611" s="120"/>
      <c r="BO611" s="140"/>
      <c r="BP611" s="140"/>
      <c r="BQ611" s="124"/>
      <c r="BR611" s="120"/>
      <c r="BS611" s="120"/>
      <c r="BT611" s="120"/>
      <c r="BU611" s="120"/>
      <c r="BV611" s="120"/>
      <c r="BW611" s="120"/>
      <c r="BZ611" s="136">
        <f t="shared" si="775"/>
        <v>0</v>
      </c>
      <c r="CA611" s="136">
        <f t="shared" si="776"/>
        <v>0</v>
      </c>
      <c r="CB611" s="136">
        <f t="shared" si="777"/>
        <v>0</v>
      </c>
      <c r="CC611" s="136">
        <f t="shared" si="778"/>
        <v>0</v>
      </c>
      <c r="CD611" s="135">
        <f t="shared" si="779"/>
        <v>0</v>
      </c>
      <c r="CE611" s="135">
        <f t="shared" si="780"/>
        <v>0</v>
      </c>
      <c r="CF611" s="134">
        <f t="shared" si="781"/>
        <v>0</v>
      </c>
      <c r="CG611" s="134">
        <f t="shared" si="782"/>
        <v>0</v>
      </c>
      <c r="CH611" s="133" t="e">
        <f t="shared" si="783"/>
        <v>#DIV/0!</v>
      </c>
    </row>
    <row r="612" spans="1:87" s="121" customFormat="1">
      <c r="A612" s="125">
        <f t="shared" si="768"/>
        <v>0</v>
      </c>
      <c r="B612" s="138" t="s">
        <v>187</v>
      </c>
      <c r="D612" s="121" t="s">
        <v>197</v>
      </c>
      <c r="F612" s="115"/>
      <c r="G612" s="120"/>
      <c r="H612" s="120"/>
      <c r="M612" s="123"/>
      <c r="N612" s="121" t="s">
        <v>327</v>
      </c>
      <c r="O612" s="121" t="s">
        <v>239</v>
      </c>
      <c r="Q612" s="122">
        <f>3100*2.4</f>
        <v>7440</v>
      </c>
      <c r="R612" s="122"/>
      <c r="S612" s="122">
        <v>7500</v>
      </c>
      <c r="T612" s="122"/>
      <c r="BD612" s="120">
        <f t="shared" si="784"/>
        <v>0</v>
      </c>
      <c r="BE612" s="120">
        <f t="shared" si="785"/>
        <v>0</v>
      </c>
      <c r="BF612" s="137">
        <f t="shared" si="786"/>
        <v>0</v>
      </c>
      <c r="BG612" s="120"/>
      <c r="BH612" s="120"/>
      <c r="BI612" s="120"/>
      <c r="BJ612" s="120"/>
      <c r="BK612" s="120"/>
      <c r="BL612" s="120"/>
      <c r="BM612" s="120"/>
      <c r="BN612" s="120"/>
      <c r="BO612" s="124"/>
      <c r="BP612" s="124"/>
      <c r="BQ612" s="124"/>
      <c r="BR612" s="120"/>
      <c r="BS612" s="120"/>
      <c r="BT612" s="120"/>
      <c r="BU612" s="120"/>
      <c r="BV612" s="120"/>
      <c r="BW612" s="120"/>
      <c r="BZ612" s="136">
        <f t="shared" si="775"/>
        <v>0</v>
      </c>
      <c r="CA612" s="136">
        <f t="shared" si="776"/>
        <v>0</v>
      </c>
      <c r="CB612" s="136">
        <f t="shared" si="777"/>
        <v>0</v>
      </c>
      <c r="CC612" s="136">
        <f t="shared" si="778"/>
        <v>0</v>
      </c>
      <c r="CD612" s="135">
        <f t="shared" si="779"/>
        <v>0</v>
      </c>
      <c r="CE612" s="135">
        <f t="shared" si="780"/>
        <v>0</v>
      </c>
      <c r="CF612" s="134">
        <f t="shared" si="781"/>
        <v>0</v>
      </c>
      <c r="CG612" s="134">
        <f t="shared" si="782"/>
        <v>0</v>
      </c>
      <c r="CH612" s="133" t="e">
        <f t="shared" si="783"/>
        <v>#DIV/0!</v>
      </c>
    </row>
    <row r="613" spans="1:87" s="121" customFormat="1">
      <c r="A613" s="125">
        <f t="shared" si="768"/>
        <v>0</v>
      </c>
      <c r="B613" s="138" t="s">
        <v>187</v>
      </c>
      <c r="D613" s="121" t="s">
        <v>197</v>
      </c>
      <c r="F613" s="115"/>
      <c r="G613" s="120"/>
      <c r="H613" s="120"/>
      <c r="M613" s="123"/>
      <c r="N613" s="121" t="s">
        <v>4166</v>
      </c>
      <c r="O613" s="121" t="s">
        <v>368</v>
      </c>
      <c r="Q613" s="122">
        <f>4111*2.4</f>
        <v>9866.4</v>
      </c>
      <c r="R613" s="122"/>
      <c r="S613" s="122">
        <v>9800</v>
      </c>
      <c r="T613" s="122"/>
      <c r="BD613" s="120">
        <f t="shared" si="784"/>
        <v>0</v>
      </c>
      <c r="BE613" s="120">
        <f t="shared" si="785"/>
        <v>0</v>
      </c>
      <c r="BF613" s="137">
        <f t="shared" si="786"/>
        <v>0</v>
      </c>
      <c r="BG613" s="120"/>
      <c r="BH613" s="120"/>
      <c r="BI613" s="120"/>
      <c r="BJ613" s="120"/>
      <c r="BK613" s="120"/>
      <c r="BL613" s="120"/>
      <c r="BM613" s="120"/>
      <c r="BN613" s="120"/>
      <c r="BO613" s="120"/>
      <c r="BP613" s="120"/>
      <c r="BQ613" s="124"/>
      <c r="BR613" s="120"/>
      <c r="BS613" s="120"/>
      <c r="BT613" s="120"/>
      <c r="BU613" s="120"/>
      <c r="BV613" s="120"/>
      <c r="BW613" s="120"/>
      <c r="BZ613" s="136">
        <f t="shared" si="775"/>
        <v>0</v>
      </c>
      <c r="CA613" s="136">
        <f t="shared" si="776"/>
        <v>0</v>
      </c>
      <c r="CB613" s="136">
        <f t="shared" si="777"/>
        <v>0</v>
      </c>
      <c r="CC613" s="136">
        <f t="shared" si="778"/>
        <v>0</v>
      </c>
      <c r="CD613" s="135">
        <f t="shared" si="779"/>
        <v>0</v>
      </c>
      <c r="CE613" s="135">
        <f t="shared" si="780"/>
        <v>0</v>
      </c>
      <c r="CF613" s="134">
        <f t="shared" si="781"/>
        <v>0</v>
      </c>
      <c r="CG613" s="134">
        <f t="shared" si="782"/>
        <v>0</v>
      </c>
      <c r="CH613" s="133" t="e">
        <f t="shared" si="783"/>
        <v>#DIV/0!</v>
      </c>
      <c r="CI613" s="128"/>
    </row>
    <row r="614" spans="1:87" s="121" customFormat="1">
      <c r="A614" s="125">
        <f t="shared" si="768"/>
        <v>0</v>
      </c>
      <c r="B614" s="138" t="s">
        <v>187</v>
      </c>
      <c r="D614" s="121" t="s">
        <v>197</v>
      </c>
      <c r="F614" s="115"/>
      <c r="G614" s="120"/>
      <c r="H614" s="120"/>
      <c r="M614" s="123"/>
      <c r="N614" s="121" t="s">
        <v>4166</v>
      </c>
      <c r="O614" s="121" t="s">
        <v>4167</v>
      </c>
      <c r="Q614" s="122">
        <f>3142*2.4</f>
        <v>7540.7999999999993</v>
      </c>
      <c r="R614" s="122"/>
      <c r="S614" s="122">
        <v>7500</v>
      </c>
      <c r="T614" s="122"/>
      <c r="BD614" s="120">
        <f t="shared" si="784"/>
        <v>0</v>
      </c>
      <c r="BE614" s="120">
        <f t="shared" si="785"/>
        <v>0</v>
      </c>
      <c r="BF614" s="137">
        <f t="shared" si="786"/>
        <v>0</v>
      </c>
      <c r="BG614" s="120"/>
      <c r="BH614" s="120"/>
      <c r="BI614" s="120"/>
      <c r="BJ614" s="120"/>
      <c r="BK614" s="120"/>
      <c r="BL614" s="120"/>
      <c r="BM614" s="120"/>
      <c r="BN614" s="120"/>
      <c r="BO614" s="120"/>
      <c r="BP614" s="120"/>
      <c r="BQ614" s="124"/>
      <c r="BR614" s="120"/>
      <c r="BS614" s="120"/>
      <c r="BT614" s="120"/>
      <c r="BU614" s="120"/>
      <c r="BV614" s="120"/>
      <c r="BW614" s="120"/>
      <c r="BZ614" s="136">
        <f t="shared" si="775"/>
        <v>0</v>
      </c>
      <c r="CA614" s="136">
        <f t="shared" si="776"/>
        <v>0</v>
      </c>
      <c r="CB614" s="136">
        <f t="shared" si="777"/>
        <v>0</v>
      </c>
      <c r="CC614" s="136">
        <f t="shared" si="778"/>
        <v>0</v>
      </c>
      <c r="CD614" s="135">
        <f t="shared" si="779"/>
        <v>0</v>
      </c>
      <c r="CE614" s="135">
        <f t="shared" si="780"/>
        <v>0</v>
      </c>
      <c r="CF614" s="134">
        <f t="shared" si="781"/>
        <v>0</v>
      </c>
      <c r="CG614" s="134">
        <f t="shared" si="782"/>
        <v>0</v>
      </c>
      <c r="CH614" s="133" t="e">
        <f t="shared" si="783"/>
        <v>#DIV/0!</v>
      </c>
      <c r="CI614" s="128"/>
    </row>
    <row r="615" spans="1:87" s="121" customFormat="1">
      <c r="A615" s="125">
        <f t="shared" si="768"/>
        <v>0</v>
      </c>
      <c r="B615" s="138" t="s">
        <v>187</v>
      </c>
      <c r="D615" s="121" t="s">
        <v>197</v>
      </c>
      <c r="G615" s="120"/>
      <c r="H615" s="120"/>
      <c r="M615" s="123"/>
      <c r="N615" s="121" t="s">
        <v>4166</v>
      </c>
      <c r="O615" s="121" t="s">
        <v>4167</v>
      </c>
      <c r="Q615" s="122">
        <f>3142*2.4</f>
        <v>7540.7999999999993</v>
      </c>
      <c r="R615" s="122"/>
      <c r="S615" s="122">
        <v>7500</v>
      </c>
      <c r="T615" s="122"/>
      <c r="BD615" s="120">
        <f t="shared" si="784"/>
        <v>0</v>
      </c>
      <c r="BE615" s="120">
        <f t="shared" si="785"/>
        <v>0</v>
      </c>
      <c r="BF615" s="137">
        <f t="shared" si="786"/>
        <v>0</v>
      </c>
      <c r="BG615" s="120"/>
      <c r="BH615" s="120"/>
      <c r="BI615" s="120"/>
      <c r="BJ615" s="120"/>
      <c r="BK615" s="120"/>
      <c r="BL615" s="120"/>
      <c r="BM615" s="120"/>
      <c r="BN615" s="120"/>
      <c r="BO615" s="120"/>
      <c r="BP615" s="120"/>
      <c r="BQ615" s="124"/>
      <c r="BR615" s="120"/>
      <c r="BS615" s="120"/>
      <c r="BT615" s="120"/>
      <c r="BU615" s="120"/>
      <c r="BV615" s="120"/>
      <c r="BW615" s="120"/>
      <c r="BZ615" s="136">
        <f t="shared" si="775"/>
        <v>0</v>
      </c>
      <c r="CA615" s="136">
        <f t="shared" si="776"/>
        <v>0</v>
      </c>
      <c r="CB615" s="136">
        <f t="shared" si="777"/>
        <v>0</v>
      </c>
      <c r="CC615" s="136">
        <f t="shared" si="778"/>
        <v>0</v>
      </c>
      <c r="CD615" s="135">
        <f t="shared" si="779"/>
        <v>0</v>
      </c>
      <c r="CE615" s="135">
        <f t="shared" si="780"/>
        <v>0</v>
      </c>
      <c r="CF615" s="134">
        <f t="shared" si="781"/>
        <v>0</v>
      </c>
      <c r="CG615" s="134">
        <f t="shared" si="782"/>
        <v>0</v>
      </c>
      <c r="CH615" s="133" t="e">
        <f t="shared" si="783"/>
        <v>#DIV/0!</v>
      </c>
      <c r="CI615" s="128"/>
    </row>
    <row r="616" spans="1:87" s="121" customFormat="1">
      <c r="A616" s="125">
        <f t="shared" si="768"/>
        <v>0</v>
      </c>
      <c r="B616" s="138" t="s">
        <v>187</v>
      </c>
      <c r="D616" s="121" t="s">
        <v>197</v>
      </c>
      <c r="G616" s="120"/>
      <c r="H616" s="120"/>
      <c r="M616" s="123"/>
      <c r="N616" s="121" t="s">
        <v>364</v>
      </c>
      <c r="O616" s="121" t="s">
        <v>4168</v>
      </c>
      <c r="Q616" s="122">
        <f>3141*2.4</f>
        <v>7538.4</v>
      </c>
      <c r="R616" s="122"/>
      <c r="S616" s="122">
        <v>7500</v>
      </c>
      <c r="T616" s="122"/>
      <c r="X616" s="122"/>
      <c r="Y616" s="122"/>
      <c r="AC616" s="122"/>
      <c r="AM616" s="122"/>
      <c r="BD616" s="120">
        <f t="shared" si="784"/>
        <v>0</v>
      </c>
      <c r="BE616" s="120">
        <f t="shared" si="785"/>
        <v>0</v>
      </c>
      <c r="BF616" s="137">
        <f t="shared" si="786"/>
        <v>0</v>
      </c>
      <c r="BG616" s="120"/>
      <c r="BH616" s="120"/>
      <c r="BI616" s="120"/>
      <c r="BJ616" s="120"/>
      <c r="BK616" s="120"/>
      <c r="BL616" s="120"/>
      <c r="BM616" s="120"/>
      <c r="BN616" s="120"/>
      <c r="BO616" s="124"/>
      <c r="BP616" s="124"/>
      <c r="BQ616" s="124"/>
      <c r="BR616" s="120"/>
      <c r="BS616" s="120"/>
      <c r="BT616" s="120"/>
      <c r="BU616" s="120"/>
      <c r="BV616" s="120"/>
      <c r="BW616" s="120"/>
      <c r="BZ616" s="136">
        <f t="shared" si="775"/>
        <v>0</v>
      </c>
      <c r="CA616" s="136">
        <f t="shared" si="776"/>
        <v>0</v>
      </c>
      <c r="CB616" s="136">
        <f t="shared" si="777"/>
        <v>0</v>
      </c>
      <c r="CC616" s="136">
        <f t="shared" si="778"/>
        <v>0</v>
      </c>
      <c r="CD616" s="135">
        <f t="shared" si="779"/>
        <v>0</v>
      </c>
      <c r="CE616" s="135">
        <f t="shared" si="780"/>
        <v>0</v>
      </c>
      <c r="CF616" s="134">
        <f t="shared" si="781"/>
        <v>0</v>
      </c>
      <c r="CG616" s="134">
        <f t="shared" si="782"/>
        <v>0</v>
      </c>
      <c r="CH616" s="133" t="e">
        <f t="shared" si="783"/>
        <v>#DIV/0!</v>
      </c>
    </row>
    <row r="617" spans="1:87" s="116" customFormat="1">
      <c r="A617" s="125">
        <f t="shared" si="768"/>
        <v>0</v>
      </c>
      <c r="B617" s="138" t="s">
        <v>187</v>
      </c>
      <c r="C617" s="121"/>
      <c r="D617" s="121" t="s">
        <v>197</v>
      </c>
      <c r="E617" s="121"/>
      <c r="F617" s="115"/>
      <c r="G617" s="120"/>
      <c r="H617" s="120"/>
      <c r="I617" s="121"/>
      <c r="J617" s="121"/>
      <c r="K617" s="121"/>
      <c r="L617" s="121"/>
      <c r="M617" s="123"/>
      <c r="N617" s="121" t="s">
        <v>4127</v>
      </c>
      <c r="O617" s="121" t="s">
        <v>4124</v>
      </c>
      <c r="P617" s="121"/>
      <c r="Q617" s="122">
        <f>3142*2.4</f>
        <v>7540.7999999999993</v>
      </c>
      <c r="R617" s="122"/>
      <c r="S617" s="122">
        <v>7500</v>
      </c>
      <c r="T617" s="122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  <c r="AL617" s="121"/>
      <c r="AM617" s="121"/>
      <c r="AN617" s="121"/>
      <c r="AO617" s="121"/>
      <c r="AP617" s="121"/>
      <c r="AQ617" s="121"/>
      <c r="AR617" s="121"/>
      <c r="AS617" s="121"/>
      <c r="AT617" s="121"/>
      <c r="AU617" s="121"/>
      <c r="AV617" s="121"/>
      <c r="AW617" s="121"/>
      <c r="AX617" s="121"/>
      <c r="AY617" s="121"/>
      <c r="AZ617" s="121"/>
      <c r="BA617" s="121"/>
      <c r="BB617" s="121"/>
      <c r="BC617" s="121"/>
      <c r="BD617" s="120">
        <f t="shared" si="784"/>
        <v>0</v>
      </c>
      <c r="BE617" s="120">
        <f t="shared" si="785"/>
        <v>0</v>
      </c>
      <c r="BF617" s="137">
        <f t="shared" si="786"/>
        <v>0</v>
      </c>
      <c r="BG617" s="120"/>
      <c r="BH617" s="120"/>
      <c r="BI617" s="120"/>
      <c r="BJ617" s="120"/>
      <c r="BK617" s="120"/>
      <c r="BL617" s="120"/>
      <c r="BM617" s="120"/>
      <c r="BN617" s="120"/>
      <c r="BO617" s="140"/>
      <c r="BP617" s="140"/>
      <c r="BQ617" s="124"/>
      <c r="BR617" s="120"/>
      <c r="BS617" s="120"/>
      <c r="BT617" s="120"/>
      <c r="BU617" s="120"/>
      <c r="BV617" s="120"/>
      <c r="BW617" s="120"/>
      <c r="BX617" s="121"/>
      <c r="BY617" s="121"/>
      <c r="BZ617" s="136">
        <f t="shared" si="775"/>
        <v>0</v>
      </c>
      <c r="CA617" s="136">
        <f t="shared" si="776"/>
        <v>0</v>
      </c>
      <c r="CB617" s="136">
        <f t="shared" si="777"/>
        <v>0</v>
      </c>
      <c r="CC617" s="136">
        <f t="shared" si="778"/>
        <v>0</v>
      </c>
      <c r="CD617" s="135">
        <f t="shared" si="779"/>
        <v>0</v>
      </c>
      <c r="CE617" s="135">
        <f t="shared" si="780"/>
        <v>0</v>
      </c>
      <c r="CF617" s="134">
        <f t="shared" si="781"/>
        <v>0</v>
      </c>
      <c r="CG617" s="134">
        <f t="shared" si="782"/>
        <v>0</v>
      </c>
      <c r="CH617" s="133" t="e">
        <f t="shared" si="783"/>
        <v>#DIV/0!</v>
      </c>
      <c r="CI617" s="121"/>
    </row>
    <row r="618" spans="1:87" s="128" customFormat="1">
      <c r="A618" s="125">
        <f t="shared" si="768"/>
        <v>0</v>
      </c>
      <c r="B618" s="138" t="s">
        <v>187</v>
      </c>
      <c r="C618" s="121"/>
      <c r="D618" s="121" t="s">
        <v>197</v>
      </c>
      <c r="E618" s="121"/>
      <c r="F618" s="121"/>
      <c r="G618" s="120"/>
      <c r="H618" s="120"/>
      <c r="I618" s="121"/>
      <c r="J618" s="121"/>
      <c r="K618" s="121"/>
      <c r="L618" s="121"/>
      <c r="M618" s="123"/>
      <c r="N618" s="121" t="s">
        <v>4127</v>
      </c>
      <c r="O618" s="121" t="s">
        <v>4124</v>
      </c>
      <c r="P618" s="121"/>
      <c r="Q618" s="122">
        <f>3142*2.4</f>
        <v>7540.7999999999993</v>
      </c>
      <c r="R618" s="122"/>
      <c r="S618" s="122">
        <v>7500</v>
      </c>
      <c r="T618" s="122"/>
      <c r="U618" s="226"/>
      <c r="V618" s="226"/>
      <c r="W618" s="121"/>
      <c r="X618" s="122"/>
      <c r="Y618" s="122"/>
      <c r="Z618" s="121"/>
      <c r="AA618" s="121"/>
      <c r="AB618" s="121"/>
      <c r="AC618" s="139"/>
      <c r="AD618" s="122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0">
        <f t="shared" si="784"/>
        <v>0</v>
      </c>
      <c r="BE618" s="120">
        <f t="shared" si="785"/>
        <v>0</v>
      </c>
      <c r="BF618" s="137">
        <f t="shared" si="786"/>
        <v>0</v>
      </c>
      <c r="BG618" s="120"/>
      <c r="BH618" s="120"/>
      <c r="BI618" s="120"/>
      <c r="BJ618" s="120"/>
      <c r="BK618" s="120"/>
      <c r="BL618" s="120"/>
      <c r="BM618" s="120"/>
      <c r="BN618" s="120"/>
      <c r="BO618" s="124"/>
      <c r="BP618" s="124"/>
      <c r="BQ618" s="124"/>
      <c r="BR618" s="120"/>
      <c r="BS618" s="120"/>
      <c r="BT618" s="120"/>
      <c r="BU618" s="120"/>
      <c r="BV618" s="120"/>
      <c r="BW618" s="120"/>
      <c r="BX618" s="121"/>
      <c r="BY618" s="121"/>
      <c r="BZ618" s="136">
        <f t="shared" si="775"/>
        <v>0</v>
      </c>
      <c r="CA618" s="136">
        <f t="shared" si="776"/>
        <v>0</v>
      </c>
      <c r="CB618" s="136">
        <f t="shared" si="777"/>
        <v>0</v>
      </c>
      <c r="CC618" s="136">
        <f t="shared" si="778"/>
        <v>0</v>
      </c>
      <c r="CD618" s="135">
        <f t="shared" si="779"/>
        <v>0</v>
      </c>
      <c r="CE618" s="135">
        <f t="shared" si="780"/>
        <v>0</v>
      </c>
      <c r="CF618" s="134">
        <f t="shared" si="781"/>
        <v>0</v>
      </c>
      <c r="CG618" s="134">
        <f t="shared" si="782"/>
        <v>0</v>
      </c>
      <c r="CH618" s="133" t="e">
        <f t="shared" si="783"/>
        <v>#DIV/0!</v>
      </c>
      <c r="CI618" s="121"/>
    </row>
    <row r="619" spans="1:87" s="128" customFormat="1">
      <c r="A619" s="125">
        <f t="shared" si="768"/>
        <v>0</v>
      </c>
      <c r="B619" s="138" t="s">
        <v>187</v>
      </c>
      <c r="C619" s="121"/>
      <c r="D619" s="121" t="s">
        <v>197</v>
      </c>
      <c r="E619" s="121"/>
      <c r="F619" s="115"/>
      <c r="G619" s="120"/>
      <c r="H619" s="120"/>
      <c r="I619" s="121"/>
      <c r="J619" s="121"/>
      <c r="K619" s="121"/>
      <c r="L619" s="121"/>
      <c r="M619" s="123"/>
      <c r="N619" s="121" t="s">
        <v>355</v>
      </c>
      <c r="O619" s="121" t="s">
        <v>365</v>
      </c>
      <c r="P619" s="121"/>
      <c r="Q619" s="122">
        <f>3142*2.4</f>
        <v>7540.7999999999993</v>
      </c>
      <c r="R619" s="122"/>
      <c r="S619" s="122">
        <v>7500</v>
      </c>
      <c r="T619" s="122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0">
        <f t="shared" si="784"/>
        <v>0</v>
      </c>
      <c r="BE619" s="120">
        <f t="shared" si="785"/>
        <v>0</v>
      </c>
      <c r="BF619" s="137">
        <f t="shared" si="786"/>
        <v>0</v>
      </c>
      <c r="BG619" s="120"/>
      <c r="BH619" s="120"/>
      <c r="BI619" s="120"/>
      <c r="BJ619" s="120"/>
      <c r="BK619" s="120"/>
      <c r="BL619" s="120"/>
      <c r="BM619" s="120"/>
      <c r="BN619" s="120"/>
      <c r="BO619" s="120"/>
      <c r="BP619" s="120"/>
      <c r="BQ619" s="124"/>
      <c r="BR619" s="120"/>
      <c r="BS619" s="120"/>
      <c r="BT619" s="120"/>
      <c r="BU619" s="120"/>
      <c r="BV619" s="120"/>
      <c r="BW619" s="120"/>
      <c r="BX619" s="121"/>
      <c r="BY619" s="121"/>
      <c r="BZ619" s="136">
        <f t="shared" si="775"/>
        <v>0</v>
      </c>
      <c r="CA619" s="136">
        <f t="shared" si="776"/>
        <v>0</v>
      </c>
      <c r="CB619" s="136">
        <f t="shared" si="777"/>
        <v>0</v>
      </c>
      <c r="CC619" s="136">
        <f t="shared" si="778"/>
        <v>0</v>
      </c>
      <c r="CD619" s="135">
        <f t="shared" si="779"/>
        <v>0</v>
      </c>
      <c r="CE619" s="135">
        <f t="shared" si="780"/>
        <v>0</v>
      </c>
      <c r="CF619" s="134">
        <f t="shared" si="781"/>
        <v>0</v>
      </c>
      <c r="CG619" s="134">
        <f t="shared" si="782"/>
        <v>0</v>
      </c>
      <c r="CH619" s="133" t="e">
        <f t="shared" si="783"/>
        <v>#DIV/0!</v>
      </c>
      <c r="CI619" s="121"/>
    </row>
    <row r="620" spans="1:87" s="128" customFormat="1">
      <c r="A620" s="125">
        <f t="shared" si="768"/>
        <v>0</v>
      </c>
      <c r="B620" s="138" t="s">
        <v>187</v>
      </c>
      <c r="C620" s="121"/>
      <c r="D620" s="121" t="s">
        <v>197</v>
      </c>
      <c r="E620" s="121"/>
      <c r="F620" s="115"/>
      <c r="G620" s="120"/>
      <c r="H620" s="120"/>
      <c r="I620" s="121"/>
      <c r="J620" s="121"/>
      <c r="K620" s="121"/>
      <c r="L620" s="121"/>
      <c r="M620" s="123"/>
      <c r="N620" s="121" t="s">
        <v>4169</v>
      </c>
      <c r="O620" s="121" t="s">
        <v>430</v>
      </c>
      <c r="P620" s="121"/>
      <c r="Q620" s="122">
        <f>3145*2.4</f>
        <v>7548</v>
      </c>
      <c r="R620" s="122"/>
      <c r="S620" s="122">
        <v>7500</v>
      </c>
      <c r="T620" s="122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0">
        <f t="shared" si="784"/>
        <v>0</v>
      </c>
      <c r="BE620" s="120">
        <f t="shared" si="785"/>
        <v>0</v>
      </c>
      <c r="BF620" s="137">
        <f t="shared" si="786"/>
        <v>0</v>
      </c>
      <c r="BG620" s="120"/>
      <c r="BH620" s="120"/>
      <c r="BI620" s="120"/>
      <c r="BJ620" s="120"/>
      <c r="BK620" s="120"/>
      <c r="BL620" s="120"/>
      <c r="BM620" s="120"/>
      <c r="BN620" s="120"/>
      <c r="BO620" s="120"/>
      <c r="BP620" s="120"/>
      <c r="BQ620" s="124"/>
      <c r="BR620" s="120"/>
      <c r="BS620" s="120"/>
      <c r="BT620" s="120"/>
      <c r="BU620" s="120"/>
      <c r="BV620" s="120"/>
      <c r="BW620" s="120"/>
      <c r="BX620" s="121"/>
      <c r="BY620" s="121"/>
      <c r="BZ620" s="136">
        <f t="shared" si="775"/>
        <v>0</v>
      </c>
      <c r="CA620" s="136">
        <f t="shared" si="776"/>
        <v>0</v>
      </c>
      <c r="CB620" s="136">
        <f t="shared" si="777"/>
        <v>0</v>
      </c>
      <c r="CC620" s="136">
        <f t="shared" si="778"/>
        <v>0</v>
      </c>
      <c r="CD620" s="135">
        <f t="shared" si="779"/>
        <v>0</v>
      </c>
      <c r="CE620" s="135">
        <f t="shared" si="780"/>
        <v>0</v>
      </c>
      <c r="CF620" s="134">
        <f t="shared" si="781"/>
        <v>0</v>
      </c>
      <c r="CG620" s="134">
        <f t="shared" si="782"/>
        <v>0</v>
      </c>
      <c r="CH620" s="133" t="e">
        <f t="shared" si="783"/>
        <v>#DIV/0!</v>
      </c>
      <c r="CI620" s="121"/>
    </row>
    <row r="621" spans="1:87" s="121" customFormat="1">
      <c r="A621" s="125">
        <f t="shared" si="768"/>
        <v>0</v>
      </c>
      <c r="B621" s="138" t="s">
        <v>187</v>
      </c>
      <c r="D621" s="121" t="s">
        <v>197</v>
      </c>
      <c r="F621" s="115"/>
      <c r="G621" s="120"/>
      <c r="H621" s="120"/>
      <c r="M621" s="123"/>
      <c r="N621" s="121" t="s">
        <v>437</v>
      </c>
      <c r="O621" s="121" t="s">
        <v>4170</v>
      </c>
      <c r="Q621" s="122">
        <f>3136*2.4</f>
        <v>7526.4</v>
      </c>
      <c r="R621" s="122"/>
      <c r="S621" s="122">
        <v>7500</v>
      </c>
      <c r="T621" s="122"/>
      <c r="BD621" s="120">
        <f t="shared" si="784"/>
        <v>0</v>
      </c>
      <c r="BE621" s="120">
        <f t="shared" si="785"/>
        <v>0</v>
      </c>
      <c r="BF621" s="137">
        <f t="shared" si="786"/>
        <v>0</v>
      </c>
      <c r="BG621" s="120"/>
      <c r="BH621" s="120"/>
      <c r="BI621" s="120"/>
      <c r="BJ621" s="120"/>
      <c r="BK621" s="120"/>
      <c r="BL621" s="120"/>
      <c r="BM621" s="120"/>
      <c r="BN621" s="120"/>
      <c r="BO621" s="120"/>
      <c r="BP621" s="120"/>
      <c r="BQ621" s="124"/>
      <c r="BR621" s="120"/>
      <c r="BS621" s="120"/>
      <c r="BT621" s="120"/>
      <c r="BU621" s="120"/>
      <c r="BV621" s="120"/>
      <c r="BW621" s="120"/>
      <c r="BZ621" s="136">
        <f t="shared" si="775"/>
        <v>0</v>
      </c>
      <c r="CA621" s="136">
        <f t="shared" si="776"/>
        <v>0</v>
      </c>
      <c r="CB621" s="136">
        <f t="shared" si="777"/>
        <v>0</v>
      </c>
      <c r="CC621" s="136">
        <f t="shared" si="778"/>
        <v>0</v>
      </c>
      <c r="CD621" s="135">
        <f t="shared" si="779"/>
        <v>0</v>
      </c>
      <c r="CE621" s="135">
        <f t="shared" si="780"/>
        <v>0</v>
      </c>
      <c r="CF621" s="134">
        <f t="shared" si="781"/>
        <v>0</v>
      </c>
      <c r="CG621" s="134">
        <f t="shared" si="782"/>
        <v>0</v>
      </c>
      <c r="CH621" s="133" t="e">
        <f t="shared" si="783"/>
        <v>#DIV/0!</v>
      </c>
    </row>
    <row r="622" spans="1:87" s="121" customFormat="1">
      <c r="A622" s="125">
        <f t="shared" ref="A622:A654" si="787">BJ622</f>
        <v>0</v>
      </c>
      <c r="B622" s="138" t="s">
        <v>187</v>
      </c>
      <c r="D622" s="121" t="s">
        <v>197</v>
      </c>
      <c r="F622" s="115"/>
      <c r="G622" s="120"/>
      <c r="H622" s="120"/>
      <c r="M622" s="123"/>
      <c r="N622" s="121" t="s">
        <v>298</v>
      </c>
      <c r="O622" s="121" t="s">
        <v>299</v>
      </c>
      <c r="Q622" s="122">
        <f>4337*2.4</f>
        <v>10408.799999999999</v>
      </c>
      <c r="R622" s="122"/>
      <c r="S622" s="122">
        <v>10500</v>
      </c>
      <c r="T622" s="122"/>
      <c r="U622" s="226"/>
      <c r="V622" s="226"/>
      <c r="W622" s="226"/>
      <c r="X622" s="226"/>
      <c r="Y622" s="226"/>
      <c r="Z622" s="226"/>
      <c r="AA622" s="226"/>
      <c r="AB622" s="226"/>
      <c r="AC622" s="226"/>
      <c r="AD622" s="226"/>
      <c r="AE622" s="226"/>
      <c r="AF622" s="226"/>
      <c r="AG622" s="226"/>
      <c r="AH622" s="226"/>
      <c r="AI622" s="226"/>
      <c r="AJ622" s="226"/>
      <c r="AK622" s="226"/>
      <c r="AL622" s="226"/>
      <c r="AM622" s="226"/>
      <c r="AN622" s="226"/>
      <c r="AO622" s="226"/>
      <c r="AP622" s="226"/>
      <c r="AQ622" s="226"/>
      <c r="AR622" s="226"/>
      <c r="AS622" s="226"/>
      <c r="AT622" s="226"/>
      <c r="AU622" s="226"/>
      <c r="AV622" s="226"/>
      <c r="AW622" s="226"/>
      <c r="AX622" s="226"/>
      <c r="AY622" s="226"/>
      <c r="AZ622" s="226"/>
      <c r="BA622" s="226"/>
      <c r="BB622" s="226"/>
      <c r="BC622" s="226"/>
      <c r="BD622" s="120">
        <f t="shared" si="784"/>
        <v>0</v>
      </c>
      <c r="BE622" s="120">
        <f t="shared" si="785"/>
        <v>0</v>
      </c>
      <c r="BF622" s="137">
        <f t="shared" si="786"/>
        <v>0</v>
      </c>
      <c r="BG622" s="120"/>
      <c r="BH622" s="120"/>
      <c r="BI622" s="120"/>
      <c r="BJ622" s="120"/>
      <c r="BK622" s="120"/>
      <c r="BL622" s="120"/>
      <c r="BM622" s="120"/>
      <c r="BN622" s="120"/>
      <c r="BO622" s="120"/>
      <c r="BP622" s="120"/>
      <c r="BQ622" s="124"/>
      <c r="BR622" s="120"/>
      <c r="BS622" s="120"/>
      <c r="BT622" s="120"/>
      <c r="BU622" s="120"/>
      <c r="BV622" s="120"/>
      <c r="BW622" s="120"/>
      <c r="BZ622" s="136">
        <f t="shared" si="775"/>
        <v>0</v>
      </c>
      <c r="CA622" s="136">
        <f t="shared" si="776"/>
        <v>0</v>
      </c>
      <c r="CB622" s="136">
        <f t="shared" si="777"/>
        <v>0</v>
      </c>
      <c r="CC622" s="136">
        <f t="shared" si="778"/>
        <v>0</v>
      </c>
      <c r="CD622" s="135">
        <f t="shared" si="779"/>
        <v>0</v>
      </c>
      <c r="CE622" s="135">
        <f t="shared" si="780"/>
        <v>0</v>
      </c>
      <c r="CF622" s="134">
        <f t="shared" si="781"/>
        <v>0</v>
      </c>
      <c r="CG622" s="134">
        <f t="shared" si="782"/>
        <v>0</v>
      </c>
      <c r="CH622" s="133" t="e">
        <f t="shared" si="783"/>
        <v>#DIV/0!</v>
      </c>
    </row>
    <row r="623" spans="1:87" s="121" customFormat="1">
      <c r="A623" s="125">
        <f t="shared" si="787"/>
        <v>0</v>
      </c>
      <c r="B623" s="138" t="s">
        <v>187</v>
      </c>
      <c r="D623" s="121" t="s">
        <v>197</v>
      </c>
      <c r="G623" s="120"/>
      <c r="H623" s="120"/>
      <c r="M623" s="123"/>
      <c r="N623" s="121" t="s">
        <v>4171</v>
      </c>
      <c r="O623" s="121" t="s">
        <v>506</v>
      </c>
      <c r="Q623" s="122">
        <f>3071*2.4</f>
        <v>7370.4</v>
      </c>
      <c r="R623" s="122"/>
      <c r="S623" s="122">
        <v>7400</v>
      </c>
      <c r="T623" s="122"/>
      <c r="U623" s="226"/>
      <c r="V623" s="226"/>
      <c r="X623" s="122"/>
      <c r="Y623" s="122"/>
      <c r="BD623" s="120"/>
      <c r="BE623" s="120">
        <f t="shared" si="785"/>
        <v>0</v>
      </c>
      <c r="BF623" s="137">
        <f t="shared" si="786"/>
        <v>0</v>
      </c>
      <c r="BG623" s="120"/>
      <c r="BH623" s="120"/>
      <c r="BI623" s="120"/>
      <c r="BJ623" s="120"/>
      <c r="BK623" s="120"/>
      <c r="BL623" s="120"/>
      <c r="BM623" s="120"/>
      <c r="BN623" s="120"/>
      <c r="BO623" s="124"/>
      <c r="BP623" s="124"/>
      <c r="BQ623" s="124"/>
      <c r="BR623" s="120"/>
      <c r="BS623" s="120"/>
      <c r="BT623" s="120"/>
      <c r="BU623" s="120"/>
      <c r="BV623" s="120"/>
      <c r="BW623" s="120"/>
      <c r="BZ623" s="136">
        <f t="shared" si="775"/>
        <v>0</v>
      </c>
      <c r="CA623" s="136">
        <f t="shared" si="776"/>
        <v>0</v>
      </c>
      <c r="CB623" s="136">
        <f t="shared" si="777"/>
        <v>0</v>
      </c>
      <c r="CC623" s="136">
        <f t="shared" si="778"/>
        <v>0</v>
      </c>
      <c r="CD623" s="135">
        <f t="shared" si="779"/>
        <v>0</v>
      </c>
      <c r="CE623" s="135">
        <f t="shared" si="780"/>
        <v>0</v>
      </c>
      <c r="CF623" s="134">
        <f t="shared" si="781"/>
        <v>0</v>
      </c>
      <c r="CG623" s="134">
        <f t="shared" si="782"/>
        <v>0</v>
      </c>
      <c r="CH623" s="133" t="e">
        <f t="shared" si="783"/>
        <v>#DIV/0!</v>
      </c>
    </row>
    <row r="624" spans="1:87" s="121" customFormat="1">
      <c r="A624" s="125">
        <f t="shared" si="787"/>
        <v>0</v>
      </c>
      <c r="B624" s="138" t="s">
        <v>187</v>
      </c>
      <c r="D624" s="121" t="s">
        <v>197</v>
      </c>
      <c r="F624" s="115"/>
      <c r="G624" s="120"/>
      <c r="H624" s="120"/>
      <c r="M624" s="123"/>
      <c r="N624" s="121" t="s">
        <v>201</v>
      </c>
      <c r="O624" s="121" t="s">
        <v>4168</v>
      </c>
      <c r="Q624" s="122">
        <f>3141*2.4</f>
        <v>7538.4</v>
      </c>
      <c r="R624" s="122"/>
      <c r="S624" s="122">
        <v>7500</v>
      </c>
      <c r="T624" s="122"/>
      <c r="BD624" s="120">
        <f t="shared" ref="BD624:BD631" si="788">BG624</f>
        <v>0</v>
      </c>
      <c r="BE624" s="120">
        <f t="shared" si="785"/>
        <v>0</v>
      </c>
      <c r="BF624" s="137">
        <f t="shared" si="786"/>
        <v>0</v>
      </c>
      <c r="BG624" s="120"/>
      <c r="BH624" s="120"/>
      <c r="BI624" s="120"/>
      <c r="BJ624" s="120"/>
      <c r="BK624" s="120"/>
      <c r="BL624" s="120"/>
      <c r="BM624" s="120"/>
      <c r="BN624" s="120"/>
      <c r="BO624" s="120"/>
      <c r="BP624" s="120"/>
      <c r="BQ624" s="124"/>
      <c r="BR624" s="120"/>
      <c r="BS624" s="120"/>
      <c r="BT624" s="120"/>
      <c r="BU624" s="120"/>
      <c r="BV624" s="120"/>
      <c r="BW624" s="120"/>
      <c r="BZ624" s="136">
        <f t="shared" si="775"/>
        <v>0</v>
      </c>
      <c r="CA624" s="136">
        <f t="shared" si="776"/>
        <v>0</v>
      </c>
      <c r="CB624" s="136">
        <f t="shared" si="777"/>
        <v>0</v>
      </c>
      <c r="CC624" s="136">
        <f t="shared" si="778"/>
        <v>0</v>
      </c>
      <c r="CD624" s="135">
        <f t="shared" si="779"/>
        <v>0</v>
      </c>
      <c r="CE624" s="135">
        <f t="shared" si="780"/>
        <v>0</v>
      </c>
      <c r="CF624" s="134">
        <f t="shared" si="781"/>
        <v>0</v>
      </c>
      <c r="CG624" s="134">
        <f t="shared" si="782"/>
        <v>0</v>
      </c>
      <c r="CH624" s="133" t="e">
        <f t="shared" si="783"/>
        <v>#DIV/0!</v>
      </c>
    </row>
    <row r="625" spans="1:87" s="121" customFormat="1">
      <c r="A625" s="125">
        <f t="shared" si="787"/>
        <v>0</v>
      </c>
      <c r="B625" s="138" t="s">
        <v>187</v>
      </c>
      <c r="D625" s="121" t="s">
        <v>197</v>
      </c>
      <c r="G625" s="120"/>
      <c r="H625" s="120"/>
      <c r="M625" s="123"/>
      <c r="N625" s="121" t="s">
        <v>201</v>
      </c>
      <c r="O625" s="121" t="s">
        <v>4168</v>
      </c>
      <c r="Q625" s="122">
        <f>3141*2.4</f>
        <v>7538.4</v>
      </c>
      <c r="R625" s="122"/>
      <c r="S625" s="122">
        <v>7500</v>
      </c>
      <c r="T625" s="122"/>
      <c r="BD625" s="120">
        <f t="shared" si="788"/>
        <v>0</v>
      </c>
      <c r="BE625" s="120">
        <f t="shared" si="785"/>
        <v>0</v>
      </c>
      <c r="BF625" s="137">
        <f t="shared" si="786"/>
        <v>0</v>
      </c>
      <c r="BG625" s="120"/>
      <c r="BH625" s="120"/>
      <c r="BI625" s="120"/>
      <c r="BJ625" s="120"/>
      <c r="BK625" s="120"/>
      <c r="BL625" s="120"/>
      <c r="BM625" s="120"/>
      <c r="BN625" s="120"/>
      <c r="BO625" s="120"/>
      <c r="BP625" s="120"/>
      <c r="BQ625" s="124"/>
      <c r="BR625" s="120"/>
      <c r="BS625" s="120"/>
      <c r="BT625" s="120"/>
      <c r="BU625" s="120"/>
      <c r="BV625" s="120"/>
      <c r="BW625" s="120"/>
      <c r="BZ625" s="136">
        <f t="shared" si="775"/>
        <v>0</v>
      </c>
      <c r="CA625" s="136">
        <f t="shared" si="776"/>
        <v>0</v>
      </c>
      <c r="CB625" s="136">
        <f t="shared" si="777"/>
        <v>0</v>
      </c>
      <c r="CC625" s="136">
        <f t="shared" si="778"/>
        <v>0</v>
      </c>
      <c r="CD625" s="135">
        <f t="shared" si="779"/>
        <v>0</v>
      </c>
      <c r="CE625" s="135">
        <f t="shared" si="780"/>
        <v>0</v>
      </c>
      <c r="CF625" s="134">
        <f t="shared" si="781"/>
        <v>0</v>
      </c>
      <c r="CG625" s="134">
        <f t="shared" si="782"/>
        <v>0</v>
      </c>
      <c r="CH625" s="133" t="e">
        <f t="shared" si="783"/>
        <v>#DIV/0!</v>
      </c>
    </row>
    <row r="626" spans="1:87" s="128" customFormat="1">
      <c r="A626" s="125">
        <f t="shared" si="787"/>
        <v>0</v>
      </c>
      <c r="B626" s="138" t="s">
        <v>187</v>
      </c>
      <c r="C626" s="121"/>
      <c r="D626" s="121" t="s">
        <v>197</v>
      </c>
      <c r="E626" s="121"/>
      <c r="F626" s="121"/>
      <c r="G626" s="120"/>
      <c r="H626" s="120"/>
      <c r="I626" s="121"/>
      <c r="J626" s="121"/>
      <c r="K626" s="121"/>
      <c r="L626" s="121"/>
      <c r="M626" s="123"/>
      <c r="N626" s="121" t="s">
        <v>226</v>
      </c>
      <c r="O626" s="121" t="s">
        <v>4172</v>
      </c>
      <c r="P626" s="121"/>
      <c r="Q626" s="122">
        <f>3141*2.4</f>
        <v>7538.4</v>
      </c>
      <c r="R626" s="122"/>
      <c r="S626" s="122">
        <v>7500</v>
      </c>
      <c r="T626" s="122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0">
        <f t="shared" si="788"/>
        <v>0</v>
      </c>
      <c r="BE626" s="120">
        <f t="shared" si="785"/>
        <v>0</v>
      </c>
      <c r="BF626" s="137">
        <f t="shared" si="786"/>
        <v>0</v>
      </c>
      <c r="BG626" s="120"/>
      <c r="BH626" s="120"/>
      <c r="BI626" s="120"/>
      <c r="BJ626" s="120"/>
      <c r="BK626" s="120"/>
      <c r="BL626" s="120"/>
      <c r="BM626" s="120"/>
      <c r="BN626" s="120"/>
      <c r="BO626" s="120"/>
      <c r="BP626" s="120"/>
      <c r="BQ626" s="124"/>
      <c r="BR626" s="120"/>
      <c r="BS626" s="120"/>
      <c r="BT626" s="120"/>
      <c r="BU626" s="120"/>
      <c r="BV626" s="120"/>
      <c r="BW626" s="120"/>
      <c r="BX626" s="121"/>
      <c r="BY626" s="121"/>
      <c r="BZ626" s="136">
        <f t="shared" si="775"/>
        <v>0</v>
      </c>
      <c r="CA626" s="136">
        <f t="shared" si="776"/>
        <v>0</v>
      </c>
      <c r="CB626" s="136">
        <f t="shared" si="777"/>
        <v>0</v>
      </c>
      <c r="CC626" s="136">
        <f t="shared" si="778"/>
        <v>0</v>
      </c>
      <c r="CD626" s="135">
        <f t="shared" si="779"/>
        <v>0</v>
      </c>
      <c r="CE626" s="135">
        <f t="shared" si="780"/>
        <v>0</v>
      </c>
      <c r="CF626" s="134">
        <f t="shared" si="781"/>
        <v>0</v>
      </c>
      <c r="CG626" s="134">
        <f t="shared" si="782"/>
        <v>0</v>
      </c>
      <c r="CH626" s="133" t="e">
        <f t="shared" si="783"/>
        <v>#DIV/0!</v>
      </c>
      <c r="CI626" s="121"/>
    </row>
    <row r="627" spans="1:87" s="128" customFormat="1">
      <c r="A627" s="125">
        <f t="shared" si="787"/>
        <v>0</v>
      </c>
      <c r="B627" s="138" t="s">
        <v>187</v>
      </c>
      <c r="C627" s="121"/>
      <c r="D627" s="121" t="s">
        <v>197</v>
      </c>
      <c r="E627" s="121"/>
      <c r="F627" s="121"/>
      <c r="G627" s="120"/>
      <c r="H627" s="120"/>
      <c r="I627" s="121"/>
      <c r="J627" s="121"/>
      <c r="K627" s="121"/>
      <c r="L627" s="121"/>
      <c r="M627" s="123"/>
      <c r="N627" s="121" t="s">
        <v>4136</v>
      </c>
      <c r="O627" s="121" t="s">
        <v>4135</v>
      </c>
      <c r="P627" s="121"/>
      <c r="Q627" s="122">
        <f>3100*2.4</f>
        <v>7440</v>
      </c>
      <c r="R627" s="122"/>
      <c r="S627" s="122">
        <v>7500</v>
      </c>
      <c r="T627" s="122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0">
        <f t="shared" si="788"/>
        <v>0</v>
      </c>
      <c r="BE627" s="120">
        <f t="shared" si="785"/>
        <v>0</v>
      </c>
      <c r="BF627" s="137">
        <f t="shared" si="786"/>
        <v>0</v>
      </c>
      <c r="BG627" s="120"/>
      <c r="BH627" s="120"/>
      <c r="BI627" s="120"/>
      <c r="BJ627" s="120"/>
      <c r="BK627" s="120"/>
      <c r="BL627" s="120"/>
      <c r="BM627" s="120"/>
      <c r="BN627" s="120"/>
      <c r="BO627" s="124"/>
      <c r="BP627" s="124"/>
      <c r="BQ627" s="124"/>
      <c r="BR627" s="120"/>
      <c r="BS627" s="120"/>
      <c r="BT627" s="120"/>
      <c r="BU627" s="120"/>
      <c r="BV627" s="120"/>
      <c r="BW627" s="120"/>
      <c r="BX627" s="121"/>
      <c r="BY627" s="121"/>
      <c r="BZ627" s="136">
        <f t="shared" si="775"/>
        <v>0</v>
      </c>
      <c r="CA627" s="136">
        <f t="shared" si="776"/>
        <v>0</v>
      </c>
      <c r="CB627" s="136">
        <f t="shared" si="777"/>
        <v>0</v>
      </c>
      <c r="CC627" s="136">
        <f t="shared" si="778"/>
        <v>0</v>
      </c>
      <c r="CD627" s="135">
        <f t="shared" si="779"/>
        <v>0</v>
      </c>
      <c r="CE627" s="135">
        <f t="shared" si="780"/>
        <v>0</v>
      </c>
      <c r="CF627" s="134">
        <f t="shared" si="781"/>
        <v>0</v>
      </c>
      <c r="CG627" s="134">
        <f t="shared" si="782"/>
        <v>0</v>
      </c>
      <c r="CH627" s="133" t="e">
        <f t="shared" si="783"/>
        <v>#DIV/0!</v>
      </c>
    </row>
    <row r="628" spans="1:87" s="128" customFormat="1">
      <c r="A628" s="125">
        <f t="shared" si="787"/>
        <v>0</v>
      </c>
      <c r="B628" s="138" t="s">
        <v>187</v>
      </c>
      <c r="C628" s="121"/>
      <c r="D628" s="121" t="s">
        <v>197</v>
      </c>
      <c r="E628" s="121"/>
      <c r="F628" s="115"/>
      <c r="G628" s="120"/>
      <c r="H628" s="120"/>
      <c r="I628" s="121"/>
      <c r="J628" s="121"/>
      <c r="K628" s="121"/>
      <c r="L628" s="121"/>
      <c r="M628" s="123"/>
      <c r="N628" s="121" t="s">
        <v>238</v>
      </c>
      <c r="O628" s="121" t="s">
        <v>4167</v>
      </c>
      <c r="P628" s="121"/>
      <c r="Q628" s="122">
        <f>3117*2.4</f>
        <v>7480.7999999999993</v>
      </c>
      <c r="R628" s="122"/>
      <c r="S628" s="122">
        <v>7500</v>
      </c>
      <c r="T628" s="122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  <c r="AL628" s="121"/>
      <c r="AM628" s="121"/>
      <c r="AN628" s="121"/>
      <c r="AO628" s="121"/>
      <c r="AP628" s="121"/>
      <c r="AQ628" s="121"/>
      <c r="AR628" s="121"/>
      <c r="AS628" s="121"/>
      <c r="AT628" s="121"/>
      <c r="AU628" s="121"/>
      <c r="AV628" s="121"/>
      <c r="AW628" s="121"/>
      <c r="AX628" s="121"/>
      <c r="AY628" s="121"/>
      <c r="AZ628" s="121"/>
      <c r="BA628" s="121"/>
      <c r="BB628" s="121"/>
      <c r="BC628" s="121"/>
      <c r="BD628" s="120">
        <f t="shared" si="788"/>
        <v>0</v>
      </c>
      <c r="BE628" s="120">
        <f t="shared" si="785"/>
        <v>0</v>
      </c>
      <c r="BF628" s="137">
        <f t="shared" si="786"/>
        <v>0</v>
      </c>
      <c r="BG628" s="120"/>
      <c r="BH628" s="120"/>
      <c r="BI628" s="120"/>
      <c r="BJ628" s="120"/>
      <c r="BK628" s="120"/>
      <c r="BL628" s="120"/>
      <c r="BM628" s="120"/>
      <c r="BN628" s="120"/>
      <c r="BO628" s="120"/>
      <c r="BP628" s="120"/>
      <c r="BQ628" s="124"/>
      <c r="BR628" s="120"/>
      <c r="BS628" s="120"/>
      <c r="BT628" s="120"/>
      <c r="BU628" s="120"/>
      <c r="BV628" s="120"/>
      <c r="BW628" s="120"/>
      <c r="BX628" s="121"/>
      <c r="BY628" s="121"/>
      <c r="BZ628" s="136">
        <f t="shared" si="775"/>
        <v>0</v>
      </c>
      <c r="CA628" s="136">
        <f t="shared" si="776"/>
        <v>0</v>
      </c>
      <c r="CB628" s="136">
        <f t="shared" si="777"/>
        <v>0</v>
      </c>
      <c r="CC628" s="136">
        <f t="shared" si="778"/>
        <v>0</v>
      </c>
      <c r="CD628" s="135">
        <f t="shared" si="779"/>
        <v>0</v>
      </c>
      <c r="CE628" s="135">
        <f t="shared" si="780"/>
        <v>0</v>
      </c>
      <c r="CF628" s="134">
        <f t="shared" si="781"/>
        <v>0</v>
      </c>
      <c r="CG628" s="134">
        <f t="shared" si="782"/>
        <v>0</v>
      </c>
      <c r="CH628" s="133" t="e">
        <f t="shared" si="783"/>
        <v>#DIV/0!</v>
      </c>
      <c r="CI628" s="121"/>
    </row>
    <row r="629" spans="1:87" s="121" customFormat="1">
      <c r="A629" s="125">
        <f t="shared" si="787"/>
        <v>0</v>
      </c>
      <c r="B629" s="138" t="s">
        <v>187</v>
      </c>
      <c r="D629" s="121" t="s">
        <v>197</v>
      </c>
      <c r="G629" s="120"/>
      <c r="H629" s="120"/>
      <c r="M629" s="123"/>
      <c r="N629" s="121" t="s">
        <v>3403</v>
      </c>
      <c r="O629" s="121" t="s">
        <v>239</v>
      </c>
      <c r="Q629" s="122">
        <f>3100*2.4</f>
        <v>7440</v>
      </c>
      <c r="R629" s="122"/>
      <c r="S629" s="122">
        <v>7500</v>
      </c>
      <c r="T629" s="122"/>
      <c r="BD629" s="120">
        <f t="shared" si="788"/>
        <v>0</v>
      </c>
      <c r="BE629" s="120">
        <f t="shared" si="785"/>
        <v>0</v>
      </c>
      <c r="BF629" s="137">
        <f t="shared" si="786"/>
        <v>0</v>
      </c>
      <c r="BG629" s="120"/>
      <c r="BH629" s="120"/>
      <c r="BI629" s="120"/>
      <c r="BJ629" s="120"/>
      <c r="BK629" s="120"/>
      <c r="BL629" s="120"/>
      <c r="BM629" s="120"/>
      <c r="BN629" s="120"/>
      <c r="BO629" s="120"/>
      <c r="BP629" s="120"/>
      <c r="BQ629" s="124"/>
      <c r="BR629" s="120"/>
      <c r="BS629" s="120"/>
      <c r="BT629" s="120"/>
      <c r="BU629" s="120"/>
      <c r="BV629" s="120"/>
      <c r="BW629" s="120"/>
      <c r="BZ629" s="136">
        <f t="shared" si="775"/>
        <v>0</v>
      </c>
      <c r="CA629" s="136">
        <f t="shared" si="776"/>
        <v>0</v>
      </c>
      <c r="CB629" s="136">
        <f t="shared" si="777"/>
        <v>0</v>
      </c>
      <c r="CC629" s="136">
        <f t="shared" si="778"/>
        <v>0</v>
      </c>
      <c r="CD629" s="135">
        <f t="shared" si="779"/>
        <v>0</v>
      </c>
      <c r="CE629" s="135">
        <f t="shared" si="780"/>
        <v>0</v>
      </c>
      <c r="CF629" s="134">
        <f t="shared" si="781"/>
        <v>0</v>
      </c>
      <c r="CG629" s="134">
        <f t="shared" si="782"/>
        <v>0</v>
      </c>
      <c r="CH629" s="133" t="e">
        <f t="shared" si="783"/>
        <v>#DIV/0!</v>
      </c>
    </row>
    <row r="630" spans="1:87" s="121" customFormat="1">
      <c r="A630" s="125">
        <f t="shared" si="787"/>
        <v>0</v>
      </c>
      <c r="B630" s="138" t="s">
        <v>187</v>
      </c>
      <c r="D630" s="121" t="s">
        <v>197</v>
      </c>
      <c r="G630" s="120"/>
      <c r="H630" s="120"/>
      <c r="M630" s="123"/>
      <c r="N630" s="121" t="s">
        <v>3403</v>
      </c>
      <c r="O630" s="121" t="s">
        <v>239</v>
      </c>
      <c r="Q630" s="122">
        <f>3100*2.4</f>
        <v>7440</v>
      </c>
      <c r="R630" s="122"/>
      <c r="S630" s="122">
        <v>7500</v>
      </c>
      <c r="T630" s="122"/>
      <c r="X630" s="122"/>
      <c r="AC630" s="122"/>
      <c r="AD630" s="122"/>
      <c r="AO630" s="122"/>
      <c r="BD630" s="120">
        <f t="shared" si="788"/>
        <v>0</v>
      </c>
      <c r="BE630" s="120">
        <f t="shared" si="785"/>
        <v>0</v>
      </c>
      <c r="BF630" s="137">
        <f t="shared" si="786"/>
        <v>0</v>
      </c>
      <c r="BG630" s="120"/>
      <c r="BH630" s="120"/>
      <c r="BI630" s="120"/>
      <c r="BJ630" s="120"/>
      <c r="BK630" s="120"/>
      <c r="BL630" s="120"/>
      <c r="BM630" s="120"/>
      <c r="BN630" s="120"/>
      <c r="BO630" s="124"/>
      <c r="BP630" s="124"/>
      <c r="BQ630" s="124"/>
      <c r="BR630" s="120"/>
      <c r="BS630" s="120"/>
      <c r="BT630" s="120"/>
      <c r="BU630" s="120"/>
      <c r="BV630" s="120"/>
      <c r="BW630" s="120"/>
      <c r="BZ630" s="136">
        <f t="shared" si="775"/>
        <v>0</v>
      </c>
      <c r="CA630" s="136">
        <f t="shared" si="776"/>
        <v>0</v>
      </c>
      <c r="CB630" s="136">
        <f t="shared" si="777"/>
        <v>0</v>
      </c>
      <c r="CC630" s="136">
        <f t="shared" si="778"/>
        <v>0</v>
      </c>
      <c r="CD630" s="135">
        <f t="shared" si="779"/>
        <v>0</v>
      </c>
      <c r="CE630" s="135">
        <f t="shared" si="780"/>
        <v>0</v>
      </c>
      <c r="CF630" s="134">
        <f t="shared" si="781"/>
        <v>0</v>
      </c>
      <c r="CG630" s="134">
        <f t="shared" si="782"/>
        <v>0</v>
      </c>
      <c r="CH630" s="133" t="e">
        <f t="shared" si="783"/>
        <v>#DIV/0!</v>
      </c>
    </row>
    <row r="631" spans="1:87" s="121" customFormat="1">
      <c r="A631" s="125">
        <f t="shared" si="787"/>
        <v>0</v>
      </c>
      <c r="B631" s="138" t="s">
        <v>187</v>
      </c>
      <c r="D631" s="121" t="s">
        <v>215</v>
      </c>
      <c r="F631" s="115"/>
      <c r="G631" s="120"/>
      <c r="H631" s="120"/>
      <c r="M631" s="123"/>
      <c r="N631" s="121" t="s">
        <v>310</v>
      </c>
      <c r="O631" s="121" t="s">
        <v>4173</v>
      </c>
      <c r="Q631" s="122">
        <f>3136*2.4</f>
        <v>7526.4</v>
      </c>
      <c r="R631" s="122"/>
      <c r="S631" s="122">
        <v>7500</v>
      </c>
      <c r="T631" s="122"/>
      <c r="BD631" s="120">
        <f t="shared" si="788"/>
        <v>0</v>
      </c>
      <c r="BE631" s="120">
        <f t="shared" si="785"/>
        <v>0</v>
      </c>
      <c r="BF631" s="137">
        <f t="shared" si="786"/>
        <v>0</v>
      </c>
      <c r="BG631" s="120"/>
      <c r="BH631" s="120"/>
      <c r="BI631" s="120"/>
      <c r="BJ631" s="120"/>
      <c r="BK631" s="120"/>
      <c r="BL631" s="120"/>
      <c r="BM631" s="120"/>
      <c r="BN631" s="120"/>
      <c r="BO631" s="120"/>
      <c r="BP631" s="120"/>
      <c r="BQ631" s="124"/>
      <c r="BR631" s="120"/>
      <c r="BS631" s="120"/>
      <c r="BT631" s="120"/>
      <c r="BU631" s="120"/>
      <c r="BV631" s="120"/>
      <c r="BW631" s="120"/>
      <c r="BZ631" s="136">
        <f t="shared" si="775"/>
        <v>0</v>
      </c>
      <c r="CA631" s="136">
        <f t="shared" si="776"/>
        <v>0</v>
      </c>
      <c r="CB631" s="136">
        <f t="shared" si="777"/>
        <v>0</v>
      </c>
      <c r="CC631" s="136">
        <f t="shared" si="778"/>
        <v>0</v>
      </c>
      <c r="CD631" s="135">
        <f t="shared" si="779"/>
        <v>0</v>
      </c>
      <c r="CE631" s="135">
        <f t="shared" si="780"/>
        <v>0</v>
      </c>
      <c r="CF631" s="134">
        <f t="shared" si="781"/>
        <v>0</v>
      </c>
      <c r="CG631" s="134">
        <f t="shared" si="782"/>
        <v>0</v>
      </c>
      <c r="CH631" s="133" t="e">
        <f t="shared" si="783"/>
        <v>#DIV/0!</v>
      </c>
    </row>
    <row r="632" spans="1:87" s="121" customFormat="1">
      <c r="A632" s="125">
        <f t="shared" si="787"/>
        <v>0</v>
      </c>
      <c r="B632" s="138" t="s">
        <v>187</v>
      </c>
      <c r="D632" s="121" t="s">
        <v>197</v>
      </c>
      <c r="F632" s="115"/>
      <c r="G632" s="120"/>
      <c r="H632" s="120"/>
      <c r="M632" s="123"/>
      <c r="N632" s="121" t="s">
        <v>4174</v>
      </c>
      <c r="O632" s="121" t="s">
        <v>4175</v>
      </c>
      <c r="Q632" s="122">
        <f>3245*2.4</f>
        <v>7788</v>
      </c>
      <c r="R632" s="122"/>
      <c r="S632" s="122">
        <v>7700</v>
      </c>
      <c r="BD632" s="120"/>
      <c r="BE632" s="120"/>
      <c r="BF632" s="137">
        <f t="shared" si="786"/>
        <v>0</v>
      </c>
      <c r="BG632" s="120"/>
      <c r="BH632" s="120"/>
      <c r="BI632" s="120"/>
      <c r="BJ632" s="120"/>
      <c r="BK632" s="120"/>
      <c r="BL632" s="120"/>
      <c r="BM632" s="120"/>
      <c r="BN632" s="120"/>
      <c r="BO632" s="120"/>
      <c r="BP632" s="120"/>
      <c r="BQ632" s="124"/>
      <c r="BR632" s="120"/>
      <c r="BS632" s="120"/>
      <c r="BT632" s="120"/>
      <c r="BU632" s="120"/>
      <c r="BV632" s="120"/>
      <c r="BW632" s="120"/>
      <c r="BZ632" s="136">
        <f t="shared" si="775"/>
        <v>0</v>
      </c>
      <c r="CA632" s="136">
        <f t="shared" si="776"/>
        <v>0</v>
      </c>
      <c r="CB632" s="136">
        <f t="shared" si="777"/>
        <v>0</v>
      </c>
      <c r="CC632" s="136">
        <f t="shared" si="778"/>
        <v>0</v>
      </c>
      <c r="CD632" s="135">
        <f t="shared" si="779"/>
        <v>0</v>
      </c>
      <c r="CE632" s="135">
        <f t="shared" si="780"/>
        <v>0</v>
      </c>
      <c r="CF632" s="134">
        <f t="shared" si="781"/>
        <v>0</v>
      </c>
      <c r="CG632" s="134">
        <f t="shared" si="782"/>
        <v>0</v>
      </c>
      <c r="CH632" s="133" t="e">
        <f t="shared" si="783"/>
        <v>#DIV/0!</v>
      </c>
    </row>
    <row r="633" spans="1:87" s="121" customFormat="1">
      <c r="A633" s="125">
        <f t="shared" si="787"/>
        <v>0</v>
      </c>
      <c r="B633" s="138" t="s">
        <v>187</v>
      </c>
      <c r="D633" s="121" t="s">
        <v>197</v>
      </c>
      <c r="F633" s="115"/>
      <c r="G633" s="120"/>
      <c r="H633" s="120"/>
      <c r="M633" s="123"/>
      <c r="N633" s="121" t="s">
        <v>492</v>
      </c>
      <c r="O633" s="121" t="s">
        <v>493</v>
      </c>
      <c r="Q633" s="122">
        <f>3152*2.4</f>
        <v>7564.7999999999993</v>
      </c>
      <c r="R633" s="122"/>
      <c r="S633" s="122">
        <v>7500</v>
      </c>
      <c r="T633" s="122"/>
      <c r="X633" s="226"/>
      <c r="Y633" s="226"/>
      <c r="Z633" s="226"/>
      <c r="AA633" s="226"/>
      <c r="AB633" s="226"/>
      <c r="AC633" s="226"/>
      <c r="AD633" s="226"/>
      <c r="AE633" s="226"/>
      <c r="AF633" s="226"/>
      <c r="AG633" s="226"/>
      <c r="AH633" s="226"/>
      <c r="AI633" s="226"/>
      <c r="AJ633" s="226"/>
      <c r="AK633" s="226"/>
      <c r="AL633" s="226"/>
      <c r="AM633" s="226"/>
      <c r="AN633" s="226"/>
      <c r="AO633" s="226"/>
      <c r="AP633" s="226"/>
      <c r="AQ633" s="226"/>
      <c r="AR633" s="226"/>
      <c r="AS633" s="226"/>
      <c r="AT633" s="226"/>
      <c r="AU633" s="226"/>
      <c r="AV633" s="226"/>
      <c r="AW633" s="226"/>
      <c r="AX633" s="226"/>
      <c r="AY633" s="226"/>
      <c r="AZ633" s="226"/>
      <c r="BA633" s="226"/>
      <c r="BB633" s="226"/>
      <c r="BC633" s="226"/>
      <c r="BD633" s="120">
        <f>BG633</f>
        <v>0</v>
      </c>
      <c r="BE633" s="120">
        <f>BW633</f>
        <v>0</v>
      </c>
      <c r="BF633" s="137">
        <f t="shared" si="786"/>
        <v>0</v>
      </c>
      <c r="BG633" s="120"/>
      <c r="BH633" s="120"/>
      <c r="BI633" s="120"/>
      <c r="BJ633" s="120"/>
      <c r="BK633" s="120"/>
      <c r="BL633" s="120"/>
      <c r="BM633" s="120"/>
      <c r="BN633" s="120"/>
      <c r="BO633" s="124"/>
      <c r="BP633" s="124"/>
      <c r="BQ633" s="124"/>
      <c r="BR633" s="120"/>
      <c r="BS633" s="120"/>
      <c r="BT633" s="120"/>
      <c r="BU633" s="120"/>
      <c r="BV633" s="120"/>
      <c r="BW633" s="120"/>
      <c r="BZ633" s="136">
        <f t="shared" si="775"/>
        <v>0</v>
      </c>
      <c r="CA633" s="136">
        <f t="shared" si="776"/>
        <v>0</v>
      </c>
      <c r="CB633" s="136">
        <f t="shared" si="777"/>
        <v>0</v>
      </c>
      <c r="CC633" s="136">
        <f t="shared" si="778"/>
        <v>0</v>
      </c>
      <c r="CD633" s="135">
        <f t="shared" si="779"/>
        <v>0</v>
      </c>
      <c r="CE633" s="135">
        <f t="shared" si="780"/>
        <v>0</v>
      </c>
      <c r="CF633" s="134">
        <f t="shared" si="781"/>
        <v>0</v>
      </c>
      <c r="CG633" s="134">
        <f t="shared" si="782"/>
        <v>0</v>
      </c>
      <c r="CH633" s="133" t="e">
        <f t="shared" si="783"/>
        <v>#DIV/0!</v>
      </c>
    </row>
    <row r="634" spans="1:87" s="121" customFormat="1">
      <c r="A634" s="125">
        <f>BJ634</f>
        <v>0</v>
      </c>
      <c r="B634" s="138" t="s">
        <v>187</v>
      </c>
      <c r="D634" s="121" t="s">
        <v>197</v>
      </c>
      <c r="G634" s="120"/>
      <c r="H634" s="120"/>
      <c r="M634" s="123"/>
      <c r="N634" s="121" t="s">
        <v>361</v>
      </c>
      <c r="O634" s="121" t="s">
        <v>362</v>
      </c>
      <c r="Q634" s="122">
        <f>3031*2.4</f>
        <v>7274.4</v>
      </c>
      <c r="R634" s="122"/>
      <c r="S634" s="122">
        <v>7300</v>
      </c>
      <c r="T634" s="122"/>
      <c r="BD634" s="120">
        <f>BG634</f>
        <v>0</v>
      </c>
      <c r="BE634" s="120">
        <f>BW634</f>
        <v>0</v>
      </c>
      <c r="BF634" s="137">
        <f>BE634-BD634</f>
        <v>0</v>
      </c>
      <c r="BG634" s="120"/>
      <c r="BH634" s="120"/>
      <c r="BI634" s="120"/>
      <c r="BJ634" s="120"/>
      <c r="BK634" s="120"/>
      <c r="BL634" s="120"/>
      <c r="BM634" s="120"/>
      <c r="BN634" s="120"/>
      <c r="BO634" s="120"/>
      <c r="BP634" s="120"/>
      <c r="BQ634" s="124"/>
      <c r="BR634" s="120"/>
      <c r="BS634" s="120"/>
      <c r="BT634" s="120"/>
      <c r="BU634" s="120"/>
      <c r="BV634" s="120"/>
      <c r="BW634" s="120"/>
      <c r="BZ634" s="136">
        <f t="shared" si="775"/>
        <v>0</v>
      </c>
      <c r="CA634" s="136">
        <f t="shared" si="776"/>
        <v>0</v>
      </c>
      <c r="CB634" s="136">
        <f t="shared" si="777"/>
        <v>0</v>
      </c>
      <c r="CC634" s="136">
        <f t="shared" si="778"/>
        <v>0</v>
      </c>
      <c r="CD634" s="135">
        <f t="shared" si="779"/>
        <v>0</v>
      </c>
      <c r="CE634" s="135">
        <f t="shared" si="780"/>
        <v>0</v>
      </c>
      <c r="CF634" s="134">
        <f t="shared" si="781"/>
        <v>0</v>
      </c>
      <c r="CG634" s="134">
        <f t="shared" si="782"/>
        <v>0</v>
      </c>
      <c r="CH634" s="133" t="e">
        <f t="shared" si="783"/>
        <v>#DIV/0!</v>
      </c>
    </row>
    <row r="635" spans="1:87" s="121" customFormat="1">
      <c r="A635" s="125">
        <f t="shared" si="787"/>
        <v>0</v>
      </c>
      <c r="B635" s="138" t="s">
        <v>187</v>
      </c>
      <c r="D635" s="121" t="s">
        <v>197</v>
      </c>
      <c r="G635" s="120"/>
      <c r="H635" s="120"/>
      <c r="M635" s="123"/>
      <c r="N635" s="121" t="s">
        <v>361</v>
      </c>
      <c r="O635" s="121" t="s">
        <v>4149</v>
      </c>
      <c r="Q635" s="122">
        <f>3031*2.4</f>
        <v>7274.4</v>
      </c>
      <c r="R635" s="122"/>
      <c r="S635" s="122">
        <v>7300</v>
      </c>
      <c r="T635" s="122"/>
      <c r="BD635" s="120">
        <f>BG635</f>
        <v>0</v>
      </c>
      <c r="BE635" s="120">
        <f>BW635</f>
        <v>0</v>
      </c>
      <c r="BF635" s="137">
        <f t="shared" si="786"/>
        <v>0</v>
      </c>
      <c r="BG635" s="120"/>
      <c r="BH635" s="120"/>
      <c r="BI635" s="120"/>
      <c r="BJ635" s="120"/>
      <c r="BK635" s="120"/>
      <c r="BL635" s="120"/>
      <c r="BM635" s="120"/>
      <c r="BN635" s="120"/>
      <c r="BO635" s="120"/>
      <c r="BP635" s="120"/>
      <c r="BQ635" s="124"/>
      <c r="BR635" s="120"/>
      <c r="BS635" s="120"/>
      <c r="BT635" s="120"/>
      <c r="BU635" s="120"/>
      <c r="BV635" s="120"/>
      <c r="BW635" s="120"/>
      <c r="BZ635" s="136">
        <f t="shared" si="775"/>
        <v>0</v>
      </c>
      <c r="CA635" s="136">
        <f t="shared" si="776"/>
        <v>0</v>
      </c>
      <c r="CB635" s="136">
        <f t="shared" si="777"/>
        <v>0</v>
      </c>
      <c r="CC635" s="136">
        <f t="shared" si="778"/>
        <v>0</v>
      </c>
      <c r="CD635" s="135">
        <f t="shared" si="779"/>
        <v>0</v>
      </c>
      <c r="CE635" s="135">
        <f t="shared" si="780"/>
        <v>0</v>
      </c>
      <c r="CF635" s="134">
        <f t="shared" si="781"/>
        <v>0</v>
      </c>
      <c r="CG635" s="134">
        <f t="shared" si="782"/>
        <v>0</v>
      </c>
      <c r="CH635" s="133" t="e">
        <f t="shared" si="783"/>
        <v>#DIV/0!</v>
      </c>
    </row>
    <row r="636" spans="1:87" s="121" customFormat="1">
      <c r="A636" s="125">
        <f t="shared" si="787"/>
        <v>0</v>
      </c>
      <c r="B636" s="138" t="s">
        <v>187</v>
      </c>
      <c r="D636" s="121" t="s">
        <v>197</v>
      </c>
      <c r="G636" s="120"/>
      <c r="H636" s="120"/>
      <c r="M636" s="123"/>
      <c r="N636" s="121" t="s">
        <v>361</v>
      </c>
      <c r="O636" s="121" t="s">
        <v>2208</v>
      </c>
      <c r="Q636" s="122">
        <f>3031*2.4</f>
        <v>7274.4</v>
      </c>
      <c r="R636" s="122"/>
      <c r="S636" s="122">
        <v>7300</v>
      </c>
      <c r="T636" s="122"/>
      <c r="BD636" s="120">
        <f>BG636</f>
        <v>0</v>
      </c>
      <c r="BE636" s="120">
        <f>BW636</f>
        <v>0</v>
      </c>
      <c r="BF636" s="137">
        <f t="shared" si="786"/>
        <v>0</v>
      </c>
      <c r="BG636" s="120"/>
      <c r="BH636" s="120"/>
      <c r="BI636" s="120"/>
      <c r="BJ636" s="120"/>
      <c r="BK636" s="120"/>
      <c r="BL636" s="120"/>
      <c r="BM636" s="120"/>
      <c r="BN636" s="120"/>
      <c r="BO636" s="120"/>
      <c r="BP636" s="120"/>
      <c r="BQ636" s="124"/>
      <c r="BR636" s="120"/>
      <c r="BS636" s="120"/>
      <c r="BT636" s="120"/>
      <c r="BU636" s="120"/>
      <c r="BV636" s="120"/>
      <c r="BW636" s="120"/>
      <c r="BZ636" s="136">
        <f t="shared" si="775"/>
        <v>0</v>
      </c>
      <c r="CA636" s="136">
        <f t="shared" si="776"/>
        <v>0</v>
      </c>
      <c r="CB636" s="136">
        <f t="shared" si="777"/>
        <v>0</v>
      </c>
      <c r="CC636" s="136">
        <f t="shared" si="778"/>
        <v>0</v>
      </c>
      <c r="CD636" s="135">
        <f t="shared" si="779"/>
        <v>0</v>
      </c>
      <c r="CE636" s="135">
        <f t="shared" si="780"/>
        <v>0</v>
      </c>
      <c r="CF636" s="134">
        <f t="shared" si="781"/>
        <v>0</v>
      </c>
      <c r="CG636" s="134">
        <f t="shared" si="782"/>
        <v>0</v>
      </c>
      <c r="CH636" s="133" t="e">
        <f t="shared" si="783"/>
        <v>#DIV/0!</v>
      </c>
    </row>
    <row r="637" spans="1:87" s="121" customFormat="1">
      <c r="A637" s="125">
        <f t="shared" si="787"/>
        <v>0</v>
      </c>
      <c r="B637" s="138" t="s">
        <v>187</v>
      </c>
      <c r="D637" s="121" t="s">
        <v>215</v>
      </c>
      <c r="F637" s="115"/>
      <c r="G637" s="120"/>
      <c r="H637" s="120"/>
      <c r="M637" s="123"/>
      <c r="N637" s="121" t="s">
        <v>352</v>
      </c>
      <c r="O637" s="121" t="s">
        <v>285</v>
      </c>
      <c r="Q637" s="122">
        <f>3852*2.4</f>
        <v>9244.7999999999993</v>
      </c>
      <c r="R637" s="122"/>
      <c r="S637" s="122">
        <v>9200</v>
      </c>
      <c r="T637" s="122"/>
      <c r="BD637" s="120">
        <f>BG637</f>
        <v>0</v>
      </c>
      <c r="BE637" s="120">
        <f>BW637</f>
        <v>0</v>
      </c>
      <c r="BF637" s="137">
        <f t="shared" si="786"/>
        <v>0</v>
      </c>
      <c r="BG637" s="120"/>
      <c r="BH637" s="120"/>
      <c r="BI637" s="120"/>
      <c r="BJ637" s="120"/>
      <c r="BK637" s="120"/>
      <c r="BL637" s="120"/>
      <c r="BM637" s="120"/>
      <c r="BN637" s="120"/>
      <c r="BO637" s="120"/>
      <c r="BP637" s="120"/>
      <c r="BQ637" s="124"/>
      <c r="BR637" s="120"/>
      <c r="BS637" s="120"/>
      <c r="BT637" s="120"/>
      <c r="BU637" s="120"/>
      <c r="BV637" s="120"/>
      <c r="BW637" s="120"/>
      <c r="BZ637" s="136">
        <f t="shared" si="775"/>
        <v>0</v>
      </c>
      <c r="CA637" s="136">
        <f t="shared" si="776"/>
        <v>0</v>
      </c>
      <c r="CB637" s="136">
        <f t="shared" si="777"/>
        <v>0</v>
      </c>
      <c r="CC637" s="136">
        <f t="shared" si="778"/>
        <v>0</v>
      </c>
      <c r="CD637" s="135">
        <f t="shared" si="779"/>
        <v>0</v>
      </c>
      <c r="CE637" s="135">
        <f t="shared" si="780"/>
        <v>0</v>
      </c>
      <c r="CF637" s="134">
        <f t="shared" si="781"/>
        <v>0</v>
      </c>
      <c r="CG637" s="134">
        <f t="shared" si="782"/>
        <v>0</v>
      </c>
      <c r="CH637" s="133" t="e">
        <f t="shared" si="783"/>
        <v>#DIV/0!</v>
      </c>
    </row>
    <row r="638" spans="1:87" s="121" customFormat="1">
      <c r="A638" s="125">
        <f t="shared" si="787"/>
        <v>0</v>
      </c>
      <c r="B638" s="138" t="s">
        <v>187</v>
      </c>
      <c r="D638" s="121" t="s">
        <v>197</v>
      </c>
      <c r="G638" s="120"/>
      <c r="H638" s="120"/>
      <c r="M638" s="123"/>
      <c r="N638" s="121" t="s">
        <v>343</v>
      </c>
      <c r="O638" s="121" t="s">
        <v>4125</v>
      </c>
      <c r="Q638" s="122">
        <f>3141*2.3</f>
        <v>7224.2999999999993</v>
      </c>
      <c r="R638" s="122"/>
      <c r="S638" s="122">
        <v>7300</v>
      </c>
      <c r="T638" s="122"/>
      <c r="BD638" s="120">
        <f t="shared" ref="BD638:BD648" si="789">BG638</f>
        <v>0</v>
      </c>
      <c r="BE638" s="120">
        <f t="shared" ref="BE638:BE701" si="790">BW638</f>
        <v>0</v>
      </c>
      <c r="BF638" s="137">
        <f t="shared" si="786"/>
        <v>0</v>
      </c>
      <c r="BG638" s="120"/>
      <c r="BH638" s="120"/>
      <c r="BI638" s="120"/>
      <c r="BJ638" s="120"/>
      <c r="BK638" s="120"/>
      <c r="BL638" s="120"/>
      <c r="BM638" s="120"/>
      <c r="BN638" s="120"/>
      <c r="BO638" s="120"/>
      <c r="BP638" s="120"/>
      <c r="BQ638" s="124"/>
      <c r="BR638" s="120"/>
      <c r="BS638" s="120"/>
      <c r="BT638" s="120"/>
      <c r="BU638" s="120"/>
      <c r="BV638" s="120"/>
      <c r="BW638" s="120"/>
      <c r="BZ638" s="136">
        <f t="shared" si="775"/>
        <v>0</v>
      </c>
      <c r="CA638" s="136">
        <f t="shared" si="776"/>
        <v>0</v>
      </c>
      <c r="CB638" s="136">
        <f t="shared" si="777"/>
        <v>0</v>
      </c>
      <c r="CC638" s="136">
        <f t="shared" si="778"/>
        <v>0</v>
      </c>
      <c r="CD638" s="135">
        <f t="shared" si="779"/>
        <v>0</v>
      </c>
      <c r="CE638" s="135">
        <f t="shared" si="780"/>
        <v>0</v>
      </c>
      <c r="CF638" s="134">
        <f t="shared" si="781"/>
        <v>0</v>
      </c>
      <c r="CG638" s="134">
        <f t="shared" si="782"/>
        <v>0</v>
      </c>
      <c r="CH638" s="133" t="e">
        <f t="shared" si="783"/>
        <v>#DIV/0!</v>
      </c>
    </row>
    <row r="639" spans="1:87" s="121" customFormat="1">
      <c r="A639" s="125">
        <f t="shared" si="787"/>
        <v>0</v>
      </c>
      <c r="B639" s="138" t="s">
        <v>187</v>
      </c>
      <c r="D639" s="121" t="s">
        <v>197</v>
      </c>
      <c r="F639" s="115"/>
      <c r="G639" s="120"/>
      <c r="H639" s="120"/>
      <c r="M639" s="123"/>
      <c r="N639" s="121" t="s">
        <v>343</v>
      </c>
      <c r="O639" s="121" t="s">
        <v>4125</v>
      </c>
      <c r="Q639" s="122">
        <f>3141*2.4</f>
        <v>7538.4</v>
      </c>
      <c r="R639" s="122"/>
      <c r="S639" s="122">
        <v>7500</v>
      </c>
      <c r="T639" s="122"/>
      <c r="BD639" s="120">
        <f t="shared" si="789"/>
        <v>0</v>
      </c>
      <c r="BE639" s="120">
        <f t="shared" si="790"/>
        <v>0</v>
      </c>
      <c r="BF639" s="137">
        <f t="shared" si="786"/>
        <v>0</v>
      </c>
      <c r="BG639" s="120"/>
      <c r="BH639" s="120"/>
      <c r="BI639" s="120"/>
      <c r="BJ639" s="120"/>
      <c r="BK639" s="120"/>
      <c r="BL639" s="120"/>
      <c r="BM639" s="120"/>
      <c r="BN639" s="120"/>
      <c r="BO639" s="140"/>
      <c r="BP639" s="140"/>
      <c r="BQ639" s="124"/>
      <c r="BR639" s="120"/>
      <c r="BS639" s="120"/>
      <c r="BT639" s="120"/>
      <c r="BU639" s="120"/>
      <c r="BV639" s="120"/>
      <c r="BW639" s="120"/>
      <c r="BZ639" s="136">
        <f t="shared" si="775"/>
        <v>0</v>
      </c>
      <c r="CA639" s="136">
        <f t="shared" si="776"/>
        <v>0</v>
      </c>
      <c r="CB639" s="136">
        <f t="shared" si="777"/>
        <v>0</v>
      </c>
      <c r="CC639" s="136">
        <f t="shared" si="778"/>
        <v>0</v>
      </c>
      <c r="CD639" s="135">
        <f t="shared" si="779"/>
        <v>0</v>
      </c>
      <c r="CE639" s="135">
        <f t="shared" si="780"/>
        <v>0</v>
      </c>
      <c r="CF639" s="134">
        <f t="shared" si="781"/>
        <v>0</v>
      </c>
      <c r="CG639" s="134">
        <f t="shared" si="782"/>
        <v>0</v>
      </c>
      <c r="CH639" s="133" t="e">
        <f t="shared" si="783"/>
        <v>#DIV/0!</v>
      </c>
    </row>
    <row r="640" spans="1:87" s="121" customFormat="1">
      <c r="A640" s="125">
        <f t="shared" si="787"/>
        <v>0</v>
      </c>
      <c r="B640" s="138" t="s">
        <v>187</v>
      </c>
      <c r="D640" s="121" t="s">
        <v>215</v>
      </c>
      <c r="F640" s="115"/>
      <c r="G640" s="120"/>
      <c r="H640" s="120"/>
      <c r="M640" s="123"/>
      <c r="N640" s="121" t="s">
        <v>4176</v>
      </c>
      <c r="O640" s="121" t="s">
        <v>285</v>
      </c>
      <c r="Q640" s="122">
        <f>3852*2.4</f>
        <v>9244.7999999999993</v>
      </c>
      <c r="R640" s="122"/>
      <c r="S640" s="122">
        <v>9200</v>
      </c>
      <c r="T640" s="122"/>
      <c r="BD640" s="120">
        <f t="shared" si="789"/>
        <v>0</v>
      </c>
      <c r="BE640" s="120">
        <f t="shared" si="790"/>
        <v>0</v>
      </c>
      <c r="BF640" s="137">
        <f t="shared" si="786"/>
        <v>0</v>
      </c>
      <c r="BG640" s="120"/>
      <c r="BH640" s="120"/>
      <c r="BI640" s="120"/>
      <c r="BJ640" s="120"/>
      <c r="BK640" s="120"/>
      <c r="BL640" s="120"/>
      <c r="BM640" s="120"/>
      <c r="BN640" s="120"/>
      <c r="BO640" s="120"/>
      <c r="BP640" s="120"/>
      <c r="BQ640" s="124"/>
      <c r="BR640" s="120"/>
      <c r="BS640" s="120"/>
      <c r="BT640" s="120"/>
      <c r="BU640" s="120"/>
      <c r="BV640" s="120"/>
      <c r="BW640" s="120"/>
      <c r="BZ640" s="136">
        <f t="shared" si="775"/>
        <v>0</v>
      </c>
      <c r="CA640" s="136">
        <f t="shared" si="776"/>
        <v>0</v>
      </c>
      <c r="CB640" s="136">
        <f t="shared" si="777"/>
        <v>0</v>
      </c>
      <c r="CC640" s="136">
        <f t="shared" si="778"/>
        <v>0</v>
      </c>
      <c r="CD640" s="135">
        <f t="shared" si="779"/>
        <v>0</v>
      </c>
      <c r="CE640" s="135">
        <f t="shared" si="780"/>
        <v>0</v>
      </c>
      <c r="CF640" s="134">
        <f t="shared" si="781"/>
        <v>0</v>
      </c>
      <c r="CG640" s="134">
        <f t="shared" si="782"/>
        <v>0</v>
      </c>
      <c r="CH640" s="133" t="e">
        <f t="shared" si="783"/>
        <v>#DIV/0!</v>
      </c>
    </row>
    <row r="641" spans="1:87">
      <c r="A641" s="125">
        <f t="shared" si="787"/>
        <v>0</v>
      </c>
      <c r="B641" s="138" t="s">
        <v>187</v>
      </c>
      <c r="C641" s="121"/>
      <c r="D641" s="121" t="s">
        <v>215</v>
      </c>
      <c r="E641" s="121"/>
      <c r="G641" s="120"/>
      <c r="H641" s="120"/>
      <c r="I641" s="121"/>
      <c r="J641" s="121"/>
      <c r="K641" s="121"/>
      <c r="L641" s="121"/>
      <c r="M641" s="123"/>
      <c r="N641" s="121" t="s">
        <v>4176</v>
      </c>
      <c r="O641" s="121" t="s">
        <v>285</v>
      </c>
      <c r="P641" s="121"/>
      <c r="Q641" s="122">
        <f>3852*2.4</f>
        <v>9244.7999999999993</v>
      </c>
      <c r="R641" s="122"/>
      <c r="S641" s="122">
        <v>9200</v>
      </c>
      <c r="T641" s="122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  <c r="AL641" s="121"/>
      <c r="AM641" s="121"/>
      <c r="AN641" s="121"/>
      <c r="AO641" s="121"/>
      <c r="AP641" s="121"/>
      <c r="AQ641" s="121"/>
      <c r="AR641" s="121"/>
      <c r="AS641" s="121"/>
      <c r="AT641" s="121"/>
      <c r="AU641" s="121"/>
      <c r="AV641" s="121"/>
      <c r="AW641" s="121"/>
      <c r="AX641" s="121"/>
      <c r="AY641" s="121"/>
      <c r="AZ641" s="121"/>
      <c r="BA641" s="121"/>
      <c r="BB641" s="121"/>
      <c r="BC641" s="121"/>
      <c r="BD641" s="120">
        <f t="shared" si="789"/>
        <v>0</v>
      </c>
      <c r="BE641" s="120">
        <f t="shared" si="790"/>
        <v>0</v>
      </c>
      <c r="BF641" s="137">
        <f t="shared" si="786"/>
        <v>0</v>
      </c>
      <c r="BG641" s="120"/>
      <c r="BH641" s="120"/>
      <c r="BI641" s="120"/>
      <c r="BJ641" s="120"/>
      <c r="BK641" s="120"/>
      <c r="BL641" s="120"/>
      <c r="BM641" s="120"/>
      <c r="BN641" s="120"/>
      <c r="BO641" s="120"/>
      <c r="BP641" s="120"/>
      <c r="BQ641" s="124"/>
      <c r="BR641" s="120"/>
      <c r="BS641" s="120"/>
      <c r="BT641" s="120"/>
      <c r="BU641" s="120"/>
      <c r="BV641" s="120"/>
      <c r="BW641" s="120"/>
      <c r="BX641" s="121"/>
      <c r="BY641" s="121"/>
      <c r="BZ641" s="136">
        <f t="shared" si="775"/>
        <v>0</v>
      </c>
      <c r="CA641" s="136">
        <f t="shared" si="776"/>
        <v>0</v>
      </c>
      <c r="CB641" s="136">
        <f t="shared" si="777"/>
        <v>0</v>
      </c>
      <c r="CC641" s="136">
        <f t="shared" si="778"/>
        <v>0</v>
      </c>
      <c r="CD641" s="135">
        <f t="shared" si="779"/>
        <v>0</v>
      </c>
      <c r="CE641" s="135">
        <f t="shared" si="780"/>
        <v>0</v>
      </c>
      <c r="CF641" s="134">
        <f t="shared" si="781"/>
        <v>0</v>
      </c>
      <c r="CG641" s="134">
        <f t="shared" si="782"/>
        <v>0</v>
      </c>
      <c r="CH641" s="133" t="e">
        <f t="shared" si="783"/>
        <v>#DIV/0!</v>
      </c>
      <c r="CI641" s="121"/>
    </row>
    <row r="642" spans="1:87" s="121" customFormat="1">
      <c r="A642" s="125">
        <f t="shared" si="787"/>
        <v>0</v>
      </c>
      <c r="B642" s="138" t="s">
        <v>187</v>
      </c>
      <c r="D642" s="121" t="s">
        <v>215</v>
      </c>
      <c r="G642" s="120"/>
      <c r="H642" s="120"/>
      <c r="M642" s="123"/>
      <c r="N642" s="121" t="s">
        <v>4177</v>
      </c>
      <c r="O642" s="121" t="s">
        <v>285</v>
      </c>
      <c r="Q642" s="122">
        <f>3852*2.4</f>
        <v>9244.7999999999993</v>
      </c>
      <c r="R642" s="122"/>
      <c r="S642" s="122">
        <v>9200</v>
      </c>
      <c r="T642" s="122"/>
      <c r="BD642" s="120">
        <f t="shared" si="789"/>
        <v>0</v>
      </c>
      <c r="BE642" s="120">
        <f t="shared" si="790"/>
        <v>0</v>
      </c>
      <c r="BF642" s="137">
        <f t="shared" si="786"/>
        <v>0</v>
      </c>
      <c r="BG642" s="120"/>
      <c r="BH642" s="120"/>
      <c r="BI642" s="120"/>
      <c r="BJ642" s="120"/>
      <c r="BK642" s="120"/>
      <c r="BL642" s="120"/>
      <c r="BM642" s="120"/>
      <c r="BN642" s="120"/>
      <c r="BO642" s="120"/>
      <c r="BP642" s="120"/>
      <c r="BQ642" s="124"/>
      <c r="BR642" s="120"/>
      <c r="BS642" s="120"/>
      <c r="BT642" s="120"/>
      <c r="BU642" s="120"/>
      <c r="BV642" s="120"/>
      <c r="BW642" s="120"/>
      <c r="BZ642" s="136">
        <f t="shared" si="775"/>
        <v>0</v>
      </c>
      <c r="CA642" s="136">
        <f t="shared" si="776"/>
        <v>0</v>
      </c>
      <c r="CB642" s="136">
        <f t="shared" si="777"/>
        <v>0</v>
      </c>
      <c r="CC642" s="136">
        <f t="shared" si="778"/>
        <v>0</v>
      </c>
      <c r="CD642" s="135">
        <f t="shared" si="779"/>
        <v>0</v>
      </c>
      <c r="CE642" s="135">
        <f t="shared" si="780"/>
        <v>0</v>
      </c>
      <c r="CF642" s="134">
        <f t="shared" si="781"/>
        <v>0</v>
      </c>
      <c r="CG642" s="134">
        <f t="shared" si="782"/>
        <v>0</v>
      </c>
      <c r="CH642" s="133" t="e">
        <f t="shared" si="783"/>
        <v>#DIV/0!</v>
      </c>
    </row>
    <row r="643" spans="1:87" s="121" customFormat="1">
      <c r="A643" s="125">
        <f t="shared" si="787"/>
        <v>0</v>
      </c>
      <c r="D643" s="121" t="s">
        <v>197</v>
      </c>
      <c r="G643" s="120"/>
      <c r="H643" s="120"/>
      <c r="M643" s="123"/>
      <c r="N643" s="121" t="s">
        <v>367</v>
      </c>
      <c r="O643" s="121" t="s">
        <v>4128</v>
      </c>
      <c r="Q643" s="122">
        <f>3142*2.4</f>
        <v>7540.7999999999993</v>
      </c>
      <c r="R643" s="122"/>
      <c r="S643" s="122"/>
      <c r="T643" s="122"/>
      <c r="X643" s="122"/>
      <c r="Y643" s="122"/>
      <c r="BD643" s="120">
        <f t="shared" si="789"/>
        <v>0</v>
      </c>
      <c r="BE643" s="120">
        <f t="shared" si="790"/>
        <v>0</v>
      </c>
      <c r="BF643" s="137">
        <f t="shared" si="786"/>
        <v>0</v>
      </c>
      <c r="BG643" s="120"/>
      <c r="BH643" s="120"/>
      <c r="BI643" s="120"/>
      <c r="BJ643" s="120"/>
      <c r="BK643" s="120"/>
      <c r="BL643" s="120"/>
      <c r="BM643" s="120"/>
      <c r="BN643" s="120"/>
      <c r="BO643" s="120"/>
      <c r="BP643" s="120"/>
      <c r="BQ643" s="124"/>
      <c r="BR643" s="120"/>
      <c r="BS643" s="120"/>
      <c r="BT643" s="120"/>
      <c r="BU643" s="120"/>
      <c r="BV643" s="120"/>
      <c r="BW643" s="120"/>
      <c r="BZ643" s="136">
        <f t="shared" si="775"/>
        <v>0</v>
      </c>
      <c r="CA643" s="136">
        <f t="shared" si="776"/>
        <v>0</v>
      </c>
      <c r="CB643" s="136">
        <f t="shared" si="777"/>
        <v>0</v>
      </c>
      <c r="CC643" s="136">
        <f t="shared" si="778"/>
        <v>0</v>
      </c>
      <c r="CD643" s="135">
        <f t="shared" si="779"/>
        <v>0</v>
      </c>
      <c r="CE643" s="135">
        <f t="shared" si="780"/>
        <v>0</v>
      </c>
      <c r="CF643" s="134">
        <f t="shared" si="781"/>
        <v>0</v>
      </c>
      <c r="CG643" s="134">
        <f t="shared" si="782"/>
        <v>0</v>
      </c>
      <c r="CH643" s="133" t="e">
        <f t="shared" si="783"/>
        <v>#DIV/0!</v>
      </c>
    </row>
    <row r="644" spans="1:87" s="121" customFormat="1">
      <c r="A644" s="125">
        <f t="shared" si="787"/>
        <v>0</v>
      </c>
      <c r="D644" s="121" t="s">
        <v>197</v>
      </c>
      <c r="G644" s="120"/>
      <c r="H644" s="120"/>
      <c r="M644" s="123"/>
      <c r="N644" s="121" t="s">
        <v>4178</v>
      </c>
      <c r="O644" s="121" t="s">
        <v>438</v>
      </c>
      <c r="Q644" s="122">
        <f>3136*2.4</f>
        <v>7526.4</v>
      </c>
      <c r="R644" s="122"/>
      <c r="S644" s="122"/>
      <c r="T644" s="122"/>
      <c r="X644" s="122"/>
      <c r="Y644" s="122"/>
      <c r="BD644" s="120">
        <f t="shared" si="789"/>
        <v>0</v>
      </c>
      <c r="BE644" s="120">
        <f t="shared" si="790"/>
        <v>0</v>
      </c>
      <c r="BF644" s="137">
        <f t="shared" si="786"/>
        <v>0</v>
      </c>
      <c r="BG644" s="120"/>
      <c r="BH644" s="120"/>
      <c r="BI644" s="120"/>
      <c r="BJ644" s="120"/>
      <c r="BK644" s="120"/>
      <c r="BL644" s="120"/>
      <c r="BM644" s="120"/>
      <c r="BN644" s="120"/>
      <c r="BO644" s="120"/>
      <c r="BP644" s="120"/>
      <c r="BQ644" s="124"/>
      <c r="BR644" s="120"/>
      <c r="BS644" s="120"/>
      <c r="BT644" s="120"/>
      <c r="BU644" s="120"/>
      <c r="BV644" s="120"/>
      <c r="BW644" s="120"/>
      <c r="BZ644" s="136">
        <f t="shared" si="775"/>
        <v>0</v>
      </c>
      <c r="CA644" s="136">
        <f t="shared" si="776"/>
        <v>0</v>
      </c>
      <c r="CB644" s="136">
        <f t="shared" si="777"/>
        <v>0</v>
      </c>
      <c r="CC644" s="136">
        <f t="shared" si="778"/>
        <v>0</v>
      </c>
      <c r="CD644" s="135">
        <f t="shared" si="779"/>
        <v>0</v>
      </c>
      <c r="CE644" s="135">
        <f t="shared" si="780"/>
        <v>0</v>
      </c>
      <c r="CF644" s="134">
        <f t="shared" si="781"/>
        <v>0</v>
      </c>
      <c r="CG644" s="134">
        <f t="shared" si="782"/>
        <v>0</v>
      </c>
      <c r="CH644" s="133" t="e">
        <f t="shared" si="783"/>
        <v>#DIV/0!</v>
      </c>
    </row>
    <row r="645" spans="1:87" s="121" customFormat="1">
      <c r="A645" s="125">
        <f t="shared" si="787"/>
        <v>0</v>
      </c>
      <c r="D645" s="121" t="s">
        <v>215</v>
      </c>
      <c r="G645" s="124"/>
      <c r="H645" s="124"/>
      <c r="I645" s="122"/>
      <c r="M645" s="123"/>
      <c r="N645" s="121" t="s">
        <v>4179</v>
      </c>
      <c r="O645" s="121" t="s">
        <v>4180</v>
      </c>
      <c r="Q645" s="122">
        <f>3107*2.4</f>
        <v>7456.7999999999993</v>
      </c>
      <c r="R645" s="122"/>
      <c r="S645" s="122"/>
      <c r="T645" s="122"/>
      <c r="BD645" s="120">
        <f t="shared" si="789"/>
        <v>0</v>
      </c>
      <c r="BE645" s="120">
        <f t="shared" si="790"/>
        <v>0</v>
      </c>
      <c r="BF645" s="137">
        <f t="shared" si="786"/>
        <v>0</v>
      </c>
      <c r="BG645" s="120"/>
      <c r="BH645" s="120"/>
      <c r="BI645" s="120"/>
      <c r="BJ645" s="120"/>
      <c r="BK645" s="120"/>
      <c r="BL645" s="120"/>
      <c r="BM645" s="120"/>
      <c r="BN645" s="120"/>
      <c r="BO645" s="120"/>
      <c r="BP645" s="120"/>
      <c r="BQ645" s="124"/>
      <c r="BR645" s="120"/>
      <c r="BS645" s="120"/>
      <c r="BT645" s="120"/>
      <c r="BU645" s="120"/>
      <c r="BV645" s="120"/>
      <c r="BW645" s="120"/>
      <c r="BZ645" s="136">
        <f t="shared" si="775"/>
        <v>0</v>
      </c>
      <c r="CA645" s="136">
        <f t="shared" si="776"/>
        <v>0</v>
      </c>
      <c r="CB645" s="136">
        <f t="shared" si="777"/>
        <v>0</v>
      </c>
      <c r="CC645" s="136">
        <f t="shared" si="778"/>
        <v>0</v>
      </c>
      <c r="CD645" s="135">
        <f t="shared" si="779"/>
        <v>0</v>
      </c>
      <c r="CE645" s="135">
        <f t="shared" si="780"/>
        <v>0</v>
      </c>
      <c r="CF645" s="134">
        <f t="shared" si="781"/>
        <v>0</v>
      </c>
      <c r="CG645" s="134">
        <f t="shared" si="782"/>
        <v>0</v>
      </c>
      <c r="CH645" s="133" t="e">
        <f t="shared" si="783"/>
        <v>#DIV/0!</v>
      </c>
    </row>
    <row r="646" spans="1:87" s="128" customFormat="1">
      <c r="A646" s="125">
        <f t="shared" si="787"/>
        <v>0</v>
      </c>
      <c r="B646" s="121"/>
      <c r="C646" s="121"/>
      <c r="D646" s="121" t="s">
        <v>215</v>
      </c>
      <c r="E646" s="121"/>
      <c r="F646" s="121"/>
      <c r="G646" s="124"/>
      <c r="H646" s="124"/>
      <c r="I646" s="122"/>
      <c r="J646" s="121"/>
      <c r="K646" s="121"/>
      <c r="L646" s="121"/>
      <c r="M646" s="123"/>
      <c r="N646" s="121" t="s">
        <v>301</v>
      </c>
      <c r="O646" s="121" t="s">
        <v>359</v>
      </c>
      <c r="P646" s="121"/>
      <c r="Q646" s="122">
        <f>3852*2.4</f>
        <v>9244.7999999999993</v>
      </c>
      <c r="R646" s="122"/>
      <c r="S646" s="122"/>
      <c r="T646" s="122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  <c r="AL646" s="121"/>
      <c r="AM646" s="121"/>
      <c r="AN646" s="121"/>
      <c r="AO646" s="121"/>
      <c r="AP646" s="121"/>
      <c r="AQ646" s="121"/>
      <c r="AR646" s="121"/>
      <c r="AS646" s="121"/>
      <c r="AT646" s="121"/>
      <c r="AU646" s="121"/>
      <c r="AV646" s="121"/>
      <c r="AW646" s="121"/>
      <c r="AX646" s="121"/>
      <c r="AY646" s="121"/>
      <c r="AZ646" s="121"/>
      <c r="BA646" s="121"/>
      <c r="BB646" s="121"/>
      <c r="BC646" s="121"/>
      <c r="BD646" s="120">
        <f t="shared" si="789"/>
        <v>0</v>
      </c>
      <c r="BE646" s="120">
        <f t="shared" si="790"/>
        <v>0</v>
      </c>
      <c r="BF646" s="137">
        <f t="shared" si="786"/>
        <v>0</v>
      </c>
      <c r="BG646" s="120"/>
      <c r="BH646" s="120"/>
      <c r="BI646" s="120"/>
      <c r="BJ646" s="120"/>
      <c r="BK646" s="120"/>
      <c r="BL646" s="120"/>
      <c r="BM646" s="120"/>
      <c r="BN646" s="120"/>
      <c r="BO646" s="120"/>
      <c r="BP646" s="120"/>
      <c r="BQ646" s="124"/>
      <c r="BR646" s="120"/>
      <c r="BS646" s="120"/>
      <c r="BT646" s="120"/>
      <c r="BU646" s="120"/>
      <c r="BV646" s="120"/>
      <c r="BW646" s="120"/>
      <c r="BX646" s="121"/>
      <c r="BY646" s="121"/>
      <c r="BZ646" s="136">
        <f t="shared" si="775"/>
        <v>0</v>
      </c>
      <c r="CA646" s="136">
        <f t="shared" si="776"/>
        <v>0</v>
      </c>
      <c r="CB646" s="136">
        <f t="shared" si="777"/>
        <v>0</v>
      </c>
      <c r="CC646" s="136">
        <f t="shared" si="778"/>
        <v>0</v>
      </c>
      <c r="CD646" s="135">
        <f t="shared" si="779"/>
        <v>0</v>
      </c>
      <c r="CE646" s="135">
        <f t="shared" si="780"/>
        <v>0</v>
      </c>
      <c r="CF646" s="134">
        <f t="shared" si="781"/>
        <v>0</v>
      </c>
      <c r="CG646" s="134">
        <f t="shared" si="782"/>
        <v>0</v>
      </c>
      <c r="CH646" s="133" t="e">
        <f t="shared" si="783"/>
        <v>#DIV/0!</v>
      </c>
      <c r="CI646" s="121"/>
    </row>
    <row r="647" spans="1:87" s="121" customFormat="1">
      <c r="A647" s="125">
        <f t="shared" si="787"/>
        <v>0</v>
      </c>
      <c r="D647" s="121" t="s">
        <v>215</v>
      </c>
      <c r="G647" s="124"/>
      <c r="H647" s="124"/>
      <c r="I647" s="122"/>
      <c r="M647" s="123"/>
      <c r="N647" s="121" t="s">
        <v>4177</v>
      </c>
      <c r="O647" s="121" t="s">
        <v>4181</v>
      </c>
      <c r="Q647" s="122">
        <f>3233*2.4</f>
        <v>7759.2</v>
      </c>
      <c r="R647" s="122"/>
      <c r="S647" s="122"/>
      <c r="T647" s="122"/>
      <c r="BD647" s="120">
        <f t="shared" si="789"/>
        <v>0</v>
      </c>
      <c r="BE647" s="120">
        <f t="shared" si="790"/>
        <v>0</v>
      </c>
      <c r="BF647" s="137">
        <f t="shared" si="786"/>
        <v>0</v>
      </c>
      <c r="BG647" s="120"/>
      <c r="BH647" s="120"/>
      <c r="BI647" s="120"/>
      <c r="BJ647" s="120"/>
      <c r="BK647" s="120"/>
      <c r="BL647" s="120"/>
      <c r="BM647" s="120"/>
      <c r="BN647" s="120"/>
      <c r="BO647" s="120"/>
      <c r="BP647" s="120"/>
      <c r="BQ647" s="124"/>
      <c r="BR647" s="120"/>
      <c r="BS647" s="120"/>
      <c r="BT647" s="120"/>
      <c r="BU647" s="120"/>
      <c r="BV647" s="120"/>
      <c r="BW647" s="120"/>
      <c r="BZ647" s="136">
        <f t="shared" si="775"/>
        <v>0</v>
      </c>
      <c r="CA647" s="136">
        <f t="shared" si="776"/>
        <v>0</v>
      </c>
      <c r="CB647" s="136">
        <f t="shared" si="777"/>
        <v>0</v>
      </c>
      <c r="CC647" s="136">
        <f t="shared" si="778"/>
        <v>0</v>
      </c>
      <c r="CD647" s="135">
        <f t="shared" si="779"/>
        <v>0</v>
      </c>
      <c r="CE647" s="135">
        <f t="shared" si="780"/>
        <v>0</v>
      </c>
      <c r="CF647" s="134">
        <f t="shared" si="781"/>
        <v>0</v>
      </c>
      <c r="CG647" s="134">
        <f t="shared" si="782"/>
        <v>0</v>
      </c>
      <c r="CH647" s="133" t="e">
        <f t="shared" si="783"/>
        <v>#DIV/0!</v>
      </c>
      <c r="CI647" s="128"/>
    </row>
    <row r="648" spans="1:87" s="121" customFormat="1">
      <c r="A648" s="125">
        <f t="shared" si="787"/>
        <v>0</v>
      </c>
      <c r="D648" s="121" t="s">
        <v>197</v>
      </c>
      <c r="G648" s="124"/>
      <c r="H648" s="124"/>
      <c r="I648" s="122"/>
      <c r="M648" s="123"/>
      <c r="N648" s="121" t="s">
        <v>277</v>
      </c>
      <c r="O648" s="121" t="s">
        <v>407</v>
      </c>
      <c r="Q648" s="122">
        <f>3107*2.4</f>
        <v>7456.7999999999993</v>
      </c>
      <c r="R648" s="122"/>
      <c r="S648" s="122"/>
      <c r="T648" s="122"/>
      <c r="BD648" s="120">
        <f t="shared" si="789"/>
        <v>0</v>
      </c>
      <c r="BE648" s="120">
        <f t="shared" si="790"/>
        <v>0</v>
      </c>
      <c r="BF648" s="137">
        <f t="shared" si="786"/>
        <v>0</v>
      </c>
      <c r="BG648" s="120"/>
      <c r="BH648" s="120"/>
      <c r="BI648" s="120"/>
      <c r="BJ648" s="120"/>
      <c r="BK648" s="120"/>
      <c r="BL648" s="120"/>
      <c r="BM648" s="120"/>
      <c r="BN648" s="120"/>
      <c r="BO648" s="120"/>
      <c r="BP648" s="120"/>
      <c r="BQ648" s="124"/>
      <c r="BR648" s="120"/>
      <c r="BS648" s="120"/>
      <c r="BT648" s="120"/>
      <c r="BU648" s="120"/>
      <c r="BV648" s="120"/>
      <c r="BW648" s="120"/>
      <c r="BX648" s="120"/>
      <c r="BY648" s="120"/>
      <c r="BZ648" s="136">
        <f t="shared" si="775"/>
        <v>0</v>
      </c>
      <c r="CA648" s="136">
        <f t="shared" si="776"/>
        <v>0</v>
      </c>
      <c r="CB648" s="136">
        <f t="shared" si="777"/>
        <v>0</v>
      </c>
      <c r="CC648" s="136">
        <f t="shared" si="778"/>
        <v>0</v>
      </c>
      <c r="CD648" s="135">
        <f t="shared" si="779"/>
        <v>0</v>
      </c>
      <c r="CE648" s="135">
        <f t="shared" si="780"/>
        <v>0</v>
      </c>
      <c r="CF648" s="134">
        <f t="shared" si="781"/>
        <v>0</v>
      </c>
      <c r="CG648" s="134">
        <f t="shared" si="782"/>
        <v>0</v>
      </c>
      <c r="CH648" s="133" t="e">
        <f t="shared" si="783"/>
        <v>#DIV/0!</v>
      </c>
      <c r="CI648" s="128"/>
    </row>
    <row r="649" spans="1:87" s="128" customFormat="1">
      <c r="A649" s="125">
        <f t="shared" si="787"/>
        <v>0</v>
      </c>
      <c r="B649" s="121"/>
      <c r="C649" s="121"/>
      <c r="D649" s="121" t="s">
        <v>197</v>
      </c>
      <c r="E649" s="121"/>
      <c r="F649" s="121"/>
      <c r="G649" s="124"/>
      <c r="H649" s="124"/>
      <c r="I649" s="122"/>
      <c r="J649" s="121"/>
      <c r="K649" s="121"/>
      <c r="L649" s="121"/>
      <c r="M649" s="123"/>
      <c r="N649" s="121" t="s">
        <v>4182</v>
      </c>
      <c r="O649" s="121" t="s">
        <v>4066</v>
      </c>
      <c r="P649" s="121"/>
      <c r="Q649" s="122">
        <f>3143*2.4</f>
        <v>7543.2</v>
      </c>
      <c r="R649" s="122"/>
      <c r="S649" s="122"/>
      <c r="T649" s="122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  <c r="AL649" s="121"/>
      <c r="AM649" s="121"/>
      <c r="AN649" s="121"/>
      <c r="AO649" s="121"/>
      <c r="AP649" s="121"/>
      <c r="AQ649" s="121"/>
      <c r="AR649" s="121"/>
      <c r="AS649" s="121"/>
      <c r="AT649" s="121"/>
      <c r="AU649" s="121"/>
      <c r="AV649" s="121"/>
      <c r="AW649" s="121"/>
      <c r="AX649" s="121"/>
      <c r="AY649" s="121"/>
      <c r="AZ649" s="121"/>
      <c r="BA649" s="121"/>
      <c r="BB649" s="121"/>
      <c r="BC649" s="121"/>
      <c r="BD649" s="120"/>
      <c r="BE649" s="120">
        <f t="shared" si="790"/>
        <v>0</v>
      </c>
      <c r="BF649" s="137">
        <f t="shared" si="786"/>
        <v>0</v>
      </c>
      <c r="BG649" s="120"/>
      <c r="BH649" s="120"/>
      <c r="BI649" s="120"/>
      <c r="BJ649" s="120"/>
      <c r="BK649" s="120"/>
      <c r="BL649" s="120"/>
      <c r="BM649" s="120"/>
      <c r="BN649" s="120"/>
      <c r="BO649" s="120"/>
      <c r="BP649" s="120"/>
      <c r="BQ649" s="124"/>
      <c r="BR649" s="120"/>
      <c r="BS649" s="120"/>
      <c r="BT649" s="120"/>
      <c r="BU649" s="120"/>
      <c r="BV649" s="120"/>
      <c r="BW649" s="120"/>
      <c r="BX649" s="121"/>
      <c r="BY649" s="121"/>
      <c r="BZ649" s="136">
        <f t="shared" si="775"/>
        <v>0</v>
      </c>
      <c r="CA649" s="136">
        <f t="shared" si="776"/>
        <v>0</v>
      </c>
      <c r="CB649" s="136">
        <f t="shared" si="777"/>
        <v>0</v>
      </c>
      <c r="CC649" s="136">
        <f t="shared" si="778"/>
        <v>0</v>
      </c>
      <c r="CD649" s="135">
        <f t="shared" si="779"/>
        <v>0</v>
      </c>
      <c r="CE649" s="135">
        <f t="shared" si="780"/>
        <v>0</v>
      </c>
      <c r="CF649" s="134">
        <f t="shared" si="781"/>
        <v>0</v>
      </c>
      <c r="CG649" s="134">
        <f t="shared" si="782"/>
        <v>0</v>
      </c>
      <c r="CH649" s="133" t="e">
        <f t="shared" si="783"/>
        <v>#DIV/0!</v>
      </c>
      <c r="CI649" s="121"/>
    </row>
    <row r="650" spans="1:87" s="128" customFormat="1">
      <c r="A650" s="125">
        <f t="shared" si="787"/>
        <v>0</v>
      </c>
      <c r="B650" s="121"/>
      <c r="C650" s="121"/>
      <c r="D650" s="121" t="s">
        <v>215</v>
      </c>
      <c r="E650" s="121"/>
      <c r="F650" s="121"/>
      <c r="G650" s="124"/>
      <c r="H650" s="124"/>
      <c r="I650" s="122"/>
      <c r="J650" s="121"/>
      <c r="K650" s="121"/>
      <c r="L650" s="121"/>
      <c r="M650" s="123"/>
      <c r="N650" s="121" t="s">
        <v>222</v>
      </c>
      <c r="O650" s="121" t="s">
        <v>2338</v>
      </c>
      <c r="P650" s="121"/>
      <c r="Q650" s="122">
        <f>3136*2.4</f>
        <v>7526.4</v>
      </c>
      <c r="R650" s="122"/>
      <c r="S650" s="122"/>
      <c r="T650" s="122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  <c r="AL650" s="121"/>
      <c r="AM650" s="121"/>
      <c r="AN650" s="121"/>
      <c r="AO650" s="121"/>
      <c r="AP650" s="121"/>
      <c r="AQ650" s="121"/>
      <c r="AR650" s="121"/>
      <c r="AS650" s="121"/>
      <c r="AT650" s="121"/>
      <c r="AU650" s="121"/>
      <c r="AV650" s="121"/>
      <c r="AW650" s="121"/>
      <c r="AX650" s="121"/>
      <c r="AY650" s="121"/>
      <c r="AZ650" s="121"/>
      <c r="BA650" s="121"/>
      <c r="BB650" s="121"/>
      <c r="BC650" s="121"/>
      <c r="BD650" s="120"/>
      <c r="BE650" s="120">
        <f t="shared" si="790"/>
        <v>0</v>
      </c>
      <c r="BF650" s="137">
        <f t="shared" si="786"/>
        <v>0</v>
      </c>
      <c r="BG650" s="120"/>
      <c r="BH650" s="120"/>
      <c r="BI650" s="120"/>
      <c r="BJ650" s="120"/>
      <c r="BK650" s="120"/>
      <c r="BL650" s="120"/>
      <c r="BM650" s="120"/>
      <c r="BN650" s="120"/>
      <c r="BO650" s="120"/>
      <c r="BP650" s="120"/>
      <c r="BQ650" s="124"/>
      <c r="BR650" s="120"/>
      <c r="BS650" s="120"/>
      <c r="BT650" s="120"/>
      <c r="BU650" s="120"/>
      <c r="BV650" s="120"/>
      <c r="BW650" s="120"/>
      <c r="BX650" s="121"/>
      <c r="BY650" s="121"/>
      <c r="BZ650" s="136">
        <f t="shared" si="775"/>
        <v>0</v>
      </c>
      <c r="CA650" s="136">
        <f t="shared" si="776"/>
        <v>0</v>
      </c>
      <c r="CB650" s="136">
        <f t="shared" si="777"/>
        <v>0</v>
      </c>
      <c r="CC650" s="136">
        <f t="shared" si="778"/>
        <v>0</v>
      </c>
      <c r="CD650" s="135">
        <f t="shared" si="779"/>
        <v>0</v>
      </c>
      <c r="CE650" s="135">
        <f t="shared" si="780"/>
        <v>0</v>
      </c>
      <c r="CF650" s="134">
        <f t="shared" si="781"/>
        <v>0</v>
      </c>
      <c r="CG650" s="134">
        <f t="shared" si="782"/>
        <v>0</v>
      </c>
      <c r="CH650" s="133" t="e">
        <f t="shared" si="783"/>
        <v>#DIV/0!</v>
      </c>
    </row>
    <row r="651" spans="1:87" s="128" customFormat="1">
      <c r="A651" s="125">
        <f t="shared" si="787"/>
        <v>0</v>
      </c>
      <c r="B651" s="121"/>
      <c r="C651" s="121"/>
      <c r="D651" s="121" t="s">
        <v>197</v>
      </c>
      <c r="E651" s="121"/>
      <c r="F651" s="121"/>
      <c r="G651" s="124"/>
      <c r="H651" s="124"/>
      <c r="I651" s="122"/>
      <c r="J651" s="121"/>
      <c r="K651" s="121"/>
      <c r="L651" s="121"/>
      <c r="M651" s="123"/>
      <c r="N651" s="121" t="s">
        <v>489</v>
      </c>
      <c r="O651" s="121" t="s">
        <v>4183</v>
      </c>
      <c r="P651" s="121"/>
      <c r="Q651" s="122">
        <f>3107*2.4</f>
        <v>7456.7999999999993</v>
      </c>
      <c r="R651" s="122"/>
      <c r="S651" s="122"/>
      <c r="T651" s="122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  <c r="AL651" s="121"/>
      <c r="AM651" s="121"/>
      <c r="AN651" s="121"/>
      <c r="AO651" s="121"/>
      <c r="AP651" s="121"/>
      <c r="AQ651" s="121"/>
      <c r="AR651" s="121"/>
      <c r="AS651" s="121"/>
      <c r="AT651" s="121"/>
      <c r="AU651" s="121"/>
      <c r="AV651" s="121"/>
      <c r="AW651" s="121"/>
      <c r="AX651" s="121"/>
      <c r="AY651" s="121"/>
      <c r="AZ651" s="121"/>
      <c r="BA651" s="121"/>
      <c r="BB651" s="121"/>
      <c r="BC651" s="121"/>
      <c r="BD651" s="120"/>
      <c r="BE651" s="120">
        <f t="shared" si="790"/>
        <v>0</v>
      </c>
      <c r="BF651" s="137">
        <f t="shared" si="786"/>
        <v>0</v>
      </c>
      <c r="BG651" s="120"/>
      <c r="BH651" s="120"/>
      <c r="BI651" s="120"/>
      <c r="BJ651" s="120"/>
      <c r="BK651" s="120"/>
      <c r="BL651" s="120"/>
      <c r="BM651" s="120"/>
      <c r="BN651" s="120"/>
      <c r="BO651" s="120"/>
      <c r="BP651" s="120"/>
      <c r="BQ651" s="124"/>
      <c r="BR651" s="120"/>
      <c r="BS651" s="120"/>
      <c r="BT651" s="120"/>
      <c r="BU651" s="120"/>
      <c r="BV651" s="120"/>
      <c r="BW651" s="120"/>
      <c r="BX651" s="121"/>
      <c r="BY651" s="121"/>
      <c r="BZ651" s="136">
        <f t="shared" si="775"/>
        <v>0</v>
      </c>
      <c r="CA651" s="136">
        <f t="shared" si="776"/>
        <v>0</v>
      </c>
      <c r="CB651" s="136">
        <f t="shared" si="777"/>
        <v>0</v>
      </c>
      <c r="CC651" s="136">
        <f t="shared" si="778"/>
        <v>0</v>
      </c>
      <c r="CD651" s="135">
        <f t="shared" si="779"/>
        <v>0</v>
      </c>
      <c r="CE651" s="135">
        <f t="shared" si="780"/>
        <v>0</v>
      </c>
      <c r="CF651" s="134">
        <f t="shared" si="781"/>
        <v>0</v>
      </c>
      <c r="CG651" s="134">
        <f t="shared" si="782"/>
        <v>0</v>
      </c>
      <c r="CH651" s="133" t="e">
        <f t="shared" si="783"/>
        <v>#DIV/0!</v>
      </c>
      <c r="CI651" s="121"/>
    </row>
    <row r="652" spans="1:87" s="121" customFormat="1">
      <c r="A652" s="125">
        <f t="shared" si="787"/>
        <v>0</v>
      </c>
      <c r="D652" s="121" t="s">
        <v>197</v>
      </c>
      <c r="G652" s="124"/>
      <c r="H652" s="124"/>
      <c r="I652" s="122"/>
      <c r="M652" s="123"/>
      <c r="N652" s="121" t="s">
        <v>346</v>
      </c>
      <c r="O652" s="121" t="s">
        <v>223</v>
      </c>
      <c r="Q652" s="122">
        <f>3136*2.4</f>
        <v>7526.4</v>
      </c>
      <c r="R652" s="122"/>
      <c r="S652" s="122"/>
      <c r="T652" s="122"/>
      <c r="BD652" s="120"/>
      <c r="BE652" s="120">
        <f t="shared" si="790"/>
        <v>0</v>
      </c>
      <c r="BF652" s="137">
        <f t="shared" si="786"/>
        <v>0</v>
      </c>
      <c r="BG652" s="120"/>
      <c r="BH652" s="120"/>
      <c r="BI652" s="120"/>
      <c r="BJ652" s="120"/>
      <c r="BK652" s="120"/>
      <c r="BL652" s="120"/>
      <c r="BM652" s="120"/>
      <c r="BN652" s="120"/>
      <c r="BO652" s="120"/>
      <c r="BP652" s="120"/>
      <c r="BQ652" s="124"/>
      <c r="BR652" s="120"/>
      <c r="BS652" s="120"/>
      <c r="BT652" s="120"/>
      <c r="BU652" s="120"/>
      <c r="BV652" s="120"/>
      <c r="BW652" s="120"/>
      <c r="BZ652" s="136">
        <f t="shared" si="775"/>
        <v>0</v>
      </c>
      <c r="CA652" s="136">
        <f t="shared" si="776"/>
        <v>0</v>
      </c>
      <c r="CB652" s="136">
        <f t="shared" si="777"/>
        <v>0</v>
      </c>
      <c r="CC652" s="136">
        <f t="shared" si="778"/>
        <v>0</v>
      </c>
      <c r="CD652" s="135">
        <f t="shared" si="779"/>
        <v>0</v>
      </c>
      <c r="CE652" s="135">
        <f t="shared" si="780"/>
        <v>0</v>
      </c>
      <c r="CF652" s="134">
        <f t="shared" si="781"/>
        <v>0</v>
      </c>
      <c r="CG652" s="134">
        <f t="shared" si="782"/>
        <v>0</v>
      </c>
      <c r="CH652" s="133" t="e">
        <f t="shared" si="783"/>
        <v>#DIV/0!</v>
      </c>
    </row>
    <row r="653" spans="1:87" s="121" customFormat="1">
      <c r="A653" s="125">
        <f t="shared" si="787"/>
        <v>0</v>
      </c>
      <c r="B653" s="125"/>
      <c r="D653" s="121" t="s">
        <v>215</v>
      </c>
      <c r="G653" s="124"/>
      <c r="H653" s="124"/>
      <c r="I653" s="122"/>
      <c r="M653" s="123"/>
      <c r="N653" s="121" t="s">
        <v>422</v>
      </c>
      <c r="O653" s="121" t="s">
        <v>375</v>
      </c>
      <c r="Q653" s="122">
        <f>3097*2.4</f>
        <v>7432.7999999999993</v>
      </c>
      <c r="R653" s="122"/>
      <c r="S653" s="122"/>
      <c r="T653" s="122"/>
      <c r="BD653" s="120"/>
      <c r="BE653" s="120">
        <f t="shared" si="790"/>
        <v>0</v>
      </c>
      <c r="BF653" s="137">
        <f t="shared" si="786"/>
        <v>0</v>
      </c>
      <c r="BG653" s="120"/>
      <c r="BH653" s="120"/>
      <c r="BI653" s="120"/>
      <c r="BJ653" s="120"/>
      <c r="BK653" s="120"/>
      <c r="BL653" s="120"/>
      <c r="BM653" s="120"/>
      <c r="BN653" s="120"/>
      <c r="BO653" s="120"/>
      <c r="BP653" s="120"/>
      <c r="BQ653" s="124"/>
      <c r="BR653" s="120"/>
      <c r="BS653" s="120"/>
      <c r="BT653" s="120"/>
      <c r="BU653" s="120"/>
      <c r="BV653" s="120"/>
      <c r="BW653" s="120"/>
      <c r="BZ653" s="136">
        <f t="shared" si="775"/>
        <v>0</v>
      </c>
      <c r="CA653" s="136">
        <f t="shared" si="776"/>
        <v>0</v>
      </c>
      <c r="CB653" s="136">
        <f t="shared" si="777"/>
        <v>0</v>
      </c>
      <c r="CC653" s="136">
        <f t="shared" si="778"/>
        <v>0</v>
      </c>
      <c r="CD653" s="135">
        <f t="shared" si="779"/>
        <v>0</v>
      </c>
      <c r="CE653" s="135">
        <f t="shared" si="780"/>
        <v>0</v>
      </c>
      <c r="CF653" s="134">
        <f t="shared" si="781"/>
        <v>0</v>
      </c>
      <c r="CG653" s="134">
        <f t="shared" si="782"/>
        <v>0</v>
      </c>
      <c r="CH653" s="133" t="e">
        <f t="shared" si="783"/>
        <v>#DIV/0!</v>
      </c>
    </row>
    <row r="654" spans="1:87" s="121" customFormat="1">
      <c r="A654" s="125">
        <f t="shared" si="787"/>
        <v>0</v>
      </c>
      <c r="D654" s="121" t="s">
        <v>197</v>
      </c>
      <c r="G654" s="124"/>
      <c r="H654" s="124"/>
      <c r="I654" s="122"/>
      <c r="M654" s="123"/>
      <c r="N654" s="121" t="s">
        <v>4184</v>
      </c>
      <c r="O654" s="121" t="s">
        <v>214</v>
      </c>
      <c r="Q654" s="122">
        <f>3231*2.4</f>
        <v>7754.4</v>
      </c>
      <c r="R654" s="122"/>
      <c r="S654" s="122"/>
      <c r="T654" s="122"/>
      <c r="BD654" s="120"/>
      <c r="BE654" s="120">
        <f t="shared" si="790"/>
        <v>0</v>
      </c>
      <c r="BF654" s="137">
        <f t="shared" si="786"/>
        <v>0</v>
      </c>
      <c r="BG654" s="120"/>
      <c r="BH654" s="120"/>
      <c r="BI654" s="120"/>
      <c r="BJ654" s="120"/>
      <c r="BK654" s="120"/>
      <c r="BL654" s="120"/>
      <c r="BM654" s="120"/>
      <c r="BN654" s="120"/>
      <c r="BO654" s="120"/>
      <c r="BP654" s="120"/>
      <c r="BQ654" s="124"/>
      <c r="BR654" s="120"/>
      <c r="BS654" s="120"/>
      <c r="BT654" s="120"/>
      <c r="BU654" s="120"/>
      <c r="BV654" s="120"/>
      <c r="BW654" s="120"/>
      <c r="BZ654" s="136">
        <f t="shared" si="775"/>
        <v>0</v>
      </c>
      <c r="CA654" s="136">
        <f t="shared" si="776"/>
        <v>0</v>
      </c>
      <c r="CB654" s="136">
        <f t="shared" si="777"/>
        <v>0</v>
      </c>
      <c r="CC654" s="136">
        <f t="shared" si="778"/>
        <v>0</v>
      </c>
      <c r="CD654" s="135">
        <f t="shared" si="779"/>
        <v>0</v>
      </c>
      <c r="CE654" s="135">
        <f t="shared" si="780"/>
        <v>0</v>
      </c>
      <c r="CF654" s="134">
        <f t="shared" si="781"/>
        <v>0</v>
      </c>
      <c r="CG654" s="134">
        <f t="shared" si="782"/>
        <v>0</v>
      </c>
      <c r="CH654" s="133" t="e">
        <f t="shared" si="783"/>
        <v>#DIV/0!</v>
      </c>
      <c r="CI654" s="128"/>
    </row>
    <row r="655" spans="1:87" s="121" customFormat="1">
      <c r="A655" s="132"/>
      <c r="B655" s="116"/>
      <c r="C655" s="116"/>
      <c r="D655" s="116" t="s">
        <v>197</v>
      </c>
      <c r="E655" s="116"/>
      <c r="F655" s="116"/>
      <c r="G655" s="130"/>
      <c r="H655" s="130"/>
      <c r="I655" s="131"/>
      <c r="J655" s="116"/>
      <c r="K655" s="116"/>
      <c r="L655" s="116"/>
      <c r="M655" s="129"/>
      <c r="N655" s="116" t="s">
        <v>4185</v>
      </c>
      <c r="O655" s="116" t="s">
        <v>4186</v>
      </c>
      <c r="P655" s="116"/>
      <c r="Q655" s="131">
        <f>3107*2.4</f>
        <v>7456.7999999999993</v>
      </c>
      <c r="R655" s="131"/>
      <c r="S655" s="131"/>
      <c r="T655" s="131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  <c r="AL655" s="116"/>
      <c r="AM655" s="116"/>
      <c r="AN655" s="116"/>
      <c r="AO655" s="116"/>
      <c r="AP655" s="116"/>
      <c r="AQ655" s="116"/>
      <c r="AR655" s="116"/>
      <c r="AS655" s="116"/>
      <c r="AT655" s="116"/>
      <c r="AU655" s="116"/>
      <c r="AV655" s="116"/>
      <c r="AW655" s="116"/>
      <c r="AX655" s="116"/>
      <c r="AY655" s="116"/>
      <c r="AZ655" s="116"/>
      <c r="BA655" s="116"/>
      <c r="BB655" s="116"/>
      <c r="BC655" s="116"/>
      <c r="BD655" s="127"/>
      <c r="BE655" s="120">
        <f t="shared" si="790"/>
        <v>0</v>
      </c>
      <c r="BF655" s="137">
        <f t="shared" si="786"/>
        <v>0</v>
      </c>
      <c r="BG655" s="127"/>
      <c r="BH655" s="127"/>
      <c r="BI655" s="127"/>
      <c r="BJ655" s="127"/>
      <c r="BK655" s="127"/>
      <c r="BL655" s="127"/>
      <c r="BM655" s="127"/>
      <c r="BN655" s="127"/>
      <c r="BO655" s="127"/>
      <c r="BP655" s="127"/>
      <c r="BQ655" s="130"/>
      <c r="BR655" s="127"/>
      <c r="BS655" s="127"/>
      <c r="BT655" s="127"/>
      <c r="BU655" s="127"/>
      <c r="BV655" s="127"/>
      <c r="BW655" s="127"/>
      <c r="BX655" s="127"/>
      <c r="BY655" s="127"/>
      <c r="BZ655" s="136">
        <f t="shared" ref="BZ655:BZ718" si="791">(BI655-BH655)*24</f>
        <v>0</v>
      </c>
      <c r="CA655" s="136">
        <f t="shared" ref="CA655:CA718" si="792">(BK655-BJ655)*24</f>
        <v>0</v>
      </c>
      <c r="CB655" s="136">
        <f t="shared" ref="CB655:CB718" si="793">(BN655-BM655)*24</f>
        <v>0</v>
      </c>
      <c r="CC655" s="136">
        <f t="shared" ref="CC655:CC718" si="794">(BR655-BP655)*24</f>
        <v>0</v>
      </c>
      <c r="CD655" s="135">
        <f t="shared" ref="CD655:CD718" si="795">(BT655-BS655)*24</f>
        <v>0</v>
      </c>
      <c r="CE655" s="135">
        <f t="shared" ref="CE655:CE718" si="796">(BW655-BV655)*24</f>
        <v>0</v>
      </c>
      <c r="CF655" s="134">
        <f t="shared" ref="CF655:CF718" si="797">SUM(BZ655:CE655)/24</f>
        <v>0</v>
      </c>
      <c r="CG655" s="134">
        <f t="shared" ref="CG655:CG718" si="798">BF655</f>
        <v>0</v>
      </c>
      <c r="CH655" s="133" t="e">
        <f t="shared" ref="CH655:CH718" si="799">CF655/CG655</f>
        <v>#DIV/0!</v>
      </c>
      <c r="CI655" s="128"/>
    </row>
    <row r="656" spans="1:87" s="121" customFormat="1">
      <c r="A656" s="125">
        <f t="shared" ref="A656:A663" si="800">BJ656</f>
        <v>0</v>
      </c>
      <c r="D656" s="121" t="s">
        <v>197</v>
      </c>
      <c r="G656" s="124"/>
      <c r="H656" s="124"/>
      <c r="I656" s="122"/>
      <c r="M656" s="123"/>
      <c r="N656" s="121" t="s">
        <v>355</v>
      </c>
      <c r="O656" s="121" t="s">
        <v>4170</v>
      </c>
      <c r="Q656" s="122">
        <f>3136*2.4</f>
        <v>7526.4</v>
      </c>
      <c r="R656" s="122"/>
      <c r="S656" s="122"/>
      <c r="T656" s="122"/>
      <c r="BD656" s="120"/>
      <c r="BE656" s="120">
        <f t="shared" si="790"/>
        <v>0</v>
      </c>
      <c r="BF656" s="137">
        <f t="shared" si="786"/>
        <v>0</v>
      </c>
      <c r="BG656" s="120"/>
      <c r="BH656" s="120"/>
      <c r="BI656" s="120"/>
      <c r="BJ656" s="120"/>
      <c r="BK656" s="120"/>
      <c r="BL656" s="120"/>
      <c r="BM656" s="120"/>
      <c r="BN656" s="120"/>
      <c r="BO656" s="120"/>
      <c r="BP656" s="120"/>
      <c r="BQ656" s="124"/>
      <c r="BR656" s="120"/>
      <c r="BS656" s="120"/>
      <c r="BT656" s="120"/>
      <c r="BU656" s="120"/>
      <c r="BV656" s="120"/>
      <c r="BW656" s="120"/>
      <c r="BZ656" s="136">
        <f t="shared" si="791"/>
        <v>0</v>
      </c>
      <c r="CA656" s="136">
        <f t="shared" si="792"/>
        <v>0</v>
      </c>
      <c r="CB656" s="136">
        <f t="shared" si="793"/>
        <v>0</v>
      </c>
      <c r="CC656" s="136">
        <f t="shared" si="794"/>
        <v>0</v>
      </c>
      <c r="CD656" s="135">
        <f t="shared" si="795"/>
        <v>0</v>
      </c>
      <c r="CE656" s="135">
        <f t="shared" si="796"/>
        <v>0</v>
      </c>
      <c r="CF656" s="134">
        <f t="shared" si="797"/>
        <v>0</v>
      </c>
      <c r="CG656" s="134">
        <f t="shared" si="798"/>
        <v>0</v>
      </c>
      <c r="CH656" s="133" t="e">
        <f t="shared" si="799"/>
        <v>#DIV/0!</v>
      </c>
    </row>
    <row r="657" spans="1:87" s="121" customFormat="1">
      <c r="A657" s="125">
        <f t="shared" si="800"/>
        <v>0</v>
      </c>
      <c r="D657" s="121" t="s">
        <v>215</v>
      </c>
      <c r="G657" s="124"/>
      <c r="H657" s="124"/>
      <c r="I657" s="122"/>
      <c r="M657" s="123"/>
      <c r="N657" s="121" t="s">
        <v>1799</v>
      </c>
      <c r="O657" s="121" t="s">
        <v>438</v>
      </c>
      <c r="Q657" s="122">
        <f>3136*2.4</f>
        <v>7526.4</v>
      </c>
      <c r="R657" s="122"/>
      <c r="S657" s="122"/>
      <c r="T657" s="122"/>
      <c r="BD657" s="120"/>
      <c r="BE657" s="120">
        <f t="shared" si="790"/>
        <v>0</v>
      </c>
      <c r="BF657" s="137">
        <f t="shared" si="786"/>
        <v>0</v>
      </c>
      <c r="BG657" s="120"/>
      <c r="BH657" s="120"/>
      <c r="BI657" s="120"/>
      <c r="BJ657" s="120"/>
      <c r="BK657" s="120"/>
      <c r="BL657" s="120"/>
      <c r="BM657" s="120"/>
      <c r="BN657" s="120"/>
      <c r="BO657" s="120"/>
      <c r="BP657" s="120"/>
      <c r="BQ657" s="124"/>
      <c r="BR657" s="120"/>
      <c r="BS657" s="120"/>
      <c r="BT657" s="120"/>
      <c r="BU657" s="120"/>
      <c r="BV657" s="120"/>
      <c r="BW657" s="120"/>
      <c r="BZ657" s="136">
        <f t="shared" si="791"/>
        <v>0</v>
      </c>
      <c r="CA657" s="136">
        <f t="shared" si="792"/>
        <v>0</v>
      </c>
      <c r="CB657" s="136">
        <f t="shared" si="793"/>
        <v>0</v>
      </c>
      <c r="CC657" s="136">
        <f t="shared" si="794"/>
        <v>0</v>
      </c>
      <c r="CD657" s="135">
        <f t="shared" si="795"/>
        <v>0</v>
      </c>
      <c r="CE657" s="135">
        <f t="shared" si="796"/>
        <v>0</v>
      </c>
      <c r="CF657" s="134">
        <f t="shared" si="797"/>
        <v>0</v>
      </c>
      <c r="CG657" s="134">
        <f t="shared" si="798"/>
        <v>0</v>
      </c>
      <c r="CH657" s="133" t="e">
        <f t="shared" si="799"/>
        <v>#DIV/0!</v>
      </c>
    </row>
    <row r="658" spans="1:87" s="121" customFormat="1">
      <c r="A658" s="125">
        <f t="shared" si="800"/>
        <v>0</v>
      </c>
      <c r="D658" s="121" t="s">
        <v>215</v>
      </c>
      <c r="G658" s="124"/>
      <c r="H658" s="124"/>
      <c r="I658" s="122"/>
      <c r="M658" s="123"/>
      <c r="N658" s="121" t="s">
        <v>399</v>
      </c>
      <c r="O658" s="121" t="s">
        <v>4187</v>
      </c>
      <c r="Q658" s="122">
        <f>3107*2.4</f>
        <v>7456.7999999999993</v>
      </c>
      <c r="R658" s="122"/>
      <c r="S658" s="122"/>
      <c r="T658" s="122"/>
      <c r="BD658" s="120"/>
      <c r="BE658" s="120">
        <f t="shared" si="790"/>
        <v>0</v>
      </c>
      <c r="BF658" s="137">
        <f t="shared" si="786"/>
        <v>0</v>
      </c>
      <c r="BG658" s="120"/>
      <c r="BH658" s="120"/>
      <c r="BI658" s="120"/>
      <c r="BJ658" s="120"/>
      <c r="BK658" s="120"/>
      <c r="BL658" s="120"/>
      <c r="BM658" s="120"/>
      <c r="BN658" s="120"/>
      <c r="BO658" s="120"/>
      <c r="BP658" s="120"/>
      <c r="BQ658" s="124"/>
      <c r="BR658" s="120"/>
      <c r="BS658" s="120"/>
      <c r="BT658" s="120"/>
      <c r="BU658" s="120"/>
      <c r="BV658" s="120"/>
      <c r="BW658" s="120"/>
      <c r="BZ658" s="136">
        <f t="shared" si="791"/>
        <v>0</v>
      </c>
      <c r="CA658" s="136">
        <f t="shared" si="792"/>
        <v>0</v>
      </c>
      <c r="CB658" s="136">
        <f t="shared" si="793"/>
        <v>0</v>
      </c>
      <c r="CC658" s="136">
        <f t="shared" si="794"/>
        <v>0</v>
      </c>
      <c r="CD658" s="135">
        <f t="shared" si="795"/>
        <v>0</v>
      </c>
      <c r="CE658" s="135">
        <f t="shared" si="796"/>
        <v>0</v>
      </c>
      <c r="CF658" s="134">
        <f t="shared" si="797"/>
        <v>0</v>
      </c>
      <c r="CG658" s="134">
        <f t="shared" si="798"/>
        <v>0</v>
      </c>
      <c r="CH658" s="133" t="e">
        <f t="shared" si="799"/>
        <v>#DIV/0!</v>
      </c>
    </row>
    <row r="659" spans="1:87" s="128" customFormat="1">
      <c r="A659" s="125">
        <f t="shared" si="800"/>
        <v>0</v>
      </c>
      <c r="B659" s="121"/>
      <c r="C659" s="121"/>
      <c r="D659" s="121" t="s">
        <v>215</v>
      </c>
      <c r="E659" s="121"/>
      <c r="F659" s="121"/>
      <c r="G659" s="124"/>
      <c r="H659" s="124"/>
      <c r="I659" s="122"/>
      <c r="J659" s="121"/>
      <c r="K659" s="121"/>
      <c r="L659" s="121"/>
      <c r="M659" s="123"/>
      <c r="N659" s="121" t="s">
        <v>4188</v>
      </c>
      <c r="O659" s="121" t="s">
        <v>2338</v>
      </c>
      <c r="P659" s="121"/>
      <c r="Q659" s="122">
        <f>3136*2.4</f>
        <v>7526.4</v>
      </c>
      <c r="R659" s="122"/>
      <c r="S659" s="122"/>
      <c r="T659" s="122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0"/>
      <c r="BE659" s="120">
        <f t="shared" si="790"/>
        <v>0</v>
      </c>
      <c r="BF659" s="137">
        <f t="shared" si="786"/>
        <v>0</v>
      </c>
      <c r="BG659" s="120"/>
      <c r="BH659" s="120"/>
      <c r="BI659" s="120"/>
      <c r="BJ659" s="120"/>
      <c r="BK659" s="120"/>
      <c r="BL659" s="120"/>
      <c r="BM659" s="120"/>
      <c r="BN659" s="120"/>
      <c r="BO659" s="120"/>
      <c r="BP659" s="120"/>
      <c r="BQ659" s="124"/>
      <c r="BR659" s="120"/>
      <c r="BS659" s="120"/>
      <c r="BT659" s="120"/>
      <c r="BU659" s="120"/>
      <c r="BV659" s="120"/>
      <c r="BW659" s="120"/>
      <c r="BX659" s="121"/>
      <c r="BY659" s="121"/>
      <c r="BZ659" s="136">
        <f t="shared" si="791"/>
        <v>0</v>
      </c>
      <c r="CA659" s="136">
        <f t="shared" si="792"/>
        <v>0</v>
      </c>
      <c r="CB659" s="136">
        <f t="shared" si="793"/>
        <v>0</v>
      </c>
      <c r="CC659" s="136">
        <f t="shared" si="794"/>
        <v>0</v>
      </c>
      <c r="CD659" s="135">
        <f t="shared" si="795"/>
        <v>0</v>
      </c>
      <c r="CE659" s="135">
        <f t="shared" si="796"/>
        <v>0</v>
      </c>
      <c r="CF659" s="134">
        <f t="shared" si="797"/>
        <v>0</v>
      </c>
      <c r="CG659" s="134">
        <f t="shared" si="798"/>
        <v>0</v>
      </c>
      <c r="CH659" s="133" t="e">
        <f t="shared" si="799"/>
        <v>#DIV/0!</v>
      </c>
      <c r="CI659" s="121"/>
    </row>
    <row r="660" spans="1:87" s="121" customFormat="1">
      <c r="A660" s="125">
        <f t="shared" si="800"/>
        <v>0</v>
      </c>
      <c r="D660" s="121" t="s">
        <v>215</v>
      </c>
      <c r="G660" s="124"/>
      <c r="H660" s="124"/>
      <c r="I660" s="122"/>
      <c r="M660" s="123"/>
      <c r="N660" s="121" t="s">
        <v>263</v>
      </c>
      <c r="O660" s="121" t="s">
        <v>4189</v>
      </c>
      <c r="Q660" s="122">
        <f>3136*2.4</f>
        <v>7526.4</v>
      </c>
      <c r="R660" s="122"/>
      <c r="S660" s="122"/>
      <c r="T660" s="122"/>
      <c r="BD660" s="120"/>
      <c r="BE660" s="120">
        <f t="shared" si="790"/>
        <v>0</v>
      </c>
      <c r="BF660" s="137">
        <f t="shared" si="786"/>
        <v>0</v>
      </c>
      <c r="BG660" s="120"/>
      <c r="BH660" s="120"/>
      <c r="BI660" s="120"/>
      <c r="BJ660" s="120"/>
      <c r="BK660" s="120"/>
      <c r="BL660" s="120"/>
      <c r="BM660" s="120"/>
      <c r="BN660" s="120"/>
      <c r="BO660" s="120"/>
      <c r="BP660" s="120"/>
      <c r="BQ660" s="124"/>
      <c r="BR660" s="120"/>
      <c r="BS660" s="120"/>
      <c r="BT660" s="120"/>
      <c r="BU660" s="120"/>
      <c r="BV660" s="120"/>
      <c r="BW660" s="120"/>
      <c r="BZ660" s="136">
        <f t="shared" si="791"/>
        <v>0</v>
      </c>
      <c r="CA660" s="136">
        <f t="shared" si="792"/>
        <v>0</v>
      </c>
      <c r="CB660" s="136">
        <f t="shared" si="793"/>
        <v>0</v>
      </c>
      <c r="CC660" s="136">
        <f t="shared" si="794"/>
        <v>0</v>
      </c>
      <c r="CD660" s="135">
        <f t="shared" si="795"/>
        <v>0</v>
      </c>
      <c r="CE660" s="135">
        <f t="shared" si="796"/>
        <v>0</v>
      </c>
      <c r="CF660" s="134">
        <f t="shared" si="797"/>
        <v>0</v>
      </c>
      <c r="CG660" s="134">
        <f t="shared" si="798"/>
        <v>0</v>
      </c>
      <c r="CH660" s="133" t="e">
        <f t="shared" si="799"/>
        <v>#DIV/0!</v>
      </c>
    </row>
    <row r="661" spans="1:87" s="121" customFormat="1">
      <c r="A661" s="125">
        <f t="shared" si="800"/>
        <v>0</v>
      </c>
      <c r="D661" s="121" t="s">
        <v>215</v>
      </c>
      <c r="G661" s="124"/>
      <c r="H661" s="124"/>
      <c r="I661" s="122"/>
      <c r="M661" s="123"/>
      <c r="N661" s="121" t="s">
        <v>352</v>
      </c>
      <c r="O661" s="121" t="s">
        <v>353</v>
      </c>
      <c r="Q661" s="122">
        <f>3852*2.4</f>
        <v>9244.7999999999993</v>
      </c>
      <c r="R661" s="122"/>
      <c r="S661" s="122"/>
      <c r="T661" s="122"/>
      <c r="BD661" s="120"/>
      <c r="BE661" s="120">
        <f t="shared" si="790"/>
        <v>0</v>
      </c>
      <c r="BF661" s="137">
        <f t="shared" si="786"/>
        <v>0</v>
      </c>
      <c r="BG661" s="120"/>
      <c r="BH661" s="120"/>
      <c r="BI661" s="120"/>
      <c r="BJ661" s="120"/>
      <c r="BK661" s="120"/>
      <c r="BL661" s="120"/>
      <c r="BM661" s="120"/>
      <c r="BN661" s="120"/>
      <c r="BO661" s="120"/>
      <c r="BP661" s="120"/>
      <c r="BQ661" s="120"/>
      <c r="BR661" s="120"/>
      <c r="BS661" s="120"/>
      <c r="BT661" s="120"/>
      <c r="BU661" s="120"/>
      <c r="BV661" s="120"/>
      <c r="BW661" s="120"/>
      <c r="BX661" s="120"/>
      <c r="BY661" s="120"/>
      <c r="BZ661" s="136">
        <f t="shared" si="791"/>
        <v>0</v>
      </c>
      <c r="CA661" s="136">
        <f t="shared" si="792"/>
        <v>0</v>
      </c>
      <c r="CB661" s="136">
        <f t="shared" si="793"/>
        <v>0</v>
      </c>
      <c r="CC661" s="136">
        <f t="shared" si="794"/>
        <v>0</v>
      </c>
      <c r="CD661" s="135">
        <f t="shared" si="795"/>
        <v>0</v>
      </c>
      <c r="CE661" s="135">
        <f t="shared" si="796"/>
        <v>0</v>
      </c>
      <c r="CF661" s="134">
        <f t="shared" si="797"/>
        <v>0</v>
      </c>
      <c r="CG661" s="134">
        <f t="shared" si="798"/>
        <v>0</v>
      </c>
      <c r="CH661" s="133" t="e">
        <f t="shared" si="799"/>
        <v>#DIV/0!</v>
      </c>
    </row>
    <row r="662" spans="1:87" s="121" customFormat="1">
      <c r="A662" s="125">
        <f t="shared" si="800"/>
        <v>0</v>
      </c>
      <c r="D662" s="121" t="s">
        <v>197</v>
      </c>
      <c r="G662" s="124"/>
      <c r="H662" s="124"/>
      <c r="I662" s="122"/>
      <c r="M662" s="123"/>
      <c r="N662" s="121" t="s">
        <v>505</v>
      </c>
      <c r="O662" s="121" t="s">
        <v>4190</v>
      </c>
      <c r="Q662" s="122">
        <f>3142*2.4</f>
        <v>7540.7999999999993</v>
      </c>
      <c r="R662" s="122"/>
      <c r="S662" s="122"/>
      <c r="T662" s="122"/>
      <c r="BD662" s="120"/>
      <c r="BE662" s="120">
        <f t="shared" si="790"/>
        <v>0</v>
      </c>
      <c r="BF662" s="137">
        <f t="shared" si="786"/>
        <v>0</v>
      </c>
      <c r="BG662" s="120"/>
      <c r="BH662" s="120"/>
      <c r="BI662" s="120"/>
      <c r="BJ662" s="120"/>
      <c r="BK662" s="120"/>
      <c r="BL662" s="120"/>
      <c r="BM662" s="120"/>
      <c r="BN662" s="120"/>
      <c r="BO662" s="120"/>
      <c r="BP662" s="120"/>
      <c r="BQ662" s="124"/>
      <c r="BR662" s="120"/>
      <c r="BS662" s="120"/>
      <c r="BT662" s="120"/>
      <c r="BU662" s="120"/>
      <c r="BV662" s="120"/>
      <c r="BW662" s="120"/>
      <c r="BZ662" s="136">
        <f t="shared" si="791"/>
        <v>0</v>
      </c>
      <c r="CA662" s="136">
        <f t="shared" si="792"/>
        <v>0</v>
      </c>
      <c r="CB662" s="136">
        <f t="shared" si="793"/>
        <v>0</v>
      </c>
      <c r="CC662" s="136">
        <f t="shared" si="794"/>
        <v>0</v>
      </c>
      <c r="CD662" s="135">
        <f t="shared" si="795"/>
        <v>0</v>
      </c>
      <c r="CE662" s="135">
        <f t="shared" si="796"/>
        <v>0</v>
      </c>
      <c r="CF662" s="134">
        <f t="shared" si="797"/>
        <v>0</v>
      </c>
      <c r="CG662" s="134">
        <f t="shared" si="798"/>
        <v>0</v>
      </c>
      <c r="CH662" s="133" t="e">
        <f t="shared" si="799"/>
        <v>#DIV/0!</v>
      </c>
    </row>
    <row r="663" spans="1:87" s="121" customFormat="1">
      <c r="A663" s="125">
        <f t="shared" si="800"/>
        <v>0</v>
      </c>
      <c r="D663" s="121" t="s">
        <v>215</v>
      </c>
      <c r="G663" s="124"/>
      <c r="H663" s="124"/>
      <c r="I663" s="122"/>
      <c r="M663" s="123"/>
      <c r="N663" s="121" t="s">
        <v>4191</v>
      </c>
      <c r="O663" s="121" t="s">
        <v>4192</v>
      </c>
      <c r="Q663" s="122">
        <f>3142*2.4</f>
        <v>7540.7999999999993</v>
      </c>
      <c r="R663" s="122"/>
      <c r="S663" s="122"/>
      <c r="T663" s="122"/>
      <c r="BD663" s="120"/>
      <c r="BE663" s="120">
        <f t="shared" si="790"/>
        <v>0</v>
      </c>
      <c r="BF663" s="137">
        <f t="shared" ref="BF663:BF726" si="801">BE663-BD663</f>
        <v>0</v>
      </c>
      <c r="BG663" s="120"/>
      <c r="BH663" s="120"/>
      <c r="BI663" s="120"/>
      <c r="BJ663" s="120"/>
      <c r="BK663" s="120"/>
      <c r="BL663" s="120"/>
      <c r="BM663" s="120"/>
      <c r="BN663" s="120"/>
      <c r="BO663" s="120"/>
      <c r="BP663" s="120"/>
      <c r="BQ663" s="124"/>
      <c r="BR663" s="120"/>
      <c r="BS663" s="120"/>
      <c r="BT663" s="120"/>
      <c r="BU663" s="120"/>
      <c r="BV663" s="120"/>
      <c r="BW663" s="120"/>
      <c r="BZ663" s="136">
        <f t="shared" si="791"/>
        <v>0</v>
      </c>
      <c r="CA663" s="136">
        <f t="shared" si="792"/>
        <v>0</v>
      </c>
      <c r="CB663" s="136">
        <f t="shared" si="793"/>
        <v>0</v>
      </c>
      <c r="CC663" s="136">
        <f t="shared" si="794"/>
        <v>0</v>
      </c>
      <c r="CD663" s="135">
        <f t="shared" si="795"/>
        <v>0</v>
      </c>
      <c r="CE663" s="135">
        <f t="shared" si="796"/>
        <v>0</v>
      </c>
      <c r="CF663" s="134">
        <f t="shared" si="797"/>
        <v>0</v>
      </c>
      <c r="CG663" s="134">
        <f t="shared" si="798"/>
        <v>0</v>
      </c>
      <c r="CH663" s="133" t="e">
        <f t="shared" si="799"/>
        <v>#DIV/0!</v>
      </c>
      <c r="CI663" s="128"/>
    </row>
    <row r="664" spans="1:87" s="121" customFormat="1">
      <c r="A664" s="125"/>
      <c r="D664" s="121" t="s">
        <v>197</v>
      </c>
      <c r="G664" s="124"/>
      <c r="H664" s="124"/>
      <c r="I664" s="122"/>
      <c r="M664" s="123"/>
      <c r="N664" s="121" t="s">
        <v>4178</v>
      </c>
      <c r="O664" s="121" t="s">
        <v>430</v>
      </c>
      <c r="Q664" s="122">
        <f>3145*2.4</f>
        <v>7548</v>
      </c>
      <c r="R664" s="122"/>
      <c r="S664" s="122"/>
      <c r="T664" s="122"/>
      <c r="BD664" s="120"/>
      <c r="BE664" s="120">
        <f t="shared" si="790"/>
        <v>0</v>
      </c>
      <c r="BF664" s="137">
        <f t="shared" si="801"/>
        <v>0</v>
      </c>
      <c r="BG664" s="120"/>
      <c r="BH664" s="120"/>
      <c r="BI664" s="120"/>
      <c r="BJ664" s="120"/>
      <c r="BK664" s="120"/>
      <c r="BL664" s="120"/>
      <c r="BM664" s="120"/>
      <c r="BN664" s="120"/>
      <c r="BO664" s="120"/>
      <c r="BP664" s="120"/>
      <c r="BQ664" s="124"/>
      <c r="BR664" s="120"/>
      <c r="BS664" s="120"/>
      <c r="BT664" s="120"/>
      <c r="BU664" s="120"/>
      <c r="BV664" s="120"/>
      <c r="BW664" s="120"/>
      <c r="BZ664" s="136">
        <f t="shared" si="791"/>
        <v>0</v>
      </c>
      <c r="CA664" s="136">
        <f t="shared" si="792"/>
        <v>0</v>
      </c>
      <c r="CB664" s="136">
        <f t="shared" si="793"/>
        <v>0</v>
      </c>
      <c r="CC664" s="136">
        <f t="shared" si="794"/>
        <v>0</v>
      </c>
      <c r="CD664" s="135">
        <f t="shared" si="795"/>
        <v>0</v>
      </c>
      <c r="CE664" s="135">
        <f t="shared" si="796"/>
        <v>0</v>
      </c>
      <c r="CF664" s="134">
        <f t="shared" si="797"/>
        <v>0</v>
      </c>
      <c r="CG664" s="134">
        <f t="shared" si="798"/>
        <v>0</v>
      </c>
      <c r="CH664" s="133" t="e">
        <f t="shared" si="799"/>
        <v>#DIV/0!</v>
      </c>
    </row>
    <row r="665" spans="1:87" s="121" customFormat="1">
      <c r="A665" s="125">
        <f t="shared" ref="A665:A672" si="802">BJ665</f>
        <v>0</v>
      </c>
      <c r="D665" s="121" t="s">
        <v>215</v>
      </c>
      <c r="G665" s="124"/>
      <c r="H665" s="124"/>
      <c r="I665" s="122"/>
      <c r="M665" s="123"/>
      <c r="N665" s="121" t="s">
        <v>4179</v>
      </c>
      <c r="O665" s="121" t="s">
        <v>4180</v>
      </c>
      <c r="Q665" s="122">
        <f>3107*2.4</f>
        <v>7456.7999999999993</v>
      </c>
      <c r="R665" s="122"/>
      <c r="S665" s="122"/>
      <c r="T665" s="122"/>
      <c r="BD665" s="120"/>
      <c r="BE665" s="120">
        <f t="shared" si="790"/>
        <v>0</v>
      </c>
      <c r="BF665" s="137">
        <f t="shared" si="801"/>
        <v>0</v>
      </c>
      <c r="BG665" s="120"/>
      <c r="BH665" s="120"/>
      <c r="BI665" s="120"/>
      <c r="BJ665" s="120"/>
      <c r="BK665" s="120"/>
      <c r="BL665" s="120"/>
      <c r="BM665" s="120"/>
      <c r="BN665" s="120"/>
      <c r="BO665" s="120"/>
      <c r="BP665" s="120"/>
      <c r="BQ665" s="124"/>
      <c r="BR665" s="120"/>
      <c r="BS665" s="120"/>
      <c r="BT665" s="120"/>
      <c r="BU665" s="120"/>
      <c r="BV665" s="120"/>
      <c r="BW665" s="120"/>
      <c r="BZ665" s="136">
        <f t="shared" si="791"/>
        <v>0</v>
      </c>
      <c r="CA665" s="136">
        <f t="shared" si="792"/>
        <v>0</v>
      </c>
      <c r="CB665" s="136">
        <f t="shared" si="793"/>
        <v>0</v>
      </c>
      <c r="CC665" s="136">
        <f t="shared" si="794"/>
        <v>0</v>
      </c>
      <c r="CD665" s="135">
        <f t="shared" si="795"/>
        <v>0</v>
      </c>
      <c r="CE665" s="135">
        <f t="shared" si="796"/>
        <v>0</v>
      </c>
      <c r="CF665" s="134">
        <f t="shared" si="797"/>
        <v>0</v>
      </c>
      <c r="CG665" s="134">
        <f t="shared" si="798"/>
        <v>0</v>
      </c>
      <c r="CH665" s="133" t="e">
        <f t="shared" si="799"/>
        <v>#DIV/0!</v>
      </c>
    </row>
    <row r="666" spans="1:87" s="121" customFormat="1">
      <c r="A666" s="125">
        <f t="shared" si="802"/>
        <v>0</v>
      </c>
      <c r="D666" s="121" t="s">
        <v>215</v>
      </c>
      <c r="G666" s="124"/>
      <c r="H666" s="124"/>
      <c r="I666" s="122"/>
      <c r="M666" s="123"/>
      <c r="N666" s="121" t="s">
        <v>208</v>
      </c>
      <c r="O666" s="121" t="s">
        <v>255</v>
      </c>
      <c r="Q666" s="122">
        <f>3142*2.4</f>
        <v>7540.7999999999993</v>
      </c>
      <c r="R666" s="122"/>
      <c r="S666" s="122"/>
      <c r="T666" s="122"/>
      <c r="BD666" s="120"/>
      <c r="BE666" s="120">
        <f t="shared" si="790"/>
        <v>0</v>
      </c>
      <c r="BF666" s="137">
        <f t="shared" si="801"/>
        <v>0</v>
      </c>
      <c r="BG666" s="120"/>
      <c r="BH666" s="120"/>
      <c r="BI666" s="120"/>
      <c r="BJ666" s="120"/>
      <c r="BK666" s="120"/>
      <c r="BL666" s="120"/>
      <c r="BM666" s="120"/>
      <c r="BN666" s="120"/>
      <c r="BO666" s="120"/>
      <c r="BP666" s="120"/>
      <c r="BQ666" s="124"/>
      <c r="BR666" s="120"/>
      <c r="BS666" s="120"/>
      <c r="BT666" s="120"/>
      <c r="BU666" s="120"/>
      <c r="BV666" s="120"/>
      <c r="BW666" s="120"/>
      <c r="BZ666" s="136">
        <f t="shared" si="791"/>
        <v>0</v>
      </c>
      <c r="CA666" s="136">
        <f t="shared" si="792"/>
        <v>0</v>
      </c>
      <c r="CB666" s="136">
        <f t="shared" si="793"/>
        <v>0</v>
      </c>
      <c r="CC666" s="136">
        <f t="shared" si="794"/>
        <v>0</v>
      </c>
      <c r="CD666" s="135">
        <f t="shared" si="795"/>
        <v>0</v>
      </c>
      <c r="CE666" s="135">
        <f t="shared" si="796"/>
        <v>0</v>
      </c>
      <c r="CF666" s="134">
        <f t="shared" si="797"/>
        <v>0</v>
      </c>
      <c r="CG666" s="134">
        <f t="shared" si="798"/>
        <v>0</v>
      </c>
      <c r="CH666" s="133" t="e">
        <f t="shared" si="799"/>
        <v>#DIV/0!</v>
      </c>
    </row>
    <row r="667" spans="1:87" s="128" customFormat="1">
      <c r="A667" s="125">
        <f t="shared" si="802"/>
        <v>0</v>
      </c>
      <c r="B667" s="121"/>
      <c r="C667" s="121"/>
      <c r="D667" s="121" t="s">
        <v>197</v>
      </c>
      <c r="E667" s="121"/>
      <c r="F667" s="121"/>
      <c r="G667" s="124"/>
      <c r="H667" s="124"/>
      <c r="I667" s="122"/>
      <c r="J667" s="121"/>
      <c r="K667" s="121"/>
      <c r="L667" s="121"/>
      <c r="M667" s="123"/>
      <c r="N667" s="121" t="s">
        <v>505</v>
      </c>
      <c r="O667" s="121" t="s">
        <v>4193</v>
      </c>
      <c r="P667" s="121"/>
      <c r="Q667" s="122">
        <f>3147*2.4</f>
        <v>7552.7999999999993</v>
      </c>
      <c r="R667" s="122"/>
      <c r="S667" s="122"/>
      <c r="T667" s="122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  <c r="AL667" s="121"/>
      <c r="AM667" s="121"/>
      <c r="AN667" s="121"/>
      <c r="AO667" s="121"/>
      <c r="AP667" s="121"/>
      <c r="AQ667" s="121"/>
      <c r="AR667" s="121"/>
      <c r="AS667" s="121"/>
      <c r="AT667" s="121"/>
      <c r="AU667" s="121"/>
      <c r="AV667" s="121"/>
      <c r="AW667" s="121"/>
      <c r="AX667" s="121"/>
      <c r="AY667" s="121"/>
      <c r="AZ667" s="121"/>
      <c r="BA667" s="121"/>
      <c r="BB667" s="121"/>
      <c r="BC667" s="121"/>
      <c r="BD667" s="120"/>
      <c r="BE667" s="120">
        <f t="shared" si="790"/>
        <v>0</v>
      </c>
      <c r="BF667" s="137">
        <f t="shared" si="801"/>
        <v>0</v>
      </c>
      <c r="BG667" s="120"/>
      <c r="BH667" s="120"/>
      <c r="BI667" s="120"/>
      <c r="BJ667" s="120"/>
      <c r="BK667" s="120"/>
      <c r="BL667" s="120"/>
      <c r="BM667" s="120"/>
      <c r="BN667" s="120"/>
      <c r="BO667" s="120"/>
      <c r="BP667" s="120"/>
      <c r="BQ667" s="124"/>
      <c r="BR667" s="120"/>
      <c r="BS667" s="120"/>
      <c r="BT667" s="120"/>
      <c r="BU667" s="120"/>
      <c r="BV667" s="120"/>
      <c r="BW667" s="120"/>
      <c r="BX667" s="121"/>
      <c r="BY667" s="121"/>
      <c r="BZ667" s="136">
        <f t="shared" si="791"/>
        <v>0</v>
      </c>
      <c r="CA667" s="136">
        <f t="shared" si="792"/>
        <v>0</v>
      </c>
      <c r="CB667" s="136">
        <f t="shared" si="793"/>
        <v>0</v>
      </c>
      <c r="CC667" s="136">
        <f t="shared" si="794"/>
        <v>0</v>
      </c>
      <c r="CD667" s="135">
        <f t="shared" si="795"/>
        <v>0</v>
      </c>
      <c r="CE667" s="135">
        <f t="shared" si="796"/>
        <v>0</v>
      </c>
      <c r="CF667" s="134">
        <f t="shared" si="797"/>
        <v>0</v>
      </c>
      <c r="CG667" s="134">
        <f t="shared" si="798"/>
        <v>0</v>
      </c>
      <c r="CH667" s="133" t="e">
        <f t="shared" si="799"/>
        <v>#DIV/0!</v>
      </c>
      <c r="CI667" s="121"/>
    </row>
    <row r="668" spans="1:87" s="121" customFormat="1">
      <c r="A668" s="125">
        <f t="shared" si="802"/>
        <v>0</v>
      </c>
      <c r="D668" s="121" t="s">
        <v>215</v>
      </c>
      <c r="G668" s="124"/>
      <c r="H668" s="124"/>
      <c r="I668" s="122"/>
      <c r="M668" s="123"/>
      <c r="N668" s="121" t="s">
        <v>4194</v>
      </c>
      <c r="O668" s="121" t="s">
        <v>4158</v>
      </c>
      <c r="Q668" s="122">
        <f>3102*2.4</f>
        <v>7444.7999999999993</v>
      </c>
      <c r="R668" s="122"/>
      <c r="S668" s="122"/>
      <c r="T668" s="122"/>
      <c r="BD668" s="120"/>
      <c r="BE668" s="120">
        <f t="shared" si="790"/>
        <v>0</v>
      </c>
      <c r="BF668" s="137">
        <f t="shared" si="801"/>
        <v>0</v>
      </c>
      <c r="BG668" s="120"/>
      <c r="BH668" s="120"/>
      <c r="BI668" s="120"/>
      <c r="BJ668" s="120"/>
      <c r="BK668" s="120"/>
      <c r="BL668" s="120"/>
      <c r="BM668" s="120"/>
      <c r="BN668" s="120"/>
      <c r="BO668" s="120"/>
      <c r="BP668" s="120"/>
      <c r="BQ668" s="124"/>
      <c r="BR668" s="120"/>
      <c r="BS668" s="120"/>
      <c r="BT668" s="120"/>
      <c r="BU668" s="120"/>
      <c r="BV668" s="120"/>
      <c r="BW668" s="120"/>
      <c r="BX668" s="120"/>
      <c r="BY668" s="120"/>
      <c r="BZ668" s="136">
        <f t="shared" si="791"/>
        <v>0</v>
      </c>
      <c r="CA668" s="136">
        <f t="shared" si="792"/>
        <v>0</v>
      </c>
      <c r="CB668" s="136">
        <f t="shared" si="793"/>
        <v>0</v>
      </c>
      <c r="CC668" s="136">
        <f t="shared" si="794"/>
        <v>0</v>
      </c>
      <c r="CD668" s="135">
        <f t="shared" si="795"/>
        <v>0</v>
      </c>
      <c r="CE668" s="135">
        <f t="shared" si="796"/>
        <v>0</v>
      </c>
      <c r="CF668" s="134">
        <f t="shared" si="797"/>
        <v>0</v>
      </c>
      <c r="CG668" s="134">
        <f t="shared" si="798"/>
        <v>0</v>
      </c>
      <c r="CH668" s="133" t="e">
        <f t="shared" si="799"/>
        <v>#DIV/0!</v>
      </c>
    </row>
    <row r="669" spans="1:87" s="121" customFormat="1">
      <c r="A669" s="125">
        <f t="shared" si="802"/>
        <v>0</v>
      </c>
      <c r="D669" s="121" t="s">
        <v>197</v>
      </c>
      <c r="G669" s="124"/>
      <c r="H669" s="124"/>
      <c r="I669" s="122"/>
      <c r="M669" s="123"/>
      <c r="N669" s="121" t="s">
        <v>1483</v>
      </c>
      <c r="O669" s="121" t="s">
        <v>474</v>
      </c>
      <c r="Q669" s="122">
        <f>3136*2.4</f>
        <v>7526.4</v>
      </c>
      <c r="R669" s="122"/>
      <c r="S669" s="122"/>
      <c r="T669" s="122"/>
      <c r="BD669" s="120"/>
      <c r="BE669" s="120">
        <f t="shared" si="790"/>
        <v>0</v>
      </c>
      <c r="BF669" s="137">
        <f t="shared" si="801"/>
        <v>0</v>
      </c>
      <c r="BG669" s="120"/>
      <c r="BH669" s="120"/>
      <c r="BI669" s="120"/>
      <c r="BJ669" s="120"/>
      <c r="BK669" s="120"/>
      <c r="BL669" s="120"/>
      <c r="BM669" s="120"/>
      <c r="BN669" s="120"/>
      <c r="BO669" s="120"/>
      <c r="BP669" s="120"/>
      <c r="BQ669" s="124"/>
      <c r="BR669" s="120"/>
      <c r="BS669" s="120"/>
      <c r="BT669" s="120"/>
      <c r="BU669" s="120"/>
      <c r="BV669" s="120"/>
      <c r="BW669" s="120"/>
      <c r="BZ669" s="136">
        <f t="shared" si="791"/>
        <v>0</v>
      </c>
      <c r="CA669" s="136">
        <f t="shared" si="792"/>
        <v>0</v>
      </c>
      <c r="CB669" s="136">
        <f t="shared" si="793"/>
        <v>0</v>
      </c>
      <c r="CC669" s="136">
        <f t="shared" si="794"/>
        <v>0</v>
      </c>
      <c r="CD669" s="135">
        <f t="shared" si="795"/>
        <v>0</v>
      </c>
      <c r="CE669" s="135">
        <f t="shared" si="796"/>
        <v>0</v>
      </c>
      <c r="CF669" s="134">
        <f t="shared" si="797"/>
        <v>0</v>
      </c>
      <c r="CG669" s="134">
        <f t="shared" si="798"/>
        <v>0</v>
      </c>
      <c r="CH669" s="133" t="e">
        <f t="shared" si="799"/>
        <v>#DIV/0!</v>
      </c>
    </row>
    <row r="670" spans="1:87" s="128" customFormat="1">
      <c r="A670" s="125">
        <f t="shared" si="802"/>
        <v>0</v>
      </c>
      <c r="B670" s="121"/>
      <c r="C670" s="121"/>
      <c r="D670" s="121" t="s">
        <v>215</v>
      </c>
      <c r="E670" s="121"/>
      <c r="F670" s="121"/>
      <c r="G670" s="124"/>
      <c r="H670" s="124"/>
      <c r="I670" s="122"/>
      <c r="J670" s="121"/>
      <c r="K670" s="121"/>
      <c r="L670" s="121"/>
      <c r="M670" s="123"/>
      <c r="N670" s="121" t="s">
        <v>4195</v>
      </c>
      <c r="O670" s="121" t="s">
        <v>4121</v>
      </c>
      <c r="P670" s="121"/>
      <c r="Q670" s="122"/>
      <c r="R670" s="122"/>
      <c r="S670" s="122"/>
      <c r="T670" s="122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  <c r="AL670" s="121"/>
      <c r="AM670" s="121"/>
      <c r="AN670" s="121"/>
      <c r="AO670" s="121"/>
      <c r="AP670" s="121"/>
      <c r="AQ670" s="121"/>
      <c r="AR670" s="121"/>
      <c r="AS670" s="121"/>
      <c r="AT670" s="121"/>
      <c r="AU670" s="121"/>
      <c r="AV670" s="121"/>
      <c r="AW670" s="121"/>
      <c r="AX670" s="121"/>
      <c r="AY670" s="121"/>
      <c r="AZ670" s="121"/>
      <c r="BA670" s="121"/>
      <c r="BB670" s="121"/>
      <c r="BC670" s="121"/>
      <c r="BD670" s="120"/>
      <c r="BE670" s="120">
        <f t="shared" si="790"/>
        <v>0</v>
      </c>
      <c r="BF670" s="137">
        <f t="shared" si="801"/>
        <v>0</v>
      </c>
      <c r="BG670" s="120"/>
      <c r="BH670" s="120"/>
      <c r="BI670" s="120"/>
      <c r="BJ670" s="120"/>
      <c r="BK670" s="120"/>
      <c r="BL670" s="120"/>
      <c r="BM670" s="120"/>
      <c r="BN670" s="120"/>
      <c r="BO670" s="120"/>
      <c r="BP670" s="120"/>
      <c r="BQ670" s="124"/>
      <c r="BR670" s="120"/>
      <c r="BS670" s="120"/>
      <c r="BT670" s="120"/>
      <c r="BU670" s="120"/>
      <c r="BV670" s="120"/>
      <c r="BW670" s="120"/>
      <c r="BX670" s="121"/>
      <c r="BY670" s="121"/>
      <c r="BZ670" s="136">
        <f t="shared" si="791"/>
        <v>0</v>
      </c>
      <c r="CA670" s="136">
        <f t="shared" si="792"/>
        <v>0</v>
      </c>
      <c r="CB670" s="136">
        <f t="shared" si="793"/>
        <v>0</v>
      </c>
      <c r="CC670" s="136">
        <f t="shared" si="794"/>
        <v>0</v>
      </c>
      <c r="CD670" s="135">
        <f t="shared" si="795"/>
        <v>0</v>
      </c>
      <c r="CE670" s="135">
        <f t="shared" si="796"/>
        <v>0</v>
      </c>
      <c r="CF670" s="134">
        <f t="shared" si="797"/>
        <v>0</v>
      </c>
      <c r="CG670" s="134">
        <f t="shared" si="798"/>
        <v>0</v>
      </c>
      <c r="CH670" s="133" t="e">
        <f t="shared" si="799"/>
        <v>#DIV/0!</v>
      </c>
    </row>
    <row r="671" spans="1:87" s="128" customFormat="1">
      <c r="A671" s="125">
        <f t="shared" si="802"/>
        <v>0</v>
      </c>
      <c r="B671" s="121"/>
      <c r="C671" s="121"/>
      <c r="D671" s="121" t="s">
        <v>197</v>
      </c>
      <c r="E671" s="121"/>
      <c r="F671" s="121"/>
      <c r="G671" s="124"/>
      <c r="H671" s="124"/>
      <c r="I671" s="122"/>
      <c r="J671" s="121"/>
      <c r="K671" s="121"/>
      <c r="L671" s="121"/>
      <c r="M671" s="123"/>
      <c r="N671" s="121" t="s">
        <v>4196</v>
      </c>
      <c r="O671" s="121" t="s">
        <v>806</v>
      </c>
      <c r="P671" s="121"/>
      <c r="Q671" s="122"/>
      <c r="R671" s="122"/>
      <c r="S671" s="122"/>
      <c r="T671" s="122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  <c r="AP671" s="121"/>
      <c r="AQ671" s="121"/>
      <c r="AR671" s="121"/>
      <c r="AS671" s="121"/>
      <c r="AT671" s="121"/>
      <c r="AU671" s="121"/>
      <c r="AV671" s="121"/>
      <c r="AW671" s="121"/>
      <c r="AX671" s="121"/>
      <c r="AY671" s="121"/>
      <c r="AZ671" s="121"/>
      <c r="BA671" s="121"/>
      <c r="BB671" s="121"/>
      <c r="BC671" s="121"/>
      <c r="BD671" s="120"/>
      <c r="BE671" s="120">
        <f t="shared" si="790"/>
        <v>0</v>
      </c>
      <c r="BF671" s="137">
        <f t="shared" si="801"/>
        <v>0</v>
      </c>
      <c r="BG671" s="120"/>
      <c r="BH671" s="120"/>
      <c r="BI671" s="120"/>
      <c r="BJ671" s="120"/>
      <c r="BK671" s="120"/>
      <c r="BL671" s="120"/>
      <c r="BM671" s="120"/>
      <c r="BN671" s="120"/>
      <c r="BO671" s="120"/>
      <c r="BP671" s="120"/>
      <c r="BQ671" s="124"/>
      <c r="BR671" s="120"/>
      <c r="BS671" s="120"/>
      <c r="BT671" s="120"/>
      <c r="BU671" s="120"/>
      <c r="BV671" s="120"/>
      <c r="BW671" s="120"/>
      <c r="BX671" s="121"/>
      <c r="BY671" s="121"/>
      <c r="BZ671" s="136">
        <f t="shared" si="791"/>
        <v>0</v>
      </c>
      <c r="CA671" s="136">
        <f t="shared" si="792"/>
        <v>0</v>
      </c>
      <c r="CB671" s="136">
        <f t="shared" si="793"/>
        <v>0</v>
      </c>
      <c r="CC671" s="136">
        <f t="shared" si="794"/>
        <v>0</v>
      </c>
      <c r="CD671" s="135">
        <f t="shared" si="795"/>
        <v>0</v>
      </c>
      <c r="CE671" s="135">
        <f t="shared" si="796"/>
        <v>0</v>
      </c>
      <c r="CF671" s="134">
        <f t="shared" si="797"/>
        <v>0</v>
      </c>
      <c r="CG671" s="134">
        <f t="shared" si="798"/>
        <v>0</v>
      </c>
      <c r="CH671" s="133" t="e">
        <f t="shared" si="799"/>
        <v>#DIV/0!</v>
      </c>
      <c r="CI671" s="121"/>
    </row>
    <row r="672" spans="1:87" s="121" customFormat="1">
      <c r="A672" s="125">
        <f t="shared" si="802"/>
        <v>0</v>
      </c>
      <c r="D672" s="121" t="s">
        <v>197</v>
      </c>
      <c r="G672" s="124"/>
      <c r="H672" s="124"/>
      <c r="I672" s="122"/>
      <c r="M672" s="123"/>
      <c r="N672" s="121" t="s">
        <v>473</v>
      </c>
      <c r="O672" s="121" t="s">
        <v>4066</v>
      </c>
      <c r="Q672" s="122">
        <f>3143*2.4</f>
        <v>7543.2</v>
      </c>
      <c r="R672" s="122"/>
      <c r="S672" s="122"/>
      <c r="T672" s="122"/>
      <c r="BD672" s="120"/>
      <c r="BE672" s="120">
        <f t="shared" si="790"/>
        <v>0</v>
      </c>
      <c r="BF672" s="137">
        <f t="shared" si="801"/>
        <v>0</v>
      </c>
      <c r="BG672" s="120"/>
      <c r="BH672" s="120"/>
      <c r="BI672" s="120"/>
      <c r="BJ672" s="120"/>
      <c r="BK672" s="120"/>
      <c r="BL672" s="120"/>
      <c r="BM672" s="120"/>
      <c r="BN672" s="120"/>
      <c r="BO672" s="120"/>
      <c r="BP672" s="120"/>
      <c r="BQ672" s="124"/>
      <c r="BR672" s="120"/>
      <c r="BS672" s="120"/>
      <c r="BT672" s="120"/>
      <c r="BU672" s="120"/>
      <c r="BV672" s="120"/>
      <c r="BW672" s="120"/>
      <c r="BZ672" s="136">
        <f t="shared" si="791"/>
        <v>0</v>
      </c>
      <c r="CA672" s="136">
        <f t="shared" si="792"/>
        <v>0</v>
      </c>
      <c r="CB672" s="136">
        <f t="shared" si="793"/>
        <v>0</v>
      </c>
      <c r="CC672" s="136">
        <f t="shared" si="794"/>
        <v>0</v>
      </c>
      <c r="CD672" s="135">
        <f t="shared" si="795"/>
        <v>0</v>
      </c>
      <c r="CE672" s="135">
        <f t="shared" si="796"/>
        <v>0</v>
      </c>
      <c r="CF672" s="134">
        <f t="shared" si="797"/>
        <v>0</v>
      </c>
      <c r="CG672" s="134">
        <f t="shared" si="798"/>
        <v>0</v>
      </c>
      <c r="CH672" s="133" t="e">
        <f t="shared" si="799"/>
        <v>#DIV/0!</v>
      </c>
    </row>
    <row r="673" spans="1:87" s="121" customFormat="1">
      <c r="A673" s="221"/>
      <c r="B673" s="128"/>
      <c r="D673" s="128" t="s">
        <v>197</v>
      </c>
      <c r="E673" s="128"/>
      <c r="F673" s="128"/>
      <c r="G673" s="222"/>
      <c r="H673" s="222"/>
      <c r="I673" s="223"/>
      <c r="J673" s="128"/>
      <c r="K673" s="220"/>
      <c r="L673" s="128"/>
      <c r="M673" s="224"/>
      <c r="N673" s="128" t="s">
        <v>383</v>
      </c>
      <c r="O673" s="128" t="s">
        <v>4197</v>
      </c>
      <c r="P673" s="128"/>
      <c r="Q673" s="223">
        <f>2155*2.4</f>
        <v>5172</v>
      </c>
      <c r="R673" s="223"/>
      <c r="S673" s="223"/>
      <c r="T673" s="223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225"/>
      <c r="BE673" s="120">
        <f t="shared" si="790"/>
        <v>0</v>
      </c>
      <c r="BF673" s="137">
        <f t="shared" si="801"/>
        <v>0</v>
      </c>
      <c r="BG673" s="225"/>
      <c r="BH673" s="225"/>
      <c r="BI673" s="225"/>
      <c r="BJ673" s="225"/>
      <c r="BK673" s="225"/>
      <c r="BL673" s="225"/>
      <c r="BM673" s="225"/>
      <c r="BN673" s="225"/>
      <c r="BO673" s="225"/>
      <c r="BP673" s="225"/>
      <c r="BQ673" s="222"/>
      <c r="BR673" s="225"/>
      <c r="BS673" s="225"/>
      <c r="BT673" s="225"/>
      <c r="BU673" s="225"/>
      <c r="BV673" s="225"/>
      <c r="BW673" s="225"/>
      <c r="BX673" s="128"/>
      <c r="BY673" s="128"/>
      <c r="BZ673" s="136">
        <f t="shared" si="791"/>
        <v>0</v>
      </c>
      <c r="CA673" s="136">
        <f t="shared" si="792"/>
        <v>0</v>
      </c>
      <c r="CB673" s="136">
        <f t="shared" si="793"/>
        <v>0</v>
      </c>
      <c r="CC673" s="136">
        <f t="shared" si="794"/>
        <v>0</v>
      </c>
      <c r="CD673" s="135">
        <f t="shared" si="795"/>
        <v>0</v>
      </c>
      <c r="CE673" s="135">
        <f t="shared" si="796"/>
        <v>0</v>
      </c>
      <c r="CF673" s="134">
        <f t="shared" si="797"/>
        <v>0</v>
      </c>
      <c r="CG673" s="134">
        <f t="shared" si="798"/>
        <v>0</v>
      </c>
      <c r="CH673" s="133" t="e">
        <f t="shared" si="799"/>
        <v>#DIV/0!</v>
      </c>
      <c r="CI673" s="128"/>
    </row>
    <row r="674" spans="1:87" s="121" customFormat="1">
      <c r="A674" s="125">
        <f t="shared" ref="A674:A737" si="803">BJ674</f>
        <v>0</v>
      </c>
      <c r="G674" s="124"/>
      <c r="H674" s="124"/>
      <c r="I674" s="122"/>
      <c r="M674" s="123"/>
      <c r="N674" s="121" t="s">
        <v>310</v>
      </c>
      <c r="O674" s="121" t="s">
        <v>4198</v>
      </c>
      <c r="Q674" s="122">
        <f>3383*2.4</f>
        <v>8119.2</v>
      </c>
      <c r="R674" s="122"/>
      <c r="S674" s="122"/>
      <c r="T674" s="122"/>
      <c r="BD674" s="120"/>
      <c r="BE674" s="120">
        <f t="shared" si="790"/>
        <v>0</v>
      </c>
      <c r="BF674" s="137">
        <f t="shared" si="801"/>
        <v>0</v>
      </c>
      <c r="BG674" s="120"/>
      <c r="BH674" s="120"/>
      <c r="BI674" s="120"/>
      <c r="BJ674" s="120"/>
      <c r="BK674" s="120"/>
      <c r="BL674" s="120"/>
      <c r="BM674" s="120"/>
      <c r="BN674" s="120"/>
      <c r="BO674" s="120"/>
      <c r="BP674" s="120"/>
      <c r="BQ674" s="124"/>
      <c r="BR674" s="120"/>
      <c r="BS674" s="120"/>
      <c r="BT674" s="120"/>
      <c r="BU674" s="120"/>
      <c r="BV674" s="120"/>
      <c r="BW674" s="120"/>
      <c r="BZ674" s="136">
        <f t="shared" si="791"/>
        <v>0</v>
      </c>
      <c r="CA674" s="136">
        <f t="shared" si="792"/>
        <v>0</v>
      </c>
      <c r="CB674" s="136">
        <f t="shared" si="793"/>
        <v>0</v>
      </c>
      <c r="CC674" s="136">
        <f t="shared" si="794"/>
        <v>0</v>
      </c>
      <c r="CD674" s="135">
        <f t="shared" si="795"/>
        <v>0</v>
      </c>
      <c r="CE674" s="135">
        <f t="shared" si="796"/>
        <v>0</v>
      </c>
      <c r="CF674" s="134">
        <f t="shared" si="797"/>
        <v>0</v>
      </c>
      <c r="CG674" s="134">
        <f t="shared" si="798"/>
        <v>0</v>
      </c>
      <c r="CH674" s="133" t="e">
        <f t="shared" si="799"/>
        <v>#DIV/0!</v>
      </c>
      <c r="CI674" s="128"/>
    </row>
    <row r="675" spans="1:87" s="121" customFormat="1">
      <c r="A675" s="125">
        <f t="shared" si="803"/>
        <v>0</v>
      </c>
      <c r="D675" s="121" t="s">
        <v>215</v>
      </c>
      <c r="G675" s="124"/>
      <c r="H675" s="124"/>
      <c r="I675" s="122"/>
      <c r="M675" s="123"/>
      <c r="N675" s="121" t="s">
        <v>307</v>
      </c>
      <c r="O675" s="121" t="s">
        <v>4173</v>
      </c>
      <c r="Q675" s="122">
        <f>3136*2.4</f>
        <v>7526.4</v>
      </c>
      <c r="R675" s="122"/>
      <c r="S675" s="122"/>
      <c r="T675" s="122"/>
      <c r="BD675" s="120"/>
      <c r="BE675" s="120">
        <f t="shared" si="790"/>
        <v>0</v>
      </c>
      <c r="BF675" s="137">
        <f t="shared" si="801"/>
        <v>0</v>
      </c>
      <c r="BG675" s="120"/>
      <c r="BH675" s="120"/>
      <c r="BI675" s="120"/>
      <c r="BJ675" s="120"/>
      <c r="BK675" s="120"/>
      <c r="BL675" s="120"/>
      <c r="BM675" s="120"/>
      <c r="BN675" s="120"/>
      <c r="BO675" s="120"/>
      <c r="BP675" s="120"/>
      <c r="BQ675" s="124"/>
      <c r="BR675" s="120"/>
      <c r="BS675" s="120"/>
      <c r="BT675" s="120"/>
      <c r="BU675" s="120"/>
      <c r="BV675" s="120"/>
      <c r="BW675" s="120"/>
      <c r="BX675" s="127"/>
      <c r="BY675" s="127"/>
      <c r="BZ675" s="136">
        <f t="shared" si="791"/>
        <v>0</v>
      </c>
      <c r="CA675" s="136">
        <f t="shared" si="792"/>
        <v>0</v>
      </c>
      <c r="CB675" s="136">
        <f t="shared" si="793"/>
        <v>0</v>
      </c>
      <c r="CC675" s="136">
        <f t="shared" si="794"/>
        <v>0</v>
      </c>
      <c r="CD675" s="135">
        <f t="shared" si="795"/>
        <v>0</v>
      </c>
      <c r="CE675" s="135">
        <f t="shared" si="796"/>
        <v>0</v>
      </c>
      <c r="CF675" s="134">
        <f t="shared" si="797"/>
        <v>0</v>
      </c>
      <c r="CG675" s="134">
        <f t="shared" si="798"/>
        <v>0</v>
      </c>
      <c r="CH675" s="133" t="e">
        <f t="shared" si="799"/>
        <v>#DIV/0!</v>
      </c>
    </row>
    <row r="676" spans="1:87" s="121" customFormat="1">
      <c r="A676" s="125">
        <f t="shared" si="803"/>
        <v>0</v>
      </c>
      <c r="B676" s="125"/>
      <c r="D676" s="121" t="s">
        <v>215</v>
      </c>
      <c r="G676" s="124"/>
      <c r="H676" s="124"/>
      <c r="I676" s="122"/>
      <c r="M676" s="123"/>
      <c r="N676" s="121" t="s">
        <v>4199</v>
      </c>
      <c r="O676" s="121" t="s">
        <v>4200</v>
      </c>
      <c r="Q676" s="122">
        <f>3136*2.4</f>
        <v>7526.4</v>
      </c>
      <c r="R676" s="122"/>
      <c r="S676" s="122"/>
      <c r="T676" s="122"/>
      <c r="BD676" s="120"/>
      <c r="BE676" s="120">
        <f t="shared" si="790"/>
        <v>0</v>
      </c>
      <c r="BF676" s="137">
        <f t="shared" si="801"/>
        <v>0</v>
      </c>
      <c r="BG676" s="120"/>
      <c r="BH676" s="120"/>
      <c r="BI676" s="120"/>
      <c r="BJ676" s="120"/>
      <c r="BK676" s="120"/>
      <c r="BL676" s="120"/>
      <c r="BM676" s="120"/>
      <c r="BN676" s="120"/>
      <c r="BO676" s="120"/>
      <c r="BP676" s="120"/>
      <c r="BQ676" s="124"/>
      <c r="BR676" s="120"/>
      <c r="BS676" s="120"/>
      <c r="BT676" s="120"/>
      <c r="BU676" s="120"/>
      <c r="BV676" s="120"/>
      <c r="BW676" s="120"/>
      <c r="BZ676" s="136">
        <f t="shared" si="791"/>
        <v>0</v>
      </c>
      <c r="CA676" s="136">
        <f t="shared" si="792"/>
        <v>0</v>
      </c>
      <c r="CB676" s="136">
        <f t="shared" si="793"/>
        <v>0</v>
      </c>
      <c r="CC676" s="136">
        <f t="shared" si="794"/>
        <v>0</v>
      </c>
      <c r="CD676" s="135">
        <f t="shared" si="795"/>
        <v>0</v>
      </c>
      <c r="CE676" s="135">
        <f t="shared" si="796"/>
        <v>0</v>
      </c>
      <c r="CF676" s="134">
        <f t="shared" si="797"/>
        <v>0</v>
      </c>
      <c r="CG676" s="134">
        <f t="shared" si="798"/>
        <v>0</v>
      </c>
      <c r="CH676" s="133" t="e">
        <f t="shared" si="799"/>
        <v>#DIV/0!</v>
      </c>
    </row>
    <row r="677" spans="1:87" s="121" customFormat="1">
      <c r="A677" s="125">
        <f t="shared" si="803"/>
        <v>0</v>
      </c>
      <c r="B677" s="125"/>
      <c r="D677" s="121" t="s">
        <v>197</v>
      </c>
      <c r="G677" s="124"/>
      <c r="H677" s="124"/>
      <c r="I677" s="122"/>
      <c r="M677" s="123"/>
      <c r="N677" s="121" t="s">
        <v>1799</v>
      </c>
      <c r="O677" s="121" t="s">
        <v>255</v>
      </c>
      <c r="Q677" s="122">
        <f>3142*2.4</f>
        <v>7540.7999999999993</v>
      </c>
      <c r="R677" s="122"/>
      <c r="S677" s="122"/>
      <c r="T677" s="122"/>
      <c r="BD677" s="120"/>
      <c r="BE677" s="120">
        <f t="shared" si="790"/>
        <v>0</v>
      </c>
      <c r="BF677" s="137">
        <f t="shared" si="801"/>
        <v>0</v>
      </c>
      <c r="BG677" s="120"/>
      <c r="BH677" s="120"/>
      <c r="BI677" s="120"/>
      <c r="BJ677" s="120"/>
      <c r="BK677" s="120"/>
      <c r="BL677" s="120"/>
      <c r="BM677" s="120"/>
      <c r="BN677" s="120"/>
      <c r="BO677" s="120"/>
      <c r="BP677" s="120"/>
      <c r="BQ677" s="124"/>
      <c r="BR677" s="120"/>
      <c r="BS677" s="120"/>
      <c r="BT677" s="120"/>
      <c r="BU677" s="120"/>
      <c r="BV677" s="120"/>
      <c r="BW677" s="120"/>
      <c r="BZ677" s="136">
        <f t="shared" si="791"/>
        <v>0</v>
      </c>
      <c r="CA677" s="136">
        <f t="shared" si="792"/>
        <v>0</v>
      </c>
      <c r="CB677" s="136">
        <f t="shared" si="793"/>
        <v>0</v>
      </c>
      <c r="CC677" s="136">
        <f t="shared" si="794"/>
        <v>0</v>
      </c>
      <c r="CD677" s="135">
        <f t="shared" si="795"/>
        <v>0</v>
      </c>
      <c r="CE677" s="135">
        <f t="shared" si="796"/>
        <v>0</v>
      </c>
      <c r="CF677" s="134">
        <f t="shared" si="797"/>
        <v>0</v>
      </c>
      <c r="CG677" s="134">
        <f t="shared" si="798"/>
        <v>0</v>
      </c>
      <c r="CH677" s="133" t="e">
        <f t="shared" si="799"/>
        <v>#DIV/0!</v>
      </c>
    </row>
    <row r="678" spans="1:87" s="121" customFormat="1">
      <c r="A678" s="125">
        <f t="shared" si="803"/>
        <v>0</v>
      </c>
      <c r="D678" s="121" t="s">
        <v>215</v>
      </c>
      <c r="G678" s="124"/>
      <c r="H678" s="124"/>
      <c r="I678" s="122"/>
      <c r="M678" s="123"/>
      <c r="N678" s="121" t="s">
        <v>4201</v>
      </c>
      <c r="O678" s="121" t="s">
        <v>4202</v>
      </c>
      <c r="Q678" s="122">
        <f>3102*2.4</f>
        <v>7444.7999999999993</v>
      </c>
      <c r="R678" s="122"/>
      <c r="S678" s="122"/>
      <c r="T678" s="122"/>
      <c r="BD678" s="120"/>
      <c r="BE678" s="120">
        <f t="shared" si="790"/>
        <v>0</v>
      </c>
      <c r="BF678" s="137">
        <f t="shared" si="801"/>
        <v>0</v>
      </c>
      <c r="BG678" s="120"/>
      <c r="BH678" s="120"/>
      <c r="BI678" s="120"/>
      <c r="BJ678" s="120"/>
      <c r="BK678" s="120"/>
      <c r="BL678" s="120"/>
      <c r="BM678" s="120"/>
      <c r="BN678" s="120"/>
      <c r="BO678" s="120"/>
      <c r="BP678" s="120"/>
      <c r="BQ678" s="124"/>
      <c r="BR678" s="120"/>
      <c r="BS678" s="120"/>
      <c r="BT678" s="120"/>
      <c r="BU678" s="120"/>
      <c r="BV678" s="120"/>
      <c r="BW678" s="120"/>
      <c r="BX678" s="120"/>
      <c r="BY678" s="120"/>
      <c r="BZ678" s="136">
        <f t="shared" si="791"/>
        <v>0</v>
      </c>
      <c r="CA678" s="136">
        <f t="shared" si="792"/>
        <v>0</v>
      </c>
      <c r="CB678" s="136">
        <f t="shared" si="793"/>
        <v>0</v>
      </c>
      <c r="CC678" s="136">
        <f t="shared" si="794"/>
        <v>0</v>
      </c>
      <c r="CD678" s="135">
        <f t="shared" si="795"/>
        <v>0</v>
      </c>
      <c r="CE678" s="135">
        <f t="shared" si="796"/>
        <v>0</v>
      </c>
      <c r="CF678" s="134">
        <f t="shared" si="797"/>
        <v>0</v>
      </c>
      <c r="CG678" s="134">
        <f t="shared" si="798"/>
        <v>0</v>
      </c>
      <c r="CH678" s="133" t="e">
        <f t="shared" si="799"/>
        <v>#DIV/0!</v>
      </c>
    </row>
    <row r="679" spans="1:87" s="128" customFormat="1">
      <c r="A679" s="125">
        <f t="shared" si="803"/>
        <v>0</v>
      </c>
      <c r="D679" s="121" t="s">
        <v>215</v>
      </c>
      <c r="G679" s="124"/>
      <c r="H679" s="124"/>
      <c r="I679" s="122"/>
      <c r="M679" s="224"/>
      <c r="N679" s="121" t="s">
        <v>374</v>
      </c>
      <c r="O679" s="121" t="s">
        <v>4132</v>
      </c>
      <c r="Q679" s="122">
        <f>3136*2.4</f>
        <v>7526.4</v>
      </c>
      <c r="R679" s="122"/>
      <c r="S679" s="122"/>
      <c r="T679" s="122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  <c r="AL679" s="121"/>
      <c r="AM679" s="121"/>
      <c r="AN679" s="121"/>
      <c r="AO679" s="121"/>
      <c r="AP679" s="121"/>
      <c r="AQ679" s="121"/>
      <c r="AR679" s="121"/>
      <c r="AS679" s="121"/>
      <c r="AT679" s="121"/>
      <c r="AU679" s="121"/>
      <c r="AV679" s="121"/>
      <c r="AW679" s="121"/>
      <c r="AX679" s="121"/>
      <c r="AY679" s="121"/>
      <c r="AZ679" s="121"/>
      <c r="BA679" s="121"/>
      <c r="BB679" s="121"/>
      <c r="BC679" s="121"/>
      <c r="BE679" s="120">
        <f t="shared" si="790"/>
        <v>0</v>
      </c>
      <c r="BF679" s="137">
        <f t="shared" si="801"/>
        <v>0</v>
      </c>
      <c r="BG679" s="120"/>
      <c r="BX679" s="116"/>
      <c r="BY679" s="116"/>
      <c r="BZ679" s="136">
        <f t="shared" si="791"/>
        <v>0</v>
      </c>
      <c r="CA679" s="136">
        <f t="shared" si="792"/>
        <v>0</v>
      </c>
      <c r="CB679" s="136">
        <f t="shared" si="793"/>
        <v>0</v>
      </c>
      <c r="CC679" s="136">
        <f t="shared" si="794"/>
        <v>0</v>
      </c>
      <c r="CD679" s="135">
        <f t="shared" si="795"/>
        <v>0</v>
      </c>
      <c r="CE679" s="135">
        <f t="shared" si="796"/>
        <v>0</v>
      </c>
      <c r="CF679" s="134">
        <f t="shared" si="797"/>
        <v>0</v>
      </c>
      <c r="CG679" s="134">
        <f t="shared" si="798"/>
        <v>0</v>
      </c>
      <c r="CH679" s="133" t="e">
        <f t="shared" si="799"/>
        <v>#DIV/0!</v>
      </c>
      <c r="CI679" s="121"/>
    </row>
    <row r="680" spans="1:87" s="121" customFormat="1">
      <c r="A680" s="125">
        <f t="shared" si="803"/>
        <v>0</v>
      </c>
      <c r="D680" s="121" t="s">
        <v>215</v>
      </c>
      <c r="G680" s="124"/>
      <c r="H680" s="124"/>
      <c r="I680" s="122"/>
      <c r="M680" s="123"/>
      <c r="N680" s="121" t="s">
        <v>4203</v>
      </c>
      <c r="O680" s="121" t="s">
        <v>2338</v>
      </c>
      <c r="Q680" s="122">
        <f>3136*2.4</f>
        <v>7526.4</v>
      </c>
      <c r="R680" s="122"/>
      <c r="S680" s="122"/>
      <c r="T680" s="122"/>
      <c r="BD680" s="120"/>
      <c r="BE680" s="120">
        <f t="shared" si="790"/>
        <v>0</v>
      </c>
      <c r="BF680" s="137">
        <f t="shared" si="801"/>
        <v>0</v>
      </c>
      <c r="BG680" s="120"/>
      <c r="BH680" s="120"/>
      <c r="BI680" s="120"/>
      <c r="BJ680" s="120"/>
      <c r="BK680" s="120"/>
      <c r="BL680" s="120"/>
      <c r="BM680" s="120"/>
      <c r="BN680" s="120"/>
      <c r="BO680" s="120"/>
      <c r="BP680" s="120"/>
      <c r="BQ680" s="124"/>
      <c r="BR680" s="120"/>
      <c r="BS680" s="120"/>
      <c r="BT680" s="120"/>
      <c r="BU680" s="120"/>
      <c r="BV680" s="120"/>
      <c r="BW680" s="120"/>
      <c r="BZ680" s="136">
        <f t="shared" si="791"/>
        <v>0</v>
      </c>
      <c r="CA680" s="136">
        <f t="shared" si="792"/>
        <v>0</v>
      </c>
      <c r="CB680" s="136">
        <f t="shared" si="793"/>
        <v>0</v>
      </c>
      <c r="CC680" s="136">
        <f t="shared" si="794"/>
        <v>0</v>
      </c>
      <c r="CD680" s="135">
        <f t="shared" si="795"/>
        <v>0</v>
      </c>
      <c r="CE680" s="135">
        <f t="shared" si="796"/>
        <v>0</v>
      </c>
      <c r="CF680" s="134">
        <f t="shared" si="797"/>
        <v>0</v>
      </c>
      <c r="CG680" s="134">
        <f t="shared" si="798"/>
        <v>0</v>
      </c>
      <c r="CH680" s="133" t="e">
        <f t="shared" si="799"/>
        <v>#DIV/0!</v>
      </c>
    </row>
    <row r="681" spans="1:87" s="128" customFormat="1">
      <c r="A681" s="125">
        <f t="shared" si="803"/>
        <v>0</v>
      </c>
      <c r="B681" s="121"/>
      <c r="G681" s="124"/>
      <c r="H681" s="124"/>
      <c r="I681" s="122"/>
      <c r="M681" s="224"/>
      <c r="N681" s="121" t="s">
        <v>390</v>
      </c>
      <c r="O681" s="121" t="s">
        <v>4204</v>
      </c>
      <c r="Q681" s="122">
        <f>3136*2.4</f>
        <v>7526.4</v>
      </c>
      <c r="R681" s="122"/>
      <c r="S681" s="122"/>
      <c r="T681" s="122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  <c r="AL681" s="121"/>
      <c r="AM681" s="121"/>
      <c r="AN681" s="121"/>
      <c r="AO681" s="121"/>
      <c r="AP681" s="121"/>
      <c r="AQ681" s="121"/>
      <c r="AR681" s="121"/>
      <c r="AS681" s="121"/>
      <c r="AT681" s="121"/>
      <c r="AU681" s="121"/>
      <c r="AV681" s="121"/>
      <c r="AW681" s="121"/>
      <c r="AX681" s="121"/>
      <c r="AY681" s="121"/>
      <c r="AZ681" s="121"/>
      <c r="BA681" s="121"/>
      <c r="BB681" s="121"/>
      <c r="BC681" s="121"/>
      <c r="BE681" s="120">
        <f t="shared" si="790"/>
        <v>0</v>
      </c>
      <c r="BF681" s="137">
        <f t="shared" si="801"/>
        <v>0</v>
      </c>
      <c r="BG681" s="120"/>
      <c r="BH681" s="120"/>
      <c r="BI681" s="120"/>
      <c r="BJ681" s="120"/>
      <c r="BK681" s="120"/>
      <c r="BL681" s="120"/>
      <c r="BM681" s="120"/>
      <c r="BN681" s="120"/>
      <c r="BO681" s="120"/>
      <c r="BP681" s="120"/>
      <c r="BQ681" s="124"/>
      <c r="BR681" s="120"/>
      <c r="BS681" s="120"/>
      <c r="BT681" s="120"/>
      <c r="BU681" s="120"/>
      <c r="BV681" s="120"/>
      <c r="BW681" s="120"/>
      <c r="BX681" s="121"/>
      <c r="BY681" s="121"/>
      <c r="BZ681" s="136">
        <f t="shared" si="791"/>
        <v>0</v>
      </c>
      <c r="CA681" s="136">
        <f t="shared" si="792"/>
        <v>0</v>
      </c>
      <c r="CB681" s="136">
        <f t="shared" si="793"/>
        <v>0</v>
      </c>
      <c r="CC681" s="136">
        <f t="shared" si="794"/>
        <v>0</v>
      </c>
      <c r="CD681" s="135">
        <f t="shared" si="795"/>
        <v>0</v>
      </c>
      <c r="CE681" s="135">
        <f t="shared" si="796"/>
        <v>0</v>
      </c>
      <c r="CF681" s="134">
        <f t="shared" si="797"/>
        <v>0</v>
      </c>
      <c r="CG681" s="134">
        <f t="shared" si="798"/>
        <v>0</v>
      </c>
      <c r="CH681" s="133" t="e">
        <f t="shared" si="799"/>
        <v>#DIV/0!</v>
      </c>
    </row>
    <row r="682" spans="1:87" s="121" customFormat="1">
      <c r="A682" s="125">
        <f t="shared" si="803"/>
        <v>0</v>
      </c>
      <c r="B682" s="125"/>
      <c r="D682" s="121" t="s">
        <v>197</v>
      </c>
      <c r="G682" s="124"/>
      <c r="H682" s="124"/>
      <c r="I682" s="122"/>
      <c r="M682" s="123"/>
      <c r="N682" s="121" t="s">
        <v>489</v>
      </c>
      <c r="O682" s="121" t="s">
        <v>4183</v>
      </c>
      <c r="Q682" s="122">
        <f>3107*2.4</f>
        <v>7456.7999999999993</v>
      </c>
      <c r="R682" s="122"/>
      <c r="S682" s="122"/>
      <c r="T682" s="122"/>
      <c r="BD682" s="120"/>
      <c r="BE682" s="120">
        <f t="shared" si="790"/>
        <v>0</v>
      </c>
      <c r="BF682" s="137">
        <f t="shared" si="801"/>
        <v>0</v>
      </c>
      <c r="BG682" s="120"/>
      <c r="BH682" s="120"/>
      <c r="BI682" s="120"/>
      <c r="BJ682" s="120"/>
      <c r="BK682" s="120"/>
      <c r="BL682" s="120"/>
      <c r="BM682" s="120"/>
      <c r="BN682" s="120"/>
      <c r="BO682" s="120"/>
      <c r="BP682" s="120"/>
      <c r="BQ682" s="124"/>
      <c r="BR682" s="120"/>
      <c r="BS682" s="120"/>
      <c r="BT682" s="120"/>
      <c r="BU682" s="120"/>
      <c r="BV682" s="120"/>
      <c r="BW682" s="120"/>
      <c r="BX682" s="120"/>
      <c r="BY682" s="120"/>
      <c r="BZ682" s="136">
        <f t="shared" si="791"/>
        <v>0</v>
      </c>
      <c r="CA682" s="136">
        <f t="shared" si="792"/>
        <v>0</v>
      </c>
      <c r="CB682" s="136">
        <f t="shared" si="793"/>
        <v>0</v>
      </c>
      <c r="CC682" s="136">
        <f t="shared" si="794"/>
        <v>0</v>
      </c>
      <c r="CD682" s="135">
        <f t="shared" si="795"/>
        <v>0</v>
      </c>
      <c r="CE682" s="135">
        <f t="shared" si="796"/>
        <v>0</v>
      </c>
      <c r="CF682" s="134">
        <f t="shared" si="797"/>
        <v>0</v>
      </c>
      <c r="CG682" s="134">
        <f t="shared" si="798"/>
        <v>0</v>
      </c>
      <c r="CH682" s="133" t="e">
        <f t="shared" si="799"/>
        <v>#DIV/0!</v>
      </c>
    </row>
    <row r="683" spans="1:87" s="128" customFormat="1">
      <c r="A683" s="125">
        <f t="shared" si="803"/>
        <v>0</v>
      </c>
      <c r="B683" s="125"/>
      <c r="C683" s="121"/>
      <c r="D683" s="121" t="s">
        <v>215</v>
      </c>
      <c r="E683" s="121"/>
      <c r="F683" s="121"/>
      <c r="G683" s="124"/>
      <c r="H683" s="124"/>
      <c r="I683" s="122"/>
      <c r="J683" s="121"/>
      <c r="K683" s="121"/>
      <c r="L683" s="121"/>
      <c r="M683" s="123"/>
      <c r="N683" s="121" t="s">
        <v>422</v>
      </c>
      <c r="O683" s="121" t="s">
        <v>375</v>
      </c>
      <c r="P683" s="121"/>
      <c r="Q683" s="122">
        <f>3097*2.4</f>
        <v>7432.7999999999993</v>
      </c>
      <c r="R683" s="122"/>
      <c r="S683" s="122"/>
      <c r="T683" s="122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  <c r="AL683" s="121"/>
      <c r="AM683" s="121"/>
      <c r="AN683" s="121"/>
      <c r="AO683" s="121"/>
      <c r="AP683" s="121"/>
      <c r="AQ683" s="121"/>
      <c r="AR683" s="121"/>
      <c r="AS683" s="121"/>
      <c r="AT683" s="121"/>
      <c r="AU683" s="121"/>
      <c r="AV683" s="121"/>
      <c r="AW683" s="121"/>
      <c r="AX683" s="121"/>
      <c r="AY683" s="121"/>
      <c r="AZ683" s="121"/>
      <c r="BA683" s="121"/>
      <c r="BB683" s="121"/>
      <c r="BC683" s="121"/>
      <c r="BD683" s="120"/>
      <c r="BE683" s="120">
        <f t="shared" si="790"/>
        <v>0</v>
      </c>
      <c r="BF683" s="137">
        <f t="shared" si="801"/>
        <v>0</v>
      </c>
      <c r="BG683" s="120"/>
      <c r="BH683" s="120"/>
      <c r="BI683" s="120"/>
      <c r="BJ683" s="120"/>
      <c r="BK683" s="120"/>
      <c r="BL683" s="120"/>
      <c r="BM683" s="120"/>
      <c r="BN683" s="120"/>
      <c r="BO683" s="120"/>
      <c r="BP683" s="120"/>
      <c r="BQ683" s="124"/>
      <c r="BR683" s="120"/>
      <c r="BS683" s="120"/>
      <c r="BT683" s="120"/>
      <c r="BU683" s="120"/>
      <c r="BV683" s="120"/>
      <c r="BW683" s="120"/>
      <c r="BX683" s="121"/>
      <c r="BY683" s="121"/>
      <c r="BZ683" s="136">
        <f t="shared" si="791"/>
        <v>0</v>
      </c>
      <c r="CA683" s="136">
        <f t="shared" si="792"/>
        <v>0</v>
      </c>
      <c r="CB683" s="136">
        <f t="shared" si="793"/>
        <v>0</v>
      </c>
      <c r="CC683" s="136">
        <f t="shared" si="794"/>
        <v>0</v>
      </c>
      <c r="CD683" s="135">
        <f t="shared" si="795"/>
        <v>0</v>
      </c>
      <c r="CE683" s="135">
        <f t="shared" si="796"/>
        <v>0</v>
      </c>
      <c r="CF683" s="134">
        <f t="shared" si="797"/>
        <v>0</v>
      </c>
      <c r="CG683" s="134">
        <f t="shared" si="798"/>
        <v>0</v>
      </c>
      <c r="CH683" s="133" t="e">
        <f t="shared" si="799"/>
        <v>#DIV/0!</v>
      </c>
    </row>
    <row r="684" spans="1:87" s="121" customFormat="1">
      <c r="A684" s="125">
        <f t="shared" si="803"/>
        <v>0</v>
      </c>
      <c r="B684" s="125"/>
      <c r="D684" s="121" t="s">
        <v>215</v>
      </c>
      <c r="G684" s="124"/>
      <c r="H684" s="124"/>
      <c r="I684" s="122"/>
      <c r="M684" s="123"/>
      <c r="N684" s="121" t="s">
        <v>310</v>
      </c>
      <c r="O684" s="121" t="s">
        <v>4198</v>
      </c>
      <c r="Q684" s="122">
        <f>3383*2.4</f>
        <v>8119.2</v>
      </c>
      <c r="R684" s="122"/>
      <c r="S684" s="122"/>
      <c r="T684" s="122"/>
      <c r="BD684" s="120"/>
      <c r="BE684" s="120">
        <f t="shared" si="790"/>
        <v>0</v>
      </c>
      <c r="BF684" s="137">
        <f t="shared" si="801"/>
        <v>0</v>
      </c>
      <c r="BG684" s="120"/>
      <c r="BH684" s="120"/>
      <c r="BI684" s="120"/>
      <c r="BJ684" s="120"/>
      <c r="BK684" s="120"/>
      <c r="BL684" s="120"/>
      <c r="BM684" s="120"/>
      <c r="BN684" s="120"/>
      <c r="BO684" s="120"/>
      <c r="BP684" s="120"/>
      <c r="BQ684" s="124"/>
      <c r="BR684" s="120"/>
      <c r="BS684" s="120"/>
      <c r="BT684" s="120"/>
      <c r="BU684" s="120"/>
      <c r="BV684" s="120"/>
      <c r="BW684" s="120"/>
      <c r="BZ684" s="136">
        <f t="shared" si="791"/>
        <v>0</v>
      </c>
      <c r="CA684" s="136">
        <f t="shared" si="792"/>
        <v>0</v>
      </c>
      <c r="CB684" s="136">
        <f t="shared" si="793"/>
        <v>0</v>
      </c>
      <c r="CC684" s="136">
        <f t="shared" si="794"/>
        <v>0</v>
      </c>
      <c r="CD684" s="135">
        <f t="shared" si="795"/>
        <v>0</v>
      </c>
      <c r="CE684" s="135">
        <f t="shared" si="796"/>
        <v>0</v>
      </c>
      <c r="CF684" s="134">
        <f t="shared" si="797"/>
        <v>0</v>
      </c>
      <c r="CG684" s="134">
        <f t="shared" si="798"/>
        <v>0</v>
      </c>
      <c r="CH684" s="133" t="e">
        <f t="shared" si="799"/>
        <v>#DIV/0!</v>
      </c>
    </row>
    <row r="685" spans="1:87" s="116" customFormat="1">
      <c r="A685" s="125">
        <f t="shared" si="803"/>
        <v>0</v>
      </c>
      <c r="B685" s="125"/>
      <c r="C685" s="121"/>
      <c r="D685" s="121" t="s">
        <v>215</v>
      </c>
      <c r="E685" s="121"/>
      <c r="F685" s="121"/>
      <c r="G685" s="124"/>
      <c r="H685" s="124"/>
      <c r="I685" s="122"/>
      <c r="J685" s="121"/>
      <c r="K685" s="121"/>
      <c r="L685" s="121"/>
      <c r="M685" s="123"/>
      <c r="N685" s="121" t="s">
        <v>403</v>
      </c>
      <c r="O685" s="121" t="s">
        <v>404</v>
      </c>
      <c r="P685" s="121"/>
      <c r="Q685" s="122">
        <f>3107*2.4</f>
        <v>7456.7999999999993</v>
      </c>
      <c r="R685" s="122"/>
      <c r="S685" s="122"/>
      <c r="T685" s="122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  <c r="AL685" s="121"/>
      <c r="AM685" s="121"/>
      <c r="AN685" s="121"/>
      <c r="AO685" s="121"/>
      <c r="AP685" s="121"/>
      <c r="AQ685" s="121"/>
      <c r="AR685" s="121"/>
      <c r="AS685" s="121"/>
      <c r="AT685" s="121"/>
      <c r="AU685" s="121"/>
      <c r="AV685" s="121"/>
      <c r="AW685" s="121"/>
      <c r="AX685" s="121"/>
      <c r="AY685" s="121"/>
      <c r="AZ685" s="121"/>
      <c r="BA685" s="121"/>
      <c r="BB685" s="121"/>
      <c r="BC685" s="121"/>
      <c r="BD685" s="120"/>
      <c r="BE685" s="120">
        <f t="shared" si="790"/>
        <v>0</v>
      </c>
      <c r="BF685" s="137">
        <f t="shared" si="801"/>
        <v>0</v>
      </c>
      <c r="BG685" s="120"/>
      <c r="BH685" s="120"/>
      <c r="BI685" s="120"/>
      <c r="BJ685" s="120"/>
      <c r="BK685" s="120"/>
      <c r="BL685" s="120"/>
      <c r="BM685" s="120"/>
      <c r="BN685" s="120"/>
      <c r="BO685" s="120"/>
      <c r="BP685" s="120"/>
      <c r="BQ685" s="124"/>
      <c r="BR685" s="120"/>
      <c r="BS685" s="120"/>
      <c r="BT685" s="120"/>
      <c r="BU685" s="120"/>
      <c r="BV685" s="120"/>
      <c r="BW685" s="120"/>
      <c r="BX685" s="121"/>
      <c r="BY685" s="121"/>
      <c r="BZ685" s="136">
        <f t="shared" si="791"/>
        <v>0</v>
      </c>
      <c r="CA685" s="136">
        <f t="shared" si="792"/>
        <v>0</v>
      </c>
      <c r="CB685" s="136">
        <f t="shared" si="793"/>
        <v>0</v>
      </c>
      <c r="CC685" s="136">
        <f t="shared" si="794"/>
        <v>0</v>
      </c>
      <c r="CD685" s="135">
        <f t="shared" si="795"/>
        <v>0</v>
      </c>
      <c r="CE685" s="135">
        <f t="shared" si="796"/>
        <v>0</v>
      </c>
      <c r="CF685" s="134">
        <f t="shared" si="797"/>
        <v>0</v>
      </c>
      <c r="CG685" s="134">
        <f t="shared" si="798"/>
        <v>0</v>
      </c>
      <c r="CH685" s="133" t="e">
        <f t="shared" si="799"/>
        <v>#DIV/0!</v>
      </c>
      <c r="CI685" s="128"/>
    </row>
    <row r="686" spans="1:87" s="128" customFormat="1">
      <c r="A686" s="125">
        <f t="shared" si="803"/>
        <v>0</v>
      </c>
      <c r="B686" s="121"/>
      <c r="C686" s="121"/>
      <c r="D686" s="121" t="s">
        <v>197</v>
      </c>
      <c r="E686" s="121"/>
      <c r="F686" s="121"/>
      <c r="G686" s="124"/>
      <c r="H686" s="124"/>
      <c r="I686" s="122"/>
      <c r="J686" s="121"/>
      <c r="K686" s="121"/>
      <c r="L686" s="121"/>
      <c r="M686" s="123"/>
      <c r="N686" s="121" t="s">
        <v>1972</v>
      </c>
      <c r="O686" s="121" t="s">
        <v>4205</v>
      </c>
      <c r="P686" s="121"/>
      <c r="Q686" s="122">
        <f>3357*2.4</f>
        <v>8056.7999999999993</v>
      </c>
      <c r="R686" s="122"/>
      <c r="S686" s="122"/>
      <c r="T686" s="122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  <c r="AL686" s="121"/>
      <c r="AM686" s="121"/>
      <c r="AN686" s="121"/>
      <c r="AO686" s="121"/>
      <c r="AP686" s="121"/>
      <c r="AQ686" s="121"/>
      <c r="AR686" s="121"/>
      <c r="AS686" s="121"/>
      <c r="AT686" s="121"/>
      <c r="AU686" s="121"/>
      <c r="AV686" s="121"/>
      <c r="AW686" s="121"/>
      <c r="AX686" s="121"/>
      <c r="AY686" s="121"/>
      <c r="AZ686" s="121"/>
      <c r="BA686" s="121"/>
      <c r="BB686" s="121"/>
      <c r="BC686" s="121"/>
      <c r="BD686" s="120"/>
      <c r="BE686" s="120">
        <f t="shared" si="790"/>
        <v>0</v>
      </c>
      <c r="BF686" s="137">
        <f t="shared" si="801"/>
        <v>0</v>
      </c>
      <c r="BG686" s="120"/>
      <c r="BH686" s="120"/>
      <c r="BI686" s="120"/>
      <c r="BJ686" s="120"/>
      <c r="BK686" s="120"/>
      <c r="BL686" s="120"/>
      <c r="BM686" s="120"/>
      <c r="BN686" s="120"/>
      <c r="BO686" s="120"/>
      <c r="BP686" s="120"/>
      <c r="BQ686" s="124"/>
      <c r="BR686" s="120"/>
      <c r="BS686" s="120"/>
      <c r="BT686" s="120"/>
      <c r="BU686" s="120"/>
      <c r="BV686" s="120"/>
      <c r="BW686" s="120"/>
      <c r="BX686" s="121"/>
      <c r="BY686" s="121"/>
      <c r="BZ686" s="136">
        <f t="shared" si="791"/>
        <v>0</v>
      </c>
      <c r="CA686" s="136">
        <f t="shared" si="792"/>
        <v>0</v>
      </c>
      <c r="CB686" s="136">
        <f t="shared" si="793"/>
        <v>0</v>
      </c>
      <c r="CC686" s="136">
        <f t="shared" si="794"/>
        <v>0</v>
      </c>
      <c r="CD686" s="135">
        <f t="shared" si="795"/>
        <v>0</v>
      </c>
      <c r="CE686" s="135">
        <f t="shared" si="796"/>
        <v>0</v>
      </c>
      <c r="CF686" s="134">
        <f t="shared" si="797"/>
        <v>0</v>
      </c>
      <c r="CG686" s="134">
        <f t="shared" si="798"/>
        <v>0</v>
      </c>
      <c r="CH686" s="133" t="e">
        <f t="shared" si="799"/>
        <v>#DIV/0!</v>
      </c>
      <c r="CI686" s="121"/>
    </row>
    <row r="687" spans="1:87" s="128" customFormat="1">
      <c r="A687" s="125">
        <f t="shared" si="803"/>
        <v>0</v>
      </c>
      <c r="B687" s="125"/>
      <c r="C687" s="121"/>
      <c r="D687" s="121" t="s">
        <v>215</v>
      </c>
      <c r="E687" s="121"/>
      <c r="F687" s="121"/>
      <c r="G687" s="124"/>
      <c r="H687" s="124"/>
      <c r="I687" s="122"/>
      <c r="J687" s="121"/>
      <c r="K687" s="121"/>
      <c r="L687" s="121"/>
      <c r="M687" s="123"/>
      <c r="N687" s="121" t="s">
        <v>1483</v>
      </c>
      <c r="O687" s="121" t="s">
        <v>353</v>
      </c>
      <c r="P687" s="121"/>
      <c r="Q687" s="122">
        <f>3852*2.4</f>
        <v>9244.7999999999993</v>
      </c>
      <c r="R687" s="122"/>
      <c r="S687" s="122"/>
      <c r="T687" s="122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  <c r="AL687" s="121"/>
      <c r="AM687" s="121"/>
      <c r="AN687" s="121"/>
      <c r="AO687" s="121"/>
      <c r="AP687" s="121"/>
      <c r="AQ687" s="121"/>
      <c r="AR687" s="121"/>
      <c r="AS687" s="121"/>
      <c r="AT687" s="121"/>
      <c r="AU687" s="121"/>
      <c r="AV687" s="121"/>
      <c r="AW687" s="121"/>
      <c r="AX687" s="121"/>
      <c r="AY687" s="121"/>
      <c r="AZ687" s="121"/>
      <c r="BA687" s="121"/>
      <c r="BB687" s="121"/>
      <c r="BC687" s="121"/>
      <c r="BD687" s="120"/>
      <c r="BE687" s="120">
        <f t="shared" si="790"/>
        <v>0</v>
      </c>
      <c r="BF687" s="137">
        <f t="shared" si="801"/>
        <v>0</v>
      </c>
      <c r="BG687" s="120"/>
      <c r="BH687" s="120"/>
      <c r="BI687" s="120"/>
      <c r="BJ687" s="120"/>
      <c r="BK687" s="120"/>
      <c r="BL687" s="120"/>
      <c r="BM687" s="120"/>
      <c r="BN687" s="120"/>
      <c r="BO687" s="120"/>
      <c r="BP687" s="120"/>
      <c r="BQ687" s="124"/>
      <c r="BR687" s="120"/>
      <c r="BS687" s="120"/>
      <c r="BT687" s="120"/>
      <c r="BU687" s="120"/>
      <c r="BV687" s="120"/>
      <c r="BW687" s="120"/>
      <c r="BX687" s="121"/>
      <c r="BY687" s="121"/>
      <c r="BZ687" s="136">
        <f t="shared" si="791"/>
        <v>0</v>
      </c>
      <c r="CA687" s="136">
        <f t="shared" si="792"/>
        <v>0</v>
      </c>
      <c r="CB687" s="136">
        <f t="shared" si="793"/>
        <v>0</v>
      </c>
      <c r="CC687" s="136">
        <f t="shared" si="794"/>
        <v>0</v>
      </c>
      <c r="CD687" s="135">
        <f t="shared" si="795"/>
        <v>0</v>
      </c>
      <c r="CE687" s="135">
        <f t="shared" si="796"/>
        <v>0</v>
      </c>
      <c r="CF687" s="134">
        <f t="shared" si="797"/>
        <v>0</v>
      </c>
      <c r="CG687" s="134">
        <f t="shared" si="798"/>
        <v>0</v>
      </c>
      <c r="CH687" s="133" t="e">
        <f t="shared" si="799"/>
        <v>#DIV/0!</v>
      </c>
      <c r="CI687" s="116"/>
    </row>
    <row r="688" spans="1:87" s="121" customFormat="1">
      <c r="A688" s="125">
        <f t="shared" si="803"/>
        <v>0</v>
      </c>
      <c r="B688" s="125"/>
      <c r="D688" s="121" t="s">
        <v>215</v>
      </c>
      <c r="G688" s="124"/>
      <c r="H688" s="124"/>
      <c r="I688" s="122"/>
      <c r="M688" s="123"/>
      <c r="N688" s="121" t="s">
        <v>222</v>
      </c>
      <c r="O688" s="121" t="s">
        <v>223</v>
      </c>
      <c r="Q688" s="122">
        <f>3140*2.4</f>
        <v>7536</v>
      </c>
      <c r="R688" s="122"/>
      <c r="S688" s="122"/>
      <c r="T688" s="122"/>
      <c r="BD688" s="120"/>
      <c r="BE688" s="120">
        <f t="shared" si="790"/>
        <v>0</v>
      </c>
      <c r="BF688" s="137">
        <f t="shared" si="801"/>
        <v>0</v>
      </c>
      <c r="BG688" s="120"/>
      <c r="BH688" s="120"/>
      <c r="BI688" s="120"/>
      <c r="BJ688" s="120"/>
      <c r="BK688" s="120"/>
      <c r="BL688" s="120"/>
      <c r="BM688" s="120"/>
      <c r="BN688" s="120"/>
      <c r="BO688" s="120"/>
      <c r="BP688" s="120"/>
      <c r="BQ688" s="124"/>
      <c r="BR688" s="120"/>
      <c r="BS688" s="120"/>
      <c r="BT688" s="120"/>
      <c r="BU688" s="120"/>
      <c r="BV688" s="120"/>
      <c r="BW688" s="120"/>
      <c r="BZ688" s="136">
        <f t="shared" si="791"/>
        <v>0</v>
      </c>
      <c r="CA688" s="136">
        <f t="shared" si="792"/>
        <v>0</v>
      </c>
      <c r="CB688" s="136">
        <f t="shared" si="793"/>
        <v>0</v>
      </c>
      <c r="CC688" s="136">
        <f t="shared" si="794"/>
        <v>0</v>
      </c>
      <c r="CD688" s="135">
        <f t="shared" si="795"/>
        <v>0</v>
      </c>
      <c r="CE688" s="135">
        <f t="shared" si="796"/>
        <v>0</v>
      </c>
      <c r="CF688" s="134">
        <f t="shared" si="797"/>
        <v>0</v>
      </c>
      <c r="CG688" s="134">
        <f t="shared" si="798"/>
        <v>0</v>
      </c>
      <c r="CH688" s="133" t="e">
        <f t="shared" si="799"/>
        <v>#DIV/0!</v>
      </c>
      <c r="CI688" s="128"/>
    </row>
    <row r="689" spans="1:87" s="121" customFormat="1">
      <c r="A689" s="125">
        <f t="shared" si="803"/>
        <v>0</v>
      </c>
      <c r="B689" s="125"/>
      <c r="D689" s="121" t="s">
        <v>197</v>
      </c>
      <c r="G689" s="124"/>
      <c r="H689" s="124"/>
      <c r="I689" s="122"/>
      <c r="M689" s="123"/>
      <c r="N689" s="121" t="s">
        <v>3403</v>
      </c>
      <c r="O689" s="121" t="s">
        <v>4206</v>
      </c>
      <c r="Q689" s="122">
        <f>3100*2.4</f>
        <v>7440</v>
      </c>
      <c r="R689" s="122"/>
      <c r="S689" s="122"/>
      <c r="T689" s="122"/>
      <c r="BD689" s="120"/>
      <c r="BE689" s="120">
        <f t="shared" si="790"/>
        <v>0</v>
      </c>
      <c r="BF689" s="137">
        <f t="shared" si="801"/>
        <v>0</v>
      </c>
      <c r="BG689" s="120"/>
      <c r="BH689" s="120"/>
      <c r="BI689" s="120"/>
      <c r="BJ689" s="120"/>
      <c r="BK689" s="120"/>
      <c r="BL689" s="120"/>
      <c r="BM689" s="120"/>
      <c r="BN689" s="120"/>
      <c r="BO689" s="120"/>
      <c r="BP689" s="120"/>
      <c r="BQ689" s="124"/>
      <c r="BR689" s="120"/>
      <c r="BS689" s="120"/>
      <c r="BT689" s="120"/>
      <c r="BU689" s="120"/>
      <c r="BV689" s="120"/>
      <c r="BW689" s="120"/>
      <c r="BZ689" s="136">
        <f t="shared" si="791"/>
        <v>0</v>
      </c>
      <c r="CA689" s="136">
        <f t="shared" si="792"/>
        <v>0</v>
      </c>
      <c r="CB689" s="136">
        <f t="shared" si="793"/>
        <v>0</v>
      </c>
      <c r="CC689" s="136">
        <f t="shared" si="794"/>
        <v>0</v>
      </c>
      <c r="CD689" s="135">
        <f t="shared" si="795"/>
        <v>0</v>
      </c>
      <c r="CE689" s="135">
        <f t="shared" si="796"/>
        <v>0</v>
      </c>
      <c r="CF689" s="134">
        <f t="shared" si="797"/>
        <v>0</v>
      </c>
      <c r="CG689" s="134">
        <f t="shared" si="798"/>
        <v>0</v>
      </c>
      <c r="CH689" s="133" t="e">
        <f t="shared" si="799"/>
        <v>#DIV/0!</v>
      </c>
      <c r="CI689" s="128"/>
    </row>
    <row r="690" spans="1:87" s="121" customFormat="1">
      <c r="A690" s="125">
        <f t="shared" si="803"/>
        <v>0</v>
      </c>
      <c r="B690" s="125"/>
      <c r="D690" s="121" t="s">
        <v>197</v>
      </c>
      <c r="G690" s="124"/>
      <c r="H690" s="124"/>
      <c r="I690" s="122"/>
      <c r="M690" s="123"/>
      <c r="N690" s="121" t="s">
        <v>4185</v>
      </c>
      <c r="O690" s="121" t="s">
        <v>4186</v>
      </c>
      <c r="Q690" s="122">
        <f>3107*2.4</f>
        <v>7456.7999999999993</v>
      </c>
      <c r="R690" s="122"/>
      <c r="S690" s="122"/>
      <c r="T690" s="122"/>
      <c r="BD690" s="120"/>
      <c r="BE690" s="120">
        <f t="shared" si="790"/>
        <v>0</v>
      </c>
      <c r="BF690" s="137">
        <f t="shared" si="801"/>
        <v>0</v>
      </c>
      <c r="BG690" s="120"/>
      <c r="BH690" s="120"/>
      <c r="BI690" s="120"/>
      <c r="BJ690" s="120"/>
      <c r="BK690" s="120"/>
      <c r="BL690" s="120"/>
      <c r="BM690" s="120"/>
      <c r="BN690" s="120"/>
      <c r="BO690" s="120"/>
      <c r="BP690" s="120"/>
      <c r="BQ690" s="124"/>
      <c r="BR690" s="120"/>
      <c r="BS690" s="120"/>
      <c r="BT690" s="120"/>
      <c r="BU690" s="120"/>
      <c r="BV690" s="120"/>
      <c r="BW690" s="120"/>
      <c r="BX690" s="120"/>
      <c r="BY690" s="120"/>
      <c r="BZ690" s="136">
        <f t="shared" si="791"/>
        <v>0</v>
      </c>
      <c r="CA690" s="136">
        <f t="shared" si="792"/>
        <v>0</v>
      </c>
      <c r="CB690" s="136">
        <f t="shared" si="793"/>
        <v>0</v>
      </c>
      <c r="CC690" s="136">
        <f t="shared" si="794"/>
        <v>0</v>
      </c>
      <c r="CD690" s="135">
        <f t="shared" si="795"/>
        <v>0</v>
      </c>
      <c r="CE690" s="135">
        <f t="shared" si="796"/>
        <v>0</v>
      </c>
      <c r="CF690" s="134">
        <f t="shared" si="797"/>
        <v>0</v>
      </c>
      <c r="CG690" s="134">
        <f t="shared" si="798"/>
        <v>0</v>
      </c>
      <c r="CH690" s="133" t="e">
        <f t="shared" si="799"/>
        <v>#DIV/0!</v>
      </c>
    </row>
    <row r="691" spans="1:87" s="121" customFormat="1">
      <c r="A691" s="125">
        <f t="shared" si="803"/>
        <v>0</v>
      </c>
      <c r="B691" s="125"/>
      <c r="D691" s="121" t="s">
        <v>215</v>
      </c>
      <c r="G691" s="124"/>
      <c r="H691" s="124"/>
      <c r="I691" s="122"/>
      <c r="M691" s="123"/>
      <c r="N691" s="121" t="s">
        <v>208</v>
      </c>
      <c r="O691" s="121" t="s">
        <v>255</v>
      </c>
      <c r="Q691" s="122">
        <v>7500</v>
      </c>
      <c r="R691" s="122"/>
      <c r="S691" s="122"/>
      <c r="T691" s="122"/>
      <c r="BD691" s="120"/>
      <c r="BE691" s="120">
        <f t="shared" si="790"/>
        <v>0</v>
      </c>
      <c r="BF691" s="137">
        <f t="shared" si="801"/>
        <v>0</v>
      </c>
      <c r="BG691" s="120"/>
      <c r="BH691" s="120"/>
      <c r="BI691" s="120"/>
      <c r="BJ691" s="120"/>
      <c r="BK691" s="120"/>
      <c r="BL691" s="120"/>
      <c r="BM691" s="120"/>
      <c r="BN691" s="120"/>
      <c r="BO691" s="120"/>
      <c r="BP691" s="120"/>
      <c r="BQ691" s="124"/>
      <c r="BR691" s="120"/>
      <c r="BS691" s="120"/>
      <c r="BT691" s="120"/>
      <c r="BU691" s="120"/>
      <c r="BV691" s="120"/>
      <c r="BW691" s="120"/>
      <c r="BZ691" s="136">
        <f t="shared" si="791"/>
        <v>0</v>
      </c>
      <c r="CA691" s="136">
        <f t="shared" si="792"/>
        <v>0</v>
      </c>
      <c r="CB691" s="136">
        <f t="shared" si="793"/>
        <v>0</v>
      </c>
      <c r="CC691" s="136">
        <f t="shared" si="794"/>
        <v>0</v>
      </c>
      <c r="CD691" s="135">
        <f t="shared" si="795"/>
        <v>0</v>
      </c>
      <c r="CE691" s="135">
        <f t="shared" si="796"/>
        <v>0</v>
      </c>
      <c r="CF691" s="134">
        <f t="shared" si="797"/>
        <v>0</v>
      </c>
      <c r="CG691" s="134">
        <f t="shared" si="798"/>
        <v>0</v>
      </c>
      <c r="CH691" s="133" t="e">
        <f t="shared" si="799"/>
        <v>#DIV/0!</v>
      </c>
    </row>
    <row r="692" spans="1:87" s="121" customFormat="1">
      <c r="A692" s="125">
        <f t="shared" si="803"/>
        <v>0</v>
      </c>
      <c r="B692" s="125"/>
      <c r="C692" s="128"/>
      <c r="D692" s="121" t="s">
        <v>197</v>
      </c>
      <c r="E692" s="128"/>
      <c r="F692" s="128"/>
      <c r="G692" s="124"/>
      <c r="H692" s="124"/>
      <c r="I692" s="122"/>
      <c r="L692" s="128"/>
      <c r="M692" s="224"/>
      <c r="N692" s="121" t="s">
        <v>4171</v>
      </c>
      <c r="O692" s="121" t="s">
        <v>255</v>
      </c>
      <c r="P692" s="128"/>
      <c r="Q692" s="122">
        <f>3142*2.4</f>
        <v>7540.7999999999993</v>
      </c>
      <c r="R692" s="122"/>
      <c r="S692" s="122"/>
      <c r="T692" s="122"/>
      <c r="BD692" s="120"/>
      <c r="BE692" s="120">
        <f t="shared" si="790"/>
        <v>0</v>
      </c>
      <c r="BF692" s="137">
        <f t="shared" si="801"/>
        <v>0</v>
      </c>
      <c r="BG692" s="120"/>
      <c r="BH692" s="120"/>
      <c r="BI692" s="120"/>
      <c r="BJ692" s="128"/>
      <c r="BK692" s="128"/>
      <c r="BL692" s="128"/>
      <c r="BM692" s="128"/>
      <c r="BN692" s="128"/>
      <c r="BO692" s="128"/>
      <c r="BP692" s="128"/>
      <c r="BQ692" s="128"/>
      <c r="BR692" s="128"/>
      <c r="BS692" s="128"/>
      <c r="BT692" s="128"/>
      <c r="BU692" s="128"/>
      <c r="BV692" s="128"/>
      <c r="BW692" s="128"/>
      <c r="BX692" s="127"/>
      <c r="BY692" s="127"/>
      <c r="BZ692" s="136">
        <f t="shared" si="791"/>
        <v>0</v>
      </c>
      <c r="CA692" s="136">
        <f t="shared" si="792"/>
        <v>0</v>
      </c>
      <c r="CB692" s="136">
        <f t="shared" si="793"/>
        <v>0</v>
      </c>
      <c r="CC692" s="136">
        <f t="shared" si="794"/>
        <v>0</v>
      </c>
      <c r="CD692" s="135">
        <f t="shared" si="795"/>
        <v>0</v>
      </c>
      <c r="CE692" s="135">
        <f t="shared" si="796"/>
        <v>0</v>
      </c>
      <c r="CF692" s="134">
        <f t="shared" si="797"/>
        <v>0</v>
      </c>
      <c r="CG692" s="134">
        <f t="shared" si="798"/>
        <v>0</v>
      </c>
      <c r="CH692" s="133" t="e">
        <f t="shared" si="799"/>
        <v>#DIV/0!</v>
      </c>
    </row>
    <row r="693" spans="1:87" s="121" customFormat="1">
      <c r="A693" s="125">
        <f t="shared" si="803"/>
        <v>0</v>
      </c>
      <c r="B693" s="125"/>
      <c r="C693" s="128"/>
      <c r="D693" s="121" t="s">
        <v>215</v>
      </c>
      <c r="E693" s="128"/>
      <c r="F693" s="128"/>
      <c r="G693" s="124"/>
      <c r="H693" s="124"/>
      <c r="I693" s="122"/>
      <c r="J693" s="116"/>
      <c r="L693" s="128"/>
      <c r="M693" s="224"/>
      <c r="N693" s="121" t="s">
        <v>208</v>
      </c>
      <c r="O693" s="121" t="s">
        <v>4207</v>
      </c>
      <c r="Q693" s="122">
        <f>3769*2.4</f>
        <v>9045.6</v>
      </c>
      <c r="R693" s="122"/>
      <c r="S693" s="122"/>
      <c r="T693" s="122"/>
      <c r="BD693" s="120"/>
      <c r="BE693" s="120">
        <f t="shared" si="790"/>
        <v>0</v>
      </c>
      <c r="BF693" s="137">
        <f t="shared" si="801"/>
        <v>0</v>
      </c>
      <c r="BG693" s="120"/>
      <c r="BH693" s="120"/>
      <c r="BI693" s="120"/>
      <c r="BJ693" s="120"/>
      <c r="BK693" s="120"/>
      <c r="BL693" s="120"/>
      <c r="BM693" s="120"/>
      <c r="BN693" s="120"/>
      <c r="BO693" s="120"/>
      <c r="BP693" s="120"/>
      <c r="BQ693" s="124"/>
      <c r="BR693" s="120"/>
      <c r="BS693" s="120"/>
      <c r="BT693" s="120"/>
      <c r="BU693" s="120"/>
      <c r="BV693" s="120"/>
      <c r="BW693" s="120"/>
      <c r="BZ693" s="136">
        <f t="shared" si="791"/>
        <v>0</v>
      </c>
      <c r="CA693" s="136">
        <f t="shared" si="792"/>
        <v>0</v>
      </c>
      <c r="CB693" s="136">
        <f t="shared" si="793"/>
        <v>0</v>
      </c>
      <c r="CC693" s="136">
        <f t="shared" si="794"/>
        <v>0</v>
      </c>
      <c r="CD693" s="135">
        <f t="shared" si="795"/>
        <v>0</v>
      </c>
      <c r="CE693" s="135">
        <f t="shared" si="796"/>
        <v>0</v>
      </c>
      <c r="CF693" s="134">
        <f t="shared" si="797"/>
        <v>0</v>
      </c>
      <c r="CG693" s="134">
        <f t="shared" si="798"/>
        <v>0</v>
      </c>
      <c r="CH693" s="133" t="e">
        <f t="shared" si="799"/>
        <v>#DIV/0!</v>
      </c>
    </row>
    <row r="694" spans="1:87" s="121" customFormat="1">
      <c r="A694" s="125">
        <f t="shared" si="803"/>
        <v>0</v>
      </c>
      <c r="B694" s="125"/>
      <c r="D694" s="121" t="s">
        <v>197</v>
      </c>
      <c r="G694" s="124"/>
      <c r="H694" s="124"/>
      <c r="I694" s="122"/>
      <c r="M694" s="123"/>
      <c r="N694" s="121" t="s">
        <v>4161</v>
      </c>
      <c r="O694" s="121" t="s">
        <v>4208</v>
      </c>
      <c r="Q694" s="122">
        <f>3103*2.4</f>
        <v>7447.2</v>
      </c>
      <c r="R694" s="122"/>
      <c r="S694" s="122"/>
      <c r="T694" s="122"/>
      <c r="BD694" s="120"/>
      <c r="BE694" s="120">
        <f t="shared" si="790"/>
        <v>0</v>
      </c>
      <c r="BF694" s="137">
        <f t="shared" si="801"/>
        <v>0</v>
      </c>
      <c r="BG694" s="120"/>
      <c r="BH694" s="120"/>
      <c r="BI694" s="120"/>
      <c r="BJ694" s="120"/>
      <c r="BK694" s="120"/>
      <c r="BL694" s="120"/>
      <c r="BM694" s="120"/>
      <c r="BN694" s="120"/>
      <c r="BO694" s="120"/>
      <c r="BP694" s="120"/>
      <c r="BQ694" s="124"/>
      <c r="BR694" s="120"/>
      <c r="BS694" s="120"/>
      <c r="BT694" s="120"/>
      <c r="BU694" s="120"/>
      <c r="BV694" s="120"/>
      <c r="BW694" s="120"/>
      <c r="BZ694" s="136">
        <f t="shared" si="791"/>
        <v>0</v>
      </c>
      <c r="CA694" s="136">
        <f t="shared" si="792"/>
        <v>0</v>
      </c>
      <c r="CB694" s="136">
        <f t="shared" si="793"/>
        <v>0</v>
      </c>
      <c r="CC694" s="136">
        <f t="shared" si="794"/>
        <v>0</v>
      </c>
      <c r="CD694" s="135">
        <f t="shared" si="795"/>
        <v>0</v>
      </c>
      <c r="CE694" s="135">
        <f t="shared" si="796"/>
        <v>0</v>
      </c>
      <c r="CF694" s="134">
        <f t="shared" si="797"/>
        <v>0</v>
      </c>
      <c r="CG694" s="134">
        <f t="shared" si="798"/>
        <v>0</v>
      </c>
      <c r="CH694" s="133" t="e">
        <f t="shared" si="799"/>
        <v>#DIV/0!</v>
      </c>
    </row>
    <row r="695" spans="1:87" s="128" customFormat="1">
      <c r="A695" s="125">
        <f t="shared" si="803"/>
        <v>0</v>
      </c>
      <c r="B695" s="125"/>
      <c r="C695" s="121"/>
      <c r="D695" s="121" t="s">
        <v>215</v>
      </c>
      <c r="E695" s="121"/>
      <c r="F695" s="121"/>
      <c r="G695" s="124"/>
      <c r="H695" s="124"/>
      <c r="I695" s="122"/>
      <c r="J695" s="121"/>
      <c r="K695" s="121"/>
      <c r="L695" s="121"/>
      <c r="M695" s="123"/>
      <c r="N695" s="121" t="s">
        <v>358</v>
      </c>
      <c r="O695" s="121" t="s">
        <v>1349</v>
      </c>
      <c r="P695" s="121"/>
      <c r="Q695" s="122">
        <f>3136*2.4</f>
        <v>7526.4</v>
      </c>
      <c r="R695" s="122"/>
      <c r="S695" s="122"/>
      <c r="T695" s="122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0"/>
      <c r="BE695" s="120">
        <f t="shared" si="790"/>
        <v>0</v>
      </c>
      <c r="BF695" s="137">
        <f t="shared" si="801"/>
        <v>0</v>
      </c>
      <c r="BG695" s="120"/>
      <c r="BH695" s="120"/>
      <c r="BI695" s="120"/>
      <c r="BJ695" s="120"/>
      <c r="BK695" s="120"/>
      <c r="BL695" s="120"/>
      <c r="BM695" s="120"/>
      <c r="BN695" s="120"/>
      <c r="BO695" s="120"/>
      <c r="BP695" s="120"/>
      <c r="BQ695" s="124"/>
      <c r="BR695" s="120"/>
      <c r="BS695" s="120"/>
      <c r="BT695" s="120"/>
      <c r="BU695" s="120"/>
      <c r="BV695" s="120"/>
      <c r="BW695" s="120"/>
      <c r="BX695" s="116"/>
      <c r="BY695" s="116"/>
      <c r="BZ695" s="136">
        <f t="shared" si="791"/>
        <v>0</v>
      </c>
      <c r="CA695" s="136">
        <f t="shared" si="792"/>
        <v>0</v>
      </c>
      <c r="CB695" s="136">
        <f t="shared" si="793"/>
        <v>0</v>
      </c>
      <c r="CC695" s="136">
        <f t="shared" si="794"/>
        <v>0</v>
      </c>
      <c r="CD695" s="135">
        <f t="shared" si="795"/>
        <v>0</v>
      </c>
      <c r="CE695" s="135">
        <f t="shared" si="796"/>
        <v>0</v>
      </c>
      <c r="CF695" s="134">
        <f t="shared" si="797"/>
        <v>0</v>
      </c>
      <c r="CG695" s="134">
        <f t="shared" si="798"/>
        <v>0</v>
      </c>
      <c r="CH695" s="133" t="e">
        <f t="shared" si="799"/>
        <v>#DIV/0!</v>
      </c>
      <c r="CI695" s="121"/>
    </row>
    <row r="696" spans="1:87" s="121" customFormat="1">
      <c r="A696" s="125">
        <f t="shared" si="803"/>
        <v>0</v>
      </c>
      <c r="B696" s="125"/>
      <c r="D696" s="121" t="s">
        <v>215</v>
      </c>
      <c r="G696" s="124"/>
      <c r="H696" s="124"/>
      <c r="I696" s="122"/>
      <c r="J696" s="116"/>
      <c r="M696" s="123"/>
      <c r="N696" s="121" t="s">
        <v>208</v>
      </c>
      <c r="O696" s="121" t="s">
        <v>4207</v>
      </c>
      <c r="Q696" s="122">
        <f>3769*2.4</f>
        <v>9045.6</v>
      </c>
      <c r="R696" s="122"/>
      <c r="S696" s="122"/>
      <c r="T696" s="122"/>
      <c r="BD696" s="120"/>
      <c r="BE696" s="120">
        <f t="shared" si="790"/>
        <v>0</v>
      </c>
      <c r="BF696" s="137">
        <f t="shared" si="801"/>
        <v>0</v>
      </c>
      <c r="BG696" s="120"/>
      <c r="BH696" s="120"/>
      <c r="BI696" s="120"/>
      <c r="BJ696" s="120"/>
      <c r="BK696" s="120"/>
      <c r="BL696" s="120"/>
      <c r="BM696" s="120"/>
      <c r="BN696" s="120"/>
      <c r="BO696" s="120"/>
      <c r="BP696" s="120"/>
      <c r="BQ696" s="124"/>
      <c r="BR696" s="120"/>
      <c r="BS696" s="120"/>
      <c r="BT696" s="120"/>
      <c r="BU696" s="120"/>
      <c r="BV696" s="120"/>
      <c r="BW696" s="120"/>
      <c r="BZ696" s="136">
        <f t="shared" si="791"/>
        <v>0</v>
      </c>
      <c r="CA696" s="136">
        <f t="shared" si="792"/>
        <v>0</v>
      </c>
      <c r="CB696" s="136">
        <f t="shared" si="793"/>
        <v>0</v>
      </c>
      <c r="CC696" s="136">
        <f t="shared" si="794"/>
        <v>0</v>
      </c>
      <c r="CD696" s="135">
        <f t="shared" si="795"/>
        <v>0</v>
      </c>
      <c r="CE696" s="135">
        <f t="shared" si="796"/>
        <v>0</v>
      </c>
      <c r="CF696" s="134">
        <f t="shared" si="797"/>
        <v>0</v>
      </c>
      <c r="CG696" s="134">
        <f t="shared" si="798"/>
        <v>0</v>
      </c>
      <c r="CH696" s="133" t="e">
        <f t="shared" si="799"/>
        <v>#DIV/0!</v>
      </c>
    </row>
    <row r="697" spans="1:87" s="116" customFormat="1">
      <c r="A697" s="125">
        <f t="shared" si="803"/>
        <v>0</v>
      </c>
      <c r="B697" s="125"/>
      <c r="C697" s="121"/>
      <c r="D697" s="121" t="s">
        <v>197</v>
      </c>
      <c r="E697" s="121"/>
      <c r="F697" s="121"/>
      <c r="G697" s="124"/>
      <c r="H697" s="124"/>
      <c r="I697" s="122"/>
      <c r="J697" s="121"/>
      <c r="K697" s="121"/>
      <c r="L697" s="121"/>
      <c r="M697" s="123"/>
      <c r="N697" s="121" t="s">
        <v>4171</v>
      </c>
      <c r="O697" s="121" t="s">
        <v>368</v>
      </c>
      <c r="P697" s="121"/>
      <c r="Q697" s="122">
        <f>4111*2.4</f>
        <v>9866.4</v>
      </c>
      <c r="R697" s="122"/>
      <c r="S697" s="122"/>
      <c r="T697" s="122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0"/>
      <c r="BE697" s="120">
        <f t="shared" si="790"/>
        <v>0</v>
      </c>
      <c r="BF697" s="137">
        <f t="shared" si="801"/>
        <v>0</v>
      </c>
      <c r="BG697" s="120"/>
      <c r="BH697" s="120"/>
      <c r="BI697" s="120"/>
      <c r="BJ697" s="120"/>
      <c r="BK697" s="120"/>
      <c r="BL697" s="120"/>
      <c r="BM697" s="120"/>
      <c r="BN697" s="120"/>
      <c r="BO697" s="120"/>
      <c r="BP697" s="120"/>
      <c r="BQ697" s="124"/>
      <c r="BR697" s="120"/>
      <c r="BS697" s="120"/>
      <c r="BT697" s="120"/>
      <c r="BU697" s="120"/>
      <c r="BV697" s="120"/>
      <c r="BW697" s="120"/>
      <c r="BX697" s="127"/>
      <c r="BY697" s="127"/>
      <c r="BZ697" s="136">
        <f t="shared" si="791"/>
        <v>0</v>
      </c>
      <c r="CA697" s="136">
        <f t="shared" si="792"/>
        <v>0</v>
      </c>
      <c r="CB697" s="136">
        <f t="shared" si="793"/>
        <v>0</v>
      </c>
      <c r="CC697" s="136">
        <f t="shared" si="794"/>
        <v>0</v>
      </c>
      <c r="CD697" s="135">
        <f t="shared" si="795"/>
        <v>0</v>
      </c>
      <c r="CE697" s="135">
        <f t="shared" si="796"/>
        <v>0</v>
      </c>
      <c r="CF697" s="134">
        <f t="shared" si="797"/>
        <v>0</v>
      </c>
      <c r="CG697" s="134">
        <f t="shared" si="798"/>
        <v>0</v>
      </c>
      <c r="CH697" s="133" t="e">
        <f t="shared" si="799"/>
        <v>#DIV/0!</v>
      </c>
      <c r="CI697" s="128"/>
    </row>
    <row r="698" spans="1:87" s="128" customFormat="1">
      <c r="A698" s="125">
        <f t="shared" si="803"/>
        <v>0</v>
      </c>
      <c r="B698" s="125"/>
      <c r="C698" s="121"/>
      <c r="D698" s="121" t="s">
        <v>215</v>
      </c>
      <c r="E698" s="121"/>
      <c r="F698" s="121"/>
      <c r="G698" s="124"/>
      <c r="H698" s="124"/>
      <c r="I698" s="122"/>
      <c r="J698" s="121"/>
      <c r="K698" s="121"/>
      <c r="L698" s="121"/>
      <c r="M698" s="123"/>
      <c r="N698" s="121" t="s">
        <v>310</v>
      </c>
      <c r="O698" s="121" t="s">
        <v>4209</v>
      </c>
      <c r="P698" s="121"/>
      <c r="Q698" s="122">
        <f>3109*2.4</f>
        <v>7461.5999999999995</v>
      </c>
      <c r="R698" s="122"/>
      <c r="S698" s="122"/>
      <c r="T698" s="122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0"/>
      <c r="BE698" s="120">
        <f t="shared" si="790"/>
        <v>0</v>
      </c>
      <c r="BF698" s="137">
        <f t="shared" si="801"/>
        <v>0</v>
      </c>
      <c r="BG698" s="120"/>
      <c r="BH698" s="120"/>
      <c r="BI698" s="120"/>
      <c r="BJ698" s="120"/>
      <c r="BK698" s="120"/>
      <c r="BL698" s="120"/>
      <c r="BM698" s="120"/>
      <c r="BN698" s="120"/>
      <c r="BO698" s="120"/>
      <c r="BP698" s="120"/>
      <c r="BQ698" s="124"/>
      <c r="BR698" s="120"/>
      <c r="BS698" s="120"/>
      <c r="BT698" s="120"/>
      <c r="BU698" s="120"/>
      <c r="BV698" s="120"/>
      <c r="BW698" s="120"/>
      <c r="BX698" s="121"/>
      <c r="BY698" s="121"/>
      <c r="BZ698" s="136">
        <f t="shared" si="791"/>
        <v>0</v>
      </c>
      <c r="CA698" s="136">
        <f t="shared" si="792"/>
        <v>0</v>
      </c>
      <c r="CB698" s="136">
        <f t="shared" si="793"/>
        <v>0</v>
      </c>
      <c r="CC698" s="136">
        <f t="shared" si="794"/>
        <v>0</v>
      </c>
      <c r="CD698" s="135">
        <f t="shared" si="795"/>
        <v>0</v>
      </c>
      <c r="CE698" s="135">
        <f t="shared" si="796"/>
        <v>0</v>
      </c>
      <c r="CF698" s="134">
        <f t="shared" si="797"/>
        <v>0</v>
      </c>
      <c r="CG698" s="134">
        <f t="shared" si="798"/>
        <v>0</v>
      </c>
      <c r="CH698" s="133" t="e">
        <f t="shared" si="799"/>
        <v>#DIV/0!</v>
      </c>
      <c r="CI698" s="121"/>
    </row>
    <row r="699" spans="1:87" s="128" customFormat="1">
      <c r="A699" s="125">
        <f t="shared" si="803"/>
        <v>0</v>
      </c>
      <c r="B699" s="125"/>
      <c r="C699" s="116"/>
      <c r="D699" s="121" t="s">
        <v>215</v>
      </c>
      <c r="E699" s="116"/>
      <c r="F699" s="116"/>
      <c r="G699" s="124"/>
      <c r="H699" s="124"/>
      <c r="I699" s="122"/>
      <c r="J699" s="116"/>
      <c r="K699" s="116"/>
      <c r="L699" s="116"/>
      <c r="M699" s="129"/>
      <c r="N699" s="121" t="s">
        <v>473</v>
      </c>
      <c r="O699" s="121" t="s">
        <v>353</v>
      </c>
      <c r="P699" s="116"/>
      <c r="Q699" s="122">
        <f>3852*2.4</f>
        <v>9244.7999999999993</v>
      </c>
      <c r="R699" s="122"/>
      <c r="S699" s="122"/>
      <c r="T699" s="122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0"/>
      <c r="BE699" s="120">
        <f t="shared" si="790"/>
        <v>0</v>
      </c>
      <c r="BF699" s="137">
        <f t="shared" si="801"/>
        <v>0</v>
      </c>
      <c r="BG699" s="120"/>
      <c r="BH699" s="116"/>
      <c r="BI699" s="116"/>
      <c r="BJ699" s="116"/>
      <c r="BK699" s="116"/>
      <c r="BL699" s="116"/>
      <c r="BM699" s="116"/>
      <c r="BN699" s="116"/>
      <c r="BO699" s="116"/>
      <c r="BP699" s="120"/>
      <c r="BQ699" s="116"/>
      <c r="BR699" s="116"/>
      <c r="BS699" s="116"/>
      <c r="BT699" s="116"/>
      <c r="BU699" s="116"/>
      <c r="BV699" s="116"/>
      <c r="BW699" s="116"/>
      <c r="BX699" s="121"/>
      <c r="BY699" s="121"/>
      <c r="BZ699" s="136">
        <f t="shared" si="791"/>
        <v>0</v>
      </c>
      <c r="CA699" s="136">
        <f t="shared" si="792"/>
        <v>0</v>
      </c>
      <c r="CB699" s="136">
        <f t="shared" si="793"/>
        <v>0</v>
      </c>
      <c r="CC699" s="136">
        <f t="shared" si="794"/>
        <v>0</v>
      </c>
      <c r="CD699" s="135">
        <f t="shared" si="795"/>
        <v>0</v>
      </c>
      <c r="CE699" s="135">
        <f t="shared" si="796"/>
        <v>0</v>
      </c>
      <c r="CF699" s="134">
        <f t="shared" si="797"/>
        <v>0</v>
      </c>
      <c r="CG699" s="134">
        <f t="shared" si="798"/>
        <v>0</v>
      </c>
      <c r="CH699" s="133" t="e">
        <f t="shared" si="799"/>
        <v>#DIV/0!</v>
      </c>
      <c r="CI699" s="116"/>
    </row>
    <row r="700" spans="1:87" s="121" customFormat="1">
      <c r="A700" s="125">
        <f t="shared" si="803"/>
        <v>0</v>
      </c>
      <c r="B700" s="125"/>
      <c r="D700" s="121" t="s">
        <v>215</v>
      </c>
      <c r="G700" s="124"/>
      <c r="H700" s="124"/>
      <c r="I700" s="122"/>
      <c r="M700" s="123"/>
      <c r="N700" s="121" t="s">
        <v>358</v>
      </c>
      <c r="O700" s="121" t="s">
        <v>1349</v>
      </c>
      <c r="Q700" s="122">
        <v>7500</v>
      </c>
      <c r="R700" s="122"/>
      <c r="S700" s="122"/>
      <c r="T700" s="122"/>
      <c r="BD700" s="120"/>
      <c r="BE700" s="120">
        <f t="shared" si="790"/>
        <v>0</v>
      </c>
      <c r="BF700" s="137">
        <f t="shared" si="801"/>
        <v>0</v>
      </c>
      <c r="BG700" s="120"/>
      <c r="BH700" s="120"/>
      <c r="BI700" s="120"/>
      <c r="BJ700" s="120"/>
      <c r="BK700" s="120"/>
      <c r="BL700" s="120"/>
      <c r="BM700" s="120"/>
      <c r="BN700" s="120"/>
      <c r="BO700" s="120"/>
      <c r="BP700" s="120"/>
      <c r="BQ700" s="124"/>
      <c r="BR700" s="120"/>
      <c r="BS700" s="120"/>
      <c r="BT700" s="120"/>
      <c r="BU700" s="120"/>
      <c r="BV700" s="120"/>
      <c r="BW700" s="120"/>
      <c r="BX700" s="116"/>
      <c r="BY700" s="116"/>
      <c r="BZ700" s="136">
        <f t="shared" si="791"/>
        <v>0</v>
      </c>
      <c r="CA700" s="136">
        <f t="shared" si="792"/>
        <v>0</v>
      </c>
      <c r="CB700" s="136">
        <f t="shared" si="793"/>
        <v>0</v>
      </c>
      <c r="CC700" s="136">
        <f t="shared" si="794"/>
        <v>0</v>
      </c>
      <c r="CD700" s="135">
        <f t="shared" si="795"/>
        <v>0</v>
      </c>
      <c r="CE700" s="135">
        <f t="shared" si="796"/>
        <v>0</v>
      </c>
      <c r="CF700" s="134">
        <f t="shared" si="797"/>
        <v>0</v>
      </c>
      <c r="CG700" s="134">
        <f t="shared" si="798"/>
        <v>0</v>
      </c>
      <c r="CH700" s="133" t="e">
        <f t="shared" si="799"/>
        <v>#DIV/0!</v>
      </c>
      <c r="CI700" s="128"/>
    </row>
    <row r="701" spans="1:87" s="121" customFormat="1">
      <c r="A701" s="125">
        <f t="shared" si="803"/>
        <v>0</v>
      </c>
      <c r="B701" s="125"/>
      <c r="D701" s="121" t="s">
        <v>197</v>
      </c>
      <c r="G701" s="124"/>
      <c r="H701" s="124"/>
      <c r="I701" s="122"/>
      <c r="M701" s="123"/>
      <c r="N701" s="121" t="s">
        <v>4210</v>
      </c>
      <c r="O701" s="121" t="s">
        <v>4211</v>
      </c>
      <c r="Q701" s="122">
        <f>3136*2.4</f>
        <v>7526.4</v>
      </c>
      <c r="R701" s="122"/>
      <c r="S701" s="122"/>
      <c r="T701" s="122"/>
      <c r="BD701" s="120"/>
      <c r="BE701" s="120">
        <f t="shared" si="790"/>
        <v>0</v>
      </c>
      <c r="BF701" s="137">
        <f t="shared" si="801"/>
        <v>0</v>
      </c>
      <c r="BG701" s="120"/>
      <c r="BH701" s="120"/>
      <c r="BI701" s="120"/>
      <c r="BJ701" s="120"/>
      <c r="BK701" s="120"/>
      <c r="BL701" s="120"/>
      <c r="BM701" s="120"/>
      <c r="BN701" s="120"/>
      <c r="BO701" s="120"/>
      <c r="BP701" s="120"/>
      <c r="BQ701" s="124"/>
      <c r="BR701" s="120"/>
      <c r="BS701" s="120"/>
      <c r="BT701" s="120"/>
      <c r="BU701" s="120"/>
      <c r="BV701" s="120"/>
      <c r="BW701" s="120"/>
      <c r="BZ701" s="136">
        <f t="shared" si="791"/>
        <v>0</v>
      </c>
      <c r="CA701" s="136">
        <f t="shared" si="792"/>
        <v>0</v>
      </c>
      <c r="CB701" s="136">
        <f t="shared" si="793"/>
        <v>0</v>
      </c>
      <c r="CC701" s="136">
        <f t="shared" si="794"/>
        <v>0</v>
      </c>
      <c r="CD701" s="135">
        <f t="shared" si="795"/>
        <v>0</v>
      </c>
      <c r="CE701" s="135">
        <f t="shared" si="796"/>
        <v>0</v>
      </c>
      <c r="CF701" s="134">
        <f t="shared" si="797"/>
        <v>0</v>
      </c>
      <c r="CG701" s="134">
        <f t="shared" si="798"/>
        <v>0</v>
      </c>
      <c r="CH701" s="133" t="e">
        <f t="shared" si="799"/>
        <v>#DIV/0!</v>
      </c>
      <c r="CI701" s="128"/>
    </row>
    <row r="702" spans="1:87" s="128" customFormat="1">
      <c r="A702" s="125">
        <f t="shared" si="803"/>
        <v>0</v>
      </c>
      <c r="B702" s="125"/>
      <c r="C702" s="121"/>
      <c r="D702" s="121" t="s">
        <v>197</v>
      </c>
      <c r="E702" s="121"/>
      <c r="F702" s="121"/>
      <c r="G702" s="124"/>
      <c r="H702" s="124"/>
      <c r="I702" s="122"/>
      <c r="J702" s="121"/>
      <c r="K702" s="121"/>
      <c r="L702" s="121"/>
      <c r="M702" s="123"/>
      <c r="N702" s="121" t="s">
        <v>4212</v>
      </c>
      <c r="O702" s="121" t="s">
        <v>4213</v>
      </c>
      <c r="P702" s="121"/>
      <c r="Q702" s="122">
        <f>3115*2.4</f>
        <v>7476</v>
      </c>
      <c r="R702" s="122"/>
      <c r="S702" s="122"/>
      <c r="T702" s="122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0"/>
      <c r="BE702" s="120">
        <f t="shared" ref="BE702:BE765" si="804">BW702</f>
        <v>0</v>
      </c>
      <c r="BF702" s="137">
        <f t="shared" si="801"/>
        <v>0</v>
      </c>
      <c r="BG702" s="120"/>
      <c r="BH702" s="120"/>
      <c r="BI702" s="120"/>
      <c r="BJ702" s="120"/>
      <c r="BK702" s="120"/>
      <c r="BL702" s="120"/>
      <c r="BM702" s="120"/>
      <c r="BN702" s="120"/>
      <c r="BO702" s="120"/>
      <c r="BP702" s="120"/>
      <c r="BQ702" s="124"/>
      <c r="BR702" s="120"/>
      <c r="BS702" s="120"/>
      <c r="BT702" s="120"/>
      <c r="BU702" s="120"/>
      <c r="BV702" s="120"/>
      <c r="BW702" s="120"/>
      <c r="BX702" s="120"/>
      <c r="BY702" s="120"/>
      <c r="BZ702" s="136">
        <f t="shared" si="791"/>
        <v>0</v>
      </c>
      <c r="CA702" s="136">
        <f t="shared" si="792"/>
        <v>0</v>
      </c>
      <c r="CB702" s="136">
        <f t="shared" si="793"/>
        <v>0</v>
      </c>
      <c r="CC702" s="136">
        <f t="shared" si="794"/>
        <v>0</v>
      </c>
      <c r="CD702" s="135">
        <f t="shared" si="795"/>
        <v>0</v>
      </c>
      <c r="CE702" s="135">
        <f t="shared" si="796"/>
        <v>0</v>
      </c>
      <c r="CF702" s="134">
        <f t="shared" si="797"/>
        <v>0</v>
      </c>
      <c r="CG702" s="134">
        <f t="shared" si="798"/>
        <v>0</v>
      </c>
      <c r="CH702" s="133" t="e">
        <f t="shared" si="799"/>
        <v>#DIV/0!</v>
      </c>
      <c r="CI702" s="121"/>
    </row>
    <row r="703" spans="1:87" s="128" customFormat="1">
      <c r="A703" s="125">
        <f t="shared" si="803"/>
        <v>0</v>
      </c>
      <c r="B703" s="125"/>
      <c r="C703" s="121"/>
      <c r="D703" s="121" t="s">
        <v>215</v>
      </c>
      <c r="E703" s="121"/>
      <c r="F703" s="121"/>
      <c r="G703" s="124"/>
      <c r="H703" s="124"/>
      <c r="I703" s="122"/>
      <c r="J703" s="121"/>
      <c r="K703" s="121"/>
      <c r="L703" s="121"/>
      <c r="M703" s="123"/>
      <c r="N703" s="121" t="s">
        <v>301</v>
      </c>
      <c r="O703" s="121" t="s">
        <v>285</v>
      </c>
      <c r="P703" s="121"/>
      <c r="Q703" s="122">
        <f>3852*2.4</f>
        <v>9244.7999999999993</v>
      </c>
      <c r="R703" s="122"/>
      <c r="S703" s="122"/>
      <c r="T703" s="122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0"/>
      <c r="BE703" s="120">
        <f t="shared" si="804"/>
        <v>0</v>
      </c>
      <c r="BF703" s="137">
        <f t="shared" si="801"/>
        <v>0</v>
      </c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16"/>
      <c r="BY703" s="116"/>
      <c r="BZ703" s="136">
        <f t="shared" si="791"/>
        <v>0</v>
      </c>
      <c r="CA703" s="136">
        <f t="shared" si="792"/>
        <v>0</v>
      </c>
      <c r="CB703" s="136">
        <f t="shared" si="793"/>
        <v>0</v>
      </c>
      <c r="CC703" s="136">
        <f t="shared" si="794"/>
        <v>0</v>
      </c>
      <c r="CD703" s="135">
        <f t="shared" si="795"/>
        <v>0</v>
      </c>
      <c r="CE703" s="135">
        <f t="shared" si="796"/>
        <v>0</v>
      </c>
      <c r="CF703" s="134">
        <f t="shared" si="797"/>
        <v>0</v>
      </c>
      <c r="CG703" s="134">
        <f t="shared" si="798"/>
        <v>0</v>
      </c>
      <c r="CH703" s="133" t="e">
        <f t="shared" si="799"/>
        <v>#DIV/0!</v>
      </c>
      <c r="CI703" s="121"/>
    </row>
    <row r="704" spans="1:87" s="121" customFormat="1">
      <c r="A704" s="125">
        <f t="shared" si="803"/>
        <v>0</v>
      </c>
      <c r="B704" s="125"/>
      <c r="D704" s="121" t="s">
        <v>197</v>
      </c>
      <c r="G704" s="124"/>
      <c r="H704" s="124"/>
      <c r="I704" s="122"/>
      <c r="M704" s="123"/>
      <c r="N704" s="121" t="s">
        <v>4171</v>
      </c>
      <c r="O704" s="121" t="s">
        <v>365</v>
      </c>
      <c r="Q704" s="122">
        <f>3142*2.4</f>
        <v>7540.7999999999993</v>
      </c>
      <c r="R704" s="122"/>
      <c r="S704" s="122"/>
      <c r="T704" s="122"/>
      <c r="BD704" s="120"/>
      <c r="BE704" s="120">
        <f t="shared" si="804"/>
        <v>0</v>
      </c>
      <c r="BF704" s="137">
        <f t="shared" si="801"/>
        <v>0</v>
      </c>
      <c r="BG704" s="120"/>
      <c r="BH704" s="120"/>
      <c r="BI704" s="120"/>
      <c r="BJ704" s="120"/>
      <c r="BK704" s="120"/>
      <c r="BL704" s="120"/>
      <c r="BM704" s="120"/>
      <c r="BN704" s="120"/>
      <c r="BO704" s="120"/>
      <c r="BP704" s="120"/>
      <c r="BQ704" s="124"/>
      <c r="BR704" s="120"/>
      <c r="BS704" s="120"/>
      <c r="BT704" s="120"/>
      <c r="BU704" s="120"/>
      <c r="BV704" s="120"/>
      <c r="BW704" s="120"/>
      <c r="BX704" s="127"/>
      <c r="BY704" s="127"/>
      <c r="BZ704" s="136">
        <f t="shared" si="791"/>
        <v>0</v>
      </c>
      <c r="CA704" s="136">
        <f t="shared" si="792"/>
        <v>0</v>
      </c>
      <c r="CB704" s="136">
        <f t="shared" si="793"/>
        <v>0</v>
      </c>
      <c r="CC704" s="136">
        <f t="shared" si="794"/>
        <v>0</v>
      </c>
      <c r="CD704" s="135">
        <f t="shared" si="795"/>
        <v>0</v>
      </c>
      <c r="CE704" s="135">
        <f t="shared" si="796"/>
        <v>0</v>
      </c>
      <c r="CF704" s="134">
        <f t="shared" si="797"/>
        <v>0</v>
      </c>
      <c r="CG704" s="134">
        <f t="shared" si="798"/>
        <v>0</v>
      </c>
      <c r="CH704" s="133" t="e">
        <f t="shared" si="799"/>
        <v>#DIV/0!</v>
      </c>
      <c r="CI704" s="128"/>
    </row>
    <row r="705" spans="1:87" s="121" customFormat="1">
      <c r="A705" s="125">
        <f t="shared" si="803"/>
        <v>0</v>
      </c>
      <c r="B705" s="125"/>
      <c r="D705" s="121" t="s">
        <v>197</v>
      </c>
      <c r="G705" s="124"/>
      <c r="H705" s="124"/>
      <c r="I705" s="122"/>
      <c r="M705" s="123"/>
      <c r="N705" s="121" t="s">
        <v>1848</v>
      </c>
      <c r="O705" s="121" t="s">
        <v>1768</v>
      </c>
      <c r="Q705" s="122">
        <f>3139*2.4</f>
        <v>7533.5999999999995</v>
      </c>
      <c r="R705" s="122"/>
      <c r="S705" s="122"/>
      <c r="T705" s="122"/>
      <c r="BD705" s="120"/>
      <c r="BE705" s="120">
        <f t="shared" si="804"/>
        <v>0</v>
      </c>
      <c r="BF705" s="137">
        <f t="shared" si="801"/>
        <v>0</v>
      </c>
      <c r="BG705" s="120"/>
      <c r="BH705" s="120"/>
      <c r="BI705" s="120"/>
      <c r="BJ705" s="120"/>
      <c r="BK705" s="120"/>
      <c r="BL705" s="120"/>
      <c r="BM705" s="120"/>
      <c r="BN705" s="120"/>
      <c r="BO705" s="120"/>
      <c r="BP705" s="120"/>
      <c r="BQ705" s="124"/>
      <c r="BR705" s="120"/>
      <c r="BS705" s="120"/>
      <c r="BT705" s="120"/>
      <c r="BU705" s="120"/>
      <c r="BV705" s="120"/>
      <c r="BW705" s="120"/>
      <c r="BZ705" s="136">
        <f t="shared" si="791"/>
        <v>0</v>
      </c>
      <c r="CA705" s="136">
        <f t="shared" si="792"/>
        <v>0</v>
      </c>
      <c r="CB705" s="136">
        <f t="shared" si="793"/>
        <v>0</v>
      </c>
      <c r="CC705" s="136">
        <f t="shared" si="794"/>
        <v>0</v>
      </c>
      <c r="CD705" s="135">
        <f t="shared" si="795"/>
        <v>0</v>
      </c>
      <c r="CE705" s="135">
        <f t="shared" si="796"/>
        <v>0</v>
      </c>
      <c r="CF705" s="134">
        <f t="shared" si="797"/>
        <v>0</v>
      </c>
      <c r="CG705" s="134">
        <f t="shared" si="798"/>
        <v>0</v>
      </c>
      <c r="CH705" s="133" t="e">
        <f t="shared" si="799"/>
        <v>#DIV/0!</v>
      </c>
    </row>
    <row r="706" spans="1:87" s="121" customFormat="1">
      <c r="A706" s="125">
        <f t="shared" si="803"/>
        <v>0</v>
      </c>
      <c r="B706" s="125"/>
      <c r="D706" s="121" t="s">
        <v>215</v>
      </c>
      <c r="G706" s="124"/>
      <c r="H706" s="124"/>
      <c r="I706" s="122"/>
      <c r="M706" s="123"/>
      <c r="N706" s="121" t="s">
        <v>4214</v>
      </c>
      <c r="O706" s="121" t="s">
        <v>4134</v>
      </c>
      <c r="Q706" s="122">
        <f>3102*2.4</f>
        <v>7444.7999999999993</v>
      </c>
      <c r="R706" s="122"/>
      <c r="S706" s="122"/>
      <c r="T706" s="122"/>
      <c r="BD706" s="120"/>
      <c r="BE706" s="120">
        <f t="shared" si="804"/>
        <v>0</v>
      </c>
      <c r="BF706" s="137">
        <f t="shared" si="801"/>
        <v>0</v>
      </c>
      <c r="BG706" s="120"/>
      <c r="BH706" s="120"/>
      <c r="BI706" s="120"/>
      <c r="BJ706" s="120"/>
      <c r="BK706" s="120"/>
      <c r="BL706" s="120"/>
      <c r="BM706" s="120"/>
      <c r="BN706" s="120"/>
      <c r="BO706" s="120"/>
      <c r="BP706" s="120"/>
      <c r="BQ706" s="124"/>
      <c r="BR706" s="120"/>
      <c r="BS706" s="120"/>
      <c r="BT706" s="120"/>
      <c r="BU706" s="120"/>
      <c r="BV706" s="120"/>
      <c r="BW706" s="120"/>
      <c r="BX706" s="120"/>
      <c r="BY706" s="120"/>
      <c r="BZ706" s="136">
        <f t="shared" si="791"/>
        <v>0</v>
      </c>
      <c r="CA706" s="136">
        <f t="shared" si="792"/>
        <v>0</v>
      </c>
      <c r="CB706" s="136">
        <f t="shared" si="793"/>
        <v>0</v>
      </c>
      <c r="CC706" s="136">
        <f t="shared" si="794"/>
        <v>0</v>
      </c>
      <c r="CD706" s="135">
        <f t="shared" si="795"/>
        <v>0</v>
      </c>
      <c r="CE706" s="135">
        <f t="shared" si="796"/>
        <v>0</v>
      </c>
      <c r="CF706" s="134">
        <f t="shared" si="797"/>
        <v>0</v>
      </c>
      <c r="CG706" s="134">
        <f t="shared" si="798"/>
        <v>0</v>
      </c>
      <c r="CH706" s="133" t="e">
        <f t="shared" si="799"/>
        <v>#DIV/0!</v>
      </c>
    </row>
    <row r="707" spans="1:87" s="128" customFormat="1">
      <c r="A707" s="125">
        <f t="shared" si="803"/>
        <v>0</v>
      </c>
      <c r="B707" s="125"/>
      <c r="C707" s="121"/>
      <c r="D707" s="121" t="s">
        <v>215</v>
      </c>
      <c r="E707" s="121"/>
      <c r="F707" s="121"/>
      <c r="G707" s="124"/>
      <c r="H707" s="124"/>
      <c r="I707" s="122"/>
      <c r="J707" s="121"/>
      <c r="K707" s="121"/>
      <c r="L707" s="121"/>
      <c r="M707" s="123"/>
      <c r="N707" s="121" t="s">
        <v>3637</v>
      </c>
      <c r="O707" s="121" t="s">
        <v>4121</v>
      </c>
      <c r="P707" s="121"/>
      <c r="Q707" s="122">
        <f>3100*2.4</f>
        <v>7440</v>
      </c>
      <c r="R707" s="122"/>
      <c r="S707" s="122"/>
      <c r="T707" s="122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  <c r="AL707" s="121"/>
      <c r="AM707" s="121"/>
      <c r="AN707" s="121"/>
      <c r="AO707" s="121"/>
      <c r="AP707" s="121"/>
      <c r="AQ707" s="121"/>
      <c r="AR707" s="121"/>
      <c r="AS707" s="121"/>
      <c r="AT707" s="121"/>
      <c r="AU707" s="121"/>
      <c r="AV707" s="121"/>
      <c r="AW707" s="121"/>
      <c r="AX707" s="121"/>
      <c r="AY707" s="121"/>
      <c r="AZ707" s="121"/>
      <c r="BA707" s="121"/>
      <c r="BB707" s="121"/>
      <c r="BC707" s="121"/>
      <c r="BD707" s="120"/>
      <c r="BE707" s="120">
        <f t="shared" si="804"/>
        <v>0</v>
      </c>
      <c r="BF707" s="137">
        <f t="shared" si="801"/>
        <v>0</v>
      </c>
      <c r="BG707" s="120"/>
      <c r="BH707" s="120"/>
      <c r="BI707" s="120"/>
      <c r="BJ707" s="120"/>
      <c r="BK707" s="120"/>
      <c r="BL707" s="120"/>
      <c r="BM707" s="120"/>
      <c r="BN707" s="120"/>
      <c r="BO707" s="120"/>
      <c r="BP707" s="120"/>
      <c r="BQ707" s="124"/>
      <c r="BR707" s="120"/>
      <c r="BS707" s="120"/>
      <c r="BT707" s="120"/>
      <c r="BU707" s="120"/>
      <c r="BV707" s="120"/>
      <c r="BW707" s="120"/>
      <c r="BX707" s="121"/>
      <c r="BY707" s="121"/>
      <c r="BZ707" s="136">
        <f t="shared" si="791"/>
        <v>0</v>
      </c>
      <c r="CA707" s="136">
        <f t="shared" si="792"/>
        <v>0</v>
      </c>
      <c r="CB707" s="136">
        <f t="shared" si="793"/>
        <v>0</v>
      </c>
      <c r="CC707" s="136">
        <f t="shared" si="794"/>
        <v>0</v>
      </c>
      <c r="CD707" s="135">
        <f t="shared" si="795"/>
        <v>0</v>
      </c>
      <c r="CE707" s="135">
        <f t="shared" si="796"/>
        <v>0</v>
      </c>
      <c r="CF707" s="134">
        <f t="shared" si="797"/>
        <v>0</v>
      </c>
      <c r="CG707" s="134">
        <f t="shared" si="798"/>
        <v>0</v>
      </c>
      <c r="CH707" s="133" t="e">
        <f t="shared" si="799"/>
        <v>#DIV/0!</v>
      </c>
      <c r="CI707" s="121"/>
    </row>
    <row r="708" spans="1:87" s="121" customFormat="1">
      <c r="A708" s="125">
        <f t="shared" si="803"/>
        <v>0</v>
      </c>
      <c r="B708" s="125"/>
      <c r="D708" s="121" t="s">
        <v>215</v>
      </c>
      <c r="G708" s="124"/>
      <c r="H708" s="124"/>
      <c r="I708" s="122"/>
      <c r="M708" s="123"/>
      <c r="N708" s="121" t="s">
        <v>334</v>
      </c>
      <c r="O708" s="121" t="s">
        <v>359</v>
      </c>
      <c r="Q708" s="122">
        <f>3852*2.4</f>
        <v>9244.7999999999993</v>
      </c>
      <c r="R708" s="122"/>
      <c r="S708" s="122"/>
      <c r="T708" s="122"/>
      <c r="BD708" s="120"/>
      <c r="BE708" s="120">
        <f t="shared" si="804"/>
        <v>0</v>
      </c>
      <c r="BF708" s="137">
        <f t="shared" si="801"/>
        <v>0</v>
      </c>
      <c r="BG708" s="120"/>
      <c r="BH708" s="120"/>
      <c r="BI708" s="120"/>
      <c r="BJ708" s="120"/>
      <c r="BK708" s="120"/>
      <c r="BL708" s="120"/>
      <c r="BM708" s="120"/>
      <c r="BN708" s="120"/>
      <c r="BO708" s="120"/>
      <c r="BP708" s="120"/>
      <c r="BQ708" s="124"/>
      <c r="BR708" s="120"/>
      <c r="BS708" s="120"/>
      <c r="BT708" s="120"/>
      <c r="BU708" s="120"/>
      <c r="BV708" s="120"/>
      <c r="BW708" s="120"/>
      <c r="BZ708" s="136">
        <f t="shared" si="791"/>
        <v>0</v>
      </c>
      <c r="CA708" s="136">
        <f t="shared" si="792"/>
        <v>0</v>
      </c>
      <c r="CB708" s="136">
        <f t="shared" si="793"/>
        <v>0</v>
      </c>
      <c r="CC708" s="136">
        <f t="shared" si="794"/>
        <v>0</v>
      </c>
      <c r="CD708" s="135">
        <f t="shared" si="795"/>
        <v>0</v>
      </c>
      <c r="CE708" s="135">
        <f t="shared" si="796"/>
        <v>0</v>
      </c>
      <c r="CF708" s="134">
        <f t="shared" si="797"/>
        <v>0</v>
      </c>
      <c r="CG708" s="134">
        <f t="shared" si="798"/>
        <v>0</v>
      </c>
      <c r="CH708" s="133" t="e">
        <f t="shared" si="799"/>
        <v>#DIV/0!</v>
      </c>
      <c r="CI708" s="128"/>
    </row>
    <row r="709" spans="1:87" s="121" customFormat="1">
      <c r="A709" s="125">
        <f t="shared" si="803"/>
        <v>0</v>
      </c>
      <c r="B709" s="125"/>
      <c r="D709" s="121" t="s">
        <v>197</v>
      </c>
      <c r="G709" s="124"/>
      <c r="H709" s="124"/>
      <c r="I709" s="122"/>
      <c r="M709" s="123"/>
      <c r="N709" s="121" t="s">
        <v>346</v>
      </c>
      <c r="O709" s="121" t="s">
        <v>3638</v>
      </c>
      <c r="Q709" s="122">
        <f>3136*2.4</f>
        <v>7526.4</v>
      </c>
      <c r="R709" s="122"/>
      <c r="S709" s="122"/>
      <c r="T709" s="122"/>
      <c r="BD709" s="120"/>
      <c r="BE709" s="120">
        <f t="shared" si="804"/>
        <v>0</v>
      </c>
      <c r="BF709" s="137">
        <f t="shared" si="801"/>
        <v>0</v>
      </c>
      <c r="BG709" s="120"/>
      <c r="BH709" s="120"/>
      <c r="BI709" s="120"/>
      <c r="BJ709" s="120"/>
      <c r="BK709" s="120"/>
      <c r="BL709" s="120"/>
      <c r="BM709" s="120"/>
      <c r="BN709" s="120"/>
      <c r="BO709" s="120"/>
      <c r="BP709" s="120"/>
      <c r="BQ709" s="124"/>
      <c r="BR709" s="120"/>
      <c r="BS709" s="120"/>
      <c r="BT709" s="120"/>
      <c r="BU709" s="120"/>
      <c r="BV709" s="120"/>
      <c r="BW709" s="120"/>
      <c r="BZ709" s="136">
        <f t="shared" si="791"/>
        <v>0</v>
      </c>
      <c r="CA709" s="136">
        <f t="shared" si="792"/>
        <v>0</v>
      </c>
      <c r="CB709" s="136">
        <f t="shared" si="793"/>
        <v>0</v>
      </c>
      <c r="CC709" s="136">
        <f t="shared" si="794"/>
        <v>0</v>
      </c>
      <c r="CD709" s="135">
        <f t="shared" si="795"/>
        <v>0</v>
      </c>
      <c r="CE709" s="135">
        <f t="shared" si="796"/>
        <v>0</v>
      </c>
      <c r="CF709" s="134">
        <f t="shared" si="797"/>
        <v>0</v>
      </c>
      <c r="CG709" s="134">
        <f t="shared" si="798"/>
        <v>0</v>
      </c>
      <c r="CH709" s="133" t="e">
        <f t="shared" si="799"/>
        <v>#DIV/0!</v>
      </c>
    </row>
    <row r="710" spans="1:87" s="116" customFormat="1">
      <c r="A710" s="125">
        <f t="shared" si="803"/>
        <v>0</v>
      </c>
      <c r="B710" s="125"/>
      <c r="C710" s="121"/>
      <c r="D710" s="121" t="s">
        <v>215</v>
      </c>
      <c r="E710" s="121"/>
      <c r="F710" s="121"/>
      <c r="G710" s="124"/>
      <c r="H710" s="124"/>
      <c r="I710" s="122"/>
      <c r="J710" s="121"/>
      <c r="K710" s="121"/>
      <c r="L710" s="121"/>
      <c r="M710" s="123"/>
      <c r="N710" s="121" t="s">
        <v>252</v>
      </c>
      <c r="O710" s="121" t="s">
        <v>253</v>
      </c>
      <c r="P710" s="121"/>
      <c r="Q710" s="122">
        <f>3107*2.4</f>
        <v>7456.7999999999993</v>
      </c>
      <c r="R710" s="122"/>
      <c r="S710" s="122"/>
      <c r="T710" s="122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  <c r="AL710" s="121"/>
      <c r="AM710" s="121"/>
      <c r="AN710" s="121"/>
      <c r="AO710" s="121"/>
      <c r="AP710" s="121"/>
      <c r="AQ710" s="121"/>
      <c r="AR710" s="121"/>
      <c r="AS710" s="121"/>
      <c r="AT710" s="121"/>
      <c r="AU710" s="121"/>
      <c r="AV710" s="121"/>
      <c r="AW710" s="121"/>
      <c r="AX710" s="121"/>
      <c r="AY710" s="121"/>
      <c r="AZ710" s="121"/>
      <c r="BA710" s="121"/>
      <c r="BB710" s="121"/>
      <c r="BC710" s="121"/>
      <c r="BD710" s="120"/>
      <c r="BE710" s="120">
        <f t="shared" si="804"/>
        <v>0</v>
      </c>
      <c r="BF710" s="137">
        <f t="shared" si="801"/>
        <v>0</v>
      </c>
      <c r="BG710" s="120"/>
      <c r="BH710" s="120"/>
      <c r="BI710" s="120"/>
      <c r="BJ710" s="120"/>
      <c r="BK710" s="120"/>
      <c r="BL710" s="120"/>
      <c r="BM710" s="120"/>
      <c r="BN710" s="120"/>
      <c r="BO710" s="120"/>
      <c r="BP710" s="120"/>
      <c r="BQ710" s="124"/>
      <c r="BR710" s="120"/>
      <c r="BS710" s="120"/>
      <c r="BT710" s="120"/>
      <c r="BU710" s="120"/>
      <c r="BV710" s="120"/>
      <c r="BW710" s="120"/>
      <c r="BX710" s="121"/>
      <c r="BY710" s="121"/>
      <c r="BZ710" s="136">
        <f t="shared" si="791"/>
        <v>0</v>
      </c>
      <c r="CA710" s="136">
        <f t="shared" si="792"/>
        <v>0</v>
      </c>
      <c r="CB710" s="136">
        <f t="shared" si="793"/>
        <v>0</v>
      </c>
      <c r="CC710" s="136">
        <f t="shared" si="794"/>
        <v>0</v>
      </c>
      <c r="CD710" s="135">
        <f t="shared" si="795"/>
        <v>0</v>
      </c>
      <c r="CE710" s="135">
        <f t="shared" si="796"/>
        <v>0</v>
      </c>
      <c r="CF710" s="134">
        <f t="shared" si="797"/>
        <v>0</v>
      </c>
      <c r="CG710" s="134">
        <f t="shared" si="798"/>
        <v>0</v>
      </c>
      <c r="CH710" s="133" t="e">
        <f t="shared" si="799"/>
        <v>#DIV/0!</v>
      </c>
      <c r="CI710" s="121"/>
    </row>
    <row r="711" spans="1:87" s="128" customFormat="1">
      <c r="A711" s="125">
        <f t="shared" si="803"/>
        <v>0</v>
      </c>
      <c r="B711" s="125"/>
      <c r="C711" s="121"/>
      <c r="D711" s="121" t="s">
        <v>197</v>
      </c>
      <c r="E711" s="121"/>
      <c r="F711" s="121"/>
      <c r="G711" s="124"/>
      <c r="H711" s="124"/>
      <c r="I711" s="122"/>
      <c r="J711" s="121"/>
      <c r="K711" s="121"/>
      <c r="L711" s="121"/>
      <c r="M711" s="123"/>
      <c r="N711" s="121" t="s">
        <v>4161</v>
      </c>
      <c r="O711" s="121" t="s">
        <v>4208</v>
      </c>
      <c r="P711" s="121"/>
      <c r="Q711" s="122">
        <f>3103*2.4</f>
        <v>7447.2</v>
      </c>
      <c r="R711" s="122"/>
      <c r="S711" s="122"/>
      <c r="T711" s="122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  <c r="AL711" s="121"/>
      <c r="AM711" s="121"/>
      <c r="AN711" s="121"/>
      <c r="AO711" s="121"/>
      <c r="AP711" s="121"/>
      <c r="AQ711" s="121"/>
      <c r="AR711" s="121"/>
      <c r="AS711" s="121"/>
      <c r="AT711" s="121"/>
      <c r="AU711" s="121"/>
      <c r="AV711" s="121"/>
      <c r="AW711" s="121"/>
      <c r="AX711" s="121"/>
      <c r="AY711" s="121"/>
      <c r="AZ711" s="121"/>
      <c r="BA711" s="121"/>
      <c r="BB711" s="121"/>
      <c r="BC711" s="121"/>
      <c r="BD711" s="120"/>
      <c r="BE711" s="120">
        <f t="shared" si="804"/>
        <v>0</v>
      </c>
      <c r="BF711" s="137">
        <f t="shared" si="801"/>
        <v>0</v>
      </c>
      <c r="BG711" s="120"/>
      <c r="BH711" s="120"/>
      <c r="BI711" s="120"/>
      <c r="BJ711" s="120"/>
      <c r="BK711" s="120"/>
      <c r="BL711" s="120"/>
      <c r="BM711" s="120"/>
      <c r="BN711" s="120"/>
      <c r="BO711" s="120"/>
      <c r="BP711" s="120"/>
      <c r="BQ711" s="124"/>
      <c r="BR711" s="120"/>
      <c r="BS711" s="120"/>
      <c r="BT711" s="120"/>
      <c r="BU711" s="120"/>
      <c r="BV711" s="120"/>
      <c r="BW711" s="120"/>
      <c r="BX711" s="121"/>
      <c r="BY711" s="121"/>
      <c r="BZ711" s="136">
        <f t="shared" si="791"/>
        <v>0</v>
      </c>
      <c r="CA711" s="136">
        <f t="shared" si="792"/>
        <v>0</v>
      </c>
      <c r="CB711" s="136">
        <f t="shared" si="793"/>
        <v>0</v>
      </c>
      <c r="CC711" s="136">
        <f t="shared" si="794"/>
        <v>0</v>
      </c>
      <c r="CD711" s="135">
        <f t="shared" si="795"/>
        <v>0</v>
      </c>
      <c r="CE711" s="135">
        <f t="shared" si="796"/>
        <v>0</v>
      </c>
      <c r="CF711" s="134">
        <f t="shared" si="797"/>
        <v>0</v>
      </c>
      <c r="CG711" s="134">
        <f t="shared" si="798"/>
        <v>0</v>
      </c>
      <c r="CH711" s="133" t="e">
        <f t="shared" si="799"/>
        <v>#DIV/0!</v>
      </c>
      <c r="CI711" s="116"/>
    </row>
    <row r="712" spans="1:87" s="121" customFormat="1">
      <c r="A712" s="125">
        <f t="shared" si="803"/>
        <v>0</v>
      </c>
      <c r="B712" s="125"/>
      <c r="D712" s="121" t="s">
        <v>197</v>
      </c>
      <c r="G712" s="124"/>
      <c r="H712" s="124"/>
      <c r="I712" s="122"/>
      <c r="M712" s="123"/>
      <c r="N712" s="121" t="s">
        <v>4136</v>
      </c>
      <c r="O712" s="121" t="s">
        <v>4135</v>
      </c>
      <c r="Q712" s="122">
        <f>3100*2.4</f>
        <v>7440</v>
      </c>
      <c r="R712" s="122"/>
      <c r="S712" s="122"/>
      <c r="T712" s="122"/>
      <c r="BD712" s="120"/>
      <c r="BE712" s="120">
        <f t="shared" si="804"/>
        <v>0</v>
      </c>
      <c r="BF712" s="137">
        <f t="shared" si="801"/>
        <v>0</v>
      </c>
      <c r="BG712" s="120"/>
      <c r="BH712" s="120"/>
      <c r="BI712" s="120"/>
      <c r="BJ712" s="120"/>
      <c r="BK712" s="120"/>
      <c r="BL712" s="120"/>
      <c r="BM712" s="120"/>
      <c r="BN712" s="120"/>
      <c r="BO712" s="120"/>
      <c r="BP712" s="120"/>
      <c r="BQ712" s="124"/>
      <c r="BR712" s="120"/>
      <c r="BS712" s="120"/>
      <c r="BT712" s="120"/>
      <c r="BU712" s="120"/>
      <c r="BV712" s="120"/>
      <c r="BW712" s="120"/>
      <c r="BZ712" s="136">
        <f t="shared" si="791"/>
        <v>0</v>
      </c>
      <c r="CA712" s="136">
        <f t="shared" si="792"/>
        <v>0</v>
      </c>
      <c r="CB712" s="136">
        <f t="shared" si="793"/>
        <v>0</v>
      </c>
      <c r="CC712" s="136">
        <f t="shared" si="794"/>
        <v>0</v>
      </c>
      <c r="CD712" s="135">
        <f t="shared" si="795"/>
        <v>0</v>
      </c>
      <c r="CE712" s="135">
        <f t="shared" si="796"/>
        <v>0</v>
      </c>
      <c r="CF712" s="134">
        <f t="shared" si="797"/>
        <v>0</v>
      </c>
      <c r="CG712" s="134">
        <f t="shared" si="798"/>
        <v>0</v>
      </c>
      <c r="CH712" s="133" t="e">
        <f t="shared" si="799"/>
        <v>#DIV/0!</v>
      </c>
      <c r="CI712" s="128"/>
    </row>
    <row r="713" spans="1:87" s="128" customFormat="1">
      <c r="A713" s="125">
        <f t="shared" si="803"/>
        <v>0</v>
      </c>
      <c r="B713" s="125"/>
      <c r="C713" s="121"/>
      <c r="D713" s="121" t="s">
        <v>215</v>
      </c>
      <c r="E713" s="121"/>
      <c r="F713" s="121"/>
      <c r="G713" s="124"/>
      <c r="H713" s="124"/>
      <c r="I713" s="122"/>
      <c r="J713" s="121"/>
      <c r="K713" s="121"/>
      <c r="L713" s="121"/>
      <c r="M713" s="123"/>
      <c r="N713" s="121" t="s">
        <v>263</v>
      </c>
      <c r="O713" s="121" t="s">
        <v>4189</v>
      </c>
      <c r="P713" s="121"/>
      <c r="Q713" s="122">
        <f>3136*2.4</f>
        <v>7526.4</v>
      </c>
      <c r="R713" s="122"/>
      <c r="S713" s="122"/>
      <c r="T713" s="122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  <c r="AL713" s="121"/>
      <c r="AM713" s="121"/>
      <c r="AN713" s="121"/>
      <c r="AO713" s="121"/>
      <c r="AP713" s="121"/>
      <c r="AQ713" s="121"/>
      <c r="AR713" s="121"/>
      <c r="AS713" s="121"/>
      <c r="AT713" s="121"/>
      <c r="AU713" s="121"/>
      <c r="AV713" s="121"/>
      <c r="AW713" s="121"/>
      <c r="AX713" s="121"/>
      <c r="AY713" s="121"/>
      <c r="AZ713" s="121"/>
      <c r="BA713" s="121"/>
      <c r="BB713" s="121"/>
      <c r="BC713" s="121"/>
      <c r="BD713" s="120"/>
      <c r="BE713" s="120">
        <f t="shared" si="804"/>
        <v>0</v>
      </c>
      <c r="BF713" s="137">
        <f t="shared" si="801"/>
        <v>0</v>
      </c>
      <c r="BG713" s="120"/>
      <c r="BH713" s="120"/>
      <c r="BI713" s="120"/>
      <c r="BJ713" s="120"/>
      <c r="BK713" s="120"/>
      <c r="BL713" s="120"/>
      <c r="BM713" s="120"/>
      <c r="BN713" s="120"/>
      <c r="BO713" s="120"/>
      <c r="BP713" s="120"/>
      <c r="BQ713" s="124"/>
      <c r="BR713" s="120"/>
      <c r="BS713" s="120"/>
      <c r="BT713" s="120"/>
      <c r="BU713" s="120"/>
      <c r="BV713" s="120"/>
      <c r="BW713" s="120"/>
      <c r="BX713" s="121"/>
      <c r="BY713" s="121"/>
      <c r="BZ713" s="136">
        <f t="shared" si="791"/>
        <v>0</v>
      </c>
      <c r="CA713" s="136">
        <f t="shared" si="792"/>
        <v>0</v>
      </c>
      <c r="CB713" s="136">
        <f t="shared" si="793"/>
        <v>0</v>
      </c>
      <c r="CC713" s="136">
        <f t="shared" si="794"/>
        <v>0</v>
      </c>
      <c r="CD713" s="135">
        <f t="shared" si="795"/>
        <v>0</v>
      </c>
      <c r="CE713" s="135">
        <f t="shared" si="796"/>
        <v>0</v>
      </c>
      <c r="CF713" s="134">
        <f t="shared" si="797"/>
        <v>0</v>
      </c>
      <c r="CG713" s="134">
        <f t="shared" si="798"/>
        <v>0</v>
      </c>
      <c r="CH713" s="133" t="e">
        <f t="shared" si="799"/>
        <v>#DIV/0!</v>
      </c>
      <c r="CI713" s="121"/>
    </row>
    <row r="714" spans="1:87" s="128" customFormat="1">
      <c r="A714" s="125">
        <f t="shared" si="803"/>
        <v>0</v>
      </c>
      <c r="B714" s="125"/>
      <c r="C714" s="121"/>
      <c r="D714" s="121" t="s">
        <v>197</v>
      </c>
      <c r="E714" s="121"/>
      <c r="F714" s="121"/>
      <c r="G714" s="124"/>
      <c r="H714" s="124"/>
      <c r="I714" s="122"/>
      <c r="J714" s="121"/>
      <c r="K714" s="121"/>
      <c r="L714" s="121"/>
      <c r="M714" s="123"/>
      <c r="N714" s="121" t="s">
        <v>4215</v>
      </c>
      <c r="O714" s="121" t="s">
        <v>4216</v>
      </c>
      <c r="P714" s="121"/>
      <c r="Q714" s="122">
        <f>3085*2.4</f>
        <v>7404</v>
      </c>
      <c r="R714" s="122"/>
      <c r="S714" s="122"/>
      <c r="T714" s="122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  <c r="AL714" s="121"/>
      <c r="AM714" s="121"/>
      <c r="AN714" s="121"/>
      <c r="AO714" s="121"/>
      <c r="AP714" s="121"/>
      <c r="AQ714" s="121"/>
      <c r="AR714" s="121"/>
      <c r="AS714" s="121"/>
      <c r="AT714" s="121"/>
      <c r="AU714" s="121"/>
      <c r="AV714" s="121"/>
      <c r="AW714" s="121"/>
      <c r="AX714" s="121"/>
      <c r="AY714" s="121"/>
      <c r="AZ714" s="121"/>
      <c r="BA714" s="121"/>
      <c r="BB714" s="121"/>
      <c r="BC714" s="121"/>
      <c r="BD714" s="120"/>
      <c r="BE714" s="120">
        <f t="shared" si="804"/>
        <v>0</v>
      </c>
      <c r="BF714" s="137">
        <f t="shared" si="801"/>
        <v>0</v>
      </c>
      <c r="BG714" s="120"/>
      <c r="BH714" s="120"/>
      <c r="BI714" s="120"/>
      <c r="BJ714" s="120"/>
      <c r="BK714" s="120"/>
      <c r="BL714" s="120"/>
      <c r="BM714" s="120"/>
      <c r="BN714" s="120"/>
      <c r="BO714" s="120"/>
      <c r="BP714" s="120"/>
      <c r="BQ714" s="124"/>
      <c r="BR714" s="120"/>
      <c r="BS714" s="120"/>
      <c r="BT714" s="120"/>
      <c r="BU714" s="120"/>
      <c r="BV714" s="120"/>
      <c r="BW714" s="120"/>
      <c r="BX714" s="121"/>
      <c r="BY714" s="121"/>
      <c r="BZ714" s="136">
        <f t="shared" si="791"/>
        <v>0</v>
      </c>
      <c r="CA714" s="136">
        <f t="shared" si="792"/>
        <v>0</v>
      </c>
      <c r="CB714" s="136">
        <f t="shared" si="793"/>
        <v>0</v>
      </c>
      <c r="CC714" s="136">
        <f t="shared" si="794"/>
        <v>0</v>
      </c>
      <c r="CD714" s="135">
        <f t="shared" si="795"/>
        <v>0</v>
      </c>
      <c r="CE714" s="135">
        <f t="shared" si="796"/>
        <v>0</v>
      </c>
      <c r="CF714" s="134">
        <f t="shared" si="797"/>
        <v>0</v>
      </c>
      <c r="CG714" s="134">
        <f t="shared" si="798"/>
        <v>0</v>
      </c>
      <c r="CH714" s="133" t="e">
        <f t="shared" si="799"/>
        <v>#DIV/0!</v>
      </c>
    </row>
    <row r="715" spans="1:87" s="121" customFormat="1">
      <c r="A715" s="125">
        <f t="shared" si="803"/>
        <v>0</v>
      </c>
      <c r="B715" s="125"/>
      <c r="D715" s="121" t="s">
        <v>215</v>
      </c>
      <c r="G715" s="124"/>
      <c r="H715" s="124"/>
      <c r="I715" s="122"/>
      <c r="M715" s="123"/>
      <c r="N715" s="121" t="s">
        <v>4217</v>
      </c>
      <c r="O715" s="121" t="s">
        <v>258</v>
      </c>
      <c r="Q715" s="122">
        <f>3139*2.4</f>
        <v>7533.5999999999995</v>
      </c>
      <c r="R715" s="122"/>
      <c r="S715" s="122"/>
      <c r="T715" s="122"/>
      <c r="BD715" s="120"/>
      <c r="BE715" s="120">
        <f t="shared" si="804"/>
        <v>0</v>
      </c>
      <c r="BF715" s="137">
        <f t="shared" si="801"/>
        <v>0</v>
      </c>
      <c r="BG715" s="120"/>
      <c r="BH715" s="120"/>
      <c r="BI715" s="120"/>
      <c r="BJ715" s="120"/>
      <c r="BK715" s="120"/>
      <c r="BL715" s="120"/>
      <c r="BM715" s="120"/>
      <c r="BN715" s="120"/>
      <c r="BO715" s="120"/>
      <c r="BP715" s="120"/>
      <c r="BQ715" s="124"/>
      <c r="BR715" s="120"/>
      <c r="BS715" s="120"/>
      <c r="BT715" s="120"/>
      <c r="BU715" s="120"/>
      <c r="BV715" s="120"/>
      <c r="BW715" s="120"/>
      <c r="BX715" s="116"/>
      <c r="BY715" s="116"/>
      <c r="BZ715" s="136">
        <f t="shared" si="791"/>
        <v>0</v>
      </c>
      <c r="CA715" s="136">
        <f t="shared" si="792"/>
        <v>0</v>
      </c>
      <c r="CB715" s="136">
        <f t="shared" si="793"/>
        <v>0</v>
      </c>
      <c r="CC715" s="136">
        <f t="shared" si="794"/>
        <v>0</v>
      </c>
      <c r="CD715" s="135">
        <f t="shared" si="795"/>
        <v>0</v>
      </c>
      <c r="CE715" s="135">
        <f t="shared" si="796"/>
        <v>0</v>
      </c>
      <c r="CF715" s="134">
        <f t="shared" si="797"/>
        <v>0</v>
      </c>
      <c r="CG715" s="134">
        <f t="shared" si="798"/>
        <v>0</v>
      </c>
      <c r="CH715" s="133" t="e">
        <f t="shared" si="799"/>
        <v>#DIV/0!</v>
      </c>
      <c r="CI715" s="128"/>
    </row>
    <row r="716" spans="1:87" s="121" customFormat="1">
      <c r="A716" s="125">
        <f t="shared" si="803"/>
        <v>0</v>
      </c>
      <c r="B716" s="125"/>
      <c r="D716" s="121" t="s">
        <v>197</v>
      </c>
      <c r="G716" s="124"/>
      <c r="H716" s="124"/>
      <c r="I716" s="122"/>
      <c r="M716" s="123"/>
      <c r="N716" s="121" t="s">
        <v>4218</v>
      </c>
      <c r="O716" s="121" t="s">
        <v>4219</v>
      </c>
      <c r="Q716" s="122">
        <f>3065*2.4</f>
        <v>7356</v>
      </c>
      <c r="R716" s="122"/>
      <c r="S716" s="122"/>
      <c r="T716" s="122"/>
      <c r="BD716" s="120"/>
      <c r="BE716" s="120">
        <f t="shared" si="804"/>
        <v>0</v>
      </c>
      <c r="BF716" s="137">
        <f t="shared" si="801"/>
        <v>0</v>
      </c>
      <c r="BG716" s="120"/>
      <c r="BH716" s="120"/>
      <c r="BI716" s="120"/>
      <c r="BJ716" s="120"/>
      <c r="BK716" s="120"/>
      <c r="BL716" s="120"/>
      <c r="BM716" s="120"/>
      <c r="BN716" s="120"/>
      <c r="BO716" s="120"/>
      <c r="BP716" s="120"/>
      <c r="BQ716" s="124"/>
      <c r="BR716" s="120"/>
      <c r="BS716" s="120"/>
      <c r="BT716" s="120"/>
      <c r="BU716" s="120"/>
      <c r="BV716" s="120"/>
      <c r="BW716" s="120"/>
      <c r="BZ716" s="136">
        <f t="shared" si="791"/>
        <v>0</v>
      </c>
      <c r="CA716" s="136">
        <f t="shared" si="792"/>
        <v>0</v>
      </c>
      <c r="CB716" s="136">
        <f t="shared" si="793"/>
        <v>0</v>
      </c>
      <c r="CC716" s="136">
        <f t="shared" si="794"/>
        <v>0</v>
      </c>
      <c r="CD716" s="135">
        <f t="shared" si="795"/>
        <v>0</v>
      </c>
      <c r="CE716" s="135">
        <f t="shared" si="796"/>
        <v>0</v>
      </c>
      <c r="CF716" s="134">
        <f t="shared" si="797"/>
        <v>0</v>
      </c>
      <c r="CG716" s="134">
        <f t="shared" si="798"/>
        <v>0</v>
      </c>
      <c r="CH716" s="133" t="e">
        <f t="shared" si="799"/>
        <v>#DIV/0!</v>
      </c>
    </row>
    <row r="717" spans="1:87" s="121" customFormat="1">
      <c r="A717" s="125">
        <f t="shared" si="803"/>
        <v>0</v>
      </c>
      <c r="B717" s="125"/>
      <c r="D717" s="121" t="s">
        <v>197</v>
      </c>
      <c r="E717" s="229"/>
      <c r="F717" s="229"/>
      <c r="G717" s="124"/>
      <c r="H717" s="124"/>
      <c r="I717" s="122"/>
      <c r="M717" s="123"/>
      <c r="N717" s="121" t="s">
        <v>4220</v>
      </c>
      <c r="O717" s="121" t="s">
        <v>4221</v>
      </c>
      <c r="Q717" s="122">
        <f>3020*2.4</f>
        <v>7248</v>
      </c>
      <c r="R717" s="122"/>
      <c r="S717" s="122"/>
      <c r="T717" s="122"/>
      <c r="BD717" s="120"/>
      <c r="BE717" s="120">
        <f t="shared" si="804"/>
        <v>0</v>
      </c>
      <c r="BF717" s="137">
        <f t="shared" si="801"/>
        <v>0</v>
      </c>
      <c r="BG717" s="120"/>
      <c r="BH717" s="120"/>
      <c r="BI717" s="120"/>
      <c r="BJ717" s="120"/>
      <c r="BK717" s="120"/>
      <c r="BL717" s="120"/>
      <c r="BM717" s="120"/>
      <c r="BN717" s="124"/>
      <c r="BO717" s="124"/>
      <c r="BP717" s="120"/>
      <c r="BQ717" s="124"/>
      <c r="BR717" s="120"/>
      <c r="BS717" s="120"/>
      <c r="BT717" s="120"/>
      <c r="BU717" s="120"/>
      <c r="BV717" s="120"/>
      <c r="BW717" s="120"/>
      <c r="BZ717" s="136">
        <f t="shared" si="791"/>
        <v>0</v>
      </c>
      <c r="CA717" s="136">
        <f t="shared" si="792"/>
        <v>0</v>
      </c>
      <c r="CB717" s="136">
        <f t="shared" si="793"/>
        <v>0</v>
      </c>
      <c r="CC717" s="136">
        <f t="shared" si="794"/>
        <v>0</v>
      </c>
      <c r="CD717" s="135">
        <f t="shared" si="795"/>
        <v>0</v>
      </c>
      <c r="CE717" s="135">
        <f t="shared" si="796"/>
        <v>0</v>
      </c>
      <c r="CF717" s="134">
        <f t="shared" si="797"/>
        <v>0</v>
      </c>
      <c r="CG717" s="134">
        <f t="shared" si="798"/>
        <v>0</v>
      </c>
      <c r="CH717" s="133" t="e">
        <f t="shared" si="799"/>
        <v>#DIV/0!</v>
      </c>
    </row>
    <row r="718" spans="1:87" s="116" customFormat="1">
      <c r="A718" s="125">
        <f t="shared" si="803"/>
        <v>0</v>
      </c>
      <c r="B718" s="125"/>
      <c r="C718" s="121"/>
      <c r="D718" s="121" t="s">
        <v>197</v>
      </c>
      <c r="E718" s="121"/>
      <c r="F718" s="121"/>
      <c r="G718" s="124"/>
      <c r="H718" s="124"/>
      <c r="I718" s="122"/>
      <c r="J718" s="121"/>
      <c r="K718" s="121"/>
      <c r="L718" s="121"/>
      <c r="M718" s="123"/>
      <c r="N718" s="121" t="s">
        <v>4171</v>
      </c>
      <c r="O718" s="121" t="s">
        <v>365</v>
      </c>
      <c r="P718" s="121"/>
      <c r="Q718" s="122">
        <f>3142*2.4</f>
        <v>7540.7999999999993</v>
      </c>
      <c r="R718" s="122"/>
      <c r="S718" s="122"/>
      <c r="T718" s="122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  <c r="AL718" s="121"/>
      <c r="AM718" s="121"/>
      <c r="AN718" s="121"/>
      <c r="AO718" s="121"/>
      <c r="AP718" s="121"/>
      <c r="AQ718" s="121"/>
      <c r="AR718" s="121"/>
      <c r="AS718" s="121"/>
      <c r="AT718" s="121"/>
      <c r="AU718" s="121"/>
      <c r="AV718" s="121"/>
      <c r="AW718" s="121"/>
      <c r="AX718" s="121"/>
      <c r="AY718" s="121"/>
      <c r="AZ718" s="121"/>
      <c r="BA718" s="121"/>
      <c r="BB718" s="121"/>
      <c r="BC718" s="121"/>
      <c r="BD718" s="120"/>
      <c r="BE718" s="120">
        <f t="shared" si="804"/>
        <v>0</v>
      </c>
      <c r="BF718" s="137">
        <f t="shared" si="801"/>
        <v>0</v>
      </c>
      <c r="BG718" s="120"/>
      <c r="BH718" s="120"/>
      <c r="BI718" s="120"/>
      <c r="BJ718" s="120"/>
      <c r="BK718" s="120"/>
      <c r="BL718" s="120"/>
      <c r="BM718" s="120"/>
      <c r="BN718" s="124"/>
      <c r="BO718" s="124"/>
      <c r="BP718" s="120"/>
      <c r="BQ718" s="124"/>
      <c r="BR718" s="120"/>
      <c r="BS718" s="120"/>
      <c r="BT718" s="120"/>
      <c r="BU718" s="120"/>
      <c r="BV718" s="120"/>
      <c r="BW718" s="120"/>
      <c r="BX718" s="127"/>
      <c r="BY718" s="127"/>
      <c r="BZ718" s="136">
        <f t="shared" si="791"/>
        <v>0</v>
      </c>
      <c r="CA718" s="136">
        <f t="shared" si="792"/>
        <v>0</v>
      </c>
      <c r="CB718" s="136">
        <f t="shared" si="793"/>
        <v>0</v>
      </c>
      <c r="CC718" s="136">
        <f t="shared" si="794"/>
        <v>0</v>
      </c>
      <c r="CD718" s="135">
        <f t="shared" si="795"/>
        <v>0</v>
      </c>
      <c r="CE718" s="135">
        <f t="shared" si="796"/>
        <v>0</v>
      </c>
      <c r="CF718" s="134">
        <f t="shared" si="797"/>
        <v>0</v>
      </c>
      <c r="CG718" s="134">
        <f t="shared" si="798"/>
        <v>0</v>
      </c>
      <c r="CH718" s="133" t="e">
        <f t="shared" si="799"/>
        <v>#DIV/0!</v>
      </c>
      <c r="CI718" s="121"/>
    </row>
    <row r="719" spans="1:87" s="128" customFormat="1">
      <c r="A719" s="125">
        <f t="shared" si="803"/>
        <v>0</v>
      </c>
      <c r="B719" s="125"/>
      <c r="C719" s="121"/>
      <c r="D719" s="121" t="s">
        <v>197</v>
      </c>
      <c r="E719" s="121"/>
      <c r="F719" s="121"/>
      <c r="G719" s="124"/>
      <c r="H719" s="124"/>
      <c r="I719" s="122"/>
      <c r="J719" s="121"/>
      <c r="K719" s="121"/>
      <c r="L719" s="121"/>
      <c r="M719" s="123"/>
      <c r="N719" s="121" t="s">
        <v>4222</v>
      </c>
      <c r="O719" s="121" t="s">
        <v>1973</v>
      </c>
      <c r="P719" s="121"/>
      <c r="Q719" s="122">
        <f>3107*2.4</f>
        <v>7456.7999999999993</v>
      </c>
      <c r="R719" s="122"/>
      <c r="S719" s="122"/>
      <c r="T719" s="122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  <c r="AL719" s="121"/>
      <c r="AM719" s="121"/>
      <c r="AN719" s="121"/>
      <c r="AO719" s="121"/>
      <c r="AP719" s="121"/>
      <c r="AQ719" s="121"/>
      <c r="AR719" s="121"/>
      <c r="AS719" s="121"/>
      <c r="AT719" s="121"/>
      <c r="AU719" s="121"/>
      <c r="AV719" s="121"/>
      <c r="AW719" s="121"/>
      <c r="AX719" s="121"/>
      <c r="AY719" s="121"/>
      <c r="AZ719" s="121"/>
      <c r="BA719" s="121"/>
      <c r="BB719" s="121"/>
      <c r="BC719" s="121"/>
      <c r="BD719" s="120"/>
      <c r="BE719" s="120">
        <f t="shared" si="804"/>
        <v>0</v>
      </c>
      <c r="BF719" s="137">
        <f t="shared" si="801"/>
        <v>0</v>
      </c>
      <c r="BG719" s="120"/>
      <c r="BH719" s="120"/>
      <c r="BI719" s="120"/>
      <c r="BJ719" s="120"/>
      <c r="BK719" s="120"/>
      <c r="BL719" s="120"/>
      <c r="BM719" s="120"/>
      <c r="BN719" s="120"/>
      <c r="BO719" s="120"/>
      <c r="BP719" s="120"/>
      <c r="BQ719" s="124"/>
      <c r="BR719" s="120"/>
      <c r="BS719" s="120"/>
      <c r="BT719" s="120"/>
      <c r="BU719" s="120"/>
      <c r="BV719" s="120"/>
      <c r="BW719" s="120"/>
      <c r="BX719" s="121"/>
      <c r="BY719" s="121"/>
      <c r="BZ719" s="136">
        <f t="shared" ref="BZ719:BZ782" si="805">(BI719-BH719)*24</f>
        <v>0</v>
      </c>
      <c r="CA719" s="136">
        <f t="shared" ref="CA719:CA782" si="806">(BK719-BJ719)*24</f>
        <v>0</v>
      </c>
      <c r="CB719" s="136">
        <f t="shared" ref="CB719:CB782" si="807">(BN719-BM719)*24</f>
        <v>0</v>
      </c>
      <c r="CC719" s="136">
        <f t="shared" ref="CC719:CC782" si="808">(BR719-BP719)*24</f>
        <v>0</v>
      </c>
      <c r="CD719" s="135">
        <f t="shared" ref="CD719:CD782" si="809">(BT719-BS719)*24</f>
        <v>0</v>
      </c>
      <c r="CE719" s="135">
        <f t="shared" ref="CE719:CE782" si="810">(BW719-BV719)*24</f>
        <v>0</v>
      </c>
      <c r="CF719" s="134">
        <f t="shared" ref="CF719:CF782" si="811">SUM(BZ719:CE719)/24</f>
        <v>0</v>
      </c>
      <c r="CG719" s="134">
        <f t="shared" ref="CG719:CG782" si="812">BF719</f>
        <v>0</v>
      </c>
      <c r="CH719" s="133" t="e">
        <f t="shared" ref="CH719:CH782" si="813">CF719/CG719</f>
        <v>#DIV/0!</v>
      </c>
      <c r="CI719" s="116"/>
    </row>
    <row r="720" spans="1:87" s="128" customFormat="1">
      <c r="A720" s="125">
        <f t="shared" si="803"/>
        <v>0</v>
      </c>
      <c r="B720" s="125"/>
      <c r="C720" s="121"/>
      <c r="D720" s="121" t="s">
        <v>197</v>
      </c>
      <c r="E720" s="121"/>
      <c r="F720" s="121"/>
      <c r="G720" s="124"/>
      <c r="H720" s="124"/>
      <c r="I720" s="122"/>
      <c r="J720" s="121"/>
      <c r="K720" s="121"/>
      <c r="L720" s="121"/>
      <c r="M720" s="123"/>
      <c r="N720" s="121" t="s">
        <v>4166</v>
      </c>
      <c r="O720" s="121" t="s">
        <v>4167</v>
      </c>
      <c r="P720" s="121"/>
      <c r="Q720" s="122">
        <f>3142*2.4</f>
        <v>7540.7999999999993</v>
      </c>
      <c r="R720" s="122"/>
      <c r="S720" s="122"/>
      <c r="T720" s="122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  <c r="AL720" s="121"/>
      <c r="AM720" s="121"/>
      <c r="AN720" s="121"/>
      <c r="AO720" s="121"/>
      <c r="AP720" s="121"/>
      <c r="AQ720" s="121"/>
      <c r="AR720" s="121"/>
      <c r="AS720" s="121"/>
      <c r="AT720" s="121"/>
      <c r="AU720" s="121"/>
      <c r="AV720" s="121"/>
      <c r="AW720" s="121"/>
      <c r="AX720" s="121"/>
      <c r="AY720" s="121"/>
      <c r="AZ720" s="121"/>
      <c r="BA720" s="121"/>
      <c r="BB720" s="121"/>
      <c r="BC720" s="121"/>
      <c r="BD720" s="120"/>
      <c r="BE720" s="120">
        <f t="shared" si="804"/>
        <v>0</v>
      </c>
      <c r="BF720" s="137">
        <f t="shared" si="801"/>
        <v>0</v>
      </c>
      <c r="BG720" s="120"/>
      <c r="BH720" s="120"/>
      <c r="BI720" s="120"/>
      <c r="BJ720" s="120"/>
      <c r="BK720" s="120"/>
      <c r="BL720" s="120"/>
      <c r="BM720" s="120"/>
      <c r="BN720" s="120"/>
      <c r="BO720" s="120"/>
      <c r="BP720" s="120"/>
      <c r="BQ720" s="124"/>
      <c r="BR720" s="120"/>
      <c r="BS720" s="120"/>
      <c r="BT720" s="120"/>
      <c r="BU720" s="120"/>
      <c r="BV720" s="120"/>
      <c r="BW720" s="120"/>
      <c r="BX720" s="121"/>
      <c r="BY720" s="121"/>
      <c r="BZ720" s="136">
        <f t="shared" si="805"/>
        <v>0</v>
      </c>
      <c r="CA720" s="136">
        <f t="shared" si="806"/>
        <v>0</v>
      </c>
      <c r="CB720" s="136">
        <f t="shared" si="807"/>
        <v>0</v>
      </c>
      <c r="CC720" s="136">
        <f t="shared" si="808"/>
        <v>0</v>
      </c>
      <c r="CD720" s="135">
        <f t="shared" si="809"/>
        <v>0</v>
      </c>
      <c r="CE720" s="135">
        <f t="shared" si="810"/>
        <v>0</v>
      </c>
      <c r="CF720" s="134">
        <f t="shared" si="811"/>
        <v>0</v>
      </c>
      <c r="CG720" s="134">
        <f t="shared" si="812"/>
        <v>0</v>
      </c>
      <c r="CH720" s="133" t="e">
        <f t="shared" si="813"/>
        <v>#DIV/0!</v>
      </c>
    </row>
    <row r="721" spans="1:87" s="121" customFormat="1">
      <c r="A721" s="125">
        <f t="shared" si="803"/>
        <v>0</v>
      </c>
      <c r="B721" s="125"/>
      <c r="D721" s="121" t="s">
        <v>215</v>
      </c>
      <c r="G721" s="124"/>
      <c r="H721" s="124"/>
      <c r="I721" s="122"/>
      <c r="M721" s="123"/>
      <c r="N721" s="121" t="s">
        <v>222</v>
      </c>
      <c r="O721" s="121" t="s">
        <v>223</v>
      </c>
      <c r="Q721" s="122">
        <f>3140*2.4</f>
        <v>7536</v>
      </c>
      <c r="R721" s="122"/>
      <c r="S721" s="122"/>
      <c r="T721" s="122"/>
      <c r="BD721" s="120"/>
      <c r="BE721" s="120">
        <f t="shared" si="804"/>
        <v>0</v>
      </c>
      <c r="BF721" s="137">
        <f t="shared" si="801"/>
        <v>0</v>
      </c>
      <c r="BG721" s="120"/>
      <c r="BH721" s="120"/>
      <c r="BI721" s="120"/>
      <c r="BJ721" s="120"/>
      <c r="BK721" s="120"/>
      <c r="BL721" s="120"/>
      <c r="BM721" s="120"/>
      <c r="BN721" s="124"/>
      <c r="BO721" s="124"/>
      <c r="BP721" s="120"/>
      <c r="BQ721" s="124"/>
      <c r="BR721" s="120"/>
      <c r="BS721" s="120"/>
      <c r="BT721" s="120"/>
      <c r="BU721" s="120"/>
      <c r="BV721" s="120"/>
      <c r="BW721" s="120"/>
      <c r="BX721" s="127"/>
      <c r="BY721" s="127"/>
      <c r="BZ721" s="136">
        <f t="shared" si="805"/>
        <v>0</v>
      </c>
      <c r="CA721" s="136">
        <f t="shared" si="806"/>
        <v>0</v>
      </c>
      <c r="CB721" s="136">
        <f t="shared" si="807"/>
        <v>0</v>
      </c>
      <c r="CC721" s="136">
        <f t="shared" si="808"/>
        <v>0</v>
      </c>
      <c r="CD721" s="135">
        <f t="shared" si="809"/>
        <v>0</v>
      </c>
      <c r="CE721" s="135">
        <f t="shared" si="810"/>
        <v>0</v>
      </c>
      <c r="CF721" s="134">
        <f t="shared" si="811"/>
        <v>0</v>
      </c>
      <c r="CG721" s="134">
        <f t="shared" si="812"/>
        <v>0</v>
      </c>
      <c r="CH721" s="133" t="e">
        <f t="shared" si="813"/>
        <v>#DIV/0!</v>
      </c>
      <c r="CI721" s="128"/>
    </row>
    <row r="722" spans="1:87" s="121" customFormat="1">
      <c r="A722" s="125">
        <f t="shared" si="803"/>
        <v>0</v>
      </c>
      <c r="B722" s="125"/>
      <c r="D722" s="121" t="s">
        <v>215</v>
      </c>
      <c r="G722" s="124"/>
      <c r="H722" s="124"/>
      <c r="I722" s="122"/>
      <c r="M722" s="123"/>
      <c r="N722" s="121" t="s">
        <v>403</v>
      </c>
      <c r="O722" s="121" t="s">
        <v>404</v>
      </c>
      <c r="Q722" s="122">
        <f>3107*2.4</f>
        <v>7456.7999999999993</v>
      </c>
      <c r="R722" s="122"/>
      <c r="S722" s="122"/>
      <c r="T722" s="122"/>
      <c r="BD722" s="120"/>
      <c r="BE722" s="120">
        <f t="shared" si="804"/>
        <v>0</v>
      </c>
      <c r="BF722" s="137">
        <f t="shared" si="801"/>
        <v>0</v>
      </c>
      <c r="BG722" s="120"/>
      <c r="BH722" s="120"/>
      <c r="BI722" s="120"/>
      <c r="BJ722" s="120"/>
      <c r="BK722" s="120"/>
      <c r="BL722" s="120"/>
      <c r="BM722" s="120"/>
      <c r="BN722" s="124"/>
      <c r="BO722" s="124"/>
      <c r="BP722" s="120"/>
      <c r="BQ722" s="124"/>
      <c r="BR722" s="120"/>
      <c r="BS722" s="120"/>
      <c r="BT722" s="120"/>
      <c r="BU722" s="120"/>
      <c r="BV722" s="120"/>
      <c r="BW722" s="120"/>
      <c r="BZ722" s="136">
        <f t="shared" si="805"/>
        <v>0</v>
      </c>
      <c r="CA722" s="136">
        <f t="shared" si="806"/>
        <v>0</v>
      </c>
      <c r="CB722" s="136">
        <f t="shared" si="807"/>
        <v>0</v>
      </c>
      <c r="CC722" s="136">
        <f t="shared" si="808"/>
        <v>0</v>
      </c>
      <c r="CD722" s="135">
        <f t="shared" si="809"/>
        <v>0</v>
      </c>
      <c r="CE722" s="135">
        <f t="shared" si="810"/>
        <v>0</v>
      </c>
      <c r="CF722" s="134">
        <f t="shared" si="811"/>
        <v>0</v>
      </c>
      <c r="CG722" s="134">
        <f t="shared" si="812"/>
        <v>0</v>
      </c>
      <c r="CH722" s="133" t="e">
        <f t="shared" si="813"/>
        <v>#DIV/0!</v>
      </c>
    </row>
    <row r="723" spans="1:87" s="121" customFormat="1">
      <c r="A723" s="125">
        <f t="shared" si="803"/>
        <v>0</v>
      </c>
      <c r="B723" s="125"/>
      <c r="D723" s="121" t="s">
        <v>197</v>
      </c>
      <c r="G723" s="124"/>
      <c r="H723" s="124"/>
      <c r="I723" s="122"/>
      <c r="M723" s="123"/>
      <c r="N723" s="121" t="s">
        <v>367</v>
      </c>
      <c r="O723" s="121" t="s">
        <v>328</v>
      </c>
      <c r="Q723" s="122">
        <f>3142*2.4</f>
        <v>7540.7999999999993</v>
      </c>
      <c r="R723" s="122"/>
      <c r="S723" s="122"/>
      <c r="T723" s="122"/>
      <c r="BD723" s="120"/>
      <c r="BE723" s="120">
        <f t="shared" si="804"/>
        <v>0</v>
      </c>
      <c r="BF723" s="137">
        <f t="shared" si="801"/>
        <v>0</v>
      </c>
      <c r="BG723" s="120"/>
      <c r="BH723" s="120"/>
      <c r="BI723" s="120"/>
      <c r="BJ723" s="120"/>
      <c r="BK723" s="120"/>
      <c r="BL723" s="120"/>
      <c r="BM723" s="120"/>
      <c r="BN723" s="124"/>
      <c r="BO723" s="124"/>
      <c r="BP723" s="120"/>
      <c r="BQ723" s="124"/>
      <c r="BR723" s="120"/>
      <c r="BS723" s="120"/>
      <c r="BT723" s="120"/>
      <c r="BU723" s="120"/>
      <c r="BV723" s="120"/>
      <c r="BW723" s="120"/>
      <c r="BZ723" s="136">
        <f t="shared" si="805"/>
        <v>0</v>
      </c>
      <c r="CA723" s="136">
        <f t="shared" si="806"/>
        <v>0</v>
      </c>
      <c r="CB723" s="136">
        <f t="shared" si="807"/>
        <v>0</v>
      </c>
      <c r="CC723" s="136">
        <f t="shared" si="808"/>
        <v>0</v>
      </c>
      <c r="CD723" s="135">
        <f t="shared" si="809"/>
        <v>0</v>
      </c>
      <c r="CE723" s="135">
        <f t="shared" si="810"/>
        <v>0</v>
      </c>
      <c r="CF723" s="134">
        <f t="shared" si="811"/>
        <v>0</v>
      </c>
      <c r="CG723" s="134">
        <f t="shared" si="812"/>
        <v>0</v>
      </c>
      <c r="CH723" s="133" t="e">
        <f t="shared" si="813"/>
        <v>#DIV/0!</v>
      </c>
    </row>
    <row r="724" spans="1:87" s="121" customFormat="1">
      <c r="A724" s="125">
        <f t="shared" si="803"/>
        <v>0</v>
      </c>
      <c r="B724" s="125"/>
      <c r="D724" s="121" t="s">
        <v>197</v>
      </c>
      <c r="G724" s="124"/>
      <c r="H724" s="124"/>
      <c r="I724" s="122"/>
      <c r="M724" s="123"/>
      <c r="N724" s="121" t="s">
        <v>4218</v>
      </c>
      <c r="O724" s="121" t="s">
        <v>4221</v>
      </c>
      <c r="Q724" s="122">
        <f>3020*2.4</f>
        <v>7248</v>
      </c>
      <c r="R724" s="122"/>
      <c r="S724" s="122"/>
      <c r="T724" s="122"/>
      <c r="BE724" s="120">
        <f t="shared" si="804"/>
        <v>0</v>
      </c>
      <c r="BF724" s="137">
        <f t="shared" si="801"/>
        <v>0</v>
      </c>
      <c r="BH724" s="120"/>
      <c r="BI724" s="120"/>
      <c r="BJ724" s="120"/>
      <c r="BK724" s="120"/>
      <c r="BL724" s="120"/>
      <c r="BM724" s="120"/>
      <c r="BN724" s="120"/>
      <c r="BO724" s="120"/>
      <c r="BP724" s="120"/>
      <c r="BQ724" s="124"/>
      <c r="BR724" s="120"/>
      <c r="BS724" s="120"/>
      <c r="BT724" s="120"/>
      <c r="BU724" s="120"/>
      <c r="BV724" s="120"/>
      <c r="BW724" s="120"/>
      <c r="BZ724" s="136">
        <f t="shared" si="805"/>
        <v>0</v>
      </c>
      <c r="CA724" s="136">
        <f t="shared" si="806"/>
        <v>0</v>
      </c>
      <c r="CB724" s="136">
        <f t="shared" si="807"/>
        <v>0</v>
      </c>
      <c r="CC724" s="136">
        <f t="shared" si="808"/>
        <v>0</v>
      </c>
      <c r="CD724" s="135">
        <f t="shared" si="809"/>
        <v>0</v>
      </c>
      <c r="CE724" s="135">
        <f t="shared" si="810"/>
        <v>0</v>
      </c>
      <c r="CF724" s="134">
        <f t="shared" si="811"/>
        <v>0</v>
      </c>
      <c r="CG724" s="134">
        <f t="shared" si="812"/>
        <v>0</v>
      </c>
      <c r="CH724" s="133" t="e">
        <f t="shared" si="813"/>
        <v>#DIV/0!</v>
      </c>
    </row>
    <row r="725" spans="1:87" s="121" customFormat="1">
      <c r="A725" s="125">
        <f t="shared" si="803"/>
        <v>0</v>
      </c>
      <c r="B725" s="125"/>
      <c r="D725" s="121" t="s">
        <v>197</v>
      </c>
      <c r="G725" s="124"/>
      <c r="H725" s="124"/>
      <c r="I725" s="122"/>
      <c r="M725" s="123"/>
      <c r="N725" s="121" t="s">
        <v>4223</v>
      </c>
      <c r="O725" s="121" t="s">
        <v>4183</v>
      </c>
      <c r="Q725" s="122">
        <f>3107*2.4</f>
        <v>7456.7999999999993</v>
      </c>
      <c r="R725" s="122"/>
      <c r="S725" s="122"/>
      <c r="T725" s="122"/>
      <c r="BD725" s="120"/>
      <c r="BE725" s="120">
        <f t="shared" si="804"/>
        <v>0</v>
      </c>
      <c r="BF725" s="137">
        <f t="shared" si="801"/>
        <v>0</v>
      </c>
      <c r="BG725" s="120"/>
      <c r="BH725" s="120"/>
      <c r="BI725" s="120"/>
      <c r="BJ725" s="120"/>
      <c r="BK725" s="120"/>
      <c r="BL725" s="120"/>
      <c r="BM725" s="120"/>
      <c r="BN725" s="120"/>
      <c r="BO725" s="120"/>
      <c r="BP725" s="120"/>
      <c r="BQ725" s="124"/>
      <c r="BR725" s="120"/>
      <c r="BS725" s="120"/>
      <c r="BT725" s="120"/>
      <c r="BU725" s="120"/>
      <c r="BV725" s="120"/>
      <c r="BW725" s="120"/>
      <c r="BX725" s="120"/>
      <c r="BY725" s="120"/>
      <c r="BZ725" s="136">
        <f t="shared" si="805"/>
        <v>0</v>
      </c>
      <c r="CA725" s="136">
        <f t="shared" si="806"/>
        <v>0</v>
      </c>
      <c r="CB725" s="136">
        <f t="shared" si="807"/>
        <v>0</v>
      </c>
      <c r="CC725" s="136">
        <f t="shared" si="808"/>
        <v>0</v>
      </c>
      <c r="CD725" s="135">
        <f t="shared" si="809"/>
        <v>0</v>
      </c>
      <c r="CE725" s="135">
        <f t="shared" si="810"/>
        <v>0</v>
      </c>
      <c r="CF725" s="134">
        <f t="shared" si="811"/>
        <v>0</v>
      </c>
      <c r="CG725" s="134">
        <f t="shared" si="812"/>
        <v>0</v>
      </c>
      <c r="CH725" s="133" t="e">
        <f t="shared" si="813"/>
        <v>#DIV/0!</v>
      </c>
    </row>
    <row r="726" spans="1:87" s="121" customFormat="1">
      <c r="A726" s="125">
        <f t="shared" si="803"/>
        <v>0</v>
      </c>
      <c r="B726" s="125"/>
      <c r="D726" s="121" t="s">
        <v>215</v>
      </c>
      <c r="G726" s="124"/>
      <c r="H726" s="124"/>
      <c r="I726" s="122"/>
      <c r="M726" s="123"/>
      <c r="N726" s="121" t="s">
        <v>4210</v>
      </c>
      <c r="O726" s="121" t="s">
        <v>4211</v>
      </c>
      <c r="Q726" s="122">
        <f>3145*2.4</f>
        <v>7548</v>
      </c>
      <c r="R726" s="122"/>
      <c r="S726" s="122"/>
      <c r="T726" s="122"/>
      <c r="BD726" s="120"/>
      <c r="BE726" s="120">
        <f t="shared" si="804"/>
        <v>0</v>
      </c>
      <c r="BF726" s="137">
        <f t="shared" si="801"/>
        <v>0</v>
      </c>
      <c r="BG726" s="120"/>
      <c r="BH726" s="120"/>
      <c r="BI726" s="120"/>
      <c r="BJ726" s="120"/>
      <c r="BK726" s="120"/>
      <c r="BL726" s="120"/>
      <c r="BM726" s="120"/>
      <c r="BN726" s="120"/>
      <c r="BO726" s="120"/>
      <c r="BP726" s="120"/>
      <c r="BQ726" s="124"/>
      <c r="BR726" s="120"/>
      <c r="BS726" s="120"/>
      <c r="BT726" s="120"/>
      <c r="BU726" s="120"/>
      <c r="BV726" s="120"/>
      <c r="BW726" s="120"/>
      <c r="BZ726" s="136">
        <f t="shared" si="805"/>
        <v>0</v>
      </c>
      <c r="CA726" s="136">
        <f t="shared" si="806"/>
        <v>0</v>
      </c>
      <c r="CB726" s="136">
        <f t="shared" si="807"/>
        <v>0</v>
      </c>
      <c r="CC726" s="136">
        <f t="shared" si="808"/>
        <v>0</v>
      </c>
      <c r="CD726" s="135">
        <f t="shared" si="809"/>
        <v>0</v>
      </c>
      <c r="CE726" s="135">
        <f t="shared" si="810"/>
        <v>0</v>
      </c>
      <c r="CF726" s="134">
        <f t="shared" si="811"/>
        <v>0</v>
      </c>
      <c r="CG726" s="134">
        <f t="shared" si="812"/>
        <v>0</v>
      </c>
      <c r="CH726" s="133" t="e">
        <f t="shared" si="813"/>
        <v>#DIV/0!</v>
      </c>
    </row>
    <row r="727" spans="1:87" s="116" customFormat="1">
      <c r="A727" s="125">
        <f t="shared" si="803"/>
        <v>0</v>
      </c>
      <c r="B727" s="125"/>
      <c r="C727" s="121"/>
      <c r="D727" s="121" t="s">
        <v>215</v>
      </c>
      <c r="E727" s="128"/>
      <c r="F727" s="128"/>
      <c r="G727" s="124"/>
      <c r="H727" s="124"/>
      <c r="I727" s="122"/>
      <c r="J727" s="128"/>
      <c r="K727" s="128"/>
      <c r="L727" s="128"/>
      <c r="M727" s="224"/>
      <c r="N727" s="121" t="s">
        <v>4224</v>
      </c>
      <c r="O727" s="121" t="s">
        <v>4209</v>
      </c>
      <c r="P727" s="128"/>
      <c r="Q727" s="122">
        <f>3109*2.4</f>
        <v>7461.5999999999995</v>
      </c>
      <c r="R727" s="122"/>
      <c r="S727" s="122"/>
      <c r="T727" s="122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  <c r="AL727" s="121"/>
      <c r="AM727" s="121"/>
      <c r="AN727" s="121"/>
      <c r="AO727" s="121"/>
      <c r="AP727" s="121"/>
      <c r="AQ727" s="121"/>
      <c r="AR727" s="121"/>
      <c r="AS727" s="121"/>
      <c r="AT727" s="121"/>
      <c r="AU727" s="121"/>
      <c r="AV727" s="121"/>
      <c r="AW727" s="121"/>
      <c r="AX727" s="121"/>
      <c r="AY727" s="121"/>
      <c r="AZ727" s="121"/>
      <c r="BA727" s="121"/>
      <c r="BB727" s="121"/>
      <c r="BC727" s="121"/>
      <c r="BD727" s="120"/>
      <c r="BE727" s="120">
        <f t="shared" si="804"/>
        <v>0</v>
      </c>
      <c r="BF727" s="137">
        <f t="shared" ref="BF727:BF790" si="814">BE727-BD727</f>
        <v>0</v>
      </c>
      <c r="BG727" s="120"/>
      <c r="BH727" s="120"/>
      <c r="BI727" s="120"/>
      <c r="BJ727" s="120"/>
      <c r="BK727" s="120"/>
      <c r="BL727" s="120"/>
      <c r="BM727" s="120"/>
      <c r="BN727" s="120"/>
      <c r="BO727" s="120"/>
      <c r="BP727" s="120"/>
      <c r="BQ727" s="124"/>
      <c r="BR727" s="120"/>
      <c r="BS727" s="120"/>
      <c r="BT727" s="120"/>
      <c r="BU727" s="120"/>
      <c r="BV727" s="120"/>
      <c r="BW727" s="120"/>
      <c r="BX727" s="121"/>
      <c r="BY727" s="121"/>
      <c r="BZ727" s="136">
        <f t="shared" si="805"/>
        <v>0</v>
      </c>
      <c r="CA727" s="136">
        <f t="shared" si="806"/>
        <v>0</v>
      </c>
      <c r="CB727" s="136">
        <f t="shared" si="807"/>
        <v>0</v>
      </c>
      <c r="CC727" s="136">
        <f t="shared" si="808"/>
        <v>0</v>
      </c>
      <c r="CD727" s="135">
        <f t="shared" si="809"/>
        <v>0</v>
      </c>
      <c r="CE727" s="135">
        <f t="shared" si="810"/>
        <v>0</v>
      </c>
      <c r="CF727" s="134">
        <f t="shared" si="811"/>
        <v>0</v>
      </c>
      <c r="CG727" s="134">
        <f t="shared" si="812"/>
        <v>0</v>
      </c>
      <c r="CH727" s="133" t="e">
        <f t="shared" si="813"/>
        <v>#DIV/0!</v>
      </c>
      <c r="CI727" s="121"/>
    </row>
    <row r="728" spans="1:87" s="116" customFormat="1">
      <c r="A728" s="125">
        <f t="shared" si="803"/>
        <v>0</v>
      </c>
      <c r="B728" s="125"/>
      <c r="C728" s="121"/>
      <c r="D728" s="121" t="s">
        <v>197</v>
      </c>
      <c r="E728" s="121"/>
      <c r="F728" s="121"/>
      <c r="G728" s="124"/>
      <c r="H728" s="124"/>
      <c r="I728" s="122"/>
      <c r="J728" s="121"/>
      <c r="K728" s="121"/>
      <c r="L728" s="121"/>
      <c r="M728" s="123"/>
      <c r="N728" s="121" t="s">
        <v>367</v>
      </c>
      <c r="O728" s="121" t="s">
        <v>255</v>
      </c>
      <c r="P728" s="121"/>
      <c r="Q728" s="122">
        <f>3142*2.4</f>
        <v>7540.7999999999993</v>
      </c>
      <c r="R728" s="122"/>
      <c r="S728" s="122"/>
      <c r="T728" s="122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/>
      <c r="AX728" s="121"/>
      <c r="AY728" s="121"/>
      <c r="AZ728" s="121"/>
      <c r="BA728" s="121"/>
      <c r="BB728" s="121"/>
      <c r="BC728" s="121"/>
      <c r="BD728" s="120"/>
      <c r="BE728" s="120">
        <f t="shared" si="804"/>
        <v>0</v>
      </c>
      <c r="BF728" s="137">
        <f t="shared" si="814"/>
        <v>0</v>
      </c>
      <c r="BG728" s="120"/>
      <c r="BH728" s="120"/>
      <c r="BI728" s="120"/>
      <c r="BJ728" s="120"/>
      <c r="BK728" s="120"/>
      <c r="BL728" s="120"/>
      <c r="BM728" s="120"/>
      <c r="BN728" s="120"/>
      <c r="BO728" s="120"/>
      <c r="BP728" s="120"/>
      <c r="BQ728" s="124"/>
      <c r="BR728" s="120"/>
      <c r="BS728" s="120"/>
      <c r="BT728" s="120"/>
      <c r="BU728" s="120"/>
      <c r="BV728" s="120"/>
      <c r="BW728" s="120"/>
      <c r="BX728" s="121"/>
      <c r="BY728" s="121"/>
      <c r="BZ728" s="136">
        <f t="shared" si="805"/>
        <v>0</v>
      </c>
      <c r="CA728" s="136">
        <f t="shared" si="806"/>
        <v>0</v>
      </c>
      <c r="CB728" s="136">
        <f t="shared" si="807"/>
        <v>0</v>
      </c>
      <c r="CC728" s="136">
        <f t="shared" si="808"/>
        <v>0</v>
      </c>
      <c r="CD728" s="135">
        <f t="shared" si="809"/>
        <v>0</v>
      </c>
      <c r="CE728" s="135">
        <f t="shared" si="810"/>
        <v>0</v>
      </c>
      <c r="CF728" s="134">
        <f t="shared" si="811"/>
        <v>0</v>
      </c>
      <c r="CG728" s="134">
        <f t="shared" si="812"/>
        <v>0</v>
      </c>
      <c r="CH728" s="133" t="e">
        <f t="shared" si="813"/>
        <v>#DIV/0!</v>
      </c>
    </row>
    <row r="729" spans="1:87" s="116" customFormat="1">
      <c r="A729" s="125">
        <f t="shared" si="803"/>
        <v>0</v>
      </c>
      <c r="B729" s="221"/>
      <c r="C729" s="128"/>
      <c r="D729" s="128" t="s">
        <v>197</v>
      </c>
      <c r="E729" s="128"/>
      <c r="F729" s="128"/>
      <c r="G729" s="222"/>
      <c r="H729" s="222"/>
      <c r="I729" s="223"/>
      <c r="J729" s="128"/>
      <c r="K729" s="128"/>
      <c r="L729" s="128"/>
      <c r="M729" s="224"/>
      <c r="N729" s="128" t="s">
        <v>816</v>
      </c>
      <c r="O729" s="128" t="s">
        <v>4225</v>
      </c>
      <c r="P729" s="128"/>
      <c r="Q729" s="223">
        <f>2133*2.4</f>
        <v>5119.2</v>
      </c>
      <c r="R729" s="223"/>
      <c r="S729" s="223"/>
      <c r="T729" s="223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225"/>
      <c r="BE729" s="120">
        <f t="shared" si="804"/>
        <v>0</v>
      </c>
      <c r="BF729" s="137">
        <f t="shared" si="814"/>
        <v>0</v>
      </c>
      <c r="BG729" s="225"/>
      <c r="BH729" s="225"/>
      <c r="BI729" s="225"/>
      <c r="BJ729" s="225"/>
      <c r="BK729" s="225"/>
      <c r="BL729" s="225"/>
      <c r="BM729" s="225"/>
      <c r="BN729" s="222"/>
      <c r="BO729" s="222"/>
      <c r="BP729" s="120"/>
      <c r="BQ729" s="222"/>
      <c r="BR729" s="225"/>
      <c r="BS729" s="225"/>
      <c r="BT729" s="225"/>
      <c r="BU729" s="225"/>
      <c r="BV729" s="225"/>
      <c r="BW729" s="225"/>
      <c r="BX729" s="128"/>
      <c r="BY729" s="128"/>
      <c r="BZ729" s="136">
        <f t="shared" si="805"/>
        <v>0</v>
      </c>
      <c r="CA729" s="136">
        <f t="shared" si="806"/>
        <v>0</v>
      </c>
      <c r="CB729" s="136">
        <f t="shared" si="807"/>
        <v>0</v>
      </c>
      <c r="CC729" s="136">
        <f t="shared" si="808"/>
        <v>0</v>
      </c>
      <c r="CD729" s="135">
        <f t="shared" si="809"/>
        <v>0</v>
      </c>
      <c r="CE729" s="135">
        <f t="shared" si="810"/>
        <v>0</v>
      </c>
      <c r="CF729" s="134">
        <f t="shared" si="811"/>
        <v>0</v>
      </c>
      <c r="CG729" s="134">
        <f t="shared" si="812"/>
        <v>0</v>
      </c>
      <c r="CH729" s="133" t="e">
        <f t="shared" si="813"/>
        <v>#DIV/0!</v>
      </c>
    </row>
    <row r="730" spans="1:87" s="121" customFormat="1">
      <c r="A730" s="125">
        <f t="shared" si="803"/>
        <v>0</v>
      </c>
      <c r="B730" s="125"/>
      <c r="D730" s="121" t="s">
        <v>197</v>
      </c>
      <c r="G730" s="124"/>
      <c r="H730" s="124"/>
      <c r="I730" s="122"/>
      <c r="M730" s="123"/>
      <c r="N730" s="121" t="s">
        <v>4220</v>
      </c>
      <c r="O730" s="121" t="s">
        <v>4219</v>
      </c>
      <c r="Q730" s="122">
        <f>3065*2.4</f>
        <v>7356</v>
      </c>
      <c r="R730" s="122"/>
      <c r="S730" s="122"/>
      <c r="T730" s="122"/>
      <c r="BD730" s="120"/>
      <c r="BE730" s="120">
        <f t="shared" si="804"/>
        <v>0</v>
      </c>
      <c r="BF730" s="137">
        <f t="shared" si="814"/>
        <v>0</v>
      </c>
      <c r="BG730" s="120"/>
      <c r="BH730" s="120"/>
      <c r="BI730" s="120"/>
      <c r="BJ730" s="120"/>
      <c r="BK730" s="120"/>
      <c r="BL730" s="120"/>
      <c r="BM730" s="120"/>
      <c r="BN730" s="120"/>
      <c r="BO730" s="120"/>
      <c r="BP730" s="120"/>
      <c r="BQ730" s="124"/>
      <c r="BR730" s="120"/>
      <c r="BS730" s="120"/>
      <c r="BT730" s="120"/>
      <c r="BU730" s="120"/>
      <c r="BV730" s="120"/>
      <c r="BW730" s="120"/>
      <c r="BZ730" s="136">
        <f t="shared" si="805"/>
        <v>0</v>
      </c>
      <c r="CA730" s="136">
        <f t="shared" si="806"/>
        <v>0</v>
      </c>
      <c r="CB730" s="136">
        <f t="shared" si="807"/>
        <v>0</v>
      </c>
      <c r="CC730" s="136">
        <f t="shared" si="808"/>
        <v>0</v>
      </c>
      <c r="CD730" s="135">
        <f t="shared" si="809"/>
        <v>0</v>
      </c>
      <c r="CE730" s="135">
        <f t="shared" si="810"/>
        <v>0</v>
      </c>
      <c r="CF730" s="134">
        <f t="shared" si="811"/>
        <v>0</v>
      </c>
      <c r="CG730" s="134">
        <f t="shared" si="812"/>
        <v>0</v>
      </c>
      <c r="CH730" s="133" t="e">
        <f t="shared" si="813"/>
        <v>#DIV/0!</v>
      </c>
      <c r="CI730" s="116"/>
    </row>
    <row r="731" spans="1:87" s="121" customFormat="1">
      <c r="A731" s="125">
        <f t="shared" si="803"/>
        <v>0</v>
      </c>
      <c r="B731" s="125"/>
      <c r="D731" s="121" t="s">
        <v>215</v>
      </c>
      <c r="G731" s="124"/>
      <c r="H731" s="124"/>
      <c r="I731" s="122"/>
      <c r="M731" s="123"/>
      <c r="N731" s="121" t="s">
        <v>252</v>
      </c>
      <c r="O731" s="121" t="s">
        <v>253</v>
      </c>
      <c r="Q731" s="122">
        <f>3107*2.4</f>
        <v>7456.7999999999993</v>
      </c>
      <c r="R731" s="122"/>
      <c r="S731" s="122"/>
      <c r="T731" s="122"/>
      <c r="BD731" s="120"/>
      <c r="BE731" s="120">
        <f t="shared" si="804"/>
        <v>0</v>
      </c>
      <c r="BF731" s="137">
        <f t="shared" si="814"/>
        <v>0</v>
      </c>
      <c r="BG731" s="120"/>
      <c r="BH731" s="120"/>
      <c r="BI731" s="120"/>
      <c r="BJ731" s="120"/>
      <c r="BK731" s="120"/>
      <c r="BL731" s="120"/>
      <c r="BM731" s="120"/>
      <c r="BN731" s="124"/>
      <c r="BO731" s="124"/>
      <c r="BP731" s="120"/>
      <c r="BQ731" s="124"/>
      <c r="BR731" s="120"/>
      <c r="BS731" s="120"/>
      <c r="BT731" s="120"/>
      <c r="BU731" s="120"/>
      <c r="BV731" s="120"/>
      <c r="BW731" s="120"/>
      <c r="BZ731" s="136">
        <f t="shared" si="805"/>
        <v>0</v>
      </c>
      <c r="CA731" s="136">
        <f t="shared" si="806"/>
        <v>0</v>
      </c>
      <c r="CB731" s="136">
        <f t="shared" si="807"/>
        <v>0</v>
      </c>
      <c r="CC731" s="136">
        <f t="shared" si="808"/>
        <v>0</v>
      </c>
      <c r="CD731" s="135">
        <f t="shared" si="809"/>
        <v>0</v>
      </c>
      <c r="CE731" s="135">
        <f t="shared" si="810"/>
        <v>0</v>
      </c>
      <c r="CF731" s="134">
        <f t="shared" si="811"/>
        <v>0</v>
      </c>
      <c r="CG731" s="134">
        <f t="shared" si="812"/>
        <v>0</v>
      </c>
      <c r="CH731" s="133" t="e">
        <f t="shared" si="813"/>
        <v>#DIV/0!</v>
      </c>
    </row>
    <row r="732" spans="1:87" s="121" customFormat="1">
      <c r="A732" s="125">
        <f t="shared" si="803"/>
        <v>0</v>
      </c>
      <c r="B732" s="125"/>
      <c r="D732" s="121" t="s">
        <v>197</v>
      </c>
      <c r="G732" s="124"/>
      <c r="H732" s="124"/>
      <c r="I732" s="122"/>
      <c r="M732" s="123"/>
      <c r="N732" s="121" t="s">
        <v>4226</v>
      </c>
      <c r="O732" s="121" t="s">
        <v>4208</v>
      </c>
      <c r="Q732" s="122">
        <f>3103*2.4</f>
        <v>7447.2</v>
      </c>
      <c r="R732" s="122"/>
      <c r="S732" s="122"/>
      <c r="T732" s="122"/>
      <c r="BD732" s="120"/>
      <c r="BE732" s="120">
        <f t="shared" si="804"/>
        <v>0</v>
      </c>
      <c r="BF732" s="137">
        <f t="shared" si="814"/>
        <v>0</v>
      </c>
      <c r="BG732" s="120"/>
      <c r="BH732" s="120"/>
      <c r="BI732" s="120"/>
      <c r="BJ732" s="120"/>
      <c r="BK732" s="120"/>
      <c r="BL732" s="120"/>
      <c r="BM732" s="120"/>
      <c r="BN732" s="120"/>
      <c r="BO732" s="120"/>
      <c r="BP732" s="120"/>
      <c r="BQ732" s="124"/>
      <c r="BR732" s="120"/>
      <c r="BS732" s="120"/>
      <c r="BT732" s="120"/>
      <c r="BU732" s="120"/>
      <c r="BV732" s="120"/>
      <c r="BW732" s="120"/>
      <c r="BX732" s="116"/>
      <c r="BY732" s="116"/>
      <c r="BZ732" s="136">
        <f t="shared" si="805"/>
        <v>0</v>
      </c>
      <c r="CA732" s="136">
        <f t="shared" si="806"/>
        <v>0</v>
      </c>
      <c r="CB732" s="136">
        <f t="shared" si="807"/>
        <v>0</v>
      </c>
      <c r="CC732" s="136">
        <f t="shared" si="808"/>
        <v>0</v>
      </c>
      <c r="CD732" s="135">
        <f t="shared" si="809"/>
        <v>0</v>
      </c>
      <c r="CE732" s="135">
        <f t="shared" si="810"/>
        <v>0</v>
      </c>
      <c r="CF732" s="134">
        <f t="shared" si="811"/>
        <v>0</v>
      </c>
      <c r="CG732" s="134">
        <f t="shared" si="812"/>
        <v>0</v>
      </c>
      <c r="CH732" s="133" t="e">
        <f t="shared" si="813"/>
        <v>#DIV/0!</v>
      </c>
    </row>
    <row r="733" spans="1:87" s="116" customFormat="1">
      <c r="A733" s="125">
        <f t="shared" si="803"/>
        <v>0</v>
      </c>
      <c r="B733" s="125"/>
      <c r="C733" s="121"/>
      <c r="D733" s="121" t="s">
        <v>215</v>
      </c>
      <c r="E733" s="121"/>
      <c r="F733" s="121"/>
      <c r="G733" s="124"/>
      <c r="H733" s="124"/>
      <c r="I733" s="122"/>
      <c r="J733" s="121"/>
      <c r="K733" s="121"/>
      <c r="L733" s="121"/>
      <c r="M733" s="123"/>
      <c r="N733" s="121" t="s">
        <v>4227</v>
      </c>
      <c r="O733" s="121" t="s">
        <v>486</v>
      </c>
      <c r="P733" s="121"/>
      <c r="Q733" s="122">
        <f>3137*2.4</f>
        <v>7528.7999999999993</v>
      </c>
      <c r="R733" s="122"/>
      <c r="S733" s="122"/>
      <c r="T733" s="122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0"/>
      <c r="BE733" s="120">
        <f t="shared" si="804"/>
        <v>0</v>
      </c>
      <c r="BF733" s="137">
        <f t="shared" si="814"/>
        <v>0</v>
      </c>
      <c r="BG733" s="120"/>
      <c r="BH733" s="120"/>
      <c r="BI733" s="120"/>
      <c r="BJ733" s="120"/>
      <c r="BK733" s="120"/>
      <c r="BL733" s="120"/>
      <c r="BM733" s="120"/>
      <c r="BN733" s="120"/>
      <c r="BO733" s="120"/>
      <c r="BP733" s="120"/>
      <c r="BQ733" s="124"/>
      <c r="BR733" s="120"/>
      <c r="BS733" s="120"/>
      <c r="BT733" s="120"/>
      <c r="BU733" s="120"/>
      <c r="BV733" s="120"/>
      <c r="BW733" s="120"/>
      <c r="BX733" s="121"/>
      <c r="BY733" s="121"/>
      <c r="BZ733" s="136">
        <f t="shared" si="805"/>
        <v>0</v>
      </c>
      <c r="CA733" s="136">
        <f t="shared" si="806"/>
        <v>0</v>
      </c>
      <c r="CB733" s="136">
        <f t="shared" si="807"/>
        <v>0</v>
      </c>
      <c r="CC733" s="136">
        <f t="shared" si="808"/>
        <v>0</v>
      </c>
      <c r="CD733" s="135">
        <f t="shared" si="809"/>
        <v>0</v>
      </c>
      <c r="CE733" s="135">
        <f t="shared" si="810"/>
        <v>0</v>
      </c>
      <c r="CF733" s="134">
        <f t="shared" si="811"/>
        <v>0</v>
      </c>
      <c r="CG733" s="134">
        <f t="shared" si="812"/>
        <v>0</v>
      </c>
      <c r="CH733" s="133" t="e">
        <f t="shared" si="813"/>
        <v>#DIV/0!</v>
      </c>
      <c r="CI733" s="121"/>
    </row>
    <row r="734" spans="1:87" s="121" customFormat="1">
      <c r="A734" s="125">
        <f t="shared" si="803"/>
        <v>0</v>
      </c>
      <c r="B734" s="125"/>
      <c r="D734" s="121" t="s">
        <v>215</v>
      </c>
      <c r="G734" s="124"/>
      <c r="H734" s="124"/>
      <c r="I734" s="122"/>
      <c r="M734" s="123"/>
      <c r="N734" s="121" t="s">
        <v>4227</v>
      </c>
      <c r="O734" s="121" t="s">
        <v>486</v>
      </c>
      <c r="Q734" s="122">
        <f>3138*2.4</f>
        <v>7531.2</v>
      </c>
      <c r="R734" s="122"/>
      <c r="S734" s="122"/>
      <c r="T734" s="122"/>
      <c r="BD734" s="120"/>
      <c r="BE734" s="120">
        <f t="shared" si="804"/>
        <v>0</v>
      </c>
      <c r="BF734" s="137">
        <f t="shared" si="814"/>
        <v>0</v>
      </c>
      <c r="BG734" s="120"/>
      <c r="BH734" s="120"/>
      <c r="BI734" s="120"/>
      <c r="BJ734" s="120"/>
      <c r="BK734" s="120"/>
      <c r="BL734" s="120"/>
      <c r="BM734" s="120"/>
      <c r="BN734" s="124"/>
      <c r="BO734" s="124"/>
      <c r="BP734" s="120"/>
      <c r="BQ734" s="124"/>
      <c r="BR734" s="120"/>
      <c r="BS734" s="120"/>
      <c r="BT734" s="120"/>
      <c r="BU734" s="120"/>
      <c r="BV734" s="120"/>
      <c r="BW734" s="120"/>
      <c r="BZ734" s="136">
        <f t="shared" si="805"/>
        <v>0</v>
      </c>
      <c r="CA734" s="136">
        <f t="shared" si="806"/>
        <v>0</v>
      </c>
      <c r="CB734" s="136">
        <f t="shared" si="807"/>
        <v>0</v>
      </c>
      <c r="CC734" s="136">
        <f t="shared" si="808"/>
        <v>0</v>
      </c>
      <c r="CD734" s="135">
        <f t="shared" si="809"/>
        <v>0</v>
      </c>
      <c r="CE734" s="135">
        <f t="shared" si="810"/>
        <v>0</v>
      </c>
      <c r="CF734" s="134">
        <f t="shared" si="811"/>
        <v>0</v>
      </c>
      <c r="CG734" s="134">
        <f t="shared" si="812"/>
        <v>0</v>
      </c>
      <c r="CH734" s="133" t="e">
        <f t="shared" si="813"/>
        <v>#DIV/0!</v>
      </c>
      <c r="CI734" s="116"/>
    </row>
    <row r="735" spans="1:87" s="121" customFormat="1">
      <c r="A735" s="125">
        <f t="shared" si="803"/>
        <v>0</v>
      </c>
      <c r="B735" s="125"/>
      <c r="C735" s="128"/>
      <c r="D735" s="121" t="s">
        <v>197</v>
      </c>
      <c r="E735" s="128"/>
      <c r="F735" s="128"/>
      <c r="G735" s="124"/>
      <c r="H735" s="124"/>
      <c r="I735" s="122"/>
      <c r="J735" s="128"/>
      <c r="K735" s="128"/>
      <c r="L735" s="128"/>
      <c r="M735" s="224"/>
      <c r="N735" s="121" t="s">
        <v>346</v>
      </c>
      <c r="O735" s="121" t="s">
        <v>3638</v>
      </c>
      <c r="P735" s="128"/>
      <c r="Q735" s="122">
        <f>3136*2.4</f>
        <v>7526.4</v>
      </c>
      <c r="R735" s="122"/>
      <c r="S735" s="122"/>
      <c r="T735" s="122"/>
      <c r="BD735" s="128"/>
      <c r="BE735" s="120">
        <f t="shared" si="804"/>
        <v>0</v>
      </c>
      <c r="BF735" s="137">
        <f t="shared" si="814"/>
        <v>0</v>
      </c>
      <c r="BG735" s="120"/>
      <c r="BH735" s="120"/>
      <c r="BI735" s="120"/>
      <c r="BJ735" s="120"/>
      <c r="BK735" s="120"/>
      <c r="BL735" s="120"/>
      <c r="BM735" s="120"/>
      <c r="BN735" s="124"/>
      <c r="BO735" s="124"/>
      <c r="BP735" s="120"/>
      <c r="BQ735" s="124"/>
      <c r="BR735" s="120"/>
      <c r="BS735" s="120"/>
      <c r="BT735" s="120"/>
      <c r="BU735" s="120"/>
      <c r="BV735" s="120"/>
      <c r="BW735" s="120"/>
      <c r="BZ735" s="136">
        <f t="shared" si="805"/>
        <v>0</v>
      </c>
      <c r="CA735" s="136">
        <f t="shared" si="806"/>
        <v>0</v>
      </c>
      <c r="CB735" s="136">
        <f t="shared" si="807"/>
        <v>0</v>
      </c>
      <c r="CC735" s="136">
        <f t="shared" si="808"/>
        <v>0</v>
      </c>
      <c r="CD735" s="135">
        <f t="shared" si="809"/>
        <v>0</v>
      </c>
      <c r="CE735" s="135">
        <f t="shared" si="810"/>
        <v>0</v>
      </c>
      <c r="CF735" s="134">
        <f t="shared" si="811"/>
        <v>0</v>
      </c>
      <c r="CG735" s="134">
        <f t="shared" si="812"/>
        <v>0</v>
      </c>
      <c r="CH735" s="133" t="e">
        <f t="shared" si="813"/>
        <v>#DIV/0!</v>
      </c>
    </row>
    <row r="736" spans="1:87" s="121" customFormat="1">
      <c r="A736" s="125">
        <f t="shared" si="803"/>
        <v>0</v>
      </c>
      <c r="B736" s="125"/>
      <c r="D736" s="121" t="s">
        <v>197</v>
      </c>
      <c r="G736" s="124"/>
      <c r="H736" s="124"/>
      <c r="I736" s="122"/>
      <c r="M736" s="123"/>
      <c r="N736" s="121" t="s">
        <v>505</v>
      </c>
      <c r="O736" s="121" t="s">
        <v>328</v>
      </c>
      <c r="Q736" s="122">
        <f>3142*2.4</f>
        <v>7540.7999999999993</v>
      </c>
      <c r="R736" s="122"/>
      <c r="S736" s="122"/>
      <c r="T736" s="122"/>
      <c r="BD736" s="128"/>
      <c r="BE736" s="120">
        <f t="shared" si="804"/>
        <v>0</v>
      </c>
      <c r="BF736" s="137">
        <f t="shared" si="814"/>
        <v>0</v>
      </c>
      <c r="BG736" s="128"/>
      <c r="BH736" s="128"/>
      <c r="BI736" s="128"/>
      <c r="BJ736" s="128"/>
      <c r="BK736" s="128"/>
      <c r="BL736" s="128"/>
      <c r="BM736" s="128"/>
      <c r="BN736" s="128"/>
      <c r="BO736" s="128"/>
      <c r="BP736" s="120"/>
      <c r="BQ736" s="128"/>
      <c r="BR736" s="128"/>
      <c r="BS736" s="128"/>
      <c r="BT736" s="128"/>
      <c r="BU736" s="128"/>
      <c r="BV736" s="128"/>
      <c r="BW736" s="128"/>
      <c r="BZ736" s="136">
        <f t="shared" si="805"/>
        <v>0</v>
      </c>
      <c r="CA736" s="136">
        <f t="shared" si="806"/>
        <v>0</v>
      </c>
      <c r="CB736" s="136">
        <f t="shared" si="807"/>
        <v>0</v>
      </c>
      <c r="CC736" s="136">
        <f t="shared" si="808"/>
        <v>0</v>
      </c>
      <c r="CD736" s="135">
        <f t="shared" si="809"/>
        <v>0</v>
      </c>
      <c r="CE736" s="135">
        <f t="shared" si="810"/>
        <v>0</v>
      </c>
      <c r="CF736" s="134">
        <f t="shared" si="811"/>
        <v>0</v>
      </c>
      <c r="CG736" s="134">
        <f t="shared" si="812"/>
        <v>0</v>
      </c>
      <c r="CH736" s="133" t="e">
        <f t="shared" si="813"/>
        <v>#DIV/0!</v>
      </c>
    </row>
    <row r="737" spans="1:86" s="121" customFormat="1">
      <c r="A737" s="125">
        <f t="shared" si="803"/>
        <v>0</v>
      </c>
      <c r="B737" s="125"/>
      <c r="D737" s="121" t="s">
        <v>215</v>
      </c>
      <c r="G737" s="124"/>
      <c r="H737" s="124"/>
      <c r="I737" s="122"/>
      <c r="M737" s="123"/>
      <c r="N737" s="121" t="s">
        <v>489</v>
      </c>
      <c r="O737" s="121" t="s">
        <v>4150</v>
      </c>
      <c r="Q737" s="122">
        <f>3357*2.4</f>
        <v>8056.7999999999993</v>
      </c>
      <c r="R737" s="122"/>
      <c r="S737" s="122"/>
      <c r="T737" s="122"/>
      <c r="BD737" s="120"/>
      <c r="BE737" s="120">
        <f t="shared" si="804"/>
        <v>0</v>
      </c>
      <c r="BF737" s="137">
        <f t="shared" si="814"/>
        <v>0</v>
      </c>
      <c r="BG737" s="120"/>
      <c r="BH737" s="120"/>
      <c r="BI737" s="120"/>
      <c r="BJ737" s="120"/>
      <c r="BK737" s="120"/>
      <c r="BL737" s="120"/>
      <c r="BM737" s="120"/>
      <c r="BN737" s="120"/>
      <c r="BO737" s="120"/>
      <c r="BP737" s="120"/>
      <c r="BQ737" s="124"/>
      <c r="BR737" s="120"/>
      <c r="BS737" s="120"/>
      <c r="BT737" s="120"/>
      <c r="BU737" s="120"/>
      <c r="BV737" s="120"/>
      <c r="BW737" s="120"/>
      <c r="BX737" s="116"/>
      <c r="BY737" s="116"/>
      <c r="BZ737" s="136">
        <f t="shared" si="805"/>
        <v>0</v>
      </c>
      <c r="CA737" s="136">
        <f t="shared" si="806"/>
        <v>0</v>
      </c>
      <c r="CB737" s="136">
        <f t="shared" si="807"/>
        <v>0</v>
      </c>
      <c r="CC737" s="136">
        <f t="shared" si="808"/>
        <v>0</v>
      </c>
      <c r="CD737" s="135">
        <f t="shared" si="809"/>
        <v>0</v>
      </c>
      <c r="CE737" s="135">
        <f t="shared" si="810"/>
        <v>0</v>
      </c>
      <c r="CF737" s="134">
        <f t="shared" si="811"/>
        <v>0</v>
      </c>
      <c r="CG737" s="134">
        <f t="shared" si="812"/>
        <v>0</v>
      </c>
      <c r="CH737" s="133" t="e">
        <f t="shared" si="813"/>
        <v>#DIV/0!</v>
      </c>
    </row>
    <row r="738" spans="1:86" s="121" customFormat="1">
      <c r="A738" s="125">
        <f t="shared" ref="A738:A801" si="815">BJ738</f>
        <v>0</v>
      </c>
      <c r="B738" s="125"/>
      <c r="C738" s="116"/>
      <c r="D738" s="121" t="s">
        <v>215</v>
      </c>
      <c r="E738" s="116"/>
      <c r="F738" s="116"/>
      <c r="G738" s="124"/>
      <c r="H738" s="124"/>
      <c r="I738" s="122"/>
      <c r="J738" s="116"/>
      <c r="K738" s="116"/>
      <c r="L738" s="116"/>
      <c r="M738" s="129"/>
      <c r="N738" s="121" t="s">
        <v>208</v>
      </c>
      <c r="O738" s="121" t="s">
        <v>438</v>
      </c>
      <c r="Q738" s="122">
        <f>3136*2.4</f>
        <v>7526.4</v>
      </c>
      <c r="R738" s="122"/>
      <c r="S738" s="122"/>
      <c r="T738" s="122"/>
      <c r="BD738" s="120"/>
      <c r="BE738" s="120">
        <f t="shared" si="804"/>
        <v>0</v>
      </c>
      <c r="BF738" s="137">
        <f t="shared" si="814"/>
        <v>0</v>
      </c>
      <c r="BG738" s="120"/>
      <c r="BH738" s="120"/>
      <c r="BI738" s="120"/>
      <c r="BJ738" s="120"/>
      <c r="BK738" s="120"/>
      <c r="BL738" s="120"/>
      <c r="BM738" s="120"/>
      <c r="BN738" s="124"/>
      <c r="BO738" s="124"/>
      <c r="BP738" s="120"/>
      <c r="BQ738" s="124"/>
      <c r="BR738" s="120"/>
      <c r="BS738" s="120"/>
      <c r="BT738" s="120"/>
      <c r="BU738" s="120"/>
      <c r="BV738" s="120"/>
      <c r="BW738" s="120"/>
      <c r="BZ738" s="136">
        <f t="shared" si="805"/>
        <v>0</v>
      </c>
      <c r="CA738" s="136">
        <f t="shared" si="806"/>
        <v>0</v>
      </c>
      <c r="CB738" s="136">
        <f t="shared" si="807"/>
        <v>0</v>
      </c>
      <c r="CC738" s="136">
        <f t="shared" si="808"/>
        <v>0</v>
      </c>
      <c r="CD738" s="135">
        <f t="shared" si="809"/>
        <v>0</v>
      </c>
      <c r="CE738" s="135">
        <f t="shared" si="810"/>
        <v>0</v>
      </c>
      <c r="CF738" s="134">
        <f t="shared" si="811"/>
        <v>0</v>
      </c>
      <c r="CG738" s="134">
        <f t="shared" si="812"/>
        <v>0</v>
      </c>
      <c r="CH738" s="133" t="e">
        <f t="shared" si="813"/>
        <v>#DIV/0!</v>
      </c>
    </row>
    <row r="739" spans="1:86" s="121" customFormat="1">
      <c r="A739" s="125">
        <f t="shared" si="815"/>
        <v>0</v>
      </c>
      <c r="B739" s="125"/>
      <c r="D739" s="121" t="s">
        <v>1248</v>
      </c>
      <c r="G739" s="124"/>
      <c r="H739" s="124"/>
      <c r="I739" s="122"/>
      <c r="M739" s="123"/>
      <c r="N739" s="121" t="s">
        <v>4228</v>
      </c>
      <c r="O739" s="121" t="s">
        <v>4229</v>
      </c>
      <c r="Q739" s="122">
        <v>7500</v>
      </c>
      <c r="R739" s="122"/>
      <c r="S739" s="122"/>
      <c r="T739" s="122"/>
      <c r="BD739" s="120"/>
      <c r="BE739" s="120">
        <f t="shared" si="804"/>
        <v>0</v>
      </c>
      <c r="BF739" s="137">
        <f t="shared" si="814"/>
        <v>0</v>
      </c>
      <c r="BG739" s="120"/>
      <c r="BH739" s="120"/>
      <c r="BI739" s="120"/>
      <c r="BJ739" s="120"/>
      <c r="BK739" s="120"/>
      <c r="BL739" s="120"/>
      <c r="BM739" s="120"/>
      <c r="BN739" s="120"/>
      <c r="BO739" s="120"/>
      <c r="BP739" s="120"/>
      <c r="BQ739" s="124"/>
      <c r="BR739" s="120"/>
      <c r="BS739" s="120"/>
      <c r="BT739" s="120"/>
      <c r="BU739" s="120"/>
      <c r="BV739" s="120"/>
      <c r="BW739" s="120"/>
      <c r="BZ739" s="136">
        <f t="shared" si="805"/>
        <v>0</v>
      </c>
      <c r="CA739" s="136">
        <f t="shared" si="806"/>
        <v>0</v>
      </c>
      <c r="CB739" s="136">
        <f t="shared" si="807"/>
        <v>0</v>
      </c>
      <c r="CC739" s="136">
        <f t="shared" si="808"/>
        <v>0</v>
      </c>
      <c r="CD739" s="135">
        <f t="shared" si="809"/>
        <v>0</v>
      </c>
      <c r="CE739" s="135">
        <f t="shared" si="810"/>
        <v>0</v>
      </c>
      <c r="CF739" s="134">
        <f t="shared" si="811"/>
        <v>0</v>
      </c>
      <c r="CG739" s="134">
        <f t="shared" si="812"/>
        <v>0</v>
      </c>
      <c r="CH739" s="133" t="e">
        <f t="shared" si="813"/>
        <v>#DIV/0!</v>
      </c>
    </row>
    <row r="740" spans="1:86" s="121" customFormat="1">
      <c r="A740" s="125">
        <f t="shared" si="815"/>
        <v>0</v>
      </c>
      <c r="B740" s="125"/>
      <c r="D740" s="121" t="s">
        <v>1248</v>
      </c>
      <c r="G740" s="124"/>
      <c r="H740" s="124"/>
      <c r="I740" s="122"/>
      <c r="M740" s="123"/>
      <c r="N740" s="121" t="s">
        <v>4230</v>
      </c>
      <c r="O740" s="121" t="s">
        <v>4231</v>
      </c>
      <c r="Q740" s="122">
        <v>7500</v>
      </c>
      <c r="R740" s="122"/>
      <c r="S740" s="122"/>
      <c r="T740" s="122"/>
      <c r="BD740" s="120"/>
      <c r="BE740" s="120">
        <f t="shared" si="804"/>
        <v>0</v>
      </c>
      <c r="BF740" s="137">
        <f t="shared" si="814"/>
        <v>0</v>
      </c>
      <c r="BG740" s="120"/>
      <c r="BH740" s="120"/>
      <c r="BI740" s="120"/>
      <c r="BJ740" s="120"/>
      <c r="BK740" s="120"/>
      <c r="BL740" s="120"/>
      <c r="BM740" s="120"/>
      <c r="BN740" s="120"/>
      <c r="BO740" s="120"/>
      <c r="BP740" s="120"/>
      <c r="BQ740" s="124"/>
      <c r="BR740" s="120"/>
      <c r="BS740" s="120"/>
      <c r="BT740" s="120"/>
      <c r="BU740" s="120"/>
      <c r="BV740" s="120"/>
      <c r="BW740" s="120"/>
      <c r="BZ740" s="136">
        <f t="shared" si="805"/>
        <v>0</v>
      </c>
      <c r="CA740" s="136">
        <f t="shared" si="806"/>
        <v>0</v>
      </c>
      <c r="CB740" s="136">
        <f t="shared" si="807"/>
        <v>0</v>
      </c>
      <c r="CC740" s="136">
        <f t="shared" si="808"/>
        <v>0</v>
      </c>
      <c r="CD740" s="135">
        <f t="shared" si="809"/>
        <v>0</v>
      </c>
      <c r="CE740" s="135">
        <f t="shared" si="810"/>
        <v>0</v>
      </c>
      <c r="CF740" s="134">
        <f t="shared" si="811"/>
        <v>0</v>
      </c>
      <c r="CG740" s="134">
        <f t="shared" si="812"/>
        <v>0</v>
      </c>
      <c r="CH740" s="133" t="e">
        <f t="shared" si="813"/>
        <v>#DIV/0!</v>
      </c>
    </row>
    <row r="741" spans="1:86" s="121" customFormat="1">
      <c r="A741" s="125">
        <f t="shared" si="815"/>
        <v>0</v>
      </c>
      <c r="B741" s="125"/>
      <c r="D741" s="121" t="s">
        <v>1248</v>
      </c>
      <c r="G741" s="124"/>
      <c r="H741" s="124"/>
      <c r="I741" s="122"/>
      <c r="M741" s="123"/>
      <c r="N741" s="121" t="s">
        <v>4232</v>
      </c>
      <c r="O741" s="121" t="s">
        <v>4233</v>
      </c>
      <c r="Q741" s="122">
        <v>7500</v>
      </c>
      <c r="R741" s="122"/>
      <c r="S741" s="122"/>
      <c r="T741" s="122"/>
      <c r="BD741" s="120"/>
      <c r="BE741" s="120">
        <f t="shared" si="804"/>
        <v>0</v>
      </c>
      <c r="BF741" s="137">
        <f t="shared" si="814"/>
        <v>0</v>
      </c>
      <c r="BG741" s="120"/>
      <c r="BH741" s="120"/>
      <c r="BI741" s="120"/>
      <c r="BJ741" s="120"/>
      <c r="BK741" s="120"/>
      <c r="BL741" s="120"/>
      <c r="BM741" s="120"/>
      <c r="BN741" s="120"/>
      <c r="BO741" s="120"/>
      <c r="BP741" s="120"/>
      <c r="BQ741" s="124"/>
      <c r="BR741" s="120"/>
      <c r="BS741" s="120"/>
      <c r="BT741" s="120"/>
      <c r="BU741" s="120"/>
      <c r="BV741" s="120"/>
      <c r="BW741" s="120"/>
      <c r="BZ741" s="136">
        <f t="shared" si="805"/>
        <v>0</v>
      </c>
      <c r="CA741" s="136">
        <f t="shared" si="806"/>
        <v>0</v>
      </c>
      <c r="CB741" s="136">
        <f t="shared" si="807"/>
        <v>0</v>
      </c>
      <c r="CC741" s="136">
        <f t="shared" si="808"/>
        <v>0</v>
      </c>
      <c r="CD741" s="135">
        <f t="shared" si="809"/>
        <v>0</v>
      </c>
      <c r="CE741" s="135">
        <f t="shared" si="810"/>
        <v>0</v>
      </c>
      <c r="CF741" s="134">
        <f t="shared" si="811"/>
        <v>0</v>
      </c>
      <c r="CG741" s="134">
        <f t="shared" si="812"/>
        <v>0</v>
      </c>
      <c r="CH741" s="133" t="e">
        <f t="shared" si="813"/>
        <v>#DIV/0!</v>
      </c>
    </row>
    <row r="742" spans="1:86" s="121" customFormat="1">
      <c r="A742" s="125">
        <f t="shared" si="815"/>
        <v>0</v>
      </c>
      <c r="B742" s="125"/>
      <c r="D742" s="121" t="s">
        <v>1248</v>
      </c>
      <c r="G742" s="124"/>
      <c r="H742" s="124"/>
      <c r="I742" s="122"/>
      <c r="M742" s="123"/>
      <c r="N742" s="121" t="s">
        <v>327</v>
      </c>
      <c r="O742" s="121" t="s">
        <v>4193</v>
      </c>
      <c r="Q742" s="122">
        <v>7500</v>
      </c>
      <c r="R742" s="122"/>
      <c r="S742" s="122"/>
      <c r="T742" s="122"/>
      <c r="BD742" s="120"/>
      <c r="BE742" s="120">
        <f t="shared" si="804"/>
        <v>0</v>
      </c>
      <c r="BF742" s="137">
        <f t="shared" si="814"/>
        <v>0</v>
      </c>
      <c r="BG742" s="120"/>
      <c r="BH742" s="120"/>
      <c r="BI742" s="120"/>
      <c r="BJ742" s="120"/>
      <c r="BK742" s="120"/>
      <c r="BL742" s="120"/>
      <c r="BM742" s="120"/>
      <c r="BN742" s="120"/>
      <c r="BO742" s="120"/>
      <c r="BP742" s="120"/>
      <c r="BQ742" s="124"/>
      <c r="BR742" s="120"/>
      <c r="BS742" s="120"/>
      <c r="BT742" s="120"/>
      <c r="BU742" s="120"/>
      <c r="BV742" s="120"/>
      <c r="BW742" s="120"/>
      <c r="BZ742" s="136">
        <f t="shared" si="805"/>
        <v>0</v>
      </c>
      <c r="CA742" s="136">
        <f t="shared" si="806"/>
        <v>0</v>
      </c>
      <c r="CB742" s="136">
        <f t="shared" si="807"/>
        <v>0</v>
      </c>
      <c r="CC742" s="136">
        <f t="shared" si="808"/>
        <v>0</v>
      </c>
      <c r="CD742" s="135">
        <f t="shared" si="809"/>
        <v>0</v>
      </c>
      <c r="CE742" s="135">
        <f t="shared" si="810"/>
        <v>0</v>
      </c>
      <c r="CF742" s="134">
        <f t="shared" si="811"/>
        <v>0</v>
      </c>
      <c r="CG742" s="134">
        <f t="shared" si="812"/>
        <v>0</v>
      </c>
      <c r="CH742" s="133" t="e">
        <f t="shared" si="813"/>
        <v>#DIV/0!</v>
      </c>
    </row>
    <row r="743" spans="1:86" s="121" customFormat="1">
      <c r="A743" s="125">
        <f t="shared" si="815"/>
        <v>0</v>
      </c>
      <c r="B743" s="125"/>
      <c r="D743" s="121" t="s">
        <v>1248</v>
      </c>
      <c r="G743" s="124"/>
      <c r="H743" s="124"/>
      <c r="I743" s="122"/>
      <c r="M743" s="123"/>
      <c r="N743" s="121" t="s">
        <v>4234</v>
      </c>
      <c r="O743" s="121" t="s">
        <v>4235</v>
      </c>
      <c r="Q743" s="122">
        <v>7500</v>
      </c>
      <c r="R743" s="122"/>
      <c r="S743" s="122"/>
      <c r="T743" s="122"/>
      <c r="BD743" s="120"/>
      <c r="BE743" s="120">
        <f t="shared" si="804"/>
        <v>0</v>
      </c>
      <c r="BF743" s="137">
        <f t="shared" si="814"/>
        <v>0</v>
      </c>
      <c r="BG743" s="120"/>
      <c r="BH743" s="120"/>
      <c r="BI743" s="120"/>
      <c r="BJ743" s="120"/>
      <c r="BK743" s="120"/>
      <c r="BL743" s="120"/>
      <c r="BM743" s="120"/>
      <c r="BN743" s="120"/>
      <c r="BO743" s="120"/>
      <c r="BP743" s="120"/>
      <c r="BQ743" s="124"/>
      <c r="BR743" s="120"/>
      <c r="BS743" s="120"/>
      <c r="BT743" s="120"/>
      <c r="BU743" s="120"/>
      <c r="BV743" s="120"/>
      <c r="BW743" s="120"/>
      <c r="BZ743" s="136">
        <f t="shared" si="805"/>
        <v>0</v>
      </c>
      <c r="CA743" s="136">
        <f t="shared" si="806"/>
        <v>0</v>
      </c>
      <c r="CB743" s="136">
        <f t="shared" si="807"/>
        <v>0</v>
      </c>
      <c r="CC743" s="136">
        <f t="shared" si="808"/>
        <v>0</v>
      </c>
      <c r="CD743" s="135">
        <f t="shared" si="809"/>
        <v>0</v>
      </c>
      <c r="CE743" s="135">
        <f t="shared" si="810"/>
        <v>0</v>
      </c>
      <c r="CF743" s="134">
        <f t="shared" si="811"/>
        <v>0</v>
      </c>
      <c r="CG743" s="134">
        <f t="shared" si="812"/>
        <v>0</v>
      </c>
      <c r="CH743" s="133" t="e">
        <f t="shared" si="813"/>
        <v>#DIV/0!</v>
      </c>
    </row>
    <row r="744" spans="1:86" s="121" customFormat="1">
      <c r="A744" s="125">
        <f t="shared" si="815"/>
        <v>0</v>
      </c>
      <c r="B744" s="125"/>
      <c r="D744" s="121" t="s">
        <v>1248</v>
      </c>
      <c r="G744" s="124"/>
      <c r="H744" s="124"/>
      <c r="I744" s="122"/>
      <c r="M744" s="123"/>
      <c r="N744" s="121" t="s">
        <v>4236</v>
      </c>
      <c r="O744" s="121" t="s">
        <v>4237</v>
      </c>
      <c r="Q744" s="122">
        <v>5500</v>
      </c>
      <c r="R744" s="122"/>
      <c r="S744" s="122"/>
      <c r="T744" s="122"/>
      <c r="BD744" s="120"/>
      <c r="BE744" s="120">
        <f t="shared" si="804"/>
        <v>0</v>
      </c>
      <c r="BF744" s="137">
        <f t="shared" si="814"/>
        <v>0</v>
      </c>
      <c r="BG744" s="120"/>
      <c r="BH744" s="120"/>
      <c r="BI744" s="120"/>
      <c r="BJ744" s="120"/>
      <c r="BK744" s="120"/>
      <c r="BL744" s="120"/>
      <c r="BM744" s="120"/>
      <c r="BN744" s="120"/>
      <c r="BO744" s="120"/>
      <c r="BP744" s="120"/>
      <c r="BQ744" s="124"/>
      <c r="BR744" s="120"/>
      <c r="BS744" s="120"/>
      <c r="BT744" s="120"/>
      <c r="BU744" s="120"/>
      <c r="BV744" s="120"/>
      <c r="BW744" s="120"/>
      <c r="BZ744" s="136">
        <f t="shared" si="805"/>
        <v>0</v>
      </c>
      <c r="CA744" s="136">
        <f t="shared" si="806"/>
        <v>0</v>
      </c>
      <c r="CB744" s="136">
        <f t="shared" si="807"/>
        <v>0</v>
      </c>
      <c r="CC744" s="136">
        <f t="shared" si="808"/>
        <v>0</v>
      </c>
      <c r="CD744" s="135">
        <f t="shared" si="809"/>
        <v>0</v>
      </c>
      <c r="CE744" s="135">
        <f t="shared" si="810"/>
        <v>0</v>
      </c>
      <c r="CF744" s="134">
        <f t="shared" si="811"/>
        <v>0</v>
      </c>
      <c r="CG744" s="134">
        <f t="shared" si="812"/>
        <v>0</v>
      </c>
      <c r="CH744" s="133" t="e">
        <f t="shared" si="813"/>
        <v>#DIV/0!</v>
      </c>
    </row>
    <row r="745" spans="1:86" s="121" customFormat="1">
      <c r="A745" s="125">
        <f t="shared" si="815"/>
        <v>0</v>
      </c>
      <c r="B745" s="125"/>
      <c r="D745" s="121" t="s">
        <v>1248</v>
      </c>
      <c r="G745" s="124"/>
      <c r="H745" s="124"/>
      <c r="I745" s="122"/>
      <c r="M745" s="123"/>
      <c r="N745" s="121" t="s">
        <v>4238</v>
      </c>
      <c r="O745" s="121" t="s">
        <v>4239</v>
      </c>
      <c r="Q745" s="122">
        <v>7500</v>
      </c>
      <c r="R745" s="122"/>
      <c r="S745" s="122"/>
      <c r="T745" s="122"/>
      <c r="BD745" s="120"/>
      <c r="BE745" s="120">
        <f t="shared" si="804"/>
        <v>0</v>
      </c>
      <c r="BF745" s="137">
        <f t="shared" si="814"/>
        <v>0</v>
      </c>
      <c r="BG745" s="120"/>
      <c r="BH745" s="120"/>
      <c r="BI745" s="120"/>
      <c r="BJ745" s="120"/>
      <c r="BK745" s="120"/>
      <c r="BL745" s="120"/>
      <c r="BM745" s="120"/>
      <c r="BN745" s="120"/>
      <c r="BO745" s="120"/>
      <c r="BP745" s="120"/>
      <c r="BQ745" s="124"/>
      <c r="BR745" s="120"/>
      <c r="BS745" s="120"/>
      <c r="BT745" s="120"/>
      <c r="BU745" s="120"/>
      <c r="BV745" s="120"/>
      <c r="BW745" s="120"/>
      <c r="BZ745" s="136">
        <f t="shared" si="805"/>
        <v>0</v>
      </c>
      <c r="CA745" s="136">
        <f t="shared" si="806"/>
        <v>0</v>
      </c>
      <c r="CB745" s="136">
        <f t="shared" si="807"/>
        <v>0</v>
      </c>
      <c r="CC745" s="136">
        <f t="shared" si="808"/>
        <v>0</v>
      </c>
      <c r="CD745" s="135">
        <f t="shared" si="809"/>
        <v>0</v>
      </c>
      <c r="CE745" s="135">
        <f t="shared" si="810"/>
        <v>0</v>
      </c>
      <c r="CF745" s="134">
        <f t="shared" si="811"/>
        <v>0</v>
      </c>
      <c r="CG745" s="134">
        <f t="shared" si="812"/>
        <v>0</v>
      </c>
      <c r="CH745" s="133" t="e">
        <f t="shared" si="813"/>
        <v>#DIV/0!</v>
      </c>
    </row>
    <row r="746" spans="1:86" s="121" customFormat="1">
      <c r="A746" s="125">
        <f t="shared" si="815"/>
        <v>0</v>
      </c>
      <c r="B746" s="125"/>
      <c r="D746" s="121" t="s">
        <v>1248</v>
      </c>
      <c r="G746" s="124"/>
      <c r="H746" s="124"/>
      <c r="I746" s="122"/>
      <c r="M746" s="123"/>
      <c r="N746" s="121" t="s">
        <v>4240</v>
      </c>
      <c r="O746" s="121" t="s">
        <v>4241</v>
      </c>
      <c r="Q746" s="122">
        <f>2156*2.4</f>
        <v>5174.3999999999996</v>
      </c>
      <c r="R746" s="122"/>
      <c r="S746" s="122"/>
      <c r="T746" s="122"/>
      <c r="BD746" s="120"/>
      <c r="BE746" s="120">
        <f t="shared" si="804"/>
        <v>0</v>
      </c>
      <c r="BF746" s="137">
        <f t="shared" si="814"/>
        <v>0</v>
      </c>
      <c r="BG746" s="120"/>
      <c r="BH746" s="120"/>
      <c r="BI746" s="120"/>
      <c r="BJ746" s="120"/>
      <c r="BK746" s="120"/>
      <c r="BL746" s="120"/>
      <c r="BM746" s="120"/>
      <c r="BN746" s="120"/>
      <c r="BO746" s="120"/>
      <c r="BP746" s="120"/>
      <c r="BQ746" s="124"/>
      <c r="BR746" s="120"/>
      <c r="BS746" s="120"/>
      <c r="BT746" s="120"/>
      <c r="BU746" s="120"/>
      <c r="BV746" s="120"/>
      <c r="BW746" s="120"/>
      <c r="BZ746" s="136">
        <f t="shared" si="805"/>
        <v>0</v>
      </c>
      <c r="CA746" s="136">
        <f t="shared" si="806"/>
        <v>0</v>
      </c>
      <c r="CB746" s="136">
        <f t="shared" si="807"/>
        <v>0</v>
      </c>
      <c r="CC746" s="136">
        <f t="shared" si="808"/>
        <v>0</v>
      </c>
      <c r="CD746" s="135">
        <f t="shared" si="809"/>
        <v>0</v>
      </c>
      <c r="CE746" s="135">
        <f t="shared" si="810"/>
        <v>0</v>
      </c>
      <c r="CF746" s="134">
        <f t="shared" si="811"/>
        <v>0</v>
      </c>
      <c r="CG746" s="134">
        <f t="shared" si="812"/>
        <v>0</v>
      </c>
      <c r="CH746" s="133" t="e">
        <f t="shared" si="813"/>
        <v>#DIV/0!</v>
      </c>
    </row>
    <row r="747" spans="1:86" s="121" customFormat="1">
      <c r="A747" s="125">
        <f t="shared" si="815"/>
        <v>0</v>
      </c>
      <c r="B747" s="125"/>
      <c r="D747" s="121" t="s">
        <v>1248</v>
      </c>
      <c r="G747" s="124"/>
      <c r="H747" s="124"/>
      <c r="I747" s="122"/>
      <c r="M747" s="123"/>
      <c r="N747" s="121" t="s">
        <v>4242</v>
      </c>
      <c r="O747" s="121" t="s">
        <v>4243</v>
      </c>
      <c r="Q747" s="122">
        <f>2133*2.4</f>
        <v>5119.2</v>
      </c>
      <c r="R747" s="122"/>
      <c r="S747" s="122"/>
      <c r="T747" s="122"/>
      <c r="BD747" s="120"/>
      <c r="BE747" s="120">
        <f t="shared" si="804"/>
        <v>0</v>
      </c>
      <c r="BF747" s="137">
        <f t="shared" si="814"/>
        <v>0</v>
      </c>
      <c r="BG747" s="120"/>
      <c r="BH747" s="120"/>
      <c r="BI747" s="120"/>
      <c r="BJ747" s="120"/>
      <c r="BK747" s="120"/>
      <c r="BL747" s="120"/>
      <c r="BM747" s="120"/>
      <c r="BN747" s="120"/>
      <c r="BO747" s="120"/>
      <c r="BP747" s="120"/>
      <c r="BQ747" s="124"/>
      <c r="BR747" s="120"/>
      <c r="BS747" s="120"/>
      <c r="BT747" s="120"/>
      <c r="BU747" s="120"/>
      <c r="BV747" s="120"/>
      <c r="BW747" s="120"/>
      <c r="BZ747" s="136">
        <f t="shared" si="805"/>
        <v>0</v>
      </c>
      <c r="CA747" s="136">
        <f t="shared" si="806"/>
        <v>0</v>
      </c>
      <c r="CB747" s="136">
        <f t="shared" si="807"/>
        <v>0</v>
      </c>
      <c r="CC747" s="136">
        <f t="shared" si="808"/>
        <v>0</v>
      </c>
      <c r="CD747" s="135">
        <f t="shared" si="809"/>
        <v>0</v>
      </c>
      <c r="CE747" s="135">
        <f t="shared" si="810"/>
        <v>0</v>
      </c>
      <c r="CF747" s="134">
        <f t="shared" si="811"/>
        <v>0</v>
      </c>
      <c r="CG747" s="134">
        <f t="shared" si="812"/>
        <v>0</v>
      </c>
      <c r="CH747" s="133" t="e">
        <f t="shared" si="813"/>
        <v>#DIV/0!</v>
      </c>
    </row>
    <row r="748" spans="1:86" s="121" customFormat="1">
      <c r="A748" s="125">
        <f t="shared" si="815"/>
        <v>0</v>
      </c>
      <c r="B748" s="125"/>
      <c r="D748" s="121" t="s">
        <v>1248</v>
      </c>
      <c r="G748" s="124"/>
      <c r="H748" s="124"/>
      <c r="I748" s="122"/>
      <c r="M748" s="123"/>
      <c r="N748" s="121" t="s">
        <v>2800</v>
      </c>
      <c r="O748" s="121" t="s">
        <v>4244</v>
      </c>
      <c r="Q748" s="122">
        <f>2244*2.4</f>
        <v>5385.5999999999995</v>
      </c>
      <c r="R748" s="122"/>
      <c r="S748" s="122"/>
      <c r="T748" s="122"/>
      <c r="BD748" s="120"/>
      <c r="BE748" s="120">
        <f t="shared" si="804"/>
        <v>0</v>
      </c>
      <c r="BF748" s="137">
        <f t="shared" si="814"/>
        <v>0</v>
      </c>
      <c r="BG748" s="120"/>
      <c r="BH748" s="120"/>
      <c r="BI748" s="120"/>
      <c r="BJ748" s="120"/>
      <c r="BK748" s="120"/>
      <c r="BL748" s="120"/>
      <c r="BM748" s="120"/>
      <c r="BN748" s="120"/>
      <c r="BO748" s="120"/>
      <c r="BP748" s="120"/>
      <c r="BQ748" s="124"/>
      <c r="BR748" s="120"/>
      <c r="BS748" s="120"/>
      <c r="BT748" s="120"/>
      <c r="BU748" s="120"/>
      <c r="BV748" s="120"/>
      <c r="BW748" s="120"/>
      <c r="BZ748" s="136">
        <f t="shared" si="805"/>
        <v>0</v>
      </c>
      <c r="CA748" s="136">
        <f t="shared" si="806"/>
        <v>0</v>
      </c>
      <c r="CB748" s="136">
        <f t="shared" si="807"/>
        <v>0</v>
      </c>
      <c r="CC748" s="136">
        <f t="shared" si="808"/>
        <v>0</v>
      </c>
      <c r="CD748" s="135">
        <f t="shared" si="809"/>
        <v>0</v>
      </c>
      <c r="CE748" s="135">
        <f t="shared" si="810"/>
        <v>0</v>
      </c>
      <c r="CF748" s="134">
        <f t="shared" si="811"/>
        <v>0</v>
      </c>
      <c r="CG748" s="134">
        <f t="shared" si="812"/>
        <v>0</v>
      </c>
      <c r="CH748" s="133" t="e">
        <f t="shared" si="813"/>
        <v>#DIV/0!</v>
      </c>
    </row>
    <row r="749" spans="1:86" s="121" customFormat="1">
      <c r="A749" s="125">
        <f t="shared" si="815"/>
        <v>0</v>
      </c>
      <c r="B749" s="125"/>
      <c r="D749" s="121" t="s">
        <v>1248</v>
      </c>
      <c r="G749" s="124"/>
      <c r="H749" s="124"/>
      <c r="I749" s="122"/>
      <c r="M749" s="123"/>
      <c r="N749" s="121" t="s">
        <v>4245</v>
      </c>
      <c r="O749" s="121" t="s">
        <v>4246</v>
      </c>
      <c r="Q749" s="122">
        <v>7500</v>
      </c>
      <c r="R749" s="122"/>
      <c r="S749" s="122"/>
      <c r="T749" s="122"/>
      <c r="BD749" s="120"/>
      <c r="BE749" s="120">
        <f t="shared" si="804"/>
        <v>0</v>
      </c>
      <c r="BF749" s="137">
        <f t="shared" si="814"/>
        <v>0</v>
      </c>
      <c r="BG749" s="120"/>
      <c r="BH749" s="120"/>
      <c r="BI749" s="120"/>
      <c r="BJ749" s="120"/>
      <c r="BK749" s="120"/>
      <c r="BL749" s="120"/>
      <c r="BM749" s="120"/>
      <c r="BN749" s="120"/>
      <c r="BO749" s="120"/>
      <c r="BP749" s="120"/>
      <c r="BQ749" s="124"/>
      <c r="BR749" s="120"/>
      <c r="BS749" s="120"/>
      <c r="BT749" s="120"/>
      <c r="BU749" s="120"/>
      <c r="BV749" s="120"/>
      <c r="BW749" s="120"/>
      <c r="BZ749" s="136">
        <f t="shared" si="805"/>
        <v>0</v>
      </c>
      <c r="CA749" s="136">
        <f t="shared" si="806"/>
        <v>0</v>
      </c>
      <c r="CB749" s="136">
        <f t="shared" si="807"/>
        <v>0</v>
      </c>
      <c r="CC749" s="136">
        <f t="shared" si="808"/>
        <v>0</v>
      </c>
      <c r="CD749" s="135">
        <f t="shared" si="809"/>
        <v>0</v>
      </c>
      <c r="CE749" s="135">
        <f t="shared" si="810"/>
        <v>0</v>
      </c>
      <c r="CF749" s="134">
        <f t="shared" si="811"/>
        <v>0</v>
      </c>
      <c r="CG749" s="134">
        <f t="shared" si="812"/>
        <v>0</v>
      </c>
      <c r="CH749" s="133" t="e">
        <f t="shared" si="813"/>
        <v>#DIV/0!</v>
      </c>
    </row>
    <row r="750" spans="1:86" s="121" customFormat="1">
      <c r="A750" s="125">
        <f t="shared" si="815"/>
        <v>0</v>
      </c>
      <c r="B750" s="125"/>
      <c r="D750" s="121" t="s">
        <v>1248</v>
      </c>
      <c r="G750" s="124"/>
      <c r="H750" s="124"/>
      <c r="I750" s="122"/>
      <c r="M750" s="123"/>
      <c r="N750" s="121" t="s">
        <v>4247</v>
      </c>
      <c r="O750" s="121" t="s">
        <v>4248</v>
      </c>
      <c r="Q750" s="122">
        <v>7500</v>
      </c>
      <c r="R750" s="122"/>
      <c r="S750" s="122"/>
      <c r="T750" s="122"/>
      <c r="BD750" s="120"/>
      <c r="BE750" s="120">
        <f t="shared" si="804"/>
        <v>0</v>
      </c>
      <c r="BF750" s="137">
        <f t="shared" si="814"/>
        <v>0</v>
      </c>
      <c r="BG750" s="120"/>
      <c r="BH750" s="120"/>
      <c r="BI750" s="120"/>
      <c r="BJ750" s="120"/>
      <c r="BK750" s="120"/>
      <c r="BL750" s="120"/>
      <c r="BM750" s="120"/>
      <c r="BN750" s="120"/>
      <c r="BO750" s="120"/>
      <c r="BP750" s="120"/>
      <c r="BQ750" s="124"/>
      <c r="BR750" s="120"/>
      <c r="BS750" s="120"/>
      <c r="BT750" s="120"/>
      <c r="BU750" s="120"/>
      <c r="BV750" s="120"/>
      <c r="BW750" s="120"/>
      <c r="BZ750" s="136">
        <f t="shared" si="805"/>
        <v>0</v>
      </c>
      <c r="CA750" s="136">
        <f t="shared" si="806"/>
        <v>0</v>
      </c>
      <c r="CB750" s="136">
        <f t="shared" si="807"/>
        <v>0</v>
      </c>
      <c r="CC750" s="136">
        <f t="shared" si="808"/>
        <v>0</v>
      </c>
      <c r="CD750" s="135">
        <f t="shared" si="809"/>
        <v>0</v>
      </c>
      <c r="CE750" s="135">
        <f t="shared" si="810"/>
        <v>0</v>
      </c>
      <c r="CF750" s="134">
        <f t="shared" si="811"/>
        <v>0</v>
      </c>
      <c r="CG750" s="134">
        <f t="shared" si="812"/>
        <v>0</v>
      </c>
      <c r="CH750" s="133" t="e">
        <f t="shared" si="813"/>
        <v>#DIV/0!</v>
      </c>
    </row>
    <row r="751" spans="1:86" s="121" customFormat="1">
      <c r="A751" s="125">
        <f t="shared" si="815"/>
        <v>0</v>
      </c>
      <c r="B751" s="125"/>
      <c r="D751" s="121" t="s">
        <v>197</v>
      </c>
      <c r="G751" s="124"/>
      <c r="H751" s="124"/>
      <c r="I751" s="122"/>
      <c r="M751" s="123"/>
      <c r="N751" s="121" t="s">
        <v>4249</v>
      </c>
      <c r="O751" s="121" t="s">
        <v>214</v>
      </c>
      <c r="Q751" s="122">
        <f>3231*2.4</f>
        <v>7754.4</v>
      </c>
      <c r="R751" s="122"/>
      <c r="S751" s="122"/>
      <c r="T751" s="122"/>
      <c r="BD751" s="120"/>
      <c r="BE751" s="120">
        <f t="shared" si="804"/>
        <v>0</v>
      </c>
      <c r="BF751" s="137">
        <f t="shared" si="814"/>
        <v>0</v>
      </c>
      <c r="BG751" s="120"/>
      <c r="BH751" s="120"/>
      <c r="BI751" s="120"/>
      <c r="BJ751" s="120"/>
      <c r="BK751" s="120"/>
      <c r="BL751" s="120"/>
      <c r="BM751" s="120"/>
      <c r="BN751" s="120"/>
      <c r="BO751" s="120"/>
      <c r="BP751" s="120"/>
      <c r="BQ751" s="124"/>
      <c r="BR751" s="120"/>
      <c r="BS751" s="120"/>
      <c r="BT751" s="120"/>
      <c r="BU751" s="120"/>
      <c r="BV751" s="120"/>
      <c r="BW751" s="120"/>
      <c r="BZ751" s="136">
        <f t="shared" si="805"/>
        <v>0</v>
      </c>
      <c r="CA751" s="136">
        <f t="shared" si="806"/>
        <v>0</v>
      </c>
      <c r="CB751" s="136">
        <f t="shared" si="807"/>
        <v>0</v>
      </c>
      <c r="CC751" s="136">
        <f t="shared" si="808"/>
        <v>0</v>
      </c>
      <c r="CD751" s="135">
        <f t="shared" si="809"/>
        <v>0</v>
      </c>
      <c r="CE751" s="135">
        <f t="shared" si="810"/>
        <v>0</v>
      </c>
      <c r="CF751" s="134">
        <f t="shared" si="811"/>
        <v>0</v>
      </c>
      <c r="CG751" s="134">
        <f t="shared" si="812"/>
        <v>0</v>
      </c>
      <c r="CH751" s="133" t="e">
        <f t="shared" si="813"/>
        <v>#DIV/0!</v>
      </c>
    </row>
    <row r="752" spans="1:86" s="121" customFormat="1">
      <c r="A752" s="125">
        <f t="shared" si="815"/>
        <v>0</v>
      </c>
      <c r="B752" s="125"/>
      <c r="D752" s="121" t="s">
        <v>1248</v>
      </c>
      <c r="G752" s="124"/>
      <c r="H752" s="124"/>
      <c r="I752" s="122"/>
      <c r="M752" s="123"/>
      <c r="N752" s="121" t="s">
        <v>218</v>
      </c>
      <c r="O752" s="121" t="s">
        <v>4139</v>
      </c>
      <c r="Q752" s="122">
        <v>7500</v>
      </c>
      <c r="R752" s="122"/>
      <c r="S752" s="122"/>
      <c r="T752" s="122"/>
      <c r="BD752" s="120"/>
      <c r="BE752" s="120">
        <f t="shared" si="804"/>
        <v>0</v>
      </c>
      <c r="BF752" s="137">
        <f t="shared" si="814"/>
        <v>0</v>
      </c>
      <c r="BG752" s="120"/>
      <c r="BH752" s="120"/>
      <c r="BI752" s="120"/>
      <c r="BJ752" s="120"/>
      <c r="BK752" s="120"/>
      <c r="BL752" s="120"/>
      <c r="BM752" s="120"/>
      <c r="BN752" s="120"/>
      <c r="BO752" s="120"/>
      <c r="BP752" s="120"/>
      <c r="BQ752" s="124"/>
      <c r="BR752" s="120"/>
      <c r="BS752" s="120"/>
      <c r="BT752" s="120"/>
      <c r="BU752" s="120"/>
      <c r="BV752" s="120"/>
      <c r="BW752" s="120"/>
      <c r="BZ752" s="136">
        <f t="shared" si="805"/>
        <v>0</v>
      </c>
      <c r="CA752" s="136">
        <f t="shared" si="806"/>
        <v>0</v>
      </c>
      <c r="CB752" s="136">
        <f t="shared" si="807"/>
        <v>0</v>
      </c>
      <c r="CC752" s="136">
        <f t="shared" si="808"/>
        <v>0</v>
      </c>
      <c r="CD752" s="135">
        <f t="shared" si="809"/>
        <v>0</v>
      </c>
      <c r="CE752" s="135">
        <f t="shared" si="810"/>
        <v>0</v>
      </c>
      <c r="CF752" s="134">
        <f t="shared" si="811"/>
        <v>0</v>
      </c>
      <c r="CG752" s="134">
        <f t="shared" si="812"/>
        <v>0</v>
      </c>
      <c r="CH752" s="133" t="e">
        <f t="shared" si="813"/>
        <v>#DIV/0!</v>
      </c>
    </row>
    <row r="753" spans="1:86" s="121" customFormat="1">
      <c r="A753" s="125">
        <f t="shared" si="815"/>
        <v>0</v>
      </c>
      <c r="B753" s="125"/>
      <c r="D753" s="121" t="s">
        <v>1248</v>
      </c>
      <c r="G753" s="124"/>
      <c r="H753" s="124"/>
      <c r="I753" s="122"/>
      <c r="M753" s="123"/>
      <c r="N753" s="121" t="s">
        <v>4250</v>
      </c>
      <c r="O753" s="121" t="s">
        <v>4251</v>
      </c>
      <c r="Q753" s="122">
        <v>7500</v>
      </c>
      <c r="R753" s="122"/>
      <c r="S753" s="122"/>
      <c r="T753" s="122"/>
      <c r="BD753" s="120"/>
      <c r="BE753" s="120">
        <f t="shared" si="804"/>
        <v>0</v>
      </c>
      <c r="BF753" s="137">
        <f t="shared" si="814"/>
        <v>0</v>
      </c>
      <c r="BG753" s="120"/>
      <c r="BH753" s="120"/>
      <c r="BI753" s="120"/>
      <c r="BJ753" s="120"/>
      <c r="BK753" s="120"/>
      <c r="BL753" s="120"/>
      <c r="BM753" s="120"/>
      <c r="BN753" s="120"/>
      <c r="BO753" s="120"/>
      <c r="BP753" s="120"/>
      <c r="BQ753" s="124"/>
      <c r="BR753" s="120"/>
      <c r="BS753" s="120"/>
      <c r="BT753" s="120"/>
      <c r="BU753" s="120"/>
      <c r="BV753" s="120"/>
      <c r="BW753" s="120"/>
      <c r="BZ753" s="136">
        <f t="shared" si="805"/>
        <v>0</v>
      </c>
      <c r="CA753" s="136">
        <f t="shared" si="806"/>
        <v>0</v>
      </c>
      <c r="CB753" s="136">
        <f t="shared" si="807"/>
        <v>0</v>
      </c>
      <c r="CC753" s="136">
        <f t="shared" si="808"/>
        <v>0</v>
      </c>
      <c r="CD753" s="135">
        <f t="shared" si="809"/>
        <v>0</v>
      </c>
      <c r="CE753" s="135">
        <f t="shared" si="810"/>
        <v>0</v>
      </c>
      <c r="CF753" s="134">
        <f t="shared" si="811"/>
        <v>0</v>
      </c>
      <c r="CG753" s="134">
        <f t="shared" si="812"/>
        <v>0</v>
      </c>
      <c r="CH753" s="133" t="e">
        <f t="shared" si="813"/>
        <v>#DIV/0!</v>
      </c>
    </row>
    <row r="754" spans="1:86" s="121" customFormat="1">
      <c r="A754" s="125">
        <f t="shared" si="815"/>
        <v>0</v>
      </c>
      <c r="B754" s="125"/>
      <c r="D754" s="121" t="s">
        <v>1248</v>
      </c>
      <c r="G754" s="124"/>
      <c r="H754" s="124"/>
      <c r="I754" s="122"/>
      <c r="M754" s="123"/>
      <c r="N754" s="121" t="s">
        <v>4252</v>
      </c>
      <c r="O754" s="121" t="s">
        <v>4253</v>
      </c>
      <c r="Q754" s="122">
        <v>7500</v>
      </c>
      <c r="R754" s="122"/>
      <c r="S754" s="122"/>
      <c r="T754" s="122"/>
      <c r="BD754" s="120"/>
      <c r="BE754" s="120">
        <f t="shared" si="804"/>
        <v>0</v>
      </c>
      <c r="BF754" s="137">
        <f t="shared" si="814"/>
        <v>0</v>
      </c>
      <c r="BG754" s="120"/>
      <c r="BH754" s="120"/>
      <c r="BI754" s="120"/>
      <c r="BJ754" s="120"/>
      <c r="BK754" s="120"/>
      <c r="BL754" s="120"/>
      <c r="BM754" s="120"/>
      <c r="BN754" s="120"/>
      <c r="BO754" s="120"/>
      <c r="BP754" s="120"/>
      <c r="BQ754" s="124"/>
      <c r="BR754" s="120"/>
      <c r="BS754" s="120"/>
      <c r="BT754" s="120"/>
      <c r="BU754" s="120"/>
      <c r="BV754" s="120"/>
      <c r="BW754" s="120"/>
      <c r="BZ754" s="136">
        <f t="shared" si="805"/>
        <v>0</v>
      </c>
      <c r="CA754" s="136">
        <f t="shared" si="806"/>
        <v>0</v>
      </c>
      <c r="CB754" s="136">
        <f t="shared" si="807"/>
        <v>0</v>
      </c>
      <c r="CC754" s="136">
        <f t="shared" si="808"/>
        <v>0</v>
      </c>
      <c r="CD754" s="135">
        <f t="shared" si="809"/>
        <v>0</v>
      </c>
      <c r="CE754" s="135">
        <f t="shared" si="810"/>
        <v>0</v>
      </c>
      <c r="CF754" s="134">
        <f t="shared" si="811"/>
        <v>0</v>
      </c>
      <c r="CG754" s="134">
        <f t="shared" si="812"/>
        <v>0</v>
      </c>
      <c r="CH754" s="133" t="e">
        <f t="shared" si="813"/>
        <v>#DIV/0!</v>
      </c>
    </row>
    <row r="755" spans="1:86" s="121" customFormat="1">
      <c r="A755" s="125">
        <f t="shared" si="815"/>
        <v>0</v>
      </c>
      <c r="B755" s="125"/>
      <c r="D755" s="121" t="s">
        <v>1248</v>
      </c>
      <c r="G755" s="124"/>
      <c r="H755" s="124"/>
      <c r="I755" s="122"/>
      <c r="M755" s="123"/>
      <c r="N755" s="121" t="s">
        <v>4254</v>
      </c>
      <c r="O755" s="121" t="s">
        <v>4255</v>
      </c>
      <c r="Q755" s="122">
        <v>7500</v>
      </c>
      <c r="R755" s="122"/>
      <c r="S755" s="122"/>
      <c r="T755" s="122"/>
      <c r="BD755" s="120"/>
      <c r="BE755" s="120">
        <f t="shared" si="804"/>
        <v>0</v>
      </c>
      <c r="BF755" s="137">
        <f t="shared" si="814"/>
        <v>0</v>
      </c>
      <c r="BG755" s="120"/>
      <c r="BH755" s="120"/>
      <c r="BI755" s="120"/>
      <c r="BJ755" s="120"/>
      <c r="BK755" s="120"/>
      <c r="BL755" s="120"/>
      <c r="BM755" s="120"/>
      <c r="BN755" s="120"/>
      <c r="BO755" s="120"/>
      <c r="BP755" s="120"/>
      <c r="BQ755" s="124"/>
      <c r="BR755" s="120"/>
      <c r="BS755" s="120"/>
      <c r="BT755" s="120"/>
      <c r="BU755" s="120"/>
      <c r="BV755" s="120"/>
      <c r="BW755" s="120"/>
      <c r="BZ755" s="136">
        <f t="shared" si="805"/>
        <v>0</v>
      </c>
      <c r="CA755" s="136">
        <f t="shared" si="806"/>
        <v>0</v>
      </c>
      <c r="CB755" s="136">
        <f t="shared" si="807"/>
        <v>0</v>
      </c>
      <c r="CC755" s="136">
        <f t="shared" si="808"/>
        <v>0</v>
      </c>
      <c r="CD755" s="135">
        <f t="shared" si="809"/>
        <v>0</v>
      </c>
      <c r="CE755" s="135">
        <f t="shared" si="810"/>
        <v>0</v>
      </c>
      <c r="CF755" s="134">
        <f t="shared" si="811"/>
        <v>0</v>
      </c>
      <c r="CG755" s="134">
        <f t="shared" si="812"/>
        <v>0</v>
      </c>
      <c r="CH755" s="133" t="e">
        <f t="shared" si="813"/>
        <v>#DIV/0!</v>
      </c>
    </row>
    <row r="756" spans="1:86" s="121" customFormat="1">
      <c r="A756" s="125">
        <f t="shared" si="815"/>
        <v>0</v>
      </c>
      <c r="B756" s="125"/>
      <c r="D756" s="121" t="s">
        <v>215</v>
      </c>
      <c r="G756" s="124"/>
      <c r="H756" s="124"/>
      <c r="I756" s="122"/>
      <c r="M756" s="123"/>
      <c r="N756" s="121" t="s">
        <v>4224</v>
      </c>
      <c r="O756" s="121" t="s">
        <v>4209</v>
      </c>
      <c r="Q756" s="122">
        <f>3109*2.4</f>
        <v>7461.5999999999995</v>
      </c>
      <c r="R756" s="122"/>
      <c r="S756" s="122"/>
      <c r="T756" s="122"/>
      <c r="BD756" s="120"/>
      <c r="BE756" s="120">
        <f t="shared" si="804"/>
        <v>0</v>
      </c>
      <c r="BF756" s="137">
        <f t="shared" si="814"/>
        <v>0</v>
      </c>
      <c r="BG756" s="120"/>
      <c r="BH756" s="120"/>
      <c r="BI756" s="120"/>
      <c r="BJ756" s="120"/>
      <c r="BK756" s="120"/>
      <c r="BL756" s="120"/>
      <c r="BM756" s="120"/>
      <c r="BN756" s="120"/>
      <c r="BO756" s="120"/>
      <c r="BP756" s="120"/>
      <c r="BQ756" s="124"/>
      <c r="BR756" s="120"/>
      <c r="BS756" s="120"/>
      <c r="BT756" s="120"/>
      <c r="BU756" s="120"/>
      <c r="BV756" s="120"/>
      <c r="BW756" s="120"/>
      <c r="BZ756" s="136">
        <f t="shared" si="805"/>
        <v>0</v>
      </c>
      <c r="CA756" s="136">
        <f t="shared" si="806"/>
        <v>0</v>
      </c>
      <c r="CB756" s="136">
        <f t="shared" si="807"/>
        <v>0</v>
      </c>
      <c r="CC756" s="136">
        <f t="shared" si="808"/>
        <v>0</v>
      </c>
      <c r="CD756" s="135">
        <f t="shared" si="809"/>
        <v>0</v>
      </c>
      <c r="CE756" s="135">
        <f t="shared" si="810"/>
        <v>0</v>
      </c>
      <c r="CF756" s="134">
        <f t="shared" si="811"/>
        <v>0</v>
      </c>
      <c r="CG756" s="134">
        <f t="shared" si="812"/>
        <v>0</v>
      </c>
      <c r="CH756" s="133" t="e">
        <f t="shared" si="813"/>
        <v>#DIV/0!</v>
      </c>
    </row>
    <row r="757" spans="1:86" s="121" customFormat="1">
      <c r="A757" s="125">
        <f t="shared" si="815"/>
        <v>0</v>
      </c>
      <c r="B757" s="125"/>
      <c r="D757" s="121" t="s">
        <v>197</v>
      </c>
      <c r="G757" s="124"/>
      <c r="H757" s="124"/>
      <c r="I757" s="122"/>
      <c r="M757" s="123"/>
      <c r="N757" s="121" t="s">
        <v>4256</v>
      </c>
      <c r="O757" s="121" t="s">
        <v>4257</v>
      </c>
      <c r="Q757" s="122">
        <v>7500</v>
      </c>
      <c r="R757" s="122"/>
      <c r="S757" s="122"/>
      <c r="T757" s="122"/>
      <c r="BD757" s="120"/>
      <c r="BE757" s="120">
        <f t="shared" si="804"/>
        <v>0</v>
      </c>
      <c r="BF757" s="137">
        <f t="shared" si="814"/>
        <v>0</v>
      </c>
      <c r="BG757" s="120"/>
      <c r="BH757" s="120"/>
      <c r="BI757" s="120"/>
      <c r="BJ757" s="120"/>
      <c r="BK757" s="120"/>
      <c r="BL757" s="120"/>
      <c r="BM757" s="120"/>
      <c r="BN757" s="120"/>
      <c r="BO757" s="120"/>
      <c r="BP757" s="120"/>
      <c r="BQ757" s="124"/>
      <c r="BR757" s="120"/>
      <c r="BS757" s="120"/>
      <c r="BT757" s="120"/>
      <c r="BU757" s="120"/>
      <c r="BV757" s="120"/>
      <c r="BW757" s="120"/>
      <c r="BZ757" s="136">
        <f t="shared" si="805"/>
        <v>0</v>
      </c>
      <c r="CA757" s="136">
        <f t="shared" si="806"/>
        <v>0</v>
      </c>
      <c r="CB757" s="136">
        <f t="shared" si="807"/>
        <v>0</v>
      </c>
      <c r="CC757" s="136">
        <f t="shared" si="808"/>
        <v>0</v>
      </c>
      <c r="CD757" s="135">
        <f t="shared" si="809"/>
        <v>0</v>
      </c>
      <c r="CE757" s="135">
        <f t="shared" si="810"/>
        <v>0</v>
      </c>
      <c r="CF757" s="134">
        <f t="shared" si="811"/>
        <v>0</v>
      </c>
      <c r="CG757" s="134">
        <f t="shared" si="812"/>
        <v>0</v>
      </c>
      <c r="CH757" s="133" t="e">
        <f t="shared" si="813"/>
        <v>#DIV/0!</v>
      </c>
    </row>
    <row r="758" spans="1:86" s="121" customFormat="1">
      <c r="A758" s="125">
        <f t="shared" si="815"/>
        <v>0</v>
      </c>
      <c r="B758" s="125"/>
      <c r="D758" s="121" t="s">
        <v>215</v>
      </c>
      <c r="G758" s="124"/>
      <c r="H758" s="124"/>
      <c r="I758" s="122"/>
      <c r="M758" s="123"/>
      <c r="N758" s="121" t="s">
        <v>4214</v>
      </c>
      <c r="O758" s="121" t="s">
        <v>4134</v>
      </c>
      <c r="Q758" s="122">
        <f>3102*2.4</f>
        <v>7444.7999999999993</v>
      </c>
      <c r="R758" s="122"/>
      <c r="S758" s="122"/>
      <c r="T758" s="122"/>
      <c r="BD758" s="120"/>
      <c r="BE758" s="120">
        <f t="shared" si="804"/>
        <v>0</v>
      </c>
      <c r="BF758" s="137">
        <f t="shared" si="814"/>
        <v>0</v>
      </c>
      <c r="BG758" s="120"/>
      <c r="BH758" s="120"/>
      <c r="BI758" s="120"/>
      <c r="BJ758" s="120"/>
      <c r="BK758" s="120"/>
      <c r="BL758" s="120"/>
      <c r="BM758" s="120"/>
      <c r="BN758" s="120"/>
      <c r="BO758" s="120"/>
      <c r="BP758" s="120"/>
      <c r="BQ758" s="124"/>
      <c r="BR758" s="120"/>
      <c r="BS758" s="120"/>
      <c r="BT758" s="120"/>
      <c r="BU758" s="120"/>
      <c r="BV758" s="120"/>
      <c r="BW758" s="120"/>
      <c r="BX758" s="127"/>
      <c r="BY758" s="127"/>
      <c r="BZ758" s="136">
        <f t="shared" si="805"/>
        <v>0</v>
      </c>
      <c r="CA758" s="136">
        <f t="shared" si="806"/>
        <v>0</v>
      </c>
      <c r="CB758" s="136">
        <f t="shared" si="807"/>
        <v>0</v>
      </c>
      <c r="CC758" s="136">
        <f t="shared" si="808"/>
        <v>0</v>
      </c>
      <c r="CD758" s="135">
        <f t="shared" si="809"/>
        <v>0</v>
      </c>
      <c r="CE758" s="135">
        <f t="shared" si="810"/>
        <v>0</v>
      </c>
      <c r="CF758" s="134">
        <f t="shared" si="811"/>
        <v>0</v>
      </c>
      <c r="CG758" s="134">
        <f t="shared" si="812"/>
        <v>0</v>
      </c>
      <c r="CH758" s="133" t="e">
        <f t="shared" si="813"/>
        <v>#DIV/0!</v>
      </c>
    </row>
    <row r="759" spans="1:86" s="121" customFormat="1">
      <c r="A759" s="125">
        <f t="shared" si="815"/>
        <v>0</v>
      </c>
      <c r="B759" s="125"/>
      <c r="D759" s="121" t="s">
        <v>1248</v>
      </c>
      <c r="G759" s="124"/>
      <c r="H759" s="124"/>
      <c r="I759" s="122"/>
      <c r="M759" s="123"/>
      <c r="N759" s="121" t="s">
        <v>4258</v>
      </c>
      <c r="O759" s="121" t="s">
        <v>4259</v>
      </c>
      <c r="Q759" s="122">
        <v>5500</v>
      </c>
      <c r="R759" s="122"/>
      <c r="S759" s="122"/>
      <c r="T759" s="122"/>
      <c r="BD759" s="120"/>
      <c r="BE759" s="120">
        <f t="shared" si="804"/>
        <v>0</v>
      </c>
      <c r="BF759" s="137">
        <f t="shared" si="814"/>
        <v>0</v>
      </c>
      <c r="BG759" s="120"/>
      <c r="BH759" s="120"/>
      <c r="BI759" s="120"/>
      <c r="BJ759" s="120"/>
      <c r="BK759" s="120"/>
      <c r="BL759" s="120"/>
      <c r="BM759" s="120"/>
      <c r="BN759" s="120"/>
      <c r="BO759" s="120"/>
      <c r="BP759" s="120"/>
      <c r="BQ759" s="124"/>
      <c r="BR759" s="120"/>
      <c r="BS759" s="120"/>
      <c r="BT759" s="120"/>
      <c r="BU759" s="120"/>
      <c r="BV759" s="120"/>
      <c r="BW759" s="120"/>
      <c r="BZ759" s="136">
        <f t="shared" si="805"/>
        <v>0</v>
      </c>
      <c r="CA759" s="136">
        <f t="shared" si="806"/>
        <v>0</v>
      </c>
      <c r="CB759" s="136">
        <f t="shared" si="807"/>
        <v>0</v>
      </c>
      <c r="CC759" s="136">
        <f t="shared" si="808"/>
        <v>0</v>
      </c>
      <c r="CD759" s="135">
        <f t="shared" si="809"/>
        <v>0</v>
      </c>
      <c r="CE759" s="135">
        <f t="shared" si="810"/>
        <v>0</v>
      </c>
      <c r="CF759" s="134">
        <f t="shared" si="811"/>
        <v>0</v>
      </c>
      <c r="CG759" s="134">
        <f t="shared" si="812"/>
        <v>0</v>
      </c>
      <c r="CH759" s="133" t="e">
        <f t="shared" si="813"/>
        <v>#DIV/0!</v>
      </c>
    </row>
    <row r="760" spans="1:86" s="121" customFormat="1">
      <c r="A760" s="125">
        <f t="shared" si="815"/>
        <v>0</v>
      </c>
      <c r="B760" s="125"/>
      <c r="D760" s="121" t="s">
        <v>1248</v>
      </c>
      <c r="G760" s="124"/>
      <c r="H760" s="124"/>
      <c r="I760" s="122"/>
      <c r="M760" s="123"/>
      <c r="N760" s="121" t="s">
        <v>2322</v>
      </c>
      <c r="O760" s="121" t="s">
        <v>4260</v>
      </c>
      <c r="Q760" s="122">
        <v>7500</v>
      </c>
      <c r="R760" s="122"/>
      <c r="S760" s="122"/>
      <c r="T760" s="122"/>
      <c r="BD760" s="120"/>
      <c r="BE760" s="120">
        <f t="shared" si="804"/>
        <v>0</v>
      </c>
      <c r="BF760" s="137">
        <f t="shared" si="814"/>
        <v>0</v>
      </c>
      <c r="BG760" s="120"/>
      <c r="BH760" s="120"/>
      <c r="BI760" s="120"/>
      <c r="BJ760" s="120"/>
      <c r="BK760" s="120"/>
      <c r="BL760" s="120"/>
      <c r="BM760" s="120"/>
      <c r="BN760" s="120"/>
      <c r="BO760" s="120"/>
      <c r="BP760" s="120"/>
      <c r="BQ760" s="124"/>
      <c r="BR760" s="120"/>
      <c r="BS760" s="120"/>
      <c r="BT760" s="120"/>
      <c r="BU760" s="120"/>
      <c r="BV760" s="120"/>
      <c r="BW760" s="120"/>
      <c r="BZ760" s="136">
        <f t="shared" si="805"/>
        <v>0</v>
      </c>
      <c r="CA760" s="136">
        <f t="shared" si="806"/>
        <v>0</v>
      </c>
      <c r="CB760" s="136">
        <f t="shared" si="807"/>
        <v>0</v>
      </c>
      <c r="CC760" s="136">
        <f t="shared" si="808"/>
        <v>0</v>
      </c>
      <c r="CD760" s="135">
        <f t="shared" si="809"/>
        <v>0</v>
      </c>
      <c r="CE760" s="135">
        <f t="shared" si="810"/>
        <v>0</v>
      </c>
      <c r="CF760" s="134">
        <f t="shared" si="811"/>
        <v>0</v>
      </c>
      <c r="CG760" s="134">
        <f t="shared" si="812"/>
        <v>0</v>
      </c>
      <c r="CH760" s="133" t="e">
        <f t="shared" si="813"/>
        <v>#DIV/0!</v>
      </c>
    </row>
    <row r="761" spans="1:86" s="121" customFormat="1">
      <c r="A761" s="125">
        <f t="shared" si="815"/>
        <v>0</v>
      </c>
      <c r="B761" s="125"/>
      <c r="D761" s="121" t="s">
        <v>215</v>
      </c>
      <c r="G761" s="124"/>
      <c r="H761" s="124"/>
      <c r="I761" s="122"/>
      <c r="M761" s="123"/>
      <c r="N761" s="121" t="s">
        <v>4261</v>
      </c>
      <c r="O761" s="121" t="s">
        <v>4204</v>
      </c>
      <c r="Q761" s="122">
        <f>3136*2.4</f>
        <v>7526.4</v>
      </c>
      <c r="R761" s="122"/>
      <c r="S761" s="122"/>
      <c r="T761" s="122"/>
      <c r="BD761" s="120"/>
      <c r="BE761" s="120">
        <f t="shared" si="804"/>
        <v>0</v>
      </c>
      <c r="BF761" s="137">
        <f t="shared" si="814"/>
        <v>0</v>
      </c>
      <c r="BG761" s="120"/>
      <c r="BH761" s="120"/>
      <c r="BI761" s="120"/>
      <c r="BJ761" s="120"/>
      <c r="BK761" s="120"/>
      <c r="BL761" s="120"/>
      <c r="BM761" s="120"/>
      <c r="BN761" s="120"/>
      <c r="BO761" s="120"/>
      <c r="BP761" s="120"/>
      <c r="BQ761" s="124"/>
      <c r="BR761" s="120"/>
      <c r="BS761" s="120"/>
      <c r="BT761" s="120"/>
      <c r="BU761" s="120"/>
      <c r="BV761" s="120"/>
      <c r="BW761" s="120"/>
      <c r="BZ761" s="136">
        <f t="shared" si="805"/>
        <v>0</v>
      </c>
      <c r="CA761" s="136">
        <f t="shared" si="806"/>
        <v>0</v>
      </c>
      <c r="CB761" s="136">
        <f t="shared" si="807"/>
        <v>0</v>
      </c>
      <c r="CC761" s="136">
        <f t="shared" si="808"/>
        <v>0</v>
      </c>
      <c r="CD761" s="135">
        <f t="shared" si="809"/>
        <v>0</v>
      </c>
      <c r="CE761" s="135">
        <f t="shared" si="810"/>
        <v>0</v>
      </c>
      <c r="CF761" s="134">
        <f t="shared" si="811"/>
        <v>0</v>
      </c>
      <c r="CG761" s="134">
        <f t="shared" si="812"/>
        <v>0</v>
      </c>
      <c r="CH761" s="133" t="e">
        <f t="shared" si="813"/>
        <v>#DIV/0!</v>
      </c>
    </row>
    <row r="762" spans="1:86" s="121" customFormat="1">
      <c r="A762" s="125">
        <f t="shared" si="815"/>
        <v>0</v>
      </c>
      <c r="B762" s="125"/>
      <c r="D762" s="121" t="s">
        <v>1248</v>
      </c>
      <c r="G762" s="124"/>
      <c r="H762" s="124"/>
      <c r="I762" s="122"/>
      <c r="M762" s="123"/>
      <c r="N762" s="121" t="s">
        <v>4262</v>
      </c>
      <c r="O762" s="121" t="s">
        <v>4263</v>
      </c>
      <c r="Q762" s="122">
        <v>5500</v>
      </c>
      <c r="R762" s="122"/>
      <c r="S762" s="122"/>
      <c r="T762" s="122"/>
      <c r="BD762" s="120"/>
      <c r="BE762" s="120">
        <f t="shared" si="804"/>
        <v>0</v>
      </c>
      <c r="BF762" s="137">
        <f t="shared" si="814"/>
        <v>0</v>
      </c>
      <c r="BG762" s="120"/>
      <c r="BH762" s="120"/>
      <c r="BI762" s="120"/>
      <c r="BJ762" s="120"/>
      <c r="BK762" s="120"/>
      <c r="BL762" s="120"/>
      <c r="BM762" s="120"/>
      <c r="BN762" s="120"/>
      <c r="BO762" s="120"/>
      <c r="BP762" s="120"/>
      <c r="BQ762" s="124"/>
      <c r="BR762" s="120"/>
      <c r="BS762" s="120"/>
      <c r="BT762" s="120"/>
      <c r="BU762" s="120"/>
      <c r="BV762" s="120"/>
      <c r="BW762" s="120"/>
      <c r="BZ762" s="136">
        <f t="shared" si="805"/>
        <v>0</v>
      </c>
      <c r="CA762" s="136">
        <f t="shared" si="806"/>
        <v>0</v>
      </c>
      <c r="CB762" s="136">
        <f t="shared" si="807"/>
        <v>0</v>
      </c>
      <c r="CC762" s="136">
        <f t="shared" si="808"/>
        <v>0</v>
      </c>
      <c r="CD762" s="135">
        <f t="shared" si="809"/>
        <v>0</v>
      </c>
      <c r="CE762" s="135">
        <f t="shared" si="810"/>
        <v>0</v>
      </c>
      <c r="CF762" s="134">
        <f t="shared" si="811"/>
        <v>0</v>
      </c>
      <c r="CG762" s="134">
        <f t="shared" si="812"/>
        <v>0</v>
      </c>
      <c r="CH762" s="133" t="e">
        <f t="shared" si="813"/>
        <v>#DIV/0!</v>
      </c>
    </row>
    <row r="763" spans="1:86" s="121" customFormat="1">
      <c r="A763" s="125">
        <f t="shared" si="815"/>
        <v>0</v>
      </c>
      <c r="B763" s="125"/>
      <c r="D763" s="121" t="s">
        <v>1248</v>
      </c>
      <c r="G763" s="124"/>
      <c r="H763" s="124"/>
      <c r="I763" s="122"/>
      <c r="M763" s="123"/>
      <c r="N763" s="121" t="s">
        <v>4264</v>
      </c>
      <c r="O763" s="121" t="s">
        <v>4265</v>
      </c>
      <c r="Q763" s="122">
        <v>7500</v>
      </c>
      <c r="R763" s="122"/>
      <c r="S763" s="122"/>
      <c r="T763" s="122"/>
      <c r="BD763" s="120"/>
      <c r="BE763" s="120">
        <f t="shared" si="804"/>
        <v>0</v>
      </c>
      <c r="BF763" s="137">
        <f t="shared" si="814"/>
        <v>0</v>
      </c>
      <c r="BG763" s="120"/>
      <c r="BH763" s="120"/>
      <c r="BI763" s="120"/>
      <c r="BJ763" s="120"/>
      <c r="BK763" s="120"/>
      <c r="BL763" s="120"/>
      <c r="BM763" s="120"/>
      <c r="BN763" s="120"/>
      <c r="BO763" s="120"/>
      <c r="BP763" s="120"/>
      <c r="BQ763" s="124"/>
      <c r="BR763" s="120"/>
      <c r="BS763" s="120"/>
      <c r="BT763" s="120"/>
      <c r="BU763" s="120"/>
      <c r="BV763" s="120"/>
      <c r="BW763" s="120"/>
      <c r="BZ763" s="136">
        <f t="shared" si="805"/>
        <v>0</v>
      </c>
      <c r="CA763" s="136">
        <f t="shared" si="806"/>
        <v>0</v>
      </c>
      <c r="CB763" s="136">
        <f t="shared" si="807"/>
        <v>0</v>
      </c>
      <c r="CC763" s="136">
        <f t="shared" si="808"/>
        <v>0</v>
      </c>
      <c r="CD763" s="135">
        <f t="shared" si="809"/>
        <v>0</v>
      </c>
      <c r="CE763" s="135">
        <f t="shared" si="810"/>
        <v>0</v>
      </c>
      <c r="CF763" s="134">
        <f t="shared" si="811"/>
        <v>0</v>
      </c>
      <c r="CG763" s="134">
        <f t="shared" si="812"/>
        <v>0</v>
      </c>
      <c r="CH763" s="133" t="e">
        <f t="shared" si="813"/>
        <v>#DIV/0!</v>
      </c>
    </row>
    <row r="764" spans="1:86" s="121" customFormat="1">
      <c r="A764" s="125">
        <f t="shared" si="815"/>
        <v>0</v>
      </c>
      <c r="B764" s="125"/>
      <c r="D764" s="121" t="s">
        <v>215</v>
      </c>
      <c r="G764" s="124"/>
      <c r="H764" s="124"/>
      <c r="I764" s="122"/>
      <c r="M764" s="123"/>
      <c r="N764" s="121" t="s">
        <v>374</v>
      </c>
      <c r="O764" s="121" t="s">
        <v>4164</v>
      </c>
      <c r="Q764" s="122">
        <f>3156*2.4</f>
        <v>7574.4</v>
      </c>
      <c r="R764" s="122"/>
      <c r="S764" s="122"/>
      <c r="T764" s="122"/>
      <c r="BD764" s="120"/>
      <c r="BE764" s="120">
        <f t="shared" si="804"/>
        <v>0</v>
      </c>
      <c r="BF764" s="137">
        <f t="shared" si="814"/>
        <v>0</v>
      </c>
      <c r="BG764" s="120"/>
      <c r="BH764" s="120"/>
      <c r="BI764" s="120"/>
      <c r="BJ764" s="120"/>
      <c r="BK764" s="120"/>
      <c r="BL764" s="120"/>
      <c r="BM764" s="120"/>
      <c r="BN764" s="120"/>
      <c r="BO764" s="120"/>
      <c r="BP764" s="120"/>
      <c r="BQ764" s="124"/>
      <c r="BR764" s="120"/>
      <c r="BS764" s="120"/>
      <c r="BT764" s="120"/>
      <c r="BU764" s="120"/>
      <c r="BV764" s="120"/>
      <c r="BW764" s="120"/>
      <c r="BZ764" s="136">
        <f t="shared" si="805"/>
        <v>0</v>
      </c>
      <c r="CA764" s="136">
        <f t="shared" si="806"/>
        <v>0</v>
      </c>
      <c r="CB764" s="136">
        <f t="shared" si="807"/>
        <v>0</v>
      </c>
      <c r="CC764" s="136">
        <f t="shared" si="808"/>
        <v>0</v>
      </c>
      <c r="CD764" s="135">
        <f t="shared" si="809"/>
        <v>0</v>
      </c>
      <c r="CE764" s="135">
        <f t="shared" si="810"/>
        <v>0</v>
      </c>
      <c r="CF764" s="134">
        <f t="shared" si="811"/>
        <v>0</v>
      </c>
      <c r="CG764" s="134">
        <f t="shared" si="812"/>
        <v>0</v>
      </c>
      <c r="CH764" s="133" t="e">
        <f t="shared" si="813"/>
        <v>#DIV/0!</v>
      </c>
    </row>
    <row r="765" spans="1:86" s="121" customFormat="1">
      <c r="A765" s="125">
        <f t="shared" si="815"/>
        <v>0</v>
      </c>
      <c r="B765" s="125"/>
      <c r="D765" s="121" t="s">
        <v>1248</v>
      </c>
      <c r="G765" s="124"/>
      <c r="H765" s="124"/>
      <c r="I765" s="122"/>
      <c r="M765" s="123"/>
      <c r="N765" s="121" t="s">
        <v>4266</v>
      </c>
      <c r="O765" s="121" t="s">
        <v>2326</v>
      </c>
      <c r="Q765" s="122">
        <v>7500</v>
      </c>
      <c r="R765" s="122"/>
      <c r="S765" s="122"/>
      <c r="T765" s="122"/>
      <c r="BD765" s="120"/>
      <c r="BE765" s="120">
        <f t="shared" si="804"/>
        <v>0</v>
      </c>
      <c r="BF765" s="137">
        <f t="shared" si="814"/>
        <v>0</v>
      </c>
      <c r="BG765" s="120"/>
      <c r="BH765" s="120"/>
      <c r="BI765" s="120"/>
      <c r="BJ765" s="120"/>
      <c r="BK765" s="120"/>
      <c r="BL765" s="120"/>
      <c r="BM765" s="120"/>
      <c r="BN765" s="120"/>
      <c r="BO765" s="120"/>
      <c r="BP765" s="120"/>
      <c r="BQ765" s="124"/>
      <c r="BR765" s="120"/>
      <c r="BS765" s="120"/>
      <c r="BT765" s="120"/>
      <c r="BU765" s="120"/>
      <c r="BV765" s="120"/>
      <c r="BW765" s="120"/>
      <c r="BZ765" s="136">
        <f t="shared" si="805"/>
        <v>0</v>
      </c>
      <c r="CA765" s="136">
        <f t="shared" si="806"/>
        <v>0</v>
      </c>
      <c r="CB765" s="136">
        <f t="shared" si="807"/>
        <v>0</v>
      </c>
      <c r="CC765" s="136">
        <f t="shared" si="808"/>
        <v>0</v>
      </c>
      <c r="CD765" s="135">
        <f t="shared" si="809"/>
        <v>0</v>
      </c>
      <c r="CE765" s="135">
        <f t="shared" si="810"/>
        <v>0</v>
      </c>
      <c r="CF765" s="134">
        <f t="shared" si="811"/>
        <v>0</v>
      </c>
      <c r="CG765" s="134">
        <f t="shared" si="812"/>
        <v>0</v>
      </c>
      <c r="CH765" s="133" t="e">
        <f t="shared" si="813"/>
        <v>#DIV/0!</v>
      </c>
    </row>
    <row r="766" spans="1:86" s="121" customFormat="1">
      <c r="A766" s="125">
        <f t="shared" si="815"/>
        <v>0</v>
      </c>
      <c r="B766" s="125"/>
      <c r="D766" s="121" t="s">
        <v>1248</v>
      </c>
      <c r="G766" s="124"/>
      <c r="H766" s="124"/>
      <c r="I766" s="122"/>
      <c r="M766" s="123"/>
      <c r="N766" s="121" t="s">
        <v>4267</v>
      </c>
      <c r="O766" s="121" t="s">
        <v>4268</v>
      </c>
      <c r="Q766" s="122">
        <v>7500</v>
      </c>
      <c r="R766" s="122"/>
      <c r="S766" s="122"/>
      <c r="T766" s="122"/>
      <c r="BD766" s="120"/>
      <c r="BE766" s="120">
        <f t="shared" ref="BE766:BE829" si="816">BW766</f>
        <v>0</v>
      </c>
      <c r="BF766" s="137">
        <f t="shared" si="814"/>
        <v>0</v>
      </c>
      <c r="BG766" s="120"/>
      <c r="BH766" s="120"/>
      <c r="BI766" s="120"/>
      <c r="BJ766" s="120"/>
      <c r="BK766" s="120"/>
      <c r="BL766" s="120"/>
      <c r="BM766" s="120"/>
      <c r="BN766" s="120"/>
      <c r="BO766" s="120"/>
      <c r="BP766" s="120"/>
      <c r="BQ766" s="124"/>
      <c r="BR766" s="120"/>
      <c r="BS766" s="120"/>
      <c r="BT766" s="120"/>
      <c r="BU766" s="120"/>
      <c r="BV766" s="120"/>
      <c r="BW766" s="120"/>
      <c r="BZ766" s="136">
        <f t="shared" si="805"/>
        <v>0</v>
      </c>
      <c r="CA766" s="136">
        <f t="shared" si="806"/>
        <v>0</v>
      </c>
      <c r="CB766" s="136">
        <f t="shared" si="807"/>
        <v>0</v>
      </c>
      <c r="CC766" s="136">
        <f t="shared" si="808"/>
        <v>0</v>
      </c>
      <c r="CD766" s="135">
        <f t="shared" si="809"/>
        <v>0</v>
      </c>
      <c r="CE766" s="135">
        <f t="shared" si="810"/>
        <v>0</v>
      </c>
      <c r="CF766" s="134">
        <f t="shared" si="811"/>
        <v>0</v>
      </c>
      <c r="CG766" s="134">
        <f t="shared" si="812"/>
        <v>0</v>
      </c>
      <c r="CH766" s="133" t="e">
        <f t="shared" si="813"/>
        <v>#DIV/0!</v>
      </c>
    </row>
    <row r="767" spans="1:86" s="121" customFormat="1">
      <c r="A767" s="125">
        <f t="shared" si="815"/>
        <v>0</v>
      </c>
      <c r="B767" s="125"/>
      <c r="D767" s="121" t="s">
        <v>1248</v>
      </c>
      <c r="G767" s="124"/>
      <c r="H767" s="124"/>
      <c r="I767" s="122"/>
      <c r="M767" s="123"/>
      <c r="N767" s="121" t="s">
        <v>4269</v>
      </c>
      <c r="O767" s="121" t="s">
        <v>4270</v>
      </c>
      <c r="Q767" s="122">
        <v>7500</v>
      </c>
      <c r="R767" s="122"/>
      <c r="S767" s="122"/>
      <c r="T767" s="122"/>
      <c r="BD767" s="120"/>
      <c r="BE767" s="120">
        <f t="shared" si="816"/>
        <v>0</v>
      </c>
      <c r="BF767" s="137">
        <f t="shared" si="814"/>
        <v>0</v>
      </c>
      <c r="BG767" s="120"/>
      <c r="BH767" s="120"/>
      <c r="BI767" s="120"/>
      <c r="BJ767" s="120"/>
      <c r="BK767" s="120"/>
      <c r="BL767" s="120"/>
      <c r="BM767" s="120"/>
      <c r="BN767" s="120"/>
      <c r="BO767" s="120"/>
      <c r="BP767" s="120"/>
      <c r="BQ767" s="124"/>
      <c r="BR767" s="120"/>
      <c r="BS767" s="120"/>
      <c r="BT767" s="120"/>
      <c r="BU767" s="120"/>
      <c r="BV767" s="120"/>
      <c r="BW767" s="120"/>
      <c r="BZ767" s="136">
        <f t="shared" si="805"/>
        <v>0</v>
      </c>
      <c r="CA767" s="136">
        <f t="shared" si="806"/>
        <v>0</v>
      </c>
      <c r="CB767" s="136">
        <f t="shared" si="807"/>
        <v>0</v>
      </c>
      <c r="CC767" s="136">
        <f t="shared" si="808"/>
        <v>0</v>
      </c>
      <c r="CD767" s="135">
        <f t="shared" si="809"/>
        <v>0</v>
      </c>
      <c r="CE767" s="135">
        <f t="shared" si="810"/>
        <v>0</v>
      </c>
      <c r="CF767" s="134">
        <f t="shared" si="811"/>
        <v>0</v>
      </c>
      <c r="CG767" s="134">
        <f t="shared" si="812"/>
        <v>0</v>
      </c>
      <c r="CH767" s="133" t="e">
        <f t="shared" si="813"/>
        <v>#DIV/0!</v>
      </c>
    </row>
    <row r="768" spans="1:86" s="128" customFormat="1">
      <c r="A768" s="125">
        <f t="shared" si="815"/>
        <v>0</v>
      </c>
      <c r="B768" s="125"/>
      <c r="C768" s="121"/>
      <c r="D768" s="121" t="s">
        <v>1248</v>
      </c>
      <c r="E768" s="121"/>
      <c r="F768" s="121"/>
      <c r="G768" s="124"/>
      <c r="H768" s="124"/>
      <c r="I768" s="122"/>
      <c r="J768" s="121"/>
      <c r="K768" s="121"/>
      <c r="L768" s="121"/>
      <c r="M768" s="123"/>
      <c r="N768" s="121" t="s">
        <v>4271</v>
      </c>
      <c r="O768" s="121" t="s">
        <v>4272</v>
      </c>
      <c r="P768" s="121"/>
      <c r="Q768" s="122">
        <v>8500</v>
      </c>
      <c r="R768" s="122"/>
      <c r="S768" s="122"/>
      <c r="T768" s="122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  <c r="AL768" s="121"/>
      <c r="AM768" s="121"/>
      <c r="AN768" s="121"/>
      <c r="AO768" s="121"/>
      <c r="AP768" s="121"/>
      <c r="AQ768" s="121"/>
      <c r="AR768" s="121"/>
      <c r="AS768" s="121"/>
      <c r="AT768" s="121"/>
      <c r="AU768" s="121"/>
      <c r="AV768" s="121"/>
      <c r="AW768" s="121"/>
      <c r="AX768" s="121"/>
      <c r="AY768" s="121"/>
      <c r="AZ768" s="121"/>
      <c r="BA768" s="121"/>
      <c r="BB768" s="121"/>
      <c r="BC768" s="121"/>
      <c r="BD768" s="120"/>
      <c r="BE768" s="120">
        <f t="shared" si="816"/>
        <v>0</v>
      </c>
      <c r="BF768" s="137">
        <f t="shared" si="814"/>
        <v>0</v>
      </c>
      <c r="BG768" s="120"/>
      <c r="BH768" s="120"/>
      <c r="BI768" s="120"/>
      <c r="BJ768" s="120"/>
      <c r="BK768" s="120"/>
      <c r="BL768" s="120"/>
      <c r="BM768" s="120"/>
      <c r="BN768" s="120"/>
      <c r="BO768" s="120"/>
      <c r="BP768" s="120"/>
      <c r="BQ768" s="124"/>
      <c r="BR768" s="120"/>
      <c r="BS768" s="120"/>
      <c r="BT768" s="120"/>
      <c r="BU768" s="120"/>
      <c r="BV768" s="120"/>
      <c r="BW768" s="120"/>
      <c r="BX768" s="121"/>
      <c r="BY768" s="121"/>
      <c r="BZ768" s="136">
        <f t="shared" si="805"/>
        <v>0</v>
      </c>
      <c r="CA768" s="136">
        <f t="shared" si="806"/>
        <v>0</v>
      </c>
      <c r="CB768" s="136">
        <f t="shared" si="807"/>
        <v>0</v>
      </c>
      <c r="CC768" s="136">
        <f t="shared" si="808"/>
        <v>0</v>
      </c>
      <c r="CD768" s="135">
        <f t="shared" si="809"/>
        <v>0</v>
      </c>
      <c r="CE768" s="135">
        <f t="shared" si="810"/>
        <v>0</v>
      </c>
      <c r="CF768" s="134">
        <f t="shared" si="811"/>
        <v>0</v>
      </c>
      <c r="CG768" s="134">
        <f t="shared" si="812"/>
        <v>0</v>
      </c>
      <c r="CH768" s="133" t="e">
        <f t="shared" si="813"/>
        <v>#DIV/0!</v>
      </c>
    </row>
    <row r="769" spans="1:86" s="121" customFormat="1">
      <c r="A769" s="125">
        <f t="shared" si="815"/>
        <v>0</v>
      </c>
      <c r="B769" s="125"/>
      <c r="D769" s="121" t="s">
        <v>197</v>
      </c>
      <c r="G769" s="124"/>
      <c r="H769" s="124"/>
      <c r="I769" s="122"/>
      <c r="M769" s="123"/>
      <c r="N769" s="121" t="s">
        <v>4273</v>
      </c>
      <c r="O769" s="121" t="s">
        <v>4274</v>
      </c>
      <c r="Q769" s="122">
        <f>3091*2.4</f>
        <v>7418.4</v>
      </c>
      <c r="R769" s="122"/>
      <c r="S769" s="122"/>
      <c r="T769" s="122"/>
      <c r="BD769" s="120"/>
      <c r="BE769" s="120">
        <f t="shared" si="816"/>
        <v>0</v>
      </c>
      <c r="BF769" s="137">
        <f t="shared" si="814"/>
        <v>0</v>
      </c>
      <c r="BG769" s="120"/>
      <c r="BH769" s="120"/>
      <c r="BI769" s="120"/>
      <c r="BJ769" s="120"/>
      <c r="BK769" s="120"/>
      <c r="BL769" s="120"/>
      <c r="BM769" s="120"/>
      <c r="BN769" s="120"/>
      <c r="BO769" s="120"/>
      <c r="BP769" s="120"/>
      <c r="BQ769" s="124"/>
      <c r="BR769" s="120"/>
      <c r="BS769" s="120"/>
      <c r="BT769" s="120"/>
      <c r="BU769" s="120"/>
      <c r="BV769" s="120"/>
      <c r="BW769" s="120"/>
      <c r="BZ769" s="136">
        <f t="shared" si="805"/>
        <v>0</v>
      </c>
      <c r="CA769" s="136">
        <f t="shared" si="806"/>
        <v>0</v>
      </c>
      <c r="CB769" s="136">
        <f t="shared" si="807"/>
        <v>0</v>
      </c>
      <c r="CC769" s="136">
        <f t="shared" si="808"/>
        <v>0</v>
      </c>
      <c r="CD769" s="135">
        <f t="shared" si="809"/>
        <v>0</v>
      </c>
      <c r="CE769" s="135">
        <f t="shared" si="810"/>
        <v>0</v>
      </c>
      <c r="CF769" s="134">
        <f t="shared" si="811"/>
        <v>0</v>
      </c>
      <c r="CG769" s="134">
        <f t="shared" si="812"/>
        <v>0</v>
      </c>
      <c r="CH769" s="133" t="e">
        <f t="shared" si="813"/>
        <v>#DIV/0!</v>
      </c>
    </row>
    <row r="770" spans="1:86" s="121" customFormat="1">
      <c r="A770" s="125">
        <f t="shared" si="815"/>
        <v>0</v>
      </c>
      <c r="B770" s="125"/>
      <c r="D770" s="121" t="s">
        <v>197</v>
      </c>
      <c r="G770" s="124"/>
      <c r="H770" s="124"/>
      <c r="I770" s="122"/>
      <c r="M770" s="123"/>
      <c r="N770" s="121" t="s">
        <v>4275</v>
      </c>
      <c r="O770" s="121" t="s">
        <v>4276</v>
      </c>
      <c r="Q770" s="122">
        <v>7500</v>
      </c>
      <c r="R770" s="122"/>
      <c r="S770" s="122"/>
      <c r="T770" s="122"/>
      <c r="BD770" s="120"/>
      <c r="BE770" s="120">
        <f t="shared" si="816"/>
        <v>0</v>
      </c>
      <c r="BF770" s="137">
        <f t="shared" si="814"/>
        <v>0</v>
      </c>
      <c r="BG770" s="120"/>
      <c r="BH770" s="120"/>
      <c r="BI770" s="120"/>
      <c r="BJ770" s="120"/>
      <c r="BK770" s="120"/>
      <c r="BL770" s="120"/>
      <c r="BM770" s="120"/>
      <c r="BN770" s="120"/>
      <c r="BO770" s="120"/>
      <c r="BP770" s="120"/>
      <c r="BQ770" s="124"/>
      <c r="BR770" s="120"/>
      <c r="BS770" s="120"/>
      <c r="BT770" s="120"/>
      <c r="BU770" s="120"/>
      <c r="BV770" s="120"/>
      <c r="BW770" s="120"/>
      <c r="BZ770" s="136">
        <f t="shared" si="805"/>
        <v>0</v>
      </c>
      <c r="CA770" s="136">
        <f t="shared" si="806"/>
        <v>0</v>
      </c>
      <c r="CB770" s="136">
        <f t="shared" si="807"/>
        <v>0</v>
      </c>
      <c r="CC770" s="136">
        <f t="shared" si="808"/>
        <v>0</v>
      </c>
      <c r="CD770" s="135">
        <f t="shared" si="809"/>
        <v>0</v>
      </c>
      <c r="CE770" s="135">
        <f t="shared" si="810"/>
        <v>0</v>
      </c>
      <c r="CF770" s="134">
        <f t="shared" si="811"/>
        <v>0</v>
      </c>
      <c r="CG770" s="134">
        <f t="shared" si="812"/>
        <v>0</v>
      </c>
      <c r="CH770" s="133" t="e">
        <f t="shared" si="813"/>
        <v>#DIV/0!</v>
      </c>
    </row>
    <row r="771" spans="1:86" s="121" customFormat="1">
      <c r="A771" s="125">
        <f t="shared" si="815"/>
        <v>0</v>
      </c>
      <c r="B771" s="125"/>
      <c r="D771" s="121" t="s">
        <v>1248</v>
      </c>
      <c r="G771" s="124"/>
      <c r="H771" s="124"/>
      <c r="I771" s="122"/>
      <c r="M771" s="123"/>
      <c r="N771" s="121" t="s">
        <v>4277</v>
      </c>
      <c r="O771" s="121" t="s">
        <v>4278</v>
      </c>
      <c r="Q771" s="122">
        <v>7500</v>
      </c>
      <c r="R771" s="122"/>
      <c r="S771" s="122"/>
      <c r="T771" s="122"/>
      <c r="BD771" s="120"/>
      <c r="BE771" s="120">
        <f t="shared" si="816"/>
        <v>0</v>
      </c>
      <c r="BF771" s="137">
        <f t="shared" si="814"/>
        <v>0</v>
      </c>
      <c r="BG771" s="120"/>
      <c r="BH771" s="120"/>
      <c r="BI771" s="120"/>
      <c r="BJ771" s="120"/>
      <c r="BK771" s="120"/>
      <c r="BL771" s="120"/>
      <c r="BM771" s="120"/>
      <c r="BN771" s="120"/>
      <c r="BO771" s="120"/>
      <c r="BP771" s="120"/>
      <c r="BQ771" s="124"/>
      <c r="BR771" s="120"/>
      <c r="BS771" s="120"/>
      <c r="BT771" s="120"/>
      <c r="BU771" s="120"/>
      <c r="BV771" s="120"/>
      <c r="BW771" s="120"/>
      <c r="BZ771" s="136">
        <f t="shared" si="805"/>
        <v>0</v>
      </c>
      <c r="CA771" s="136">
        <f t="shared" si="806"/>
        <v>0</v>
      </c>
      <c r="CB771" s="136">
        <f t="shared" si="807"/>
        <v>0</v>
      </c>
      <c r="CC771" s="136">
        <f t="shared" si="808"/>
        <v>0</v>
      </c>
      <c r="CD771" s="135">
        <f t="shared" si="809"/>
        <v>0</v>
      </c>
      <c r="CE771" s="135">
        <f t="shared" si="810"/>
        <v>0</v>
      </c>
      <c r="CF771" s="134">
        <f t="shared" si="811"/>
        <v>0</v>
      </c>
      <c r="CG771" s="134">
        <f t="shared" si="812"/>
        <v>0</v>
      </c>
      <c r="CH771" s="133" t="e">
        <f t="shared" si="813"/>
        <v>#DIV/0!</v>
      </c>
    </row>
    <row r="772" spans="1:86" s="121" customFormat="1">
      <c r="A772" s="125">
        <f t="shared" si="815"/>
        <v>0</v>
      </c>
      <c r="B772" s="125"/>
      <c r="D772" s="121" t="s">
        <v>215</v>
      </c>
      <c r="G772" s="124"/>
      <c r="H772" s="124"/>
      <c r="I772" s="122"/>
      <c r="M772" s="123"/>
      <c r="N772" s="121" t="s">
        <v>4279</v>
      </c>
      <c r="O772" s="121" t="s">
        <v>4280</v>
      </c>
      <c r="Q772" s="122">
        <v>7500</v>
      </c>
      <c r="R772" s="122"/>
      <c r="S772" s="122"/>
      <c r="T772" s="122"/>
      <c r="BD772" s="120"/>
      <c r="BE772" s="120">
        <f t="shared" si="816"/>
        <v>0</v>
      </c>
      <c r="BF772" s="137">
        <f t="shared" si="814"/>
        <v>0</v>
      </c>
      <c r="BG772" s="120"/>
      <c r="BH772" s="120"/>
      <c r="BI772" s="120"/>
      <c r="BJ772" s="120"/>
      <c r="BK772" s="120"/>
      <c r="BL772" s="120"/>
      <c r="BM772" s="120"/>
      <c r="BN772" s="120"/>
      <c r="BO772" s="120"/>
      <c r="BP772" s="120"/>
      <c r="BQ772" s="124"/>
      <c r="BR772" s="120"/>
      <c r="BS772" s="120"/>
      <c r="BT772" s="120"/>
      <c r="BU772" s="120"/>
      <c r="BV772" s="120"/>
      <c r="BW772" s="120"/>
      <c r="BZ772" s="136">
        <f t="shared" si="805"/>
        <v>0</v>
      </c>
      <c r="CA772" s="136">
        <f t="shared" si="806"/>
        <v>0</v>
      </c>
      <c r="CB772" s="136">
        <f t="shared" si="807"/>
        <v>0</v>
      </c>
      <c r="CC772" s="136">
        <f t="shared" si="808"/>
        <v>0</v>
      </c>
      <c r="CD772" s="135">
        <f t="shared" si="809"/>
        <v>0</v>
      </c>
      <c r="CE772" s="135">
        <f t="shared" si="810"/>
        <v>0</v>
      </c>
      <c r="CF772" s="134">
        <f t="shared" si="811"/>
        <v>0</v>
      </c>
      <c r="CG772" s="134">
        <f t="shared" si="812"/>
        <v>0</v>
      </c>
      <c r="CH772" s="133" t="e">
        <f t="shared" si="813"/>
        <v>#DIV/0!</v>
      </c>
    </row>
    <row r="773" spans="1:86" s="121" customFormat="1">
      <c r="A773" s="125">
        <f t="shared" si="815"/>
        <v>0</v>
      </c>
      <c r="B773" s="125"/>
      <c r="D773" s="121" t="s">
        <v>1248</v>
      </c>
      <c r="G773" s="124"/>
      <c r="H773" s="124"/>
      <c r="I773" s="122"/>
      <c r="M773" s="123"/>
      <c r="N773" s="121" t="s">
        <v>4281</v>
      </c>
      <c r="O773" s="121" t="s">
        <v>4282</v>
      </c>
      <c r="Q773" s="122">
        <v>7500</v>
      </c>
      <c r="R773" s="122"/>
      <c r="S773" s="122"/>
      <c r="T773" s="122"/>
      <c r="BD773" s="120"/>
      <c r="BE773" s="120">
        <f t="shared" si="816"/>
        <v>0</v>
      </c>
      <c r="BF773" s="137">
        <f t="shared" si="814"/>
        <v>0</v>
      </c>
      <c r="BG773" s="120"/>
      <c r="BH773" s="120"/>
      <c r="BI773" s="120"/>
      <c r="BJ773" s="120"/>
      <c r="BK773" s="120"/>
      <c r="BL773" s="120"/>
      <c r="BM773" s="120"/>
      <c r="BN773" s="120"/>
      <c r="BO773" s="120"/>
      <c r="BP773" s="120"/>
      <c r="BQ773" s="124"/>
      <c r="BR773" s="120"/>
      <c r="BS773" s="120"/>
      <c r="BT773" s="120"/>
      <c r="BU773" s="120"/>
      <c r="BV773" s="120"/>
      <c r="BW773" s="120"/>
      <c r="BZ773" s="136">
        <f t="shared" si="805"/>
        <v>0</v>
      </c>
      <c r="CA773" s="136">
        <f t="shared" si="806"/>
        <v>0</v>
      </c>
      <c r="CB773" s="136">
        <f t="shared" si="807"/>
        <v>0</v>
      </c>
      <c r="CC773" s="136">
        <f t="shared" si="808"/>
        <v>0</v>
      </c>
      <c r="CD773" s="135">
        <f t="shared" si="809"/>
        <v>0</v>
      </c>
      <c r="CE773" s="135">
        <f t="shared" si="810"/>
        <v>0</v>
      </c>
      <c r="CF773" s="134">
        <f t="shared" si="811"/>
        <v>0</v>
      </c>
      <c r="CG773" s="134">
        <f t="shared" si="812"/>
        <v>0</v>
      </c>
      <c r="CH773" s="133" t="e">
        <f t="shared" si="813"/>
        <v>#DIV/0!</v>
      </c>
    </row>
    <row r="774" spans="1:86" s="121" customFormat="1">
      <c r="A774" s="125">
        <f t="shared" si="815"/>
        <v>0</v>
      </c>
      <c r="B774" s="125"/>
      <c r="D774" s="121" t="s">
        <v>1248</v>
      </c>
      <c r="G774" s="124"/>
      <c r="H774" s="124"/>
      <c r="I774" s="122"/>
      <c r="M774" s="123"/>
      <c r="N774" s="121" t="s">
        <v>4283</v>
      </c>
      <c r="O774" s="121" t="s">
        <v>4284</v>
      </c>
      <c r="Q774" s="122">
        <v>5500</v>
      </c>
      <c r="R774" s="122"/>
      <c r="S774" s="122"/>
      <c r="T774" s="122"/>
      <c r="BD774" s="120"/>
      <c r="BE774" s="120">
        <f t="shared" si="816"/>
        <v>0</v>
      </c>
      <c r="BF774" s="137">
        <f t="shared" si="814"/>
        <v>0</v>
      </c>
      <c r="BG774" s="120"/>
      <c r="BH774" s="120"/>
      <c r="BI774" s="120"/>
      <c r="BJ774" s="120"/>
      <c r="BK774" s="120"/>
      <c r="BL774" s="120"/>
      <c r="BM774" s="120"/>
      <c r="BN774" s="120"/>
      <c r="BO774" s="120"/>
      <c r="BP774" s="120"/>
      <c r="BQ774" s="124"/>
      <c r="BR774" s="120"/>
      <c r="BS774" s="120"/>
      <c r="BT774" s="120"/>
      <c r="BU774" s="120"/>
      <c r="BV774" s="120"/>
      <c r="BW774" s="120"/>
      <c r="BZ774" s="136">
        <f t="shared" si="805"/>
        <v>0</v>
      </c>
      <c r="CA774" s="136">
        <f t="shared" si="806"/>
        <v>0</v>
      </c>
      <c r="CB774" s="136">
        <f t="shared" si="807"/>
        <v>0</v>
      </c>
      <c r="CC774" s="136">
        <f t="shared" si="808"/>
        <v>0</v>
      </c>
      <c r="CD774" s="135">
        <f t="shared" si="809"/>
        <v>0</v>
      </c>
      <c r="CE774" s="135">
        <f t="shared" si="810"/>
        <v>0</v>
      </c>
      <c r="CF774" s="134">
        <f t="shared" si="811"/>
        <v>0</v>
      </c>
      <c r="CG774" s="134">
        <f t="shared" si="812"/>
        <v>0</v>
      </c>
      <c r="CH774" s="133" t="e">
        <f t="shared" si="813"/>
        <v>#DIV/0!</v>
      </c>
    </row>
    <row r="775" spans="1:86" s="121" customFormat="1">
      <c r="A775" s="125">
        <f t="shared" si="815"/>
        <v>0</v>
      </c>
      <c r="B775" s="125"/>
      <c r="D775" s="121" t="s">
        <v>1248</v>
      </c>
      <c r="G775" s="124"/>
      <c r="H775" s="124"/>
      <c r="I775" s="122"/>
      <c r="M775" s="123"/>
      <c r="N775" s="121" t="s">
        <v>4236</v>
      </c>
      <c r="O775" s="121" t="s">
        <v>4285</v>
      </c>
      <c r="Q775" s="122">
        <v>5500</v>
      </c>
      <c r="R775" s="122"/>
      <c r="S775" s="122"/>
      <c r="T775" s="122"/>
      <c r="BD775" s="120"/>
      <c r="BE775" s="120">
        <f t="shared" si="816"/>
        <v>0</v>
      </c>
      <c r="BF775" s="137">
        <f t="shared" si="814"/>
        <v>0</v>
      </c>
      <c r="BG775" s="120"/>
      <c r="BH775" s="120"/>
      <c r="BI775" s="120"/>
      <c r="BJ775" s="120"/>
      <c r="BK775" s="120"/>
      <c r="BL775" s="120"/>
      <c r="BM775" s="120"/>
      <c r="BN775" s="120"/>
      <c r="BO775" s="120"/>
      <c r="BP775" s="120"/>
      <c r="BQ775" s="124"/>
      <c r="BR775" s="120"/>
      <c r="BS775" s="120"/>
      <c r="BT775" s="120"/>
      <c r="BU775" s="120"/>
      <c r="BV775" s="120"/>
      <c r="BW775" s="120"/>
      <c r="BZ775" s="136">
        <f t="shared" si="805"/>
        <v>0</v>
      </c>
      <c r="CA775" s="136">
        <f t="shared" si="806"/>
        <v>0</v>
      </c>
      <c r="CB775" s="136">
        <f t="shared" si="807"/>
        <v>0</v>
      </c>
      <c r="CC775" s="136">
        <f t="shared" si="808"/>
        <v>0</v>
      </c>
      <c r="CD775" s="135">
        <f t="shared" si="809"/>
        <v>0</v>
      </c>
      <c r="CE775" s="135">
        <f t="shared" si="810"/>
        <v>0</v>
      </c>
      <c r="CF775" s="134">
        <f t="shared" si="811"/>
        <v>0</v>
      </c>
      <c r="CG775" s="134">
        <f t="shared" si="812"/>
        <v>0</v>
      </c>
      <c r="CH775" s="133" t="e">
        <f t="shared" si="813"/>
        <v>#DIV/0!</v>
      </c>
    </row>
    <row r="776" spans="1:86" s="121" customFormat="1">
      <c r="A776" s="125">
        <f t="shared" si="815"/>
        <v>0</v>
      </c>
      <c r="B776" s="125"/>
      <c r="D776" s="121" t="s">
        <v>1248</v>
      </c>
      <c r="G776" s="124"/>
      <c r="H776" s="124"/>
      <c r="I776" s="122"/>
      <c r="M776" s="123"/>
      <c r="N776" s="121" t="s">
        <v>4286</v>
      </c>
      <c r="O776" s="121" t="s">
        <v>4287</v>
      </c>
      <c r="Q776" s="122">
        <v>8500</v>
      </c>
      <c r="R776" s="122"/>
      <c r="S776" s="122"/>
      <c r="T776" s="122"/>
      <c r="BD776" s="120"/>
      <c r="BE776" s="120">
        <f t="shared" si="816"/>
        <v>0</v>
      </c>
      <c r="BF776" s="137">
        <f t="shared" si="814"/>
        <v>0</v>
      </c>
      <c r="BG776" s="120"/>
      <c r="BH776" s="120"/>
      <c r="BI776" s="120"/>
      <c r="BJ776" s="120"/>
      <c r="BK776" s="120"/>
      <c r="BL776" s="120"/>
      <c r="BM776" s="120"/>
      <c r="BN776" s="120"/>
      <c r="BO776" s="120"/>
      <c r="BP776" s="120"/>
      <c r="BQ776" s="124"/>
      <c r="BR776" s="120"/>
      <c r="BS776" s="120"/>
      <c r="BT776" s="120"/>
      <c r="BU776" s="120"/>
      <c r="BV776" s="120"/>
      <c r="BW776" s="120"/>
      <c r="BZ776" s="136">
        <f t="shared" si="805"/>
        <v>0</v>
      </c>
      <c r="CA776" s="136">
        <f t="shared" si="806"/>
        <v>0</v>
      </c>
      <c r="CB776" s="136">
        <f t="shared" si="807"/>
        <v>0</v>
      </c>
      <c r="CC776" s="136">
        <f t="shared" si="808"/>
        <v>0</v>
      </c>
      <c r="CD776" s="135">
        <f t="shared" si="809"/>
        <v>0</v>
      </c>
      <c r="CE776" s="135">
        <f t="shared" si="810"/>
        <v>0</v>
      </c>
      <c r="CF776" s="134">
        <f t="shared" si="811"/>
        <v>0</v>
      </c>
      <c r="CG776" s="134">
        <f t="shared" si="812"/>
        <v>0</v>
      </c>
      <c r="CH776" s="133" t="e">
        <f t="shared" si="813"/>
        <v>#DIV/0!</v>
      </c>
    </row>
    <row r="777" spans="1:86" s="121" customFormat="1">
      <c r="A777" s="125">
        <f t="shared" si="815"/>
        <v>0</v>
      </c>
      <c r="B777" s="125"/>
      <c r="D777" s="121" t="s">
        <v>1248</v>
      </c>
      <c r="G777" s="124"/>
      <c r="H777" s="124"/>
      <c r="I777" s="122"/>
      <c r="M777" s="123"/>
      <c r="N777" s="121" t="s">
        <v>4288</v>
      </c>
      <c r="O777" s="121" t="s">
        <v>4272</v>
      </c>
      <c r="Q777" s="122">
        <v>8500</v>
      </c>
      <c r="R777" s="122"/>
      <c r="S777" s="122"/>
      <c r="T777" s="122"/>
      <c r="BD777" s="120"/>
      <c r="BE777" s="120">
        <f t="shared" si="816"/>
        <v>0</v>
      </c>
      <c r="BF777" s="137">
        <f t="shared" si="814"/>
        <v>0</v>
      </c>
      <c r="BG777" s="120"/>
      <c r="BH777" s="120"/>
      <c r="BI777" s="120"/>
      <c r="BJ777" s="120"/>
      <c r="BK777" s="120"/>
      <c r="BL777" s="120"/>
      <c r="BM777" s="120"/>
      <c r="BN777" s="120"/>
      <c r="BO777" s="120"/>
      <c r="BP777" s="120"/>
      <c r="BQ777" s="124"/>
      <c r="BR777" s="120"/>
      <c r="BS777" s="120"/>
      <c r="BT777" s="120"/>
      <c r="BU777" s="120"/>
      <c r="BV777" s="120"/>
      <c r="BW777" s="120"/>
      <c r="BZ777" s="136">
        <f t="shared" si="805"/>
        <v>0</v>
      </c>
      <c r="CA777" s="136">
        <f t="shared" si="806"/>
        <v>0</v>
      </c>
      <c r="CB777" s="136">
        <f t="shared" si="807"/>
        <v>0</v>
      </c>
      <c r="CC777" s="136">
        <f t="shared" si="808"/>
        <v>0</v>
      </c>
      <c r="CD777" s="135">
        <f t="shared" si="809"/>
        <v>0</v>
      </c>
      <c r="CE777" s="135">
        <f t="shared" si="810"/>
        <v>0</v>
      </c>
      <c r="CF777" s="134">
        <f t="shared" si="811"/>
        <v>0</v>
      </c>
      <c r="CG777" s="134">
        <f t="shared" si="812"/>
        <v>0</v>
      </c>
      <c r="CH777" s="133" t="e">
        <f t="shared" si="813"/>
        <v>#DIV/0!</v>
      </c>
    </row>
    <row r="778" spans="1:86" s="121" customFormat="1">
      <c r="A778" s="125">
        <f t="shared" si="815"/>
        <v>0</v>
      </c>
      <c r="B778" s="125"/>
      <c r="D778" s="121" t="s">
        <v>1248</v>
      </c>
      <c r="G778" s="124"/>
      <c r="H778" s="124"/>
      <c r="I778" s="122"/>
      <c r="M778" s="123"/>
      <c r="N778" s="121" t="s">
        <v>4289</v>
      </c>
      <c r="O778" s="121" t="s">
        <v>4290</v>
      </c>
      <c r="Q778" s="122">
        <v>7500</v>
      </c>
      <c r="R778" s="122"/>
      <c r="S778" s="122"/>
      <c r="T778" s="122"/>
      <c r="BD778" s="120"/>
      <c r="BE778" s="120">
        <f t="shared" si="816"/>
        <v>0</v>
      </c>
      <c r="BF778" s="137">
        <f t="shared" si="814"/>
        <v>0</v>
      </c>
      <c r="BG778" s="120"/>
      <c r="BH778" s="120"/>
      <c r="BI778" s="120"/>
      <c r="BJ778" s="120"/>
      <c r="BK778" s="120"/>
      <c r="BL778" s="120"/>
      <c r="BM778" s="120"/>
      <c r="BN778" s="120"/>
      <c r="BO778" s="120"/>
      <c r="BP778" s="120"/>
      <c r="BQ778" s="124"/>
      <c r="BR778" s="120"/>
      <c r="BS778" s="120"/>
      <c r="BT778" s="120"/>
      <c r="BU778" s="120"/>
      <c r="BV778" s="120"/>
      <c r="BW778" s="120"/>
      <c r="BZ778" s="136">
        <f t="shared" si="805"/>
        <v>0</v>
      </c>
      <c r="CA778" s="136">
        <f t="shared" si="806"/>
        <v>0</v>
      </c>
      <c r="CB778" s="136">
        <f t="shared" si="807"/>
        <v>0</v>
      </c>
      <c r="CC778" s="136">
        <f t="shared" si="808"/>
        <v>0</v>
      </c>
      <c r="CD778" s="135">
        <f t="shared" si="809"/>
        <v>0</v>
      </c>
      <c r="CE778" s="135">
        <f t="shared" si="810"/>
        <v>0</v>
      </c>
      <c r="CF778" s="134">
        <f t="shared" si="811"/>
        <v>0</v>
      </c>
      <c r="CG778" s="134">
        <f t="shared" si="812"/>
        <v>0</v>
      </c>
      <c r="CH778" s="133" t="e">
        <f t="shared" si="813"/>
        <v>#DIV/0!</v>
      </c>
    </row>
    <row r="779" spans="1:86" s="121" customFormat="1">
      <c r="A779" s="125">
        <f t="shared" si="815"/>
        <v>0</v>
      </c>
      <c r="B779" s="125"/>
      <c r="D779" s="121" t="s">
        <v>1248</v>
      </c>
      <c r="G779" s="124"/>
      <c r="H779" s="124"/>
      <c r="I779" s="122"/>
      <c r="M779" s="123"/>
      <c r="N779" s="121" t="s">
        <v>4291</v>
      </c>
      <c r="O779" s="121" t="s">
        <v>506</v>
      </c>
      <c r="Q779" s="122">
        <v>7500</v>
      </c>
      <c r="R779" s="122"/>
      <c r="S779" s="122"/>
      <c r="T779" s="122"/>
      <c r="BD779" s="120"/>
      <c r="BE779" s="120">
        <f t="shared" si="816"/>
        <v>0</v>
      </c>
      <c r="BF779" s="137">
        <f t="shared" si="814"/>
        <v>0</v>
      </c>
      <c r="BG779" s="120"/>
      <c r="BH779" s="120"/>
      <c r="BI779" s="120"/>
      <c r="BJ779" s="120"/>
      <c r="BK779" s="120"/>
      <c r="BL779" s="120"/>
      <c r="BM779" s="120"/>
      <c r="BN779" s="120"/>
      <c r="BO779" s="120"/>
      <c r="BP779" s="120"/>
      <c r="BQ779" s="124"/>
      <c r="BR779" s="120"/>
      <c r="BS779" s="120"/>
      <c r="BT779" s="120"/>
      <c r="BU779" s="120"/>
      <c r="BV779" s="120"/>
      <c r="BW779" s="120"/>
      <c r="BZ779" s="136">
        <f t="shared" si="805"/>
        <v>0</v>
      </c>
      <c r="CA779" s="136">
        <f t="shared" si="806"/>
        <v>0</v>
      </c>
      <c r="CB779" s="136">
        <f t="shared" si="807"/>
        <v>0</v>
      </c>
      <c r="CC779" s="136">
        <f t="shared" si="808"/>
        <v>0</v>
      </c>
      <c r="CD779" s="135">
        <f t="shared" si="809"/>
        <v>0</v>
      </c>
      <c r="CE779" s="135">
        <f t="shared" si="810"/>
        <v>0</v>
      </c>
      <c r="CF779" s="134">
        <f t="shared" si="811"/>
        <v>0</v>
      </c>
      <c r="CG779" s="134">
        <f t="shared" si="812"/>
        <v>0</v>
      </c>
      <c r="CH779" s="133" t="e">
        <f t="shared" si="813"/>
        <v>#DIV/0!</v>
      </c>
    </row>
    <row r="780" spans="1:86" s="121" customFormat="1">
      <c r="A780" s="125">
        <f t="shared" si="815"/>
        <v>0</v>
      </c>
      <c r="B780" s="125"/>
      <c r="D780" s="121" t="s">
        <v>1248</v>
      </c>
      <c r="G780" s="124"/>
      <c r="H780" s="124"/>
      <c r="I780" s="122"/>
      <c r="M780" s="123"/>
      <c r="N780" s="121" t="s">
        <v>4292</v>
      </c>
      <c r="O780" s="121" t="s">
        <v>4293</v>
      </c>
      <c r="Q780" s="122">
        <v>7500</v>
      </c>
      <c r="R780" s="122"/>
      <c r="S780" s="122"/>
      <c r="T780" s="122"/>
      <c r="BD780" s="120"/>
      <c r="BE780" s="120">
        <f t="shared" si="816"/>
        <v>0</v>
      </c>
      <c r="BF780" s="137">
        <f t="shared" si="814"/>
        <v>0</v>
      </c>
      <c r="BG780" s="120"/>
      <c r="BH780" s="120"/>
      <c r="BI780" s="120"/>
      <c r="BJ780" s="120"/>
      <c r="BK780" s="120"/>
      <c r="BL780" s="120"/>
      <c r="BM780" s="120"/>
      <c r="BN780" s="120"/>
      <c r="BO780" s="120"/>
      <c r="BP780" s="120"/>
      <c r="BQ780" s="124"/>
      <c r="BR780" s="120"/>
      <c r="BS780" s="120"/>
      <c r="BT780" s="120"/>
      <c r="BU780" s="120"/>
      <c r="BV780" s="120"/>
      <c r="BW780" s="120"/>
      <c r="BZ780" s="136">
        <f t="shared" si="805"/>
        <v>0</v>
      </c>
      <c r="CA780" s="136">
        <f t="shared" si="806"/>
        <v>0</v>
      </c>
      <c r="CB780" s="136">
        <f t="shared" si="807"/>
        <v>0</v>
      </c>
      <c r="CC780" s="136">
        <f t="shared" si="808"/>
        <v>0</v>
      </c>
      <c r="CD780" s="135">
        <f t="shared" si="809"/>
        <v>0</v>
      </c>
      <c r="CE780" s="135">
        <f t="shared" si="810"/>
        <v>0</v>
      </c>
      <c r="CF780" s="134">
        <f t="shared" si="811"/>
        <v>0</v>
      </c>
      <c r="CG780" s="134">
        <f t="shared" si="812"/>
        <v>0</v>
      </c>
      <c r="CH780" s="133" t="e">
        <f t="shared" si="813"/>
        <v>#DIV/0!</v>
      </c>
    </row>
    <row r="781" spans="1:86" s="121" customFormat="1">
      <c r="A781" s="125">
        <f t="shared" si="815"/>
        <v>0</v>
      </c>
      <c r="B781" s="125"/>
      <c r="D781" s="121" t="s">
        <v>1248</v>
      </c>
      <c r="G781" s="124"/>
      <c r="H781" s="124"/>
      <c r="I781" s="122"/>
      <c r="M781" s="123"/>
      <c r="N781" s="121" t="s">
        <v>4294</v>
      </c>
      <c r="O781" s="121" t="s">
        <v>4295</v>
      </c>
      <c r="Q781" s="122">
        <f>3128*2.4</f>
        <v>7507.2</v>
      </c>
      <c r="R781" s="122"/>
      <c r="S781" s="122"/>
      <c r="T781" s="122"/>
      <c r="BD781" s="120"/>
      <c r="BE781" s="120">
        <f t="shared" si="816"/>
        <v>0</v>
      </c>
      <c r="BF781" s="137">
        <f t="shared" si="814"/>
        <v>0</v>
      </c>
      <c r="BG781" s="120"/>
      <c r="BH781" s="120"/>
      <c r="BI781" s="120"/>
      <c r="BJ781" s="120"/>
      <c r="BK781" s="120"/>
      <c r="BL781" s="120"/>
      <c r="BM781" s="120"/>
      <c r="BN781" s="120"/>
      <c r="BO781" s="120"/>
      <c r="BP781" s="120"/>
      <c r="BQ781" s="124"/>
      <c r="BR781" s="120"/>
      <c r="BS781" s="120"/>
      <c r="BT781" s="120"/>
      <c r="BU781" s="120"/>
      <c r="BV781" s="120"/>
      <c r="BW781" s="120"/>
      <c r="BZ781" s="136">
        <f t="shared" si="805"/>
        <v>0</v>
      </c>
      <c r="CA781" s="136">
        <f t="shared" si="806"/>
        <v>0</v>
      </c>
      <c r="CB781" s="136">
        <f t="shared" si="807"/>
        <v>0</v>
      </c>
      <c r="CC781" s="136">
        <f t="shared" si="808"/>
        <v>0</v>
      </c>
      <c r="CD781" s="135">
        <f t="shared" si="809"/>
        <v>0</v>
      </c>
      <c r="CE781" s="135">
        <f t="shared" si="810"/>
        <v>0</v>
      </c>
      <c r="CF781" s="134">
        <f t="shared" si="811"/>
        <v>0</v>
      </c>
      <c r="CG781" s="134">
        <f t="shared" si="812"/>
        <v>0</v>
      </c>
      <c r="CH781" s="133" t="e">
        <f t="shared" si="813"/>
        <v>#DIV/0!</v>
      </c>
    </row>
    <row r="782" spans="1:86" s="121" customFormat="1">
      <c r="A782" s="125">
        <f t="shared" si="815"/>
        <v>0</v>
      </c>
      <c r="B782" s="125"/>
      <c r="D782" s="121" t="s">
        <v>1248</v>
      </c>
      <c r="G782" s="124"/>
      <c r="H782" s="124"/>
      <c r="I782" s="122"/>
      <c r="M782" s="123"/>
      <c r="N782" s="121" t="s">
        <v>4296</v>
      </c>
      <c r="O782" s="121" t="s">
        <v>4197</v>
      </c>
      <c r="Q782" s="122">
        <f>2144*2.4</f>
        <v>5145.5999999999995</v>
      </c>
      <c r="R782" s="122"/>
      <c r="S782" s="122"/>
      <c r="T782" s="122"/>
      <c r="BD782" s="120"/>
      <c r="BE782" s="120">
        <f t="shared" si="816"/>
        <v>0</v>
      </c>
      <c r="BF782" s="137">
        <f t="shared" si="814"/>
        <v>0</v>
      </c>
      <c r="BG782" s="120"/>
      <c r="BH782" s="120"/>
      <c r="BI782" s="120"/>
      <c r="BJ782" s="120"/>
      <c r="BK782" s="120"/>
      <c r="BL782" s="120"/>
      <c r="BM782" s="120"/>
      <c r="BN782" s="120"/>
      <c r="BO782" s="120"/>
      <c r="BP782" s="120"/>
      <c r="BQ782" s="124"/>
      <c r="BR782" s="120"/>
      <c r="BS782" s="120"/>
      <c r="BT782" s="120"/>
      <c r="BU782" s="120"/>
      <c r="BV782" s="120"/>
      <c r="BW782" s="120"/>
      <c r="BZ782" s="136">
        <f t="shared" si="805"/>
        <v>0</v>
      </c>
      <c r="CA782" s="136">
        <f t="shared" si="806"/>
        <v>0</v>
      </c>
      <c r="CB782" s="136">
        <f t="shared" si="807"/>
        <v>0</v>
      </c>
      <c r="CC782" s="136">
        <f t="shared" si="808"/>
        <v>0</v>
      </c>
      <c r="CD782" s="135">
        <f t="shared" si="809"/>
        <v>0</v>
      </c>
      <c r="CE782" s="135">
        <f t="shared" si="810"/>
        <v>0</v>
      </c>
      <c r="CF782" s="134">
        <f t="shared" si="811"/>
        <v>0</v>
      </c>
      <c r="CG782" s="134">
        <f t="shared" si="812"/>
        <v>0</v>
      </c>
      <c r="CH782" s="133" t="e">
        <f t="shared" si="813"/>
        <v>#DIV/0!</v>
      </c>
    </row>
    <row r="783" spans="1:86" s="121" customFormat="1">
      <c r="A783" s="125">
        <f t="shared" si="815"/>
        <v>0</v>
      </c>
      <c r="B783" s="125"/>
      <c r="D783" s="121" t="s">
        <v>1248</v>
      </c>
      <c r="G783" s="124"/>
      <c r="H783" s="124"/>
      <c r="I783" s="122"/>
      <c r="M783" s="123"/>
      <c r="N783" s="121" t="s">
        <v>4297</v>
      </c>
      <c r="O783" s="121" t="s">
        <v>4298</v>
      </c>
      <c r="Q783" s="122">
        <v>5500</v>
      </c>
      <c r="R783" s="122"/>
      <c r="S783" s="122"/>
      <c r="T783" s="122"/>
      <c r="BD783" s="120"/>
      <c r="BE783" s="120">
        <f t="shared" si="816"/>
        <v>0</v>
      </c>
      <c r="BF783" s="137">
        <f t="shared" si="814"/>
        <v>0</v>
      </c>
      <c r="BG783" s="120"/>
      <c r="BH783" s="120"/>
      <c r="BI783" s="120"/>
      <c r="BJ783" s="120"/>
      <c r="BK783" s="120"/>
      <c r="BL783" s="120"/>
      <c r="BM783" s="120"/>
      <c r="BN783" s="120"/>
      <c r="BO783" s="120"/>
      <c r="BP783" s="120"/>
      <c r="BQ783" s="124"/>
      <c r="BR783" s="120"/>
      <c r="BS783" s="120"/>
      <c r="BT783" s="120"/>
      <c r="BU783" s="120"/>
      <c r="BV783" s="120"/>
      <c r="BW783" s="120"/>
      <c r="BZ783" s="136">
        <f t="shared" ref="BZ783:BZ846" si="817">(BI783-BH783)*24</f>
        <v>0</v>
      </c>
      <c r="CA783" s="136">
        <f t="shared" ref="CA783:CA846" si="818">(BK783-BJ783)*24</f>
        <v>0</v>
      </c>
      <c r="CB783" s="136">
        <f t="shared" ref="CB783:CB846" si="819">(BN783-BM783)*24</f>
        <v>0</v>
      </c>
      <c r="CC783" s="136">
        <f t="shared" ref="CC783:CC846" si="820">(BR783-BP783)*24</f>
        <v>0</v>
      </c>
      <c r="CD783" s="135">
        <f t="shared" ref="CD783:CD846" si="821">(BT783-BS783)*24</f>
        <v>0</v>
      </c>
      <c r="CE783" s="135">
        <f t="shared" ref="CE783:CE846" si="822">(BW783-BV783)*24</f>
        <v>0</v>
      </c>
      <c r="CF783" s="134">
        <f t="shared" ref="CF783:CF846" si="823">SUM(BZ783:CE783)/24</f>
        <v>0</v>
      </c>
      <c r="CG783" s="134">
        <f t="shared" ref="CG783:CG846" si="824">BF783</f>
        <v>0</v>
      </c>
      <c r="CH783" s="133" t="e">
        <f t="shared" ref="CH783:CH846" si="825">CF783/CG783</f>
        <v>#DIV/0!</v>
      </c>
    </row>
    <row r="784" spans="1:86" s="121" customFormat="1">
      <c r="A784" s="125">
        <f t="shared" si="815"/>
        <v>0</v>
      </c>
      <c r="B784" s="125"/>
      <c r="D784" s="121" t="s">
        <v>1248</v>
      </c>
      <c r="G784" s="124"/>
      <c r="H784" s="124"/>
      <c r="I784" s="122"/>
      <c r="M784" s="123"/>
      <c r="N784" s="121" t="s">
        <v>4299</v>
      </c>
      <c r="O784" s="121" t="s">
        <v>4263</v>
      </c>
      <c r="Q784" s="122">
        <v>5500</v>
      </c>
      <c r="R784" s="122"/>
      <c r="S784" s="122"/>
      <c r="T784" s="122"/>
      <c r="BD784" s="120"/>
      <c r="BE784" s="120">
        <f t="shared" si="816"/>
        <v>0</v>
      </c>
      <c r="BF784" s="137">
        <f t="shared" si="814"/>
        <v>0</v>
      </c>
      <c r="BG784" s="120"/>
      <c r="BH784" s="120"/>
      <c r="BI784" s="120"/>
      <c r="BJ784" s="120"/>
      <c r="BK784" s="120"/>
      <c r="BL784" s="120"/>
      <c r="BM784" s="120"/>
      <c r="BN784" s="120"/>
      <c r="BO784" s="120"/>
      <c r="BP784" s="120"/>
      <c r="BQ784" s="124"/>
      <c r="BR784" s="120"/>
      <c r="BS784" s="120"/>
      <c r="BT784" s="120"/>
      <c r="BU784" s="120"/>
      <c r="BV784" s="120"/>
      <c r="BW784" s="120"/>
      <c r="BZ784" s="136">
        <f t="shared" si="817"/>
        <v>0</v>
      </c>
      <c r="CA784" s="136">
        <f t="shared" si="818"/>
        <v>0</v>
      </c>
      <c r="CB784" s="136">
        <f t="shared" si="819"/>
        <v>0</v>
      </c>
      <c r="CC784" s="136">
        <f t="shared" si="820"/>
        <v>0</v>
      </c>
      <c r="CD784" s="135">
        <f t="shared" si="821"/>
        <v>0</v>
      </c>
      <c r="CE784" s="135">
        <f t="shared" si="822"/>
        <v>0</v>
      </c>
      <c r="CF784" s="134">
        <f t="shared" si="823"/>
        <v>0</v>
      </c>
      <c r="CG784" s="134">
        <f t="shared" si="824"/>
        <v>0</v>
      </c>
      <c r="CH784" s="133" t="e">
        <f t="shared" si="825"/>
        <v>#DIV/0!</v>
      </c>
    </row>
    <row r="785" spans="1:86" s="121" customFormat="1">
      <c r="A785" s="125">
        <f t="shared" si="815"/>
        <v>0</v>
      </c>
      <c r="B785" s="125"/>
      <c r="D785" s="121" t="s">
        <v>1248</v>
      </c>
      <c r="G785" s="124"/>
      <c r="H785" s="124"/>
      <c r="I785" s="122"/>
      <c r="M785" s="123"/>
      <c r="N785" s="121" t="s">
        <v>4300</v>
      </c>
      <c r="O785" s="121" t="s">
        <v>4301</v>
      </c>
      <c r="Q785" s="122">
        <v>5500</v>
      </c>
      <c r="R785" s="122"/>
      <c r="S785" s="122"/>
      <c r="T785" s="122"/>
      <c r="BD785" s="120"/>
      <c r="BE785" s="120">
        <f t="shared" si="816"/>
        <v>0</v>
      </c>
      <c r="BF785" s="137">
        <f t="shared" si="814"/>
        <v>0</v>
      </c>
      <c r="BG785" s="120"/>
      <c r="BH785" s="120"/>
      <c r="BI785" s="120"/>
      <c r="BJ785" s="120"/>
      <c r="BK785" s="120"/>
      <c r="BL785" s="120"/>
      <c r="BM785" s="120"/>
      <c r="BN785" s="120"/>
      <c r="BO785" s="120"/>
      <c r="BP785" s="120"/>
      <c r="BQ785" s="124"/>
      <c r="BR785" s="120"/>
      <c r="BS785" s="120"/>
      <c r="BT785" s="120"/>
      <c r="BU785" s="120"/>
      <c r="BV785" s="120"/>
      <c r="BW785" s="120"/>
      <c r="BZ785" s="136">
        <f t="shared" si="817"/>
        <v>0</v>
      </c>
      <c r="CA785" s="136">
        <f t="shared" si="818"/>
        <v>0</v>
      </c>
      <c r="CB785" s="136">
        <f t="shared" si="819"/>
        <v>0</v>
      </c>
      <c r="CC785" s="136">
        <f t="shared" si="820"/>
        <v>0</v>
      </c>
      <c r="CD785" s="135">
        <f t="shared" si="821"/>
        <v>0</v>
      </c>
      <c r="CE785" s="135">
        <f t="shared" si="822"/>
        <v>0</v>
      </c>
      <c r="CF785" s="134">
        <f t="shared" si="823"/>
        <v>0</v>
      </c>
      <c r="CG785" s="134">
        <f t="shared" si="824"/>
        <v>0</v>
      </c>
      <c r="CH785" s="133" t="e">
        <f t="shared" si="825"/>
        <v>#DIV/0!</v>
      </c>
    </row>
    <row r="786" spans="1:86" s="121" customFormat="1">
      <c r="A786" s="125">
        <f t="shared" si="815"/>
        <v>0</v>
      </c>
      <c r="B786" s="125"/>
      <c r="D786" s="121" t="s">
        <v>1248</v>
      </c>
      <c r="G786" s="124"/>
      <c r="H786" s="124"/>
      <c r="I786" s="122"/>
      <c r="M786" s="123"/>
      <c r="N786" s="121" t="s">
        <v>4302</v>
      </c>
      <c r="O786" s="121" t="s">
        <v>4303</v>
      </c>
      <c r="Q786" s="122">
        <v>5500</v>
      </c>
      <c r="R786" s="122"/>
      <c r="S786" s="122"/>
      <c r="T786" s="122"/>
      <c r="BD786" s="120"/>
      <c r="BE786" s="120">
        <f t="shared" si="816"/>
        <v>0</v>
      </c>
      <c r="BF786" s="137">
        <f t="shared" si="814"/>
        <v>0</v>
      </c>
      <c r="BG786" s="120"/>
      <c r="BH786" s="120"/>
      <c r="BI786" s="120"/>
      <c r="BJ786" s="120"/>
      <c r="BK786" s="120"/>
      <c r="BL786" s="120"/>
      <c r="BM786" s="120"/>
      <c r="BN786" s="120"/>
      <c r="BO786" s="120"/>
      <c r="BP786" s="120"/>
      <c r="BQ786" s="124"/>
      <c r="BR786" s="120"/>
      <c r="BS786" s="120"/>
      <c r="BT786" s="120"/>
      <c r="BU786" s="120"/>
      <c r="BV786" s="120"/>
      <c r="BW786" s="120"/>
      <c r="BZ786" s="136">
        <f t="shared" si="817"/>
        <v>0</v>
      </c>
      <c r="CA786" s="136">
        <f t="shared" si="818"/>
        <v>0</v>
      </c>
      <c r="CB786" s="136">
        <f t="shared" si="819"/>
        <v>0</v>
      </c>
      <c r="CC786" s="136">
        <f t="shared" si="820"/>
        <v>0</v>
      </c>
      <c r="CD786" s="135">
        <f t="shared" si="821"/>
        <v>0</v>
      </c>
      <c r="CE786" s="135">
        <f t="shared" si="822"/>
        <v>0</v>
      </c>
      <c r="CF786" s="134">
        <f t="shared" si="823"/>
        <v>0</v>
      </c>
      <c r="CG786" s="134">
        <f t="shared" si="824"/>
        <v>0</v>
      </c>
      <c r="CH786" s="133" t="e">
        <f t="shared" si="825"/>
        <v>#DIV/0!</v>
      </c>
    </row>
    <row r="787" spans="1:86" s="121" customFormat="1">
      <c r="A787" s="125">
        <f t="shared" si="815"/>
        <v>0</v>
      </c>
      <c r="B787" s="125"/>
      <c r="D787" s="121" t="s">
        <v>1248</v>
      </c>
      <c r="G787" s="124"/>
      <c r="H787" s="124"/>
      <c r="I787" s="122"/>
      <c r="M787" s="123"/>
      <c r="N787" s="121" t="s">
        <v>4304</v>
      </c>
      <c r="O787" s="121" t="s">
        <v>4246</v>
      </c>
      <c r="Q787" s="122">
        <v>5500</v>
      </c>
      <c r="R787" s="122"/>
      <c r="S787" s="122"/>
      <c r="T787" s="122"/>
      <c r="BD787" s="120"/>
      <c r="BE787" s="120">
        <f t="shared" si="816"/>
        <v>0</v>
      </c>
      <c r="BF787" s="137">
        <f t="shared" si="814"/>
        <v>0</v>
      </c>
      <c r="BG787" s="120"/>
      <c r="BH787" s="120"/>
      <c r="BI787" s="120"/>
      <c r="BJ787" s="120"/>
      <c r="BK787" s="120"/>
      <c r="BL787" s="120"/>
      <c r="BM787" s="120"/>
      <c r="BN787" s="120"/>
      <c r="BO787" s="120"/>
      <c r="BP787" s="120"/>
      <c r="BQ787" s="124"/>
      <c r="BR787" s="120"/>
      <c r="BS787" s="120"/>
      <c r="BT787" s="120"/>
      <c r="BU787" s="120"/>
      <c r="BV787" s="120"/>
      <c r="BW787" s="120"/>
      <c r="BZ787" s="136">
        <f t="shared" si="817"/>
        <v>0</v>
      </c>
      <c r="CA787" s="136">
        <f t="shared" si="818"/>
        <v>0</v>
      </c>
      <c r="CB787" s="136">
        <f t="shared" si="819"/>
        <v>0</v>
      </c>
      <c r="CC787" s="136">
        <f t="shared" si="820"/>
        <v>0</v>
      </c>
      <c r="CD787" s="135">
        <f t="shared" si="821"/>
        <v>0</v>
      </c>
      <c r="CE787" s="135">
        <f t="shared" si="822"/>
        <v>0</v>
      </c>
      <c r="CF787" s="134">
        <f t="shared" si="823"/>
        <v>0</v>
      </c>
      <c r="CG787" s="134">
        <f t="shared" si="824"/>
        <v>0</v>
      </c>
      <c r="CH787" s="133" t="e">
        <f t="shared" si="825"/>
        <v>#DIV/0!</v>
      </c>
    </row>
    <row r="788" spans="1:86" s="121" customFormat="1">
      <c r="A788" s="125">
        <f t="shared" si="815"/>
        <v>0</v>
      </c>
      <c r="B788" s="125"/>
      <c r="D788" s="121" t="s">
        <v>1248</v>
      </c>
      <c r="G788" s="124"/>
      <c r="H788" s="124"/>
      <c r="I788" s="122"/>
      <c r="M788" s="123"/>
      <c r="N788" s="121" t="s">
        <v>1240</v>
      </c>
      <c r="O788" s="121" t="s">
        <v>4305</v>
      </c>
      <c r="Q788" s="122">
        <v>5500</v>
      </c>
      <c r="R788" s="122"/>
      <c r="S788" s="122"/>
      <c r="T788" s="122"/>
      <c r="BD788" s="120"/>
      <c r="BE788" s="120">
        <f t="shared" si="816"/>
        <v>0</v>
      </c>
      <c r="BF788" s="137">
        <f t="shared" si="814"/>
        <v>0</v>
      </c>
      <c r="BG788" s="120"/>
      <c r="BH788" s="120"/>
      <c r="BI788" s="120"/>
      <c r="BJ788" s="120"/>
      <c r="BK788" s="120"/>
      <c r="BL788" s="120"/>
      <c r="BM788" s="120"/>
      <c r="BN788" s="120"/>
      <c r="BO788" s="120"/>
      <c r="BP788" s="120"/>
      <c r="BQ788" s="124"/>
      <c r="BR788" s="120"/>
      <c r="BS788" s="120"/>
      <c r="BT788" s="120"/>
      <c r="BU788" s="120"/>
      <c r="BV788" s="120"/>
      <c r="BW788" s="120"/>
      <c r="BZ788" s="136">
        <f t="shared" si="817"/>
        <v>0</v>
      </c>
      <c r="CA788" s="136">
        <f t="shared" si="818"/>
        <v>0</v>
      </c>
      <c r="CB788" s="136">
        <f t="shared" si="819"/>
        <v>0</v>
      </c>
      <c r="CC788" s="136">
        <f t="shared" si="820"/>
        <v>0</v>
      </c>
      <c r="CD788" s="135">
        <f t="shared" si="821"/>
        <v>0</v>
      </c>
      <c r="CE788" s="135">
        <f t="shared" si="822"/>
        <v>0</v>
      </c>
      <c r="CF788" s="134">
        <f t="shared" si="823"/>
        <v>0</v>
      </c>
      <c r="CG788" s="134">
        <f t="shared" si="824"/>
        <v>0</v>
      </c>
      <c r="CH788" s="133" t="e">
        <f t="shared" si="825"/>
        <v>#DIV/0!</v>
      </c>
    </row>
    <row r="789" spans="1:86" s="121" customFormat="1">
      <c r="A789" s="125">
        <f t="shared" si="815"/>
        <v>0</v>
      </c>
      <c r="B789" s="125"/>
      <c r="D789" s="121" t="s">
        <v>215</v>
      </c>
      <c r="G789" s="124"/>
      <c r="H789" s="124"/>
      <c r="I789" s="122"/>
      <c r="M789" s="123"/>
      <c r="N789" s="121" t="s">
        <v>4306</v>
      </c>
      <c r="O789" s="121" t="s">
        <v>4307</v>
      </c>
      <c r="Q789" s="122">
        <f>3033*2.4</f>
        <v>7279.2</v>
      </c>
      <c r="R789" s="122"/>
      <c r="S789" s="122"/>
      <c r="T789" s="122"/>
      <c r="BD789" s="120"/>
      <c r="BE789" s="120">
        <f t="shared" si="816"/>
        <v>0</v>
      </c>
      <c r="BF789" s="137">
        <f t="shared" si="814"/>
        <v>0</v>
      </c>
      <c r="BG789" s="120"/>
      <c r="BH789" s="120"/>
      <c r="BI789" s="120"/>
      <c r="BJ789" s="120"/>
      <c r="BK789" s="120"/>
      <c r="BL789" s="120"/>
      <c r="BM789" s="120"/>
      <c r="BN789" s="120"/>
      <c r="BO789" s="120"/>
      <c r="BP789" s="120"/>
      <c r="BQ789" s="124"/>
      <c r="BR789" s="120"/>
      <c r="BS789" s="120"/>
      <c r="BT789" s="120"/>
      <c r="BU789" s="120"/>
      <c r="BV789" s="120"/>
      <c r="BW789" s="120"/>
      <c r="BX789" s="127"/>
      <c r="BY789" s="127"/>
      <c r="BZ789" s="136">
        <f t="shared" si="817"/>
        <v>0</v>
      </c>
      <c r="CA789" s="136">
        <f t="shared" si="818"/>
        <v>0</v>
      </c>
      <c r="CB789" s="136">
        <f t="shared" si="819"/>
        <v>0</v>
      </c>
      <c r="CC789" s="136">
        <f t="shared" si="820"/>
        <v>0</v>
      </c>
      <c r="CD789" s="135">
        <f t="shared" si="821"/>
        <v>0</v>
      </c>
      <c r="CE789" s="135">
        <f t="shared" si="822"/>
        <v>0</v>
      </c>
      <c r="CF789" s="134">
        <f t="shared" si="823"/>
        <v>0</v>
      </c>
      <c r="CG789" s="134">
        <f t="shared" si="824"/>
        <v>0</v>
      </c>
      <c r="CH789" s="133" t="e">
        <f t="shared" si="825"/>
        <v>#DIV/0!</v>
      </c>
    </row>
    <row r="790" spans="1:86" s="121" customFormat="1">
      <c r="A790" s="125">
        <f t="shared" si="815"/>
        <v>0</v>
      </c>
      <c r="B790" s="125"/>
      <c r="D790" s="121" t="s">
        <v>215</v>
      </c>
      <c r="G790" s="124"/>
      <c r="H790" s="124"/>
      <c r="I790" s="122"/>
      <c r="M790" s="123"/>
      <c r="N790" s="121" t="s">
        <v>4308</v>
      </c>
      <c r="O790" s="121" t="s">
        <v>4173</v>
      </c>
      <c r="Q790" s="122">
        <f>3077*2.4</f>
        <v>7384.7999999999993</v>
      </c>
      <c r="R790" s="122"/>
      <c r="S790" s="122"/>
      <c r="T790" s="122"/>
      <c r="BD790" s="120"/>
      <c r="BE790" s="120">
        <f t="shared" si="816"/>
        <v>0</v>
      </c>
      <c r="BF790" s="137">
        <f t="shared" si="814"/>
        <v>0</v>
      </c>
      <c r="BG790" s="120"/>
      <c r="BH790" s="120"/>
      <c r="BI790" s="120"/>
      <c r="BJ790" s="120"/>
      <c r="BK790" s="120"/>
      <c r="BL790" s="120"/>
      <c r="BM790" s="120"/>
      <c r="BN790" s="120"/>
      <c r="BO790" s="120"/>
      <c r="BP790" s="120"/>
      <c r="BQ790" s="124"/>
      <c r="BR790" s="120"/>
      <c r="BS790" s="120"/>
      <c r="BT790" s="120"/>
      <c r="BU790" s="120"/>
      <c r="BV790" s="120"/>
      <c r="BW790" s="120"/>
      <c r="BZ790" s="136">
        <f t="shared" si="817"/>
        <v>0</v>
      </c>
      <c r="CA790" s="136">
        <f t="shared" si="818"/>
        <v>0</v>
      </c>
      <c r="CB790" s="136">
        <f t="shared" si="819"/>
        <v>0</v>
      </c>
      <c r="CC790" s="136">
        <f t="shared" si="820"/>
        <v>0</v>
      </c>
      <c r="CD790" s="135">
        <f t="shared" si="821"/>
        <v>0</v>
      </c>
      <c r="CE790" s="135">
        <f t="shared" si="822"/>
        <v>0</v>
      </c>
      <c r="CF790" s="134">
        <f t="shared" si="823"/>
        <v>0</v>
      </c>
      <c r="CG790" s="134">
        <f t="shared" si="824"/>
        <v>0</v>
      </c>
      <c r="CH790" s="133" t="e">
        <f t="shared" si="825"/>
        <v>#DIV/0!</v>
      </c>
    </row>
    <row r="791" spans="1:86" s="121" customFormat="1">
      <c r="A791" s="125">
        <f t="shared" si="815"/>
        <v>0</v>
      </c>
      <c r="B791" s="125"/>
      <c r="D791" s="121" t="s">
        <v>197</v>
      </c>
      <c r="G791" s="124"/>
      <c r="H791" s="124"/>
      <c r="I791" s="122"/>
      <c r="M791" s="123"/>
      <c r="N791" s="121" t="s">
        <v>4309</v>
      </c>
      <c r="O791" s="121" t="s">
        <v>209</v>
      </c>
      <c r="Q791" s="122">
        <f>3100*2.4</f>
        <v>7440</v>
      </c>
      <c r="R791" s="122"/>
      <c r="S791" s="122"/>
      <c r="T791" s="122"/>
      <c r="BD791" s="120"/>
      <c r="BE791" s="120">
        <f t="shared" si="816"/>
        <v>0</v>
      </c>
      <c r="BF791" s="137">
        <f t="shared" ref="BF791:BF849" si="826">BE791-BD791</f>
        <v>0</v>
      </c>
      <c r="BG791" s="120"/>
      <c r="BH791" s="120"/>
      <c r="BI791" s="120"/>
      <c r="BJ791" s="120"/>
      <c r="BK791" s="120"/>
      <c r="BL791" s="120"/>
      <c r="BM791" s="120"/>
      <c r="BN791" s="120"/>
      <c r="BO791" s="120"/>
      <c r="BP791" s="120"/>
      <c r="BQ791" s="124"/>
      <c r="BR791" s="120"/>
      <c r="BS791" s="120"/>
      <c r="BT791" s="120"/>
      <c r="BU791" s="120"/>
      <c r="BV791" s="120"/>
      <c r="BW791" s="120"/>
      <c r="BZ791" s="136">
        <f t="shared" si="817"/>
        <v>0</v>
      </c>
      <c r="CA791" s="136">
        <f t="shared" si="818"/>
        <v>0</v>
      </c>
      <c r="CB791" s="136">
        <f t="shared" si="819"/>
        <v>0</v>
      </c>
      <c r="CC791" s="136">
        <f t="shared" si="820"/>
        <v>0</v>
      </c>
      <c r="CD791" s="135">
        <f t="shared" si="821"/>
        <v>0</v>
      </c>
      <c r="CE791" s="135">
        <f t="shared" si="822"/>
        <v>0</v>
      </c>
      <c r="CF791" s="134">
        <f t="shared" si="823"/>
        <v>0</v>
      </c>
      <c r="CG791" s="134">
        <f t="shared" si="824"/>
        <v>0</v>
      </c>
      <c r="CH791" s="133" t="e">
        <f t="shared" si="825"/>
        <v>#DIV/0!</v>
      </c>
    </row>
    <row r="792" spans="1:86" s="121" customFormat="1">
      <c r="A792" s="125">
        <f t="shared" si="815"/>
        <v>0</v>
      </c>
      <c r="B792" s="125"/>
      <c r="D792" s="121" t="s">
        <v>197</v>
      </c>
      <c r="G792" s="124"/>
      <c r="H792" s="124"/>
      <c r="I792" s="122"/>
      <c r="M792" s="123"/>
      <c r="N792" s="121" t="s">
        <v>4309</v>
      </c>
      <c r="O792" s="121" t="s">
        <v>209</v>
      </c>
      <c r="Q792" s="122">
        <f>3100*2.4</f>
        <v>7440</v>
      </c>
      <c r="R792" s="122"/>
      <c r="S792" s="122"/>
      <c r="T792" s="122"/>
      <c r="BD792" s="120"/>
      <c r="BE792" s="120">
        <f t="shared" si="816"/>
        <v>0</v>
      </c>
      <c r="BF792" s="137">
        <f t="shared" si="826"/>
        <v>0</v>
      </c>
      <c r="BG792" s="120"/>
      <c r="BH792" s="120"/>
      <c r="BI792" s="120"/>
      <c r="BJ792" s="120"/>
      <c r="BK792" s="120"/>
      <c r="BL792" s="120"/>
      <c r="BM792" s="120"/>
      <c r="BN792" s="124"/>
      <c r="BO792" s="124"/>
      <c r="BP792" s="120"/>
      <c r="BQ792" s="124"/>
      <c r="BR792" s="120"/>
      <c r="BS792" s="120"/>
      <c r="BT792" s="120"/>
      <c r="BU792" s="120"/>
      <c r="BV792" s="120"/>
      <c r="BW792" s="120"/>
      <c r="BZ792" s="136">
        <f t="shared" si="817"/>
        <v>0</v>
      </c>
      <c r="CA792" s="136">
        <f t="shared" si="818"/>
        <v>0</v>
      </c>
      <c r="CB792" s="136">
        <f t="shared" si="819"/>
        <v>0</v>
      </c>
      <c r="CC792" s="136">
        <f t="shared" si="820"/>
        <v>0</v>
      </c>
      <c r="CD792" s="135">
        <f t="shared" si="821"/>
        <v>0</v>
      </c>
      <c r="CE792" s="135">
        <f t="shared" si="822"/>
        <v>0</v>
      </c>
      <c r="CF792" s="134">
        <f t="shared" si="823"/>
        <v>0</v>
      </c>
      <c r="CG792" s="134">
        <f t="shared" si="824"/>
        <v>0</v>
      </c>
      <c r="CH792" s="133" t="e">
        <f t="shared" si="825"/>
        <v>#DIV/0!</v>
      </c>
    </row>
    <row r="793" spans="1:86" s="121" customFormat="1">
      <c r="A793" s="125">
        <f t="shared" si="815"/>
        <v>0</v>
      </c>
      <c r="B793" s="125"/>
      <c r="D793" s="121" t="s">
        <v>197</v>
      </c>
      <c r="G793" s="124"/>
      <c r="H793" s="124"/>
      <c r="I793" s="122"/>
      <c r="M793" s="123"/>
      <c r="N793" s="121" t="s">
        <v>1392</v>
      </c>
      <c r="O793" s="121" t="s">
        <v>4143</v>
      </c>
      <c r="Q793" s="122">
        <f>3100*2.4</f>
        <v>7440</v>
      </c>
      <c r="R793" s="122"/>
      <c r="S793" s="122"/>
      <c r="T793" s="122"/>
      <c r="BD793" s="120"/>
      <c r="BE793" s="120">
        <f t="shared" si="816"/>
        <v>0</v>
      </c>
      <c r="BF793" s="137">
        <f t="shared" si="826"/>
        <v>0</v>
      </c>
      <c r="BG793" s="120"/>
      <c r="BH793" s="120"/>
      <c r="BI793" s="120"/>
      <c r="BJ793" s="120"/>
      <c r="BK793" s="120"/>
      <c r="BL793" s="120"/>
      <c r="BM793" s="120"/>
      <c r="BN793" s="120"/>
      <c r="BO793" s="120"/>
      <c r="BP793" s="120"/>
      <c r="BQ793" s="124"/>
      <c r="BR793" s="120"/>
      <c r="BS793" s="120"/>
      <c r="BT793" s="120"/>
      <c r="BU793" s="120"/>
      <c r="BV793" s="120"/>
      <c r="BW793" s="120"/>
      <c r="BX793" s="116"/>
      <c r="BY793" s="116"/>
      <c r="BZ793" s="136">
        <f t="shared" si="817"/>
        <v>0</v>
      </c>
      <c r="CA793" s="136">
        <f t="shared" si="818"/>
        <v>0</v>
      </c>
      <c r="CB793" s="136">
        <f t="shared" si="819"/>
        <v>0</v>
      </c>
      <c r="CC793" s="136">
        <f t="shared" si="820"/>
        <v>0</v>
      </c>
      <c r="CD793" s="135">
        <f t="shared" si="821"/>
        <v>0</v>
      </c>
      <c r="CE793" s="135">
        <f t="shared" si="822"/>
        <v>0</v>
      </c>
      <c r="CF793" s="134">
        <f t="shared" si="823"/>
        <v>0</v>
      </c>
      <c r="CG793" s="134">
        <f t="shared" si="824"/>
        <v>0</v>
      </c>
      <c r="CH793" s="133" t="e">
        <f t="shared" si="825"/>
        <v>#DIV/0!</v>
      </c>
    </row>
    <row r="794" spans="1:86" s="121" customFormat="1">
      <c r="A794" s="125">
        <f t="shared" si="815"/>
        <v>0</v>
      </c>
      <c r="B794" s="125"/>
      <c r="D794" s="121" t="s">
        <v>197</v>
      </c>
      <c r="G794" s="124"/>
      <c r="H794" s="124"/>
      <c r="I794" s="122"/>
      <c r="M794" s="123"/>
      <c r="N794" s="121" t="s">
        <v>288</v>
      </c>
      <c r="O794" s="121" t="s">
        <v>289</v>
      </c>
      <c r="Q794" s="122">
        <f>3107*2.4</f>
        <v>7456.7999999999993</v>
      </c>
      <c r="R794" s="122"/>
      <c r="S794" s="122"/>
      <c r="T794" s="122"/>
      <c r="BD794" s="120"/>
      <c r="BE794" s="120">
        <f t="shared" si="816"/>
        <v>0</v>
      </c>
      <c r="BF794" s="137">
        <f t="shared" si="826"/>
        <v>0</v>
      </c>
      <c r="BG794" s="120"/>
      <c r="BH794" s="120"/>
      <c r="BI794" s="120"/>
      <c r="BJ794" s="120"/>
      <c r="BK794" s="120"/>
      <c r="BL794" s="120"/>
      <c r="BM794" s="120"/>
      <c r="BN794" s="120"/>
      <c r="BO794" s="120"/>
      <c r="BP794" s="120"/>
      <c r="BQ794" s="124"/>
      <c r="BR794" s="120"/>
      <c r="BS794" s="120"/>
      <c r="BT794" s="120"/>
      <c r="BU794" s="120"/>
      <c r="BV794" s="120"/>
      <c r="BW794" s="120"/>
      <c r="BZ794" s="136">
        <f t="shared" si="817"/>
        <v>0</v>
      </c>
      <c r="CA794" s="136">
        <f t="shared" si="818"/>
        <v>0</v>
      </c>
      <c r="CB794" s="136">
        <f t="shared" si="819"/>
        <v>0</v>
      </c>
      <c r="CC794" s="136">
        <f t="shared" si="820"/>
        <v>0</v>
      </c>
      <c r="CD794" s="135">
        <f t="shared" si="821"/>
        <v>0</v>
      </c>
      <c r="CE794" s="135">
        <f t="shared" si="822"/>
        <v>0</v>
      </c>
      <c r="CF794" s="134">
        <f t="shared" si="823"/>
        <v>0</v>
      </c>
      <c r="CG794" s="134">
        <f t="shared" si="824"/>
        <v>0</v>
      </c>
      <c r="CH794" s="133" t="e">
        <f t="shared" si="825"/>
        <v>#DIV/0!</v>
      </c>
    </row>
    <row r="795" spans="1:86" s="121" customFormat="1">
      <c r="A795" s="125">
        <f t="shared" si="815"/>
        <v>0</v>
      </c>
      <c r="B795" s="125"/>
      <c r="D795" s="121" t="s">
        <v>215</v>
      </c>
      <c r="G795" s="124"/>
      <c r="H795" s="124"/>
      <c r="I795" s="122"/>
      <c r="M795" s="123"/>
      <c r="N795" s="121" t="s">
        <v>310</v>
      </c>
      <c r="O795" s="121" t="s">
        <v>4209</v>
      </c>
      <c r="Q795" s="122">
        <f>3109*2.4</f>
        <v>7461.5999999999995</v>
      </c>
      <c r="R795" s="122"/>
      <c r="S795" s="122"/>
      <c r="T795" s="122"/>
      <c r="BD795" s="120"/>
      <c r="BE795" s="120">
        <f t="shared" si="816"/>
        <v>0</v>
      </c>
      <c r="BF795" s="137">
        <f t="shared" si="826"/>
        <v>0</v>
      </c>
      <c r="BG795" s="120"/>
      <c r="BH795" s="120"/>
      <c r="BI795" s="120"/>
      <c r="BJ795" s="120"/>
      <c r="BK795" s="120"/>
      <c r="BL795" s="120"/>
      <c r="BM795" s="120"/>
      <c r="BN795" s="120"/>
      <c r="BO795" s="120"/>
      <c r="BP795" s="120"/>
      <c r="BQ795" s="124"/>
      <c r="BR795" s="120"/>
      <c r="BS795" s="120"/>
      <c r="BT795" s="120"/>
      <c r="BU795" s="120"/>
      <c r="BV795" s="120"/>
      <c r="BW795" s="120"/>
      <c r="BZ795" s="136">
        <f t="shared" si="817"/>
        <v>0</v>
      </c>
      <c r="CA795" s="136">
        <f t="shared" si="818"/>
        <v>0</v>
      </c>
      <c r="CB795" s="136">
        <f t="shared" si="819"/>
        <v>0</v>
      </c>
      <c r="CC795" s="136">
        <f t="shared" si="820"/>
        <v>0</v>
      </c>
      <c r="CD795" s="135">
        <f t="shared" si="821"/>
        <v>0</v>
      </c>
      <c r="CE795" s="135">
        <f t="shared" si="822"/>
        <v>0</v>
      </c>
      <c r="CF795" s="134">
        <f t="shared" si="823"/>
        <v>0</v>
      </c>
      <c r="CG795" s="134">
        <f t="shared" si="824"/>
        <v>0</v>
      </c>
      <c r="CH795" s="133" t="e">
        <f t="shared" si="825"/>
        <v>#DIV/0!</v>
      </c>
    </row>
    <row r="796" spans="1:86" s="121" customFormat="1">
      <c r="A796" s="125">
        <f t="shared" si="815"/>
        <v>0</v>
      </c>
      <c r="B796" s="125"/>
      <c r="D796" s="121" t="s">
        <v>1248</v>
      </c>
      <c r="G796" s="124"/>
      <c r="H796" s="124"/>
      <c r="I796" s="122"/>
      <c r="M796" s="123"/>
      <c r="N796" s="121" t="s">
        <v>4310</v>
      </c>
      <c r="O796" s="121" t="s">
        <v>4311</v>
      </c>
      <c r="Q796" s="122">
        <v>7500</v>
      </c>
      <c r="R796" s="122"/>
      <c r="S796" s="122"/>
      <c r="T796" s="122"/>
      <c r="BD796" s="120"/>
      <c r="BE796" s="120">
        <f t="shared" si="816"/>
        <v>0</v>
      </c>
      <c r="BF796" s="137">
        <f t="shared" si="826"/>
        <v>0</v>
      </c>
      <c r="BG796" s="120"/>
      <c r="BH796" s="120"/>
      <c r="BI796" s="120"/>
      <c r="BJ796" s="120"/>
      <c r="BK796" s="120"/>
      <c r="BL796" s="120"/>
      <c r="BM796" s="120"/>
      <c r="BN796" s="120"/>
      <c r="BO796" s="120"/>
      <c r="BP796" s="120"/>
      <c r="BQ796" s="124"/>
      <c r="BR796" s="120"/>
      <c r="BS796" s="120"/>
      <c r="BT796" s="120"/>
      <c r="BU796" s="120"/>
      <c r="BV796" s="120"/>
      <c r="BW796" s="120"/>
      <c r="BZ796" s="136">
        <f t="shared" si="817"/>
        <v>0</v>
      </c>
      <c r="CA796" s="136">
        <f t="shared" si="818"/>
        <v>0</v>
      </c>
      <c r="CB796" s="136">
        <f t="shared" si="819"/>
        <v>0</v>
      </c>
      <c r="CC796" s="136">
        <f t="shared" si="820"/>
        <v>0</v>
      </c>
      <c r="CD796" s="135">
        <f t="shared" si="821"/>
        <v>0</v>
      </c>
      <c r="CE796" s="135">
        <f t="shared" si="822"/>
        <v>0</v>
      </c>
      <c r="CF796" s="134">
        <f t="shared" si="823"/>
        <v>0</v>
      </c>
      <c r="CG796" s="134">
        <f t="shared" si="824"/>
        <v>0</v>
      </c>
      <c r="CH796" s="133" t="e">
        <f t="shared" si="825"/>
        <v>#DIV/0!</v>
      </c>
    </row>
    <row r="797" spans="1:86" s="121" customFormat="1">
      <c r="A797" s="125">
        <f t="shared" si="815"/>
        <v>0</v>
      </c>
      <c r="B797" s="125"/>
      <c r="D797" s="121" t="s">
        <v>1248</v>
      </c>
      <c r="G797" s="124"/>
      <c r="H797" s="124"/>
      <c r="I797" s="122"/>
      <c r="M797" s="123"/>
      <c r="N797" s="121" t="s">
        <v>4312</v>
      </c>
      <c r="O797" s="121" t="s">
        <v>4192</v>
      </c>
      <c r="Q797" s="122">
        <v>7500</v>
      </c>
      <c r="R797" s="122"/>
      <c r="S797" s="122"/>
      <c r="T797" s="122"/>
      <c r="BD797" s="120"/>
      <c r="BE797" s="120">
        <f t="shared" si="816"/>
        <v>0</v>
      </c>
      <c r="BF797" s="137">
        <f t="shared" si="826"/>
        <v>0</v>
      </c>
      <c r="BG797" s="120"/>
      <c r="BH797" s="120"/>
      <c r="BI797" s="120"/>
      <c r="BJ797" s="120"/>
      <c r="BK797" s="120"/>
      <c r="BL797" s="120"/>
      <c r="BM797" s="120"/>
      <c r="BN797" s="120"/>
      <c r="BO797" s="120"/>
      <c r="BP797" s="120"/>
      <c r="BQ797" s="124"/>
      <c r="BR797" s="120"/>
      <c r="BS797" s="120"/>
      <c r="BT797" s="120"/>
      <c r="BU797" s="120"/>
      <c r="BV797" s="120"/>
      <c r="BW797" s="120"/>
      <c r="BZ797" s="136">
        <f t="shared" si="817"/>
        <v>0</v>
      </c>
      <c r="CA797" s="136">
        <f t="shared" si="818"/>
        <v>0</v>
      </c>
      <c r="CB797" s="136">
        <f t="shared" si="819"/>
        <v>0</v>
      </c>
      <c r="CC797" s="136">
        <f t="shared" si="820"/>
        <v>0</v>
      </c>
      <c r="CD797" s="135">
        <f t="shared" si="821"/>
        <v>0</v>
      </c>
      <c r="CE797" s="135">
        <f t="shared" si="822"/>
        <v>0</v>
      </c>
      <c r="CF797" s="134">
        <f t="shared" si="823"/>
        <v>0</v>
      </c>
      <c r="CG797" s="134">
        <f t="shared" si="824"/>
        <v>0</v>
      </c>
      <c r="CH797" s="133" t="e">
        <f t="shared" si="825"/>
        <v>#DIV/0!</v>
      </c>
    </row>
    <row r="798" spans="1:86" s="121" customFormat="1">
      <c r="A798" s="125">
        <f t="shared" si="815"/>
        <v>0</v>
      </c>
      <c r="B798" s="125"/>
      <c r="D798" s="121" t="s">
        <v>1248</v>
      </c>
      <c r="G798" s="124"/>
      <c r="H798" s="124"/>
      <c r="I798" s="122"/>
      <c r="M798" s="123"/>
      <c r="N798" s="121" t="s">
        <v>2331</v>
      </c>
      <c r="O798" s="121" t="s">
        <v>347</v>
      </c>
      <c r="Q798" s="122">
        <v>7500</v>
      </c>
      <c r="R798" s="122"/>
      <c r="S798" s="122"/>
      <c r="T798" s="122"/>
      <c r="BD798" s="120"/>
      <c r="BE798" s="120">
        <f t="shared" si="816"/>
        <v>0</v>
      </c>
      <c r="BF798" s="137">
        <f t="shared" si="826"/>
        <v>0</v>
      </c>
      <c r="BG798" s="120"/>
      <c r="BH798" s="120"/>
      <c r="BI798" s="120"/>
      <c r="BJ798" s="120"/>
      <c r="BK798" s="120"/>
      <c r="BL798" s="120"/>
      <c r="BM798" s="120"/>
      <c r="BN798" s="120"/>
      <c r="BO798" s="120"/>
      <c r="BP798" s="120"/>
      <c r="BQ798" s="124"/>
      <c r="BR798" s="120"/>
      <c r="BS798" s="120"/>
      <c r="BT798" s="120"/>
      <c r="BU798" s="120"/>
      <c r="BV798" s="120"/>
      <c r="BW798" s="120"/>
      <c r="BZ798" s="136">
        <f t="shared" si="817"/>
        <v>0</v>
      </c>
      <c r="CA798" s="136">
        <f t="shared" si="818"/>
        <v>0</v>
      </c>
      <c r="CB798" s="136">
        <f t="shared" si="819"/>
        <v>0</v>
      </c>
      <c r="CC798" s="136">
        <f t="shared" si="820"/>
        <v>0</v>
      </c>
      <c r="CD798" s="135">
        <f t="shared" si="821"/>
        <v>0</v>
      </c>
      <c r="CE798" s="135">
        <f t="shared" si="822"/>
        <v>0</v>
      </c>
      <c r="CF798" s="134">
        <f t="shared" si="823"/>
        <v>0</v>
      </c>
      <c r="CG798" s="134">
        <f t="shared" si="824"/>
        <v>0</v>
      </c>
      <c r="CH798" s="133" t="e">
        <f t="shared" si="825"/>
        <v>#DIV/0!</v>
      </c>
    </row>
    <row r="799" spans="1:86" s="121" customFormat="1">
      <c r="A799" s="125">
        <f t="shared" si="815"/>
        <v>0</v>
      </c>
      <c r="B799" s="125"/>
      <c r="D799" s="121" t="s">
        <v>1248</v>
      </c>
      <c r="G799" s="124"/>
      <c r="H799" s="124"/>
      <c r="I799" s="122"/>
      <c r="M799" s="123"/>
      <c r="N799" s="121" t="s">
        <v>4313</v>
      </c>
      <c r="O799" s="121" t="s">
        <v>4251</v>
      </c>
      <c r="Q799" s="122">
        <v>7500</v>
      </c>
      <c r="R799" s="122"/>
      <c r="S799" s="122"/>
      <c r="T799" s="122"/>
      <c r="BD799" s="120"/>
      <c r="BE799" s="120">
        <f t="shared" si="816"/>
        <v>0</v>
      </c>
      <c r="BF799" s="137">
        <f t="shared" si="826"/>
        <v>0</v>
      </c>
      <c r="BG799" s="120"/>
      <c r="BH799" s="120"/>
      <c r="BI799" s="120"/>
      <c r="BJ799" s="120"/>
      <c r="BK799" s="120"/>
      <c r="BL799" s="120"/>
      <c r="BM799" s="120"/>
      <c r="BN799" s="120"/>
      <c r="BO799" s="120"/>
      <c r="BP799" s="120"/>
      <c r="BQ799" s="124"/>
      <c r="BR799" s="120"/>
      <c r="BS799" s="120"/>
      <c r="BT799" s="120"/>
      <c r="BU799" s="120"/>
      <c r="BV799" s="120"/>
      <c r="BW799" s="120"/>
      <c r="BZ799" s="136">
        <f t="shared" si="817"/>
        <v>0</v>
      </c>
      <c r="CA799" s="136">
        <f t="shared" si="818"/>
        <v>0</v>
      </c>
      <c r="CB799" s="136">
        <f t="shared" si="819"/>
        <v>0</v>
      </c>
      <c r="CC799" s="136">
        <f t="shared" si="820"/>
        <v>0</v>
      </c>
      <c r="CD799" s="135">
        <f t="shared" si="821"/>
        <v>0</v>
      </c>
      <c r="CE799" s="135">
        <f t="shared" si="822"/>
        <v>0</v>
      </c>
      <c r="CF799" s="134">
        <f t="shared" si="823"/>
        <v>0</v>
      </c>
      <c r="CG799" s="134">
        <f t="shared" si="824"/>
        <v>0</v>
      </c>
      <c r="CH799" s="133" t="e">
        <f t="shared" si="825"/>
        <v>#DIV/0!</v>
      </c>
    </row>
    <row r="800" spans="1:86" s="121" customFormat="1">
      <c r="A800" s="125">
        <f t="shared" si="815"/>
        <v>0</v>
      </c>
      <c r="B800" s="125"/>
      <c r="D800" s="121" t="s">
        <v>1248</v>
      </c>
      <c r="G800" s="124"/>
      <c r="H800" s="124"/>
      <c r="I800" s="122"/>
      <c r="M800" s="123"/>
      <c r="N800" s="121" t="s">
        <v>4314</v>
      </c>
      <c r="O800" s="121" t="s">
        <v>4315</v>
      </c>
      <c r="Q800" s="122">
        <v>7500</v>
      </c>
      <c r="R800" s="122"/>
      <c r="S800" s="122"/>
      <c r="T800" s="122"/>
      <c r="BD800" s="120"/>
      <c r="BE800" s="120">
        <f t="shared" si="816"/>
        <v>0</v>
      </c>
      <c r="BF800" s="137">
        <f t="shared" si="826"/>
        <v>0</v>
      </c>
      <c r="BG800" s="120"/>
      <c r="BH800" s="120"/>
      <c r="BI800" s="120"/>
      <c r="BJ800" s="120"/>
      <c r="BK800" s="120"/>
      <c r="BL800" s="120"/>
      <c r="BM800" s="120"/>
      <c r="BN800" s="120"/>
      <c r="BO800" s="120"/>
      <c r="BP800" s="120"/>
      <c r="BQ800" s="124"/>
      <c r="BR800" s="120"/>
      <c r="BS800" s="120"/>
      <c r="BT800" s="120"/>
      <c r="BU800" s="120"/>
      <c r="BV800" s="120"/>
      <c r="BW800" s="120"/>
      <c r="BZ800" s="136">
        <f t="shared" si="817"/>
        <v>0</v>
      </c>
      <c r="CA800" s="136">
        <f t="shared" si="818"/>
        <v>0</v>
      </c>
      <c r="CB800" s="136">
        <f t="shared" si="819"/>
        <v>0</v>
      </c>
      <c r="CC800" s="136">
        <f t="shared" si="820"/>
        <v>0</v>
      </c>
      <c r="CD800" s="135">
        <f t="shared" si="821"/>
        <v>0</v>
      </c>
      <c r="CE800" s="135">
        <f t="shared" si="822"/>
        <v>0</v>
      </c>
      <c r="CF800" s="134">
        <f t="shared" si="823"/>
        <v>0</v>
      </c>
      <c r="CG800" s="134">
        <f t="shared" si="824"/>
        <v>0</v>
      </c>
      <c r="CH800" s="133" t="e">
        <f t="shared" si="825"/>
        <v>#DIV/0!</v>
      </c>
    </row>
    <row r="801" spans="1:86" s="121" customFormat="1">
      <c r="A801" s="125">
        <f t="shared" si="815"/>
        <v>0</v>
      </c>
      <c r="B801" s="125"/>
      <c r="D801" s="121" t="s">
        <v>1248</v>
      </c>
      <c r="G801" s="124"/>
      <c r="H801" s="124"/>
      <c r="I801" s="122"/>
      <c r="M801" s="123"/>
      <c r="N801" s="121" t="s">
        <v>4316</v>
      </c>
      <c r="O801" s="121" t="s">
        <v>4317</v>
      </c>
      <c r="Q801" s="122">
        <v>7500</v>
      </c>
      <c r="R801" s="122"/>
      <c r="S801" s="122"/>
      <c r="T801" s="122"/>
      <c r="BD801" s="120"/>
      <c r="BE801" s="120">
        <f t="shared" si="816"/>
        <v>0</v>
      </c>
      <c r="BF801" s="137">
        <f t="shared" si="826"/>
        <v>0</v>
      </c>
      <c r="BG801" s="120"/>
      <c r="BH801" s="120"/>
      <c r="BI801" s="120"/>
      <c r="BJ801" s="120"/>
      <c r="BK801" s="120"/>
      <c r="BL801" s="120"/>
      <c r="BM801" s="120"/>
      <c r="BN801" s="120"/>
      <c r="BO801" s="120"/>
      <c r="BP801" s="120"/>
      <c r="BQ801" s="124"/>
      <c r="BR801" s="120"/>
      <c r="BS801" s="120"/>
      <c r="BT801" s="120"/>
      <c r="BU801" s="120"/>
      <c r="BV801" s="120"/>
      <c r="BW801" s="120"/>
      <c r="BZ801" s="136">
        <f t="shared" si="817"/>
        <v>0</v>
      </c>
      <c r="CA801" s="136">
        <f t="shared" si="818"/>
        <v>0</v>
      </c>
      <c r="CB801" s="136">
        <f t="shared" si="819"/>
        <v>0</v>
      </c>
      <c r="CC801" s="136">
        <f t="shared" si="820"/>
        <v>0</v>
      </c>
      <c r="CD801" s="135">
        <f t="shared" si="821"/>
        <v>0</v>
      </c>
      <c r="CE801" s="135">
        <f t="shared" si="822"/>
        <v>0</v>
      </c>
      <c r="CF801" s="134">
        <f t="shared" si="823"/>
        <v>0</v>
      </c>
      <c r="CG801" s="134">
        <f t="shared" si="824"/>
        <v>0</v>
      </c>
      <c r="CH801" s="133" t="e">
        <f t="shared" si="825"/>
        <v>#DIV/0!</v>
      </c>
    </row>
    <row r="802" spans="1:86" s="121" customFormat="1">
      <c r="A802" s="125">
        <f t="shared" ref="A802:A849" si="827">BJ802</f>
        <v>0</v>
      </c>
      <c r="B802" s="125"/>
      <c r="D802" s="121" t="s">
        <v>1248</v>
      </c>
      <c r="G802" s="124"/>
      <c r="H802" s="124"/>
      <c r="I802" s="122"/>
      <c r="M802" s="123"/>
      <c r="N802" s="121" t="s">
        <v>4318</v>
      </c>
      <c r="O802" s="121" t="s">
        <v>227</v>
      </c>
      <c r="Q802" s="122">
        <v>7500</v>
      </c>
      <c r="R802" s="122"/>
      <c r="S802" s="122"/>
      <c r="T802" s="122"/>
      <c r="BD802" s="120"/>
      <c r="BE802" s="120">
        <f t="shared" si="816"/>
        <v>0</v>
      </c>
      <c r="BF802" s="137">
        <f t="shared" si="826"/>
        <v>0</v>
      </c>
      <c r="BG802" s="120"/>
      <c r="BH802" s="120"/>
      <c r="BI802" s="120"/>
      <c r="BJ802" s="120"/>
      <c r="BK802" s="120"/>
      <c r="BL802" s="120"/>
      <c r="BM802" s="120"/>
      <c r="BN802" s="120"/>
      <c r="BO802" s="120"/>
      <c r="BP802" s="120"/>
      <c r="BQ802" s="124"/>
      <c r="BR802" s="120"/>
      <c r="BS802" s="120"/>
      <c r="BT802" s="120"/>
      <c r="BU802" s="120"/>
      <c r="BV802" s="120"/>
      <c r="BW802" s="120"/>
      <c r="BZ802" s="136">
        <f t="shared" si="817"/>
        <v>0</v>
      </c>
      <c r="CA802" s="136">
        <f t="shared" si="818"/>
        <v>0</v>
      </c>
      <c r="CB802" s="136">
        <f t="shared" si="819"/>
        <v>0</v>
      </c>
      <c r="CC802" s="136">
        <f t="shared" si="820"/>
        <v>0</v>
      </c>
      <c r="CD802" s="135">
        <f t="shared" si="821"/>
        <v>0</v>
      </c>
      <c r="CE802" s="135">
        <f t="shared" si="822"/>
        <v>0</v>
      </c>
      <c r="CF802" s="134">
        <f t="shared" si="823"/>
        <v>0</v>
      </c>
      <c r="CG802" s="134">
        <f t="shared" si="824"/>
        <v>0</v>
      </c>
      <c r="CH802" s="133" t="e">
        <f t="shared" si="825"/>
        <v>#DIV/0!</v>
      </c>
    </row>
    <row r="803" spans="1:86" s="121" customFormat="1">
      <c r="A803" s="125">
        <f t="shared" si="827"/>
        <v>0</v>
      </c>
      <c r="B803" s="125"/>
      <c r="D803" s="121" t="s">
        <v>1248</v>
      </c>
      <c r="G803" s="124"/>
      <c r="H803" s="124"/>
      <c r="I803" s="122"/>
      <c r="M803" s="123"/>
      <c r="N803" s="121" t="s">
        <v>4319</v>
      </c>
      <c r="O803" s="121" t="s">
        <v>2402</v>
      </c>
      <c r="Q803" s="122">
        <v>7500</v>
      </c>
      <c r="R803" s="122"/>
      <c r="S803" s="122"/>
      <c r="T803" s="122"/>
      <c r="BD803" s="120"/>
      <c r="BE803" s="120">
        <f t="shared" si="816"/>
        <v>0</v>
      </c>
      <c r="BF803" s="137">
        <f t="shared" si="826"/>
        <v>0</v>
      </c>
      <c r="BG803" s="120"/>
      <c r="BH803" s="120"/>
      <c r="BI803" s="120"/>
      <c r="BJ803" s="120"/>
      <c r="BK803" s="120"/>
      <c r="BL803" s="120"/>
      <c r="BM803" s="120"/>
      <c r="BN803" s="120"/>
      <c r="BO803" s="120"/>
      <c r="BP803" s="120"/>
      <c r="BQ803" s="124"/>
      <c r="BR803" s="120"/>
      <c r="BS803" s="120"/>
      <c r="BT803" s="120"/>
      <c r="BU803" s="120"/>
      <c r="BV803" s="120"/>
      <c r="BW803" s="120"/>
      <c r="BZ803" s="136">
        <f t="shared" si="817"/>
        <v>0</v>
      </c>
      <c r="CA803" s="136">
        <f t="shared" si="818"/>
        <v>0</v>
      </c>
      <c r="CB803" s="136">
        <f t="shared" si="819"/>
        <v>0</v>
      </c>
      <c r="CC803" s="136">
        <f t="shared" si="820"/>
        <v>0</v>
      </c>
      <c r="CD803" s="135">
        <f t="shared" si="821"/>
        <v>0</v>
      </c>
      <c r="CE803" s="135">
        <f t="shared" si="822"/>
        <v>0</v>
      </c>
      <c r="CF803" s="134">
        <f t="shared" si="823"/>
        <v>0</v>
      </c>
      <c r="CG803" s="134">
        <f t="shared" si="824"/>
        <v>0</v>
      </c>
      <c r="CH803" s="133" t="e">
        <f t="shared" si="825"/>
        <v>#DIV/0!</v>
      </c>
    </row>
    <row r="804" spans="1:86" s="121" customFormat="1">
      <c r="A804" s="125">
        <f t="shared" si="827"/>
        <v>0</v>
      </c>
      <c r="B804" s="125"/>
      <c r="D804" s="121" t="s">
        <v>1248</v>
      </c>
      <c r="G804" s="124"/>
      <c r="H804" s="124"/>
      <c r="I804" s="122"/>
      <c r="M804" s="123"/>
      <c r="N804" s="121" t="s">
        <v>4320</v>
      </c>
      <c r="O804" s="121" t="s">
        <v>4321</v>
      </c>
      <c r="Q804" s="122">
        <v>7500</v>
      </c>
      <c r="R804" s="122"/>
      <c r="S804" s="122"/>
      <c r="T804" s="122"/>
      <c r="BD804" s="120"/>
      <c r="BE804" s="120">
        <f t="shared" si="816"/>
        <v>0</v>
      </c>
      <c r="BF804" s="137">
        <f t="shared" si="826"/>
        <v>0</v>
      </c>
      <c r="BG804" s="120"/>
      <c r="BH804" s="120"/>
      <c r="BI804" s="120"/>
      <c r="BJ804" s="120"/>
      <c r="BK804" s="120"/>
      <c r="BL804" s="120"/>
      <c r="BM804" s="120"/>
      <c r="BN804" s="120"/>
      <c r="BO804" s="120"/>
      <c r="BP804" s="120"/>
      <c r="BQ804" s="124"/>
      <c r="BR804" s="120"/>
      <c r="BS804" s="120"/>
      <c r="BT804" s="120"/>
      <c r="BU804" s="120"/>
      <c r="BV804" s="120"/>
      <c r="BW804" s="120"/>
      <c r="BZ804" s="136">
        <f t="shared" si="817"/>
        <v>0</v>
      </c>
      <c r="CA804" s="136">
        <f t="shared" si="818"/>
        <v>0</v>
      </c>
      <c r="CB804" s="136">
        <f t="shared" si="819"/>
        <v>0</v>
      </c>
      <c r="CC804" s="136">
        <f t="shared" si="820"/>
        <v>0</v>
      </c>
      <c r="CD804" s="135">
        <f t="shared" si="821"/>
        <v>0</v>
      </c>
      <c r="CE804" s="135">
        <f t="shared" si="822"/>
        <v>0</v>
      </c>
      <c r="CF804" s="134">
        <f t="shared" si="823"/>
        <v>0</v>
      </c>
      <c r="CG804" s="134">
        <f t="shared" si="824"/>
        <v>0</v>
      </c>
      <c r="CH804" s="133" t="e">
        <f t="shared" si="825"/>
        <v>#DIV/0!</v>
      </c>
    </row>
    <row r="805" spans="1:86" s="121" customFormat="1">
      <c r="A805" s="125">
        <f t="shared" si="827"/>
        <v>0</v>
      </c>
      <c r="B805" s="125"/>
      <c r="D805" s="121" t="s">
        <v>1248</v>
      </c>
      <c r="G805" s="124"/>
      <c r="H805" s="124"/>
      <c r="I805" s="122"/>
      <c r="M805" s="123"/>
      <c r="N805" s="121" t="s">
        <v>4322</v>
      </c>
      <c r="O805" s="121" t="s">
        <v>4323</v>
      </c>
      <c r="Q805" s="122">
        <v>7500</v>
      </c>
      <c r="R805" s="122"/>
      <c r="S805" s="122"/>
      <c r="T805" s="122"/>
      <c r="BD805" s="120"/>
      <c r="BE805" s="120">
        <f t="shared" si="816"/>
        <v>0</v>
      </c>
      <c r="BF805" s="137">
        <f t="shared" si="826"/>
        <v>0</v>
      </c>
      <c r="BG805" s="120"/>
      <c r="BH805" s="120"/>
      <c r="BI805" s="120"/>
      <c r="BJ805" s="120"/>
      <c r="BK805" s="120"/>
      <c r="BL805" s="120"/>
      <c r="BM805" s="120"/>
      <c r="BN805" s="120"/>
      <c r="BO805" s="120"/>
      <c r="BP805" s="120"/>
      <c r="BQ805" s="124"/>
      <c r="BR805" s="120"/>
      <c r="BS805" s="120"/>
      <c r="BT805" s="120"/>
      <c r="BU805" s="120"/>
      <c r="BV805" s="120"/>
      <c r="BW805" s="120"/>
      <c r="BZ805" s="136">
        <f t="shared" si="817"/>
        <v>0</v>
      </c>
      <c r="CA805" s="136">
        <f t="shared" si="818"/>
        <v>0</v>
      </c>
      <c r="CB805" s="136">
        <f t="shared" si="819"/>
        <v>0</v>
      </c>
      <c r="CC805" s="136">
        <f t="shared" si="820"/>
        <v>0</v>
      </c>
      <c r="CD805" s="135">
        <f t="shared" si="821"/>
        <v>0</v>
      </c>
      <c r="CE805" s="135">
        <f t="shared" si="822"/>
        <v>0</v>
      </c>
      <c r="CF805" s="134">
        <f t="shared" si="823"/>
        <v>0</v>
      </c>
      <c r="CG805" s="134">
        <f t="shared" si="824"/>
        <v>0</v>
      </c>
      <c r="CH805" s="133" t="e">
        <f t="shared" si="825"/>
        <v>#DIV/0!</v>
      </c>
    </row>
    <row r="806" spans="1:86" s="121" customFormat="1">
      <c r="A806" s="125">
        <f t="shared" si="827"/>
        <v>0</v>
      </c>
      <c r="B806" s="125"/>
      <c r="D806" s="121" t="s">
        <v>1248</v>
      </c>
      <c r="G806" s="124"/>
      <c r="H806" s="124"/>
      <c r="I806" s="122"/>
      <c r="M806" s="123"/>
      <c r="N806" s="121" t="s">
        <v>4324</v>
      </c>
      <c r="O806" s="121" t="s">
        <v>4325</v>
      </c>
      <c r="Q806" s="122">
        <v>7500</v>
      </c>
      <c r="R806" s="122"/>
      <c r="S806" s="122"/>
      <c r="T806" s="122"/>
      <c r="BD806" s="120"/>
      <c r="BE806" s="120">
        <f t="shared" si="816"/>
        <v>0</v>
      </c>
      <c r="BF806" s="137">
        <f t="shared" si="826"/>
        <v>0</v>
      </c>
      <c r="BG806" s="120"/>
      <c r="BH806" s="120"/>
      <c r="BI806" s="120"/>
      <c r="BJ806" s="120"/>
      <c r="BK806" s="120"/>
      <c r="BL806" s="120"/>
      <c r="BM806" s="120"/>
      <c r="BN806" s="120"/>
      <c r="BO806" s="120"/>
      <c r="BP806" s="120"/>
      <c r="BQ806" s="124"/>
      <c r="BR806" s="120"/>
      <c r="BS806" s="120"/>
      <c r="BT806" s="120"/>
      <c r="BU806" s="120"/>
      <c r="BV806" s="120"/>
      <c r="BW806" s="120"/>
      <c r="BZ806" s="136">
        <f t="shared" si="817"/>
        <v>0</v>
      </c>
      <c r="CA806" s="136">
        <f t="shared" si="818"/>
        <v>0</v>
      </c>
      <c r="CB806" s="136">
        <f t="shared" si="819"/>
        <v>0</v>
      </c>
      <c r="CC806" s="136">
        <f t="shared" si="820"/>
        <v>0</v>
      </c>
      <c r="CD806" s="135">
        <f t="shared" si="821"/>
        <v>0</v>
      </c>
      <c r="CE806" s="135">
        <f t="shared" si="822"/>
        <v>0</v>
      </c>
      <c r="CF806" s="134">
        <f t="shared" si="823"/>
        <v>0</v>
      </c>
      <c r="CG806" s="134">
        <f t="shared" si="824"/>
        <v>0</v>
      </c>
      <c r="CH806" s="133" t="e">
        <f t="shared" si="825"/>
        <v>#DIV/0!</v>
      </c>
    </row>
    <row r="807" spans="1:86" s="121" customFormat="1">
      <c r="A807" s="125">
        <f t="shared" si="827"/>
        <v>0</v>
      </c>
      <c r="B807" s="125"/>
      <c r="D807" s="121" t="s">
        <v>1248</v>
      </c>
      <c r="G807" s="124"/>
      <c r="H807" s="124"/>
      <c r="I807" s="122"/>
      <c r="M807" s="123"/>
      <c r="N807" s="121" t="s">
        <v>4326</v>
      </c>
      <c r="O807" s="121" t="s">
        <v>4327</v>
      </c>
      <c r="Q807" s="122">
        <v>7500</v>
      </c>
      <c r="R807" s="122"/>
      <c r="S807" s="122"/>
      <c r="T807" s="122"/>
      <c r="BD807" s="120"/>
      <c r="BE807" s="120">
        <f t="shared" si="816"/>
        <v>0</v>
      </c>
      <c r="BF807" s="137">
        <f t="shared" si="826"/>
        <v>0</v>
      </c>
      <c r="BG807" s="120"/>
      <c r="BH807" s="120"/>
      <c r="BI807" s="120"/>
      <c r="BJ807" s="120"/>
      <c r="BK807" s="120"/>
      <c r="BL807" s="120"/>
      <c r="BM807" s="120"/>
      <c r="BN807" s="120"/>
      <c r="BO807" s="120"/>
      <c r="BP807" s="120"/>
      <c r="BQ807" s="124"/>
      <c r="BR807" s="120"/>
      <c r="BS807" s="120"/>
      <c r="BT807" s="120"/>
      <c r="BU807" s="120"/>
      <c r="BV807" s="120"/>
      <c r="BW807" s="120"/>
      <c r="BZ807" s="136">
        <f t="shared" si="817"/>
        <v>0</v>
      </c>
      <c r="CA807" s="136">
        <f t="shared" si="818"/>
        <v>0</v>
      </c>
      <c r="CB807" s="136">
        <f t="shared" si="819"/>
        <v>0</v>
      </c>
      <c r="CC807" s="136">
        <f t="shared" si="820"/>
        <v>0</v>
      </c>
      <c r="CD807" s="135">
        <f t="shared" si="821"/>
        <v>0</v>
      </c>
      <c r="CE807" s="135">
        <f t="shared" si="822"/>
        <v>0</v>
      </c>
      <c r="CF807" s="134">
        <f t="shared" si="823"/>
        <v>0</v>
      </c>
      <c r="CG807" s="134">
        <f t="shared" si="824"/>
        <v>0</v>
      </c>
      <c r="CH807" s="133" t="e">
        <f t="shared" si="825"/>
        <v>#DIV/0!</v>
      </c>
    </row>
    <row r="808" spans="1:86" s="121" customFormat="1">
      <c r="A808" s="125">
        <f t="shared" si="827"/>
        <v>0</v>
      </c>
      <c r="B808" s="125"/>
      <c r="D808" s="121" t="s">
        <v>1248</v>
      </c>
      <c r="G808" s="124"/>
      <c r="H808" s="124"/>
      <c r="I808" s="122"/>
      <c r="M808" s="123"/>
      <c r="N808" s="121" t="s">
        <v>246</v>
      </c>
      <c r="O808" s="121" t="s">
        <v>4192</v>
      </c>
      <c r="Q808" s="122">
        <v>7500</v>
      </c>
      <c r="R808" s="122"/>
      <c r="S808" s="122"/>
      <c r="T808" s="122"/>
      <c r="BD808" s="120"/>
      <c r="BE808" s="120">
        <f t="shared" si="816"/>
        <v>0</v>
      </c>
      <c r="BF808" s="137">
        <f t="shared" si="826"/>
        <v>0</v>
      </c>
      <c r="BG808" s="120"/>
      <c r="BH808" s="120"/>
      <c r="BI808" s="120"/>
      <c r="BJ808" s="120"/>
      <c r="BK808" s="120"/>
      <c r="BL808" s="120"/>
      <c r="BM808" s="120"/>
      <c r="BN808" s="120"/>
      <c r="BO808" s="120"/>
      <c r="BP808" s="120"/>
      <c r="BQ808" s="124"/>
      <c r="BR808" s="120"/>
      <c r="BS808" s="120"/>
      <c r="BT808" s="120"/>
      <c r="BU808" s="120"/>
      <c r="BV808" s="120"/>
      <c r="BW808" s="120"/>
      <c r="BZ808" s="136">
        <f t="shared" si="817"/>
        <v>0</v>
      </c>
      <c r="CA808" s="136">
        <f t="shared" si="818"/>
        <v>0</v>
      </c>
      <c r="CB808" s="136">
        <f t="shared" si="819"/>
        <v>0</v>
      </c>
      <c r="CC808" s="136">
        <f t="shared" si="820"/>
        <v>0</v>
      </c>
      <c r="CD808" s="135">
        <f t="shared" si="821"/>
        <v>0</v>
      </c>
      <c r="CE808" s="135">
        <f t="shared" si="822"/>
        <v>0</v>
      </c>
      <c r="CF808" s="134">
        <f t="shared" si="823"/>
        <v>0</v>
      </c>
      <c r="CG808" s="134">
        <f t="shared" si="824"/>
        <v>0</v>
      </c>
      <c r="CH808" s="133" t="e">
        <f t="shared" si="825"/>
        <v>#DIV/0!</v>
      </c>
    </row>
    <row r="809" spans="1:86" s="121" customFormat="1">
      <c r="A809" s="125">
        <f t="shared" si="827"/>
        <v>0</v>
      </c>
      <c r="B809" s="125"/>
      <c r="D809" s="121" t="s">
        <v>1248</v>
      </c>
      <c r="G809" s="124"/>
      <c r="H809" s="124"/>
      <c r="I809" s="122"/>
      <c r="M809" s="123"/>
      <c r="N809" s="121" t="s">
        <v>4328</v>
      </c>
      <c r="O809" s="121" t="s">
        <v>4323</v>
      </c>
      <c r="Q809" s="122">
        <v>7500</v>
      </c>
      <c r="R809" s="122"/>
      <c r="S809" s="122"/>
      <c r="T809" s="122"/>
      <c r="BD809" s="120"/>
      <c r="BE809" s="120">
        <f t="shared" si="816"/>
        <v>0</v>
      </c>
      <c r="BF809" s="137">
        <f t="shared" si="826"/>
        <v>0</v>
      </c>
      <c r="BG809" s="120"/>
      <c r="BH809" s="120"/>
      <c r="BI809" s="120"/>
      <c r="BJ809" s="120"/>
      <c r="BK809" s="120"/>
      <c r="BL809" s="120"/>
      <c r="BM809" s="120"/>
      <c r="BN809" s="120"/>
      <c r="BO809" s="120"/>
      <c r="BP809" s="120"/>
      <c r="BQ809" s="124"/>
      <c r="BR809" s="120"/>
      <c r="BS809" s="120"/>
      <c r="BT809" s="120"/>
      <c r="BU809" s="120"/>
      <c r="BV809" s="120"/>
      <c r="BW809" s="120"/>
      <c r="BZ809" s="136">
        <f t="shared" si="817"/>
        <v>0</v>
      </c>
      <c r="CA809" s="136">
        <f t="shared" si="818"/>
        <v>0</v>
      </c>
      <c r="CB809" s="136">
        <f t="shared" si="819"/>
        <v>0</v>
      </c>
      <c r="CC809" s="136">
        <f t="shared" si="820"/>
        <v>0</v>
      </c>
      <c r="CD809" s="135">
        <f t="shared" si="821"/>
        <v>0</v>
      </c>
      <c r="CE809" s="135">
        <f t="shared" si="822"/>
        <v>0</v>
      </c>
      <c r="CF809" s="134">
        <f t="shared" si="823"/>
        <v>0</v>
      </c>
      <c r="CG809" s="134">
        <f t="shared" si="824"/>
        <v>0</v>
      </c>
      <c r="CH809" s="133" t="e">
        <f t="shared" si="825"/>
        <v>#DIV/0!</v>
      </c>
    </row>
    <row r="810" spans="1:86" s="121" customFormat="1">
      <c r="A810" s="125">
        <f t="shared" si="827"/>
        <v>0</v>
      </c>
      <c r="B810" s="125"/>
      <c r="D810" s="121" t="s">
        <v>1248</v>
      </c>
      <c r="G810" s="124"/>
      <c r="H810" s="124"/>
      <c r="I810" s="122"/>
      <c r="M810" s="123"/>
      <c r="N810" s="121" t="s">
        <v>4203</v>
      </c>
      <c r="O810" s="121" t="s">
        <v>2338</v>
      </c>
      <c r="Q810" s="122">
        <v>7500</v>
      </c>
      <c r="R810" s="122"/>
      <c r="S810" s="122"/>
      <c r="T810" s="122"/>
      <c r="BD810" s="120"/>
      <c r="BE810" s="120">
        <f t="shared" si="816"/>
        <v>0</v>
      </c>
      <c r="BF810" s="137">
        <f t="shared" si="826"/>
        <v>0</v>
      </c>
      <c r="BG810" s="120"/>
      <c r="BH810" s="120"/>
      <c r="BI810" s="120"/>
      <c r="BJ810" s="120"/>
      <c r="BK810" s="120"/>
      <c r="BL810" s="120"/>
      <c r="BM810" s="120"/>
      <c r="BN810" s="120"/>
      <c r="BO810" s="120"/>
      <c r="BP810" s="120"/>
      <c r="BQ810" s="124"/>
      <c r="BR810" s="120"/>
      <c r="BS810" s="120"/>
      <c r="BT810" s="120"/>
      <c r="BU810" s="120"/>
      <c r="BV810" s="120"/>
      <c r="BW810" s="120"/>
      <c r="BZ810" s="136">
        <f t="shared" si="817"/>
        <v>0</v>
      </c>
      <c r="CA810" s="136">
        <f t="shared" si="818"/>
        <v>0</v>
      </c>
      <c r="CB810" s="136">
        <f t="shared" si="819"/>
        <v>0</v>
      </c>
      <c r="CC810" s="136">
        <f t="shared" si="820"/>
        <v>0</v>
      </c>
      <c r="CD810" s="135">
        <f t="shared" si="821"/>
        <v>0</v>
      </c>
      <c r="CE810" s="135">
        <f t="shared" si="822"/>
        <v>0</v>
      </c>
      <c r="CF810" s="134">
        <f t="shared" si="823"/>
        <v>0</v>
      </c>
      <c r="CG810" s="134">
        <f t="shared" si="824"/>
        <v>0</v>
      </c>
      <c r="CH810" s="133" t="e">
        <f t="shared" si="825"/>
        <v>#DIV/0!</v>
      </c>
    </row>
    <row r="811" spans="1:86" s="121" customFormat="1">
      <c r="A811" s="125">
        <f t="shared" si="827"/>
        <v>0</v>
      </c>
      <c r="B811" s="125"/>
      <c r="D811" s="121" t="s">
        <v>1248</v>
      </c>
      <c r="G811" s="124"/>
      <c r="H811" s="124"/>
      <c r="I811" s="122"/>
      <c r="M811" s="123"/>
      <c r="N811" s="121" t="s">
        <v>4329</v>
      </c>
      <c r="O811" s="121" t="s">
        <v>4330</v>
      </c>
      <c r="Q811" s="122">
        <v>7500</v>
      </c>
      <c r="R811" s="122"/>
      <c r="S811" s="122"/>
      <c r="T811" s="122"/>
      <c r="BD811" s="120"/>
      <c r="BE811" s="120">
        <f t="shared" si="816"/>
        <v>0</v>
      </c>
      <c r="BF811" s="137">
        <f t="shared" si="826"/>
        <v>0</v>
      </c>
      <c r="BG811" s="120"/>
      <c r="BH811" s="120"/>
      <c r="BI811" s="120"/>
      <c r="BJ811" s="120"/>
      <c r="BK811" s="120"/>
      <c r="BL811" s="120"/>
      <c r="BM811" s="120"/>
      <c r="BN811" s="120"/>
      <c r="BO811" s="120"/>
      <c r="BP811" s="120"/>
      <c r="BQ811" s="124"/>
      <c r="BR811" s="120"/>
      <c r="BS811" s="120"/>
      <c r="BT811" s="120"/>
      <c r="BU811" s="120"/>
      <c r="BV811" s="120"/>
      <c r="BW811" s="120"/>
      <c r="BZ811" s="136">
        <f t="shared" si="817"/>
        <v>0</v>
      </c>
      <c r="CA811" s="136">
        <f t="shared" si="818"/>
        <v>0</v>
      </c>
      <c r="CB811" s="136">
        <f t="shared" si="819"/>
        <v>0</v>
      </c>
      <c r="CC811" s="136">
        <f t="shared" si="820"/>
        <v>0</v>
      </c>
      <c r="CD811" s="135">
        <f t="shared" si="821"/>
        <v>0</v>
      </c>
      <c r="CE811" s="135">
        <f t="shared" si="822"/>
        <v>0</v>
      </c>
      <c r="CF811" s="134">
        <f t="shared" si="823"/>
        <v>0</v>
      </c>
      <c r="CG811" s="134">
        <f t="shared" si="824"/>
        <v>0</v>
      </c>
      <c r="CH811" s="133" t="e">
        <f t="shared" si="825"/>
        <v>#DIV/0!</v>
      </c>
    </row>
    <row r="812" spans="1:86" s="121" customFormat="1">
      <c r="A812" s="125">
        <f t="shared" si="827"/>
        <v>0</v>
      </c>
      <c r="B812" s="125"/>
      <c r="D812" s="121" t="s">
        <v>1248</v>
      </c>
      <c r="G812" s="124"/>
      <c r="H812" s="124"/>
      <c r="I812" s="122"/>
      <c r="M812" s="123"/>
      <c r="N812" s="121" t="s">
        <v>4289</v>
      </c>
      <c r="O812" s="121" t="s">
        <v>4290</v>
      </c>
      <c r="Q812" s="122">
        <v>7500</v>
      </c>
      <c r="R812" s="122"/>
      <c r="S812" s="122"/>
      <c r="T812" s="122"/>
      <c r="BD812" s="120"/>
      <c r="BE812" s="120">
        <f t="shared" si="816"/>
        <v>0</v>
      </c>
      <c r="BF812" s="137">
        <f t="shared" si="826"/>
        <v>0</v>
      </c>
      <c r="BG812" s="120"/>
      <c r="BH812" s="120"/>
      <c r="BI812" s="120"/>
      <c r="BJ812" s="120"/>
      <c r="BK812" s="120"/>
      <c r="BL812" s="120"/>
      <c r="BM812" s="120"/>
      <c r="BN812" s="120"/>
      <c r="BO812" s="120"/>
      <c r="BP812" s="120"/>
      <c r="BQ812" s="124"/>
      <c r="BR812" s="120"/>
      <c r="BS812" s="120"/>
      <c r="BT812" s="120"/>
      <c r="BU812" s="120"/>
      <c r="BV812" s="120"/>
      <c r="BW812" s="120"/>
      <c r="BZ812" s="136">
        <f t="shared" si="817"/>
        <v>0</v>
      </c>
      <c r="CA812" s="136">
        <f t="shared" si="818"/>
        <v>0</v>
      </c>
      <c r="CB812" s="136">
        <f t="shared" si="819"/>
        <v>0</v>
      </c>
      <c r="CC812" s="136">
        <f t="shared" si="820"/>
        <v>0</v>
      </c>
      <c r="CD812" s="135">
        <f t="shared" si="821"/>
        <v>0</v>
      </c>
      <c r="CE812" s="135">
        <f t="shared" si="822"/>
        <v>0</v>
      </c>
      <c r="CF812" s="134">
        <f t="shared" si="823"/>
        <v>0</v>
      </c>
      <c r="CG812" s="134">
        <f t="shared" si="824"/>
        <v>0</v>
      </c>
      <c r="CH812" s="133" t="e">
        <f t="shared" si="825"/>
        <v>#DIV/0!</v>
      </c>
    </row>
    <row r="813" spans="1:86" s="121" customFormat="1">
      <c r="A813" s="125">
        <f t="shared" si="827"/>
        <v>0</v>
      </c>
      <c r="B813" s="125"/>
      <c r="D813" s="121" t="s">
        <v>1248</v>
      </c>
      <c r="G813" s="124"/>
      <c r="H813" s="124"/>
      <c r="I813" s="122"/>
      <c r="M813" s="123"/>
      <c r="N813" s="121" t="s">
        <v>4331</v>
      </c>
      <c r="O813" s="121" t="s">
        <v>4323</v>
      </c>
      <c r="Q813" s="122">
        <v>7500</v>
      </c>
      <c r="R813" s="122"/>
      <c r="S813" s="122"/>
      <c r="T813" s="122"/>
      <c r="BD813" s="120"/>
      <c r="BE813" s="120">
        <f t="shared" si="816"/>
        <v>0</v>
      </c>
      <c r="BF813" s="137">
        <f t="shared" si="826"/>
        <v>0</v>
      </c>
      <c r="BG813" s="120"/>
      <c r="BH813" s="120"/>
      <c r="BI813" s="120"/>
      <c r="BJ813" s="120"/>
      <c r="BK813" s="120"/>
      <c r="BL813" s="120"/>
      <c r="BM813" s="120"/>
      <c r="BN813" s="120"/>
      <c r="BO813" s="120"/>
      <c r="BP813" s="120"/>
      <c r="BQ813" s="124"/>
      <c r="BR813" s="120"/>
      <c r="BS813" s="120"/>
      <c r="BT813" s="120"/>
      <c r="BU813" s="120"/>
      <c r="BV813" s="120"/>
      <c r="BW813" s="120"/>
      <c r="BZ813" s="136">
        <f t="shared" si="817"/>
        <v>0</v>
      </c>
      <c r="CA813" s="136">
        <f t="shared" si="818"/>
        <v>0</v>
      </c>
      <c r="CB813" s="136">
        <f t="shared" si="819"/>
        <v>0</v>
      </c>
      <c r="CC813" s="136">
        <f t="shared" si="820"/>
        <v>0</v>
      </c>
      <c r="CD813" s="135">
        <f t="shared" si="821"/>
        <v>0</v>
      </c>
      <c r="CE813" s="135">
        <f t="shared" si="822"/>
        <v>0</v>
      </c>
      <c r="CF813" s="134">
        <f t="shared" si="823"/>
        <v>0</v>
      </c>
      <c r="CG813" s="134">
        <f t="shared" si="824"/>
        <v>0</v>
      </c>
      <c r="CH813" s="133" t="e">
        <f t="shared" si="825"/>
        <v>#DIV/0!</v>
      </c>
    </row>
    <row r="814" spans="1:86" s="121" customFormat="1">
      <c r="A814" s="125">
        <f t="shared" si="827"/>
        <v>0</v>
      </c>
      <c r="B814" s="125"/>
      <c r="D814" s="121" t="s">
        <v>1248</v>
      </c>
      <c r="G814" s="124"/>
      <c r="H814" s="124"/>
      <c r="I814" s="122"/>
      <c r="M814" s="123"/>
      <c r="N814" s="121" t="s">
        <v>4332</v>
      </c>
      <c r="O814" s="121" t="s">
        <v>4333</v>
      </c>
      <c r="Q814" s="122">
        <v>7500</v>
      </c>
      <c r="R814" s="122"/>
      <c r="S814" s="122"/>
      <c r="T814" s="122"/>
      <c r="BD814" s="120"/>
      <c r="BE814" s="120">
        <f t="shared" si="816"/>
        <v>0</v>
      </c>
      <c r="BF814" s="137">
        <f t="shared" si="826"/>
        <v>0</v>
      </c>
      <c r="BG814" s="120"/>
      <c r="BH814" s="120"/>
      <c r="BI814" s="120"/>
      <c r="BJ814" s="120"/>
      <c r="BK814" s="120"/>
      <c r="BL814" s="120"/>
      <c r="BM814" s="120"/>
      <c r="BN814" s="120"/>
      <c r="BO814" s="120"/>
      <c r="BP814" s="120"/>
      <c r="BQ814" s="124"/>
      <c r="BR814" s="120"/>
      <c r="BS814" s="120"/>
      <c r="BT814" s="120"/>
      <c r="BU814" s="120"/>
      <c r="BV814" s="120"/>
      <c r="BW814" s="120"/>
      <c r="BZ814" s="136">
        <f t="shared" si="817"/>
        <v>0</v>
      </c>
      <c r="CA814" s="136">
        <f t="shared" si="818"/>
        <v>0</v>
      </c>
      <c r="CB814" s="136">
        <f t="shared" si="819"/>
        <v>0</v>
      </c>
      <c r="CC814" s="136">
        <f t="shared" si="820"/>
        <v>0</v>
      </c>
      <c r="CD814" s="135">
        <f t="shared" si="821"/>
        <v>0</v>
      </c>
      <c r="CE814" s="135">
        <f t="shared" si="822"/>
        <v>0</v>
      </c>
      <c r="CF814" s="134">
        <f t="shared" si="823"/>
        <v>0</v>
      </c>
      <c r="CG814" s="134">
        <f t="shared" si="824"/>
        <v>0</v>
      </c>
      <c r="CH814" s="133" t="e">
        <f t="shared" si="825"/>
        <v>#DIV/0!</v>
      </c>
    </row>
    <row r="815" spans="1:86" s="121" customFormat="1">
      <c r="A815" s="125">
        <f t="shared" si="827"/>
        <v>0</v>
      </c>
      <c r="B815" s="125"/>
      <c r="D815" s="121" t="s">
        <v>1248</v>
      </c>
      <c r="G815" s="124"/>
      <c r="H815" s="124"/>
      <c r="I815" s="122"/>
      <c r="M815" s="123"/>
      <c r="N815" s="121" t="s">
        <v>377</v>
      </c>
      <c r="O815" s="121" t="s">
        <v>4334</v>
      </c>
      <c r="Q815" s="122">
        <v>7500</v>
      </c>
      <c r="R815" s="122"/>
      <c r="S815" s="122"/>
      <c r="T815" s="122"/>
      <c r="BD815" s="120"/>
      <c r="BE815" s="120">
        <f t="shared" si="816"/>
        <v>0</v>
      </c>
      <c r="BF815" s="137">
        <f t="shared" si="826"/>
        <v>0</v>
      </c>
      <c r="BG815" s="120"/>
      <c r="BH815" s="120"/>
      <c r="BI815" s="120"/>
      <c r="BJ815" s="120"/>
      <c r="BK815" s="120"/>
      <c r="BL815" s="120"/>
      <c r="BM815" s="120"/>
      <c r="BN815" s="120"/>
      <c r="BO815" s="120"/>
      <c r="BP815" s="120"/>
      <c r="BQ815" s="124"/>
      <c r="BR815" s="120"/>
      <c r="BS815" s="120"/>
      <c r="BT815" s="120"/>
      <c r="BU815" s="120"/>
      <c r="BV815" s="120"/>
      <c r="BW815" s="120"/>
      <c r="BZ815" s="136">
        <f t="shared" si="817"/>
        <v>0</v>
      </c>
      <c r="CA815" s="136">
        <f t="shared" si="818"/>
        <v>0</v>
      </c>
      <c r="CB815" s="136">
        <f t="shared" si="819"/>
        <v>0</v>
      </c>
      <c r="CC815" s="136">
        <f t="shared" si="820"/>
        <v>0</v>
      </c>
      <c r="CD815" s="135">
        <f t="shared" si="821"/>
        <v>0</v>
      </c>
      <c r="CE815" s="135">
        <f t="shared" si="822"/>
        <v>0</v>
      </c>
      <c r="CF815" s="134">
        <f t="shared" si="823"/>
        <v>0</v>
      </c>
      <c r="CG815" s="134">
        <f t="shared" si="824"/>
        <v>0</v>
      </c>
      <c r="CH815" s="133" t="e">
        <f t="shared" si="825"/>
        <v>#DIV/0!</v>
      </c>
    </row>
    <row r="816" spans="1:86" s="121" customFormat="1">
      <c r="A816" s="125">
        <f t="shared" si="827"/>
        <v>0</v>
      </c>
      <c r="B816" s="125"/>
      <c r="D816" s="121" t="s">
        <v>1248</v>
      </c>
      <c r="G816" s="124"/>
      <c r="H816" s="124"/>
      <c r="I816" s="122"/>
      <c r="M816" s="123"/>
      <c r="N816" s="121" t="s">
        <v>4335</v>
      </c>
      <c r="O816" s="121" t="s">
        <v>4336</v>
      </c>
      <c r="Q816" s="122">
        <v>7500</v>
      </c>
      <c r="R816" s="122"/>
      <c r="S816" s="122"/>
      <c r="T816" s="122"/>
      <c r="BD816" s="120"/>
      <c r="BE816" s="120">
        <f t="shared" si="816"/>
        <v>0</v>
      </c>
      <c r="BF816" s="137">
        <f t="shared" si="826"/>
        <v>0</v>
      </c>
      <c r="BG816" s="120"/>
      <c r="BH816" s="120"/>
      <c r="BI816" s="120"/>
      <c r="BJ816" s="120"/>
      <c r="BK816" s="120"/>
      <c r="BL816" s="120"/>
      <c r="BM816" s="120"/>
      <c r="BN816" s="120"/>
      <c r="BO816" s="120"/>
      <c r="BP816" s="120"/>
      <c r="BQ816" s="124"/>
      <c r="BR816" s="120"/>
      <c r="BS816" s="120"/>
      <c r="BT816" s="120"/>
      <c r="BU816" s="120"/>
      <c r="BV816" s="120"/>
      <c r="BW816" s="120"/>
      <c r="BZ816" s="136">
        <f t="shared" si="817"/>
        <v>0</v>
      </c>
      <c r="CA816" s="136">
        <f t="shared" si="818"/>
        <v>0</v>
      </c>
      <c r="CB816" s="136">
        <f t="shared" si="819"/>
        <v>0</v>
      </c>
      <c r="CC816" s="136">
        <f t="shared" si="820"/>
        <v>0</v>
      </c>
      <c r="CD816" s="135">
        <f t="shared" si="821"/>
        <v>0</v>
      </c>
      <c r="CE816" s="135">
        <f t="shared" si="822"/>
        <v>0</v>
      </c>
      <c r="CF816" s="134">
        <f t="shared" si="823"/>
        <v>0</v>
      </c>
      <c r="CG816" s="134">
        <f t="shared" si="824"/>
        <v>0</v>
      </c>
      <c r="CH816" s="133" t="e">
        <f t="shared" si="825"/>
        <v>#DIV/0!</v>
      </c>
    </row>
    <row r="817" spans="1:86" s="121" customFormat="1">
      <c r="A817" s="125">
        <f t="shared" si="827"/>
        <v>0</v>
      </c>
      <c r="B817" s="125"/>
      <c r="D817" s="121" t="s">
        <v>1248</v>
      </c>
      <c r="G817" s="124"/>
      <c r="H817" s="124"/>
      <c r="I817" s="122"/>
      <c r="M817" s="123"/>
      <c r="N817" s="121" t="s">
        <v>4337</v>
      </c>
      <c r="O817" s="121" t="s">
        <v>1251</v>
      </c>
      <c r="Q817" s="122">
        <v>7500</v>
      </c>
      <c r="R817" s="122"/>
      <c r="S817" s="122"/>
      <c r="T817" s="122"/>
      <c r="BD817" s="120"/>
      <c r="BE817" s="120">
        <f t="shared" si="816"/>
        <v>0</v>
      </c>
      <c r="BF817" s="137">
        <f t="shared" si="826"/>
        <v>0</v>
      </c>
      <c r="BG817" s="120"/>
      <c r="BH817" s="120"/>
      <c r="BI817" s="120"/>
      <c r="BJ817" s="120"/>
      <c r="BK817" s="120"/>
      <c r="BL817" s="120"/>
      <c r="BM817" s="120"/>
      <c r="BN817" s="120"/>
      <c r="BO817" s="120"/>
      <c r="BP817" s="120"/>
      <c r="BQ817" s="124"/>
      <c r="BR817" s="120"/>
      <c r="BS817" s="120"/>
      <c r="BT817" s="120"/>
      <c r="BU817" s="120"/>
      <c r="BV817" s="120"/>
      <c r="BW817" s="120"/>
      <c r="BZ817" s="136">
        <f t="shared" si="817"/>
        <v>0</v>
      </c>
      <c r="CA817" s="136">
        <f t="shared" si="818"/>
        <v>0</v>
      </c>
      <c r="CB817" s="136">
        <f t="shared" si="819"/>
        <v>0</v>
      </c>
      <c r="CC817" s="136">
        <f t="shared" si="820"/>
        <v>0</v>
      </c>
      <c r="CD817" s="135">
        <f t="shared" si="821"/>
        <v>0</v>
      </c>
      <c r="CE817" s="135">
        <f t="shared" si="822"/>
        <v>0</v>
      </c>
      <c r="CF817" s="134">
        <f t="shared" si="823"/>
        <v>0</v>
      </c>
      <c r="CG817" s="134">
        <f t="shared" si="824"/>
        <v>0</v>
      </c>
      <c r="CH817" s="133" t="e">
        <f t="shared" si="825"/>
        <v>#DIV/0!</v>
      </c>
    </row>
    <row r="818" spans="1:86" s="121" customFormat="1">
      <c r="A818" s="125">
        <f t="shared" si="827"/>
        <v>0</v>
      </c>
      <c r="B818" s="125"/>
      <c r="D818" s="121" t="s">
        <v>1248</v>
      </c>
      <c r="G818" s="124"/>
      <c r="H818" s="124"/>
      <c r="I818" s="122"/>
      <c r="M818" s="123"/>
      <c r="N818" s="121" t="s">
        <v>4338</v>
      </c>
      <c r="O818" s="121" t="s">
        <v>2323</v>
      </c>
      <c r="Q818" s="122">
        <v>7500</v>
      </c>
      <c r="R818" s="122"/>
      <c r="S818" s="122"/>
      <c r="T818" s="122"/>
      <c r="BD818" s="120"/>
      <c r="BE818" s="120">
        <f t="shared" si="816"/>
        <v>0</v>
      </c>
      <c r="BF818" s="137">
        <f t="shared" si="826"/>
        <v>0</v>
      </c>
      <c r="BG818" s="120"/>
      <c r="BH818" s="120"/>
      <c r="BI818" s="120"/>
      <c r="BJ818" s="120"/>
      <c r="BK818" s="120"/>
      <c r="BL818" s="120"/>
      <c r="BM818" s="120"/>
      <c r="BN818" s="120"/>
      <c r="BO818" s="120"/>
      <c r="BP818" s="120"/>
      <c r="BQ818" s="124"/>
      <c r="BR818" s="120"/>
      <c r="BS818" s="120"/>
      <c r="BT818" s="120"/>
      <c r="BU818" s="120"/>
      <c r="BV818" s="120"/>
      <c r="BW818" s="120"/>
      <c r="BZ818" s="136">
        <f t="shared" si="817"/>
        <v>0</v>
      </c>
      <c r="CA818" s="136">
        <f t="shared" si="818"/>
        <v>0</v>
      </c>
      <c r="CB818" s="136">
        <f t="shared" si="819"/>
        <v>0</v>
      </c>
      <c r="CC818" s="136">
        <f t="shared" si="820"/>
        <v>0</v>
      </c>
      <c r="CD818" s="135">
        <f t="shared" si="821"/>
        <v>0</v>
      </c>
      <c r="CE818" s="135">
        <f t="shared" si="822"/>
        <v>0</v>
      </c>
      <c r="CF818" s="134">
        <f t="shared" si="823"/>
        <v>0</v>
      </c>
      <c r="CG818" s="134">
        <f t="shared" si="824"/>
        <v>0</v>
      </c>
      <c r="CH818" s="133" t="e">
        <f t="shared" si="825"/>
        <v>#DIV/0!</v>
      </c>
    </row>
    <row r="819" spans="1:86" s="121" customFormat="1">
      <c r="A819" s="125">
        <f t="shared" si="827"/>
        <v>0</v>
      </c>
      <c r="B819" s="125"/>
      <c r="D819" s="121" t="s">
        <v>1248</v>
      </c>
      <c r="G819" s="124"/>
      <c r="H819" s="124"/>
      <c r="I819" s="122"/>
      <c r="M819" s="123"/>
      <c r="N819" s="121" t="s">
        <v>4194</v>
      </c>
      <c r="O819" s="121" t="s">
        <v>4339</v>
      </c>
      <c r="Q819" s="122">
        <v>7500</v>
      </c>
      <c r="R819" s="122"/>
      <c r="S819" s="122"/>
      <c r="T819" s="122"/>
      <c r="BD819" s="120"/>
      <c r="BE819" s="120">
        <f t="shared" si="816"/>
        <v>0</v>
      </c>
      <c r="BF819" s="137">
        <f t="shared" si="826"/>
        <v>0</v>
      </c>
      <c r="BG819" s="120"/>
      <c r="BH819" s="120"/>
      <c r="BI819" s="120"/>
      <c r="BJ819" s="120"/>
      <c r="BK819" s="120"/>
      <c r="BL819" s="120"/>
      <c r="BM819" s="120"/>
      <c r="BN819" s="120"/>
      <c r="BO819" s="120"/>
      <c r="BP819" s="120"/>
      <c r="BQ819" s="124"/>
      <c r="BR819" s="120"/>
      <c r="BS819" s="120"/>
      <c r="BT819" s="120"/>
      <c r="BU819" s="120"/>
      <c r="BV819" s="120"/>
      <c r="BW819" s="120"/>
      <c r="BZ819" s="136">
        <f t="shared" si="817"/>
        <v>0</v>
      </c>
      <c r="CA819" s="136">
        <f t="shared" si="818"/>
        <v>0</v>
      </c>
      <c r="CB819" s="136">
        <f t="shared" si="819"/>
        <v>0</v>
      </c>
      <c r="CC819" s="136">
        <f t="shared" si="820"/>
        <v>0</v>
      </c>
      <c r="CD819" s="135">
        <f t="shared" si="821"/>
        <v>0</v>
      </c>
      <c r="CE819" s="135">
        <f t="shared" si="822"/>
        <v>0</v>
      </c>
      <c r="CF819" s="134">
        <f t="shared" si="823"/>
        <v>0</v>
      </c>
      <c r="CG819" s="134">
        <f t="shared" si="824"/>
        <v>0</v>
      </c>
      <c r="CH819" s="133" t="e">
        <f t="shared" si="825"/>
        <v>#DIV/0!</v>
      </c>
    </row>
    <row r="820" spans="1:86" s="121" customFormat="1">
      <c r="A820" s="125">
        <f t="shared" si="827"/>
        <v>0</v>
      </c>
      <c r="B820" s="125"/>
      <c r="D820" s="121" t="s">
        <v>1248</v>
      </c>
      <c r="G820" s="124"/>
      <c r="H820" s="124"/>
      <c r="I820" s="122"/>
      <c r="M820" s="123"/>
      <c r="N820" s="121" t="s">
        <v>4340</v>
      </c>
      <c r="O820" s="121" t="s">
        <v>4341</v>
      </c>
      <c r="Q820" s="122">
        <v>7500</v>
      </c>
      <c r="R820" s="122"/>
      <c r="S820" s="122"/>
      <c r="T820" s="122"/>
      <c r="BD820" s="120"/>
      <c r="BE820" s="120">
        <f t="shared" si="816"/>
        <v>0</v>
      </c>
      <c r="BF820" s="137">
        <f t="shared" si="826"/>
        <v>0</v>
      </c>
      <c r="BG820" s="120"/>
      <c r="BH820" s="120"/>
      <c r="BI820" s="120"/>
      <c r="BJ820" s="120"/>
      <c r="BK820" s="120"/>
      <c r="BL820" s="120"/>
      <c r="BM820" s="120"/>
      <c r="BN820" s="120"/>
      <c r="BO820" s="120"/>
      <c r="BP820" s="120"/>
      <c r="BQ820" s="124"/>
      <c r="BR820" s="120"/>
      <c r="BS820" s="120"/>
      <c r="BT820" s="120"/>
      <c r="BU820" s="120"/>
      <c r="BV820" s="120"/>
      <c r="BW820" s="120"/>
      <c r="BZ820" s="136">
        <f t="shared" si="817"/>
        <v>0</v>
      </c>
      <c r="CA820" s="136">
        <f t="shared" si="818"/>
        <v>0</v>
      </c>
      <c r="CB820" s="136">
        <f t="shared" si="819"/>
        <v>0</v>
      </c>
      <c r="CC820" s="136">
        <f t="shared" si="820"/>
        <v>0</v>
      </c>
      <c r="CD820" s="135">
        <f t="shared" si="821"/>
        <v>0</v>
      </c>
      <c r="CE820" s="135">
        <f t="shared" si="822"/>
        <v>0</v>
      </c>
      <c r="CF820" s="134">
        <f t="shared" si="823"/>
        <v>0</v>
      </c>
      <c r="CG820" s="134">
        <f t="shared" si="824"/>
        <v>0</v>
      </c>
      <c r="CH820" s="133" t="e">
        <f t="shared" si="825"/>
        <v>#DIV/0!</v>
      </c>
    </row>
    <row r="821" spans="1:86" s="121" customFormat="1">
      <c r="A821" s="125">
        <f t="shared" si="827"/>
        <v>0</v>
      </c>
      <c r="B821" s="125"/>
      <c r="D821" s="121" t="s">
        <v>1248</v>
      </c>
      <c r="G821" s="124"/>
      <c r="H821" s="124"/>
      <c r="I821" s="122"/>
      <c r="M821" s="123"/>
      <c r="N821" s="121" t="s">
        <v>4342</v>
      </c>
      <c r="O821" s="121" t="s">
        <v>430</v>
      </c>
      <c r="Q821" s="122">
        <v>7500</v>
      </c>
      <c r="R821" s="122"/>
      <c r="S821" s="122"/>
      <c r="T821" s="122"/>
      <c r="BD821" s="120"/>
      <c r="BE821" s="120">
        <f t="shared" si="816"/>
        <v>0</v>
      </c>
      <c r="BF821" s="137">
        <f t="shared" si="826"/>
        <v>0</v>
      </c>
      <c r="BG821" s="120"/>
      <c r="BH821" s="120"/>
      <c r="BI821" s="120"/>
      <c r="BJ821" s="120"/>
      <c r="BK821" s="120"/>
      <c r="BL821" s="120"/>
      <c r="BM821" s="120"/>
      <c r="BN821" s="120"/>
      <c r="BO821" s="120"/>
      <c r="BP821" s="120"/>
      <c r="BQ821" s="124"/>
      <c r="BR821" s="120"/>
      <c r="BS821" s="120"/>
      <c r="BT821" s="120"/>
      <c r="BU821" s="120"/>
      <c r="BV821" s="120"/>
      <c r="BW821" s="120"/>
      <c r="BZ821" s="136">
        <f t="shared" si="817"/>
        <v>0</v>
      </c>
      <c r="CA821" s="136">
        <f t="shared" si="818"/>
        <v>0</v>
      </c>
      <c r="CB821" s="136">
        <f t="shared" si="819"/>
        <v>0</v>
      </c>
      <c r="CC821" s="136">
        <f t="shared" si="820"/>
        <v>0</v>
      </c>
      <c r="CD821" s="135">
        <f t="shared" si="821"/>
        <v>0</v>
      </c>
      <c r="CE821" s="135">
        <f t="shared" si="822"/>
        <v>0</v>
      </c>
      <c r="CF821" s="134">
        <f t="shared" si="823"/>
        <v>0</v>
      </c>
      <c r="CG821" s="134">
        <f t="shared" si="824"/>
        <v>0</v>
      </c>
      <c r="CH821" s="133" t="e">
        <f t="shared" si="825"/>
        <v>#DIV/0!</v>
      </c>
    </row>
    <row r="822" spans="1:86" s="121" customFormat="1">
      <c r="A822" s="125">
        <f t="shared" si="827"/>
        <v>0</v>
      </c>
      <c r="B822" s="125"/>
      <c r="D822" s="121" t="s">
        <v>1248</v>
      </c>
      <c r="G822" s="124"/>
      <c r="H822" s="124"/>
      <c r="I822" s="122"/>
      <c r="M822" s="123"/>
      <c r="N822" s="121" t="s">
        <v>4343</v>
      </c>
      <c r="O822" s="121" t="s">
        <v>261</v>
      </c>
      <c r="Q822" s="122">
        <v>7500</v>
      </c>
      <c r="R822" s="122"/>
      <c r="S822" s="122"/>
      <c r="T822" s="122"/>
      <c r="BD822" s="120"/>
      <c r="BE822" s="120">
        <f t="shared" si="816"/>
        <v>0</v>
      </c>
      <c r="BF822" s="137">
        <f t="shared" si="826"/>
        <v>0</v>
      </c>
      <c r="BG822" s="120"/>
      <c r="BH822" s="120"/>
      <c r="BI822" s="120"/>
      <c r="BJ822" s="120"/>
      <c r="BK822" s="120"/>
      <c r="BL822" s="120"/>
      <c r="BM822" s="120"/>
      <c r="BN822" s="120"/>
      <c r="BO822" s="120"/>
      <c r="BP822" s="120"/>
      <c r="BQ822" s="124"/>
      <c r="BR822" s="120"/>
      <c r="BS822" s="120"/>
      <c r="BT822" s="120"/>
      <c r="BU822" s="120"/>
      <c r="BV822" s="120"/>
      <c r="BW822" s="120"/>
      <c r="BZ822" s="136">
        <f t="shared" si="817"/>
        <v>0</v>
      </c>
      <c r="CA822" s="136">
        <f t="shared" si="818"/>
        <v>0</v>
      </c>
      <c r="CB822" s="136">
        <f t="shared" si="819"/>
        <v>0</v>
      </c>
      <c r="CC822" s="136">
        <f t="shared" si="820"/>
        <v>0</v>
      </c>
      <c r="CD822" s="135">
        <f t="shared" si="821"/>
        <v>0</v>
      </c>
      <c r="CE822" s="135">
        <f t="shared" si="822"/>
        <v>0</v>
      </c>
      <c r="CF822" s="134">
        <f t="shared" si="823"/>
        <v>0</v>
      </c>
      <c r="CG822" s="134">
        <f t="shared" si="824"/>
        <v>0</v>
      </c>
      <c r="CH822" s="133" t="e">
        <f t="shared" si="825"/>
        <v>#DIV/0!</v>
      </c>
    </row>
    <row r="823" spans="1:86" s="121" customFormat="1">
      <c r="A823" s="125">
        <f t="shared" si="827"/>
        <v>0</v>
      </c>
      <c r="B823" s="125"/>
      <c r="D823" s="121" t="s">
        <v>1248</v>
      </c>
      <c r="G823" s="124"/>
      <c r="H823" s="124"/>
      <c r="I823" s="122"/>
      <c r="M823" s="123"/>
      <c r="N823" s="121" t="s">
        <v>4318</v>
      </c>
      <c r="O823" s="121" t="s">
        <v>4168</v>
      </c>
      <c r="Q823" s="122">
        <v>7500</v>
      </c>
      <c r="R823" s="122"/>
      <c r="S823" s="122"/>
      <c r="T823" s="122"/>
      <c r="BD823" s="120"/>
      <c r="BE823" s="120">
        <f t="shared" si="816"/>
        <v>0</v>
      </c>
      <c r="BF823" s="137">
        <f t="shared" si="826"/>
        <v>0</v>
      </c>
      <c r="BG823" s="120"/>
      <c r="BH823" s="120"/>
      <c r="BI823" s="120"/>
      <c r="BJ823" s="120"/>
      <c r="BK823" s="120"/>
      <c r="BL823" s="120"/>
      <c r="BM823" s="120"/>
      <c r="BN823" s="120"/>
      <c r="BO823" s="120"/>
      <c r="BP823" s="120"/>
      <c r="BQ823" s="124"/>
      <c r="BR823" s="120"/>
      <c r="BS823" s="120"/>
      <c r="BT823" s="120"/>
      <c r="BU823" s="120"/>
      <c r="BV823" s="120"/>
      <c r="BW823" s="120"/>
      <c r="BX823" s="120"/>
      <c r="BY823" s="120"/>
      <c r="BZ823" s="136">
        <f t="shared" si="817"/>
        <v>0</v>
      </c>
      <c r="CA823" s="136">
        <f t="shared" si="818"/>
        <v>0</v>
      </c>
      <c r="CB823" s="136">
        <f t="shared" si="819"/>
        <v>0</v>
      </c>
      <c r="CC823" s="136">
        <f t="shared" si="820"/>
        <v>0</v>
      </c>
      <c r="CD823" s="135">
        <f t="shared" si="821"/>
        <v>0</v>
      </c>
      <c r="CE823" s="135">
        <f t="shared" si="822"/>
        <v>0</v>
      </c>
      <c r="CF823" s="134">
        <f t="shared" si="823"/>
        <v>0</v>
      </c>
      <c r="CG823" s="134">
        <f t="shared" si="824"/>
        <v>0</v>
      </c>
      <c r="CH823" s="133" t="e">
        <f t="shared" si="825"/>
        <v>#DIV/0!</v>
      </c>
    </row>
    <row r="824" spans="1:86" s="121" customFormat="1">
      <c r="A824" s="125">
        <f t="shared" si="827"/>
        <v>0</v>
      </c>
      <c r="B824" s="125"/>
      <c r="D824" s="121" t="s">
        <v>1248</v>
      </c>
      <c r="G824" s="124"/>
      <c r="H824" s="124"/>
      <c r="I824" s="122"/>
      <c r="M824" s="123"/>
      <c r="N824" s="121" t="s">
        <v>4344</v>
      </c>
      <c r="O824" s="121" t="s">
        <v>4345</v>
      </c>
      <c r="Q824" s="122">
        <v>7500</v>
      </c>
      <c r="R824" s="122"/>
      <c r="S824" s="122"/>
      <c r="T824" s="122"/>
      <c r="BD824" s="120"/>
      <c r="BE824" s="120">
        <f t="shared" si="816"/>
        <v>0</v>
      </c>
      <c r="BF824" s="137">
        <f t="shared" si="826"/>
        <v>0</v>
      </c>
      <c r="BG824" s="120"/>
      <c r="BH824" s="120"/>
      <c r="BI824" s="120"/>
      <c r="BJ824" s="120"/>
      <c r="BK824" s="120"/>
      <c r="BL824" s="120"/>
      <c r="BM824" s="120"/>
      <c r="BN824" s="120"/>
      <c r="BO824" s="120"/>
      <c r="BP824" s="120"/>
      <c r="BQ824" s="124"/>
      <c r="BR824" s="120"/>
      <c r="BS824" s="120"/>
      <c r="BT824" s="120"/>
      <c r="BU824" s="120"/>
      <c r="BV824" s="120"/>
      <c r="BW824" s="120"/>
      <c r="BZ824" s="136">
        <f t="shared" si="817"/>
        <v>0</v>
      </c>
      <c r="CA824" s="136">
        <f t="shared" si="818"/>
        <v>0</v>
      </c>
      <c r="CB824" s="136">
        <f t="shared" si="819"/>
        <v>0</v>
      </c>
      <c r="CC824" s="136">
        <f t="shared" si="820"/>
        <v>0</v>
      </c>
      <c r="CD824" s="135">
        <f t="shared" si="821"/>
        <v>0</v>
      </c>
      <c r="CE824" s="135">
        <f t="shared" si="822"/>
        <v>0</v>
      </c>
      <c r="CF824" s="134">
        <f t="shared" si="823"/>
        <v>0</v>
      </c>
      <c r="CG824" s="134">
        <f t="shared" si="824"/>
        <v>0</v>
      </c>
      <c r="CH824" s="133" t="e">
        <f t="shared" si="825"/>
        <v>#DIV/0!</v>
      </c>
    </row>
    <row r="825" spans="1:86" s="121" customFormat="1">
      <c r="A825" s="125">
        <f t="shared" si="827"/>
        <v>0</v>
      </c>
      <c r="B825" s="125"/>
      <c r="D825" s="121" t="s">
        <v>1248</v>
      </c>
      <c r="G825" s="124"/>
      <c r="H825" s="124"/>
      <c r="I825" s="122"/>
      <c r="M825" s="123"/>
      <c r="N825" s="121" t="s">
        <v>4346</v>
      </c>
      <c r="O825" s="121" t="s">
        <v>4347</v>
      </c>
      <c r="Q825" s="122">
        <v>7500</v>
      </c>
      <c r="R825" s="122"/>
      <c r="S825" s="122"/>
      <c r="T825" s="122"/>
      <c r="BD825" s="120"/>
      <c r="BE825" s="120">
        <f t="shared" si="816"/>
        <v>0</v>
      </c>
      <c r="BF825" s="137">
        <f t="shared" si="826"/>
        <v>0</v>
      </c>
      <c r="BG825" s="120"/>
      <c r="BH825" s="120"/>
      <c r="BI825" s="120"/>
      <c r="BJ825" s="120"/>
      <c r="BK825" s="120"/>
      <c r="BL825" s="120"/>
      <c r="BM825" s="120"/>
      <c r="BN825" s="120"/>
      <c r="BO825" s="120"/>
      <c r="BP825" s="120"/>
      <c r="BQ825" s="124"/>
      <c r="BR825" s="120"/>
      <c r="BS825" s="120"/>
      <c r="BT825" s="120"/>
      <c r="BU825" s="120"/>
      <c r="BV825" s="120"/>
      <c r="BW825" s="120"/>
      <c r="BZ825" s="136">
        <f t="shared" si="817"/>
        <v>0</v>
      </c>
      <c r="CA825" s="136">
        <f t="shared" si="818"/>
        <v>0</v>
      </c>
      <c r="CB825" s="136">
        <f t="shared" si="819"/>
        <v>0</v>
      </c>
      <c r="CC825" s="136">
        <f t="shared" si="820"/>
        <v>0</v>
      </c>
      <c r="CD825" s="135">
        <f t="shared" si="821"/>
        <v>0</v>
      </c>
      <c r="CE825" s="135">
        <f t="shared" si="822"/>
        <v>0</v>
      </c>
      <c r="CF825" s="134">
        <f t="shared" si="823"/>
        <v>0</v>
      </c>
      <c r="CG825" s="134">
        <f t="shared" si="824"/>
        <v>0</v>
      </c>
      <c r="CH825" s="133" t="e">
        <f t="shared" si="825"/>
        <v>#DIV/0!</v>
      </c>
    </row>
    <row r="826" spans="1:86" s="121" customFormat="1">
      <c r="A826" s="125">
        <f t="shared" si="827"/>
        <v>0</v>
      </c>
      <c r="B826" s="125"/>
      <c r="D826" s="121" t="s">
        <v>1248</v>
      </c>
      <c r="G826" s="124"/>
      <c r="H826" s="124"/>
      <c r="I826" s="122"/>
      <c r="M826" s="123"/>
      <c r="N826" s="121" t="s">
        <v>4348</v>
      </c>
      <c r="O826" s="121" t="s">
        <v>4349</v>
      </c>
      <c r="Q826" s="122">
        <v>7500</v>
      </c>
      <c r="R826" s="122"/>
      <c r="S826" s="122"/>
      <c r="T826" s="122"/>
      <c r="BD826" s="120"/>
      <c r="BE826" s="120">
        <f t="shared" si="816"/>
        <v>0</v>
      </c>
      <c r="BF826" s="137">
        <f t="shared" si="826"/>
        <v>0</v>
      </c>
      <c r="BG826" s="120"/>
      <c r="BH826" s="120"/>
      <c r="BI826" s="120"/>
      <c r="BJ826" s="120"/>
      <c r="BK826" s="120"/>
      <c r="BL826" s="120"/>
      <c r="BM826" s="120"/>
      <c r="BN826" s="120"/>
      <c r="BO826" s="120"/>
      <c r="BP826" s="120"/>
      <c r="BQ826" s="124"/>
      <c r="BR826" s="120"/>
      <c r="BS826" s="120"/>
      <c r="BT826" s="120"/>
      <c r="BU826" s="120"/>
      <c r="BV826" s="120"/>
      <c r="BW826" s="120"/>
      <c r="BZ826" s="136">
        <f t="shared" si="817"/>
        <v>0</v>
      </c>
      <c r="CA826" s="136">
        <f t="shared" si="818"/>
        <v>0</v>
      </c>
      <c r="CB826" s="136">
        <f t="shared" si="819"/>
        <v>0</v>
      </c>
      <c r="CC826" s="136">
        <f t="shared" si="820"/>
        <v>0</v>
      </c>
      <c r="CD826" s="135">
        <f t="shared" si="821"/>
        <v>0</v>
      </c>
      <c r="CE826" s="135">
        <f t="shared" si="822"/>
        <v>0</v>
      </c>
      <c r="CF826" s="134">
        <f t="shared" si="823"/>
        <v>0</v>
      </c>
      <c r="CG826" s="134">
        <f t="shared" si="824"/>
        <v>0</v>
      </c>
      <c r="CH826" s="133" t="e">
        <f t="shared" si="825"/>
        <v>#DIV/0!</v>
      </c>
    </row>
    <row r="827" spans="1:86" s="121" customFormat="1">
      <c r="A827" s="125">
        <f t="shared" si="827"/>
        <v>0</v>
      </c>
      <c r="B827" s="125"/>
      <c r="D827" s="121" t="s">
        <v>1248</v>
      </c>
      <c r="G827" s="124"/>
      <c r="H827" s="124"/>
      <c r="I827" s="122"/>
      <c r="M827" s="123"/>
      <c r="N827" s="121" t="s">
        <v>377</v>
      </c>
      <c r="O827" s="121" t="s">
        <v>4334</v>
      </c>
      <c r="Q827" s="122">
        <v>7500</v>
      </c>
      <c r="R827" s="122"/>
      <c r="S827" s="122"/>
      <c r="T827" s="122"/>
      <c r="BD827" s="120"/>
      <c r="BE827" s="120">
        <f t="shared" si="816"/>
        <v>0</v>
      </c>
      <c r="BF827" s="137">
        <f t="shared" si="826"/>
        <v>0</v>
      </c>
      <c r="BG827" s="120"/>
      <c r="BH827" s="120"/>
      <c r="BI827" s="120"/>
      <c r="BJ827" s="120"/>
      <c r="BK827" s="120"/>
      <c r="BL827" s="120"/>
      <c r="BM827" s="120"/>
      <c r="BN827" s="120"/>
      <c r="BO827" s="120"/>
      <c r="BP827" s="120"/>
      <c r="BQ827" s="124"/>
      <c r="BR827" s="120"/>
      <c r="BS827" s="120"/>
      <c r="BT827" s="120"/>
      <c r="BU827" s="120"/>
      <c r="BV827" s="120"/>
      <c r="BW827" s="120"/>
      <c r="BZ827" s="136">
        <f t="shared" si="817"/>
        <v>0</v>
      </c>
      <c r="CA827" s="136">
        <f t="shared" si="818"/>
        <v>0</v>
      </c>
      <c r="CB827" s="136">
        <f t="shared" si="819"/>
        <v>0</v>
      </c>
      <c r="CC827" s="136">
        <f t="shared" si="820"/>
        <v>0</v>
      </c>
      <c r="CD827" s="135">
        <f t="shared" si="821"/>
        <v>0</v>
      </c>
      <c r="CE827" s="135">
        <f t="shared" si="822"/>
        <v>0</v>
      </c>
      <c r="CF827" s="134">
        <f t="shared" si="823"/>
        <v>0</v>
      </c>
      <c r="CG827" s="134">
        <f t="shared" si="824"/>
        <v>0</v>
      </c>
      <c r="CH827" s="133" t="e">
        <f t="shared" si="825"/>
        <v>#DIV/0!</v>
      </c>
    </row>
    <row r="828" spans="1:86" s="121" customFormat="1">
      <c r="A828" s="125">
        <f t="shared" si="827"/>
        <v>0</v>
      </c>
      <c r="B828" s="125"/>
      <c r="D828" s="121" t="s">
        <v>1248</v>
      </c>
      <c r="G828" s="124"/>
      <c r="H828" s="124"/>
      <c r="I828" s="122"/>
      <c r="M828" s="123"/>
      <c r="N828" s="121" t="s">
        <v>4332</v>
      </c>
      <c r="O828" s="121" t="s">
        <v>4333</v>
      </c>
      <c r="Q828" s="122">
        <v>7500</v>
      </c>
      <c r="R828" s="122"/>
      <c r="S828" s="122"/>
      <c r="T828" s="122"/>
      <c r="BD828" s="120"/>
      <c r="BE828" s="120">
        <f t="shared" si="816"/>
        <v>0</v>
      </c>
      <c r="BF828" s="137">
        <f t="shared" si="826"/>
        <v>0</v>
      </c>
      <c r="BG828" s="120"/>
      <c r="BH828" s="120"/>
      <c r="BI828" s="120"/>
      <c r="BJ828" s="120"/>
      <c r="BK828" s="120"/>
      <c r="BL828" s="120"/>
      <c r="BM828" s="120"/>
      <c r="BN828" s="120"/>
      <c r="BO828" s="120"/>
      <c r="BP828" s="120"/>
      <c r="BQ828" s="124"/>
      <c r="BR828" s="120"/>
      <c r="BS828" s="120"/>
      <c r="BT828" s="120"/>
      <c r="BU828" s="120"/>
      <c r="BV828" s="120"/>
      <c r="BW828" s="120"/>
      <c r="BZ828" s="136">
        <f t="shared" si="817"/>
        <v>0</v>
      </c>
      <c r="CA828" s="136">
        <f t="shared" si="818"/>
        <v>0</v>
      </c>
      <c r="CB828" s="136">
        <f t="shared" si="819"/>
        <v>0</v>
      </c>
      <c r="CC828" s="136">
        <f t="shared" si="820"/>
        <v>0</v>
      </c>
      <c r="CD828" s="135">
        <f t="shared" si="821"/>
        <v>0</v>
      </c>
      <c r="CE828" s="135">
        <f t="shared" si="822"/>
        <v>0</v>
      </c>
      <c r="CF828" s="134">
        <f t="shared" si="823"/>
        <v>0</v>
      </c>
      <c r="CG828" s="134">
        <f t="shared" si="824"/>
        <v>0</v>
      </c>
      <c r="CH828" s="133" t="e">
        <f t="shared" si="825"/>
        <v>#DIV/0!</v>
      </c>
    </row>
    <row r="829" spans="1:86" s="121" customFormat="1">
      <c r="A829" s="125">
        <f t="shared" si="827"/>
        <v>0</v>
      </c>
      <c r="B829" s="125"/>
      <c r="D829" s="121" t="s">
        <v>1248</v>
      </c>
      <c r="G829" s="124"/>
      <c r="H829" s="124"/>
      <c r="I829" s="122"/>
      <c r="M829" s="123"/>
      <c r="N829" s="121" t="s">
        <v>4350</v>
      </c>
      <c r="O829" s="121" t="s">
        <v>4351</v>
      </c>
      <c r="Q829" s="122">
        <v>7500</v>
      </c>
      <c r="R829" s="122"/>
      <c r="S829" s="122"/>
      <c r="T829" s="122"/>
      <c r="BD829" s="120"/>
      <c r="BE829" s="120">
        <f t="shared" si="816"/>
        <v>0</v>
      </c>
      <c r="BF829" s="137">
        <f t="shared" si="826"/>
        <v>0</v>
      </c>
      <c r="BG829" s="120"/>
      <c r="BH829" s="120"/>
      <c r="BI829" s="120"/>
      <c r="BJ829" s="120"/>
      <c r="BK829" s="120"/>
      <c r="BL829" s="120"/>
      <c r="BM829" s="120"/>
      <c r="BN829" s="120"/>
      <c r="BO829" s="120"/>
      <c r="BP829" s="120"/>
      <c r="BQ829" s="124"/>
      <c r="BR829" s="120"/>
      <c r="BS829" s="120"/>
      <c r="BT829" s="120"/>
      <c r="BU829" s="120"/>
      <c r="BV829" s="120"/>
      <c r="BW829" s="120"/>
      <c r="BZ829" s="136">
        <f t="shared" si="817"/>
        <v>0</v>
      </c>
      <c r="CA829" s="136">
        <f t="shared" si="818"/>
        <v>0</v>
      </c>
      <c r="CB829" s="136">
        <f t="shared" si="819"/>
        <v>0</v>
      </c>
      <c r="CC829" s="136">
        <f t="shared" si="820"/>
        <v>0</v>
      </c>
      <c r="CD829" s="135">
        <f t="shared" si="821"/>
        <v>0</v>
      </c>
      <c r="CE829" s="135">
        <f t="shared" si="822"/>
        <v>0</v>
      </c>
      <c r="CF829" s="134">
        <f t="shared" si="823"/>
        <v>0</v>
      </c>
      <c r="CG829" s="134">
        <f t="shared" si="824"/>
        <v>0</v>
      </c>
      <c r="CH829" s="133" t="e">
        <f t="shared" si="825"/>
        <v>#DIV/0!</v>
      </c>
    </row>
    <row r="830" spans="1:86" s="121" customFormat="1">
      <c r="A830" s="125">
        <f t="shared" si="827"/>
        <v>0</v>
      </c>
      <c r="B830" s="125"/>
      <c r="D830" s="121" t="s">
        <v>1248</v>
      </c>
      <c r="G830" s="124"/>
      <c r="H830" s="124"/>
      <c r="I830" s="122"/>
      <c r="M830" s="123"/>
      <c r="N830" s="121" t="s">
        <v>4352</v>
      </c>
      <c r="O830" s="121" t="s">
        <v>4353</v>
      </c>
      <c r="Q830" s="122">
        <v>7500</v>
      </c>
      <c r="R830" s="122"/>
      <c r="S830" s="122"/>
      <c r="T830" s="122"/>
      <c r="BD830" s="120"/>
      <c r="BE830" s="120">
        <f t="shared" ref="BE830:BE849" si="828">BW830</f>
        <v>0</v>
      </c>
      <c r="BF830" s="137">
        <f t="shared" si="826"/>
        <v>0</v>
      </c>
      <c r="BG830" s="120"/>
      <c r="BH830" s="120"/>
      <c r="BI830" s="120"/>
      <c r="BJ830" s="120"/>
      <c r="BK830" s="120"/>
      <c r="BL830" s="120"/>
      <c r="BM830" s="120"/>
      <c r="BN830" s="120"/>
      <c r="BO830" s="120"/>
      <c r="BP830" s="120"/>
      <c r="BQ830" s="124"/>
      <c r="BR830" s="120"/>
      <c r="BS830" s="120"/>
      <c r="BT830" s="120"/>
      <c r="BU830" s="120"/>
      <c r="BV830" s="120"/>
      <c r="BW830" s="120"/>
      <c r="BZ830" s="136">
        <f t="shared" si="817"/>
        <v>0</v>
      </c>
      <c r="CA830" s="136">
        <f t="shared" si="818"/>
        <v>0</v>
      </c>
      <c r="CB830" s="136">
        <f t="shared" si="819"/>
        <v>0</v>
      </c>
      <c r="CC830" s="136">
        <f t="shared" si="820"/>
        <v>0</v>
      </c>
      <c r="CD830" s="135">
        <f t="shared" si="821"/>
        <v>0</v>
      </c>
      <c r="CE830" s="135">
        <f t="shared" si="822"/>
        <v>0</v>
      </c>
      <c r="CF830" s="134">
        <f t="shared" si="823"/>
        <v>0</v>
      </c>
      <c r="CG830" s="134">
        <f t="shared" si="824"/>
        <v>0</v>
      </c>
      <c r="CH830" s="133" t="e">
        <f t="shared" si="825"/>
        <v>#DIV/0!</v>
      </c>
    </row>
    <row r="831" spans="1:86" s="121" customFormat="1">
      <c r="A831" s="125">
        <f t="shared" si="827"/>
        <v>0</v>
      </c>
      <c r="B831" s="125"/>
      <c r="D831" s="121" t="s">
        <v>1248</v>
      </c>
      <c r="G831" s="124"/>
      <c r="H831" s="124"/>
      <c r="I831" s="122"/>
      <c r="M831" s="123"/>
      <c r="N831" s="121" t="s">
        <v>4354</v>
      </c>
      <c r="O831" s="121" t="s">
        <v>4339</v>
      </c>
      <c r="Q831" s="122">
        <v>7500</v>
      </c>
      <c r="R831" s="122"/>
      <c r="S831" s="122"/>
      <c r="T831" s="122"/>
      <c r="BD831" s="120"/>
      <c r="BE831" s="120">
        <f t="shared" si="828"/>
        <v>0</v>
      </c>
      <c r="BF831" s="137">
        <f t="shared" si="826"/>
        <v>0</v>
      </c>
      <c r="BG831" s="120"/>
      <c r="BH831" s="120"/>
      <c r="BI831" s="120"/>
      <c r="BJ831" s="120"/>
      <c r="BK831" s="120"/>
      <c r="BL831" s="120"/>
      <c r="BM831" s="120"/>
      <c r="BN831" s="120"/>
      <c r="BO831" s="120"/>
      <c r="BP831" s="120"/>
      <c r="BQ831" s="124"/>
      <c r="BR831" s="120"/>
      <c r="BS831" s="120"/>
      <c r="BT831" s="120"/>
      <c r="BU831" s="120"/>
      <c r="BV831" s="120"/>
      <c r="BW831" s="120"/>
      <c r="BZ831" s="136">
        <f t="shared" si="817"/>
        <v>0</v>
      </c>
      <c r="CA831" s="136">
        <f t="shared" si="818"/>
        <v>0</v>
      </c>
      <c r="CB831" s="136">
        <f t="shared" si="819"/>
        <v>0</v>
      </c>
      <c r="CC831" s="136">
        <f t="shared" si="820"/>
        <v>0</v>
      </c>
      <c r="CD831" s="135">
        <f t="shared" si="821"/>
        <v>0</v>
      </c>
      <c r="CE831" s="135">
        <f t="shared" si="822"/>
        <v>0</v>
      </c>
      <c r="CF831" s="134">
        <f t="shared" si="823"/>
        <v>0</v>
      </c>
      <c r="CG831" s="134">
        <f t="shared" si="824"/>
        <v>0</v>
      </c>
      <c r="CH831" s="133" t="e">
        <f t="shared" si="825"/>
        <v>#DIV/0!</v>
      </c>
    </row>
    <row r="832" spans="1:86" s="116" customFormat="1">
      <c r="A832" s="125">
        <f t="shared" si="827"/>
        <v>0</v>
      </c>
      <c r="B832" s="125"/>
      <c r="C832" s="121"/>
      <c r="D832" s="121" t="s">
        <v>197</v>
      </c>
      <c r="E832" s="121"/>
      <c r="F832" s="121"/>
      <c r="G832" s="124"/>
      <c r="H832" s="124"/>
      <c r="I832" s="122"/>
      <c r="J832" s="121"/>
      <c r="K832" s="121"/>
      <c r="L832" s="121"/>
      <c r="M832" s="123"/>
      <c r="N832" s="121" t="s">
        <v>4256</v>
      </c>
      <c r="O832" s="121" t="s">
        <v>4257</v>
      </c>
      <c r="P832" s="121"/>
      <c r="Q832" s="122">
        <v>7500</v>
      </c>
      <c r="R832" s="122"/>
      <c r="S832" s="122"/>
      <c r="T832" s="122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  <c r="AL832" s="121"/>
      <c r="AM832" s="121"/>
      <c r="AN832" s="121"/>
      <c r="AO832" s="121"/>
      <c r="AP832" s="121"/>
      <c r="AQ832" s="121"/>
      <c r="AR832" s="121"/>
      <c r="AS832" s="121"/>
      <c r="AT832" s="121"/>
      <c r="AU832" s="121"/>
      <c r="AV832" s="121"/>
      <c r="AW832" s="121"/>
      <c r="AX832" s="121"/>
      <c r="AY832" s="121"/>
      <c r="AZ832" s="121"/>
      <c r="BA832" s="121"/>
      <c r="BB832" s="121"/>
      <c r="BC832" s="121"/>
      <c r="BD832" s="120"/>
      <c r="BE832" s="120">
        <f t="shared" si="828"/>
        <v>0</v>
      </c>
      <c r="BF832" s="137">
        <f t="shared" si="826"/>
        <v>0</v>
      </c>
      <c r="BG832" s="120"/>
      <c r="BH832" s="120"/>
      <c r="BI832" s="120"/>
      <c r="BJ832" s="120"/>
      <c r="BK832" s="120"/>
      <c r="BL832" s="120"/>
      <c r="BM832" s="120"/>
      <c r="BN832" s="120"/>
      <c r="BO832" s="120"/>
      <c r="BP832" s="120"/>
      <c r="BQ832" s="124"/>
      <c r="BR832" s="120"/>
      <c r="BS832" s="120"/>
      <c r="BT832" s="120"/>
      <c r="BU832" s="120"/>
      <c r="BV832" s="120"/>
      <c r="BW832" s="120"/>
      <c r="BX832" s="121"/>
      <c r="BY832" s="121"/>
      <c r="BZ832" s="136">
        <f t="shared" si="817"/>
        <v>0</v>
      </c>
      <c r="CA832" s="136">
        <f t="shared" si="818"/>
        <v>0</v>
      </c>
      <c r="CB832" s="136">
        <f t="shared" si="819"/>
        <v>0</v>
      </c>
      <c r="CC832" s="136">
        <f t="shared" si="820"/>
        <v>0</v>
      </c>
      <c r="CD832" s="135">
        <f t="shared" si="821"/>
        <v>0</v>
      </c>
      <c r="CE832" s="135">
        <f t="shared" si="822"/>
        <v>0</v>
      </c>
      <c r="CF832" s="134">
        <f t="shared" si="823"/>
        <v>0</v>
      </c>
      <c r="CG832" s="134">
        <f t="shared" si="824"/>
        <v>0</v>
      </c>
      <c r="CH832" s="133" t="e">
        <f t="shared" si="825"/>
        <v>#DIV/0!</v>
      </c>
    </row>
    <row r="833" spans="1:86" s="121" customFormat="1">
      <c r="A833" s="125">
        <f t="shared" si="827"/>
        <v>0</v>
      </c>
      <c r="B833" s="125"/>
      <c r="D833" s="121" t="s">
        <v>197</v>
      </c>
      <c r="G833" s="124"/>
      <c r="H833" s="124"/>
      <c r="I833" s="122"/>
      <c r="M833" s="123"/>
      <c r="N833" s="121" t="s">
        <v>4355</v>
      </c>
      <c r="O833" s="121" t="s">
        <v>328</v>
      </c>
      <c r="Q833" s="122">
        <v>7500</v>
      </c>
      <c r="R833" s="122"/>
      <c r="S833" s="122"/>
      <c r="T833" s="122"/>
      <c r="BD833" s="120"/>
      <c r="BE833" s="120">
        <f t="shared" si="828"/>
        <v>0</v>
      </c>
      <c r="BF833" s="137">
        <f t="shared" si="826"/>
        <v>0</v>
      </c>
      <c r="BG833" s="120"/>
      <c r="BH833" s="120"/>
      <c r="BI833" s="120"/>
      <c r="BJ833" s="120"/>
      <c r="BK833" s="120"/>
      <c r="BL833" s="120"/>
      <c r="BM833" s="120"/>
      <c r="BN833" s="120"/>
      <c r="BO833" s="120"/>
      <c r="BP833" s="120"/>
      <c r="BQ833" s="124"/>
      <c r="BR833" s="120"/>
      <c r="BS833" s="120"/>
      <c r="BT833" s="120"/>
      <c r="BU833" s="120"/>
      <c r="BV833" s="120"/>
      <c r="BW833" s="120"/>
      <c r="BZ833" s="136">
        <f t="shared" si="817"/>
        <v>0</v>
      </c>
      <c r="CA833" s="136">
        <f t="shared" si="818"/>
        <v>0</v>
      </c>
      <c r="CB833" s="136">
        <f t="shared" si="819"/>
        <v>0</v>
      </c>
      <c r="CC833" s="136">
        <f t="shared" si="820"/>
        <v>0</v>
      </c>
      <c r="CD833" s="135">
        <f t="shared" si="821"/>
        <v>0</v>
      </c>
      <c r="CE833" s="135">
        <f t="shared" si="822"/>
        <v>0</v>
      </c>
      <c r="CF833" s="134">
        <f t="shared" si="823"/>
        <v>0</v>
      </c>
      <c r="CG833" s="134">
        <f t="shared" si="824"/>
        <v>0</v>
      </c>
      <c r="CH833" s="133" t="e">
        <f t="shared" si="825"/>
        <v>#DIV/0!</v>
      </c>
    </row>
    <row r="834" spans="1:86" s="121" customFormat="1">
      <c r="A834" s="125">
        <f t="shared" si="827"/>
        <v>0</v>
      </c>
      <c r="B834" s="125"/>
      <c r="D834" s="121" t="s">
        <v>215</v>
      </c>
      <c r="G834" s="124"/>
      <c r="H834" s="124"/>
      <c r="I834" s="122"/>
      <c r="M834" s="123"/>
      <c r="N834" s="121" t="s">
        <v>4176</v>
      </c>
      <c r="O834" s="121" t="s">
        <v>4356</v>
      </c>
      <c r="Q834" s="122">
        <v>7500</v>
      </c>
      <c r="R834" s="122"/>
      <c r="S834" s="122"/>
      <c r="T834" s="122"/>
      <c r="BD834" s="120"/>
      <c r="BE834" s="120">
        <f t="shared" si="828"/>
        <v>0</v>
      </c>
      <c r="BF834" s="137">
        <f t="shared" si="826"/>
        <v>0</v>
      </c>
      <c r="BG834" s="120"/>
      <c r="BH834" s="120"/>
      <c r="BI834" s="120"/>
      <c r="BJ834" s="120"/>
      <c r="BK834" s="120"/>
      <c r="BL834" s="120"/>
      <c r="BM834" s="120"/>
      <c r="BN834" s="120"/>
      <c r="BO834" s="120"/>
      <c r="BP834" s="120"/>
      <c r="BQ834" s="124"/>
      <c r="BR834" s="120"/>
      <c r="BS834" s="120"/>
      <c r="BT834" s="120"/>
      <c r="BU834" s="120"/>
      <c r="BV834" s="120"/>
      <c r="BW834" s="120"/>
      <c r="BX834" s="116"/>
      <c r="BY834" s="116"/>
      <c r="BZ834" s="136">
        <f t="shared" si="817"/>
        <v>0</v>
      </c>
      <c r="CA834" s="136">
        <f t="shared" si="818"/>
        <v>0</v>
      </c>
      <c r="CB834" s="136">
        <f t="shared" si="819"/>
        <v>0</v>
      </c>
      <c r="CC834" s="136">
        <f t="shared" si="820"/>
        <v>0</v>
      </c>
      <c r="CD834" s="135">
        <f t="shared" si="821"/>
        <v>0</v>
      </c>
      <c r="CE834" s="135">
        <f t="shared" si="822"/>
        <v>0</v>
      </c>
      <c r="CF834" s="134">
        <f t="shared" si="823"/>
        <v>0</v>
      </c>
      <c r="CG834" s="134">
        <f t="shared" si="824"/>
        <v>0</v>
      </c>
      <c r="CH834" s="133" t="e">
        <f t="shared" si="825"/>
        <v>#DIV/0!</v>
      </c>
    </row>
    <row r="835" spans="1:86" s="121" customFormat="1">
      <c r="A835" s="125">
        <f t="shared" si="827"/>
        <v>0</v>
      </c>
      <c r="B835" s="125"/>
      <c r="D835" s="121" t="s">
        <v>1248</v>
      </c>
      <c r="G835" s="124"/>
      <c r="H835" s="124"/>
      <c r="I835" s="122"/>
      <c r="M835" s="123"/>
      <c r="N835" s="121" t="s">
        <v>4357</v>
      </c>
      <c r="O835" s="121" t="s">
        <v>1645</v>
      </c>
      <c r="Q835" s="122">
        <v>7500</v>
      </c>
      <c r="R835" s="122"/>
      <c r="S835" s="122"/>
      <c r="T835" s="122"/>
      <c r="BD835" s="120"/>
      <c r="BE835" s="120">
        <f t="shared" si="828"/>
        <v>0</v>
      </c>
      <c r="BF835" s="137">
        <f t="shared" si="826"/>
        <v>0</v>
      </c>
      <c r="BG835" s="120"/>
      <c r="BH835" s="120"/>
      <c r="BI835" s="120"/>
      <c r="BJ835" s="120"/>
      <c r="BK835" s="120"/>
      <c r="BL835" s="120"/>
      <c r="BM835" s="120"/>
      <c r="BN835" s="120"/>
      <c r="BO835" s="120"/>
      <c r="BP835" s="120"/>
      <c r="BQ835" s="124"/>
      <c r="BR835" s="120"/>
      <c r="BS835" s="120"/>
      <c r="BT835" s="120"/>
      <c r="BU835" s="120"/>
      <c r="BV835" s="120"/>
      <c r="BW835" s="120"/>
      <c r="BZ835" s="136">
        <f t="shared" si="817"/>
        <v>0</v>
      </c>
      <c r="CA835" s="136">
        <f t="shared" si="818"/>
        <v>0</v>
      </c>
      <c r="CB835" s="136">
        <f t="shared" si="819"/>
        <v>0</v>
      </c>
      <c r="CC835" s="136">
        <f t="shared" si="820"/>
        <v>0</v>
      </c>
      <c r="CD835" s="135">
        <f t="shared" si="821"/>
        <v>0</v>
      </c>
      <c r="CE835" s="135">
        <f t="shared" si="822"/>
        <v>0</v>
      </c>
      <c r="CF835" s="134">
        <f t="shared" si="823"/>
        <v>0</v>
      </c>
      <c r="CG835" s="134">
        <f t="shared" si="824"/>
        <v>0</v>
      </c>
      <c r="CH835" s="133" t="e">
        <f t="shared" si="825"/>
        <v>#DIV/0!</v>
      </c>
    </row>
    <row r="836" spans="1:86" s="121" customFormat="1">
      <c r="A836" s="125">
        <f t="shared" si="827"/>
        <v>0</v>
      </c>
      <c r="B836" s="125"/>
      <c r="D836" s="121" t="s">
        <v>215</v>
      </c>
      <c r="G836" s="124"/>
      <c r="H836" s="124"/>
      <c r="I836" s="122"/>
      <c r="M836" s="123"/>
      <c r="N836" s="121" t="s">
        <v>4199</v>
      </c>
      <c r="O836" s="121" t="s">
        <v>4167</v>
      </c>
      <c r="Q836" s="122">
        <f>3136*2.4</f>
        <v>7526.4</v>
      </c>
      <c r="R836" s="122"/>
      <c r="S836" s="122"/>
      <c r="T836" s="122"/>
      <c r="BD836" s="120"/>
      <c r="BE836" s="120">
        <f t="shared" si="828"/>
        <v>0</v>
      </c>
      <c r="BF836" s="137">
        <f t="shared" si="826"/>
        <v>0</v>
      </c>
      <c r="BG836" s="120"/>
      <c r="BH836" s="120"/>
      <c r="BI836" s="120"/>
      <c r="BJ836" s="120"/>
      <c r="BK836" s="120"/>
      <c r="BL836" s="120"/>
      <c r="BM836" s="120"/>
      <c r="BN836" s="120"/>
      <c r="BO836" s="120"/>
      <c r="BP836" s="120"/>
      <c r="BQ836" s="124"/>
      <c r="BR836" s="120"/>
      <c r="BS836" s="120"/>
      <c r="BT836" s="120"/>
      <c r="BU836" s="120"/>
      <c r="BV836" s="120"/>
      <c r="BW836" s="120"/>
      <c r="BX836" s="127"/>
      <c r="BY836" s="127"/>
      <c r="BZ836" s="136">
        <f t="shared" si="817"/>
        <v>0</v>
      </c>
      <c r="CA836" s="136">
        <f t="shared" si="818"/>
        <v>0</v>
      </c>
      <c r="CB836" s="136">
        <f t="shared" si="819"/>
        <v>0</v>
      </c>
      <c r="CC836" s="136">
        <f t="shared" si="820"/>
        <v>0</v>
      </c>
      <c r="CD836" s="135">
        <f t="shared" si="821"/>
        <v>0</v>
      </c>
      <c r="CE836" s="135">
        <f t="shared" si="822"/>
        <v>0</v>
      </c>
      <c r="CF836" s="134">
        <f t="shared" si="823"/>
        <v>0</v>
      </c>
      <c r="CG836" s="134">
        <f t="shared" si="824"/>
        <v>0</v>
      </c>
      <c r="CH836" s="133" t="e">
        <f t="shared" si="825"/>
        <v>#DIV/0!</v>
      </c>
    </row>
    <row r="837" spans="1:86" s="121" customFormat="1">
      <c r="A837" s="125">
        <f t="shared" si="827"/>
        <v>0</v>
      </c>
      <c r="B837" s="125"/>
      <c r="D837" s="121" t="s">
        <v>215</v>
      </c>
      <c r="G837" s="124"/>
      <c r="H837" s="124"/>
      <c r="I837" s="122"/>
      <c r="M837" s="123"/>
      <c r="N837" s="121" t="s">
        <v>4227</v>
      </c>
      <c r="O837" s="121" t="s">
        <v>4280</v>
      </c>
      <c r="Q837" s="122">
        <f>3138*2.4</f>
        <v>7531.2</v>
      </c>
      <c r="R837" s="122"/>
      <c r="S837" s="122"/>
      <c r="T837" s="122"/>
      <c r="BD837" s="120"/>
      <c r="BE837" s="120">
        <f t="shared" si="828"/>
        <v>0</v>
      </c>
      <c r="BF837" s="137">
        <f t="shared" si="826"/>
        <v>0</v>
      </c>
      <c r="BG837" s="120"/>
      <c r="BH837" s="120"/>
      <c r="BI837" s="120"/>
      <c r="BJ837" s="120"/>
      <c r="BK837" s="120"/>
      <c r="BL837" s="120"/>
      <c r="BM837" s="120"/>
      <c r="BN837" s="124"/>
      <c r="BO837" s="124"/>
      <c r="BP837" s="120"/>
      <c r="BQ837" s="124"/>
      <c r="BR837" s="120"/>
      <c r="BS837" s="120"/>
      <c r="BT837" s="120"/>
      <c r="BU837" s="120"/>
      <c r="BV837" s="120"/>
      <c r="BW837" s="120"/>
      <c r="BZ837" s="136">
        <f t="shared" si="817"/>
        <v>0</v>
      </c>
      <c r="CA837" s="136">
        <f t="shared" si="818"/>
        <v>0</v>
      </c>
      <c r="CB837" s="136">
        <f t="shared" si="819"/>
        <v>0</v>
      </c>
      <c r="CC837" s="136">
        <f t="shared" si="820"/>
        <v>0</v>
      </c>
      <c r="CD837" s="135">
        <f t="shared" si="821"/>
        <v>0</v>
      </c>
      <c r="CE837" s="135">
        <f t="shared" si="822"/>
        <v>0</v>
      </c>
      <c r="CF837" s="134">
        <f t="shared" si="823"/>
        <v>0</v>
      </c>
      <c r="CG837" s="134">
        <f t="shared" si="824"/>
        <v>0</v>
      </c>
      <c r="CH837" s="133" t="e">
        <f t="shared" si="825"/>
        <v>#DIV/0!</v>
      </c>
    </row>
    <row r="838" spans="1:86" s="121" customFormat="1">
      <c r="A838" s="125">
        <f t="shared" si="827"/>
        <v>0</v>
      </c>
      <c r="B838" s="125"/>
      <c r="D838" s="121" t="s">
        <v>215</v>
      </c>
      <c r="G838" s="124"/>
      <c r="H838" s="124"/>
      <c r="I838" s="122"/>
      <c r="M838" s="123"/>
      <c r="N838" s="121" t="s">
        <v>4162</v>
      </c>
      <c r="O838" s="121" t="s">
        <v>4358</v>
      </c>
      <c r="Q838" s="122">
        <f>3140*2.4</f>
        <v>7536</v>
      </c>
      <c r="R838" s="122"/>
      <c r="S838" s="122"/>
      <c r="T838" s="122"/>
      <c r="BE838" s="120">
        <f t="shared" si="828"/>
        <v>0</v>
      </c>
      <c r="BF838" s="137">
        <f t="shared" si="826"/>
        <v>0</v>
      </c>
      <c r="BH838" s="120"/>
      <c r="BI838" s="120"/>
      <c r="BJ838" s="120"/>
      <c r="BK838" s="120"/>
      <c r="BL838" s="120"/>
      <c r="BM838" s="120"/>
      <c r="BN838" s="120"/>
      <c r="BO838" s="120"/>
      <c r="BP838" s="120"/>
      <c r="BQ838" s="124"/>
      <c r="BR838" s="120"/>
      <c r="BS838" s="120"/>
      <c r="BT838" s="120"/>
      <c r="BU838" s="120"/>
      <c r="BV838" s="120"/>
      <c r="BW838" s="120"/>
      <c r="BX838" s="116"/>
      <c r="BY838" s="116"/>
      <c r="BZ838" s="136">
        <f t="shared" si="817"/>
        <v>0</v>
      </c>
      <c r="CA838" s="136">
        <f t="shared" si="818"/>
        <v>0</v>
      </c>
      <c r="CB838" s="136">
        <f t="shared" si="819"/>
        <v>0</v>
      </c>
      <c r="CC838" s="136">
        <f t="shared" si="820"/>
        <v>0</v>
      </c>
      <c r="CD838" s="135">
        <f t="shared" si="821"/>
        <v>0</v>
      </c>
      <c r="CE838" s="135">
        <f t="shared" si="822"/>
        <v>0</v>
      </c>
      <c r="CF838" s="134">
        <f t="shared" si="823"/>
        <v>0</v>
      </c>
      <c r="CG838" s="134">
        <f t="shared" si="824"/>
        <v>0</v>
      </c>
      <c r="CH838" s="133" t="e">
        <f t="shared" si="825"/>
        <v>#DIV/0!</v>
      </c>
    </row>
    <row r="839" spans="1:86" s="121" customFormat="1">
      <c r="A839" s="125">
        <f t="shared" si="827"/>
        <v>0</v>
      </c>
      <c r="B839" s="125"/>
      <c r="D839" s="121" t="s">
        <v>215</v>
      </c>
      <c r="G839" s="124"/>
      <c r="H839" s="124"/>
      <c r="I839" s="122"/>
      <c r="M839" s="123"/>
      <c r="N839" s="121" t="s">
        <v>4162</v>
      </c>
      <c r="O839" s="121" t="s">
        <v>4358</v>
      </c>
      <c r="Q839" s="122">
        <f>3140*2.4</f>
        <v>7536</v>
      </c>
      <c r="R839" s="122"/>
      <c r="S839" s="122"/>
      <c r="T839" s="122"/>
      <c r="BD839" s="120"/>
      <c r="BE839" s="120">
        <f t="shared" si="828"/>
        <v>0</v>
      </c>
      <c r="BF839" s="137">
        <f t="shared" si="826"/>
        <v>0</v>
      </c>
      <c r="BG839" s="120"/>
      <c r="BH839" s="120"/>
      <c r="BI839" s="120"/>
      <c r="BJ839" s="120"/>
      <c r="BK839" s="120"/>
      <c r="BL839" s="120"/>
      <c r="BM839" s="120"/>
      <c r="BN839" s="120"/>
      <c r="BO839" s="120"/>
      <c r="BP839" s="120"/>
      <c r="BQ839" s="124"/>
      <c r="BR839" s="120"/>
      <c r="BS839" s="120"/>
      <c r="BT839" s="120"/>
      <c r="BU839" s="120"/>
      <c r="BV839" s="120"/>
      <c r="BW839" s="120"/>
      <c r="BZ839" s="136">
        <f t="shared" si="817"/>
        <v>0</v>
      </c>
      <c r="CA839" s="136">
        <f t="shared" si="818"/>
        <v>0</v>
      </c>
      <c r="CB839" s="136">
        <f t="shared" si="819"/>
        <v>0</v>
      </c>
      <c r="CC839" s="136">
        <f t="shared" si="820"/>
        <v>0</v>
      </c>
      <c r="CD839" s="135">
        <f t="shared" si="821"/>
        <v>0</v>
      </c>
      <c r="CE839" s="135">
        <f t="shared" si="822"/>
        <v>0</v>
      </c>
      <c r="CF839" s="134">
        <f t="shared" si="823"/>
        <v>0</v>
      </c>
      <c r="CG839" s="134">
        <f t="shared" si="824"/>
        <v>0</v>
      </c>
      <c r="CH839" s="133" t="e">
        <f t="shared" si="825"/>
        <v>#DIV/0!</v>
      </c>
    </row>
    <row r="840" spans="1:86" s="121" customFormat="1">
      <c r="A840" s="125">
        <f t="shared" si="827"/>
        <v>0</v>
      </c>
      <c r="B840" s="125"/>
      <c r="D840" s="121" t="s">
        <v>215</v>
      </c>
      <c r="G840" s="124"/>
      <c r="H840" s="124"/>
      <c r="I840" s="122"/>
      <c r="M840" s="123"/>
      <c r="N840" s="121" t="s">
        <v>380</v>
      </c>
      <c r="O840" s="121" t="s">
        <v>4359</v>
      </c>
      <c r="Q840" s="122">
        <f>3140*2.4</f>
        <v>7536</v>
      </c>
      <c r="R840" s="122"/>
      <c r="S840" s="122"/>
      <c r="T840" s="122"/>
      <c r="BD840" s="120"/>
      <c r="BE840" s="120">
        <f t="shared" si="828"/>
        <v>0</v>
      </c>
      <c r="BF840" s="137">
        <f t="shared" si="826"/>
        <v>0</v>
      </c>
      <c r="BG840" s="120"/>
      <c r="BH840" s="120"/>
      <c r="BI840" s="120"/>
      <c r="BJ840" s="120"/>
      <c r="BK840" s="120"/>
      <c r="BL840" s="120"/>
      <c r="BM840" s="120"/>
      <c r="BN840" s="120"/>
      <c r="BO840" s="120"/>
      <c r="BP840" s="120"/>
      <c r="BQ840" s="120"/>
      <c r="BR840" s="120"/>
      <c r="BS840" s="120"/>
      <c r="BT840" s="120"/>
      <c r="BU840" s="120"/>
      <c r="BV840" s="120"/>
      <c r="BW840" s="120"/>
      <c r="BZ840" s="136">
        <f t="shared" si="817"/>
        <v>0</v>
      </c>
      <c r="CA840" s="136">
        <f t="shared" si="818"/>
        <v>0</v>
      </c>
      <c r="CB840" s="136">
        <f t="shared" si="819"/>
        <v>0</v>
      </c>
      <c r="CC840" s="136">
        <f t="shared" si="820"/>
        <v>0</v>
      </c>
      <c r="CD840" s="135">
        <f t="shared" si="821"/>
        <v>0</v>
      </c>
      <c r="CE840" s="135">
        <f t="shared" si="822"/>
        <v>0</v>
      </c>
      <c r="CF840" s="134">
        <f t="shared" si="823"/>
        <v>0</v>
      </c>
      <c r="CG840" s="134">
        <f t="shared" si="824"/>
        <v>0</v>
      </c>
      <c r="CH840" s="133" t="e">
        <f t="shared" si="825"/>
        <v>#DIV/0!</v>
      </c>
    </row>
    <row r="841" spans="1:86" s="121" customFormat="1">
      <c r="A841" s="125">
        <f t="shared" si="827"/>
        <v>0</v>
      </c>
      <c r="B841" s="125"/>
      <c r="D841" s="121" t="s">
        <v>197</v>
      </c>
      <c r="G841" s="124"/>
      <c r="H841" s="124"/>
      <c r="I841" s="122"/>
      <c r="M841" s="123"/>
      <c r="N841" s="121" t="s">
        <v>505</v>
      </c>
      <c r="O841" s="121" t="s">
        <v>328</v>
      </c>
      <c r="Q841" s="122">
        <f>3142*2.4</f>
        <v>7540.7999999999993</v>
      </c>
      <c r="R841" s="122"/>
      <c r="S841" s="122"/>
      <c r="T841" s="122"/>
      <c r="BD841" s="120"/>
      <c r="BE841" s="120">
        <f t="shared" si="828"/>
        <v>0</v>
      </c>
      <c r="BF841" s="137">
        <f t="shared" si="826"/>
        <v>0</v>
      </c>
      <c r="BG841" s="120"/>
      <c r="BH841" s="120"/>
      <c r="BI841" s="120"/>
      <c r="BJ841" s="120"/>
      <c r="BK841" s="120"/>
      <c r="BL841" s="120"/>
      <c r="BM841" s="120"/>
      <c r="BN841" s="124"/>
      <c r="BO841" s="124"/>
      <c r="BP841" s="120"/>
      <c r="BQ841" s="124"/>
      <c r="BR841" s="120"/>
      <c r="BS841" s="120"/>
      <c r="BT841" s="120"/>
      <c r="BU841" s="120"/>
      <c r="BV841" s="120"/>
      <c r="BW841" s="120"/>
      <c r="BZ841" s="136">
        <f t="shared" si="817"/>
        <v>0</v>
      </c>
      <c r="CA841" s="136">
        <f t="shared" si="818"/>
        <v>0</v>
      </c>
      <c r="CB841" s="136">
        <f t="shared" si="819"/>
        <v>0</v>
      </c>
      <c r="CC841" s="136">
        <f t="shared" si="820"/>
        <v>0</v>
      </c>
      <c r="CD841" s="135">
        <f t="shared" si="821"/>
        <v>0</v>
      </c>
      <c r="CE841" s="135">
        <f t="shared" si="822"/>
        <v>0</v>
      </c>
      <c r="CF841" s="134">
        <f t="shared" si="823"/>
        <v>0</v>
      </c>
      <c r="CG841" s="134">
        <f t="shared" si="824"/>
        <v>0</v>
      </c>
      <c r="CH841" s="133" t="e">
        <f t="shared" si="825"/>
        <v>#DIV/0!</v>
      </c>
    </row>
    <row r="842" spans="1:86" s="121" customFormat="1">
      <c r="A842" s="125">
        <f t="shared" si="827"/>
        <v>0</v>
      </c>
      <c r="B842" s="125"/>
      <c r="D842" s="121" t="s">
        <v>215</v>
      </c>
      <c r="G842" s="124"/>
      <c r="H842" s="124"/>
      <c r="I842" s="122"/>
      <c r="M842" s="123"/>
      <c r="N842" s="121" t="s">
        <v>4177</v>
      </c>
      <c r="O842" s="121" t="s">
        <v>4181</v>
      </c>
      <c r="Q842" s="122">
        <f>3233*2.4</f>
        <v>7759.2</v>
      </c>
      <c r="R842" s="122"/>
      <c r="S842" s="122"/>
      <c r="T842" s="122"/>
      <c r="BD842" s="120"/>
      <c r="BE842" s="120">
        <f t="shared" si="828"/>
        <v>0</v>
      </c>
      <c r="BF842" s="137">
        <f t="shared" si="826"/>
        <v>0</v>
      </c>
      <c r="BG842" s="120"/>
      <c r="BH842" s="120"/>
      <c r="BI842" s="120"/>
      <c r="BJ842" s="120"/>
      <c r="BK842" s="120"/>
      <c r="BL842" s="120"/>
      <c r="BM842" s="120"/>
      <c r="BN842" s="120"/>
      <c r="BO842" s="120"/>
      <c r="BP842" s="120"/>
      <c r="BQ842" s="124"/>
      <c r="BR842" s="120"/>
      <c r="BS842" s="120"/>
      <c r="BT842" s="120"/>
      <c r="BU842" s="120"/>
      <c r="BV842" s="120"/>
      <c r="BW842" s="120"/>
      <c r="BZ842" s="136">
        <f t="shared" si="817"/>
        <v>0</v>
      </c>
      <c r="CA842" s="136">
        <f t="shared" si="818"/>
        <v>0</v>
      </c>
      <c r="CB842" s="136">
        <f t="shared" si="819"/>
        <v>0</v>
      </c>
      <c r="CC842" s="136">
        <f t="shared" si="820"/>
        <v>0</v>
      </c>
      <c r="CD842" s="135">
        <f t="shared" si="821"/>
        <v>0</v>
      </c>
      <c r="CE842" s="135">
        <f t="shared" si="822"/>
        <v>0</v>
      </c>
      <c r="CF842" s="134">
        <f t="shared" si="823"/>
        <v>0</v>
      </c>
      <c r="CG842" s="134">
        <f t="shared" si="824"/>
        <v>0</v>
      </c>
      <c r="CH842" s="133" t="e">
        <f t="shared" si="825"/>
        <v>#DIV/0!</v>
      </c>
    </row>
    <row r="843" spans="1:86" s="121" customFormat="1">
      <c r="A843" s="125">
        <f t="shared" si="827"/>
        <v>0</v>
      </c>
      <c r="B843" s="125"/>
      <c r="D843" s="121" t="s">
        <v>197</v>
      </c>
      <c r="G843" s="124"/>
      <c r="H843" s="124"/>
      <c r="I843" s="122"/>
      <c r="M843" s="123"/>
      <c r="N843" s="121" t="s">
        <v>4223</v>
      </c>
      <c r="O843" s="121" t="s">
        <v>4175</v>
      </c>
      <c r="Q843" s="122">
        <f>3245*2.4</f>
        <v>7788</v>
      </c>
      <c r="R843" s="122"/>
      <c r="S843" s="122"/>
      <c r="T843" s="122"/>
      <c r="BD843" s="120"/>
      <c r="BE843" s="120">
        <f t="shared" si="828"/>
        <v>0</v>
      </c>
      <c r="BF843" s="137">
        <f t="shared" si="826"/>
        <v>0</v>
      </c>
      <c r="BG843" s="120"/>
      <c r="BH843" s="120"/>
      <c r="BI843" s="120"/>
      <c r="BJ843" s="120"/>
      <c r="BK843" s="120"/>
      <c r="BL843" s="120"/>
      <c r="BM843" s="120"/>
      <c r="BN843" s="120"/>
      <c r="BO843" s="120"/>
      <c r="BP843" s="120"/>
      <c r="BQ843" s="124"/>
      <c r="BR843" s="120"/>
      <c r="BS843" s="120"/>
      <c r="BT843" s="120"/>
      <c r="BU843" s="120"/>
      <c r="BV843" s="120"/>
      <c r="BW843" s="120"/>
      <c r="BZ843" s="136">
        <f t="shared" si="817"/>
        <v>0</v>
      </c>
      <c r="CA843" s="136">
        <f t="shared" si="818"/>
        <v>0</v>
      </c>
      <c r="CB843" s="136">
        <f t="shared" si="819"/>
        <v>0</v>
      </c>
      <c r="CC843" s="136">
        <f t="shared" si="820"/>
        <v>0</v>
      </c>
      <c r="CD843" s="135">
        <f t="shared" si="821"/>
        <v>0</v>
      </c>
      <c r="CE843" s="135">
        <f t="shared" si="822"/>
        <v>0</v>
      </c>
      <c r="CF843" s="134">
        <f t="shared" si="823"/>
        <v>0</v>
      </c>
      <c r="CG843" s="134">
        <f t="shared" si="824"/>
        <v>0</v>
      </c>
      <c r="CH843" s="133" t="e">
        <f t="shared" si="825"/>
        <v>#DIV/0!</v>
      </c>
    </row>
    <row r="844" spans="1:86" s="121" customFormat="1">
      <c r="A844" s="125">
        <f t="shared" si="827"/>
        <v>0</v>
      </c>
      <c r="B844" s="125"/>
      <c r="D844" s="121" t="s">
        <v>215</v>
      </c>
      <c r="G844" s="124"/>
      <c r="H844" s="124"/>
      <c r="I844" s="122"/>
      <c r="M844" s="123"/>
      <c r="N844" s="121" t="s">
        <v>4360</v>
      </c>
      <c r="O844" s="121" t="s">
        <v>4175</v>
      </c>
      <c r="Q844" s="122">
        <f>3245*2.4</f>
        <v>7788</v>
      </c>
      <c r="R844" s="122"/>
      <c r="S844" s="122"/>
      <c r="T844" s="122"/>
      <c r="BD844" s="120"/>
      <c r="BE844" s="120">
        <f t="shared" si="828"/>
        <v>0</v>
      </c>
      <c r="BF844" s="137">
        <f t="shared" si="826"/>
        <v>0</v>
      </c>
      <c r="BG844" s="120"/>
      <c r="BH844" s="120"/>
      <c r="BI844" s="120"/>
      <c r="BJ844" s="120"/>
      <c r="BK844" s="120"/>
      <c r="BL844" s="120"/>
      <c r="BM844" s="120"/>
      <c r="BN844" s="120"/>
      <c r="BO844" s="120"/>
      <c r="BP844" s="120"/>
      <c r="BQ844" s="124"/>
      <c r="BR844" s="120"/>
      <c r="BS844" s="120"/>
      <c r="BT844" s="120"/>
      <c r="BU844" s="120"/>
      <c r="BV844" s="120"/>
      <c r="BW844" s="120"/>
      <c r="BZ844" s="136">
        <f t="shared" si="817"/>
        <v>0</v>
      </c>
      <c r="CA844" s="136">
        <f t="shared" si="818"/>
        <v>0</v>
      </c>
      <c r="CB844" s="136">
        <f t="shared" si="819"/>
        <v>0</v>
      </c>
      <c r="CC844" s="136">
        <f t="shared" si="820"/>
        <v>0</v>
      </c>
      <c r="CD844" s="135">
        <f t="shared" si="821"/>
        <v>0</v>
      </c>
      <c r="CE844" s="135">
        <f t="shared" si="822"/>
        <v>0</v>
      </c>
      <c r="CF844" s="134">
        <f t="shared" si="823"/>
        <v>0</v>
      </c>
      <c r="CG844" s="134">
        <f t="shared" si="824"/>
        <v>0</v>
      </c>
      <c r="CH844" s="133" t="e">
        <f t="shared" si="825"/>
        <v>#DIV/0!</v>
      </c>
    </row>
    <row r="845" spans="1:86" s="121" customFormat="1">
      <c r="A845" s="125">
        <f t="shared" si="827"/>
        <v>0</v>
      </c>
      <c r="B845" s="125"/>
      <c r="D845" s="121" t="s">
        <v>1248</v>
      </c>
      <c r="G845" s="124"/>
      <c r="H845" s="124"/>
      <c r="I845" s="122"/>
      <c r="M845" s="123"/>
      <c r="N845" s="121" t="s">
        <v>4161</v>
      </c>
      <c r="O845" s="121" t="s">
        <v>4156</v>
      </c>
      <c r="Q845" s="122">
        <v>8000</v>
      </c>
      <c r="R845" s="122"/>
      <c r="S845" s="122"/>
      <c r="T845" s="122"/>
      <c r="BD845" s="120"/>
      <c r="BE845" s="120">
        <f t="shared" si="828"/>
        <v>0</v>
      </c>
      <c r="BF845" s="137">
        <f t="shared" si="826"/>
        <v>0</v>
      </c>
      <c r="BG845" s="120"/>
      <c r="BH845" s="120"/>
      <c r="BI845" s="120"/>
      <c r="BJ845" s="120"/>
      <c r="BK845" s="120"/>
      <c r="BL845" s="120"/>
      <c r="BM845" s="120"/>
      <c r="BN845" s="120"/>
      <c r="BO845" s="120"/>
      <c r="BP845" s="120"/>
      <c r="BQ845" s="124"/>
      <c r="BR845" s="120"/>
      <c r="BS845" s="120"/>
      <c r="BT845" s="120"/>
      <c r="BU845" s="120"/>
      <c r="BV845" s="120"/>
      <c r="BW845" s="120"/>
      <c r="BX845" s="116"/>
      <c r="BY845" s="116"/>
      <c r="BZ845" s="136">
        <f t="shared" si="817"/>
        <v>0</v>
      </c>
      <c r="CA845" s="136">
        <f t="shared" si="818"/>
        <v>0</v>
      </c>
      <c r="CB845" s="136">
        <f t="shared" si="819"/>
        <v>0</v>
      </c>
      <c r="CC845" s="136">
        <f t="shared" si="820"/>
        <v>0</v>
      </c>
      <c r="CD845" s="135">
        <f t="shared" si="821"/>
        <v>0</v>
      </c>
      <c r="CE845" s="135">
        <f t="shared" si="822"/>
        <v>0</v>
      </c>
      <c r="CF845" s="134">
        <f t="shared" si="823"/>
        <v>0</v>
      </c>
      <c r="CG845" s="134">
        <f t="shared" si="824"/>
        <v>0</v>
      </c>
      <c r="CH845" s="133" t="e">
        <f t="shared" si="825"/>
        <v>#DIV/0!</v>
      </c>
    </row>
    <row r="846" spans="1:86" s="121" customFormat="1">
      <c r="A846" s="125">
        <f t="shared" si="827"/>
        <v>0</v>
      </c>
      <c r="B846" s="125"/>
      <c r="D846" s="121" t="s">
        <v>197</v>
      </c>
      <c r="G846" s="124"/>
      <c r="H846" s="124"/>
      <c r="I846" s="122"/>
      <c r="M846" s="123"/>
      <c r="N846" s="121" t="s">
        <v>1972</v>
      </c>
      <c r="O846" s="121" t="s">
        <v>4205</v>
      </c>
      <c r="Q846" s="122">
        <f>3357*2.4</f>
        <v>8056.7999999999993</v>
      </c>
      <c r="R846" s="122"/>
      <c r="S846" s="122"/>
      <c r="T846" s="122"/>
      <c r="BD846" s="120"/>
      <c r="BE846" s="120">
        <f t="shared" si="828"/>
        <v>0</v>
      </c>
      <c r="BF846" s="137">
        <f t="shared" si="826"/>
        <v>0</v>
      </c>
      <c r="BG846" s="120"/>
      <c r="BH846" s="120"/>
      <c r="BI846" s="120"/>
      <c r="BJ846" s="120"/>
      <c r="BK846" s="120"/>
      <c r="BL846" s="120"/>
      <c r="BM846" s="120"/>
      <c r="BN846" s="120"/>
      <c r="BO846" s="120"/>
      <c r="BP846" s="120"/>
      <c r="BQ846" s="124"/>
      <c r="BR846" s="120"/>
      <c r="BS846" s="120"/>
      <c r="BT846" s="120"/>
      <c r="BU846" s="120"/>
      <c r="BV846" s="120"/>
      <c r="BW846" s="120"/>
      <c r="BZ846" s="136">
        <f t="shared" si="817"/>
        <v>0</v>
      </c>
      <c r="CA846" s="136">
        <f t="shared" si="818"/>
        <v>0</v>
      </c>
      <c r="CB846" s="136">
        <f t="shared" si="819"/>
        <v>0</v>
      </c>
      <c r="CC846" s="136">
        <f t="shared" si="820"/>
        <v>0</v>
      </c>
      <c r="CD846" s="135">
        <f t="shared" si="821"/>
        <v>0</v>
      </c>
      <c r="CE846" s="135">
        <f t="shared" si="822"/>
        <v>0</v>
      </c>
      <c r="CF846" s="134">
        <f t="shared" si="823"/>
        <v>0</v>
      </c>
      <c r="CG846" s="134">
        <f t="shared" si="824"/>
        <v>0</v>
      </c>
      <c r="CH846" s="133" t="e">
        <f t="shared" si="825"/>
        <v>#DIV/0!</v>
      </c>
    </row>
    <row r="847" spans="1:86" s="121" customFormat="1">
      <c r="A847" s="125">
        <f t="shared" si="827"/>
        <v>0</v>
      </c>
      <c r="B847" s="125"/>
      <c r="D847" s="121" t="s">
        <v>215</v>
      </c>
      <c r="G847" s="124"/>
      <c r="H847" s="124"/>
      <c r="I847" s="122"/>
      <c r="M847" s="123"/>
      <c r="N847" s="121" t="s">
        <v>4151</v>
      </c>
      <c r="O847" s="121" t="s">
        <v>4150</v>
      </c>
      <c r="Q847" s="122">
        <f>3357*2.4</f>
        <v>8056.7999999999993</v>
      </c>
      <c r="R847" s="122"/>
      <c r="S847" s="122"/>
      <c r="T847" s="122"/>
      <c r="BD847" s="120"/>
      <c r="BE847" s="120">
        <f t="shared" si="828"/>
        <v>0</v>
      </c>
      <c r="BF847" s="137">
        <f t="shared" si="826"/>
        <v>0</v>
      </c>
      <c r="BG847" s="120"/>
      <c r="BH847" s="120"/>
      <c r="BI847" s="120"/>
      <c r="BJ847" s="120"/>
      <c r="BK847" s="120"/>
      <c r="BL847" s="120"/>
      <c r="BM847" s="120"/>
      <c r="BN847" s="120"/>
      <c r="BO847" s="120"/>
      <c r="BP847" s="120"/>
      <c r="BQ847" s="124"/>
      <c r="BR847" s="120"/>
      <c r="BS847" s="120"/>
      <c r="BT847" s="120"/>
      <c r="BU847" s="120"/>
      <c r="BV847" s="120"/>
      <c r="BW847" s="120"/>
      <c r="BZ847" s="136">
        <f>(BI847-BH847)*24</f>
        <v>0</v>
      </c>
      <c r="CA847" s="136">
        <f>(BK847-BJ847)*24</f>
        <v>0</v>
      </c>
      <c r="CB847" s="136">
        <f>(BN847-BM847)*24</f>
        <v>0</v>
      </c>
      <c r="CC847" s="136">
        <f>(BR847-BP847)*24</f>
        <v>0</v>
      </c>
      <c r="CD847" s="135">
        <f>(BT847-BS847)*24</f>
        <v>0</v>
      </c>
      <c r="CE847" s="135">
        <f>(BW847-BV847)*24</f>
        <v>0</v>
      </c>
      <c r="CF847" s="134">
        <f>SUM(BZ847:CE847)/24</f>
        <v>0</v>
      </c>
      <c r="CG847" s="134">
        <f>BF847</f>
        <v>0</v>
      </c>
      <c r="CH847" s="133" t="e">
        <f>CF847/CG847</f>
        <v>#DIV/0!</v>
      </c>
    </row>
    <row r="848" spans="1:86" s="121" customFormat="1">
      <c r="A848" s="125">
        <f t="shared" si="827"/>
        <v>0</v>
      </c>
      <c r="B848" s="125"/>
      <c r="D848" s="121" t="s">
        <v>1248</v>
      </c>
      <c r="G848" s="124"/>
      <c r="H848" s="124"/>
      <c r="I848" s="122"/>
      <c r="M848" s="123"/>
      <c r="N848" s="121" t="s">
        <v>4361</v>
      </c>
      <c r="O848" s="121" t="s">
        <v>4207</v>
      </c>
      <c r="Q848" s="122">
        <v>9200</v>
      </c>
      <c r="R848" s="122"/>
      <c r="S848" s="122"/>
      <c r="T848" s="122"/>
      <c r="BD848" s="120"/>
      <c r="BE848" s="120">
        <f t="shared" si="828"/>
        <v>0</v>
      </c>
      <c r="BF848" s="137">
        <f t="shared" si="826"/>
        <v>0</v>
      </c>
      <c r="BG848" s="120"/>
      <c r="BH848" s="120"/>
      <c r="BI848" s="120"/>
      <c r="BJ848" s="120"/>
      <c r="BK848" s="120"/>
      <c r="BL848" s="120"/>
      <c r="BM848" s="120"/>
      <c r="BN848" s="120"/>
      <c r="BO848" s="120"/>
      <c r="BP848" s="120"/>
      <c r="BQ848" s="124"/>
      <c r="BR848" s="120"/>
      <c r="BS848" s="120"/>
      <c r="BT848" s="120"/>
      <c r="BU848" s="120"/>
      <c r="BV848" s="120"/>
      <c r="BW848" s="120"/>
      <c r="BZ848" s="136">
        <f>(BI848-BH848)*24</f>
        <v>0</v>
      </c>
      <c r="CA848" s="136">
        <f>(BK848-BJ848)*24</f>
        <v>0</v>
      </c>
      <c r="CB848" s="136">
        <f>(BN848-BM848)*24</f>
        <v>0</v>
      </c>
      <c r="CC848" s="136">
        <f>(BR848-BP848)*24</f>
        <v>0</v>
      </c>
      <c r="CD848" s="135">
        <f>(BT848-BS848)*24</f>
        <v>0</v>
      </c>
      <c r="CE848" s="135">
        <f>(BW848-BV848)*24</f>
        <v>0</v>
      </c>
      <c r="CF848" s="134">
        <f>SUM(BZ848:CE848)/24</f>
        <v>0</v>
      </c>
      <c r="CG848" s="134">
        <f>BF848</f>
        <v>0</v>
      </c>
      <c r="CH848" s="133" t="e">
        <f>CF848/CG848</f>
        <v>#DIV/0!</v>
      </c>
    </row>
    <row r="849" spans="1:86" s="121" customFormat="1">
      <c r="A849" s="125">
        <f t="shared" si="827"/>
        <v>0</v>
      </c>
      <c r="B849" s="125"/>
      <c r="D849" s="121" t="s">
        <v>1248</v>
      </c>
      <c r="G849" s="124"/>
      <c r="H849" s="124"/>
      <c r="I849" s="122"/>
      <c r="M849" s="123"/>
      <c r="N849" s="121" t="s">
        <v>4362</v>
      </c>
      <c r="O849" s="121" t="s">
        <v>4363</v>
      </c>
      <c r="Q849" s="122">
        <v>10000</v>
      </c>
      <c r="R849" s="122"/>
      <c r="S849" s="122"/>
      <c r="T849" s="122"/>
      <c r="BD849" s="120"/>
      <c r="BE849" s="120">
        <f t="shared" si="828"/>
        <v>0</v>
      </c>
      <c r="BF849" s="137">
        <f t="shared" si="826"/>
        <v>0</v>
      </c>
      <c r="BG849" s="120"/>
      <c r="BH849" s="120"/>
      <c r="BI849" s="120"/>
      <c r="BJ849" s="120"/>
      <c r="BK849" s="120"/>
      <c r="BL849" s="120"/>
      <c r="BM849" s="120"/>
      <c r="BN849" s="120"/>
      <c r="BO849" s="120"/>
      <c r="BP849" s="120"/>
      <c r="BQ849" s="124"/>
      <c r="BR849" s="120"/>
      <c r="BS849" s="120"/>
      <c r="BT849" s="120"/>
      <c r="BU849" s="120"/>
      <c r="BV849" s="120"/>
      <c r="BW849" s="120"/>
      <c r="BZ849" s="136">
        <f>(BI849-BH849)*24</f>
        <v>0</v>
      </c>
      <c r="CA849" s="136">
        <f>(BK849-BJ849)*24</f>
        <v>0</v>
      </c>
      <c r="CB849" s="136">
        <f>(BN849-BM849)*24</f>
        <v>0</v>
      </c>
      <c r="CC849" s="136">
        <f>(BR849-BP849)*24</f>
        <v>0</v>
      </c>
      <c r="CD849" s="135">
        <f>(BT849-BS849)*24</f>
        <v>0</v>
      </c>
      <c r="CE849" s="135">
        <f>(BW849-BV849)*24</f>
        <v>0</v>
      </c>
      <c r="CF849" s="134">
        <f>SUM(BZ849:CE849)/24</f>
        <v>0</v>
      </c>
      <c r="CG849" s="134">
        <f>BF849</f>
        <v>0</v>
      </c>
      <c r="CH849" s="133" t="e">
        <f>CF849/CG849</f>
        <v>#DIV/0!</v>
      </c>
    </row>
    <row r="850" spans="1:86" ht="13.95" customHeight="1"/>
    <row r="851" spans="1:86">
      <c r="BG851" s="1284"/>
      <c r="BH851" s="1284"/>
      <c r="BO851" s="1284"/>
      <c r="BP851" s="1284"/>
    </row>
    <row r="852" spans="1:86">
      <c r="BG852" s="1478" t="s">
        <v>4364</v>
      </c>
      <c r="BH852" s="1478"/>
      <c r="BO852" s="1478" t="s">
        <v>4364</v>
      </c>
      <c r="BP852" s="1478"/>
    </row>
    <row r="853" spans="1:86">
      <c r="BG853" s="1478" t="s">
        <v>1117</v>
      </c>
      <c r="BH853" s="1478"/>
      <c r="BO853" s="1478" t="s">
        <v>1118</v>
      </c>
      <c r="BP853" s="1478"/>
    </row>
    <row r="854" spans="1:86">
      <c r="BG854" s="120">
        <v>45289.458333333336</v>
      </c>
      <c r="BH854" s="120">
        <v>45289.625</v>
      </c>
      <c r="BO854" s="120">
        <v>45289.25</v>
      </c>
      <c r="BP854" s="120">
        <v>45289.416666666664</v>
      </c>
    </row>
    <row r="855" spans="1:86">
      <c r="BG855" s="120">
        <v>45290.458333333336</v>
      </c>
      <c r="BH855" s="120">
        <v>45290.625</v>
      </c>
      <c r="BO855" s="120">
        <v>45290.25</v>
      </c>
      <c r="BP855" s="120">
        <v>45290.416666666664</v>
      </c>
    </row>
    <row r="856" spans="1:86">
      <c r="BG856" s="120">
        <v>45291.5</v>
      </c>
      <c r="BH856" s="120">
        <v>45291.666666666664</v>
      </c>
      <c r="BO856" s="120">
        <v>45291.291666666664</v>
      </c>
      <c r="BP856" s="120">
        <v>45291.458333333328</v>
      </c>
    </row>
    <row r="857" spans="1:86">
      <c r="BG857" s="120">
        <v>45292.458333333336</v>
      </c>
      <c r="BH857" s="120">
        <v>45292.625</v>
      </c>
      <c r="BO857" s="120">
        <v>45292.25</v>
      </c>
      <c r="BP857" s="120">
        <v>45292.416666666664</v>
      </c>
    </row>
    <row r="858" spans="1:86">
      <c r="BG858" s="120">
        <v>45293.5</v>
      </c>
      <c r="BH858" s="120">
        <v>45293.666666666664</v>
      </c>
      <c r="BO858" s="120">
        <v>45293.291666608799</v>
      </c>
      <c r="BP858" s="120">
        <v>45293.458333275463</v>
      </c>
    </row>
    <row r="859" spans="1:86">
      <c r="BG859" s="120">
        <v>45294.5</v>
      </c>
      <c r="BH859" s="120">
        <v>45294.666666666664</v>
      </c>
      <c r="BO859" s="120">
        <v>45294.291666608799</v>
      </c>
      <c r="BP859" s="120">
        <v>45294.458333275463</v>
      </c>
    </row>
    <row r="860" spans="1:86">
      <c r="BG860" s="120">
        <v>45295.5</v>
      </c>
      <c r="BH860" s="120">
        <v>45295.666666666664</v>
      </c>
      <c r="BO860" s="120">
        <v>45295.291666608799</v>
      </c>
      <c r="BP860" s="120">
        <v>45295.458333275463</v>
      </c>
    </row>
    <row r="861" spans="1:86">
      <c r="BG861" s="120">
        <v>45296.541666666664</v>
      </c>
      <c r="BH861" s="120">
        <v>45296.708333333328</v>
      </c>
      <c r="BO861" s="120">
        <v>45296.333333333336</v>
      </c>
      <c r="BP861" s="120">
        <v>45296.5</v>
      </c>
    </row>
    <row r="862" spans="1:86">
      <c r="BG862" s="120">
        <v>45297.541666608799</v>
      </c>
      <c r="BH862" s="120">
        <v>45297.708333275463</v>
      </c>
      <c r="BO862" s="120">
        <v>45297.333333333336</v>
      </c>
      <c r="BP862" s="120">
        <v>45297.5</v>
      </c>
    </row>
    <row r="863" spans="1:86">
      <c r="BG863" s="120">
        <v>45298.25</v>
      </c>
      <c r="BH863" s="120">
        <v>45298.416666666664</v>
      </c>
      <c r="BO863" s="120">
        <v>45298.458333333336</v>
      </c>
      <c r="BP863" s="120">
        <v>45298.625</v>
      </c>
    </row>
    <row r="864" spans="1:86">
      <c r="BG864" s="120">
        <v>45299.25</v>
      </c>
      <c r="BH864" s="120">
        <v>45299.416666666664</v>
      </c>
      <c r="BO864" s="120">
        <v>45299.541666666664</v>
      </c>
      <c r="BP864" s="120">
        <v>45299.708333333328</v>
      </c>
    </row>
    <row r="865" spans="59:68">
      <c r="BG865" s="120">
        <v>45300.25</v>
      </c>
      <c r="BH865" s="120">
        <v>45300.416666666664</v>
      </c>
      <c r="BO865" s="120">
        <v>45300.541666666664</v>
      </c>
      <c r="BP865" s="120">
        <v>45300.708333333328</v>
      </c>
    </row>
    <row r="866" spans="59:68">
      <c r="BG866" s="120">
        <v>45301.25</v>
      </c>
      <c r="BH866" s="120">
        <v>45301.416666666664</v>
      </c>
      <c r="BO866" s="120">
        <v>45301.583333333336</v>
      </c>
      <c r="BP866" s="120">
        <v>45301.75</v>
      </c>
    </row>
    <row r="867" spans="59:68">
      <c r="BG867" s="120">
        <v>45302.25</v>
      </c>
      <c r="BH867" s="120">
        <v>45302.416666666664</v>
      </c>
      <c r="BO867" s="120">
        <v>45302.583333333336</v>
      </c>
      <c r="BP867" s="120">
        <v>45302.75</v>
      </c>
    </row>
    <row r="868" spans="59:68">
      <c r="BG868" s="120">
        <v>45303.4375</v>
      </c>
      <c r="BH868" s="120">
        <v>45303.604166666664</v>
      </c>
      <c r="BO868" s="120">
        <v>45303.229166666664</v>
      </c>
      <c r="BP868" s="120">
        <v>45303.395833333328</v>
      </c>
    </row>
    <row r="869" spans="59:68">
      <c r="BG869" s="120">
        <v>45304.4375</v>
      </c>
      <c r="BH869" s="120">
        <v>45304.604166666664</v>
      </c>
      <c r="BO869" s="120">
        <v>45304.229166608799</v>
      </c>
      <c r="BP869" s="120">
        <v>45304.395833275463</v>
      </c>
    </row>
    <row r="870" spans="59:68">
      <c r="BG870" s="120">
        <v>45305.4375</v>
      </c>
      <c r="BH870" s="120">
        <v>45305.604166666664</v>
      </c>
      <c r="BO870" s="120">
        <v>45305.229166608799</v>
      </c>
      <c r="BP870" s="120">
        <v>45305.395833275463</v>
      </c>
    </row>
    <row r="871" spans="59:68">
      <c r="BG871" s="120">
        <v>45306.458333333336</v>
      </c>
      <c r="BH871" s="120">
        <v>45306.625</v>
      </c>
      <c r="BO871" s="120">
        <v>45306.25</v>
      </c>
      <c r="BP871" s="120">
        <v>45306.416666666664</v>
      </c>
    </row>
    <row r="872" spans="59:68">
      <c r="BG872" s="120">
        <v>45307.458333333336</v>
      </c>
      <c r="BH872" s="120">
        <v>45307.625</v>
      </c>
      <c r="BO872" s="120">
        <v>45307.25</v>
      </c>
      <c r="BP872" s="120">
        <v>45307.416666666664</v>
      </c>
    </row>
    <row r="873" spans="59:68">
      <c r="BG873" s="120">
        <v>45308.5</v>
      </c>
      <c r="BH873" s="120">
        <v>45308.666666666664</v>
      </c>
      <c r="BO873" s="120">
        <v>45308.291666666664</v>
      </c>
      <c r="BP873" s="120">
        <v>45308.458333333328</v>
      </c>
    </row>
    <row r="874" spans="59:68">
      <c r="BG874" s="120">
        <v>45309.541666666664</v>
      </c>
      <c r="BH874" s="120">
        <v>45309.708333333328</v>
      </c>
      <c r="BO874" s="120">
        <v>45309.333333333336</v>
      </c>
      <c r="BP874" s="120">
        <v>45309.5</v>
      </c>
    </row>
    <row r="875" spans="59:68">
      <c r="BG875" s="120">
        <v>45310.541666608799</v>
      </c>
      <c r="BH875" s="120">
        <v>45310.708333275463</v>
      </c>
      <c r="BO875" s="120">
        <v>45310.333333333336</v>
      </c>
      <c r="BP875" s="120">
        <v>45310.5</v>
      </c>
    </row>
    <row r="876" spans="59:68">
      <c r="BG876" s="120">
        <v>45311.541666608799</v>
      </c>
      <c r="BH876" s="120">
        <v>45311.708333275463</v>
      </c>
      <c r="BO876" s="120">
        <v>45311.333333333336</v>
      </c>
      <c r="BP876" s="120">
        <v>45311.5</v>
      </c>
    </row>
    <row r="877" spans="59:68">
      <c r="BG877" s="120">
        <v>45312.541666608799</v>
      </c>
      <c r="BH877" s="120">
        <v>45312.708333275463</v>
      </c>
      <c r="BO877" s="120">
        <v>45312.333333333336</v>
      </c>
      <c r="BP877" s="120">
        <v>45312.5</v>
      </c>
    </row>
    <row r="878" spans="59:68">
      <c r="BG878" s="120">
        <v>45313.25</v>
      </c>
      <c r="BH878" s="120">
        <v>45313.416666666664</v>
      </c>
      <c r="BO878" s="120">
        <v>45313.541666666664</v>
      </c>
      <c r="BP878" s="120">
        <v>45313.708333333328</v>
      </c>
    </row>
    <row r="879" spans="59:68">
      <c r="BG879" s="120">
        <v>45314.25</v>
      </c>
      <c r="BH879" s="120">
        <v>45314.416666666664</v>
      </c>
      <c r="BO879" s="120">
        <v>45314.541666608799</v>
      </c>
      <c r="BP879" s="120">
        <v>45314.708333275463</v>
      </c>
    </row>
    <row r="880" spans="59:68">
      <c r="BG880" s="120">
        <v>45315.25</v>
      </c>
      <c r="BH880" s="120">
        <v>45315.416666666664</v>
      </c>
      <c r="BO880" s="120">
        <v>45315.583333333336</v>
      </c>
      <c r="BP880" s="120">
        <v>45315.75</v>
      </c>
    </row>
    <row r="881" spans="59:68">
      <c r="BG881" s="120">
        <v>45316.4375</v>
      </c>
      <c r="BH881" s="120">
        <v>45316.604166666664</v>
      </c>
      <c r="BO881" s="120">
        <v>45316.229166666664</v>
      </c>
      <c r="BP881" s="120">
        <v>45316.395833333328</v>
      </c>
    </row>
    <row r="882" spans="59:68">
      <c r="BG882" s="120">
        <v>45317.4375</v>
      </c>
      <c r="BH882" s="120">
        <v>45317.604166666664</v>
      </c>
      <c r="BO882" s="120">
        <v>45317.229166608799</v>
      </c>
      <c r="BP882" s="120">
        <v>45317.395833275463</v>
      </c>
    </row>
    <row r="883" spans="59:68">
      <c r="BG883" s="120">
        <v>45318.4375</v>
      </c>
      <c r="BH883" s="120">
        <v>45318.604166666664</v>
      </c>
      <c r="BO883" s="120">
        <v>45318.229166608799</v>
      </c>
      <c r="BP883" s="120">
        <v>45318.395833275463</v>
      </c>
    </row>
    <row r="884" spans="59:68">
      <c r="BG884" s="120">
        <v>45319.458333333336</v>
      </c>
      <c r="BH884" s="120">
        <v>45319.625</v>
      </c>
      <c r="BO884" s="120">
        <v>45319.25</v>
      </c>
      <c r="BP884" s="120">
        <v>45319.416666666664</v>
      </c>
    </row>
    <row r="885" spans="59:68">
      <c r="BG885" s="120">
        <v>45320.458333333336</v>
      </c>
      <c r="BH885" s="120">
        <v>45320.625</v>
      </c>
      <c r="BO885" s="120">
        <v>45320.25</v>
      </c>
      <c r="BP885" s="120">
        <v>45320.416666666664</v>
      </c>
    </row>
    <row r="886" spans="59:68">
      <c r="BG886" s="120">
        <v>45321.458333333336</v>
      </c>
      <c r="BH886" s="120">
        <v>45321.625</v>
      </c>
      <c r="BO886" s="120">
        <v>45321.25</v>
      </c>
      <c r="BP886" s="120">
        <v>45321.416666666664</v>
      </c>
    </row>
    <row r="887" spans="59:68">
      <c r="BG887" s="120">
        <v>45322.458333333336</v>
      </c>
      <c r="BH887" s="120">
        <v>45322.625</v>
      </c>
      <c r="BO887" s="120">
        <v>45322.25</v>
      </c>
      <c r="BP887" s="120">
        <v>45322.416666666664</v>
      </c>
    </row>
    <row r="888" spans="59:68">
      <c r="BO888" s="120"/>
    </row>
    <row r="889" spans="59:68">
      <c r="BO889" s="120"/>
    </row>
  </sheetData>
  <sortState xmlns:xlrd2="http://schemas.microsoft.com/office/spreadsheetml/2017/richdata2" ref="A291:CJ351">
    <sortCondition ref="BG291:BG351"/>
  </sortState>
  <mergeCells count="85">
    <mergeCell ref="A160:D160"/>
    <mergeCell ref="M1:M2"/>
    <mergeCell ref="A1:A2"/>
    <mergeCell ref="B1:B2"/>
    <mergeCell ref="S1:S2"/>
    <mergeCell ref="R1:R2"/>
    <mergeCell ref="I1:I2"/>
    <mergeCell ref="J1:J2"/>
    <mergeCell ref="K1:K2"/>
    <mergeCell ref="L1:L2"/>
    <mergeCell ref="C1:C2"/>
    <mergeCell ref="D1:D2"/>
    <mergeCell ref="E1:F2"/>
    <mergeCell ref="G1:G2"/>
    <mergeCell ref="H1:H2"/>
    <mergeCell ref="N1:N2"/>
    <mergeCell ref="O1:O2"/>
    <mergeCell ref="P1:P2"/>
    <mergeCell ref="Q1:Q2"/>
    <mergeCell ref="AI1:BC1"/>
    <mergeCell ref="BW1:BW2"/>
    <mergeCell ref="U1:W1"/>
    <mergeCell ref="BG1:BG2"/>
    <mergeCell ref="BH1:BH2"/>
    <mergeCell ref="BI1:BI2"/>
    <mergeCell ref="BJ1:BJ2"/>
    <mergeCell ref="BK1:BK2"/>
    <mergeCell ref="BL1:BL2"/>
    <mergeCell ref="Z1:AA1"/>
    <mergeCell ref="X1:Y1"/>
    <mergeCell ref="AD1:AH1"/>
    <mergeCell ref="BU1:BU2"/>
    <mergeCell ref="BD1:BD2"/>
    <mergeCell ref="BE1:BE2"/>
    <mergeCell ref="BF1:BF2"/>
    <mergeCell ref="BX1:BX2"/>
    <mergeCell ref="BZ1:BZ2"/>
    <mergeCell ref="BM1:BM2"/>
    <mergeCell ref="BN1:BN2"/>
    <mergeCell ref="BO1:BO2"/>
    <mergeCell ref="BP1:BP2"/>
    <mergeCell ref="BQ1:BQ2"/>
    <mergeCell ref="BS1:BS2"/>
    <mergeCell ref="BT1:BT2"/>
    <mergeCell ref="BR1:BR2"/>
    <mergeCell ref="BV1:BV2"/>
    <mergeCell ref="CF1:CF2"/>
    <mergeCell ref="CG1:CG2"/>
    <mergeCell ref="CH1:CH2"/>
    <mergeCell ref="CD1:CD2"/>
    <mergeCell ref="CE1:CE2"/>
    <mergeCell ref="CB1:CB2"/>
    <mergeCell ref="CC1:CC2"/>
    <mergeCell ref="CA1:CA2"/>
    <mergeCell ref="BG853:BH853"/>
    <mergeCell ref="A278:D278"/>
    <mergeCell ref="BO853:BP853"/>
    <mergeCell ref="A280:D280"/>
    <mergeCell ref="A282:D282"/>
    <mergeCell ref="A284:D284"/>
    <mergeCell ref="A286:D286"/>
    <mergeCell ref="BG851:BH851"/>
    <mergeCell ref="BO851:BP851"/>
    <mergeCell ref="BG852:BH852"/>
    <mergeCell ref="BO852:BP852"/>
    <mergeCell ref="A264:D264"/>
    <mergeCell ref="A250:D250"/>
    <mergeCell ref="A276:D276"/>
    <mergeCell ref="A254:D254"/>
    <mergeCell ref="A246:D246"/>
    <mergeCell ref="A270:D270"/>
    <mergeCell ref="A274:D274"/>
    <mergeCell ref="A260:D260"/>
    <mergeCell ref="A272:D272"/>
    <mergeCell ref="A258:D258"/>
    <mergeCell ref="A266:D266"/>
    <mergeCell ref="A262:D262"/>
    <mergeCell ref="A268:D268"/>
    <mergeCell ref="A252:D252"/>
    <mergeCell ref="A163:D163"/>
    <mergeCell ref="A244:D244"/>
    <mergeCell ref="A256:D256"/>
    <mergeCell ref="A248:D248"/>
    <mergeCell ref="A197:D197"/>
    <mergeCell ref="A173:D173"/>
  </mergeCells>
  <pageMargins left="0.7" right="0.7" top="0.75" bottom="0.75" header="0.3" footer="0.3"/>
  <pageSetup orientation="portrait" r:id="rId1"/>
  <ignoredErrors>
    <ignoredError sqref="BJ276:BK287 BJ289:BK289 BK288 BK242:BK243" formula="1"/>
  </ignoredError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B2:BE558"/>
  <sheetViews>
    <sheetView topLeftCell="A522" zoomScaleNormal="100" workbookViewId="0">
      <selection activeCell="B530" sqref="B530:C530"/>
    </sheetView>
  </sheetViews>
  <sheetFormatPr defaultColWidth="9.33203125" defaultRowHeight="10.199999999999999"/>
  <cols>
    <col min="1" max="1" width="1.33203125" style="554" customWidth="1"/>
    <col min="2" max="2" width="5.44140625" style="554" customWidth="1"/>
    <col min="3" max="3" width="8.33203125" style="554" customWidth="1"/>
    <col min="4" max="4" width="10.5546875" style="554" customWidth="1"/>
    <col min="5" max="5" width="1.5546875" style="554" bestFit="1" customWidth="1"/>
    <col min="6" max="6" width="19.109375" style="554" customWidth="1"/>
    <col min="7" max="7" width="17.33203125" style="554" customWidth="1"/>
    <col min="8" max="8" width="11" style="554" bestFit="1" customWidth="1"/>
    <col min="9" max="9" width="17.44140625" style="554" customWidth="1"/>
    <col min="10" max="10" width="15.5546875" style="554" customWidth="1"/>
    <col min="11" max="11" width="1.44140625" style="554" customWidth="1"/>
    <col min="12" max="12" width="12.6640625" style="554" customWidth="1"/>
    <col min="13" max="13" width="11.33203125" style="554" customWidth="1"/>
    <col min="14" max="14" width="23.44140625" style="1042" bestFit="1" customWidth="1"/>
    <col min="15" max="15" width="1.5546875" style="554" customWidth="1"/>
    <col min="16" max="16" width="7.5546875" style="554" customWidth="1"/>
    <col min="17" max="17" width="3.5546875" style="554" customWidth="1"/>
    <col min="18" max="18" width="5.5546875" style="554" customWidth="1"/>
    <col min="19" max="19" width="1.5546875" style="554" customWidth="1"/>
    <col min="20" max="20" width="9" style="554" customWidth="1"/>
    <col min="21" max="21" width="9.6640625" style="554" customWidth="1"/>
    <col min="22" max="22" width="11.44140625" style="554" customWidth="1"/>
    <col min="23" max="23" width="9.6640625" style="554" customWidth="1"/>
    <col min="24" max="24" width="10.5546875" style="554" customWidth="1"/>
    <col min="25" max="27" width="9.6640625" style="554" customWidth="1"/>
    <col min="28" max="28" width="10" style="554" customWidth="1"/>
    <col min="29" max="30" width="11.6640625" style="554" bestFit="1" customWidth="1"/>
    <col min="31" max="31" width="11.33203125" style="554" bestFit="1" customWidth="1"/>
    <col min="32" max="32" width="11.5546875" style="554" bestFit="1" customWidth="1"/>
    <col min="33" max="34" width="10.88671875" style="554" bestFit="1" customWidth="1"/>
    <col min="35" max="35" width="11.33203125" style="554" bestFit="1" customWidth="1"/>
    <col min="36" max="36" width="10.88671875" style="554" bestFit="1" customWidth="1"/>
    <col min="37" max="37" width="12.5546875" style="554" bestFit="1" customWidth="1"/>
    <col min="38" max="38" width="10.33203125" style="554" bestFit="1" customWidth="1"/>
    <col min="39" max="39" width="10.5546875" style="554" bestFit="1" customWidth="1"/>
    <col min="40" max="40" width="10.33203125" style="554" bestFit="1" customWidth="1"/>
    <col min="41" max="41" width="10.5546875" style="554" bestFit="1" customWidth="1"/>
    <col min="42" max="42" width="10.33203125" style="554" bestFit="1" customWidth="1"/>
    <col min="43" max="43" width="10.5546875" style="554" bestFit="1" customWidth="1"/>
    <col min="44" max="44" width="9.6640625" style="554" bestFit="1" customWidth="1"/>
    <col min="45" max="47" width="9.33203125" style="554" bestFit="1" customWidth="1"/>
    <col min="48" max="48" width="10.88671875" style="554" bestFit="1" customWidth="1"/>
    <col min="49" max="53" width="9.109375" style="554" bestFit="1" customWidth="1"/>
    <col min="54" max="54" width="9.6640625" style="554" bestFit="1" customWidth="1"/>
    <col min="55" max="56" width="9.33203125" style="554" bestFit="1" customWidth="1"/>
    <col min="57" max="57" width="11.88671875" style="554" bestFit="1" customWidth="1"/>
    <col min="58" max="16384" width="9.33203125" style="554"/>
  </cols>
  <sheetData>
    <row r="2" spans="2:57">
      <c r="B2" s="680" t="s">
        <v>126</v>
      </c>
      <c r="C2" s="680"/>
      <c r="D2" s="681"/>
      <c r="E2" s="682" t="s">
        <v>511</v>
      </c>
      <c r="F2" s="683" t="s">
        <v>3162</v>
      </c>
      <c r="G2" s="598"/>
      <c r="H2" s="684"/>
      <c r="I2" s="685"/>
      <c r="J2" s="686" t="s">
        <v>513</v>
      </c>
      <c r="K2" s="687" t="s">
        <v>511</v>
      </c>
      <c r="L2" s="516">
        <v>45261.050694444442</v>
      </c>
      <c r="M2" s="598"/>
      <c r="N2" s="598"/>
      <c r="O2" s="687"/>
      <c r="P2" s="684"/>
      <c r="Q2" s="688"/>
      <c r="R2" s="689"/>
      <c r="S2" s="690"/>
      <c r="T2" s="598"/>
      <c r="U2" s="598"/>
      <c r="V2" s="598"/>
      <c r="W2" s="598"/>
      <c r="X2" s="598"/>
      <c r="Y2" s="598"/>
      <c r="Z2" s="598"/>
      <c r="AA2" s="598"/>
      <c r="AB2" s="688"/>
      <c r="AC2" s="688"/>
      <c r="AD2" s="688"/>
      <c r="AE2" s="688"/>
      <c r="AF2" s="688"/>
      <c r="AG2" s="598"/>
      <c r="AH2" s="598"/>
      <c r="AI2" s="598"/>
      <c r="AJ2" s="598"/>
      <c r="AK2" s="598"/>
      <c r="AL2" s="598"/>
      <c r="AM2" s="598"/>
      <c r="AN2" s="598"/>
      <c r="AO2" s="598"/>
      <c r="AP2" s="598"/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</row>
    <row r="3" spans="2:57">
      <c r="B3" s="686" t="s">
        <v>514</v>
      </c>
      <c r="C3" s="686"/>
      <c r="D3" s="598"/>
      <c r="E3" s="687" t="s">
        <v>511</v>
      </c>
      <c r="F3" s="691" t="s">
        <v>4365</v>
      </c>
      <c r="G3" s="598"/>
      <c r="H3" s="684"/>
      <c r="I3" s="685"/>
      <c r="J3" s="686" t="s">
        <v>516</v>
      </c>
      <c r="K3" s="687" t="s">
        <v>511</v>
      </c>
      <c r="L3" s="516">
        <v>45262.98333333333</v>
      </c>
      <c r="M3" s="598"/>
      <c r="N3" s="598"/>
      <c r="O3" s="687"/>
      <c r="P3" s="684"/>
      <c r="Q3" s="688"/>
      <c r="R3" s="689"/>
      <c r="S3" s="690"/>
      <c r="T3" s="598"/>
      <c r="U3" s="598"/>
      <c r="V3" s="598"/>
      <c r="W3" s="598"/>
      <c r="X3" s="598"/>
      <c r="Y3" s="598"/>
      <c r="Z3" s="598"/>
      <c r="AA3" s="598"/>
      <c r="AB3" s="688"/>
      <c r="AC3" s="688"/>
      <c r="AD3" s="688"/>
      <c r="AE3" s="688"/>
      <c r="AF3" s="688"/>
      <c r="AG3" s="598"/>
      <c r="AH3" s="598"/>
      <c r="AI3" s="598"/>
      <c r="AJ3" s="598"/>
      <c r="AK3" s="598"/>
      <c r="AL3" s="598"/>
      <c r="AM3" s="598"/>
      <c r="AN3" s="598"/>
      <c r="AO3" s="598"/>
      <c r="AP3" s="598"/>
      <c r="AQ3" s="598"/>
      <c r="AR3" s="598"/>
      <c r="AS3" s="598"/>
      <c r="AT3" s="598"/>
      <c r="AU3" s="598"/>
      <c r="AV3" s="598"/>
      <c r="AW3" s="598"/>
      <c r="AX3" s="598"/>
      <c r="AY3" s="598"/>
      <c r="AZ3" s="598"/>
      <c r="BA3" s="598"/>
      <c r="BB3" s="598"/>
      <c r="BC3" s="598"/>
      <c r="BD3" s="598"/>
      <c r="BE3" s="598"/>
    </row>
    <row r="4" spans="2:57">
      <c r="B4" s="686" t="s">
        <v>517</v>
      </c>
      <c r="C4" s="686"/>
      <c r="D4" s="598"/>
      <c r="E4" s="687" t="s">
        <v>511</v>
      </c>
      <c r="F4" s="516">
        <v>45256.779166666667</v>
      </c>
      <c r="G4" s="598"/>
      <c r="H4" s="684"/>
      <c r="I4" s="685"/>
      <c r="J4" s="686" t="s">
        <v>518</v>
      </c>
      <c r="K4" s="687" t="s">
        <v>511</v>
      </c>
      <c r="L4" s="692">
        <v>64350</v>
      </c>
      <c r="M4" s="693" t="s">
        <v>519</v>
      </c>
      <c r="N4" s="693"/>
      <c r="O4" s="687"/>
      <c r="P4" s="684"/>
      <c r="Q4" s="688"/>
      <c r="R4" s="689"/>
      <c r="S4" s="690"/>
      <c r="T4" s="598"/>
      <c r="U4" s="598"/>
      <c r="V4" s="598"/>
      <c r="W4" s="598"/>
      <c r="X4" s="598"/>
      <c r="Y4" s="598"/>
      <c r="Z4" s="598"/>
      <c r="AA4" s="598"/>
      <c r="AB4" s="688"/>
      <c r="AC4" s="688"/>
      <c r="AD4" s="688"/>
      <c r="AE4" s="688"/>
      <c r="AF4" s="688"/>
      <c r="AG4" s="598"/>
      <c r="AH4" s="598"/>
      <c r="AI4" s="598"/>
      <c r="AJ4" s="598"/>
      <c r="AK4" s="598"/>
      <c r="AL4" s="598"/>
      <c r="AM4" s="598"/>
      <c r="AN4" s="598"/>
      <c r="AO4" s="598"/>
      <c r="AP4" s="598"/>
      <c r="AQ4" s="598"/>
      <c r="AR4" s="598"/>
      <c r="AS4" s="598"/>
      <c r="AT4" s="598"/>
      <c r="AU4" s="598"/>
      <c r="AV4" s="598"/>
      <c r="AW4" s="598"/>
      <c r="AX4" s="598"/>
      <c r="AY4" s="598"/>
      <c r="AZ4" s="598"/>
      <c r="BA4" s="598"/>
      <c r="BB4" s="598"/>
      <c r="BC4" s="598"/>
      <c r="BD4" s="598"/>
      <c r="BE4" s="598"/>
    </row>
    <row r="5" spans="2:57">
      <c r="B5" s="686" t="s">
        <v>520</v>
      </c>
      <c r="C5" s="686"/>
      <c r="D5" s="598"/>
      <c r="E5" s="687" t="s">
        <v>511</v>
      </c>
      <c r="F5" s="516" t="s">
        <v>20</v>
      </c>
      <c r="G5" s="598"/>
      <c r="H5" s="684"/>
      <c r="I5" s="685"/>
      <c r="J5" s="686" t="s">
        <v>521</v>
      </c>
      <c r="K5" s="687" t="s">
        <v>511</v>
      </c>
      <c r="L5" s="839" t="s">
        <v>3163</v>
      </c>
      <c r="M5" s="598"/>
      <c r="N5" s="598"/>
      <c r="O5" s="687"/>
      <c r="P5" s="688"/>
      <c r="Q5" s="688"/>
      <c r="R5" s="689"/>
      <c r="S5" s="690"/>
      <c r="T5" s="598"/>
      <c r="U5" s="598"/>
      <c r="V5" s="598"/>
      <c r="W5" s="598"/>
      <c r="X5" s="598"/>
      <c r="Y5" s="598"/>
      <c r="Z5" s="598"/>
      <c r="AA5" s="598"/>
      <c r="AB5" s="688"/>
      <c r="AC5" s="688"/>
      <c r="AD5" s="688"/>
      <c r="AE5" s="688"/>
      <c r="AF5" s="688"/>
      <c r="AG5" s="598"/>
      <c r="AH5" s="598"/>
      <c r="AI5" s="598"/>
      <c r="AJ5" s="598"/>
      <c r="AK5" s="598"/>
      <c r="AL5" s="598"/>
      <c r="AM5" s="598"/>
      <c r="AN5" s="598"/>
      <c r="AO5" s="598"/>
      <c r="AP5" s="598"/>
      <c r="AQ5" s="598"/>
      <c r="AR5" s="598"/>
      <c r="AS5" s="598"/>
      <c r="AT5" s="598"/>
      <c r="AU5" s="598"/>
      <c r="AV5" s="598"/>
      <c r="AW5" s="598"/>
      <c r="AX5" s="598"/>
      <c r="AY5" s="598"/>
      <c r="AZ5" s="598"/>
      <c r="BA5" s="598"/>
      <c r="BB5" s="598"/>
      <c r="BC5" s="598"/>
      <c r="BD5" s="598"/>
      <c r="BE5" s="598"/>
    </row>
    <row r="6" spans="2:57">
      <c r="B6" s="686" t="s">
        <v>523</v>
      </c>
      <c r="C6" s="686"/>
      <c r="D6" s="598"/>
      <c r="E6" s="687" t="s">
        <v>511</v>
      </c>
      <c r="F6" s="516" t="s">
        <v>47</v>
      </c>
      <c r="G6" s="598"/>
      <c r="H6" s="684"/>
      <c r="I6" s="685"/>
      <c r="J6" s="686" t="s">
        <v>524</v>
      </c>
      <c r="K6" s="687" t="s">
        <v>511</v>
      </c>
      <c r="L6" s="694" t="s">
        <v>15</v>
      </c>
      <c r="M6" s="695"/>
      <c r="N6" s="695"/>
      <c r="O6" s="687"/>
      <c r="P6" s="684"/>
      <c r="Q6" s="688"/>
      <c r="R6" s="689"/>
      <c r="S6" s="690"/>
      <c r="T6" s="598"/>
      <c r="U6" s="598"/>
      <c r="V6" s="598"/>
      <c r="W6" s="598"/>
      <c r="X6" s="598"/>
      <c r="Y6" s="598"/>
      <c r="Z6" s="598"/>
      <c r="AA6" s="598"/>
      <c r="AB6" s="688"/>
      <c r="AC6" s="688"/>
      <c r="AD6" s="688"/>
      <c r="AE6" s="688"/>
      <c r="AF6" s="688"/>
      <c r="AG6" s="598"/>
      <c r="AH6" s="598"/>
      <c r="AI6" s="598"/>
      <c r="AJ6" s="598"/>
      <c r="AK6" s="598"/>
      <c r="AL6" s="598"/>
      <c r="AM6" s="598"/>
      <c r="AN6" s="598"/>
      <c r="AO6" s="598"/>
      <c r="AP6" s="598"/>
      <c r="AQ6" s="598"/>
      <c r="AR6" s="598"/>
      <c r="AS6" s="598"/>
      <c r="AT6" s="598"/>
      <c r="AU6" s="598"/>
      <c r="AV6" s="598"/>
      <c r="AW6" s="598"/>
      <c r="AX6" s="598"/>
      <c r="AY6" s="598"/>
      <c r="AZ6" s="598"/>
      <c r="BA6" s="598"/>
      <c r="BB6" s="598"/>
      <c r="BC6" s="598"/>
      <c r="BD6" s="598"/>
      <c r="BE6" s="598"/>
    </row>
    <row r="7" spans="2:57">
      <c r="B7" s="686" t="s">
        <v>2</v>
      </c>
      <c r="C7" s="686"/>
      <c r="D7" s="598"/>
      <c r="E7" s="687" t="s">
        <v>511</v>
      </c>
      <c r="F7" s="516" t="s">
        <v>14</v>
      </c>
      <c r="G7" s="598"/>
      <c r="H7" s="684"/>
      <c r="I7" s="696"/>
      <c r="J7" s="686"/>
      <c r="K7" s="687"/>
      <c r="L7" s="516"/>
      <c r="M7" s="598"/>
      <c r="N7" s="598"/>
      <c r="O7" s="686"/>
      <c r="P7" s="695"/>
      <c r="Q7" s="695"/>
      <c r="R7" s="695"/>
      <c r="S7" s="685"/>
      <c r="T7" s="598"/>
      <c r="U7" s="598"/>
      <c r="V7" s="598"/>
      <c r="W7" s="598"/>
      <c r="X7" s="598"/>
      <c r="Y7" s="598"/>
      <c r="Z7" s="598"/>
      <c r="AA7" s="598"/>
      <c r="AB7" s="685"/>
      <c r="AC7" s="685"/>
      <c r="AD7" s="685"/>
      <c r="AE7" s="685"/>
      <c r="AF7" s="685"/>
      <c r="AG7" s="685"/>
      <c r="AH7" s="685"/>
      <c r="AI7" s="685"/>
      <c r="AJ7" s="685"/>
      <c r="AK7" s="685"/>
      <c r="AL7" s="685"/>
      <c r="AM7" s="685"/>
      <c r="AN7" s="685"/>
      <c r="AO7" s="598"/>
      <c r="AP7" s="598"/>
      <c r="AQ7" s="598"/>
      <c r="AR7" s="598"/>
      <c r="AS7" s="598"/>
      <c r="AT7" s="598"/>
      <c r="AU7" s="598"/>
      <c r="AV7" s="598"/>
      <c r="AW7" s="598"/>
      <c r="AX7" s="598"/>
      <c r="AY7" s="598"/>
      <c r="AZ7" s="598"/>
      <c r="BA7" s="598"/>
      <c r="BB7" s="598"/>
      <c r="BC7" s="598"/>
      <c r="BD7" s="598"/>
      <c r="BE7" s="598"/>
    </row>
    <row r="8" spans="2:57">
      <c r="B8" s="598"/>
      <c r="C8" s="598"/>
      <c r="D8" s="598"/>
      <c r="E8" s="598"/>
      <c r="F8" s="598"/>
      <c r="G8" s="598"/>
      <c r="H8" s="598"/>
      <c r="I8" s="696"/>
      <c r="J8" s="686"/>
      <c r="K8" s="686"/>
      <c r="L8" s="694"/>
      <c r="M8" s="695"/>
      <c r="N8" s="695"/>
      <c r="O8" s="686"/>
      <c r="P8" s="695"/>
      <c r="Q8" s="695"/>
      <c r="R8" s="695"/>
      <c r="S8" s="685"/>
      <c r="T8" s="1440" t="s">
        <v>87</v>
      </c>
      <c r="U8" s="1440"/>
      <c r="V8" s="1440"/>
      <c r="W8" s="1440"/>
      <c r="X8" s="1440"/>
      <c r="Y8" s="1440" t="s">
        <v>73</v>
      </c>
      <c r="Z8" s="1440"/>
      <c r="AA8" s="1440"/>
      <c r="AB8" s="1440" t="s">
        <v>74</v>
      </c>
      <c r="AC8" s="1440"/>
      <c r="AD8" s="697" t="s">
        <v>85</v>
      </c>
      <c r="AE8" s="840" t="s">
        <v>77</v>
      </c>
      <c r="AF8" s="1465" t="s">
        <v>525</v>
      </c>
      <c r="AG8" s="1465"/>
      <c r="AH8" s="1465"/>
      <c r="AI8" s="1465"/>
      <c r="AJ8" s="1465"/>
      <c r="AK8" s="1465"/>
      <c r="AL8" s="1465"/>
      <c r="AM8" s="1465"/>
      <c r="AN8" s="1465"/>
      <c r="AO8" s="1465"/>
      <c r="AP8" s="1465"/>
      <c r="AQ8" s="1465"/>
      <c r="AR8" s="1465"/>
      <c r="AS8" s="1465"/>
      <c r="AT8" s="1465"/>
      <c r="AU8" s="1465"/>
      <c r="AV8" s="1465"/>
      <c r="AW8" s="1465"/>
      <c r="AX8" s="1465"/>
      <c r="AY8" s="1465"/>
      <c r="AZ8" s="1465"/>
      <c r="BA8" s="1465"/>
      <c r="BB8" s="1465"/>
      <c r="BC8" s="1465"/>
      <c r="BD8" s="1465"/>
      <c r="BE8" s="598"/>
    </row>
    <row r="9" spans="2:57">
      <c r="B9" s="1441" t="s">
        <v>526</v>
      </c>
      <c r="C9" s="1442"/>
      <c r="D9" s="698" t="s">
        <v>527</v>
      </c>
      <c r="E9" s="698"/>
      <c r="F9" s="698" t="s">
        <v>528</v>
      </c>
      <c r="G9" s="698" t="s">
        <v>529</v>
      </c>
      <c r="H9" s="698" t="s">
        <v>530</v>
      </c>
      <c r="I9" s="698" t="s">
        <v>531</v>
      </c>
      <c r="J9" s="698" t="s">
        <v>532</v>
      </c>
      <c r="K9" s="698"/>
      <c r="L9" s="698" t="s">
        <v>130</v>
      </c>
      <c r="M9" s="698" t="s">
        <v>533</v>
      </c>
      <c r="N9" s="1040" t="str">
        <f>"On time - "&amp;COUNTIF(N10:N20,"On time")&amp;" from "&amp;ROWS(N10:N20)-COUNTIF(N10:N20," ")</f>
        <v>On time - 8 from 8</v>
      </c>
      <c r="O9" s="699"/>
      <c r="P9" s="700" t="s">
        <v>534</v>
      </c>
      <c r="Q9" s="700" t="s">
        <v>535</v>
      </c>
      <c r="R9" s="700" t="s">
        <v>536</v>
      </c>
      <c r="S9" s="598"/>
      <c r="T9" s="701" t="s">
        <v>537</v>
      </c>
      <c r="U9" s="701" t="s">
        <v>538</v>
      </c>
      <c r="V9" s="701" t="s">
        <v>539</v>
      </c>
      <c r="W9" s="701" t="s">
        <v>540</v>
      </c>
      <c r="X9" s="701" t="s">
        <v>541</v>
      </c>
      <c r="Y9" s="701" t="s">
        <v>167</v>
      </c>
      <c r="Z9" s="701" t="s">
        <v>168</v>
      </c>
      <c r="AA9" s="701" t="s">
        <v>169</v>
      </c>
      <c r="AB9" s="701" t="s">
        <v>235</v>
      </c>
      <c r="AC9" s="701" t="s">
        <v>240</v>
      </c>
      <c r="AD9" s="697" t="s">
        <v>85</v>
      </c>
      <c r="AE9" s="701" t="s">
        <v>139</v>
      </c>
      <c r="AF9" s="841" t="s">
        <v>72</v>
      </c>
      <c r="AG9" s="841" t="s">
        <v>88</v>
      </c>
      <c r="AH9" s="841" t="s">
        <v>75</v>
      </c>
      <c r="AI9" s="841" t="s">
        <v>543</v>
      </c>
      <c r="AJ9" s="841" t="s">
        <v>78</v>
      </c>
      <c r="AK9" s="841" t="s">
        <v>76</v>
      </c>
      <c r="AL9" s="841" t="s">
        <v>544</v>
      </c>
      <c r="AM9" s="841" t="s">
        <v>545</v>
      </c>
      <c r="AN9" s="841" t="s">
        <v>86</v>
      </c>
      <c r="AO9" s="841" t="s">
        <v>83</v>
      </c>
      <c r="AP9" s="841" t="s">
        <v>84</v>
      </c>
      <c r="AQ9" s="841" t="s">
        <v>546</v>
      </c>
      <c r="AR9" s="841" t="s">
        <v>81</v>
      </c>
      <c r="AS9" s="841" t="s">
        <v>80</v>
      </c>
      <c r="AT9" s="841" t="s">
        <v>82</v>
      </c>
      <c r="AU9" s="841" t="s">
        <v>181</v>
      </c>
      <c r="AV9" s="841" t="s">
        <v>183</v>
      </c>
      <c r="AW9" s="841" t="s">
        <v>547</v>
      </c>
      <c r="AX9" s="841" t="s">
        <v>182</v>
      </c>
      <c r="AY9" s="841" t="s">
        <v>172</v>
      </c>
      <c r="AZ9" s="841" t="s">
        <v>173</v>
      </c>
      <c r="BA9" s="841" t="s">
        <v>184</v>
      </c>
      <c r="BB9" s="841" t="s">
        <v>100</v>
      </c>
      <c r="BC9" s="841" t="s">
        <v>913</v>
      </c>
      <c r="BD9" s="841" t="s">
        <v>2747</v>
      </c>
      <c r="BE9" s="598"/>
    </row>
    <row r="10" spans="2:57">
      <c r="B10" s="1326" t="s">
        <v>548</v>
      </c>
      <c r="C10" s="1327"/>
      <c r="D10" s="501" t="s">
        <v>3541</v>
      </c>
      <c r="E10" s="501"/>
      <c r="F10" s="501" t="s">
        <v>358</v>
      </c>
      <c r="G10" s="501" t="s">
        <v>359</v>
      </c>
      <c r="H10" s="629">
        <v>9211.7620000000006</v>
      </c>
      <c r="I10" s="505" t="s">
        <v>235</v>
      </c>
      <c r="J10" s="504">
        <v>45253.270833333336</v>
      </c>
      <c r="K10" s="504"/>
      <c r="L10" s="504" t="s">
        <v>192</v>
      </c>
      <c r="M10" s="504" t="s">
        <v>192</v>
      </c>
      <c r="N10" s="505" t="str">
        <f t="shared" ref="N10:N20" si="0">IF(ISBLANK(J10)," ",IF(J10&lt;$G$70,"On time",(IF(DAY(J10-$G$70)&lt;1,"On time",(IF(J10&gt;$G$70,"DELAY ( "&amp;DAY(J10-$G$70)&amp;" day "&amp;HOUR(J10-$G$70)&amp;" hour "&amp;MINUTE(J10-$G$70)&amp;" minute )","xxx"))))))</f>
        <v>On time</v>
      </c>
      <c r="O10" s="597"/>
      <c r="P10" s="507" t="s">
        <v>551</v>
      </c>
      <c r="Q10" s="507" t="s">
        <v>551</v>
      </c>
      <c r="R10" s="507" t="s">
        <v>551</v>
      </c>
      <c r="S10" s="598"/>
      <c r="T10" s="599"/>
      <c r="U10" s="599"/>
      <c r="V10" s="599"/>
      <c r="W10" s="599"/>
      <c r="X10" s="599"/>
      <c r="Y10" s="599"/>
      <c r="Z10" s="599"/>
      <c r="AA10" s="599"/>
      <c r="AB10" s="599">
        <f>H10</f>
        <v>9211.7620000000006</v>
      </c>
      <c r="AC10" s="599"/>
      <c r="AD10" s="599"/>
      <c r="AE10" s="599"/>
      <c r="AF10" s="599"/>
      <c r="AG10" s="599"/>
      <c r="AH10" s="599"/>
      <c r="AI10" s="599"/>
      <c r="AJ10" s="599"/>
      <c r="AK10" s="599"/>
      <c r="AL10" s="599"/>
      <c r="AM10" s="599"/>
      <c r="AN10" s="599"/>
      <c r="AO10" s="599"/>
      <c r="AP10" s="599"/>
      <c r="AQ10" s="599"/>
      <c r="AR10" s="599"/>
      <c r="AS10" s="599"/>
      <c r="AT10" s="599"/>
      <c r="AU10" s="599"/>
      <c r="AV10" s="599"/>
      <c r="AW10" s="599"/>
      <c r="AX10" s="599"/>
      <c r="AY10" s="599"/>
      <c r="AZ10" s="599"/>
      <c r="BA10" s="599"/>
      <c r="BB10" s="599"/>
      <c r="BC10" s="599"/>
      <c r="BD10" s="599"/>
      <c r="BE10" s="598"/>
    </row>
    <row r="11" spans="2:57">
      <c r="B11" s="1326" t="s">
        <v>548</v>
      </c>
      <c r="C11" s="1327"/>
      <c r="D11" s="501" t="s">
        <v>3542</v>
      </c>
      <c r="E11" s="501"/>
      <c r="F11" s="501" t="s">
        <v>226</v>
      </c>
      <c r="G11" s="501" t="s">
        <v>227</v>
      </c>
      <c r="H11" s="629">
        <v>7628.8450000000003</v>
      </c>
      <c r="I11" s="505" t="s">
        <v>235</v>
      </c>
      <c r="J11" s="504">
        <v>45254.583333333336</v>
      </c>
      <c r="K11" s="504"/>
      <c r="L11" s="504" t="s">
        <v>192</v>
      </c>
      <c r="M11" s="504" t="s">
        <v>192</v>
      </c>
      <c r="N11" s="505" t="str">
        <f t="shared" si="0"/>
        <v>On time</v>
      </c>
      <c r="O11" s="597"/>
      <c r="P11" s="507" t="s">
        <v>551</v>
      </c>
      <c r="Q11" s="507" t="s">
        <v>551</v>
      </c>
      <c r="R11" s="507" t="s">
        <v>551</v>
      </c>
      <c r="S11" s="598"/>
      <c r="T11" s="599"/>
      <c r="U11" s="599"/>
      <c r="V11" s="599"/>
      <c r="W11" s="599"/>
      <c r="X11" s="599"/>
      <c r="Y11" s="599"/>
      <c r="Z11" s="599"/>
      <c r="AA11" s="599"/>
      <c r="AB11" s="599">
        <f>H11</f>
        <v>7628.8450000000003</v>
      </c>
      <c r="AC11" s="599"/>
      <c r="AD11" s="599"/>
      <c r="AE11" s="599"/>
      <c r="AF11" s="599"/>
      <c r="AG11" s="599"/>
      <c r="AH11" s="599"/>
      <c r="AI11" s="599"/>
      <c r="AJ11" s="599"/>
      <c r="AK11" s="599"/>
      <c r="AL11" s="599"/>
      <c r="AM11" s="599"/>
      <c r="AN11" s="599"/>
      <c r="AO11" s="599"/>
      <c r="AP11" s="599"/>
      <c r="AQ11" s="599"/>
      <c r="AR11" s="599"/>
      <c r="AS11" s="599"/>
      <c r="AT11" s="599"/>
      <c r="AU11" s="599"/>
      <c r="AV11" s="599"/>
      <c r="AW11" s="599"/>
      <c r="AX11" s="599"/>
      <c r="AY11" s="599"/>
      <c r="AZ11" s="599"/>
      <c r="BA11" s="599"/>
      <c r="BB11" s="599"/>
      <c r="BC11" s="599"/>
      <c r="BD11" s="599"/>
      <c r="BE11" s="598"/>
    </row>
    <row r="12" spans="2:57">
      <c r="B12" s="1326" t="s">
        <v>548</v>
      </c>
      <c r="C12" s="1327"/>
      <c r="D12" s="501" t="s">
        <v>3544</v>
      </c>
      <c r="E12" s="501"/>
      <c r="F12" s="501" t="s">
        <v>271</v>
      </c>
      <c r="G12" s="501" t="s">
        <v>272</v>
      </c>
      <c r="H12" s="629">
        <v>9049.2060000000001</v>
      </c>
      <c r="I12" s="505" t="s">
        <v>742</v>
      </c>
      <c r="J12" s="504">
        <v>45254.135416666664</v>
      </c>
      <c r="K12" s="504"/>
      <c r="L12" s="504" t="s">
        <v>192</v>
      </c>
      <c r="M12" s="504" t="s">
        <v>192</v>
      </c>
      <c r="N12" s="505" t="str">
        <f t="shared" si="0"/>
        <v>On time</v>
      </c>
      <c r="O12" s="597"/>
      <c r="P12" s="507" t="s">
        <v>551</v>
      </c>
      <c r="Q12" s="507" t="s">
        <v>551</v>
      </c>
      <c r="R12" s="507" t="s">
        <v>551</v>
      </c>
      <c r="S12" s="598"/>
      <c r="T12" s="599"/>
      <c r="U12" s="599"/>
      <c r="V12" s="599"/>
      <c r="W12" s="599"/>
      <c r="X12" s="599"/>
      <c r="Y12" s="599"/>
      <c r="Z12" s="599"/>
      <c r="AA12" s="599"/>
      <c r="AB12" s="599">
        <f>H12*0.7</f>
        <v>6334.4441999999999</v>
      </c>
      <c r="AC12" s="599">
        <f>H12*0.3</f>
        <v>2714.7617999999998</v>
      </c>
      <c r="AD12" s="599"/>
      <c r="AE12" s="599"/>
      <c r="AF12" s="599"/>
      <c r="AG12" s="599"/>
      <c r="AH12" s="599"/>
      <c r="AI12" s="599"/>
      <c r="AJ12" s="599"/>
      <c r="AK12" s="599"/>
      <c r="AL12" s="599"/>
      <c r="AM12" s="599"/>
      <c r="AN12" s="599"/>
      <c r="AO12" s="599"/>
      <c r="AP12" s="598"/>
      <c r="AQ12" s="599"/>
      <c r="AR12" s="599"/>
      <c r="AS12" s="599"/>
      <c r="AT12" s="599"/>
      <c r="AU12" s="599"/>
      <c r="AV12" s="599"/>
      <c r="AW12" s="599"/>
      <c r="AX12" s="599"/>
      <c r="AY12" s="599"/>
      <c r="AZ12" s="599"/>
      <c r="BA12" s="599"/>
      <c r="BB12" s="599"/>
      <c r="BC12" s="599"/>
      <c r="BD12" s="599"/>
      <c r="BE12" s="598"/>
    </row>
    <row r="13" spans="2:57">
      <c r="B13" s="1326" t="s">
        <v>548</v>
      </c>
      <c r="C13" s="1327"/>
      <c r="D13" s="501" t="s">
        <v>3543</v>
      </c>
      <c r="E13" s="501"/>
      <c r="F13" s="501" t="s">
        <v>361</v>
      </c>
      <c r="G13" s="501" t="s">
        <v>362</v>
      </c>
      <c r="H13" s="629">
        <v>7421.415</v>
      </c>
      <c r="I13" s="505" t="s">
        <v>742</v>
      </c>
      <c r="J13" s="504">
        <v>45254.270833333336</v>
      </c>
      <c r="K13" s="504"/>
      <c r="L13" s="504" t="s">
        <v>192</v>
      </c>
      <c r="M13" s="504" t="s">
        <v>192</v>
      </c>
      <c r="N13" s="505" t="str">
        <f t="shared" si="0"/>
        <v>On time</v>
      </c>
      <c r="O13" s="597"/>
      <c r="P13" s="507" t="s">
        <v>551</v>
      </c>
      <c r="Q13" s="507" t="s">
        <v>551</v>
      </c>
      <c r="R13" s="507" t="s">
        <v>551</v>
      </c>
      <c r="S13" s="598"/>
      <c r="T13" s="599"/>
      <c r="U13" s="599"/>
      <c r="V13" s="599"/>
      <c r="W13" s="599"/>
      <c r="X13" s="599"/>
      <c r="Y13" s="599"/>
      <c r="Z13" s="599"/>
      <c r="AA13" s="599"/>
      <c r="AB13" s="599">
        <f>H13*0.7</f>
        <v>5194.9904999999999</v>
      </c>
      <c r="AC13" s="599">
        <f>H13*0.3</f>
        <v>2226.4245000000001</v>
      </c>
      <c r="AD13" s="599"/>
      <c r="AE13" s="599"/>
      <c r="AF13" s="599"/>
      <c r="AG13" s="599"/>
      <c r="AH13" s="599"/>
      <c r="AI13" s="599"/>
      <c r="AJ13" s="599"/>
      <c r="AK13" s="599"/>
      <c r="AL13" s="599"/>
      <c r="AM13" s="599"/>
      <c r="AN13" s="599"/>
      <c r="AO13" s="599"/>
      <c r="AP13" s="598"/>
      <c r="AQ13" s="599"/>
      <c r="AR13" s="599"/>
      <c r="AS13" s="599"/>
      <c r="AT13" s="599"/>
      <c r="AU13" s="599"/>
      <c r="AV13" s="599"/>
      <c r="AW13" s="599"/>
      <c r="AX13" s="599"/>
      <c r="AY13" s="599"/>
      <c r="AZ13" s="599"/>
      <c r="BA13" s="599"/>
      <c r="BB13" s="599"/>
      <c r="BC13" s="599"/>
      <c r="BD13" s="599"/>
      <c r="BE13" s="598"/>
    </row>
    <row r="14" spans="2:57">
      <c r="B14" s="1326" t="s">
        <v>548</v>
      </c>
      <c r="C14" s="1327"/>
      <c r="D14" s="501" t="s">
        <v>3545</v>
      </c>
      <c r="E14" s="501"/>
      <c r="F14" s="501" t="s">
        <v>3546</v>
      </c>
      <c r="G14" s="501" t="s">
        <v>1308</v>
      </c>
      <c r="H14" s="629">
        <v>5400.2449999999999</v>
      </c>
      <c r="I14" s="505" t="s">
        <v>742</v>
      </c>
      <c r="J14" s="504">
        <v>45256.034722222219</v>
      </c>
      <c r="K14" s="504"/>
      <c r="L14" s="504" t="s">
        <v>192</v>
      </c>
      <c r="M14" s="504" t="s">
        <v>192</v>
      </c>
      <c r="N14" s="505" t="str">
        <f t="shared" si="0"/>
        <v>On time</v>
      </c>
      <c r="O14" s="597"/>
      <c r="P14" s="507" t="s">
        <v>551</v>
      </c>
      <c r="Q14" s="507" t="s">
        <v>551</v>
      </c>
      <c r="R14" s="507" t="s">
        <v>551</v>
      </c>
      <c r="S14" s="598"/>
      <c r="T14" s="599"/>
      <c r="U14" s="599"/>
      <c r="V14" s="599"/>
      <c r="W14" s="599"/>
      <c r="X14" s="599"/>
      <c r="Y14" s="599"/>
      <c r="Z14" s="599"/>
      <c r="AA14" s="599"/>
      <c r="AB14" s="599">
        <f>H14*0.7</f>
        <v>3780.1714999999995</v>
      </c>
      <c r="AC14" s="599">
        <f>H14*0.3</f>
        <v>1620.0735</v>
      </c>
      <c r="AD14" s="599"/>
      <c r="AE14" s="599"/>
      <c r="AF14" s="599"/>
      <c r="AG14" s="599"/>
      <c r="AH14" s="599"/>
      <c r="AI14" s="599"/>
      <c r="AJ14" s="599"/>
      <c r="AK14" s="599"/>
      <c r="AL14" s="599"/>
      <c r="AM14" s="599"/>
      <c r="AN14" s="599"/>
      <c r="AO14" s="599"/>
      <c r="AP14" s="599"/>
      <c r="AQ14" s="599"/>
      <c r="AR14" s="599"/>
      <c r="AS14" s="599"/>
      <c r="AT14" s="599"/>
      <c r="AU14" s="599"/>
      <c r="AV14" s="599"/>
      <c r="AW14" s="599"/>
      <c r="AX14" s="599"/>
      <c r="AY14" s="599"/>
      <c r="AZ14" s="599"/>
      <c r="BA14" s="599"/>
      <c r="BB14" s="599"/>
      <c r="BC14" s="599"/>
      <c r="BD14" s="599"/>
      <c r="BE14" s="598"/>
    </row>
    <row r="15" spans="2:57">
      <c r="B15" s="1326" t="s">
        <v>548</v>
      </c>
      <c r="C15" s="1327"/>
      <c r="D15" s="501" t="s">
        <v>3643</v>
      </c>
      <c r="E15" s="501"/>
      <c r="F15" s="501" t="s">
        <v>3644</v>
      </c>
      <c r="G15" s="501" t="s">
        <v>3645</v>
      </c>
      <c r="H15" s="629">
        <f>8501.443</f>
        <v>8501.4429999999993</v>
      </c>
      <c r="I15" s="505" t="s">
        <v>184</v>
      </c>
      <c r="J15" s="504">
        <v>45254.604166666664</v>
      </c>
      <c r="K15" s="504"/>
      <c r="L15" s="504" t="s">
        <v>192</v>
      </c>
      <c r="M15" s="504" t="s">
        <v>192</v>
      </c>
      <c r="N15" s="505" t="str">
        <f t="shared" si="0"/>
        <v>On time</v>
      </c>
      <c r="O15" s="597"/>
      <c r="P15" s="507" t="s">
        <v>551</v>
      </c>
      <c r="Q15" s="507" t="s">
        <v>551</v>
      </c>
      <c r="R15" s="507" t="s">
        <v>551</v>
      </c>
      <c r="S15" s="598"/>
      <c r="T15" s="599"/>
      <c r="U15" s="599"/>
      <c r="V15" s="599"/>
      <c r="W15" s="599"/>
      <c r="X15" s="599"/>
      <c r="Y15" s="599"/>
      <c r="Z15" s="599"/>
      <c r="AA15" s="599"/>
      <c r="AB15" s="599"/>
      <c r="AC15" s="599"/>
      <c r="AD15" s="599"/>
      <c r="AE15" s="599"/>
      <c r="AF15" s="599"/>
      <c r="AG15" s="599"/>
      <c r="AH15" s="599"/>
      <c r="AI15" s="599"/>
      <c r="AJ15" s="599"/>
      <c r="AK15" s="599"/>
      <c r="AL15" s="599"/>
      <c r="AM15" s="599"/>
      <c r="AN15" s="599"/>
      <c r="AO15" s="599"/>
      <c r="AP15" s="598"/>
      <c r="AQ15" s="599"/>
      <c r="AR15" s="599"/>
      <c r="AS15" s="599"/>
      <c r="AT15" s="599"/>
      <c r="AU15" s="599"/>
      <c r="AV15" s="598"/>
      <c r="AW15" s="599"/>
      <c r="AX15" s="599"/>
      <c r="AY15" s="599"/>
      <c r="AZ15" s="599"/>
      <c r="BA15" s="599">
        <f>H15</f>
        <v>8501.4429999999993</v>
      </c>
      <c r="BB15" s="599"/>
      <c r="BC15" s="599"/>
      <c r="BD15" s="599"/>
      <c r="BE15" s="598"/>
    </row>
    <row r="16" spans="2:57">
      <c r="B16" s="1326" t="s">
        <v>548</v>
      </c>
      <c r="C16" s="1327"/>
      <c r="D16" s="501" t="s">
        <v>3547</v>
      </c>
      <c r="E16" s="501"/>
      <c r="F16" s="501" t="s">
        <v>257</v>
      </c>
      <c r="G16" s="501" t="s">
        <v>258</v>
      </c>
      <c r="H16" s="629">
        <v>7441.1890000000003</v>
      </c>
      <c r="I16" s="505" t="s">
        <v>742</v>
      </c>
      <c r="J16" s="504">
        <v>45255.104166666664</v>
      </c>
      <c r="K16" s="504"/>
      <c r="L16" s="504" t="s">
        <v>192</v>
      </c>
      <c r="M16" s="504" t="s">
        <v>192</v>
      </c>
      <c r="N16" s="505" t="str">
        <f t="shared" si="0"/>
        <v>On time</v>
      </c>
      <c r="O16" s="597"/>
      <c r="P16" s="507" t="s">
        <v>551</v>
      </c>
      <c r="Q16" s="507" t="s">
        <v>551</v>
      </c>
      <c r="R16" s="507" t="s">
        <v>551</v>
      </c>
      <c r="S16" s="598"/>
      <c r="T16" s="599"/>
      <c r="U16" s="599"/>
      <c r="V16" s="599"/>
      <c r="W16" s="599"/>
      <c r="X16" s="599"/>
      <c r="Y16" s="599"/>
      <c r="Z16" s="599"/>
      <c r="AA16" s="599"/>
      <c r="AB16" s="599">
        <f>H16*0.7</f>
        <v>5208.8323</v>
      </c>
      <c r="AC16" s="599">
        <f>H16*0.3</f>
        <v>2232.3566999999998</v>
      </c>
      <c r="AD16" s="599"/>
      <c r="AE16" s="599"/>
      <c r="AF16" s="599"/>
      <c r="AG16" s="599"/>
      <c r="AH16" s="599"/>
      <c r="AI16" s="599"/>
      <c r="AJ16" s="599"/>
      <c r="AK16" s="599"/>
      <c r="AL16" s="599"/>
      <c r="AM16" s="599"/>
      <c r="AN16" s="599"/>
      <c r="AO16" s="599"/>
      <c r="AP16" s="598"/>
      <c r="AQ16" s="599"/>
      <c r="AR16" s="599"/>
      <c r="AS16" s="599"/>
      <c r="AT16" s="599"/>
      <c r="AU16" s="599"/>
      <c r="AV16" s="599"/>
      <c r="AW16" s="599"/>
      <c r="AX16" s="599"/>
      <c r="AY16" s="599"/>
      <c r="AZ16" s="599"/>
      <c r="BA16" s="599"/>
      <c r="BB16" s="599"/>
      <c r="BC16" s="599"/>
      <c r="BD16" s="599"/>
      <c r="BE16" s="598"/>
    </row>
    <row r="17" spans="2:57">
      <c r="B17" s="1326" t="s">
        <v>548</v>
      </c>
      <c r="C17" s="1327"/>
      <c r="D17" s="501" t="s">
        <v>3479</v>
      </c>
      <c r="E17" s="501"/>
      <c r="F17" s="501" t="s">
        <v>222</v>
      </c>
      <c r="G17" s="501" t="s">
        <v>223</v>
      </c>
      <c r="H17" s="629">
        <v>7500</v>
      </c>
      <c r="I17" s="505" t="s">
        <v>78</v>
      </c>
      <c r="J17" s="504">
        <v>45256.159722222219</v>
      </c>
      <c r="K17" s="504"/>
      <c r="L17" s="504" t="s">
        <v>192</v>
      </c>
      <c r="M17" s="504" t="s">
        <v>192</v>
      </c>
      <c r="N17" s="505" t="str">
        <f t="shared" si="0"/>
        <v>On time</v>
      </c>
      <c r="O17" s="597"/>
      <c r="P17" s="507" t="s">
        <v>551</v>
      </c>
      <c r="Q17" s="507" t="s">
        <v>551</v>
      </c>
      <c r="R17" s="507" t="s">
        <v>551</v>
      </c>
      <c r="S17" s="598"/>
      <c r="T17" s="599"/>
      <c r="U17" s="599"/>
      <c r="V17" s="599"/>
      <c r="W17" s="599"/>
      <c r="X17" s="599"/>
      <c r="Y17" s="599"/>
      <c r="Z17" s="599"/>
      <c r="AA17" s="599"/>
      <c r="AB17" s="599"/>
      <c r="AC17" s="599"/>
      <c r="AD17" s="599"/>
      <c r="AE17" s="599"/>
      <c r="AF17" s="599"/>
      <c r="AG17" s="599"/>
      <c r="AH17" s="599"/>
      <c r="AI17" s="599"/>
      <c r="AJ17" s="599">
        <f>H17</f>
        <v>7500</v>
      </c>
      <c r="AK17" s="599"/>
      <c r="AL17" s="599"/>
      <c r="AM17" s="599"/>
      <c r="AN17" s="599"/>
      <c r="AO17" s="599"/>
      <c r="AP17" s="599"/>
      <c r="AQ17" s="599"/>
      <c r="AR17" s="599"/>
      <c r="AS17" s="599"/>
      <c r="AT17" s="599"/>
      <c r="AU17" s="599"/>
      <c r="AV17" s="599"/>
      <c r="AW17" s="599"/>
      <c r="AX17" s="599"/>
      <c r="AY17" s="599"/>
      <c r="AZ17" s="599"/>
      <c r="BA17" s="599"/>
      <c r="BB17" s="599"/>
      <c r="BC17" s="599"/>
      <c r="BD17" s="599"/>
      <c r="BE17" s="598"/>
    </row>
    <row r="18" spans="2:57">
      <c r="B18" s="1315" t="s">
        <v>610</v>
      </c>
      <c r="C18" s="1464"/>
      <c r="D18" s="1464"/>
      <c r="E18" s="1464"/>
      <c r="F18" s="1464"/>
      <c r="G18" s="1316"/>
      <c r="H18" s="629">
        <f>H20-SUM(H10:H17)</f>
        <v>2195.8949999999968</v>
      </c>
      <c r="I18" s="584" t="s">
        <v>1164</v>
      </c>
      <c r="J18" s="574"/>
      <c r="K18" s="574"/>
      <c r="L18" s="574"/>
      <c r="M18" s="574"/>
      <c r="N18" s="505" t="str">
        <f t="shared" si="0"/>
        <v xml:space="preserve"> </v>
      </c>
      <c r="O18" s="597"/>
      <c r="P18" s="507" t="s">
        <v>551</v>
      </c>
      <c r="Q18" s="507"/>
      <c r="R18" s="507"/>
      <c r="S18" s="598"/>
      <c r="T18" s="599"/>
      <c r="U18" s="599"/>
      <c r="V18" s="599"/>
      <c r="W18" s="599"/>
      <c r="X18" s="599">
        <f>H18</f>
        <v>2195.8949999999968</v>
      </c>
      <c r="Y18" s="599"/>
      <c r="Z18" s="599"/>
      <c r="AA18" s="599"/>
      <c r="AB18" s="599"/>
      <c r="AC18" s="599"/>
      <c r="AD18" s="599"/>
      <c r="AE18" s="599"/>
      <c r="AF18" s="599"/>
      <c r="AG18" s="599"/>
      <c r="AH18" s="599"/>
      <c r="AI18" s="599"/>
      <c r="AJ18" s="599"/>
      <c r="AK18" s="599"/>
      <c r="AL18" s="599"/>
      <c r="AM18" s="599"/>
      <c r="AN18" s="599"/>
      <c r="AO18" s="599"/>
      <c r="AP18" s="599"/>
      <c r="AQ18" s="599"/>
      <c r="AR18" s="599"/>
      <c r="AS18" s="599"/>
      <c r="AT18" s="599"/>
      <c r="AU18" s="599"/>
      <c r="AV18" s="599"/>
      <c r="AW18" s="599"/>
      <c r="AX18" s="599"/>
      <c r="AY18" s="599"/>
      <c r="AZ18" s="599"/>
      <c r="BA18" s="599"/>
      <c r="BB18" s="599"/>
      <c r="BC18" s="599"/>
      <c r="BD18" s="599"/>
      <c r="BE18" s="598"/>
    </row>
    <row r="19" spans="2:57">
      <c r="B19" s="1351" t="s">
        <v>556</v>
      </c>
      <c r="C19" s="1352"/>
      <c r="D19" s="1352"/>
      <c r="E19" s="1352"/>
      <c r="F19" s="1352"/>
      <c r="G19" s="1353"/>
      <c r="H19" s="1041">
        <f>SUM(H10:H18)</f>
        <v>64350</v>
      </c>
      <c r="I19" s="868"/>
      <c r="J19" s="869"/>
      <c r="K19" s="869"/>
      <c r="L19" s="869"/>
      <c r="M19" s="869"/>
      <c r="N19" s="505" t="str">
        <f t="shared" si="0"/>
        <v xml:space="preserve"> </v>
      </c>
      <c r="O19" s="552"/>
      <c r="P19" s="706"/>
      <c r="Q19" s="706"/>
      <c r="R19" s="706"/>
      <c r="S19" s="598"/>
      <c r="T19" s="1432"/>
      <c r="U19" s="1433"/>
      <c r="V19" s="1433"/>
      <c r="W19" s="1433"/>
      <c r="X19" s="1433"/>
      <c r="Y19" s="1433"/>
      <c r="Z19" s="1433"/>
      <c r="AA19" s="1433"/>
      <c r="AB19" s="1433"/>
      <c r="AC19" s="1433"/>
      <c r="AD19" s="1433"/>
      <c r="AE19" s="1433"/>
      <c r="AF19" s="1433"/>
      <c r="AG19" s="1433"/>
      <c r="AH19" s="1433"/>
      <c r="AI19" s="1433"/>
      <c r="AJ19" s="1433"/>
      <c r="AK19" s="1433"/>
      <c r="AL19" s="1433"/>
      <c r="AM19" s="1433"/>
      <c r="AN19" s="1433"/>
      <c r="AO19" s="1433"/>
      <c r="AP19" s="1433"/>
      <c r="AQ19" s="1433"/>
      <c r="AR19" s="1433"/>
      <c r="AS19" s="1433"/>
      <c r="AT19" s="1433"/>
      <c r="AU19" s="1433"/>
      <c r="AV19" s="1433"/>
      <c r="AW19" s="1433"/>
      <c r="AX19" s="1433"/>
      <c r="AY19" s="1433"/>
      <c r="AZ19" s="1433"/>
      <c r="BA19" s="1433"/>
      <c r="BB19" s="1433"/>
      <c r="BC19" s="1433"/>
      <c r="BD19" s="1433"/>
    </row>
    <row r="20" spans="2:57">
      <c r="B20" s="1415" t="s">
        <v>557</v>
      </c>
      <c r="C20" s="1416"/>
      <c r="D20" s="1416"/>
      <c r="E20" s="1416"/>
      <c r="F20" s="1416"/>
      <c r="G20" s="1417"/>
      <c r="H20" s="845">
        <v>64350</v>
      </c>
      <c r="I20" s="1473"/>
      <c r="J20" s="1473"/>
      <c r="K20" s="1473"/>
      <c r="L20" s="1473"/>
      <c r="M20" s="1473"/>
      <c r="N20" s="505" t="str">
        <f t="shared" si="0"/>
        <v xml:space="preserve"> </v>
      </c>
      <c r="O20" s="598"/>
      <c r="P20" s="507"/>
      <c r="Q20" s="507"/>
      <c r="R20" s="507"/>
      <c r="S20" s="711"/>
      <c r="T20" s="599">
        <f t="shared" ref="T20:BD20" si="1">SUM(T10:T18)</f>
        <v>0</v>
      </c>
      <c r="U20" s="599">
        <f t="shared" si="1"/>
        <v>0</v>
      </c>
      <c r="V20" s="599">
        <f t="shared" si="1"/>
        <v>0</v>
      </c>
      <c r="W20" s="599">
        <f t="shared" si="1"/>
        <v>0</v>
      </c>
      <c r="X20" s="599">
        <f t="shared" si="1"/>
        <v>2195.8949999999968</v>
      </c>
      <c r="Y20" s="599">
        <f t="shared" si="1"/>
        <v>0</v>
      </c>
      <c r="Z20" s="599">
        <f t="shared" si="1"/>
        <v>0</v>
      </c>
      <c r="AA20" s="599">
        <f t="shared" si="1"/>
        <v>0</v>
      </c>
      <c r="AB20" s="599">
        <f t="shared" si="1"/>
        <v>37359.0455</v>
      </c>
      <c r="AC20" s="599">
        <f t="shared" si="1"/>
        <v>8793.6165000000001</v>
      </c>
      <c r="AD20" s="599">
        <f t="shared" si="1"/>
        <v>0</v>
      </c>
      <c r="AE20" s="599">
        <f t="shared" si="1"/>
        <v>0</v>
      </c>
      <c r="AF20" s="599">
        <f t="shared" si="1"/>
        <v>0</v>
      </c>
      <c r="AG20" s="599">
        <f t="shared" si="1"/>
        <v>0</v>
      </c>
      <c r="AH20" s="599">
        <f t="shared" si="1"/>
        <v>0</v>
      </c>
      <c r="AI20" s="599">
        <f t="shared" si="1"/>
        <v>0</v>
      </c>
      <c r="AJ20" s="599">
        <f t="shared" si="1"/>
        <v>7500</v>
      </c>
      <c r="AK20" s="599">
        <f t="shared" si="1"/>
        <v>0</v>
      </c>
      <c r="AL20" s="599">
        <f t="shared" si="1"/>
        <v>0</v>
      </c>
      <c r="AM20" s="599">
        <f t="shared" si="1"/>
        <v>0</v>
      </c>
      <c r="AN20" s="599">
        <f t="shared" si="1"/>
        <v>0</v>
      </c>
      <c r="AO20" s="599">
        <f t="shared" si="1"/>
        <v>0</v>
      </c>
      <c r="AP20" s="599">
        <f t="shared" si="1"/>
        <v>0</v>
      </c>
      <c r="AQ20" s="599">
        <f t="shared" si="1"/>
        <v>0</v>
      </c>
      <c r="AR20" s="599">
        <f t="shared" si="1"/>
        <v>0</v>
      </c>
      <c r="AS20" s="599">
        <f t="shared" si="1"/>
        <v>0</v>
      </c>
      <c r="AT20" s="599">
        <f t="shared" si="1"/>
        <v>0</v>
      </c>
      <c r="AU20" s="599">
        <f t="shared" si="1"/>
        <v>0</v>
      </c>
      <c r="AV20" s="599">
        <f t="shared" si="1"/>
        <v>0</v>
      </c>
      <c r="AW20" s="599">
        <f t="shared" si="1"/>
        <v>0</v>
      </c>
      <c r="AX20" s="599">
        <f t="shared" si="1"/>
        <v>0</v>
      </c>
      <c r="AY20" s="599">
        <f t="shared" si="1"/>
        <v>0</v>
      </c>
      <c r="AZ20" s="599">
        <f t="shared" si="1"/>
        <v>0</v>
      </c>
      <c r="BA20" s="599">
        <f t="shared" si="1"/>
        <v>8501.4429999999993</v>
      </c>
      <c r="BB20" s="599">
        <f t="shared" si="1"/>
        <v>0</v>
      </c>
      <c r="BC20" s="599">
        <f t="shared" si="1"/>
        <v>0</v>
      </c>
      <c r="BD20" s="599">
        <f t="shared" si="1"/>
        <v>0</v>
      </c>
      <c r="BE20" s="599">
        <f>SUM(T20:BD20)</f>
        <v>64350</v>
      </c>
    </row>
    <row r="21" spans="2:57">
      <c r="B21" s="1415" t="s">
        <v>558</v>
      </c>
      <c r="C21" s="1416"/>
      <c r="D21" s="1416"/>
      <c r="E21" s="1416"/>
      <c r="F21" s="1416"/>
      <c r="G21" s="1417"/>
      <c r="H21" s="712">
        <f>H20-L4</f>
        <v>0</v>
      </c>
      <c r="I21" s="716"/>
      <c r="J21" s="717"/>
      <c r="K21" s="717"/>
      <c r="L21" s="563"/>
      <c r="M21" s="598"/>
      <c r="N21" s="598"/>
      <c r="O21" s="598"/>
      <c r="P21" s="598"/>
      <c r="Q21" s="715"/>
      <c r="R21" s="715"/>
      <c r="S21" s="598"/>
      <c r="T21" s="688"/>
      <c r="U21" s="688"/>
      <c r="V21" s="688"/>
      <c r="W21" s="688"/>
      <c r="X21" s="688"/>
      <c r="Y21" s="688"/>
      <c r="Z21" s="688"/>
      <c r="AA21" s="688"/>
      <c r="AB21" s="688"/>
      <c r="AC21" s="598"/>
      <c r="AD21" s="598"/>
      <c r="AE21" s="598"/>
      <c r="AF21" s="598"/>
      <c r="AG21" s="598"/>
      <c r="AH21" s="598"/>
      <c r="AI21" s="598"/>
      <c r="AJ21" s="598"/>
      <c r="AK21" s="598"/>
      <c r="AL21" s="598"/>
      <c r="AM21" s="598"/>
      <c r="AN21" s="598"/>
      <c r="AO21" s="598"/>
      <c r="AP21" s="598"/>
      <c r="AQ21" s="598"/>
      <c r="AR21" s="598"/>
    </row>
    <row r="22" spans="2:57">
      <c r="B22" s="1415" t="s">
        <v>559</v>
      </c>
      <c r="C22" s="1416"/>
      <c r="D22" s="1416"/>
      <c r="E22" s="1416"/>
      <c r="F22" s="1416"/>
      <c r="G22" s="1417"/>
      <c r="H22" s="747">
        <f>H19-H20</f>
        <v>0</v>
      </c>
      <c r="I22" s="716"/>
      <c r="J22" s="717"/>
      <c r="K22" s="717"/>
      <c r="L22" s="563"/>
      <c r="M22" s="598"/>
      <c r="N22" s="598"/>
      <c r="O22" s="598"/>
      <c r="P22" s="598"/>
      <c r="Q22" s="598"/>
      <c r="R22" s="598"/>
      <c r="S22" s="598"/>
      <c r="T22" s="688"/>
      <c r="U22" s="688"/>
      <c r="V22" s="688"/>
      <c r="W22" s="688"/>
      <c r="X22" s="688"/>
      <c r="Y22" s="688"/>
      <c r="Z22" s="688"/>
      <c r="AA22" s="688"/>
      <c r="AB22" s="688"/>
      <c r="AC22" s="598"/>
      <c r="AD22" s="598"/>
      <c r="AE22" s="598"/>
      <c r="AF22" s="598"/>
      <c r="AG22" s="598"/>
      <c r="AH22" s="598"/>
      <c r="AI22" s="598"/>
      <c r="AJ22" s="598"/>
      <c r="AK22" s="598"/>
      <c r="AL22" s="598"/>
      <c r="AM22" s="598"/>
      <c r="AN22" s="598"/>
      <c r="AO22" s="598"/>
      <c r="AP22" s="598"/>
      <c r="AQ22" s="598"/>
      <c r="AR22" s="598"/>
    </row>
    <row r="23" spans="2:57">
      <c r="B23" s="598"/>
      <c r="C23" s="598"/>
      <c r="D23" s="598"/>
      <c r="E23" s="598"/>
      <c r="F23" s="598"/>
      <c r="G23" s="598"/>
      <c r="H23" s="598"/>
      <c r="I23" s="718"/>
      <c r="J23" s="716"/>
      <c r="K23" s="716"/>
      <c r="L23" s="719"/>
      <c r="M23" s="598"/>
      <c r="N23" s="598"/>
      <c r="O23" s="716"/>
      <c r="P23" s="598"/>
      <c r="Q23" s="598"/>
      <c r="R23" s="598"/>
      <c r="S23" s="598"/>
      <c r="T23" s="688"/>
      <c r="U23" s="688"/>
      <c r="V23" s="688"/>
      <c r="W23" s="688"/>
      <c r="X23" s="688"/>
      <c r="Y23" s="688"/>
      <c r="Z23" s="688"/>
      <c r="AA23" s="688"/>
      <c r="AB23" s="688"/>
      <c r="AC23" s="598"/>
      <c r="AD23" s="598"/>
      <c r="AE23" s="598"/>
      <c r="AF23" s="598"/>
      <c r="AG23" s="598"/>
      <c r="AH23" s="598"/>
      <c r="AI23" s="598"/>
      <c r="AJ23" s="598"/>
      <c r="AK23" s="598"/>
      <c r="AL23" s="598"/>
      <c r="AM23" s="598"/>
      <c r="AN23" s="598"/>
      <c r="AO23" s="598"/>
      <c r="AP23" s="598"/>
      <c r="AQ23" s="598"/>
      <c r="AR23" s="598"/>
    </row>
    <row r="24" spans="2:57">
      <c r="B24" s="693" t="s">
        <v>561</v>
      </c>
      <c r="C24" s="693"/>
      <c r="D24" s="598"/>
      <c r="E24" s="598"/>
      <c r="F24" s="598"/>
      <c r="G24" s="598"/>
      <c r="H24" s="598"/>
      <c r="I24" s="598"/>
      <c r="J24" s="716"/>
      <c r="K24" s="716"/>
      <c r="L24" s="719"/>
      <c r="M24" s="598"/>
      <c r="N24" s="598"/>
      <c r="O24" s="716"/>
      <c r="P24" s="688"/>
      <c r="Q24" s="688"/>
      <c r="R24" s="688"/>
      <c r="S24" s="688"/>
      <c r="T24" s="688"/>
      <c r="U24" s="688"/>
      <c r="V24" s="688"/>
      <c r="W24" s="688"/>
      <c r="X24" s="688"/>
      <c r="Y24" s="688"/>
      <c r="Z24" s="688"/>
      <c r="AA24" s="688"/>
      <c r="AB24" s="598"/>
      <c r="AC24" s="598"/>
      <c r="AD24" s="598"/>
      <c r="AE24" s="598"/>
      <c r="AF24" s="598"/>
      <c r="AG24" s="598"/>
      <c r="AH24" s="598"/>
      <c r="AI24" s="598"/>
      <c r="AJ24" s="598"/>
      <c r="AK24" s="598"/>
      <c r="AL24" s="598"/>
      <c r="AM24" s="598"/>
      <c r="AN24" s="598"/>
      <c r="AO24" s="598"/>
      <c r="AP24" s="598"/>
      <c r="AQ24" s="598"/>
      <c r="AR24" s="598"/>
      <c r="AS24" s="598"/>
      <c r="AT24" s="598"/>
      <c r="AU24" s="598"/>
      <c r="BE24" s="598"/>
    </row>
    <row r="25" spans="2:57">
      <c r="B25" s="720"/>
      <c r="C25" s="1431"/>
      <c r="D25" s="1431"/>
      <c r="E25" s="1431"/>
      <c r="F25" s="1431"/>
      <c r="G25" s="1431"/>
      <c r="H25" s="1431"/>
      <c r="I25" s="1431"/>
      <c r="J25" s="1431"/>
      <c r="K25" s="1431"/>
      <c r="L25" s="719"/>
      <c r="M25" s="719"/>
      <c r="N25" s="598"/>
      <c r="O25" s="716"/>
      <c r="P25" s="688"/>
      <c r="Q25" s="688"/>
      <c r="R25" s="688"/>
      <c r="S25" s="688"/>
      <c r="T25" s="688"/>
      <c r="U25" s="688"/>
      <c r="V25" s="688"/>
      <c r="W25" s="688"/>
      <c r="X25" s="688"/>
      <c r="Y25" s="688"/>
      <c r="Z25" s="688"/>
      <c r="AA25" s="688"/>
      <c r="AB25" s="598"/>
      <c r="AC25" s="598"/>
      <c r="AD25" s="598"/>
      <c r="AE25" s="598"/>
      <c r="AF25" s="598"/>
      <c r="AG25" s="598"/>
      <c r="AH25" s="598"/>
      <c r="AI25" s="598"/>
      <c r="AJ25" s="598"/>
      <c r="AK25" s="598"/>
      <c r="AL25" s="598"/>
      <c r="AM25" s="598"/>
      <c r="AN25" s="598"/>
      <c r="AO25" s="598"/>
      <c r="AP25" s="598"/>
      <c r="AQ25" s="598"/>
      <c r="AR25" s="598"/>
      <c r="AS25" s="598"/>
      <c r="AT25" s="598"/>
      <c r="AU25" s="598"/>
      <c r="AV25" s="598"/>
      <c r="AW25" s="598"/>
      <c r="AX25" s="598"/>
      <c r="AY25" s="598"/>
      <c r="AZ25" s="598"/>
      <c r="BA25" s="598"/>
      <c r="BB25" s="598"/>
      <c r="BC25" s="598"/>
      <c r="BD25" s="598"/>
      <c r="BE25" s="598"/>
    </row>
    <row r="27" spans="2:57">
      <c r="B27" s="28" t="s">
        <v>126</v>
      </c>
      <c r="C27" s="28"/>
      <c r="D27" s="614"/>
      <c r="E27" s="30" t="s">
        <v>511</v>
      </c>
      <c r="F27" s="31" t="s">
        <v>3164</v>
      </c>
      <c r="G27" s="591"/>
      <c r="H27" s="33"/>
      <c r="I27" s="615"/>
      <c r="J27" s="35" t="s">
        <v>513</v>
      </c>
      <c r="K27" s="36" t="s">
        <v>511</v>
      </c>
      <c r="L27" s="516">
        <v>45261.333333333336</v>
      </c>
      <c r="M27" s="591"/>
      <c r="N27" s="591"/>
      <c r="O27" s="206"/>
      <c r="P27" s="205"/>
      <c r="Q27" s="616"/>
      <c r="R27" s="204"/>
      <c r="S27" s="617"/>
      <c r="T27" s="613"/>
      <c r="U27" s="613"/>
      <c r="V27" s="613"/>
      <c r="W27" s="613"/>
      <c r="X27" s="613"/>
      <c r="Y27" s="613"/>
      <c r="Z27" s="613"/>
      <c r="AA27" s="613"/>
      <c r="AB27" s="616"/>
      <c r="AC27" s="616"/>
      <c r="AD27" s="616"/>
      <c r="AE27" s="616"/>
      <c r="AF27" s="616"/>
      <c r="AG27" s="613"/>
      <c r="AH27" s="613"/>
      <c r="AI27" s="613"/>
      <c r="AJ27" s="613"/>
      <c r="AK27" s="613"/>
      <c r="AL27" s="613"/>
      <c r="AM27" s="613"/>
      <c r="AN27" s="613"/>
      <c r="AO27" s="613"/>
      <c r="AP27" s="613"/>
      <c r="AQ27" s="613"/>
      <c r="AR27" s="613"/>
      <c r="AS27" s="613"/>
      <c r="AT27" s="613"/>
      <c r="AU27" s="613"/>
      <c r="AV27" s="613"/>
      <c r="AW27" s="613"/>
      <c r="AX27" s="613"/>
      <c r="AY27" s="613"/>
      <c r="AZ27" s="613"/>
      <c r="BA27" s="613"/>
      <c r="BB27" s="613"/>
      <c r="BC27" s="613"/>
      <c r="BD27" s="613"/>
      <c r="BE27" s="613"/>
    </row>
    <row r="28" spans="2:57">
      <c r="B28" s="35" t="s">
        <v>514</v>
      </c>
      <c r="C28" s="35"/>
      <c r="D28" s="591"/>
      <c r="E28" s="36" t="s">
        <v>511</v>
      </c>
      <c r="F28" s="311" t="s">
        <v>4366</v>
      </c>
      <c r="G28" s="591"/>
      <c r="H28" s="33"/>
      <c r="I28" s="615"/>
      <c r="J28" s="35" t="s">
        <v>516</v>
      </c>
      <c r="K28" s="36" t="s">
        <v>511</v>
      </c>
      <c r="L28" s="516">
        <v>45265.166666666664</v>
      </c>
      <c r="M28" s="591"/>
      <c r="N28" s="591"/>
      <c r="O28" s="206"/>
      <c r="P28" s="205"/>
      <c r="Q28" s="616"/>
      <c r="R28" s="204"/>
      <c r="S28" s="617"/>
      <c r="T28" s="613"/>
      <c r="U28" s="613"/>
      <c r="V28" s="613"/>
      <c r="W28" s="613"/>
      <c r="X28" s="613"/>
      <c r="Y28" s="613"/>
      <c r="Z28" s="613"/>
      <c r="AA28" s="613"/>
      <c r="AB28" s="616"/>
      <c r="AC28" s="616"/>
      <c r="AD28" s="616"/>
      <c r="AE28" s="616"/>
      <c r="AF28" s="616"/>
      <c r="AG28" s="613"/>
      <c r="AH28" s="613"/>
      <c r="AI28" s="613"/>
      <c r="AJ28" s="613"/>
      <c r="AK28" s="613"/>
      <c r="AL28" s="613"/>
      <c r="AM28" s="613"/>
      <c r="AN28" s="613"/>
      <c r="AO28" s="613"/>
      <c r="AP28" s="613"/>
      <c r="AQ28" s="613"/>
      <c r="AR28" s="613"/>
      <c r="AS28" s="613"/>
      <c r="AT28" s="613"/>
      <c r="AU28" s="613"/>
      <c r="AV28" s="613"/>
      <c r="AW28" s="613"/>
      <c r="AX28" s="613"/>
      <c r="AY28" s="613"/>
      <c r="AZ28" s="613"/>
      <c r="BA28" s="613"/>
      <c r="BB28" s="613"/>
      <c r="BC28" s="613"/>
      <c r="BD28" s="613"/>
      <c r="BE28" s="613"/>
    </row>
    <row r="29" spans="2:57">
      <c r="B29" s="35" t="s">
        <v>517</v>
      </c>
      <c r="C29" s="35"/>
      <c r="D29" s="591"/>
      <c r="E29" s="36" t="s">
        <v>511</v>
      </c>
      <c r="F29" s="516">
        <v>45259.461805555555</v>
      </c>
      <c r="G29" s="591"/>
      <c r="H29" s="33"/>
      <c r="I29" s="615"/>
      <c r="J29" s="35" t="s">
        <v>518</v>
      </c>
      <c r="K29" s="36" t="s">
        <v>511</v>
      </c>
      <c r="L29" s="692">
        <v>67000</v>
      </c>
      <c r="M29" s="619" t="s">
        <v>519</v>
      </c>
      <c r="N29" s="619"/>
      <c r="O29" s="206"/>
      <c r="P29" s="205"/>
      <c r="Q29" s="616"/>
      <c r="R29" s="204"/>
      <c r="S29" s="617"/>
      <c r="T29" s="613"/>
      <c r="U29" s="613"/>
      <c r="V29" s="613"/>
      <c r="W29" s="613"/>
      <c r="X29" s="613"/>
      <c r="Y29" s="613"/>
      <c r="Z29" s="613"/>
      <c r="AA29" s="613"/>
      <c r="AB29" s="616"/>
      <c r="AC29" s="616"/>
      <c r="AD29" s="616"/>
      <c r="AE29" s="616"/>
      <c r="AF29" s="616"/>
      <c r="AG29" s="613"/>
      <c r="AH29" s="613"/>
      <c r="AI29" s="613"/>
      <c r="AJ29" s="613"/>
      <c r="AK29" s="613"/>
      <c r="AL29" s="613"/>
      <c r="AM29" s="613"/>
      <c r="AN29" s="613"/>
      <c r="AO29" s="613"/>
      <c r="AP29" s="613"/>
      <c r="AQ29" s="613"/>
      <c r="AR29" s="613"/>
      <c r="AS29" s="613"/>
      <c r="AT29" s="613"/>
      <c r="AU29" s="613"/>
      <c r="AV29" s="613"/>
      <c r="AW29" s="613"/>
      <c r="AX29" s="613"/>
      <c r="AY29" s="613"/>
      <c r="AZ29" s="613"/>
      <c r="BA29" s="613"/>
      <c r="BB29" s="613"/>
      <c r="BC29" s="613"/>
      <c r="BD29" s="613"/>
      <c r="BE29" s="613"/>
    </row>
    <row r="30" spans="2:57">
      <c r="B30" s="35" t="s">
        <v>520</v>
      </c>
      <c r="C30" s="35"/>
      <c r="D30" s="591"/>
      <c r="E30" s="36" t="s">
        <v>511</v>
      </c>
      <c r="F30" s="37" t="s">
        <v>4</v>
      </c>
      <c r="G30" s="591"/>
      <c r="H30" s="33"/>
      <c r="I30" s="615"/>
      <c r="J30" s="35" t="s">
        <v>521</v>
      </c>
      <c r="K30" s="36" t="s">
        <v>511</v>
      </c>
      <c r="L30" s="620" t="s">
        <v>3165</v>
      </c>
      <c r="M30" s="591"/>
      <c r="N30" s="591"/>
      <c r="O30" s="206"/>
      <c r="P30" s="616"/>
      <c r="Q30" s="616"/>
      <c r="R30" s="204"/>
      <c r="S30" s="617"/>
      <c r="T30" s="613"/>
      <c r="U30" s="613"/>
      <c r="V30" s="613"/>
      <c r="W30" s="613"/>
      <c r="X30" s="613"/>
      <c r="Y30" s="613"/>
      <c r="Z30" s="613"/>
      <c r="AA30" s="613"/>
      <c r="AB30" s="616"/>
      <c r="AC30" s="616"/>
      <c r="AD30" s="616"/>
      <c r="AE30" s="616"/>
      <c r="AF30" s="616"/>
      <c r="AG30" s="613"/>
      <c r="AH30" s="613"/>
      <c r="AI30" s="613"/>
      <c r="AJ30" s="613"/>
      <c r="AK30" s="613"/>
      <c r="AL30" s="613"/>
      <c r="AM30" s="613"/>
      <c r="AN30" s="613"/>
      <c r="AO30" s="613"/>
      <c r="AP30" s="613"/>
      <c r="AQ30" s="613"/>
      <c r="AR30" s="613"/>
      <c r="AS30" s="613"/>
      <c r="AT30" s="613"/>
      <c r="AU30" s="613"/>
      <c r="AV30" s="613"/>
      <c r="AW30" s="613"/>
      <c r="AX30" s="613"/>
      <c r="AY30" s="613"/>
      <c r="AZ30" s="613"/>
      <c r="BA30" s="613"/>
      <c r="BB30" s="613"/>
      <c r="BC30" s="613"/>
      <c r="BD30" s="613"/>
      <c r="BE30" s="613"/>
    </row>
    <row r="31" spans="2:57">
      <c r="B31" s="35" t="s">
        <v>523</v>
      </c>
      <c r="C31" s="35"/>
      <c r="D31" s="591"/>
      <c r="E31" s="36" t="s">
        <v>511</v>
      </c>
      <c r="F31" s="37" t="s">
        <v>5</v>
      </c>
      <c r="G31" s="591"/>
      <c r="H31" s="33"/>
      <c r="I31" s="615"/>
      <c r="J31" s="35" t="s">
        <v>524</v>
      </c>
      <c r="K31" s="36" t="s">
        <v>511</v>
      </c>
      <c r="L31" s="621" t="s">
        <v>15</v>
      </c>
      <c r="M31" s="611"/>
      <c r="N31" s="611"/>
      <c r="O31" s="206"/>
      <c r="P31" s="205"/>
      <c r="Q31" s="616"/>
      <c r="R31" s="204"/>
      <c r="S31" s="617"/>
      <c r="T31" s="613"/>
      <c r="U31" s="613"/>
      <c r="V31" s="613"/>
      <c r="W31" s="613"/>
      <c r="X31" s="613"/>
      <c r="Y31" s="613"/>
      <c r="Z31" s="613"/>
      <c r="AA31" s="613"/>
      <c r="AB31" s="616"/>
      <c r="AC31" s="616"/>
      <c r="AD31" s="616"/>
      <c r="AE31" s="616"/>
      <c r="AF31" s="616"/>
      <c r="AG31" s="613"/>
      <c r="AH31" s="613"/>
      <c r="AI31" s="613"/>
      <c r="AJ31" s="613"/>
      <c r="AK31" s="613"/>
      <c r="AL31" s="613"/>
      <c r="AM31" s="613"/>
      <c r="AN31" s="613"/>
      <c r="AO31" s="613"/>
      <c r="AP31" s="613"/>
      <c r="AQ31" s="613"/>
      <c r="AR31" s="613"/>
      <c r="AS31" s="613"/>
      <c r="AT31" s="613"/>
      <c r="AU31" s="613"/>
      <c r="AV31" s="613"/>
      <c r="AW31" s="613"/>
      <c r="AX31" s="613"/>
      <c r="AY31" s="613"/>
      <c r="AZ31" s="613"/>
      <c r="BA31" s="613"/>
      <c r="BB31" s="613"/>
      <c r="BC31" s="613"/>
      <c r="BD31" s="613"/>
      <c r="BE31" s="613"/>
    </row>
    <row r="32" spans="2:57">
      <c r="B32" s="35" t="s">
        <v>2</v>
      </c>
      <c r="C32" s="35"/>
      <c r="D32" s="591"/>
      <c r="E32" s="36" t="s">
        <v>511</v>
      </c>
      <c r="F32" s="37" t="s">
        <v>42</v>
      </c>
      <c r="G32" s="591"/>
      <c r="H32" s="33"/>
      <c r="I32" s="622"/>
      <c r="J32" s="35"/>
      <c r="K32" s="36"/>
      <c r="L32" s="211"/>
      <c r="M32" s="613"/>
      <c r="N32" s="613"/>
      <c r="O32" s="35"/>
      <c r="P32" s="611"/>
      <c r="Q32" s="611"/>
      <c r="R32" s="611"/>
      <c r="S32" s="615"/>
      <c r="T32" s="613"/>
      <c r="U32" s="613"/>
      <c r="V32" s="613"/>
      <c r="W32" s="613"/>
      <c r="X32" s="613"/>
      <c r="Y32" s="613"/>
      <c r="Z32" s="613"/>
      <c r="AA32" s="613"/>
      <c r="AB32" s="615"/>
      <c r="AC32" s="615"/>
      <c r="AD32" s="615"/>
      <c r="AE32" s="615"/>
      <c r="AF32" s="615"/>
      <c r="AG32" s="615"/>
      <c r="AH32" s="615"/>
      <c r="AI32" s="615"/>
      <c r="AJ32" s="615"/>
      <c r="AK32" s="615"/>
      <c r="AL32" s="615"/>
      <c r="AM32" s="615"/>
      <c r="AN32" s="615"/>
      <c r="AO32" s="613"/>
      <c r="AP32" s="613"/>
      <c r="AQ32" s="613"/>
      <c r="AR32" s="613"/>
      <c r="AS32" s="613"/>
      <c r="AT32" s="613"/>
      <c r="AU32" s="613"/>
      <c r="AV32" s="613"/>
      <c r="AW32" s="613"/>
      <c r="AX32" s="613"/>
      <c r="AY32" s="613"/>
      <c r="AZ32" s="613"/>
      <c r="BA32" s="613"/>
      <c r="BB32" s="613"/>
      <c r="BC32" s="613"/>
      <c r="BD32" s="613"/>
      <c r="BE32" s="613"/>
    </row>
    <row r="33" spans="2:57">
      <c r="B33" s="613"/>
      <c r="C33" s="613"/>
      <c r="D33" s="613"/>
      <c r="E33" s="613"/>
      <c r="F33" s="613"/>
      <c r="G33" s="613"/>
      <c r="H33" s="613"/>
      <c r="I33" s="622"/>
      <c r="J33" s="35"/>
      <c r="K33" s="35"/>
      <c r="L33" s="621"/>
      <c r="M33" s="611"/>
      <c r="N33" s="611"/>
      <c r="O33" s="35"/>
      <c r="P33" s="611"/>
      <c r="Q33" s="611"/>
      <c r="R33" s="611"/>
      <c r="S33" s="615"/>
      <c r="T33" s="1317" t="s">
        <v>87</v>
      </c>
      <c r="U33" s="1317"/>
      <c r="V33" s="1317"/>
      <c r="W33" s="1317"/>
      <c r="X33" s="1317"/>
      <c r="Y33" s="1317" t="s">
        <v>73</v>
      </c>
      <c r="Z33" s="1317"/>
      <c r="AA33" s="1317"/>
      <c r="AB33" s="1317" t="s">
        <v>74</v>
      </c>
      <c r="AC33" s="1317"/>
      <c r="AD33" s="623" t="s">
        <v>85</v>
      </c>
      <c r="AE33" s="854" t="s">
        <v>77</v>
      </c>
      <c r="AF33" s="1459" t="s">
        <v>525</v>
      </c>
      <c r="AG33" s="1459"/>
      <c r="AH33" s="1459"/>
      <c r="AI33" s="1459"/>
      <c r="AJ33" s="1459"/>
      <c r="AK33" s="1459"/>
      <c r="AL33" s="1459"/>
      <c r="AM33" s="1459"/>
      <c r="AN33" s="1459"/>
      <c r="AO33" s="1459"/>
      <c r="AP33" s="1459"/>
      <c r="AQ33" s="1459"/>
      <c r="AR33" s="1459"/>
      <c r="AS33" s="1459"/>
      <c r="AT33" s="1459"/>
      <c r="AU33" s="1459"/>
      <c r="AV33" s="1459"/>
      <c r="AW33" s="1459"/>
      <c r="AX33" s="1459"/>
      <c r="AY33" s="1459"/>
      <c r="AZ33" s="1459"/>
      <c r="BA33" s="1459"/>
      <c r="BB33" s="1459"/>
      <c r="BC33" s="1459"/>
      <c r="BD33" s="1459"/>
      <c r="BE33" s="613"/>
    </row>
    <row r="34" spans="2:57">
      <c r="B34" s="1318" t="s">
        <v>526</v>
      </c>
      <c r="C34" s="1319"/>
      <c r="D34" s="624" t="s">
        <v>527</v>
      </c>
      <c r="E34" s="624"/>
      <c r="F34" s="624" t="s">
        <v>528</v>
      </c>
      <c r="G34" s="624" t="s">
        <v>529</v>
      </c>
      <c r="H34" s="624" t="s">
        <v>530</v>
      </c>
      <c r="I34" s="624" t="s">
        <v>531</v>
      </c>
      <c r="J34" s="624" t="s">
        <v>532</v>
      </c>
      <c r="K34" s="624"/>
      <c r="L34" s="624" t="s">
        <v>130</v>
      </c>
      <c r="M34" s="624" t="s">
        <v>533</v>
      </c>
      <c r="N34" s="1040" t="str">
        <f>"On time - "&amp;COUNTIF(N35:N60,"On time")&amp;" from "&amp;ROWS(N35:N60)-COUNTIF(N35:N60," ")</f>
        <v>On time - 11 from 11</v>
      </c>
      <c r="O34" s="626"/>
      <c r="P34" s="627" t="s">
        <v>534</v>
      </c>
      <c r="Q34" s="627" t="s">
        <v>535</v>
      </c>
      <c r="R34" s="627" t="s">
        <v>536</v>
      </c>
      <c r="S34" s="591"/>
      <c r="T34" s="628" t="s">
        <v>537</v>
      </c>
      <c r="U34" s="628" t="s">
        <v>538</v>
      </c>
      <c r="V34" s="628" t="s">
        <v>539</v>
      </c>
      <c r="W34" s="628" t="s">
        <v>540</v>
      </c>
      <c r="X34" s="628" t="s">
        <v>541</v>
      </c>
      <c r="Y34" s="628" t="s">
        <v>167</v>
      </c>
      <c r="Z34" s="628" t="s">
        <v>168</v>
      </c>
      <c r="AA34" s="628" t="s">
        <v>169</v>
      </c>
      <c r="AB34" s="628" t="s">
        <v>235</v>
      </c>
      <c r="AC34" s="628" t="s">
        <v>240</v>
      </c>
      <c r="AD34" s="623" t="s">
        <v>85</v>
      </c>
      <c r="AE34" s="628" t="s">
        <v>139</v>
      </c>
      <c r="AF34" s="855" t="s">
        <v>72</v>
      </c>
      <c r="AG34" s="855" t="s">
        <v>88</v>
      </c>
      <c r="AH34" s="855" t="s">
        <v>75</v>
      </c>
      <c r="AI34" s="855" t="s">
        <v>543</v>
      </c>
      <c r="AJ34" s="855" t="s">
        <v>78</v>
      </c>
      <c r="AK34" s="855" t="s">
        <v>76</v>
      </c>
      <c r="AL34" s="855" t="s">
        <v>544</v>
      </c>
      <c r="AM34" s="855" t="s">
        <v>545</v>
      </c>
      <c r="AN34" s="855" t="s">
        <v>86</v>
      </c>
      <c r="AO34" s="855" t="s">
        <v>83</v>
      </c>
      <c r="AP34" s="855" t="s">
        <v>84</v>
      </c>
      <c r="AQ34" s="855" t="s">
        <v>546</v>
      </c>
      <c r="AR34" s="855" t="s">
        <v>81</v>
      </c>
      <c r="AS34" s="855" t="s">
        <v>80</v>
      </c>
      <c r="AT34" s="855" t="s">
        <v>82</v>
      </c>
      <c r="AU34" s="855" t="s">
        <v>181</v>
      </c>
      <c r="AV34" s="855" t="s">
        <v>183</v>
      </c>
      <c r="AW34" s="855" t="s">
        <v>547</v>
      </c>
      <c r="AX34" s="855" t="s">
        <v>182</v>
      </c>
      <c r="AY34" s="855" t="s">
        <v>172</v>
      </c>
      <c r="AZ34" s="855" t="s">
        <v>173</v>
      </c>
      <c r="BA34" s="855" t="s">
        <v>184</v>
      </c>
      <c r="BB34" s="855" t="s">
        <v>100</v>
      </c>
      <c r="BC34" s="855" t="s">
        <v>913</v>
      </c>
      <c r="BD34" s="855" t="s">
        <v>2747</v>
      </c>
      <c r="BE34" s="613"/>
    </row>
    <row r="35" spans="2:57">
      <c r="B35" s="1315" t="s">
        <v>668</v>
      </c>
      <c r="C35" s="1316"/>
      <c r="D35" s="501" t="s">
        <v>3554</v>
      </c>
      <c r="E35" s="585"/>
      <c r="F35" s="501" t="s">
        <v>406</v>
      </c>
      <c r="G35" s="501" t="s">
        <v>407</v>
      </c>
      <c r="H35" s="1044">
        <v>1579.106</v>
      </c>
      <c r="I35" s="584" t="s">
        <v>240</v>
      </c>
      <c r="J35" s="574">
        <v>45260.03125</v>
      </c>
      <c r="K35" s="574"/>
      <c r="L35" s="574" t="s">
        <v>192</v>
      </c>
      <c r="M35" s="574" t="s">
        <v>192</v>
      </c>
      <c r="N35" s="505" t="str">
        <f t="shared" ref="N35:N60" si="2">IF(ISBLANK(J35)," ",IF(J35&lt;$F$103,"On time",(IF(DAY(J35-$F$103)&lt;1,"On time",(IF(J35&gt;$F$103,"DELAY ( "&amp;DAY(J35-$F$103)&amp;" day "&amp;HOUR(J35-$F$103)&amp;" hour "&amp;MINUTE(J35-$F$103)&amp;" minute )","xxx"))))))</f>
        <v>On time</v>
      </c>
      <c r="O35" s="597"/>
      <c r="P35" s="507" t="s">
        <v>551</v>
      </c>
      <c r="Q35" s="507" t="s">
        <v>551</v>
      </c>
      <c r="R35" s="507" t="s">
        <v>551</v>
      </c>
      <c r="S35" s="598"/>
      <c r="T35" s="599"/>
      <c r="U35" s="599"/>
      <c r="V35" s="599"/>
      <c r="W35" s="599"/>
      <c r="X35" s="599"/>
      <c r="Y35" s="599"/>
      <c r="Z35" s="599"/>
      <c r="AA35" s="599"/>
      <c r="AB35" s="599"/>
      <c r="AC35" s="599">
        <f>H35</f>
        <v>1579.106</v>
      </c>
      <c r="AD35" s="599"/>
      <c r="AE35" s="599"/>
      <c r="AF35" s="599"/>
      <c r="AG35" s="599"/>
      <c r="AH35" s="599"/>
      <c r="AI35" s="599"/>
      <c r="AJ35" s="599"/>
      <c r="AK35" s="599"/>
      <c r="AL35" s="599"/>
      <c r="AM35" s="599"/>
      <c r="AN35" s="599"/>
      <c r="AO35" s="599"/>
      <c r="AP35" s="599"/>
      <c r="AQ35" s="599"/>
      <c r="AR35" s="599"/>
      <c r="AS35" s="599"/>
      <c r="AT35" s="599"/>
      <c r="AU35" s="599"/>
      <c r="AV35" s="599"/>
      <c r="AW35" s="599"/>
      <c r="AX35" s="599"/>
      <c r="AY35" s="599"/>
      <c r="AZ35" s="599"/>
      <c r="BA35" s="599"/>
      <c r="BB35" s="599"/>
      <c r="BC35" s="599"/>
      <c r="BD35" s="599"/>
      <c r="BE35" s="598"/>
    </row>
    <row r="36" spans="2:57">
      <c r="B36" s="1315" t="s">
        <v>668</v>
      </c>
      <c r="C36" s="1316"/>
      <c r="D36" s="501" t="s">
        <v>3532</v>
      </c>
      <c r="E36" s="585"/>
      <c r="F36" s="501" t="s">
        <v>249</v>
      </c>
      <c r="G36" s="501" t="s">
        <v>2315</v>
      </c>
      <c r="H36" s="629">
        <v>1571.1590000000001</v>
      </c>
      <c r="I36" s="584" t="s">
        <v>418</v>
      </c>
      <c r="J36" s="504">
        <v>45258.048611111109</v>
      </c>
      <c r="K36" s="574"/>
      <c r="L36" s="574" t="s">
        <v>192</v>
      </c>
      <c r="M36" s="574" t="s">
        <v>192</v>
      </c>
      <c r="N36" s="505" t="str">
        <f t="shared" si="2"/>
        <v>On time</v>
      </c>
      <c r="O36" s="597"/>
      <c r="P36" s="507" t="s">
        <v>551</v>
      </c>
      <c r="Q36" s="507" t="s">
        <v>551</v>
      </c>
      <c r="R36" s="507" t="s">
        <v>551</v>
      </c>
      <c r="S36" s="598"/>
      <c r="T36" s="599"/>
      <c r="U36" s="599"/>
      <c r="V36" s="599"/>
      <c r="W36" s="599"/>
      <c r="X36" s="599"/>
      <c r="Y36" s="599"/>
      <c r="Z36" s="599"/>
      <c r="AA36" s="599"/>
      <c r="AB36" s="599">
        <f>H36*0.65</f>
        <v>1021.2533500000001</v>
      </c>
      <c r="AC36" s="599">
        <f>H36*0.35</f>
        <v>549.90565000000004</v>
      </c>
      <c r="AD36" s="599"/>
      <c r="AE36" s="599"/>
      <c r="AF36" s="599"/>
      <c r="AG36" s="599"/>
      <c r="AH36" s="599"/>
      <c r="AI36" s="599"/>
      <c r="AJ36" s="599"/>
      <c r="AK36" s="599"/>
      <c r="AL36" s="599"/>
      <c r="AM36" s="599"/>
      <c r="AN36" s="599"/>
      <c r="AO36" s="599"/>
      <c r="AP36" s="599"/>
      <c r="AQ36" s="599"/>
      <c r="AR36" s="599"/>
      <c r="AS36" s="599"/>
      <c r="AT36" s="599"/>
      <c r="AU36" s="599"/>
      <c r="AV36" s="599"/>
      <c r="AW36" s="599"/>
      <c r="AX36" s="599"/>
      <c r="AY36" s="599"/>
      <c r="AZ36" s="599"/>
      <c r="BA36" s="599"/>
      <c r="BB36" s="599"/>
      <c r="BC36" s="599"/>
      <c r="BD36" s="599"/>
      <c r="BE36" s="598"/>
    </row>
    <row r="37" spans="2:57">
      <c r="B37" s="1315" t="s">
        <v>4367</v>
      </c>
      <c r="C37" s="1316"/>
      <c r="D37" s="501" t="s">
        <v>3646</v>
      </c>
      <c r="E37" s="585"/>
      <c r="F37" s="501" t="s">
        <v>1941</v>
      </c>
      <c r="G37" s="501" t="s">
        <v>1648</v>
      </c>
      <c r="H37" s="629">
        <v>8200.3169999999991</v>
      </c>
      <c r="I37" s="584" t="s">
        <v>184</v>
      </c>
      <c r="J37" s="504">
        <v>45255.729166666664</v>
      </c>
      <c r="K37" s="574"/>
      <c r="L37" s="574" t="s">
        <v>192</v>
      </c>
      <c r="M37" s="574" t="s">
        <v>192</v>
      </c>
      <c r="N37" s="505" t="str">
        <f t="shared" si="2"/>
        <v>On time</v>
      </c>
      <c r="O37" s="597"/>
      <c r="P37" s="507" t="s">
        <v>551</v>
      </c>
      <c r="Q37" s="507" t="s">
        <v>551</v>
      </c>
      <c r="R37" s="507" t="s">
        <v>551</v>
      </c>
      <c r="S37" s="598"/>
      <c r="T37" s="599"/>
      <c r="U37" s="599"/>
      <c r="V37" s="599"/>
      <c r="W37" s="599"/>
      <c r="X37" s="598"/>
      <c r="Y37" s="599"/>
      <c r="Z37" s="599"/>
      <c r="AA37" s="599"/>
      <c r="AB37" s="599"/>
      <c r="AC37" s="599"/>
      <c r="AD37" s="599"/>
      <c r="AE37" s="599"/>
      <c r="AF37" s="599"/>
      <c r="AG37" s="599"/>
      <c r="AH37" s="599"/>
      <c r="AI37" s="599"/>
      <c r="AJ37" s="599"/>
      <c r="AK37" s="599"/>
      <c r="AL37" s="599"/>
      <c r="AM37" s="599"/>
      <c r="AN37" s="599"/>
      <c r="AO37" s="599"/>
      <c r="AP37" s="599"/>
      <c r="AQ37" s="599"/>
      <c r="AR37" s="599"/>
      <c r="AS37" s="599"/>
      <c r="AT37" s="599"/>
      <c r="AU37" s="599"/>
      <c r="AV37" s="599"/>
      <c r="AW37" s="599"/>
      <c r="AX37" s="599"/>
      <c r="AY37" s="599"/>
      <c r="AZ37" s="599"/>
      <c r="BA37" s="599">
        <f>H37</f>
        <v>8200.3169999999991</v>
      </c>
      <c r="BB37" s="599"/>
      <c r="BC37" s="599"/>
      <c r="BD37" s="599"/>
      <c r="BE37" s="598"/>
    </row>
    <row r="38" spans="2:57">
      <c r="B38" s="1351" t="s">
        <v>1721</v>
      </c>
      <c r="C38" s="1352"/>
      <c r="D38" s="1352"/>
      <c r="E38" s="1352"/>
      <c r="F38" s="1352"/>
      <c r="G38" s="1353"/>
      <c r="H38" s="702">
        <f>SUM(H35:H37)</f>
        <v>11350.581999999999</v>
      </c>
      <c r="I38" s="703"/>
      <c r="J38" s="704"/>
      <c r="K38" s="704"/>
      <c r="L38" s="704"/>
      <c r="M38" s="705"/>
      <c r="N38" s="505" t="str">
        <f t="shared" si="2"/>
        <v xml:space="preserve"> </v>
      </c>
      <c r="O38" s="552"/>
      <c r="P38" s="706"/>
      <c r="Q38" s="706"/>
      <c r="R38" s="706"/>
      <c r="S38" s="598"/>
      <c r="T38" s="599"/>
      <c r="U38" s="599"/>
      <c r="V38" s="599"/>
      <c r="W38" s="599"/>
      <c r="X38" s="599"/>
      <c r="Y38" s="599"/>
      <c r="Z38" s="599"/>
      <c r="AA38" s="599"/>
      <c r="AB38" s="599"/>
      <c r="AC38" s="599"/>
      <c r="AD38" s="599"/>
      <c r="AE38" s="599"/>
      <c r="AF38" s="599"/>
      <c r="AG38" s="599"/>
      <c r="AH38" s="599"/>
      <c r="AI38" s="599"/>
      <c r="AJ38" s="599"/>
      <c r="AK38" s="599"/>
      <c r="AL38" s="599"/>
      <c r="AM38" s="599"/>
      <c r="AN38" s="599"/>
      <c r="AO38" s="599"/>
      <c r="AP38" s="598"/>
      <c r="AQ38" s="599"/>
      <c r="AR38" s="599"/>
      <c r="AS38" s="599"/>
      <c r="AT38" s="599"/>
      <c r="AU38" s="599"/>
      <c r="AV38" s="599"/>
      <c r="AW38" s="599"/>
      <c r="AX38" s="599"/>
      <c r="AY38" s="599"/>
      <c r="AZ38" s="599"/>
      <c r="BA38" s="599"/>
      <c r="BB38" s="599"/>
      <c r="BC38" s="599"/>
      <c r="BD38" s="599"/>
      <c r="BE38" s="598"/>
    </row>
    <row r="39" spans="2:57">
      <c r="B39" s="1326" t="s">
        <v>619</v>
      </c>
      <c r="C39" s="1327"/>
      <c r="D39" s="501" t="s">
        <v>3561</v>
      </c>
      <c r="E39" s="501"/>
      <c r="F39" s="501" t="s">
        <v>339</v>
      </c>
      <c r="G39" s="501" t="s">
        <v>506</v>
      </c>
      <c r="H39" s="629">
        <v>7558.8689999999997</v>
      </c>
      <c r="I39" s="584" t="s">
        <v>240</v>
      </c>
      <c r="J39" s="504">
        <v>45257.854166666664</v>
      </c>
      <c r="K39" s="504"/>
      <c r="L39" s="574" t="s">
        <v>192</v>
      </c>
      <c r="M39" s="574" t="s">
        <v>192</v>
      </c>
      <c r="N39" s="505" t="str">
        <f t="shared" si="2"/>
        <v>On time</v>
      </c>
      <c r="O39" s="597"/>
      <c r="P39" s="507" t="s">
        <v>551</v>
      </c>
      <c r="Q39" s="507" t="s">
        <v>551</v>
      </c>
      <c r="R39" s="507" t="s">
        <v>551</v>
      </c>
      <c r="S39" s="598"/>
      <c r="T39" s="599"/>
      <c r="U39" s="599"/>
      <c r="V39" s="599"/>
      <c r="W39" s="599"/>
      <c r="X39" s="599"/>
      <c r="Y39" s="599"/>
      <c r="Z39" s="599"/>
      <c r="AA39" s="599"/>
      <c r="AB39" s="599"/>
      <c r="AC39" s="599">
        <f>H39</f>
        <v>7558.8689999999997</v>
      </c>
      <c r="AD39" s="599"/>
      <c r="AE39" s="599"/>
      <c r="AF39" s="599"/>
      <c r="AG39" s="599"/>
      <c r="AH39" s="599"/>
      <c r="AI39" s="599"/>
      <c r="AJ39" s="599"/>
      <c r="AK39" s="599"/>
      <c r="AL39" s="599"/>
      <c r="AM39" s="599"/>
      <c r="AN39" s="599"/>
      <c r="AO39" s="599"/>
      <c r="AP39" s="599"/>
      <c r="AQ39" s="599"/>
      <c r="AR39" s="599"/>
      <c r="AS39" s="599"/>
      <c r="AT39" s="599"/>
      <c r="AU39" s="599"/>
      <c r="AV39" s="599"/>
      <c r="AW39" s="599"/>
      <c r="AX39" s="598"/>
      <c r="AY39" s="599"/>
      <c r="AZ39" s="599"/>
      <c r="BA39" s="599"/>
      <c r="BB39" s="599"/>
      <c r="BC39" s="599"/>
      <c r="BD39" s="599"/>
      <c r="BE39" s="598"/>
    </row>
    <row r="40" spans="2:57">
      <c r="B40" s="1421"/>
      <c r="C40" s="1422"/>
      <c r="D40" s="501"/>
      <c r="E40" s="501"/>
      <c r="F40" s="1315" t="s">
        <v>668</v>
      </c>
      <c r="G40" s="1316"/>
      <c r="H40" s="629">
        <v>1000</v>
      </c>
      <c r="I40" s="584"/>
      <c r="J40" s="504"/>
      <c r="K40" s="574"/>
      <c r="L40" s="504"/>
      <c r="M40" s="504"/>
      <c r="N40" s="505" t="str">
        <f t="shared" si="2"/>
        <v xml:space="preserve"> </v>
      </c>
      <c r="O40" s="597"/>
      <c r="P40" s="507"/>
      <c r="Q40" s="507"/>
      <c r="R40" s="507"/>
      <c r="S40" s="598"/>
      <c r="T40" s="599"/>
      <c r="U40" s="599"/>
      <c r="V40" s="599"/>
      <c r="W40" s="599"/>
      <c r="X40" s="599"/>
      <c r="Y40" s="599"/>
      <c r="Z40" s="599"/>
      <c r="AA40" s="599"/>
      <c r="AB40" s="508"/>
      <c r="AC40" s="821"/>
      <c r="AD40" s="599"/>
      <c r="AE40" s="599"/>
      <c r="AF40" s="599"/>
      <c r="AG40" s="599"/>
      <c r="AH40" s="599"/>
      <c r="AI40" s="599"/>
      <c r="AJ40" s="599"/>
      <c r="AK40" s="599"/>
      <c r="AL40" s="599"/>
      <c r="AM40" s="599"/>
      <c r="AN40" s="599"/>
      <c r="AO40" s="599"/>
      <c r="AP40" s="599"/>
      <c r="AQ40" s="599"/>
      <c r="AR40" s="599"/>
      <c r="AS40" s="599"/>
      <c r="AT40" s="599"/>
      <c r="AU40" s="599"/>
      <c r="AV40" s="599"/>
      <c r="AW40" s="599"/>
      <c r="AX40" s="599"/>
      <c r="AY40" s="599"/>
      <c r="AZ40" s="599"/>
      <c r="BA40" s="599"/>
      <c r="BB40" s="599"/>
      <c r="BC40" s="599"/>
      <c r="BD40" s="599"/>
      <c r="BE40" s="598"/>
    </row>
    <row r="41" spans="2:57">
      <c r="B41" s="1328"/>
      <c r="C41" s="1329"/>
      <c r="D41" s="501"/>
      <c r="E41" s="501"/>
      <c r="F41" s="1315" t="s">
        <v>616</v>
      </c>
      <c r="G41" s="1316"/>
      <c r="H41" s="629">
        <v>1200</v>
      </c>
      <c r="I41" s="584"/>
      <c r="J41" s="504"/>
      <c r="K41" s="574"/>
      <c r="L41" s="504"/>
      <c r="M41" s="504"/>
      <c r="N41" s="505" t="str">
        <f t="shared" si="2"/>
        <v xml:space="preserve"> </v>
      </c>
      <c r="O41" s="597"/>
      <c r="P41" s="507"/>
      <c r="Q41" s="507"/>
      <c r="R41" s="507"/>
      <c r="S41" s="598"/>
      <c r="T41" s="599"/>
      <c r="U41" s="599"/>
      <c r="V41" s="599"/>
      <c r="W41" s="599"/>
      <c r="X41" s="599"/>
      <c r="Y41" s="599"/>
      <c r="Z41" s="599"/>
      <c r="AA41" s="599"/>
      <c r="AB41" s="508"/>
      <c r="AC41" s="821"/>
      <c r="AD41" s="599"/>
      <c r="AE41" s="599"/>
      <c r="AF41" s="599"/>
      <c r="AG41" s="599"/>
      <c r="AH41" s="599"/>
      <c r="AI41" s="599"/>
      <c r="AJ41" s="599"/>
      <c r="AK41" s="599"/>
      <c r="AL41" s="599"/>
      <c r="AM41" s="599"/>
      <c r="AN41" s="599"/>
      <c r="AO41" s="599"/>
      <c r="AP41" s="599"/>
      <c r="AQ41" s="599"/>
      <c r="AR41" s="599"/>
      <c r="AS41" s="599"/>
      <c r="AT41" s="599"/>
      <c r="AU41" s="599"/>
      <c r="AV41" s="599"/>
      <c r="AW41" s="599"/>
      <c r="AX41" s="599"/>
      <c r="AY41" s="599"/>
      <c r="AZ41" s="599"/>
      <c r="BA41" s="599"/>
      <c r="BB41" s="599"/>
      <c r="BC41" s="599"/>
      <c r="BD41" s="599"/>
      <c r="BE41" s="598"/>
    </row>
    <row r="42" spans="2:57">
      <c r="B42" s="1326" t="s">
        <v>621</v>
      </c>
      <c r="C42" s="1327"/>
      <c r="D42" s="501" t="s">
        <v>3566</v>
      </c>
      <c r="E42" s="501"/>
      <c r="F42" s="501" t="s">
        <v>774</v>
      </c>
      <c r="G42" s="501" t="s">
        <v>423</v>
      </c>
      <c r="H42" s="629">
        <v>7527.4449999999997</v>
      </c>
      <c r="I42" s="584" t="s">
        <v>240</v>
      </c>
      <c r="J42" s="504">
        <v>45257.916666666664</v>
      </c>
      <c r="K42" s="504"/>
      <c r="L42" s="574" t="s">
        <v>192</v>
      </c>
      <c r="M42" s="574" t="s">
        <v>192</v>
      </c>
      <c r="N42" s="505" t="str">
        <f t="shared" si="2"/>
        <v>On time</v>
      </c>
      <c r="O42" s="597"/>
      <c r="P42" s="507" t="s">
        <v>551</v>
      </c>
      <c r="Q42" s="507" t="s">
        <v>551</v>
      </c>
      <c r="R42" s="507" t="s">
        <v>551</v>
      </c>
      <c r="S42" s="598"/>
      <c r="T42" s="599"/>
      <c r="U42" s="599"/>
      <c r="V42" s="599"/>
      <c r="W42" s="599"/>
      <c r="X42" s="599"/>
      <c r="Y42" s="599"/>
      <c r="Z42" s="599"/>
      <c r="AA42" s="599"/>
      <c r="AB42" s="599"/>
      <c r="AC42" s="599">
        <f>H42</f>
        <v>7527.4449999999997</v>
      </c>
      <c r="AD42" s="599"/>
      <c r="AE42" s="599"/>
      <c r="AF42" s="599"/>
      <c r="AG42" s="599"/>
      <c r="AH42" s="599"/>
      <c r="AI42" s="599"/>
      <c r="AJ42" s="599"/>
      <c r="AK42" s="599"/>
      <c r="AL42" s="599"/>
      <c r="AM42" s="599"/>
      <c r="AN42" s="599"/>
      <c r="AO42" s="599"/>
      <c r="AP42" s="599"/>
      <c r="AQ42" s="599"/>
      <c r="AR42" s="599"/>
      <c r="AS42" s="599"/>
      <c r="AT42" s="599"/>
      <c r="AU42" s="599"/>
      <c r="AV42" s="599"/>
      <c r="AW42" s="599"/>
      <c r="AX42" s="599"/>
      <c r="AY42" s="599"/>
      <c r="AZ42" s="599"/>
      <c r="BA42" s="599"/>
      <c r="BB42" s="599"/>
      <c r="BC42" s="599"/>
      <c r="BD42" s="599"/>
      <c r="BE42" s="598"/>
    </row>
    <row r="43" spans="2:57">
      <c r="B43" s="1421"/>
      <c r="C43" s="1422"/>
      <c r="D43" s="501"/>
      <c r="E43" s="501"/>
      <c r="F43" s="1315" t="s">
        <v>668</v>
      </c>
      <c r="G43" s="1316"/>
      <c r="H43" s="629">
        <v>1000</v>
      </c>
      <c r="I43" s="584"/>
      <c r="J43" s="504"/>
      <c r="K43" s="574"/>
      <c r="L43" s="504"/>
      <c r="M43" s="504"/>
      <c r="N43" s="505" t="str">
        <f t="shared" si="2"/>
        <v xml:space="preserve"> </v>
      </c>
      <c r="O43" s="597"/>
      <c r="P43" s="507"/>
      <c r="Q43" s="507"/>
      <c r="R43" s="507"/>
      <c r="S43" s="598"/>
      <c r="T43" s="599"/>
      <c r="U43" s="599"/>
      <c r="V43" s="599"/>
      <c r="W43" s="599"/>
      <c r="X43" s="599"/>
      <c r="Y43" s="599"/>
      <c r="Z43" s="599"/>
      <c r="AA43" s="599"/>
      <c r="AB43" s="508"/>
      <c r="AC43" s="821"/>
      <c r="AD43" s="599"/>
      <c r="AE43" s="599"/>
      <c r="AF43" s="599"/>
      <c r="AG43" s="599"/>
      <c r="AH43" s="599"/>
      <c r="AI43" s="599"/>
      <c r="AJ43" s="599"/>
      <c r="AK43" s="599"/>
      <c r="AL43" s="599"/>
      <c r="AM43" s="599"/>
      <c r="AN43" s="599"/>
      <c r="AO43" s="599"/>
      <c r="AP43" s="599"/>
      <c r="AQ43" s="599"/>
      <c r="AR43" s="599"/>
      <c r="AS43" s="599"/>
      <c r="AT43" s="599"/>
      <c r="AU43" s="599"/>
      <c r="AV43" s="599"/>
      <c r="AW43" s="599"/>
      <c r="AX43" s="599"/>
      <c r="AY43" s="599"/>
      <c r="AZ43" s="599"/>
      <c r="BA43" s="599"/>
      <c r="BB43" s="599"/>
      <c r="BC43" s="599"/>
      <c r="BD43" s="599"/>
      <c r="BE43" s="598"/>
    </row>
    <row r="44" spans="2:57">
      <c r="B44" s="1328"/>
      <c r="C44" s="1329"/>
      <c r="D44" s="501"/>
      <c r="E44" s="501"/>
      <c r="F44" s="1315" t="s">
        <v>616</v>
      </c>
      <c r="G44" s="1316"/>
      <c r="H44" s="629">
        <v>1300</v>
      </c>
      <c r="I44" s="584"/>
      <c r="J44" s="504"/>
      <c r="K44" s="574"/>
      <c r="L44" s="504"/>
      <c r="M44" s="504"/>
      <c r="N44" s="505" t="str">
        <f t="shared" si="2"/>
        <v xml:space="preserve"> </v>
      </c>
      <c r="O44" s="597"/>
      <c r="P44" s="507"/>
      <c r="Q44" s="507"/>
      <c r="R44" s="507"/>
      <c r="S44" s="598"/>
      <c r="T44" s="599"/>
      <c r="U44" s="599"/>
      <c r="V44" s="599"/>
      <c r="W44" s="599"/>
      <c r="X44" s="599"/>
      <c r="Y44" s="599"/>
      <c r="Z44" s="599"/>
      <c r="AA44" s="599"/>
      <c r="AB44" s="508"/>
      <c r="AC44" s="821"/>
      <c r="AD44" s="599"/>
      <c r="AE44" s="599"/>
      <c r="AF44" s="599"/>
      <c r="AG44" s="599"/>
      <c r="AH44" s="599"/>
      <c r="AI44" s="599"/>
      <c r="AJ44" s="599"/>
      <c r="AK44" s="599"/>
      <c r="AL44" s="599"/>
      <c r="AM44" s="599"/>
      <c r="AN44" s="599"/>
      <c r="AO44" s="599"/>
      <c r="AP44" s="599"/>
      <c r="AQ44" s="599"/>
      <c r="AR44" s="599"/>
      <c r="AS44" s="599"/>
      <c r="AT44" s="599"/>
      <c r="AU44" s="599"/>
      <c r="AV44" s="599"/>
      <c r="AW44" s="599"/>
      <c r="AX44" s="599"/>
      <c r="AY44" s="599"/>
      <c r="AZ44" s="599"/>
      <c r="BA44" s="599"/>
      <c r="BB44" s="599"/>
      <c r="BC44" s="599"/>
      <c r="BD44" s="599"/>
      <c r="BE44" s="598"/>
    </row>
    <row r="45" spans="2:57">
      <c r="B45" s="1326" t="s">
        <v>622</v>
      </c>
      <c r="C45" s="1327"/>
      <c r="D45" s="501" t="s">
        <v>3560</v>
      </c>
      <c r="E45" s="501"/>
      <c r="F45" s="501" t="s">
        <v>252</v>
      </c>
      <c r="G45" s="501" t="s">
        <v>253</v>
      </c>
      <c r="H45" s="503">
        <v>3033.1689999999999</v>
      </c>
      <c r="I45" s="584" t="s">
        <v>1472</v>
      </c>
      <c r="J45" s="574">
        <v>45260.645833333336</v>
      </c>
      <c r="K45" s="504"/>
      <c r="L45" s="574" t="s">
        <v>192</v>
      </c>
      <c r="M45" s="574" t="s">
        <v>192</v>
      </c>
      <c r="N45" s="505" t="str">
        <f t="shared" si="2"/>
        <v>On time</v>
      </c>
      <c r="O45" s="597"/>
      <c r="P45" s="507" t="s">
        <v>551</v>
      </c>
      <c r="Q45" s="507" t="s">
        <v>551</v>
      </c>
      <c r="R45" s="507" t="s">
        <v>551</v>
      </c>
      <c r="S45" s="598"/>
      <c r="T45" s="599"/>
      <c r="U45" s="599"/>
      <c r="V45" s="599"/>
      <c r="W45" s="599"/>
      <c r="X45" s="599"/>
      <c r="Y45" s="599"/>
      <c r="Z45" s="599"/>
      <c r="AA45" s="599"/>
      <c r="AB45" s="599">
        <f>H45*0.45</f>
        <v>1364.92605</v>
      </c>
      <c r="AC45" s="599">
        <f>H45*0.55</f>
        <v>1668.2429500000001</v>
      </c>
      <c r="AD45" s="599"/>
      <c r="AE45" s="599"/>
      <c r="AF45" s="599"/>
      <c r="AG45" s="599"/>
      <c r="AH45" s="599"/>
      <c r="AI45" s="599"/>
      <c r="AJ45" s="599"/>
      <c r="AK45" s="598"/>
      <c r="AL45" s="599"/>
      <c r="AM45" s="599"/>
      <c r="AN45" s="599"/>
      <c r="AO45" s="599"/>
      <c r="AP45" s="599"/>
      <c r="AQ45" s="599"/>
      <c r="AR45" s="599"/>
      <c r="AS45" s="599"/>
      <c r="AT45" s="599"/>
      <c r="AU45" s="599"/>
      <c r="AV45" s="599"/>
      <c r="AW45" s="599"/>
      <c r="AX45" s="598"/>
      <c r="AY45" s="599"/>
      <c r="AZ45" s="599"/>
      <c r="BA45" s="599"/>
      <c r="BB45" s="599"/>
      <c r="BC45" s="599"/>
      <c r="BD45" s="599"/>
      <c r="BE45" s="598"/>
    </row>
    <row r="46" spans="2:57">
      <c r="B46" s="1328"/>
      <c r="C46" s="1329"/>
      <c r="D46" s="501"/>
      <c r="E46" s="501"/>
      <c r="F46" s="1315" t="s">
        <v>668</v>
      </c>
      <c r="G46" s="1316"/>
      <c r="H46" s="856">
        <f>1000-440.045</f>
        <v>559.95499999999993</v>
      </c>
      <c r="I46" s="584"/>
      <c r="J46" s="504"/>
      <c r="K46" s="574"/>
      <c r="L46" s="504"/>
      <c r="M46" s="504"/>
      <c r="N46" s="505" t="str">
        <f t="shared" si="2"/>
        <v xml:space="preserve"> </v>
      </c>
      <c r="O46" s="597"/>
      <c r="P46" s="507"/>
      <c r="Q46" s="507"/>
      <c r="R46" s="507"/>
      <c r="S46" s="598"/>
      <c r="T46" s="599"/>
      <c r="U46" s="599"/>
      <c r="V46" s="599"/>
      <c r="W46" s="599"/>
      <c r="X46" s="599"/>
      <c r="Y46" s="599"/>
      <c r="Z46" s="599"/>
      <c r="AA46" s="599"/>
      <c r="AB46" s="508"/>
      <c r="AC46" s="821"/>
      <c r="AD46" s="599"/>
      <c r="AE46" s="599"/>
      <c r="AF46" s="599"/>
      <c r="AG46" s="599"/>
      <c r="AH46" s="599"/>
      <c r="AI46" s="599"/>
      <c r="AJ46" s="599"/>
      <c r="AK46" s="599"/>
      <c r="AL46" s="599"/>
      <c r="AM46" s="599"/>
      <c r="AN46" s="599"/>
      <c r="AO46" s="599"/>
      <c r="AP46" s="599"/>
      <c r="AQ46" s="599"/>
      <c r="AR46" s="599"/>
      <c r="AS46" s="599"/>
      <c r="AT46" s="599"/>
      <c r="AU46" s="599"/>
      <c r="AV46" s="599"/>
      <c r="AW46" s="599"/>
      <c r="AX46" s="599"/>
      <c r="AY46" s="599"/>
      <c r="AZ46" s="599"/>
      <c r="BA46" s="599"/>
      <c r="BB46" s="599"/>
      <c r="BC46" s="599"/>
      <c r="BD46" s="599"/>
      <c r="BE46" s="598"/>
    </row>
    <row r="47" spans="2:57">
      <c r="B47" s="1326" t="s">
        <v>623</v>
      </c>
      <c r="C47" s="1327"/>
      <c r="D47" s="501" t="s">
        <v>3562</v>
      </c>
      <c r="E47" s="501"/>
      <c r="F47" s="501" t="s">
        <v>3563</v>
      </c>
      <c r="G47" s="501" t="s">
        <v>206</v>
      </c>
      <c r="H47" s="629">
        <v>7285.8620000000001</v>
      </c>
      <c r="I47" s="584" t="s">
        <v>240</v>
      </c>
      <c r="J47" s="504">
        <v>45259.083333333336</v>
      </c>
      <c r="K47" s="574"/>
      <c r="L47" s="574" t="s">
        <v>192</v>
      </c>
      <c r="M47" s="574" t="s">
        <v>192</v>
      </c>
      <c r="N47" s="505" t="str">
        <f t="shared" si="2"/>
        <v>On time</v>
      </c>
      <c r="O47" s="597"/>
      <c r="P47" s="507" t="s">
        <v>551</v>
      </c>
      <c r="Q47" s="507" t="s">
        <v>551</v>
      </c>
      <c r="R47" s="507" t="s">
        <v>551</v>
      </c>
      <c r="S47" s="598"/>
      <c r="T47" s="599"/>
      <c r="U47" s="599"/>
      <c r="V47" s="599"/>
      <c r="W47" s="599"/>
      <c r="X47" s="599"/>
      <c r="Y47" s="599"/>
      <c r="Z47" s="599"/>
      <c r="AA47" s="599"/>
      <c r="AB47" s="599"/>
      <c r="AC47" s="599">
        <f>H47</f>
        <v>7285.8620000000001</v>
      </c>
      <c r="AD47" s="599"/>
      <c r="AE47" s="599"/>
      <c r="AF47" s="599"/>
      <c r="AG47" s="599"/>
      <c r="AH47" s="599"/>
      <c r="AI47" s="599"/>
      <c r="AJ47" s="599"/>
      <c r="AK47" s="599"/>
      <c r="AL47" s="599"/>
      <c r="AM47" s="599"/>
      <c r="AN47" s="599"/>
      <c r="AO47" s="599"/>
      <c r="AP47" s="599"/>
      <c r="AQ47" s="599"/>
      <c r="AR47" s="599"/>
      <c r="AS47" s="599"/>
      <c r="AT47" s="599"/>
      <c r="AU47" s="599"/>
      <c r="AV47" s="599"/>
      <c r="AW47" s="599"/>
      <c r="AX47" s="599"/>
      <c r="AY47" s="599"/>
      <c r="AZ47" s="599"/>
      <c r="BA47" s="599"/>
      <c r="BB47" s="599"/>
      <c r="BC47" s="599"/>
      <c r="BD47" s="599"/>
      <c r="BE47" s="598"/>
    </row>
    <row r="48" spans="2:57">
      <c r="B48" s="1421"/>
      <c r="C48" s="1422"/>
      <c r="D48" s="501"/>
      <c r="E48" s="501"/>
      <c r="F48" s="1315" t="s">
        <v>668</v>
      </c>
      <c r="G48" s="1316"/>
      <c r="H48" s="629">
        <v>590.30999999999995</v>
      </c>
      <c r="I48" s="584"/>
      <c r="J48" s="504"/>
      <c r="K48" s="574"/>
      <c r="L48" s="504"/>
      <c r="M48" s="504"/>
      <c r="N48" s="505" t="str">
        <f t="shared" si="2"/>
        <v xml:space="preserve"> </v>
      </c>
      <c r="O48" s="597"/>
      <c r="P48" s="507"/>
      <c r="Q48" s="507"/>
      <c r="R48" s="507"/>
      <c r="S48" s="598"/>
      <c r="T48" s="599"/>
      <c r="U48" s="599"/>
      <c r="V48" s="599"/>
      <c r="W48" s="599"/>
      <c r="X48" s="599"/>
      <c r="Y48" s="599"/>
      <c r="Z48" s="599"/>
      <c r="AA48" s="599"/>
      <c r="AB48" s="508"/>
      <c r="AC48" s="821"/>
      <c r="AD48" s="599"/>
      <c r="AE48" s="599"/>
      <c r="AF48" s="599"/>
      <c r="AG48" s="599"/>
      <c r="AH48" s="599"/>
      <c r="AI48" s="599"/>
      <c r="AJ48" s="599"/>
      <c r="AK48" s="599"/>
      <c r="AL48" s="599"/>
      <c r="AM48" s="599"/>
      <c r="AN48" s="599"/>
      <c r="AO48" s="599"/>
      <c r="AP48" s="599"/>
      <c r="AQ48" s="599"/>
      <c r="AR48" s="599"/>
      <c r="AS48" s="599"/>
      <c r="AT48" s="599"/>
      <c r="AU48" s="599"/>
      <c r="AV48" s="599"/>
      <c r="AW48" s="599"/>
      <c r="AX48" s="599"/>
      <c r="AY48" s="599"/>
      <c r="AZ48" s="599"/>
      <c r="BA48" s="599"/>
      <c r="BB48" s="599"/>
      <c r="BC48" s="599"/>
      <c r="BD48" s="599"/>
      <c r="BE48" s="598"/>
    </row>
    <row r="49" spans="2:57">
      <c r="B49" s="1328"/>
      <c r="C49" s="1329"/>
      <c r="D49" s="501"/>
      <c r="E49" s="501"/>
      <c r="F49" s="1315" t="s">
        <v>616</v>
      </c>
      <c r="G49" s="1316"/>
      <c r="H49" s="629">
        <v>1500</v>
      </c>
      <c r="I49" s="584"/>
      <c r="J49" s="504"/>
      <c r="K49" s="574"/>
      <c r="L49" s="504"/>
      <c r="M49" s="504"/>
      <c r="N49" s="505" t="str">
        <f t="shared" si="2"/>
        <v xml:space="preserve"> </v>
      </c>
      <c r="O49" s="597"/>
      <c r="P49" s="507"/>
      <c r="Q49" s="507"/>
      <c r="R49" s="507"/>
      <c r="S49" s="598"/>
      <c r="T49" s="599"/>
      <c r="U49" s="599"/>
      <c r="V49" s="599"/>
      <c r="W49" s="599"/>
      <c r="X49" s="599"/>
      <c r="Y49" s="599"/>
      <c r="Z49" s="599"/>
      <c r="AA49" s="599"/>
      <c r="AB49" s="508"/>
      <c r="AC49" s="821"/>
      <c r="AD49" s="599"/>
      <c r="AE49" s="599"/>
      <c r="AF49" s="599"/>
      <c r="AG49" s="599"/>
      <c r="AH49" s="599"/>
      <c r="AI49" s="599"/>
      <c r="AJ49" s="599"/>
      <c r="AK49" s="599"/>
      <c r="AL49" s="599"/>
      <c r="AM49" s="599"/>
      <c r="AN49" s="599"/>
      <c r="AO49" s="599"/>
      <c r="AP49" s="599"/>
      <c r="AQ49" s="599"/>
      <c r="AR49" s="599"/>
      <c r="AS49" s="599"/>
      <c r="AT49" s="599"/>
      <c r="AU49" s="599"/>
      <c r="AV49" s="599"/>
      <c r="AW49" s="599"/>
      <c r="AX49" s="599"/>
      <c r="AY49" s="599"/>
      <c r="AZ49" s="599"/>
      <c r="BA49" s="599"/>
      <c r="BB49" s="599"/>
      <c r="BC49" s="599"/>
      <c r="BD49" s="599"/>
      <c r="BE49" s="598"/>
    </row>
    <row r="50" spans="2:57">
      <c r="B50" s="1326" t="s">
        <v>624</v>
      </c>
      <c r="C50" s="1327"/>
      <c r="D50" s="501" t="s">
        <v>3567</v>
      </c>
      <c r="E50" s="501"/>
      <c r="F50" s="501" t="s">
        <v>2388</v>
      </c>
      <c r="G50" s="501" t="s">
        <v>289</v>
      </c>
      <c r="H50" s="629">
        <v>7502.3090000000002</v>
      </c>
      <c r="I50" s="584" t="s">
        <v>240</v>
      </c>
      <c r="J50" s="504">
        <v>45259.458333333336</v>
      </c>
      <c r="K50" s="504"/>
      <c r="L50" s="574" t="s">
        <v>192</v>
      </c>
      <c r="M50" s="574" t="s">
        <v>192</v>
      </c>
      <c r="N50" s="505" t="str">
        <f t="shared" si="2"/>
        <v>On time</v>
      </c>
      <c r="O50" s="597"/>
      <c r="P50" s="507" t="s">
        <v>551</v>
      </c>
      <c r="Q50" s="507" t="s">
        <v>551</v>
      </c>
      <c r="R50" s="507" t="s">
        <v>551</v>
      </c>
      <c r="S50" s="598"/>
      <c r="T50" s="599"/>
      <c r="U50" s="599"/>
      <c r="V50" s="599"/>
      <c r="W50" s="599"/>
      <c r="X50" s="599"/>
      <c r="Y50" s="599"/>
      <c r="Z50" s="599"/>
      <c r="AA50" s="599"/>
      <c r="AB50" s="599"/>
      <c r="AC50" s="599">
        <f t="shared" ref="AC50" si="3">H50</f>
        <v>7502.3090000000002</v>
      </c>
      <c r="AD50" s="599"/>
      <c r="AE50" s="599"/>
      <c r="AF50" s="599"/>
      <c r="AG50" s="599"/>
      <c r="AH50" s="599"/>
      <c r="AI50" s="599"/>
      <c r="AJ50" s="599"/>
      <c r="AK50" s="599"/>
      <c r="AL50" s="599"/>
      <c r="AM50" s="599"/>
      <c r="AN50" s="599"/>
      <c r="AO50" s="599"/>
      <c r="AP50" s="598"/>
      <c r="AQ50" s="599"/>
      <c r="AR50" s="599"/>
      <c r="AS50" s="599"/>
      <c r="AT50" s="599"/>
      <c r="AU50" s="599"/>
      <c r="AV50" s="599"/>
      <c r="AW50" s="599"/>
      <c r="AX50" s="599"/>
      <c r="AY50" s="599"/>
      <c r="AZ50" s="599"/>
      <c r="BA50" s="599"/>
      <c r="BB50" s="599"/>
      <c r="BC50" s="599"/>
      <c r="BD50" s="599"/>
      <c r="BE50" s="598"/>
    </row>
    <row r="51" spans="2:57">
      <c r="B51" s="1328"/>
      <c r="C51" s="1329"/>
      <c r="D51" s="501"/>
      <c r="E51" s="501"/>
      <c r="F51" s="1315" t="s">
        <v>616</v>
      </c>
      <c r="G51" s="1316"/>
      <c r="H51" s="629">
        <v>800</v>
      </c>
      <c r="I51" s="584"/>
      <c r="J51" s="504"/>
      <c r="K51" s="574"/>
      <c r="L51" s="504"/>
      <c r="M51" s="504"/>
      <c r="N51" s="505" t="str">
        <f t="shared" si="2"/>
        <v xml:space="preserve"> </v>
      </c>
      <c r="O51" s="597"/>
      <c r="P51" s="507"/>
      <c r="Q51" s="507"/>
      <c r="R51" s="507"/>
      <c r="S51" s="598"/>
      <c r="T51" s="599"/>
      <c r="U51" s="599"/>
      <c r="V51" s="599"/>
      <c r="W51" s="599"/>
      <c r="X51" s="599"/>
      <c r="Y51" s="599"/>
      <c r="Z51" s="599"/>
      <c r="AA51" s="599"/>
      <c r="AB51" s="508"/>
      <c r="AC51" s="821"/>
      <c r="AD51" s="599"/>
      <c r="AE51" s="599"/>
      <c r="AF51" s="599"/>
      <c r="AG51" s="599"/>
      <c r="AH51" s="599"/>
      <c r="AI51" s="599"/>
      <c r="AJ51" s="599"/>
      <c r="AK51" s="599"/>
      <c r="AL51" s="599"/>
      <c r="AM51" s="599"/>
      <c r="AN51" s="599"/>
      <c r="AO51" s="599"/>
      <c r="AP51" s="599"/>
      <c r="AQ51" s="599"/>
      <c r="AR51" s="599"/>
      <c r="AS51" s="599"/>
      <c r="AT51" s="599"/>
      <c r="AU51" s="599"/>
      <c r="AV51" s="599"/>
      <c r="AW51" s="599"/>
      <c r="AX51" s="599"/>
      <c r="AY51" s="599"/>
      <c r="AZ51" s="599"/>
      <c r="BA51" s="599"/>
      <c r="BB51" s="599"/>
      <c r="BC51" s="599"/>
      <c r="BD51" s="599"/>
      <c r="BE51" s="598"/>
    </row>
    <row r="52" spans="2:57">
      <c r="B52" s="1326" t="s">
        <v>625</v>
      </c>
      <c r="C52" s="1327"/>
      <c r="D52" s="501" t="s">
        <v>3565</v>
      </c>
      <c r="E52" s="501"/>
      <c r="F52" s="501" t="s">
        <v>367</v>
      </c>
      <c r="G52" s="501" t="s">
        <v>368</v>
      </c>
      <c r="H52" s="629">
        <v>9844.9740000000002</v>
      </c>
      <c r="I52" s="584" t="s">
        <v>240</v>
      </c>
      <c r="J52" s="504">
        <v>45259.979166666664</v>
      </c>
      <c r="K52" s="504"/>
      <c r="L52" s="574" t="s">
        <v>192</v>
      </c>
      <c r="M52" s="574" t="s">
        <v>192</v>
      </c>
      <c r="N52" s="505" t="str">
        <f t="shared" si="2"/>
        <v>On time</v>
      </c>
      <c r="O52" s="597"/>
      <c r="P52" s="507" t="s">
        <v>551</v>
      </c>
      <c r="Q52" s="507" t="s">
        <v>551</v>
      </c>
      <c r="R52" s="507" t="s">
        <v>551</v>
      </c>
      <c r="S52" s="598"/>
      <c r="T52" s="599"/>
      <c r="U52" s="599"/>
      <c r="V52" s="599"/>
      <c r="W52" s="599"/>
      <c r="X52" s="599"/>
      <c r="Y52" s="599"/>
      <c r="Z52" s="599"/>
      <c r="AA52" s="599"/>
      <c r="AB52" s="599"/>
      <c r="AC52" s="599">
        <f t="shared" ref="AC52:AC54" si="4">H52</f>
        <v>9844.9740000000002</v>
      </c>
      <c r="AD52" s="599"/>
      <c r="AE52" s="599"/>
      <c r="AF52" s="599"/>
      <c r="AG52" s="599"/>
      <c r="AH52" s="599"/>
      <c r="AI52" s="599"/>
      <c r="AJ52" s="599"/>
      <c r="AK52" s="598"/>
      <c r="AL52" s="599"/>
      <c r="AM52" s="599"/>
      <c r="AN52" s="599"/>
      <c r="AO52" s="599"/>
      <c r="AP52" s="599"/>
      <c r="AQ52" s="599"/>
      <c r="AR52" s="599"/>
      <c r="AS52" s="599"/>
      <c r="AT52" s="599"/>
      <c r="AU52" s="599"/>
      <c r="AV52" s="599"/>
      <c r="AW52" s="599"/>
      <c r="AX52" s="598"/>
      <c r="AY52" s="599"/>
      <c r="AZ52" s="599"/>
      <c r="BA52" s="599"/>
      <c r="BB52" s="599"/>
      <c r="BC52" s="599"/>
      <c r="BD52" s="599"/>
      <c r="BE52" s="598"/>
    </row>
    <row r="53" spans="2:57">
      <c r="B53" s="1328"/>
      <c r="C53" s="1329"/>
      <c r="D53" s="501"/>
      <c r="E53" s="501"/>
      <c r="F53" s="1315" t="s">
        <v>616</v>
      </c>
      <c r="G53" s="1316"/>
      <c r="H53" s="629">
        <v>1800</v>
      </c>
      <c r="I53" s="584"/>
      <c r="J53" s="504"/>
      <c r="K53" s="574"/>
      <c r="L53" s="574"/>
      <c r="M53" s="574"/>
      <c r="N53" s="505" t="str">
        <f t="shared" si="2"/>
        <v xml:space="preserve"> </v>
      </c>
      <c r="O53" s="597"/>
      <c r="P53" s="507"/>
      <c r="Q53" s="507"/>
      <c r="R53" s="507"/>
      <c r="S53" s="598"/>
      <c r="T53" s="599"/>
      <c r="U53" s="599"/>
      <c r="V53" s="599"/>
      <c r="W53" s="599"/>
      <c r="X53" s="599"/>
      <c r="Y53" s="599"/>
      <c r="Z53" s="599"/>
      <c r="AA53" s="599"/>
      <c r="AB53" s="508"/>
      <c r="AC53" s="821"/>
      <c r="AD53" s="599"/>
      <c r="AE53" s="599"/>
      <c r="AF53" s="599"/>
      <c r="AG53" s="599"/>
      <c r="AH53" s="599"/>
      <c r="AI53" s="599"/>
      <c r="AJ53" s="599"/>
      <c r="AK53" s="599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599"/>
      <c r="BC53" s="599"/>
      <c r="BD53" s="599"/>
      <c r="BE53" s="598"/>
    </row>
    <row r="54" spans="2:57">
      <c r="B54" s="1326" t="s">
        <v>669</v>
      </c>
      <c r="C54" s="1327"/>
      <c r="D54" s="501" t="s">
        <v>3568</v>
      </c>
      <c r="E54" s="501"/>
      <c r="F54" s="501" t="s">
        <v>1392</v>
      </c>
      <c r="G54" s="501" t="s">
        <v>365</v>
      </c>
      <c r="H54" s="1045">
        <v>7357.7860000000001</v>
      </c>
      <c r="I54" s="584" t="s">
        <v>240</v>
      </c>
      <c r="J54" s="504">
        <v>45260.9375</v>
      </c>
      <c r="K54" s="504"/>
      <c r="L54" s="574" t="s">
        <v>192</v>
      </c>
      <c r="M54" s="574" t="s">
        <v>192</v>
      </c>
      <c r="N54" s="505" t="str">
        <f t="shared" si="2"/>
        <v>On time</v>
      </c>
      <c r="O54" s="597"/>
      <c r="P54" s="507" t="s">
        <v>551</v>
      </c>
      <c r="Q54" s="507" t="s">
        <v>551</v>
      </c>
      <c r="R54" s="507" t="s">
        <v>551</v>
      </c>
      <c r="S54" s="598"/>
      <c r="T54" s="599"/>
      <c r="U54" s="599"/>
      <c r="V54" s="599"/>
      <c r="W54" s="599"/>
      <c r="X54" s="599"/>
      <c r="Y54" s="599"/>
      <c r="Z54" s="599"/>
      <c r="AA54" s="599"/>
      <c r="AB54" s="599"/>
      <c r="AC54" s="599">
        <f t="shared" si="4"/>
        <v>7357.7860000000001</v>
      </c>
      <c r="AD54" s="599"/>
      <c r="AE54" s="599"/>
      <c r="AF54" s="599"/>
      <c r="AG54" s="599"/>
      <c r="AH54" s="599"/>
      <c r="AI54" s="599"/>
      <c r="AJ54" s="599"/>
      <c r="AK54" s="599"/>
      <c r="AL54" s="599"/>
      <c r="AM54" s="599"/>
      <c r="AN54" s="599"/>
      <c r="AO54" s="599"/>
      <c r="AP54" s="598"/>
      <c r="AQ54" s="599"/>
      <c r="AR54" s="599"/>
      <c r="AS54" s="599"/>
      <c r="AT54" s="599"/>
      <c r="AU54" s="599"/>
      <c r="AV54" s="599"/>
      <c r="AW54" s="599"/>
      <c r="AX54" s="599"/>
      <c r="AY54" s="599"/>
      <c r="AZ54" s="599"/>
      <c r="BA54" s="599"/>
      <c r="BB54" s="599"/>
      <c r="BC54" s="599"/>
      <c r="BD54" s="599"/>
      <c r="BE54" s="598"/>
    </row>
    <row r="55" spans="2:57">
      <c r="B55" s="1328"/>
      <c r="C55" s="1329"/>
      <c r="D55" s="501"/>
      <c r="E55" s="501"/>
      <c r="F55" s="1315" t="s">
        <v>616</v>
      </c>
      <c r="G55" s="1316"/>
      <c r="H55" s="629">
        <v>1100</v>
      </c>
      <c r="I55" s="584"/>
      <c r="J55" s="504"/>
      <c r="K55" s="574"/>
      <c r="L55" s="504"/>
      <c r="M55" s="504"/>
      <c r="N55" s="505" t="str">
        <f t="shared" si="2"/>
        <v xml:space="preserve"> </v>
      </c>
      <c r="O55" s="597"/>
      <c r="P55" s="507"/>
      <c r="Q55" s="507"/>
      <c r="R55" s="507"/>
      <c r="S55" s="598"/>
      <c r="T55" s="599"/>
      <c r="U55" s="599"/>
      <c r="V55" s="599"/>
      <c r="W55" s="599"/>
      <c r="X55" s="599"/>
      <c r="Y55" s="599"/>
      <c r="Z55" s="599"/>
      <c r="AA55" s="599"/>
      <c r="AB55" s="508"/>
      <c r="AC55" s="821"/>
      <c r="AD55" s="599"/>
      <c r="AE55" s="599"/>
      <c r="AF55" s="599"/>
      <c r="AG55" s="599"/>
      <c r="AH55" s="599"/>
      <c r="AI55" s="599"/>
      <c r="AJ55" s="599"/>
      <c r="AK55" s="599"/>
      <c r="AL55" s="599"/>
      <c r="AM55" s="599"/>
      <c r="AN55" s="599"/>
      <c r="AO55" s="599"/>
      <c r="AP55" s="599"/>
      <c r="AQ55" s="599"/>
      <c r="AR55" s="599"/>
      <c r="AS55" s="599"/>
      <c r="AT55" s="599"/>
      <c r="AU55" s="599"/>
      <c r="AV55" s="599"/>
      <c r="AW55" s="599"/>
      <c r="AX55" s="599"/>
      <c r="AY55" s="599"/>
      <c r="AZ55" s="599"/>
      <c r="BA55" s="599"/>
      <c r="BB55" s="599"/>
      <c r="BC55" s="599"/>
      <c r="BD55" s="599"/>
      <c r="BE55" s="598"/>
    </row>
    <row r="56" spans="2:57">
      <c r="B56" s="1326" t="s">
        <v>670</v>
      </c>
      <c r="C56" s="1327"/>
      <c r="D56" s="501" t="s">
        <v>3569</v>
      </c>
      <c r="E56" s="501"/>
      <c r="F56" s="501" t="s">
        <v>422</v>
      </c>
      <c r="G56" s="501" t="s">
        <v>3342</v>
      </c>
      <c r="H56" s="629">
        <f>7406.037-1867.033</f>
        <v>5539.0040000000008</v>
      </c>
      <c r="I56" s="584" t="s">
        <v>934</v>
      </c>
      <c r="J56" s="504">
        <v>45260.600694444445</v>
      </c>
      <c r="K56" s="574"/>
      <c r="L56" s="574" t="s">
        <v>192</v>
      </c>
      <c r="M56" s="574" t="s">
        <v>192</v>
      </c>
      <c r="N56" s="505" t="str">
        <f t="shared" si="2"/>
        <v>On time</v>
      </c>
      <c r="O56" s="597"/>
      <c r="P56" s="507" t="s">
        <v>551</v>
      </c>
      <c r="Q56" s="507" t="s">
        <v>551</v>
      </c>
      <c r="R56" s="507" t="s">
        <v>551</v>
      </c>
      <c r="S56" s="598"/>
      <c r="T56" s="599"/>
      <c r="U56" s="599"/>
      <c r="V56" s="599"/>
      <c r="W56" s="599"/>
      <c r="X56" s="599"/>
      <c r="Y56" s="599"/>
      <c r="Z56" s="599"/>
      <c r="AA56" s="599"/>
      <c r="AB56" s="599">
        <f>(H56*0.6)</f>
        <v>3323.4024000000004</v>
      </c>
      <c r="AC56" s="599">
        <f>H56*0.4</f>
        <v>2215.6016000000004</v>
      </c>
      <c r="AD56" s="599"/>
      <c r="AE56" s="599"/>
      <c r="AF56" s="599"/>
      <c r="AG56" s="599"/>
      <c r="AH56" s="599"/>
      <c r="AI56" s="599"/>
      <c r="AJ56" s="599"/>
      <c r="AK56" s="599"/>
      <c r="AL56" s="599"/>
      <c r="AM56" s="599"/>
      <c r="AN56" s="599"/>
      <c r="AO56" s="599"/>
      <c r="AP56" s="599"/>
      <c r="AQ56" s="599"/>
      <c r="AR56" s="599"/>
      <c r="AS56" s="599"/>
      <c r="AT56" s="599"/>
      <c r="AU56" s="599"/>
      <c r="AV56" s="599"/>
      <c r="AW56" s="599"/>
      <c r="AX56" s="599"/>
      <c r="AY56" s="599"/>
      <c r="AZ56" s="599"/>
      <c r="BA56" s="599"/>
      <c r="BB56" s="599"/>
      <c r="BC56" s="599"/>
      <c r="BD56" s="599"/>
      <c r="BE56" s="598"/>
    </row>
    <row r="57" spans="2:57">
      <c r="B57" s="1328"/>
      <c r="C57" s="1329"/>
      <c r="D57" s="501"/>
      <c r="E57" s="501"/>
      <c r="F57" s="1315" t="s">
        <v>616</v>
      </c>
      <c r="G57" s="1316"/>
      <c r="H57" s="629">
        <v>500.31700000000001</v>
      </c>
      <c r="I57" s="584"/>
      <c r="J57" s="504"/>
      <c r="K57" s="574"/>
      <c r="L57" s="504"/>
      <c r="M57" s="504"/>
      <c r="N57" s="505" t="str">
        <f t="shared" si="2"/>
        <v xml:space="preserve"> </v>
      </c>
      <c r="O57" s="597"/>
      <c r="P57" s="507"/>
      <c r="Q57" s="507"/>
      <c r="R57" s="507"/>
      <c r="S57" s="598"/>
      <c r="T57" s="599"/>
      <c r="U57" s="599"/>
      <c r="V57" s="599"/>
      <c r="W57" s="599"/>
      <c r="X57" s="599"/>
      <c r="Y57" s="599"/>
      <c r="Z57" s="599"/>
      <c r="AA57" s="599"/>
      <c r="AB57" s="508"/>
      <c r="AC57" s="821"/>
      <c r="AD57" s="599"/>
      <c r="AE57" s="599"/>
      <c r="AF57" s="599"/>
      <c r="AG57" s="599"/>
      <c r="AH57" s="599"/>
      <c r="AI57" s="599"/>
      <c r="AJ57" s="599"/>
      <c r="AK57" s="599"/>
      <c r="AL57" s="599"/>
      <c r="AM57" s="599"/>
      <c r="AN57" s="599"/>
      <c r="AO57" s="599"/>
      <c r="AP57" s="599"/>
      <c r="AQ57" s="599"/>
      <c r="AR57" s="599"/>
      <c r="AS57" s="599"/>
      <c r="AT57" s="599"/>
      <c r="AU57" s="599"/>
      <c r="AV57" s="599"/>
      <c r="AW57" s="599"/>
      <c r="AX57" s="599"/>
      <c r="AY57" s="599"/>
      <c r="AZ57" s="599"/>
      <c r="BA57" s="599"/>
      <c r="BB57" s="599"/>
      <c r="BC57" s="599"/>
      <c r="BD57" s="599"/>
      <c r="BE57" s="598"/>
    </row>
    <row r="58" spans="2:57">
      <c r="B58" s="1351" t="s">
        <v>626</v>
      </c>
      <c r="C58" s="1352"/>
      <c r="D58" s="1352"/>
      <c r="E58" s="1352"/>
      <c r="F58" s="1352"/>
      <c r="G58" s="1352"/>
      <c r="H58" s="908">
        <f>H39+H42+H45+H47+H50+H52+H54+H56</f>
        <v>55649.418000000005</v>
      </c>
      <c r="I58" s="868"/>
      <c r="J58" s="869"/>
      <c r="K58" s="869"/>
      <c r="L58" s="869"/>
      <c r="M58" s="869"/>
      <c r="N58" s="505" t="str">
        <f t="shared" si="2"/>
        <v xml:space="preserve"> </v>
      </c>
      <c r="O58" s="552"/>
      <c r="P58" s="706"/>
      <c r="Q58" s="706"/>
      <c r="R58" s="706"/>
      <c r="S58" s="598"/>
      <c r="T58" s="1462"/>
      <c r="U58" s="1462"/>
      <c r="V58" s="1462"/>
      <c r="W58" s="1462"/>
      <c r="X58" s="1462"/>
      <c r="Y58" s="1462"/>
      <c r="Z58" s="1462"/>
      <c r="AA58" s="1462"/>
      <c r="AB58" s="1462"/>
      <c r="AC58" s="1462"/>
      <c r="AD58" s="1462"/>
      <c r="AE58" s="1462"/>
      <c r="AF58" s="1462"/>
      <c r="AG58" s="1462"/>
      <c r="AH58" s="1462"/>
      <c r="AI58" s="1462"/>
      <c r="AJ58" s="1462"/>
      <c r="AK58" s="1462"/>
      <c r="AL58" s="1462"/>
      <c r="AM58" s="1462"/>
      <c r="AN58" s="1462"/>
      <c r="AO58" s="1462"/>
      <c r="AP58" s="1462"/>
      <c r="AQ58" s="1462"/>
      <c r="AR58" s="1462"/>
      <c r="AS58" s="1462"/>
      <c r="AT58" s="1462"/>
      <c r="AU58" s="1462"/>
      <c r="AV58" s="1462"/>
      <c r="AW58" s="1462"/>
      <c r="AX58" s="1462"/>
      <c r="AY58" s="1462"/>
      <c r="AZ58" s="1462"/>
      <c r="BA58" s="1462"/>
      <c r="BB58" s="1462"/>
      <c r="BC58" s="1462"/>
      <c r="BD58" s="1462"/>
    </row>
    <row r="59" spans="2:57">
      <c r="B59" s="1258" t="s">
        <v>556</v>
      </c>
      <c r="C59" s="1259"/>
      <c r="D59" s="1259"/>
      <c r="E59" s="1259"/>
      <c r="F59" s="1259"/>
      <c r="G59" s="1260"/>
      <c r="H59" s="863">
        <f>H58+H38</f>
        <v>67000</v>
      </c>
      <c r="I59" s="1458"/>
      <c r="J59" s="1458"/>
      <c r="K59" s="1458"/>
      <c r="L59" s="1458"/>
      <c r="M59" s="1458"/>
      <c r="N59" s="505" t="str">
        <f t="shared" si="2"/>
        <v xml:space="preserve"> </v>
      </c>
      <c r="O59" s="212"/>
      <c r="P59" s="590"/>
      <c r="Q59" s="590"/>
      <c r="R59" s="590"/>
      <c r="S59" s="633"/>
      <c r="T59" s="1307"/>
      <c r="U59" s="1308"/>
      <c r="V59" s="1308"/>
      <c r="W59" s="1308"/>
      <c r="X59" s="1308"/>
      <c r="Y59" s="1308"/>
      <c r="Z59" s="1308"/>
      <c r="AA59" s="1308"/>
      <c r="AB59" s="1308"/>
      <c r="AC59" s="1308"/>
      <c r="AD59" s="1308"/>
      <c r="AE59" s="1308"/>
      <c r="AF59" s="1308"/>
      <c r="AG59" s="1308"/>
      <c r="AH59" s="1308"/>
      <c r="AI59" s="1308"/>
      <c r="AJ59" s="1308"/>
      <c r="AK59" s="1308"/>
      <c r="AL59" s="1308"/>
      <c r="AM59" s="1308"/>
      <c r="AN59" s="1308"/>
      <c r="AO59" s="1308"/>
      <c r="AP59" s="1308"/>
      <c r="AQ59" s="1308"/>
      <c r="AR59" s="1308"/>
      <c r="AS59" s="1308"/>
      <c r="AT59" s="1308"/>
      <c r="AU59" s="1308"/>
      <c r="AV59" s="1308"/>
      <c r="AW59" s="1308"/>
      <c r="AX59" s="1308"/>
      <c r="AY59" s="1308"/>
      <c r="AZ59" s="1308"/>
      <c r="BA59" s="1308"/>
      <c r="BB59" s="1308"/>
      <c r="BC59" s="1308"/>
      <c r="BD59" s="1308"/>
      <c r="BE59" s="39"/>
    </row>
    <row r="60" spans="2:57">
      <c r="B60" s="1415" t="s">
        <v>557</v>
      </c>
      <c r="C60" s="1416"/>
      <c r="D60" s="1416"/>
      <c r="E60" s="1416"/>
      <c r="F60" s="1416"/>
      <c r="G60" s="1417"/>
      <c r="H60" s="845">
        <v>67000</v>
      </c>
      <c r="I60" s="1455"/>
      <c r="J60" s="1455"/>
      <c r="K60" s="1455"/>
      <c r="L60" s="1455"/>
      <c r="M60" s="1455"/>
      <c r="N60" s="505" t="str">
        <f t="shared" si="2"/>
        <v xml:space="preserve"> </v>
      </c>
      <c r="O60" s="591"/>
      <c r="P60" s="415"/>
      <c r="Q60" s="415"/>
      <c r="R60" s="415"/>
      <c r="S60" s="740"/>
      <c r="T60" s="592">
        <f>SUM(T35:T57)</f>
        <v>0</v>
      </c>
      <c r="U60" s="592">
        <f t="shared" ref="U60:BD60" si="5">SUM(U35:U57)</f>
        <v>0</v>
      </c>
      <c r="V60" s="592">
        <f t="shared" si="5"/>
        <v>0</v>
      </c>
      <c r="W60" s="592">
        <f t="shared" si="5"/>
        <v>0</v>
      </c>
      <c r="X60" s="592">
        <f t="shared" si="5"/>
        <v>0</v>
      </c>
      <c r="Y60" s="592">
        <f t="shared" si="5"/>
        <v>0</v>
      </c>
      <c r="Z60" s="592">
        <f t="shared" si="5"/>
        <v>0</v>
      </c>
      <c r="AA60" s="592">
        <f t="shared" si="5"/>
        <v>0</v>
      </c>
      <c r="AB60" s="592">
        <f t="shared" si="5"/>
        <v>5709.5817999999999</v>
      </c>
      <c r="AC60" s="592">
        <f t="shared" si="5"/>
        <v>53090.101200000005</v>
      </c>
      <c r="AD60" s="592">
        <f t="shared" si="5"/>
        <v>0</v>
      </c>
      <c r="AE60" s="592">
        <f t="shared" si="5"/>
        <v>0</v>
      </c>
      <c r="AF60" s="592">
        <f t="shared" si="5"/>
        <v>0</v>
      </c>
      <c r="AG60" s="592">
        <f t="shared" si="5"/>
        <v>0</v>
      </c>
      <c r="AH60" s="592">
        <f t="shared" si="5"/>
        <v>0</v>
      </c>
      <c r="AI60" s="592">
        <f t="shared" si="5"/>
        <v>0</v>
      </c>
      <c r="AJ60" s="592">
        <f t="shared" si="5"/>
        <v>0</v>
      </c>
      <c r="AK60" s="592">
        <f t="shared" si="5"/>
        <v>0</v>
      </c>
      <c r="AL60" s="592">
        <f t="shared" si="5"/>
        <v>0</v>
      </c>
      <c r="AM60" s="592">
        <f t="shared" si="5"/>
        <v>0</v>
      </c>
      <c r="AN60" s="592">
        <f t="shared" si="5"/>
        <v>0</v>
      </c>
      <c r="AO60" s="592">
        <f t="shared" si="5"/>
        <v>0</v>
      </c>
      <c r="AP60" s="592">
        <f t="shared" si="5"/>
        <v>0</v>
      </c>
      <c r="AQ60" s="592">
        <f t="shared" si="5"/>
        <v>0</v>
      </c>
      <c r="AR60" s="592">
        <f t="shared" si="5"/>
        <v>0</v>
      </c>
      <c r="AS60" s="592">
        <f t="shared" si="5"/>
        <v>0</v>
      </c>
      <c r="AT60" s="592">
        <f t="shared" si="5"/>
        <v>0</v>
      </c>
      <c r="AU60" s="592">
        <f t="shared" si="5"/>
        <v>0</v>
      </c>
      <c r="AV60" s="592">
        <f t="shared" si="5"/>
        <v>0</v>
      </c>
      <c r="AW60" s="592">
        <f t="shared" si="5"/>
        <v>0</v>
      </c>
      <c r="AX60" s="592">
        <f t="shared" si="5"/>
        <v>0</v>
      </c>
      <c r="AY60" s="592">
        <f t="shared" si="5"/>
        <v>0</v>
      </c>
      <c r="AZ60" s="592">
        <f t="shared" si="5"/>
        <v>0</v>
      </c>
      <c r="BA60" s="592">
        <f t="shared" si="5"/>
        <v>8200.3169999999991</v>
      </c>
      <c r="BB60" s="592">
        <f t="shared" si="5"/>
        <v>0</v>
      </c>
      <c r="BC60" s="592">
        <f t="shared" si="5"/>
        <v>0</v>
      </c>
      <c r="BD60" s="592">
        <f t="shared" si="5"/>
        <v>0</v>
      </c>
      <c r="BE60" s="592">
        <f>SUM(T60:BD60)</f>
        <v>67000</v>
      </c>
    </row>
    <row r="61" spans="2:57">
      <c r="B61" s="1415" t="s">
        <v>558</v>
      </c>
      <c r="C61" s="1416"/>
      <c r="D61" s="1416"/>
      <c r="E61" s="1416"/>
      <c r="F61" s="1416"/>
      <c r="G61" s="1417"/>
      <c r="H61" s="712">
        <f>H60-L29</f>
        <v>0</v>
      </c>
      <c r="I61" s="745"/>
      <c r="J61" s="746"/>
      <c r="K61" s="746"/>
      <c r="L61" s="674"/>
      <c r="M61" s="633"/>
      <c r="N61" s="591"/>
      <c r="O61" s="591"/>
      <c r="P61" s="591"/>
      <c r="Q61" s="744"/>
      <c r="R61" s="744"/>
      <c r="S61" s="591"/>
      <c r="T61" s="645"/>
      <c r="U61" s="645"/>
      <c r="V61" s="645"/>
      <c r="W61" s="645"/>
      <c r="X61" s="645"/>
      <c r="Y61" s="645"/>
      <c r="Z61" s="645"/>
      <c r="AA61" s="645"/>
      <c r="AB61" s="645"/>
      <c r="AC61" s="591"/>
      <c r="AD61" s="591"/>
      <c r="AE61" s="591"/>
      <c r="AF61" s="591"/>
      <c r="AG61" s="591"/>
      <c r="AH61" s="591"/>
      <c r="AI61" s="591"/>
      <c r="AJ61" s="591"/>
      <c r="AK61" s="591"/>
      <c r="AL61" s="591"/>
      <c r="AM61" s="591"/>
      <c r="AN61" s="591"/>
      <c r="AO61" s="591"/>
      <c r="AP61" s="591"/>
      <c r="AQ61" s="591"/>
      <c r="AR61" s="591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</row>
    <row r="62" spans="2:57">
      <c r="B62" s="1415" t="s">
        <v>559</v>
      </c>
      <c r="C62" s="1416"/>
      <c r="D62" s="1416"/>
      <c r="E62" s="1416"/>
      <c r="F62" s="1416"/>
      <c r="G62" s="1417"/>
      <c r="H62" s="747">
        <v>1597.1469999999999</v>
      </c>
      <c r="I62" s="745"/>
      <c r="J62" s="746"/>
      <c r="K62" s="746"/>
      <c r="L62" s="674"/>
      <c r="M62" s="633"/>
      <c r="N62" s="613"/>
      <c r="O62" s="591"/>
      <c r="P62" s="591"/>
      <c r="Q62" s="591"/>
      <c r="R62" s="591"/>
      <c r="S62" s="591"/>
      <c r="T62" s="645"/>
      <c r="U62" s="645"/>
      <c r="V62" s="645"/>
      <c r="W62" s="645"/>
      <c r="X62" s="645"/>
      <c r="Y62" s="645"/>
      <c r="Z62" s="645"/>
      <c r="AA62" s="645"/>
      <c r="AB62" s="645"/>
      <c r="AC62" s="591"/>
      <c r="AD62" s="591"/>
      <c r="AE62" s="591"/>
      <c r="AF62" s="591"/>
      <c r="AG62" s="591"/>
      <c r="AH62" s="591"/>
      <c r="AI62" s="591"/>
      <c r="AJ62" s="591"/>
      <c r="AK62" s="591"/>
      <c r="AL62" s="591"/>
      <c r="AM62" s="591"/>
      <c r="AN62" s="591"/>
      <c r="AO62" s="591"/>
      <c r="AP62" s="591"/>
      <c r="AQ62" s="591"/>
      <c r="AR62" s="591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</row>
    <row r="63" spans="2:57" s="39" customFormat="1" ht="11.25" customHeight="1">
      <c r="B63" s="1415" t="s">
        <v>560</v>
      </c>
      <c r="C63" s="1416"/>
      <c r="D63" s="1416"/>
      <c r="E63" s="1416"/>
      <c r="F63" s="1416"/>
      <c r="G63" s="1417"/>
      <c r="H63" s="741">
        <f>H62-1867.033</f>
        <v>-269.88599999999997</v>
      </c>
      <c r="I63" s="641"/>
      <c r="J63" s="642"/>
      <c r="K63" s="642"/>
      <c r="L63" s="499"/>
      <c r="M63" s="613"/>
      <c r="N63" s="613"/>
      <c r="O63" s="613"/>
      <c r="P63" s="613"/>
      <c r="Q63" s="613"/>
      <c r="R63" s="613"/>
      <c r="S63" s="616"/>
      <c r="T63" s="616"/>
      <c r="U63" s="616"/>
      <c r="V63" s="616"/>
      <c r="W63" s="616"/>
      <c r="X63" s="616"/>
      <c r="Y63" s="616"/>
      <c r="Z63" s="616"/>
      <c r="AA63" s="616"/>
      <c r="AB63" s="613"/>
      <c r="AC63" s="613"/>
      <c r="AD63" s="613"/>
      <c r="AE63" s="613"/>
      <c r="AF63" s="613"/>
      <c r="AG63" s="613"/>
      <c r="AH63" s="613"/>
      <c r="AI63" s="613"/>
      <c r="AJ63" s="613"/>
      <c r="AK63" s="613"/>
      <c r="AL63" s="613"/>
      <c r="AM63" s="613"/>
      <c r="AN63" s="613"/>
      <c r="AO63" s="613"/>
      <c r="AP63" s="613"/>
      <c r="AQ63" s="613"/>
      <c r="AR63" s="496"/>
      <c r="AS63" s="496"/>
      <c r="AT63" s="496"/>
      <c r="AU63" s="496"/>
      <c r="AV63" s="496"/>
      <c r="AW63" s="496"/>
      <c r="AX63" s="496"/>
      <c r="AY63" s="496"/>
      <c r="AZ63" s="496"/>
      <c r="BA63" s="496"/>
    </row>
    <row r="64" spans="2:57">
      <c r="B64" s="613"/>
      <c r="C64" s="613"/>
      <c r="D64" s="613"/>
      <c r="E64" s="613"/>
      <c r="F64" s="613"/>
      <c r="G64" s="613"/>
      <c r="H64" s="613"/>
      <c r="I64" s="643"/>
      <c r="J64" s="641"/>
      <c r="K64" s="641"/>
      <c r="L64" s="644"/>
      <c r="M64" s="613"/>
      <c r="N64" s="613"/>
      <c r="O64" s="641"/>
      <c r="P64" s="591"/>
      <c r="Q64" s="591"/>
      <c r="R64" s="591"/>
      <c r="S64" s="591"/>
      <c r="T64" s="645"/>
      <c r="U64" s="645"/>
      <c r="V64" s="645"/>
      <c r="W64" s="645"/>
      <c r="X64" s="645"/>
      <c r="Y64" s="645"/>
      <c r="Z64" s="645"/>
      <c r="AA64" s="645"/>
      <c r="AB64" s="645"/>
      <c r="AC64" s="591"/>
      <c r="AD64" s="591"/>
      <c r="AE64" s="591"/>
      <c r="AF64" s="591"/>
      <c r="AG64" s="591"/>
      <c r="AH64" s="591"/>
      <c r="AI64" s="591"/>
      <c r="AJ64" s="591"/>
      <c r="AK64" s="591"/>
      <c r="AL64" s="591"/>
      <c r="AM64" s="591"/>
      <c r="AN64" s="591"/>
      <c r="AO64" s="591"/>
      <c r="AP64" s="591"/>
      <c r="AQ64" s="591"/>
      <c r="AR64" s="591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</row>
    <row r="65" spans="2:57">
      <c r="B65" s="619" t="s">
        <v>561</v>
      </c>
      <c r="C65" s="619"/>
      <c r="D65" s="591"/>
      <c r="E65" s="591"/>
      <c r="F65" s="591"/>
      <c r="G65" s="591"/>
      <c r="H65" s="591"/>
      <c r="I65" s="591"/>
      <c r="J65" s="646"/>
      <c r="K65" s="646"/>
      <c r="L65" s="647"/>
      <c r="M65" s="591"/>
      <c r="N65" s="613"/>
      <c r="O65" s="646"/>
      <c r="P65" s="616"/>
      <c r="Q65" s="616"/>
      <c r="R65" s="616"/>
      <c r="S65" s="616"/>
      <c r="T65" s="616"/>
      <c r="U65" s="616"/>
      <c r="V65" s="616"/>
      <c r="W65" s="616"/>
      <c r="X65" s="616"/>
      <c r="Y65" s="616"/>
      <c r="Z65" s="616"/>
      <c r="AA65" s="616"/>
      <c r="AB65" s="613"/>
      <c r="AC65" s="613"/>
      <c r="AD65" s="613"/>
      <c r="AE65" s="613"/>
      <c r="AF65" s="613"/>
      <c r="AG65" s="613"/>
      <c r="AH65" s="613"/>
      <c r="AI65" s="613"/>
      <c r="AJ65" s="613"/>
      <c r="AK65" s="613"/>
      <c r="AL65" s="613"/>
      <c r="AM65" s="613"/>
      <c r="AN65" s="613"/>
      <c r="AO65" s="613"/>
      <c r="AP65" s="613"/>
      <c r="AQ65" s="613"/>
      <c r="AR65" s="613"/>
      <c r="AS65" s="613"/>
      <c r="AT65" s="613"/>
      <c r="AU65" s="613"/>
      <c r="AV65" s="39"/>
      <c r="AW65" s="39"/>
      <c r="AX65" s="39"/>
      <c r="AY65" s="39"/>
      <c r="AZ65" s="39"/>
      <c r="BA65" s="39"/>
      <c r="BB65" s="39"/>
      <c r="BC65" s="39"/>
      <c r="BD65" s="39"/>
      <c r="BE65" s="613"/>
    </row>
    <row r="66" spans="2:57">
      <c r="B66" s="422">
        <v>1</v>
      </c>
      <c r="C66" s="1249" t="s">
        <v>4368</v>
      </c>
      <c r="D66" s="1249"/>
      <c r="E66" s="1249"/>
      <c r="F66" s="1249"/>
      <c r="G66" s="1249"/>
      <c r="H66" s="1249"/>
      <c r="I66" s="1249"/>
      <c r="J66" s="1249"/>
      <c r="K66" s="1249"/>
      <c r="L66" s="644"/>
      <c r="M66" s="644"/>
      <c r="N66" s="613"/>
      <c r="O66" s="641"/>
      <c r="P66" s="616"/>
      <c r="Q66" s="616"/>
      <c r="R66" s="616"/>
      <c r="S66" s="616"/>
      <c r="T66" s="616"/>
      <c r="U66" s="616"/>
      <c r="V66" s="616"/>
      <c r="W66" s="616"/>
      <c r="X66" s="616"/>
      <c r="Y66" s="616"/>
      <c r="Z66" s="616"/>
      <c r="AA66" s="616"/>
      <c r="AB66" s="613"/>
      <c r="AC66" s="613"/>
      <c r="AD66" s="613"/>
      <c r="AE66" s="613"/>
      <c r="AF66" s="613"/>
      <c r="AG66" s="613"/>
      <c r="AH66" s="613"/>
      <c r="AI66" s="613"/>
      <c r="AJ66" s="613"/>
      <c r="AK66" s="613"/>
      <c r="AL66" s="613"/>
      <c r="AM66" s="613"/>
      <c r="AN66" s="613"/>
      <c r="AO66" s="613"/>
      <c r="AP66" s="613"/>
      <c r="AQ66" s="613"/>
      <c r="AR66" s="613"/>
      <c r="AS66" s="613"/>
      <c r="AT66" s="613"/>
      <c r="AU66" s="613"/>
      <c r="AV66" s="613"/>
      <c r="AW66" s="613"/>
      <c r="AX66" s="613"/>
      <c r="AY66" s="613"/>
      <c r="AZ66" s="613"/>
      <c r="BA66" s="613"/>
      <c r="BB66" s="613"/>
      <c r="BC66" s="613"/>
      <c r="BD66" s="613"/>
      <c r="BE66" s="613"/>
    </row>
    <row r="68" spans="2:57">
      <c r="B68" s="28" t="s">
        <v>126</v>
      </c>
      <c r="C68" s="28"/>
      <c r="D68" s="614"/>
      <c r="E68" s="30" t="s">
        <v>511</v>
      </c>
      <c r="F68" s="31" t="s">
        <v>3168</v>
      </c>
      <c r="G68" s="591"/>
      <c r="H68" s="33"/>
      <c r="I68" s="615"/>
      <c r="J68" s="35" t="s">
        <v>513</v>
      </c>
      <c r="K68" s="36" t="s">
        <v>511</v>
      </c>
      <c r="L68" s="516">
        <v>45263.895833333336</v>
      </c>
      <c r="M68" s="591"/>
      <c r="N68" s="591"/>
      <c r="O68" s="206"/>
      <c r="P68" s="205"/>
      <c r="Q68" s="616"/>
      <c r="R68" s="204"/>
      <c r="S68" s="617"/>
      <c r="T68" s="613"/>
      <c r="U68" s="613"/>
      <c r="V68" s="613"/>
      <c r="W68" s="613"/>
      <c r="X68" s="613"/>
      <c r="Y68" s="613"/>
      <c r="Z68" s="613"/>
      <c r="AA68" s="613"/>
      <c r="AB68" s="616"/>
      <c r="AC68" s="616"/>
      <c r="AD68" s="616"/>
      <c r="AE68" s="616"/>
      <c r="AF68" s="616"/>
      <c r="AG68" s="613"/>
      <c r="AH68" s="613"/>
      <c r="AI68" s="613"/>
      <c r="AJ68" s="613"/>
      <c r="AK68" s="613"/>
      <c r="AL68" s="613"/>
      <c r="AM68" s="613"/>
      <c r="AN68" s="613"/>
      <c r="AO68" s="613"/>
      <c r="AP68" s="613"/>
      <c r="AQ68" s="613"/>
      <c r="AR68" s="613"/>
      <c r="AS68" s="613"/>
      <c r="AT68" s="613"/>
      <c r="AU68" s="613"/>
      <c r="AV68" s="613"/>
      <c r="AW68" s="613"/>
      <c r="AX68" s="613"/>
      <c r="AY68" s="613"/>
      <c r="AZ68" s="613"/>
      <c r="BA68" s="613"/>
      <c r="BB68" s="613"/>
      <c r="BC68" s="613"/>
      <c r="BD68" s="613"/>
      <c r="BE68" s="613"/>
    </row>
    <row r="69" spans="2:57">
      <c r="B69" s="35" t="s">
        <v>514</v>
      </c>
      <c r="C69" s="35"/>
      <c r="D69" s="591"/>
      <c r="E69" s="36" t="s">
        <v>511</v>
      </c>
      <c r="F69" s="311" t="s">
        <v>4369</v>
      </c>
      <c r="G69" s="769" t="s">
        <v>647</v>
      </c>
      <c r="H69" s="33"/>
      <c r="I69" s="615"/>
      <c r="J69" s="35" t="s">
        <v>516</v>
      </c>
      <c r="K69" s="36" t="s">
        <v>511</v>
      </c>
      <c r="L69" s="516">
        <v>45089.128472222219</v>
      </c>
      <c r="M69" s="591"/>
      <c r="N69" s="591"/>
      <c r="O69" s="206"/>
      <c r="P69" s="205"/>
      <c r="Q69" s="616"/>
      <c r="R69" s="204"/>
      <c r="S69" s="617"/>
      <c r="T69" s="613"/>
      <c r="U69" s="613"/>
      <c r="V69" s="613"/>
      <c r="W69" s="613"/>
      <c r="X69" s="613"/>
      <c r="Y69" s="613"/>
      <c r="Z69" s="613"/>
      <c r="AA69" s="613"/>
      <c r="AB69" s="616"/>
      <c r="AC69" s="616"/>
      <c r="AD69" s="616"/>
      <c r="AE69" s="616"/>
      <c r="AF69" s="616"/>
      <c r="AG69" s="613"/>
      <c r="AH69" s="613"/>
      <c r="AI69" s="613"/>
      <c r="AJ69" s="613"/>
      <c r="AK69" s="613"/>
      <c r="AL69" s="613"/>
      <c r="AM69" s="613"/>
      <c r="AN69" s="613"/>
      <c r="AO69" s="613"/>
      <c r="AP69" s="613"/>
      <c r="AQ69" s="613"/>
      <c r="AR69" s="613"/>
      <c r="AS69" s="613"/>
      <c r="AT69" s="613"/>
      <c r="AU69" s="613"/>
      <c r="AV69" s="613"/>
      <c r="AW69" s="613"/>
      <c r="AX69" s="613"/>
      <c r="AY69" s="613"/>
      <c r="AZ69" s="613"/>
      <c r="BA69" s="613"/>
      <c r="BB69" s="613"/>
      <c r="BC69" s="613"/>
      <c r="BD69" s="613"/>
      <c r="BE69" s="613"/>
    </row>
    <row r="70" spans="2:57">
      <c r="B70" s="35" t="s">
        <v>517</v>
      </c>
      <c r="C70" s="35"/>
      <c r="D70" s="591"/>
      <c r="E70" s="36" t="s">
        <v>511</v>
      </c>
      <c r="F70" s="516">
        <v>45259.041666666664</v>
      </c>
      <c r="G70" s="769">
        <v>45260</v>
      </c>
      <c r="H70" s="33"/>
      <c r="I70" s="615"/>
      <c r="J70" s="35" t="s">
        <v>518</v>
      </c>
      <c r="K70" s="36" t="s">
        <v>511</v>
      </c>
      <c r="L70" s="692">
        <v>74310</v>
      </c>
      <c r="M70" s="619" t="s">
        <v>519</v>
      </c>
      <c r="N70" s="619"/>
      <c r="O70" s="206"/>
      <c r="P70" s="205"/>
      <c r="Q70" s="616"/>
      <c r="R70" s="204"/>
      <c r="S70" s="617"/>
      <c r="T70" s="613"/>
      <c r="U70" s="613"/>
      <c r="V70" s="613"/>
      <c r="W70" s="613"/>
      <c r="X70" s="613"/>
      <c r="Y70" s="613"/>
      <c r="Z70" s="613"/>
      <c r="AA70" s="613"/>
      <c r="AB70" s="616"/>
      <c r="AC70" s="616"/>
      <c r="AD70" s="616"/>
      <c r="AE70" s="616"/>
      <c r="AF70" s="616"/>
      <c r="AG70" s="613"/>
      <c r="AH70" s="613"/>
      <c r="AI70" s="613"/>
      <c r="AJ70" s="613"/>
      <c r="AK70" s="613"/>
      <c r="AL70" s="613"/>
      <c r="AM70" s="613"/>
      <c r="AN70" s="613"/>
      <c r="AO70" s="613"/>
      <c r="AP70" s="613"/>
      <c r="AQ70" s="613"/>
      <c r="AR70" s="613"/>
      <c r="AS70" s="613"/>
      <c r="AT70" s="613"/>
      <c r="AU70" s="613"/>
      <c r="AV70" s="613"/>
      <c r="AW70" s="613"/>
      <c r="AX70" s="613"/>
      <c r="AY70" s="613"/>
      <c r="AZ70" s="613"/>
      <c r="BA70" s="613"/>
      <c r="BB70" s="613"/>
      <c r="BC70" s="613"/>
      <c r="BD70" s="613"/>
      <c r="BE70" s="613"/>
    </row>
    <row r="71" spans="2:57">
      <c r="B71" s="35" t="s">
        <v>520</v>
      </c>
      <c r="C71" s="35"/>
      <c r="D71" s="591"/>
      <c r="E71" s="36" t="s">
        <v>511</v>
      </c>
      <c r="F71" s="37" t="s">
        <v>12</v>
      </c>
      <c r="G71" s="591"/>
      <c r="H71" s="33"/>
      <c r="I71" s="615"/>
      <c r="J71" s="35" t="s">
        <v>521</v>
      </c>
      <c r="K71" s="36" t="s">
        <v>511</v>
      </c>
      <c r="L71" s="620" t="s">
        <v>3169</v>
      </c>
      <c r="M71" s="591"/>
      <c r="N71" s="591"/>
      <c r="O71" s="206"/>
      <c r="P71" s="616"/>
      <c r="Q71" s="616"/>
      <c r="R71" s="204"/>
      <c r="S71" s="617"/>
      <c r="T71" s="613"/>
      <c r="U71" s="613"/>
      <c r="V71" s="613"/>
      <c r="W71" s="613"/>
      <c r="X71" s="613"/>
      <c r="Y71" s="613"/>
      <c r="Z71" s="613"/>
      <c r="AA71" s="613"/>
      <c r="AB71" s="616"/>
      <c r="AC71" s="616"/>
      <c r="AD71" s="616"/>
      <c r="AE71" s="616"/>
      <c r="AF71" s="616"/>
      <c r="AG71" s="613"/>
      <c r="AH71" s="613"/>
      <c r="AI71" s="613"/>
      <c r="AJ71" s="613"/>
      <c r="AK71" s="613"/>
      <c r="AL71" s="613"/>
      <c r="AM71" s="613"/>
      <c r="AN71" s="613"/>
      <c r="AO71" s="613"/>
      <c r="AP71" s="613"/>
      <c r="AQ71" s="613"/>
      <c r="AR71" s="613"/>
      <c r="AS71" s="613"/>
      <c r="AT71" s="613"/>
      <c r="AU71" s="613"/>
      <c r="AV71" s="613"/>
      <c r="AW71" s="613"/>
      <c r="AX71" s="613"/>
      <c r="AY71" s="613"/>
      <c r="AZ71" s="613"/>
      <c r="BA71" s="613"/>
      <c r="BB71" s="613"/>
      <c r="BC71" s="613"/>
      <c r="BD71" s="613"/>
      <c r="BE71" s="613"/>
    </row>
    <row r="72" spans="2:57">
      <c r="B72" s="35" t="s">
        <v>523</v>
      </c>
      <c r="C72" s="35"/>
      <c r="D72" s="591"/>
      <c r="E72" s="36" t="s">
        <v>511</v>
      </c>
      <c r="F72" s="37" t="s">
        <v>32</v>
      </c>
      <c r="G72" s="591"/>
      <c r="H72" s="33"/>
      <c r="I72" s="615"/>
      <c r="J72" s="35" t="s">
        <v>524</v>
      </c>
      <c r="K72" s="36" t="s">
        <v>511</v>
      </c>
      <c r="L72" s="621" t="s">
        <v>15</v>
      </c>
      <c r="M72" s="611"/>
      <c r="N72" s="611"/>
      <c r="O72" s="206"/>
      <c r="P72" s="205"/>
      <c r="Q72" s="616"/>
      <c r="R72" s="204"/>
      <c r="S72" s="617"/>
      <c r="T72" s="613"/>
      <c r="U72" s="613"/>
      <c r="V72" s="613"/>
      <c r="W72" s="613"/>
      <c r="X72" s="613"/>
      <c r="Y72" s="613"/>
      <c r="Z72" s="613"/>
      <c r="AA72" s="613"/>
      <c r="AB72" s="616"/>
      <c r="AC72" s="616"/>
      <c r="AD72" s="616"/>
      <c r="AE72" s="616"/>
      <c r="AF72" s="616"/>
      <c r="AG72" s="613"/>
      <c r="AH72" s="613"/>
      <c r="AI72" s="613"/>
      <c r="AJ72" s="613"/>
      <c r="AK72" s="613"/>
      <c r="AL72" s="613"/>
      <c r="AM72" s="613"/>
      <c r="AN72" s="613"/>
      <c r="AO72" s="613"/>
      <c r="AP72" s="613"/>
      <c r="AQ72" s="613"/>
      <c r="AR72" s="613"/>
      <c r="AS72" s="613"/>
      <c r="AT72" s="613"/>
      <c r="AU72" s="613"/>
      <c r="AV72" s="613"/>
      <c r="AW72" s="613"/>
      <c r="AX72" s="613"/>
      <c r="AY72" s="613"/>
      <c r="AZ72" s="613"/>
      <c r="BA72" s="613"/>
      <c r="BB72" s="613"/>
      <c r="BC72" s="613"/>
      <c r="BD72" s="613"/>
      <c r="BE72" s="613"/>
    </row>
    <row r="73" spans="2:57">
      <c r="B73" s="35" t="s">
        <v>2</v>
      </c>
      <c r="C73" s="35"/>
      <c r="D73" s="591"/>
      <c r="E73" s="36" t="s">
        <v>511</v>
      </c>
      <c r="F73" s="37" t="s">
        <v>6</v>
      </c>
      <c r="G73" s="591"/>
      <c r="H73" s="33"/>
      <c r="I73" s="622"/>
      <c r="J73" s="35"/>
      <c r="K73" s="36"/>
      <c r="L73" s="211"/>
      <c r="M73" s="613"/>
      <c r="N73" s="613"/>
      <c r="O73" s="35"/>
      <c r="P73" s="611"/>
      <c r="Q73" s="611"/>
      <c r="R73" s="611"/>
      <c r="S73" s="615"/>
      <c r="T73" s="613"/>
      <c r="U73" s="613"/>
      <c r="V73" s="613"/>
      <c r="W73" s="613"/>
      <c r="X73" s="613"/>
      <c r="Y73" s="613"/>
      <c r="Z73" s="613"/>
      <c r="AA73" s="613"/>
      <c r="AB73" s="615"/>
      <c r="AC73" s="615"/>
      <c r="AD73" s="615"/>
      <c r="AE73" s="615"/>
      <c r="AF73" s="615"/>
      <c r="AG73" s="615"/>
      <c r="AH73" s="615"/>
      <c r="AI73" s="615"/>
      <c r="AJ73" s="615"/>
      <c r="AK73" s="615"/>
      <c r="AL73" s="615"/>
      <c r="AM73" s="615"/>
      <c r="AN73" s="615"/>
      <c r="AO73" s="613"/>
      <c r="AP73" s="613"/>
      <c r="AQ73" s="613"/>
      <c r="AR73" s="613"/>
      <c r="AS73" s="613"/>
      <c r="AT73" s="613"/>
      <c r="AU73" s="613"/>
      <c r="AV73" s="613"/>
      <c r="AW73" s="613"/>
      <c r="AX73" s="613"/>
      <c r="AY73" s="613"/>
      <c r="AZ73" s="613"/>
      <c r="BA73" s="613"/>
      <c r="BB73" s="613"/>
      <c r="BC73" s="613"/>
      <c r="BD73" s="613"/>
      <c r="BE73" s="613"/>
    </row>
    <row r="74" spans="2:57" ht="15" customHeight="1">
      <c r="B74" s="613"/>
      <c r="C74" s="613"/>
      <c r="D74" s="613"/>
      <c r="E74" s="613"/>
      <c r="F74" s="613"/>
      <c r="G74" s="613"/>
      <c r="H74" s="613"/>
      <c r="I74" s="622"/>
      <c r="J74" s="35"/>
      <c r="K74" s="35"/>
      <c r="L74" s="621"/>
      <c r="M74" s="611"/>
      <c r="N74" s="611"/>
      <c r="O74" s="35"/>
      <c r="P74" s="611"/>
      <c r="Q74" s="611"/>
      <c r="R74" s="611"/>
      <c r="S74" s="615"/>
      <c r="T74" s="1317" t="s">
        <v>87</v>
      </c>
      <c r="U74" s="1317"/>
      <c r="V74" s="1317"/>
      <c r="W74" s="1317"/>
      <c r="X74" s="1317"/>
      <c r="Y74" s="1317" t="s">
        <v>73</v>
      </c>
      <c r="Z74" s="1317"/>
      <c r="AA74" s="1317"/>
      <c r="AB74" s="1317" t="s">
        <v>74</v>
      </c>
      <c r="AC74" s="1317"/>
      <c r="AD74" s="623" t="s">
        <v>85</v>
      </c>
      <c r="AE74" s="854" t="s">
        <v>77</v>
      </c>
      <c r="AF74" s="1459" t="s">
        <v>525</v>
      </c>
      <c r="AG74" s="1459"/>
      <c r="AH74" s="1459"/>
      <c r="AI74" s="1459"/>
      <c r="AJ74" s="1459"/>
      <c r="AK74" s="1459"/>
      <c r="AL74" s="1459"/>
      <c r="AM74" s="1459"/>
      <c r="AN74" s="1459"/>
      <c r="AO74" s="1459"/>
      <c r="AP74" s="1459"/>
      <c r="AQ74" s="1459"/>
      <c r="AR74" s="1459"/>
      <c r="AS74" s="1459"/>
      <c r="AT74" s="1459"/>
      <c r="AU74" s="1459"/>
      <c r="AV74" s="1459"/>
      <c r="AW74" s="1459"/>
      <c r="AX74" s="1459"/>
      <c r="AY74" s="1459"/>
      <c r="AZ74" s="1459"/>
      <c r="BA74" s="1459"/>
      <c r="BB74" s="1459"/>
      <c r="BC74" s="1459"/>
      <c r="BD74" s="1459"/>
      <c r="BE74" s="613"/>
    </row>
    <row r="75" spans="2:57" ht="15" customHeight="1">
      <c r="B75" s="1318" t="s">
        <v>526</v>
      </c>
      <c r="C75" s="1319"/>
      <c r="D75" s="624" t="s">
        <v>527</v>
      </c>
      <c r="E75" s="624"/>
      <c r="F75" s="624" t="s">
        <v>528</v>
      </c>
      <c r="G75" s="624" t="s">
        <v>529</v>
      </c>
      <c r="H75" s="624" t="s">
        <v>530</v>
      </c>
      <c r="I75" s="624" t="s">
        <v>531</v>
      </c>
      <c r="J75" s="624" t="s">
        <v>532</v>
      </c>
      <c r="K75" s="624"/>
      <c r="L75" s="624" t="s">
        <v>130</v>
      </c>
      <c r="M75" s="624" t="s">
        <v>533</v>
      </c>
      <c r="N75" s="1040" t="str">
        <f>"On time - "&amp;COUNTIF(N76:N93,"On time")&amp;" from "&amp;ROWS(N76:N93)-COUNTIF(N76:N93," ")</f>
        <v>On time - 1 from 11</v>
      </c>
      <c r="O75" s="626"/>
      <c r="P75" s="627" t="s">
        <v>534</v>
      </c>
      <c r="Q75" s="627" t="s">
        <v>535</v>
      </c>
      <c r="R75" s="627" t="s">
        <v>536</v>
      </c>
      <c r="S75" s="591"/>
      <c r="T75" s="628" t="s">
        <v>537</v>
      </c>
      <c r="U75" s="628" t="s">
        <v>538</v>
      </c>
      <c r="V75" s="628" t="s">
        <v>539</v>
      </c>
      <c r="W75" s="628" t="s">
        <v>540</v>
      </c>
      <c r="X75" s="628" t="s">
        <v>541</v>
      </c>
      <c r="Y75" s="628" t="s">
        <v>167</v>
      </c>
      <c r="Z75" s="628" t="s">
        <v>168</v>
      </c>
      <c r="AA75" s="628" t="s">
        <v>169</v>
      </c>
      <c r="AB75" s="628" t="s">
        <v>235</v>
      </c>
      <c r="AC75" s="628" t="s">
        <v>240</v>
      </c>
      <c r="AD75" s="623" t="s">
        <v>85</v>
      </c>
      <c r="AE75" s="628" t="s">
        <v>139</v>
      </c>
      <c r="AF75" s="855" t="s">
        <v>72</v>
      </c>
      <c r="AG75" s="855" t="s">
        <v>88</v>
      </c>
      <c r="AH75" s="855" t="s">
        <v>75</v>
      </c>
      <c r="AI75" s="855" t="s">
        <v>543</v>
      </c>
      <c r="AJ75" s="855" t="s">
        <v>78</v>
      </c>
      <c r="AK75" s="855" t="s">
        <v>76</v>
      </c>
      <c r="AL75" s="855" t="s">
        <v>544</v>
      </c>
      <c r="AM75" s="855" t="s">
        <v>545</v>
      </c>
      <c r="AN75" s="855" t="s">
        <v>86</v>
      </c>
      <c r="AO75" s="855" t="s">
        <v>83</v>
      </c>
      <c r="AP75" s="855" t="s">
        <v>84</v>
      </c>
      <c r="AQ75" s="855" t="s">
        <v>546</v>
      </c>
      <c r="AR75" s="855" t="s">
        <v>81</v>
      </c>
      <c r="AS75" s="855" t="s">
        <v>80</v>
      </c>
      <c r="AT75" s="855" t="s">
        <v>82</v>
      </c>
      <c r="AU75" s="855" t="s">
        <v>181</v>
      </c>
      <c r="AV75" s="855" t="s">
        <v>183</v>
      </c>
      <c r="AW75" s="855" t="s">
        <v>547</v>
      </c>
      <c r="AX75" s="855" t="s">
        <v>182</v>
      </c>
      <c r="AY75" s="855" t="s">
        <v>172</v>
      </c>
      <c r="AZ75" s="855" t="s">
        <v>173</v>
      </c>
      <c r="BA75" s="855" t="s">
        <v>184</v>
      </c>
      <c r="BB75" s="855" t="s">
        <v>100</v>
      </c>
      <c r="BC75" s="855" t="s">
        <v>913</v>
      </c>
      <c r="BD75" s="855" t="s">
        <v>2747</v>
      </c>
      <c r="BE75" s="613"/>
    </row>
    <row r="76" spans="2:57" ht="12.75" customHeight="1">
      <c r="B76" s="1326" t="s">
        <v>2439</v>
      </c>
      <c r="C76" s="1327"/>
      <c r="D76" s="501" t="s">
        <v>3591</v>
      </c>
      <c r="E76" s="502"/>
      <c r="F76" s="501" t="s">
        <v>1972</v>
      </c>
      <c r="G76" s="501" t="s">
        <v>1973</v>
      </c>
      <c r="H76" s="629">
        <f>7560.551-5360.551</f>
        <v>2200</v>
      </c>
      <c r="I76" s="584" t="s">
        <v>173</v>
      </c>
      <c r="J76" s="504">
        <v>45261.5</v>
      </c>
      <c r="K76" s="574"/>
      <c r="L76" s="574" t="s">
        <v>192</v>
      </c>
      <c r="M76" s="574" t="s">
        <v>192</v>
      </c>
      <c r="N76" s="505" t="str">
        <f t="shared" ref="N76:N93" si="6">IF(ISBLANK(J76)," ",IF(J76&lt;$G$70,"On time",(IF(DAY(J76-$G$70)&lt;1,"On time",(IF(J76&gt;$G$70,"DELAY ( "&amp;DAY(J76-$G$70)&amp;" day "&amp;HOUR(J76-$G$70)&amp;" hour "&amp;MINUTE(J76-$G$70)&amp;" minute )","xxx"))))))</f>
        <v>DELAY ( 1 day 12 hour 0 minute )</v>
      </c>
      <c r="O76" s="597"/>
      <c r="P76" s="507" t="s">
        <v>551</v>
      </c>
      <c r="Q76" s="507" t="s">
        <v>551</v>
      </c>
      <c r="R76" s="507" t="s">
        <v>551</v>
      </c>
      <c r="S76" s="598"/>
      <c r="T76" s="599"/>
      <c r="U76" s="599"/>
      <c r="V76" s="599"/>
      <c r="W76" s="599"/>
      <c r="X76" s="598"/>
      <c r="Y76" s="599"/>
      <c r="Z76" s="599"/>
      <c r="AA76" s="599"/>
      <c r="AB76" s="599"/>
      <c r="AC76" s="599"/>
      <c r="AD76" s="599"/>
      <c r="AE76" s="599"/>
      <c r="AF76" s="599"/>
      <c r="AG76" s="599"/>
      <c r="AH76" s="599"/>
      <c r="AI76" s="599"/>
      <c r="AJ76" s="599"/>
      <c r="AK76" s="599"/>
      <c r="AL76" s="599"/>
      <c r="AM76" s="599"/>
      <c r="AN76" s="599"/>
      <c r="AO76" s="599"/>
      <c r="AP76" s="599"/>
      <c r="AQ76" s="599"/>
      <c r="AR76" s="599"/>
      <c r="AS76" s="599"/>
      <c r="AT76" s="599"/>
      <c r="AU76" s="599"/>
      <c r="AV76" s="599"/>
      <c r="AW76" s="599"/>
      <c r="AX76" s="599"/>
      <c r="AY76" s="599"/>
      <c r="AZ76" s="599">
        <f>H76</f>
        <v>2200</v>
      </c>
      <c r="BA76" s="599"/>
      <c r="BB76" s="599"/>
      <c r="BC76" s="599"/>
      <c r="BD76" s="599"/>
      <c r="BE76" s="598"/>
    </row>
    <row r="77" spans="2:57" ht="12.75" customHeight="1">
      <c r="B77" s="1328"/>
      <c r="C77" s="1329"/>
      <c r="D77" s="501" t="s">
        <v>3577</v>
      </c>
      <c r="E77" s="501"/>
      <c r="F77" s="501" t="s">
        <v>721</v>
      </c>
      <c r="G77" s="501" t="s">
        <v>1349</v>
      </c>
      <c r="H77" s="629">
        <v>7541.8509999999997</v>
      </c>
      <c r="I77" s="584" t="s">
        <v>2381</v>
      </c>
      <c r="J77" s="504">
        <v>45260.729166666664</v>
      </c>
      <c r="K77" s="504"/>
      <c r="L77" s="574" t="s">
        <v>192</v>
      </c>
      <c r="M77" s="574" t="s">
        <v>192</v>
      </c>
      <c r="N77" s="505" t="str">
        <f t="shared" si="6"/>
        <v>On time</v>
      </c>
      <c r="O77" s="597"/>
      <c r="P77" s="507" t="s">
        <v>551</v>
      </c>
      <c r="Q77" s="507" t="s">
        <v>551</v>
      </c>
      <c r="R77" s="507" t="s">
        <v>551</v>
      </c>
      <c r="S77" s="598"/>
      <c r="T77" s="599"/>
      <c r="U77" s="599"/>
      <c r="V77" s="599"/>
      <c r="W77" s="599"/>
      <c r="X77" s="599"/>
      <c r="Y77" s="599"/>
      <c r="Z77" s="599"/>
      <c r="AA77" s="599"/>
      <c r="AB77" s="599">
        <f>H77*0.8</f>
        <v>6033.4808000000003</v>
      </c>
      <c r="AC77" s="599">
        <f>H77*0.2</f>
        <v>1508.3702000000001</v>
      </c>
      <c r="AD77" s="599"/>
      <c r="AE77" s="599"/>
      <c r="AF77" s="599"/>
      <c r="AG77" s="599"/>
      <c r="AH77" s="599"/>
      <c r="AI77" s="599"/>
      <c r="AJ77" s="599"/>
      <c r="AK77" s="599"/>
      <c r="AL77" s="599"/>
      <c r="AM77" s="599"/>
      <c r="AN77" s="599"/>
      <c r="AO77" s="599"/>
      <c r="AP77" s="599"/>
      <c r="AQ77" s="599"/>
      <c r="AR77" s="599"/>
      <c r="AS77" s="599"/>
      <c r="AT77" s="599"/>
      <c r="AU77" s="599"/>
      <c r="AV77" s="599"/>
      <c r="AW77" s="599"/>
      <c r="AX77" s="598"/>
      <c r="AY77" s="599"/>
      <c r="AZ77" s="599"/>
      <c r="BA77" s="599"/>
      <c r="BB77" s="599"/>
      <c r="BC77" s="599"/>
      <c r="BD77" s="599"/>
      <c r="BE77" s="598"/>
    </row>
    <row r="78" spans="2:57" ht="12.75" customHeight="1">
      <c r="B78" s="1326" t="s">
        <v>652</v>
      </c>
      <c r="C78" s="1327"/>
      <c r="D78" s="501" t="s">
        <v>3591</v>
      </c>
      <c r="E78" s="502"/>
      <c r="F78" s="501" t="s">
        <v>1972</v>
      </c>
      <c r="G78" s="501" t="s">
        <v>1973</v>
      </c>
      <c r="H78" s="629">
        <f>4360.551-2160.551</f>
        <v>2200.0000000000005</v>
      </c>
      <c r="I78" s="584" t="s">
        <v>173</v>
      </c>
      <c r="J78" s="504"/>
      <c r="K78" s="504"/>
      <c r="L78" s="574"/>
      <c r="M78" s="574"/>
      <c r="N78" s="505" t="str">
        <f t="shared" si="6"/>
        <v xml:space="preserve"> </v>
      </c>
      <c r="O78" s="597"/>
      <c r="P78" s="507"/>
      <c r="Q78" s="507"/>
      <c r="R78" s="507"/>
      <c r="S78" s="598"/>
      <c r="T78" s="599"/>
      <c r="U78" s="599"/>
      <c r="V78" s="599"/>
      <c r="W78" s="599"/>
      <c r="X78" s="598"/>
      <c r="Y78" s="599"/>
      <c r="Z78" s="599"/>
      <c r="AA78" s="599"/>
      <c r="AB78" s="599"/>
      <c r="AC78" s="599"/>
      <c r="AD78" s="599"/>
      <c r="AE78" s="599"/>
      <c r="AF78" s="599"/>
      <c r="AG78" s="599"/>
      <c r="AH78" s="599"/>
      <c r="AI78" s="599"/>
      <c r="AJ78" s="599"/>
      <c r="AK78" s="599"/>
      <c r="AL78" s="599"/>
      <c r="AM78" s="599"/>
      <c r="AN78" s="599"/>
      <c r="AO78" s="599"/>
      <c r="AP78" s="599"/>
      <c r="AQ78" s="599"/>
      <c r="AR78" s="599"/>
      <c r="AS78" s="599"/>
      <c r="AT78" s="599"/>
      <c r="AU78" s="599"/>
      <c r="AV78" s="599"/>
      <c r="AW78" s="599"/>
      <c r="AX78" s="599"/>
      <c r="AY78" s="599"/>
      <c r="AZ78" s="599">
        <f>H78</f>
        <v>2200.0000000000005</v>
      </c>
      <c r="BA78" s="599"/>
      <c r="BB78" s="599"/>
      <c r="BC78" s="599"/>
      <c r="BD78" s="599"/>
      <c r="BE78" s="598"/>
    </row>
    <row r="79" spans="2:57" ht="12.75" customHeight="1">
      <c r="B79" s="1328"/>
      <c r="C79" s="1329"/>
      <c r="D79" s="501" t="s">
        <v>3576</v>
      </c>
      <c r="E79" s="501"/>
      <c r="F79" s="501" t="s">
        <v>1874</v>
      </c>
      <c r="G79" s="501" t="s">
        <v>1875</v>
      </c>
      <c r="H79" s="629">
        <v>5264.2969999999996</v>
      </c>
      <c r="I79" s="584" t="s">
        <v>2381</v>
      </c>
      <c r="J79" s="504">
        <v>45262.111111111109</v>
      </c>
      <c r="K79" s="504"/>
      <c r="L79" s="574" t="s">
        <v>192</v>
      </c>
      <c r="M79" s="574" t="s">
        <v>192</v>
      </c>
      <c r="N79" s="505" t="str">
        <f t="shared" si="6"/>
        <v>DELAY ( 2 day 2 hour 40 minute )</v>
      </c>
      <c r="O79" s="597"/>
      <c r="P79" s="507" t="s">
        <v>551</v>
      </c>
      <c r="Q79" s="507" t="s">
        <v>551</v>
      </c>
      <c r="R79" s="507" t="s">
        <v>551</v>
      </c>
      <c r="S79" s="598"/>
      <c r="T79" s="599"/>
      <c r="U79" s="599"/>
      <c r="V79" s="599"/>
      <c r="W79" s="599"/>
      <c r="X79" s="599"/>
      <c r="Y79" s="599"/>
      <c r="Z79" s="599"/>
      <c r="AA79" s="599"/>
      <c r="AB79" s="599">
        <f>H79*0.8</f>
        <v>4211.4376000000002</v>
      </c>
      <c r="AC79" s="599">
        <f>H79*0.2</f>
        <v>1052.8594000000001</v>
      </c>
      <c r="AD79" s="599"/>
      <c r="AE79" s="599"/>
      <c r="AF79" s="599"/>
      <c r="AG79" s="599"/>
      <c r="AH79" s="599"/>
      <c r="AI79" s="599"/>
      <c r="AJ79" s="599"/>
      <c r="AK79" s="599"/>
      <c r="AL79" s="599"/>
      <c r="AM79" s="599"/>
      <c r="AN79" s="599"/>
      <c r="AO79" s="599"/>
      <c r="AP79" s="599"/>
      <c r="AQ79" s="599"/>
      <c r="AR79" s="599"/>
      <c r="AS79" s="599"/>
      <c r="AT79" s="599"/>
      <c r="AU79" s="599"/>
      <c r="AV79" s="599"/>
      <c r="AW79" s="599"/>
      <c r="AX79" s="599"/>
      <c r="AY79" s="599"/>
      <c r="AZ79" s="599"/>
      <c r="BA79" s="599"/>
      <c r="BB79" s="599"/>
      <c r="BC79" s="599"/>
      <c r="BD79" s="599"/>
      <c r="BE79" s="598"/>
    </row>
    <row r="80" spans="2:57" ht="12.75" customHeight="1">
      <c r="B80" s="1326" t="s">
        <v>3702</v>
      </c>
      <c r="C80" s="1327"/>
      <c r="D80" s="501" t="s">
        <v>3591</v>
      </c>
      <c r="E80" s="502"/>
      <c r="F80" s="501" t="s">
        <v>1972</v>
      </c>
      <c r="G80" s="501" t="s">
        <v>1973</v>
      </c>
      <c r="H80" s="629">
        <f>2160.551</f>
        <v>2160.5509999999999</v>
      </c>
      <c r="I80" s="584" t="s">
        <v>173</v>
      </c>
      <c r="J80" s="504"/>
      <c r="K80" s="504"/>
      <c r="L80" s="574"/>
      <c r="M80" s="574"/>
      <c r="N80" s="505" t="str">
        <f t="shared" si="6"/>
        <v xml:space="preserve"> </v>
      </c>
      <c r="O80" s="597"/>
      <c r="P80" s="507"/>
      <c r="Q80" s="507"/>
      <c r="R80" s="507"/>
      <c r="S80" s="598"/>
      <c r="T80" s="599"/>
      <c r="U80" s="599"/>
      <c r="V80" s="599"/>
      <c r="W80" s="599"/>
      <c r="X80" s="598"/>
      <c r="Y80" s="599"/>
      <c r="Z80" s="599"/>
      <c r="AA80" s="599"/>
      <c r="AB80" s="599"/>
      <c r="AC80" s="599"/>
      <c r="AD80" s="599"/>
      <c r="AE80" s="599"/>
      <c r="AF80" s="599"/>
      <c r="AG80" s="599"/>
      <c r="AH80" s="599"/>
      <c r="AI80" s="599"/>
      <c r="AJ80" s="599"/>
      <c r="AK80" s="599"/>
      <c r="AL80" s="599"/>
      <c r="AM80" s="599"/>
      <c r="AN80" s="599"/>
      <c r="AO80" s="599"/>
      <c r="AP80" s="599"/>
      <c r="AQ80" s="599"/>
      <c r="AR80" s="599"/>
      <c r="AS80" s="599"/>
      <c r="AT80" s="599"/>
      <c r="AU80" s="599"/>
      <c r="AV80" s="599"/>
      <c r="AW80" s="599"/>
      <c r="AX80" s="599"/>
      <c r="AY80" s="599"/>
      <c r="AZ80" s="599">
        <f>H80</f>
        <v>2160.5509999999999</v>
      </c>
      <c r="BA80" s="599"/>
      <c r="BB80" s="599"/>
      <c r="BC80" s="599"/>
      <c r="BD80" s="599"/>
      <c r="BE80" s="598"/>
    </row>
    <row r="81" spans="2:57" ht="12.75" customHeight="1">
      <c r="B81" s="1328"/>
      <c r="C81" s="1329"/>
      <c r="D81" s="501" t="s">
        <v>3579</v>
      </c>
      <c r="E81" s="501"/>
      <c r="F81" s="501" t="s">
        <v>274</v>
      </c>
      <c r="G81" s="501" t="s">
        <v>1093</v>
      </c>
      <c r="H81" s="629">
        <v>7506.6490000000003</v>
      </c>
      <c r="I81" s="584" t="s">
        <v>2381</v>
      </c>
      <c r="J81" s="504">
        <v>45261.677083333336</v>
      </c>
      <c r="K81" s="504"/>
      <c r="L81" s="574" t="s">
        <v>192</v>
      </c>
      <c r="M81" s="574" t="s">
        <v>192</v>
      </c>
      <c r="N81" s="505" t="str">
        <f t="shared" si="6"/>
        <v>DELAY ( 1 day 16 hour 15 minute )</v>
      </c>
      <c r="O81" s="597"/>
      <c r="P81" s="507" t="s">
        <v>551</v>
      </c>
      <c r="Q81" s="507" t="s">
        <v>551</v>
      </c>
      <c r="R81" s="507" t="s">
        <v>551</v>
      </c>
      <c r="S81" s="598"/>
      <c r="T81" s="599"/>
      <c r="U81" s="599"/>
      <c r="V81" s="599"/>
      <c r="W81" s="599"/>
      <c r="X81" s="599"/>
      <c r="Y81" s="599"/>
      <c r="Z81" s="599"/>
      <c r="AA81" s="599"/>
      <c r="AB81" s="599">
        <f>H81*0.8</f>
        <v>6005.3192000000008</v>
      </c>
      <c r="AC81" s="599">
        <f>H81*0.2</f>
        <v>1501.3298000000002</v>
      </c>
      <c r="AD81" s="599"/>
      <c r="AE81" s="599"/>
      <c r="AF81" s="599"/>
      <c r="AG81" s="599"/>
      <c r="AH81" s="599"/>
      <c r="AI81" s="599"/>
      <c r="AJ81" s="599"/>
      <c r="AK81" s="599"/>
      <c r="AL81" s="599"/>
      <c r="AM81" s="599"/>
      <c r="AN81" s="599"/>
      <c r="AO81" s="599"/>
      <c r="AP81" s="598"/>
      <c r="AQ81" s="599"/>
      <c r="AR81" s="599"/>
      <c r="AS81" s="599"/>
      <c r="AT81" s="599"/>
      <c r="AU81" s="599"/>
      <c r="AV81" s="599"/>
      <c r="AW81" s="599"/>
      <c r="AX81" s="599"/>
      <c r="AY81" s="599"/>
      <c r="AZ81" s="599"/>
      <c r="BA81" s="599"/>
      <c r="BB81" s="599"/>
      <c r="BC81" s="599"/>
      <c r="BD81" s="599"/>
      <c r="BE81" s="598"/>
    </row>
    <row r="82" spans="2:57" ht="12.75" customHeight="1">
      <c r="B82" s="1326" t="s">
        <v>884</v>
      </c>
      <c r="C82" s="1327"/>
      <c r="D82" s="501" t="s">
        <v>3578</v>
      </c>
      <c r="E82" s="501"/>
      <c r="F82" s="501" t="s">
        <v>473</v>
      </c>
      <c r="G82" s="501" t="s">
        <v>474</v>
      </c>
      <c r="H82" s="629">
        <v>7401.174</v>
      </c>
      <c r="I82" s="584" t="s">
        <v>2381</v>
      </c>
      <c r="J82" s="504">
        <v>45261.583333333336</v>
      </c>
      <c r="K82" s="504"/>
      <c r="L82" s="574" t="s">
        <v>192</v>
      </c>
      <c r="M82" s="574" t="s">
        <v>192</v>
      </c>
      <c r="N82" s="505" t="str">
        <f t="shared" si="6"/>
        <v>DELAY ( 1 day 14 hour 0 minute )</v>
      </c>
      <c r="O82" s="597"/>
      <c r="P82" s="507" t="s">
        <v>551</v>
      </c>
      <c r="Q82" s="507" t="s">
        <v>551</v>
      </c>
      <c r="R82" s="507" t="s">
        <v>551</v>
      </c>
      <c r="S82" s="598"/>
      <c r="T82" s="599"/>
      <c r="U82" s="599"/>
      <c r="V82" s="599"/>
      <c r="W82" s="599"/>
      <c r="X82" s="599"/>
      <c r="Y82" s="599"/>
      <c r="Z82" s="599"/>
      <c r="AA82" s="599"/>
      <c r="AB82" s="599">
        <f>H82*0.8</f>
        <v>5920.9392000000007</v>
      </c>
      <c r="AC82" s="599">
        <f>H82*0.2</f>
        <v>1480.2348000000002</v>
      </c>
      <c r="AD82" s="599"/>
      <c r="AE82" s="599"/>
      <c r="AF82" s="599"/>
      <c r="AG82" s="599"/>
      <c r="AH82" s="599"/>
      <c r="AI82" s="599"/>
      <c r="AJ82" s="599"/>
      <c r="AK82" s="598"/>
      <c r="AL82" s="599"/>
      <c r="AM82" s="599"/>
      <c r="AN82" s="599"/>
      <c r="AO82" s="599"/>
      <c r="AP82" s="599"/>
      <c r="AQ82" s="599"/>
      <c r="AR82" s="599"/>
      <c r="AS82" s="599"/>
      <c r="AT82" s="599"/>
      <c r="AU82" s="599"/>
      <c r="AV82" s="599"/>
      <c r="AW82" s="599"/>
      <c r="AX82" s="598"/>
      <c r="AY82" s="599"/>
      <c r="AZ82" s="599"/>
      <c r="BA82" s="599"/>
      <c r="BB82" s="599"/>
      <c r="BC82" s="599"/>
      <c r="BD82" s="599"/>
      <c r="BE82" s="598"/>
    </row>
    <row r="83" spans="2:57" ht="12.75" customHeight="1">
      <c r="B83" s="1328"/>
      <c r="C83" s="1329"/>
      <c r="D83" s="501" t="s">
        <v>3833</v>
      </c>
      <c r="E83" s="502"/>
      <c r="F83" s="501" t="s">
        <v>249</v>
      </c>
      <c r="G83" s="501" t="s">
        <v>2315</v>
      </c>
      <c r="H83" s="629">
        <f>7531.207/2</f>
        <v>3765.6035000000002</v>
      </c>
      <c r="I83" s="1359" t="s">
        <v>611</v>
      </c>
      <c r="J83" s="1361">
        <v>45263.916666666664</v>
      </c>
      <c r="K83" s="574"/>
      <c r="L83" s="574" t="s">
        <v>192</v>
      </c>
      <c r="M83" s="574" t="s">
        <v>192</v>
      </c>
      <c r="N83" s="505" t="str">
        <f t="shared" si="6"/>
        <v>DELAY ( 3 day 22 hour 0 minute )</v>
      </c>
      <c r="O83" s="597"/>
      <c r="P83" s="507" t="s">
        <v>551</v>
      </c>
      <c r="Q83" s="507" t="s">
        <v>551</v>
      </c>
      <c r="R83" s="507" t="s">
        <v>551</v>
      </c>
      <c r="S83" s="598"/>
      <c r="T83" s="599">
        <f>H83</f>
        <v>3765.6035000000002</v>
      </c>
      <c r="U83" s="599"/>
      <c r="V83" s="599"/>
      <c r="W83" s="599"/>
      <c r="X83" s="599"/>
      <c r="Y83" s="599"/>
      <c r="Z83" s="599"/>
      <c r="AA83" s="599"/>
      <c r="AB83" s="599"/>
      <c r="AC83" s="599"/>
      <c r="AD83" s="599"/>
      <c r="AE83" s="599"/>
      <c r="AF83" s="599"/>
      <c r="AG83" s="599"/>
      <c r="AH83" s="599"/>
      <c r="AI83" s="599"/>
      <c r="AJ83" s="599"/>
      <c r="AK83" s="599"/>
      <c r="AL83" s="599"/>
      <c r="AM83" s="599"/>
      <c r="AN83" s="599"/>
      <c r="AO83" s="599"/>
      <c r="AP83" s="599"/>
      <c r="AQ83" s="599"/>
      <c r="AR83" s="599"/>
      <c r="AS83" s="599"/>
      <c r="AT83" s="599"/>
      <c r="AU83" s="599"/>
      <c r="AV83" s="599"/>
      <c r="AW83" s="599"/>
      <c r="AX83" s="599"/>
      <c r="AY83" s="599"/>
      <c r="AZ83" s="599"/>
      <c r="BA83" s="599"/>
      <c r="BB83" s="599"/>
      <c r="BC83" s="599"/>
      <c r="BD83" s="599"/>
      <c r="BE83" s="598"/>
    </row>
    <row r="84" spans="2:57" ht="12.75" customHeight="1">
      <c r="B84" s="1326" t="s">
        <v>644</v>
      </c>
      <c r="C84" s="1327"/>
      <c r="D84" s="501" t="s">
        <v>3833</v>
      </c>
      <c r="E84" s="502"/>
      <c r="F84" s="501" t="s">
        <v>249</v>
      </c>
      <c r="G84" s="501" t="s">
        <v>2315</v>
      </c>
      <c r="H84" s="629">
        <f>H83</f>
        <v>3765.6035000000002</v>
      </c>
      <c r="I84" s="1360"/>
      <c r="J84" s="1362"/>
      <c r="K84" s="574"/>
      <c r="L84" s="574" t="s">
        <v>192</v>
      </c>
      <c r="M84" s="574" t="s">
        <v>192</v>
      </c>
      <c r="N84" s="505" t="str">
        <f t="shared" si="6"/>
        <v xml:space="preserve"> </v>
      </c>
      <c r="O84" s="597"/>
      <c r="P84" s="507" t="s">
        <v>551</v>
      </c>
      <c r="Q84" s="507" t="s">
        <v>551</v>
      </c>
      <c r="R84" s="507" t="s">
        <v>551</v>
      </c>
      <c r="S84" s="598"/>
      <c r="T84" s="599">
        <f>H84</f>
        <v>3765.6035000000002</v>
      </c>
      <c r="U84" s="599"/>
      <c r="V84" s="599"/>
      <c r="W84" s="599"/>
      <c r="X84" s="599"/>
      <c r="Y84" s="599"/>
      <c r="Z84" s="599"/>
      <c r="AA84" s="599"/>
      <c r="AB84" s="599"/>
      <c r="AC84" s="599"/>
      <c r="AD84" s="599"/>
      <c r="AE84" s="599"/>
      <c r="AF84" s="599"/>
      <c r="AG84" s="599"/>
      <c r="AH84" s="599"/>
      <c r="AI84" s="599"/>
      <c r="AJ84" s="599"/>
      <c r="AK84" s="599"/>
      <c r="AL84" s="599"/>
      <c r="AM84" s="599"/>
      <c r="AN84" s="599"/>
      <c r="AO84" s="599"/>
      <c r="AP84" s="599"/>
      <c r="AQ84" s="599"/>
      <c r="AR84" s="599"/>
      <c r="AS84" s="599"/>
      <c r="AT84" s="599"/>
      <c r="AU84" s="599"/>
      <c r="AV84" s="599"/>
      <c r="AW84" s="599"/>
      <c r="AX84" s="599"/>
      <c r="AY84" s="599"/>
      <c r="AZ84" s="599"/>
      <c r="BA84" s="599"/>
      <c r="BB84" s="599"/>
      <c r="BC84" s="599"/>
      <c r="BD84" s="599"/>
      <c r="BE84" s="598"/>
    </row>
    <row r="85" spans="2:57" ht="12.75" customHeight="1">
      <c r="B85" s="1328"/>
      <c r="C85" s="1329"/>
      <c r="D85" s="501" t="s">
        <v>3580</v>
      </c>
      <c r="E85" s="501"/>
      <c r="F85" s="501" t="s">
        <v>355</v>
      </c>
      <c r="G85" s="501" t="s">
        <v>356</v>
      </c>
      <c r="H85" s="629">
        <v>7536.0010000000002</v>
      </c>
      <c r="I85" s="584" t="s">
        <v>2381</v>
      </c>
      <c r="J85" s="504">
        <v>45262.177083333336</v>
      </c>
      <c r="K85" s="504"/>
      <c r="L85" s="574" t="s">
        <v>192</v>
      </c>
      <c r="M85" s="574" t="s">
        <v>192</v>
      </c>
      <c r="N85" s="505" t="str">
        <f t="shared" si="6"/>
        <v>DELAY ( 2 day 4 hour 15 minute )</v>
      </c>
      <c r="O85" s="597"/>
      <c r="P85" s="507" t="s">
        <v>551</v>
      </c>
      <c r="Q85" s="507" t="s">
        <v>551</v>
      </c>
      <c r="R85" s="507" t="s">
        <v>551</v>
      </c>
      <c r="S85" s="598"/>
      <c r="T85" s="599"/>
      <c r="U85" s="599"/>
      <c r="V85" s="599"/>
      <c r="W85" s="599"/>
      <c r="X85" s="599"/>
      <c r="Y85" s="599"/>
      <c r="Z85" s="599"/>
      <c r="AA85" s="599"/>
      <c r="AB85" s="599">
        <f>H85*0.8</f>
        <v>6028.8008000000009</v>
      </c>
      <c r="AC85" s="599">
        <f>H85*0.2</f>
        <v>1507.2002000000002</v>
      </c>
      <c r="AD85" s="599"/>
      <c r="AE85" s="599"/>
      <c r="AF85" s="599"/>
      <c r="AG85" s="599"/>
      <c r="AH85" s="599"/>
      <c r="AI85" s="599"/>
      <c r="AJ85" s="599"/>
      <c r="AK85" s="599"/>
      <c r="AL85" s="599"/>
      <c r="AM85" s="599"/>
      <c r="AN85" s="599"/>
      <c r="AO85" s="599"/>
      <c r="AP85" s="598"/>
      <c r="AQ85" s="599"/>
      <c r="AR85" s="599"/>
      <c r="AS85" s="599"/>
      <c r="AT85" s="599"/>
      <c r="AU85" s="599"/>
      <c r="AV85" s="599"/>
      <c r="AW85" s="599"/>
      <c r="AX85" s="599"/>
      <c r="AY85" s="599"/>
      <c r="AZ85" s="599"/>
      <c r="BA85" s="599"/>
      <c r="BB85" s="599"/>
      <c r="BC85" s="599"/>
      <c r="BD85" s="599"/>
      <c r="BE85" s="598"/>
    </row>
    <row r="86" spans="2:57" ht="12.75" customHeight="1">
      <c r="B86" s="1326" t="s">
        <v>884</v>
      </c>
      <c r="C86" s="1327"/>
      <c r="D86" s="501" t="s">
        <v>3581</v>
      </c>
      <c r="E86" s="501"/>
      <c r="F86" s="501" t="s">
        <v>390</v>
      </c>
      <c r="G86" s="501" t="s">
        <v>3346</v>
      </c>
      <c r="H86" s="629">
        <v>7408.7560000000003</v>
      </c>
      <c r="I86" s="584" t="s">
        <v>2381</v>
      </c>
      <c r="J86" s="504">
        <v>45262.458333333336</v>
      </c>
      <c r="K86" s="504"/>
      <c r="L86" s="574" t="s">
        <v>192</v>
      </c>
      <c r="M86" s="574" t="s">
        <v>192</v>
      </c>
      <c r="N86" s="505" t="str">
        <f t="shared" si="6"/>
        <v>DELAY ( 2 day 11 hour 0 minute )</v>
      </c>
      <c r="O86" s="597"/>
      <c r="P86" s="507" t="s">
        <v>551</v>
      </c>
      <c r="Q86" s="507" t="s">
        <v>551</v>
      </c>
      <c r="R86" s="507" t="s">
        <v>551</v>
      </c>
      <c r="S86" s="598"/>
      <c r="T86" s="599"/>
      <c r="U86" s="599"/>
      <c r="V86" s="599"/>
      <c r="W86" s="599"/>
      <c r="X86" s="599"/>
      <c r="Y86" s="599"/>
      <c r="Z86" s="599"/>
      <c r="AA86" s="599"/>
      <c r="AB86" s="599">
        <f>H86*0.8</f>
        <v>5927.0048000000006</v>
      </c>
      <c r="AC86" s="599">
        <f>H86*0.2</f>
        <v>1481.7512000000002</v>
      </c>
      <c r="AD86" s="599"/>
      <c r="AE86" s="599"/>
      <c r="AF86" s="599"/>
      <c r="AG86" s="599"/>
      <c r="AH86" s="599"/>
      <c r="AI86" s="599"/>
      <c r="AJ86" s="599"/>
      <c r="AK86" s="599"/>
      <c r="AL86" s="599"/>
      <c r="AM86" s="599"/>
      <c r="AN86" s="599"/>
      <c r="AO86" s="599"/>
      <c r="AP86" s="598"/>
      <c r="AQ86" s="599"/>
      <c r="AR86" s="599"/>
      <c r="AS86" s="599"/>
      <c r="AT86" s="599"/>
      <c r="AU86" s="599"/>
      <c r="AV86" s="599"/>
      <c r="AW86" s="599"/>
      <c r="AX86" s="599"/>
      <c r="AY86" s="599"/>
      <c r="AZ86" s="599"/>
      <c r="BA86" s="599"/>
      <c r="BB86" s="599"/>
      <c r="BC86" s="599"/>
      <c r="BD86" s="599"/>
      <c r="BE86" s="598"/>
    </row>
    <row r="87" spans="2:57" ht="12.75" customHeight="1">
      <c r="B87" s="1328"/>
      <c r="C87" s="1329"/>
      <c r="D87" s="501" t="s">
        <v>3834</v>
      </c>
      <c r="E87" s="502"/>
      <c r="F87" s="501" t="s">
        <v>222</v>
      </c>
      <c r="G87" s="501" t="s">
        <v>223</v>
      </c>
      <c r="H87" s="629">
        <f>7516.472/2</f>
        <v>3758.2359999999999</v>
      </c>
      <c r="I87" s="584" t="s">
        <v>611</v>
      </c>
      <c r="J87" s="574">
        <v>45264.166666666664</v>
      </c>
      <c r="K87" s="574"/>
      <c r="L87" s="574" t="s">
        <v>192</v>
      </c>
      <c r="M87" s="574" t="s">
        <v>192</v>
      </c>
      <c r="N87" s="505" t="str">
        <f t="shared" si="6"/>
        <v>DELAY ( 4 day 4 hour 0 minute )</v>
      </c>
      <c r="O87" s="597"/>
      <c r="P87" s="507" t="s">
        <v>551</v>
      </c>
      <c r="Q87" s="507" t="s">
        <v>551</v>
      </c>
      <c r="R87" s="507" t="s">
        <v>551</v>
      </c>
      <c r="S87" s="598"/>
      <c r="T87" s="599">
        <f>H87</f>
        <v>3758.2359999999999</v>
      </c>
      <c r="U87" s="599"/>
      <c r="V87" s="599"/>
      <c r="W87" s="599"/>
      <c r="X87" s="599"/>
      <c r="Y87" s="599"/>
      <c r="Z87" s="599"/>
      <c r="AA87" s="599"/>
      <c r="AB87" s="599"/>
      <c r="AC87" s="599"/>
      <c r="AD87" s="599"/>
      <c r="AE87" s="599"/>
      <c r="AF87" s="599"/>
      <c r="AG87" s="599"/>
      <c r="AH87" s="599"/>
      <c r="AI87" s="599"/>
      <c r="AJ87" s="599"/>
      <c r="AK87" s="599"/>
      <c r="AL87" s="599"/>
      <c r="AM87" s="599"/>
      <c r="AN87" s="599"/>
      <c r="AO87" s="599"/>
      <c r="AP87" s="599"/>
      <c r="AQ87" s="599"/>
      <c r="AR87" s="599"/>
      <c r="AS87" s="599"/>
      <c r="AT87" s="599"/>
      <c r="AU87" s="599"/>
      <c r="AV87" s="599"/>
      <c r="AW87" s="599"/>
      <c r="AX87" s="599"/>
      <c r="AY87" s="599"/>
      <c r="AZ87" s="599"/>
      <c r="BA87" s="599"/>
      <c r="BB87" s="599"/>
      <c r="BC87" s="599"/>
      <c r="BD87" s="599"/>
      <c r="BE87" s="598"/>
    </row>
    <row r="88" spans="2:57" ht="12.75" customHeight="1">
      <c r="B88" s="1326" t="s">
        <v>653</v>
      </c>
      <c r="C88" s="1327"/>
      <c r="D88" s="501" t="s">
        <v>3591</v>
      </c>
      <c r="E88" s="502"/>
      <c r="F88" s="501" t="s">
        <v>1972</v>
      </c>
      <c r="G88" s="501" t="s">
        <v>1973</v>
      </c>
      <c r="H88" s="629">
        <f>5360.551-4360.551</f>
        <v>1000</v>
      </c>
      <c r="I88" s="584" t="s">
        <v>173</v>
      </c>
      <c r="J88" s="504"/>
      <c r="K88" s="504"/>
      <c r="L88" s="574"/>
      <c r="M88" s="574"/>
      <c r="N88" s="505" t="str">
        <f t="shared" si="6"/>
        <v xml:space="preserve"> </v>
      </c>
      <c r="O88" s="597"/>
      <c r="P88" s="507"/>
      <c r="Q88" s="507"/>
      <c r="R88" s="507"/>
      <c r="S88" s="598"/>
      <c r="T88" s="599"/>
      <c r="U88" s="599"/>
      <c r="V88" s="599"/>
      <c r="W88" s="599"/>
      <c r="X88" s="598"/>
      <c r="Y88" s="599"/>
      <c r="Z88" s="599"/>
      <c r="AA88" s="599"/>
      <c r="AB88" s="599"/>
      <c r="AC88" s="599"/>
      <c r="AD88" s="599"/>
      <c r="AE88" s="599"/>
      <c r="AF88" s="599"/>
      <c r="AG88" s="599"/>
      <c r="AH88" s="599"/>
      <c r="AI88" s="599"/>
      <c r="AJ88" s="599"/>
      <c r="AK88" s="599"/>
      <c r="AL88" s="599"/>
      <c r="AM88" s="599"/>
      <c r="AN88" s="599"/>
      <c r="AO88" s="599"/>
      <c r="AP88" s="599"/>
      <c r="AQ88" s="599"/>
      <c r="AR88" s="599"/>
      <c r="AS88" s="599"/>
      <c r="AT88" s="599"/>
      <c r="AU88" s="599"/>
      <c r="AV88" s="599"/>
      <c r="AW88" s="599"/>
      <c r="AX88" s="599"/>
      <c r="AY88" s="599"/>
      <c r="AZ88" s="599">
        <f>H88</f>
        <v>1000</v>
      </c>
      <c r="BA88" s="599"/>
      <c r="BB88" s="599"/>
      <c r="BC88" s="599"/>
      <c r="BD88" s="599"/>
      <c r="BE88" s="598"/>
    </row>
    <row r="89" spans="2:57" ht="12.75" customHeight="1">
      <c r="B89" s="1328"/>
      <c r="C89" s="1329"/>
      <c r="D89" s="501" t="s">
        <v>3569</v>
      </c>
      <c r="E89" s="501"/>
      <c r="F89" s="501" t="s">
        <v>422</v>
      </c>
      <c r="G89" s="501" t="s">
        <v>3342</v>
      </c>
      <c r="H89" s="629">
        <v>1597.1469999999999</v>
      </c>
      <c r="I89" s="584" t="s">
        <v>934</v>
      </c>
      <c r="J89" s="504">
        <v>45265.236111111109</v>
      </c>
      <c r="K89" s="504"/>
      <c r="L89" s="574" t="s">
        <v>192</v>
      </c>
      <c r="M89" s="574" t="s">
        <v>192</v>
      </c>
      <c r="N89" s="505" t="str">
        <f t="shared" si="6"/>
        <v>DELAY ( 5 day 5 hour 40 minute )</v>
      </c>
      <c r="O89" s="597"/>
      <c r="P89" s="507" t="s">
        <v>551</v>
      </c>
      <c r="Q89" s="507" t="s">
        <v>551</v>
      </c>
      <c r="R89" s="507" t="s">
        <v>551</v>
      </c>
      <c r="S89" s="598"/>
      <c r="T89" s="599"/>
      <c r="U89" s="599"/>
      <c r="V89" s="599"/>
      <c r="W89" s="599"/>
      <c r="X89" s="599"/>
      <c r="Y89" s="599"/>
      <c r="Z89" s="599"/>
      <c r="AA89" s="599"/>
      <c r="AB89" s="599">
        <f>H89*0.6</f>
        <v>958.28819999999996</v>
      </c>
      <c r="AC89" s="599">
        <f>H89*0.4</f>
        <v>638.85879999999997</v>
      </c>
      <c r="AD89" s="599"/>
      <c r="AE89" s="599"/>
      <c r="AF89" s="599"/>
      <c r="AG89" s="599"/>
      <c r="AH89" s="599"/>
      <c r="AI89" s="599"/>
      <c r="AJ89" s="599"/>
      <c r="AK89" s="599"/>
      <c r="AL89" s="599"/>
      <c r="AM89" s="599"/>
      <c r="AN89" s="599"/>
      <c r="AO89" s="599"/>
      <c r="AP89" s="599"/>
      <c r="AQ89" s="599"/>
      <c r="AR89" s="599"/>
      <c r="AS89" s="599"/>
      <c r="AT89" s="599"/>
      <c r="AU89" s="599"/>
      <c r="AV89" s="599"/>
      <c r="AW89" s="599"/>
      <c r="AX89" s="599"/>
      <c r="AY89" s="599"/>
      <c r="AZ89" s="599"/>
      <c r="BA89" s="599"/>
      <c r="BB89" s="599"/>
      <c r="BC89" s="599"/>
      <c r="BD89" s="599"/>
      <c r="BE89" s="598"/>
    </row>
    <row r="90" spans="2:57" ht="12.75" customHeight="1">
      <c r="B90" s="1326" t="s">
        <v>644</v>
      </c>
      <c r="C90" s="1327"/>
      <c r="D90" s="501" t="s">
        <v>3834</v>
      </c>
      <c r="E90" s="502"/>
      <c r="F90" s="501" t="s">
        <v>222</v>
      </c>
      <c r="G90" s="501" t="s">
        <v>223</v>
      </c>
      <c r="H90" s="629">
        <f>H87</f>
        <v>3758.2359999999999</v>
      </c>
      <c r="I90" s="584" t="s">
        <v>611</v>
      </c>
      <c r="J90" s="504"/>
      <c r="K90" s="504"/>
      <c r="L90" s="574"/>
      <c r="M90" s="574"/>
      <c r="N90" s="505" t="str">
        <f t="shared" si="6"/>
        <v xml:space="preserve"> </v>
      </c>
      <c r="O90" s="597"/>
      <c r="P90" s="507" t="s">
        <v>551</v>
      </c>
      <c r="Q90" s="507" t="s">
        <v>551</v>
      </c>
      <c r="R90" s="507" t="s">
        <v>551</v>
      </c>
      <c r="S90" s="598"/>
      <c r="T90" s="599">
        <f>H90</f>
        <v>3758.2359999999999</v>
      </c>
      <c r="U90" s="599"/>
      <c r="V90" s="599"/>
      <c r="W90" s="599"/>
      <c r="X90" s="599"/>
      <c r="Y90" s="599"/>
      <c r="Z90" s="599"/>
      <c r="AA90" s="599"/>
      <c r="AB90" s="599"/>
      <c r="AC90" s="599"/>
      <c r="AD90" s="599"/>
      <c r="AE90" s="599"/>
      <c r="AF90" s="599"/>
      <c r="AG90" s="599"/>
      <c r="AH90" s="599"/>
      <c r="AI90" s="599"/>
      <c r="AJ90" s="599"/>
      <c r="AK90" s="599"/>
      <c r="AL90" s="599"/>
      <c r="AM90" s="599"/>
      <c r="AN90" s="599"/>
      <c r="AO90" s="599"/>
      <c r="AP90" s="599"/>
      <c r="AQ90" s="599"/>
      <c r="AR90" s="599"/>
      <c r="AS90" s="599"/>
      <c r="AT90" s="599"/>
      <c r="AU90" s="599"/>
      <c r="AV90" s="599"/>
      <c r="AW90" s="599"/>
      <c r="AX90" s="599"/>
      <c r="AY90" s="599"/>
      <c r="AZ90" s="599"/>
      <c r="BA90" s="599"/>
      <c r="BB90" s="599"/>
      <c r="BC90" s="599"/>
      <c r="BD90" s="599"/>
      <c r="BE90" s="598"/>
    </row>
    <row r="91" spans="2:57" ht="12.75" customHeight="1">
      <c r="B91" s="1328"/>
      <c r="C91" s="1329"/>
      <c r="D91" s="501" t="s">
        <v>3582</v>
      </c>
      <c r="E91" s="501"/>
      <c r="F91" s="501" t="s">
        <v>429</v>
      </c>
      <c r="G91" s="501" t="s">
        <v>430</v>
      </c>
      <c r="H91" s="629">
        <f>7609.509-163.614</f>
        <v>7445.8950000000004</v>
      </c>
      <c r="I91" s="584" t="s">
        <v>2381</v>
      </c>
      <c r="J91" s="504">
        <v>45262.472222222219</v>
      </c>
      <c r="K91" s="574"/>
      <c r="L91" s="574" t="s">
        <v>192</v>
      </c>
      <c r="M91" s="574" t="s">
        <v>192</v>
      </c>
      <c r="N91" s="505" t="str">
        <f t="shared" si="6"/>
        <v>DELAY ( 2 day 11 hour 20 minute )</v>
      </c>
      <c r="O91" s="597"/>
      <c r="P91" s="507" t="s">
        <v>551</v>
      </c>
      <c r="Q91" s="507" t="s">
        <v>551</v>
      </c>
      <c r="R91" s="507" t="s">
        <v>551</v>
      </c>
      <c r="S91" s="598"/>
      <c r="T91" s="599"/>
      <c r="U91" s="599"/>
      <c r="V91" s="599"/>
      <c r="W91" s="599"/>
      <c r="X91" s="599"/>
      <c r="Y91" s="599"/>
      <c r="Z91" s="599"/>
      <c r="AA91" s="599"/>
      <c r="AB91" s="599">
        <f>H91*0.8</f>
        <v>5956.7160000000003</v>
      </c>
      <c r="AC91" s="599">
        <f>H91*0.2</f>
        <v>1489.1790000000001</v>
      </c>
      <c r="AD91" s="599"/>
      <c r="AE91" s="599"/>
      <c r="AF91" s="599"/>
      <c r="AG91" s="599"/>
      <c r="AH91" s="599"/>
      <c r="AI91" s="599"/>
      <c r="AJ91" s="599"/>
      <c r="AK91" s="599"/>
      <c r="AL91" s="599"/>
      <c r="AM91" s="599"/>
      <c r="AN91" s="599"/>
      <c r="AO91" s="599"/>
      <c r="AP91" s="599"/>
      <c r="AQ91" s="599"/>
      <c r="AR91" s="599"/>
      <c r="AS91" s="599"/>
      <c r="AT91" s="599"/>
      <c r="AU91" s="599"/>
      <c r="AV91" s="599"/>
      <c r="AW91" s="599"/>
      <c r="AX91" s="599"/>
      <c r="AY91" s="599"/>
      <c r="AZ91" s="599"/>
      <c r="BA91" s="599"/>
      <c r="BB91" s="599"/>
      <c r="BC91" s="599"/>
      <c r="BD91" s="599"/>
      <c r="BE91" s="598"/>
    </row>
    <row r="92" spans="2:57" ht="12.75" customHeight="1">
      <c r="B92" s="1258" t="s">
        <v>556</v>
      </c>
      <c r="C92" s="1259"/>
      <c r="D92" s="1259"/>
      <c r="E92" s="1259"/>
      <c r="F92" s="1259"/>
      <c r="G92" s="1260"/>
      <c r="H92" s="863">
        <f>SUM(H76:H91)</f>
        <v>74310</v>
      </c>
      <c r="I92" s="1458"/>
      <c r="J92" s="1458"/>
      <c r="K92" s="1458"/>
      <c r="L92" s="1458"/>
      <c r="M92" s="1458"/>
      <c r="N92" s="505" t="str">
        <f t="shared" si="6"/>
        <v xml:space="preserve"> </v>
      </c>
      <c r="O92" s="212"/>
      <c r="P92" s="590"/>
      <c r="Q92" s="590"/>
      <c r="R92" s="590"/>
      <c r="S92" s="633"/>
      <c r="T92" s="1307"/>
      <c r="U92" s="1308"/>
      <c r="V92" s="1308"/>
      <c r="W92" s="1308"/>
      <c r="X92" s="1308"/>
      <c r="Y92" s="1308"/>
      <c r="Z92" s="1308"/>
      <c r="AA92" s="1308"/>
      <c r="AB92" s="1308"/>
      <c r="AC92" s="1308"/>
      <c r="AD92" s="1308"/>
      <c r="AE92" s="1308"/>
      <c r="AF92" s="1308"/>
      <c r="AG92" s="1308"/>
      <c r="AH92" s="1308"/>
      <c r="AI92" s="1308"/>
      <c r="AJ92" s="1308"/>
      <c r="AK92" s="1308"/>
      <c r="AL92" s="1308"/>
      <c r="AM92" s="1308"/>
      <c r="AN92" s="1308"/>
      <c r="AO92" s="1308"/>
      <c r="AP92" s="1308"/>
      <c r="AQ92" s="1308"/>
      <c r="AR92" s="1308"/>
      <c r="AS92" s="1308"/>
      <c r="AT92" s="1308"/>
      <c r="AU92" s="1308"/>
      <c r="AV92" s="1308"/>
      <c r="AW92" s="1308"/>
      <c r="AX92" s="1308"/>
      <c r="AY92" s="1308"/>
      <c r="AZ92" s="1308"/>
      <c r="BA92" s="1308"/>
      <c r="BB92" s="1308"/>
      <c r="BC92" s="1308"/>
      <c r="BD92" s="1308"/>
      <c r="BE92" s="39"/>
    </row>
    <row r="93" spans="2:57" ht="12.75" customHeight="1">
      <c r="B93" s="1415" t="s">
        <v>557</v>
      </c>
      <c r="C93" s="1416"/>
      <c r="D93" s="1416"/>
      <c r="E93" s="1416"/>
      <c r="F93" s="1416"/>
      <c r="G93" s="1417"/>
      <c r="H93" s="845">
        <v>74310</v>
      </c>
      <c r="I93" s="1455"/>
      <c r="J93" s="1455"/>
      <c r="K93" s="1455"/>
      <c r="L93" s="1455"/>
      <c r="M93" s="1455"/>
      <c r="N93" s="505" t="str">
        <f t="shared" si="6"/>
        <v xml:space="preserve"> </v>
      </c>
      <c r="O93" s="591"/>
      <c r="P93" s="415"/>
      <c r="Q93" s="415"/>
      <c r="R93" s="415"/>
      <c r="S93" s="740"/>
      <c r="T93" s="592">
        <f t="shared" ref="T93:BD93" si="7">SUM(T76:T91)</f>
        <v>15047.679</v>
      </c>
      <c r="U93" s="592">
        <f t="shared" si="7"/>
        <v>0</v>
      </c>
      <c r="V93" s="592">
        <f t="shared" si="7"/>
        <v>0</v>
      </c>
      <c r="W93" s="592">
        <f t="shared" si="7"/>
        <v>0</v>
      </c>
      <c r="X93" s="592">
        <f t="shared" si="7"/>
        <v>0</v>
      </c>
      <c r="Y93" s="592">
        <f t="shared" si="7"/>
        <v>0</v>
      </c>
      <c r="Z93" s="592">
        <f t="shared" si="7"/>
        <v>0</v>
      </c>
      <c r="AA93" s="592">
        <f t="shared" si="7"/>
        <v>0</v>
      </c>
      <c r="AB93" s="592">
        <f t="shared" si="7"/>
        <v>41041.986600000004</v>
      </c>
      <c r="AC93" s="592">
        <f t="shared" si="7"/>
        <v>10659.7834</v>
      </c>
      <c r="AD93" s="592">
        <f t="shared" si="7"/>
        <v>0</v>
      </c>
      <c r="AE93" s="592">
        <f t="shared" si="7"/>
        <v>0</v>
      </c>
      <c r="AF93" s="592">
        <f t="shared" si="7"/>
        <v>0</v>
      </c>
      <c r="AG93" s="592">
        <f t="shared" si="7"/>
        <v>0</v>
      </c>
      <c r="AH93" s="592">
        <f t="shared" si="7"/>
        <v>0</v>
      </c>
      <c r="AI93" s="592">
        <f t="shared" si="7"/>
        <v>0</v>
      </c>
      <c r="AJ93" s="592">
        <f t="shared" si="7"/>
        <v>0</v>
      </c>
      <c r="AK93" s="592">
        <f t="shared" si="7"/>
        <v>0</v>
      </c>
      <c r="AL93" s="592">
        <f t="shared" si="7"/>
        <v>0</v>
      </c>
      <c r="AM93" s="592">
        <f t="shared" si="7"/>
        <v>0</v>
      </c>
      <c r="AN93" s="592">
        <f t="shared" si="7"/>
        <v>0</v>
      </c>
      <c r="AO93" s="592">
        <f t="shared" si="7"/>
        <v>0</v>
      </c>
      <c r="AP93" s="592">
        <f t="shared" si="7"/>
        <v>0</v>
      </c>
      <c r="AQ93" s="592">
        <f t="shared" si="7"/>
        <v>0</v>
      </c>
      <c r="AR93" s="592">
        <f t="shared" si="7"/>
        <v>0</v>
      </c>
      <c r="AS93" s="592">
        <f t="shared" si="7"/>
        <v>0</v>
      </c>
      <c r="AT93" s="592">
        <f t="shared" si="7"/>
        <v>0</v>
      </c>
      <c r="AU93" s="592">
        <f t="shared" si="7"/>
        <v>0</v>
      </c>
      <c r="AV93" s="592">
        <f t="shared" si="7"/>
        <v>0</v>
      </c>
      <c r="AW93" s="592">
        <f t="shared" si="7"/>
        <v>0</v>
      </c>
      <c r="AX93" s="592">
        <f t="shared" si="7"/>
        <v>0</v>
      </c>
      <c r="AY93" s="592">
        <f t="shared" si="7"/>
        <v>0</v>
      </c>
      <c r="AZ93" s="592">
        <f t="shared" si="7"/>
        <v>7560.5509999999995</v>
      </c>
      <c r="BA93" s="592">
        <f t="shared" si="7"/>
        <v>0</v>
      </c>
      <c r="BB93" s="592">
        <f t="shared" si="7"/>
        <v>0</v>
      </c>
      <c r="BC93" s="592">
        <f t="shared" si="7"/>
        <v>0</v>
      </c>
      <c r="BD93" s="592">
        <f t="shared" si="7"/>
        <v>0</v>
      </c>
      <c r="BE93" s="592">
        <f>SUM(T93:BD93)</f>
        <v>74310</v>
      </c>
    </row>
    <row r="94" spans="2:57" ht="12.75" customHeight="1">
      <c r="B94" s="1415" t="s">
        <v>558</v>
      </c>
      <c r="C94" s="1416"/>
      <c r="D94" s="1416"/>
      <c r="E94" s="1416"/>
      <c r="F94" s="1416"/>
      <c r="G94" s="1417"/>
      <c r="H94" s="712">
        <f>H93-L70</f>
        <v>0</v>
      </c>
      <c r="I94" s="745"/>
      <c r="J94" s="746"/>
      <c r="K94" s="746"/>
      <c r="L94" s="674"/>
      <c r="M94" s="633"/>
      <c r="N94" s="591"/>
      <c r="O94" s="591"/>
      <c r="P94" s="591"/>
      <c r="Q94" s="744"/>
      <c r="R94" s="744"/>
      <c r="S94" s="591"/>
      <c r="T94" s="645"/>
      <c r="U94" s="645"/>
      <c r="V94" s="645"/>
      <c r="W94" s="645"/>
      <c r="X94" s="645"/>
      <c r="Y94" s="645"/>
      <c r="Z94" s="645"/>
      <c r="AA94" s="645"/>
      <c r="AB94" s="645"/>
      <c r="AC94" s="591"/>
      <c r="AD94" s="591"/>
      <c r="AE94" s="591"/>
      <c r="AF94" s="591"/>
      <c r="AG94" s="591"/>
      <c r="AH94" s="591"/>
      <c r="AI94" s="591"/>
      <c r="AJ94" s="591"/>
      <c r="AK94" s="591"/>
      <c r="AL94" s="591"/>
      <c r="AM94" s="591"/>
      <c r="AN94" s="591"/>
      <c r="AO94" s="591"/>
      <c r="AP94" s="591"/>
      <c r="AQ94" s="591"/>
      <c r="AR94" s="591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</row>
    <row r="95" spans="2:57" ht="12.75" customHeight="1">
      <c r="B95" s="1415" t="s">
        <v>559</v>
      </c>
      <c r="C95" s="1416"/>
      <c r="D95" s="1416"/>
      <c r="E95" s="1416"/>
      <c r="F95" s="1416"/>
      <c r="G95" s="1417"/>
      <c r="H95" s="747">
        <f>H92-H93</f>
        <v>0</v>
      </c>
      <c r="I95" s="745"/>
      <c r="J95" s="746"/>
      <c r="K95" s="746"/>
      <c r="L95" s="674"/>
      <c r="M95" s="633"/>
      <c r="N95" s="613"/>
      <c r="O95" s="591"/>
      <c r="P95" s="591"/>
      <c r="Q95" s="591"/>
      <c r="R95" s="591"/>
      <c r="S95" s="591"/>
      <c r="T95" s="645"/>
      <c r="U95" s="645"/>
      <c r="V95" s="645"/>
      <c r="W95" s="645"/>
      <c r="X95" s="645"/>
      <c r="Y95" s="645"/>
      <c r="Z95" s="645"/>
      <c r="AA95" s="645"/>
      <c r="AB95" s="645"/>
      <c r="AC95" s="591"/>
      <c r="AD95" s="591"/>
      <c r="AE95" s="591"/>
      <c r="AF95" s="591"/>
      <c r="AG95" s="591"/>
      <c r="AH95" s="591"/>
      <c r="AI95" s="591"/>
      <c r="AJ95" s="591"/>
      <c r="AK95" s="591"/>
      <c r="AL95" s="591"/>
      <c r="AM95" s="591"/>
      <c r="AN95" s="591"/>
      <c r="AO95" s="591"/>
      <c r="AP95" s="591"/>
      <c r="AQ95" s="591"/>
      <c r="AR95" s="591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</row>
    <row r="96" spans="2:57" s="39" customFormat="1" ht="12.75" customHeight="1">
      <c r="B96" s="1415" t="s">
        <v>560</v>
      </c>
      <c r="C96" s="1416"/>
      <c r="D96" s="1416"/>
      <c r="E96" s="1416"/>
      <c r="F96" s="1416"/>
      <c r="G96" s="1417"/>
      <c r="H96" s="741">
        <f>H95-163.614</f>
        <v>-163.614</v>
      </c>
      <c r="I96" s="641"/>
      <c r="J96" s="642"/>
      <c r="K96" s="642"/>
      <c r="L96" s="499"/>
      <c r="M96" s="613"/>
      <c r="N96" s="613"/>
      <c r="O96" s="613"/>
      <c r="P96" s="613"/>
      <c r="Q96" s="613"/>
      <c r="R96" s="613"/>
      <c r="S96" s="616"/>
      <c r="T96" s="616"/>
      <c r="U96" s="616"/>
      <c r="V96" s="616"/>
      <c r="W96" s="616"/>
      <c r="X96" s="616"/>
      <c r="Y96" s="616"/>
      <c r="Z96" s="616"/>
      <c r="AA96" s="616"/>
      <c r="AB96" s="613"/>
      <c r="AC96" s="613"/>
      <c r="AD96" s="613"/>
      <c r="AE96" s="613"/>
      <c r="AF96" s="613"/>
      <c r="AG96" s="613"/>
      <c r="AH96" s="613"/>
      <c r="AI96" s="613"/>
      <c r="AJ96" s="613"/>
      <c r="AK96" s="613"/>
      <c r="AL96" s="613"/>
      <c r="AM96" s="613"/>
      <c r="AN96" s="613"/>
      <c r="AO96" s="613"/>
      <c r="AP96" s="613"/>
      <c r="AQ96" s="613"/>
      <c r="AR96" s="496"/>
      <c r="AS96" s="496"/>
      <c r="AT96" s="496"/>
      <c r="AU96" s="496"/>
      <c r="AV96" s="496"/>
      <c r="AW96" s="496"/>
      <c r="AX96" s="496"/>
      <c r="AY96" s="496"/>
      <c r="AZ96" s="496"/>
      <c r="BA96" s="496"/>
    </row>
    <row r="97" spans="2:57">
      <c r="B97" s="613"/>
      <c r="C97" s="613"/>
      <c r="D97" s="613"/>
      <c r="E97" s="613"/>
      <c r="F97" s="613"/>
      <c r="G97" s="613"/>
      <c r="H97" s="613"/>
      <c r="I97" s="643"/>
      <c r="J97" s="641"/>
      <c r="K97" s="641"/>
      <c r="L97" s="644"/>
      <c r="M97" s="613"/>
      <c r="N97" s="613"/>
      <c r="O97" s="641"/>
      <c r="P97" s="591"/>
      <c r="Q97" s="591"/>
      <c r="R97" s="591"/>
      <c r="S97" s="591"/>
      <c r="T97" s="645"/>
      <c r="U97" s="645"/>
      <c r="V97" s="645"/>
      <c r="W97" s="645"/>
      <c r="X97" s="645"/>
      <c r="Y97" s="645"/>
      <c r="Z97" s="645"/>
      <c r="AA97" s="645"/>
      <c r="AB97" s="645"/>
      <c r="AC97" s="591"/>
      <c r="AD97" s="591"/>
      <c r="AE97" s="591"/>
      <c r="AF97" s="591"/>
      <c r="AG97" s="591"/>
      <c r="AH97" s="591"/>
      <c r="AI97" s="591"/>
      <c r="AJ97" s="591"/>
      <c r="AK97" s="591"/>
      <c r="AL97" s="591"/>
      <c r="AM97" s="591"/>
      <c r="AN97" s="591"/>
      <c r="AO97" s="591"/>
      <c r="AP97" s="591"/>
      <c r="AQ97" s="591"/>
      <c r="AR97" s="591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</row>
    <row r="98" spans="2:57">
      <c r="B98" s="619" t="s">
        <v>561</v>
      </c>
      <c r="C98" s="619"/>
      <c r="D98" s="591"/>
      <c r="E98" s="591"/>
      <c r="F98" s="591"/>
      <c r="G98" s="591"/>
      <c r="H98" s="591"/>
      <c r="I98" s="591"/>
      <c r="J98" s="646"/>
      <c r="K98" s="646"/>
      <c r="L98" s="647"/>
      <c r="M98" s="591"/>
      <c r="N98" s="613"/>
      <c r="O98" s="646"/>
      <c r="P98" s="616"/>
      <c r="Q98" s="616"/>
      <c r="R98" s="616"/>
      <c r="S98" s="616"/>
      <c r="T98" s="616"/>
      <c r="U98" s="616"/>
      <c r="V98" s="616"/>
      <c r="W98" s="616"/>
      <c r="X98" s="616"/>
      <c r="Y98" s="616"/>
      <c r="Z98" s="616"/>
      <c r="AA98" s="616"/>
      <c r="AB98" s="613"/>
      <c r="AC98" s="613"/>
      <c r="AD98" s="613"/>
      <c r="AE98" s="613"/>
      <c r="AF98" s="613"/>
      <c r="AG98" s="613"/>
      <c r="AH98" s="613"/>
      <c r="AI98" s="613"/>
      <c r="AJ98" s="613"/>
      <c r="AK98" s="613"/>
      <c r="AL98" s="613"/>
      <c r="AM98" s="613"/>
      <c r="AN98" s="613"/>
      <c r="AO98" s="613"/>
      <c r="AP98" s="613"/>
      <c r="AQ98" s="613"/>
      <c r="AR98" s="613"/>
      <c r="AS98" s="613"/>
      <c r="AT98" s="613"/>
      <c r="AU98" s="613"/>
      <c r="AV98" s="39"/>
      <c r="AW98" s="39"/>
      <c r="AX98" s="39"/>
      <c r="AY98" s="39"/>
      <c r="AZ98" s="39"/>
      <c r="BA98" s="39"/>
      <c r="BB98" s="39"/>
      <c r="BC98" s="39"/>
      <c r="BD98" s="39"/>
      <c r="BE98" s="613"/>
    </row>
    <row r="99" spans="2:57" ht="12.75" customHeight="1">
      <c r="B99" s="422">
        <v>1</v>
      </c>
      <c r="C99" s="1249" t="s">
        <v>562</v>
      </c>
      <c r="D99" s="1249"/>
      <c r="E99" s="1249"/>
      <c r="F99" s="1249"/>
      <c r="G99" s="1249"/>
      <c r="H99" s="1249"/>
      <c r="I99" s="1249"/>
      <c r="J99" s="1249"/>
      <c r="K99" s="1249"/>
      <c r="L99" s="644"/>
      <c r="M99" s="644"/>
      <c r="N99" s="613"/>
      <c r="O99" s="641"/>
      <c r="P99" s="616"/>
      <c r="Q99" s="616"/>
      <c r="R99" s="616"/>
      <c r="S99" s="616"/>
      <c r="T99" s="616"/>
      <c r="U99" s="616"/>
      <c r="V99" s="616"/>
      <c r="W99" s="616"/>
      <c r="X99" s="616"/>
      <c r="Y99" s="616"/>
      <c r="Z99" s="616"/>
      <c r="AA99" s="616"/>
      <c r="AB99" s="613"/>
      <c r="AC99" s="613"/>
      <c r="AD99" s="613"/>
      <c r="AE99" s="613"/>
      <c r="AF99" s="613"/>
      <c r="AG99" s="613"/>
      <c r="AH99" s="613"/>
      <c r="AI99" s="613"/>
      <c r="AJ99" s="613"/>
      <c r="AK99" s="613"/>
      <c r="AL99" s="613"/>
      <c r="AM99" s="613"/>
      <c r="AN99" s="613"/>
      <c r="AO99" s="613"/>
      <c r="AP99" s="613"/>
      <c r="AQ99" s="613"/>
      <c r="AR99" s="613"/>
      <c r="AS99" s="613"/>
      <c r="AT99" s="613"/>
      <c r="AU99" s="613"/>
      <c r="AV99" s="613"/>
      <c r="AW99" s="613"/>
      <c r="AX99" s="613"/>
      <c r="AY99" s="613"/>
      <c r="AZ99" s="613"/>
      <c r="BA99" s="613"/>
      <c r="BB99" s="613"/>
      <c r="BC99" s="613"/>
      <c r="BD99" s="613"/>
      <c r="BE99" s="613"/>
    </row>
    <row r="101" spans="2:57">
      <c r="B101" s="28" t="s">
        <v>126</v>
      </c>
      <c r="C101" s="28"/>
      <c r="D101" s="614"/>
      <c r="E101" s="30" t="s">
        <v>511</v>
      </c>
      <c r="F101" s="31" t="s">
        <v>1052</v>
      </c>
      <c r="G101" s="591"/>
      <c r="H101" s="33"/>
      <c r="I101" s="615"/>
      <c r="J101" s="35" t="s">
        <v>513</v>
      </c>
      <c r="K101" s="36" t="s">
        <v>511</v>
      </c>
      <c r="L101" s="516">
        <v>45265.260416666664</v>
      </c>
      <c r="M101" s="591"/>
      <c r="N101" s="591"/>
      <c r="O101" s="206"/>
      <c r="P101" s="205"/>
      <c r="Q101" s="616"/>
      <c r="R101" s="204"/>
      <c r="S101" s="617"/>
      <c r="T101" s="613"/>
      <c r="U101" s="613"/>
      <c r="V101" s="613"/>
      <c r="W101" s="613"/>
      <c r="X101" s="613"/>
      <c r="Y101" s="613"/>
      <c r="Z101" s="613"/>
      <c r="AA101" s="613"/>
      <c r="AB101" s="616"/>
      <c r="AC101" s="616"/>
      <c r="AD101" s="616"/>
      <c r="AE101" s="616"/>
      <c r="AF101" s="616"/>
      <c r="AG101" s="613"/>
      <c r="AH101" s="613"/>
      <c r="AI101" s="613"/>
      <c r="AJ101" s="613"/>
      <c r="AK101" s="613"/>
      <c r="AL101" s="613"/>
      <c r="AM101" s="613"/>
      <c r="AN101" s="613"/>
      <c r="AO101" s="613"/>
      <c r="AP101" s="613"/>
      <c r="AQ101" s="613"/>
      <c r="AR101" s="613"/>
      <c r="AS101" s="613"/>
      <c r="AT101" s="613"/>
      <c r="AU101" s="613"/>
      <c r="AV101" s="613"/>
      <c r="AW101" s="613"/>
      <c r="AX101" s="613"/>
      <c r="AY101" s="613"/>
      <c r="AZ101" s="613"/>
      <c r="BA101" s="613"/>
      <c r="BB101" s="613"/>
      <c r="BC101" s="613"/>
      <c r="BD101" s="613"/>
      <c r="BE101" s="613"/>
    </row>
    <row r="102" spans="2:57">
      <c r="B102" s="35" t="s">
        <v>514</v>
      </c>
      <c r="C102" s="35"/>
      <c r="D102" s="591"/>
      <c r="E102" s="36" t="s">
        <v>511</v>
      </c>
      <c r="F102" s="311" t="s">
        <v>4370</v>
      </c>
      <c r="G102" s="591"/>
      <c r="H102" s="33"/>
      <c r="I102" s="615"/>
      <c r="J102" s="35" t="s">
        <v>516</v>
      </c>
      <c r="K102" s="36" t="s">
        <v>511</v>
      </c>
      <c r="L102" s="516">
        <v>45266.320833333331</v>
      </c>
      <c r="M102" s="591"/>
      <c r="N102" s="591"/>
      <c r="O102" s="206"/>
      <c r="P102" s="205"/>
      <c r="Q102" s="616"/>
      <c r="R102" s="204"/>
      <c r="S102" s="617"/>
      <c r="T102" s="613"/>
      <c r="U102" s="613"/>
      <c r="V102" s="613"/>
      <c r="W102" s="613"/>
      <c r="X102" s="613"/>
      <c r="Y102" s="613"/>
      <c r="Z102" s="613"/>
      <c r="AA102" s="613"/>
      <c r="AB102" s="616"/>
      <c r="AC102" s="616"/>
      <c r="AD102" s="616"/>
      <c r="AE102" s="616"/>
      <c r="AF102" s="616"/>
      <c r="AG102" s="613"/>
      <c r="AH102" s="613"/>
      <c r="AI102" s="613"/>
      <c r="AJ102" s="613"/>
      <c r="AK102" s="613"/>
      <c r="AL102" s="613"/>
      <c r="AM102" s="613"/>
      <c r="AN102" s="613"/>
      <c r="AO102" s="613"/>
      <c r="AP102" s="613"/>
      <c r="AQ102" s="613"/>
      <c r="AR102" s="613"/>
      <c r="AS102" s="613"/>
      <c r="AT102" s="613"/>
      <c r="AU102" s="613"/>
      <c r="AV102" s="613"/>
      <c r="AW102" s="613"/>
      <c r="AX102" s="613"/>
      <c r="AY102" s="613"/>
      <c r="AZ102" s="613"/>
      <c r="BA102" s="613"/>
      <c r="BB102" s="613"/>
      <c r="BC102" s="613"/>
      <c r="BD102" s="613"/>
      <c r="BE102" s="613"/>
    </row>
    <row r="103" spans="2:57">
      <c r="B103" s="35" t="s">
        <v>517</v>
      </c>
      <c r="C103" s="35"/>
      <c r="D103" s="591"/>
      <c r="E103" s="36" t="s">
        <v>511</v>
      </c>
      <c r="F103" s="516">
        <v>45263.458333333336</v>
      </c>
      <c r="G103" s="591"/>
      <c r="H103" s="33"/>
      <c r="I103" s="615"/>
      <c r="J103" s="35" t="s">
        <v>518</v>
      </c>
      <c r="K103" s="36" t="s">
        <v>511</v>
      </c>
      <c r="L103" s="692">
        <v>45000</v>
      </c>
      <c r="M103" s="619" t="s">
        <v>519</v>
      </c>
      <c r="N103" s="619"/>
      <c r="O103" s="206"/>
      <c r="P103" s="205"/>
      <c r="Q103" s="616"/>
      <c r="R103" s="204"/>
      <c r="S103" s="617"/>
      <c r="T103" s="613"/>
      <c r="U103" s="613"/>
      <c r="V103" s="613"/>
      <c r="W103" s="613"/>
      <c r="X103" s="613"/>
      <c r="Y103" s="613"/>
      <c r="Z103" s="613"/>
      <c r="AA103" s="613"/>
      <c r="AB103" s="616"/>
      <c r="AC103" s="616"/>
      <c r="AD103" s="616"/>
      <c r="AE103" s="616"/>
      <c r="AF103" s="616"/>
      <c r="AG103" s="613"/>
      <c r="AH103" s="613"/>
      <c r="AI103" s="613"/>
      <c r="AJ103" s="613"/>
      <c r="AK103" s="613"/>
      <c r="AL103" s="613"/>
      <c r="AM103" s="613"/>
      <c r="AN103" s="613"/>
      <c r="AO103" s="613"/>
      <c r="AP103" s="613"/>
      <c r="AQ103" s="613"/>
      <c r="AR103" s="613"/>
      <c r="AS103" s="613"/>
      <c r="AT103" s="613"/>
      <c r="AU103" s="613"/>
      <c r="AV103" s="613"/>
      <c r="AW103" s="613"/>
      <c r="AX103" s="613"/>
      <c r="AY103" s="613"/>
      <c r="AZ103" s="613"/>
      <c r="BA103" s="613"/>
      <c r="BB103" s="613"/>
      <c r="BC103" s="613"/>
      <c r="BD103" s="613"/>
      <c r="BE103" s="613"/>
    </row>
    <row r="104" spans="2:57">
      <c r="B104" s="35" t="s">
        <v>520</v>
      </c>
      <c r="C104" s="35"/>
      <c r="D104" s="591"/>
      <c r="E104" s="36" t="s">
        <v>511</v>
      </c>
      <c r="F104" s="37" t="s">
        <v>20</v>
      </c>
      <c r="G104" s="591"/>
      <c r="H104" s="33"/>
      <c r="I104" s="615"/>
      <c r="J104" s="35" t="s">
        <v>521</v>
      </c>
      <c r="K104" s="36" t="s">
        <v>511</v>
      </c>
      <c r="L104" s="620" t="s">
        <v>3171</v>
      </c>
      <c r="M104" s="591"/>
      <c r="N104" s="591"/>
      <c r="O104" s="206"/>
      <c r="P104" s="616"/>
      <c r="Q104" s="616"/>
      <c r="R104" s="204"/>
      <c r="S104" s="617"/>
      <c r="T104" s="613"/>
      <c r="U104" s="613"/>
      <c r="V104" s="613"/>
      <c r="W104" s="613"/>
      <c r="X104" s="613"/>
      <c r="Y104" s="613"/>
      <c r="Z104" s="613"/>
      <c r="AA104" s="613"/>
      <c r="AB104" s="616"/>
      <c r="AC104" s="616"/>
      <c r="AD104" s="616"/>
      <c r="AE104" s="616"/>
      <c r="AF104" s="616"/>
      <c r="AG104" s="613"/>
      <c r="AH104" s="613"/>
      <c r="AI104" s="613"/>
      <c r="AJ104" s="613"/>
      <c r="AK104" s="613"/>
      <c r="AL104" s="613"/>
      <c r="AM104" s="613"/>
      <c r="AN104" s="613"/>
      <c r="AO104" s="613"/>
      <c r="AP104" s="613"/>
      <c r="AQ104" s="613"/>
      <c r="AR104" s="613"/>
      <c r="AS104" s="613"/>
      <c r="AT104" s="613"/>
      <c r="AU104" s="613"/>
      <c r="AV104" s="613"/>
      <c r="AW104" s="613"/>
      <c r="AX104" s="613"/>
      <c r="AY104" s="613"/>
      <c r="AZ104" s="613"/>
      <c r="BA104" s="613"/>
      <c r="BB104" s="613"/>
      <c r="BC104" s="613"/>
      <c r="BD104" s="613"/>
      <c r="BE104" s="613"/>
    </row>
    <row r="105" spans="2:57">
      <c r="B105" s="35" t="s">
        <v>523</v>
      </c>
      <c r="C105" s="35"/>
      <c r="D105" s="591"/>
      <c r="E105" s="36" t="s">
        <v>511</v>
      </c>
      <c r="F105" s="37" t="s">
        <v>47</v>
      </c>
      <c r="G105" s="591"/>
      <c r="H105" s="33"/>
      <c r="I105" s="615"/>
      <c r="J105" s="35" t="s">
        <v>524</v>
      </c>
      <c r="K105" s="36" t="s">
        <v>511</v>
      </c>
      <c r="L105" s="621" t="s">
        <v>15</v>
      </c>
      <c r="M105" s="611"/>
      <c r="N105" s="611"/>
      <c r="O105" s="206"/>
      <c r="P105" s="205"/>
      <c r="Q105" s="616"/>
      <c r="R105" s="204"/>
      <c r="S105" s="617"/>
      <c r="T105" s="613"/>
      <c r="U105" s="613"/>
      <c r="V105" s="613"/>
      <c r="W105" s="613"/>
      <c r="X105" s="613"/>
      <c r="Y105" s="613"/>
      <c r="Z105" s="613"/>
      <c r="AA105" s="613"/>
      <c r="AB105" s="616"/>
      <c r="AC105" s="616"/>
      <c r="AD105" s="616"/>
      <c r="AE105" s="616"/>
      <c r="AF105" s="616"/>
      <c r="AG105" s="613"/>
      <c r="AH105" s="613"/>
      <c r="AI105" s="613"/>
      <c r="AJ105" s="613"/>
      <c r="AK105" s="613"/>
      <c r="AL105" s="613"/>
      <c r="AM105" s="613"/>
      <c r="AN105" s="613"/>
      <c r="AO105" s="613"/>
      <c r="AP105" s="613"/>
      <c r="AQ105" s="613"/>
      <c r="AR105" s="613"/>
      <c r="AS105" s="613"/>
      <c r="AT105" s="613"/>
      <c r="AU105" s="613"/>
      <c r="AV105" s="613"/>
      <c r="AW105" s="613"/>
      <c r="AX105" s="613"/>
      <c r="AY105" s="613"/>
      <c r="AZ105" s="613"/>
      <c r="BA105" s="613"/>
      <c r="BB105" s="613"/>
      <c r="BC105" s="613"/>
      <c r="BD105" s="613"/>
      <c r="BE105" s="613"/>
    </row>
    <row r="106" spans="2:57">
      <c r="B106" s="35" t="s">
        <v>2</v>
      </c>
      <c r="C106" s="35"/>
      <c r="D106" s="591"/>
      <c r="E106" s="36" t="s">
        <v>511</v>
      </c>
      <c r="F106" s="37" t="s">
        <v>14</v>
      </c>
      <c r="G106" s="591"/>
      <c r="H106" s="33"/>
      <c r="I106" s="622"/>
      <c r="J106" s="35"/>
      <c r="K106" s="36"/>
      <c r="L106" s="211"/>
      <c r="M106" s="613"/>
      <c r="N106" s="613"/>
      <c r="O106" s="35"/>
      <c r="P106" s="611"/>
      <c r="Q106" s="611"/>
      <c r="R106" s="611"/>
      <c r="S106" s="615"/>
      <c r="T106" s="613"/>
      <c r="U106" s="613"/>
      <c r="V106" s="613"/>
      <c r="W106" s="613"/>
      <c r="X106" s="613"/>
      <c r="Y106" s="613"/>
      <c r="Z106" s="613"/>
      <c r="AA106" s="613"/>
      <c r="AB106" s="615"/>
      <c r="AC106" s="615"/>
      <c r="AD106" s="615"/>
      <c r="AE106" s="615"/>
      <c r="AF106" s="615"/>
      <c r="AG106" s="615"/>
      <c r="AH106" s="615"/>
      <c r="AI106" s="615"/>
      <c r="AJ106" s="615"/>
      <c r="AK106" s="615"/>
      <c r="AL106" s="615"/>
      <c r="AM106" s="615"/>
      <c r="AN106" s="615"/>
      <c r="AO106" s="613"/>
      <c r="AP106" s="613"/>
      <c r="AQ106" s="613"/>
      <c r="AR106" s="613"/>
      <c r="AS106" s="613"/>
      <c r="AT106" s="613"/>
      <c r="AU106" s="613"/>
      <c r="AV106" s="613"/>
      <c r="AW106" s="613"/>
      <c r="AX106" s="613"/>
      <c r="AY106" s="613"/>
      <c r="AZ106" s="613"/>
      <c r="BA106" s="613"/>
      <c r="BB106" s="613"/>
      <c r="BC106" s="613"/>
      <c r="BD106" s="613"/>
      <c r="BE106" s="613"/>
    </row>
    <row r="107" spans="2:57" ht="15" customHeight="1">
      <c r="B107" s="613"/>
      <c r="C107" s="613"/>
      <c r="D107" s="613"/>
      <c r="E107" s="613"/>
      <c r="F107" s="613"/>
      <c r="G107" s="613"/>
      <c r="H107" s="613"/>
      <c r="I107" s="622"/>
      <c r="J107" s="35"/>
      <c r="K107" s="35"/>
      <c r="L107" s="621"/>
      <c r="M107" s="611"/>
      <c r="N107" s="611"/>
      <c r="O107" s="35"/>
      <c r="P107" s="611"/>
      <c r="Q107" s="611"/>
      <c r="R107" s="611"/>
      <c r="S107" s="615"/>
      <c r="T107" s="1317" t="s">
        <v>87</v>
      </c>
      <c r="U107" s="1317"/>
      <c r="V107" s="1317"/>
      <c r="W107" s="1317"/>
      <c r="X107" s="1317"/>
      <c r="Y107" s="1317" t="s">
        <v>73</v>
      </c>
      <c r="Z107" s="1317"/>
      <c r="AA107" s="1317"/>
      <c r="AB107" s="1317" t="s">
        <v>74</v>
      </c>
      <c r="AC107" s="1317"/>
      <c r="AD107" s="623" t="s">
        <v>85</v>
      </c>
      <c r="AE107" s="854" t="s">
        <v>77</v>
      </c>
      <c r="AF107" s="1459" t="s">
        <v>525</v>
      </c>
      <c r="AG107" s="1459"/>
      <c r="AH107" s="1459"/>
      <c r="AI107" s="1459"/>
      <c r="AJ107" s="1459"/>
      <c r="AK107" s="1459"/>
      <c r="AL107" s="1459"/>
      <c r="AM107" s="1459"/>
      <c r="AN107" s="1459"/>
      <c r="AO107" s="1459"/>
      <c r="AP107" s="1459"/>
      <c r="AQ107" s="1459"/>
      <c r="AR107" s="1459"/>
      <c r="AS107" s="1459"/>
      <c r="AT107" s="1459"/>
      <c r="AU107" s="1459"/>
      <c r="AV107" s="1459"/>
      <c r="AW107" s="1459"/>
      <c r="AX107" s="1459"/>
      <c r="AY107" s="1459"/>
      <c r="AZ107" s="1459"/>
      <c r="BA107" s="1459"/>
      <c r="BB107" s="1459"/>
      <c r="BC107" s="1459"/>
      <c r="BD107" s="1459"/>
      <c r="BE107" s="613"/>
    </row>
    <row r="108" spans="2:57" ht="15" customHeight="1">
      <c r="B108" s="1318" t="s">
        <v>526</v>
      </c>
      <c r="C108" s="1319"/>
      <c r="D108" s="624" t="s">
        <v>527</v>
      </c>
      <c r="E108" s="624"/>
      <c r="F108" s="624" t="s">
        <v>528</v>
      </c>
      <c r="G108" s="624" t="s">
        <v>529</v>
      </c>
      <c r="H108" s="624" t="s">
        <v>530</v>
      </c>
      <c r="I108" s="624" t="s">
        <v>531</v>
      </c>
      <c r="J108" s="624" t="s">
        <v>532</v>
      </c>
      <c r="K108" s="624"/>
      <c r="L108" s="624" t="s">
        <v>130</v>
      </c>
      <c r="M108" s="624" t="s">
        <v>533</v>
      </c>
      <c r="N108" s="1040" t="str">
        <f>"On time - "&amp;COUNTIF(N109:N116,"On time")&amp;" from "&amp;ROWS(N109:N116)-COUNTIF(N109:N116," ")</f>
        <v>On time - 5 from 5</v>
      </c>
      <c r="O108" s="626"/>
      <c r="P108" s="627" t="s">
        <v>534</v>
      </c>
      <c r="Q108" s="627" t="s">
        <v>535</v>
      </c>
      <c r="R108" s="627" t="s">
        <v>536</v>
      </c>
      <c r="S108" s="591"/>
      <c r="T108" s="628" t="s">
        <v>537</v>
      </c>
      <c r="U108" s="628" t="s">
        <v>538</v>
      </c>
      <c r="V108" s="628" t="s">
        <v>539</v>
      </c>
      <c r="W108" s="628" t="s">
        <v>540</v>
      </c>
      <c r="X108" s="628" t="s">
        <v>541</v>
      </c>
      <c r="Y108" s="628" t="s">
        <v>167</v>
      </c>
      <c r="Z108" s="628" t="s">
        <v>168</v>
      </c>
      <c r="AA108" s="628" t="s">
        <v>169</v>
      </c>
      <c r="AB108" s="628" t="s">
        <v>235</v>
      </c>
      <c r="AC108" s="628" t="s">
        <v>240</v>
      </c>
      <c r="AD108" s="623" t="s">
        <v>85</v>
      </c>
      <c r="AE108" s="628" t="s">
        <v>139</v>
      </c>
      <c r="AF108" s="855" t="s">
        <v>72</v>
      </c>
      <c r="AG108" s="855" t="s">
        <v>88</v>
      </c>
      <c r="AH108" s="855" t="s">
        <v>75</v>
      </c>
      <c r="AI108" s="855" t="s">
        <v>543</v>
      </c>
      <c r="AJ108" s="855" t="s">
        <v>78</v>
      </c>
      <c r="AK108" s="855" t="s">
        <v>76</v>
      </c>
      <c r="AL108" s="855" t="s">
        <v>544</v>
      </c>
      <c r="AM108" s="855" t="s">
        <v>545</v>
      </c>
      <c r="AN108" s="855" t="s">
        <v>86</v>
      </c>
      <c r="AO108" s="855" t="s">
        <v>83</v>
      </c>
      <c r="AP108" s="855" t="s">
        <v>84</v>
      </c>
      <c r="AQ108" s="855" t="s">
        <v>546</v>
      </c>
      <c r="AR108" s="855" t="s">
        <v>81</v>
      </c>
      <c r="AS108" s="855" t="s">
        <v>80</v>
      </c>
      <c r="AT108" s="855" t="s">
        <v>82</v>
      </c>
      <c r="AU108" s="855" t="s">
        <v>181</v>
      </c>
      <c r="AV108" s="855" t="s">
        <v>183</v>
      </c>
      <c r="AW108" s="855" t="s">
        <v>547</v>
      </c>
      <c r="AX108" s="855" t="s">
        <v>182</v>
      </c>
      <c r="AY108" s="855" t="s">
        <v>172</v>
      </c>
      <c r="AZ108" s="855" t="s">
        <v>173</v>
      </c>
      <c r="BA108" s="855" t="s">
        <v>184</v>
      </c>
      <c r="BB108" s="855" t="s">
        <v>100</v>
      </c>
      <c r="BC108" s="855" t="s">
        <v>913</v>
      </c>
      <c r="BD108" s="855" t="s">
        <v>2747</v>
      </c>
      <c r="BE108" s="613"/>
    </row>
    <row r="109" spans="2:57" ht="12.75" customHeight="1">
      <c r="B109" s="1326" t="s">
        <v>548</v>
      </c>
      <c r="C109" s="1327"/>
      <c r="D109" s="501" t="s">
        <v>3680</v>
      </c>
      <c r="E109" s="501"/>
      <c r="F109" s="501" t="s">
        <v>352</v>
      </c>
      <c r="G109" s="501" t="s">
        <v>353</v>
      </c>
      <c r="H109" s="629">
        <v>9204.625</v>
      </c>
      <c r="I109" s="505" t="s">
        <v>835</v>
      </c>
      <c r="J109" s="504">
        <v>45258.805555555555</v>
      </c>
      <c r="K109" s="504"/>
      <c r="L109" s="504" t="s">
        <v>192</v>
      </c>
      <c r="M109" s="504" t="s">
        <v>192</v>
      </c>
      <c r="N109" s="505" t="str">
        <f t="shared" ref="N109:N116" si="8">IF(ISBLANK(J109)," ",IF(J109&lt;$F$103,"On time",(IF(DAY(J109-$F$103)&lt;1,"On time",(IF(J109&gt;$F$103,"DELAY ( "&amp;DAY(J109-$F$103)&amp;" day "&amp;HOUR(J109-$F$103)&amp;" hour "&amp;MINUTE(J109-$F$103)&amp;" minute )","xxx"))))))</f>
        <v>On time</v>
      </c>
      <c r="O109" s="597"/>
      <c r="P109" s="507" t="s">
        <v>551</v>
      </c>
      <c r="Q109" s="507" t="s">
        <v>551</v>
      </c>
      <c r="R109" s="507" t="s">
        <v>551</v>
      </c>
      <c r="S109" s="598"/>
      <c r="T109" s="599"/>
      <c r="U109" s="599"/>
      <c r="V109" s="599"/>
      <c r="W109" s="599"/>
      <c r="X109" s="599"/>
      <c r="Y109" s="599"/>
      <c r="Z109" s="599">
        <f>H109</f>
        <v>9204.625</v>
      </c>
      <c r="AA109" s="599"/>
      <c r="AB109" s="599"/>
      <c r="AC109" s="599"/>
      <c r="AD109" s="599"/>
      <c r="AE109" s="599"/>
      <c r="AF109" s="599"/>
      <c r="AG109" s="599"/>
      <c r="AH109" s="599"/>
      <c r="AI109" s="599"/>
      <c r="AJ109" s="599"/>
      <c r="AK109" s="599"/>
      <c r="AL109" s="599"/>
      <c r="AM109" s="599"/>
      <c r="AN109" s="599"/>
      <c r="AO109" s="599"/>
      <c r="AP109" s="599"/>
      <c r="AQ109" s="599"/>
      <c r="AR109" s="599"/>
      <c r="AS109" s="599"/>
      <c r="AT109" s="599"/>
      <c r="AU109" s="599"/>
      <c r="AV109" s="599"/>
      <c r="AW109" s="599"/>
      <c r="AX109" s="599"/>
      <c r="AY109" s="599"/>
      <c r="AZ109" s="599"/>
      <c r="BA109" s="599"/>
      <c r="BB109" s="599"/>
      <c r="BC109" s="599"/>
      <c r="BD109" s="599"/>
      <c r="BE109" s="598"/>
    </row>
    <row r="110" spans="2:57" ht="12.75" customHeight="1">
      <c r="B110" s="1326" t="s">
        <v>548</v>
      </c>
      <c r="C110" s="1327"/>
      <c r="D110" s="501" t="s">
        <v>3575</v>
      </c>
      <c r="E110" s="501"/>
      <c r="F110" s="501" t="s">
        <v>1313</v>
      </c>
      <c r="G110" s="501" t="s">
        <v>2486</v>
      </c>
      <c r="H110" s="629">
        <v>7504.8059999999996</v>
      </c>
      <c r="I110" s="505" t="s">
        <v>235</v>
      </c>
      <c r="J110" s="504">
        <v>45259.944444444445</v>
      </c>
      <c r="K110" s="504"/>
      <c r="L110" s="504" t="s">
        <v>192</v>
      </c>
      <c r="M110" s="504" t="s">
        <v>192</v>
      </c>
      <c r="N110" s="505" t="str">
        <f t="shared" si="8"/>
        <v>On time</v>
      </c>
      <c r="O110" s="597"/>
      <c r="P110" s="507" t="s">
        <v>551</v>
      </c>
      <c r="Q110" s="507" t="s">
        <v>551</v>
      </c>
      <c r="R110" s="507" t="s">
        <v>551</v>
      </c>
      <c r="S110" s="598"/>
      <c r="T110" s="599"/>
      <c r="U110" s="599"/>
      <c r="V110" s="599"/>
      <c r="W110" s="599"/>
      <c r="X110" s="599"/>
      <c r="Y110" s="599"/>
      <c r="Z110" s="599"/>
      <c r="AA110" s="599"/>
      <c r="AB110" s="599">
        <f>H110</f>
        <v>7504.8059999999996</v>
      </c>
      <c r="AC110" s="599"/>
      <c r="AD110" s="599"/>
      <c r="AE110" s="599"/>
      <c r="AF110" s="599"/>
      <c r="AG110" s="599"/>
      <c r="AH110" s="599"/>
      <c r="AI110" s="599"/>
      <c r="AJ110" s="599"/>
      <c r="AK110" s="599"/>
      <c r="AL110" s="599"/>
      <c r="AM110" s="599"/>
      <c r="AN110" s="599"/>
      <c r="AO110" s="599"/>
      <c r="AP110" s="598"/>
      <c r="AQ110" s="599"/>
      <c r="AR110" s="599"/>
      <c r="AS110" s="599"/>
      <c r="AT110" s="599"/>
      <c r="AU110" s="599"/>
      <c r="AV110" s="599"/>
      <c r="AW110" s="599"/>
      <c r="AX110" s="599"/>
      <c r="AY110" s="599"/>
      <c r="AZ110" s="599"/>
      <c r="BA110" s="599"/>
      <c r="BB110" s="599"/>
      <c r="BC110" s="599"/>
      <c r="BD110" s="599"/>
      <c r="BE110" s="598"/>
    </row>
    <row r="111" spans="2:57" ht="12.75" customHeight="1">
      <c r="B111" s="1326" t="s">
        <v>548</v>
      </c>
      <c r="C111" s="1327"/>
      <c r="D111" s="501" t="s">
        <v>3572</v>
      </c>
      <c r="E111" s="501"/>
      <c r="F111" s="501" t="s">
        <v>310</v>
      </c>
      <c r="G111" s="501" t="s">
        <v>219</v>
      </c>
      <c r="H111" s="629">
        <v>7250.5969999999998</v>
      </c>
      <c r="I111" s="505" t="s">
        <v>2381</v>
      </c>
      <c r="J111" s="504">
        <v>45261.072916666664</v>
      </c>
      <c r="K111" s="504"/>
      <c r="L111" s="504" t="s">
        <v>192</v>
      </c>
      <c r="M111" s="504" t="s">
        <v>192</v>
      </c>
      <c r="N111" s="505" t="str">
        <f t="shared" si="8"/>
        <v>On time</v>
      </c>
      <c r="O111" s="597"/>
      <c r="P111" s="507" t="s">
        <v>551</v>
      </c>
      <c r="Q111" s="507" t="s">
        <v>551</v>
      </c>
      <c r="R111" s="507" t="s">
        <v>551</v>
      </c>
      <c r="S111" s="598"/>
      <c r="T111" s="599"/>
      <c r="U111" s="599"/>
      <c r="V111" s="599"/>
      <c r="W111" s="599"/>
      <c r="X111" s="599"/>
      <c r="Y111" s="599"/>
      <c r="Z111" s="599"/>
      <c r="AA111" s="599"/>
      <c r="AB111" s="599">
        <f>H111*0.8</f>
        <v>5800.4776000000002</v>
      </c>
      <c r="AC111" s="599">
        <f>H111*0.2</f>
        <v>1450.1194</v>
      </c>
      <c r="AD111" s="599"/>
      <c r="AE111" s="599"/>
      <c r="AF111" s="599"/>
      <c r="AG111" s="599"/>
      <c r="AH111" s="599"/>
      <c r="AI111" s="599"/>
      <c r="AJ111" s="599"/>
      <c r="AK111" s="599"/>
      <c r="AL111" s="599"/>
      <c r="AM111" s="599"/>
      <c r="AN111" s="599"/>
      <c r="AO111" s="599"/>
      <c r="AP111" s="598"/>
      <c r="AQ111" s="599"/>
      <c r="AR111" s="599"/>
      <c r="AS111" s="599"/>
      <c r="AT111" s="599"/>
      <c r="AU111" s="599"/>
      <c r="AV111" s="599"/>
      <c r="AW111" s="599"/>
      <c r="AX111" s="599"/>
      <c r="AY111" s="599"/>
      <c r="AZ111" s="599"/>
      <c r="BA111" s="599"/>
      <c r="BB111" s="599"/>
      <c r="BC111" s="599"/>
      <c r="BD111" s="599"/>
      <c r="BE111" s="598"/>
    </row>
    <row r="112" spans="2:57" ht="12.75" customHeight="1">
      <c r="B112" s="1326" t="s">
        <v>548</v>
      </c>
      <c r="C112" s="1327"/>
      <c r="D112" s="501" t="s">
        <v>3574</v>
      </c>
      <c r="E112" s="501"/>
      <c r="F112" s="501" t="s">
        <v>2156</v>
      </c>
      <c r="G112" s="501" t="s">
        <v>3391</v>
      </c>
      <c r="H112" s="629">
        <v>7310.6890000000003</v>
      </c>
      <c r="I112" s="505" t="s">
        <v>2381</v>
      </c>
      <c r="J112" s="504">
        <v>45261.277777777781</v>
      </c>
      <c r="K112" s="504"/>
      <c r="L112" s="504" t="s">
        <v>192</v>
      </c>
      <c r="M112" s="504" t="s">
        <v>192</v>
      </c>
      <c r="N112" s="505" t="str">
        <f t="shared" si="8"/>
        <v>On time</v>
      </c>
      <c r="O112" s="597"/>
      <c r="P112" s="507" t="s">
        <v>551</v>
      </c>
      <c r="Q112" s="507" t="s">
        <v>551</v>
      </c>
      <c r="R112" s="507" t="s">
        <v>551</v>
      </c>
      <c r="S112" s="598"/>
      <c r="T112" s="599"/>
      <c r="U112" s="599"/>
      <c r="V112" s="599"/>
      <c r="W112" s="599"/>
      <c r="X112" s="599"/>
      <c r="Y112" s="599"/>
      <c r="Z112" s="599"/>
      <c r="AA112" s="599"/>
      <c r="AB112" s="599">
        <f>H112*0.8</f>
        <v>5848.5512000000008</v>
      </c>
      <c r="AC112" s="599">
        <f>H112*0.2</f>
        <v>1462.1378000000002</v>
      </c>
      <c r="AD112" s="599"/>
      <c r="AE112" s="599"/>
      <c r="AF112" s="599"/>
      <c r="AG112" s="599"/>
      <c r="AH112" s="599"/>
      <c r="AI112" s="599"/>
      <c r="AJ112" s="599"/>
      <c r="AK112" s="599"/>
      <c r="AL112" s="599"/>
      <c r="AM112" s="599"/>
      <c r="AN112" s="599"/>
      <c r="AO112" s="599"/>
      <c r="AP112" s="599"/>
      <c r="AQ112" s="599"/>
      <c r="AR112" s="599"/>
      <c r="AS112" s="599"/>
      <c r="AT112" s="599"/>
      <c r="AU112" s="599"/>
      <c r="AV112" s="599"/>
      <c r="AW112" s="599"/>
      <c r="AX112" s="599"/>
      <c r="AY112" s="599"/>
      <c r="AZ112" s="599"/>
      <c r="BA112" s="599"/>
      <c r="BB112" s="599"/>
      <c r="BC112" s="599"/>
      <c r="BD112" s="599"/>
      <c r="BE112" s="598"/>
    </row>
    <row r="113" spans="2:57" ht="12.75" customHeight="1">
      <c r="B113" s="1326" t="s">
        <v>548</v>
      </c>
      <c r="C113" s="1327"/>
      <c r="D113" s="501" t="s">
        <v>3573</v>
      </c>
      <c r="E113" s="501"/>
      <c r="F113" s="501" t="s">
        <v>1767</v>
      </c>
      <c r="G113" s="501" t="s">
        <v>2352</v>
      </c>
      <c r="H113" s="629">
        <v>7401.4690000000001</v>
      </c>
      <c r="I113" s="505" t="s">
        <v>2381</v>
      </c>
      <c r="J113" s="504">
        <v>45261.368055555555</v>
      </c>
      <c r="K113" s="504"/>
      <c r="L113" s="504" t="s">
        <v>192</v>
      </c>
      <c r="M113" s="504" t="s">
        <v>192</v>
      </c>
      <c r="N113" s="505" t="str">
        <f t="shared" si="8"/>
        <v>On time</v>
      </c>
      <c r="O113" s="597"/>
      <c r="P113" s="507" t="s">
        <v>551</v>
      </c>
      <c r="Q113" s="507" t="s">
        <v>551</v>
      </c>
      <c r="R113" s="507" t="s">
        <v>551</v>
      </c>
      <c r="S113" s="598"/>
      <c r="T113" s="599"/>
      <c r="U113" s="599"/>
      <c r="V113" s="599"/>
      <c r="W113" s="599"/>
      <c r="X113" s="599"/>
      <c r="Y113" s="599"/>
      <c r="Z113" s="599"/>
      <c r="AA113" s="599"/>
      <c r="AB113" s="599">
        <f>H113*0.8</f>
        <v>5921.1752000000006</v>
      </c>
      <c r="AC113" s="599">
        <f>H113*0.2</f>
        <v>1480.2938000000001</v>
      </c>
      <c r="AD113" s="599"/>
      <c r="AE113" s="599"/>
      <c r="AF113" s="599"/>
      <c r="AG113" s="599"/>
      <c r="AH113" s="599"/>
      <c r="AI113" s="599"/>
      <c r="AJ113" s="599"/>
      <c r="AK113" s="599"/>
      <c r="AL113" s="599"/>
      <c r="AM113" s="599"/>
      <c r="AN113" s="599"/>
      <c r="AO113" s="599"/>
      <c r="AP113" s="598"/>
      <c r="AQ113" s="599"/>
      <c r="AR113" s="599"/>
      <c r="AS113" s="599"/>
      <c r="AT113" s="599"/>
      <c r="AU113" s="599"/>
      <c r="AV113" s="599"/>
      <c r="AW113" s="599"/>
      <c r="AX113" s="599"/>
      <c r="AY113" s="599"/>
      <c r="AZ113" s="599"/>
      <c r="BA113" s="599"/>
      <c r="BB113" s="599"/>
      <c r="BC113" s="599"/>
      <c r="BD113" s="599"/>
      <c r="BE113" s="598"/>
    </row>
    <row r="114" spans="2:57" ht="12.75" customHeight="1">
      <c r="B114" s="1315" t="s">
        <v>610</v>
      </c>
      <c r="C114" s="1464"/>
      <c r="D114" s="1464"/>
      <c r="E114" s="1464"/>
      <c r="F114" s="1464"/>
      <c r="G114" s="1316"/>
      <c r="H114" s="629">
        <f>H116-SUM(H109:H113)</f>
        <v>6327.8140000000058</v>
      </c>
      <c r="I114" s="584" t="s">
        <v>611</v>
      </c>
      <c r="J114" s="1050"/>
      <c r="K114" s="1050"/>
      <c r="L114" s="1051"/>
      <c r="M114" s="1051"/>
      <c r="N114" s="505" t="str">
        <f t="shared" si="8"/>
        <v xml:space="preserve"> </v>
      </c>
      <c r="O114" s="1052"/>
      <c r="P114" s="432" t="s">
        <v>551</v>
      </c>
      <c r="Q114" s="432"/>
      <c r="R114" s="432"/>
      <c r="S114" s="591"/>
      <c r="T114" s="860">
        <f>H114</f>
        <v>6327.8140000000058</v>
      </c>
      <c r="U114" s="861"/>
      <c r="V114" s="861"/>
      <c r="W114" s="861"/>
      <c r="X114" s="861"/>
      <c r="Y114" s="861"/>
      <c r="Z114" s="861"/>
      <c r="AA114" s="861"/>
      <c r="AB114" s="861"/>
      <c r="AC114" s="861"/>
      <c r="AD114" s="861"/>
      <c r="AE114" s="861"/>
      <c r="AF114" s="861"/>
      <c r="AG114" s="861"/>
      <c r="AH114" s="861"/>
      <c r="AI114" s="861"/>
      <c r="AJ114" s="861"/>
      <c r="AK114" s="861"/>
      <c r="AL114" s="861"/>
      <c r="AM114" s="861"/>
      <c r="AN114" s="861"/>
      <c r="AO114" s="861"/>
      <c r="AP114" s="861"/>
      <c r="AQ114" s="861"/>
      <c r="AR114" s="861"/>
      <c r="AS114" s="861"/>
      <c r="AT114" s="861"/>
      <c r="AU114" s="861"/>
      <c r="AV114" s="861"/>
      <c r="AW114" s="861"/>
      <c r="AX114" s="861"/>
      <c r="AY114" s="861"/>
      <c r="AZ114" s="861"/>
      <c r="BA114" s="861"/>
      <c r="BB114" s="861"/>
      <c r="BC114" s="861"/>
      <c r="BD114" s="861"/>
      <c r="BE114" s="633"/>
    </row>
    <row r="115" spans="2:57" ht="12.75" customHeight="1">
      <c r="B115" s="1258" t="s">
        <v>556</v>
      </c>
      <c r="C115" s="1259"/>
      <c r="D115" s="1259"/>
      <c r="E115" s="1259"/>
      <c r="F115" s="1259"/>
      <c r="G115" s="1260"/>
      <c r="H115" s="863">
        <f>SUM(H109:H114)</f>
        <v>45000</v>
      </c>
      <c r="I115" s="1053"/>
      <c r="J115" s="1047"/>
      <c r="K115" s="1047"/>
      <c r="L115" s="1047"/>
      <c r="M115" s="1047"/>
      <c r="N115" s="505" t="str">
        <f t="shared" si="8"/>
        <v xml:space="preserve"> </v>
      </c>
      <c r="O115" s="212"/>
      <c r="P115" s="590"/>
      <c r="Q115" s="590"/>
      <c r="R115" s="590"/>
      <c r="S115" s="633"/>
      <c r="T115" s="1307"/>
      <c r="U115" s="1308"/>
      <c r="V115" s="1308"/>
      <c r="W115" s="1308"/>
      <c r="X115" s="1308"/>
      <c r="Y115" s="1308"/>
      <c r="Z115" s="1308"/>
      <c r="AA115" s="1308"/>
      <c r="AB115" s="1308"/>
      <c r="AC115" s="1308"/>
      <c r="AD115" s="1308"/>
      <c r="AE115" s="1308"/>
      <c r="AF115" s="1308"/>
      <c r="AG115" s="1308"/>
      <c r="AH115" s="1308"/>
      <c r="AI115" s="1308"/>
      <c r="AJ115" s="1308"/>
      <c r="AK115" s="1308"/>
      <c r="AL115" s="1308"/>
      <c r="AM115" s="1308"/>
      <c r="AN115" s="1308"/>
      <c r="AO115" s="1308"/>
      <c r="AP115" s="1308"/>
      <c r="AQ115" s="1308"/>
      <c r="AR115" s="1308"/>
      <c r="AS115" s="1308"/>
      <c r="AT115" s="1308"/>
      <c r="AU115" s="1308"/>
      <c r="AV115" s="1308"/>
      <c r="AW115" s="1308"/>
      <c r="AX115" s="1308"/>
      <c r="AY115" s="1308"/>
      <c r="AZ115" s="1308"/>
      <c r="BA115" s="1308"/>
      <c r="BB115" s="1308"/>
      <c r="BC115" s="1308"/>
      <c r="BD115" s="1308"/>
      <c r="BE115" s="39"/>
    </row>
    <row r="116" spans="2:57" ht="12.75" customHeight="1">
      <c r="B116" s="1415" t="s">
        <v>557</v>
      </c>
      <c r="C116" s="1416"/>
      <c r="D116" s="1416"/>
      <c r="E116" s="1416"/>
      <c r="F116" s="1416"/>
      <c r="G116" s="1417"/>
      <c r="H116" s="845">
        <v>45000</v>
      </c>
      <c r="I116" s="1455"/>
      <c r="J116" s="1455"/>
      <c r="K116" s="1455"/>
      <c r="L116" s="1455"/>
      <c r="M116" s="1455"/>
      <c r="N116" s="505" t="str">
        <f t="shared" si="8"/>
        <v xml:space="preserve"> </v>
      </c>
      <c r="O116" s="591"/>
      <c r="P116" s="415"/>
      <c r="Q116" s="415"/>
      <c r="R116" s="415"/>
      <c r="S116" s="740"/>
      <c r="T116" s="592">
        <f t="shared" ref="T116:BD116" si="9">SUM(T109:T114)</f>
        <v>6327.8140000000058</v>
      </c>
      <c r="U116" s="592">
        <f t="shared" si="9"/>
        <v>0</v>
      </c>
      <c r="V116" s="592">
        <f t="shared" si="9"/>
        <v>0</v>
      </c>
      <c r="W116" s="592">
        <f t="shared" si="9"/>
        <v>0</v>
      </c>
      <c r="X116" s="592">
        <f t="shared" si="9"/>
        <v>0</v>
      </c>
      <c r="Y116" s="592">
        <f t="shared" si="9"/>
        <v>0</v>
      </c>
      <c r="Z116" s="592">
        <f t="shared" si="9"/>
        <v>9204.625</v>
      </c>
      <c r="AA116" s="592">
        <f t="shared" si="9"/>
        <v>0</v>
      </c>
      <c r="AB116" s="592">
        <f t="shared" si="9"/>
        <v>25075.010000000002</v>
      </c>
      <c r="AC116" s="592">
        <f t="shared" si="9"/>
        <v>4392.5510000000004</v>
      </c>
      <c r="AD116" s="592">
        <f t="shared" si="9"/>
        <v>0</v>
      </c>
      <c r="AE116" s="592">
        <f t="shared" si="9"/>
        <v>0</v>
      </c>
      <c r="AF116" s="592">
        <f t="shared" si="9"/>
        <v>0</v>
      </c>
      <c r="AG116" s="592">
        <f t="shared" si="9"/>
        <v>0</v>
      </c>
      <c r="AH116" s="592">
        <f t="shared" si="9"/>
        <v>0</v>
      </c>
      <c r="AI116" s="592">
        <f t="shared" si="9"/>
        <v>0</v>
      </c>
      <c r="AJ116" s="592">
        <f t="shared" si="9"/>
        <v>0</v>
      </c>
      <c r="AK116" s="592">
        <f t="shared" si="9"/>
        <v>0</v>
      </c>
      <c r="AL116" s="592">
        <f t="shared" si="9"/>
        <v>0</v>
      </c>
      <c r="AM116" s="592">
        <f t="shared" si="9"/>
        <v>0</v>
      </c>
      <c r="AN116" s="592">
        <f t="shared" si="9"/>
        <v>0</v>
      </c>
      <c r="AO116" s="592">
        <f t="shared" si="9"/>
        <v>0</v>
      </c>
      <c r="AP116" s="592">
        <f t="shared" si="9"/>
        <v>0</v>
      </c>
      <c r="AQ116" s="592">
        <f t="shared" si="9"/>
        <v>0</v>
      </c>
      <c r="AR116" s="592">
        <f t="shared" si="9"/>
        <v>0</v>
      </c>
      <c r="AS116" s="592">
        <f t="shared" si="9"/>
        <v>0</v>
      </c>
      <c r="AT116" s="592">
        <f t="shared" si="9"/>
        <v>0</v>
      </c>
      <c r="AU116" s="592">
        <f t="shared" si="9"/>
        <v>0</v>
      </c>
      <c r="AV116" s="592">
        <f t="shared" si="9"/>
        <v>0</v>
      </c>
      <c r="AW116" s="592">
        <f t="shared" si="9"/>
        <v>0</v>
      </c>
      <c r="AX116" s="592">
        <f t="shared" si="9"/>
        <v>0</v>
      </c>
      <c r="AY116" s="592">
        <f t="shared" si="9"/>
        <v>0</v>
      </c>
      <c r="AZ116" s="592">
        <f t="shared" si="9"/>
        <v>0</v>
      </c>
      <c r="BA116" s="592">
        <f t="shared" si="9"/>
        <v>0</v>
      </c>
      <c r="BB116" s="592">
        <f t="shared" si="9"/>
        <v>0</v>
      </c>
      <c r="BC116" s="592">
        <f t="shared" si="9"/>
        <v>0</v>
      </c>
      <c r="BD116" s="592">
        <f t="shared" si="9"/>
        <v>0</v>
      </c>
      <c r="BE116" s="592">
        <f>SUM(T116:BD116)</f>
        <v>45000.000000000007</v>
      </c>
    </row>
    <row r="117" spans="2:57" ht="12.75" customHeight="1">
      <c r="B117" s="1415" t="s">
        <v>558</v>
      </c>
      <c r="C117" s="1416"/>
      <c r="D117" s="1416"/>
      <c r="E117" s="1416"/>
      <c r="F117" s="1416"/>
      <c r="G117" s="1417"/>
      <c r="H117" s="712">
        <f>H116-L103</f>
        <v>0</v>
      </c>
      <c r="I117" s="745"/>
      <c r="J117" s="746"/>
      <c r="K117" s="746"/>
      <c r="L117" s="674"/>
      <c r="M117" s="633"/>
      <c r="N117" s="591"/>
      <c r="O117" s="591"/>
      <c r="P117" s="591"/>
      <c r="Q117" s="744"/>
      <c r="R117" s="744"/>
      <c r="S117" s="591"/>
      <c r="T117" s="645"/>
      <c r="U117" s="645"/>
      <c r="V117" s="645"/>
      <c r="W117" s="645"/>
      <c r="X117" s="645"/>
      <c r="Y117" s="645"/>
      <c r="Z117" s="645"/>
      <c r="AA117" s="645"/>
      <c r="AB117" s="645"/>
      <c r="AC117" s="591"/>
      <c r="AD117" s="591"/>
      <c r="AE117" s="591"/>
      <c r="AF117" s="591"/>
      <c r="AG117" s="591"/>
      <c r="AH117" s="591"/>
      <c r="AI117" s="591"/>
      <c r="AJ117" s="591"/>
      <c r="AK117" s="591"/>
      <c r="AL117" s="591"/>
      <c r="AM117" s="591"/>
      <c r="AN117" s="591"/>
      <c r="AO117" s="591"/>
      <c r="AP117" s="591"/>
      <c r="AQ117" s="591"/>
      <c r="AR117" s="591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</row>
    <row r="118" spans="2:57" ht="12.75" customHeight="1">
      <c r="B118" s="1415" t="s">
        <v>559</v>
      </c>
      <c r="C118" s="1416"/>
      <c r="D118" s="1416"/>
      <c r="E118" s="1416"/>
      <c r="F118" s="1416"/>
      <c r="G118" s="1417"/>
      <c r="H118" s="747">
        <f>H115-H116</f>
        <v>0</v>
      </c>
      <c r="I118" s="745"/>
      <c r="J118" s="746"/>
      <c r="K118" s="746"/>
      <c r="L118" s="674"/>
      <c r="M118" s="633"/>
      <c r="N118" s="613"/>
      <c r="O118" s="591"/>
      <c r="P118" s="591"/>
      <c r="Q118" s="591"/>
      <c r="R118" s="591"/>
      <c r="S118" s="591"/>
      <c r="T118" s="645"/>
      <c r="U118" s="645"/>
      <c r="V118" s="645"/>
      <c r="W118" s="645"/>
      <c r="X118" s="645"/>
      <c r="Y118" s="645"/>
      <c r="Z118" s="645"/>
      <c r="AA118" s="645"/>
      <c r="AB118" s="645"/>
      <c r="AC118" s="591"/>
      <c r="AD118" s="591"/>
      <c r="AE118" s="591"/>
      <c r="AF118" s="591"/>
      <c r="AG118" s="591"/>
      <c r="AH118" s="591"/>
      <c r="AI118" s="591"/>
      <c r="AJ118" s="591"/>
      <c r="AK118" s="591"/>
      <c r="AL118" s="591"/>
      <c r="AM118" s="591"/>
      <c r="AN118" s="591"/>
      <c r="AO118" s="591"/>
      <c r="AP118" s="591"/>
      <c r="AQ118" s="591"/>
      <c r="AR118" s="591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</row>
    <row r="119" spans="2:57">
      <c r="B119" s="613"/>
      <c r="C119" s="613"/>
      <c r="D119" s="613"/>
      <c r="E119" s="613"/>
      <c r="F119" s="613"/>
      <c r="G119" s="613"/>
      <c r="H119" s="613"/>
      <c r="I119" s="643"/>
      <c r="J119" s="641"/>
      <c r="K119" s="641"/>
      <c r="L119" s="644"/>
      <c r="M119" s="613"/>
      <c r="N119" s="613"/>
      <c r="O119" s="641"/>
      <c r="P119" s="591"/>
      <c r="Q119" s="591"/>
      <c r="R119" s="591"/>
      <c r="S119" s="591"/>
      <c r="T119" s="645"/>
      <c r="U119" s="645"/>
      <c r="V119" s="645"/>
      <c r="W119" s="645"/>
      <c r="X119" s="645"/>
      <c r="Y119" s="645"/>
      <c r="Z119" s="645"/>
      <c r="AA119" s="645"/>
      <c r="AB119" s="645"/>
      <c r="AC119" s="591"/>
      <c r="AD119" s="591"/>
      <c r="AE119" s="591"/>
      <c r="AF119" s="591"/>
      <c r="AG119" s="591"/>
      <c r="AH119" s="591"/>
      <c r="AI119" s="591"/>
      <c r="AJ119" s="591"/>
      <c r="AK119" s="591"/>
      <c r="AL119" s="591"/>
      <c r="AM119" s="591"/>
      <c r="AN119" s="591"/>
      <c r="AO119" s="591"/>
      <c r="AP119" s="591"/>
      <c r="AQ119" s="591"/>
      <c r="AR119" s="591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</row>
    <row r="120" spans="2:57">
      <c r="B120" s="619" t="s">
        <v>561</v>
      </c>
      <c r="C120" s="619"/>
      <c r="D120" s="591"/>
      <c r="E120" s="591"/>
      <c r="F120" s="591"/>
      <c r="G120" s="591"/>
      <c r="H120" s="591"/>
      <c r="I120" s="591"/>
      <c r="J120" s="646"/>
      <c r="K120" s="646"/>
      <c r="L120" s="647"/>
      <c r="M120" s="591"/>
      <c r="N120" s="613"/>
      <c r="O120" s="646"/>
      <c r="P120" s="616"/>
      <c r="Q120" s="616"/>
      <c r="R120" s="616"/>
      <c r="S120" s="616"/>
      <c r="T120" s="616"/>
      <c r="U120" s="616"/>
      <c r="V120" s="616"/>
      <c r="W120" s="616"/>
      <c r="X120" s="616"/>
      <c r="Y120" s="616"/>
      <c r="Z120" s="616"/>
      <c r="AA120" s="616"/>
      <c r="AB120" s="613"/>
      <c r="AC120" s="613"/>
      <c r="AD120" s="613"/>
      <c r="AE120" s="613"/>
      <c r="AF120" s="613"/>
      <c r="AG120" s="613"/>
      <c r="AH120" s="613"/>
      <c r="AI120" s="613"/>
      <c r="AJ120" s="613"/>
      <c r="AK120" s="613"/>
      <c r="AL120" s="613"/>
      <c r="AM120" s="613"/>
      <c r="AN120" s="613"/>
      <c r="AO120" s="613"/>
      <c r="AP120" s="613"/>
      <c r="AQ120" s="613"/>
      <c r="AR120" s="613"/>
      <c r="AS120" s="613"/>
      <c r="AT120" s="613"/>
      <c r="AU120" s="613"/>
      <c r="AV120" s="39"/>
      <c r="AW120" s="39"/>
      <c r="AX120" s="39"/>
      <c r="AY120" s="39"/>
      <c r="AZ120" s="39"/>
      <c r="BA120" s="39"/>
      <c r="BB120" s="39"/>
      <c r="BC120" s="39"/>
      <c r="BD120" s="39"/>
      <c r="BE120" s="613"/>
    </row>
    <row r="121" spans="2:57" ht="12.75" customHeight="1">
      <c r="B121" s="422"/>
      <c r="C121" s="1249"/>
      <c r="D121" s="1249"/>
      <c r="E121" s="1249"/>
      <c r="F121" s="1249"/>
      <c r="G121" s="1249"/>
      <c r="H121" s="1249"/>
      <c r="I121" s="1249"/>
      <c r="J121" s="1249"/>
      <c r="K121" s="1249"/>
      <c r="L121" s="644"/>
      <c r="M121" s="644"/>
      <c r="N121" s="613"/>
      <c r="O121" s="641"/>
      <c r="P121" s="616"/>
      <c r="Q121" s="616"/>
      <c r="R121" s="616"/>
      <c r="S121" s="616"/>
      <c r="T121" s="616"/>
      <c r="U121" s="616"/>
      <c r="V121" s="616"/>
      <c r="W121" s="616"/>
      <c r="X121" s="616"/>
      <c r="Y121" s="616"/>
      <c r="Z121" s="616"/>
      <c r="AA121" s="616"/>
      <c r="AB121" s="613"/>
      <c r="AC121" s="613"/>
      <c r="AD121" s="613"/>
      <c r="AE121" s="613"/>
      <c r="AF121" s="613"/>
      <c r="AG121" s="613"/>
      <c r="AH121" s="613"/>
      <c r="AI121" s="613"/>
      <c r="AJ121" s="613"/>
      <c r="AK121" s="613"/>
      <c r="AL121" s="613"/>
      <c r="AM121" s="613"/>
      <c r="AN121" s="613"/>
      <c r="AO121" s="613"/>
      <c r="AP121" s="613"/>
      <c r="AQ121" s="613"/>
      <c r="AR121" s="613"/>
      <c r="AS121" s="613"/>
      <c r="AT121" s="613"/>
      <c r="AU121" s="613"/>
      <c r="AV121" s="613"/>
      <c r="AW121" s="613"/>
      <c r="AX121" s="613"/>
      <c r="AY121" s="613"/>
      <c r="AZ121" s="613"/>
      <c r="BA121" s="613"/>
      <c r="BB121" s="613"/>
      <c r="BC121" s="613"/>
      <c r="BD121" s="613"/>
      <c r="BE121" s="613"/>
    </row>
    <row r="123" spans="2:57">
      <c r="B123" s="28" t="s">
        <v>126</v>
      </c>
      <c r="C123" s="28"/>
      <c r="D123" s="614"/>
      <c r="E123" s="30" t="s">
        <v>511</v>
      </c>
      <c r="F123" s="31" t="s">
        <v>1270</v>
      </c>
      <c r="G123" s="591"/>
      <c r="H123" s="33"/>
      <c r="I123" s="615"/>
      <c r="J123" s="35" t="s">
        <v>513</v>
      </c>
      <c r="K123" s="36" t="s">
        <v>511</v>
      </c>
      <c r="L123" s="516">
        <v>45263.399305555555</v>
      </c>
      <c r="M123" s="591"/>
      <c r="N123" s="591"/>
      <c r="O123" s="206"/>
      <c r="P123" s="205"/>
      <c r="Q123" s="616"/>
      <c r="R123" s="204"/>
      <c r="S123" s="617"/>
      <c r="T123" s="613"/>
      <c r="U123" s="613"/>
      <c r="V123" s="613"/>
      <c r="W123" s="613"/>
      <c r="X123" s="613"/>
      <c r="Y123" s="613"/>
      <c r="Z123" s="613"/>
      <c r="AA123" s="613"/>
      <c r="AB123" s="616"/>
      <c r="AC123" s="616"/>
      <c r="AD123" s="616"/>
      <c r="AE123" s="616"/>
      <c r="AF123" s="616"/>
      <c r="AG123" s="613"/>
      <c r="AH123" s="613"/>
      <c r="AI123" s="613"/>
      <c r="AJ123" s="613"/>
      <c r="AK123" s="613"/>
      <c r="AL123" s="613"/>
      <c r="AM123" s="613"/>
      <c r="AN123" s="613"/>
      <c r="AO123" s="613"/>
      <c r="AP123" s="613"/>
      <c r="AQ123" s="613"/>
      <c r="AR123" s="613"/>
      <c r="AS123" s="613"/>
      <c r="AT123" s="613"/>
      <c r="AU123" s="613"/>
      <c r="AV123" s="613"/>
      <c r="AW123" s="613"/>
      <c r="AX123" s="613"/>
      <c r="AY123" s="613"/>
      <c r="AZ123" s="613"/>
      <c r="BA123" s="613"/>
      <c r="BB123" s="613"/>
      <c r="BC123" s="613"/>
      <c r="BD123" s="613"/>
      <c r="BE123" s="613"/>
    </row>
    <row r="124" spans="2:57">
      <c r="B124" s="35" t="s">
        <v>514</v>
      </c>
      <c r="C124" s="35"/>
      <c r="D124" s="591"/>
      <c r="E124" s="36" t="s">
        <v>511</v>
      </c>
      <c r="F124" s="311" t="s">
        <v>4371</v>
      </c>
      <c r="G124" s="591"/>
      <c r="H124" s="33"/>
      <c r="I124" s="615"/>
      <c r="J124" s="35" t="s">
        <v>516</v>
      </c>
      <c r="K124" s="36" t="s">
        <v>511</v>
      </c>
      <c r="L124" s="516">
        <v>45266.635416666664</v>
      </c>
      <c r="M124" s="591"/>
      <c r="N124" s="591"/>
      <c r="O124" s="206"/>
      <c r="P124" s="205"/>
      <c r="Q124" s="616"/>
      <c r="R124" s="204"/>
      <c r="S124" s="617"/>
      <c r="T124" s="613"/>
      <c r="U124" s="613"/>
      <c r="V124" s="613"/>
      <c r="W124" s="613"/>
      <c r="X124" s="613"/>
      <c r="Y124" s="613"/>
      <c r="Z124" s="613"/>
      <c r="AA124" s="613"/>
      <c r="AB124" s="616"/>
      <c r="AC124" s="616"/>
      <c r="AD124" s="616"/>
      <c r="AE124" s="616"/>
      <c r="AF124" s="616"/>
      <c r="AG124" s="613"/>
      <c r="AH124" s="613"/>
      <c r="AI124" s="613"/>
      <c r="AJ124" s="613"/>
      <c r="AK124" s="613"/>
      <c r="AL124" s="613"/>
      <c r="AM124" s="613"/>
      <c r="AN124" s="613"/>
      <c r="AO124" s="613"/>
      <c r="AP124" s="613"/>
      <c r="AQ124" s="613"/>
      <c r="AR124" s="613"/>
      <c r="AS124" s="613"/>
      <c r="AT124" s="613"/>
      <c r="AU124" s="613"/>
      <c r="AV124" s="613"/>
      <c r="AW124" s="613"/>
      <c r="AX124" s="613"/>
      <c r="AY124" s="613"/>
      <c r="AZ124" s="613"/>
      <c r="BA124" s="613"/>
      <c r="BB124" s="613"/>
      <c r="BC124" s="613"/>
      <c r="BD124" s="613"/>
      <c r="BE124" s="613"/>
    </row>
    <row r="125" spans="2:57">
      <c r="B125" s="35" t="s">
        <v>517</v>
      </c>
      <c r="C125" s="35"/>
      <c r="D125" s="591"/>
      <c r="E125" s="36" t="s">
        <v>511</v>
      </c>
      <c r="F125" s="516">
        <v>45261.291666666664</v>
      </c>
      <c r="G125" s="591"/>
      <c r="H125" s="33"/>
      <c r="I125" s="615"/>
      <c r="J125" s="35" t="s">
        <v>518</v>
      </c>
      <c r="K125" s="36" t="s">
        <v>511</v>
      </c>
      <c r="L125" s="692">
        <v>49300</v>
      </c>
      <c r="M125" s="619" t="s">
        <v>519</v>
      </c>
      <c r="N125" s="619"/>
      <c r="O125" s="206"/>
      <c r="P125" s="205"/>
      <c r="Q125" s="616"/>
      <c r="R125" s="204"/>
      <c r="S125" s="617"/>
      <c r="T125" s="613"/>
      <c r="U125" s="613"/>
      <c r="V125" s="613"/>
      <c r="W125" s="613"/>
      <c r="X125" s="613"/>
      <c r="Y125" s="613"/>
      <c r="Z125" s="613"/>
      <c r="AA125" s="613"/>
      <c r="AB125" s="616"/>
      <c r="AC125" s="616"/>
      <c r="AD125" s="616"/>
      <c r="AE125" s="616"/>
      <c r="AF125" s="616"/>
      <c r="AG125" s="613"/>
      <c r="AH125" s="613"/>
      <c r="AI125" s="613"/>
      <c r="AJ125" s="613"/>
      <c r="AK125" s="613"/>
      <c r="AL125" s="613"/>
      <c r="AM125" s="613"/>
      <c r="AN125" s="613"/>
      <c r="AO125" s="613"/>
      <c r="AP125" s="613"/>
      <c r="AQ125" s="613"/>
      <c r="AR125" s="613"/>
      <c r="AS125" s="613"/>
      <c r="AT125" s="613"/>
      <c r="AU125" s="613"/>
      <c r="AV125" s="613"/>
      <c r="AW125" s="613"/>
      <c r="AX125" s="613"/>
      <c r="AY125" s="613"/>
      <c r="AZ125" s="613"/>
      <c r="BA125" s="613"/>
      <c r="BB125" s="613"/>
      <c r="BC125" s="613"/>
      <c r="BD125" s="613"/>
      <c r="BE125" s="613"/>
    </row>
    <row r="126" spans="2:57">
      <c r="B126" s="35" t="s">
        <v>520</v>
      </c>
      <c r="C126" s="35"/>
      <c r="D126" s="591"/>
      <c r="E126" s="36" t="s">
        <v>511</v>
      </c>
      <c r="F126" s="37" t="s">
        <v>12</v>
      </c>
      <c r="G126" s="591"/>
      <c r="H126" s="33"/>
      <c r="I126" s="615"/>
      <c r="J126" s="35" t="s">
        <v>521</v>
      </c>
      <c r="K126" s="36" t="s">
        <v>511</v>
      </c>
      <c r="L126" s="620" t="s">
        <v>3173</v>
      </c>
      <c r="M126" s="591"/>
      <c r="N126" s="591"/>
      <c r="O126" s="206"/>
      <c r="P126" s="616"/>
      <c r="Q126" s="616"/>
      <c r="R126" s="204"/>
      <c r="S126" s="617"/>
      <c r="T126" s="613"/>
      <c r="U126" s="613"/>
      <c r="V126" s="613"/>
      <c r="W126" s="613"/>
      <c r="X126" s="613"/>
      <c r="Y126" s="613"/>
      <c r="Z126" s="613"/>
      <c r="AA126" s="613"/>
      <c r="AB126" s="616"/>
      <c r="AC126" s="616"/>
      <c r="AD126" s="616"/>
      <c r="AE126" s="616"/>
      <c r="AF126" s="616"/>
      <c r="AG126" s="613"/>
      <c r="AH126" s="613"/>
      <c r="AI126" s="613"/>
      <c r="AJ126" s="613"/>
      <c r="AK126" s="613"/>
      <c r="AL126" s="613"/>
      <c r="AM126" s="613"/>
      <c r="AN126" s="613"/>
      <c r="AO126" s="613"/>
      <c r="AP126" s="613"/>
      <c r="AQ126" s="613"/>
      <c r="AR126" s="613"/>
      <c r="AS126" s="613"/>
      <c r="AT126" s="613"/>
      <c r="AU126" s="613"/>
      <c r="AV126" s="613"/>
      <c r="AW126" s="613"/>
      <c r="AX126" s="613"/>
      <c r="AY126" s="613"/>
      <c r="AZ126" s="613"/>
      <c r="BA126" s="613"/>
      <c r="BB126" s="613"/>
      <c r="BC126" s="613"/>
      <c r="BD126" s="613"/>
      <c r="BE126" s="613"/>
    </row>
    <row r="127" spans="2:57">
      <c r="B127" s="35" t="s">
        <v>523</v>
      </c>
      <c r="C127" s="35"/>
      <c r="D127" s="591"/>
      <c r="E127" s="36" t="s">
        <v>511</v>
      </c>
      <c r="F127" s="37" t="s">
        <v>37</v>
      </c>
      <c r="G127" s="591"/>
      <c r="H127" s="33"/>
      <c r="I127" s="615"/>
      <c r="J127" s="35" t="s">
        <v>524</v>
      </c>
      <c r="K127" s="36" t="s">
        <v>511</v>
      </c>
      <c r="L127" s="621" t="s">
        <v>11</v>
      </c>
      <c r="M127" s="611"/>
      <c r="N127" s="611"/>
      <c r="O127" s="206"/>
      <c r="P127" s="205"/>
      <c r="Q127" s="616"/>
      <c r="R127" s="204"/>
      <c r="S127" s="617"/>
      <c r="T127" s="613"/>
      <c r="U127" s="613"/>
      <c r="V127" s="613"/>
      <c r="W127" s="613"/>
      <c r="X127" s="613"/>
      <c r="Y127" s="613"/>
      <c r="Z127" s="613"/>
      <c r="AA127" s="613"/>
      <c r="AB127" s="616"/>
      <c r="AC127" s="616"/>
      <c r="AD127" s="616"/>
      <c r="AE127" s="616"/>
      <c r="AF127" s="616"/>
      <c r="AG127" s="613"/>
      <c r="AH127" s="613"/>
      <c r="AI127" s="613"/>
      <c r="AJ127" s="613"/>
      <c r="AK127" s="613"/>
      <c r="AL127" s="613"/>
      <c r="AM127" s="613"/>
      <c r="AN127" s="613"/>
      <c r="AO127" s="613"/>
      <c r="AP127" s="613"/>
      <c r="AQ127" s="613"/>
      <c r="AR127" s="613"/>
      <c r="AS127" s="613"/>
      <c r="AT127" s="613"/>
      <c r="AU127" s="613"/>
      <c r="AV127" s="613"/>
      <c r="AW127" s="613"/>
      <c r="AX127" s="613"/>
      <c r="AY127" s="613"/>
      <c r="AZ127" s="613"/>
      <c r="BA127" s="613"/>
      <c r="BB127" s="613"/>
      <c r="BC127" s="613"/>
      <c r="BD127" s="613"/>
      <c r="BE127" s="613"/>
    </row>
    <row r="128" spans="2:57">
      <c r="B128" s="35" t="s">
        <v>2</v>
      </c>
      <c r="C128" s="35"/>
      <c r="D128" s="591"/>
      <c r="E128" s="36" t="s">
        <v>511</v>
      </c>
      <c r="F128" s="37" t="s">
        <v>42</v>
      </c>
      <c r="G128" s="591"/>
      <c r="H128" s="33"/>
      <c r="I128" s="622"/>
      <c r="J128" s="35"/>
      <c r="K128" s="36"/>
      <c r="L128" s="211"/>
      <c r="M128" s="613"/>
      <c r="N128" s="613"/>
      <c r="O128" s="35"/>
      <c r="P128" s="611"/>
      <c r="Q128" s="611"/>
      <c r="R128" s="611"/>
      <c r="S128" s="615"/>
      <c r="T128" s="613"/>
      <c r="U128" s="613"/>
      <c r="V128" s="613"/>
      <c r="W128" s="613"/>
      <c r="X128" s="613"/>
      <c r="Y128" s="613"/>
      <c r="Z128" s="613"/>
      <c r="AA128" s="613"/>
      <c r="AB128" s="615"/>
      <c r="AC128" s="615"/>
      <c r="AD128" s="615"/>
      <c r="AE128" s="615"/>
      <c r="AF128" s="615"/>
      <c r="AG128" s="615"/>
      <c r="AH128" s="615"/>
      <c r="AI128" s="615"/>
      <c r="AJ128" s="615"/>
      <c r="AK128" s="615"/>
      <c r="AL128" s="615"/>
      <c r="AM128" s="615"/>
      <c r="AN128" s="615"/>
      <c r="AO128" s="613"/>
      <c r="AP128" s="613"/>
      <c r="AQ128" s="613"/>
      <c r="AR128" s="613"/>
      <c r="AS128" s="613"/>
      <c r="AT128" s="613"/>
      <c r="AU128" s="613"/>
      <c r="AV128" s="613"/>
      <c r="AW128" s="613"/>
      <c r="AX128" s="613"/>
      <c r="AY128" s="613"/>
      <c r="AZ128" s="613"/>
      <c r="BA128" s="613"/>
      <c r="BB128" s="613"/>
      <c r="BC128" s="613"/>
      <c r="BD128" s="613"/>
      <c r="BE128" s="613"/>
    </row>
    <row r="129" spans="2:57">
      <c r="B129" s="613"/>
      <c r="C129" s="613"/>
      <c r="D129" s="613"/>
      <c r="E129" s="613"/>
      <c r="F129" s="613"/>
      <c r="G129" s="613"/>
      <c r="H129" s="613"/>
      <c r="I129" s="622"/>
      <c r="J129" s="35"/>
      <c r="K129" s="35"/>
      <c r="L129" s="621"/>
      <c r="M129" s="611"/>
      <c r="N129" s="611"/>
      <c r="O129" s="35"/>
      <c r="P129" s="611"/>
      <c r="Q129" s="611"/>
      <c r="R129" s="611"/>
      <c r="S129" s="615"/>
      <c r="T129" s="1317" t="s">
        <v>87</v>
      </c>
      <c r="U129" s="1317"/>
      <c r="V129" s="1317"/>
      <c r="W129" s="1317"/>
      <c r="X129" s="1317"/>
      <c r="Y129" s="1317" t="s">
        <v>73</v>
      </c>
      <c r="Z129" s="1317"/>
      <c r="AA129" s="1317"/>
      <c r="AB129" s="1317" t="s">
        <v>74</v>
      </c>
      <c r="AC129" s="1317"/>
      <c r="AD129" s="623" t="s">
        <v>85</v>
      </c>
      <c r="AE129" s="854" t="s">
        <v>77</v>
      </c>
      <c r="AF129" s="1459" t="s">
        <v>525</v>
      </c>
      <c r="AG129" s="1459"/>
      <c r="AH129" s="1459"/>
      <c r="AI129" s="1459"/>
      <c r="AJ129" s="1459"/>
      <c r="AK129" s="1459"/>
      <c r="AL129" s="1459"/>
      <c r="AM129" s="1459"/>
      <c r="AN129" s="1459"/>
      <c r="AO129" s="1459"/>
      <c r="AP129" s="1459"/>
      <c r="AQ129" s="1459"/>
      <c r="AR129" s="1459"/>
      <c r="AS129" s="1459"/>
      <c r="AT129" s="1459"/>
      <c r="AU129" s="1459"/>
      <c r="AV129" s="1459"/>
      <c r="AW129" s="1459"/>
      <c r="AX129" s="1459"/>
      <c r="AY129" s="1459"/>
      <c r="AZ129" s="1459"/>
      <c r="BA129" s="1459"/>
      <c r="BB129" s="1459"/>
      <c r="BC129" s="1459"/>
      <c r="BD129" s="1459"/>
      <c r="BE129" s="613"/>
    </row>
    <row r="130" spans="2:57">
      <c r="B130" s="1318" t="s">
        <v>526</v>
      </c>
      <c r="C130" s="1319"/>
      <c r="D130" s="624" t="s">
        <v>527</v>
      </c>
      <c r="E130" s="624"/>
      <c r="F130" s="624" t="s">
        <v>528</v>
      </c>
      <c r="G130" s="624" t="s">
        <v>529</v>
      </c>
      <c r="H130" s="624" t="s">
        <v>530</v>
      </c>
      <c r="I130" s="624" t="s">
        <v>531</v>
      </c>
      <c r="J130" s="624" t="s">
        <v>532</v>
      </c>
      <c r="K130" s="624"/>
      <c r="L130" s="624" t="s">
        <v>130</v>
      </c>
      <c r="M130" s="624" t="s">
        <v>533</v>
      </c>
      <c r="N130" s="1040" t="str">
        <f>"On time - "&amp;COUNTIF(N131:N138,"On time")&amp;" from "&amp;ROWS(N131:N138)-COUNTIF(N131:N138," ")</f>
        <v>On time - 0 from 7</v>
      </c>
      <c r="O130" s="626"/>
      <c r="P130" s="627" t="s">
        <v>534</v>
      </c>
      <c r="Q130" s="627" t="s">
        <v>535</v>
      </c>
      <c r="R130" s="627" t="s">
        <v>536</v>
      </c>
      <c r="S130" s="591"/>
      <c r="T130" s="628" t="s">
        <v>537</v>
      </c>
      <c r="U130" s="628" t="s">
        <v>538</v>
      </c>
      <c r="V130" s="628" t="s">
        <v>539</v>
      </c>
      <c r="W130" s="628" t="s">
        <v>540</v>
      </c>
      <c r="X130" s="628" t="s">
        <v>541</v>
      </c>
      <c r="Y130" s="628" t="s">
        <v>167</v>
      </c>
      <c r="Z130" s="628" t="s">
        <v>168</v>
      </c>
      <c r="AA130" s="628" t="s">
        <v>169</v>
      </c>
      <c r="AB130" s="628" t="s">
        <v>235</v>
      </c>
      <c r="AC130" s="628" t="s">
        <v>240</v>
      </c>
      <c r="AD130" s="623" t="s">
        <v>85</v>
      </c>
      <c r="AE130" s="628" t="s">
        <v>139</v>
      </c>
      <c r="AF130" s="855" t="s">
        <v>72</v>
      </c>
      <c r="AG130" s="855" t="s">
        <v>88</v>
      </c>
      <c r="AH130" s="855" t="s">
        <v>75</v>
      </c>
      <c r="AI130" s="855" t="s">
        <v>543</v>
      </c>
      <c r="AJ130" s="855" t="s">
        <v>78</v>
      </c>
      <c r="AK130" s="855" t="s">
        <v>76</v>
      </c>
      <c r="AL130" s="855" t="s">
        <v>544</v>
      </c>
      <c r="AM130" s="855" t="s">
        <v>545</v>
      </c>
      <c r="AN130" s="855" t="s">
        <v>86</v>
      </c>
      <c r="AO130" s="855" t="s">
        <v>83</v>
      </c>
      <c r="AP130" s="855" t="s">
        <v>84</v>
      </c>
      <c r="AQ130" s="855" t="s">
        <v>546</v>
      </c>
      <c r="AR130" s="855" t="s">
        <v>81</v>
      </c>
      <c r="AS130" s="855" t="s">
        <v>80</v>
      </c>
      <c r="AT130" s="855" t="s">
        <v>82</v>
      </c>
      <c r="AU130" s="855" t="s">
        <v>181</v>
      </c>
      <c r="AV130" s="855" t="s">
        <v>183</v>
      </c>
      <c r="AW130" s="855" t="s">
        <v>547</v>
      </c>
      <c r="AX130" s="855" t="s">
        <v>182</v>
      </c>
      <c r="AY130" s="855" t="s">
        <v>172</v>
      </c>
      <c r="AZ130" s="855" t="s">
        <v>173</v>
      </c>
      <c r="BA130" s="855" t="s">
        <v>184</v>
      </c>
      <c r="BB130" s="855" t="s">
        <v>100</v>
      </c>
      <c r="BC130" s="855" t="s">
        <v>913</v>
      </c>
      <c r="BD130" s="855" t="s">
        <v>2747</v>
      </c>
      <c r="BE130" s="613"/>
    </row>
    <row r="131" spans="2:57">
      <c r="B131" s="1326" t="s">
        <v>656</v>
      </c>
      <c r="C131" s="1327"/>
      <c r="D131" s="501" t="s">
        <v>3624</v>
      </c>
      <c r="E131" s="501"/>
      <c r="F131" s="501" t="s">
        <v>686</v>
      </c>
      <c r="G131" s="501" t="s">
        <v>1186</v>
      </c>
      <c r="H131" s="629">
        <f>7531.054/2</f>
        <v>3765.527</v>
      </c>
      <c r="I131" s="584" t="s">
        <v>172</v>
      </c>
      <c r="J131" s="504">
        <v>45262.520833333336</v>
      </c>
      <c r="K131" s="574"/>
      <c r="L131" s="574" t="s">
        <v>192</v>
      </c>
      <c r="M131" s="574" t="s">
        <v>192</v>
      </c>
      <c r="N131" s="505" t="str">
        <f t="shared" ref="N131:N140" si="10">IF(ISBLANK(J131)," ",IF(J131&lt;$F$125,"On time",(IF(DAY(J131-$F$125)&lt;1,"On time",(IF(J131&gt;$F$125,"DELAY ( "&amp;DAY(J131-$F$125)&amp;" day "&amp;HOUR(J131-$F$125)&amp;" hour "&amp;MINUTE(J131-$F$125)&amp;" minute )","xxx"))))))</f>
        <v>DELAY ( 1 day 5 hour 30 minute )</v>
      </c>
      <c r="O131" s="597"/>
      <c r="P131" s="507" t="s">
        <v>551</v>
      </c>
      <c r="Q131" s="507" t="s">
        <v>551</v>
      </c>
      <c r="R131" s="507" t="s">
        <v>551</v>
      </c>
      <c r="S131" s="598"/>
      <c r="T131" s="599"/>
      <c r="U131" s="599"/>
      <c r="V131" s="599"/>
      <c r="W131" s="599"/>
      <c r="X131" s="599"/>
      <c r="Y131" s="599"/>
      <c r="Z131" s="599"/>
      <c r="AA131" s="599"/>
      <c r="AB131" s="599"/>
      <c r="AC131" s="599"/>
      <c r="AD131" s="599"/>
      <c r="AE131" s="599"/>
      <c r="AF131" s="599"/>
      <c r="AG131" s="599"/>
      <c r="AH131" s="599"/>
      <c r="AI131" s="599"/>
      <c r="AJ131" s="599"/>
      <c r="AK131" s="599"/>
      <c r="AL131" s="599"/>
      <c r="AM131" s="599"/>
      <c r="AN131" s="599"/>
      <c r="AO131" s="599"/>
      <c r="AP131" s="599"/>
      <c r="AQ131" s="599"/>
      <c r="AR131" s="599"/>
      <c r="AS131" s="599"/>
      <c r="AT131" s="599"/>
      <c r="AU131" s="599"/>
      <c r="AV131" s="599"/>
      <c r="AW131" s="599"/>
      <c r="AX131" s="599"/>
      <c r="AY131" s="599">
        <f>H131</f>
        <v>3765.527</v>
      </c>
      <c r="AZ131" s="599"/>
      <c r="BA131" s="599"/>
      <c r="BB131" s="599"/>
      <c r="BC131" s="599"/>
      <c r="BD131" s="599"/>
      <c r="BE131" s="598"/>
    </row>
    <row r="132" spans="2:57">
      <c r="B132" s="1328"/>
      <c r="C132" s="1329"/>
      <c r="D132" s="501" t="s">
        <v>3684</v>
      </c>
      <c r="E132" s="501"/>
      <c r="F132" s="501" t="s">
        <v>292</v>
      </c>
      <c r="G132" s="501" t="s">
        <v>293</v>
      </c>
      <c r="H132" s="629">
        <v>7438.1329999999998</v>
      </c>
      <c r="I132" s="584" t="s">
        <v>840</v>
      </c>
      <c r="J132" s="504">
        <v>45262.416666666664</v>
      </c>
      <c r="K132" s="504"/>
      <c r="L132" s="574" t="s">
        <v>192</v>
      </c>
      <c r="M132" s="574" t="s">
        <v>192</v>
      </c>
      <c r="N132" s="505" t="str">
        <f t="shared" si="10"/>
        <v>DELAY ( 1 day 3 hour 0 minute )</v>
      </c>
      <c r="O132" s="597"/>
      <c r="P132" s="507" t="s">
        <v>551</v>
      </c>
      <c r="Q132" s="507" t="s">
        <v>551</v>
      </c>
      <c r="R132" s="507" t="s">
        <v>551</v>
      </c>
      <c r="S132" s="598"/>
      <c r="T132" s="599"/>
      <c r="U132" s="599"/>
      <c r="V132" s="599"/>
      <c r="W132" s="599"/>
      <c r="X132" s="599"/>
      <c r="Y132" s="599">
        <f>H132*0.6</f>
        <v>4462.8797999999997</v>
      </c>
      <c r="Z132" s="599">
        <f>H132*0.4</f>
        <v>2975.2532000000001</v>
      </c>
      <c r="AA132" s="599"/>
      <c r="AB132" s="599"/>
      <c r="AC132" s="599"/>
      <c r="AD132" s="599"/>
      <c r="AE132" s="599"/>
      <c r="AF132" s="599"/>
      <c r="AG132" s="599"/>
      <c r="AH132" s="599"/>
      <c r="AI132" s="599"/>
      <c r="AJ132" s="599"/>
      <c r="AK132" s="599"/>
      <c r="AL132" s="599"/>
      <c r="AM132" s="599"/>
      <c r="AN132" s="599"/>
      <c r="AO132" s="599"/>
      <c r="AP132" s="599"/>
      <c r="AQ132" s="599"/>
      <c r="AR132" s="599"/>
      <c r="AS132" s="599"/>
      <c r="AT132" s="599"/>
      <c r="AU132" s="599"/>
      <c r="AV132" s="599"/>
      <c r="AW132" s="599"/>
      <c r="AX132" s="598"/>
      <c r="AY132" s="599"/>
      <c r="AZ132" s="599"/>
      <c r="BA132" s="599"/>
      <c r="BB132" s="599"/>
      <c r="BC132" s="599"/>
      <c r="BD132" s="599"/>
      <c r="BE132" s="598"/>
    </row>
    <row r="133" spans="2:57">
      <c r="B133" s="1326" t="s">
        <v>2169</v>
      </c>
      <c r="C133" s="1327"/>
      <c r="D133" s="501" t="s">
        <v>3624</v>
      </c>
      <c r="E133" s="501"/>
      <c r="F133" s="501" t="s">
        <v>686</v>
      </c>
      <c r="G133" s="501" t="s">
        <v>1186</v>
      </c>
      <c r="H133" s="629">
        <f>H131</f>
        <v>3765.527</v>
      </c>
      <c r="I133" s="584" t="s">
        <v>172</v>
      </c>
      <c r="J133" s="504"/>
      <c r="K133" s="574"/>
      <c r="L133" s="574"/>
      <c r="M133" s="574"/>
      <c r="N133" s="505" t="str">
        <f t="shared" si="10"/>
        <v xml:space="preserve"> </v>
      </c>
      <c r="O133" s="597"/>
      <c r="P133" s="507" t="s">
        <v>551</v>
      </c>
      <c r="Q133" s="507" t="s">
        <v>551</v>
      </c>
      <c r="R133" s="507" t="s">
        <v>551</v>
      </c>
      <c r="S133" s="598"/>
      <c r="T133" s="599"/>
      <c r="U133" s="599"/>
      <c r="V133" s="599"/>
      <c r="W133" s="599"/>
      <c r="X133" s="599"/>
      <c r="Y133" s="599"/>
      <c r="Z133" s="599"/>
      <c r="AA133" s="599"/>
      <c r="AB133" s="599"/>
      <c r="AC133" s="599"/>
      <c r="AD133" s="599"/>
      <c r="AE133" s="599"/>
      <c r="AF133" s="599"/>
      <c r="AG133" s="599"/>
      <c r="AH133" s="599"/>
      <c r="AI133" s="599"/>
      <c r="AJ133" s="599"/>
      <c r="AK133" s="599"/>
      <c r="AL133" s="599"/>
      <c r="AM133" s="599"/>
      <c r="AN133" s="599"/>
      <c r="AO133" s="599"/>
      <c r="AP133" s="599"/>
      <c r="AQ133" s="599"/>
      <c r="AR133" s="599"/>
      <c r="AS133" s="599"/>
      <c r="AT133" s="599"/>
      <c r="AU133" s="599"/>
      <c r="AV133" s="599"/>
      <c r="AW133" s="599"/>
      <c r="AX133" s="599"/>
      <c r="AY133" s="599">
        <f>H133</f>
        <v>3765.527</v>
      </c>
      <c r="AZ133" s="599"/>
      <c r="BA133" s="599"/>
      <c r="BB133" s="599"/>
      <c r="BC133" s="599"/>
      <c r="BD133" s="599"/>
      <c r="BE133" s="598"/>
    </row>
    <row r="134" spans="2:57">
      <c r="B134" s="1328"/>
      <c r="C134" s="1329"/>
      <c r="D134" s="501" t="s">
        <v>3686</v>
      </c>
      <c r="E134" s="501"/>
      <c r="F134" s="501" t="s">
        <v>2404</v>
      </c>
      <c r="G134" s="501" t="s">
        <v>2405</v>
      </c>
      <c r="H134" s="629">
        <v>10166.914000000001</v>
      </c>
      <c r="I134" s="584" t="s">
        <v>1372</v>
      </c>
      <c r="J134" s="504">
        <v>45262.854166666664</v>
      </c>
      <c r="K134" s="504"/>
      <c r="L134" s="574" t="s">
        <v>192</v>
      </c>
      <c r="M134" s="574" t="s">
        <v>192</v>
      </c>
      <c r="N134" s="505" t="str">
        <f t="shared" si="10"/>
        <v>DELAY ( 1 day 13 hour 30 minute )</v>
      </c>
      <c r="O134" s="597"/>
      <c r="P134" s="507" t="s">
        <v>551</v>
      </c>
      <c r="Q134" s="507" t="s">
        <v>551</v>
      </c>
      <c r="R134" s="507" t="s">
        <v>551</v>
      </c>
      <c r="S134" s="598"/>
      <c r="T134" s="599"/>
      <c r="U134" s="599"/>
      <c r="V134" s="599"/>
      <c r="W134" s="599"/>
      <c r="X134" s="599"/>
      <c r="Y134" s="599">
        <f>H134*0.7</f>
        <v>7116.8397999999997</v>
      </c>
      <c r="Z134" s="599">
        <f>H134*0.3</f>
        <v>3050.0742</v>
      </c>
      <c r="AA134" s="599"/>
      <c r="AB134" s="599"/>
      <c r="AC134" s="599"/>
      <c r="AD134" s="599"/>
      <c r="AE134" s="599"/>
      <c r="AF134" s="599"/>
      <c r="AG134" s="599"/>
      <c r="AH134" s="599"/>
      <c r="AI134" s="599"/>
      <c r="AJ134" s="599"/>
      <c r="AK134" s="598"/>
      <c r="AL134" s="599"/>
      <c r="AM134" s="599"/>
      <c r="AN134" s="599"/>
      <c r="AO134" s="599"/>
      <c r="AP134" s="599"/>
      <c r="AQ134" s="599"/>
      <c r="AR134" s="599"/>
      <c r="AS134" s="599"/>
      <c r="AT134" s="599"/>
      <c r="AU134" s="599"/>
      <c r="AV134" s="599"/>
      <c r="AW134" s="599"/>
      <c r="AX134" s="598"/>
      <c r="AY134" s="599"/>
      <c r="AZ134" s="599"/>
      <c r="BA134" s="599"/>
      <c r="BB134" s="599"/>
      <c r="BC134" s="599"/>
      <c r="BD134" s="599"/>
      <c r="BE134" s="598"/>
    </row>
    <row r="135" spans="2:57">
      <c r="B135" s="1315" t="s">
        <v>548</v>
      </c>
      <c r="C135" s="1316"/>
      <c r="D135" s="501" t="s">
        <v>3683</v>
      </c>
      <c r="E135" s="501"/>
      <c r="F135" s="501" t="s">
        <v>399</v>
      </c>
      <c r="G135" s="501" t="s">
        <v>275</v>
      </c>
      <c r="H135" s="629">
        <v>7552.4340000000002</v>
      </c>
      <c r="I135" s="584" t="s">
        <v>1677</v>
      </c>
      <c r="J135" s="504">
        <v>45262.479166666664</v>
      </c>
      <c r="K135" s="574"/>
      <c r="L135" s="574" t="s">
        <v>192</v>
      </c>
      <c r="M135" s="574" t="s">
        <v>192</v>
      </c>
      <c r="N135" s="505" t="str">
        <f t="shared" si="10"/>
        <v>DELAY ( 1 day 4 hour 30 minute )</v>
      </c>
      <c r="O135" s="597"/>
      <c r="P135" s="507" t="s">
        <v>551</v>
      </c>
      <c r="Q135" s="507" t="s">
        <v>551</v>
      </c>
      <c r="R135" s="507" t="s">
        <v>551</v>
      </c>
      <c r="S135" s="598"/>
      <c r="T135" s="599"/>
      <c r="U135" s="599"/>
      <c r="V135" s="599"/>
      <c r="W135" s="599"/>
      <c r="X135" s="599"/>
      <c r="Y135" s="599">
        <f>H135*0.8</f>
        <v>6041.9472000000005</v>
      </c>
      <c r="Z135" s="599">
        <f>H135*0.2</f>
        <v>1510.4868000000001</v>
      </c>
      <c r="AA135" s="599"/>
      <c r="AB135" s="599"/>
      <c r="AC135" s="599"/>
      <c r="AD135" s="599"/>
      <c r="AE135" s="599"/>
      <c r="AF135" s="599"/>
      <c r="AG135" s="599"/>
      <c r="AH135" s="599"/>
      <c r="AI135" s="599"/>
      <c r="AJ135" s="599"/>
      <c r="AK135" s="599"/>
      <c r="AL135" s="599"/>
      <c r="AM135" s="599"/>
      <c r="AN135" s="599"/>
      <c r="AO135" s="599"/>
      <c r="AP135" s="599"/>
      <c r="AQ135" s="599"/>
      <c r="AR135" s="599"/>
      <c r="AS135" s="599"/>
      <c r="AT135" s="599"/>
      <c r="AU135" s="599"/>
      <c r="AV135" s="599"/>
      <c r="AW135" s="599"/>
      <c r="AX135" s="599"/>
      <c r="AY135" s="599"/>
      <c r="AZ135" s="599"/>
      <c r="BA135" s="599"/>
      <c r="BB135" s="599"/>
      <c r="BC135" s="599"/>
      <c r="BD135" s="599"/>
      <c r="BE135" s="598"/>
    </row>
    <row r="136" spans="2:57">
      <c r="B136" s="1326" t="s">
        <v>4372</v>
      </c>
      <c r="C136" s="1327"/>
      <c r="D136" s="501" t="s">
        <v>3835</v>
      </c>
      <c r="E136" s="501"/>
      <c r="F136" s="501" t="s">
        <v>213</v>
      </c>
      <c r="G136" s="501" t="s">
        <v>214</v>
      </c>
      <c r="H136" s="629">
        <v>7578.4870000000001</v>
      </c>
      <c r="I136" s="584" t="s">
        <v>611</v>
      </c>
      <c r="J136" s="504">
        <v>45266.083333333336</v>
      </c>
      <c r="K136" s="574"/>
      <c r="L136" s="574" t="s">
        <v>192</v>
      </c>
      <c r="M136" s="574" t="s">
        <v>192</v>
      </c>
      <c r="N136" s="505" t="str">
        <f t="shared" si="10"/>
        <v>DELAY ( 4 day 19 hour 0 minute )</v>
      </c>
      <c r="O136" s="597"/>
      <c r="P136" s="507" t="s">
        <v>551</v>
      </c>
      <c r="Q136" s="507" t="s">
        <v>551</v>
      </c>
      <c r="R136" s="507" t="s">
        <v>551</v>
      </c>
      <c r="S136" s="598"/>
      <c r="T136" s="599">
        <f>H136</f>
        <v>7578.4870000000001</v>
      </c>
      <c r="U136" s="599"/>
      <c r="V136" s="599"/>
      <c r="W136" s="599"/>
      <c r="X136" s="599"/>
      <c r="Y136" s="599"/>
      <c r="Z136" s="599"/>
      <c r="AA136" s="599"/>
      <c r="AB136" s="599"/>
      <c r="AC136" s="599"/>
      <c r="AD136" s="599"/>
      <c r="AE136" s="599"/>
      <c r="AF136" s="599"/>
      <c r="AG136" s="599"/>
      <c r="AH136" s="599"/>
      <c r="AI136" s="599"/>
      <c r="AJ136" s="599"/>
      <c r="AK136" s="599"/>
      <c r="AL136" s="599"/>
      <c r="AM136" s="599"/>
      <c r="AN136" s="599"/>
      <c r="AO136" s="599"/>
      <c r="AP136" s="599"/>
      <c r="AQ136" s="599"/>
      <c r="AR136" s="599"/>
      <c r="AS136" s="599"/>
      <c r="AT136" s="599"/>
      <c r="AU136" s="599"/>
      <c r="AV136" s="599"/>
      <c r="AW136" s="599"/>
      <c r="AX136" s="599"/>
      <c r="AY136" s="599"/>
      <c r="AZ136" s="599"/>
      <c r="BA136" s="599"/>
      <c r="BB136" s="599"/>
      <c r="BC136" s="599"/>
      <c r="BD136" s="599"/>
      <c r="BE136" s="598"/>
    </row>
    <row r="137" spans="2:57">
      <c r="B137" s="1328"/>
      <c r="C137" s="1329"/>
      <c r="D137" s="501" t="s">
        <v>3685</v>
      </c>
      <c r="E137" s="501"/>
      <c r="F137" s="501" t="s">
        <v>330</v>
      </c>
      <c r="G137" s="501" t="s">
        <v>331</v>
      </c>
      <c r="H137" s="629">
        <v>7592.3310000000001</v>
      </c>
      <c r="I137" s="584" t="s">
        <v>1372</v>
      </c>
      <c r="J137" s="504">
        <v>45263.666666666664</v>
      </c>
      <c r="K137" s="574"/>
      <c r="L137" s="574" t="s">
        <v>192</v>
      </c>
      <c r="M137" s="574" t="s">
        <v>192</v>
      </c>
      <c r="N137" s="505" t="str">
        <f t="shared" si="10"/>
        <v>DELAY ( 2 day 9 hour 0 minute )</v>
      </c>
      <c r="O137" s="597"/>
      <c r="P137" s="507" t="s">
        <v>551</v>
      </c>
      <c r="Q137" s="507" t="s">
        <v>551</v>
      </c>
      <c r="R137" s="507" t="s">
        <v>551</v>
      </c>
      <c r="S137" s="598"/>
      <c r="T137" s="599"/>
      <c r="U137" s="599"/>
      <c r="V137" s="599"/>
      <c r="W137" s="599"/>
      <c r="X137" s="599"/>
      <c r="Y137" s="599">
        <f>H137*0.7</f>
        <v>5314.6316999999999</v>
      </c>
      <c r="Z137" s="599">
        <f>H137*0.3</f>
        <v>2277.6992999999998</v>
      </c>
      <c r="AA137" s="599"/>
      <c r="AB137" s="599"/>
      <c r="AC137" s="599"/>
      <c r="AD137" s="599"/>
      <c r="AE137" s="599"/>
      <c r="AF137" s="599"/>
      <c r="AG137" s="599"/>
      <c r="AH137" s="599"/>
      <c r="AI137" s="599"/>
      <c r="AJ137" s="599"/>
      <c r="AK137" s="599"/>
      <c r="AL137" s="599"/>
      <c r="AM137" s="599"/>
      <c r="AN137" s="599"/>
      <c r="AO137" s="599"/>
      <c r="AP137" s="599"/>
      <c r="AQ137" s="599"/>
      <c r="AR137" s="599"/>
      <c r="AS137" s="599"/>
      <c r="AT137" s="599"/>
      <c r="AU137" s="599"/>
      <c r="AV137" s="599"/>
      <c r="AW137" s="599"/>
      <c r="AX137" s="599"/>
      <c r="AY137" s="599"/>
      <c r="AZ137" s="599"/>
      <c r="BA137" s="599"/>
      <c r="BB137" s="599"/>
      <c r="BC137" s="599"/>
      <c r="BD137" s="599"/>
      <c r="BE137" s="598"/>
    </row>
    <row r="138" spans="2:57">
      <c r="B138" s="1315" t="s">
        <v>548</v>
      </c>
      <c r="C138" s="1316"/>
      <c r="D138" s="501" t="s">
        <v>3688</v>
      </c>
      <c r="E138" s="501"/>
      <c r="F138" s="501" t="s">
        <v>492</v>
      </c>
      <c r="G138" s="501" t="s">
        <v>493</v>
      </c>
      <c r="H138" s="629">
        <f>7486.823-6046.176</f>
        <v>1440.6469999999999</v>
      </c>
      <c r="I138" s="584" t="s">
        <v>509</v>
      </c>
      <c r="J138" s="504">
        <v>45263.75</v>
      </c>
      <c r="K138" s="574"/>
      <c r="L138" s="574" t="s">
        <v>192</v>
      </c>
      <c r="M138" s="574" t="s">
        <v>192</v>
      </c>
      <c r="N138" s="505" t="str">
        <f t="shared" si="10"/>
        <v>DELAY ( 2 day 11 hour 0 minute )</v>
      </c>
      <c r="O138" s="597"/>
      <c r="P138" s="507" t="s">
        <v>551</v>
      </c>
      <c r="Q138" s="507" t="s">
        <v>551</v>
      </c>
      <c r="R138" s="507" t="s">
        <v>551</v>
      </c>
      <c r="S138" s="598"/>
      <c r="T138" s="599"/>
      <c r="U138" s="599"/>
      <c r="V138" s="599"/>
      <c r="W138" s="599"/>
      <c r="X138" s="599"/>
      <c r="Y138" s="599">
        <f>H138*0.7</f>
        <v>1008.4528999999999</v>
      </c>
      <c r="Z138" s="599">
        <f>H138*0.3</f>
        <v>432.19409999999999</v>
      </c>
      <c r="AA138" s="599"/>
      <c r="AB138" s="599"/>
      <c r="AC138" s="599"/>
      <c r="AD138" s="599"/>
      <c r="AE138" s="599"/>
      <c r="AF138" s="599"/>
      <c r="AG138" s="599"/>
      <c r="AH138" s="599"/>
      <c r="AI138" s="599"/>
      <c r="AJ138" s="599"/>
      <c r="AK138" s="599"/>
      <c r="AL138" s="599"/>
      <c r="AM138" s="599"/>
      <c r="AN138" s="599"/>
      <c r="AO138" s="599"/>
      <c r="AP138" s="599"/>
      <c r="AQ138" s="599"/>
      <c r="AR138" s="599"/>
      <c r="AS138" s="599"/>
      <c r="AT138" s="599"/>
      <c r="AU138" s="599"/>
      <c r="AV138" s="599"/>
      <c r="AW138" s="599"/>
      <c r="AX138" s="599"/>
      <c r="AY138" s="599"/>
      <c r="AZ138" s="599"/>
      <c r="BA138" s="599"/>
      <c r="BB138" s="599"/>
      <c r="BC138" s="599"/>
      <c r="BD138" s="599"/>
      <c r="BE138" s="598"/>
    </row>
    <row r="139" spans="2:57">
      <c r="B139" s="1258" t="s">
        <v>556</v>
      </c>
      <c r="C139" s="1259"/>
      <c r="D139" s="1259"/>
      <c r="E139" s="1259"/>
      <c r="F139" s="1259"/>
      <c r="G139" s="1260"/>
      <c r="H139" s="863">
        <f>SUM(H131:H138)</f>
        <v>49300</v>
      </c>
      <c r="I139" s="1458"/>
      <c r="J139" s="1458"/>
      <c r="K139" s="1458"/>
      <c r="L139" s="1458"/>
      <c r="M139" s="1458"/>
      <c r="N139" s="505" t="str">
        <f t="shared" si="10"/>
        <v xml:space="preserve"> </v>
      </c>
      <c r="O139" s="212"/>
      <c r="P139" s="590"/>
      <c r="Q139" s="590"/>
      <c r="R139" s="590"/>
      <c r="S139" s="633"/>
      <c r="T139" s="1307"/>
      <c r="U139" s="1308"/>
      <c r="V139" s="1308"/>
      <c r="W139" s="1308"/>
      <c r="X139" s="1308"/>
      <c r="Y139" s="1308"/>
      <c r="Z139" s="1308"/>
      <c r="AA139" s="1308"/>
      <c r="AB139" s="1308"/>
      <c r="AC139" s="1308"/>
      <c r="AD139" s="1308"/>
      <c r="AE139" s="1308"/>
      <c r="AF139" s="1308"/>
      <c r="AG139" s="1308"/>
      <c r="AH139" s="1308"/>
      <c r="AI139" s="1308"/>
      <c r="AJ139" s="1308"/>
      <c r="AK139" s="1308"/>
      <c r="AL139" s="1308"/>
      <c r="AM139" s="1308"/>
      <c r="AN139" s="1308"/>
      <c r="AO139" s="1308"/>
      <c r="AP139" s="1308"/>
      <c r="AQ139" s="1308"/>
      <c r="AR139" s="1308"/>
      <c r="AS139" s="1308"/>
      <c r="AT139" s="1308"/>
      <c r="AU139" s="1308"/>
      <c r="AV139" s="1308"/>
      <c r="AW139" s="1308"/>
      <c r="AX139" s="1308"/>
      <c r="AY139" s="1308"/>
      <c r="AZ139" s="1308"/>
      <c r="BA139" s="1308"/>
      <c r="BB139" s="1308"/>
      <c r="BC139" s="1308"/>
      <c r="BD139" s="1308"/>
      <c r="BE139" s="39"/>
    </row>
    <row r="140" spans="2:57">
      <c r="B140" s="1415" t="s">
        <v>557</v>
      </c>
      <c r="C140" s="1416"/>
      <c r="D140" s="1416"/>
      <c r="E140" s="1416"/>
      <c r="F140" s="1416"/>
      <c r="G140" s="1417"/>
      <c r="H140" s="845">
        <v>49300</v>
      </c>
      <c r="I140" s="1455"/>
      <c r="J140" s="1455"/>
      <c r="K140" s="1455"/>
      <c r="L140" s="1455"/>
      <c r="M140" s="1455"/>
      <c r="N140" s="505" t="str">
        <f t="shared" si="10"/>
        <v xml:space="preserve"> </v>
      </c>
      <c r="O140" s="591"/>
      <c r="P140" s="415"/>
      <c r="Q140" s="415"/>
      <c r="R140" s="415"/>
      <c r="S140" s="740"/>
      <c r="T140" s="592">
        <f t="shared" ref="T140:BD140" si="11">SUM(T131:T138)</f>
        <v>7578.4870000000001</v>
      </c>
      <c r="U140" s="592">
        <f t="shared" si="11"/>
        <v>0</v>
      </c>
      <c r="V140" s="592">
        <f t="shared" si="11"/>
        <v>0</v>
      </c>
      <c r="W140" s="592">
        <f t="shared" si="11"/>
        <v>0</v>
      </c>
      <c r="X140" s="592">
        <f t="shared" si="11"/>
        <v>0</v>
      </c>
      <c r="Y140" s="592">
        <f t="shared" si="11"/>
        <v>23944.751399999997</v>
      </c>
      <c r="Z140" s="592">
        <f t="shared" si="11"/>
        <v>10245.707600000002</v>
      </c>
      <c r="AA140" s="592">
        <f t="shared" si="11"/>
        <v>0</v>
      </c>
      <c r="AB140" s="592">
        <f t="shared" si="11"/>
        <v>0</v>
      </c>
      <c r="AC140" s="592">
        <f t="shared" si="11"/>
        <v>0</v>
      </c>
      <c r="AD140" s="592">
        <f t="shared" si="11"/>
        <v>0</v>
      </c>
      <c r="AE140" s="592">
        <f t="shared" si="11"/>
        <v>0</v>
      </c>
      <c r="AF140" s="592">
        <f t="shared" si="11"/>
        <v>0</v>
      </c>
      <c r="AG140" s="592">
        <f t="shared" si="11"/>
        <v>0</v>
      </c>
      <c r="AH140" s="592">
        <f t="shared" si="11"/>
        <v>0</v>
      </c>
      <c r="AI140" s="592">
        <f t="shared" si="11"/>
        <v>0</v>
      </c>
      <c r="AJ140" s="592">
        <f t="shared" si="11"/>
        <v>0</v>
      </c>
      <c r="AK140" s="592">
        <f t="shared" si="11"/>
        <v>0</v>
      </c>
      <c r="AL140" s="592">
        <f t="shared" si="11"/>
        <v>0</v>
      </c>
      <c r="AM140" s="592">
        <f t="shared" si="11"/>
        <v>0</v>
      </c>
      <c r="AN140" s="592">
        <f t="shared" si="11"/>
        <v>0</v>
      </c>
      <c r="AO140" s="592">
        <f t="shared" si="11"/>
        <v>0</v>
      </c>
      <c r="AP140" s="592">
        <f t="shared" si="11"/>
        <v>0</v>
      </c>
      <c r="AQ140" s="592">
        <f t="shared" si="11"/>
        <v>0</v>
      </c>
      <c r="AR140" s="592">
        <f t="shared" si="11"/>
        <v>0</v>
      </c>
      <c r="AS140" s="592">
        <f t="shared" si="11"/>
        <v>0</v>
      </c>
      <c r="AT140" s="592">
        <f t="shared" si="11"/>
        <v>0</v>
      </c>
      <c r="AU140" s="592">
        <f t="shared" si="11"/>
        <v>0</v>
      </c>
      <c r="AV140" s="592">
        <f t="shared" si="11"/>
        <v>0</v>
      </c>
      <c r="AW140" s="592">
        <f t="shared" si="11"/>
        <v>0</v>
      </c>
      <c r="AX140" s="592">
        <f t="shared" si="11"/>
        <v>0</v>
      </c>
      <c r="AY140" s="592">
        <f t="shared" si="11"/>
        <v>7531.0540000000001</v>
      </c>
      <c r="AZ140" s="592">
        <f t="shared" si="11"/>
        <v>0</v>
      </c>
      <c r="BA140" s="592">
        <f t="shared" si="11"/>
        <v>0</v>
      </c>
      <c r="BB140" s="592">
        <f t="shared" si="11"/>
        <v>0</v>
      </c>
      <c r="BC140" s="592">
        <f t="shared" si="11"/>
        <v>0</v>
      </c>
      <c r="BD140" s="592">
        <f t="shared" si="11"/>
        <v>0</v>
      </c>
      <c r="BE140" s="592">
        <f>SUM(T140:BD140)</f>
        <v>49300</v>
      </c>
    </row>
    <row r="141" spans="2:57">
      <c r="B141" s="1415" t="s">
        <v>558</v>
      </c>
      <c r="C141" s="1416"/>
      <c r="D141" s="1416"/>
      <c r="E141" s="1416"/>
      <c r="F141" s="1416"/>
      <c r="G141" s="1417"/>
      <c r="H141" s="712">
        <f>H140-L125</f>
        <v>0</v>
      </c>
      <c r="I141" s="745"/>
      <c r="J141" s="746"/>
      <c r="K141" s="746"/>
      <c r="L141" s="674"/>
      <c r="M141" s="633"/>
      <c r="N141" s="591"/>
      <c r="O141" s="591"/>
      <c r="P141" s="591"/>
      <c r="Q141" s="744"/>
      <c r="R141" s="744"/>
      <c r="S141" s="591"/>
      <c r="T141" s="645"/>
      <c r="U141" s="645"/>
      <c r="V141" s="645"/>
      <c r="W141" s="645"/>
      <c r="X141" s="645"/>
      <c r="Y141" s="645"/>
      <c r="Z141" s="645"/>
      <c r="AA141" s="645"/>
      <c r="AB141" s="645"/>
      <c r="AC141" s="591"/>
      <c r="AD141" s="591"/>
      <c r="AE141" s="591"/>
      <c r="AF141" s="591"/>
      <c r="AG141" s="591"/>
      <c r="AH141" s="591"/>
      <c r="AI141" s="591"/>
      <c r="AJ141" s="591"/>
      <c r="AK141" s="591"/>
      <c r="AL141" s="591"/>
      <c r="AM141" s="591"/>
      <c r="AN141" s="591"/>
      <c r="AO141" s="591"/>
      <c r="AP141" s="591"/>
      <c r="AQ141" s="591"/>
      <c r="AR141" s="591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</row>
    <row r="142" spans="2:57">
      <c r="B142" s="1415" t="s">
        <v>559</v>
      </c>
      <c r="C142" s="1416"/>
      <c r="D142" s="1416"/>
      <c r="E142" s="1416"/>
      <c r="F142" s="1416"/>
      <c r="G142" s="1417"/>
      <c r="H142" s="747">
        <v>5365.8419999999996</v>
      </c>
      <c r="I142" s="745"/>
      <c r="J142" s="746"/>
      <c r="K142" s="746"/>
      <c r="L142" s="674"/>
      <c r="M142" s="633"/>
      <c r="N142" s="613"/>
      <c r="O142" s="591"/>
      <c r="P142" s="591"/>
      <c r="Q142" s="591"/>
      <c r="R142" s="591"/>
      <c r="S142" s="591"/>
      <c r="T142" s="645"/>
      <c r="U142" s="645"/>
      <c r="V142" s="645"/>
      <c r="W142" s="645"/>
      <c r="X142" s="645"/>
      <c r="Y142" s="645"/>
      <c r="Z142" s="645"/>
      <c r="AA142" s="645"/>
      <c r="AB142" s="645"/>
      <c r="AC142" s="591"/>
      <c r="AD142" s="591"/>
      <c r="AE142" s="591"/>
      <c r="AF142" s="591"/>
      <c r="AG142" s="591"/>
      <c r="AH142" s="591"/>
      <c r="AI142" s="591"/>
      <c r="AJ142" s="591"/>
      <c r="AK142" s="591"/>
      <c r="AL142" s="591"/>
      <c r="AM142" s="591"/>
      <c r="AN142" s="591"/>
      <c r="AO142" s="591"/>
      <c r="AP142" s="591"/>
      <c r="AQ142" s="591"/>
      <c r="AR142" s="591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</row>
    <row r="143" spans="2:57" s="39" customFormat="1" ht="12.75" customHeight="1">
      <c r="B143" s="1415" t="s">
        <v>560</v>
      </c>
      <c r="C143" s="1416"/>
      <c r="D143" s="1416"/>
      <c r="E143" s="1416"/>
      <c r="F143" s="1416"/>
      <c r="G143" s="1417"/>
      <c r="H143" s="741">
        <f>H142-6046.176</f>
        <v>-680.33400000000074</v>
      </c>
      <c r="I143" s="641"/>
      <c r="J143" s="642"/>
      <c r="K143" s="642"/>
      <c r="L143" s="499"/>
      <c r="M143" s="613"/>
      <c r="N143" s="613"/>
      <c r="O143" s="613"/>
      <c r="P143" s="613"/>
      <c r="Q143" s="613"/>
      <c r="R143" s="613"/>
      <c r="S143" s="616"/>
      <c r="T143" s="616"/>
      <c r="U143" s="616"/>
      <c r="V143" s="616"/>
      <c r="W143" s="616"/>
      <c r="X143" s="616"/>
      <c r="Y143" s="616"/>
      <c r="Z143" s="616"/>
      <c r="AA143" s="616"/>
      <c r="AB143" s="613"/>
      <c r="AC143" s="613"/>
      <c r="AD143" s="613"/>
      <c r="AE143" s="613"/>
      <c r="AF143" s="613"/>
      <c r="AG143" s="613"/>
      <c r="AH143" s="613"/>
      <c r="AI143" s="613"/>
      <c r="AJ143" s="613"/>
      <c r="AK143" s="613"/>
      <c r="AL143" s="613"/>
      <c r="AM143" s="613"/>
      <c r="AN143" s="613"/>
      <c r="AO143" s="613"/>
      <c r="AP143" s="613"/>
      <c r="AQ143" s="613"/>
      <c r="AR143" s="496"/>
      <c r="AS143" s="496"/>
      <c r="AT143" s="496"/>
      <c r="AU143" s="496"/>
      <c r="AV143" s="496"/>
      <c r="AW143" s="496"/>
      <c r="AX143" s="496"/>
      <c r="AY143" s="496"/>
      <c r="AZ143" s="496"/>
      <c r="BA143" s="496"/>
    </row>
    <row r="145" spans="2:57">
      <c r="B145" s="619" t="s">
        <v>561</v>
      </c>
      <c r="C145" s="619"/>
      <c r="D145" s="591"/>
      <c r="E145" s="591"/>
      <c r="F145" s="591"/>
      <c r="G145" s="591"/>
      <c r="H145" s="591"/>
      <c r="I145" s="591"/>
      <c r="J145" s="646"/>
      <c r="K145" s="646"/>
    </row>
    <row r="146" spans="2:57">
      <c r="B146" s="422">
        <v>1</v>
      </c>
      <c r="C146" s="1249" t="s">
        <v>4373</v>
      </c>
      <c r="D146" s="1249"/>
      <c r="E146" s="1249"/>
      <c r="F146" s="1249"/>
      <c r="G146" s="1249"/>
      <c r="H146" s="1249"/>
      <c r="I146" s="1249"/>
      <c r="J146" s="1249"/>
      <c r="K146" s="1249"/>
    </row>
    <row r="148" spans="2:57">
      <c r="B148" s="28" t="s">
        <v>126</v>
      </c>
      <c r="C148" s="28"/>
      <c r="D148" s="614"/>
      <c r="E148" s="30" t="s">
        <v>511</v>
      </c>
      <c r="F148" s="31" t="s">
        <v>3175</v>
      </c>
      <c r="G148" s="591"/>
      <c r="H148" s="33"/>
      <c r="I148" s="615"/>
      <c r="J148" s="35" t="s">
        <v>513</v>
      </c>
      <c r="K148" s="36" t="s">
        <v>511</v>
      </c>
      <c r="L148" s="516">
        <v>45268.666666666664</v>
      </c>
      <c r="M148" s="591"/>
      <c r="N148" s="591"/>
      <c r="O148" s="206"/>
      <c r="P148" s="205"/>
      <c r="Q148" s="616"/>
      <c r="R148" s="204"/>
      <c r="S148" s="617"/>
      <c r="T148" s="613"/>
      <c r="U148" s="613"/>
      <c r="V148" s="613"/>
      <c r="W148" s="613"/>
      <c r="X148" s="613"/>
      <c r="Y148" s="613"/>
      <c r="Z148" s="613"/>
      <c r="AA148" s="613"/>
      <c r="AB148" s="616"/>
      <c r="AC148" s="616"/>
      <c r="AD148" s="616"/>
      <c r="AE148" s="616"/>
      <c r="AF148" s="616"/>
      <c r="AG148" s="613"/>
      <c r="AH148" s="613"/>
      <c r="AI148" s="613"/>
      <c r="AJ148" s="613"/>
      <c r="AK148" s="613"/>
      <c r="AL148" s="613"/>
      <c r="AM148" s="613"/>
      <c r="AN148" s="613"/>
      <c r="AO148" s="613"/>
      <c r="AP148" s="613"/>
      <c r="AQ148" s="613"/>
      <c r="AR148" s="613"/>
      <c r="AS148" s="613"/>
      <c r="AT148" s="613"/>
      <c r="AU148" s="613"/>
      <c r="AV148" s="613"/>
      <c r="AW148" s="613"/>
      <c r="AX148" s="613"/>
      <c r="AY148" s="613"/>
      <c r="AZ148" s="613"/>
      <c r="BA148" s="613"/>
      <c r="BB148" s="613"/>
      <c r="BC148" s="613"/>
      <c r="BD148" s="613"/>
      <c r="BE148" s="613"/>
    </row>
    <row r="149" spans="2:57">
      <c r="B149" s="35" t="s">
        <v>514</v>
      </c>
      <c r="C149" s="35"/>
      <c r="D149" s="591"/>
      <c r="E149" s="36" t="s">
        <v>511</v>
      </c>
      <c r="F149" s="311" t="s">
        <v>4374</v>
      </c>
      <c r="G149" s="591"/>
      <c r="H149" s="33"/>
      <c r="I149" s="615"/>
      <c r="J149" s="35" t="s">
        <v>516</v>
      </c>
      <c r="K149" s="36" t="s">
        <v>511</v>
      </c>
      <c r="L149" s="516">
        <v>45269.708333333336</v>
      </c>
      <c r="M149" s="591"/>
      <c r="N149" s="591"/>
      <c r="O149" s="206"/>
      <c r="P149" s="205"/>
      <c r="Q149" s="616"/>
      <c r="R149" s="204"/>
      <c r="S149" s="617"/>
      <c r="T149" s="613"/>
      <c r="U149" s="613"/>
      <c r="V149" s="613"/>
      <c r="W149" s="613"/>
      <c r="X149" s="613"/>
      <c r="Y149" s="613"/>
      <c r="Z149" s="613"/>
      <c r="AA149" s="613"/>
      <c r="AB149" s="616"/>
      <c r="AC149" s="616"/>
      <c r="AD149" s="616"/>
      <c r="AE149" s="616"/>
      <c r="AF149" s="616"/>
      <c r="AG149" s="613"/>
      <c r="AH149" s="613"/>
      <c r="AI149" s="613"/>
      <c r="AJ149" s="613"/>
      <c r="AK149" s="613"/>
      <c r="AL149" s="613"/>
      <c r="AM149" s="613"/>
      <c r="AN149" s="613"/>
      <c r="AO149" s="613"/>
      <c r="AP149" s="613"/>
      <c r="AQ149" s="613"/>
      <c r="AR149" s="613"/>
      <c r="AS149" s="613"/>
      <c r="AT149" s="613"/>
      <c r="AU149" s="613"/>
      <c r="AV149" s="613"/>
      <c r="AW149" s="613"/>
      <c r="AX149" s="613"/>
      <c r="AY149" s="613"/>
      <c r="AZ149" s="613"/>
      <c r="BA149" s="613"/>
      <c r="BB149" s="613"/>
      <c r="BC149" s="613"/>
      <c r="BD149" s="613"/>
      <c r="BE149" s="613"/>
    </row>
    <row r="150" spans="2:57">
      <c r="B150" s="35" t="s">
        <v>517</v>
      </c>
      <c r="C150" s="35"/>
      <c r="D150" s="591"/>
      <c r="E150" s="36" t="s">
        <v>511</v>
      </c>
      <c r="F150" s="516">
        <v>45268.25</v>
      </c>
      <c r="G150" s="591"/>
      <c r="H150" s="33"/>
      <c r="I150" s="615"/>
      <c r="J150" s="35" t="s">
        <v>518</v>
      </c>
      <c r="K150" s="36" t="s">
        <v>511</v>
      </c>
      <c r="L150" s="692">
        <v>15000</v>
      </c>
      <c r="M150" s="619" t="s">
        <v>519</v>
      </c>
      <c r="N150" s="619"/>
      <c r="O150" s="206"/>
      <c r="P150" s="205"/>
      <c r="Q150" s="616"/>
      <c r="R150" s="204"/>
      <c r="S150" s="617"/>
      <c r="T150" s="613"/>
      <c r="U150" s="613"/>
      <c r="V150" s="613"/>
      <c r="W150" s="613"/>
      <c r="X150" s="613"/>
      <c r="Y150" s="613"/>
      <c r="Z150" s="613"/>
      <c r="AA150" s="613"/>
      <c r="AB150" s="616"/>
      <c r="AC150" s="616"/>
      <c r="AD150" s="616"/>
      <c r="AE150" s="616"/>
      <c r="AF150" s="616"/>
      <c r="AG150" s="613"/>
      <c r="AH150" s="613"/>
      <c r="AI150" s="613"/>
      <c r="AJ150" s="613"/>
      <c r="AK150" s="613"/>
      <c r="AL150" s="613"/>
      <c r="AM150" s="613"/>
      <c r="AN150" s="613"/>
      <c r="AO150" s="613"/>
      <c r="AP150" s="613"/>
      <c r="AQ150" s="613"/>
      <c r="AR150" s="613"/>
      <c r="AS150" s="613"/>
      <c r="AT150" s="613"/>
      <c r="AU150" s="613"/>
      <c r="AV150" s="613"/>
      <c r="AW150" s="613"/>
      <c r="AX150" s="613"/>
      <c r="AY150" s="613"/>
      <c r="AZ150" s="613"/>
      <c r="BA150" s="613"/>
      <c r="BB150" s="613"/>
      <c r="BC150" s="613"/>
      <c r="BD150" s="613"/>
      <c r="BE150" s="613"/>
    </row>
    <row r="151" spans="2:57">
      <c r="B151" s="35" t="s">
        <v>520</v>
      </c>
      <c r="C151" s="35"/>
      <c r="D151" s="591"/>
      <c r="E151" s="36" t="s">
        <v>511</v>
      </c>
      <c r="F151" s="37" t="s">
        <v>16</v>
      </c>
      <c r="G151" s="591"/>
      <c r="H151" s="33"/>
      <c r="I151" s="615"/>
      <c r="J151" s="35" t="s">
        <v>521</v>
      </c>
      <c r="K151" s="36" t="s">
        <v>511</v>
      </c>
      <c r="L151" s="620" t="s">
        <v>3176</v>
      </c>
      <c r="M151" s="591"/>
      <c r="N151" s="591"/>
      <c r="O151" s="206"/>
      <c r="P151" s="616"/>
      <c r="Q151" s="616"/>
      <c r="R151" s="204"/>
      <c r="S151" s="617"/>
      <c r="T151" s="613"/>
      <c r="U151" s="613"/>
      <c r="V151" s="613"/>
      <c r="W151" s="613"/>
      <c r="X151" s="613"/>
      <c r="Y151" s="613"/>
      <c r="Z151" s="613"/>
      <c r="AA151" s="613"/>
      <c r="AB151" s="616"/>
      <c r="AC151" s="616"/>
      <c r="AD151" s="616"/>
      <c r="AE151" s="616"/>
      <c r="AF151" s="616"/>
      <c r="AG151" s="613"/>
      <c r="AH151" s="613"/>
      <c r="AI151" s="613"/>
      <c r="AJ151" s="613"/>
      <c r="AK151" s="613"/>
      <c r="AL151" s="613"/>
      <c r="AM151" s="613"/>
      <c r="AN151" s="613"/>
      <c r="AO151" s="613"/>
      <c r="AP151" s="613"/>
      <c r="AQ151" s="613"/>
      <c r="AR151" s="613"/>
      <c r="AS151" s="613"/>
      <c r="AT151" s="613"/>
      <c r="AU151" s="613"/>
      <c r="AV151" s="613"/>
      <c r="AW151" s="613"/>
      <c r="AX151" s="613"/>
      <c r="AY151" s="613"/>
      <c r="AZ151" s="613"/>
      <c r="BA151" s="613"/>
      <c r="BB151" s="613"/>
      <c r="BC151" s="613"/>
      <c r="BD151" s="613"/>
      <c r="BE151" s="613"/>
    </row>
    <row r="152" spans="2:57">
      <c r="B152" s="35" t="s">
        <v>523</v>
      </c>
      <c r="C152" s="35"/>
      <c r="D152" s="591"/>
      <c r="E152" s="36" t="s">
        <v>511</v>
      </c>
      <c r="F152" s="37" t="s">
        <v>45</v>
      </c>
      <c r="G152" s="591"/>
      <c r="H152" s="33"/>
      <c r="I152" s="615"/>
      <c r="J152" s="35" t="s">
        <v>524</v>
      </c>
      <c r="K152" s="36" t="s">
        <v>511</v>
      </c>
      <c r="L152" s="621" t="s">
        <v>11</v>
      </c>
      <c r="M152" s="611"/>
      <c r="N152" s="611"/>
      <c r="O152" s="206"/>
      <c r="P152" s="205"/>
      <c r="Q152" s="616"/>
      <c r="R152" s="204"/>
      <c r="S152" s="617"/>
      <c r="T152" s="613"/>
      <c r="U152" s="613"/>
      <c r="V152" s="613"/>
      <c r="W152" s="613"/>
      <c r="X152" s="613"/>
      <c r="Y152" s="613"/>
      <c r="Z152" s="613"/>
      <c r="AA152" s="613"/>
      <c r="AB152" s="616"/>
      <c r="AC152" s="616"/>
      <c r="AD152" s="616"/>
      <c r="AE152" s="616"/>
      <c r="AF152" s="616"/>
      <c r="AG152" s="613"/>
      <c r="AH152" s="613"/>
      <c r="AI152" s="613"/>
      <c r="AJ152" s="613"/>
      <c r="AK152" s="613"/>
      <c r="AL152" s="613"/>
      <c r="AM152" s="613"/>
      <c r="AN152" s="613"/>
      <c r="AO152" s="613"/>
      <c r="AP152" s="613"/>
      <c r="AQ152" s="613"/>
      <c r="AR152" s="613"/>
      <c r="AS152" s="613"/>
      <c r="AT152" s="613"/>
      <c r="AU152" s="613"/>
      <c r="AV152" s="613"/>
      <c r="AW152" s="613"/>
      <c r="AX152" s="613"/>
      <c r="AY152" s="613"/>
      <c r="AZ152" s="613"/>
      <c r="BA152" s="613"/>
      <c r="BB152" s="613"/>
      <c r="BC152" s="613"/>
      <c r="BD152" s="613"/>
      <c r="BE152" s="613"/>
    </row>
    <row r="153" spans="2:57">
      <c r="B153" s="35" t="s">
        <v>2</v>
      </c>
      <c r="C153" s="35"/>
      <c r="D153" s="591"/>
      <c r="E153" s="36" t="s">
        <v>511</v>
      </c>
      <c r="F153" s="37" t="s">
        <v>31</v>
      </c>
      <c r="G153" s="591"/>
      <c r="H153" s="33"/>
      <c r="I153" s="622"/>
      <c r="J153" s="35"/>
      <c r="K153" s="36"/>
      <c r="L153" s="211"/>
      <c r="M153" s="613"/>
      <c r="N153" s="613"/>
      <c r="O153" s="35"/>
      <c r="P153" s="611"/>
      <c r="Q153" s="611"/>
      <c r="R153" s="611"/>
      <c r="S153" s="615"/>
      <c r="T153" s="613"/>
      <c r="U153" s="613"/>
      <c r="V153" s="613"/>
      <c r="W153" s="613"/>
      <c r="X153" s="613"/>
      <c r="Y153" s="613"/>
      <c r="Z153" s="613"/>
      <c r="AA153" s="613"/>
      <c r="AB153" s="615"/>
      <c r="AC153" s="615"/>
      <c r="AD153" s="615"/>
      <c r="AE153" s="615"/>
      <c r="AF153" s="615"/>
      <c r="AG153" s="615"/>
      <c r="AH153" s="615"/>
      <c r="AI153" s="615"/>
      <c r="AJ153" s="615"/>
      <c r="AK153" s="615"/>
      <c r="AL153" s="615"/>
      <c r="AM153" s="615"/>
      <c r="AN153" s="615"/>
      <c r="AO153" s="613"/>
      <c r="AP153" s="613"/>
      <c r="AQ153" s="613"/>
      <c r="AR153" s="613"/>
      <c r="AS153" s="613"/>
      <c r="AT153" s="613"/>
      <c r="AU153" s="613"/>
      <c r="AV153" s="613"/>
      <c r="AW153" s="613"/>
      <c r="AX153" s="613"/>
      <c r="AY153" s="613"/>
      <c r="AZ153" s="613"/>
      <c r="BA153" s="613"/>
      <c r="BB153" s="613"/>
      <c r="BC153" s="613"/>
      <c r="BD153" s="613"/>
      <c r="BE153" s="613"/>
    </row>
    <row r="154" spans="2:57">
      <c r="B154" s="613"/>
      <c r="C154" s="613"/>
      <c r="D154" s="613"/>
      <c r="E154" s="613"/>
      <c r="F154" s="613"/>
      <c r="G154" s="613"/>
      <c r="H154" s="613"/>
      <c r="I154" s="622"/>
      <c r="J154" s="35"/>
      <c r="K154" s="35"/>
      <c r="L154" s="621"/>
      <c r="M154" s="611"/>
      <c r="N154" s="611"/>
      <c r="O154" s="35"/>
      <c r="P154" s="611"/>
      <c r="Q154" s="611"/>
      <c r="R154" s="611"/>
      <c r="S154" s="615"/>
      <c r="T154" s="1317" t="s">
        <v>87</v>
      </c>
      <c r="U154" s="1317"/>
      <c r="V154" s="1317"/>
      <c r="W154" s="1317"/>
      <c r="X154" s="1317"/>
      <c r="Y154" s="1317" t="s">
        <v>73</v>
      </c>
      <c r="Z154" s="1317"/>
      <c r="AA154" s="1317"/>
      <c r="AB154" s="1317" t="s">
        <v>74</v>
      </c>
      <c r="AC154" s="1317"/>
      <c r="AD154" s="623" t="s">
        <v>85</v>
      </c>
      <c r="AE154" s="854" t="s">
        <v>77</v>
      </c>
      <c r="AF154" s="1459" t="s">
        <v>525</v>
      </c>
      <c r="AG154" s="1459"/>
      <c r="AH154" s="1459"/>
      <c r="AI154" s="1459"/>
      <c r="AJ154" s="1459"/>
      <c r="AK154" s="1459"/>
      <c r="AL154" s="1459"/>
      <c r="AM154" s="1459"/>
      <c r="AN154" s="1459"/>
      <c r="AO154" s="1459"/>
      <c r="AP154" s="1459"/>
      <c r="AQ154" s="1459"/>
      <c r="AR154" s="1459"/>
      <c r="AS154" s="1459"/>
      <c r="AT154" s="1459"/>
      <c r="AU154" s="1459"/>
      <c r="AV154" s="1459"/>
      <c r="AW154" s="1459"/>
      <c r="AX154" s="1459"/>
      <c r="AY154" s="1459"/>
      <c r="AZ154" s="1459"/>
      <c r="BA154" s="1459"/>
      <c r="BB154" s="1459"/>
      <c r="BC154" s="1459"/>
      <c r="BD154" s="1459"/>
      <c r="BE154" s="613"/>
    </row>
    <row r="155" spans="2:57">
      <c r="B155" s="1318" t="s">
        <v>526</v>
      </c>
      <c r="C155" s="1319"/>
      <c r="D155" s="624" t="s">
        <v>527</v>
      </c>
      <c r="E155" s="624"/>
      <c r="F155" s="624" t="s">
        <v>528</v>
      </c>
      <c r="G155" s="624" t="s">
        <v>529</v>
      </c>
      <c r="H155" s="624" t="s">
        <v>530</v>
      </c>
      <c r="I155" s="624" t="s">
        <v>531</v>
      </c>
      <c r="J155" s="624" t="s">
        <v>532</v>
      </c>
      <c r="K155" s="624"/>
      <c r="L155" s="624" t="s">
        <v>130</v>
      </c>
      <c r="M155" s="624" t="s">
        <v>533</v>
      </c>
      <c r="N155" s="1040" t="str">
        <f>"On time - "&amp;COUNTIF(N156:N159,"On time")&amp;" from "&amp;ROWS(N156:N159)-COUNTIF(N156:N159," ")</f>
        <v>On time - 2 from 2</v>
      </c>
      <c r="O155" s="626"/>
      <c r="P155" s="627" t="s">
        <v>534</v>
      </c>
      <c r="Q155" s="627" t="s">
        <v>535</v>
      </c>
      <c r="R155" s="627" t="s">
        <v>536</v>
      </c>
      <c r="S155" s="591"/>
      <c r="T155" s="628" t="s">
        <v>537</v>
      </c>
      <c r="U155" s="628" t="s">
        <v>538</v>
      </c>
      <c r="V155" s="628" t="s">
        <v>539</v>
      </c>
      <c r="W155" s="628" t="s">
        <v>540</v>
      </c>
      <c r="X155" s="628" t="s">
        <v>541</v>
      </c>
      <c r="Y155" s="628" t="s">
        <v>167</v>
      </c>
      <c r="Z155" s="628" t="s">
        <v>168</v>
      </c>
      <c r="AA155" s="628" t="s">
        <v>169</v>
      </c>
      <c r="AB155" s="628" t="s">
        <v>235</v>
      </c>
      <c r="AC155" s="628" t="s">
        <v>240</v>
      </c>
      <c r="AD155" s="623" t="s">
        <v>85</v>
      </c>
      <c r="AE155" s="628" t="s">
        <v>139</v>
      </c>
      <c r="AF155" s="855" t="s">
        <v>72</v>
      </c>
      <c r="AG155" s="855" t="s">
        <v>88</v>
      </c>
      <c r="AH155" s="855" t="s">
        <v>75</v>
      </c>
      <c r="AI155" s="855" t="s">
        <v>543</v>
      </c>
      <c r="AJ155" s="855" t="s">
        <v>78</v>
      </c>
      <c r="AK155" s="855" t="s">
        <v>76</v>
      </c>
      <c r="AL155" s="855" t="s">
        <v>544</v>
      </c>
      <c r="AM155" s="855" t="s">
        <v>545</v>
      </c>
      <c r="AN155" s="855" t="s">
        <v>86</v>
      </c>
      <c r="AO155" s="855" t="s">
        <v>83</v>
      </c>
      <c r="AP155" s="855" t="s">
        <v>84</v>
      </c>
      <c r="AQ155" s="855" t="s">
        <v>546</v>
      </c>
      <c r="AR155" s="855" t="s">
        <v>81</v>
      </c>
      <c r="AS155" s="855" t="s">
        <v>80</v>
      </c>
      <c r="AT155" s="855" t="s">
        <v>82</v>
      </c>
      <c r="AU155" s="855" t="s">
        <v>181</v>
      </c>
      <c r="AV155" s="855" t="s">
        <v>183</v>
      </c>
      <c r="AW155" s="855" t="s">
        <v>547</v>
      </c>
      <c r="AX155" s="855" t="s">
        <v>182</v>
      </c>
      <c r="AY155" s="855" t="s">
        <v>172</v>
      </c>
      <c r="AZ155" s="855" t="s">
        <v>173</v>
      </c>
      <c r="BA155" s="855" t="s">
        <v>184</v>
      </c>
      <c r="BB155" s="855" t="s">
        <v>100</v>
      </c>
      <c r="BC155" s="855" t="s">
        <v>913</v>
      </c>
      <c r="BD155" s="855" t="s">
        <v>2747</v>
      </c>
      <c r="BE155" s="613"/>
    </row>
    <row r="156" spans="2:57">
      <c r="B156" s="1315" t="s">
        <v>548</v>
      </c>
      <c r="C156" s="1316"/>
      <c r="D156" s="501" t="s">
        <v>3681</v>
      </c>
      <c r="E156" s="501"/>
      <c r="F156" s="501" t="s">
        <v>301</v>
      </c>
      <c r="G156" s="501" t="s">
        <v>302</v>
      </c>
      <c r="H156" s="629">
        <v>9050.9519999999993</v>
      </c>
      <c r="I156" s="584" t="s">
        <v>1677</v>
      </c>
      <c r="J156" s="574">
        <v>45266.354166666664</v>
      </c>
      <c r="K156" s="504"/>
      <c r="L156" s="574" t="s">
        <v>192</v>
      </c>
      <c r="M156" s="574" t="s">
        <v>192</v>
      </c>
      <c r="N156" s="505" t="str">
        <f>IF(ISBLANK(J156)," ",IF(J156&lt;$F$150,"On time",(IF(DAY(J156-$F$150)&lt;1,"On time",(IF(J156&gt;$F$150,"DELAY ( "&amp;DAY(J156-$F$150)&amp;" day "&amp;HOUR(J156-$F$150)&amp;" hour "&amp;MINUTE(J156-$F$150)&amp;" minute )","xxx"))))))</f>
        <v>On time</v>
      </c>
      <c r="O156" s="597"/>
      <c r="P156" s="507" t="s">
        <v>551</v>
      </c>
      <c r="Q156" s="507" t="s">
        <v>551</v>
      </c>
      <c r="R156" s="507" t="s">
        <v>551</v>
      </c>
      <c r="S156" s="598"/>
      <c r="T156" s="599"/>
      <c r="U156" s="599"/>
      <c r="V156" s="599"/>
      <c r="W156" s="599"/>
      <c r="X156" s="599"/>
      <c r="Y156" s="599">
        <f>H156*0.8</f>
        <v>7240.7615999999998</v>
      </c>
      <c r="Z156" s="599">
        <f>H156*0.2</f>
        <v>1810.1904</v>
      </c>
      <c r="AA156" s="599"/>
      <c r="AB156" s="599"/>
      <c r="AC156" s="599"/>
      <c r="AD156" s="599"/>
      <c r="AE156" s="599"/>
      <c r="AF156" s="599"/>
      <c r="AG156" s="599"/>
      <c r="AH156" s="599"/>
      <c r="AI156" s="599"/>
      <c r="AJ156" s="599"/>
      <c r="AK156" s="599"/>
      <c r="AL156" s="599"/>
      <c r="AM156" s="599"/>
      <c r="AN156" s="599"/>
      <c r="AO156" s="599"/>
      <c r="AP156" s="599"/>
      <c r="AQ156" s="599"/>
      <c r="AR156" s="599"/>
      <c r="AS156" s="599"/>
      <c r="AT156" s="599"/>
      <c r="AU156" s="599"/>
      <c r="AV156" s="599"/>
      <c r="AW156" s="599"/>
      <c r="AX156" s="598"/>
      <c r="AY156" s="599"/>
      <c r="AZ156" s="599"/>
      <c r="BA156" s="599"/>
      <c r="BB156" s="599"/>
      <c r="BC156" s="599"/>
      <c r="BD156" s="599"/>
      <c r="BE156" s="598"/>
    </row>
    <row r="157" spans="2:57">
      <c r="B157" s="1315" t="s">
        <v>548</v>
      </c>
      <c r="C157" s="1316"/>
      <c r="D157" s="501" t="s">
        <v>3682</v>
      </c>
      <c r="E157" s="501"/>
      <c r="F157" s="501" t="s">
        <v>2295</v>
      </c>
      <c r="G157" s="501" t="s">
        <v>2296</v>
      </c>
      <c r="H157" s="629">
        <f>10260.444-4311.396</f>
        <v>5949.0479999999998</v>
      </c>
      <c r="I157" s="584" t="s">
        <v>1677</v>
      </c>
      <c r="J157" s="574">
        <v>45267.75</v>
      </c>
      <c r="K157" s="574"/>
      <c r="L157" s="574" t="s">
        <v>192</v>
      </c>
      <c r="M157" s="574" t="s">
        <v>192</v>
      </c>
      <c r="N157" s="505" t="str">
        <f t="shared" ref="N157:N159" si="12">IF(ISBLANK(J157)," ",IF(J157&lt;$F$150,"On time",(IF(DAY(J157-$F$150)&lt;1,"On time",(IF(J157&gt;$F$150,"DELAY ( "&amp;DAY(J157-$F$150)&amp;" day "&amp;HOUR(J157-$F$150)&amp;" hour "&amp;MINUTE(J157-$F$150)&amp;" minute )","xxx"))))))</f>
        <v>On time</v>
      </c>
      <c r="O157" s="597"/>
      <c r="P157" s="507" t="s">
        <v>551</v>
      </c>
      <c r="Q157" s="507" t="s">
        <v>551</v>
      </c>
      <c r="R157" s="507" t="s">
        <v>551</v>
      </c>
      <c r="S157" s="598"/>
      <c r="T157" s="599"/>
      <c r="U157" s="599"/>
      <c r="V157" s="599"/>
      <c r="W157" s="599"/>
      <c r="X157" s="599"/>
      <c r="Y157" s="599">
        <f>H157*0.8-(H161*0.8)</f>
        <v>1670.0648000000001</v>
      </c>
      <c r="Z157" s="599">
        <f>H157*0.2-(H161*0.2)</f>
        <v>417.51620000000003</v>
      </c>
      <c r="AA157" s="599"/>
      <c r="AB157" s="599"/>
      <c r="AC157" s="599"/>
      <c r="AD157" s="599"/>
      <c r="AE157" s="599"/>
      <c r="AF157" s="599"/>
      <c r="AG157" s="599"/>
      <c r="AH157" s="599"/>
      <c r="AI157" s="599"/>
      <c r="AJ157" s="599"/>
      <c r="AK157" s="599"/>
      <c r="AL157" s="599"/>
      <c r="AM157" s="599"/>
      <c r="AN157" s="599"/>
      <c r="AO157" s="599"/>
      <c r="AP157" s="599"/>
      <c r="AQ157" s="599"/>
      <c r="AR157" s="599"/>
      <c r="AS157" s="599"/>
      <c r="AT157" s="599"/>
      <c r="AU157" s="599"/>
      <c r="AV157" s="599"/>
      <c r="AW157" s="599"/>
      <c r="AX157" s="599"/>
      <c r="AY157" s="599"/>
      <c r="AZ157" s="599"/>
      <c r="BA157" s="599"/>
      <c r="BB157" s="599"/>
      <c r="BC157" s="599"/>
      <c r="BD157" s="599"/>
      <c r="BE157" s="598"/>
    </row>
    <row r="158" spans="2:57">
      <c r="B158" s="1258" t="s">
        <v>556</v>
      </c>
      <c r="C158" s="1259"/>
      <c r="D158" s="1259"/>
      <c r="E158" s="1259"/>
      <c r="F158" s="1259"/>
      <c r="G158" s="1260"/>
      <c r="H158" s="863">
        <f>SUM(H156:H157)</f>
        <v>15000</v>
      </c>
      <c r="I158" s="1458"/>
      <c r="J158" s="1458"/>
      <c r="K158" s="1458"/>
      <c r="L158" s="1458"/>
      <c r="M158" s="1458"/>
      <c r="N158" s="505" t="str">
        <f t="shared" si="12"/>
        <v xml:space="preserve"> </v>
      </c>
      <c r="O158" s="212"/>
      <c r="P158" s="590"/>
      <c r="Q158" s="590"/>
      <c r="R158" s="590"/>
      <c r="S158" s="633"/>
      <c r="T158" s="1307"/>
      <c r="U158" s="1308"/>
      <c r="V158" s="1308"/>
      <c r="W158" s="1308"/>
      <c r="X158" s="1308"/>
      <c r="Y158" s="1308"/>
      <c r="Z158" s="1308"/>
      <c r="AA158" s="1308"/>
      <c r="AB158" s="1308"/>
      <c r="AC158" s="1308"/>
      <c r="AD158" s="1308"/>
      <c r="AE158" s="1308"/>
      <c r="AF158" s="1308"/>
      <c r="AG158" s="1308"/>
      <c r="AH158" s="1308"/>
      <c r="AI158" s="1308"/>
      <c r="AJ158" s="1308"/>
      <c r="AK158" s="1308"/>
      <c r="AL158" s="1308"/>
      <c r="AM158" s="1308"/>
      <c r="AN158" s="1308"/>
      <c r="AO158" s="1308"/>
      <c r="AP158" s="1308"/>
      <c r="AQ158" s="1308"/>
      <c r="AR158" s="1308"/>
      <c r="AS158" s="1308"/>
      <c r="AT158" s="1308"/>
      <c r="AU158" s="1308"/>
      <c r="AV158" s="1308"/>
      <c r="AW158" s="1308"/>
      <c r="AX158" s="1308"/>
      <c r="AY158" s="1308"/>
      <c r="AZ158" s="1308"/>
      <c r="BA158" s="1308"/>
      <c r="BB158" s="1308"/>
      <c r="BC158" s="1308"/>
      <c r="BD158" s="1308"/>
      <c r="BE158" s="39"/>
    </row>
    <row r="159" spans="2:57">
      <c r="B159" s="1415" t="s">
        <v>557</v>
      </c>
      <c r="C159" s="1416"/>
      <c r="D159" s="1416"/>
      <c r="E159" s="1416"/>
      <c r="F159" s="1416"/>
      <c r="G159" s="1417"/>
      <c r="H159" s="845">
        <v>15000</v>
      </c>
      <c r="I159" s="1473"/>
      <c r="J159" s="1473"/>
      <c r="K159" s="1473"/>
      <c r="L159" s="1473"/>
      <c r="M159" s="1473"/>
      <c r="N159" s="505" t="str">
        <f t="shared" si="12"/>
        <v xml:space="preserve"> </v>
      </c>
      <c r="O159" s="598"/>
      <c r="P159" s="507"/>
      <c r="Q159" s="507"/>
      <c r="R159" s="507"/>
      <c r="S159" s="711"/>
      <c r="T159" s="599">
        <f t="shared" ref="T159:BD159" si="13">SUM(T156:T157)</f>
        <v>0</v>
      </c>
      <c r="U159" s="599">
        <f t="shared" si="13"/>
        <v>0</v>
      </c>
      <c r="V159" s="599">
        <f t="shared" si="13"/>
        <v>0</v>
      </c>
      <c r="W159" s="599">
        <f t="shared" si="13"/>
        <v>0</v>
      </c>
      <c r="X159" s="599">
        <f t="shared" si="13"/>
        <v>0</v>
      </c>
      <c r="Y159" s="599">
        <f t="shared" si="13"/>
        <v>8910.8263999999999</v>
      </c>
      <c r="Z159" s="599">
        <f t="shared" si="13"/>
        <v>2227.7066</v>
      </c>
      <c r="AA159" s="599">
        <f t="shared" si="13"/>
        <v>0</v>
      </c>
      <c r="AB159" s="599">
        <f t="shared" si="13"/>
        <v>0</v>
      </c>
      <c r="AC159" s="599">
        <f t="shared" si="13"/>
        <v>0</v>
      </c>
      <c r="AD159" s="599">
        <f t="shared" si="13"/>
        <v>0</v>
      </c>
      <c r="AE159" s="599">
        <f t="shared" si="13"/>
        <v>0</v>
      </c>
      <c r="AF159" s="599">
        <f t="shared" si="13"/>
        <v>0</v>
      </c>
      <c r="AG159" s="599">
        <f t="shared" si="13"/>
        <v>0</v>
      </c>
      <c r="AH159" s="599">
        <f t="shared" si="13"/>
        <v>0</v>
      </c>
      <c r="AI159" s="599">
        <f t="shared" si="13"/>
        <v>0</v>
      </c>
      <c r="AJ159" s="599">
        <f t="shared" si="13"/>
        <v>0</v>
      </c>
      <c r="AK159" s="599">
        <f t="shared" si="13"/>
        <v>0</v>
      </c>
      <c r="AL159" s="599">
        <f t="shared" si="13"/>
        <v>0</v>
      </c>
      <c r="AM159" s="599">
        <f t="shared" si="13"/>
        <v>0</v>
      </c>
      <c r="AN159" s="599">
        <f t="shared" si="13"/>
        <v>0</v>
      </c>
      <c r="AO159" s="599">
        <f t="shared" si="13"/>
        <v>0</v>
      </c>
      <c r="AP159" s="599">
        <f t="shared" si="13"/>
        <v>0</v>
      </c>
      <c r="AQ159" s="599">
        <f t="shared" si="13"/>
        <v>0</v>
      </c>
      <c r="AR159" s="599">
        <f t="shared" si="13"/>
        <v>0</v>
      </c>
      <c r="AS159" s="599">
        <f t="shared" si="13"/>
        <v>0</v>
      </c>
      <c r="AT159" s="599">
        <f t="shared" si="13"/>
        <v>0</v>
      </c>
      <c r="AU159" s="599">
        <f t="shared" si="13"/>
        <v>0</v>
      </c>
      <c r="AV159" s="599">
        <f t="shared" si="13"/>
        <v>0</v>
      </c>
      <c r="AW159" s="599">
        <f t="shared" si="13"/>
        <v>0</v>
      </c>
      <c r="AX159" s="599">
        <f t="shared" si="13"/>
        <v>0</v>
      </c>
      <c r="AY159" s="599">
        <f t="shared" si="13"/>
        <v>0</v>
      </c>
      <c r="AZ159" s="599">
        <f t="shared" si="13"/>
        <v>0</v>
      </c>
      <c r="BA159" s="599">
        <f t="shared" si="13"/>
        <v>0</v>
      </c>
      <c r="BB159" s="599">
        <f t="shared" si="13"/>
        <v>0</v>
      </c>
      <c r="BC159" s="599">
        <f t="shared" si="13"/>
        <v>0</v>
      </c>
      <c r="BD159" s="599">
        <f t="shared" si="13"/>
        <v>0</v>
      </c>
      <c r="BE159" s="599">
        <f>SUM(T159:BD159)</f>
        <v>11138.532999999999</v>
      </c>
    </row>
    <row r="160" spans="2:57">
      <c r="B160" s="1415" t="s">
        <v>558</v>
      </c>
      <c r="C160" s="1416"/>
      <c r="D160" s="1416"/>
      <c r="E160" s="1416"/>
      <c r="F160" s="1416"/>
      <c r="G160" s="1417"/>
      <c r="H160" s="712">
        <f>H159-L150</f>
        <v>0</v>
      </c>
      <c r="I160" s="716"/>
      <c r="J160" s="717"/>
      <c r="K160" s="717"/>
      <c r="L160" s="563"/>
      <c r="M160" s="598"/>
      <c r="N160" s="598"/>
      <c r="O160" s="598"/>
      <c r="P160" s="598"/>
      <c r="Q160" s="715"/>
      <c r="R160" s="715"/>
      <c r="S160" s="598"/>
      <c r="T160" s="688"/>
      <c r="U160" s="688"/>
      <c r="V160" s="688"/>
      <c r="W160" s="688"/>
      <c r="X160" s="688"/>
      <c r="Y160" s="688"/>
      <c r="Z160" s="688"/>
      <c r="AA160" s="688"/>
      <c r="AB160" s="688"/>
      <c r="AC160" s="598"/>
      <c r="AD160" s="598"/>
      <c r="AE160" s="598"/>
      <c r="AF160" s="598"/>
      <c r="AG160" s="598"/>
      <c r="AH160" s="598"/>
      <c r="AI160" s="598"/>
      <c r="AJ160" s="598"/>
      <c r="AK160" s="598"/>
      <c r="AL160" s="598"/>
      <c r="AM160" s="598"/>
      <c r="AN160" s="598"/>
      <c r="AO160" s="598"/>
      <c r="AP160" s="598"/>
      <c r="AQ160" s="598"/>
      <c r="AR160" s="598"/>
    </row>
    <row r="161" spans="2:57">
      <c r="B161" s="1415" t="s">
        <v>559</v>
      </c>
      <c r="C161" s="1416"/>
      <c r="D161" s="1416"/>
      <c r="E161" s="1416"/>
      <c r="F161" s="1416"/>
      <c r="G161" s="1417"/>
      <c r="H161" s="747">
        <v>3861.4670000000001</v>
      </c>
      <c r="I161" s="716"/>
      <c r="J161" s="717"/>
      <c r="K161" s="717"/>
      <c r="L161" s="563"/>
      <c r="M161" s="598"/>
      <c r="N161" s="598"/>
      <c r="O161" s="598"/>
      <c r="P161" s="598"/>
      <c r="Q161" s="598"/>
      <c r="R161" s="598"/>
      <c r="S161" s="598"/>
      <c r="T161" s="688"/>
      <c r="U161" s="688"/>
      <c r="V161" s="688"/>
      <c r="W161" s="688"/>
      <c r="X161" s="688"/>
      <c r="Y161" s="688"/>
      <c r="Z161" s="688"/>
      <c r="AA161" s="688"/>
      <c r="AB161" s="688"/>
      <c r="AC161" s="598"/>
      <c r="AD161" s="598"/>
      <c r="AE161" s="598"/>
      <c r="AF161" s="598"/>
      <c r="AG161" s="598"/>
      <c r="AH161" s="598"/>
      <c r="AI161" s="598"/>
      <c r="AJ161" s="598"/>
      <c r="AK161" s="598"/>
      <c r="AL161" s="598"/>
      <c r="AM161" s="598"/>
      <c r="AN161" s="598"/>
      <c r="AO161" s="598"/>
      <c r="AP161" s="598"/>
      <c r="AQ161" s="598"/>
      <c r="AR161" s="598"/>
    </row>
    <row r="162" spans="2:57" s="39" customFormat="1" ht="12.75" customHeight="1">
      <c r="B162" s="1415" t="s">
        <v>560</v>
      </c>
      <c r="C162" s="1416"/>
      <c r="D162" s="1416"/>
      <c r="E162" s="1416"/>
      <c r="F162" s="1416"/>
      <c r="G162" s="1417"/>
      <c r="H162" s="741">
        <f>H161-4311.396</f>
        <v>-449.92899999999963</v>
      </c>
      <c r="I162" s="641"/>
      <c r="J162" s="642"/>
      <c r="K162" s="642"/>
      <c r="L162" s="499"/>
      <c r="M162" s="613"/>
      <c r="N162" s="613"/>
      <c r="O162" s="613"/>
      <c r="P162" s="613"/>
      <c r="Q162" s="613"/>
      <c r="R162" s="613"/>
      <c r="S162" s="616"/>
      <c r="T162" s="616"/>
      <c r="U162" s="616"/>
      <c r="V162" s="616"/>
      <c r="W162" s="616"/>
      <c r="X162" s="616"/>
      <c r="Y162" s="616"/>
      <c r="Z162" s="616"/>
      <c r="AA162" s="616"/>
      <c r="AB162" s="613"/>
      <c r="AC162" s="613"/>
      <c r="AD162" s="613"/>
      <c r="AE162" s="613"/>
      <c r="AF162" s="613"/>
      <c r="AG162" s="613"/>
      <c r="AH162" s="613"/>
      <c r="AI162" s="613"/>
      <c r="AJ162" s="613"/>
      <c r="AK162" s="613"/>
      <c r="AL162" s="613"/>
      <c r="AM162" s="613"/>
      <c r="AN162" s="613"/>
      <c r="AO162" s="613"/>
      <c r="AP162" s="613"/>
      <c r="AQ162" s="613"/>
      <c r="AR162" s="496"/>
      <c r="AS162" s="496"/>
      <c r="AT162" s="496"/>
      <c r="AU162" s="496"/>
      <c r="AV162" s="496"/>
      <c r="AW162" s="496"/>
      <c r="AX162" s="496"/>
      <c r="AY162" s="496"/>
      <c r="AZ162" s="496"/>
      <c r="BA162" s="496"/>
    </row>
    <row r="163" spans="2:57">
      <c r="B163" s="613"/>
      <c r="C163" s="613"/>
      <c r="D163" s="613"/>
      <c r="E163" s="613"/>
      <c r="F163" s="613"/>
      <c r="G163" s="613"/>
      <c r="H163" s="613"/>
      <c r="I163" s="643"/>
      <c r="J163" s="641"/>
      <c r="K163" s="641"/>
      <c r="L163" s="644"/>
      <c r="M163" s="613"/>
      <c r="N163" s="613"/>
      <c r="O163" s="641"/>
      <c r="P163" s="591"/>
      <c r="Q163" s="591"/>
      <c r="R163" s="591"/>
      <c r="S163" s="591"/>
      <c r="T163" s="645"/>
      <c r="U163" s="645"/>
      <c r="V163" s="645"/>
      <c r="W163" s="645"/>
      <c r="X163" s="645"/>
      <c r="Y163" s="645"/>
      <c r="Z163" s="645"/>
      <c r="AA163" s="645"/>
      <c r="AB163" s="645"/>
      <c r="AC163" s="591"/>
      <c r="AD163" s="591"/>
      <c r="AE163" s="591"/>
      <c r="AF163" s="591"/>
      <c r="AG163" s="591"/>
      <c r="AH163" s="591"/>
      <c r="AI163" s="591"/>
      <c r="AJ163" s="591"/>
      <c r="AK163" s="591"/>
      <c r="AL163" s="591"/>
      <c r="AM163" s="591"/>
      <c r="AN163" s="591"/>
      <c r="AO163" s="591"/>
      <c r="AP163" s="591"/>
      <c r="AQ163" s="591"/>
      <c r="AR163" s="591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</row>
    <row r="164" spans="2:57">
      <c r="B164" s="619" t="s">
        <v>561</v>
      </c>
      <c r="C164" s="619"/>
      <c r="D164" s="591"/>
      <c r="E164" s="591"/>
      <c r="F164" s="591"/>
      <c r="G164" s="591"/>
      <c r="H164" s="591"/>
      <c r="I164" s="591"/>
      <c r="J164" s="646"/>
      <c r="K164" s="646"/>
      <c r="L164" s="647"/>
      <c r="M164" s="591"/>
      <c r="N164" s="613"/>
      <c r="O164" s="646"/>
      <c r="P164" s="616"/>
      <c r="Q164" s="616"/>
      <c r="R164" s="616"/>
      <c r="S164" s="616"/>
      <c r="T164" s="616"/>
      <c r="U164" s="616"/>
      <c r="V164" s="616"/>
      <c r="W164" s="616"/>
      <c r="X164" s="616"/>
      <c r="Y164" s="616"/>
      <c r="Z164" s="616"/>
      <c r="AA164" s="616"/>
      <c r="AB164" s="613"/>
      <c r="AC164" s="613"/>
      <c r="AD164" s="613"/>
      <c r="AE164" s="613"/>
      <c r="AF164" s="613"/>
      <c r="AG164" s="613"/>
      <c r="AH164" s="613"/>
      <c r="AI164" s="613"/>
      <c r="AJ164" s="613"/>
      <c r="AK164" s="613"/>
      <c r="AL164" s="613"/>
      <c r="AM164" s="613"/>
      <c r="AN164" s="613"/>
      <c r="AO164" s="613"/>
      <c r="AP164" s="613"/>
      <c r="AQ164" s="613"/>
      <c r="AR164" s="613"/>
      <c r="AS164" s="613"/>
      <c r="AT164" s="613"/>
      <c r="AU164" s="613"/>
      <c r="AV164" s="39"/>
      <c r="AW164" s="39"/>
      <c r="AX164" s="39"/>
      <c r="AY164" s="39"/>
      <c r="AZ164" s="39"/>
      <c r="BA164" s="39"/>
      <c r="BB164" s="39"/>
      <c r="BC164" s="39"/>
      <c r="BD164" s="39"/>
      <c r="BE164" s="613"/>
    </row>
    <row r="165" spans="2:57">
      <c r="B165" s="422">
        <v>1</v>
      </c>
      <c r="C165" s="1249" t="s">
        <v>4373</v>
      </c>
      <c r="D165" s="1249"/>
      <c r="E165" s="1249"/>
      <c r="F165" s="1249"/>
      <c r="G165" s="1249"/>
      <c r="H165" s="1249"/>
      <c r="I165" s="1249"/>
      <c r="J165" s="1249"/>
      <c r="K165" s="1249"/>
      <c r="L165" s="644"/>
      <c r="M165" s="644"/>
      <c r="N165" s="613"/>
      <c r="O165" s="641"/>
      <c r="P165" s="616"/>
      <c r="Q165" s="616"/>
      <c r="R165" s="616"/>
      <c r="S165" s="616"/>
      <c r="T165" s="616"/>
      <c r="U165" s="616"/>
      <c r="V165" s="616"/>
      <c r="W165" s="616"/>
      <c r="X165" s="616"/>
      <c r="Y165" s="616"/>
      <c r="Z165" s="616"/>
      <c r="AA165" s="616"/>
      <c r="AB165" s="613"/>
      <c r="AC165" s="613"/>
      <c r="AD165" s="613"/>
      <c r="AE165" s="613"/>
      <c r="AF165" s="613"/>
      <c r="AG165" s="613"/>
      <c r="AH165" s="613"/>
      <c r="AI165" s="613"/>
      <c r="AJ165" s="613"/>
      <c r="AK165" s="613"/>
      <c r="AL165" s="613"/>
      <c r="AM165" s="613"/>
      <c r="AN165" s="613"/>
      <c r="AO165" s="613"/>
      <c r="AP165" s="613"/>
      <c r="AQ165" s="613"/>
      <c r="AR165" s="613"/>
      <c r="AS165" s="613"/>
      <c r="AT165" s="613"/>
      <c r="AU165" s="613"/>
      <c r="AV165" s="613"/>
      <c r="AW165" s="613"/>
      <c r="AX165" s="613"/>
      <c r="AY165" s="613"/>
      <c r="AZ165" s="613"/>
      <c r="BA165" s="613"/>
      <c r="BB165" s="613"/>
      <c r="BC165" s="613"/>
      <c r="BD165" s="613"/>
      <c r="BE165" s="613"/>
    </row>
    <row r="167" spans="2:57">
      <c r="B167" s="680" t="s">
        <v>126</v>
      </c>
      <c r="C167" s="680"/>
      <c r="D167" s="681"/>
      <c r="E167" s="682" t="s">
        <v>511</v>
      </c>
      <c r="F167" s="683" t="s">
        <v>3177</v>
      </c>
      <c r="G167" s="598"/>
      <c r="H167" s="684"/>
      <c r="I167" s="685"/>
      <c r="J167" s="686" t="s">
        <v>513</v>
      </c>
      <c r="K167" s="687" t="s">
        <v>511</v>
      </c>
      <c r="L167" s="516">
        <v>45268.583333333336</v>
      </c>
      <c r="M167" s="598"/>
      <c r="N167" s="598"/>
      <c r="O167" s="687"/>
      <c r="P167" s="684"/>
      <c r="Q167" s="688"/>
      <c r="R167" s="689"/>
      <c r="S167" s="690"/>
      <c r="T167" s="598"/>
      <c r="U167" s="598"/>
      <c r="V167" s="598"/>
      <c r="W167" s="598"/>
      <c r="X167" s="598"/>
      <c r="Y167" s="598"/>
      <c r="Z167" s="598"/>
      <c r="AA167" s="598"/>
      <c r="AB167" s="688"/>
      <c r="AC167" s="688"/>
      <c r="AD167" s="688"/>
      <c r="AE167" s="688"/>
      <c r="AF167" s="688"/>
      <c r="AG167" s="598"/>
      <c r="AH167" s="598"/>
      <c r="AI167" s="598"/>
      <c r="AJ167" s="598"/>
      <c r="AK167" s="598"/>
      <c r="AL167" s="598"/>
      <c r="AM167" s="598"/>
      <c r="AN167" s="598"/>
      <c r="AO167" s="598"/>
      <c r="AP167" s="598"/>
      <c r="AQ167" s="598"/>
      <c r="AR167" s="598"/>
      <c r="AS167" s="598"/>
      <c r="AT167" s="598"/>
      <c r="AU167" s="598"/>
      <c r="AV167" s="598"/>
      <c r="AW167" s="598"/>
      <c r="AX167" s="598"/>
      <c r="AY167" s="598"/>
      <c r="AZ167" s="598"/>
      <c r="BA167" s="598"/>
      <c r="BB167" s="598"/>
      <c r="BC167" s="598"/>
      <c r="BD167" s="598"/>
      <c r="BE167" s="598"/>
    </row>
    <row r="168" spans="2:57">
      <c r="B168" s="686" t="s">
        <v>514</v>
      </c>
      <c r="C168" s="686"/>
      <c r="D168" s="598"/>
      <c r="E168" s="687" t="s">
        <v>511</v>
      </c>
      <c r="F168" s="691" t="s">
        <v>4374</v>
      </c>
      <c r="G168" s="598"/>
      <c r="H168" s="684"/>
      <c r="I168" s="685"/>
      <c r="J168" s="686" t="s">
        <v>516</v>
      </c>
      <c r="K168" s="687" t="s">
        <v>511</v>
      </c>
      <c r="L168" s="516">
        <v>45271.458333333336</v>
      </c>
      <c r="M168" s="598"/>
      <c r="N168" s="598"/>
      <c r="O168" s="687"/>
      <c r="P168" s="684"/>
      <c r="Q168" s="688"/>
      <c r="R168" s="689"/>
      <c r="S168" s="690"/>
      <c r="T168" s="598"/>
      <c r="U168" s="598"/>
      <c r="V168" s="598"/>
      <c r="W168" s="598"/>
      <c r="X168" s="598"/>
      <c r="Y168" s="598"/>
      <c r="Z168" s="598"/>
      <c r="AA168" s="598"/>
      <c r="AB168" s="688"/>
      <c r="AC168" s="688"/>
      <c r="AD168" s="688"/>
      <c r="AE168" s="688"/>
      <c r="AF168" s="688"/>
      <c r="AG168" s="598"/>
      <c r="AH168" s="598"/>
      <c r="AI168" s="598"/>
      <c r="AJ168" s="598"/>
      <c r="AK168" s="598"/>
      <c r="AL168" s="598"/>
      <c r="AM168" s="598"/>
      <c r="AN168" s="598"/>
      <c r="AO168" s="598"/>
      <c r="AP168" s="598"/>
      <c r="AQ168" s="598"/>
      <c r="AR168" s="598"/>
      <c r="AS168" s="598"/>
      <c r="AT168" s="598"/>
      <c r="AU168" s="598"/>
      <c r="AV168" s="598"/>
      <c r="AW168" s="598"/>
      <c r="AX168" s="598"/>
      <c r="AY168" s="598"/>
      <c r="AZ168" s="598"/>
      <c r="BA168" s="598"/>
      <c r="BB168" s="598"/>
      <c r="BC168" s="598"/>
      <c r="BD168" s="598"/>
      <c r="BE168" s="598"/>
    </row>
    <row r="169" spans="2:57">
      <c r="B169" s="686" t="s">
        <v>517</v>
      </c>
      <c r="C169" s="686"/>
      <c r="D169" s="598"/>
      <c r="E169" s="687" t="s">
        <v>511</v>
      </c>
      <c r="F169" s="516">
        <v>45262.770833333336</v>
      </c>
      <c r="G169" s="598"/>
      <c r="H169" s="684"/>
      <c r="I169" s="685"/>
      <c r="J169" s="686" t="s">
        <v>518</v>
      </c>
      <c r="K169" s="687" t="s">
        <v>511</v>
      </c>
      <c r="L169" s="692">
        <v>75900</v>
      </c>
      <c r="M169" s="693" t="s">
        <v>519</v>
      </c>
      <c r="N169" s="693"/>
      <c r="O169" s="687"/>
      <c r="P169" s="684"/>
      <c r="Q169" s="688"/>
      <c r="R169" s="689"/>
      <c r="S169" s="690"/>
      <c r="T169" s="598"/>
      <c r="U169" s="598"/>
      <c r="V169" s="598"/>
      <c r="W169" s="598"/>
      <c r="X169" s="598"/>
      <c r="Y169" s="598"/>
      <c r="Z169" s="598"/>
      <c r="AA169" s="598"/>
      <c r="AB169" s="688"/>
      <c r="AC169" s="688"/>
      <c r="AD169" s="688"/>
      <c r="AE169" s="688"/>
      <c r="AF169" s="688"/>
      <c r="AG169" s="598"/>
      <c r="AH169" s="598"/>
      <c r="AI169" s="598"/>
      <c r="AJ169" s="598"/>
      <c r="AK169" s="598"/>
      <c r="AL169" s="598"/>
      <c r="AM169" s="598"/>
      <c r="AN169" s="598"/>
      <c r="AO169" s="598"/>
      <c r="AP169" s="598"/>
      <c r="AQ169" s="598"/>
      <c r="AR169" s="598"/>
      <c r="AS169" s="598"/>
      <c r="AT169" s="598"/>
      <c r="AU169" s="598"/>
      <c r="AV169" s="598"/>
      <c r="AW169" s="598"/>
      <c r="AX169" s="598"/>
      <c r="AY169" s="598"/>
      <c r="AZ169" s="598"/>
      <c r="BA169" s="598"/>
      <c r="BB169" s="598"/>
      <c r="BC169" s="598"/>
      <c r="BD169" s="598"/>
      <c r="BE169" s="598"/>
    </row>
    <row r="170" spans="2:57">
      <c r="B170" s="686" t="s">
        <v>520</v>
      </c>
      <c r="C170" s="686"/>
      <c r="D170" s="598"/>
      <c r="E170" s="687" t="s">
        <v>511</v>
      </c>
      <c r="F170" s="516" t="s">
        <v>12</v>
      </c>
      <c r="G170" s="598"/>
      <c r="H170" s="684"/>
      <c r="I170" s="685"/>
      <c r="J170" s="686" t="s">
        <v>521</v>
      </c>
      <c r="K170" s="687" t="s">
        <v>511</v>
      </c>
      <c r="L170" s="839" t="s">
        <v>3178</v>
      </c>
      <c r="M170" s="598"/>
      <c r="N170" s="598"/>
      <c r="O170" s="687"/>
      <c r="P170" s="688"/>
      <c r="Q170" s="688"/>
      <c r="R170" s="689"/>
      <c r="S170" s="690"/>
      <c r="T170" s="598"/>
      <c r="U170" s="598"/>
      <c r="V170" s="598"/>
      <c r="W170" s="598"/>
      <c r="X170" s="598"/>
      <c r="Y170" s="598"/>
      <c r="Z170" s="598"/>
      <c r="AA170" s="598"/>
      <c r="AB170" s="688"/>
      <c r="AC170" s="688"/>
      <c r="AD170" s="688"/>
      <c r="AE170" s="688"/>
      <c r="AF170" s="688"/>
      <c r="AG170" s="598"/>
      <c r="AH170" s="598"/>
      <c r="AI170" s="598"/>
      <c r="AJ170" s="598"/>
      <c r="AK170" s="598"/>
      <c r="AL170" s="598"/>
      <c r="AM170" s="598"/>
      <c r="AN170" s="598"/>
      <c r="AO170" s="598"/>
      <c r="AP170" s="598"/>
      <c r="AQ170" s="598"/>
      <c r="AR170" s="598"/>
      <c r="AS170" s="598"/>
      <c r="AT170" s="598"/>
      <c r="AU170" s="598"/>
      <c r="AV170" s="598"/>
      <c r="AW170" s="598"/>
      <c r="AX170" s="598"/>
      <c r="AY170" s="598"/>
      <c r="AZ170" s="598"/>
      <c r="BA170" s="598"/>
      <c r="BB170" s="598"/>
      <c r="BC170" s="598"/>
      <c r="BD170" s="598"/>
      <c r="BE170" s="598"/>
    </row>
    <row r="171" spans="2:57">
      <c r="B171" s="686" t="s">
        <v>523</v>
      </c>
      <c r="C171" s="686"/>
      <c r="D171" s="598"/>
      <c r="E171" s="687" t="s">
        <v>511</v>
      </c>
      <c r="F171" s="516" t="s">
        <v>37</v>
      </c>
      <c r="G171" s="598"/>
      <c r="H171" s="684"/>
      <c r="I171" s="685"/>
      <c r="J171" s="686" t="s">
        <v>524</v>
      </c>
      <c r="K171" s="687" t="s">
        <v>511</v>
      </c>
      <c r="L171" s="694" t="s">
        <v>15</v>
      </c>
      <c r="M171" s="695"/>
      <c r="N171" s="695"/>
      <c r="O171" s="687"/>
      <c r="P171" s="684"/>
      <c r="Q171" s="688"/>
      <c r="R171" s="689"/>
      <c r="S171" s="690"/>
      <c r="T171" s="598"/>
      <c r="U171" s="598"/>
      <c r="V171" s="598"/>
      <c r="W171" s="598"/>
      <c r="X171" s="598"/>
      <c r="Y171" s="598"/>
      <c r="Z171" s="598"/>
      <c r="AA171" s="598"/>
      <c r="AB171" s="688"/>
      <c r="AC171" s="688"/>
      <c r="AD171" s="688"/>
      <c r="AE171" s="688"/>
      <c r="AF171" s="688"/>
      <c r="AG171" s="598"/>
      <c r="AH171" s="598"/>
      <c r="AI171" s="598"/>
      <c r="AJ171" s="598"/>
      <c r="AK171" s="598"/>
      <c r="AL171" s="598"/>
      <c r="AM171" s="598"/>
      <c r="AN171" s="598"/>
      <c r="AO171" s="598"/>
      <c r="AP171" s="598"/>
      <c r="AQ171" s="598"/>
      <c r="AR171" s="598"/>
      <c r="AS171" s="598"/>
      <c r="AT171" s="598"/>
      <c r="AU171" s="598"/>
      <c r="AV171" s="598"/>
      <c r="AW171" s="598"/>
      <c r="AX171" s="598"/>
      <c r="AY171" s="598"/>
      <c r="AZ171" s="598"/>
      <c r="BA171" s="598"/>
      <c r="BB171" s="598"/>
      <c r="BC171" s="598"/>
      <c r="BD171" s="598"/>
      <c r="BE171" s="598"/>
    </row>
    <row r="172" spans="2:57">
      <c r="B172" s="686" t="s">
        <v>2</v>
      </c>
      <c r="C172" s="686"/>
      <c r="D172" s="598"/>
      <c r="E172" s="687" t="s">
        <v>511</v>
      </c>
      <c r="F172" s="516" t="s">
        <v>42</v>
      </c>
      <c r="G172" s="598"/>
      <c r="H172" s="684"/>
      <c r="I172" s="696"/>
      <c r="J172" s="686"/>
      <c r="K172" s="687"/>
      <c r="L172" s="516"/>
      <c r="M172" s="598"/>
      <c r="N172" s="598"/>
      <c r="O172" s="686"/>
      <c r="P172" s="695"/>
      <c r="Q172" s="695"/>
      <c r="R172" s="695"/>
      <c r="S172" s="685"/>
      <c r="T172" s="598"/>
      <c r="U172" s="598"/>
      <c r="V172" s="598"/>
      <c r="W172" s="598"/>
      <c r="X172" s="598"/>
      <c r="Y172" s="598"/>
      <c r="Z172" s="598"/>
      <c r="AA172" s="598"/>
      <c r="AB172" s="685"/>
      <c r="AC172" s="685"/>
      <c r="AD172" s="685"/>
      <c r="AE172" s="685"/>
      <c r="AF172" s="685"/>
      <c r="AG172" s="685"/>
      <c r="AH172" s="685"/>
      <c r="AI172" s="685"/>
      <c r="AJ172" s="685"/>
      <c r="AK172" s="685"/>
      <c r="AL172" s="685"/>
      <c r="AM172" s="685"/>
      <c r="AN172" s="685"/>
      <c r="AO172" s="598"/>
      <c r="AP172" s="598"/>
      <c r="AQ172" s="598"/>
      <c r="AR172" s="598"/>
      <c r="AS172" s="598"/>
      <c r="AT172" s="598"/>
      <c r="AU172" s="598"/>
      <c r="AV172" s="598"/>
      <c r="AW172" s="598"/>
      <c r="AX172" s="598"/>
      <c r="AY172" s="598"/>
      <c r="AZ172" s="598"/>
      <c r="BA172" s="598"/>
      <c r="BB172" s="598"/>
      <c r="BC172" s="598"/>
      <c r="BD172" s="598"/>
      <c r="BE172" s="598"/>
    </row>
    <row r="173" spans="2:57">
      <c r="B173" s="598"/>
      <c r="C173" s="598"/>
      <c r="D173" s="598"/>
      <c r="E173" s="598"/>
      <c r="F173" s="598"/>
      <c r="G173" s="598"/>
      <c r="H173" s="598"/>
      <c r="I173" s="696"/>
      <c r="J173" s="686"/>
      <c r="K173" s="686"/>
      <c r="L173" s="694"/>
      <c r="M173" s="695"/>
      <c r="N173" s="695"/>
      <c r="O173" s="686"/>
      <c r="P173" s="695"/>
      <c r="Q173" s="695"/>
      <c r="R173" s="695"/>
      <c r="S173" s="685"/>
      <c r="T173" s="1440" t="s">
        <v>87</v>
      </c>
      <c r="U173" s="1440"/>
      <c r="V173" s="1440"/>
      <c r="W173" s="1440"/>
      <c r="X173" s="1440"/>
      <c r="Y173" s="1440" t="s">
        <v>73</v>
      </c>
      <c r="Z173" s="1440"/>
      <c r="AA173" s="1440"/>
      <c r="AB173" s="1440" t="s">
        <v>74</v>
      </c>
      <c r="AC173" s="1440"/>
      <c r="AD173" s="697" t="s">
        <v>85</v>
      </c>
      <c r="AE173" s="840" t="s">
        <v>77</v>
      </c>
      <c r="AF173" s="1465" t="s">
        <v>525</v>
      </c>
      <c r="AG173" s="1465"/>
      <c r="AH173" s="1465"/>
      <c r="AI173" s="1465"/>
      <c r="AJ173" s="1465"/>
      <c r="AK173" s="1465"/>
      <c r="AL173" s="1465"/>
      <c r="AM173" s="1465"/>
      <c r="AN173" s="1465"/>
      <c r="AO173" s="1465"/>
      <c r="AP173" s="1465"/>
      <c r="AQ173" s="1465"/>
      <c r="AR173" s="1465"/>
      <c r="AS173" s="1465"/>
      <c r="AT173" s="1465"/>
      <c r="AU173" s="1465"/>
      <c r="AV173" s="1465"/>
      <c r="AW173" s="1465"/>
      <c r="AX173" s="1465"/>
      <c r="AY173" s="1465"/>
      <c r="AZ173" s="1465"/>
      <c r="BA173" s="1465"/>
      <c r="BB173" s="1465"/>
      <c r="BC173" s="1465"/>
      <c r="BD173" s="1465"/>
      <c r="BE173" s="598"/>
    </row>
    <row r="174" spans="2:57">
      <c r="B174" s="1441" t="s">
        <v>526</v>
      </c>
      <c r="C174" s="1442"/>
      <c r="D174" s="698" t="s">
        <v>527</v>
      </c>
      <c r="E174" s="698"/>
      <c r="F174" s="698" t="s">
        <v>528</v>
      </c>
      <c r="G174" s="698" t="s">
        <v>529</v>
      </c>
      <c r="H174" s="698" t="s">
        <v>530</v>
      </c>
      <c r="I174" s="698" t="s">
        <v>531</v>
      </c>
      <c r="J174" s="698" t="s">
        <v>532</v>
      </c>
      <c r="K174" s="698"/>
      <c r="L174" s="698" t="s">
        <v>130</v>
      </c>
      <c r="M174" s="698" t="s">
        <v>533</v>
      </c>
      <c r="N174" s="1040" t="str">
        <f>"On time - "&amp;COUNTIF(N175:N189,"On time")&amp;" from "&amp;ROWS(N175:N189)-COUNTIF(N175:N189," ")</f>
        <v>On time - 0 from 10</v>
      </c>
      <c r="O174" s="699"/>
      <c r="P174" s="700" t="s">
        <v>534</v>
      </c>
      <c r="Q174" s="700" t="s">
        <v>535</v>
      </c>
      <c r="R174" s="700" t="s">
        <v>536</v>
      </c>
      <c r="S174" s="598"/>
      <c r="T174" s="701" t="s">
        <v>537</v>
      </c>
      <c r="U174" s="701" t="s">
        <v>538</v>
      </c>
      <c r="V174" s="701" t="s">
        <v>539</v>
      </c>
      <c r="W174" s="701" t="s">
        <v>540</v>
      </c>
      <c r="X174" s="701" t="s">
        <v>541</v>
      </c>
      <c r="Y174" s="701" t="s">
        <v>167</v>
      </c>
      <c r="Z174" s="701" t="s">
        <v>168</v>
      </c>
      <c r="AA174" s="701" t="s">
        <v>169</v>
      </c>
      <c r="AB174" s="701" t="s">
        <v>235</v>
      </c>
      <c r="AC174" s="701" t="s">
        <v>240</v>
      </c>
      <c r="AD174" s="697" t="s">
        <v>85</v>
      </c>
      <c r="AE174" s="701" t="s">
        <v>139</v>
      </c>
      <c r="AF174" s="841" t="s">
        <v>72</v>
      </c>
      <c r="AG174" s="841" t="s">
        <v>88</v>
      </c>
      <c r="AH174" s="841" t="s">
        <v>75</v>
      </c>
      <c r="AI174" s="841" t="s">
        <v>543</v>
      </c>
      <c r="AJ174" s="841" t="s">
        <v>78</v>
      </c>
      <c r="AK174" s="841" t="s">
        <v>76</v>
      </c>
      <c r="AL174" s="841" t="s">
        <v>544</v>
      </c>
      <c r="AM174" s="841" t="s">
        <v>545</v>
      </c>
      <c r="AN174" s="841" t="s">
        <v>86</v>
      </c>
      <c r="AO174" s="841" t="s">
        <v>83</v>
      </c>
      <c r="AP174" s="841" t="s">
        <v>84</v>
      </c>
      <c r="AQ174" s="841" t="s">
        <v>546</v>
      </c>
      <c r="AR174" s="841" t="s">
        <v>81</v>
      </c>
      <c r="AS174" s="841" t="s">
        <v>80</v>
      </c>
      <c r="AT174" s="841" t="s">
        <v>82</v>
      </c>
      <c r="AU174" s="841" t="s">
        <v>181</v>
      </c>
      <c r="AV174" s="841" t="s">
        <v>183</v>
      </c>
      <c r="AW174" s="841" t="s">
        <v>547</v>
      </c>
      <c r="AX174" s="841" t="s">
        <v>182</v>
      </c>
      <c r="AY174" s="841" t="s">
        <v>172</v>
      </c>
      <c r="AZ174" s="841" t="s">
        <v>173</v>
      </c>
      <c r="BA174" s="841" t="s">
        <v>184</v>
      </c>
      <c r="BB174" s="841" t="s">
        <v>100</v>
      </c>
      <c r="BC174" s="841" t="s">
        <v>913</v>
      </c>
      <c r="BD174" s="841" t="s">
        <v>2747</v>
      </c>
      <c r="BE174" s="598"/>
    </row>
    <row r="175" spans="2:57">
      <c r="B175" s="1315" t="s">
        <v>548</v>
      </c>
      <c r="C175" s="1316"/>
      <c r="D175" s="501" t="s">
        <v>3754</v>
      </c>
      <c r="E175" s="501"/>
      <c r="F175" s="501" t="s">
        <v>208</v>
      </c>
      <c r="G175" s="501" t="s">
        <v>328</v>
      </c>
      <c r="H175" s="629">
        <v>7449.0749999999998</v>
      </c>
      <c r="I175" s="584" t="s">
        <v>3753</v>
      </c>
      <c r="J175" s="504">
        <v>45266.458333333328</v>
      </c>
      <c r="K175" s="574"/>
      <c r="L175" s="574" t="s">
        <v>192</v>
      </c>
      <c r="M175" s="574" t="s">
        <v>192</v>
      </c>
      <c r="N175" s="505" t="str">
        <f>IF(ISBLANK(J175)," ",IF(J175&lt;$F$169,"On time",(IF(DAY(J175-$F$169)&lt;1,"On time",(IF(J175&gt;$F$169,"DELAY ( "&amp;DAY(J175-$F$169)&amp;" day "&amp;HOUR(J175-$F$169)&amp;" hour "&amp;MINUTE(J175-$F$169)&amp;" minute )","xxx"))))))</f>
        <v>DELAY ( 3 day 16 hour 30 minute )</v>
      </c>
      <c r="O175" s="597"/>
      <c r="P175" s="507" t="s">
        <v>551</v>
      </c>
      <c r="Q175" s="507" t="s">
        <v>551</v>
      </c>
      <c r="R175" s="507" t="s">
        <v>551</v>
      </c>
      <c r="S175" s="598"/>
      <c r="T175" s="599"/>
      <c r="U175" s="599"/>
      <c r="V175" s="599"/>
      <c r="W175" s="599"/>
      <c r="X175" s="598"/>
      <c r="Y175" s="599"/>
      <c r="Z175" s="599"/>
      <c r="AA175" s="599"/>
      <c r="AB175" s="599">
        <f>H175*0.8</f>
        <v>5959.26</v>
      </c>
      <c r="AC175" s="599">
        <f>H175*0.2</f>
        <v>1489.8150000000001</v>
      </c>
      <c r="AD175" s="599"/>
      <c r="AE175" s="599"/>
      <c r="AF175" s="599"/>
      <c r="AG175" s="599"/>
      <c r="AH175" s="599"/>
      <c r="AI175" s="599"/>
      <c r="AJ175" s="599"/>
      <c r="AK175" s="599"/>
      <c r="AL175" s="599"/>
      <c r="AM175" s="599"/>
      <c r="AN175" s="599"/>
      <c r="AO175" s="599"/>
      <c r="AP175" s="599"/>
      <c r="AQ175" s="599"/>
      <c r="AR175" s="599"/>
      <c r="AS175" s="599"/>
      <c r="AT175" s="599"/>
      <c r="AU175" s="599"/>
      <c r="AV175" s="599"/>
      <c r="AW175" s="599"/>
      <c r="AX175" s="599"/>
      <c r="AY175" s="599"/>
      <c r="AZ175" s="599"/>
      <c r="BA175" s="599"/>
      <c r="BB175" s="599"/>
      <c r="BC175" s="599"/>
      <c r="BD175" s="599"/>
      <c r="BE175" s="598"/>
    </row>
    <row r="176" spans="2:57">
      <c r="B176" s="1315" t="s">
        <v>548</v>
      </c>
      <c r="C176" s="1316"/>
      <c r="D176" s="501" t="s">
        <v>3752</v>
      </c>
      <c r="E176" s="501"/>
      <c r="F176" s="501" t="s">
        <v>218</v>
      </c>
      <c r="G176" s="501" t="s">
        <v>350</v>
      </c>
      <c r="H176" s="629">
        <v>7542.2089999999998</v>
      </c>
      <c r="I176" s="584" t="s">
        <v>3753</v>
      </c>
      <c r="J176" s="504">
        <v>45266.565972222219</v>
      </c>
      <c r="K176" s="574"/>
      <c r="L176" s="574" t="s">
        <v>192</v>
      </c>
      <c r="M176" s="574" t="s">
        <v>192</v>
      </c>
      <c r="N176" s="505" t="str">
        <f t="shared" ref="N176:N189" si="14">IF(ISBLANK(J176)," ",IF(J176&lt;$F$169,"On time",(IF(DAY(J176-$F$169)&lt;1,"On time",(IF(J176&gt;$F$169,"DELAY ( "&amp;DAY(J176-$F$169)&amp;" day "&amp;HOUR(J176-$F$169)&amp;" hour "&amp;MINUTE(J176-$F$169)&amp;" minute )","xxx"))))))</f>
        <v>DELAY ( 3 day 19 hour 5 minute )</v>
      </c>
      <c r="O176" s="597"/>
      <c r="P176" s="507" t="s">
        <v>551</v>
      </c>
      <c r="Q176" s="507" t="s">
        <v>551</v>
      </c>
      <c r="R176" s="507" t="s">
        <v>551</v>
      </c>
      <c r="S176" s="598"/>
      <c r="T176" s="599"/>
      <c r="U176" s="599"/>
      <c r="V176" s="599"/>
      <c r="W176" s="599"/>
      <c r="X176" s="599"/>
      <c r="Y176" s="599"/>
      <c r="Z176" s="599"/>
      <c r="AA176" s="599"/>
      <c r="AB176" s="599">
        <f>H176*0.8</f>
        <v>6033.7672000000002</v>
      </c>
      <c r="AC176" s="599">
        <f>H176*0.2</f>
        <v>1508.4418000000001</v>
      </c>
      <c r="AD176" s="599"/>
      <c r="AE176" s="599"/>
      <c r="AF176" s="599"/>
      <c r="AG176" s="599"/>
      <c r="AH176" s="599"/>
      <c r="AI176" s="599"/>
      <c r="AJ176" s="599"/>
      <c r="AK176" s="599"/>
      <c r="AL176" s="599"/>
      <c r="AM176" s="599"/>
      <c r="AN176" s="599"/>
      <c r="AO176" s="599"/>
      <c r="AP176" s="599"/>
      <c r="AQ176" s="599"/>
      <c r="AR176" s="599"/>
      <c r="AS176" s="599"/>
      <c r="AT176" s="599"/>
      <c r="AU176" s="599"/>
      <c r="AV176" s="599"/>
      <c r="AW176" s="599"/>
      <c r="AX176" s="599"/>
      <c r="AY176" s="599"/>
      <c r="AZ176" s="599"/>
      <c r="BA176" s="599"/>
      <c r="BB176" s="599"/>
      <c r="BC176" s="599"/>
      <c r="BD176" s="599"/>
      <c r="BE176" s="598"/>
    </row>
    <row r="177" spans="2:57">
      <c r="B177" s="1315" t="s">
        <v>548</v>
      </c>
      <c r="C177" s="1316"/>
      <c r="D177" s="501" t="s">
        <v>3758</v>
      </c>
      <c r="E177" s="501"/>
      <c r="F177" s="501" t="s">
        <v>2277</v>
      </c>
      <c r="G177" s="501" t="s">
        <v>2278</v>
      </c>
      <c r="H177" s="629">
        <v>7575.8440000000001</v>
      </c>
      <c r="I177" s="584" t="s">
        <v>235</v>
      </c>
      <c r="J177" s="504">
        <v>45268.916666666664</v>
      </c>
      <c r="K177" s="504"/>
      <c r="L177" s="574" t="s">
        <v>192</v>
      </c>
      <c r="M177" s="574" t="s">
        <v>192</v>
      </c>
      <c r="N177" s="505" t="str">
        <f t="shared" si="14"/>
        <v>DELAY ( 6 day 3 hour 30 minute )</v>
      </c>
      <c r="O177" s="597"/>
      <c r="P177" s="507" t="s">
        <v>551</v>
      </c>
      <c r="Q177" s="507" t="s">
        <v>551</v>
      </c>
      <c r="R177" s="507" t="s">
        <v>551</v>
      </c>
      <c r="S177" s="598"/>
      <c r="T177" s="599"/>
      <c r="U177" s="599"/>
      <c r="V177" s="599"/>
      <c r="W177" s="599"/>
      <c r="X177" s="599"/>
      <c r="Y177" s="599"/>
      <c r="Z177" s="599"/>
      <c r="AA177" s="599"/>
      <c r="AB177" s="599">
        <f>H177</f>
        <v>7575.8440000000001</v>
      </c>
      <c r="AC177" s="599"/>
      <c r="AD177" s="599"/>
      <c r="AE177" s="599"/>
      <c r="AF177" s="599"/>
      <c r="AG177" s="599"/>
      <c r="AH177" s="599"/>
      <c r="AI177" s="599"/>
      <c r="AJ177" s="599"/>
      <c r="AK177" s="598"/>
      <c r="AL177" s="599"/>
      <c r="AM177" s="599"/>
      <c r="AN177" s="599"/>
      <c r="AO177" s="599"/>
      <c r="AP177" s="599"/>
      <c r="AQ177" s="599"/>
      <c r="AR177" s="599"/>
      <c r="AS177" s="599"/>
      <c r="AT177" s="599"/>
      <c r="AU177" s="599"/>
      <c r="AV177" s="599"/>
      <c r="AW177" s="599"/>
      <c r="AX177" s="598"/>
      <c r="AY177" s="599"/>
      <c r="AZ177" s="599"/>
      <c r="BA177" s="599"/>
      <c r="BB177" s="599"/>
      <c r="BC177" s="599"/>
      <c r="BD177" s="599"/>
      <c r="BE177" s="598"/>
    </row>
    <row r="178" spans="2:57">
      <c r="B178" s="1315" t="s">
        <v>548</v>
      </c>
      <c r="C178" s="1316"/>
      <c r="D178" s="501" t="s">
        <v>3760</v>
      </c>
      <c r="E178" s="501"/>
      <c r="F178" s="501" t="s">
        <v>1799</v>
      </c>
      <c r="G178" s="501" t="s">
        <v>2437</v>
      </c>
      <c r="H178" s="629">
        <v>7548.3890000000001</v>
      </c>
      <c r="I178" s="584" t="s">
        <v>235</v>
      </c>
      <c r="J178" s="504">
        <v>45269.739583333336</v>
      </c>
      <c r="K178" s="504"/>
      <c r="L178" s="574" t="s">
        <v>192</v>
      </c>
      <c r="M178" s="574" t="s">
        <v>192</v>
      </c>
      <c r="N178" s="505" t="str">
        <f t="shared" si="14"/>
        <v>DELAY ( 6 day 23 hour 15 minute )</v>
      </c>
      <c r="O178" s="597"/>
      <c r="P178" s="507" t="s">
        <v>551</v>
      </c>
      <c r="Q178" s="507" t="s">
        <v>551</v>
      </c>
      <c r="R178" s="507" t="s">
        <v>551</v>
      </c>
      <c r="S178" s="598"/>
      <c r="T178" s="599"/>
      <c r="U178" s="599"/>
      <c r="V178" s="599"/>
      <c r="W178" s="599"/>
      <c r="X178" s="599"/>
      <c r="Y178" s="599"/>
      <c r="Z178" s="599"/>
      <c r="AA178" s="599"/>
      <c r="AB178" s="599">
        <f>H178</f>
        <v>7548.3890000000001</v>
      </c>
      <c r="AC178" s="599"/>
      <c r="AD178" s="599"/>
      <c r="AE178" s="599"/>
      <c r="AF178" s="599"/>
      <c r="AG178" s="599"/>
      <c r="AH178" s="599"/>
      <c r="AI178" s="599"/>
      <c r="AJ178" s="599"/>
      <c r="AK178" s="598"/>
      <c r="AL178" s="599"/>
      <c r="AM178" s="599"/>
      <c r="AN178" s="599"/>
      <c r="AO178" s="599"/>
      <c r="AP178" s="599"/>
      <c r="AQ178" s="599"/>
      <c r="AR178" s="599"/>
      <c r="AS178" s="599"/>
      <c r="AT178" s="599"/>
      <c r="AU178" s="599"/>
      <c r="AV178" s="599"/>
      <c r="AW178" s="599"/>
      <c r="AX178" s="598"/>
      <c r="AY178" s="599"/>
      <c r="AZ178" s="599"/>
      <c r="BA178" s="599"/>
      <c r="BB178" s="599"/>
      <c r="BC178" s="599"/>
      <c r="BD178" s="599"/>
      <c r="BE178" s="598"/>
    </row>
    <row r="179" spans="2:57">
      <c r="B179" s="1326" t="s">
        <v>4375</v>
      </c>
      <c r="C179" s="1327"/>
      <c r="D179" s="501" t="s">
        <v>3756</v>
      </c>
      <c r="E179" s="501"/>
      <c r="F179" s="501" t="s">
        <v>406</v>
      </c>
      <c r="G179" s="501" t="s">
        <v>407</v>
      </c>
      <c r="H179" s="629">
        <v>7517.674</v>
      </c>
      <c r="I179" s="584" t="s">
        <v>3753</v>
      </c>
      <c r="J179" s="504">
        <v>45267.708333333336</v>
      </c>
      <c r="K179" s="574"/>
      <c r="L179" s="574" t="s">
        <v>192</v>
      </c>
      <c r="M179" s="574" t="s">
        <v>192</v>
      </c>
      <c r="N179" s="505" t="str">
        <f t="shared" si="14"/>
        <v>DELAY ( 4 day 22 hour 30 minute )</v>
      </c>
      <c r="O179" s="597"/>
      <c r="P179" s="507" t="s">
        <v>551</v>
      </c>
      <c r="Q179" s="507" t="s">
        <v>551</v>
      </c>
      <c r="R179" s="507" t="s">
        <v>551</v>
      </c>
      <c r="S179" s="598"/>
      <c r="T179" s="599"/>
      <c r="U179" s="599"/>
      <c r="V179" s="599"/>
      <c r="W179" s="599"/>
      <c r="X179" s="598"/>
      <c r="Y179" s="599"/>
      <c r="Z179" s="599"/>
      <c r="AA179" s="599"/>
      <c r="AB179" s="599">
        <f>H179*0.8</f>
        <v>6014.1392000000005</v>
      </c>
      <c r="AC179" s="599">
        <f>H179*0.2</f>
        <v>1503.5348000000001</v>
      </c>
      <c r="AD179" s="599"/>
      <c r="AE179" s="599"/>
      <c r="AF179" s="599"/>
      <c r="AG179" s="599"/>
      <c r="AH179" s="599"/>
      <c r="AI179" s="599"/>
      <c r="AJ179" s="599"/>
      <c r="AK179" s="599"/>
      <c r="AL179" s="599"/>
      <c r="AM179" s="599"/>
      <c r="AN179" s="599"/>
      <c r="AO179" s="599"/>
      <c r="AP179" s="599"/>
      <c r="AQ179" s="599"/>
      <c r="AR179" s="599"/>
      <c r="AS179" s="599"/>
      <c r="AT179" s="599"/>
      <c r="AU179" s="599"/>
      <c r="AV179" s="599"/>
      <c r="AW179" s="599"/>
      <c r="AX179" s="599"/>
      <c r="AY179" s="599"/>
      <c r="AZ179" s="599"/>
      <c r="BA179" s="599"/>
      <c r="BB179" s="599"/>
      <c r="BC179" s="599"/>
      <c r="BD179" s="599"/>
      <c r="BE179" s="598"/>
    </row>
    <row r="180" spans="2:57">
      <c r="B180" s="1421"/>
      <c r="C180" s="1422"/>
      <c r="D180" s="501" t="s">
        <v>3866</v>
      </c>
      <c r="E180" s="502"/>
      <c r="F180" s="501" t="s">
        <v>809</v>
      </c>
      <c r="G180" s="501" t="s">
        <v>1365</v>
      </c>
      <c r="H180" s="629">
        <f>5236.394/4</f>
        <v>1309.0985000000001</v>
      </c>
      <c r="I180" s="584" t="s">
        <v>183</v>
      </c>
      <c r="J180" s="1063" t="s">
        <v>64</v>
      </c>
      <c r="K180" s="574"/>
      <c r="L180" s="574" t="s">
        <v>192</v>
      </c>
      <c r="M180" s="574" t="s">
        <v>192</v>
      </c>
      <c r="N180" s="505" t="e">
        <f t="shared" si="14"/>
        <v>#VALUE!</v>
      </c>
      <c r="O180" s="597"/>
      <c r="P180" s="507"/>
      <c r="Q180" s="507"/>
      <c r="R180" s="507"/>
      <c r="S180" s="598"/>
      <c r="T180" s="599"/>
      <c r="U180" s="599"/>
      <c r="V180" s="599"/>
      <c r="W180" s="599"/>
      <c r="X180" s="599"/>
      <c r="Y180" s="599"/>
      <c r="Z180" s="599"/>
      <c r="AA180" s="599"/>
      <c r="AB180" s="599"/>
      <c r="AC180" s="599"/>
      <c r="AD180" s="599"/>
      <c r="AE180" s="599"/>
      <c r="AF180" s="599"/>
      <c r="AG180" s="599"/>
      <c r="AH180" s="599"/>
      <c r="AI180" s="599"/>
      <c r="AJ180" s="599"/>
      <c r="AK180" s="599"/>
      <c r="AL180" s="599"/>
      <c r="AM180" s="599"/>
      <c r="AN180" s="599"/>
      <c r="AO180" s="599"/>
      <c r="AP180" s="599"/>
      <c r="AQ180" s="599"/>
      <c r="AR180" s="599"/>
      <c r="AS180" s="599"/>
      <c r="AT180" s="599"/>
      <c r="AU180" s="599"/>
      <c r="AV180" s="599">
        <f>H180</f>
        <v>1309.0985000000001</v>
      </c>
      <c r="AW180" s="599"/>
      <c r="AX180" s="599"/>
      <c r="AY180" s="599"/>
      <c r="AZ180" s="599"/>
      <c r="BA180" s="599"/>
      <c r="BB180" s="599"/>
      <c r="BC180" s="599"/>
      <c r="BD180" s="599"/>
      <c r="BE180" s="598"/>
    </row>
    <row r="181" spans="2:57">
      <c r="B181" s="1326" t="s">
        <v>4376</v>
      </c>
      <c r="C181" s="1327"/>
      <c r="D181" s="501" t="s">
        <v>3755</v>
      </c>
      <c r="E181" s="501"/>
      <c r="F181" s="501" t="s">
        <v>298</v>
      </c>
      <c r="G181" s="501" t="s">
        <v>299</v>
      </c>
      <c r="H181" s="629">
        <v>10426.517</v>
      </c>
      <c r="I181" s="584" t="s">
        <v>3753</v>
      </c>
      <c r="J181" s="504">
        <v>45267.770833333336</v>
      </c>
      <c r="K181" s="504"/>
      <c r="L181" s="574" t="s">
        <v>192</v>
      </c>
      <c r="M181" s="574" t="s">
        <v>192</v>
      </c>
      <c r="N181" s="505" t="str">
        <f t="shared" si="14"/>
        <v>DELAY ( 5 day 0 hour 0 minute )</v>
      </c>
      <c r="O181" s="597"/>
      <c r="P181" s="507" t="s">
        <v>551</v>
      </c>
      <c r="Q181" s="507" t="s">
        <v>551</v>
      </c>
      <c r="R181" s="507" t="s">
        <v>551</v>
      </c>
      <c r="S181" s="598"/>
      <c r="T181" s="599"/>
      <c r="U181" s="599"/>
      <c r="V181" s="599"/>
      <c r="W181" s="599"/>
      <c r="X181" s="599"/>
      <c r="Y181" s="599"/>
      <c r="Z181" s="599"/>
      <c r="AA181" s="599"/>
      <c r="AB181" s="599">
        <f>H181*0.8</f>
        <v>8341.213600000001</v>
      </c>
      <c r="AC181" s="599">
        <f>H181*0.2</f>
        <v>2085.3034000000002</v>
      </c>
      <c r="AD181" s="599"/>
      <c r="AE181" s="599"/>
      <c r="AF181" s="599"/>
      <c r="AG181" s="599"/>
      <c r="AH181" s="599"/>
      <c r="AI181" s="599"/>
      <c r="AJ181" s="599"/>
      <c r="AK181" s="598"/>
      <c r="AL181" s="599"/>
      <c r="AM181" s="599"/>
      <c r="AN181" s="599"/>
      <c r="AO181" s="599"/>
      <c r="AP181" s="599"/>
      <c r="AQ181" s="599"/>
      <c r="AR181" s="599"/>
      <c r="AS181" s="599"/>
      <c r="AT181" s="599"/>
      <c r="AU181" s="599"/>
      <c r="AV181" s="599"/>
      <c r="AW181" s="599"/>
      <c r="AX181" s="598"/>
      <c r="AY181" s="599"/>
      <c r="AZ181" s="599"/>
      <c r="BA181" s="599"/>
      <c r="BB181" s="599"/>
      <c r="BC181" s="599"/>
      <c r="BD181" s="599"/>
      <c r="BE181" s="598"/>
    </row>
    <row r="182" spans="2:57">
      <c r="B182" s="1421"/>
      <c r="C182" s="1422"/>
      <c r="D182" s="501" t="s">
        <v>3866</v>
      </c>
      <c r="E182" s="502"/>
      <c r="F182" s="501" t="s">
        <v>809</v>
      </c>
      <c r="G182" s="501" t="s">
        <v>1365</v>
      </c>
      <c r="H182" s="629">
        <f>H180</f>
        <v>1309.0985000000001</v>
      </c>
      <c r="I182" s="584" t="s">
        <v>183</v>
      </c>
      <c r="J182" s="1063"/>
      <c r="K182" s="574"/>
      <c r="L182" s="574" t="s">
        <v>192</v>
      </c>
      <c r="M182" s="574" t="s">
        <v>192</v>
      </c>
      <c r="N182" s="505" t="str">
        <f t="shared" si="14"/>
        <v xml:space="preserve"> </v>
      </c>
      <c r="O182" s="597"/>
      <c r="P182" s="507"/>
      <c r="Q182" s="507"/>
      <c r="R182" s="507"/>
      <c r="S182" s="598"/>
      <c r="T182" s="599"/>
      <c r="U182" s="599"/>
      <c r="V182" s="599"/>
      <c r="W182" s="599"/>
      <c r="X182" s="599"/>
      <c r="Y182" s="599"/>
      <c r="Z182" s="599"/>
      <c r="AA182" s="599"/>
      <c r="AB182" s="599"/>
      <c r="AC182" s="599"/>
      <c r="AD182" s="599"/>
      <c r="AE182" s="599"/>
      <c r="AF182" s="599"/>
      <c r="AG182" s="599"/>
      <c r="AH182" s="599"/>
      <c r="AI182" s="599"/>
      <c r="AJ182" s="599"/>
      <c r="AK182" s="599"/>
      <c r="AL182" s="599"/>
      <c r="AM182" s="599"/>
      <c r="AN182" s="599"/>
      <c r="AO182" s="599"/>
      <c r="AP182" s="599"/>
      <c r="AQ182" s="599"/>
      <c r="AR182" s="599"/>
      <c r="AS182" s="599"/>
      <c r="AT182" s="599"/>
      <c r="AU182" s="599"/>
      <c r="AV182" s="599">
        <f>H182</f>
        <v>1309.0985000000001</v>
      </c>
      <c r="AW182" s="599"/>
      <c r="AX182" s="599"/>
      <c r="AY182" s="599"/>
      <c r="AZ182" s="599"/>
      <c r="BA182" s="599"/>
      <c r="BB182" s="599"/>
      <c r="BC182" s="599"/>
      <c r="BD182" s="599"/>
      <c r="BE182" s="598"/>
    </row>
    <row r="183" spans="2:57">
      <c r="B183" s="1326" t="s">
        <v>4377</v>
      </c>
      <c r="C183" s="1327"/>
      <c r="D183" s="501" t="s">
        <v>3757</v>
      </c>
      <c r="E183" s="501"/>
      <c r="F183" s="501" t="s">
        <v>271</v>
      </c>
      <c r="G183" s="501" t="s">
        <v>272</v>
      </c>
      <c r="H183" s="629">
        <v>9070.1830000000009</v>
      </c>
      <c r="I183" s="584" t="s">
        <v>3753</v>
      </c>
      <c r="J183" s="504">
        <v>45268.625</v>
      </c>
      <c r="K183" s="504"/>
      <c r="L183" s="574" t="s">
        <v>192</v>
      </c>
      <c r="M183" s="574" t="s">
        <v>192</v>
      </c>
      <c r="N183" s="505" t="str">
        <f t="shared" si="14"/>
        <v>DELAY ( 5 day 20 hour 30 minute )</v>
      </c>
      <c r="O183" s="597"/>
      <c r="P183" s="507" t="s">
        <v>551</v>
      </c>
      <c r="Q183" s="507" t="s">
        <v>551</v>
      </c>
      <c r="R183" s="507" t="s">
        <v>551</v>
      </c>
      <c r="S183" s="598"/>
      <c r="T183" s="599"/>
      <c r="U183" s="599"/>
      <c r="V183" s="599"/>
      <c r="W183" s="599"/>
      <c r="X183" s="599"/>
      <c r="Y183" s="599"/>
      <c r="Z183" s="599"/>
      <c r="AA183" s="599"/>
      <c r="AB183" s="599">
        <f>H183*0.8</f>
        <v>7256.1464000000014</v>
      </c>
      <c r="AC183" s="599">
        <f>H183*0.2</f>
        <v>1814.0366000000004</v>
      </c>
      <c r="AD183" s="599"/>
      <c r="AE183" s="599"/>
      <c r="AF183" s="599"/>
      <c r="AG183" s="599"/>
      <c r="AH183" s="599"/>
      <c r="AI183" s="599"/>
      <c r="AJ183" s="599"/>
      <c r="AK183" s="598"/>
      <c r="AL183" s="599"/>
      <c r="AM183" s="599"/>
      <c r="AN183" s="599"/>
      <c r="AO183" s="599"/>
      <c r="AP183" s="599"/>
      <c r="AQ183" s="599"/>
      <c r="AR183" s="599"/>
      <c r="AS183" s="599"/>
      <c r="AT183" s="599"/>
      <c r="AU183" s="599"/>
      <c r="AV183" s="599"/>
      <c r="AW183" s="599"/>
      <c r="AX183" s="598"/>
      <c r="AY183" s="599"/>
      <c r="AZ183" s="599"/>
      <c r="BA183" s="599"/>
      <c r="BB183" s="599"/>
      <c r="BC183" s="599"/>
      <c r="BD183" s="599"/>
      <c r="BE183" s="598"/>
    </row>
    <row r="184" spans="2:57">
      <c r="B184" s="1421"/>
      <c r="C184" s="1422"/>
      <c r="D184" s="501" t="s">
        <v>3866</v>
      </c>
      <c r="E184" s="502"/>
      <c r="F184" s="501" t="s">
        <v>809</v>
      </c>
      <c r="G184" s="501" t="s">
        <v>1365</v>
      </c>
      <c r="H184" s="629">
        <f>H182</f>
        <v>1309.0985000000001</v>
      </c>
      <c r="I184" s="584" t="s">
        <v>183</v>
      </c>
      <c r="J184" s="1063"/>
      <c r="K184" s="574"/>
      <c r="L184" s="574" t="s">
        <v>192</v>
      </c>
      <c r="M184" s="574" t="s">
        <v>192</v>
      </c>
      <c r="N184" s="505" t="str">
        <f t="shared" si="14"/>
        <v xml:space="preserve"> </v>
      </c>
      <c r="O184" s="597"/>
      <c r="P184" s="507"/>
      <c r="Q184" s="507"/>
      <c r="R184" s="507"/>
      <c r="S184" s="598"/>
      <c r="T184" s="599"/>
      <c r="U184" s="599"/>
      <c r="V184" s="599"/>
      <c r="W184" s="599"/>
      <c r="X184" s="599"/>
      <c r="Y184" s="599"/>
      <c r="Z184" s="599"/>
      <c r="AA184" s="599"/>
      <c r="AB184" s="599"/>
      <c r="AC184" s="599"/>
      <c r="AD184" s="599"/>
      <c r="AE184" s="599"/>
      <c r="AF184" s="599"/>
      <c r="AG184" s="599"/>
      <c r="AH184" s="599"/>
      <c r="AI184" s="599"/>
      <c r="AJ184" s="599"/>
      <c r="AK184" s="599"/>
      <c r="AL184" s="599"/>
      <c r="AM184" s="599"/>
      <c r="AN184" s="599"/>
      <c r="AO184" s="599"/>
      <c r="AP184" s="599"/>
      <c r="AQ184" s="599"/>
      <c r="AR184" s="599"/>
      <c r="AS184" s="599"/>
      <c r="AT184" s="599"/>
      <c r="AU184" s="599"/>
      <c r="AV184" s="599">
        <f>H184</f>
        <v>1309.0985000000001</v>
      </c>
      <c r="AW184" s="599"/>
      <c r="AX184" s="599"/>
      <c r="AY184" s="599"/>
      <c r="AZ184" s="599"/>
      <c r="BA184" s="599"/>
      <c r="BB184" s="599"/>
      <c r="BC184" s="599"/>
      <c r="BD184" s="599"/>
      <c r="BE184" s="598"/>
    </row>
    <row r="185" spans="2:57">
      <c r="B185" s="1326" t="s">
        <v>4378</v>
      </c>
      <c r="C185" s="1327"/>
      <c r="D185" s="501" t="s">
        <v>3759</v>
      </c>
      <c r="E185" s="501"/>
      <c r="F185" s="501" t="s">
        <v>334</v>
      </c>
      <c r="G185" s="501" t="s">
        <v>335</v>
      </c>
      <c r="H185" s="629">
        <v>7844.7510000000002</v>
      </c>
      <c r="I185" s="584" t="s">
        <v>3753</v>
      </c>
      <c r="J185" s="504">
        <v>45269.020833333336</v>
      </c>
      <c r="K185" s="504"/>
      <c r="L185" s="574" t="s">
        <v>192</v>
      </c>
      <c r="M185" s="574" t="s">
        <v>192</v>
      </c>
      <c r="N185" s="505" t="str">
        <f t="shared" si="14"/>
        <v>DELAY ( 6 day 6 hour 0 minute )</v>
      </c>
      <c r="O185" s="597"/>
      <c r="P185" s="507" t="s">
        <v>551</v>
      </c>
      <c r="Q185" s="507" t="s">
        <v>551</v>
      </c>
      <c r="R185" s="507" t="s">
        <v>551</v>
      </c>
      <c r="S185" s="598"/>
      <c r="T185" s="599"/>
      <c r="U185" s="599"/>
      <c r="V185" s="599"/>
      <c r="W185" s="599"/>
      <c r="X185" s="599"/>
      <c r="Y185" s="599"/>
      <c r="Z185" s="599"/>
      <c r="AA185" s="599"/>
      <c r="AB185" s="599">
        <f>H185*0.8</f>
        <v>6275.8008000000009</v>
      </c>
      <c r="AC185" s="599">
        <f>H185*0.2</f>
        <v>1568.9502000000002</v>
      </c>
      <c r="AD185" s="599"/>
      <c r="AE185" s="599"/>
      <c r="AF185" s="599"/>
      <c r="AG185" s="599"/>
      <c r="AH185" s="599"/>
      <c r="AI185" s="599"/>
      <c r="AJ185" s="599"/>
      <c r="AK185" s="598"/>
      <c r="AL185" s="599"/>
      <c r="AM185" s="599"/>
      <c r="AN185" s="599"/>
      <c r="AO185" s="599"/>
      <c r="AP185" s="599"/>
      <c r="AQ185" s="599"/>
      <c r="AR185" s="599"/>
      <c r="AS185" s="599"/>
      <c r="AT185" s="599"/>
      <c r="AU185" s="599"/>
      <c r="AV185" s="599"/>
      <c r="AW185" s="599"/>
      <c r="AX185" s="598"/>
      <c r="AY185" s="599"/>
      <c r="AZ185" s="599"/>
      <c r="BA185" s="599"/>
      <c r="BB185" s="599"/>
      <c r="BC185" s="599"/>
      <c r="BD185" s="599"/>
      <c r="BE185" s="598"/>
    </row>
    <row r="186" spans="2:57">
      <c r="B186" s="1328"/>
      <c r="C186" s="1329"/>
      <c r="D186" s="501" t="s">
        <v>3863</v>
      </c>
      <c r="E186" s="502"/>
      <c r="F186" s="501" t="s">
        <v>809</v>
      </c>
      <c r="G186" s="501" t="s">
        <v>1365</v>
      </c>
      <c r="H186" s="629">
        <f>H184</f>
        <v>1309.0985000000001</v>
      </c>
      <c r="I186" s="584" t="s">
        <v>183</v>
      </c>
      <c r="J186" s="1063"/>
      <c r="K186" s="574"/>
      <c r="L186" s="574" t="s">
        <v>192</v>
      </c>
      <c r="M186" s="574" t="s">
        <v>192</v>
      </c>
      <c r="N186" s="505" t="str">
        <f t="shared" si="14"/>
        <v xml:space="preserve"> </v>
      </c>
      <c r="O186" s="597"/>
      <c r="P186" s="507"/>
      <c r="Q186" s="507"/>
      <c r="R186" s="507"/>
      <c r="S186" s="598"/>
      <c r="T186" s="599"/>
      <c r="U186" s="599"/>
      <c r="V186" s="599"/>
      <c r="W186" s="599"/>
      <c r="X186" s="599"/>
      <c r="Y186" s="599"/>
      <c r="Z186" s="599"/>
      <c r="AA186" s="599"/>
      <c r="AB186" s="599"/>
      <c r="AC186" s="599"/>
      <c r="AD186" s="599"/>
      <c r="AE186" s="599"/>
      <c r="AF186" s="599"/>
      <c r="AG186" s="599"/>
      <c r="AH186" s="599"/>
      <c r="AI186" s="599"/>
      <c r="AJ186" s="599"/>
      <c r="AK186" s="599"/>
      <c r="AL186" s="599"/>
      <c r="AM186" s="599"/>
      <c r="AN186" s="599"/>
      <c r="AO186" s="599"/>
      <c r="AP186" s="599"/>
      <c r="AQ186" s="599"/>
      <c r="AR186" s="599"/>
      <c r="AS186" s="599"/>
      <c r="AT186" s="599"/>
      <c r="AU186" s="599"/>
      <c r="AV186" s="599">
        <f>H186</f>
        <v>1309.0985000000001</v>
      </c>
      <c r="AW186" s="599"/>
      <c r="AX186" s="599"/>
      <c r="AY186" s="599"/>
      <c r="AZ186" s="599"/>
      <c r="BA186" s="599"/>
      <c r="BB186" s="599"/>
      <c r="BC186" s="599"/>
      <c r="BD186" s="599"/>
      <c r="BE186" s="598"/>
    </row>
    <row r="187" spans="2:57">
      <c r="B187" s="1315" t="s">
        <v>548</v>
      </c>
      <c r="C187" s="1316"/>
      <c r="D187" s="501" t="s">
        <v>3761</v>
      </c>
      <c r="E187" s="501"/>
      <c r="F187" s="501" t="s">
        <v>371</v>
      </c>
      <c r="G187" s="501" t="s">
        <v>372</v>
      </c>
      <c r="H187" s="629">
        <f>7528.376-1839.412</f>
        <v>5688.9639999999999</v>
      </c>
      <c r="I187" s="584" t="s">
        <v>235</v>
      </c>
      <c r="J187" s="504">
        <v>45269.871527777781</v>
      </c>
      <c r="K187" s="574"/>
      <c r="L187" s="574" t="s">
        <v>192</v>
      </c>
      <c r="M187" s="574" t="s">
        <v>192</v>
      </c>
      <c r="N187" s="505" t="str">
        <f t="shared" si="14"/>
        <v>DELAY ( 7 day 2 hour 25 minute )</v>
      </c>
      <c r="O187" s="597"/>
      <c r="P187" s="507" t="s">
        <v>551</v>
      </c>
      <c r="Q187" s="507" t="s">
        <v>551</v>
      </c>
      <c r="R187" s="507" t="s">
        <v>551</v>
      </c>
      <c r="S187" s="598"/>
      <c r="T187" s="599"/>
      <c r="U187" s="599"/>
      <c r="V187" s="599"/>
      <c r="W187" s="599"/>
      <c r="X187" s="599"/>
      <c r="Y187" s="599"/>
      <c r="Z187" s="599"/>
      <c r="AA187" s="599"/>
      <c r="AB187" s="599">
        <f>H187-H191</f>
        <v>4490.9809999999998</v>
      </c>
      <c r="AC187" s="599"/>
      <c r="AD187" s="599"/>
      <c r="AE187" s="599"/>
      <c r="AF187" s="599"/>
      <c r="AG187" s="599"/>
      <c r="AH187" s="599"/>
      <c r="AI187" s="599"/>
      <c r="AJ187" s="599"/>
      <c r="AK187" s="599"/>
      <c r="AL187" s="599"/>
      <c r="AM187" s="599"/>
      <c r="AN187" s="599"/>
      <c r="AO187" s="599"/>
      <c r="AP187" s="599"/>
      <c r="AQ187" s="599"/>
      <c r="AR187" s="599"/>
      <c r="AS187" s="599"/>
      <c r="AT187" s="599"/>
      <c r="AU187" s="599"/>
      <c r="AV187" s="599"/>
      <c r="AW187" s="599"/>
      <c r="AX187" s="599"/>
      <c r="AY187" s="599"/>
      <c r="AZ187" s="599"/>
      <c r="BA187" s="599"/>
      <c r="BB187" s="599"/>
      <c r="BC187" s="599"/>
      <c r="BD187" s="599"/>
      <c r="BE187" s="598"/>
    </row>
    <row r="188" spans="2:57">
      <c r="B188" s="1351" t="s">
        <v>556</v>
      </c>
      <c r="C188" s="1352"/>
      <c r="D188" s="1352"/>
      <c r="E188" s="1352"/>
      <c r="F188" s="1352"/>
      <c r="G188" s="1353"/>
      <c r="H188" s="1041">
        <f>SUM(H175:H187)</f>
        <v>75900</v>
      </c>
      <c r="I188" s="1479"/>
      <c r="J188" s="1479"/>
      <c r="K188" s="1479"/>
      <c r="L188" s="1479"/>
      <c r="M188" s="1479"/>
      <c r="N188" s="505" t="str">
        <f t="shared" si="14"/>
        <v xml:space="preserve"> </v>
      </c>
      <c r="O188" s="552"/>
      <c r="P188" s="706"/>
      <c r="Q188" s="706"/>
      <c r="R188" s="706"/>
      <c r="S188" s="598"/>
      <c r="T188" s="1432"/>
      <c r="U188" s="1433"/>
      <c r="V188" s="1433"/>
      <c r="W188" s="1433"/>
      <c r="X188" s="1433"/>
      <c r="Y188" s="1433"/>
      <c r="Z188" s="1433"/>
      <c r="AA188" s="1433"/>
      <c r="AB188" s="1433"/>
      <c r="AC188" s="1433"/>
      <c r="AD188" s="1433"/>
      <c r="AE188" s="1433"/>
      <c r="AF188" s="1433"/>
      <c r="AG188" s="1433"/>
      <c r="AH188" s="1433"/>
      <c r="AI188" s="1433"/>
      <c r="AJ188" s="1433"/>
      <c r="AK188" s="1433"/>
      <c r="AL188" s="1433"/>
      <c r="AM188" s="1433"/>
      <c r="AN188" s="1433"/>
      <c r="AO188" s="1433"/>
      <c r="AP188" s="1433"/>
      <c r="AQ188" s="1433"/>
      <c r="AR188" s="1433"/>
      <c r="AS188" s="1433"/>
      <c r="AT188" s="1433"/>
      <c r="AU188" s="1433"/>
      <c r="AV188" s="1433"/>
      <c r="AW188" s="1433"/>
      <c r="AX188" s="1433"/>
      <c r="AY188" s="1433"/>
      <c r="AZ188" s="1433"/>
      <c r="BA188" s="1433"/>
      <c r="BB188" s="1433"/>
      <c r="BC188" s="1433"/>
      <c r="BD188" s="1433"/>
    </row>
    <row r="189" spans="2:57">
      <c r="B189" s="1415" t="s">
        <v>557</v>
      </c>
      <c r="C189" s="1416"/>
      <c r="D189" s="1416"/>
      <c r="E189" s="1416"/>
      <c r="F189" s="1416"/>
      <c r="G189" s="1417"/>
      <c r="H189" s="845">
        <v>75900</v>
      </c>
      <c r="I189" s="1473"/>
      <c r="J189" s="1473"/>
      <c r="K189" s="1473"/>
      <c r="L189" s="1473"/>
      <c r="M189" s="1473"/>
      <c r="N189" s="505" t="str">
        <f t="shared" si="14"/>
        <v xml:space="preserve"> </v>
      </c>
      <c r="O189" s="598"/>
      <c r="P189" s="507"/>
      <c r="Q189" s="507"/>
      <c r="R189" s="507"/>
      <c r="S189" s="711"/>
      <c r="T189" s="599">
        <f t="shared" ref="T189:BD189" si="15">SUM(T175:T187)</f>
        <v>0</v>
      </c>
      <c r="U189" s="599">
        <f t="shared" si="15"/>
        <v>0</v>
      </c>
      <c r="V189" s="599">
        <f t="shared" si="15"/>
        <v>0</v>
      </c>
      <c r="W189" s="599">
        <f t="shared" si="15"/>
        <v>0</v>
      </c>
      <c r="X189" s="599">
        <f t="shared" si="15"/>
        <v>0</v>
      </c>
      <c r="Y189" s="599">
        <f t="shared" si="15"/>
        <v>0</v>
      </c>
      <c r="Z189" s="599">
        <f t="shared" si="15"/>
        <v>0</v>
      </c>
      <c r="AA189" s="599">
        <f t="shared" si="15"/>
        <v>0</v>
      </c>
      <c r="AB189" s="599">
        <f t="shared" si="15"/>
        <v>59495.541200000007</v>
      </c>
      <c r="AC189" s="599">
        <f t="shared" si="15"/>
        <v>9970.0817999999999</v>
      </c>
      <c r="AD189" s="599">
        <f t="shared" si="15"/>
        <v>0</v>
      </c>
      <c r="AE189" s="599">
        <f t="shared" si="15"/>
        <v>0</v>
      </c>
      <c r="AF189" s="599">
        <f t="shared" si="15"/>
        <v>0</v>
      </c>
      <c r="AG189" s="599">
        <f t="shared" si="15"/>
        <v>0</v>
      </c>
      <c r="AH189" s="599">
        <f t="shared" si="15"/>
        <v>0</v>
      </c>
      <c r="AI189" s="599">
        <f t="shared" si="15"/>
        <v>0</v>
      </c>
      <c r="AJ189" s="599">
        <f t="shared" si="15"/>
        <v>0</v>
      </c>
      <c r="AK189" s="599">
        <f t="shared" si="15"/>
        <v>0</v>
      </c>
      <c r="AL189" s="599">
        <f t="shared" si="15"/>
        <v>0</v>
      </c>
      <c r="AM189" s="599">
        <f t="shared" si="15"/>
        <v>0</v>
      </c>
      <c r="AN189" s="599">
        <f t="shared" si="15"/>
        <v>0</v>
      </c>
      <c r="AO189" s="599">
        <f t="shared" si="15"/>
        <v>0</v>
      </c>
      <c r="AP189" s="599">
        <f t="shared" si="15"/>
        <v>0</v>
      </c>
      <c r="AQ189" s="599">
        <f t="shared" si="15"/>
        <v>0</v>
      </c>
      <c r="AR189" s="599">
        <f t="shared" si="15"/>
        <v>0</v>
      </c>
      <c r="AS189" s="599">
        <f t="shared" si="15"/>
        <v>0</v>
      </c>
      <c r="AT189" s="599">
        <f t="shared" si="15"/>
        <v>0</v>
      </c>
      <c r="AU189" s="599">
        <f t="shared" si="15"/>
        <v>0</v>
      </c>
      <c r="AV189" s="599">
        <f t="shared" si="15"/>
        <v>5236.3940000000002</v>
      </c>
      <c r="AW189" s="599">
        <f t="shared" si="15"/>
        <v>0</v>
      </c>
      <c r="AX189" s="599">
        <f t="shared" si="15"/>
        <v>0</v>
      </c>
      <c r="AY189" s="599">
        <f t="shared" si="15"/>
        <v>0</v>
      </c>
      <c r="AZ189" s="599">
        <f t="shared" si="15"/>
        <v>0</v>
      </c>
      <c r="BA189" s="599">
        <f t="shared" si="15"/>
        <v>0</v>
      </c>
      <c r="BB189" s="599">
        <f t="shared" si="15"/>
        <v>0</v>
      </c>
      <c r="BC189" s="599">
        <f t="shared" si="15"/>
        <v>0</v>
      </c>
      <c r="BD189" s="599">
        <f t="shared" si="15"/>
        <v>0</v>
      </c>
      <c r="BE189" s="599">
        <f>SUM(T189:BD189)</f>
        <v>74702.017000000007</v>
      </c>
    </row>
    <row r="190" spans="2:57">
      <c r="B190" s="1415" t="s">
        <v>558</v>
      </c>
      <c r="C190" s="1416"/>
      <c r="D190" s="1416"/>
      <c r="E190" s="1416"/>
      <c r="F190" s="1416"/>
      <c r="G190" s="1417"/>
      <c r="H190" s="712">
        <f>H189-L169</f>
        <v>0</v>
      </c>
      <c r="I190" s="716"/>
      <c r="J190" s="717"/>
      <c r="K190" s="717"/>
      <c r="L190" s="563"/>
      <c r="M190" s="598"/>
      <c r="N190" s="598"/>
      <c r="O190" s="598"/>
      <c r="P190" s="598"/>
      <c r="Q190" s="715"/>
      <c r="R190" s="715"/>
      <c r="S190" s="598"/>
      <c r="T190" s="688"/>
      <c r="U190" s="688"/>
      <c r="V190" s="688"/>
      <c r="W190" s="688"/>
      <c r="X190" s="688"/>
      <c r="Y190" s="688"/>
      <c r="Z190" s="688"/>
      <c r="AA190" s="688"/>
      <c r="AB190" s="688"/>
      <c r="AC190" s="598"/>
      <c r="AD190" s="598"/>
      <c r="AE190" s="598"/>
      <c r="AF190" s="598"/>
      <c r="AG190" s="598"/>
      <c r="AH190" s="598"/>
      <c r="AI190" s="598"/>
      <c r="AJ190" s="598"/>
      <c r="AK190" s="598"/>
      <c r="AL190" s="598"/>
      <c r="AM190" s="598"/>
      <c r="AN190" s="598"/>
      <c r="AO190" s="598"/>
      <c r="AP190" s="598"/>
      <c r="AQ190" s="598"/>
      <c r="AR190" s="598"/>
    </row>
    <row r="191" spans="2:57">
      <c r="B191" s="1415" t="s">
        <v>559</v>
      </c>
      <c r="C191" s="1416"/>
      <c r="D191" s="1416"/>
      <c r="E191" s="1416"/>
      <c r="F191" s="1416"/>
      <c r="G191" s="1417"/>
      <c r="H191" s="747">
        <v>1197.9829999999999</v>
      </c>
      <c r="I191" s="716"/>
      <c r="J191" s="717"/>
      <c r="K191" s="717"/>
      <c r="L191" s="563"/>
      <c r="M191" s="598"/>
      <c r="N191" s="598"/>
      <c r="O191" s="598"/>
      <c r="P191" s="598"/>
      <c r="Q191" s="598"/>
      <c r="R191" s="598"/>
      <c r="S191" s="598"/>
      <c r="T191" s="688"/>
      <c r="U191" s="688"/>
      <c r="V191" s="688"/>
      <c r="W191" s="688"/>
      <c r="X191" s="688"/>
      <c r="Y191" s="688"/>
      <c r="Z191" s="688"/>
      <c r="AA191" s="688"/>
      <c r="AB191" s="688"/>
      <c r="AC191" s="598"/>
      <c r="AD191" s="598"/>
      <c r="AE191" s="598"/>
      <c r="AF191" s="598"/>
      <c r="AG191" s="598"/>
      <c r="AH191" s="598"/>
      <c r="AI191" s="598"/>
      <c r="AJ191" s="598"/>
      <c r="AK191" s="598"/>
      <c r="AL191" s="598"/>
      <c r="AM191" s="598"/>
      <c r="AN191" s="598"/>
      <c r="AO191" s="598"/>
      <c r="AP191" s="598"/>
      <c r="AQ191" s="598"/>
      <c r="AR191" s="598"/>
    </row>
    <row r="192" spans="2:57" s="39" customFormat="1" ht="11.25" customHeight="1">
      <c r="B192" s="1415" t="s">
        <v>560</v>
      </c>
      <c r="C192" s="1416"/>
      <c r="D192" s="1416"/>
      <c r="E192" s="1416"/>
      <c r="F192" s="1416"/>
      <c r="G192" s="1417"/>
      <c r="H192" s="741">
        <f>H191-1839.412</f>
        <v>-641.42900000000009</v>
      </c>
      <c r="I192" s="641"/>
      <c r="J192" s="642"/>
      <c r="K192" s="642"/>
      <c r="L192" s="499"/>
      <c r="M192" s="613"/>
      <c r="N192" s="613"/>
      <c r="O192" s="613"/>
      <c r="P192" s="613"/>
      <c r="Q192" s="613"/>
      <c r="R192" s="613"/>
      <c r="S192" s="616"/>
      <c r="T192" s="616"/>
      <c r="U192" s="616"/>
      <c r="V192" s="616"/>
      <c r="W192" s="616"/>
      <c r="X192" s="616"/>
      <c r="Y192" s="616"/>
      <c r="Z192" s="616"/>
      <c r="AA192" s="616"/>
      <c r="AB192" s="613"/>
      <c r="AC192" s="613"/>
      <c r="AD192" s="613"/>
      <c r="AE192" s="613"/>
      <c r="AF192" s="613"/>
      <c r="AG192" s="613"/>
      <c r="AH192" s="613"/>
      <c r="AI192" s="613"/>
      <c r="AJ192" s="613"/>
      <c r="AK192" s="613"/>
      <c r="AL192" s="613"/>
      <c r="AM192" s="613"/>
      <c r="AN192" s="613"/>
      <c r="AO192" s="613"/>
      <c r="AP192" s="613"/>
      <c r="AQ192" s="613"/>
      <c r="AR192" s="496"/>
      <c r="AS192" s="496"/>
      <c r="AT192" s="496"/>
      <c r="AU192" s="496"/>
      <c r="AV192" s="496"/>
      <c r="AW192" s="496"/>
      <c r="AX192" s="496"/>
      <c r="AY192" s="496"/>
      <c r="AZ192" s="496"/>
      <c r="BA192" s="496"/>
    </row>
    <row r="193" spans="2:57">
      <c r="B193" s="598"/>
      <c r="C193" s="598"/>
      <c r="D193" s="598"/>
      <c r="E193" s="598"/>
      <c r="F193" s="598"/>
      <c r="G193" s="598"/>
      <c r="H193" s="598"/>
      <c r="I193" s="718"/>
      <c r="J193" s="716"/>
      <c r="K193" s="716"/>
      <c r="L193" s="719"/>
      <c r="M193" s="598"/>
      <c r="N193" s="598"/>
      <c r="O193" s="716"/>
      <c r="P193" s="598"/>
      <c r="Q193" s="598"/>
      <c r="R193" s="598"/>
      <c r="S193" s="598"/>
      <c r="T193" s="688"/>
      <c r="U193" s="688"/>
      <c r="V193" s="688"/>
      <c r="W193" s="688"/>
      <c r="X193" s="688"/>
      <c r="Y193" s="688"/>
      <c r="Z193" s="688"/>
      <c r="AA193" s="688"/>
      <c r="AB193" s="688"/>
      <c r="AC193" s="598"/>
      <c r="AD193" s="598"/>
      <c r="AE193" s="598"/>
      <c r="AF193" s="598"/>
      <c r="AG193" s="598"/>
      <c r="AH193" s="598"/>
      <c r="AI193" s="598"/>
      <c r="AJ193" s="598"/>
      <c r="AK193" s="598"/>
      <c r="AL193" s="598"/>
      <c r="AM193" s="598"/>
      <c r="AN193" s="598"/>
      <c r="AO193" s="598"/>
      <c r="AP193" s="598"/>
      <c r="AQ193" s="598"/>
      <c r="AR193" s="598"/>
    </row>
    <row r="194" spans="2:57">
      <c r="B194" s="693" t="s">
        <v>561</v>
      </c>
      <c r="C194" s="693"/>
      <c r="D194" s="598"/>
      <c r="E194" s="598"/>
      <c r="F194" s="598"/>
      <c r="G194" s="598"/>
      <c r="H194" s="598"/>
      <c r="I194" s="598"/>
      <c r="J194" s="716"/>
      <c r="K194" s="716"/>
      <c r="L194" s="719"/>
      <c r="M194" s="598"/>
      <c r="N194" s="598"/>
      <c r="O194" s="716"/>
      <c r="P194" s="688"/>
      <c r="Q194" s="688"/>
      <c r="R194" s="688"/>
      <c r="S194" s="688"/>
      <c r="T194" s="688"/>
      <c r="U194" s="688"/>
      <c r="V194" s="688"/>
      <c r="W194" s="688"/>
      <c r="X194" s="688"/>
      <c r="Y194" s="688"/>
      <c r="Z194" s="688"/>
      <c r="AA194" s="688"/>
      <c r="AB194" s="598"/>
      <c r="AC194" s="598"/>
      <c r="AD194" s="598"/>
      <c r="AE194" s="598"/>
      <c r="AF194" s="598"/>
      <c r="AG194" s="598"/>
      <c r="AH194" s="598"/>
      <c r="AI194" s="598"/>
      <c r="AJ194" s="598"/>
      <c r="AK194" s="598"/>
      <c r="AL194" s="598"/>
      <c r="AM194" s="598"/>
      <c r="AN194" s="598"/>
      <c r="AO194" s="598"/>
      <c r="AP194" s="598"/>
      <c r="AQ194" s="598"/>
      <c r="AR194" s="598"/>
      <c r="AS194" s="598"/>
      <c r="AT194" s="598"/>
      <c r="AU194" s="598"/>
      <c r="BE194" s="598"/>
    </row>
    <row r="195" spans="2:57">
      <c r="B195" s="720">
        <v>1</v>
      </c>
      <c r="C195" s="1431" t="s">
        <v>4379</v>
      </c>
      <c r="D195" s="1431"/>
      <c r="E195" s="1431"/>
      <c r="F195" s="1431"/>
      <c r="G195" s="1431"/>
      <c r="H195" s="1431"/>
      <c r="I195" s="1431"/>
      <c r="J195" s="1431"/>
      <c r="K195" s="1431"/>
      <c r="L195" s="719"/>
      <c r="M195" s="719"/>
      <c r="N195" s="598"/>
      <c r="O195" s="716"/>
      <c r="P195" s="688"/>
      <c r="Q195" s="688"/>
      <c r="R195" s="688"/>
      <c r="S195" s="688"/>
      <c r="T195" s="688"/>
      <c r="U195" s="688"/>
      <c r="V195" s="688"/>
      <c r="W195" s="688"/>
      <c r="X195" s="688"/>
      <c r="Y195" s="688"/>
      <c r="Z195" s="688"/>
      <c r="AA195" s="688"/>
      <c r="AB195" s="598"/>
      <c r="AC195" s="598"/>
      <c r="AD195" s="598"/>
      <c r="AE195" s="598"/>
      <c r="AF195" s="598"/>
      <c r="AG195" s="598"/>
      <c r="AH195" s="598"/>
      <c r="AI195" s="598"/>
      <c r="AJ195" s="598"/>
      <c r="AK195" s="598"/>
      <c r="AL195" s="598"/>
      <c r="AM195" s="598"/>
      <c r="AN195" s="598"/>
      <c r="AO195" s="598"/>
      <c r="AP195" s="598"/>
      <c r="AQ195" s="598"/>
      <c r="AR195" s="598"/>
      <c r="AS195" s="598"/>
      <c r="AT195" s="598"/>
      <c r="AU195" s="598"/>
      <c r="AV195" s="598"/>
      <c r="AW195" s="598"/>
      <c r="AX195" s="598"/>
      <c r="AY195" s="598"/>
      <c r="AZ195" s="598"/>
      <c r="BA195" s="598"/>
      <c r="BB195" s="598"/>
      <c r="BC195" s="598"/>
      <c r="BD195" s="598"/>
      <c r="BE195" s="598"/>
    </row>
    <row r="197" spans="2:57">
      <c r="B197" s="28" t="s">
        <v>126</v>
      </c>
      <c r="C197" s="28"/>
      <c r="D197" s="614"/>
      <c r="E197" s="30" t="s">
        <v>511</v>
      </c>
      <c r="F197" s="31" t="s">
        <v>3179</v>
      </c>
      <c r="G197" s="591"/>
      <c r="H197" s="33"/>
      <c r="I197" s="615"/>
      <c r="J197" s="35" t="s">
        <v>513</v>
      </c>
      <c r="K197" s="36" t="s">
        <v>511</v>
      </c>
      <c r="L197" s="516">
        <v>45271.708333333336</v>
      </c>
      <c r="M197" s="591"/>
      <c r="N197" s="591"/>
      <c r="O197" s="206"/>
      <c r="P197" s="205"/>
      <c r="Q197" s="616"/>
      <c r="R197" s="204"/>
      <c r="S197" s="617"/>
      <c r="T197" s="613"/>
      <c r="U197" s="613"/>
      <c r="V197" s="613"/>
      <c r="W197" s="613"/>
      <c r="X197" s="613"/>
      <c r="Y197" s="613"/>
      <c r="Z197" s="613"/>
      <c r="AA197" s="613"/>
      <c r="AB197" s="616"/>
      <c r="AC197" s="616"/>
      <c r="AD197" s="616"/>
      <c r="AE197" s="616"/>
      <c r="AF197" s="616"/>
      <c r="AG197" s="613"/>
      <c r="AH197" s="613"/>
      <c r="AI197" s="613"/>
      <c r="AJ197" s="613"/>
      <c r="AK197" s="613"/>
      <c r="AL197" s="613"/>
      <c r="AM197" s="613"/>
      <c r="AN197" s="613"/>
      <c r="AO197" s="613"/>
      <c r="AP197" s="613"/>
      <c r="AQ197" s="613"/>
      <c r="AR197" s="613"/>
      <c r="AS197" s="613"/>
      <c r="AT197" s="613"/>
      <c r="AU197" s="613"/>
      <c r="AV197" s="613"/>
      <c r="AW197" s="613"/>
      <c r="AX197" s="613"/>
      <c r="AY197" s="613"/>
      <c r="AZ197" s="613"/>
      <c r="BA197" s="613"/>
      <c r="BB197" s="613"/>
      <c r="BC197" s="613"/>
      <c r="BD197" s="613"/>
      <c r="BE197" s="613"/>
    </row>
    <row r="198" spans="2:57">
      <c r="B198" s="35" t="s">
        <v>514</v>
      </c>
      <c r="C198" s="35"/>
      <c r="D198" s="591"/>
      <c r="E198" s="36" t="s">
        <v>511</v>
      </c>
      <c r="F198" s="311" t="s">
        <v>4380</v>
      </c>
      <c r="G198" s="591"/>
      <c r="H198" s="33"/>
      <c r="I198" s="615"/>
      <c r="J198" s="35" t="s">
        <v>516</v>
      </c>
      <c r="K198" s="36" t="s">
        <v>511</v>
      </c>
      <c r="L198" s="516">
        <v>45273.274305555555</v>
      </c>
      <c r="M198" s="591"/>
      <c r="N198" s="591"/>
      <c r="O198" s="206"/>
      <c r="P198" s="205"/>
      <c r="Q198" s="616"/>
      <c r="R198" s="204"/>
      <c r="S198" s="617"/>
      <c r="T198" s="613"/>
      <c r="U198" s="613"/>
      <c r="V198" s="613"/>
      <c r="W198" s="613"/>
      <c r="X198" s="613"/>
      <c r="Y198" s="613"/>
      <c r="Z198" s="613"/>
      <c r="AA198" s="613"/>
      <c r="AB198" s="616"/>
      <c r="AC198" s="616"/>
      <c r="AD198" s="616"/>
      <c r="AE198" s="616"/>
      <c r="AF198" s="616"/>
      <c r="AG198" s="613"/>
      <c r="AH198" s="613"/>
      <c r="AI198" s="613"/>
      <c r="AJ198" s="613"/>
      <c r="AK198" s="613"/>
      <c r="AL198" s="613"/>
      <c r="AM198" s="613"/>
      <c r="AN198" s="613"/>
      <c r="AO198" s="613"/>
      <c r="AP198" s="613"/>
      <c r="AQ198" s="613"/>
      <c r="AR198" s="613"/>
      <c r="AS198" s="613"/>
      <c r="AT198" s="613"/>
      <c r="AU198" s="613"/>
      <c r="AV198" s="613"/>
      <c r="AW198" s="613"/>
      <c r="AX198" s="613"/>
      <c r="AY198" s="613"/>
      <c r="AZ198" s="613"/>
      <c r="BA198" s="613"/>
      <c r="BB198" s="613"/>
      <c r="BC198" s="613"/>
      <c r="BD198" s="613"/>
      <c r="BE198" s="613"/>
    </row>
    <row r="199" spans="2:57">
      <c r="B199" s="35" t="s">
        <v>517</v>
      </c>
      <c r="C199" s="35"/>
      <c r="D199" s="591"/>
      <c r="E199" s="36" t="s">
        <v>511</v>
      </c>
      <c r="F199" s="516">
        <v>45269.805555555555</v>
      </c>
      <c r="G199" s="591"/>
      <c r="H199" s="33"/>
      <c r="I199" s="615"/>
      <c r="J199" s="35" t="s">
        <v>518</v>
      </c>
      <c r="K199" s="36" t="s">
        <v>511</v>
      </c>
      <c r="L199" s="692">
        <v>55000</v>
      </c>
      <c r="M199" s="619" t="s">
        <v>519</v>
      </c>
      <c r="N199" s="619"/>
      <c r="O199" s="206"/>
      <c r="P199" s="205"/>
      <c r="Q199" s="616"/>
      <c r="R199" s="204"/>
      <c r="S199" s="617"/>
      <c r="T199" s="613"/>
      <c r="U199" s="613"/>
      <c r="V199" s="613"/>
      <c r="W199" s="613"/>
      <c r="X199" s="613"/>
      <c r="Y199" s="613"/>
      <c r="Z199" s="613"/>
      <c r="AA199" s="613"/>
      <c r="AB199" s="616"/>
      <c r="AC199" s="616"/>
      <c r="AD199" s="616"/>
      <c r="AE199" s="616"/>
      <c r="AF199" s="616"/>
      <c r="AG199" s="613"/>
      <c r="AH199" s="613"/>
      <c r="AI199" s="613"/>
      <c r="AJ199" s="613"/>
      <c r="AK199" s="613"/>
      <c r="AL199" s="613"/>
      <c r="AM199" s="613"/>
      <c r="AN199" s="613"/>
      <c r="AO199" s="613"/>
      <c r="AP199" s="613"/>
      <c r="AQ199" s="613"/>
      <c r="AR199" s="613"/>
      <c r="AS199" s="613"/>
      <c r="AT199" s="613"/>
      <c r="AU199" s="613"/>
      <c r="AV199" s="613"/>
      <c r="AW199" s="613"/>
      <c r="AX199" s="613"/>
      <c r="AY199" s="613"/>
      <c r="AZ199" s="613"/>
      <c r="BA199" s="613"/>
      <c r="BB199" s="613"/>
      <c r="BC199" s="613"/>
      <c r="BD199" s="613"/>
      <c r="BE199" s="613"/>
    </row>
    <row r="200" spans="2:57">
      <c r="B200" s="35" t="s">
        <v>520</v>
      </c>
      <c r="C200" s="35"/>
      <c r="D200" s="591"/>
      <c r="E200" s="36" t="s">
        <v>511</v>
      </c>
      <c r="F200" s="37" t="s">
        <v>12</v>
      </c>
      <c r="G200" s="591"/>
      <c r="H200" s="33"/>
      <c r="I200" s="615"/>
      <c r="J200" s="35" t="s">
        <v>521</v>
      </c>
      <c r="K200" s="36" t="s">
        <v>511</v>
      </c>
      <c r="L200" s="839" t="s">
        <v>3180</v>
      </c>
      <c r="M200" s="591"/>
      <c r="N200" s="591"/>
      <c r="O200" s="206"/>
      <c r="P200" s="616"/>
      <c r="Q200" s="616"/>
      <c r="R200" s="204"/>
      <c r="S200" s="617"/>
      <c r="T200" s="613"/>
      <c r="U200" s="613"/>
      <c r="V200" s="613"/>
      <c r="W200" s="613"/>
      <c r="X200" s="613"/>
      <c r="Y200" s="613"/>
      <c r="Z200" s="613"/>
      <c r="AA200" s="613"/>
      <c r="AB200" s="616"/>
      <c r="AC200" s="616"/>
      <c r="AD200" s="616"/>
      <c r="AE200" s="616"/>
      <c r="AF200" s="616"/>
      <c r="AG200" s="613"/>
      <c r="AH200" s="613"/>
      <c r="AI200" s="613"/>
      <c r="AJ200" s="613"/>
      <c r="AK200" s="613"/>
      <c r="AL200" s="613"/>
      <c r="AM200" s="613"/>
      <c r="AN200" s="613"/>
      <c r="AO200" s="613"/>
      <c r="AP200" s="613"/>
      <c r="AQ200" s="613"/>
      <c r="AR200" s="613"/>
      <c r="AS200" s="613"/>
      <c r="AT200" s="613"/>
      <c r="AU200" s="613"/>
      <c r="AV200" s="613"/>
      <c r="AW200" s="613"/>
      <c r="AX200" s="613"/>
      <c r="AY200" s="613"/>
      <c r="AZ200" s="613"/>
      <c r="BA200" s="613"/>
      <c r="BB200" s="613"/>
      <c r="BC200" s="613"/>
      <c r="BD200" s="613"/>
      <c r="BE200" s="613"/>
    </row>
    <row r="201" spans="2:57">
      <c r="B201" s="35" t="s">
        <v>523</v>
      </c>
      <c r="C201" s="35"/>
      <c r="D201" s="591"/>
      <c r="E201" s="36" t="s">
        <v>511</v>
      </c>
      <c r="F201" s="37" t="s">
        <v>37</v>
      </c>
      <c r="G201" s="591"/>
      <c r="H201" s="33"/>
      <c r="I201" s="615"/>
      <c r="J201" s="35" t="s">
        <v>524</v>
      </c>
      <c r="K201" s="36" t="s">
        <v>511</v>
      </c>
      <c r="L201" s="621" t="s">
        <v>11</v>
      </c>
      <c r="M201" s="611"/>
      <c r="N201" s="611"/>
      <c r="O201" s="206"/>
      <c r="P201" s="205"/>
      <c r="Q201" s="616"/>
      <c r="R201" s="204"/>
      <c r="S201" s="617"/>
      <c r="T201" s="613"/>
      <c r="U201" s="613"/>
      <c r="V201" s="613"/>
      <c r="W201" s="613"/>
      <c r="X201" s="613"/>
      <c r="Y201" s="613"/>
      <c r="Z201" s="613"/>
      <c r="AA201" s="613"/>
      <c r="AB201" s="616"/>
      <c r="AC201" s="616"/>
      <c r="AD201" s="616"/>
      <c r="AE201" s="616"/>
      <c r="AF201" s="616"/>
      <c r="AG201" s="613"/>
      <c r="AH201" s="613"/>
      <c r="AI201" s="613"/>
      <c r="AJ201" s="613"/>
      <c r="AK201" s="613"/>
      <c r="AL201" s="613"/>
      <c r="AM201" s="613"/>
      <c r="AN201" s="613"/>
      <c r="AO201" s="613"/>
      <c r="AP201" s="613"/>
      <c r="AQ201" s="613"/>
      <c r="AR201" s="613"/>
      <c r="AS201" s="613"/>
      <c r="AT201" s="613"/>
      <c r="AU201" s="613"/>
      <c r="AV201" s="613"/>
      <c r="AW201" s="613"/>
      <c r="AX201" s="613"/>
      <c r="AY201" s="613"/>
      <c r="AZ201" s="613"/>
      <c r="BA201" s="613"/>
      <c r="BB201" s="613"/>
      <c r="BC201" s="613"/>
      <c r="BD201" s="613"/>
      <c r="BE201" s="613"/>
    </row>
    <row r="202" spans="2:57">
      <c r="B202" s="35" t="s">
        <v>2</v>
      </c>
      <c r="C202" s="35"/>
      <c r="D202" s="591"/>
      <c r="E202" s="36" t="s">
        <v>511</v>
      </c>
      <c r="F202" s="37" t="s">
        <v>40</v>
      </c>
      <c r="G202" s="591"/>
      <c r="H202" s="33"/>
      <c r="I202" s="622"/>
      <c r="J202" s="35"/>
      <c r="K202" s="36"/>
      <c r="L202" s="211"/>
      <c r="M202" s="613"/>
      <c r="N202" s="613"/>
      <c r="O202" s="35"/>
      <c r="P202" s="611"/>
      <c r="Q202" s="611"/>
      <c r="R202" s="611"/>
      <c r="S202" s="615"/>
      <c r="T202" s="613"/>
      <c r="U202" s="613"/>
      <c r="V202" s="613"/>
      <c r="W202" s="613"/>
      <c r="X202" s="613"/>
      <c r="Y202" s="613"/>
      <c r="Z202" s="613"/>
      <c r="AA202" s="613"/>
      <c r="AB202" s="615"/>
      <c r="AC202" s="615"/>
      <c r="AD202" s="615"/>
      <c r="AE202" s="615"/>
      <c r="AF202" s="615"/>
      <c r="AG202" s="615"/>
      <c r="AH202" s="615"/>
      <c r="AI202" s="615"/>
      <c r="AJ202" s="615"/>
      <c r="AK202" s="615"/>
      <c r="AL202" s="615"/>
      <c r="AM202" s="615"/>
      <c r="AN202" s="615"/>
      <c r="AO202" s="613"/>
      <c r="AP202" s="613"/>
      <c r="AQ202" s="613"/>
      <c r="AR202" s="613"/>
      <c r="AS202" s="613"/>
      <c r="AT202" s="613"/>
      <c r="AU202" s="613"/>
      <c r="AV202" s="613"/>
      <c r="AW202" s="613"/>
      <c r="AX202" s="613"/>
      <c r="AY202" s="613"/>
      <c r="AZ202" s="613"/>
      <c r="BA202" s="613"/>
      <c r="BB202" s="613"/>
      <c r="BC202" s="613"/>
      <c r="BD202" s="613"/>
      <c r="BE202" s="613"/>
    </row>
    <row r="203" spans="2:57">
      <c r="B203" s="613"/>
      <c r="C203" s="613"/>
      <c r="D203" s="613"/>
      <c r="E203" s="613"/>
      <c r="F203" s="613"/>
      <c r="G203" s="613"/>
      <c r="H203" s="613"/>
      <c r="I203" s="622"/>
      <c r="J203" s="35"/>
      <c r="K203" s="35"/>
      <c r="L203" s="621"/>
      <c r="M203" s="611"/>
      <c r="N203" s="611"/>
      <c r="O203" s="35"/>
      <c r="P203" s="611"/>
      <c r="Q203" s="611"/>
      <c r="R203" s="611"/>
      <c r="S203" s="615"/>
      <c r="T203" s="1317" t="s">
        <v>87</v>
      </c>
      <c r="U203" s="1317"/>
      <c r="V203" s="1317"/>
      <c r="W203" s="1317"/>
      <c r="X203" s="1317"/>
      <c r="Y203" s="1317" t="s">
        <v>73</v>
      </c>
      <c r="Z203" s="1317"/>
      <c r="AA203" s="1317"/>
      <c r="AB203" s="1317" t="s">
        <v>74</v>
      </c>
      <c r="AC203" s="1317"/>
      <c r="AD203" s="623" t="s">
        <v>85</v>
      </c>
      <c r="AE203" s="854" t="s">
        <v>77</v>
      </c>
      <c r="AF203" s="1459" t="s">
        <v>525</v>
      </c>
      <c r="AG203" s="1459"/>
      <c r="AH203" s="1459"/>
      <c r="AI203" s="1459"/>
      <c r="AJ203" s="1459"/>
      <c r="AK203" s="1459"/>
      <c r="AL203" s="1459"/>
      <c r="AM203" s="1459"/>
      <c r="AN203" s="1459"/>
      <c r="AO203" s="1459"/>
      <c r="AP203" s="1459"/>
      <c r="AQ203" s="1459"/>
      <c r="AR203" s="1459"/>
      <c r="AS203" s="1459"/>
      <c r="AT203" s="1459"/>
      <c r="AU203" s="1459"/>
      <c r="AV203" s="1459"/>
      <c r="AW203" s="1459"/>
      <c r="AX203" s="1459"/>
      <c r="AY203" s="1459"/>
      <c r="AZ203" s="1459"/>
      <c r="BA203" s="1459"/>
      <c r="BB203" s="1459"/>
      <c r="BC203" s="1459"/>
      <c r="BD203" s="1459"/>
      <c r="BE203" s="613"/>
    </row>
    <row r="204" spans="2:57">
      <c r="B204" s="1318" t="s">
        <v>526</v>
      </c>
      <c r="C204" s="1319"/>
      <c r="D204" s="624" t="s">
        <v>527</v>
      </c>
      <c r="E204" s="624"/>
      <c r="F204" s="624" t="s">
        <v>528</v>
      </c>
      <c r="G204" s="624" t="s">
        <v>529</v>
      </c>
      <c r="H204" s="624" t="s">
        <v>530</v>
      </c>
      <c r="I204" s="624" t="s">
        <v>531</v>
      </c>
      <c r="J204" s="624" t="s">
        <v>532</v>
      </c>
      <c r="K204" s="624"/>
      <c r="L204" s="624" t="s">
        <v>130</v>
      </c>
      <c r="M204" s="624" t="s">
        <v>533</v>
      </c>
      <c r="N204" s="1040" t="str">
        <f>"On time - "&amp;COUNTIF(N205:N214,"On time")&amp;" from "&amp;ROWS(N205:N214)-COUNTIF(N205:N214," ")</f>
        <v>On time - 9 from 9</v>
      </c>
      <c r="O204" s="626"/>
      <c r="P204" s="627" t="s">
        <v>534</v>
      </c>
      <c r="Q204" s="627" t="s">
        <v>535</v>
      </c>
      <c r="R204" s="627" t="s">
        <v>536</v>
      </c>
      <c r="S204" s="591"/>
      <c r="T204" s="628" t="s">
        <v>537</v>
      </c>
      <c r="U204" s="628" t="s">
        <v>538</v>
      </c>
      <c r="V204" s="628" t="s">
        <v>539</v>
      </c>
      <c r="W204" s="628" t="s">
        <v>540</v>
      </c>
      <c r="X204" s="628" t="s">
        <v>541</v>
      </c>
      <c r="Y204" s="628" t="s">
        <v>167</v>
      </c>
      <c r="Z204" s="628" t="s">
        <v>168</v>
      </c>
      <c r="AA204" s="628" t="s">
        <v>169</v>
      </c>
      <c r="AB204" s="628" t="s">
        <v>235</v>
      </c>
      <c r="AC204" s="628" t="s">
        <v>240</v>
      </c>
      <c r="AD204" s="623" t="s">
        <v>85</v>
      </c>
      <c r="AE204" s="628" t="s">
        <v>139</v>
      </c>
      <c r="AF204" s="855" t="s">
        <v>72</v>
      </c>
      <c r="AG204" s="855" t="s">
        <v>88</v>
      </c>
      <c r="AH204" s="855" t="s">
        <v>75</v>
      </c>
      <c r="AI204" s="855" t="s">
        <v>543</v>
      </c>
      <c r="AJ204" s="855" t="s">
        <v>78</v>
      </c>
      <c r="AK204" s="855" t="s">
        <v>76</v>
      </c>
      <c r="AL204" s="855" t="s">
        <v>544</v>
      </c>
      <c r="AM204" s="855" t="s">
        <v>545</v>
      </c>
      <c r="AN204" s="855" t="s">
        <v>86</v>
      </c>
      <c r="AO204" s="855" t="s">
        <v>83</v>
      </c>
      <c r="AP204" s="855" t="s">
        <v>84</v>
      </c>
      <c r="AQ204" s="855" t="s">
        <v>546</v>
      </c>
      <c r="AR204" s="855" t="s">
        <v>81</v>
      </c>
      <c r="AS204" s="855" t="s">
        <v>80</v>
      </c>
      <c r="AT204" s="855" t="s">
        <v>82</v>
      </c>
      <c r="AU204" s="855" t="s">
        <v>181</v>
      </c>
      <c r="AV204" s="855" t="s">
        <v>183</v>
      </c>
      <c r="AW204" s="855" t="s">
        <v>547</v>
      </c>
      <c r="AX204" s="855" t="s">
        <v>182</v>
      </c>
      <c r="AY204" s="855" t="s">
        <v>172</v>
      </c>
      <c r="AZ204" s="855" t="s">
        <v>173</v>
      </c>
      <c r="BA204" s="855" t="s">
        <v>184</v>
      </c>
      <c r="BB204" s="855" t="s">
        <v>100</v>
      </c>
      <c r="BC204" s="855" t="s">
        <v>913</v>
      </c>
      <c r="BD204" s="855" t="s">
        <v>2747</v>
      </c>
      <c r="BE204" s="613"/>
    </row>
    <row r="205" spans="2:57">
      <c r="B205" s="1326" t="s">
        <v>2021</v>
      </c>
      <c r="C205" s="1327"/>
      <c r="D205" s="501" t="s">
        <v>3583</v>
      </c>
      <c r="E205" s="502"/>
      <c r="F205" s="501" t="s">
        <v>1240</v>
      </c>
      <c r="G205" s="501" t="s">
        <v>1241</v>
      </c>
      <c r="H205" s="629">
        <f>7836.989/3</f>
        <v>2612.3296666666665</v>
      </c>
      <c r="I205" s="584" t="s">
        <v>235</v>
      </c>
      <c r="J205" s="504">
        <v>45264.861111111109</v>
      </c>
      <c r="K205" s="574"/>
      <c r="L205" s="574" t="s">
        <v>192</v>
      </c>
      <c r="M205" s="574" t="s">
        <v>192</v>
      </c>
      <c r="N205" s="505" t="str">
        <f>IF(ISBLANK(J205)," ",IF(J205&lt;$F$199,"On time",(IF(DAY(J205-$F$199)&lt;1,"On time",(IF(J205&gt;$F$199,"DELAY ( "&amp;DAY(J205-$F$199)&amp;" day "&amp;HOUR(J205-$F$199)&amp;" hour "&amp;MINUTE(J205-$F$199)&amp;" minute )","xxx"))))))</f>
        <v>On time</v>
      </c>
      <c r="O205" s="597"/>
      <c r="P205" s="507" t="s">
        <v>551</v>
      </c>
      <c r="Q205" s="507" t="s">
        <v>551</v>
      </c>
      <c r="R205" s="507" t="s">
        <v>551</v>
      </c>
      <c r="S205" s="598"/>
      <c r="T205" s="599"/>
      <c r="U205" s="599"/>
      <c r="V205" s="599"/>
      <c r="W205" s="599"/>
      <c r="X205" s="599"/>
      <c r="Y205" s="599"/>
      <c r="Z205" s="599"/>
      <c r="AA205" s="599"/>
      <c r="AB205" s="599">
        <f>H205</f>
        <v>2612.3296666666665</v>
      </c>
      <c r="AC205" s="599"/>
      <c r="AD205" s="599"/>
      <c r="AE205" s="599"/>
      <c r="AF205" s="599"/>
      <c r="AG205" s="599"/>
      <c r="AH205" s="599"/>
      <c r="AI205" s="599"/>
      <c r="AJ205" s="599"/>
      <c r="AK205" s="599"/>
      <c r="AL205" s="599"/>
      <c r="AM205" s="599"/>
      <c r="AN205" s="599"/>
      <c r="AO205" s="599"/>
      <c r="AP205" s="599"/>
      <c r="AQ205" s="599"/>
      <c r="AR205" s="599"/>
      <c r="AS205" s="599"/>
      <c r="AT205" s="599"/>
      <c r="AU205" s="599"/>
      <c r="AV205" s="599"/>
      <c r="AW205" s="599"/>
      <c r="AX205" s="599"/>
      <c r="AY205" s="599"/>
      <c r="AZ205" s="599"/>
      <c r="BA205" s="599"/>
      <c r="BB205" s="599"/>
      <c r="BC205" s="599"/>
      <c r="BD205" s="599"/>
      <c r="BE205" s="598"/>
    </row>
    <row r="206" spans="2:57">
      <c r="B206" s="1328"/>
      <c r="C206" s="1329"/>
      <c r="D206" s="501" t="s">
        <v>3883</v>
      </c>
      <c r="E206" s="501"/>
      <c r="F206" s="501" t="s">
        <v>343</v>
      </c>
      <c r="G206" s="501" t="s">
        <v>344</v>
      </c>
      <c r="H206" s="629">
        <v>7465.48</v>
      </c>
      <c r="I206" s="584" t="s">
        <v>835</v>
      </c>
      <c r="J206" s="504">
        <v>45265.395833333336</v>
      </c>
      <c r="K206" s="504"/>
      <c r="L206" s="574" t="s">
        <v>192</v>
      </c>
      <c r="M206" s="574" t="s">
        <v>192</v>
      </c>
      <c r="N206" s="505" t="str">
        <f t="shared" ref="N206:N215" si="16">IF(ISBLANK(J206)," ",IF(J206&lt;$F$199,"On time",(IF(DAY(J206-$F$199)&lt;1,"On time",(IF(J206&gt;$F$199,"DELAY ( "&amp;DAY(J206-$F$199)&amp;" day "&amp;HOUR(J206-$F$199)&amp;" hour "&amp;MINUTE(J206-$F$199)&amp;" minute )","xxx"))))))</f>
        <v>On time</v>
      </c>
      <c r="O206" s="597"/>
      <c r="P206" s="507" t="s">
        <v>551</v>
      </c>
      <c r="Q206" s="507" t="s">
        <v>551</v>
      </c>
      <c r="R206" s="507" t="s">
        <v>551</v>
      </c>
      <c r="S206" s="598"/>
      <c r="T206" s="599"/>
      <c r="U206" s="599"/>
      <c r="V206" s="599"/>
      <c r="W206" s="599"/>
      <c r="X206" s="599"/>
      <c r="Y206" s="599"/>
      <c r="Z206" s="599">
        <f>H206</f>
        <v>7465.48</v>
      </c>
      <c r="AA206" s="599"/>
      <c r="AB206" s="599"/>
      <c r="AC206" s="599"/>
      <c r="AD206" s="599"/>
      <c r="AE206" s="599"/>
      <c r="AF206" s="599"/>
      <c r="AG206" s="599"/>
      <c r="AH206" s="599"/>
      <c r="AI206" s="599"/>
      <c r="AJ206" s="599"/>
      <c r="AK206" s="598"/>
      <c r="AL206" s="599"/>
      <c r="AM206" s="599"/>
      <c r="AN206" s="599"/>
      <c r="AO206" s="599"/>
      <c r="AP206" s="599"/>
      <c r="AQ206" s="599"/>
      <c r="AR206" s="599"/>
      <c r="AS206" s="599"/>
      <c r="AT206" s="599"/>
      <c r="AU206" s="599"/>
      <c r="AV206" s="599"/>
      <c r="AW206" s="599"/>
      <c r="AX206" s="598"/>
      <c r="AY206" s="599"/>
      <c r="AZ206" s="599"/>
      <c r="BA206" s="599"/>
      <c r="BB206" s="599"/>
      <c r="BC206" s="599"/>
      <c r="BD206" s="599"/>
      <c r="BE206" s="598"/>
    </row>
    <row r="207" spans="2:57">
      <c r="B207" s="1326" t="s">
        <v>2021</v>
      </c>
      <c r="C207" s="1327"/>
      <c r="D207" s="501" t="s">
        <v>3583</v>
      </c>
      <c r="E207" s="502"/>
      <c r="F207" s="501" t="s">
        <v>1240</v>
      </c>
      <c r="G207" s="501" t="s">
        <v>1241</v>
      </c>
      <c r="H207" s="629">
        <f>H205</f>
        <v>2612.3296666666665</v>
      </c>
      <c r="I207" s="584" t="s">
        <v>235</v>
      </c>
      <c r="J207" s="504">
        <f>J205</f>
        <v>45264.861111111109</v>
      </c>
      <c r="K207" s="574"/>
      <c r="L207" s="574" t="s">
        <v>192</v>
      </c>
      <c r="M207" s="574" t="s">
        <v>192</v>
      </c>
      <c r="N207" s="505" t="str">
        <f t="shared" si="16"/>
        <v>On time</v>
      </c>
      <c r="O207" s="597"/>
      <c r="P207" s="507" t="s">
        <v>551</v>
      </c>
      <c r="Q207" s="507" t="s">
        <v>551</v>
      </c>
      <c r="R207" s="507" t="s">
        <v>551</v>
      </c>
      <c r="S207" s="598"/>
      <c r="T207" s="599"/>
      <c r="U207" s="599"/>
      <c r="V207" s="599"/>
      <c r="W207" s="599"/>
      <c r="X207" s="599"/>
      <c r="Y207" s="599"/>
      <c r="Z207" s="599"/>
      <c r="AA207" s="599"/>
      <c r="AB207" s="599">
        <f>H207</f>
        <v>2612.3296666666665</v>
      </c>
      <c r="AC207" s="599"/>
      <c r="AD207" s="599"/>
      <c r="AE207" s="599"/>
      <c r="AF207" s="599"/>
      <c r="AG207" s="599"/>
      <c r="AH207" s="599"/>
      <c r="AI207" s="599"/>
      <c r="AJ207" s="599"/>
      <c r="AK207" s="599"/>
      <c r="AL207" s="599"/>
      <c r="AM207" s="599"/>
      <c r="AN207" s="599"/>
      <c r="AO207" s="599"/>
      <c r="AP207" s="599"/>
      <c r="AQ207" s="599"/>
      <c r="AR207" s="599"/>
      <c r="AS207" s="599"/>
      <c r="AT207" s="599"/>
      <c r="AU207" s="599"/>
      <c r="AV207" s="599"/>
      <c r="AW207" s="599"/>
      <c r="AX207" s="599"/>
      <c r="AY207" s="599"/>
      <c r="AZ207" s="599"/>
      <c r="BA207" s="599"/>
      <c r="BB207" s="599"/>
      <c r="BC207" s="599"/>
      <c r="BD207" s="599"/>
      <c r="BE207" s="598"/>
    </row>
    <row r="208" spans="2:57">
      <c r="B208" s="1328"/>
      <c r="C208" s="1329"/>
      <c r="D208" s="501" t="s">
        <v>3880</v>
      </c>
      <c r="E208" s="501"/>
      <c r="F208" s="501" t="s">
        <v>1848</v>
      </c>
      <c r="G208" s="501" t="s">
        <v>3786</v>
      </c>
      <c r="H208" s="629">
        <v>7466.1080000000002</v>
      </c>
      <c r="I208" s="584" t="s">
        <v>835</v>
      </c>
      <c r="J208" s="504">
        <v>45265.458333333328</v>
      </c>
      <c r="K208" s="574"/>
      <c r="L208" s="574" t="s">
        <v>192</v>
      </c>
      <c r="M208" s="574" t="s">
        <v>192</v>
      </c>
      <c r="N208" s="505" t="str">
        <f t="shared" si="16"/>
        <v>On time</v>
      </c>
      <c r="O208" s="597"/>
      <c r="P208" s="507" t="s">
        <v>551</v>
      </c>
      <c r="Q208" s="507" t="s">
        <v>551</v>
      </c>
      <c r="R208" s="507" t="s">
        <v>551</v>
      </c>
      <c r="S208" s="598"/>
      <c r="T208" s="599"/>
      <c r="U208" s="599"/>
      <c r="V208" s="599"/>
      <c r="W208" s="599"/>
      <c r="X208" s="599"/>
      <c r="Y208" s="599"/>
      <c r="Z208" s="599">
        <f>H208</f>
        <v>7466.1080000000002</v>
      </c>
      <c r="AA208" s="599"/>
      <c r="AB208" s="599"/>
      <c r="AC208" s="599"/>
      <c r="AD208" s="599"/>
      <c r="AE208" s="599"/>
      <c r="AF208" s="599"/>
      <c r="AG208" s="599"/>
      <c r="AH208" s="599"/>
      <c r="AI208" s="599"/>
      <c r="AJ208" s="599"/>
      <c r="AK208" s="599"/>
      <c r="AL208" s="599"/>
      <c r="AM208" s="599"/>
      <c r="AN208" s="599"/>
      <c r="AO208" s="599"/>
      <c r="AP208" s="599"/>
      <c r="AQ208" s="599"/>
      <c r="AR208" s="599"/>
      <c r="AS208" s="599"/>
      <c r="AT208" s="599"/>
      <c r="AU208" s="599"/>
      <c r="AV208" s="599"/>
      <c r="AW208" s="599"/>
      <c r="AX208" s="599"/>
      <c r="AY208" s="599"/>
      <c r="AZ208" s="599"/>
      <c r="BA208" s="599"/>
      <c r="BB208" s="599"/>
      <c r="BC208" s="599"/>
      <c r="BD208" s="599"/>
      <c r="BE208" s="598"/>
    </row>
    <row r="209" spans="2:57">
      <c r="B209" s="1326" t="s">
        <v>2021</v>
      </c>
      <c r="C209" s="1327"/>
      <c r="D209" s="501" t="s">
        <v>3583</v>
      </c>
      <c r="E209" s="502"/>
      <c r="F209" s="501" t="s">
        <v>1240</v>
      </c>
      <c r="G209" s="501" t="s">
        <v>1241</v>
      </c>
      <c r="H209" s="629">
        <f>H207</f>
        <v>2612.3296666666665</v>
      </c>
      <c r="I209" s="584" t="s">
        <v>235</v>
      </c>
      <c r="J209" s="504">
        <f>J207</f>
        <v>45264.861111111109</v>
      </c>
      <c r="K209" s="574"/>
      <c r="L209" s="574" t="s">
        <v>192</v>
      </c>
      <c r="M209" s="574" t="s">
        <v>192</v>
      </c>
      <c r="N209" s="505" t="str">
        <f t="shared" si="16"/>
        <v>On time</v>
      </c>
      <c r="O209" s="597"/>
      <c r="P209" s="507" t="s">
        <v>551</v>
      </c>
      <c r="Q209" s="507" t="s">
        <v>551</v>
      </c>
      <c r="R209" s="507" t="s">
        <v>551</v>
      </c>
      <c r="S209" s="598"/>
      <c r="T209" s="599"/>
      <c r="U209" s="599"/>
      <c r="V209" s="599"/>
      <c r="W209" s="599"/>
      <c r="X209" s="599"/>
      <c r="Y209" s="599"/>
      <c r="Z209" s="599"/>
      <c r="AA209" s="599"/>
      <c r="AB209" s="599">
        <f>H209</f>
        <v>2612.3296666666665</v>
      </c>
      <c r="AC209" s="599"/>
      <c r="AD209" s="599"/>
      <c r="AE209" s="599"/>
      <c r="AF209" s="599"/>
      <c r="AG209" s="599"/>
      <c r="AH209" s="599"/>
      <c r="AI209" s="599"/>
      <c r="AJ209" s="599"/>
      <c r="AK209" s="599"/>
      <c r="AL209" s="599"/>
      <c r="AM209" s="599"/>
      <c r="AN209" s="599"/>
      <c r="AO209" s="599"/>
      <c r="AP209" s="599"/>
      <c r="AQ209" s="599"/>
      <c r="AR209" s="599"/>
      <c r="AS209" s="599"/>
      <c r="AT209" s="599"/>
      <c r="AU209" s="599"/>
      <c r="AV209" s="599"/>
      <c r="AW209" s="599"/>
      <c r="AX209" s="599"/>
      <c r="AY209" s="599"/>
      <c r="AZ209" s="599"/>
      <c r="BA209" s="599"/>
      <c r="BB209" s="599"/>
      <c r="BC209" s="599"/>
      <c r="BD209" s="599"/>
      <c r="BE209" s="598"/>
    </row>
    <row r="210" spans="2:57">
      <c r="B210" s="1328"/>
      <c r="C210" s="1329"/>
      <c r="D210" s="501" t="s">
        <v>3882</v>
      </c>
      <c r="E210" s="501"/>
      <c r="F210" s="501" t="s">
        <v>2207</v>
      </c>
      <c r="G210" s="501" t="s">
        <v>2208</v>
      </c>
      <c r="H210" s="629">
        <v>7330.8029999999999</v>
      </c>
      <c r="I210" s="584" t="s">
        <v>835</v>
      </c>
      <c r="J210" s="504">
        <v>45265.465277777781</v>
      </c>
      <c r="K210" s="574"/>
      <c r="L210" s="574" t="s">
        <v>192</v>
      </c>
      <c r="M210" s="574" t="s">
        <v>192</v>
      </c>
      <c r="N210" s="505" t="str">
        <f t="shared" si="16"/>
        <v>On time</v>
      </c>
      <c r="O210" s="597"/>
      <c r="P210" s="507" t="s">
        <v>551</v>
      </c>
      <c r="Q210" s="507" t="s">
        <v>551</v>
      </c>
      <c r="R210" s="507" t="s">
        <v>551</v>
      </c>
      <c r="S210" s="598"/>
      <c r="T210" s="599"/>
      <c r="U210" s="599"/>
      <c r="V210" s="599"/>
      <c r="W210" s="599"/>
      <c r="X210" s="598"/>
      <c r="Y210" s="599"/>
      <c r="Z210" s="599">
        <f>H210</f>
        <v>7330.8029999999999</v>
      </c>
      <c r="AA210" s="599"/>
      <c r="AB210" s="599"/>
      <c r="AC210" s="599"/>
      <c r="AD210" s="599"/>
      <c r="AE210" s="599"/>
      <c r="AF210" s="599"/>
      <c r="AG210" s="599"/>
      <c r="AH210" s="599"/>
      <c r="AI210" s="599"/>
      <c r="AJ210" s="599"/>
      <c r="AK210" s="599"/>
      <c r="AL210" s="599"/>
      <c r="AM210" s="599"/>
      <c r="AN210" s="599"/>
      <c r="AO210" s="599"/>
      <c r="AP210" s="599"/>
      <c r="AQ210" s="599"/>
      <c r="AR210" s="599"/>
      <c r="AS210" s="599"/>
      <c r="AT210" s="599"/>
      <c r="AU210" s="599"/>
      <c r="AV210" s="599"/>
      <c r="AW210" s="599"/>
      <c r="AX210" s="599"/>
      <c r="AY210" s="599"/>
      <c r="AZ210" s="599"/>
      <c r="BA210" s="599"/>
      <c r="BB210" s="599"/>
      <c r="BC210" s="599"/>
      <c r="BD210" s="599"/>
      <c r="BE210" s="598"/>
    </row>
    <row r="211" spans="2:57">
      <c r="B211" s="1326" t="s">
        <v>4381</v>
      </c>
      <c r="C211" s="1327"/>
      <c r="D211" s="501" t="s">
        <v>3885</v>
      </c>
      <c r="E211" s="501"/>
      <c r="F211" s="501" t="s">
        <v>358</v>
      </c>
      <c r="G211" s="501" t="s">
        <v>359</v>
      </c>
      <c r="H211" s="629">
        <v>8501.1319999999996</v>
      </c>
      <c r="I211" s="584" t="s">
        <v>835</v>
      </c>
      <c r="J211" s="504">
        <v>45266.708333333336</v>
      </c>
      <c r="K211" s="504"/>
      <c r="L211" s="574" t="s">
        <v>192</v>
      </c>
      <c r="M211" s="574" t="s">
        <v>192</v>
      </c>
      <c r="N211" s="505" t="str">
        <f t="shared" si="16"/>
        <v>On time</v>
      </c>
      <c r="O211" s="597"/>
      <c r="P211" s="507" t="s">
        <v>551</v>
      </c>
      <c r="Q211" s="507" t="s">
        <v>551</v>
      </c>
      <c r="R211" s="507" t="s">
        <v>551</v>
      </c>
      <c r="S211" s="598"/>
      <c r="T211" s="599"/>
      <c r="U211" s="599"/>
      <c r="V211" s="599"/>
      <c r="W211" s="599"/>
      <c r="X211" s="599"/>
      <c r="Y211" s="599"/>
      <c r="Z211" s="599">
        <f t="shared" ref="Z211" si="17">H211</f>
        <v>8501.1319999999996</v>
      </c>
      <c r="AA211" s="599"/>
      <c r="AB211" s="599"/>
      <c r="AC211" s="599"/>
      <c r="AD211" s="599"/>
      <c r="AE211" s="599"/>
      <c r="AF211" s="599"/>
      <c r="AG211" s="599"/>
      <c r="AH211" s="599"/>
      <c r="AI211" s="599"/>
      <c r="AJ211" s="599"/>
      <c r="AK211" s="599"/>
      <c r="AL211" s="599"/>
      <c r="AM211" s="599"/>
      <c r="AN211" s="599"/>
      <c r="AO211" s="599"/>
      <c r="AP211" s="599"/>
      <c r="AQ211" s="599"/>
      <c r="AR211" s="599"/>
      <c r="AS211" s="599"/>
      <c r="AT211" s="599"/>
      <c r="AU211" s="599"/>
      <c r="AV211" s="599"/>
      <c r="AW211" s="599"/>
      <c r="AX211" s="598"/>
      <c r="AY211" s="599"/>
      <c r="AZ211" s="599"/>
      <c r="BA211" s="599"/>
      <c r="BB211" s="599"/>
      <c r="BC211" s="599"/>
      <c r="BD211" s="599"/>
      <c r="BE211" s="598"/>
    </row>
    <row r="212" spans="2:57">
      <c r="B212" s="1328"/>
      <c r="C212" s="1329"/>
      <c r="D212" s="501" t="s">
        <v>3687</v>
      </c>
      <c r="E212" s="502"/>
      <c r="F212" s="501" t="s">
        <v>403</v>
      </c>
      <c r="G212" s="501" t="s">
        <v>404</v>
      </c>
      <c r="H212" s="629">
        <f>7550.954/2</f>
        <v>3775.4769999999999</v>
      </c>
      <c r="I212" s="584" t="s">
        <v>172</v>
      </c>
      <c r="J212" s="1361">
        <v>45265.940972222219</v>
      </c>
      <c r="K212" s="574"/>
      <c r="L212" s="574" t="s">
        <v>192</v>
      </c>
      <c r="M212" s="574" t="s">
        <v>192</v>
      </c>
      <c r="N212" s="505" t="str">
        <f t="shared" si="16"/>
        <v>On time</v>
      </c>
      <c r="O212" s="597"/>
      <c r="P212" s="507" t="s">
        <v>551</v>
      </c>
      <c r="Q212" s="507" t="s">
        <v>551</v>
      </c>
      <c r="R212" s="507" t="s">
        <v>551</v>
      </c>
      <c r="S212" s="598"/>
      <c r="T212" s="599"/>
      <c r="U212" s="599"/>
      <c r="V212" s="599"/>
      <c r="W212" s="599"/>
      <c r="X212" s="599"/>
      <c r="Y212" s="599"/>
      <c r="Z212" s="599"/>
      <c r="AA212" s="599"/>
      <c r="AB212" s="599"/>
      <c r="AC212" s="599"/>
      <c r="AD212" s="599"/>
      <c r="AE212" s="599"/>
      <c r="AF212" s="599"/>
      <c r="AG212" s="599"/>
      <c r="AH212" s="599"/>
      <c r="AI212" s="599"/>
      <c r="AJ212" s="599"/>
      <c r="AK212" s="599"/>
      <c r="AL212" s="599"/>
      <c r="AM212" s="599"/>
      <c r="AN212" s="599"/>
      <c r="AO212" s="599"/>
      <c r="AP212" s="599"/>
      <c r="AQ212" s="599"/>
      <c r="AR212" s="599"/>
      <c r="AS212" s="599"/>
      <c r="AT212" s="599"/>
      <c r="AU212" s="599"/>
      <c r="AV212" s="599"/>
      <c r="AW212" s="599"/>
      <c r="AX212" s="599"/>
      <c r="AY212" s="599">
        <f>H212</f>
        <v>3775.4769999999999</v>
      </c>
      <c r="AZ212" s="599"/>
      <c r="BA212" s="599"/>
      <c r="BB212" s="599"/>
      <c r="BC212" s="599"/>
      <c r="BD212" s="599"/>
      <c r="BE212" s="598"/>
    </row>
    <row r="213" spans="2:57">
      <c r="B213" s="1326" t="s">
        <v>652</v>
      </c>
      <c r="C213" s="1327"/>
      <c r="D213" s="501" t="s">
        <v>3687</v>
      </c>
      <c r="E213" s="502"/>
      <c r="F213" s="501" t="s">
        <v>403</v>
      </c>
      <c r="G213" s="501" t="s">
        <v>404</v>
      </c>
      <c r="H213" s="629">
        <f>H212</f>
        <v>3775.4769999999999</v>
      </c>
      <c r="I213" s="584" t="s">
        <v>172</v>
      </c>
      <c r="J213" s="1362"/>
      <c r="K213" s="574"/>
      <c r="L213" s="574" t="s">
        <v>192</v>
      </c>
      <c r="M213" s="574" t="s">
        <v>192</v>
      </c>
      <c r="N213" s="505" t="str">
        <f t="shared" si="16"/>
        <v xml:space="preserve"> </v>
      </c>
      <c r="O213" s="597"/>
      <c r="P213" s="507" t="s">
        <v>551</v>
      </c>
      <c r="Q213" s="507" t="s">
        <v>551</v>
      </c>
      <c r="R213" s="507" t="s">
        <v>551</v>
      </c>
      <c r="S213" s="598"/>
      <c r="T213" s="599"/>
      <c r="U213" s="599"/>
      <c r="V213" s="599"/>
      <c r="W213" s="599"/>
      <c r="X213" s="599"/>
      <c r="Y213" s="599"/>
      <c r="Z213" s="599"/>
      <c r="AA213" s="599"/>
      <c r="AB213" s="599"/>
      <c r="AC213" s="599"/>
      <c r="AD213" s="599"/>
      <c r="AE213" s="599"/>
      <c r="AF213" s="599"/>
      <c r="AG213" s="599"/>
      <c r="AH213" s="599"/>
      <c r="AI213" s="599"/>
      <c r="AJ213" s="599"/>
      <c r="AK213" s="599"/>
      <c r="AL213" s="599"/>
      <c r="AM213" s="599"/>
      <c r="AN213" s="599"/>
      <c r="AO213" s="599"/>
      <c r="AP213" s="599"/>
      <c r="AQ213" s="599"/>
      <c r="AR213" s="599"/>
      <c r="AS213" s="599"/>
      <c r="AT213" s="599"/>
      <c r="AU213" s="599"/>
      <c r="AV213" s="599"/>
      <c r="AW213" s="599"/>
      <c r="AX213" s="599"/>
      <c r="AY213" s="599">
        <f>H213</f>
        <v>3775.4769999999999</v>
      </c>
      <c r="AZ213" s="599"/>
      <c r="BA213" s="599"/>
      <c r="BB213" s="599"/>
      <c r="BC213" s="599"/>
      <c r="BD213" s="599"/>
      <c r="BE213" s="598"/>
    </row>
    <row r="214" spans="2:57">
      <c r="B214" s="1328"/>
      <c r="C214" s="1329"/>
      <c r="D214" s="501" t="s">
        <v>3886</v>
      </c>
      <c r="E214" s="501"/>
      <c r="F214" s="501" t="s">
        <v>295</v>
      </c>
      <c r="G214" s="501" t="s">
        <v>296</v>
      </c>
      <c r="H214" s="629">
        <f>9262.045-413.511</f>
        <v>8848.5339999999997</v>
      </c>
      <c r="I214" s="584" t="s">
        <v>835</v>
      </c>
      <c r="J214" s="504">
        <v>45266.958333333336</v>
      </c>
      <c r="K214" s="504"/>
      <c r="L214" s="574" t="s">
        <v>192</v>
      </c>
      <c r="M214" s="574" t="s">
        <v>192</v>
      </c>
      <c r="N214" s="505" t="str">
        <f t="shared" si="16"/>
        <v>On time</v>
      </c>
      <c r="O214" s="597"/>
      <c r="P214" s="507" t="s">
        <v>551</v>
      </c>
      <c r="Q214" s="507" t="s">
        <v>551</v>
      </c>
      <c r="R214" s="507" t="s">
        <v>551</v>
      </c>
      <c r="S214" s="598"/>
      <c r="T214" s="599"/>
      <c r="U214" s="599"/>
      <c r="V214" s="599"/>
      <c r="W214" s="599"/>
      <c r="X214" s="599"/>
      <c r="Y214" s="599"/>
      <c r="Z214" s="599">
        <f t="shared" ref="Z214" si="18">H214</f>
        <v>8848.5339999999997</v>
      </c>
      <c r="AA214" s="599"/>
      <c r="AB214" s="599"/>
      <c r="AC214" s="599"/>
      <c r="AD214" s="599"/>
      <c r="AE214" s="599"/>
      <c r="AF214" s="599"/>
      <c r="AG214" s="599"/>
      <c r="AH214" s="599"/>
      <c r="AI214" s="599"/>
      <c r="AJ214" s="599"/>
      <c r="AK214" s="599"/>
      <c r="AL214" s="599"/>
      <c r="AM214" s="599"/>
      <c r="AN214" s="599"/>
      <c r="AO214" s="599"/>
      <c r="AP214" s="599"/>
      <c r="AQ214" s="599"/>
      <c r="AR214" s="599"/>
      <c r="AS214" s="599"/>
      <c r="AT214" s="599"/>
      <c r="AU214" s="599"/>
      <c r="AV214" s="599"/>
      <c r="AW214" s="599"/>
      <c r="AX214" s="598"/>
      <c r="AY214" s="599"/>
      <c r="AZ214" s="599"/>
      <c r="BA214" s="599"/>
      <c r="BB214" s="599"/>
      <c r="BC214" s="599"/>
      <c r="BD214" s="599"/>
      <c r="BE214" s="598"/>
    </row>
    <row r="215" spans="2:57">
      <c r="B215" s="1258" t="s">
        <v>556</v>
      </c>
      <c r="C215" s="1259"/>
      <c r="D215" s="1259"/>
      <c r="E215" s="1259"/>
      <c r="F215" s="1259"/>
      <c r="G215" s="1260"/>
      <c r="H215" s="863">
        <f>SUM(H205:H214)</f>
        <v>54999.999999999993</v>
      </c>
      <c r="I215" s="1458"/>
      <c r="J215" s="1458"/>
      <c r="K215" s="1458"/>
      <c r="L215" s="1458"/>
      <c r="M215" s="1458"/>
      <c r="N215" s="505" t="str">
        <f t="shared" si="16"/>
        <v xml:space="preserve"> </v>
      </c>
      <c r="O215" s="212"/>
      <c r="P215" s="590"/>
      <c r="Q215" s="590"/>
      <c r="R215" s="590"/>
      <c r="S215" s="633"/>
      <c r="T215" s="1307"/>
      <c r="U215" s="1308"/>
      <c r="V215" s="1308"/>
      <c r="W215" s="1308"/>
      <c r="X215" s="1308"/>
      <c r="Y215" s="1308"/>
      <c r="Z215" s="1308"/>
      <c r="AA215" s="1308"/>
      <c r="AB215" s="1308"/>
      <c r="AC215" s="1308"/>
      <c r="AD215" s="1308"/>
      <c r="AE215" s="1308"/>
      <c r="AF215" s="1308"/>
      <c r="AG215" s="1308"/>
      <c r="AH215" s="1308"/>
      <c r="AI215" s="1308"/>
      <c r="AJ215" s="1308"/>
      <c r="AK215" s="1308"/>
      <c r="AL215" s="1308"/>
      <c r="AM215" s="1308"/>
      <c r="AN215" s="1308"/>
      <c r="AO215" s="1308"/>
      <c r="AP215" s="1308"/>
      <c r="AQ215" s="1308"/>
      <c r="AR215" s="1308"/>
      <c r="AS215" s="1308"/>
      <c r="AT215" s="1308"/>
      <c r="AU215" s="1308"/>
      <c r="AV215" s="1308"/>
      <c r="AW215" s="1308"/>
      <c r="AX215" s="1308"/>
      <c r="AY215" s="1308"/>
      <c r="AZ215" s="1308"/>
      <c r="BA215" s="1308"/>
      <c r="BB215" s="1308"/>
      <c r="BC215" s="1308"/>
      <c r="BD215" s="1308"/>
      <c r="BE215" s="39"/>
    </row>
    <row r="216" spans="2:57">
      <c r="B216" s="1415" t="s">
        <v>557</v>
      </c>
      <c r="C216" s="1416"/>
      <c r="D216" s="1416"/>
      <c r="E216" s="1416"/>
      <c r="F216" s="1416"/>
      <c r="G216" s="1417"/>
      <c r="H216" s="845">
        <v>55000</v>
      </c>
      <c r="I216" s="1455"/>
      <c r="J216" s="1455"/>
      <c r="K216" s="1455"/>
      <c r="L216" s="1455"/>
      <c r="M216" s="1455"/>
      <c r="N216" s="505" t="str">
        <f>IF(ISBLANK(J216)," ",IF(J216&lt;$F$199,"On time",(IF(DAY(J216-$F$199)&lt;1,"On time",(IF(J216&gt;$F$199,"DELAY ( "&amp;DAY(J216-$F$199)&amp;" day "&amp;HOUR(J216-$F$199)&amp;" hour "&amp;MINUTE(J216-$F$199)&amp;" minute )","xxx"))))))</f>
        <v xml:space="preserve"> </v>
      </c>
      <c r="O216" s="591"/>
      <c r="P216" s="415"/>
      <c r="Q216" s="415"/>
      <c r="R216" s="415"/>
      <c r="S216" s="740"/>
      <c r="T216" s="592">
        <f t="shared" ref="T216:BD216" si="19">SUM(T205:T214)</f>
        <v>0</v>
      </c>
      <c r="U216" s="592">
        <f t="shared" si="19"/>
        <v>0</v>
      </c>
      <c r="V216" s="592">
        <f t="shared" si="19"/>
        <v>0</v>
      </c>
      <c r="W216" s="592">
        <f t="shared" si="19"/>
        <v>0</v>
      </c>
      <c r="X216" s="592">
        <f t="shared" si="19"/>
        <v>0</v>
      </c>
      <c r="Y216" s="592">
        <f t="shared" si="19"/>
        <v>0</v>
      </c>
      <c r="Z216" s="592">
        <f t="shared" si="19"/>
        <v>39612.057000000001</v>
      </c>
      <c r="AA216" s="592">
        <f t="shared" si="19"/>
        <v>0</v>
      </c>
      <c r="AB216" s="592">
        <f t="shared" si="19"/>
        <v>7836.9889999999996</v>
      </c>
      <c r="AC216" s="592">
        <f t="shared" si="19"/>
        <v>0</v>
      </c>
      <c r="AD216" s="592">
        <f t="shared" si="19"/>
        <v>0</v>
      </c>
      <c r="AE216" s="592">
        <f t="shared" si="19"/>
        <v>0</v>
      </c>
      <c r="AF216" s="592">
        <f t="shared" si="19"/>
        <v>0</v>
      </c>
      <c r="AG216" s="592">
        <f t="shared" si="19"/>
        <v>0</v>
      </c>
      <c r="AH216" s="592">
        <f t="shared" si="19"/>
        <v>0</v>
      </c>
      <c r="AI216" s="592">
        <f t="shared" si="19"/>
        <v>0</v>
      </c>
      <c r="AJ216" s="592">
        <f t="shared" si="19"/>
        <v>0</v>
      </c>
      <c r="AK216" s="592">
        <f t="shared" si="19"/>
        <v>0</v>
      </c>
      <c r="AL216" s="592">
        <f t="shared" si="19"/>
        <v>0</v>
      </c>
      <c r="AM216" s="592">
        <f t="shared" si="19"/>
        <v>0</v>
      </c>
      <c r="AN216" s="592">
        <f t="shared" si="19"/>
        <v>0</v>
      </c>
      <c r="AO216" s="592">
        <f t="shared" si="19"/>
        <v>0</v>
      </c>
      <c r="AP216" s="592">
        <f t="shared" si="19"/>
        <v>0</v>
      </c>
      <c r="AQ216" s="592">
        <f t="shared" si="19"/>
        <v>0</v>
      </c>
      <c r="AR216" s="592">
        <f t="shared" si="19"/>
        <v>0</v>
      </c>
      <c r="AS216" s="592">
        <f t="shared" si="19"/>
        <v>0</v>
      </c>
      <c r="AT216" s="592">
        <f t="shared" si="19"/>
        <v>0</v>
      </c>
      <c r="AU216" s="592">
        <f t="shared" si="19"/>
        <v>0</v>
      </c>
      <c r="AV216" s="592">
        <f t="shared" si="19"/>
        <v>0</v>
      </c>
      <c r="AW216" s="592">
        <f t="shared" si="19"/>
        <v>0</v>
      </c>
      <c r="AX216" s="592">
        <f t="shared" si="19"/>
        <v>0</v>
      </c>
      <c r="AY216" s="592">
        <f t="shared" si="19"/>
        <v>7550.9539999999997</v>
      </c>
      <c r="AZ216" s="592">
        <f t="shared" si="19"/>
        <v>0</v>
      </c>
      <c r="BA216" s="592">
        <f t="shared" si="19"/>
        <v>0</v>
      </c>
      <c r="BB216" s="592">
        <f t="shared" si="19"/>
        <v>0</v>
      </c>
      <c r="BC216" s="592">
        <f t="shared" si="19"/>
        <v>0</v>
      </c>
      <c r="BD216" s="592">
        <f t="shared" si="19"/>
        <v>0</v>
      </c>
      <c r="BE216" s="592">
        <f>SUM(T216:BD216)</f>
        <v>55000</v>
      </c>
    </row>
    <row r="217" spans="2:57">
      <c r="B217" s="1415" t="s">
        <v>558</v>
      </c>
      <c r="C217" s="1416"/>
      <c r="D217" s="1416"/>
      <c r="E217" s="1416"/>
      <c r="F217" s="1416"/>
      <c r="G217" s="1417"/>
      <c r="H217" s="712">
        <f>H216-L199</f>
        <v>0</v>
      </c>
      <c r="I217" s="745"/>
      <c r="J217" s="746"/>
      <c r="K217" s="746"/>
      <c r="L217" s="674"/>
      <c r="M217" s="633"/>
      <c r="N217" s="591"/>
      <c r="O217" s="591"/>
      <c r="P217" s="591"/>
      <c r="Q217" s="744"/>
      <c r="R217" s="744"/>
      <c r="S217" s="591"/>
      <c r="T217" s="645"/>
      <c r="U217" s="645"/>
      <c r="V217" s="645"/>
      <c r="W217" s="645"/>
      <c r="X217" s="645"/>
      <c r="Y217" s="645"/>
      <c r="Z217" s="645"/>
      <c r="AA217" s="645"/>
      <c r="AB217" s="645"/>
      <c r="AC217" s="591"/>
      <c r="AD217" s="591"/>
      <c r="AE217" s="591"/>
      <c r="AF217" s="591"/>
      <c r="AG217" s="591"/>
      <c r="AH217" s="591"/>
      <c r="AI217" s="591"/>
      <c r="AJ217" s="591"/>
      <c r="AK217" s="591"/>
      <c r="AL217" s="591"/>
      <c r="AM217" s="591"/>
      <c r="AN217" s="591"/>
      <c r="AO217" s="591"/>
      <c r="AP217" s="591"/>
      <c r="AQ217" s="591"/>
      <c r="AR217" s="591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</row>
    <row r="218" spans="2:57">
      <c r="B218" s="1415" t="s">
        <v>559</v>
      </c>
      <c r="C218" s="1416"/>
      <c r="D218" s="1416"/>
      <c r="E218" s="1416"/>
      <c r="F218" s="1416"/>
      <c r="G218" s="1417"/>
      <c r="H218" s="747">
        <v>124.824</v>
      </c>
      <c r="I218" s="745"/>
      <c r="J218" s="746"/>
      <c r="K218" s="746"/>
      <c r="L218" s="674"/>
      <c r="M218" s="633"/>
      <c r="N218" s="613"/>
      <c r="O218" s="591"/>
      <c r="P218" s="591"/>
      <c r="Q218" s="591"/>
      <c r="R218" s="591"/>
      <c r="S218" s="591"/>
      <c r="T218" s="645"/>
      <c r="U218" s="645"/>
      <c r="V218" s="645"/>
      <c r="W218" s="645"/>
      <c r="X218" s="645"/>
      <c r="Y218" s="645"/>
      <c r="Z218" s="645"/>
      <c r="AA218" s="645"/>
      <c r="AB218" s="645"/>
      <c r="AC218" s="591"/>
      <c r="AD218" s="591"/>
      <c r="AE218" s="591"/>
      <c r="AF218" s="591"/>
      <c r="AG218" s="591"/>
      <c r="AH218" s="591"/>
      <c r="AI218" s="591"/>
      <c r="AJ218" s="591"/>
      <c r="AK218" s="591"/>
      <c r="AL218" s="591"/>
      <c r="AM218" s="591"/>
      <c r="AN218" s="591"/>
      <c r="AO218" s="591"/>
      <c r="AP218" s="591"/>
      <c r="AQ218" s="591"/>
      <c r="AR218" s="591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</row>
    <row r="219" spans="2:57" s="39" customFormat="1" ht="11.25" customHeight="1">
      <c r="B219" s="1415" t="s">
        <v>560</v>
      </c>
      <c r="C219" s="1416"/>
      <c r="D219" s="1416"/>
      <c r="E219" s="1416"/>
      <c r="F219" s="1416"/>
      <c r="G219" s="1417"/>
      <c r="H219" s="741">
        <f>H218-413.511</f>
        <v>-288.68700000000001</v>
      </c>
      <c r="I219" s="641"/>
      <c r="J219" s="642"/>
      <c r="K219" s="642"/>
      <c r="L219" s="499"/>
      <c r="M219" s="613"/>
      <c r="N219" s="613"/>
      <c r="O219" s="613"/>
      <c r="P219" s="613"/>
      <c r="Q219" s="613"/>
      <c r="R219" s="613"/>
      <c r="S219" s="616"/>
      <c r="T219" s="616"/>
      <c r="U219" s="616"/>
      <c r="V219" s="616"/>
      <c r="W219" s="616"/>
      <c r="X219" s="616"/>
      <c r="Y219" s="616"/>
      <c r="Z219" s="616"/>
      <c r="AA219" s="616"/>
      <c r="AB219" s="613"/>
      <c r="AC219" s="613"/>
      <c r="AD219" s="613"/>
      <c r="AE219" s="613"/>
      <c r="AF219" s="613"/>
      <c r="AG219" s="613"/>
      <c r="AH219" s="613"/>
      <c r="AI219" s="613"/>
      <c r="AJ219" s="613"/>
      <c r="AK219" s="613"/>
      <c r="AL219" s="613"/>
      <c r="AM219" s="613"/>
      <c r="AN219" s="613"/>
      <c r="AO219" s="613"/>
      <c r="AP219" s="613"/>
      <c r="AQ219" s="613"/>
      <c r="AR219" s="496"/>
      <c r="AS219" s="496"/>
      <c r="AT219" s="496"/>
      <c r="AU219" s="496"/>
      <c r="AV219" s="496"/>
      <c r="AW219" s="496"/>
      <c r="AX219" s="496"/>
      <c r="AY219" s="496"/>
      <c r="AZ219" s="496"/>
      <c r="BA219" s="496"/>
    </row>
    <row r="220" spans="2:57">
      <c r="B220" s="613"/>
      <c r="C220" s="613"/>
      <c r="D220" s="613"/>
      <c r="E220" s="613"/>
      <c r="F220" s="613"/>
      <c r="G220" s="613"/>
      <c r="H220" s="613"/>
      <c r="I220" s="643"/>
      <c r="J220" s="641"/>
      <c r="K220" s="641"/>
      <c r="L220" s="644"/>
      <c r="M220" s="613"/>
      <c r="N220" s="613"/>
      <c r="O220" s="641"/>
      <c r="P220" s="591"/>
      <c r="Q220" s="591"/>
      <c r="R220" s="591"/>
      <c r="S220" s="591"/>
      <c r="T220" s="645"/>
      <c r="U220" s="645"/>
      <c r="V220" s="645"/>
      <c r="W220" s="645"/>
      <c r="X220" s="645"/>
      <c r="Y220" s="645"/>
      <c r="Z220" s="645"/>
      <c r="AA220" s="645"/>
      <c r="AB220" s="645"/>
      <c r="AC220" s="591"/>
      <c r="AD220" s="591"/>
      <c r="AE220" s="591"/>
      <c r="AF220" s="591"/>
      <c r="AG220" s="591"/>
      <c r="AH220" s="591"/>
      <c r="AI220" s="591"/>
      <c r="AJ220" s="591"/>
      <c r="AK220" s="591"/>
      <c r="AL220" s="591"/>
      <c r="AM220" s="591"/>
      <c r="AN220" s="591"/>
      <c r="AO220" s="591"/>
      <c r="AP220" s="591"/>
      <c r="AQ220" s="591"/>
      <c r="AR220" s="591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</row>
    <row r="221" spans="2:57">
      <c r="B221" s="619" t="s">
        <v>561</v>
      </c>
      <c r="C221" s="619"/>
      <c r="D221" s="591"/>
      <c r="E221" s="591"/>
      <c r="F221" s="591"/>
      <c r="G221" s="591"/>
      <c r="H221" s="591"/>
      <c r="I221" s="591"/>
      <c r="J221" s="646"/>
      <c r="K221" s="646"/>
      <c r="L221" s="647"/>
      <c r="M221" s="591"/>
      <c r="N221" s="613"/>
      <c r="O221" s="646"/>
      <c r="P221" s="616"/>
      <c r="Q221" s="616"/>
      <c r="R221" s="616"/>
      <c r="S221" s="616"/>
      <c r="T221" s="616"/>
      <c r="U221" s="616"/>
      <c r="V221" s="616"/>
      <c r="W221" s="616"/>
      <c r="X221" s="616"/>
      <c r="Y221" s="616"/>
      <c r="Z221" s="616"/>
      <c r="AA221" s="616"/>
      <c r="AB221" s="613"/>
      <c r="AC221" s="613"/>
      <c r="AD221" s="613"/>
      <c r="AE221" s="613"/>
      <c r="AF221" s="613"/>
      <c r="AG221" s="613"/>
      <c r="AH221" s="613"/>
      <c r="AI221" s="613"/>
      <c r="AJ221" s="613"/>
      <c r="AK221" s="613"/>
      <c r="AL221" s="613"/>
      <c r="AM221" s="613"/>
      <c r="AN221" s="613"/>
      <c r="AO221" s="613"/>
      <c r="AP221" s="613"/>
      <c r="AQ221" s="613"/>
      <c r="AR221" s="613"/>
      <c r="AS221" s="613"/>
      <c r="AT221" s="613"/>
      <c r="AU221" s="613"/>
      <c r="AV221" s="39"/>
      <c r="AW221" s="39"/>
      <c r="AX221" s="39"/>
      <c r="AY221" s="39"/>
      <c r="AZ221" s="39"/>
      <c r="BA221" s="39"/>
      <c r="BB221" s="39"/>
      <c r="BC221" s="39"/>
      <c r="BD221" s="39"/>
      <c r="BE221" s="613"/>
    </row>
    <row r="222" spans="2:57">
      <c r="B222" s="422">
        <v>1</v>
      </c>
      <c r="C222" s="1249" t="s">
        <v>4373</v>
      </c>
      <c r="D222" s="1249"/>
      <c r="E222" s="1249"/>
      <c r="F222" s="1249"/>
      <c r="G222" s="1249"/>
      <c r="H222" s="1249"/>
      <c r="I222" s="1249"/>
      <c r="J222" s="1249"/>
      <c r="K222" s="1249"/>
      <c r="L222" s="644"/>
      <c r="M222" s="644"/>
      <c r="N222" s="613"/>
      <c r="O222" s="641"/>
      <c r="P222" s="616"/>
      <c r="Q222" s="616"/>
      <c r="R222" s="616"/>
      <c r="S222" s="616"/>
      <c r="T222" s="616"/>
      <c r="U222" s="616"/>
      <c r="V222" s="616"/>
      <c r="W222" s="616"/>
      <c r="X222" s="616"/>
      <c r="Y222" s="616"/>
      <c r="Z222" s="616"/>
      <c r="AA222" s="616"/>
      <c r="AB222" s="613"/>
      <c r="AC222" s="613"/>
      <c r="AD222" s="613"/>
      <c r="AE222" s="613"/>
      <c r="AF222" s="613"/>
      <c r="AG222" s="613"/>
      <c r="AH222" s="613"/>
      <c r="AI222" s="613"/>
      <c r="AJ222" s="613"/>
      <c r="AK222" s="613"/>
      <c r="AL222" s="613"/>
      <c r="AM222" s="613"/>
      <c r="AN222" s="613"/>
      <c r="AO222" s="613"/>
      <c r="AP222" s="613"/>
      <c r="AQ222" s="613"/>
      <c r="AR222" s="613"/>
      <c r="AS222" s="613"/>
      <c r="AT222" s="613"/>
      <c r="AU222" s="613"/>
      <c r="AV222" s="613"/>
      <c r="AW222" s="613"/>
      <c r="AX222" s="613"/>
      <c r="AY222" s="613"/>
      <c r="AZ222" s="613"/>
      <c r="BA222" s="613"/>
      <c r="BB222" s="613"/>
      <c r="BC222" s="613"/>
      <c r="BD222" s="613"/>
      <c r="BE222" s="613"/>
    </row>
    <row r="224" spans="2:57">
      <c r="B224" s="28" t="s">
        <v>126</v>
      </c>
      <c r="C224" s="28"/>
      <c r="D224" s="614"/>
      <c r="E224" s="30" t="s">
        <v>511</v>
      </c>
      <c r="F224" s="31" t="s">
        <v>3182</v>
      </c>
      <c r="G224" s="591"/>
      <c r="H224" s="33"/>
      <c r="I224" s="615"/>
      <c r="J224" s="35" t="s">
        <v>513</v>
      </c>
      <c r="K224" s="36" t="s">
        <v>511</v>
      </c>
      <c r="L224" s="516">
        <v>45272.388888888891</v>
      </c>
      <c r="M224" s="591"/>
      <c r="N224" s="591"/>
      <c r="O224" s="206"/>
      <c r="P224" s="205"/>
      <c r="Q224" s="616"/>
      <c r="R224" s="204"/>
      <c r="S224" s="617"/>
      <c r="T224" s="613"/>
      <c r="U224" s="613"/>
      <c r="V224" s="613"/>
      <c r="W224" s="613"/>
      <c r="X224" s="613"/>
      <c r="Y224" s="613"/>
      <c r="Z224" s="613"/>
      <c r="AA224" s="613"/>
      <c r="AB224" s="616"/>
      <c r="AC224" s="616"/>
      <c r="AD224" s="616"/>
      <c r="AE224" s="616"/>
      <c r="AF224" s="616"/>
      <c r="AG224" s="613"/>
      <c r="AH224" s="613"/>
      <c r="AI224" s="613"/>
      <c r="AJ224" s="613"/>
      <c r="AK224" s="613"/>
      <c r="AL224" s="613"/>
      <c r="AM224" s="613"/>
      <c r="AN224" s="613"/>
      <c r="AO224" s="613"/>
      <c r="AP224" s="613"/>
      <c r="AQ224" s="613"/>
      <c r="AR224" s="613"/>
      <c r="AS224" s="613"/>
      <c r="AT224" s="613"/>
      <c r="AU224" s="613"/>
      <c r="AV224" s="613"/>
      <c r="AW224" s="613"/>
      <c r="AX224" s="613"/>
      <c r="AY224" s="613"/>
      <c r="AZ224" s="613"/>
      <c r="BA224" s="613"/>
      <c r="BB224" s="613"/>
      <c r="BC224" s="613"/>
      <c r="BD224" s="613"/>
      <c r="BE224" s="613"/>
    </row>
    <row r="225" spans="2:57">
      <c r="B225" s="35" t="s">
        <v>514</v>
      </c>
      <c r="C225" s="35"/>
      <c r="D225" s="591"/>
      <c r="E225" s="36" t="s">
        <v>511</v>
      </c>
      <c r="F225" s="311" t="s">
        <v>4382</v>
      </c>
      <c r="G225" s="591"/>
      <c r="H225" s="33"/>
      <c r="I225" s="615"/>
      <c r="J225" s="35" t="s">
        <v>516</v>
      </c>
      <c r="K225" s="36" t="s">
        <v>511</v>
      </c>
      <c r="L225" s="516">
        <f>'VLU 2023 &amp; 2024'!$N$237</f>
        <v>45275.208333333336</v>
      </c>
      <c r="M225" s="591"/>
      <c r="N225" s="591"/>
      <c r="O225" s="206"/>
      <c r="P225" s="205"/>
      <c r="Q225" s="616"/>
      <c r="R225" s="204"/>
      <c r="S225" s="617"/>
      <c r="T225" s="613"/>
      <c r="U225" s="613"/>
      <c r="V225" s="613"/>
      <c r="W225" s="613"/>
      <c r="X225" s="613"/>
      <c r="Y225" s="613"/>
      <c r="Z225" s="613"/>
      <c r="AA225" s="613"/>
      <c r="AB225" s="616"/>
      <c r="AC225" s="616"/>
      <c r="AD225" s="616"/>
      <c r="AE225" s="616"/>
      <c r="AF225" s="616"/>
      <c r="AG225" s="613"/>
      <c r="AH225" s="613"/>
      <c r="AI225" s="613"/>
      <c r="AJ225" s="613"/>
      <c r="AK225" s="613"/>
      <c r="AL225" s="613"/>
      <c r="AM225" s="613"/>
      <c r="AN225" s="613"/>
      <c r="AO225" s="613"/>
      <c r="AP225" s="613"/>
      <c r="AQ225" s="613"/>
      <c r="AR225" s="613"/>
      <c r="AS225" s="613"/>
      <c r="AT225" s="613"/>
      <c r="AU225" s="613"/>
      <c r="AV225" s="613"/>
      <c r="AW225" s="613"/>
      <c r="AX225" s="613"/>
      <c r="AY225" s="613"/>
      <c r="AZ225" s="613"/>
      <c r="BA225" s="613"/>
      <c r="BB225" s="613"/>
      <c r="BC225" s="613"/>
      <c r="BD225" s="613"/>
      <c r="BE225" s="613"/>
    </row>
    <row r="226" spans="2:57">
      <c r="B226" s="35" t="s">
        <v>517</v>
      </c>
      <c r="C226" s="35"/>
      <c r="D226" s="591"/>
      <c r="E226" s="36" t="s">
        <v>511</v>
      </c>
      <c r="F226" s="516">
        <v>45269.229166666664</v>
      </c>
      <c r="G226" s="591"/>
      <c r="H226" s="33"/>
      <c r="I226" s="615"/>
      <c r="J226" s="35" t="s">
        <v>518</v>
      </c>
      <c r="K226" s="36" t="s">
        <v>511</v>
      </c>
      <c r="L226" s="692">
        <v>71070</v>
      </c>
      <c r="M226" s="619" t="s">
        <v>519</v>
      </c>
      <c r="N226" s="619"/>
      <c r="O226" s="206"/>
      <c r="P226" s="205"/>
      <c r="Q226" s="616"/>
      <c r="R226" s="204"/>
      <c r="S226" s="617"/>
      <c r="T226" s="613"/>
      <c r="U226" s="613"/>
      <c r="V226" s="613"/>
      <c r="W226" s="613"/>
      <c r="X226" s="613"/>
      <c r="Y226" s="613"/>
      <c r="Z226" s="613"/>
      <c r="AA226" s="613"/>
      <c r="AB226" s="616"/>
      <c r="AC226" s="616"/>
      <c r="AD226" s="616"/>
      <c r="AE226" s="616"/>
      <c r="AF226" s="616"/>
      <c r="AG226" s="613"/>
      <c r="AH226" s="613"/>
      <c r="AI226" s="613"/>
      <c r="AJ226" s="613"/>
      <c r="AK226" s="613"/>
      <c r="AL226" s="613"/>
      <c r="AM226" s="613"/>
      <c r="AN226" s="613"/>
      <c r="AO226" s="613"/>
      <c r="AP226" s="613"/>
      <c r="AQ226" s="613"/>
      <c r="AR226" s="613"/>
      <c r="AS226" s="613"/>
      <c r="AT226" s="613"/>
      <c r="AU226" s="613"/>
      <c r="AV226" s="613"/>
      <c r="AW226" s="613"/>
      <c r="AX226" s="613"/>
      <c r="AY226" s="613"/>
      <c r="AZ226" s="613"/>
      <c r="BA226" s="613"/>
      <c r="BB226" s="613"/>
      <c r="BC226" s="613"/>
      <c r="BD226" s="613"/>
      <c r="BE226" s="613"/>
    </row>
    <row r="227" spans="2:57">
      <c r="B227" s="35" t="s">
        <v>520</v>
      </c>
      <c r="C227" s="35"/>
      <c r="D227" s="591"/>
      <c r="E227" s="36" t="s">
        <v>511</v>
      </c>
      <c r="F227" s="37" t="s">
        <v>4</v>
      </c>
      <c r="G227" s="591"/>
      <c r="H227" s="33"/>
      <c r="I227" s="615"/>
      <c r="J227" s="35" t="s">
        <v>521</v>
      </c>
      <c r="K227" s="36" t="s">
        <v>511</v>
      </c>
      <c r="L227" s="620" t="s">
        <v>3183</v>
      </c>
      <c r="M227" s="591"/>
      <c r="N227" s="591"/>
      <c r="O227" s="206"/>
      <c r="P227" s="616"/>
      <c r="Q227" s="616"/>
      <c r="R227" s="204"/>
      <c r="S227" s="617"/>
      <c r="T227" s="613"/>
      <c r="U227" s="613"/>
      <c r="V227" s="613"/>
      <c r="W227" s="613"/>
      <c r="X227" s="613"/>
      <c r="Y227" s="613"/>
      <c r="Z227" s="613"/>
      <c r="AA227" s="613"/>
      <c r="AB227" s="616"/>
      <c r="AC227" s="616"/>
      <c r="AD227" s="616"/>
      <c r="AE227" s="616"/>
      <c r="AF227" s="616"/>
      <c r="AG227" s="613"/>
      <c r="AH227" s="613"/>
      <c r="AI227" s="613"/>
      <c r="AJ227" s="613"/>
      <c r="AK227" s="613"/>
      <c r="AL227" s="613"/>
      <c r="AM227" s="613"/>
      <c r="AN227" s="613"/>
      <c r="AO227" s="613"/>
      <c r="AP227" s="613"/>
      <c r="AQ227" s="613"/>
      <c r="AR227" s="613"/>
      <c r="AS227" s="613"/>
      <c r="AT227" s="613"/>
      <c r="AU227" s="613"/>
      <c r="AV227" s="613"/>
      <c r="AW227" s="613"/>
      <c r="AX227" s="613"/>
      <c r="AY227" s="613"/>
      <c r="AZ227" s="613"/>
      <c r="BA227" s="613"/>
      <c r="BB227" s="613"/>
      <c r="BC227" s="613"/>
      <c r="BD227" s="613"/>
      <c r="BE227" s="613"/>
    </row>
    <row r="228" spans="2:57">
      <c r="B228" s="35" t="s">
        <v>523</v>
      </c>
      <c r="C228" s="35"/>
      <c r="D228" s="591"/>
      <c r="E228" s="36" t="s">
        <v>511</v>
      </c>
      <c r="F228" s="37" t="s">
        <v>5</v>
      </c>
      <c r="G228" s="591"/>
      <c r="H228" s="33"/>
      <c r="I228" s="615"/>
      <c r="J228" s="35" t="s">
        <v>524</v>
      </c>
      <c r="K228" s="36" t="s">
        <v>511</v>
      </c>
      <c r="L228" s="621" t="s">
        <v>11</v>
      </c>
      <c r="M228" s="611"/>
      <c r="N228" s="611"/>
      <c r="O228" s="206"/>
      <c r="P228" s="205"/>
      <c r="Q228" s="616"/>
      <c r="R228" s="204"/>
      <c r="S228" s="617"/>
      <c r="T228" s="613"/>
      <c r="U228" s="613"/>
      <c r="V228" s="613"/>
      <c r="W228" s="613"/>
      <c r="X228" s="613"/>
      <c r="Y228" s="613"/>
      <c r="Z228" s="613"/>
      <c r="AA228" s="613"/>
      <c r="AB228" s="616"/>
      <c r="AC228" s="616"/>
      <c r="AD228" s="616"/>
      <c r="AE228" s="616"/>
      <c r="AF228" s="616"/>
      <c r="AG228" s="613"/>
      <c r="AH228" s="613"/>
      <c r="AI228" s="613"/>
      <c r="AJ228" s="613"/>
      <c r="AK228" s="613"/>
      <c r="AL228" s="613"/>
      <c r="AM228" s="613"/>
      <c r="AN228" s="613"/>
      <c r="AO228" s="613"/>
      <c r="AP228" s="613"/>
      <c r="AQ228" s="613"/>
      <c r="AR228" s="613"/>
      <c r="AS228" s="613"/>
      <c r="AT228" s="613"/>
      <c r="AU228" s="613"/>
      <c r="AV228" s="613"/>
      <c r="AW228" s="613"/>
      <c r="AX228" s="613"/>
      <c r="AY228" s="613"/>
      <c r="AZ228" s="613"/>
      <c r="BA228" s="613"/>
      <c r="BB228" s="613"/>
      <c r="BC228" s="613"/>
      <c r="BD228" s="613"/>
      <c r="BE228" s="613"/>
    </row>
    <row r="229" spans="2:57">
      <c r="B229" s="35" t="s">
        <v>2</v>
      </c>
      <c r="C229" s="35"/>
      <c r="D229" s="591"/>
      <c r="E229" s="36" t="s">
        <v>511</v>
      </c>
      <c r="F229" s="37" t="s">
        <v>6</v>
      </c>
      <c r="G229" s="591"/>
      <c r="H229" s="33"/>
      <c r="I229" s="622"/>
      <c r="J229" s="35"/>
      <c r="K229" s="36"/>
      <c r="L229" s="211"/>
      <c r="M229" s="613"/>
      <c r="N229" s="613"/>
      <c r="O229" s="35"/>
      <c r="P229" s="611"/>
      <c r="Q229" s="611"/>
      <c r="R229" s="611"/>
      <c r="S229" s="615"/>
      <c r="T229" s="613"/>
      <c r="U229" s="613"/>
      <c r="V229" s="613"/>
      <c r="W229" s="613"/>
      <c r="X229" s="613"/>
      <c r="Y229" s="613"/>
      <c r="Z229" s="613"/>
      <c r="AA229" s="613"/>
      <c r="AB229" s="615"/>
      <c r="AC229" s="615"/>
      <c r="AD229" s="615"/>
      <c r="AE229" s="615"/>
      <c r="AF229" s="615"/>
      <c r="AG229" s="615"/>
      <c r="AH229" s="615"/>
      <c r="AI229" s="615"/>
      <c r="AJ229" s="615"/>
      <c r="AK229" s="615"/>
      <c r="AL229" s="615"/>
      <c r="AM229" s="615"/>
      <c r="AN229" s="615"/>
      <c r="AO229" s="613"/>
      <c r="AP229" s="613"/>
      <c r="AQ229" s="613"/>
      <c r="AR229" s="613"/>
      <c r="AS229" s="613"/>
      <c r="AT229" s="613"/>
      <c r="AU229" s="613"/>
      <c r="AV229" s="613"/>
      <c r="AW229" s="613"/>
      <c r="AX229" s="613"/>
      <c r="AY229" s="613"/>
      <c r="AZ229" s="613"/>
      <c r="BA229" s="613"/>
      <c r="BB229" s="613"/>
      <c r="BC229" s="613"/>
      <c r="BD229" s="613"/>
      <c r="BE229" s="613"/>
    </row>
    <row r="230" spans="2:57" ht="15" customHeight="1">
      <c r="B230" s="613"/>
      <c r="C230" s="613"/>
      <c r="D230" s="613"/>
      <c r="E230" s="613"/>
      <c r="F230" s="613"/>
      <c r="G230" s="613"/>
      <c r="H230" s="613"/>
      <c r="I230" s="622"/>
      <c r="J230" s="35"/>
      <c r="K230" s="35"/>
      <c r="L230" s="621"/>
      <c r="M230" s="611"/>
      <c r="N230" s="611"/>
      <c r="O230" s="35"/>
      <c r="P230" s="611"/>
      <c r="Q230" s="611"/>
      <c r="R230" s="611"/>
      <c r="S230" s="615"/>
      <c r="T230" s="1317" t="s">
        <v>87</v>
      </c>
      <c r="U230" s="1317"/>
      <c r="V230" s="1317"/>
      <c r="W230" s="1317"/>
      <c r="X230" s="1317"/>
      <c r="Y230" s="1317" t="s">
        <v>73</v>
      </c>
      <c r="Z230" s="1317"/>
      <c r="AA230" s="1317"/>
      <c r="AB230" s="1317" t="s">
        <v>74</v>
      </c>
      <c r="AC230" s="1317"/>
      <c r="AD230" s="623" t="s">
        <v>85</v>
      </c>
      <c r="AE230" s="854" t="s">
        <v>77</v>
      </c>
      <c r="AF230" s="1459" t="s">
        <v>525</v>
      </c>
      <c r="AG230" s="1459"/>
      <c r="AH230" s="1459"/>
      <c r="AI230" s="1459"/>
      <c r="AJ230" s="1459"/>
      <c r="AK230" s="1459"/>
      <c r="AL230" s="1459"/>
      <c r="AM230" s="1459"/>
      <c r="AN230" s="1459"/>
      <c r="AO230" s="1459"/>
      <c r="AP230" s="1459"/>
      <c r="AQ230" s="1459"/>
      <c r="AR230" s="1459"/>
      <c r="AS230" s="1459"/>
      <c r="AT230" s="1459"/>
      <c r="AU230" s="1459"/>
      <c r="AV230" s="1459"/>
      <c r="AW230" s="1459"/>
      <c r="AX230" s="1459"/>
      <c r="AY230" s="1459"/>
      <c r="AZ230" s="1459"/>
      <c r="BA230" s="1459"/>
      <c r="BB230" s="1459"/>
      <c r="BC230" s="1459"/>
      <c r="BD230" s="1459"/>
      <c r="BE230" s="613"/>
    </row>
    <row r="231" spans="2:57" ht="15" customHeight="1">
      <c r="B231" s="1318" t="s">
        <v>526</v>
      </c>
      <c r="C231" s="1319"/>
      <c r="D231" s="624" t="s">
        <v>527</v>
      </c>
      <c r="E231" s="624"/>
      <c r="F231" s="624" t="s">
        <v>528</v>
      </c>
      <c r="G231" s="624" t="s">
        <v>529</v>
      </c>
      <c r="H231" s="624" t="s">
        <v>530</v>
      </c>
      <c r="I231" s="624" t="s">
        <v>531</v>
      </c>
      <c r="J231" s="624" t="s">
        <v>532</v>
      </c>
      <c r="K231" s="624"/>
      <c r="L231" s="624" t="s">
        <v>130</v>
      </c>
      <c r="M231" s="624" t="s">
        <v>533</v>
      </c>
      <c r="N231" s="1040" t="str">
        <f>"On time - "&amp;COUNTIF(N232:N261,"On time")&amp;" from "&amp;ROWS(N232:N261)-COUNTIF(N232:N261," ")</f>
        <v>On time - 8 from 11</v>
      </c>
      <c r="O231" s="626"/>
      <c r="P231" s="627" t="s">
        <v>534</v>
      </c>
      <c r="Q231" s="627" t="s">
        <v>535</v>
      </c>
      <c r="R231" s="627" t="s">
        <v>536</v>
      </c>
      <c r="S231" s="591"/>
      <c r="T231" s="628" t="s">
        <v>537</v>
      </c>
      <c r="U231" s="628" t="s">
        <v>538</v>
      </c>
      <c r="V231" s="628" t="s">
        <v>539</v>
      </c>
      <c r="W231" s="628" t="s">
        <v>540</v>
      </c>
      <c r="X231" s="628" t="s">
        <v>541</v>
      </c>
      <c r="Y231" s="628" t="s">
        <v>167</v>
      </c>
      <c r="Z231" s="628" t="s">
        <v>168</v>
      </c>
      <c r="AA231" s="628" t="s">
        <v>169</v>
      </c>
      <c r="AB231" s="628" t="s">
        <v>235</v>
      </c>
      <c r="AC231" s="628" t="s">
        <v>240</v>
      </c>
      <c r="AD231" s="623" t="s">
        <v>85</v>
      </c>
      <c r="AE231" s="628" t="s">
        <v>139</v>
      </c>
      <c r="AF231" s="855" t="s">
        <v>72</v>
      </c>
      <c r="AG231" s="855" t="s">
        <v>88</v>
      </c>
      <c r="AH231" s="855" t="s">
        <v>75</v>
      </c>
      <c r="AI231" s="855" t="s">
        <v>543</v>
      </c>
      <c r="AJ231" s="855" t="s">
        <v>78</v>
      </c>
      <c r="AK231" s="855" t="s">
        <v>76</v>
      </c>
      <c r="AL231" s="855" t="s">
        <v>544</v>
      </c>
      <c r="AM231" s="855" t="s">
        <v>545</v>
      </c>
      <c r="AN231" s="855" t="s">
        <v>86</v>
      </c>
      <c r="AO231" s="855" t="s">
        <v>83</v>
      </c>
      <c r="AP231" s="855" t="s">
        <v>84</v>
      </c>
      <c r="AQ231" s="855" t="s">
        <v>546</v>
      </c>
      <c r="AR231" s="855" t="s">
        <v>81</v>
      </c>
      <c r="AS231" s="855" t="s">
        <v>80</v>
      </c>
      <c r="AT231" s="855" t="s">
        <v>82</v>
      </c>
      <c r="AU231" s="855" t="s">
        <v>181</v>
      </c>
      <c r="AV231" s="855" t="s">
        <v>183</v>
      </c>
      <c r="AW231" s="855" t="s">
        <v>547</v>
      </c>
      <c r="AX231" s="855" t="s">
        <v>182</v>
      </c>
      <c r="AY231" s="855" t="s">
        <v>172</v>
      </c>
      <c r="AZ231" s="855" t="s">
        <v>173</v>
      </c>
      <c r="BA231" s="855" t="s">
        <v>184</v>
      </c>
      <c r="BB231" s="855" t="s">
        <v>100</v>
      </c>
      <c r="BC231" s="855" t="s">
        <v>913</v>
      </c>
      <c r="BD231" s="855" t="s">
        <v>2747</v>
      </c>
      <c r="BE231" s="613"/>
    </row>
    <row r="232" spans="2:57" ht="12.75" customHeight="1">
      <c r="B232" s="1315" t="s">
        <v>616</v>
      </c>
      <c r="C232" s="1316"/>
      <c r="D232" s="501" t="s">
        <v>3762</v>
      </c>
      <c r="E232" s="585"/>
      <c r="F232" s="501" t="s">
        <v>2859</v>
      </c>
      <c r="G232" s="501" t="s">
        <v>324</v>
      </c>
      <c r="H232" s="629">
        <v>7746.7659999999996</v>
      </c>
      <c r="I232" s="584" t="s">
        <v>235</v>
      </c>
      <c r="J232" s="504">
        <v>45271.666666666664</v>
      </c>
      <c r="K232" s="504"/>
      <c r="L232" s="574" t="s">
        <v>192</v>
      </c>
      <c r="M232" s="574" t="s">
        <v>192</v>
      </c>
      <c r="N232" s="505" t="str">
        <f t="shared" ref="N232:N261" si="20">IF(ISBLANK(J232)," ",IF(J232&lt;$F$226,"On time",(IF(DAY(J232-$F$226)&lt;1,"On time",(IF(J232&gt;$F$226,"DELAY ( "&amp;DAY(J232-$F$226)&amp;" day "&amp;HOUR(J232-$F$226)&amp;" hour "&amp;MINUTE(J232-$F$226)&amp;" minute )","xxx"))))))</f>
        <v>DELAY ( 2 day 10 hour 30 minute )</v>
      </c>
      <c r="O232" s="597"/>
      <c r="P232" s="507" t="s">
        <v>551</v>
      </c>
      <c r="Q232" s="507" t="s">
        <v>551</v>
      </c>
      <c r="R232" s="507" t="s">
        <v>551</v>
      </c>
      <c r="S232" s="598"/>
      <c r="T232" s="599"/>
      <c r="U232" s="599"/>
      <c r="V232" s="599"/>
      <c r="W232" s="599"/>
      <c r="X232" s="599"/>
      <c r="Y232" s="599"/>
      <c r="Z232" s="599"/>
      <c r="AA232" s="599"/>
      <c r="AB232" s="599">
        <f>H232</f>
        <v>7746.7659999999996</v>
      </c>
      <c r="AC232" s="599"/>
      <c r="AD232" s="599"/>
      <c r="AE232" s="599"/>
      <c r="AF232" s="599"/>
      <c r="AG232" s="599"/>
      <c r="AH232" s="599"/>
      <c r="AI232" s="599"/>
      <c r="AJ232" s="599"/>
      <c r="AK232" s="598"/>
      <c r="AL232" s="599"/>
      <c r="AM232" s="599"/>
      <c r="AN232" s="599"/>
      <c r="AO232" s="599"/>
      <c r="AP232" s="599"/>
      <c r="AQ232" s="599"/>
      <c r="AR232" s="599"/>
      <c r="AS232" s="599"/>
      <c r="AT232" s="599"/>
      <c r="AU232" s="599"/>
      <c r="AV232" s="599"/>
      <c r="AW232" s="599"/>
      <c r="AX232" s="598"/>
      <c r="AY232" s="599"/>
      <c r="AZ232" s="599"/>
      <c r="BA232" s="599"/>
      <c r="BB232" s="599"/>
      <c r="BC232" s="599"/>
      <c r="BD232" s="599"/>
      <c r="BE232" s="598"/>
    </row>
    <row r="233" spans="2:57" ht="12.75" customHeight="1">
      <c r="B233" s="1351" t="s">
        <v>2317</v>
      </c>
      <c r="C233" s="1352"/>
      <c r="D233" s="1352"/>
      <c r="E233" s="1352"/>
      <c r="F233" s="1352"/>
      <c r="G233" s="1353"/>
      <c r="H233" s="702">
        <f>SUM(H232)</f>
        <v>7746.7659999999996</v>
      </c>
      <c r="I233" s="703"/>
      <c r="J233" s="704"/>
      <c r="K233" s="704"/>
      <c r="L233" s="704"/>
      <c r="M233" s="705"/>
      <c r="N233" s="505" t="str">
        <f t="shared" si="20"/>
        <v xml:space="preserve"> </v>
      </c>
      <c r="O233" s="552"/>
      <c r="P233" s="706"/>
      <c r="Q233" s="706"/>
      <c r="R233" s="706"/>
      <c r="S233" s="598"/>
      <c r="T233" s="599"/>
      <c r="U233" s="599"/>
      <c r="V233" s="599"/>
      <c r="W233" s="599"/>
      <c r="X233" s="599"/>
      <c r="Y233" s="599"/>
      <c r="Z233" s="599"/>
      <c r="AA233" s="599"/>
      <c r="AB233" s="599"/>
      <c r="AC233" s="599"/>
      <c r="AD233" s="599"/>
      <c r="AE233" s="599"/>
      <c r="AF233" s="599"/>
      <c r="AG233" s="599"/>
      <c r="AH233" s="599"/>
      <c r="AI233" s="599"/>
      <c r="AJ233" s="599"/>
      <c r="AK233" s="599"/>
      <c r="AL233" s="599"/>
      <c r="AM233" s="599"/>
      <c r="AN233" s="599"/>
      <c r="AO233" s="599"/>
      <c r="AP233" s="598"/>
      <c r="AQ233" s="599"/>
      <c r="AR233" s="599"/>
      <c r="AS233" s="599"/>
      <c r="AT233" s="599"/>
      <c r="AU233" s="599"/>
      <c r="AV233" s="599"/>
      <c r="AW233" s="599"/>
      <c r="AX233" s="599"/>
      <c r="AY233" s="599"/>
      <c r="AZ233" s="599"/>
      <c r="BA233" s="599"/>
      <c r="BB233" s="599"/>
      <c r="BC233" s="599"/>
      <c r="BD233" s="599"/>
      <c r="BE233" s="598"/>
    </row>
    <row r="234" spans="2:57" ht="12.75" customHeight="1">
      <c r="B234" s="1326" t="s">
        <v>619</v>
      </c>
      <c r="C234" s="1327"/>
      <c r="D234" s="501" t="s">
        <v>3688</v>
      </c>
      <c r="E234" s="501"/>
      <c r="F234" s="501" t="s">
        <v>492</v>
      </c>
      <c r="G234" s="501" t="s">
        <v>493</v>
      </c>
      <c r="H234" s="629">
        <v>5365.8419999999996</v>
      </c>
      <c r="I234" s="584" t="s">
        <v>1372</v>
      </c>
      <c r="J234" s="504">
        <v>45266.677083333336</v>
      </c>
      <c r="K234" s="574"/>
      <c r="L234" s="574" t="s">
        <v>192</v>
      </c>
      <c r="M234" s="574" t="s">
        <v>192</v>
      </c>
      <c r="N234" s="505" t="str">
        <f t="shared" si="20"/>
        <v>On time</v>
      </c>
      <c r="O234" s="597"/>
      <c r="P234" s="507" t="s">
        <v>551</v>
      </c>
      <c r="Q234" s="507" t="s">
        <v>551</v>
      </c>
      <c r="R234" s="507" t="s">
        <v>551</v>
      </c>
      <c r="S234" s="598"/>
      <c r="T234" s="599"/>
      <c r="U234" s="599"/>
      <c r="V234" s="599"/>
      <c r="W234" s="599"/>
      <c r="X234" s="599"/>
      <c r="Y234" s="599">
        <f>H234*0.7</f>
        <v>3756.0893999999994</v>
      </c>
      <c r="Z234" s="599">
        <f>H234*0.3</f>
        <v>1609.7525999999998</v>
      </c>
      <c r="AA234" s="599"/>
      <c r="AB234" s="599"/>
      <c r="AC234" s="599"/>
      <c r="AD234" s="599"/>
      <c r="AE234" s="599"/>
      <c r="AF234" s="599"/>
      <c r="AG234" s="599"/>
      <c r="AH234" s="599"/>
      <c r="AI234" s="599"/>
      <c r="AJ234" s="599"/>
      <c r="AK234" s="599"/>
      <c r="AL234" s="599"/>
      <c r="AM234" s="599"/>
      <c r="AN234" s="599"/>
      <c r="AO234" s="599"/>
      <c r="AP234" s="599"/>
      <c r="AQ234" s="599"/>
      <c r="AR234" s="599"/>
      <c r="AS234" s="599"/>
      <c r="AT234" s="599"/>
      <c r="AU234" s="599"/>
      <c r="AV234" s="599"/>
      <c r="AW234" s="599"/>
      <c r="AX234" s="599"/>
      <c r="AY234" s="599"/>
      <c r="AZ234" s="599"/>
      <c r="BA234" s="599"/>
      <c r="BB234" s="599"/>
      <c r="BC234" s="599"/>
      <c r="BD234" s="599"/>
      <c r="BE234" s="598"/>
    </row>
    <row r="235" spans="2:57" ht="12.75" customHeight="1">
      <c r="B235" s="1328"/>
      <c r="C235" s="1329"/>
      <c r="D235" s="501"/>
      <c r="E235" s="501"/>
      <c r="F235" s="1315" t="s">
        <v>616</v>
      </c>
      <c r="G235" s="1316"/>
      <c r="H235" s="629">
        <v>500</v>
      </c>
      <c r="I235" s="584"/>
      <c r="J235" s="504"/>
      <c r="K235" s="574"/>
      <c r="L235" s="574"/>
      <c r="M235" s="574"/>
      <c r="N235" s="505" t="str">
        <f t="shared" si="20"/>
        <v xml:space="preserve"> </v>
      </c>
      <c r="O235" s="597"/>
      <c r="P235" s="507"/>
      <c r="Q235" s="507"/>
      <c r="R235" s="507"/>
      <c r="S235" s="598"/>
      <c r="T235" s="599"/>
      <c r="U235" s="599"/>
      <c r="V235" s="599"/>
      <c r="W235" s="599"/>
      <c r="X235" s="599"/>
      <c r="Y235" s="599"/>
      <c r="Z235" s="599"/>
      <c r="AA235" s="599"/>
      <c r="AB235" s="599"/>
      <c r="AC235" s="599"/>
      <c r="AD235" s="599"/>
      <c r="AE235" s="599"/>
      <c r="AF235" s="599"/>
      <c r="AG235" s="599"/>
      <c r="AH235" s="599"/>
      <c r="AI235" s="599"/>
      <c r="AJ235" s="599"/>
      <c r="AK235" s="599"/>
      <c r="AL235" s="599"/>
      <c r="AM235" s="599"/>
      <c r="AN235" s="599"/>
      <c r="AO235" s="599"/>
      <c r="AP235" s="599"/>
      <c r="AQ235" s="599"/>
      <c r="AR235" s="599"/>
      <c r="AS235" s="599"/>
      <c r="AT235" s="599"/>
      <c r="AU235" s="599"/>
      <c r="AV235" s="599"/>
      <c r="AW235" s="599"/>
      <c r="AX235" s="599"/>
      <c r="AY235" s="599"/>
      <c r="AZ235" s="599"/>
      <c r="BA235" s="599"/>
      <c r="BB235" s="599"/>
      <c r="BC235" s="599"/>
      <c r="BD235" s="599"/>
      <c r="BE235" s="598"/>
    </row>
    <row r="236" spans="2:57" ht="12.75" customHeight="1">
      <c r="B236" s="1326" t="s">
        <v>621</v>
      </c>
      <c r="C236" s="1327"/>
      <c r="D236" s="501" t="s">
        <v>3682</v>
      </c>
      <c r="E236" s="501"/>
      <c r="F236" s="501" t="s">
        <v>2295</v>
      </c>
      <c r="G236" s="501" t="s">
        <v>2296</v>
      </c>
      <c r="H236" s="629">
        <v>3861.4670000000001</v>
      </c>
      <c r="I236" s="584" t="s">
        <v>1677</v>
      </c>
      <c r="J236" s="504">
        <v>45269.805555555555</v>
      </c>
      <c r="K236" s="574"/>
      <c r="L236" s="574" t="s">
        <v>192</v>
      </c>
      <c r="M236" s="574" t="s">
        <v>192</v>
      </c>
      <c r="N236" s="505" t="str">
        <f t="shared" si="20"/>
        <v>On time</v>
      </c>
      <c r="O236" s="597"/>
      <c r="P236" s="507" t="s">
        <v>551</v>
      </c>
      <c r="Q236" s="507" t="s">
        <v>551</v>
      </c>
      <c r="R236" s="507" t="s">
        <v>551</v>
      </c>
      <c r="S236" s="598"/>
      <c r="T236" s="599"/>
      <c r="U236" s="599"/>
      <c r="V236" s="599"/>
      <c r="W236" s="599"/>
      <c r="X236" s="599"/>
      <c r="Y236" s="599">
        <f>H236*0.8</f>
        <v>3089.1736000000001</v>
      </c>
      <c r="Z236" s="599">
        <f>H236*0.2</f>
        <v>772.29340000000002</v>
      </c>
      <c r="AA236" s="599"/>
      <c r="AB236" s="599"/>
      <c r="AC236" s="599"/>
      <c r="AD236" s="599"/>
      <c r="AE236" s="599"/>
      <c r="AF236" s="599"/>
      <c r="AG236" s="599"/>
      <c r="AH236" s="599"/>
      <c r="AI236" s="599"/>
      <c r="AJ236" s="599"/>
      <c r="AK236" s="599"/>
      <c r="AL236" s="599"/>
      <c r="AM236" s="599"/>
      <c r="AN236" s="599"/>
      <c r="AO236" s="599"/>
      <c r="AP236" s="599"/>
      <c r="AQ236" s="599"/>
      <c r="AR236" s="599"/>
      <c r="AS236" s="599"/>
      <c r="AT236" s="599"/>
      <c r="AU236" s="599"/>
      <c r="AV236" s="599"/>
      <c r="AW236" s="599"/>
      <c r="AX236" s="599"/>
      <c r="AY236" s="599"/>
      <c r="AZ236" s="599"/>
      <c r="BA236" s="599"/>
      <c r="BB236" s="599"/>
      <c r="BC236" s="599"/>
      <c r="BD236" s="599"/>
      <c r="BE236" s="598"/>
    </row>
    <row r="237" spans="2:57" ht="12.75" customHeight="1">
      <c r="B237" s="1328"/>
      <c r="C237" s="1329"/>
      <c r="D237" s="501"/>
      <c r="E237" s="501"/>
      <c r="F237" s="1315" t="s">
        <v>616</v>
      </c>
      <c r="G237" s="1316"/>
      <c r="H237" s="629">
        <v>1000</v>
      </c>
      <c r="I237" s="584"/>
      <c r="J237" s="504"/>
      <c r="K237" s="574"/>
      <c r="L237" s="574"/>
      <c r="M237" s="574"/>
      <c r="N237" s="505" t="str">
        <f t="shared" si="20"/>
        <v xml:space="preserve"> </v>
      </c>
      <c r="O237" s="597"/>
      <c r="P237" s="507"/>
      <c r="Q237" s="507"/>
      <c r="R237" s="507"/>
      <c r="S237" s="598"/>
      <c r="T237" s="599"/>
      <c r="U237" s="599"/>
      <c r="V237" s="599"/>
      <c r="W237" s="599"/>
      <c r="X237" s="599"/>
      <c r="Y237" s="599"/>
      <c r="Z237" s="599"/>
      <c r="AA237" s="599"/>
      <c r="AB237" s="599"/>
      <c r="AC237" s="599"/>
      <c r="AD237" s="599"/>
      <c r="AE237" s="599"/>
      <c r="AF237" s="599"/>
      <c r="AG237" s="599"/>
      <c r="AH237" s="599"/>
      <c r="AI237" s="599"/>
      <c r="AJ237" s="599"/>
      <c r="AK237" s="599"/>
      <c r="AL237" s="599"/>
      <c r="AM237" s="599"/>
      <c r="AN237" s="599"/>
      <c r="AO237" s="599"/>
      <c r="AP237" s="599"/>
      <c r="AQ237" s="599"/>
      <c r="AR237" s="599"/>
      <c r="AS237" s="599"/>
      <c r="AT237" s="599"/>
      <c r="AU237" s="599"/>
      <c r="AV237" s="599"/>
      <c r="AW237" s="599"/>
      <c r="AX237" s="599"/>
      <c r="AY237" s="599"/>
      <c r="AZ237" s="599"/>
      <c r="BA237" s="599"/>
      <c r="BB237" s="599"/>
      <c r="BC237" s="599"/>
      <c r="BD237" s="599"/>
      <c r="BE237" s="598"/>
    </row>
    <row r="238" spans="2:57" ht="12.75" customHeight="1">
      <c r="B238" s="1315" t="s">
        <v>622</v>
      </c>
      <c r="C238" s="1316"/>
      <c r="D238" s="501" t="s">
        <v>3836</v>
      </c>
      <c r="E238" s="501"/>
      <c r="F238" s="501" t="s">
        <v>277</v>
      </c>
      <c r="G238" s="501" t="s">
        <v>278</v>
      </c>
      <c r="H238" s="629">
        <v>7503.0820000000003</v>
      </c>
      <c r="I238" s="584" t="s">
        <v>611</v>
      </c>
      <c r="J238" s="504">
        <v>45268.875</v>
      </c>
      <c r="K238" s="574"/>
      <c r="L238" s="574" t="s">
        <v>192</v>
      </c>
      <c r="M238" s="574" t="s">
        <v>192</v>
      </c>
      <c r="N238" s="505" t="str">
        <f t="shared" si="20"/>
        <v>On time</v>
      </c>
      <c r="O238" s="597"/>
      <c r="P238" s="507" t="s">
        <v>551</v>
      </c>
      <c r="Q238" s="507" t="s">
        <v>551</v>
      </c>
      <c r="R238" s="507" t="s">
        <v>551</v>
      </c>
      <c r="S238" s="598"/>
      <c r="T238" s="599">
        <f>H238</f>
        <v>7503.0820000000003</v>
      </c>
      <c r="U238" s="599"/>
      <c r="V238" s="599"/>
      <c r="W238" s="599"/>
      <c r="X238" s="599"/>
      <c r="Y238" s="599"/>
      <c r="Z238" s="599"/>
      <c r="AA238" s="599"/>
      <c r="AB238" s="599"/>
      <c r="AC238" s="599"/>
      <c r="AD238" s="599"/>
      <c r="AE238" s="599"/>
      <c r="AF238" s="599"/>
      <c r="AG238" s="599"/>
      <c r="AH238" s="599"/>
      <c r="AI238" s="599"/>
      <c r="AJ238" s="599"/>
      <c r="AK238" s="599"/>
      <c r="AL238" s="599"/>
      <c r="AM238" s="599"/>
      <c r="AN238" s="599"/>
      <c r="AO238" s="599"/>
      <c r="AP238" s="599"/>
      <c r="AQ238" s="599"/>
      <c r="AR238" s="599"/>
      <c r="AS238" s="599"/>
      <c r="AT238" s="599"/>
      <c r="AU238" s="599"/>
      <c r="AV238" s="599"/>
      <c r="AW238" s="599"/>
      <c r="AX238" s="599"/>
      <c r="AY238" s="599"/>
      <c r="AZ238" s="599"/>
      <c r="BA238" s="599"/>
      <c r="BB238" s="599"/>
      <c r="BC238" s="599"/>
      <c r="BD238" s="599"/>
      <c r="BE238" s="598"/>
    </row>
    <row r="239" spans="2:57" ht="12.75" hidden="1" customHeight="1">
      <c r="B239" s="1351"/>
      <c r="C239" s="1352"/>
      <c r="D239" s="1352"/>
      <c r="E239" s="1352"/>
      <c r="F239" s="1352"/>
      <c r="G239" s="1353"/>
      <c r="H239" s="702"/>
      <c r="I239" s="703"/>
      <c r="J239" s="704"/>
      <c r="K239" s="704"/>
      <c r="L239" s="704"/>
      <c r="M239" s="705"/>
      <c r="N239" s="505" t="str">
        <f t="shared" si="20"/>
        <v xml:space="preserve"> </v>
      </c>
      <c r="O239" s="552"/>
      <c r="P239" s="706"/>
      <c r="Q239" s="706"/>
      <c r="R239" s="706"/>
      <c r="S239" s="598"/>
      <c r="T239" s="599"/>
      <c r="U239" s="599"/>
      <c r="V239" s="599"/>
      <c r="W239" s="599"/>
      <c r="X239" s="599"/>
      <c r="Y239" s="599"/>
      <c r="Z239" s="599"/>
      <c r="AA239" s="599"/>
      <c r="AB239" s="599"/>
      <c r="AC239" s="599"/>
      <c r="AD239" s="599"/>
      <c r="AE239" s="599"/>
      <c r="AF239" s="599"/>
      <c r="AG239" s="599"/>
      <c r="AH239" s="599"/>
      <c r="AI239" s="599"/>
      <c r="AJ239" s="599"/>
      <c r="AK239" s="599"/>
      <c r="AL239" s="599"/>
      <c r="AM239" s="599"/>
      <c r="AN239" s="599"/>
      <c r="AO239" s="599"/>
      <c r="AP239" s="598"/>
      <c r="AQ239" s="599"/>
      <c r="AR239" s="599"/>
      <c r="AS239" s="599"/>
      <c r="AT239" s="599"/>
      <c r="AU239" s="599"/>
      <c r="AV239" s="599"/>
      <c r="AW239" s="599"/>
      <c r="AX239" s="599"/>
      <c r="AY239" s="599"/>
      <c r="AZ239" s="599"/>
      <c r="BA239" s="599"/>
      <c r="BB239" s="599"/>
      <c r="BC239" s="599"/>
      <c r="BD239" s="599"/>
      <c r="BE239" s="598"/>
    </row>
    <row r="240" spans="2:57" ht="12.75" customHeight="1">
      <c r="B240" s="1315" t="s">
        <v>668</v>
      </c>
      <c r="C240" s="1316"/>
      <c r="D240" s="501" t="s">
        <v>3868</v>
      </c>
      <c r="E240" s="585"/>
      <c r="F240" s="501" t="s">
        <v>1617</v>
      </c>
      <c r="G240" s="501" t="s">
        <v>2833</v>
      </c>
      <c r="H240" s="629">
        <v>5200.6710000000003</v>
      </c>
      <c r="I240" s="584" t="s">
        <v>183</v>
      </c>
      <c r="J240" s="504">
        <v>45272.21875</v>
      </c>
      <c r="K240" s="574"/>
      <c r="L240" s="574" t="s">
        <v>192</v>
      </c>
      <c r="M240" s="574" t="s">
        <v>192</v>
      </c>
      <c r="N240" s="505" t="str">
        <f t="shared" si="20"/>
        <v>DELAY ( 2 day 23 hour 45 minute )</v>
      </c>
      <c r="O240" s="597"/>
      <c r="P240" s="507" t="s">
        <v>551</v>
      </c>
      <c r="Q240" s="507" t="s">
        <v>551</v>
      </c>
      <c r="R240" s="507" t="s">
        <v>551</v>
      </c>
      <c r="S240" s="598"/>
      <c r="T240" s="599"/>
      <c r="U240" s="599"/>
      <c r="V240" s="599"/>
      <c r="W240" s="599"/>
      <c r="X240" s="599"/>
      <c r="Y240" s="599"/>
      <c r="Z240" s="599"/>
      <c r="AA240" s="599"/>
      <c r="AB240" s="599"/>
      <c r="AC240" s="599"/>
      <c r="AD240" s="599"/>
      <c r="AE240" s="599"/>
      <c r="AF240" s="599"/>
      <c r="AG240" s="599"/>
      <c r="AH240" s="599"/>
      <c r="AI240" s="599"/>
      <c r="AJ240" s="599"/>
      <c r="AK240" s="599"/>
      <c r="AL240" s="599"/>
      <c r="AM240" s="599"/>
      <c r="AN240" s="599"/>
      <c r="AO240" s="599"/>
      <c r="AP240" s="599"/>
      <c r="AQ240" s="599"/>
      <c r="AR240" s="599"/>
      <c r="AS240" s="599"/>
      <c r="AT240" s="599"/>
      <c r="AU240" s="599"/>
      <c r="AV240" s="599">
        <f>H240</f>
        <v>5200.6710000000003</v>
      </c>
      <c r="AW240" s="599"/>
      <c r="AX240" s="599"/>
      <c r="AY240" s="599"/>
      <c r="AZ240" s="599"/>
      <c r="BA240" s="599"/>
      <c r="BB240" s="599"/>
      <c r="BC240" s="599"/>
      <c r="BD240" s="599"/>
      <c r="BE240" s="598"/>
    </row>
    <row r="241" spans="2:57" ht="12.75" customHeight="1">
      <c r="B241" s="1351" t="s">
        <v>2182</v>
      </c>
      <c r="C241" s="1352"/>
      <c r="D241" s="1352"/>
      <c r="E241" s="1352"/>
      <c r="F241" s="1352"/>
      <c r="G241" s="1353"/>
      <c r="H241" s="702">
        <f>SUM(H240)</f>
        <v>5200.6710000000003</v>
      </c>
      <c r="I241" s="703"/>
      <c r="J241" s="704"/>
      <c r="K241" s="704"/>
      <c r="L241" s="704"/>
      <c r="M241" s="705"/>
      <c r="N241" s="505" t="str">
        <f t="shared" si="20"/>
        <v xml:space="preserve"> </v>
      </c>
      <c r="O241" s="552"/>
      <c r="P241" s="706"/>
      <c r="Q241" s="706"/>
      <c r="R241" s="706"/>
      <c r="S241" s="598"/>
      <c r="T241" s="599"/>
      <c r="U241" s="599"/>
      <c r="V241" s="599"/>
      <c r="W241" s="599"/>
      <c r="X241" s="599"/>
      <c r="Y241" s="599"/>
      <c r="Z241" s="599"/>
      <c r="AA241" s="599"/>
      <c r="AB241" s="599"/>
      <c r="AC241" s="599"/>
      <c r="AD241" s="599"/>
      <c r="AE241" s="599"/>
      <c r="AF241" s="599"/>
      <c r="AG241" s="599"/>
      <c r="AH241" s="599"/>
      <c r="AI241" s="599"/>
      <c r="AJ241" s="599"/>
      <c r="AK241" s="599"/>
      <c r="AL241" s="599"/>
      <c r="AM241" s="599"/>
      <c r="AN241" s="599"/>
      <c r="AO241" s="599"/>
      <c r="AP241" s="598"/>
      <c r="AQ241" s="599"/>
      <c r="AR241" s="599"/>
      <c r="AS241" s="599"/>
      <c r="AT241" s="599"/>
      <c r="AU241" s="599"/>
      <c r="AV241" s="599"/>
      <c r="AW241" s="599"/>
      <c r="AX241" s="599"/>
      <c r="AY241" s="599"/>
      <c r="AZ241" s="599"/>
      <c r="BA241" s="599"/>
      <c r="BB241" s="599"/>
      <c r="BC241" s="599"/>
      <c r="BD241" s="599"/>
      <c r="BE241" s="598"/>
    </row>
    <row r="242" spans="2:57" ht="12.75" customHeight="1">
      <c r="B242" s="1326" t="s">
        <v>623</v>
      </c>
      <c r="C242" s="1327"/>
      <c r="D242" s="501" t="s">
        <v>3891</v>
      </c>
      <c r="E242" s="501"/>
      <c r="F242" s="501" t="s">
        <v>339</v>
      </c>
      <c r="G242" s="501" t="s">
        <v>506</v>
      </c>
      <c r="H242" s="629">
        <v>7257.7659999999996</v>
      </c>
      <c r="I242" s="584" t="s">
        <v>509</v>
      </c>
      <c r="J242" s="504">
        <v>45268.6875</v>
      </c>
      <c r="K242" s="574"/>
      <c r="L242" s="574" t="s">
        <v>192</v>
      </c>
      <c r="M242" s="574" t="s">
        <v>192</v>
      </c>
      <c r="N242" s="505" t="str">
        <f t="shared" si="20"/>
        <v>On time</v>
      </c>
      <c r="O242" s="597"/>
      <c r="P242" s="507" t="s">
        <v>551</v>
      </c>
      <c r="Q242" s="507" t="s">
        <v>551</v>
      </c>
      <c r="R242" s="507" t="s">
        <v>551</v>
      </c>
      <c r="S242" s="598"/>
      <c r="T242" s="599"/>
      <c r="U242" s="599"/>
      <c r="V242" s="599"/>
      <c r="W242" s="599"/>
      <c r="X242" s="599"/>
      <c r="Y242" s="599">
        <f>H242*0.7</f>
        <v>5080.4361999999992</v>
      </c>
      <c r="Z242" s="599">
        <f>H242*0.3</f>
        <v>2177.3298</v>
      </c>
      <c r="AA242" s="599"/>
      <c r="AB242" s="599"/>
      <c r="AC242" s="599"/>
      <c r="AD242" s="599"/>
      <c r="AE242" s="599"/>
      <c r="AF242" s="599"/>
      <c r="AG242" s="599"/>
      <c r="AH242" s="599"/>
      <c r="AI242" s="599"/>
      <c r="AJ242" s="599"/>
      <c r="AK242" s="599"/>
      <c r="AL242" s="599"/>
      <c r="AM242" s="599"/>
      <c r="AN242" s="599"/>
      <c r="AO242" s="599"/>
      <c r="AP242" s="599"/>
      <c r="AQ242" s="599"/>
      <c r="AR242" s="599"/>
      <c r="AS242" s="599"/>
      <c r="AT242" s="599"/>
      <c r="AU242" s="599"/>
      <c r="AV242" s="599"/>
      <c r="AW242" s="599"/>
      <c r="AX242" s="599"/>
      <c r="AY242" s="599"/>
      <c r="AZ242" s="599"/>
      <c r="BA242" s="599"/>
      <c r="BB242" s="599"/>
      <c r="BC242" s="599"/>
      <c r="BD242" s="599"/>
      <c r="BE242" s="598"/>
    </row>
    <row r="243" spans="2:57" ht="12.75" customHeight="1">
      <c r="B243" s="1421"/>
      <c r="C243" s="1422"/>
      <c r="D243" s="501"/>
      <c r="E243" s="501"/>
      <c r="F243" s="1315" t="s">
        <v>668</v>
      </c>
      <c r="G243" s="1316"/>
      <c r="H243" s="629">
        <v>1500</v>
      </c>
      <c r="I243" s="584"/>
      <c r="J243" s="504"/>
      <c r="K243" s="574"/>
      <c r="L243" s="574"/>
      <c r="M243" s="574"/>
      <c r="N243" s="505" t="str">
        <f t="shared" si="20"/>
        <v xml:space="preserve"> </v>
      </c>
      <c r="O243" s="597"/>
      <c r="P243" s="507"/>
      <c r="Q243" s="507"/>
      <c r="R243" s="507"/>
      <c r="S243" s="598"/>
      <c r="T243" s="599"/>
      <c r="U243" s="599"/>
      <c r="V243" s="599"/>
      <c r="W243" s="599"/>
      <c r="X243" s="599"/>
      <c r="Y243" s="599"/>
      <c r="Z243" s="599"/>
      <c r="AA243" s="599"/>
      <c r="AB243" s="599"/>
      <c r="AC243" s="599"/>
      <c r="AD243" s="599"/>
      <c r="AE243" s="599"/>
      <c r="AF243" s="599"/>
      <c r="AG243" s="599"/>
      <c r="AH243" s="599"/>
      <c r="AI243" s="599"/>
      <c r="AJ243" s="599"/>
      <c r="AK243" s="599"/>
      <c r="AL243" s="599"/>
      <c r="AM243" s="599"/>
      <c r="AN243" s="599"/>
      <c r="AO243" s="599"/>
      <c r="AP243" s="599"/>
      <c r="AQ243" s="599"/>
      <c r="AR243" s="599"/>
      <c r="AS243" s="599"/>
      <c r="AT243" s="599"/>
      <c r="AU243" s="599"/>
      <c r="AV243" s="599"/>
      <c r="AW243" s="599"/>
      <c r="AX243" s="599"/>
      <c r="AY243" s="599"/>
      <c r="AZ243" s="599"/>
      <c r="BA243" s="599"/>
      <c r="BB243" s="599"/>
      <c r="BC243" s="599"/>
      <c r="BD243" s="599"/>
      <c r="BE243" s="598"/>
    </row>
    <row r="244" spans="2:57" ht="12.75" customHeight="1">
      <c r="B244" s="1328"/>
      <c r="C244" s="1329"/>
      <c r="D244" s="501"/>
      <c r="E244" s="501"/>
      <c r="F244" s="1315" t="s">
        <v>616</v>
      </c>
      <c r="G244" s="1316"/>
      <c r="H244" s="629">
        <v>1000</v>
      </c>
      <c r="I244" s="584"/>
      <c r="J244" s="504"/>
      <c r="K244" s="574"/>
      <c r="L244" s="574"/>
      <c r="M244" s="574"/>
      <c r="N244" s="505" t="str">
        <f t="shared" si="20"/>
        <v xml:space="preserve"> </v>
      </c>
      <c r="O244" s="597"/>
      <c r="P244" s="507"/>
      <c r="Q244" s="507"/>
      <c r="R244" s="507"/>
      <c r="S244" s="598"/>
      <c r="T244" s="599"/>
      <c r="U244" s="599"/>
      <c r="V244" s="599"/>
      <c r="W244" s="599"/>
      <c r="X244" s="599"/>
      <c r="Y244" s="599"/>
      <c r="Z244" s="599"/>
      <c r="AA244" s="599"/>
      <c r="AB244" s="599"/>
      <c r="AC244" s="599"/>
      <c r="AD244" s="599"/>
      <c r="AE244" s="599"/>
      <c r="AF244" s="599"/>
      <c r="AG244" s="599"/>
      <c r="AH244" s="599"/>
      <c r="AI244" s="599"/>
      <c r="AJ244" s="599"/>
      <c r="AK244" s="599"/>
      <c r="AL244" s="599"/>
      <c r="AM244" s="599"/>
      <c r="AN244" s="599"/>
      <c r="AO244" s="599"/>
      <c r="AP244" s="599"/>
      <c r="AQ244" s="599"/>
      <c r="AR244" s="599"/>
      <c r="AS244" s="599"/>
      <c r="AT244" s="599"/>
      <c r="AU244" s="599"/>
      <c r="AV244" s="599"/>
      <c r="AW244" s="599"/>
      <c r="AX244" s="599"/>
      <c r="AY244" s="599"/>
      <c r="AZ244" s="599"/>
      <c r="BA244" s="599"/>
      <c r="BB244" s="599"/>
      <c r="BC244" s="599"/>
      <c r="BD244" s="599"/>
      <c r="BE244" s="598"/>
    </row>
    <row r="245" spans="2:57" ht="12.75" customHeight="1">
      <c r="B245" s="1326" t="s">
        <v>624</v>
      </c>
      <c r="C245" s="1327"/>
      <c r="D245" s="501" t="s">
        <v>3892</v>
      </c>
      <c r="E245" s="501"/>
      <c r="F245" s="501" t="s">
        <v>3893</v>
      </c>
      <c r="G245" s="501" t="s">
        <v>347</v>
      </c>
      <c r="H245" s="629">
        <v>7595.451</v>
      </c>
      <c r="I245" s="584" t="s">
        <v>509</v>
      </c>
      <c r="J245" s="504">
        <v>45269.291666666664</v>
      </c>
      <c r="K245" s="574"/>
      <c r="L245" s="574" t="s">
        <v>192</v>
      </c>
      <c r="M245" s="574" t="s">
        <v>192</v>
      </c>
      <c r="N245" s="505" t="str">
        <f t="shared" si="20"/>
        <v>On time</v>
      </c>
      <c r="O245" s="597"/>
      <c r="P245" s="507" t="s">
        <v>551</v>
      </c>
      <c r="Q245" s="507" t="s">
        <v>551</v>
      </c>
      <c r="R245" s="507" t="s">
        <v>551</v>
      </c>
      <c r="S245" s="598"/>
      <c r="T245" s="599"/>
      <c r="U245" s="599"/>
      <c r="V245" s="599"/>
      <c r="W245" s="599"/>
      <c r="X245" s="598"/>
      <c r="Y245" s="599">
        <f>H245*0.7</f>
        <v>5316.8157000000001</v>
      </c>
      <c r="Z245" s="599">
        <f>H245*0.3</f>
        <v>2278.6352999999999</v>
      </c>
      <c r="AA245" s="599"/>
      <c r="AB245" s="599"/>
      <c r="AC245" s="599"/>
      <c r="AD245" s="599"/>
      <c r="AE245" s="599"/>
      <c r="AF245" s="599"/>
      <c r="AG245" s="599"/>
      <c r="AH245" s="599"/>
      <c r="AI245" s="599"/>
      <c r="AJ245" s="599"/>
      <c r="AK245" s="599"/>
      <c r="AL245" s="599"/>
      <c r="AM245" s="599"/>
      <c r="AN245" s="599"/>
      <c r="AO245" s="599"/>
      <c r="AP245" s="599"/>
      <c r="AQ245" s="599"/>
      <c r="AR245" s="599"/>
      <c r="AS245" s="599"/>
      <c r="AT245" s="599"/>
      <c r="AU245" s="599"/>
      <c r="AV245" s="599"/>
      <c r="AW245" s="599"/>
      <c r="AX245" s="599"/>
      <c r="AY245" s="599"/>
      <c r="AZ245" s="599"/>
      <c r="BA245" s="599"/>
      <c r="BB245" s="599"/>
      <c r="BC245" s="599"/>
      <c r="BD245" s="599"/>
      <c r="BE245" s="598"/>
    </row>
    <row r="246" spans="2:57" ht="12.75" customHeight="1">
      <c r="B246" s="1421"/>
      <c r="C246" s="1422"/>
      <c r="D246" s="501"/>
      <c r="E246" s="501"/>
      <c r="F246" s="1315" t="s">
        <v>668</v>
      </c>
      <c r="G246" s="1316"/>
      <c r="H246" s="629">
        <v>750</v>
      </c>
      <c r="I246" s="584"/>
      <c r="J246" s="504"/>
      <c r="K246" s="574"/>
      <c r="L246" s="574"/>
      <c r="M246" s="574"/>
      <c r="N246" s="505" t="str">
        <f t="shared" si="20"/>
        <v xml:space="preserve"> </v>
      </c>
      <c r="O246" s="597"/>
      <c r="P246" s="507"/>
      <c r="Q246" s="507"/>
      <c r="R246" s="507"/>
      <c r="S246" s="598"/>
      <c r="T246" s="599"/>
      <c r="U246" s="599"/>
      <c r="V246" s="599"/>
      <c r="W246" s="599"/>
      <c r="X246" s="599"/>
      <c r="Y246" s="599"/>
      <c r="Z246" s="599"/>
      <c r="AA246" s="599"/>
      <c r="AB246" s="599"/>
      <c r="AC246" s="599"/>
      <c r="AD246" s="599"/>
      <c r="AE246" s="599"/>
      <c r="AF246" s="599"/>
      <c r="AG246" s="599"/>
      <c r="AH246" s="599"/>
      <c r="AI246" s="599"/>
      <c r="AJ246" s="599"/>
      <c r="AK246" s="599"/>
      <c r="AL246" s="599"/>
      <c r="AM246" s="599"/>
      <c r="AN246" s="599"/>
      <c r="AO246" s="599"/>
      <c r="AP246" s="599"/>
      <c r="AQ246" s="599"/>
      <c r="AR246" s="599"/>
      <c r="AS246" s="599"/>
      <c r="AT246" s="599"/>
      <c r="AU246" s="599"/>
      <c r="AV246" s="599"/>
      <c r="AW246" s="599"/>
      <c r="AX246" s="599"/>
      <c r="AY246" s="599"/>
      <c r="AZ246" s="599"/>
      <c r="BA246" s="599"/>
      <c r="BB246" s="599"/>
      <c r="BC246" s="599"/>
      <c r="BD246" s="599"/>
      <c r="BE246" s="598"/>
    </row>
    <row r="247" spans="2:57" ht="12.75" customHeight="1">
      <c r="B247" s="1328"/>
      <c r="C247" s="1329"/>
      <c r="D247" s="501"/>
      <c r="E247" s="501"/>
      <c r="F247" s="1315" t="s">
        <v>616</v>
      </c>
      <c r="G247" s="1316"/>
      <c r="H247" s="629">
        <v>1000</v>
      </c>
      <c r="I247" s="584"/>
      <c r="J247" s="504"/>
      <c r="K247" s="574"/>
      <c r="L247" s="574"/>
      <c r="M247" s="574"/>
      <c r="N247" s="505" t="str">
        <f t="shared" si="20"/>
        <v xml:space="preserve"> </v>
      </c>
      <c r="O247" s="597"/>
      <c r="P247" s="507"/>
      <c r="Q247" s="507"/>
      <c r="R247" s="507"/>
      <c r="S247" s="598"/>
      <c r="T247" s="599"/>
      <c r="U247" s="599"/>
      <c r="V247" s="599"/>
      <c r="W247" s="599"/>
      <c r="X247" s="599"/>
      <c r="Y247" s="599"/>
      <c r="Z247" s="599"/>
      <c r="AA247" s="599"/>
      <c r="AB247" s="599"/>
      <c r="AC247" s="599"/>
      <c r="AD247" s="599"/>
      <c r="AE247" s="599"/>
      <c r="AF247" s="599"/>
      <c r="AG247" s="599"/>
      <c r="AH247" s="599"/>
      <c r="AI247" s="599"/>
      <c r="AJ247" s="599"/>
      <c r="AK247" s="599"/>
      <c r="AL247" s="599"/>
      <c r="AM247" s="599"/>
      <c r="AN247" s="599"/>
      <c r="AO247" s="599"/>
      <c r="AP247" s="599"/>
      <c r="AQ247" s="599"/>
      <c r="AR247" s="599"/>
      <c r="AS247" s="599"/>
      <c r="AT247" s="599"/>
      <c r="AU247" s="599"/>
      <c r="AV247" s="599"/>
      <c r="AW247" s="599"/>
      <c r="AX247" s="599"/>
      <c r="AY247" s="599"/>
      <c r="AZ247" s="599"/>
      <c r="BA247" s="599"/>
      <c r="BB247" s="599"/>
      <c r="BC247" s="599"/>
      <c r="BD247" s="599"/>
      <c r="BE247" s="598"/>
    </row>
    <row r="248" spans="2:57" ht="12.75" customHeight="1">
      <c r="B248" s="1326" t="s">
        <v>625</v>
      </c>
      <c r="C248" s="1327"/>
      <c r="D248" s="501" t="s">
        <v>3895</v>
      </c>
      <c r="E248" s="501"/>
      <c r="F248" s="501" t="s">
        <v>252</v>
      </c>
      <c r="G248" s="501" t="s">
        <v>253</v>
      </c>
      <c r="H248" s="629">
        <v>7502.6120000000001</v>
      </c>
      <c r="I248" s="584" t="s">
        <v>509</v>
      </c>
      <c r="J248" s="504">
        <v>45269.659722222219</v>
      </c>
      <c r="K248" s="504"/>
      <c r="L248" s="574" t="s">
        <v>192</v>
      </c>
      <c r="M248" s="574" t="s">
        <v>192</v>
      </c>
      <c r="N248" s="505" t="str">
        <f t="shared" si="20"/>
        <v>On time</v>
      </c>
      <c r="O248" s="597"/>
      <c r="P248" s="507" t="s">
        <v>551</v>
      </c>
      <c r="Q248" s="507" t="s">
        <v>551</v>
      </c>
      <c r="R248" s="507" t="s">
        <v>551</v>
      </c>
      <c r="S248" s="598"/>
      <c r="T248" s="599"/>
      <c r="U248" s="599"/>
      <c r="V248" s="599"/>
      <c r="W248" s="599"/>
      <c r="X248" s="599"/>
      <c r="Y248" s="599">
        <f>H248*0.7</f>
        <v>5251.8283999999994</v>
      </c>
      <c r="Z248" s="599">
        <f>H248*0.3</f>
        <v>2250.7835999999998</v>
      </c>
      <c r="AA248" s="599"/>
      <c r="AB248" s="599"/>
      <c r="AC248" s="599"/>
      <c r="AD248" s="599"/>
      <c r="AE248" s="599"/>
      <c r="AF248" s="599"/>
      <c r="AG248" s="599"/>
      <c r="AH248" s="599"/>
      <c r="AI248" s="599"/>
      <c r="AJ248" s="599"/>
      <c r="AK248" s="598"/>
      <c r="AL248" s="599"/>
      <c r="AM248" s="599"/>
      <c r="AN248" s="599"/>
      <c r="AO248" s="599"/>
      <c r="AP248" s="599"/>
      <c r="AQ248" s="599"/>
      <c r="AR248" s="599"/>
      <c r="AS248" s="599"/>
      <c r="AT248" s="599"/>
      <c r="AU248" s="599"/>
      <c r="AV248" s="599"/>
      <c r="AW248" s="599"/>
      <c r="AX248" s="598"/>
      <c r="AY248" s="599"/>
      <c r="AZ248" s="599"/>
      <c r="BA248" s="599"/>
      <c r="BB248" s="599"/>
      <c r="BC248" s="599"/>
      <c r="BD248" s="599"/>
      <c r="BE248" s="598"/>
    </row>
    <row r="249" spans="2:57" ht="12.75" customHeight="1">
      <c r="B249" s="1421"/>
      <c r="C249" s="1422"/>
      <c r="D249" s="501"/>
      <c r="E249" s="501"/>
      <c r="F249" s="1315" t="s">
        <v>668</v>
      </c>
      <c r="G249" s="1316"/>
      <c r="H249" s="629">
        <v>800</v>
      </c>
      <c r="I249" s="584"/>
      <c r="J249" s="504"/>
      <c r="K249" s="574"/>
      <c r="L249" s="574"/>
      <c r="M249" s="574"/>
      <c r="N249" s="505" t="str">
        <f t="shared" si="20"/>
        <v xml:space="preserve"> </v>
      </c>
      <c r="O249" s="597"/>
      <c r="P249" s="507"/>
      <c r="Q249" s="507"/>
      <c r="R249" s="507"/>
      <c r="S249" s="598"/>
      <c r="T249" s="599"/>
      <c r="U249" s="599"/>
      <c r="V249" s="599"/>
      <c r="W249" s="599"/>
      <c r="X249" s="599"/>
      <c r="Y249" s="599"/>
      <c r="Z249" s="599"/>
      <c r="AA249" s="599"/>
      <c r="AB249" s="599"/>
      <c r="AC249" s="599"/>
      <c r="AD249" s="599"/>
      <c r="AE249" s="599"/>
      <c r="AF249" s="599"/>
      <c r="AG249" s="599"/>
      <c r="AH249" s="599"/>
      <c r="AI249" s="599"/>
      <c r="AJ249" s="599"/>
      <c r="AK249" s="599"/>
      <c r="AL249" s="599"/>
      <c r="AM249" s="599"/>
      <c r="AN249" s="599"/>
      <c r="AO249" s="599"/>
      <c r="AP249" s="599"/>
      <c r="AQ249" s="599"/>
      <c r="AR249" s="599"/>
      <c r="AS249" s="599"/>
      <c r="AT249" s="599"/>
      <c r="AU249" s="599"/>
      <c r="AV249" s="599"/>
      <c r="AW249" s="599"/>
      <c r="AX249" s="599"/>
      <c r="AY249" s="599"/>
      <c r="AZ249" s="599"/>
      <c r="BA249" s="599"/>
      <c r="BB249" s="599"/>
      <c r="BC249" s="599"/>
      <c r="BD249" s="599"/>
      <c r="BE249" s="598"/>
    </row>
    <row r="250" spans="2:57" ht="12.75" customHeight="1">
      <c r="B250" s="1328"/>
      <c r="C250" s="1329"/>
      <c r="D250" s="501"/>
      <c r="E250" s="501"/>
      <c r="F250" s="1315" t="s">
        <v>616</v>
      </c>
      <c r="G250" s="1316"/>
      <c r="H250" s="629">
        <v>1000</v>
      </c>
      <c r="I250" s="584"/>
      <c r="J250" s="504"/>
      <c r="K250" s="574"/>
      <c r="L250" s="574"/>
      <c r="M250" s="574"/>
      <c r="N250" s="505" t="str">
        <f t="shared" si="20"/>
        <v xml:space="preserve"> </v>
      </c>
      <c r="O250" s="597"/>
      <c r="P250" s="507"/>
      <c r="Q250" s="507"/>
      <c r="R250" s="507"/>
      <c r="S250" s="598"/>
      <c r="T250" s="599"/>
      <c r="U250" s="599"/>
      <c r="V250" s="599"/>
      <c r="W250" s="599"/>
      <c r="X250" s="599"/>
      <c r="Y250" s="599"/>
      <c r="Z250" s="599"/>
      <c r="AA250" s="599"/>
      <c r="AB250" s="599"/>
      <c r="AC250" s="599"/>
      <c r="AD250" s="599"/>
      <c r="AE250" s="599"/>
      <c r="AF250" s="599"/>
      <c r="AG250" s="599"/>
      <c r="AH250" s="599"/>
      <c r="AI250" s="599"/>
      <c r="AJ250" s="599"/>
      <c r="AK250" s="599"/>
      <c r="AL250" s="599"/>
      <c r="AM250" s="599"/>
      <c r="AN250" s="599"/>
      <c r="AO250" s="599"/>
      <c r="AP250" s="599"/>
      <c r="AQ250" s="599"/>
      <c r="AR250" s="599"/>
      <c r="AS250" s="599"/>
      <c r="AT250" s="599"/>
      <c r="AU250" s="599"/>
      <c r="AV250" s="599"/>
      <c r="AW250" s="599"/>
      <c r="AX250" s="599"/>
      <c r="AY250" s="599"/>
      <c r="AZ250" s="599"/>
      <c r="BA250" s="599"/>
      <c r="BB250" s="599"/>
      <c r="BC250" s="599"/>
      <c r="BD250" s="599"/>
      <c r="BE250" s="598"/>
    </row>
    <row r="251" spans="2:57" ht="12.75" customHeight="1">
      <c r="B251" s="1326" t="s">
        <v>669</v>
      </c>
      <c r="C251" s="1327"/>
      <c r="D251" s="501" t="s">
        <v>3896</v>
      </c>
      <c r="E251" s="501"/>
      <c r="F251" s="501" t="s">
        <v>257</v>
      </c>
      <c r="G251" s="501" t="s">
        <v>258</v>
      </c>
      <c r="H251" s="629">
        <v>7567.4620000000004</v>
      </c>
      <c r="I251" s="584" t="s">
        <v>509</v>
      </c>
      <c r="J251" s="504">
        <v>45269.881944444445</v>
      </c>
      <c r="K251" s="504"/>
      <c r="L251" s="574" t="s">
        <v>192</v>
      </c>
      <c r="M251" s="574" t="s">
        <v>192</v>
      </c>
      <c r="N251" s="505" t="str">
        <f t="shared" si="20"/>
        <v>On time</v>
      </c>
      <c r="O251" s="597"/>
      <c r="P251" s="507" t="s">
        <v>551</v>
      </c>
      <c r="Q251" s="507" t="s">
        <v>551</v>
      </c>
      <c r="R251" s="507" t="s">
        <v>551</v>
      </c>
      <c r="S251" s="598"/>
      <c r="T251" s="599"/>
      <c r="U251" s="599"/>
      <c r="V251" s="599"/>
      <c r="W251" s="599"/>
      <c r="X251" s="599"/>
      <c r="Y251" s="599">
        <f>H251*0.7</f>
        <v>5297.2233999999999</v>
      </c>
      <c r="Z251" s="599">
        <f>H251*0.3</f>
        <v>2270.2386000000001</v>
      </c>
      <c r="AA251" s="599"/>
      <c r="AB251" s="599"/>
      <c r="AC251" s="599"/>
      <c r="AD251" s="599"/>
      <c r="AE251" s="599"/>
      <c r="AF251" s="599"/>
      <c r="AG251" s="599"/>
      <c r="AH251" s="599"/>
      <c r="AI251" s="599"/>
      <c r="AJ251" s="599"/>
      <c r="AK251" s="598"/>
      <c r="AL251" s="599"/>
      <c r="AM251" s="599"/>
      <c r="AN251" s="599"/>
      <c r="AO251" s="599"/>
      <c r="AP251" s="599"/>
      <c r="AQ251" s="599"/>
      <c r="AR251" s="599"/>
      <c r="AS251" s="599"/>
      <c r="AT251" s="599"/>
      <c r="AU251" s="599"/>
      <c r="AV251" s="599"/>
      <c r="AW251" s="599"/>
      <c r="AX251" s="598"/>
      <c r="AY251" s="599"/>
      <c r="AZ251" s="599"/>
      <c r="BA251" s="599"/>
      <c r="BB251" s="599"/>
      <c r="BC251" s="599"/>
      <c r="BD251" s="599"/>
      <c r="BE251" s="598"/>
    </row>
    <row r="252" spans="2:57" ht="12.75" customHeight="1">
      <c r="B252" s="1421"/>
      <c r="C252" s="1422"/>
      <c r="D252" s="501"/>
      <c r="E252" s="501"/>
      <c r="F252" s="1315" t="s">
        <v>668</v>
      </c>
      <c r="G252" s="1316"/>
      <c r="H252" s="629">
        <v>901</v>
      </c>
      <c r="I252" s="584"/>
      <c r="J252" s="504"/>
      <c r="K252" s="574"/>
      <c r="L252" s="574"/>
      <c r="M252" s="574"/>
      <c r="N252" s="505" t="str">
        <f t="shared" si="20"/>
        <v xml:space="preserve"> </v>
      </c>
      <c r="O252" s="597"/>
      <c r="P252" s="507"/>
      <c r="Q252" s="507"/>
      <c r="R252" s="507"/>
      <c r="S252" s="598"/>
      <c r="T252" s="599"/>
      <c r="U252" s="599"/>
      <c r="V252" s="599"/>
      <c r="W252" s="599"/>
      <c r="X252" s="599"/>
      <c r="Y252" s="599"/>
      <c r="Z252" s="599"/>
      <c r="AA252" s="599"/>
      <c r="AB252" s="599"/>
      <c r="AC252" s="599"/>
      <c r="AD252" s="599"/>
      <c r="AE252" s="599"/>
      <c r="AF252" s="599"/>
      <c r="AG252" s="599"/>
      <c r="AH252" s="599"/>
      <c r="AI252" s="599"/>
      <c r="AJ252" s="599"/>
      <c r="AK252" s="599"/>
      <c r="AL252" s="599"/>
      <c r="AM252" s="599"/>
      <c r="AN252" s="599"/>
      <c r="AO252" s="599"/>
      <c r="AP252" s="599"/>
      <c r="AQ252" s="599"/>
      <c r="AR252" s="599"/>
      <c r="AS252" s="599"/>
      <c r="AT252" s="599"/>
      <c r="AU252" s="599"/>
      <c r="AV252" s="599"/>
      <c r="AW252" s="599"/>
      <c r="AX252" s="599"/>
      <c r="AY252" s="599"/>
      <c r="AZ252" s="599"/>
      <c r="BA252" s="599"/>
      <c r="BB252" s="599"/>
      <c r="BC252" s="599"/>
      <c r="BD252" s="599"/>
      <c r="BE252" s="598"/>
    </row>
    <row r="253" spans="2:57" ht="12.75" customHeight="1">
      <c r="B253" s="1328"/>
      <c r="C253" s="1329"/>
      <c r="D253" s="501"/>
      <c r="E253" s="501"/>
      <c r="F253" s="1315" t="s">
        <v>616</v>
      </c>
      <c r="G253" s="1316"/>
      <c r="H253" s="629">
        <v>1000</v>
      </c>
      <c r="I253" s="584"/>
      <c r="J253" s="504"/>
      <c r="K253" s="574"/>
      <c r="L253" s="574"/>
      <c r="M253" s="574"/>
      <c r="N253" s="505" t="str">
        <f t="shared" si="20"/>
        <v xml:space="preserve"> </v>
      </c>
      <c r="O253" s="597"/>
      <c r="P253" s="507"/>
      <c r="Q253" s="507"/>
      <c r="R253" s="507"/>
      <c r="S253" s="598"/>
      <c r="T253" s="599"/>
      <c r="U253" s="599"/>
      <c r="V253" s="599"/>
      <c r="W253" s="599"/>
      <c r="X253" s="599"/>
      <c r="Y253" s="599"/>
      <c r="Z253" s="599"/>
      <c r="AA253" s="599"/>
      <c r="AB253" s="599"/>
      <c r="AC253" s="599"/>
      <c r="AD253" s="599"/>
      <c r="AE253" s="599"/>
      <c r="AF253" s="599"/>
      <c r="AG253" s="599"/>
      <c r="AH253" s="599"/>
      <c r="AI253" s="599"/>
      <c r="AJ253" s="599"/>
      <c r="AK253" s="599"/>
      <c r="AL253" s="599"/>
      <c r="AM253" s="599"/>
      <c r="AN253" s="599"/>
      <c r="AO253" s="599"/>
      <c r="AP253" s="599"/>
      <c r="AQ253" s="599"/>
      <c r="AR253" s="599"/>
      <c r="AS253" s="599"/>
      <c r="AT253" s="599"/>
      <c r="AU253" s="599"/>
      <c r="AV253" s="599"/>
      <c r="AW253" s="599"/>
      <c r="AX253" s="599"/>
      <c r="AY253" s="599"/>
      <c r="AZ253" s="599"/>
      <c r="BA253" s="599"/>
      <c r="BB253" s="599"/>
      <c r="BC253" s="599"/>
      <c r="BD253" s="599"/>
      <c r="BE253" s="598"/>
    </row>
    <row r="254" spans="2:57" ht="12.75" customHeight="1">
      <c r="B254" s="1326" t="s">
        <v>670</v>
      </c>
      <c r="C254" s="1327"/>
      <c r="D254" s="501" t="s">
        <v>3884</v>
      </c>
      <c r="E254" s="501"/>
      <c r="F254" s="501" t="s">
        <v>377</v>
      </c>
      <c r="G254" s="501" t="s">
        <v>378</v>
      </c>
      <c r="H254" s="629">
        <v>7702.7060000000001</v>
      </c>
      <c r="I254" s="584" t="s">
        <v>509</v>
      </c>
      <c r="J254" s="504">
        <v>45265.430555555555</v>
      </c>
      <c r="K254" s="574"/>
      <c r="L254" s="574" t="s">
        <v>192</v>
      </c>
      <c r="M254" s="574" t="s">
        <v>192</v>
      </c>
      <c r="N254" s="505" t="str">
        <f t="shared" si="20"/>
        <v>On time</v>
      </c>
      <c r="O254" s="597"/>
      <c r="P254" s="507" t="s">
        <v>551</v>
      </c>
      <c r="Q254" s="507" t="s">
        <v>551</v>
      </c>
      <c r="R254" s="507" t="s">
        <v>551</v>
      </c>
      <c r="S254" s="598"/>
      <c r="T254" s="599"/>
      <c r="U254" s="599"/>
      <c r="V254" s="599"/>
      <c r="W254" s="599"/>
      <c r="X254" s="599"/>
      <c r="Y254" s="599">
        <f>H254*0.7</f>
        <v>5391.8941999999997</v>
      </c>
      <c r="Z254" s="599">
        <f>H254*0.3</f>
        <v>2310.8117999999999</v>
      </c>
      <c r="AA254" s="599"/>
      <c r="AB254" s="599"/>
      <c r="AC254" s="599"/>
      <c r="AD254" s="599"/>
      <c r="AE254" s="599"/>
      <c r="AF254" s="599"/>
      <c r="AG254" s="599"/>
      <c r="AH254" s="599"/>
      <c r="AI254" s="599"/>
      <c r="AJ254" s="599"/>
      <c r="AK254" s="599"/>
      <c r="AL254" s="599"/>
      <c r="AM254" s="599"/>
      <c r="AN254" s="599"/>
      <c r="AO254" s="599"/>
      <c r="AP254" s="599"/>
      <c r="AQ254" s="599"/>
      <c r="AR254" s="599"/>
      <c r="AS254" s="599"/>
      <c r="AT254" s="599"/>
      <c r="AU254" s="599"/>
      <c r="AV254" s="599"/>
      <c r="AW254" s="599"/>
      <c r="AX254" s="599"/>
      <c r="AY254" s="599"/>
      <c r="AZ254" s="599"/>
      <c r="BA254" s="599"/>
      <c r="BB254" s="599"/>
      <c r="BC254" s="599"/>
      <c r="BD254" s="599"/>
      <c r="BE254" s="598"/>
    </row>
    <row r="255" spans="2:57" ht="12.75" customHeight="1">
      <c r="B255" s="1421"/>
      <c r="C255" s="1422"/>
      <c r="D255" s="501"/>
      <c r="E255" s="501"/>
      <c r="F255" s="1315" t="s">
        <v>668</v>
      </c>
      <c r="G255" s="1316"/>
      <c r="H255" s="629">
        <f>1000-0.329+250</f>
        <v>1249.671</v>
      </c>
      <c r="I255" s="584"/>
      <c r="J255" s="504"/>
      <c r="K255" s="574"/>
      <c r="L255" s="574"/>
      <c r="M255" s="574"/>
      <c r="N255" s="505" t="str">
        <f t="shared" si="20"/>
        <v xml:space="preserve"> </v>
      </c>
      <c r="O255" s="597"/>
      <c r="P255" s="507"/>
      <c r="Q255" s="507"/>
      <c r="R255" s="507"/>
      <c r="S255" s="598"/>
      <c r="T255" s="599"/>
      <c r="U255" s="599"/>
      <c r="V255" s="599"/>
      <c r="W255" s="599"/>
      <c r="X255" s="599"/>
      <c r="Y255" s="599"/>
      <c r="Z255" s="599"/>
      <c r="AA255" s="599"/>
      <c r="AB255" s="599"/>
      <c r="AC255" s="599"/>
      <c r="AD255" s="599"/>
      <c r="AE255" s="599"/>
      <c r="AF255" s="599"/>
      <c r="AG255" s="599"/>
      <c r="AH255" s="599"/>
      <c r="AI255" s="599"/>
      <c r="AJ255" s="599"/>
      <c r="AK255" s="599"/>
      <c r="AL255" s="599"/>
      <c r="AM255" s="599"/>
      <c r="AN255" s="599"/>
      <c r="AO255" s="599"/>
      <c r="AP255" s="599"/>
      <c r="AQ255" s="599"/>
      <c r="AR255" s="599"/>
      <c r="AS255" s="599"/>
      <c r="AT255" s="599"/>
      <c r="AU255" s="599"/>
      <c r="AV255" s="599"/>
      <c r="AW255" s="599"/>
      <c r="AX255" s="599"/>
      <c r="AY255" s="599"/>
      <c r="AZ255" s="599"/>
      <c r="BA255" s="599"/>
      <c r="BB255" s="599"/>
      <c r="BC255" s="599"/>
      <c r="BD255" s="599"/>
      <c r="BE255" s="598"/>
    </row>
    <row r="256" spans="2:57" ht="12.75" customHeight="1">
      <c r="B256" s="1328"/>
      <c r="C256" s="1329"/>
      <c r="D256" s="501"/>
      <c r="E256" s="501"/>
      <c r="F256" s="1315" t="s">
        <v>616</v>
      </c>
      <c r="G256" s="1316"/>
      <c r="H256" s="629">
        <v>1000</v>
      </c>
      <c r="I256" s="584"/>
      <c r="J256" s="504"/>
      <c r="K256" s="574"/>
      <c r="L256" s="574"/>
      <c r="M256" s="574"/>
      <c r="N256" s="505" t="str">
        <f t="shared" si="20"/>
        <v xml:space="preserve"> </v>
      </c>
      <c r="O256" s="597"/>
      <c r="P256" s="507"/>
      <c r="Q256" s="507"/>
      <c r="R256" s="507"/>
      <c r="S256" s="598"/>
      <c r="T256" s="599"/>
      <c r="U256" s="599"/>
      <c r="V256" s="599"/>
      <c r="W256" s="599"/>
      <c r="X256" s="599"/>
      <c r="Y256" s="599"/>
      <c r="Z256" s="599"/>
      <c r="AA256" s="599"/>
      <c r="AB256" s="599"/>
      <c r="AC256" s="599"/>
      <c r="AD256" s="599"/>
      <c r="AE256" s="599"/>
      <c r="AF256" s="599"/>
      <c r="AG256" s="599"/>
      <c r="AH256" s="599"/>
      <c r="AI256" s="599"/>
      <c r="AJ256" s="599"/>
      <c r="AK256" s="599"/>
      <c r="AL256" s="599"/>
      <c r="AM256" s="599"/>
      <c r="AN256" s="599"/>
      <c r="AO256" s="599"/>
      <c r="AP256" s="599"/>
      <c r="AQ256" s="599"/>
      <c r="AR256" s="599"/>
      <c r="AS256" s="599"/>
      <c r="AT256" s="599"/>
      <c r="AU256" s="599"/>
      <c r="AV256" s="599"/>
      <c r="AW256" s="599"/>
      <c r="AX256" s="599"/>
      <c r="AY256" s="599"/>
      <c r="AZ256" s="599"/>
      <c r="BA256" s="599"/>
      <c r="BB256" s="599"/>
      <c r="BC256" s="599"/>
      <c r="BD256" s="599"/>
      <c r="BE256" s="598"/>
    </row>
    <row r="257" spans="2:57" ht="12.75" customHeight="1">
      <c r="B257" s="1326" t="s">
        <v>867</v>
      </c>
      <c r="C257" s="1327"/>
      <c r="D257" s="501" t="s">
        <v>3897</v>
      </c>
      <c r="E257" s="501"/>
      <c r="F257" s="501" t="s">
        <v>284</v>
      </c>
      <c r="G257" s="501" t="s">
        <v>285</v>
      </c>
      <c r="H257" s="629">
        <f>9202.684-5436.509</f>
        <v>3766.1749999999993</v>
      </c>
      <c r="I257" s="584" t="s">
        <v>509</v>
      </c>
      <c r="J257" s="574">
        <v>45271.027777777781</v>
      </c>
      <c r="K257" s="574"/>
      <c r="L257" s="574" t="s">
        <v>192</v>
      </c>
      <c r="M257" s="574" t="s">
        <v>192</v>
      </c>
      <c r="N257" s="505" t="str">
        <f t="shared" si="20"/>
        <v>DELAY ( 1 day 19 hour 10 minute )</v>
      </c>
      <c r="O257" s="597"/>
      <c r="P257" s="507" t="s">
        <v>551</v>
      </c>
      <c r="Q257" s="507" t="s">
        <v>551</v>
      </c>
      <c r="R257" s="507" t="s">
        <v>551</v>
      </c>
      <c r="S257" s="598"/>
      <c r="T257" s="599"/>
      <c r="U257" s="599"/>
      <c r="V257" s="599"/>
      <c r="W257" s="599"/>
      <c r="X257" s="599"/>
      <c r="Y257" s="599">
        <f>H257*0.7</f>
        <v>2636.3224999999993</v>
      </c>
      <c r="Z257" s="599">
        <f>H257*0.3</f>
        <v>1129.8524999999997</v>
      </c>
      <c r="AA257" s="599"/>
      <c r="AB257" s="599"/>
      <c r="AC257" s="599"/>
      <c r="AD257" s="599"/>
      <c r="AE257" s="599"/>
      <c r="AF257" s="599"/>
      <c r="AG257" s="599"/>
      <c r="AH257" s="599"/>
      <c r="AI257" s="599"/>
      <c r="AJ257" s="599"/>
      <c r="AK257" s="599"/>
      <c r="AL257" s="599"/>
      <c r="AM257" s="599"/>
      <c r="AN257" s="599"/>
      <c r="AO257" s="599"/>
      <c r="AP257" s="599"/>
      <c r="AQ257" s="599"/>
      <c r="AR257" s="599"/>
      <c r="AS257" s="599"/>
      <c r="AT257" s="599"/>
      <c r="AU257" s="599"/>
      <c r="AV257" s="599"/>
      <c r="AW257" s="599"/>
      <c r="AX257" s="599"/>
      <c r="AY257" s="599"/>
      <c r="AZ257" s="599"/>
      <c r="BA257" s="599"/>
      <c r="BB257" s="599"/>
      <c r="BC257" s="599"/>
      <c r="BD257" s="599"/>
      <c r="BE257" s="598"/>
    </row>
    <row r="258" spans="2:57" ht="12.75" customHeight="1">
      <c r="B258" s="1328"/>
      <c r="C258" s="1329"/>
      <c r="D258" s="501"/>
      <c r="E258" s="501"/>
      <c r="F258" s="1315" t="s">
        <v>616</v>
      </c>
      <c r="G258" s="1316"/>
      <c r="H258" s="866">
        <f>1247-0.234</f>
        <v>1246.7660000000001</v>
      </c>
      <c r="I258" s="595"/>
      <c r="J258" s="605"/>
      <c r="K258" s="605"/>
      <c r="L258" s="605"/>
      <c r="M258" s="605"/>
      <c r="N258" s="505" t="str">
        <f t="shared" si="20"/>
        <v xml:space="preserve"> </v>
      </c>
      <c r="O258" s="597"/>
      <c r="P258" s="507"/>
      <c r="Q258" s="507"/>
      <c r="R258" s="507"/>
      <c r="S258" s="598"/>
      <c r="T258" s="599"/>
      <c r="U258" s="599"/>
      <c r="V258" s="599"/>
      <c r="W258" s="599"/>
      <c r="X258" s="599"/>
      <c r="Y258" s="599"/>
      <c r="Z258" s="599"/>
      <c r="AA258" s="599"/>
      <c r="AB258" s="599"/>
      <c r="AC258" s="599"/>
      <c r="AD258" s="599"/>
      <c r="AE258" s="599"/>
      <c r="AF258" s="599"/>
      <c r="AG258" s="599"/>
      <c r="AH258" s="599"/>
      <c r="AI258" s="599"/>
      <c r="AJ258" s="599"/>
      <c r="AK258" s="599"/>
      <c r="AL258" s="599"/>
      <c r="AM258" s="599"/>
      <c r="AN258" s="599"/>
      <c r="AO258" s="599"/>
      <c r="AP258" s="599"/>
      <c r="AQ258" s="599"/>
      <c r="AR258" s="599"/>
      <c r="AS258" s="599"/>
      <c r="AT258" s="599"/>
      <c r="AU258" s="599"/>
      <c r="AV258" s="599"/>
      <c r="AW258" s="599"/>
      <c r="AX258" s="599"/>
      <c r="AY258" s="599"/>
      <c r="AZ258" s="599"/>
      <c r="BA258" s="599"/>
      <c r="BB258" s="599"/>
      <c r="BC258" s="599"/>
      <c r="BD258" s="599"/>
      <c r="BE258" s="598"/>
    </row>
    <row r="259" spans="2:57" ht="12.75" customHeight="1">
      <c r="B259" s="1351" t="s">
        <v>626</v>
      </c>
      <c r="C259" s="1352"/>
      <c r="D259" s="1352"/>
      <c r="E259" s="1352"/>
      <c r="F259" s="1352"/>
      <c r="G259" s="1352"/>
      <c r="H259" s="908">
        <f>H234+H236+H238+H242+H245+H248+H251+H254+H257</f>
        <v>58122.562999999995</v>
      </c>
      <c r="I259" s="1073"/>
      <c r="J259" s="1074"/>
      <c r="K259" s="1074"/>
      <c r="L259" s="1074"/>
      <c r="M259" s="1074"/>
      <c r="N259" s="505" t="str">
        <f t="shared" si="20"/>
        <v xml:space="preserve"> </v>
      </c>
      <c r="O259" s="552"/>
      <c r="P259" s="706"/>
      <c r="Q259" s="706"/>
      <c r="R259" s="706"/>
      <c r="S259" s="598"/>
      <c r="T259" s="1462"/>
      <c r="U259" s="1462"/>
      <c r="V259" s="1462"/>
      <c r="W259" s="1462"/>
      <c r="X259" s="1462"/>
      <c r="Y259" s="1462"/>
      <c r="Z259" s="1462"/>
      <c r="AA259" s="1462"/>
      <c r="AB259" s="1462"/>
      <c r="AC259" s="1462"/>
      <c r="AD259" s="1462"/>
      <c r="AE259" s="1462"/>
      <c r="AF259" s="1462"/>
      <c r="AG259" s="1462"/>
      <c r="AH259" s="1462"/>
      <c r="AI259" s="1462"/>
      <c r="AJ259" s="1462"/>
      <c r="AK259" s="1462"/>
      <c r="AL259" s="1462"/>
      <c r="AM259" s="1462"/>
      <c r="AN259" s="1462"/>
      <c r="AO259" s="1462"/>
      <c r="AP259" s="1462"/>
      <c r="AQ259" s="1462"/>
      <c r="AR259" s="1462"/>
      <c r="AS259" s="1462"/>
      <c r="AT259" s="1462"/>
      <c r="AU259" s="1462"/>
      <c r="AV259" s="1462"/>
      <c r="AW259" s="1462"/>
      <c r="AX259" s="1462"/>
      <c r="AY259" s="1462"/>
      <c r="AZ259" s="1462"/>
      <c r="BA259" s="1462"/>
      <c r="BB259" s="1462"/>
      <c r="BC259" s="1462"/>
      <c r="BD259" s="1462"/>
    </row>
    <row r="260" spans="2:57" ht="12.75" customHeight="1">
      <c r="B260" s="1258" t="s">
        <v>556</v>
      </c>
      <c r="C260" s="1259"/>
      <c r="D260" s="1259"/>
      <c r="E260" s="1259"/>
      <c r="F260" s="1259"/>
      <c r="G260" s="1260"/>
      <c r="H260" s="863">
        <f>H233+H259+H241</f>
        <v>71070</v>
      </c>
      <c r="I260" s="1458"/>
      <c r="J260" s="1458"/>
      <c r="K260" s="1458"/>
      <c r="L260" s="1458"/>
      <c r="M260" s="1458"/>
      <c r="N260" s="505" t="str">
        <f t="shared" si="20"/>
        <v xml:space="preserve"> </v>
      </c>
      <c r="O260" s="212"/>
      <c r="P260" s="590"/>
      <c r="Q260" s="590"/>
      <c r="R260" s="590"/>
      <c r="S260" s="633"/>
      <c r="T260" s="1307"/>
      <c r="U260" s="1308"/>
      <c r="V260" s="1308"/>
      <c r="W260" s="1308"/>
      <c r="X260" s="1308"/>
      <c r="Y260" s="1308"/>
      <c r="Z260" s="1308"/>
      <c r="AA260" s="1308"/>
      <c r="AB260" s="1308"/>
      <c r="AC260" s="1308"/>
      <c r="AD260" s="1308"/>
      <c r="AE260" s="1308"/>
      <c r="AF260" s="1308"/>
      <c r="AG260" s="1308"/>
      <c r="AH260" s="1308"/>
      <c r="AI260" s="1308"/>
      <c r="AJ260" s="1308"/>
      <c r="AK260" s="1308"/>
      <c r="AL260" s="1308"/>
      <c r="AM260" s="1308"/>
      <c r="AN260" s="1308"/>
      <c r="AO260" s="1308"/>
      <c r="AP260" s="1308"/>
      <c r="AQ260" s="1308"/>
      <c r="AR260" s="1308"/>
      <c r="AS260" s="1308"/>
      <c r="AT260" s="1308"/>
      <c r="AU260" s="1308"/>
      <c r="AV260" s="1308"/>
      <c r="AW260" s="1308"/>
      <c r="AX260" s="1308"/>
      <c r="AY260" s="1308"/>
      <c r="AZ260" s="1308"/>
      <c r="BA260" s="1308"/>
      <c r="BB260" s="1308"/>
      <c r="BC260" s="1308"/>
      <c r="BD260" s="1308"/>
      <c r="BE260" s="39"/>
    </row>
    <row r="261" spans="2:57" ht="12.75" customHeight="1">
      <c r="B261" s="1415" t="s">
        <v>557</v>
      </c>
      <c r="C261" s="1416"/>
      <c r="D261" s="1416"/>
      <c r="E261" s="1416"/>
      <c r="F261" s="1416"/>
      <c r="G261" s="1417"/>
      <c r="H261" s="845">
        <v>71070</v>
      </c>
      <c r="I261" s="1455"/>
      <c r="J261" s="1455"/>
      <c r="K261" s="1455"/>
      <c r="L261" s="1455"/>
      <c r="M261" s="1455"/>
      <c r="N261" s="505" t="str">
        <f t="shared" si="20"/>
        <v xml:space="preserve"> </v>
      </c>
      <c r="O261" s="591"/>
      <c r="P261" s="415"/>
      <c r="Q261" s="415"/>
      <c r="R261" s="415"/>
      <c r="S261" s="740"/>
      <c r="T261" s="592">
        <f t="shared" ref="T261:BD261" si="21">SUM(T232:T258)</f>
        <v>7503.0820000000003</v>
      </c>
      <c r="U261" s="592">
        <f t="shared" si="21"/>
        <v>0</v>
      </c>
      <c r="V261" s="592">
        <f t="shared" si="21"/>
        <v>0</v>
      </c>
      <c r="W261" s="592">
        <f t="shared" si="21"/>
        <v>0</v>
      </c>
      <c r="X261" s="592">
        <f t="shared" si="21"/>
        <v>0</v>
      </c>
      <c r="Y261" s="592">
        <f t="shared" si="21"/>
        <v>35819.7834</v>
      </c>
      <c r="Z261" s="592">
        <f t="shared" si="21"/>
        <v>14799.697599999998</v>
      </c>
      <c r="AA261" s="592">
        <f t="shared" si="21"/>
        <v>0</v>
      </c>
      <c r="AB261" s="592">
        <f t="shared" si="21"/>
        <v>7746.7659999999996</v>
      </c>
      <c r="AC261" s="592">
        <f t="shared" si="21"/>
        <v>0</v>
      </c>
      <c r="AD261" s="592">
        <f t="shared" si="21"/>
        <v>0</v>
      </c>
      <c r="AE261" s="592">
        <f t="shared" si="21"/>
        <v>0</v>
      </c>
      <c r="AF261" s="592">
        <f t="shared" si="21"/>
        <v>0</v>
      </c>
      <c r="AG261" s="592">
        <f t="shared" si="21"/>
        <v>0</v>
      </c>
      <c r="AH261" s="592">
        <f t="shared" si="21"/>
        <v>0</v>
      </c>
      <c r="AI261" s="592">
        <f t="shared" si="21"/>
        <v>0</v>
      </c>
      <c r="AJ261" s="592">
        <f t="shared" si="21"/>
        <v>0</v>
      </c>
      <c r="AK261" s="592">
        <f t="shared" si="21"/>
        <v>0</v>
      </c>
      <c r="AL261" s="592">
        <f t="shared" si="21"/>
        <v>0</v>
      </c>
      <c r="AM261" s="592">
        <f t="shared" si="21"/>
        <v>0</v>
      </c>
      <c r="AN261" s="592">
        <f t="shared" si="21"/>
        <v>0</v>
      </c>
      <c r="AO261" s="592">
        <f t="shared" si="21"/>
        <v>0</v>
      </c>
      <c r="AP261" s="592">
        <f t="shared" si="21"/>
        <v>0</v>
      </c>
      <c r="AQ261" s="592">
        <f t="shared" si="21"/>
        <v>0</v>
      </c>
      <c r="AR261" s="592">
        <f t="shared" si="21"/>
        <v>0</v>
      </c>
      <c r="AS261" s="592">
        <f t="shared" si="21"/>
        <v>0</v>
      </c>
      <c r="AT261" s="592">
        <f t="shared" si="21"/>
        <v>0</v>
      </c>
      <c r="AU261" s="592">
        <f t="shared" si="21"/>
        <v>0</v>
      </c>
      <c r="AV261" s="592">
        <f t="shared" si="21"/>
        <v>5200.6710000000003</v>
      </c>
      <c r="AW261" s="592">
        <f t="shared" si="21"/>
        <v>0</v>
      </c>
      <c r="AX261" s="592">
        <f t="shared" si="21"/>
        <v>0</v>
      </c>
      <c r="AY261" s="592">
        <f t="shared" si="21"/>
        <v>0</v>
      </c>
      <c r="AZ261" s="592">
        <f t="shared" si="21"/>
        <v>0</v>
      </c>
      <c r="BA261" s="592">
        <f t="shared" si="21"/>
        <v>0</v>
      </c>
      <c r="BB261" s="592">
        <f t="shared" si="21"/>
        <v>0</v>
      </c>
      <c r="BC261" s="592">
        <f t="shared" si="21"/>
        <v>0</v>
      </c>
      <c r="BD261" s="592">
        <f t="shared" si="21"/>
        <v>0</v>
      </c>
      <c r="BE261" s="592">
        <f>SUM(T261:BD261)</f>
        <v>71070</v>
      </c>
    </row>
    <row r="262" spans="2:57" ht="12.75" customHeight="1">
      <c r="B262" s="1415" t="s">
        <v>558</v>
      </c>
      <c r="C262" s="1416"/>
      <c r="D262" s="1416"/>
      <c r="E262" s="1416"/>
      <c r="F262" s="1416"/>
      <c r="G262" s="1417"/>
      <c r="H262" s="712">
        <f>H261-L226</f>
        <v>0</v>
      </c>
      <c r="I262" s="745"/>
      <c r="J262" s="746"/>
      <c r="K262" s="746"/>
      <c r="L262" s="674"/>
      <c r="M262" s="633"/>
      <c r="N262" s="591"/>
      <c r="O262" s="591"/>
      <c r="P262" s="591"/>
      <c r="Q262" s="744"/>
      <c r="R262" s="744"/>
      <c r="S262" s="591"/>
      <c r="T262" s="645"/>
      <c r="U262" s="645"/>
      <c r="V262" s="645"/>
      <c r="W262" s="645"/>
      <c r="X262" s="645"/>
      <c r="Y262" s="645"/>
      <c r="Z262" s="645"/>
      <c r="AA262" s="645"/>
      <c r="AB262" s="645"/>
      <c r="AC262" s="591"/>
      <c r="AD262" s="591"/>
      <c r="AE262" s="591"/>
      <c r="AF262" s="591"/>
      <c r="AG262" s="591"/>
      <c r="AH262" s="591"/>
      <c r="AI262" s="591"/>
      <c r="AJ262" s="591"/>
      <c r="AK262" s="591"/>
      <c r="AL262" s="591"/>
      <c r="AM262" s="591"/>
      <c r="AN262" s="591"/>
      <c r="AO262" s="591"/>
      <c r="AP262" s="591"/>
      <c r="AQ262" s="591"/>
      <c r="AR262" s="591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</row>
    <row r="263" spans="2:57" ht="12.75" customHeight="1">
      <c r="B263" s="1415" t="s">
        <v>559</v>
      </c>
      <c r="C263" s="1416"/>
      <c r="D263" s="1416"/>
      <c r="E263" s="1416"/>
      <c r="F263" s="1416"/>
      <c r="G263" s="1417"/>
      <c r="H263" s="747">
        <f>4656.042</f>
        <v>4656.0420000000004</v>
      </c>
      <c r="I263" s="745"/>
      <c r="J263" s="746"/>
      <c r="K263" s="746"/>
      <c r="L263" s="674"/>
      <c r="M263" s="633"/>
      <c r="N263" s="613"/>
      <c r="O263" s="591"/>
      <c r="P263" s="591"/>
      <c r="Q263" s="591"/>
      <c r="R263" s="591"/>
      <c r="S263" s="591"/>
      <c r="T263" s="645"/>
      <c r="U263" s="645"/>
      <c r="V263" s="645"/>
      <c r="W263" s="645"/>
      <c r="X263" s="645"/>
      <c r="Y263" s="645"/>
      <c r="Z263" s="645"/>
      <c r="AA263" s="645"/>
      <c r="AB263" s="645"/>
      <c r="AC263" s="591"/>
      <c r="AD263" s="591"/>
      <c r="AE263" s="591"/>
      <c r="AF263" s="591"/>
      <c r="AG263" s="591"/>
      <c r="AH263" s="591"/>
      <c r="AI263" s="591"/>
      <c r="AJ263" s="591"/>
      <c r="AK263" s="591"/>
      <c r="AL263" s="591"/>
      <c r="AM263" s="591"/>
      <c r="AN263" s="591"/>
      <c r="AO263" s="591"/>
      <c r="AP263" s="591"/>
      <c r="AQ263" s="591"/>
      <c r="AR263" s="591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</row>
    <row r="264" spans="2:57" s="39" customFormat="1" ht="12.75" customHeight="1">
      <c r="B264" s="1415" t="s">
        <v>560</v>
      </c>
      <c r="C264" s="1416"/>
      <c r="D264" s="1416"/>
      <c r="E264" s="1416"/>
      <c r="F264" s="1416"/>
      <c r="G264" s="1417"/>
      <c r="H264" s="741">
        <f>H263-5436.509</f>
        <v>-780.46699999999964</v>
      </c>
      <c r="I264" s="641"/>
      <c r="J264" s="642"/>
      <c r="K264" s="642"/>
      <c r="L264" s="499"/>
      <c r="M264" s="613"/>
      <c r="N264" s="613"/>
      <c r="O264" s="613"/>
      <c r="P264" s="613"/>
      <c r="Q264" s="613"/>
      <c r="R264" s="613"/>
      <c r="S264" s="616"/>
      <c r="T264" s="616"/>
      <c r="U264" s="616"/>
      <c r="V264" s="616"/>
      <c r="W264" s="616"/>
      <c r="X264" s="616"/>
      <c r="Y264" s="616"/>
      <c r="Z264" s="616"/>
      <c r="AA264" s="616"/>
      <c r="AB264" s="613"/>
      <c r="AC264" s="613"/>
      <c r="AD264" s="613"/>
      <c r="AE264" s="613"/>
      <c r="AF264" s="613"/>
      <c r="AG264" s="613"/>
      <c r="AH264" s="613"/>
      <c r="AI264" s="613"/>
      <c r="AJ264" s="613"/>
      <c r="AK264" s="613"/>
      <c r="AL264" s="613"/>
      <c r="AM264" s="613"/>
      <c r="AN264" s="613"/>
      <c r="AO264" s="613"/>
      <c r="AP264" s="613"/>
      <c r="AQ264" s="613"/>
      <c r="AR264" s="496"/>
      <c r="AS264" s="496"/>
      <c r="AT264" s="496"/>
      <c r="AU264" s="496"/>
      <c r="AV264" s="496"/>
      <c r="AW264" s="496"/>
      <c r="AX264" s="496"/>
      <c r="AY264" s="496"/>
      <c r="AZ264" s="496"/>
      <c r="BA264" s="496"/>
    </row>
    <row r="265" spans="2:57">
      <c r="B265" s="613"/>
      <c r="C265" s="613"/>
      <c r="D265" s="613"/>
      <c r="E265" s="613"/>
      <c r="F265" s="613"/>
      <c r="G265" s="613"/>
      <c r="H265" s="613"/>
      <c r="I265" s="643"/>
      <c r="J265" s="641"/>
      <c r="K265" s="641"/>
      <c r="L265" s="644"/>
      <c r="M265" s="613"/>
      <c r="N265" s="613"/>
      <c r="O265" s="641"/>
      <c r="P265" s="591"/>
      <c r="Q265" s="591"/>
      <c r="R265" s="591"/>
      <c r="S265" s="591"/>
      <c r="T265" s="645"/>
      <c r="U265" s="645"/>
      <c r="V265" s="645"/>
      <c r="W265" s="645"/>
      <c r="X265" s="645"/>
      <c r="Y265" s="645"/>
      <c r="Z265" s="645"/>
      <c r="AA265" s="645"/>
      <c r="AB265" s="645"/>
      <c r="AC265" s="591"/>
      <c r="AD265" s="591"/>
      <c r="AE265" s="591"/>
      <c r="AF265" s="591"/>
      <c r="AG265" s="591"/>
      <c r="AH265" s="591"/>
      <c r="AI265" s="591"/>
      <c r="AJ265" s="591"/>
      <c r="AK265" s="591"/>
      <c r="AL265" s="591"/>
      <c r="AM265" s="591"/>
      <c r="AN265" s="591"/>
      <c r="AO265" s="591"/>
      <c r="AP265" s="591"/>
      <c r="AQ265" s="591"/>
      <c r="AR265" s="591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</row>
    <row r="266" spans="2:57">
      <c r="B266" s="619" t="s">
        <v>561</v>
      </c>
      <c r="C266" s="619"/>
      <c r="D266" s="591"/>
      <c r="E266" s="591"/>
      <c r="F266" s="591"/>
      <c r="G266" s="591"/>
      <c r="H266" s="591"/>
      <c r="I266" s="591"/>
      <c r="J266" s="646"/>
      <c r="K266" s="646"/>
      <c r="L266" s="647"/>
      <c r="M266" s="591"/>
      <c r="N266" s="613"/>
      <c r="O266" s="646"/>
      <c r="P266" s="616"/>
      <c r="Q266" s="616"/>
      <c r="R266" s="616"/>
      <c r="S266" s="616"/>
      <c r="T266" s="616"/>
      <c r="U266" s="616"/>
      <c r="V266" s="616"/>
      <c r="W266" s="616"/>
      <c r="X266" s="616"/>
      <c r="Y266" s="616"/>
      <c r="Z266" s="616"/>
      <c r="AA266" s="616"/>
      <c r="AB266" s="613"/>
      <c r="AC266" s="613"/>
      <c r="AD266" s="613"/>
      <c r="AE266" s="613"/>
      <c r="AF266" s="613"/>
      <c r="AG266" s="613"/>
      <c r="AH266" s="613"/>
      <c r="AI266" s="613"/>
      <c r="AJ266" s="613"/>
      <c r="AK266" s="613"/>
      <c r="AL266" s="613"/>
      <c r="AM266" s="613"/>
      <c r="AN266" s="613"/>
      <c r="AO266" s="613"/>
      <c r="AP266" s="613"/>
      <c r="AQ266" s="613"/>
      <c r="AR266" s="613"/>
      <c r="AS266" s="613"/>
      <c r="AT266" s="613"/>
      <c r="AU266" s="613"/>
      <c r="AV266" s="39"/>
      <c r="AW266" s="39"/>
      <c r="AX266" s="39"/>
      <c r="AY266" s="39"/>
      <c r="AZ266" s="39"/>
      <c r="BA266" s="39"/>
      <c r="BB266" s="39"/>
      <c r="BC266" s="39"/>
      <c r="BD266" s="39"/>
      <c r="BE266" s="613"/>
    </row>
    <row r="267" spans="2:57" ht="12.75" customHeight="1">
      <c r="B267" s="422">
        <v>1</v>
      </c>
      <c r="C267" s="1249" t="s">
        <v>4383</v>
      </c>
      <c r="D267" s="1249"/>
      <c r="E267" s="1249"/>
      <c r="F267" s="1249"/>
      <c r="G267" s="1249"/>
      <c r="H267" s="1249"/>
      <c r="I267" s="1249"/>
      <c r="J267" s="1249"/>
      <c r="K267" s="1249"/>
      <c r="L267" s="644"/>
      <c r="M267" s="644"/>
      <c r="N267" s="613"/>
      <c r="O267" s="641"/>
      <c r="P267" s="616"/>
      <c r="Q267" s="616"/>
      <c r="R267" s="616"/>
      <c r="S267" s="616"/>
      <c r="T267" s="616"/>
      <c r="U267" s="616"/>
      <c r="V267" s="616"/>
      <c r="W267" s="616"/>
      <c r="X267" s="616"/>
      <c r="Y267" s="616"/>
      <c r="Z267" s="616"/>
      <c r="AA267" s="616"/>
      <c r="AB267" s="613"/>
      <c r="AC267" s="613"/>
      <c r="AD267" s="613"/>
      <c r="AE267" s="613"/>
      <c r="AF267" s="613"/>
      <c r="AG267" s="613"/>
      <c r="AH267" s="613"/>
      <c r="AI267" s="613"/>
      <c r="AJ267" s="613"/>
      <c r="AK267" s="613"/>
      <c r="AL267" s="613"/>
      <c r="AM267" s="613"/>
      <c r="AN267" s="613"/>
      <c r="AO267" s="613"/>
      <c r="AP267" s="613"/>
      <c r="AQ267" s="613"/>
      <c r="AR267" s="613"/>
      <c r="AS267" s="613"/>
      <c r="AT267" s="613"/>
      <c r="AU267" s="613"/>
      <c r="AV267" s="613"/>
      <c r="AW267" s="613"/>
      <c r="AX267" s="613"/>
      <c r="AY267" s="613"/>
      <c r="AZ267" s="613"/>
      <c r="BA267" s="613"/>
      <c r="BB267" s="613"/>
      <c r="BC267" s="613"/>
      <c r="BD267" s="613"/>
      <c r="BE267" s="613"/>
    </row>
    <row r="269" spans="2:57">
      <c r="B269" s="28" t="s">
        <v>126</v>
      </c>
      <c r="C269" s="28"/>
      <c r="D269" s="614"/>
      <c r="E269" s="30" t="s">
        <v>511</v>
      </c>
      <c r="F269" s="31" t="s">
        <v>3186</v>
      </c>
      <c r="G269" s="591"/>
      <c r="H269" s="33"/>
      <c r="I269" s="615"/>
      <c r="J269" s="35" t="s">
        <v>513</v>
      </c>
      <c r="K269" s="36" t="s">
        <v>511</v>
      </c>
      <c r="L269" s="516">
        <v>45276.208333333336</v>
      </c>
      <c r="M269" s="591"/>
      <c r="N269" s="591"/>
      <c r="O269" s="206"/>
      <c r="P269" s="205"/>
      <c r="Q269" s="616"/>
      <c r="R269" s="204"/>
      <c r="S269" s="617"/>
      <c r="T269" s="613"/>
      <c r="U269" s="613"/>
      <c r="V269" s="613"/>
      <c r="W269" s="613"/>
      <c r="X269" s="613"/>
      <c r="Y269" s="613"/>
      <c r="Z269" s="613"/>
      <c r="AA269" s="613"/>
      <c r="AB269" s="616"/>
      <c r="AC269" s="616"/>
      <c r="AD269" s="616"/>
      <c r="AE269" s="616"/>
      <c r="AF269" s="616"/>
      <c r="AG269" s="613"/>
      <c r="AH269" s="613"/>
      <c r="AI269" s="613"/>
      <c r="AJ269" s="613"/>
      <c r="AK269" s="613"/>
      <c r="AL269" s="613"/>
      <c r="AM269" s="613"/>
      <c r="AN269" s="613"/>
      <c r="AO269" s="613"/>
      <c r="AP269" s="613"/>
      <c r="AQ269" s="613"/>
      <c r="AR269" s="613"/>
      <c r="AS269" s="613"/>
      <c r="AT269" s="613"/>
      <c r="AU269" s="613"/>
      <c r="AV269" s="613"/>
      <c r="AW269" s="613"/>
      <c r="AX269" s="613"/>
      <c r="AY269" s="613"/>
      <c r="AZ269" s="613"/>
      <c r="BA269" s="613"/>
      <c r="BB269" s="613"/>
      <c r="BC269" s="613"/>
      <c r="BD269" s="613"/>
      <c r="BE269" s="613"/>
    </row>
    <row r="270" spans="2:57">
      <c r="B270" s="35" t="s">
        <v>514</v>
      </c>
      <c r="C270" s="35"/>
      <c r="D270" s="591"/>
      <c r="E270" s="36" t="s">
        <v>511</v>
      </c>
      <c r="F270" s="311" t="s">
        <v>4384</v>
      </c>
      <c r="G270" s="591"/>
      <c r="H270" s="33"/>
      <c r="I270" s="615"/>
      <c r="J270" s="35" t="s">
        <v>516</v>
      </c>
      <c r="K270" s="36" t="s">
        <v>511</v>
      </c>
      <c r="L270" s="516">
        <v>45278.923611111109</v>
      </c>
      <c r="M270" s="591"/>
      <c r="N270" s="591"/>
      <c r="O270" s="206"/>
      <c r="P270" s="205"/>
      <c r="Q270" s="616"/>
      <c r="R270" s="204"/>
      <c r="S270" s="617"/>
      <c r="T270" s="613"/>
      <c r="U270" s="613"/>
      <c r="V270" s="613"/>
      <c r="W270" s="613"/>
      <c r="X270" s="613"/>
      <c r="Y270" s="613"/>
      <c r="Z270" s="613"/>
      <c r="AA270" s="613"/>
      <c r="AB270" s="616"/>
      <c r="AC270" s="616"/>
      <c r="AD270" s="616"/>
      <c r="AE270" s="616"/>
      <c r="AF270" s="616"/>
      <c r="AG270" s="613"/>
      <c r="AH270" s="613"/>
      <c r="AI270" s="613"/>
      <c r="AJ270" s="613"/>
      <c r="AK270" s="613"/>
      <c r="AL270" s="613"/>
      <c r="AM270" s="613"/>
      <c r="AN270" s="613"/>
      <c r="AO270" s="613"/>
      <c r="AP270" s="613"/>
      <c r="AQ270" s="613"/>
      <c r="AR270" s="613"/>
      <c r="AS270" s="613"/>
      <c r="AT270" s="613"/>
      <c r="AU270" s="613"/>
      <c r="AV270" s="613"/>
      <c r="AW270" s="613"/>
      <c r="AX270" s="613"/>
      <c r="AY270" s="613"/>
      <c r="AZ270" s="613"/>
      <c r="BA270" s="613"/>
      <c r="BB270" s="613"/>
      <c r="BC270" s="613"/>
      <c r="BD270" s="613"/>
      <c r="BE270" s="613"/>
    </row>
    <row r="271" spans="2:57">
      <c r="B271" s="35" t="s">
        <v>517</v>
      </c>
      <c r="C271" s="35"/>
      <c r="D271" s="591"/>
      <c r="E271" s="36" t="s">
        <v>511</v>
      </c>
      <c r="F271" s="516">
        <v>45274.670138888891</v>
      </c>
      <c r="G271" s="591"/>
      <c r="H271" s="33"/>
      <c r="I271" s="615"/>
      <c r="J271" s="35" t="s">
        <v>518</v>
      </c>
      <c r="K271" s="36" t="s">
        <v>511</v>
      </c>
      <c r="L271" s="692">
        <v>66000</v>
      </c>
      <c r="M271" s="619" t="s">
        <v>519</v>
      </c>
      <c r="N271" s="619"/>
      <c r="O271" s="206"/>
      <c r="P271" s="205"/>
      <c r="Q271" s="616"/>
      <c r="R271" s="204"/>
      <c r="S271" s="617"/>
      <c r="T271" s="613"/>
      <c r="U271" s="613"/>
      <c r="V271" s="613"/>
      <c r="W271" s="613"/>
      <c r="X271" s="613"/>
      <c r="Y271" s="613"/>
      <c r="Z271" s="613"/>
      <c r="AA271" s="613"/>
      <c r="AB271" s="616"/>
      <c r="AC271" s="616"/>
      <c r="AD271" s="616"/>
      <c r="AE271" s="616"/>
      <c r="AF271" s="616"/>
      <c r="AG271" s="613"/>
      <c r="AH271" s="613"/>
      <c r="AI271" s="613"/>
      <c r="AJ271" s="613"/>
      <c r="AK271" s="613"/>
      <c r="AL271" s="613"/>
      <c r="AM271" s="613"/>
      <c r="AN271" s="613"/>
      <c r="AO271" s="613"/>
      <c r="AP271" s="613"/>
      <c r="AQ271" s="613"/>
      <c r="AR271" s="613"/>
      <c r="AS271" s="613"/>
      <c r="AT271" s="613"/>
      <c r="AU271" s="613"/>
      <c r="AV271" s="613"/>
      <c r="AW271" s="613"/>
      <c r="AX271" s="613"/>
      <c r="AY271" s="613"/>
      <c r="AZ271" s="613"/>
      <c r="BA271" s="613"/>
      <c r="BB271" s="613"/>
      <c r="BC271" s="613"/>
      <c r="BD271" s="613"/>
      <c r="BE271" s="613"/>
    </row>
    <row r="272" spans="2:57">
      <c r="B272" s="35" t="s">
        <v>520</v>
      </c>
      <c r="C272" s="35"/>
      <c r="D272" s="591"/>
      <c r="E272" s="36" t="s">
        <v>511</v>
      </c>
      <c r="F272" s="37" t="s">
        <v>4</v>
      </c>
      <c r="G272" s="591"/>
      <c r="H272" s="33"/>
      <c r="I272" s="615"/>
      <c r="J272" s="35" t="s">
        <v>521</v>
      </c>
      <c r="K272" s="36" t="s">
        <v>511</v>
      </c>
      <c r="L272" s="620" t="s">
        <v>3187</v>
      </c>
      <c r="M272" s="591"/>
      <c r="N272" s="591"/>
      <c r="O272" s="206"/>
      <c r="P272" s="616"/>
      <c r="Q272" s="616"/>
      <c r="R272" s="204"/>
      <c r="S272" s="617"/>
      <c r="T272" s="613"/>
      <c r="U272" s="613"/>
      <c r="V272" s="613"/>
      <c r="W272" s="613"/>
      <c r="X272" s="613"/>
      <c r="Y272" s="613"/>
      <c r="Z272" s="613"/>
      <c r="AA272" s="613"/>
      <c r="AB272" s="616"/>
      <c r="AC272" s="616"/>
      <c r="AD272" s="616"/>
      <c r="AE272" s="616"/>
      <c r="AF272" s="616"/>
      <c r="AG272" s="613"/>
      <c r="AH272" s="613"/>
      <c r="AI272" s="613"/>
      <c r="AJ272" s="613"/>
      <c r="AK272" s="613"/>
      <c r="AL272" s="613"/>
      <c r="AM272" s="613"/>
      <c r="AN272" s="613"/>
      <c r="AO272" s="613"/>
      <c r="AP272" s="613"/>
      <c r="AQ272" s="613"/>
      <c r="AR272" s="613"/>
      <c r="AS272" s="613"/>
      <c r="AT272" s="613"/>
      <c r="AU272" s="613"/>
      <c r="AV272" s="613"/>
      <c r="AW272" s="613"/>
      <c r="AX272" s="613"/>
      <c r="AY272" s="613"/>
      <c r="AZ272" s="613"/>
      <c r="BA272" s="613"/>
      <c r="BB272" s="613"/>
      <c r="BC272" s="613"/>
      <c r="BD272" s="613"/>
      <c r="BE272" s="613"/>
    </row>
    <row r="273" spans="2:57">
      <c r="B273" s="35" t="s">
        <v>523</v>
      </c>
      <c r="C273" s="35"/>
      <c r="D273" s="591"/>
      <c r="E273" s="36" t="s">
        <v>511</v>
      </c>
      <c r="F273" s="37" t="s">
        <v>5</v>
      </c>
      <c r="G273" s="591"/>
      <c r="H273" s="33"/>
      <c r="I273" s="615"/>
      <c r="J273" s="35" t="s">
        <v>524</v>
      </c>
      <c r="K273" s="36" t="s">
        <v>511</v>
      </c>
      <c r="L273" s="621" t="s">
        <v>11</v>
      </c>
      <c r="M273" s="611"/>
      <c r="N273" s="611"/>
      <c r="O273" s="206"/>
      <c r="P273" s="205"/>
      <c r="Q273" s="616"/>
      <c r="R273" s="204"/>
      <c r="S273" s="617"/>
      <c r="T273" s="613"/>
      <c r="U273" s="613"/>
      <c r="V273" s="613"/>
      <c r="W273" s="613"/>
      <c r="X273" s="613"/>
      <c r="Y273" s="613"/>
      <c r="Z273" s="613"/>
      <c r="AA273" s="613"/>
      <c r="AB273" s="616"/>
      <c r="AC273" s="616"/>
      <c r="AD273" s="616"/>
      <c r="AE273" s="616"/>
      <c r="AF273" s="616"/>
      <c r="AG273" s="613"/>
      <c r="AH273" s="613"/>
      <c r="AI273" s="613"/>
      <c r="AJ273" s="613"/>
      <c r="AK273" s="613"/>
      <c r="AL273" s="613"/>
      <c r="AM273" s="613"/>
      <c r="AN273" s="613"/>
      <c r="AO273" s="613"/>
      <c r="AP273" s="613"/>
      <c r="AQ273" s="613"/>
      <c r="AR273" s="613"/>
      <c r="AS273" s="613"/>
      <c r="AT273" s="613"/>
      <c r="AU273" s="613"/>
      <c r="AV273" s="613"/>
      <c r="AW273" s="613"/>
      <c r="AX273" s="613"/>
      <c r="AY273" s="613"/>
      <c r="AZ273" s="613"/>
      <c r="BA273" s="613"/>
      <c r="BB273" s="613"/>
      <c r="BC273" s="613"/>
      <c r="BD273" s="613"/>
      <c r="BE273" s="613"/>
    </row>
    <row r="274" spans="2:57">
      <c r="B274" s="35" t="s">
        <v>2</v>
      </c>
      <c r="C274" s="35"/>
      <c r="D274" s="591"/>
      <c r="E274" s="36" t="s">
        <v>511</v>
      </c>
      <c r="F274" s="37" t="s">
        <v>14</v>
      </c>
      <c r="G274" s="591"/>
      <c r="H274" s="33"/>
      <c r="I274" s="622"/>
      <c r="J274" s="35"/>
      <c r="K274" s="36"/>
      <c r="L274" s="211"/>
      <c r="M274" s="613"/>
      <c r="N274" s="613"/>
      <c r="O274" s="35"/>
      <c r="P274" s="611"/>
      <c r="Q274" s="611"/>
      <c r="R274" s="611"/>
      <c r="S274" s="615"/>
      <c r="T274" s="613"/>
      <c r="U274" s="613"/>
      <c r="V274" s="613"/>
      <c r="W274" s="613"/>
      <c r="X274" s="613"/>
      <c r="Y274" s="613"/>
      <c r="Z274" s="613"/>
      <c r="AA274" s="613"/>
      <c r="AB274" s="615"/>
      <c r="AC274" s="615"/>
      <c r="AD274" s="615"/>
      <c r="AE274" s="615"/>
      <c r="AF274" s="615"/>
      <c r="AG274" s="615"/>
      <c r="AH274" s="615"/>
      <c r="AI274" s="615"/>
      <c r="AJ274" s="615"/>
      <c r="AK274" s="615"/>
      <c r="AL274" s="615"/>
      <c r="AM274" s="615"/>
      <c r="AN274" s="615"/>
      <c r="AO274" s="613"/>
      <c r="AP274" s="613"/>
      <c r="AQ274" s="613"/>
      <c r="AR274" s="613"/>
      <c r="AS274" s="613"/>
      <c r="AT274" s="613"/>
      <c r="AU274" s="613"/>
      <c r="AV274" s="613"/>
      <c r="AW274" s="613"/>
      <c r="AX274" s="613"/>
      <c r="AY274" s="613"/>
      <c r="AZ274" s="613"/>
      <c r="BA274" s="613"/>
      <c r="BB274" s="613"/>
      <c r="BC274" s="613"/>
      <c r="BD274" s="613"/>
      <c r="BE274" s="613"/>
    </row>
    <row r="275" spans="2:57">
      <c r="B275" s="613"/>
      <c r="C275" s="613"/>
      <c r="D275" s="613"/>
      <c r="E275" s="613"/>
      <c r="F275" s="613"/>
      <c r="G275" s="613"/>
      <c r="H275" s="613"/>
      <c r="I275" s="622"/>
      <c r="J275" s="35"/>
      <c r="K275" s="35"/>
      <c r="L275" s="621"/>
      <c r="M275" s="611"/>
      <c r="N275" s="611"/>
      <c r="O275" s="35"/>
      <c r="P275" s="611"/>
      <c r="Q275" s="611"/>
      <c r="R275" s="611"/>
      <c r="S275" s="615"/>
      <c r="T275" s="1317" t="s">
        <v>87</v>
      </c>
      <c r="U275" s="1317"/>
      <c r="V275" s="1317"/>
      <c r="W275" s="1317"/>
      <c r="X275" s="1317"/>
      <c r="Y275" s="1317" t="s">
        <v>73</v>
      </c>
      <c r="Z275" s="1317"/>
      <c r="AA275" s="1317"/>
      <c r="AB275" s="1317" t="s">
        <v>74</v>
      </c>
      <c r="AC275" s="1317"/>
      <c r="AD275" s="623" t="s">
        <v>85</v>
      </c>
      <c r="AE275" s="854" t="s">
        <v>77</v>
      </c>
      <c r="AF275" s="1459" t="s">
        <v>525</v>
      </c>
      <c r="AG275" s="1459"/>
      <c r="AH275" s="1459"/>
      <c r="AI275" s="1459"/>
      <c r="AJ275" s="1459"/>
      <c r="AK275" s="1459"/>
      <c r="AL275" s="1459"/>
      <c r="AM275" s="1459"/>
      <c r="AN275" s="1459"/>
      <c r="AO275" s="1459"/>
      <c r="AP275" s="1459"/>
      <c r="AQ275" s="1459"/>
      <c r="AR275" s="1459"/>
      <c r="AS275" s="1459"/>
      <c r="AT275" s="1459"/>
      <c r="AU275" s="1459"/>
      <c r="AV275" s="1459"/>
      <c r="AW275" s="1459"/>
      <c r="AX275" s="1459"/>
      <c r="AY275" s="1459"/>
      <c r="AZ275" s="1459"/>
      <c r="BA275" s="1459"/>
      <c r="BB275" s="1459"/>
      <c r="BC275" s="1459"/>
      <c r="BD275" s="1459"/>
      <c r="BE275" s="613"/>
    </row>
    <row r="276" spans="2:57">
      <c r="B276" s="1318" t="s">
        <v>526</v>
      </c>
      <c r="C276" s="1319"/>
      <c r="D276" s="624" t="s">
        <v>527</v>
      </c>
      <c r="E276" s="624"/>
      <c r="F276" s="624" t="s">
        <v>528</v>
      </c>
      <c r="G276" s="624" t="s">
        <v>529</v>
      </c>
      <c r="H276" s="624" t="s">
        <v>530</v>
      </c>
      <c r="I276" s="624" t="s">
        <v>531</v>
      </c>
      <c r="J276" s="624" t="s">
        <v>532</v>
      </c>
      <c r="K276" s="624"/>
      <c r="L276" s="624" t="s">
        <v>130</v>
      </c>
      <c r="M276" s="624" t="s">
        <v>533</v>
      </c>
      <c r="N276" s="1040" t="str">
        <f>"On time - "&amp;COUNTIF(N277:N297,"On time")&amp;" from "&amp;ROWS(N277:N297)-COUNTIF(N277:N297," ")</f>
        <v>On time - 9 from 9</v>
      </c>
      <c r="O276" s="626"/>
      <c r="P276" s="627" t="s">
        <v>534</v>
      </c>
      <c r="Q276" s="627" t="s">
        <v>535</v>
      </c>
      <c r="R276" s="627" t="s">
        <v>536</v>
      </c>
      <c r="S276" s="591"/>
      <c r="T276" s="628" t="s">
        <v>537</v>
      </c>
      <c r="U276" s="628" t="s">
        <v>538</v>
      </c>
      <c r="V276" s="628" t="s">
        <v>539</v>
      </c>
      <c r="W276" s="628" t="s">
        <v>540</v>
      </c>
      <c r="X276" s="628" t="s">
        <v>541</v>
      </c>
      <c r="Y276" s="628" t="s">
        <v>167</v>
      </c>
      <c r="Z276" s="628" t="s">
        <v>168</v>
      </c>
      <c r="AA276" s="628" t="s">
        <v>169</v>
      </c>
      <c r="AB276" s="628" t="s">
        <v>235</v>
      </c>
      <c r="AC276" s="628" t="s">
        <v>240</v>
      </c>
      <c r="AD276" s="623" t="s">
        <v>85</v>
      </c>
      <c r="AE276" s="628" t="s">
        <v>139</v>
      </c>
      <c r="AF276" s="855" t="s">
        <v>72</v>
      </c>
      <c r="AG276" s="855" t="s">
        <v>88</v>
      </c>
      <c r="AH276" s="855" t="s">
        <v>75</v>
      </c>
      <c r="AI276" s="855" t="s">
        <v>543</v>
      </c>
      <c r="AJ276" s="855" t="s">
        <v>78</v>
      </c>
      <c r="AK276" s="855" t="s">
        <v>76</v>
      </c>
      <c r="AL276" s="855" t="s">
        <v>544</v>
      </c>
      <c r="AM276" s="855" t="s">
        <v>545</v>
      </c>
      <c r="AN276" s="855" t="s">
        <v>86</v>
      </c>
      <c r="AO276" s="855" t="s">
        <v>83</v>
      </c>
      <c r="AP276" s="855" t="s">
        <v>84</v>
      </c>
      <c r="AQ276" s="855" t="s">
        <v>546</v>
      </c>
      <c r="AR276" s="855" t="s">
        <v>81</v>
      </c>
      <c r="AS276" s="855" t="s">
        <v>80</v>
      </c>
      <c r="AT276" s="855" t="s">
        <v>82</v>
      </c>
      <c r="AU276" s="855" t="s">
        <v>181</v>
      </c>
      <c r="AV276" s="855" t="s">
        <v>183</v>
      </c>
      <c r="AW276" s="855" t="s">
        <v>547</v>
      </c>
      <c r="AX276" s="855" t="s">
        <v>182</v>
      </c>
      <c r="AY276" s="855" t="s">
        <v>172</v>
      </c>
      <c r="AZ276" s="855" t="s">
        <v>173</v>
      </c>
      <c r="BA276" s="855" t="s">
        <v>184</v>
      </c>
      <c r="BB276" s="855" t="s">
        <v>100</v>
      </c>
      <c r="BC276" s="855" t="s">
        <v>913</v>
      </c>
      <c r="BD276" s="855" t="s">
        <v>2747</v>
      </c>
      <c r="BE276" s="613"/>
    </row>
    <row r="277" spans="2:57">
      <c r="B277" s="1315" t="s">
        <v>668</v>
      </c>
      <c r="C277" s="1316"/>
      <c r="D277" s="501" t="s">
        <v>3897</v>
      </c>
      <c r="E277" s="585"/>
      <c r="F277" s="501" t="s">
        <v>284</v>
      </c>
      <c r="G277" s="501" t="s">
        <v>285</v>
      </c>
      <c r="H277" s="629">
        <v>4656.0420000000004</v>
      </c>
      <c r="I277" s="584" t="s">
        <v>509</v>
      </c>
      <c r="J277" s="504">
        <v>45275.208333333336</v>
      </c>
      <c r="K277" s="574"/>
      <c r="L277" s="574" t="s">
        <v>192</v>
      </c>
      <c r="M277" s="574" t="s">
        <v>192</v>
      </c>
      <c r="N277" s="505" t="str">
        <f>IF(ISBLANK(J277)," ",IF(J277&lt;$F$271,"On time",(IF(DAY(J277-$F$271)&lt;1,"On time",(IF(J277&gt;$F$271,"DELAY ( "&amp;DAY(J277-$F$271)&amp;" day "&amp;HOUR(J277-$F$271)&amp;" hour "&amp;MINUTE(J277-$F$271)&amp;" minute )","xxx"))))))</f>
        <v>On time</v>
      </c>
      <c r="O277" s="597"/>
      <c r="P277" s="507" t="s">
        <v>551</v>
      </c>
      <c r="Q277" s="507" t="s">
        <v>551</v>
      </c>
      <c r="R277" s="507" t="s">
        <v>551</v>
      </c>
      <c r="S277" s="598"/>
      <c r="T277" s="599"/>
      <c r="U277" s="599"/>
      <c r="V277" s="599"/>
      <c r="W277" s="599"/>
      <c r="X277" s="599"/>
      <c r="Y277" s="599">
        <f>H277*0.7</f>
        <v>3259.2294000000002</v>
      </c>
      <c r="Z277" s="599">
        <f>H277*0.3</f>
        <v>1396.8126</v>
      </c>
      <c r="AA277" s="599"/>
      <c r="AB277" s="599"/>
      <c r="AC277" s="599"/>
      <c r="AD277" s="599"/>
      <c r="AE277" s="599"/>
      <c r="AF277" s="599"/>
      <c r="AG277" s="599"/>
      <c r="AH277" s="599"/>
      <c r="AI277" s="599"/>
      <c r="AJ277" s="599"/>
      <c r="AK277" s="599"/>
      <c r="AL277" s="599"/>
      <c r="AM277" s="599"/>
      <c r="AN277" s="599"/>
      <c r="AO277" s="599"/>
      <c r="AP277" s="599"/>
      <c r="AQ277" s="599"/>
      <c r="AR277" s="599"/>
      <c r="AS277" s="599"/>
      <c r="AT277" s="599"/>
      <c r="AU277" s="599"/>
      <c r="AV277" s="599"/>
      <c r="AW277" s="599"/>
      <c r="AX277" s="599"/>
      <c r="AY277" s="599"/>
      <c r="AZ277" s="599"/>
      <c r="BA277" s="599"/>
      <c r="BB277" s="599"/>
      <c r="BC277" s="599"/>
      <c r="BD277" s="599"/>
      <c r="BE277" s="598"/>
    </row>
    <row r="278" spans="2:57">
      <c r="B278" s="1315" t="s">
        <v>616</v>
      </c>
      <c r="C278" s="1316"/>
      <c r="D278" s="501" t="s">
        <v>3763</v>
      </c>
      <c r="E278" s="585"/>
      <c r="F278" s="501" t="s">
        <v>695</v>
      </c>
      <c r="G278" s="501" t="s">
        <v>281</v>
      </c>
      <c r="H278" s="629">
        <v>7301.9920000000002</v>
      </c>
      <c r="I278" s="584" t="s">
        <v>235</v>
      </c>
      <c r="J278" s="504">
        <v>45273.5</v>
      </c>
      <c r="K278" s="574"/>
      <c r="L278" s="574" t="s">
        <v>192</v>
      </c>
      <c r="M278" s="574" t="s">
        <v>192</v>
      </c>
      <c r="N278" s="505" t="str">
        <f t="shared" ref="N278:N297" si="22">IF(ISBLANK(J278)," ",IF(J278&lt;$F$271,"On time",(IF(DAY(J278-$F$271)&lt;1,"On time",(IF(J278&gt;$F$271,"DELAY ( "&amp;DAY(J278-$F$271)&amp;" day "&amp;HOUR(J278-$F$271)&amp;" hour "&amp;MINUTE(J278-$F$271)&amp;" minute )","xxx"))))))</f>
        <v>On time</v>
      </c>
      <c r="O278" s="597"/>
      <c r="P278" s="507" t="s">
        <v>551</v>
      </c>
      <c r="Q278" s="507" t="s">
        <v>551</v>
      </c>
      <c r="R278" s="507" t="s">
        <v>551</v>
      </c>
      <c r="S278" s="598"/>
      <c r="T278" s="599"/>
      <c r="U278" s="599"/>
      <c r="V278" s="599"/>
      <c r="W278" s="599"/>
      <c r="X278" s="599"/>
      <c r="Y278" s="599"/>
      <c r="Z278" s="599"/>
      <c r="AA278" s="599"/>
      <c r="AB278" s="599">
        <f>H278</f>
        <v>7301.9920000000002</v>
      </c>
      <c r="AC278" s="599"/>
      <c r="AD278" s="599"/>
      <c r="AE278" s="599"/>
      <c r="AF278" s="599"/>
      <c r="AG278" s="599"/>
      <c r="AH278" s="599"/>
      <c r="AI278" s="599"/>
      <c r="AJ278" s="599"/>
      <c r="AK278" s="599"/>
      <c r="AL278" s="599"/>
      <c r="AM278" s="599"/>
      <c r="AN278" s="599"/>
      <c r="AO278" s="599"/>
      <c r="AP278" s="599"/>
      <c r="AQ278" s="599"/>
      <c r="AR278" s="599"/>
      <c r="AS278" s="599"/>
      <c r="AT278" s="599"/>
      <c r="AU278" s="599"/>
      <c r="AV278" s="599"/>
      <c r="AW278" s="599"/>
      <c r="AX278" s="599"/>
      <c r="AY278" s="599"/>
      <c r="AZ278" s="599"/>
      <c r="BA278" s="599"/>
      <c r="BB278" s="599"/>
      <c r="BC278" s="599"/>
      <c r="BD278" s="599"/>
      <c r="BE278" s="598"/>
    </row>
    <row r="279" spans="2:57">
      <c r="B279" s="1315" t="s">
        <v>616</v>
      </c>
      <c r="C279" s="1316"/>
      <c r="D279" s="501" t="s">
        <v>3764</v>
      </c>
      <c r="E279" s="585"/>
      <c r="F279" s="501" t="s">
        <v>2388</v>
      </c>
      <c r="G279" s="501" t="s">
        <v>289</v>
      </c>
      <c r="H279" s="629">
        <v>7581.4120000000003</v>
      </c>
      <c r="I279" s="584" t="s">
        <v>235</v>
      </c>
      <c r="J279" s="504">
        <v>45272.590277777781</v>
      </c>
      <c r="K279" s="574"/>
      <c r="L279" s="574" t="s">
        <v>192</v>
      </c>
      <c r="M279" s="574" t="s">
        <v>192</v>
      </c>
      <c r="N279" s="505" t="str">
        <f t="shared" si="22"/>
        <v>On time</v>
      </c>
      <c r="O279" s="597"/>
      <c r="P279" s="507" t="s">
        <v>551</v>
      </c>
      <c r="Q279" s="507" t="s">
        <v>551</v>
      </c>
      <c r="R279" s="507" t="s">
        <v>551</v>
      </c>
      <c r="S279" s="598"/>
      <c r="T279" s="599"/>
      <c r="U279" s="599"/>
      <c r="V279" s="599"/>
      <c r="W279" s="599"/>
      <c r="X279" s="599"/>
      <c r="Y279" s="599"/>
      <c r="Z279" s="599"/>
      <c r="AA279" s="599"/>
      <c r="AB279" s="599">
        <f>H279</f>
        <v>7581.4120000000003</v>
      </c>
      <c r="AC279" s="599"/>
      <c r="AD279" s="599"/>
      <c r="AE279" s="599"/>
      <c r="AF279" s="599"/>
      <c r="AG279" s="599"/>
      <c r="AH279" s="599"/>
      <c r="AI279" s="599"/>
      <c r="AJ279" s="599"/>
      <c r="AK279" s="599"/>
      <c r="AL279" s="599"/>
      <c r="AM279" s="599"/>
      <c r="AN279" s="599"/>
      <c r="AO279" s="599"/>
      <c r="AP279" s="599"/>
      <c r="AQ279" s="599"/>
      <c r="AR279" s="599"/>
      <c r="AS279" s="599"/>
      <c r="AT279" s="599"/>
      <c r="AU279" s="599"/>
      <c r="AV279" s="599"/>
      <c r="AW279" s="599"/>
      <c r="AX279" s="599"/>
      <c r="AY279" s="599"/>
      <c r="AZ279" s="599"/>
      <c r="BA279" s="599"/>
      <c r="BB279" s="599"/>
      <c r="BC279" s="599"/>
      <c r="BD279" s="599"/>
      <c r="BE279" s="598"/>
    </row>
    <row r="280" spans="2:57">
      <c r="B280" s="1351" t="s">
        <v>1721</v>
      </c>
      <c r="C280" s="1352"/>
      <c r="D280" s="1352"/>
      <c r="E280" s="1352"/>
      <c r="F280" s="1352"/>
      <c r="G280" s="1353"/>
      <c r="H280" s="702">
        <f>SUM(H277:H279)</f>
        <v>19539.446</v>
      </c>
      <c r="I280" s="703"/>
      <c r="J280" s="704"/>
      <c r="K280" s="704"/>
      <c r="L280" s="704"/>
      <c r="M280" s="705"/>
      <c r="N280" s="505" t="str">
        <f t="shared" si="22"/>
        <v xml:space="preserve"> </v>
      </c>
      <c r="O280" s="552"/>
      <c r="P280" s="706"/>
      <c r="Q280" s="706"/>
      <c r="R280" s="706"/>
      <c r="S280" s="598"/>
      <c r="T280" s="599"/>
      <c r="U280" s="599"/>
      <c r="V280" s="599"/>
      <c r="W280" s="599"/>
      <c r="X280" s="599"/>
      <c r="Y280" s="599"/>
      <c r="Z280" s="599"/>
      <c r="AA280" s="599"/>
      <c r="AB280" s="599"/>
      <c r="AC280" s="599"/>
      <c r="AD280" s="599"/>
      <c r="AE280" s="599"/>
      <c r="AF280" s="599"/>
      <c r="AG280" s="599"/>
      <c r="AH280" s="599"/>
      <c r="AI280" s="599"/>
      <c r="AJ280" s="599"/>
      <c r="AK280" s="599"/>
      <c r="AL280" s="599"/>
      <c r="AM280" s="599"/>
      <c r="AN280" s="599"/>
      <c r="AO280" s="599"/>
      <c r="AP280" s="598"/>
      <c r="AQ280" s="599"/>
      <c r="AR280" s="599"/>
      <c r="AS280" s="599"/>
      <c r="AT280" s="599"/>
      <c r="AU280" s="599"/>
      <c r="AV280" s="599"/>
      <c r="AW280" s="599"/>
      <c r="AX280" s="599"/>
      <c r="AY280" s="599"/>
      <c r="AZ280" s="599"/>
      <c r="BA280" s="599"/>
      <c r="BB280" s="599"/>
      <c r="BC280" s="599"/>
      <c r="BD280" s="599"/>
      <c r="BE280" s="598"/>
    </row>
    <row r="281" spans="2:57">
      <c r="B281" s="1326" t="s">
        <v>619</v>
      </c>
      <c r="C281" s="1327"/>
      <c r="D281" s="501"/>
      <c r="E281" s="501"/>
      <c r="F281" s="1315" t="s">
        <v>668</v>
      </c>
      <c r="G281" s="1316"/>
      <c r="H281" s="629">
        <v>4656.0420000000004</v>
      </c>
      <c r="I281" s="584"/>
      <c r="J281" s="504"/>
      <c r="K281" s="574"/>
      <c r="L281" s="574" t="s">
        <v>192</v>
      </c>
      <c r="M281" s="574" t="s">
        <v>192</v>
      </c>
      <c r="N281" s="505" t="str">
        <f t="shared" si="22"/>
        <v xml:space="preserve"> </v>
      </c>
      <c r="O281" s="597"/>
      <c r="P281" s="507"/>
      <c r="Q281" s="507"/>
      <c r="R281" s="507"/>
      <c r="S281" s="598"/>
      <c r="T281" s="599"/>
      <c r="U281" s="599"/>
      <c r="V281" s="599"/>
      <c r="W281" s="599"/>
      <c r="X281" s="599"/>
      <c r="Y281" s="599"/>
      <c r="Z281" s="599"/>
      <c r="AA281" s="599"/>
      <c r="AB281" s="599"/>
      <c r="AC281" s="599"/>
      <c r="AD281" s="599"/>
      <c r="AE281" s="599"/>
      <c r="AF281" s="599"/>
      <c r="AG281" s="599"/>
      <c r="AH281" s="599"/>
      <c r="AI281" s="599"/>
      <c r="AJ281" s="599"/>
      <c r="AK281" s="599"/>
      <c r="AL281" s="599"/>
      <c r="AM281" s="599"/>
      <c r="AN281" s="599"/>
      <c r="AO281" s="599"/>
      <c r="AP281" s="599"/>
      <c r="AQ281" s="599"/>
      <c r="AR281" s="599"/>
      <c r="AS281" s="599"/>
      <c r="AT281" s="599"/>
      <c r="AU281" s="599"/>
      <c r="AV281" s="599"/>
      <c r="AW281" s="599"/>
      <c r="AX281" s="599"/>
      <c r="AY281" s="599"/>
      <c r="AZ281" s="599"/>
      <c r="BA281" s="599"/>
      <c r="BB281" s="599"/>
      <c r="BC281" s="599"/>
      <c r="BD281" s="599"/>
      <c r="BE281" s="598"/>
    </row>
    <row r="282" spans="2:57">
      <c r="B282" s="1328"/>
      <c r="C282" s="1329"/>
      <c r="D282" s="501"/>
      <c r="E282" s="501"/>
      <c r="F282" s="1315" t="s">
        <v>616</v>
      </c>
      <c r="G282" s="1316"/>
      <c r="H282" s="629">
        <v>3000</v>
      </c>
      <c r="I282" s="584"/>
      <c r="J282" s="504"/>
      <c r="K282" s="574"/>
      <c r="L282" s="574"/>
      <c r="M282" s="574"/>
      <c r="N282" s="505" t="str">
        <f t="shared" si="22"/>
        <v xml:space="preserve"> </v>
      </c>
      <c r="O282" s="597"/>
      <c r="P282" s="507"/>
      <c r="Q282" s="507"/>
      <c r="R282" s="507"/>
      <c r="S282" s="598"/>
      <c r="T282" s="599"/>
      <c r="U282" s="599"/>
      <c r="V282" s="599"/>
      <c r="W282" s="599"/>
      <c r="X282" s="599"/>
      <c r="Y282" s="599"/>
      <c r="Z282" s="599"/>
      <c r="AA282" s="599"/>
      <c r="AB282" s="599"/>
      <c r="AC282" s="599"/>
      <c r="AD282" s="599"/>
      <c r="AE282" s="599"/>
      <c r="AF282" s="599"/>
      <c r="AG282" s="599"/>
      <c r="AH282" s="599"/>
      <c r="AI282" s="599"/>
      <c r="AJ282" s="599"/>
      <c r="AK282" s="599"/>
      <c r="AL282" s="599"/>
      <c r="AM282" s="599"/>
      <c r="AN282" s="599"/>
      <c r="AO282" s="599"/>
      <c r="AP282" s="599"/>
      <c r="AQ282" s="599"/>
      <c r="AR282" s="599"/>
      <c r="AS282" s="599"/>
      <c r="AT282" s="599"/>
      <c r="AU282" s="599"/>
      <c r="AV282" s="599"/>
      <c r="AW282" s="599"/>
      <c r="AX282" s="599"/>
      <c r="AY282" s="599"/>
      <c r="AZ282" s="599"/>
      <c r="BA282" s="599"/>
      <c r="BB282" s="599"/>
      <c r="BC282" s="599"/>
      <c r="BD282" s="599"/>
      <c r="BE282" s="598"/>
    </row>
    <row r="283" spans="2:57">
      <c r="B283" s="1326" t="s">
        <v>621</v>
      </c>
      <c r="C283" s="1327"/>
      <c r="D283" s="501" t="s">
        <v>3898</v>
      </c>
      <c r="E283" s="501"/>
      <c r="F283" s="501" t="s">
        <v>774</v>
      </c>
      <c r="G283" s="501" t="s">
        <v>423</v>
      </c>
      <c r="H283" s="629">
        <v>7506.0339999999997</v>
      </c>
      <c r="I283" s="584" t="s">
        <v>509</v>
      </c>
      <c r="J283" s="504">
        <v>45272.541666666664</v>
      </c>
      <c r="K283" s="574"/>
      <c r="L283" s="574" t="s">
        <v>192</v>
      </c>
      <c r="M283" s="574" t="s">
        <v>192</v>
      </c>
      <c r="N283" s="505" t="str">
        <f t="shared" si="22"/>
        <v>On time</v>
      </c>
      <c r="O283" s="597"/>
      <c r="P283" s="507" t="s">
        <v>551</v>
      </c>
      <c r="Q283" s="507" t="s">
        <v>551</v>
      </c>
      <c r="R283" s="507" t="s">
        <v>551</v>
      </c>
      <c r="S283" s="598"/>
      <c r="T283" s="599"/>
      <c r="U283" s="599"/>
      <c r="V283" s="599"/>
      <c r="W283" s="599"/>
      <c r="X283" s="599"/>
      <c r="Y283" s="599">
        <f>H283*0.7</f>
        <v>5254.2237999999998</v>
      </c>
      <c r="Z283" s="599">
        <f>H283*0.3</f>
        <v>2251.8101999999999</v>
      </c>
      <c r="AA283" s="599"/>
      <c r="AB283" s="599"/>
      <c r="AC283" s="599"/>
      <c r="AD283" s="599"/>
      <c r="AE283" s="599"/>
      <c r="AF283" s="599"/>
      <c r="AG283" s="599"/>
      <c r="AH283" s="599"/>
      <c r="AI283" s="599"/>
      <c r="AJ283" s="599"/>
      <c r="AK283" s="599"/>
      <c r="AL283" s="599"/>
      <c r="AM283" s="599"/>
      <c r="AN283" s="599"/>
      <c r="AO283" s="599"/>
      <c r="AP283" s="599"/>
      <c r="AQ283" s="599"/>
      <c r="AR283" s="599"/>
      <c r="AS283" s="599"/>
      <c r="AT283" s="599"/>
      <c r="AU283" s="599"/>
      <c r="AV283" s="599"/>
      <c r="AW283" s="599"/>
      <c r="AX283" s="599"/>
      <c r="AY283" s="599"/>
      <c r="AZ283" s="599"/>
      <c r="BA283" s="599"/>
      <c r="BB283" s="599"/>
      <c r="BC283" s="599"/>
      <c r="BD283" s="599"/>
      <c r="BE283" s="598"/>
    </row>
    <row r="284" spans="2:57">
      <c r="B284" s="1328"/>
      <c r="C284" s="1329"/>
      <c r="D284" s="501"/>
      <c r="E284" s="501"/>
      <c r="F284" s="1315" t="s">
        <v>616</v>
      </c>
      <c r="G284" s="1316"/>
      <c r="H284" s="629">
        <v>3300</v>
      </c>
      <c r="I284" s="584"/>
      <c r="J284" s="504"/>
      <c r="K284" s="574"/>
      <c r="L284" s="574"/>
      <c r="M284" s="574"/>
      <c r="N284" s="505" t="str">
        <f t="shared" si="22"/>
        <v xml:space="preserve"> </v>
      </c>
      <c r="O284" s="597"/>
      <c r="P284" s="507"/>
      <c r="Q284" s="507"/>
      <c r="R284" s="507"/>
      <c r="S284" s="598"/>
      <c r="T284" s="599"/>
      <c r="U284" s="599"/>
      <c r="V284" s="599"/>
      <c r="W284" s="599"/>
      <c r="X284" s="599"/>
      <c r="Y284" s="599"/>
      <c r="Z284" s="599"/>
      <c r="AA284" s="599"/>
      <c r="AB284" s="599"/>
      <c r="AC284" s="599"/>
      <c r="AD284" s="599"/>
      <c r="AE284" s="599"/>
      <c r="AF284" s="599"/>
      <c r="AG284" s="599"/>
      <c r="AH284" s="599"/>
      <c r="AI284" s="599"/>
      <c r="AJ284" s="599"/>
      <c r="AK284" s="599"/>
      <c r="AL284" s="599"/>
      <c r="AM284" s="599"/>
      <c r="AN284" s="599"/>
      <c r="AO284" s="599"/>
      <c r="AP284" s="599"/>
      <c r="AQ284" s="599"/>
      <c r="AR284" s="599"/>
      <c r="AS284" s="599"/>
      <c r="AT284" s="599"/>
      <c r="AU284" s="599"/>
      <c r="AV284" s="599"/>
      <c r="AW284" s="599"/>
      <c r="AX284" s="599"/>
      <c r="AY284" s="599"/>
      <c r="AZ284" s="599"/>
      <c r="BA284" s="599"/>
      <c r="BB284" s="599"/>
      <c r="BC284" s="599"/>
      <c r="BD284" s="599"/>
      <c r="BE284" s="598"/>
    </row>
    <row r="285" spans="2:57">
      <c r="B285" s="1326" t="s">
        <v>622</v>
      </c>
      <c r="C285" s="1327"/>
      <c r="D285" s="501" t="s">
        <v>3900</v>
      </c>
      <c r="E285" s="501"/>
      <c r="F285" s="501" t="s">
        <v>686</v>
      </c>
      <c r="G285" s="501" t="s">
        <v>1186</v>
      </c>
      <c r="H285" s="629">
        <v>7599.5630000000001</v>
      </c>
      <c r="I285" s="584" t="s">
        <v>1968</v>
      </c>
      <c r="J285" s="504">
        <v>45272.416666666664</v>
      </c>
      <c r="K285" s="504"/>
      <c r="L285" s="574" t="s">
        <v>192</v>
      </c>
      <c r="M285" s="574" t="s">
        <v>192</v>
      </c>
      <c r="N285" s="505" t="str">
        <f t="shared" si="22"/>
        <v>On time</v>
      </c>
      <c r="O285" s="597"/>
      <c r="P285" s="507" t="s">
        <v>551</v>
      </c>
      <c r="Q285" s="507" t="s">
        <v>551</v>
      </c>
      <c r="R285" s="507" t="s">
        <v>551</v>
      </c>
      <c r="S285" s="598"/>
      <c r="T285" s="599"/>
      <c r="U285" s="599"/>
      <c r="V285" s="599"/>
      <c r="W285" s="599"/>
      <c r="X285" s="599"/>
      <c r="Y285" s="599">
        <f>H285*0.8</f>
        <v>6079.6504000000004</v>
      </c>
      <c r="Z285" s="599">
        <f>H285*0.2</f>
        <v>1519.9126000000001</v>
      </c>
      <c r="AA285" s="599"/>
      <c r="AB285" s="599"/>
      <c r="AC285" s="599"/>
      <c r="AD285" s="599"/>
      <c r="AE285" s="599"/>
      <c r="AF285" s="599"/>
      <c r="AG285" s="599"/>
      <c r="AH285" s="599"/>
      <c r="AI285" s="599"/>
      <c r="AJ285" s="599"/>
      <c r="AK285" s="598"/>
      <c r="AL285" s="599"/>
      <c r="AM285" s="599"/>
      <c r="AN285" s="599"/>
      <c r="AO285" s="599"/>
      <c r="AP285" s="599"/>
      <c r="AQ285" s="599"/>
      <c r="AR285" s="599"/>
      <c r="AS285" s="599"/>
      <c r="AT285" s="599"/>
      <c r="AU285" s="599"/>
      <c r="AV285" s="599"/>
      <c r="AW285" s="599"/>
      <c r="AX285" s="598"/>
      <c r="AY285" s="599"/>
      <c r="AZ285" s="599"/>
      <c r="BA285" s="599"/>
      <c r="BB285" s="599"/>
      <c r="BC285" s="599"/>
      <c r="BD285" s="599"/>
      <c r="BE285" s="598"/>
    </row>
    <row r="286" spans="2:57">
      <c r="B286" s="1328"/>
      <c r="C286" s="1329"/>
      <c r="D286" s="501"/>
      <c r="E286" s="501"/>
      <c r="F286" s="1315" t="s">
        <v>616</v>
      </c>
      <c r="G286" s="1316"/>
      <c r="H286" s="629">
        <v>1000</v>
      </c>
      <c r="I286" s="584"/>
      <c r="J286" s="504"/>
      <c r="K286" s="574"/>
      <c r="L286" s="574"/>
      <c r="M286" s="574"/>
      <c r="N286" s="505" t="str">
        <f t="shared" si="22"/>
        <v xml:space="preserve"> </v>
      </c>
      <c r="O286" s="597"/>
      <c r="P286" s="507"/>
      <c r="Q286" s="507"/>
      <c r="R286" s="507"/>
      <c r="S286" s="598"/>
      <c r="T286" s="599"/>
      <c r="U286" s="599"/>
      <c r="V286" s="599"/>
      <c r="W286" s="599"/>
      <c r="X286" s="599"/>
      <c r="Y286" s="599"/>
      <c r="Z286" s="599"/>
      <c r="AA286" s="599"/>
      <c r="AB286" s="599"/>
      <c r="AC286" s="599"/>
      <c r="AD286" s="599"/>
      <c r="AE286" s="599"/>
      <c r="AF286" s="599"/>
      <c r="AG286" s="599"/>
      <c r="AH286" s="599"/>
      <c r="AI286" s="599"/>
      <c r="AJ286" s="599"/>
      <c r="AK286" s="599"/>
      <c r="AL286" s="599"/>
      <c r="AM286" s="599"/>
      <c r="AN286" s="599"/>
      <c r="AO286" s="599"/>
      <c r="AP286" s="599"/>
      <c r="AQ286" s="599"/>
      <c r="AR286" s="599"/>
      <c r="AS286" s="599"/>
      <c r="AT286" s="599"/>
      <c r="AU286" s="599"/>
      <c r="AV286" s="599"/>
      <c r="AW286" s="599"/>
      <c r="AX286" s="599"/>
      <c r="AY286" s="599"/>
      <c r="AZ286" s="599"/>
      <c r="BA286" s="599"/>
      <c r="BB286" s="599"/>
      <c r="BC286" s="599"/>
      <c r="BD286" s="599"/>
      <c r="BE286" s="598"/>
    </row>
    <row r="287" spans="2:57">
      <c r="B287" s="1326" t="s">
        <v>623</v>
      </c>
      <c r="C287" s="1327"/>
      <c r="D287" s="501" t="s">
        <v>3899</v>
      </c>
      <c r="E287" s="501"/>
      <c r="F287" s="501" t="s">
        <v>721</v>
      </c>
      <c r="G287" s="501" t="s">
        <v>1349</v>
      </c>
      <c r="H287" s="629">
        <v>7521.34</v>
      </c>
      <c r="I287" s="584" t="s">
        <v>509</v>
      </c>
      <c r="J287" s="504">
        <v>45272.458333333336</v>
      </c>
      <c r="K287" s="574"/>
      <c r="L287" s="574" t="s">
        <v>192</v>
      </c>
      <c r="M287" s="574" t="s">
        <v>192</v>
      </c>
      <c r="N287" s="505" t="str">
        <f t="shared" si="22"/>
        <v>On time</v>
      </c>
      <c r="O287" s="597"/>
      <c r="P287" s="507" t="s">
        <v>551</v>
      </c>
      <c r="Q287" s="507" t="s">
        <v>551</v>
      </c>
      <c r="R287" s="507" t="s">
        <v>551</v>
      </c>
      <c r="S287" s="598"/>
      <c r="T287" s="599"/>
      <c r="U287" s="599"/>
      <c r="V287" s="599"/>
      <c r="W287" s="599"/>
      <c r="X287" s="599"/>
      <c r="Y287" s="599">
        <f t="shared" ref="Y287" si="23">H287*0.7</f>
        <v>5264.9380000000001</v>
      </c>
      <c r="Z287" s="599">
        <f t="shared" ref="Z287" si="24">H287*0.3</f>
        <v>2256.402</v>
      </c>
      <c r="AA287" s="599"/>
      <c r="AB287" s="599"/>
      <c r="AC287" s="599"/>
      <c r="AD287" s="599"/>
      <c r="AE287" s="599"/>
      <c r="AF287" s="599"/>
      <c r="AG287" s="599"/>
      <c r="AH287" s="599"/>
      <c r="AI287" s="599"/>
      <c r="AJ287" s="599"/>
      <c r="AK287" s="599"/>
      <c r="AL287" s="599"/>
      <c r="AM287" s="599"/>
      <c r="AN287" s="599"/>
      <c r="AO287" s="599"/>
      <c r="AP287" s="599"/>
      <c r="AQ287" s="599"/>
      <c r="AR287" s="599"/>
      <c r="AS287" s="599"/>
      <c r="AT287" s="599"/>
      <c r="AU287" s="599"/>
      <c r="AV287" s="599"/>
      <c r="AW287" s="599"/>
      <c r="AX287" s="599"/>
      <c r="AY287" s="599"/>
      <c r="AZ287" s="599"/>
      <c r="BA287" s="599"/>
      <c r="BB287" s="599"/>
      <c r="BC287" s="599"/>
      <c r="BD287" s="599"/>
      <c r="BE287" s="598"/>
    </row>
    <row r="288" spans="2:57">
      <c r="B288" s="1328"/>
      <c r="C288" s="1329"/>
      <c r="D288" s="501"/>
      <c r="E288" s="501"/>
      <c r="F288" s="1315" t="s">
        <v>616</v>
      </c>
      <c r="G288" s="1316"/>
      <c r="H288" s="629">
        <v>3300</v>
      </c>
      <c r="I288" s="584"/>
      <c r="J288" s="504"/>
      <c r="K288" s="574"/>
      <c r="L288" s="574"/>
      <c r="M288" s="574"/>
      <c r="N288" s="505" t="str">
        <f t="shared" si="22"/>
        <v xml:space="preserve"> </v>
      </c>
      <c r="O288" s="597"/>
      <c r="P288" s="507"/>
      <c r="Q288" s="507"/>
      <c r="R288" s="507"/>
      <c r="S288" s="598"/>
      <c r="T288" s="599"/>
      <c r="U288" s="599"/>
      <c r="V288" s="599"/>
      <c r="W288" s="599"/>
      <c r="X288" s="599"/>
      <c r="Y288" s="599"/>
      <c r="Z288" s="599"/>
      <c r="AA288" s="599"/>
      <c r="AB288" s="599"/>
      <c r="AC288" s="599"/>
      <c r="AD288" s="599"/>
      <c r="AE288" s="599"/>
      <c r="AF288" s="599"/>
      <c r="AG288" s="599"/>
      <c r="AH288" s="599"/>
      <c r="AI288" s="599"/>
      <c r="AJ288" s="599"/>
      <c r="AK288" s="599"/>
      <c r="AL288" s="599"/>
      <c r="AM288" s="599"/>
      <c r="AN288" s="599"/>
      <c r="AO288" s="599"/>
      <c r="AP288" s="599"/>
      <c r="AQ288" s="599"/>
      <c r="AR288" s="599"/>
      <c r="AS288" s="599"/>
      <c r="AT288" s="599"/>
      <c r="AU288" s="599"/>
      <c r="AV288" s="599"/>
      <c r="AW288" s="599"/>
      <c r="AX288" s="599"/>
      <c r="AY288" s="599"/>
      <c r="AZ288" s="599"/>
      <c r="BA288" s="599"/>
      <c r="BB288" s="599"/>
      <c r="BC288" s="599"/>
      <c r="BD288" s="599"/>
      <c r="BE288" s="598"/>
    </row>
    <row r="289" spans="2:57">
      <c r="B289" s="1326" t="s">
        <v>624</v>
      </c>
      <c r="C289" s="1327"/>
      <c r="D289" s="501" t="s">
        <v>3901</v>
      </c>
      <c r="E289" s="501"/>
      <c r="F289" s="501" t="s">
        <v>274</v>
      </c>
      <c r="G289" s="501" t="s">
        <v>1093</v>
      </c>
      <c r="H289" s="629">
        <v>7529.567</v>
      </c>
      <c r="I289" s="584" t="s">
        <v>1968</v>
      </c>
      <c r="J289" s="504">
        <v>45272.583333333336</v>
      </c>
      <c r="K289" s="574"/>
      <c r="L289" s="574" t="s">
        <v>192</v>
      </c>
      <c r="M289" s="574" t="s">
        <v>192</v>
      </c>
      <c r="N289" s="505" t="str">
        <f t="shared" si="22"/>
        <v>On time</v>
      </c>
      <c r="O289" s="597"/>
      <c r="P289" s="507" t="s">
        <v>551</v>
      </c>
      <c r="Q289" s="507" t="s">
        <v>551</v>
      </c>
      <c r="R289" s="507" t="s">
        <v>551</v>
      </c>
      <c r="S289" s="598"/>
      <c r="T289" s="599"/>
      <c r="U289" s="599"/>
      <c r="V289" s="599"/>
      <c r="W289" s="599"/>
      <c r="X289" s="599"/>
      <c r="Y289" s="599">
        <f>H289*0.8</f>
        <v>6023.6536000000006</v>
      </c>
      <c r="Z289" s="599">
        <f>H289*0.2</f>
        <v>1505.9134000000001</v>
      </c>
      <c r="AA289" s="599"/>
      <c r="AB289" s="599"/>
      <c r="AC289" s="599"/>
      <c r="AD289" s="599"/>
      <c r="AE289" s="599"/>
      <c r="AF289" s="599"/>
      <c r="AG289" s="599"/>
      <c r="AH289" s="599"/>
      <c r="AI289" s="599"/>
      <c r="AJ289" s="599"/>
      <c r="AK289" s="599"/>
      <c r="AL289" s="599"/>
      <c r="AM289" s="599"/>
      <c r="AN289" s="599"/>
      <c r="AO289" s="599"/>
      <c r="AP289" s="599"/>
      <c r="AQ289" s="599"/>
      <c r="AR289" s="599"/>
      <c r="AS289" s="599"/>
      <c r="AT289" s="599"/>
      <c r="AU289" s="599"/>
      <c r="AV289" s="599"/>
      <c r="AW289" s="599"/>
      <c r="AX289" s="599"/>
      <c r="AY289" s="599"/>
      <c r="AZ289" s="599"/>
      <c r="BA289" s="599"/>
      <c r="BB289" s="599"/>
      <c r="BC289" s="599"/>
      <c r="BD289" s="599"/>
      <c r="BE289" s="598"/>
    </row>
    <row r="290" spans="2:57">
      <c r="B290" s="1328"/>
      <c r="C290" s="1329"/>
      <c r="D290" s="501"/>
      <c r="E290" s="501"/>
      <c r="F290" s="1315" t="s">
        <v>616</v>
      </c>
      <c r="G290" s="1316"/>
      <c r="H290" s="629">
        <v>1500</v>
      </c>
      <c r="I290" s="584"/>
      <c r="J290" s="504"/>
      <c r="K290" s="574"/>
      <c r="L290" s="574"/>
      <c r="M290" s="574"/>
      <c r="N290" s="505" t="str">
        <f t="shared" si="22"/>
        <v xml:space="preserve"> </v>
      </c>
      <c r="O290" s="597"/>
      <c r="P290" s="507"/>
      <c r="Q290" s="507"/>
      <c r="R290" s="507"/>
      <c r="S290" s="598"/>
      <c r="T290" s="599"/>
      <c r="U290" s="599"/>
      <c r="V290" s="599"/>
      <c r="W290" s="599"/>
      <c r="X290" s="599"/>
      <c r="Y290" s="599"/>
      <c r="Z290" s="599"/>
      <c r="AA290" s="599"/>
      <c r="AB290" s="599"/>
      <c r="AC290" s="599"/>
      <c r="AD290" s="599"/>
      <c r="AE290" s="599"/>
      <c r="AF290" s="599"/>
      <c r="AG290" s="599"/>
      <c r="AH290" s="599"/>
      <c r="AI290" s="599"/>
      <c r="AJ290" s="599"/>
      <c r="AK290" s="599"/>
      <c r="AL290" s="599"/>
      <c r="AM290" s="599"/>
      <c r="AN290" s="599"/>
      <c r="AO290" s="599"/>
      <c r="AP290" s="599"/>
      <c r="AQ290" s="599"/>
      <c r="AR290" s="599"/>
      <c r="AS290" s="599"/>
      <c r="AT290" s="599"/>
      <c r="AU290" s="599"/>
      <c r="AV290" s="599"/>
      <c r="AW290" s="599"/>
      <c r="AX290" s="599"/>
      <c r="AY290" s="599"/>
      <c r="AZ290" s="599"/>
      <c r="BA290" s="599"/>
      <c r="BB290" s="599"/>
      <c r="BC290" s="599"/>
      <c r="BD290" s="599"/>
      <c r="BE290" s="598"/>
    </row>
    <row r="291" spans="2:57">
      <c r="B291" s="1326" t="s">
        <v>625</v>
      </c>
      <c r="C291" s="1327"/>
      <c r="D291" s="501" t="s">
        <v>3902</v>
      </c>
      <c r="E291" s="501"/>
      <c r="F291" s="501" t="s">
        <v>2404</v>
      </c>
      <c r="G291" s="501" t="s">
        <v>2405</v>
      </c>
      <c r="H291" s="629">
        <v>10470.937</v>
      </c>
      <c r="I291" s="584" t="s">
        <v>1968</v>
      </c>
      <c r="J291" s="504">
        <v>45272.791666666664</v>
      </c>
      <c r="K291" s="574"/>
      <c r="L291" s="574" t="s">
        <v>192</v>
      </c>
      <c r="M291" s="574" t="s">
        <v>192</v>
      </c>
      <c r="N291" s="505" t="str">
        <f t="shared" si="22"/>
        <v>On time</v>
      </c>
      <c r="O291" s="597"/>
      <c r="P291" s="507" t="s">
        <v>551</v>
      </c>
      <c r="Q291" s="507" t="s">
        <v>551</v>
      </c>
      <c r="R291" s="507" t="s">
        <v>551</v>
      </c>
      <c r="S291" s="598"/>
      <c r="T291" s="599"/>
      <c r="U291" s="599"/>
      <c r="V291" s="599"/>
      <c r="W291" s="599"/>
      <c r="X291" s="599"/>
      <c r="Y291" s="599">
        <f>H291*0.8</f>
        <v>8376.749600000001</v>
      </c>
      <c r="Z291" s="599">
        <f>H291*0.2</f>
        <v>2094.1874000000003</v>
      </c>
      <c r="AA291" s="599"/>
      <c r="AB291" s="599"/>
      <c r="AC291" s="599"/>
      <c r="AD291" s="599"/>
      <c r="AE291" s="599"/>
      <c r="AF291" s="599"/>
      <c r="AG291" s="599"/>
      <c r="AH291" s="599"/>
      <c r="AI291" s="599"/>
      <c r="AJ291" s="599"/>
      <c r="AK291" s="599"/>
      <c r="AL291" s="599"/>
      <c r="AM291" s="599"/>
      <c r="AN291" s="599"/>
      <c r="AO291" s="599"/>
      <c r="AP291" s="599"/>
      <c r="AQ291" s="599"/>
      <c r="AR291" s="599"/>
      <c r="AS291" s="599"/>
      <c r="AT291" s="599"/>
      <c r="AU291" s="599"/>
      <c r="AV291" s="599"/>
      <c r="AW291" s="599"/>
      <c r="AX291" s="599"/>
      <c r="AY291" s="599"/>
      <c r="AZ291" s="599"/>
      <c r="BA291" s="599"/>
      <c r="BB291" s="599"/>
      <c r="BC291" s="599"/>
      <c r="BD291" s="599"/>
      <c r="BE291" s="598"/>
    </row>
    <row r="292" spans="2:57">
      <c r="B292" s="1328"/>
      <c r="C292" s="1329"/>
      <c r="D292" s="501"/>
      <c r="E292" s="501"/>
      <c r="F292" s="1315" t="s">
        <v>616</v>
      </c>
      <c r="G292" s="1316"/>
      <c r="H292" s="629">
        <v>1783</v>
      </c>
      <c r="I292" s="584"/>
      <c r="J292" s="504"/>
      <c r="K292" s="574"/>
      <c r="L292" s="574"/>
      <c r="M292" s="574"/>
      <c r="N292" s="505" t="str">
        <f t="shared" si="22"/>
        <v xml:space="preserve"> </v>
      </c>
      <c r="O292" s="597"/>
      <c r="P292" s="507"/>
      <c r="Q292" s="507"/>
      <c r="R292" s="507"/>
      <c r="S292" s="598"/>
      <c r="T292" s="599"/>
      <c r="U292" s="599"/>
      <c r="V292" s="599"/>
      <c r="W292" s="599"/>
      <c r="X292" s="599"/>
      <c r="Y292" s="599"/>
      <c r="Z292" s="599"/>
      <c r="AA292" s="599"/>
      <c r="AB292" s="599"/>
      <c r="AC292" s="599"/>
      <c r="AD292" s="599"/>
      <c r="AE292" s="599"/>
      <c r="AF292" s="599"/>
      <c r="AG292" s="599"/>
      <c r="AH292" s="599"/>
      <c r="AI292" s="599"/>
      <c r="AJ292" s="599"/>
      <c r="AK292" s="599"/>
      <c r="AL292" s="599"/>
      <c r="AM292" s="599"/>
      <c r="AN292" s="599"/>
      <c r="AO292" s="599"/>
      <c r="AP292" s="599"/>
      <c r="AQ292" s="599"/>
      <c r="AR292" s="599"/>
      <c r="AS292" s="599"/>
      <c r="AT292" s="599"/>
      <c r="AU292" s="599"/>
      <c r="AV292" s="599"/>
      <c r="AW292" s="599"/>
      <c r="AX292" s="599"/>
      <c r="AY292" s="599"/>
      <c r="AZ292" s="599"/>
      <c r="BA292" s="599"/>
      <c r="BB292" s="599"/>
      <c r="BC292" s="599"/>
      <c r="BD292" s="599"/>
      <c r="BE292" s="598"/>
    </row>
    <row r="293" spans="2:57">
      <c r="B293" s="1326" t="s">
        <v>669</v>
      </c>
      <c r="C293" s="1327"/>
      <c r="D293" s="501" t="s">
        <v>3903</v>
      </c>
      <c r="E293" s="501"/>
      <c r="F293" s="501" t="s">
        <v>3563</v>
      </c>
      <c r="G293" s="501" t="s">
        <v>206</v>
      </c>
      <c r="H293" s="629">
        <f>7398.094-1564.981</f>
        <v>5833.1130000000003</v>
      </c>
      <c r="I293" s="584" t="s">
        <v>1968</v>
      </c>
      <c r="J293" s="504">
        <v>45272.833333333336</v>
      </c>
      <c r="K293" s="574"/>
      <c r="L293" s="574" t="s">
        <v>192</v>
      </c>
      <c r="M293" s="574" t="s">
        <v>192</v>
      </c>
      <c r="N293" s="505" t="str">
        <f t="shared" si="22"/>
        <v>On time</v>
      </c>
      <c r="O293" s="597"/>
      <c r="P293" s="507" t="s">
        <v>551</v>
      </c>
      <c r="Q293" s="507" t="s">
        <v>551</v>
      </c>
      <c r="R293" s="507" t="s">
        <v>551</v>
      </c>
      <c r="S293" s="598"/>
      <c r="T293" s="599"/>
      <c r="U293" s="599"/>
      <c r="V293" s="599"/>
      <c r="W293" s="599"/>
      <c r="X293" s="599"/>
      <c r="Y293" s="599">
        <f>H293*0.8</f>
        <v>4666.4904000000006</v>
      </c>
      <c r="Z293" s="599">
        <f>H293*0.2</f>
        <v>1166.6226000000001</v>
      </c>
      <c r="AA293" s="599"/>
      <c r="AB293" s="599"/>
      <c r="AC293" s="599"/>
      <c r="AD293" s="599"/>
      <c r="AE293" s="599"/>
      <c r="AF293" s="599"/>
      <c r="AG293" s="599"/>
      <c r="AH293" s="599"/>
      <c r="AI293" s="599"/>
      <c r="AJ293" s="599"/>
      <c r="AK293" s="599"/>
      <c r="AL293" s="599"/>
      <c r="AM293" s="599"/>
      <c r="AN293" s="599"/>
      <c r="AO293" s="599"/>
      <c r="AP293" s="599"/>
      <c r="AQ293" s="599"/>
      <c r="AR293" s="599"/>
      <c r="AS293" s="599"/>
      <c r="AT293" s="599"/>
      <c r="AU293" s="599"/>
      <c r="AV293" s="599"/>
      <c r="AW293" s="599"/>
      <c r="AX293" s="599"/>
      <c r="AY293" s="599"/>
      <c r="AZ293" s="599"/>
      <c r="BA293" s="599"/>
      <c r="BB293" s="599"/>
      <c r="BC293" s="599"/>
      <c r="BD293" s="599"/>
      <c r="BE293" s="598"/>
    </row>
    <row r="294" spans="2:57">
      <c r="B294" s="1328"/>
      <c r="C294" s="1329"/>
      <c r="D294" s="501"/>
      <c r="E294" s="501"/>
      <c r="F294" s="1315" t="s">
        <v>616</v>
      </c>
      <c r="G294" s="1316"/>
      <c r="H294" s="629">
        <f>1000+0.404</f>
        <v>1000.404</v>
      </c>
      <c r="I294" s="584"/>
      <c r="J294" s="504"/>
      <c r="K294" s="574"/>
      <c r="L294" s="574"/>
      <c r="M294" s="574"/>
      <c r="N294" s="505" t="str">
        <f t="shared" si="22"/>
        <v xml:space="preserve"> </v>
      </c>
      <c r="O294" s="597"/>
      <c r="P294" s="507"/>
      <c r="Q294" s="507"/>
      <c r="R294" s="507"/>
      <c r="S294" s="598"/>
      <c r="T294" s="599"/>
      <c r="U294" s="599"/>
      <c r="V294" s="599"/>
      <c r="W294" s="599"/>
      <c r="X294" s="599"/>
      <c r="Y294" s="599"/>
      <c r="Z294" s="599"/>
      <c r="AA294" s="599"/>
      <c r="AB294" s="599"/>
      <c r="AC294" s="599"/>
      <c r="AD294" s="599"/>
      <c r="AE294" s="599"/>
      <c r="AF294" s="599"/>
      <c r="AG294" s="599"/>
      <c r="AH294" s="599"/>
      <c r="AI294" s="599"/>
      <c r="AJ294" s="599"/>
      <c r="AK294" s="599"/>
      <c r="AL294" s="599"/>
      <c r="AM294" s="599"/>
      <c r="AN294" s="599"/>
      <c r="AO294" s="599"/>
      <c r="AP294" s="599"/>
      <c r="AQ294" s="599"/>
      <c r="AR294" s="599"/>
      <c r="AS294" s="599"/>
      <c r="AT294" s="599"/>
      <c r="AU294" s="599"/>
      <c r="AV294" s="599"/>
      <c r="AW294" s="599"/>
      <c r="AX294" s="599"/>
      <c r="AY294" s="599"/>
      <c r="AZ294" s="599"/>
      <c r="BA294" s="599"/>
      <c r="BB294" s="599"/>
      <c r="BC294" s="599"/>
      <c r="BD294" s="599"/>
      <c r="BE294" s="598"/>
    </row>
    <row r="295" spans="2:57">
      <c r="B295" s="1485" t="s">
        <v>626</v>
      </c>
      <c r="C295" s="1482"/>
      <c r="D295" s="1482"/>
      <c r="E295" s="1482"/>
      <c r="F295" s="1482"/>
      <c r="G295" s="1482"/>
      <c r="H295" s="908">
        <f>H283+H287+H289+H291+H285+H293</f>
        <v>46460.553999999996</v>
      </c>
      <c r="I295" s="1073"/>
      <c r="J295" s="1074"/>
      <c r="K295" s="1074"/>
      <c r="L295" s="1074"/>
      <c r="M295" s="1074"/>
      <c r="N295" s="505" t="str">
        <f t="shared" si="22"/>
        <v xml:space="preserve"> </v>
      </c>
      <c r="O295" s="552"/>
      <c r="P295" s="706"/>
      <c r="Q295" s="706"/>
      <c r="R295" s="706"/>
      <c r="S295" s="598"/>
      <c r="T295" s="1462"/>
      <c r="U295" s="1462"/>
      <c r="V295" s="1462"/>
      <c r="W295" s="1462"/>
      <c r="X295" s="1462"/>
      <c r="Y295" s="1462"/>
      <c r="Z295" s="1462"/>
      <c r="AA295" s="1462"/>
      <c r="AB295" s="1462"/>
      <c r="AC295" s="1462"/>
      <c r="AD295" s="1462"/>
      <c r="AE295" s="1462"/>
      <c r="AF295" s="1462"/>
      <c r="AG295" s="1462"/>
      <c r="AH295" s="1462"/>
      <c r="AI295" s="1462"/>
      <c r="AJ295" s="1462"/>
      <c r="AK295" s="1462"/>
      <c r="AL295" s="1462"/>
      <c r="AM295" s="1462"/>
      <c r="AN295" s="1462"/>
      <c r="AO295" s="1462"/>
      <c r="AP295" s="1462"/>
      <c r="AQ295" s="1462"/>
      <c r="AR295" s="1462"/>
      <c r="AS295" s="1462"/>
      <c r="AT295" s="1462"/>
      <c r="AU295" s="1462"/>
      <c r="AV295" s="1462"/>
      <c r="AW295" s="1462"/>
      <c r="AX295" s="1462"/>
      <c r="AY295" s="1462"/>
      <c r="AZ295" s="1462"/>
      <c r="BA295" s="1462"/>
      <c r="BB295" s="1462"/>
      <c r="BC295" s="1462"/>
      <c r="BD295" s="1462"/>
    </row>
    <row r="296" spans="2:57">
      <c r="B296" s="1346" t="s">
        <v>556</v>
      </c>
      <c r="C296" s="1347"/>
      <c r="D296" s="1347"/>
      <c r="E296" s="1347"/>
      <c r="F296" s="1347"/>
      <c r="G296" s="1348"/>
      <c r="H296" s="1093">
        <f>H280+H295</f>
        <v>66000</v>
      </c>
      <c r="I296" s="1486"/>
      <c r="J296" s="1486"/>
      <c r="K296" s="1486"/>
      <c r="L296" s="1486"/>
      <c r="M296" s="1486"/>
      <c r="N296" s="505" t="str">
        <f t="shared" si="22"/>
        <v xml:space="preserve"> </v>
      </c>
      <c r="O296" s="212"/>
      <c r="P296" s="590"/>
      <c r="Q296" s="590"/>
      <c r="R296" s="590"/>
      <c r="S296" s="633"/>
      <c r="T296" s="1307"/>
      <c r="U296" s="1308"/>
      <c r="V296" s="1308"/>
      <c r="W296" s="1308"/>
      <c r="X296" s="1308"/>
      <c r="Y296" s="1308"/>
      <c r="Z296" s="1308"/>
      <c r="AA296" s="1308"/>
      <c r="AB296" s="1308"/>
      <c r="AC296" s="1308"/>
      <c r="AD296" s="1308"/>
      <c r="AE296" s="1308"/>
      <c r="AF296" s="1308"/>
      <c r="AG296" s="1308"/>
      <c r="AH296" s="1308"/>
      <c r="AI296" s="1308"/>
      <c r="AJ296" s="1308"/>
      <c r="AK296" s="1308"/>
      <c r="AL296" s="1308"/>
      <c r="AM296" s="1308"/>
      <c r="AN296" s="1308"/>
      <c r="AO296" s="1308"/>
      <c r="AP296" s="1308"/>
      <c r="AQ296" s="1308"/>
      <c r="AR296" s="1308"/>
      <c r="AS296" s="1308"/>
      <c r="AT296" s="1308"/>
      <c r="AU296" s="1308"/>
      <c r="AV296" s="1308"/>
      <c r="AW296" s="1308"/>
      <c r="AX296" s="1308"/>
      <c r="AY296" s="1308"/>
      <c r="AZ296" s="1308"/>
      <c r="BA296" s="1308"/>
      <c r="BB296" s="1308"/>
      <c r="BC296" s="1308"/>
      <c r="BD296" s="1308"/>
      <c r="BE296" s="39"/>
    </row>
    <row r="297" spans="2:57">
      <c r="B297" s="1415" t="s">
        <v>557</v>
      </c>
      <c r="C297" s="1416"/>
      <c r="D297" s="1416"/>
      <c r="E297" s="1416"/>
      <c r="F297" s="1416"/>
      <c r="G297" s="1417"/>
      <c r="H297" s="845">
        <v>66000</v>
      </c>
      <c r="I297" s="1455"/>
      <c r="J297" s="1455"/>
      <c r="K297" s="1455"/>
      <c r="L297" s="1455"/>
      <c r="M297" s="1455"/>
      <c r="N297" s="505" t="str">
        <f t="shared" si="22"/>
        <v xml:space="preserve"> </v>
      </c>
      <c r="O297" s="591"/>
      <c r="P297" s="415"/>
      <c r="Q297" s="415"/>
      <c r="R297" s="415"/>
      <c r="S297" s="740"/>
      <c r="T297" s="592">
        <f t="shared" ref="T297:BD297" si="25">SUM(T277:T293)</f>
        <v>0</v>
      </c>
      <c r="U297" s="592">
        <f t="shared" si="25"/>
        <v>0</v>
      </c>
      <c r="V297" s="592">
        <f t="shared" si="25"/>
        <v>0</v>
      </c>
      <c r="W297" s="592">
        <f t="shared" si="25"/>
        <v>0</v>
      </c>
      <c r="X297" s="592">
        <f t="shared" si="25"/>
        <v>0</v>
      </c>
      <c r="Y297" s="592">
        <f t="shared" si="25"/>
        <v>38924.935200000007</v>
      </c>
      <c r="Z297" s="592">
        <f t="shared" si="25"/>
        <v>12191.660800000001</v>
      </c>
      <c r="AA297" s="592">
        <f t="shared" si="25"/>
        <v>0</v>
      </c>
      <c r="AB297" s="592">
        <f t="shared" si="25"/>
        <v>14883.404</v>
      </c>
      <c r="AC297" s="592">
        <f t="shared" si="25"/>
        <v>0</v>
      </c>
      <c r="AD297" s="592">
        <f t="shared" si="25"/>
        <v>0</v>
      </c>
      <c r="AE297" s="592">
        <f t="shared" si="25"/>
        <v>0</v>
      </c>
      <c r="AF297" s="592">
        <f t="shared" si="25"/>
        <v>0</v>
      </c>
      <c r="AG297" s="592">
        <f t="shared" si="25"/>
        <v>0</v>
      </c>
      <c r="AH297" s="592">
        <f t="shared" si="25"/>
        <v>0</v>
      </c>
      <c r="AI297" s="592">
        <f t="shared" si="25"/>
        <v>0</v>
      </c>
      <c r="AJ297" s="592">
        <f t="shared" si="25"/>
        <v>0</v>
      </c>
      <c r="AK297" s="592">
        <f t="shared" si="25"/>
        <v>0</v>
      </c>
      <c r="AL297" s="592">
        <f t="shared" si="25"/>
        <v>0</v>
      </c>
      <c r="AM297" s="592">
        <f t="shared" si="25"/>
        <v>0</v>
      </c>
      <c r="AN297" s="592">
        <f t="shared" si="25"/>
        <v>0</v>
      </c>
      <c r="AO297" s="592">
        <f t="shared" si="25"/>
        <v>0</v>
      </c>
      <c r="AP297" s="592">
        <f t="shared" si="25"/>
        <v>0</v>
      </c>
      <c r="AQ297" s="592">
        <f t="shared" si="25"/>
        <v>0</v>
      </c>
      <c r="AR297" s="592">
        <f t="shared" si="25"/>
        <v>0</v>
      </c>
      <c r="AS297" s="592">
        <f t="shared" si="25"/>
        <v>0</v>
      </c>
      <c r="AT297" s="592">
        <f t="shared" si="25"/>
        <v>0</v>
      </c>
      <c r="AU297" s="592">
        <f t="shared" si="25"/>
        <v>0</v>
      </c>
      <c r="AV297" s="592">
        <f t="shared" si="25"/>
        <v>0</v>
      </c>
      <c r="AW297" s="592">
        <f t="shared" si="25"/>
        <v>0</v>
      </c>
      <c r="AX297" s="592">
        <f t="shared" si="25"/>
        <v>0</v>
      </c>
      <c r="AY297" s="592">
        <f t="shared" si="25"/>
        <v>0</v>
      </c>
      <c r="AZ297" s="592">
        <f t="shared" si="25"/>
        <v>0</v>
      </c>
      <c r="BA297" s="592">
        <f t="shared" si="25"/>
        <v>0</v>
      </c>
      <c r="BB297" s="592">
        <f t="shared" si="25"/>
        <v>0</v>
      </c>
      <c r="BC297" s="592">
        <f t="shared" si="25"/>
        <v>0</v>
      </c>
      <c r="BD297" s="592">
        <f t="shared" si="25"/>
        <v>0</v>
      </c>
      <c r="BE297" s="592">
        <f>SUM(T297:BD297)</f>
        <v>66000</v>
      </c>
    </row>
    <row r="298" spans="2:57">
      <c r="B298" s="1415" t="s">
        <v>558</v>
      </c>
      <c r="C298" s="1416"/>
      <c r="D298" s="1416"/>
      <c r="E298" s="1416"/>
      <c r="F298" s="1416"/>
      <c r="G298" s="1417"/>
      <c r="H298" s="712">
        <f>H297-L271</f>
        <v>0</v>
      </c>
      <c r="I298" s="745"/>
      <c r="J298" s="746"/>
      <c r="K298" s="746"/>
      <c r="L298" s="674"/>
      <c r="M298" s="633"/>
      <c r="N298" s="591"/>
      <c r="O298" s="591"/>
      <c r="P298" s="591"/>
      <c r="Q298" s="744"/>
      <c r="R298" s="744"/>
      <c r="S298" s="591"/>
      <c r="T298" s="645"/>
      <c r="U298" s="645"/>
      <c r="V298" s="645"/>
      <c r="W298" s="645"/>
      <c r="X298" s="645"/>
      <c r="Y298" s="645"/>
      <c r="Z298" s="645"/>
      <c r="AA298" s="645"/>
      <c r="AB298" s="645"/>
      <c r="AC298" s="591"/>
      <c r="AD298" s="591"/>
      <c r="AE298" s="591"/>
      <c r="AF298" s="591"/>
      <c r="AG298" s="591"/>
      <c r="AH298" s="591"/>
      <c r="AI298" s="591"/>
      <c r="AJ298" s="591"/>
      <c r="AK298" s="591"/>
      <c r="AL298" s="591"/>
      <c r="AM298" s="591"/>
      <c r="AN298" s="591"/>
      <c r="AO298" s="591"/>
      <c r="AP298" s="591"/>
      <c r="AQ298" s="591"/>
      <c r="AR298" s="591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</row>
    <row r="299" spans="2:57">
      <c r="B299" s="1415" t="s">
        <v>559</v>
      </c>
      <c r="C299" s="1416"/>
      <c r="D299" s="1416"/>
      <c r="E299" s="1416"/>
      <c r="F299" s="1416"/>
      <c r="G299" s="1417"/>
      <c r="H299" s="747">
        <v>985.06299999999999</v>
      </c>
      <c r="I299" s="745"/>
      <c r="J299" s="746"/>
      <c r="K299" s="746"/>
      <c r="L299" s="674"/>
      <c r="M299" s="633"/>
      <c r="N299" s="613"/>
      <c r="O299" s="591"/>
      <c r="P299" s="591"/>
      <c r="Q299" s="591"/>
      <c r="R299" s="591"/>
      <c r="S299" s="591"/>
      <c r="T299" s="645"/>
      <c r="U299" s="645"/>
      <c r="V299" s="645"/>
      <c r="W299" s="645"/>
      <c r="X299" s="645"/>
      <c r="Y299" s="645"/>
      <c r="Z299" s="645"/>
      <c r="AA299" s="645"/>
      <c r="AB299" s="645"/>
      <c r="AC299" s="591"/>
      <c r="AD299" s="591"/>
      <c r="AE299" s="591"/>
      <c r="AF299" s="591"/>
      <c r="AG299" s="591"/>
      <c r="AH299" s="591"/>
      <c r="AI299" s="591"/>
      <c r="AJ299" s="591"/>
      <c r="AK299" s="591"/>
      <c r="AL299" s="591"/>
      <c r="AM299" s="591"/>
      <c r="AN299" s="591"/>
      <c r="AO299" s="591"/>
      <c r="AP299" s="591"/>
      <c r="AQ299" s="591"/>
      <c r="AR299" s="591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</row>
    <row r="300" spans="2:57" s="39" customFormat="1" ht="12.75" customHeight="1">
      <c r="B300" s="1415" t="s">
        <v>560</v>
      </c>
      <c r="C300" s="1416"/>
      <c r="D300" s="1416"/>
      <c r="E300" s="1416"/>
      <c r="F300" s="1416"/>
      <c r="G300" s="1417"/>
      <c r="H300" s="741">
        <f>H299-1564.981</f>
        <v>-579.91800000000001</v>
      </c>
      <c r="I300" s="641"/>
      <c r="J300" s="642"/>
      <c r="K300" s="642"/>
      <c r="L300" s="499"/>
      <c r="M300" s="613"/>
      <c r="N300" s="613"/>
      <c r="O300" s="613"/>
      <c r="P300" s="613"/>
      <c r="Q300" s="613"/>
      <c r="R300" s="613"/>
      <c r="S300" s="616"/>
      <c r="T300" s="616"/>
      <c r="U300" s="616"/>
      <c r="V300" s="616"/>
      <c r="W300" s="616"/>
      <c r="X300" s="616"/>
      <c r="Y300" s="616"/>
      <c r="Z300" s="616"/>
      <c r="AA300" s="616"/>
      <c r="AB300" s="613"/>
      <c r="AC300" s="613"/>
      <c r="AD300" s="613"/>
      <c r="AE300" s="613"/>
      <c r="AF300" s="613"/>
      <c r="AG300" s="613"/>
      <c r="AH300" s="613"/>
      <c r="AI300" s="613"/>
      <c r="AJ300" s="613"/>
      <c r="AK300" s="613"/>
      <c r="AL300" s="613"/>
      <c r="AM300" s="613"/>
      <c r="AN300" s="613"/>
      <c r="AO300" s="613"/>
      <c r="AP300" s="613"/>
      <c r="AQ300" s="613"/>
      <c r="AR300" s="496"/>
      <c r="AS300" s="496"/>
      <c r="AT300" s="496"/>
      <c r="AU300" s="496"/>
      <c r="AV300" s="496"/>
      <c r="AW300" s="496"/>
      <c r="AX300" s="496"/>
      <c r="AY300" s="496"/>
      <c r="AZ300" s="496"/>
      <c r="BA300" s="496"/>
    </row>
    <row r="301" spans="2:57">
      <c r="B301" s="613"/>
      <c r="C301" s="613"/>
      <c r="D301" s="613"/>
      <c r="E301" s="613"/>
      <c r="F301" s="613"/>
      <c r="G301" s="613"/>
      <c r="H301" s="613"/>
      <c r="I301" s="643"/>
      <c r="J301" s="641"/>
      <c r="K301" s="641"/>
      <c r="L301" s="644"/>
      <c r="M301" s="613"/>
      <c r="N301" s="613"/>
      <c r="O301" s="641"/>
      <c r="P301" s="591"/>
      <c r="Q301" s="591"/>
      <c r="R301" s="591"/>
      <c r="S301" s="591"/>
      <c r="T301" s="645"/>
      <c r="U301" s="645"/>
      <c r="V301" s="645"/>
      <c r="W301" s="645"/>
      <c r="X301" s="645"/>
      <c r="Y301" s="645"/>
      <c r="Z301" s="645"/>
      <c r="AA301" s="645"/>
      <c r="AB301" s="645"/>
      <c r="AC301" s="591"/>
      <c r="AD301" s="591"/>
      <c r="AE301" s="591"/>
      <c r="AF301" s="591"/>
      <c r="AG301" s="591"/>
      <c r="AH301" s="591"/>
      <c r="AI301" s="591"/>
      <c r="AJ301" s="591"/>
      <c r="AK301" s="591"/>
      <c r="AL301" s="591"/>
      <c r="AM301" s="591"/>
      <c r="AN301" s="591"/>
      <c r="AO301" s="591"/>
      <c r="AP301" s="591"/>
      <c r="AQ301" s="591"/>
      <c r="AR301" s="591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</row>
    <row r="302" spans="2:57">
      <c r="B302" s="619" t="s">
        <v>561</v>
      </c>
      <c r="C302" s="619"/>
      <c r="D302" s="591"/>
      <c r="E302" s="591"/>
      <c r="F302" s="591"/>
      <c r="G302" s="591"/>
      <c r="H302" s="591"/>
      <c r="I302" s="591"/>
      <c r="J302" s="646"/>
      <c r="K302" s="646"/>
      <c r="L302" s="647"/>
      <c r="M302" s="591"/>
      <c r="N302" s="613"/>
      <c r="O302" s="646"/>
      <c r="P302" s="616"/>
      <c r="Q302" s="616"/>
      <c r="R302" s="616"/>
      <c r="S302" s="616"/>
      <c r="T302" s="616"/>
      <c r="U302" s="616"/>
      <c r="V302" s="616"/>
      <c r="W302" s="616"/>
      <c r="X302" s="616"/>
      <c r="Y302" s="616"/>
      <c r="Z302" s="616"/>
      <c r="AA302" s="616"/>
      <c r="AB302" s="613"/>
      <c r="AC302" s="613"/>
      <c r="AD302" s="613"/>
      <c r="AE302" s="613"/>
      <c r="AF302" s="613"/>
      <c r="AG302" s="613"/>
      <c r="AH302" s="613"/>
      <c r="AI302" s="613"/>
      <c r="AJ302" s="613"/>
      <c r="AK302" s="613"/>
      <c r="AL302" s="613"/>
      <c r="AM302" s="613"/>
      <c r="AN302" s="613"/>
      <c r="AO302" s="613"/>
      <c r="AP302" s="613"/>
      <c r="AQ302" s="613"/>
      <c r="AR302" s="613"/>
      <c r="AS302" s="613"/>
      <c r="AT302" s="613"/>
      <c r="AU302" s="613"/>
      <c r="AV302" s="39"/>
      <c r="AW302" s="39"/>
      <c r="AX302" s="39"/>
      <c r="AY302" s="39"/>
      <c r="AZ302" s="39"/>
      <c r="BA302" s="39"/>
      <c r="BB302" s="39"/>
      <c r="BC302" s="39"/>
      <c r="BD302" s="39"/>
      <c r="BE302" s="613"/>
    </row>
    <row r="303" spans="2:57">
      <c r="B303" s="422">
        <v>1</v>
      </c>
      <c r="C303" s="1249" t="s">
        <v>4385</v>
      </c>
      <c r="D303" s="1249"/>
      <c r="E303" s="1249"/>
      <c r="F303" s="1249"/>
      <c r="G303" s="1249"/>
      <c r="H303" s="1249"/>
      <c r="I303" s="1249"/>
      <c r="J303" s="1249"/>
      <c r="K303" s="1249"/>
      <c r="L303" s="644"/>
      <c r="M303" s="644"/>
      <c r="N303" s="613"/>
      <c r="O303" s="641"/>
      <c r="P303" s="616"/>
      <c r="Q303" s="616"/>
      <c r="R303" s="616"/>
      <c r="S303" s="616"/>
      <c r="T303" s="616"/>
      <c r="U303" s="616"/>
      <c r="V303" s="616"/>
      <c r="W303" s="616"/>
      <c r="X303" s="616"/>
      <c r="Y303" s="616"/>
      <c r="Z303" s="616"/>
      <c r="AA303" s="616"/>
      <c r="AB303" s="613"/>
      <c r="AC303" s="613"/>
      <c r="AD303" s="613"/>
      <c r="AE303" s="613"/>
      <c r="AF303" s="613"/>
      <c r="AG303" s="613"/>
      <c r="AH303" s="613"/>
      <c r="AI303" s="613"/>
      <c r="AJ303" s="613"/>
      <c r="AK303" s="613"/>
      <c r="AL303" s="613"/>
      <c r="AM303" s="613"/>
      <c r="AN303" s="613"/>
      <c r="AO303" s="613"/>
      <c r="AP303" s="613"/>
      <c r="AQ303" s="613"/>
      <c r="AR303" s="613"/>
      <c r="AS303" s="613"/>
      <c r="AT303" s="613"/>
      <c r="AU303" s="613"/>
      <c r="AV303" s="613"/>
      <c r="AW303" s="613"/>
      <c r="AX303" s="613"/>
      <c r="AY303" s="613"/>
      <c r="AZ303" s="613"/>
      <c r="BA303" s="613"/>
      <c r="BB303" s="613"/>
      <c r="BC303" s="613"/>
      <c r="BD303" s="613"/>
      <c r="BE303" s="613"/>
    </row>
    <row r="305" spans="2:57">
      <c r="B305" s="28" t="s">
        <v>126</v>
      </c>
      <c r="C305" s="28"/>
      <c r="D305" s="614"/>
      <c r="E305" s="30" t="s">
        <v>511</v>
      </c>
      <c r="F305" s="31" t="s">
        <v>3188</v>
      </c>
      <c r="G305" s="591"/>
      <c r="H305" s="33"/>
      <c r="I305" s="615"/>
      <c r="J305" s="35" t="s">
        <v>513</v>
      </c>
      <c r="K305" s="36" t="s">
        <v>511</v>
      </c>
      <c r="L305" s="516">
        <v>45276.083333333336</v>
      </c>
      <c r="M305" s="591"/>
      <c r="N305" s="591"/>
      <c r="O305" s="206"/>
      <c r="P305" s="205"/>
      <c r="Q305" s="616"/>
      <c r="R305" s="204"/>
      <c r="S305" s="617"/>
      <c r="T305" s="613"/>
      <c r="U305" s="613"/>
      <c r="V305" s="613"/>
      <c r="W305" s="613"/>
      <c r="X305" s="613"/>
      <c r="Y305" s="613"/>
      <c r="Z305" s="613"/>
      <c r="AA305" s="613"/>
      <c r="AB305" s="616"/>
      <c r="AC305" s="616"/>
      <c r="AD305" s="616"/>
      <c r="AE305" s="616"/>
      <c r="AF305" s="616"/>
      <c r="AG305" s="613"/>
      <c r="AH305" s="613"/>
      <c r="AI305" s="613"/>
      <c r="AJ305" s="613"/>
      <c r="AK305" s="613"/>
      <c r="AL305" s="613"/>
      <c r="AM305" s="613"/>
      <c r="AN305" s="613"/>
      <c r="AO305" s="613"/>
      <c r="AP305" s="613"/>
      <c r="AQ305" s="613"/>
      <c r="AR305" s="613"/>
      <c r="AS305" s="613"/>
      <c r="AT305" s="613"/>
      <c r="AU305" s="613"/>
      <c r="AV305" s="613"/>
      <c r="AW305" s="613"/>
      <c r="AX305" s="613"/>
      <c r="AY305" s="613"/>
      <c r="AZ305" s="613"/>
      <c r="BA305" s="613"/>
      <c r="BB305" s="613"/>
      <c r="BC305" s="613"/>
      <c r="BD305" s="613"/>
      <c r="BE305" s="613"/>
    </row>
    <row r="306" spans="2:57">
      <c r="B306" s="35" t="s">
        <v>514</v>
      </c>
      <c r="C306" s="35"/>
      <c r="D306" s="591"/>
      <c r="E306" s="36" t="s">
        <v>511</v>
      </c>
      <c r="F306" s="311" t="s">
        <v>4386</v>
      </c>
      <c r="G306" s="648" t="s">
        <v>647</v>
      </c>
      <c r="H306" s="33"/>
      <c r="I306" s="615"/>
      <c r="J306" s="35" t="s">
        <v>516</v>
      </c>
      <c r="K306" s="36" t="s">
        <v>511</v>
      </c>
      <c r="L306" s="516">
        <v>45280.25</v>
      </c>
      <c r="M306" s="591"/>
      <c r="N306" s="591"/>
      <c r="O306" s="206"/>
      <c r="P306" s="205"/>
      <c r="Q306" s="616"/>
      <c r="R306" s="204"/>
      <c r="S306" s="617"/>
      <c r="T306" s="613"/>
      <c r="U306" s="613"/>
      <c r="V306" s="613"/>
      <c r="W306" s="613"/>
      <c r="X306" s="613"/>
      <c r="Y306" s="613"/>
      <c r="Z306" s="613"/>
      <c r="AA306" s="613"/>
      <c r="AB306" s="616"/>
      <c r="AC306" s="616"/>
      <c r="AD306" s="616"/>
      <c r="AE306" s="616"/>
      <c r="AF306" s="616"/>
      <c r="AG306" s="613"/>
      <c r="AH306" s="613"/>
      <c r="AI306" s="613"/>
      <c r="AJ306" s="613"/>
      <c r="AK306" s="613"/>
      <c r="AL306" s="613"/>
      <c r="AM306" s="613"/>
      <c r="AN306" s="613"/>
      <c r="AO306" s="613"/>
      <c r="AP306" s="613"/>
      <c r="AQ306" s="613"/>
      <c r="AR306" s="613"/>
      <c r="AS306" s="613"/>
      <c r="AT306" s="613"/>
      <c r="AU306" s="613"/>
      <c r="AV306" s="613"/>
      <c r="AW306" s="613"/>
      <c r="AX306" s="613"/>
      <c r="AY306" s="613"/>
      <c r="AZ306" s="613"/>
      <c r="BA306" s="613"/>
      <c r="BB306" s="613"/>
      <c r="BC306" s="613"/>
      <c r="BD306" s="613"/>
      <c r="BE306" s="613"/>
    </row>
    <row r="307" spans="2:57">
      <c r="B307" s="35" t="s">
        <v>517</v>
      </c>
      <c r="C307" s="35"/>
      <c r="D307" s="591"/>
      <c r="E307" s="36" t="s">
        <v>511</v>
      </c>
      <c r="F307" s="516">
        <v>45274.604166666664</v>
      </c>
      <c r="G307" s="769">
        <v>45275</v>
      </c>
      <c r="H307" s="33"/>
      <c r="I307" s="615"/>
      <c r="J307" s="35" t="s">
        <v>518</v>
      </c>
      <c r="K307" s="36" t="s">
        <v>511</v>
      </c>
      <c r="L307" s="692">
        <v>73470</v>
      </c>
      <c r="M307" s="619" t="s">
        <v>519</v>
      </c>
      <c r="N307" s="619"/>
      <c r="O307" s="206"/>
      <c r="P307" s="205"/>
      <c r="Q307" s="616"/>
      <c r="R307" s="204"/>
      <c r="S307" s="617"/>
      <c r="T307" s="613"/>
      <c r="U307" s="613"/>
      <c r="V307" s="613"/>
      <c r="W307" s="613"/>
      <c r="X307" s="613"/>
      <c r="Y307" s="613"/>
      <c r="Z307" s="613"/>
      <c r="AA307" s="613"/>
      <c r="AB307" s="616"/>
      <c r="AC307" s="616"/>
      <c r="AD307" s="616"/>
      <c r="AE307" s="616"/>
      <c r="AF307" s="616"/>
      <c r="AG307" s="613"/>
      <c r="AH307" s="613"/>
      <c r="AI307" s="613"/>
      <c r="AJ307" s="613"/>
      <c r="AK307" s="613"/>
      <c r="AL307" s="613"/>
      <c r="AM307" s="613"/>
      <c r="AN307" s="613"/>
      <c r="AO307" s="613"/>
      <c r="AP307" s="613"/>
      <c r="AQ307" s="613"/>
      <c r="AR307" s="613"/>
      <c r="AS307" s="613"/>
      <c r="AT307" s="613"/>
      <c r="AU307" s="613"/>
      <c r="AV307" s="613"/>
      <c r="AW307" s="613"/>
      <c r="AX307" s="613"/>
      <c r="AY307" s="613"/>
      <c r="AZ307" s="613"/>
      <c r="BA307" s="613"/>
      <c r="BB307" s="613"/>
      <c r="BC307" s="613"/>
      <c r="BD307" s="613"/>
      <c r="BE307" s="613"/>
    </row>
    <row r="308" spans="2:57">
      <c r="B308" s="35" t="s">
        <v>520</v>
      </c>
      <c r="C308" s="35"/>
      <c r="D308" s="591"/>
      <c r="E308" s="36" t="s">
        <v>511</v>
      </c>
      <c r="F308" s="37" t="s">
        <v>12</v>
      </c>
      <c r="G308" s="591"/>
      <c r="H308" s="33"/>
      <c r="I308" s="615"/>
      <c r="J308" s="35" t="s">
        <v>521</v>
      </c>
      <c r="K308" s="36" t="s">
        <v>511</v>
      </c>
      <c r="L308" s="758" t="s">
        <v>3189</v>
      </c>
      <c r="M308" s="591"/>
      <c r="N308" s="591"/>
      <c r="O308" s="206"/>
      <c r="P308" s="616"/>
      <c r="Q308" s="616"/>
      <c r="R308" s="204"/>
      <c r="S308" s="617"/>
      <c r="T308" s="613"/>
      <c r="U308" s="613"/>
      <c r="V308" s="613"/>
      <c r="W308" s="613"/>
      <c r="X308" s="613"/>
      <c r="Y308" s="613"/>
      <c r="Z308" s="613"/>
      <c r="AA308" s="613"/>
      <c r="AB308" s="616"/>
      <c r="AC308" s="616"/>
      <c r="AD308" s="616"/>
      <c r="AE308" s="616"/>
      <c r="AF308" s="616"/>
      <c r="AG308" s="613"/>
      <c r="AH308" s="613"/>
      <c r="AI308" s="613"/>
      <c r="AJ308" s="613"/>
      <c r="AK308" s="613"/>
      <c r="AL308" s="613"/>
      <c r="AM308" s="613"/>
      <c r="AN308" s="613"/>
      <c r="AO308" s="613"/>
      <c r="AP308" s="613"/>
      <c r="AQ308" s="613"/>
      <c r="AR308" s="613"/>
      <c r="AS308" s="613"/>
      <c r="AT308" s="613"/>
      <c r="AU308" s="613"/>
      <c r="AV308" s="613"/>
      <c r="AW308" s="613"/>
      <c r="AX308" s="613"/>
      <c r="AY308" s="613"/>
      <c r="AZ308" s="613"/>
      <c r="BA308" s="613"/>
      <c r="BB308" s="613"/>
      <c r="BC308" s="613"/>
      <c r="BD308" s="613"/>
      <c r="BE308" s="613"/>
    </row>
    <row r="309" spans="2:57">
      <c r="B309" s="35" t="s">
        <v>523</v>
      </c>
      <c r="C309" s="35"/>
      <c r="D309" s="591"/>
      <c r="E309" s="36" t="s">
        <v>511</v>
      </c>
      <c r="F309" s="37" t="s">
        <v>37</v>
      </c>
      <c r="G309" s="591"/>
      <c r="H309" s="33"/>
      <c r="I309" s="615"/>
      <c r="J309" s="35" t="s">
        <v>524</v>
      </c>
      <c r="K309" s="36" t="s">
        <v>511</v>
      </c>
      <c r="L309" s="621" t="s">
        <v>15</v>
      </c>
      <c r="M309" s="611"/>
      <c r="N309" s="611"/>
      <c r="O309" s="206"/>
      <c r="P309" s="205"/>
      <c r="Q309" s="616"/>
      <c r="R309" s="204"/>
      <c r="S309" s="617"/>
      <c r="T309" s="613"/>
      <c r="U309" s="613"/>
      <c r="V309" s="613"/>
      <c r="W309" s="613"/>
      <c r="X309" s="613"/>
      <c r="Y309" s="613"/>
      <c r="Z309" s="613"/>
      <c r="AA309" s="613"/>
      <c r="AB309" s="616"/>
      <c r="AC309" s="616"/>
      <c r="AD309" s="616"/>
      <c r="AE309" s="616"/>
      <c r="AF309" s="616"/>
      <c r="AG309" s="613"/>
      <c r="AH309" s="613"/>
      <c r="AI309" s="613"/>
      <c r="AJ309" s="613"/>
      <c r="AK309" s="613"/>
      <c r="AL309" s="613"/>
      <c r="AM309" s="613"/>
      <c r="AN309" s="613"/>
      <c r="AO309" s="613"/>
      <c r="AP309" s="613"/>
      <c r="AQ309" s="613"/>
      <c r="AR309" s="613"/>
      <c r="AS309" s="613"/>
      <c r="AT309" s="613"/>
      <c r="AU309" s="613"/>
      <c r="AV309" s="613"/>
      <c r="AW309" s="613"/>
      <c r="AX309" s="613"/>
      <c r="AY309" s="613"/>
      <c r="AZ309" s="613"/>
      <c r="BA309" s="613"/>
      <c r="BB309" s="613"/>
      <c r="BC309" s="613"/>
      <c r="BD309" s="613"/>
      <c r="BE309" s="613"/>
    </row>
    <row r="310" spans="2:57">
      <c r="B310" s="35" t="s">
        <v>2</v>
      </c>
      <c r="C310" s="35"/>
      <c r="D310" s="591"/>
      <c r="E310" s="36" t="s">
        <v>511</v>
      </c>
      <c r="F310" s="37" t="s">
        <v>6</v>
      </c>
      <c r="G310" s="591"/>
      <c r="H310" s="33"/>
      <c r="I310" s="622"/>
      <c r="J310" s="35"/>
      <c r="K310" s="36"/>
      <c r="L310" s="211"/>
      <c r="M310" s="613"/>
      <c r="N310" s="613"/>
      <c r="O310" s="35"/>
      <c r="P310" s="611"/>
      <c r="Q310" s="611"/>
      <c r="R310" s="611"/>
      <c r="S310" s="615"/>
      <c r="T310" s="613"/>
      <c r="U310" s="613"/>
      <c r="V310" s="613"/>
      <c r="W310" s="613"/>
      <c r="X310" s="613"/>
      <c r="Y310" s="613"/>
      <c r="Z310" s="613"/>
      <c r="AA310" s="613"/>
      <c r="AB310" s="615"/>
      <c r="AC310" s="615"/>
      <c r="AD310" s="615"/>
      <c r="AE310" s="615"/>
      <c r="AF310" s="615"/>
      <c r="AG310" s="615"/>
      <c r="AH310" s="615"/>
      <c r="AI310" s="615"/>
      <c r="AJ310" s="615"/>
      <c r="AK310" s="615"/>
      <c r="AL310" s="615"/>
      <c r="AM310" s="615"/>
      <c r="AN310" s="615"/>
      <c r="AO310" s="613"/>
      <c r="AP310" s="613"/>
      <c r="AQ310" s="613"/>
      <c r="AR310" s="613"/>
      <c r="AS310" s="613"/>
      <c r="AT310" s="613"/>
      <c r="AU310" s="613"/>
      <c r="AV310" s="613"/>
      <c r="AW310" s="613"/>
      <c r="AX310" s="613"/>
      <c r="AY310" s="613"/>
      <c r="AZ310" s="613"/>
      <c r="BA310" s="613"/>
      <c r="BB310" s="613"/>
      <c r="BC310" s="613"/>
      <c r="BD310" s="613"/>
      <c r="BE310" s="613"/>
    </row>
    <row r="311" spans="2:57">
      <c r="B311" s="613"/>
      <c r="C311" s="613"/>
      <c r="D311" s="613"/>
      <c r="E311" s="613"/>
      <c r="F311" s="613"/>
      <c r="G311" s="613"/>
      <c r="H311" s="613"/>
      <c r="I311" s="622"/>
      <c r="J311" s="35"/>
      <c r="K311" s="35"/>
      <c r="L311" s="621"/>
      <c r="M311" s="611"/>
      <c r="N311" s="611"/>
      <c r="O311" s="35"/>
      <c r="P311" s="611"/>
      <c r="Q311" s="611"/>
      <c r="R311" s="611"/>
      <c r="S311" s="615"/>
      <c r="T311" s="1317" t="s">
        <v>87</v>
      </c>
      <c r="U311" s="1317"/>
      <c r="V311" s="1317"/>
      <c r="W311" s="1317"/>
      <c r="X311" s="1317"/>
      <c r="Y311" s="1317" t="s">
        <v>73</v>
      </c>
      <c r="Z311" s="1317"/>
      <c r="AA311" s="1317"/>
      <c r="AB311" s="1317" t="s">
        <v>74</v>
      </c>
      <c r="AC311" s="1317"/>
      <c r="AD311" s="623" t="s">
        <v>85</v>
      </c>
      <c r="AE311" s="854" t="s">
        <v>77</v>
      </c>
      <c r="AF311" s="1459" t="s">
        <v>525</v>
      </c>
      <c r="AG311" s="1459"/>
      <c r="AH311" s="1459"/>
      <c r="AI311" s="1459"/>
      <c r="AJ311" s="1459"/>
      <c r="AK311" s="1459"/>
      <c r="AL311" s="1459"/>
      <c r="AM311" s="1459"/>
      <c r="AN311" s="1459"/>
      <c r="AO311" s="1459"/>
      <c r="AP311" s="1459"/>
      <c r="AQ311" s="1459"/>
      <c r="AR311" s="1459"/>
      <c r="AS311" s="1459"/>
      <c r="AT311" s="1459"/>
      <c r="AU311" s="1459"/>
      <c r="AV311" s="1459"/>
      <c r="AW311" s="1459"/>
      <c r="AX311" s="1459"/>
      <c r="AY311" s="1459"/>
      <c r="AZ311" s="1459"/>
      <c r="BA311" s="1459"/>
      <c r="BB311" s="1459"/>
      <c r="BC311" s="1459"/>
      <c r="BD311" s="1459"/>
      <c r="BE311" s="613"/>
    </row>
    <row r="312" spans="2:57">
      <c r="B312" s="1318" t="s">
        <v>526</v>
      </c>
      <c r="C312" s="1319"/>
      <c r="D312" s="624" t="s">
        <v>527</v>
      </c>
      <c r="E312" s="624"/>
      <c r="F312" s="624" t="s">
        <v>528</v>
      </c>
      <c r="G312" s="624" t="s">
        <v>529</v>
      </c>
      <c r="H312" s="624" t="s">
        <v>530</v>
      </c>
      <c r="I312" s="624" t="s">
        <v>531</v>
      </c>
      <c r="J312" s="624" t="s">
        <v>532</v>
      </c>
      <c r="K312" s="624"/>
      <c r="L312" s="624" t="s">
        <v>130</v>
      </c>
      <c r="M312" s="624" t="s">
        <v>533</v>
      </c>
      <c r="N312" s="1040" t="str">
        <f>"On time - "&amp;COUNTIF(N313:N328,"On time")&amp;" from "&amp;ROWS(N313:N328)-COUNTIF(N313:N328," ")</f>
        <v>On time - 6 from 11</v>
      </c>
      <c r="O312" s="626"/>
      <c r="P312" s="627" t="s">
        <v>534</v>
      </c>
      <c r="Q312" s="627" t="s">
        <v>535</v>
      </c>
      <c r="R312" s="627" t="s">
        <v>536</v>
      </c>
      <c r="S312" s="591"/>
      <c r="T312" s="628" t="s">
        <v>537</v>
      </c>
      <c r="U312" s="628" t="s">
        <v>538</v>
      </c>
      <c r="V312" s="628" t="s">
        <v>539</v>
      </c>
      <c r="W312" s="628" t="s">
        <v>540</v>
      </c>
      <c r="X312" s="628" t="s">
        <v>541</v>
      </c>
      <c r="Y312" s="628" t="s">
        <v>167</v>
      </c>
      <c r="Z312" s="628" t="s">
        <v>168</v>
      </c>
      <c r="AA312" s="628" t="s">
        <v>169</v>
      </c>
      <c r="AB312" s="628" t="s">
        <v>235</v>
      </c>
      <c r="AC312" s="628" t="s">
        <v>240</v>
      </c>
      <c r="AD312" s="623" t="s">
        <v>85</v>
      </c>
      <c r="AE312" s="628" t="s">
        <v>139</v>
      </c>
      <c r="AF312" s="855" t="s">
        <v>72</v>
      </c>
      <c r="AG312" s="855" t="s">
        <v>88</v>
      </c>
      <c r="AH312" s="855" t="s">
        <v>75</v>
      </c>
      <c r="AI312" s="855" t="s">
        <v>543</v>
      </c>
      <c r="AJ312" s="855" t="s">
        <v>78</v>
      </c>
      <c r="AK312" s="855" t="s">
        <v>76</v>
      </c>
      <c r="AL312" s="855" t="s">
        <v>544</v>
      </c>
      <c r="AM312" s="855" t="s">
        <v>545</v>
      </c>
      <c r="AN312" s="855" t="s">
        <v>86</v>
      </c>
      <c r="AO312" s="855" t="s">
        <v>83</v>
      </c>
      <c r="AP312" s="855" t="s">
        <v>84</v>
      </c>
      <c r="AQ312" s="855" t="s">
        <v>546</v>
      </c>
      <c r="AR312" s="855" t="s">
        <v>81</v>
      </c>
      <c r="AS312" s="855" t="s">
        <v>80</v>
      </c>
      <c r="AT312" s="855" t="s">
        <v>82</v>
      </c>
      <c r="AU312" s="855" t="s">
        <v>181</v>
      </c>
      <c r="AV312" s="855" t="s">
        <v>183</v>
      </c>
      <c r="AW312" s="855" t="s">
        <v>547</v>
      </c>
      <c r="AX312" s="855" t="s">
        <v>182</v>
      </c>
      <c r="AY312" s="855" t="s">
        <v>172</v>
      </c>
      <c r="AZ312" s="855" t="s">
        <v>173</v>
      </c>
      <c r="BA312" s="855" t="s">
        <v>184</v>
      </c>
      <c r="BB312" s="855" t="s">
        <v>100</v>
      </c>
      <c r="BC312" s="855" t="s">
        <v>913</v>
      </c>
      <c r="BD312" s="855" t="s">
        <v>2747</v>
      </c>
      <c r="BE312" s="613"/>
    </row>
    <row r="313" spans="2:57">
      <c r="B313" s="1326" t="s">
        <v>2275</v>
      </c>
      <c r="C313" s="1327"/>
      <c r="D313" s="501" t="s">
        <v>3761</v>
      </c>
      <c r="E313" s="501"/>
      <c r="F313" s="501" t="s">
        <v>371</v>
      </c>
      <c r="G313" s="501" t="s">
        <v>372</v>
      </c>
      <c r="H313" s="629">
        <v>1197.9829999999999</v>
      </c>
      <c r="I313" s="584" t="s">
        <v>235</v>
      </c>
      <c r="J313" s="504">
        <v>45271.5</v>
      </c>
      <c r="K313" s="574"/>
      <c r="L313" s="574" t="s">
        <v>192</v>
      </c>
      <c r="M313" s="574" t="s">
        <v>192</v>
      </c>
      <c r="N313" s="505" t="str">
        <f>IF(ISBLANK(J313)," ",IF(J313&lt;$G$307,"On time",(IF(DAY(J313-$G$307)&lt;1,"On time",(IF(J313&gt;$G$307,"DELAY ( "&amp;DAY(J313-$G$307)&amp;" day "&amp;HOUR(J313-$G$307)&amp;" hour "&amp;MINUTE(J313-$G$307)&amp;" minute )","xxx"))))))</f>
        <v>On time</v>
      </c>
      <c r="O313" s="597"/>
      <c r="P313" s="507" t="s">
        <v>551</v>
      </c>
      <c r="Q313" s="507" t="s">
        <v>551</v>
      </c>
      <c r="R313" s="507" t="s">
        <v>551</v>
      </c>
      <c r="S313" s="598"/>
      <c r="T313" s="599"/>
      <c r="U313" s="599"/>
      <c r="V313" s="599"/>
      <c r="W313" s="599"/>
      <c r="X313" s="599"/>
      <c r="Y313" s="599"/>
      <c r="Z313" s="599"/>
      <c r="AA313" s="599"/>
      <c r="AB313" s="599">
        <f>H313</f>
        <v>1197.9829999999999</v>
      </c>
      <c r="AC313" s="599"/>
      <c r="AD313" s="599"/>
      <c r="AE313" s="599"/>
      <c r="AF313" s="599"/>
      <c r="AG313" s="599"/>
      <c r="AH313" s="599"/>
      <c r="AI313" s="599"/>
      <c r="AJ313" s="599"/>
      <c r="AK313" s="599"/>
      <c r="AL313" s="599"/>
      <c r="AM313" s="599"/>
      <c r="AN313" s="599"/>
      <c r="AO313" s="599"/>
      <c r="AP313" s="599"/>
      <c r="AQ313" s="599"/>
      <c r="AR313" s="599"/>
      <c r="AS313" s="599"/>
      <c r="AT313" s="599"/>
      <c r="AU313" s="599"/>
      <c r="AV313" s="599"/>
      <c r="AW313" s="599"/>
      <c r="AX313" s="599"/>
      <c r="AY313" s="599"/>
      <c r="AZ313" s="599"/>
      <c r="BA313" s="599"/>
      <c r="BB313" s="599"/>
      <c r="BC313" s="599"/>
      <c r="BD313" s="599"/>
      <c r="BE313" s="598"/>
    </row>
    <row r="314" spans="2:57">
      <c r="B314" s="1421"/>
      <c r="C314" s="1422"/>
      <c r="D314" s="501" t="s">
        <v>3906</v>
      </c>
      <c r="E314" s="502"/>
      <c r="F314" s="501" t="s">
        <v>422</v>
      </c>
      <c r="G314" s="501" t="s">
        <v>3342</v>
      </c>
      <c r="H314" s="629">
        <f>7573.115/2</f>
        <v>3786.5574999999999</v>
      </c>
      <c r="I314" s="584" t="s">
        <v>835</v>
      </c>
      <c r="J314" s="1361">
        <v>45271.5</v>
      </c>
      <c r="K314" s="574"/>
      <c r="L314" s="574" t="s">
        <v>192</v>
      </c>
      <c r="M314" s="574" t="s">
        <v>192</v>
      </c>
      <c r="N314" s="505" t="str">
        <f t="shared" ref="N314:N328" si="26">IF(ISBLANK(J314)," ",IF(J314&lt;$G$307,"On time",(IF(DAY(J314-$G$307)&lt;1,"On time",(IF(J314&gt;$G$307,"DELAY ( "&amp;DAY(J314-$G$307)&amp;" day "&amp;HOUR(J314-$G$307)&amp;" hour "&amp;MINUTE(J314-$G$307)&amp;" minute )","xxx"))))))</f>
        <v>On time</v>
      </c>
      <c r="O314" s="597"/>
      <c r="P314" s="507" t="s">
        <v>551</v>
      </c>
      <c r="Q314" s="507" t="s">
        <v>551</v>
      </c>
      <c r="R314" s="507" t="s">
        <v>551</v>
      </c>
      <c r="S314" s="598"/>
      <c r="T314" s="599"/>
      <c r="U314" s="599"/>
      <c r="V314" s="599"/>
      <c r="W314" s="599"/>
      <c r="X314" s="599"/>
      <c r="Y314" s="599"/>
      <c r="Z314" s="599">
        <f>H314</f>
        <v>3786.5574999999999</v>
      </c>
      <c r="AA314" s="599"/>
      <c r="AB314" s="599"/>
      <c r="AC314" s="599"/>
      <c r="AD314" s="599"/>
      <c r="AE314" s="599"/>
      <c r="AF314" s="599"/>
      <c r="AG314" s="599"/>
      <c r="AH314" s="599"/>
      <c r="AI314" s="599"/>
      <c r="AJ314" s="599"/>
      <c r="AK314" s="599"/>
      <c r="AL314" s="599"/>
      <c r="AM314" s="599"/>
      <c r="AN314" s="599"/>
      <c r="AO314" s="599"/>
      <c r="AP314" s="599"/>
      <c r="AQ314" s="599"/>
      <c r="AR314" s="599"/>
      <c r="AS314" s="599"/>
      <c r="AT314" s="599"/>
      <c r="AU314" s="599"/>
      <c r="AV314" s="599"/>
      <c r="AW314" s="599"/>
      <c r="AX314" s="599"/>
      <c r="AY314" s="599"/>
      <c r="AZ314" s="599"/>
      <c r="BA314" s="599"/>
      <c r="BB314" s="599"/>
      <c r="BC314" s="599"/>
      <c r="BD314" s="599"/>
      <c r="BE314" s="598"/>
    </row>
    <row r="315" spans="2:57">
      <c r="B315" s="1326" t="s">
        <v>644</v>
      </c>
      <c r="C315" s="1327"/>
      <c r="D315" s="501" t="s">
        <v>3906</v>
      </c>
      <c r="E315" s="502"/>
      <c r="F315" s="501" t="s">
        <v>422</v>
      </c>
      <c r="G315" s="501" t="s">
        <v>3342</v>
      </c>
      <c r="H315" s="629">
        <f>H314</f>
        <v>3786.5574999999999</v>
      </c>
      <c r="I315" s="584" t="s">
        <v>835</v>
      </c>
      <c r="J315" s="1362"/>
      <c r="K315" s="574"/>
      <c r="L315" s="574" t="s">
        <v>192</v>
      </c>
      <c r="M315" s="574" t="s">
        <v>192</v>
      </c>
      <c r="N315" s="505" t="str">
        <f t="shared" si="26"/>
        <v xml:space="preserve"> </v>
      </c>
      <c r="O315" s="597"/>
      <c r="P315" s="507" t="s">
        <v>551</v>
      </c>
      <c r="Q315" s="507" t="s">
        <v>551</v>
      </c>
      <c r="R315" s="507" t="s">
        <v>551</v>
      </c>
      <c r="S315" s="598"/>
      <c r="T315" s="599"/>
      <c r="U315" s="599"/>
      <c r="V315" s="599"/>
      <c r="W315" s="599"/>
      <c r="X315" s="599"/>
      <c r="Y315" s="599"/>
      <c r="Z315" s="599">
        <f>H315</f>
        <v>3786.5574999999999</v>
      </c>
      <c r="AA315" s="599"/>
      <c r="AB315" s="599"/>
      <c r="AC315" s="599"/>
      <c r="AD315" s="599"/>
      <c r="AE315" s="599"/>
      <c r="AF315" s="599"/>
      <c r="AG315" s="599"/>
      <c r="AH315" s="599"/>
      <c r="AI315" s="599"/>
      <c r="AJ315" s="599"/>
      <c r="AK315" s="599"/>
      <c r="AL315" s="599"/>
      <c r="AM315" s="599"/>
      <c r="AN315" s="599"/>
      <c r="AO315" s="599"/>
      <c r="AP315" s="599"/>
      <c r="AQ315" s="599"/>
      <c r="AR315" s="599"/>
      <c r="AS315" s="599"/>
      <c r="AT315" s="599"/>
      <c r="AU315" s="599"/>
      <c r="AV315" s="599"/>
      <c r="AW315" s="599"/>
      <c r="AX315" s="599"/>
      <c r="AY315" s="599"/>
      <c r="AZ315" s="599"/>
      <c r="BA315" s="599"/>
      <c r="BB315" s="599"/>
      <c r="BC315" s="599"/>
      <c r="BD315" s="599"/>
      <c r="BE315" s="598"/>
    </row>
    <row r="316" spans="2:57">
      <c r="B316" s="1421"/>
      <c r="C316" s="1422"/>
      <c r="D316" s="501" t="s">
        <v>3773</v>
      </c>
      <c r="E316" s="501"/>
      <c r="F316" s="501" t="s">
        <v>429</v>
      </c>
      <c r="G316" s="501" t="s">
        <v>430</v>
      </c>
      <c r="H316" s="629">
        <v>7555.1419999999998</v>
      </c>
      <c r="I316" s="584" t="s">
        <v>235</v>
      </c>
      <c r="J316" s="504">
        <v>45274.458333333336</v>
      </c>
      <c r="K316" s="574"/>
      <c r="L316" s="574" t="s">
        <v>192</v>
      </c>
      <c r="M316" s="574" t="s">
        <v>192</v>
      </c>
      <c r="N316" s="505" t="str">
        <f t="shared" si="26"/>
        <v>On time</v>
      </c>
      <c r="O316" s="597"/>
      <c r="P316" s="507" t="s">
        <v>551</v>
      </c>
      <c r="Q316" s="507" t="s">
        <v>551</v>
      </c>
      <c r="R316" s="507" t="s">
        <v>551</v>
      </c>
      <c r="S316" s="598"/>
      <c r="T316" s="599"/>
      <c r="U316" s="599"/>
      <c r="V316" s="599"/>
      <c r="W316" s="599"/>
      <c r="X316" s="599"/>
      <c r="Y316" s="599"/>
      <c r="Z316" s="599"/>
      <c r="AA316" s="599"/>
      <c r="AB316" s="599">
        <f>H316</f>
        <v>7555.1419999999998</v>
      </c>
      <c r="AC316" s="599"/>
      <c r="AD316" s="599"/>
      <c r="AE316" s="599"/>
      <c r="AF316" s="599"/>
      <c r="AG316" s="599"/>
      <c r="AH316" s="599"/>
      <c r="AI316" s="599"/>
      <c r="AJ316" s="599"/>
      <c r="AK316" s="599"/>
      <c r="AL316" s="599"/>
      <c r="AM316" s="599"/>
      <c r="AN316" s="599"/>
      <c r="AO316" s="599"/>
      <c r="AP316" s="599"/>
      <c r="AQ316" s="599"/>
      <c r="AR316" s="599"/>
      <c r="AS316" s="599"/>
      <c r="AT316" s="599"/>
      <c r="AU316" s="599"/>
      <c r="AV316" s="599"/>
      <c r="AW316" s="599"/>
      <c r="AX316" s="599"/>
      <c r="AY316" s="599"/>
      <c r="AZ316" s="599"/>
      <c r="BA316" s="599"/>
      <c r="BB316" s="599"/>
      <c r="BC316" s="599"/>
      <c r="BD316" s="599"/>
      <c r="BE316" s="598"/>
    </row>
    <row r="317" spans="2:57">
      <c r="B317" s="1315" t="s">
        <v>548</v>
      </c>
      <c r="C317" s="1316"/>
      <c r="D317" s="501" t="s">
        <v>3774</v>
      </c>
      <c r="E317" s="501"/>
      <c r="F317" s="501" t="s">
        <v>330</v>
      </c>
      <c r="G317" s="501" t="s">
        <v>331</v>
      </c>
      <c r="H317" s="629">
        <v>7400.3379999999997</v>
      </c>
      <c r="I317" s="584" t="s">
        <v>1472</v>
      </c>
      <c r="J317" s="504">
        <v>45274.756944444445</v>
      </c>
      <c r="K317" s="574"/>
      <c r="L317" s="574" t="s">
        <v>192</v>
      </c>
      <c r="M317" s="574" t="s">
        <v>192</v>
      </c>
      <c r="N317" s="505" t="str">
        <f t="shared" si="26"/>
        <v>On time</v>
      </c>
      <c r="O317" s="597"/>
      <c r="P317" s="507" t="s">
        <v>551</v>
      </c>
      <c r="Q317" s="507" t="s">
        <v>551</v>
      </c>
      <c r="R317" s="507" t="s">
        <v>551</v>
      </c>
      <c r="S317" s="598"/>
      <c r="T317" s="599"/>
      <c r="U317" s="599"/>
      <c r="V317" s="599"/>
      <c r="W317" s="599"/>
      <c r="X317" s="599"/>
      <c r="Y317" s="599"/>
      <c r="Z317" s="599"/>
      <c r="AA317" s="599"/>
      <c r="AB317" s="599">
        <f>H317*0.3</f>
        <v>2220.1014</v>
      </c>
      <c r="AC317" s="599">
        <f>H317*0.7</f>
        <v>5180.2365999999993</v>
      </c>
      <c r="AD317" s="599"/>
      <c r="AE317" s="599"/>
      <c r="AF317" s="599"/>
      <c r="AG317" s="599"/>
      <c r="AH317" s="599"/>
      <c r="AI317" s="599"/>
      <c r="AJ317" s="599"/>
      <c r="AK317" s="599"/>
      <c r="AL317" s="599"/>
      <c r="AM317" s="599"/>
      <c r="AN317" s="599"/>
      <c r="AO317" s="599"/>
      <c r="AP317" s="599"/>
      <c r="AQ317" s="599"/>
      <c r="AR317" s="599"/>
      <c r="AS317" s="599"/>
      <c r="AT317" s="599"/>
      <c r="AU317" s="599"/>
      <c r="AV317" s="599"/>
      <c r="AW317" s="599"/>
      <c r="AX317" s="599"/>
      <c r="AY317" s="599"/>
      <c r="AZ317" s="599"/>
      <c r="BA317" s="599"/>
      <c r="BB317" s="599"/>
      <c r="BC317" s="599"/>
      <c r="BD317" s="599"/>
      <c r="BE317" s="598"/>
    </row>
    <row r="318" spans="2:57">
      <c r="B318" s="1326" t="s">
        <v>884</v>
      </c>
      <c r="C318" s="1327"/>
      <c r="D318" s="501" t="s">
        <v>3775</v>
      </c>
      <c r="E318" s="501"/>
      <c r="F318" s="501" t="s">
        <v>218</v>
      </c>
      <c r="G318" s="501" t="s">
        <v>350</v>
      </c>
      <c r="H318" s="629">
        <v>7417.8919999999998</v>
      </c>
      <c r="I318" s="584" t="s">
        <v>1472</v>
      </c>
      <c r="J318" s="504">
        <v>45275.680555555555</v>
      </c>
      <c r="K318" s="504"/>
      <c r="L318" s="574" t="s">
        <v>192</v>
      </c>
      <c r="M318" s="574" t="s">
        <v>192</v>
      </c>
      <c r="N318" s="505" t="str">
        <f t="shared" si="26"/>
        <v>On time</v>
      </c>
      <c r="O318" s="597"/>
      <c r="P318" s="507" t="s">
        <v>551</v>
      </c>
      <c r="Q318" s="507" t="s">
        <v>551</v>
      </c>
      <c r="R318" s="507" t="s">
        <v>551</v>
      </c>
      <c r="S318" s="598"/>
      <c r="T318" s="599"/>
      <c r="U318" s="599"/>
      <c r="V318" s="599"/>
      <c r="W318" s="599"/>
      <c r="X318" s="599"/>
      <c r="Y318" s="599"/>
      <c r="Z318" s="599"/>
      <c r="AA318" s="599"/>
      <c r="AB318" s="599">
        <f>H318*0.3</f>
        <v>2225.3676</v>
      </c>
      <c r="AC318" s="599">
        <f>H318*0.7</f>
        <v>5192.5243999999993</v>
      </c>
      <c r="AD318" s="599"/>
      <c r="AE318" s="599"/>
      <c r="AF318" s="599"/>
      <c r="AG318" s="599"/>
      <c r="AH318" s="599"/>
      <c r="AI318" s="599"/>
      <c r="AJ318" s="599"/>
      <c r="AK318" s="598"/>
      <c r="AL318" s="599"/>
      <c r="AM318" s="599"/>
      <c r="AN318" s="599"/>
      <c r="AO318" s="599"/>
      <c r="AP318" s="599"/>
      <c r="AQ318" s="599"/>
      <c r="AR318" s="599"/>
      <c r="AS318" s="599"/>
      <c r="AT318" s="599"/>
      <c r="AU318" s="599"/>
      <c r="AV318" s="599"/>
      <c r="AW318" s="599"/>
      <c r="AX318" s="598"/>
      <c r="AY318" s="599"/>
      <c r="AZ318" s="599"/>
      <c r="BA318" s="599"/>
      <c r="BB318" s="599"/>
      <c r="BC318" s="599"/>
      <c r="BD318" s="599"/>
      <c r="BE318" s="598"/>
    </row>
    <row r="319" spans="2:57">
      <c r="B319" s="1328"/>
      <c r="C319" s="1329"/>
      <c r="D319" s="501" t="s">
        <v>3859</v>
      </c>
      <c r="E319" s="502"/>
      <c r="F319" s="501" t="s">
        <v>222</v>
      </c>
      <c r="G319" s="501" t="s">
        <v>223</v>
      </c>
      <c r="H319" s="629">
        <f>7590.216/2</f>
        <v>3795.1080000000002</v>
      </c>
      <c r="I319" s="584" t="s">
        <v>172</v>
      </c>
      <c r="J319" s="1361">
        <v>45276.638888888891</v>
      </c>
      <c r="K319" s="1050"/>
      <c r="L319" s="574" t="s">
        <v>192</v>
      </c>
      <c r="M319" s="574" t="s">
        <v>192</v>
      </c>
      <c r="N319" s="505" t="str">
        <f t="shared" si="26"/>
        <v>DELAY ( 1 day 15 hour 20 minute )</v>
      </c>
      <c r="O319" s="1052"/>
      <c r="P319" s="507" t="s">
        <v>551</v>
      </c>
      <c r="Q319" s="507" t="s">
        <v>551</v>
      </c>
      <c r="R319" s="507" t="s">
        <v>551</v>
      </c>
      <c r="S319" s="633"/>
      <c r="T319" s="861"/>
      <c r="U319" s="861"/>
      <c r="V319" s="861"/>
      <c r="W319" s="861"/>
      <c r="X319" s="861"/>
      <c r="Y319" s="861"/>
      <c r="Z319" s="861"/>
      <c r="AA319" s="861"/>
      <c r="AB319" s="860"/>
      <c r="AC319" s="860"/>
      <c r="AD319" s="861"/>
      <c r="AE319" s="861"/>
      <c r="AF319" s="861"/>
      <c r="AG319" s="861"/>
      <c r="AH319" s="861"/>
      <c r="AI319" s="861"/>
      <c r="AJ319" s="861"/>
      <c r="AK319" s="861"/>
      <c r="AL319" s="861"/>
      <c r="AM319" s="861"/>
      <c r="AN319" s="861"/>
      <c r="AO319" s="861"/>
      <c r="AP319" s="861"/>
      <c r="AQ319" s="861"/>
      <c r="AR319" s="861"/>
      <c r="AS319" s="861"/>
      <c r="AT319" s="861"/>
      <c r="AU319" s="861"/>
      <c r="AV319" s="861"/>
      <c r="AW319" s="861"/>
      <c r="AX319" s="861"/>
      <c r="AY319" s="860">
        <f>H319</f>
        <v>3795.1080000000002</v>
      </c>
      <c r="AZ319" s="633"/>
      <c r="BA319" s="861"/>
      <c r="BB319" s="861"/>
      <c r="BC319" s="861"/>
      <c r="BD319" s="861"/>
      <c r="BE319" s="633"/>
    </row>
    <row r="320" spans="2:57">
      <c r="B320" s="1326" t="s">
        <v>885</v>
      </c>
      <c r="C320" s="1327"/>
      <c r="D320" s="501" t="s">
        <v>3859</v>
      </c>
      <c r="E320" s="502"/>
      <c r="F320" s="501" t="s">
        <v>222</v>
      </c>
      <c r="G320" s="501" t="s">
        <v>223</v>
      </c>
      <c r="H320" s="629">
        <f>H319</f>
        <v>3795.1080000000002</v>
      </c>
      <c r="I320" s="584" t="s">
        <v>172</v>
      </c>
      <c r="J320" s="1362"/>
      <c r="K320" s="574"/>
      <c r="L320" s="574" t="s">
        <v>192</v>
      </c>
      <c r="M320" s="574" t="s">
        <v>192</v>
      </c>
      <c r="N320" s="505" t="str">
        <f t="shared" si="26"/>
        <v xml:space="preserve"> </v>
      </c>
      <c r="O320" s="597"/>
      <c r="P320" s="507" t="s">
        <v>551</v>
      </c>
      <c r="Q320" s="507" t="s">
        <v>551</v>
      </c>
      <c r="R320" s="507" t="s">
        <v>551</v>
      </c>
      <c r="S320" s="598"/>
      <c r="T320" s="599"/>
      <c r="U320" s="599"/>
      <c r="V320" s="599"/>
      <c r="W320" s="599"/>
      <c r="X320" s="599"/>
      <c r="Y320" s="599"/>
      <c r="Z320" s="599"/>
      <c r="AA320" s="599"/>
      <c r="AB320" s="599"/>
      <c r="AC320" s="599"/>
      <c r="AD320" s="599"/>
      <c r="AE320" s="599"/>
      <c r="AF320" s="599"/>
      <c r="AG320" s="599"/>
      <c r="AH320" s="599"/>
      <c r="AI320" s="599"/>
      <c r="AJ320" s="599"/>
      <c r="AK320" s="599"/>
      <c r="AL320" s="599"/>
      <c r="AM320" s="599"/>
      <c r="AN320" s="599"/>
      <c r="AO320" s="599"/>
      <c r="AP320" s="599"/>
      <c r="AQ320" s="599"/>
      <c r="AR320" s="599"/>
      <c r="AS320" s="599"/>
      <c r="AT320" s="599"/>
      <c r="AU320" s="599"/>
      <c r="AV320" s="599"/>
      <c r="AW320" s="599"/>
      <c r="AX320" s="599"/>
      <c r="AY320" s="599">
        <f>H320</f>
        <v>3795.1080000000002</v>
      </c>
      <c r="AZ320" s="598"/>
      <c r="BA320" s="599"/>
      <c r="BB320" s="599"/>
      <c r="BC320" s="599"/>
      <c r="BD320" s="599"/>
      <c r="BE320" s="598"/>
    </row>
    <row r="321" spans="2:57">
      <c r="B321" s="1328"/>
      <c r="C321" s="1329"/>
      <c r="D321" s="501" t="s">
        <v>3778</v>
      </c>
      <c r="E321" s="501"/>
      <c r="F321" s="501" t="s">
        <v>301</v>
      </c>
      <c r="G321" s="501" t="s">
        <v>302</v>
      </c>
      <c r="H321" s="629">
        <v>9154.4570000000003</v>
      </c>
      <c r="I321" s="584" t="s">
        <v>1472</v>
      </c>
      <c r="J321" s="504">
        <v>45275.668749999997</v>
      </c>
      <c r="K321" s="504"/>
      <c r="L321" s="574" t="s">
        <v>192</v>
      </c>
      <c r="M321" s="574" t="s">
        <v>192</v>
      </c>
      <c r="N321" s="505" t="str">
        <f t="shared" si="26"/>
        <v>On time</v>
      </c>
      <c r="O321" s="597"/>
      <c r="P321" s="507" t="s">
        <v>551</v>
      </c>
      <c r="Q321" s="507" t="s">
        <v>551</v>
      </c>
      <c r="R321" s="507" t="s">
        <v>551</v>
      </c>
      <c r="S321" s="598"/>
      <c r="T321" s="599"/>
      <c r="U321" s="599"/>
      <c r="V321" s="599"/>
      <c r="W321" s="599"/>
      <c r="X321" s="599"/>
      <c r="Y321" s="599"/>
      <c r="Z321" s="599"/>
      <c r="AA321" s="599"/>
      <c r="AB321" s="599">
        <f>H321*0.3</f>
        <v>2746.3371000000002</v>
      </c>
      <c r="AC321" s="599">
        <f>H321*0.7</f>
        <v>6408.1198999999997</v>
      </c>
      <c r="AD321" s="599"/>
      <c r="AE321" s="599"/>
      <c r="AF321" s="599"/>
      <c r="AG321" s="599"/>
      <c r="AH321" s="599"/>
      <c r="AI321" s="599"/>
      <c r="AJ321" s="599"/>
      <c r="AK321" s="598"/>
      <c r="AL321" s="599"/>
      <c r="AM321" s="599"/>
      <c r="AN321" s="599"/>
      <c r="AO321" s="599"/>
      <c r="AP321" s="599"/>
      <c r="AQ321" s="599"/>
      <c r="AR321" s="599"/>
      <c r="AS321" s="599"/>
      <c r="AT321" s="599"/>
      <c r="AU321" s="599"/>
      <c r="AV321" s="599"/>
      <c r="AW321" s="599"/>
      <c r="AX321" s="598"/>
      <c r="AY321" s="599"/>
      <c r="AZ321" s="599"/>
      <c r="BA321" s="599"/>
      <c r="BB321" s="599"/>
      <c r="BC321" s="599"/>
      <c r="BD321" s="599"/>
      <c r="BE321" s="598"/>
    </row>
    <row r="322" spans="2:57">
      <c r="B322" s="1326" t="s">
        <v>884</v>
      </c>
      <c r="C322" s="1327"/>
      <c r="D322" s="501" t="s">
        <v>3777</v>
      </c>
      <c r="E322" s="501"/>
      <c r="F322" s="501" t="s">
        <v>208</v>
      </c>
      <c r="G322" s="501" t="s">
        <v>328</v>
      </c>
      <c r="H322" s="629">
        <v>7514.7950000000001</v>
      </c>
      <c r="I322" s="584" t="s">
        <v>235</v>
      </c>
      <c r="J322" s="504">
        <v>45276.642361111109</v>
      </c>
      <c r="K322" s="574"/>
      <c r="L322" s="574" t="s">
        <v>192</v>
      </c>
      <c r="M322" s="574" t="s">
        <v>192</v>
      </c>
      <c r="N322" s="505" t="str">
        <f t="shared" si="26"/>
        <v>DELAY ( 1 day 15 hour 25 minute )</v>
      </c>
      <c r="O322" s="597"/>
      <c r="P322" s="507" t="s">
        <v>551</v>
      </c>
      <c r="Q322" s="507" t="s">
        <v>551</v>
      </c>
      <c r="R322" s="507" t="s">
        <v>551</v>
      </c>
      <c r="S322" s="598"/>
      <c r="T322" s="599"/>
      <c r="U322" s="599"/>
      <c r="V322" s="599"/>
      <c r="W322" s="599"/>
      <c r="X322" s="599"/>
      <c r="Y322" s="599"/>
      <c r="Z322" s="599"/>
      <c r="AA322" s="599"/>
      <c r="AB322" s="599">
        <f>H322</f>
        <v>7514.7950000000001</v>
      </c>
      <c r="AC322" s="599"/>
      <c r="AD322" s="599"/>
      <c r="AE322" s="599"/>
      <c r="AF322" s="599"/>
      <c r="AG322" s="599"/>
      <c r="AH322" s="599"/>
      <c r="AI322" s="599"/>
      <c r="AJ322" s="599"/>
      <c r="AK322" s="599"/>
      <c r="AL322" s="599"/>
      <c r="AM322" s="599"/>
      <c r="AN322" s="599"/>
      <c r="AO322" s="599"/>
      <c r="AP322" s="599"/>
      <c r="AQ322" s="599"/>
      <c r="AR322" s="599"/>
      <c r="AS322" s="599"/>
      <c r="AT322" s="599"/>
      <c r="AU322" s="599"/>
      <c r="AV322" s="599"/>
      <c r="AW322" s="599"/>
      <c r="AX322" s="599"/>
      <c r="AY322" s="599"/>
      <c r="AZ322" s="599"/>
      <c r="BA322" s="599"/>
      <c r="BB322" s="599"/>
      <c r="BC322" s="599"/>
      <c r="BD322" s="599"/>
      <c r="BE322" s="598"/>
    </row>
    <row r="323" spans="2:57">
      <c r="B323" s="1328"/>
      <c r="C323" s="1329"/>
      <c r="D323" s="501" t="s">
        <v>3860</v>
      </c>
      <c r="E323" s="502"/>
      <c r="F323" s="501" t="s">
        <v>492</v>
      </c>
      <c r="G323" s="501" t="s">
        <v>493</v>
      </c>
      <c r="H323" s="629">
        <f>7575.917/2</f>
        <v>3787.9585000000002</v>
      </c>
      <c r="I323" s="584" t="s">
        <v>172</v>
      </c>
      <c r="J323" s="1361">
        <v>45279.416666666664</v>
      </c>
      <c r="K323" s="574"/>
      <c r="L323" s="574" t="s">
        <v>192</v>
      </c>
      <c r="M323" s="574" t="s">
        <v>192</v>
      </c>
      <c r="N323" s="505" t="str">
        <f t="shared" si="26"/>
        <v>DELAY ( 4 day 10 hour 0 minute )</v>
      </c>
      <c r="O323" s="597"/>
      <c r="P323" s="507" t="s">
        <v>551</v>
      </c>
      <c r="Q323" s="507" t="s">
        <v>551</v>
      </c>
      <c r="R323" s="507" t="s">
        <v>551</v>
      </c>
      <c r="S323" s="598"/>
      <c r="T323" s="599"/>
      <c r="U323" s="599"/>
      <c r="V323" s="599"/>
      <c r="W323" s="599"/>
      <c r="X323" s="599"/>
      <c r="Y323" s="599"/>
      <c r="Z323" s="599"/>
      <c r="AA323" s="599"/>
      <c r="AB323" s="599"/>
      <c r="AC323" s="599"/>
      <c r="AD323" s="599"/>
      <c r="AE323" s="599"/>
      <c r="AF323" s="599"/>
      <c r="AG323" s="599"/>
      <c r="AH323" s="599"/>
      <c r="AI323" s="599"/>
      <c r="AJ323" s="599"/>
      <c r="AK323" s="599"/>
      <c r="AL323" s="599"/>
      <c r="AM323" s="599"/>
      <c r="AN323" s="599"/>
      <c r="AO323" s="599"/>
      <c r="AP323" s="599"/>
      <c r="AQ323" s="599"/>
      <c r="AR323" s="599"/>
      <c r="AS323" s="599"/>
      <c r="AT323" s="599"/>
      <c r="AU323" s="599"/>
      <c r="AV323" s="599"/>
      <c r="AW323" s="599"/>
      <c r="AX323" s="599"/>
      <c r="AY323" s="599">
        <f>H323</f>
        <v>3787.9585000000002</v>
      </c>
      <c r="AZ323" s="599"/>
      <c r="BA323" s="599"/>
      <c r="BB323" s="599"/>
      <c r="BC323" s="599"/>
      <c r="BD323" s="599"/>
      <c r="BE323" s="598"/>
    </row>
    <row r="324" spans="2:57">
      <c r="B324" s="1326" t="s">
        <v>656</v>
      </c>
      <c r="C324" s="1327"/>
      <c r="D324" s="501" t="s">
        <v>3860</v>
      </c>
      <c r="E324" s="502"/>
      <c r="F324" s="501" t="s">
        <v>492</v>
      </c>
      <c r="G324" s="501" t="s">
        <v>493</v>
      </c>
      <c r="H324" s="629">
        <f>H323</f>
        <v>3787.9585000000002</v>
      </c>
      <c r="I324" s="584" t="s">
        <v>172</v>
      </c>
      <c r="J324" s="1362"/>
      <c r="K324" s="574"/>
      <c r="L324" s="574" t="s">
        <v>192</v>
      </c>
      <c r="M324" s="574" t="s">
        <v>192</v>
      </c>
      <c r="N324" s="505" t="str">
        <f t="shared" si="26"/>
        <v xml:space="preserve"> </v>
      </c>
      <c r="O324" s="597"/>
      <c r="P324" s="507" t="s">
        <v>551</v>
      </c>
      <c r="Q324" s="507" t="s">
        <v>551</v>
      </c>
      <c r="R324" s="507" t="s">
        <v>551</v>
      </c>
      <c r="S324" s="598"/>
      <c r="T324" s="599"/>
      <c r="U324" s="599"/>
      <c r="V324" s="599"/>
      <c r="W324" s="599"/>
      <c r="X324" s="599"/>
      <c r="Y324" s="599"/>
      <c r="Z324" s="598"/>
      <c r="AA324" s="599"/>
      <c r="AB324" s="599"/>
      <c r="AC324" s="599"/>
      <c r="AD324" s="599"/>
      <c r="AE324" s="599"/>
      <c r="AF324" s="599"/>
      <c r="AG324" s="599"/>
      <c r="AH324" s="599"/>
      <c r="AI324" s="599"/>
      <c r="AJ324" s="599"/>
      <c r="AK324" s="599"/>
      <c r="AL324" s="599"/>
      <c r="AM324" s="599"/>
      <c r="AN324" s="599"/>
      <c r="AO324" s="599"/>
      <c r="AP324" s="599"/>
      <c r="AQ324" s="599"/>
      <c r="AR324" s="599"/>
      <c r="AS324" s="599"/>
      <c r="AT324" s="599"/>
      <c r="AU324" s="599"/>
      <c r="AV324" s="599"/>
      <c r="AW324" s="599"/>
      <c r="AX324" s="599"/>
      <c r="AY324" s="599">
        <f>H324</f>
        <v>3787.9585000000002</v>
      </c>
      <c r="AZ324" s="599"/>
      <c r="BA324" s="599"/>
      <c r="BB324" s="599"/>
      <c r="BC324" s="599"/>
      <c r="BD324" s="599"/>
      <c r="BE324" s="598"/>
    </row>
    <row r="325" spans="2:57">
      <c r="B325" s="1328"/>
      <c r="C325" s="1329"/>
      <c r="D325" s="501" t="s">
        <v>3776</v>
      </c>
      <c r="E325" s="501"/>
      <c r="F325" s="501" t="s">
        <v>3403</v>
      </c>
      <c r="G325" s="501" t="s">
        <v>255</v>
      </c>
      <c r="H325" s="629">
        <v>7315.2560000000003</v>
      </c>
      <c r="I325" s="584" t="s">
        <v>235</v>
      </c>
      <c r="J325" s="504">
        <v>45276.875</v>
      </c>
      <c r="K325" s="574"/>
      <c r="L325" s="574" t="s">
        <v>192</v>
      </c>
      <c r="M325" s="574" t="s">
        <v>192</v>
      </c>
      <c r="N325" s="505" t="str">
        <f t="shared" si="26"/>
        <v>DELAY ( 1 day 21 hour 0 minute )</v>
      </c>
      <c r="O325" s="597"/>
      <c r="P325" s="507" t="s">
        <v>551</v>
      </c>
      <c r="Q325" s="507" t="s">
        <v>551</v>
      </c>
      <c r="R325" s="507" t="s">
        <v>551</v>
      </c>
      <c r="S325" s="598"/>
      <c r="T325" s="599"/>
      <c r="U325" s="599"/>
      <c r="V325" s="599"/>
      <c r="W325" s="599"/>
      <c r="X325" s="599"/>
      <c r="Y325" s="599"/>
      <c r="Z325" s="599"/>
      <c r="AA325" s="599"/>
      <c r="AB325" s="599">
        <f>H325</f>
        <v>7315.2560000000003</v>
      </c>
      <c r="AC325" s="599"/>
      <c r="AD325" s="599"/>
      <c r="AE325" s="599"/>
      <c r="AF325" s="599"/>
      <c r="AG325" s="599"/>
      <c r="AH325" s="599"/>
      <c r="AI325" s="599"/>
      <c r="AJ325" s="599"/>
      <c r="AK325" s="599"/>
      <c r="AL325" s="599"/>
      <c r="AM325" s="599"/>
      <c r="AN325" s="599"/>
      <c r="AO325" s="599"/>
      <c r="AP325" s="599"/>
      <c r="AQ325" s="599"/>
      <c r="AR325" s="599"/>
      <c r="AS325" s="599"/>
      <c r="AT325" s="599"/>
      <c r="AU325" s="599"/>
      <c r="AV325" s="599"/>
      <c r="AW325" s="599"/>
      <c r="AX325" s="599"/>
      <c r="AY325" s="599"/>
      <c r="AZ325" s="599"/>
      <c r="BA325" s="599"/>
      <c r="BB325" s="599"/>
      <c r="BC325" s="599"/>
      <c r="BD325" s="599"/>
      <c r="BE325" s="598"/>
    </row>
    <row r="326" spans="2:57">
      <c r="B326" s="1315" t="s">
        <v>548</v>
      </c>
      <c r="C326" s="1316"/>
      <c r="D326" s="501" t="s">
        <v>3779</v>
      </c>
      <c r="E326" s="501"/>
      <c r="F326" s="501" t="s">
        <v>2277</v>
      </c>
      <c r="G326" s="501" t="s">
        <v>2278</v>
      </c>
      <c r="H326" s="629">
        <f>7507.994-4333.105</f>
        <v>3174.8890000000001</v>
      </c>
      <c r="I326" s="584" t="s">
        <v>1472</v>
      </c>
      <c r="J326" s="504">
        <v>45276.75</v>
      </c>
      <c r="K326" s="574"/>
      <c r="L326" s="574" t="s">
        <v>192</v>
      </c>
      <c r="M326" s="574" t="s">
        <v>192</v>
      </c>
      <c r="N326" s="505" t="str">
        <f t="shared" si="26"/>
        <v>DELAY ( 1 day 18 hour 0 minute )</v>
      </c>
      <c r="O326" s="597"/>
      <c r="P326" s="507" t="s">
        <v>551</v>
      </c>
      <c r="Q326" s="507" t="s">
        <v>551</v>
      </c>
      <c r="R326" s="507" t="s">
        <v>551</v>
      </c>
      <c r="S326" s="598"/>
      <c r="T326" s="599"/>
      <c r="U326" s="599"/>
      <c r="V326" s="599"/>
      <c r="W326" s="599"/>
      <c r="X326" s="599"/>
      <c r="Y326" s="599"/>
      <c r="Z326" s="599"/>
      <c r="AA326" s="599"/>
      <c r="AB326" s="599">
        <f>H326*0.3</f>
        <v>952.46669999999995</v>
      </c>
      <c r="AC326" s="599">
        <f>H326*0.7</f>
        <v>2222.4222999999997</v>
      </c>
      <c r="AD326" s="599"/>
      <c r="AE326" s="599"/>
      <c r="AF326" s="599"/>
      <c r="AG326" s="599"/>
      <c r="AH326" s="599"/>
      <c r="AI326" s="599"/>
      <c r="AJ326" s="599"/>
      <c r="AK326" s="599"/>
      <c r="AL326" s="599"/>
      <c r="AM326" s="599"/>
      <c r="AN326" s="599"/>
      <c r="AO326" s="599"/>
      <c r="AP326" s="599"/>
      <c r="AQ326" s="599"/>
      <c r="AR326" s="599"/>
      <c r="AS326" s="599"/>
      <c r="AT326" s="599"/>
      <c r="AU326" s="599"/>
      <c r="AV326" s="599"/>
      <c r="AW326" s="599"/>
      <c r="AX326" s="599"/>
      <c r="AY326" s="599"/>
      <c r="AZ326" s="599"/>
      <c r="BA326" s="599"/>
      <c r="BB326" s="599"/>
      <c r="BC326" s="599"/>
      <c r="BD326" s="599"/>
      <c r="BE326" s="598"/>
    </row>
    <row r="327" spans="2:57">
      <c r="B327" s="1258" t="s">
        <v>556</v>
      </c>
      <c r="C327" s="1259"/>
      <c r="D327" s="1259"/>
      <c r="E327" s="1259"/>
      <c r="F327" s="1259"/>
      <c r="G327" s="1260"/>
      <c r="H327" s="863">
        <f>SUM(H313:H326)</f>
        <v>73470</v>
      </c>
      <c r="I327" s="1458"/>
      <c r="J327" s="1458"/>
      <c r="K327" s="1458"/>
      <c r="L327" s="1458"/>
      <c r="M327" s="1458"/>
      <c r="N327" s="505" t="str">
        <f t="shared" si="26"/>
        <v xml:space="preserve"> </v>
      </c>
      <c r="O327" s="212"/>
      <c r="P327" s="590"/>
      <c r="Q327" s="590"/>
      <c r="R327" s="590"/>
      <c r="S327" s="633"/>
      <c r="T327" s="1307"/>
      <c r="U327" s="1308"/>
      <c r="V327" s="1308"/>
      <c r="W327" s="1308"/>
      <c r="X327" s="1308"/>
      <c r="Y327" s="1308"/>
      <c r="Z327" s="1308"/>
      <c r="AA327" s="1308"/>
      <c r="AB327" s="1308"/>
      <c r="AC327" s="1308"/>
      <c r="AD327" s="1308"/>
      <c r="AE327" s="1308"/>
      <c r="AF327" s="1308"/>
      <c r="AG327" s="1308"/>
      <c r="AH327" s="1308"/>
      <c r="AI327" s="1308"/>
      <c r="AJ327" s="1308"/>
      <c r="AK327" s="1308"/>
      <c r="AL327" s="1308"/>
      <c r="AM327" s="1308"/>
      <c r="AN327" s="1308"/>
      <c r="AO327" s="1308"/>
      <c r="AP327" s="1308"/>
      <c r="AQ327" s="1308"/>
      <c r="AR327" s="1308"/>
      <c r="AS327" s="1308"/>
      <c r="AT327" s="1308"/>
      <c r="AU327" s="1308"/>
      <c r="AV327" s="1308"/>
      <c r="AW327" s="1308"/>
      <c r="AX327" s="1308"/>
      <c r="AY327" s="1308"/>
      <c r="AZ327" s="1308"/>
      <c r="BA327" s="1308"/>
      <c r="BB327" s="1308"/>
      <c r="BC327" s="1308"/>
      <c r="BD327" s="1308"/>
      <c r="BE327" s="39"/>
    </row>
    <row r="328" spans="2:57">
      <c r="B328" s="1415" t="s">
        <v>557</v>
      </c>
      <c r="C328" s="1416"/>
      <c r="D328" s="1416"/>
      <c r="E328" s="1416"/>
      <c r="F328" s="1416"/>
      <c r="G328" s="1417"/>
      <c r="H328" s="845">
        <v>73470</v>
      </c>
      <c r="I328" s="1455"/>
      <c r="J328" s="1455"/>
      <c r="K328" s="1455"/>
      <c r="L328" s="1455"/>
      <c r="M328" s="1455"/>
      <c r="N328" s="505" t="str">
        <f t="shared" si="26"/>
        <v xml:space="preserve"> </v>
      </c>
      <c r="O328" s="591"/>
      <c r="P328" s="415"/>
      <c r="Q328" s="415"/>
      <c r="R328" s="415"/>
      <c r="S328" s="740"/>
      <c r="T328" s="592">
        <f t="shared" ref="T328:BD328" si="27">SUM(T313:T326)</f>
        <v>0</v>
      </c>
      <c r="U328" s="592">
        <f t="shared" si="27"/>
        <v>0</v>
      </c>
      <c r="V328" s="592">
        <f t="shared" si="27"/>
        <v>0</v>
      </c>
      <c r="W328" s="592">
        <f t="shared" si="27"/>
        <v>0</v>
      </c>
      <c r="X328" s="592">
        <f t="shared" si="27"/>
        <v>0</v>
      </c>
      <c r="Y328" s="592">
        <f t="shared" si="27"/>
        <v>0</v>
      </c>
      <c r="Z328" s="592">
        <f t="shared" si="27"/>
        <v>7573.1149999999998</v>
      </c>
      <c r="AA328" s="592">
        <f t="shared" si="27"/>
        <v>0</v>
      </c>
      <c r="AB328" s="592">
        <f t="shared" si="27"/>
        <v>31727.448800000002</v>
      </c>
      <c r="AC328" s="592">
        <f t="shared" si="27"/>
        <v>19003.303199999995</v>
      </c>
      <c r="AD328" s="592">
        <f t="shared" si="27"/>
        <v>0</v>
      </c>
      <c r="AE328" s="592">
        <f t="shared" si="27"/>
        <v>0</v>
      </c>
      <c r="AF328" s="592">
        <f t="shared" si="27"/>
        <v>0</v>
      </c>
      <c r="AG328" s="592">
        <f t="shared" si="27"/>
        <v>0</v>
      </c>
      <c r="AH328" s="592">
        <f t="shared" si="27"/>
        <v>0</v>
      </c>
      <c r="AI328" s="592">
        <f t="shared" si="27"/>
        <v>0</v>
      </c>
      <c r="AJ328" s="592">
        <f t="shared" si="27"/>
        <v>0</v>
      </c>
      <c r="AK328" s="592">
        <f t="shared" si="27"/>
        <v>0</v>
      </c>
      <c r="AL328" s="592">
        <f t="shared" si="27"/>
        <v>0</v>
      </c>
      <c r="AM328" s="592">
        <f t="shared" si="27"/>
        <v>0</v>
      </c>
      <c r="AN328" s="592">
        <f t="shared" si="27"/>
        <v>0</v>
      </c>
      <c r="AO328" s="592">
        <f t="shared" si="27"/>
        <v>0</v>
      </c>
      <c r="AP328" s="592">
        <f t="shared" si="27"/>
        <v>0</v>
      </c>
      <c r="AQ328" s="592">
        <f t="shared" si="27"/>
        <v>0</v>
      </c>
      <c r="AR328" s="592">
        <f t="shared" si="27"/>
        <v>0</v>
      </c>
      <c r="AS328" s="592">
        <f t="shared" si="27"/>
        <v>0</v>
      </c>
      <c r="AT328" s="592">
        <f t="shared" si="27"/>
        <v>0</v>
      </c>
      <c r="AU328" s="592">
        <f t="shared" si="27"/>
        <v>0</v>
      </c>
      <c r="AV328" s="592">
        <f t="shared" si="27"/>
        <v>0</v>
      </c>
      <c r="AW328" s="592">
        <f t="shared" si="27"/>
        <v>0</v>
      </c>
      <c r="AX328" s="592">
        <f t="shared" si="27"/>
        <v>0</v>
      </c>
      <c r="AY328" s="592">
        <f t="shared" si="27"/>
        <v>15166.133000000002</v>
      </c>
      <c r="AZ328" s="592">
        <f t="shared" si="27"/>
        <v>0</v>
      </c>
      <c r="BA328" s="592">
        <f t="shared" si="27"/>
        <v>0</v>
      </c>
      <c r="BB328" s="592">
        <f t="shared" si="27"/>
        <v>0</v>
      </c>
      <c r="BC328" s="592">
        <f t="shared" si="27"/>
        <v>0</v>
      </c>
      <c r="BD328" s="592">
        <f t="shared" si="27"/>
        <v>0</v>
      </c>
      <c r="BE328" s="592">
        <f>SUM(T328:BD328)</f>
        <v>73470</v>
      </c>
    </row>
    <row r="329" spans="2:57">
      <c r="B329" s="1415" t="s">
        <v>558</v>
      </c>
      <c r="C329" s="1416"/>
      <c r="D329" s="1416"/>
      <c r="E329" s="1416"/>
      <c r="F329" s="1416"/>
      <c r="G329" s="1417"/>
      <c r="H329" s="712">
        <f>H328-L307</f>
        <v>0</v>
      </c>
      <c r="I329" s="745"/>
      <c r="J329" s="746"/>
      <c r="K329" s="746"/>
      <c r="L329" s="674"/>
      <c r="M329" s="633"/>
      <c r="N329" s="591"/>
      <c r="O329" s="591"/>
      <c r="P329" s="591"/>
      <c r="Q329" s="744"/>
      <c r="R329" s="744"/>
      <c r="S329" s="591"/>
      <c r="T329" s="645"/>
      <c r="U329" s="645"/>
      <c r="V329" s="645"/>
      <c r="W329" s="645"/>
      <c r="X329" s="645"/>
      <c r="Y329" s="645"/>
      <c r="Z329" s="645"/>
      <c r="AA329" s="645"/>
      <c r="AB329" s="645"/>
      <c r="AC329" s="591"/>
      <c r="AD329" s="591"/>
      <c r="AE329" s="591"/>
      <c r="AF329" s="591"/>
      <c r="AG329" s="591"/>
      <c r="AH329" s="591"/>
      <c r="AI329" s="591"/>
      <c r="AJ329" s="591"/>
      <c r="AK329" s="591"/>
      <c r="AL329" s="591"/>
      <c r="AM329" s="591"/>
      <c r="AN329" s="591"/>
      <c r="AO329" s="591"/>
      <c r="AP329" s="591"/>
      <c r="AQ329" s="591"/>
      <c r="AR329" s="591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</row>
    <row r="330" spans="2:57">
      <c r="B330" s="1415" t="s">
        <v>559</v>
      </c>
      <c r="C330" s="1416"/>
      <c r="D330" s="1416"/>
      <c r="E330" s="1416"/>
      <c r="F330" s="1416"/>
      <c r="G330" s="1417"/>
      <c r="H330" s="747">
        <v>4138.1350000000002</v>
      </c>
      <c r="I330" s="745"/>
      <c r="J330" s="746"/>
      <c r="K330" s="746"/>
      <c r="L330" s="674"/>
      <c r="M330" s="633"/>
      <c r="N330" s="613"/>
      <c r="O330" s="591"/>
      <c r="P330" s="591"/>
      <c r="Q330" s="591"/>
      <c r="R330" s="591"/>
      <c r="S330" s="591"/>
      <c r="T330" s="645"/>
      <c r="U330" s="645"/>
      <c r="V330" s="645"/>
      <c r="W330" s="645"/>
      <c r="X330" s="645"/>
      <c r="Y330" s="645"/>
      <c r="Z330" s="645"/>
      <c r="AA330" s="645"/>
      <c r="AB330" s="645"/>
      <c r="AC330" s="591"/>
      <c r="AD330" s="591"/>
      <c r="AE330" s="591"/>
      <c r="AF330" s="591"/>
      <c r="AG330" s="591"/>
      <c r="AH330" s="591"/>
      <c r="AI330" s="591"/>
      <c r="AJ330" s="591"/>
      <c r="AK330" s="591"/>
      <c r="AL330" s="591"/>
      <c r="AM330" s="591"/>
      <c r="AN330" s="591"/>
      <c r="AO330" s="591"/>
      <c r="AP330" s="591"/>
      <c r="AQ330" s="591"/>
      <c r="AR330" s="591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</row>
    <row r="331" spans="2:57" s="39" customFormat="1" ht="12.75" customHeight="1">
      <c r="B331" s="1415" t="s">
        <v>560</v>
      </c>
      <c r="C331" s="1416"/>
      <c r="D331" s="1416"/>
      <c r="E331" s="1416"/>
      <c r="F331" s="1416"/>
      <c r="G331" s="1417"/>
      <c r="H331" s="741">
        <f>H330-4333.105</f>
        <v>-194.96999999999935</v>
      </c>
      <c r="I331" s="641"/>
      <c r="J331" s="642"/>
      <c r="K331" s="642"/>
      <c r="L331" s="499"/>
      <c r="M331" s="613"/>
      <c r="N331" s="613"/>
      <c r="O331" s="613"/>
      <c r="P331" s="613"/>
      <c r="Q331" s="613"/>
      <c r="R331" s="613"/>
      <c r="S331" s="616"/>
      <c r="T331" s="616"/>
      <c r="U331" s="616"/>
      <c r="V331" s="616"/>
      <c r="W331" s="616"/>
      <c r="X331" s="616"/>
      <c r="Y331" s="616"/>
      <c r="Z331" s="616"/>
      <c r="AA331" s="616"/>
      <c r="AB331" s="613"/>
      <c r="AC331" s="613"/>
      <c r="AD331" s="613"/>
      <c r="AE331" s="613"/>
      <c r="AF331" s="613"/>
      <c r="AG331" s="613"/>
      <c r="AH331" s="613"/>
      <c r="AI331" s="613"/>
      <c r="AJ331" s="613"/>
      <c r="AK331" s="613"/>
      <c r="AL331" s="613"/>
      <c r="AM331" s="613"/>
      <c r="AN331" s="613"/>
      <c r="AO331" s="613"/>
      <c r="AP331" s="613"/>
      <c r="AQ331" s="613"/>
      <c r="AR331" s="496"/>
      <c r="AS331" s="496"/>
      <c r="AT331" s="496"/>
      <c r="AU331" s="496"/>
      <c r="AV331" s="496"/>
      <c r="AW331" s="496"/>
      <c r="AX331" s="496"/>
      <c r="AY331" s="496"/>
      <c r="AZ331" s="496"/>
      <c r="BA331" s="496"/>
    </row>
    <row r="332" spans="2:57">
      <c r="B332" s="613"/>
      <c r="C332" s="613"/>
      <c r="D332" s="613"/>
      <c r="E332" s="613"/>
      <c r="F332" s="613"/>
      <c r="G332" s="613"/>
      <c r="H332" s="613"/>
      <c r="I332" s="643"/>
      <c r="J332" s="641"/>
      <c r="K332" s="641"/>
      <c r="L332" s="644"/>
      <c r="M332" s="613"/>
      <c r="N332" s="613"/>
      <c r="O332" s="641"/>
      <c r="P332" s="591"/>
      <c r="Q332" s="591"/>
      <c r="R332" s="591"/>
      <c r="S332" s="591"/>
      <c r="T332" s="645"/>
      <c r="U332" s="645"/>
      <c r="V332" s="645"/>
      <c r="W332" s="645"/>
      <c r="X332" s="645"/>
      <c r="Y332" s="645"/>
      <c r="Z332" s="645"/>
      <c r="AA332" s="645"/>
      <c r="AB332" s="645"/>
      <c r="AC332" s="591"/>
      <c r="AD332" s="591"/>
      <c r="AE332" s="591"/>
      <c r="AF332" s="591"/>
      <c r="AG332" s="591"/>
      <c r="AH332" s="591"/>
      <c r="AI332" s="591"/>
      <c r="AJ332" s="591"/>
      <c r="AK332" s="591"/>
      <c r="AL332" s="591"/>
      <c r="AM332" s="591"/>
      <c r="AN332" s="591"/>
      <c r="AO332" s="591"/>
      <c r="AP332" s="591"/>
      <c r="AQ332" s="591"/>
      <c r="AR332" s="591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</row>
    <row r="333" spans="2:57">
      <c r="B333" s="619" t="s">
        <v>561</v>
      </c>
      <c r="C333" s="619"/>
      <c r="D333" s="591"/>
      <c r="E333" s="591"/>
      <c r="F333" s="591"/>
      <c r="G333" s="591"/>
      <c r="H333" s="591"/>
      <c r="I333" s="591"/>
      <c r="J333" s="646"/>
      <c r="K333" s="646"/>
      <c r="L333" s="647"/>
      <c r="M333" s="591"/>
      <c r="N333" s="613"/>
      <c r="O333" s="646"/>
      <c r="P333" s="616"/>
      <c r="Q333" s="616"/>
      <c r="R333" s="616"/>
      <c r="S333" s="616"/>
      <c r="T333" s="616"/>
      <c r="U333" s="616"/>
      <c r="V333" s="616"/>
      <c r="W333" s="616"/>
      <c r="X333" s="616"/>
      <c r="Y333" s="616"/>
      <c r="Z333" s="616"/>
      <c r="AA333" s="616"/>
      <c r="AB333" s="613"/>
      <c r="AC333" s="613"/>
      <c r="AD333" s="613"/>
      <c r="AE333" s="613"/>
      <c r="AF333" s="613"/>
      <c r="AG333" s="613"/>
      <c r="AH333" s="613"/>
      <c r="AI333" s="613"/>
      <c r="AJ333" s="613"/>
      <c r="AK333" s="613"/>
      <c r="AL333" s="613"/>
      <c r="AM333" s="613"/>
      <c r="AN333" s="613"/>
      <c r="AO333" s="613"/>
      <c r="AP333" s="613"/>
      <c r="AQ333" s="613"/>
      <c r="AR333" s="613"/>
      <c r="AS333" s="613"/>
      <c r="AT333" s="613"/>
      <c r="AU333" s="613"/>
      <c r="AV333" s="39"/>
      <c r="AW333" s="39"/>
      <c r="AX333" s="39"/>
      <c r="AY333" s="39"/>
      <c r="AZ333" s="39"/>
      <c r="BA333" s="39"/>
      <c r="BB333" s="39"/>
      <c r="BC333" s="39"/>
      <c r="BD333" s="39"/>
      <c r="BE333" s="613"/>
    </row>
    <row r="334" spans="2:57">
      <c r="B334" s="422">
        <v>1</v>
      </c>
      <c r="C334" s="1249" t="s">
        <v>4387</v>
      </c>
      <c r="D334" s="1249"/>
      <c r="E334" s="1249"/>
      <c r="F334" s="1249"/>
      <c r="G334" s="1249"/>
      <c r="H334" s="1249"/>
      <c r="I334" s="1249"/>
      <c r="J334" s="1249"/>
      <c r="K334" s="1249"/>
      <c r="L334" s="644"/>
      <c r="M334" s="644"/>
      <c r="N334" s="613"/>
      <c r="O334" s="641"/>
      <c r="P334" s="616"/>
      <c r="Q334" s="616"/>
      <c r="R334" s="616"/>
      <c r="S334" s="616"/>
      <c r="T334" s="616"/>
      <c r="U334" s="616"/>
      <c r="V334" s="616"/>
      <c r="W334" s="616"/>
      <c r="X334" s="616"/>
      <c r="Y334" s="616"/>
      <c r="Z334" s="616"/>
      <c r="AA334" s="616"/>
      <c r="AB334" s="613"/>
      <c r="AC334" s="613"/>
      <c r="AD334" s="613"/>
      <c r="AE334" s="613"/>
      <c r="AF334" s="613"/>
      <c r="AG334" s="613"/>
      <c r="AH334" s="613"/>
      <c r="AI334" s="613"/>
      <c r="AJ334" s="613"/>
      <c r="AK334" s="613"/>
      <c r="AL334" s="613"/>
      <c r="AM334" s="613"/>
      <c r="AN334" s="613"/>
      <c r="AO334" s="613"/>
      <c r="AP334" s="613"/>
      <c r="AQ334" s="613"/>
      <c r="AR334" s="613"/>
      <c r="AS334" s="613"/>
      <c r="AT334" s="613"/>
      <c r="AU334" s="613"/>
      <c r="AV334" s="613"/>
      <c r="AW334" s="613"/>
      <c r="AX334" s="613"/>
      <c r="AY334" s="613"/>
      <c r="AZ334" s="613"/>
      <c r="BA334" s="613"/>
      <c r="BB334" s="613"/>
      <c r="BC334" s="613"/>
      <c r="BD334" s="613"/>
      <c r="BE334" s="613"/>
    </row>
    <row r="336" spans="2:57">
      <c r="B336" s="28" t="s">
        <v>126</v>
      </c>
      <c r="C336" s="28"/>
      <c r="D336" s="614"/>
      <c r="E336" s="30" t="s">
        <v>511</v>
      </c>
      <c r="F336" s="31" t="s">
        <v>3191</v>
      </c>
      <c r="G336" s="591"/>
      <c r="H336" s="33"/>
      <c r="I336" s="615"/>
      <c r="J336" s="35" t="s">
        <v>513</v>
      </c>
      <c r="K336" s="36" t="s">
        <v>511</v>
      </c>
      <c r="L336" s="516">
        <v>45280.6875</v>
      </c>
      <c r="M336" s="591"/>
      <c r="N336" s="591"/>
      <c r="O336" s="206"/>
      <c r="P336" s="205"/>
      <c r="Q336" s="616"/>
      <c r="R336" s="204"/>
      <c r="S336" s="617"/>
      <c r="T336" s="613"/>
      <c r="U336" s="613"/>
      <c r="V336" s="613"/>
      <c r="W336" s="613"/>
      <c r="X336" s="613"/>
      <c r="Y336" s="613"/>
      <c r="Z336" s="613"/>
      <c r="AA336" s="613"/>
      <c r="AB336" s="616"/>
      <c r="AC336" s="616"/>
      <c r="AD336" s="616"/>
      <c r="AE336" s="616"/>
      <c r="AF336" s="616"/>
      <c r="AG336" s="613"/>
      <c r="AH336" s="613"/>
      <c r="AI336" s="613"/>
      <c r="AJ336" s="613"/>
      <c r="AK336" s="613"/>
      <c r="AL336" s="613"/>
      <c r="AM336" s="613"/>
      <c r="AN336" s="613"/>
      <c r="AO336" s="613"/>
      <c r="AP336" s="613"/>
      <c r="AQ336" s="613"/>
      <c r="AR336" s="613"/>
      <c r="AS336" s="613"/>
      <c r="AT336" s="613"/>
      <c r="AU336" s="613"/>
      <c r="AV336" s="613"/>
      <c r="AW336" s="613"/>
      <c r="AX336" s="613"/>
      <c r="AY336" s="613"/>
      <c r="AZ336" s="613"/>
      <c r="BA336" s="613"/>
      <c r="BB336" s="613"/>
      <c r="BC336" s="613"/>
      <c r="BD336" s="613"/>
      <c r="BE336" s="613"/>
    </row>
    <row r="337" spans="2:57">
      <c r="B337" s="35" t="s">
        <v>514</v>
      </c>
      <c r="C337" s="35"/>
      <c r="D337" s="591"/>
      <c r="E337" s="36" t="s">
        <v>511</v>
      </c>
      <c r="F337" s="311" t="s">
        <v>578</v>
      </c>
      <c r="G337" s="591"/>
      <c r="H337" s="33"/>
      <c r="I337" s="615"/>
      <c r="J337" s="35" t="s">
        <v>516</v>
      </c>
      <c r="K337" s="36" t="s">
        <v>511</v>
      </c>
      <c r="L337" s="516">
        <v>45282.243055555555</v>
      </c>
      <c r="M337" s="591"/>
      <c r="N337" s="591"/>
      <c r="O337" s="206"/>
      <c r="P337" s="205"/>
      <c r="Q337" s="616"/>
      <c r="R337" s="204"/>
      <c r="S337" s="617"/>
      <c r="T337" s="613"/>
      <c r="U337" s="613"/>
      <c r="V337" s="613"/>
      <c r="W337" s="613"/>
      <c r="X337" s="613"/>
      <c r="Y337" s="613"/>
      <c r="Z337" s="613"/>
      <c r="AA337" s="613"/>
      <c r="AB337" s="616"/>
      <c r="AC337" s="616"/>
      <c r="AD337" s="616"/>
      <c r="AE337" s="616"/>
      <c r="AF337" s="616"/>
      <c r="AG337" s="613"/>
      <c r="AH337" s="613"/>
      <c r="AI337" s="613"/>
      <c r="AJ337" s="613"/>
      <c r="AK337" s="613"/>
      <c r="AL337" s="613"/>
      <c r="AM337" s="613"/>
      <c r="AN337" s="613"/>
      <c r="AO337" s="613"/>
      <c r="AP337" s="613"/>
      <c r="AQ337" s="613"/>
      <c r="AR337" s="613"/>
      <c r="AS337" s="613"/>
      <c r="AT337" s="613"/>
      <c r="AU337" s="613"/>
      <c r="AV337" s="613"/>
      <c r="AW337" s="613"/>
      <c r="AX337" s="613"/>
      <c r="AY337" s="613"/>
      <c r="AZ337" s="613"/>
      <c r="BA337" s="613"/>
      <c r="BB337" s="613"/>
      <c r="BC337" s="613"/>
      <c r="BD337" s="613"/>
      <c r="BE337" s="613"/>
    </row>
    <row r="338" spans="2:57">
      <c r="B338" s="35" t="s">
        <v>517</v>
      </c>
      <c r="C338" s="35"/>
      <c r="D338" s="591"/>
      <c r="E338" s="36" t="s">
        <v>511</v>
      </c>
      <c r="F338" s="516">
        <v>45276.341666666667</v>
      </c>
      <c r="G338" s="591"/>
      <c r="H338" s="33"/>
      <c r="I338" s="615"/>
      <c r="J338" s="35" t="s">
        <v>518</v>
      </c>
      <c r="K338" s="36" t="s">
        <v>511</v>
      </c>
      <c r="L338" s="692">
        <v>50500</v>
      </c>
      <c r="M338" s="619" t="s">
        <v>519</v>
      </c>
      <c r="N338" s="619"/>
      <c r="O338" s="206"/>
      <c r="P338" s="205"/>
      <c r="Q338" s="616"/>
      <c r="R338" s="204"/>
      <c r="S338" s="617"/>
      <c r="T338" s="613"/>
      <c r="U338" s="613"/>
      <c r="V338" s="613"/>
      <c r="W338" s="613"/>
      <c r="X338" s="613"/>
      <c r="Y338" s="613"/>
      <c r="Z338" s="613"/>
      <c r="AA338" s="613"/>
      <c r="AB338" s="616"/>
      <c r="AC338" s="616"/>
      <c r="AD338" s="616"/>
      <c r="AE338" s="616"/>
      <c r="AF338" s="616"/>
      <c r="AG338" s="613"/>
      <c r="AH338" s="613"/>
      <c r="AI338" s="613"/>
      <c r="AJ338" s="613"/>
      <c r="AK338" s="613"/>
      <c r="AL338" s="613"/>
      <c r="AM338" s="613"/>
      <c r="AN338" s="613"/>
      <c r="AO338" s="613"/>
      <c r="AP338" s="613"/>
      <c r="AQ338" s="613"/>
      <c r="AR338" s="613"/>
      <c r="AS338" s="613"/>
      <c r="AT338" s="613"/>
      <c r="AU338" s="613"/>
      <c r="AV338" s="613"/>
      <c r="AW338" s="613"/>
      <c r="AX338" s="613"/>
      <c r="AY338" s="613"/>
      <c r="AZ338" s="613"/>
      <c r="BA338" s="613"/>
      <c r="BB338" s="613"/>
      <c r="BC338" s="613"/>
      <c r="BD338" s="613"/>
      <c r="BE338" s="613"/>
    </row>
    <row r="339" spans="2:57">
      <c r="B339" s="35" t="s">
        <v>520</v>
      </c>
      <c r="C339" s="35"/>
      <c r="D339" s="591"/>
      <c r="E339" s="36" t="s">
        <v>511</v>
      </c>
      <c r="F339" s="37" t="s">
        <v>12</v>
      </c>
      <c r="G339" s="591"/>
      <c r="H339" s="33"/>
      <c r="I339" s="615"/>
      <c r="J339" s="35" t="s">
        <v>521</v>
      </c>
      <c r="K339" s="36" t="s">
        <v>511</v>
      </c>
      <c r="L339" s="620" t="s">
        <v>3192</v>
      </c>
      <c r="M339" s="591"/>
      <c r="N339" s="591"/>
      <c r="O339" s="206"/>
      <c r="P339" s="616"/>
      <c r="Q339" s="616"/>
      <c r="R339" s="204"/>
      <c r="S339" s="617"/>
      <c r="T339" s="613"/>
      <c r="U339" s="613"/>
      <c r="V339" s="613"/>
      <c r="W339" s="613"/>
      <c r="X339" s="613"/>
      <c r="Y339" s="613"/>
      <c r="Z339" s="613"/>
      <c r="AA339" s="613"/>
      <c r="AB339" s="616"/>
      <c r="AC339" s="616"/>
      <c r="AD339" s="616"/>
      <c r="AE339" s="616"/>
      <c r="AF339" s="616"/>
      <c r="AG339" s="613"/>
      <c r="AH339" s="613"/>
      <c r="AI339" s="613"/>
      <c r="AJ339" s="613"/>
      <c r="AK339" s="613"/>
      <c r="AL339" s="613"/>
      <c r="AM339" s="613"/>
      <c r="AN339" s="613"/>
      <c r="AO339" s="613"/>
      <c r="AP339" s="613"/>
      <c r="AQ339" s="613"/>
      <c r="AR339" s="613"/>
      <c r="AS339" s="613"/>
      <c r="AT339" s="613"/>
      <c r="AU339" s="613"/>
      <c r="AV339" s="613"/>
      <c r="AW339" s="613"/>
      <c r="AX339" s="613"/>
      <c r="AY339" s="613"/>
      <c r="AZ339" s="613"/>
      <c r="BA339" s="613"/>
      <c r="BB339" s="613"/>
      <c r="BC339" s="613"/>
      <c r="BD339" s="613"/>
      <c r="BE339" s="613"/>
    </row>
    <row r="340" spans="2:57">
      <c r="B340" s="35" t="s">
        <v>523</v>
      </c>
      <c r="C340" s="35"/>
      <c r="D340" s="591"/>
      <c r="E340" s="36" t="s">
        <v>511</v>
      </c>
      <c r="F340" s="37" t="s">
        <v>37</v>
      </c>
      <c r="G340" s="591"/>
      <c r="H340" s="33"/>
      <c r="I340" s="615"/>
      <c r="J340" s="35" t="s">
        <v>524</v>
      </c>
      <c r="K340" s="36" t="s">
        <v>511</v>
      </c>
      <c r="L340" s="621" t="s">
        <v>11</v>
      </c>
      <c r="M340" s="611"/>
      <c r="N340" s="611"/>
      <c r="O340" s="206"/>
      <c r="P340" s="205"/>
      <c r="Q340" s="616"/>
      <c r="R340" s="204"/>
      <c r="S340" s="617"/>
      <c r="T340" s="613"/>
      <c r="U340" s="613"/>
      <c r="V340" s="613"/>
      <c r="W340" s="613"/>
      <c r="X340" s="613"/>
      <c r="Y340" s="613"/>
      <c r="Z340" s="613"/>
      <c r="AA340" s="613"/>
      <c r="AB340" s="616"/>
      <c r="AC340" s="616"/>
      <c r="AD340" s="616"/>
      <c r="AE340" s="616"/>
      <c r="AF340" s="616"/>
      <c r="AG340" s="613"/>
      <c r="AH340" s="613"/>
      <c r="AI340" s="613"/>
      <c r="AJ340" s="613"/>
      <c r="AK340" s="613"/>
      <c r="AL340" s="613"/>
      <c r="AM340" s="613"/>
      <c r="AN340" s="613"/>
      <c r="AO340" s="613"/>
      <c r="AP340" s="613"/>
      <c r="AQ340" s="613"/>
      <c r="AR340" s="613"/>
      <c r="AS340" s="613"/>
      <c r="AT340" s="613"/>
      <c r="AU340" s="613"/>
      <c r="AV340" s="613"/>
      <c r="AW340" s="613"/>
      <c r="AX340" s="613"/>
      <c r="AY340" s="613"/>
      <c r="AZ340" s="613"/>
      <c r="BA340" s="613"/>
      <c r="BB340" s="613"/>
      <c r="BC340" s="613"/>
      <c r="BD340" s="613"/>
      <c r="BE340" s="613"/>
    </row>
    <row r="341" spans="2:57">
      <c r="B341" s="35" t="s">
        <v>2</v>
      </c>
      <c r="C341" s="35"/>
      <c r="D341" s="591"/>
      <c r="E341" s="36" t="s">
        <v>511</v>
      </c>
      <c r="F341" s="37" t="s">
        <v>58</v>
      </c>
      <c r="G341" s="591"/>
      <c r="H341" s="33"/>
      <c r="I341" s="622"/>
      <c r="J341" s="35"/>
      <c r="K341" s="36"/>
      <c r="L341" s="211"/>
      <c r="M341" s="613"/>
      <c r="N341" s="613"/>
      <c r="O341" s="35"/>
      <c r="P341" s="611"/>
      <c r="Q341" s="611"/>
      <c r="R341" s="611"/>
      <c r="S341" s="615"/>
      <c r="T341" s="613"/>
      <c r="U341" s="613"/>
      <c r="V341" s="613"/>
      <c r="W341" s="613"/>
      <c r="X341" s="613"/>
      <c r="Y341" s="613"/>
      <c r="Z341" s="613"/>
      <c r="AA341" s="613"/>
      <c r="AB341" s="615"/>
      <c r="AC341" s="615"/>
      <c r="AD341" s="615"/>
      <c r="AE341" s="615"/>
      <c r="AF341" s="615"/>
      <c r="AG341" s="615"/>
      <c r="AH341" s="615"/>
      <c r="AI341" s="615"/>
      <c r="AJ341" s="615"/>
      <c r="AK341" s="615"/>
      <c r="AL341" s="615"/>
      <c r="AM341" s="615"/>
      <c r="AN341" s="615"/>
      <c r="AO341" s="613"/>
      <c r="AP341" s="613"/>
      <c r="AQ341" s="613"/>
      <c r="AR341" s="613"/>
      <c r="AS341" s="613"/>
      <c r="AT341" s="613"/>
      <c r="AU341" s="613"/>
      <c r="AV341" s="613"/>
      <c r="AW341" s="613"/>
      <c r="AX341" s="613"/>
      <c r="AY341" s="613"/>
      <c r="AZ341" s="613"/>
      <c r="BA341" s="613"/>
      <c r="BB341" s="613"/>
      <c r="BC341" s="613"/>
      <c r="BD341" s="613"/>
      <c r="BE341" s="613"/>
    </row>
    <row r="342" spans="2:57">
      <c r="B342" s="613"/>
      <c r="C342" s="613"/>
      <c r="D342" s="613"/>
      <c r="E342" s="613"/>
      <c r="F342" s="613"/>
      <c r="G342" s="613"/>
      <c r="H342" s="613"/>
      <c r="I342" s="622"/>
      <c r="J342" s="35"/>
      <c r="K342" s="35"/>
      <c r="L342" s="621"/>
      <c r="M342" s="611"/>
      <c r="N342" s="611"/>
      <c r="O342" s="35"/>
      <c r="P342" s="611"/>
      <c r="Q342" s="611"/>
      <c r="R342" s="611"/>
      <c r="S342" s="615"/>
      <c r="T342" s="1317" t="s">
        <v>87</v>
      </c>
      <c r="U342" s="1317"/>
      <c r="V342" s="1317"/>
      <c r="W342" s="1317"/>
      <c r="X342" s="1317"/>
      <c r="Y342" s="1317" t="s">
        <v>73</v>
      </c>
      <c r="Z342" s="1317"/>
      <c r="AA342" s="1317"/>
      <c r="AB342" s="1317" t="s">
        <v>74</v>
      </c>
      <c r="AC342" s="1317"/>
      <c r="AD342" s="623" t="s">
        <v>85</v>
      </c>
      <c r="AE342" s="854" t="s">
        <v>77</v>
      </c>
      <c r="AF342" s="1459" t="s">
        <v>525</v>
      </c>
      <c r="AG342" s="1459"/>
      <c r="AH342" s="1459"/>
      <c r="AI342" s="1459"/>
      <c r="AJ342" s="1459"/>
      <c r="AK342" s="1459"/>
      <c r="AL342" s="1459"/>
      <c r="AM342" s="1459"/>
      <c r="AN342" s="1459"/>
      <c r="AO342" s="1459"/>
      <c r="AP342" s="1459"/>
      <c r="AQ342" s="1459"/>
      <c r="AR342" s="1459"/>
      <c r="AS342" s="1459"/>
      <c r="AT342" s="1459"/>
      <c r="AU342" s="1459"/>
      <c r="AV342" s="1459"/>
      <c r="AW342" s="1459"/>
      <c r="AX342" s="1459"/>
      <c r="AY342" s="1459"/>
      <c r="AZ342" s="1459"/>
      <c r="BA342" s="1459"/>
      <c r="BB342" s="1459"/>
      <c r="BC342" s="1459"/>
      <c r="BD342" s="1459"/>
      <c r="BE342" s="613"/>
    </row>
    <row r="343" spans="2:57">
      <c r="B343" s="1318" t="s">
        <v>526</v>
      </c>
      <c r="C343" s="1319"/>
      <c r="D343" s="624" t="s">
        <v>527</v>
      </c>
      <c r="E343" s="624"/>
      <c r="F343" s="624" t="s">
        <v>528</v>
      </c>
      <c r="G343" s="624" t="s">
        <v>529</v>
      </c>
      <c r="H343" s="624" t="s">
        <v>530</v>
      </c>
      <c r="I343" s="624" t="s">
        <v>531</v>
      </c>
      <c r="J343" s="624" t="s">
        <v>532</v>
      </c>
      <c r="K343" s="624"/>
      <c r="L343" s="624" t="s">
        <v>130</v>
      </c>
      <c r="M343" s="624" t="s">
        <v>533</v>
      </c>
      <c r="N343" s="1040" t="str">
        <f>"On time - "&amp;COUNTIF(N344:N354,"On time")&amp;" from "&amp;ROWS(N344:N354)-COUNTIF(N344:N354," ")</f>
        <v>On time - 2 from 8</v>
      </c>
      <c r="O343" s="626"/>
      <c r="P343" s="627" t="s">
        <v>534</v>
      </c>
      <c r="Q343" s="627" t="s">
        <v>535</v>
      </c>
      <c r="R343" s="627" t="s">
        <v>536</v>
      </c>
      <c r="S343" s="591"/>
      <c r="T343" s="628" t="s">
        <v>537</v>
      </c>
      <c r="U343" s="628" t="s">
        <v>538</v>
      </c>
      <c r="V343" s="628" t="s">
        <v>539</v>
      </c>
      <c r="W343" s="628" t="s">
        <v>540</v>
      </c>
      <c r="X343" s="628" t="s">
        <v>541</v>
      </c>
      <c r="Y343" s="628" t="s">
        <v>167</v>
      </c>
      <c r="Z343" s="628" t="s">
        <v>168</v>
      </c>
      <c r="AA343" s="628" t="s">
        <v>169</v>
      </c>
      <c r="AB343" s="628" t="s">
        <v>235</v>
      </c>
      <c r="AC343" s="628" t="s">
        <v>240</v>
      </c>
      <c r="AD343" s="623" t="s">
        <v>85</v>
      </c>
      <c r="AE343" s="628" t="s">
        <v>139</v>
      </c>
      <c r="AF343" s="855" t="s">
        <v>72</v>
      </c>
      <c r="AG343" s="855" t="s">
        <v>88</v>
      </c>
      <c r="AH343" s="855" t="s">
        <v>75</v>
      </c>
      <c r="AI343" s="855" t="s">
        <v>543</v>
      </c>
      <c r="AJ343" s="855" t="s">
        <v>78</v>
      </c>
      <c r="AK343" s="855" t="s">
        <v>76</v>
      </c>
      <c r="AL343" s="855" t="s">
        <v>544</v>
      </c>
      <c r="AM343" s="855" t="s">
        <v>545</v>
      </c>
      <c r="AN343" s="855" t="s">
        <v>86</v>
      </c>
      <c r="AO343" s="855" t="s">
        <v>83</v>
      </c>
      <c r="AP343" s="855" t="s">
        <v>84</v>
      </c>
      <c r="AQ343" s="855" t="s">
        <v>546</v>
      </c>
      <c r="AR343" s="855" t="s">
        <v>81</v>
      </c>
      <c r="AS343" s="855" t="s">
        <v>80</v>
      </c>
      <c r="AT343" s="855" t="s">
        <v>82</v>
      </c>
      <c r="AU343" s="855" t="s">
        <v>181</v>
      </c>
      <c r="AV343" s="855" t="s">
        <v>183</v>
      </c>
      <c r="AW343" s="855" t="s">
        <v>547</v>
      </c>
      <c r="AX343" s="855" t="s">
        <v>182</v>
      </c>
      <c r="AY343" s="855" t="s">
        <v>172</v>
      </c>
      <c r="AZ343" s="855" t="s">
        <v>173</v>
      </c>
      <c r="BA343" s="855" t="s">
        <v>184</v>
      </c>
      <c r="BB343" s="855" t="s">
        <v>100</v>
      </c>
      <c r="BC343" s="855" t="s">
        <v>913</v>
      </c>
      <c r="BD343" s="855" t="s">
        <v>2747</v>
      </c>
      <c r="BE343" s="613"/>
    </row>
    <row r="344" spans="2:57">
      <c r="B344" s="1315" t="s">
        <v>548</v>
      </c>
      <c r="C344" s="1316"/>
      <c r="D344" s="501" t="s">
        <v>3903</v>
      </c>
      <c r="E344" s="501"/>
      <c r="F344" s="501" t="s">
        <v>3563</v>
      </c>
      <c r="G344" s="501" t="s">
        <v>206</v>
      </c>
      <c r="H344" s="629">
        <v>985.06299999999999</v>
      </c>
      <c r="I344" s="584" t="s">
        <v>1968</v>
      </c>
      <c r="J344" s="504">
        <v>45278.972222222219</v>
      </c>
      <c r="K344" s="574"/>
      <c r="L344" s="574" t="s">
        <v>192</v>
      </c>
      <c r="M344" s="574" t="s">
        <v>192</v>
      </c>
      <c r="N344" s="505" t="str">
        <f>IF(ISBLANK(J344)," ",IF(J344&lt;$F$338,"On time",(IF(DAY(J344-$F$338)&lt;1,"On time",(IF(J344&gt;$F$338,"DELAY ( "&amp;DAY(J344-$F$338)&amp;" day "&amp;HOUR(J344-$F$338)&amp;" hour "&amp;MINUTE(J344-$F$338)&amp;" minute )","xxx"))))))</f>
        <v>DELAY ( 2 day 15 hour 8 minute )</v>
      </c>
      <c r="O344" s="597"/>
      <c r="P344" s="507" t="s">
        <v>551</v>
      </c>
      <c r="Q344" s="507" t="s">
        <v>551</v>
      </c>
      <c r="R344" s="507" t="s">
        <v>551</v>
      </c>
      <c r="S344" s="598"/>
      <c r="T344" s="599"/>
      <c r="U344" s="599"/>
      <c r="V344" s="599"/>
      <c r="W344" s="599"/>
      <c r="X344" s="599"/>
      <c r="Y344" s="599">
        <f>H344*0.8</f>
        <v>788.05040000000008</v>
      </c>
      <c r="Z344" s="599">
        <f>H344*0.2</f>
        <v>197.01260000000002</v>
      </c>
      <c r="AA344" s="599"/>
      <c r="AB344" s="599"/>
      <c r="AC344" s="599"/>
      <c r="AD344" s="599"/>
      <c r="AE344" s="599"/>
      <c r="AF344" s="599"/>
      <c r="AG344" s="599"/>
      <c r="AH344" s="599"/>
      <c r="AI344" s="599"/>
      <c r="AJ344" s="599"/>
      <c r="AK344" s="599"/>
      <c r="AL344" s="599"/>
      <c r="AM344" s="599"/>
      <c r="AN344" s="599"/>
      <c r="AO344" s="599"/>
      <c r="AP344" s="599"/>
      <c r="AQ344" s="599"/>
      <c r="AR344" s="599"/>
      <c r="AS344" s="599"/>
      <c r="AT344" s="599"/>
      <c r="AU344" s="599"/>
      <c r="AV344" s="599"/>
      <c r="AW344" s="599"/>
      <c r="AX344" s="599"/>
      <c r="AY344" s="599"/>
      <c r="AZ344" s="599"/>
      <c r="BA344" s="599"/>
      <c r="BB344" s="599"/>
      <c r="BC344" s="599"/>
      <c r="BD344" s="599"/>
      <c r="BE344" s="598"/>
    </row>
    <row r="345" spans="2:57">
      <c r="B345" s="1315" t="s">
        <v>548</v>
      </c>
      <c r="C345" s="1316"/>
      <c r="D345" s="501" t="s">
        <v>3907</v>
      </c>
      <c r="E345" s="501"/>
      <c r="F345" s="501" t="s">
        <v>437</v>
      </c>
      <c r="G345" s="501" t="s">
        <v>320</v>
      </c>
      <c r="H345" s="629">
        <v>7440.0519999999997</v>
      </c>
      <c r="I345" s="584" t="s">
        <v>509</v>
      </c>
      <c r="J345" s="504">
        <v>45276.9375</v>
      </c>
      <c r="K345" s="574"/>
      <c r="L345" s="574" t="s">
        <v>192</v>
      </c>
      <c r="M345" s="574" t="s">
        <v>192</v>
      </c>
      <c r="N345" s="505" t="str">
        <f t="shared" ref="N345:N354" si="28">IF(ISBLANK(J345)," ",IF(J345&lt;$F$338,"On time",(IF(DAY(J345-$F$338)&lt;1,"On time",(IF(J345&gt;$F$338,"DELAY ( "&amp;DAY(J345-$F$338)&amp;" day "&amp;HOUR(J345-$F$338)&amp;" hour "&amp;MINUTE(J345-$F$338)&amp;" minute )","xxx"))))))</f>
        <v>On time</v>
      </c>
      <c r="O345" s="597"/>
      <c r="P345" s="507" t="s">
        <v>551</v>
      </c>
      <c r="Q345" s="507" t="s">
        <v>551</v>
      </c>
      <c r="R345" s="507" t="s">
        <v>551</v>
      </c>
      <c r="S345" s="598"/>
      <c r="T345" s="599"/>
      <c r="U345" s="599"/>
      <c r="V345" s="599"/>
      <c r="W345" s="599"/>
      <c r="X345" s="599"/>
      <c r="Y345" s="599">
        <f>H345*0.65</f>
        <v>4836.0338000000002</v>
      </c>
      <c r="Z345" s="599">
        <f>H345*0.35</f>
        <v>2604.0181999999995</v>
      </c>
      <c r="AA345" s="599"/>
      <c r="AB345" s="599"/>
      <c r="AC345" s="599"/>
      <c r="AD345" s="599"/>
      <c r="AE345" s="599"/>
      <c r="AF345" s="599"/>
      <c r="AG345" s="599"/>
      <c r="AH345" s="599"/>
      <c r="AI345" s="599"/>
      <c r="AJ345" s="599"/>
      <c r="AK345" s="599"/>
      <c r="AL345" s="599"/>
      <c r="AM345" s="599"/>
      <c r="AN345" s="599"/>
      <c r="AO345" s="599"/>
      <c r="AP345" s="599"/>
      <c r="AQ345" s="599"/>
      <c r="AR345" s="599"/>
      <c r="AS345" s="599"/>
      <c r="AT345" s="599"/>
      <c r="AU345" s="599"/>
      <c r="AV345" s="599"/>
      <c r="AW345" s="599"/>
      <c r="AX345" s="599"/>
      <c r="AY345" s="599"/>
      <c r="AZ345" s="599"/>
      <c r="BA345" s="599"/>
      <c r="BB345" s="599"/>
      <c r="BC345" s="599"/>
      <c r="BD345" s="599"/>
      <c r="BE345" s="598"/>
    </row>
    <row r="346" spans="2:57">
      <c r="B346" s="1326" t="s">
        <v>2123</v>
      </c>
      <c r="C346" s="1327"/>
      <c r="D346" s="501" t="s">
        <v>3909</v>
      </c>
      <c r="E346" s="501"/>
      <c r="F346" s="501" t="s">
        <v>298</v>
      </c>
      <c r="G346" s="501" t="s">
        <v>299</v>
      </c>
      <c r="H346" s="629">
        <v>10356.275</v>
      </c>
      <c r="I346" s="584" t="s">
        <v>509</v>
      </c>
      <c r="J346" s="504">
        <v>45277.010416666664</v>
      </c>
      <c r="K346" s="574"/>
      <c r="L346" s="574" t="s">
        <v>192</v>
      </c>
      <c r="M346" s="574" t="s">
        <v>192</v>
      </c>
      <c r="N346" s="505" t="str">
        <f t="shared" si="28"/>
        <v>On time</v>
      </c>
      <c r="O346" s="597"/>
      <c r="P346" s="507" t="s">
        <v>551</v>
      </c>
      <c r="Q346" s="507" t="s">
        <v>551</v>
      </c>
      <c r="R346" s="507" t="s">
        <v>551</v>
      </c>
      <c r="S346" s="598"/>
      <c r="T346" s="599"/>
      <c r="U346" s="599"/>
      <c r="V346" s="599"/>
      <c r="W346" s="599"/>
      <c r="X346" s="599"/>
      <c r="Y346" s="599">
        <f>H346*0.65</f>
        <v>6731.5787499999997</v>
      </c>
      <c r="Z346" s="599">
        <f>H346*0.35</f>
        <v>3624.6962499999995</v>
      </c>
      <c r="AA346" s="599"/>
      <c r="AB346" s="599"/>
      <c r="AC346" s="599"/>
      <c r="AD346" s="599"/>
      <c r="AE346" s="599"/>
      <c r="AF346" s="599"/>
      <c r="AG346" s="599"/>
      <c r="AH346" s="599"/>
      <c r="AI346" s="599"/>
      <c r="AJ346" s="599"/>
      <c r="AK346" s="599"/>
      <c r="AL346" s="599"/>
      <c r="AM346" s="599"/>
      <c r="AN346" s="599"/>
      <c r="AO346" s="599"/>
      <c r="AP346" s="599"/>
      <c r="AQ346" s="599"/>
      <c r="AR346" s="599"/>
      <c r="AS346" s="599"/>
      <c r="AT346" s="599"/>
      <c r="AU346" s="599"/>
      <c r="AV346" s="599"/>
      <c r="AW346" s="599"/>
      <c r="AX346" s="599"/>
      <c r="AY346" s="599"/>
      <c r="AZ346" s="599"/>
      <c r="BA346" s="599"/>
      <c r="BB346" s="599"/>
      <c r="BC346" s="599"/>
      <c r="BD346" s="599"/>
      <c r="BE346" s="598"/>
    </row>
    <row r="347" spans="2:57">
      <c r="B347" s="1328"/>
      <c r="C347" s="1329"/>
      <c r="D347" s="501" t="s">
        <v>3837</v>
      </c>
      <c r="E347" s="502"/>
      <c r="F347" s="501" t="s">
        <v>249</v>
      </c>
      <c r="G347" s="501" t="s">
        <v>2315</v>
      </c>
      <c r="H347" s="629">
        <f>7550.737/2</f>
        <v>3775.3685</v>
      </c>
      <c r="I347" s="584" t="s">
        <v>611</v>
      </c>
      <c r="J347" s="1361">
        <v>45279.277777777781</v>
      </c>
      <c r="K347" s="574"/>
      <c r="L347" s="574" t="s">
        <v>192</v>
      </c>
      <c r="M347" s="574" t="s">
        <v>192</v>
      </c>
      <c r="N347" s="505" t="str">
        <f t="shared" si="28"/>
        <v>DELAY ( 2 day 22 hour 28 minute )</v>
      </c>
      <c r="O347" s="597"/>
      <c r="P347" s="507" t="s">
        <v>551</v>
      </c>
      <c r="Q347" s="507" t="s">
        <v>551</v>
      </c>
      <c r="R347" s="507" t="s">
        <v>551</v>
      </c>
      <c r="S347" s="598"/>
      <c r="T347" s="599">
        <f>H347</f>
        <v>3775.3685</v>
      </c>
      <c r="U347" s="599"/>
      <c r="V347" s="599"/>
      <c r="W347" s="599"/>
      <c r="X347" s="599"/>
      <c r="Y347" s="599"/>
      <c r="Z347" s="599"/>
      <c r="AA347" s="599"/>
      <c r="AB347" s="599"/>
      <c r="AC347" s="599"/>
      <c r="AD347" s="599"/>
      <c r="AE347" s="599"/>
      <c r="AF347" s="599"/>
      <c r="AG347" s="599"/>
      <c r="AH347" s="599"/>
      <c r="AI347" s="599"/>
      <c r="AJ347" s="599"/>
      <c r="AK347" s="599"/>
      <c r="AL347" s="599"/>
      <c r="AM347" s="599"/>
      <c r="AN347" s="599"/>
      <c r="AO347" s="599"/>
      <c r="AP347" s="599"/>
      <c r="AQ347" s="599"/>
      <c r="AR347" s="599"/>
      <c r="AS347" s="599"/>
      <c r="AT347" s="599"/>
      <c r="AU347" s="599"/>
      <c r="AV347" s="599"/>
      <c r="AW347" s="599"/>
      <c r="AX347" s="599"/>
      <c r="AY347" s="599"/>
      <c r="AZ347" s="599"/>
      <c r="BA347" s="599"/>
      <c r="BB347" s="599"/>
      <c r="BC347" s="599"/>
      <c r="BD347" s="599"/>
      <c r="BE347" s="598"/>
    </row>
    <row r="348" spans="2:57">
      <c r="B348" s="1326" t="s">
        <v>644</v>
      </c>
      <c r="C348" s="1327"/>
      <c r="D348" s="501" t="s">
        <v>3837</v>
      </c>
      <c r="E348" s="502"/>
      <c r="F348" s="501" t="s">
        <v>249</v>
      </c>
      <c r="G348" s="501" t="s">
        <v>2315</v>
      </c>
      <c r="H348" s="629">
        <f>H347</f>
        <v>3775.3685</v>
      </c>
      <c r="I348" s="584" t="s">
        <v>611</v>
      </c>
      <c r="J348" s="1362"/>
      <c r="K348" s="1102"/>
      <c r="L348" s="574" t="s">
        <v>192</v>
      </c>
      <c r="M348" s="574" t="s">
        <v>192</v>
      </c>
      <c r="N348" s="505" t="str">
        <f t="shared" si="28"/>
        <v xml:space="preserve"> </v>
      </c>
      <c r="O348" s="597"/>
      <c r="P348" s="507" t="s">
        <v>551</v>
      </c>
      <c r="Q348" s="507" t="s">
        <v>551</v>
      </c>
      <c r="R348" s="507" t="s">
        <v>551</v>
      </c>
      <c r="S348" s="598"/>
      <c r="T348" s="599">
        <f>H348</f>
        <v>3775.3685</v>
      </c>
      <c r="U348" s="599"/>
      <c r="V348" s="599"/>
      <c r="W348" s="599"/>
      <c r="X348" s="599"/>
      <c r="Y348" s="599"/>
      <c r="Z348" s="599"/>
      <c r="AA348" s="599"/>
      <c r="AB348" s="599"/>
      <c r="AC348" s="599"/>
      <c r="AD348" s="599"/>
      <c r="AE348" s="599"/>
      <c r="AF348" s="599"/>
      <c r="AG348" s="599"/>
      <c r="AH348" s="599"/>
      <c r="AI348" s="599"/>
      <c r="AJ348" s="599"/>
      <c r="AK348" s="599"/>
      <c r="AL348" s="599"/>
      <c r="AM348" s="599"/>
      <c r="AN348" s="599"/>
      <c r="AO348" s="599"/>
      <c r="AP348" s="599"/>
      <c r="AQ348" s="599"/>
      <c r="AR348" s="599"/>
      <c r="AS348" s="599"/>
      <c r="AT348" s="599"/>
      <c r="AU348" s="599"/>
      <c r="AV348" s="599"/>
      <c r="AW348" s="599"/>
      <c r="AX348" s="599"/>
      <c r="AY348" s="599"/>
      <c r="AZ348" s="599"/>
      <c r="BA348" s="599"/>
      <c r="BB348" s="599"/>
      <c r="BC348" s="599"/>
      <c r="BD348" s="599"/>
      <c r="BE348" s="598"/>
    </row>
    <row r="349" spans="2:57">
      <c r="B349" s="1328"/>
      <c r="C349" s="1329"/>
      <c r="D349" s="501" t="s">
        <v>3910</v>
      </c>
      <c r="E349" s="501"/>
      <c r="F349" s="501" t="s">
        <v>70</v>
      </c>
      <c r="G349" s="501" t="s">
        <v>1982</v>
      </c>
      <c r="H349" s="629">
        <v>7639.8339999999998</v>
      </c>
      <c r="I349" s="584" t="s">
        <v>509</v>
      </c>
      <c r="J349" s="504">
        <v>45277.572916666664</v>
      </c>
      <c r="K349" s="574"/>
      <c r="L349" s="574" t="s">
        <v>192</v>
      </c>
      <c r="M349" s="574" t="s">
        <v>192</v>
      </c>
      <c r="N349" s="505" t="str">
        <f t="shared" si="28"/>
        <v>DELAY ( 1 day 5 hour 33 minute )</v>
      </c>
      <c r="O349" s="597"/>
      <c r="P349" s="507" t="s">
        <v>551</v>
      </c>
      <c r="Q349" s="507" t="s">
        <v>551</v>
      </c>
      <c r="R349" s="507" t="s">
        <v>551</v>
      </c>
      <c r="S349" s="598"/>
      <c r="T349" s="599"/>
      <c r="U349" s="599"/>
      <c r="V349" s="599"/>
      <c r="W349" s="599"/>
      <c r="X349" s="599"/>
      <c r="Y349" s="599">
        <f>H349*0.65</f>
        <v>4965.8921</v>
      </c>
      <c r="Z349" s="599">
        <f>H349*0.35</f>
        <v>2673.9418999999998</v>
      </c>
      <c r="AA349" s="599"/>
      <c r="AB349" s="599"/>
      <c r="AC349" s="599"/>
      <c r="AD349" s="599"/>
      <c r="AE349" s="599"/>
      <c r="AF349" s="599"/>
      <c r="AG349" s="599"/>
      <c r="AH349" s="599"/>
      <c r="AI349" s="599"/>
      <c r="AJ349" s="599"/>
      <c r="AK349" s="599"/>
      <c r="AL349" s="599"/>
      <c r="AM349" s="599"/>
      <c r="AN349" s="599"/>
      <c r="AO349" s="599"/>
      <c r="AP349" s="599"/>
      <c r="AQ349" s="599"/>
      <c r="AR349" s="599"/>
      <c r="AS349" s="599"/>
      <c r="AT349" s="599"/>
      <c r="AU349" s="599"/>
      <c r="AV349" s="599"/>
      <c r="AW349" s="599"/>
      <c r="AX349" s="599"/>
      <c r="AY349" s="599"/>
      <c r="AZ349" s="599"/>
      <c r="BA349" s="599"/>
      <c r="BB349" s="599"/>
      <c r="BC349" s="599"/>
      <c r="BD349" s="599"/>
      <c r="BE349" s="598"/>
    </row>
    <row r="350" spans="2:57">
      <c r="B350" s="1326" t="s">
        <v>653</v>
      </c>
      <c r="C350" s="1327"/>
      <c r="D350" s="501" t="s">
        <v>3838</v>
      </c>
      <c r="E350" s="501"/>
      <c r="F350" s="501" t="s">
        <v>277</v>
      </c>
      <c r="G350" s="501" t="s">
        <v>278</v>
      </c>
      <c r="H350" s="629">
        <v>7551.7280000000001</v>
      </c>
      <c r="I350" s="584" t="s">
        <v>611</v>
      </c>
      <c r="J350" s="504">
        <v>45280.9375</v>
      </c>
      <c r="K350" s="574"/>
      <c r="L350" s="574" t="s">
        <v>192</v>
      </c>
      <c r="M350" s="574" t="s">
        <v>192</v>
      </c>
      <c r="N350" s="505" t="str">
        <f t="shared" si="28"/>
        <v>DELAY ( 4 day 14 hour 18 minute )</v>
      </c>
      <c r="O350" s="597"/>
      <c r="P350" s="507" t="s">
        <v>551</v>
      </c>
      <c r="Q350" s="507" t="s">
        <v>551</v>
      </c>
      <c r="R350" s="507" t="s">
        <v>551</v>
      </c>
      <c r="S350" s="598"/>
      <c r="T350" s="599">
        <f>H350</f>
        <v>7551.7280000000001</v>
      </c>
      <c r="U350" s="599"/>
      <c r="V350" s="599"/>
      <c r="W350" s="599"/>
      <c r="X350" s="599"/>
      <c r="Y350" s="599"/>
      <c r="Z350" s="598"/>
      <c r="AA350" s="599"/>
      <c r="AB350" s="599"/>
      <c r="AC350" s="599"/>
      <c r="AD350" s="599"/>
      <c r="AE350" s="599"/>
      <c r="AF350" s="599"/>
      <c r="AG350" s="599"/>
      <c r="AH350" s="599"/>
      <c r="AI350" s="599"/>
      <c r="AJ350" s="599"/>
      <c r="AK350" s="599"/>
      <c r="AL350" s="599"/>
      <c r="AM350" s="599"/>
      <c r="AN350" s="599"/>
      <c r="AO350" s="599"/>
      <c r="AP350" s="599"/>
      <c r="AQ350" s="599"/>
      <c r="AR350" s="599"/>
      <c r="AS350" s="599"/>
      <c r="AT350" s="599"/>
      <c r="AU350" s="599"/>
      <c r="AV350" s="599"/>
      <c r="AW350" s="599"/>
      <c r="AX350" s="599"/>
      <c r="AY350" s="599"/>
      <c r="AZ350" s="598"/>
      <c r="BA350" s="599"/>
      <c r="BB350" s="599"/>
      <c r="BC350" s="599"/>
      <c r="BD350" s="599"/>
      <c r="BE350" s="598"/>
    </row>
    <row r="351" spans="2:57">
      <c r="B351" s="1328"/>
      <c r="C351" s="1329"/>
      <c r="D351" s="501" t="s">
        <v>3912</v>
      </c>
      <c r="E351" s="501"/>
      <c r="F351" s="501" t="s">
        <v>406</v>
      </c>
      <c r="G351" s="501" t="s">
        <v>407</v>
      </c>
      <c r="H351" s="629">
        <v>7662.52</v>
      </c>
      <c r="I351" s="584" t="s">
        <v>509</v>
      </c>
      <c r="J351" s="504">
        <v>45277.565972222219</v>
      </c>
      <c r="K351" s="504"/>
      <c r="L351" s="574" t="s">
        <v>192</v>
      </c>
      <c r="M351" s="574" t="s">
        <v>192</v>
      </c>
      <c r="N351" s="505" t="str">
        <f t="shared" si="28"/>
        <v>DELAY ( 1 day 5 hour 23 minute )</v>
      </c>
      <c r="O351" s="597"/>
      <c r="P351" s="507" t="s">
        <v>551</v>
      </c>
      <c r="Q351" s="507" t="s">
        <v>551</v>
      </c>
      <c r="R351" s="507" t="s">
        <v>551</v>
      </c>
      <c r="S351" s="598"/>
      <c r="T351" s="599"/>
      <c r="U351" s="599"/>
      <c r="V351" s="599"/>
      <c r="W351" s="599"/>
      <c r="X351" s="599"/>
      <c r="Y351" s="599">
        <f>H351*0.65</f>
        <v>4980.6380000000008</v>
      </c>
      <c r="Z351" s="599">
        <f>H351*0.35</f>
        <v>2681.8820000000001</v>
      </c>
      <c r="AA351" s="599"/>
      <c r="AB351" s="599"/>
      <c r="AC351" s="599"/>
      <c r="AD351" s="599"/>
      <c r="AE351" s="599"/>
      <c r="AF351" s="599"/>
      <c r="AG351" s="599"/>
      <c r="AH351" s="599"/>
      <c r="AI351" s="599"/>
      <c r="AJ351" s="599"/>
      <c r="AK351" s="598"/>
      <c r="AL351" s="599"/>
      <c r="AM351" s="599"/>
      <c r="AN351" s="599"/>
      <c r="AO351" s="599"/>
      <c r="AP351" s="599"/>
      <c r="AQ351" s="599"/>
      <c r="AR351" s="599"/>
      <c r="AS351" s="599"/>
      <c r="AT351" s="599"/>
      <c r="AU351" s="599"/>
      <c r="AV351" s="599"/>
      <c r="AW351" s="599"/>
      <c r="AX351" s="598"/>
      <c r="AY351" s="599"/>
      <c r="AZ351" s="599"/>
      <c r="BA351" s="599"/>
      <c r="BB351" s="599"/>
      <c r="BC351" s="599"/>
      <c r="BD351" s="599"/>
      <c r="BE351" s="598"/>
    </row>
    <row r="352" spans="2:57">
      <c r="B352" s="1315" t="s">
        <v>548</v>
      </c>
      <c r="C352" s="1316"/>
      <c r="D352" s="501" t="s">
        <v>3914</v>
      </c>
      <c r="E352" s="501"/>
      <c r="F352" s="501" t="s">
        <v>1240</v>
      </c>
      <c r="G352" s="501" t="s">
        <v>1241</v>
      </c>
      <c r="H352" s="629">
        <f>7719.127-6405.336</f>
        <v>1313.7910000000002</v>
      </c>
      <c r="I352" s="584" t="s">
        <v>494</v>
      </c>
      <c r="J352" s="504">
        <v>45279.791666666664</v>
      </c>
      <c r="K352" s="574"/>
      <c r="L352" s="574" t="s">
        <v>192</v>
      </c>
      <c r="M352" s="574" t="s">
        <v>192</v>
      </c>
      <c r="N352" s="505" t="str">
        <f t="shared" si="28"/>
        <v>DELAY ( 3 day 10 hour 48 minute )</v>
      </c>
      <c r="O352" s="597"/>
      <c r="P352" s="507" t="s">
        <v>551</v>
      </c>
      <c r="Q352" s="507" t="s">
        <v>551</v>
      </c>
      <c r="R352" s="507" t="s">
        <v>551</v>
      </c>
      <c r="S352" s="598"/>
      <c r="T352" s="599"/>
      <c r="U352" s="599"/>
      <c r="V352" s="599"/>
      <c r="W352" s="599"/>
      <c r="X352" s="599"/>
      <c r="Y352" s="599">
        <f>H352</f>
        <v>1313.7910000000002</v>
      </c>
      <c r="Z352" s="599"/>
      <c r="AA352" s="599"/>
      <c r="AB352" s="599"/>
      <c r="AC352" s="599"/>
      <c r="AD352" s="599"/>
      <c r="AE352" s="599"/>
      <c r="AF352" s="599"/>
      <c r="AG352" s="599"/>
      <c r="AH352" s="599"/>
      <c r="AI352" s="599"/>
      <c r="AJ352" s="599"/>
      <c r="AK352" s="599"/>
      <c r="AL352" s="599"/>
      <c r="AM352" s="599"/>
      <c r="AN352" s="599"/>
      <c r="AO352" s="599"/>
      <c r="AP352" s="599"/>
      <c r="AQ352" s="599"/>
      <c r="AR352" s="599"/>
      <c r="AS352" s="599"/>
      <c r="AT352" s="599"/>
      <c r="AU352" s="599"/>
      <c r="AV352" s="599"/>
      <c r="AW352" s="599"/>
      <c r="AX352" s="599"/>
      <c r="AY352" s="599"/>
      <c r="AZ352" s="599"/>
      <c r="BA352" s="599"/>
      <c r="BB352" s="599"/>
      <c r="BC352" s="599"/>
      <c r="BD352" s="599"/>
      <c r="BE352" s="598"/>
    </row>
    <row r="353" spans="2:57">
      <c r="B353" s="1258" t="s">
        <v>556</v>
      </c>
      <c r="C353" s="1259"/>
      <c r="D353" s="1259"/>
      <c r="E353" s="1259"/>
      <c r="F353" s="1259"/>
      <c r="G353" s="1260"/>
      <c r="H353" s="863">
        <f>SUM(H344:H352)</f>
        <v>50500</v>
      </c>
      <c r="I353" s="1458"/>
      <c r="J353" s="1458"/>
      <c r="K353" s="1458"/>
      <c r="L353" s="1458"/>
      <c r="M353" s="1458"/>
      <c r="N353" s="505" t="str">
        <f t="shared" si="28"/>
        <v xml:space="preserve"> </v>
      </c>
      <c r="O353" s="212"/>
      <c r="P353" s="590"/>
      <c r="Q353" s="590"/>
      <c r="R353" s="590"/>
      <c r="S353" s="633"/>
      <c r="T353" s="1307"/>
      <c r="U353" s="1308"/>
      <c r="V353" s="1308"/>
      <c r="W353" s="1308"/>
      <c r="X353" s="1308"/>
      <c r="Y353" s="1308"/>
      <c r="Z353" s="1308"/>
      <c r="AA353" s="1308"/>
      <c r="AB353" s="1308"/>
      <c r="AC353" s="1308"/>
      <c r="AD353" s="1308"/>
      <c r="AE353" s="1308"/>
      <c r="AF353" s="1308"/>
      <c r="AG353" s="1308"/>
      <c r="AH353" s="1308"/>
      <c r="AI353" s="1308"/>
      <c r="AJ353" s="1308"/>
      <c r="AK353" s="1308"/>
      <c r="AL353" s="1308"/>
      <c r="AM353" s="1308"/>
      <c r="AN353" s="1308"/>
      <c r="AO353" s="1308"/>
      <c r="AP353" s="1308"/>
      <c r="AQ353" s="1308"/>
      <c r="AR353" s="1308"/>
      <c r="AS353" s="1308"/>
      <c r="AT353" s="1308"/>
      <c r="AU353" s="1308"/>
      <c r="AV353" s="1308"/>
      <c r="AW353" s="1308"/>
      <c r="AX353" s="1308"/>
      <c r="AY353" s="1308"/>
      <c r="AZ353" s="1308"/>
      <c r="BA353" s="1308"/>
      <c r="BB353" s="1308"/>
      <c r="BC353" s="1308"/>
      <c r="BD353" s="1308"/>
      <c r="BE353" s="39"/>
    </row>
    <row r="354" spans="2:57">
      <c r="B354" s="1415" t="s">
        <v>557</v>
      </c>
      <c r="C354" s="1416"/>
      <c r="D354" s="1416"/>
      <c r="E354" s="1416"/>
      <c r="F354" s="1416"/>
      <c r="G354" s="1417"/>
      <c r="H354" s="845">
        <v>50500</v>
      </c>
      <c r="I354" s="1455"/>
      <c r="J354" s="1455"/>
      <c r="K354" s="1455"/>
      <c r="L354" s="1455"/>
      <c r="M354" s="1455"/>
      <c r="N354" s="505" t="str">
        <f t="shared" si="28"/>
        <v xml:space="preserve"> </v>
      </c>
      <c r="O354" s="591"/>
      <c r="P354" s="415"/>
      <c r="Q354" s="415"/>
      <c r="R354" s="415"/>
      <c r="S354" s="740"/>
      <c r="T354" s="592">
        <f>SUM(T344:T352)</f>
        <v>15102.465</v>
      </c>
      <c r="U354" s="592">
        <f t="shared" ref="U354:BD354" si="29">SUM(U344:U352)</f>
        <v>0</v>
      </c>
      <c r="V354" s="592">
        <f t="shared" si="29"/>
        <v>0</v>
      </c>
      <c r="W354" s="592">
        <f t="shared" si="29"/>
        <v>0</v>
      </c>
      <c r="X354" s="592">
        <f t="shared" si="29"/>
        <v>0</v>
      </c>
      <c r="Y354" s="592">
        <f t="shared" si="29"/>
        <v>23615.984050000003</v>
      </c>
      <c r="Z354" s="592">
        <f t="shared" si="29"/>
        <v>11781.550949999999</v>
      </c>
      <c r="AA354" s="592">
        <f t="shared" si="29"/>
        <v>0</v>
      </c>
      <c r="AB354" s="592">
        <f t="shared" si="29"/>
        <v>0</v>
      </c>
      <c r="AC354" s="592">
        <f t="shared" si="29"/>
        <v>0</v>
      </c>
      <c r="AD354" s="592">
        <f t="shared" si="29"/>
        <v>0</v>
      </c>
      <c r="AE354" s="592">
        <f t="shared" si="29"/>
        <v>0</v>
      </c>
      <c r="AF354" s="592">
        <f t="shared" si="29"/>
        <v>0</v>
      </c>
      <c r="AG354" s="592">
        <f t="shared" si="29"/>
        <v>0</v>
      </c>
      <c r="AH354" s="592">
        <f t="shared" si="29"/>
        <v>0</v>
      </c>
      <c r="AI354" s="592">
        <f t="shared" si="29"/>
        <v>0</v>
      </c>
      <c r="AJ354" s="592">
        <f t="shared" si="29"/>
        <v>0</v>
      </c>
      <c r="AK354" s="592">
        <f t="shared" si="29"/>
        <v>0</v>
      </c>
      <c r="AL354" s="592">
        <f t="shared" si="29"/>
        <v>0</v>
      </c>
      <c r="AM354" s="592">
        <f t="shared" si="29"/>
        <v>0</v>
      </c>
      <c r="AN354" s="592">
        <f t="shared" si="29"/>
        <v>0</v>
      </c>
      <c r="AO354" s="592">
        <f t="shared" si="29"/>
        <v>0</v>
      </c>
      <c r="AP354" s="592">
        <f t="shared" si="29"/>
        <v>0</v>
      </c>
      <c r="AQ354" s="592">
        <f t="shared" si="29"/>
        <v>0</v>
      </c>
      <c r="AR354" s="592">
        <f t="shared" si="29"/>
        <v>0</v>
      </c>
      <c r="AS354" s="592">
        <f t="shared" si="29"/>
        <v>0</v>
      </c>
      <c r="AT354" s="592">
        <f t="shared" si="29"/>
        <v>0</v>
      </c>
      <c r="AU354" s="592">
        <f t="shared" si="29"/>
        <v>0</v>
      </c>
      <c r="AV354" s="592">
        <f t="shared" si="29"/>
        <v>0</v>
      </c>
      <c r="AW354" s="592">
        <f t="shared" si="29"/>
        <v>0</v>
      </c>
      <c r="AX354" s="592">
        <f t="shared" si="29"/>
        <v>0</v>
      </c>
      <c r="AY354" s="592">
        <f t="shared" si="29"/>
        <v>0</v>
      </c>
      <c r="AZ354" s="592">
        <f t="shared" si="29"/>
        <v>0</v>
      </c>
      <c r="BA354" s="592">
        <f t="shared" si="29"/>
        <v>0</v>
      </c>
      <c r="BB354" s="592">
        <f t="shared" si="29"/>
        <v>0</v>
      </c>
      <c r="BC354" s="592">
        <f t="shared" si="29"/>
        <v>0</v>
      </c>
      <c r="BD354" s="592">
        <f t="shared" si="29"/>
        <v>0</v>
      </c>
      <c r="BE354" s="592">
        <f>SUM(T354:BD354)</f>
        <v>50500</v>
      </c>
    </row>
    <row r="355" spans="2:57">
      <c r="B355" s="1415" t="s">
        <v>558</v>
      </c>
      <c r="C355" s="1416"/>
      <c r="D355" s="1416"/>
      <c r="E355" s="1416"/>
      <c r="F355" s="1416"/>
      <c r="G355" s="1417"/>
      <c r="H355" s="712">
        <f>H354-L338</f>
        <v>0</v>
      </c>
      <c r="I355" s="745"/>
      <c r="J355" s="746"/>
      <c r="K355" s="746"/>
      <c r="L355" s="674"/>
      <c r="M355" s="633"/>
      <c r="N355" s="591"/>
      <c r="O355" s="591"/>
      <c r="P355" s="591"/>
      <c r="Q355" s="744"/>
      <c r="R355" s="744"/>
      <c r="S355" s="591"/>
      <c r="T355" s="645"/>
      <c r="U355" s="645"/>
      <c r="V355" s="645"/>
      <c r="W355" s="645"/>
      <c r="X355" s="645"/>
      <c r="Y355" s="645"/>
      <c r="Z355" s="645"/>
      <c r="AA355" s="645"/>
      <c r="AB355" s="645"/>
      <c r="AC355" s="591"/>
      <c r="AD355" s="591"/>
      <c r="AE355" s="591"/>
      <c r="AF355" s="591"/>
      <c r="AG355" s="591"/>
      <c r="AH355" s="591"/>
      <c r="AI355" s="591"/>
      <c r="AJ355" s="591"/>
      <c r="AK355" s="591"/>
      <c r="AL355" s="591"/>
      <c r="AM355" s="591"/>
      <c r="AN355" s="591"/>
      <c r="AO355" s="591"/>
      <c r="AP355" s="591"/>
      <c r="AQ355" s="591"/>
      <c r="AR355" s="591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</row>
    <row r="356" spans="2:57">
      <c r="B356" s="1415" t="s">
        <v>559</v>
      </c>
      <c r="C356" s="1416"/>
      <c r="D356" s="1416"/>
      <c r="E356" s="1416"/>
      <c r="F356" s="1416"/>
      <c r="G356" s="1417"/>
      <c r="H356" s="747">
        <v>6388.4790000000003</v>
      </c>
      <c r="I356" s="745"/>
      <c r="J356" s="746"/>
      <c r="K356" s="746"/>
      <c r="L356" s="674"/>
      <c r="M356" s="633"/>
      <c r="N356" s="613"/>
      <c r="O356" s="591"/>
      <c r="P356" s="591"/>
      <c r="Q356" s="591"/>
      <c r="R356" s="591"/>
      <c r="S356" s="591"/>
      <c r="T356" s="645"/>
      <c r="U356" s="645"/>
      <c r="V356" s="645"/>
      <c r="W356" s="645"/>
      <c r="X356" s="645"/>
      <c r="Y356" s="645"/>
      <c r="Z356" s="645"/>
      <c r="AA356" s="645"/>
      <c r="AB356" s="645"/>
      <c r="AC356" s="591"/>
      <c r="AD356" s="591"/>
      <c r="AE356" s="591"/>
      <c r="AF356" s="591"/>
      <c r="AG356" s="591"/>
      <c r="AH356" s="591"/>
      <c r="AI356" s="591"/>
      <c r="AJ356" s="591"/>
      <c r="AK356" s="591"/>
      <c r="AL356" s="591"/>
      <c r="AM356" s="591"/>
      <c r="AN356" s="591"/>
      <c r="AO356" s="591"/>
      <c r="AP356" s="591"/>
      <c r="AQ356" s="591"/>
      <c r="AR356" s="591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</row>
    <row r="357" spans="2:57" s="39" customFormat="1" ht="12.75" customHeight="1">
      <c r="B357" s="1415" t="s">
        <v>560</v>
      </c>
      <c r="C357" s="1416"/>
      <c r="D357" s="1416"/>
      <c r="E357" s="1416"/>
      <c r="F357" s="1416"/>
      <c r="G357" s="1417"/>
      <c r="H357" s="741">
        <f>H356-6405.336</f>
        <v>-16.856999999999971</v>
      </c>
      <c r="I357" s="641"/>
      <c r="J357" s="642"/>
      <c r="K357" s="642"/>
      <c r="L357" s="499"/>
      <c r="M357" s="613"/>
      <c r="N357" s="613"/>
      <c r="O357" s="613"/>
      <c r="P357" s="613"/>
      <c r="Q357" s="613"/>
      <c r="R357" s="613"/>
      <c r="S357" s="616"/>
      <c r="T357" s="616"/>
      <c r="U357" s="616"/>
      <c r="V357" s="616"/>
      <c r="W357" s="616"/>
      <c r="X357" s="616"/>
      <c r="Y357" s="616"/>
      <c r="Z357" s="616"/>
      <c r="AA357" s="616"/>
      <c r="AB357" s="613"/>
      <c r="AC357" s="613"/>
      <c r="AD357" s="613"/>
      <c r="AE357" s="613"/>
      <c r="AF357" s="613"/>
      <c r="AG357" s="613"/>
      <c r="AH357" s="613"/>
      <c r="AI357" s="613"/>
      <c r="AJ357" s="613"/>
      <c r="AK357" s="613"/>
      <c r="AL357" s="613"/>
      <c r="AM357" s="613"/>
      <c r="AN357" s="613"/>
      <c r="AO357" s="613"/>
      <c r="AP357" s="613"/>
      <c r="AQ357" s="613"/>
      <c r="AR357" s="496"/>
      <c r="AS357" s="496"/>
      <c r="AT357" s="496"/>
      <c r="AU357" s="496"/>
      <c r="AV357" s="496"/>
      <c r="AW357" s="496"/>
      <c r="AX357" s="496"/>
      <c r="AY357" s="496"/>
      <c r="AZ357" s="496"/>
      <c r="BA357" s="496"/>
    </row>
    <row r="358" spans="2:57">
      <c r="B358" s="613"/>
      <c r="C358" s="613"/>
      <c r="D358" s="613"/>
      <c r="E358" s="613"/>
      <c r="F358" s="613"/>
      <c r="G358" s="613"/>
      <c r="H358" s="613"/>
      <c r="I358" s="643"/>
      <c r="J358" s="641"/>
      <c r="K358" s="641"/>
      <c r="L358" s="644"/>
      <c r="M358" s="613"/>
      <c r="N358" s="613"/>
      <c r="O358" s="641"/>
      <c r="P358" s="591"/>
      <c r="Q358" s="591"/>
      <c r="R358" s="591"/>
      <c r="S358" s="591"/>
      <c r="T358" s="645"/>
      <c r="U358" s="645"/>
      <c r="V358" s="645"/>
      <c r="W358" s="645"/>
      <c r="X358" s="645"/>
      <c r="Y358" s="645"/>
      <c r="Z358" s="645"/>
      <c r="AA358" s="645"/>
      <c r="AB358" s="645"/>
      <c r="AC358" s="591"/>
      <c r="AD358" s="591"/>
      <c r="AE358" s="591"/>
      <c r="AF358" s="591"/>
      <c r="AG358" s="591"/>
      <c r="AH358" s="591"/>
      <c r="AI358" s="591"/>
      <c r="AJ358" s="591"/>
      <c r="AK358" s="591"/>
      <c r="AL358" s="591"/>
      <c r="AM358" s="591"/>
      <c r="AN358" s="591"/>
      <c r="AO358" s="591"/>
      <c r="AP358" s="591"/>
      <c r="AQ358" s="591"/>
      <c r="AR358" s="591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</row>
    <row r="359" spans="2:57">
      <c r="B359" s="619" t="s">
        <v>561</v>
      </c>
      <c r="C359" s="619"/>
      <c r="D359" s="591"/>
      <c r="E359" s="591"/>
      <c r="F359" s="591"/>
      <c r="G359" s="591"/>
      <c r="H359" s="591"/>
      <c r="I359" s="591"/>
      <c r="J359" s="646"/>
      <c r="K359" s="646"/>
      <c r="L359" s="647"/>
      <c r="M359" s="591"/>
      <c r="N359" s="613"/>
      <c r="O359" s="646"/>
      <c r="P359" s="616"/>
      <c r="Q359" s="616"/>
      <c r="R359" s="616"/>
      <c r="S359" s="616"/>
      <c r="T359" s="616"/>
      <c r="U359" s="616"/>
      <c r="V359" s="616"/>
      <c r="W359" s="616"/>
      <c r="X359" s="616"/>
      <c r="Y359" s="616"/>
      <c r="Z359" s="616"/>
      <c r="AA359" s="616"/>
      <c r="AB359" s="613"/>
      <c r="AC359" s="613"/>
      <c r="AD359" s="613"/>
      <c r="AE359" s="613"/>
      <c r="AF359" s="613"/>
      <c r="AG359" s="613"/>
      <c r="AH359" s="613"/>
      <c r="AI359" s="613"/>
      <c r="AJ359" s="613"/>
      <c r="AK359" s="613"/>
      <c r="AL359" s="613"/>
      <c r="AM359" s="613"/>
      <c r="AN359" s="613"/>
      <c r="AO359" s="613"/>
      <c r="AP359" s="613"/>
      <c r="AQ359" s="613"/>
      <c r="AR359" s="613"/>
      <c r="AS359" s="613"/>
      <c r="AT359" s="613"/>
      <c r="AU359" s="613"/>
      <c r="AV359" s="39"/>
      <c r="AW359" s="39"/>
      <c r="AX359" s="39"/>
      <c r="AY359" s="39"/>
      <c r="AZ359" s="39"/>
      <c r="BA359" s="39"/>
      <c r="BB359" s="39"/>
      <c r="BC359" s="39"/>
      <c r="BD359" s="39"/>
      <c r="BE359" s="613"/>
    </row>
    <row r="360" spans="2:57">
      <c r="B360" s="422">
        <v>1</v>
      </c>
      <c r="C360" s="1249" t="s">
        <v>4388</v>
      </c>
      <c r="D360" s="1249"/>
      <c r="E360" s="1249"/>
      <c r="F360" s="1249"/>
      <c r="G360" s="1249"/>
      <c r="H360" s="1249"/>
      <c r="I360" s="1249"/>
      <c r="J360" s="1249"/>
      <c r="K360" s="1249"/>
      <c r="L360" s="644"/>
      <c r="M360" s="644"/>
      <c r="N360" s="613"/>
      <c r="O360" s="641"/>
      <c r="P360" s="616"/>
      <c r="Q360" s="616"/>
      <c r="R360" s="616"/>
      <c r="S360" s="616"/>
      <c r="T360" s="616"/>
      <c r="U360" s="616"/>
      <c r="V360" s="616"/>
      <c r="W360" s="616"/>
      <c r="X360" s="616"/>
      <c r="Y360" s="616"/>
      <c r="Z360" s="616"/>
      <c r="AA360" s="616"/>
      <c r="AB360" s="613"/>
      <c r="AC360" s="613"/>
      <c r="AD360" s="613"/>
      <c r="AE360" s="613"/>
      <c r="AF360" s="613"/>
      <c r="AG360" s="613"/>
      <c r="AH360" s="613"/>
      <c r="AI360" s="613"/>
      <c r="AJ360" s="613"/>
      <c r="AK360" s="613"/>
      <c r="AL360" s="613"/>
      <c r="AM360" s="613"/>
      <c r="AN360" s="613"/>
      <c r="AO360" s="613"/>
      <c r="AP360" s="613"/>
      <c r="AQ360" s="613"/>
      <c r="AR360" s="613"/>
      <c r="AS360" s="613"/>
      <c r="AT360" s="613"/>
      <c r="AU360" s="613"/>
      <c r="AV360" s="613"/>
      <c r="AW360" s="613"/>
      <c r="AX360" s="613"/>
      <c r="AY360" s="613"/>
      <c r="AZ360" s="613"/>
      <c r="BA360" s="613"/>
      <c r="BB360" s="613"/>
      <c r="BC360" s="613"/>
      <c r="BD360" s="613"/>
      <c r="BE360" s="613"/>
    </row>
    <row r="362" spans="2:57">
      <c r="B362" s="28" t="s">
        <v>126</v>
      </c>
      <c r="C362" s="28"/>
      <c r="D362" s="614"/>
      <c r="E362" s="30" t="s">
        <v>511</v>
      </c>
      <c r="F362" s="31" t="s">
        <v>3194</v>
      </c>
      <c r="G362" s="591"/>
      <c r="H362" s="33"/>
      <c r="I362" s="615"/>
      <c r="J362" s="35" t="s">
        <v>513</v>
      </c>
      <c r="K362" s="36" t="s">
        <v>511</v>
      </c>
      <c r="L362" s="516">
        <v>45281.388888888891</v>
      </c>
      <c r="M362" s="591"/>
      <c r="N362" s="591"/>
      <c r="O362" s="206"/>
      <c r="P362" s="205"/>
      <c r="Q362" s="616"/>
      <c r="R362" s="204"/>
      <c r="S362" s="617"/>
      <c r="T362" s="613"/>
      <c r="U362" s="613"/>
      <c r="V362" s="613"/>
      <c r="W362" s="613"/>
      <c r="X362" s="613"/>
      <c r="Y362" s="613"/>
      <c r="Z362" s="613"/>
      <c r="AA362" s="613"/>
      <c r="AB362" s="616"/>
      <c r="AC362" s="616"/>
      <c r="AD362" s="616"/>
      <c r="AE362" s="616"/>
      <c r="AF362" s="616"/>
      <c r="AG362" s="613"/>
      <c r="AH362" s="613"/>
      <c r="AI362" s="613"/>
      <c r="AJ362" s="613"/>
      <c r="AK362" s="613"/>
      <c r="AL362" s="613"/>
      <c r="AM362" s="613"/>
      <c r="AN362" s="613"/>
      <c r="AO362" s="613"/>
      <c r="AP362" s="613"/>
      <c r="AQ362" s="613"/>
      <c r="AR362" s="613"/>
      <c r="AS362" s="613"/>
      <c r="AT362" s="613"/>
      <c r="AU362" s="613"/>
      <c r="AV362" s="613"/>
      <c r="AW362" s="613"/>
      <c r="AX362" s="613"/>
      <c r="AY362" s="613"/>
      <c r="AZ362" s="613"/>
      <c r="BA362" s="613"/>
      <c r="BB362" s="613"/>
      <c r="BC362" s="613"/>
      <c r="BD362" s="613"/>
      <c r="BE362" s="613"/>
    </row>
    <row r="363" spans="2:57">
      <c r="B363" s="35" t="s">
        <v>514</v>
      </c>
      <c r="C363" s="35"/>
      <c r="D363" s="591"/>
      <c r="E363" s="36" t="s">
        <v>511</v>
      </c>
      <c r="F363" s="311" t="s">
        <v>4389</v>
      </c>
      <c r="G363" s="591"/>
      <c r="H363" s="33"/>
      <c r="I363" s="615"/>
      <c r="J363" s="35" t="s">
        <v>516</v>
      </c>
      <c r="K363" s="36" t="s">
        <v>511</v>
      </c>
      <c r="L363" s="516">
        <v>45284.333333333336</v>
      </c>
      <c r="M363" s="591"/>
      <c r="N363" s="591"/>
      <c r="O363" s="206"/>
      <c r="P363" s="205"/>
      <c r="Q363" s="616"/>
      <c r="R363" s="204"/>
      <c r="S363" s="617"/>
      <c r="T363" s="613"/>
      <c r="U363" s="613"/>
      <c r="V363" s="613"/>
      <c r="W363" s="613"/>
      <c r="X363" s="613"/>
      <c r="Y363" s="613"/>
      <c r="Z363" s="613"/>
      <c r="AA363" s="613"/>
      <c r="AB363" s="616"/>
      <c r="AC363" s="616"/>
      <c r="AD363" s="616"/>
      <c r="AE363" s="616"/>
      <c r="AF363" s="616"/>
      <c r="AG363" s="613"/>
      <c r="AH363" s="613"/>
      <c r="AI363" s="613"/>
      <c r="AJ363" s="613"/>
      <c r="AK363" s="613"/>
      <c r="AL363" s="613"/>
      <c r="AM363" s="613"/>
      <c r="AN363" s="613"/>
      <c r="AO363" s="613"/>
      <c r="AP363" s="613"/>
      <c r="AQ363" s="613"/>
      <c r="AR363" s="613"/>
      <c r="AS363" s="613"/>
      <c r="AT363" s="613"/>
      <c r="AU363" s="613"/>
      <c r="AV363" s="613"/>
      <c r="AW363" s="613"/>
      <c r="AX363" s="613"/>
      <c r="AY363" s="613"/>
      <c r="AZ363" s="613"/>
      <c r="BA363" s="613"/>
      <c r="BB363" s="613"/>
      <c r="BC363" s="613"/>
      <c r="BD363" s="613"/>
      <c r="BE363" s="613"/>
    </row>
    <row r="364" spans="2:57">
      <c r="B364" s="35" t="s">
        <v>517</v>
      </c>
      <c r="C364" s="35"/>
      <c r="D364" s="591"/>
      <c r="E364" s="36" t="s">
        <v>511</v>
      </c>
      <c r="F364" s="516">
        <v>45278.170138888891</v>
      </c>
      <c r="G364" s="591"/>
      <c r="H364" s="33"/>
      <c r="I364" s="615"/>
      <c r="J364" s="35" t="s">
        <v>518</v>
      </c>
      <c r="K364" s="36" t="s">
        <v>511</v>
      </c>
      <c r="L364" s="692">
        <v>72200</v>
      </c>
      <c r="M364" s="619" t="s">
        <v>519</v>
      </c>
      <c r="N364" s="619"/>
      <c r="O364" s="206"/>
      <c r="P364" s="205"/>
      <c r="Q364" s="616"/>
      <c r="R364" s="204"/>
      <c r="S364" s="617"/>
      <c r="T364" s="613"/>
      <c r="U364" s="613"/>
      <c r="V364" s="613"/>
      <c r="W364" s="613"/>
      <c r="X364" s="613"/>
      <c r="Y364" s="613"/>
      <c r="Z364" s="613"/>
      <c r="AA364" s="613"/>
      <c r="AB364" s="616"/>
      <c r="AC364" s="616"/>
      <c r="AD364" s="616"/>
      <c r="AE364" s="616"/>
      <c r="AF364" s="616"/>
      <c r="AG364" s="613"/>
      <c r="AH364" s="613"/>
      <c r="AI364" s="613"/>
      <c r="AJ364" s="613"/>
      <c r="AK364" s="613"/>
      <c r="AL364" s="613"/>
      <c r="AM364" s="613"/>
      <c r="AN364" s="613"/>
      <c r="AO364" s="613"/>
      <c r="AP364" s="613"/>
      <c r="AQ364" s="613"/>
      <c r="AR364" s="613"/>
      <c r="AS364" s="613"/>
      <c r="AT364" s="613"/>
      <c r="AU364" s="613"/>
      <c r="AV364" s="613"/>
      <c r="AW364" s="613"/>
      <c r="AX364" s="613"/>
      <c r="AY364" s="613"/>
      <c r="AZ364" s="613"/>
      <c r="BA364" s="613"/>
      <c r="BB364" s="613"/>
      <c r="BC364" s="613"/>
      <c r="BD364" s="613"/>
      <c r="BE364" s="613"/>
    </row>
    <row r="365" spans="2:57">
      <c r="B365" s="35" t="s">
        <v>520</v>
      </c>
      <c r="C365" s="35"/>
      <c r="D365" s="591"/>
      <c r="E365" s="36" t="s">
        <v>511</v>
      </c>
      <c r="F365" s="37" t="s">
        <v>4</v>
      </c>
      <c r="G365" s="591"/>
      <c r="H365" s="33"/>
      <c r="I365" s="615"/>
      <c r="J365" s="35" t="s">
        <v>521</v>
      </c>
      <c r="K365" s="36" t="s">
        <v>511</v>
      </c>
      <c r="L365" s="620" t="s">
        <v>664</v>
      </c>
      <c r="M365" s="591"/>
      <c r="N365" s="591"/>
      <c r="O365" s="206"/>
      <c r="P365" s="616"/>
      <c r="Q365" s="616"/>
      <c r="R365" s="204"/>
      <c r="S365" s="617"/>
      <c r="T365" s="613"/>
      <c r="U365" s="613"/>
      <c r="V365" s="613"/>
      <c r="W365" s="613"/>
      <c r="X365" s="613"/>
      <c r="Y365" s="613"/>
      <c r="Z365" s="613"/>
      <c r="AA365" s="613"/>
      <c r="AB365" s="616"/>
      <c r="AC365" s="616"/>
      <c r="AD365" s="616"/>
      <c r="AE365" s="616"/>
      <c r="AF365" s="616"/>
      <c r="AG365" s="613"/>
      <c r="AH365" s="613"/>
      <c r="AI365" s="613"/>
      <c r="AJ365" s="613"/>
      <c r="AK365" s="613"/>
      <c r="AL365" s="613"/>
      <c r="AM365" s="613"/>
      <c r="AN365" s="613"/>
      <c r="AO365" s="613"/>
      <c r="AP365" s="613"/>
      <c r="AQ365" s="613"/>
      <c r="AR365" s="613"/>
      <c r="AS365" s="613"/>
      <c r="AT365" s="613"/>
      <c r="AU365" s="613"/>
      <c r="AV365" s="613"/>
      <c r="AW365" s="613"/>
      <c r="AX365" s="613"/>
      <c r="AY365" s="613"/>
      <c r="AZ365" s="613"/>
      <c r="BA365" s="613"/>
      <c r="BB365" s="613"/>
      <c r="BC365" s="613"/>
      <c r="BD365" s="613"/>
      <c r="BE365" s="613"/>
    </row>
    <row r="366" spans="2:57">
      <c r="B366" s="35" t="s">
        <v>523</v>
      </c>
      <c r="C366" s="35"/>
      <c r="D366" s="591"/>
      <c r="E366" s="36" t="s">
        <v>511</v>
      </c>
      <c r="F366" s="37" t="s">
        <v>5</v>
      </c>
      <c r="G366" s="591"/>
      <c r="H366" s="33"/>
      <c r="I366" s="615"/>
      <c r="J366" s="35" t="s">
        <v>524</v>
      </c>
      <c r="K366" s="36" t="s">
        <v>511</v>
      </c>
      <c r="L366" s="621" t="s">
        <v>15</v>
      </c>
      <c r="M366" s="611"/>
      <c r="N366" s="611"/>
      <c r="O366" s="206"/>
      <c r="P366" s="205"/>
      <c r="Q366" s="616"/>
      <c r="R366" s="204"/>
      <c r="S366" s="617"/>
      <c r="T366" s="613"/>
      <c r="U366" s="613"/>
      <c r="V366" s="613"/>
      <c r="W366" s="613"/>
      <c r="X366" s="613"/>
      <c r="Y366" s="613"/>
      <c r="Z366" s="613"/>
      <c r="AA366" s="613"/>
      <c r="AB366" s="616"/>
      <c r="AC366" s="616"/>
      <c r="AD366" s="616"/>
      <c r="AE366" s="616"/>
      <c r="AF366" s="616"/>
      <c r="AG366" s="613"/>
      <c r="AH366" s="613"/>
      <c r="AI366" s="613"/>
      <c r="AJ366" s="613"/>
      <c r="AK366" s="613"/>
      <c r="AL366" s="613"/>
      <c r="AM366" s="613"/>
      <c r="AN366" s="613"/>
      <c r="AO366" s="613"/>
      <c r="AP366" s="613"/>
      <c r="AQ366" s="613"/>
      <c r="AR366" s="613"/>
      <c r="AS366" s="613"/>
      <c r="AT366" s="613"/>
      <c r="AU366" s="613"/>
      <c r="AV366" s="613"/>
      <c r="AW366" s="613"/>
      <c r="AX366" s="613"/>
      <c r="AY366" s="613"/>
      <c r="AZ366" s="613"/>
      <c r="BA366" s="613"/>
      <c r="BB366" s="613"/>
      <c r="BC366" s="613"/>
      <c r="BD366" s="613"/>
      <c r="BE366" s="613"/>
    </row>
    <row r="367" spans="2:57">
      <c r="B367" s="35" t="s">
        <v>2</v>
      </c>
      <c r="C367" s="35"/>
      <c r="D367" s="591"/>
      <c r="E367" s="36" t="s">
        <v>511</v>
      </c>
      <c r="F367" s="37" t="s">
        <v>6</v>
      </c>
      <c r="G367" s="591"/>
      <c r="H367" s="33"/>
      <c r="I367" s="622"/>
      <c r="J367" s="35"/>
      <c r="K367" s="36"/>
      <c r="L367" s="211"/>
      <c r="M367" s="613"/>
      <c r="N367" s="613"/>
      <c r="O367" s="35"/>
      <c r="P367" s="611"/>
      <c r="Q367" s="611"/>
      <c r="R367" s="611"/>
      <c r="S367" s="615"/>
      <c r="T367" s="613"/>
      <c r="U367" s="613"/>
      <c r="V367" s="613"/>
      <c r="W367" s="613"/>
      <c r="X367" s="613"/>
      <c r="Y367" s="613"/>
      <c r="Z367" s="613"/>
      <c r="AA367" s="613"/>
      <c r="AB367" s="615"/>
      <c r="AC367" s="615"/>
      <c r="AD367" s="615"/>
      <c r="AE367" s="615"/>
      <c r="AF367" s="615"/>
      <c r="AG367" s="615"/>
      <c r="AH367" s="615"/>
      <c r="AI367" s="615"/>
      <c r="AJ367" s="615"/>
      <c r="AK367" s="615"/>
      <c r="AL367" s="615"/>
      <c r="AM367" s="615"/>
      <c r="AN367" s="615"/>
      <c r="AO367" s="613"/>
      <c r="AP367" s="613"/>
      <c r="AQ367" s="613"/>
      <c r="AR367" s="613"/>
      <c r="AS367" s="613"/>
      <c r="AT367" s="613"/>
      <c r="AU367" s="613"/>
      <c r="AV367" s="613"/>
      <c r="AW367" s="613"/>
      <c r="AX367" s="613"/>
      <c r="AY367" s="613"/>
      <c r="AZ367" s="613"/>
      <c r="BA367" s="613"/>
      <c r="BB367" s="613"/>
      <c r="BC367" s="613"/>
      <c r="BD367" s="613"/>
      <c r="BE367" s="613"/>
    </row>
    <row r="368" spans="2:57">
      <c r="B368" s="613"/>
      <c r="C368" s="613"/>
      <c r="D368" s="613"/>
      <c r="E368" s="613"/>
      <c r="F368" s="613"/>
      <c r="G368" s="613"/>
      <c r="H368" s="613"/>
      <c r="I368" s="622"/>
      <c r="J368" s="35"/>
      <c r="K368" s="35"/>
      <c r="L368" s="621"/>
      <c r="M368" s="611"/>
      <c r="N368" s="611"/>
      <c r="O368" s="35"/>
      <c r="P368" s="611"/>
      <c r="Q368" s="611"/>
      <c r="R368" s="611"/>
      <c r="S368" s="615"/>
      <c r="T368" s="1317" t="s">
        <v>87</v>
      </c>
      <c r="U368" s="1317"/>
      <c r="V368" s="1317"/>
      <c r="W368" s="1317"/>
      <c r="X368" s="1317"/>
      <c r="Y368" s="1317" t="s">
        <v>73</v>
      </c>
      <c r="Z368" s="1317"/>
      <c r="AA368" s="1317"/>
      <c r="AB368" s="1317" t="s">
        <v>74</v>
      </c>
      <c r="AC368" s="1317"/>
      <c r="AD368" s="623" t="s">
        <v>85</v>
      </c>
      <c r="AE368" s="854" t="s">
        <v>77</v>
      </c>
      <c r="AF368" s="1459" t="s">
        <v>525</v>
      </c>
      <c r="AG368" s="1459"/>
      <c r="AH368" s="1459"/>
      <c r="AI368" s="1459"/>
      <c r="AJ368" s="1459"/>
      <c r="AK368" s="1459"/>
      <c r="AL368" s="1459"/>
      <c r="AM368" s="1459"/>
      <c r="AN368" s="1459"/>
      <c r="AO368" s="1459"/>
      <c r="AP368" s="1459"/>
      <c r="AQ368" s="1459"/>
      <c r="AR368" s="1459"/>
      <c r="AS368" s="1459"/>
      <c r="AT368" s="1459"/>
      <c r="AU368" s="1459"/>
      <c r="AV368" s="1459"/>
      <c r="AW368" s="1459"/>
      <c r="AX368" s="1459"/>
      <c r="AY368" s="1459"/>
      <c r="AZ368" s="1459"/>
      <c r="BA368" s="1459"/>
      <c r="BB368" s="1459"/>
      <c r="BC368" s="1459"/>
      <c r="BD368" s="1459"/>
      <c r="BE368" s="613"/>
    </row>
    <row r="369" spans="2:57">
      <c r="B369" s="1318" t="s">
        <v>526</v>
      </c>
      <c r="C369" s="1319"/>
      <c r="D369" s="624" t="s">
        <v>527</v>
      </c>
      <c r="E369" s="624"/>
      <c r="F369" s="624" t="s">
        <v>528</v>
      </c>
      <c r="G369" s="624" t="s">
        <v>529</v>
      </c>
      <c r="H369" s="624" t="s">
        <v>530</v>
      </c>
      <c r="I369" s="624" t="s">
        <v>531</v>
      </c>
      <c r="J369" s="624" t="s">
        <v>532</v>
      </c>
      <c r="K369" s="624"/>
      <c r="L369" s="624" t="s">
        <v>130</v>
      </c>
      <c r="M369" s="624" t="s">
        <v>533</v>
      </c>
      <c r="N369" s="1040" t="str">
        <f>"On time - "&amp;COUNTIF(N370:N391,"On time")&amp;" from "&amp;ROWS(N370:N391)-COUNTIF(N370:N391," ")</f>
        <v>On time - 0 from 10</v>
      </c>
      <c r="O369" s="626"/>
      <c r="P369" s="627" t="s">
        <v>534</v>
      </c>
      <c r="Q369" s="627" t="s">
        <v>535</v>
      </c>
      <c r="R369" s="627" t="s">
        <v>536</v>
      </c>
      <c r="S369" s="591"/>
      <c r="T369" s="628" t="s">
        <v>537</v>
      </c>
      <c r="U369" s="628" t="s">
        <v>538</v>
      </c>
      <c r="V369" s="628" t="s">
        <v>539</v>
      </c>
      <c r="W369" s="628" t="s">
        <v>540</v>
      </c>
      <c r="X369" s="628" t="s">
        <v>541</v>
      </c>
      <c r="Y369" s="628" t="s">
        <v>167</v>
      </c>
      <c r="Z369" s="628" t="s">
        <v>168</v>
      </c>
      <c r="AA369" s="628" t="s">
        <v>169</v>
      </c>
      <c r="AB369" s="628" t="s">
        <v>235</v>
      </c>
      <c r="AC369" s="628" t="s">
        <v>240</v>
      </c>
      <c r="AD369" s="623" t="s">
        <v>85</v>
      </c>
      <c r="AE369" s="628" t="s">
        <v>139</v>
      </c>
      <c r="AF369" s="855" t="s">
        <v>72</v>
      </c>
      <c r="AG369" s="855" t="s">
        <v>88</v>
      </c>
      <c r="AH369" s="855" t="s">
        <v>75</v>
      </c>
      <c r="AI369" s="855" t="s">
        <v>543</v>
      </c>
      <c r="AJ369" s="855" t="s">
        <v>78</v>
      </c>
      <c r="AK369" s="855" t="s">
        <v>76</v>
      </c>
      <c r="AL369" s="855" t="s">
        <v>544</v>
      </c>
      <c r="AM369" s="855" t="s">
        <v>545</v>
      </c>
      <c r="AN369" s="855" t="s">
        <v>86</v>
      </c>
      <c r="AO369" s="855" t="s">
        <v>83</v>
      </c>
      <c r="AP369" s="855" t="s">
        <v>84</v>
      </c>
      <c r="AQ369" s="855" t="s">
        <v>546</v>
      </c>
      <c r="AR369" s="855" t="s">
        <v>81</v>
      </c>
      <c r="AS369" s="855" t="s">
        <v>80</v>
      </c>
      <c r="AT369" s="855" t="s">
        <v>82</v>
      </c>
      <c r="AU369" s="855" t="s">
        <v>181</v>
      </c>
      <c r="AV369" s="855" t="s">
        <v>183</v>
      </c>
      <c r="AW369" s="855" t="s">
        <v>547</v>
      </c>
      <c r="AX369" s="855" t="s">
        <v>182</v>
      </c>
      <c r="AY369" s="855" t="s">
        <v>172</v>
      </c>
      <c r="AZ369" s="855" t="s">
        <v>173</v>
      </c>
      <c r="BA369" s="855" t="s">
        <v>184</v>
      </c>
      <c r="BB369" s="855" t="s">
        <v>100</v>
      </c>
      <c r="BC369" s="855" t="s">
        <v>913</v>
      </c>
      <c r="BD369" s="855" t="s">
        <v>2747</v>
      </c>
      <c r="BE369" s="613"/>
    </row>
    <row r="370" spans="2:57">
      <c r="B370" s="1315" t="s">
        <v>616</v>
      </c>
      <c r="C370" s="1316"/>
      <c r="D370" s="501" t="s">
        <v>3825</v>
      </c>
      <c r="E370" s="585"/>
      <c r="F370" s="501" t="s">
        <v>805</v>
      </c>
      <c r="G370" s="501" t="s">
        <v>381</v>
      </c>
      <c r="H370" s="629">
        <v>7517.9960000000001</v>
      </c>
      <c r="I370" s="584" t="s">
        <v>173</v>
      </c>
      <c r="J370" s="504">
        <v>45279.59375</v>
      </c>
      <c r="K370" s="574"/>
      <c r="L370" s="574" t="s">
        <v>192</v>
      </c>
      <c r="M370" s="574" t="s">
        <v>192</v>
      </c>
      <c r="N370" s="505" t="str">
        <f>IF(ISBLANK(J370)," ",IF(J370&lt;$F$364,"On time",(IF(DAY(J370-$F$364)&lt;1,"On time",(IF(J370&gt;$F$364,"DELAY ( "&amp;DAY(J370-$F$364)&amp;" day "&amp;HOUR(J370-$F$364)&amp;" hour "&amp;MINUTE(J370-$F$364)&amp;" minute )","xxx"))))))</f>
        <v>DELAY ( 1 day 10 hour 10 minute )</v>
      </c>
      <c r="O370" s="597"/>
      <c r="P370" s="507" t="s">
        <v>551</v>
      </c>
      <c r="Q370" s="507" t="s">
        <v>551</v>
      </c>
      <c r="R370" s="507" t="s">
        <v>551</v>
      </c>
      <c r="S370" s="598"/>
      <c r="T370" s="599"/>
      <c r="U370" s="599"/>
      <c r="V370" s="599"/>
      <c r="W370" s="599"/>
      <c r="X370" s="599"/>
      <c r="Y370" s="599"/>
      <c r="Z370" s="599"/>
      <c r="AA370" s="599"/>
      <c r="AB370" s="598"/>
      <c r="AC370" s="599"/>
      <c r="AD370" s="599"/>
      <c r="AE370" s="599"/>
      <c r="AF370" s="599"/>
      <c r="AG370" s="599"/>
      <c r="AH370" s="599"/>
      <c r="AI370" s="599"/>
      <c r="AJ370" s="599"/>
      <c r="AK370" s="599"/>
      <c r="AL370" s="599"/>
      <c r="AM370" s="599"/>
      <c r="AN370" s="599"/>
      <c r="AO370" s="599"/>
      <c r="AP370" s="599"/>
      <c r="AQ370" s="599"/>
      <c r="AR370" s="599"/>
      <c r="AS370" s="599"/>
      <c r="AT370" s="599"/>
      <c r="AU370" s="599"/>
      <c r="AV370" s="599"/>
      <c r="AW370" s="599"/>
      <c r="AX370" s="599"/>
      <c r="AY370" s="599"/>
      <c r="AZ370" s="599">
        <f>H370</f>
        <v>7517.9960000000001</v>
      </c>
      <c r="BA370" s="599"/>
      <c r="BB370" s="599"/>
      <c r="BC370" s="599"/>
      <c r="BD370" s="599"/>
      <c r="BE370" s="598"/>
    </row>
    <row r="371" spans="2:57">
      <c r="B371" s="1351" t="s">
        <v>1721</v>
      </c>
      <c r="C371" s="1352"/>
      <c r="D371" s="1352"/>
      <c r="E371" s="1352"/>
      <c r="F371" s="1352"/>
      <c r="G371" s="1353"/>
      <c r="H371" s="702">
        <f>SUM(H370:H370)</f>
        <v>7517.9960000000001</v>
      </c>
      <c r="I371" s="703"/>
      <c r="J371" s="704"/>
      <c r="K371" s="704"/>
      <c r="L371" s="704"/>
      <c r="M371" s="705"/>
      <c r="N371" s="505" t="str">
        <f t="shared" ref="N371:N391" si="30">IF(ISBLANK(J371)," ",IF(J371&lt;$F$364,"On time",(IF(DAY(J371-$F$364)&lt;1,"On time",(IF(J371&gt;$F$364,"DELAY ( "&amp;DAY(J371-$F$364)&amp;" day "&amp;HOUR(J371-$F$364)&amp;" hour "&amp;MINUTE(J371-$F$364)&amp;" minute )","xxx"))))))</f>
        <v xml:space="preserve"> </v>
      </c>
      <c r="O371" s="552"/>
      <c r="P371" s="706"/>
      <c r="Q371" s="706"/>
      <c r="R371" s="706"/>
      <c r="S371" s="598"/>
      <c r="T371" s="599"/>
      <c r="U371" s="599"/>
      <c r="V371" s="599"/>
      <c r="W371" s="599"/>
      <c r="X371" s="599"/>
      <c r="Y371" s="599"/>
      <c r="Z371" s="599"/>
      <c r="AA371" s="599"/>
      <c r="AB371" s="599"/>
      <c r="AC371" s="599"/>
      <c r="AD371" s="599"/>
      <c r="AE371" s="599"/>
      <c r="AF371" s="599"/>
      <c r="AG371" s="599"/>
      <c r="AH371" s="599"/>
      <c r="AI371" s="599"/>
      <c r="AJ371" s="599"/>
      <c r="AK371" s="599"/>
      <c r="AL371" s="599"/>
      <c r="AM371" s="599"/>
      <c r="AN371" s="599"/>
      <c r="AO371" s="599"/>
      <c r="AP371" s="598"/>
      <c r="AQ371" s="599"/>
      <c r="AR371" s="599"/>
      <c r="AS371" s="599"/>
      <c r="AT371" s="599"/>
      <c r="AU371" s="599"/>
      <c r="AV371" s="599"/>
      <c r="AW371" s="599"/>
      <c r="AX371" s="599"/>
      <c r="AY371" s="599"/>
      <c r="AZ371" s="599"/>
      <c r="BA371" s="599"/>
      <c r="BB371" s="599"/>
      <c r="BC371" s="599"/>
      <c r="BD371" s="599"/>
      <c r="BE371" s="598"/>
    </row>
    <row r="372" spans="2:57">
      <c r="B372" s="1315" t="s">
        <v>619</v>
      </c>
      <c r="C372" s="1316"/>
      <c r="D372" s="501" t="s">
        <v>3781</v>
      </c>
      <c r="E372" s="501"/>
      <c r="F372" s="501" t="s">
        <v>2207</v>
      </c>
      <c r="G372" s="501" t="s">
        <v>2208</v>
      </c>
      <c r="H372" s="629">
        <v>7506.6819999999998</v>
      </c>
      <c r="I372" s="584" t="s">
        <v>3753</v>
      </c>
      <c r="J372" s="504">
        <v>45279.59375</v>
      </c>
      <c r="K372" s="574"/>
      <c r="L372" s="574" t="s">
        <v>192</v>
      </c>
      <c r="M372" s="574" t="s">
        <v>192</v>
      </c>
      <c r="N372" s="505" t="str">
        <f t="shared" si="30"/>
        <v>DELAY ( 1 day 10 hour 10 minute )</v>
      </c>
      <c r="O372" s="597"/>
      <c r="P372" s="507" t="s">
        <v>551</v>
      </c>
      <c r="Q372" s="507" t="s">
        <v>551</v>
      </c>
      <c r="R372" s="507" t="s">
        <v>551</v>
      </c>
      <c r="S372" s="598"/>
      <c r="T372" s="599"/>
      <c r="U372" s="599"/>
      <c r="V372" s="599"/>
      <c r="W372" s="599"/>
      <c r="X372" s="599"/>
      <c r="Y372" s="599"/>
      <c r="Z372" s="599"/>
      <c r="AA372" s="599"/>
      <c r="AB372" s="599">
        <f>H372*0.8</f>
        <v>6005.3456000000006</v>
      </c>
      <c r="AC372" s="599">
        <f>H372*0.2</f>
        <v>1501.3364000000001</v>
      </c>
      <c r="AD372" s="599"/>
      <c r="AE372" s="599"/>
      <c r="AF372" s="599"/>
      <c r="AG372" s="599"/>
      <c r="AH372" s="599"/>
      <c r="AI372" s="599"/>
      <c r="AJ372" s="599"/>
      <c r="AK372" s="599"/>
      <c r="AL372" s="599"/>
      <c r="AM372" s="599"/>
      <c r="AN372" s="599"/>
      <c r="AO372" s="599"/>
      <c r="AP372" s="599"/>
      <c r="AQ372" s="599"/>
      <c r="AR372" s="599"/>
      <c r="AS372" s="599"/>
      <c r="AT372" s="599"/>
      <c r="AU372" s="599"/>
      <c r="AV372" s="599"/>
      <c r="AW372" s="599"/>
      <c r="AX372" s="599"/>
      <c r="AY372" s="599"/>
      <c r="AZ372" s="599"/>
      <c r="BA372" s="599"/>
      <c r="BB372" s="599"/>
      <c r="BC372" s="599"/>
      <c r="BD372" s="599"/>
      <c r="BE372" s="598"/>
    </row>
    <row r="373" spans="2:57">
      <c r="B373" s="1326" t="s">
        <v>621</v>
      </c>
      <c r="C373" s="1327"/>
      <c r="D373" s="501" t="s">
        <v>3782</v>
      </c>
      <c r="E373" s="501"/>
      <c r="F373" s="501" t="s">
        <v>358</v>
      </c>
      <c r="G373" s="501" t="s">
        <v>359</v>
      </c>
      <c r="H373" s="629">
        <v>9257.57</v>
      </c>
      <c r="I373" s="584" t="s">
        <v>3753</v>
      </c>
      <c r="J373" s="504">
        <v>45280.5</v>
      </c>
      <c r="K373" s="574"/>
      <c r="L373" s="574" t="s">
        <v>192</v>
      </c>
      <c r="M373" s="574" t="s">
        <v>192</v>
      </c>
      <c r="N373" s="505" t="str">
        <f t="shared" si="30"/>
        <v>DELAY ( 2 day 7 hour 55 minute )</v>
      </c>
      <c r="O373" s="597"/>
      <c r="P373" s="507" t="s">
        <v>551</v>
      </c>
      <c r="Q373" s="507" t="s">
        <v>551</v>
      </c>
      <c r="R373" s="507" t="s">
        <v>551</v>
      </c>
      <c r="S373" s="598"/>
      <c r="T373" s="599"/>
      <c r="U373" s="599"/>
      <c r="V373" s="599"/>
      <c r="W373" s="599"/>
      <c r="X373" s="599"/>
      <c r="Y373" s="599"/>
      <c r="Z373" s="599"/>
      <c r="AA373" s="599"/>
      <c r="AB373" s="599">
        <f>H373*0.8</f>
        <v>7406.0560000000005</v>
      </c>
      <c r="AC373" s="599">
        <f>H373*0.2</f>
        <v>1851.5140000000001</v>
      </c>
      <c r="AD373" s="599"/>
      <c r="AE373" s="599"/>
      <c r="AF373" s="599"/>
      <c r="AG373" s="599"/>
      <c r="AH373" s="599"/>
      <c r="AI373" s="599"/>
      <c r="AJ373" s="599"/>
      <c r="AK373" s="599"/>
      <c r="AL373" s="599"/>
      <c r="AM373" s="599"/>
      <c r="AN373" s="599"/>
      <c r="AO373" s="599"/>
      <c r="AP373" s="599"/>
      <c r="AQ373" s="599"/>
      <c r="AR373" s="599"/>
      <c r="AS373" s="599"/>
      <c r="AT373" s="599"/>
      <c r="AU373" s="599"/>
      <c r="AV373" s="599"/>
      <c r="AW373" s="599"/>
      <c r="AX373" s="599"/>
      <c r="AY373" s="599"/>
      <c r="AZ373" s="599"/>
      <c r="BA373" s="599"/>
      <c r="BB373" s="599"/>
      <c r="BC373" s="599"/>
      <c r="BD373" s="599"/>
      <c r="BE373" s="598"/>
    </row>
    <row r="374" spans="2:57">
      <c r="B374" s="1421"/>
      <c r="C374" s="1422"/>
      <c r="D374" s="501"/>
      <c r="E374" s="501"/>
      <c r="F374" s="1315" t="s">
        <v>616</v>
      </c>
      <c r="G374" s="1316"/>
      <c r="H374" s="629">
        <v>1000</v>
      </c>
      <c r="I374" s="584"/>
      <c r="J374" s="504"/>
      <c r="K374" s="574"/>
      <c r="L374" s="574"/>
      <c r="M374" s="574"/>
      <c r="N374" s="505" t="str">
        <f t="shared" si="30"/>
        <v xml:space="preserve"> </v>
      </c>
      <c r="O374" s="597"/>
      <c r="P374" s="507"/>
      <c r="Q374" s="507"/>
      <c r="R374" s="507"/>
      <c r="S374" s="598"/>
      <c r="T374" s="599"/>
      <c r="U374" s="599"/>
      <c r="V374" s="599"/>
      <c r="W374" s="599"/>
      <c r="X374" s="599"/>
      <c r="Y374" s="599"/>
      <c r="Z374" s="599"/>
      <c r="AA374" s="599"/>
      <c r="AB374" s="599"/>
      <c r="AC374" s="599"/>
      <c r="AD374" s="599"/>
      <c r="AE374" s="599"/>
      <c r="AF374" s="599"/>
      <c r="AG374" s="599"/>
      <c r="AH374" s="599"/>
      <c r="AI374" s="599"/>
      <c r="AJ374" s="599"/>
      <c r="AK374" s="599"/>
      <c r="AL374" s="599"/>
      <c r="AM374" s="599"/>
      <c r="AN374" s="599"/>
      <c r="AO374" s="599"/>
      <c r="AP374" s="599"/>
      <c r="AQ374" s="599"/>
      <c r="AR374" s="599"/>
      <c r="AS374" s="599"/>
      <c r="AT374" s="599"/>
      <c r="AU374" s="599"/>
      <c r="AV374" s="599"/>
      <c r="AW374" s="599"/>
      <c r="AX374" s="599"/>
      <c r="AY374" s="599"/>
      <c r="AZ374" s="599"/>
      <c r="BA374" s="599"/>
      <c r="BB374" s="599"/>
      <c r="BC374" s="599"/>
      <c r="BD374" s="599"/>
      <c r="BE374" s="598"/>
    </row>
    <row r="375" spans="2:57">
      <c r="B375" s="1326" t="s">
        <v>622</v>
      </c>
      <c r="C375" s="1327"/>
      <c r="D375" s="501" t="s">
        <v>3785</v>
      </c>
      <c r="E375" s="501"/>
      <c r="F375" s="501" t="s">
        <v>1848</v>
      </c>
      <c r="G375" s="501" t="s">
        <v>3786</v>
      </c>
      <c r="H375" s="629">
        <v>7404.79</v>
      </c>
      <c r="I375" s="584" t="s">
        <v>235</v>
      </c>
      <c r="J375" s="504">
        <v>45280.583333333336</v>
      </c>
      <c r="K375" s="574"/>
      <c r="L375" s="574" t="s">
        <v>192</v>
      </c>
      <c r="M375" s="574" t="s">
        <v>192</v>
      </c>
      <c r="N375" s="505" t="str">
        <f t="shared" si="30"/>
        <v>DELAY ( 2 day 9 hour 55 minute )</v>
      </c>
      <c r="O375" s="597"/>
      <c r="P375" s="507" t="s">
        <v>551</v>
      </c>
      <c r="Q375" s="507" t="s">
        <v>551</v>
      </c>
      <c r="R375" s="507" t="s">
        <v>551</v>
      </c>
      <c r="S375" s="598"/>
      <c r="T375" s="599"/>
      <c r="U375" s="599"/>
      <c r="V375" s="599"/>
      <c r="W375" s="599"/>
      <c r="X375" s="599"/>
      <c r="Y375" s="599"/>
      <c r="Z375" s="599"/>
      <c r="AA375" s="599"/>
      <c r="AB375" s="599">
        <f>H375</f>
        <v>7404.79</v>
      </c>
      <c r="AC375" s="599"/>
      <c r="AD375" s="599"/>
      <c r="AE375" s="599"/>
      <c r="AF375" s="599"/>
      <c r="AG375" s="599"/>
      <c r="AH375" s="599"/>
      <c r="AI375" s="599"/>
      <c r="AJ375" s="599"/>
      <c r="AK375" s="599"/>
      <c r="AL375" s="599"/>
      <c r="AM375" s="599"/>
      <c r="AN375" s="599"/>
      <c r="AO375" s="599"/>
      <c r="AP375" s="599"/>
      <c r="AQ375" s="599"/>
      <c r="AR375" s="599"/>
      <c r="AS375" s="599"/>
      <c r="AT375" s="599"/>
      <c r="AU375" s="599"/>
      <c r="AV375" s="599"/>
      <c r="AW375" s="599"/>
      <c r="AX375" s="599"/>
      <c r="AY375" s="599"/>
      <c r="AZ375" s="599"/>
      <c r="BA375" s="599"/>
      <c r="BB375" s="599"/>
      <c r="BC375" s="599"/>
      <c r="BD375" s="599"/>
      <c r="BE375" s="598"/>
    </row>
    <row r="376" spans="2:57">
      <c r="B376" s="1421"/>
      <c r="C376" s="1422"/>
      <c r="D376" s="501"/>
      <c r="E376" s="501"/>
      <c r="F376" s="1315" t="s">
        <v>616</v>
      </c>
      <c r="G376" s="1316"/>
      <c r="H376" s="629">
        <v>1000</v>
      </c>
      <c r="I376" s="584"/>
      <c r="J376" s="504"/>
      <c r="K376" s="574"/>
      <c r="L376" s="574"/>
      <c r="M376" s="574"/>
      <c r="N376" s="505" t="str">
        <f t="shared" si="30"/>
        <v xml:space="preserve"> </v>
      </c>
      <c r="O376" s="597"/>
      <c r="P376" s="507"/>
      <c r="Q376" s="507"/>
      <c r="R376" s="507"/>
      <c r="S376" s="598"/>
      <c r="T376" s="599"/>
      <c r="U376" s="599"/>
      <c r="V376" s="599"/>
      <c r="W376" s="599"/>
      <c r="X376" s="599"/>
      <c r="Y376" s="599"/>
      <c r="Z376" s="599"/>
      <c r="AA376" s="599"/>
      <c r="AB376" s="599"/>
      <c r="AC376" s="599"/>
      <c r="AD376" s="599"/>
      <c r="AE376" s="599"/>
      <c r="AF376" s="599"/>
      <c r="AG376" s="599"/>
      <c r="AH376" s="599"/>
      <c r="AI376" s="599"/>
      <c r="AJ376" s="599"/>
      <c r="AK376" s="599"/>
      <c r="AL376" s="599"/>
      <c r="AM376" s="599"/>
      <c r="AN376" s="599"/>
      <c r="AO376" s="599"/>
      <c r="AP376" s="599"/>
      <c r="AQ376" s="599"/>
      <c r="AR376" s="599"/>
      <c r="AS376" s="599"/>
      <c r="AT376" s="599"/>
      <c r="AU376" s="599"/>
      <c r="AV376" s="599"/>
      <c r="AW376" s="599"/>
      <c r="AX376" s="599"/>
      <c r="AY376" s="599"/>
      <c r="AZ376" s="599"/>
      <c r="BA376" s="599"/>
      <c r="BB376" s="599"/>
      <c r="BC376" s="599"/>
      <c r="BD376" s="599"/>
      <c r="BE376" s="598"/>
    </row>
    <row r="377" spans="2:57">
      <c r="B377" s="1326" t="s">
        <v>623</v>
      </c>
      <c r="C377" s="1327"/>
      <c r="D377" s="501" t="s">
        <v>3779</v>
      </c>
      <c r="E377" s="501"/>
      <c r="F377" s="501" t="s">
        <v>2277</v>
      </c>
      <c r="G377" s="501" t="s">
        <v>2278</v>
      </c>
      <c r="H377" s="629">
        <v>4138.1350000000002</v>
      </c>
      <c r="I377" s="584" t="s">
        <v>1472</v>
      </c>
      <c r="J377" s="504">
        <v>45280.361111111109</v>
      </c>
      <c r="K377" s="574"/>
      <c r="L377" s="574" t="s">
        <v>192</v>
      </c>
      <c r="M377" s="574" t="s">
        <v>192</v>
      </c>
      <c r="N377" s="505" t="str">
        <f t="shared" si="30"/>
        <v>DELAY ( 2 day 4 hour 35 minute )</v>
      </c>
      <c r="O377" s="597"/>
      <c r="P377" s="507" t="s">
        <v>551</v>
      </c>
      <c r="Q377" s="507" t="s">
        <v>551</v>
      </c>
      <c r="R377" s="507" t="s">
        <v>551</v>
      </c>
      <c r="S377" s="598"/>
      <c r="T377" s="599"/>
      <c r="U377" s="599"/>
      <c r="V377" s="599"/>
      <c r="W377" s="599"/>
      <c r="X377" s="599"/>
      <c r="Y377" s="599"/>
      <c r="Z377" s="599"/>
      <c r="AA377" s="599"/>
      <c r="AB377" s="599">
        <f>H377*0.3</f>
        <v>1241.4404999999999</v>
      </c>
      <c r="AC377" s="599">
        <f>H377*0.7</f>
        <v>2896.6945000000001</v>
      </c>
      <c r="AD377" s="599"/>
      <c r="AE377" s="599"/>
      <c r="AF377" s="599"/>
      <c r="AG377" s="599"/>
      <c r="AH377" s="599"/>
      <c r="AI377" s="599"/>
      <c r="AJ377" s="599"/>
      <c r="AK377" s="599"/>
      <c r="AL377" s="599"/>
      <c r="AM377" s="599"/>
      <c r="AN377" s="599"/>
      <c r="AO377" s="599"/>
      <c r="AP377" s="599"/>
      <c r="AQ377" s="599"/>
      <c r="AR377" s="599"/>
      <c r="AS377" s="599"/>
      <c r="AT377" s="599"/>
      <c r="AU377" s="599"/>
      <c r="AV377" s="599"/>
      <c r="AW377" s="599"/>
      <c r="AX377" s="599"/>
      <c r="AY377" s="599"/>
      <c r="AZ377" s="599"/>
      <c r="BA377" s="599"/>
      <c r="BB377" s="599"/>
      <c r="BC377" s="599"/>
      <c r="BD377" s="599"/>
      <c r="BE377" s="598"/>
    </row>
    <row r="378" spans="2:57">
      <c r="B378" s="1421"/>
      <c r="C378" s="1422"/>
      <c r="D378" s="501"/>
      <c r="E378" s="501"/>
      <c r="F378" s="1315" t="s">
        <v>616</v>
      </c>
      <c r="G378" s="1316"/>
      <c r="H378" s="629">
        <v>500</v>
      </c>
      <c r="I378" s="584"/>
      <c r="J378" s="504"/>
      <c r="K378" s="574"/>
      <c r="L378" s="574"/>
      <c r="M378" s="574"/>
      <c r="N378" s="505" t="str">
        <f t="shared" si="30"/>
        <v xml:space="preserve"> </v>
      </c>
      <c r="O378" s="597"/>
      <c r="P378" s="507"/>
      <c r="Q378" s="507"/>
      <c r="R378" s="507"/>
      <c r="S378" s="598"/>
      <c r="T378" s="599"/>
      <c r="U378" s="599"/>
      <c r="V378" s="599"/>
      <c r="W378" s="599"/>
      <c r="X378" s="599"/>
      <c r="Y378" s="599"/>
      <c r="Z378" s="599"/>
      <c r="AA378" s="599"/>
      <c r="AB378" s="599"/>
      <c r="AC378" s="599"/>
      <c r="AD378" s="599"/>
      <c r="AE378" s="599"/>
      <c r="AF378" s="599"/>
      <c r="AG378" s="599"/>
      <c r="AH378" s="599"/>
      <c r="AI378" s="599"/>
      <c r="AJ378" s="599"/>
      <c r="AK378" s="599"/>
      <c r="AL378" s="599"/>
      <c r="AM378" s="599"/>
      <c r="AN378" s="599"/>
      <c r="AO378" s="599"/>
      <c r="AP378" s="599"/>
      <c r="AQ378" s="599"/>
      <c r="AR378" s="599"/>
      <c r="AS378" s="599"/>
      <c r="AT378" s="599"/>
      <c r="AU378" s="599"/>
      <c r="AV378" s="599"/>
      <c r="AW378" s="599"/>
      <c r="AX378" s="599"/>
      <c r="AY378" s="599"/>
      <c r="AZ378" s="599"/>
      <c r="BA378" s="599"/>
      <c r="BB378" s="599"/>
      <c r="BC378" s="599"/>
      <c r="BD378" s="599"/>
      <c r="BE378" s="598"/>
    </row>
    <row r="379" spans="2:57">
      <c r="B379" s="1338" t="s">
        <v>624</v>
      </c>
      <c r="C379" s="1338"/>
      <c r="D379" s="836" t="s">
        <v>3783</v>
      </c>
      <c r="E379" s="501"/>
      <c r="F379" s="501" t="s">
        <v>403</v>
      </c>
      <c r="G379" s="501" t="s">
        <v>404</v>
      </c>
      <c r="H379" s="629">
        <v>7341.7950000000001</v>
      </c>
      <c r="I379" s="584" t="s">
        <v>235</v>
      </c>
      <c r="J379" s="504">
        <v>45280.472222222219</v>
      </c>
      <c r="K379" s="504"/>
      <c r="L379" s="574" t="s">
        <v>192</v>
      </c>
      <c r="M379" s="574" t="s">
        <v>192</v>
      </c>
      <c r="N379" s="505" t="str">
        <f t="shared" si="30"/>
        <v>DELAY ( 2 day 7 hour 15 minute )</v>
      </c>
      <c r="O379" s="597"/>
      <c r="P379" s="507" t="s">
        <v>551</v>
      </c>
      <c r="Q379" s="507" t="s">
        <v>551</v>
      </c>
      <c r="R379" s="507" t="s">
        <v>551</v>
      </c>
      <c r="S379" s="598"/>
      <c r="T379" s="599"/>
      <c r="U379" s="599"/>
      <c r="V379" s="599"/>
      <c r="W379" s="599"/>
      <c r="X379" s="599"/>
      <c r="Y379" s="599"/>
      <c r="Z379" s="599"/>
      <c r="AA379" s="599"/>
      <c r="AB379" s="599">
        <f>H379</f>
        <v>7341.7950000000001</v>
      </c>
      <c r="AC379" s="599"/>
      <c r="AD379" s="599"/>
      <c r="AE379" s="599"/>
      <c r="AF379" s="599"/>
      <c r="AG379" s="599"/>
      <c r="AH379" s="599"/>
      <c r="AI379" s="599"/>
      <c r="AJ379" s="599"/>
      <c r="AK379" s="598"/>
      <c r="AL379" s="599"/>
      <c r="AM379" s="599"/>
      <c r="AN379" s="599"/>
      <c r="AO379" s="599"/>
      <c r="AP379" s="599"/>
      <c r="AQ379" s="599"/>
      <c r="AR379" s="599"/>
      <c r="AS379" s="599"/>
      <c r="AT379" s="599"/>
      <c r="AU379" s="599"/>
      <c r="AV379" s="599"/>
      <c r="AW379" s="599"/>
      <c r="AX379" s="598"/>
      <c r="AY379" s="599"/>
      <c r="AZ379" s="599"/>
      <c r="BA379" s="599"/>
      <c r="BB379" s="599"/>
      <c r="BC379" s="599"/>
      <c r="BD379" s="599"/>
      <c r="BE379" s="598"/>
    </row>
    <row r="380" spans="2:57">
      <c r="B380" s="1338"/>
      <c r="C380" s="1338"/>
      <c r="D380" s="836"/>
      <c r="E380" s="501"/>
      <c r="F380" s="1315" t="s">
        <v>616</v>
      </c>
      <c r="G380" s="1316"/>
      <c r="H380" s="629">
        <v>1000</v>
      </c>
      <c r="I380" s="584"/>
      <c r="J380" s="504"/>
      <c r="K380" s="574"/>
      <c r="L380" s="574"/>
      <c r="M380" s="574"/>
      <c r="N380" s="505" t="str">
        <f t="shared" si="30"/>
        <v xml:space="preserve"> </v>
      </c>
      <c r="O380" s="597"/>
      <c r="P380" s="507"/>
      <c r="Q380" s="507"/>
      <c r="R380" s="507"/>
      <c r="S380" s="598"/>
      <c r="T380" s="599"/>
      <c r="U380" s="599"/>
      <c r="V380" s="599"/>
      <c r="W380" s="599"/>
      <c r="X380" s="599"/>
      <c r="Y380" s="599"/>
      <c r="Z380" s="599"/>
      <c r="AA380" s="599"/>
      <c r="AB380" s="599"/>
      <c r="AC380" s="599"/>
      <c r="AD380" s="599"/>
      <c r="AE380" s="599"/>
      <c r="AF380" s="599"/>
      <c r="AG380" s="599"/>
      <c r="AH380" s="599"/>
      <c r="AI380" s="599"/>
      <c r="AJ380" s="599"/>
      <c r="AK380" s="599"/>
      <c r="AL380" s="599"/>
      <c r="AM380" s="599"/>
      <c r="AN380" s="599"/>
      <c r="AO380" s="599"/>
      <c r="AP380" s="599"/>
      <c r="AQ380" s="599"/>
      <c r="AR380" s="599"/>
      <c r="AS380" s="599"/>
      <c r="AT380" s="599"/>
      <c r="AU380" s="599"/>
      <c r="AV380" s="599"/>
      <c r="AW380" s="599"/>
      <c r="AX380" s="599"/>
      <c r="AY380" s="599"/>
      <c r="AZ380" s="599"/>
      <c r="BA380" s="599"/>
      <c r="BB380" s="599"/>
      <c r="BC380" s="599"/>
      <c r="BD380" s="599"/>
      <c r="BE380" s="598"/>
    </row>
    <row r="381" spans="2:57">
      <c r="B381" s="1326" t="s">
        <v>625</v>
      </c>
      <c r="C381" s="1327"/>
      <c r="D381" s="501" t="s">
        <v>3787</v>
      </c>
      <c r="E381" s="501"/>
      <c r="F381" s="501" t="s">
        <v>334</v>
      </c>
      <c r="G381" s="501" t="s">
        <v>335</v>
      </c>
      <c r="H381" s="629">
        <v>7821.8789999999999</v>
      </c>
      <c r="I381" s="584" t="s">
        <v>235</v>
      </c>
      <c r="J381" s="504">
        <v>45280.645833333336</v>
      </c>
      <c r="K381" s="574"/>
      <c r="L381" s="574" t="s">
        <v>192</v>
      </c>
      <c r="M381" s="574" t="s">
        <v>192</v>
      </c>
      <c r="N381" s="505" t="str">
        <f t="shared" si="30"/>
        <v>DELAY ( 2 day 11 hour 25 minute )</v>
      </c>
      <c r="O381" s="597"/>
      <c r="P381" s="507" t="s">
        <v>551</v>
      </c>
      <c r="Q381" s="507" t="s">
        <v>551</v>
      </c>
      <c r="R381" s="507" t="s">
        <v>551</v>
      </c>
      <c r="S381" s="598"/>
      <c r="T381" s="599"/>
      <c r="U381" s="599"/>
      <c r="V381" s="599"/>
      <c r="W381" s="599"/>
      <c r="X381" s="599"/>
      <c r="Y381" s="599"/>
      <c r="Z381" s="599"/>
      <c r="AA381" s="599"/>
      <c r="AB381" s="599">
        <f>H381</f>
        <v>7821.8789999999999</v>
      </c>
      <c r="AC381" s="599"/>
      <c r="AD381" s="599"/>
      <c r="AE381" s="599"/>
      <c r="AF381" s="599"/>
      <c r="AG381" s="599"/>
      <c r="AH381" s="599"/>
      <c r="AI381" s="599"/>
      <c r="AJ381" s="599"/>
      <c r="AK381" s="599"/>
      <c r="AL381" s="599"/>
      <c r="AM381" s="599"/>
      <c r="AN381" s="599"/>
      <c r="AO381" s="599"/>
      <c r="AP381" s="599"/>
      <c r="AQ381" s="599"/>
      <c r="AR381" s="599"/>
      <c r="AS381" s="599"/>
      <c r="AT381" s="599"/>
      <c r="AU381" s="599"/>
      <c r="AV381" s="599"/>
      <c r="AW381" s="599"/>
      <c r="AX381" s="599"/>
      <c r="AY381" s="599"/>
      <c r="AZ381" s="599"/>
      <c r="BA381" s="599"/>
      <c r="BB381" s="599"/>
      <c r="BC381" s="599"/>
      <c r="BD381" s="599"/>
      <c r="BE381" s="598"/>
    </row>
    <row r="382" spans="2:57">
      <c r="B382" s="1421"/>
      <c r="C382" s="1422"/>
      <c r="D382" s="501"/>
      <c r="E382" s="501"/>
      <c r="F382" s="1315" t="s">
        <v>616</v>
      </c>
      <c r="G382" s="1316"/>
      <c r="H382" s="629">
        <v>1000</v>
      </c>
      <c r="I382" s="584"/>
      <c r="J382" s="504"/>
      <c r="K382" s="574"/>
      <c r="L382" s="574"/>
      <c r="M382" s="574"/>
      <c r="N382" s="505" t="str">
        <f t="shared" si="30"/>
        <v xml:space="preserve"> </v>
      </c>
      <c r="O382" s="597"/>
      <c r="P382" s="507"/>
      <c r="Q382" s="507"/>
      <c r="R382" s="507"/>
      <c r="S382" s="598"/>
      <c r="T382" s="599"/>
      <c r="U382" s="599"/>
      <c r="V382" s="599"/>
      <c r="W382" s="599"/>
      <c r="X382" s="599"/>
      <c r="Y382" s="599"/>
      <c r="Z382" s="599"/>
      <c r="AA382" s="599"/>
      <c r="AB382" s="599"/>
      <c r="AC382" s="599"/>
      <c r="AD382" s="599"/>
      <c r="AE382" s="599"/>
      <c r="AF382" s="599"/>
      <c r="AG382" s="599"/>
      <c r="AH382" s="599"/>
      <c r="AI382" s="599"/>
      <c r="AJ382" s="599"/>
      <c r="AK382" s="599"/>
      <c r="AL382" s="599"/>
      <c r="AM382" s="599"/>
      <c r="AN382" s="599"/>
      <c r="AO382" s="599"/>
      <c r="AP382" s="599"/>
      <c r="AQ382" s="599"/>
      <c r="AR382" s="599"/>
      <c r="AS382" s="599"/>
      <c r="AT382" s="599"/>
      <c r="AU382" s="599"/>
      <c r="AV382" s="599"/>
      <c r="AW382" s="599"/>
      <c r="AX382" s="599"/>
      <c r="AY382" s="599"/>
      <c r="AZ382" s="599"/>
      <c r="BA382" s="599"/>
      <c r="BB382" s="599"/>
      <c r="BC382" s="599"/>
      <c r="BD382" s="599"/>
      <c r="BE382" s="598"/>
    </row>
    <row r="383" spans="2:57">
      <c r="B383" s="1326" t="s">
        <v>669</v>
      </c>
      <c r="C383" s="1327"/>
      <c r="D383" s="836" t="s">
        <v>3784</v>
      </c>
      <c r="E383" s="501"/>
      <c r="F383" s="501" t="s">
        <v>295</v>
      </c>
      <c r="G383" s="501" t="s">
        <v>296</v>
      </c>
      <c r="H383" s="629">
        <v>9532.6720000000005</v>
      </c>
      <c r="I383" s="584" t="s">
        <v>235</v>
      </c>
      <c r="J383" s="504">
        <v>45280.965277777781</v>
      </c>
      <c r="K383" s="574"/>
      <c r="L383" s="574" t="s">
        <v>192</v>
      </c>
      <c r="M383" s="574" t="s">
        <v>192</v>
      </c>
      <c r="N383" s="505" t="str">
        <f t="shared" si="30"/>
        <v>DELAY ( 2 day 19 hour 5 minute )</v>
      </c>
      <c r="O383" s="597"/>
      <c r="P383" s="507" t="s">
        <v>551</v>
      </c>
      <c r="Q383" s="507" t="s">
        <v>551</v>
      </c>
      <c r="R383" s="507" t="s">
        <v>551</v>
      </c>
      <c r="S383" s="598"/>
      <c r="T383" s="599"/>
      <c r="U383" s="599"/>
      <c r="V383" s="599"/>
      <c r="W383" s="599"/>
      <c r="X383" s="599"/>
      <c r="Y383" s="599"/>
      <c r="Z383" s="599"/>
      <c r="AA383" s="599"/>
      <c r="AB383" s="599">
        <f>H383</f>
        <v>9532.6720000000005</v>
      </c>
      <c r="AC383" s="599"/>
      <c r="AD383" s="599"/>
      <c r="AE383" s="599"/>
      <c r="AF383" s="599"/>
      <c r="AG383" s="599"/>
      <c r="AH383" s="599"/>
      <c r="AI383" s="599"/>
      <c r="AJ383" s="599"/>
      <c r="AK383" s="599"/>
      <c r="AL383" s="599"/>
      <c r="AM383" s="599"/>
      <c r="AN383" s="599"/>
      <c r="AO383" s="599"/>
      <c r="AP383" s="599"/>
      <c r="AQ383" s="599"/>
      <c r="AR383" s="599"/>
      <c r="AS383" s="599"/>
      <c r="AT383" s="599"/>
      <c r="AU383" s="599"/>
      <c r="AV383" s="599"/>
      <c r="AW383" s="599"/>
      <c r="AX383" s="599"/>
      <c r="AY383" s="599"/>
      <c r="AZ383" s="599"/>
      <c r="BA383" s="599"/>
      <c r="BB383" s="599"/>
      <c r="BC383" s="599"/>
      <c r="BD383" s="599"/>
      <c r="BE383" s="598"/>
    </row>
    <row r="384" spans="2:57">
      <c r="B384" s="1421"/>
      <c r="C384" s="1422"/>
      <c r="D384" s="836"/>
      <c r="E384" s="501"/>
      <c r="F384" s="1315" t="s">
        <v>616</v>
      </c>
      <c r="G384" s="1316"/>
      <c r="H384" s="629">
        <v>1000</v>
      </c>
      <c r="I384" s="584"/>
      <c r="J384" s="504"/>
      <c r="K384" s="574"/>
      <c r="L384" s="574"/>
      <c r="M384" s="574"/>
      <c r="N384" s="505" t="str">
        <f t="shared" si="30"/>
        <v xml:space="preserve"> </v>
      </c>
      <c r="O384" s="597"/>
      <c r="P384" s="507"/>
      <c r="Q384" s="507"/>
      <c r="R384" s="507"/>
      <c r="S384" s="598"/>
      <c r="T384" s="599"/>
      <c r="U384" s="599"/>
      <c r="V384" s="599"/>
      <c r="W384" s="599"/>
      <c r="X384" s="599"/>
      <c r="Y384" s="599"/>
      <c r="Z384" s="599"/>
      <c r="AA384" s="599"/>
      <c r="AB384" s="599"/>
      <c r="AC384" s="599"/>
      <c r="AD384" s="599"/>
      <c r="AE384" s="599"/>
      <c r="AF384" s="599"/>
      <c r="AG384" s="599"/>
      <c r="AH384" s="599"/>
      <c r="AI384" s="599"/>
      <c r="AJ384" s="599"/>
      <c r="AK384" s="599"/>
      <c r="AL384" s="599"/>
      <c r="AM384" s="599"/>
      <c r="AN384" s="599"/>
      <c r="AO384" s="599"/>
      <c r="AP384" s="599"/>
      <c r="AQ384" s="599"/>
      <c r="AR384" s="599"/>
      <c r="AS384" s="599"/>
      <c r="AT384" s="599"/>
      <c r="AU384" s="599"/>
      <c r="AV384" s="599"/>
      <c r="AW384" s="599"/>
      <c r="AX384" s="599"/>
      <c r="AY384" s="599"/>
      <c r="AZ384" s="599"/>
      <c r="BA384" s="599"/>
      <c r="BB384" s="599"/>
      <c r="BC384" s="599"/>
      <c r="BD384" s="599"/>
      <c r="BE384" s="598"/>
    </row>
    <row r="385" spans="2:57">
      <c r="B385" s="1338" t="s">
        <v>670</v>
      </c>
      <c r="C385" s="1338"/>
      <c r="D385" s="836" t="s">
        <v>3789</v>
      </c>
      <c r="E385" s="501"/>
      <c r="F385" s="501" t="s">
        <v>238</v>
      </c>
      <c r="G385" s="501" t="s">
        <v>239</v>
      </c>
      <c r="H385" s="629">
        <v>7612.567</v>
      </c>
      <c r="I385" s="584" t="s">
        <v>235</v>
      </c>
      <c r="J385" s="504">
        <v>45281.986111111109</v>
      </c>
      <c r="K385" s="574"/>
      <c r="L385" s="574" t="s">
        <v>192</v>
      </c>
      <c r="M385" s="574" t="s">
        <v>192</v>
      </c>
      <c r="N385" s="505" t="str">
        <f t="shared" si="30"/>
        <v>DELAY ( 3 day 19 hour 35 minute )</v>
      </c>
      <c r="O385" s="597"/>
      <c r="P385" s="507" t="s">
        <v>551</v>
      </c>
      <c r="Q385" s="507" t="s">
        <v>551</v>
      </c>
      <c r="R385" s="507" t="s">
        <v>551</v>
      </c>
      <c r="S385" s="598"/>
      <c r="T385" s="599"/>
      <c r="U385" s="599"/>
      <c r="V385" s="599"/>
      <c r="W385" s="599"/>
      <c r="X385" s="599"/>
      <c r="Y385" s="599"/>
      <c r="Z385" s="598"/>
      <c r="AA385" s="599"/>
      <c r="AB385" s="599">
        <f>H385</f>
        <v>7612.567</v>
      </c>
      <c r="AC385" s="599"/>
      <c r="AD385" s="599"/>
      <c r="AE385" s="599"/>
      <c r="AF385" s="599"/>
      <c r="AG385" s="599"/>
      <c r="AH385" s="599"/>
      <c r="AI385" s="599"/>
      <c r="AJ385" s="599"/>
      <c r="AK385" s="599"/>
      <c r="AL385" s="599"/>
      <c r="AM385" s="599"/>
      <c r="AN385" s="599"/>
      <c r="AO385" s="599"/>
      <c r="AP385" s="599"/>
      <c r="AQ385" s="599"/>
      <c r="AR385" s="599"/>
      <c r="AS385" s="599"/>
      <c r="AT385" s="599"/>
      <c r="AU385" s="599"/>
      <c r="AV385" s="599"/>
      <c r="AW385" s="599"/>
      <c r="AX385" s="599"/>
      <c r="AY385" s="599"/>
      <c r="AZ385" s="599"/>
      <c r="BA385" s="599"/>
      <c r="BB385" s="599"/>
      <c r="BC385" s="599"/>
      <c r="BD385" s="599"/>
      <c r="BE385" s="598"/>
    </row>
    <row r="386" spans="2:57">
      <c r="B386" s="1338"/>
      <c r="C386" s="1338"/>
      <c r="D386" s="836"/>
      <c r="E386" s="501"/>
      <c r="F386" s="1315" t="s">
        <v>616</v>
      </c>
      <c r="G386" s="1316"/>
      <c r="H386" s="629">
        <v>1000</v>
      </c>
      <c r="I386" s="584"/>
      <c r="J386" s="504"/>
      <c r="K386" s="574"/>
      <c r="L386" s="574"/>
      <c r="M386" s="574"/>
      <c r="N386" s="505" t="str">
        <f t="shared" si="30"/>
        <v xml:space="preserve"> </v>
      </c>
      <c r="O386" s="597"/>
      <c r="P386" s="507"/>
      <c r="Q386" s="507"/>
      <c r="R386" s="507"/>
      <c r="S386" s="598"/>
      <c r="T386" s="599"/>
      <c r="U386" s="599"/>
      <c r="V386" s="599"/>
      <c r="W386" s="599"/>
      <c r="X386" s="599"/>
      <c r="Y386" s="599"/>
      <c r="Z386" s="599"/>
      <c r="AA386" s="599"/>
      <c r="AB386" s="599"/>
      <c r="AC386" s="599"/>
      <c r="AD386" s="599"/>
      <c r="AE386" s="599"/>
      <c r="AF386" s="599"/>
      <c r="AG386" s="599"/>
      <c r="AH386" s="599"/>
      <c r="AI386" s="599"/>
      <c r="AJ386" s="599"/>
      <c r="AK386" s="599"/>
      <c r="AL386" s="599"/>
      <c r="AM386" s="599"/>
      <c r="AN386" s="599"/>
      <c r="AO386" s="599"/>
      <c r="AP386" s="599"/>
      <c r="AQ386" s="599"/>
      <c r="AR386" s="599"/>
      <c r="AS386" s="599"/>
      <c r="AT386" s="599"/>
      <c r="AU386" s="599"/>
      <c r="AV386" s="599"/>
      <c r="AW386" s="599"/>
      <c r="AX386" s="599"/>
      <c r="AY386" s="599"/>
      <c r="AZ386" s="599"/>
      <c r="BA386" s="599"/>
      <c r="BB386" s="599"/>
      <c r="BC386" s="599"/>
      <c r="BD386" s="599"/>
      <c r="BE386" s="598"/>
    </row>
    <row r="387" spans="2:57">
      <c r="B387" s="1338" t="s">
        <v>867</v>
      </c>
      <c r="C387" s="1338"/>
      <c r="D387" s="836" t="s">
        <v>3790</v>
      </c>
      <c r="E387" s="501"/>
      <c r="F387" s="501" t="s">
        <v>2295</v>
      </c>
      <c r="G387" s="501" t="s">
        <v>2296</v>
      </c>
      <c r="H387" s="629">
        <f>10274.529-6208.615</f>
        <v>4065.9140000000007</v>
      </c>
      <c r="I387" s="584" t="s">
        <v>3753</v>
      </c>
      <c r="J387" s="574">
        <v>45282.333333333336</v>
      </c>
      <c r="K387" s="574"/>
      <c r="L387" s="574" t="s">
        <v>192</v>
      </c>
      <c r="M387" s="574" t="s">
        <v>192</v>
      </c>
      <c r="N387" s="505" t="str">
        <f t="shared" si="30"/>
        <v>DELAY ( 4 day 3 hour 55 minute )</v>
      </c>
      <c r="O387" s="597"/>
      <c r="P387" s="507" t="s">
        <v>551</v>
      </c>
      <c r="Q387" s="507" t="s">
        <v>551</v>
      </c>
      <c r="R387" s="507" t="s">
        <v>551</v>
      </c>
      <c r="S387" s="598"/>
      <c r="T387" s="599"/>
      <c r="U387" s="599"/>
      <c r="V387" s="599"/>
      <c r="W387" s="599"/>
      <c r="X387" s="599"/>
      <c r="Y387" s="599"/>
      <c r="Z387" s="599"/>
      <c r="AA387" s="599"/>
      <c r="AB387" s="599">
        <f>H387*0.8</f>
        <v>3252.7312000000006</v>
      </c>
      <c r="AC387" s="599">
        <f>H387*0.2</f>
        <v>813.18280000000016</v>
      </c>
      <c r="AD387" s="599"/>
      <c r="AE387" s="599"/>
      <c r="AF387" s="599"/>
      <c r="AG387" s="599"/>
      <c r="AH387" s="599"/>
      <c r="AI387" s="599"/>
      <c r="AJ387" s="599"/>
      <c r="AK387" s="599"/>
      <c r="AL387" s="599"/>
      <c r="AM387" s="599"/>
      <c r="AN387" s="599"/>
      <c r="AO387" s="599"/>
      <c r="AP387" s="599"/>
      <c r="AQ387" s="599"/>
      <c r="AR387" s="599"/>
      <c r="AS387" s="599"/>
      <c r="AT387" s="599"/>
      <c r="AU387" s="599"/>
      <c r="AV387" s="599"/>
      <c r="AW387" s="599"/>
      <c r="AX387" s="599"/>
      <c r="AY387" s="599"/>
      <c r="AZ387" s="599"/>
      <c r="BA387" s="599"/>
      <c r="BB387" s="599"/>
      <c r="BC387" s="599"/>
      <c r="BD387" s="599"/>
      <c r="BE387" s="598"/>
    </row>
    <row r="388" spans="2:57">
      <c r="B388" s="1338"/>
      <c r="C388" s="1338"/>
      <c r="D388" s="836"/>
      <c r="E388" s="501"/>
      <c r="F388" s="1315" t="s">
        <v>616</v>
      </c>
      <c r="G388" s="1316"/>
      <c r="H388" s="866">
        <f>1018-0.004</f>
        <v>1017.996</v>
      </c>
      <c r="I388" s="1120"/>
      <c r="J388" s="605"/>
      <c r="K388" s="605"/>
      <c r="L388" s="605"/>
      <c r="M388" s="605"/>
      <c r="N388" s="505" t="str">
        <f t="shared" si="30"/>
        <v xml:space="preserve"> </v>
      </c>
      <c r="O388" s="597"/>
      <c r="P388" s="507"/>
      <c r="Q388" s="507"/>
      <c r="R388" s="507"/>
      <c r="S388" s="598"/>
      <c r="T388" s="599"/>
      <c r="U388" s="599"/>
      <c r="V388" s="599"/>
      <c r="W388" s="599"/>
      <c r="X388" s="599"/>
      <c r="Y388" s="599"/>
      <c r="Z388" s="599"/>
      <c r="AA388" s="599"/>
      <c r="AB388" s="599"/>
      <c r="AC388" s="599"/>
      <c r="AD388" s="599"/>
      <c r="AE388" s="599"/>
      <c r="AF388" s="599"/>
      <c r="AG388" s="599"/>
      <c r="AH388" s="599"/>
      <c r="AI388" s="599"/>
      <c r="AJ388" s="599"/>
      <c r="AK388" s="599"/>
      <c r="AL388" s="599"/>
      <c r="AM388" s="599"/>
      <c r="AN388" s="599"/>
      <c r="AO388" s="599"/>
      <c r="AP388" s="599"/>
      <c r="AQ388" s="599"/>
      <c r="AR388" s="599"/>
      <c r="AS388" s="599"/>
      <c r="AT388" s="599"/>
      <c r="AU388" s="599"/>
      <c r="AV388" s="599"/>
      <c r="AW388" s="599"/>
      <c r="AX388" s="599"/>
      <c r="AY388" s="599"/>
      <c r="AZ388" s="599"/>
      <c r="BA388" s="599"/>
      <c r="BB388" s="599"/>
      <c r="BC388" s="599"/>
      <c r="BD388" s="599"/>
      <c r="BE388" s="598"/>
    </row>
    <row r="389" spans="2:57">
      <c r="B389" s="1480" t="s">
        <v>626</v>
      </c>
      <c r="C389" s="1481"/>
      <c r="D389" s="1482"/>
      <c r="E389" s="1482"/>
      <c r="F389" s="1482"/>
      <c r="G389" s="1482"/>
      <c r="H389" s="908">
        <f>H372+H373+H375+H377+H381+H379+H383+H385+H387</f>
        <v>64682.004000000001</v>
      </c>
      <c r="I389" s="1073"/>
      <c r="J389" s="1074"/>
      <c r="K389" s="1074"/>
      <c r="L389" s="1074"/>
      <c r="M389" s="1074"/>
      <c r="N389" s="505" t="str">
        <f t="shared" si="30"/>
        <v xml:space="preserve"> </v>
      </c>
      <c r="O389" s="552"/>
      <c r="P389" s="706"/>
      <c r="Q389" s="706"/>
      <c r="R389" s="706"/>
      <c r="S389" s="598"/>
      <c r="T389" s="1462"/>
      <c r="U389" s="1462"/>
      <c r="V389" s="1462"/>
      <c r="W389" s="1462"/>
      <c r="X389" s="1462"/>
      <c r="Y389" s="1462"/>
      <c r="Z389" s="1462"/>
      <c r="AA389" s="1462"/>
      <c r="AB389" s="1462"/>
      <c r="AC389" s="1462"/>
      <c r="AD389" s="1462"/>
      <c r="AE389" s="1462"/>
      <c r="AF389" s="1462"/>
      <c r="AG389" s="1462"/>
      <c r="AH389" s="1462"/>
      <c r="AI389" s="1462"/>
      <c r="AJ389" s="1462"/>
      <c r="AK389" s="1462"/>
      <c r="AL389" s="1462"/>
      <c r="AM389" s="1462"/>
      <c r="AN389" s="1462"/>
      <c r="AO389" s="1462"/>
      <c r="AP389" s="1462"/>
      <c r="AQ389" s="1462"/>
      <c r="AR389" s="1462"/>
      <c r="AS389" s="1462"/>
      <c r="AT389" s="1462"/>
      <c r="AU389" s="1462"/>
      <c r="AV389" s="1462"/>
      <c r="AW389" s="1462"/>
      <c r="AX389" s="1462"/>
      <c r="AY389" s="1462"/>
      <c r="AZ389" s="1462"/>
      <c r="BA389" s="1462"/>
      <c r="BB389" s="1462"/>
      <c r="BC389" s="1462"/>
      <c r="BD389" s="1462"/>
    </row>
    <row r="390" spans="2:57">
      <c r="B390" s="1258" t="s">
        <v>556</v>
      </c>
      <c r="C390" s="1259"/>
      <c r="D390" s="1259"/>
      <c r="E390" s="1259"/>
      <c r="F390" s="1259"/>
      <c r="G390" s="1260"/>
      <c r="H390" s="863">
        <f>H371+H389</f>
        <v>72200</v>
      </c>
      <c r="I390" s="1458"/>
      <c r="J390" s="1458"/>
      <c r="K390" s="1458"/>
      <c r="L390" s="1458"/>
      <c r="M390" s="1458"/>
      <c r="N390" s="505" t="str">
        <f t="shared" si="30"/>
        <v xml:space="preserve"> </v>
      </c>
      <c r="O390" s="212"/>
      <c r="P390" s="590"/>
      <c r="Q390" s="590"/>
      <c r="R390" s="590"/>
      <c r="S390" s="633"/>
      <c r="T390" s="1307"/>
      <c r="U390" s="1308"/>
      <c r="V390" s="1308"/>
      <c r="W390" s="1308"/>
      <c r="X390" s="1308"/>
      <c r="Y390" s="1308"/>
      <c r="Z390" s="1308"/>
      <c r="AA390" s="1308"/>
      <c r="AB390" s="1308"/>
      <c r="AC390" s="1308"/>
      <c r="AD390" s="1308"/>
      <c r="AE390" s="1308"/>
      <c r="AF390" s="1308"/>
      <c r="AG390" s="1308"/>
      <c r="AH390" s="1308"/>
      <c r="AI390" s="1308"/>
      <c r="AJ390" s="1308"/>
      <c r="AK390" s="1308"/>
      <c r="AL390" s="1308"/>
      <c r="AM390" s="1308"/>
      <c r="AN390" s="1308"/>
      <c r="AO390" s="1308"/>
      <c r="AP390" s="1308"/>
      <c r="AQ390" s="1308"/>
      <c r="AR390" s="1308"/>
      <c r="AS390" s="1308"/>
      <c r="AT390" s="1308"/>
      <c r="AU390" s="1308"/>
      <c r="AV390" s="1308"/>
      <c r="AW390" s="1308"/>
      <c r="AX390" s="1308"/>
      <c r="AY390" s="1308"/>
      <c r="AZ390" s="1308"/>
      <c r="BA390" s="1308"/>
      <c r="BB390" s="1308"/>
      <c r="BC390" s="1308"/>
      <c r="BD390" s="1308"/>
      <c r="BE390" s="39"/>
    </row>
    <row r="391" spans="2:57">
      <c r="B391" s="1415" t="s">
        <v>557</v>
      </c>
      <c r="C391" s="1416"/>
      <c r="D391" s="1416"/>
      <c r="E391" s="1416"/>
      <c r="F391" s="1416"/>
      <c r="G391" s="1417"/>
      <c r="H391" s="845">
        <v>72200</v>
      </c>
      <c r="I391" s="1455"/>
      <c r="J391" s="1455"/>
      <c r="K391" s="1455"/>
      <c r="L391" s="1455"/>
      <c r="M391" s="1455"/>
      <c r="N391" s="505" t="str">
        <f t="shared" si="30"/>
        <v xml:space="preserve"> </v>
      </c>
      <c r="O391" s="591"/>
      <c r="P391" s="415"/>
      <c r="Q391" s="415"/>
      <c r="R391" s="415"/>
      <c r="S391" s="740"/>
      <c r="T391" s="592">
        <f t="shared" ref="T391:BD391" si="31">SUM(T370:T387)</f>
        <v>0</v>
      </c>
      <c r="U391" s="592">
        <f t="shared" si="31"/>
        <v>0</v>
      </c>
      <c r="V391" s="592">
        <f t="shared" si="31"/>
        <v>0</v>
      </c>
      <c r="W391" s="592">
        <f t="shared" si="31"/>
        <v>0</v>
      </c>
      <c r="X391" s="592">
        <f t="shared" si="31"/>
        <v>0</v>
      </c>
      <c r="Y391" s="592">
        <f t="shared" si="31"/>
        <v>0</v>
      </c>
      <c r="Z391" s="592">
        <f t="shared" si="31"/>
        <v>0</v>
      </c>
      <c r="AA391" s="592">
        <f t="shared" si="31"/>
        <v>0</v>
      </c>
      <c r="AB391" s="592">
        <f t="shared" si="31"/>
        <v>57619.276300000005</v>
      </c>
      <c r="AC391" s="592">
        <f t="shared" si="31"/>
        <v>7062.7277000000013</v>
      </c>
      <c r="AD391" s="592">
        <f t="shared" si="31"/>
        <v>0</v>
      </c>
      <c r="AE391" s="592">
        <f t="shared" si="31"/>
        <v>0</v>
      </c>
      <c r="AF391" s="592">
        <f t="shared" si="31"/>
        <v>0</v>
      </c>
      <c r="AG391" s="592">
        <f t="shared" si="31"/>
        <v>0</v>
      </c>
      <c r="AH391" s="592">
        <f t="shared" si="31"/>
        <v>0</v>
      </c>
      <c r="AI391" s="592">
        <f t="shared" si="31"/>
        <v>0</v>
      </c>
      <c r="AJ391" s="592">
        <f t="shared" si="31"/>
        <v>0</v>
      </c>
      <c r="AK391" s="592">
        <f t="shared" si="31"/>
        <v>0</v>
      </c>
      <c r="AL391" s="592">
        <f t="shared" si="31"/>
        <v>0</v>
      </c>
      <c r="AM391" s="592">
        <f t="shared" si="31"/>
        <v>0</v>
      </c>
      <c r="AN391" s="592">
        <f t="shared" si="31"/>
        <v>0</v>
      </c>
      <c r="AO391" s="592">
        <f t="shared" si="31"/>
        <v>0</v>
      </c>
      <c r="AP391" s="592">
        <f t="shared" si="31"/>
        <v>0</v>
      </c>
      <c r="AQ391" s="592">
        <f t="shared" si="31"/>
        <v>0</v>
      </c>
      <c r="AR391" s="592">
        <f t="shared" si="31"/>
        <v>0</v>
      </c>
      <c r="AS391" s="592">
        <f t="shared" si="31"/>
        <v>0</v>
      </c>
      <c r="AT391" s="592">
        <f t="shared" si="31"/>
        <v>0</v>
      </c>
      <c r="AU391" s="592">
        <f t="shared" si="31"/>
        <v>0</v>
      </c>
      <c r="AV391" s="592">
        <f t="shared" si="31"/>
        <v>0</v>
      </c>
      <c r="AW391" s="592">
        <f t="shared" si="31"/>
        <v>0</v>
      </c>
      <c r="AX391" s="592">
        <f t="shared" si="31"/>
        <v>0</v>
      </c>
      <c r="AY391" s="592">
        <f t="shared" si="31"/>
        <v>0</v>
      </c>
      <c r="AZ391" s="592">
        <f t="shared" si="31"/>
        <v>7517.9960000000001</v>
      </c>
      <c r="BA391" s="592">
        <f t="shared" si="31"/>
        <v>0</v>
      </c>
      <c r="BB391" s="592">
        <f t="shared" si="31"/>
        <v>0</v>
      </c>
      <c r="BC391" s="592">
        <f t="shared" si="31"/>
        <v>0</v>
      </c>
      <c r="BD391" s="592">
        <f t="shared" si="31"/>
        <v>0</v>
      </c>
      <c r="BE391" s="592">
        <f>SUM(T391:BD391)</f>
        <v>72200.000000000015</v>
      </c>
    </row>
    <row r="392" spans="2:57">
      <c r="B392" s="1415" t="s">
        <v>558</v>
      </c>
      <c r="C392" s="1416"/>
      <c r="D392" s="1416"/>
      <c r="E392" s="1416"/>
      <c r="F392" s="1416"/>
      <c r="G392" s="1417"/>
      <c r="H392" s="712">
        <f>H391-L364</f>
        <v>0</v>
      </c>
      <c r="I392" s="745"/>
      <c r="J392" s="746"/>
      <c r="K392" s="746"/>
      <c r="L392" s="674"/>
      <c r="M392" s="633"/>
      <c r="N392" s="591"/>
      <c r="O392" s="591"/>
      <c r="P392" s="591"/>
      <c r="Q392" s="744"/>
      <c r="R392" s="744"/>
      <c r="S392" s="591"/>
      <c r="T392" s="645"/>
      <c r="U392" s="645"/>
      <c r="V392" s="645"/>
      <c r="W392" s="645"/>
      <c r="X392" s="645"/>
      <c r="Y392" s="645"/>
      <c r="Z392" s="645"/>
      <c r="AA392" s="645"/>
      <c r="AB392" s="645"/>
      <c r="AC392" s="591"/>
      <c r="AD392" s="591"/>
      <c r="AE392" s="591"/>
      <c r="AF392" s="591"/>
      <c r="AG392" s="591"/>
      <c r="AH392" s="591"/>
      <c r="AI392" s="591"/>
      <c r="AJ392" s="591"/>
      <c r="AK392" s="591"/>
      <c r="AL392" s="591"/>
      <c r="AM392" s="591"/>
      <c r="AN392" s="591"/>
      <c r="AO392" s="591"/>
      <c r="AP392" s="591"/>
      <c r="AQ392" s="591"/>
      <c r="AR392" s="591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</row>
    <row r="393" spans="2:57">
      <c r="B393" s="1415" t="s">
        <v>559</v>
      </c>
      <c r="C393" s="1416"/>
      <c r="D393" s="1416"/>
      <c r="E393" s="1416"/>
      <c r="F393" s="1416"/>
      <c r="G393" s="1417"/>
      <c r="H393" s="747">
        <v>5334.3869999999997</v>
      </c>
      <c r="I393" s="745"/>
      <c r="J393" s="746"/>
      <c r="K393" s="746"/>
      <c r="L393" s="674"/>
      <c r="M393" s="633"/>
      <c r="N393" s="613"/>
      <c r="O393" s="591"/>
      <c r="P393" s="591"/>
      <c r="Q393" s="591"/>
      <c r="R393" s="591"/>
      <c r="S393" s="591"/>
      <c r="T393" s="645"/>
      <c r="U393" s="645"/>
      <c r="V393" s="645"/>
      <c r="W393" s="645"/>
      <c r="X393" s="645"/>
      <c r="Y393" s="645"/>
      <c r="Z393" s="645"/>
      <c r="AA393" s="645"/>
      <c r="AB393" s="645"/>
      <c r="AC393" s="591"/>
      <c r="AD393" s="591"/>
      <c r="AE393" s="591"/>
      <c r="AF393" s="591"/>
      <c r="AG393" s="591"/>
      <c r="AH393" s="591"/>
      <c r="AI393" s="591"/>
      <c r="AJ393" s="591"/>
      <c r="AK393" s="591"/>
      <c r="AL393" s="591"/>
      <c r="AM393" s="591"/>
      <c r="AN393" s="591"/>
      <c r="AO393" s="591"/>
      <c r="AP393" s="591"/>
      <c r="AQ393" s="591"/>
      <c r="AR393" s="591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</row>
    <row r="394" spans="2:57" s="39" customFormat="1" ht="12.75" customHeight="1">
      <c r="B394" s="1415" t="s">
        <v>560</v>
      </c>
      <c r="C394" s="1416"/>
      <c r="D394" s="1416"/>
      <c r="E394" s="1416"/>
      <c r="F394" s="1416"/>
      <c r="G394" s="1417"/>
      <c r="H394" s="741">
        <f>H393-6208.615</f>
        <v>-874.22800000000007</v>
      </c>
      <c r="I394" s="641"/>
      <c r="J394" s="642"/>
      <c r="K394" s="642"/>
      <c r="L394" s="499"/>
      <c r="M394" s="613"/>
      <c r="N394" s="613"/>
      <c r="O394" s="613"/>
      <c r="P394" s="613"/>
      <c r="Q394" s="613"/>
      <c r="R394" s="613"/>
      <c r="S394" s="616"/>
      <c r="T394" s="616"/>
      <c r="U394" s="616"/>
      <c r="V394" s="616"/>
      <c r="W394" s="616"/>
      <c r="X394" s="616"/>
      <c r="Y394" s="616"/>
      <c r="Z394" s="616"/>
      <c r="AA394" s="616"/>
      <c r="AB394" s="613"/>
      <c r="AC394" s="613"/>
      <c r="AD394" s="613"/>
      <c r="AE394" s="613"/>
      <c r="AF394" s="613"/>
      <c r="AG394" s="613"/>
      <c r="AH394" s="613"/>
      <c r="AI394" s="613"/>
      <c r="AJ394" s="613"/>
      <c r="AK394" s="613"/>
      <c r="AL394" s="613"/>
      <c r="AM394" s="613"/>
      <c r="AN394" s="613"/>
      <c r="AO394" s="613"/>
      <c r="AP394" s="613"/>
      <c r="AQ394" s="613"/>
      <c r="AR394" s="496"/>
      <c r="AS394" s="496"/>
      <c r="AT394" s="496"/>
      <c r="AU394" s="496"/>
      <c r="AV394" s="496"/>
      <c r="AW394" s="496"/>
      <c r="AX394" s="496"/>
      <c r="AY394" s="496"/>
      <c r="AZ394" s="496"/>
      <c r="BA394" s="496"/>
    </row>
    <row r="395" spans="2:57">
      <c r="B395" s="613"/>
      <c r="C395" s="613"/>
      <c r="D395" s="613"/>
      <c r="E395" s="613"/>
      <c r="F395" s="613"/>
      <c r="G395" s="613"/>
      <c r="H395" s="613"/>
      <c r="I395" s="643"/>
      <c r="J395" s="641"/>
      <c r="K395" s="641"/>
      <c r="L395" s="644"/>
      <c r="M395" s="613"/>
      <c r="N395" s="613"/>
      <c r="O395" s="641"/>
      <c r="P395" s="591"/>
      <c r="Q395" s="591"/>
      <c r="R395" s="591"/>
      <c r="S395" s="591"/>
      <c r="T395" s="645"/>
      <c r="U395" s="645"/>
      <c r="V395" s="645"/>
      <c r="W395" s="645"/>
      <c r="X395" s="645"/>
      <c r="Y395" s="645"/>
      <c r="Z395" s="645"/>
      <c r="AA395" s="645"/>
      <c r="AB395" s="645"/>
      <c r="AC395" s="591"/>
      <c r="AD395" s="591"/>
      <c r="AE395" s="591"/>
      <c r="AF395" s="591"/>
      <c r="AG395" s="591"/>
      <c r="AH395" s="591"/>
      <c r="AI395" s="591"/>
      <c r="AJ395" s="591"/>
      <c r="AK395" s="591"/>
      <c r="AL395" s="591"/>
      <c r="AM395" s="591"/>
      <c r="AN395" s="591"/>
      <c r="AO395" s="591"/>
      <c r="AP395" s="591"/>
      <c r="AQ395" s="591"/>
      <c r="AR395" s="591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</row>
    <row r="396" spans="2:57">
      <c r="B396" s="619" t="s">
        <v>561</v>
      </c>
      <c r="C396" s="619"/>
      <c r="D396" s="591"/>
      <c r="E396" s="591"/>
      <c r="F396" s="591"/>
      <c r="G396" s="591"/>
      <c r="H396" s="591"/>
      <c r="I396" s="591"/>
      <c r="J396" s="646"/>
      <c r="K396" s="646"/>
      <c r="L396" s="647"/>
      <c r="M396" s="591"/>
      <c r="N396" s="613"/>
      <c r="O396" s="646"/>
      <c r="P396" s="616"/>
      <c r="Q396" s="616"/>
      <c r="R396" s="616"/>
      <c r="S396" s="616"/>
      <c r="T396" s="616"/>
      <c r="U396" s="616"/>
      <c r="V396" s="616"/>
      <c r="W396" s="616"/>
      <c r="X396" s="616"/>
      <c r="Y396" s="616"/>
      <c r="Z396" s="616"/>
      <c r="AA396" s="616"/>
      <c r="AB396" s="613"/>
      <c r="AC396" s="613"/>
      <c r="AD396" s="613"/>
      <c r="AE396" s="613"/>
      <c r="AF396" s="613"/>
      <c r="AG396" s="613"/>
      <c r="AH396" s="613"/>
      <c r="AI396" s="613"/>
      <c r="AJ396" s="613"/>
      <c r="AK396" s="613"/>
      <c r="AL396" s="613"/>
      <c r="AM396" s="613"/>
      <c r="AN396" s="613"/>
      <c r="AO396" s="613"/>
      <c r="AP396" s="613"/>
      <c r="AQ396" s="613"/>
      <c r="AR396" s="613"/>
      <c r="AS396" s="613"/>
      <c r="AT396" s="613"/>
      <c r="AU396" s="613"/>
      <c r="AV396" s="39"/>
      <c r="AW396" s="39"/>
      <c r="AX396" s="39"/>
      <c r="AY396" s="39"/>
      <c r="AZ396" s="39"/>
      <c r="BA396" s="39"/>
      <c r="BB396" s="39"/>
      <c r="BC396" s="39"/>
      <c r="BD396" s="39"/>
      <c r="BE396" s="613"/>
    </row>
    <row r="397" spans="2:57">
      <c r="B397" s="1121">
        <v>1</v>
      </c>
      <c r="C397" s="1484" t="s">
        <v>4390</v>
      </c>
      <c r="D397" s="1484"/>
      <c r="E397" s="1484"/>
      <c r="F397" s="1484"/>
      <c r="G397" s="1484"/>
      <c r="H397" s="1484"/>
      <c r="I397" s="1484"/>
      <c r="J397" s="1484"/>
      <c r="K397" s="1484"/>
      <c r="L397" s="644"/>
      <c r="M397" s="644"/>
      <c r="N397" s="613"/>
      <c r="O397" s="641"/>
      <c r="P397" s="616"/>
      <c r="Q397" s="616"/>
      <c r="R397" s="616"/>
      <c r="S397" s="616"/>
      <c r="T397" s="616"/>
      <c r="U397" s="616"/>
      <c r="V397" s="616"/>
      <c r="W397" s="616"/>
      <c r="X397" s="616"/>
      <c r="Y397" s="616"/>
      <c r="Z397" s="616"/>
      <c r="AA397" s="616"/>
      <c r="AB397" s="613"/>
      <c r="AC397" s="613"/>
      <c r="AD397" s="613"/>
      <c r="AE397" s="613"/>
      <c r="AF397" s="613"/>
      <c r="AG397" s="613"/>
      <c r="AH397" s="613"/>
      <c r="AI397" s="613"/>
      <c r="AJ397" s="613"/>
      <c r="AK397" s="613"/>
      <c r="AL397" s="613"/>
      <c r="AM397" s="613"/>
      <c r="AN397" s="613"/>
      <c r="AO397" s="613"/>
      <c r="AP397" s="613"/>
      <c r="AQ397" s="613"/>
      <c r="AR397" s="613"/>
      <c r="AS397" s="613"/>
      <c r="AT397" s="613"/>
      <c r="AU397" s="613"/>
      <c r="AV397" s="613"/>
      <c r="AW397" s="613"/>
      <c r="AX397" s="613"/>
      <c r="AY397" s="613"/>
      <c r="AZ397" s="613"/>
      <c r="BA397" s="613"/>
      <c r="BB397" s="613"/>
      <c r="BC397" s="613"/>
      <c r="BD397" s="613"/>
      <c r="BE397" s="613"/>
    </row>
    <row r="399" spans="2:57">
      <c r="B399" s="680" t="s">
        <v>126</v>
      </c>
      <c r="C399" s="680"/>
      <c r="D399" s="681"/>
      <c r="E399" s="682" t="s">
        <v>511</v>
      </c>
      <c r="F399" s="683" t="s">
        <v>3199</v>
      </c>
      <c r="G399" s="598"/>
      <c r="H399" s="684"/>
      <c r="I399" s="685"/>
      <c r="J399" s="686" t="s">
        <v>513</v>
      </c>
      <c r="K399" s="687" t="s">
        <v>511</v>
      </c>
      <c r="L399" s="516">
        <v>45285.756944444445</v>
      </c>
      <c r="M399" s="598"/>
      <c r="N399" s="598"/>
      <c r="O399" s="687"/>
      <c r="P399" s="684"/>
      <c r="Q399" s="688"/>
      <c r="R399" s="689"/>
      <c r="S399" s="690"/>
      <c r="T399" s="598"/>
      <c r="U399" s="598"/>
      <c r="V399" s="598"/>
      <c r="W399" s="598"/>
      <c r="X399" s="598"/>
      <c r="Y399" s="598"/>
      <c r="Z399" s="598"/>
      <c r="AA399" s="598"/>
      <c r="AB399" s="688"/>
      <c r="AC399" s="688"/>
      <c r="AD399" s="688"/>
      <c r="AE399" s="688"/>
      <c r="AF399" s="688"/>
      <c r="AG399" s="598"/>
      <c r="AH399" s="598"/>
      <c r="AI399" s="598"/>
      <c r="AJ399" s="598"/>
      <c r="AK399" s="598"/>
      <c r="AL399" s="598"/>
      <c r="AM399" s="598"/>
      <c r="AN399" s="598"/>
      <c r="AO399" s="598"/>
      <c r="AP399" s="598"/>
      <c r="AQ399" s="598"/>
      <c r="AR399" s="598"/>
      <c r="AS399" s="598"/>
      <c r="AT399" s="598"/>
      <c r="AU399" s="598"/>
      <c r="AV399" s="598"/>
      <c r="AW399" s="598"/>
      <c r="AX399" s="598"/>
      <c r="AY399" s="598"/>
      <c r="AZ399" s="598"/>
      <c r="BA399" s="598"/>
      <c r="BB399" s="598"/>
      <c r="BC399" s="598"/>
      <c r="BD399" s="598"/>
      <c r="BE399" s="598"/>
    </row>
    <row r="400" spans="2:57">
      <c r="B400" s="686" t="s">
        <v>514</v>
      </c>
      <c r="C400" s="686"/>
      <c r="D400" s="598"/>
      <c r="E400" s="687" t="s">
        <v>511</v>
      </c>
      <c r="F400" s="691" t="s">
        <v>4389</v>
      </c>
      <c r="G400" s="598"/>
      <c r="H400" s="684"/>
      <c r="I400" s="685"/>
      <c r="J400" s="686" t="s">
        <v>516</v>
      </c>
      <c r="K400" s="687" t="s">
        <v>511</v>
      </c>
      <c r="L400" s="516">
        <v>45288.194444444445</v>
      </c>
      <c r="M400" s="598"/>
      <c r="N400" s="598"/>
      <c r="O400" s="687"/>
      <c r="P400" s="684"/>
      <c r="Q400" s="688"/>
      <c r="R400" s="689"/>
      <c r="S400" s="690"/>
      <c r="T400" s="598"/>
      <c r="U400" s="598"/>
      <c r="V400" s="598"/>
      <c r="W400" s="598"/>
      <c r="X400" s="598"/>
      <c r="Y400" s="598"/>
      <c r="Z400" s="598"/>
      <c r="AA400" s="598"/>
      <c r="AB400" s="688"/>
      <c r="AC400" s="688"/>
      <c r="AD400" s="688"/>
      <c r="AE400" s="688"/>
      <c r="AF400" s="688"/>
      <c r="AG400" s="598"/>
      <c r="AH400" s="598"/>
      <c r="AI400" s="598"/>
      <c r="AJ400" s="598"/>
      <c r="AK400" s="598"/>
      <c r="AL400" s="598"/>
      <c r="AM400" s="598"/>
      <c r="AN400" s="598"/>
      <c r="AO400" s="598"/>
      <c r="AP400" s="598"/>
      <c r="AQ400" s="598"/>
      <c r="AR400" s="598"/>
      <c r="AS400" s="598"/>
      <c r="AT400" s="598"/>
      <c r="AU400" s="598"/>
      <c r="AV400" s="598"/>
      <c r="AW400" s="598"/>
      <c r="AX400" s="598"/>
      <c r="AY400" s="598"/>
      <c r="AZ400" s="598"/>
      <c r="BA400" s="598"/>
      <c r="BB400" s="598"/>
      <c r="BC400" s="598"/>
      <c r="BD400" s="598"/>
      <c r="BE400" s="598"/>
    </row>
    <row r="401" spans="2:57">
      <c r="B401" s="686" t="s">
        <v>517</v>
      </c>
      <c r="C401" s="686"/>
      <c r="D401" s="598"/>
      <c r="E401" s="687" t="s">
        <v>511</v>
      </c>
      <c r="F401" s="516">
        <v>45281.104166666664</v>
      </c>
      <c r="G401" s="598"/>
      <c r="H401" s="684"/>
      <c r="I401" s="685"/>
      <c r="J401" s="686" t="s">
        <v>518</v>
      </c>
      <c r="K401" s="687" t="s">
        <v>511</v>
      </c>
      <c r="L401" s="692">
        <v>73500</v>
      </c>
      <c r="M401" s="693" t="s">
        <v>519</v>
      </c>
      <c r="N401" s="693"/>
      <c r="O401" s="687"/>
      <c r="P401" s="684"/>
      <c r="Q401" s="688"/>
      <c r="R401" s="689"/>
      <c r="S401" s="690"/>
      <c r="T401" s="598"/>
      <c r="U401" s="598"/>
      <c r="V401" s="598"/>
      <c r="W401" s="598"/>
      <c r="X401" s="598"/>
      <c r="Y401" s="598"/>
      <c r="Z401" s="598"/>
      <c r="AA401" s="598"/>
      <c r="AB401" s="688"/>
      <c r="AC401" s="688"/>
      <c r="AD401" s="688"/>
      <c r="AE401" s="688"/>
      <c r="AF401" s="688"/>
      <c r="AG401" s="598"/>
      <c r="AH401" s="598"/>
      <c r="AI401" s="598"/>
      <c r="AJ401" s="598"/>
      <c r="AK401" s="598"/>
      <c r="AL401" s="598"/>
      <c r="AM401" s="598"/>
      <c r="AN401" s="598"/>
      <c r="AO401" s="598"/>
      <c r="AP401" s="598"/>
      <c r="AQ401" s="598"/>
      <c r="AR401" s="598"/>
      <c r="AS401" s="598"/>
      <c r="AT401" s="598"/>
      <c r="AU401" s="598"/>
      <c r="AV401" s="598"/>
      <c r="AW401" s="598"/>
      <c r="AX401" s="598"/>
      <c r="AY401" s="598"/>
      <c r="AZ401" s="598"/>
      <c r="BA401" s="598"/>
      <c r="BB401" s="598"/>
      <c r="BC401" s="598"/>
      <c r="BD401" s="598"/>
      <c r="BE401" s="598"/>
    </row>
    <row r="402" spans="2:57">
      <c r="B402" s="686" t="s">
        <v>520</v>
      </c>
      <c r="C402" s="686"/>
      <c r="D402" s="598"/>
      <c r="E402" s="687" t="s">
        <v>511</v>
      </c>
      <c r="F402" s="516" t="s">
        <v>4</v>
      </c>
      <c r="G402" s="598"/>
      <c r="H402" s="684"/>
      <c r="I402" s="685"/>
      <c r="J402" s="686" t="s">
        <v>521</v>
      </c>
      <c r="K402" s="687" t="s">
        <v>511</v>
      </c>
      <c r="L402" s="839" t="s">
        <v>3200</v>
      </c>
      <c r="M402" s="598"/>
      <c r="N402" s="598"/>
      <c r="O402" s="687"/>
      <c r="P402" s="688"/>
      <c r="Q402" s="688"/>
      <c r="R402" s="689"/>
      <c r="S402" s="690"/>
      <c r="T402" s="598"/>
      <c r="U402" s="598"/>
      <c r="V402" s="598"/>
      <c r="W402" s="598"/>
      <c r="X402" s="598"/>
      <c r="Y402" s="598"/>
      <c r="Z402" s="598"/>
      <c r="AA402" s="598"/>
      <c r="AB402" s="688"/>
      <c r="AC402" s="688"/>
      <c r="AD402" s="688"/>
      <c r="AE402" s="688"/>
      <c r="AF402" s="688"/>
      <c r="AG402" s="598"/>
      <c r="AH402" s="598"/>
      <c r="AI402" s="598"/>
      <c r="AJ402" s="598"/>
      <c r="AK402" s="598"/>
      <c r="AL402" s="598"/>
      <c r="AM402" s="598"/>
      <c r="AN402" s="598"/>
      <c r="AO402" s="598"/>
      <c r="AP402" s="598"/>
      <c r="AQ402" s="598"/>
      <c r="AR402" s="598"/>
      <c r="AS402" s="598"/>
      <c r="AT402" s="598"/>
      <c r="AU402" s="598"/>
      <c r="AV402" s="598"/>
      <c r="AW402" s="598"/>
      <c r="AX402" s="598"/>
      <c r="AY402" s="598"/>
      <c r="AZ402" s="598"/>
      <c r="BA402" s="598"/>
      <c r="BB402" s="598"/>
      <c r="BC402" s="598"/>
      <c r="BD402" s="598"/>
      <c r="BE402" s="598"/>
    </row>
    <row r="403" spans="2:57">
      <c r="B403" s="686" t="s">
        <v>523</v>
      </c>
      <c r="C403" s="686"/>
      <c r="D403" s="598"/>
      <c r="E403" s="687" t="s">
        <v>511</v>
      </c>
      <c r="F403" s="516" t="s">
        <v>5</v>
      </c>
      <c r="G403" s="598"/>
      <c r="H403" s="684"/>
      <c r="I403" s="685"/>
      <c r="J403" s="686" t="s">
        <v>524</v>
      </c>
      <c r="K403" s="687" t="s">
        <v>511</v>
      </c>
      <c r="L403" s="694" t="s">
        <v>15</v>
      </c>
      <c r="M403" s="695"/>
      <c r="N403" s="695"/>
      <c r="O403" s="687"/>
      <c r="P403" s="684"/>
      <c r="Q403" s="688"/>
      <c r="R403" s="689"/>
      <c r="S403" s="690"/>
      <c r="T403" s="598"/>
      <c r="U403" s="598"/>
      <c r="V403" s="598"/>
      <c r="W403" s="598"/>
      <c r="X403" s="598"/>
      <c r="Y403" s="598"/>
      <c r="Z403" s="598"/>
      <c r="AA403" s="598"/>
      <c r="AB403" s="688"/>
      <c r="AC403" s="688"/>
      <c r="AD403" s="688"/>
      <c r="AE403" s="688"/>
      <c r="AF403" s="688"/>
      <c r="AG403" s="598"/>
      <c r="AH403" s="598"/>
      <c r="AI403" s="598"/>
      <c r="AJ403" s="598"/>
      <c r="AK403" s="598"/>
      <c r="AL403" s="598"/>
      <c r="AM403" s="598"/>
      <c r="AN403" s="598"/>
      <c r="AO403" s="598"/>
      <c r="AP403" s="598"/>
      <c r="AQ403" s="598"/>
      <c r="AR403" s="598"/>
      <c r="AS403" s="598"/>
      <c r="AT403" s="598"/>
      <c r="AU403" s="598"/>
      <c r="AV403" s="598"/>
      <c r="AW403" s="598"/>
      <c r="AX403" s="598"/>
      <c r="AY403" s="598"/>
      <c r="AZ403" s="598"/>
      <c r="BA403" s="598"/>
      <c r="BB403" s="598"/>
      <c r="BC403" s="598"/>
      <c r="BD403" s="598"/>
      <c r="BE403" s="598"/>
    </row>
    <row r="404" spans="2:57">
      <c r="B404" s="686" t="s">
        <v>2</v>
      </c>
      <c r="C404" s="686"/>
      <c r="D404" s="598"/>
      <c r="E404" s="687" t="s">
        <v>511</v>
      </c>
      <c r="F404" s="516" t="s">
        <v>56</v>
      </c>
      <c r="G404" s="598"/>
      <c r="H404" s="684"/>
      <c r="I404" s="696"/>
      <c r="J404" s="686"/>
      <c r="K404" s="687"/>
      <c r="L404" s="516"/>
      <c r="M404" s="598"/>
      <c r="N404" s="598"/>
      <c r="O404" s="686"/>
      <c r="P404" s="695"/>
      <c r="Q404" s="695"/>
      <c r="R404" s="695"/>
      <c r="S404" s="685"/>
      <c r="T404" s="598"/>
      <c r="U404" s="598"/>
      <c r="V404" s="598"/>
      <c r="W404" s="598"/>
      <c r="X404" s="598"/>
      <c r="Y404" s="598"/>
      <c r="Z404" s="598"/>
      <c r="AA404" s="598"/>
      <c r="AB404" s="685"/>
      <c r="AC404" s="685"/>
      <c r="AD404" s="685"/>
      <c r="AE404" s="685"/>
      <c r="AF404" s="685"/>
      <c r="AG404" s="685"/>
      <c r="AH404" s="685"/>
      <c r="AI404" s="685"/>
      <c r="AJ404" s="685"/>
      <c r="AK404" s="685"/>
      <c r="AL404" s="685"/>
      <c r="AM404" s="685"/>
      <c r="AN404" s="685"/>
      <c r="AO404" s="598"/>
      <c r="AP404" s="598"/>
      <c r="AQ404" s="598"/>
      <c r="AR404" s="598"/>
      <c r="AS404" s="598"/>
      <c r="AT404" s="598"/>
      <c r="AU404" s="598"/>
      <c r="AV404" s="598"/>
      <c r="AW404" s="598"/>
      <c r="AX404" s="598"/>
      <c r="AY404" s="598"/>
      <c r="AZ404" s="598"/>
      <c r="BA404" s="598"/>
      <c r="BB404" s="598"/>
      <c r="BC404" s="598"/>
      <c r="BD404" s="598"/>
      <c r="BE404" s="598"/>
    </row>
    <row r="405" spans="2:57">
      <c r="B405" s="598"/>
      <c r="C405" s="598"/>
      <c r="D405" s="598"/>
      <c r="E405" s="598"/>
      <c r="F405" s="598"/>
      <c r="G405" s="598"/>
      <c r="H405" s="598"/>
      <c r="I405" s="696"/>
      <c r="J405" s="686"/>
      <c r="K405" s="686"/>
      <c r="L405" s="694"/>
      <c r="M405" s="695"/>
      <c r="N405" s="695"/>
      <c r="O405" s="686"/>
      <c r="P405" s="695"/>
      <c r="Q405" s="695"/>
      <c r="R405" s="695"/>
      <c r="S405" s="685"/>
      <c r="T405" s="1440" t="s">
        <v>87</v>
      </c>
      <c r="U405" s="1440"/>
      <c r="V405" s="1440"/>
      <c r="W405" s="1440"/>
      <c r="X405" s="1440"/>
      <c r="Y405" s="1440" t="s">
        <v>73</v>
      </c>
      <c r="Z405" s="1440"/>
      <c r="AA405" s="1440"/>
      <c r="AB405" s="1440" t="s">
        <v>74</v>
      </c>
      <c r="AC405" s="1440"/>
      <c r="AD405" s="697" t="s">
        <v>85</v>
      </c>
      <c r="AE405" s="840" t="s">
        <v>77</v>
      </c>
      <c r="AF405" s="1465" t="s">
        <v>525</v>
      </c>
      <c r="AG405" s="1465"/>
      <c r="AH405" s="1465"/>
      <c r="AI405" s="1465"/>
      <c r="AJ405" s="1465"/>
      <c r="AK405" s="1465"/>
      <c r="AL405" s="1465"/>
      <c r="AM405" s="1465"/>
      <c r="AN405" s="1465"/>
      <c r="AO405" s="1465"/>
      <c r="AP405" s="1465"/>
      <c r="AQ405" s="1465"/>
      <c r="AR405" s="1465"/>
      <c r="AS405" s="1465"/>
      <c r="AT405" s="1465"/>
      <c r="AU405" s="1465"/>
      <c r="AV405" s="1465"/>
      <c r="AW405" s="1465"/>
      <c r="AX405" s="1465"/>
      <c r="AY405" s="1465"/>
      <c r="AZ405" s="1465"/>
      <c r="BA405" s="1465"/>
      <c r="BB405" s="1465"/>
      <c r="BC405" s="1465"/>
      <c r="BD405" s="1465"/>
      <c r="BE405" s="598"/>
    </row>
    <row r="406" spans="2:57">
      <c r="B406" s="1441" t="s">
        <v>526</v>
      </c>
      <c r="C406" s="1442"/>
      <c r="D406" s="698" t="s">
        <v>527</v>
      </c>
      <c r="E406" s="698"/>
      <c r="F406" s="698" t="s">
        <v>528</v>
      </c>
      <c r="G406" s="698" t="s">
        <v>529</v>
      </c>
      <c r="H406" s="698" t="s">
        <v>530</v>
      </c>
      <c r="I406" s="698" t="s">
        <v>531</v>
      </c>
      <c r="J406" s="698" t="s">
        <v>532</v>
      </c>
      <c r="K406" s="698"/>
      <c r="L406" s="698" t="s">
        <v>130</v>
      </c>
      <c r="M406" s="698" t="s">
        <v>533</v>
      </c>
      <c r="N406" s="1040" t="str">
        <f>"On time - "&amp;COUNTIF(N407:N435,"On time")&amp;" from "&amp;ROWS(N407:N435)-COUNTIF(N407:N435," ")</f>
        <v>On time - 0 from 11</v>
      </c>
      <c r="O406" s="699"/>
      <c r="P406" s="700" t="s">
        <v>534</v>
      </c>
      <c r="Q406" s="700" t="s">
        <v>535</v>
      </c>
      <c r="R406" s="700" t="s">
        <v>536</v>
      </c>
      <c r="S406" s="598"/>
      <c r="T406" s="701" t="s">
        <v>537</v>
      </c>
      <c r="U406" s="701" t="s">
        <v>538</v>
      </c>
      <c r="V406" s="701" t="s">
        <v>539</v>
      </c>
      <c r="W406" s="701" t="s">
        <v>540</v>
      </c>
      <c r="X406" s="701" t="s">
        <v>541</v>
      </c>
      <c r="Y406" s="701" t="s">
        <v>167</v>
      </c>
      <c r="Z406" s="701" t="s">
        <v>168</v>
      </c>
      <c r="AA406" s="701" t="s">
        <v>169</v>
      </c>
      <c r="AB406" s="701" t="s">
        <v>235</v>
      </c>
      <c r="AC406" s="701" t="s">
        <v>240</v>
      </c>
      <c r="AD406" s="697" t="s">
        <v>85</v>
      </c>
      <c r="AE406" s="701" t="s">
        <v>139</v>
      </c>
      <c r="AF406" s="841" t="s">
        <v>72</v>
      </c>
      <c r="AG406" s="841" t="s">
        <v>88</v>
      </c>
      <c r="AH406" s="841" t="s">
        <v>75</v>
      </c>
      <c r="AI406" s="841" t="s">
        <v>543</v>
      </c>
      <c r="AJ406" s="841" t="s">
        <v>78</v>
      </c>
      <c r="AK406" s="841" t="s">
        <v>76</v>
      </c>
      <c r="AL406" s="841" t="s">
        <v>544</v>
      </c>
      <c r="AM406" s="841" t="s">
        <v>545</v>
      </c>
      <c r="AN406" s="841" t="s">
        <v>86</v>
      </c>
      <c r="AO406" s="841" t="s">
        <v>83</v>
      </c>
      <c r="AP406" s="841" t="s">
        <v>84</v>
      </c>
      <c r="AQ406" s="841" t="s">
        <v>546</v>
      </c>
      <c r="AR406" s="841" t="s">
        <v>81</v>
      </c>
      <c r="AS406" s="841" t="s">
        <v>80</v>
      </c>
      <c r="AT406" s="841" t="s">
        <v>82</v>
      </c>
      <c r="AU406" s="841" t="s">
        <v>181</v>
      </c>
      <c r="AV406" s="841" t="s">
        <v>183</v>
      </c>
      <c r="AW406" s="841" t="s">
        <v>547</v>
      </c>
      <c r="AX406" s="841" t="s">
        <v>182</v>
      </c>
      <c r="AY406" s="841" t="s">
        <v>172</v>
      </c>
      <c r="AZ406" s="841" t="s">
        <v>173</v>
      </c>
      <c r="BA406" s="841" t="s">
        <v>184</v>
      </c>
      <c r="BB406" s="841" t="s">
        <v>100</v>
      </c>
      <c r="BC406" s="841" t="s">
        <v>913</v>
      </c>
      <c r="BD406" s="841" t="s">
        <v>2747</v>
      </c>
      <c r="BE406" s="598"/>
    </row>
    <row r="407" spans="2:57">
      <c r="B407" s="1315" t="s">
        <v>616</v>
      </c>
      <c r="C407" s="1316"/>
      <c r="D407" s="501" t="s">
        <v>3916</v>
      </c>
      <c r="E407" s="585"/>
      <c r="F407" s="501" t="s">
        <v>292</v>
      </c>
      <c r="G407" s="501" t="s">
        <v>268</v>
      </c>
      <c r="H407" s="629">
        <v>7468.2290000000003</v>
      </c>
      <c r="I407" s="584" t="s">
        <v>835</v>
      </c>
      <c r="J407" s="504">
        <v>45282.770833333336</v>
      </c>
      <c r="K407" s="574"/>
      <c r="L407" s="574" t="s">
        <v>192</v>
      </c>
      <c r="M407" s="574" t="s">
        <v>192</v>
      </c>
      <c r="N407" s="505" t="str">
        <f t="shared" ref="N407:N435" si="32">IF(ISBLANK(J407)," ",IF(J407&lt;$G$47204,"On time",(IF(DAY(J407-$G$47204)&lt;1,"On time",(IF(J407&gt;$G$47204,"DELAY ( "&amp;DAY(J407-$G$47204)&amp;" day "&amp;HOUR(J407-$G$47204)&amp;" hour "&amp;MINUTE(J407-$G$47204)&amp;" minute )","xxx"))))))</f>
        <v>DELAY ( 22 day 18 hour 30 minute )</v>
      </c>
      <c r="O407" s="597"/>
      <c r="P407" s="507" t="s">
        <v>551</v>
      </c>
      <c r="Q407" s="507" t="s">
        <v>551</v>
      </c>
      <c r="R407" s="507" t="s">
        <v>551</v>
      </c>
      <c r="S407" s="598"/>
      <c r="T407" s="599"/>
      <c r="U407" s="599"/>
      <c r="V407" s="599"/>
      <c r="W407" s="599"/>
      <c r="X407" s="599"/>
      <c r="Y407" s="599"/>
      <c r="Z407" s="599">
        <f>H407</f>
        <v>7468.2290000000003</v>
      </c>
      <c r="AA407" s="599"/>
      <c r="AB407" s="599"/>
      <c r="AC407" s="599"/>
      <c r="AD407" s="599"/>
      <c r="AE407" s="599"/>
      <c r="AF407" s="599"/>
      <c r="AG407" s="599"/>
      <c r="AH407" s="599"/>
      <c r="AI407" s="599"/>
      <c r="AJ407" s="599"/>
      <c r="AK407" s="599"/>
      <c r="AL407" s="599"/>
      <c r="AM407" s="599"/>
      <c r="AN407" s="599"/>
      <c r="AO407" s="599"/>
      <c r="AP407" s="599"/>
      <c r="AQ407" s="599"/>
      <c r="AR407" s="599"/>
      <c r="AS407" s="599"/>
      <c r="AT407" s="599"/>
      <c r="AU407" s="599"/>
      <c r="AV407" s="599"/>
      <c r="AW407" s="599"/>
      <c r="AX407" s="599"/>
      <c r="AY407" s="599"/>
      <c r="AZ407" s="599"/>
      <c r="BA407" s="599"/>
      <c r="BB407" s="599"/>
      <c r="BC407" s="599"/>
      <c r="BD407" s="599"/>
      <c r="BE407" s="598"/>
    </row>
    <row r="408" spans="2:57">
      <c r="B408" s="1315" t="s">
        <v>668</v>
      </c>
      <c r="C408" s="1316"/>
      <c r="D408" s="501" t="s">
        <v>3839</v>
      </c>
      <c r="E408" s="585"/>
      <c r="F408" s="501" t="s">
        <v>1874</v>
      </c>
      <c r="G408" s="501" t="s">
        <v>1875</v>
      </c>
      <c r="H408" s="629">
        <v>4754.0770000000002</v>
      </c>
      <c r="I408" s="584" t="s">
        <v>611</v>
      </c>
      <c r="J408" s="504">
        <v>45283.145833333336</v>
      </c>
      <c r="K408" s="574"/>
      <c r="L408" s="574" t="s">
        <v>192</v>
      </c>
      <c r="M408" s="574" t="s">
        <v>192</v>
      </c>
      <c r="N408" s="505" t="str">
        <f t="shared" si="32"/>
        <v>DELAY ( 23 day 3 hour 30 minute )</v>
      </c>
      <c r="O408" s="597"/>
      <c r="P408" s="507" t="s">
        <v>551</v>
      </c>
      <c r="Q408" s="507" t="s">
        <v>551</v>
      </c>
      <c r="R408" s="507" t="s">
        <v>551</v>
      </c>
      <c r="S408" s="598"/>
      <c r="T408" s="599">
        <f>H408</f>
        <v>4754.0770000000002</v>
      </c>
      <c r="U408" s="599"/>
      <c r="V408" s="599"/>
      <c r="W408" s="599"/>
      <c r="X408" s="599"/>
      <c r="Y408" s="599"/>
      <c r="Z408" s="599"/>
      <c r="AA408" s="599"/>
      <c r="AB408" s="598"/>
      <c r="AC408" s="599"/>
      <c r="AD408" s="599"/>
      <c r="AE408" s="599"/>
      <c r="AF408" s="599"/>
      <c r="AG408" s="599"/>
      <c r="AH408" s="599"/>
      <c r="AI408" s="599"/>
      <c r="AJ408" s="599"/>
      <c r="AK408" s="599"/>
      <c r="AL408" s="599"/>
      <c r="AM408" s="599"/>
      <c r="AN408" s="599"/>
      <c r="AO408" s="599"/>
      <c r="AP408" s="599"/>
      <c r="AQ408" s="599"/>
      <c r="AR408" s="599"/>
      <c r="AS408" s="599"/>
      <c r="AT408" s="599"/>
      <c r="AU408" s="599"/>
      <c r="AV408" s="599"/>
      <c r="AW408" s="599"/>
      <c r="AX408" s="599"/>
      <c r="AY408" s="599"/>
      <c r="AZ408" s="599"/>
      <c r="BA408" s="599"/>
      <c r="BB408" s="599"/>
      <c r="BC408" s="599"/>
      <c r="BD408" s="599"/>
      <c r="BE408" s="598"/>
    </row>
    <row r="409" spans="2:57">
      <c r="B409" s="1315" t="s">
        <v>616</v>
      </c>
      <c r="C409" s="1316"/>
      <c r="D409" s="501" t="s">
        <v>3915</v>
      </c>
      <c r="E409" s="585"/>
      <c r="F409" s="501" t="s">
        <v>2388</v>
      </c>
      <c r="G409" s="501" t="s">
        <v>289</v>
      </c>
      <c r="H409" s="629">
        <v>7500.0619999999999</v>
      </c>
      <c r="I409" s="584" t="s">
        <v>835</v>
      </c>
      <c r="J409" s="504">
        <v>45283.71875</v>
      </c>
      <c r="K409" s="574"/>
      <c r="L409" s="574" t="s">
        <v>192</v>
      </c>
      <c r="M409" s="574" t="s">
        <v>192</v>
      </c>
      <c r="N409" s="505" t="str">
        <f t="shared" si="32"/>
        <v>DELAY ( 23 day 17 hour 15 minute )</v>
      </c>
      <c r="O409" s="597"/>
      <c r="P409" s="507" t="s">
        <v>551</v>
      </c>
      <c r="Q409" s="507" t="s">
        <v>551</v>
      </c>
      <c r="R409" s="507" t="s">
        <v>551</v>
      </c>
      <c r="S409" s="598"/>
      <c r="T409" s="599"/>
      <c r="U409" s="599"/>
      <c r="V409" s="599"/>
      <c r="W409" s="599"/>
      <c r="X409" s="599"/>
      <c r="Y409" s="599"/>
      <c r="Z409" s="599">
        <f>H409</f>
        <v>7500.0619999999999</v>
      </c>
      <c r="AA409" s="599"/>
      <c r="AB409" s="599"/>
      <c r="AC409" s="599"/>
      <c r="AD409" s="599"/>
      <c r="AE409" s="599"/>
      <c r="AF409" s="599"/>
      <c r="AG409" s="599"/>
      <c r="AH409" s="599"/>
      <c r="AI409" s="599"/>
      <c r="AJ409" s="599"/>
      <c r="AK409" s="599"/>
      <c r="AL409" s="599"/>
      <c r="AM409" s="599"/>
      <c r="AN409" s="599"/>
      <c r="AO409" s="599"/>
      <c r="AP409" s="599"/>
      <c r="AQ409" s="599"/>
      <c r="AR409" s="599"/>
      <c r="AS409" s="599"/>
      <c r="AT409" s="599"/>
      <c r="AU409" s="599"/>
      <c r="AV409" s="599"/>
      <c r="AW409" s="599"/>
      <c r="AX409" s="599"/>
      <c r="AY409" s="599"/>
      <c r="AZ409" s="599"/>
      <c r="BA409" s="599"/>
      <c r="BB409" s="599"/>
      <c r="BC409" s="599"/>
      <c r="BD409" s="599"/>
      <c r="BE409" s="598"/>
    </row>
    <row r="410" spans="2:57">
      <c r="B410" s="1315" t="s">
        <v>668</v>
      </c>
      <c r="C410" s="1316"/>
      <c r="D410" s="501" t="s">
        <v>3840</v>
      </c>
      <c r="E410" s="585"/>
      <c r="F410" s="501" t="s">
        <v>3546</v>
      </c>
      <c r="G410" s="501" t="s">
        <v>1308</v>
      </c>
      <c r="H410" s="629">
        <v>4752.951</v>
      </c>
      <c r="I410" s="584" t="s">
        <v>611</v>
      </c>
      <c r="J410" s="504">
        <v>45283.194444444445</v>
      </c>
      <c r="K410" s="574"/>
      <c r="L410" s="574" t="s">
        <v>192</v>
      </c>
      <c r="M410" s="574" t="s">
        <v>192</v>
      </c>
      <c r="N410" s="505" t="str">
        <f t="shared" si="32"/>
        <v>DELAY ( 23 day 4 hour 40 minute )</v>
      </c>
      <c r="O410" s="597"/>
      <c r="P410" s="507" t="s">
        <v>551</v>
      </c>
      <c r="Q410" s="507" t="s">
        <v>551</v>
      </c>
      <c r="R410" s="507" t="s">
        <v>551</v>
      </c>
      <c r="S410" s="598"/>
      <c r="T410" s="599">
        <f>H410</f>
        <v>4752.951</v>
      </c>
      <c r="U410" s="599"/>
      <c r="V410" s="599"/>
      <c r="W410" s="599"/>
      <c r="X410" s="599"/>
      <c r="Y410" s="599"/>
      <c r="Z410" s="599"/>
      <c r="AA410" s="599"/>
      <c r="AB410" s="598"/>
      <c r="AC410" s="599"/>
      <c r="AD410" s="599"/>
      <c r="AE410" s="599"/>
      <c r="AF410" s="599"/>
      <c r="AG410" s="599"/>
      <c r="AH410" s="599"/>
      <c r="AI410" s="599"/>
      <c r="AJ410" s="599"/>
      <c r="AK410" s="599"/>
      <c r="AL410" s="599"/>
      <c r="AM410" s="599"/>
      <c r="AN410" s="599"/>
      <c r="AO410" s="599"/>
      <c r="AP410" s="599"/>
      <c r="AQ410" s="599"/>
      <c r="AR410" s="599"/>
      <c r="AS410" s="599"/>
      <c r="AT410" s="599"/>
      <c r="AU410" s="599"/>
      <c r="AV410" s="599"/>
      <c r="AW410" s="599"/>
      <c r="AX410" s="599"/>
      <c r="AY410" s="599"/>
      <c r="AZ410" s="599"/>
      <c r="BA410" s="599"/>
      <c r="BB410" s="599"/>
      <c r="BC410" s="599"/>
      <c r="BD410" s="599"/>
      <c r="BE410" s="598"/>
    </row>
    <row r="411" spans="2:57">
      <c r="B411" s="1351" t="s">
        <v>1721</v>
      </c>
      <c r="C411" s="1352"/>
      <c r="D411" s="1352"/>
      <c r="E411" s="1352"/>
      <c r="F411" s="1352"/>
      <c r="G411" s="1353"/>
      <c r="H411" s="702">
        <f>SUM(H407:H410)</f>
        <v>24475.319000000003</v>
      </c>
      <c r="I411" s="703"/>
      <c r="J411" s="704"/>
      <c r="K411" s="704"/>
      <c r="L411" s="704"/>
      <c r="M411" s="705"/>
      <c r="N411" s="505" t="str">
        <f t="shared" si="32"/>
        <v xml:space="preserve"> </v>
      </c>
      <c r="O411" s="552"/>
      <c r="P411" s="706"/>
      <c r="Q411" s="706"/>
      <c r="R411" s="706"/>
      <c r="S411" s="598"/>
      <c r="T411" s="599"/>
      <c r="U411" s="599"/>
      <c r="V411" s="599"/>
      <c r="W411" s="599"/>
      <c r="X411" s="599"/>
      <c r="Y411" s="599"/>
      <c r="Z411" s="599"/>
      <c r="AA411" s="599"/>
      <c r="AB411" s="599"/>
      <c r="AC411" s="599"/>
      <c r="AD411" s="599"/>
      <c r="AE411" s="599"/>
      <c r="AF411" s="599"/>
      <c r="AG411" s="599"/>
      <c r="AH411" s="599"/>
      <c r="AI411" s="599"/>
      <c r="AJ411" s="599"/>
      <c r="AK411" s="599"/>
      <c r="AL411" s="599"/>
      <c r="AM411" s="599"/>
      <c r="AN411" s="599"/>
      <c r="AO411" s="599"/>
      <c r="AP411" s="598"/>
      <c r="AQ411" s="599"/>
      <c r="AR411" s="599"/>
      <c r="AS411" s="599"/>
      <c r="AT411" s="599"/>
      <c r="AU411" s="599"/>
      <c r="AV411" s="599"/>
      <c r="AW411" s="599"/>
      <c r="AX411" s="599"/>
      <c r="AY411" s="599"/>
      <c r="AZ411" s="599"/>
      <c r="BA411" s="599"/>
      <c r="BB411" s="599"/>
      <c r="BC411" s="599"/>
      <c r="BD411" s="599"/>
      <c r="BE411" s="598"/>
    </row>
    <row r="412" spans="2:57">
      <c r="B412" s="1326" t="s">
        <v>619</v>
      </c>
      <c r="C412" s="1327"/>
      <c r="D412" s="836" t="s">
        <v>3790</v>
      </c>
      <c r="E412" s="501"/>
      <c r="F412" s="501" t="s">
        <v>2295</v>
      </c>
      <c r="G412" s="501" t="s">
        <v>2296</v>
      </c>
      <c r="H412" s="629">
        <v>5334.3869999999997</v>
      </c>
      <c r="I412" s="584" t="s">
        <v>3753</v>
      </c>
      <c r="J412" s="504">
        <v>45284.402777777781</v>
      </c>
      <c r="K412" s="574"/>
      <c r="L412" s="574" t="s">
        <v>192</v>
      </c>
      <c r="M412" s="574" t="s">
        <v>192</v>
      </c>
      <c r="N412" s="505" t="str">
        <f t="shared" si="32"/>
        <v>DELAY ( 24 day 9 hour 40 minute )</v>
      </c>
      <c r="O412" s="597"/>
      <c r="P412" s="507" t="s">
        <v>551</v>
      </c>
      <c r="Q412" s="507" t="s">
        <v>551</v>
      </c>
      <c r="R412" s="507" t="s">
        <v>551</v>
      </c>
      <c r="S412" s="598"/>
      <c r="T412" s="599"/>
      <c r="U412" s="599"/>
      <c r="V412" s="599"/>
      <c r="W412" s="599"/>
      <c r="X412" s="599"/>
      <c r="Y412" s="599"/>
      <c r="Z412" s="599"/>
      <c r="AA412" s="599"/>
      <c r="AB412" s="599">
        <f>H412*0.8</f>
        <v>4267.5096000000003</v>
      </c>
      <c r="AC412" s="599">
        <f>H412*0.2</f>
        <v>1066.8774000000001</v>
      </c>
      <c r="AD412" s="599"/>
      <c r="AE412" s="599"/>
      <c r="AF412" s="599"/>
      <c r="AG412" s="599"/>
      <c r="AH412" s="599"/>
      <c r="AI412" s="599"/>
      <c r="AJ412" s="599"/>
      <c r="AK412" s="599"/>
      <c r="AL412" s="599"/>
      <c r="AM412" s="599"/>
      <c r="AN412" s="599"/>
      <c r="AO412" s="599"/>
      <c r="AP412" s="599"/>
      <c r="AQ412" s="599"/>
      <c r="AR412" s="599"/>
      <c r="AS412" s="599"/>
      <c r="AT412" s="599"/>
      <c r="AU412" s="599"/>
      <c r="AV412" s="599"/>
      <c r="AW412" s="599"/>
      <c r="AX412" s="599"/>
      <c r="AY412" s="599"/>
      <c r="AZ412" s="599"/>
      <c r="BA412" s="599"/>
      <c r="BB412" s="599"/>
      <c r="BC412" s="599"/>
      <c r="BD412" s="599"/>
      <c r="BE412" s="598"/>
    </row>
    <row r="413" spans="2:57">
      <c r="B413" s="1421"/>
      <c r="C413" s="1422"/>
      <c r="D413" s="836"/>
      <c r="E413" s="501"/>
      <c r="F413" s="1315" t="s">
        <v>668</v>
      </c>
      <c r="G413" s="1316"/>
      <c r="H413" s="629">
        <v>1000</v>
      </c>
      <c r="I413" s="584"/>
      <c r="J413" s="504"/>
      <c r="K413" s="574"/>
      <c r="L413" s="574"/>
      <c r="M413" s="574"/>
      <c r="N413" s="505" t="str">
        <f t="shared" si="32"/>
        <v xml:space="preserve"> </v>
      </c>
      <c r="O413" s="597"/>
      <c r="P413" s="507"/>
      <c r="Q413" s="507"/>
      <c r="R413" s="507"/>
      <c r="S413" s="598"/>
      <c r="T413" s="599"/>
      <c r="U413" s="599"/>
      <c r="V413" s="599"/>
      <c r="W413" s="599"/>
      <c r="X413" s="599"/>
      <c r="Y413" s="599"/>
      <c r="Z413" s="599"/>
      <c r="AA413" s="599"/>
      <c r="AB413" s="599"/>
      <c r="AC413" s="599"/>
      <c r="AD413" s="599"/>
      <c r="AE413" s="599"/>
      <c r="AF413" s="599"/>
      <c r="AG413" s="599"/>
      <c r="AH413" s="599"/>
      <c r="AI413" s="599"/>
      <c r="AJ413" s="599"/>
      <c r="AK413" s="599"/>
      <c r="AL413" s="599"/>
      <c r="AM413" s="599"/>
      <c r="AN413" s="599"/>
      <c r="AO413" s="599"/>
      <c r="AP413" s="599"/>
      <c r="AQ413" s="599"/>
      <c r="AR413" s="599"/>
      <c r="AS413" s="599"/>
      <c r="AT413" s="599"/>
      <c r="AU413" s="599"/>
      <c r="AV413" s="599"/>
      <c r="AW413" s="599"/>
      <c r="AX413" s="599"/>
      <c r="AY413" s="599"/>
      <c r="AZ413" s="599"/>
      <c r="BA413" s="599"/>
      <c r="BB413" s="599"/>
      <c r="BC413" s="599"/>
      <c r="BD413" s="599"/>
      <c r="BE413" s="598"/>
    </row>
    <row r="414" spans="2:57">
      <c r="B414" s="1328"/>
      <c r="C414" s="1329"/>
      <c r="D414" s="836"/>
      <c r="E414" s="501"/>
      <c r="F414" s="1315" t="s">
        <v>616</v>
      </c>
      <c r="G414" s="1316"/>
      <c r="H414" s="629">
        <v>2000</v>
      </c>
      <c r="I414" s="584"/>
      <c r="J414" s="504"/>
      <c r="K414" s="574"/>
      <c r="L414" s="574"/>
      <c r="M414" s="574"/>
      <c r="N414" s="505" t="str">
        <f t="shared" si="32"/>
        <v xml:space="preserve"> </v>
      </c>
      <c r="O414" s="597"/>
      <c r="P414" s="507"/>
      <c r="Q414" s="507"/>
      <c r="R414" s="507"/>
      <c r="S414" s="598"/>
      <c r="T414" s="599"/>
      <c r="U414" s="599"/>
      <c r="V414" s="599"/>
      <c r="W414" s="599"/>
      <c r="X414" s="599"/>
      <c r="Y414" s="599"/>
      <c r="Z414" s="599"/>
      <c r="AA414" s="599"/>
      <c r="AB414" s="599"/>
      <c r="AC414" s="599"/>
      <c r="AD414" s="599"/>
      <c r="AE414" s="599"/>
      <c r="AF414" s="599"/>
      <c r="AG414" s="599"/>
      <c r="AH414" s="599"/>
      <c r="AI414" s="599"/>
      <c r="AJ414" s="599"/>
      <c r="AK414" s="599"/>
      <c r="AL414" s="599"/>
      <c r="AM414" s="599"/>
      <c r="AN414" s="599"/>
      <c r="AO414" s="599"/>
      <c r="AP414" s="599"/>
      <c r="AQ414" s="599"/>
      <c r="AR414" s="599"/>
      <c r="AS414" s="599"/>
      <c r="AT414" s="599"/>
      <c r="AU414" s="599"/>
      <c r="AV414" s="599"/>
      <c r="AW414" s="599"/>
      <c r="AX414" s="599"/>
      <c r="AY414" s="599"/>
      <c r="AZ414" s="599"/>
      <c r="BA414" s="599"/>
      <c r="BB414" s="599"/>
      <c r="BC414" s="599"/>
      <c r="BD414" s="599"/>
      <c r="BE414" s="598"/>
    </row>
    <row r="415" spans="2:57">
      <c r="B415" s="1326" t="s">
        <v>621</v>
      </c>
      <c r="C415" s="1327"/>
      <c r="D415" s="501" t="s">
        <v>3793</v>
      </c>
      <c r="E415" s="501"/>
      <c r="F415" s="501" t="s">
        <v>271</v>
      </c>
      <c r="G415" s="501" t="s">
        <v>272</v>
      </c>
      <c r="H415" s="629">
        <v>9238.1450000000004</v>
      </c>
      <c r="I415" s="584" t="s">
        <v>235</v>
      </c>
      <c r="J415" s="504">
        <v>45281.458333333336</v>
      </c>
      <c r="K415" s="574"/>
      <c r="L415" s="574" t="s">
        <v>192</v>
      </c>
      <c r="M415" s="574" t="s">
        <v>192</v>
      </c>
      <c r="N415" s="505" t="str">
        <f t="shared" si="32"/>
        <v>DELAY ( 21 day 11 hour 0 minute )</v>
      </c>
      <c r="O415" s="597"/>
      <c r="P415" s="507" t="s">
        <v>551</v>
      </c>
      <c r="Q415" s="507" t="s">
        <v>551</v>
      </c>
      <c r="R415" s="507" t="s">
        <v>551</v>
      </c>
      <c r="S415" s="598"/>
      <c r="T415" s="599"/>
      <c r="U415" s="599"/>
      <c r="V415" s="599"/>
      <c r="W415" s="599"/>
      <c r="X415" s="599"/>
      <c r="Y415" s="599"/>
      <c r="Z415" s="599"/>
      <c r="AA415" s="599"/>
      <c r="AB415" s="599">
        <f>H415</f>
        <v>9238.1450000000004</v>
      </c>
      <c r="AC415" s="599"/>
      <c r="AD415" s="599"/>
      <c r="AE415" s="599"/>
      <c r="AF415" s="599"/>
      <c r="AG415" s="599"/>
      <c r="AH415" s="599"/>
      <c r="AI415" s="599"/>
      <c r="AJ415" s="599"/>
      <c r="AK415" s="599"/>
      <c r="AL415" s="599"/>
      <c r="AM415" s="599"/>
      <c r="AN415" s="599"/>
      <c r="AO415" s="599"/>
      <c r="AP415" s="599"/>
      <c r="AQ415" s="599"/>
      <c r="AR415" s="599"/>
      <c r="AS415" s="599"/>
      <c r="AT415" s="599"/>
      <c r="AU415" s="599"/>
      <c r="AV415" s="599"/>
      <c r="AW415" s="599"/>
      <c r="AX415" s="599"/>
      <c r="AY415" s="599"/>
      <c r="AZ415" s="599"/>
      <c r="BA415" s="599"/>
      <c r="BB415" s="599"/>
      <c r="BC415" s="599"/>
      <c r="BD415" s="599"/>
      <c r="BE415" s="598"/>
    </row>
    <row r="416" spans="2:57">
      <c r="B416" s="1421"/>
      <c r="C416" s="1422"/>
      <c r="D416" s="836"/>
      <c r="E416" s="501"/>
      <c r="F416" s="1315" t="s">
        <v>668</v>
      </c>
      <c r="G416" s="1316"/>
      <c r="H416" s="629">
        <v>1000</v>
      </c>
      <c r="I416" s="584"/>
      <c r="J416" s="504"/>
      <c r="K416" s="574"/>
      <c r="L416" s="574"/>
      <c r="M416" s="574"/>
      <c r="N416" s="505" t="str">
        <f t="shared" si="32"/>
        <v xml:space="preserve"> </v>
      </c>
      <c r="O416" s="597"/>
      <c r="P416" s="507"/>
      <c r="Q416" s="507"/>
      <c r="R416" s="507"/>
      <c r="S416" s="598"/>
      <c r="T416" s="599"/>
      <c r="U416" s="599"/>
      <c r="V416" s="599"/>
      <c r="W416" s="599"/>
      <c r="X416" s="599"/>
      <c r="Y416" s="599"/>
      <c r="Z416" s="599"/>
      <c r="AA416" s="599"/>
      <c r="AB416" s="599"/>
      <c r="AC416" s="599"/>
      <c r="AD416" s="599"/>
      <c r="AE416" s="599"/>
      <c r="AF416" s="599"/>
      <c r="AG416" s="599"/>
      <c r="AH416" s="599"/>
      <c r="AI416" s="599"/>
      <c r="AJ416" s="599"/>
      <c r="AK416" s="599"/>
      <c r="AL416" s="599"/>
      <c r="AM416" s="599"/>
      <c r="AN416" s="599"/>
      <c r="AO416" s="599"/>
      <c r="AP416" s="599"/>
      <c r="AQ416" s="599"/>
      <c r="AR416" s="599"/>
      <c r="AS416" s="599"/>
      <c r="AT416" s="599"/>
      <c r="AU416" s="599"/>
      <c r="AV416" s="599"/>
      <c r="AW416" s="599"/>
      <c r="AX416" s="599"/>
      <c r="AY416" s="599"/>
      <c r="AZ416" s="599"/>
      <c r="BA416" s="599"/>
      <c r="BB416" s="599"/>
      <c r="BC416" s="599"/>
      <c r="BD416" s="599"/>
      <c r="BE416" s="598"/>
    </row>
    <row r="417" spans="2:57">
      <c r="B417" s="1328"/>
      <c r="C417" s="1329"/>
      <c r="D417" s="836"/>
      <c r="E417" s="501"/>
      <c r="F417" s="1315" t="s">
        <v>616</v>
      </c>
      <c r="G417" s="1316"/>
      <c r="H417" s="629">
        <v>2000</v>
      </c>
      <c r="I417" s="584"/>
      <c r="J417" s="504"/>
      <c r="K417" s="574"/>
      <c r="L417" s="574"/>
      <c r="M417" s="574"/>
      <c r="N417" s="505" t="str">
        <f t="shared" si="32"/>
        <v xml:space="preserve"> </v>
      </c>
      <c r="O417" s="597"/>
      <c r="P417" s="507"/>
      <c r="Q417" s="507"/>
      <c r="R417" s="507"/>
      <c r="S417" s="598"/>
      <c r="T417" s="599"/>
      <c r="U417" s="599"/>
      <c r="V417" s="599"/>
      <c r="W417" s="599"/>
      <c r="X417" s="599"/>
      <c r="Y417" s="599"/>
      <c r="Z417" s="599"/>
      <c r="AA417" s="599"/>
      <c r="AB417" s="599"/>
      <c r="AC417" s="599"/>
      <c r="AD417" s="599"/>
      <c r="AE417" s="599"/>
      <c r="AF417" s="599"/>
      <c r="AG417" s="599"/>
      <c r="AH417" s="599"/>
      <c r="AI417" s="599"/>
      <c r="AJ417" s="599"/>
      <c r="AK417" s="599"/>
      <c r="AL417" s="599"/>
      <c r="AM417" s="599"/>
      <c r="AN417" s="599"/>
      <c r="AO417" s="599"/>
      <c r="AP417" s="599"/>
      <c r="AQ417" s="599"/>
      <c r="AR417" s="599"/>
      <c r="AS417" s="599"/>
      <c r="AT417" s="599"/>
      <c r="AU417" s="599"/>
      <c r="AV417" s="599"/>
      <c r="AW417" s="599"/>
      <c r="AX417" s="599"/>
      <c r="AY417" s="599"/>
      <c r="AZ417" s="599"/>
      <c r="BA417" s="599"/>
      <c r="BB417" s="599"/>
      <c r="BC417" s="599"/>
      <c r="BD417" s="599"/>
      <c r="BE417" s="598"/>
    </row>
    <row r="418" spans="2:57">
      <c r="B418" s="1326" t="s">
        <v>622</v>
      </c>
      <c r="C418" s="1327"/>
      <c r="D418" s="501" t="s">
        <v>3797</v>
      </c>
      <c r="E418" s="501"/>
      <c r="F418" s="501" t="s">
        <v>377</v>
      </c>
      <c r="G418" s="501" t="s">
        <v>378</v>
      </c>
      <c r="H418" s="629">
        <v>7944.1869999999999</v>
      </c>
      <c r="I418" s="584" t="s">
        <v>235</v>
      </c>
      <c r="J418" s="504">
        <v>45281.635416666664</v>
      </c>
      <c r="K418" s="504"/>
      <c r="L418" s="574" t="s">
        <v>192</v>
      </c>
      <c r="M418" s="574" t="s">
        <v>192</v>
      </c>
      <c r="N418" s="505" t="str">
        <f t="shared" si="32"/>
        <v>DELAY ( 21 day 15 hour 15 minute )</v>
      </c>
      <c r="O418" s="597"/>
      <c r="P418" s="507" t="s">
        <v>551</v>
      </c>
      <c r="Q418" s="507" t="s">
        <v>551</v>
      </c>
      <c r="R418" s="507" t="s">
        <v>551</v>
      </c>
      <c r="S418" s="598"/>
      <c r="T418" s="599"/>
      <c r="U418" s="599"/>
      <c r="V418" s="599"/>
      <c r="W418" s="599"/>
      <c r="X418" s="599"/>
      <c r="Y418" s="599"/>
      <c r="Z418" s="599"/>
      <c r="AA418" s="599"/>
      <c r="AB418" s="599">
        <f>H418</f>
        <v>7944.1869999999999</v>
      </c>
      <c r="AC418" s="599"/>
      <c r="AD418" s="599"/>
      <c r="AE418" s="599"/>
      <c r="AF418" s="599"/>
      <c r="AG418" s="599"/>
      <c r="AH418" s="599"/>
      <c r="AI418" s="599"/>
      <c r="AJ418" s="599"/>
      <c r="AK418" s="598"/>
      <c r="AL418" s="599"/>
      <c r="AM418" s="599"/>
      <c r="AN418" s="599"/>
      <c r="AO418" s="599"/>
      <c r="AP418" s="599"/>
      <c r="AQ418" s="599"/>
      <c r="AR418" s="599"/>
      <c r="AS418" s="599"/>
      <c r="AT418" s="599"/>
      <c r="AU418" s="599"/>
      <c r="AV418" s="599"/>
      <c r="AW418" s="599"/>
      <c r="AX418" s="598"/>
      <c r="AY418" s="599"/>
      <c r="AZ418" s="599"/>
      <c r="BA418" s="599"/>
      <c r="BB418" s="599"/>
      <c r="BC418" s="599"/>
      <c r="BD418" s="599"/>
      <c r="BE418" s="598"/>
    </row>
    <row r="419" spans="2:57">
      <c r="B419" s="1421"/>
      <c r="C419" s="1422"/>
      <c r="D419" s="836"/>
      <c r="E419" s="501"/>
      <c r="F419" s="1315" t="s">
        <v>668</v>
      </c>
      <c r="G419" s="1316"/>
      <c r="H419" s="629">
        <v>3000</v>
      </c>
      <c r="I419" s="584"/>
      <c r="J419" s="504"/>
      <c r="K419" s="574"/>
      <c r="L419" s="574"/>
      <c r="M419" s="574"/>
      <c r="N419" s="505" t="str">
        <f t="shared" si="32"/>
        <v xml:space="preserve"> </v>
      </c>
      <c r="O419" s="597"/>
      <c r="P419" s="507"/>
      <c r="Q419" s="507"/>
      <c r="R419" s="507"/>
      <c r="S419" s="598"/>
      <c r="T419" s="599"/>
      <c r="U419" s="599"/>
      <c r="V419" s="599"/>
      <c r="W419" s="599"/>
      <c r="X419" s="599"/>
      <c r="Y419" s="599"/>
      <c r="Z419" s="599"/>
      <c r="AA419" s="599"/>
      <c r="AB419" s="599"/>
      <c r="AC419" s="599"/>
      <c r="AD419" s="599"/>
      <c r="AE419" s="599"/>
      <c r="AF419" s="599"/>
      <c r="AG419" s="599"/>
      <c r="AH419" s="599"/>
      <c r="AI419" s="599"/>
      <c r="AJ419" s="599"/>
      <c r="AK419" s="599"/>
      <c r="AL419" s="599"/>
      <c r="AM419" s="599"/>
      <c r="AN419" s="599"/>
      <c r="AO419" s="599"/>
      <c r="AP419" s="599"/>
      <c r="AQ419" s="599"/>
      <c r="AR419" s="599"/>
      <c r="AS419" s="599"/>
      <c r="AT419" s="599"/>
      <c r="AU419" s="599"/>
      <c r="AV419" s="599"/>
      <c r="AW419" s="599"/>
      <c r="AX419" s="599"/>
      <c r="AY419" s="599"/>
      <c r="AZ419" s="599"/>
      <c r="BA419" s="599"/>
      <c r="BB419" s="599"/>
      <c r="BC419" s="599"/>
      <c r="BD419" s="599"/>
      <c r="BE419" s="598"/>
    </row>
    <row r="420" spans="2:57">
      <c r="B420" s="1328"/>
      <c r="C420" s="1329"/>
      <c r="D420" s="836"/>
      <c r="E420" s="501"/>
      <c r="F420" s="1315" t="s">
        <v>616</v>
      </c>
      <c r="G420" s="1316"/>
      <c r="H420" s="629">
        <v>2968</v>
      </c>
      <c r="I420" s="584"/>
      <c r="J420" s="504"/>
      <c r="K420" s="574"/>
      <c r="L420" s="574"/>
      <c r="M420" s="574"/>
      <c r="N420" s="505" t="str">
        <f t="shared" si="32"/>
        <v xml:space="preserve"> </v>
      </c>
      <c r="O420" s="597"/>
      <c r="P420" s="507"/>
      <c r="Q420" s="507"/>
      <c r="R420" s="507"/>
      <c r="S420" s="598"/>
      <c r="T420" s="599"/>
      <c r="U420" s="599"/>
      <c r="V420" s="599"/>
      <c r="W420" s="599"/>
      <c r="X420" s="599"/>
      <c r="Y420" s="599"/>
      <c r="Z420" s="599"/>
      <c r="AA420" s="599"/>
      <c r="AB420" s="599"/>
      <c r="AC420" s="599"/>
      <c r="AD420" s="599"/>
      <c r="AE420" s="599"/>
      <c r="AF420" s="599"/>
      <c r="AG420" s="599"/>
      <c r="AH420" s="599"/>
      <c r="AI420" s="599"/>
      <c r="AJ420" s="599"/>
      <c r="AK420" s="599"/>
      <c r="AL420" s="599"/>
      <c r="AM420" s="599"/>
      <c r="AN420" s="599"/>
      <c r="AO420" s="599"/>
      <c r="AP420" s="599"/>
      <c r="AQ420" s="599"/>
      <c r="AR420" s="599"/>
      <c r="AS420" s="599"/>
      <c r="AT420" s="599"/>
      <c r="AU420" s="599"/>
      <c r="AV420" s="599"/>
      <c r="AW420" s="599"/>
      <c r="AX420" s="599"/>
      <c r="AY420" s="599"/>
      <c r="AZ420" s="599"/>
      <c r="BA420" s="599"/>
      <c r="BB420" s="599"/>
      <c r="BC420" s="599"/>
      <c r="BD420" s="599"/>
      <c r="BE420" s="598"/>
    </row>
    <row r="421" spans="2:57">
      <c r="B421" s="1326" t="s">
        <v>623</v>
      </c>
      <c r="C421" s="1327"/>
      <c r="D421" s="501" t="s">
        <v>3796</v>
      </c>
      <c r="E421" s="501"/>
      <c r="F421" s="501" t="s">
        <v>257</v>
      </c>
      <c r="G421" s="501" t="s">
        <v>258</v>
      </c>
      <c r="H421" s="629">
        <v>7426.2120000000004</v>
      </c>
      <c r="I421" s="584" t="s">
        <v>235</v>
      </c>
      <c r="J421" s="504">
        <v>45282.527777777781</v>
      </c>
      <c r="K421" s="574"/>
      <c r="L421" s="574" t="s">
        <v>192</v>
      </c>
      <c r="M421" s="574" t="s">
        <v>192</v>
      </c>
      <c r="N421" s="505" t="str">
        <f t="shared" si="32"/>
        <v>DELAY ( 22 day 12 hour 40 minute )</v>
      </c>
      <c r="O421" s="597"/>
      <c r="P421" s="507" t="s">
        <v>551</v>
      </c>
      <c r="Q421" s="507" t="s">
        <v>551</v>
      </c>
      <c r="R421" s="507" t="s">
        <v>551</v>
      </c>
      <c r="S421" s="598"/>
      <c r="T421" s="599"/>
      <c r="U421" s="599"/>
      <c r="V421" s="599"/>
      <c r="W421" s="599"/>
      <c r="X421" s="599"/>
      <c r="Y421" s="599"/>
      <c r="Z421" s="599"/>
      <c r="AA421" s="599"/>
      <c r="AB421" s="599">
        <f t="shared" ref="AB421" si="33">H421</f>
        <v>7426.2120000000004</v>
      </c>
      <c r="AC421" s="599"/>
      <c r="AD421" s="599"/>
      <c r="AE421" s="599"/>
      <c r="AF421" s="599"/>
      <c r="AG421" s="599"/>
      <c r="AH421" s="599"/>
      <c r="AI421" s="599"/>
      <c r="AJ421" s="599"/>
      <c r="AK421" s="599"/>
      <c r="AL421" s="599"/>
      <c r="AM421" s="599"/>
      <c r="AN421" s="599"/>
      <c r="AO421" s="599"/>
      <c r="AP421" s="599"/>
      <c r="AQ421" s="599"/>
      <c r="AR421" s="599"/>
      <c r="AS421" s="599"/>
      <c r="AT421" s="599"/>
      <c r="AU421" s="599"/>
      <c r="AV421" s="599"/>
      <c r="AW421" s="599"/>
      <c r="AX421" s="599"/>
      <c r="AY421" s="599"/>
      <c r="AZ421" s="599"/>
      <c r="BA421" s="599"/>
      <c r="BB421" s="599"/>
      <c r="BC421" s="599"/>
      <c r="BD421" s="599"/>
      <c r="BE421" s="598"/>
    </row>
    <row r="422" spans="2:57">
      <c r="B422" s="1421"/>
      <c r="C422" s="1422"/>
      <c r="D422" s="836"/>
      <c r="E422" s="501"/>
      <c r="F422" s="1315" t="s">
        <v>668</v>
      </c>
      <c r="G422" s="1316"/>
      <c r="H422" s="629">
        <v>2000</v>
      </c>
      <c r="I422" s="584"/>
      <c r="J422" s="504"/>
      <c r="K422" s="574"/>
      <c r="L422" s="574"/>
      <c r="M422" s="574"/>
      <c r="N422" s="505" t="str">
        <f t="shared" si="32"/>
        <v xml:space="preserve"> </v>
      </c>
      <c r="O422" s="597"/>
      <c r="P422" s="507"/>
      <c r="Q422" s="507"/>
      <c r="R422" s="507"/>
      <c r="S422" s="598"/>
      <c r="T422" s="599"/>
      <c r="U422" s="599"/>
      <c r="V422" s="599"/>
      <c r="W422" s="599"/>
      <c r="X422" s="599"/>
      <c r="Y422" s="599"/>
      <c r="Z422" s="599"/>
      <c r="AA422" s="599"/>
      <c r="AB422" s="599"/>
      <c r="AC422" s="599"/>
      <c r="AD422" s="599"/>
      <c r="AE422" s="599"/>
      <c r="AF422" s="599"/>
      <c r="AG422" s="599"/>
      <c r="AH422" s="599"/>
      <c r="AI422" s="599"/>
      <c r="AJ422" s="599"/>
      <c r="AK422" s="599"/>
      <c r="AL422" s="599"/>
      <c r="AM422" s="599"/>
      <c r="AN422" s="599"/>
      <c r="AO422" s="599"/>
      <c r="AP422" s="599"/>
      <c r="AQ422" s="599"/>
      <c r="AR422" s="599"/>
      <c r="AS422" s="599"/>
      <c r="AT422" s="599"/>
      <c r="AU422" s="599"/>
      <c r="AV422" s="599"/>
      <c r="AW422" s="599"/>
      <c r="AX422" s="599"/>
      <c r="AY422" s="599"/>
      <c r="AZ422" s="599"/>
      <c r="BA422" s="599"/>
      <c r="BB422" s="599"/>
      <c r="BC422" s="599"/>
      <c r="BD422" s="599"/>
      <c r="BE422" s="598"/>
    </row>
    <row r="423" spans="2:57">
      <c r="B423" s="1328"/>
      <c r="C423" s="1329"/>
      <c r="D423" s="836"/>
      <c r="E423" s="501"/>
      <c r="F423" s="1315" t="s">
        <v>616</v>
      </c>
      <c r="G423" s="1316"/>
      <c r="H423" s="629">
        <v>3000</v>
      </c>
      <c r="I423" s="584"/>
      <c r="J423" s="504"/>
      <c r="K423" s="574"/>
      <c r="L423" s="574"/>
      <c r="M423" s="574"/>
      <c r="N423" s="505" t="str">
        <f t="shared" si="32"/>
        <v xml:space="preserve"> </v>
      </c>
      <c r="O423" s="597"/>
      <c r="P423" s="507"/>
      <c r="Q423" s="507"/>
      <c r="R423" s="507"/>
      <c r="S423" s="598"/>
      <c r="T423" s="599"/>
      <c r="U423" s="599"/>
      <c r="V423" s="599"/>
      <c r="W423" s="599"/>
      <c r="X423" s="599"/>
      <c r="Y423" s="599"/>
      <c r="Z423" s="599"/>
      <c r="AA423" s="599"/>
      <c r="AB423" s="599"/>
      <c r="AC423" s="599"/>
      <c r="AD423" s="599"/>
      <c r="AE423" s="599"/>
      <c r="AF423" s="599"/>
      <c r="AG423" s="599"/>
      <c r="AH423" s="599"/>
      <c r="AI423" s="599"/>
      <c r="AJ423" s="599"/>
      <c r="AK423" s="599"/>
      <c r="AL423" s="599"/>
      <c r="AM423" s="599"/>
      <c r="AN423" s="599"/>
      <c r="AO423" s="599"/>
      <c r="AP423" s="599"/>
      <c r="AQ423" s="599"/>
      <c r="AR423" s="599"/>
      <c r="AS423" s="599"/>
      <c r="AT423" s="599"/>
      <c r="AU423" s="599"/>
      <c r="AV423" s="599"/>
      <c r="AW423" s="599"/>
      <c r="AX423" s="599"/>
      <c r="AY423" s="599"/>
      <c r="AZ423" s="599"/>
      <c r="BA423" s="599"/>
      <c r="BB423" s="599"/>
      <c r="BC423" s="599"/>
      <c r="BD423" s="599"/>
      <c r="BE423" s="598"/>
    </row>
    <row r="424" spans="2:57">
      <c r="B424" s="1326" t="s">
        <v>624</v>
      </c>
      <c r="C424" s="1327"/>
      <c r="D424" s="501" t="s">
        <v>3798</v>
      </c>
      <c r="E424" s="501"/>
      <c r="F424" s="501" t="s">
        <v>371</v>
      </c>
      <c r="G424" s="501" t="s">
        <v>372</v>
      </c>
      <c r="H424" s="629">
        <v>7400.9359999999997</v>
      </c>
      <c r="I424" s="584" t="s">
        <v>235</v>
      </c>
      <c r="J424" s="504">
        <v>45282.6</v>
      </c>
      <c r="K424" s="574"/>
      <c r="L424" s="574" t="s">
        <v>192</v>
      </c>
      <c r="M424" s="574" t="s">
        <v>192</v>
      </c>
      <c r="N424" s="505" t="str">
        <f t="shared" si="32"/>
        <v>DELAY ( 22 day 14 hour 24 minute )</v>
      </c>
      <c r="O424" s="597"/>
      <c r="P424" s="507" t="s">
        <v>551</v>
      </c>
      <c r="Q424" s="507" t="s">
        <v>551</v>
      </c>
      <c r="R424" s="507" t="s">
        <v>551</v>
      </c>
      <c r="S424" s="598"/>
      <c r="T424" s="599"/>
      <c r="U424" s="599"/>
      <c r="V424" s="599"/>
      <c r="W424" s="599"/>
      <c r="X424" s="599"/>
      <c r="Y424" s="599"/>
      <c r="Z424" s="599"/>
      <c r="AA424" s="599"/>
      <c r="AB424" s="599">
        <f>H424</f>
        <v>7400.9359999999997</v>
      </c>
      <c r="AC424" s="599"/>
      <c r="AD424" s="599"/>
      <c r="AE424" s="599"/>
      <c r="AF424" s="599"/>
      <c r="AG424" s="599"/>
      <c r="AH424" s="599"/>
      <c r="AI424" s="599"/>
      <c r="AJ424" s="599"/>
      <c r="AK424" s="599"/>
      <c r="AL424" s="599"/>
      <c r="AM424" s="599"/>
      <c r="AN424" s="599"/>
      <c r="AO424" s="599"/>
      <c r="AP424" s="599"/>
      <c r="AQ424" s="599"/>
      <c r="AR424" s="599"/>
      <c r="AS424" s="599"/>
      <c r="AT424" s="599"/>
      <c r="AU424" s="599"/>
      <c r="AV424" s="599"/>
      <c r="AW424" s="599"/>
      <c r="AX424" s="599"/>
      <c r="AY424" s="599"/>
      <c r="AZ424" s="599"/>
      <c r="BA424" s="599"/>
      <c r="BB424" s="599"/>
      <c r="BC424" s="599"/>
      <c r="BD424" s="599"/>
      <c r="BE424" s="598"/>
    </row>
    <row r="425" spans="2:57">
      <c r="B425" s="1421"/>
      <c r="C425" s="1422"/>
      <c r="D425" s="836"/>
      <c r="E425" s="501"/>
      <c r="F425" s="1315" t="s">
        <v>668</v>
      </c>
      <c r="G425" s="1316"/>
      <c r="H425" s="629">
        <v>1000</v>
      </c>
      <c r="I425" s="584"/>
      <c r="J425" s="504"/>
      <c r="K425" s="574"/>
      <c r="L425" s="574"/>
      <c r="M425" s="574"/>
      <c r="N425" s="505" t="str">
        <f t="shared" si="32"/>
        <v xml:space="preserve"> </v>
      </c>
      <c r="O425" s="597"/>
      <c r="P425" s="507"/>
      <c r="Q425" s="507"/>
      <c r="R425" s="507"/>
      <c r="S425" s="598"/>
      <c r="T425" s="599"/>
      <c r="U425" s="599"/>
      <c r="V425" s="599"/>
      <c r="W425" s="599"/>
      <c r="X425" s="599"/>
      <c r="Y425" s="599"/>
      <c r="Z425" s="599"/>
      <c r="AA425" s="599"/>
      <c r="AB425" s="599"/>
      <c r="AC425" s="599"/>
      <c r="AD425" s="599"/>
      <c r="AE425" s="599"/>
      <c r="AF425" s="599"/>
      <c r="AG425" s="599"/>
      <c r="AH425" s="599"/>
      <c r="AI425" s="599"/>
      <c r="AJ425" s="599"/>
      <c r="AK425" s="599"/>
      <c r="AL425" s="599"/>
      <c r="AM425" s="599"/>
      <c r="AN425" s="599"/>
      <c r="AO425" s="599"/>
      <c r="AP425" s="599"/>
      <c r="AQ425" s="599"/>
      <c r="AR425" s="599"/>
      <c r="AS425" s="599"/>
      <c r="AT425" s="599"/>
      <c r="AU425" s="599"/>
      <c r="AV425" s="599"/>
      <c r="AW425" s="599"/>
      <c r="AX425" s="599"/>
      <c r="AY425" s="599"/>
      <c r="AZ425" s="599"/>
      <c r="BA425" s="599"/>
      <c r="BB425" s="599"/>
      <c r="BC425" s="599"/>
      <c r="BD425" s="599"/>
      <c r="BE425" s="598"/>
    </row>
    <row r="426" spans="2:57">
      <c r="B426" s="1328"/>
      <c r="C426" s="1329"/>
      <c r="D426" s="836"/>
      <c r="E426" s="501"/>
      <c r="F426" s="1315" t="s">
        <v>616</v>
      </c>
      <c r="G426" s="1316"/>
      <c r="H426" s="629">
        <v>2000</v>
      </c>
      <c r="I426" s="584"/>
      <c r="J426" s="504"/>
      <c r="K426" s="574"/>
      <c r="L426" s="574"/>
      <c r="M426" s="574"/>
      <c r="N426" s="505" t="str">
        <f t="shared" si="32"/>
        <v xml:space="preserve"> </v>
      </c>
      <c r="O426" s="597"/>
      <c r="P426" s="507"/>
      <c r="Q426" s="507"/>
      <c r="R426" s="507"/>
      <c r="S426" s="598"/>
      <c r="T426" s="599"/>
      <c r="U426" s="599"/>
      <c r="V426" s="599"/>
      <c r="W426" s="599"/>
      <c r="X426" s="599"/>
      <c r="Y426" s="599"/>
      <c r="Z426" s="599"/>
      <c r="AA426" s="599"/>
      <c r="AB426" s="599"/>
      <c r="AC426" s="599"/>
      <c r="AD426" s="599"/>
      <c r="AE426" s="599"/>
      <c r="AF426" s="599"/>
      <c r="AG426" s="599"/>
      <c r="AH426" s="599"/>
      <c r="AI426" s="599"/>
      <c r="AJ426" s="599"/>
      <c r="AK426" s="599"/>
      <c r="AL426" s="599"/>
      <c r="AM426" s="599"/>
      <c r="AN426" s="599"/>
      <c r="AO426" s="599"/>
      <c r="AP426" s="599"/>
      <c r="AQ426" s="599"/>
      <c r="AR426" s="599"/>
      <c r="AS426" s="599"/>
      <c r="AT426" s="599"/>
      <c r="AU426" s="599"/>
      <c r="AV426" s="599"/>
      <c r="AW426" s="599"/>
      <c r="AX426" s="599"/>
      <c r="AY426" s="599"/>
      <c r="AZ426" s="599"/>
      <c r="BA426" s="599"/>
      <c r="BB426" s="599"/>
      <c r="BC426" s="599"/>
      <c r="BD426" s="599"/>
      <c r="BE426" s="598"/>
    </row>
    <row r="427" spans="2:57">
      <c r="B427" s="1326" t="s">
        <v>625</v>
      </c>
      <c r="C427" s="1327"/>
      <c r="D427" s="501" t="s">
        <v>3799</v>
      </c>
      <c r="E427" s="501"/>
      <c r="F427" s="501" t="s">
        <v>284</v>
      </c>
      <c r="G427" s="501" t="s">
        <v>285</v>
      </c>
      <c r="H427" s="629">
        <v>9106.7999999999993</v>
      </c>
      <c r="I427" s="584" t="s">
        <v>235</v>
      </c>
      <c r="J427" s="504">
        <v>45282.729166666664</v>
      </c>
      <c r="K427" s="574"/>
      <c r="L427" s="574" t="s">
        <v>192</v>
      </c>
      <c r="M427" s="574" t="s">
        <v>192</v>
      </c>
      <c r="N427" s="505" t="str">
        <f t="shared" si="32"/>
        <v>DELAY ( 22 day 17 hour 30 minute )</v>
      </c>
      <c r="O427" s="597"/>
      <c r="P427" s="507" t="s">
        <v>551</v>
      </c>
      <c r="Q427" s="507" t="s">
        <v>551</v>
      </c>
      <c r="R427" s="507" t="s">
        <v>551</v>
      </c>
      <c r="S427" s="598"/>
      <c r="T427" s="599"/>
      <c r="U427" s="599"/>
      <c r="V427" s="599"/>
      <c r="W427" s="599"/>
      <c r="X427" s="599"/>
      <c r="Y427" s="599"/>
      <c r="Z427" s="599"/>
      <c r="AA427" s="599"/>
      <c r="AB427" s="599">
        <f>H427</f>
        <v>9106.7999999999993</v>
      </c>
      <c r="AC427" s="599"/>
      <c r="AD427" s="599"/>
      <c r="AE427" s="599"/>
      <c r="AF427" s="599"/>
      <c r="AG427" s="599"/>
      <c r="AH427" s="599"/>
      <c r="AI427" s="599"/>
      <c r="AJ427" s="599"/>
      <c r="AK427" s="599"/>
      <c r="AL427" s="599"/>
      <c r="AM427" s="599"/>
      <c r="AN427" s="599"/>
      <c r="AO427" s="599"/>
      <c r="AP427" s="599"/>
      <c r="AQ427" s="599"/>
      <c r="AR427" s="599"/>
      <c r="AS427" s="599"/>
      <c r="AT427" s="599"/>
      <c r="AU427" s="599"/>
      <c r="AV427" s="599"/>
      <c r="AW427" s="599"/>
      <c r="AX427" s="599"/>
      <c r="AY427" s="599"/>
      <c r="AZ427" s="599"/>
      <c r="BA427" s="599"/>
      <c r="BB427" s="599"/>
      <c r="BC427" s="599"/>
      <c r="BD427" s="599"/>
      <c r="BE427" s="598"/>
    </row>
    <row r="428" spans="2:57">
      <c r="B428" s="1421"/>
      <c r="C428" s="1422"/>
      <c r="D428" s="836"/>
      <c r="E428" s="501"/>
      <c r="F428" s="1315" t="s">
        <v>668</v>
      </c>
      <c r="G428" s="1316"/>
      <c r="H428" s="629">
        <v>1000</v>
      </c>
      <c r="I428" s="584"/>
      <c r="J428" s="504"/>
      <c r="K428" s="574"/>
      <c r="L428" s="574"/>
      <c r="M428" s="574"/>
      <c r="N428" s="505" t="str">
        <f t="shared" si="32"/>
        <v xml:space="preserve"> </v>
      </c>
      <c r="O428" s="597"/>
      <c r="P428" s="507"/>
      <c r="Q428" s="507"/>
      <c r="R428" s="507"/>
      <c r="S428" s="598"/>
      <c r="T428" s="599"/>
      <c r="U428" s="599"/>
      <c r="V428" s="599"/>
      <c r="W428" s="599"/>
      <c r="X428" s="599"/>
      <c r="Y428" s="599"/>
      <c r="Z428" s="599"/>
      <c r="AA428" s="599"/>
      <c r="AB428" s="599"/>
      <c r="AC428" s="599"/>
      <c r="AD428" s="599"/>
      <c r="AE428" s="599"/>
      <c r="AF428" s="599"/>
      <c r="AG428" s="599"/>
      <c r="AH428" s="599"/>
      <c r="AI428" s="599"/>
      <c r="AJ428" s="599"/>
      <c r="AK428" s="599"/>
      <c r="AL428" s="599"/>
      <c r="AM428" s="599"/>
      <c r="AN428" s="599"/>
      <c r="AO428" s="599"/>
      <c r="AP428" s="599"/>
      <c r="AQ428" s="599"/>
      <c r="AR428" s="599"/>
      <c r="AS428" s="599"/>
      <c r="AT428" s="599"/>
      <c r="AU428" s="599"/>
      <c r="AV428" s="599"/>
      <c r="AW428" s="599"/>
      <c r="AX428" s="599"/>
      <c r="AY428" s="599"/>
      <c r="AZ428" s="599"/>
      <c r="BA428" s="599"/>
      <c r="BB428" s="599"/>
      <c r="BC428" s="599"/>
      <c r="BD428" s="599"/>
      <c r="BE428" s="598"/>
    </row>
    <row r="429" spans="2:57">
      <c r="B429" s="1328"/>
      <c r="C429" s="1329"/>
      <c r="D429" s="836"/>
      <c r="E429" s="501"/>
      <c r="F429" s="1315" t="s">
        <v>616</v>
      </c>
      <c r="G429" s="1316"/>
      <c r="H429" s="629">
        <v>2000</v>
      </c>
      <c r="I429" s="584"/>
      <c r="J429" s="504"/>
      <c r="K429" s="574"/>
      <c r="L429" s="574"/>
      <c r="M429" s="574"/>
      <c r="N429" s="505" t="str">
        <f t="shared" si="32"/>
        <v xml:space="preserve"> </v>
      </c>
      <c r="O429" s="597"/>
      <c r="P429" s="507"/>
      <c r="Q429" s="507"/>
      <c r="R429" s="507"/>
      <c r="S429" s="598"/>
      <c r="T429" s="599"/>
      <c r="U429" s="599"/>
      <c r="V429" s="599"/>
      <c r="W429" s="599"/>
      <c r="X429" s="599"/>
      <c r="Y429" s="599"/>
      <c r="Z429" s="599"/>
      <c r="AA429" s="599"/>
      <c r="AB429" s="599"/>
      <c r="AC429" s="599"/>
      <c r="AD429" s="599"/>
      <c r="AE429" s="599"/>
      <c r="AF429" s="599"/>
      <c r="AG429" s="599"/>
      <c r="AH429" s="599"/>
      <c r="AI429" s="599"/>
      <c r="AJ429" s="599"/>
      <c r="AK429" s="599"/>
      <c r="AL429" s="599"/>
      <c r="AM429" s="599"/>
      <c r="AN429" s="599"/>
      <c r="AO429" s="599"/>
      <c r="AP429" s="599"/>
      <c r="AQ429" s="599"/>
      <c r="AR429" s="599"/>
      <c r="AS429" s="599"/>
      <c r="AT429" s="599"/>
      <c r="AU429" s="599"/>
      <c r="AV429" s="599"/>
      <c r="AW429" s="599"/>
      <c r="AX429" s="599"/>
      <c r="AY429" s="599"/>
      <c r="AZ429" s="599"/>
      <c r="BA429" s="599"/>
      <c r="BB429" s="599"/>
      <c r="BC429" s="599"/>
      <c r="BD429" s="599"/>
      <c r="BE429" s="598"/>
    </row>
    <row r="430" spans="2:57">
      <c r="B430" s="1326" t="s">
        <v>669</v>
      </c>
      <c r="C430" s="1327"/>
      <c r="D430" s="501" t="s">
        <v>3800</v>
      </c>
      <c r="E430" s="501"/>
      <c r="F430" s="501" t="s">
        <v>343</v>
      </c>
      <c r="G430" s="501" t="s">
        <v>344</v>
      </c>
      <c r="H430" s="629">
        <f>7744.122-5170.108</f>
        <v>2574.0140000000001</v>
      </c>
      <c r="I430" s="584" t="s">
        <v>235</v>
      </c>
      <c r="J430" s="504">
        <v>45282.791666666664</v>
      </c>
      <c r="K430" s="574"/>
      <c r="L430" s="574" t="s">
        <v>192</v>
      </c>
      <c r="M430" s="574" t="s">
        <v>192</v>
      </c>
      <c r="N430" s="505" t="str">
        <f t="shared" si="32"/>
        <v>DELAY ( 22 day 19 hour 0 minute )</v>
      </c>
      <c r="O430" s="597"/>
      <c r="P430" s="507" t="s">
        <v>551</v>
      </c>
      <c r="Q430" s="507" t="s">
        <v>551</v>
      </c>
      <c r="R430" s="507" t="s">
        <v>551</v>
      </c>
      <c r="S430" s="598"/>
      <c r="T430" s="599"/>
      <c r="U430" s="599"/>
      <c r="V430" s="599"/>
      <c r="W430" s="599"/>
      <c r="X430" s="599"/>
      <c r="Y430" s="599"/>
      <c r="Z430" s="599"/>
      <c r="AA430" s="599"/>
      <c r="AB430" s="599">
        <f>H430-H437</f>
        <v>-683.17000000000007</v>
      </c>
      <c r="AC430" s="599"/>
      <c r="AD430" s="599"/>
      <c r="AE430" s="599"/>
      <c r="AF430" s="599"/>
      <c r="AG430" s="599"/>
      <c r="AH430" s="599"/>
      <c r="AI430" s="599"/>
      <c r="AJ430" s="599"/>
      <c r="AK430" s="599"/>
      <c r="AL430" s="599"/>
      <c r="AM430" s="599"/>
      <c r="AN430" s="599"/>
      <c r="AO430" s="599"/>
      <c r="AP430" s="599"/>
      <c r="AQ430" s="599"/>
      <c r="AR430" s="599"/>
      <c r="AS430" s="599"/>
      <c r="AT430" s="599"/>
      <c r="AU430" s="599"/>
      <c r="AV430" s="599"/>
      <c r="AW430" s="599"/>
      <c r="AX430" s="599"/>
      <c r="AY430" s="599"/>
      <c r="AZ430" s="599"/>
      <c r="BA430" s="599"/>
      <c r="BB430" s="599"/>
      <c r="BC430" s="599"/>
      <c r="BD430" s="599"/>
      <c r="BE430" s="598"/>
    </row>
    <row r="431" spans="2:57">
      <c r="B431" s="1421"/>
      <c r="C431" s="1422"/>
      <c r="D431" s="836"/>
      <c r="E431" s="501"/>
      <c r="F431" s="1315" t="s">
        <v>668</v>
      </c>
      <c r="G431" s="1316"/>
      <c r="H431" s="629">
        <f>506.958</f>
        <v>506.95800000000003</v>
      </c>
      <c r="I431" s="584"/>
      <c r="J431" s="504"/>
      <c r="K431" s="574"/>
      <c r="L431" s="574"/>
      <c r="M431" s="574"/>
      <c r="N431" s="505" t="str">
        <f t="shared" si="32"/>
        <v xml:space="preserve"> </v>
      </c>
      <c r="O431" s="597"/>
      <c r="P431" s="507"/>
      <c r="Q431" s="507"/>
      <c r="R431" s="507"/>
      <c r="S431" s="598"/>
      <c r="T431" s="599"/>
      <c r="U431" s="599"/>
      <c r="V431" s="599"/>
      <c r="W431" s="599"/>
      <c r="X431" s="599"/>
      <c r="Y431" s="599"/>
      <c r="Z431" s="599"/>
      <c r="AA431" s="599"/>
      <c r="AB431" s="599"/>
      <c r="AC431" s="599"/>
      <c r="AD431" s="599"/>
      <c r="AE431" s="599"/>
      <c r="AF431" s="599"/>
      <c r="AG431" s="599"/>
      <c r="AH431" s="599"/>
      <c r="AI431" s="599"/>
      <c r="AJ431" s="599"/>
      <c r="AK431" s="599"/>
      <c r="AL431" s="599"/>
      <c r="AM431" s="599"/>
      <c r="AN431" s="599"/>
      <c r="AO431" s="599"/>
      <c r="AP431" s="599"/>
      <c r="AQ431" s="599"/>
      <c r="AR431" s="599"/>
      <c r="AS431" s="599"/>
      <c r="AT431" s="599"/>
      <c r="AU431" s="599"/>
      <c r="AV431" s="599"/>
      <c r="AW431" s="599"/>
      <c r="AX431" s="599"/>
      <c r="AY431" s="599"/>
      <c r="AZ431" s="599"/>
      <c r="BA431" s="599"/>
      <c r="BB431" s="599"/>
      <c r="BC431" s="599"/>
      <c r="BD431" s="599"/>
      <c r="BE431" s="598"/>
    </row>
    <row r="432" spans="2:57">
      <c r="B432" s="1328"/>
      <c r="C432" s="1329"/>
      <c r="D432" s="836"/>
      <c r="E432" s="501"/>
      <c r="F432" s="1315" t="s">
        <v>616</v>
      </c>
      <c r="G432" s="1316"/>
      <c r="H432" s="888">
        <f>1000+0.291</f>
        <v>1000.2910000000001</v>
      </c>
      <c r="I432" s="584"/>
      <c r="J432" s="574"/>
      <c r="K432" s="574"/>
      <c r="L432" s="574"/>
      <c r="M432" s="574"/>
      <c r="N432" s="505" t="str">
        <f t="shared" si="32"/>
        <v xml:space="preserve"> </v>
      </c>
      <c r="O432" s="597"/>
      <c r="P432" s="507"/>
      <c r="Q432" s="507"/>
      <c r="R432" s="507"/>
      <c r="S432" s="598"/>
      <c r="T432" s="599"/>
      <c r="U432" s="599"/>
      <c r="V432" s="599"/>
      <c r="W432" s="599"/>
      <c r="X432" s="599"/>
      <c r="Y432" s="599"/>
      <c r="Z432" s="599"/>
      <c r="AA432" s="599"/>
      <c r="AB432" s="599"/>
      <c r="AC432" s="599"/>
      <c r="AD432" s="599"/>
      <c r="AE432" s="599"/>
      <c r="AF432" s="599"/>
      <c r="AG432" s="599"/>
      <c r="AH432" s="599"/>
      <c r="AI432" s="599"/>
      <c r="AJ432" s="599"/>
      <c r="AK432" s="599"/>
      <c r="AL432" s="599"/>
      <c r="AM432" s="599"/>
      <c r="AN432" s="599"/>
      <c r="AO432" s="599"/>
      <c r="AP432" s="599"/>
      <c r="AQ432" s="599"/>
      <c r="AR432" s="599"/>
      <c r="AS432" s="599"/>
      <c r="AT432" s="599"/>
      <c r="AU432" s="599"/>
      <c r="AV432" s="599"/>
      <c r="AW432" s="599"/>
      <c r="AX432" s="599"/>
      <c r="AY432" s="599"/>
      <c r="AZ432" s="599"/>
      <c r="BA432" s="599"/>
      <c r="BB432" s="599"/>
      <c r="BC432" s="599"/>
      <c r="BD432" s="599"/>
      <c r="BE432" s="598"/>
    </row>
    <row r="433" spans="2:57">
      <c r="B433" s="1480" t="s">
        <v>626</v>
      </c>
      <c r="C433" s="1481"/>
      <c r="D433" s="1482"/>
      <c r="E433" s="1482"/>
      <c r="F433" s="1482"/>
      <c r="G433" s="1482"/>
      <c r="H433" s="889">
        <f>H412+H415+H418+H421+H424+H427+H430</f>
        <v>49024.681000000004</v>
      </c>
      <c r="I433" s="868"/>
      <c r="J433" s="869"/>
      <c r="K433" s="869"/>
      <c r="L433" s="869"/>
      <c r="M433" s="869"/>
      <c r="N433" s="583" t="str">
        <f t="shared" si="32"/>
        <v xml:space="preserve"> </v>
      </c>
      <c r="O433" s="552"/>
      <c r="P433" s="706"/>
      <c r="Q433" s="706"/>
      <c r="R433" s="706"/>
      <c r="S433" s="598"/>
      <c r="T433" s="1462"/>
      <c r="U433" s="1462"/>
      <c r="V433" s="1462"/>
      <c r="W433" s="1462"/>
      <c r="X433" s="1462"/>
      <c r="Y433" s="1462"/>
      <c r="Z433" s="1462"/>
      <c r="AA433" s="1462"/>
      <c r="AB433" s="1462"/>
      <c r="AC433" s="1462"/>
      <c r="AD433" s="1462"/>
      <c r="AE433" s="1462"/>
      <c r="AF433" s="1462"/>
      <c r="AG433" s="1462"/>
      <c r="AH433" s="1462"/>
      <c r="AI433" s="1462"/>
      <c r="AJ433" s="1462"/>
      <c r="AK433" s="1462"/>
      <c r="AL433" s="1462"/>
      <c r="AM433" s="1462"/>
      <c r="AN433" s="1462"/>
      <c r="AO433" s="1462"/>
      <c r="AP433" s="1462"/>
      <c r="AQ433" s="1462"/>
      <c r="AR433" s="1462"/>
      <c r="AS433" s="1462"/>
      <c r="AT433" s="1462"/>
      <c r="AU433" s="1462"/>
      <c r="AV433" s="1462"/>
      <c r="AW433" s="1462"/>
      <c r="AX433" s="1462"/>
      <c r="AY433" s="1462"/>
      <c r="AZ433" s="1462"/>
      <c r="BA433" s="1462"/>
      <c r="BB433" s="1462"/>
      <c r="BC433" s="1462"/>
      <c r="BD433" s="1462"/>
    </row>
    <row r="434" spans="2:57">
      <c r="B434" s="1351" t="s">
        <v>556</v>
      </c>
      <c r="C434" s="1352"/>
      <c r="D434" s="1352"/>
      <c r="E434" s="1352"/>
      <c r="F434" s="1352"/>
      <c r="G434" s="1352"/>
      <c r="H434" s="889">
        <f>H411+H433</f>
        <v>73500</v>
      </c>
      <c r="I434" s="1479"/>
      <c r="J434" s="1479"/>
      <c r="K434" s="1479"/>
      <c r="L434" s="1479"/>
      <c r="M434" s="1479"/>
      <c r="N434" s="583" t="str">
        <f t="shared" si="32"/>
        <v xml:space="preserve"> </v>
      </c>
      <c r="O434" s="552"/>
      <c r="P434" s="706"/>
      <c r="Q434" s="706"/>
      <c r="R434" s="706"/>
      <c r="S434" s="598"/>
      <c r="T434" s="1432"/>
      <c r="U434" s="1433"/>
      <c r="V434" s="1433"/>
      <c r="W434" s="1433"/>
      <c r="X434" s="1433"/>
      <c r="Y434" s="1433"/>
      <c r="Z434" s="1433"/>
      <c r="AA434" s="1433"/>
      <c r="AB434" s="1433"/>
      <c r="AC434" s="1433"/>
      <c r="AD434" s="1433"/>
      <c r="AE434" s="1433"/>
      <c r="AF434" s="1433"/>
      <c r="AG434" s="1433"/>
      <c r="AH434" s="1433"/>
      <c r="AI434" s="1433"/>
      <c r="AJ434" s="1433"/>
      <c r="AK434" s="1433"/>
      <c r="AL434" s="1433"/>
      <c r="AM434" s="1433"/>
      <c r="AN434" s="1433"/>
      <c r="AO434" s="1433"/>
      <c r="AP434" s="1433"/>
      <c r="AQ434" s="1433"/>
      <c r="AR434" s="1433"/>
      <c r="AS434" s="1433"/>
      <c r="AT434" s="1433"/>
      <c r="AU434" s="1433"/>
      <c r="AV434" s="1433"/>
      <c r="AW434" s="1433"/>
      <c r="AX434" s="1433"/>
      <c r="AY434" s="1433"/>
      <c r="AZ434" s="1433"/>
      <c r="BA434" s="1433"/>
      <c r="BB434" s="1433"/>
      <c r="BC434" s="1433"/>
      <c r="BD434" s="1433"/>
    </row>
    <row r="435" spans="2:57">
      <c r="B435" s="1415" t="s">
        <v>557</v>
      </c>
      <c r="C435" s="1416"/>
      <c r="D435" s="1416"/>
      <c r="E435" s="1416"/>
      <c r="F435" s="1416"/>
      <c r="G435" s="1417"/>
      <c r="H435" s="1133">
        <v>73500</v>
      </c>
      <c r="I435" s="1483"/>
      <c r="J435" s="1483"/>
      <c r="K435" s="1483"/>
      <c r="L435" s="1483"/>
      <c r="M435" s="1483"/>
      <c r="N435" s="505" t="str">
        <f t="shared" si="32"/>
        <v xml:space="preserve"> </v>
      </c>
      <c r="O435" s="598"/>
      <c r="P435" s="507"/>
      <c r="Q435" s="507"/>
      <c r="R435" s="507"/>
      <c r="S435" s="711"/>
      <c r="T435" s="599">
        <f t="shared" ref="T435:BD435" si="34">SUM(T407:T430)</f>
        <v>9507.0280000000002</v>
      </c>
      <c r="U435" s="599">
        <f t="shared" si="34"/>
        <v>0</v>
      </c>
      <c r="V435" s="599">
        <f t="shared" si="34"/>
        <v>0</v>
      </c>
      <c r="W435" s="599">
        <f t="shared" si="34"/>
        <v>0</v>
      </c>
      <c r="X435" s="599">
        <f t="shared" si="34"/>
        <v>0</v>
      </c>
      <c r="Y435" s="599">
        <f t="shared" si="34"/>
        <v>0</v>
      </c>
      <c r="Z435" s="599">
        <f t="shared" si="34"/>
        <v>14968.291000000001</v>
      </c>
      <c r="AA435" s="599">
        <f t="shared" si="34"/>
        <v>0</v>
      </c>
      <c r="AB435" s="599">
        <f t="shared" si="34"/>
        <v>44700.619600000005</v>
      </c>
      <c r="AC435" s="599">
        <f t="shared" si="34"/>
        <v>1066.8774000000001</v>
      </c>
      <c r="AD435" s="599">
        <f t="shared" si="34"/>
        <v>0</v>
      </c>
      <c r="AE435" s="599">
        <f t="shared" si="34"/>
        <v>0</v>
      </c>
      <c r="AF435" s="599">
        <f t="shared" si="34"/>
        <v>0</v>
      </c>
      <c r="AG435" s="599">
        <f t="shared" si="34"/>
        <v>0</v>
      </c>
      <c r="AH435" s="599">
        <f t="shared" si="34"/>
        <v>0</v>
      </c>
      <c r="AI435" s="599">
        <f t="shared" si="34"/>
        <v>0</v>
      </c>
      <c r="AJ435" s="599">
        <f t="shared" si="34"/>
        <v>0</v>
      </c>
      <c r="AK435" s="599">
        <f t="shared" si="34"/>
        <v>0</v>
      </c>
      <c r="AL435" s="599">
        <f t="shared" si="34"/>
        <v>0</v>
      </c>
      <c r="AM435" s="599">
        <f t="shared" si="34"/>
        <v>0</v>
      </c>
      <c r="AN435" s="599">
        <f t="shared" si="34"/>
        <v>0</v>
      </c>
      <c r="AO435" s="599">
        <f t="shared" si="34"/>
        <v>0</v>
      </c>
      <c r="AP435" s="599">
        <f t="shared" si="34"/>
        <v>0</v>
      </c>
      <c r="AQ435" s="599">
        <f t="shared" si="34"/>
        <v>0</v>
      </c>
      <c r="AR435" s="599">
        <f t="shared" si="34"/>
        <v>0</v>
      </c>
      <c r="AS435" s="599">
        <f t="shared" si="34"/>
        <v>0</v>
      </c>
      <c r="AT435" s="599">
        <f t="shared" si="34"/>
        <v>0</v>
      </c>
      <c r="AU435" s="599">
        <f t="shared" si="34"/>
        <v>0</v>
      </c>
      <c r="AV435" s="599">
        <f t="shared" si="34"/>
        <v>0</v>
      </c>
      <c r="AW435" s="599">
        <f t="shared" si="34"/>
        <v>0</v>
      </c>
      <c r="AX435" s="599">
        <f t="shared" si="34"/>
        <v>0</v>
      </c>
      <c r="AY435" s="599">
        <f t="shared" si="34"/>
        <v>0</v>
      </c>
      <c r="AZ435" s="599">
        <f t="shared" si="34"/>
        <v>0</v>
      </c>
      <c r="BA435" s="599">
        <f t="shared" si="34"/>
        <v>0</v>
      </c>
      <c r="BB435" s="599">
        <f t="shared" si="34"/>
        <v>0</v>
      </c>
      <c r="BC435" s="599">
        <f t="shared" si="34"/>
        <v>0</v>
      </c>
      <c r="BD435" s="599">
        <f t="shared" si="34"/>
        <v>0</v>
      </c>
      <c r="BE435" s="599">
        <f>SUM(T435:BD435)</f>
        <v>70242.816000000006</v>
      </c>
    </row>
    <row r="436" spans="2:57">
      <c r="B436" s="1415" t="s">
        <v>558</v>
      </c>
      <c r="C436" s="1416"/>
      <c r="D436" s="1416"/>
      <c r="E436" s="1416"/>
      <c r="F436" s="1416"/>
      <c r="G436" s="1417"/>
      <c r="H436" s="712">
        <f>H435-L401</f>
        <v>0</v>
      </c>
      <c r="I436" s="716"/>
      <c r="J436" s="717"/>
      <c r="K436" s="717"/>
      <c r="L436" s="563"/>
      <c r="M436" s="598"/>
      <c r="N436" s="598"/>
      <c r="O436" s="598"/>
      <c r="P436" s="598"/>
      <c r="Q436" s="715"/>
      <c r="R436" s="715"/>
      <c r="S436" s="598"/>
      <c r="T436" s="688"/>
      <c r="U436" s="688"/>
      <c r="V436" s="688"/>
      <c r="W436" s="688"/>
      <c r="X436" s="688"/>
      <c r="Y436" s="688"/>
      <c r="Z436" s="688"/>
      <c r="AA436" s="688"/>
      <c r="AB436" s="688"/>
      <c r="AC436" s="598"/>
      <c r="AD436" s="598"/>
      <c r="AE436" s="598"/>
      <c r="AF436" s="598"/>
      <c r="AG436" s="598"/>
      <c r="AH436" s="598"/>
      <c r="AI436" s="598"/>
      <c r="AJ436" s="598"/>
      <c r="AK436" s="598"/>
      <c r="AL436" s="598"/>
      <c r="AM436" s="598"/>
      <c r="AN436" s="598"/>
      <c r="AO436" s="598"/>
      <c r="AP436" s="598"/>
      <c r="AQ436" s="598"/>
      <c r="AR436" s="598"/>
    </row>
    <row r="437" spans="2:57">
      <c r="B437" s="1415" t="s">
        <v>559</v>
      </c>
      <c r="C437" s="1416"/>
      <c r="D437" s="1416"/>
      <c r="E437" s="1416"/>
      <c r="F437" s="1416"/>
      <c r="G437" s="1417"/>
      <c r="H437" s="747">
        <v>3257.1840000000002</v>
      </c>
      <c r="I437" s="716"/>
      <c r="J437" s="717"/>
      <c r="K437" s="717"/>
      <c r="L437" s="563"/>
      <c r="M437" s="598"/>
      <c r="N437" s="598"/>
      <c r="O437" s="598"/>
      <c r="P437" s="598"/>
      <c r="Q437" s="598"/>
      <c r="R437" s="598"/>
      <c r="S437" s="598"/>
      <c r="T437" s="688"/>
      <c r="U437" s="688"/>
      <c r="V437" s="688"/>
      <c r="W437" s="688"/>
      <c r="X437" s="688"/>
      <c r="Y437" s="688"/>
      <c r="Z437" s="688"/>
      <c r="AA437" s="688"/>
      <c r="AB437" s="688"/>
      <c r="AC437" s="598"/>
      <c r="AD437" s="598"/>
      <c r="AE437" s="598"/>
      <c r="AF437" s="598"/>
      <c r="AG437" s="598"/>
      <c r="AH437" s="598"/>
      <c r="AI437" s="598"/>
      <c r="AJ437" s="598"/>
      <c r="AK437" s="598"/>
      <c r="AL437" s="598"/>
      <c r="AM437" s="598"/>
      <c r="AN437" s="598"/>
      <c r="AO437" s="598"/>
      <c r="AP437" s="598"/>
      <c r="AQ437" s="598"/>
      <c r="AR437" s="598"/>
    </row>
    <row r="438" spans="2:57" s="39" customFormat="1" ht="12.75" customHeight="1">
      <c r="B438" s="1415" t="s">
        <v>560</v>
      </c>
      <c r="C438" s="1416"/>
      <c r="D438" s="1416"/>
      <c r="E438" s="1416"/>
      <c r="F438" s="1416"/>
      <c r="G438" s="1417"/>
      <c r="H438" s="741">
        <f>H437-5170.108</f>
        <v>-1912.924</v>
      </c>
      <c r="I438" s="641"/>
      <c r="J438" s="642"/>
      <c r="K438" s="642"/>
      <c r="L438" s="499"/>
      <c r="M438" s="613"/>
      <c r="N438" s="613"/>
      <c r="O438" s="613"/>
      <c r="P438" s="613"/>
      <c r="Q438" s="613"/>
      <c r="R438" s="613"/>
      <c r="S438" s="616"/>
      <c r="T438" s="616"/>
      <c r="U438" s="616"/>
      <c r="V438" s="616"/>
      <c r="W438" s="616"/>
      <c r="X438" s="616"/>
      <c r="Y438" s="616"/>
      <c r="Z438" s="616"/>
      <c r="AA438" s="616"/>
      <c r="AB438" s="613"/>
      <c r="AC438" s="613"/>
      <c r="AD438" s="613"/>
      <c r="AE438" s="613"/>
      <c r="AF438" s="613"/>
      <c r="AG438" s="613"/>
      <c r="AH438" s="613"/>
      <c r="AI438" s="613"/>
      <c r="AJ438" s="613"/>
      <c r="AK438" s="613"/>
      <c r="AL438" s="613"/>
      <c r="AM438" s="613"/>
      <c r="AN438" s="613"/>
      <c r="AO438" s="613"/>
      <c r="AP438" s="613"/>
      <c r="AQ438" s="613"/>
      <c r="AR438" s="496"/>
      <c r="AS438" s="496"/>
      <c r="AT438" s="496"/>
      <c r="AU438" s="496"/>
      <c r="AV438" s="496"/>
      <c r="AW438" s="496"/>
      <c r="AX438" s="496"/>
      <c r="AY438" s="496"/>
      <c r="AZ438" s="496"/>
      <c r="BA438" s="496"/>
    </row>
    <row r="439" spans="2:57">
      <c r="B439" s="598"/>
      <c r="C439" s="598"/>
      <c r="D439" s="598"/>
      <c r="E439" s="598"/>
      <c r="F439" s="598"/>
      <c r="G439" s="598"/>
      <c r="H439" s="598"/>
      <c r="I439" s="718"/>
      <c r="J439" s="716"/>
      <c r="K439" s="716"/>
      <c r="L439" s="719"/>
      <c r="M439" s="598"/>
      <c r="N439" s="598"/>
      <c r="O439" s="716"/>
      <c r="P439" s="598"/>
      <c r="Q439" s="598"/>
      <c r="R439" s="598"/>
      <c r="S439" s="598"/>
      <c r="T439" s="688"/>
      <c r="U439" s="688"/>
      <c r="V439" s="688"/>
      <c r="W439" s="688"/>
      <c r="X439" s="688"/>
      <c r="Y439" s="688"/>
      <c r="Z439" s="688"/>
      <c r="AA439" s="688"/>
      <c r="AB439" s="688"/>
      <c r="AC439" s="598"/>
      <c r="AD439" s="598"/>
      <c r="AE439" s="598"/>
      <c r="AF439" s="598"/>
      <c r="AG439" s="598"/>
      <c r="AH439" s="598"/>
      <c r="AI439" s="598"/>
      <c r="AJ439" s="598"/>
      <c r="AK439" s="598"/>
      <c r="AL439" s="598"/>
      <c r="AM439" s="598"/>
      <c r="AN439" s="598"/>
      <c r="AO439" s="598"/>
      <c r="AP439" s="598"/>
      <c r="AQ439" s="598"/>
      <c r="AR439" s="598"/>
    </row>
    <row r="440" spans="2:57">
      <c r="B440" s="693" t="s">
        <v>561</v>
      </c>
      <c r="C440" s="693"/>
      <c r="D440" s="598"/>
      <c r="E440" s="598"/>
      <c r="F440" s="598"/>
      <c r="G440" s="598"/>
      <c r="H440" s="598"/>
      <c r="I440" s="598"/>
      <c r="J440" s="716"/>
      <c r="K440" s="716"/>
      <c r="L440" s="719"/>
      <c r="M440" s="598"/>
      <c r="N440" s="598"/>
      <c r="O440" s="716"/>
      <c r="P440" s="688"/>
      <c r="Q440" s="688"/>
      <c r="R440" s="688"/>
      <c r="S440" s="688"/>
      <c r="T440" s="688"/>
      <c r="U440" s="688"/>
      <c r="V440" s="688"/>
      <c r="W440" s="688"/>
      <c r="X440" s="688"/>
      <c r="Y440" s="688"/>
      <c r="Z440" s="688"/>
      <c r="AA440" s="688"/>
      <c r="AB440" s="598"/>
      <c r="AC440" s="598"/>
      <c r="AD440" s="598"/>
      <c r="AE440" s="598"/>
      <c r="AF440" s="598"/>
      <c r="AG440" s="598"/>
      <c r="AH440" s="598"/>
      <c r="AI440" s="598"/>
      <c r="AJ440" s="598"/>
      <c r="AK440" s="598"/>
      <c r="AL440" s="598"/>
      <c r="AM440" s="598"/>
      <c r="AN440" s="598"/>
      <c r="AO440" s="598"/>
      <c r="AP440" s="598"/>
      <c r="AQ440" s="598"/>
      <c r="AR440" s="598"/>
      <c r="AS440" s="598"/>
      <c r="AT440" s="598"/>
      <c r="AU440" s="598"/>
      <c r="BE440" s="598"/>
    </row>
    <row r="441" spans="2:57">
      <c r="B441" s="720">
        <v>1</v>
      </c>
      <c r="C441" s="1431" t="s">
        <v>1149</v>
      </c>
      <c r="D441" s="1431"/>
      <c r="E441" s="1431"/>
      <c r="F441" s="1431"/>
      <c r="G441" s="1431"/>
      <c r="H441" s="1431"/>
      <c r="I441" s="1431"/>
      <c r="J441" s="1431"/>
      <c r="K441" s="1431"/>
      <c r="L441" s="719"/>
      <c r="M441" s="719"/>
      <c r="N441" s="598"/>
      <c r="O441" s="716"/>
      <c r="P441" s="688"/>
      <c r="Q441" s="688"/>
      <c r="R441" s="688"/>
      <c r="S441" s="688"/>
      <c r="T441" s="688"/>
      <c r="U441" s="688"/>
      <c r="V441" s="688"/>
      <c r="W441" s="688"/>
      <c r="X441" s="688"/>
      <c r="Y441" s="688"/>
      <c r="Z441" s="688"/>
      <c r="AA441" s="688"/>
      <c r="AB441" s="598"/>
      <c r="AC441" s="598"/>
      <c r="AD441" s="598"/>
      <c r="AE441" s="598"/>
      <c r="AF441" s="598"/>
      <c r="AG441" s="598"/>
      <c r="AH441" s="598"/>
      <c r="AI441" s="598"/>
      <c r="AJ441" s="598"/>
      <c r="AK441" s="598"/>
      <c r="AL441" s="598"/>
      <c r="AM441" s="598"/>
      <c r="AN441" s="598"/>
      <c r="AO441" s="598"/>
      <c r="AP441" s="598"/>
      <c r="AQ441" s="598"/>
      <c r="AR441" s="598"/>
      <c r="AS441" s="598"/>
      <c r="AT441" s="598"/>
      <c r="AU441" s="598"/>
      <c r="AV441" s="598"/>
      <c r="AW441" s="598"/>
      <c r="AX441" s="598"/>
      <c r="AY441" s="598"/>
      <c r="AZ441" s="598"/>
      <c r="BA441" s="598"/>
      <c r="BB441" s="598"/>
      <c r="BC441" s="598"/>
      <c r="BD441" s="598"/>
      <c r="BE441" s="598"/>
    </row>
    <row r="443" spans="2:57">
      <c r="B443" s="28" t="s">
        <v>126</v>
      </c>
      <c r="C443" s="28"/>
      <c r="D443" s="614"/>
      <c r="E443" s="30" t="s">
        <v>511</v>
      </c>
      <c r="F443" s="31" t="s">
        <v>986</v>
      </c>
      <c r="G443" s="591"/>
      <c r="H443" s="33"/>
      <c r="I443" s="615"/>
      <c r="J443" s="35" t="s">
        <v>513</v>
      </c>
      <c r="K443" s="36" t="s">
        <v>511</v>
      </c>
      <c r="L443" s="516">
        <v>45286.041666666664</v>
      </c>
      <c r="M443" s="591"/>
      <c r="N443" s="591"/>
      <c r="O443" s="206"/>
      <c r="P443" s="205"/>
      <c r="Q443" s="616"/>
      <c r="R443" s="204"/>
      <c r="S443" s="617"/>
      <c r="T443" s="613"/>
      <c r="U443" s="613"/>
      <c r="V443" s="613"/>
      <c r="W443" s="613"/>
      <c r="X443" s="613"/>
      <c r="Y443" s="613"/>
      <c r="Z443" s="613"/>
      <c r="AA443" s="613"/>
      <c r="AB443" s="616"/>
      <c r="AC443" s="616"/>
      <c r="AD443" s="616"/>
      <c r="AE443" s="616"/>
      <c r="AF443" s="616"/>
      <c r="AG443" s="613"/>
      <c r="AH443" s="613"/>
      <c r="AI443" s="613"/>
      <c r="AJ443" s="613"/>
      <c r="AK443" s="613"/>
      <c r="AL443" s="613"/>
      <c r="AM443" s="613"/>
      <c r="AN443" s="613"/>
      <c r="AO443" s="613"/>
      <c r="AP443" s="613"/>
      <c r="AQ443" s="613"/>
      <c r="AR443" s="613"/>
      <c r="AS443" s="613"/>
      <c r="AT443" s="613"/>
      <c r="AU443" s="613"/>
      <c r="AV443" s="613"/>
      <c r="AW443" s="613"/>
      <c r="AX443" s="613"/>
      <c r="AY443" s="613"/>
      <c r="AZ443" s="613"/>
      <c r="BA443" s="613"/>
      <c r="BB443" s="613"/>
      <c r="BC443" s="613"/>
      <c r="BD443" s="613"/>
      <c r="BE443" s="613"/>
    </row>
    <row r="444" spans="2:57">
      <c r="B444" s="35" t="s">
        <v>514</v>
      </c>
      <c r="C444" s="35"/>
      <c r="D444" s="591"/>
      <c r="E444" s="36" t="s">
        <v>511</v>
      </c>
      <c r="F444" s="311" t="s">
        <v>4391</v>
      </c>
      <c r="G444" s="591"/>
      <c r="H444" s="33"/>
      <c r="I444" s="615"/>
      <c r="J444" s="35" t="s">
        <v>516</v>
      </c>
      <c r="K444" s="36" t="s">
        <v>511</v>
      </c>
      <c r="L444" s="516">
        <v>45287.613194444442</v>
      </c>
      <c r="M444" s="591"/>
      <c r="N444" s="591"/>
      <c r="O444" s="206"/>
      <c r="P444" s="205"/>
      <c r="Q444" s="616"/>
      <c r="R444" s="204"/>
      <c r="S444" s="617"/>
      <c r="T444" s="613"/>
      <c r="U444" s="613"/>
      <c r="V444" s="613"/>
      <c r="W444" s="613"/>
      <c r="X444" s="613"/>
      <c r="Y444" s="613"/>
      <c r="Z444" s="613"/>
      <c r="AA444" s="613"/>
      <c r="AB444" s="616"/>
      <c r="AC444" s="616"/>
      <c r="AD444" s="616"/>
      <c r="AE444" s="616"/>
      <c r="AF444" s="616"/>
      <c r="AG444" s="613"/>
      <c r="AH444" s="613"/>
      <c r="AI444" s="613"/>
      <c r="AJ444" s="613"/>
      <c r="AK444" s="613"/>
      <c r="AL444" s="613"/>
      <c r="AM444" s="613"/>
      <c r="AN444" s="613"/>
      <c r="AO444" s="613"/>
      <c r="AP444" s="613"/>
      <c r="AQ444" s="613"/>
      <c r="AR444" s="613"/>
      <c r="AS444" s="613"/>
      <c r="AT444" s="613"/>
      <c r="AU444" s="613"/>
      <c r="AV444" s="613"/>
      <c r="AW444" s="613"/>
      <c r="AX444" s="613"/>
      <c r="AY444" s="613"/>
      <c r="AZ444" s="613"/>
      <c r="BA444" s="613"/>
      <c r="BB444" s="613"/>
      <c r="BC444" s="613"/>
      <c r="BD444" s="613"/>
      <c r="BE444" s="613"/>
    </row>
    <row r="445" spans="2:57">
      <c r="B445" s="35" t="s">
        <v>517</v>
      </c>
      <c r="C445" s="35"/>
      <c r="D445" s="591"/>
      <c r="E445" s="36" t="s">
        <v>511</v>
      </c>
      <c r="F445" s="516">
        <v>45277.366666666669</v>
      </c>
      <c r="G445" s="591"/>
      <c r="H445" s="33"/>
      <c r="I445" s="615"/>
      <c r="J445" s="35" t="s">
        <v>518</v>
      </c>
      <c r="K445" s="36" t="s">
        <v>511</v>
      </c>
      <c r="L445" s="859">
        <v>73550</v>
      </c>
      <c r="M445" s="619" t="s">
        <v>519</v>
      </c>
      <c r="N445" s="619"/>
      <c r="O445" s="206"/>
      <c r="P445" s="205"/>
      <c r="Q445" s="616"/>
      <c r="R445" s="204"/>
      <c r="S445" s="617"/>
      <c r="T445" s="613"/>
      <c r="U445" s="613"/>
      <c r="V445" s="613"/>
      <c r="W445" s="613"/>
      <c r="X445" s="613"/>
      <c r="Y445" s="613"/>
      <c r="Z445" s="613"/>
      <c r="AA445" s="613"/>
      <c r="AB445" s="616"/>
      <c r="AC445" s="616"/>
      <c r="AD445" s="616"/>
      <c r="AE445" s="616"/>
      <c r="AF445" s="616"/>
      <c r="AG445" s="613"/>
      <c r="AH445" s="613"/>
      <c r="AI445" s="613"/>
      <c r="AJ445" s="613"/>
      <c r="AK445" s="613"/>
      <c r="AL445" s="613"/>
      <c r="AM445" s="613"/>
      <c r="AN445" s="613"/>
      <c r="AO445" s="613"/>
      <c r="AP445" s="613"/>
      <c r="AQ445" s="613"/>
      <c r="AR445" s="613"/>
      <c r="AS445" s="613"/>
      <c r="AT445" s="613"/>
      <c r="AU445" s="613"/>
      <c r="AV445" s="613"/>
      <c r="AW445" s="613"/>
      <c r="AX445" s="613"/>
      <c r="AY445" s="613"/>
      <c r="AZ445" s="613"/>
      <c r="BA445" s="613"/>
      <c r="BB445" s="613"/>
      <c r="BC445" s="613"/>
      <c r="BD445" s="613"/>
      <c r="BE445" s="613"/>
    </row>
    <row r="446" spans="2:57">
      <c r="B446" s="35" t="s">
        <v>520</v>
      </c>
      <c r="C446" s="35"/>
      <c r="D446" s="591"/>
      <c r="E446" s="36" t="s">
        <v>511</v>
      </c>
      <c r="F446" s="37" t="s">
        <v>20</v>
      </c>
      <c r="G446" s="591"/>
      <c r="H446" s="33"/>
      <c r="I446" s="615"/>
      <c r="J446" s="35" t="s">
        <v>521</v>
      </c>
      <c r="K446" s="36" t="s">
        <v>511</v>
      </c>
      <c r="L446" s="620" t="s">
        <v>3086</v>
      </c>
      <c r="M446" s="591"/>
      <c r="N446" s="591"/>
      <c r="O446" s="206"/>
      <c r="P446" s="616"/>
      <c r="Q446" s="616"/>
      <c r="R446" s="204"/>
      <c r="S446" s="617"/>
      <c r="T446" s="613"/>
      <c r="U446" s="613"/>
      <c r="V446" s="613"/>
      <c r="W446" s="613"/>
      <c r="X446" s="613"/>
      <c r="Y446" s="613"/>
      <c r="Z446" s="613"/>
      <c r="AA446" s="613"/>
      <c r="AB446" s="616"/>
      <c r="AC446" s="616"/>
      <c r="AD446" s="616"/>
      <c r="AE446" s="616"/>
      <c r="AF446" s="616"/>
      <c r="AG446" s="613"/>
      <c r="AH446" s="613"/>
      <c r="AI446" s="613"/>
      <c r="AJ446" s="613"/>
      <c r="AK446" s="613"/>
      <c r="AL446" s="613"/>
      <c r="AM446" s="613"/>
      <c r="AN446" s="613"/>
      <c r="AO446" s="613"/>
      <c r="AP446" s="613"/>
      <c r="AQ446" s="613"/>
      <c r="AR446" s="613"/>
      <c r="AS446" s="613"/>
      <c r="AT446" s="613"/>
      <c r="AU446" s="613"/>
      <c r="AV446" s="613"/>
      <c r="AW446" s="613"/>
      <c r="AX446" s="613"/>
      <c r="AY446" s="613"/>
      <c r="AZ446" s="613"/>
      <c r="BA446" s="613"/>
      <c r="BB446" s="613"/>
      <c r="BC446" s="613"/>
      <c r="BD446" s="613"/>
      <c r="BE446" s="613"/>
    </row>
    <row r="447" spans="2:57">
      <c r="B447" s="35" t="s">
        <v>523</v>
      </c>
      <c r="C447" s="35"/>
      <c r="D447" s="591"/>
      <c r="E447" s="36" t="s">
        <v>511</v>
      </c>
      <c r="F447" s="37" t="s">
        <v>47</v>
      </c>
      <c r="G447" s="591"/>
      <c r="H447" s="33"/>
      <c r="I447" s="615"/>
      <c r="J447" s="35" t="s">
        <v>524</v>
      </c>
      <c r="K447" s="36" t="s">
        <v>511</v>
      </c>
      <c r="L447" s="621" t="s">
        <v>15</v>
      </c>
      <c r="M447" s="611"/>
      <c r="N447" s="611"/>
      <c r="O447" s="206"/>
      <c r="P447" s="205"/>
      <c r="Q447" s="616"/>
      <c r="R447" s="204"/>
      <c r="S447" s="617"/>
      <c r="T447" s="613"/>
      <c r="U447" s="613"/>
      <c r="V447" s="613"/>
      <c r="W447" s="613"/>
      <c r="X447" s="613"/>
      <c r="Y447" s="613"/>
      <c r="Z447" s="613"/>
      <c r="AA447" s="613"/>
      <c r="AB447" s="616"/>
      <c r="AC447" s="616"/>
      <c r="AD447" s="616"/>
      <c r="AE447" s="616"/>
      <c r="AF447" s="616"/>
      <c r="AG447" s="613"/>
      <c r="AH447" s="613"/>
      <c r="AI447" s="613"/>
      <c r="AJ447" s="613"/>
      <c r="AK447" s="613"/>
      <c r="AL447" s="613"/>
      <c r="AM447" s="613"/>
      <c r="AN447" s="613"/>
      <c r="AO447" s="613"/>
      <c r="AP447" s="613"/>
      <c r="AQ447" s="613"/>
      <c r="AR447" s="613"/>
      <c r="AS447" s="613"/>
      <c r="AT447" s="613"/>
      <c r="AU447" s="613"/>
      <c r="AV447" s="613"/>
      <c r="AW447" s="613"/>
      <c r="AX447" s="613"/>
      <c r="AY447" s="613"/>
      <c r="AZ447" s="613"/>
      <c r="BA447" s="613"/>
      <c r="BB447" s="613"/>
      <c r="BC447" s="613"/>
      <c r="BD447" s="613"/>
      <c r="BE447" s="613"/>
    </row>
    <row r="448" spans="2:57">
      <c r="B448" s="35" t="s">
        <v>2</v>
      </c>
      <c r="C448" s="35"/>
      <c r="D448" s="591"/>
      <c r="E448" s="36" t="s">
        <v>511</v>
      </c>
      <c r="F448" s="37" t="s">
        <v>18</v>
      </c>
      <c r="G448" s="591"/>
      <c r="H448" s="33"/>
      <c r="I448" s="622"/>
      <c r="J448" s="35"/>
      <c r="K448" s="36"/>
      <c r="L448" s="211"/>
      <c r="M448" s="613"/>
      <c r="N448" s="613"/>
      <c r="O448" s="35"/>
      <c r="P448" s="611"/>
      <c r="Q448" s="611"/>
      <c r="R448" s="611"/>
      <c r="S448" s="615"/>
      <c r="T448" s="613"/>
      <c r="U448" s="613"/>
      <c r="V448" s="613"/>
      <c r="W448" s="613"/>
      <c r="X448" s="613"/>
      <c r="Y448" s="613"/>
      <c r="Z448" s="613"/>
      <c r="AA448" s="613"/>
      <c r="AB448" s="615"/>
      <c r="AC448" s="615"/>
      <c r="AD448" s="615"/>
      <c r="AE448" s="615"/>
      <c r="AF448" s="615"/>
      <c r="AG448" s="615"/>
      <c r="AH448" s="615"/>
      <c r="AI448" s="615"/>
      <c r="AJ448" s="615"/>
      <c r="AK448" s="615"/>
      <c r="AL448" s="615"/>
      <c r="AM448" s="615"/>
      <c r="AN448" s="615"/>
      <c r="AO448" s="613"/>
      <c r="AP448" s="613"/>
      <c r="AQ448" s="613"/>
      <c r="AR448" s="613"/>
      <c r="AS448" s="613"/>
      <c r="AT448" s="613"/>
      <c r="AU448" s="613"/>
      <c r="AV448" s="613"/>
      <c r="AW448" s="613"/>
      <c r="AX448" s="613"/>
      <c r="AY448" s="613"/>
      <c r="AZ448" s="613"/>
      <c r="BA448" s="613"/>
      <c r="BB448" s="613"/>
      <c r="BC448" s="613"/>
      <c r="BD448" s="613"/>
      <c r="BE448" s="613"/>
    </row>
    <row r="449" spans="2:57">
      <c r="B449" s="613"/>
      <c r="C449" s="613"/>
      <c r="D449" s="613"/>
      <c r="E449" s="613"/>
      <c r="F449" s="613"/>
      <c r="G449" s="613"/>
      <c r="H449" s="613"/>
      <c r="I449" s="622"/>
      <c r="J449" s="35"/>
      <c r="K449" s="35"/>
      <c r="L449" s="621"/>
      <c r="M449" s="611"/>
      <c r="N449" s="611"/>
      <c r="O449" s="35"/>
      <c r="P449" s="611"/>
      <c r="Q449" s="611"/>
      <c r="R449" s="611"/>
      <c r="S449" s="615"/>
      <c r="T449" s="1317" t="s">
        <v>87</v>
      </c>
      <c r="U449" s="1317"/>
      <c r="V449" s="1317"/>
      <c r="W449" s="1317"/>
      <c r="X449" s="1317"/>
      <c r="Y449" s="1317" t="s">
        <v>73</v>
      </c>
      <c r="Z449" s="1317"/>
      <c r="AA449" s="1317"/>
      <c r="AB449" s="1317" t="s">
        <v>74</v>
      </c>
      <c r="AC449" s="1317"/>
      <c r="AD449" s="623" t="s">
        <v>85</v>
      </c>
      <c r="AE449" s="854" t="s">
        <v>77</v>
      </c>
      <c r="AF449" s="1459" t="s">
        <v>525</v>
      </c>
      <c r="AG449" s="1459"/>
      <c r="AH449" s="1459"/>
      <c r="AI449" s="1459"/>
      <c r="AJ449" s="1459"/>
      <c r="AK449" s="1459"/>
      <c r="AL449" s="1459"/>
      <c r="AM449" s="1459"/>
      <c r="AN449" s="1459"/>
      <c r="AO449" s="1459"/>
      <c r="AP449" s="1459"/>
      <c r="AQ449" s="1459"/>
      <c r="AR449" s="1459"/>
      <c r="AS449" s="1459"/>
      <c r="AT449" s="1459"/>
      <c r="AU449" s="1459"/>
      <c r="AV449" s="1459"/>
      <c r="AW449" s="1459"/>
      <c r="AX449" s="1459"/>
      <c r="AY449" s="1459"/>
      <c r="AZ449" s="1459"/>
      <c r="BA449" s="1459"/>
      <c r="BB449" s="1459"/>
      <c r="BC449" s="1459"/>
      <c r="BD449" s="1459"/>
      <c r="BE449" s="613"/>
    </row>
    <row r="450" spans="2:57">
      <c r="B450" s="1318" t="s">
        <v>526</v>
      </c>
      <c r="C450" s="1319"/>
      <c r="D450" s="624" t="s">
        <v>527</v>
      </c>
      <c r="E450" s="624"/>
      <c r="F450" s="624" t="s">
        <v>528</v>
      </c>
      <c r="G450" s="624" t="s">
        <v>529</v>
      </c>
      <c r="H450" s="624" t="s">
        <v>530</v>
      </c>
      <c r="I450" s="624" t="s">
        <v>531</v>
      </c>
      <c r="J450" s="624" t="s">
        <v>532</v>
      </c>
      <c r="K450" s="624"/>
      <c r="L450" s="624" t="s">
        <v>130</v>
      </c>
      <c r="M450" s="624" t="s">
        <v>533</v>
      </c>
      <c r="N450" s="1040" t="str">
        <f>"On time - "&amp;COUNTIF(N451:N463,"On time")&amp;" from "&amp;ROWS(N451:N463)-COUNTIF(N451:N463," ")</f>
        <v>On time - 0 from 10</v>
      </c>
      <c r="O450" s="626"/>
      <c r="P450" s="627" t="s">
        <v>534</v>
      </c>
      <c r="Q450" s="627" t="s">
        <v>535</v>
      </c>
      <c r="R450" s="627" t="s">
        <v>536</v>
      </c>
      <c r="S450" s="591"/>
      <c r="T450" s="628" t="s">
        <v>537</v>
      </c>
      <c r="U450" s="628" t="s">
        <v>538</v>
      </c>
      <c r="V450" s="628" t="s">
        <v>539</v>
      </c>
      <c r="W450" s="628" t="s">
        <v>540</v>
      </c>
      <c r="X450" s="628" t="s">
        <v>541</v>
      </c>
      <c r="Y450" s="628" t="s">
        <v>167</v>
      </c>
      <c r="Z450" s="628" t="s">
        <v>168</v>
      </c>
      <c r="AA450" s="628" t="s">
        <v>169</v>
      </c>
      <c r="AB450" s="628" t="s">
        <v>235</v>
      </c>
      <c r="AC450" s="628" t="s">
        <v>240</v>
      </c>
      <c r="AD450" s="623" t="s">
        <v>85</v>
      </c>
      <c r="AE450" s="628" t="s">
        <v>139</v>
      </c>
      <c r="AF450" s="855" t="s">
        <v>72</v>
      </c>
      <c r="AG450" s="855" t="s">
        <v>88</v>
      </c>
      <c r="AH450" s="855" t="s">
        <v>75</v>
      </c>
      <c r="AI450" s="855" t="s">
        <v>543</v>
      </c>
      <c r="AJ450" s="855" t="s">
        <v>78</v>
      </c>
      <c r="AK450" s="855" t="s">
        <v>76</v>
      </c>
      <c r="AL450" s="855" t="s">
        <v>544</v>
      </c>
      <c r="AM450" s="855" t="s">
        <v>545</v>
      </c>
      <c r="AN450" s="855" t="s">
        <v>86</v>
      </c>
      <c r="AO450" s="855" t="s">
        <v>83</v>
      </c>
      <c r="AP450" s="855" t="s">
        <v>84</v>
      </c>
      <c r="AQ450" s="855" t="s">
        <v>546</v>
      </c>
      <c r="AR450" s="855" t="s">
        <v>81</v>
      </c>
      <c r="AS450" s="855" t="s">
        <v>80</v>
      </c>
      <c r="AT450" s="855" t="s">
        <v>82</v>
      </c>
      <c r="AU450" s="855" t="s">
        <v>181</v>
      </c>
      <c r="AV450" s="855" t="s">
        <v>183</v>
      </c>
      <c r="AW450" s="855" t="s">
        <v>547</v>
      </c>
      <c r="AX450" s="855" t="s">
        <v>182</v>
      </c>
      <c r="AY450" s="855" t="s">
        <v>172</v>
      </c>
      <c r="AZ450" s="855" t="s">
        <v>173</v>
      </c>
      <c r="BA450" s="855" t="s">
        <v>184</v>
      </c>
      <c r="BB450" s="855" t="s">
        <v>100</v>
      </c>
      <c r="BC450" s="855" t="s">
        <v>913</v>
      </c>
      <c r="BD450" s="855" t="s">
        <v>2747</v>
      </c>
      <c r="BE450" s="613"/>
    </row>
    <row r="451" spans="2:57">
      <c r="B451" s="1315" t="s">
        <v>548</v>
      </c>
      <c r="C451" s="1316"/>
      <c r="D451" s="501" t="s">
        <v>3765</v>
      </c>
      <c r="E451" s="501"/>
      <c r="F451" s="501" t="s">
        <v>352</v>
      </c>
      <c r="G451" s="501" t="s">
        <v>353</v>
      </c>
      <c r="H451" s="629">
        <v>9201.1630000000005</v>
      </c>
      <c r="I451" s="584" t="s">
        <v>235</v>
      </c>
      <c r="J451" s="504">
        <v>45273.53125</v>
      </c>
      <c r="K451" s="504"/>
      <c r="L451" s="574" t="s">
        <v>192</v>
      </c>
      <c r="M451" s="574" t="s">
        <v>192</v>
      </c>
      <c r="N451" s="505" t="str">
        <f t="shared" ref="N451:N463" si="35">IF(ISBLANK(J451)," ",IF(J451&lt;$G$47248,"On time",(IF(DAY(J451-$G$47248)&lt;1,"On time",(IF(J451&gt;$G$47248,"DELAY ( "&amp;DAY(J451-$G$47248)&amp;" day "&amp;HOUR(J451-$G$47248)&amp;" hour "&amp;MINUTE(J451-$G$47248)&amp;" minute )","xxx"))))))</f>
        <v>DELAY ( 13 day 12 hour 45 minute )</v>
      </c>
      <c r="O451" s="597"/>
      <c r="P451" s="507" t="s">
        <v>551</v>
      </c>
      <c r="Q451" s="507" t="s">
        <v>551</v>
      </c>
      <c r="R451" s="507" t="s">
        <v>551</v>
      </c>
      <c r="S451" s="598"/>
      <c r="T451" s="599"/>
      <c r="U451" s="599"/>
      <c r="V451" s="599"/>
      <c r="W451" s="599"/>
      <c r="X451" s="599"/>
      <c r="Y451" s="599"/>
      <c r="Z451" s="599"/>
      <c r="AA451" s="599"/>
      <c r="AB451" s="599">
        <f>H451</f>
        <v>9201.1630000000005</v>
      </c>
      <c r="AC451" s="599"/>
      <c r="AD451" s="599"/>
      <c r="AE451" s="599"/>
      <c r="AF451" s="599"/>
      <c r="AG451" s="599"/>
      <c r="AH451" s="599"/>
      <c r="AI451" s="599"/>
      <c r="AJ451" s="599"/>
      <c r="AK451" s="598"/>
      <c r="AL451" s="599"/>
      <c r="AM451" s="599"/>
      <c r="AN451" s="599"/>
      <c r="AO451" s="599"/>
      <c r="AP451" s="599"/>
      <c r="AQ451" s="599"/>
      <c r="AR451" s="599"/>
      <c r="AS451" s="599"/>
      <c r="AT451" s="599"/>
      <c r="AU451" s="599"/>
      <c r="AV451" s="599"/>
      <c r="AW451" s="599"/>
      <c r="AX451" s="598"/>
      <c r="AY451" s="599"/>
      <c r="AZ451" s="599"/>
      <c r="BA451" s="599"/>
      <c r="BB451" s="599"/>
      <c r="BC451" s="599"/>
      <c r="BD451" s="599"/>
      <c r="BE451" s="598"/>
    </row>
    <row r="452" spans="2:57">
      <c r="B452" s="1315" t="s">
        <v>548</v>
      </c>
      <c r="C452" s="1316"/>
      <c r="D452" s="501" t="s">
        <v>3904</v>
      </c>
      <c r="E452" s="501"/>
      <c r="F452" s="501" t="s">
        <v>1313</v>
      </c>
      <c r="G452" s="501" t="s">
        <v>2486</v>
      </c>
      <c r="H452" s="629">
        <v>7434.6270000000004</v>
      </c>
      <c r="I452" s="584" t="s">
        <v>835</v>
      </c>
      <c r="J452" s="504">
        <v>45273.888888888891</v>
      </c>
      <c r="K452" s="574"/>
      <c r="L452" s="574" t="s">
        <v>192</v>
      </c>
      <c r="M452" s="574" t="s">
        <v>192</v>
      </c>
      <c r="N452" s="505" t="str">
        <f t="shared" si="35"/>
        <v>DELAY ( 13 day 21 hour 20 minute )</v>
      </c>
      <c r="O452" s="597"/>
      <c r="P452" s="507" t="s">
        <v>551</v>
      </c>
      <c r="Q452" s="507" t="s">
        <v>551</v>
      </c>
      <c r="R452" s="507" t="s">
        <v>551</v>
      </c>
      <c r="S452" s="598"/>
      <c r="T452" s="599"/>
      <c r="U452" s="599"/>
      <c r="V452" s="599"/>
      <c r="W452" s="599"/>
      <c r="X452" s="599"/>
      <c r="Y452" s="599"/>
      <c r="Z452" s="599">
        <f>H452</f>
        <v>7434.6270000000004</v>
      </c>
      <c r="AA452" s="599"/>
      <c r="AB452" s="599"/>
      <c r="AC452" s="599"/>
      <c r="AD452" s="599"/>
      <c r="AE452" s="599"/>
      <c r="AF452" s="599"/>
      <c r="AG452" s="599"/>
      <c r="AH452" s="599"/>
      <c r="AI452" s="599"/>
      <c r="AJ452" s="599"/>
      <c r="AK452" s="599"/>
      <c r="AL452" s="599"/>
      <c r="AM452" s="599"/>
      <c r="AN452" s="599"/>
      <c r="AO452" s="599"/>
      <c r="AP452" s="599"/>
      <c r="AQ452" s="599"/>
      <c r="AR452" s="599"/>
      <c r="AS452" s="599"/>
      <c r="AT452" s="599"/>
      <c r="AU452" s="599"/>
      <c r="AV452" s="599"/>
      <c r="AW452" s="599"/>
      <c r="AX452" s="599"/>
      <c r="AY452" s="599"/>
      <c r="AZ452" s="599"/>
      <c r="BA452" s="599"/>
      <c r="BB452" s="599"/>
      <c r="BC452" s="599"/>
      <c r="BD452" s="599"/>
      <c r="BE452" s="598"/>
    </row>
    <row r="453" spans="2:57">
      <c r="B453" s="1315" t="s">
        <v>548</v>
      </c>
      <c r="C453" s="1316"/>
      <c r="D453" s="501" t="s">
        <v>3772</v>
      </c>
      <c r="E453" s="501"/>
      <c r="F453" s="501" t="s">
        <v>1972</v>
      </c>
      <c r="G453" s="501" t="s">
        <v>1973</v>
      </c>
      <c r="H453" s="629">
        <v>7410.2179999999998</v>
      </c>
      <c r="I453" s="584" t="s">
        <v>235</v>
      </c>
      <c r="J453" s="504">
        <v>45274.1875</v>
      </c>
      <c r="K453" s="574"/>
      <c r="L453" s="574" t="s">
        <v>192</v>
      </c>
      <c r="M453" s="574" t="s">
        <v>192</v>
      </c>
      <c r="N453" s="505" t="str">
        <f t="shared" si="35"/>
        <v>DELAY ( 14 day 4 hour 30 minute )</v>
      </c>
      <c r="O453" s="597"/>
      <c r="P453" s="507" t="s">
        <v>551</v>
      </c>
      <c r="Q453" s="507" t="s">
        <v>551</v>
      </c>
      <c r="R453" s="507" t="s">
        <v>551</v>
      </c>
      <c r="S453" s="598"/>
      <c r="T453" s="599"/>
      <c r="U453" s="599"/>
      <c r="V453" s="599"/>
      <c r="W453" s="599"/>
      <c r="X453" s="599"/>
      <c r="Y453" s="599"/>
      <c r="Z453" s="599"/>
      <c r="AA453" s="599"/>
      <c r="AB453" s="599">
        <f>H453</f>
        <v>7410.2179999999998</v>
      </c>
      <c r="AC453" s="599"/>
      <c r="AD453" s="599"/>
      <c r="AE453" s="599"/>
      <c r="AF453" s="599"/>
      <c r="AG453" s="599"/>
      <c r="AH453" s="599"/>
      <c r="AI453" s="599"/>
      <c r="AJ453" s="599"/>
      <c r="AK453" s="599"/>
      <c r="AL453" s="599"/>
      <c r="AM453" s="599"/>
      <c r="AN453" s="599"/>
      <c r="AO453" s="599"/>
      <c r="AP453" s="599"/>
      <c r="AQ453" s="599"/>
      <c r="AR453" s="599"/>
      <c r="AS453" s="599"/>
      <c r="AT453" s="599"/>
      <c r="AU453" s="599"/>
      <c r="AV453" s="599"/>
      <c r="AW453" s="599"/>
      <c r="AX453" s="599"/>
      <c r="AY453" s="599"/>
      <c r="AZ453" s="599"/>
      <c r="BA453" s="599"/>
      <c r="BB453" s="599"/>
      <c r="BC453" s="599"/>
      <c r="BD453" s="599"/>
      <c r="BE453" s="598"/>
    </row>
    <row r="454" spans="2:57">
      <c r="B454" s="1315" t="s">
        <v>548</v>
      </c>
      <c r="C454" s="1316"/>
      <c r="D454" s="501" t="s">
        <v>3852</v>
      </c>
      <c r="E454" s="501"/>
      <c r="F454" s="501" t="s">
        <v>3546</v>
      </c>
      <c r="G454" s="501" t="s">
        <v>1308</v>
      </c>
      <c r="H454" s="629">
        <v>5286.1189999999997</v>
      </c>
      <c r="I454" s="584" t="s">
        <v>182</v>
      </c>
      <c r="J454" s="504">
        <v>45272.760416666664</v>
      </c>
      <c r="K454" s="574"/>
      <c r="L454" s="574" t="s">
        <v>192</v>
      </c>
      <c r="M454" s="574" t="s">
        <v>192</v>
      </c>
      <c r="N454" s="505" t="str">
        <f t="shared" si="35"/>
        <v>DELAY ( 12 day 18 hour 15 minute )</v>
      </c>
      <c r="O454" s="597"/>
      <c r="P454" s="507" t="s">
        <v>551</v>
      </c>
      <c r="Q454" s="507" t="s">
        <v>551</v>
      </c>
      <c r="R454" s="507" t="s">
        <v>551</v>
      </c>
      <c r="S454" s="598"/>
      <c r="T454" s="599"/>
      <c r="U454" s="599"/>
      <c r="V454" s="599"/>
      <c r="W454" s="599"/>
      <c r="X454" s="599"/>
      <c r="Y454" s="599"/>
      <c r="Z454" s="599"/>
      <c r="AA454" s="599"/>
      <c r="AB454" s="599"/>
      <c r="AC454" s="599"/>
      <c r="AD454" s="599"/>
      <c r="AE454" s="599"/>
      <c r="AF454" s="599"/>
      <c r="AG454" s="599"/>
      <c r="AH454" s="599"/>
      <c r="AI454" s="599"/>
      <c r="AJ454" s="599"/>
      <c r="AK454" s="599"/>
      <c r="AL454" s="599"/>
      <c r="AM454" s="599"/>
      <c r="AN454" s="599"/>
      <c r="AO454" s="599"/>
      <c r="AP454" s="599"/>
      <c r="AQ454" s="599"/>
      <c r="AR454" s="599"/>
      <c r="AS454" s="599"/>
      <c r="AT454" s="599"/>
      <c r="AU454" s="599"/>
      <c r="AV454" s="599"/>
      <c r="AW454" s="599"/>
      <c r="AX454" s="599">
        <f>H454</f>
        <v>5286.1189999999997</v>
      </c>
      <c r="AY454" s="599"/>
      <c r="AZ454" s="599"/>
      <c r="BA454" s="599"/>
      <c r="BB454" s="599"/>
      <c r="BC454" s="599"/>
      <c r="BD454" s="599"/>
      <c r="BE454" s="598"/>
    </row>
    <row r="455" spans="2:57">
      <c r="B455" s="1315" t="s">
        <v>548</v>
      </c>
      <c r="C455" s="1316"/>
      <c r="D455" s="501" t="s">
        <v>3767</v>
      </c>
      <c r="E455" s="501"/>
      <c r="F455" s="501" t="s">
        <v>367</v>
      </c>
      <c r="G455" s="501" t="s">
        <v>261</v>
      </c>
      <c r="H455" s="629">
        <v>7578.8720000000003</v>
      </c>
      <c r="I455" s="584" t="s">
        <v>235</v>
      </c>
      <c r="J455" s="504">
        <v>45274.208333333336</v>
      </c>
      <c r="K455" s="574"/>
      <c r="L455" s="574" t="s">
        <v>192</v>
      </c>
      <c r="M455" s="574" t="s">
        <v>192</v>
      </c>
      <c r="N455" s="505" t="str">
        <f t="shared" si="35"/>
        <v>DELAY ( 14 day 5 hour 0 minute )</v>
      </c>
      <c r="O455" s="597"/>
      <c r="P455" s="507" t="s">
        <v>551</v>
      </c>
      <c r="Q455" s="507" t="s">
        <v>551</v>
      </c>
      <c r="R455" s="507" t="s">
        <v>551</v>
      </c>
      <c r="S455" s="598"/>
      <c r="T455" s="599"/>
      <c r="U455" s="599"/>
      <c r="V455" s="599"/>
      <c r="W455" s="599"/>
      <c r="X455" s="599"/>
      <c r="Y455" s="599"/>
      <c r="Z455" s="599"/>
      <c r="AA455" s="599"/>
      <c r="AB455" s="599">
        <f>H455</f>
        <v>7578.8720000000003</v>
      </c>
      <c r="AC455" s="599"/>
      <c r="AD455" s="599"/>
      <c r="AE455" s="599"/>
      <c r="AF455" s="599"/>
      <c r="AG455" s="599"/>
      <c r="AH455" s="599"/>
      <c r="AI455" s="599"/>
      <c r="AJ455" s="599"/>
      <c r="AK455" s="599"/>
      <c r="AL455" s="599"/>
      <c r="AM455" s="599"/>
      <c r="AN455" s="599"/>
      <c r="AO455" s="599"/>
      <c r="AP455" s="599"/>
      <c r="AQ455" s="599"/>
      <c r="AR455" s="599"/>
      <c r="AS455" s="599"/>
      <c r="AT455" s="599"/>
      <c r="AU455" s="599"/>
      <c r="AV455" s="599"/>
      <c r="AW455" s="599"/>
      <c r="AX455" s="599"/>
      <c r="AY455" s="599"/>
      <c r="AZ455" s="599"/>
      <c r="BA455" s="599"/>
      <c r="BB455" s="599"/>
      <c r="BC455" s="599"/>
      <c r="BD455" s="599"/>
      <c r="BE455" s="598"/>
    </row>
    <row r="456" spans="2:57">
      <c r="B456" s="1315" t="s">
        <v>548</v>
      </c>
      <c r="C456" s="1316"/>
      <c r="D456" s="501" t="s">
        <v>3771</v>
      </c>
      <c r="E456" s="501"/>
      <c r="F456" s="501" t="s">
        <v>249</v>
      </c>
      <c r="G456" s="501" t="s">
        <v>2315</v>
      </c>
      <c r="H456" s="629">
        <v>7522.3509999999997</v>
      </c>
      <c r="I456" s="584" t="s">
        <v>235</v>
      </c>
      <c r="J456" s="504">
        <v>45274.375</v>
      </c>
      <c r="K456" s="574"/>
      <c r="L456" s="574" t="s">
        <v>192</v>
      </c>
      <c r="M456" s="574" t="s">
        <v>192</v>
      </c>
      <c r="N456" s="505" t="str">
        <f t="shared" si="35"/>
        <v>DELAY ( 14 day 9 hour 0 minute )</v>
      </c>
      <c r="O456" s="597"/>
      <c r="P456" s="507" t="s">
        <v>551</v>
      </c>
      <c r="Q456" s="507" t="s">
        <v>551</v>
      </c>
      <c r="R456" s="507" t="s">
        <v>551</v>
      </c>
      <c r="S456" s="598"/>
      <c r="T456" s="599"/>
      <c r="U456" s="599"/>
      <c r="V456" s="599"/>
      <c r="W456" s="599"/>
      <c r="X456" s="598"/>
      <c r="Y456" s="599"/>
      <c r="Z456" s="599"/>
      <c r="AA456" s="599"/>
      <c r="AB456" s="599">
        <f t="shared" ref="AB456" si="36">H456</f>
        <v>7522.3509999999997</v>
      </c>
      <c r="AC456" s="599"/>
      <c r="AD456" s="599"/>
      <c r="AE456" s="599"/>
      <c r="AF456" s="599"/>
      <c r="AG456" s="599"/>
      <c r="AH456" s="599"/>
      <c r="AI456" s="599"/>
      <c r="AJ456" s="599"/>
      <c r="AK456" s="599"/>
      <c r="AL456" s="599"/>
      <c r="AM456" s="599"/>
      <c r="AN456" s="599"/>
      <c r="AO456" s="599"/>
      <c r="AP456" s="599"/>
      <c r="AQ456" s="599"/>
      <c r="AR456" s="599"/>
      <c r="AS456" s="599"/>
      <c r="AT456" s="599"/>
      <c r="AU456" s="599"/>
      <c r="AV456" s="599"/>
      <c r="AW456" s="599"/>
      <c r="AX456" s="599"/>
      <c r="AY456" s="599"/>
      <c r="AZ456" s="599"/>
      <c r="BA456" s="599"/>
      <c r="BB456" s="599"/>
      <c r="BC456" s="599"/>
      <c r="BD456" s="599"/>
      <c r="BE456" s="598"/>
    </row>
    <row r="457" spans="2:57">
      <c r="B457" s="1315" t="s">
        <v>548</v>
      </c>
      <c r="C457" s="1316"/>
      <c r="D457" s="501" t="s">
        <v>3905</v>
      </c>
      <c r="E457" s="501"/>
      <c r="F457" s="501" t="s">
        <v>355</v>
      </c>
      <c r="G457" s="501" t="s">
        <v>356</v>
      </c>
      <c r="H457" s="629">
        <v>7644.8459999999995</v>
      </c>
      <c r="I457" s="584" t="s">
        <v>835</v>
      </c>
      <c r="J457" s="504">
        <v>45274.729166666664</v>
      </c>
      <c r="K457" s="574"/>
      <c r="L457" s="574" t="s">
        <v>192</v>
      </c>
      <c r="M457" s="574" t="s">
        <v>192</v>
      </c>
      <c r="N457" s="505" t="str">
        <f t="shared" si="35"/>
        <v>DELAY ( 14 day 17 hour 30 minute )</v>
      </c>
      <c r="O457" s="1052"/>
      <c r="P457" s="507" t="s">
        <v>551</v>
      </c>
      <c r="Q457" s="507" t="s">
        <v>551</v>
      </c>
      <c r="R457" s="507" t="s">
        <v>551</v>
      </c>
      <c r="S457" s="591"/>
      <c r="T457" s="861"/>
      <c r="U457" s="861"/>
      <c r="V457" s="861"/>
      <c r="W457" s="861"/>
      <c r="X457" s="861"/>
      <c r="Y457" s="861"/>
      <c r="Z457" s="860">
        <f>H457</f>
        <v>7644.8459999999995</v>
      </c>
      <c r="AA457" s="861"/>
      <c r="AB457" s="861"/>
      <c r="AC457" s="861"/>
      <c r="AD457" s="861"/>
      <c r="AE457" s="861"/>
      <c r="AF457" s="861"/>
      <c r="AG457" s="861"/>
      <c r="AH457" s="861"/>
      <c r="AI457" s="861"/>
      <c r="AJ457" s="861"/>
      <c r="AK457" s="861"/>
      <c r="AL457" s="861"/>
      <c r="AM457" s="861"/>
      <c r="AN457" s="861"/>
      <c r="AO457" s="861"/>
      <c r="AP457" s="861"/>
      <c r="AQ457" s="861"/>
      <c r="AR457" s="861"/>
      <c r="AS457" s="861"/>
      <c r="AT457" s="861"/>
      <c r="AU457" s="861"/>
      <c r="AV457" s="861"/>
      <c r="AW457" s="861"/>
      <c r="AX457" s="861"/>
      <c r="AY457" s="861"/>
      <c r="AZ457" s="861"/>
      <c r="BA457" s="861"/>
      <c r="BB457" s="861"/>
      <c r="BC457" s="861"/>
      <c r="BD457" s="861"/>
      <c r="BE457" s="633"/>
    </row>
    <row r="458" spans="2:57">
      <c r="B458" s="1315" t="s">
        <v>548</v>
      </c>
      <c r="C458" s="1316"/>
      <c r="D458" s="501" t="s">
        <v>3766</v>
      </c>
      <c r="E458" s="501"/>
      <c r="F458" s="501" t="s">
        <v>2156</v>
      </c>
      <c r="G458" s="501" t="s">
        <v>3391</v>
      </c>
      <c r="H458" s="629">
        <v>7251.9009999999998</v>
      </c>
      <c r="I458" s="584" t="s">
        <v>235</v>
      </c>
      <c r="J458" s="504">
        <v>45275.229166666664</v>
      </c>
      <c r="K458" s="574"/>
      <c r="L458" s="574" t="s">
        <v>192</v>
      </c>
      <c r="M458" s="574" t="s">
        <v>192</v>
      </c>
      <c r="N458" s="505" t="str">
        <f t="shared" si="35"/>
        <v>DELAY ( 15 day 5 hour 30 minute )</v>
      </c>
      <c r="O458" s="597"/>
      <c r="P458" s="507" t="s">
        <v>551</v>
      </c>
      <c r="Q458" s="507" t="s">
        <v>551</v>
      </c>
      <c r="R458" s="507" t="s">
        <v>551</v>
      </c>
      <c r="S458" s="598"/>
      <c r="T458" s="599"/>
      <c r="U458" s="599"/>
      <c r="V458" s="599"/>
      <c r="W458" s="599"/>
      <c r="X458" s="599"/>
      <c r="Y458" s="599"/>
      <c r="Z458" s="599"/>
      <c r="AA458" s="599"/>
      <c r="AB458" s="599">
        <f t="shared" ref="AB458" si="37">H458</f>
        <v>7251.9009999999998</v>
      </c>
      <c r="AC458" s="599"/>
      <c r="AD458" s="599"/>
      <c r="AE458" s="599"/>
      <c r="AF458" s="599"/>
      <c r="AG458" s="599"/>
      <c r="AH458" s="599"/>
      <c r="AI458" s="599"/>
      <c r="AJ458" s="599"/>
      <c r="AK458" s="599"/>
      <c r="AL458" s="599"/>
      <c r="AM458" s="599"/>
      <c r="AN458" s="599"/>
      <c r="AO458" s="599"/>
      <c r="AP458" s="599"/>
      <c r="AQ458" s="599"/>
      <c r="AR458" s="599"/>
      <c r="AS458" s="599"/>
      <c r="AT458" s="599"/>
      <c r="AU458" s="599"/>
      <c r="AV458" s="599"/>
      <c r="AW458" s="599"/>
      <c r="AX458" s="599"/>
      <c r="AY458" s="599"/>
      <c r="AZ458" s="599"/>
      <c r="BA458" s="599"/>
      <c r="BB458" s="599"/>
      <c r="BC458" s="599"/>
      <c r="BD458" s="599"/>
      <c r="BE458" s="598"/>
    </row>
    <row r="459" spans="2:57">
      <c r="B459" s="1315" t="s">
        <v>548</v>
      </c>
      <c r="C459" s="1316"/>
      <c r="D459" s="501" t="s">
        <v>3872</v>
      </c>
      <c r="E459" s="501"/>
      <c r="F459" s="501" t="s">
        <v>1874</v>
      </c>
      <c r="G459" s="501" t="s">
        <v>1875</v>
      </c>
      <c r="H459" s="1166">
        <v>5351.5159999999996</v>
      </c>
      <c r="I459" s="584" t="s">
        <v>183</v>
      </c>
      <c r="J459" s="504">
        <v>45277.395833333336</v>
      </c>
      <c r="K459" s="574"/>
      <c r="L459" s="574" t="s">
        <v>192</v>
      </c>
      <c r="M459" s="574" t="s">
        <v>192</v>
      </c>
      <c r="N459" s="505" t="str">
        <f t="shared" si="35"/>
        <v>DELAY ( 17 day 9 hour 30 minute )</v>
      </c>
      <c r="O459" s="597"/>
      <c r="P459" s="507" t="s">
        <v>551</v>
      </c>
      <c r="Q459" s="507" t="s">
        <v>551</v>
      </c>
      <c r="R459" s="507" t="s">
        <v>551</v>
      </c>
      <c r="S459" s="598"/>
      <c r="T459" s="599"/>
      <c r="U459" s="599"/>
      <c r="V459" s="599"/>
      <c r="W459" s="599"/>
      <c r="X459" s="599"/>
      <c r="Y459" s="599"/>
      <c r="Z459" s="599"/>
      <c r="AA459" s="599"/>
      <c r="AB459" s="599"/>
      <c r="AC459" s="599"/>
      <c r="AD459" s="599"/>
      <c r="AE459" s="599"/>
      <c r="AF459" s="599"/>
      <c r="AG459" s="599"/>
      <c r="AH459" s="599"/>
      <c r="AI459" s="599"/>
      <c r="AJ459" s="599"/>
      <c r="AK459" s="599"/>
      <c r="AL459" s="599"/>
      <c r="AM459" s="599"/>
      <c r="AN459" s="599"/>
      <c r="AO459" s="599"/>
      <c r="AP459" s="599"/>
      <c r="AQ459" s="599"/>
      <c r="AR459" s="599"/>
      <c r="AS459" s="599"/>
      <c r="AT459" s="599"/>
      <c r="AU459" s="599"/>
      <c r="AV459" s="599">
        <f>H459</f>
        <v>5351.5159999999996</v>
      </c>
      <c r="AW459" s="599"/>
      <c r="AX459" s="599"/>
      <c r="AY459" s="599"/>
      <c r="AZ459" s="599"/>
      <c r="BA459" s="599"/>
      <c r="BB459" s="599"/>
      <c r="BC459" s="599"/>
      <c r="BD459" s="599"/>
      <c r="BE459" s="598"/>
    </row>
    <row r="460" spans="2:57">
      <c r="B460" s="1315" t="s">
        <v>548</v>
      </c>
      <c r="C460" s="1316"/>
      <c r="D460" s="501" t="s">
        <v>3769</v>
      </c>
      <c r="E460" s="501"/>
      <c r="F460" s="501" t="s">
        <v>1767</v>
      </c>
      <c r="G460" s="501" t="s">
        <v>308</v>
      </c>
      <c r="H460" s="629">
        <v>7644.9870000000001</v>
      </c>
      <c r="I460" s="584" t="s">
        <v>235</v>
      </c>
      <c r="J460" s="504">
        <v>45275.708333333336</v>
      </c>
      <c r="K460" s="574"/>
      <c r="L460" s="574" t="s">
        <v>192</v>
      </c>
      <c r="M460" s="574" t="s">
        <v>192</v>
      </c>
      <c r="N460" s="505" t="str">
        <f t="shared" si="35"/>
        <v>DELAY ( 15 day 17 hour 0 minute )</v>
      </c>
      <c r="O460" s="597"/>
      <c r="P460" s="507" t="s">
        <v>551</v>
      </c>
      <c r="Q460" s="507" t="s">
        <v>551</v>
      </c>
      <c r="R460" s="507" t="s">
        <v>551</v>
      </c>
      <c r="S460" s="598"/>
      <c r="T460" s="599"/>
      <c r="U460" s="599"/>
      <c r="V460" s="599"/>
      <c r="W460" s="599"/>
      <c r="X460" s="599"/>
      <c r="Y460" s="599"/>
      <c r="Z460" s="599"/>
      <c r="AA460" s="599"/>
      <c r="AB460" s="599">
        <f>H460</f>
        <v>7644.9870000000001</v>
      </c>
      <c r="AC460" s="599"/>
      <c r="AD460" s="599"/>
      <c r="AE460" s="599"/>
      <c r="AF460" s="599"/>
      <c r="AG460" s="599"/>
      <c r="AH460" s="599"/>
      <c r="AI460" s="599"/>
      <c r="AJ460" s="599"/>
      <c r="AK460" s="599"/>
      <c r="AL460" s="599"/>
      <c r="AM460" s="599"/>
      <c r="AN460" s="599"/>
      <c r="AO460" s="599"/>
      <c r="AP460" s="599"/>
      <c r="AQ460" s="599"/>
      <c r="AR460" s="599"/>
      <c r="AS460" s="599"/>
      <c r="AT460" s="599"/>
      <c r="AU460" s="599"/>
      <c r="AV460" s="599"/>
      <c r="AW460" s="599"/>
      <c r="AX460" s="599"/>
      <c r="AY460" s="599"/>
      <c r="AZ460" s="599"/>
      <c r="BA460" s="599"/>
      <c r="BB460" s="599"/>
      <c r="BC460" s="599"/>
      <c r="BD460" s="599"/>
      <c r="BE460" s="598"/>
    </row>
    <row r="461" spans="2:57">
      <c r="B461" s="1315" t="s">
        <v>610</v>
      </c>
      <c r="C461" s="1464"/>
      <c r="D461" s="1464"/>
      <c r="E461" s="1464"/>
      <c r="F461" s="1464"/>
      <c r="G461" s="1316"/>
      <c r="H461" s="629">
        <f>H463-SUM(H451:H460)</f>
        <v>1223.4000000000087</v>
      </c>
      <c r="I461" s="584" t="s">
        <v>1164</v>
      </c>
      <c r="J461" s="504"/>
      <c r="K461" s="574"/>
      <c r="L461" s="574"/>
      <c r="M461" s="574"/>
      <c r="N461" s="505" t="str">
        <f t="shared" si="35"/>
        <v xml:space="preserve"> </v>
      </c>
      <c r="O461" s="597"/>
      <c r="P461" s="507" t="s">
        <v>551</v>
      </c>
      <c r="Q461" s="507"/>
      <c r="R461" s="507"/>
      <c r="S461" s="598"/>
      <c r="T461" s="599"/>
      <c r="U461" s="599"/>
      <c r="V461" s="599"/>
      <c r="W461" s="599"/>
      <c r="X461" s="599">
        <f>H461</f>
        <v>1223.4000000000087</v>
      </c>
      <c r="Y461" s="599"/>
      <c r="Z461" s="599"/>
      <c r="AA461" s="599"/>
      <c r="AB461" s="599"/>
      <c r="AC461" s="599"/>
      <c r="AD461" s="599"/>
      <c r="AE461" s="599"/>
      <c r="AF461" s="599"/>
      <c r="AG461" s="599"/>
      <c r="AH461" s="599"/>
      <c r="AI461" s="599"/>
      <c r="AJ461" s="599"/>
      <c r="AK461" s="599"/>
      <c r="AL461" s="599"/>
      <c r="AM461" s="599"/>
      <c r="AN461" s="599"/>
      <c r="AO461" s="599"/>
      <c r="AP461" s="599"/>
      <c r="AQ461" s="599"/>
      <c r="AR461" s="599"/>
      <c r="AS461" s="599"/>
      <c r="AT461" s="599"/>
      <c r="AU461" s="599"/>
      <c r="AV461" s="599"/>
      <c r="AW461" s="599"/>
      <c r="AX461" s="599"/>
      <c r="AY461" s="599"/>
      <c r="AZ461" s="599"/>
      <c r="BA461" s="599"/>
      <c r="BB461" s="599"/>
      <c r="BC461" s="599"/>
      <c r="BD461" s="599"/>
      <c r="BE461" s="598"/>
    </row>
    <row r="462" spans="2:57">
      <c r="B462" s="1351" t="s">
        <v>556</v>
      </c>
      <c r="C462" s="1352"/>
      <c r="D462" s="1352"/>
      <c r="E462" s="1352"/>
      <c r="F462" s="1352"/>
      <c r="G462" s="1353"/>
      <c r="H462" s="1041">
        <f>SUM(H451:H461)</f>
        <v>73550</v>
      </c>
      <c r="I462" s="1479"/>
      <c r="J462" s="1479"/>
      <c r="K462" s="1479"/>
      <c r="L462" s="1479"/>
      <c r="M462" s="1479"/>
      <c r="N462" s="505" t="str">
        <f t="shared" si="35"/>
        <v xml:space="preserve"> </v>
      </c>
      <c r="O462" s="552"/>
      <c r="P462" s="706"/>
      <c r="Q462" s="706"/>
      <c r="R462" s="706"/>
      <c r="S462" s="598"/>
      <c r="T462" s="1432"/>
      <c r="U462" s="1433"/>
      <c r="V462" s="1433"/>
      <c r="W462" s="1433"/>
      <c r="X462" s="1433"/>
      <c r="Y462" s="1433"/>
      <c r="Z462" s="1433"/>
      <c r="AA462" s="1433"/>
      <c r="AB462" s="1433"/>
      <c r="AC462" s="1433"/>
      <c r="AD462" s="1433"/>
      <c r="AE462" s="1433"/>
      <c r="AF462" s="1433"/>
      <c r="AG462" s="1433"/>
      <c r="AH462" s="1433"/>
      <c r="AI462" s="1433"/>
      <c r="AJ462" s="1433"/>
      <c r="AK462" s="1433"/>
      <c r="AL462" s="1433"/>
      <c r="AM462" s="1433"/>
      <c r="AN462" s="1433"/>
      <c r="AO462" s="1433"/>
      <c r="AP462" s="1433"/>
      <c r="AQ462" s="1433"/>
      <c r="AR462" s="1433"/>
      <c r="AS462" s="1433"/>
      <c r="AT462" s="1433"/>
      <c r="AU462" s="1433"/>
      <c r="AV462" s="1433"/>
      <c r="AW462" s="1433"/>
      <c r="AX462" s="1433"/>
      <c r="AY462" s="1433"/>
      <c r="AZ462" s="1433"/>
      <c r="BA462" s="1433"/>
      <c r="BB462" s="1433"/>
      <c r="BC462" s="1433"/>
      <c r="BD462" s="1433"/>
    </row>
    <row r="463" spans="2:57">
      <c r="B463" s="1415" t="s">
        <v>557</v>
      </c>
      <c r="C463" s="1416"/>
      <c r="D463" s="1416"/>
      <c r="E463" s="1416"/>
      <c r="F463" s="1416"/>
      <c r="G463" s="1417"/>
      <c r="H463" s="845">
        <v>73550</v>
      </c>
      <c r="I463" s="1473"/>
      <c r="J463" s="1473"/>
      <c r="K463" s="1473"/>
      <c r="L463" s="1473"/>
      <c r="M463" s="1473"/>
      <c r="N463" s="505" t="str">
        <f t="shared" si="35"/>
        <v xml:space="preserve"> </v>
      </c>
      <c r="O463" s="598"/>
      <c r="P463" s="507"/>
      <c r="Q463" s="507"/>
      <c r="R463" s="507"/>
      <c r="S463" s="711"/>
      <c r="T463" s="599">
        <f t="shared" ref="T463:BD463" si="38">SUM(T451:T461)</f>
        <v>0</v>
      </c>
      <c r="U463" s="599">
        <f t="shared" si="38"/>
        <v>0</v>
      </c>
      <c r="V463" s="599">
        <f t="shared" si="38"/>
        <v>0</v>
      </c>
      <c r="W463" s="599">
        <f t="shared" si="38"/>
        <v>0</v>
      </c>
      <c r="X463" s="599">
        <f t="shared" si="38"/>
        <v>1223.4000000000087</v>
      </c>
      <c r="Y463" s="599">
        <f t="shared" si="38"/>
        <v>0</v>
      </c>
      <c r="Z463" s="599">
        <f t="shared" si="38"/>
        <v>15079.473</v>
      </c>
      <c r="AA463" s="599">
        <f t="shared" si="38"/>
        <v>0</v>
      </c>
      <c r="AB463" s="599">
        <f t="shared" si="38"/>
        <v>46609.491999999998</v>
      </c>
      <c r="AC463" s="599">
        <f t="shared" si="38"/>
        <v>0</v>
      </c>
      <c r="AD463" s="599">
        <f t="shared" si="38"/>
        <v>0</v>
      </c>
      <c r="AE463" s="599">
        <f t="shared" si="38"/>
        <v>0</v>
      </c>
      <c r="AF463" s="599">
        <f t="shared" si="38"/>
        <v>0</v>
      </c>
      <c r="AG463" s="599">
        <f t="shared" si="38"/>
        <v>0</v>
      </c>
      <c r="AH463" s="599">
        <f t="shared" si="38"/>
        <v>0</v>
      </c>
      <c r="AI463" s="599">
        <f t="shared" si="38"/>
        <v>0</v>
      </c>
      <c r="AJ463" s="599">
        <f t="shared" si="38"/>
        <v>0</v>
      </c>
      <c r="AK463" s="599">
        <f t="shared" si="38"/>
        <v>0</v>
      </c>
      <c r="AL463" s="599">
        <f t="shared" si="38"/>
        <v>0</v>
      </c>
      <c r="AM463" s="599">
        <f t="shared" si="38"/>
        <v>0</v>
      </c>
      <c r="AN463" s="599">
        <f t="shared" si="38"/>
        <v>0</v>
      </c>
      <c r="AO463" s="599">
        <f t="shared" si="38"/>
        <v>0</v>
      </c>
      <c r="AP463" s="599">
        <f t="shared" si="38"/>
        <v>0</v>
      </c>
      <c r="AQ463" s="599">
        <f t="shared" si="38"/>
        <v>0</v>
      </c>
      <c r="AR463" s="599">
        <f t="shared" si="38"/>
        <v>0</v>
      </c>
      <c r="AS463" s="599">
        <f t="shared" si="38"/>
        <v>0</v>
      </c>
      <c r="AT463" s="599">
        <f t="shared" si="38"/>
        <v>0</v>
      </c>
      <c r="AU463" s="599">
        <f t="shared" si="38"/>
        <v>0</v>
      </c>
      <c r="AV463" s="599">
        <f t="shared" si="38"/>
        <v>5351.5159999999996</v>
      </c>
      <c r="AW463" s="599">
        <f t="shared" si="38"/>
        <v>0</v>
      </c>
      <c r="AX463" s="599">
        <f t="shared" si="38"/>
        <v>5286.1189999999997</v>
      </c>
      <c r="AY463" s="599">
        <f t="shared" si="38"/>
        <v>0</v>
      </c>
      <c r="AZ463" s="599">
        <f t="shared" si="38"/>
        <v>0</v>
      </c>
      <c r="BA463" s="599">
        <f t="shared" si="38"/>
        <v>0</v>
      </c>
      <c r="BB463" s="599">
        <f t="shared" si="38"/>
        <v>0</v>
      </c>
      <c r="BC463" s="599">
        <f t="shared" si="38"/>
        <v>0</v>
      </c>
      <c r="BD463" s="599">
        <f t="shared" si="38"/>
        <v>0</v>
      </c>
      <c r="BE463" s="599">
        <f>SUM(T463:BD463)</f>
        <v>73550.000000000015</v>
      </c>
    </row>
    <row r="464" spans="2:57">
      <c r="B464" s="1415" t="s">
        <v>558</v>
      </c>
      <c r="C464" s="1416"/>
      <c r="D464" s="1416"/>
      <c r="E464" s="1416"/>
      <c r="F464" s="1416"/>
      <c r="G464" s="1417"/>
      <c r="H464" s="712">
        <f>H463-L445</f>
        <v>0</v>
      </c>
      <c r="I464" s="716"/>
      <c r="J464" s="717"/>
      <c r="K464" s="717"/>
      <c r="L464" s="563"/>
      <c r="M464" s="598"/>
      <c r="N464" s="598"/>
      <c r="O464" s="598"/>
      <c r="P464" s="598"/>
      <c r="Q464" s="715"/>
      <c r="R464" s="715"/>
      <c r="S464" s="598"/>
      <c r="T464" s="688"/>
      <c r="U464" s="688"/>
      <c r="V464" s="688"/>
      <c r="W464" s="688"/>
      <c r="X464" s="688"/>
      <c r="Y464" s="688"/>
      <c r="Z464" s="688"/>
      <c r="AA464" s="688"/>
      <c r="AB464" s="688"/>
      <c r="AC464" s="598"/>
      <c r="AD464" s="598"/>
      <c r="AE464" s="598"/>
      <c r="AF464" s="598"/>
      <c r="AG464" s="598"/>
      <c r="AH464" s="598"/>
      <c r="AI464" s="598"/>
      <c r="AJ464" s="598"/>
      <c r="AK464" s="598"/>
      <c r="AL464" s="598"/>
      <c r="AM464" s="598"/>
      <c r="AN464" s="598"/>
      <c r="AO464" s="598"/>
      <c r="AP464" s="598"/>
      <c r="AQ464" s="598"/>
      <c r="AR464" s="598"/>
    </row>
    <row r="465" spans="2:57">
      <c r="B465" s="1415" t="s">
        <v>559</v>
      </c>
      <c r="C465" s="1416"/>
      <c r="D465" s="1416"/>
      <c r="E465" s="1416"/>
      <c r="F465" s="1416"/>
      <c r="G465" s="1417"/>
      <c r="H465" s="747">
        <f>H462-H463</f>
        <v>0</v>
      </c>
      <c r="I465" s="716"/>
      <c r="J465" s="717"/>
      <c r="K465" s="717"/>
      <c r="L465" s="563"/>
      <c r="M465" s="598"/>
      <c r="N465" s="598"/>
      <c r="O465" s="598"/>
      <c r="P465" s="598"/>
      <c r="Q465" s="598"/>
      <c r="R465" s="598"/>
      <c r="S465" s="598"/>
      <c r="T465" s="688"/>
      <c r="U465" s="688"/>
      <c r="V465" s="688"/>
      <c r="W465" s="688"/>
      <c r="X465" s="688"/>
      <c r="Y465" s="688"/>
      <c r="Z465" s="688"/>
      <c r="AA465" s="688"/>
      <c r="AB465" s="688"/>
      <c r="AC465" s="598"/>
      <c r="AD465" s="598"/>
      <c r="AE465" s="598"/>
      <c r="AF465" s="598"/>
      <c r="AG465" s="598"/>
      <c r="AH465" s="598"/>
      <c r="AI465" s="598"/>
      <c r="AJ465" s="598"/>
      <c r="AK465" s="598"/>
      <c r="AL465" s="598"/>
      <c r="AM465" s="598"/>
      <c r="AN465" s="598"/>
      <c r="AO465" s="598"/>
      <c r="AP465" s="598"/>
      <c r="AQ465" s="598"/>
      <c r="AR465" s="598"/>
    </row>
    <row r="466" spans="2:57">
      <c r="B466" s="613"/>
      <c r="C466" s="613"/>
      <c r="D466" s="613"/>
      <c r="E466" s="613"/>
      <c r="F466" s="613"/>
      <c r="G466" s="613"/>
      <c r="H466" s="613"/>
      <c r="I466" s="643"/>
      <c r="J466" s="641"/>
      <c r="K466" s="641"/>
      <c r="L466" s="644"/>
      <c r="M466" s="613"/>
      <c r="N466" s="613"/>
      <c r="O466" s="641"/>
      <c r="P466" s="591"/>
      <c r="Q466" s="591"/>
      <c r="R466" s="591"/>
      <c r="S466" s="591"/>
      <c r="T466" s="645"/>
      <c r="U466" s="645"/>
      <c r="V466" s="645"/>
      <c r="W466" s="645"/>
      <c r="X466" s="645"/>
      <c r="Y466" s="645"/>
      <c r="Z466" s="645"/>
      <c r="AA466" s="645"/>
      <c r="AB466" s="645"/>
      <c r="AC466" s="591"/>
      <c r="AD466" s="591"/>
      <c r="AE466" s="591"/>
      <c r="AF466" s="591"/>
      <c r="AG466" s="591"/>
      <c r="AH466" s="591"/>
      <c r="AI466" s="591"/>
      <c r="AJ466" s="591"/>
      <c r="AK466" s="591"/>
      <c r="AL466" s="591"/>
      <c r="AM466" s="591"/>
      <c r="AN466" s="591"/>
      <c r="AO466" s="591"/>
      <c r="AP466" s="591"/>
      <c r="AQ466" s="591"/>
      <c r="AR466" s="591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</row>
    <row r="467" spans="2:57">
      <c r="B467" s="619" t="s">
        <v>561</v>
      </c>
      <c r="C467" s="619"/>
      <c r="D467" s="591"/>
      <c r="E467" s="591"/>
      <c r="F467" s="591"/>
      <c r="G467" s="591"/>
      <c r="H467" s="591"/>
      <c r="I467" s="591"/>
      <c r="J467" s="646"/>
      <c r="K467" s="646"/>
      <c r="L467" s="647"/>
      <c r="M467" s="591"/>
      <c r="N467" s="613"/>
      <c r="O467" s="646"/>
      <c r="P467" s="616"/>
      <c r="Q467" s="616"/>
      <c r="R467" s="616"/>
      <c r="S467" s="616"/>
      <c r="T467" s="616"/>
      <c r="U467" s="616"/>
      <c r="V467" s="616"/>
      <c r="W467" s="616"/>
      <c r="X467" s="616"/>
      <c r="Y467" s="616"/>
      <c r="Z467" s="616"/>
      <c r="AA467" s="616"/>
      <c r="AB467" s="613"/>
      <c r="AC467" s="613"/>
      <c r="AD467" s="613"/>
      <c r="AE467" s="613"/>
      <c r="AF467" s="613"/>
      <c r="AG467" s="613"/>
      <c r="AH467" s="613"/>
      <c r="AI467" s="613"/>
      <c r="AJ467" s="613"/>
      <c r="AK467" s="613"/>
      <c r="AL467" s="613"/>
      <c r="AM467" s="613"/>
      <c r="AN467" s="613"/>
      <c r="AO467" s="613"/>
      <c r="AP467" s="613"/>
      <c r="AQ467" s="613"/>
      <c r="AR467" s="613"/>
      <c r="AS467" s="613"/>
      <c r="AT467" s="613"/>
      <c r="AU467" s="613"/>
      <c r="AV467" s="39"/>
      <c r="AW467" s="39"/>
      <c r="AX467" s="39"/>
      <c r="AY467" s="39"/>
      <c r="AZ467" s="39"/>
      <c r="BA467" s="39"/>
      <c r="BB467" s="39"/>
      <c r="BC467" s="39"/>
      <c r="BD467" s="39"/>
      <c r="BE467" s="613"/>
    </row>
    <row r="468" spans="2:57">
      <c r="B468" s="422"/>
      <c r="C468" s="1249"/>
      <c r="D468" s="1249"/>
      <c r="E468" s="1249"/>
      <c r="F468" s="1249"/>
      <c r="G468" s="1249"/>
      <c r="H468" s="1249"/>
      <c r="I468" s="1249"/>
      <c r="J468" s="1249"/>
      <c r="K468" s="1249"/>
      <c r="L468" s="644"/>
      <c r="M468" s="644"/>
      <c r="N468" s="613"/>
      <c r="O468" s="641"/>
      <c r="P468" s="616"/>
      <c r="Q468" s="616"/>
      <c r="R468" s="616"/>
      <c r="S468" s="616"/>
      <c r="T468" s="616"/>
      <c r="U468" s="616"/>
      <c r="V468" s="616"/>
      <c r="W468" s="616"/>
      <c r="X468" s="616"/>
      <c r="Y468" s="616"/>
      <c r="Z468" s="616"/>
      <c r="AA468" s="616"/>
      <c r="AB468" s="613"/>
      <c r="AC468" s="613"/>
      <c r="AD468" s="613"/>
      <c r="AE468" s="613"/>
      <c r="AF468" s="613"/>
      <c r="AG468" s="613"/>
      <c r="AH468" s="613"/>
      <c r="AI468" s="613"/>
      <c r="AJ468" s="613"/>
      <c r="AK468" s="613"/>
      <c r="AL468" s="613"/>
      <c r="AM468" s="613"/>
      <c r="AN468" s="613"/>
      <c r="AO468" s="613"/>
      <c r="AP468" s="613"/>
      <c r="AQ468" s="613"/>
      <c r="AR468" s="613"/>
      <c r="AS468" s="613"/>
      <c r="AT468" s="613"/>
      <c r="AU468" s="613"/>
      <c r="AV468" s="613"/>
      <c r="AW468" s="613"/>
      <c r="AX468" s="613"/>
      <c r="AY468" s="613"/>
      <c r="AZ468" s="613"/>
      <c r="BA468" s="613"/>
      <c r="BB468" s="613"/>
      <c r="BC468" s="613"/>
      <c r="BD468" s="613"/>
      <c r="BE468" s="613"/>
    </row>
    <row r="470" spans="2:57">
      <c r="B470" s="28" t="s">
        <v>126</v>
      </c>
      <c r="C470" s="28"/>
      <c r="D470" s="614"/>
      <c r="E470" s="30" t="s">
        <v>511</v>
      </c>
      <c r="F470" s="31" t="s">
        <v>3156</v>
      </c>
      <c r="G470" s="591"/>
      <c r="H470" s="33"/>
      <c r="I470" s="615"/>
      <c r="J470" s="35" t="s">
        <v>513</v>
      </c>
      <c r="K470" s="36" t="s">
        <v>511</v>
      </c>
      <c r="L470" s="516">
        <v>45287.666666666664</v>
      </c>
      <c r="M470" s="591"/>
      <c r="N470" s="591"/>
      <c r="O470" s="206"/>
      <c r="P470" s="205"/>
      <c r="Q470" s="616"/>
      <c r="R470" s="204"/>
      <c r="S470" s="617"/>
      <c r="T470" s="613"/>
      <c r="U470" s="613"/>
      <c r="V470" s="613"/>
      <c r="W470" s="613"/>
      <c r="X470" s="613"/>
      <c r="Y470" s="613"/>
      <c r="Z470" s="613"/>
      <c r="AA470" s="613"/>
      <c r="AB470" s="616"/>
      <c r="AC470" s="616"/>
      <c r="AD470" s="616"/>
      <c r="AE470" s="616"/>
      <c r="AF470" s="616"/>
      <c r="AG470" s="613"/>
      <c r="AH470" s="613"/>
      <c r="AI470" s="613"/>
      <c r="AJ470" s="613"/>
      <c r="AK470" s="613"/>
      <c r="AL470" s="613"/>
      <c r="AM470" s="613"/>
      <c r="AN470" s="613"/>
      <c r="AO470" s="613"/>
      <c r="AP470" s="613"/>
      <c r="AQ470" s="613"/>
      <c r="AR470" s="613"/>
      <c r="AS470" s="613"/>
      <c r="AT470" s="613"/>
      <c r="AU470" s="613"/>
      <c r="AV470" s="613"/>
      <c r="AW470" s="613"/>
      <c r="AX470" s="613"/>
      <c r="AY470" s="613"/>
      <c r="AZ470" s="613"/>
      <c r="BA470" s="613"/>
      <c r="BB470" s="613"/>
      <c r="BC470" s="613"/>
      <c r="BD470" s="613"/>
      <c r="BE470" s="613"/>
    </row>
    <row r="471" spans="2:57">
      <c r="B471" s="35" t="s">
        <v>514</v>
      </c>
      <c r="C471" s="35"/>
      <c r="D471" s="591"/>
      <c r="E471" s="36" t="s">
        <v>511</v>
      </c>
      <c r="F471" s="311" t="s">
        <v>4392</v>
      </c>
      <c r="G471" s="648" t="s">
        <v>647</v>
      </c>
      <c r="H471" s="33"/>
      <c r="I471" s="615"/>
      <c r="J471" s="35" t="s">
        <v>516</v>
      </c>
      <c r="K471" s="36" t="s">
        <v>511</v>
      </c>
      <c r="L471" s="516">
        <v>45289.555555555555</v>
      </c>
      <c r="M471" s="591"/>
      <c r="N471" s="591"/>
      <c r="O471" s="206"/>
      <c r="P471" s="205"/>
      <c r="Q471" s="616"/>
      <c r="R471" s="204"/>
      <c r="S471" s="617"/>
      <c r="T471" s="613"/>
      <c r="U471" s="613"/>
      <c r="V471" s="613"/>
      <c r="W471" s="613"/>
      <c r="X471" s="613"/>
      <c r="Y471" s="613"/>
      <c r="Z471" s="613"/>
      <c r="AA471" s="613"/>
      <c r="AB471" s="616"/>
      <c r="AC471" s="616"/>
      <c r="AD471" s="616"/>
      <c r="AE471" s="616"/>
      <c r="AF471" s="616"/>
      <c r="AG471" s="613"/>
      <c r="AH471" s="613"/>
      <c r="AI471" s="613"/>
      <c r="AJ471" s="613"/>
      <c r="AK471" s="613"/>
      <c r="AL471" s="613"/>
      <c r="AM471" s="613"/>
      <c r="AN471" s="613"/>
      <c r="AO471" s="613"/>
      <c r="AP471" s="613"/>
      <c r="AQ471" s="613"/>
      <c r="AR471" s="613"/>
      <c r="AS471" s="613"/>
      <c r="AT471" s="613"/>
      <c r="AU471" s="613"/>
      <c r="AV471" s="613"/>
      <c r="AW471" s="613"/>
      <c r="AX471" s="613"/>
      <c r="AY471" s="613"/>
      <c r="AZ471" s="613"/>
      <c r="BA471" s="613"/>
      <c r="BB471" s="613"/>
      <c r="BC471" s="613"/>
      <c r="BD471" s="613"/>
      <c r="BE471" s="613"/>
    </row>
    <row r="472" spans="2:57">
      <c r="B472" s="35" t="s">
        <v>517</v>
      </c>
      <c r="C472" s="35"/>
      <c r="D472" s="591"/>
      <c r="E472" s="36" t="s">
        <v>511</v>
      </c>
      <c r="F472" s="516">
        <v>45271.366666666669</v>
      </c>
      <c r="G472" s="769">
        <v>45281</v>
      </c>
      <c r="H472" s="33"/>
      <c r="I472" s="615"/>
      <c r="J472" s="35" t="s">
        <v>518</v>
      </c>
      <c r="K472" s="36" t="s">
        <v>511</v>
      </c>
      <c r="L472" s="692">
        <v>67000</v>
      </c>
      <c r="M472" s="619" t="s">
        <v>519</v>
      </c>
      <c r="N472" s="619"/>
      <c r="O472" s="206"/>
      <c r="P472" s="205"/>
      <c r="Q472" s="616"/>
      <c r="R472" s="204"/>
      <c r="S472" s="617"/>
      <c r="T472" s="613"/>
      <c r="U472" s="613"/>
      <c r="V472" s="613"/>
      <c r="W472" s="613"/>
      <c r="X472" s="613"/>
      <c r="Y472" s="613"/>
      <c r="Z472" s="613"/>
      <c r="AA472" s="613"/>
      <c r="AB472" s="616"/>
      <c r="AC472" s="616"/>
      <c r="AD472" s="616"/>
      <c r="AE472" s="616"/>
      <c r="AF472" s="616"/>
      <c r="AG472" s="613"/>
      <c r="AH472" s="613"/>
      <c r="AI472" s="613"/>
      <c r="AJ472" s="613"/>
      <c r="AK472" s="613"/>
      <c r="AL472" s="613"/>
      <c r="AM472" s="613"/>
      <c r="AN472" s="613"/>
      <c r="AO472" s="613"/>
      <c r="AP472" s="613"/>
      <c r="AQ472" s="613"/>
      <c r="AR472" s="613"/>
      <c r="AS472" s="613"/>
      <c r="AT472" s="613"/>
      <c r="AU472" s="613"/>
      <c r="AV472" s="613"/>
      <c r="AW472" s="613"/>
      <c r="AX472" s="613"/>
      <c r="AY472" s="613"/>
      <c r="AZ472" s="613"/>
      <c r="BA472" s="613"/>
      <c r="BB472" s="613"/>
      <c r="BC472" s="613"/>
      <c r="BD472" s="613"/>
      <c r="BE472" s="613"/>
    </row>
    <row r="473" spans="2:57">
      <c r="B473" s="35" t="s">
        <v>520</v>
      </c>
      <c r="C473" s="35"/>
      <c r="D473" s="591"/>
      <c r="E473" s="36" t="s">
        <v>511</v>
      </c>
      <c r="F473" s="37" t="s">
        <v>12</v>
      </c>
      <c r="G473" s="591"/>
      <c r="H473" s="33"/>
      <c r="I473" s="615"/>
      <c r="J473" s="35" t="s">
        <v>521</v>
      </c>
      <c r="K473" s="36" t="s">
        <v>511</v>
      </c>
      <c r="L473" s="620" t="s">
        <v>3203</v>
      </c>
      <c r="M473" s="591"/>
      <c r="N473" s="591"/>
      <c r="O473" s="206"/>
      <c r="P473" s="616"/>
      <c r="Q473" s="616"/>
      <c r="R473" s="204"/>
      <c r="S473" s="617"/>
      <c r="T473" s="613"/>
      <c r="U473" s="613"/>
      <c r="V473" s="613"/>
      <c r="W473" s="613"/>
      <c r="X473" s="613"/>
      <c r="Y473" s="613"/>
      <c r="Z473" s="613"/>
      <c r="AA473" s="613"/>
      <c r="AB473" s="616"/>
      <c r="AC473" s="616"/>
      <c r="AD473" s="616"/>
      <c r="AE473" s="616"/>
      <c r="AF473" s="616"/>
      <c r="AG473" s="613"/>
      <c r="AH473" s="613"/>
      <c r="AI473" s="613"/>
      <c r="AJ473" s="613"/>
      <c r="AK473" s="613"/>
      <c r="AL473" s="613"/>
      <c r="AM473" s="613"/>
      <c r="AN473" s="613"/>
      <c r="AO473" s="613"/>
      <c r="AP473" s="613"/>
      <c r="AQ473" s="613"/>
      <c r="AR473" s="613"/>
      <c r="AS473" s="613"/>
      <c r="AT473" s="613"/>
      <c r="AU473" s="613"/>
      <c r="AV473" s="613"/>
      <c r="AW473" s="613"/>
      <c r="AX473" s="613"/>
      <c r="AY473" s="613"/>
      <c r="AZ473" s="613"/>
      <c r="BA473" s="613"/>
      <c r="BB473" s="613"/>
      <c r="BC473" s="613"/>
      <c r="BD473" s="613"/>
      <c r="BE473" s="613"/>
    </row>
    <row r="474" spans="2:57">
      <c r="B474" s="35" t="s">
        <v>523</v>
      </c>
      <c r="C474" s="35"/>
      <c r="D474" s="591"/>
      <c r="E474" s="36" t="s">
        <v>511</v>
      </c>
      <c r="F474" s="37" t="s">
        <v>32</v>
      </c>
      <c r="G474" s="591"/>
      <c r="H474" s="33"/>
      <c r="I474" s="615"/>
      <c r="J474" s="35" t="s">
        <v>524</v>
      </c>
      <c r="K474" s="36" t="s">
        <v>511</v>
      </c>
      <c r="L474" s="621" t="s">
        <v>15</v>
      </c>
      <c r="M474" s="611"/>
      <c r="N474" s="611"/>
      <c r="O474" s="206"/>
      <c r="P474" s="205"/>
      <c r="Q474" s="616"/>
      <c r="R474" s="204"/>
      <c r="S474" s="617"/>
      <c r="T474" s="613"/>
      <c r="U474" s="613"/>
      <c r="V474" s="613"/>
      <c r="W474" s="613"/>
      <c r="X474" s="613"/>
      <c r="Y474" s="613"/>
      <c r="Z474" s="613"/>
      <c r="AA474" s="613"/>
      <c r="AB474" s="616"/>
      <c r="AC474" s="616"/>
      <c r="AD474" s="616"/>
      <c r="AE474" s="616"/>
      <c r="AF474" s="616"/>
      <c r="AG474" s="613"/>
      <c r="AH474" s="613"/>
      <c r="AI474" s="613"/>
      <c r="AJ474" s="613"/>
      <c r="AK474" s="613"/>
      <c r="AL474" s="613"/>
      <c r="AM474" s="613"/>
      <c r="AN474" s="613"/>
      <c r="AO474" s="613"/>
      <c r="AP474" s="613"/>
      <c r="AQ474" s="613"/>
      <c r="AR474" s="613"/>
      <c r="AS474" s="613"/>
      <c r="AT474" s="613"/>
      <c r="AU474" s="613"/>
      <c r="AV474" s="613"/>
      <c r="AW474" s="613"/>
      <c r="AX474" s="613"/>
      <c r="AY474" s="613"/>
      <c r="AZ474" s="613"/>
      <c r="BA474" s="613"/>
      <c r="BB474" s="613"/>
      <c r="BC474" s="613"/>
      <c r="BD474" s="613"/>
      <c r="BE474" s="613"/>
    </row>
    <row r="475" spans="2:57">
      <c r="B475" s="35" t="s">
        <v>2</v>
      </c>
      <c r="C475" s="35"/>
      <c r="D475" s="591"/>
      <c r="E475" s="36" t="s">
        <v>511</v>
      </c>
      <c r="F475" s="37" t="s">
        <v>44</v>
      </c>
      <c r="G475" s="591"/>
      <c r="H475" s="33"/>
      <c r="I475" s="622"/>
      <c r="J475" s="35"/>
      <c r="K475" s="36"/>
      <c r="L475" s="211"/>
      <c r="M475" s="613"/>
      <c r="N475" s="613"/>
      <c r="O475" s="35"/>
      <c r="P475" s="611"/>
      <c r="Q475" s="611"/>
      <c r="R475" s="611"/>
      <c r="S475" s="615"/>
      <c r="T475" s="613"/>
      <c r="U475" s="613"/>
      <c r="V475" s="613"/>
      <c r="W475" s="613"/>
      <c r="X475" s="613"/>
      <c r="Y475" s="613"/>
      <c r="Z475" s="613"/>
      <c r="AA475" s="613"/>
      <c r="AB475" s="615"/>
      <c r="AC475" s="615"/>
      <c r="AD475" s="615"/>
      <c r="AE475" s="615"/>
      <c r="AF475" s="615"/>
      <c r="AG475" s="615"/>
      <c r="AH475" s="615"/>
      <c r="AI475" s="615"/>
      <c r="AJ475" s="615"/>
      <c r="AK475" s="615"/>
      <c r="AL475" s="615"/>
      <c r="AM475" s="615"/>
      <c r="AN475" s="615"/>
      <c r="AO475" s="613"/>
      <c r="AP475" s="613"/>
      <c r="AQ475" s="613"/>
      <c r="AR475" s="613"/>
      <c r="AS475" s="613"/>
      <c r="AT475" s="613"/>
      <c r="AU475" s="613"/>
      <c r="AV475" s="613"/>
      <c r="AW475" s="613"/>
      <c r="AX475" s="613"/>
      <c r="AY475" s="613"/>
      <c r="AZ475" s="613"/>
      <c r="BA475" s="613"/>
      <c r="BB475" s="613"/>
      <c r="BC475" s="613"/>
      <c r="BD475" s="613"/>
      <c r="BE475" s="613"/>
    </row>
    <row r="476" spans="2:57">
      <c r="B476" s="613"/>
      <c r="C476" s="613"/>
      <c r="D476" s="613"/>
      <c r="E476" s="613"/>
      <c r="F476" s="613"/>
      <c r="G476" s="613"/>
      <c r="H476" s="613"/>
      <c r="I476" s="622"/>
      <c r="J476" s="35"/>
      <c r="K476" s="35"/>
      <c r="L476" s="621"/>
      <c r="M476" s="611"/>
      <c r="N476" s="611"/>
      <c r="O476" s="35"/>
      <c r="P476" s="611"/>
      <c r="Q476" s="611"/>
      <c r="R476" s="611"/>
      <c r="S476" s="615"/>
      <c r="T476" s="1317" t="s">
        <v>87</v>
      </c>
      <c r="U476" s="1317"/>
      <c r="V476" s="1317"/>
      <c r="W476" s="1317"/>
      <c r="X476" s="1317"/>
      <c r="Y476" s="1317" t="s">
        <v>73</v>
      </c>
      <c r="Z476" s="1317"/>
      <c r="AA476" s="1317"/>
      <c r="AB476" s="1317" t="s">
        <v>74</v>
      </c>
      <c r="AC476" s="1317"/>
      <c r="AD476" s="623" t="s">
        <v>85</v>
      </c>
      <c r="AE476" s="854" t="s">
        <v>77</v>
      </c>
      <c r="AF476" s="1459" t="s">
        <v>525</v>
      </c>
      <c r="AG476" s="1459"/>
      <c r="AH476" s="1459"/>
      <c r="AI476" s="1459"/>
      <c r="AJ476" s="1459"/>
      <c r="AK476" s="1459"/>
      <c r="AL476" s="1459"/>
      <c r="AM476" s="1459"/>
      <c r="AN476" s="1459"/>
      <c r="AO476" s="1459"/>
      <c r="AP476" s="1459"/>
      <c r="AQ476" s="1459"/>
      <c r="AR476" s="1459"/>
      <c r="AS476" s="1459"/>
      <c r="AT476" s="1459"/>
      <c r="AU476" s="1459"/>
      <c r="AV476" s="1459"/>
      <c r="AW476" s="1459"/>
      <c r="AX476" s="1459"/>
      <c r="AY476" s="1459"/>
      <c r="AZ476" s="1459"/>
      <c r="BA476" s="1459"/>
      <c r="BB476" s="1459"/>
      <c r="BC476" s="1459"/>
      <c r="BD476" s="1459"/>
      <c r="BE476" s="613"/>
    </row>
    <row r="477" spans="2:57">
      <c r="B477" s="1318" t="s">
        <v>526</v>
      </c>
      <c r="C477" s="1319"/>
      <c r="D477" s="624" t="s">
        <v>527</v>
      </c>
      <c r="E477" s="624"/>
      <c r="F477" s="624" t="s">
        <v>528</v>
      </c>
      <c r="G477" s="624" t="s">
        <v>529</v>
      </c>
      <c r="H477" s="624" t="s">
        <v>530</v>
      </c>
      <c r="I477" s="624" t="s">
        <v>531</v>
      </c>
      <c r="J477" s="624" t="s">
        <v>532</v>
      </c>
      <c r="K477" s="624"/>
      <c r="L477" s="624" t="s">
        <v>130</v>
      </c>
      <c r="M477" s="624" t="s">
        <v>533</v>
      </c>
      <c r="N477" s="1040" t="str">
        <f>"On time - "&amp;COUNTIF(N478:N490,"On time")&amp;" from "&amp;ROWS(N478:N490)-COUNTIF(N478:N490," ")</f>
        <v>On time - 0 from 9</v>
      </c>
      <c r="O477" s="626"/>
      <c r="P477" s="627" t="s">
        <v>534</v>
      </c>
      <c r="Q477" s="627" t="s">
        <v>535</v>
      </c>
      <c r="R477" s="627" t="s">
        <v>536</v>
      </c>
      <c r="S477" s="591"/>
      <c r="T477" s="628" t="s">
        <v>537</v>
      </c>
      <c r="U477" s="628" t="s">
        <v>538</v>
      </c>
      <c r="V477" s="628" t="s">
        <v>539</v>
      </c>
      <c r="W477" s="628" t="s">
        <v>540</v>
      </c>
      <c r="X477" s="628" t="s">
        <v>541</v>
      </c>
      <c r="Y477" s="628" t="s">
        <v>167</v>
      </c>
      <c r="Z477" s="628" t="s">
        <v>168</v>
      </c>
      <c r="AA477" s="628" t="s">
        <v>169</v>
      </c>
      <c r="AB477" s="628" t="s">
        <v>235</v>
      </c>
      <c r="AC477" s="628" t="s">
        <v>240</v>
      </c>
      <c r="AD477" s="623" t="s">
        <v>85</v>
      </c>
      <c r="AE477" s="628" t="s">
        <v>139</v>
      </c>
      <c r="AF477" s="855" t="s">
        <v>72</v>
      </c>
      <c r="AG477" s="855" t="s">
        <v>88</v>
      </c>
      <c r="AH477" s="855" t="s">
        <v>75</v>
      </c>
      <c r="AI477" s="855" t="s">
        <v>543</v>
      </c>
      <c r="AJ477" s="855" t="s">
        <v>78</v>
      </c>
      <c r="AK477" s="855" t="s">
        <v>76</v>
      </c>
      <c r="AL477" s="855" t="s">
        <v>544</v>
      </c>
      <c r="AM477" s="855" t="s">
        <v>545</v>
      </c>
      <c r="AN477" s="855" t="s">
        <v>86</v>
      </c>
      <c r="AO477" s="855" t="s">
        <v>83</v>
      </c>
      <c r="AP477" s="855" t="s">
        <v>84</v>
      </c>
      <c r="AQ477" s="855" t="s">
        <v>546</v>
      </c>
      <c r="AR477" s="855" t="s">
        <v>81</v>
      </c>
      <c r="AS477" s="855" t="s">
        <v>80</v>
      </c>
      <c r="AT477" s="855" t="s">
        <v>82</v>
      </c>
      <c r="AU477" s="855" t="s">
        <v>181</v>
      </c>
      <c r="AV477" s="855" t="s">
        <v>183</v>
      </c>
      <c r="AW477" s="855" t="s">
        <v>547</v>
      </c>
      <c r="AX477" s="855" t="s">
        <v>182</v>
      </c>
      <c r="AY477" s="855" t="s">
        <v>172</v>
      </c>
      <c r="AZ477" s="855" t="s">
        <v>173</v>
      </c>
      <c r="BA477" s="855" t="s">
        <v>184</v>
      </c>
      <c r="BB477" s="855" t="s">
        <v>100</v>
      </c>
      <c r="BC477" s="855" t="s">
        <v>913</v>
      </c>
      <c r="BD477" s="855" t="s">
        <v>2747</v>
      </c>
      <c r="BE477" s="613"/>
    </row>
    <row r="478" spans="2:57">
      <c r="B478" s="1326" t="s">
        <v>643</v>
      </c>
      <c r="C478" s="1327"/>
      <c r="D478" s="501" t="s">
        <v>3804</v>
      </c>
      <c r="E478" s="501"/>
      <c r="F478" s="501" t="s">
        <v>218</v>
      </c>
      <c r="G478" s="501" t="s">
        <v>350</v>
      </c>
      <c r="H478" s="629">
        <v>7503.8680000000004</v>
      </c>
      <c r="I478" s="584" t="s">
        <v>240</v>
      </c>
      <c r="J478" s="504">
        <v>45283.8125</v>
      </c>
      <c r="K478" s="504"/>
      <c r="L478" s="574" t="s">
        <v>192</v>
      </c>
      <c r="M478" s="574" t="s">
        <v>192</v>
      </c>
      <c r="N478" s="505" t="str">
        <f>IF(ISBLANK(J478)," ",IF(J478&lt;$G$472,"On time",(IF(DAY(J478-$G$472)&lt;1,"On time",(IF(J478&gt;$G$472,"DELAY ( "&amp;DAY(J478-$G$472)&amp;" day "&amp;HOUR(J478-$G$472)&amp;" hour "&amp;MINUTE(J478-$G$472)&amp;" minute )","xxx"))))))</f>
        <v>DELAY ( 2 day 19 hour 30 minute )</v>
      </c>
      <c r="O478" s="597"/>
      <c r="P478" s="507" t="s">
        <v>551</v>
      </c>
      <c r="Q478" s="507" t="s">
        <v>551</v>
      </c>
      <c r="R478" s="507" t="s">
        <v>551</v>
      </c>
      <c r="S478" s="598"/>
      <c r="T478" s="599"/>
      <c r="U478" s="599"/>
      <c r="V478" s="599"/>
      <c r="W478" s="599"/>
      <c r="X478" s="599"/>
      <c r="Y478" s="599"/>
      <c r="Z478" s="599"/>
      <c r="AA478" s="599"/>
      <c r="AB478" s="599"/>
      <c r="AC478" s="599">
        <f>H478</f>
        <v>7503.8680000000004</v>
      </c>
      <c r="AD478" s="599"/>
      <c r="AE478" s="599"/>
      <c r="AF478" s="599"/>
      <c r="AG478" s="599"/>
      <c r="AH478" s="599"/>
      <c r="AI478" s="599"/>
      <c r="AJ478" s="599"/>
      <c r="AK478" s="598"/>
      <c r="AL478" s="599"/>
      <c r="AM478" s="599"/>
      <c r="AN478" s="599"/>
      <c r="AO478" s="599"/>
      <c r="AP478" s="599"/>
      <c r="AQ478" s="599"/>
      <c r="AR478" s="599"/>
      <c r="AS478" s="599"/>
      <c r="AT478" s="599"/>
      <c r="AU478" s="599"/>
      <c r="AV478" s="599"/>
      <c r="AW478" s="599"/>
      <c r="AX478" s="598"/>
      <c r="AY478" s="599"/>
      <c r="AZ478" s="599"/>
      <c r="BA478" s="599"/>
      <c r="BB478" s="599"/>
      <c r="BC478" s="599"/>
      <c r="BD478" s="599"/>
      <c r="BE478" s="598"/>
    </row>
    <row r="479" spans="2:57">
      <c r="B479" s="1328"/>
      <c r="C479" s="1329"/>
      <c r="D479" s="501" t="s">
        <v>3748</v>
      </c>
      <c r="E479" s="502"/>
      <c r="F479" s="501" t="s">
        <v>330</v>
      </c>
      <c r="G479" s="501" t="s">
        <v>331</v>
      </c>
      <c r="H479" s="629">
        <f>7500/2</f>
        <v>3750</v>
      </c>
      <c r="I479" s="584" t="s">
        <v>78</v>
      </c>
      <c r="J479" s="1361">
        <v>45283.479166666664</v>
      </c>
      <c r="K479" s="574"/>
      <c r="L479" s="1361" t="s">
        <v>192</v>
      </c>
      <c r="M479" s="1361" t="s">
        <v>192</v>
      </c>
      <c r="N479" s="505" t="str">
        <f>IF(ISBLANK(J479)," ",IF(J479&lt;$G$472,"On time",(IF(DAY(J479-$G$472)&lt;1,"On time",(IF(J479&gt;$G$472,"DELAY ( "&amp;DAY(J479-$G$472)&amp;" day "&amp;HOUR(J479-$G$472)&amp;" hour "&amp;MINUTE(J479-$G$472)&amp;" minute )","xxx"))))))</f>
        <v>DELAY ( 2 day 11 hour 30 minute )</v>
      </c>
      <c r="O479" s="597"/>
      <c r="P479" s="507" t="s">
        <v>551</v>
      </c>
      <c r="Q479" s="507" t="s">
        <v>551</v>
      </c>
      <c r="R479" s="507" t="s">
        <v>551</v>
      </c>
      <c r="S479" s="598"/>
      <c r="T479" s="599"/>
      <c r="U479" s="599"/>
      <c r="V479" s="599"/>
      <c r="W479" s="599"/>
      <c r="X479" s="599"/>
      <c r="Y479" s="599"/>
      <c r="Z479" s="599"/>
      <c r="AA479" s="599"/>
      <c r="AB479" s="599"/>
      <c r="AC479" s="599"/>
      <c r="AD479" s="599"/>
      <c r="AE479" s="599"/>
      <c r="AF479" s="599"/>
      <c r="AG479" s="599"/>
      <c r="AH479" s="599"/>
      <c r="AI479" s="599"/>
      <c r="AJ479" s="599">
        <f>H479</f>
        <v>3750</v>
      </c>
      <c r="AK479" s="598"/>
      <c r="AL479" s="599"/>
      <c r="AM479" s="599"/>
      <c r="AN479" s="599"/>
      <c r="AO479" s="599"/>
      <c r="AP479" s="599"/>
      <c r="AQ479" s="599"/>
      <c r="AR479" s="599"/>
      <c r="AS479" s="599"/>
      <c r="AT479" s="599"/>
      <c r="AU479" s="599"/>
      <c r="AV479" s="599"/>
      <c r="AW479" s="599"/>
      <c r="AX479" s="599"/>
      <c r="AY479" s="599"/>
      <c r="AZ479" s="599"/>
      <c r="BA479" s="599"/>
      <c r="BB479" s="599"/>
      <c r="BC479" s="599"/>
      <c r="BD479" s="599"/>
      <c r="BE479" s="598"/>
    </row>
    <row r="480" spans="2:57">
      <c r="B480" s="1326" t="s">
        <v>644</v>
      </c>
      <c r="C480" s="1327"/>
      <c r="D480" s="501" t="s">
        <v>3748</v>
      </c>
      <c r="E480" s="502"/>
      <c r="F480" s="501" t="s">
        <v>330</v>
      </c>
      <c r="G480" s="501" t="s">
        <v>331</v>
      </c>
      <c r="H480" s="629">
        <f>H479</f>
        <v>3750</v>
      </c>
      <c r="I480" s="584" t="s">
        <v>78</v>
      </c>
      <c r="J480" s="1362"/>
      <c r="K480" s="574"/>
      <c r="L480" s="1362"/>
      <c r="M480" s="1362"/>
      <c r="N480" s="505" t="str">
        <f>IF(ISBLANK(J480)," ",IF(J480&lt;$G$472,"On time",(IF(DAY(J480-$G$472)&lt;1,"On time",(IF(J480&gt;$G$472,"DELAY ( "&amp;DAY(J480-$G$472)&amp;" day "&amp;HOUR(J480-$G$472)&amp;" hour "&amp;MINUTE(J480-$G$472)&amp;" minute )","xxx"))))))</f>
        <v xml:space="preserve"> </v>
      </c>
      <c r="O480" s="597"/>
      <c r="P480" s="507" t="s">
        <v>551</v>
      </c>
      <c r="Q480" s="507" t="s">
        <v>551</v>
      </c>
      <c r="R480" s="507" t="s">
        <v>551</v>
      </c>
      <c r="S480" s="598"/>
      <c r="T480" s="599"/>
      <c r="U480" s="599"/>
      <c r="V480" s="599"/>
      <c r="W480" s="599"/>
      <c r="X480" s="599"/>
      <c r="Y480" s="599"/>
      <c r="Z480" s="599"/>
      <c r="AA480" s="599"/>
      <c r="AB480" s="599"/>
      <c r="AC480" s="599"/>
      <c r="AD480" s="599"/>
      <c r="AE480" s="599"/>
      <c r="AF480" s="599"/>
      <c r="AG480" s="599"/>
      <c r="AH480" s="599"/>
      <c r="AI480" s="599"/>
      <c r="AJ480" s="599">
        <f>H480</f>
        <v>3750</v>
      </c>
      <c r="AK480" s="598"/>
      <c r="AL480" s="599"/>
      <c r="AM480" s="599"/>
      <c r="AN480" s="599"/>
      <c r="AO480" s="599"/>
      <c r="AP480" s="599"/>
      <c r="AQ480" s="599"/>
      <c r="AR480" s="599"/>
      <c r="AS480" s="599"/>
      <c r="AT480" s="599"/>
      <c r="AU480" s="599"/>
      <c r="AV480" s="599"/>
      <c r="AW480" s="599"/>
      <c r="AX480" s="599"/>
      <c r="AY480" s="599"/>
      <c r="AZ480" s="599"/>
      <c r="BA480" s="599"/>
      <c r="BB480" s="599"/>
      <c r="BC480" s="599"/>
      <c r="BD480" s="599"/>
      <c r="BE480" s="598"/>
    </row>
    <row r="481" spans="2:57">
      <c r="B481" s="1328"/>
      <c r="C481" s="1329"/>
      <c r="D481" s="501" t="s">
        <v>3802</v>
      </c>
      <c r="E481" s="501"/>
      <c r="F481" s="501" t="s">
        <v>1392</v>
      </c>
      <c r="G481" s="501" t="s">
        <v>365</v>
      </c>
      <c r="H481" s="629">
        <v>7501.6</v>
      </c>
      <c r="I481" s="584" t="s">
        <v>240</v>
      </c>
      <c r="J481" s="504">
        <v>45283.916666666664</v>
      </c>
      <c r="K481" s="574"/>
      <c r="L481" s="574" t="s">
        <v>192</v>
      </c>
      <c r="M481" s="574" t="s">
        <v>192</v>
      </c>
      <c r="N481" s="505" t="str">
        <f>IF(ISBLANK(J481)," ",IF(J481&lt;$G$472,"On time",(IF(DAY(J481-$G$472)&lt;1,"On time",(IF(J481&gt;$G$472,"DELAY ( "&amp;DAY(J481-$G$472)&amp;" day "&amp;HOUR(J481-$G$472)&amp;" hour "&amp;MINUTE(J481-$G$472)&amp;" minute )","xxx"))))))</f>
        <v>DELAY ( 2 day 22 hour 0 minute )</v>
      </c>
      <c r="O481" s="597"/>
      <c r="P481" s="507" t="s">
        <v>551</v>
      </c>
      <c r="Q481" s="507" t="s">
        <v>551</v>
      </c>
      <c r="R481" s="507" t="s">
        <v>551</v>
      </c>
      <c r="S481" s="598"/>
      <c r="T481" s="599"/>
      <c r="U481" s="599"/>
      <c r="V481" s="599"/>
      <c r="W481" s="599"/>
      <c r="X481" s="599"/>
      <c r="Y481" s="599"/>
      <c r="Z481" s="599"/>
      <c r="AA481" s="599"/>
      <c r="AB481" s="599"/>
      <c r="AC481" s="599">
        <f>H481</f>
        <v>7501.6</v>
      </c>
      <c r="AD481" s="599"/>
      <c r="AE481" s="599"/>
      <c r="AF481" s="599"/>
      <c r="AG481" s="599"/>
      <c r="AH481" s="599"/>
      <c r="AI481" s="599"/>
      <c r="AJ481" s="599"/>
      <c r="AK481" s="599"/>
      <c r="AL481" s="599"/>
      <c r="AM481" s="599"/>
      <c r="AN481" s="599"/>
      <c r="AO481" s="599"/>
      <c r="AP481" s="599"/>
      <c r="AQ481" s="599"/>
      <c r="AR481" s="599"/>
      <c r="AS481" s="599"/>
      <c r="AT481" s="599"/>
      <c r="AU481" s="599"/>
      <c r="AV481" s="599"/>
      <c r="AW481" s="599"/>
      <c r="AX481" s="599"/>
      <c r="AY481" s="599"/>
      <c r="AZ481" s="599"/>
      <c r="BA481" s="599"/>
      <c r="BB481" s="599"/>
      <c r="BC481" s="599"/>
      <c r="BD481" s="599"/>
      <c r="BE481" s="598"/>
    </row>
    <row r="482" spans="2:57">
      <c r="B482" s="1326" t="s">
        <v>643</v>
      </c>
      <c r="C482" s="1327"/>
      <c r="D482" s="501" t="s">
        <v>3801</v>
      </c>
      <c r="E482" s="501"/>
      <c r="F482" s="501" t="s">
        <v>422</v>
      </c>
      <c r="G482" s="501" t="s">
        <v>3342</v>
      </c>
      <c r="H482" s="629">
        <v>7481.57</v>
      </c>
      <c r="I482" s="584" t="s">
        <v>235</v>
      </c>
      <c r="J482" s="504">
        <v>45284.069444444445</v>
      </c>
      <c r="K482" s="574"/>
      <c r="L482" s="574" t="s">
        <v>192</v>
      </c>
      <c r="M482" s="574" t="s">
        <v>192</v>
      </c>
      <c r="N482" s="505" t="str">
        <f>IF(ISBLANK(J482)," ",IF(J482&lt;$G$472,"On time",(IF(DAY(J482-$G$472)&lt;1,"On time",(IF(J482&gt;$G$472,"DELAY ( "&amp;DAY(J482-$G$472)&amp;" day "&amp;HOUR(J482-$G$472)&amp;" hour "&amp;MINUTE(J482-$G$472)&amp;" minute )","xxx"))))))</f>
        <v>DELAY ( 3 day 1 hour 40 minute )</v>
      </c>
      <c r="O482" s="597"/>
      <c r="P482" s="507" t="s">
        <v>551</v>
      </c>
      <c r="Q482" s="507" t="s">
        <v>551</v>
      </c>
      <c r="R482" s="507" t="s">
        <v>551</v>
      </c>
      <c r="S482" s="598"/>
      <c r="T482" s="599"/>
      <c r="U482" s="599"/>
      <c r="V482" s="599"/>
      <c r="W482" s="599"/>
      <c r="X482" s="599"/>
      <c r="Y482" s="599"/>
      <c r="Z482" s="599"/>
      <c r="AA482" s="599"/>
      <c r="AB482" s="599">
        <f>H482</f>
        <v>7481.57</v>
      </c>
      <c r="AC482" s="599"/>
      <c r="AD482" s="599"/>
      <c r="AE482" s="599"/>
      <c r="AF482" s="599"/>
      <c r="AG482" s="599"/>
      <c r="AH482" s="599"/>
      <c r="AI482" s="599"/>
      <c r="AJ482" s="599"/>
      <c r="AK482" s="599"/>
      <c r="AL482" s="599"/>
      <c r="AM482" s="599"/>
      <c r="AN482" s="599"/>
      <c r="AO482" s="599"/>
      <c r="AP482" s="599"/>
      <c r="AQ482" s="599"/>
      <c r="AR482" s="599"/>
      <c r="AS482" s="599"/>
      <c r="AT482" s="599"/>
      <c r="AU482" s="599"/>
      <c r="AV482" s="599"/>
      <c r="AW482" s="599"/>
      <c r="AX482" s="599"/>
      <c r="AY482" s="599"/>
      <c r="AZ482" s="599"/>
      <c r="BA482" s="599"/>
      <c r="BB482" s="599"/>
      <c r="BC482" s="599"/>
      <c r="BD482" s="599"/>
      <c r="BE482" s="598"/>
    </row>
    <row r="483" spans="2:57">
      <c r="B483" s="1328"/>
      <c r="C483" s="1329"/>
      <c r="D483" s="501" t="s">
        <v>3841</v>
      </c>
      <c r="E483" s="502"/>
      <c r="F483" s="501" t="s">
        <v>390</v>
      </c>
      <c r="G483" s="501" t="s">
        <v>3346</v>
      </c>
      <c r="H483" s="629">
        <f>7533.061/2</f>
        <v>3766.5304999999998</v>
      </c>
      <c r="I483" s="584" t="s">
        <v>1164</v>
      </c>
      <c r="J483" s="1361">
        <v>45285.0625</v>
      </c>
      <c r="K483" s="574"/>
      <c r="L483" s="1361" t="s">
        <v>192</v>
      </c>
      <c r="M483" s="1361" t="s">
        <v>192</v>
      </c>
      <c r="N483" s="505" t="str">
        <f t="shared" ref="N483:N490" si="39">IF(ISBLANK(J483)," ",IF(J483&lt;$G$472,"On time",(IF(DAY(J483-$G$472)&lt;1,"On time",(IF(J483&gt;$G$472,"DELAY ( "&amp;DAY(J483-$G$472)&amp;" day "&amp;HOUR(J483-$G$472)&amp;" hour "&amp;MINUTE(J483-$G$472)&amp;" minute )","xxx"))))))</f>
        <v>DELAY ( 4 day 1 hour 30 minute )</v>
      </c>
      <c r="O483" s="597"/>
      <c r="P483" s="507" t="s">
        <v>551</v>
      </c>
      <c r="Q483" s="507" t="s">
        <v>551</v>
      </c>
      <c r="R483" s="507" t="s">
        <v>551</v>
      </c>
      <c r="S483" s="598"/>
      <c r="T483" s="599"/>
      <c r="U483" s="599"/>
      <c r="V483" s="599"/>
      <c r="W483" s="599"/>
      <c r="X483" s="599">
        <f>H483</f>
        <v>3766.5304999999998</v>
      </c>
      <c r="Y483" s="599"/>
      <c r="Z483" s="599"/>
      <c r="AA483" s="599"/>
      <c r="AB483" s="599"/>
      <c r="AC483" s="599"/>
      <c r="AD483" s="599"/>
      <c r="AE483" s="599"/>
      <c r="AF483" s="599"/>
      <c r="AG483" s="599"/>
      <c r="AH483" s="599"/>
      <c r="AI483" s="599"/>
      <c r="AJ483" s="599"/>
      <c r="AK483" s="599"/>
      <c r="AL483" s="599"/>
      <c r="AM483" s="599"/>
      <c r="AN483" s="599"/>
      <c r="AO483" s="599"/>
      <c r="AP483" s="599"/>
      <c r="AQ483" s="599"/>
      <c r="AR483" s="599"/>
      <c r="AS483" s="599"/>
      <c r="AT483" s="599"/>
      <c r="AU483" s="599"/>
      <c r="AV483" s="599"/>
      <c r="AW483" s="599"/>
      <c r="AX483" s="599"/>
      <c r="AY483" s="599"/>
      <c r="AZ483" s="599"/>
      <c r="BA483" s="599"/>
      <c r="BB483" s="599"/>
      <c r="BC483" s="599"/>
      <c r="BD483" s="599"/>
      <c r="BE483" s="598"/>
    </row>
    <row r="484" spans="2:57">
      <c r="B484" s="1326" t="s">
        <v>644</v>
      </c>
      <c r="C484" s="1327"/>
      <c r="D484" s="501" t="s">
        <v>3841</v>
      </c>
      <c r="E484" s="502"/>
      <c r="F484" s="501" t="s">
        <v>390</v>
      </c>
      <c r="G484" s="501" t="s">
        <v>3346</v>
      </c>
      <c r="H484" s="629">
        <f>H483</f>
        <v>3766.5304999999998</v>
      </c>
      <c r="I484" s="584" t="s">
        <v>1164</v>
      </c>
      <c r="J484" s="1362"/>
      <c r="K484" s="574"/>
      <c r="L484" s="1362"/>
      <c r="M484" s="1362"/>
      <c r="N484" s="505" t="str">
        <f t="shared" si="39"/>
        <v xml:space="preserve"> </v>
      </c>
      <c r="O484" s="597"/>
      <c r="P484" s="507" t="s">
        <v>551</v>
      </c>
      <c r="Q484" s="507" t="s">
        <v>551</v>
      </c>
      <c r="R484" s="507" t="s">
        <v>551</v>
      </c>
      <c r="S484" s="598"/>
      <c r="T484" s="599"/>
      <c r="U484" s="599"/>
      <c r="V484" s="599"/>
      <c r="W484" s="599"/>
      <c r="X484" s="599">
        <f>H484</f>
        <v>3766.5304999999998</v>
      </c>
      <c r="Y484" s="599"/>
      <c r="Z484" s="599"/>
      <c r="AA484" s="599"/>
      <c r="AB484" s="599"/>
      <c r="AC484" s="599"/>
      <c r="AD484" s="599"/>
      <c r="AE484" s="599"/>
      <c r="AF484" s="599"/>
      <c r="AG484" s="599"/>
      <c r="AH484" s="599"/>
      <c r="AI484" s="599"/>
      <c r="AJ484" s="599"/>
      <c r="AK484" s="599"/>
      <c r="AL484" s="599"/>
      <c r="AM484" s="599"/>
      <c r="AN484" s="599"/>
      <c r="AO484" s="599"/>
      <c r="AP484" s="599"/>
      <c r="AQ484" s="599"/>
      <c r="AR484" s="599"/>
      <c r="AS484" s="599"/>
      <c r="AT484" s="599"/>
      <c r="AU484" s="599"/>
      <c r="AV484" s="599"/>
      <c r="AW484" s="599"/>
      <c r="AX484" s="599"/>
      <c r="AY484" s="599"/>
      <c r="AZ484" s="599"/>
      <c r="BA484" s="599"/>
      <c r="BB484" s="599"/>
      <c r="BC484" s="599"/>
      <c r="BD484" s="599"/>
      <c r="BE484" s="598"/>
    </row>
    <row r="485" spans="2:57">
      <c r="B485" s="1328"/>
      <c r="C485" s="1329"/>
      <c r="D485" s="501" t="s">
        <v>3809</v>
      </c>
      <c r="E485" s="501"/>
      <c r="F485" s="501" t="s">
        <v>1972</v>
      </c>
      <c r="G485" s="501" t="s">
        <v>1973</v>
      </c>
      <c r="H485" s="629">
        <v>7274.0950000000003</v>
      </c>
      <c r="I485" s="584" t="s">
        <v>240</v>
      </c>
      <c r="J485" s="504">
        <v>45284.708333333328</v>
      </c>
      <c r="K485" s="574"/>
      <c r="L485" s="574" t="s">
        <v>192</v>
      </c>
      <c r="M485" s="574" t="s">
        <v>192</v>
      </c>
      <c r="N485" s="505" t="str">
        <f t="shared" si="39"/>
        <v>DELAY ( 3 day 17 hour 0 minute )</v>
      </c>
      <c r="O485" s="597"/>
      <c r="P485" s="507" t="s">
        <v>551</v>
      </c>
      <c r="Q485" s="507" t="s">
        <v>551</v>
      </c>
      <c r="R485" s="507" t="s">
        <v>551</v>
      </c>
      <c r="S485" s="598"/>
      <c r="T485" s="599"/>
      <c r="U485" s="599"/>
      <c r="V485" s="599"/>
      <c r="W485" s="599"/>
      <c r="X485" s="599"/>
      <c r="Y485" s="599"/>
      <c r="Z485" s="598"/>
      <c r="AA485" s="599"/>
      <c r="AB485" s="598"/>
      <c r="AC485" s="599">
        <f>H485</f>
        <v>7274.0950000000003</v>
      </c>
      <c r="AD485" s="599"/>
      <c r="AE485" s="599"/>
      <c r="AF485" s="599"/>
      <c r="AG485" s="599"/>
      <c r="AH485" s="599"/>
      <c r="AI485" s="599"/>
      <c r="AJ485" s="599"/>
      <c r="AK485" s="599"/>
      <c r="AL485" s="599"/>
      <c r="AM485" s="599"/>
      <c r="AN485" s="599"/>
      <c r="AO485" s="599"/>
      <c r="AP485" s="599"/>
      <c r="AQ485" s="599"/>
      <c r="AR485" s="599"/>
      <c r="AS485" s="599"/>
      <c r="AT485" s="599"/>
      <c r="AU485" s="599"/>
      <c r="AV485" s="599"/>
      <c r="AW485" s="599"/>
      <c r="AX485" s="599"/>
      <c r="AY485" s="599"/>
      <c r="AZ485" s="599"/>
      <c r="BA485" s="599"/>
      <c r="BB485" s="599"/>
      <c r="BC485" s="599"/>
      <c r="BD485" s="599"/>
      <c r="BE485" s="598"/>
    </row>
    <row r="486" spans="2:57">
      <c r="B486" s="1315" t="s">
        <v>548</v>
      </c>
      <c r="C486" s="1316"/>
      <c r="D486" s="501" t="s">
        <v>3806</v>
      </c>
      <c r="E486" s="501"/>
      <c r="F486" s="501" t="s">
        <v>3807</v>
      </c>
      <c r="G486" s="501" t="s">
        <v>227</v>
      </c>
      <c r="H486" s="629">
        <v>7464.9809999999998</v>
      </c>
      <c r="I486" s="584" t="s">
        <v>240</v>
      </c>
      <c r="J486" s="504">
        <v>45284.791666666664</v>
      </c>
      <c r="K486" s="574"/>
      <c r="L486" s="574" t="s">
        <v>192</v>
      </c>
      <c r="M486" s="574" t="s">
        <v>192</v>
      </c>
      <c r="N486" s="505" t="str">
        <f t="shared" si="39"/>
        <v>DELAY ( 3 day 19 hour 0 minute )</v>
      </c>
      <c r="O486" s="597"/>
      <c r="P486" s="507" t="s">
        <v>551</v>
      </c>
      <c r="Q486" s="507" t="s">
        <v>551</v>
      </c>
      <c r="R486" s="507" t="s">
        <v>551</v>
      </c>
      <c r="S486" s="598"/>
      <c r="T486" s="599"/>
      <c r="U486" s="599"/>
      <c r="V486" s="599"/>
      <c r="W486" s="599"/>
      <c r="X486" s="599"/>
      <c r="Y486" s="599"/>
      <c r="Z486" s="599"/>
      <c r="AA486" s="599"/>
      <c r="AB486" s="599"/>
      <c r="AC486" s="599">
        <f>H486</f>
        <v>7464.9809999999998</v>
      </c>
      <c r="AD486" s="599"/>
      <c r="AE486" s="599"/>
      <c r="AF486" s="599"/>
      <c r="AG486" s="599"/>
      <c r="AH486" s="599"/>
      <c r="AI486" s="599"/>
      <c r="AJ486" s="599"/>
      <c r="AK486" s="599"/>
      <c r="AL486" s="599"/>
      <c r="AM486" s="599"/>
      <c r="AN486" s="599"/>
      <c r="AO486" s="599"/>
      <c r="AP486" s="599"/>
      <c r="AQ486" s="599"/>
      <c r="AR486" s="599"/>
      <c r="AS486" s="599"/>
      <c r="AT486" s="599"/>
      <c r="AU486" s="599"/>
      <c r="AV486" s="599"/>
      <c r="AW486" s="599"/>
      <c r="AX486" s="599"/>
      <c r="AY486" s="599"/>
      <c r="AZ486" s="599"/>
      <c r="BA486" s="599"/>
      <c r="BB486" s="599"/>
      <c r="BC486" s="599"/>
      <c r="BD486" s="599"/>
      <c r="BE486" s="598"/>
    </row>
    <row r="487" spans="2:57">
      <c r="B487" s="1315" t="s">
        <v>548</v>
      </c>
      <c r="C487" s="1316"/>
      <c r="D487" s="501" t="s">
        <v>3805</v>
      </c>
      <c r="E487" s="501"/>
      <c r="F487" s="501" t="s">
        <v>695</v>
      </c>
      <c r="G487" s="501" t="s">
        <v>281</v>
      </c>
      <c r="H487" s="629">
        <v>7464.3519999999999</v>
      </c>
      <c r="I487" s="584" t="s">
        <v>240</v>
      </c>
      <c r="J487" s="504">
        <v>45286.3125</v>
      </c>
      <c r="K487" s="574"/>
      <c r="L487" s="574" t="s">
        <v>192</v>
      </c>
      <c r="M487" s="574" t="s">
        <v>192</v>
      </c>
      <c r="N487" s="505" t="str">
        <f t="shared" si="39"/>
        <v>DELAY ( 5 day 7 hour 30 minute )</v>
      </c>
      <c r="O487" s="597"/>
      <c r="P487" s="507" t="s">
        <v>551</v>
      </c>
      <c r="Q487" s="507" t="s">
        <v>551</v>
      </c>
      <c r="R487" s="507" t="s">
        <v>551</v>
      </c>
      <c r="S487" s="598"/>
      <c r="T487" s="599"/>
      <c r="U487" s="599"/>
      <c r="V487" s="599"/>
      <c r="W487" s="599"/>
      <c r="X487" s="599"/>
      <c r="Y487" s="599"/>
      <c r="Z487" s="599"/>
      <c r="AA487" s="599"/>
      <c r="AB487" s="599"/>
      <c r="AC487" s="599">
        <f>H487</f>
        <v>7464.3519999999999</v>
      </c>
      <c r="AD487" s="599"/>
      <c r="AE487" s="599"/>
      <c r="AF487" s="599"/>
      <c r="AG487" s="599"/>
      <c r="AH487" s="599"/>
      <c r="AI487" s="599"/>
      <c r="AJ487" s="599"/>
      <c r="AK487" s="599"/>
      <c r="AL487" s="599"/>
      <c r="AM487" s="599"/>
      <c r="AN487" s="599"/>
      <c r="AO487" s="599"/>
      <c r="AP487" s="599"/>
      <c r="AQ487" s="599"/>
      <c r="AR487" s="599"/>
      <c r="AS487" s="599"/>
      <c r="AT487" s="599"/>
      <c r="AU487" s="599"/>
      <c r="AV487" s="599"/>
      <c r="AW487" s="599"/>
      <c r="AX487" s="599"/>
      <c r="AY487" s="599"/>
      <c r="AZ487" s="599"/>
      <c r="BA487" s="599"/>
      <c r="BB487" s="599"/>
      <c r="BC487" s="599"/>
      <c r="BD487" s="599"/>
      <c r="BE487" s="598"/>
    </row>
    <row r="488" spans="2:57">
      <c r="B488" s="1315" t="s">
        <v>548</v>
      </c>
      <c r="C488" s="1316"/>
      <c r="D488" s="501" t="s">
        <v>3811</v>
      </c>
      <c r="E488" s="501"/>
      <c r="F488" s="501" t="s">
        <v>367</v>
      </c>
      <c r="G488" s="501" t="s">
        <v>368</v>
      </c>
      <c r="H488" s="629">
        <f>9687.936-2411.463</f>
        <v>7276.473</v>
      </c>
      <c r="I488" s="584" t="s">
        <v>235</v>
      </c>
      <c r="J488" s="504">
        <v>45284.8125</v>
      </c>
      <c r="K488" s="574"/>
      <c r="L488" s="574" t="s">
        <v>192</v>
      </c>
      <c r="M488" s="574" t="s">
        <v>192</v>
      </c>
      <c r="N488" s="505" t="str">
        <f t="shared" si="39"/>
        <v>DELAY ( 3 day 19 hour 30 minute )</v>
      </c>
      <c r="O488" s="597"/>
      <c r="P488" s="507" t="s">
        <v>551</v>
      </c>
      <c r="Q488" s="507" t="s">
        <v>551</v>
      </c>
      <c r="R488" s="507" t="s">
        <v>551</v>
      </c>
      <c r="S488" s="598"/>
      <c r="T488" s="599"/>
      <c r="U488" s="599"/>
      <c r="V488" s="599"/>
      <c r="W488" s="599"/>
      <c r="X488" s="599"/>
      <c r="Y488" s="599"/>
      <c r="Z488" s="599"/>
      <c r="AA488" s="599"/>
      <c r="AB488" s="599">
        <f>H488</f>
        <v>7276.473</v>
      </c>
      <c r="AC488" s="599"/>
      <c r="AD488" s="599"/>
      <c r="AE488" s="599"/>
      <c r="AF488" s="599"/>
      <c r="AG488" s="599"/>
      <c r="AH488" s="599"/>
      <c r="AI488" s="599"/>
      <c r="AJ488" s="599"/>
      <c r="AK488" s="599"/>
      <c r="AL488" s="599"/>
      <c r="AM488" s="599"/>
      <c r="AN488" s="599"/>
      <c r="AO488" s="599"/>
      <c r="AP488" s="599"/>
      <c r="AQ488" s="599"/>
      <c r="AR488" s="599"/>
      <c r="AS488" s="599"/>
      <c r="AT488" s="599"/>
      <c r="AU488" s="599"/>
      <c r="AV488" s="599"/>
      <c r="AW488" s="599"/>
      <c r="AX488" s="599"/>
      <c r="AY488" s="599"/>
      <c r="AZ488" s="599"/>
      <c r="BA488" s="599"/>
      <c r="BB488" s="599"/>
      <c r="BC488" s="599"/>
      <c r="BD488" s="599"/>
      <c r="BE488" s="598"/>
    </row>
    <row r="489" spans="2:57">
      <c r="B489" s="1258" t="s">
        <v>556</v>
      </c>
      <c r="C489" s="1259"/>
      <c r="D489" s="1259"/>
      <c r="E489" s="1259"/>
      <c r="F489" s="1259"/>
      <c r="G489" s="1260"/>
      <c r="H489" s="863">
        <f>SUM(H478:H488)</f>
        <v>67000</v>
      </c>
      <c r="I489" s="1458"/>
      <c r="J489" s="1458"/>
      <c r="K489" s="1458"/>
      <c r="L489" s="1458"/>
      <c r="M489" s="1458"/>
      <c r="N489" s="505" t="str">
        <f t="shared" si="39"/>
        <v xml:space="preserve"> </v>
      </c>
      <c r="O489" s="212"/>
      <c r="P489" s="590"/>
      <c r="Q489" s="590"/>
      <c r="R489" s="590"/>
      <c r="S489" s="633"/>
      <c r="T489" s="1307"/>
      <c r="U489" s="1308"/>
      <c r="V489" s="1308"/>
      <c r="W489" s="1308"/>
      <c r="X489" s="1308"/>
      <c r="Y489" s="1308"/>
      <c r="Z489" s="1308"/>
      <c r="AA489" s="1308"/>
      <c r="AB489" s="1308"/>
      <c r="AC489" s="1308"/>
      <c r="AD489" s="1308"/>
      <c r="AE489" s="1308"/>
      <c r="AF489" s="1308"/>
      <c r="AG489" s="1308"/>
      <c r="AH489" s="1308"/>
      <c r="AI489" s="1308"/>
      <c r="AJ489" s="1308"/>
      <c r="AK489" s="1308"/>
      <c r="AL489" s="1308"/>
      <c r="AM489" s="1308"/>
      <c r="AN489" s="1308"/>
      <c r="AO489" s="1308"/>
      <c r="AP489" s="1308"/>
      <c r="AQ489" s="1308"/>
      <c r="AR489" s="1308"/>
      <c r="AS489" s="1308"/>
      <c r="AT489" s="1308"/>
      <c r="AU489" s="1308"/>
      <c r="AV489" s="1308"/>
      <c r="AW489" s="1308"/>
      <c r="AX489" s="1308"/>
      <c r="AY489" s="1308"/>
      <c r="AZ489" s="1308"/>
      <c r="BA489" s="1308"/>
      <c r="BB489" s="1308"/>
      <c r="BC489" s="1308"/>
      <c r="BD489" s="1308"/>
      <c r="BE489" s="39"/>
    </row>
    <row r="490" spans="2:57">
      <c r="B490" s="1415" t="s">
        <v>557</v>
      </c>
      <c r="C490" s="1416"/>
      <c r="D490" s="1416"/>
      <c r="E490" s="1416"/>
      <c r="F490" s="1416"/>
      <c r="G490" s="1417"/>
      <c r="H490" s="845">
        <v>67000</v>
      </c>
      <c r="I490" s="1455"/>
      <c r="J490" s="1455"/>
      <c r="K490" s="1455"/>
      <c r="L490" s="1455"/>
      <c r="M490" s="1455"/>
      <c r="N490" s="505" t="str">
        <f t="shared" si="39"/>
        <v xml:space="preserve"> </v>
      </c>
      <c r="O490" s="591"/>
      <c r="P490" s="415"/>
      <c r="Q490" s="415"/>
      <c r="R490" s="415"/>
      <c r="S490" s="740"/>
      <c r="T490" s="592">
        <f t="shared" ref="T490:BD490" si="40">SUM(T478:T488)</f>
        <v>0</v>
      </c>
      <c r="U490" s="592">
        <f t="shared" si="40"/>
        <v>0</v>
      </c>
      <c r="V490" s="592">
        <f t="shared" si="40"/>
        <v>0</v>
      </c>
      <c r="W490" s="592">
        <f t="shared" si="40"/>
        <v>0</v>
      </c>
      <c r="X490" s="592">
        <f t="shared" si="40"/>
        <v>7533.0609999999997</v>
      </c>
      <c r="Y490" s="592">
        <f t="shared" si="40"/>
        <v>0</v>
      </c>
      <c r="Z490" s="592">
        <f t="shared" si="40"/>
        <v>0</v>
      </c>
      <c r="AA490" s="592">
        <f t="shared" si="40"/>
        <v>0</v>
      </c>
      <c r="AB490" s="592">
        <f t="shared" si="40"/>
        <v>14758.043</v>
      </c>
      <c r="AC490" s="592">
        <f t="shared" si="40"/>
        <v>37208.896000000001</v>
      </c>
      <c r="AD490" s="592">
        <f t="shared" si="40"/>
        <v>0</v>
      </c>
      <c r="AE490" s="592">
        <f t="shared" si="40"/>
        <v>0</v>
      </c>
      <c r="AF490" s="592">
        <f t="shared" si="40"/>
        <v>0</v>
      </c>
      <c r="AG490" s="592">
        <f t="shared" si="40"/>
        <v>0</v>
      </c>
      <c r="AH490" s="592">
        <f t="shared" si="40"/>
        <v>0</v>
      </c>
      <c r="AI490" s="592">
        <f t="shared" si="40"/>
        <v>0</v>
      </c>
      <c r="AJ490" s="592">
        <f t="shared" si="40"/>
        <v>7500</v>
      </c>
      <c r="AK490" s="592">
        <f t="shared" si="40"/>
        <v>0</v>
      </c>
      <c r="AL490" s="592">
        <f t="shared" si="40"/>
        <v>0</v>
      </c>
      <c r="AM490" s="592">
        <f t="shared" si="40"/>
        <v>0</v>
      </c>
      <c r="AN490" s="592">
        <f t="shared" si="40"/>
        <v>0</v>
      </c>
      <c r="AO490" s="592">
        <f t="shared" si="40"/>
        <v>0</v>
      </c>
      <c r="AP490" s="592">
        <f t="shared" si="40"/>
        <v>0</v>
      </c>
      <c r="AQ490" s="592">
        <f t="shared" si="40"/>
        <v>0</v>
      </c>
      <c r="AR490" s="592">
        <f t="shared" si="40"/>
        <v>0</v>
      </c>
      <c r="AS490" s="592">
        <f t="shared" si="40"/>
        <v>0</v>
      </c>
      <c r="AT490" s="592">
        <f t="shared" si="40"/>
        <v>0</v>
      </c>
      <c r="AU490" s="592">
        <f t="shared" si="40"/>
        <v>0</v>
      </c>
      <c r="AV490" s="592">
        <f t="shared" si="40"/>
        <v>0</v>
      </c>
      <c r="AW490" s="592">
        <f t="shared" si="40"/>
        <v>0</v>
      </c>
      <c r="AX490" s="592">
        <f t="shared" si="40"/>
        <v>0</v>
      </c>
      <c r="AY490" s="592">
        <f t="shared" si="40"/>
        <v>0</v>
      </c>
      <c r="AZ490" s="592">
        <f t="shared" si="40"/>
        <v>0</v>
      </c>
      <c r="BA490" s="592">
        <f t="shared" si="40"/>
        <v>0</v>
      </c>
      <c r="BB490" s="592">
        <f t="shared" si="40"/>
        <v>0</v>
      </c>
      <c r="BC490" s="592">
        <f t="shared" si="40"/>
        <v>0</v>
      </c>
      <c r="BD490" s="592">
        <f t="shared" si="40"/>
        <v>0</v>
      </c>
      <c r="BE490" s="592">
        <f>SUM(T490:BD490)</f>
        <v>67000</v>
      </c>
    </row>
    <row r="491" spans="2:57">
      <c r="B491" s="1415" t="s">
        <v>558</v>
      </c>
      <c r="C491" s="1416"/>
      <c r="D491" s="1416"/>
      <c r="E491" s="1416"/>
      <c r="F491" s="1416"/>
      <c r="G491" s="1417"/>
      <c r="H491" s="712">
        <f>H490-L472</f>
        <v>0</v>
      </c>
      <c r="I491" s="745"/>
      <c r="J491" s="746"/>
      <c r="K491" s="746"/>
      <c r="L491" s="674"/>
      <c r="M491" s="633"/>
      <c r="N491" s="591"/>
      <c r="O491" s="591"/>
      <c r="P491" s="591"/>
      <c r="Q491" s="744"/>
      <c r="R491" s="744"/>
      <c r="S491" s="591"/>
      <c r="T491" s="645"/>
      <c r="U491" s="645"/>
      <c r="V491" s="645"/>
      <c r="W491" s="645"/>
      <c r="X491" s="645"/>
      <c r="Y491" s="645"/>
      <c r="Z491" s="645"/>
      <c r="AA491" s="645"/>
      <c r="AB491" s="645"/>
      <c r="AC491" s="591"/>
      <c r="AD491" s="591"/>
      <c r="AE491" s="591"/>
      <c r="AF491" s="591"/>
      <c r="AG491" s="591"/>
      <c r="AH491" s="591"/>
      <c r="AI491" s="591"/>
      <c r="AJ491" s="591"/>
      <c r="AK491" s="591"/>
      <c r="AL491" s="591"/>
      <c r="AM491" s="591"/>
      <c r="AN491" s="591"/>
      <c r="AO491" s="591"/>
      <c r="AP491" s="591"/>
      <c r="AQ491" s="591"/>
      <c r="AR491" s="591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</row>
    <row r="492" spans="2:57">
      <c r="B492" s="1415" t="s">
        <v>559</v>
      </c>
      <c r="C492" s="1416"/>
      <c r="D492" s="1416"/>
      <c r="E492" s="1416"/>
      <c r="F492" s="1416"/>
      <c r="G492" s="1417"/>
      <c r="H492" s="747">
        <v>1962.443</v>
      </c>
      <c r="I492" s="745"/>
      <c r="J492" s="746"/>
      <c r="K492" s="746"/>
      <c r="L492" s="674"/>
      <c r="M492" s="633"/>
      <c r="N492" s="613"/>
      <c r="O492" s="591"/>
      <c r="P492" s="591"/>
      <c r="Q492" s="591"/>
      <c r="R492" s="591"/>
      <c r="S492" s="591"/>
      <c r="T492" s="645"/>
      <c r="U492" s="645"/>
      <c r="V492" s="645"/>
      <c r="W492" s="645"/>
      <c r="X492" s="645"/>
      <c r="Y492" s="645"/>
      <c r="Z492" s="645"/>
      <c r="AA492" s="645"/>
      <c r="AB492" s="645"/>
      <c r="AC492" s="591"/>
      <c r="AD492" s="591"/>
      <c r="AE492" s="591"/>
      <c r="AF492" s="591"/>
      <c r="AG492" s="591"/>
      <c r="AH492" s="591"/>
      <c r="AI492" s="591"/>
      <c r="AJ492" s="591"/>
      <c r="AK492" s="591"/>
      <c r="AL492" s="591"/>
      <c r="AM492" s="591"/>
      <c r="AN492" s="591"/>
      <c r="AO492" s="591"/>
      <c r="AP492" s="591"/>
      <c r="AQ492" s="591"/>
      <c r="AR492" s="591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</row>
    <row r="493" spans="2:57" s="39" customFormat="1" ht="12.75" customHeight="1">
      <c r="B493" s="1415" t="s">
        <v>560</v>
      </c>
      <c r="C493" s="1416"/>
      <c r="D493" s="1416"/>
      <c r="E493" s="1416"/>
      <c r="F493" s="1416"/>
      <c r="G493" s="1417"/>
      <c r="H493" s="741">
        <f>H492-2411.463</f>
        <v>-449.02000000000021</v>
      </c>
      <c r="I493" s="641"/>
      <c r="J493" s="642"/>
      <c r="K493" s="642"/>
      <c r="L493" s="499"/>
      <c r="M493" s="613"/>
      <c r="N493" s="613"/>
      <c r="O493" s="613"/>
      <c r="P493" s="613"/>
      <c r="Q493" s="613"/>
      <c r="R493" s="613"/>
      <c r="S493" s="616"/>
      <c r="T493" s="616"/>
      <c r="U493" s="616"/>
      <c r="V493" s="616"/>
      <c r="W493" s="616"/>
      <c r="X493" s="616"/>
      <c r="Y493" s="616"/>
      <c r="Z493" s="616"/>
      <c r="AA493" s="616"/>
      <c r="AB493" s="613"/>
      <c r="AC493" s="613"/>
      <c r="AD493" s="613"/>
      <c r="AE493" s="613"/>
      <c r="AF493" s="613"/>
      <c r="AG493" s="613"/>
      <c r="AH493" s="613"/>
      <c r="AI493" s="613"/>
      <c r="AJ493" s="613"/>
      <c r="AK493" s="613"/>
      <c r="AL493" s="613"/>
      <c r="AM493" s="613"/>
      <c r="AN493" s="613"/>
      <c r="AO493" s="613"/>
      <c r="AP493" s="613"/>
      <c r="AQ493" s="613"/>
      <c r="AR493" s="496"/>
      <c r="AS493" s="496"/>
      <c r="AT493" s="496"/>
      <c r="AU493" s="496"/>
      <c r="AV493" s="496"/>
      <c r="AW493" s="496"/>
      <c r="AX493" s="496"/>
      <c r="AY493" s="496"/>
      <c r="AZ493" s="496"/>
      <c r="BA493" s="496"/>
    </row>
    <row r="494" spans="2:57">
      <c r="B494" s="613"/>
      <c r="C494" s="613"/>
      <c r="D494" s="613"/>
      <c r="E494" s="613"/>
      <c r="F494" s="613"/>
      <c r="G494" s="613"/>
      <c r="H494" s="613"/>
      <c r="I494" s="643"/>
      <c r="J494" s="641"/>
      <c r="K494" s="641"/>
      <c r="L494" s="644"/>
      <c r="M494" s="613"/>
      <c r="N494" s="613"/>
      <c r="O494" s="641"/>
      <c r="P494" s="591"/>
      <c r="Q494" s="591"/>
      <c r="R494" s="591"/>
      <c r="S494" s="591"/>
      <c r="T494" s="645"/>
      <c r="U494" s="645"/>
      <c r="V494" s="645"/>
      <c r="W494" s="645"/>
      <c r="X494" s="645"/>
      <c r="Y494" s="645"/>
      <c r="Z494" s="645"/>
      <c r="AA494" s="645"/>
      <c r="AB494" s="645"/>
      <c r="AC494" s="591"/>
      <c r="AD494" s="591"/>
      <c r="AE494" s="591"/>
      <c r="AF494" s="591"/>
      <c r="AG494" s="591"/>
      <c r="AH494" s="591"/>
      <c r="AI494" s="591"/>
      <c r="AJ494" s="591"/>
      <c r="AK494" s="591"/>
      <c r="AL494" s="591"/>
      <c r="AM494" s="591"/>
      <c r="AN494" s="591"/>
      <c r="AO494" s="591"/>
      <c r="AP494" s="591"/>
      <c r="AQ494" s="591"/>
      <c r="AR494" s="591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</row>
    <row r="495" spans="2:57">
      <c r="B495" s="619" t="s">
        <v>561</v>
      </c>
      <c r="C495" s="619"/>
      <c r="D495" s="591"/>
      <c r="E495" s="591"/>
      <c r="F495" s="591"/>
      <c r="G495" s="591"/>
      <c r="H495" s="591"/>
      <c r="I495" s="591"/>
      <c r="J495" s="646"/>
      <c r="K495" s="646"/>
      <c r="L495" s="647"/>
      <c r="M495" s="591"/>
      <c r="N495" s="613"/>
      <c r="O495" s="646"/>
      <c r="P495" s="616"/>
      <c r="Q495" s="616"/>
      <c r="R495" s="616"/>
      <c r="S495" s="616"/>
      <c r="T495" s="616"/>
      <c r="U495" s="616"/>
      <c r="V495" s="616"/>
      <c r="W495" s="616"/>
      <c r="X495" s="616"/>
      <c r="Y495" s="616"/>
      <c r="Z495" s="616"/>
      <c r="AA495" s="616"/>
      <c r="AB495" s="613"/>
      <c r="AC495" s="613"/>
      <c r="AD495" s="613"/>
      <c r="AE495" s="613"/>
      <c r="AF495" s="613"/>
      <c r="AG495" s="613"/>
      <c r="AH495" s="613"/>
      <c r="AI495" s="613"/>
      <c r="AJ495" s="613"/>
      <c r="AK495" s="613"/>
      <c r="AL495" s="613"/>
      <c r="AM495" s="613"/>
      <c r="AN495" s="613"/>
      <c r="AO495" s="613"/>
      <c r="AP495" s="613"/>
      <c r="AQ495" s="613"/>
      <c r="AR495" s="613"/>
      <c r="AS495" s="613"/>
      <c r="AT495" s="613"/>
      <c r="AU495" s="613"/>
      <c r="AV495" s="39"/>
      <c r="AW495" s="39"/>
      <c r="AX495" s="39"/>
      <c r="AY495" s="39"/>
      <c r="AZ495" s="39"/>
      <c r="BA495" s="39"/>
      <c r="BB495" s="39"/>
      <c r="BC495" s="39"/>
      <c r="BD495" s="39"/>
      <c r="BE495" s="613"/>
    </row>
    <row r="496" spans="2:57">
      <c r="B496" s="422">
        <v>1</v>
      </c>
      <c r="C496" s="1249" t="s">
        <v>4393</v>
      </c>
      <c r="D496" s="1249"/>
      <c r="E496" s="1249"/>
      <c r="F496" s="1249"/>
      <c r="G496" s="1249"/>
      <c r="H496" s="1249"/>
      <c r="I496" s="1249"/>
      <c r="J496" s="1249"/>
      <c r="K496" s="1249"/>
      <c r="L496" s="644"/>
      <c r="M496" s="644"/>
      <c r="N496" s="613"/>
      <c r="O496" s="641"/>
      <c r="P496" s="616"/>
      <c r="Q496" s="616"/>
      <c r="R496" s="616"/>
      <c r="S496" s="616"/>
      <c r="T496" s="616"/>
      <c r="U496" s="616"/>
      <c r="V496" s="616"/>
      <c r="W496" s="616"/>
      <c r="X496" s="616"/>
      <c r="Y496" s="616"/>
      <c r="Z496" s="616"/>
      <c r="AA496" s="616"/>
      <c r="AB496" s="613"/>
      <c r="AC496" s="613"/>
      <c r="AD496" s="613"/>
      <c r="AE496" s="613"/>
      <c r="AF496" s="613"/>
      <c r="AG496" s="613"/>
      <c r="AH496" s="613"/>
      <c r="AI496" s="613"/>
      <c r="AJ496" s="613"/>
      <c r="AK496" s="613"/>
      <c r="AL496" s="613"/>
      <c r="AM496" s="613"/>
      <c r="AN496" s="613"/>
      <c r="AO496" s="613"/>
      <c r="AP496" s="613"/>
      <c r="AQ496" s="613"/>
      <c r="AR496" s="613"/>
      <c r="AS496" s="613"/>
      <c r="AT496" s="613"/>
      <c r="AU496" s="613"/>
      <c r="AV496" s="613"/>
      <c r="AW496" s="613"/>
      <c r="AX496" s="613"/>
      <c r="AY496" s="613"/>
      <c r="AZ496" s="613"/>
      <c r="BA496" s="613"/>
      <c r="BB496" s="613"/>
      <c r="BC496" s="613"/>
      <c r="BD496" s="613"/>
      <c r="BE496" s="613"/>
    </row>
    <row r="498" spans="2:57">
      <c r="B498" s="28" t="s">
        <v>126</v>
      </c>
      <c r="C498" s="28"/>
      <c r="D498" s="614"/>
      <c r="E498" s="30" t="s">
        <v>511</v>
      </c>
      <c r="F498" s="31" t="s">
        <v>965</v>
      </c>
      <c r="G498" s="591"/>
      <c r="H498" s="33"/>
      <c r="I498" s="615"/>
      <c r="J498" s="35" t="s">
        <v>513</v>
      </c>
      <c r="K498" s="36" t="s">
        <v>511</v>
      </c>
      <c r="L498" s="516">
        <v>45287.840277777781</v>
      </c>
      <c r="M498" s="591"/>
      <c r="N498" s="591"/>
      <c r="O498" s="206"/>
      <c r="P498" s="205"/>
      <c r="Q498" s="616"/>
      <c r="R498" s="204"/>
      <c r="S498" s="617"/>
      <c r="T498" s="613"/>
      <c r="U498" s="613"/>
      <c r="V498" s="613"/>
      <c r="W498" s="613"/>
      <c r="X498" s="613"/>
      <c r="Y498" s="613"/>
      <c r="Z498" s="613"/>
      <c r="AA498" s="613"/>
      <c r="AB498" s="616"/>
      <c r="AC498" s="616"/>
      <c r="AD498" s="616"/>
      <c r="AE498" s="616"/>
      <c r="AF498" s="616"/>
      <c r="AG498" s="613"/>
      <c r="AH498" s="613"/>
      <c r="AI498" s="613"/>
      <c r="AJ498" s="613"/>
      <c r="AK498" s="613"/>
      <c r="AL498" s="613"/>
      <c r="AM498" s="613"/>
      <c r="AN498" s="613"/>
      <c r="AO498" s="613"/>
      <c r="AP498" s="613"/>
      <c r="AQ498" s="613"/>
      <c r="AR498" s="613"/>
      <c r="AS498" s="613"/>
      <c r="AT498" s="613"/>
      <c r="AU498" s="613"/>
      <c r="AV498" s="613"/>
      <c r="AW498" s="613"/>
      <c r="AX498" s="613"/>
      <c r="AY498" s="613"/>
      <c r="AZ498" s="613"/>
      <c r="BA498" s="613"/>
      <c r="BB498" s="613"/>
      <c r="BC498" s="613"/>
      <c r="BD498" s="613"/>
      <c r="BE498" s="613"/>
    </row>
    <row r="499" spans="2:57">
      <c r="B499" s="35" t="s">
        <v>514</v>
      </c>
      <c r="C499" s="35"/>
      <c r="D499" s="591"/>
      <c r="E499" s="36" t="s">
        <v>511</v>
      </c>
      <c r="F499" s="311" t="s">
        <v>4392</v>
      </c>
      <c r="G499" s="591"/>
      <c r="H499" s="33"/>
      <c r="I499" s="615"/>
      <c r="J499" s="35" t="s">
        <v>516</v>
      </c>
      <c r="K499" s="36" t="s">
        <v>511</v>
      </c>
      <c r="L499" s="516">
        <f>'VLU 2023 &amp; 2024'!$N$247</f>
        <v>45290.388888888891</v>
      </c>
      <c r="M499" s="591"/>
      <c r="N499" s="591"/>
      <c r="O499" s="206"/>
      <c r="P499" s="205"/>
      <c r="Q499" s="616"/>
      <c r="R499" s="204"/>
      <c r="S499" s="617"/>
      <c r="T499" s="613"/>
      <c r="U499" s="613"/>
      <c r="V499" s="613"/>
      <c r="W499" s="613"/>
      <c r="X499" s="613"/>
      <c r="Y499" s="613"/>
      <c r="Z499" s="613"/>
      <c r="AA499" s="613"/>
      <c r="AB499" s="616"/>
      <c r="AC499" s="616"/>
      <c r="AD499" s="616"/>
      <c r="AE499" s="616"/>
      <c r="AF499" s="616"/>
      <c r="AG499" s="613"/>
      <c r="AH499" s="613"/>
      <c r="AI499" s="613"/>
      <c r="AJ499" s="613"/>
      <c r="AK499" s="613"/>
      <c r="AL499" s="613"/>
      <c r="AM499" s="613"/>
      <c r="AN499" s="613"/>
      <c r="AO499" s="613"/>
      <c r="AP499" s="613"/>
      <c r="AQ499" s="613"/>
      <c r="AR499" s="613"/>
      <c r="AS499" s="613"/>
      <c r="AT499" s="613"/>
      <c r="AU499" s="613"/>
      <c r="AV499" s="613"/>
      <c r="AW499" s="613"/>
      <c r="AX499" s="613"/>
      <c r="AY499" s="613"/>
      <c r="AZ499" s="613"/>
      <c r="BA499" s="613"/>
      <c r="BB499" s="613"/>
      <c r="BC499" s="613"/>
      <c r="BD499" s="613"/>
      <c r="BE499" s="613"/>
    </row>
    <row r="500" spans="2:57">
      <c r="B500" s="35" t="s">
        <v>517</v>
      </c>
      <c r="C500" s="35"/>
      <c r="D500" s="591"/>
      <c r="E500" s="36" t="s">
        <v>511</v>
      </c>
      <c r="F500" s="516">
        <v>45281.033333333333</v>
      </c>
      <c r="G500" s="591"/>
      <c r="H500" s="33"/>
      <c r="I500" s="615"/>
      <c r="J500" s="35" t="s">
        <v>518</v>
      </c>
      <c r="K500" s="36" t="s">
        <v>511</v>
      </c>
      <c r="L500" s="692">
        <v>53250</v>
      </c>
      <c r="M500" s="619" t="s">
        <v>519</v>
      </c>
      <c r="N500" s="619"/>
      <c r="O500" s="206"/>
      <c r="P500" s="205"/>
      <c r="Q500" s="616"/>
      <c r="R500" s="204"/>
      <c r="S500" s="617"/>
      <c r="T500" s="613"/>
      <c r="U500" s="613"/>
      <c r="V500" s="613"/>
      <c r="W500" s="613"/>
      <c r="X500" s="613"/>
      <c r="Y500" s="613"/>
      <c r="Z500" s="613"/>
      <c r="AA500" s="613"/>
      <c r="AB500" s="616"/>
      <c r="AC500" s="616"/>
      <c r="AD500" s="616"/>
      <c r="AE500" s="616"/>
      <c r="AF500" s="616"/>
      <c r="AG500" s="613"/>
      <c r="AH500" s="613"/>
      <c r="AI500" s="613"/>
      <c r="AJ500" s="613"/>
      <c r="AK500" s="613"/>
      <c r="AL500" s="613"/>
      <c r="AM500" s="613"/>
      <c r="AN500" s="613"/>
      <c r="AO500" s="613"/>
      <c r="AP500" s="613"/>
      <c r="AQ500" s="613"/>
      <c r="AR500" s="613"/>
      <c r="AS500" s="613"/>
      <c r="AT500" s="613"/>
      <c r="AU500" s="613"/>
      <c r="AV500" s="613"/>
      <c r="AW500" s="613"/>
      <c r="AX500" s="613"/>
      <c r="AY500" s="613"/>
      <c r="AZ500" s="613"/>
      <c r="BA500" s="613"/>
      <c r="BB500" s="613"/>
      <c r="BC500" s="613"/>
      <c r="BD500" s="613"/>
      <c r="BE500" s="613"/>
    </row>
    <row r="501" spans="2:57">
      <c r="B501" s="35" t="s">
        <v>520</v>
      </c>
      <c r="C501" s="35"/>
      <c r="D501" s="591"/>
      <c r="E501" s="36" t="s">
        <v>511</v>
      </c>
      <c r="F501" s="37" t="s">
        <v>12</v>
      </c>
      <c r="G501" s="591"/>
      <c r="H501" s="33"/>
      <c r="I501" s="615"/>
      <c r="J501" s="35" t="s">
        <v>521</v>
      </c>
      <c r="K501" s="36" t="s">
        <v>511</v>
      </c>
      <c r="L501" s="620" t="s">
        <v>3205</v>
      </c>
      <c r="M501" s="591"/>
      <c r="N501" s="591"/>
      <c r="O501" s="206"/>
      <c r="P501" s="616"/>
      <c r="Q501" s="616"/>
      <c r="R501" s="204"/>
      <c r="S501" s="617"/>
      <c r="T501" s="613"/>
      <c r="U501" s="613"/>
      <c r="V501" s="613"/>
      <c r="W501" s="613"/>
      <c r="X501" s="613"/>
      <c r="Y501" s="613"/>
      <c r="Z501" s="613"/>
      <c r="AA501" s="613"/>
      <c r="AB501" s="616"/>
      <c r="AC501" s="616"/>
      <c r="AD501" s="616"/>
      <c r="AE501" s="616"/>
      <c r="AF501" s="616"/>
      <c r="AG501" s="613"/>
      <c r="AH501" s="613"/>
      <c r="AI501" s="613"/>
      <c r="AJ501" s="613"/>
      <c r="AK501" s="613"/>
      <c r="AL501" s="613"/>
      <c r="AM501" s="613"/>
      <c r="AN501" s="613"/>
      <c r="AO501" s="613"/>
      <c r="AP501" s="613"/>
      <c r="AQ501" s="613"/>
      <c r="AR501" s="613"/>
      <c r="AS501" s="613"/>
      <c r="AT501" s="613"/>
      <c r="AU501" s="613"/>
      <c r="AV501" s="613"/>
      <c r="AW501" s="613"/>
      <c r="AX501" s="613"/>
      <c r="AY501" s="613"/>
      <c r="AZ501" s="613"/>
      <c r="BA501" s="613"/>
      <c r="BB501" s="613"/>
      <c r="BC501" s="613"/>
      <c r="BD501" s="613"/>
      <c r="BE501" s="613"/>
    </row>
    <row r="502" spans="2:57">
      <c r="B502" s="35" t="s">
        <v>523</v>
      </c>
      <c r="C502" s="35"/>
      <c r="D502" s="591"/>
      <c r="E502" s="36" t="s">
        <v>511</v>
      </c>
      <c r="F502" s="37" t="s">
        <v>69</v>
      </c>
      <c r="G502" s="591"/>
      <c r="H502" s="33"/>
      <c r="I502" s="615"/>
      <c r="J502" s="35" t="s">
        <v>524</v>
      </c>
      <c r="K502" s="36" t="s">
        <v>511</v>
      </c>
      <c r="L502" s="621" t="s">
        <v>15</v>
      </c>
      <c r="M502" s="611"/>
      <c r="N502" s="611"/>
      <c r="O502" s="206"/>
      <c r="P502" s="205"/>
      <c r="Q502" s="616"/>
      <c r="R502" s="204"/>
      <c r="S502" s="617"/>
      <c r="T502" s="613"/>
      <c r="U502" s="613"/>
      <c r="V502" s="613"/>
      <c r="W502" s="613"/>
      <c r="X502" s="613"/>
      <c r="Y502" s="613"/>
      <c r="Z502" s="613"/>
      <c r="AA502" s="613"/>
      <c r="AB502" s="616"/>
      <c r="AC502" s="616"/>
      <c r="AD502" s="616"/>
      <c r="AE502" s="616"/>
      <c r="AF502" s="616"/>
      <c r="AG502" s="613"/>
      <c r="AH502" s="613"/>
      <c r="AI502" s="613"/>
      <c r="AJ502" s="613"/>
      <c r="AK502" s="613"/>
      <c r="AL502" s="613"/>
      <c r="AM502" s="613"/>
      <c r="AN502" s="613"/>
      <c r="AO502" s="613"/>
      <c r="AP502" s="613"/>
      <c r="AQ502" s="613"/>
      <c r="AR502" s="613"/>
      <c r="AS502" s="613"/>
      <c r="AT502" s="613"/>
      <c r="AU502" s="613"/>
      <c r="AV502" s="613"/>
      <c r="AW502" s="613"/>
      <c r="AX502" s="613"/>
      <c r="AY502" s="613"/>
      <c r="AZ502" s="613"/>
      <c r="BA502" s="613"/>
      <c r="BB502" s="613"/>
      <c r="BC502" s="613"/>
      <c r="BD502" s="613"/>
      <c r="BE502" s="613"/>
    </row>
    <row r="503" spans="2:57">
      <c r="B503" s="35" t="s">
        <v>2</v>
      </c>
      <c r="C503" s="35"/>
      <c r="D503" s="591"/>
      <c r="E503" s="36" t="s">
        <v>511</v>
      </c>
      <c r="F503" s="37" t="s">
        <v>31</v>
      </c>
      <c r="G503" s="591"/>
      <c r="H503" s="33"/>
      <c r="I503" s="622"/>
      <c r="J503" s="35"/>
      <c r="K503" s="36"/>
      <c r="L503" s="211"/>
      <c r="M503" s="613"/>
      <c r="N503" s="613"/>
      <c r="O503" s="35"/>
      <c r="P503" s="611"/>
      <c r="Q503" s="611"/>
      <c r="R503" s="611"/>
      <c r="S503" s="615"/>
      <c r="T503" s="613"/>
      <c r="U503" s="613"/>
      <c r="V503" s="613"/>
      <c r="W503" s="613"/>
      <c r="X503" s="613"/>
      <c r="Y503" s="613"/>
      <c r="Z503" s="613"/>
      <c r="AA503" s="613"/>
      <c r="AB503" s="615"/>
      <c r="AC503" s="615"/>
      <c r="AD503" s="615"/>
      <c r="AE503" s="615"/>
      <c r="AF503" s="615"/>
      <c r="AG503" s="615"/>
      <c r="AH503" s="615"/>
      <c r="AI503" s="615"/>
      <c r="AJ503" s="615"/>
      <c r="AK503" s="615"/>
      <c r="AL503" s="615"/>
      <c r="AM503" s="615"/>
      <c r="AN503" s="615"/>
      <c r="AO503" s="613"/>
      <c r="AP503" s="613"/>
      <c r="AQ503" s="613"/>
      <c r="AR503" s="613"/>
      <c r="AS503" s="613"/>
      <c r="AT503" s="613"/>
      <c r="AU503" s="613"/>
      <c r="AV503" s="613"/>
      <c r="AW503" s="613"/>
      <c r="AX503" s="613"/>
      <c r="AY503" s="613"/>
      <c r="AZ503" s="613"/>
      <c r="BA503" s="613"/>
      <c r="BB503" s="613"/>
      <c r="BC503" s="613"/>
      <c r="BD503" s="613"/>
      <c r="BE503" s="613"/>
    </row>
    <row r="504" spans="2:57">
      <c r="B504" s="613"/>
      <c r="C504" s="613"/>
      <c r="D504" s="613"/>
      <c r="E504" s="613"/>
      <c r="F504" s="613"/>
      <c r="G504" s="613"/>
      <c r="H504" s="613"/>
      <c r="I504" s="622"/>
      <c r="J504" s="35"/>
      <c r="K504" s="35"/>
      <c r="L504" s="621"/>
      <c r="M504" s="611"/>
      <c r="N504" s="611"/>
      <c r="O504" s="35"/>
      <c r="P504" s="611"/>
      <c r="Q504" s="611"/>
      <c r="R504" s="611"/>
      <c r="S504" s="615"/>
      <c r="T504" s="1317" t="s">
        <v>87</v>
      </c>
      <c r="U504" s="1317"/>
      <c r="V504" s="1317"/>
      <c r="W504" s="1317"/>
      <c r="X504" s="1317"/>
      <c r="Y504" s="1317" t="s">
        <v>73</v>
      </c>
      <c r="Z504" s="1317"/>
      <c r="AA504" s="1317"/>
      <c r="AB504" s="1317" t="s">
        <v>74</v>
      </c>
      <c r="AC504" s="1317"/>
      <c r="AD504" s="623" t="s">
        <v>85</v>
      </c>
      <c r="AE504" s="854" t="s">
        <v>77</v>
      </c>
      <c r="AF504" s="1459" t="s">
        <v>525</v>
      </c>
      <c r="AG504" s="1459"/>
      <c r="AH504" s="1459"/>
      <c r="AI504" s="1459"/>
      <c r="AJ504" s="1459"/>
      <c r="AK504" s="1459"/>
      <c r="AL504" s="1459"/>
      <c r="AM504" s="1459"/>
      <c r="AN504" s="1459"/>
      <c r="AO504" s="1459"/>
      <c r="AP504" s="1459"/>
      <c r="AQ504" s="1459"/>
      <c r="AR504" s="1459"/>
      <c r="AS504" s="1459"/>
      <c r="AT504" s="1459"/>
      <c r="AU504" s="1459"/>
      <c r="AV504" s="1459"/>
      <c r="AW504" s="1459"/>
      <c r="AX504" s="1459"/>
      <c r="AY504" s="1459"/>
      <c r="AZ504" s="1459"/>
      <c r="BA504" s="1459"/>
      <c r="BB504" s="1459"/>
      <c r="BC504" s="1459"/>
      <c r="BD504" s="1459"/>
      <c r="BE504" s="613"/>
    </row>
    <row r="505" spans="2:57">
      <c r="B505" s="1318" t="s">
        <v>526</v>
      </c>
      <c r="C505" s="1319"/>
      <c r="D505" s="624" t="s">
        <v>527</v>
      </c>
      <c r="E505" s="624"/>
      <c r="F505" s="624" t="s">
        <v>528</v>
      </c>
      <c r="G505" s="624" t="s">
        <v>529</v>
      </c>
      <c r="H505" s="624" t="s">
        <v>530</v>
      </c>
      <c r="I505" s="624" t="s">
        <v>531</v>
      </c>
      <c r="J505" s="624" t="s">
        <v>532</v>
      </c>
      <c r="K505" s="624"/>
      <c r="L505" s="624" t="s">
        <v>130</v>
      </c>
      <c r="M505" s="624" t="s">
        <v>533</v>
      </c>
      <c r="N505" s="1040" t="str">
        <f>"On time - "&amp;COUNTIF(N506:N515,"On time")&amp;" from "&amp;ROWS(N506:N515)-COUNTIF(N506:N515," ")</f>
        <v>On time - 0 from 8</v>
      </c>
      <c r="O505" s="626"/>
      <c r="P505" s="627" t="s">
        <v>534</v>
      </c>
      <c r="Q505" s="627" t="s">
        <v>535</v>
      </c>
      <c r="R505" s="627" t="s">
        <v>536</v>
      </c>
      <c r="S505" s="591"/>
      <c r="T505" s="628" t="s">
        <v>537</v>
      </c>
      <c r="U505" s="628" t="s">
        <v>538</v>
      </c>
      <c r="V505" s="628" t="s">
        <v>539</v>
      </c>
      <c r="W505" s="628" t="s">
        <v>540</v>
      </c>
      <c r="X505" s="628" t="s">
        <v>541</v>
      </c>
      <c r="Y505" s="628" t="s">
        <v>167</v>
      </c>
      <c r="Z505" s="628" t="s">
        <v>168</v>
      </c>
      <c r="AA505" s="628" t="s">
        <v>169</v>
      </c>
      <c r="AB505" s="628" t="s">
        <v>235</v>
      </c>
      <c r="AC505" s="628" t="s">
        <v>240</v>
      </c>
      <c r="AD505" s="623" t="s">
        <v>85</v>
      </c>
      <c r="AE505" s="628" t="s">
        <v>139</v>
      </c>
      <c r="AF505" s="855" t="s">
        <v>72</v>
      </c>
      <c r="AG505" s="855" t="s">
        <v>88</v>
      </c>
      <c r="AH505" s="855" t="s">
        <v>75</v>
      </c>
      <c r="AI505" s="855" t="s">
        <v>543</v>
      </c>
      <c r="AJ505" s="855" t="s">
        <v>78</v>
      </c>
      <c r="AK505" s="855" t="s">
        <v>76</v>
      </c>
      <c r="AL505" s="855" t="s">
        <v>544</v>
      </c>
      <c r="AM505" s="855" t="s">
        <v>545</v>
      </c>
      <c r="AN505" s="855" t="s">
        <v>86</v>
      </c>
      <c r="AO505" s="855" t="s">
        <v>83</v>
      </c>
      <c r="AP505" s="855" t="s">
        <v>84</v>
      </c>
      <c r="AQ505" s="855" t="s">
        <v>546</v>
      </c>
      <c r="AR505" s="855" t="s">
        <v>81</v>
      </c>
      <c r="AS505" s="855" t="s">
        <v>80</v>
      </c>
      <c r="AT505" s="855" t="s">
        <v>82</v>
      </c>
      <c r="AU505" s="855" t="s">
        <v>181</v>
      </c>
      <c r="AV505" s="855" t="s">
        <v>183</v>
      </c>
      <c r="AW505" s="855" t="s">
        <v>547</v>
      </c>
      <c r="AX505" s="855" t="s">
        <v>182</v>
      </c>
      <c r="AY505" s="855" t="s">
        <v>172</v>
      </c>
      <c r="AZ505" s="855" t="s">
        <v>173</v>
      </c>
      <c r="BA505" s="855" t="s">
        <v>184</v>
      </c>
      <c r="BB505" s="855" t="s">
        <v>100</v>
      </c>
      <c r="BC505" s="855" t="s">
        <v>913</v>
      </c>
      <c r="BD505" s="855" t="s">
        <v>2747</v>
      </c>
      <c r="BE505" s="613"/>
    </row>
    <row r="506" spans="2:57">
      <c r="B506" s="1315" t="s">
        <v>548</v>
      </c>
      <c r="C506" s="1316"/>
      <c r="D506" s="501" t="s">
        <v>3815</v>
      </c>
      <c r="E506" s="501"/>
      <c r="F506" s="501" t="s">
        <v>301</v>
      </c>
      <c r="G506" s="501" t="s">
        <v>302</v>
      </c>
      <c r="H506" s="629">
        <v>9089.0380000000005</v>
      </c>
      <c r="I506" s="584" t="s">
        <v>235</v>
      </c>
      <c r="J506" s="504">
        <v>45286.21875</v>
      </c>
      <c r="K506" s="504"/>
      <c r="L506" s="574" t="s">
        <v>192</v>
      </c>
      <c r="M506" s="574" t="s">
        <v>192</v>
      </c>
      <c r="N506" s="505" t="str">
        <f>IF(ISBLANK(J506)," ",IF(J506&lt;$F$500,"On time",(IF(DAY(J506-$F$500)&lt;1,"On time",(IF(J506&gt;$F$500,"DELAY ( "&amp;DAY(J506-$F$500)&amp;" day "&amp;HOUR(J506-$F$500)&amp;" hour "&amp;MINUTE(J506-$F$500)&amp;" minute )","xxx"))))))</f>
        <v>DELAY ( 5 day 4 hour 27 minute )</v>
      </c>
      <c r="O506" s="597"/>
      <c r="P506" s="507" t="s">
        <v>551</v>
      </c>
      <c r="Q506" s="507" t="s">
        <v>551</v>
      </c>
      <c r="R506" s="507" t="s">
        <v>551</v>
      </c>
      <c r="S506" s="598"/>
      <c r="T506" s="599"/>
      <c r="U506" s="599"/>
      <c r="V506" s="599"/>
      <c r="W506" s="599"/>
      <c r="X506" s="599"/>
      <c r="Y506" s="599"/>
      <c r="Z506" s="599"/>
      <c r="AA506" s="599"/>
      <c r="AB506" s="599">
        <f>H506</f>
        <v>9089.0380000000005</v>
      </c>
      <c r="AC506" s="599"/>
      <c r="AD506" s="599"/>
      <c r="AE506" s="599"/>
      <c r="AF506" s="599"/>
      <c r="AG506" s="599"/>
      <c r="AH506" s="599"/>
      <c r="AI506" s="599"/>
      <c r="AJ506" s="599"/>
      <c r="AK506" s="598"/>
      <c r="AL506" s="599"/>
      <c r="AM506" s="599"/>
      <c r="AN506" s="599"/>
      <c r="AO506" s="599"/>
      <c r="AP506" s="599"/>
      <c r="AQ506" s="599"/>
      <c r="AR506" s="599"/>
      <c r="AS506" s="599"/>
      <c r="AT506" s="599"/>
      <c r="AU506" s="599"/>
      <c r="AV506" s="599"/>
      <c r="AW506" s="599"/>
      <c r="AX506" s="598"/>
      <c r="AY506" s="599"/>
      <c r="AZ506" s="599"/>
      <c r="BA506" s="599"/>
      <c r="BB506" s="599"/>
      <c r="BC506" s="599"/>
      <c r="BD506" s="599"/>
      <c r="BE506" s="598"/>
    </row>
    <row r="507" spans="2:57">
      <c r="B507" s="1315" t="s">
        <v>548</v>
      </c>
      <c r="C507" s="1316"/>
      <c r="D507" s="501" t="s">
        <v>3816</v>
      </c>
      <c r="E507" s="501"/>
      <c r="F507" s="501" t="s">
        <v>2404</v>
      </c>
      <c r="G507" s="501" t="s">
        <v>2405</v>
      </c>
      <c r="H507" s="629">
        <v>10462.859</v>
      </c>
      <c r="I507" s="584" t="s">
        <v>235</v>
      </c>
      <c r="J507" s="504">
        <v>45287.125</v>
      </c>
      <c r="K507" s="574"/>
      <c r="L507" s="574" t="s">
        <v>192</v>
      </c>
      <c r="M507" s="574" t="s">
        <v>192</v>
      </c>
      <c r="N507" s="505" t="str">
        <f t="shared" ref="N507:N515" si="41">IF(ISBLANK(J507)," ",IF(J507&lt;$F$500,"On time",(IF(DAY(J507-$F$500)&lt;1,"On time",(IF(J507&gt;$F$500,"DELAY ( "&amp;DAY(J507-$F$500)&amp;" day "&amp;HOUR(J507-$F$500)&amp;" hour "&amp;MINUTE(J507-$F$500)&amp;" minute )","xxx"))))))</f>
        <v>DELAY ( 6 day 2 hour 12 minute )</v>
      </c>
      <c r="O507" s="597"/>
      <c r="P507" s="507" t="s">
        <v>551</v>
      </c>
      <c r="Q507" s="507" t="s">
        <v>551</v>
      </c>
      <c r="R507" s="507" t="s">
        <v>551</v>
      </c>
      <c r="S507" s="598"/>
      <c r="T507" s="599"/>
      <c r="U507" s="599"/>
      <c r="V507" s="599"/>
      <c r="W507" s="599"/>
      <c r="X507" s="599"/>
      <c r="Y507" s="599"/>
      <c r="Z507" s="599"/>
      <c r="AA507" s="599"/>
      <c r="AB507" s="599">
        <f>H507</f>
        <v>10462.859</v>
      </c>
      <c r="AC507" s="599"/>
      <c r="AD507" s="599"/>
      <c r="AE507" s="599"/>
      <c r="AF507" s="599"/>
      <c r="AG507" s="599"/>
      <c r="AH507" s="599"/>
      <c r="AI507" s="599"/>
      <c r="AJ507" s="599"/>
      <c r="AK507" s="599"/>
      <c r="AL507" s="599"/>
      <c r="AM507" s="599"/>
      <c r="AN507" s="599"/>
      <c r="AO507" s="599"/>
      <c r="AP507" s="599"/>
      <c r="AQ507" s="599"/>
      <c r="AR507" s="599"/>
      <c r="AS507" s="599"/>
      <c r="AT507" s="599"/>
      <c r="AU507" s="599"/>
      <c r="AV507" s="599"/>
      <c r="AW507" s="599"/>
      <c r="AX507" s="599"/>
      <c r="AY507" s="599"/>
      <c r="AZ507" s="599"/>
      <c r="BA507" s="599"/>
      <c r="BB507" s="599"/>
      <c r="BC507" s="599"/>
      <c r="BD507" s="599"/>
      <c r="BE507" s="598"/>
    </row>
    <row r="508" spans="2:57">
      <c r="B508" s="1315" t="s">
        <v>548</v>
      </c>
      <c r="C508" s="1316"/>
      <c r="D508" s="501" t="s">
        <v>3819</v>
      </c>
      <c r="E508" s="501"/>
      <c r="F508" s="501" t="s">
        <v>429</v>
      </c>
      <c r="G508" s="501" t="s">
        <v>430</v>
      </c>
      <c r="H508" s="629">
        <v>7529.1959999999999</v>
      </c>
      <c r="I508" s="584" t="s">
        <v>235</v>
      </c>
      <c r="J508" s="504">
        <v>45287.395833333336</v>
      </c>
      <c r="K508" s="574"/>
      <c r="L508" s="574" t="s">
        <v>192</v>
      </c>
      <c r="M508" s="574" t="s">
        <v>192</v>
      </c>
      <c r="N508" s="505" t="str">
        <f t="shared" si="41"/>
        <v>DELAY ( 6 day 8 hour 42 minute )</v>
      </c>
      <c r="O508" s="597"/>
      <c r="P508" s="507" t="s">
        <v>551</v>
      </c>
      <c r="Q508" s="507" t="s">
        <v>551</v>
      </c>
      <c r="R508" s="507" t="s">
        <v>551</v>
      </c>
      <c r="S508" s="598"/>
      <c r="T508" s="599"/>
      <c r="U508" s="599"/>
      <c r="V508" s="599"/>
      <c r="W508" s="599"/>
      <c r="X508" s="599"/>
      <c r="Y508" s="599"/>
      <c r="Z508" s="599"/>
      <c r="AA508" s="599"/>
      <c r="AB508" s="599">
        <f>H508</f>
        <v>7529.1959999999999</v>
      </c>
      <c r="AC508" s="599"/>
      <c r="AD508" s="599"/>
      <c r="AE508" s="599"/>
      <c r="AF508" s="599"/>
      <c r="AG508" s="599"/>
      <c r="AH508" s="599"/>
      <c r="AI508" s="599"/>
      <c r="AJ508" s="599"/>
      <c r="AK508" s="598"/>
      <c r="AL508" s="599"/>
      <c r="AM508" s="599"/>
      <c r="AN508" s="599"/>
      <c r="AO508" s="599"/>
      <c r="AP508" s="599"/>
      <c r="AQ508" s="599"/>
      <c r="AR508" s="599"/>
      <c r="AS508" s="599"/>
      <c r="AT508" s="599"/>
      <c r="AU508" s="599"/>
      <c r="AV508" s="599"/>
      <c r="AW508" s="599"/>
      <c r="AX508" s="599"/>
      <c r="AY508" s="599"/>
      <c r="AZ508" s="599"/>
      <c r="BA508" s="599"/>
      <c r="BB508" s="599"/>
      <c r="BC508" s="599"/>
      <c r="BD508" s="599"/>
      <c r="BE508" s="598"/>
    </row>
    <row r="509" spans="2:57">
      <c r="B509" s="1315" t="s">
        <v>548</v>
      </c>
      <c r="C509" s="1316"/>
      <c r="D509" s="501" t="s">
        <v>3800</v>
      </c>
      <c r="E509" s="501"/>
      <c r="F509" s="501" t="s">
        <v>343</v>
      </c>
      <c r="G509" s="501" t="s">
        <v>344</v>
      </c>
      <c r="H509" s="629">
        <v>3257.1840000000002</v>
      </c>
      <c r="I509" s="584" t="s">
        <v>235</v>
      </c>
      <c r="J509" s="504">
        <v>45288.246527777781</v>
      </c>
      <c r="K509" s="574"/>
      <c r="L509" s="574" t="s">
        <v>192</v>
      </c>
      <c r="M509" s="574" t="s">
        <v>192</v>
      </c>
      <c r="N509" s="505" t="str">
        <f t="shared" si="41"/>
        <v>DELAY ( 7 day 5 hour 7 minute )</v>
      </c>
      <c r="O509" s="597"/>
      <c r="P509" s="507" t="s">
        <v>551</v>
      </c>
      <c r="Q509" s="507" t="s">
        <v>551</v>
      </c>
      <c r="R509" s="507" t="s">
        <v>551</v>
      </c>
      <c r="S509" s="598"/>
      <c r="T509" s="599"/>
      <c r="U509" s="599"/>
      <c r="V509" s="599"/>
      <c r="W509" s="599"/>
      <c r="X509" s="599"/>
      <c r="Y509" s="599"/>
      <c r="Z509" s="599"/>
      <c r="AA509" s="599"/>
      <c r="AB509" s="599">
        <f>H509</f>
        <v>3257.1840000000002</v>
      </c>
      <c r="AC509" s="599"/>
      <c r="AD509" s="599"/>
      <c r="AE509" s="599"/>
      <c r="AF509" s="599"/>
      <c r="AG509" s="599"/>
      <c r="AH509" s="599"/>
      <c r="AI509" s="599"/>
      <c r="AJ509" s="599"/>
      <c r="AK509" s="599"/>
      <c r="AL509" s="599"/>
      <c r="AM509" s="599"/>
      <c r="AN509" s="599"/>
      <c r="AO509" s="599"/>
      <c r="AP509" s="599"/>
      <c r="AQ509" s="599"/>
      <c r="AR509" s="599"/>
      <c r="AS509" s="599"/>
      <c r="AT509" s="599"/>
      <c r="AU509" s="599"/>
      <c r="AV509" s="599"/>
      <c r="AW509" s="599"/>
      <c r="AX509" s="599"/>
      <c r="AY509" s="599"/>
      <c r="AZ509" s="599"/>
      <c r="BA509" s="599"/>
      <c r="BB509" s="599"/>
      <c r="BC509" s="599"/>
      <c r="BD509" s="599"/>
      <c r="BE509" s="598"/>
    </row>
    <row r="510" spans="2:57">
      <c r="B510" s="1315" t="s">
        <v>548</v>
      </c>
      <c r="C510" s="1316"/>
      <c r="D510" s="501" t="s">
        <v>3820</v>
      </c>
      <c r="E510" s="501"/>
      <c r="F510" s="501" t="s">
        <v>208</v>
      </c>
      <c r="G510" s="501" t="s">
        <v>328</v>
      </c>
      <c r="H510" s="629">
        <v>7433.1760000000004</v>
      </c>
      <c r="I510" s="584" t="s">
        <v>240</v>
      </c>
      <c r="J510" s="504">
        <v>45287.375</v>
      </c>
      <c r="K510" s="574"/>
      <c r="L510" s="574" t="s">
        <v>192</v>
      </c>
      <c r="M510" s="574" t="s">
        <v>192</v>
      </c>
      <c r="N510" s="505" t="str">
        <f t="shared" si="41"/>
        <v>DELAY ( 6 day 8 hour 12 minute )</v>
      </c>
      <c r="O510" s="597"/>
      <c r="P510" s="507" t="s">
        <v>551</v>
      </c>
      <c r="Q510" s="507" t="s">
        <v>551</v>
      </c>
      <c r="R510" s="507" t="s">
        <v>551</v>
      </c>
      <c r="S510" s="598"/>
      <c r="T510" s="599"/>
      <c r="U510" s="599"/>
      <c r="V510" s="599"/>
      <c r="W510" s="599"/>
      <c r="X510" s="599"/>
      <c r="Y510" s="599"/>
      <c r="Z510" s="598"/>
      <c r="AA510" s="599"/>
      <c r="AB510" s="598"/>
      <c r="AC510" s="599">
        <f>H510</f>
        <v>7433.1760000000004</v>
      </c>
      <c r="AD510" s="599"/>
      <c r="AE510" s="599"/>
      <c r="AF510" s="599"/>
      <c r="AG510" s="599"/>
      <c r="AH510" s="599"/>
      <c r="AI510" s="599"/>
      <c r="AJ510" s="599"/>
      <c r="AK510" s="599"/>
      <c r="AL510" s="599"/>
      <c r="AM510" s="599"/>
      <c r="AN510" s="599"/>
      <c r="AO510" s="599"/>
      <c r="AP510" s="599"/>
      <c r="AQ510" s="599"/>
      <c r="AR510" s="599"/>
      <c r="AS510" s="599"/>
      <c r="AT510" s="599"/>
      <c r="AU510" s="599"/>
      <c r="AV510" s="599"/>
      <c r="AW510" s="599"/>
      <c r="AX510" s="599"/>
      <c r="AY510" s="599"/>
      <c r="AZ510" s="599"/>
      <c r="BA510" s="599"/>
      <c r="BB510" s="599"/>
      <c r="BC510" s="599"/>
      <c r="BD510" s="599"/>
      <c r="BE510" s="598"/>
    </row>
    <row r="511" spans="2:57">
      <c r="B511" s="1315" t="s">
        <v>548</v>
      </c>
      <c r="C511" s="1316"/>
      <c r="D511" s="501" t="s">
        <v>3817</v>
      </c>
      <c r="E511" s="501"/>
      <c r="F511" s="501" t="s">
        <v>260</v>
      </c>
      <c r="G511" s="501" t="s">
        <v>261</v>
      </c>
      <c r="H511" s="629">
        <v>7553.9709999999995</v>
      </c>
      <c r="I511" s="584" t="s">
        <v>235</v>
      </c>
      <c r="J511" s="504">
        <v>45288.84375</v>
      </c>
      <c r="K511" s="574"/>
      <c r="L511" s="574" t="s">
        <v>192</v>
      </c>
      <c r="M511" s="574" t="s">
        <v>192</v>
      </c>
      <c r="N511" s="505" t="str">
        <f t="shared" si="41"/>
        <v>DELAY ( 7 day 19 hour 27 minute )</v>
      </c>
      <c r="O511" s="1155"/>
      <c r="P511" s="507" t="s">
        <v>551</v>
      </c>
      <c r="Q511" s="507" t="s">
        <v>551</v>
      </c>
      <c r="R511" s="507" t="s">
        <v>551</v>
      </c>
      <c r="S511" s="1156"/>
      <c r="T511" s="1157"/>
      <c r="U511" s="1157"/>
      <c r="V511" s="1157"/>
      <c r="W511" s="1157"/>
      <c r="X511" s="1157"/>
      <c r="Y511" s="1157"/>
      <c r="Z511" s="1157"/>
      <c r="AA511" s="1157"/>
      <c r="AB511" s="1157">
        <f>H511</f>
        <v>7553.9709999999995</v>
      </c>
      <c r="AC511" s="1157"/>
      <c r="AD511" s="1157"/>
      <c r="AE511" s="1157"/>
      <c r="AF511" s="1157"/>
      <c r="AG511" s="1157"/>
      <c r="AH511" s="1157"/>
      <c r="AI511" s="1157"/>
      <c r="AJ511" s="1157"/>
      <c r="AK511" s="1157"/>
      <c r="AL511" s="1157"/>
      <c r="AM511" s="1157"/>
      <c r="AN511" s="1157"/>
      <c r="AO511" s="1157"/>
      <c r="AP511" s="1156"/>
      <c r="AQ511" s="1157"/>
      <c r="AR511" s="1157"/>
      <c r="AS511" s="1157"/>
      <c r="AT511" s="1157"/>
      <c r="AU511" s="1157"/>
      <c r="AV511" s="1157"/>
      <c r="AW511" s="1157"/>
      <c r="AX511" s="1157"/>
      <c r="AY511" s="1157"/>
      <c r="AZ511" s="1157"/>
      <c r="BA511" s="1157"/>
      <c r="BB511" s="1157"/>
      <c r="BC511" s="1157"/>
      <c r="BD511" s="1157"/>
      <c r="BE511" s="1156"/>
    </row>
    <row r="512" spans="2:57">
      <c r="B512" s="1315" t="s">
        <v>548</v>
      </c>
      <c r="C512" s="1316"/>
      <c r="D512" s="501" t="s">
        <v>3811</v>
      </c>
      <c r="E512" s="501"/>
      <c r="F512" s="501" t="s">
        <v>367</v>
      </c>
      <c r="G512" s="501" t="s">
        <v>368</v>
      </c>
      <c r="H512" s="629">
        <f>1962.443</f>
        <v>1962.443</v>
      </c>
      <c r="I512" s="584" t="s">
        <v>235</v>
      </c>
      <c r="J512" s="504">
        <v>45289.611111111109</v>
      </c>
      <c r="K512" s="574"/>
      <c r="L512" s="574" t="s">
        <v>192</v>
      </c>
      <c r="M512" s="574" t="s">
        <v>192</v>
      </c>
      <c r="N512" s="505" t="str">
        <f t="shared" si="41"/>
        <v>DELAY ( 8 day 13 hour 52 minute )</v>
      </c>
      <c r="O512" s="1155"/>
      <c r="P512" s="507" t="s">
        <v>551</v>
      </c>
      <c r="Q512" s="507" t="s">
        <v>551</v>
      </c>
      <c r="R512" s="507" t="s">
        <v>551</v>
      </c>
      <c r="S512" s="1156"/>
      <c r="T512" s="1157"/>
      <c r="U512" s="1157"/>
      <c r="V512" s="1157"/>
      <c r="W512" s="1157"/>
      <c r="X512" s="1157"/>
      <c r="Y512" s="1157"/>
      <c r="Z512" s="1157"/>
      <c r="AA512" s="1157"/>
      <c r="AB512" s="1157">
        <f>H512</f>
        <v>1962.443</v>
      </c>
      <c r="AC512" s="1157"/>
      <c r="AD512" s="1157"/>
      <c r="AE512" s="1157"/>
      <c r="AF512" s="1157"/>
      <c r="AG512" s="1157"/>
      <c r="AH512" s="1157"/>
      <c r="AI512" s="1157"/>
      <c r="AJ512" s="1157"/>
      <c r="AK512" s="1157"/>
      <c r="AL512" s="1157"/>
      <c r="AM512" s="1157"/>
      <c r="AN512" s="1157"/>
      <c r="AO512" s="1157"/>
      <c r="AP512" s="1157"/>
      <c r="AQ512" s="1157"/>
      <c r="AR512" s="1157"/>
      <c r="AS512" s="1157"/>
      <c r="AT512" s="1157"/>
      <c r="AU512" s="1157"/>
      <c r="AV512" s="1157"/>
      <c r="AW512" s="1157"/>
      <c r="AX512" s="1157"/>
      <c r="AY512" s="1157"/>
      <c r="AZ512" s="1157"/>
      <c r="BA512" s="1157"/>
      <c r="BB512" s="1157"/>
      <c r="BC512" s="1157"/>
      <c r="BD512" s="1157"/>
      <c r="BE512" s="1156"/>
    </row>
    <row r="513" spans="2:57">
      <c r="B513" s="1315" t="s">
        <v>548</v>
      </c>
      <c r="C513" s="1316"/>
      <c r="D513" s="501" t="s">
        <v>3821</v>
      </c>
      <c r="E513" s="501"/>
      <c r="F513" s="501" t="s">
        <v>2156</v>
      </c>
      <c r="G513" s="501" t="s">
        <v>3391</v>
      </c>
      <c r="H513" s="629">
        <f>7515.816-1553.683</f>
        <v>5962.1329999999998</v>
      </c>
      <c r="I513" s="584" t="s">
        <v>235</v>
      </c>
      <c r="J513" s="504">
        <v>45287.756944444445</v>
      </c>
      <c r="K513" s="574"/>
      <c r="L513" s="574" t="s">
        <v>192</v>
      </c>
      <c r="M513" s="574" t="s">
        <v>192</v>
      </c>
      <c r="N513" s="505" t="str">
        <f t="shared" si="41"/>
        <v>DELAY ( 6 day 17 hour 22 minute )</v>
      </c>
      <c r="O513" s="597"/>
      <c r="P513" s="507" t="s">
        <v>551</v>
      </c>
      <c r="Q513" s="507" t="s">
        <v>551</v>
      </c>
      <c r="R513" s="507" t="s">
        <v>551</v>
      </c>
      <c r="S513" s="598"/>
      <c r="T513" s="599"/>
      <c r="U513" s="599"/>
      <c r="V513" s="599"/>
      <c r="W513" s="599"/>
      <c r="X513" s="599"/>
      <c r="Y513" s="599"/>
      <c r="Z513" s="599"/>
      <c r="AA513" s="599"/>
      <c r="AB513" s="599">
        <f>H513</f>
        <v>5962.1329999999998</v>
      </c>
      <c r="AC513" s="599"/>
      <c r="AD513" s="599"/>
      <c r="AE513" s="599"/>
      <c r="AF513" s="599"/>
      <c r="AG513" s="599"/>
      <c r="AH513" s="599"/>
      <c r="AI513" s="599"/>
      <c r="AJ513" s="599"/>
      <c r="AK513" s="599"/>
      <c r="AL513" s="599"/>
      <c r="AM513" s="599"/>
      <c r="AN513" s="599"/>
      <c r="AO513" s="599"/>
      <c r="AP513" s="599"/>
      <c r="AQ513" s="599"/>
      <c r="AR513" s="599"/>
      <c r="AS513" s="599"/>
      <c r="AT513" s="599"/>
      <c r="AU513" s="599"/>
      <c r="AV513" s="599"/>
      <c r="AW513" s="599"/>
      <c r="AX513" s="599"/>
      <c r="AY513" s="599"/>
      <c r="AZ513" s="599"/>
      <c r="BA513" s="599"/>
      <c r="BB513" s="599"/>
      <c r="BC513" s="599"/>
      <c r="BD513" s="599"/>
      <c r="BE513" s="598"/>
    </row>
    <row r="514" spans="2:57">
      <c r="B514" s="1258" t="s">
        <v>556</v>
      </c>
      <c r="C514" s="1259"/>
      <c r="D514" s="1259"/>
      <c r="E514" s="1259"/>
      <c r="F514" s="1259"/>
      <c r="G514" s="1260"/>
      <c r="H514" s="863">
        <f>SUM(H506:H513)</f>
        <v>53250</v>
      </c>
      <c r="I514" s="1458"/>
      <c r="J514" s="1458"/>
      <c r="K514" s="1458"/>
      <c r="L514" s="1458"/>
      <c r="M514" s="1458"/>
      <c r="N514" s="505" t="str">
        <f t="shared" si="41"/>
        <v xml:space="preserve"> </v>
      </c>
      <c r="O514" s="212"/>
      <c r="P514" s="590"/>
      <c r="Q514" s="590"/>
      <c r="R514" s="590"/>
      <c r="S514" s="633"/>
      <c r="T514" s="1307"/>
      <c r="U514" s="1308"/>
      <c r="V514" s="1308"/>
      <c r="W514" s="1308"/>
      <c r="X514" s="1308"/>
      <c r="Y514" s="1308"/>
      <c r="Z514" s="1308"/>
      <c r="AA514" s="1308"/>
      <c r="AB514" s="1308"/>
      <c r="AC514" s="1308"/>
      <c r="AD514" s="1308"/>
      <c r="AE514" s="1308"/>
      <c r="AF514" s="1308"/>
      <c r="AG514" s="1308"/>
      <c r="AH514" s="1308"/>
      <c r="AI514" s="1308"/>
      <c r="AJ514" s="1308"/>
      <c r="AK514" s="1308"/>
      <c r="AL514" s="1308"/>
      <c r="AM514" s="1308"/>
      <c r="AN514" s="1308"/>
      <c r="AO514" s="1308"/>
      <c r="AP514" s="1308"/>
      <c r="AQ514" s="1308"/>
      <c r="AR514" s="1308"/>
      <c r="AS514" s="1308"/>
      <c r="AT514" s="1308"/>
      <c r="AU514" s="1308"/>
      <c r="AV514" s="1308"/>
      <c r="AW514" s="1308"/>
      <c r="AX514" s="1308"/>
      <c r="AY514" s="1308"/>
      <c r="AZ514" s="1308"/>
      <c r="BA514" s="1308"/>
      <c r="BB514" s="1308"/>
      <c r="BC514" s="1308"/>
      <c r="BD514" s="1308"/>
      <c r="BE514" s="39"/>
    </row>
    <row r="515" spans="2:57">
      <c r="B515" s="1415" t="s">
        <v>557</v>
      </c>
      <c r="C515" s="1416"/>
      <c r="D515" s="1416"/>
      <c r="E515" s="1416"/>
      <c r="F515" s="1416"/>
      <c r="G515" s="1417"/>
      <c r="H515" s="845">
        <v>53250</v>
      </c>
      <c r="I515" s="1455"/>
      <c r="J515" s="1455"/>
      <c r="K515" s="1455"/>
      <c r="L515" s="1455"/>
      <c r="M515" s="1455"/>
      <c r="N515" s="505" t="str">
        <f t="shared" si="41"/>
        <v xml:space="preserve"> </v>
      </c>
      <c r="O515" s="591"/>
      <c r="P515" s="415"/>
      <c r="Q515" s="415"/>
      <c r="R515" s="415"/>
      <c r="S515" s="740"/>
      <c r="T515" s="592">
        <f t="shared" ref="T515:BD515" si="42">SUM(T506:T513)</f>
        <v>0</v>
      </c>
      <c r="U515" s="592">
        <f t="shared" si="42"/>
        <v>0</v>
      </c>
      <c r="V515" s="592">
        <f t="shared" si="42"/>
        <v>0</v>
      </c>
      <c r="W515" s="592">
        <f t="shared" si="42"/>
        <v>0</v>
      </c>
      <c r="X515" s="592">
        <f t="shared" si="42"/>
        <v>0</v>
      </c>
      <c r="Y515" s="592">
        <f t="shared" si="42"/>
        <v>0</v>
      </c>
      <c r="Z515" s="592">
        <f t="shared" si="42"/>
        <v>0</v>
      </c>
      <c r="AA515" s="592">
        <f t="shared" si="42"/>
        <v>0</v>
      </c>
      <c r="AB515" s="592">
        <f t="shared" si="42"/>
        <v>45816.824000000001</v>
      </c>
      <c r="AC515" s="592">
        <f t="shared" si="42"/>
        <v>7433.1760000000004</v>
      </c>
      <c r="AD515" s="592">
        <f t="shared" si="42"/>
        <v>0</v>
      </c>
      <c r="AE515" s="592">
        <f t="shared" si="42"/>
        <v>0</v>
      </c>
      <c r="AF515" s="592">
        <f t="shared" si="42"/>
        <v>0</v>
      </c>
      <c r="AG515" s="592">
        <f t="shared" si="42"/>
        <v>0</v>
      </c>
      <c r="AH515" s="592">
        <f t="shared" si="42"/>
        <v>0</v>
      </c>
      <c r="AI515" s="592">
        <f t="shared" si="42"/>
        <v>0</v>
      </c>
      <c r="AJ515" s="592">
        <f t="shared" si="42"/>
        <v>0</v>
      </c>
      <c r="AK515" s="592">
        <f t="shared" si="42"/>
        <v>0</v>
      </c>
      <c r="AL515" s="592">
        <f t="shared" si="42"/>
        <v>0</v>
      </c>
      <c r="AM515" s="592">
        <f t="shared" si="42"/>
        <v>0</v>
      </c>
      <c r="AN515" s="592">
        <f t="shared" si="42"/>
        <v>0</v>
      </c>
      <c r="AO515" s="592">
        <f t="shared" si="42"/>
        <v>0</v>
      </c>
      <c r="AP515" s="592">
        <f t="shared" si="42"/>
        <v>0</v>
      </c>
      <c r="AQ515" s="592">
        <f t="shared" si="42"/>
        <v>0</v>
      </c>
      <c r="AR515" s="592">
        <f t="shared" si="42"/>
        <v>0</v>
      </c>
      <c r="AS515" s="592">
        <f t="shared" si="42"/>
        <v>0</v>
      </c>
      <c r="AT515" s="592">
        <f t="shared" si="42"/>
        <v>0</v>
      </c>
      <c r="AU515" s="592">
        <f t="shared" si="42"/>
        <v>0</v>
      </c>
      <c r="AV515" s="592">
        <f t="shared" si="42"/>
        <v>0</v>
      </c>
      <c r="AW515" s="592">
        <f t="shared" si="42"/>
        <v>0</v>
      </c>
      <c r="AX515" s="592">
        <f t="shared" si="42"/>
        <v>0</v>
      </c>
      <c r="AY515" s="592">
        <f t="shared" si="42"/>
        <v>0</v>
      </c>
      <c r="AZ515" s="592">
        <f t="shared" si="42"/>
        <v>0</v>
      </c>
      <c r="BA515" s="592">
        <f t="shared" si="42"/>
        <v>0</v>
      </c>
      <c r="BB515" s="592">
        <f t="shared" si="42"/>
        <v>0</v>
      </c>
      <c r="BC515" s="592">
        <f t="shared" si="42"/>
        <v>0</v>
      </c>
      <c r="BD515" s="592">
        <f t="shared" si="42"/>
        <v>0</v>
      </c>
      <c r="BE515" s="592">
        <f>SUM(T515:BD515)</f>
        <v>53250</v>
      </c>
    </row>
    <row r="516" spans="2:57">
      <c r="B516" s="1415" t="s">
        <v>558</v>
      </c>
      <c r="C516" s="1416"/>
      <c r="D516" s="1416"/>
      <c r="E516" s="1416"/>
      <c r="F516" s="1416"/>
      <c r="G516" s="1417"/>
      <c r="H516" s="712">
        <f>H515-L500</f>
        <v>0</v>
      </c>
      <c r="I516" s="745"/>
      <c r="J516" s="746"/>
      <c r="K516" s="746"/>
      <c r="L516" s="674"/>
      <c r="M516" s="633"/>
      <c r="N516" s="591"/>
      <c r="O516" s="591"/>
      <c r="P516" s="591"/>
      <c r="Q516" s="744"/>
      <c r="R516" s="744"/>
      <c r="S516" s="591"/>
      <c r="T516" s="645"/>
      <c r="U516" s="645"/>
      <c r="V516" s="645"/>
      <c r="W516" s="645"/>
      <c r="X516" s="645"/>
      <c r="Y516" s="645"/>
      <c r="Z516" s="645"/>
      <c r="AA516" s="645"/>
      <c r="AB516" s="645"/>
      <c r="AC516" s="591"/>
      <c r="AD516" s="591"/>
      <c r="AE516" s="591"/>
      <c r="AF516" s="591"/>
      <c r="AG516" s="591"/>
      <c r="AH516" s="591"/>
      <c r="AI516" s="591"/>
      <c r="AJ516" s="591"/>
      <c r="AK516" s="591"/>
      <c r="AL516" s="591"/>
      <c r="AM516" s="591"/>
      <c r="AN516" s="591"/>
      <c r="AO516" s="591"/>
      <c r="AP516" s="591"/>
      <c r="AQ516" s="591"/>
      <c r="AR516" s="591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</row>
    <row r="517" spans="2:57">
      <c r="B517" s="1415" t="s">
        <v>559</v>
      </c>
      <c r="C517" s="1416"/>
      <c r="D517" s="1416"/>
      <c r="E517" s="1416"/>
      <c r="F517" s="1416"/>
      <c r="G517" s="1417"/>
      <c r="H517" s="747">
        <f>H514-H515</f>
        <v>0</v>
      </c>
      <c r="I517" s="745"/>
      <c r="J517" s="746"/>
      <c r="K517" s="746"/>
      <c r="L517" s="674"/>
      <c r="M517" s="633"/>
      <c r="N517" s="613"/>
      <c r="O517" s="591"/>
      <c r="P517" s="591"/>
      <c r="Q517" s="591"/>
      <c r="R517" s="591"/>
      <c r="S517" s="591"/>
      <c r="T517" s="645"/>
      <c r="U517" s="645"/>
      <c r="V517" s="645"/>
      <c r="W517" s="645"/>
      <c r="X517" s="645"/>
      <c r="Y517" s="645"/>
      <c r="Z517" s="645"/>
      <c r="AA517" s="645"/>
      <c r="AB517" s="645"/>
      <c r="AC517" s="591"/>
      <c r="AD517" s="591"/>
      <c r="AE517" s="591"/>
      <c r="AF517" s="591"/>
      <c r="AG517" s="591"/>
      <c r="AH517" s="591"/>
      <c r="AI517" s="591"/>
      <c r="AJ517" s="591"/>
      <c r="AK517" s="591"/>
      <c r="AL517" s="591"/>
      <c r="AM517" s="591"/>
      <c r="AN517" s="591"/>
      <c r="AO517" s="591"/>
      <c r="AP517" s="591"/>
      <c r="AQ517" s="591"/>
      <c r="AR517" s="591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</row>
    <row r="518" spans="2:57" s="39" customFormat="1" ht="12.75" customHeight="1">
      <c r="B518" s="1415" t="s">
        <v>560</v>
      </c>
      <c r="C518" s="1416"/>
      <c r="D518" s="1416"/>
      <c r="E518" s="1416"/>
      <c r="F518" s="1416"/>
      <c r="G518" s="1417"/>
      <c r="H518" s="741">
        <f>H517-1553.683</f>
        <v>-1553.683</v>
      </c>
      <c r="I518" s="641"/>
      <c r="J518" s="642"/>
      <c r="K518" s="642"/>
      <c r="L518" s="499"/>
      <c r="M518" s="613"/>
      <c r="N518" s="613"/>
      <c r="O518" s="613"/>
      <c r="P518" s="613"/>
      <c r="Q518" s="613"/>
      <c r="R518" s="613"/>
      <c r="S518" s="616"/>
      <c r="T518" s="616"/>
      <c r="U518" s="616"/>
      <c r="V518" s="616"/>
      <c r="W518" s="616"/>
      <c r="X518" s="616"/>
      <c r="Y518" s="616"/>
      <c r="Z518" s="616"/>
      <c r="AA518" s="616"/>
      <c r="AB518" s="613"/>
      <c r="AC518" s="613"/>
      <c r="AD518" s="613"/>
      <c r="AE518" s="613"/>
      <c r="AF518" s="613"/>
      <c r="AG518" s="613"/>
      <c r="AH518" s="613"/>
      <c r="AI518" s="613"/>
      <c r="AJ518" s="613"/>
      <c r="AK518" s="613"/>
      <c r="AL518" s="613"/>
      <c r="AM518" s="613"/>
      <c r="AN518" s="613"/>
      <c r="AO518" s="613"/>
      <c r="AP518" s="613"/>
      <c r="AQ518" s="613"/>
      <c r="AR518" s="496"/>
      <c r="AS518" s="496"/>
      <c r="AT518" s="496"/>
      <c r="AU518" s="496"/>
      <c r="AV518" s="496"/>
      <c r="AW518" s="496"/>
      <c r="AX518" s="496"/>
      <c r="AY518" s="496"/>
      <c r="AZ518" s="496"/>
      <c r="BA518" s="496"/>
    </row>
    <row r="519" spans="2:57">
      <c r="B519" s="613"/>
      <c r="C519" s="613"/>
      <c r="D519" s="613"/>
      <c r="E519" s="613"/>
      <c r="F519" s="613"/>
      <c r="G519" s="613"/>
      <c r="H519" s="613"/>
      <c r="I519" s="643"/>
      <c r="J519" s="641"/>
      <c r="K519" s="641"/>
      <c r="L519" s="644"/>
      <c r="M519" s="613"/>
      <c r="N519" s="613"/>
      <c r="O519" s="641"/>
      <c r="P519" s="591"/>
      <c r="Q519" s="591"/>
      <c r="R519" s="591"/>
      <c r="S519" s="591"/>
      <c r="T519" s="645"/>
      <c r="U519" s="645"/>
      <c r="V519" s="645"/>
      <c r="W519" s="645"/>
      <c r="X519" s="645"/>
      <c r="Y519" s="645"/>
      <c r="Z519" s="645"/>
      <c r="AA519" s="645"/>
      <c r="AB519" s="645"/>
      <c r="AC519" s="591"/>
      <c r="AD519" s="591"/>
      <c r="AE519" s="591"/>
      <c r="AF519" s="591"/>
      <c r="AG519" s="591"/>
      <c r="AH519" s="591"/>
      <c r="AI519" s="591"/>
      <c r="AJ519" s="591"/>
      <c r="AK519" s="591"/>
      <c r="AL519" s="591"/>
      <c r="AM519" s="591"/>
      <c r="AN519" s="591"/>
      <c r="AO519" s="591"/>
      <c r="AP519" s="591"/>
      <c r="AQ519" s="591"/>
      <c r="AR519" s="591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</row>
    <row r="520" spans="2:57">
      <c r="B520" s="619" t="s">
        <v>561</v>
      </c>
      <c r="C520" s="619"/>
      <c r="D520" s="591"/>
      <c r="E520" s="591"/>
      <c r="F520" s="591"/>
      <c r="G520" s="591"/>
      <c r="H520" s="591"/>
      <c r="I520" s="591"/>
      <c r="J520" s="646"/>
      <c r="K520" s="646"/>
      <c r="L520" s="647"/>
      <c r="M520" s="591"/>
      <c r="N520" s="613"/>
      <c r="O520" s="646"/>
      <c r="P520" s="616"/>
      <c r="Q520" s="616"/>
      <c r="R520" s="616"/>
      <c r="S520" s="616"/>
      <c r="T520" s="616"/>
      <c r="U520" s="616"/>
      <c r="V520" s="616"/>
      <c r="W520" s="616"/>
      <c r="X520" s="616"/>
      <c r="Y520" s="616"/>
      <c r="Z520" s="616"/>
      <c r="AA520" s="616"/>
      <c r="AB520" s="613"/>
      <c r="AC520" s="613"/>
      <c r="AD520" s="613"/>
      <c r="AE520" s="613"/>
      <c r="AF520" s="613"/>
      <c r="AG520" s="613"/>
      <c r="AH520" s="613"/>
      <c r="AI520" s="613"/>
      <c r="AJ520" s="613"/>
      <c r="AK520" s="613"/>
      <c r="AL520" s="613"/>
      <c r="AM520" s="613"/>
      <c r="AN520" s="613"/>
      <c r="AO520" s="613"/>
      <c r="AP520" s="613"/>
      <c r="AQ520" s="613"/>
      <c r="AR520" s="613"/>
      <c r="AS520" s="613"/>
      <c r="AT520" s="613"/>
      <c r="AU520" s="613"/>
      <c r="AV520" s="39"/>
      <c r="AW520" s="39"/>
      <c r="AX520" s="39"/>
      <c r="AY520" s="39"/>
      <c r="AZ520" s="39"/>
      <c r="BA520" s="39"/>
      <c r="BB520" s="39"/>
      <c r="BC520" s="39"/>
      <c r="BD520" s="39"/>
      <c r="BE520" s="613"/>
    </row>
    <row r="521" spans="2:57">
      <c r="B521" s="422">
        <v>1</v>
      </c>
      <c r="C521" s="1249" t="s">
        <v>4394</v>
      </c>
      <c r="D521" s="1249"/>
      <c r="E521" s="1249"/>
      <c r="F521" s="1249"/>
      <c r="G521" s="1249"/>
      <c r="H521" s="1249"/>
      <c r="I521" s="1249"/>
      <c r="J521" s="1249"/>
      <c r="K521" s="1249"/>
      <c r="L521" s="644"/>
      <c r="M521" s="644"/>
      <c r="N521" s="613"/>
      <c r="O521" s="641"/>
      <c r="P521" s="616"/>
      <c r="Q521" s="616"/>
      <c r="R521" s="616"/>
      <c r="S521" s="616"/>
      <c r="T521" s="616"/>
      <c r="U521" s="616"/>
      <c r="V521" s="616"/>
      <c r="W521" s="616"/>
      <c r="X521" s="616"/>
      <c r="Y521" s="616"/>
      <c r="Z521" s="616"/>
      <c r="AA521" s="616"/>
      <c r="AB521" s="613"/>
      <c r="AC521" s="613"/>
      <c r="AD521" s="613"/>
      <c r="AE521" s="613"/>
      <c r="AF521" s="613"/>
      <c r="AG521" s="613"/>
      <c r="AH521" s="613"/>
      <c r="AI521" s="613"/>
      <c r="AJ521" s="613"/>
      <c r="AK521" s="613"/>
      <c r="AL521" s="613"/>
      <c r="AM521" s="613"/>
      <c r="AN521" s="613"/>
      <c r="AO521" s="613"/>
      <c r="AP521" s="613"/>
      <c r="AQ521" s="613"/>
      <c r="AR521" s="613"/>
      <c r="AS521" s="613"/>
      <c r="AT521" s="613"/>
      <c r="AU521" s="613"/>
      <c r="AV521" s="613"/>
      <c r="AW521" s="613"/>
      <c r="AX521" s="613"/>
      <c r="AY521" s="613"/>
      <c r="AZ521" s="613"/>
      <c r="BA521" s="613"/>
      <c r="BB521" s="613"/>
      <c r="BC521" s="613"/>
      <c r="BD521" s="613"/>
      <c r="BE521" s="613"/>
    </row>
    <row r="523" spans="2:57">
      <c r="B523" s="28" t="s">
        <v>126</v>
      </c>
      <c r="C523" s="28"/>
      <c r="D523" s="614"/>
      <c r="E523" s="30" t="s">
        <v>511</v>
      </c>
      <c r="F523" s="31" t="s">
        <v>3207</v>
      </c>
      <c r="G523" s="591"/>
      <c r="H523" s="33"/>
      <c r="I523" s="615"/>
      <c r="J523" s="35" t="s">
        <v>513</v>
      </c>
      <c r="K523" s="36" t="s">
        <v>511</v>
      </c>
      <c r="L523" s="516">
        <v>45289.479166666664</v>
      </c>
      <c r="M523" s="591"/>
      <c r="N523" s="591"/>
      <c r="O523" s="206"/>
      <c r="P523" s="205"/>
      <c r="Q523" s="616"/>
      <c r="R523" s="204"/>
      <c r="S523" s="617"/>
      <c r="T523" s="613"/>
      <c r="U523" s="613"/>
      <c r="V523" s="613"/>
      <c r="W523" s="613"/>
      <c r="X523" s="613"/>
      <c r="Y523" s="613"/>
      <c r="Z523" s="613"/>
      <c r="AA523" s="613"/>
      <c r="AB523" s="616"/>
      <c r="AC523" s="616"/>
      <c r="AD523" s="616"/>
      <c r="AE523" s="616"/>
      <c r="AF523" s="616"/>
      <c r="AG523" s="613"/>
      <c r="AH523" s="613"/>
      <c r="AI523" s="613"/>
      <c r="AJ523" s="613"/>
      <c r="AK523" s="613"/>
      <c r="AL523" s="613"/>
      <c r="AM523" s="613"/>
      <c r="AN523" s="613"/>
      <c r="AO523" s="613"/>
      <c r="AP523" s="613"/>
      <c r="AQ523" s="613"/>
      <c r="AR523" s="613"/>
      <c r="AS523" s="613"/>
      <c r="AT523" s="613"/>
      <c r="AU523" s="613"/>
      <c r="AV523" s="613"/>
      <c r="AW523" s="613"/>
      <c r="AX523" s="613"/>
      <c r="AY523" s="613"/>
      <c r="AZ523" s="613"/>
      <c r="BA523" s="613"/>
      <c r="BB523" s="613"/>
      <c r="BC523" s="613"/>
      <c r="BD523" s="613"/>
      <c r="BE523" s="613"/>
    </row>
    <row r="524" spans="2:57">
      <c r="B524" s="35" t="s">
        <v>514</v>
      </c>
      <c r="C524" s="35"/>
      <c r="D524" s="591"/>
      <c r="E524" s="36" t="s">
        <v>511</v>
      </c>
      <c r="F524" s="311" t="s">
        <v>515</v>
      </c>
      <c r="G524" s="591"/>
      <c r="H524" s="33"/>
      <c r="I524" s="615"/>
      <c r="J524" s="35" t="s">
        <v>516</v>
      </c>
      <c r="K524" s="36" t="s">
        <v>511</v>
      </c>
      <c r="L524" s="516">
        <v>45291.326388888891</v>
      </c>
      <c r="M524" s="591"/>
      <c r="N524" s="591"/>
      <c r="O524" s="206"/>
      <c r="P524" s="205"/>
      <c r="Q524" s="616"/>
      <c r="R524" s="204"/>
      <c r="S524" s="617"/>
      <c r="T524" s="613"/>
      <c r="U524" s="613"/>
      <c r="V524" s="613"/>
      <c r="W524" s="613"/>
      <c r="X524" s="613"/>
      <c r="Y524" s="613"/>
      <c r="Z524" s="613"/>
      <c r="AA524" s="613"/>
      <c r="AB524" s="616"/>
      <c r="AC524" s="616"/>
      <c r="AD524" s="616"/>
      <c r="AE524" s="616"/>
      <c r="AF524" s="616"/>
      <c r="AG524" s="613"/>
      <c r="AH524" s="613"/>
      <c r="AI524" s="613"/>
      <c r="AJ524" s="613"/>
      <c r="AK524" s="613"/>
      <c r="AL524" s="613"/>
      <c r="AM524" s="613"/>
      <c r="AN524" s="613"/>
      <c r="AO524" s="613"/>
      <c r="AP524" s="613"/>
      <c r="AQ524" s="613"/>
      <c r="AR524" s="613"/>
      <c r="AS524" s="613"/>
      <c r="AT524" s="613"/>
      <c r="AU524" s="613"/>
      <c r="AV524" s="613"/>
      <c r="AW524" s="613"/>
      <c r="AX524" s="613"/>
      <c r="AY524" s="613"/>
      <c r="AZ524" s="613"/>
      <c r="BA524" s="613"/>
      <c r="BB524" s="613"/>
      <c r="BC524" s="613"/>
      <c r="BD524" s="613"/>
      <c r="BE524" s="613"/>
    </row>
    <row r="525" spans="2:57">
      <c r="B525" s="35" t="s">
        <v>517</v>
      </c>
      <c r="C525" s="35"/>
      <c r="D525" s="591"/>
      <c r="E525" s="36" t="s">
        <v>511</v>
      </c>
      <c r="F525" s="516">
        <v>45282.184027777781</v>
      </c>
      <c r="G525" s="591"/>
      <c r="H525" s="33"/>
      <c r="I525" s="615"/>
      <c r="J525" s="35" t="s">
        <v>518</v>
      </c>
      <c r="K525" s="36" t="s">
        <v>511</v>
      </c>
      <c r="L525" s="859">
        <v>56300</v>
      </c>
      <c r="M525" s="619" t="s">
        <v>519</v>
      </c>
      <c r="N525" s="619"/>
      <c r="O525" s="206"/>
      <c r="P525" s="205"/>
      <c r="Q525" s="616"/>
      <c r="R525" s="204"/>
      <c r="S525" s="617"/>
      <c r="T525" s="613"/>
      <c r="U525" s="613"/>
      <c r="V525" s="613"/>
      <c r="W525" s="613"/>
      <c r="X525" s="613"/>
      <c r="Y525" s="613"/>
      <c r="Z525" s="613"/>
      <c r="AA525" s="613"/>
      <c r="AB525" s="616"/>
      <c r="AC525" s="616"/>
      <c r="AD525" s="616"/>
      <c r="AE525" s="616"/>
      <c r="AF525" s="616"/>
      <c r="AG525" s="613"/>
      <c r="AH525" s="613"/>
      <c r="AI525" s="613"/>
      <c r="AJ525" s="613"/>
      <c r="AK525" s="613"/>
      <c r="AL525" s="613"/>
      <c r="AM525" s="613"/>
      <c r="AN525" s="613"/>
      <c r="AO525" s="613"/>
      <c r="AP525" s="613"/>
      <c r="AQ525" s="613"/>
      <c r="AR525" s="613"/>
      <c r="AS525" s="613"/>
      <c r="AT525" s="613"/>
      <c r="AU525" s="613"/>
      <c r="AV525" s="613"/>
      <c r="AW525" s="613"/>
      <c r="AX525" s="613"/>
      <c r="AY525" s="613"/>
      <c r="AZ525" s="613"/>
      <c r="BA525" s="613"/>
      <c r="BB525" s="613"/>
      <c r="BC525" s="613"/>
      <c r="BD525" s="613"/>
      <c r="BE525" s="613"/>
    </row>
    <row r="526" spans="2:57">
      <c r="B526" s="35" t="s">
        <v>520</v>
      </c>
      <c r="C526" s="35"/>
      <c r="D526" s="591"/>
      <c r="E526" s="36" t="s">
        <v>511</v>
      </c>
      <c r="F526" s="37" t="s">
        <v>4</v>
      </c>
      <c r="G526" s="591"/>
      <c r="H526" s="33"/>
      <c r="I526" s="615"/>
      <c r="J526" s="35" t="s">
        <v>521</v>
      </c>
      <c r="K526" s="36" t="s">
        <v>511</v>
      </c>
      <c r="L526" s="620" t="s">
        <v>3208</v>
      </c>
      <c r="M526" s="591"/>
      <c r="N526" s="591"/>
      <c r="O526" s="206"/>
      <c r="P526" s="616"/>
      <c r="Q526" s="616"/>
      <c r="R526" s="204"/>
      <c r="S526" s="617"/>
      <c r="T526" s="613"/>
      <c r="U526" s="613"/>
      <c r="V526" s="613"/>
      <c r="W526" s="613"/>
      <c r="X526" s="613"/>
      <c r="Y526" s="613"/>
      <c r="Z526" s="613"/>
      <c r="AA526" s="613"/>
      <c r="AB526" s="616"/>
      <c r="AC526" s="616"/>
      <c r="AD526" s="616"/>
      <c r="AE526" s="616"/>
      <c r="AF526" s="616"/>
      <c r="AG526" s="613"/>
      <c r="AH526" s="613"/>
      <c r="AI526" s="613"/>
      <c r="AJ526" s="613"/>
      <c r="AK526" s="613"/>
      <c r="AL526" s="613"/>
      <c r="AM526" s="613"/>
      <c r="AN526" s="613"/>
      <c r="AO526" s="613"/>
      <c r="AP526" s="613"/>
      <c r="AQ526" s="613"/>
      <c r="AR526" s="613"/>
      <c r="AS526" s="613"/>
      <c r="AT526" s="613"/>
      <c r="AU526" s="613"/>
      <c r="AV526" s="613"/>
      <c r="AW526" s="613"/>
      <c r="AX526" s="613"/>
      <c r="AY526" s="613"/>
      <c r="AZ526" s="613"/>
      <c r="BA526" s="613"/>
      <c r="BB526" s="613"/>
      <c r="BC526" s="613"/>
      <c r="BD526" s="613"/>
      <c r="BE526" s="613"/>
    </row>
    <row r="527" spans="2:57">
      <c r="B527" s="35" t="s">
        <v>523</v>
      </c>
      <c r="C527" s="35"/>
      <c r="D527" s="591"/>
      <c r="E527" s="36" t="s">
        <v>511</v>
      </c>
      <c r="F527" s="37" t="s">
        <v>5</v>
      </c>
      <c r="G527" s="591"/>
      <c r="H527" s="33"/>
      <c r="I527" s="615"/>
      <c r="J527" s="35" t="s">
        <v>524</v>
      </c>
      <c r="K527" s="36" t="s">
        <v>511</v>
      </c>
      <c r="L527" s="621" t="s">
        <v>11</v>
      </c>
      <c r="M527" s="611"/>
      <c r="N527" s="611"/>
      <c r="O527" s="206"/>
      <c r="P527" s="205"/>
      <c r="Q527" s="616"/>
      <c r="R527" s="204"/>
      <c r="S527" s="617"/>
      <c r="T527" s="613"/>
      <c r="U527" s="613"/>
      <c r="V527" s="613"/>
      <c r="W527" s="613"/>
      <c r="X527" s="613"/>
      <c r="Y527" s="613"/>
      <c r="Z527" s="613"/>
      <c r="AA527" s="613"/>
      <c r="AB527" s="616"/>
      <c r="AC527" s="616"/>
      <c r="AD527" s="616"/>
      <c r="AE527" s="616"/>
      <c r="AF527" s="616"/>
      <c r="AG527" s="613"/>
      <c r="AH527" s="613"/>
      <c r="AI527" s="613"/>
      <c r="AJ527" s="613"/>
      <c r="AK527" s="613"/>
      <c r="AL527" s="613"/>
      <c r="AM527" s="613"/>
      <c r="AN527" s="613"/>
      <c r="AO527" s="613"/>
      <c r="AP527" s="613"/>
      <c r="AQ527" s="613"/>
      <c r="AR527" s="613"/>
      <c r="AS527" s="613"/>
      <c r="AT527" s="613"/>
      <c r="AU527" s="613"/>
      <c r="AV527" s="613"/>
      <c r="AW527" s="613"/>
      <c r="AX527" s="613"/>
      <c r="AY527" s="613"/>
      <c r="AZ527" s="613"/>
      <c r="BA527" s="613"/>
      <c r="BB527" s="613"/>
      <c r="BC527" s="613"/>
      <c r="BD527" s="613"/>
      <c r="BE527" s="613"/>
    </row>
    <row r="528" spans="2:57">
      <c r="B528" s="35" t="s">
        <v>2</v>
      </c>
      <c r="C528" s="35"/>
      <c r="D528" s="591"/>
      <c r="E528" s="36" t="s">
        <v>511</v>
      </c>
      <c r="F528" s="37" t="s">
        <v>14</v>
      </c>
      <c r="G528" s="591"/>
      <c r="H528" s="33"/>
      <c r="I528" s="622"/>
      <c r="J528" s="35"/>
      <c r="K528" s="36"/>
      <c r="L528" s="211"/>
      <c r="M528" s="613"/>
      <c r="N528" s="613"/>
      <c r="O528" s="35"/>
      <c r="P528" s="611"/>
      <c r="Q528" s="611"/>
      <c r="R528" s="611"/>
      <c r="S528" s="615"/>
      <c r="T528" s="613"/>
      <c r="U528" s="613"/>
      <c r="V528" s="613"/>
      <c r="W528" s="613"/>
      <c r="X528" s="613"/>
      <c r="Y528" s="613"/>
      <c r="Z528" s="613"/>
      <c r="AA528" s="613"/>
      <c r="AB528" s="615"/>
      <c r="AC528" s="615"/>
      <c r="AD528" s="615"/>
      <c r="AE528" s="615"/>
      <c r="AF528" s="615"/>
      <c r="AG528" s="615"/>
      <c r="AH528" s="615"/>
      <c r="AI528" s="615"/>
      <c r="AJ528" s="615"/>
      <c r="AK528" s="615"/>
      <c r="AL528" s="615"/>
      <c r="AM528" s="615"/>
      <c r="AN528" s="615"/>
      <c r="AO528" s="613"/>
      <c r="AP528" s="613"/>
      <c r="AQ528" s="613"/>
      <c r="AR528" s="613"/>
      <c r="AS528" s="613"/>
      <c r="AT528" s="613"/>
      <c r="AU528" s="613"/>
      <c r="AV528" s="613"/>
      <c r="AW528" s="613"/>
      <c r="AX528" s="613"/>
      <c r="AY528" s="613"/>
      <c r="AZ528" s="613"/>
      <c r="BA528" s="613"/>
      <c r="BB528" s="613"/>
      <c r="BC528" s="613"/>
      <c r="BD528" s="613"/>
      <c r="BE528" s="613"/>
    </row>
    <row r="529" spans="2:57">
      <c r="B529" s="613"/>
      <c r="C529" s="613"/>
      <c r="D529" s="613"/>
      <c r="E529" s="613"/>
      <c r="F529" s="613"/>
      <c r="G529" s="613"/>
      <c r="H529" s="613"/>
      <c r="I529" s="622"/>
      <c r="J529" s="35"/>
      <c r="K529" s="35"/>
      <c r="L529" s="621"/>
      <c r="M529" s="611"/>
      <c r="N529" s="611"/>
      <c r="O529" s="35"/>
      <c r="P529" s="611"/>
      <c r="Q529" s="611"/>
      <c r="R529" s="611"/>
      <c r="S529" s="615"/>
      <c r="T529" s="1317" t="s">
        <v>87</v>
      </c>
      <c r="U529" s="1317"/>
      <c r="V529" s="1317"/>
      <c r="W529" s="1317"/>
      <c r="X529" s="1317"/>
      <c r="Y529" s="1317" t="s">
        <v>73</v>
      </c>
      <c r="Z529" s="1317"/>
      <c r="AA529" s="1317"/>
      <c r="AB529" s="1317" t="s">
        <v>74</v>
      </c>
      <c r="AC529" s="1317"/>
      <c r="AD529" s="623" t="s">
        <v>85</v>
      </c>
      <c r="AE529" s="854" t="s">
        <v>77</v>
      </c>
      <c r="AF529" s="1459" t="s">
        <v>525</v>
      </c>
      <c r="AG529" s="1459"/>
      <c r="AH529" s="1459"/>
      <c r="AI529" s="1459"/>
      <c r="AJ529" s="1459"/>
      <c r="AK529" s="1459"/>
      <c r="AL529" s="1459"/>
      <c r="AM529" s="1459"/>
      <c r="AN529" s="1459"/>
      <c r="AO529" s="1459"/>
      <c r="AP529" s="1459"/>
      <c r="AQ529" s="1459"/>
      <c r="AR529" s="1459"/>
      <c r="AS529" s="1459"/>
      <c r="AT529" s="1459"/>
      <c r="AU529" s="1459"/>
      <c r="AV529" s="1459"/>
      <c r="AW529" s="1459"/>
      <c r="AX529" s="1459"/>
      <c r="AY529" s="1459"/>
      <c r="AZ529" s="1459"/>
      <c r="BA529" s="1459"/>
      <c r="BB529" s="1459"/>
      <c r="BC529" s="1459"/>
      <c r="BD529" s="1459"/>
      <c r="BE529" s="613"/>
    </row>
    <row r="530" spans="2:57">
      <c r="B530" s="1318" t="s">
        <v>526</v>
      </c>
      <c r="C530" s="1319"/>
      <c r="D530" s="624" t="s">
        <v>527</v>
      </c>
      <c r="E530" s="624"/>
      <c r="F530" s="624" t="s">
        <v>528</v>
      </c>
      <c r="G530" s="624" t="s">
        <v>529</v>
      </c>
      <c r="H530" s="624" t="s">
        <v>530</v>
      </c>
      <c r="I530" s="624" t="s">
        <v>531</v>
      </c>
      <c r="J530" s="624" t="s">
        <v>532</v>
      </c>
      <c r="K530" s="624"/>
      <c r="L530" s="624" t="s">
        <v>130</v>
      </c>
      <c r="M530" s="624" t="s">
        <v>533</v>
      </c>
      <c r="N530" s="1040" t="str">
        <f>"On time - "&amp;COUNTIF(N531:N552,"On time")&amp;" from "&amp;ROWS(N531:N552)-COUNTIF(N531:N552," ")</f>
        <v>On time - 1 from 8</v>
      </c>
      <c r="O530" s="626"/>
      <c r="P530" s="627" t="s">
        <v>534</v>
      </c>
      <c r="Q530" s="627" t="s">
        <v>535</v>
      </c>
      <c r="R530" s="627" t="s">
        <v>536</v>
      </c>
      <c r="S530" s="591"/>
      <c r="T530" s="628" t="s">
        <v>537</v>
      </c>
      <c r="U530" s="628" t="s">
        <v>538</v>
      </c>
      <c r="V530" s="628" t="s">
        <v>539</v>
      </c>
      <c r="W530" s="628" t="s">
        <v>540</v>
      </c>
      <c r="X530" s="628" t="s">
        <v>541</v>
      </c>
      <c r="Y530" s="628" t="s">
        <v>167</v>
      </c>
      <c r="Z530" s="628" t="s">
        <v>168</v>
      </c>
      <c r="AA530" s="628" t="s">
        <v>169</v>
      </c>
      <c r="AB530" s="628" t="s">
        <v>235</v>
      </c>
      <c r="AC530" s="628" t="s">
        <v>240</v>
      </c>
      <c r="AD530" s="623" t="s">
        <v>85</v>
      </c>
      <c r="AE530" s="628" t="s">
        <v>139</v>
      </c>
      <c r="AF530" s="855" t="s">
        <v>72</v>
      </c>
      <c r="AG530" s="855" t="s">
        <v>88</v>
      </c>
      <c r="AH530" s="855" t="s">
        <v>75</v>
      </c>
      <c r="AI530" s="855" t="s">
        <v>543</v>
      </c>
      <c r="AJ530" s="855" t="s">
        <v>78</v>
      </c>
      <c r="AK530" s="855" t="s">
        <v>76</v>
      </c>
      <c r="AL530" s="855" t="s">
        <v>544</v>
      </c>
      <c r="AM530" s="855" t="s">
        <v>545</v>
      </c>
      <c r="AN530" s="855" t="s">
        <v>86</v>
      </c>
      <c r="AO530" s="855" t="s">
        <v>83</v>
      </c>
      <c r="AP530" s="855" t="s">
        <v>84</v>
      </c>
      <c r="AQ530" s="855" t="s">
        <v>546</v>
      </c>
      <c r="AR530" s="855" t="s">
        <v>81</v>
      </c>
      <c r="AS530" s="855" t="s">
        <v>80</v>
      </c>
      <c r="AT530" s="855" t="s">
        <v>82</v>
      </c>
      <c r="AU530" s="855" t="s">
        <v>181</v>
      </c>
      <c r="AV530" s="855" t="s">
        <v>183</v>
      </c>
      <c r="AW530" s="855" t="s">
        <v>547</v>
      </c>
      <c r="AX530" s="855" t="s">
        <v>182</v>
      </c>
      <c r="AY530" s="855" t="s">
        <v>172</v>
      </c>
      <c r="AZ530" s="855" t="s">
        <v>173</v>
      </c>
      <c r="BA530" s="855" t="s">
        <v>184</v>
      </c>
      <c r="BB530" s="855" t="s">
        <v>100</v>
      </c>
      <c r="BC530" s="855" t="s">
        <v>913</v>
      </c>
      <c r="BD530" s="855" t="s">
        <v>2747</v>
      </c>
      <c r="BE530" s="613"/>
    </row>
    <row r="531" spans="2:57">
      <c r="B531" s="1315" t="s">
        <v>668</v>
      </c>
      <c r="C531" s="1316"/>
      <c r="D531" s="501" t="s">
        <v>3914</v>
      </c>
      <c r="E531" s="585"/>
      <c r="F531" s="501" t="s">
        <v>1240</v>
      </c>
      <c r="G531" s="501" t="s">
        <v>1241</v>
      </c>
      <c r="H531" s="629">
        <v>6388.4790000000003</v>
      </c>
      <c r="I531" s="584" t="s">
        <v>494</v>
      </c>
      <c r="J531" s="504">
        <v>45282.3125</v>
      </c>
      <c r="K531" s="574"/>
      <c r="L531" s="574" t="s">
        <v>192</v>
      </c>
      <c r="M531" s="574" t="s">
        <v>192</v>
      </c>
      <c r="N531" s="505" t="str">
        <f>IF(ISBLANK(J531)," ",IF(J531&lt;$F$525,"On time",(IF(DAY(J531-$F$525)&lt;1,"On time",(IF(J531&gt;$F$525,"DELAY ( "&amp;DAY(J531-$F$525)&amp;" day "&amp;HOUR(J531-$F$525)&amp;" hour "&amp;MINUTE(J531-$F$525)&amp;" minute )","xxx"))))))</f>
        <v>On time</v>
      </c>
      <c r="O531" s="597"/>
      <c r="P531" s="507" t="s">
        <v>551</v>
      </c>
      <c r="Q531" s="507" t="s">
        <v>551</v>
      </c>
      <c r="R531" s="507" t="s">
        <v>551</v>
      </c>
      <c r="S531" s="598"/>
      <c r="T531" s="599"/>
      <c r="U531" s="599"/>
      <c r="V531" s="599"/>
      <c r="W531" s="599"/>
      <c r="X531" s="599"/>
      <c r="Y531" s="599">
        <f>H531</f>
        <v>6388.4790000000003</v>
      </c>
      <c r="Z531" s="599"/>
      <c r="AA531" s="599"/>
      <c r="AB531" s="599"/>
      <c r="AC531" s="599"/>
      <c r="AD531" s="599"/>
      <c r="AE531" s="599"/>
      <c r="AF531" s="599"/>
      <c r="AG531" s="599"/>
      <c r="AH531" s="599"/>
      <c r="AI531" s="599"/>
      <c r="AJ531" s="599"/>
      <c r="AK531" s="599"/>
      <c r="AL531" s="599"/>
      <c r="AM531" s="599"/>
      <c r="AN531" s="599"/>
      <c r="AO531" s="599"/>
      <c r="AP531" s="599"/>
      <c r="AQ531" s="599"/>
      <c r="AR531" s="599"/>
      <c r="AS531" s="599"/>
      <c r="AT531" s="599"/>
      <c r="AU531" s="599"/>
      <c r="AV531" s="599"/>
      <c r="AW531" s="599"/>
      <c r="AX531" s="599"/>
      <c r="AY531" s="599"/>
      <c r="AZ531" s="599"/>
      <c r="BA531" s="599"/>
      <c r="BB531" s="599"/>
      <c r="BC531" s="599"/>
      <c r="BD531" s="599"/>
      <c r="BE531" s="598"/>
    </row>
    <row r="532" spans="2:57">
      <c r="B532" s="1315" t="s">
        <v>616</v>
      </c>
      <c r="C532" s="1316"/>
      <c r="D532" s="501" t="s">
        <v>3813</v>
      </c>
      <c r="E532" s="585"/>
      <c r="F532" s="501" t="s">
        <v>686</v>
      </c>
      <c r="G532" s="501" t="s">
        <v>1186</v>
      </c>
      <c r="H532" s="629">
        <v>7403.1</v>
      </c>
      <c r="I532" s="584" t="s">
        <v>235</v>
      </c>
      <c r="J532" s="504">
        <v>45285.645833333336</v>
      </c>
      <c r="K532" s="574"/>
      <c r="L532" s="574" t="s">
        <v>192</v>
      </c>
      <c r="M532" s="574" t="s">
        <v>192</v>
      </c>
      <c r="N532" s="505" t="str">
        <f t="shared" ref="N532:N552" si="43">IF(ISBLANK(J532)," ",IF(J532&lt;$F$525,"On time",(IF(DAY(J532-$F$525)&lt;1,"On time",(IF(J532&gt;$F$525,"DELAY ( "&amp;DAY(J532-$F$525)&amp;" day "&amp;HOUR(J532-$F$525)&amp;" hour "&amp;MINUTE(J532-$F$525)&amp;" minute )","xxx"))))))</f>
        <v>DELAY ( 3 day 11 hour 5 minute )</v>
      </c>
      <c r="O532" s="597"/>
      <c r="P532" s="507" t="s">
        <v>551</v>
      </c>
      <c r="Q532" s="507" t="s">
        <v>551</v>
      </c>
      <c r="R532" s="507" t="s">
        <v>551</v>
      </c>
      <c r="S532" s="598"/>
      <c r="T532" s="599"/>
      <c r="U532" s="599"/>
      <c r="V532" s="599"/>
      <c r="W532" s="599"/>
      <c r="X532" s="599"/>
      <c r="Y532" s="599"/>
      <c r="Z532" s="599"/>
      <c r="AA532" s="599"/>
      <c r="AB532" s="599">
        <f>H532</f>
        <v>7403.1</v>
      </c>
      <c r="AC532" s="599"/>
      <c r="AD532" s="599"/>
      <c r="AE532" s="599"/>
      <c r="AF532" s="599"/>
      <c r="AG532" s="599"/>
      <c r="AH532" s="599"/>
      <c r="AI532" s="599"/>
      <c r="AJ532" s="599"/>
      <c r="AK532" s="599"/>
      <c r="AL532" s="599"/>
      <c r="AM532" s="599"/>
      <c r="AN532" s="599"/>
      <c r="AO532" s="599"/>
      <c r="AP532" s="599"/>
      <c r="AQ532" s="599"/>
      <c r="AR532" s="599"/>
      <c r="AS532" s="599"/>
      <c r="AT532" s="599"/>
      <c r="AU532" s="599"/>
      <c r="AV532" s="599"/>
      <c r="AW532" s="599"/>
      <c r="AX532" s="599"/>
      <c r="AY532" s="599"/>
      <c r="AZ532" s="599"/>
      <c r="BA532" s="599"/>
      <c r="BB532" s="599"/>
      <c r="BC532" s="599"/>
      <c r="BD532" s="599"/>
      <c r="BE532" s="598"/>
    </row>
    <row r="533" spans="2:57">
      <c r="B533" s="1315" t="s">
        <v>616</v>
      </c>
      <c r="C533" s="1316"/>
      <c r="D533" s="501" t="s">
        <v>3814</v>
      </c>
      <c r="E533" s="585"/>
      <c r="F533" s="501" t="s">
        <v>1313</v>
      </c>
      <c r="G533" s="501" t="s">
        <v>2486</v>
      </c>
      <c r="H533" s="629">
        <v>7564.2219999999998</v>
      </c>
      <c r="I533" s="584" t="s">
        <v>235</v>
      </c>
      <c r="J533" s="504">
        <v>45286.375</v>
      </c>
      <c r="K533" s="574"/>
      <c r="L533" s="574" t="s">
        <v>192</v>
      </c>
      <c r="M533" s="574" t="s">
        <v>192</v>
      </c>
      <c r="N533" s="505" t="str">
        <f t="shared" si="43"/>
        <v>DELAY ( 4 day 4 hour 35 minute )</v>
      </c>
      <c r="O533" s="597"/>
      <c r="P533" s="507" t="s">
        <v>551</v>
      </c>
      <c r="Q533" s="507" t="s">
        <v>551</v>
      </c>
      <c r="R533" s="507" t="s">
        <v>551</v>
      </c>
      <c r="S533" s="598"/>
      <c r="T533" s="599"/>
      <c r="U533" s="599"/>
      <c r="V533" s="599"/>
      <c r="W533" s="599"/>
      <c r="X533" s="599"/>
      <c r="Y533" s="599"/>
      <c r="Z533" s="599"/>
      <c r="AA533" s="599"/>
      <c r="AB533" s="599">
        <f>H533</f>
        <v>7564.2219999999998</v>
      </c>
      <c r="AC533" s="599"/>
      <c r="AD533" s="599"/>
      <c r="AE533" s="599"/>
      <c r="AF533" s="599"/>
      <c r="AG533" s="599"/>
      <c r="AH533" s="599"/>
      <c r="AI533" s="599"/>
      <c r="AJ533" s="599"/>
      <c r="AK533" s="599"/>
      <c r="AL533" s="599"/>
      <c r="AM533" s="599"/>
      <c r="AN533" s="599"/>
      <c r="AO533" s="599"/>
      <c r="AP533" s="599"/>
      <c r="AQ533" s="599"/>
      <c r="AR533" s="599"/>
      <c r="AS533" s="599"/>
      <c r="AT533" s="599"/>
      <c r="AU533" s="599"/>
      <c r="AV533" s="599"/>
      <c r="AW533" s="599"/>
      <c r="AX533" s="599"/>
      <c r="AY533" s="599"/>
      <c r="AZ533" s="599"/>
      <c r="BA533" s="599"/>
      <c r="BB533" s="599"/>
      <c r="BC533" s="599"/>
      <c r="BD533" s="599"/>
      <c r="BE533" s="598"/>
    </row>
    <row r="534" spans="2:57">
      <c r="B534" s="1351" t="s">
        <v>1721</v>
      </c>
      <c r="C534" s="1352"/>
      <c r="D534" s="1352"/>
      <c r="E534" s="1352"/>
      <c r="F534" s="1352"/>
      <c r="G534" s="1353"/>
      <c r="H534" s="702">
        <f>SUM(H531:H533)</f>
        <v>21355.800999999999</v>
      </c>
      <c r="I534" s="703"/>
      <c r="J534" s="704"/>
      <c r="K534" s="704"/>
      <c r="L534" s="704"/>
      <c r="M534" s="705"/>
      <c r="N534" s="505" t="str">
        <f t="shared" si="43"/>
        <v xml:space="preserve"> </v>
      </c>
      <c r="O534" s="552"/>
      <c r="P534" s="706"/>
      <c r="Q534" s="706"/>
      <c r="R534" s="706"/>
      <c r="S534" s="598"/>
      <c r="T534" s="599"/>
      <c r="U534" s="599"/>
      <c r="V534" s="599"/>
      <c r="W534" s="599"/>
      <c r="X534" s="599"/>
      <c r="Y534" s="599"/>
      <c r="Z534" s="599"/>
      <c r="AA534" s="599"/>
      <c r="AB534" s="599"/>
      <c r="AC534" s="599"/>
      <c r="AD534" s="599"/>
      <c r="AE534" s="599"/>
      <c r="AF534" s="599"/>
      <c r="AG534" s="599"/>
      <c r="AH534" s="599"/>
      <c r="AI534" s="599"/>
      <c r="AJ534" s="599"/>
      <c r="AK534" s="599"/>
      <c r="AL534" s="599"/>
      <c r="AM534" s="599"/>
      <c r="AN534" s="599"/>
      <c r="AO534" s="599"/>
      <c r="AP534" s="598"/>
      <c r="AQ534" s="599"/>
      <c r="AR534" s="599"/>
      <c r="AS534" s="599"/>
      <c r="AT534" s="599"/>
      <c r="AU534" s="599"/>
      <c r="AV534" s="599"/>
      <c r="AW534" s="599"/>
      <c r="AX534" s="599"/>
      <c r="AY534" s="599"/>
      <c r="AZ534" s="599"/>
      <c r="BA534" s="599"/>
      <c r="BB534" s="599"/>
      <c r="BC534" s="599"/>
      <c r="BD534" s="599"/>
      <c r="BE534" s="598"/>
    </row>
    <row r="535" spans="2:57">
      <c r="B535" s="1326" t="s">
        <v>619</v>
      </c>
      <c r="C535" s="1327"/>
      <c r="D535" s="501" t="s">
        <v>3917</v>
      </c>
      <c r="E535" s="501"/>
      <c r="F535" s="501" t="s">
        <v>489</v>
      </c>
      <c r="G535" s="501" t="s">
        <v>483</v>
      </c>
      <c r="H535" s="629">
        <v>7427.4880000000003</v>
      </c>
      <c r="I535" s="584" t="s">
        <v>3918</v>
      </c>
      <c r="J535" s="504">
        <v>45284.8125</v>
      </c>
      <c r="K535" s="574"/>
      <c r="L535" s="574" t="s">
        <v>192</v>
      </c>
      <c r="M535" s="574" t="s">
        <v>192</v>
      </c>
      <c r="N535" s="505" t="str">
        <f t="shared" si="43"/>
        <v>DELAY ( 2 day 15 hour 5 minute )</v>
      </c>
      <c r="O535" s="597"/>
      <c r="P535" s="507" t="s">
        <v>551</v>
      </c>
      <c r="Q535" s="507" t="s">
        <v>551</v>
      </c>
      <c r="R535" s="507" t="s">
        <v>551</v>
      </c>
      <c r="S535" s="598"/>
      <c r="T535" s="599"/>
      <c r="U535" s="599"/>
      <c r="V535" s="599"/>
      <c r="W535" s="599"/>
      <c r="X535" s="599"/>
      <c r="Y535" s="599">
        <f>H535*0.8</f>
        <v>5941.9904000000006</v>
      </c>
      <c r="Z535" s="599">
        <f>H535*0.2</f>
        <v>1485.4976000000001</v>
      </c>
      <c r="AA535" s="599"/>
      <c r="AB535" s="598"/>
      <c r="AC535" s="599"/>
      <c r="AD535" s="599"/>
      <c r="AE535" s="599"/>
      <c r="AF535" s="599"/>
      <c r="AG535" s="599"/>
      <c r="AH535" s="599"/>
      <c r="AI535" s="599"/>
      <c r="AJ535" s="599"/>
      <c r="AK535" s="599"/>
      <c r="AL535" s="599"/>
      <c r="AM535" s="599"/>
      <c r="AN535" s="599"/>
      <c r="AO535" s="599"/>
      <c r="AP535" s="599"/>
      <c r="AQ535" s="599"/>
      <c r="AR535" s="599"/>
      <c r="AS535" s="599"/>
      <c r="AT535" s="599"/>
      <c r="AU535" s="599"/>
      <c r="AV535" s="599"/>
      <c r="AW535" s="599"/>
      <c r="AX535" s="599"/>
      <c r="AY535" s="599"/>
      <c r="AZ535" s="599"/>
      <c r="BA535" s="599"/>
      <c r="BB535" s="599"/>
      <c r="BC535" s="599"/>
      <c r="BD535" s="599"/>
      <c r="BE535" s="598"/>
    </row>
    <row r="536" spans="2:57">
      <c r="B536" s="1421"/>
      <c r="C536" s="1422"/>
      <c r="D536" s="836"/>
      <c r="E536" s="501"/>
      <c r="F536" s="1315" t="s">
        <v>668</v>
      </c>
      <c r="G536" s="1316"/>
      <c r="H536" s="629">
        <v>1000</v>
      </c>
      <c r="I536" s="584"/>
      <c r="J536" s="504"/>
      <c r="K536" s="574"/>
      <c r="L536" s="574"/>
      <c r="M536" s="574"/>
      <c r="N536" s="505" t="str">
        <f t="shared" si="43"/>
        <v xml:space="preserve"> </v>
      </c>
      <c r="O536" s="597"/>
      <c r="P536" s="507"/>
      <c r="Q536" s="507"/>
      <c r="R536" s="507"/>
      <c r="S536" s="598"/>
      <c r="T536" s="599"/>
      <c r="U536" s="599"/>
      <c r="V536" s="599"/>
      <c r="W536" s="599"/>
      <c r="X536" s="599"/>
      <c r="Y536" s="599"/>
      <c r="Z536" s="599"/>
      <c r="AA536" s="599"/>
      <c r="AB536" s="599"/>
      <c r="AC536" s="599"/>
      <c r="AD536" s="599"/>
      <c r="AE536" s="599"/>
      <c r="AF536" s="599"/>
      <c r="AG536" s="599"/>
      <c r="AH536" s="599"/>
      <c r="AI536" s="599"/>
      <c r="AJ536" s="599"/>
      <c r="AK536" s="599"/>
      <c r="AL536" s="599"/>
      <c r="AM536" s="599"/>
      <c r="AN536" s="599"/>
      <c r="AO536" s="599"/>
      <c r="AP536" s="599"/>
      <c r="AQ536" s="599"/>
      <c r="AR536" s="599"/>
      <c r="AS536" s="599"/>
      <c r="AT536" s="599"/>
      <c r="AU536" s="599"/>
      <c r="AV536" s="599"/>
      <c r="AW536" s="599"/>
      <c r="AX536" s="599"/>
      <c r="AY536" s="599"/>
      <c r="AZ536" s="599"/>
      <c r="BA536" s="599"/>
      <c r="BB536" s="599"/>
      <c r="BC536" s="599"/>
      <c r="BD536" s="599"/>
      <c r="BE536" s="598"/>
    </row>
    <row r="537" spans="2:57">
      <c r="B537" s="1328"/>
      <c r="C537" s="1329"/>
      <c r="D537" s="836"/>
      <c r="E537" s="501"/>
      <c r="F537" s="1315" t="s">
        <v>616</v>
      </c>
      <c r="G537" s="1316"/>
      <c r="H537" s="629">
        <v>4000</v>
      </c>
      <c r="I537" s="584"/>
      <c r="J537" s="504"/>
      <c r="K537" s="574"/>
      <c r="L537" s="574"/>
      <c r="M537" s="574"/>
      <c r="N537" s="505" t="str">
        <f t="shared" si="43"/>
        <v xml:space="preserve"> </v>
      </c>
      <c r="O537" s="597"/>
      <c r="P537" s="507"/>
      <c r="Q537" s="507"/>
      <c r="R537" s="507"/>
      <c r="S537" s="598"/>
      <c r="T537" s="599"/>
      <c r="U537" s="599"/>
      <c r="V537" s="599"/>
      <c r="W537" s="599"/>
      <c r="X537" s="599"/>
      <c r="Y537" s="599"/>
      <c r="Z537" s="599"/>
      <c r="AA537" s="599"/>
      <c r="AB537" s="599"/>
      <c r="AC537" s="599"/>
      <c r="AD537" s="599"/>
      <c r="AE537" s="599"/>
      <c r="AF537" s="599"/>
      <c r="AG537" s="599"/>
      <c r="AH537" s="599"/>
      <c r="AI537" s="599"/>
      <c r="AJ537" s="599"/>
      <c r="AK537" s="599"/>
      <c r="AL537" s="599"/>
      <c r="AM537" s="599"/>
      <c r="AN537" s="599"/>
      <c r="AO537" s="599"/>
      <c r="AP537" s="599"/>
      <c r="AQ537" s="599"/>
      <c r="AR537" s="599"/>
      <c r="AS537" s="599"/>
      <c r="AT537" s="599"/>
      <c r="AU537" s="599"/>
      <c r="AV537" s="599"/>
      <c r="AW537" s="599"/>
      <c r="AX537" s="599"/>
      <c r="AY537" s="599"/>
      <c r="AZ537" s="599"/>
      <c r="BA537" s="599"/>
      <c r="BB537" s="599"/>
      <c r="BC537" s="599"/>
      <c r="BD537" s="599"/>
      <c r="BE537" s="598"/>
    </row>
    <row r="538" spans="2:57">
      <c r="B538" s="1326" t="s">
        <v>621</v>
      </c>
      <c r="C538" s="1327"/>
      <c r="D538" s="501" t="s">
        <v>3925</v>
      </c>
      <c r="E538" s="501"/>
      <c r="F538" s="501" t="s">
        <v>721</v>
      </c>
      <c r="G538" s="501" t="s">
        <v>1349</v>
      </c>
      <c r="H538" s="629">
        <v>7429.5770000000002</v>
      </c>
      <c r="I538" s="584" t="s">
        <v>3918</v>
      </c>
      <c r="J538" s="504">
        <v>45285.833333333336</v>
      </c>
      <c r="K538" s="504"/>
      <c r="L538" s="574" t="s">
        <v>192</v>
      </c>
      <c r="M538" s="574" t="s">
        <v>192</v>
      </c>
      <c r="N538" s="505" t="str">
        <f t="shared" si="43"/>
        <v>DELAY ( 3 day 15 hour 35 minute )</v>
      </c>
      <c r="O538" s="597"/>
      <c r="P538" s="507" t="s">
        <v>551</v>
      </c>
      <c r="Q538" s="507" t="s">
        <v>551</v>
      </c>
      <c r="R538" s="507" t="s">
        <v>551</v>
      </c>
      <c r="S538" s="598"/>
      <c r="T538" s="599"/>
      <c r="U538" s="599"/>
      <c r="V538" s="599"/>
      <c r="W538" s="599"/>
      <c r="X538" s="599"/>
      <c r="Y538" s="599">
        <f>H538*0.8</f>
        <v>5943.6616000000004</v>
      </c>
      <c r="Z538" s="599">
        <f>H538*0.2</f>
        <v>1485.9154000000001</v>
      </c>
      <c r="AA538" s="599"/>
      <c r="AB538" s="599"/>
      <c r="AC538" s="599"/>
      <c r="AD538" s="599"/>
      <c r="AE538" s="599"/>
      <c r="AF538" s="599"/>
      <c r="AG538" s="599"/>
      <c r="AH538" s="599"/>
      <c r="AI538" s="599"/>
      <c r="AJ538" s="599"/>
      <c r="AK538" s="598"/>
      <c r="AL538" s="599"/>
      <c r="AM538" s="599"/>
      <c r="AN538" s="599"/>
      <c r="AO538" s="599"/>
      <c r="AP538" s="599"/>
      <c r="AQ538" s="599"/>
      <c r="AR538" s="599"/>
      <c r="AS538" s="599"/>
      <c r="AT538" s="599"/>
      <c r="AU538" s="599"/>
      <c r="AV538" s="599"/>
      <c r="AW538" s="599"/>
      <c r="AX538" s="598"/>
      <c r="AY538" s="599"/>
      <c r="AZ538" s="599"/>
      <c r="BA538" s="599"/>
      <c r="BB538" s="599"/>
      <c r="BC538" s="599"/>
      <c r="BD538" s="599"/>
      <c r="BE538" s="598"/>
    </row>
    <row r="539" spans="2:57">
      <c r="B539" s="1421"/>
      <c r="C539" s="1422"/>
      <c r="D539" s="836"/>
      <c r="E539" s="501"/>
      <c r="F539" s="1315" t="s">
        <v>668</v>
      </c>
      <c r="G539" s="1316"/>
      <c r="H539" s="629">
        <v>2000</v>
      </c>
      <c r="I539" s="584"/>
      <c r="J539" s="504"/>
      <c r="K539" s="574"/>
      <c r="L539" s="574"/>
      <c r="M539" s="574"/>
      <c r="N539" s="505" t="str">
        <f t="shared" si="43"/>
        <v xml:space="preserve"> </v>
      </c>
      <c r="O539" s="597"/>
      <c r="P539" s="507"/>
      <c r="Q539" s="507"/>
      <c r="R539" s="507"/>
      <c r="S539" s="598"/>
      <c r="T539" s="599"/>
      <c r="U539" s="599"/>
      <c r="V539" s="599"/>
      <c r="W539" s="599"/>
      <c r="X539" s="599"/>
      <c r="Y539" s="599"/>
      <c r="Z539" s="599"/>
      <c r="AA539" s="599"/>
      <c r="AB539" s="599"/>
      <c r="AC539" s="599"/>
      <c r="AD539" s="599"/>
      <c r="AE539" s="599"/>
      <c r="AF539" s="599"/>
      <c r="AG539" s="599"/>
      <c r="AH539" s="599"/>
      <c r="AI539" s="599"/>
      <c r="AJ539" s="599"/>
      <c r="AK539" s="599"/>
      <c r="AL539" s="599"/>
      <c r="AM539" s="599"/>
      <c r="AN539" s="599"/>
      <c r="AO539" s="599"/>
      <c r="AP539" s="599"/>
      <c r="AQ539" s="599"/>
      <c r="AR539" s="599"/>
      <c r="AS539" s="599"/>
      <c r="AT539" s="599"/>
      <c r="AU539" s="599"/>
      <c r="AV539" s="599"/>
      <c r="AW539" s="599"/>
      <c r="AX539" s="599"/>
      <c r="AY539" s="599"/>
      <c r="AZ539" s="599"/>
      <c r="BA539" s="599"/>
      <c r="BB539" s="599"/>
      <c r="BC539" s="599"/>
      <c r="BD539" s="599"/>
      <c r="BE539" s="598"/>
    </row>
    <row r="540" spans="2:57">
      <c r="B540" s="1328"/>
      <c r="C540" s="1329"/>
      <c r="D540" s="836"/>
      <c r="E540" s="501"/>
      <c r="F540" s="1315" t="s">
        <v>616</v>
      </c>
      <c r="G540" s="1316"/>
      <c r="H540" s="629">
        <v>500</v>
      </c>
      <c r="I540" s="584"/>
      <c r="J540" s="504"/>
      <c r="K540" s="574"/>
      <c r="L540" s="574"/>
      <c r="M540" s="574"/>
      <c r="N540" s="505" t="str">
        <f t="shared" si="43"/>
        <v xml:space="preserve"> </v>
      </c>
      <c r="O540" s="597"/>
      <c r="P540" s="507"/>
      <c r="Q540" s="507"/>
      <c r="R540" s="507"/>
      <c r="S540" s="598"/>
      <c r="T540" s="599"/>
      <c r="U540" s="599"/>
      <c r="V540" s="599"/>
      <c r="W540" s="599"/>
      <c r="X540" s="599"/>
      <c r="Y540" s="599"/>
      <c r="Z540" s="599"/>
      <c r="AA540" s="599"/>
      <c r="AB540" s="599"/>
      <c r="AC540" s="599"/>
      <c r="AD540" s="599"/>
      <c r="AE540" s="599"/>
      <c r="AF540" s="599"/>
      <c r="AG540" s="599"/>
      <c r="AH540" s="599"/>
      <c r="AI540" s="599"/>
      <c r="AJ540" s="599"/>
      <c r="AK540" s="599"/>
      <c r="AL540" s="599"/>
      <c r="AM540" s="599"/>
      <c r="AN540" s="599"/>
      <c r="AO540" s="599"/>
      <c r="AP540" s="599"/>
      <c r="AQ540" s="599"/>
      <c r="AR540" s="599"/>
      <c r="AS540" s="599"/>
      <c r="AT540" s="599"/>
      <c r="AU540" s="599"/>
      <c r="AV540" s="599"/>
      <c r="AW540" s="599"/>
      <c r="AX540" s="599"/>
      <c r="AY540" s="599"/>
      <c r="AZ540" s="599"/>
      <c r="BA540" s="599"/>
      <c r="BB540" s="599"/>
      <c r="BC540" s="599"/>
      <c r="BD540" s="599"/>
      <c r="BE540" s="598"/>
    </row>
    <row r="541" spans="2:57">
      <c r="B541" s="1326" t="s">
        <v>622</v>
      </c>
      <c r="C541" s="1327"/>
      <c r="D541" s="501" t="s">
        <v>3919</v>
      </c>
      <c r="E541" s="501"/>
      <c r="F541" s="501" t="s">
        <v>274</v>
      </c>
      <c r="G541" s="501" t="s">
        <v>1093</v>
      </c>
      <c r="H541" s="629">
        <v>7504.8729999999996</v>
      </c>
      <c r="I541" s="584" t="s">
        <v>3918</v>
      </c>
      <c r="J541" s="504">
        <v>45285.854166666664</v>
      </c>
      <c r="K541" s="574"/>
      <c r="L541" s="574" t="s">
        <v>192</v>
      </c>
      <c r="M541" s="574" t="s">
        <v>192</v>
      </c>
      <c r="N541" s="505" t="str">
        <f t="shared" si="43"/>
        <v>DELAY ( 3 day 16 hour 5 minute )</v>
      </c>
      <c r="O541" s="597"/>
      <c r="P541" s="507" t="s">
        <v>551</v>
      </c>
      <c r="Q541" s="507" t="s">
        <v>551</v>
      </c>
      <c r="R541" s="507" t="s">
        <v>551</v>
      </c>
      <c r="S541" s="598"/>
      <c r="T541" s="599"/>
      <c r="U541" s="599"/>
      <c r="V541" s="599"/>
      <c r="W541" s="599"/>
      <c r="X541" s="599"/>
      <c r="Y541" s="599">
        <f>H541*0.7</f>
        <v>5253.4110999999994</v>
      </c>
      <c r="Z541" s="599">
        <f>H541*0.3</f>
        <v>2251.4618999999998</v>
      </c>
      <c r="AA541" s="599"/>
      <c r="AB541" s="599"/>
      <c r="AC541" s="599"/>
      <c r="AD541" s="599"/>
      <c r="AE541" s="599"/>
      <c r="AF541" s="599"/>
      <c r="AG541" s="599"/>
      <c r="AH541" s="599"/>
      <c r="AI541" s="599"/>
      <c r="AJ541" s="599"/>
      <c r="AK541" s="599"/>
      <c r="AL541" s="599"/>
      <c r="AM541" s="599"/>
      <c r="AN541" s="599"/>
      <c r="AO541" s="599"/>
      <c r="AP541" s="599"/>
      <c r="AQ541" s="599"/>
      <c r="AR541" s="599"/>
      <c r="AS541" s="599"/>
      <c r="AT541" s="599"/>
      <c r="AU541" s="599"/>
      <c r="AV541" s="599"/>
      <c r="AW541" s="599"/>
      <c r="AX541" s="599"/>
      <c r="AY541" s="599"/>
      <c r="AZ541" s="599"/>
      <c r="BA541" s="599"/>
      <c r="BB541" s="599"/>
      <c r="BC541" s="599"/>
      <c r="BD541" s="599"/>
      <c r="BE541" s="598"/>
    </row>
    <row r="542" spans="2:57">
      <c r="B542" s="1421"/>
      <c r="C542" s="1422"/>
      <c r="D542" s="836"/>
      <c r="E542" s="501"/>
      <c r="F542" s="1315" t="s">
        <v>668</v>
      </c>
      <c r="G542" s="1316"/>
      <c r="H542" s="629">
        <v>1000</v>
      </c>
      <c r="I542" s="584"/>
      <c r="J542" s="504"/>
      <c r="K542" s="574"/>
      <c r="L542" s="574"/>
      <c r="M542" s="574"/>
      <c r="N542" s="505" t="str">
        <f t="shared" si="43"/>
        <v xml:space="preserve"> </v>
      </c>
      <c r="O542" s="597"/>
      <c r="P542" s="507"/>
      <c r="Q542" s="507"/>
      <c r="R542" s="507"/>
      <c r="S542" s="598"/>
      <c r="T542" s="599"/>
      <c r="U542" s="599"/>
      <c r="V542" s="599"/>
      <c r="W542" s="599"/>
      <c r="X542" s="599"/>
      <c r="Y542" s="599"/>
      <c r="Z542" s="599"/>
      <c r="AA542" s="599"/>
      <c r="AB542" s="599"/>
      <c r="AC542" s="599"/>
      <c r="AD542" s="599"/>
      <c r="AE542" s="599"/>
      <c r="AF542" s="599"/>
      <c r="AG542" s="599"/>
      <c r="AH542" s="599"/>
      <c r="AI542" s="599"/>
      <c r="AJ542" s="599"/>
      <c r="AK542" s="599"/>
      <c r="AL542" s="599"/>
      <c r="AM542" s="599"/>
      <c r="AN542" s="599"/>
      <c r="AO542" s="599"/>
      <c r="AP542" s="599"/>
      <c r="AQ542" s="599"/>
      <c r="AR542" s="599"/>
      <c r="AS542" s="599"/>
      <c r="AT542" s="599"/>
      <c r="AU542" s="599"/>
      <c r="AV542" s="599"/>
      <c r="AW542" s="599"/>
      <c r="AX542" s="599"/>
      <c r="AY542" s="599"/>
      <c r="AZ542" s="599"/>
      <c r="BA542" s="599"/>
      <c r="BB542" s="599"/>
      <c r="BC542" s="599"/>
      <c r="BD542" s="599"/>
      <c r="BE542" s="598"/>
    </row>
    <row r="543" spans="2:57">
      <c r="B543" s="1328"/>
      <c r="C543" s="1329"/>
      <c r="D543" s="836"/>
      <c r="E543" s="501"/>
      <c r="F543" s="1315" t="s">
        <v>616</v>
      </c>
      <c r="G543" s="1316"/>
      <c r="H543" s="629">
        <v>3667</v>
      </c>
      <c r="I543" s="584"/>
      <c r="J543" s="504"/>
      <c r="K543" s="574"/>
      <c r="L543" s="574"/>
      <c r="M543" s="574"/>
      <c r="N543" s="505" t="str">
        <f t="shared" si="43"/>
        <v xml:space="preserve"> </v>
      </c>
      <c r="O543" s="597"/>
      <c r="P543" s="507"/>
      <c r="Q543" s="507"/>
      <c r="R543" s="507"/>
      <c r="S543" s="598"/>
      <c r="T543" s="599"/>
      <c r="U543" s="599"/>
      <c r="V543" s="599"/>
      <c r="W543" s="599"/>
      <c r="X543" s="599"/>
      <c r="Y543" s="599"/>
      <c r="Z543" s="599"/>
      <c r="AA543" s="599"/>
      <c r="AB543" s="599"/>
      <c r="AC543" s="599"/>
      <c r="AD543" s="599"/>
      <c r="AE543" s="599"/>
      <c r="AF543" s="599"/>
      <c r="AG543" s="599"/>
      <c r="AH543" s="599"/>
      <c r="AI543" s="599"/>
      <c r="AJ543" s="599"/>
      <c r="AK543" s="599"/>
      <c r="AL543" s="599"/>
      <c r="AM543" s="599"/>
      <c r="AN543" s="599"/>
      <c r="AO543" s="599"/>
      <c r="AP543" s="599"/>
      <c r="AQ543" s="599"/>
      <c r="AR543" s="599"/>
      <c r="AS543" s="599"/>
      <c r="AT543" s="599"/>
      <c r="AU543" s="599"/>
      <c r="AV543" s="599"/>
      <c r="AW543" s="599"/>
      <c r="AX543" s="599"/>
      <c r="AY543" s="599"/>
      <c r="AZ543" s="599"/>
      <c r="BA543" s="599"/>
      <c r="BB543" s="599"/>
      <c r="BC543" s="599"/>
      <c r="BD543" s="599"/>
      <c r="BE543" s="598"/>
    </row>
    <row r="544" spans="2:57">
      <c r="B544" s="1326" t="s">
        <v>623</v>
      </c>
      <c r="C544" s="1327"/>
      <c r="D544" s="501" t="s">
        <v>3924</v>
      </c>
      <c r="E544" s="501"/>
      <c r="F544" s="501" t="s">
        <v>355</v>
      </c>
      <c r="G544" s="501" t="s">
        <v>356</v>
      </c>
      <c r="H544" s="629">
        <v>7622.1450000000004</v>
      </c>
      <c r="I544" s="584" t="s">
        <v>3918</v>
      </c>
      <c r="J544" s="504">
        <v>45286.25</v>
      </c>
      <c r="K544" s="574"/>
      <c r="L544" s="574" t="s">
        <v>192</v>
      </c>
      <c r="M544" s="574" t="s">
        <v>192</v>
      </c>
      <c r="N544" s="505" t="str">
        <f t="shared" si="43"/>
        <v>DELAY ( 4 day 1 hour 35 minute )</v>
      </c>
      <c r="O544" s="597"/>
      <c r="P544" s="507" t="s">
        <v>551</v>
      </c>
      <c r="Q544" s="507" t="s">
        <v>551</v>
      </c>
      <c r="R544" s="507" t="s">
        <v>551</v>
      </c>
      <c r="S544" s="598"/>
      <c r="T544" s="599"/>
      <c r="U544" s="599"/>
      <c r="V544" s="599"/>
      <c r="W544" s="599"/>
      <c r="X544" s="599"/>
      <c r="Y544" s="599">
        <f>H544*0.7</f>
        <v>5335.5015000000003</v>
      </c>
      <c r="Z544" s="599">
        <f>H544*0.3</f>
        <v>2286.6435000000001</v>
      </c>
      <c r="AA544" s="599"/>
      <c r="AB544" s="599"/>
      <c r="AC544" s="599"/>
      <c r="AD544" s="599"/>
      <c r="AE544" s="599"/>
      <c r="AF544" s="599"/>
      <c r="AG544" s="599"/>
      <c r="AH544" s="599"/>
      <c r="AI544" s="599"/>
      <c r="AJ544" s="599"/>
      <c r="AK544" s="599"/>
      <c r="AL544" s="599"/>
      <c r="AM544" s="599"/>
      <c r="AN544" s="599"/>
      <c r="AO544" s="599"/>
      <c r="AP544" s="599"/>
      <c r="AQ544" s="599"/>
      <c r="AR544" s="599"/>
      <c r="AS544" s="599"/>
      <c r="AT544" s="599"/>
      <c r="AU544" s="599"/>
      <c r="AV544" s="599"/>
      <c r="AW544" s="599"/>
      <c r="AX544" s="599"/>
      <c r="AY544" s="599"/>
      <c r="AZ544" s="599"/>
      <c r="BA544" s="599"/>
      <c r="BB544" s="599"/>
      <c r="BC544" s="599"/>
      <c r="BD544" s="599"/>
      <c r="BE544" s="598"/>
    </row>
    <row r="545" spans="2:57">
      <c r="B545" s="1421"/>
      <c r="C545" s="1422"/>
      <c r="D545" s="836"/>
      <c r="E545" s="501"/>
      <c r="F545" s="1315" t="s">
        <v>668</v>
      </c>
      <c r="G545" s="1316"/>
      <c r="H545" s="629">
        <v>1000</v>
      </c>
      <c r="I545" s="584"/>
      <c r="J545" s="504"/>
      <c r="K545" s="574"/>
      <c r="L545" s="574"/>
      <c r="M545" s="574"/>
      <c r="N545" s="505" t="str">
        <f t="shared" si="43"/>
        <v xml:space="preserve"> </v>
      </c>
      <c r="O545" s="597"/>
      <c r="P545" s="507"/>
      <c r="Q545" s="507"/>
      <c r="R545" s="507"/>
      <c r="S545" s="598"/>
      <c r="T545" s="599"/>
      <c r="U545" s="599"/>
      <c r="V545" s="599"/>
      <c r="W545" s="599"/>
      <c r="X545" s="599"/>
      <c r="Y545" s="599"/>
      <c r="Z545" s="599"/>
      <c r="AA545" s="599"/>
      <c r="AB545" s="599"/>
      <c r="AC545" s="599"/>
      <c r="AD545" s="599"/>
      <c r="AE545" s="599"/>
      <c r="AF545" s="599"/>
      <c r="AG545" s="599"/>
      <c r="AH545" s="599"/>
      <c r="AI545" s="599"/>
      <c r="AJ545" s="599"/>
      <c r="AK545" s="599"/>
      <c r="AL545" s="599"/>
      <c r="AM545" s="599"/>
      <c r="AN545" s="599"/>
      <c r="AO545" s="599"/>
      <c r="AP545" s="599"/>
      <c r="AQ545" s="599"/>
      <c r="AR545" s="599"/>
      <c r="AS545" s="599"/>
      <c r="AT545" s="599"/>
      <c r="AU545" s="599"/>
      <c r="AV545" s="599"/>
      <c r="AW545" s="599"/>
      <c r="AX545" s="599"/>
      <c r="AY545" s="599"/>
      <c r="AZ545" s="599"/>
      <c r="BA545" s="599"/>
      <c r="BB545" s="599"/>
      <c r="BC545" s="599"/>
      <c r="BD545" s="599"/>
      <c r="BE545" s="598"/>
    </row>
    <row r="546" spans="2:57">
      <c r="B546" s="1421"/>
      <c r="C546" s="1422"/>
      <c r="D546" s="1160"/>
      <c r="E546" s="1161"/>
      <c r="F546" s="1326" t="s">
        <v>616</v>
      </c>
      <c r="G546" s="1327"/>
      <c r="H546" s="888">
        <v>5000</v>
      </c>
      <c r="I546" s="584"/>
      <c r="J546" s="574"/>
      <c r="K546" s="574"/>
      <c r="L546" s="574"/>
      <c r="M546" s="574"/>
      <c r="N546" s="505" t="str">
        <f t="shared" si="43"/>
        <v xml:space="preserve"> </v>
      </c>
      <c r="O546" s="597"/>
      <c r="P546" s="507"/>
      <c r="Q546" s="507"/>
      <c r="R546" s="507"/>
      <c r="S546" s="598"/>
      <c r="T546" s="599"/>
      <c r="U546" s="599"/>
      <c r="V546" s="599"/>
      <c r="W546" s="599"/>
      <c r="X546" s="599"/>
      <c r="Y546" s="599"/>
      <c r="Z546" s="599"/>
      <c r="AA546" s="599"/>
      <c r="AB546" s="599"/>
      <c r="AC546" s="599"/>
      <c r="AD546" s="599"/>
      <c r="AE546" s="599"/>
      <c r="AF546" s="599"/>
      <c r="AG546" s="599"/>
      <c r="AH546" s="599"/>
      <c r="AI546" s="599"/>
      <c r="AJ546" s="599"/>
      <c r="AK546" s="599"/>
      <c r="AL546" s="599"/>
      <c r="AM546" s="599"/>
      <c r="AN546" s="599"/>
      <c r="AO546" s="599"/>
      <c r="AP546" s="599"/>
      <c r="AQ546" s="599"/>
      <c r="AR546" s="599"/>
      <c r="AS546" s="599"/>
      <c r="AT546" s="599"/>
      <c r="AU546" s="599"/>
      <c r="AV546" s="599"/>
      <c r="AW546" s="599"/>
      <c r="AX546" s="599"/>
      <c r="AY546" s="599"/>
      <c r="AZ546" s="599"/>
      <c r="BA546" s="599"/>
      <c r="BB546" s="599"/>
      <c r="BC546" s="599"/>
      <c r="BD546" s="599"/>
      <c r="BE546" s="598"/>
    </row>
    <row r="547" spans="2:57">
      <c r="B547" s="1338" t="s">
        <v>624</v>
      </c>
      <c r="C547" s="1338"/>
      <c r="D547" s="593" t="s">
        <v>3927</v>
      </c>
      <c r="E547" s="593"/>
      <c r="F547" s="593" t="s">
        <v>774</v>
      </c>
      <c r="G547" s="593" t="s">
        <v>391</v>
      </c>
      <c r="H547" s="1162">
        <f>7539.022-2578.906</f>
        <v>4960.116</v>
      </c>
      <c r="I547" s="595" t="s">
        <v>3918</v>
      </c>
      <c r="J547" s="605">
        <v>45287.208333333336</v>
      </c>
      <c r="K547" s="605"/>
      <c r="L547" s="574" t="s">
        <v>192</v>
      </c>
      <c r="M547" s="574" t="s">
        <v>192</v>
      </c>
      <c r="N547" s="505" t="str">
        <f t="shared" si="43"/>
        <v>DELAY ( 5 day 0 hour 35 minute )</v>
      </c>
      <c r="O547" s="597"/>
      <c r="P547" s="507" t="s">
        <v>551</v>
      </c>
      <c r="Q547" s="507" t="s">
        <v>551</v>
      </c>
      <c r="R547" s="507" t="s">
        <v>551</v>
      </c>
      <c r="S547" s="598"/>
      <c r="T547" s="599"/>
      <c r="U547" s="599"/>
      <c r="V547" s="599"/>
      <c r="W547" s="599"/>
      <c r="X547" s="599"/>
      <c r="Y547" s="599">
        <f>H547*0.7-(H554*0.7)</f>
        <v>2792.4826999999996</v>
      </c>
      <c r="Z547" s="599">
        <f>H547*0.3-(H554*0.3)</f>
        <v>1196.7782999999999</v>
      </c>
      <c r="AA547" s="599"/>
      <c r="AB547" s="599"/>
      <c r="AC547" s="599"/>
      <c r="AD547" s="599"/>
      <c r="AE547" s="599"/>
      <c r="AF547" s="599"/>
      <c r="AG547" s="599"/>
      <c r="AH547" s="599"/>
      <c r="AI547" s="599"/>
      <c r="AJ547" s="599"/>
      <c r="AK547" s="599"/>
      <c r="AL547" s="599"/>
      <c r="AM547" s="599"/>
      <c r="AN547" s="599"/>
      <c r="AO547" s="599"/>
      <c r="AP547" s="599"/>
      <c r="AQ547" s="599"/>
      <c r="AR547" s="599"/>
      <c r="AS547" s="599"/>
      <c r="AT547" s="599"/>
      <c r="AU547" s="599"/>
      <c r="AV547" s="599"/>
      <c r="AW547" s="599"/>
      <c r="AX547" s="599"/>
      <c r="AY547" s="599"/>
      <c r="AZ547" s="599"/>
      <c r="BA547" s="599"/>
      <c r="BB547" s="599"/>
      <c r="BC547" s="599"/>
      <c r="BD547" s="599"/>
      <c r="BE547" s="598"/>
    </row>
    <row r="548" spans="2:57">
      <c r="B548" s="1338"/>
      <c r="C548" s="1338"/>
      <c r="D548" s="593"/>
      <c r="E548" s="593"/>
      <c r="F548" s="1338" t="s">
        <v>668</v>
      </c>
      <c r="G548" s="1338"/>
      <c r="H548" s="1162">
        <f>1388.479</f>
        <v>1388.479</v>
      </c>
      <c r="I548" s="595"/>
      <c r="J548" s="605"/>
      <c r="K548" s="605"/>
      <c r="L548" s="605"/>
      <c r="M548" s="605"/>
      <c r="N548" s="505" t="str">
        <f t="shared" si="43"/>
        <v xml:space="preserve"> </v>
      </c>
      <c r="O548" s="597"/>
      <c r="P548" s="507"/>
      <c r="Q548" s="507"/>
      <c r="R548" s="507"/>
      <c r="S548" s="598"/>
      <c r="T548" s="599"/>
      <c r="U548" s="599"/>
      <c r="V548" s="599"/>
      <c r="W548" s="599"/>
      <c r="X548" s="599"/>
      <c r="Y548" s="599"/>
      <c r="Z548" s="599"/>
      <c r="AA548" s="599"/>
      <c r="AB548" s="599"/>
      <c r="AC548" s="599"/>
      <c r="AD548" s="599"/>
      <c r="AE548" s="599"/>
      <c r="AF548" s="599"/>
      <c r="AG548" s="599"/>
      <c r="AH548" s="599"/>
      <c r="AI548" s="599"/>
      <c r="AJ548" s="599"/>
      <c r="AK548" s="599"/>
      <c r="AL548" s="599"/>
      <c r="AM548" s="599"/>
      <c r="AN548" s="599"/>
      <c r="AO548" s="599"/>
      <c r="AP548" s="599"/>
      <c r="AQ548" s="599"/>
      <c r="AR548" s="599"/>
      <c r="AS548" s="599"/>
      <c r="AT548" s="599"/>
      <c r="AU548" s="599"/>
      <c r="AV548" s="599"/>
      <c r="AW548" s="599"/>
      <c r="AX548" s="599"/>
      <c r="AY548" s="599"/>
      <c r="AZ548" s="599"/>
      <c r="BA548" s="599"/>
      <c r="BB548" s="599"/>
      <c r="BC548" s="599"/>
      <c r="BD548" s="599"/>
      <c r="BE548" s="598"/>
    </row>
    <row r="549" spans="2:57">
      <c r="B549" s="1338"/>
      <c r="C549" s="1338"/>
      <c r="D549" s="593"/>
      <c r="E549" s="593"/>
      <c r="F549" s="1338" t="s">
        <v>616</v>
      </c>
      <c r="G549" s="1338"/>
      <c r="H549" s="1162">
        <v>1800.3219999999999</v>
      </c>
      <c r="I549" s="595"/>
      <c r="J549" s="605"/>
      <c r="K549" s="605"/>
      <c r="L549" s="605"/>
      <c r="M549" s="605"/>
      <c r="N549" s="505" t="str">
        <f t="shared" si="43"/>
        <v xml:space="preserve"> </v>
      </c>
      <c r="O549" s="597"/>
      <c r="P549" s="507"/>
      <c r="Q549" s="507"/>
      <c r="R549" s="507"/>
      <c r="S549" s="598"/>
      <c r="T549" s="599"/>
      <c r="U549" s="599"/>
      <c r="V549" s="599"/>
      <c r="W549" s="599"/>
      <c r="X549" s="599"/>
      <c r="Y549" s="599"/>
      <c r="Z549" s="599"/>
      <c r="AA549" s="599"/>
      <c r="AB549" s="599"/>
      <c r="AC549" s="599"/>
      <c r="AD549" s="599"/>
      <c r="AE549" s="599"/>
      <c r="AF549" s="599"/>
      <c r="AG549" s="599"/>
      <c r="AH549" s="599"/>
      <c r="AI549" s="599"/>
      <c r="AJ549" s="599"/>
      <c r="AK549" s="599"/>
      <c r="AL549" s="599"/>
      <c r="AM549" s="599"/>
      <c r="AN549" s="599"/>
      <c r="AO549" s="599"/>
      <c r="AP549" s="599"/>
      <c r="AQ549" s="599"/>
      <c r="AR549" s="599"/>
      <c r="AS549" s="599"/>
      <c r="AT549" s="599"/>
      <c r="AU549" s="599"/>
      <c r="AV549" s="599"/>
      <c r="AW549" s="599"/>
      <c r="AX549" s="599"/>
      <c r="AY549" s="599"/>
      <c r="AZ549" s="599"/>
      <c r="BA549" s="599"/>
      <c r="BB549" s="599"/>
      <c r="BC549" s="599"/>
      <c r="BD549" s="599"/>
      <c r="BE549" s="598"/>
    </row>
    <row r="550" spans="2:57">
      <c r="B550" s="1487" t="s">
        <v>626</v>
      </c>
      <c r="C550" s="1487"/>
      <c r="D550" s="1487"/>
      <c r="E550" s="1487"/>
      <c r="F550" s="1487"/>
      <c r="G550" s="1487"/>
      <c r="H550" s="889">
        <f>H535+H538+H541+H544+H547</f>
        <v>34944.199000000001</v>
      </c>
      <c r="I550" s="868"/>
      <c r="J550" s="869"/>
      <c r="K550" s="869"/>
      <c r="L550" s="869"/>
      <c r="M550" s="869"/>
      <c r="N550" s="505" t="str">
        <f t="shared" si="43"/>
        <v xml:space="preserve"> </v>
      </c>
      <c r="O550" s="552"/>
      <c r="P550" s="706"/>
      <c r="Q550" s="706"/>
      <c r="R550" s="706"/>
      <c r="S550" s="598"/>
      <c r="T550" s="1462"/>
      <c r="U550" s="1462"/>
      <c r="V550" s="1462"/>
      <c r="W550" s="1462"/>
      <c r="X550" s="1462"/>
      <c r="Y550" s="1462"/>
      <c r="Z550" s="1462"/>
      <c r="AA550" s="1462"/>
      <c r="AB550" s="1462"/>
      <c r="AC550" s="1462"/>
      <c r="AD550" s="1462"/>
      <c r="AE550" s="1462"/>
      <c r="AF550" s="1462"/>
      <c r="AG550" s="1462"/>
      <c r="AH550" s="1462"/>
      <c r="AI550" s="1462"/>
      <c r="AJ550" s="1462"/>
      <c r="AK550" s="1462"/>
      <c r="AL550" s="1462"/>
      <c r="AM550" s="1462"/>
      <c r="AN550" s="1462"/>
      <c r="AO550" s="1462"/>
      <c r="AP550" s="1462"/>
      <c r="AQ550" s="1462"/>
      <c r="AR550" s="1462"/>
      <c r="AS550" s="1462"/>
      <c r="AT550" s="1462"/>
      <c r="AU550" s="1462"/>
      <c r="AV550" s="1462"/>
      <c r="AW550" s="1462"/>
      <c r="AX550" s="1462"/>
      <c r="AY550" s="1462"/>
      <c r="AZ550" s="1462"/>
      <c r="BA550" s="1462"/>
      <c r="BB550" s="1462"/>
      <c r="BC550" s="1462"/>
      <c r="BD550" s="1462"/>
    </row>
    <row r="551" spans="2:57">
      <c r="B551" s="1346" t="s">
        <v>556</v>
      </c>
      <c r="C551" s="1347"/>
      <c r="D551" s="1347"/>
      <c r="E551" s="1347"/>
      <c r="F551" s="1347"/>
      <c r="G551" s="1348"/>
      <c r="H551" s="1093">
        <f>H534+H550</f>
        <v>56300</v>
      </c>
      <c r="I551" s="1486"/>
      <c r="J551" s="1486"/>
      <c r="K551" s="1486"/>
      <c r="L551" s="1486"/>
      <c r="M551" s="1486"/>
      <c r="N551" s="505" t="str">
        <f t="shared" si="43"/>
        <v xml:space="preserve"> </v>
      </c>
      <c r="O551" s="212"/>
      <c r="P551" s="590"/>
      <c r="Q551" s="590"/>
      <c r="R551" s="590"/>
      <c r="S551" s="633"/>
      <c r="T551" s="1307"/>
      <c r="U551" s="1308"/>
      <c r="V551" s="1308"/>
      <c r="W551" s="1308"/>
      <c r="X551" s="1308"/>
      <c r="Y551" s="1308"/>
      <c r="Z551" s="1308"/>
      <c r="AA551" s="1308"/>
      <c r="AB551" s="1308"/>
      <c r="AC551" s="1308"/>
      <c r="AD551" s="1308"/>
      <c r="AE551" s="1308"/>
      <c r="AF551" s="1308"/>
      <c r="AG551" s="1308"/>
      <c r="AH551" s="1308"/>
      <c r="AI551" s="1308"/>
      <c r="AJ551" s="1308"/>
      <c r="AK551" s="1308"/>
      <c r="AL551" s="1308"/>
      <c r="AM551" s="1308"/>
      <c r="AN551" s="1308"/>
      <c r="AO551" s="1308"/>
      <c r="AP551" s="1308"/>
      <c r="AQ551" s="1308"/>
      <c r="AR551" s="1308"/>
      <c r="AS551" s="1308"/>
      <c r="AT551" s="1308"/>
      <c r="AU551" s="1308"/>
      <c r="AV551" s="1308"/>
      <c r="AW551" s="1308"/>
      <c r="AX551" s="1308"/>
      <c r="AY551" s="1308"/>
      <c r="AZ551" s="1308"/>
      <c r="BA551" s="1308"/>
      <c r="BB551" s="1308"/>
      <c r="BC551" s="1308"/>
      <c r="BD551" s="1308"/>
      <c r="BE551" s="39"/>
    </row>
    <row r="552" spans="2:57">
      <c r="B552" s="1415" t="s">
        <v>557</v>
      </c>
      <c r="C552" s="1416"/>
      <c r="D552" s="1416"/>
      <c r="E552" s="1416"/>
      <c r="F552" s="1416"/>
      <c r="G552" s="1417"/>
      <c r="H552" s="845">
        <v>56300</v>
      </c>
      <c r="I552" s="1455"/>
      <c r="J552" s="1455"/>
      <c r="K552" s="1455"/>
      <c r="L552" s="1455"/>
      <c r="M552" s="1455"/>
      <c r="N552" s="505" t="str">
        <f t="shared" si="43"/>
        <v xml:space="preserve"> </v>
      </c>
      <c r="O552" s="591"/>
      <c r="P552" s="415"/>
      <c r="Q552" s="415"/>
      <c r="R552" s="415"/>
      <c r="S552" s="740"/>
      <c r="T552" s="592">
        <f t="shared" ref="T552:BD552" si="44">SUM(T531:T547)</f>
        <v>0</v>
      </c>
      <c r="U552" s="592">
        <f t="shared" si="44"/>
        <v>0</v>
      </c>
      <c r="V552" s="592">
        <f t="shared" si="44"/>
        <v>0</v>
      </c>
      <c r="W552" s="592">
        <f t="shared" si="44"/>
        <v>0</v>
      </c>
      <c r="X552" s="592">
        <f t="shared" si="44"/>
        <v>0</v>
      </c>
      <c r="Y552" s="592">
        <f t="shared" si="44"/>
        <v>31655.526299999998</v>
      </c>
      <c r="Z552" s="592">
        <f t="shared" si="44"/>
        <v>8706.2967000000008</v>
      </c>
      <c r="AA552" s="592">
        <f t="shared" si="44"/>
        <v>0</v>
      </c>
      <c r="AB552" s="592">
        <f t="shared" si="44"/>
        <v>14967.322</v>
      </c>
      <c r="AC552" s="592">
        <f t="shared" si="44"/>
        <v>0</v>
      </c>
      <c r="AD552" s="592">
        <f t="shared" si="44"/>
        <v>0</v>
      </c>
      <c r="AE552" s="592">
        <f t="shared" si="44"/>
        <v>0</v>
      </c>
      <c r="AF552" s="592">
        <f t="shared" si="44"/>
        <v>0</v>
      </c>
      <c r="AG552" s="592">
        <f t="shared" si="44"/>
        <v>0</v>
      </c>
      <c r="AH552" s="592">
        <f t="shared" si="44"/>
        <v>0</v>
      </c>
      <c r="AI552" s="592">
        <f t="shared" si="44"/>
        <v>0</v>
      </c>
      <c r="AJ552" s="592">
        <f t="shared" si="44"/>
        <v>0</v>
      </c>
      <c r="AK552" s="592">
        <f t="shared" si="44"/>
        <v>0</v>
      </c>
      <c r="AL552" s="592">
        <f t="shared" si="44"/>
        <v>0</v>
      </c>
      <c r="AM552" s="592">
        <f t="shared" si="44"/>
        <v>0</v>
      </c>
      <c r="AN552" s="592">
        <f t="shared" si="44"/>
        <v>0</v>
      </c>
      <c r="AO552" s="592">
        <f t="shared" si="44"/>
        <v>0</v>
      </c>
      <c r="AP552" s="592">
        <f t="shared" si="44"/>
        <v>0</v>
      </c>
      <c r="AQ552" s="592">
        <f t="shared" si="44"/>
        <v>0</v>
      </c>
      <c r="AR552" s="592">
        <f t="shared" si="44"/>
        <v>0</v>
      </c>
      <c r="AS552" s="592">
        <f t="shared" si="44"/>
        <v>0</v>
      </c>
      <c r="AT552" s="592">
        <f t="shared" si="44"/>
        <v>0</v>
      </c>
      <c r="AU552" s="592">
        <f t="shared" si="44"/>
        <v>0</v>
      </c>
      <c r="AV552" s="592">
        <f t="shared" si="44"/>
        <v>0</v>
      </c>
      <c r="AW552" s="592">
        <f t="shared" si="44"/>
        <v>0</v>
      </c>
      <c r="AX552" s="592">
        <f t="shared" si="44"/>
        <v>0</v>
      </c>
      <c r="AY552" s="592">
        <f t="shared" si="44"/>
        <v>0</v>
      </c>
      <c r="AZ552" s="592">
        <f t="shared" si="44"/>
        <v>0</v>
      </c>
      <c r="BA552" s="592">
        <f t="shared" si="44"/>
        <v>0</v>
      </c>
      <c r="BB552" s="592">
        <f t="shared" si="44"/>
        <v>0</v>
      </c>
      <c r="BC552" s="592">
        <f t="shared" si="44"/>
        <v>0</v>
      </c>
      <c r="BD552" s="592">
        <f t="shared" si="44"/>
        <v>0</v>
      </c>
      <c r="BE552" s="592">
        <f>SUM(T552:BD552)</f>
        <v>55329.144999999997</v>
      </c>
    </row>
    <row r="553" spans="2:57">
      <c r="B553" s="1415" t="s">
        <v>558</v>
      </c>
      <c r="C553" s="1416"/>
      <c r="D553" s="1416"/>
      <c r="E553" s="1416"/>
      <c r="F553" s="1416"/>
      <c r="G553" s="1417"/>
      <c r="H553" s="712">
        <f>H552-L525</f>
        <v>0</v>
      </c>
      <c r="I553" s="745"/>
      <c r="J553" s="746"/>
      <c r="K553" s="746"/>
      <c r="L553" s="674"/>
      <c r="M553" s="633"/>
      <c r="N553" s="591"/>
      <c r="O553" s="591"/>
      <c r="P553" s="591"/>
      <c r="Q553" s="744"/>
      <c r="R553" s="744"/>
      <c r="S553" s="591"/>
      <c r="T553" s="645"/>
      <c r="U553" s="645"/>
      <c r="V553" s="645"/>
      <c r="W553" s="645"/>
      <c r="X553" s="645"/>
      <c r="Y553" s="645"/>
      <c r="Z553" s="645"/>
      <c r="AA553" s="645"/>
      <c r="AB553" s="645"/>
      <c r="AC553" s="591"/>
      <c r="AD553" s="591"/>
      <c r="AE553" s="591"/>
      <c r="AF553" s="591"/>
      <c r="AG553" s="591"/>
      <c r="AH553" s="591"/>
      <c r="AI553" s="591"/>
      <c r="AJ553" s="591"/>
      <c r="AK553" s="591"/>
      <c r="AL553" s="591"/>
      <c r="AM553" s="591"/>
      <c r="AN553" s="591"/>
      <c r="AO553" s="591"/>
      <c r="AP553" s="591"/>
      <c r="AQ553" s="591"/>
      <c r="AR553" s="591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</row>
    <row r="554" spans="2:57">
      <c r="B554" s="1415" t="s">
        <v>559</v>
      </c>
      <c r="C554" s="1416"/>
      <c r="D554" s="1416"/>
      <c r="E554" s="1416"/>
      <c r="F554" s="1416"/>
      <c r="G554" s="1417"/>
      <c r="H554" s="747">
        <v>970.85500000000002</v>
      </c>
      <c r="I554" s="745"/>
      <c r="J554" s="746"/>
      <c r="K554" s="746"/>
      <c r="L554" s="674"/>
      <c r="M554" s="633"/>
      <c r="N554" s="613"/>
      <c r="O554" s="591"/>
      <c r="P554" s="591"/>
      <c r="Q554" s="591"/>
      <c r="R554" s="591"/>
      <c r="S554" s="591"/>
      <c r="T554" s="645"/>
      <c r="U554" s="645"/>
      <c r="V554" s="645"/>
      <c r="W554" s="645"/>
      <c r="X554" s="645"/>
      <c r="Y554" s="645"/>
      <c r="Z554" s="645"/>
      <c r="AA554" s="645"/>
      <c r="AB554" s="645"/>
      <c r="AC554" s="591"/>
      <c r="AD554" s="591"/>
      <c r="AE554" s="591"/>
      <c r="AF554" s="591"/>
      <c r="AG554" s="591"/>
      <c r="AH554" s="591"/>
      <c r="AI554" s="591"/>
      <c r="AJ554" s="591"/>
      <c r="AK554" s="591"/>
      <c r="AL554" s="591"/>
      <c r="AM554" s="591"/>
      <c r="AN554" s="591"/>
      <c r="AO554" s="591"/>
      <c r="AP554" s="591"/>
      <c r="AQ554" s="591"/>
      <c r="AR554" s="591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</row>
    <row r="555" spans="2:57" s="39" customFormat="1" ht="12.75" customHeight="1">
      <c r="B555" s="1415" t="s">
        <v>560</v>
      </c>
      <c r="C555" s="1416"/>
      <c r="D555" s="1416"/>
      <c r="E555" s="1416"/>
      <c r="F555" s="1416"/>
      <c r="G555" s="1417"/>
      <c r="H555" s="741">
        <f>H554-2578.906</f>
        <v>-1608.0509999999999</v>
      </c>
      <c r="I555" s="641"/>
      <c r="J555" s="642"/>
      <c r="K555" s="642"/>
      <c r="L555" s="499"/>
      <c r="M555" s="613"/>
      <c r="N555" s="613"/>
      <c r="O555" s="613"/>
      <c r="P555" s="613"/>
      <c r="Q555" s="613"/>
      <c r="R555" s="613"/>
      <c r="S555" s="616"/>
      <c r="T555" s="616"/>
      <c r="U555" s="616"/>
      <c r="V555" s="616"/>
      <c r="W555" s="616"/>
      <c r="X555" s="616"/>
      <c r="Y555" s="616"/>
      <c r="Z555" s="616"/>
      <c r="AA555" s="616"/>
      <c r="AB555" s="613"/>
      <c r="AC555" s="613"/>
      <c r="AD555" s="613"/>
      <c r="AE555" s="613"/>
      <c r="AF555" s="613"/>
      <c r="AG555" s="613"/>
      <c r="AH555" s="613"/>
      <c r="AI555" s="613"/>
      <c r="AJ555" s="613"/>
      <c r="AK555" s="613"/>
      <c r="AL555" s="613"/>
      <c r="AM555" s="613"/>
      <c r="AN555" s="613"/>
      <c r="AO555" s="613"/>
      <c r="AP555" s="613"/>
      <c r="AQ555" s="613"/>
      <c r="AR555" s="496"/>
      <c r="AS555" s="496"/>
      <c r="AT555" s="496"/>
      <c r="AU555" s="496"/>
      <c r="AV555" s="496"/>
      <c r="AW555" s="496"/>
      <c r="AX555" s="496"/>
      <c r="AY555" s="496"/>
      <c r="AZ555" s="496"/>
      <c r="BA555" s="496"/>
    </row>
    <row r="556" spans="2:57">
      <c r="B556" s="613"/>
      <c r="C556" s="613"/>
      <c r="D556" s="613"/>
      <c r="E556" s="613"/>
      <c r="F556" s="613"/>
      <c r="G556" s="613"/>
      <c r="H556" s="613"/>
      <c r="I556" s="643"/>
      <c r="J556" s="641"/>
      <c r="K556" s="641"/>
      <c r="L556" s="644"/>
      <c r="M556" s="613"/>
      <c r="N556" s="613"/>
      <c r="O556" s="641"/>
      <c r="P556" s="591"/>
      <c r="Q556" s="591"/>
      <c r="R556" s="591"/>
      <c r="S556" s="591"/>
      <c r="T556" s="645"/>
      <c r="U556" s="645"/>
      <c r="V556" s="645"/>
      <c r="W556" s="645"/>
      <c r="X556" s="645"/>
      <c r="Y556" s="645"/>
      <c r="Z556" s="645"/>
      <c r="AA556" s="645"/>
      <c r="AB556" s="645"/>
      <c r="AC556" s="591"/>
      <c r="AD556" s="591"/>
      <c r="AE556" s="591"/>
      <c r="AF556" s="591"/>
      <c r="AG556" s="591"/>
      <c r="AH556" s="591"/>
      <c r="AI556" s="591"/>
      <c r="AJ556" s="591"/>
      <c r="AK556" s="591"/>
      <c r="AL556" s="591"/>
      <c r="AM556" s="591"/>
      <c r="AN556" s="591"/>
      <c r="AO556" s="591"/>
      <c r="AP556" s="591"/>
      <c r="AQ556" s="591"/>
      <c r="AR556" s="591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</row>
    <row r="557" spans="2:57">
      <c r="B557" s="619" t="s">
        <v>561</v>
      </c>
      <c r="C557" s="619"/>
      <c r="D557" s="591"/>
      <c r="E557" s="591"/>
      <c r="F557" s="591"/>
      <c r="G557" s="591"/>
      <c r="H557" s="591"/>
      <c r="I557" s="591"/>
      <c r="J557" s="646"/>
      <c r="K557" s="646"/>
      <c r="L557" s="647"/>
      <c r="M557" s="591"/>
      <c r="N557" s="613"/>
      <c r="O557" s="646"/>
      <c r="P557" s="616"/>
      <c r="Q557" s="616"/>
      <c r="R557" s="616"/>
      <c r="S557" s="616"/>
      <c r="T557" s="616"/>
      <c r="U557" s="616"/>
      <c r="V557" s="616"/>
      <c r="W557" s="616"/>
      <c r="X557" s="616"/>
      <c r="Y557" s="616"/>
      <c r="Z557" s="616"/>
      <c r="AA557" s="616"/>
      <c r="AB557" s="613"/>
      <c r="AC557" s="613"/>
      <c r="AD557" s="613"/>
      <c r="AE557" s="613"/>
      <c r="AF557" s="613"/>
      <c r="AG557" s="613"/>
      <c r="AH557" s="613"/>
      <c r="AI557" s="613"/>
      <c r="AJ557" s="613"/>
      <c r="AK557" s="613"/>
      <c r="AL557" s="613"/>
      <c r="AM557" s="613"/>
      <c r="AN557" s="613"/>
      <c r="AO557" s="613"/>
      <c r="AP557" s="613"/>
      <c r="AQ557" s="613"/>
      <c r="AR557" s="613"/>
      <c r="AS557" s="613"/>
      <c r="AT557" s="613"/>
      <c r="AU557" s="613"/>
      <c r="AV557" s="39"/>
      <c r="AW557" s="39"/>
      <c r="AX557" s="39"/>
      <c r="AY557" s="39"/>
      <c r="AZ557" s="39"/>
      <c r="BA557" s="39"/>
      <c r="BB557" s="39"/>
      <c r="BC557" s="39"/>
      <c r="BD557" s="39"/>
      <c r="BE557" s="613"/>
    </row>
    <row r="558" spans="2:57">
      <c r="B558" s="422">
        <v>1</v>
      </c>
      <c r="C558" s="1249" t="s">
        <v>4395</v>
      </c>
      <c r="D558" s="1249"/>
      <c r="E558" s="1249"/>
      <c r="F558" s="1249"/>
      <c r="G558" s="1249"/>
      <c r="H558" s="1249"/>
      <c r="I558" s="1249"/>
      <c r="J558" s="1249"/>
      <c r="K558" s="1249"/>
      <c r="L558" s="644"/>
      <c r="M558" s="644"/>
      <c r="N558" s="613"/>
      <c r="O558" s="641"/>
      <c r="P558" s="616"/>
      <c r="Q558" s="616"/>
      <c r="R558" s="616"/>
      <c r="S558" s="616"/>
      <c r="T558" s="616"/>
      <c r="U558" s="616"/>
      <c r="V558" s="616"/>
      <c r="W558" s="616"/>
      <c r="X558" s="616"/>
      <c r="Y558" s="616"/>
      <c r="Z558" s="616"/>
      <c r="AA558" s="616"/>
      <c r="AB558" s="613"/>
      <c r="AC558" s="613"/>
      <c r="AD558" s="613"/>
      <c r="AE558" s="613"/>
      <c r="AF558" s="613"/>
      <c r="AG558" s="613"/>
      <c r="AH558" s="613"/>
      <c r="AI558" s="613"/>
      <c r="AJ558" s="613"/>
      <c r="AK558" s="613"/>
      <c r="AL558" s="613"/>
      <c r="AM558" s="613"/>
      <c r="AN558" s="613"/>
      <c r="AO558" s="613"/>
      <c r="AP558" s="613"/>
      <c r="AQ558" s="613"/>
      <c r="AR558" s="613"/>
      <c r="AS558" s="613"/>
      <c r="AT558" s="613"/>
      <c r="AU558" s="613"/>
      <c r="AV558" s="613"/>
      <c r="AW558" s="613"/>
      <c r="AX558" s="613"/>
      <c r="AY558" s="613"/>
      <c r="AZ558" s="613"/>
      <c r="BA558" s="613"/>
      <c r="BB558" s="613"/>
      <c r="BC558" s="613"/>
      <c r="BD558" s="613"/>
      <c r="BE558" s="613"/>
    </row>
  </sheetData>
  <mergeCells count="489">
    <mergeCell ref="B552:G552"/>
    <mergeCell ref="I552:M552"/>
    <mergeCell ref="B553:G553"/>
    <mergeCell ref="B554:G554"/>
    <mergeCell ref="C558:K558"/>
    <mergeCell ref="B555:G555"/>
    <mergeCell ref="B544:C546"/>
    <mergeCell ref="F545:G545"/>
    <mergeCell ref="F546:G546"/>
    <mergeCell ref="B547:C549"/>
    <mergeCell ref="F548:G548"/>
    <mergeCell ref="F549:G549"/>
    <mergeCell ref="B550:G550"/>
    <mergeCell ref="T550:BD550"/>
    <mergeCell ref="B551:G551"/>
    <mergeCell ref="I551:M551"/>
    <mergeCell ref="T551:BD551"/>
    <mergeCell ref="B535:C537"/>
    <mergeCell ref="F536:G536"/>
    <mergeCell ref="F537:G537"/>
    <mergeCell ref="B538:C540"/>
    <mergeCell ref="F539:G539"/>
    <mergeCell ref="F540:G540"/>
    <mergeCell ref="B541:C543"/>
    <mergeCell ref="F542:G542"/>
    <mergeCell ref="F543:G543"/>
    <mergeCell ref="T529:X529"/>
    <mergeCell ref="Y529:AA529"/>
    <mergeCell ref="AB529:AC529"/>
    <mergeCell ref="AF529:BD529"/>
    <mergeCell ref="B530:C530"/>
    <mergeCell ref="B531:C531"/>
    <mergeCell ref="B532:C532"/>
    <mergeCell ref="B533:C533"/>
    <mergeCell ref="B534:G534"/>
    <mergeCell ref="B516:G516"/>
    <mergeCell ref="B517:G517"/>
    <mergeCell ref="C521:K521"/>
    <mergeCell ref="B510:C510"/>
    <mergeCell ref="B511:C511"/>
    <mergeCell ref="B512:C512"/>
    <mergeCell ref="B513:C513"/>
    <mergeCell ref="B514:G514"/>
    <mergeCell ref="I514:M514"/>
    <mergeCell ref="B518:G518"/>
    <mergeCell ref="T514:BD514"/>
    <mergeCell ref="B515:G515"/>
    <mergeCell ref="I515:M515"/>
    <mergeCell ref="T504:X504"/>
    <mergeCell ref="Y504:AA504"/>
    <mergeCell ref="AB504:AC504"/>
    <mergeCell ref="AF504:BD504"/>
    <mergeCell ref="B505:C505"/>
    <mergeCell ref="B506:C506"/>
    <mergeCell ref="B507:C507"/>
    <mergeCell ref="B508:C508"/>
    <mergeCell ref="B509:C509"/>
    <mergeCell ref="B329:G329"/>
    <mergeCell ref="B330:G330"/>
    <mergeCell ref="C334:K334"/>
    <mergeCell ref="J314:J315"/>
    <mergeCell ref="J319:J320"/>
    <mergeCell ref="B331:G331"/>
    <mergeCell ref="B320:C321"/>
    <mergeCell ref="B322:C323"/>
    <mergeCell ref="J323:J324"/>
    <mergeCell ref="B324:C325"/>
    <mergeCell ref="B326:C326"/>
    <mergeCell ref="B327:G327"/>
    <mergeCell ref="I327:M327"/>
    <mergeCell ref="T327:BD327"/>
    <mergeCell ref="B328:G328"/>
    <mergeCell ref="I328:M328"/>
    <mergeCell ref="T311:X311"/>
    <mergeCell ref="Y311:AA311"/>
    <mergeCell ref="AB311:AC311"/>
    <mergeCell ref="AF311:BD311"/>
    <mergeCell ref="B312:C312"/>
    <mergeCell ref="B313:C314"/>
    <mergeCell ref="B315:C316"/>
    <mergeCell ref="B317:C317"/>
    <mergeCell ref="B318:C319"/>
    <mergeCell ref="B190:G190"/>
    <mergeCell ref="B191:G191"/>
    <mergeCell ref="C195:K195"/>
    <mergeCell ref="B179:C180"/>
    <mergeCell ref="B181:C182"/>
    <mergeCell ref="B183:C184"/>
    <mergeCell ref="B185:C186"/>
    <mergeCell ref="B187:C187"/>
    <mergeCell ref="B188:G188"/>
    <mergeCell ref="I188:M188"/>
    <mergeCell ref="B192:G192"/>
    <mergeCell ref="T188:BD188"/>
    <mergeCell ref="B189:G189"/>
    <mergeCell ref="I189:M189"/>
    <mergeCell ref="T173:X173"/>
    <mergeCell ref="Y173:AA173"/>
    <mergeCell ref="AB173:AC173"/>
    <mergeCell ref="AF173:BD173"/>
    <mergeCell ref="B174:C174"/>
    <mergeCell ref="B175:C175"/>
    <mergeCell ref="B176:C176"/>
    <mergeCell ref="B177:C177"/>
    <mergeCell ref="B178:C178"/>
    <mergeCell ref="C146:K146"/>
    <mergeCell ref="B138:C138"/>
    <mergeCell ref="B139:G139"/>
    <mergeCell ref="I139:M139"/>
    <mergeCell ref="T139:BD139"/>
    <mergeCell ref="B140:G140"/>
    <mergeCell ref="I140:M140"/>
    <mergeCell ref="B141:G141"/>
    <mergeCell ref="B142:G142"/>
    <mergeCell ref="B143:G143"/>
    <mergeCell ref="T129:X129"/>
    <mergeCell ref="Y129:AA129"/>
    <mergeCell ref="AB129:AC129"/>
    <mergeCell ref="AF129:BD129"/>
    <mergeCell ref="B130:C130"/>
    <mergeCell ref="B131:C132"/>
    <mergeCell ref="B133:C134"/>
    <mergeCell ref="B135:C135"/>
    <mergeCell ref="B136:C137"/>
    <mergeCell ref="B118:G118"/>
    <mergeCell ref="C121:K121"/>
    <mergeCell ref="B114:G114"/>
    <mergeCell ref="B115:G115"/>
    <mergeCell ref="T115:BD115"/>
    <mergeCell ref="B116:G116"/>
    <mergeCell ref="I116:M116"/>
    <mergeCell ref="B109:C109"/>
    <mergeCell ref="B110:C110"/>
    <mergeCell ref="B111:C111"/>
    <mergeCell ref="B112:C112"/>
    <mergeCell ref="B113:C113"/>
    <mergeCell ref="AF74:BD74"/>
    <mergeCell ref="B75:C75"/>
    <mergeCell ref="B76:C77"/>
    <mergeCell ref="B78:C79"/>
    <mergeCell ref="B80:C81"/>
    <mergeCell ref="B82:C83"/>
    <mergeCell ref="I83:I84"/>
    <mergeCell ref="T92:BD92"/>
    <mergeCell ref="B93:G93"/>
    <mergeCell ref="I93:M93"/>
    <mergeCell ref="B60:G60"/>
    <mergeCell ref="I60:M60"/>
    <mergeCell ref="B61:G61"/>
    <mergeCell ref="B62:G62"/>
    <mergeCell ref="C66:K66"/>
    <mergeCell ref="B63:G63"/>
    <mergeCell ref="T74:X74"/>
    <mergeCell ref="Y74:AA74"/>
    <mergeCell ref="AB74:AC74"/>
    <mergeCell ref="B58:G58"/>
    <mergeCell ref="T58:BD58"/>
    <mergeCell ref="B59:G59"/>
    <mergeCell ref="I59:M59"/>
    <mergeCell ref="T59:BD59"/>
    <mergeCell ref="B52:C53"/>
    <mergeCell ref="F53:G53"/>
    <mergeCell ref="B54:C55"/>
    <mergeCell ref="F55:G55"/>
    <mergeCell ref="B56:C57"/>
    <mergeCell ref="F57:G57"/>
    <mergeCell ref="B47:C49"/>
    <mergeCell ref="F48:G48"/>
    <mergeCell ref="F49:G49"/>
    <mergeCell ref="B50:C51"/>
    <mergeCell ref="F51:G51"/>
    <mergeCell ref="B42:C44"/>
    <mergeCell ref="F43:G43"/>
    <mergeCell ref="F44:G44"/>
    <mergeCell ref="B45:C46"/>
    <mergeCell ref="F46:G46"/>
    <mergeCell ref="B35:C35"/>
    <mergeCell ref="B36:C36"/>
    <mergeCell ref="B37:C37"/>
    <mergeCell ref="B38:G38"/>
    <mergeCell ref="B39:C41"/>
    <mergeCell ref="F40:G40"/>
    <mergeCell ref="F41:G41"/>
    <mergeCell ref="T33:X33"/>
    <mergeCell ref="Y33:AA33"/>
    <mergeCell ref="AB33:AC33"/>
    <mergeCell ref="AF33:BD33"/>
    <mergeCell ref="B34:C34"/>
    <mergeCell ref="AF8:BD8"/>
    <mergeCell ref="B9:C9"/>
    <mergeCell ref="B10:C10"/>
    <mergeCell ref="B11:C11"/>
    <mergeCell ref="B19:G19"/>
    <mergeCell ref="T8:X8"/>
    <mergeCell ref="Y8:AA8"/>
    <mergeCell ref="AB8:AC8"/>
    <mergeCell ref="T19:BD19"/>
    <mergeCell ref="B20:G20"/>
    <mergeCell ref="I20:M20"/>
    <mergeCell ref="C25:K25"/>
    <mergeCell ref="B12:C12"/>
    <mergeCell ref="B13:C13"/>
    <mergeCell ref="B14:C14"/>
    <mergeCell ref="B15:C15"/>
    <mergeCell ref="B16:C16"/>
    <mergeCell ref="B17:C17"/>
    <mergeCell ref="B18:G18"/>
    <mergeCell ref="B21:G21"/>
    <mergeCell ref="B22:G22"/>
    <mergeCell ref="AF154:BD154"/>
    <mergeCell ref="B155:C155"/>
    <mergeCell ref="B156:C156"/>
    <mergeCell ref="B157:C157"/>
    <mergeCell ref="B158:G158"/>
    <mergeCell ref="I158:M158"/>
    <mergeCell ref="T158:BD158"/>
    <mergeCell ref="J83:J84"/>
    <mergeCell ref="B84:C85"/>
    <mergeCell ref="B86:C87"/>
    <mergeCell ref="B88:C89"/>
    <mergeCell ref="B90:C91"/>
    <mergeCell ref="B94:G94"/>
    <mergeCell ref="B95:G95"/>
    <mergeCell ref="C99:K99"/>
    <mergeCell ref="B92:G92"/>
    <mergeCell ref="I92:M92"/>
    <mergeCell ref="B96:G96"/>
    <mergeCell ref="T107:X107"/>
    <mergeCell ref="Y107:AA107"/>
    <mergeCell ref="AB107:AC107"/>
    <mergeCell ref="AF107:BD107"/>
    <mergeCell ref="B108:C108"/>
    <mergeCell ref="B117:G117"/>
    <mergeCell ref="B159:G159"/>
    <mergeCell ref="I159:M159"/>
    <mergeCell ref="B160:G160"/>
    <mergeCell ref="B161:G161"/>
    <mergeCell ref="C165:K165"/>
    <mergeCell ref="B162:G162"/>
    <mergeCell ref="T154:X154"/>
    <mergeCell ref="Y154:AA154"/>
    <mergeCell ref="AB154:AC154"/>
    <mergeCell ref="T203:X203"/>
    <mergeCell ref="Y203:AA203"/>
    <mergeCell ref="AB203:AC203"/>
    <mergeCell ref="AF203:BD203"/>
    <mergeCell ref="B204:C204"/>
    <mergeCell ref="B205:C206"/>
    <mergeCell ref="B207:C208"/>
    <mergeCell ref="B209:C210"/>
    <mergeCell ref="B211:C212"/>
    <mergeCell ref="J212:J213"/>
    <mergeCell ref="B213:C214"/>
    <mergeCell ref="B215:G215"/>
    <mergeCell ref="I215:M215"/>
    <mergeCell ref="T215:BD215"/>
    <mergeCell ref="B216:G216"/>
    <mergeCell ref="I216:M216"/>
    <mergeCell ref="B217:G217"/>
    <mergeCell ref="B218:G218"/>
    <mergeCell ref="C222:K222"/>
    <mergeCell ref="B219:G219"/>
    <mergeCell ref="T230:X230"/>
    <mergeCell ref="Y230:AA230"/>
    <mergeCell ref="AB230:AC230"/>
    <mergeCell ref="AF230:BD230"/>
    <mergeCell ref="B231:C231"/>
    <mergeCell ref="B232:C232"/>
    <mergeCell ref="B233:G233"/>
    <mergeCell ref="B234:C235"/>
    <mergeCell ref="F235:G235"/>
    <mergeCell ref="B236:C237"/>
    <mergeCell ref="F237:G237"/>
    <mergeCell ref="B238:C238"/>
    <mergeCell ref="B239:G239"/>
    <mergeCell ref="B240:C240"/>
    <mergeCell ref="B241:G241"/>
    <mergeCell ref="B242:C244"/>
    <mergeCell ref="F243:G243"/>
    <mergeCell ref="F244:G244"/>
    <mergeCell ref="T259:BD259"/>
    <mergeCell ref="B260:G260"/>
    <mergeCell ref="I260:M260"/>
    <mergeCell ref="T260:BD260"/>
    <mergeCell ref="B245:C247"/>
    <mergeCell ref="F246:G246"/>
    <mergeCell ref="F247:G247"/>
    <mergeCell ref="B248:C250"/>
    <mergeCell ref="F249:G249"/>
    <mergeCell ref="F250:G250"/>
    <mergeCell ref="B251:C253"/>
    <mergeCell ref="F252:G252"/>
    <mergeCell ref="F253:G253"/>
    <mergeCell ref="B261:G261"/>
    <mergeCell ref="I261:M261"/>
    <mergeCell ref="B262:G262"/>
    <mergeCell ref="B263:G263"/>
    <mergeCell ref="C267:K267"/>
    <mergeCell ref="B264:G264"/>
    <mergeCell ref="B254:C256"/>
    <mergeCell ref="F255:G255"/>
    <mergeCell ref="F256:G256"/>
    <mergeCell ref="B257:C258"/>
    <mergeCell ref="F258:G258"/>
    <mergeCell ref="B259:G259"/>
    <mergeCell ref="T275:X275"/>
    <mergeCell ref="Y275:AA275"/>
    <mergeCell ref="AB275:AC275"/>
    <mergeCell ref="AF275:BD275"/>
    <mergeCell ref="B276:C276"/>
    <mergeCell ref="B277:C277"/>
    <mergeCell ref="B278:C278"/>
    <mergeCell ref="B279:C279"/>
    <mergeCell ref="B280:G280"/>
    <mergeCell ref="T295:BD295"/>
    <mergeCell ref="B296:G296"/>
    <mergeCell ref="I296:M296"/>
    <mergeCell ref="T296:BD296"/>
    <mergeCell ref="B281:C282"/>
    <mergeCell ref="F281:G281"/>
    <mergeCell ref="F282:G282"/>
    <mergeCell ref="B283:C284"/>
    <mergeCell ref="F284:G284"/>
    <mergeCell ref="B285:C286"/>
    <mergeCell ref="F286:G286"/>
    <mergeCell ref="B287:C288"/>
    <mergeCell ref="F288:G288"/>
    <mergeCell ref="B297:G297"/>
    <mergeCell ref="I297:M297"/>
    <mergeCell ref="B298:G298"/>
    <mergeCell ref="B299:G299"/>
    <mergeCell ref="C303:K303"/>
    <mergeCell ref="B300:G300"/>
    <mergeCell ref="B289:C290"/>
    <mergeCell ref="F290:G290"/>
    <mergeCell ref="B291:C292"/>
    <mergeCell ref="F292:G292"/>
    <mergeCell ref="B293:C294"/>
    <mergeCell ref="F294:G294"/>
    <mergeCell ref="B295:G295"/>
    <mergeCell ref="T342:X342"/>
    <mergeCell ref="Y342:AA342"/>
    <mergeCell ref="AB342:AC342"/>
    <mergeCell ref="AF342:BD342"/>
    <mergeCell ref="B343:C343"/>
    <mergeCell ref="B344:C344"/>
    <mergeCell ref="B345:C345"/>
    <mergeCell ref="B346:C347"/>
    <mergeCell ref="B348:C349"/>
    <mergeCell ref="C360:K360"/>
    <mergeCell ref="J347:J348"/>
    <mergeCell ref="B357:G357"/>
    <mergeCell ref="B350:C351"/>
    <mergeCell ref="B352:C352"/>
    <mergeCell ref="B353:G353"/>
    <mergeCell ref="I353:M353"/>
    <mergeCell ref="T353:BD353"/>
    <mergeCell ref="B354:G354"/>
    <mergeCell ref="I354:M354"/>
    <mergeCell ref="B355:G355"/>
    <mergeCell ref="B356:G356"/>
    <mergeCell ref="T368:X368"/>
    <mergeCell ref="Y368:AA368"/>
    <mergeCell ref="AB368:AC368"/>
    <mergeCell ref="AF368:BD368"/>
    <mergeCell ref="B369:C369"/>
    <mergeCell ref="B370:C370"/>
    <mergeCell ref="B371:G371"/>
    <mergeCell ref="B372:C372"/>
    <mergeCell ref="B373:C374"/>
    <mergeCell ref="F374:G374"/>
    <mergeCell ref="T389:BD389"/>
    <mergeCell ref="B390:G390"/>
    <mergeCell ref="I390:M390"/>
    <mergeCell ref="T390:BD390"/>
    <mergeCell ref="B375:C376"/>
    <mergeCell ref="F376:G376"/>
    <mergeCell ref="B377:C378"/>
    <mergeCell ref="F378:G378"/>
    <mergeCell ref="B379:C380"/>
    <mergeCell ref="F380:G380"/>
    <mergeCell ref="B381:C382"/>
    <mergeCell ref="F382:G382"/>
    <mergeCell ref="B383:C384"/>
    <mergeCell ref="F384:G384"/>
    <mergeCell ref="B391:G391"/>
    <mergeCell ref="I391:M391"/>
    <mergeCell ref="B392:G392"/>
    <mergeCell ref="B393:G393"/>
    <mergeCell ref="C397:K397"/>
    <mergeCell ref="B394:G394"/>
    <mergeCell ref="B385:C386"/>
    <mergeCell ref="F386:G386"/>
    <mergeCell ref="B387:C388"/>
    <mergeCell ref="F388:G388"/>
    <mergeCell ref="B389:G389"/>
    <mergeCell ref="T405:X405"/>
    <mergeCell ref="Y405:AA405"/>
    <mergeCell ref="AB405:AC405"/>
    <mergeCell ref="AF405:BD405"/>
    <mergeCell ref="B406:C406"/>
    <mergeCell ref="B407:C407"/>
    <mergeCell ref="B408:C408"/>
    <mergeCell ref="B409:C409"/>
    <mergeCell ref="B410:C410"/>
    <mergeCell ref="B411:G411"/>
    <mergeCell ref="B412:C414"/>
    <mergeCell ref="F413:G413"/>
    <mergeCell ref="F414:G414"/>
    <mergeCell ref="B415:C417"/>
    <mergeCell ref="F416:G416"/>
    <mergeCell ref="F417:G417"/>
    <mergeCell ref="B418:C420"/>
    <mergeCell ref="F419:G419"/>
    <mergeCell ref="F420:G420"/>
    <mergeCell ref="B421:C423"/>
    <mergeCell ref="F422:G422"/>
    <mergeCell ref="F423:G423"/>
    <mergeCell ref="B424:C426"/>
    <mergeCell ref="F425:G425"/>
    <mergeCell ref="F426:G426"/>
    <mergeCell ref="B427:C429"/>
    <mergeCell ref="F428:G428"/>
    <mergeCell ref="F429:G429"/>
    <mergeCell ref="B430:C432"/>
    <mergeCell ref="F431:G431"/>
    <mergeCell ref="F432:G432"/>
    <mergeCell ref="B433:G433"/>
    <mergeCell ref="T433:BD433"/>
    <mergeCell ref="B434:G434"/>
    <mergeCell ref="I434:M434"/>
    <mergeCell ref="T434:BD434"/>
    <mergeCell ref="B435:G435"/>
    <mergeCell ref="I435:M435"/>
    <mergeCell ref="B436:G436"/>
    <mergeCell ref="B437:G437"/>
    <mergeCell ref="C441:K441"/>
    <mergeCell ref="B438:G438"/>
    <mergeCell ref="T449:X449"/>
    <mergeCell ref="Y449:AA449"/>
    <mergeCell ref="AB449:AC449"/>
    <mergeCell ref="AF449:BD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C468:K468"/>
    <mergeCell ref="B460:C460"/>
    <mergeCell ref="B461:G461"/>
    <mergeCell ref="B462:G462"/>
    <mergeCell ref="I462:M462"/>
    <mergeCell ref="T462:BD462"/>
    <mergeCell ref="B463:G463"/>
    <mergeCell ref="I463:M463"/>
    <mergeCell ref="B464:G464"/>
    <mergeCell ref="B465:G465"/>
    <mergeCell ref="T476:X476"/>
    <mergeCell ref="Y476:AA476"/>
    <mergeCell ref="AB476:AC476"/>
    <mergeCell ref="AF476:BD476"/>
    <mergeCell ref="B477:C477"/>
    <mergeCell ref="B478:C479"/>
    <mergeCell ref="J479:J480"/>
    <mergeCell ref="L479:L480"/>
    <mergeCell ref="M479:M480"/>
    <mergeCell ref="B480:C481"/>
    <mergeCell ref="T489:BD489"/>
    <mergeCell ref="B490:G490"/>
    <mergeCell ref="I490:M490"/>
    <mergeCell ref="B491:G491"/>
    <mergeCell ref="B492:G492"/>
    <mergeCell ref="C496:K496"/>
    <mergeCell ref="B493:G493"/>
    <mergeCell ref="B482:C483"/>
    <mergeCell ref="J483:J484"/>
    <mergeCell ref="L483:L484"/>
    <mergeCell ref="M483:M484"/>
    <mergeCell ref="B484:C485"/>
    <mergeCell ref="B486:C486"/>
    <mergeCell ref="B487:C487"/>
    <mergeCell ref="B488:C488"/>
    <mergeCell ref="B489:G489"/>
    <mergeCell ref="I489:M489"/>
  </mergeCells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1B00-000000000000}">
          <x14:formula1>
            <xm:f>'FLF &amp; AGENT INFO'!$D$3:$D$31</xm:f>
          </x14:formula1>
          <xm:sqref>F6 F474 F447 F403 F366 F31 F72 F105 F127 F152 F171 F201 F228 F273 F309 F340 F527</xm:sqref>
        </x14:dataValidation>
        <x14:dataValidation type="list" allowBlank="1" showInputMessage="1" showErrorMessage="1" xr:uid="{00000000-0002-0000-1B00-000001000000}">
          <x14:formula1>
            <xm:f>'FLF &amp; AGENT INFO'!$H$3:$H$7</xm:f>
          </x14:formula1>
          <xm:sqref>L6 L31 L72 L105 L127 L152 L171 L201 L228 L273 L309 L340 L366 L403 L447 L474 L502 L527</xm:sqref>
        </x14:dataValidation>
        <x14:dataValidation type="list" allowBlank="1" showInputMessage="1" showErrorMessage="1" xr:uid="{00000000-0002-0000-1B00-000002000000}">
          <x14:formula1>
            <xm:f>'FLF &amp; AGENT INFO'!$B$3:$B$20</xm:f>
          </x14:formula1>
          <xm:sqref>F5 F473 F446 F402 F365 F30 F71 F104 F126 F151 F170 F200 F227 F272 F308 F339 F501 F526</xm:sqref>
        </x14:dataValidation>
        <x14:dataValidation type="list" allowBlank="1" showInputMessage="1" showErrorMessage="1" xr:uid="{00000000-0002-0000-1B00-000003000000}">
          <x14:formula1>
            <xm:f>'FLF &amp; AGENT INFO'!$F$3:$F$28</xm:f>
          </x14:formula1>
          <xm:sqref>F7 F475 F448 F404 F367 F32 F73 F106 F128 F153 F172 F202 F229 F274 F310 F341 F503 F528</xm:sqref>
        </x14:dataValidation>
        <x14:dataValidation type="list" allowBlank="1" showInputMessage="1" showErrorMessage="1" xr:uid="{00000000-0002-0000-1B00-000004000000}">
          <x14:formula1>
            <xm:f>'FLF &amp; AGENT INFO'!$D$3:$D$32</xm:f>
          </x14:formula1>
          <xm:sqref>F502</xm:sqref>
        </x14:dataValidation>
        <x14:dataValidation type="list" allowBlank="1" showInputMessage="1" showErrorMessage="1" xr:uid="{00000000-0002-0000-1B00-000005000000}">
          <x14:formula1>
            <xm:f>'VLU 2023 &amp; 2024'!$I$229:$I$257</xm:f>
          </x14:formula1>
          <xm:sqref>L5 L126 L30 L104 L151</xm:sqref>
        </x14:dataValidation>
        <x14:dataValidation type="list" allowBlank="1" showInputMessage="1" showErrorMessage="1" xr:uid="{00000000-0002-0000-1B00-000006000000}">
          <x14:formula1>
            <xm:f>'VLU 2023 &amp; 2024'!$H$229:$H$257</xm:f>
          </x14:formula1>
          <xm:sqref>F2 F123 F27 F101 F148</xm:sqref>
        </x14:dataValidation>
        <x14:dataValidation type="list" allowBlank="1" showInputMessage="1" showErrorMessage="1" xr:uid="{00000000-0002-0000-1B00-000007000000}">
          <x14:formula1>
            <xm:f>'VLU 2023 &amp; 2024'!$I$231:$I$257</xm:f>
          </x14:formula1>
          <xm:sqref>L71 L526 L501 L473 L402 L339 L272 L170 L200 L227 L308 L365 L446</xm:sqref>
        </x14:dataValidation>
        <x14:dataValidation type="list" allowBlank="1" showInputMessage="1" showErrorMessage="1" xr:uid="{00000000-0002-0000-1B00-000008000000}">
          <x14:formula1>
            <xm:f>'VLU 2023 &amp; 2024'!$H$231:$H$257</xm:f>
          </x14:formula1>
          <xm:sqref>F68 F523 F498 F470 F399 F336 F269 F167 F197 F224 F305 F362 F443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1">
    <tabColor rgb="FF00B0F0"/>
    <pageSetUpPr fitToPage="1"/>
  </sheetPr>
  <dimension ref="A1:V534"/>
  <sheetViews>
    <sheetView zoomScale="85" zoomScaleNormal="85" workbookViewId="0">
      <selection activeCell="B2" sqref="B2:Q504"/>
    </sheetView>
  </sheetViews>
  <sheetFormatPr defaultRowHeight="14.4" outlineLevelRow="1"/>
  <cols>
    <col min="1" max="1" width="6.44140625" style="914" customWidth="1"/>
    <col min="2" max="2" width="4" style="915" customWidth="1"/>
    <col min="3" max="3" width="13.44140625" style="915" customWidth="1"/>
    <col min="4" max="4" width="0.33203125" style="915" customWidth="1"/>
    <col min="5" max="6" width="21.6640625" style="915" customWidth="1"/>
    <col min="7" max="7" width="11" style="915" customWidth="1"/>
    <col min="8" max="8" width="19.88671875" style="916" bestFit="1" customWidth="1"/>
    <col min="9" max="9" width="22.33203125" style="917" customWidth="1"/>
    <col min="10" max="10" width="20" style="918" customWidth="1"/>
    <col min="11" max="11" width="17.44140625" style="918" bestFit="1" customWidth="1"/>
    <col min="12" max="12" width="22.88671875" style="918" bestFit="1" customWidth="1"/>
    <col min="13" max="13" width="34.33203125" style="918" customWidth="1"/>
    <col min="14" max="14" width="0.6640625" style="918" customWidth="1"/>
    <col min="15" max="15" width="8.33203125" style="915" hidden="1" customWidth="1"/>
    <col min="16" max="16" width="5.44140625" style="915" hidden="1" customWidth="1"/>
    <col min="17" max="17" width="6.6640625" style="915" hidden="1" customWidth="1"/>
    <col min="18" max="18" width="0.44140625" style="915" customWidth="1"/>
    <col min="19" max="19" width="14.44140625" style="779" customWidth="1"/>
    <col min="20" max="27" width="11.6640625" style="915" customWidth="1"/>
    <col min="28" max="28" width="13.33203125" style="915" customWidth="1"/>
    <col min="29" max="246" width="9.33203125" style="915"/>
    <col min="247" max="247" width="2.6640625" style="915" customWidth="1"/>
    <col min="248" max="248" width="5" style="915" customWidth="1"/>
    <col min="249" max="249" width="11.6640625" style="915" customWidth="1"/>
    <col min="250" max="250" width="17" style="915" customWidth="1"/>
    <col min="251" max="251" width="6.6640625" style="915" customWidth="1"/>
    <col min="252" max="252" width="18.33203125" style="915" customWidth="1"/>
    <col min="253" max="253" width="10" style="915" customWidth="1"/>
    <col min="254" max="254" width="9" style="915" bestFit="1" customWidth="1"/>
    <col min="255" max="255" width="6.5546875" style="915" customWidth="1"/>
    <col min="256" max="256" width="15.44140625" style="915" customWidth="1"/>
    <col min="257" max="257" width="36.6640625" style="915" customWidth="1"/>
    <col min="258" max="258" width="0" style="915" hidden="1" customWidth="1"/>
    <col min="259" max="259" width="9.33203125" style="915"/>
    <col min="260" max="260" width="10.33203125" style="915" bestFit="1" customWidth="1"/>
    <col min="261" max="502" width="9.33203125" style="915"/>
    <col min="503" max="503" width="2.6640625" style="915" customWidth="1"/>
    <col min="504" max="504" width="5" style="915" customWidth="1"/>
    <col min="505" max="505" width="11.6640625" style="915" customWidth="1"/>
    <col min="506" max="506" width="17" style="915" customWidth="1"/>
    <col min="507" max="507" width="6.6640625" style="915" customWidth="1"/>
    <col min="508" max="508" width="18.33203125" style="915" customWidth="1"/>
    <col min="509" max="509" width="10" style="915" customWidth="1"/>
    <col min="510" max="510" width="9" style="915" bestFit="1" customWidth="1"/>
    <col min="511" max="511" width="6.5546875" style="915" customWidth="1"/>
    <col min="512" max="512" width="15.44140625" style="915" customWidth="1"/>
    <col min="513" max="513" width="36.6640625" style="915" customWidth="1"/>
    <col min="514" max="514" width="0" style="915" hidden="1" customWidth="1"/>
    <col min="515" max="515" width="9.33203125" style="915"/>
    <col min="516" max="516" width="10.33203125" style="915" bestFit="1" customWidth="1"/>
    <col min="517" max="758" width="9.33203125" style="915"/>
    <col min="759" max="759" width="2.6640625" style="915" customWidth="1"/>
    <col min="760" max="760" width="5" style="915" customWidth="1"/>
    <col min="761" max="761" width="11.6640625" style="915" customWidth="1"/>
    <col min="762" max="762" width="17" style="915" customWidth="1"/>
    <col min="763" max="763" width="6.6640625" style="915" customWidth="1"/>
    <col min="764" max="764" width="18.33203125" style="915" customWidth="1"/>
    <col min="765" max="765" width="10" style="915" customWidth="1"/>
    <col min="766" max="766" width="9" style="915" bestFit="1" customWidth="1"/>
    <col min="767" max="767" width="6.5546875" style="915" customWidth="1"/>
    <col min="768" max="768" width="15.44140625" style="915" customWidth="1"/>
    <col min="769" max="769" width="36.6640625" style="915" customWidth="1"/>
    <col min="770" max="770" width="0" style="915" hidden="1" customWidth="1"/>
    <col min="771" max="771" width="9.33203125" style="915"/>
    <col min="772" max="772" width="10.33203125" style="915" bestFit="1" customWidth="1"/>
    <col min="773" max="1014" width="9.33203125" style="915"/>
    <col min="1015" max="1015" width="2.6640625" style="915" customWidth="1"/>
    <col min="1016" max="1016" width="5" style="915" customWidth="1"/>
    <col min="1017" max="1017" width="11.6640625" style="915" customWidth="1"/>
    <col min="1018" max="1018" width="17" style="915" customWidth="1"/>
    <col min="1019" max="1019" width="6.6640625" style="915" customWidth="1"/>
    <col min="1020" max="1020" width="18.33203125" style="915" customWidth="1"/>
    <col min="1021" max="1021" width="10" style="915" customWidth="1"/>
    <col min="1022" max="1022" width="9" style="915" bestFit="1" customWidth="1"/>
    <col min="1023" max="1023" width="6.5546875" style="915" customWidth="1"/>
    <col min="1024" max="1024" width="15.44140625" style="915" customWidth="1"/>
    <col min="1025" max="1025" width="36.6640625" style="915" customWidth="1"/>
    <col min="1026" max="1026" width="0" style="915" hidden="1" customWidth="1"/>
    <col min="1027" max="1027" width="9.33203125" style="915"/>
    <col min="1028" max="1028" width="10.33203125" style="915" bestFit="1" customWidth="1"/>
    <col min="1029" max="1270" width="9.33203125" style="915"/>
    <col min="1271" max="1271" width="2.6640625" style="915" customWidth="1"/>
    <col min="1272" max="1272" width="5" style="915" customWidth="1"/>
    <col min="1273" max="1273" width="11.6640625" style="915" customWidth="1"/>
    <col min="1274" max="1274" width="17" style="915" customWidth="1"/>
    <col min="1275" max="1275" width="6.6640625" style="915" customWidth="1"/>
    <col min="1276" max="1276" width="18.33203125" style="915" customWidth="1"/>
    <col min="1277" max="1277" width="10" style="915" customWidth="1"/>
    <col min="1278" max="1278" width="9" style="915" bestFit="1" customWidth="1"/>
    <col min="1279" max="1279" width="6.5546875" style="915" customWidth="1"/>
    <col min="1280" max="1280" width="15.44140625" style="915" customWidth="1"/>
    <col min="1281" max="1281" width="36.6640625" style="915" customWidth="1"/>
    <col min="1282" max="1282" width="0" style="915" hidden="1" customWidth="1"/>
    <col min="1283" max="1283" width="9.33203125" style="915"/>
    <col min="1284" max="1284" width="10.33203125" style="915" bestFit="1" customWidth="1"/>
    <col min="1285" max="1526" width="9.33203125" style="915"/>
    <col min="1527" max="1527" width="2.6640625" style="915" customWidth="1"/>
    <col min="1528" max="1528" width="5" style="915" customWidth="1"/>
    <col min="1529" max="1529" width="11.6640625" style="915" customWidth="1"/>
    <col min="1530" max="1530" width="17" style="915" customWidth="1"/>
    <col min="1531" max="1531" width="6.6640625" style="915" customWidth="1"/>
    <col min="1532" max="1532" width="18.33203125" style="915" customWidth="1"/>
    <col min="1533" max="1533" width="10" style="915" customWidth="1"/>
    <col min="1534" max="1534" width="9" style="915" bestFit="1" customWidth="1"/>
    <col min="1535" max="1535" width="6.5546875" style="915" customWidth="1"/>
    <col min="1536" max="1536" width="15.44140625" style="915" customWidth="1"/>
    <col min="1537" max="1537" width="36.6640625" style="915" customWidth="1"/>
    <col min="1538" max="1538" width="0" style="915" hidden="1" customWidth="1"/>
    <col min="1539" max="1539" width="9.33203125" style="915"/>
    <col min="1540" max="1540" width="10.33203125" style="915" bestFit="1" customWidth="1"/>
    <col min="1541" max="1782" width="9.33203125" style="915"/>
    <col min="1783" max="1783" width="2.6640625" style="915" customWidth="1"/>
    <col min="1784" max="1784" width="5" style="915" customWidth="1"/>
    <col min="1785" max="1785" width="11.6640625" style="915" customWidth="1"/>
    <col min="1786" max="1786" width="17" style="915" customWidth="1"/>
    <col min="1787" max="1787" width="6.6640625" style="915" customWidth="1"/>
    <col min="1788" max="1788" width="18.33203125" style="915" customWidth="1"/>
    <col min="1789" max="1789" width="10" style="915" customWidth="1"/>
    <col min="1790" max="1790" width="9" style="915" bestFit="1" customWidth="1"/>
    <col min="1791" max="1791" width="6.5546875" style="915" customWidth="1"/>
    <col min="1792" max="1792" width="15.44140625" style="915" customWidth="1"/>
    <col min="1793" max="1793" width="36.6640625" style="915" customWidth="1"/>
    <col min="1794" max="1794" width="0" style="915" hidden="1" customWidth="1"/>
    <col min="1795" max="1795" width="9.33203125" style="915"/>
    <col min="1796" max="1796" width="10.33203125" style="915" bestFit="1" customWidth="1"/>
    <col min="1797" max="2038" width="9.33203125" style="915"/>
    <col min="2039" max="2039" width="2.6640625" style="915" customWidth="1"/>
    <col min="2040" max="2040" width="5" style="915" customWidth="1"/>
    <col min="2041" max="2041" width="11.6640625" style="915" customWidth="1"/>
    <col min="2042" max="2042" width="17" style="915" customWidth="1"/>
    <col min="2043" max="2043" width="6.6640625" style="915" customWidth="1"/>
    <col min="2044" max="2044" width="18.33203125" style="915" customWidth="1"/>
    <col min="2045" max="2045" width="10" style="915" customWidth="1"/>
    <col min="2046" max="2046" width="9" style="915" bestFit="1" customWidth="1"/>
    <col min="2047" max="2047" width="6.5546875" style="915" customWidth="1"/>
    <col min="2048" max="2048" width="15.44140625" style="915" customWidth="1"/>
    <col min="2049" max="2049" width="36.6640625" style="915" customWidth="1"/>
    <col min="2050" max="2050" width="0" style="915" hidden="1" customWidth="1"/>
    <col min="2051" max="2051" width="9.33203125" style="915"/>
    <col min="2052" max="2052" width="10.33203125" style="915" bestFit="1" customWidth="1"/>
    <col min="2053" max="2294" width="9.33203125" style="915"/>
    <col min="2295" max="2295" width="2.6640625" style="915" customWidth="1"/>
    <col min="2296" max="2296" width="5" style="915" customWidth="1"/>
    <col min="2297" max="2297" width="11.6640625" style="915" customWidth="1"/>
    <col min="2298" max="2298" width="17" style="915" customWidth="1"/>
    <col min="2299" max="2299" width="6.6640625" style="915" customWidth="1"/>
    <col min="2300" max="2300" width="18.33203125" style="915" customWidth="1"/>
    <col min="2301" max="2301" width="10" style="915" customWidth="1"/>
    <col min="2302" max="2302" width="9" style="915" bestFit="1" customWidth="1"/>
    <col min="2303" max="2303" width="6.5546875" style="915" customWidth="1"/>
    <col min="2304" max="2304" width="15.44140625" style="915" customWidth="1"/>
    <col min="2305" max="2305" width="36.6640625" style="915" customWidth="1"/>
    <col min="2306" max="2306" width="0" style="915" hidden="1" customWidth="1"/>
    <col min="2307" max="2307" width="9.33203125" style="915"/>
    <col min="2308" max="2308" width="10.33203125" style="915" bestFit="1" customWidth="1"/>
    <col min="2309" max="2550" width="9.33203125" style="915"/>
    <col min="2551" max="2551" width="2.6640625" style="915" customWidth="1"/>
    <col min="2552" max="2552" width="5" style="915" customWidth="1"/>
    <col min="2553" max="2553" width="11.6640625" style="915" customWidth="1"/>
    <col min="2554" max="2554" width="17" style="915" customWidth="1"/>
    <col min="2555" max="2555" width="6.6640625" style="915" customWidth="1"/>
    <col min="2556" max="2556" width="18.33203125" style="915" customWidth="1"/>
    <col min="2557" max="2557" width="10" style="915" customWidth="1"/>
    <col min="2558" max="2558" width="9" style="915" bestFit="1" customWidth="1"/>
    <col min="2559" max="2559" width="6.5546875" style="915" customWidth="1"/>
    <col min="2560" max="2560" width="15.44140625" style="915" customWidth="1"/>
    <col min="2561" max="2561" width="36.6640625" style="915" customWidth="1"/>
    <col min="2562" max="2562" width="0" style="915" hidden="1" customWidth="1"/>
    <col min="2563" max="2563" width="9.33203125" style="915"/>
    <col min="2564" max="2564" width="10.33203125" style="915" bestFit="1" customWidth="1"/>
    <col min="2565" max="2806" width="9.33203125" style="915"/>
    <col min="2807" max="2807" width="2.6640625" style="915" customWidth="1"/>
    <col min="2808" max="2808" width="5" style="915" customWidth="1"/>
    <col min="2809" max="2809" width="11.6640625" style="915" customWidth="1"/>
    <col min="2810" max="2810" width="17" style="915" customWidth="1"/>
    <col min="2811" max="2811" width="6.6640625" style="915" customWidth="1"/>
    <col min="2812" max="2812" width="18.33203125" style="915" customWidth="1"/>
    <col min="2813" max="2813" width="10" style="915" customWidth="1"/>
    <col min="2814" max="2814" width="9" style="915" bestFit="1" customWidth="1"/>
    <col min="2815" max="2815" width="6.5546875" style="915" customWidth="1"/>
    <col min="2816" max="2816" width="15.44140625" style="915" customWidth="1"/>
    <col min="2817" max="2817" width="36.6640625" style="915" customWidth="1"/>
    <col min="2818" max="2818" width="0" style="915" hidden="1" customWidth="1"/>
    <col min="2819" max="2819" width="9.33203125" style="915"/>
    <col min="2820" max="2820" width="10.33203125" style="915" bestFit="1" customWidth="1"/>
    <col min="2821" max="3062" width="9.33203125" style="915"/>
    <col min="3063" max="3063" width="2.6640625" style="915" customWidth="1"/>
    <col min="3064" max="3064" width="5" style="915" customWidth="1"/>
    <col min="3065" max="3065" width="11.6640625" style="915" customWidth="1"/>
    <col min="3066" max="3066" width="17" style="915" customWidth="1"/>
    <col min="3067" max="3067" width="6.6640625" style="915" customWidth="1"/>
    <col min="3068" max="3068" width="18.33203125" style="915" customWidth="1"/>
    <col min="3069" max="3069" width="10" style="915" customWidth="1"/>
    <col min="3070" max="3070" width="9" style="915" bestFit="1" customWidth="1"/>
    <col min="3071" max="3071" width="6.5546875" style="915" customWidth="1"/>
    <col min="3072" max="3072" width="15.44140625" style="915" customWidth="1"/>
    <col min="3073" max="3073" width="36.6640625" style="915" customWidth="1"/>
    <col min="3074" max="3074" width="0" style="915" hidden="1" customWidth="1"/>
    <col min="3075" max="3075" width="9.33203125" style="915"/>
    <col min="3076" max="3076" width="10.33203125" style="915" bestFit="1" customWidth="1"/>
    <col min="3077" max="3318" width="9.33203125" style="915"/>
    <col min="3319" max="3319" width="2.6640625" style="915" customWidth="1"/>
    <col min="3320" max="3320" width="5" style="915" customWidth="1"/>
    <col min="3321" max="3321" width="11.6640625" style="915" customWidth="1"/>
    <col min="3322" max="3322" width="17" style="915" customWidth="1"/>
    <col min="3323" max="3323" width="6.6640625" style="915" customWidth="1"/>
    <col min="3324" max="3324" width="18.33203125" style="915" customWidth="1"/>
    <col min="3325" max="3325" width="10" style="915" customWidth="1"/>
    <col min="3326" max="3326" width="9" style="915" bestFit="1" customWidth="1"/>
    <col min="3327" max="3327" width="6.5546875" style="915" customWidth="1"/>
    <col min="3328" max="3328" width="15.44140625" style="915" customWidth="1"/>
    <col min="3329" max="3329" width="36.6640625" style="915" customWidth="1"/>
    <col min="3330" max="3330" width="0" style="915" hidden="1" customWidth="1"/>
    <col min="3331" max="3331" width="9.33203125" style="915"/>
    <col min="3332" max="3332" width="10.33203125" style="915" bestFit="1" customWidth="1"/>
    <col min="3333" max="3574" width="9.33203125" style="915"/>
    <col min="3575" max="3575" width="2.6640625" style="915" customWidth="1"/>
    <col min="3576" max="3576" width="5" style="915" customWidth="1"/>
    <col min="3577" max="3577" width="11.6640625" style="915" customWidth="1"/>
    <col min="3578" max="3578" width="17" style="915" customWidth="1"/>
    <col min="3579" max="3579" width="6.6640625" style="915" customWidth="1"/>
    <col min="3580" max="3580" width="18.33203125" style="915" customWidth="1"/>
    <col min="3581" max="3581" width="10" style="915" customWidth="1"/>
    <col min="3582" max="3582" width="9" style="915" bestFit="1" customWidth="1"/>
    <col min="3583" max="3583" width="6.5546875" style="915" customWidth="1"/>
    <col min="3584" max="3584" width="15.44140625" style="915" customWidth="1"/>
    <col min="3585" max="3585" width="36.6640625" style="915" customWidth="1"/>
    <col min="3586" max="3586" width="0" style="915" hidden="1" customWidth="1"/>
    <col min="3587" max="3587" width="9.33203125" style="915"/>
    <col min="3588" max="3588" width="10.33203125" style="915" bestFit="1" customWidth="1"/>
    <col min="3589" max="3830" width="9.33203125" style="915"/>
    <col min="3831" max="3831" width="2.6640625" style="915" customWidth="1"/>
    <col min="3832" max="3832" width="5" style="915" customWidth="1"/>
    <col min="3833" max="3833" width="11.6640625" style="915" customWidth="1"/>
    <col min="3834" max="3834" width="17" style="915" customWidth="1"/>
    <col min="3835" max="3835" width="6.6640625" style="915" customWidth="1"/>
    <col min="3836" max="3836" width="18.33203125" style="915" customWidth="1"/>
    <col min="3837" max="3837" width="10" style="915" customWidth="1"/>
    <col min="3838" max="3838" width="9" style="915" bestFit="1" customWidth="1"/>
    <col min="3839" max="3839" width="6.5546875" style="915" customWidth="1"/>
    <col min="3840" max="3840" width="15.44140625" style="915" customWidth="1"/>
    <col min="3841" max="3841" width="36.6640625" style="915" customWidth="1"/>
    <col min="3842" max="3842" width="0" style="915" hidden="1" customWidth="1"/>
    <col min="3843" max="3843" width="9.33203125" style="915"/>
    <col min="3844" max="3844" width="10.33203125" style="915" bestFit="1" customWidth="1"/>
    <col min="3845" max="4086" width="9.33203125" style="915"/>
    <col min="4087" max="4087" width="2.6640625" style="915" customWidth="1"/>
    <col min="4088" max="4088" width="5" style="915" customWidth="1"/>
    <col min="4089" max="4089" width="11.6640625" style="915" customWidth="1"/>
    <col min="4090" max="4090" width="17" style="915" customWidth="1"/>
    <col min="4091" max="4091" width="6.6640625" style="915" customWidth="1"/>
    <col min="4092" max="4092" width="18.33203125" style="915" customWidth="1"/>
    <col min="4093" max="4093" width="10" style="915" customWidth="1"/>
    <col min="4094" max="4094" width="9" style="915" bestFit="1" customWidth="1"/>
    <col min="4095" max="4095" width="6.5546875" style="915" customWidth="1"/>
    <col min="4096" max="4096" width="15.44140625" style="915" customWidth="1"/>
    <col min="4097" max="4097" width="36.6640625" style="915" customWidth="1"/>
    <col min="4098" max="4098" width="0" style="915" hidden="1" customWidth="1"/>
    <col min="4099" max="4099" width="9.33203125" style="915"/>
    <col min="4100" max="4100" width="10.33203125" style="915" bestFit="1" customWidth="1"/>
    <col min="4101" max="4342" width="9.33203125" style="915"/>
    <col min="4343" max="4343" width="2.6640625" style="915" customWidth="1"/>
    <col min="4344" max="4344" width="5" style="915" customWidth="1"/>
    <col min="4345" max="4345" width="11.6640625" style="915" customWidth="1"/>
    <col min="4346" max="4346" width="17" style="915" customWidth="1"/>
    <col min="4347" max="4347" width="6.6640625" style="915" customWidth="1"/>
    <col min="4348" max="4348" width="18.33203125" style="915" customWidth="1"/>
    <col min="4349" max="4349" width="10" style="915" customWidth="1"/>
    <col min="4350" max="4350" width="9" style="915" bestFit="1" customWidth="1"/>
    <col min="4351" max="4351" width="6.5546875" style="915" customWidth="1"/>
    <col min="4352" max="4352" width="15.44140625" style="915" customWidth="1"/>
    <col min="4353" max="4353" width="36.6640625" style="915" customWidth="1"/>
    <col min="4354" max="4354" width="0" style="915" hidden="1" customWidth="1"/>
    <col min="4355" max="4355" width="9.33203125" style="915"/>
    <col min="4356" max="4356" width="10.33203125" style="915" bestFit="1" customWidth="1"/>
    <col min="4357" max="4598" width="9.33203125" style="915"/>
    <col min="4599" max="4599" width="2.6640625" style="915" customWidth="1"/>
    <col min="4600" max="4600" width="5" style="915" customWidth="1"/>
    <col min="4601" max="4601" width="11.6640625" style="915" customWidth="1"/>
    <col min="4602" max="4602" width="17" style="915" customWidth="1"/>
    <col min="4603" max="4603" width="6.6640625" style="915" customWidth="1"/>
    <col min="4604" max="4604" width="18.33203125" style="915" customWidth="1"/>
    <col min="4605" max="4605" width="10" style="915" customWidth="1"/>
    <col min="4606" max="4606" width="9" style="915" bestFit="1" customWidth="1"/>
    <col min="4607" max="4607" width="6.5546875" style="915" customWidth="1"/>
    <col min="4608" max="4608" width="15.44140625" style="915" customWidth="1"/>
    <col min="4609" max="4609" width="36.6640625" style="915" customWidth="1"/>
    <col min="4610" max="4610" width="0" style="915" hidden="1" customWidth="1"/>
    <col min="4611" max="4611" width="9.33203125" style="915"/>
    <col min="4612" max="4612" width="10.33203125" style="915" bestFit="1" customWidth="1"/>
    <col min="4613" max="4854" width="9.33203125" style="915"/>
    <col min="4855" max="4855" width="2.6640625" style="915" customWidth="1"/>
    <col min="4856" max="4856" width="5" style="915" customWidth="1"/>
    <col min="4857" max="4857" width="11.6640625" style="915" customWidth="1"/>
    <col min="4858" max="4858" width="17" style="915" customWidth="1"/>
    <col min="4859" max="4859" width="6.6640625" style="915" customWidth="1"/>
    <col min="4860" max="4860" width="18.33203125" style="915" customWidth="1"/>
    <col min="4861" max="4861" width="10" style="915" customWidth="1"/>
    <col min="4862" max="4862" width="9" style="915" bestFit="1" customWidth="1"/>
    <col min="4863" max="4863" width="6.5546875" style="915" customWidth="1"/>
    <col min="4864" max="4864" width="15.44140625" style="915" customWidth="1"/>
    <col min="4865" max="4865" width="36.6640625" style="915" customWidth="1"/>
    <col min="4866" max="4866" width="0" style="915" hidden="1" customWidth="1"/>
    <col min="4867" max="4867" width="9.33203125" style="915"/>
    <col min="4868" max="4868" width="10.33203125" style="915" bestFit="1" customWidth="1"/>
    <col min="4869" max="5110" width="9.33203125" style="915"/>
    <col min="5111" max="5111" width="2.6640625" style="915" customWidth="1"/>
    <col min="5112" max="5112" width="5" style="915" customWidth="1"/>
    <col min="5113" max="5113" width="11.6640625" style="915" customWidth="1"/>
    <col min="5114" max="5114" width="17" style="915" customWidth="1"/>
    <col min="5115" max="5115" width="6.6640625" style="915" customWidth="1"/>
    <col min="5116" max="5116" width="18.33203125" style="915" customWidth="1"/>
    <col min="5117" max="5117" width="10" style="915" customWidth="1"/>
    <col min="5118" max="5118" width="9" style="915" bestFit="1" customWidth="1"/>
    <col min="5119" max="5119" width="6.5546875" style="915" customWidth="1"/>
    <col min="5120" max="5120" width="15.44140625" style="915" customWidth="1"/>
    <col min="5121" max="5121" width="36.6640625" style="915" customWidth="1"/>
    <col min="5122" max="5122" width="0" style="915" hidden="1" customWidth="1"/>
    <col min="5123" max="5123" width="9.33203125" style="915"/>
    <col min="5124" max="5124" width="10.33203125" style="915" bestFit="1" customWidth="1"/>
    <col min="5125" max="5366" width="9.33203125" style="915"/>
    <col min="5367" max="5367" width="2.6640625" style="915" customWidth="1"/>
    <col min="5368" max="5368" width="5" style="915" customWidth="1"/>
    <col min="5369" max="5369" width="11.6640625" style="915" customWidth="1"/>
    <col min="5370" max="5370" width="17" style="915" customWidth="1"/>
    <col min="5371" max="5371" width="6.6640625" style="915" customWidth="1"/>
    <col min="5372" max="5372" width="18.33203125" style="915" customWidth="1"/>
    <col min="5373" max="5373" width="10" style="915" customWidth="1"/>
    <col min="5374" max="5374" width="9" style="915" bestFit="1" customWidth="1"/>
    <col min="5375" max="5375" width="6.5546875" style="915" customWidth="1"/>
    <col min="5376" max="5376" width="15.44140625" style="915" customWidth="1"/>
    <col min="5377" max="5377" width="36.6640625" style="915" customWidth="1"/>
    <col min="5378" max="5378" width="0" style="915" hidden="1" customWidth="1"/>
    <col min="5379" max="5379" width="9.33203125" style="915"/>
    <col min="5380" max="5380" width="10.33203125" style="915" bestFit="1" customWidth="1"/>
    <col min="5381" max="5622" width="9.33203125" style="915"/>
    <col min="5623" max="5623" width="2.6640625" style="915" customWidth="1"/>
    <col min="5624" max="5624" width="5" style="915" customWidth="1"/>
    <col min="5625" max="5625" width="11.6640625" style="915" customWidth="1"/>
    <col min="5626" max="5626" width="17" style="915" customWidth="1"/>
    <col min="5627" max="5627" width="6.6640625" style="915" customWidth="1"/>
    <col min="5628" max="5628" width="18.33203125" style="915" customWidth="1"/>
    <col min="5629" max="5629" width="10" style="915" customWidth="1"/>
    <col min="5630" max="5630" width="9" style="915" bestFit="1" customWidth="1"/>
    <col min="5631" max="5631" width="6.5546875" style="915" customWidth="1"/>
    <col min="5632" max="5632" width="15.44140625" style="915" customWidth="1"/>
    <col min="5633" max="5633" width="36.6640625" style="915" customWidth="1"/>
    <col min="5634" max="5634" width="0" style="915" hidden="1" customWidth="1"/>
    <col min="5635" max="5635" width="9.33203125" style="915"/>
    <col min="5636" max="5636" width="10.33203125" style="915" bestFit="1" customWidth="1"/>
    <col min="5637" max="5878" width="9.33203125" style="915"/>
    <col min="5879" max="5879" width="2.6640625" style="915" customWidth="1"/>
    <col min="5880" max="5880" width="5" style="915" customWidth="1"/>
    <col min="5881" max="5881" width="11.6640625" style="915" customWidth="1"/>
    <col min="5882" max="5882" width="17" style="915" customWidth="1"/>
    <col min="5883" max="5883" width="6.6640625" style="915" customWidth="1"/>
    <col min="5884" max="5884" width="18.33203125" style="915" customWidth="1"/>
    <col min="5885" max="5885" width="10" style="915" customWidth="1"/>
    <col min="5886" max="5886" width="9" style="915" bestFit="1" customWidth="1"/>
    <col min="5887" max="5887" width="6.5546875" style="915" customWidth="1"/>
    <col min="5888" max="5888" width="15.44140625" style="915" customWidth="1"/>
    <col min="5889" max="5889" width="36.6640625" style="915" customWidth="1"/>
    <col min="5890" max="5890" width="0" style="915" hidden="1" customWidth="1"/>
    <col min="5891" max="5891" width="9.33203125" style="915"/>
    <col min="5892" max="5892" width="10.33203125" style="915" bestFit="1" customWidth="1"/>
    <col min="5893" max="6134" width="9.33203125" style="915"/>
    <col min="6135" max="6135" width="2.6640625" style="915" customWidth="1"/>
    <col min="6136" max="6136" width="5" style="915" customWidth="1"/>
    <col min="6137" max="6137" width="11.6640625" style="915" customWidth="1"/>
    <col min="6138" max="6138" width="17" style="915" customWidth="1"/>
    <col min="6139" max="6139" width="6.6640625" style="915" customWidth="1"/>
    <col min="6140" max="6140" width="18.33203125" style="915" customWidth="1"/>
    <col min="6141" max="6141" width="10" style="915" customWidth="1"/>
    <col min="6142" max="6142" width="9" style="915" bestFit="1" customWidth="1"/>
    <col min="6143" max="6143" width="6.5546875" style="915" customWidth="1"/>
    <col min="6144" max="6144" width="15.44140625" style="915" customWidth="1"/>
    <col min="6145" max="6145" width="36.6640625" style="915" customWidth="1"/>
    <col min="6146" max="6146" width="0" style="915" hidden="1" customWidth="1"/>
    <col min="6147" max="6147" width="9.33203125" style="915"/>
    <col min="6148" max="6148" width="10.33203125" style="915" bestFit="1" customWidth="1"/>
    <col min="6149" max="6390" width="9.33203125" style="915"/>
    <col min="6391" max="6391" width="2.6640625" style="915" customWidth="1"/>
    <col min="6392" max="6392" width="5" style="915" customWidth="1"/>
    <col min="6393" max="6393" width="11.6640625" style="915" customWidth="1"/>
    <col min="6394" max="6394" width="17" style="915" customWidth="1"/>
    <col min="6395" max="6395" width="6.6640625" style="915" customWidth="1"/>
    <col min="6396" max="6396" width="18.33203125" style="915" customWidth="1"/>
    <col min="6397" max="6397" width="10" style="915" customWidth="1"/>
    <col min="6398" max="6398" width="9" style="915" bestFit="1" customWidth="1"/>
    <col min="6399" max="6399" width="6.5546875" style="915" customWidth="1"/>
    <col min="6400" max="6400" width="15.44140625" style="915" customWidth="1"/>
    <col min="6401" max="6401" width="36.6640625" style="915" customWidth="1"/>
    <col min="6402" max="6402" width="0" style="915" hidden="1" customWidth="1"/>
    <col min="6403" max="6403" width="9.33203125" style="915"/>
    <col min="6404" max="6404" width="10.33203125" style="915" bestFit="1" customWidth="1"/>
    <col min="6405" max="6646" width="9.33203125" style="915"/>
    <col min="6647" max="6647" width="2.6640625" style="915" customWidth="1"/>
    <col min="6648" max="6648" width="5" style="915" customWidth="1"/>
    <col min="6649" max="6649" width="11.6640625" style="915" customWidth="1"/>
    <col min="6650" max="6650" width="17" style="915" customWidth="1"/>
    <col min="6651" max="6651" width="6.6640625" style="915" customWidth="1"/>
    <col min="6652" max="6652" width="18.33203125" style="915" customWidth="1"/>
    <col min="6653" max="6653" width="10" style="915" customWidth="1"/>
    <col min="6654" max="6654" width="9" style="915" bestFit="1" customWidth="1"/>
    <col min="6655" max="6655" width="6.5546875" style="915" customWidth="1"/>
    <col min="6656" max="6656" width="15.44140625" style="915" customWidth="1"/>
    <col min="6657" max="6657" width="36.6640625" style="915" customWidth="1"/>
    <col min="6658" max="6658" width="0" style="915" hidden="1" customWidth="1"/>
    <col min="6659" max="6659" width="9.33203125" style="915"/>
    <col min="6660" max="6660" width="10.33203125" style="915" bestFit="1" customWidth="1"/>
    <col min="6661" max="6902" width="9.33203125" style="915"/>
    <col min="6903" max="6903" width="2.6640625" style="915" customWidth="1"/>
    <col min="6904" max="6904" width="5" style="915" customWidth="1"/>
    <col min="6905" max="6905" width="11.6640625" style="915" customWidth="1"/>
    <col min="6906" max="6906" width="17" style="915" customWidth="1"/>
    <col min="6907" max="6907" width="6.6640625" style="915" customWidth="1"/>
    <col min="6908" max="6908" width="18.33203125" style="915" customWidth="1"/>
    <col min="6909" max="6909" width="10" style="915" customWidth="1"/>
    <col min="6910" max="6910" width="9" style="915" bestFit="1" customWidth="1"/>
    <col min="6911" max="6911" width="6.5546875" style="915" customWidth="1"/>
    <col min="6912" max="6912" width="15.44140625" style="915" customWidth="1"/>
    <col min="6913" max="6913" width="36.6640625" style="915" customWidth="1"/>
    <col min="6914" max="6914" width="0" style="915" hidden="1" customWidth="1"/>
    <col min="6915" max="6915" width="9.33203125" style="915"/>
    <col min="6916" max="6916" width="10.33203125" style="915" bestFit="1" customWidth="1"/>
    <col min="6917" max="7158" width="9.33203125" style="915"/>
    <col min="7159" max="7159" width="2.6640625" style="915" customWidth="1"/>
    <col min="7160" max="7160" width="5" style="915" customWidth="1"/>
    <col min="7161" max="7161" width="11.6640625" style="915" customWidth="1"/>
    <col min="7162" max="7162" width="17" style="915" customWidth="1"/>
    <col min="7163" max="7163" width="6.6640625" style="915" customWidth="1"/>
    <col min="7164" max="7164" width="18.33203125" style="915" customWidth="1"/>
    <col min="7165" max="7165" width="10" style="915" customWidth="1"/>
    <col min="7166" max="7166" width="9" style="915" bestFit="1" customWidth="1"/>
    <col min="7167" max="7167" width="6.5546875" style="915" customWidth="1"/>
    <col min="7168" max="7168" width="15.44140625" style="915" customWidth="1"/>
    <col min="7169" max="7169" width="36.6640625" style="915" customWidth="1"/>
    <col min="7170" max="7170" width="0" style="915" hidden="1" customWidth="1"/>
    <col min="7171" max="7171" width="9.33203125" style="915"/>
    <col min="7172" max="7172" width="10.33203125" style="915" bestFit="1" customWidth="1"/>
    <col min="7173" max="7414" width="9.33203125" style="915"/>
    <col min="7415" max="7415" width="2.6640625" style="915" customWidth="1"/>
    <col min="7416" max="7416" width="5" style="915" customWidth="1"/>
    <col min="7417" max="7417" width="11.6640625" style="915" customWidth="1"/>
    <col min="7418" max="7418" width="17" style="915" customWidth="1"/>
    <col min="7419" max="7419" width="6.6640625" style="915" customWidth="1"/>
    <col min="7420" max="7420" width="18.33203125" style="915" customWidth="1"/>
    <col min="7421" max="7421" width="10" style="915" customWidth="1"/>
    <col min="7422" max="7422" width="9" style="915" bestFit="1" customWidth="1"/>
    <col min="7423" max="7423" width="6.5546875" style="915" customWidth="1"/>
    <col min="7424" max="7424" width="15.44140625" style="915" customWidth="1"/>
    <col min="7425" max="7425" width="36.6640625" style="915" customWidth="1"/>
    <col min="7426" max="7426" width="0" style="915" hidden="1" customWidth="1"/>
    <col min="7427" max="7427" width="9.33203125" style="915"/>
    <col min="7428" max="7428" width="10.33203125" style="915" bestFit="1" customWidth="1"/>
    <col min="7429" max="7670" width="9.33203125" style="915"/>
    <col min="7671" max="7671" width="2.6640625" style="915" customWidth="1"/>
    <col min="7672" max="7672" width="5" style="915" customWidth="1"/>
    <col min="7673" max="7673" width="11.6640625" style="915" customWidth="1"/>
    <col min="7674" max="7674" width="17" style="915" customWidth="1"/>
    <col min="7675" max="7675" width="6.6640625" style="915" customWidth="1"/>
    <col min="7676" max="7676" width="18.33203125" style="915" customWidth="1"/>
    <col min="7677" max="7677" width="10" style="915" customWidth="1"/>
    <col min="7678" max="7678" width="9" style="915" bestFit="1" customWidth="1"/>
    <col min="7679" max="7679" width="6.5546875" style="915" customWidth="1"/>
    <col min="7680" max="7680" width="15.44140625" style="915" customWidth="1"/>
    <col min="7681" max="7681" width="36.6640625" style="915" customWidth="1"/>
    <col min="7682" max="7682" width="0" style="915" hidden="1" customWidth="1"/>
    <col min="7683" max="7683" width="9.33203125" style="915"/>
    <col min="7684" max="7684" width="10.33203125" style="915" bestFit="1" customWidth="1"/>
    <col min="7685" max="7926" width="9.33203125" style="915"/>
    <col min="7927" max="7927" width="2.6640625" style="915" customWidth="1"/>
    <col min="7928" max="7928" width="5" style="915" customWidth="1"/>
    <col min="7929" max="7929" width="11.6640625" style="915" customWidth="1"/>
    <col min="7930" max="7930" width="17" style="915" customWidth="1"/>
    <col min="7931" max="7931" width="6.6640625" style="915" customWidth="1"/>
    <col min="7932" max="7932" width="18.33203125" style="915" customWidth="1"/>
    <col min="7933" max="7933" width="10" style="915" customWidth="1"/>
    <col min="7934" max="7934" width="9" style="915" bestFit="1" customWidth="1"/>
    <col min="7935" max="7935" width="6.5546875" style="915" customWidth="1"/>
    <col min="7936" max="7936" width="15.44140625" style="915" customWidth="1"/>
    <col min="7937" max="7937" width="36.6640625" style="915" customWidth="1"/>
    <col min="7938" max="7938" width="0" style="915" hidden="1" customWidth="1"/>
    <col min="7939" max="7939" width="9.33203125" style="915"/>
    <col min="7940" max="7940" width="10.33203125" style="915" bestFit="1" customWidth="1"/>
    <col min="7941" max="8182" width="9.33203125" style="915"/>
    <col min="8183" max="8183" width="2.6640625" style="915" customWidth="1"/>
    <col min="8184" max="8184" width="5" style="915" customWidth="1"/>
    <col min="8185" max="8185" width="11.6640625" style="915" customWidth="1"/>
    <col min="8186" max="8186" width="17" style="915" customWidth="1"/>
    <col min="8187" max="8187" width="6.6640625" style="915" customWidth="1"/>
    <col min="8188" max="8188" width="18.33203125" style="915" customWidth="1"/>
    <col min="8189" max="8189" width="10" style="915" customWidth="1"/>
    <col min="8190" max="8190" width="9" style="915" bestFit="1" customWidth="1"/>
    <col min="8191" max="8191" width="6.5546875" style="915" customWidth="1"/>
    <col min="8192" max="8192" width="15.44140625" style="915" customWidth="1"/>
    <col min="8193" max="8193" width="36.6640625" style="915" customWidth="1"/>
    <col min="8194" max="8194" width="0" style="915" hidden="1" customWidth="1"/>
    <col min="8195" max="8195" width="9.33203125" style="915"/>
    <col min="8196" max="8196" width="10.33203125" style="915" bestFit="1" customWidth="1"/>
    <col min="8197" max="8438" width="9.33203125" style="915"/>
    <col min="8439" max="8439" width="2.6640625" style="915" customWidth="1"/>
    <col min="8440" max="8440" width="5" style="915" customWidth="1"/>
    <col min="8441" max="8441" width="11.6640625" style="915" customWidth="1"/>
    <col min="8442" max="8442" width="17" style="915" customWidth="1"/>
    <col min="8443" max="8443" width="6.6640625" style="915" customWidth="1"/>
    <col min="8444" max="8444" width="18.33203125" style="915" customWidth="1"/>
    <col min="8445" max="8445" width="10" style="915" customWidth="1"/>
    <col min="8446" max="8446" width="9" style="915" bestFit="1" customWidth="1"/>
    <col min="8447" max="8447" width="6.5546875" style="915" customWidth="1"/>
    <col min="8448" max="8448" width="15.44140625" style="915" customWidth="1"/>
    <col min="8449" max="8449" width="36.6640625" style="915" customWidth="1"/>
    <col min="8450" max="8450" width="0" style="915" hidden="1" customWidth="1"/>
    <col min="8451" max="8451" width="9.33203125" style="915"/>
    <col min="8452" max="8452" width="10.33203125" style="915" bestFit="1" customWidth="1"/>
    <col min="8453" max="8694" width="9.33203125" style="915"/>
    <col min="8695" max="8695" width="2.6640625" style="915" customWidth="1"/>
    <col min="8696" max="8696" width="5" style="915" customWidth="1"/>
    <col min="8697" max="8697" width="11.6640625" style="915" customWidth="1"/>
    <col min="8698" max="8698" width="17" style="915" customWidth="1"/>
    <col min="8699" max="8699" width="6.6640625" style="915" customWidth="1"/>
    <col min="8700" max="8700" width="18.33203125" style="915" customWidth="1"/>
    <col min="8701" max="8701" width="10" style="915" customWidth="1"/>
    <col min="8702" max="8702" width="9" style="915" bestFit="1" customWidth="1"/>
    <col min="8703" max="8703" width="6.5546875" style="915" customWidth="1"/>
    <col min="8704" max="8704" width="15.44140625" style="915" customWidth="1"/>
    <col min="8705" max="8705" width="36.6640625" style="915" customWidth="1"/>
    <col min="8706" max="8706" width="0" style="915" hidden="1" customWidth="1"/>
    <col min="8707" max="8707" width="9.33203125" style="915"/>
    <col min="8708" max="8708" width="10.33203125" style="915" bestFit="1" customWidth="1"/>
    <col min="8709" max="8950" width="9.33203125" style="915"/>
    <col min="8951" max="8951" width="2.6640625" style="915" customWidth="1"/>
    <col min="8952" max="8952" width="5" style="915" customWidth="1"/>
    <col min="8953" max="8953" width="11.6640625" style="915" customWidth="1"/>
    <col min="8954" max="8954" width="17" style="915" customWidth="1"/>
    <col min="8955" max="8955" width="6.6640625" style="915" customWidth="1"/>
    <col min="8956" max="8956" width="18.33203125" style="915" customWidth="1"/>
    <col min="8957" max="8957" width="10" style="915" customWidth="1"/>
    <col min="8958" max="8958" width="9" style="915" bestFit="1" customWidth="1"/>
    <col min="8959" max="8959" width="6.5546875" style="915" customWidth="1"/>
    <col min="8960" max="8960" width="15.44140625" style="915" customWidth="1"/>
    <col min="8961" max="8961" width="36.6640625" style="915" customWidth="1"/>
    <col min="8962" max="8962" width="0" style="915" hidden="1" customWidth="1"/>
    <col min="8963" max="8963" width="9.33203125" style="915"/>
    <col min="8964" max="8964" width="10.33203125" style="915" bestFit="1" customWidth="1"/>
    <col min="8965" max="9206" width="9.33203125" style="915"/>
    <col min="9207" max="9207" width="2.6640625" style="915" customWidth="1"/>
    <col min="9208" max="9208" width="5" style="915" customWidth="1"/>
    <col min="9209" max="9209" width="11.6640625" style="915" customWidth="1"/>
    <col min="9210" max="9210" width="17" style="915" customWidth="1"/>
    <col min="9211" max="9211" width="6.6640625" style="915" customWidth="1"/>
    <col min="9212" max="9212" width="18.33203125" style="915" customWidth="1"/>
    <col min="9213" max="9213" width="10" style="915" customWidth="1"/>
    <col min="9214" max="9214" width="9" style="915" bestFit="1" customWidth="1"/>
    <col min="9215" max="9215" width="6.5546875" style="915" customWidth="1"/>
    <col min="9216" max="9216" width="15.44140625" style="915" customWidth="1"/>
    <col min="9217" max="9217" width="36.6640625" style="915" customWidth="1"/>
    <col min="9218" max="9218" width="0" style="915" hidden="1" customWidth="1"/>
    <col min="9219" max="9219" width="9.33203125" style="915"/>
    <col min="9220" max="9220" width="10.33203125" style="915" bestFit="1" customWidth="1"/>
    <col min="9221" max="9462" width="9.33203125" style="915"/>
    <col min="9463" max="9463" width="2.6640625" style="915" customWidth="1"/>
    <col min="9464" max="9464" width="5" style="915" customWidth="1"/>
    <col min="9465" max="9465" width="11.6640625" style="915" customWidth="1"/>
    <col min="9466" max="9466" width="17" style="915" customWidth="1"/>
    <col min="9467" max="9467" width="6.6640625" style="915" customWidth="1"/>
    <col min="9468" max="9468" width="18.33203125" style="915" customWidth="1"/>
    <col min="9469" max="9469" width="10" style="915" customWidth="1"/>
    <col min="9470" max="9470" width="9" style="915" bestFit="1" customWidth="1"/>
    <col min="9471" max="9471" width="6.5546875" style="915" customWidth="1"/>
    <col min="9472" max="9472" width="15.44140625" style="915" customWidth="1"/>
    <col min="9473" max="9473" width="36.6640625" style="915" customWidth="1"/>
    <col min="9474" max="9474" width="0" style="915" hidden="1" customWidth="1"/>
    <col min="9475" max="9475" width="9.33203125" style="915"/>
    <col min="9476" max="9476" width="10.33203125" style="915" bestFit="1" customWidth="1"/>
    <col min="9477" max="9718" width="9.33203125" style="915"/>
    <col min="9719" max="9719" width="2.6640625" style="915" customWidth="1"/>
    <col min="9720" max="9720" width="5" style="915" customWidth="1"/>
    <col min="9721" max="9721" width="11.6640625" style="915" customWidth="1"/>
    <col min="9722" max="9722" width="17" style="915" customWidth="1"/>
    <col min="9723" max="9723" width="6.6640625" style="915" customWidth="1"/>
    <col min="9724" max="9724" width="18.33203125" style="915" customWidth="1"/>
    <col min="9725" max="9725" width="10" style="915" customWidth="1"/>
    <col min="9726" max="9726" width="9" style="915" bestFit="1" customWidth="1"/>
    <col min="9727" max="9727" width="6.5546875" style="915" customWidth="1"/>
    <col min="9728" max="9728" width="15.44140625" style="915" customWidth="1"/>
    <col min="9729" max="9729" width="36.6640625" style="915" customWidth="1"/>
    <col min="9730" max="9730" width="0" style="915" hidden="1" customWidth="1"/>
    <col min="9731" max="9731" width="9.33203125" style="915"/>
    <col min="9732" max="9732" width="10.33203125" style="915" bestFit="1" customWidth="1"/>
    <col min="9733" max="9974" width="9.33203125" style="915"/>
    <col min="9975" max="9975" width="2.6640625" style="915" customWidth="1"/>
    <col min="9976" max="9976" width="5" style="915" customWidth="1"/>
    <col min="9977" max="9977" width="11.6640625" style="915" customWidth="1"/>
    <col min="9978" max="9978" width="17" style="915" customWidth="1"/>
    <col min="9979" max="9979" width="6.6640625" style="915" customWidth="1"/>
    <col min="9980" max="9980" width="18.33203125" style="915" customWidth="1"/>
    <col min="9981" max="9981" width="10" style="915" customWidth="1"/>
    <col min="9982" max="9982" width="9" style="915" bestFit="1" customWidth="1"/>
    <col min="9983" max="9983" width="6.5546875" style="915" customWidth="1"/>
    <col min="9984" max="9984" width="15.44140625" style="915" customWidth="1"/>
    <col min="9985" max="9985" width="36.6640625" style="915" customWidth="1"/>
    <col min="9986" max="9986" width="0" style="915" hidden="1" customWidth="1"/>
    <col min="9987" max="9987" width="9.33203125" style="915"/>
    <col min="9988" max="9988" width="10.33203125" style="915" bestFit="1" customWidth="1"/>
    <col min="9989" max="10230" width="9.33203125" style="915"/>
    <col min="10231" max="10231" width="2.6640625" style="915" customWidth="1"/>
    <col min="10232" max="10232" width="5" style="915" customWidth="1"/>
    <col min="10233" max="10233" width="11.6640625" style="915" customWidth="1"/>
    <col min="10234" max="10234" width="17" style="915" customWidth="1"/>
    <col min="10235" max="10235" width="6.6640625" style="915" customWidth="1"/>
    <col min="10236" max="10236" width="18.33203125" style="915" customWidth="1"/>
    <col min="10237" max="10237" width="10" style="915" customWidth="1"/>
    <col min="10238" max="10238" width="9" style="915" bestFit="1" customWidth="1"/>
    <col min="10239" max="10239" width="6.5546875" style="915" customWidth="1"/>
    <col min="10240" max="10240" width="15.44140625" style="915" customWidth="1"/>
    <col min="10241" max="10241" width="36.6640625" style="915" customWidth="1"/>
    <col min="10242" max="10242" width="0" style="915" hidden="1" customWidth="1"/>
    <col min="10243" max="10243" width="9.33203125" style="915"/>
    <col min="10244" max="10244" width="10.33203125" style="915" bestFit="1" customWidth="1"/>
    <col min="10245" max="10486" width="9.33203125" style="915"/>
    <col min="10487" max="10487" width="2.6640625" style="915" customWidth="1"/>
    <col min="10488" max="10488" width="5" style="915" customWidth="1"/>
    <col min="10489" max="10489" width="11.6640625" style="915" customWidth="1"/>
    <col min="10490" max="10490" width="17" style="915" customWidth="1"/>
    <col min="10491" max="10491" width="6.6640625" style="915" customWidth="1"/>
    <col min="10492" max="10492" width="18.33203125" style="915" customWidth="1"/>
    <col min="10493" max="10493" width="10" style="915" customWidth="1"/>
    <col min="10494" max="10494" width="9" style="915" bestFit="1" customWidth="1"/>
    <col min="10495" max="10495" width="6.5546875" style="915" customWidth="1"/>
    <col min="10496" max="10496" width="15.44140625" style="915" customWidth="1"/>
    <col min="10497" max="10497" width="36.6640625" style="915" customWidth="1"/>
    <col min="10498" max="10498" width="0" style="915" hidden="1" customWidth="1"/>
    <col min="10499" max="10499" width="9.33203125" style="915"/>
    <col min="10500" max="10500" width="10.33203125" style="915" bestFit="1" customWidth="1"/>
    <col min="10501" max="10742" width="9.33203125" style="915"/>
    <col min="10743" max="10743" width="2.6640625" style="915" customWidth="1"/>
    <col min="10744" max="10744" width="5" style="915" customWidth="1"/>
    <col min="10745" max="10745" width="11.6640625" style="915" customWidth="1"/>
    <col min="10746" max="10746" width="17" style="915" customWidth="1"/>
    <col min="10747" max="10747" width="6.6640625" style="915" customWidth="1"/>
    <col min="10748" max="10748" width="18.33203125" style="915" customWidth="1"/>
    <col min="10749" max="10749" width="10" style="915" customWidth="1"/>
    <col min="10750" max="10750" width="9" style="915" bestFit="1" customWidth="1"/>
    <col min="10751" max="10751" width="6.5546875" style="915" customWidth="1"/>
    <col min="10752" max="10752" width="15.44140625" style="915" customWidth="1"/>
    <col min="10753" max="10753" width="36.6640625" style="915" customWidth="1"/>
    <col min="10754" max="10754" width="0" style="915" hidden="1" customWidth="1"/>
    <col min="10755" max="10755" width="9.33203125" style="915"/>
    <col min="10756" max="10756" width="10.33203125" style="915" bestFit="1" customWidth="1"/>
    <col min="10757" max="10998" width="9.33203125" style="915"/>
    <col min="10999" max="10999" width="2.6640625" style="915" customWidth="1"/>
    <col min="11000" max="11000" width="5" style="915" customWidth="1"/>
    <col min="11001" max="11001" width="11.6640625" style="915" customWidth="1"/>
    <col min="11002" max="11002" width="17" style="915" customWidth="1"/>
    <col min="11003" max="11003" width="6.6640625" style="915" customWidth="1"/>
    <col min="11004" max="11004" width="18.33203125" style="915" customWidth="1"/>
    <col min="11005" max="11005" width="10" style="915" customWidth="1"/>
    <col min="11006" max="11006" width="9" style="915" bestFit="1" customWidth="1"/>
    <col min="11007" max="11007" width="6.5546875" style="915" customWidth="1"/>
    <col min="11008" max="11008" width="15.44140625" style="915" customWidth="1"/>
    <col min="11009" max="11009" width="36.6640625" style="915" customWidth="1"/>
    <col min="11010" max="11010" width="0" style="915" hidden="1" customWidth="1"/>
    <col min="11011" max="11011" width="9.33203125" style="915"/>
    <col min="11012" max="11012" width="10.33203125" style="915" bestFit="1" customWidth="1"/>
    <col min="11013" max="11254" width="9.33203125" style="915"/>
    <col min="11255" max="11255" width="2.6640625" style="915" customWidth="1"/>
    <col min="11256" max="11256" width="5" style="915" customWidth="1"/>
    <col min="11257" max="11257" width="11.6640625" style="915" customWidth="1"/>
    <col min="11258" max="11258" width="17" style="915" customWidth="1"/>
    <col min="11259" max="11259" width="6.6640625" style="915" customWidth="1"/>
    <col min="11260" max="11260" width="18.33203125" style="915" customWidth="1"/>
    <col min="11261" max="11261" width="10" style="915" customWidth="1"/>
    <col min="11262" max="11262" width="9" style="915" bestFit="1" customWidth="1"/>
    <col min="11263" max="11263" width="6.5546875" style="915" customWidth="1"/>
    <col min="11264" max="11264" width="15.44140625" style="915" customWidth="1"/>
    <col min="11265" max="11265" width="36.6640625" style="915" customWidth="1"/>
    <col min="11266" max="11266" width="0" style="915" hidden="1" customWidth="1"/>
    <col min="11267" max="11267" width="9.33203125" style="915"/>
    <col min="11268" max="11268" width="10.33203125" style="915" bestFit="1" customWidth="1"/>
    <col min="11269" max="11510" width="9.33203125" style="915"/>
    <col min="11511" max="11511" width="2.6640625" style="915" customWidth="1"/>
    <col min="11512" max="11512" width="5" style="915" customWidth="1"/>
    <col min="11513" max="11513" width="11.6640625" style="915" customWidth="1"/>
    <col min="11514" max="11514" width="17" style="915" customWidth="1"/>
    <col min="11515" max="11515" width="6.6640625" style="915" customWidth="1"/>
    <col min="11516" max="11516" width="18.33203125" style="915" customWidth="1"/>
    <col min="11517" max="11517" width="10" style="915" customWidth="1"/>
    <col min="11518" max="11518" width="9" style="915" bestFit="1" customWidth="1"/>
    <col min="11519" max="11519" width="6.5546875" style="915" customWidth="1"/>
    <col min="11520" max="11520" width="15.44140625" style="915" customWidth="1"/>
    <col min="11521" max="11521" width="36.6640625" style="915" customWidth="1"/>
    <col min="11522" max="11522" width="0" style="915" hidden="1" customWidth="1"/>
    <col min="11523" max="11523" width="9.33203125" style="915"/>
    <col min="11524" max="11524" width="10.33203125" style="915" bestFit="1" customWidth="1"/>
    <col min="11525" max="11766" width="9.33203125" style="915"/>
    <col min="11767" max="11767" width="2.6640625" style="915" customWidth="1"/>
    <col min="11768" max="11768" width="5" style="915" customWidth="1"/>
    <col min="11769" max="11769" width="11.6640625" style="915" customWidth="1"/>
    <col min="11770" max="11770" width="17" style="915" customWidth="1"/>
    <col min="11771" max="11771" width="6.6640625" style="915" customWidth="1"/>
    <col min="11772" max="11772" width="18.33203125" style="915" customWidth="1"/>
    <col min="11773" max="11773" width="10" style="915" customWidth="1"/>
    <col min="11774" max="11774" width="9" style="915" bestFit="1" customWidth="1"/>
    <col min="11775" max="11775" width="6.5546875" style="915" customWidth="1"/>
    <col min="11776" max="11776" width="15.44140625" style="915" customWidth="1"/>
    <col min="11777" max="11777" width="36.6640625" style="915" customWidth="1"/>
    <col min="11778" max="11778" width="0" style="915" hidden="1" customWidth="1"/>
    <col min="11779" max="11779" width="9.33203125" style="915"/>
    <col min="11780" max="11780" width="10.33203125" style="915" bestFit="1" customWidth="1"/>
    <col min="11781" max="12022" width="9.33203125" style="915"/>
    <col min="12023" max="12023" width="2.6640625" style="915" customWidth="1"/>
    <col min="12024" max="12024" width="5" style="915" customWidth="1"/>
    <col min="12025" max="12025" width="11.6640625" style="915" customWidth="1"/>
    <col min="12026" max="12026" width="17" style="915" customWidth="1"/>
    <col min="12027" max="12027" width="6.6640625" style="915" customWidth="1"/>
    <col min="12028" max="12028" width="18.33203125" style="915" customWidth="1"/>
    <col min="12029" max="12029" width="10" style="915" customWidth="1"/>
    <col min="12030" max="12030" width="9" style="915" bestFit="1" customWidth="1"/>
    <col min="12031" max="12031" width="6.5546875" style="915" customWidth="1"/>
    <col min="12032" max="12032" width="15.44140625" style="915" customWidth="1"/>
    <col min="12033" max="12033" width="36.6640625" style="915" customWidth="1"/>
    <col min="12034" max="12034" width="0" style="915" hidden="1" customWidth="1"/>
    <col min="12035" max="12035" width="9.33203125" style="915"/>
    <col min="12036" max="12036" width="10.33203125" style="915" bestFit="1" customWidth="1"/>
    <col min="12037" max="12278" width="9.33203125" style="915"/>
    <col min="12279" max="12279" width="2.6640625" style="915" customWidth="1"/>
    <col min="12280" max="12280" width="5" style="915" customWidth="1"/>
    <col min="12281" max="12281" width="11.6640625" style="915" customWidth="1"/>
    <col min="12282" max="12282" width="17" style="915" customWidth="1"/>
    <col min="12283" max="12283" width="6.6640625" style="915" customWidth="1"/>
    <col min="12284" max="12284" width="18.33203125" style="915" customWidth="1"/>
    <col min="12285" max="12285" width="10" style="915" customWidth="1"/>
    <col min="12286" max="12286" width="9" style="915" bestFit="1" customWidth="1"/>
    <col min="12287" max="12287" width="6.5546875" style="915" customWidth="1"/>
    <col min="12288" max="12288" width="15.44140625" style="915" customWidth="1"/>
    <col min="12289" max="12289" width="36.6640625" style="915" customWidth="1"/>
    <col min="12290" max="12290" width="0" style="915" hidden="1" customWidth="1"/>
    <col min="12291" max="12291" width="9.33203125" style="915"/>
    <col min="12292" max="12292" width="10.33203125" style="915" bestFit="1" customWidth="1"/>
    <col min="12293" max="12534" width="9.33203125" style="915"/>
    <col min="12535" max="12535" width="2.6640625" style="915" customWidth="1"/>
    <col min="12536" max="12536" width="5" style="915" customWidth="1"/>
    <col min="12537" max="12537" width="11.6640625" style="915" customWidth="1"/>
    <col min="12538" max="12538" width="17" style="915" customWidth="1"/>
    <col min="12539" max="12539" width="6.6640625" style="915" customWidth="1"/>
    <col min="12540" max="12540" width="18.33203125" style="915" customWidth="1"/>
    <col min="12541" max="12541" width="10" style="915" customWidth="1"/>
    <col min="12542" max="12542" width="9" style="915" bestFit="1" customWidth="1"/>
    <col min="12543" max="12543" width="6.5546875" style="915" customWidth="1"/>
    <col min="12544" max="12544" width="15.44140625" style="915" customWidth="1"/>
    <col min="12545" max="12545" width="36.6640625" style="915" customWidth="1"/>
    <col min="12546" max="12546" width="0" style="915" hidden="1" customWidth="1"/>
    <col min="12547" max="12547" width="9.33203125" style="915"/>
    <col min="12548" max="12548" width="10.33203125" style="915" bestFit="1" customWidth="1"/>
    <col min="12549" max="12790" width="9.33203125" style="915"/>
    <col min="12791" max="12791" width="2.6640625" style="915" customWidth="1"/>
    <col min="12792" max="12792" width="5" style="915" customWidth="1"/>
    <col min="12793" max="12793" width="11.6640625" style="915" customWidth="1"/>
    <col min="12794" max="12794" width="17" style="915" customWidth="1"/>
    <col min="12795" max="12795" width="6.6640625" style="915" customWidth="1"/>
    <col min="12796" max="12796" width="18.33203125" style="915" customWidth="1"/>
    <col min="12797" max="12797" width="10" style="915" customWidth="1"/>
    <col min="12798" max="12798" width="9" style="915" bestFit="1" customWidth="1"/>
    <col min="12799" max="12799" width="6.5546875" style="915" customWidth="1"/>
    <col min="12800" max="12800" width="15.44140625" style="915" customWidth="1"/>
    <col min="12801" max="12801" width="36.6640625" style="915" customWidth="1"/>
    <col min="12802" max="12802" width="0" style="915" hidden="1" customWidth="1"/>
    <col min="12803" max="12803" width="9.33203125" style="915"/>
    <col min="12804" max="12804" width="10.33203125" style="915" bestFit="1" customWidth="1"/>
    <col min="12805" max="13046" width="9.33203125" style="915"/>
    <col min="13047" max="13047" width="2.6640625" style="915" customWidth="1"/>
    <col min="13048" max="13048" width="5" style="915" customWidth="1"/>
    <col min="13049" max="13049" width="11.6640625" style="915" customWidth="1"/>
    <col min="13050" max="13050" width="17" style="915" customWidth="1"/>
    <col min="13051" max="13051" width="6.6640625" style="915" customWidth="1"/>
    <col min="13052" max="13052" width="18.33203125" style="915" customWidth="1"/>
    <col min="13053" max="13053" width="10" style="915" customWidth="1"/>
    <col min="13054" max="13054" width="9" style="915" bestFit="1" customWidth="1"/>
    <col min="13055" max="13055" width="6.5546875" style="915" customWidth="1"/>
    <col min="13056" max="13056" width="15.44140625" style="915" customWidth="1"/>
    <col min="13057" max="13057" width="36.6640625" style="915" customWidth="1"/>
    <col min="13058" max="13058" width="0" style="915" hidden="1" customWidth="1"/>
    <col min="13059" max="13059" width="9.33203125" style="915"/>
    <col min="13060" max="13060" width="10.33203125" style="915" bestFit="1" customWidth="1"/>
    <col min="13061" max="13302" width="9.33203125" style="915"/>
    <col min="13303" max="13303" width="2.6640625" style="915" customWidth="1"/>
    <col min="13304" max="13304" width="5" style="915" customWidth="1"/>
    <col min="13305" max="13305" width="11.6640625" style="915" customWidth="1"/>
    <col min="13306" max="13306" width="17" style="915" customWidth="1"/>
    <col min="13307" max="13307" width="6.6640625" style="915" customWidth="1"/>
    <col min="13308" max="13308" width="18.33203125" style="915" customWidth="1"/>
    <col min="13309" max="13309" width="10" style="915" customWidth="1"/>
    <col min="13310" max="13310" width="9" style="915" bestFit="1" customWidth="1"/>
    <col min="13311" max="13311" width="6.5546875" style="915" customWidth="1"/>
    <col min="13312" max="13312" width="15.44140625" style="915" customWidth="1"/>
    <col min="13313" max="13313" width="36.6640625" style="915" customWidth="1"/>
    <col min="13314" max="13314" width="0" style="915" hidden="1" customWidth="1"/>
    <col min="13315" max="13315" width="9.33203125" style="915"/>
    <col min="13316" max="13316" width="10.33203125" style="915" bestFit="1" customWidth="1"/>
    <col min="13317" max="13558" width="9.33203125" style="915"/>
    <col min="13559" max="13559" width="2.6640625" style="915" customWidth="1"/>
    <col min="13560" max="13560" width="5" style="915" customWidth="1"/>
    <col min="13561" max="13561" width="11.6640625" style="915" customWidth="1"/>
    <col min="13562" max="13562" width="17" style="915" customWidth="1"/>
    <col min="13563" max="13563" width="6.6640625" style="915" customWidth="1"/>
    <col min="13564" max="13564" width="18.33203125" style="915" customWidth="1"/>
    <col min="13565" max="13565" width="10" style="915" customWidth="1"/>
    <col min="13566" max="13566" width="9" style="915" bestFit="1" customWidth="1"/>
    <col min="13567" max="13567" width="6.5546875" style="915" customWidth="1"/>
    <col min="13568" max="13568" width="15.44140625" style="915" customWidth="1"/>
    <col min="13569" max="13569" width="36.6640625" style="915" customWidth="1"/>
    <col min="13570" max="13570" width="0" style="915" hidden="1" customWidth="1"/>
    <col min="13571" max="13571" width="9.33203125" style="915"/>
    <col min="13572" max="13572" width="10.33203125" style="915" bestFit="1" customWidth="1"/>
    <col min="13573" max="13814" width="9.33203125" style="915"/>
    <col min="13815" max="13815" width="2.6640625" style="915" customWidth="1"/>
    <col min="13816" max="13816" width="5" style="915" customWidth="1"/>
    <col min="13817" max="13817" width="11.6640625" style="915" customWidth="1"/>
    <col min="13818" max="13818" width="17" style="915" customWidth="1"/>
    <col min="13819" max="13819" width="6.6640625" style="915" customWidth="1"/>
    <col min="13820" max="13820" width="18.33203125" style="915" customWidth="1"/>
    <col min="13821" max="13821" width="10" style="915" customWidth="1"/>
    <col min="13822" max="13822" width="9" style="915" bestFit="1" customWidth="1"/>
    <col min="13823" max="13823" width="6.5546875" style="915" customWidth="1"/>
    <col min="13824" max="13824" width="15.44140625" style="915" customWidth="1"/>
    <col min="13825" max="13825" width="36.6640625" style="915" customWidth="1"/>
    <col min="13826" max="13826" width="0" style="915" hidden="1" customWidth="1"/>
    <col min="13827" max="13827" width="9.33203125" style="915"/>
    <col min="13828" max="13828" width="10.33203125" style="915" bestFit="1" customWidth="1"/>
    <col min="13829" max="14070" width="9.33203125" style="915"/>
    <col min="14071" max="14071" width="2.6640625" style="915" customWidth="1"/>
    <col min="14072" max="14072" width="5" style="915" customWidth="1"/>
    <col min="14073" max="14073" width="11.6640625" style="915" customWidth="1"/>
    <col min="14074" max="14074" width="17" style="915" customWidth="1"/>
    <col min="14075" max="14075" width="6.6640625" style="915" customWidth="1"/>
    <col min="14076" max="14076" width="18.33203125" style="915" customWidth="1"/>
    <col min="14077" max="14077" width="10" style="915" customWidth="1"/>
    <col min="14078" max="14078" width="9" style="915" bestFit="1" customWidth="1"/>
    <col min="14079" max="14079" width="6.5546875" style="915" customWidth="1"/>
    <col min="14080" max="14080" width="15.44140625" style="915" customWidth="1"/>
    <col min="14081" max="14081" width="36.6640625" style="915" customWidth="1"/>
    <col min="14082" max="14082" width="0" style="915" hidden="1" customWidth="1"/>
    <col min="14083" max="14083" width="9.33203125" style="915"/>
    <col min="14084" max="14084" width="10.33203125" style="915" bestFit="1" customWidth="1"/>
    <col min="14085" max="14326" width="9.33203125" style="915"/>
    <col min="14327" max="14327" width="2.6640625" style="915" customWidth="1"/>
    <col min="14328" max="14328" width="5" style="915" customWidth="1"/>
    <col min="14329" max="14329" width="11.6640625" style="915" customWidth="1"/>
    <col min="14330" max="14330" width="17" style="915" customWidth="1"/>
    <col min="14331" max="14331" width="6.6640625" style="915" customWidth="1"/>
    <col min="14332" max="14332" width="18.33203125" style="915" customWidth="1"/>
    <col min="14333" max="14333" width="10" style="915" customWidth="1"/>
    <col min="14334" max="14334" width="9" style="915" bestFit="1" customWidth="1"/>
    <col min="14335" max="14335" width="6.5546875" style="915" customWidth="1"/>
    <col min="14336" max="14336" width="15.44140625" style="915" customWidth="1"/>
    <col min="14337" max="14337" width="36.6640625" style="915" customWidth="1"/>
    <col min="14338" max="14338" width="0" style="915" hidden="1" customWidth="1"/>
    <col min="14339" max="14339" width="9.33203125" style="915"/>
    <col min="14340" max="14340" width="10.33203125" style="915" bestFit="1" customWidth="1"/>
    <col min="14341" max="14582" width="9.33203125" style="915"/>
    <col min="14583" max="14583" width="2.6640625" style="915" customWidth="1"/>
    <col min="14584" max="14584" width="5" style="915" customWidth="1"/>
    <col min="14585" max="14585" width="11.6640625" style="915" customWidth="1"/>
    <col min="14586" max="14586" width="17" style="915" customWidth="1"/>
    <col min="14587" max="14587" width="6.6640625" style="915" customWidth="1"/>
    <col min="14588" max="14588" width="18.33203125" style="915" customWidth="1"/>
    <col min="14589" max="14589" width="10" style="915" customWidth="1"/>
    <col min="14590" max="14590" width="9" style="915" bestFit="1" customWidth="1"/>
    <col min="14591" max="14591" width="6.5546875" style="915" customWidth="1"/>
    <col min="14592" max="14592" width="15.44140625" style="915" customWidth="1"/>
    <col min="14593" max="14593" width="36.6640625" style="915" customWidth="1"/>
    <col min="14594" max="14594" width="0" style="915" hidden="1" customWidth="1"/>
    <col min="14595" max="14595" width="9.33203125" style="915"/>
    <col min="14596" max="14596" width="10.33203125" style="915" bestFit="1" customWidth="1"/>
    <col min="14597" max="14838" width="9.33203125" style="915"/>
    <col min="14839" max="14839" width="2.6640625" style="915" customWidth="1"/>
    <col min="14840" max="14840" width="5" style="915" customWidth="1"/>
    <col min="14841" max="14841" width="11.6640625" style="915" customWidth="1"/>
    <col min="14842" max="14842" width="17" style="915" customWidth="1"/>
    <col min="14843" max="14843" width="6.6640625" style="915" customWidth="1"/>
    <col min="14844" max="14844" width="18.33203125" style="915" customWidth="1"/>
    <col min="14845" max="14845" width="10" style="915" customWidth="1"/>
    <col min="14846" max="14846" width="9" style="915" bestFit="1" customWidth="1"/>
    <col min="14847" max="14847" width="6.5546875" style="915" customWidth="1"/>
    <col min="14848" max="14848" width="15.44140625" style="915" customWidth="1"/>
    <col min="14849" max="14849" width="36.6640625" style="915" customWidth="1"/>
    <col min="14850" max="14850" width="0" style="915" hidden="1" customWidth="1"/>
    <col min="14851" max="14851" width="9.33203125" style="915"/>
    <col min="14852" max="14852" width="10.33203125" style="915" bestFit="1" customWidth="1"/>
    <col min="14853" max="15094" width="9.33203125" style="915"/>
    <col min="15095" max="15095" width="2.6640625" style="915" customWidth="1"/>
    <col min="15096" max="15096" width="5" style="915" customWidth="1"/>
    <col min="15097" max="15097" width="11.6640625" style="915" customWidth="1"/>
    <col min="15098" max="15098" width="17" style="915" customWidth="1"/>
    <col min="15099" max="15099" width="6.6640625" style="915" customWidth="1"/>
    <col min="15100" max="15100" width="18.33203125" style="915" customWidth="1"/>
    <col min="15101" max="15101" width="10" style="915" customWidth="1"/>
    <col min="15102" max="15102" width="9" style="915" bestFit="1" customWidth="1"/>
    <col min="15103" max="15103" width="6.5546875" style="915" customWidth="1"/>
    <col min="15104" max="15104" width="15.44140625" style="915" customWidth="1"/>
    <col min="15105" max="15105" width="36.6640625" style="915" customWidth="1"/>
    <col min="15106" max="15106" width="0" style="915" hidden="1" customWidth="1"/>
    <col min="15107" max="15107" width="9.33203125" style="915"/>
    <col min="15108" max="15108" width="10.33203125" style="915" bestFit="1" customWidth="1"/>
    <col min="15109" max="15350" width="9.33203125" style="915"/>
    <col min="15351" max="15351" width="2.6640625" style="915" customWidth="1"/>
    <col min="15352" max="15352" width="5" style="915" customWidth="1"/>
    <col min="15353" max="15353" width="11.6640625" style="915" customWidth="1"/>
    <col min="15354" max="15354" width="17" style="915" customWidth="1"/>
    <col min="15355" max="15355" width="6.6640625" style="915" customWidth="1"/>
    <col min="15356" max="15356" width="18.33203125" style="915" customWidth="1"/>
    <col min="15357" max="15357" width="10" style="915" customWidth="1"/>
    <col min="15358" max="15358" width="9" style="915" bestFit="1" customWidth="1"/>
    <col min="15359" max="15359" width="6.5546875" style="915" customWidth="1"/>
    <col min="15360" max="15360" width="15.44140625" style="915" customWidth="1"/>
    <col min="15361" max="15361" width="36.6640625" style="915" customWidth="1"/>
    <col min="15362" max="15362" width="0" style="915" hidden="1" customWidth="1"/>
    <col min="15363" max="15363" width="9.33203125" style="915"/>
    <col min="15364" max="15364" width="10.33203125" style="915" bestFit="1" customWidth="1"/>
    <col min="15365" max="15606" width="9.33203125" style="915"/>
    <col min="15607" max="15607" width="2.6640625" style="915" customWidth="1"/>
    <col min="15608" max="15608" width="5" style="915" customWidth="1"/>
    <col min="15609" max="15609" width="11.6640625" style="915" customWidth="1"/>
    <col min="15610" max="15610" width="17" style="915" customWidth="1"/>
    <col min="15611" max="15611" width="6.6640625" style="915" customWidth="1"/>
    <col min="15612" max="15612" width="18.33203125" style="915" customWidth="1"/>
    <col min="15613" max="15613" width="10" style="915" customWidth="1"/>
    <col min="15614" max="15614" width="9" style="915" bestFit="1" customWidth="1"/>
    <col min="15615" max="15615" width="6.5546875" style="915" customWidth="1"/>
    <col min="15616" max="15616" width="15.44140625" style="915" customWidth="1"/>
    <col min="15617" max="15617" width="36.6640625" style="915" customWidth="1"/>
    <col min="15618" max="15618" width="0" style="915" hidden="1" customWidth="1"/>
    <col min="15619" max="15619" width="9.33203125" style="915"/>
    <col min="15620" max="15620" width="10.33203125" style="915" bestFit="1" customWidth="1"/>
    <col min="15621" max="15862" width="9.33203125" style="915"/>
    <col min="15863" max="15863" width="2.6640625" style="915" customWidth="1"/>
    <col min="15864" max="15864" width="5" style="915" customWidth="1"/>
    <col min="15865" max="15865" width="11.6640625" style="915" customWidth="1"/>
    <col min="15866" max="15866" width="17" style="915" customWidth="1"/>
    <col min="15867" max="15867" width="6.6640625" style="915" customWidth="1"/>
    <col min="15868" max="15868" width="18.33203125" style="915" customWidth="1"/>
    <col min="15869" max="15869" width="10" style="915" customWidth="1"/>
    <col min="15870" max="15870" width="9" style="915" bestFit="1" customWidth="1"/>
    <col min="15871" max="15871" width="6.5546875" style="915" customWidth="1"/>
    <col min="15872" max="15872" width="15.44140625" style="915" customWidth="1"/>
    <col min="15873" max="15873" width="36.6640625" style="915" customWidth="1"/>
    <col min="15874" max="15874" width="0" style="915" hidden="1" customWidth="1"/>
    <col min="15875" max="15875" width="9.33203125" style="915"/>
    <col min="15876" max="15876" width="10.33203125" style="915" bestFit="1" customWidth="1"/>
    <col min="15877" max="16118" width="9.33203125" style="915"/>
    <col min="16119" max="16119" width="2.6640625" style="915" customWidth="1"/>
    <col min="16120" max="16120" width="5" style="915" customWidth="1"/>
    <col min="16121" max="16121" width="11.6640625" style="915" customWidth="1"/>
    <col min="16122" max="16122" width="17" style="915" customWidth="1"/>
    <col min="16123" max="16123" width="6.6640625" style="915" customWidth="1"/>
    <col min="16124" max="16124" width="18.33203125" style="915" customWidth="1"/>
    <col min="16125" max="16125" width="10" style="915" customWidth="1"/>
    <col min="16126" max="16126" width="9" style="915" bestFit="1" customWidth="1"/>
    <col min="16127" max="16127" width="6.5546875" style="915" customWidth="1"/>
    <col min="16128" max="16128" width="15.44140625" style="915" customWidth="1"/>
    <col min="16129" max="16129" width="36.6640625" style="915" customWidth="1"/>
    <col min="16130" max="16130" width="0" style="915" hidden="1" customWidth="1"/>
    <col min="16131" max="16131" width="9.33203125" style="915"/>
    <col min="16132" max="16132" width="10.33203125" style="915" bestFit="1" customWidth="1"/>
    <col min="16133" max="16384" width="9.33203125" style="915"/>
  </cols>
  <sheetData>
    <row r="1" spans="1:19" ht="9" customHeight="1"/>
    <row r="2" spans="1:19" s="919" customFormat="1" ht="27.75" customHeight="1">
      <c r="B2" s="1533" t="s">
        <v>107</v>
      </c>
      <c r="C2" s="1533"/>
      <c r="D2" s="1533"/>
      <c r="E2" s="1533"/>
      <c r="F2" s="1533"/>
      <c r="G2" s="1533"/>
      <c r="H2" s="1533"/>
      <c r="I2" s="1533"/>
      <c r="J2" s="1533"/>
      <c r="K2" s="1533"/>
      <c r="L2" s="1533"/>
      <c r="M2" s="1533"/>
      <c r="N2" s="1533"/>
      <c r="O2" s="1533"/>
      <c r="P2" s="1533"/>
      <c r="Q2" s="1533"/>
      <c r="S2" s="790"/>
    </row>
    <row r="3" spans="1:19" s="790" customFormat="1" ht="6" customHeight="1">
      <c r="B3" s="1534"/>
      <c r="C3" s="1534"/>
      <c r="D3" s="1534"/>
      <c r="E3" s="1534"/>
      <c r="F3" s="920"/>
      <c r="G3" s="920"/>
      <c r="H3" s="794"/>
      <c r="I3" s="921"/>
      <c r="J3" s="793"/>
      <c r="K3" s="793"/>
      <c r="L3" s="793"/>
      <c r="M3" s="793"/>
    </row>
    <row r="4" spans="1:19" s="790" customFormat="1" ht="13.8">
      <c r="B4" s="922" t="s">
        <v>526</v>
      </c>
      <c r="C4" s="922" t="s">
        <v>527</v>
      </c>
      <c r="D4" s="922"/>
      <c r="E4" s="922" t="s">
        <v>528</v>
      </c>
      <c r="F4" s="922" t="s">
        <v>529</v>
      </c>
      <c r="G4" s="922" t="s">
        <v>530</v>
      </c>
      <c r="H4" s="922" t="s">
        <v>531</v>
      </c>
      <c r="I4" s="923" t="s">
        <v>532</v>
      </c>
      <c r="J4" s="922" t="s">
        <v>130</v>
      </c>
      <c r="K4" s="922" t="s">
        <v>533</v>
      </c>
      <c r="L4" s="922" t="s">
        <v>126</v>
      </c>
      <c r="M4" s="922" t="s">
        <v>4396</v>
      </c>
      <c r="O4" s="924" t="s">
        <v>534</v>
      </c>
      <c r="P4" s="924" t="s">
        <v>535</v>
      </c>
      <c r="Q4" s="924" t="s">
        <v>903</v>
      </c>
      <c r="S4" s="787" t="s">
        <v>4397</v>
      </c>
    </row>
    <row r="5" spans="1:19" s="773" customFormat="1" ht="4.95" customHeight="1">
      <c r="A5" s="770"/>
      <c r="B5" s="776"/>
      <c r="C5" s="774"/>
      <c r="D5" s="774"/>
      <c r="E5" s="774"/>
      <c r="F5" s="774"/>
      <c r="G5" s="775"/>
      <c r="H5" s="776"/>
      <c r="I5" s="925"/>
      <c r="J5" s="926"/>
      <c r="K5" s="926"/>
      <c r="L5" s="927"/>
      <c r="M5" s="927"/>
      <c r="N5" s="772"/>
      <c r="O5" s="928"/>
      <c r="P5" s="928"/>
      <c r="Q5" s="928"/>
    </row>
    <row r="6" spans="1:19" s="779" customFormat="1" ht="12.75" hidden="1" customHeight="1" outlineLevel="1">
      <c r="A6" s="929" t="s">
        <v>4398</v>
      </c>
      <c r="B6" s="930">
        <v>1</v>
      </c>
      <c r="C6" s="931" t="s">
        <v>4399</v>
      </c>
      <c r="D6" s="931"/>
      <c r="E6" s="931" t="s">
        <v>383</v>
      </c>
      <c r="F6" s="931" t="s">
        <v>384</v>
      </c>
      <c r="G6" s="932">
        <v>5310</v>
      </c>
      <c r="H6" s="930" t="s">
        <v>82</v>
      </c>
      <c r="I6" s="933">
        <v>44916.8125</v>
      </c>
      <c r="J6" s="934" t="s">
        <v>192</v>
      </c>
      <c r="K6" s="934" t="s">
        <v>192</v>
      </c>
      <c r="L6" s="935" t="s">
        <v>4400</v>
      </c>
      <c r="M6" s="935" t="s">
        <v>4401</v>
      </c>
      <c r="N6" s="812"/>
      <c r="O6" s="936" t="s">
        <v>551</v>
      </c>
      <c r="P6" s="936" t="s">
        <v>551</v>
      </c>
      <c r="Q6" s="936" t="s">
        <v>551</v>
      </c>
      <c r="S6" s="937">
        <v>44925.9375</v>
      </c>
    </row>
    <row r="7" spans="1:19" s="773" customFormat="1" ht="4.95" hidden="1" customHeight="1" outlineLevel="1">
      <c r="A7" s="770"/>
      <c r="B7" s="776"/>
      <c r="C7" s="774"/>
      <c r="D7" s="774"/>
      <c r="E7" s="774"/>
      <c r="F7" s="774"/>
      <c r="G7" s="775"/>
      <c r="H7" s="776"/>
      <c r="I7" s="925"/>
      <c r="J7" s="926"/>
      <c r="K7" s="926"/>
      <c r="L7" s="927"/>
      <c r="M7" s="927"/>
      <c r="N7" s="772"/>
      <c r="O7" s="928"/>
      <c r="P7" s="928"/>
      <c r="Q7" s="928"/>
    </row>
    <row r="8" spans="1:19" s="779" customFormat="1" ht="12.75" hidden="1" customHeight="1" outlineLevel="1">
      <c r="A8" s="790"/>
      <c r="B8" s="930">
        <v>1</v>
      </c>
      <c r="C8" s="931" t="s">
        <v>4402</v>
      </c>
      <c r="D8" s="931"/>
      <c r="E8" s="931" t="s">
        <v>1631</v>
      </c>
      <c r="F8" s="931" t="s">
        <v>797</v>
      </c>
      <c r="G8" s="932">
        <v>5025.47</v>
      </c>
      <c r="H8" s="930" t="s">
        <v>183</v>
      </c>
      <c r="I8" s="933">
        <v>44919.416666666664</v>
      </c>
      <c r="J8" s="934" t="s">
        <v>192</v>
      </c>
      <c r="K8" s="934" t="s">
        <v>192</v>
      </c>
      <c r="L8" s="938" t="s">
        <v>4403</v>
      </c>
      <c r="M8" s="938" t="s">
        <v>4404</v>
      </c>
      <c r="N8" s="812"/>
      <c r="O8" s="936" t="s">
        <v>551</v>
      </c>
      <c r="P8" s="936" t="s">
        <v>551</v>
      </c>
      <c r="Q8" s="936" t="s">
        <v>551</v>
      </c>
      <c r="S8" s="937">
        <v>44927.333333333336</v>
      </c>
    </row>
    <row r="9" spans="1:19" s="773" customFormat="1" ht="4.95" hidden="1" customHeight="1" outlineLevel="1">
      <c r="A9" s="770"/>
      <c r="B9" s="776"/>
      <c r="C9" s="774"/>
      <c r="D9" s="774"/>
      <c r="E9" s="774"/>
      <c r="F9" s="774"/>
      <c r="G9" s="775"/>
      <c r="H9" s="776"/>
      <c r="I9" s="925"/>
      <c r="J9" s="926"/>
      <c r="K9" s="926"/>
      <c r="L9" s="927"/>
      <c r="M9" s="927"/>
      <c r="N9" s="772"/>
      <c r="O9" s="928"/>
      <c r="P9" s="928"/>
      <c r="Q9" s="928"/>
    </row>
    <row r="10" spans="1:19" s="779" customFormat="1" ht="12.75" hidden="1" customHeight="1" outlineLevel="1">
      <c r="A10" s="790"/>
      <c r="B10" s="930">
        <v>1</v>
      </c>
      <c r="C10" s="931" t="s">
        <v>4405</v>
      </c>
      <c r="D10" s="931"/>
      <c r="E10" s="931" t="s">
        <v>4406</v>
      </c>
      <c r="F10" s="931" t="s">
        <v>4407</v>
      </c>
      <c r="G10" s="932">
        <v>5097.3360000000002</v>
      </c>
      <c r="H10" s="930" t="s">
        <v>88</v>
      </c>
      <c r="I10" s="933">
        <v>44893.4375</v>
      </c>
      <c r="J10" s="934" t="s">
        <v>192</v>
      </c>
      <c r="K10" s="934" t="s">
        <v>192</v>
      </c>
      <c r="L10" s="1535" t="s">
        <v>988</v>
      </c>
      <c r="M10" s="1535" t="s">
        <v>4408</v>
      </c>
      <c r="N10" s="812"/>
      <c r="O10" s="936" t="s">
        <v>551</v>
      </c>
      <c r="P10" s="936" t="s">
        <v>551</v>
      </c>
      <c r="Q10" s="936" t="s">
        <v>551</v>
      </c>
      <c r="S10" s="937">
        <v>44924.270833333336</v>
      </c>
    </row>
    <row r="11" spans="1:19" s="779" customFormat="1" ht="12.75" hidden="1" customHeight="1" outlineLevel="1">
      <c r="A11" s="790"/>
      <c r="B11" s="930">
        <v>2</v>
      </c>
      <c r="C11" s="931" t="s">
        <v>4409</v>
      </c>
      <c r="D11" s="931"/>
      <c r="E11" s="931" t="s">
        <v>4410</v>
      </c>
      <c r="F11" s="931" t="s">
        <v>4411</v>
      </c>
      <c r="G11" s="932">
        <v>5008.442</v>
      </c>
      <c r="H11" s="930" t="s">
        <v>88</v>
      </c>
      <c r="I11" s="933">
        <v>44902.416666666664</v>
      </c>
      <c r="J11" s="934" t="s">
        <v>192</v>
      </c>
      <c r="K11" s="934" t="s">
        <v>192</v>
      </c>
      <c r="L11" s="1536"/>
      <c r="M11" s="1536"/>
      <c r="N11" s="812"/>
      <c r="O11" s="936" t="s">
        <v>551</v>
      </c>
      <c r="P11" s="936" t="s">
        <v>551</v>
      </c>
      <c r="Q11" s="936" t="s">
        <v>551</v>
      </c>
      <c r="S11" s="939"/>
    </row>
    <row r="12" spans="1:19" s="779" customFormat="1" ht="12.75" hidden="1" customHeight="1" outlineLevel="1">
      <c r="A12" s="790"/>
      <c r="B12" s="930">
        <v>3</v>
      </c>
      <c r="C12" s="931" t="s">
        <v>4412</v>
      </c>
      <c r="D12" s="931"/>
      <c r="E12" s="931" t="s">
        <v>2137</v>
      </c>
      <c r="F12" s="931" t="s">
        <v>2138</v>
      </c>
      <c r="G12" s="932">
        <v>5199.6279999999997</v>
      </c>
      <c r="H12" s="930" t="s">
        <v>88</v>
      </c>
      <c r="I12" s="933">
        <v>44927.604166666664</v>
      </c>
      <c r="J12" s="934" t="s">
        <v>192</v>
      </c>
      <c r="K12" s="934" t="s">
        <v>192</v>
      </c>
      <c r="L12" s="1536"/>
      <c r="M12" s="1536"/>
      <c r="N12" s="812"/>
      <c r="O12" s="936" t="s">
        <v>551</v>
      </c>
      <c r="P12" s="936" t="s">
        <v>551</v>
      </c>
      <c r="Q12" s="936" t="s">
        <v>551</v>
      </c>
      <c r="S12" s="939"/>
    </row>
    <row r="13" spans="1:19" s="779" customFormat="1" ht="12.75" hidden="1" customHeight="1" outlineLevel="1">
      <c r="A13" s="790"/>
      <c r="B13" s="930">
        <v>4</v>
      </c>
      <c r="C13" s="931" t="s">
        <v>4413</v>
      </c>
      <c r="D13" s="931"/>
      <c r="E13" s="931" t="s">
        <v>823</v>
      </c>
      <c r="F13" s="931" t="s">
        <v>821</v>
      </c>
      <c r="G13" s="932">
        <v>7559.2089999999998</v>
      </c>
      <c r="H13" s="930" t="s">
        <v>184</v>
      </c>
      <c r="I13" s="933">
        <v>44926.208333333336</v>
      </c>
      <c r="J13" s="934" t="s">
        <v>192</v>
      </c>
      <c r="K13" s="934" t="s">
        <v>192</v>
      </c>
      <c r="L13" s="1537"/>
      <c r="M13" s="1537"/>
      <c r="N13" s="812"/>
      <c r="O13" s="936" t="s">
        <v>551</v>
      </c>
      <c r="P13" s="936" t="s">
        <v>551</v>
      </c>
      <c r="Q13" s="936" t="s">
        <v>551</v>
      </c>
      <c r="S13" s="939"/>
    </row>
    <row r="14" spans="1:19" s="773" customFormat="1" ht="4.95" hidden="1" customHeight="1" outlineLevel="1">
      <c r="A14" s="770"/>
      <c r="B14" s="776"/>
      <c r="C14" s="774"/>
      <c r="D14" s="774"/>
      <c r="E14" s="774"/>
      <c r="F14" s="774"/>
      <c r="G14" s="775"/>
      <c r="H14" s="776"/>
      <c r="I14" s="925"/>
      <c r="J14" s="926"/>
      <c r="K14" s="926"/>
      <c r="L14" s="927"/>
      <c r="M14" s="927"/>
      <c r="N14" s="772"/>
      <c r="O14" s="928"/>
      <c r="P14" s="928"/>
      <c r="Q14" s="928"/>
    </row>
    <row r="15" spans="1:19" s="779" customFormat="1" ht="12.75" hidden="1" customHeight="1" outlineLevel="1">
      <c r="A15" s="790"/>
      <c r="B15" s="930">
        <v>1</v>
      </c>
      <c r="C15" s="931" t="s">
        <v>4414</v>
      </c>
      <c r="D15" s="931"/>
      <c r="E15" s="931" t="s">
        <v>441</v>
      </c>
      <c r="F15" s="931" t="s">
        <v>442</v>
      </c>
      <c r="G15" s="932">
        <v>5322.0159999999996</v>
      </c>
      <c r="H15" s="930" t="s">
        <v>82</v>
      </c>
      <c r="I15" s="933">
        <v>44923.729166666664</v>
      </c>
      <c r="J15" s="934" t="s">
        <v>192</v>
      </c>
      <c r="K15" s="934" t="s">
        <v>192</v>
      </c>
      <c r="L15" s="1501" t="s">
        <v>4415</v>
      </c>
      <c r="M15" s="1501" t="s">
        <v>4416</v>
      </c>
      <c r="N15" s="812"/>
      <c r="O15" s="936" t="s">
        <v>551</v>
      </c>
      <c r="P15" s="936" t="s">
        <v>551</v>
      </c>
      <c r="Q15" s="936" t="s">
        <v>551</v>
      </c>
      <c r="S15" s="937">
        <v>44926.770833333336</v>
      </c>
    </row>
    <row r="16" spans="1:19" s="779" customFormat="1" ht="12.75" hidden="1" customHeight="1" outlineLevel="1">
      <c r="A16" s="790"/>
      <c r="B16" s="930">
        <v>2</v>
      </c>
      <c r="C16" s="931" t="s">
        <v>4417</v>
      </c>
      <c r="D16" s="931"/>
      <c r="E16" s="931" t="s">
        <v>4289</v>
      </c>
      <c r="F16" s="931" t="s">
        <v>4290</v>
      </c>
      <c r="G16" s="932">
        <v>6711.5529999999999</v>
      </c>
      <c r="H16" s="930" t="s">
        <v>181</v>
      </c>
      <c r="I16" s="933">
        <v>44929.020833333336</v>
      </c>
      <c r="J16" s="934" t="s">
        <v>192</v>
      </c>
      <c r="K16" s="934" t="s">
        <v>192</v>
      </c>
      <c r="L16" s="1511"/>
      <c r="M16" s="1511"/>
      <c r="N16" s="812"/>
      <c r="O16" s="936" t="s">
        <v>551</v>
      </c>
      <c r="P16" s="936" t="s">
        <v>551</v>
      </c>
      <c r="Q16" s="936" t="s">
        <v>551</v>
      </c>
      <c r="S16" s="939"/>
    </row>
    <row r="17" spans="1:19" s="773" customFormat="1" ht="4.95" hidden="1" customHeight="1" outlineLevel="1">
      <c r="A17" s="770"/>
      <c r="B17" s="776"/>
      <c r="C17" s="774"/>
      <c r="D17" s="774"/>
      <c r="E17" s="774"/>
      <c r="F17" s="774"/>
      <c r="G17" s="775"/>
      <c r="H17" s="776"/>
      <c r="I17" s="925"/>
      <c r="J17" s="926"/>
      <c r="K17" s="926"/>
      <c r="L17" s="942"/>
      <c r="M17" s="942"/>
      <c r="N17" s="772"/>
      <c r="O17" s="928"/>
      <c r="P17" s="928"/>
      <c r="Q17" s="928"/>
    </row>
    <row r="18" spans="1:19" s="779" customFormat="1" ht="12.75" hidden="1" customHeight="1" outlineLevel="1">
      <c r="A18" s="790"/>
      <c r="B18" s="930">
        <v>1</v>
      </c>
      <c r="C18" s="931" t="s">
        <v>4418</v>
      </c>
      <c r="D18" s="931"/>
      <c r="E18" s="931" t="s">
        <v>812</v>
      </c>
      <c r="F18" s="931" t="s">
        <v>813</v>
      </c>
      <c r="G18" s="932">
        <v>5301.0050000000001</v>
      </c>
      <c r="H18" s="930" t="s">
        <v>183</v>
      </c>
      <c r="I18" s="933">
        <v>44928.25</v>
      </c>
      <c r="J18" s="934" t="s">
        <v>192</v>
      </c>
      <c r="K18" s="934" t="s">
        <v>192</v>
      </c>
      <c r="L18" s="940" t="s">
        <v>4419</v>
      </c>
      <c r="M18" s="940" t="s">
        <v>4401</v>
      </c>
      <c r="N18" s="812"/>
      <c r="O18" s="936" t="s">
        <v>551</v>
      </c>
      <c r="P18" s="936" t="s">
        <v>551</v>
      </c>
      <c r="Q18" s="936" t="s">
        <v>551</v>
      </c>
      <c r="S18" s="937">
        <v>44938.333333333336</v>
      </c>
    </row>
    <row r="19" spans="1:19" s="773" customFormat="1" ht="4.95" hidden="1" customHeight="1" outlineLevel="1">
      <c r="A19" s="770"/>
      <c r="B19" s="776"/>
      <c r="C19" s="774"/>
      <c r="D19" s="774"/>
      <c r="E19" s="774"/>
      <c r="F19" s="774"/>
      <c r="G19" s="775"/>
      <c r="H19" s="776"/>
      <c r="I19" s="925"/>
      <c r="J19" s="927"/>
      <c r="K19" s="927"/>
      <c r="L19" s="927"/>
      <c r="M19" s="927"/>
      <c r="N19" s="772"/>
      <c r="O19" s="928"/>
      <c r="P19" s="928"/>
      <c r="Q19" s="928"/>
    </row>
    <row r="20" spans="1:19" s="779" customFormat="1" ht="12.75" hidden="1" customHeight="1" outlineLevel="1">
      <c r="A20" s="790"/>
      <c r="B20" s="930">
        <v>1</v>
      </c>
      <c r="C20" s="931" t="s">
        <v>449</v>
      </c>
      <c r="D20" s="931"/>
      <c r="E20" s="931" t="s">
        <v>450</v>
      </c>
      <c r="F20" s="931" t="s">
        <v>451</v>
      </c>
      <c r="G20" s="932">
        <v>7774.7039999999997</v>
      </c>
      <c r="H20" s="930" t="s">
        <v>181</v>
      </c>
      <c r="I20" s="933">
        <v>44939.767361111109</v>
      </c>
      <c r="J20" s="934" t="s">
        <v>192</v>
      </c>
      <c r="K20" s="934" t="s">
        <v>192</v>
      </c>
      <c r="L20" s="1501" t="s">
        <v>4420</v>
      </c>
      <c r="M20" s="1501" t="s">
        <v>4421</v>
      </c>
      <c r="N20" s="812"/>
      <c r="O20" s="936" t="s">
        <v>551</v>
      </c>
      <c r="P20" s="936" t="s">
        <v>551</v>
      </c>
      <c r="Q20" s="936" t="s">
        <v>551</v>
      </c>
      <c r="S20" s="937">
        <v>44940.583333333336</v>
      </c>
    </row>
    <row r="21" spans="1:19" s="779" customFormat="1" ht="12.75" hidden="1" customHeight="1" outlineLevel="1">
      <c r="A21" s="790"/>
      <c r="B21" s="930">
        <v>2</v>
      </c>
      <c r="C21" s="931" t="s">
        <v>207</v>
      </c>
      <c r="D21" s="931"/>
      <c r="E21" s="931" t="s">
        <v>208</v>
      </c>
      <c r="F21" s="931" t="s">
        <v>209</v>
      </c>
      <c r="G21" s="932">
        <v>7500</v>
      </c>
      <c r="H21" s="930" t="s">
        <v>78</v>
      </c>
      <c r="I21" s="933">
        <v>44941.996527777781</v>
      </c>
      <c r="J21" s="934" t="s">
        <v>192</v>
      </c>
      <c r="K21" s="934" t="s">
        <v>192</v>
      </c>
      <c r="L21" s="1502"/>
      <c r="M21" s="1502"/>
      <c r="N21" s="812"/>
      <c r="O21" s="936" t="s">
        <v>551</v>
      </c>
      <c r="P21" s="936" t="s">
        <v>551</v>
      </c>
      <c r="Q21" s="936" t="s">
        <v>551</v>
      </c>
      <c r="S21" s="939"/>
    </row>
    <row r="22" spans="1:19" s="779" customFormat="1" ht="12.75" hidden="1" customHeight="1" outlineLevel="1">
      <c r="A22" s="790"/>
      <c r="B22" s="930">
        <v>3</v>
      </c>
      <c r="C22" s="931" t="s">
        <v>204</v>
      </c>
      <c r="D22" s="931"/>
      <c r="E22" s="931" t="s">
        <v>205</v>
      </c>
      <c r="F22" s="931" t="s">
        <v>206</v>
      </c>
      <c r="G22" s="932">
        <v>7500</v>
      </c>
      <c r="H22" s="930" t="s">
        <v>78</v>
      </c>
      <c r="I22" s="933">
        <v>44942.375</v>
      </c>
      <c r="J22" s="934" t="s">
        <v>192</v>
      </c>
      <c r="K22" s="934" t="s">
        <v>192</v>
      </c>
      <c r="L22" s="1511"/>
      <c r="M22" s="1511"/>
      <c r="N22" s="812"/>
      <c r="O22" s="936" t="s">
        <v>551</v>
      </c>
      <c r="P22" s="936" t="s">
        <v>551</v>
      </c>
      <c r="Q22" s="936" t="s">
        <v>551</v>
      </c>
      <c r="S22" s="937"/>
    </row>
    <row r="23" spans="1:19" s="773" customFormat="1" ht="4.95" hidden="1" customHeight="1" outlineLevel="1">
      <c r="A23" s="770"/>
      <c r="B23" s="776"/>
      <c r="C23" s="774"/>
      <c r="D23" s="774"/>
      <c r="E23" s="774"/>
      <c r="F23" s="774"/>
      <c r="G23" s="775"/>
      <c r="H23" s="776"/>
      <c r="I23" s="925"/>
      <c r="J23" s="926"/>
      <c r="K23" s="926"/>
      <c r="L23" s="942"/>
      <c r="M23" s="942"/>
      <c r="N23" s="772"/>
      <c r="O23" s="928"/>
      <c r="P23" s="928"/>
      <c r="Q23" s="928"/>
    </row>
    <row r="24" spans="1:19" s="779" customFormat="1" ht="12.75" hidden="1" customHeight="1" outlineLevel="1">
      <c r="A24" s="790"/>
      <c r="B24" s="930">
        <v>1</v>
      </c>
      <c r="C24" s="931" t="s">
        <v>200</v>
      </c>
      <c r="D24" s="931"/>
      <c r="E24" s="931" t="s">
        <v>201</v>
      </c>
      <c r="F24" s="931" t="s">
        <v>202</v>
      </c>
      <c r="G24" s="932">
        <v>7500</v>
      </c>
      <c r="H24" s="930" t="s">
        <v>78</v>
      </c>
      <c r="I24" s="933">
        <v>44942.902777777781</v>
      </c>
      <c r="J24" s="934" t="s">
        <v>192</v>
      </c>
      <c r="K24" s="934" t="s">
        <v>192</v>
      </c>
      <c r="L24" s="1501" t="s">
        <v>4422</v>
      </c>
      <c r="M24" s="1501" t="s">
        <v>4423</v>
      </c>
      <c r="N24" s="812"/>
      <c r="O24" s="936" t="s">
        <v>551</v>
      </c>
      <c r="P24" s="936" t="s">
        <v>551</v>
      </c>
      <c r="Q24" s="936" t="s">
        <v>551</v>
      </c>
      <c r="S24" s="937">
        <v>44943.166666666664</v>
      </c>
    </row>
    <row r="25" spans="1:19" s="779" customFormat="1" ht="12.75" hidden="1" customHeight="1" outlineLevel="1">
      <c r="A25" s="790"/>
      <c r="B25" s="930">
        <v>2</v>
      </c>
      <c r="C25" s="931" t="s">
        <v>262</v>
      </c>
      <c r="D25" s="931"/>
      <c r="E25" s="931" t="s">
        <v>263</v>
      </c>
      <c r="F25" s="931" t="s">
        <v>264</v>
      </c>
      <c r="G25" s="932">
        <v>7557.3320000000003</v>
      </c>
      <c r="H25" s="930" t="s">
        <v>265</v>
      </c>
      <c r="I25" s="933">
        <v>44941.149305555555</v>
      </c>
      <c r="J25" s="934" t="s">
        <v>192</v>
      </c>
      <c r="K25" s="934" t="s">
        <v>192</v>
      </c>
      <c r="L25" s="1502"/>
      <c r="M25" s="1502"/>
      <c r="N25" s="812"/>
      <c r="O25" s="936" t="s">
        <v>551</v>
      </c>
      <c r="P25" s="936" t="s">
        <v>551</v>
      </c>
      <c r="Q25" s="936" t="s">
        <v>551</v>
      </c>
      <c r="S25" s="937"/>
    </row>
    <row r="26" spans="1:19" s="779" customFormat="1" ht="12.75" hidden="1" customHeight="1" outlineLevel="1">
      <c r="A26" s="790"/>
      <c r="B26" s="930">
        <v>3</v>
      </c>
      <c r="C26" s="931" t="s">
        <v>273</v>
      </c>
      <c r="D26" s="931"/>
      <c r="E26" s="931" t="s">
        <v>274</v>
      </c>
      <c r="F26" s="931" t="s">
        <v>275</v>
      </c>
      <c r="G26" s="932">
        <v>7598.9539999999997</v>
      </c>
      <c r="H26" s="930" t="s">
        <v>265</v>
      </c>
      <c r="I26" s="933">
        <v>44941.6875</v>
      </c>
      <c r="J26" s="934" t="s">
        <v>192</v>
      </c>
      <c r="K26" s="934" t="s">
        <v>192</v>
      </c>
      <c r="L26" s="1502"/>
      <c r="M26" s="1502"/>
      <c r="N26" s="812"/>
      <c r="O26" s="936" t="s">
        <v>551</v>
      </c>
      <c r="P26" s="936" t="s">
        <v>551</v>
      </c>
      <c r="Q26" s="936" t="s">
        <v>551</v>
      </c>
      <c r="S26" s="939"/>
    </row>
    <row r="27" spans="1:19" s="779" customFormat="1" ht="12.75" hidden="1" customHeight="1" outlineLevel="1">
      <c r="A27" s="790"/>
      <c r="B27" s="930">
        <v>4</v>
      </c>
      <c r="C27" s="931" t="s">
        <v>456</v>
      </c>
      <c r="D27" s="931"/>
      <c r="E27" s="931" t="s">
        <v>390</v>
      </c>
      <c r="F27" s="931" t="s">
        <v>391</v>
      </c>
      <c r="G27" s="932">
        <v>7538</v>
      </c>
      <c r="H27" s="930" t="s">
        <v>84</v>
      </c>
      <c r="I27" s="933">
        <v>44942.53125</v>
      </c>
      <c r="J27" s="934" t="s">
        <v>192</v>
      </c>
      <c r="K27" s="934" t="s">
        <v>192</v>
      </c>
      <c r="L27" s="1511"/>
      <c r="M27" s="1511"/>
      <c r="N27" s="812"/>
      <c r="O27" s="936" t="s">
        <v>551</v>
      </c>
      <c r="P27" s="936" t="s">
        <v>551</v>
      </c>
      <c r="Q27" s="936" t="s">
        <v>551</v>
      </c>
      <c r="S27" s="937"/>
    </row>
    <row r="28" spans="1:19" s="773" customFormat="1" ht="4.95" hidden="1" customHeight="1" outlineLevel="1">
      <c r="A28" s="770"/>
      <c r="B28" s="776"/>
      <c r="C28" s="774"/>
      <c r="D28" s="774"/>
      <c r="E28" s="774"/>
      <c r="F28" s="774"/>
      <c r="G28" s="775"/>
      <c r="H28" s="776"/>
      <c r="I28" s="925"/>
      <c r="J28" s="926"/>
      <c r="K28" s="926"/>
      <c r="L28" s="927"/>
      <c r="M28" s="927"/>
      <c r="N28" s="772"/>
      <c r="O28" s="928"/>
      <c r="P28" s="928"/>
      <c r="Q28" s="928"/>
    </row>
    <row r="29" spans="1:19" s="779" customFormat="1" ht="12.75" hidden="1" customHeight="1" outlineLevel="1">
      <c r="A29" s="790"/>
      <c r="B29" s="930">
        <v>1</v>
      </c>
      <c r="C29" s="931" t="s">
        <v>4424</v>
      </c>
      <c r="D29" s="931"/>
      <c r="E29" s="931" t="s">
        <v>4425</v>
      </c>
      <c r="F29" s="931" t="s">
        <v>4426</v>
      </c>
      <c r="G29" s="932">
        <v>5108.0039999999999</v>
      </c>
      <c r="H29" s="930" t="s">
        <v>88</v>
      </c>
      <c r="I29" s="933">
        <v>44929.618055555555</v>
      </c>
      <c r="J29" s="934" t="s">
        <v>192</v>
      </c>
      <c r="K29" s="934" t="s">
        <v>192</v>
      </c>
      <c r="L29" s="1501" t="s">
        <v>4427</v>
      </c>
      <c r="M29" s="1501" t="s">
        <v>4428</v>
      </c>
      <c r="N29" s="812"/>
      <c r="O29" s="936" t="s">
        <v>551</v>
      </c>
      <c r="P29" s="936" t="s">
        <v>551</v>
      </c>
      <c r="Q29" s="936" t="s">
        <v>551</v>
      </c>
      <c r="S29" s="937">
        <v>44940.552083333336</v>
      </c>
    </row>
    <row r="30" spans="1:19" ht="14.4" hidden="1" customHeight="1" outlineLevel="1">
      <c r="B30" s="930">
        <v>2</v>
      </c>
      <c r="C30" s="931" t="s">
        <v>193</v>
      </c>
      <c r="D30" s="931"/>
      <c r="E30" s="931" t="s">
        <v>194</v>
      </c>
      <c r="F30" s="931" t="s">
        <v>195</v>
      </c>
      <c r="G30" s="932">
        <v>5109.3609999999999</v>
      </c>
      <c r="H30" s="930" t="s">
        <v>88</v>
      </c>
      <c r="I30" s="933">
        <v>44945.972222222219</v>
      </c>
      <c r="J30" s="934" t="s">
        <v>192</v>
      </c>
      <c r="K30" s="934" t="s">
        <v>192</v>
      </c>
      <c r="L30" s="1511"/>
      <c r="M30" s="1511"/>
      <c r="O30" s="936" t="s">
        <v>551</v>
      </c>
      <c r="P30" s="936" t="s">
        <v>551</v>
      </c>
      <c r="Q30" s="936" t="s">
        <v>551</v>
      </c>
      <c r="S30" s="937"/>
    </row>
    <row r="31" spans="1:19" s="773" customFormat="1" ht="4.95" hidden="1" customHeight="1" outlineLevel="1">
      <c r="A31" s="770"/>
      <c r="B31" s="776"/>
      <c r="C31" s="774"/>
      <c r="D31" s="774"/>
      <c r="E31" s="774"/>
      <c r="F31" s="774"/>
      <c r="G31" s="775"/>
      <c r="H31" s="776"/>
      <c r="I31" s="925"/>
      <c r="J31" s="926"/>
      <c r="K31" s="926"/>
      <c r="L31" s="927"/>
      <c r="M31" s="927"/>
      <c r="N31" s="772"/>
      <c r="O31" s="928"/>
      <c r="P31" s="928"/>
      <c r="Q31" s="928"/>
    </row>
    <row r="32" spans="1:19" hidden="1" outlineLevel="1">
      <c r="A32" s="929" t="s">
        <v>4429</v>
      </c>
      <c r="B32" s="930">
        <v>1</v>
      </c>
      <c r="C32" s="931" t="s">
        <v>465</v>
      </c>
      <c r="D32" s="931"/>
      <c r="E32" s="931" t="s">
        <v>429</v>
      </c>
      <c r="F32" s="931" t="s">
        <v>430</v>
      </c>
      <c r="G32" s="932">
        <v>7500</v>
      </c>
      <c r="H32" s="930" t="s">
        <v>76</v>
      </c>
      <c r="I32" s="933">
        <v>44949.034722222219</v>
      </c>
      <c r="J32" s="934" t="s">
        <v>192</v>
      </c>
      <c r="K32" s="934" t="s">
        <v>192</v>
      </c>
      <c r="L32" s="1501" t="s">
        <v>4430</v>
      </c>
      <c r="M32" s="1501" t="s">
        <v>4431</v>
      </c>
      <c r="O32" s="936" t="s">
        <v>551</v>
      </c>
      <c r="P32" s="936" t="s">
        <v>551</v>
      </c>
      <c r="Q32" s="936" t="s">
        <v>551</v>
      </c>
      <c r="S32" s="937">
        <v>44947.929166666669</v>
      </c>
    </row>
    <row r="33" spans="1:19" hidden="1" outlineLevel="1">
      <c r="B33" s="930">
        <v>2</v>
      </c>
      <c r="C33" s="931" t="s">
        <v>444</v>
      </c>
      <c r="D33" s="931"/>
      <c r="E33" s="931" t="s">
        <v>441</v>
      </c>
      <c r="F33" s="931" t="s">
        <v>442</v>
      </c>
      <c r="G33" s="932">
        <v>5006</v>
      </c>
      <c r="H33" s="930" t="s">
        <v>81</v>
      </c>
      <c r="I33" s="933">
        <v>44952.916666666664</v>
      </c>
      <c r="J33" s="934" t="s">
        <v>192</v>
      </c>
      <c r="K33" s="934" t="s">
        <v>192</v>
      </c>
      <c r="L33" s="1502"/>
      <c r="M33" s="1502"/>
      <c r="O33" s="936" t="s">
        <v>551</v>
      </c>
      <c r="P33" s="936" t="s">
        <v>551</v>
      </c>
      <c r="Q33" s="936" t="s">
        <v>551</v>
      </c>
      <c r="S33" s="937"/>
    </row>
    <row r="34" spans="1:19" hidden="1" outlineLevel="1">
      <c r="B34" s="930">
        <v>3</v>
      </c>
      <c r="C34" s="931" t="s">
        <v>217</v>
      </c>
      <c r="D34" s="931"/>
      <c r="E34" s="931" t="s">
        <v>218</v>
      </c>
      <c r="F34" s="931" t="s">
        <v>219</v>
      </c>
      <c r="G34" s="932">
        <v>7500</v>
      </c>
      <c r="H34" s="930" t="s">
        <v>78</v>
      </c>
      <c r="I34" s="933">
        <v>44953.930555555555</v>
      </c>
      <c r="J34" s="934" t="s">
        <v>192</v>
      </c>
      <c r="K34" s="934" t="s">
        <v>192</v>
      </c>
      <c r="L34" s="1502"/>
      <c r="M34" s="1502"/>
      <c r="O34" s="936" t="s">
        <v>551</v>
      </c>
      <c r="P34" s="936" t="s">
        <v>551</v>
      </c>
      <c r="Q34" s="936" t="s">
        <v>551</v>
      </c>
      <c r="S34" s="937"/>
    </row>
    <row r="35" spans="1:19" hidden="1" outlineLevel="1">
      <c r="B35" s="930">
        <v>4</v>
      </c>
      <c r="C35" s="931" t="s">
        <v>452</v>
      </c>
      <c r="D35" s="931"/>
      <c r="E35" s="931" t="s">
        <v>763</v>
      </c>
      <c r="F35" s="931" t="s">
        <v>454</v>
      </c>
      <c r="G35" s="932">
        <v>7689.19</v>
      </c>
      <c r="H35" s="930" t="s">
        <v>181</v>
      </c>
      <c r="I35" s="933">
        <v>44955.986111111109</v>
      </c>
      <c r="J35" s="934" t="s">
        <v>192</v>
      </c>
      <c r="K35" s="934" t="s">
        <v>192</v>
      </c>
      <c r="L35" s="1511"/>
      <c r="M35" s="1511"/>
      <c r="O35" s="936" t="s">
        <v>551</v>
      </c>
      <c r="P35" s="936" t="s">
        <v>551</v>
      </c>
      <c r="Q35" s="936" t="s">
        <v>551</v>
      </c>
      <c r="S35" s="937"/>
    </row>
    <row r="36" spans="1:19" s="773" customFormat="1" ht="4.95" hidden="1" customHeight="1" outlineLevel="1">
      <c r="A36" s="770"/>
      <c r="B36" s="776"/>
      <c r="C36" s="774"/>
      <c r="D36" s="774"/>
      <c r="E36" s="774"/>
      <c r="F36" s="774"/>
      <c r="G36" s="775"/>
      <c r="H36" s="776"/>
      <c r="I36" s="925"/>
      <c r="J36" s="926"/>
      <c r="K36" s="926"/>
      <c r="L36" s="927"/>
      <c r="M36" s="927"/>
      <c r="N36" s="772"/>
      <c r="O36" s="928"/>
      <c r="P36" s="928"/>
      <c r="Q36" s="928"/>
    </row>
    <row r="37" spans="1:19" hidden="1" outlineLevel="1">
      <c r="B37" s="930">
        <v>1</v>
      </c>
      <c r="C37" s="931" t="s">
        <v>678</v>
      </c>
      <c r="D37" s="931"/>
      <c r="E37" s="931" t="s">
        <v>208</v>
      </c>
      <c r="F37" s="931" t="s">
        <v>328</v>
      </c>
      <c r="G37" s="932">
        <v>7500</v>
      </c>
      <c r="H37" s="930" t="s">
        <v>78</v>
      </c>
      <c r="I37" s="933">
        <v>44962.4375</v>
      </c>
      <c r="J37" s="934" t="s">
        <v>192</v>
      </c>
      <c r="K37" s="934" t="s">
        <v>192</v>
      </c>
      <c r="L37" s="1506" t="s">
        <v>4432</v>
      </c>
      <c r="M37" s="1506" t="s">
        <v>4433</v>
      </c>
      <c r="O37" s="936" t="s">
        <v>551</v>
      </c>
      <c r="P37" s="936" t="s">
        <v>551</v>
      </c>
      <c r="Q37" s="936" t="s">
        <v>551</v>
      </c>
      <c r="S37" s="937">
        <v>44969.470833333333</v>
      </c>
    </row>
    <row r="38" spans="1:19" ht="14.4" hidden="1" customHeight="1" outlineLevel="1">
      <c r="B38" s="930">
        <v>2</v>
      </c>
      <c r="C38" s="931" t="s">
        <v>4434</v>
      </c>
      <c r="D38" s="931"/>
      <c r="E38" s="931" t="s">
        <v>805</v>
      </c>
      <c r="F38" s="931" t="s">
        <v>806</v>
      </c>
      <c r="G38" s="932">
        <v>5302.1840000000002</v>
      </c>
      <c r="H38" s="930" t="s">
        <v>183</v>
      </c>
      <c r="I38" s="933">
        <v>44965.416666666664</v>
      </c>
      <c r="J38" s="934" t="s">
        <v>192</v>
      </c>
      <c r="K38" s="934" t="s">
        <v>192</v>
      </c>
      <c r="L38" s="1507"/>
      <c r="M38" s="1507"/>
      <c r="O38" s="936" t="s">
        <v>551</v>
      </c>
      <c r="P38" s="936" t="s">
        <v>551</v>
      </c>
      <c r="Q38" s="936" t="s">
        <v>551</v>
      </c>
      <c r="S38" s="937"/>
    </row>
    <row r="39" spans="1:19" s="773" customFormat="1" ht="4.95" hidden="1" customHeight="1" outlineLevel="1">
      <c r="A39" s="770"/>
      <c r="B39" s="776"/>
      <c r="C39" s="774"/>
      <c r="D39" s="774"/>
      <c r="E39" s="774"/>
      <c r="F39" s="774"/>
      <c r="G39" s="775"/>
      <c r="H39" s="776"/>
      <c r="I39" s="925"/>
      <c r="J39" s="926"/>
      <c r="K39" s="926"/>
      <c r="L39" s="927"/>
      <c r="M39" s="927"/>
      <c r="N39" s="772"/>
      <c r="O39" s="928"/>
      <c r="P39" s="928"/>
      <c r="Q39" s="928"/>
    </row>
    <row r="40" spans="1:19" ht="14.4" hidden="1" customHeight="1" outlineLevel="1">
      <c r="B40" s="930">
        <v>1</v>
      </c>
      <c r="C40" s="931" t="s">
        <v>447</v>
      </c>
      <c r="D40" s="931"/>
      <c r="E40" s="931" t="s">
        <v>441</v>
      </c>
      <c r="F40" s="931" t="s">
        <v>442</v>
      </c>
      <c r="G40" s="932">
        <v>5005</v>
      </c>
      <c r="H40" s="930" t="s">
        <v>81</v>
      </c>
      <c r="I40" s="933">
        <v>44960.0625</v>
      </c>
      <c r="J40" s="934" t="s">
        <v>192</v>
      </c>
      <c r="K40" s="934" t="s">
        <v>192</v>
      </c>
      <c r="L40" s="1506" t="s">
        <v>4435</v>
      </c>
      <c r="M40" s="1506" t="s">
        <v>4436</v>
      </c>
      <c r="O40" s="936" t="s">
        <v>551</v>
      </c>
      <c r="P40" s="936" t="s">
        <v>551</v>
      </c>
      <c r="Q40" s="936" t="s">
        <v>551</v>
      </c>
      <c r="S40" s="937">
        <v>44973.962500000001</v>
      </c>
    </row>
    <row r="41" spans="1:19" hidden="1" outlineLevel="1">
      <c r="B41" s="930">
        <v>2</v>
      </c>
      <c r="C41" s="931" t="s">
        <v>478</v>
      </c>
      <c r="D41" s="931"/>
      <c r="E41" s="931" t="s">
        <v>479</v>
      </c>
      <c r="F41" s="931" t="s">
        <v>480</v>
      </c>
      <c r="G41" s="932">
        <v>7539.3</v>
      </c>
      <c r="H41" s="930" t="s">
        <v>100</v>
      </c>
      <c r="I41" s="933">
        <v>44960.125</v>
      </c>
      <c r="J41" s="934" t="s">
        <v>192</v>
      </c>
      <c r="K41" s="934" t="s">
        <v>192</v>
      </c>
      <c r="L41" s="1509"/>
      <c r="M41" s="1509"/>
      <c r="O41" s="936" t="s">
        <v>551</v>
      </c>
      <c r="P41" s="936" t="s">
        <v>551</v>
      </c>
      <c r="Q41" s="936" t="s">
        <v>551</v>
      </c>
      <c r="S41" s="937"/>
    </row>
    <row r="42" spans="1:19" hidden="1" outlineLevel="1">
      <c r="B42" s="930">
        <v>3</v>
      </c>
      <c r="C42" s="931" t="s">
        <v>679</v>
      </c>
      <c r="D42" s="931"/>
      <c r="E42" s="931" t="s">
        <v>205</v>
      </c>
      <c r="F42" s="931" t="s">
        <v>206</v>
      </c>
      <c r="G42" s="932">
        <v>7500</v>
      </c>
      <c r="H42" s="930" t="s">
        <v>78</v>
      </c>
      <c r="I42" s="933">
        <v>44970.03125</v>
      </c>
      <c r="J42" s="934" t="s">
        <v>192</v>
      </c>
      <c r="K42" s="934" t="s">
        <v>192</v>
      </c>
      <c r="L42" s="1509"/>
      <c r="M42" s="1509"/>
      <c r="O42" s="936" t="s">
        <v>551</v>
      </c>
      <c r="P42" s="936" t="s">
        <v>551</v>
      </c>
      <c r="Q42" s="936" t="s">
        <v>551</v>
      </c>
      <c r="S42" s="937"/>
    </row>
    <row r="43" spans="1:19" hidden="1" outlineLevel="1">
      <c r="B43" s="930">
        <v>4</v>
      </c>
      <c r="C43" s="931" t="s">
        <v>787</v>
      </c>
      <c r="D43" s="931"/>
      <c r="E43" s="931" t="s">
        <v>70</v>
      </c>
      <c r="F43" s="931" t="s">
        <v>255</v>
      </c>
      <c r="G43" s="932">
        <v>7502.5519999999997</v>
      </c>
      <c r="H43" s="930" t="s">
        <v>172</v>
      </c>
      <c r="I43" s="933">
        <v>44973.576388888891</v>
      </c>
      <c r="J43" s="934" t="s">
        <v>192</v>
      </c>
      <c r="K43" s="934" t="s">
        <v>192</v>
      </c>
      <c r="L43" s="1507"/>
      <c r="M43" s="1507"/>
      <c r="O43" s="936" t="s">
        <v>551</v>
      </c>
      <c r="P43" s="936" t="s">
        <v>551</v>
      </c>
      <c r="Q43" s="936" t="s">
        <v>551</v>
      </c>
      <c r="S43" s="937"/>
    </row>
    <row r="44" spans="1:19" s="773" customFormat="1" ht="4.95" hidden="1" customHeight="1" outlineLevel="1">
      <c r="A44" s="770"/>
      <c r="B44" s="776"/>
      <c r="C44" s="774"/>
      <c r="D44" s="774"/>
      <c r="E44" s="774"/>
      <c r="F44" s="774"/>
      <c r="G44" s="775"/>
      <c r="H44" s="776"/>
      <c r="I44" s="925"/>
      <c r="J44" s="926"/>
      <c r="K44" s="926"/>
      <c r="L44" s="927"/>
      <c r="M44" s="927"/>
      <c r="N44" s="772"/>
      <c r="O44" s="928"/>
      <c r="P44" s="928"/>
      <c r="Q44" s="928"/>
    </row>
    <row r="45" spans="1:19" hidden="1" outlineLevel="1">
      <c r="B45" s="930">
        <v>1</v>
      </c>
      <c r="C45" s="931" t="s">
        <v>792</v>
      </c>
      <c r="D45" s="931"/>
      <c r="E45" s="931" t="s">
        <v>793</v>
      </c>
      <c r="F45" s="931" t="s">
        <v>794</v>
      </c>
      <c r="G45" s="932">
        <v>5404.259</v>
      </c>
      <c r="H45" s="930" t="s">
        <v>183</v>
      </c>
      <c r="I45" s="933">
        <v>44975.635416666664</v>
      </c>
      <c r="J45" s="934" t="s">
        <v>192</v>
      </c>
      <c r="K45" s="934" t="s">
        <v>192</v>
      </c>
      <c r="L45" s="1506" t="s">
        <v>4422</v>
      </c>
      <c r="M45" s="1506" t="s">
        <v>4437</v>
      </c>
      <c r="O45" s="936" t="s">
        <v>551</v>
      </c>
      <c r="P45" s="936" t="s">
        <v>551</v>
      </c>
      <c r="Q45" s="936" t="s">
        <v>551</v>
      </c>
      <c r="S45" s="937">
        <v>44969.1875</v>
      </c>
    </row>
    <row r="46" spans="1:19" hidden="1" outlineLevel="1">
      <c r="B46" s="930">
        <v>2</v>
      </c>
      <c r="C46" s="931" t="s">
        <v>733</v>
      </c>
      <c r="D46" s="931"/>
      <c r="E46" s="931" t="s">
        <v>288</v>
      </c>
      <c r="F46" s="931" t="s">
        <v>289</v>
      </c>
      <c r="G46" s="932">
        <v>7447.2250000000004</v>
      </c>
      <c r="H46" s="930" t="s">
        <v>731</v>
      </c>
      <c r="I46" s="933">
        <v>44976.159722222219</v>
      </c>
      <c r="J46" s="934" t="s">
        <v>192</v>
      </c>
      <c r="K46" s="934" t="s">
        <v>192</v>
      </c>
      <c r="L46" s="1509"/>
      <c r="M46" s="1509"/>
      <c r="O46" s="936" t="s">
        <v>551</v>
      </c>
      <c r="P46" s="936" t="s">
        <v>551</v>
      </c>
      <c r="Q46" s="936" t="s">
        <v>551</v>
      </c>
      <c r="S46" s="937"/>
    </row>
    <row r="47" spans="1:19" hidden="1" outlineLevel="1">
      <c r="B47" s="930">
        <v>3</v>
      </c>
      <c r="C47" s="931" t="s">
        <v>795</v>
      </c>
      <c r="D47" s="931"/>
      <c r="E47" s="931" t="s">
        <v>796</v>
      </c>
      <c r="F47" s="931" t="s">
        <v>797</v>
      </c>
      <c r="G47" s="932">
        <v>5063.5460000000003</v>
      </c>
      <c r="H47" s="930" t="s">
        <v>183</v>
      </c>
      <c r="I47" s="933">
        <v>44976.222222222219</v>
      </c>
      <c r="J47" s="934" t="s">
        <v>192</v>
      </c>
      <c r="K47" s="934" t="s">
        <v>192</v>
      </c>
      <c r="L47" s="1509"/>
      <c r="M47" s="1509"/>
      <c r="O47" s="936" t="s">
        <v>551</v>
      </c>
      <c r="P47" s="936" t="s">
        <v>551</v>
      </c>
      <c r="Q47" s="936" t="s">
        <v>551</v>
      </c>
      <c r="S47" s="937"/>
    </row>
    <row r="48" spans="1:19" hidden="1" outlineLevel="1">
      <c r="B48" s="930">
        <v>4</v>
      </c>
      <c r="C48" s="931" t="s">
        <v>730</v>
      </c>
      <c r="D48" s="931"/>
      <c r="E48" s="931" t="s">
        <v>201</v>
      </c>
      <c r="F48" s="931" t="s">
        <v>202</v>
      </c>
      <c r="G48" s="932">
        <v>7632.95</v>
      </c>
      <c r="H48" s="930" t="s">
        <v>731</v>
      </c>
      <c r="I48" s="933">
        <v>44976.260416666664</v>
      </c>
      <c r="J48" s="934" t="s">
        <v>192</v>
      </c>
      <c r="K48" s="934" t="s">
        <v>192</v>
      </c>
      <c r="L48" s="1507"/>
      <c r="M48" s="1507"/>
      <c r="O48" s="936" t="s">
        <v>551</v>
      </c>
      <c r="P48" s="936" t="s">
        <v>551</v>
      </c>
      <c r="Q48" s="936" t="s">
        <v>551</v>
      </c>
      <c r="S48" s="937"/>
    </row>
    <row r="49" spans="1:19" s="773" customFormat="1" ht="4.95" hidden="1" customHeight="1" outlineLevel="1">
      <c r="A49" s="770"/>
      <c r="B49" s="776"/>
      <c r="C49" s="774"/>
      <c r="D49" s="774"/>
      <c r="E49" s="774"/>
      <c r="F49" s="774"/>
      <c r="G49" s="775"/>
      <c r="H49" s="776"/>
      <c r="I49" s="925"/>
      <c r="J49" s="926"/>
      <c r="K49" s="926"/>
      <c r="L49" s="927"/>
      <c r="M49" s="927"/>
      <c r="N49" s="772"/>
      <c r="O49" s="928"/>
      <c r="P49" s="928"/>
      <c r="Q49" s="928"/>
    </row>
    <row r="50" spans="1:19" hidden="1" outlineLevel="1">
      <c r="B50" s="930">
        <v>1</v>
      </c>
      <c r="C50" s="931" t="s">
        <v>762</v>
      </c>
      <c r="D50" s="931"/>
      <c r="E50" s="931" t="s">
        <v>763</v>
      </c>
      <c r="F50" s="931" t="s">
        <v>454</v>
      </c>
      <c r="G50" s="932">
        <v>7725.0820000000003</v>
      </c>
      <c r="H50" s="930" t="s">
        <v>181</v>
      </c>
      <c r="I50" s="933">
        <v>44965.680555555555</v>
      </c>
      <c r="J50" s="934" t="s">
        <v>192</v>
      </c>
      <c r="K50" s="934" t="s">
        <v>192</v>
      </c>
      <c r="L50" s="1538" t="s">
        <v>4438</v>
      </c>
      <c r="M50" s="1506" t="s">
        <v>4439</v>
      </c>
      <c r="O50" s="936" t="s">
        <v>551</v>
      </c>
      <c r="P50" s="936" t="s">
        <v>551</v>
      </c>
      <c r="Q50" s="936" t="s">
        <v>551</v>
      </c>
      <c r="S50" s="937">
        <v>44982.520833333336</v>
      </c>
    </row>
    <row r="51" spans="1:19" hidden="1" outlineLevel="1">
      <c r="B51" s="930">
        <v>2</v>
      </c>
      <c r="C51" s="931" t="s">
        <v>789</v>
      </c>
      <c r="D51" s="931"/>
      <c r="E51" s="931" t="s">
        <v>246</v>
      </c>
      <c r="F51" s="931" t="s">
        <v>247</v>
      </c>
      <c r="G51" s="932">
        <v>7675.3869999999997</v>
      </c>
      <c r="H51" s="930" t="s">
        <v>172</v>
      </c>
      <c r="I51" s="933">
        <v>44979</v>
      </c>
      <c r="J51" s="934" t="s">
        <v>192</v>
      </c>
      <c r="K51" s="934" t="s">
        <v>192</v>
      </c>
      <c r="L51" s="1539"/>
      <c r="M51" s="1509"/>
      <c r="O51" s="936" t="s">
        <v>551</v>
      </c>
      <c r="P51" s="936" t="s">
        <v>551</v>
      </c>
      <c r="Q51" s="936" t="s">
        <v>551</v>
      </c>
      <c r="S51" s="937"/>
    </row>
    <row r="52" spans="1:19" hidden="1" outlineLevel="1">
      <c r="B52" s="930">
        <v>3</v>
      </c>
      <c r="C52" s="931" t="s">
        <v>780</v>
      </c>
      <c r="D52" s="931"/>
      <c r="E52" s="931" t="s">
        <v>505</v>
      </c>
      <c r="F52" s="931" t="s">
        <v>506</v>
      </c>
      <c r="G52" s="932">
        <v>7500</v>
      </c>
      <c r="H52" s="930" t="s">
        <v>76</v>
      </c>
      <c r="I52" s="933">
        <v>44979.229166666664</v>
      </c>
      <c r="J52" s="934" t="s">
        <v>192</v>
      </c>
      <c r="K52" s="934" t="s">
        <v>192</v>
      </c>
      <c r="L52" s="1540"/>
      <c r="M52" s="1507"/>
      <c r="O52" s="936" t="s">
        <v>551</v>
      </c>
      <c r="P52" s="936" t="s">
        <v>551</v>
      </c>
      <c r="Q52" s="936" t="s">
        <v>551</v>
      </c>
      <c r="S52" s="937"/>
    </row>
    <row r="53" spans="1:19" s="773" customFormat="1" ht="4.95" hidden="1" customHeight="1" outlineLevel="1">
      <c r="A53" s="770"/>
      <c r="B53" s="776"/>
      <c r="C53" s="774"/>
      <c r="D53" s="774"/>
      <c r="E53" s="774"/>
      <c r="F53" s="774"/>
      <c r="G53" s="775"/>
      <c r="H53" s="776"/>
      <c r="I53" s="925"/>
      <c r="J53" s="926"/>
      <c r="K53" s="926"/>
      <c r="L53" s="927"/>
      <c r="M53" s="927"/>
      <c r="N53" s="772"/>
      <c r="O53" s="928"/>
      <c r="P53" s="928"/>
      <c r="Q53" s="928"/>
    </row>
    <row r="54" spans="1:19" hidden="1" outlineLevel="1">
      <c r="A54" s="929" t="s">
        <v>4440</v>
      </c>
      <c r="B54" s="930">
        <v>1</v>
      </c>
      <c r="C54" s="931" t="s">
        <v>798</v>
      </c>
      <c r="D54" s="931"/>
      <c r="E54" s="931" t="s">
        <v>799</v>
      </c>
      <c r="F54" s="931" t="s">
        <v>800</v>
      </c>
      <c r="G54" s="932">
        <v>5464.3950000000004</v>
      </c>
      <c r="H54" s="930" t="s">
        <v>183</v>
      </c>
      <c r="I54" s="933">
        <v>44975.8125</v>
      </c>
      <c r="J54" s="934" t="s">
        <v>192</v>
      </c>
      <c r="K54" s="934" t="s">
        <v>192</v>
      </c>
      <c r="L54" s="1535" t="s">
        <v>919</v>
      </c>
      <c r="M54" s="1506" t="s">
        <v>4441</v>
      </c>
      <c r="O54" s="936" t="s">
        <v>551</v>
      </c>
      <c r="P54" s="936" t="s">
        <v>551</v>
      </c>
      <c r="Q54" s="936" t="s">
        <v>551</v>
      </c>
      <c r="S54" s="937">
        <v>44984.73333333333</v>
      </c>
    </row>
    <row r="55" spans="1:19" hidden="1" outlineLevel="1">
      <c r="B55" s="930">
        <v>2</v>
      </c>
      <c r="C55" s="931" t="s">
        <v>801</v>
      </c>
      <c r="D55" s="931"/>
      <c r="E55" s="931" t="s">
        <v>802</v>
      </c>
      <c r="F55" s="931" t="s">
        <v>803</v>
      </c>
      <c r="G55" s="932">
        <v>5275.2790000000005</v>
      </c>
      <c r="H55" s="930" t="s">
        <v>183</v>
      </c>
      <c r="I55" s="933">
        <v>44976.493055555555</v>
      </c>
      <c r="J55" s="934" t="s">
        <v>192</v>
      </c>
      <c r="K55" s="934" t="s">
        <v>192</v>
      </c>
      <c r="L55" s="1536"/>
      <c r="M55" s="1509"/>
      <c r="O55" s="936" t="s">
        <v>551</v>
      </c>
      <c r="P55" s="936" t="s">
        <v>551</v>
      </c>
      <c r="Q55" s="936" t="s">
        <v>551</v>
      </c>
      <c r="S55" s="937"/>
    </row>
    <row r="56" spans="1:19" hidden="1" outlineLevel="1">
      <c r="B56" s="930">
        <v>3</v>
      </c>
      <c r="C56" s="931" t="s">
        <v>765</v>
      </c>
      <c r="D56" s="931"/>
      <c r="E56" s="931" t="s">
        <v>763</v>
      </c>
      <c r="F56" s="931" t="s">
        <v>454</v>
      </c>
      <c r="G56" s="932">
        <v>7710.8450000000003</v>
      </c>
      <c r="H56" s="930" t="s">
        <v>181</v>
      </c>
      <c r="I56" s="933">
        <v>44977.395833333336</v>
      </c>
      <c r="J56" s="934" t="s">
        <v>192</v>
      </c>
      <c r="K56" s="934" t="s">
        <v>192</v>
      </c>
      <c r="L56" s="1536"/>
      <c r="M56" s="1509"/>
      <c r="O56" s="936" t="s">
        <v>551</v>
      </c>
      <c r="P56" s="936" t="s">
        <v>551</v>
      </c>
      <c r="Q56" s="936" t="s">
        <v>551</v>
      </c>
      <c r="S56" s="937"/>
    </row>
    <row r="57" spans="1:19" hidden="1" outlineLevel="1">
      <c r="B57" s="930">
        <v>4</v>
      </c>
      <c r="C57" s="931" t="s">
        <v>804</v>
      </c>
      <c r="D57" s="931"/>
      <c r="E57" s="931" t="s">
        <v>805</v>
      </c>
      <c r="F57" s="931" t="s">
        <v>806</v>
      </c>
      <c r="G57" s="932">
        <v>5300.9960000000001</v>
      </c>
      <c r="H57" s="930" t="s">
        <v>183</v>
      </c>
      <c r="I57" s="933">
        <v>44979.006944444445</v>
      </c>
      <c r="J57" s="934" t="s">
        <v>192</v>
      </c>
      <c r="K57" s="934" t="s">
        <v>192</v>
      </c>
      <c r="L57" s="1537"/>
      <c r="M57" s="1507"/>
      <c r="O57" s="936" t="s">
        <v>551</v>
      </c>
      <c r="P57" s="936" t="s">
        <v>551</v>
      </c>
      <c r="Q57" s="936" t="s">
        <v>551</v>
      </c>
      <c r="S57" s="937"/>
    </row>
    <row r="58" spans="1:19" s="773" customFormat="1" ht="4.95" hidden="1" customHeight="1" outlineLevel="1">
      <c r="A58" s="770"/>
      <c r="B58" s="776"/>
      <c r="C58" s="774"/>
      <c r="D58" s="774"/>
      <c r="E58" s="774"/>
      <c r="F58" s="774"/>
      <c r="G58" s="775"/>
      <c r="H58" s="776"/>
      <c r="I58" s="925"/>
      <c r="J58" s="926"/>
      <c r="K58" s="926"/>
      <c r="L58" s="927"/>
      <c r="M58" s="927"/>
      <c r="N58" s="772"/>
      <c r="O58" s="928"/>
      <c r="P58" s="928"/>
      <c r="Q58" s="928"/>
    </row>
    <row r="59" spans="1:19" ht="14.4" hidden="1" customHeight="1" outlineLevel="1">
      <c r="B59" s="930">
        <v>1</v>
      </c>
      <c r="C59" s="931" t="s">
        <v>783</v>
      </c>
      <c r="D59" s="931"/>
      <c r="E59" s="931" t="s">
        <v>371</v>
      </c>
      <c r="F59" s="931" t="s">
        <v>372</v>
      </c>
      <c r="G59" s="932">
        <v>7501.5609999999997</v>
      </c>
      <c r="H59" s="930" t="s">
        <v>182</v>
      </c>
      <c r="I59" s="933">
        <v>44967.083333333336</v>
      </c>
      <c r="J59" s="934" t="s">
        <v>192</v>
      </c>
      <c r="K59" s="934" t="s">
        <v>192</v>
      </c>
      <c r="L59" s="1506" t="s">
        <v>4442</v>
      </c>
      <c r="M59" s="1506" t="s">
        <v>4443</v>
      </c>
      <c r="O59" s="936" t="s">
        <v>551</v>
      </c>
      <c r="P59" s="936" t="s">
        <v>551</v>
      </c>
      <c r="Q59" s="936" t="s">
        <v>551</v>
      </c>
      <c r="S59" s="937">
        <v>44989.612500000003</v>
      </c>
    </row>
    <row r="60" spans="1:19" ht="14.4" hidden="1" customHeight="1" outlineLevel="1">
      <c r="B60" s="930">
        <v>2</v>
      </c>
      <c r="C60" s="931" t="s">
        <v>784</v>
      </c>
      <c r="D60" s="931"/>
      <c r="E60" s="931" t="s">
        <v>505</v>
      </c>
      <c r="F60" s="931" t="s">
        <v>506</v>
      </c>
      <c r="G60" s="932">
        <v>7555.1270000000004</v>
      </c>
      <c r="H60" s="930" t="s">
        <v>182</v>
      </c>
      <c r="I60" s="933">
        <v>44968.138888888891</v>
      </c>
      <c r="J60" s="934" t="s">
        <v>192</v>
      </c>
      <c r="K60" s="934" t="s">
        <v>192</v>
      </c>
      <c r="L60" s="1509"/>
      <c r="M60" s="1509"/>
      <c r="O60" s="936" t="s">
        <v>551</v>
      </c>
      <c r="P60" s="936" t="s">
        <v>551</v>
      </c>
      <c r="Q60" s="936" t="s">
        <v>551</v>
      </c>
      <c r="S60" s="937"/>
    </row>
    <row r="61" spans="1:19" hidden="1" outlineLevel="1">
      <c r="B61" s="930">
        <v>3</v>
      </c>
      <c r="C61" s="931" t="s">
        <v>767</v>
      </c>
      <c r="D61" s="931"/>
      <c r="E61" s="931" t="s">
        <v>768</v>
      </c>
      <c r="F61" s="931" t="s">
        <v>769</v>
      </c>
      <c r="G61" s="932">
        <v>7509.6769999999997</v>
      </c>
      <c r="H61" s="930" t="s">
        <v>181</v>
      </c>
      <c r="I61" s="933">
        <v>44984.3125</v>
      </c>
      <c r="J61" s="934" t="s">
        <v>192</v>
      </c>
      <c r="K61" s="934" t="s">
        <v>192</v>
      </c>
      <c r="L61" s="1507"/>
      <c r="M61" s="1507"/>
      <c r="O61" s="936" t="s">
        <v>551</v>
      </c>
      <c r="P61" s="936" t="s">
        <v>551</v>
      </c>
      <c r="Q61" s="936" t="s">
        <v>551</v>
      </c>
      <c r="S61" s="937"/>
    </row>
    <row r="62" spans="1:19" s="773" customFormat="1" ht="4.95" hidden="1" customHeight="1" outlineLevel="1">
      <c r="A62" s="770"/>
      <c r="B62" s="776"/>
      <c r="C62" s="774"/>
      <c r="D62" s="774"/>
      <c r="E62" s="774"/>
      <c r="F62" s="774"/>
      <c r="G62" s="775"/>
      <c r="H62" s="776"/>
      <c r="I62" s="925"/>
      <c r="J62" s="926"/>
      <c r="K62" s="926"/>
      <c r="L62" s="927"/>
      <c r="M62" s="927"/>
      <c r="N62" s="772"/>
      <c r="O62" s="928"/>
      <c r="P62" s="928"/>
      <c r="Q62" s="928"/>
    </row>
    <row r="63" spans="1:19" ht="14.4" hidden="1" customHeight="1" outlineLevel="1">
      <c r="B63" s="930">
        <v>1</v>
      </c>
      <c r="C63" s="931" t="s">
        <v>819</v>
      </c>
      <c r="D63" s="931"/>
      <c r="E63" s="931" t="s">
        <v>820</v>
      </c>
      <c r="F63" s="931" t="s">
        <v>821</v>
      </c>
      <c r="G63" s="932">
        <v>7070.0609999999997</v>
      </c>
      <c r="H63" s="930" t="s">
        <v>184</v>
      </c>
      <c r="I63" s="933">
        <v>44986.625</v>
      </c>
      <c r="J63" s="934" t="s">
        <v>192</v>
      </c>
      <c r="K63" s="934" t="s">
        <v>192</v>
      </c>
      <c r="L63" s="1535" t="s">
        <v>4444</v>
      </c>
      <c r="M63" s="1506" t="s">
        <v>4445</v>
      </c>
      <c r="O63" s="936" t="s">
        <v>551</v>
      </c>
      <c r="P63" s="936" t="s">
        <v>551</v>
      </c>
      <c r="Q63" s="936" t="s">
        <v>551</v>
      </c>
      <c r="S63" s="937">
        <v>45003.279166666667</v>
      </c>
    </row>
    <row r="64" spans="1:19" hidden="1" outlineLevel="1">
      <c r="B64" s="930">
        <v>2</v>
      </c>
      <c r="C64" s="931" t="s">
        <v>811</v>
      </c>
      <c r="D64" s="931"/>
      <c r="E64" s="931" t="s">
        <v>812</v>
      </c>
      <c r="F64" s="931" t="s">
        <v>813</v>
      </c>
      <c r="G64" s="932">
        <v>5252.348</v>
      </c>
      <c r="H64" s="930" t="s">
        <v>183</v>
      </c>
      <c r="I64" s="933">
        <v>44987.8125</v>
      </c>
      <c r="J64" s="934" t="s">
        <v>192</v>
      </c>
      <c r="K64" s="934" t="s">
        <v>192</v>
      </c>
      <c r="L64" s="1536"/>
      <c r="M64" s="1509"/>
      <c r="O64" s="936" t="s">
        <v>551</v>
      </c>
      <c r="P64" s="936" t="s">
        <v>551</v>
      </c>
      <c r="Q64" s="936" t="s">
        <v>551</v>
      </c>
      <c r="S64" s="937"/>
    </row>
    <row r="65" spans="1:19" hidden="1" outlineLevel="1">
      <c r="B65" s="930">
        <v>3</v>
      </c>
      <c r="C65" s="931" t="s">
        <v>822</v>
      </c>
      <c r="D65" s="931"/>
      <c r="E65" s="931" t="s">
        <v>823</v>
      </c>
      <c r="F65" s="931" t="s">
        <v>824</v>
      </c>
      <c r="G65" s="932">
        <v>7502.8459999999995</v>
      </c>
      <c r="H65" s="930" t="s">
        <v>184</v>
      </c>
      <c r="I65" s="933">
        <v>44989.666666666664</v>
      </c>
      <c r="J65" s="934" t="s">
        <v>192</v>
      </c>
      <c r="K65" s="934" t="s">
        <v>192</v>
      </c>
      <c r="L65" s="1536"/>
      <c r="M65" s="1509"/>
      <c r="O65" s="936" t="s">
        <v>551</v>
      </c>
      <c r="P65" s="936" t="s">
        <v>551</v>
      </c>
      <c r="Q65" s="936" t="s">
        <v>551</v>
      </c>
      <c r="S65" s="937"/>
    </row>
    <row r="66" spans="1:19" hidden="1" outlineLevel="1">
      <c r="B66" s="930">
        <v>4</v>
      </c>
      <c r="C66" s="931" t="s">
        <v>674</v>
      </c>
      <c r="D66" s="931"/>
      <c r="E66" s="931" t="s">
        <v>675</v>
      </c>
      <c r="F66" s="931" t="s">
        <v>676</v>
      </c>
      <c r="G66" s="932">
        <v>5008.63</v>
      </c>
      <c r="H66" s="930" t="s">
        <v>88</v>
      </c>
      <c r="I66" s="933">
        <v>44992.479166666664</v>
      </c>
      <c r="J66" s="934" t="s">
        <v>192</v>
      </c>
      <c r="K66" s="934" t="s">
        <v>192</v>
      </c>
      <c r="L66" s="1536"/>
      <c r="M66" s="1509"/>
      <c r="O66" s="936" t="s">
        <v>551</v>
      </c>
      <c r="P66" s="936" t="s">
        <v>551</v>
      </c>
      <c r="Q66" s="936" t="s">
        <v>551</v>
      </c>
      <c r="S66" s="937"/>
    </row>
    <row r="67" spans="1:19" hidden="1" outlineLevel="1">
      <c r="B67" s="930">
        <v>5</v>
      </c>
      <c r="C67" s="931" t="s">
        <v>915</v>
      </c>
      <c r="D67" s="931"/>
      <c r="E67" s="931" t="s">
        <v>194</v>
      </c>
      <c r="F67" s="931" t="s">
        <v>195</v>
      </c>
      <c r="G67" s="932">
        <v>5008.6779999999999</v>
      </c>
      <c r="H67" s="930" t="s">
        <v>88</v>
      </c>
      <c r="I67" s="933">
        <v>45001.083333333336</v>
      </c>
      <c r="J67" s="934" t="s">
        <v>192</v>
      </c>
      <c r="K67" s="934" t="s">
        <v>192</v>
      </c>
      <c r="L67" s="1537"/>
      <c r="M67" s="1507"/>
      <c r="O67" s="936" t="s">
        <v>551</v>
      </c>
      <c r="P67" s="936" t="s">
        <v>551</v>
      </c>
      <c r="Q67" s="936" t="s">
        <v>551</v>
      </c>
      <c r="S67" s="937"/>
    </row>
    <row r="68" spans="1:19" s="773" customFormat="1" ht="4.95" hidden="1" customHeight="1" outlineLevel="1">
      <c r="A68" s="770"/>
      <c r="B68" s="776"/>
      <c r="C68" s="774"/>
      <c r="D68" s="774"/>
      <c r="E68" s="774"/>
      <c r="F68" s="774"/>
      <c r="G68" s="775"/>
      <c r="H68" s="776"/>
      <c r="I68" s="925"/>
      <c r="J68" s="926"/>
      <c r="K68" s="926"/>
      <c r="L68" s="927"/>
      <c r="M68" s="927"/>
      <c r="N68" s="772"/>
      <c r="O68" s="928"/>
      <c r="P68" s="928"/>
      <c r="Q68" s="928"/>
    </row>
    <row r="69" spans="1:19" hidden="1" outlineLevel="1">
      <c r="B69" s="930">
        <v>1</v>
      </c>
      <c r="C69" s="931" t="s">
        <v>1033</v>
      </c>
      <c r="D69" s="931"/>
      <c r="E69" s="931" t="s">
        <v>383</v>
      </c>
      <c r="F69" s="931" t="s">
        <v>384</v>
      </c>
      <c r="G69" s="932">
        <v>5132</v>
      </c>
      <c r="H69" s="930" t="s">
        <v>81</v>
      </c>
      <c r="I69" s="933">
        <v>44996.1875</v>
      </c>
      <c r="J69" s="934" t="s">
        <v>192</v>
      </c>
      <c r="K69" s="934" t="s">
        <v>192</v>
      </c>
      <c r="L69" s="1535" t="s">
        <v>1207</v>
      </c>
      <c r="M69" s="1506" t="s">
        <v>4446</v>
      </c>
      <c r="O69" s="936" t="s">
        <v>551</v>
      </c>
      <c r="P69" s="936" t="s">
        <v>551</v>
      </c>
      <c r="Q69" s="936" t="s">
        <v>551</v>
      </c>
      <c r="S69" s="937">
        <v>45001.2</v>
      </c>
    </row>
    <row r="70" spans="1:19" hidden="1" outlineLevel="1">
      <c r="B70" s="930">
        <v>2</v>
      </c>
      <c r="C70" s="931" t="s">
        <v>1054</v>
      </c>
      <c r="D70" s="931"/>
      <c r="E70" s="931" t="s">
        <v>406</v>
      </c>
      <c r="F70" s="931" t="s">
        <v>407</v>
      </c>
      <c r="G70" s="932">
        <v>7500</v>
      </c>
      <c r="H70" s="930" t="s">
        <v>76</v>
      </c>
      <c r="I70" s="933">
        <v>44999.447916666664</v>
      </c>
      <c r="J70" s="934" t="s">
        <v>192</v>
      </c>
      <c r="K70" s="934" t="s">
        <v>192</v>
      </c>
      <c r="L70" s="1536"/>
      <c r="M70" s="1509"/>
      <c r="O70" s="936" t="s">
        <v>551</v>
      </c>
      <c r="P70" s="936" t="s">
        <v>551</v>
      </c>
      <c r="Q70" s="936" t="s">
        <v>551</v>
      </c>
      <c r="S70" s="937"/>
    </row>
    <row r="71" spans="1:19" hidden="1" outlineLevel="1">
      <c r="B71" s="930">
        <v>3</v>
      </c>
      <c r="C71" s="931" t="s">
        <v>972</v>
      </c>
      <c r="D71" s="931"/>
      <c r="E71" s="931" t="s">
        <v>288</v>
      </c>
      <c r="F71" s="931" t="s">
        <v>289</v>
      </c>
      <c r="G71" s="932">
        <v>7581.442</v>
      </c>
      <c r="H71" s="930" t="s">
        <v>235</v>
      </c>
      <c r="I71" s="933">
        <v>45004.125</v>
      </c>
      <c r="J71" s="934" t="s">
        <v>192</v>
      </c>
      <c r="K71" s="934" t="s">
        <v>192</v>
      </c>
      <c r="L71" s="1536"/>
      <c r="M71" s="1509"/>
      <c r="O71" s="936" t="s">
        <v>551</v>
      </c>
      <c r="P71" s="936" t="s">
        <v>551</v>
      </c>
      <c r="Q71" s="936" t="s">
        <v>551</v>
      </c>
      <c r="S71" s="937"/>
    </row>
    <row r="72" spans="1:19" hidden="1" outlineLevel="1">
      <c r="B72" s="930">
        <v>4</v>
      </c>
      <c r="C72" s="931" t="s">
        <v>974</v>
      </c>
      <c r="D72" s="931"/>
      <c r="E72" s="931" t="s">
        <v>304</v>
      </c>
      <c r="F72" s="931" t="s">
        <v>305</v>
      </c>
      <c r="G72" s="932">
        <v>7508.0780000000004</v>
      </c>
      <c r="H72" s="930" t="s">
        <v>235</v>
      </c>
      <c r="I72" s="933">
        <v>45004.270833333336</v>
      </c>
      <c r="J72" s="934" t="s">
        <v>192</v>
      </c>
      <c r="K72" s="934" t="s">
        <v>192</v>
      </c>
      <c r="L72" s="1537"/>
      <c r="M72" s="1507"/>
      <c r="O72" s="936" t="s">
        <v>551</v>
      </c>
      <c r="P72" s="936" t="s">
        <v>551</v>
      </c>
      <c r="Q72" s="936" t="s">
        <v>551</v>
      </c>
      <c r="S72" s="937"/>
    </row>
    <row r="73" spans="1:19" s="773" customFormat="1" ht="4.95" hidden="1" customHeight="1" outlineLevel="1">
      <c r="A73" s="770"/>
      <c r="B73" s="776"/>
      <c r="C73" s="774"/>
      <c r="D73" s="774"/>
      <c r="E73" s="774"/>
      <c r="F73" s="774"/>
      <c r="G73" s="775"/>
      <c r="H73" s="945"/>
      <c r="I73" s="925"/>
      <c r="J73" s="926"/>
      <c r="K73" s="926"/>
      <c r="L73" s="927"/>
      <c r="M73" s="927"/>
      <c r="N73" s="772"/>
      <c r="O73" s="928"/>
      <c r="P73" s="928"/>
      <c r="Q73" s="928"/>
    </row>
    <row r="74" spans="1:19" hidden="1" outlineLevel="1">
      <c r="A74" s="929" t="s">
        <v>4447</v>
      </c>
      <c r="B74" s="930">
        <v>1</v>
      </c>
      <c r="C74" s="931" t="s">
        <v>1041</v>
      </c>
      <c r="D74" s="931"/>
      <c r="E74" s="931" t="s">
        <v>453</v>
      </c>
      <c r="F74" s="931" t="s">
        <v>454</v>
      </c>
      <c r="G74" s="932">
        <v>7541.1790000000001</v>
      </c>
      <c r="H74" s="930" t="s">
        <v>181</v>
      </c>
      <c r="I74" s="933">
        <v>45003.729166666664</v>
      </c>
      <c r="J74" s="934" t="s">
        <v>192</v>
      </c>
      <c r="K74" s="934" t="s">
        <v>192</v>
      </c>
      <c r="L74" s="1535" t="s">
        <v>4448</v>
      </c>
      <c r="M74" s="1506" t="s">
        <v>4449</v>
      </c>
      <c r="O74" s="936" t="s">
        <v>551</v>
      </c>
      <c r="P74" s="936" t="s">
        <v>551</v>
      </c>
      <c r="Q74" s="936" t="s">
        <v>551</v>
      </c>
      <c r="S74" s="937">
        <v>45012.239583333336</v>
      </c>
    </row>
    <row r="75" spans="1:19" hidden="1" outlineLevel="1">
      <c r="B75" s="930">
        <v>2</v>
      </c>
      <c r="C75" s="931" t="s">
        <v>917</v>
      </c>
      <c r="D75" s="931"/>
      <c r="E75" s="931" t="s">
        <v>304</v>
      </c>
      <c r="F75" s="931" t="s">
        <v>305</v>
      </c>
      <c r="G75" s="932">
        <v>7500</v>
      </c>
      <c r="H75" s="930" t="s">
        <v>78</v>
      </c>
      <c r="I75" s="933">
        <v>45012.576388888891</v>
      </c>
      <c r="J75" s="934" t="s">
        <v>192</v>
      </c>
      <c r="K75" s="934" t="s">
        <v>192</v>
      </c>
      <c r="L75" s="1536"/>
      <c r="M75" s="1509"/>
      <c r="O75" s="936" t="s">
        <v>551</v>
      </c>
      <c r="P75" s="936" t="s">
        <v>551</v>
      </c>
      <c r="Q75" s="936" t="s">
        <v>551</v>
      </c>
      <c r="S75" s="937"/>
    </row>
    <row r="76" spans="1:19" hidden="1" outlineLevel="1">
      <c r="B76" s="930">
        <v>3</v>
      </c>
      <c r="C76" s="931" t="s">
        <v>918</v>
      </c>
      <c r="D76" s="931"/>
      <c r="E76" s="931" t="s">
        <v>339</v>
      </c>
      <c r="F76" s="931" t="s">
        <v>340</v>
      </c>
      <c r="G76" s="932">
        <v>7500</v>
      </c>
      <c r="H76" s="930" t="s">
        <v>78</v>
      </c>
      <c r="I76" s="933">
        <v>45015.454861111109</v>
      </c>
      <c r="J76" s="934" t="s">
        <v>192</v>
      </c>
      <c r="K76" s="934" t="s">
        <v>192</v>
      </c>
      <c r="L76" s="1536"/>
      <c r="M76" s="1509"/>
      <c r="O76" s="936" t="s">
        <v>551</v>
      </c>
      <c r="P76" s="936" t="s">
        <v>551</v>
      </c>
      <c r="Q76" s="936" t="s">
        <v>551</v>
      </c>
      <c r="S76" s="937"/>
    </row>
    <row r="77" spans="1:19" hidden="1" outlineLevel="1">
      <c r="B77" s="930">
        <v>4</v>
      </c>
      <c r="C77" s="931" t="s">
        <v>1066</v>
      </c>
      <c r="D77" s="931"/>
      <c r="E77" s="931" t="s">
        <v>252</v>
      </c>
      <c r="F77" s="931" t="s">
        <v>253</v>
      </c>
      <c r="G77" s="932">
        <v>7611.384</v>
      </c>
      <c r="H77" s="930" t="s">
        <v>172</v>
      </c>
      <c r="I77" s="933">
        <v>45015.965277777781</v>
      </c>
      <c r="J77" s="934" t="s">
        <v>192</v>
      </c>
      <c r="K77" s="934" t="s">
        <v>192</v>
      </c>
      <c r="L77" s="1537"/>
      <c r="M77" s="1507"/>
      <c r="O77" s="936" t="s">
        <v>551</v>
      </c>
      <c r="P77" s="936" t="s">
        <v>551</v>
      </c>
      <c r="Q77" s="936" t="s">
        <v>551</v>
      </c>
      <c r="S77" s="937"/>
    </row>
    <row r="78" spans="1:19" s="773" customFormat="1" ht="4.95" hidden="1" customHeight="1" outlineLevel="1">
      <c r="A78" s="770"/>
      <c r="B78" s="776"/>
      <c r="C78" s="774"/>
      <c r="D78" s="774"/>
      <c r="E78" s="774"/>
      <c r="F78" s="774"/>
      <c r="G78" s="775"/>
      <c r="H78" s="776"/>
      <c r="I78" s="925"/>
      <c r="J78" s="926"/>
      <c r="K78" s="926"/>
      <c r="L78" s="927"/>
      <c r="M78" s="927"/>
      <c r="N78" s="772"/>
      <c r="O78" s="928"/>
      <c r="P78" s="928"/>
      <c r="Q78" s="928"/>
    </row>
    <row r="79" spans="1:19" ht="14.4" hidden="1" customHeight="1" outlineLevel="1">
      <c r="B79" s="930">
        <v>1</v>
      </c>
      <c r="C79" s="931" t="s">
        <v>1069</v>
      </c>
      <c r="D79" s="931"/>
      <c r="E79" s="931" t="s">
        <v>1070</v>
      </c>
      <c r="F79" s="931" t="s">
        <v>1071</v>
      </c>
      <c r="G79" s="932">
        <v>5334.6</v>
      </c>
      <c r="H79" s="930" t="s">
        <v>183</v>
      </c>
      <c r="I79" s="933">
        <v>45016.166666666664</v>
      </c>
      <c r="J79" s="934" t="s">
        <v>192</v>
      </c>
      <c r="K79" s="934" t="s">
        <v>192</v>
      </c>
      <c r="L79" s="1538" t="s">
        <v>4450</v>
      </c>
      <c r="M79" s="1506" t="s">
        <v>4451</v>
      </c>
      <c r="O79" s="936" t="s">
        <v>551</v>
      </c>
      <c r="P79" s="936" t="s">
        <v>551</v>
      </c>
      <c r="Q79" s="936" t="s">
        <v>551</v>
      </c>
      <c r="S79" s="937">
        <v>45019.958333333336</v>
      </c>
    </row>
    <row r="80" spans="1:19" hidden="1" outlineLevel="1">
      <c r="B80" s="930">
        <v>2</v>
      </c>
      <c r="C80" s="931" t="s">
        <v>1047</v>
      </c>
      <c r="D80" s="931"/>
      <c r="E80" s="931" t="s">
        <v>441</v>
      </c>
      <c r="F80" s="931" t="s">
        <v>442</v>
      </c>
      <c r="G80" s="932">
        <v>4960</v>
      </c>
      <c r="H80" s="930" t="s">
        <v>82</v>
      </c>
      <c r="I80" s="933">
        <v>45019.84375</v>
      </c>
      <c r="J80" s="934" t="s">
        <v>192</v>
      </c>
      <c r="K80" s="934" t="s">
        <v>192</v>
      </c>
      <c r="L80" s="1539"/>
      <c r="M80" s="1509"/>
      <c r="O80" s="936" t="s">
        <v>551</v>
      </c>
      <c r="P80" s="936" t="s">
        <v>551</v>
      </c>
      <c r="Q80" s="936" t="s">
        <v>551</v>
      </c>
      <c r="S80" s="937"/>
    </row>
    <row r="81" spans="1:19" hidden="1" outlineLevel="1">
      <c r="B81" s="930">
        <v>3</v>
      </c>
      <c r="C81" s="931" t="s">
        <v>1329</v>
      </c>
      <c r="D81" s="931"/>
      <c r="E81" s="931" t="s">
        <v>403</v>
      </c>
      <c r="F81" s="931" t="s">
        <v>404</v>
      </c>
      <c r="G81" s="932">
        <v>7500</v>
      </c>
      <c r="H81" s="930" t="s">
        <v>76</v>
      </c>
      <c r="I81" s="933">
        <v>45020.909722222219</v>
      </c>
      <c r="J81" s="934" t="s">
        <v>192</v>
      </c>
      <c r="K81" s="934" t="s">
        <v>192</v>
      </c>
      <c r="L81" s="1539"/>
      <c r="M81" s="1509"/>
      <c r="O81" s="936" t="s">
        <v>551</v>
      </c>
      <c r="P81" s="936" t="s">
        <v>551</v>
      </c>
      <c r="Q81" s="936" t="s">
        <v>551</v>
      </c>
      <c r="S81" s="937"/>
    </row>
    <row r="82" spans="1:19" hidden="1" outlineLevel="1">
      <c r="B82" s="930">
        <v>4</v>
      </c>
      <c r="C82" s="931" t="s">
        <v>4452</v>
      </c>
      <c r="D82" s="931"/>
      <c r="E82" s="931" t="s">
        <v>267</v>
      </c>
      <c r="F82" s="931" t="s">
        <v>268</v>
      </c>
      <c r="G82" s="932">
        <v>7500</v>
      </c>
      <c r="H82" s="930" t="s">
        <v>78</v>
      </c>
      <c r="I82" s="933">
        <v>45020.708333333336</v>
      </c>
      <c r="J82" s="934" t="s">
        <v>192</v>
      </c>
      <c r="K82" s="934" t="s">
        <v>192</v>
      </c>
      <c r="L82" s="1539"/>
      <c r="M82" s="1509"/>
      <c r="O82" s="936" t="s">
        <v>551</v>
      </c>
      <c r="P82" s="936" t="s">
        <v>551</v>
      </c>
      <c r="Q82" s="936" t="s">
        <v>551</v>
      </c>
      <c r="S82" s="937"/>
    </row>
    <row r="83" spans="1:19" hidden="1" outlineLevel="1">
      <c r="B83" s="930">
        <v>5</v>
      </c>
      <c r="C83" s="931" t="s">
        <v>1067</v>
      </c>
      <c r="D83" s="931"/>
      <c r="E83" s="931" t="s">
        <v>355</v>
      </c>
      <c r="F83" s="931" t="s">
        <v>356</v>
      </c>
      <c r="G83" s="932">
        <v>7553.3689999999997</v>
      </c>
      <c r="H83" s="930" t="s">
        <v>172</v>
      </c>
      <c r="I83" s="933">
        <v>45021.375</v>
      </c>
      <c r="J83" s="934" t="s">
        <v>192</v>
      </c>
      <c r="K83" s="934" t="s">
        <v>192</v>
      </c>
      <c r="L83" s="1540"/>
      <c r="M83" s="1507"/>
      <c r="O83" s="936" t="s">
        <v>551</v>
      </c>
      <c r="P83" s="936" t="s">
        <v>551</v>
      </c>
      <c r="Q83" s="936" t="s">
        <v>551</v>
      </c>
      <c r="S83" s="937"/>
    </row>
    <row r="84" spans="1:19" s="773" customFormat="1" ht="4.95" hidden="1" customHeight="1" outlineLevel="1">
      <c r="A84" s="770"/>
      <c r="B84" s="776"/>
      <c r="C84" s="774"/>
      <c r="D84" s="774"/>
      <c r="E84" s="774"/>
      <c r="F84" s="774"/>
      <c r="G84" s="775"/>
      <c r="H84" s="776"/>
      <c r="I84" s="925"/>
      <c r="J84" s="927"/>
      <c r="K84" s="927"/>
      <c r="L84" s="927"/>
      <c r="M84" s="927"/>
      <c r="N84" s="772"/>
      <c r="O84" s="928"/>
      <c r="P84" s="928"/>
      <c r="Q84" s="928"/>
    </row>
    <row r="85" spans="1:19" hidden="1" outlineLevel="1">
      <c r="B85" s="930">
        <v>1</v>
      </c>
      <c r="C85" s="931" t="s">
        <v>1050</v>
      </c>
      <c r="D85" s="931"/>
      <c r="E85" s="931" t="s">
        <v>371</v>
      </c>
      <c r="F85" s="931" t="s">
        <v>372</v>
      </c>
      <c r="G85" s="932">
        <v>7486</v>
      </c>
      <c r="H85" s="930" t="s">
        <v>84</v>
      </c>
      <c r="I85" s="933">
        <v>45018.770833333336</v>
      </c>
      <c r="J85" s="934" t="s">
        <v>192</v>
      </c>
      <c r="K85" s="934" t="s">
        <v>192</v>
      </c>
      <c r="L85" s="1506" t="s">
        <v>4453</v>
      </c>
      <c r="M85" s="1506" t="s">
        <v>4454</v>
      </c>
      <c r="O85" s="936" t="s">
        <v>551</v>
      </c>
      <c r="P85" s="936" t="s">
        <v>551</v>
      </c>
      <c r="Q85" s="936" t="s">
        <v>551</v>
      </c>
      <c r="S85" s="937">
        <v>45026.604166666664</v>
      </c>
    </row>
    <row r="86" spans="1:19" hidden="1" outlineLevel="1">
      <c r="B86" s="930">
        <v>2</v>
      </c>
      <c r="C86" s="931" t="s">
        <v>1330</v>
      </c>
      <c r="D86" s="931"/>
      <c r="E86" s="931" t="s">
        <v>1313</v>
      </c>
      <c r="F86" s="931" t="s">
        <v>438</v>
      </c>
      <c r="G86" s="932">
        <v>7500</v>
      </c>
      <c r="H86" s="930" t="s">
        <v>76</v>
      </c>
      <c r="I86" s="933">
        <v>45022.333333333336</v>
      </c>
      <c r="J86" s="934" t="s">
        <v>192</v>
      </c>
      <c r="K86" s="934" t="s">
        <v>192</v>
      </c>
      <c r="L86" s="1507"/>
      <c r="M86" s="1507"/>
      <c r="O86" s="936" t="s">
        <v>551</v>
      </c>
      <c r="P86" s="936" t="s">
        <v>551</v>
      </c>
      <c r="Q86" s="936" t="s">
        <v>551</v>
      </c>
      <c r="S86" s="937"/>
    </row>
    <row r="87" spans="1:19" s="773" customFormat="1" ht="4.95" hidden="1" customHeight="1" outlineLevel="1">
      <c r="A87" s="770"/>
      <c r="B87" s="776"/>
      <c r="C87" s="774"/>
      <c r="D87" s="774"/>
      <c r="E87" s="774"/>
      <c r="F87" s="774"/>
      <c r="G87" s="775"/>
      <c r="H87" s="776"/>
      <c r="I87" s="925"/>
      <c r="J87" s="926"/>
      <c r="K87" s="926"/>
      <c r="L87" s="927"/>
      <c r="M87" s="927"/>
      <c r="N87" s="772"/>
      <c r="O87" s="928"/>
      <c r="P87" s="928"/>
      <c r="Q87" s="928"/>
    </row>
    <row r="88" spans="1:19" hidden="1" outlineLevel="1">
      <c r="B88" s="930">
        <v>3</v>
      </c>
      <c r="C88" s="931" t="s">
        <v>1332</v>
      </c>
      <c r="D88" s="931"/>
      <c r="E88" s="931" t="s">
        <v>399</v>
      </c>
      <c r="F88" s="931" t="s">
        <v>1093</v>
      </c>
      <c r="G88" s="932">
        <v>7500</v>
      </c>
      <c r="H88" s="930" t="s">
        <v>76</v>
      </c>
      <c r="I88" s="933">
        <v>45022.979166666664</v>
      </c>
      <c r="J88" s="934" t="s">
        <v>192</v>
      </c>
      <c r="K88" s="934" t="s">
        <v>192</v>
      </c>
      <c r="L88" s="1506" t="s">
        <v>1801</v>
      </c>
      <c r="M88" s="1506" t="s">
        <v>4455</v>
      </c>
      <c r="O88" s="936" t="s">
        <v>551</v>
      </c>
      <c r="P88" s="936" t="s">
        <v>551</v>
      </c>
      <c r="Q88" s="936" t="s">
        <v>551</v>
      </c>
      <c r="S88" s="937">
        <v>45025.179166666669</v>
      </c>
    </row>
    <row r="89" spans="1:19" hidden="1" outlineLevel="1">
      <c r="B89" s="930">
        <v>4</v>
      </c>
      <c r="C89" s="931" t="s">
        <v>1328</v>
      </c>
      <c r="D89" s="931"/>
      <c r="E89" s="931" t="s">
        <v>260</v>
      </c>
      <c r="F89" s="931" t="s">
        <v>261</v>
      </c>
      <c r="G89" s="932">
        <v>7502</v>
      </c>
      <c r="H89" s="930" t="s">
        <v>84</v>
      </c>
      <c r="I89" s="933">
        <v>45023.427083333336</v>
      </c>
      <c r="J89" s="934" t="s">
        <v>192</v>
      </c>
      <c r="K89" s="934" t="s">
        <v>192</v>
      </c>
      <c r="L89" s="1507"/>
      <c r="M89" s="1507"/>
      <c r="O89" s="936" t="s">
        <v>551</v>
      </c>
      <c r="P89" s="936" t="s">
        <v>551</v>
      </c>
      <c r="Q89" s="936" t="s">
        <v>551</v>
      </c>
      <c r="S89" s="937"/>
    </row>
    <row r="90" spans="1:19" s="773" customFormat="1" ht="4.95" hidden="1" customHeight="1" outlineLevel="1">
      <c r="A90" s="770"/>
      <c r="B90" s="776"/>
      <c r="C90" s="774"/>
      <c r="D90" s="774"/>
      <c r="E90" s="774"/>
      <c r="F90" s="774"/>
      <c r="G90" s="775"/>
      <c r="H90" s="776"/>
      <c r="I90" s="925"/>
      <c r="J90" s="926"/>
      <c r="K90" s="926"/>
      <c r="L90" s="927"/>
      <c r="M90" s="927"/>
      <c r="N90" s="772"/>
      <c r="O90" s="928"/>
      <c r="P90" s="928"/>
      <c r="Q90" s="928"/>
    </row>
    <row r="91" spans="1:19" hidden="1" outlineLevel="1">
      <c r="B91" s="930">
        <v>1</v>
      </c>
      <c r="C91" s="931" t="s">
        <v>1366</v>
      </c>
      <c r="D91" s="931"/>
      <c r="E91" s="931" t="s">
        <v>1367</v>
      </c>
      <c r="F91" s="931" t="s">
        <v>1368</v>
      </c>
      <c r="G91" s="932">
        <v>7532.8779999999997</v>
      </c>
      <c r="H91" s="930" t="s">
        <v>184</v>
      </c>
      <c r="I91" s="933">
        <v>45023.885416666664</v>
      </c>
      <c r="J91" s="934" t="s">
        <v>192</v>
      </c>
      <c r="K91" s="934" t="s">
        <v>192</v>
      </c>
      <c r="L91" s="1506" t="s">
        <v>2984</v>
      </c>
      <c r="M91" s="1506" t="s">
        <v>2985</v>
      </c>
      <c r="O91" s="936" t="s">
        <v>551</v>
      </c>
      <c r="P91" s="936" t="s">
        <v>551</v>
      </c>
      <c r="Q91" s="936" t="s">
        <v>551</v>
      </c>
      <c r="S91" s="937">
        <v>45035.229166666664</v>
      </c>
    </row>
    <row r="92" spans="1:19" hidden="1" outlineLevel="1">
      <c r="B92" s="930">
        <v>2</v>
      </c>
      <c r="C92" s="931" t="s">
        <v>1318</v>
      </c>
      <c r="D92" s="931"/>
      <c r="E92" s="931" t="s">
        <v>1319</v>
      </c>
      <c r="F92" s="931" t="s">
        <v>1320</v>
      </c>
      <c r="G92" s="932">
        <v>7740.8059999999996</v>
      </c>
      <c r="H92" s="930" t="s">
        <v>181</v>
      </c>
      <c r="I92" s="933">
        <v>45022.006944444445</v>
      </c>
      <c r="J92" s="934" t="s">
        <v>192</v>
      </c>
      <c r="K92" s="934" t="s">
        <v>192</v>
      </c>
      <c r="L92" s="1509"/>
      <c r="M92" s="1509"/>
      <c r="O92" s="936" t="s">
        <v>551</v>
      </c>
      <c r="P92" s="936" t="s">
        <v>551</v>
      </c>
      <c r="Q92" s="936" t="s">
        <v>551</v>
      </c>
      <c r="S92" s="937"/>
    </row>
    <row r="93" spans="1:19" hidden="1" outlineLevel="1">
      <c r="B93" s="930">
        <v>4</v>
      </c>
      <c r="C93" s="931" t="s">
        <v>1341</v>
      </c>
      <c r="D93" s="931"/>
      <c r="E93" s="931" t="s">
        <v>339</v>
      </c>
      <c r="F93" s="931" t="s">
        <v>340</v>
      </c>
      <c r="G93" s="932">
        <v>7555.0990000000002</v>
      </c>
      <c r="H93" s="930" t="s">
        <v>172</v>
      </c>
      <c r="I93" s="933">
        <v>45030.055555555555</v>
      </c>
      <c r="J93" s="934" t="s">
        <v>192</v>
      </c>
      <c r="K93" s="934" t="s">
        <v>192</v>
      </c>
      <c r="L93" s="1509"/>
      <c r="M93" s="1509"/>
      <c r="O93" s="936" t="s">
        <v>551</v>
      </c>
      <c r="P93" s="936" t="s">
        <v>551</v>
      </c>
      <c r="Q93" s="936" t="s">
        <v>551</v>
      </c>
      <c r="S93" s="937"/>
    </row>
    <row r="94" spans="1:19" hidden="1" outlineLevel="1">
      <c r="B94" s="930">
        <v>3</v>
      </c>
      <c r="C94" s="931" t="s">
        <v>1073</v>
      </c>
      <c r="D94" s="931"/>
      <c r="E94" s="931" t="s">
        <v>823</v>
      </c>
      <c r="F94" s="931" t="s">
        <v>824</v>
      </c>
      <c r="G94" s="932">
        <v>7547.6210000000001</v>
      </c>
      <c r="H94" s="930" t="s">
        <v>184</v>
      </c>
      <c r="I94" s="933">
        <v>45020.166666666664</v>
      </c>
      <c r="J94" s="934" t="s">
        <v>192</v>
      </c>
      <c r="K94" s="934" t="s">
        <v>192</v>
      </c>
      <c r="L94" s="1509"/>
      <c r="M94" s="1509"/>
      <c r="O94" s="936" t="s">
        <v>551</v>
      </c>
      <c r="P94" s="936" t="s">
        <v>551</v>
      </c>
      <c r="Q94" s="936" t="s">
        <v>551</v>
      </c>
    </row>
    <row r="95" spans="1:19" hidden="1" outlineLevel="1">
      <c r="B95" s="930">
        <v>5</v>
      </c>
      <c r="C95" s="931" t="s">
        <v>1342</v>
      </c>
      <c r="D95" s="931"/>
      <c r="E95" s="931" t="s">
        <v>222</v>
      </c>
      <c r="F95" s="931" t="s">
        <v>223</v>
      </c>
      <c r="G95" s="932">
        <v>7594.6850000000004</v>
      </c>
      <c r="H95" s="930" t="s">
        <v>172</v>
      </c>
      <c r="I95" s="933">
        <v>45032.069444444445</v>
      </c>
      <c r="J95" s="934" t="s">
        <v>192</v>
      </c>
      <c r="K95" s="934" t="s">
        <v>192</v>
      </c>
      <c r="L95" s="1509"/>
      <c r="M95" s="1509"/>
      <c r="O95" s="936" t="s">
        <v>551</v>
      </c>
      <c r="P95" s="936" t="s">
        <v>551</v>
      </c>
      <c r="Q95" s="936" t="s">
        <v>551</v>
      </c>
      <c r="S95" s="937"/>
    </row>
    <row r="96" spans="1:19" hidden="1" outlineLevel="1">
      <c r="B96" s="930">
        <v>6</v>
      </c>
      <c r="C96" s="931" t="s">
        <v>1305</v>
      </c>
      <c r="D96" s="931"/>
      <c r="E96" s="931" t="s">
        <v>383</v>
      </c>
      <c r="F96" s="931" t="s">
        <v>384</v>
      </c>
      <c r="G96" s="932">
        <v>5102</v>
      </c>
      <c r="H96" s="930" t="s">
        <v>81</v>
      </c>
      <c r="I96" s="933">
        <v>45033.888888888891</v>
      </c>
      <c r="J96" s="934" t="s">
        <v>192</v>
      </c>
      <c r="K96" s="934" t="s">
        <v>192</v>
      </c>
      <c r="L96" s="1509"/>
      <c r="M96" s="1509"/>
      <c r="O96" s="936" t="s">
        <v>551</v>
      </c>
      <c r="P96" s="936" t="s">
        <v>551</v>
      </c>
      <c r="Q96" s="936" t="s">
        <v>551</v>
      </c>
      <c r="S96" s="937"/>
    </row>
    <row r="97" spans="1:19" hidden="1" outlineLevel="1">
      <c r="B97" s="930">
        <v>7</v>
      </c>
      <c r="C97" s="931" t="s">
        <v>1343</v>
      </c>
      <c r="D97" s="931"/>
      <c r="E97" s="931" t="s">
        <v>343</v>
      </c>
      <c r="F97" s="931" t="s">
        <v>344</v>
      </c>
      <c r="G97" s="932">
        <v>7585.585</v>
      </c>
      <c r="H97" s="930" t="s">
        <v>172</v>
      </c>
      <c r="I97" s="933">
        <v>45035.875</v>
      </c>
      <c r="J97" s="934" t="s">
        <v>192</v>
      </c>
      <c r="K97" s="934" t="s">
        <v>192</v>
      </c>
      <c r="L97" s="1507"/>
      <c r="M97" s="1507"/>
      <c r="O97" s="936" t="s">
        <v>551</v>
      </c>
      <c r="P97" s="936" t="s">
        <v>551</v>
      </c>
      <c r="Q97" s="936" t="s">
        <v>551</v>
      </c>
      <c r="S97" s="937"/>
    </row>
    <row r="98" spans="1:19" s="773" customFormat="1" ht="4.95" hidden="1" customHeight="1" outlineLevel="1">
      <c r="A98" s="770"/>
      <c r="B98" s="776"/>
      <c r="C98" s="774"/>
      <c r="D98" s="774"/>
      <c r="E98" s="774"/>
      <c r="F98" s="774"/>
      <c r="G98" s="775"/>
      <c r="H98" s="776"/>
      <c r="I98" s="925"/>
      <c r="J98" s="926"/>
      <c r="K98" s="926"/>
      <c r="L98" s="926"/>
      <c r="M98" s="926"/>
      <c r="N98" s="772"/>
      <c r="O98" s="928"/>
      <c r="P98" s="928"/>
      <c r="Q98" s="928"/>
    </row>
    <row r="99" spans="1:19" hidden="1" outlineLevel="1">
      <c r="B99" s="930">
        <v>1</v>
      </c>
      <c r="C99" s="931" t="s">
        <v>1325</v>
      </c>
      <c r="D99" s="931"/>
      <c r="E99" s="931" t="s">
        <v>1303</v>
      </c>
      <c r="F99" s="931" t="s">
        <v>1304</v>
      </c>
      <c r="G99" s="932">
        <v>5037</v>
      </c>
      <c r="H99" s="930" t="s">
        <v>82</v>
      </c>
      <c r="I99" s="933">
        <v>45037.076388888891</v>
      </c>
      <c r="J99" s="934" t="s">
        <v>192</v>
      </c>
      <c r="K99" s="934" t="s">
        <v>192</v>
      </c>
      <c r="L99" s="943" t="s">
        <v>699</v>
      </c>
      <c r="M99" s="943" t="s">
        <v>4456</v>
      </c>
      <c r="O99" s="936" t="s">
        <v>551</v>
      </c>
      <c r="P99" s="936" t="s">
        <v>551</v>
      </c>
      <c r="Q99" s="936" t="s">
        <v>551</v>
      </c>
      <c r="R99" s="773"/>
      <c r="S99" s="937">
        <v>45037</v>
      </c>
    </row>
    <row r="100" spans="1:19" s="773" customFormat="1" ht="4.95" hidden="1" customHeight="1" outlineLevel="1">
      <c r="A100" s="770"/>
      <c r="B100" s="776"/>
      <c r="C100" s="774"/>
      <c r="D100" s="774"/>
      <c r="E100" s="774"/>
      <c r="F100" s="774"/>
      <c r="G100" s="775"/>
      <c r="H100" s="776"/>
      <c r="I100" s="925"/>
      <c r="J100" s="926"/>
      <c r="K100" s="926"/>
      <c r="L100" s="926"/>
      <c r="M100" s="926"/>
      <c r="N100" s="772"/>
      <c r="O100" s="928"/>
      <c r="P100" s="928"/>
      <c r="Q100" s="928"/>
    </row>
    <row r="101" spans="1:19" hidden="1" outlineLevel="1">
      <c r="B101" s="930">
        <v>1</v>
      </c>
      <c r="C101" s="931" t="s">
        <v>1252</v>
      </c>
      <c r="D101" s="931"/>
      <c r="E101" s="931" t="s">
        <v>307</v>
      </c>
      <c r="F101" s="931" t="s">
        <v>308</v>
      </c>
      <c r="G101" s="932">
        <v>7723.8220000000001</v>
      </c>
      <c r="H101" s="930" t="s">
        <v>235</v>
      </c>
      <c r="I101" s="933">
        <v>45037.145833333336</v>
      </c>
      <c r="J101" s="934" t="s">
        <v>192</v>
      </c>
      <c r="K101" s="934" t="s">
        <v>192</v>
      </c>
      <c r="L101" s="1506" t="s">
        <v>1207</v>
      </c>
      <c r="M101" s="1506" t="s">
        <v>4457</v>
      </c>
      <c r="O101" s="936" t="s">
        <v>551</v>
      </c>
      <c r="P101" s="936" t="s">
        <v>551</v>
      </c>
      <c r="Q101" s="936" t="s">
        <v>551</v>
      </c>
      <c r="S101" s="937">
        <v>45038.35833333333</v>
      </c>
    </row>
    <row r="102" spans="1:19" hidden="1" outlineLevel="1">
      <c r="B102" s="930">
        <v>2</v>
      </c>
      <c r="C102" s="931" t="s">
        <v>1247</v>
      </c>
      <c r="D102" s="931"/>
      <c r="E102" s="931" t="s">
        <v>355</v>
      </c>
      <c r="F102" s="931" t="s">
        <v>356</v>
      </c>
      <c r="G102" s="932">
        <v>7569.4160000000002</v>
      </c>
      <c r="H102" s="930" t="s">
        <v>235</v>
      </c>
      <c r="I102" s="933">
        <v>45033.208333333336</v>
      </c>
      <c r="J102" s="934" t="s">
        <v>192</v>
      </c>
      <c r="K102" s="934" t="s">
        <v>192</v>
      </c>
      <c r="L102" s="1509"/>
      <c r="M102" s="1509"/>
      <c r="O102" s="936" t="s">
        <v>551</v>
      </c>
      <c r="P102" s="936" t="s">
        <v>551</v>
      </c>
      <c r="Q102" s="936" t="s">
        <v>551</v>
      </c>
    </row>
    <row r="103" spans="1:19" hidden="1" outlineLevel="1">
      <c r="B103" s="930">
        <v>3</v>
      </c>
      <c r="C103" s="931" t="s">
        <v>1191</v>
      </c>
      <c r="D103" s="931"/>
      <c r="E103" s="931" t="s">
        <v>208</v>
      </c>
      <c r="F103" s="931" t="s">
        <v>328</v>
      </c>
      <c r="G103" s="932">
        <v>7500</v>
      </c>
      <c r="H103" s="930" t="s">
        <v>78</v>
      </c>
      <c r="I103" s="933">
        <v>45036.34375</v>
      </c>
      <c r="J103" s="934" t="s">
        <v>192</v>
      </c>
      <c r="K103" s="934" t="s">
        <v>192</v>
      </c>
      <c r="L103" s="1509"/>
      <c r="M103" s="1509"/>
      <c r="O103" s="936" t="s">
        <v>551</v>
      </c>
      <c r="P103" s="936" t="s">
        <v>551</v>
      </c>
      <c r="Q103" s="936" t="s">
        <v>551</v>
      </c>
      <c r="S103" s="937"/>
    </row>
    <row r="104" spans="1:19" hidden="1" outlineLevel="1">
      <c r="B104" s="930">
        <v>4</v>
      </c>
      <c r="C104" s="931" t="s">
        <v>1337</v>
      </c>
      <c r="D104" s="931"/>
      <c r="E104" s="931" t="s">
        <v>213</v>
      </c>
      <c r="F104" s="931" t="s">
        <v>214</v>
      </c>
      <c r="G104" s="932">
        <v>7500</v>
      </c>
      <c r="H104" s="930" t="s">
        <v>76</v>
      </c>
      <c r="I104" s="933">
        <v>45038.677083333336</v>
      </c>
      <c r="J104" s="934" t="s">
        <v>192</v>
      </c>
      <c r="K104" s="934" t="s">
        <v>192</v>
      </c>
      <c r="L104" s="1507"/>
      <c r="M104" s="1507"/>
      <c r="O104" s="936" t="s">
        <v>551</v>
      </c>
      <c r="P104" s="936" t="s">
        <v>551</v>
      </c>
      <c r="Q104" s="936" t="s">
        <v>551</v>
      </c>
    </row>
    <row r="105" spans="1:19" s="773" customFormat="1" ht="4.95" hidden="1" customHeight="1" outlineLevel="1">
      <c r="A105" s="770"/>
      <c r="B105" s="776"/>
      <c r="C105" s="774"/>
      <c r="D105" s="774"/>
      <c r="E105" s="774"/>
      <c r="F105" s="774"/>
      <c r="G105" s="775"/>
      <c r="H105" s="776"/>
      <c r="I105" s="925"/>
      <c r="J105" s="926"/>
      <c r="K105" s="926"/>
      <c r="L105" s="926"/>
      <c r="M105" s="926"/>
      <c r="N105" s="772"/>
      <c r="O105" s="928"/>
      <c r="P105" s="928"/>
      <c r="Q105" s="928"/>
    </row>
    <row r="106" spans="1:19" hidden="1" outlineLevel="1">
      <c r="B106" s="930">
        <v>1</v>
      </c>
      <c r="C106" s="931" t="s">
        <v>1180</v>
      </c>
      <c r="D106" s="931"/>
      <c r="E106" s="931" t="s">
        <v>1181</v>
      </c>
      <c r="F106" s="931" t="s">
        <v>1182</v>
      </c>
      <c r="G106" s="932">
        <v>5009.3639999999996</v>
      </c>
      <c r="H106" s="930" t="s">
        <v>88</v>
      </c>
      <c r="I106" s="933">
        <v>45024.895833333336</v>
      </c>
      <c r="J106" s="934" t="s">
        <v>192</v>
      </c>
      <c r="K106" s="934" t="s">
        <v>192</v>
      </c>
      <c r="L106" s="1538" t="s">
        <v>4458</v>
      </c>
      <c r="M106" s="1506" t="s">
        <v>4459</v>
      </c>
      <c r="O106" s="936" t="s">
        <v>551</v>
      </c>
      <c r="P106" s="936" t="s">
        <v>551</v>
      </c>
      <c r="Q106" s="936" t="s">
        <v>551</v>
      </c>
      <c r="S106" s="937">
        <v>45033.495833333334</v>
      </c>
    </row>
    <row r="107" spans="1:19" hidden="1" outlineLevel="1">
      <c r="B107" s="930">
        <v>2</v>
      </c>
      <c r="C107" s="931" t="s">
        <v>1306</v>
      </c>
      <c r="D107" s="931"/>
      <c r="E107" s="931" t="s">
        <v>1307</v>
      </c>
      <c r="F107" s="931" t="s">
        <v>1308</v>
      </c>
      <c r="G107" s="932">
        <v>5028</v>
      </c>
      <c r="H107" s="930" t="s">
        <v>81</v>
      </c>
      <c r="I107" s="933">
        <v>45038.75</v>
      </c>
      <c r="J107" s="934" t="s">
        <v>192</v>
      </c>
      <c r="K107" s="934" t="s">
        <v>192</v>
      </c>
      <c r="L107" s="1539"/>
      <c r="M107" s="1509"/>
      <c r="O107" s="936" t="s">
        <v>551</v>
      </c>
      <c r="P107" s="936" t="s">
        <v>551</v>
      </c>
      <c r="Q107" s="936" t="s">
        <v>551</v>
      </c>
      <c r="S107" s="937"/>
    </row>
    <row r="108" spans="1:19" hidden="1" outlineLevel="1">
      <c r="B108" s="930">
        <v>3</v>
      </c>
      <c r="C108" s="931" t="s">
        <v>1355</v>
      </c>
      <c r="D108" s="931"/>
      <c r="E108" s="931" t="s">
        <v>1070</v>
      </c>
      <c r="F108" s="931" t="s">
        <v>1071</v>
      </c>
      <c r="G108" s="932">
        <v>5252.7349999999997</v>
      </c>
      <c r="H108" s="930" t="s">
        <v>183</v>
      </c>
      <c r="I108" s="933">
        <v>45044.326388888891</v>
      </c>
      <c r="J108" s="934" t="s">
        <v>192</v>
      </c>
      <c r="K108" s="934" t="s">
        <v>192</v>
      </c>
      <c r="L108" s="1539"/>
      <c r="M108" s="1509"/>
      <c r="O108" s="936" t="s">
        <v>551</v>
      </c>
      <c r="P108" s="936" t="s">
        <v>551</v>
      </c>
      <c r="Q108" s="936" t="s">
        <v>551</v>
      </c>
    </row>
    <row r="109" spans="1:19" hidden="1" outlineLevel="1">
      <c r="B109" s="930">
        <v>4</v>
      </c>
      <c r="C109" s="931" t="s">
        <v>1310</v>
      </c>
      <c r="D109" s="931"/>
      <c r="E109" s="931" t="s">
        <v>383</v>
      </c>
      <c r="F109" s="931" t="s">
        <v>384</v>
      </c>
      <c r="G109" s="932">
        <v>5102</v>
      </c>
      <c r="H109" s="930" t="s">
        <v>81</v>
      </c>
      <c r="I109" s="933">
        <v>45044.208333333336</v>
      </c>
      <c r="J109" s="934" t="s">
        <v>192</v>
      </c>
      <c r="K109" s="934" t="s">
        <v>192</v>
      </c>
      <c r="L109" s="1539"/>
      <c r="M109" s="1509"/>
      <c r="O109" s="936" t="s">
        <v>551</v>
      </c>
      <c r="P109" s="936" t="s">
        <v>551</v>
      </c>
      <c r="Q109" s="936" t="s">
        <v>551</v>
      </c>
      <c r="S109" s="937"/>
    </row>
    <row r="110" spans="1:19" hidden="1" outlineLevel="1">
      <c r="B110" s="930">
        <v>5</v>
      </c>
      <c r="C110" s="931" t="s">
        <v>1352</v>
      </c>
      <c r="D110" s="931"/>
      <c r="E110" s="931" t="s">
        <v>1353</v>
      </c>
      <c r="F110" s="931" t="s">
        <v>1354</v>
      </c>
      <c r="G110" s="932">
        <v>5155.6819999999998</v>
      </c>
      <c r="H110" s="930" t="s">
        <v>183</v>
      </c>
      <c r="I110" s="933">
        <v>45045.708333333336</v>
      </c>
      <c r="J110" s="934" t="s">
        <v>192</v>
      </c>
      <c r="K110" s="934" t="s">
        <v>192</v>
      </c>
      <c r="L110" s="1540"/>
      <c r="M110" s="1507"/>
      <c r="O110" s="936" t="s">
        <v>551</v>
      </c>
      <c r="P110" s="936" t="s">
        <v>551</v>
      </c>
      <c r="Q110" s="936" t="s">
        <v>551</v>
      </c>
      <c r="S110" s="937"/>
    </row>
    <row r="111" spans="1:19" s="773" customFormat="1" ht="4.95" hidden="1" customHeight="1" outlineLevel="1">
      <c r="A111" s="770"/>
      <c r="B111" s="776"/>
      <c r="C111" s="774"/>
      <c r="D111" s="774"/>
      <c r="E111" s="774"/>
      <c r="F111" s="774"/>
      <c r="G111" s="775"/>
      <c r="H111" s="776"/>
      <c r="I111" s="925"/>
      <c r="J111" s="926"/>
      <c r="K111" s="926"/>
      <c r="L111" s="926"/>
      <c r="M111" s="926"/>
      <c r="N111" s="772"/>
      <c r="O111" s="928"/>
      <c r="P111" s="928"/>
      <c r="Q111" s="928"/>
    </row>
    <row r="112" spans="1:19" hidden="1" outlineLevel="1">
      <c r="A112" s="929" t="s">
        <v>4460</v>
      </c>
      <c r="B112" s="930">
        <v>1</v>
      </c>
      <c r="C112" s="931" t="s">
        <v>1351</v>
      </c>
      <c r="D112" s="946"/>
      <c r="E112" s="931" t="s">
        <v>208</v>
      </c>
      <c r="F112" s="931" t="s">
        <v>328</v>
      </c>
      <c r="G112" s="932">
        <v>7644.7870000000003</v>
      </c>
      <c r="H112" s="930" t="s">
        <v>172</v>
      </c>
      <c r="I112" s="933">
        <v>45049.159722222219</v>
      </c>
      <c r="J112" s="934" t="s">
        <v>192</v>
      </c>
      <c r="K112" s="934" t="s">
        <v>192</v>
      </c>
      <c r="L112" s="1541" t="s">
        <v>4461</v>
      </c>
      <c r="M112" s="1541" t="s">
        <v>4462</v>
      </c>
      <c r="O112" s="936" t="s">
        <v>551</v>
      </c>
      <c r="P112" s="936" t="s">
        <v>551</v>
      </c>
      <c r="Q112" s="936" t="s">
        <v>551</v>
      </c>
      <c r="S112" s="937">
        <v>45051.260416666664</v>
      </c>
    </row>
    <row r="113" spans="1:19" hidden="1" outlineLevel="1">
      <c r="B113" s="930">
        <v>2</v>
      </c>
      <c r="C113" s="931" t="s">
        <v>1356</v>
      </c>
      <c r="D113" s="931"/>
      <c r="E113" s="931" t="s">
        <v>1357</v>
      </c>
      <c r="F113" s="931" t="s">
        <v>4463</v>
      </c>
      <c r="G113" s="932">
        <v>4753.5379999999996</v>
      </c>
      <c r="H113" s="930" t="s">
        <v>183</v>
      </c>
      <c r="I113" s="933">
        <v>45050.833333333336</v>
      </c>
      <c r="J113" s="934" t="s">
        <v>192</v>
      </c>
      <c r="K113" s="934" t="s">
        <v>192</v>
      </c>
      <c r="L113" s="1541"/>
      <c r="M113" s="1541"/>
      <c r="O113" s="936" t="s">
        <v>551</v>
      </c>
      <c r="P113" s="936" t="s">
        <v>551</v>
      </c>
      <c r="Q113" s="936" t="s">
        <v>551</v>
      </c>
    </row>
    <row r="114" spans="1:19" s="773" customFormat="1" ht="4.95" hidden="1" customHeight="1" outlineLevel="1">
      <c r="A114" s="770"/>
      <c r="B114" s="776"/>
      <c r="C114" s="774"/>
      <c r="D114" s="774"/>
      <c r="E114" s="774"/>
      <c r="F114" s="774"/>
      <c r="G114" s="775"/>
      <c r="H114" s="776"/>
      <c r="I114" s="925"/>
      <c r="J114" s="926"/>
      <c r="K114" s="926"/>
      <c r="L114" s="926"/>
      <c r="M114" s="926"/>
      <c r="N114" s="772"/>
      <c r="O114" s="928"/>
      <c r="P114" s="928"/>
      <c r="Q114" s="928"/>
    </row>
    <row r="115" spans="1:19" hidden="1" outlineLevel="1">
      <c r="B115" s="930">
        <v>1</v>
      </c>
      <c r="C115" s="931" t="s">
        <v>1604</v>
      </c>
      <c r="D115" s="946"/>
      <c r="E115" s="931" t="s">
        <v>238</v>
      </c>
      <c r="F115" s="931" t="s">
        <v>239</v>
      </c>
      <c r="G115" s="932">
        <v>7611.1509999999998</v>
      </c>
      <c r="H115" s="930" t="s">
        <v>172</v>
      </c>
      <c r="I115" s="933">
        <v>45053.034722222219</v>
      </c>
      <c r="J115" s="934" t="s">
        <v>192</v>
      </c>
      <c r="K115" s="934" t="s">
        <v>192</v>
      </c>
      <c r="L115" s="1538" t="s">
        <v>4464</v>
      </c>
      <c r="M115" s="1506" t="s">
        <v>4465</v>
      </c>
      <c r="O115" s="936" t="s">
        <v>551</v>
      </c>
      <c r="P115" s="936" t="s">
        <v>551</v>
      </c>
      <c r="Q115" s="936" t="s">
        <v>551</v>
      </c>
      <c r="S115" s="937">
        <v>45053.541666666664</v>
      </c>
    </row>
    <row r="116" spans="1:19" ht="13.95" hidden="1" customHeight="1" outlineLevel="1">
      <c r="B116" s="930">
        <v>2</v>
      </c>
      <c r="C116" s="931" t="s">
        <v>1587</v>
      </c>
      <c r="D116" s="931"/>
      <c r="E116" s="931" t="s">
        <v>453</v>
      </c>
      <c r="F116" s="931" t="s">
        <v>454</v>
      </c>
      <c r="G116" s="932">
        <v>7704.8909999999996</v>
      </c>
      <c r="H116" s="930" t="s">
        <v>181</v>
      </c>
      <c r="I116" s="933">
        <v>45053.666666666664</v>
      </c>
      <c r="J116" s="934" t="s">
        <v>192</v>
      </c>
      <c r="K116" s="934" t="s">
        <v>192</v>
      </c>
      <c r="L116" s="1540"/>
      <c r="M116" s="1507"/>
      <c r="O116" s="936" t="s">
        <v>551</v>
      </c>
      <c r="P116" s="936" t="s">
        <v>551</v>
      </c>
      <c r="Q116" s="936" t="s">
        <v>551</v>
      </c>
    </row>
    <row r="117" spans="1:19" s="773" customFormat="1" ht="4.95" hidden="1" customHeight="1" outlineLevel="1">
      <c r="A117" s="770"/>
      <c r="B117" s="776"/>
      <c r="C117" s="774"/>
      <c r="D117" s="774"/>
      <c r="E117" s="774"/>
      <c r="F117" s="774"/>
      <c r="G117" s="775"/>
      <c r="H117" s="776"/>
      <c r="I117" s="925"/>
      <c r="J117" s="926"/>
      <c r="K117" s="926"/>
      <c r="L117" s="926"/>
      <c r="M117" s="926"/>
      <c r="N117" s="772"/>
      <c r="O117" s="928"/>
      <c r="P117" s="928"/>
      <c r="Q117" s="928"/>
    </row>
    <row r="118" spans="1:19" hidden="1" outlineLevel="1">
      <c r="B118" s="930">
        <v>1</v>
      </c>
      <c r="C118" s="931" t="s">
        <v>1363</v>
      </c>
      <c r="D118" s="931"/>
      <c r="E118" s="931" t="s">
        <v>1364</v>
      </c>
      <c r="F118" s="931" t="s">
        <v>1365</v>
      </c>
      <c r="G118" s="932">
        <v>5301.192</v>
      </c>
      <c r="H118" s="930" t="s">
        <v>183</v>
      </c>
      <c r="I118" s="933">
        <v>45053.875</v>
      </c>
      <c r="J118" s="934" t="s">
        <v>192</v>
      </c>
      <c r="K118" s="934" t="s">
        <v>192</v>
      </c>
      <c r="L118" s="1506" t="s">
        <v>4466</v>
      </c>
      <c r="M118" s="1506" t="s">
        <v>4467</v>
      </c>
      <c r="O118" s="936" t="s">
        <v>551</v>
      </c>
      <c r="P118" s="936" t="s">
        <v>551</v>
      </c>
      <c r="Q118" s="936" t="s">
        <v>551</v>
      </c>
      <c r="S118" s="937">
        <v>45051.708333333336</v>
      </c>
    </row>
    <row r="119" spans="1:19" hidden="1" outlineLevel="1">
      <c r="B119" s="930">
        <v>2</v>
      </c>
      <c r="C119" s="931" t="s">
        <v>1596</v>
      </c>
      <c r="D119" s="946"/>
      <c r="E119" s="931" t="s">
        <v>70</v>
      </c>
      <c r="F119" s="931" t="s">
        <v>255</v>
      </c>
      <c r="G119" s="932">
        <v>7500</v>
      </c>
      <c r="H119" s="930" t="s">
        <v>76</v>
      </c>
      <c r="I119" s="933">
        <v>45056.09375</v>
      </c>
      <c r="J119" s="934" t="s">
        <v>192</v>
      </c>
      <c r="K119" s="934" t="s">
        <v>192</v>
      </c>
      <c r="L119" s="1509"/>
      <c r="M119" s="1509"/>
      <c r="O119" s="936" t="s">
        <v>551</v>
      </c>
      <c r="P119" s="936" t="s">
        <v>551</v>
      </c>
      <c r="Q119" s="936" t="s">
        <v>551</v>
      </c>
    </row>
    <row r="120" spans="1:19" hidden="1" outlineLevel="1">
      <c r="B120" s="930">
        <v>3</v>
      </c>
      <c r="C120" s="931" t="s">
        <v>1619</v>
      </c>
      <c r="D120" s="931"/>
      <c r="E120" s="931" t="s">
        <v>1620</v>
      </c>
      <c r="F120" s="931" t="s">
        <v>1621</v>
      </c>
      <c r="G120" s="932">
        <v>5052.0280000000002</v>
      </c>
      <c r="H120" s="930" t="s">
        <v>183</v>
      </c>
      <c r="I120" s="933">
        <v>45056.270833333336</v>
      </c>
      <c r="J120" s="934" t="s">
        <v>192</v>
      </c>
      <c r="K120" s="934" t="s">
        <v>192</v>
      </c>
      <c r="L120" s="1509"/>
      <c r="M120" s="1509"/>
      <c r="O120" s="936" t="s">
        <v>551</v>
      </c>
      <c r="P120" s="936" t="s">
        <v>551</v>
      </c>
      <c r="Q120" s="936" t="s">
        <v>551</v>
      </c>
    </row>
    <row r="121" spans="1:19" hidden="1" outlineLevel="1">
      <c r="B121" s="930">
        <v>4</v>
      </c>
      <c r="C121" s="931" t="s">
        <v>1597</v>
      </c>
      <c r="D121" s="946"/>
      <c r="E121" s="931" t="s">
        <v>205</v>
      </c>
      <c r="F121" s="931" t="s">
        <v>206</v>
      </c>
      <c r="G121" s="932">
        <v>7500</v>
      </c>
      <c r="H121" s="930" t="s">
        <v>76</v>
      </c>
      <c r="I121" s="933">
        <v>45057.291666666664</v>
      </c>
      <c r="J121" s="934" t="s">
        <v>192</v>
      </c>
      <c r="K121" s="934" t="s">
        <v>192</v>
      </c>
      <c r="L121" s="1507"/>
      <c r="M121" s="1507"/>
      <c r="O121" s="936" t="s">
        <v>551</v>
      </c>
      <c r="P121" s="936" t="s">
        <v>551</v>
      </c>
      <c r="Q121" s="936" t="s">
        <v>551</v>
      </c>
    </row>
    <row r="122" spans="1:19" s="773" customFormat="1" ht="4.95" hidden="1" customHeight="1" outlineLevel="1">
      <c r="A122" s="770"/>
      <c r="B122" s="776"/>
      <c r="C122" s="774"/>
      <c r="D122" s="774"/>
      <c r="E122" s="774"/>
      <c r="F122" s="774"/>
      <c r="G122" s="775"/>
      <c r="H122" s="776"/>
      <c r="I122" s="925"/>
      <c r="J122" s="926"/>
      <c r="K122" s="926"/>
      <c r="L122" s="926"/>
      <c r="M122" s="926"/>
      <c r="N122" s="772"/>
      <c r="O122" s="928"/>
      <c r="P122" s="928"/>
      <c r="Q122" s="928"/>
    </row>
    <row r="123" spans="1:19" hidden="1" outlineLevel="1">
      <c r="B123" s="930">
        <v>1</v>
      </c>
      <c r="C123" s="931" t="s">
        <v>1442</v>
      </c>
      <c r="D123" s="946"/>
      <c r="E123" s="931" t="s">
        <v>686</v>
      </c>
      <c r="F123" s="931" t="s">
        <v>1186</v>
      </c>
      <c r="G123" s="932">
        <v>7500</v>
      </c>
      <c r="H123" s="930" t="s">
        <v>78</v>
      </c>
      <c r="I123" s="933">
        <v>45059.020833333336</v>
      </c>
      <c r="J123" s="934" t="s">
        <v>192</v>
      </c>
      <c r="K123" s="934" t="s">
        <v>192</v>
      </c>
      <c r="L123" s="1506" t="s">
        <v>4468</v>
      </c>
      <c r="M123" s="1506" t="s">
        <v>4469</v>
      </c>
      <c r="O123" s="936" t="s">
        <v>551</v>
      </c>
      <c r="P123" s="936" t="s">
        <v>551</v>
      </c>
      <c r="Q123" s="936" t="s">
        <v>551</v>
      </c>
      <c r="S123" s="937">
        <v>45061.208333333336</v>
      </c>
    </row>
    <row r="124" spans="1:19" hidden="1" outlineLevel="1">
      <c r="B124" s="930">
        <v>2</v>
      </c>
      <c r="C124" s="931" t="s">
        <v>1556</v>
      </c>
      <c r="D124" s="946"/>
      <c r="E124" s="931" t="s">
        <v>383</v>
      </c>
      <c r="F124" s="931" t="s">
        <v>384</v>
      </c>
      <c r="G124" s="932">
        <v>5111</v>
      </c>
      <c r="H124" s="930" t="s">
        <v>81</v>
      </c>
      <c r="I124" s="933">
        <v>45060.576388888891</v>
      </c>
      <c r="J124" s="934" t="s">
        <v>192</v>
      </c>
      <c r="K124" s="934" t="s">
        <v>192</v>
      </c>
      <c r="L124" s="1509"/>
      <c r="M124" s="1509"/>
      <c r="O124" s="936" t="s">
        <v>551</v>
      </c>
      <c r="P124" s="936" t="s">
        <v>551</v>
      </c>
      <c r="Q124" s="936" t="s">
        <v>551</v>
      </c>
    </row>
    <row r="125" spans="1:19" hidden="1" outlineLevel="1">
      <c r="B125" s="930">
        <v>3</v>
      </c>
      <c r="C125" s="931" t="s">
        <v>1607</v>
      </c>
      <c r="D125" s="946"/>
      <c r="E125" s="931" t="s">
        <v>1313</v>
      </c>
      <c r="F125" s="931" t="s">
        <v>438</v>
      </c>
      <c r="G125" s="932">
        <v>7594.6509999999998</v>
      </c>
      <c r="H125" s="930" t="s">
        <v>172</v>
      </c>
      <c r="I125" s="933">
        <v>45064.104166666664</v>
      </c>
      <c r="J125" s="934" t="s">
        <v>192</v>
      </c>
      <c r="K125" s="934" t="s">
        <v>192</v>
      </c>
      <c r="L125" s="1507"/>
      <c r="M125" s="1507"/>
      <c r="O125" s="936" t="s">
        <v>551</v>
      </c>
      <c r="P125" s="936" t="s">
        <v>551</v>
      </c>
      <c r="Q125" s="936" t="s">
        <v>551</v>
      </c>
    </row>
    <row r="126" spans="1:19" s="773" customFormat="1" ht="4.95" hidden="1" customHeight="1" outlineLevel="1">
      <c r="A126" s="770"/>
      <c r="B126" s="776"/>
      <c r="C126" s="774"/>
      <c r="D126" s="774"/>
      <c r="E126" s="774"/>
      <c r="F126" s="774"/>
      <c r="G126" s="775"/>
      <c r="H126" s="776"/>
      <c r="I126" s="925"/>
      <c r="J126" s="926"/>
      <c r="K126" s="926"/>
      <c r="L126" s="926"/>
      <c r="M126" s="926"/>
      <c r="N126" s="772"/>
      <c r="O126" s="928"/>
      <c r="P126" s="928"/>
      <c r="Q126" s="928"/>
    </row>
    <row r="127" spans="1:19" hidden="1" outlineLevel="1">
      <c r="B127" s="930">
        <v>1</v>
      </c>
      <c r="C127" s="931" t="s">
        <v>1616</v>
      </c>
      <c r="D127" s="931"/>
      <c r="E127" s="931" t="s">
        <v>1617</v>
      </c>
      <c r="F127" s="931" t="s">
        <v>1618</v>
      </c>
      <c r="G127" s="932">
        <v>5302.6869999999999</v>
      </c>
      <c r="H127" s="930" t="s">
        <v>183</v>
      </c>
      <c r="I127" s="933">
        <v>45056.736111111109</v>
      </c>
      <c r="J127" s="934" t="s">
        <v>192</v>
      </c>
      <c r="K127" s="934" t="s">
        <v>192</v>
      </c>
      <c r="L127" s="1538" t="s">
        <v>4470</v>
      </c>
      <c r="M127" s="1506" t="s">
        <v>4471</v>
      </c>
      <c r="O127" s="936" t="s">
        <v>551</v>
      </c>
      <c r="P127" s="936" t="s">
        <v>551</v>
      </c>
      <c r="Q127" s="936" t="s">
        <v>551</v>
      </c>
      <c r="S127" s="937">
        <v>45067.17083333333</v>
      </c>
    </row>
    <row r="128" spans="1:19" hidden="1" outlineLevel="1">
      <c r="B128" s="930">
        <v>2</v>
      </c>
      <c r="C128" s="931" t="s">
        <v>1625</v>
      </c>
      <c r="D128" s="931"/>
      <c r="E128" s="931" t="s">
        <v>1626</v>
      </c>
      <c r="F128" s="931" t="s">
        <v>1627</v>
      </c>
      <c r="G128" s="932">
        <v>5303.835</v>
      </c>
      <c r="H128" s="930" t="s">
        <v>183</v>
      </c>
      <c r="I128" s="933">
        <v>45060.833333333336</v>
      </c>
      <c r="J128" s="934" t="s">
        <v>192</v>
      </c>
      <c r="K128" s="934" t="s">
        <v>192</v>
      </c>
      <c r="L128" s="1539"/>
      <c r="M128" s="1509"/>
      <c r="O128" s="936" t="s">
        <v>551</v>
      </c>
      <c r="P128" s="936" t="s">
        <v>551</v>
      </c>
      <c r="Q128" s="936" t="s">
        <v>551</v>
      </c>
    </row>
    <row r="129" spans="1:19" hidden="1" outlineLevel="1">
      <c r="B129" s="930">
        <v>3</v>
      </c>
      <c r="C129" s="931" t="s">
        <v>1558</v>
      </c>
      <c r="D129" s="946"/>
      <c r="E129" s="931" t="s">
        <v>1303</v>
      </c>
      <c r="F129" s="931" t="s">
        <v>1304</v>
      </c>
      <c r="G129" s="932">
        <v>5137</v>
      </c>
      <c r="H129" s="930" t="s">
        <v>81</v>
      </c>
      <c r="I129" s="933">
        <v>45063.444444444445</v>
      </c>
      <c r="J129" s="934" t="s">
        <v>192</v>
      </c>
      <c r="K129" s="934" t="s">
        <v>192</v>
      </c>
      <c r="L129" s="1539"/>
      <c r="M129" s="1509"/>
      <c r="O129" s="936" t="s">
        <v>551</v>
      </c>
      <c r="P129" s="936" t="s">
        <v>551</v>
      </c>
      <c r="Q129" s="936" t="s">
        <v>551</v>
      </c>
    </row>
    <row r="130" spans="1:19" hidden="1" outlineLevel="1">
      <c r="B130" s="930">
        <v>4</v>
      </c>
      <c r="C130" s="931" t="s">
        <v>1641</v>
      </c>
      <c r="D130" s="931"/>
      <c r="E130" s="931" t="s">
        <v>823</v>
      </c>
      <c r="F130" s="931" t="s">
        <v>824</v>
      </c>
      <c r="G130" s="932">
        <v>7503.21</v>
      </c>
      <c r="H130" s="930" t="s">
        <v>184</v>
      </c>
      <c r="I130" s="933">
        <v>45066.9375</v>
      </c>
      <c r="J130" s="934" t="s">
        <v>192</v>
      </c>
      <c r="K130" s="934" t="s">
        <v>192</v>
      </c>
      <c r="L130" s="1539"/>
      <c r="M130" s="1509"/>
      <c r="O130" s="936" t="s">
        <v>551</v>
      </c>
      <c r="P130" s="936" t="s">
        <v>551</v>
      </c>
      <c r="Q130" s="936" t="s">
        <v>551</v>
      </c>
    </row>
    <row r="131" spans="1:19" hidden="1" outlineLevel="1">
      <c r="B131" s="930">
        <v>5</v>
      </c>
      <c r="C131" s="931" t="s">
        <v>1594</v>
      </c>
      <c r="D131" s="946"/>
      <c r="E131" s="931" t="s">
        <v>1230</v>
      </c>
      <c r="F131" s="931" t="s">
        <v>1231</v>
      </c>
      <c r="G131" s="932">
        <v>7506</v>
      </c>
      <c r="H131" s="930" t="s">
        <v>84</v>
      </c>
      <c r="I131" s="933">
        <v>45068.666666666664</v>
      </c>
      <c r="J131" s="934" t="s">
        <v>192</v>
      </c>
      <c r="K131" s="934" t="s">
        <v>192</v>
      </c>
      <c r="L131" s="1540"/>
      <c r="M131" s="1507"/>
      <c r="O131" s="936" t="s">
        <v>551</v>
      </c>
      <c r="P131" s="936" t="s">
        <v>551</v>
      </c>
      <c r="Q131" s="936" t="s">
        <v>551</v>
      </c>
    </row>
    <row r="132" spans="1:19" s="773" customFormat="1" ht="4.95" hidden="1" customHeight="1" outlineLevel="1">
      <c r="A132" s="770"/>
      <c r="B132" s="776"/>
      <c r="C132" s="774"/>
      <c r="D132" s="774"/>
      <c r="E132" s="774"/>
      <c r="F132" s="774"/>
      <c r="G132" s="775"/>
      <c r="H132" s="776"/>
      <c r="I132" s="925"/>
      <c r="J132" s="926"/>
      <c r="K132" s="926"/>
      <c r="L132" s="926"/>
      <c r="M132" s="926"/>
      <c r="N132" s="772"/>
      <c r="O132" s="928"/>
      <c r="P132" s="928"/>
      <c r="Q132" s="928"/>
    </row>
    <row r="133" spans="1:19" hidden="1" outlineLevel="1">
      <c r="B133" s="930">
        <v>1</v>
      </c>
      <c r="C133" s="931" t="s">
        <v>1599</v>
      </c>
      <c r="D133" s="946"/>
      <c r="E133" s="931" t="s">
        <v>304</v>
      </c>
      <c r="F133" s="931" t="s">
        <v>305</v>
      </c>
      <c r="G133" s="932">
        <v>7500</v>
      </c>
      <c r="H133" s="930" t="s">
        <v>76</v>
      </c>
      <c r="I133" s="933">
        <v>45060.895833333336</v>
      </c>
      <c r="J133" s="934" t="s">
        <v>192</v>
      </c>
      <c r="K133" s="934" t="s">
        <v>192</v>
      </c>
      <c r="L133" s="1506" t="s">
        <v>1207</v>
      </c>
      <c r="M133" s="1506" t="s">
        <v>4472</v>
      </c>
      <c r="O133" s="936" t="s">
        <v>551</v>
      </c>
      <c r="P133" s="936" t="s">
        <v>551</v>
      </c>
      <c r="Q133" s="936" t="s">
        <v>551</v>
      </c>
      <c r="S133" s="937">
        <v>45067.741666666669</v>
      </c>
    </row>
    <row r="134" spans="1:19" hidden="1" outlineLevel="1">
      <c r="B134" s="930">
        <v>2</v>
      </c>
      <c r="C134" s="931" t="s">
        <v>1629</v>
      </c>
      <c r="D134" s="931"/>
      <c r="E134" s="931" t="s">
        <v>805</v>
      </c>
      <c r="F134" s="931" t="s">
        <v>1071</v>
      </c>
      <c r="G134" s="932">
        <v>5304.0969999999998</v>
      </c>
      <c r="H134" s="930" t="s">
        <v>183</v>
      </c>
      <c r="I134" s="933">
        <v>45067.881944444445</v>
      </c>
      <c r="J134" s="934" t="s">
        <v>192</v>
      </c>
      <c r="K134" s="934" t="s">
        <v>192</v>
      </c>
      <c r="L134" s="1509"/>
      <c r="M134" s="1509"/>
      <c r="O134" s="936" t="s">
        <v>551</v>
      </c>
      <c r="P134" s="936" t="s">
        <v>551</v>
      </c>
      <c r="Q134" s="936" t="s">
        <v>551</v>
      </c>
    </row>
    <row r="135" spans="1:19" hidden="1" outlineLevel="1">
      <c r="B135" s="930">
        <v>3</v>
      </c>
      <c r="C135" s="931" t="s">
        <v>1509</v>
      </c>
      <c r="D135" s="946"/>
      <c r="E135" s="931" t="s">
        <v>257</v>
      </c>
      <c r="F135" s="931" t="s">
        <v>258</v>
      </c>
      <c r="G135" s="932">
        <v>7402.1139999999996</v>
      </c>
      <c r="H135" s="930" t="s">
        <v>235</v>
      </c>
      <c r="I135" s="933">
        <v>45068.583333333336</v>
      </c>
      <c r="J135" s="934" t="s">
        <v>192</v>
      </c>
      <c r="K135" s="934" t="s">
        <v>192</v>
      </c>
      <c r="L135" s="1509"/>
      <c r="M135" s="1509"/>
      <c r="O135" s="936" t="s">
        <v>551</v>
      </c>
      <c r="P135" s="936" t="s">
        <v>551</v>
      </c>
      <c r="Q135" s="936" t="s">
        <v>551</v>
      </c>
    </row>
    <row r="136" spans="1:19" hidden="1" outlineLevel="1">
      <c r="B136" s="930">
        <v>4</v>
      </c>
      <c r="C136" s="931" t="s">
        <v>1551</v>
      </c>
      <c r="D136" s="946"/>
      <c r="E136" s="931" t="s">
        <v>260</v>
      </c>
      <c r="F136" s="931" t="s">
        <v>261</v>
      </c>
      <c r="G136" s="932">
        <v>7638.6120000000001</v>
      </c>
      <c r="H136" s="930" t="s">
        <v>173</v>
      </c>
      <c r="I136" s="933">
        <v>45068.822916666664</v>
      </c>
      <c r="J136" s="934" t="s">
        <v>192</v>
      </c>
      <c r="K136" s="934" t="s">
        <v>192</v>
      </c>
      <c r="L136" s="1507"/>
      <c r="M136" s="1507"/>
      <c r="O136" s="936" t="s">
        <v>551</v>
      </c>
      <c r="P136" s="936" t="s">
        <v>551</v>
      </c>
      <c r="Q136" s="936" t="s">
        <v>551</v>
      </c>
    </row>
    <row r="137" spans="1:19" s="773" customFormat="1" ht="4.95" hidden="1" customHeight="1" outlineLevel="1">
      <c r="A137" s="770"/>
      <c r="B137" s="776"/>
      <c r="C137" s="774"/>
      <c r="D137" s="774"/>
      <c r="E137" s="774"/>
      <c r="F137" s="774"/>
      <c r="G137" s="775"/>
      <c r="H137" s="776"/>
      <c r="I137" s="925"/>
      <c r="J137" s="926"/>
      <c r="K137" s="926"/>
      <c r="L137" s="926"/>
      <c r="M137" s="926"/>
      <c r="N137" s="772"/>
      <c r="O137" s="928"/>
      <c r="P137" s="928"/>
      <c r="Q137" s="928"/>
    </row>
    <row r="138" spans="1:19" hidden="1" outlineLevel="1">
      <c r="B138" s="930">
        <v>1</v>
      </c>
      <c r="C138" s="931" t="s">
        <v>1633</v>
      </c>
      <c r="D138" s="931"/>
      <c r="E138" s="931" t="s">
        <v>1360</v>
      </c>
      <c r="F138" s="931" t="s">
        <v>1361</v>
      </c>
      <c r="G138" s="932">
        <v>5302.1610000000001</v>
      </c>
      <c r="H138" s="930" t="s">
        <v>183</v>
      </c>
      <c r="I138" s="933">
        <v>45070.291666666664</v>
      </c>
      <c r="J138" s="934" t="s">
        <v>192</v>
      </c>
      <c r="K138" s="934" t="s">
        <v>192</v>
      </c>
      <c r="L138" s="947" t="s">
        <v>4473</v>
      </c>
      <c r="M138" s="947" t="s">
        <v>4474</v>
      </c>
      <c r="O138" s="936" t="s">
        <v>551</v>
      </c>
      <c r="P138" s="936" t="s">
        <v>551</v>
      </c>
      <c r="Q138" s="936" t="s">
        <v>551</v>
      </c>
      <c r="S138" s="937">
        <v>45069.033333333333</v>
      </c>
    </row>
    <row r="139" spans="1:19" s="773" customFormat="1" ht="4.95" hidden="1" customHeight="1" outlineLevel="1">
      <c r="A139" s="770"/>
      <c r="B139" s="776"/>
      <c r="C139" s="774"/>
      <c r="D139" s="774"/>
      <c r="E139" s="774"/>
      <c r="F139" s="774"/>
      <c r="G139" s="775"/>
      <c r="H139" s="776"/>
      <c r="I139" s="925"/>
      <c r="J139" s="926"/>
      <c r="K139" s="926"/>
      <c r="L139" s="926"/>
      <c r="M139" s="926"/>
      <c r="N139" s="772"/>
      <c r="O139" s="928"/>
      <c r="P139" s="928"/>
      <c r="Q139" s="928"/>
    </row>
    <row r="140" spans="1:19" hidden="1" outlineLevel="1">
      <c r="B140" s="930">
        <v>1</v>
      </c>
      <c r="C140" s="931" t="s">
        <v>1560</v>
      </c>
      <c r="D140" s="946"/>
      <c r="E140" s="931" t="s">
        <v>383</v>
      </c>
      <c r="F140" s="931" t="s">
        <v>384</v>
      </c>
      <c r="G140" s="932">
        <v>5107</v>
      </c>
      <c r="H140" s="930" t="s">
        <v>81</v>
      </c>
      <c r="I140" s="933">
        <v>45070.451388888891</v>
      </c>
      <c r="J140" s="934" t="s">
        <v>192</v>
      </c>
      <c r="K140" s="934" t="s">
        <v>192</v>
      </c>
      <c r="L140" s="1506" t="s">
        <v>4475</v>
      </c>
      <c r="M140" s="1506" t="s">
        <v>4476</v>
      </c>
      <c r="O140" s="936" t="s">
        <v>551</v>
      </c>
      <c r="P140" s="936" t="s">
        <v>551</v>
      </c>
      <c r="Q140" s="936" t="s">
        <v>551</v>
      </c>
      <c r="S140" s="937">
        <v>45067.35833333333</v>
      </c>
    </row>
    <row r="141" spans="1:19" hidden="1" outlineLevel="1">
      <c r="B141" s="930">
        <v>2</v>
      </c>
      <c r="C141" s="931" t="s">
        <v>1603</v>
      </c>
      <c r="D141" s="946"/>
      <c r="E141" s="931" t="s">
        <v>222</v>
      </c>
      <c r="F141" s="931" t="s">
        <v>223</v>
      </c>
      <c r="G141" s="932">
        <v>7500</v>
      </c>
      <c r="H141" s="930" t="s">
        <v>76</v>
      </c>
      <c r="I141" s="933">
        <v>45067.854166666664</v>
      </c>
      <c r="J141" s="934" t="s">
        <v>192</v>
      </c>
      <c r="K141" s="934" t="s">
        <v>192</v>
      </c>
      <c r="L141" s="1509"/>
      <c r="M141" s="1509"/>
      <c r="O141" s="936" t="s">
        <v>551</v>
      </c>
      <c r="P141" s="936" t="s">
        <v>551</v>
      </c>
      <c r="Q141" s="936" t="s">
        <v>551</v>
      </c>
    </row>
    <row r="142" spans="1:19" hidden="1" outlineLevel="1">
      <c r="B142" s="930">
        <v>3</v>
      </c>
      <c r="C142" s="931" t="s">
        <v>1553</v>
      </c>
      <c r="D142" s="946"/>
      <c r="E142" s="931" t="s">
        <v>399</v>
      </c>
      <c r="F142" s="931" t="s">
        <v>1093</v>
      </c>
      <c r="G142" s="932">
        <v>7578.6130000000003</v>
      </c>
      <c r="H142" s="930" t="s">
        <v>173</v>
      </c>
      <c r="I142" s="933">
        <v>45069.979166666664</v>
      </c>
      <c r="J142" s="934" t="s">
        <v>192</v>
      </c>
      <c r="K142" s="934" t="s">
        <v>192</v>
      </c>
      <c r="L142" s="1509"/>
      <c r="M142" s="1509"/>
      <c r="O142" s="936" t="s">
        <v>551</v>
      </c>
      <c r="P142" s="936" t="s">
        <v>551</v>
      </c>
      <c r="Q142" s="936" t="s">
        <v>551</v>
      </c>
      <c r="S142" s="937"/>
    </row>
    <row r="143" spans="1:19" hidden="1" outlineLevel="1">
      <c r="B143" s="930">
        <v>4</v>
      </c>
      <c r="C143" s="931" t="s">
        <v>1602</v>
      </c>
      <c r="D143" s="946"/>
      <c r="E143" s="931" t="s">
        <v>1255</v>
      </c>
      <c r="F143" s="931" t="s">
        <v>268</v>
      </c>
      <c r="G143" s="932">
        <v>7500</v>
      </c>
      <c r="H143" s="930" t="s">
        <v>76</v>
      </c>
      <c r="I143" s="933">
        <v>45070.395833333336</v>
      </c>
      <c r="J143" s="934" t="s">
        <v>192</v>
      </c>
      <c r="K143" s="934" t="s">
        <v>192</v>
      </c>
      <c r="L143" s="1509"/>
      <c r="M143" s="1509"/>
      <c r="O143" s="936" t="s">
        <v>551</v>
      </c>
      <c r="P143" s="936" t="s">
        <v>551</v>
      </c>
      <c r="Q143" s="936" t="s">
        <v>551</v>
      </c>
    </row>
    <row r="144" spans="1:19" hidden="1" outlineLevel="1">
      <c r="B144" s="930">
        <v>5</v>
      </c>
      <c r="C144" s="931" t="s">
        <v>1589</v>
      </c>
      <c r="D144" s="931"/>
      <c r="E144" s="931" t="s">
        <v>453</v>
      </c>
      <c r="F144" s="931" t="s">
        <v>454</v>
      </c>
      <c r="G144" s="932">
        <v>7723.7430000000004</v>
      </c>
      <c r="H144" s="930" t="s">
        <v>181</v>
      </c>
      <c r="I144" s="933">
        <v>45074.166666666664</v>
      </c>
      <c r="J144" s="934" t="s">
        <v>192</v>
      </c>
      <c r="K144" s="934" t="s">
        <v>192</v>
      </c>
      <c r="L144" s="1507"/>
      <c r="M144" s="1507"/>
      <c r="O144" s="936" t="s">
        <v>551</v>
      </c>
      <c r="P144" s="936" t="s">
        <v>551</v>
      </c>
      <c r="Q144" s="936" t="s">
        <v>551</v>
      </c>
    </row>
    <row r="145" spans="1:19" hidden="1" outlineLevel="1">
      <c r="B145" s="930">
        <v>2</v>
      </c>
      <c r="C145" s="931" t="s">
        <v>1909</v>
      </c>
      <c r="D145" s="946"/>
      <c r="E145" s="931" t="s">
        <v>218</v>
      </c>
      <c r="F145" s="931" t="s">
        <v>219</v>
      </c>
      <c r="G145" s="932">
        <v>7500</v>
      </c>
      <c r="H145" s="930" t="s">
        <v>76</v>
      </c>
      <c r="I145" s="933">
        <v>45089.9375</v>
      </c>
      <c r="J145" s="934" t="s">
        <v>192</v>
      </c>
      <c r="K145" s="934" t="s">
        <v>192</v>
      </c>
      <c r="L145" s="941"/>
      <c r="M145" s="944"/>
      <c r="O145" s="936" t="s">
        <v>551</v>
      </c>
      <c r="P145" s="936" t="s">
        <v>551</v>
      </c>
      <c r="Q145" s="936" t="s">
        <v>551</v>
      </c>
    </row>
    <row r="146" spans="1:19" s="773" customFormat="1" ht="4.95" hidden="1" customHeight="1" outlineLevel="1">
      <c r="A146" s="770"/>
      <c r="B146" s="776"/>
      <c r="C146" s="774"/>
      <c r="D146" s="774"/>
      <c r="E146" s="774"/>
      <c r="F146" s="774"/>
      <c r="G146" s="775"/>
      <c r="H146" s="776"/>
      <c r="I146" s="925"/>
      <c r="J146" s="926"/>
      <c r="K146" s="926"/>
      <c r="L146" s="926"/>
      <c r="M146" s="926"/>
      <c r="N146" s="772"/>
      <c r="O146" s="928"/>
      <c r="P146" s="928"/>
      <c r="Q146" s="928"/>
    </row>
    <row r="147" spans="1:19" s="949" customFormat="1" hidden="1" outlineLevel="1">
      <c r="A147" s="929" t="s">
        <v>4477</v>
      </c>
      <c r="B147" s="930">
        <v>1</v>
      </c>
      <c r="C147" s="931" t="s">
        <v>1612</v>
      </c>
      <c r="D147" s="946"/>
      <c r="E147" s="931" t="s">
        <v>304</v>
      </c>
      <c r="F147" s="931" t="s">
        <v>305</v>
      </c>
      <c r="G147" s="932">
        <v>7510.143</v>
      </c>
      <c r="H147" s="930" t="s">
        <v>172</v>
      </c>
      <c r="I147" s="933">
        <v>45074.055555555555</v>
      </c>
      <c r="J147" s="934" t="s">
        <v>192</v>
      </c>
      <c r="K147" s="934" t="s">
        <v>192</v>
      </c>
      <c r="L147" s="1501" t="s">
        <v>4478</v>
      </c>
      <c r="M147" s="1501" t="s">
        <v>4479</v>
      </c>
      <c r="N147" s="948"/>
      <c r="O147" s="936" t="s">
        <v>551</v>
      </c>
      <c r="P147" s="936" t="s">
        <v>551</v>
      </c>
      <c r="Q147" s="936" t="s">
        <v>551</v>
      </c>
      <c r="S147" s="937">
        <v>45085.784722222219</v>
      </c>
    </row>
    <row r="148" spans="1:19" hidden="1" outlineLevel="1">
      <c r="B148" s="930">
        <v>2</v>
      </c>
      <c r="C148" s="931" t="s">
        <v>1613</v>
      </c>
      <c r="D148" s="946"/>
      <c r="E148" s="931" t="s">
        <v>218</v>
      </c>
      <c r="F148" s="931" t="s">
        <v>219</v>
      </c>
      <c r="G148" s="932">
        <v>7559.8459999999995</v>
      </c>
      <c r="H148" s="930" t="s">
        <v>172</v>
      </c>
      <c r="I148" s="933">
        <v>45076.84375</v>
      </c>
      <c r="J148" s="934" t="s">
        <v>192</v>
      </c>
      <c r="K148" s="934" t="s">
        <v>192</v>
      </c>
      <c r="L148" s="1502"/>
      <c r="M148" s="1502"/>
      <c r="O148" s="936" t="s">
        <v>551</v>
      </c>
      <c r="P148" s="936" t="s">
        <v>551</v>
      </c>
      <c r="Q148" s="936" t="s">
        <v>551</v>
      </c>
    </row>
    <row r="149" spans="1:19" hidden="1" outlineLevel="1">
      <c r="B149" s="930">
        <v>3</v>
      </c>
      <c r="C149" s="931" t="s">
        <v>1592</v>
      </c>
      <c r="D149" s="946"/>
      <c r="E149" s="931" t="s">
        <v>1303</v>
      </c>
      <c r="F149" s="931" t="s">
        <v>1304</v>
      </c>
      <c r="G149" s="932">
        <v>5313</v>
      </c>
      <c r="H149" s="930" t="s">
        <v>82</v>
      </c>
      <c r="I149" s="933">
        <v>45080.486111111109</v>
      </c>
      <c r="J149" s="934" t="s">
        <v>192</v>
      </c>
      <c r="K149" s="934" t="s">
        <v>192</v>
      </c>
      <c r="L149" s="1502"/>
      <c r="M149" s="1502"/>
      <c r="O149" s="936" t="s">
        <v>551</v>
      </c>
      <c r="P149" s="936" t="s">
        <v>551</v>
      </c>
      <c r="Q149" s="936" t="s">
        <v>551</v>
      </c>
    </row>
    <row r="150" spans="1:19" hidden="1" outlineLevel="1">
      <c r="B150" s="930">
        <v>4</v>
      </c>
      <c r="C150" s="931" t="s">
        <v>1755</v>
      </c>
      <c r="D150" s="946"/>
      <c r="E150" s="931" t="s">
        <v>213</v>
      </c>
      <c r="F150" s="931" t="s">
        <v>214</v>
      </c>
      <c r="G150" s="932">
        <v>7500</v>
      </c>
      <c r="H150" s="930" t="s">
        <v>78</v>
      </c>
      <c r="I150" s="933">
        <v>45084.895833333336</v>
      </c>
      <c r="J150" s="934" t="s">
        <v>192</v>
      </c>
      <c r="K150" s="934" t="s">
        <v>192</v>
      </c>
      <c r="L150" s="1511"/>
      <c r="M150" s="1511"/>
      <c r="O150" s="936" t="s">
        <v>551</v>
      </c>
      <c r="P150" s="936" t="s">
        <v>551</v>
      </c>
      <c r="Q150" s="936" t="s">
        <v>551</v>
      </c>
    </row>
    <row r="151" spans="1:19" s="773" customFormat="1" ht="4.95" hidden="1" customHeight="1" outlineLevel="1">
      <c r="A151" s="770"/>
      <c r="B151" s="776"/>
      <c r="C151" s="774"/>
      <c r="D151" s="774"/>
      <c r="E151" s="774"/>
      <c r="F151" s="774"/>
      <c r="G151" s="775"/>
      <c r="H151" s="776"/>
      <c r="I151" s="925"/>
      <c r="J151" s="926"/>
      <c r="K151" s="926"/>
      <c r="L151" s="926"/>
      <c r="M151" s="926"/>
      <c r="N151" s="772"/>
      <c r="O151" s="928"/>
      <c r="P151" s="928"/>
      <c r="Q151" s="928"/>
    </row>
    <row r="152" spans="1:19" hidden="1" outlineLevel="1">
      <c r="B152" s="930">
        <v>1</v>
      </c>
      <c r="C152" s="931" t="s">
        <v>1634</v>
      </c>
      <c r="D152" s="931"/>
      <c r="E152" s="931" t="s">
        <v>1620</v>
      </c>
      <c r="F152" s="931" t="s">
        <v>1621</v>
      </c>
      <c r="G152" s="932">
        <v>5038.5590000000002</v>
      </c>
      <c r="H152" s="930" t="s">
        <v>183</v>
      </c>
      <c r="I152" s="933">
        <v>45071.229166666664</v>
      </c>
      <c r="J152" s="934" t="s">
        <v>192</v>
      </c>
      <c r="K152" s="934" t="s">
        <v>192</v>
      </c>
      <c r="L152" s="1501" t="s">
        <v>919</v>
      </c>
      <c r="M152" s="1501" t="s">
        <v>4480</v>
      </c>
      <c r="O152" s="936" t="s">
        <v>551</v>
      </c>
      <c r="P152" s="936" t="s">
        <v>551</v>
      </c>
      <c r="Q152" s="936" t="s">
        <v>551</v>
      </c>
      <c r="S152" s="937">
        <v>45092.07916666667</v>
      </c>
    </row>
    <row r="153" spans="1:19" hidden="1" outlineLevel="1">
      <c r="B153" s="930">
        <v>2</v>
      </c>
      <c r="C153" s="931" t="s">
        <v>1637</v>
      </c>
      <c r="D153" s="931"/>
      <c r="E153" s="931" t="s">
        <v>1364</v>
      </c>
      <c r="F153" s="931" t="s">
        <v>1365</v>
      </c>
      <c r="G153" s="932">
        <v>5303.3069999999998</v>
      </c>
      <c r="H153" s="930" t="s">
        <v>183</v>
      </c>
      <c r="I153" s="933">
        <v>45076.25</v>
      </c>
      <c r="J153" s="934" t="s">
        <v>192</v>
      </c>
      <c r="K153" s="934" t="s">
        <v>192</v>
      </c>
      <c r="L153" s="1502"/>
      <c r="M153" s="1502"/>
      <c r="O153" s="936" t="s">
        <v>551</v>
      </c>
      <c r="P153" s="936" t="s">
        <v>551</v>
      </c>
      <c r="Q153" s="936" t="s">
        <v>551</v>
      </c>
    </row>
    <row r="154" spans="1:19" hidden="1" outlineLevel="1">
      <c r="B154" s="930">
        <v>3</v>
      </c>
      <c r="C154" s="931" t="s">
        <v>1614</v>
      </c>
      <c r="D154" s="946"/>
      <c r="E154" s="931" t="s">
        <v>257</v>
      </c>
      <c r="F154" s="931" t="s">
        <v>258</v>
      </c>
      <c r="G154" s="932">
        <v>7575.5379999999996</v>
      </c>
      <c r="H154" s="930" t="s">
        <v>172</v>
      </c>
      <c r="I154" s="933">
        <v>45079.3125</v>
      </c>
      <c r="J154" s="934" t="s">
        <v>192</v>
      </c>
      <c r="K154" s="934" t="s">
        <v>192</v>
      </c>
      <c r="L154" s="1502"/>
      <c r="M154" s="1502"/>
      <c r="O154" s="936" t="s">
        <v>551</v>
      </c>
      <c r="P154" s="936" t="s">
        <v>551</v>
      </c>
      <c r="Q154" s="936" t="s">
        <v>551</v>
      </c>
    </row>
    <row r="155" spans="1:19" hidden="1" outlineLevel="1">
      <c r="B155" s="930">
        <v>4</v>
      </c>
      <c r="C155" s="931" t="s">
        <v>1906</v>
      </c>
      <c r="D155" s="946"/>
      <c r="E155" s="931" t="s">
        <v>226</v>
      </c>
      <c r="F155" s="931" t="s">
        <v>227</v>
      </c>
      <c r="G155" s="932">
        <v>7500</v>
      </c>
      <c r="H155" s="930" t="s">
        <v>76</v>
      </c>
      <c r="I155" s="933">
        <v>45088.208333333336</v>
      </c>
      <c r="J155" s="934" t="s">
        <v>192</v>
      </c>
      <c r="K155" s="934" t="s">
        <v>192</v>
      </c>
      <c r="L155" s="1502"/>
      <c r="M155" s="1502"/>
      <c r="O155" s="936" t="s">
        <v>551</v>
      </c>
      <c r="P155" s="936" t="s">
        <v>551</v>
      </c>
      <c r="Q155" s="936" t="s">
        <v>551</v>
      </c>
    </row>
    <row r="156" spans="1:19" hidden="1" outlineLevel="1">
      <c r="B156" s="930">
        <v>5</v>
      </c>
      <c r="C156" s="931" t="s">
        <v>1907</v>
      </c>
      <c r="D156" s="946"/>
      <c r="E156" s="931" t="s">
        <v>1230</v>
      </c>
      <c r="F156" s="931" t="s">
        <v>1231</v>
      </c>
      <c r="G156" s="932">
        <v>7500</v>
      </c>
      <c r="H156" s="930" t="s">
        <v>76</v>
      </c>
      <c r="I156" s="933">
        <v>45088.826388888891</v>
      </c>
      <c r="J156" s="934" t="s">
        <v>192</v>
      </c>
      <c r="K156" s="934" t="s">
        <v>192</v>
      </c>
      <c r="L156" s="1511"/>
      <c r="M156" s="1511"/>
      <c r="O156" s="936" t="s">
        <v>551</v>
      </c>
      <c r="P156" s="936" t="s">
        <v>551</v>
      </c>
      <c r="Q156" s="936" t="s">
        <v>551</v>
      </c>
    </row>
    <row r="157" spans="1:19" s="773" customFormat="1" ht="4.95" hidden="1" customHeight="1" outlineLevel="1">
      <c r="A157" s="770"/>
      <c r="B157" s="776"/>
      <c r="C157" s="774"/>
      <c r="D157" s="774"/>
      <c r="E157" s="774"/>
      <c r="F157" s="774"/>
      <c r="G157" s="775"/>
      <c r="H157" s="776"/>
      <c r="I157" s="925"/>
      <c r="J157" s="926"/>
      <c r="K157" s="926"/>
      <c r="L157" s="926"/>
      <c r="M157" s="926"/>
      <c r="N157" s="772"/>
      <c r="O157" s="928"/>
      <c r="P157" s="928"/>
      <c r="Q157" s="928"/>
    </row>
    <row r="158" spans="1:19" hidden="1" outlineLevel="1">
      <c r="B158" s="930">
        <v>1</v>
      </c>
      <c r="C158" s="931" t="s">
        <v>1890</v>
      </c>
      <c r="D158" s="931"/>
      <c r="E158" s="931" t="s">
        <v>453</v>
      </c>
      <c r="F158" s="931" t="s">
        <v>454</v>
      </c>
      <c r="G158" s="932">
        <v>7714.317</v>
      </c>
      <c r="H158" s="930" t="s">
        <v>181</v>
      </c>
      <c r="I158" s="933">
        <v>45082.291666666664</v>
      </c>
      <c r="J158" s="934" t="s">
        <v>192</v>
      </c>
      <c r="K158" s="934" t="s">
        <v>192</v>
      </c>
      <c r="L158" s="1501" t="s">
        <v>1445</v>
      </c>
      <c r="M158" s="1501" t="s">
        <v>4481</v>
      </c>
      <c r="O158" s="936" t="s">
        <v>551</v>
      </c>
      <c r="P158" s="936" t="s">
        <v>551</v>
      </c>
      <c r="Q158" s="936" t="s">
        <v>551</v>
      </c>
      <c r="S158" s="937">
        <v>45094.6875</v>
      </c>
    </row>
    <row r="159" spans="1:19" hidden="1" outlineLevel="1">
      <c r="B159" s="930">
        <v>2</v>
      </c>
      <c r="C159" s="931" t="s">
        <v>1790</v>
      </c>
      <c r="D159" s="946"/>
      <c r="E159" s="931" t="s">
        <v>374</v>
      </c>
      <c r="F159" s="931" t="s">
        <v>375</v>
      </c>
      <c r="G159" s="932">
        <v>7580.0020000000004</v>
      </c>
      <c r="H159" s="930" t="s">
        <v>235</v>
      </c>
      <c r="I159" s="933">
        <v>45089.697916666664</v>
      </c>
      <c r="J159" s="934" t="s">
        <v>192</v>
      </c>
      <c r="K159" s="934" t="s">
        <v>192</v>
      </c>
      <c r="L159" s="1502"/>
      <c r="M159" s="1502"/>
      <c r="O159" s="936" t="s">
        <v>551</v>
      </c>
      <c r="P159" s="936" t="s">
        <v>551</v>
      </c>
      <c r="Q159" s="936" t="s">
        <v>551</v>
      </c>
    </row>
    <row r="160" spans="1:19" hidden="1" outlineLevel="1">
      <c r="B160" s="930">
        <v>3</v>
      </c>
      <c r="C160" s="931" t="s">
        <v>1791</v>
      </c>
      <c r="D160" s="946"/>
      <c r="E160" s="931" t="s">
        <v>288</v>
      </c>
      <c r="F160" s="931" t="s">
        <v>289</v>
      </c>
      <c r="G160" s="932">
        <v>7480.567</v>
      </c>
      <c r="H160" s="930" t="s">
        <v>235</v>
      </c>
      <c r="I160" s="933">
        <v>45089.75</v>
      </c>
      <c r="J160" s="934" t="s">
        <v>192</v>
      </c>
      <c r="K160" s="934" t="s">
        <v>192</v>
      </c>
      <c r="L160" s="1502"/>
      <c r="M160" s="1502"/>
      <c r="O160" s="936" t="s">
        <v>551</v>
      </c>
      <c r="P160" s="936" t="s">
        <v>551</v>
      </c>
      <c r="Q160" s="936" t="s">
        <v>551</v>
      </c>
    </row>
    <row r="161" spans="1:19" hidden="1" outlineLevel="1">
      <c r="B161" s="930">
        <v>4</v>
      </c>
      <c r="C161" s="931" t="s">
        <v>1908</v>
      </c>
      <c r="D161" s="946"/>
      <c r="E161" s="931" t="s">
        <v>304</v>
      </c>
      <c r="F161" s="931" t="s">
        <v>305</v>
      </c>
      <c r="G161" s="932">
        <v>7500</v>
      </c>
      <c r="H161" s="930" t="s">
        <v>76</v>
      </c>
      <c r="I161" s="933">
        <v>45089.916666666664</v>
      </c>
      <c r="J161" s="934" t="s">
        <v>192</v>
      </c>
      <c r="K161" s="934" t="s">
        <v>192</v>
      </c>
      <c r="L161" s="1511"/>
      <c r="M161" s="1511"/>
      <c r="O161" s="936" t="s">
        <v>551</v>
      </c>
      <c r="P161" s="936" t="s">
        <v>551</v>
      </c>
      <c r="Q161" s="936" t="s">
        <v>551</v>
      </c>
    </row>
    <row r="162" spans="1:19" s="773" customFormat="1" ht="4.95" hidden="1" customHeight="1" outlineLevel="1">
      <c r="A162" s="770"/>
      <c r="B162" s="776"/>
      <c r="C162" s="774"/>
      <c r="D162" s="774"/>
      <c r="E162" s="774"/>
      <c r="F162" s="774"/>
      <c r="G162" s="775"/>
      <c r="H162" s="776"/>
      <c r="I162" s="925"/>
      <c r="J162" s="926"/>
      <c r="K162" s="926"/>
      <c r="L162" s="926"/>
      <c r="M162" s="926"/>
      <c r="N162" s="772"/>
      <c r="O162" s="928"/>
      <c r="P162" s="928"/>
      <c r="Q162" s="928"/>
    </row>
    <row r="163" spans="1:19" hidden="1" outlineLevel="1">
      <c r="B163" s="930">
        <v>1</v>
      </c>
      <c r="C163" s="931" t="s">
        <v>1650</v>
      </c>
      <c r="D163" s="931"/>
      <c r="E163" s="931" t="s">
        <v>1651</v>
      </c>
      <c r="F163" s="931" t="s">
        <v>1652</v>
      </c>
      <c r="G163" s="932">
        <v>7529.0649999999996</v>
      </c>
      <c r="H163" s="930" t="s">
        <v>184</v>
      </c>
      <c r="I163" s="933">
        <v>45075.8125</v>
      </c>
      <c r="J163" s="934" t="s">
        <v>192</v>
      </c>
      <c r="K163" s="934" t="s">
        <v>192</v>
      </c>
      <c r="L163" s="1501" t="s">
        <v>4482</v>
      </c>
      <c r="M163" s="1501" t="s">
        <v>4483</v>
      </c>
      <c r="O163" s="936" t="s">
        <v>551</v>
      </c>
      <c r="P163" s="936" t="s">
        <v>551</v>
      </c>
      <c r="Q163" s="936" t="s">
        <v>551</v>
      </c>
      <c r="S163" s="937">
        <v>45096.520833333336</v>
      </c>
    </row>
    <row r="164" spans="1:19" s="773" customFormat="1" ht="4.95" hidden="1" customHeight="1" outlineLevel="1">
      <c r="A164" s="770"/>
      <c r="B164" s="776"/>
      <c r="C164" s="774"/>
      <c r="D164" s="774"/>
      <c r="E164" s="774"/>
      <c r="F164" s="774"/>
      <c r="G164" s="775"/>
      <c r="H164" s="776"/>
      <c r="I164" s="925"/>
      <c r="J164" s="926"/>
      <c r="K164" s="926"/>
      <c r="L164" s="926"/>
      <c r="M164" s="926"/>
      <c r="N164" s="772"/>
      <c r="O164" s="928"/>
      <c r="P164" s="928"/>
      <c r="Q164" s="928"/>
    </row>
    <row r="165" spans="1:19" ht="14.4" hidden="1" customHeight="1" outlineLevel="1">
      <c r="B165" s="930">
        <v>1</v>
      </c>
      <c r="C165" s="931" t="s">
        <v>1639</v>
      </c>
      <c r="D165" s="931"/>
      <c r="E165" s="931" t="s">
        <v>809</v>
      </c>
      <c r="F165" s="931" t="s">
        <v>1618</v>
      </c>
      <c r="G165" s="932">
        <v>5300.5709999999999</v>
      </c>
      <c r="H165" s="930" t="s">
        <v>183</v>
      </c>
      <c r="I165" s="933">
        <v>45078.791666666664</v>
      </c>
      <c r="J165" s="934" t="s">
        <v>192</v>
      </c>
      <c r="K165" s="934" t="s">
        <v>192</v>
      </c>
      <c r="L165" s="1501" t="s">
        <v>4484</v>
      </c>
      <c r="M165" s="1501" t="s">
        <v>4485</v>
      </c>
      <c r="O165" s="936" t="s">
        <v>551</v>
      </c>
      <c r="P165" s="936" t="s">
        <v>551</v>
      </c>
      <c r="Q165" s="936" t="s">
        <v>551</v>
      </c>
      <c r="S165" s="937">
        <v>45096.662499999999</v>
      </c>
    </row>
    <row r="166" spans="1:19" hidden="1" outlineLevel="1">
      <c r="B166" s="930">
        <v>2</v>
      </c>
      <c r="C166" s="931" t="s">
        <v>1640</v>
      </c>
      <c r="D166" s="931"/>
      <c r="E166" s="931" t="s">
        <v>812</v>
      </c>
      <c r="F166" s="931" t="s">
        <v>813</v>
      </c>
      <c r="G166" s="932">
        <v>5251.0439999999999</v>
      </c>
      <c r="H166" s="930" t="s">
        <v>183</v>
      </c>
      <c r="I166" s="933">
        <v>45080.288194444445</v>
      </c>
      <c r="J166" s="934" t="s">
        <v>192</v>
      </c>
      <c r="K166" s="934" t="s">
        <v>192</v>
      </c>
      <c r="L166" s="1511"/>
      <c r="M166" s="1511"/>
      <c r="O166" s="936" t="s">
        <v>551</v>
      </c>
      <c r="P166" s="936" t="s">
        <v>551</v>
      </c>
      <c r="Q166" s="936" t="s">
        <v>551</v>
      </c>
    </row>
    <row r="167" spans="1:19" s="773" customFormat="1" ht="4.95" hidden="1" customHeight="1" outlineLevel="1">
      <c r="A167" s="770"/>
      <c r="B167" s="776"/>
      <c r="C167" s="774"/>
      <c r="D167" s="774"/>
      <c r="E167" s="774"/>
      <c r="F167" s="774"/>
      <c r="G167" s="775"/>
      <c r="H167" s="776"/>
      <c r="I167" s="925"/>
      <c r="J167" s="926"/>
      <c r="K167" s="926"/>
      <c r="L167" s="926"/>
      <c r="M167" s="926"/>
      <c r="N167" s="772"/>
      <c r="O167" s="928"/>
      <c r="P167" s="928"/>
      <c r="Q167" s="928"/>
    </row>
    <row r="168" spans="1:19" s="949" customFormat="1" hidden="1" outlineLevel="1">
      <c r="A168" s="914"/>
      <c r="B168" s="930">
        <v>1</v>
      </c>
      <c r="C168" s="931" t="s">
        <v>1897</v>
      </c>
      <c r="D168" s="931"/>
      <c r="E168" s="931" t="s">
        <v>1307</v>
      </c>
      <c r="F168" s="931" t="s">
        <v>1308</v>
      </c>
      <c r="G168" s="932">
        <v>5286</v>
      </c>
      <c r="H168" s="930" t="s">
        <v>82</v>
      </c>
      <c r="I168" s="933">
        <v>45093.642361111109</v>
      </c>
      <c r="J168" s="934" t="s">
        <v>192</v>
      </c>
      <c r="K168" s="934" t="s">
        <v>192</v>
      </c>
      <c r="L168" s="940" t="s">
        <v>1052</v>
      </c>
      <c r="M168" s="940" t="s">
        <v>4486</v>
      </c>
      <c r="N168" s="948"/>
      <c r="O168" s="936" t="s">
        <v>551</v>
      </c>
      <c r="P168" s="936" t="s">
        <v>551</v>
      </c>
      <c r="Q168" s="936" t="s">
        <v>551</v>
      </c>
      <c r="S168" s="937">
        <v>45098.5</v>
      </c>
    </row>
    <row r="169" spans="1:19" s="773" customFormat="1" ht="4.95" hidden="1" customHeight="1" outlineLevel="1">
      <c r="A169" s="770"/>
      <c r="B169" s="776"/>
      <c r="C169" s="774"/>
      <c r="D169" s="774"/>
      <c r="E169" s="774"/>
      <c r="F169" s="774"/>
      <c r="G169" s="775"/>
      <c r="H169" s="776"/>
      <c r="I169" s="925"/>
      <c r="J169" s="926"/>
      <c r="K169" s="926"/>
      <c r="L169" s="926"/>
      <c r="M169" s="926"/>
      <c r="N169" s="772"/>
      <c r="O169" s="928"/>
      <c r="P169" s="928"/>
      <c r="Q169" s="928"/>
    </row>
    <row r="170" spans="1:19" hidden="1" outlineLevel="1">
      <c r="B170" s="930">
        <v>1</v>
      </c>
      <c r="C170" s="931" t="s">
        <v>1902</v>
      </c>
      <c r="D170" s="931"/>
      <c r="E170" s="931" t="s">
        <v>205</v>
      </c>
      <c r="F170" s="931" t="s">
        <v>206</v>
      </c>
      <c r="G170" s="932">
        <v>7505</v>
      </c>
      <c r="H170" s="930" t="s">
        <v>84</v>
      </c>
      <c r="I170" s="933">
        <v>45097.534722222219</v>
      </c>
      <c r="J170" s="934" t="s">
        <v>192</v>
      </c>
      <c r="K170" s="934" t="s">
        <v>192</v>
      </c>
      <c r="L170" s="1501" t="s">
        <v>2134</v>
      </c>
      <c r="M170" s="1501" t="s">
        <v>4487</v>
      </c>
      <c r="O170" s="936" t="s">
        <v>551</v>
      </c>
      <c r="P170" s="936" t="s">
        <v>551</v>
      </c>
      <c r="Q170" s="936" t="s">
        <v>551</v>
      </c>
      <c r="S170" s="937">
        <v>45101.854166666664</v>
      </c>
    </row>
    <row r="171" spans="1:19" hidden="1" outlineLevel="1">
      <c r="B171" s="930">
        <v>3</v>
      </c>
      <c r="C171" s="931" t="s">
        <v>1830</v>
      </c>
      <c r="D171" s="931"/>
      <c r="E171" s="931" t="s">
        <v>298</v>
      </c>
      <c r="F171" s="931" t="s">
        <v>299</v>
      </c>
      <c r="G171" s="932">
        <v>10166.682000000001</v>
      </c>
      <c r="H171" s="930" t="s">
        <v>235</v>
      </c>
      <c r="I171" s="933">
        <v>45099.395833333336</v>
      </c>
      <c r="J171" s="934" t="s">
        <v>192</v>
      </c>
      <c r="K171" s="934" t="s">
        <v>192</v>
      </c>
      <c r="L171" s="1502"/>
      <c r="M171" s="1502"/>
      <c r="O171" s="936" t="s">
        <v>551</v>
      </c>
      <c r="P171" s="936" t="s">
        <v>551</v>
      </c>
      <c r="Q171" s="936" t="s">
        <v>551</v>
      </c>
    </row>
    <row r="172" spans="1:19" ht="14.4" hidden="1" customHeight="1" outlineLevel="1">
      <c r="B172" s="930">
        <v>2</v>
      </c>
      <c r="C172" s="931" t="s">
        <v>1829</v>
      </c>
      <c r="D172" s="931"/>
      <c r="E172" s="931" t="s">
        <v>383</v>
      </c>
      <c r="F172" s="931" t="s">
        <v>384</v>
      </c>
      <c r="G172" s="932">
        <v>5184.0219999999999</v>
      </c>
      <c r="H172" s="930" t="s">
        <v>235</v>
      </c>
      <c r="I172" s="933">
        <v>45098.940972222219</v>
      </c>
      <c r="J172" s="934" t="s">
        <v>192</v>
      </c>
      <c r="K172" s="934" t="s">
        <v>192</v>
      </c>
      <c r="L172" s="1502"/>
      <c r="M172" s="1502"/>
      <c r="O172" s="936" t="s">
        <v>551</v>
      </c>
      <c r="P172" s="936" t="s">
        <v>551</v>
      </c>
      <c r="Q172" s="936" t="s">
        <v>551</v>
      </c>
      <c r="S172" s="937"/>
    </row>
    <row r="173" spans="1:19" hidden="1" outlineLevel="1">
      <c r="B173" s="930">
        <v>4</v>
      </c>
      <c r="C173" s="931" t="s">
        <v>1757</v>
      </c>
      <c r="D173" s="931"/>
      <c r="E173" s="931" t="s">
        <v>1255</v>
      </c>
      <c r="F173" s="931" t="s">
        <v>268</v>
      </c>
      <c r="G173" s="932">
        <v>7500</v>
      </c>
      <c r="H173" s="930" t="s">
        <v>78</v>
      </c>
      <c r="I173" s="933">
        <v>45099.857638888891</v>
      </c>
      <c r="J173" s="934" t="s">
        <v>192</v>
      </c>
      <c r="K173" s="934" t="s">
        <v>192</v>
      </c>
      <c r="L173" s="1511"/>
      <c r="M173" s="1511"/>
      <c r="O173" s="936" t="s">
        <v>551</v>
      </c>
      <c r="P173" s="936" t="s">
        <v>551</v>
      </c>
      <c r="Q173" s="936" t="s">
        <v>551</v>
      </c>
    </row>
    <row r="174" spans="1:19" s="773" customFormat="1" ht="4.95" hidden="1" customHeight="1" outlineLevel="1">
      <c r="A174" s="770"/>
      <c r="B174" s="776"/>
      <c r="C174" s="774"/>
      <c r="D174" s="774"/>
      <c r="E174" s="774"/>
      <c r="F174" s="774"/>
      <c r="G174" s="775"/>
      <c r="H174" s="776"/>
      <c r="I174" s="925"/>
      <c r="J174" s="926"/>
      <c r="K174" s="926"/>
      <c r="L174" s="926"/>
      <c r="M174" s="926"/>
      <c r="N174" s="772"/>
      <c r="O174" s="928"/>
      <c r="P174" s="928"/>
      <c r="Q174" s="928"/>
    </row>
    <row r="175" spans="1:19" hidden="1" outlineLevel="1">
      <c r="B175" s="930">
        <v>1</v>
      </c>
      <c r="C175" s="931" t="s">
        <v>1928</v>
      </c>
      <c r="D175" s="931"/>
      <c r="E175" s="931" t="s">
        <v>1626</v>
      </c>
      <c r="F175" s="931" t="s">
        <v>1929</v>
      </c>
      <c r="G175" s="932">
        <v>5304.0780000000004</v>
      </c>
      <c r="H175" s="930" t="s">
        <v>183</v>
      </c>
      <c r="I175" s="933">
        <v>45089.159722222219</v>
      </c>
      <c r="J175" s="934" t="s">
        <v>192</v>
      </c>
      <c r="K175" s="934" t="s">
        <v>192</v>
      </c>
      <c r="L175" s="1501" t="s">
        <v>1234</v>
      </c>
      <c r="M175" s="1501" t="s">
        <v>4488</v>
      </c>
      <c r="O175" s="936" t="s">
        <v>551</v>
      </c>
      <c r="P175" s="936" t="s">
        <v>551</v>
      </c>
      <c r="Q175" s="936" t="s">
        <v>551</v>
      </c>
      <c r="S175" s="937">
        <v>45102.000694444447</v>
      </c>
    </row>
    <row r="176" spans="1:19" hidden="1" outlineLevel="1">
      <c r="B176" s="930">
        <v>2</v>
      </c>
      <c r="C176" s="931" t="s">
        <v>1917</v>
      </c>
      <c r="D176" s="931"/>
      <c r="E176" s="931" t="s">
        <v>489</v>
      </c>
      <c r="F176" s="931" t="s">
        <v>483</v>
      </c>
      <c r="G176" s="932">
        <v>7524.7190000000001</v>
      </c>
      <c r="H176" s="930" t="s">
        <v>172</v>
      </c>
      <c r="I176" s="933">
        <v>45089.166666666664</v>
      </c>
      <c r="J176" s="934" t="s">
        <v>192</v>
      </c>
      <c r="K176" s="934" t="s">
        <v>192</v>
      </c>
      <c r="L176" s="1502"/>
      <c r="M176" s="1502"/>
      <c r="O176" s="936" t="s">
        <v>551</v>
      </c>
      <c r="P176" s="936" t="s">
        <v>551</v>
      </c>
      <c r="Q176" s="936" t="s">
        <v>551</v>
      </c>
    </row>
    <row r="177" spans="1:19" s="949" customFormat="1" hidden="1" outlineLevel="1">
      <c r="A177" s="950"/>
      <c r="B177" s="930">
        <v>3</v>
      </c>
      <c r="C177" s="931" t="s">
        <v>1759</v>
      </c>
      <c r="D177" s="931"/>
      <c r="E177" s="931" t="s">
        <v>371</v>
      </c>
      <c r="F177" s="931" t="s">
        <v>372</v>
      </c>
      <c r="G177" s="932">
        <v>7500</v>
      </c>
      <c r="H177" s="930" t="s">
        <v>78</v>
      </c>
      <c r="I177" s="933">
        <v>45099.298611111109</v>
      </c>
      <c r="J177" s="934" t="s">
        <v>192</v>
      </c>
      <c r="K177" s="934" t="s">
        <v>192</v>
      </c>
      <c r="L177" s="1511"/>
      <c r="M177" s="1511"/>
      <c r="N177" s="948"/>
      <c r="O177" s="936" t="s">
        <v>551</v>
      </c>
      <c r="P177" s="936" t="s">
        <v>551</v>
      </c>
      <c r="Q177" s="936" t="s">
        <v>551</v>
      </c>
      <c r="S177" s="773"/>
    </row>
    <row r="178" spans="1:19" s="773" customFormat="1" ht="4.95" hidden="1" customHeight="1" outlineLevel="1">
      <c r="A178" s="770"/>
      <c r="B178" s="776"/>
      <c r="C178" s="774"/>
      <c r="D178" s="774"/>
      <c r="E178" s="774"/>
      <c r="F178" s="774"/>
      <c r="G178" s="775"/>
      <c r="H178" s="776"/>
      <c r="I178" s="925"/>
      <c r="J178" s="926"/>
      <c r="K178" s="926"/>
      <c r="L178" s="926"/>
      <c r="M178" s="926"/>
      <c r="N178" s="772"/>
      <c r="O178" s="928"/>
      <c r="P178" s="928"/>
      <c r="Q178" s="928"/>
    </row>
    <row r="179" spans="1:19" hidden="1" outlineLevel="1">
      <c r="A179" s="929" t="s">
        <v>4489</v>
      </c>
      <c r="B179" s="930">
        <v>1</v>
      </c>
      <c r="C179" s="931" t="s">
        <v>1940</v>
      </c>
      <c r="D179" s="931"/>
      <c r="E179" s="931" t="s">
        <v>1941</v>
      </c>
      <c r="F179" s="931" t="s">
        <v>1942</v>
      </c>
      <c r="G179" s="932">
        <v>7213.0219999999999</v>
      </c>
      <c r="H179" s="930" t="s">
        <v>184</v>
      </c>
      <c r="I179" s="933">
        <v>45094.895833333336</v>
      </c>
      <c r="J179" s="934" t="s">
        <v>192</v>
      </c>
      <c r="K179" s="934" t="s">
        <v>192</v>
      </c>
      <c r="L179" s="1501" t="s">
        <v>4490</v>
      </c>
      <c r="M179" s="1501" t="s">
        <v>4491</v>
      </c>
      <c r="O179" s="936" t="s">
        <v>551</v>
      </c>
      <c r="P179" s="936" t="s">
        <v>551</v>
      </c>
      <c r="Q179" s="936" t="s">
        <v>551</v>
      </c>
      <c r="S179" s="937">
        <v>45100.6875</v>
      </c>
    </row>
    <row r="180" spans="1:19" hidden="1" outlineLevel="1">
      <c r="B180" s="930">
        <v>2</v>
      </c>
      <c r="C180" s="931" t="s">
        <v>1919</v>
      </c>
      <c r="D180" s="931"/>
      <c r="E180" s="931" t="s">
        <v>695</v>
      </c>
      <c r="F180" s="931" t="s">
        <v>281</v>
      </c>
      <c r="G180" s="932">
        <v>7551.8909999999996</v>
      </c>
      <c r="H180" s="930" t="s">
        <v>172</v>
      </c>
      <c r="I180" s="933">
        <v>45097.020833333336</v>
      </c>
      <c r="J180" s="934" t="s">
        <v>192</v>
      </c>
      <c r="K180" s="934" t="s">
        <v>192</v>
      </c>
      <c r="L180" s="1511"/>
      <c r="M180" s="1511"/>
      <c r="O180" s="936" t="s">
        <v>551</v>
      </c>
      <c r="P180" s="936" t="s">
        <v>551</v>
      </c>
      <c r="Q180" s="936" t="s">
        <v>551</v>
      </c>
    </row>
    <row r="181" spans="1:19" s="773" customFormat="1" ht="4.95" hidden="1" customHeight="1" outlineLevel="1">
      <c r="A181" s="770"/>
      <c r="B181" s="776"/>
      <c r="C181" s="774"/>
      <c r="D181" s="774"/>
      <c r="E181" s="774"/>
      <c r="F181" s="774"/>
      <c r="G181" s="775"/>
      <c r="H181" s="776"/>
      <c r="I181" s="925"/>
      <c r="J181" s="926"/>
      <c r="K181" s="926"/>
      <c r="L181" s="926"/>
      <c r="M181" s="926"/>
      <c r="N181" s="772"/>
      <c r="O181" s="928"/>
      <c r="P181" s="928"/>
      <c r="Q181" s="928"/>
    </row>
    <row r="182" spans="1:19" ht="14.4" hidden="1" customHeight="1" outlineLevel="1">
      <c r="A182" s="915"/>
      <c r="B182" s="930">
        <v>1</v>
      </c>
      <c r="C182" s="931" t="s">
        <v>1943</v>
      </c>
      <c r="D182" s="931"/>
      <c r="E182" s="931" t="s">
        <v>1944</v>
      </c>
      <c r="F182" s="931" t="s">
        <v>821</v>
      </c>
      <c r="G182" s="932">
        <v>7501.875</v>
      </c>
      <c r="H182" s="930" t="s">
        <v>184</v>
      </c>
      <c r="I182" s="933">
        <v>45095.5625</v>
      </c>
      <c r="J182" s="934" t="s">
        <v>192</v>
      </c>
      <c r="K182" s="934" t="s">
        <v>192</v>
      </c>
      <c r="L182" s="1501" t="s">
        <v>1293</v>
      </c>
      <c r="M182" s="1501" t="s">
        <v>3019</v>
      </c>
      <c r="O182" s="936" t="s">
        <v>551</v>
      </c>
      <c r="P182" s="936" t="s">
        <v>551</v>
      </c>
      <c r="Q182" s="936" t="s">
        <v>551</v>
      </c>
      <c r="S182" s="937">
        <v>45104.845833333333</v>
      </c>
    </row>
    <row r="183" spans="1:19" hidden="1" outlineLevel="1">
      <c r="B183" s="930">
        <v>2</v>
      </c>
      <c r="C183" s="931" t="s">
        <v>1932</v>
      </c>
      <c r="D183" s="931"/>
      <c r="E183" s="931" t="s">
        <v>1620</v>
      </c>
      <c r="F183" s="931" t="s">
        <v>1621</v>
      </c>
      <c r="G183" s="932">
        <v>5036.3019999999997</v>
      </c>
      <c r="H183" s="930" t="s">
        <v>183</v>
      </c>
      <c r="I183" s="933">
        <v>45097.229166666664</v>
      </c>
      <c r="J183" s="934" t="s">
        <v>192</v>
      </c>
      <c r="K183" s="934" t="s">
        <v>192</v>
      </c>
      <c r="L183" s="1502"/>
      <c r="M183" s="1502"/>
      <c r="O183" s="936" t="s">
        <v>551</v>
      </c>
      <c r="P183" s="936" t="s">
        <v>551</v>
      </c>
      <c r="Q183" s="936" t="s">
        <v>551</v>
      </c>
    </row>
    <row r="184" spans="1:19" hidden="1" outlineLevel="1">
      <c r="B184" s="930">
        <v>3</v>
      </c>
      <c r="C184" s="931" t="s">
        <v>1934</v>
      </c>
      <c r="D184" s="931"/>
      <c r="E184" s="931" t="s">
        <v>1636</v>
      </c>
      <c r="F184" s="931" t="s">
        <v>806</v>
      </c>
      <c r="G184" s="932">
        <v>5151.9849999999997</v>
      </c>
      <c r="H184" s="930" t="s">
        <v>183</v>
      </c>
      <c r="I184" s="933">
        <v>45098.895833333336</v>
      </c>
      <c r="J184" s="934" t="s">
        <v>192</v>
      </c>
      <c r="K184" s="934" t="s">
        <v>192</v>
      </c>
      <c r="L184" s="1502"/>
      <c r="M184" s="1502"/>
      <c r="O184" s="936" t="s">
        <v>551</v>
      </c>
      <c r="P184" s="936" t="s">
        <v>551</v>
      </c>
      <c r="Q184" s="936" t="s">
        <v>551</v>
      </c>
    </row>
    <row r="185" spans="1:19" hidden="1" outlineLevel="1">
      <c r="B185" s="930">
        <v>4</v>
      </c>
      <c r="C185" s="931" t="s">
        <v>1933</v>
      </c>
      <c r="D185" s="931"/>
      <c r="E185" s="931" t="s">
        <v>793</v>
      </c>
      <c r="F185" s="931" t="s">
        <v>817</v>
      </c>
      <c r="G185" s="932">
        <v>5333.7190000000001</v>
      </c>
      <c r="H185" s="930" t="s">
        <v>183</v>
      </c>
      <c r="I185" s="933">
        <v>45099.208333333336</v>
      </c>
      <c r="J185" s="934" t="s">
        <v>192</v>
      </c>
      <c r="K185" s="934" t="s">
        <v>192</v>
      </c>
      <c r="L185" s="1502"/>
      <c r="M185" s="1502"/>
      <c r="O185" s="936" t="s">
        <v>551</v>
      </c>
      <c r="P185" s="936" t="s">
        <v>551</v>
      </c>
      <c r="Q185" s="936" t="s">
        <v>551</v>
      </c>
    </row>
    <row r="186" spans="1:19" hidden="1" outlineLevel="1">
      <c r="B186" s="930">
        <v>5</v>
      </c>
      <c r="C186" s="931" t="s">
        <v>1945</v>
      </c>
      <c r="D186" s="931"/>
      <c r="E186" s="931" t="s">
        <v>820</v>
      </c>
      <c r="F186" s="931" t="s">
        <v>1368</v>
      </c>
      <c r="G186" s="932">
        <v>7501.7529999999997</v>
      </c>
      <c r="H186" s="930" t="s">
        <v>184</v>
      </c>
      <c r="I186" s="933">
        <v>45100.4375</v>
      </c>
      <c r="J186" s="934" t="s">
        <v>192</v>
      </c>
      <c r="K186" s="934" t="s">
        <v>192</v>
      </c>
      <c r="L186" s="1502"/>
      <c r="M186" s="1502"/>
      <c r="O186" s="936" t="s">
        <v>551</v>
      </c>
      <c r="P186" s="936" t="s">
        <v>551</v>
      </c>
      <c r="Q186" s="936" t="s">
        <v>551</v>
      </c>
    </row>
    <row r="187" spans="1:19" hidden="1" outlineLevel="1">
      <c r="B187" s="930">
        <v>6</v>
      </c>
      <c r="C187" s="931" t="s">
        <v>1926</v>
      </c>
      <c r="D187" s="931"/>
      <c r="E187" s="931" t="s">
        <v>473</v>
      </c>
      <c r="F187" s="931" t="s">
        <v>474</v>
      </c>
      <c r="G187" s="932">
        <v>7738.2489999999998</v>
      </c>
      <c r="H187" s="930" t="s">
        <v>172</v>
      </c>
      <c r="I187" s="933">
        <v>45105.954861111109</v>
      </c>
      <c r="J187" s="934" t="s">
        <v>192</v>
      </c>
      <c r="K187" s="934" t="s">
        <v>192</v>
      </c>
      <c r="L187" s="1502"/>
      <c r="M187" s="1502"/>
      <c r="O187" s="936" t="s">
        <v>551</v>
      </c>
      <c r="P187" s="936" t="s">
        <v>551</v>
      </c>
      <c r="Q187" s="936" t="s">
        <v>551</v>
      </c>
    </row>
    <row r="188" spans="1:19" hidden="1" outlineLevel="1">
      <c r="B188" s="930">
        <v>7</v>
      </c>
      <c r="C188" s="931" t="s">
        <v>1935</v>
      </c>
      <c r="D188" s="931"/>
      <c r="E188" s="931" t="s">
        <v>1364</v>
      </c>
      <c r="F188" s="931" t="s">
        <v>1365</v>
      </c>
      <c r="G188" s="932">
        <v>5301.7920000000004</v>
      </c>
      <c r="H188" s="930" t="s">
        <v>183</v>
      </c>
      <c r="I188" s="933">
        <v>45102.930555555555</v>
      </c>
      <c r="J188" s="934" t="s">
        <v>192</v>
      </c>
      <c r="K188" s="934" t="s">
        <v>192</v>
      </c>
      <c r="L188" s="1511"/>
      <c r="M188" s="1511"/>
      <c r="O188" s="936" t="s">
        <v>551</v>
      </c>
      <c r="P188" s="936" t="s">
        <v>551</v>
      </c>
      <c r="Q188" s="936" t="s">
        <v>551</v>
      </c>
    </row>
    <row r="189" spans="1:19" s="773" customFormat="1" ht="4.95" hidden="1" customHeight="1" outlineLevel="1">
      <c r="A189" s="770"/>
      <c r="B189" s="776"/>
      <c r="C189" s="774"/>
      <c r="D189" s="774"/>
      <c r="E189" s="774"/>
      <c r="F189" s="774"/>
      <c r="G189" s="775"/>
      <c r="H189" s="776"/>
      <c r="I189" s="925"/>
      <c r="J189" s="926"/>
      <c r="K189" s="926"/>
      <c r="L189" s="926"/>
      <c r="M189" s="926"/>
      <c r="N189" s="772"/>
      <c r="O189" s="928"/>
      <c r="P189" s="928"/>
      <c r="Q189" s="928"/>
    </row>
    <row r="190" spans="1:19" hidden="1" outlineLevel="1">
      <c r="B190" s="930">
        <v>1</v>
      </c>
      <c r="C190" s="931" t="s">
        <v>1750</v>
      </c>
      <c r="D190" s="931"/>
      <c r="E190" s="931" t="s">
        <v>1181</v>
      </c>
      <c r="F190" s="931" t="s">
        <v>1182</v>
      </c>
      <c r="G190" s="932">
        <v>5049.3590000000004</v>
      </c>
      <c r="H190" s="930" t="s">
        <v>88</v>
      </c>
      <c r="I190" s="933">
        <v>45104.184027777781</v>
      </c>
      <c r="J190" s="934" t="s">
        <v>192</v>
      </c>
      <c r="K190" s="934" t="s">
        <v>192</v>
      </c>
      <c r="L190" s="1501" t="s">
        <v>4492</v>
      </c>
      <c r="M190" s="1501" t="s">
        <v>4493</v>
      </c>
      <c r="O190" s="936" t="s">
        <v>551</v>
      </c>
      <c r="P190" s="936" t="s">
        <v>551</v>
      </c>
      <c r="Q190" s="936" t="s">
        <v>551</v>
      </c>
      <c r="S190" s="937">
        <v>45108.166666666664</v>
      </c>
    </row>
    <row r="191" spans="1:19" hidden="1" outlineLevel="1">
      <c r="B191" s="930">
        <v>2</v>
      </c>
      <c r="C191" s="931" t="s">
        <v>1760</v>
      </c>
      <c r="D191" s="931"/>
      <c r="E191" s="931" t="s">
        <v>330</v>
      </c>
      <c r="F191" s="931" t="s">
        <v>331</v>
      </c>
      <c r="G191" s="932">
        <v>7500</v>
      </c>
      <c r="H191" s="930" t="s">
        <v>78</v>
      </c>
      <c r="I191" s="933">
        <v>45105.263888888891</v>
      </c>
      <c r="J191" s="934" t="s">
        <v>192</v>
      </c>
      <c r="K191" s="934" t="s">
        <v>192</v>
      </c>
      <c r="L191" s="1502"/>
      <c r="M191" s="1502"/>
      <c r="O191" s="936" t="s">
        <v>551</v>
      </c>
      <c r="P191" s="936" t="s">
        <v>551</v>
      </c>
      <c r="Q191" s="936" t="s">
        <v>551</v>
      </c>
    </row>
    <row r="192" spans="1:19" hidden="1" outlineLevel="1">
      <c r="B192" s="930">
        <v>3</v>
      </c>
      <c r="C192" s="931" t="s">
        <v>1877</v>
      </c>
      <c r="D192" s="931"/>
      <c r="E192" s="931" t="s">
        <v>1874</v>
      </c>
      <c r="F192" s="931" t="s">
        <v>1875</v>
      </c>
      <c r="G192" s="932">
        <v>5187</v>
      </c>
      <c r="H192" s="930" t="s">
        <v>81</v>
      </c>
      <c r="I192" s="933">
        <v>45107.559027777781</v>
      </c>
      <c r="J192" s="934" t="s">
        <v>192</v>
      </c>
      <c r="K192" s="934" t="s">
        <v>192</v>
      </c>
      <c r="L192" s="1502"/>
      <c r="M192" s="1502"/>
      <c r="O192" s="936" t="s">
        <v>551</v>
      </c>
      <c r="P192" s="936" t="s">
        <v>551</v>
      </c>
      <c r="Q192" s="936" t="s">
        <v>551</v>
      </c>
      <c r="S192" s="937"/>
    </row>
    <row r="193" spans="1:22" hidden="1" outlineLevel="1">
      <c r="A193" s="915"/>
      <c r="B193" s="930">
        <v>4</v>
      </c>
      <c r="C193" s="931" t="s">
        <v>1927</v>
      </c>
      <c r="D193" s="931"/>
      <c r="E193" s="931" t="s">
        <v>213</v>
      </c>
      <c r="F193" s="931" t="s">
        <v>214</v>
      </c>
      <c r="G193" s="932">
        <v>7561.6750000000002</v>
      </c>
      <c r="H193" s="930" t="s">
        <v>172</v>
      </c>
      <c r="I193" s="933">
        <v>45109.333333333336</v>
      </c>
      <c r="J193" s="934" t="s">
        <v>192</v>
      </c>
      <c r="K193" s="934" t="s">
        <v>192</v>
      </c>
      <c r="L193" s="1511"/>
      <c r="M193" s="1511"/>
      <c r="O193" s="936" t="s">
        <v>551</v>
      </c>
      <c r="P193" s="936" t="s">
        <v>551</v>
      </c>
      <c r="Q193" s="936" t="s">
        <v>551</v>
      </c>
    </row>
    <row r="194" spans="1:22" s="773" customFormat="1" ht="4.95" hidden="1" customHeight="1" outlineLevel="1">
      <c r="A194" s="770"/>
      <c r="B194" s="776"/>
      <c r="C194" s="774"/>
      <c r="D194" s="774"/>
      <c r="E194" s="774"/>
      <c r="F194" s="774"/>
      <c r="G194" s="775"/>
      <c r="H194" s="776"/>
      <c r="I194" s="925"/>
      <c r="J194" s="926"/>
      <c r="K194" s="926"/>
      <c r="L194" s="926"/>
      <c r="M194" s="926"/>
      <c r="N194" s="772"/>
      <c r="O194" s="928"/>
      <c r="P194" s="928"/>
      <c r="Q194" s="928"/>
    </row>
    <row r="195" spans="1:22" hidden="1" outlineLevel="1">
      <c r="B195" s="930">
        <v>1</v>
      </c>
      <c r="C195" s="931" t="s">
        <v>1762</v>
      </c>
      <c r="D195" s="931"/>
      <c r="E195" s="931" t="s">
        <v>1392</v>
      </c>
      <c r="F195" s="931" t="s">
        <v>365</v>
      </c>
      <c r="G195" s="932">
        <v>7500</v>
      </c>
      <c r="H195" s="930" t="s">
        <v>78</v>
      </c>
      <c r="I195" s="933">
        <v>45105.8125</v>
      </c>
      <c r="J195" s="934" t="s">
        <v>192</v>
      </c>
      <c r="K195" s="934" t="s">
        <v>192</v>
      </c>
      <c r="L195" s="1501" t="s">
        <v>4494</v>
      </c>
      <c r="M195" s="1501" t="s">
        <v>4495</v>
      </c>
      <c r="O195" s="936" t="s">
        <v>551</v>
      </c>
      <c r="P195" s="936" t="s">
        <v>551</v>
      </c>
      <c r="Q195" s="936" t="s">
        <v>551</v>
      </c>
      <c r="S195" s="937">
        <v>45119.916666666664</v>
      </c>
    </row>
    <row r="196" spans="1:22" hidden="1" outlineLevel="1">
      <c r="B196" s="930">
        <v>2</v>
      </c>
      <c r="C196" s="931" t="s">
        <v>1910</v>
      </c>
      <c r="D196" s="931"/>
      <c r="E196" s="931" t="s">
        <v>208</v>
      </c>
      <c r="F196" s="931" t="s">
        <v>328</v>
      </c>
      <c r="G196" s="932">
        <v>7500</v>
      </c>
      <c r="H196" s="930" t="s">
        <v>76</v>
      </c>
      <c r="I196" s="933">
        <v>45107.159722222219</v>
      </c>
      <c r="J196" s="934" t="s">
        <v>192</v>
      </c>
      <c r="K196" s="934" t="s">
        <v>192</v>
      </c>
      <c r="L196" s="1502"/>
      <c r="M196" s="1502"/>
      <c r="O196" s="936" t="s">
        <v>551</v>
      </c>
      <c r="P196" s="936" t="s">
        <v>551</v>
      </c>
      <c r="Q196" s="936" t="s">
        <v>551</v>
      </c>
    </row>
    <row r="197" spans="1:22" hidden="1" outlineLevel="1">
      <c r="B197" s="930">
        <v>3</v>
      </c>
      <c r="C197" s="931" t="s">
        <v>2626</v>
      </c>
      <c r="D197" s="931"/>
      <c r="E197" s="931" t="s">
        <v>453</v>
      </c>
      <c r="F197" s="931" t="s">
        <v>454</v>
      </c>
      <c r="G197" s="932">
        <v>7875.71</v>
      </c>
      <c r="H197" s="930" t="s">
        <v>181</v>
      </c>
      <c r="I197" s="933">
        <v>45111.416666666664</v>
      </c>
      <c r="J197" s="934" t="s">
        <v>192</v>
      </c>
      <c r="K197" s="934" t="s">
        <v>192</v>
      </c>
      <c r="L197" s="1502"/>
      <c r="M197" s="1502"/>
      <c r="O197" s="936" t="s">
        <v>551</v>
      </c>
      <c r="P197" s="936" t="s">
        <v>551</v>
      </c>
      <c r="Q197" s="936" t="s">
        <v>551</v>
      </c>
    </row>
    <row r="198" spans="1:22" s="773" customFormat="1" ht="4.95" hidden="1" customHeight="1" outlineLevel="1">
      <c r="A198" s="770"/>
      <c r="B198" s="776"/>
      <c r="C198" s="774"/>
      <c r="D198" s="774"/>
      <c r="E198" s="774"/>
      <c r="F198" s="774"/>
      <c r="G198" s="775"/>
      <c r="H198" s="776"/>
      <c r="I198" s="925"/>
      <c r="J198" s="926"/>
      <c r="K198" s="926"/>
      <c r="L198" s="926"/>
      <c r="M198" s="926"/>
      <c r="N198" s="772"/>
      <c r="O198" s="928"/>
      <c r="P198" s="928"/>
      <c r="Q198" s="928"/>
    </row>
    <row r="199" spans="1:22" hidden="1" outlineLevel="1">
      <c r="B199" s="930">
        <v>1</v>
      </c>
      <c r="C199" s="931" t="s">
        <v>2636</v>
      </c>
      <c r="D199" s="931"/>
      <c r="E199" s="931" t="s">
        <v>304</v>
      </c>
      <c r="F199" s="931" t="s">
        <v>305</v>
      </c>
      <c r="G199" s="932">
        <v>7558.79</v>
      </c>
      <c r="H199" s="930" t="s">
        <v>172</v>
      </c>
      <c r="I199" s="933">
        <v>45119.892361111109</v>
      </c>
      <c r="J199" s="934" t="s">
        <v>192</v>
      </c>
      <c r="K199" s="934" t="s">
        <v>192</v>
      </c>
      <c r="L199" s="1501" t="s">
        <v>1515</v>
      </c>
      <c r="M199" s="1501" t="s">
        <v>4496</v>
      </c>
      <c r="O199" s="936" t="s">
        <v>551</v>
      </c>
      <c r="P199" s="936" t="s">
        <v>551</v>
      </c>
      <c r="Q199" s="936" t="s">
        <v>551</v>
      </c>
      <c r="S199" s="937">
        <v>45120.479166666664</v>
      </c>
    </row>
    <row r="200" spans="1:22" hidden="1" outlineLevel="1">
      <c r="B200" s="930">
        <v>2</v>
      </c>
      <c r="C200" s="931" t="s">
        <v>2607</v>
      </c>
      <c r="D200" s="931"/>
      <c r="E200" s="931" t="s">
        <v>343</v>
      </c>
      <c r="F200" s="931" t="s">
        <v>344</v>
      </c>
      <c r="G200" s="932">
        <v>7588.0010000000002</v>
      </c>
      <c r="H200" s="930" t="s">
        <v>235</v>
      </c>
      <c r="I200" s="933">
        <v>45119.861111111109</v>
      </c>
      <c r="J200" s="934" t="s">
        <v>192</v>
      </c>
      <c r="K200" s="934" t="s">
        <v>192</v>
      </c>
      <c r="L200" s="1502"/>
      <c r="M200" s="1502"/>
      <c r="O200" s="936" t="s">
        <v>551</v>
      </c>
      <c r="P200" s="936" t="s">
        <v>551</v>
      </c>
      <c r="Q200" s="936" t="s">
        <v>551</v>
      </c>
    </row>
    <row r="201" spans="1:22" hidden="1" outlineLevel="1">
      <c r="B201" s="930">
        <v>3</v>
      </c>
      <c r="C201" s="931" t="s">
        <v>2105</v>
      </c>
      <c r="D201" s="931"/>
      <c r="E201" s="931" t="s">
        <v>695</v>
      </c>
      <c r="F201" s="931" t="s">
        <v>281</v>
      </c>
      <c r="G201" s="932">
        <v>7345.1629999999996</v>
      </c>
      <c r="H201" s="930" t="s">
        <v>235</v>
      </c>
      <c r="I201" s="933">
        <v>45120.458333333336</v>
      </c>
      <c r="J201" s="934" t="s">
        <v>192</v>
      </c>
      <c r="K201" s="934" t="s">
        <v>192</v>
      </c>
      <c r="L201" s="1502"/>
      <c r="M201" s="1502"/>
      <c r="O201" s="936" t="s">
        <v>551</v>
      </c>
      <c r="P201" s="936" t="s">
        <v>551</v>
      </c>
      <c r="Q201" s="936" t="s">
        <v>551</v>
      </c>
    </row>
    <row r="202" spans="1:22" hidden="1" outlineLevel="1">
      <c r="B202" s="930">
        <v>4</v>
      </c>
      <c r="C202" s="931" t="s">
        <v>2629</v>
      </c>
      <c r="D202" s="931"/>
      <c r="E202" s="931" t="s">
        <v>205</v>
      </c>
      <c r="F202" s="931" t="s">
        <v>206</v>
      </c>
      <c r="G202" s="932">
        <v>7505</v>
      </c>
      <c r="H202" s="930" t="s">
        <v>84</v>
      </c>
      <c r="I202" s="933">
        <v>45121.458333333336</v>
      </c>
      <c r="J202" s="934" t="s">
        <v>192</v>
      </c>
      <c r="K202" s="934" t="s">
        <v>192</v>
      </c>
      <c r="L202" s="1511"/>
      <c r="M202" s="1511"/>
      <c r="O202" s="936" t="s">
        <v>551</v>
      </c>
      <c r="P202" s="936" t="s">
        <v>551</v>
      </c>
      <c r="Q202" s="936" t="s">
        <v>551</v>
      </c>
      <c r="S202" s="937"/>
    </row>
    <row r="203" spans="1:22" s="773" customFormat="1" ht="4.95" hidden="1" customHeight="1" outlineLevel="1">
      <c r="A203" s="770"/>
      <c r="B203" s="776"/>
      <c r="C203" s="774"/>
      <c r="D203" s="774"/>
      <c r="E203" s="774"/>
      <c r="F203" s="774"/>
      <c r="G203" s="775"/>
      <c r="H203" s="776"/>
      <c r="I203" s="925"/>
      <c r="J203" s="926"/>
      <c r="K203" s="926"/>
      <c r="L203" s="926"/>
      <c r="M203" s="926"/>
      <c r="N203" s="772"/>
      <c r="O203" s="928"/>
      <c r="P203" s="928"/>
      <c r="Q203" s="928"/>
    </row>
    <row r="204" spans="1:22" ht="14.4" hidden="1" customHeight="1" outlineLevel="1">
      <c r="B204" s="930">
        <v>1</v>
      </c>
      <c r="C204" s="931" t="s">
        <v>1937</v>
      </c>
      <c r="D204" s="931"/>
      <c r="E204" s="931" t="s">
        <v>809</v>
      </c>
      <c r="F204" s="931" t="s">
        <v>1618</v>
      </c>
      <c r="G204" s="932">
        <v>5309.2389999999996</v>
      </c>
      <c r="H204" s="930" t="s">
        <v>183</v>
      </c>
      <c r="I204" s="933">
        <v>45109.416666666664</v>
      </c>
      <c r="J204" s="934" t="s">
        <v>192</v>
      </c>
      <c r="K204" s="934" t="s">
        <v>192</v>
      </c>
      <c r="L204" s="1501" t="s">
        <v>3033</v>
      </c>
      <c r="M204" s="1501" t="s">
        <v>3034</v>
      </c>
      <c r="O204" s="936" t="s">
        <v>551</v>
      </c>
      <c r="P204" s="936" t="s">
        <v>551</v>
      </c>
      <c r="Q204" s="936" t="s">
        <v>551</v>
      </c>
      <c r="S204" s="937">
        <v>45125.591666666667</v>
      </c>
      <c r="U204" s="915" t="s">
        <v>183</v>
      </c>
      <c r="V204" s="951">
        <f>G204+G206+G209</f>
        <v>15905.105</v>
      </c>
    </row>
    <row r="205" spans="1:22" ht="14.4" hidden="1" customHeight="1" outlineLevel="1">
      <c r="B205" s="930">
        <v>2</v>
      </c>
      <c r="C205" s="931" t="s">
        <v>2635</v>
      </c>
      <c r="D205" s="931"/>
      <c r="E205" s="931" t="s">
        <v>355</v>
      </c>
      <c r="F205" s="931" t="s">
        <v>356</v>
      </c>
      <c r="G205" s="932">
        <v>7641.7820000000002</v>
      </c>
      <c r="H205" s="930" t="s">
        <v>172</v>
      </c>
      <c r="I205" s="933">
        <v>45115.548611111109</v>
      </c>
      <c r="J205" s="934" t="s">
        <v>192</v>
      </c>
      <c r="K205" s="934" t="s">
        <v>192</v>
      </c>
      <c r="L205" s="1502"/>
      <c r="M205" s="1502"/>
      <c r="O205" s="936" t="s">
        <v>551</v>
      </c>
      <c r="P205" s="936" t="s">
        <v>551</v>
      </c>
      <c r="Q205" s="936" t="s">
        <v>551</v>
      </c>
      <c r="U205" s="915" t="s">
        <v>172</v>
      </c>
      <c r="V205" s="951">
        <f>G205</f>
        <v>7641.7820000000002</v>
      </c>
    </row>
    <row r="206" spans="1:22" hidden="1" outlineLevel="1">
      <c r="B206" s="930">
        <v>3</v>
      </c>
      <c r="C206" s="931" t="s">
        <v>2644</v>
      </c>
      <c r="D206" s="931"/>
      <c r="E206" s="931" t="s">
        <v>1636</v>
      </c>
      <c r="F206" s="931" t="s">
        <v>806</v>
      </c>
      <c r="G206" s="932">
        <v>5345.3249999999998</v>
      </c>
      <c r="H206" s="930" t="s">
        <v>183</v>
      </c>
      <c r="I206" s="933">
        <v>45116.201388888891</v>
      </c>
      <c r="J206" s="934" t="s">
        <v>192</v>
      </c>
      <c r="K206" s="934" t="s">
        <v>192</v>
      </c>
      <c r="L206" s="1502"/>
      <c r="M206" s="1502"/>
      <c r="O206" s="936" t="s">
        <v>551</v>
      </c>
      <c r="P206" s="936" t="s">
        <v>551</v>
      </c>
      <c r="Q206" s="936" t="s">
        <v>551</v>
      </c>
      <c r="U206" s="915" t="s">
        <v>184</v>
      </c>
      <c r="V206" s="951">
        <f>G207+G208</f>
        <v>15072.638999999999</v>
      </c>
    </row>
    <row r="207" spans="1:22" hidden="1" outlineLevel="1">
      <c r="B207" s="930">
        <v>4</v>
      </c>
      <c r="C207" s="931" t="s">
        <v>2655</v>
      </c>
      <c r="D207" s="931"/>
      <c r="E207" s="931" t="s">
        <v>686</v>
      </c>
      <c r="F207" s="931" t="s">
        <v>1186</v>
      </c>
      <c r="G207" s="932">
        <v>7504.3050000000003</v>
      </c>
      <c r="H207" s="930" t="s">
        <v>184</v>
      </c>
      <c r="I207" s="933">
        <v>45119.208333333336</v>
      </c>
      <c r="J207" s="934" t="s">
        <v>192</v>
      </c>
      <c r="K207" s="934" t="s">
        <v>192</v>
      </c>
      <c r="L207" s="1502"/>
      <c r="M207" s="1502"/>
      <c r="O207" s="936" t="s">
        <v>551</v>
      </c>
      <c r="P207" s="936" t="s">
        <v>551</v>
      </c>
      <c r="Q207" s="936" t="s">
        <v>551</v>
      </c>
    </row>
    <row r="208" spans="1:22" hidden="1" outlineLevel="1">
      <c r="B208" s="930">
        <v>5</v>
      </c>
      <c r="C208" s="931" t="s">
        <v>2657</v>
      </c>
      <c r="D208" s="931"/>
      <c r="E208" s="931" t="s">
        <v>820</v>
      </c>
      <c r="F208" s="931" t="s">
        <v>1368</v>
      </c>
      <c r="G208" s="932">
        <v>7568.3339999999998</v>
      </c>
      <c r="H208" s="930" t="s">
        <v>184</v>
      </c>
      <c r="I208" s="933">
        <v>45121.25</v>
      </c>
      <c r="J208" s="934" t="s">
        <v>192</v>
      </c>
      <c r="K208" s="934" t="s">
        <v>192</v>
      </c>
      <c r="L208" s="1502"/>
      <c r="M208" s="1502"/>
      <c r="O208" s="936" t="s">
        <v>551</v>
      </c>
      <c r="P208" s="936" t="s">
        <v>551</v>
      </c>
      <c r="Q208" s="936" t="s">
        <v>551</v>
      </c>
    </row>
    <row r="209" spans="1:19" hidden="1" outlineLevel="1">
      <c r="B209" s="930">
        <v>6</v>
      </c>
      <c r="C209" s="931" t="s">
        <v>2645</v>
      </c>
      <c r="D209" s="931"/>
      <c r="E209" s="931" t="s">
        <v>793</v>
      </c>
      <c r="F209" s="931" t="s">
        <v>817</v>
      </c>
      <c r="G209" s="932">
        <v>5250.5410000000002</v>
      </c>
      <c r="H209" s="930" t="s">
        <v>183</v>
      </c>
      <c r="I209" s="933">
        <v>45122.291666666664</v>
      </c>
      <c r="J209" s="934" t="s">
        <v>192</v>
      </c>
      <c r="K209" s="934" t="s">
        <v>192</v>
      </c>
      <c r="L209" s="1511"/>
      <c r="M209" s="1511"/>
      <c r="O209" s="936" t="s">
        <v>551</v>
      </c>
      <c r="P209" s="936" t="s">
        <v>551</v>
      </c>
      <c r="Q209" s="936" t="s">
        <v>551</v>
      </c>
    </row>
    <row r="210" spans="1:19" s="773" customFormat="1" ht="4.95" hidden="1" customHeight="1" outlineLevel="1">
      <c r="A210" s="770"/>
      <c r="B210" s="776"/>
      <c r="C210" s="774"/>
      <c r="D210" s="774"/>
      <c r="E210" s="774"/>
      <c r="F210" s="774"/>
      <c r="G210" s="775"/>
      <c r="H210" s="776"/>
      <c r="I210" s="925"/>
      <c r="J210" s="926"/>
      <c r="K210" s="926"/>
      <c r="L210" s="926"/>
      <c r="M210" s="926"/>
      <c r="N210" s="772"/>
      <c r="O210" s="928"/>
      <c r="P210" s="928"/>
      <c r="Q210" s="928"/>
    </row>
    <row r="211" spans="1:19" hidden="1" outlineLevel="1">
      <c r="B211" s="930">
        <v>1</v>
      </c>
      <c r="C211" s="931" t="s">
        <v>2084</v>
      </c>
      <c r="D211" s="931"/>
      <c r="E211" s="931" t="s">
        <v>1307</v>
      </c>
      <c r="F211" s="931" t="s">
        <v>1308</v>
      </c>
      <c r="G211" s="932">
        <v>5141</v>
      </c>
      <c r="H211" s="930" t="s">
        <v>81</v>
      </c>
      <c r="I211" s="933">
        <v>45111.666666666664</v>
      </c>
      <c r="J211" s="934" t="s">
        <v>192</v>
      </c>
      <c r="K211" s="934" t="s">
        <v>192</v>
      </c>
      <c r="L211" s="1501" t="s">
        <v>4497</v>
      </c>
      <c r="M211" s="1501" t="s">
        <v>4498</v>
      </c>
      <c r="O211" s="936" t="s">
        <v>551</v>
      </c>
      <c r="P211" s="936" t="s">
        <v>551</v>
      </c>
      <c r="Q211" s="936" t="s">
        <v>551</v>
      </c>
      <c r="S211" s="937">
        <v>45126.520833333336</v>
      </c>
    </row>
    <row r="212" spans="1:19" ht="14.4" hidden="1" customHeight="1" outlineLevel="1">
      <c r="B212" s="930">
        <v>2</v>
      </c>
      <c r="C212" s="931" t="s">
        <v>2595</v>
      </c>
      <c r="D212" s="931"/>
      <c r="E212" s="931" t="s">
        <v>260</v>
      </c>
      <c r="F212" s="931" t="s">
        <v>261</v>
      </c>
      <c r="G212" s="932">
        <v>7500</v>
      </c>
      <c r="H212" s="930" t="s">
        <v>78</v>
      </c>
      <c r="I212" s="933">
        <v>45120.753472222219</v>
      </c>
      <c r="J212" s="934" t="s">
        <v>192</v>
      </c>
      <c r="K212" s="934" t="s">
        <v>192</v>
      </c>
      <c r="L212" s="1502"/>
      <c r="M212" s="1502"/>
      <c r="O212" s="936" t="s">
        <v>551</v>
      </c>
      <c r="P212" s="936" t="s">
        <v>551</v>
      </c>
      <c r="Q212" s="936" t="s">
        <v>551</v>
      </c>
    </row>
    <row r="213" spans="1:19" hidden="1" outlineLevel="1">
      <c r="B213" s="930">
        <v>3</v>
      </c>
      <c r="C213" s="931" t="s">
        <v>2596</v>
      </c>
      <c r="D213" s="931"/>
      <c r="E213" s="931" t="s">
        <v>226</v>
      </c>
      <c r="F213" s="931" t="s">
        <v>227</v>
      </c>
      <c r="G213" s="932">
        <v>7500</v>
      </c>
      <c r="H213" s="930" t="s">
        <v>78</v>
      </c>
      <c r="I213" s="933">
        <v>45122.409722222219</v>
      </c>
      <c r="J213" s="934" t="s">
        <v>192</v>
      </c>
      <c r="K213" s="934" t="s">
        <v>192</v>
      </c>
      <c r="L213" s="1511"/>
      <c r="M213" s="1511"/>
      <c r="O213" s="936" t="s">
        <v>551</v>
      </c>
      <c r="P213" s="936" t="s">
        <v>551</v>
      </c>
      <c r="Q213" s="936" t="s">
        <v>551</v>
      </c>
      <c r="S213" s="937"/>
    </row>
    <row r="214" spans="1:19" s="773" customFormat="1" ht="4.95" hidden="1" customHeight="1" outlineLevel="1">
      <c r="A214" s="770"/>
      <c r="B214" s="776"/>
      <c r="C214" s="774"/>
      <c r="D214" s="774"/>
      <c r="E214" s="774"/>
      <c r="F214" s="774"/>
      <c r="G214" s="775"/>
      <c r="H214" s="776"/>
      <c r="I214" s="925"/>
      <c r="J214" s="926"/>
      <c r="K214" s="926"/>
      <c r="L214" s="926"/>
      <c r="M214" s="926"/>
      <c r="N214" s="772"/>
      <c r="O214" s="928"/>
      <c r="P214" s="928"/>
      <c r="Q214" s="928"/>
    </row>
    <row r="215" spans="1:19" s="949" customFormat="1" hidden="1" outlineLevel="1">
      <c r="A215" s="950"/>
      <c r="B215" s="930">
        <v>1</v>
      </c>
      <c r="C215" s="931" t="s">
        <v>2598</v>
      </c>
      <c r="D215" s="931"/>
      <c r="E215" s="931" t="s">
        <v>238</v>
      </c>
      <c r="F215" s="931" t="s">
        <v>239</v>
      </c>
      <c r="G215" s="932">
        <v>7500</v>
      </c>
      <c r="H215" s="930" t="s">
        <v>78</v>
      </c>
      <c r="I215" s="933">
        <v>45122.4375</v>
      </c>
      <c r="J215" s="934" t="s">
        <v>192</v>
      </c>
      <c r="K215" s="934" t="s">
        <v>192</v>
      </c>
      <c r="L215" s="1501" t="s">
        <v>4499</v>
      </c>
      <c r="M215" s="1501" t="s">
        <v>4500</v>
      </c>
      <c r="N215" s="948"/>
      <c r="O215" s="936" t="s">
        <v>551</v>
      </c>
      <c r="P215" s="936" t="s">
        <v>551</v>
      </c>
      <c r="Q215" s="936" t="s">
        <v>551</v>
      </c>
      <c r="S215" s="937">
        <v>45127.591666666667</v>
      </c>
    </row>
    <row r="216" spans="1:19" s="949" customFormat="1" hidden="1" outlineLevel="1">
      <c r="A216" s="950"/>
      <c r="B216" s="930">
        <v>2</v>
      </c>
      <c r="C216" s="931" t="s">
        <v>2632</v>
      </c>
      <c r="D216" s="931"/>
      <c r="E216" s="931" t="s">
        <v>1972</v>
      </c>
      <c r="F216" s="931" t="s">
        <v>1973</v>
      </c>
      <c r="G216" s="932">
        <v>7500</v>
      </c>
      <c r="H216" s="930" t="s">
        <v>76</v>
      </c>
      <c r="I216" s="933">
        <v>45123.430555555555</v>
      </c>
      <c r="J216" s="934" t="s">
        <v>192</v>
      </c>
      <c r="K216" s="934" t="s">
        <v>192</v>
      </c>
      <c r="L216" s="1502"/>
      <c r="M216" s="1502"/>
      <c r="N216" s="948"/>
      <c r="O216" s="936" t="s">
        <v>551</v>
      </c>
      <c r="P216" s="936" t="s">
        <v>551</v>
      </c>
      <c r="Q216" s="936" t="s">
        <v>551</v>
      </c>
      <c r="S216" s="773"/>
    </row>
    <row r="217" spans="1:19" hidden="1" outlineLevel="1">
      <c r="B217" s="930">
        <v>3</v>
      </c>
      <c r="C217" s="931" t="s">
        <v>2630</v>
      </c>
      <c r="D217" s="931"/>
      <c r="E217" s="931" t="s">
        <v>686</v>
      </c>
      <c r="F217" s="931" t="s">
        <v>1186</v>
      </c>
      <c r="G217" s="932">
        <v>7506</v>
      </c>
      <c r="H217" s="930" t="s">
        <v>84</v>
      </c>
      <c r="I217" s="933">
        <v>45127.625</v>
      </c>
      <c r="J217" s="934" t="s">
        <v>192</v>
      </c>
      <c r="K217" s="934" t="s">
        <v>192</v>
      </c>
      <c r="L217" s="1511"/>
      <c r="M217" s="1511"/>
      <c r="O217" s="936" t="s">
        <v>551</v>
      </c>
      <c r="P217" s="936" t="s">
        <v>551</v>
      </c>
      <c r="Q217" s="936" t="s">
        <v>551</v>
      </c>
    </row>
    <row r="218" spans="1:19" s="773" customFormat="1" ht="4.95" hidden="1" customHeight="1" outlineLevel="1">
      <c r="A218" s="770"/>
      <c r="B218" s="776"/>
      <c r="C218" s="774"/>
      <c r="D218" s="774"/>
      <c r="E218" s="774"/>
      <c r="F218" s="774"/>
      <c r="G218" s="775"/>
      <c r="H218" s="776"/>
      <c r="I218" s="925"/>
      <c r="J218" s="926"/>
      <c r="K218" s="926"/>
      <c r="L218" s="926"/>
      <c r="M218" s="926"/>
      <c r="N218" s="772"/>
      <c r="O218" s="928"/>
      <c r="P218" s="928"/>
      <c r="Q218" s="928"/>
    </row>
    <row r="219" spans="1:19" hidden="1" outlineLevel="1">
      <c r="B219" s="930">
        <v>1</v>
      </c>
      <c r="C219" s="931" t="s">
        <v>2600</v>
      </c>
      <c r="D219" s="931"/>
      <c r="E219" s="931" t="s">
        <v>213</v>
      </c>
      <c r="F219" s="931" t="s">
        <v>214</v>
      </c>
      <c r="G219" s="932">
        <v>7500</v>
      </c>
      <c r="H219" s="930" t="s">
        <v>78</v>
      </c>
      <c r="I219" s="933">
        <v>45130.923611111109</v>
      </c>
      <c r="J219" s="934" t="s">
        <v>192</v>
      </c>
      <c r="K219" s="934" t="s">
        <v>192</v>
      </c>
      <c r="L219" s="940" t="s">
        <v>4501</v>
      </c>
      <c r="M219" s="940" t="s">
        <v>4502</v>
      </c>
      <c r="O219" s="936" t="s">
        <v>551</v>
      </c>
      <c r="P219" s="936" t="s">
        <v>551</v>
      </c>
      <c r="Q219" s="936" t="s">
        <v>551</v>
      </c>
      <c r="S219" s="937">
        <v>45131.270833333336</v>
      </c>
    </row>
    <row r="220" spans="1:19" s="773" customFormat="1" ht="4.95" hidden="1" customHeight="1" outlineLevel="1">
      <c r="A220" s="770"/>
      <c r="B220" s="776"/>
      <c r="C220" s="774"/>
      <c r="D220" s="774"/>
      <c r="E220" s="774"/>
      <c r="F220" s="774"/>
      <c r="G220" s="775"/>
      <c r="H220" s="776"/>
      <c r="I220" s="925"/>
      <c r="J220" s="926"/>
      <c r="K220" s="926"/>
      <c r="L220" s="926"/>
      <c r="M220" s="926"/>
      <c r="N220" s="772"/>
      <c r="O220" s="928"/>
      <c r="P220" s="928"/>
      <c r="Q220" s="928"/>
    </row>
    <row r="221" spans="1:19" hidden="1" outlineLevel="1">
      <c r="B221" s="930">
        <v>1</v>
      </c>
      <c r="C221" s="931" t="s">
        <v>2634</v>
      </c>
      <c r="D221" s="931"/>
      <c r="E221" s="931" t="s">
        <v>1483</v>
      </c>
      <c r="F221" s="931" t="s">
        <v>258</v>
      </c>
      <c r="G221" s="932">
        <v>7500</v>
      </c>
      <c r="H221" s="930" t="s">
        <v>76</v>
      </c>
      <c r="I221" s="933">
        <v>45131.256944444445</v>
      </c>
      <c r="J221" s="934" t="s">
        <v>192</v>
      </c>
      <c r="K221" s="934" t="s">
        <v>192</v>
      </c>
      <c r="L221" s="1501" t="s">
        <v>4503</v>
      </c>
      <c r="M221" s="1501" t="s">
        <v>4504</v>
      </c>
      <c r="O221" s="936" t="s">
        <v>551</v>
      </c>
      <c r="P221" s="936" t="s">
        <v>551</v>
      </c>
      <c r="Q221" s="936" t="s">
        <v>551</v>
      </c>
      <c r="S221" s="937">
        <v>45128.385416666664</v>
      </c>
    </row>
    <row r="222" spans="1:19" hidden="1" outlineLevel="1">
      <c r="B222" s="930">
        <v>2</v>
      </c>
      <c r="C222" s="931" t="s">
        <v>2587</v>
      </c>
      <c r="D222" s="931"/>
      <c r="E222" s="952" t="s">
        <v>2588</v>
      </c>
      <c r="F222" s="952" t="s">
        <v>2589</v>
      </c>
      <c r="G222" s="932">
        <v>5009.3879999999999</v>
      </c>
      <c r="H222" s="930" t="s">
        <v>88</v>
      </c>
      <c r="I222" s="933">
        <v>45133.614583333336</v>
      </c>
      <c r="J222" s="934" t="s">
        <v>192</v>
      </c>
      <c r="K222" s="934" t="s">
        <v>192</v>
      </c>
      <c r="L222" s="1511"/>
      <c r="M222" s="1511"/>
      <c r="O222" s="936" t="s">
        <v>551</v>
      </c>
      <c r="P222" s="936" t="s">
        <v>551</v>
      </c>
      <c r="Q222" s="936" t="s">
        <v>551</v>
      </c>
    </row>
    <row r="223" spans="1:19" s="773" customFormat="1" ht="4.95" hidden="1" customHeight="1" outlineLevel="1">
      <c r="A223" s="770"/>
      <c r="B223" s="776"/>
      <c r="C223" s="774"/>
      <c r="D223" s="774"/>
      <c r="E223" s="774"/>
      <c r="F223" s="774"/>
      <c r="G223" s="775"/>
      <c r="H223" s="776"/>
      <c r="I223" s="925"/>
      <c r="J223" s="926"/>
      <c r="K223" s="926"/>
      <c r="L223" s="926"/>
      <c r="M223" s="926"/>
      <c r="N223" s="772"/>
      <c r="O223" s="928"/>
      <c r="P223" s="928"/>
      <c r="Q223" s="928"/>
    </row>
    <row r="224" spans="1:19" s="949" customFormat="1" ht="14.4" hidden="1" customHeight="1" outlineLevel="1">
      <c r="A224" s="950"/>
      <c r="B224" s="930">
        <v>1</v>
      </c>
      <c r="C224" s="931" t="s">
        <v>2633</v>
      </c>
      <c r="D224" s="931"/>
      <c r="E224" s="931" t="s">
        <v>355</v>
      </c>
      <c r="F224" s="931" t="s">
        <v>356</v>
      </c>
      <c r="G224" s="932">
        <v>7500</v>
      </c>
      <c r="H224" s="930" t="s">
        <v>76</v>
      </c>
      <c r="I224" s="933">
        <v>45123.590277777781</v>
      </c>
      <c r="J224" s="934" t="s">
        <v>192</v>
      </c>
      <c r="K224" s="934" t="s">
        <v>192</v>
      </c>
      <c r="L224" s="1501" t="s">
        <v>4505</v>
      </c>
      <c r="M224" s="1501" t="s">
        <v>4506</v>
      </c>
      <c r="N224" s="948"/>
      <c r="O224" s="936" t="s">
        <v>551</v>
      </c>
      <c r="P224" s="936" t="s">
        <v>551</v>
      </c>
      <c r="Q224" s="936" t="s">
        <v>551</v>
      </c>
      <c r="S224" s="937">
        <v>45132.5</v>
      </c>
    </row>
    <row r="225" spans="1:22" ht="14.4" hidden="1" customHeight="1" outlineLevel="1">
      <c r="B225" s="930">
        <v>2</v>
      </c>
      <c r="C225" s="931" t="s">
        <v>2616</v>
      </c>
      <c r="D225" s="931"/>
      <c r="E225" s="931" t="s">
        <v>383</v>
      </c>
      <c r="F225" s="931" t="s">
        <v>384</v>
      </c>
      <c r="G225" s="932">
        <v>5218.4660000000003</v>
      </c>
      <c r="H225" s="930" t="s">
        <v>235</v>
      </c>
      <c r="I225" s="933">
        <v>45133.861111111109</v>
      </c>
      <c r="J225" s="934" t="s">
        <v>192</v>
      </c>
      <c r="K225" s="934" t="s">
        <v>192</v>
      </c>
      <c r="L225" s="1502"/>
      <c r="M225" s="1502"/>
      <c r="O225" s="936" t="s">
        <v>551</v>
      </c>
      <c r="P225" s="936" t="s">
        <v>551</v>
      </c>
      <c r="Q225" s="936" t="s">
        <v>551</v>
      </c>
    </row>
    <row r="226" spans="1:22" hidden="1" outlineLevel="1">
      <c r="B226" s="930">
        <v>3</v>
      </c>
      <c r="C226" s="931" t="s">
        <v>2627</v>
      </c>
      <c r="D226" s="931"/>
      <c r="E226" s="931" t="s">
        <v>453</v>
      </c>
      <c r="F226" s="931" t="s">
        <v>454</v>
      </c>
      <c r="G226" s="932">
        <v>7138.0690000000004</v>
      </c>
      <c r="H226" s="930" t="s">
        <v>181</v>
      </c>
      <c r="I226" s="933">
        <v>45134.5625</v>
      </c>
      <c r="J226" s="934" t="s">
        <v>192</v>
      </c>
      <c r="K226" s="934" t="s">
        <v>192</v>
      </c>
      <c r="L226" s="1502"/>
      <c r="M226" s="1502"/>
      <c r="O226" s="936" t="s">
        <v>551</v>
      </c>
      <c r="P226" s="936" t="s">
        <v>551</v>
      </c>
      <c r="Q226" s="936" t="s">
        <v>551</v>
      </c>
    </row>
    <row r="227" spans="1:22" hidden="1" outlineLevel="1">
      <c r="B227" s="930">
        <v>4</v>
      </c>
      <c r="C227" s="931" t="s">
        <v>2618</v>
      </c>
      <c r="D227" s="931"/>
      <c r="E227" s="931" t="s">
        <v>367</v>
      </c>
      <c r="F227" s="931" t="s">
        <v>368</v>
      </c>
      <c r="G227" s="932">
        <v>10003.101000000001</v>
      </c>
      <c r="H227" s="930" t="s">
        <v>235</v>
      </c>
      <c r="I227" s="933">
        <v>45135.704861111109</v>
      </c>
      <c r="J227" s="934" t="s">
        <v>192</v>
      </c>
      <c r="K227" s="934" t="s">
        <v>192</v>
      </c>
      <c r="L227" s="1511"/>
      <c r="M227" s="1511"/>
      <c r="O227" s="936" t="s">
        <v>551</v>
      </c>
      <c r="P227" s="936" t="s">
        <v>551</v>
      </c>
      <c r="Q227" s="936" t="s">
        <v>551</v>
      </c>
    </row>
    <row r="228" spans="1:22" s="773" customFormat="1" ht="4.95" hidden="1" customHeight="1" outlineLevel="1">
      <c r="A228" s="770"/>
      <c r="B228" s="776"/>
      <c r="C228" s="774"/>
      <c r="D228" s="774"/>
      <c r="E228" s="774"/>
      <c r="F228" s="774"/>
      <c r="G228" s="775"/>
      <c r="H228" s="776"/>
      <c r="I228" s="925"/>
      <c r="J228" s="926"/>
      <c r="K228" s="926"/>
      <c r="L228" s="926"/>
      <c r="M228" s="926"/>
      <c r="N228" s="772"/>
      <c r="O228" s="928"/>
      <c r="P228" s="928"/>
      <c r="Q228" s="928"/>
    </row>
    <row r="229" spans="1:22" hidden="1" outlineLevel="1">
      <c r="B229" s="930">
        <v>1</v>
      </c>
      <c r="C229" s="931" t="s">
        <v>2625</v>
      </c>
      <c r="D229" s="931"/>
      <c r="E229" s="952" t="s">
        <v>1303</v>
      </c>
      <c r="F229" s="952" t="s">
        <v>1304</v>
      </c>
      <c r="G229" s="932">
        <v>5046</v>
      </c>
      <c r="H229" s="930" t="s">
        <v>81</v>
      </c>
      <c r="I229" s="933">
        <v>45137.381944444445</v>
      </c>
      <c r="J229" s="934" t="s">
        <v>192</v>
      </c>
      <c r="K229" s="934" t="s">
        <v>192</v>
      </c>
      <c r="L229" s="953" t="s">
        <v>1052</v>
      </c>
      <c r="M229" s="953" t="s">
        <v>4507</v>
      </c>
      <c r="O229" s="936" t="s">
        <v>551</v>
      </c>
      <c r="P229" s="936" t="s">
        <v>551</v>
      </c>
      <c r="Q229" s="936" t="s">
        <v>873</v>
      </c>
      <c r="S229" s="937">
        <v>45137.162499999999</v>
      </c>
    </row>
    <row r="230" spans="1:22" s="773" customFormat="1" ht="4.95" hidden="1" customHeight="1" outlineLevel="1">
      <c r="A230" s="770"/>
      <c r="B230" s="776"/>
      <c r="C230" s="774"/>
      <c r="D230" s="774"/>
      <c r="E230" s="774"/>
      <c r="F230" s="774"/>
      <c r="G230" s="775"/>
      <c r="H230" s="776"/>
      <c r="I230" s="925"/>
      <c r="J230" s="926"/>
      <c r="K230" s="926"/>
      <c r="L230" s="926"/>
      <c r="M230" s="926"/>
      <c r="N230" s="772"/>
      <c r="O230" s="928"/>
      <c r="P230" s="928"/>
      <c r="Q230" s="928"/>
    </row>
    <row r="231" spans="1:22" s="949" customFormat="1" hidden="1" outlineLevel="1">
      <c r="A231" s="929" t="s">
        <v>4508</v>
      </c>
      <c r="B231" s="930">
        <v>1</v>
      </c>
      <c r="C231" s="931" t="s">
        <v>2646</v>
      </c>
      <c r="D231" s="931"/>
      <c r="E231" s="954" t="s">
        <v>1364</v>
      </c>
      <c r="F231" s="931" t="s">
        <v>1365</v>
      </c>
      <c r="G231" s="932">
        <v>5279.8559999999998</v>
      </c>
      <c r="H231" s="930" t="s">
        <v>183</v>
      </c>
      <c r="I231" s="933">
        <v>45124.083333333336</v>
      </c>
      <c r="J231" s="934" t="s">
        <v>192</v>
      </c>
      <c r="K231" s="934" t="s">
        <v>192</v>
      </c>
      <c r="L231" s="1501" t="s">
        <v>3039</v>
      </c>
      <c r="M231" s="1501" t="s">
        <v>3040</v>
      </c>
      <c r="N231" s="948"/>
      <c r="O231" s="955" t="s">
        <v>551</v>
      </c>
      <c r="P231" s="955" t="s">
        <v>551</v>
      </c>
      <c r="Q231" s="955" t="s">
        <v>551</v>
      </c>
      <c r="S231" s="937">
        <v>45130.275000000001</v>
      </c>
      <c r="U231" s="915" t="s">
        <v>183</v>
      </c>
      <c r="V231" s="956">
        <f>G231+G232+G233</f>
        <v>15851.882000000001</v>
      </c>
    </row>
    <row r="232" spans="1:22" hidden="1" outlineLevel="1">
      <c r="B232" s="930">
        <v>2</v>
      </c>
      <c r="C232" s="931" t="s">
        <v>2648</v>
      </c>
      <c r="D232" s="931"/>
      <c r="E232" s="931" t="s">
        <v>809</v>
      </c>
      <c r="F232" s="931" t="s">
        <v>4509</v>
      </c>
      <c r="G232" s="932">
        <v>5270.9570000000003</v>
      </c>
      <c r="H232" s="930" t="s">
        <v>183</v>
      </c>
      <c r="I232" s="933">
        <v>45124.090277777781</v>
      </c>
      <c r="J232" s="934" t="s">
        <v>192</v>
      </c>
      <c r="K232" s="934" t="s">
        <v>192</v>
      </c>
      <c r="L232" s="1502"/>
      <c r="M232" s="1502"/>
      <c r="O232" s="936" t="s">
        <v>551</v>
      </c>
      <c r="P232" s="936" t="s">
        <v>551</v>
      </c>
      <c r="Q232" s="936" t="s">
        <v>551</v>
      </c>
      <c r="U232" s="915" t="s">
        <v>172</v>
      </c>
      <c r="V232" s="951">
        <f>G234+G235+G236</f>
        <v>22586.952000000001</v>
      </c>
    </row>
    <row r="233" spans="1:22" hidden="1" outlineLevel="1">
      <c r="B233" s="930">
        <v>3</v>
      </c>
      <c r="C233" s="931" t="s">
        <v>2167</v>
      </c>
      <c r="D233" s="931"/>
      <c r="E233" s="931" t="s">
        <v>1626</v>
      </c>
      <c r="F233" s="931" t="s">
        <v>2649</v>
      </c>
      <c r="G233" s="932">
        <v>5301.0690000000004</v>
      </c>
      <c r="H233" s="930" t="s">
        <v>183</v>
      </c>
      <c r="I233" s="933">
        <v>45126.309027777781</v>
      </c>
      <c r="J233" s="934" t="s">
        <v>192</v>
      </c>
      <c r="K233" s="934" t="s">
        <v>192</v>
      </c>
      <c r="L233" s="1502"/>
      <c r="M233" s="1502"/>
      <c r="O233" s="936" t="s">
        <v>551</v>
      </c>
      <c r="P233" s="936" t="s">
        <v>551</v>
      </c>
      <c r="Q233" s="936" t="s">
        <v>551</v>
      </c>
      <c r="U233" s="915" t="s">
        <v>88</v>
      </c>
      <c r="V233" s="951">
        <f>G237</f>
        <v>5009.1790000000001</v>
      </c>
    </row>
    <row r="234" spans="1:22" hidden="1" outlineLevel="1">
      <c r="B234" s="930">
        <v>4</v>
      </c>
      <c r="C234" s="931" t="s">
        <v>2637</v>
      </c>
      <c r="D234" s="931"/>
      <c r="E234" s="931" t="s">
        <v>70</v>
      </c>
      <c r="F234" s="931" t="s">
        <v>1982</v>
      </c>
      <c r="G234" s="932">
        <v>7500.9160000000002</v>
      </c>
      <c r="H234" s="930" t="s">
        <v>172</v>
      </c>
      <c r="I234" s="933">
        <v>45128.854166666664</v>
      </c>
      <c r="J234" s="934" t="s">
        <v>192</v>
      </c>
      <c r="K234" s="934" t="s">
        <v>192</v>
      </c>
      <c r="L234" s="1502"/>
      <c r="M234" s="1502"/>
      <c r="O234" s="936" t="s">
        <v>551</v>
      </c>
      <c r="P234" s="936" t="s">
        <v>551</v>
      </c>
      <c r="Q234" s="936" t="s">
        <v>551</v>
      </c>
    </row>
    <row r="235" spans="1:22" hidden="1" outlineLevel="1">
      <c r="B235" s="930">
        <v>5</v>
      </c>
      <c r="C235" s="931" t="s">
        <v>2638</v>
      </c>
      <c r="D235" s="931"/>
      <c r="E235" s="931" t="s">
        <v>437</v>
      </c>
      <c r="F235" s="931" t="s">
        <v>320</v>
      </c>
      <c r="G235" s="932">
        <v>7501.46</v>
      </c>
      <c r="H235" s="930" t="s">
        <v>172</v>
      </c>
      <c r="I235" s="933">
        <v>45129.760416666664</v>
      </c>
      <c r="J235" s="934" t="s">
        <v>192</v>
      </c>
      <c r="K235" s="934" t="s">
        <v>192</v>
      </c>
      <c r="L235" s="1502"/>
      <c r="M235" s="1502"/>
      <c r="O235" s="936" t="s">
        <v>551</v>
      </c>
      <c r="P235" s="936" t="s">
        <v>551</v>
      </c>
      <c r="Q235" s="936" t="s">
        <v>551</v>
      </c>
    </row>
    <row r="236" spans="1:22" hidden="1" outlineLevel="1">
      <c r="B236" s="930">
        <v>6</v>
      </c>
      <c r="C236" s="931" t="s">
        <v>2639</v>
      </c>
      <c r="D236" s="931"/>
      <c r="E236" s="931" t="s">
        <v>208</v>
      </c>
      <c r="F236" s="931" t="s">
        <v>328</v>
      </c>
      <c r="G236" s="932">
        <v>7584.576</v>
      </c>
      <c r="H236" s="930" t="s">
        <v>172</v>
      </c>
      <c r="I236" s="933">
        <v>45131.572916666664</v>
      </c>
      <c r="J236" s="934" t="s">
        <v>192</v>
      </c>
      <c r="K236" s="934" t="s">
        <v>192</v>
      </c>
      <c r="L236" s="1502"/>
      <c r="M236" s="1502"/>
      <c r="O236" s="936" t="s">
        <v>551</v>
      </c>
      <c r="P236" s="936" t="s">
        <v>551</v>
      </c>
      <c r="Q236" s="936" t="s">
        <v>551</v>
      </c>
    </row>
    <row r="237" spans="1:22" hidden="1" outlineLevel="1">
      <c r="B237" s="930">
        <v>7</v>
      </c>
      <c r="C237" s="931" t="s">
        <v>2587</v>
      </c>
      <c r="D237" s="931"/>
      <c r="E237" s="952" t="s">
        <v>2592</v>
      </c>
      <c r="F237" s="952" t="s">
        <v>2593</v>
      </c>
      <c r="G237" s="932">
        <v>5009.1790000000001</v>
      </c>
      <c r="H237" s="930" t="s">
        <v>88</v>
      </c>
      <c r="I237" s="933">
        <v>45135.25</v>
      </c>
      <c r="J237" s="934" t="s">
        <v>192</v>
      </c>
      <c r="K237" s="934" t="s">
        <v>192</v>
      </c>
      <c r="L237" s="1511"/>
      <c r="M237" s="1511"/>
      <c r="O237" s="936" t="s">
        <v>551</v>
      </c>
      <c r="P237" s="936" t="s">
        <v>551</v>
      </c>
      <c r="Q237" s="936" t="s">
        <v>551</v>
      </c>
    </row>
    <row r="238" spans="1:22" s="773" customFormat="1" ht="4.95" hidden="1" customHeight="1" outlineLevel="1">
      <c r="A238" s="770"/>
      <c r="B238" s="776"/>
      <c r="C238" s="774"/>
      <c r="D238" s="774"/>
      <c r="E238" s="774"/>
      <c r="F238" s="774"/>
      <c r="G238" s="775"/>
      <c r="H238" s="776"/>
      <c r="I238" s="925"/>
      <c r="J238" s="926"/>
      <c r="K238" s="926"/>
      <c r="L238" s="926"/>
      <c r="M238" s="926"/>
      <c r="N238" s="772"/>
      <c r="O238" s="928"/>
      <c r="P238" s="928"/>
      <c r="Q238" s="928"/>
    </row>
    <row r="239" spans="1:22" hidden="1" outlineLevel="1">
      <c r="B239" s="930">
        <v>1</v>
      </c>
      <c r="C239" s="931" t="s">
        <v>2602</v>
      </c>
      <c r="D239" s="931"/>
      <c r="E239" s="952" t="s">
        <v>218</v>
      </c>
      <c r="F239" s="952" t="s">
        <v>219</v>
      </c>
      <c r="G239" s="932">
        <v>7500</v>
      </c>
      <c r="H239" s="930" t="s">
        <v>78</v>
      </c>
      <c r="I239" s="933">
        <v>45133.979166666664</v>
      </c>
      <c r="J239" s="934" t="s">
        <v>192</v>
      </c>
      <c r="K239" s="934" t="s">
        <v>192</v>
      </c>
      <c r="L239" s="1501" t="s">
        <v>4510</v>
      </c>
      <c r="M239" s="1501" t="s">
        <v>4511</v>
      </c>
      <c r="O239" s="936" t="s">
        <v>551</v>
      </c>
      <c r="P239" s="936" t="s">
        <v>551</v>
      </c>
      <c r="Q239" s="936" t="s">
        <v>551</v>
      </c>
      <c r="S239" s="937">
        <v>45137.625</v>
      </c>
    </row>
    <row r="240" spans="1:22" hidden="1" outlineLevel="1">
      <c r="B240" s="930">
        <v>2</v>
      </c>
      <c r="C240" s="931" t="s">
        <v>2640</v>
      </c>
      <c r="D240" s="931"/>
      <c r="E240" s="952" t="s">
        <v>260</v>
      </c>
      <c r="F240" s="952" t="s">
        <v>261</v>
      </c>
      <c r="G240" s="932">
        <v>7516.1610000000001</v>
      </c>
      <c r="H240" s="930" t="s">
        <v>172</v>
      </c>
      <c r="I240" s="933">
        <v>45138.243055555555</v>
      </c>
      <c r="J240" s="934" t="s">
        <v>192</v>
      </c>
      <c r="K240" s="934" t="s">
        <v>192</v>
      </c>
      <c r="L240" s="1502"/>
      <c r="M240" s="1502"/>
      <c r="O240" s="936" t="s">
        <v>551</v>
      </c>
      <c r="P240" s="936" t="s">
        <v>551</v>
      </c>
      <c r="Q240" s="936" t="s">
        <v>873</v>
      </c>
    </row>
    <row r="241" spans="1:22" s="949" customFormat="1" hidden="1" outlineLevel="1">
      <c r="A241" s="950"/>
      <c r="B241" s="930">
        <v>3</v>
      </c>
      <c r="C241" s="931" t="s">
        <v>2167</v>
      </c>
      <c r="D241" s="931"/>
      <c r="E241" s="931" t="s">
        <v>1636</v>
      </c>
      <c r="F241" s="931" t="s">
        <v>817</v>
      </c>
      <c r="G241" s="932">
        <v>5180.5990000000002</v>
      </c>
      <c r="H241" s="930" t="s">
        <v>183</v>
      </c>
      <c r="I241" s="933">
        <v>45135.184027777781</v>
      </c>
      <c r="J241" s="934" t="s">
        <v>192</v>
      </c>
      <c r="K241" s="934" t="s">
        <v>192</v>
      </c>
      <c r="L241" s="1511"/>
      <c r="M241" s="1511"/>
      <c r="N241" s="948"/>
      <c r="O241" s="955" t="s">
        <v>551</v>
      </c>
      <c r="P241" s="955" t="s">
        <v>551</v>
      </c>
      <c r="Q241" s="955" t="s">
        <v>551</v>
      </c>
      <c r="S241" s="773"/>
    </row>
    <row r="242" spans="1:22" s="773" customFormat="1" ht="4.95" hidden="1" customHeight="1" outlineLevel="1">
      <c r="A242" s="770"/>
      <c r="B242" s="776"/>
      <c r="C242" s="774"/>
      <c r="D242" s="774"/>
      <c r="E242" s="774"/>
      <c r="F242" s="774"/>
      <c r="G242" s="775"/>
      <c r="H242" s="776"/>
      <c r="I242" s="925"/>
      <c r="J242" s="926"/>
      <c r="K242" s="926"/>
      <c r="L242" s="926"/>
      <c r="M242" s="926"/>
      <c r="N242" s="772"/>
      <c r="O242" s="928"/>
      <c r="P242" s="928"/>
      <c r="Q242" s="928"/>
    </row>
    <row r="243" spans="1:22" s="949" customFormat="1" hidden="1" outlineLevel="1">
      <c r="A243" s="950"/>
      <c r="B243" s="930">
        <v>1</v>
      </c>
      <c r="C243" s="931" t="s">
        <v>2604</v>
      </c>
      <c r="D243" s="931"/>
      <c r="E243" s="952" t="s">
        <v>1972</v>
      </c>
      <c r="F243" s="952" t="s">
        <v>1973</v>
      </c>
      <c r="G243" s="932">
        <v>7500</v>
      </c>
      <c r="H243" s="930" t="s">
        <v>78</v>
      </c>
      <c r="I243" s="933">
        <v>45139.291666666664</v>
      </c>
      <c r="J243" s="934" t="s">
        <v>192</v>
      </c>
      <c r="K243" s="934" t="s">
        <v>192</v>
      </c>
      <c r="L243" s="1501" t="s">
        <v>4512</v>
      </c>
      <c r="M243" s="1501" t="s">
        <v>4513</v>
      </c>
      <c r="N243" s="948"/>
      <c r="O243" s="955" t="s">
        <v>873</v>
      </c>
      <c r="P243" s="955" t="s">
        <v>873</v>
      </c>
      <c r="Q243" s="955" t="s">
        <v>873</v>
      </c>
      <c r="S243" s="937">
        <v>45140.625</v>
      </c>
    </row>
    <row r="244" spans="1:22" s="949" customFormat="1" hidden="1" outlineLevel="1">
      <c r="A244" s="950"/>
      <c r="B244" s="930">
        <v>2</v>
      </c>
      <c r="C244" s="931" t="s">
        <v>2628</v>
      </c>
      <c r="D244" s="931"/>
      <c r="E244" s="952" t="s">
        <v>1307</v>
      </c>
      <c r="F244" s="952" t="s">
        <v>1308</v>
      </c>
      <c r="G244" s="932">
        <v>5047</v>
      </c>
      <c r="H244" s="930" t="s">
        <v>82</v>
      </c>
      <c r="I244" s="933">
        <v>45141.208333333336</v>
      </c>
      <c r="J244" s="934" t="s">
        <v>192</v>
      </c>
      <c r="K244" s="934" t="s">
        <v>192</v>
      </c>
      <c r="L244" s="1502"/>
      <c r="M244" s="1502"/>
      <c r="N244" s="948"/>
      <c r="O244" s="955" t="s">
        <v>873</v>
      </c>
      <c r="P244" s="955" t="s">
        <v>873</v>
      </c>
      <c r="Q244" s="955" t="s">
        <v>873</v>
      </c>
      <c r="S244" s="773"/>
    </row>
    <row r="245" spans="1:22" hidden="1" outlineLevel="1">
      <c r="B245" s="930">
        <v>3</v>
      </c>
      <c r="C245" s="931" t="s">
        <v>2673</v>
      </c>
      <c r="D245" s="931"/>
      <c r="E245" s="952" t="s">
        <v>505</v>
      </c>
      <c r="F245" s="952" t="s">
        <v>340</v>
      </c>
      <c r="G245" s="932">
        <v>7500</v>
      </c>
      <c r="H245" s="930" t="s">
        <v>78</v>
      </c>
      <c r="I245" s="933">
        <v>45141.847222222219</v>
      </c>
      <c r="J245" s="934" t="s">
        <v>192</v>
      </c>
      <c r="K245" s="934" t="s">
        <v>192</v>
      </c>
      <c r="L245" s="1502"/>
      <c r="M245" s="1502"/>
      <c r="O245" s="936" t="s">
        <v>873</v>
      </c>
      <c r="P245" s="936" t="s">
        <v>873</v>
      </c>
      <c r="Q245" s="936" t="s">
        <v>873</v>
      </c>
    </row>
    <row r="246" spans="1:22" s="773" customFormat="1" ht="4.95" hidden="1" customHeight="1" outlineLevel="1">
      <c r="A246" s="770"/>
      <c r="B246" s="776"/>
      <c r="C246" s="774"/>
      <c r="D246" s="774"/>
      <c r="E246" s="774"/>
      <c r="F246" s="774"/>
      <c r="G246" s="775"/>
      <c r="H246" s="776"/>
      <c r="I246" s="925"/>
      <c r="J246" s="926"/>
      <c r="K246" s="926"/>
      <c r="L246" s="926"/>
      <c r="M246" s="926"/>
      <c r="N246" s="772"/>
      <c r="O246" s="928"/>
      <c r="P246" s="928"/>
      <c r="Q246" s="928"/>
    </row>
    <row r="247" spans="1:22" s="779" customFormat="1" ht="13.8" hidden="1" outlineLevel="1">
      <c r="A247" s="790"/>
      <c r="B247" s="930">
        <v>1</v>
      </c>
      <c r="C247" s="931" t="s">
        <v>2676</v>
      </c>
      <c r="D247" s="931"/>
      <c r="E247" s="952" t="s">
        <v>330</v>
      </c>
      <c r="F247" s="952" t="s">
        <v>331</v>
      </c>
      <c r="G247" s="932">
        <v>7500</v>
      </c>
      <c r="H247" s="930" t="s">
        <v>78</v>
      </c>
      <c r="I247" s="933">
        <v>45143.392361111109</v>
      </c>
      <c r="J247" s="934" t="s">
        <v>192</v>
      </c>
      <c r="K247" s="934" t="s">
        <v>192</v>
      </c>
      <c r="L247" s="947" t="s">
        <v>4514</v>
      </c>
      <c r="M247" s="947" t="s">
        <v>4515</v>
      </c>
      <c r="N247" s="812"/>
      <c r="O247" s="936" t="s">
        <v>873</v>
      </c>
      <c r="P247" s="936" t="s">
        <v>873</v>
      </c>
      <c r="Q247" s="936" t="s">
        <v>873</v>
      </c>
      <c r="S247" s="937">
        <v>45142.333333333336</v>
      </c>
    </row>
    <row r="248" spans="1:22" s="773" customFormat="1" ht="4.95" hidden="1" customHeight="1" outlineLevel="1">
      <c r="A248" s="770"/>
      <c r="B248" s="776"/>
      <c r="C248" s="774"/>
      <c r="D248" s="774"/>
      <c r="E248" s="774"/>
      <c r="F248" s="774"/>
      <c r="G248" s="775"/>
      <c r="H248" s="776"/>
      <c r="I248" s="925"/>
      <c r="J248" s="926"/>
      <c r="K248" s="926"/>
      <c r="L248" s="926"/>
      <c r="M248" s="926"/>
      <c r="N248" s="772"/>
      <c r="O248" s="928"/>
      <c r="P248" s="928"/>
      <c r="Q248" s="928"/>
    </row>
    <row r="249" spans="1:22" s="779" customFormat="1" ht="13.8" hidden="1" outlineLevel="1">
      <c r="A249" s="790"/>
      <c r="B249" s="930">
        <v>1</v>
      </c>
      <c r="C249" s="931" t="s">
        <v>2678</v>
      </c>
      <c r="D249" s="931"/>
      <c r="E249" s="952" t="s">
        <v>70</v>
      </c>
      <c r="F249" s="952" t="s">
        <v>1982</v>
      </c>
      <c r="G249" s="932">
        <v>7500</v>
      </c>
      <c r="H249" s="930" t="s">
        <v>78</v>
      </c>
      <c r="I249" s="933">
        <v>45145.270833333336</v>
      </c>
      <c r="J249" s="934" t="s">
        <v>192</v>
      </c>
      <c r="K249" s="934" t="s">
        <v>192</v>
      </c>
      <c r="L249" s="1506" t="s">
        <v>4516</v>
      </c>
      <c r="M249" s="1506" t="s">
        <v>4517</v>
      </c>
      <c r="N249" s="812"/>
      <c r="O249" s="936" t="s">
        <v>873</v>
      </c>
      <c r="P249" s="936" t="s">
        <v>873</v>
      </c>
      <c r="Q249" s="936" t="s">
        <v>873</v>
      </c>
      <c r="S249" s="937">
        <v>45148.195833333331</v>
      </c>
    </row>
    <row r="250" spans="1:22" hidden="1" outlineLevel="1">
      <c r="B250" s="930">
        <v>2</v>
      </c>
      <c r="C250" s="931" t="s">
        <v>2719</v>
      </c>
      <c r="D250" s="931"/>
      <c r="E250" s="952" t="s">
        <v>292</v>
      </c>
      <c r="F250" s="952" t="s">
        <v>293</v>
      </c>
      <c r="G250" s="932">
        <v>7522</v>
      </c>
      <c r="H250" s="930" t="s">
        <v>84</v>
      </c>
      <c r="I250" s="933">
        <v>45145.604166666664</v>
      </c>
      <c r="J250" s="934" t="s">
        <v>192</v>
      </c>
      <c r="K250" s="934" t="s">
        <v>192</v>
      </c>
      <c r="L250" s="1509"/>
      <c r="M250" s="1509"/>
      <c r="O250" s="936" t="s">
        <v>873</v>
      </c>
      <c r="P250" s="936" t="s">
        <v>873</v>
      </c>
      <c r="Q250" s="936" t="s">
        <v>873</v>
      </c>
    </row>
    <row r="251" spans="1:22" hidden="1" outlineLevel="1">
      <c r="B251" s="930">
        <v>3</v>
      </c>
      <c r="C251" s="931" t="s">
        <v>2726</v>
      </c>
      <c r="D251" s="931"/>
      <c r="E251" s="952" t="s">
        <v>346</v>
      </c>
      <c r="F251" s="952" t="s">
        <v>347</v>
      </c>
      <c r="G251" s="932">
        <v>6653.5879999999997</v>
      </c>
      <c r="H251" s="930" t="s">
        <v>172</v>
      </c>
      <c r="I251" s="933">
        <v>45145.815972222219</v>
      </c>
      <c r="J251" s="934" t="s">
        <v>192</v>
      </c>
      <c r="K251" s="934" t="s">
        <v>192</v>
      </c>
      <c r="L251" s="1507"/>
      <c r="M251" s="1507"/>
      <c r="O251" s="936" t="s">
        <v>873</v>
      </c>
      <c r="P251" s="936" t="s">
        <v>873</v>
      </c>
      <c r="Q251" s="936" t="s">
        <v>873</v>
      </c>
    </row>
    <row r="252" spans="1:22" s="773" customFormat="1" ht="4.95" hidden="1" customHeight="1" outlineLevel="1">
      <c r="A252" s="770"/>
      <c r="B252" s="776"/>
      <c r="C252" s="774"/>
      <c r="D252" s="774"/>
      <c r="E252" s="774"/>
      <c r="F252" s="774"/>
      <c r="G252" s="775"/>
      <c r="H252" s="776"/>
      <c r="I252" s="925"/>
      <c r="J252" s="926"/>
      <c r="K252" s="926"/>
      <c r="L252" s="926"/>
      <c r="M252" s="926"/>
      <c r="N252" s="772"/>
      <c r="O252" s="928"/>
      <c r="P252" s="928"/>
      <c r="Q252" s="928"/>
    </row>
    <row r="253" spans="1:22" s="949" customFormat="1" hidden="1" outlineLevel="1">
      <c r="A253" s="950"/>
      <c r="B253" s="930">
        <v>1</v>
      </c>
      <c r="C253" s="931" t="s">
        <v>2642</v>
      </c>
      <c r="D253" s="931"/>
      <c r="E253" s="952" t="s">
        <v>307</v>
      </c>
      <c r="F253" s="952" t="s">
        <v>308</v>
      </c>
      <c r="G253" s="932">
        <v>7692.9040000000005</v>
      </c>
      <c r="H253" s="930" t="s">
        <v>172</v>
      </c>
      <c r="I253" s="933">
        <v>45141.892361111109</v>
      </c>
      <c r="J253" s="934" t="s">
        <v>192</v>
      </c>
      <c r="K253" s="934" t="s">
        <v>192</v>
      </c>
      <c r="L253" s="1501" t="s">
        <v>3049</v>
      </c>
      <c r="M253" s="1501" t="s">
        <v>3050</v>
      </c>
      <c r="N253" s="948"/>
      <c r="O253" s="955" t="s">
        <v>873</v>
      </c>
      <c r="P253" s="955" t="s">
        <v>873</v>
      </c>
      <c r="Q253" s="955" t="s">
        <v>873</v>
      </c>
      <c r="S253" s="937">
        <v>45143.000694444447</v>
      </c>
      <c r="U253" s="915" t="s">
        <v>181</v>
      </c>
      <c r="V253" s="956">
        <f>G257</f>
        <v>7523.8519999999999</v>
      </c>
    </row>
    <row r="254" spans="1:22" s="949" customFormat="1" hidden="1" outlineLevel="1">
      <c r="A254" s="950"/>
      <c r="B254" s="930">
        <v>2</v>
      </c>
      <c r="C254" s="931" t="s">
        <v>2702</v>
      </c>
      <c r="D254" s="931"/>
      <c r="E254" s="952" t="s">
        <v>1303</v>
      </c>
      <c r="F254" s="952" t="s">
        <v>1304</v>
      </c>
      <c r="G254" s="932">
        <v>5419</v>
      </c>
      <c r="H254" s="930" t="s">
        <v>81</v>
      </c>
      <c r="I254" s="933">
        <v>45145.083333333336</v>
      </c>
      <c r="J254" s="934" t="s">
        <v>192</v>
      </c>
      <c r="K254" s="934" t="s">
        <v>192</v>
      </c>
      <c r="L254" s="1502"/>
      <c r="M254" s="1502"/>
      <c r="N254" s="948"/>
      <c r="O254" s="955" t="s">
        <v>873</v>
      </c>
      <c r="P254" s="955" t="s">
        <v>873</v>
      </c>
      <c r="Q254" s="955" t="s">
        <v>873</v>
      </c>
      <c r="S254" s="773"/>
      <c r="U254" s="915" t="s">
        <v>172</v>
      </c>
      <c r="V254" s="957">
        <f>G253</f>
        <v>7692.9040000000005</v>
      </c>
    </row>
    <row r="255" spans="1:22" hidden="1" outlineLevel="1">
      <c r="B255" s="930">
        <v>3</v>
      </c>
      <c r="C255" s="931" t="s">
        <v>2718</v>
      </c>
      <c r="D255" s="931"/>
      <c r="E255" s="952" t="s">
        <v>371</v>
      </c>
      <c r="F255" s="952" t="s">
        <v>372</v>
      </c>
      <c r="G255" s="932">
        <v>7504</v>
      </c>
      <c r="H255" s="930" t="s">
        <v>84</v>
      </c>
      <c r="I255" s="933">
        <v>45145.614583333336</v>
      </c>
      <c r="J255" s="934" t="s">
        <v>192</v>
      </c>
      <c r="K255" s="934" t="s">
        <v>192</v>
      </c>
      <c r="L255" s="1502"/>
      <c r="M255" s="1502"/>
      <c r="O255" s="936" t="s">
        <v>873</v>
      </c>
      <c r="P255" s="936" t="s">
        <v>873</v>
      </c>
      <c r="Q255" s="936" t="s">
        <v>873</v>
      </c>
      <c r="U255" s="915" t="s">
        <v>84</v>
      </c>
      <c r="V255" s="951">
        <f>G255</f>
        <v>7504</v>
      </c>
    </row>
    <row r="256" spans="1:22" hidden="1" outlineLevel="1">
      <c r="B256" s="930">
        <v>4</v>
      </c>
      <c r="C256" s="931" t="s">
        <v>2703</v>
      </c>
      <c r="D256" s="931"/>
      <c r="E256" s="952" t="s">
        <v>1307</v>
      </c>
      <c r="F256" s="952" t="s">
        <v>1308</v>
      </c>
      <c r="G256" s="932">
        <v>5231</v>
      </c>
      <c r="H256" s="930" t="s">
        <v>81</v>
      </c>
      <c r="I256" s="933">
        <v>45149.222222222219</v>
      </c>
      <c r="J256" s="934" t="s">
        <v>192</v>
      </c>
      <c r="K256" s="934" t="s">
        <v>192</v>
      </c>
      <c r="L256" s="1502"/>
      <c r="M256" s="1502"/>
      <c r="O256" s="936" t="s">
        <v>873</v>
      </c>
      <c r="P256" s="936" t="s">
        <v>873</v>
      </c>
      <c r="Q256" s="936" t="s">
        <v>873</v>
      </c>
      <c r="U256" s="915" t="s">
        <v>88</v>
      </c>
      <c r="V256" s="951">
        <f>G258</f>
        <v>5509.34</v>
      </c>
    </row>
    <row r="257" spans="1:22" s="779" customFormat="1" hidden="1" outlineLevel="1">
      <c r="A257" s="790"/>
      <c r="B257" s="930">
        <v>5</v>
      </c>
      <c r="C257" s="931" t="s">
        <v>2709</v>
      </c>
      <c r="D257" s="931"/>
      <c r="E257" s="952" t="s">
        <v>453</v>
      </c>
      <c r="F257" s="952" t="s">
        <v>454</v>
      </c>
      <c r="G257" s="932">
        <v>7523.8519999999999</v>
      </c>
      <c r="H257" s="930" t="s">
        <v>181</v>
      </c>
      <c r="I257" s="933">
        <v>45149.166666666664</v>
      </c>
      <c r="J257" s="934" t="s">
        <v>192</v>
      </c>
      <c r="K257" s="934" t="s">
        <v>192</v>
      </c>
      <c r="L257" s="1502"/>
      <c r="M257" s="1502"/>
      <c r="N257" s="812"/>
      <c r="O257" s="936" t="s">
        <v>873</v>
      </c>
      <c r="P257" s="936" t="s">
        <v>873</v>
      </c>
      <c r="Q257" s="936" t="s">
        <v>873</v>
      </c>
      <c r="S257" s="937"/>
      <c r="U257" s="915" t="s">
        <v>81</v>
      </c>
      <c r="V257" s="951">
        <f>G254+G256</f>
        <v>10650</v>
      </c>
    </row>
    <row r="258" spans="1:22" hidden="1" outlineLevel="1">
      <c r="B258" s="930">
        <v>6</v>
      </c>
      <c r="C258" s="931" t="s">
        <v>2663</v>
      </c>
      <c r="D258" s="931"/>
      <c r="E258" s="952" t="s">
        <v>2664</v>
      </c>
      <c r="F258" s="952" t="s">
        <v>2665</v>
      </c>
      <c r="G258" s="932">
        <v>5509.34</v>
      </c>
      <c r="H258" s="930" t="s">
        <v>88</v>
      </c>
      <c r="I258" s="933">
        <v>45149.645833333336</v>
      </c>
      <c r="J258" s="934" t="s">
        <v>192</v>
      </c>
      <c r="K258" s="934" t="s">
        <v>192</v>
      </c>
      <c r="L258" s="1511"/>
      <c r="M258" s="1511"/>
      <c r="O258" s="936" t="s">
        <v>873</v>
      </c>
      <c r="P258" s="936" t="s">
        <v>873</v>
      </c>
      <c r="Q258" s="936" t="s">
        <v>873</v>
      </c>
    </row>
    <row r="259" spans="1:22" s="773" customFormat="1" ht="4.95" hidden="1" customHeight="1" outlineLevel="1">
      <c r="A259" s="770"/>
      <c r="B259" s="776"/>
      <c r="C259" s="774"/>
      <c r="D259" s="774"/>
      <c r="E259" s="774"/>
      <c r="F259" s="774"/>
      <c r="G259" s="775"/>
      <c r="H259" s="776"/>
      <c r="I259" s="925"/>
      <c r="J259" s="926"/>
      <c r="K259" s="926"/>
      <c r="L259" s="926"/>
      <c r="M259" s="926"/>
      <c r="N259" s="772"/>
      <c r="O259" s="928"/>
      <c r="P259" s="928"/>
      <c r="Q259" s="928"/>
    </row>
    <row r="260" spans="1:22" hidden="1" outlineLevel="1">
      <c r="B260" s="930">
        <v>1</v>
      </c>
      <c r="C260" s="931" t="s">
        <v>2722</v>
      </c>
      <c r="D260" s="931"/>
      <c r="E260" s="952" t="s">
        <v>307</v>
      </c>
      <c r="F260" s="952" t="s">
        <v>308</v>
      </c>
      <c r="G260" s="932">
        <v>7500</v>
      </c>
      <c r="H260" s="930" t="s">
        <v>76</v>
      </c>
      <c r="I260" s="933">
        <v>45149.604166666664</v>
      </c>
      <c r="J260" s="934" t="s">
        <v>192</v>
      </c>
      <c r="K260" s="934" t="s">
        <v>192</v>
      </c>
      <c r="L260" s="1506" t="s">
        <v>4499</v>
      </c>
      <c r="M260" s="1506" t="s">
        <v>4518</v>
      </c>
      <c r="O260" s="955" t="s">
        <v>873</v>
      </c>
      <c r="P260" s="955" t="s">
        <v>873</v>
      </c>
      <c r="Q260" s="955" t="s">
        <v>873</v>
      </c>
      <c r="S260" s="937">
        <v>45151.758333333331</v>
      </c>
    </row>
    <row r="261" spans="1:22" s="779" customFormat="1" ht="13.8" hidden="1" outlineLevel="1">
      <c r="A261" s="790"/>
      <c r="B261" s="930">
        <v>2</v>
      </c>
      <c r="C261" s="931" t="s">
        <v>2679</v>
      </c>
      <c r="D261" s="931"/>
      <c r="E261" s="952" t="s">
        <v>201</v>
      </c>
      <c r="F261" s="952" t="s">
        <v>202</v>
      </c>
      <c r="G261" s="932">
        <v>7500</v>
      </c>
      <c r="H261" s="930" t="s">
        <v>78</v>
      </c>
      <c r="I261" s="933">
        <v>45154.166666666664</v>
      </c>
      <c r="J261" s="934" t="s">
        <v>192</v>
      </c>
      <c r="K261" s="934" t="s">
        <v>192</v>
      </c>
      <c r="L261" s="1507"/>
      <c r="M261" s="1507"/>
      <c r="N261" s="812"/>
      <c r="O261" s="936" t="s">
        <v>873</v>
      </c>
      <c r="P261" s="936" t="s">
        <v>873</v>
      </c>
      <c r="Q261" s="936" t="s">
        <v>873</v>
      </c>
      <c r="S261" s="937"/>
    </row>
    <row r="262" spans="1:22" s="773" customFormat="1" ht="4.95" hidden="1" customHeight="1" outlineLevel="1">
      <c r="A262" s="770"/>
      <c r="B262" s="776"/>
      <c r="C262" s="774"/>
      <c r="D262" s="774"/>
      <c r="E262" s="774"/>
      <c r="F262" s="774"/>
      <c r="G262" s="775"/>
      <c r="H262" s="776"/>
      <c r="I262" s="925"/>
      <c r="J262" s="926"/>
      <c r="K262" s="926"/>
      <c r="L262" s="926"/>
      <c r="M262" s="926"/>
      <c r="N262" s="772"/>
      <c r="O262" s="928"/>
      <c r="P262" s="928"/>
      <c r="Q262" s="928"/>
    </row>
    <row r="263" spans="1:22" hidden="1" outlineLevel="1">
      <c r="B263" s="930">
        <v>1</v>
      </c>
      <c r="C263" s="931" t="s">
        <v>2728</v>
      </c>
      <c r="D263" s="931"/>
      <c r="E263" s="952" t="s">
        <v>721</v>
      </c>
      <c r="F263" s="952" t="s">
        <v>1349</v>
      </c>
      <c r="G263" s="932">
        <v>7652.0659999999998</v>
      </c>
      <c r="H263" s="930" t="s">
        <v>172</v>
      </c>
      <c r="I263" s="933">
        <v>45154.684027777781</v>
      </c>
      <c r="J263" s="934" t="s">
        <v>192</v>
      </c>
      <c r="K263" s="934" t="s">
        <v>192</v>
      </c>
      <c r="L263" s="1506" t="s">
        <v>3063</v>
      </c>
      <c r="M263" s="1506" t="s">
        <v>4519</v>
      </c>
      <c r="O263" s="936" t="s">
        <v>873</v>
      </c>
      <c r="P263" s="936" t="s">
        <v>873</v>
      </c>
      <c r="Q263" s="936" t="s">
        <v>873</v>
      </c>
      <c r="S263" s="937">
        <v>45151.604166666664</v>
      </c>
      <c r="V263" s="951"/>
    </row>
    <row r="264" spans="1:22" hidden="1" outlineLevel="1">
      <c r="B264" s="930">
        <v>2</v>
      </c>
      <c r="C264" s="931" t="s">
        <v>2711</v>
      </c>
      <c r="D264" s="931"/>
      <c r="E264" s="952" t="s">
        <v>1303</v>
      </c>
      <c r="F264" s="952" t="s">
        <v>1304</v>
      </c>
      <c r="G264" s="932">
        <v>5291</v>
      </c>
      <c r="H264" s="930" t="s">
        <v>82</v>
      </c>
      <c r="I264" s="933">
        <v>45155.003472222219</v>
      </c>
      <c r="J264" s="934" t="s">
        <v>192</v>
      </c>
      <c r="K264" s="934" t="s">
        <v>192</v>
      </c>
      <c r="L264" s="1509"/>
      <c r="M264" s="1509"/>
      <c r="O264" s="936" t="s">
        <v>873</v>
      </c>
      <c r="P264" s="936" t="s">
        <v>873</v>
      </c>
      <c r="Q264" s="936" t="s">
        <v>873</v>
      </c>
    </row>
    <row r="265" spans="1:22" s="779" customFormat="1" ht="13.8" hidden="1" outlineLevel="1">
      <c r="A265" s="790"/>
      <c r="B265" s="930">
        <v>4</v>
      </c>
      <c r="C265" s="931" t="s">
        <v>2680</v>
      </c>
      <c r="D265" s="931"/>
      <c r="E265" s="952" t="s">
        <v>226</v>
      </c>
      <c r="F265" s="952" t="s">
        <v>227</v>
      </c>
      <c r="G265" s="932">
        <v>7500</v>
      </c>
      <c r="H265" s="930" t="s">
        <v>78</v>
      </c>
      <c r="I265" s="933">
        <v>45156.416666666664</v>
      </c>
      <c r="J265" s="934" t="s">
        <v>192</v>
      </c>
      <c r="K265" s="934" t="s">
        <v>192</v>
      </c>
      <c r="L265" s="1509"/>
      <c r="M265" s="1509"/>
      <c r="N265" s="812"/>
      <c r="O265" s="936" t="s">
        <v>873</v>
      </c>
      <c r="P265" s="936" t="s">
        <v>873</v>
      </c>
      <c r="Q265" s="936" t="s">
        <v>873</v>
      </c>
    </row>
    <row r="266" spans="1:22" hidden="1" outlineLevel="1">
      <c r="B266" s="930">
        <v>3</v>
      </c>
      <c r="C266" s="931" t="s">
        <v>2725</v>
      </c>
      <c r="D266" s="931"/>
      <c r="E266" s="952" t="s">
        <v>1874</v>
      </c>
      <c r="F266" s="952" t="s">
        <v>1875</v>
      </c>
      <c r="G266" s="932">
        <v>5143.9070000000002</v>
      </c>
      <c r="H266" s="930" t="s">
        <v>182</v>
      </c>
      <c r="I266" s="933">
        <v>45155.434027777781</v>
      </c>
      <c r="J266" s="934" t="s">
        <v>192</v>
      </c>
      <c r="K266" s="934" t="s">
        <v>192</v>
      </c>
      <c r="L266" s="1507"/>
      <c r="M266" s="1507"/>
      <c r="O266" s="936" t="s">
        <v>873</v>
      </c>
      <c r="P266" s="936" t="s">
        <v>873</v>
      </c>
      <c r="Q266" s="936" t="s">
        <v>873</v>
      </c>
      <c r="V266" s="951"/>
    </row>
    <row r="267" spans="1:22" s="773" customFormat="1" ht="4.95" hidden="1" customHeight="1" outlineLevel="1">
      <c r="A267" s="770"/>
      <c r="B267" s="776"/>
      <c r="C267" s="774"/>
      <c r="D267" s="774"/>
      <c r="E267" s="774"/>
      <c r="F267" s="774"/>
      <c r="G267" s="775"/>
      <c r="H267" s="776"/>
      <c r="I267" s="925"/>
      <c r="J267" s="926"/>
      <c r="K267" s="926"/>
      <c r="L267" s="926"/>
      <c r="M267" s="926"/>
      <c r="N267" s="772"/>
      <c r="O267" s="928"/>
      <c r="P267" s="928"/>
      <c r="Q267" s="928"/>
      <c r="S267" s="779"/>
    </row>
    <row r="268" spans="1:22" hidden="1" outlineLevel="1">
      <c r="B268" s="930">
        <v>1</v>
      </c>
      <c r="C268" s="931" t="s">
        <v>2691</v>
      </c>
      <c r="D268" s="931"/>
      <c r="E268" s="952" t="s">
        <v>1392</v>
      </c>
      <c r="F268" s="952" t="s">
        <v>365</v>
      </c>
      <c r="G268" s="932">
        <v>7303.5020000000004</v>
      </c>
      <c r="H268" s="930" t="s">
        <v>235</v>
      </c>
      <c r="I268" s="933">
        <v>45155.177083333336</v>
      </c>
      <c r="J268" s="934" t="s">
        <v>192</v>
      </c>
      <c r="K268" s="934" t="s">
        <v>192</v>
      </c>
      <c r="L268" s="1506" t="s">
        <v>3156</v>
      </c>
      <c r="M268" s="1506" t="s">
        <v>4520</v>
      </c>
      <c r="O268" s="936" t="s">
        <v>873</v>
      </c>
      <c r="P268" s="936" t="s">
        <v>873</v>
      </c>
      <c r="Q268" s="936" t="s">
        <v>873</v>
      </c>
      <c r="S268" s="937">
        <v>45158.9375</v>
      </c>
    </row>
    <row r="269" spans="1:22" hidden="1" outlineLevel="1">
      <c r="B269" s="930">
        <v>2</v>
      </c>
      <c r="C269" s="931" t="s">
        <v>2690</v>
      </c>
      <c r="D269" s="931"/>
      <c r="E269" s="952" t="s">
        <v>238</v>
      </c>
      <c r="F269" s="952" t="s">
        <v>239</v>
      </c>
      <c r="G269" s="932">
        <v>7259.8459999999995</v>
      </c>
      <c r="H269" s="930" t="s">
        <v>235</v>
      </c>
      <c r="I269" s="933">
        <v>45155.184027777781</v>
      </c>
      <c r="J269" s="934" t="s">
        <v>192</v>
      </c>
      <c r="K269" s="934" t="s">
        <v>192</v>
      </c>
      <c r="L269" s="1509"/>
      <c r="M269" s="1509"/>
      <c r="O269" s="936" t="s">
        <v>873</v>
      </c>
      <c r="P269" s="936" t="s">
        <v>873</v>
      </c>
      <c r="Q269" s="936" t="s">
        <v>873</v>
      </c>
      <c r="V269" s="951"/>
    </row>
    <row r="270" spans="1:22" hidden="1" outlineLevel="1">
      <c r="B270" s="930">
        <v>3</v>
      </c>
      <c r="C270" s="931" t="s">
        <v>2682</v>
      </c>
      <c r="D270" s="931"/>
      <c r="E270" s="952" t="s">
        <v>292</v>
      </c>
      <c r="F270" s="952" t="s">
        <v>293</v>
      </c>
      <c r="G270" s="932">
        <v>7500</v>
      </c>
      <c r="H270" s="930" t="s">
        <v>78</v>
      </c>
      <c r="I270" s="933">
        <v>45156.770833333336</v>
      </c>
      <c r="J270" s="934" t="s">
        <v>192</v>
      </c>
      <c r="K270" s="934" t="s">
        <v>192</v>
      </c>
      <c r="L270" s="1509"/>
      <c r="M270" s="1509"/>
      <c r="O270" s="936" t="s">
        <v>873</v>
      </c>
      <c r="P270" s="936" t="s">
        <v>873</v>
      </c>
      <c r="Q270" s="936" t="s">
        <v>873</v>
      </c>
    </row>
    <row r="271" spans="1:22" hidden="1" outlineLevel="1">
      <c r="B271" s="930">
        <v>4</v>
      </c>
      <c r="C271" s="931" t="s">
        <v>2683</v>
      </c>
      <c r="D271" s="931"/>
      <c r="E271" s="952" t="s">
        <v>307</v>
      </c>
      <c r="F271" s="952" t="s">
        <v>308</v>
      </c>
      <c r="G271" s="932">
        <v>7500</v>
      </c>
      <c r="H271" s="930" t="s">
        <v>78</v>
      </c>
      <c r="I271" s="933">
        <v>45159.145833333336</v>
      </c>
      <c r="J271" s="934" t="s">
        <v>192</v>
      </c>
      <c r="K271" s="934" t="s">
        <v>192</v>
      </c>
      <c r="L271" s="1507"/>
      <c r="M271" s="1507"/>
      <c r="O271" s="936" t="s">
        <v>873</v>
      </c>
      <c r="P271" s="936" t="s">
        <v>873</v>
      </c>
      <c r="Q271" s="936" t="s">
        <v>873</v>
      </c>
    </row>
    <row r="272" spans="1:22" s="773" customFormat="1" ht="4.95" hidden="1" customHeight="1" outlineLevel="1">
      <c r="A272" s="770"/>
      <c r="B272" s="776"/>
      <c r="C272" s="774"/>
      <c r="D272" s="774"/>
      <c r="E272" s="774"/>
      <c r="F272" s="774"/>
      <c r="G272" s="775"/>
      <c r="H272" s="776"/>
      <c r="I272" s="925"/>
      <c r="J272" s="926"/>
      <c r="K272" s="926"/>
      <c r="L272" s="926"/>
      <c r="M272" s="926"/>
      <c r="N272" s="772"/>
      <c r="O272" s="928"/>
      <c r="P272" s="928"/>
      <c r="Q272" s="928"/>
    </row>
    <row r="273" spans="1:22" hidden="1" outlineLevel="1">
      <c r="B273" s="930">
        <v>1</v>
      </c>
      <c r="C273" s="931" t="s">
        <v>2714</v>
      </c>
      <c r="D273" s="931"/>
      <c r="E273" s="952" t="s">
        <v>383</v>
      </c>
      <c r="F273" s="952" t="s">
        <v>384</v>
      </c>
      <c r="G273" s="932">
        <v>5116</v>
      </c>
      <c r="H273" s="930" t="s">
        <v>82</v>
      </c>
      <c r="I273" s="933">
        <v>45159.479166666664</v>
      </c>
      <c r="J273" s="934" t="s">
        <v>192</v>
      </c>
      <c r="K273" s="934" t="s">
        <v>192</v>
      </c>
      <c r="L273" s="1506" t="s">
        <v>4521</v>
      </c>
      <c r="M273" s="1506" t="s">
        <v>4522</v>
      </c>
      <c r="O273" s="936" t="s">
        <v>873</v>
      </c>
      <c r="P273" s="936" t="s">
        <v>873</v>
      </c>
      <c r="Q273" s="936" t="s">
        <v>873</v>
      </c>
      <c r="S273" s="937">
        <v>45161.645833333336</v>
      </c>
    </row>
    <row r="274" spans="1:22" hidden="1" outlineLevel="1">
      <c r="B274" s="930">
        <v>2</v>
      </c>
      <c r="C274" s="931" t="s">
        <v>2729</v>
      </c>
      <c r="D274" s="931"/>
      <c r="E274" s="952" t="s">
        <v>339</v>
      </c>
      <c r="F274" s="952" t="s">
        <v>506</v>
      </c>
      <c r="G274" s="932">
        <v>7555.2510000000002</v>
      </c>
      <c r="H274" s="930" t="s">
        <v>172</v>
      </c>
      <c r="I274" s="933">
        <v>45161.854166666664</v>
      </c>
      <c r="J274" s="934" t="s">
        <v>192</v>
      </c>
      <c r="K274" s="934" t="s">
        <v>192</v>
      </c>
      <c r="L274" s="1507"/>
      <c r="M274" s="1507"/>
      <c r="O274" s="936" t="s">
        <v>873</v>
      </c>
      <c r="P274" s="936" t="s">
        <v>873</v>
      </c>
      <c r="Q274" s="936" t="s">
        <v>873</v>
      </c>
    </row>
    <row r="275" spans="1:22" s="773" customFormat="1" ht="4.95" hidden="1" customHeight="1" outlineLevel="1">
      <c r="A275" s="770"/>
      <c r="B275" s="776"/>
      <c r="C275" s="774"/>
      <c r="D275" s="774"/>
      <c r="E275" s="774"/>
      <c r="F275" s="774"/>
      <c r="G275" s="775"/>
      <c r="H275" s="776"/>
      <c r="I275" s="925"/>
      <c r="J275" s="926"/>
      <c r="K275" s="926"/>
      <c r="L275" s="926"/>
      <c r="M275" s="926"/>
      <c r="N275" s="772"/>
      <c r="O275" s="928"/>
      <c r="P275" s="928"/>
      <c r="Q275" s="928"/>
    </row>
    <row r="276" spans="1:22" s="949" customFormat="1" hidden="1" outlineLevel="1">
      <c r="A276" s="914"/>
      <c r="B276" s="930">
        <v>1</v>
      </c>
      <c r="C276" s="931" t="s">
        <v>2720</v>
      </c>
      <c r="D276" s="931"/>
      <c r="E276" s="952" t="s">
        <v>222</v>
      </c>
      <c r="F276" s="952" t="s">
        <v>223</v>
      </c>
      <c r="G276" s="932">
        <v>7504.6509999999998</v>
      </c>
      <c r="H276" s="930" t="s">
        <v>84</v>
      </c>
      <c r="I276" s="933">
        <v>45155.527777777781</v>
      </c>
      <c r="J276" s="934" t="s">
        <v>192</v>
      </c>
      <c r="K276" s="934" t="s">
        <v>192</v>
      </c>
      <c r="L276" s="1506" t="s">
        <v>4523</v>
      </c>
      <c r="M276" s="1506" t="s">
        <v>3097</v>
      </c>
      <c r="N276" s="948"/>
      <c r="O276" s="955" t="s">
        <v>873</v>
      </c>
      <c r="P276" s="955" t="s">
        <v>873</v>
      </c>
      <c r="Q276" s="955" t="s">
        <v>873</v>
      </c>
      <c r="S276" s="937">
        <v>45156.998611111114</v>
      </c>
      <c r="U276" s="915"/>
      <c r="V276" s="956"/>
    </row>
    <row r="277" spans="1:22" hidden="1" outlineLevel="1">
      <c r="B277" s="930">
        <v>2</v>
      </c>
      <c r="C277" s="931" t="s">
        <v>2707</v>
      </c>
      <c r="D277" s="931"/>
      <c r="E277" s="952" t="s">
        <v>70</v>
      </c>
      <c r="F277" s="952" t="s">
        <v>1982</v>
      </c>
      <c r="G277" s="932">
        <v>7315.9579999999996</v>
      </c>
      <c r="H277" s="930" t="s">
        <v>85</v>
      </c>
      <c r="I277" s="933">
        <v>45157.746527777781</v>
      </c>
      <c r="J277" s="934" t="s">
        <v>192</v>
      </c>
      <c r="K277" s="934" t="s">
        <v>192</v>
      </c>
      <c r="L277" s="1509"/>
      <c r="M277" s="1509"/>
      <c r="O277" s="936" t="s">
        <v>873</v>
      </c>
      <c r="P277" s="936" t="s">
        <v>873</v>
      </c>
      <c r="Q277" s="936" t="s">
        <v>873</v>
      </c>
      <c r="V277" s="951"/>
    </row>
    <row r="278" spans="1:22" hidden="1" outlineLevel="1">
      <c r="B278" s="930">
        <v>3</v>
      </c>
      <c r="C278" s="931" t="s">
        <v>2712</v>
      </c>
      <c r="D278" s="931"/>
      <c r="E278" s="952" t="s">
        <v>1307</v>
      </c>
      <c r="F278" s="952" t="s">
        <v>1308</v>
      </c>
      <c r="G278" s="932">
        <v>5303</v>
      </c>
      <c r="H278" s="930" t="s">
        <v>82</v>
      </c>
      <c r="I278" s="933">
        <v>45157.645833333336</v>
      </c>
      <c r="J278" s="934" t="s">
        <v>192</v>
      </c>
      <c r="K278" s="934" t="s">
        <v>192</v>
      </c>
      <c r="L278" s="1509"/>
      <c r="M278" s="1509"/>
      <c r="O278" s="936" t="s">
        <v>873</v>
      </c>
      <c r="P278" s="936" t="s">
        <v>873</v>
      </c>
      <c r="Q278" s="936" t="s">
        <v>873</v>
      </c>
    </row>
    <row r="279" spans="1:22" hidden="1" outlineLevel="1">
      <c r="B279" s="930">
        <v>4</v>
      </c>
      <c r="C279" s="931" t="s">
        <v>2709</v>
      </c>
      <c r="D279" s="931"/>
      <c r="E279" s="952" t="s">
        <v>453</v>
      </c>
      <c r="F279" s="952" t="s">
        <v>454</v>
      </c>
      <c r="G279" s="932">
        <v>7315.3739999999998</v>
      </c>
      <c r="H279" s="930" t="s">
        <v>181</v>
      </c>
      <c r="I279" s="933">
        <v>45163.875</v>
      </c>
      <c r="J279" s="934" t="s">
        <v>192</v>
      </c>
      <c r="K279" s="934" t="s">
        <v>192</v>
      </c>
      <c r="L279" s="1509"/>
      <c r="M279" s="1509"/>
      <c r="O279" s="936" t="s">
        <v>873</v>
      </c>
      <c r="P279" s="936" t="s">
        <v>873</v>
      </c>
      <c r="Q279" s="936" t="s">
        <v>873</v>
      </c>
      <c r="V279" s="951"/>
    </row>
    <row r="280" spans="1:22" hidden="1" outlineLevel="1">
      <c r="B280" s="930">
        <v>5</v>
      </c>
      <c r="C280" s="931" t="s">
        <v>2730</v>
      </c>
      <c r="D280" s="931"/>
      <c r="E280" s="952" t="s">
        <v>274</v>
      </c>
      <c r="F280" s="952" t="s">
        <v>1093</v>
      </c>
      <c r="G280" s="932">
        <v>7562.2969999999996</v>
      </c>
      <c r="H280" s="930" t="s">
        <v>172</v>
      </c>
      <c r="I280" s="933">
        <v>45163.763888888891</v>
      </c>
      <c r="J280" s="934" t="s">
        <v>192</v>
      </c>
      <c r="K280" s="934" t="s">
        <v>192</v>
      </c>
      <c r="L280" s="1507"/>
      <c r="M280" s="1507"/>
      <c r="O280" s="936" t="s">
        <v>873</v>
      </c>
      <c r="P280" s="936" t="s">
        <v>873</v>
      </c>
      <c r="Q280" s="936" t="s">
        <v>873</v>
      </c>
    </row>
    <row r="281" spans="1:22" s="773" customFormat="1" ht="4.95" hidden="1" customHeight="1" outlineLevel="1">
      <c r="A281" s="770"/>
      <c r="B281" s="776"/>
      <c r="C281" s="774"/>
      <c r="D281" s="774"/>
      <c r="E281" s="774"/>
      <c r="F281" s="774"/>
      <c r="G281" s="775"/>
      <c r="H281" s="776"/>
      <c r="I281" s="925"/>
      <c r="J281" s="926"/>
      <c r="K281" s="926"/>
      <c r="L281" s="926"/>
      <c r="M281" s="926"/>
      <c r="N281" s="772"/>
      <c r="O281" s="928"/>
      <c r="P281" s="928"/>
      <c r="Q281" s="928"/>
    </row>
    <row r="282" spans="1:22" s="949" customFormat="1" hidden="1" outlineLevel="1">
      <c r="A282" s="950"/>
      <c r="B282" s="930">
        <v>1</v>
      </c>
      <c r="C282" s="931" t="s">
        <v>2721</v>
      </c>
      <c r="D282" s="931"/>
      <c r="E282" s="952" t="s">
        <v>201</v>
      </c>
      <c r="F282" s="952" t="s">
        <v>202</v>
      </c>
      <c r="G282" s="932">
        <v>7508</v>
      </c>
      <c r="H282" s="930" t="s">
        <v>84</v>
      </c>
      <c r="I282" s="933">
        <v>45159.625</v>
      </c>
      <c r="J282" s="934" t="s">
        <v>192</v>
      </c>
      <c r="K282" s="934" t="s">
        <v>192</v>
      </c>
      <c r="L282" s="1506" t="s">
        <v>1515</v>
      </c>
      <c r="M282" s="1506" t="s">
        <v>4524</v>
      </c>
      <c r="N282" s="948"/>
      <c r="O282" s="955" t="s">
        <v>873</v>
      </c>
      <c r="P282" s="955" t="s">
        <v>873</v>
      </c>
      <c r="Q282" s="955" t="s">
        <v>873</v>
      </c>
      <c r="S282" s="937">
        <v>45164.5</v>
      </c>
    </row>
    <row r="283" spans="1:22" s="773" customFormat="1" ht="13.8" hidden="1" outlineLevel="1">
      <c r="A283" s="770"/>
      <c r="B283" s="930">
        <v>2</v>
      </c>
      <c r="C283" s="931" t="s">
        <v>2723</v>
      </c>
      <c r="D283" s="931"/>
      <c r="E283" s="952" t="s">
        <v>218</v>
      </c>
      <c r="F283" s="952" t="s">
        <v>219</v>
      </c>
      <c r="G283" s="932">
        <v>7500</v>
      </c>
      <c r="H283" s="930" t="s">
        <v>76</v>
      </c>
      <c r="I283" s="933">
        <v>45162.083333333336</v>
      </c>
      <c r="J283" s="934" t="s">
        <v>192</v>
      </c>
      <c r="K283" s="934" t="s">
        <v>192</v>
      </c>
      <c r="L283" s="1509"/>
      <c r="M283" s="1509"/>
      <c r="N283" s="772"/>
      <c r="O283" s="955" t="s">
        <v>873</v>
      </c>
      <c r="P283" s="955" t="s">
        <v>873</v>
      </c>
      <c r="Q283" s="955" t="s">
        <v>873</v>
      </c>
      <c r="S283" s="958"/>
    </row>
    <row r="284" spans="1:22" hidden="1" outlineLevel="1">
      <c r="B284" s="930">
        <v>3</v>
      </c>
      <c r="C284" s="931" t="s">
        <v>2697</v>
      </c>
      <c r="D284" s="931"/>
      <c r="E284" s="952" t="s">
        <v>473</v>
      </c>
      <c r="F284" s="952" t="s">
        <v>474</v>
      </c>
      <c r="G284" s="932">
        <v>7240.9189999999999</v>
      </c>
      <c r="H284" s="930" t="s">
        <v>235</v>
      </c>
      <c r="I284" s="933">
        <v>45164.763888888891</v>
      </c>
      <c r="J284" s="934" t="s">
        <v>192</v>
      </c>
      <c r="K284" s="934" t="s">
        <v>192</v>
      </c>
      <c r="L284" s="1509"/>
      <c r="M284" s="1509"/>
      <c r="O284" s="936" t="s">
        <v>873</v>
      </c>
      <c r="P284" s="936" t="s">
        <v>873</v>
      </c>
      <c r="Q284" s="936" t="s">
        <v>873</v>
      </c>
    </row>
    <row r="285" spans="1:22" hidden="1" outlineLevel="1">
      <c r="B285" s="930">
        <v>4</v>
      </c>
      <c r="C285" s="931" t="s">
        <v>2696</v>
      </c>
      <c r="D285" s="931"/>
      <c r="E285" s="952" t="s">
        <v>249</v>
      </c>
      <c r="F285" s="952" t="s">
        <v>2315</v>
      </c>
      <c r="G285" s="932">
        <v>6941.0259999999998</v>
      </c>
      <c r="H285" s="930" t="s">
        <v>235</v>
      </c>
      <c r="I285" s="933">
        <v>45164.916666666664</v>
      </c>
      <c r="J285" s="934" t="s">
        <v>192</v>
      </c>
      <c r="K285" s="934" t="s">
        <v>192</v>
      </c>
      <c r="L285" s="1507"/>
      <c r="M285" s="1507"/>
      <c r="O285" s="936" t="s">
        <v>873</v>
      </c>
      <c r="P285" s="936" t="s">
        <v>873</v>
      </c>
      <c r="Q285" s="936" t="s">
        <v>873</v>
      </c>
      <c r="V285" s="951"/>
    </row>
    <row r="286" spans="1:22" s="773" customFormat="1" ht="4.95" hidden="1" customHeight="1" outlineLevel="1">
      <c r="A286" s="770"/>
      <c r="B286" s="776"/>
      <c r="C286" s="774"/>
      <c r="D286" s="774"/>
      <c r="E286" s="774"/>
      <c r="F286" s="774"/>
      <c r="G286" s="775"/>
      <c r="H286" s="776"/>
      <c r="I286" s="925"/>
      <c r="J286" s="926"/>
      <c r="K286" s="926"/>
      <c r="L286" s="926"/>
      <c r="M286" s="926"/>
      <c r="N286" s="772"/>
      <c r="O286" s="928"/>
      <c r="P286" s="928"/>
      <c r="Q286" s="928"/>
    </row>
    <row r="287" spans="1:22" s="949" customFormat="1" hidden="1" outlineLevel="1">
      <c r="A287" s="929" t="s">
        <v>4525</v>
      </c>
      <c r="B287" s="930">
        <v>1</v>
      </c>
      <c r="C287" s="931" t="s">
        <v>2724</v>
      </c>
      <c r="D287" s="931"/>
      <c r="E287" s="952" t="s">
        <v>260</v>
      </c>
      <c r="F287" s="952" t="s">
        <v>261</v>
      </c>
      <c r="G287" s="932">
        <v>7500</v>
      </c>
      <c r="H287" s="930" t="s">
        <v>76</v>
      </c>
      <c r="I287" s="933">
        <v>45162.013888888891</v>
      </c>
      <c r="J287" s="934" t="s">
        <v>192</v>
      </c>
      <c r="K287" s="934" t="s">
        <v>192</v>
      </c>
      <c r="L287" s="1506" t="s">
        <v>4526</v>
      </c>
      <c r="M287" s="1506" t="s">
        <v>4527</v>
      </c>
      <c r="N287" s="948"/>
      <c r="O287" s="955" t="s">
        <v>873</v>
      </c>
      <c r="P287" s="955" t="s">
        <v>873</v>
      </c>
      <c r="Q287" s="955" t="s">
        <v>873</v>
      </c>
      <c r="S287" s="937">
        <v>45169.8125</v>
      </c>
    </row>
    <row r="288" spans="1:22" hidden="1" outlineLevel="1">
      <c r="B288" s="930">
        <v>2</v>
      </c>
      <c r="C288" s="931" t="s">
        <v>2667</v>
      </c>
      <c r="D288" s="931"/>
      <c r="E288" s="952" t="s">
        <v>2668</v>
      </c>
      <c r="F288" s="952" t="s">
        <v>2669</v>
      </c>
      <c r="G288" s="932">
        <v>5109.5919999999996</v>
      </c>
      <c r="H288" s="930" t="s">
        <v>88</v>
      </c>
      <c r="I288" s="933">
        <v>45163.510416666664</v>
      </c>
      <c r="J288" s="934" t="s">
        <v>192</v>
      </c>
      <c r="K288" s="934" t="s">
        <v>192</v>
      </c>
      <c r="L288" s="1509"/>
      <c r="M288" s="1509"/>
      <c r="O288" s="936" t="s">
        <v>873</v>
      </c>
      <c r="P288" s="936" t="s">
        <v>873</v>
      </c>
      <c r="Q288" s="936" t="s">
        <v>873</v>
      </c>
    </row>
    <row r="289" spans="1:22" hidden="1" outlineLevel="1">
      <c r="B289" s="930">
        <v>3</v>
      </c>
      <c r="C289" s="931" t="s">
        <v>2715</v>
      </c>
      <c r="D289" s="931"/>
      <c r="E289" s="952" t="s">
        <v>1303</v>
      </c>
      <c r="F289" s="952" t="s">
        <v>1304</v>
      </c>
      <c r="G289" s="932">
        <v>5289</v>
      </c>
      <c r="H289" s="930" t="s">
        <v>82</v>
      </c>
      <c r="I289" s="933">
        <v>45163.729166666664</v>
      </c>
      <c r="J289" s="934" t="s">
        <v>192</v>
      </c>
      <c r="K289" s="934" t="s">
        <v>192</v>
      </c>
      <c r="L289" s="1509"/>
      <c r="M289" s="1509"/>
      <c r="O289" s="936" t="s">
        <v>873</v>
      </c>
      <c r="P289" s="936" t="s">
        <v>873</v>
      </c>
      <c r="Q289" s="936" t="s">
        <v>873</v>
      </c>
    </row>
    <row r="290" spans="1:22" hidden="1" outlineLevel="1">
      <c r="B290" s="930">
        <v>4</v>
      </c>
      <c r="C290" s="931" t="s">
        <v>2731</v>
      </c>
      <c r="D290" s="931"/>
      <c r="E290" s="952" t="s">
        <v>330</v>
      </c>
      <c r="F290" s="952" t="s">
        <v>331</v>
      </c>
      <c r="G290" s="932">
        <v>7323.1220000000003</v>
      </c>
      <c r="H290" s="930" t="s">
        <v>172</v>
      </c>
      <c r="I290" s="933">
        <v>45165.833333333336</v>
      </c>
      <c r="J290" s="934" t="s">
        <v>192</v>
      </c>
      <c r="K290" s="934" t="s">
        <v>192</v>
      </c>
      <c r="L290" s="1507"/>
      <c r="M290" s="1507"/>
      <c r="O290" s="936" t="s">
        <v>873</v>
      </c>
      <c r="P290" s="936" t="s">
        <v>873</v>
      </c>
      <c r="Q290" s="936" t="s">
        <v>873</v>
      </c>
    </row>
    <row r="291" spans="1:22" s="773" customFormat="1" ht="4.95" hidden="1" customHeight="1" outlineLevel="1">
      <c r="A291" s="770"/>
      <c r="B291" s="776"/>
      <c r="C291" s="774"/>
      <c r="D291" s="774"/>
      <c r="E291" s="774"/>
      <c r="F291" s="774"/>
      <c r="G291" s="775"/>
      <c r="H291" s="776"/>
      <c r="I291" s="925"/>
      <c r="J291" s="926"/>
      <c r="K291" s="926"/>
      <c r="L291" s="926"/>
      <c r="M291" s="926"/>
      <c r="N291" s="772"/>
      <c r="O291" s="928"/>
      <c r="P291" s="928"/>
      <c r="Q291" s="928"/>
    </row>
    <row r="292" spans="1:22" s="949" customFormat="1" hidden="1" outlineLevel="1">
      <c r="B292" s="930">
        <v>1</v>
      </c>
      <c r="C292" s="931" t="s">
        <v>2686</v>
      </c>
      <c r="D292" s="931"/>
      <c r="E292" s="952" t="s">
        <v>208</v>
      </c>
      <c r="F292" s="952" t="s">
        <v>328</v>
      </c>
      <c r="G292" s="932">
        <v>7500</v>
      </c>
      <c r="H292" s="930" t="s">
        <v>78</v>
      </c>
      <c r="I292" s="933">
        <v>45164.270833333336</v>
      </c>
      <c r="J292" s="934" t="s">
        <v>192</v>
      </c>
      <c r="K292" s="934" t="s">
        <v>192</v>
      </c>
      <c r="L292" s="1515" t="s">
        <v>4528</v>
      </c>
      <c r="M292" s="1531" t="s">
        <v>4529</v>
      </c>
      <c r="N292" s="948"/>
      <c r="O292" s="955" t="s">
        <v>873</v>
      </c>
      <c r="P292" s="955" t="s">
        <v>873</v>
      </c>
      <c r="Q292" s="955" t="s">
        <v>873</v>
      </c>
      <c r="S292" s="937">
        <v>45172.995833333334</v>
      </c>
    </row>
    <row r="293" spans="1:22" s="949" customFormat="1" hidden="1" outlineLevel="1">
      <c r="A293" s="950"/>
      <c r="B293" s="930">
        <v>2</v>
      </c>
      <c r="C293" s="931" t="s">
        <v>2685</v>
      </c>
      <c r="D293" s="931"/>
      <c r="E293" s="952" t="s">
        <v>1972</v>
      </c>
      <c r="F293" s="952" t="s">
        <v>1973</v>
      </c>
      <c r="G293" s="932">
        <v>7500</v>
      </c>
      <c r="H293" s="930" t="s">
        <v>78</v>
      </c>
      <c r="I293" s="933">
        <v>45165.958333333336</v>
      </c>
      <c r="J293" s="934" t="s">
        <v>192</v>
      </c>
      <c r="K293" s="934" t="s">
        <v>192</v>
      </c>
      <c r="L293" s="1516"/>
      <c r="M293" s="1531"/>
      <c r="N293" s="948"/>
      <c r="O293" s="955" t="s">
        <v>873</v>
      </c>
      <c r="P293" s="955" t="s">
        <v>873</v>
      </c>
      <c r="Q293" s="955" t="s">
        <v>873</v>
      </c>
      <c r="S293" s="773"/>
    </row>
    <row r="294" spans="1:22" hidden="1" outlineLevel="1">
      <c r="B294" s="930">
        <v>3</v>
      </c>
      <c r="C294" s="931" t="s">
        <v>2716</v>
      </c>
      <c r="D294" s="931"/>
      <c r="E294" s="952" t="s">
        <v>441</v>
      </c>
      <c r="F294" s="952" t="s">
        <v>1308</v>
      </c>
      <c r="G294" s="932">
        <v>5290</v>
      </c>
      <c r="H294" s="930" t="s">
        <v>82</v>
      </c>
      <c r="I294" s="933">
        <v>45170.565972222219</v>
      </c>
      <c r="J294" s="934" t="s">
        <v>192</v>
      </c>
      <c r="K294" s="934" t="s">
        <v>192</v>
      </c>
      <c r="L294" s="1517"/>
      <c r="M294" s="1531"/>
      <c r="N294" s="915"/>
    </row>
    <row r="295" spans="1:22" s="773" customFormat="1" ht="4.95" hidden="1" customHeight="1" outlineLevel="1">
      <c r="A295" s="770"/>
      <c r="B295" s="776"/>
      <c r="C295" s="774"/>
      <c r="D295" s="774"/>
      <c r="E295" s="774"/>
      <c r="F295" s="774"/>
      <c r="G295" s="775"/>
      <c r="H295" s="776"/>
      <c r="I295" s="925"/>
      <c r="J295" s="926"/>
      <c r="K295" s="926"/>
      <c r="L295" s="926"/>
      <c r="M295" s="926"/>
      <c r="N295" s="772"/>
      <c r="O295" s="928"/>
      <c r="P295" s="928"/>
      <c r="Q295" s="928"/>
    </row>
    <row r="296" spans="1:22" hidden="1" outlineLevel="1">
      <c r="B296" s="930">
        <v>1</v>
      </c>
      <c r="C296" s="931" t="s">
        <v>2793</v>
      </c>
      <c r="D296" s="931"/>
      <c r="E296" s="952" t="s">
        <v>339</v>
      </c>
      <c r="F296" s="952" t="s">
        <v>506</v>
      </c>
      <c r="G296" s="932">
        <v>7544</v>
      </c>
      <c r="H296" s="930" t="s">
        <v>84</v>
      </c>
      <c r="I296" s="933">
        <v>45172.5</v>
      </c>
      <c r="J296" s="934" t="s">
        <v>192</v>
      </c>
      <c r="K296" s="934" t="s">
        <v>192</v>
      </c>
      <c r="L296" s="1501" t="s">
        <v>699</v>
      </c>
      <c r="M296" s="1501" t="s">
        <v>4428</v>
      </c>
      <c r="O296" s="936" t="s">
        <v>873</v>
      </c>
      <c r="P296" s="936" t="s">
        <v>873</v>
      </c>
      <c r="Q296" s="936" t="s">
        <v>873</v>
      </c>
      <c r="S296" s="937">
        <v>45170.006944444445</v>
      </c>
    </row>
    <row r="297" spans="1:22" hidden="1" outlineLevel="1">
      <c r="B297" s="930">
        <v>2</v>
      </c>
      <c r="C297" s="931" t="s">
        <v>2700</v>
      </c>
      <c r="D297" s="931"/>
      <c r="E297" s="952" t="s">
        <v>257</v>
      </c>
      <c r="F297" s="952" t="s">
        <v>258</v>
      </c>
      <c r="G297" s="932">
        <v>7532.1779999999999</v>
      </c>
      <c r="H297" s="930" t="s">
        <v>2701</v>
      </c>
      <c r="I297" s="933">
        <v>45173.743055555555</v>
      </c>
      <c r="J297" s="934" t="s">
        <v>192</v>
      </c>
      <c r="K297" s="934" t="s">
        <v>192</v>
      </c>
      <c r="L297" s="1502"/>
      <c r="M297" s="1502"/>
      <c r="O297" s="936"/>
      <c r="P297" s="936"/>
      <c r="Q297" s="936"/>
    </row>
    <row r="298" spans="1:22" hidden="1" outlineLevel="1">
      <c r="B298" s="930">
        <v>3</v>
      </c>
      <c r="C298" s="931" t="s">
        <v>2790</v>
      </c>
      <c r="D298" s="931"/>
      <c r="E298" s="952" t="s">
        <v>1303</v>
      </c>
      <c r="F298" s="952" t="s">
        <v>1304</v>
      </c>
      <c r="G298" s="932">
        <v>5265</v>
      </c>
      <c r="H298" s="930" t="s">
        <v>82</v>
      </c>
      <c r="I298" s="933">
        <v>45175.048611111109</v>
      </c>
      <c r="J298" s="934" t="s">
        <v>192</v>
      </c>
      <c r="K298" s="934" t="s">
        <v>192</v>
      </c>
      <c r="L298" s="1511"/>
      <c r="M298" s="1511"/>
      <c r="O298" s="936"/>
      <c r="P298" s="936"/>
      <c r="Q298" s="936"/>
    </row>
    <row r="299" spans="1:22" s="773" customFormat="1" ht="4.95" hidden="1" customHeight="1" outlineLevel="1">
      <c r="A299" s="770"/>
      <c r="B299" s="776"/>
      <c r="C299" s="774"/>
      <c r="D299" s="774"/>
      <c r="E299" s="774"/>
      <c r="F299" s="774"/>
      <c r="G299" s="775"/>
      <c r="H299" s="776"/>
      <c r="I299" s="925"/>
      <c r="J299" s="926"/>
      <c r="K299" s="926"/>
      <c r="L299" s="926"/>
      <c r="M299" s="926"/>
      <c r="N299" s="772"/>
      <c r="O299" s="928"/>
      <c r="P299" s="928"/>
      <c r="Q299" s="928"/>
    </row>
    <row r="300" spans="1:22" hidden="1" outlineLevel="1">
      <c r="B300" s="930">
        <v>1</v>
      </c>
      <c r="C300" s="931" t="s">
        <v>2652</v>
      </c>
      <c r="D300" s="931"/>
      <c r="E300" s="952" t="s">
        <v>809</v>
      </c>
      <c r="F300" s="952" t="s">
        <v>1365</v>
      </c>
      <c r="G300" s="932">
        <v>5248.009</v>
      </c>
      <c r="H300" s="930" t="s">
        <v>183</v>
      </c>
      <c r="I300" s="933">
        <v>45154.833333333336</v>
      </c>
      <c r="J300" s="934" t="s">
        <v>192</v>
      </c>
      <c r="K300" s="934" t="s">
        <v>192</v>
      </c>
      <c r="L300" s="1501" t="s">
        <v>3063</v>
      </c>
      <c r="M300" s="1501" t="s">
        <v>4530</v>
      </c>
      <c r="O300" s="936" t="s">
        <v>873</v>
      </c>
      <c r="P300" s="936" t="s">
        <v>873</v>
      </c>
      <c r="Q300" s="936" t="s">
        <v>873</v>
      </c>
      <c r="S300" s="937">
        <v>45179.741666666669</v>
      </c>
      <c r="U300" s="915" t="s">
        <v>183</v>
      </c>
      <c r="V300" s="951">
        <f>SUM(G300:G303)</f>
        <v>22733.614999999998</v>
      </c>
    </row>
    <row r="301" spans="1:22" s="949" customFormat="1" hidden="1" outlineLevel="1">
      <c r="A301" s="950"/>
      <c r="B301" s="930">
        <v>2</v>
      </c>
      <c r="C301" s="931" t="s">
        <v>2653</v>
      </c>
      <c r="D301" s="931"/>
      <c r="E301" s="952" t="s">
        <v>1626</v>
      </c>
      <c r="F301" s="952" t="s">
        <v>2654</v>
      </c>
      <c r="G301" s="932">
        <v>5247.8729999999996</v>
      </c>
      <c r="H301" s="930" t="s">
        <v>183</v>
      </c>
      <c r="I301" s="933">
        <v>45159.166666666664</v>
      </c>
      <c r="J301" s="934" t="s">
        <v>192</v>
      </c>
      <c r="K301" s="934" t="s">
        <v>192</v>
      </c>
      <c r="L301" s="1502"/>
      <c r="M301" s="1502"/>
      <c r="N301" s="948"/>
      <c r="O301" s="955" t="s">
        <v>873</v>
      </c>
      <c r="P301" s="955" t="s">
        <v>873</v>
      </c>
      <c r="Q301" s="955" t="s">
        <v>873</v>
      </c>
      <c r="S301" s="773"/>
      <c r="U301" s="949" t="s">
        <v>184</v>
      </c>
      <c r="V301" s="956">
        <f>G304</f>
        <v>7502.15</v>
      </c>
    </row>
    <row r="302" spans="1:22" hidden="1" outlineLevel="1">
      <c r="B302" s="930">
        <v>3</v>
      </c>
      <c r="C302" s="931" t="s">
        <v>2732</v>
      </c>
      <c r="D302" s="931"/>
      <c r="E302" s="952" t="s">
        <v>805</v>
      </c>
      <c r="F302" s="952" t="s">
        <v>817</v>
      </c>
      <c r="G302" s="932">
        <v>5234.2849999999999</v>
      </c>
      <c r="H302" s="930" t="s">
        <v>183</v>
      </c>
      <c r="I302" s="933">
        <v>45166.805555555555</v>
      </c>
      <c r="J302" s="934" t="s">
        <v>192</v>
      </c>
      <c r="K302" s="934" t="s">
        <v>192</v>
      </c>
      <c r="L302" s="1502"/>
      <c r="M302" s="1502"/>
      <c r="O302" s="936" t="s">
        <v>873</v>
      </c>
      <c r="P302" s="936" t="s">
        <v>873</v>
      </c>
      <c r="Q302" s="936" t="s">
        <v>873</v>
      </c>
      <c r="U302" s="915" t="s">
        <v>88</v>
      </c>
      <c r="V302" s="951">
        <f>G306</f>
        <v>5009.3509999999997</v>
      </c>
    </row>
    <row r="303" spans="1:22" hidden="1" outlineLevel="1">
      <c r="B303" s="930">
        <v>4</v>
      </c>
      <c r="C303" s="931" t="s">
        <v>2735</v>
      </c>
      <c r="D303" s="931"/>
      <c r="E303" s="952" t="s">
        <v>505</v>
      </c>
      <c r="F303" s="952" t="s">
        <v>340</v>
      </c>
      <c r="G303" s="932">
        <v>7003.4480000000003</v>
      </c>
      <c r="H303" s="930" t="s">
        <v>183</v>
      </c>
      <c r="I303" s="933">
        <v>45169.256944444445</v>
      </c>
      <c r="J303" s="934" t="s">
        <v>192</v>
      </c>
      <c r="K303" s="934" t="s">
        <v>192</v>
      </c>
      <c r="L303" s="1502"/>
      <c r="M303" s="1502"/>
      <c r="O303" s="936" t="s">
        <v>873</v>
      </c>
      <c r="P303" s="936" t="s">
        <v>873</v>
      </c>
      <c r="Q303" s="936" t="s">
        <v>873</v>
      </c>
      <c r="U303" s="915" t="s">
        <v>172</v>
      </c>
      <c r="V303" s="951">
        <f>G305</f>
        <v>7229.3270000000002</v>
      </c>
    </row>
    <row r="304" spans="1:22" hidden="1" outlineLevel="1">
      <c r="B304" s="930">
        <v>5</v>
      </c>
      <c r="C304" s="931" t="s">
        <v>2738</v>
      </c>
      <c r="D304" s="931"/>
      <c r="E304" s="952" t="s">
        <v>1392</v>
      </c>
      <c r="F304" s="952" t="s">
        <v>365</v>
      </c>
      <c r="G304" s="932">
        <v>7502.15</v>
      </c>
      <c r="H304" s="930" t="s">
        <v>184</v>
      </c>
      <c r="I304" s="933">
        <v>45170.048611111109</v>
      </c>
      <c r="J304" s="934" t="s">
        <v>192</v>
      </c>
      <c r="K304" s="934" t="s">
        <v>192</v>
      </c>
      <c r="L304" s="1502"/>
      <c r="M304" s="1502"/>
      <c r="O304" s="936" t="s">
        <v>873</v>
      </c>
      <c r="P304" s="936" t="s">
        <v>873</v>
      </c>
      <c r="Q304" s="936" t="s">
        <v>873</v>
      </c>
    </row>
    <row r="305" spans="1:22" hidden="1" outlineLevel="1">
      <c r="B305" s="930">
        <v>6</v>
      </c>
      <c r="C305" s="931" t="s">
        <v>2805</v>
      </c>
      <c r="D305" s="931"/>
      <c r="E305" s="952" t="s">
        <v>201</v>
      </c>
      <c r="F305" s="952" t="s">
        <v>202</v>
      </c>
      <c r="G305" s="932">
        <v>7229.3270000000002</v>
      </c>
      <c r="H305" s="930" t="s">
        <v>172</v>
      </c>
      <c r="I305" s="933">
        <v>45177.642361111109</v>
      </c>
      <c r="J305" s="934" t="s">
        <v>192</v>
      </c>
      <c r="K305" s="934" t="s">
        <v>192</v>
      </c>
      <c r="L305" s="1502"/>
      <c r="M305" s="1502"/>
      <c r="O305" s="936"/>
      <c r="P305" s="936"/>
      <c r="Q305" s="936"/>
    </row>
    <row r="306" spans="1:22" hidden="1" outlineLevel="1">
      <c r="B306" s="930">
        <v>7</v>
      </c>
      <c r="C306" s="931" t="s">
        <v>2670</v>
      </c>
      <c r="D306" s="931"/>
      <c r="E306" s="952" t="s">
        <v>2671</v>
      </c>
      <c r="F306" s="952" t="s">
        <v>2672</v>
      </c>
      <c r="G306" s="932">
        <v>5009.3509999999997</v>
      </c>
      <c r="H306" s="930" t="s">
        <v>88</v>
      </c>
      <c r="I306" s="933">
        <v>45176.520833333336</v>
      </c>
      <c r="J306" s="934" t="s">
        <v>192</v>
      </c>
      <c r="K306" s="934" t="s">
        <v>192</v>
      </c>
      <c r="L306" s="1511"/>
      <c r="M306" s="1511"/>
      <c r="O306" s="936"/>
      <c r="P306" s="936"/>
      <c r="Q306" s="936"/>
    </row>
    <row r="307" spans="1:22" s="773" customFormat="1" ht="4.95" hidden="1" customHeight="1" outlineLevel="1">
      <c r="A307" s="770"/>
      <c r="B307" s="776"/>
      <c r="C307" s="774"/>
      <c r="D307" s="774"/>
      <c r="E307" s="774"/>
      <c r="F307" s="774"/>
      <c r="G307" s="775"/>
      <c r="H307" s="776"/>
      <c r="I307" s="925"/>
      <c r="J307" s="926"/>
      <c r="K307" s="926"/>
      <c r="L307" s="926"/>
      <c r="M307" s="926"/>
      <c r="N307" s="772"/>
      <c r="O307" s="928"/>
      <c r="P307" s="928"/>
      <c r="Q307" s="928"/>
    </row>
    <row r="308" spans="1:22" s="949" customFormat="1" hidden="1" outlineLevel="1">
      <c r="A308" s="950"/>
      <c r="B308" s="930">
        <v>1</v>
      </c>
      <c r="C308" s="931" t="s">
        <v>2741</v>
      </c>
      <c r="D308" s="931"/>
      <c r="E308" s="952" t="s">
        <v>383</v>
      </c>
      <c r="F308" s="952" t="s">
        <v>384</v>
      </c>
      <c r="G308" s="932">
        <v>5201.0159999999996</v>
      </c>
      <c r="H308" s="930" t="s">
        <v>184</v>
      </c>
      <c r="I308" s="933">
        <v>45172.833333333336</v>
      </c>
      <c r="J308" s="934" t="s">
        <v>192</v>
      </c>
      <c r="K308" s="934" t="s">
        <v>192</v>
      </c>
      <c r="L308" s="1512" t="s">
        <v>4531</v>
      </c>
      <c r="M308" s="1512" t="s">
        <v>4532</v>
      </c>
      <c r="N308" s="948"/>
      <c r="O308" s="955" t="s">
        <v>873</v>
      </c>
      <c r="P308" s="955" t="s">
        <v>873</v>
      </c>
      <c r="Q308" s="955" t="s">
        <v>873</v>
      </c>
      <c r="S308" s="959">
        <v>45185.354166666664</v>
      </c>
    </row>
    <row r="309" spans="1:22" s="968" customFormat="1" hidden="1" outlineLevel="1">
      <c r="A309" s="960"/>
      <c r="B309" s="961">
        <v>2</v>
      </c>
      <c r="C309" s="962" t="s">
        <v>2752</v>
      </c>
      <c r="D309" s="962"/>
      <c r="E309" s="963" t="s">
        <v>403</v>
      </c>
      <c r="F309" s="963" t="s">
        <v>404</v>
      </c>
      <c r="G309" s="902">
        <v>7500</v>
      </c>
      <c r="H309" s="961" t="s">
        <v>78</v>
      </c>
      <c r="I309" s="964">
        <v>45174.729166666664</v>
      </c>
      <c r="J309" s="965" t="s">
        <v>192</v>
      </c>
      <c r="K309" s="965" t="s">
        <v>192</v>
      </c>
      <c r="L309" s="1513"/>
      <c r="M309" s="1513"/>
      <c r="N309" s="966"/>
      <c r="O309" s="967" t="s">
        <v>873</v>
      </c>
      <c r="P309" s="967" t="s">
        <v>873</v>
      </c>
      <c r="Q309" s="967" t="s">
        <v>873</v>
      </c>
      <c r="S309" s="781"/>
    </row>
    <row r="310" spans="1:22" s="968" customFormat="1" hidden="1" outlineLevel="1">
      <c r="A310" s="960"/>
      <c r="B310" s="961">
        <v>3</v>
      </c>
      <c r="C310" s="962" t="s">
        <v>2796</v>
      </c>
      <c r="D310" s="962"/>
      <c r="E310" s="963" t="s">
        <v>1972</v>
      </c>
      <c r="F310" s="963" t="s">
        <v>1973</v>
      </c>
      <c r="G310" s="902">
        <v>7500</v>
      </c>
      <c r="H310" s="961" t="s">
        <v>76</v>
      </c>
      <c r="I310" s="964">
        <v>45176.944444444445</v>
      </c>
      <c r="J310" s="965" t="s">
        <v>192</v>
      </c>
      <c r="K310" s="965" t="s">
        <v>192</v>
      </c>
      <c r="L310" s="1514"/>
      <c r="M310" s="1514"/>
      <c r="N310" s="966"/>
      <c r="O310" s="967" t="s">
        <v>873</v>
      </c>
      <c r="P310" s="967" t="s">
        <v>873</v>
      </c>
      <c r="Q310" s="967" t="s">
        <v>873</v>
      </c>
      <c r="S310" s="781"/>
    </row>
    <row r="311" spans="1:22" s="773" customFormat="1" ht="4.95" hidden="1" customHeight="1" outlineLevel="1">
      <c r="A311" s="770"/>
      <c r="B311" s="776"/>
      <c r="C311" s="774"/>
      <c r="D311" s="774"/>
      <c r="E311" s="774"/>
      <c r="F311" s="774"/>
      <c r="G311" s="775"/>
      <c r="H311" s="776"/>
      <c r="I311" s="925"/>
      <c r="J311" s="926"/>
      <c r="K311" s="926"/>
      <c r="L311" s="926"/>
      <c r="M311" s="926"/>
      <c r="N311" s="772"/>
      <c r="O311" s="928"/>
      <c r="P311" s="928"/>
      <c r="Q311" s="928"/>
    </row>
    <row r="312" spans="1:22" hidden="1" outlineLevel="1">
      <c r="B312" s="930">
        <v>1</v>
      </c>
      <c r="C312" s="931" t="s">
        <v>2734</v>
      </c>
      <c r="D312" s="931"/>
      <c r="E312" s="952" t="s">
        <v>2156</v>
      </c>
      <c r="F312" s="952" t="s">
        <v>1835</v>
      </c>
      <c r="G312" s="932">
        <v>6490.9319999999998</v>
      </c>
      <c r="H312" s="930" t="s">
        <v>183</v>
      </c>
      <c r="I312" s="933">
        <v>45170.208333333336</v>
      </c>
      <c r="J312" s="934" t="s">
        <v>192</v>
      </c>
      <c r="K312" s="934" t="s">
        <v>192</v>
      </c>
      <c r="L312" s="1518" t="s">
        <v>1852</v>
      </c>
      <c r="M312" s="1518" t="s">
        <v>3068</v>
      </c>
      <c r="O312" s="936" t="s">
        <v>873</v>
      </c>
      <c r="P312" s="936" t="s">
        <v>873</v>
      </c>
      <c r="Q312" s="936" t="s">
        <v>873</v>
      </c>
      <c r="S312" s="959">
        <v>45186.25</v>
      </c>
      <c r="U312" s="915" t="s">
        <v>183</v>
      </c>
      <c r="V312" s="951">
        <f>G312+G314+G315+G316</f>
        <v>24356.973999999998</v>
      </c>
    </row>
    <row r="313" spans="1:22" hidden="1" outlineLevel="1">
      <c r="B313" s="930">
        <v>2</v>
      </c>
      <c r="C313" s="931" t="s">
        <v>2739</v>
      </c>
      <c r="D313" s="931"/>
      <c r="E313" s="952" t="s">
        <v>222</v>
      </c>
      <c r="F313" s="952" t="s">
        <v>223</v>
      </c>
      <c r="G313" s="932">
        <v>7504.7849999999999</v>
      </c>
      <c r="H313" s="930" t="s">
        <v>184</v>
      </c>
      <c r="I313" s="933">
        <v>45171.75</v>
      </c>
      <c r="J313" s="934" t="s">
        <v>192</v>
      </c>
      <c r="K313" s="934" t="s">
        <v>192</v>
      </c>
      <c r="L313" s="1519"/>
      <c r="M313" s="1519"/>
      <c r="O313" s="936" t="s">
        <v>873</v>
      </c>
      <c r="P313" s="936" t="s">
        <v>873</v>
      </c>
      <c r="Q313" s="936" t="s">
        <v>873</v>
      </c>
      <c r="U313" s="915" t="s">
        <v>184</v>
      </c>
      <c r="V313" s="951">
        <f>G313</f>
        <v>7504.7849999999999</v>
      </c>
    </row>
    <row r="314" spans="1:22" s="968" customFormat="1" hidden="1" outlineLevel="1">
      <c r="A314" s="960"/>
      <c r="B314" s="961">
        <v>3</v>
      </c>
      <c r="C314" s="962" t="s">
        <v>2737</v>
      </c>
      <c r="D314" s="962"/>
      <c r="E314" s="963" t="s">
        <v>489</v>
      </c>
      <c r="F314" s="963" t="s">
        <v>483</v>
      </c>
      <c r="G314" s="902">
        <v>6497.5919999999996</v>
      </c>
      <c r="H314" s="961" t="s">
        <v>183</v>
      </c>
      <c r="I314" s="964">
        <v>45172.010416666664</v>
      </c>
      <c r="J314" s="965" t="s">
        <v>192</v>
      </c>
      <c r="K314" s="965" t="s">
        <v>192</v>
      </c>
      <c r="L314" s="1519"/>
      <c r="M314" s="1519"/>
      <c r="N314" s="966"/>
      <c r="O314" s="967" t="s">
        <v>873</v>
      </c>
      <c r="P314" s="967" t="s">
        <v>873</v>
      </c>
      <c r="Q314" s="967" t="s">
        <v>873</v>
      </c>
      <c r="S314" s="781"/>
      <c r="U314" s="968" t="s">
        <v>172</v>
      </c>
      <c r="V314" s="969">
        <f>G317</f>
        <v>7501.7920000000004</v>
      </c>
    </row>
    <row r="315" spans="1:22" s="968" customFormat="1" hidden="1" outlineLevel="1">
      <c r="A315" s="960"/>
      <c r="B315" s="961">
        <v>4</v>
      </c>
      <c r="C315" s="962" t="s">
        <v>2736</v>
      </c>
      <c r="D315" s="962"/>
      <c r="E315" s="963" t="s">
        <v>437</v>
      </c>
      <c r="F315" s="963" t="s">
        <v>320</v>
      </c>
      <c r="G315" s="902">
        <v>6118.8779999999997</v>
      </c>
      <c r="H315" s="961" t="s">
        <v>183</v>
      </c>
      <c r="I315" s="964">
        <v>45172.111111111109</v>
      </c>
      <c r="J315" s="965" t="s">
        <v>192</v>
      </c>
      <c r="K315" s="965" t="s">
        <v>192</v>
      </c>
      <c r="L315" s="1519"/>
      <c r="M315" s="1519"/>
      <c r="N315" s="966"/>
      <c r="O315" s="967" t="s">
        <v>873</v>
      </c>
      <c r="P315" s="967" t="s">
        <v>873</v>
      </c>
      <c r="Q315" s="967" t="s">
        <v>873</v>
      </c>
      <c r="S315" s="781"/>
      <c r="U315" s="968" t="s">
        <v>88</v>
      </c>
      <c r="V315" s="969">
        <f>G318</f>
        <v>5009.2179999999998</v>
      </c>
    </row>
    <row r="316" spans="1:22" s="968" customFormat="1" hidden="1" outlineLevel="1">
      <c r="A316" s="960"/>
      <c r="B316" s="961">
        <v>5</v>
      </c>
      <c r="C316" s="962" t="s">
        <v>2818</v>
      </c>
      <c r="D316" s="962"/>
      <c r="E316" s="963" t="s">
        <v>809</v>
      </c>
      <c r="F316" s="963" t="s">
        <v>1365</v>
      </c>
      <c r="G316" s="902">
        <v>5249.5720000000001</v>
      </c>
      <c r="H316" s="961" t="s">
        <v>183</v>
      </c>
      <c r="I316" s="964">
        <v>45183.916666666664</v>
      </c>
      <c r="J316" s="965" t="s">
        <v>192</v>
      </c>
      <c r="K316" s="965" t="s">
        <v>192</v>
      </c>
      <c r="L316" s="1519"/>
      <c r="M316" s="1519"/>
      <c r="N316" s="966"/>
      <c r="O316" s="967" t="s">
        <v>873</v>
      </c>
      <c r="P316" s="967" t="s">
        <v>873</v>
      </c>
      <c r="Q316" s="967" t="s">
        <v>873</v>
      </c>
      <c r="S316" s="781"/>
      <c r="U316" s="968" t="s">
        <v>1164</v>
      </c>
      <c r="V316" s="969">
        <f>V317-SUM(V312:V315)</f>
        <v>31027.231</v>
      </c>
    </row>
    <row r="317" spans="1:22" s="975" customFormat="1" hidden="1" outlineLevel="1">
      <c r="A317" s="970"/>
      <c r="B317" s="825">
        <v>6</v>
      </c>
      <c r="C317" s="826" t="s">
        <v>2809</v>
      </c>
      <c r="D317" s="826"/>
      <c r="E317" s="971" t="s">
        <v>1767</v>
      </c>
      <c r="F317" s="971" t="s">
        <v>2352</v>
      </c>
      <c r="G317" s="827">
        <v>7501.7920000000004</v>
      </c>
      <c r="H317" s="825" t="s">
        <v>172</v>
      </c>
      <c r="I317" s="972">
        <v>45186.083333333336</v>
      </c>
      <c r="J317" s="965" t="s">
        <v>192</v>
      </c>
      <c r="K317" s="965" t="s">
        <v>192</v>
      </c>
      <c r="L317" s="1519"/>
      <c r="M317" s="1519"/>
      <c r="N317" s="973"/>
      <c r="O317" s="974" t="s">
        <v>873</v>
      </c>
      <c r="P317" s="974" t="s">
        <v>873</v>
      </c>
      <c r="Q317" s="974" t="s">
        <v>873</v>
      </c>
      <c r="S317" s="824"/>
      <c r="V317" s="975">
        <v>75400</v>
      </c>
    </row>
    <row r="318" spans="1:22" s="949" customFormat="1" hidden="1" outlineLevel="1">
      <c r="A318" s="950"/>
      <c r="B318" s="825">
        <v>7</v>
      </c>
      <c r="C318" s="826" t="s">
        <v>2749</v>
      </c>
      <c r="D318" s="826"/>
      <c r="E318" s="971" t="s">
        <v>2750</v>
      </c>
      <c r="F318" s="971" t="s">
        <v>2751</v>
      </c>
      <c r="G318" s="827">
        <v>5009.2179999999998</v>
      </c>
      <c r="H318" s="825" t="s">
        <v>88</v>
      </c>
      <c r="I318" s="972">
        <v>45188.71875</v>
      </c>
      <c r="J318" s="965" t="s">
        <v>192</v>
      </c>
      <c r="K318" s="965" t="s">
        <v>192</v>
      </c>
      <c r="L318" s="1520"/>
      <c r="M318" s="1520"/>
      <c r="N318" s="948"/>
      <c r="O318" s="955" t="s">
        <v>873</v>
      </c>
      <c r="P318" s="955" t="s">
        <v>873</v>
      </c>
      <c r="Q318" s="955" t="s">
        <v>873</v>
      </c>
      <c r="S318" s="773"/>
    </row>
    <row r="319" spans="1:22" s="773" customFormat="1" ht="4.95" hidden="1" customHeight="1" outlineLevel="1">
      <c r="A319" s="770"/>
      <c r="B319" s="776"/>
      <c r="C319" s="774"/>
      <c r="D319" s="774"/>
      <c r="E319" s="774"/>
      <c r="F319" s="774"/>
      <c r="G319" s="775"/>
      <c r="H319" s="776"/>
      <c r="I319" s="925"/>
      <c r="J319" s="926"/>
      <c r="K319" s="926"/>
      <c r="L319" s="926"/>
      <c r="M319" s="926"/>
      <c r="N319" s="772"/>
      <c r="O319" s="928"/>
      <c r="P319" s="928"/>
      <c r="Q319" s="928"/>
    </row>
    <row r="320" spans="1:22" s="949" customFormat="1" hidden="1" outlineLevel="1">
      <c r="A320" s="950"/>
      <c r="B320" s="825">
        <v>1</v>
      </c>
      <c r="C320" s="826" t="s">
        <v>2753</v>
      </c>
      <c r="D320" s="826"/>
      <c r="E320" s="971" t="s">
        <v>1392</v>
      </c>
      <c r="F320" s="971" t="s">
        <v>365</v>
      </c>
      <c r="G320" s="827">
        <v>7500</v>
      </c>
      <c r="H320" s="825" t="s">
        <v>78</v>
      </c>
      <c r="I320" s="972">
        <v>45183.833333333336</v>
      </c>
      <c r="J320" s="965" t="s">
        <v>192</v>
      </c>
      <c r="K320" s="965" t="s">
        <v>192</v>
      </c>
      <c r="L320" s="1518" t="s">
        <v>2134</v>
      </c>
      <c r="M320" s="1518" t="s">
        <v>4533</v>
      </c>
      <c r="N320" s="948"/>
      <c r="O320" s="955" t="s">
        <v>873</v>
      </c>
      <c r="P320" s="955" t="s">
        <v>873</v>
      </c>
      <c r="Q320" s="955" t="s">
        <v>873</v>
      </c>
      <c r="S320" s="959">
        <v>45183.75</v>
      </c>
    </row>
    <row r="321" spans="1:19" s="949" customFormat="1" hidden="1" outlineLevel="1">
      <c r="A321" s="950"/>
      <c r="B321" s="825">
        <v>2</v>
      </c>
      <c r="C321" s="826" t="s">
        <v>2794</v>
      </c>
      <c r="D321" s="826"/>
      <c r="E321" s="971" t="s">
        <v>339</v>
      </c>
      <c r="F321" s="971" t="s">
        <v>506</v>
      </c>
      <c r="G321" s="827">
        <v>7512</v>
      </c>
      <c r="H321" s="825" t="s">
        <v>84</v>
      </c>
      <c r="I321" s="972">
        <v>45184.861111111109</v>
      </c>
      <c r="J321" s="965" t="s">
        <v>192</v>
      </c>
      <c r="K321" s="965" t="s">
        <v>192</v>
      </c>
      <c r="L321" s="1519"/>
      <c r="M321" s="1519"/>
      <c r="N321" s="948"/>
      <c r="O321" s="955" t="s">
        <v>873</v>
      </c>
      <c r="P321" s="955" t="s">
        <v>873</v>
      </c>
      <c r="Q321" s="955" t="s">
        <v>873</v>
      </c>
      <c r="S321" s="773"/>
    </row>
    <row r="322" spans="1:19" s="949" customFormat="1" hidden="1" outlineLevel="1">
      <c r="A322" s="950"/>
      <c r="B322" s="825">
        <v>3</v>
      </c>
      <c r="C322" s="826" t="s">
        <v>2759</v>
      </c>
      <c r="D322" s="826"/>
      <c r="E322" s="971" t="s">
        <v>2277</v>
      </c>
      <c r="F322" s="971" t="s">
        <v>2278</v>
      </c>
      <c r="G322" s="827">
        <v>7481.2240000000002</v>
      </c>
      <c r="H322" s="825" t="s">
        <v>235</v>
      </c>
      <c r="I322" s="972">
        <v>45188</v>
      </c>
      <c r="J322" s="965" t="s">
        <v>192</v>
      </c>
      <c r="K322" s="965" t="s">
        <v>192</v>
      </c>
      <c r="L322" s="1519"/>
      <c r="M322" s="1519"/>
      <c r="N322" s="948"/>
      <c r="O322" s="955" t="s">
        <v>873</v>
      </c>
      <c r="P322" s="955" t="s">
        <v>873</v>
      </c>
      <c r="Q322" s="955" t="s">
        <v>873</v>
      </c>
      <c r="S322" s="773"/>
    </row>
    <row r="323" spans="1:19" s="949" customFormat="1" hidden="1" outlineLevel="1">
      <c r="A323" s="950"/>
      <c r="B323" s="825">
        <v>4</v>
      </c>
      <c r="C323" s="826" t="s">
        <v>2760</v>
      </c>
      <c r="D323" s="826"/>
      <c r="E323" s="971" t="s">
        <v>390</v>
      </c>
      <c r="F323" s="971" t="s">
        <v>391</v>
      </c>
      <c r="G323" s="827">
        <v>7516.9920000000002</v>
      </c>
      <c r="H323" s="825" t="s">
        <v>235</v>
      </c>
      <c r="I323" s="972">
        <v>45187.916666666664</v>
      </c>
      <c r="J323" s="965" t="s">
        <v>192</v>
      </c>
      <c r="K323" s="965" t="s">
        <v>192</v>
      </c>
      <c r="L323" s="1520"/>
      <c r="M323" s="1520"/>
      <c r="N323" s="948"/>
      <c r="O323" s="955" t="s">
        <v>873</v>
      </c>
      <c r="P323" s="955" t="s">
        <v>873</v>
      </c>
      <c r="Q323" s="955" t="s">
        <v>873</v>
      </c>
      <c r="S323" s="773"/>
    </row>
    <row r="324" spans="1:19" s="773" customFormat="1" ht="4.95" hidden="1" customHeight="1" outlineLevel="1">
      <c r="A324" s="770"/>
      <c r="B324" s="776"/>
      <c r="C324" s="774"/>
      <c r="D324" s="774"/>
      <c r="E324" s="774"/>
      <c r="F324" s="774"/>
      <c r="G324" s="775"/>
      <c r="H324" s="776"/>
      <c r="I324" s="925"/>
      <c r="J324" s="926"/>
      <c r="K324" s="926"/>
      <c r="L324" s="926"/>
      <c r="M324" s="926"/>
      <c r="N324" s="772"/>
      <c r="O324" s="928"/>
      <c r="P324" s="928"/>
      <c r="Q324" s="928"/>
    </row>
    <row r="325" spans="1:19" s="949" customFormat="1" hidden="1" outlineLevel="1">
      <c r="A325" s="929" t="s">
        <v>4534</v>
      </c>
      <c r="B325" s="825">
        <v>1</v>
      </c>
      <c r="C325" s="826" t="s">
        <v>2807</v>
      </c>
      <c r="D325" s="826"/>
      <c r="E325" s="971" t="s">
        <v>330</v>
      </c>
      <c r="F325" s="971" t="s">
        <v>331</v>
      </c>
      <c r="G325" s="827">
        <v>7166.3190000000004</v>
      </c>
      <c r="H325" s="825" t="s">
        <v>172</v>
      </c>
      <c r="I325" s="972">
        <v>45182.604166666664</v>
      </c>
      <c r="J325" s="965" t="s">
        <v>192</v>
      </c>
      <c r="K325" s="965" t="s">
        <v>192</v>
      </c>
      <c r="L325" s="1501" t="s">
        <v>4535</v>
      </c>
      <c r="M325" s="1501" t="s">
        <v>4536</v>
      </c>
      <c r="N325" s="948"/>
      <c r="O325" s="955" t="s">
        <v>873</v>
      </c>
      <c r="P325" s="955" t="s">
        <v>873</v>
      </c>
      <c r="Q325" s="955" t="s">
        <v>873</v>
      </c>
      <c r="S325" s="959">
        <v>45188.9375</v>
      </c>
    </row>
    <row r="326" spans="1:19" s="975" customFormat="1" hidden="1" outlineLevel="1">
      <c r="A326" s="970"/>
      <c r="B326" s="825">
        <v>2</v>
      </c>
      <c r="C326" s="826" t="s">
        <v>2808</v>
      </c>
      <c r="D326" s="826"/>
      <c r="E326" s="971" t="s">
        <v>721</v>
      </c>
      <c r="F326" s="971" t="s">
        <v>1349</v>
      </c>
      <c r="G326" s="827">
        <v>7556.4219999999996</v>
      </c>
      <c r="H326" s="825" t="s">
        <v>172</v>
      </c>
      <c r="I326" s="972">
        <v>45183.260416666664</v>
      </c>
      <c r="J326" s="965" t="s">
        <v>192</v>
      </c>
      <c r="K326" s="965" t="s">
        <v>192</v>
      </c>
      <c r="L326" s="1502"/>
      <c r="M326" s="1502"/>
      <c r="N326" s="973"/>
      <c r="O326" s="974" t="s">
        <v>873</v>
      </c>
      <c r="P326" s="974" t="s">
        <v>873</v>
      </c>
      <c r="Q326" s="974" t="s">
        <v>873</v>
      </c>
      <c r="S326" s="824"/>
    </row>
    <row r="327" spans="1:19" hidden="1" outlineLevel="1">
      <c r="B327" s="930">
        <v>3</v>
      </c>
      <c r="C327" s="931" t="s">
        <v>2838</v>
      </c>
      <c r="D327" s="931"/>
      <c r="E327" s="952" t="s">
        <v>823</v>
      </c>
      <c r="F327" s="952" t="s">
        <v>824</v>
      </c>
      <c r="G327" s="932">
        <v>7501.116</v>
      </c>
      <c r="H327" s="930" t="s">
        <v>184</v>
      </c>
      <c r="I327" s="933">
        <v>45184.708333333336</v>
      </c>
      <c r="J327" s="965" t="s">
        <v>192</v>
      </c>
      <c r="K327" s="965" t="s">
        <v>192</v>
      </c>
      <c r="L327" s="1511"/>
      <c r="M327" s="1511"/>
      <c r="O327" s="936" t="s">
        <v>873</v>
      </c>
      <c r="P327" s="936" t="s">
        <v>873</v>
      </c>
      <c r="Q327" s="936" t="s">
        <v>873</v>
      </c>
    </row>
    <row r="328" spans="1:19" s="773" customFormat="1" ht="4.95" hidden="1" customHeight="1" outlineLevel="1">
      <c r="A328" s="770"/>
      <c r="B328" s="776"/>
      <c r="C328" s="774"/>
      <c r="D328" s="774"/>
      <c r="E328" s="774"/>
      <c r="F328" s="774"/>
      <c r="G328" s="775"/>
      <c r="H328" s="776"/>
      <c r="I328" s="925"/>
      <c r="J328" s="926"/>
      <c r="K328" s="926"/>
      <c r="L328" s="942"/>
      <c r="M328" s="942"/>
      <c r="N328" s="772"/>
      <c r="O328" s="928"/>
      <c r="P328" s="928"/>
      <c r="Q328" s="928"/>
    </row>
    <row r="329" spans="1:19" s="949" customFormat="1" hidden="1" outlineLevel="1">
      <c r="A329" s="950"/>
      <c r="B329" s="825">
        <v>1</v>
      </c>
      <c r="C329" s="826" t="s">
        <v>2778</v>
      </c>
      <c r="D329" s="826"/>
      <c r="E329" s="971" t="s">
        <v>453</v>
      </c>
      <c r="F329" s="971" t="s">
        <v>454</v>
      </c>
      <c r="G329" s="827">
        <v>7722.0959999999995</v>
      </c>
      <c r="H329" s="825" t="s">
        <v>913</v>
      </c>
      <c r="I329" s="972">
        <v>45174.5625</v>
      </c>
      <c r="J329" s="965" t="s">
        <v>192</v>
      </c>
      <c r="K329" s="965" t="s">
        <v>192</v>
      </c>
      <c r="L329" s="1501" t="s">
        <v>1801</v>
      </c>
      <c r="M329" s="1501" t="s">
        <v>4537</v>
      </c>
      <c r="N329" s="948"/>
      <c r="O329" s="955" t="s">
        <v>873</v>
      </c>
      <c r="P329" s="955" t="s">
        <v>873</v>
      </c>
      <c r="Q329" s="955" t="s">
        <v>873</v>
      </c>
      <c r="S329" s="959">
        <v>45190.470833333333</v>
      </c>
    </row>
    <row r="330" spans="1:19" s="975" customFormat="1" hidden="1" outlineLevel="1">
      <c r="A330" s="970"/>
      <c r="B330" s="825">
        <v>2</v>
      </c>
      <c r="C330" s="826" t="s">
        <v>2779</v>
      </c>
      <c r="D330" s="826"/>
      <c r="E330" s="971" t="s">
        <v>768</v>
      </c>
      <c r="F330" s="971" t="s">
        <v>769</v>
      </c>
      <c r="G330" s="827">
        <v>7506.6509999999998</v>
      </c>
      <c r="H330" s="825" t="s">
        <v>913</v>
      </c>
      <c r="I330" s="972">
        <v>45182.375</v>
      </c>
      <c r="J330" s="965" t="s">
        <v>192</v>
      </c>
      <c r="K330" s="965" t="s">
        <v>192</v>
      </c>
      <c r="L330" s="1502"/>
      <c r="M330" s="1502"/>
      <c r="N330" s="973"/>
      <c r="O330" s="974" t="s">
        <v>873</v>
      </c>
      <c r="P330" s="974" t="s">
        <v>873</v>
      </c>
      <c r="Q330" s="974" t="s">
        <v>873</v>
      </c>
      <c r="S330" s="824"/>
    </row>
    <row r="331" spans="1:19" hidden="1" outlineLevel="1">
      <c r="B331" s="930">
        <v>3</v>
      </c>
      <c r="C331" s="931" t="s">
        <v>2761</v>
      </c>
      <c r="D331" s="931"/>
      <c r="E331" s="952" t="s">
        <v>222</v>
      </c>
      <c r="F331" s="952" t="s">
        <v>223</v>
      </c>
      <c r="G331" s="932">
        <v>7521.2219999999998</v>
      </c>
      <c r="H331" s="930" t="s">
        <v>418</v>
      </c>
      <c r="I331" s="933">
        <v>45190.770833333336</v>
      </c>
      <c r="J331" s="934" t="s">
        <v>192</v>
      </c>
      <c r="K331" s="934" t="s">
        <v>192</v>
      </c>
      <c r="L331" s="1502"/>
      <c r="M331" s="1502"/>
      <c r="O331" s="936" t="s">
        <v>873</v>
      </c>
      <c r="P331" s="936" t="s">
        <v>873</v>
      </c>
      <c r="Q331" s="936" t="s">
        <v>873</v>
      </c>
    </row>
    <row r="332" spans="1:19" hidden="1" outlineLevel="1">
      <c r="B332" s="930">
        <v>4</v>
      </c>
      <c r="C332" s="931" t="s">
        <v>2783</v>
      </c>
      <c r="D332" s="931"/>
      <c r="E332" s="952" t="s">
        <v>2784</v>
      </c>
      <c r="F332" s="952" t="s">
        <v>2785</v>
      </c>
      <c r="G332" s="932">
        <v>7616.2640000000001</v>
      </c>
      <c r="H332" s="930" t="s">
        <v>181</v>
      </c>
      <c r="I332" s="933">
        <v>45191.395833333336</v>
      </c>
      <c r="J332" s="934" t="s">
        <v>192</v>
      </c>
      <c r="K332" s="934" t="s">
        <v>192</v>
      </c>
      <c r="L332" s="1502"/>
      <c r="M332" s="1502"/>
      <c r="O332" s="936" t="s">
        <v>873</v>
      </c>
      <c r="P332" s="936" t="s">
        <v>873</v>
      </c>
      <c r="Q332" s="936" t="s">
        <v>873</v>
      </c>
    </row>
    <row r="333" spans="1:19" s="773" customFormat="1" ht="4.95" hidden="1" customHeight="1" outlineLevel="1">
      <c r="A333" s="770"/>
      <c r="B333" s="776"/>
      <c r="C333" s="774"/>
      <c r="D333" s="774"/>
      <c r="E333" s="774"/>
      <c r="F333" s="774"/>
      <c r="G333" s="775"/>
      <c r="H333" s="776"/>
      <c r="I333" s="925"/>
      <c r="J333" s="926"/>
      <c r="K333" s="926"/>
      <c r="L333" s="926"/>
      <c r="M333" s="926"/>
      <c r="N333" s="772"/>
      <c r="O333" s="928"/>
      <c r="P333" s="928"/>
      <c r="Q333" s="928"/>
    </row>
    <row r="334" spans="1:19" ht="15" hidden="1" customHeight="1" outlineLevel="1">
      <c r="B334" s="930">
        <v>1</v>
      </c>
      <c r="C334" s="931" t="s">
        <v>2791</v>
      </c>
      <c r="D334" s="931"/>
      <c r="E334" s="952" t="s">
        <v>383</v>
      </c>
      <c r="F334" s="952" t="s">
        <v>384</v>
      </c>
      <c r="G334" s="932">
        <v>5124</v>
      </c>
      <c r="H334" s="930" t="s">
        <v>82</v>
      </c>
      <c r="I334" s="933">
        <v>45188.5</v>
      </c>
      <c r="J334" s="934" t="s">
        <v>192</v>
      </c>
      <c r="K334" s="934" t="s">
        <v>192</v>
      </c>
      <c r="L334" s="1501" t="s">
        <v>1515</v>
      </c>
      <c r="M334" s="1501" t="s">
        <v>4538</v>
      </c>
      <c r="O334" s="936" t="s">
        <v>873</v>
      </c>
      <c r="P334" s="936" t="s">
        <v>873</v>
      </c>
      <c r="Q334" s="936" t="s">
        <v>873</v>
      </c>
      <c r="S334" s="976">
        <v>45191.479166666664</v>
      </c>
    </row>
    <row r="335" spans="1:19" hidden="1" outlineLevel="1">
      <c r="B335" s="930">
        <v>2</v>
      </c>
      <c r="C335" s="931" t="s">
        <v>2797</v>
      </c>
      <c r="D335" s="931"/>
      <c r="E335" s="952" t="s">
        <v>330</v>
      </c>
      <c r="F335" s="952" t="s">
        <v>331</v>
      </c>
      <c r="G335" s="932">
        <v>7500</v>
      </c>
      <c r="H335" s="930" t="s">
        <v>76</v>
      </c>
      <c r="I335" s="933">
        <v>45194.930555555555</v>
      </c>
      <c r="J335" s="934" t="s">
        <v>192</v>
      </c>
      <c r="K335" s="934" t="s">
        <v>192</v>
      </c>
      <c r="L335" s="1502"/>
      <c r="M335" s="1502"/>
      <c r="O335" s="936" t="s">
        <v>873</v>
      </c>
      <c r="P335" s="936" t="s">
        <v>873</v>
      </c>
      <c r="Q335" s="936" t="s">
        <v>873</v>
      </c>
    </row>
    <row r="336" spans="1:19" s="949" customFormat="1" hidden="1" outlineLevel="1">
      <c r="A336" s="950"/>
      <c r="B336" s="930">
        <v>3</v>
      </c>
      <c r="C336" s="931" t="s">
        <v>2763</v>
      </c>
      <c r="D336" s="931"/>
      <c r="E336" s="952" t="s">
        <v>429</v>
      </c>
      <c r="F336" s="952" t="s">
        <v>430</v>
      </c>
      <c r="G336" s="932">
        <v>7633.9009999999998</v>
      </c>
      <c r="H336" s="930" t="s">
        <v>235</v>
      </c>
      <c r="I336" s="933">
        <v>45199.666666666664</v>
      </c>
      <c r="J336" s="934" t="s">
        <v>192</v>
      </c>
      <c r="K336" s="934" t="s">
        <v>192</v>
      </c>
      <c r="L336" s="1502"/>
      <c r="M336" s="1502"/>
      <c r="N336" s="948"/>
      <c r="O336" s="955" t="s">
        <v>873</v>
      </c>
      <c r="P336" s="955" t="s">
        <v>873</v>
      </c>
      <c r="Q336" s="955" t="s">
        <v>873</v>
      </c>
      <c r="S336" s="773"/>
    </row>
    <row r="337" spans="1:22" s="949" customFormat="1" hidden="1" outlineLevel="1">
      <c r="A337" s="950"/>
      <c r="B337" s="930">
        <v>4</v>
      </c>
      <c r="C337" s="931" t="s">
        <v>2765</v>
      </c>
      <c r="D337" s="931"/>
      <c r="E337" s="952" t="s">
        <v>355</v>
      </c>
      <c r="F337" s="952" t="s">
        <v>356</v>
      </c>
      <c r="G337" s="932">
        <v>7590.7110000000002</v>
      </c>
      <c r="H337" s="930" t="s">
        <v>235</v>
      </c>
      <c r="I337" s="933">
        <v>45199.729166666664</v>
      </c>
      <c r="J337" s="934" t="s">
        <v>192</v>
      </c>
      <c r="K337" s="934" t="s">
        <v>192</v>
      </c>
      <c r="L337" s="1511"/>
      <c r="M337" s="1511"/>
      <c r="N337" s="948"/>
      <c r="O337" s="955" t="s">
        <v>873</v>
      </c>
      <c r="P337" s="955" t="s">
        <v>873</v>
      </c>
      <c r="Q337" s="955" t="s">
        <v>873</v>
      </c>
      <c r="S337" s="773"/>
    </row>
    <row r="338" spans="1:22" s="773" customFormat="1" ht="4.95" hidden="1" customHeight="1" outlineLevel="1">
      <c r="A338" s="770"/>
      <c r="B338" s="776"/>
      <c r="C338" s="774"/>
      <c r="D338" s="774"/>
      <c r="E338" s="883"/>
      <c r="F338" s="883"/>
      <c r="G338" s="775"/>
      <c r="H338" s="776"/>
      <c r="I338" s="925"/>
      <c r="J338" s="926"/>
      <c r="K338" s="977"/>
      <c r="L338" s="978"/>
      <c r="M338" s="978"/>
      <c r="N338" s="772"/>
      <c r="O338" s="928"/>
      <c r="P338" s="928"/>
      <c r="Q338" s="928"/>
    </row>
    <row r="339" spans="1:22" s="949" customFormat="1" hidden="1" outlineLevel="1">
      <c r="A339" s="950"/>
      <c r="B339" s="930">
        <v>1</v>
      </c>
      <c r="C339" s="931" t="s">
        <v>2811</v>
      </c>
      <c r="D339" s="979"/>
      <c r="E339" s="980" t="s">
        <v>721</v>
      </c>
      <c r="F339" s="981" t="s">
        <v>1349</v>
      </c>
      <c r="G339" s="932">
        <v>7535.7330000000002</v>
      </c>
      <c r="H339" s="930" t="s">
        <v>172</v>
      </c>
      <c r="I339" s="933">
        <v>45197.847222222219</v>
      </c>
      <c r="J339" s="934" t="s">
        <v>192</v>
      </c>
      <c r="K339" s="934" t="s">
        <v>192</v>
      </c>
      <c r="L339" s="1530" t="s">
        <v>4539</v>
      </c>
      <c r="M339" s="1530" t="s">
        <v>4540</v>
      </c>
      <c r="N339" s="948"/>
      <c r="O339" s="955" t="s">
        <v>873</v>
      </c>
      <c r="P339" s="955" t="s">
        <v>873</v>
      </c>
      <c r="Q339" s="955" t="s">
        <v>873</v>
      </c>
      <c r="S339" s="976">
        <v>45198.607638888891</v>
      </c>
    </row>
    <row r="340" spans="1:22" s="949" customFormat="1" hidden="1" outlineLevel="1">
      <c r="A340" s="950"/>
      <c r="B340" s="930">
        <v>2</v>
      </c>
      <c r="C340" s="931" t="s">
        <v>2781</v>
      </c>
      <c r="D340" s="979"/>
      <c r="E340" s="980" t="s">
        <v>292</v>
      </c>
      <c r="F340" s="981" t="s">
        <v>293</v>
      </c>
      <c r="G340" s="932">
        <v>7500.9949999999999</v>
      </c>
      <c r="H340" s="930" t="s">
        <v>173</v>
      </c>
      <c r="I340" s="933">
        <v>45198.729166666664</v>
      </c>
      <c r="J340" s="934" t="s">
        <v>192</v>
      </c>
      <c r="K340" s="934" t="s">
        <v>192</v>
      </c>
      <c r="L340" s="1530"/>
      <c r="M340" s="1530"/>
      <c r="N340" s="948"/>
      <c r="O340" s="955" t="s">
        <v>873</v>
      </c>
      <c r="P340" s="955" t="s">
        <v>873</v>
      </c>
      <c r="Q340" s="955" t="s">
        <v>873</v>
      </c>
      <c r="S340" s="773"/>
    </row>
    <row r="341" spans="1:22" s="949" customFormat="1" hidden="1" outlineLevel="1">
      <c r="A341" s="950"/>
      <c r="B341" s="930">
        <v>3</v>
      </c>
      <c r="C341" s="931" t="s">
        <v>2792</v>
      </c>
      <c r="D341" s="931"/>
      <c r="E341" s="982" t="s">
        <v>441</v>
      </c>
      <c r="F341" s="982" t="s">
        <v>1308</v>
      </c>
      <c r="G341" s="932">
        <v>5293</v>
      </c>
      <c r="H341" s="930" t="s">
        <v>82</v>
      </c>
      <c r="I341" s="933">
        <v>45198.659722222219</v>
      </c>
      <c r="J341" s="934" t="s">
        <v>192</v>
      </c>
      <c r="K341" s="934" t="s">
        <v>192</v>
      </c>
      <c r="L341" s="1530"/>
      <c r="M341" s="1530"/>
      <c r="N341" s="948"/>
      <c r="O341" s="955" t="s">
        <v>873</v>
      </c>
      <c r="P341" s="955" t="s">
        <v>873</v>
      </c>
      <c r="Q341" s="955" t="s">
        <v>873</v>
      </c>
      <c r="S341" s="773"/>
    </row>
    <row r="342" spans="1:22" s="949" customFormat="1" hidden="1" outlineLevel="1">
      <c r="A342" s="950"/>
      <c r="B342" s="930">
        <v>4</v>
      </c>
      <c r="C342" s="983" t="s">
        <v>2845</v>
      </c>
      <c r="D342" s="979"/>
      <c r="E342" s="980" t="s">
        <v>1799</v>
      </c>
      <c r="F342" s="981" t="s">
        <v>2437</v>
      </c>
      <c r="G342" s="932">
        <v>7407.1559999999999</v>
      </c>
      <c r="H342" s="930" t="s">
        <v>2846</v>
      </c>
      <c r="I342" s="933">
        <v>45201.034722222219</v>
      </c>
      <c r="J342" s="934" t="s">
        <v>192</v>
      </c>
      <c r="K342" s="934" t="s">
        <v>192</v>
      </c>
      <c r="L342" s="1530"/>
      <c r="M342" s="1530"/>
      <c r="N342" s="948"/>
      <c r="O342" s="955" t="s">
        <v>873</v>
      </c>
      <c r="P342" s="955" t="s">
        <v>873</v>
      </c>
      <c r="Q342" s="955" t="s">
        <v>873</v>
      </c>
      <c r="S342" s="773"/>
    </row>
    <row r="343" spans="1:22" s="773" customFormat="1" ht="4.95" hidden="1" customHeight="1" outlineLevel="1">
      <c r="A343" s="770"/>
      <c r="B343" s="776"/>
      <c r="C343" s="774"/>
      <c r="D343" s="774"/>
      <c r="E343" s="774"/>
      <c r="F343" s="774"/>
      <c r="G343" s="775"/>
      <c r="H343" s="776"/>
      <c r="I343" s="925"/>
      <c r="J343" s="926"/>
      <c r="K343" s="984"/>
      <c r="L343" s="985"/>
      <c r="M343" s="985"/>
      <c r="N343" s="772"/>
      <c r="O343" s="928"/>
      <c r="P343" s="928"/>
      <c r="Q343" s="928"/>
    </row>
    <row r="344" spans="1:22" s="949" customFormat="1" ht="15" hidden="1" customHeight="1" outlineLevel="1">
      <c r="A344" s="950"/>
      <c r="B344" s="930">
        <v>1</v>
      </c>
      <c r="C344" s="931" t="s">
        <v>4541</v>
      </c>
      <c r="D344" s="979"/>
      <c r="E344" s="980" t="s">
        <v>2800</v>
      </c>
      <c r="F344" s="981" t="s">
        <v>2801</v>
      </c>
      <c r="G344" s="986">
        <v>5343.2870000000003</v>
      </c>
      <c r="H344" s="930" t="s">
        <v>182</v>
      </c>
      <c r="I344" s="933">
        <v>45192.25</v>
      </c>
      <c r="J344" s="934" t="s">
        <v>192</v>
      </c>
      <c r="K344" s="934" t="s">
        <v>192</v>
      </c>
      <c r="L344" s="1542" t="s">
        <v>4542</v>
      </c>
      <c r="M344" s="1544" t="s">
        <v>4543</v>
      </c>
      <c r="N344" s="948"/>
      <c r="O344" s="955" t="s">
        <v>873</v>
      </c>
      <c r="P344" s="955" t="s">
        <v>873</v>
      </c>
      <c r="Q344" s="955" t="s">
        <v>873</v>
      </c>
      <c r="S344" s="976">
        <v>45199.75</v>
      </c>
    </row>
    <row r="345" spans="1:22" s="949" customFormat="1" hidden="1" outlineLevel="1">
      <c r="A345" s="950"/>
      <c r="B345" s="930">
        <v>2</v>
      </c>
      <c r="C345" s="931" t="s">
        <v>2813</v>
      </c>
      <c r="D345" s="979"/>
      <c r="E345" s="987" t="s">
        <v>390</v>
      </c>
      <c r="F345" s="988" t="s">
        <v>391</v>
      </c>
      <c r="G345" s="932">
        <v>7538.4260000000004</v>
      </c>
      <c r="H345" s="930" t="s">
        <v>172</v>
      </c>
      <c r="I345" s="933">
        <v>45199.791666666664</v>
      </c>
      <c r="J345" s="934" t="s">
        <v>192</v>
      </c>
      <c r="K345" s="934" t="s">
        <v>192</v>
      </c>
      <c r="L345" s="1543"/>
      <c r="M345" s="1530"/>
      <c r="N345" s="948"/>
      <c r="O345" s="955" t="s">
        <v>873</v>
      </c>
      <c r="P345" s="955" t="s">
        <v>873</v>
      </c>
      <c r="Q345" s="955" t="s">
        <v>873</v>
      </c>
      <c r="S345" s="773"/>
    </row>
    <row r="346" spans="1:22" s="949" customFormat="1" hidden="1" outlineLevel="1">
      <c r="A346" s="950"/>
      <c r="B346" s="930">
        <v>3</v>
      </c>
      <c r="C346" s="931" t="s">
        <v>2812</v>
      </c>
      <c r="D346" s="931"/>
      <c r="E346" s="982" t="s">
        <v>339</v>
      </c>
      <c r="F346" s="982" t="s">
        <v>506</v>
      </c>
      <c r="G346" s="932">
        <v>7576.9549999999999</v>
      </c>
      <c r="H346" s="930" t="s">
        <v>172</v>
      </c>
      <c r="I346" s="933">
        <v>45198.527777777781</v>
      </c>
      <c r="J346" s="934" t="s">
        <v>192</v>
      </c>
      <c r="K346" s="934" t="s">
        <v>192</v>
      </c>
      <c r="L346" s="1543"/>
      <c r="M346" s="1530"/>
      <c r="N346" s="948"/>
      <c r="O346" s="955" t="s">
        <v>873</v>
      </c>
      <c r="P346" s="955" t="s">
        <v>873</v>
      </c>
      <c r="Q346" s="955" t="s">
        <v>873</v>
      </c>
      <c r="S346" s="773"/>
    </row>
    <row r="347" spans="1:22" s="773" customFormat="1" ht="4.95" hidden="1" customHeight="1" outlineLevel="1">
      <c r="A347" s="770"/>
      <c r="B347" s="776"/>
      <c r="C347" s="774"/>
      <c r="D347" s="774"/>
      <c r="E347" s="774"/>
      <c r="F347" s="774"/>
      <c r="G347" s="775"/>
      <c r="H347" s="776"/>
      <c r="I347" s="925"/>
      <c r="J347" s="926"/>
      <c r="K347" s="926"/>
      <c r="L347" s="985"/>
      <c r="M347" s="985"/>
      <c r="N347" s="772"/>
      <c r="O347" s="928"/>
      <c r="P347" s="928"/>
      <c r="Q347" s="928"/>
    </row>
    <row r="348" spans="1:22" s="773" customFormat="1" ht="14.4" hidden="1" customHeight="1" outlineLevel="1">
      <c r="A348" s="770"/>
      <c r="B348" s="930">
        <v>1</v>
      </c>
      <c r="C348" s="931" t="s">
        <v>2814</v>
      </c>
      <c r="D348" s="931"/>
      <c r="E348" s="989" t="s">
        <v>489</v>
      </c>
      <c r="F348" s="989" t="s">
        <v>483</v>
      </c>
      <c r="G348" s="932">
        <v>7465.4750000000004</v>
      </c>
      <c r="H348" s="930" t="s">
        <v>172</v>
      </c>
      <c r="I348" s="933">
        <v>45202.881944444445</v>
      </c>
      <c r="J348" s="934" t="s">
        <v>192</v>
      </c>
      <c r="K348" s="934" t="s">
        <v>192</v>
      </c>
      <c r="L348" s="1518" t="s">
        <v>4544</v>
      </c>
      <c r="M348" s="1518" t="s">
        <v>4545</v>
      </c>
      <c r="N348" s="772"/>
      <c r="O348" s="955" t="s">
        <v>873</v>
      </c>
      <c r="P348" s="955" t="s">
        <v>873</v>
      </c>
      <c r="Q348" s="955" t="s">
        <v>873</v>
      </c>
      <c r="S348" s="976">
        <v>45204.826388888891</v>
      </c>
    </row>
    <row r="349" spans="1:22" s="773" customFormat="1" ht="14.4" hidden="1" customHeight="1" outlineLevel="1">
      <c r="A349" s="770"/>
      <c r="B349" s="825">
        <v>2</v>
      </c>
      <c r="C349" s="826" t="s">
        <v>2787</v>
      </c>
      <c r="D349" s="826"/>
      <c r="E349" s="990" t="s">
        <v>2788</v>
      </c>
      <c r="F349" s="990" t="s">
        <v>2789</v>
      </c>
      <c r="G349" s="827">
        <v>7575.3940000000002</v>
      </c>
      <c r="H349" s="825" t="s">
        <v>181</v>
      </c>
      <c r="I349" s="972">
        <v>45200.3125</v>
      </c>
      <c r="J349" s="991" t="s">
        <v>192</v>
      </c>
      <c r="K349" s="991" t="s">
        <v>192</v>
      </c>
      <c r="L349" s="1519"/>
      <c r="M349" s="1519"/>
      <c r="N349" s="772"/>
      <c r="O349" s="955" t="s">
        <v>873</v>
      </c>
      <c r="P349" s="955" t="s">
        <v>873</v>
      </c>
      <c r="Q349" s="955" t="s">
        <v>873</v>
      </c>
    </row>
    <row r="350" spans="1:22" s="773" customFormat="1" ht="13.8" hidden="1" outlineLevel="1">
      <c r="A350" s="770"/>
      <c r="B350" s="825">
        <v>3</v>
      </c>
      <c r="C350" s="826" t="s">
        <v>3407</v>
      </c>
      <c r="D350" s="826"/>
      <c r="E350" s="990" t="s">
        <v>2800</v>
      </c>
      <c r="F350" s="990" t="s">
        <v>2801</v>
      </c>
      <c r="G350" s="827">
        <v>5274</v>
      </c>
      <c r="H350" s="825" t="s">
        <v>82</v>
      </c>
      <c r="I350" s="972">
        <v>45210.465277777781</v>
      </c>
      <c r="J350" s="991" t="s">
        <v>192</v>
      </c>
      <c r="K350" s="991" t="s">
        <v>192</v>
      </c>
      <c r="L350" s="1520"/>
      <c r="M350" s="1520"/>
      <c r="N350" s="772"/>
      <c r="O350" s="955" t="s">
        <v>873</v>
      </c>
      <c r="P350" s="955" t="s">
        <v>873</v>
      </c>
      <c r="Q350" s="955" t="s">
        <v>873</v>
      </c>
    </row>
    <row r="351" spans="1:22" s="773" customFormat="1" ht="4.95" hidden="1" customHeight="1" outlineLevel="1">
      <c r="A351" s="770"/>
      <c r="B351" s="776"/>
      <c r="C351" s="774"/>
      <c r="D351" s="774"/>
      <c r="E351" s="774"/>
      <c r="F351" s="774"/>
      <c r="G351" s="775"/>
      <c r="H351" s="776"/>
      <c r="I351" s="925"/>
      <c r="J351" s="926"/>
      <c r="K351" s="926"/>
      <c r="L351" s="926"/>
      <c r="M351" s="926"/>
      <c r="N351" s="772"/>
      <c r="O351" s="928"/>
      <c r="P351" s="928"/>
      <c r="Q351" s="928"/>
    </row>
    <row r="352" spans="1:22" s="773" customFormat="1" ht="13.95" hidden="1" customHeight="1" outlineLevel="1">
      <c r="A352" s="770"/>
      <c r="B352" s="825">
        <v>1</v>
      </c>
      <c r="C352" s="826" t="s">
        <v>2819</v>
      </c>
      <c r="D352" s="826"/>
      <c r="E352" s="971" t="s">
        <v>2820</v>
      </c>
      <c r="F352" s="971" t="s">
        <v>817</v>
      </c>
      <c r="G352" s="827">
        <v>5207.0680000000002</v>
      </c>
      <c r="H352" s="825" t="s">
        <v>183</v>
      </c>
      <c r="I352" s="972">
        <v>45186</v>
      </c>
      <c r="J352" s="991" t="s">
        <v>192</v>
      </c>
      <c r="K352" s="991" t="s">
        <v>192</v>
      </c>
      <c r="L352" s="1523" t="s">
        <v>3082</v>
      </c>
      <c r="M352" s="1528" t="s">
        <v>3083</v>
      </c>
      <c r="N352" s="772"/>
      <c r="O352" s="955" t="s">
        <v>873</v>
      </c>
      <c r="P352" s="955" t="s">
        <v>873</v>
      </c>
      <c r="Q352" s="955" t="s">
        <v>873</v>
      </c>
      <c r="S352" s="976">
        <v>45199.25</v>
      </c>
      <c r="U352" s="773" t="s">
        <v>183</v>
      </c>
      <c r="V352" s="992">
        <f>G352+G353+G355+G354+G356</f>
        <v>26257.004000000001</v>
      </c>
    </row>
    <row r="353" spans="1:22" s="779" customFormat="1" ht="13.8" hidden="1" outlineLevel="1">
      <c r="A353" s="790"/>
      <c r="B353" s="825">
        <v>2</v>
      </c>
      <c r="C353" s="826" t="s">
        <v>2821</v>
      </c>
      <c r="D353" s="826"/>
      <c r="E353" s="971" t="s">
        <v>2822</v>
      </c>
      <c r="F353" s="971" t="s">
        <v>794</v>
      </c>
      <c r="G353" s="827">
        <v>5211.683</v>
      </c>
      <c r="H353" s="825" t="s">
        <v>183</v>
      </c>
      <c r="I353" s="972">
        <v>45186.208333333336</v>
      </c>
      <c r="J353" s="991" t="s">
        <v>192</v>
      </c>
      <c r="K353" s="991" t="s">
        <v>192</v>
      </c>
      <c r="L353" s="1524"/>
      <c r="M353" s="1529"/>
      <c r="N353" s="812"/>
      <c r="O353" s="936" t="s">
        <v>873</v>
      </c>
      <c r="P353" s="936" t="s">
        <v>873</v>
      </c>
      <c r="Q353" s="936" t="s">
        <v>873</v>
      </c>
      <c r="U353" s="779" t="s">
        <v>172</v>
      </c>
      <c r="V353" s="993">
        <f>G357+G358</f>
        <v>15057.065999999999</v>
      </c>
    </row>
    <row r="354" spans="1:22" s="779" customFormat="1" ht="13.8" hidden="1" outlineLevel="1">
      <c r="A354" s="790"/>
      <c r="B354" s="825">
        <v>3</v>
      </c>
      <c r="C354" s="826" t="s">
        <v>2825</v>
      </c>
      <c r="D354" s="826"/>
      <c r="E354" s="971" t="s">
        <v>1626</v>
      </c>
      <c r="F354" s="971" t="s">
        <v>2654</v>
      </c>
      <c r="G354" s="827">
        <v>5240.8109999999997</v>
      </c>
      <c r="H354" s="825" t="s">
        <v>183</v>
      </c>
      <c r="I354" s="972">
        <v>45192.208333333336</v>
      </c>
      <c r="J354" s="991" t="s">
        <v>192</v>
      </c>
      <c r="K354" s="991" t="s">
        <v>192</v>
      </c>
      <c r="L354" s="1524"/>
      <c r="M354" s="1529"/>
      <c r="N354" s="812"/>
      <c r="O354" s="936" t="s">
        <v>873</v>
      </c>
      <c r="P354" s="936" t="s">
        <v>873</v>
      </c>
      <c r="Q354" s="936" t="s">
        <v>873</v>
      </c>
    </row>
    <row r="355" spans="1:22" s="779" customFormat="1" ht="13.8" hidden="1" outlineLevel="1">
      <c r="A355" s="790"/>
      <c r="B355" s="825">
        <v>4</v>
      </c>
      <c r="C355" s="826" t="s">
        <v>2823</v>
      </c>
      <c r="D355" s="826"/>
      <c r="E355" s="971" t="s">
        <v>2824</v>
      </c>
      <c r="F355" s="971" t="s">
        <v>1929</v>
      </c>
      <c r="G355" s="827">
        <v>5194.6279999999997</v>
      </c>
      <c r="H355" s="825" t="s">
        <v>183</v>
      </c>
      <c r="I355" s="972">
        <v>45190.003472222219</v>
      </c>
      <c r="J355" s="991" t="s">
        <v>192</v>
      </c>
      <c r="K355" s="991" t="s">
        <v>192</v>
      </c>
      <c r="L355" s="1524"/>
      <c r="M355" s="1529"/>
      <c r="N355" s="812"/>
      <c r="O355" s="936" t="s">
        <v>873</v>
      </c>
      <c r="P355" s="936" t="s">
        <v>873</v>
      </c>
      <c r="Q355" s="936" t="s">
        <v>873</v>
      </c>
      <c r="U355" s="779" t="s">
        <v>494</v>
      </c>
      <c r="V355" s="993">
        <f>SUM(U359:U361)</f>
        <v>4502.3420000000006</v>
      </c>
    </row>
    <row r="356" spans="1:22" s="773" customFormat="1" ht="13.8" hidden="1" outlineLevel="1">
      <c r="A356" s="770"/>
      <c r="B356" s="825">
        <v>5</v>
      </c>
      <c r="C356" s="826" t="s">
        <v>2829</v>
      </c>
      <c r="D356" s="826"/>
      <c r="E356" s="990" t="s">
        <v>1874</v>
      </c>
      <c r="F356" s="990" t="s">
        <v>1875</v>
      </c>
      <c r="G356" s="827">
        <v>5402.8140000000003</v>
      </c>
      <c r="H356" s="825" t="s">
        <v>183</v>
      </c>
      <c r="I356" s="972">
        <v>45198.979166666664</v>
      </c>
      <c r="J356" s="991" t="s">
        <v>192</v>
      </c>
      <c r="K356" s="991" t="s">
        <v>192</v>
      </c>
      <c r="L356" s="1524"/>
      <c r="M356" s="1529"/>
      <c r="N356" s="772"/>
      <c r="O356" s="955" t="s">
        <v>873</v>
      </c>
      <c r="P356" s="955" t="s">
        <v>873</v>
      </c>
      <c r="Q356" s="955" t="s">
        <v>873</v>
      </c>
      <c r="U356" s="779" t="s">
        <v>835</v>
      </c>
      <c r="V356" s="773">
        <f>SUM(V359:V361)</f>
        <v>18009.368000000002</v>
      </c>
    </row>
    <row r="357" spans="1:22" s="773" customFormat="1" ht="13.8" hidden="1" outlineLevel="1">
      <c r="A357" s="770"/>
      <c r="B357" s="825">
        <v>6</v>
      </c>
      <c r="C357" s="826" t="s">
        <v>2817</v>
      </c>
      <c r="D357" s="826"/>
      <c r="E357" s="990" t="s">
        <v>1392</v>
      </c>
      <c r="F357" s="990" t="s">
        <v>365</v>
      </c>
      <c r="G357" s="827">
        <v>7510.5519999999997</v>
      </c>
      <c r="H357" s="825" t="s">
        <v>172</v>
      </c>
      <c r="I357" s="972">
        <v>45203.760416666664</v>
      </c>
      <c r="J357" s="991" t="s">
        <v>192</v>
      </c>
      <c r="K357" s="991" t="s">
        <v>192</v>
      </c>
      <c r="L357" s="1524"/>
      <c r="M357" s="1529"/>
      <c r="N357" s="772"/>
      <c r="O357" s="955" t="s">
        <v>873</v>
      </c>
      <c r="P357" s="955" t="s">
        <v>873</v>
      </c>
      <c r="Q357" s="955" t="s">
        <v>873</v>
      </c>
    </row>
    <row r="358" spans="1:22" s="824" customFormat="1" ht="13.8" hidden="1" outlineLevel="1">
      <c r="A358" s="830"/>
      <c r="B358" s="825">
        <v>7</v>
      </c>
      <c r="C358" s="826" t="s">
        <v>3417</v>
      </c>
      <c r="D358" s="826"/>
      <c r="E358" s="990" t="s">
        <v>208</v>
      </c>
      <c r="F358" s="990" t="s">
        <v>328</v>
      </c>
      <c r="G358" s="827">
        <v>7546.5140000000001</v>
      </c>
      <c r="H358" s="825" t="s">
        <v>172</v>
      </c>
      <c r="I358" s="972">
        <v>45207.8125</v>
      </c>
      <c r="J358" s="991" t="s">
        <v>192</v>
      </c>
      <c r="K358" s="991" t="s">
        <v>192</v>
      </c>
      <c r="L358" s="1524"/>
      <c r="M358" s="1529"/>
      <c r="N358" s="831"/>
      <c r="O358" s="974" t="s">
        <v>873</v>
      </c>
      <c r="P358" s="974" t="s">
        <v>873</v>
      </c>
      <c r="Q358" s="974" t="s">
        <v>873</v>
      </c>
      <c r="U358" s="994" t="s">
        <v>494</v>
      </c>
      <c r="V358" s="994" t="s">
        <v>835</v>
      </c>
    </row>
    <row r="359" spans="1:22" s="773" customFormat="1" ht="13.8" hidden="1" outlineLevel="1">
      <c r="A359" s="770"/>
      <c r="B359" s="825">
        <v>8</v>
      </c>
      <c r="C359" s="826" t="s">
        <v>3438</v>
      </c>
      <c r="D359" s="826"/>
      <c r="E359" s="971" t="s">
        <v>249</v>
      </c>
      <c r="F359" s="971" t="s">
        <v>2315</v>
      </c>
      <c r="G359" s="827">
        <v>7567.1710000000003</v>
      </c>
      <c r="H359" s="825" t="s">
        <v>3439</v>
      </c>
      <c r="I359" s="972">
        <v>45207.993055555555</v>
      </c>
      <c r="J359" s="991" t="s">
        <v>192</v>
      </c>
      <c r="K359" s="991" t="s">
        <v>192</v>
      </c>
      <c r="L359" s="1524"/>
      <c r="M359" s="1529"/>
      <c r="N359" s="772"/>
      <c r="O359" s="955" t="s">
        <v>873</v>
      </c>
      <c r="P359" s="955" t="s">
        <v>873</v>
      </c>
      <c r="Q359" s="955" t="s">
        <v>873</v>
      </c>
      <c r="U359" s="824">
        <f>G359*0.2</f>
        <v>1513.4342000000001</v>
      </c>
      <c r="V359" s="824">
        <f>G359*0.8</f>
        <v>6053.7368000000006</v>
      </c>
    </row>
    <row r="360" spans="1:22" s="773" customFormat="1" ht="13.8" hidden="1" outlineLevel="1">
      <c r="A360" s="770"/>
      <c r="B360" s="825">
        <v>9</v>
      </c>
      <c r="C360" s="826" t="s">
        <v>3441</v>
      </c>
      <c r="D360" s="826"/>
      <c r="E360" s="971" t="s">
        <v>213</v>
      </c>
      <c r="F360" s="971" t="s">
        <v>214</v>
      </c>
      <c r="G360" s="827">
        <v>7531.4539999999997</v>
      </c>
      <c r="H360" s="825" t="s">
        <v>3439</v>
      </c>
      <c r="I360" s="972">
        <v>45208.100694444445</v>
      </c>
      <c r="J360" s="991" t="s">
        <v>192</v>
      </c>
      <c r="K360" s="991" t="s">
        <v>192</v>
      </c>
      <c r="L360" s="1524"/>
      <c r="M360" s="1529"/>
      <c r="N360" s="772"/>
      <c r="O360" s="955" t="s">
        <v>873</v>
      </c>
      <c r="P360" s="955" t="s">
        <v>873</v>
      </c>
      <c r="Q360" s="955" t="s">
        <v>873</v>
      </c>
      <c r="U360" s="824">
        <f>G360*0.2</f>
        <v>1506.2908</v>
      </c>
      <c r="V360" s="824">
        <f>G360*0.8</f>
        <v>6025.1632</v>
      </c>
    </row>
    <row r="361" spans="1:22" s="773" customFormat="1" ht="13.8" hidden="1" outlineLevel="1">
      <c r="A361" s="770"/>
      <c r="B361" s="825">
        <v>10</v>
      </c>
      <c r="C361" s="826" t="s">
        <v>3442</v>
      </c>
      <c r="D361" s="826"/>
      <c r="E361" s="971" t="s">
        <v>343</v>
      </c>
      <c r="F361" s="971" t="s">
        <v>344</v>
      </c>
      <c r="G361" s="827">
        <v>7413.085</v>
      </c>
      <c r="H361" s="825" t="s">
        <v>3439</v>
      </c>
      <c r="I361" s="972">
        <v>45209.229166666664</v>
      </c>
      <c r="J361" s="991" t="s">
        <v>192</v>
      </c>
      <c r="K361" s="991" t="s">
        <v>192</v>
      </c>
      <c r="L361" s="1524"/>
      <c r="M361" s="1529"/>
      <c r="N361" s="772"/>
      <c r="O361" s="955" t="s">
        <v>873</v>
      </c>
      <c r="P361" s="955" t="s">
        <v>873</v>
      </c>
      <c r="Q361" s="955" t="s">
        <v>873</v>
      </c>
      <c r="U361" s="824">
        <f>G361*0.2</f>
        <v>1482.6170000000002</v>
      </c>
      <c r="V361" s="824">
        <f>G361*0.8</f>
        <v>5930.4680000000008</v>
      </c>
    </row>
    <row r="362" spans="1:22" s="773" customFormat="1" ht="4.95" hidden="1" customHeight="1" outlineLevel="1">
      <c r="A362" s="770"/>
      <c r="B362" s="995"/>
      <c r="C362" s="996"/>
      <c r="D362" s="996"/>
      <c r="E362" s="996"/>
      <c r="F362" s="996"/>
      <c r="G362" s="997"/>
      <c r="H362" s="995"/>
      <c r="I362" s="998"/>
      <c r="J362" s="985"/>
      <c r="K362" s="985"/>
      <c r="L362" s="985"/>
      <c r="M362" s="985"/>
      <c r="N362" s="772"/>
      <c r="O362" s="928"/>
      <c r="P362" s="928"/>
      <c r="Q362" s="928"/>
    </row>
    <row r="363" spans="1:22" s="773" customFormat="1" ht="13.8" hidden="1" outlineLevel="1">
      <c r="A363" s="770"/>
      <c r="B363" s="930">
        <v>1</v>
      </c>
      <c r="C363" s="931" t="s">
        <v>2839</v>
      </c>
      <c r="D363" s="931"/>
      <c r="E363" s="982" t="s">
        <v>1367</v>
      </c>
      <c r="F363" s="982" t="s">
        <v>1939</v>
      </c>
      <c r="G363" s="932">
        <v>7502.1350000000002</v>
      </c>
      <c r="H363" s="930" t="s">
        <v>184</v>
      </c>
      <c r="I363" s="933">
        <v>45186.59375</v>
      </c>
      <c r="J363" s="934" t="s">
        <v>192</v>
      </c>
      <c r="K363" s="934" t="s">
        <v>192</v>
      </c>
      <c r="L363" s="1518" t="s">
        <v>3096</v>
      </c>
      <c r="M363" s="1518" t="s">
        <v>3097</v>
      </c>
      <c r="N363" s="772"/>
      <c r="O363" s="955" t="s">
        <v>873</v>
      </c>
      <c r="P363" s="955" t="s">
        <v>873</v>
      </c>
      <c r="Q363" s="955" t="s">
        <v>873</v>
      </c>
      <c r="S363" s="976">
        <v>45207.004166666666</v>
      </c>
      <c r="U363" s="773" t="s">
        <v>184</v>
      </c>
      <c r="V363" s="992">
        <f>G363+G364</f>
        <v>15007.802</v>
      </c>
    </row>
    <row r="364" spans="1:22" s="773" customFormat="1" ht="13.8" hidden="1" outlineLevel="1">
      <c r="A364" s="770"/>
      <c r="B364" s="930">
        <v>2</v>
      </c>
      <c r="C364" s="931" t="s">
        <v>2840</v>
      </c>
      <c r="D364" s="931"/>
      <c r="E364" s="982" t="s">
        <v>820</v>
      </c>
      <c r="F364" s="982" t="s">
        <v>1368</v>
      </c>
      <c r="G364" s="932">
        <v>7505.6670000000004</v>
      </c>
      <c r="H364" s="930" t="s">
        <v>184</v>
      </c>
      <c r="I364" s="933">
        <v>45187.833333333336</v>
      </c>
      <c r="J364" s="934" t="s">
        <v>192</v>
      </c>
      <c r="K364" s="934" t="s">
        <v>192</v>
      </c>
      <c r="L364" s="1519"/>
      <c r="M364" s="1519"/>
      <c r="N364" s="772"/>
      <c r="O364" s="955" t="s">
        <v>873</v>
      </c>
      <c r="P364" s="955" t="s">
        <v>873</v>
      </c>
      <c r="Q364" s="955" t="s">
        <v>873</v>
      </c>
      <c r="U364" s="773" t="s">
        <v>183</v>
      </c>
      <c r="V364" s="992">
        <f>G365+G366+G367+G368</f>
        <v>25529.492000000002</v>
      </c>
    </row>
    <row r="365" spans="1:22" s="773" customFormat="1" ht="13.8" hidden="1" outlineLevel="1">
      <c r="A365" s="770"/>
      <c r="B365" s="930">
        <v>3</v>
      </c>
      <c r="C365" s="931" t="s">
        <v>2827</v>
      </c>
      <c r="D365" s="931"/>
      <c r="E365" s="982" t="s">
        <v>263</v>
      </c>
      <c r="F365" s="982" t="s">
        <v>264</v>
      </c>
      <c r="G365" s="932">
        <v>7504.1530000000002</v>
      </c>
      <c r="H365" s="930" t="s">
        <v>183</v>
      </c>
      <c r="I365" s="933">
        <v>45195.125</v>
      </c>
      <c r="J365" s="934" t="s">
        <v>192</v>
      </c>
      <c r="K365" s="934" t="s">
        <v>192</v>
      </c>
      <c r="L365" s="1519"/>
      <c r="M365" s="1519"/>
      <c r="N365" s="772"/>
      <c r="O365" s="955" t="s">
        <v>873</v>
      </c>
      <c r="P365" s="955" t="s">
        <v>873</v>
      </c>
      <c r="Q365" s="955" t="s">
        <v>873</v>
      </c>
      <c r="U365" s="773" t="s">
        <v>172</v>
      </c>
      <c r="V365" s="992">
        <f>G369</f>
        <v>7037.4679999999998</v>
      </c>
    </row>
    <row r="366" spans="1:22" s="773" customFormat="1" ht="13.8" hidden="1" outlineLevel="1">
      <c r="A366" s="770"/>
      <c r="B366" s="930">
        <v>4</v>
      </c>
      <c r="C366" s="931" t="s">
        <v>2828</v>
      </c>
      <c r="D366" s="931"/>
      <c r="E366" s="982" t="s">
        <v>1313</v>
      </c>
      <c r="F366" s="982" t="s">
        <v>2486</v>
      </c>
      <c r="G366" s="932">
        <v>7516.7790000000005</v>
      </c>
      <c r="H366" s="930" t="s">
        <v>183</v>
      </c>
      <c r="I366" s="933">
        <v>45196.333333333336</v>
      </c>
      <c r="J366" s="934" t="s">
        <v>192</v>
      </c>
      <c r="K366" s="934" t="s">
        <v>192</v>
      </c>
      <c r="L366" s="1519"/>
      <c r="M366" s="1519"/>
      <c r="N366" s="772"/>
      <c r="O366" s="955" t="s">
        <v>873</v>
      </c>
      <c r="P366" s="955" t="s">
        <v>873</v>
      </c>
      <c r="Q366" s="955" t="s">
        <v>873</v>
      </c>
    </row>
    <row r="367" spans="1:22" s="773" customFormat="1" ht="13.8" hidden="1" outlineLevel="1">
      <c r="A367" s="770"/>
      <c r="B367" s="930">
        <v>5</v>
      </c>
      <c r="C367" s="826" t="s">
        <v>2835</v>
      </c>
      <c r="D367" s="826"/>
      <c r="E367" s="990" t="s">
        <v>2836</v>
      </c>
      <c r="F367" s="990" t="s">
        <v>2837</v>
      </c>
      <c r="G367" s="827">
        <v>5251.0190000000002</v>
      </c>
      <c r="H367" s="825" t="s">
        <v>183</v>
      </c>
      <c r="I367" s="972">
        <v>45205.260416666664</v>
      </c>
      <c r="J367" s="991" t="s">
        <v>192</v>
      </c>
      <c r="K367" s="991" t="s">
        <v>192</v>
      </c>
      <c r="L367" s="1519"/>
      <c r="M367" s="1519"/>
      <c r="N367" s="772"/>
      <c r="O367" s="955" t="s">
        <v>873</v>
      </c>
      <c r="P367" s="955" t="s">
        <v>873</v>
      </c>
      <c r="Q367" s="955" t="s">
        <v>873</v>
      </c>
    </row>
    <row r="368" spans="1:22" s="773" customFormat="1" ht="13.8" hidden="1" outlineLevel="1">
      <c r="A368" s="770"/>
      <c r="B368" s="930">
        <v>6</v>
      </c>
      <c r="C368" s="826" t="s">
        <v>2834</v>
      </c>
      <c r="D368" s="826"/>
      <c r="E368" s="990" t="s">
        <v>809</v>
      </c>
      <c r="F368" s="990" t="s">
        <v>1365</v>
      </c>
      <c r="G368" s="827">
        <v>5257.5410000000002</v>
      </c>
      <c r="H368" s="825" t="s">
        <v>183</v>
      </c>
      <c r="I368" s="972">
        <v>45201.225694444445</v>
      </c>
      <c r="J368" s="991" t="s">
        <v>192</v>
      </c>
      <c r="K368" s="991" t="s">
        <v>192</v>
      </c>
      <c r="L368" s="1519"/>
      <c r="M368" s="1519"/>
      <c r="N368" s="772"/>
      <c r="O368" s="955" t="s">
        <v>873</v>
      </c>
      <c r="P368" s="955" t="s">
        <v>873</v>
      </c>
      <c r="Q368" s="955" t="s">
        <v>873</v>
      </c>
    </row>
    <row r="369" spans="1:22" s="773" customFormat="1" ht="13.8" hidden="1" outlineLevel="1">
      <c r="A369" s="770"/>
      <c r="B369" s="825">
        <v>7</v>
      </c>
      <c r="C369" s="826" t="s">
        <v>3418</v>
      </c>
      <c r="D369" s="826"/>
      <c r="E369" s="990" t="s">
        <v>406</v>
      </c>
      <c r="F369" s="990" t="s">
        <v>407</v>
      </c>
      <c r="G369" s="827">
        <v>7037.4679999999998</v>
      </c>
      <c r="H369" s="825" t="s">
        <v>172</v>
      </c>
      <c r="I369" s="972">
        <v>45211.013888888891</v>
      </c>
      <c r="J369" s="991" t="s">
        <v>192</v>
      </c>
      <c r="K369" s="991" t="s">
        <v>192</v>
      </c>
      <c r="L369" s="1520"/>
      <c r="M369" s="1520"/>
      <c r="N369" s="772"/>
      <c r="O369" s="955" t="s">
        <v>873</v>
      </c>
      <c r="P369" s="955" t="s">
        <v>873</v>
      </c>
      <c r="Q369" s="955" t="s">
        <v>873</v>
      </c>
    </row>
    <row r="370" spans="1:22" s="773" customFormat="1" ht="4.95" hidden="1" customHeight="1" outlineLevel="1">
      <c r="A370" s="770"/>
      <c r="B370" s="776"/>
      <c r="C370" s="774"/>
      <c r="D370" s="774"/>
      <c r="E370" s="774"/>
      <c r="F370" s="774"/>
      <c r="G370" s="775"/>
      <c r="H370" s="776"/>
      <c r="I370" s="925"/>
      <c r="J370" s="926"/>
      <c r="K370" s="926"/>
      <c r="L370" s="985"/>
      <c r="M370" s="985"/>
      <c r="N370" s="772"/>
      <c r="O370" s="928"/>
      <c r="P370" s="928"/>
      <c r="Q370" s="928"/>
    </row>
    <row r="371" spans="1:22" s="824" customFormat="1" ht="13.8" hidden="1" outlineLevel="1">
      <c r="A371" s="830"/>
      <c r="B371" s="825">
        <v>1</v>
      </c>
      <c r="C371" s="826" t="s">
        <v>3306</v>
      </c>
      <c r="D371" s="826"/>
      <c r="E371" s="990" t="s">
        <v>721</v>
      </c>
      <c r="F371" s="990" t="s">
        <v>1349</v>
      </c>
      <c r="G371" s="827">
        <v>5817.1729999999998</v>
      </c>
      <c r="H371" s="825" t="s">
        <v>235</v>
      </c>
      <c r="I371" s="972">
        <v>45211.75</v>
      </c>
      <c r="J371" s="991" t="s">
        <v>192</v>
      </c>
      <c r="K371" s="991" t="s">
        <v>192</v>
      </c>
      <c r="L371" s="1521" t="s">
        <v>1515</v>
      </c>
      <c r="M371" s="1521" t="s">
        <v>4546</v>
      </c>
      <c r="N371" s="831"/>
      <c r="O371" s="974" t="s">
        <v>873</v>
      </c>
      <c r="P371" s="974" t="s">
        <v>873</v>
      </c>
      <c r="Q371" s="974" t="s">
        <v>873</v>
      </c>
      <c r="S371" s="959">
        <v>45215.458333333336</v>
      </c>
    </row>
    <row r="372" spans="1:22" s="824" customFormat="1" ht="13.8" hidden="1" outlineLevel="1">
      <c r="A372" s="830"/>
      <c r="B372" s="825">
        <v>2</v>
      </c>
      <c r="C372" s="826" t="s">
        <v>3307</v>
      </c>
      <c r="D372" s="826"/>
      <c r="E372" s="990" t="s">
        <v>695</v>
      </c>
      <c r="F372" s="990" t="s">
        <v>281</v>
      </c>
      <c r="G372" s="827">
        <v>6423.12</v>
      </c>
      <c r="H372" s="825" t="s">
        <v>235</v>
      </c>
      <c r="I372" s="972">
        <v>45212.104166666664</v>
      </c>
      <c r="J372" s="991" t="s">
        <v>192</v>
      </c>
      <c r="K372" s="991" t="s">
        <v>192</v>
      </c>
      <c r="L372" s="1522"/>
      <c r="M372" s="1522"/>
      <c r="N372" s="831"/>
      <c r="O372" s="974" t="s">
        <v>873</v>
      </c>
      <c r="P372" s="974" t="s">
        <v>873</v>
      </c>
      <c r="Q372" s="974" t="s">
        <v>873</v>
      </c>
    </row>
    <row r="373" spans="1:22" s="773" customFormat="1" ht="13.5" hidden="1" customHeight="1" outlineLevel="1">
      <c r="A373" s="770"/>
      <c r="B373" s="825">
        <v>3</v>
      </c>
      <c r="C373" s="826" t="s">
        <v>3411</v>
      </c>
      <c r="D373" s="826"/>
      <c r="E373" s="990" t="s">
        <v>70</v>
      </c>
      <c r="F373" s="990" t="s">
        <v>1982</v>
      </c>
      <c r="G373" s="827">
        <v>7522</v>
      </c>
      <c r="H373" s="825" t="s">
        <v>84</v>
      </c>
      <c r="I373" s="972">
        <v>45219.541666666664</v>
      </c>
      <c r="J373" s="991" t="s">
        <v>192</v>
      </c>
      <c r="K373" s="991" t="s">
        <v>192</v>
      </c>
      <c r="L373" s="1522"/>
      <c r="M373" s="1522"/>
      <c r="N373" s="772"/>
      <c r="O373" s="955" t="s">
        <v>873</v>
      </c>
      <c r="P373" s="955" t="s">
        <v>873</v>
      </c>
      <c r="Q373" s="955" t="s">
        <v>873</v>
      </c>
      <c r="S373" s="999"/>
    </row>
    <row r="374" spans="1:22" s="773" customFormat="1" ht="13.8" hidden="1" outlineLevel="1">
      <c r="A374" s="770"/>
      <c r="B374" s="825">
        <v>4</v>
      </c>
      <c r="C374" s="826" t="s">
        <v>3406</v>
      </c>
      <c r="D374" s="826"/>
      <c r="E374" s="990" t="s">
        <v>2788</v>
      </c>
      <c r="F374" s="990" t="s">
        <v>2789</v>
      </c>
      <c r="G374" s="827">
        <v>7579.4520000000002</v>
      </c>
      <c r="H374" s="825" t="s">
        <v>181</v>
      </c>
      <c r="I374" s="972">
        <v>45219.666666666664</v>
      </c>
      <c r="J374" s="991" t="s">
        <v>192</v>
      </c>
      <c r="K374" s="991" t="s">
        <v>192</v>
      </c>
      <c r="L374" s="1522"/>
      <c r="M374" s="1522"/>
      <c r="N374" s="772"/>
      <c r="O374" s="955" t="s">
        <v>873</v>
      </c>
      <c r="P374" s="955" t="s">
        <v>873</v>
      </c>
      <c r="Q374" s="955" t="s">
        <v>873</v>
      </c>
    </row>
    <row r="375" spans="1:22" s="773" customFormat="1" ht="4.95" hidden="1" customHeight="1" outlineLevel="1">
      <c r="A375" s="770"/>
      <c r="B375" s="776"/>
      <c r="C375" s="774"/>
      <c r="D375" s="774"/>
      <c r="E375" s="774"/>
      <c r="F375" s="774"/>
      <c r="G375" s="775"/>
      <c r="H375" s="776"/>
      <c r="I375" s="925"/>
      <c r="J375" s="926"/>
      <c r="K375" s="926"/>
      <c r="L375" s="1000"/>
      <c r="M375" s="1000"/>
      <c r="N375" s="772"/>
      <c r="O375" s="928"/>
      <c r="P375" s="928"/>
      <c r="Q375" s="928"/>
    </row>
    <row r="376" spans="1:22" s="773" customFormat="1" ht="13.5" hidden="1" customHeight="1" outlineLevel="1">
      <c r="A376" s="770"/>
      <c r="B376" s="825">
        <v>1</v>
      </c>
      <c r="C376" s="826" t="s">
        <v>2831</v>
      </c>
      <c r="D376" s="826"/>
      <c r="E376" s="990" t="s">
        <v>2832</v>
      </c>
      <c r="F376" s="990" t="s">
        <v>2833</v>
      </c>
      <c r="G376" s="827">
        <v>5191.3029999999999</v>
      </c>
      <c r="H376" s="825" t="s">
        <v>183</v>
      </c>
      <c r="I376" s="972">
        <v>45199.583333333336</v>
      </c>
      <c r="J376" s="991" t="s">
        <v>192</v>
      </c>
      <c r="K376" s="1001" t="s">
        <v>192</v>
      </c>
      <c r="L376" s="1489" t="s">
        <v>3110</v>
      </c>
      <c r="M376" s="1489" t="s">
        <v>3111</v>
      </c>
      <c r="N376" s="772"/>
      <c r="O376" s="955" t="s">
        <v>873</v>
      </c>
      <c r="P376" s="955" t="s">
        <v>873</v>
      </c>
      <c r="Q376" s="955" t="s">
        <v>873</v>
      </c>
      <c r="S376" s="959">
        <v>45218.3</v>
      </c>
      <c r="U376" s="903" t="s">
        <v>183</v>
      </c>
      <c r="V376" s="1002">
        <f>G376+G381+G380+G383</f>
        <v>25546.526999999998</v>
      </c>
    </row>
    <row r="377" spans="1:22" s="773" customFormat="1" ht="13.5" hidden="1" customHeight="1" outlineLevel="1">
      <c r="A377" s="770"/>
      <c r="B377" s="825">
        <v>2</v>
      </c>
      <c r="C377" s="826" t="s">
        <v>3279</v>
      </c>
      <c r="D377" s="826"/>
      <c r="E377" s="990" t="s">
        <v>3280</v>
      </c>
      <c r="F377" s="990" t="s">
        <v>3281</v>
      </c>
      <c r="G377" s="827">
        <v>5006.1850000000004</v>
      </c>
      <c r="H377" s="825" t="s">
        <v>88</v>
      </c>
      <c r="I377" s="972">
        <v>45216.270833333336</v>
      </c>
      <c r="J377" s="991" t="s">
        <v>192</v>
      </c>
      <c r="K377" s="1001" t="s">
        <v>192</v>
      </c>
      <c r="L377" s="1489"/>
      <c r="M377" s="1489"/>
      <c r="N377" s="772"/>
      <c r="O377" s="955" t="s">
        <v>873</v>
      </c>
      <c r="P377" s="955" t="s">
        <v>873</v>
      </c>
      <c r="Q377" s="955" t="s">
        <v>873</v>
      </c>
      <c r="U377" s="903" t="s">
        <v>172</v>
      </c>
      <c r="V377" s="1002">
        <f>G378+G379</f>
        <v>15131.786</v>
      </c>
    </row>
    <row r="378" spans="1:22" s="773" customFormat="1" ht="13.5" hidden="1" customHeight="1" outlineLevel="1">
      <c r="A378" s="770"/>
      <c r="B378" s="825">
        <v>3</v>
      </c>
      <c r="C378" s="826" t="s">
        <v>3421</v>
      </c>
      <c r="D378" s="826"/>
      <c r="E378" s="990" t="s">
        <v>238</v>
      </c>
      <c r="F378" s="990" t="s">
        <v>239</v>
      </c>
      <c r="G378" s="827">
        <v>7603.3860000000004</v>
      </c>
      <c r="H378" s="825" t="s">
        <v>172</v>
      </c>
      <c r="I378" s="972">
        <v>45219.3125</v>
      </c>
      <c r="J378" s="991" t="s">
        <v>192</v>
      </c>
      <c r="K378" s="1001" t="s">
        <v>192</v>
      </c>
      <c r="L378" s="1489"/>
      <c r="M378" s="1489"/>
      <c r="N378" s="772"/>
      <c r="O378" s="955" t="s">
        <v>873</v>
      </c>
      <c r="P378" s="955" t="s">
        <v>873</v>
      </c>
      <c r="Q378" s="955" t="s">
        <v>873</v>
      </c>
      <c r="U378" s="903" t="s">
        <v>88</v>
      </c>
      <c r="V378" s="1002">
        <f>G377</f>
        <v>5006.1850000000004</v>
      </c>
    </row>
    <row r="379" spans="1:22" s="824" customFormat="1" ht="13.5" hidden="1" customHeight="1" outlineLevel="1">
      <c r="A379" s="830"/>
      <c r="B379" s="825">
        <v>4</v>
      </c>
      <c r="C379" s="826" t="s">
        <v>3422</v>
      </c>
      <c r="D379" s="826"/>
      <c r="E379" s="990" t="s">
        <v>686</v>
      </c>
      <c r="F379" s="990" t="s">
        <v>1186</v>
      </c>
      <c r="G379" s="827">
        <v>7528.4</v>
      </c>
      <c r="H379" s="825" t="s">
        <v>172</v>
      </c>
      <c r="I379" s="972">
        <v>45219.458333333336</v>
      </c>
      <c r="J379" s="991" t="s">
        <v>192</v>
      </c>
      <c r="K379" s="1001" t="s">
        <v>192</v>
      </c>
      <c r="L379" s="1489"/>
      <c r="M379" s="1489"/>
      <c r="N379" s="831"/>
      <c r="O379" s="974" t="s">
        <v>873</v>
      </c>
      <c r="P379" s="974" t="s">
        <v>873</v>
      </c>
      <c r="Q379" s="974" t="s">
        <v>873</v>
      </c>
      <c r="U379" s="824" t="s">
        <v>2747</v>
      </c>
      <c r="V379" s="1003">
        <f>G382</f>
        <v>7510.009</v>
      </c>
    </row>
    <row r="380" spans="1:22" s="824" customFormat="1" ht="13.5" hidden="1" customHeight="1" outlineLevel="1">
      <c r="A380" s="830"/>
      <c r="B380" s="825">
        <v>5</v>
      </c>
      <c r="C380" s="826" t="s">
        <v>3431</v>
      </c>
      <c r="D380" s="826"/>
      <c r="E380" s="990" t="s">
        <v>1874</v>
      </c>
      <c r="F380" s="990" t="s">
        <v>1875</v>
      </c>
      <c r="G380" s="827">
        <v>5347.1719999999996</v>
      </c>
      <c r="H380" s="825" t="s">
        <v>183</v>
      </c>
      <c r="I380" s="972">
        <v>45220.583333333336</v>
      </c>
      <c r="J380" s="991" t="s">
        <v>192</v>
      </c>
      <c r="K380" s="1001" t="s">
        <v>192</v>
      </c>
      <c r="L380" s="1489"/>
      <c r="M380" s="1489"/>
      <c r="N380" s="831"/>
      <c r="O380" s="974" t="s">
        <v>873</v>
      </c>
      <c r="P380" s="974" t="s">
        <v>873</v>
      </c>
      <c r="Q380" s="974" t="s">
        <v>873</v>
      </c>
    </row>
    <row r="381" spans="1:22" s="824" customFormat="1" ht="13.5" hidden="1" customHeight="1" outlineLevel="1">
      <c r="A381" s="830"/>
      <c r="B381" s="825">
        <v>6</v>
      </c>
      <c r="C381" s="826" t="s">
        <v>3430</v>
      </c>
      <c r="D381" s="826"/>
      <c r="E381" s="990" t="s">
        <v>2388</v>
      </c>
      <c r="F381" s="990" t="s">
        <v>289</v>
      </c>
      <c r="G381" s="827">
        <v>7502.9070000000002</v>
      </c>
      <c r="H381" s="825" t="s">
        <v>183</v>
      </c>
      <c r="I381" s="972">
        <v>45221.114583333336</v>
      </c>
      <c r="J381" s="991" t="s">
        <v>192</v>
      </c>
      <c r="K381" s="1001" t="s">
        <v>192</v>
      </c>
      <c r="L381" s="1489"/>
      <c r="M381" s="1489"/>
      <c r="N381" s="831"/>
      <c r="O381" s="974" t="s">
        <v>873</v>
      </c>
      <c r="P381" s="974" t="s">
        <v>873</v>
      </c>
      <c r="Q381" s="974" t="s">
        <v>873</v>
      </c>
    </row>
    <row r="382" spans="1:22" s="824" customFormat="1" ht="13.5" hidden="1" customHeight="1" outlineLevel="1">
      <c r="A382" s="830"/>
      <c r="B382" s="825">
        <v>7</v>
      </c>
      <c r="C382" s="826" t="s">
        <v>3414</v>
      </c>
      <c r="D382" s="826"/>
      <c r="E382" s="990" t="s">
        <v>249</v>
      </c>
      <c r="F382" s="990" t="s">
        <v>2315</v>
      </c>
      <c r="G382" s="827">
        <v>7510.009</v>
      </c>
      <c r="H382" s="825" t="s">
        <v>2747</v>
      </c>
      <c r="I382" s="972">
        <v>45221.274305555555</v>
      </c>
      <c r="J382" s="991" t="s">
        <v>192</v>
      </c>
      <c r="K382" s="1001" t="s">
        <v>192</v>
      </c>
      <c r="L382" s="1489"/>
      <c r="M382" s="1489"/>
      <c r="N382" s="831"/>
      <c r="O382" s="974" t="s">
        <v>873</v>
      </c>
      <c r="P382" s="974" t="s">
        <v>873</v>
      </c>
      <c r="Q382" s="974" t="s">
        <v>873</v>
      </c>
    </row>
    <row r="383" spans="1:22" s="824" customFormat="1" ht="13.5" hidden="1" customHeight="1" outlineLevel="1">
      <c r="A383" s="830"/>
      <c r="B383" s="825">
        <v>8</v>
      </c>
      <c r="C383" s="826" t="s">
        <v>3432</v>
      </c>
      <c r="D383" s="826"/>
      <c r="E383" s="990" t="s">
        <v>371</v>
      </c>
      <c r="F383" s="990" t="s">
        <v>372</v>
      </c>
      <c r="G383" s="827">
        <v>7505.1450000000004</v>
      </c>
      <c r="H383" s="825" t="s">
        <v>183</v>
      </c>
      <c r="I383" s="972">
        <v>45222.25</v>
      </c>
      <c r="J383" s="991" t="s">
        <v>192</v>
      </c>
      <c r="K383" s="1001" t="s">
        <v>192</v>
      </c>
      <c r="L383" s="1489"/>
      <c r="M383" s="1489"/>
      <c r="N383" s="831"/>
      <c r="O383" s="974" t="s">
        <v>873</v>
      </c>
      <c r="P383" s="974" t="s">
        <v>873</v>
      </c>
      <c r="Q383" s="974" t="s">
        <v>873</v>
      </c>
    </row>
    <row r="384" spans="1:22" s="773" customFormat="1" ht="4.95" hidden="1" customHeight="1" outlineLevel="1">
      <c r="A384" s="770"/>
      <c r="B384" s="776"/>
      <c r="C384" s="774"/>
      <c r="D384" s="774"/>
      <c r="E384" s="774"/>
      <c r="F384" s="774"/>
      <c r="G384" s="775"/>
      <c r="H384" s="776"/>
      <c r="I384" s="925"/>
      <c r="J384" s="926"/>
      <c r="K384" s="1004"/>
      <c r="L384" s="1005"/>
      <c r="M384" s="1005"/>
      <c r="N384" s="772"/>
      <c r="O384" s="928"/>
      <c r="P384" s="928"/>
      <c r="Q384" s="928"/>
    </row>
    <row r="385" spans="1:19" s="949" customFormat="1" ht="13.5" hidden="1" customHeight="1" outlineLevel="1">
      <c r="A385" s="950"/>
      <c r="B385" s="825">
        <v>1</v>
      </c>
      <c r="C385" s="826" t="s">
        <v>4547</v>
      </c>
      <c r="D385" s="826"/>
      <c r="E385" s="990" t="s">
        <v>1972</v>
      </c>
      <c r="F385" s="990" t="s">
        <v>1973</v>
      </c>
      <c r="G385" s="827">
        <v>7500</v>
      </c>
      <c r="H385" s="825" t="s">
        <v>76</v>
      </c>
      <c r="I385" s="972">
        <v>45215.090277777781</v>
      </c>
      <c r="J385" s="991" t="s">
        <v>192</v>
      </c>
      <c r="K385" s="1001" t="s">
        <v>192</v>
      </c>
      <c r="L385" s="1489" t="s">
        <v>4548</v>
      </c>
      <c r="M385" s="1489" t="s">
        <v>4549</v>
      </c>
      <c r="N385" s="948"/>
      <c r="O385" s="955" t="s">
        <v>873</v>
      </c>
      <c r="P385" s="955" t="s">
        <v>873</v>
      </c>
      <c r="Q385" s="955" t="s">
        <v>873</v>
      </c>
      <c r="S385" s="959">
        <v>45221.308333333334</v>
      </c>
    </row>
    <row r="386" spans="1:19" s="824" customFormat="1" ht="13.5" hidden="1" customHeight="1" outlineLevel="1">
      <c r="A386" s="830"/>
      <c r="B386" s="825">
        <v>2</v>
      </c>
      <c r="C386" s="826" t="s">
        <v>3424</v>
      </c>
      <c r="D386" s="826"/>
      <c r="E386" s="990" t="s">
        <v>260</v>
      </c>
      <c r="F386" s="990" t="s">
        <v>261</v>
      </c>
      <c r="G386" s="827">
        <v>7582.5690000000004</v>
      </c>
      <c r="H386" s="825" t="s">
        <v>172</v>
      </c>
      <c r="I386" s="972">
        <v>45223.996527777781</v>
      </c>
      <c r="J386" s="991" t="s">
        <v>192</v>
      </c>
      <c r="K386" s="1001" t="s">
        <v>192</v>
      </c>
      <c r="L386" s="1489"/>
      <c r="M386" s="1489"/>
      <c r="N386" s="831"/>
      <c r="O386" s="974" t="s">
        <v>873</v>
      </c>
      <c r="P386" s="974" t="s">
        <v>873</v>
      </c>
      <c r="Q386" s="974" t="s">
        <v>873</v>
      </c>
    </row>
    <row r="387" spans="1:19" s="773" customFormat="1" ht="4.95" hidden="1" customHeight="1" outlineLevel="1">
      <c r="A387" s="770"/>
      <c r="B387" s="776"/>
      <c r="C387" s="774"/>
      <c r="D387" s="774"/>
      <c r="E387" s="774"/>
      <c r="F387" s="774"/>
      <c r="G387" s="775"/>
      <c r="H387" s="776"/>
      <c r="I387" s="925"/>
      <c r="J387" s="926"/>
      <c r="K387" s="1004"/>
      <c r="L387" s="1006"/>
      <c r="M387" s="1006"/>
      <c r="N387" s="772"/>
      <c r="O387" s="928"/>
      <c r="P387" s="928"/>
      <c r="Q387" s="928"/>
    </row>
    <row r="388" spans="1:19" s="773" customFormat="1" ht="13.8" hidden="1" outlineLevel="1">
      <c r="A388" s="770"/>
      <c r="B388" s="825">
        <v>1</v>
      </c>
      <c r="C388" s="826" t="s">
        <v>3398</v>
      </c>
      <c r="D388" s="826"/>
      <c r="E388" s="990" t="s">
        <v>343</v>
      </c>
      <c r="F388" s="990" t="s">
        <v>344</v>
      </c>
      <c r="G388" s="827">
        <v>7568.866</v>
      </c>
      <c r="H388" s="825" t="s">
        <v>173</v>
      </c>
      <c r="I388" s="972">
        <v>45221.270833333336</v>
      </c>
      <c r="J388" s="991" t="s">
        <v>192</v>
      </c>
      <c r="K388" s="1001" t="s">
        <v>192</v>
      </c>
      <c r="L388" s="1489" t="s">
        <v>1481</v>
      </c>
      <c r="M388" s="1489" t="s">
        <v>4550</v>
      </c>
      <c r="N388" s="772"/>
      <c r="O388" s="955" t="s">
        <v>873</v>
      </c>
      <c r="P388" s="955" t="s">
        <v>873</v>
      </c>
      <c r="Q388" s="955" t="s">
        <v>873</v>
      </c>
      <c r="S388" s="959">
        <v>45225.9375</v>
      </c>
    </row>
    <row r="389" spans="1:19" s="824" customFormat="1" ht="13.8" hidden="1" outlineLevel="1">
      <c r="A389" s="830"/>
      <c r="B389" s="825">
        <v>2</v>
      </c>
      <c r="C389" s="826" t="s">
        <v>3434</v>
      </c>
      <c r="D389" s="826"/>
      <c r="E389" s="990" t="s">
        <v>721</v>
      </c>
      <c r="F389" s="990" t="s">
        <v>1349</v>
      </c>
      <c r="G389" s="827">
        <v>7503.9530000000004</v>
      </c>
      <c r="H389" s="825" t="s">
        <v>184</v>
      </c>
      <c r="I389" s="972">
        <v>45224.25</v>
      </c>
      <c r="J389" s="991" t="s">
        <v>192</v>
      </c>
      <c r="K389" s="1001" t="s">
        <v>192</v>
      </c>
      <c r="L389" s="1489"/>
      <c r="M389" s="1489"/>
      <c r="N389" s="831"/>
      <c r="O389" s="974" t="s">
        <v>873</v>
      </c>
      <c r="P389" s="974" t="s">
        <v>873</v>
      </c>
      <c r="Q389" s="974" t="s">
        <v>873</v>
      </c>
    </row>
    <row r="390" spans="1:19" s="824" customFormat="1" ht="13.8" hidden="1" outlineLevel="1">
      <c r="A390" s="830"/>
      <c r="B390" s="825">
        <v>3</v>
      </c>
      <c r="C390" s="826" t="s">
        <v>3400</v>
      </c>
      <c r="D390" s="826"/>
      <c r="E390" s="990" t="s">
        <v>330</v>
      </c>
      <c r="F390" s="990" t="s">
        <v>331</v>
      </c>
      <c r="G390" s="827">
        <v>7346.4449999999997</v>
      </c>
      <c r="H390" s="825" t="s">
        <v>173</v>
      </c>
      <c r="I390" s="972">
        <v>45226.020833333336</v>
      </c>
      <c r="J390" s="991" t="s">
        <v>192</v>
      </c>
      <c r="K390" s="1001" t="s">
        <v>192</v>
      </c>
      <c r="L390" s="1489"/>
      <c r="M390" s="1489"/>
      <c r="N390" s="831"/>
      <c r="O390" s="974" t="s">
        <v>873</v>
      </c>
      <c r="P390" s="974" t="s">
        <v>873</v>
      </c>
      <c r="Q390" s="974" t="s">
        <v>873</v>
      </c>
    </row>
    <row r="391" spans="1:19" s="773" customFormat="1" ht="4.95" hidden="1" customHeight="1" outlineLevel="1">
      <c r="A391" s="770"/>
      <c r="B391" s="776"/>
      <c r="C391" s="774"/>
      <c r="D391" s="774"/>
      <c r="E391" s="774"/>
      <c r="F391" s="774"/>
      <c r="G391" s="775"/>
      <c r="H391" s="776"/>
      <c r="I391" s="925"/>
      <c r="J391" s="926"/>
      <c r="K391" s="926"/>
      <c r="L391" s="1007"/>
      <c r="M391" s="1007"/>
      <c r="N391" s="772"/>
      <c r="O391" s="928"/>
      <c r="P391" s="928"/>
      <c r="Q391" s="928"/>
    </row>
    <row r="392" spans="1:19" s="824" customFormat="1" ht="13.5" hidden="1" customHeight="1" outlineLevel="1">
      <c r="B392" s="825">
        <v>1</v>
      </c>
      <c r="C392" s="826" t="s">
        <v>3339</v>
      </c>
      <c r="D392" s="826"/>
      <c r="E392" s="990" t="s">
        <v>310</v>
      </c>
      <c r="F392" s="990" t="s">
        <v>219</v>
      </c>
      <c r="G392" s="827">
        <v>7670.9849999999997</v>
      </c>
      <c r="H392" s="825" t="s">
        <v>235</v>
      </c>
      <c r="I392" s="972">
        <v>45224.392361111109</v>
      </c>
      <c r="J392" s="991" t="s">
        <v>192</v>
      </c>
      <c r="K392" s="1001" t="s">
        <v>192</v>
      </c>
      <c r="L392" s="1525" t="s">
        <v>1827</v>
      </c>
      <c r="M392" s="1525" t="s">
        <v>4551</v>
      </c>
      <c r="N392" s="831"/>
      <c r="O392" s="974" t="s">
        <v>873</v>
      </c>
      <c r="P392" s="974" t="s">
        <v>873</v>
      </c>
      <c r="Q392" s="974" t="s">
        <v>873</v>
      </c>
      <c r="S392" s="959">
        <v>45227.458333333336</v>
      </c>
    </row>
    <row r="393" spans="1:19" s="824" customFormat="1" ht="13.5" hidden="1" customHeight="1" outlineLevel="1">
      <c r="A393" s="830"/>
      <c r="B393" s="825">
        <v>2</v>
      </c>
      <c r="C393" s="826" t="s">
        <v>3340</v>
      </c>
      <c r="D393" s="826"/>
      <c r="E393" s="990" t="s">
        <v>805</v>
      </c>
      <c r="F393" s="990" t="s">
        <v>381</v>
      </c>
      <c r="G393" s="827">
        <v>7510.1440000000002</v>
      </c>
      <c r="H393" s="825" t="s">
        <v>235</v>
      </c>
      <c r="I393" s="972">
        <v>45224.631944444445</v>
      </c>
      <c r="J393" s="991" t="s">
        <v>192</v>
      </c>
      <c r="K393" s="1001" t="s">
        <v>192</v>
      </c>
      <c r="L393" s="1526"/>
      <c r="M393" s="1526"/>
      <c r="N393" s="831"/>
      <c r="O393" s="974" t="s">
        <v>873</v>
      </c>
      <c r="P393" s="974" t="s">
        <v>873</v>
      </c>
      <c r="Q393" s="974" t="s">
        <v>873</v>
      </c>
    </row>
    <row r="394" spans="1:19" s="824" customFormat="1" ht="13.5" hidden="1" customHeight="1" outlineLevel="1">
      <c r="A394" s="830"/>
      <c r="B394" s="825">
        <v>3</v>
      </c>
      <c r="C394" s="826" t="s">
        <v>3436</v>
      </c>
      <c r="D394" s="826"/>
      <c r="E394" s="990" t="s">
        <v>292</v>
      </c>
      <c r="F394" s="990" t="s">
        <v>293</v>
      </c>
      <c r="G394" s="827">
        <v>7500.0609999999997</v>
      </c>
      <c r="H394" s="825" t="s">
        <v>184</v>
      </c>
      <c r="I394" s="972">
        <v>45227.229166666664</v>
      </c>
      <c r="J394" s="991" t="s">
        <v>192</v>
      </c>
      <c r="K394" s="1001" t="s">
        <v>192</v>
      </c>
      <c r="L394" s="1527"/>
      <c r="M394" s="1527"/>
      <c r="N394" s="831"/>
      <c r="O394" s="974" t="s">
        <v>873</v>
      </c>
      <c r="P394" s="974" t="s">
        <v>873</v>
      </c>
      <c r="Q394" s="974" t="s">
        <v>873</v>
      </c>
    </row>
    <row r="395" spans="1:19" s="773" customFormat="1" ht="4.95" hidden="1" customHeight="1" outlineLevel="1" collapsed="1">
      <c r="A395" s="770"/>
      <c r="B395" s="776"/>
      <c r="C395" s="774"/>
      <c r="D395" s="774"/>
      <c r="E395" s="774"/>
      <c r="F395" s="774"/>
      <c r="G395" s="775"/>
      <c r="H395" s="776"/>
      <c r="I395" s="925"/>
      <c r="J395" s="926"/>
      <c r="K395" s="926"/>
      <c r="L395" s="984"/>
      <c r="M395" s="984"/>
      <c r="N395" s="772"/>
      <c r="O395" s="928"/>
      <c r="P395" s="928"/>
      <c r="Q395" s="928"/>
    </row>
    <row r="396" spans="1:19" s="773" customFormat="1" ht="13.5" hidden="1" customHeight="1" outlineLevel="1">
      <c r="A396" s="929" t="s">
        <v>4552</v>
      </c>
      <c r="B396" s="825">
        <v>1</v>
      </c>
      <c r="C396" s="826" t="s">
        <v>3359</v>
      </c>
      <c r="D396" s="826"/>
      <c r="E396" s="990" t="s">
        <v>437</v>
      </c>
      <c r="F396" s="990" t="s">
        <v>320</v>
      </c>
      <c r="G396" s="827">
        <v>7630.98</v>
      </c>
      <c r="H396" s="825" t="s">
        <v>235</v>
      </c>
      <c r="I396" s="972">
        <v>45228.21875</v>
      </c>
      <c r="J396" s="991" t="s">
        <v>192</v>
      </c>
      <c r="K396" s="1001" t="s">
        <v>192</v>
      </c>
      <c r="L396" s="1508" t="s">
        <v>4475</v>
      </c>
      <c r="M396" s="1489" t="s">
        <v>4553</v>
      </c>
      <c r="N396" s="772"/>
      <c r="O396" s="955" t="s">
        <v>873</v>
      </c>
      <c r="P396" s="955" t="s">
        <v>873</v>
      </c>
      <c r="Q396" s="955" t="s">
        <v>873</v>
      </c>
      <c r="S396" s="959">
        <v>45228.041666666664</v>
      </c>
    </row>
    <row r="397" spans="1:19" s="773" customFormat="1" ht="13.5" hidden="1" customHeight="1" outlineLevel="1">
      <c r="A397" s="770"/>
      <c r="B397" s="825">
        <v>2</v>
      </c>
      <c r="C397" s="826" t="s">
        <v>3409</v>
      </c>
      <c r="D397" s="826"/>
      <c r="E397" s="990" t="s">
        <v>383</v>
      </c>
      <c r="F397" s="990" t="s">
        <v>384</v>
      </c>
      <c r="G397" s="827">
        <v>5133</v>
      </c>
      <c r="H397" s="825" t="s">
        <v>82</v>
      </c>
      <c r="I397" s="972">
        <v>45228.322916666664</v>
      </c>
      <c r="J397" s="991" t="s">
        <v>192</v>
      </c>
      <c r="K397" s="1001" t="s">
        <v>192</v>
      </c>
      <c r="L397" s="1508"/>
      <c r="M397" s="1489"/>
      <c r="N397" s="772"/>
      <c r="O397" s="955" t="s">
        <v>873</v>
      </c>
      <c r="P397" s="955" t="s">
        <v>873</v>
      </c>
      <c r="Q397" s="955" t="s">
        <v>873</v>
      </c>
    </row>
    <row r="398" spans="1:19" s="773" customFormat="1" ht="13.5" hidden="1" customHeight="1" outlineLevel="1">
      <c r="A398" s="770"/>
      <c r="B398" s="825">
        <v>3</v>
      </c>
      <c r="C398" s="826" t="s">
        <v>3427</v>
      </c>
      <c r="D398" s="826"/>
      <c r="E398" s="1008" t="s">
        <v>355</v>
      </c>
      <c r="F398" s="990" t="s">
        <v>356</v>
      </c>
      <c r="G398" s="827">
        <v>7502.7240000000002</v>
      </c>
      <c r="H398" s="825" t="s">
        <v>172</v>
      </c>
      <c r="I398" s="972">
        <v>45229.708333333336</v>
      </c>
      <c r="J398" s="991" t="s">
        <v>192</v>
      </c>
      <c r="K398" s="1001" t="s">
        <v>192</v>
      </c>
      <c r="L398" s="1508"/>
      <c r="M398" s="1489"/>
      <c r="N398" s="772"/>
      <c r="O398" s="955" t="s">
        <v>873</v>
      </c>
      <c r="P398" s="955" t="s">
        <v>873</v>
      </c>
      <c r="Q398" s="955" t="s">
        <v>873</v>
      </c>
    </row>
    <row r="399" spans="1:19" s="773" customFormat="1" ht="4.5" hidden="1" customHeight="1" outlineLevel="1">
      <c r="A399" s="770"/>
      <c r="B399" s="776"/>
      <c r="C399" s="774"/>
      <c r="D399" s="774"/>
      <c r="E399" s="996"/>
      <c r="F399" s="774"/>
      <c r="G399" s="775"/>
      <c r="H399" s="776"/>
      <c r="I399" s="925"/>
      <c r="J399" s="926"/>
      <c r="K399" s="1004"/>
      <c r="L399" s="1009"/>
      <c r="M399" s="1009"/>
      <c r="N399" s="772"/>
      <c r="O399" s="928"/>
      <c r="P399" s="928"/>
      <c r="Q399" s="928"/>
    </row>
    <row r="400" spans="1:19" s="773" customFormat="1" ht="13.5" hidden="1" customHeight="1" outlineLevel="1">
      <c r="A400" s="770"/>
      <c r="B400" s="825">
        <v>1</v>
      </c>
      <c r="C400" s="826" t="s">
        <v>3373</v>
      </c>
      <c r="D400" s="826"/>
      <c r="E400" s="990" t="s">
        <v>686</v>
      </c>
      <c r="F400" s="990" t="s">
        <v>1186</v>
      </c>
      <c r="G400" s="827">
        <v>7510.018</v>
      </c>
      <c r="H400" s="825" t="s">
        <v>235</v>
      </c>
      <c r="I400" s="972">
        <v>45232.520833333336</v>
      </c>
      <c r="J400" s="991" t="s">
        <v>192</v>
      </c>
      <c r="K400" s="1001" t="s">
        <v>192</v>
      </c>
      <c r="L400" s="1508" t="s">
        <v>1445</v>
      </c>
      <c r="M400" s="1508" t="s">
        <v>4554</v>
      </c>
      <c r="N400" s="772"/>
      <c r="O400" s="955" t="s">
        <v>873</v>
      </c>
      <c r="P400" s="955" t="s">
        <v>873</v>
      </c>
      <c r="Q400" s="955" t="s">
        <v>873</v>
      </c>
      <c r="S400" s="959">
        <v>45233.345833333333</v>
      </c>
    </row>
    <row r="401" spans="1:19" s="824" customFormat="1" ht="13.5" hidden="1" customHeight="1" outlineLevel="1">
      <c r="A401" s="830"/>
      <c r="B401" s="825">
        <v>2</v>
      </c>
      <c r="C401" s="826" t="s">
        <v>3386</v>
      </c>
      <c r="D401" s="826"/>
      <c r="E401" s="990" t="s">
        <v>2388</v>
      </c>
      <c r="F401" s="990" t="s">
        <v>289</v>
      </c>
      <c r="G401" s="827">
        <v>7451.4160000000002</v>
      </c>
      <c r="H401" s="825" t="s">
        <v>2381</v>
      </c>
      <c r="I401" s="972">
        <v>45232.791666666664</v>
      </c>
      <c r="J401" s="991" t="s">
        <v>192</v>
      </c>
      <c r="K401" s="1001" t="s">
        <v>192</v>
      </c>
      <c r="L401" s="1508"/>
      <c r="M401" s="1508"/>
      <c r="N401" s="831"/>
      <c r="O401" s="974" t="s">
        <v>873</v>
      </c>
      <c r="P401" s="974" t="s">
        <v>873</v>
      </c>
      <c r="Q401" s="974" t="s">
        <v>873</v>
      </c>
    </row>
    <row r="402" spans="1:19" s="824" customFormat="1" ht="13.5" hidden="1" customHeight="1" outlineLevel="1">
      <c r="A402" s="830"/>
      <c r="B402" s="825">
        <v>3</v>
      </c>
      <c r="C402" s="826" t="s">
        <v>3585</v>
      </c>
      <c r="D402" s="826"/>
      <c r="E402" s="990" t="s">
        <v>453</v>
      </c>
      <c r="F402" s="990" t="s">
        <v>454</v>
      </c>
      <c r="G402" s="827">
        <v>7719.1220000000003</v>
      </c>
      <c r="H402" s="825" t="s">
        <v>913</v>
      </c>
      <c r="I402" s="972">
        <v>45233.729166666664</v>
      </c>
      <c r="J402" s="991" t="s">
        <v>192</v>
      </c>
      <c r="K402" s="1001" t="s">
        <v>192</v>
      </c>
      <c r="L402" s="1508"/>
      <c r="M402" s="1508"/>
      <c r="N402" s="831"/>
      <c r="O402" s="974" t="s">
        <v>873</v>
      </c>
      <c r="P402" s="974" t="s">
        <v>873</v>
      </c>
      <c r="Q402" s="974" t="s">
        <v>873</v>
      </c>
    </row>
    <row r="403" spans="1:19" s="773" customFormat="1" ht="13.5" hidden="1" customHeight="1" outlineLevel="1">
      <c r="A403" s="770"/>
      <c r="B403" s="825">
        <v>4</v>
      </c>
      <c r="C403" s="826" t="s">
        <v>3433</v>
      </c>
      <c r="D403" s="826"/>
      <c r="E403" s="990" t="s">
        <v>1874</v>
      </c>
      <c r="F403" s="990" t="s">
        <v>1875</v>
      </c>
      <c r="G403" s="827">
        <v>5272.2380000000003</v>
      </c>
      <c r="H403" s="825" t="s">
        <v>183</v>
      </c>
      <c r="I403" s="972">
        <v>45234.208333333336</v>
      </c>
      <c r="J403" s="991" t="s">
        <v>192</v>
      </c>
      <c r="K403" s="1001" t="s">
        <v>192</v>
      </c>
      <c r="L403" s="1508"/>
      <c r="M403" s="1508"/>
      <c r="N403" s="772"/>
      <c r="O403" s="955" t="s">
        <v>873</v>
      </c>
      <c r="P403" s="955" t="s">
        <v>873</v>
      </c>
      <c r="Q403" s="955" t="s">
        <v>873</v>
      </c>
    </row>
    <row r="404" spans="1:19" s="773" customFormat="1" ht="4.5" hidden="1" customHeight="1" outlineLevel="1">
      <c r="A404" s="770"/>
      <c r="B404" s="776"/>
      <c r="C404" s="774"/>
      <c r="D404" s="774"/>
      <c r="E404" s="774"/>
      <c r="F404" s="774"/>
      <c r="G404" s="775"/>
      <c r="H404" s="776"/>
      <c r="I404" s="925"/>
      <c r="J404" s="926"/>
      <c r="K404" s="926"/>
      <c r="L404" s="984"/>
      <c r="M404" s="984"/>
      <c r="N404" s="772"/>
      <c r="O404" s="928"/>
      <c r="P404" s="928"/>
      <c r="Q404" s="928"/>
    </row>
    <row r="405" spans="1:19" s="773" customFormat="1" ht="13.5" hidden="1" customHeight="1" outlineLevel="1">
      <c r="A405" s="770"/>
      <c r="B405" s="825">
        <v>1</v>
      </c>
      <c r="C405" s="826" t="s">
        <v>3402</v>
      </c>
      <c r="D405" s="826"/>
      <c r="E405" s="990" t="s">
        <v>3403</v>
      </c>
      <c r="F405" s="990" t="s">
        <v>255</v>
      </c>
      <c r="G405" s="827">
        <v>7208.732</v>
      </c>
      <c r="H405" s="825" t="s">
        <v>173</v>
      </c>
      <c r="I405" s="972">
        <v>45229.979166666664</v>
      </c>
      <c r="J405" s="991" t="s">
        <v>192</v>
      </c>
      <c r="K405" s="1001" t="s">
        <v>192</v>
      </c>
      <c r="L405" s="1508" t="s">
        <v>4555</v>
      </c>
      <c r="M405" s="1503" t="s">
        <v>4556</v>
      </c>
      <c r="N405" s="772"/>
      <c r="O405" s="955" t="s">
        <v>873</v>
      </c>
      <c r="P405" s="955" t="s">
        <v>873</v>
      </c>
      <c r="Q405" s="955" t="s">
        <v>873</v>
      </c>
      <c r="S405" s="959">
        <v>45238.887499999997</v>
      </c>
    </row>
    <row r="406" spans="1:19" s="773" customFormat="1" ht="13.5" hidden="1" customHeight="1" outlineLevel="1">
      <c r="A406" s="770"/>
      <c r="B406" s="825">
        <v>2</v>
      </c>
      <c r="C406" s="826" t="s">
        <v>3606</v>
      </c>
      <c r="D406" s="826"/>
      <c r="E406" s="990" t="s">
        <v>1313</v>
      </c>
      <c r="F406" s="990" t="s">
        <v>2486</v>
      </c>
      <c r="G406" s="827">
        <v>7559</v>
      </c>
      <c r="H406" s="825" t="s">
        <v>84</v>
      </c>
      <c r="I406" s="972">
        <v>45236.006944444445</v>
      </c>
      <c r="J406" s="991" t="s">
        <v>192</v>
      </c>
      <c r="K406" s="1001" t="s">
        <v>192</v>
      </c>
      <c r="L406" s="1508"/>
      <c r="M406" s="1504"/>
      <c r="N406" s="772"/>
      <c r="O406" s="955" t="s">
        <v>873</v>
      </c>
      <c r="P406" s="955" t="s">
        <v>873</v>
      </c>
      <c r="Q406" s="955" t="s">
        <v>873</v>
      </c>
    </row>
    <row r="407" spans="1:19" s="773" customFormat="1" ht="13.5" hidden="1" customHeight="1" outlineLevel="1">
      <c r="A407" s="770"/>
      <c r="B407" s="825">
        <v>3</v>
      </c>
      <c r="C407" s="826" t="s">
        <v>3467</v>
      </c>
      <c r="D407" s="826"/>
      <c r="E407" s="990" t="s">
        <v>1181</v>
      </c>
      <c r="F407" s="990" t="s">
        <v>1182</v>
      </c>
      <c r="G407" s="827">
        <v>5009.2190000000001</v>
      </c>
      <c r="H407" s="825" t="s">
        <v>88</v>
      </c>
      <c r="I407" s="972">
        <v>45237.510416666664</v>
      </c>
      <c r="J407" s="991" t="s">
        <v>192</v>
      </c>
      <c r="K407" s="991" t="s">
        <v>192</v>
      </c>
      <c r="L407" s="1508"/>
      <c r="M407" s="1504"/>
      <c r="N407" s="772"/>
      <c r="O407" s="955" t="s">
        <v>873</v>
      </c>
      <c r="P407" s="955" t="s">
        <v>873</v>
      </c>
      <c r="Q407" s="955" t="s">
        <v>873</v>
      </c>
    </row>
    <row r="408" spans="1:19" s="824" customFormat="1" ht="13.5" hidden="1" customHeight="1" outlineLevel="1">
      <c r="A408" s="830"/>
      <c r="B408" s="825">
        <v>4</v>
      </c>
      <c r="C408" s="826" t="s">
        <v>3613</v>
      </c>
      <c r="D408" s="826"/>
      <c r="E408" s="990" t="s">
        <v>274</v>
      </c>
      <c r="F408" s="990" t="s">
        <v>1093</v>
      </c>
      <c r="G408" s="827">
        <v>7550.46</v>
      </c>
      <c r="H408" s="825" t="s">
        <v>172</v>
      </c>
      <c r="I408" s="972">
        <v>45238.135416666664</v>
      </c>
      <c r="J408" s="991" t="s">
        <v>192</v>
      </c>
      <c r="K408" s="991" t="s">
        <v>192</v>
      </c>
      <c r="L408" s="1508"/>
      <c r="M408" s="1505"/>
      <c r="N408" s="831"/>
      <c r="O408" s="974" t="s">
        <v>873</v>
      </c>
      <c r="P408" s="974" t="s">
        <v>873</v>
      </c>
      <c r="Q408" s="974" t="s">
        <v>873</v>
      </c>
    </row>
    <row r="409" spans="1:19" s="773" customFormat="1" ht="4.5" hidden="1" customHeight="1" outlineLevel="1">
      <c r="A409" s="770"/>
      <c r="B409" s="776"/>
      <c r="C409" s="774"/>
      <c r="D409" s="774"/>
      <c r="E409" s="774"/>
      <c r="F409" s="774"/>
      <c r="G409" s="775"/>
      <c r="H409" s="776"/>
      <c r="I409" s="925"/>
      <c r="J409" s="926"/>
      <c r="K409" s="1004"/>
      <c r="L409" s="1010"/>
      <c r="M409" s="1009"/>
      <c r="N409" s="772"/>
      <c r="O409" s="928"/>
      <c r="P409" s="928"/>
      <c r="Q409" s="928"/>
    </row>
    <row r="410" spans="1:19" s="824" customFormat="1" ht="13.5" hidden="1" customHeight="1" outlineLevel="1">
      <c r="A410" s="830"/>
      <c r="B410" s="825">
        <v>1</v>
      </c>
      <c r="C410" s="826" t="s">
        <v>3589</v>
      </c>
      <c r="D410" s="826"/>
      <c r="E410" s="990" t="s">
        <v>226</v>
      </c>
      <c r="F410" s="990" t="s">
        <v>227</v>
      </c>
      <c r="G410" s="827">
        <v>7539.0640000000003</v>
      </c>
      <c r="H410" s="825" t="s">
        <v>173</v>
      </c>
      <c r="I410" s="972">
        <v>45239.555555555555</v>
      </c>
      <c r="J410" s="991" t="s">
        <v>192</v>
      </c>
      <c r="K410" s="1001" t="s">
        <v>192</v>
      </c>
      <c r="L410" s="1489" t="s">
        <v>3137</v>
      </c>
      <c r="M410" s="1510" t="s">
        <v>3138</v>
      </c>
      <c r="N410" s="831"/>
      <c r="O410" s="974" t="s">
        <v>873</v>
      </c>
      <c r="P410" s="974" t="s">
        <v>873</v>
      </c>
      <c r="Q410" s="974" t="s">
        <v>873</v>
      </c>
      <c r="S410" s="959">
        <v>45241.506944444445</v>
      </c>
    </row>
    <row r="411" spans="1:19" s="824" customFormat="1" ht="13.5" hidden="1" customHeight="1" outlineLevel="1">
      <c r="B411" s="825">
        <v>2</v>
      </c>
      <c r="C411" s="1011" t="s">
        <v>3625</v>
      </c>
      <c r="D411" s="1012"/>
      <c r="E411" s="1013" t="s">
        <v>383</v>
      </c>
      <c r="F411" s="1013" t="s">
        <v>384</v>
      </c>
      <c r="G411" s="1014">
        <v>5314.6350000000002</v>
      </c>
      <c r="H411" s="1015" t="s">
        <v>183</v>
      </c>
      <c r="I411" s="972">
        <v>45240.263888888891</v>
      </c>
      <c r="J411" s="991" t="s">
        <v>192</v>
      </c>
      <c r="K411" s="1001" t="s">
        <v>192</v>
      </c>
      <c r="L411" s="1489"/>
      <c r="M411" s="1510"/>
      <c r="N411" s="831"/>
      <c r="O411" s="974" t="s">
        <v>873</v>
      </c>
      <c r="P411" s="974" t="s">
        <v>873</v>
      </c>
      <c r="Q411" s="974" t="s">
        <v>873</v>
      </c>
    </row>
    <row r="412" spans="1:19" s="824" customFormat="1" ht="13.5" hidden="1" customHeight="1" outlineLevel="1">
      <c r="A412" s="830"/>
      <c r="B412" s="825">
        <v>3</v>
      </c>
      <c r="C412" s="826" t="s">
        <v>3585</v>
      </c>
      <c r="D412" s="826"/>
      <c r="E412" s="990" t="s">
        <v>453</v>
      </c>
      <c r="F412" s="990" t="s">
        <v>454</v>
      </c>
      <c r="G412" s="827">
        <v>7504.5230000000001</v>
      </c>
      <c r="H412" s="825" t="s">
        <v>913</v>
      </c>
      <c r="I412" s="972">
        <v>45241.670138888891</v>
      </c>
      <c r="J412" s="991" t="s">
        <v>192</v>
      </c>
      <c r="K412" s="1001" t="s">
        <v>192</v>
      </c>
      <c r="L412" s="1489"/>
      <c r="M412" s="1510"/>
      <c r="N412" s="831"/>
      <c r="O412" s="974" t="s">
        <v>873</v>
      </c>
      <c r="P412" s="974" t="s">
        <v>873</v>
      </c>
      <c r="Q412" s="974" t="s">
        <v>873</v>
      </c>
    </row>
    <row r="413" spans="1:19" s="824" customFormat="1" ht="13.5" hidden="1" customHeight="1" outlineLevel="1">
      <c r="A413" s="830"/>
      <c r="B413" s="825">
        <v>4</v>
      </c>
      <c r="C413" s="826" t="s">
        <v>3615</v>
      </c>
      <c r="D413" s="826"/>
      <c r="E413" s="990" t="s">
        <v>263</v>
      </c>
      <c r="F413" s="990" t="s">
        <v>264</v>
      </c>
      <c r="G413" s="827">
        <v>7590.4219999999996</v>
      </c>
      <c r="H413" s="825" t="s">
        <v>172</v>
      </c>
      <c r="I413" s="972">
        <v>45241.277777777781</v>
      </c>
      <c r="J413" s="991" t="s">
        <v>192</v>
      </c>
      <c r="K413" s="1001" t="s">
        <v>192</v>
      </c>
      <c r="L413" s="1489"/>
      <c r="M413" s="1510"/>
      <c r="N413" s="831"/>
      <c r="O413" s="974" t="s">
        <v>873</v>
      </c>
      <c r="P413" s="974" t="s">
        <v>873</v>
      </c>
      <c r="Q413" s="974" t="s">
        <v>873</v>
      </c>
    </row>
    <row r="414" spans="1:19" s="824" customFormat="1" ht="13.5" hidden="1" customHeight="1" outlineLevel="1">
      <c r="B414" s="825">
        <v>5</v>
      </c>
      <c r="C414" s="1011" t="s">
        <v>3626</v>
      </c>
      <c r="D414" s="1012"/>
      <c r="E414" s="1013" t="s">
        <v>3546</v>
      </c>
      <c r="F414" s="1013" t="s">
        <v>1308</v>
      </c>
      <c r="G414" s="1014">
        <v>5301.4690000000001</v>
      </c>
      <c r="H414" s="1015" t="s">
        <v>183</v>
      </c>
      <c r="I414" s="972">
        <v>45241.666666666664</v>
      </c>
      <c r="J414" s="991" t="s">
        <v>192</v>
      </c>
      <c r="K414" s="1001" t="s">
        <v>192</v>
      </c>
      <c r="L414" s="1489"/>
      <c r="M414" s="1510"/>
      <c r="N414" s="831"/>
      <c r="O414" s="974" t="s">
        <v>873</v>
      </c>
      <c r="P414" s="974" t="s">
        <v>873</v>
      </c>
      <c r="Q414" s="974" t="s">
        <v>873</v>
      </c>
    </row>
    <row r="415" spans="1:19" s="824" customFormat="1" ht="13.5" hidden="1" customHeight="1" outlineLevel="1">
      <c r="A415" s="830"/>
      <c r="B415" s="825">
        <v>6</v>
      </c>
      <c r="C415" s="826" t="s">
        <v>3608</v>
      </c>
      <c r="D415" s="826"/>
      <c r="E415" s="990" t="s">
        <v>2820</v>
      </c>
      <c r="F415" s="990" t="s">
        <v>381</v>
      </c>
      <c r="G415" s="1014">
        <v>7504.7209999999995</v>
      </c>
      <c r="H415" s="825" t="s">
        <v>2747</v>
      </c>
      <c r="I415" s="972">
        <v>45239.28125</v>
      </c>
      <c r="J415" s="991" t="s">
        <v>192</v>
      </c>
      <c r="K415" s="1001" t="s">
        <v>192</v>
      </c>
      <c r="L415" s="1489"/>
      <c r="M415" s="1510"/>
      <c r="N415" s="831"/>
      <c r="O415" s="974" t="s">
        <v>873</v>
      </c>
      <c r="P415" s="974" t="s">
        <v>873</v>
      </c>
      <c r="Q415" s="974" t="s">
        <v>873</v>
      </c>
    </row>
    <row r="416" spans="1:19" s="824" customFormat="1" ht="13.5" hidden="1" customHeight="1" outlineLevel="1">
      <c r="A416" s="830"/>
      <c r="B416" s="825">
        <v>7</v>
      </c>
      <c r="C416" s="826" t="s">
        <v>3616</v>
      </c>
      <c r="D416" s="826"/>
      <c r="E416" s="990" t="s">
        <v>1799</v>
      </c>
      <c r="F416" s="990" t="s">
        <v>2437</v>
      </c>
      <c r="G416" s="827">
        <v>7502.9070000000002</v>
      </c>
      <c r="H416" s="825" t="s">
        <v>172</v>
      </c>
      <c r="I416" s="972">
        <v>45245.138888888891</v>
      </c>
      <c r="J416" s="991" t="s">
        <v>192</v>
      </c>
      <c r="K416" s="1001" t="s">
        <v>192</v>
      </c>
      <c r="L416" s="1489"/>
      <c r="M416" s="1510"/>
      <c r="N416" s="831"/>
      <c r="O416" s="974" t="s">
        <v>873</v>
      </c>
      <c r="P416" s="974" t="s">
        <v>873</v>
      </c>
      <c r="Q416" s="974" t="s">
        <v>873</v>
      </c>
    </row>
    <row r="417" spans="1:19" s="773" customFormat="1" ht="4.5" hidden="1" customHeight="1" outlineLevel="1">
      <c r="A417" s="770"/>
      <c r="B417" s="776"/>
      <c r="C417" s="774"/>
      <c r="D417" s="774"/>
      <c r="E417" s="774"/>
      <c r="F417" s="774"/>
      <c r="G417" s="775"/>
      <c r="H417" s="776"/>
      <c r="I417" s="925"/>
      <c r="J417" s="926"/>
      <c r="K417" s="1004"/>
      <c r="L417" s="1010"/>
      <c r="M417" s="1010"/>
      <c r="N417" s="772"/>
      <c r="O417" s="928"/>
      <c r="P417" s="928"/>
      <c r="Q417" s="928"/>
    </row>
    <row r="418" spans="1:19" s="773" customFormat="1" ht="13.5" hidden="1" customHeight="1" outlineLevel="1">
      <c r="A418" s="770"/>
      <c r="B418" s="930">
        <v>1</v>
      </c>
      <c r="C418" s="931" t="s">
        <v>3476</v>
      </c>
      <c r="D418" s="931"/>
      <c r="E418" s="989" t="s">
        <v>489</v>
      </c>
      <c r="F418" s="989" t="s">
        <v>483</v>
      </c>
      <c r="G418" s="932">
        <v>7500</v>
      </c>
      <c r="H418" s="930" t="s">
        <v>78</v>
      </c>
      <c r="I418" s="933">
        <v>45249.118055555555</v>
      </c>
      <c r="J418" s="991" t="s">
        <v>192</v>
      </c>
      <c r="K418" s="1001" t="s">
        <v>192</v>
      </c>
      <c r="L418" s="1525" t="s">
        <v>2474</v>
      </c>
      <c r="M418" s="1525" t="s">
        <v>4557</v>
      </c>
      <c r="N418" s="772"/>
      <c r="O418" s="955" t="s">
        <v>873</v>
      </c>
      <c r="P418" s="955" t="s">
        <v>873</v>
      </c>
      <c r="Q418" s="955" t="s">
        <v>873</v>
      </c>
      <c r="S418" s="959">
        <v>45249.083333333336</v>
      </c>
    </row>
    <row r="419" spans="1:19" s="773" customFormat="1" ht="13.5" hidden="1" customHeight="1" outlineLevel="1">
      <c r="A419" s="770"/>
      <c r="B419" s="825">
        <v>2</v>
      </c>
      <c r="C419" s="826" t="s">
        <v>3475</v>
      </c>
      <c r="D419" s="826"/>
      <c r="E419" s="990" t="s">
        <v>437</v>
      </c>
      <c r="F419" s="990" t="s">
        <v>320</v>
      </c>
      <c r="G419" s="827">
        <v>7500</v>
      </c>
      <c r="H419" s="825" t="s">
        <v>78</v>
      </c>
      <c r="I419" s="972">
        <v>45249.385416666664</v>
      </c>
      <c r="J419" s="991" t="s">
        <v>192</v>
      </c>
      <c r="K419" s="991" t="s">
        <v>192</v>
      </c>
      <c r="L419" s="1526"/>
      <c r="M419" s="1526"/>
      <c r="N419" s="772"/>
      <c r="O419" s="955" t="s">
        <v>873</v>
      </c>
      <c r="P419" s="955" t="s">
        <v>873</v>
      </c>
      <c r="Q419" s="955" t="s">
        <v>873</v>
      </c>
    </row>
    <row r="420" spans="1:19" s="824" customFormat="1" ht="13.5" hidden="1" customHeight="1" outlineLevel="1">
      <c r="A420" s="830"/>
      <c r="B420" s="825">
        <v>3</v>
      </c>
      <c r="C420" s="826" t="s">
        <v>3521</v>
      </c>
      <c r="D420" s="826"/>
      <c r="E420" s="990" t="s">
        <v>686</v>
      </c>
      <c r="F420" s="1016" t="s">
        <v>1186</v>
      </c>
      <c r="G420" s="827">
        <v>7512.7910000000002</v>
      </c>
      <c r="H420" s="825" t="s">
        <v>235</v>
      </c>
      <c r="I420" s="972">
        <v>45249.829861111109</v>
      </c>
      <c r="J420" s="991" t="s">
        <v>192</v>
      </c>
      <c r="K420" s="991" t="s">
        <v>192</v>
      </c>
      <c r="L420" s="1526"/>
      <c r="M420" s="1526"/>
      <c r="N420" s="831"/>
      <c r="O420" s="974" t="s">
        <v>873</v>
      </c>
      <c r="P420" s="974" t="s">
        <v>873</v>
      </c>
      <c r="Q420" s="974" t="s">
        <v>873</v>
      </c>
    </row>
    <row r="421" spans="1:19" s="824" customFormat="1" ht="13.5" hidden="1" customHeight="1" outlineLevel="1">
      <c r="A421" s="830"/>
      <c r="B421" s="825">
        <v>4</v>
      </c>
      <c r="C421" s="826" t="s">
        <v>3586</v>
      </c>
      <c r="D421" s="826"/>
      <c r="E421" s="990" t="s">
        <v>453</v>
      </c>
      <c r="F421" s="990" t="s">
        <v>454</v>
      </c>
      <c r="G421" s="827">
        <v>7357.1270000000004</v>
      </c>
      <c r="H421" s="825" t="s">
        <v>913</v>
      </c>
      <c r="I421" s="972">
        <v>45253.25</v>
      </c>
      <c r="J421" s="991" t="s">
        <v>192</v>
      </c>
      <c r="K421" s="991" t="s">
        <v>192</v>
      </c>
      <c r="L421" s="1527"/>
      <c r="M421" s="1527"/>
      <c r="N421" s="831"/>
      <c r="O421" s="974" t="s">
        <v>873</v>
      </c>
      <c r="P421" s="974" t="s">
        <v>873</v>
      </c>
      <c r="Q421" s="974" t="s">
        <v>873</v>
      </c>
    </row>
    <row r="422" spans="1:19" s="773" customFormat="1" ht="4.5" hidden="1" customHeight="1" outlineLevel="1">
      <c r="A422" s="770"/>
      <c r="B422" s="776"/>
      <c r="C422" s="774"/>
      <c r="D422" s="774"/>
      <c r="E422" s="774"/>
      <c r="F422" s="774"/>
      <c r="G422" s="775"/>
      <c r="H422" s="776"/>
      <c r="I422" s="925"/>
      <c r="J422" s="926"/>
      <c r="K422" s="1004"/>
      <c r="L422" s="1010"/>
      <c r="M422" s="1010"/>
      <c r="N422" s="772"/>
      <c r="O422" s="928"/>
      <c r="P422" s="928"/>
      <c r="Q422" s="928"/>
    </row>
    <row r="423" spans="1:19" s="773" customFormat="1" ht="13.5" hidden="1" customHeight="1" outlineLevel="1">
      <c r="A423" s="770"/>
      <c r="B423" s="825">
        <v>1</v>
      </c>
      <c r="C423" s="826" t="s">
        <v>3590</v>
      </c>
      <c r="D423" s="826"/>
      <c r="E423" s="990" t="s">
        <v>371</v>
      </c>
      <c r="F423" s="990" t="s">
        <v>372</v>
      </c>
      <c r="G423" s="827">
        <v>7490.0050000000001</v>
      </c>
      <c r="H423" s="825" t="s">
        <v>173</v>
      </c>
      <c r="I423" s="972">
        <v>45249.170138888891</v>
      </c>
      <c r="J423" s="991" t="s">
        <v>192</v>
      </c>
      <c r="K423" s="1001" t="s">
        <v>192</v>
      </c>
      <c r="L423" s="1489" t="s">
        <v>3154</v>
      </c>
      <c r="M423" s="1498" t="s">
        <v>3097</v>
      </c>
      <c r="N423" s="772"/>
      <c r="O423" s="955" t="s">
        <v>873</v>
      </c>
      <c r="P423" s="955" t="s">
        <v>873</v>
      </c>
      <c r="Q423" s="955" t="s">
        <v>873</v>
      </c>
      <c r="S423" s="959">
        <v>45248.55</v>
      </c>
    </row>
    <row r="424" spans="1:19" s="824" customFormat="1" ht="13.5" hidden="1" customHeight="1" outlineLevel="1">
      <c r="A424" s="830"/>
      <c r="B424" s="825">
        <v>2</v>
      </c>
      <c r="C424" s="826" t="s">
        <v>3618</v>
      </c>
      <c r="D424" s="826"/>
      <c r="E424" s="990" t="s">
        <v>2277</v>
      </c>
      <c r="F424" s="990" t="s">
        <v>2278</v>
      </c>
      <c r="G424" s="827">
        <v>7502.0420000000004</v>
      </c>
      <c r="H424" s="825" t="s">
        <v>172</v>
      </c>
      <c r="I424" s="972">
        <v>45251.006944444445</v>
      </c>
      <c r="J424" s="991" t="s">
        <v>192</v>
      </c>
      <c r="K424" s="1001" t="s">
        <v>192</v>
      </c>
      <c r="L424" s="1489"/>
      <c r="M424" s="1499"/>
      <c r="N424" s="831"/>
      <c r="O424" s="974" t="s">
        <v>873</v>
      </c>
      <c r="P424" s="974" t="s">
        <v>873</v>
      </c>
      <c r="Q424" s="974" t="s">
        <v>873</v>
      </c>
    </row>
    <row r="425" spans="1:19" s="824" customFormat="1" ht="13.5" hidden="1" customHeight="1" outlineLevel="1">
      <c r="A425" s="830"/>
      <c r="B425" s="825">
        <v>3</v>
      </c>
      <c r="C425" s="826" t="s">
        <v>3630</v>
      </c>
      <c r="D425" s="826"/>
      <c r="E425" s="990" t="s">
        <v>1626</v>
      </c>
      <c r="F425" s="990" t="s">
        <v>2654</v>
      </c>
      <c r="G425" s="827">
        <v>5213.12</v>
      </c>
      <c r="H425" s="825" t="s">
        <v>183</v>
      </c>
      <c r="I425" s="972">
        <v>45249.9375</v>
      </c>
      <c r="J425" s="991" t="s">
        <v>192</v>
      </c>
      <c r="K425" s="1001" t="s">
        <v>192</v>
      </c>
      <c r="L425" s="1489"/>
      <c r="M425" s="1499"/>
      <c r="N425" s="831"/>
      <c r="O425" s="974" t="s">
        <v>873</v>
      </c>
      <c r="P425" s="974" t="s">
        <v>873</v>
      </c>
      <c r="Q425" s="974" t="s">
        <v>873</v>
      </c>
    </row>
    <row r="426" spans="1:19" s="824" customFormat="1" ht="13.5" hidden="1" customHeight="1" outlineLevel="1">
      <c r="A426" s="830"/>
      <c r="B426" s="825">
        <v>4</v>
      </c>
      <c r="C426" s="826" t="s">
        <v>3610</v>
      </c>
      <c r="D426" s="826"/>
      <c r="E426" s="990" t="s">
        <v>277</v>
      </c>
      <c r="F426" s="990" t="s">
        <v>278</v>
      </c>
      <c r="G426" s="827">
        <v>7507.4719999999998</v>
      </c>
      <c r="H426" s="825" t="s">
        <v>2747</v>
      </c>
      <c r="I426" s="972">
        <v>45247.333333333336</v>
      </c>
      <c r="J426" s="991" t="s">
        <v>192</v>
      </c>
      <c r="K426" s="1001" t="s">
        <v>192</v>
      </c>
      <c r="L426" s="1489"/>
      <c r="M426" s="1499"/>
      <c r="N426" s="831"/>
      <c r="O426" s="974" t="s">
        <v>873</v>
      </c>
      <c r="P426" s="974" t="s">
        <v>873</v>
      </c>
      <c r="Q426" s="974" t="s">
        <v>873</v>
      </c>
    </row>
    <row r="427" spans="1:19" s="824" customFormat="1" ht="13.5" hidden="1" customHeight="1" outlineLevel="1">
      <c r="A427" s="830"/>
      <c r="B427" s="825">
        <v>5</v>
      </c>
      <c r="C427" s="826" t="s">
        <v>3631</v>
      </c>
      <c r="D427" s="826"/>
      <c r="E427" s="990" t="s">
        <v>3632</v>
      </c>
      <c r="F427" s="990" t="s">
        <v>1618</v>
      </c>
      <c r="G427" s="827">
        <v>5209.9269999999997</v>
      </c>
      <c r="H427" s="825" t="s">
        <v>183</v>
      </c>
      <c r="I427" s="972">
        <v>45249.472222222219</v>
      </c>
      <c r="J427" s="991" t="s">
        <v>192</v>
      </c>
      <c r="K427" s="1001" t="s">
        <v>192</v>
      </c>
      <c r="L427" s="1489"/>
      <c r="M427" s="1499"/>
      <c r="N427" s="831"/>
      <c r="O427" s="974" t="s">
        <v>873</v>
      </c>
      <c r="P427" s="974" t="s">
        <v>873</v>
      </c>
      <c r="Q427" s="974" t="s">
        <v>873</v>
      </c>
    </row>
    <row r="428" spans="1:19" s="773" customFormat="1" ht="13.5" hidden="1" customHeight="1" outlineLevel="1">
      <c r="A428" s="770"/>
      <c r="B428" s="825">
        <v>6</v>
      </c>
      <c r="C428" s="826" t="s">
        <v>3633</v>
      </c>
      <c r="D428" s="826"/>
      <c r="E428" s="990" t="s">
        <v>793</v>
      </c>
      <c r="F428" s="990" t="s">
        <v>794</v>
      </c>
      <c r="G428" s="827">
        <v>5205.5889999999999</v>
      </c>
      <c r="H428" s="825" t="s">
        <v>183</v>
      </c>
      <c r="I428" s="972">
        <v>45254.760416666664</v>
      </c>
      <c r="J428" s="991" t="s">
        <v>192</v>
      </c>
      <c r="K428" s="1001" t="s">
        <v>192</v>
      </c>
      <c r="L428" s="1489"/>
      <c r="M428" s="1499"/>
      <c r="N428" s="772"/>
      <c r="O428" s="955" t="s">
        <v>873</v>
      </c>
      <c r="P428" s="955" t="s">
        <v>873</v>
      </c>
      <c r="Q428" s="955" t="s">
        <v>873</v>
      </c>
    </row>
    <row r="429" spans="1:19" s="773" customFormat="1" ht="13.5" hidden="1" customHeight="1" outlineLevel="1">
      <c r="A429" s="770"/>
      <c r="B429" s="825">
        <v>7</v>
      </c>
      <c r="C429" s="826" t="s">
        <v>3472</v>
      </c>
      <c r="D429" s="826"/>
      <c r="E429" s="990" t="s">
        <v>1753</v>
      </c>
      <c r="F429" s="990" t="s">
        <v>1754</v>
      </c>
      <c r="G429" s="827">
        <v>5009.2910000000002</v>
      </c>
      <c r="H429" s="825" t="s">
        <v>88</v>
      </c>
      <c r="I429" s="972">
        <v>45251.083333333336</v>
      </c>
      <c r="J429" s="991" t="s">
        <v>192</v>
      </c>
      <c r="K429" s="1001" t="s">
        <v>192</v>
      </c>
      <c r="L429" s="1489"/>
      <c r="M429" s="1500"/>
      <c r="N429" s="772"/>
      <c r="O429" s="955" t="s">
        <v>873</v>
      </c>
      <c r="P429" s="955" t="s">
        <v>873</v>
      </c>
      <c r="Q429" s="955" t="s">
        <v>873</v>
      </c>
    </row>
    <row r="430" spans="1:19" s="773" customFormat="1" ht="4.5" hidden="1" customHeight="1" outlineLevel="1">
      <c r="A430" s="770"/>
      <c r="B430" s="776"/>
      <c r="C430" s="774"/>
      <c r="D430" s="774"/>
      <c r="E430" s="774"/>
      <c r="F430" s="774"/>
      <c r="G430" s="775"/>
      <c r="H430" s="776"/>
      <c r="I430" s="925"/>
      <c r="J430" s="926"/>
      <c r="K430" s="1004"/>
      <c r="L430" s="1010"/>
      <c r="M430" s="1010"/>
      <c r="N430" s="772"/>
      <c r="O430" s="928"/>
      <c r="P430" s="928"/>
      <c r="Q430" s="928"/>
    </row>
    <row r="431" spans="1:19" s="773" customFormat="1" ht="13.5" hidden="1" customHeight="1" outlineLevel="1">
      <c r="A431" s="770"/>
      <c r="B431" s="825">
        <v>1</v>
      </c>
      <c r="C431" s="826" t="s">
        <v>3620</v>
      </c>
      <c r="D431" s="826"/>
      <c r="E431" s="990" t="s">
        <v>805</v>
      </c>
      <c r="F431" s="990" t="s">
        <v>381</v>
      </c>
      <c r="G431" s="827">
        <v>7502.1279999999997</v>
      </c>
      <c r="H431" s="825" t="s">
        <v>172</v>
      </c>
      <c r="I431" s="972">
        <v>45255.270833333336</v>
      </c>
      <c r="J431" s="991" t="s">
        <v>192</v>
      </c>
      <c r="K431" s="1001" t="s">
        <v>192</v>
      </c>
      <c r="L431" s="1489" t="s">
        <v>1445</v>
      </c>
      <c r="M431" s="1489" t="s">
        <v>4558</v>
      </c>
      <c r="N431" s="772"/>
      <c r="O431" s="955" t="s">
        <v>873</v>
      </c>
      <c r="P431" s="955" t="s">
        <v>873</v>
      </c>
      <c r="Q431" s="955" t="s">
        <v>873</v>
      </c>
      <c r="S431" s="959">
        <v>45258.270833333336</v>
      </c>
    </row>
    <row r="432" spans="1:19" s="824" customFormat="1" ht="13.5" hidden="1" customHeight="1" outlineLevel="1">
      <c r="A432" s="830"/>
      <c r="B432" s="825">
        <v>2</v>
      </c>
      <c r="C432" s="826" t="s">
        <v>3607</v>
      </c>
      <c r="D432" s="826"/>
      <c r="E432" s="990" t="s">
        <v>1799</v>
      </c>
      <c r="F432" s="990" t="s">
        <v>2437</v>
      </c>
      <c r="G432" s="827">
        <v>7501</v>
      </c>
      <c r="H432" s="825" t="s">
        <v>84</v>
      </c>
      <c r="I432" s="972">
        <v>45255.909722222219</v>
      </c>
      <c r="J432" s="991" t="s">
        <v>192</v>
      </c>
      <c r="K432" s="1001" t="s">
        <v>192</v>
      </c>
      <c r="L432" s="1489"/>
      <c r="M432" s="1489"/>
      <c r="N432" s="831"/>
      <c r="O432" s="974" t="s">
        <v>873</v>
      </c>
      <c r="P432" s="974" t="s">
        <v>873</v>
      </c>
      <c r="Q432" s="974" t="s">
        <v>873</v>
      </c>
    </row>
    <row r="433" spans="1:22" s="773" customFormat="1" ht="13.5" hidden="1" customHeight="1" outlineLevel="1">
      <c r="B433" s="825">
        <v>3</v>
      </c>
      <c r="C433" s="826" t="s">
        <v>3636</v>
      </c>
      <c r="D433" s="826"/>
      <c r="E433" s="990" t="s">
        <v>3637</v>
      </c>
      <c r="F433" s="990" t="s">
        <v>3638</v>
      </c>
      <c r="G433" s="827">
        <v>7438.9070000000002</v>
      </c>
      <c r="H433" s="825" t="s">
        <v>183</v>
      </c>
      <c r="I433" s="972">
        <v>45258.829861111109</v>
      </c>
      <c r="J433" s="991" t="s">
        <v>192</v>
      </c>
      <c r="K433" s="1001" t="s">
        <v>192</v>
      </c>
      <c r="L433" s="1489"/>
      <c r="M433" s="1489"/>
      <c r="N433" s="772"/>
      <c r="O433" s="955" t="s">
        <v>873</v>
      </c>
      <c r="P433" s="955" t="s">
        <v>873</v>
      </c>
      <c r="Q433" s="955" t="s">
        <v>873</v>
      </c>
    </row>
    <row r="434" spans="1:22" s="773" customFormat="1" ht="4.5" hidden="1" customHeight="1" outlineLevel="1">
      <c r="A434" s="770"/>
      <c r="B434" s="776"/>
      <c r="C434" s="774"/>
      <c r="D434" s="774"/>
      <c r="E434" s="774"/>
      <c r="F434" s="774"/>
      <c r="G434" s="775"/>
      <c r="H434" s="776"/>
      <c r="I434" s="925"/>
      <c r="J434" s="926"/>
      <c r="K434" s="1017"/>
      <c r="L434" s="1010"/>
      <c r="M434" s="1010"/>
      <c r="N434" s="772"/>
      <c r="O434" s="928"/>
      <c r="P434" s="928"/>
      <c r="Q434" s="928"/>
    </row>
    <row r="435" spans="1:22" s="773" customFormat="1" ht="13.5" hidden="1" customHeight="1" outlineLevel="1">
      <c r="A435" s="929" t="s">
        <v>4559</v>
      </c>
      <c r="B435" s="825">
        <v>1</v>
      </c>
      <c r="C435" s="826" t="s">
        <v>3647</v>
      </c>
      <c r="D435" s="826"/>
      <c r="E435" s="990" t="s">
        <v>1367</v>
      </c>
      <c r="F435" s="990" t="s">
        <v>1939</v>
      </c>
      <c r="G435" s="827">
        <v>7952.5609999999997</v>
      </c>
      <c r="H435" s="825" t="s">
        <v>184</v>
      </c>
      <c r="I435" s="972">
        <v>45256.572916666664</v>
      </c>
      <c r="J435" s="991" t="s">
        <v>192</v>
      </c>
      <c r="K435" s="1001" t="s">
        <v>192</v>
      </c>
      <c r="L435" s="1489" t="s">
        <v>4560</v>
      </c>
      <c r="M435" s="1489" t="s">
        <v>4561</v>
      </c>
      <c r="N435" s="772"/>
      <c r="O435" s="955" t="s">
        <v>873</v>
      </c>
      <c r="P435" s="955" t="s">
        <v>873</v>
      </c>
      <c r="Q435" s="955" t="s">
        <v>873</v>
      </c>
      <c r="S435" s="959">
        <v>45264.004166666666</v>
      </c>
    </row>
    <row r="436" spans="1:22" s="773" customFormat="1" ht="13.5" hidden="1" customHeight="1" outlineLevel="1">
      <c r="A436" s="770"/>
      <c r="B436" s="825">
        <v>2</v>
      </c>
      <c r="C436" s="826" t="s">
        <v>3570</v>
      </c>
      <c r="D436" s="826"/>
      <c r="E436" s="990" t="s">
        <v>213</v>
      </c>
      <c r="F436" s="990" t="s">
        <v>214</v>
      </c>
      <c r="G436" s="827">
        <v>7524.9880000000003</v>
      </c>
      <c r="H436" s="825" t="s">
        <v>235</v>
      </c>
      <c r="I436" s="972">
        <v>45259.40625</v>
      </c>
      <c r="J436" s="991" t="s">
        <v>192</v>
      </c>
      <c r="K436" s="1048" t="s">
        <v>192</v>
      </c>
      <c r="L436" s="1489"/>
      <c r="M436" s="1489"/>
      <c r="N436" s="772"/>
      <c r="O436" s="955" t="s">
        <v>873</v>
      </c>
      <c r="P436" s="955" t="s">
        <v>873</v>
      </c>
      <c r="Q436" s="955" t="s">
        <v>873</v>
      </c>
    </row>
    <row r="437" spans="1:22" s="773" customFormat="1" ht="13.5" hidden="1" customHeight="1" outlineLevel="1">
      <c r="A437" s="770"/>
      <c r="B437" s="825">
        <v>3</v>
      </c>
      <c r="C437" s="826" t="s">
        <v>3379</v>
      </c>
      <c r="D437" s="826"/>
      <c r="E437" s="990" t="s">
        <v>260</v>
      </c>
      <c r="F437" s="990" t="s">
        <v>261</v>
      </c>
      <c r="G437" s="827">
        <v>7747.35</v>
      </c>
      <c r="H437" s="825" t="s">
        <v>235</v>
      </c>
      <c r="I437" s="972">
        <v>45260.041666666664</v>
      </c>
      <c r="J437" s="991" t="s">
        <v>192</v>
      </c>
      <c r="K437" s="1048" t="s">
        <v>192</v>
      </c>
      <c r="L437" s="1489"/>
      <c r="M437" s="1489"/>
      <c r="N437" s="772"/>
      <c r="O437" s="955" t="s">
        <v>873</v>
      </c>
      <c r="P437" s="955" t="s">
        <v>873</v>
      </c>
      <c r="Q437" s="955" t="s">
        <v>873</v>
      </c>
    </row>
    <row r="438" spans="1:22" s="773" customFormat="1" ht="13.5" hidden="1" customHeight="1" outlineLevel="1">
      <c r="A438" s="770"/>
      <c r="B438" s="825">
        <v>4</v>
      </c>
      <c r="C438" s="826" t="s">
        <v>3640</v>
      </c>
      <c r="D438" s="826"/>
      <c r="E438" s="990" t="s">
        <v>3641</v>
      </c>
      <c r="F438" s="990" t="s">
        <v>1929</v>
      </c>
      <c r="G438" s="827">
        <v>5200.6949999999997</v>
      </c>
      <c r="H438" s="825" t="s">
        <v>183</v>
      </c>
      <c r="I438" s="1046">
        <v>45264.583333333336</v>
      </c>
      <c r="J438" s="1049" t="s">
        <v>192</v>
      </c>
      <c r="K438" s="1048" t="s">
        <v>192</v>
      </c>
      <c r="L438" s="1489"/>
      <c r="M438" s="1489"/>
      <c r="N438" s="772"/>
      <c r="O438" s="955" t="s">
        <v>873</v>
      </c>
      <c r="P438" s="955" t="s">
        <v>873</v>
      </c>
      <c r="Q438" s="955" t="s">
        <v>873</v>
      </c>
    </row>
    <row r="439" spans="1:22" s="773" customFormat="1" ht="4.5" hidden="1" customHeight="1" outlineLevel="1">
      <c r="A439" s="770"/>
      <c r="B439" s="776"/>
      <c r="C439" s="774"/>
      <c r="D439" s="774"/>
      <c r="E439" s="774"/>
      <c r="F439" s="774"/>
      <c r="G439" s="775"/>
      <c r="H439" s="776"/>
      <c r="I439" s="925"/>
      <c r="J439" s="926"/>
      <c r="K439" s="1018"/>
      <c r="L439" s="1019"/>
      <c r="M439" s="1010"/>
      <c r="N439" s="772"/>
      <c r="O439" s="928"/>
      <c r="P439" s="928"/>
      <c r="Q439" s="928"/>
    </row>
    <row r="440" spans="1:22" s="779" customFormat="1" ht="13.5" hidden="1" customHeight="1" outlineLevel="1">
      <c r="A440" s="790"/>
      <c r="B440" s="1015">
        <v>1</v>
      </c>
      <c r="C440" s="1012" t="s">
        <v>3623</v>
      </c>
      <c r="D440" s="1012"/>
      <c r="E440" s="1013" t="s">
        <v>3403</v>
      </c>
      <c r="F440" s="1013" t="s">
        <v>255</v>
      </c>
      <c r="G440" s="1014">
        <v>7320.7219999999998</v>
      </c>
      <c r="H440" s="1015" t="s">
        <v>172</v>
      </c>
      <c r="I440" s="1046">
        <v>45261.104166666664</v>
      </c>
      <c r="J440" s="991" t="s">
        <v>192</v>
      </c>
      <c r="K440" s="1048" t="s">
        <v>192</v>
      </c>
      <c r="L440" s="1490" t="s">
        <v>4562</v>
      </c>
      <c r="M440" s="1491" t="s">
        <v>4563</v>
      </c>
      <c r="N440" s="812"/>
      <c r="S440" s="959">
        <v>45265.666666666664</v>
      </c>
    </row>
    <row r="441" spans="1:22" s="779" customFormat="1" ht="13.5" hidden="1" customHeight="1" outlineLevel="1">
      <c r="A441" s="790"/>
      <c r="B441" s="1055">
        <v>2</v>
      </c>
      <c r="C441" s="1056" t="s">
        <v>3588</v>
      </c>
      <c r="D441" s="1056"/>
      <c r="E441" s="1056" t="s">
        <v>453</v>
      </c>
      <c r="F441" s="1056" t="s">
        <v>454</v>
      </c>
      <c r="G441" s="1014">
        <v>7769.88</v>
      </c>
      <c r="H441" s="1055" t="s">
        <v>913</v>
      </c>
      <c r="I441" s="1046">
        <v>45261.25</v>
      </c>
      <c r="J441" s="991" t="s">
        <v>192</v>
      </c>
      <c r="K441" s="1048" t="s">
        <v>192</v>
      </c>
      <c r="L441" s="1491"/>
      <c r="M441" s="1491"/>
      <c r="N441" s="812"/>
    </row>
    <row r="442" spans="1:22" s="779" customFormat="1" ht="13.5" hidden="1" customHeight="1" outlineLevel="1">
      <c r="A442" s="790"/>
      <c r="B442" s="1055">
        <v>3</v>
      </c>
      <c r="C442" s="1011" t="s">
        <v>3592</v>
      </c>
      <c r="D442" s="1056"/>
      <c r="E442" s="1056" t="s">
        <v>277</v>
      </c>
      <c r="F442" s="1056" t="s">
        <v>278</v>
      </c>
      <c r="G442" s="1014">
        <v>7557.1750000000002</v>
      </c>
      <c r="H442" s="1055" t="s">
        <v>173</v>
      </c>
      <c r="I442" s="1046">
        <v>45265.121527777781</v>
      </c>
      <c r="J442" s="991" t="s">
        <v>192</v>
      </c>
      <c r="K442" s="1048" t="s">
        <v>192</v>
      </c>
      <c r="L442" s="1492"/>
      <c r="M442" s="1492"/>
      <c r="N442" s="812"/>
    </row>
    <row r="443" spans="1:22" s="773" customFormat="1" ht="4.5" hidden="1" customHeight="1" outlineLevel="1">
      <c r="A443" s="770"/>
      <c r="B443" s="911"/>
      <c r="C443" s="909"/>
      <c r="D443" s="909"/>
      <c r="E443" s="909"/>
      <c r="F443" s="909"/>
      <c r="G443" s="910"/>
      <c r="H443" s="911"/>
      <c r="I443" s="1023"/>
      <c r="J443" s="1009"/>
      <c r="K443" s="1009"/>
      <c r="L443" s="1009"/>
      <c r="M443" s="1009"/>
      <c r="N443" s="772"/>
      <c r="O443" s="928"/>
      <c r="P443" s="928"/>
      <c r="Q443" s="928"/>
    </row>
    <row r="444" spans="1:22" s="773" customFormat="1" ht="14.25" hidden="1" customHeight="1" outlineLevel="1">
      <c r="A444" s="770"/>
      <c r="B444" s="825">
        <v>1</v>
      </c>
      <c r="C444" s="826" t="s">
        <v>3649</v>
      </c>
      <c r="D444" s="826"/>
      <c r="E444" s="990" t="s">
        <v>3650</v>
      </c>
      <c r="F444" s="990" t="s">
        <v>821</v>
      </c>
      <c r="G444" s="827">
        <v>7504.6049999999996</v>
      </c>
      <c r="H444" s="825" t="s">
        <v>184</v>
      </c>
      <c r="I444" s="972">
        <v>45257.333333333336</v>
      </c>
      <c r="J444" s="991" t="s">
        <v>192</v>
      </c>
      <c r="K444" s="1048" t="s">
        <v>192</v>
      </c>
      <c r="L444" s="1494" t="s">
        <v>4564</v>
      </c>
      <c r="M444" s="1496" t="s">
        <v>4565</v>
      </c>
      <c r="N444" s="772"/>
      <c r="O444" s="955" t="s">
        <v>873</v>
      </c>
      <c r="P444" s="955" t="s">
        <v>873</v>
      </c>
      <c r="Q444" s="955" t="s">
        <v>873</v>
      </c>
      <c r="S444" s="1060">
        <v>45268.3125</v>
      </c>
    </row>
    <row r="445" spans="1:22" s="773" customFormat="1" ht="14.25" hidden="1" customHeight="1" outlineLevel="1">
      <c r="A445" s="770"/>
      <c r="B445" s="825">
        <v>2</v>
      </c>
      <c r="C445" s="826" t="s">
        <v>3889</v>
      </c>
      <c r="D445" s="826"/>
      <c r="E445" s="990" t="s">
        <v>70</v>
      </c>
      <c r="F445" s="990" t="s">
        <v>1982</v>
      </c>
      <c r="G445" s="827">
        <v>7596.7870000000003</v>
      </c>
      <c r="H445" s="825" t="s">
        <v>835</v>
      </c>
      <c r="I445" s="1046">
        <v>45269.378472222219</v>
      </c>
      <c r="J445" s="1049" t="s">
        <v>192</v>
      </c>
      <c r="K445" s="1049" t="s">
        <v>192</v>
      </c>
      <c r="L445" s="1495"/>
      <c r="M445" s="1497"/>
      <c r="N445" s="772"/>
      <c r="O445" s="955" t="s">
        <v>873</v>
      </c>
      <c r="P445" s="955" t="s">
        <v>873</v>
      </c>
      <c r="Q445" s="955" t="s">
        <v>873</v>
      </c>
    </row>
    <row r="446" spans="1:22" s="773" customFormat="1" ht="14.25" hidden="1" customHeight="1" outlineLevel="1">
      <c r="A446" s="770"/>
      <c r="B446" s="825">
        <v>3</v>
      </c>
      <c r="C446" s="826" t="s">
        <v>3850</v>
      </c>
      <c r="D446" s="826"/>
      <c r="E446" s="990" t="s">
        <v>383</v>
      </c>
      <c r="F446" s="990" t="s">
        <v>384</v>
      </c>
      <c r="G446" s="1014">
        <v>5365.9970000000003</v>
      </c>
      <c r="H446" s="825" t="s">
        <v>182</v>
      </c>
      <c r="I446" s="1046">
        <v>45268.506944444445</v>
      </c>
      <c r="J446" s="1049" t="s">
        <v>192</v>
      </c>
      <c r="K446" s="1049" t="s">
        <v>192</v>
      </c>
      <c r="L446" s="1495"/>
      <c r="M446" s="1497"/>
      <c r="N446" s="772"/>
      <c r="O446" s="955" t="s">
        <v>873</v>
      </c>
      <c r="P446" s="955" t="s">
        <v>873</v>
      </c>
      <c r="Q446" s="955" t="s">
        <v>873</v>
      </c>
    </row>
    <row r="447" spans="1:22" s="773" customFormat="1" ht="4.5" hidden="1" customHeight="1" outlineLevel="1">
      <c r="A447" s="770"/>
      <c r="B447" s="776"/>
      <c r="C447" s="774"/>
      <c r="D447" s="774"/>
      <c r="E447" s="774"/>
      <c r="F447" s="774"/>
      <c r="G447" s="775"/>
      <c r="H447" s="776"/>
      <c r="I447" s="925"/>
      <c r="J447" s="926"/>
      <c r="K447" s="1017"/>
      <c r="L447" s="1019"/>
      <c r="M447" s="1019"/>
      <c r="N447" s="772"/>
      <c r="O447" s="928"/>
      <c r="P447" s="928"/>
      <c r="Q447" s="928"/>
    </row>
    <row r="448" spans="1:22" s="773" customFormat="1" ht="13.5" hidden="1" customHeight="1" outlineLevel="1">
      <c r="A448" s="770"/>
      <c r="B448" s="1055">
        <v>1</v>
      </c>
      <c r="C448" s="1012" t="s">
        <v>3639</v>
      </c>
      <c r="D448" s="1012"/>
      <c r="E448" s="1013" t="s">
        <v>2800</v>
      </c>
      <c r="F448" s="1013" t="s">
        <v>2801</v>
      </c>
      <c r="G448" s="1014">
        <v>5285.7830000000004</v>
      </c>
      <c r="H448" s="1015" t="s">
        <v>183</v>
      </c>
      <c r="I448" s="1046">
        <v>45258.027777777781</v>
      </c>
      <c r="J448" s="991" t="s">
        <v>192</v>
      </c>
      <c r="K448" s="991" t="s">
        <v>192</v>
      </c>
      <c r="L448" s="1490" t="s">
        <v>3033</v>
      </c>
      <c r="M448" s="1490" t="s">
        <v>3185</v>
      </c>
      <c r="N448" s="772"/>
      <c r="O448" s="955" t="s">
        <v>873</v>
      </c>
      <c r="P448" s="955" t="s">
        <v>873</v>
      </c>
      <c r="Q448" s="955" t="s">
        <v>873</v>
      </c>
      <c r="S448" s="959">
        <v>45267.787499999999</v>
      </c>
      <c r="U448" s="824" t="s">
        <v>183</v>
      </c>
      <c r="V448" s="1003">
        <f>G448+G451+G454+G455</f>
        <v>20797.686999999998</v>
      </c>
    </row>
    <row r="449" spans="1:22" s="773" customFormat="1" ht="13.5" hidden="1" customHeight="1" outlineLevel="1">
      <c r="A449" s="770"/>
      <c r="B449" s="1055">
        <v>2</v>
      </c>
      <c r="C449" s="1012" t="s">
        <v>3656</v>
      </c>
      <c r="D449" s="1012"/>
      <c r="E449" s="1013" t="s">
        <v>437</v>
      </c>
      <c r="F449" s="1013" t="s">
        <v>320</v>
      </c>
      <c r="G449" s="827">
        <v>7504.3379999999997</v>
      </c>
      <c r="H449" s="1015" t="s">
        <v>184</v>
      </c>
      <c r="I449" s="1046">
        <v>45261.5625</v>
      </c>
      <c r="J449" s="991" t="s">
        <v>192</v>
      </c>
      <c r="K449" s="991" t="s">
        <v>192</v>
      </c>
      <c r="L449" s="1491"/>
      <c r="M449" s="1491"/>
      <c r="N449" s="772"/>
      <c r="O449" s="955" t="s">
        <v>873</v>
      </c>
      <c r="P449" s="955" t="s">
        <v>873</v>
      </c>
      <c r="Q449" s="955" t="s">
        <v>873</v>
      </c>
      <c r="U449" s="824" t="s">
        <v>184</v>
      </c>
      <c r="V449" s="1003">
        <f>G449+G450</f>
        <v>15006.350999999999</v>
      </c>
    </row>
    <row r="450" spans="1:22" s="773" customFormat="1" ht="13.5" hidden="1" customHeight="1" outlineLevel="1">
      <c r="A450" s="770"/>
      <c r="B450" s="1015">
        <v>3</v>
      </c>
      <c r="C450" s="1064" t="s">
        <v>3657</v>
      </c>
      <c r="D450" s="1064"/>
      <c r="E450" s="1065" t="s">
        <v>263</v>
      </c>
      <c r="F450" s="1065" t="s">
        <v>264</v>
      </c>
      <c r="G450" s="1066">
        <v>7502.0129999999999</v>
      </c>
      <c r="H450" s="1094" t="s">
        <v>184</v>
      </c>
      <c r="I450" s="1067">
        <v>45262.208333333336</v>
      </c>
      <c r="J450" s="1049" t="s">
        <v>192</v>
      </c>
      <c r="K450" s="1049" t="s">
        <v>192</v>
      </c>
      <c r="L450" s="1491"/>
      <c r="M450" s="1491"/>
      <c r="N450" s="772"/>
      <c r="O450" s="955" t="s">
        <v>873</v>
      </c>
      <c r="P450" s="955" t="s">
        <v>873</v>
      </c>
      <c r="Q450" s="955" t="s">
        <v>873</v>
      </c>
      <c r="U450" s="824" t="s">
        <v>173</v>
      </c>
      <c r="V450" s="1003">
        <f>G453</f>
        <v>7552.942</v>
      </c>
    </row>
    <row r="451" spans="1:22" s="779" customFormat="1" ht="13.5" hidden="1" customHeight="1" outlineLevel="1">
      <c r="A451" s="790"/>
      <c r="B451" s="1015">
        <v>4</v>
      </c>
      <c r="C451" s="826" t="s">
        <v>4566</v>
      </c>
      <c r="D451" s="1068"/>
      <c r="E451" s="1013" t="s">
        <v>2168</v>
      </c>
      <c r="F451" s="1013" t="s">
        <v>817</v>
      </c>
      <c r="G451" s="1069">
        <v>5205.1409999999996</v>
      </c>
      <c r="H451" s="1015" t="s">
        <v>183</v>
      </c>
      <c r="I451" s="1067">
        <v>45265.708333333336</v>
      </c>
      <c r="J451" s="1049" t="s">
        <v>192</v>
      </c>
      <c r="K451" s="1049" t="s">
        <v>192</v>
      </c>
      <c r="L451" s="1491"/>
      <c r="M451" s="1491"/>
      <c r="N451" s="812"/>
      <c r="U451" s="824" t="s">
        <v>172</v>
      </c>
      <c r="V451" s="1003">
        <f>G452</f>
        <v>7550.0079999999998</v>
      </c>
    </row>
    <row r="452" spans="1:22" s="779" customFormat="1" ht="13.5" hidden="1" customHeight="1" outlineLevel="1">
      <c r="A452" s="790"/>
      <c r="B452" s="1015">
        <v>5</v>
      </c>
      <c r="C452" s="826" t="s">
        <v>3854</v>
      </c>
      <c r="D452" s="1068"/>
      <c r="E452" s="1056" t="s">
        <v>805</v>
      </c>
      <c r="F452" s="1070" t="s">
        <v>381</v>
      </c>
      <c r="G452" s="827">
        <v>7550.0079999999998</v>
      </c>
      <c r="H452" s="1095" t="s">
        <v>172</v>
      </c>
      <c r="I452" s="1046">
        <v>45268.298611111109</v>
      </c>
      <c r="J452" s="1049" t="s">
        <v>192</v>
      </c>
      <c r="K452" s="1049" t="s">
        <v>192</v>
      </c>
      <c r="L452" s="1491"/>
      <c r="M452" s="1491"/>
      <c r="N452" s="812"/>
    </row>
    <row r="453" spans="1:22" s="779" customFormat="1" ht="13.5" hidden="1" customHeight="1" outlineLevel="1">
      <c r="A453" s="790"/>
      <c r="B453" s="1055">
        <v>6</v>
      </c>
      <c r="C453" s="826" t="s">
        <v>3822</v>
      </c>
      <c r="D453" s="1068"/>
      <c r="E453" s="1056" t="s">
        <v>238</v>
      </c>
      <c r="F453" s="1070" t="s">
        <v>239</v>
      </c>
      <c r="G453" s="1069">
        <v>7552.942</v>
      </c>
      <c r="H453" s="1095" t="s">
        <v>173</v>
      </c>
      <c r="I453" s="1046">
        <v>45268.486111111109</v>
      </c>
      <c r="J453" s="1049" t="s">
        <v>192</v>
      </c>
      <c r="K453" s="1049" t="s">
        <v>192</v>
      </c>
      <c r="L453" s="1491"/>
      <c r="M453" s="1491"/>
      <c r="N453" s="812"/>
    </row>
    <row r="454" spans="1:22" s="779" customFormat="1" ht="13.5" hidden="1" customHeight="1" outlineLevel="1">
      <c r="A454" s="790"/>
      <c r="B454" s="1055">
        <v>7</v>
      </c>
      <c r="C454" s="826" t="s">
        <v>3863</v>
      </c>
      <c r="D454" s="1068"/>
      <c r="E454" s="1056" t="s">
        <v>3864</v>
      </c>
      <c r="F454" s="1070" t="s">
        <v>3865</v>
      </c>
      <c r="G454" s="1069">
        <v>5105.2960000000003</v>
      </c>
      <c r="H454" s="1015" t="s">
        <v>183</v>
      </c>
      <c r="I454" s="1046">
        <v>45268.510416666664</v>
      </c>
      <c r="J454" s="1049" t="s">
        <v>192</v>
      </c>
      <c r="K454" s="1049" t="s">
        <v>192</v>
      </c>
      <c r="L454" s="1491"/>
      <c r="M454" s="1491"/>
      <c r="N454" s="812"/>
    </row>
    <row r="455" spans="1:22" s="824" customFormat="1" ht="13.5" hidden="1" customHeight="1" outlineLevel="1">
      <c r="A455" s="830"/>
      <c r="B455" s="1055">
        <v>8</v>
      </c>
      <c r="C455" s="826" t="s">
        <v>3867</v>
      </c>
      <c r="D455" s="1068"/>
      <c r="E455" s="1013" t="s">
        <v>3632</v>
      </c>
      <c r="F455" s="1013" t="s">
        <v>1618</v>
      </c>
      <c r="G455" s="1069">
        <v>5201.4669999999996</v>
      </c>
      <c r="H455" s="1095" t="s">
        <v>183</v>
      </c>
      <c r="I455" s="1046">
        <v>45271.059027777781</v>
      </c>
      <c r="J455" s="1049" t="s">
        <v>192</v>
      </c>
      <c r="K455" s="1049" t="s">
        <v>192</v>
      </c>
      <c r="L455" s="1492"/>
      <c r="M455" s="1492"/>
      <c r="N455" s="831"/>
    </row>
    <row r="456" spans="1:22" s="773" customFormat="1" ht="4.5" hidden="1" customHeight="1" outlineLevel="1">
      <c r="A456" s="770"/>
      <c r="B456" s="885"/>
      <c r="C456" s="883"/>
      <c r="D456" s="883"/>
      <c r="E456" s="1034"/>
      <c r="F456" s="1034"/>
      <c r="G456" s="1035"/>
      <c r="H456" s="1036"/>
      <c r="I456" s="1037"/>
      <c r="J456" s="984"/>
      <c r="K456" s="1038"/>
      <c r="L456" s="1010"/>
      <c r="M456" s="1010"/>
      <c r="N456" s="772"/>
      <c r="O456" s="928"/>
      <c r="P456" s="928"/>
      <c r="Q456" s="928"/>
    </row>
    <row r="457" spans="1:22" s="773" customFormat="1" ht="13.5" hidden="1" customHeight="1" outlineLevel="1">
      <c r="A457" s="770"/>
      <c r="B457" s="1055">
        <v>1</v>
      </c>
      <c r="C457" s="1012" t="s">
        <v>3652</v>
      </c>
      <c r="D457" s="1012"/>
      <c r="E457" s="1013" t="s">
        <v>3653</v>
      </c>
      <c r="F457" s="1013" t="s">
        <v>3654</v>
      </c>
      <c r="G457" s="1014">
        <v>8014.8710000000001</v>
      </c>
      <c r="H457" s="1015" t="s">
        <v>184</v>
      </c>
      <c r="I457" s="1046">
        <v>45261.024305555555</v>
      </c>
      <c r="J457" s="1001" t="s">
        <v>192</v>
      </c>
      <c r="K457" s="1076" t="s">
        <v>192</v>
      </c>
      <c r="L457" s="1493" t="s">
        <v>1493</v>
      </c>
      <c r="M457" s="1488" t="s">
        <v>4536</v>
      </c>
      <c r="N457" s="772"/>
      <c r="O457" s="955" t="s">
        <v>873</v>
      </c>
      <c r="P457" s="955" t="s">
        <v>873</v>
      </c>
      <c r="Q457" s="955" t="s">
        <v>873</v>
      </c>
      <c r="S457" s="1060">
        <v>45270.833333333336</v>
      </c>
    </row>
    <row r="458" spans="1:22" s="779" customFormat="1" ht="13.5" hidden="1" customHeight="1" outlineLevel="1">
      <c r="A458" s="790"/>
      <c r="B458" s="1015">
        <v>2</v>
      </c>
      <c r="C458" s="826" t="s">
        <v>3827</v>
      </c>
      <c r="D458" s="1056"/>
      <c r="E458" s="1056" t="s">
        <v>292</v>
      </c>
      <c r="F458" s="1070" t="s">
        <v>268</v>
      </c>
      <c r="G458" s="1075">
        <v>7600.4309999999996</v>
      </c>
      <c r="H458" s="1055" t="s">
        <v>2896</v>
      </c>
      <c r="I458" s="1046">
        <v>45269.802083333336</v>
      </c>
      <c r="J458" s="1048" t="s">
        <v>192</v>
      </c>
      <c r="K458" s="1048" t="s">
        <v>192</v>
      </c>
      <c r="L458" s="1493"/>
      <c r="M458" s="1488"/>
      <c r="N458" s="812"/>
    </row>
    <row r="459" spans="1:22" s="779" customFormat="1" ht="13.5" hidden="1" customHeight="1" outlineLevel="1">
      <c r="A459" s="790"/>
      <c r="B459" s="1055">
        <v>3</v>
      </c>
      <c r="C459" s="826" t="s">
        <v>3855</v>
      </c>
      <c r="D459" s="1056"/>
      <c r="E459" s="1056" t="s">
        <v>1392</v>
      </c>
      <c r="F459" s="1068" t="s">
        <v>365</v>
      </c>
      <c r="G459" s="1014">
        <v>7536.7060000000001</v>
      </c>
      <c r="H459" s="1081" t="s">
        <v>172</v>
      </c>
      <c r="I459" s="1046">
        <v>45273.75</v>
      </c>
      <c r="J459" s="1048" t="s">
        <v>192</v>
      </c>
      <c r="K459" s="1048" t="s">
        <v>192</v>
      </c>
      <c r="L459" s="1493"/>
      <c r="M459" s="1488"/>
      <c r="N459" s="812"/>
    </row>
    <row r="460" spans="1:22" s="773" customFormat="1" ht="4.5" hidden="1" customHeight="1" outlineLevel="1">
      <c r="A460" s="770"/>
      <c r="B460" s="885"/>
      <c r="C460" s="883"/>
      <c r="D460" s="883"/>
      <c r="E460" s="883"/>
      <c r="F460" s="883"/>
      <c r="G460" s="884"/>
      <c r="H460" s="885"/>
      <c r="I460" s="1024"/>
      <c r="J460" s="977"/>
      <c r="K460" s="1017"/>
      <c r="L460" s="1006"/>
      <c r="M460" s="1006"/>
      <c r="N460" s="772"/>
      <c r="O460" s="928"/>
      <c r="P460" s="928"/>
      <c r="Q460" s="928"/>
    </row>
    <row r="461" spans="1:22" s="773" customFormat="1" ht="14.25" hidden="1" customHeight="1" outlineLevel="1">
      <c r="A461" s="770"/>
      <c r="B461" s="825">
        <v>1</v>
      </c>
      <c r="C461" s="826" t="s">
        <v>3842</v>
      </c>
      <c r="D461" s="826"/>
      <c r="E461" s="990" t="s">
        <v>3843</v>
      </c>
      <c r="F461" s="990" t="s">
        <v>3844</v>
      </c>
      <c r="G461" s="827">
        <v>7519.598</v>
      </c>
      <c r="H461" s="825" t="s">
        <v>181</v>
      </c>
      <c r="I461" s="1046">
        <v>45270.506944444445</v>
      </c>
      <c r="J461" s="1048" t="s">
        <v>192</v>
      </c>
      <c r="K461" s="1048" t="s">
        <v>192</v>
      </c>
      <c r="L461" s="1488" t="s">
        <v>1207</v>
      </c>
      <c r="M461" s="1488" t="s">
        <v>4567</v>
      </c>
      <c r="N461" s="772"/>
      <c r="O461" s="955" t="s">
        <v>873</v>
      </c>
      <c r="P461" s="955" t="s">
        <v>873</v>
      </c>
      <c r="Q461" s="955" t="s">
        <v>873</v>
      </c>
      <c r="S461" s="1060">
        <v>45278.5</v>
      </c>
    </row>
    <row r="462" spans="1:22" s="779" customFormat="1" ht="13.5" hidden="1" customHeight="1" outlineLevel="1">
      <c r="A462" s="790"/>
      <c r="B462" s="1015">
        <v>2</v>
      </c>
      <c r="C462" s="1012" t="s">
        <v>3829</v>
      </c>
      <c r="D462" s="1056"/>
      <c r="E462" s="1056" t="s">
        <v>277</v>
      </c>
      <c r="F462" s="1056" t="s">
        <v>278</v>
      </c>
      <c r="G462" s="827">
        <v>7613</v>
      </c>
      <c r="H462" s="1015" t="s">
        <v>2896</v>
      </c>
      <c r="I462" s="1046">
        <v>45278.190972222219</v>
      </c>
      <c r="J462" s="1048" t="s">
        <v>192</v>
      </c>
      <c r="K462" s="1048" t="s">
        <v>192</v>
      </c>
      <c r="L462" s="1488"/>
      <c r="M462" s="1488"/>
      <c r="N462" s="812"/>
    </row>
    <row r="463" spans="1:22" s="779" customFormat="1" ht="13.5" hidden="1" customHeight="1" outlineLevel="1">
      <c r="A463" s="790"/>
      <c r="B463" s="1055">
        <v>3</v>
      </c>
      <c r="C463" s="1012" t="s">
        <v>3780</v>
      </c>
      <c r="D463" s="1056"/>
      <c r="E463" s="1056" t="s">
        <v>1799</v>
      </c>
      <c r="F463" s="1056" t="s">
        <v>2437</v>
      </c>
      <c r="G463" s="827">
        <v>7570.5119999999997</v>
      </c>
      <c r="H463" s="1015" t="s">
        <v>235</v>
      </c>
      <c r="I463" s="1046">
        <v>45278.59375</v>
      </c>
      <c r="J463" s="1048" t="s">
        <v>192</v>
      </c>
      <c r="K463" s="1048" t="s">
        <v>192</v>
      </c>
      <c r="L463" s="1488"/>
      <c r="M463" s="1488"/>
      <c r="N463" s="812"/>
    </row>
    <row r="464" spans="1:22" s="773" customFormat="1" ht="4.5" hidden="1" customHeight="1" outlineLevel="1">
      <c r="A464" s="770"/>
      <c r="B464" s="911"/>
      <c r="C464" s="909"/>
      <c r="D464" s="909"/>
      <c r="E464" s="912"/>
      <c r="F464" s="912"/>
      <c r="G464" s="913"/>
      <c r="H464" s="1030"/>
      <c r="I464" s="1025"/>
      <c r="J464" s="1010"/>
      <c r="K464" s="1096"/>
      <c r="L464" s="1006"/>
      <c r="M464" s="1006"/>
      <c r="N464" s="772"/>
      <c r="O464" s="928"/>
      <c r="P464" s="928"/>
      <c r="Q464" s="928"/>
    </row>
    <row r="465" spans="1:22" s="779" customFormat="1" ht="13.5" hidden="1" customHeight="1" outlineLevel="1">
      <c r="A465" s="790"/>
      <c r="B465" s="1015">
        <v>1</v>
      </c>
      <c r="C465" s="1012" t="s">
        <v>3877</v>
      </c>
      <c r="D465" s="1056"/>
      <c r="E465" s="1056" t="s">
        <v>201</v>
      </c>
      <c r="F465" s="1070" t="s">
        <v>202</v>
      </c>
      <c r="G465" s="827">
        <v>7526.94</v>
      </c>
      <c r="H465" s="1055" t="s">
        <v>184</v>
      </c>
      <c r="I465" s="1046">
        <v>45269.270833333336</v>
      </c>
      <c r="J465" s="1048" t="s">
        <v>192</v>
      </c>
      <c r="K465" s="1048" t="s">
        <v>192</v>
      </c>
      <c r="L465" s="1123" t="s">
        <v>1481</v>
      </c>
      <c r="M465" s="1123" t="s">
        <v>3196</v>
      </c>
      <c r="N465" s="812"/>
      <c r="S465" s="1060">
        <v>45273.416666666664</v>
      </c>
      <c r="U465" s="779" t="s">
        <v>173</v>
      </c>
      <c r="V465" s="993">
        <f>G468</f>
        <v>7550.9620000000004</v>
      </c>
    </row>
    <row r="466" spans="1:22" s="779" customFormat="1" ht="13.5" hidden="1" customHeight="1" outlineLevel="1">
      <c r="A466" s="790"/>
      <c r="B466" s="1055">
        <v>2</v>
      </c>
      <c r="C466" s="1012" t="s">
        <v>3855</v>
      </c>
      <c r="D466" s="1056"/>
      <c r="E466" s="1056" t="s">
        <v>399</v>
      </c>
      <c r="F466" s="1070" t="s">
        <v>275</v>
      </c>
      <c r="G466" s="827">
        <v>7500.2460000000001</v>
      </c>
      <c r="H466" s="1095" t="s">
        <v>172</v>
      </c>
      <c r="I466" s="1046">
        <v>45271.958333333336</v>
      </c>
      <c r="J466" s="1048" t="s">
        <v>192</v>
      </c>
      <c r="K466" s="1048" t="s">
        <v>192</v>
      </c>
      <c r="L466" s="1123" t="s">
        <v>1481</v>
      </c>
      <c r="M466" s="1123" t="s">
        <v>3196</v>
      </c>
      <c r="N466" s="812"/>
      <c r="U466" s="779" t="s">
        <v>172</v>
      </c>
      <c r="V466" s="993">
        <f>G466+G470+G467</f>
        <v>22518.623</v>
      </c>
    </row>
    <row r="467" spans="1:22" s="779" customFormat="1" ht="13.5" hidden="1" customHeight="1" outlineLevel="1">
      <c r="A467" s="790"/>
      <c r="B467" s="1055">
        <v>3</v>
      </c>
      <c r="C467" s="1012" t="s">
        <v>3856</v>
      </c>
      <c r="D467" s="1056"/>
      <c r="E467" s="1056" t="s">
        <v>213</v>
      </c>
      <c r="F467" s="1070" t="s">
        <v>214</v>
      </c>
      <c r="G467" s="827">
        <v>7504.3419999999996</v>
      </c>
      <c r="H467" s="1095" t="s">
        <v>172</v>
      </c>
      <c r="I467" s="1046">
        <v>45275.017361111109</v>
      </c>
      <c r="J467" s="1048" t="s">
        <v>192</v>
      </c>
      <c r="K467" s="1048" t="s">
        <v>192</v>
      </c>
      <c r="L467" s="1123" t="s">
        <v>1481</v>
      </c>
      <c r="M467" s="1123" t="s">
        <v>3196</v>
      </c>
      <c r="N467" s="812"/>
      <c r="U467" s="779" t="s">
        <v>2862</v>
      </c>
      <c r="V467" s="993">
        <f>G469</f>
        <v>3500.5120000000002</v>
      </c>
    </row>
    <row r="468" spans="1:22" s="779" customFormat="1" ht="13.5" hidden="1" customHeight="1" outlineLevel="1">
      <c r="A468" s="790"/>
      <c r="B468" s="1055">
        <v>4</v>
      </c>
      <c r="C468" s="1012" t="s">
        <v>3823</v>
      </c>
      <c r="D468" s="1056"/>
      <c r="E468" s="1056" t="s">
        <v>310</v>
      </c>
      <c r="F468" s="1070" t="s">
        <v>219</v>
      </c>
      <c r="G468" s="827">
        <v>7550.9620000000004</v>
      </c>
      <c r="H468" s="1095" t="s">
        <v>173</v>
      </c>
      <c r="I468" s="1046">
        <v>45273.833333333336</v>
      </c>
      <c r="J468" s="1048" t="s">
        <v>192</v>
      </c>
      <c r="K468" s="1048" t="s">
        <v>192</v>
      </c>
      <c r="L468" s="1123" t="s">
        <v>1481</v>
      </c>
      <c r="M468" s="1123" t="s">
        <v>3196</v>
      </c>
      <c r="N468" s="812"/>
      <c r="U468" s="779" t="s">
        <v>183</v>
      </c>
      <c r="V468" s="993">
        <f>G471</f>
        <v>7516.1639999999998</v>
      </c>
    </row>
    <row r="469" spans="1:22" s="779" customFormat="1" ht="13.5" hidden="1" customHeight="1" outlineLevel="1">
      <c r="A469" s="790"/>
      <c r="B469" s="1055">
        <v>5</v>
      </c>
      <c r="C469" s="1012" t="s">
        <v>3847</v>
      </c>
      <c r="D469" s="1056"/>
      <c r="E469" s="1056" t="s">
        <v>383</v>
      </c>
      <c r="F469" s="1070" t="s">
        <v>384</v>
      </c>
      <c r="G469" s="827">
        <v>3500.5120000000002</v>
      </c>
      <c r="H469" s="1095" t="s">
        <v>2862</v>
      </c>
      <c r="I469" s="1046">
        <v>45275.958333333336</v>
      </c>
      <c r="J469" s="1048" t="s">
        <v>192</v>
      </c>
      <c r="K469" s="1048" t="s">
        <v>192</v>
      </c>
      <c r="L469" s="1123" t="s">
        <v>1481</v>
      </c>
      <c r="M469" s="1123" t="s">
        <v>3196</v>
      </c>
      <c r="N469" s="812"/>
      <c r="U469" s="779" t="s">
        <v>184</v>
      </c>
      <c r="V469" s="993">
        <f>G465+G472</f>
        <v>15043.558000000001</v>
      </c>
    </row>
    <row r="470" spans="1:22" s="779" customFormat="1" ht="13.5" hidden="1" customHeight="1" outlineLevel="1">
      <c r="A470" s="790"/>
      <c r="B470" s="1055">
        <v>6</v>
      </c>
      <c r="C470" s="1012" t="s">
        <v>3857</v>
      </c>
      <c r="D470" s="1056"/>
      <c r="E470" s="1056" t="s">
        <v>390</v>
      </c>
      <c r="F470" s="1070" t="s">
        <v>3346</v>
      </c>
      <c r="G470" s="827">
        <v>7514.0349999999999</v>
      </c>
      <c r="H470" s="1095" t="s">
        <v>172</v>
      </c>
      <c r="I470" s="1046">
        <v>45273.458333333336</v>
      </c>
      <c r="J470" s="1048" t="s">
        <v>192</v>
      </c>
      <c r="K470" s="1048" t="s">
        <v>192</v>
      </c>
      <c r="L470" s="1123" t="s">
        <v>1481</v>
      </c>
      <c r="M470" s="1123" t="s">
        <v>3196</v>
      </c>
      <c r="N470" s="812"/>
    </row>
    <row r="471" spans="1:22" s="824" customFormat="1" ht="13.5" hidden="1" customHeight="1" outlineLevel="1">
      <c r="A471" s="830"/>
      <c r="B471" s="1055">
        <v>7</v>
      </c>
      <c r="C471" s="1012" t="s">
        <v>3869</v>
      </c>
      <c r="D471" s="1056"/>
      <c r="E471" s="1056" t="s">
        <v>3870</v>
      </c>
      <c r="F471" s="1070" t="s">
        <v>3871</v>
      </c>
      <c r="G471" s="827">
        <v>7516.1639999999998</v>
      </c>
      <c r="H471" s="1095" t="s">
        <v>183</v>
      </c>
      <c r="I471" s="1046">
        <v>45275.947916666664</v>
      </c>
      <c r="J471" s="1048" t="s">
        <v>192</v>
      </c>
      <c r="K471" s="1048" t="s">
        <v>192</v>
      </c>
      <c r="L471" s="1123" t="s">
        <v>1481</v>
      </c>
      <c r="M471" s="1123" t="s">
        <v>3196</v>
      </c>
      <c r="N471" s="831"/>
    </row>
    <row r="472" spans="1:22" s="779" customFormat="1" ht="13.5" hidden="1" customHeight="1" outlineLevel="1">
      <c r="B472" s="1055">
        <v>8</v>
      </c>
      <c r="C472" s="1012" t="s">
        <v>3878</v>
      </c>
      <c r="D472" s="1056"/>
      <c r="E472" s="1056" t="s">
        <v>489</v>
      </c>
      <c r="F472" s="1056" t="s">
        <v>483</v>
      </c>
      <c r="G472" s="827">
        <v>7516.6180000000004</v>
      </c>
      <c r="H472" s="1055" t="s">
        <v>184</v>
      </c>
      <c r="I472" s="1046">
        <v>45270.649305555555</v>
      </c>
      <c r="J472" s="1001" t="s">
        <v>192</v>
      </c>
      <c r="K472" s="1001" t="s">
        <v>192</v>
      </c>
      <c r="L472" s="1123" t="s">
        <v>1481</v>
      </c>
      <c r="M472" s="1123" t="s">
        <v>3196</v>
      </c>
      <c r="N472" s="812"/>
      <c r="S472" s="1060"/>
    </row>
    <row r="473" spans="1:22" s="773" customFormat="1" ht="4.5" hidden="1" customHeight="1" outlineLevel="1">
      <c r="A473" s="770"/>
      <c r="B473" s="911"/>
      <c r="C473" s="909"/>
      <c r="D473" s="909"/>
      <c r="E473" s="909"/>
      <c r="F473" s="909"/>
      <c r="G473" s="910"/>
      <c r="H473" s="911"/>
      <c r="I473" s="1023"/>
      <c r="J473" s="1009"/>
      <c r="K473" s="1009"/>
      <c r="L473" s="1010"/>
      <c r="M473" s="1010"/>
      <c r="N473" s="772"/>
      <c r="O473" s="928"/>
      <c r="P473" s="928"/>
      <c r="Q473" s="928"/>
    </row>
    <row r="474" spans="1:22" s="779" customFormat="1" ht="13.5" hidden="1" customHeight="1" outlineLevel="1">
      <c r="A474" s="790"/>
      <c r="B474" s="1055">
        <v>1</v>
      </c>
      <c r="C474" s="1012" t="s">
        <v>3830</v>
      </c>
      <c r="D474" s="824"/>
      <c r="E474" s="1056" t="s">
        <v>339</v>
      </c>
      <c r="F474" s="1056" t="s">
        <v>506</v>
      </c>
      <c r="G474" s="827">
        <v>7430.2719999999999</v>
      </c>
      <c r="H474" s="1095" t="s">
        <v>2896</v>
      </c>
      <c r="I474" s="1046">
        <v>45280.75</v>
      </c>
      <c r="J474" s="1048" t="s">
        <v>192</v>
      </c>
      <c r="K474" s="1048" t="s">
        <v>192</v>
      </c>
      <c r="L474" s="1124" t="s">
        <v>4568</v>
      </c>
      <c r="M474" s="1124" t="s">
        <v>4569</v>
      </c>
      <c r="N474" s="812"/>
      <c r="S474" s="1060">
        <v>45280.341666666667</v>
      </c>
    </row>
    <row r="475" spans="1:22" s="779" customFormat="1" ht="13.5" hidden="1" customHeight="1" outlineLevel="1">
      <c r="A475" s="790"/>
      <c r="B475" s="1095">
        <v>2</v>
      </c>
      <c r="C475" s="1012" t="s">
        <v>3792</v>
      </c>
      <c r="D475" s="1122"/>
      <c r="E475" s="1070" t="s">
        <v>252</v>
      </c>
      <c r="F475" s="1070" t="s">
        <v>253</v>
      </c>
      <c r="G475" s="827">
        <v>7504.8909999999996</v>
      </c>
      <c r="H475" s="1015" t="s">
        <v>235</v>
      </c>
      <c r="I475" s="1046">
        <v>45282.083333333336</v>
      </c>
      <c r="J475" s="1048" t="s">
        <v>192</v>
      </c>
      <c r="K475" s="1048" t="s">
        <v>192</v>
      </c>
      <c r="L475" s="1124" t="s">
        <v>4568</v>
      </c>
      <c r="M475" s="1124" t="s">
        <v>4569</v>
      </c>
      <c r="N475" s="812"/>
    </row>
    <row r="476" spans="1:22" s="779" customFormat="1" ht="13.5" hidden="1" customHeight="1" outlineLevel="1">
      <c r="A476" s="790"/>
      <c r="B476" s="1015">
        <v>3</v>
      </c>
      <c r="C476" s="1012" t="s">
        <v>3794</v>
      </c>
      <c r="D476" s="1122"/>
      <c r="E476" s="1070" t="s">
        <v>2859</v>
      </c>
      <c r="F476" s="1070" t="s">
        <v>324</v>
      </c>
      <c r="G476" s="827">
        <v>7509.8519999999999</v>
      </c>
      <c r="H476" s="1015" t="s">
        <v>235</v>
      </c>
      <c r="I476" s="1046">
        <v>45282.333333333336</v>
      </c>
      <c r="J476" s="1048" t="s">
        <v>192</v>
      </c>
      <c r="K476" s="1048" t="s">
        <v>192</v>
      </c>
      <c r="L476" s="1124" t="s">
        <v>4568</v>
      </c>
      <c r="M476" s="1124" t="s">
        <v>4569</v>
      </c>
      <c r="N476" s="812"/>
    </row>
    <row r="477" spans="1:22" s="773" customFormat="1" ht="4.5" hidden="1" customHeight="1" outlineLevel="1">
      <c r="A477" s="770"/>
      <c r="B477" s="885"/>
      <c r="C477" s="883"/>
      <c r="D477" s="883"/>
      <c r="E477" s="883"/>
      <c r="F477" s="883"/>
      <c r="G477" s="884"/>
      <c r="H477" s="885"/>
      <c r="I477" s="1024"/>
      <c r="J477" s="977"/>
      <c r="K477" s="1017"/>
      <c r="L477" s="1010"/>
      <c r="M477" s="1010"/>
      <c r="N477" s="772"/>
      <c r="O477" s="928"/>
      <c r="P477" s="928"/>
      <c r="Q477" s="928"/>
    </row>
    <row r="478" spans="1:22" s="779" customFormat="1" ht="13.5" customHeight="1" collapsed="1">
      <c r="A478" s="929" t="s">
        <v>4570</v>
      </c>
      <c r="B478" s="1055">
        <v>1</v>
      </c>
      <c r="C478" s="1012" t="s">
        <v>3862</v>
      </c>
      <c r="D478" s="1056"/>
      <c r="E478" s="1056" t="s">
        <v>201</v>
      </c>
      <c r="F478" s="1056" t="s">
        <v>202</v>
      </c>
      <c r="G478" s="1014">
        <v>7553.4430000000002</v>
      </c>
      <c r="H478" s="1015" t="s">
        <v>172</v>
      </c>
      <c r="I478" s="1046">
        <v>45283.21875</v>
      </c>
      <c r="J478" s="1048" t="s">
        <v>192</v>
      </c>
      <c r="K478" s="1048" t="s">
        <v>192</v>
      </c>
      <c r="L478" s="1124" t="s">
        <v>4571</v>
      </c>
      <c r="M478" s="1124" t="s">
        <v>4572</v>
      </c>
      <c r="N478" s="812"/>
      <c r="S478" s="1060">
        <v>45282.987500000003</v>
      </c>
    </row>
    <row r="479" spans="1:22" s="824" customFormat="1" ht="13.5" customHeight="1">
      <c r="A479" s="830"/>
      <c r="B479" s="1055">
        <v>2</v>
      </c>
      <c r="C479" s="1012" t="s">
        <v>3873</v>
      </c>
      <c r="D479" s="1056"/>
      <c r="E479" s="1056" t="s">
        <v>2836</v>
      </c>
      <c r="F479" s="1056" t="s">
        <v>3874</v>
      </c>
      <c r="G479" s="1014">
        <v>5204.9930000000004</v>
      </c>
      <c r="H479" s="1095" t="s">
        <v>183</v>
      </c>
      <c r="I479" s="1046">
        <v>45286.083333333336</v>
      </c>
      <c r="J479" s="1048" t="s">
        <v>192</v>
      </c>
      <c r="K479" s="1048" t="s">
        <v>192</v>
      </c>
      <c r="L479" s="1124" t="s">
        <v>4571</v>
      </c>
      <c r="M479" s="1124" t="s">
        <v>4572</v>
      </c>
      <c r="N479" s="831"/>
      <c r="S479" s="1060">
        <v>45282.987500000003</v>
      </c>
    </row>
    <row r="480" spans="1:22" s="779" customFormat="1" ht="13.5" customHeight="1">
      <c r="A480" s="790"/>
      <c r="B480" s="1055">
        <v>3</v>
      </c>
      <c r="C480" s="1012" t="s">
        <v>3875</v>
      </c>
      <c r="D480" s="1056"/>
      <c r="E480" s="1056" t="s">
        <v>3876</v>
      </c>
      <c r="F480" s="1056" t="s">
        <v>3865</v>
      </c>
      <c r="G480" s="1014">
        <v>5273.5230000000001</v>
      </c>
      <c r="H480" s="1095" t="s">
        <v>183</v>
      </c>
      <c r="I480" s="1046">
        <v>45288.333333333336</v>
      </c>
      <c r="J480" s="1048" t="s">
        <v>192</v>
      </c>
      <c r="K480" s="1048" t="s">
        <v>192</v>
      </c>
      <c r="L480" s="1124" t="s">
        <v>4571</v>
      </c>
      <c r="M480" s="1124" t="s">
        <v>4572</v>
      </c>
      <c r="N480" s="812"/>
      <c r="S480" s="1060">
        <v>45282.987500000003</v>
      </c>
    </row>
    <row r="481" spans="1:22" s="773" customFormat="1" ht="4.5" customHeight="1">
      <c r="A481" s="770"/>
      <c r="B481" s="1097"/>
      <c r="C481" s="1098"/>
      <c r="D481" s="1098"/>
      <c r="E481" s="1098"/>
      <c r="F481" s="1098"/>
      <c r="G481" s="1099"/>
      <c r="H481" s="1100"/>
      <c r="I481" s="1101"/>
      <c r="J481" s="1006"/>
      <c r="K481" s="1006"/>
      <c r="L481" s="1006"/>
      <c r="M481" s="1006"/>
      <c r="N481" s="772"/>
      <c r="O481" s="928"/>
      <c r="P481" s="928"/>
      <c r="Q481" s="928"/>
    </row>
    <row r="482" spans="1:22" s="779" customFormat="1" ht="13.5" customHeight="1">
      <c r="A482" s="790"/>
      <c r="B482" s="1055">
        <v>1</v>
      </c>
      <c r="C482" s="1012" t="s">
        <v>3849</v>
      </c>
      <c r="D482" s="1056"/>
      <c r="E482" s="1056" t="s">
        <v>2800</v>
      </c>
      <c r="F482" s="1070" t="s">
        <v>2801</v>
      </c>
      <c r="G482" s="827">
        <v>3590.4580000000001</v>
      </c>
      <c r="H482" s="1095" t="s">
        <v>2862</v>
      </c>
      <c r="I482" s="1046">
        <v>45277.229166666664</v>
      </c>
      <c r="J482" s="1001" t="s">
        <v>192</v>
      </c>
      <c r="K482" s="1001" t="s">
        <v>192</v>
      </c>
      <c r="L482" s="1124" t="s">
        <v>3218</v>
      </c>
      <c r="M482" s="1124" t="s">
        <v>3219</v>
      </c>
      <c r="N482" s="812"/>
      <c r="S482" s="1060">
        <v>45276.241666666669</v>
      </c>
      <c r="U482" s="779" t="s">
        <v>2862</v>
      </c>
      <c r="V482" s="993">
        <f>G482</f>
        <v>3590.4580000000001</v>
      </c>
    </row>
    <row r="483" spans="1:22" s="779" customFormat="1" ht="13.5" customHeight="1">
      <c r="A483" s="790"/>
      <c r="B483" s="1095">
        <v>2</v>
      </c>
      <c r="C483" s="1012" t="s">
        <v>3751</v>
      </c>
      <c r="D483" s="1070"/>
      <c r="E483" s="1070" t="s">
        <v>263</v>
      </c>
      <c r="F483" s="1070" t="s">
        <v>264</v>
      </c>
      <c r="G483" s="827">
        <v>7497.3029999999999</v>
      </c>
      <c r="H483" s="1095" t="s">
        <v>2856</v>
      </c>
      <c r="I483" s="1046">
        <v>45285.024305555555</v>
      </c>
      <c r="J483" s="1001" t="s">
        <v>192</v>
      </c>
      <c r="K483" s="1001" t="s">
        <v>192</v>
      </c>
      <c r="L483" s="1124" t="s">
        <v>3218</v>
      </c>
      <c r="M483" s="1124" t="s">
        <v>3219</v>
      </c>
      <c r="N483" s="812"/>
      <c r="S483" s="1060">
        <v>45276.241666666669</v>
      </c>
      <c r="U483" s="779" t="s">
        <v>2856</v>
      </c>
      <c r="V483" s="993">
        <f>G483+G489</f>
        <v>14996.312</v>
      </c>
    </row>
    <row r="484" spans="1:22" s="779" customFormat="1" ht="13.5" customHeight="1">
      <c r="A484" s="790"/>
      <c r="B484" s="1095">
        <v>3</v>
      </c>
      <c r="C484" s="1012" t="s">
        <v>2851</v>
      </c>
      <c r="D484" s="1070"/>
      <c r="E484" s="1070" t="s">
        <v>352</v>
      </c>
      <c r="F484" s="1070" t="s">
        <v>353</v>
      </c>
      <c r="G484" s="827">
        <v>8000.41</v>
      </c>
      <c r="H484" s="1095" t="s">
        <v>173</v>
      </c>
      <c r="I484" s="1046">
        <v>45289.638888888891</v>
      </c>
      <c r="J484" s="1001" t="s">
        <v>192</v>
      </c>
      <c r="K484" s="1001" t="s">
        <v>192</v>
      </c>
      <c r="L484" s="1124" t="s">
        <v>3218</v>
      </c>
      <c r="M484" s="1124" t="s">
        <v>3219</v>
      </c>
      <c r="N484" s="812"/>
      <c r="S484" s="1060">
        <v>45276.241666666669</v>
      </c>
      <c r="U484" s="779" t="s">
        <v>173</v>
      </c>
      <c r="V484" s="993">
        <f>G484</f>
        <v>8000.41</v>
      </c>
    </row>
    <row r="485" spans="1:22" s="779" customFormat="1" ht="13.5" customHeight="1">
      <c r="A485" s="790"/>
      <c r="B485" s="1055">
        <v>4</v>
      </c>
      <c r="C485" s="1012" t="s">
        <v>2852</v>
      </c>
      <c r="D485" s="1070"/>
      <c r="E485" s="1070" t="s">
        <v>222</v>
      </c>
      <c r="F485" s="1070" t="s">
        <v>223</v>
      </c>
      <c r="G485" s="827">
        <v>7582.0010000000002</v>
      </c>
      <c r="H485" s="1095" t="s">
        <v>172</v>
      </c>
      <c r="I485" s="1046">
        <v>45290.048611111109</v>
      </c>
      <c r="J485" s="1001" t="s">
        <v>192</v>
      </c>
      <c r="K485" s="1001" t="s">
        <v>192</v>
      </c>
      <c r="L485" s="1124" t="s">
        <v>3218</v>
      </c>
      <c r="M485" s="1124" t="s">
        <v>3219</v>
      </c>
      <c r="N485" s="812"/>
      <c r="S485" s="1060">
        <v>45276.241666666669</v>
      </c>
      <c r="U485" s="779" t="s">
        <v>172</v>
      </c>
      <c r="V485" s="993">
        <f>G485+G487+G488</f>
        <v>22763.368000000002</v>
      </c>
    </row>
    <row r="486" spans="1:22" s="779" customFormat="1" ht="13.5" customHeight="1">
      <c r="A486" s="790"/>
      <c r="B486" s="1021">
        <v>5</v>
      </c>
      <c r="C486" s="882" t="s">
        <v>3943</v>
      </c>
      <c r="D486" s="1020"/>
      <c r="E486" s="1020" t="s">
        <v>3944</v>
      </c>
      <c r="F486" s="1077" t="s">
        <v>3945</v>
      </c>
      <c r="G486" s="816">
        <v>7560.4939999999997</v>
      </c>
      <c r="H486" s="1054" t="s">
        <v>2897</v>
      </c>
      <c r="I486" s="1029">
        <v>45281.354166666664</v>
      </c>
      <c r="J486" s="1029" t="str">
        <f>'BLU DEC''23 &amp; JAN''24'!J165</f>
        <v>Unloading</v>
      </c>
      <c r="K486" s="1086" t="str">
        <f>'BLU DEC''23 &amp; JAN''24'!K165</f>
        <v>BONTANG</v>
      </c>
      <c r="L486" s="1119" t="s">
        <v>3218</v>
      </c>
      <c r="M486" s="1119" t="s">
        <v>3219</v>
      </c>
      <c r="N486" s="812"/>
      <c r="S486" s="1060">
        <v>45276.241666666669</v>
      </c>
      <c r="U486" s="779" t="s">
        <v>2897</v>
      </c>
      <c r="V486" s="993">
        <f>G486</f>
        <v>7560.4939999999997</v>
      </c>
    </row>
    <row r="487" spans="1:22" s="779" customFormat="1" ht="13.5" customHeight="1">
      <c r="A487" s="790"/>
      <c r="B487" s="1054">
        <v>6</v>
      </c>
      <c r="C487" s="882" t="s">
        <v>3947</v>
      </c>
      <c r="D487" s="1077"/>
      <c r="E487" s="1077" t="s">
        <v>70</v>
      </c>
      <c r="F487" s="1077" t="s">
        <v>1982</v>
      </c>
      <c r="G487" s="816">
        <v>7601.0169999999998</v>
      </c>
      <c r="H487" s="1054" t="s">
        <v>172</v>
      </c>
      <c r="I487" s="1029">
        <v>45291.46875</v>
      </c>
      <c r="J487" s="1086" t="str">
        <f>'BLU DEC''23 &amp; JAN''24'!J166</f>
        <v>Unloading</v>
      </c>
      <c r="K487" s="1086" t="str">
        <f>'BLU DEC''23 &amp; JAN''24'!K166</f>
        <v>BONTANG</v>
      </c>
      <c r="L487" s="1119" t="s">
        <v>3218</v>
      </c>
      <c r="M487" s="1119" t="s">
        <v>3219</v>
      </c>
      <c r="N487" s="812"/>
      <c r="S487" s="1060">
        <v>45276.241666666669</v>
      </c>
    </row>
    <row r="488" spans="1:22" s="779" customFormat="1" ht="13.5" customHeight="1">
      <c r="A488" s="790"/>
      <c r="B488" s="1021">
        <v>7</v>
      </c>
      <c r="C488" s="882" t="s">
        <v>2853</v>
      </c>
      <c r="D488" s="1077"/>
      <c r="E488" s="1077" t="s">
        <v>1767</v>
      </c>
      <c r="F488" s="1077" t="s">
        <v>2854</v>
      </c>
      <c r="G488" s="816">
        <v>7580.35</v>
      </c>
      <c r="H488" s="1054" t="s">
        <v>172</v>
      </c>
      <c r="I488" s="1029">
        <v>45291.482638888891</v>
      </c>
      <c r="J488" s="1086" t="str">
        <f>'BLU DEC''23 &amp; JAN''24'!J167</f>
        <v>Waiting Unload</v>
      </c>
      <c r="K488" s="1086" t="str">
        <f>'BLU DEC''23 &amp; JAN''24'!K167</f>
        <v>BONTANG</v>
      </c>
      <c r="L488" s="1119" t="s">
        <v>3218</v>
      </c>
      <c r="M488" s="1119" t="s">
        <v>3219</v>
      </c>
      <c r="N488" s="812"/>
      <c r="S488" s="1060">
        <v>45276.241666666669</v>
      </c>
      <c r="V488" s="993"/>
    </row>
    <row r="489" spans="1:22" s="779" customFormat="1" ht="13.5" customHeight="1">
      <c r="A489" s="790"/>
      <c r="B489" s="1054">
        <v>8</v>
      </c>
      <c r="C489" s="882" t="s">
        <v>2855</v>
      </c>
      <c r="D489" s="1077"/>
      <c r="E489" s="1077" t="s">
        <v>310</v>
      </c>
      <c r="F489" s="1077" t="s">
        <v>219</v>
      </c>
      <c r="G489" s="816">
        <v>7499.009</v>
      </c>
      <c r="H489" s="1054" t="s">
        <v>2856</v>
      </c>
      <c r="I489" s="1029">
        <v>45291.645833333336</v>
      </c>
      <c r="J489" s="1086" t="str">
        <f>'BLU DEC''23 &amp; JAN''24'!J168</f>
        <v>Waiting Unload</v>
      </c>
      <c r="K489" s="1086" t="str">
        <f>'BLU DEC''23 &amp; JAN''24'!K168</f>
        <v>BONTANG</v>
      </c>
      <c r="L489" s="1119" t="s">
        <v>3218</v>
      </c>
      <c r="M489" s="1119" t="s">
        <v>3219</v>
      </c>
      <c r="N489" s="812"/>
      <c r="S489" s="1060">
        <v>45276.241666666669</v>
      </c>
    </row>
    <row r="490" spans="1:22" s="773" customFormat="1" ht="4.5" customHeight="1">
      <c r="A490" s="770"/>
      <c r="B490" s="1097"/>
      <c r="C490" s="1098"/>
      <c r="D490" s="1098"/>
      <c r="E490" s="1098"/>
      <c r="F490" s="1098"/>
      <c r="G490" s="1099"/>
      <c r="H490" s="1100"/>
      <c r="I490" s="1101"/>
      <c r="J490" s="1006"/>
      <c r="K490" s="1006"/>
      <c r="L490" s="1006"/>
      <c r="M490" s="1006"/>
      <c r="N490" s="772"/>
      <c r="O490" s="928"/>
      <c r="P490" s="928"/>
      <c r="Q490" s="928"/>
    </row>
    <row r="491" spans="1:22" s="779" customFormat="1" ht="13.5" customHeight="1">
      <c r="A491" s="790"/>
      <c r="B491" s="1095">
        <v>1</v>
      </c>
      <c r="C491" s="1012" t="s">
        <v>3832</v>
      </c>
      <c r="D491" s="1070"/>
      <c r="E491" s="1070" t="s">
        <v>1799</v>
      </c>
      <c r="F491" s="1070" t="s">
        <v>2437</v>
      </c>
      <c r="G491" s="827">
        <v>7639.6469999999999</v>
      </c>
      <c r="H491" s="1095" t="s">
        <v>2896</v>
      </c>
      <c r="I491" s="1046">
        <v>45285.923611111109</v>
      </c>
      <c r="J491" s="1001" t="s">
        <v>192</v>
      </c>
      <c r="K491" s="1001" t="s">
        <v>192</v>
      </c>
      <c r="L491" s="1124" t="s">
        <v>4573</v>
      </c>
      <c r="M491" s="1124" t="s">
        <v>4574</v>
      </c>
      <c r="N491" s="812"/>
      <c r="S491" s="1125">
        <v>45289.041666666664</v>
      </c>
    </row>
    <row r="492" spans="1:22" s="779" customFormat="1" ht="13.5" customHeight="1">
      <c r="A492" s="790"/>
      <c r="B492" s="1095">
        <v>2</v>
      </c>
      <c r="C492" s="1012" t="s">
        <v>3926</v>
      </c>
      <c r="D492" s="1070"/>
      <c r="E492" s="1070" t="s">
        <v>292</v>
      </c>
      <c r="F492" s="1070" t="s">
        <v>268</v>
      </c>
      <c r="G492" s="827">
        <v>7526.7759999999998</v>
      </c>
      <c r="H492" s="1095" t="s">
        <v>2896</v>
      </c>
      <c r="I492" s="1046">
        <v>45291.270833333336</v>
      </c>
      <c r="J492" s="1001" t="s">
        <v>192</v>
      </c>
      <c r="K492" s="1001" t="s">
        <v>192</v>
      </c>
      <c r="L492" s="1124" t="s">
        <v>4573</v>
      </c>
      <c r="M492" s="1124" t="s">
        <v>4574</v>
      </c>
      <c r="N492" s="812"/>
      <c r="S492" s="1125">
        <v>45289.041666666664</v>
      </c>
    </row>
    <row r="493" spans="1:22" s="779" customFormat="1" ht="13.5" customHeight="1">
      <c r="A493" s="790"/>
      <c r="B493" s="1135">
        <v>3</v>
      </c>
      <c r="C493" s="1136"/>
      <c r="D493" s="1137"/>
      <c r="E493" s="1137"/>
      <c r="F493" s="1137"/>
      <c r="G493" s="771"/>
      <c r="H493" s="1135" t="s">
        <v>183</v>
      </c>
      <c r="I493" s="1022"/>
      <c r="J493" s="1138"/>
      <c r="K493" s="1138"/>
      <c r="L493" s="1139" t="s">
        <v>4573</v>
      </c>
      <c r="M493" s="1139" t="s">
        <v>4574</v>
      </c>
      <c r="N493" s="812"/>
      <c r="S493" s="1125">
        <v>45289.041666666664</v>
      </c>
    </row>
    <row r="494" spans="1:22" s="773" customFormat="1" ht="4.5" customHeight="1">
      <c r="A494" s="770"/>
      <c r="B494" s="1097"/>
      <c r="C494" s="1098"/>
      <c r="D494" s="1098"/>
      <c r="E494" s="1098"/>
      <c r="F494" s="1098"/>
      <c r="G494" s="1099"/>
      <c r="H494" s="1100"/>
      <c r="I494" s="1101"/>
      <c r="J494" s="1006"/>
      <c r="K494" s="1006"/>
      <c r="L494" s="1006"/>
      <c r="M494" s="1006"/>
      <c r="N494" s="772"/>
      <c r="O494" s="928"/>
      <c r="P494" s="928"/>
      <c r="Q494" s="928"/>
    </row>
    <row r="495" spans="1:22" s="779" customFormat="1" ht="13.5" customHeight="1">
      <c r="A495" s="790"/>
      <c r="B495" s="1095">
        <v>1</v>
      </c>
      <c r="C495" s="1012" t="s">
        <v>3845</v>
      </c>
      <c r="D495" s="1070"/>
      <c r="E495" s="1070" t="s">
        <v>1322</v>
      </c>
      <c r="F495" s="1070" t="s">
        <v>1323</v>
      </c>
      <c r="G495" s="827">
        <v>7581.9740000000002</v>
      </c>
      <c r="H495" s="1095" t="s">
        <v>181</v>
      </c>
      <c r="I495" s="1046">
        <v>45284.427083333336</v>
      </c>
      <c r="J495" s="1001" t="s">
        <v>192</v>
      </c>
      <c r="K495" s="1001" t="s">
        <v>192</v>
      </c>
      <c r="L495" s="1124" t="s">
        <v>4575</v>
      </c>
      <c r="M495" s="1124" t="s">
        <v>4576</v>
      </c>
      <c r="N495" s="812"/>
      <c r="S495" s="1125">
        <v>45295</v>
      </c>
    </row>
    <row r="496" spans="1:22" s="779" customFormat="1" ht="13.5" customHeight="1">
      <c r="A496" s="790"/>
      <c r="B496" s="1095">
        <v>2</v>
      </c>
      <c r="C496" s="1012" t="s">
        <v>3746</v>
      </c>
      <c r="D496" s="1070"/>
      <c r="E496" s="1070" t="s">
        <v>3280</v>
      </c>
      <c r="F496" s="1070" t="s">
        <v>3747</v>
      </c>
      <c r="G496" s="827">
        <v>5498.73</v>
      </c>
      <c r="H496" s="1095" t="s">
        <v>88</v>
      </c>
      <c r="I496" s="1046">
        <v>45287.364583333336</v>
      </c>
      <c r="J496" s="1001" t="s">
        <v>192</v>
      </c>
      <c r="K496" s="1001" t="s">
        <v>192</v>
      </c>
      <c r="L496" s="1124" t="s">
        <v>4575</v>
      </c>
      <c r="M496" s="1124" t="s">
        <v>4576</v>
      </c>
      <c r="N496" s="812"/>
      <c r="S496" s="1125">
        <v>45295</v>
      </c>
    </row>
    <row r="497" spans="1:19" s="779" customFormat="1" ht="13.5" customHeight="1">
      <c r="A497" s="790"/>
      <c r="B497" s="1135">
        <v>3</v>
      </c>
      <c r="C497" s="1136" t="s">
        <v>4577</v>
      </c>
      <c r="D497" s="1137"/>
      <c r="E497" s="1137"/>
      <c r="F497" s="1137"/>
      <c r="G497" s="771">
        <v>5500</v>
      </c>
      <c r="H497" s="1135" t="s">
        <v>88</v>
      </c>
      <c r="I497" s="1022"/>
      <c r="J497" s="1140"/>
      <c r="K497" s="1140"/>
      <c r="L497" s="1139" t="s">
        <v>4575</v>
      </c>
      <c r="M497" s="1139" t="s">
        <v>4576</v>
      </c>
      <c r="N497" s="812"/>
      <c r="S497" s="1125">
        <v>45295</v>
      </c>
    </row>
    <row r="498" spans="1:19" s="773" customFormat="1" ht="4.5" customHeight="1">
      <c r="A498" s="770"/>
      <c r="B498" s="1097"/>
      <c r="C498" s="1098"/>
      <c r="D498" s="1098"/>
      <c r="E498" s="1098"/>
      <c r="F498" s="1098"/>
      <c r="G498" s="1099"/>
      <c r="H498" s="1100"/>
      <c r="I498" s="1101"/>
      <c r="J498" s="1006"/>
      <c r="K498" s="1006"/>
      <c r="L498" s="1006"/>
      <c r="M498" s="1006"/>
      <c r="N498" s="772"/>
      <c r="O498" s="928"/>
      <c r="P498" s="928"/>
      <c r="Q498" s="928"/>
    </row>
    <row r="499" spans="1:19" s="779" customFormat="1" ht="13.5" customHeight="1">
      <c r="A499" s="790"/>
      <c r="B499" s="1055">
        <v>1</v>
      </c>
      <c r="C499" s="1012" t="s">
        <v>2857</v>
      </c>
      <c r="D499" s="1070"/>
      <c r="E499" s="1070" t="s">
        <v>492</v>
      </c>
      <c r="F499" s="1070" t="s">
        <v>493</v>
      </c>
      <c r="G499" s="827">
        <v>7500.692</v>
      </c>
      <c r="H499" s="1095" t="s">
        <v>184</v>
      </c>
      <c r="I499" s="1046">
        <v>45291.246527777781</v>
      </c>
      <c r="J499" s="1001" t="s">
        <v>192</v>
      </c>
      <c r="K499" s="1001" t="s">
        <v>192</v>
      </c>
      <c r="L499" s="1124" t="s">
        <v>3260</v>
      </c>
      <c r="M499" s="1124" t="s">
        <v>3040</v>
      </c>
      <c r="N499" s="812"/>
    </row>
    <row r="500" spans="1:19" s="779" customFormat="1" ht="13.5" customHeight="1">
      <c r="A500" s="790"/>
      <c r="B500" s="1021">
        <v>2</v>
      </c>
      <c r="C500" s="882" t="s">
        <v>3950</v>
      </c>
      <c r="D500" s="1077"/>
      <c r="E500" s="1077" t="s">
        <v>383</v>
      </c>
      <c r="F500" s="1077" t="s">
        <v>384</v>
      </c>
      <c r="G500" s="816">
        <v>4036.5909999999999</v>
      </c>
      <c r="H500" s="1054" t="s">
        <v>2862</v>
      </c>
      <c r="I500" s="1029">
        <v>45290.194444444445</v>
      </c>
      <c r="J500" s="1086" t="str">
        <f>'BLU DEC''23 &amp; JAN''24'!J169</f>
        <v>Waiting Unload</v>
      </c>
      <c r="K500" s="1086" t="str">
        <f>'BLU DEC''23 &amp; JAN''24'!K169</f>
        <v>BONTANG</v>
      </c>
      <c r="L500" s="1119" t="s">
        <v>3260</v>
      </c>
      <c r="M500" s="1119" t="s">
        <v>3040</v>
      </c>
      <c r="N500" s="812"/>
    </row>
    <row r="501" spans="1:19" s="773" customFormat="1" ht="4.5" customHeight="1">
      <c r="A501" s="770"/>
      <c r="B501" s="1097"/>
      <c r="C501" s="1098"/>
      <c r="D501" s="1098"/>
      <c r="E501" s="1098"/>
      <c r="F501" s="1098"/>
      <c r="G501" s="1099"/>
      <c r="H501" s="1097"/>
      <c r="I501" s="1101"/>
      <c r="J501" s="1006"/>
      <c r="K501" s="1115"/>
      <c r="L501" s="1006"/>
      <c r="M501" s="1006"/>
      <c r="N501" s="772"/>
      <c r="O501" s="928"/>
      <c r="P501" s="928"/>
      <c r="Q501" s="928"/>
    </row>
    <row r="502" spans="1:19" s="779" customFormat="1" ht="13.5" customHeight="1">
      <c r="A502" s="790"/>
      <c r="B502" s="1021">
        <v>1</v>
      </c>
      <c r="C502" s="882" t="s">
        <v>3952</v>
      </c>
      <c r="D502" s="1077"/>
      <c r="E502" s="1077" t="s">
        <v>1322</v>
      </c>
      <c r="F502" s="1077" t="s">
        <v>1323</v>
      </c>
      <c r="G502" s="816">
        <v>7713.6719999999996</v>
      </c>
      <c r="H502" s="1054" t="s">
        <v>181</v>
      </c>
      <c r="I502" s="467" t="s">
        <v>4578</v>
      </c>
      <c r="J502" s="1086" t="str">
        <f>'BLU DEC''23 &amp; JAN''24'!J170</f>
        <v>Loaded Transit to BoCT</v>
      </c>
      <c r="K502" s="1086" t="str">
        <f>'BLU DEC''23 &amp; JAN''24'!K170</f>
        <v>TBN</v>
      </c>
      <c r="L502" s="1119"/>
      <c r="M502" s="1119"/>
      <c r="N502" s="812"/>
    </row>
    <row r="503" spans="1:19" s="779" customFormat="1" ht="13.5" customHeight="1">
      <c r="A503" s="790"/>
      <c r="B503" s="1021">
        <v>1</v>
      </c>
      <c r="C503" s="882" t="s">
        <v>3926</v>
      </c>
      <c r="D503" s="1077"/>
      <c r="E503" s="1077" t="s">
        <v>1799</v>
      </c>
      <c r="F503" s="1077" t="s">
        <v>2437</v>
      </c>
      <c r="G503" s="816">
        <v>7587.1930000000002</v>
      </c>
      <c r="H503" s="1054" t="s">
        <v>2896</v>
      </c>
      <c r="I503" s="467" t="s">
        <v>4579</v>
      </c>
      <c r="J503" s="1086" t="str">
        <f>'BLU DEC''23 &amp; JAN''24'!J171</f>
        <v>Loaded Transit to BoCT</v>
      </c>
      <c r="K503" s="1086" t="str">
        <f>'BLU DEC''23 &amp; JAN''24'!K171</f>
        <v>PASS MUARA BERAU</v>
      </c>
      <c r="L503" s="1119"/>
      <c r="M503" s="1119"/>
      <c r="N503" s="812"/>
    </row>
    <row r="504" spans="1:19" s="779" customFormat="1" ht="13.5" customHeight="1">
      <c r="A504" s="790"/>
      <c r="B504" s="1021">
        <v>1</v>
      </c>
      <c r="C504" s="882" t="s">
        <v>3955</v>
      </c>
      <c r="D504" s="1077"/>
      <c r="E504" s="1077" t="s">
        <v>1972</v>
      </c>
      <c r="F504" s="1077" t="s">
        <v>1973</v>
      </c>
      <c r="G504" s="816">
        <v>7311.4989999999998</v>
      </c>
      <c r="H504" s="1054" t="s">
        <v>2896</v>
      </c>
      <c r="I504" s="467" t="s">
        <v>4580</v>
      </c>
      <c r="J504" s="1086" t="str">
        <f>'BLU DEC''23 &amp; JAN''24'!J172</f>
        <v>Loaded Transit to BoCT</v>
      </c>
      <c r="K504" s="1086" t="str">
        <f>'BLU DEC''23 &amp; JAN''24'!K172</f>
        <v>HARAPAN BARU</v>
      </c>
      <c r="L504" s="1119"/>
      <c r="M504" s="1119"/>
      <c r="N504" s="812"/>
    </row>
    <row r="524" spans="2:9">
      <c r="B524" s="790" t="s">
        <v>561</v>
      </c>
      <c r="C524" s="790"/>
      <c r="D524" s="790"/>
      <c r="E524" s="773"/>
      <c r="F524" s="773"/>
      <c r="G524" s="773"/>
      <c r="H524" s="773"/>
      <c r="I524" s="1026"/>
    </row>
    <row r="525" spans="2:9">
      <c r="B525" s="1027"/>
      <c r="C525" s="1532"/>
      <c r="D525" s="1532"/>
      <c r="E525" s="1532"/>
      <c r="F525" s="1532"/>
      <c r="G525" s="1532"/>
      <c r="H525" s="1532"/>
      <c r="I525" s="1532"/>
    </row>
    <row r="526" spans="2:9">
      <c r="H526" s="915"/>
    </row>
    <row r="527" spans="2:9">
      <c r="H527" s="915"/>
    </row>
    <row r="528" spans="2:9">
      <c r="H528" s="915"/>
      <c r="I528" s="1028"/>
    </row>
    <row r="529" spans="8:9">
      <c r="H529" s="915"/>
      <c r="I529" s="1028"/>
    </row>
    <row r="530" spans="8:9">
      <c r="H530" s="915"/>
      <c r="I530" s="1028"/>
    </row>
    <row r="532" spans="8:9">
      <c r="H532" s="915"/>
      <c r="I532" s="1028"/>
    </row>
    <row r="533" spans="8:9">
      <c r="H533" s="915"/>
      <c r="I533" s="1028"/>
    </row>
    <row r="534" spans="8:9">
      <c r="H534" s="915"/>
      <c r="I534" s="1028"/>
    </row>
  </sheetData>
  <mergeCells count="181">
    <mergeCell ref="L405:L408"/>
    <mergeCell ref="L418:L421"/>
    <mergeCell ref="M418:M421"/>
    <mergeCell ref="M396:M398"/>
    <mergeCell ref="L388:L390"/>
    <mergeCell ref="M388:M390"/>
    <mergeCell ref="L344:L346"/>
    <mergeCell ref="M211:M213"/>
    <mergeCell ref="L273:L274"/>
    <mergeCell ref="L243:L245"/>
    <mergeCell ref="M287:M290"/>
    <mergeCell ref="L253:L258"/>
    <mergeCell ref="L276:L280"/>
    <mergeCell ref="L224:L227"/>
    <mergeCell ref="M224:M227"/>
    <mergeCell ref="L268:L271"/>
    <mergeCell ref="M268:M271"/>
    <mergeCell ref="L263:L266"/>
    <mergeCell ref="M263:M266"/>
    <mergeCell ref="M253:M258"/>
    <mergeCell ref="L260:L261"/>
    <mergeCell ref="M260:M261"/>
    <mergeCell ref="M344:M346"/>
    <mergeCell ref="L371:L374"/>
    <mergeCell ref="L69:L72"/>
    <mergeCell ref="L79:L83"/>
    <mergeCell ref="L85:L86"/>
    <mergeCell ref="M118:M121"/>
    <mergeCell ref="L190:L193"/>
    <mergeCell ref="L101:L104"/>
    <mergeCell ref="L106:L110"/>
    <mergeCell ref="M106:M110"/>
    <mergeCell ref="L88:L89"/>
    <mergeCell ref="L175:L177"/>
    <mergeCell ref="M175:M177"/>
    <mergeCell ref="M79:M83"/>
    <mergeCell ref="M133:M136"/>
    <mergeCell ref="L133:L136"/>
    <mergeCell ref="M101:M104"/>
    <mergeCell ref="M179:M180"/>
    <mergeCell ref="L182:L188"/>
    <mergeCell ref="M182:M188"/>
    <mergeCell ref="M85:M86"/>
    <mergeCell ref="M88:M89"/>
    <mergeCell ref="L179:L180"/>
    <mergeCell ref="L45:L48"/>
    <mergeCell ref="M45:M48"/>
    <mergeCell ref="L50:L52"/>
    <mergeCell ref="M50:M52"/>
    <mergeCell ref="L54:L57"/>
    <mergeCell ref="M127:M131"/>
    <mergeCell ref="L127:L131"/>
    <mergeCell ref="L115:L116"/>
    <mergeCell ref="M115:M116"/>
    <mergeCell ref="L123:L125"/>
    <mergeCell ref="M123:M125"/>
    <mergeCell ref="L118:L121"/>
    <mergeCell ref="L112:L113"/>
    <mergeCell ref="M112:M113"/>
    <mergeCell ref="M54:M57"/>
    <mergeCell ref="M63:M67"/>
    <mergeCell ref="M69:M72"/>
    <mergeCell ref="L74:L77"/>
    <mergeCell ref="M74:M77"/>
    <mergeCell ref="M59:M61"/>
    <mergeCell ref="L59:L61"/>
    <mergeCell ref="L63:L67"/>
    <mergeCell ref="L91:L97"/>
    <mergeCell ref="M91:M97"/>
    <mergeCell ref="B2:Q2"/>
    <mergeCell ref="B3:E3"/>
    <mergeCell ref="L10:L13"/>
    <mergeCell ref="M10:M13"/>
    <mergeCell ref="L40:L43"/>
    <mergeCell ref="L37:L38"/>
    <mergeCell ref="M37:M38"/>
    <mergeCell ref="L29:L30"/>
    <mergeCell ref="M29:M30"/>
    <mergeCell ref="L15:L16"/>
    <mergeCell ref="M15:M16"/>
    <mergeCell ref="L24:L27"/>
    <mergeCell ref="L20:L22"/>
    <mergeCell ref="M20:M22"/>
    <mergeCell ref="M24:M27"/>
    <mergeCell ref="L32:L35"/>
    <mergeCell ref="M32:M35"/>
    <mergeCell ref="M40:M43"/>
    <mergeCell ref="C525:I525"/>
    <mergeCell ref="L140:L144"/>
    <mergeCell ref="M140:M144"/>
    <mergeCell ref="L147:L150"/>
    <mergeCell ref="M147:M150"/>
    <mergeCell ref="L163"/>
    <mergeCell ref="M163"/>
    <mergeCell ref="L158:L161"/>
    <mergeCell ref="M158:M161"/>
    <mergeCell ref="L170:L173"/>
    <mergeCell ref="M170:M173"/>
    <mergeCell ref="L152:L156"/>
    <mergeCell ref="M152:M156"/>
    <mergeCell ref="M190:M193"/>
    <mergeCell ref="L165:L166"/>
    <mergeCell ref="M165:M166"/>
    <mergeCell ref="L195:L197"/>
    <mergeCell ref="M195:M197"/>
    <mergeCell ref="M320:M323"/>
    <mergeCell ref="L287:L290"/>
    <mergeCell ref="M308:M310"/>
    <mergeCell ref="L231:L237"/>
    <mergeCell ref="M231:M237"/>
    <mergeCell ref="L239:L241"/>
    <mergeCell ref="L204:L209"/>
    <mergeCell ref="M239:M241"/>
    <mergeCell ref="L211:L213"/>
    <mergeCell ref="M204:M209"/>
    <mergeCell ref="L215:L217"/>
    <mergeCell ref="M215:M217"/>
    <mergeCell ref="M221:M222"/>
    <mergeCell ref="L199:L202"/>
    <mergeCell ref="L376:L383"/>
    <mergeCell ref="M325:M327"/>
    <mergeCell ref="M334:M337"/>
    <mergeCell ref="L325:L327"/>
    <mergeCell ref="L339:L342"/>
    <mergeCell ref="M376:M383"/>
    <mergeCell ref="L329:L332"/>
    <mergeCell ref="M363:M369"/>
    <mergeCell ref="M292:M294"/>
    <mergeCell ref="L221:L222"/>
    <mergeCell ref="L363:L369"/>
    <mergeCell ref="M329:M332"/>
    <mergeCell ref="M339:M342"/>
    <mergeCell ref="M312:M318"/>
    <mergeCell ref="M199:M202"/>
    <mergeCell ref="M249:M251"/>
    <mergeCell ref="M371:M374"/>
    <mergeCell ref="L385:L386"/>
    <mergeCell ref="M385:M386"/>
    <mergeCell ref="L352:L361"/>
    <mergeCell ref="L392:L394"/>
    <mergeCell ref="M392:M394"/>
    <mergeCell ref="L396:L398"/>
    <mergeCell ref="L348:L350"/>
    <mergeCell ref="M348:M350"/>
    <mergeCell ref="M352:M361"/>
    <mergeCell ref="L431:L433"/>
    <mergeCell ref="M431:M433"/>
    <mergeCell ref="L423:L429"/>
    <mergeCell ref="M423:M429"/>
    <mergeCell ref="M243:M245"/>
    <mergeCell ref="M405:M408"/>
    <mergeCell ref="M273:M274"/>
    <mergeCell ref="M400:M403"/>
    <mergeCell ref="L249:L251"/>
    <mergeCell ref="L410:L416"/>
    <mergeCell ref="M410:M416"/>
    <mergeCell ref="M276:M280"/>
    <mergeCell ref="M282:M285"/>
    <mergeCell ref="L282:L285"/>
    <mergeCell ref="M296:M298"/>
    <mergeCell ref="L308:L310"/>
    <mergeCell ref="L292:L294"/>
    <mergeCell ref="L296:L298"/>
    <mergeCell ref="L300:L306"/>
    <mergeCell ref="M300:M306"/>
    <mergeCell ref="L312:L318"/>
    <mergeCell ref="L334:L337"/>
    <mergeCell ref="L320:L323"/>
    <mergeCell ref="L400:L403"/>
    <mergeCell ref="L461:L463"/>
    <mergeCell ref="M461:M463"/>
    <mergeCell ref="L435:L438"/>
    <mergeCell ref="M435:M438"/>
    <mergeCell ref="L448:L455"/>
    <mergeCell ref="M448:M455"/>
    <mergeCell ref="L457:L459"/>
    <mergeCell ref="L440:L442"/>
    <mergeCell ref="M440:M442"/>
    <mergeCell ref="M457:M459"/>
    <mergeCell ref="L444:L446"/>
    <mergeCell ref="M444:M446"/>
  </mergeCells>
  <pageMargins left="0.7" right="0.7" top="0.75" bottom="0.75" header="0.3" footer="0.3"/>
  <pageSetup paperSize="9" scale="59" orientation="landscape" r:id="rId1"/>
  <headerFooter alignWithMargins="0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  <pageSetUpPr fitToPage="1"/>
  </sheetPr>
  <dimension ref="A1:BI44"/>
  <sheetViews>
    <sheetView zoomScale="85" zoomScaleNormal="85" workbookViewId="0">
      <selection activeCell="G33" sqref="G33"/>
    </sheetView>
  </sheetViews>
  <sheetFormatPr defaultColWidth="9.109375" defaultRowHeight="13.8"/>
  <cols>
    <col min="1" max="1" width="1.33203125" style="781" customWidth="1"/>
    <col min="2" max="2" width="7.6640625" style="781" customWidth="1"/>
    <col min="3" max="3" width="9.109375" style="781" customWidth="1"/>
    <col min="4" max="4" width="13" style="781" customWidth="1"/>
    <col min="5" max="5" width="1.5546875" style="781" bestFit="1" customWidth="1"/>
    <col min="6" max="6" width="23.44140625" style="781" customWidth="1"/>
    <col min="7" max="7" width="21.109375" style="781" bestFit="1" customWidth="1"/>
    <col min="8" max="8" width="11.109375" style="781" customWidth="1"/>
    <col min="9" max="9" width="20.6640625" style="782" customWidth="1"/>
    <col min="10" max="10" width="22.44140625" style="783" customWidth="1"/>
    <col min="11" max="11" width="1.5546875" style="783" bestFit="1" customWidth="1"/>
    <col min="12" max="12" width="19.5546875" style="784" customWidth="1"/>
    <col min="13" max="13" width="17" style="781" customWidth="1"/>
    <col min="14" max="14" width="7.6640625" style="781" hidden="1" customWidth="1"/>
    <col min="15" max="15" width="1.33203125" style="783" customWidth="1"/>
    <col min="16" max="18" width="8.33203125" style="785" customWidth="1"/>
    <col min="19" max="19" width="2.6640625" style="785" customWidth="1"/>
    <col min="20" max="20" width="11" style="785" bestFit="1" customWidth="1"/>
    <col min="21" max="27" width="12.44140625" style="785" customWidth="1"/>
    <col min="28" max="37" width="12.44140625" style="781" customWidth="1"/>
    <col min="38" max="38" width="9.33203125" style="781" bestFit="1" customWidth="1"/>
    <col min="39" max="40" width="10" style="781" bestFit="1" customWidth="1"/>
    <col min="41" max="41" width="11" style="781" bestFit="1" customWidth="1"/>
    <col min="42" max="42" width="10" style="781" bestFit="1" customWidth="1"/>
    <col min="43" max="43" width="11" style="781" bestFit="1" customWidth="1"/>
    <col min="44" max="44" width="10.33203125" style="781" bestFit="1" customWidth="1"/>
    <col min="45" max="45" width="10" style="781" bestFit="1" customWidth="1"/>
    <col min="46" max="46" width="11.6640625" style="781" customWidth="1"/>
    <col min="47" max="56" width="10" style="781" bestFit="1" customWidth="1"/>
    <col min="57" max="57" width="11" style="781" bestFit="1" customWidth="1"/>
    <col min="58" max="60" width="9.109375" style="781" bestFit="1" customWidth="1"/>
    <col min="61" max="61" width="11.5546875" style="781" customWidth="1"/>
    <col min="62" max="275" width="9.109375" style="781" bestFit="1" customWidth="1"/>
    <col min="276" max="276" width="2.6640625" style="781" customWidth="1"/>
    <col min="277" max="277" width="5" style="781" customWidth="1"/>
    <col min="278" max="278" width="11.6640625" style="781" customWidth="1"/>
    <col min="279" max="279" width="17" style="781" customWidth="1"/>
    <col min="280" max="280" width="6.6640625" style="781" customWidth="1"/>
    <col min="281" max="281" width="18.33203125" style="781" customWidth="1"/>
    <col min="282" max="282" width="10" style="781" customWidth="1"/>
    <col min="283" max="283" width="9" style="781" bestFit="1" customWidth="1"/>
    <col min="284" max="284" width="6.5546875" style="781" customWidth="1"/>
    <col min="285" max="285" width="15.44140625" style="781" customWidth="1"/>
    <col min="286" max="286" width="36.6640625" style="781" customWidth="1"/>
    <col min="287" max="287" width="0" style="781" hidden="1" customWidth="1"/>
    <col min="288" max="288" width="9.109375" style="781" bestFit="1" customWidth="1"/>
    <col min="289" max="289" width="10.33203125" style="781" bestFit="1" customWidth="1"/>
    <col min="290" max="531" width="9.109375" style="781" bestFit="1" customWidth="1"/>
    <col min="532" max="532" width="2.6640625" style="781" customWidth="1"/>
    <col min="533" max="533" width="5" style="781" customWidth="1"/>
    <col min="534" max="534" width="11.6640625" style="781" customWidth="1"/>
    <col min="535" max="535" width="17" style="781" customWidth="1"/>
    <col min="536" max="536" width="6.6640625" style="781" customWidth="1"/>
    <col min="537" max="537" width="18.33203125" style="781" customWidth="1"/>
    <col min="538" max="538" width="10" style="781" customWidth="1"/>
    <col min="539" max="539" width="9" style="781" bestFit="1" customWidth="1"/>
    <col min="540" max="540" width="6.5546875" style="781" customWidth="1"/>
    <col min="541" max="541" width="15.44140625" style="781" customWidth="1"/>
    <col min="542" max="542" width="36.6640625" style="781" customWidth="1"/>
    <col min="543" max="543" width="0" style="781" hidden="1" customWidth="1"/>
    <col min="544" max="544" width="9.109375" style="781" bestFit="1" customWidth="1"/>
    <col min="545" max="545" width="10.33203125" style="781" bestFit="1" customWidth="1"/>
    <col min="546" max="787" width="9.109375" style="781" bestFit="1" customWidth="1"/>
    <col min="788" max="788" width="2.6640625" style="781" customWidth="1"/>
    <col min="789" max="789" width="5" style="781" customWidth="1"/>
    <col min="790" max="790" width="11.6640625" style="781" customWidth="1"/>
    <col min="791" max="791" width="17" style="781" customWidth="1"/>
    <col min="792" max="792" width="6.6640625" style="781" customWidth="1"/>
    <col min="793" max="793" width="18.33203125" style="781" customWidth="1"/>
    <col min="794" max="794" width="10" style="781" customWidth="1"/>
    <col min="795" max="795" width="9" style="781" bestFit="1" customWidth="1"/>
    <col min="796" max="796" width="6.5546875" style="781" customWidth="1"/>
    <col min="797" max="797" width="15.44140625" style="781" customWidth="1"/>
    <col min="798" max="798" width="36.6640625" style="781" customWidth="1"/>
    <col min="799" max="799" width="0" style="781" hidden="1" customWidth="1"/>
    <col min="800" max="800" width="9.109375" style="781" bestFit="1" customWidth="1"/>
    <col min="801" max="801" width="10.33203125" style="781" bestFit="1" customWidth="1"/>
    <col min="802" max="1043" width="9.109375" style="781" bestFit="1" customWidth="1"/>
    <col min="1044" max="1044" width="2.6640625" style="781" customWidth="1"/>
    <col min="1045" max="1045" width="5" style="781" customWidth="1"/>
    <col min="1046" max="1046" width="11.6640625" style="781" customWidth="1"/>
    <col min="1047" max="1047" width="17" style="781" customWidth="1"/>
    <col min="1048" max="1048" width="6.6640625" style="781" customWidth="1"/>
    <col min="1049" max="1049" width="18.33203125" style="781" customWidth="1"/>
    <col min="1050" max="1050" width="10" style="781" customWidth="1"/>
    <col min="1051" max="1051" width="9" style="781" bestFit="1" customWidth="1"/>
    <col min="1052" max="1052" width="6.5546875" style="781" customWidth="1"/>
    <col min="1053" max="1053" width="15.44140625" style="781" customWidth="1"/>
    <col min="1054" max="1054" width="36.6640625" style="781" customWidth="1"/>
    <col min="1055" max="1055" width="0" style="781" hidden="1" customWidth="1"/>
    <col min="1056" max="1056" width="9.109375" style="781" bestFit="1" customWidth="1"/>
    <col min="1057" max="1057" width="10.33203125" style="781" bestFit="1" customWidth="1"/>
    <col min="1058" max="1299" width="9.109375" style="781" bestFit="1" customWidth="1"/>
    <col min="1300" max="1300" width="2.6640625" style="781" customWidth="1"/>
    <col min="1301" max="1301" width="5" style="781" customWidth="1"/>
    <col min="1302" max="1302" width="11.6640625" style="781" customWidth="1"/>
    <col min="1303" max="1303" width="17" style="781" customWidth="1"/>
    <col min="1304" max="1304" width="6.6640625" style="781" customWidth="1"/>
    <col min="1305" max="1305" width="18.33203125" style="781" customWidth="1"/>
    <col min="1306" max="1306" width="10" style="781" customWidth="1"/>
    <col min="1307" max="1307" width="9" style="781" bestFit="1" customWidth="1"/>
    <col min="1308" max="1308" width="6.5546875" style="781" customWidth="1"/>
    <col min="1309" max="1309" width="15.44140625" style="781" customWidth="1"/>
    <col min="1310" max="1310" width="36.6640625" style="781" customWidth="1"/>
    <col min="1311" max="1311" width="0" style="781" hidden="1" customWidth="1"/>
    <col min="1312" max="1312" width="9.109375" style="781" bestFit="1" customWidth="1"/>
    <col min="1313" max="1313" width="10.33203125" style="781" bestFit="1" customWidth="1"/>
    <col min="1314" max="1555" width="9.109375" style="781" bestFit="1" customWidth="1"/>
    <col min="1556" max="1556" width="2.6640625" style="781" customWidth="1"/>
    <col min="1557" max="1557" width="5" style="781" customWidth="1"/>
    <col min="1558" max="1558" width="11.6640625" style="781" customWidth="1"/>
    <col min="1559" max="1559" width="17" style="781" customWidth="1"/>
    <col min="1560" max="1560" width="6.6640625" style="781" customWidth="1"/>
    <col min="1561" max="1561" width="18.33203125" style="781" customWidth="1"/>
    <col min="1562" max="1562" width="10" style="781" customWidth="1"/>
    <col min="1563" max="1563" width="9" style="781" bestFit="1" customWidth="1"/>
    <col min="1564" max="1564" width="6.5546875" style="781" customWidth="1"/>
    <col min="1565" max="1565" width="15.44140625" style="781" customWidth="1"/>
    <col min="1566" max="1566" width="36.6640625" style="781" customWidth="1"/>
    <col min="1567" max="1567" width="0" style="781" hidden="1" customWidth="1"/>
    <col min="1568" max="1568" width="9.109375" style="781" bestFit="1" customWidth="1"/>
    <col min="1569" max="1569" width="10.33203125" style="781" bestFit="1" customWidth="1"/>
    <col min="1570" max="1811" width="9.109375" style="781" bestFit="1" customWidth="1"/>
    <col min="1812" max="1812" width="2.6640625" style="781" customWidth="1"/>
    <col min="1813" max="1813" width="5" style="781" customWidth="1"/>
    <col min="1814" max="1814" width="11.6640625" style="781" customWidth="1"/>
    <col min="1815" max="1815" width="17" style="781" customWidth="1"/>
    <col min="1816" max="1816" width="6.6640625" style="781" customWidth="1"/>
    <col min="1817" max="1817" width="18.33203125" style="781" customWidth="1"/>
    <col min="1818" max="1818" width="10" style="781" customWidth="1"/>
    <col min="1819" max="1819" width="9" style="781" bestFit="1" customWidth="1"/>
    <col min="1820" max="1820" width="6.5546875" style="781" customWidth="1"/>
    <col min="1821" max="1821" width="15.44140625" style="781" customWidth="1"/>
    <col min="1822" max="1822" width="36.6640625" style="781" customWidth="1"/>
    <col min="1823" max="1823" width="0" style="781" hidden="1" customWidth="1"/>
    <col min="1824" max="1824" width="9.109375" style="781" bestFit="1" customWidth="1"/>
    <col min="1825" max="1825" width="10.33203125" style="781" bestFit="1" customWidth="1"/>
    <col min="1826" max="2067" width="9.109375" style="781" bestFit="1" customWidth="1"/>
    <col min="2068" max="2068" width="2.6640625" style="781" customWidth="1"/>
    <col min="2069" max="2069" width="5" style="781" customWidth="1"/>
    <col min="2070" max="2070" width="11.6640625" style="781" customWidth="1"/>
    <col min="2071" max="2071" width="17" style="781" customWidth="1"/>
    <col min="2072" max="2072" width="6.6640625" style="781" customWidth="1"/>
    <col min="2073" max="2073" width="18.33203125" style="781" customWidth="1"/>
    <col min="2074" max="2074" width="10" style="781" customWidth="1"/>
    <col min="2075" max="2075" width="9" style="781" bestFit="1" customWidth="1"/>
    <col min="2076" max="2076" width="6.5546875" style="781" customWidth="1"/>
    <col min="2077" max="2077" width="15.44140625" style="781" customWidth="1"/>
    <col min="2078" max="2078" width="36.6640625" style="781" customWidth="1"/>
    <col min="2079" max="2079" width="0" style="781" hidden="1" customWidth="1"/>
    <col min="2080" max="2080" width="9.109375" style="781" bestFit="1" customWidth="1"/>
    <col min="2081" max="2081" width="10.33203125" style="781" bestFit="1" customWidth="1"/>
    <col min="2082" max="2323" width="9.109375" style="781" bestFit="1" customWidth="1"/>
    <col min="2324" max="2324" width="2.6640625" style="781" customWidth="1"/>
    <col min="2325" max="2325" width="5" style="781" customWidth="1"/>
    <col min="2326" max="2326" width="11.6640625" style="781" customWidth="1"/>
    <col min="2327" max="2327" width="17" style="781" customWidth="1"/>
    <col min="2328" max="2328" width="6.6640625" style="781" customWidth="1"/>
    <col min="2329" max="2329" width="18.33203125" style="781" customWidth="1"/>
    <col min="2330" max="2330" width="10" style="781" customWidth="1"/>
    <col min="2331" max="2331" width="9" style="781" bestFit="1" customWidth="1"/>
    <col min="2332" max="2332" width="6.5546875" style="781" customWidth="1"/>
    <col min="2333" max="2333" width="15.44140625" style="781" customWidth="1"/>
    <col min="2334" max="2334" width="36.6640625" style="781" customWidth="1"/>
    <col min="2335" max="2335" width="0" style="781" hidden="1" customWidth="1"/>
    <col min="2336" max="2336" width="9.109375" style="781" bestFit="1" customWidth="1"/>
    <col min="2337" max="2337" width="10.33203125" style="781" bestFit="1" customWidth="1"/>
    <col min="2338" max="2579" width="9.109375" style="781" bestFit="1" customWidth="1"/>
    <col min="2580" max="2580" width="2.6640625" style="781" customWidth="1"/>
    <col min="2581" max="2581" width="5" style="781" customWidth="1"/>
    <col min="2582" max="2582" width="11.6640625" style="781" customWidth="1"/>
    <col min="2583" max="2583" width="17" style="781" customWidth="1"/>
    <col min="2584" max="2584" width="6.6640625" style="781" customWidth="1"/>
    <col min="2585" max="2585" width="18.33203125" style="781" customWidth="1"/>
    <col min="2586" max="2586" width="10" style="781" customWidth="1"/>
    <col min="2587" max="2587" width="9" style="781" bestFit="1" customWidth="1"/>
    <col min="2588" max="2588" width="6.5546875" style="781" customWidth="1"/>
    <col min="2589" max="2589" width="15.44140625" style="781" customWidth="1"/>
    <col min="2590" max="2590" width="36.6640625" style="781" customWidth="1"/>
    <col min="2591" max="2591" width="0" style="781" hidden="1" customWidth="1"/>
    <col min="2592" max="2592" width="9.109375" style="781" bestFit="1" customWidth="1"/>
    <col min="2593" max="2593" width="10.33203125" style="781" bestFit="1" customWidth="1"/>
    <col min="2594" max="2835" width="9.109375" style="781" bestFit="1" customWidth="1"/>
    <col min="2836" max="2836" width="2.6640625" style="781" customWidth="1"/>
    <col min="2837" max="2837" width="5" style="781" customWidth="1"/>
    <col min="2838" max="2838" width="11.6640625" style="781" customWidth="1"/>
    <col min="2839" max="2839" width="17" style="781" customWidth="1"/>
    <col min="2840" max="2840" width="6.6640625" style="781" customWidth="1"/>
    <col min="2841" max="2841" width="18.33203125" style="781" customWidth="1"/>
    <col min="2842" max="2842" width="10" style="781" customWidth="1"/>
    <col min="2843" max="2843" width="9" style="781" bestFit="1" customWidth="1"/>
    <col min="2844" max="2844" width="6.5546875" style="781" customWidth="1"/>
    <col min="2845" max="2845" width="15.44140625" style="781" customWidth="1"/>
    <col min="2846" max="2846" width="36.6640625" style="781" customWidth="1"/>
    <col min="2847" max="2847" width="0" style="781" hidden="1" customWidth="1"/>
    <col min="2848" max="2848" width="9.109375" style="781" bestFit="1" customWidth="1"/>
    <col min="2849" max="2849" width="10.33203125" style="781" bestFit="1" customWidth="1"/>
    <col min="2850" max="3091" width="9.109375" style="781" bestFit="1" customWidth="1"/>
    <col min="3092" max="3092" width="2.6640625" style="781" customWidth="1"/>
    <col min="3093" max="3093" width="5" style="781" customWidth="1"/>
    <col min="3094" max="3094" width="11.6640625" style="781" customWidth="1"/>
    <col min="3095" max="3095" width="17" style="781" customWidth="1"/>
    <col min="3096" max="3096" width="6.6640625" style="781" customWidth="1"/>
    <col min="3097" max="3097" width="18.33203125" style="781" customWidth="1"/>
    <col min="3098" max="3098" width="10" style="781" customWidth="1"/>
    <col min="3099" max="3099" width="9" style="781" bestFit="1" customWidth="1"/>
    <col min="3100" max="3100" width="6.5546875" style="781" customWidth="1"/>
    <col min="3101" max="3101" width="15.44140625" style="781" customWidth="1"/>
    <col min="3102" max="3102" width="36.6640625" style="781" customWidth="1"/>
    <col min="3103" max="3103" width="0" style="781" hidden="1" customWidth="1"/>
    <col min="3104" max="3104" width="9.109375" style="781" bestFit="1" customWidth="1"/>
    <col min="3105" max="3105" width="10.33203125" style="781" bestFit="1" customWidth="1"/>
    <col min="3106" max="3347" width="9.109375" style="781" bestFit="1" customWidth="1"/>
    <col min="3348" max="3348" width="2.6640625" style="781" customWidth="1"/>
    <col min="3349" max="3349" width="5" style="781" customWidth="1"/>
    <col min="3350" max="3350" width="11.6640625" style="781" customWidth="1"/>
    <col min="3351" max="3351" width="17" style="781" customWidth="1"/>
    <col min="3352" max="3352" width="6.6640625" style="781" customWidth="1"/>
    <col min="3353" max="3353" width="18.33203125" style="781" customWidth="1"/>
    <col min="3354" max="3354" width="10" style="781" customWidth="1"/>
    <col min="3355" max="3355" width="9" style="781" bestFit="1" customWidth="1"/>
    <col min="3356" max="3356" width="6.5546875" style="781" customWidth="1"/>
    <col min="3357" max="3357" width="15.44140625" style="781" customWidth="1"/>
    <col min="3358" max="3358" width="36.6640625" style="781" customWidth="1"/>
    <col min="3359" max="3359" width="0" style="781" hidden="1" customWidth="1"/>
    <col min="3360" max="3360" width="9.109375" style="781" bestFit="1" customWidth="1"/>
    <col min="3361" max="3361" width="10.33203125" style="781" bestFit="1" customWidth="1"/>
    <col min="3362" max="3603" width="9.109375" style="781" bestFit="1" customWidth="1"/>
    <col min="3604" max="3604" width="2.6640625" style="781" customWidth="1"/>
    <col min="3605" max="3605" width="5" style="781" customWidth="1"/>
    <col min="3606" max="3606" width="11.6640625" style="781" customWidth="1"/>
    <col min="3607" max="3607" width="17" style="781" customWidth="1"/>
    <col min="3608" max="3608" width="6.6640625" style="781" customWidth="1"/>
    <col min="3609" max="3609" width="18.33203125" style="781" customWidth="1"/>
    <col min="3610" max="3610" width="10" style="781" customWidth="1"/>
    <col min="3611" max="3611" width="9" style="781" bestFit="1" customWidth="1"/>
    <col min="3612" max="3612" width="6.5546875" style="781" customWidth="1"/>
    <col min="3613" max="3613" width="15.44140625" style="781" customWidth="1"/>
    <col min="3614" max="3614" width="36.6640625" style="781" customWidth="1"/>
    <col min="3615" max="3615" width="0" style="781" hidden="1" customWidth="1"/>
    <col min="3616" max="3616" width="9.109375" style="781" bestFit="1" customWidth="1"/>
    <col min="3617" max="3617" width="10.33203125" style="781" bestFit="1" customWidth="1"/>
    <col min="3618" max="3859" width="9.109375" style="781" bestFit="1" customWidth="1"/>
    <col min="3860" max="3860" width="2.6640625" style="781" customWidth="1"/>
    <col min="3861" max="3861" width="5" style="781" customWidth="1"/>
    <col min="3862" max="3862" width="11.6640625" style="781" customWidth="1"/>
    <col min="3863" max="3863" width="17" style="781" customWidth="1"/>
    <col min="3864" max="3864" width="6.6640625" style="781" customWidth="1"/>
    <col min="3865" max="3865" width="18.33203125" style="781" customWidth="1"/>
    <col min="3866" max="3866" width="10" style="781" customWidth="1"/>
    <col min="3867" max="3867" width="9" style="781" bestFit="1" customWidth="1"/>
    <col min="3868" max="3868" width="6.5546875" style="781" customWidth="1"/>
    <col min="3869" max="3869" width="15.44140625" style="781" customWidth="1"/>
    <col min="3870" max="3870" width="36.6640625" style="781" customWidth="1"/>
    <col min="3871" max="3871" width="0" style="781" hidden="1" customWidth="1"/>
    <col min="3872" max="3872" width="9.109375" style="781" bestFit="1" customWidth="1"/>
    <col min="3873" max="3873" width="10.33203125" style="781" bestFit="1" customWidth="1"/>
    <col min="3874" max="4115" width="9.109375" style="781" bestFit="1" customWidth="1"/>
    <col min="4116" max="4116" width="2.6640625" style="781" customWidth="1"/>
    <col min="4117" max="4117" width="5" style="781" customWidth="1"/>
    <col min="4118" max="4118" width="11.6640625" style="781" customWidth="1"/>
    <col min="4119" max="4119" width="17" style="781" customWidth="1"/>
    <col min="4120" max="4120" width="6.6640625" style="781" customWidth="1"/>
    <col min="4121" max="4121" width="18.33203125" style="781" customWidth="1"/>
    <col min="4122" max="4122" width="10" style="781" customWidth="1"/>
    <col min="4123" max="4123" width="9" style="781" bestFit="1" customWidth="1"/>
    <col min="4124" max="4124" width="6.5546875" style="781" customWidth="1"/>
    <col min="4125" max="4125" width="15.44140625" style="781" customWidth="1"/>
    <col min="4126" max="4126" width="36.6640625" style="781" customWidth="1"/>
    <col min="4127" max="4127" width="0" style="781" hidden="1" customWidth="1"/>
    <col min="4128" max="4128" width="9.109375" style="781" bestFit="1" customWidth="1"/>
    <col min="4129" max="4129" width="10.33203125" style="781" bestFit="1" customWidth="1"/>
    <col min="4130" max="4371" width="9.109375" style="781" bestFit="1" customWidth="1"/>
    <col min="4372" max="4372" width="2.6640625" style="781" customWidth="1"/>
    <col min="4373" max="4373" width="5" style="781" customWidth="1"/>
    <col min="4374" max="4374" width="11.6640625" style="781" customWidth="1"/>
    <col min="4375" max="4375" width="17" style="781" customWidth="1"/>
    <col min="4376" max="4376" width="6.6640625" style="781" customWidth="1"/>
    <col min="4377" max="4377" width="18.33203125" style="781" customWidth="1"/>
    <col min="4378" max="4378" width="10" style="781" customWidth="1"/>
    <col min="4379" max="4379" width="9" style="781" bestFit="1" customWidth="1"/>
    <col min="4380" max="4380" width="6.5546875" style="781" customWidth="1"/>
    <col min="4381" max="4381" width="15.44140625" style="781" customWidth="1"/>
    <col min="4382" max="4382" width="36.6640625" style="781" customWidth="1"/>
    <col min="4383" max="4383" width="0" style="781" hidden="1" customWidth="1"/>
    <col min="4384" max="4384" width="9.109375" style="781" bestFit="1" customWidth="1"/>
    <col min="4385" max="4385" width="10.33203125" style="781" bestFit="1" customWidth="1"/>
    <col min="4386" max="4627" width="9.109375" style="781" bestFit="1" customWidth="1"/>
    <col min="4628" max="4628" width="2.6640625" style="781" customWidth="1"/>
    <col min="4629" max="4629" width="5" style="781" customWidth="1"/>
    <col min="4630" max="4630" width="11.6640625" style="781" customWidth="1"/>
    <col min="4631" max="4631" width="17" style="781" customWidth="1"/>
    <col min="4632" max="4632" width="6.6640625" style="781" customWidth="1"/>
    <col min="4633" max="4633" width="18.33203125" style="781" customWidth="1"/>
    <col min="4634" max="4634" width="10" style="781" customWidth="1"/>
    <col min="4635" max="4635" width="9" style="781" bestFit="1" customWidth="1"/>
    <col min="4636" max="4636" width="6.5546875" style="781" customWidth="1"/>
    <col min="4637" max="4637" width="15.44140625" style="781" customWidth="1"/>
    <col min="4638" max="4638" width="36.6640625" style="781" customWidth="1"/>
    <col min="4639" max="4639" width="0" style="781" hidden="1" customWidth="1"/>
    <col min="4640" max="4640" width="9.109375" style="781" bestFit="1" customWidth="1"/>
    <col min="4641" max="4641" width="10.33203125" style="781" bestFit="1" customWidth="1"/>
    <col min="4642" max="4883" width="9.109375" style="781" bestFit="1" customWidth="1"/>
    <col min="4884" max="4884" width="2.6640625" style="781" customWidth="1"/>
    <col min="4885" max="4885" width="5" style="781" customWidth="1"/>
    <col min="4886" max="4886" width="11.6640625" style="781" customWidth="1"/>
    <col min="4887" max="4887" width="17" style="781" customWidth="1"/>
    <col min="4888" max="4888" width="6.6640625" style="781" customWidth="1"/>
    <col min="4889" max="4889" width="18.33203125" style="781" customWidth="1"/>
    <col min="4890" max="4890" width="10" style="781" customWidth="1"/>
    <col min="4891" max="4891" width="9" style="781" bestFit="1" customWidth="1"/>
    <col min="4892" max="4892" width="6.5546875" style="781" customWidth="1"/>
    <col min="4893" max="4893" width="15.44140625" style="781" customWidth="1"/>
    <col min="4894" max="4894" width="36.6640625" style="781" customWidth="1"/>
    <col min="4895" max="4895" width="0" style="781" hidden="1" customWidth="1"/>
    <col min="4896" max="4896" width="9.109375" style="781" bestFit="1" customWidth="1"/>
    <col min="4897" max="4897" width="10.33203125" style="781" bestFit="1" customWidth="1"/>
    <col min="4898" max="5139" width="9.109375" style="781" bestFit="1" customWidth="1"/>
    <col min="5140" max="5140" width="2.6640625" style="781" customWidth="1"/>
    <col min="5141" max="5141" width="5" style="781" customWidth="1"/>
    <col min="5142" max="5142" width="11.6640625" style="781" customWidth="1"/>
    <col min="5143" max="5143" width="17" style="781" customWidth="1"/>
    <col min="5144" max="5144" width="6.6640625" style="781" customWidth="1"/>
    <col min="5145" max="5145" width="18.33203125" style="781" customWidth="1"/>
    <col min="5146" max="5146" width="10" style="781" customWidth="1"/>
    <col min="5147" max="5147" width="9" style="781" bestFit="1" customWidth="1"/>
    <col min="5148" max="5148" width="6.5546875" style="781" customWidth="1"/>
    <col min="5149" max="5149" width="15.44140625" style="781" customWidth="1"/>
    <col min="5150" max="5150" width="36.6640625" style="781" customWidth="1"/>
    <col min="5151" max="5151" width="0" style="781" hidden="1" customWidth="1"/>
    <col min="5152" max="5152" width="9.109375" style="781" bestFit="1" customWidth="1"/>
    <col min="5153" max="5153" width="10.33203125" style="781" bestFit="1" customWidth="1"/>
    <col min="5154" max="5395" width="9.109375" style="781" bestFit="1" customWidth="1"/>
    <col min="5396" max="5396" width="2.6640625" style="781" customWidth="1"/>
    <col min="5397" max="5397" width="5" style="781" customWidth="1"/>
    <col min="5398" max="5398" width="11.6640625" style="781" customWidth="1"/>
    <col min="5399" max="5399" width="17" style="781" customWidth="1"/>
    <col min="5400" max="5400" width="6.6640625" style="781" customWidth="1"/>
    <col min="5401" max="5401" width="18.33203125" style="781" customWidth="1"/>
    <col min="5402" max="5402" width="10" style="781" customWidth="1"/>
    <col min="5403" max="5403" width="9" style="781" bestFit="1" customWidth="1"/>
    <col min="5404" max="5404" width="6.5546875" style="781" customWidth="1"/>
    <col min="5405" max="5405" width="15.44140625" style="781" customWidth="1"/>
    <col min="5406" max="5406" width="36.6640625" style="781" customWidth="1"/>
    <col min="5407" max="5407" width="0" style="781" hidden="1" customWidth="1"/>
    <col min="5408" max="5408" width="9.109375" style="781" bestFit="1" customWidth="1"/>
    <col min="5409" max="5409" width="10.33203125" style="781" bestFit="1" customWidth="1"/>
    <col min="5410" max="5651" width="9.109375" style="781" bestFit="1" customWidth="1"/>
    <col min="5652" max="5652" width="2.6640625" style="781" customWidth="1"/>
    <col min="5653" max="5653" width="5" style="781" customWidth="1"/>
    <col min="5654" max="5654" width="11.6640625" style="781" customWidth="1"/>
    <col min="5655" max="5655" width="17" style="781" customWidth="1"/>
    <col min="5656" max="5656" width="6.6640625" style="781" customWidth="1"/>
    <col min="5657" max="5657" width="18.33203125" style="781" customWidth="1"/>
    <col min="5658" max="5658" width="10" style="781" customWidth="1"/>
    <col min="5659" max="5659" width="9" style="781" bestFit="1" customWidth="1"/>
    <col min="5660" max="5660" width="6.5546875" style="781" customWidth="1"/>
    <col min="5661" max="5661" width="15.44140625" style="781" customWidth="1"/>
    <col min="5662" max="5662" width="36.6640625" style="781" customWidth="1"/>
    <col min="5663" max="5663" width="0" style="781" hidden="1" customWidth="1"/>
    <col min="5664" max="5664" width="9.109375" style="781" bestFit="1" customWidth="1"/>
    <col min="5665" max="5665" width="10.33203125" style="781" bestFit="1" customWidth="1"/>
    <col min="5666" max="5907" width="9.109375" style="781" bestFit="1" customWidth="1"/>
    <col min="5908" max="5908" width="2.6640625" style="781" customWidth="1"/>
    <col min="5909" max="5909" width="5" style="781" customWidth="1"/>
    <col min="5910" max="5910" width="11.6640625" style="781" customWidth="1"/>
    <col min="5911" max="5911" width="17" style="781" customWidth="1"/>
    <col min="5912" max="5912" width="6.6640625" style="781" customWidth="1"/>
    <col min="5913" max="5913" width="18.33203125" style="781" customWidth="1"/>
    <col min="5914" max="5914" width="10" style="781" customWidth="1"/>
    <col min="5915" max="5915" width="9" style="781" bestFit="1" customWidth="1"/>
    <col min="5916" max="5916" width="6.5546875" style="781" customWidth="1"/>
    <col min="5917" max="5917" width="15.44140625" style="781" customWidth="1"/>
    <col min="5918" max="5918" width="36.6640625" style="781" customWidth="1"/>
    <col min="5919" max="5919" width="0" style="781" hidden="1" customWidth="1"/>
    <col min="5920" max="5920" width="9.109375" style="781" bestFit="1" customWidth="1"/>
    <col min="5921" max="5921" width="10.33203125" style="781" bestFit="1" customWidth="1"/>
    <col min="5922" max="6163" width="9.109375" style="781" bestFit="1" customWidth="1"/>
    <col min="6164" max="6164" width="2.6640625" style="781" customWidth="1"/>
    <col min="6165" max="6165" width="5" style="781" customWidth="1"/>
    <col min="6166" max="6166" width="11.6640625" style="781" customWidth="1"/>
    <col min="6167" max="6167" width="17" style="781" customWidth="1"/>
    <col min="6168" max="6168" width="6.6640625" style="781" customWidth="1"/>
    <col min="6169" max="6169" width="18.33203125" style="781" customWidth="1"/>
    <col min="6170" max="6170" width="10" style="781" customWidth="1"/>
    <col min="6171" max="6171" width="9" style="781" bestFit="1" customWidth="1"/>
    <col min="6172" max="6172" width="6.5546875" style="781" customWidth="1"/>
    <col min="6173" max="6173" width="15.44140625" style="781" customWidth="1"/>
    <col min="6174" max="6174" width="36.6640625" style="781" customWidth="1"/>
    <col min="6175" max="6175" width="0" style="781" hidden="1" customWidth="1"/>
    <col min="6176" max="6176" width="9.109375" style="781" bestFit="1" customWidth="1"/>
    <col min="6177" max="6177" width="10.33203125" style="781" bestFit="1" customWidth="1"/>
    <col min="6178" max="6419" width="9.109375" style="781" bestFit="1" customWidth="1"/>
    <col min="6420" max="6420" width="2.6640625" style="781" customWidth="1"/>
    <col min="6421" max="6421" width="5" style="781" customWidth="1"/>
    <col min="6422" max="6422" width="11.6640625" style="781" customWidth="1"/>
    <col min="6423" max="6423" width="17" style="781" customWidth="1"/>
    <col min="6424" max="6424" width="6.6640625" style="781" customWidth="1"/>
    <col min="6425" max="6425" width="18.33203125" style="781" customWidth="1"/>
    <col min="6426" max="6426" width="10" style="781" customWidth="1"/>
    <col min="6427" max="6427" width="9" style="781" bestFit="1" customWidth="1"/>
    <col min="6428" max="6428" width="6.5546875" style="781" customWidth="1"/>
    <col min="6429" max="6429" width="15.44140625" style="781" customWidth="1"/>
    <col min="6430" max="6430" width="36.6640625" style="781" customWidth="1"/>
    <col min="6431" max="6431" width="0" style="781" hidden="1" customWidth="1"/>
    <col min="6432" max="6432" width="9.109375" style="781" bestFit="1" customWidth="1"/>
    <col min="6433" max="6433" width="10.33203125" style="781" bestFit="1" customWidth="1"/>
    <col min="6434" max="6675" width="9.109375" style="781" bestFit="1" customWidth="1"/>
    <col min="6676" max="6676" width="2.6640625" style="781" customWidth="1"/>
    <col min="6677" max="6677" width="5" style="781" customWidth="1"/>
    <col min="6678" max="6678" width="11.6640625" style="781" customWidth="1"/>
    <col min="6679" max="6679" width="17" style="781" customWidth="1"/>
    <col min="6680" max="6680" width="6.6640625" style="781" customWidth="1"/>
    <col min="6681" max="6681" width="18.33203125" style="781" customWidth="1"/>
    <col min="6682" max="6682" width="10" style="781" customWidth="1"/>
    <col min="6683" max="6683" width="9" style="781" bestFit="1" customWidth="1"/>
    <col min="6684" max="6684" width="6.5546875" style="781" customWidth="1"/>
    <col min="6685" max="6685" width="15.44140625" style="781" customWidth="1"/>
    <col min="6686" max="6686" width="36.6640625" style="781" customWidth="1"/>
    <col min="6687" max="6687" width="0" style="781" hidden="1" customWidth="1"/>
    <col min="6688" max="6688" width="9.109375" style="781" bestFit="1" customWidth="1"/>
    <col min="6689" max="6689" width="10.33203125" style="781" bestFit="1" customWidth="1"/>
    <col min="6690" max="6931" width="9.109375" style="781" bestFit="1" customWidth="1"/>
    <col min="6932" max="6932" width="2.6640625" style="781" customWidth="1"/>
    <col min="6933" max="6933" width="5" style="781" customWidth="1"/>
    <col min="6934" max="6934" width="11.6640625" style="781" customWidth="1"/>
    <col min="6935" max="6935" width="17" style="781" customWidth="1"/>
    <col min="6936" max="6936" width="6.6640625" style="781" customWidth="1"/>
    <col min="6937" max="6937" width="18.33203125" style="781" customWidth="1"/>
    <col min="6938" max="6938" width="10" style="781" customWidth="1"/>
    <col min="6939" max="6939" width="9" style="781" bestFit="1" customWidth="1"/>
    <col min="6940" max="6940" width="6.5546875" style="781" customWidth="1"/>
    <col min="6941" max="6941" width="15.44140625" style="781" customWidth="1"/>
    <col min="6942" max="6942" width="36.6640625" style="781" customWidth="1"/>
    <col min="6943" max="6943" width="0" style="781" hidden="1" customWidth="1"/>
    <col min="6944" max="6944" width="9.109375" style="781" bestFit="1" customWidth="1"/>
    <col min="6945" max="6945" width="10.33203125" style="781" bestFit="1" customWidth="1"/>
    <col min="6946" max="7187" width="9.109375" style="781" bestFit="1" customWidth="1"/>
    <col min="7188" max="7188" width="2.6640625" style="781" customWidth="1"/>
    <col min="7189" max="7189" width="5" style="781" customWidth="1"/>
    <col min="7190" max="7190" width="11.6640625" style="781" customWidth="1"/>
    <col min="7191" max="7191" width="17" style="781" customWidth="1"/>
    <col min="7192" max="7192" width="6.6640625" style="781" customWidth="1"/>
    <col min="7193" max="7193" width="18.33203125" style="781" customWidth="1"/>
    <col min="7194" max="7194" width="10" style="781" customWidth="1"/>
    <col min="7195" max="7195" width="9" style="781" bestFit="1" customWidth="1"/>
    <col min="7196" max="7196" width="6.5546875" style="781" customWidth="1"/>
    <col min="7197" max="7197" width="15.44140625" style="781" customWidth="1"/>
    <col min="7198" max="7198" width="36.6640625" style="781" customWidth="1"/>
    <col min="7199" max="7199" width="0" style="781" hidden="1" customWidth="1"/>
    <col min="7200" max="7200" width="9.109375" style="781" bestFit="1" customWidth="1"/>
    <col min="7201" max="7201" width="10.33203125" style="781" bestFit="1" customWidth="1"/>
    <col min="7202" max="7443" width="9.109375" style="781" bestFit="1" customWidth="1"/>
    <col min="7444" max="7444" width="2.6640625" style="781" customWidth="1"/>
    <col min="7445" max="7445" width="5" style="781" customWidth="1"/>
    <col min="7446" max="7446" width="11.6640625" style="781" customWidth="1"/>
    <col min="7447" max="7447" width="17" style="781" customWidth="1"/>
    <col min="7448" max="7448" width="6.6640625" style="781" customWidth="1"/>
    <col min="7449" max="7449" width="18.33203125" style="781" customWidth="1"/>
    <col min="7450" max="7450" width="10" style="781" customWidth="1"/>
    <col min="7451" max="7451" width="9" style="781" bestFit="1" customWidth="1"/>
    <col min="7452" max="7452" width="6.5546875" style="781" customWidth="1"/>
    <col min="7453" max="7453" width="15.44140625" style="781" customWidth="1"/>
    <col min="7454" max="7454" width="36.6640625" style="781" customWidth="1"/>
    <col min="7455" max="7455" width="0" style="781" hidden="1" customWidth="1"/>
    <col min="7456" max="7456" width="9.109375" style="781" bestFit="1" customWidth="1"/>
    <col min="7457" max="7457" width="10.33203125" style="781" bestFit="1" customWidth="1"/>
    <col min="7458" max="7699" width="9.109375" style="781" bestFit="1" customWidth="1"/>
    <col min="7700" max="7700" width="2.6640625" style="781" customWidth="1"/>
    <col min="7701" max="7701" width="5" style="781" customWidth="1"/>
    <col min="7702" max="7702" width="11.6640625" style="781" customWidth="1"/>
    <col min="7703" max="7703" width="17" style="781" customWidth="1"/>
    <col min="7704" max="7704" width="6.6640625" style="781" customWidth="1"/>
    <col min="7705" max="7705" width="18.33203125" style="781" customWidth="1"/>
    <col min="7706" max="7706" width="10" style="781" customWidth="1"/>
    <col min="7707" max="7707" width="9" style="781" bestFit="1" customWidth="1"/>
    <col min="7708" max="7708" width="6.5546875" style="781" customWidth="1"/>
    <col min="7709" max="7709" width="15.44140625" style="781" customWidth="1"/>
    <col min="7710" max="7710" width="36.6640625" style="781" customWidth="1"/>
    <col min="7711" max="7711" width="0" style="781" hidden="1" customWidth="1"/>
    <col min="7712" max="7712" width="9.109375" style="781" bestFit="1" customWidth="1"/>
    <col min="7713" max="7713" width="10.33203125" style="781" bestFit="1" customWidth="1"/>
    <col min="7714" max="7955" width="9.109375" style="781" bestFit="1" customWidth="1"/>
    <col min="7956" max="7956" width="2.6640625" style="781" customWidth="1"/>
    <col min="7957" max="7957" width="5" style="781" customWidth="1"/>
    <col min="7958" max="7958" width="11.6640625" style="781" customWidth="1"/>
    <col min="7959" max="7959" width="17" style="781" customWidth="1"/>
    <col min="7960" max="7960" width="6.6640625" style="781" customWidth="1"/>
    <col min="7961" max="7961" width="18.33203125" style="781" customWidth="1"/>
    <col min="7962" max="7962" width="10" style="781" customWidth="1"/>
    <col min="7963" max="7963" width="9" style="781" bestFit="1" customWidth="1"/>
    <col min="7964" max="7964" width="6.5546875" style="781" customWidth="1"/>
    <col min="7965" max="7965" width="15.44140625" style="781" customWidth="1"/>
    <col min="7966" max="7966" width="36.6640625" style="781" customWidth="1"/>
    <col min="7967" max="7967" width="0" style="781" hidden="1" customWidth="1"/>
    <col min="7968" max="7968" width="9.109375" style="781" bestFit="1" customWidth="1"/>
    <col min="7969" max="7969" width="10.33203125" style="781" bestFit="1" customWidth="1"/>
    <col min="7970" max="8211" width="9.109375" style="781" bestFit="1" customWidth="1"/>
    <col min="8212" max="8212" width="2.6640625" style="781" customWidth="1"/>
    <col min="8213" max="8213" width="5" style="781" customWidth="1"/>
    <col min="8214" max="8214" width="11.6640625" style="781" customWidth="1"/>
    <col min="8215" max="8215" width="17" style="781" customWidth="1"/>
    <col min="8216" max="8216" width="6.6640625" style="781" customWidth="1"/>
    <col min="8217" max="8217" width="18.33203125" style="781" customWidth="1"/>
    <col min="8218" max="8218" width="10" style="781" customWidth="1"/>
    <col min="8219" max="8219" width="9" style="781" bestFit="1" customWidth="1"/>
    <col min="8220" max="8220" width="6.5546875" style="781" customWidth="1"/>
    <col min="8221" max="8221" width="15.44140625" style="781" customWidth="1"/>
    <col min="8222" max="8222" width="36.6640625" style="781" customWidth="1"/>
    <col min="8223" max="8223" width="0" style="781" hidden="1" customWidth="1"/>
    <col min="8224" max="8224" width="9.109375" style="781" bestFit="1" customWidth="1"/>
    <col min="8225" max="8225" width="10.33203125" style="781" bestFit="1" customWidth="1"/>
    <col min="8226" max="8467" width="9.109375" style="781" bestFit="1" customWidth="1"/>
    <col min="8468" max="8468" width="2.6640625" style="781" customWidth="1"/>
    <col min="8469" max="8469" width="5" style="781" customWidth="1"/>
    <col min="8470" max="8470" width="11.6640625" style="781" customWidth="1"/>
    <col min="8471" max="8471" width="17" style="781" customWidth="1"/>
    <col min="8472" max="8472" width="6.6640625" style="781" customWidth="1"/>
    <col min="8473" max="8473" width="18.33203125" style="781" customWidth="1"/>
    <col min="8474" max="8474" width="10" style="781" customWidth="1"/>
    <col min="8475" max="8475" width="9" style="781" bestFit="1" customWidth="1"/>
    <col min="8476" max="8476" width="6.5546875" style="781" customWidth="1"/>
    <col min="8477" max="8477" width="15.44140625" style="781" customWidth="1"/>
    <col min="8478" max="8478" width="36.6640625" style="781" customWidth="1"/>
    <col min="8479" max="8479" width="0" style="781" hidden="1" customWidth="1"/>
    <col min="8480" max="8480" width="9.109375" style="781" bestFit="1" customWidth="1"/>
    <col min="8481" max="8481" width="10.33203125" style="781" bestFit="1" customWidth="1"/>
    <col min="8482" max="8723" width="9.109375" style="781" bestFit="1" customWidth="1"/>
    <col min="8724" max="8724" width="2.6640625" style="781" customWidth="1"/>
    <col min="8725" max="8725" width="5" style="781" customWidth="1"/>
    <col min="8726" max="8726" width="11.6640625" style="781" customWidth="1"/>
    <col min="8727" max="8727" width="17" style="781" customWidth="1"/>
    <col min="8728" max="8728" width="6.6640625" style="781" customWidth="1"/>
    <col min="8729" max="8729" width="18.33203125" style="781" customWidth="1"/>
    <col min="8730" max="8730" width="10" style="781" customWidth="1"/>
    <col min="8731" max="8731" width="9" style="781" bestFit="1" customWidth="1"/>
    <col min="8732" max="8732" width="6.5546875" style="781" customWidth="1"/>
    <col min="8733" max="8733" width="15.44140625" style="781" customWidth="1"/>
    <col min="8734" max="8734" width="36.6640625" style="781" customWidth="1"/>
    <col min="8735" max="8735" width="0" style="781" hidden="1" customWidth="1"/>
    <col min="8736" max="8736" width="9.109375" style="781" bestFit="1" customWidth="1"/>
    <col min="8737" max="8737" width="10.33203125" style="781" bestFit="1" customWidth="1"/>
    <col min="8738" max="8979" width="9.109375" style="781" bestFit="1" customWidth="1"/>
    <col min="8980" max="8980" width="2.6640625" style="781" customWidth="1"/>
    <col min="8981" max="8981" width="5" style="781" customWidth="1"/>
    <col min="8982" max="8982" width="11.6640625" style="781" customWidth="1"/>
    <col min="8983" max="8983" width="17" style="781" customWidth="1"/>
    <col min="8984" max="8984" width="6.6640625" style="781" customWidth="1"/>
    <col min="8985" max="8985" width="18.33203125" style="781" customWidth="1"/>
    <col min="8986" max="8986" width="10" style="781" customWidth="1"/>
    <col min="8987" max="8987" width="9" style="781" bestFit="1" customWidth="1"/>
    <col min="8988" max="8988" width="6.5546875" style="781" customWidth="1"/>
    <col min="8989" max="8989" width="15.44140625" style="781" customWidth="1"/>
    <col min="8990" max="8990" width="36.6640625" style="781" customWidth="1"/>
    <col min="8991" max="8991" width="0" style="781" hidden="1" customWidth="1"/>
    <col min="8992" max="8992" width="9.109375" style="781" bestFit="1" customWidth="1"/>
    <col min="8993" max="8993" width="10.33203125" style="781" bestFit="1" customWidth="1"/>
    <col min="8994" max="9235" width="9.109375" style="781" bestFit="1" customWidth="1"/>
    <col min="9236" max="9236" width="2.6640625" style="781" customWidth="1"/>
    <col min="9237" max="9237" width="5" style="781" customWidth="1"/>
    <col min="9238" max="9238" width="11.6640625" style="781" customWidth="1"/>
    <col min="9239" max="9239" width="17" style="781" customWidth="1"/>
    <col min="9240" max="9240" width="6.6640625" style="781" customWidth="1"/>
    <col min="9241" max="9241" width="18.33203125" style="781" customWidth="1"/>
    <col min="9242" max="9242" width="10" style="781" customWidth="1"/>
    <col min="9243" max="9243" width="9" style="781" bestFit="1" customWidth="1"/>
    <col min="9244" max="9244" width="6.5546875" style="781" customWidth="1"/>
    <col min="9245" max="9245" width="15.44140625" style="781" customWidth="1"/>
    <col min="9246" max="9246" width="36.6640625" style="781" customWidth="1"/>
    <col min="9247" max="9247" width="0" style="781" hidden="1" customWidth="1"/>
    <col min="9248" max="9248" width="9.109375" style="781" bestFit="1" customWidth="1"/>
    <col min="9249" max="9249" width="10.33203125" style="781" bestFit="1" customWidth="1"/>
    <col min="9250" max="9491" width="9.109375" style="781" bestFit="1" customWidth="1"/>
    <col min="9492" max="9492" width="2.6640625" style="781" customWidth="1"/>
    <col min="9493" max="9493" width="5" style="781" customWidth="1"/>
    <col min="9494" max="9494" width="11.6640625" style="781" customWidth="1"/>
    <col min="9495" max="9495" width="17" style="781" customWidth="1"/>
    <col min="9496" max="9496" width="6.6640625" style="781" customWidth="1"/>
    <col min="9497" max="9497" width="18.33203125" style="781" customWidth="1"/>
    <col min="9498" max="9498" width="10" style="781" customWidth="1"/>
    <col min="9499" max="9499" width="9" style="781" bestFit="1" customWidth="1"/>
    <col min="9500" max="9500" width="6.5546875" style="781" customWidth="1"/>
    <col min="9501" max="9501" width="15.44140625" style="781" customWidth="1"/>
    <col min="9502" max="9502" width="36.6640625" style="781" customWidth="1"/>
    <col min="9503" max="9503" width="0" style="781" hidden="1" customWidth="1"/>
    <col min="9504" max="9504" width="9.109375" style="781" bestFit="1" customWidth="1"/>
    <col min="9505" max="9505" width="10.33203125" style="781" bestFit="1" customWidth="1"/>
    <col min="9506" max="9747" width="9.109375" style="781" bestFit="1" customWidth="1"/>
    <col min="9748" max="9748" width="2.6640625" style="781" customWidth="1"/>
    <col min="9749" max="9749" width="5" style="781" customWidth="1"/>
    <col min="9750" max="9750" width="11.6640625" style="781" customWidth="1"/>
    <col min="9751" max="9751" width="17" style="781" customWidth="1"/>
    <col min="9752" max="9752" width="6.6640625" style="781" customWidth="1"/>
    <col min="9753" max="9753" width="18.33203125" style="781" customWidth="1"/>
    <col min="9754" max="9754" width="10" style="781" customWidth="1"/>
    <col min="9755" max="9755" width="9" style="781" bestFit="1" customWidth="1"/>
    <col min="9756" max="9756" width="6.5546875" style="781" customWidth="1"/>
    <col min="9757" max="9757" width="15.44140625" style="781" customWidth="1"/>
    <col min="9758" max="9758" width="36.6640625" style="781" customWidth="1"/>
    <col min="9759" max="9759" width="0" style="781" hidden="1" customWidth="1"/>
    <col min="9760" max="9760" width="9.109375" style="781" bestFit="1" customWidth="1"/>
    <col min="9761" max="9761" width="10.33203125" style="781" bestFit="1" customWidth="1"/>
    <col min="9762" max="10003" width="9.109375" style="781" bestFit="1" customWidth="1"/>
    <col min="10004" max="10004" width="2.6640625" style="781" customWidth="1"/>
    <col min="10005" max="10005" width="5" style="781" customWidth="1"/>
    <col min="10006" max="10006" width="11.6640625" style="781" customWidth="1"/>
    <col min="10007" max="10007" width="17" style="781" customWidth="1"/>
    <col min="10008" max="10008" width="6.6640625" style="781" customWidth="1"/>
    <col min="10009" max="10009" width="18.33203125" style="781" customWidth="1"/>
    <col min="10010" max="10010" width="10" style="781" customWidth="1"/>
    <col min="10011" max="10011" width="9" style="781" bestFit="1" customWidth="1"/>
    <col min="10012" max="10012" width="6.5546875" style="781" customWidth="1"/>
    <col min="10013" max="10013" width="15.44140625" style="781" customWidth="1"/>
    <col min="10014" max="10014" width="36.6640625" style="781" customWidth="1"/>
    <col min="10015" max="10015" width="0" style="781" hidden="1" customWidth="1"/>
    <col min="10016" max="10016" width="9.109375" style="781" bestFit="1" customWidth="1"/>
    <col min="10017" max="10017" width="10.33203125" style="781" bestFit="1" customWidth="1"/>
    <col min="10018" max="10259" width="9.109375" style="781" bestFit="1" customWidth="1"/>
    <col min="10260" max="10260" width="2.6640625" style="781" customWidth="1"/>
    <col min="10261" max="10261" width="5" style="781" customWidth="1"/>
    <col min="10262" max="10262" width="11.6640625" style="781" customWidth="1"/>
    <col min="10263" max="10263" width="17" style="781" customWidth="1"/>
    <col min="10264" max="10264" width="6.6640625" style="781" customWidth="1"/>
    <col min="10265" max="10265" width="18.33203125" style="781" customWidth="1"/>
    <col min="10266" max="10266" width="10" style="781" customWidth="1"/>
    <col min="10267" max="10267" width="9" style="781" bestFit="1" customWidth="1"/>
    <col min="10268" max="10268" width="6.5546875" style="781" customWidth="1"/>
    <col min="10269" max="10269" width="15.44140625" style="781" customWidth="1"/>
    <col min="10270" max="10270" width="36.6640625" style="781" customWidth="1"/>
    <col min="10271" max="10271" width="0" style="781" hidden="1" customWidth="1"/>
    <col min="10272" max="10272" width="9.109375" style="781" bestFit="1" customWidth="1"/>
    <col min="10273" max="10273" width="10.33203125" style="781" bestFit="1" customWidth="1"/>
    <col min="10274" max="10515" width="9.109375" style="781" bestFit="1" customWidth="1"/>
    <col min="10516" max="10516" width="2.6640625" style="781" customWidth="1"/>
    <col min="10517" max="10517" width="5" style="781" customWidth="1"/>
    <col min="10518" max="10518" width="11.6640625" style="781" customWidth="1"/>
    <col min="10519" max="10519" width="17" style="781" customWidth="1"/>
    <col min="10520" max="10520" width="6.6640625" style="781" customWidth="1"/>
    <col min="10521" max="10521" width="18.33203125" style="781" customWidth="1"/>
    <col min="10522" max="10522" width="10" style="781" customWidth="1"/>
    <col min="10523" max="10523" width="9" style="781" bestFit="1" customWidth="1"/>
    <col min="10524" max="10524" width="6.5546875" style="781" customWidth="1"/>
    <col min="10525" max="10525" width="15.44140625" style="781" customWidth="1"/>
    <col min="10526" max="10526" width="36.6640625" style="781" customWidth="1"/>
    <col min="10527" max="10527" width="0" style="781" hidden="1" customWidth="1"/>
    <col min="10528" max="10528" width="9.109375" style="781" bestFit="1" customWidth="1"/>
    <col min="10529" max="10529" width="10.33203125" style="781" bestFit="1" customWidth="1"/>
    <col min="10530" max="10771" width="9.109375" style="781" bestFit="1" customWidth="1"/>
    <col min="10772" max="10772" width="2.6640625" style="781" customWidth="1"/>
    <col min="10773" max="10773" width="5" style="781" customWidth="1"/>
    <col min="10774" max="10774" width="11.6640625" style="781" customWidth="1"/>
    <col min="10775" max="10775" width="17" style="781" customWidth="1"/>
    <col min="10776" max="10776" width="6.6640625" style="781" customWidth="1"/>
    <col min="10777" max="10777" width="18.33203125" style="781" customWidth="1"/>
    <col min="10778" max="10778" width="10" style="781" customWidth="1"/>
    <col min="10779" max="10779" width="9" style="781" bestFit="1" customWidth="1"/>
    <col min="10780" max="10780" width="6.5546875" style="781" customWidth="1"/>
    <col min="10781" max="10781" width="15.44140625" style="781" customWidth="1"/>
    <col min="10782" max="10782" width="36.6640625" style="781" customWidth="1"/>
    <col min="10783" max="10783" width="0" style="781" hidden="1" customWidth="1"/>
    <col min="10784" max="10784" width="9.109375" style="781" bestFit="1" customWidth="1"/>
    <col min="10785" max="10785" width="10.33203125" style="781" bestFit="1" customWidth="1"/>
    <col min="10786" max="11027" width="9.109375" style="781" bestFit="1" customWidth="1"/>
    <col min="11028" max="11028" width="2.6640625" style="781" customWidth="1"/>
    <col min="11029" max="11029" width="5" style="781" customWidth="1"/>
    <col min="11030" max="11030" width="11.6640625" style="781" customWidth="1"/>
    <col min="11031" max="11031" width="17" style="781" customWidth="1"/>
    <col min="11032" max="11032" width="6.6640625" style="781" customWidth="1"/>
    <col min="11033" max="11033" width="18.33203125" style="781" customWidth="1"/>
    <col min="11034" max="11034" width="10" style="781" customWidth="1"/>
    <col min="11035" max="11035" width="9" style="781" bestFit="1" customWidth="1"/>
    <col min="11036" max="11036" width="6.5546875" style="781" customWidth="1"/>
    <col min="11037" max="11037" width="15.44140625" style="781" customWidth="1"/>
    <col min="11038" max="11038" width="36.6640625" style="781" customWidth="1"/>
    <col min="11039" max="11039" width="0" style="781" hidden="1" customWidth="1"/>
    <col min="11040" max="11040" width="9.109375" style="781" bestFit="1" customWidth="1"/>
    <col min="11041" max="11041" width="10.33203125" style="781" bestFit="1" customWidth="1"/>
    <col min="11042" max="11283" width="9.109375" style="781" bestFit="1" customWidth="1"/>
    <col min="11284" max="11284" width="2.6640625" style="781" customWidth="1"/>
    <col min="11285" max="11285" width="5" style="781" customWidth="1"/>
    <col min="11286" max="11286" width="11.6640625" style="781" customWidth="1"/>
    <col min="11287" max="11287" width="17" style="781" customWidth="1"/>
    <col min="11288" max="11288" width="6.6640625" style="781" customWidth="1"/>
    <col min="11289" max="11289" width="18.33203125" style="781" customWidth="1"/>
    <col min="11290" max="11290" width="10" style="781" customWidth="1"/>
    <col min="11291" max="11291" width="9" style="781" bestFit="1" customWidth="1"/>
    <col min="11292" max="11292" width="6.5546875" style="781" customWidth="1"/>
    <col min="11293" max="11293" width="15.44140625" style="781" customWidth="1"/>
    <col min="11294" max="11294" width="36.6640625" style="781" customWidth="1"/>
    <col min="11295" max="11295" width="0" style="781" hidden="1" customWidth="1"/>
    <col min="11296" max="11296" width="9.109375" style="781" bestFit="1" customWidth="1"/>
    <col min="11297" max="11297" width="10.33203125" style="781" bestFit="1" customWidth="1"/>
    <col min="11298" max="11539" width="9.109375" style="781" bestFit="1" customWidth="1"/>
    <col min="11540" max="11540" width="2.6640625" style="781" customWidth="1"/>
    <col min="11541" max="11541" width="5" style="781" customWidth="1"/>
    <col min="11542" max="11542" width="11.6640625" style="781" customWidth="1"/>
    <col min="11543" max="11543" width="17" style="781" customWidth="1"/>
    <col min="11544" max="11544" width="6.6640625" style="781" customWidth="1"/>
    <col min="11545" max="11545" width="18.33203125" style="781" customWidth="1"/>
    <col min="11546" max="11546" width="10" style="781" customWidth="1"/>
    <col min="11547" max="11547" width="9" style="781" bestFit="1" customWidth="1"/>
    <col min="11548" max="11548" width="6.5546875" style="781" customWidth="1"/>
    <col min="11549" max="11549" width="15.44140625" style="781" customWidth="1"/>
    <col min="11550" max="11550" width="36.6640625" style="781" customWidth="1"/>
    <col min="11551" max="11551" width="0" style="781" hidden="1" customWidth="1"/>
    <col min="11552" max="11552" width="9.109375" style="781" bestFit="1" customWidth="1"/>
    <col min="11553" max="11553" width="10.33203125" style="781" bestFit="1" customWidth="1"/>
    <col min="11554" max="11795" width="9.109375" style="781" bestFit="1" customWidth="1"/>
    <col min="11796" max="11796" width="2.6640625" style="781" customWidth="1"/>
    <col min="11797" max="11797" width="5" style="781" customWidth="1"/>
    <col min="11798" max="11798" width="11.6640625" style="781" customWidth="1"/>
    <col min="11799" max="11799" width="17" style="781" customWidth="1"/>
    <col min="11800" max="11800" width="6.6640625" style="781" customWidth="1"/>
    <col min="11801" max="11801" width="18.33203125" style="781" customWidth="1"/>
    <col min="11802" max="11802" width="10" style="781" customWidth="1"/>
    <col min="11803" max="11803" width="9" style="781" bestFit="1" customWidth="1"/>
    <col min="11804" max="11804" width="6.5546875" style="781" customWidth="1"/>
    <col min="11805" max="11805" width="15.44140625" style="781" customWidth="1"/>
    <col min="11806" max="11806" width="36.6640625" style="781" customWidth="1"/>
    <col min="11807" max="11807" width="0" style="781" hidden="1" customWidth="1"/>
    <col min="11808" max="11808" width="9.109375" style="781" bestFit="1" customWidth="1"/>
    <col min="11809" max="11809" width="10.33203125" style="781" bestFit="1" customWidth="1"/>
    <col min="11810" max="12051" width="9.109375" style="781" bestFit="1" customWidth="1"/>
    <col min="12052" max="12052" width="2.6640625" style="781" customWidth="1"/>
    <col min="12053" max="12053" width="5" style="781" customWidth="1"/>
    <col min="12054" max="12054" width="11.6640625" style="781" customWidth="1"/>
    <col min="12055" max="12055" width="17" style="781" customWidth="1"/>
    <col min="12056" max="12056" width="6.6640625" style="781" customWidth="1"/>
    <col min="12057" max="12057" width="18.33203125" style="781" customWidth="1"/>
    <col min="12058" max="12058" width="10" style="781" customWidth="1"/>
    <col min="12059" max="12059" width="9" style="781" bestFit="1" customWidth="1"/>
    <col min="12060" max="12060" width="6.5546875" style="781" customWidth="1"/>
    <col min="12061" max="12061" width="15.44140625" style="781" customWidth="1"/>
    <col min="12062" max="12062" width="36.6640625" style="781" customWidth="1"/>
    <col min="12063" max="12063" width="0" style="781" hidden="1" customWidth="1"/>
    <col min="12064" max="12064" width="9.109375" style="781" bestFit="1" customWidth="1"/>
    <col min="12065" max="12065" width="10.33203125" style="781" bestFit="1" customWidth="1"/>
    <col min="12066" max="12307" width="9.109375" style="781" bestFit="1" customWidth="1"/>
    <col min="12308" max="12308" width="2.6640625" style="781" customWidth="1"/>
    <col min="12309" max="12309" width="5" style="781" customWidth="1"/>
    <col min="12310" max="12310" width="11.6640625" style="781" customWidth="1"/>
    <col min="12311" max="12311" width="17" style="781" customWidth="1"/>
    <col min="12312" max="12312" width="6.6640625" style="781" customWidth="1"/>
    <col min="12313" max="12313" width="18.33203125" style="781" customWidth="1"/>
    <col min="12314" max="12314" width="10" style="781" customWidth="1"/>
    <col min="12315" max="12315" width="9" style="781" bestFit="1" customWidth="1"/>
    <col min="12316" max="12316" width="6.5546875" style="781" customWidth="1"/>
    <col min="12317" max="12317" width="15.44140625" style="781" customWidth="1"/>
    <col min="12318" max="12318" width="36.6640625" style="781" customWidth="1"/>
    <col min="12319" max="12319" width="0" style="781" hidden="1" customWidth="1"/>
    <col min="12320" max="12320" width="9.109375" style="781" bestFit="1" customWidth="1"/>
    <col min="12321" max="12321" width="10.33203125" style="781" bestFit="1" customWidth="1"/>
    <col min="12322" max="12563" width="9.109375" style="781" bestFit="1" customWidth="1"/>
    <col min="12564" max="12564" width="2.6640625" style="781" customWidth="1"/>
    <col min="12565" max="12565" width="5" style="781" customWidth="1"/>
    <col min="12566" max="12566" width="11.6640625" style="781" customWidth="1"/>
    <col min="12567" max="12567" width="17" style="781" customWidth="1"/>
    <col min="12568" max="12568" width="6.6640625" style="781" customWidth="1"/>
    <col min="12569" max="12569" width="18.33203125" style="781" customWidth="1"/>
    <col min="12570" max="12570" width="10" style="781" customWidth="1"/>
    <col min="12571" max="12571" width="9" style="781" bestFit="1" customWidth="1"/>
    <col min="12572" max="12572" width="6.5546875" style="781" customWidth="1"/>
    <col min="12573" max="12573" width="15.44140625" style="781" customWidth="1"/>
    <col min="12574" max="12574" width="36.6640625" style="781" customWidth="1"/>
    <col min="12575" max="12575" width="0" style="781" hidden="1" customWidth="1"/>
    <col min="12576" max="12576" width="9.109375" style="781" bestFit="1" customWidth="1"/>
    <col min="12577" max="12577" width="10.33203125" style="781" bestFit="1" customWidth="1"/>
    <col min="12578" max="12819" width="9.109375" style="781" bestFit="1" customWidth="1"/>
    <col min="12820" max="12820" width="2.6640625" style="781" customWidth="1"/>
    <col min="12821" max="12821" width="5" style="781" customWidth="1"/>
    <col min="12822" max="12822" width="11.6640625" style="781" customWidth="1"/>
    <col min="12823" max="12823" width="17" style="781" customWidth="1"/>
    <col min="12824" max="12824" width="6.6640625" style="781" customWidth="1"/>
    <col min="12825" max="12825" width="18.33203125" style="781" customWidth="1"/>
    <col min="12826" max="12826" width="10" style="781" customWidth="1"/>
    <col min="12827" max="12827" width="9" style="781" bestFit="1" customWidth="1"/>
    <col min="12828" max="12828" width="6.5546875" style="781" customWidth="1"/>
    <col min="12829" max="12829" width="15.44140625" style="781" customWidth="1"/>
    <col min="12830" max="12830" width="36.6640625" style="781" customWidth="1"/>
    <col min="12831" max="12831" width="0" style="781" hidden="1" customWidth="1"/>
    <col min="12832" max="12832" width="9.109375" style="781" bestFit="1" customWidth="1"/>
    <col min="12833" max="12833" width="10.33203125" style="781" bestFit="1" customWidth="1"/>
    <col min="12834" max="13075" width="9.109375" style="781" bestFit="1" customWidth="1"/>
    <col min="13076" max="13076" width="2.6640625" style="781" customWidth="1"/>
    <col min="13077" max="13077" width="5" style="781" customWidth="1"/>
    <col min="13078" max="13078" width="11.6640625" style="781" customWidth="1"/>
    <col min="13079" max="13079" width="17" style="781" customWidth="1"/>
    <col min="13080" max="13080" width="6.6640625" style="781" customWidth="1"/>
    <col min="13081" max="13081" width="18.33203125" style="781" customWidth="1"/>
    <col min="13082" max="13082" width="10" style="781" customWidth="1"/>
    <col min="13083" max="13083" width="9" style="781" bestFit="1" customWidth="1"/>
    <col min="13084" max="13084" width="6.5546875" style="781" customWidth="1"/>
    <col min="13085" max="13085" width="15.44140625" style="781" customWidth="1"/>
    <col min="13086" max="13086" width="36.6640625" style="781" customWidth="1"/>
    <col min="13087" max="13087" width="0" style="781" hidden="1" customWidth="1"/>
    <col min="13088" max="13088" width="9.109375" style="781" bestFit="1" customWidth="1"/>
    <col min="13089" max="13089" width="10.33203125" style="781" bestFit="1" customWidth="1"/>
    <col min="13090" max="13331" width="9.109375" style="781" bestFit="1" customWidth="1"/>
    <col min="13332" max="13332" width="2.6640625" style="781" customWidth="1"/>
    <col min="13333" max="13333" width="5" style="781" customWidth="1"/>
    <col min="13334" max="13334" width="11.6640625" style="781" customWidth="1"/>
    <col min="13335" max="13335" width="17" style="781" customWidth="1"/>
    <col min="13336" max="13336" width="6.6640625" style="781" customWidth="1"/>
    <col min="13337" max="13337" width="18.33203125" style="781" customWidth="1"/>
    <col min="13338" max="13338" width="10" style="781" customWidth="1"/>
    <col min="13339" max="13339" width="9" style="781" bestFit="1" customWidth="1"/>
    <col min="13340" max="13340" width="6.5546875" style="781" customWidth="1"/>
    <col min="13341" max="13341" width="15.44140625" style="781" customWidth="1"/>
    <col min="13342" max="13342" width="36.6640625" style="781" customWidth="1"/>
    <col min="13343" max="13343" width="0" style="781" hidden="1" customWidth="1"/>
    <col min="13344" max="13344" width="9.109375" style="781" bestFit="1" customWidth="1"/>
    <col min="13345" max="13345" width="10.33203125" style="781" bestFit="1" customWidth="1"/>
    <col min="13346" max="13587" width="9.109375" style="781" bestFit="1" customWidth="1"/>
    <col min="13588" max="13588" width="2.6640625" style="781" customWidth="1"/>
    <col min="13589" max="13589" width="5" style="781" customWidth="1"/>
    <col min="13590" max="13590" width="11.6640625" style="781" customWidth="1"/>
    <col min="13591" max="13591" width="17" style="781" customWidth="1"/>
    <col min="13592" max="13592" width="6.6640625" style="781" customWidth="1"/>
    <col min="13593" max="13593" width="18.33203125" style="781" customWidth="1"/>
    <col min="13594" max="13594" width="10" style="781" customWidth="1"/>
    <col min="13595" max="13595" width="9" style="781" bestFit="1" customWidth="1"/>
    <col min="13596" max="13596" width="6.5546875" style="781" customWidth="1"/>
    <col min="13597" max="13597" width="15.44140625" style="781" customWidth="1"/>
    <col min="13598" max="13598" width="36.6640625" style="781" customWidth="1"/>
    <col min="13599" max="13599" width="0" style="781" hidden="1" customWidth="1"/>
    <col min="13600" max="13600" width="9.109375" style="781" bestFit="1" customWidth="1"/>
    <col min="13601" max="13601" width="10.33203125" style="781" bestFit="1" customWidth="1"/>
    <col min="13602" max="13843" width="9.109375" style="781" bestFit="1" customWidth="1"/>
    <col min="13844" max="13844" width="2.6640625" style="781" customWidth="1"/>
    <col min="13845" max="13845" width="5" style="781" customWidth="1"/>
    <col min="13846" max="13846" width="11.6640625" style="781" customWidth="1"/>
    <col min="13847" max="13847" width="17" style="781" customWidth="1"/>
    <col min="13848" max="13848" width="6.6640625" style="781" customWidth="1"/>
    <col min="13849" max="13849" width="18.33203125" style="781" customWidth="1"/>
    <col min="13850" max="13850" width="10" style="781" customWidth="1"/>
    <col min="13851" max="13851" width="9" style="781" bestFit="1" customWidth="1"/>
    <col min="13852" max="13852" width="6.5546875" style="781" customWidth="1"/>
    <col min="13853" max="13853" width="15.44140625" style="781" customWidth="1"/>
    <col min="13854" max="13854" width="36.6640625" style="781" customWidth="1"/>
    <col min="13855" max="13855" width="0" style="781" hidden="1" customWidth="1"/>
    <col min="13856" max="13856" width="9.109375" style="781" bestFit="1" customWidth="1"/>
    <col min="13857" max="13857" width="10.33203125" style="781" bestFit="1" customWidth="1"/>
    <col min="13858" max="14099" width="9.109375" style="781" bestFit="1" customWidth="1"/>
    <col min="14100" max="14100" width="2.6640625" style="781" customWidth="1"/>
    <col min="14101" max="14101" width="5" style="781" customWidth="1"/>
    <col min="14102" max="14102" width="11.6640625" style="781" customWidth="1"/>
    <col min="14103" max="14103" width="17" style="781" customWidth="1"/>
    <col min="14104" max="14104" width="6.6640625" style="781" customWidth="1"/>
    <col min="14105" max="14105" width="18.33203125" style="781" customWidth="1"/>
    <col min="14106" max="14106" width="10" style="781" customWidth="1"/>
    <col min="14107" max="14107" width="9" style="781" bestFit="1" customWidth="1"/>
    <col min="14108" max="14108" width="6.5546875" style="781" customWidth="1"/>
    <col min="14109" max="14109" width="15.44140625" style="781" customWidth="1"/>
    <col min="14110" max="14110" width="36.6640625" style="781" customWidth="1"/>
    <col min="14111" max="14111" width="0" style="781" hidden="1" customWidth="1"/>
    <col min="14112" max="14112" width="9.109375" style="781" bestFit="1" customWidth="1"/>
    <col min="14113" max="14113" width="10.33203125" style="781" bestFit="1" customWidth="1"/>
    <col min="14114" max="14355" width="9.109375" style="781" bestFit="1" customWidth="1"/>
    <col min="14356" max="14356" width="2.6640625" style="781" customWidth="1"/>
    <col min="14357" max="14357" width="5" style="781" customWidth="1"/>
    <col min="14358" max="14358" width="11.6640625" style="781" customWidth="1"/>
    <col min="14359" max="14359" width="17" style="781" customWidth="1"/>
    <col min="14360" max="14360" width="6.6640625" style="781" customWidth="1"/>
    <col min="14361" max="14361" width="18.33203125" style="781" customWidth="1"/>
    <col min="14362" max="14362" width="10" style="781" customWidth="1"/>
    <col min="14363" max="14363" width="9" style="781" bestFit="1" customWidth="1"/>
    <col min="14364" max="14364" width="6.5546875" style="781" customWidth="1"/>
    <col min="14365" max="14365" width="15.44140625" style="781" customWidth="1"/>
    <col min="14366" max="14366" width="36.6640625" style="781" customWidth="1"/>
    <col min="14367" max="14367" width="0" style="781" hidden="1" customWidth="1"/>
    <col min="14368" max="14368" width="9.109375" style="781" bestFit="1" customWidth="1"/>
    <col min="14369" max="14369" width="10.33203125" style="781" bestFit="1" customWidth="1"/>
    <col min="14370" max="14611" width="9.109375" style="781" bestFit="1" customWidth="1"/>
    <col min="14612" max="14612" width="2.6640625" style="781" customWidth="1"/>
    <col min="14613" max="14613" width="5" style="781" customWidth="1"/>
    <col min="14614" max="14614" width="11.6640625" style="781" customWidth="1"/>
    <col min="14615" max="14615" width="17" style="781" customWidth="1"/>
    <col min="14616" max="14616" width="6.6640625" style="781" customWidth="1"/>
    <col min="14617" max="14617" width="18.33203125" style="781" customWidth="1"/>
    <col min="14618" max="14618" width="10" style="781" customWidth="1"/>
    <col min="14619" max="14619" width="9" style="781" bestFit="1" customWidth="1"/>
    <col min="14620" max="14620" width="6.5546875" style="781" customWidth="1"/>
    <col min="14621" max="14621" width="15.44140625" style="781" customWidth="1"/>
    <col min="14622" max="14622" width="36.6640625" style="781" customWidth="1"/>
    <col min="14623" max="14623" width="0" style="781" hidden="1" customWidth="1"/>
    <col min="14624" max="14624" width="9.109375" style="781" bestFit="1" customWidth="1"/>
    <col min="14625" max="14625" width="10.33203125" style="781" bestFit="1" customWidth="1"/>
    <col min="14626" max="14867" width="9.109375" style="781" bestFit="1" customWidth="1"/>
    <col min="14868" max="14868" width="2.6640625" style="781" customWidth="1"/>
    <col min="14869" max="14869" width="5" style="781" customWidth="1"/>
    <col min="14870" max="14870" width="11.6640625" style="781" customWidth="1"/>
    <col min="14871" max="14871" width="17" style="781" customWidth="1"/>
    <col min="14872" max="14872" width="6.6640625" style="781" customWidth="1"/>
    <col min="14873" max="14873" width="18.33203125" style="781" customWidth="1"/>
    <col min="14874" max="14874" width="10" style="781" customWidth="1"/>
    <col min="14875" max="14875" width="9" style="781" bestFit="1" customWidth="1"/>
    <col min="14876" max="14876" width="6.5546875" style="781" customWidth="1"/>
    <col min="14877" max="14877" width="15.44140625" style="781" customWidth="1"/>
    <col min="14878" max="14878" width="36.6640625" style="781" customWidth="1"/>
    <col min="14879" max="14879" width="0" style="781" hidden="1" customWidth="1"/>
    <col min="14880" max="14880" width="9.109375" style="781" bestFit="1" customWidth="1"/>
    <col min="14881" max="14881" width="10.33203125" style="781" bestFit="1" customWidth="1"/>
    <col min="14882" max="15123" width="9.109375" style="781" bestFit="1" customWidth="1"/>
    <col min="15124" max="15124" width="2.6640625" style="781" customWidth="1"/>
    <col min="15125" max="15125" width="5" style="781" customWidth="1"/>
    <col min="15126" max="15126" width="11.6640625" style="781" customWidth="1"/>
    <col min="15127" max="15127" width="17" style="781" customWidth="1"/>
    <col min="15128" max="15128" width="6.6640625" style="781" customWidth="1"/>
    <col min="15129" max="15129" width="18.33203125" style="781" customWidth="1"/>
    <col min="15130" max="15130" width="10" style="781" customWidth="1"/>
    <col min="15131" max="15131" width="9" style="781" bestFit="1" customWidth="1"/>
    <col min="15132" max="15132" width="6.5546875" style="781" customWidth="1"/>
    <col min="15133" max="15133" width="15.44140625" style="781" customWidth="1"/>
    <col min="15134" max="15134" width="36.6640625" style="781" customWidth="1"/>
    <col min="15135" max="15135" width="0" style="781" hidden="1" customWidth="1"/>
    <col min="15136" max="15136" width="9.109375" style="781" bestFit="1" customWidth="1"/>
    <col min="15137" max="15137" width="10.33203125" style="781" bestFit="1" customWidth="1"/>
    <col min="15138" max="15379" width="9.109375" style="781" bestFit="1" customWidth="1"/>
    <col min="15380" max="15380" width="2.6640625" style="781" customWidth="1"/>
    <col min="15381" max="15381" width="5" style="781" customWidth="1"/>
    <col min="15382" max="15382" width="11.6640625" style="781" customWidth="1"/>
    <col min="15383" max="15383" width="17" style="781" customWidth="1"/>
    <col min="15384" max="15384" width="6.6640625" style="781" customWidth="1"/>
    <col min="15385" max="15385" width="18.33203125" style="781" customWidth="1"/>
    <col min="15386" max="15386" width="10" style="781" customWidth="1"/>
    <col min="15387" max="15387" width="9" style="781" bestFit="1" customWidth="1"/>
    <col min="15388" max="15388" width="6.5546875" style="781" customWidth="1"/>
    <col min="15389" max="15389" width="15.44140625" style="781" customWidth="1"/>
    <col min="15390" max="15390" width="36.6640625" style="781" customWidth="1"/>
    <col min="15391" max="15391" width="0" style="781" hidden="1" customWidth="1"/>
    <col min="15392" max="15392" width="9.109375" style="781" bestFit="1" customWidth="1"/>
    <col min="15393" max="15393" width="10.33203125" style="781" bestFit="1" customWidth="1"/>
    <col min="15394" max="15635" width="9.109375" style="781" bestFit="1" customWidth="1"/>
    <col min="15636" max="15636" width="2.6640625" style="781" customWidth="1"/>
    <col min="15637" max="15637" width="5" style="781" customWidth="1"/>
    <col min="15638" max="15638" width="11.6640625" style="781" customWidth="1"/>
    <col min="15639" max="15639" width="17" style="781" customWidth="1"/>
    <col min="15640" max="15640" width="6.6640625" style="781" customWidth="1"/>
    <col min="15641" max="15641" width="18.33203125" style="781" customWidth="1"/>
    <col min="15642" max="15642" width="10" style="781" customWidth="1"/>
    <col min="15643" max="15643" width="9" style="781" bestFit="1" customWidth="1"/>
    <col min="15644" max="15644" width="6.5546875" style="781" customWidth="1"/>
    <col min="15645" max="15645" width="15.44140625" style="781" customWidth="1"/>
    <col min="15646" max="15646" width="36.6640625" style="781" customWidth="1"/>
    <col min="15647" max="15647" width="0" style="781" hidden="1" customWidth="1"/>
    <col min="15648" max="15648" width="9.109375" style="781" bestFit="1" customWidth="1"/>
    <col min="15649" max="15649" width="10.33203125" style="781" bestFit="1" customWidth="1"/>
    <col min="15650" max="15891" width="9.109375" style="781" bestFit="1" customWidth="1"/>
    <col min="15892" max="15892" width="2.6640625" style="781" customWidth="1"/>
    <col min="15893" max="15893" width="5" style="781" customWidth="1"/>
    <col min="15894" max="15894" width="11.6640625" style="781" customWidth="1"/>
    <col min="15895" max="15895" width="17" style="781" customWidth="1"/>
    <col min="15896" max="15896" width="6.6640625" style="781" customWidth="1"/>
    <col min="15897" max="15897" width="18.33203125" style="781" customWidth="1"/>
    <col min="15898" max="15898" width="10" style="781" customWidth="1"/>
    <col min="15899" max="15899" width="9" style="781" bestFit="1" customWidth="1"/>
    <col min="15900" max="15900" width="6.5546875" style="781" customWidth="1"/>
    <col min="15901" max="15901" width="15.44140625" style="781" customWidth="1"/>
    <col min="15902" max="15902" width="36.6640625" style="781" customWidth="1"/>
    <col min="15903" max="15903" width="0" style="781" hidden="1" customWidth="1"/>
    <col min="15904" max="15904" width="9.109375" style="781" bestFit="1" customWidth="1"/>
    <col min="15905" max="15905" width="10.33203125" style="781" bestFit="1" customWidth="1"/>
    <col min="15906" max="16147" width="9.109375" style="781" bestFit="1" customWidth="1"/>
    <col min="16148" max="16148" width="2.6640625" style="781" customWidth="1"/>
    <col min="16149" max="16149" width="5" style="781" customWidth="1"/>
    <col min="16150" max="16150" width="11.6640625" style="781" customWidth="1"/>
    <col min="16151" max="16151" width="17" style="781" customWidth="1"/>
    <col min="16152" max="16152" width="6.6640625" style="781" customWidth="1"/>
    <col min="16153" max="16153" width="18.33203125" style="781" customWidth="1"/>
    <col min="16154" max="16154" width="10" style="781" customWidth="1"/>
    <col min="16155" max="16155" width="9" style="781" bestFit="1" customWidth="1"/>
    <col min="16156" max="16156" width="6.5546875" style="781" customWidth="1"/>
    <col min="16157" max="16157" width="15.44140625" style="781" customWidth="1"/>
    <col min="16158" max="16158" width="36.6640625" style="781" customWidth="1"/>
    <col min="16159" max="16159" width="0" style="781" hidden="1" customWidth="1"/>
    <col min="16160" max="16160" width="9.109375" style="781" bestFit="1" customWidth="1"/>
    <col min="16161" max="16161" width="10.33203125" style="781" bestFit="1" customWidth="1"/>
    <col min="16162" max="16384" width="9.109375" style="781"/>
  </cols>
  <sheetData>
    <row r="1" spans="1:60" ht="9" customHeight="1"/>
    <row r="2" spans="1:60">
      <c r="B2" s="6" t="s">
        <v>126</v>
      </c>
      <c r="C2" s="6"/>
      <c r="D2" s="786"/>
      <c r="E2" s="7" t="s">
        <v>511</v>
      </c>
      <c r="F2" s="8" t="s">
        <v>1852</v>
      </c>
      <c r="G2" s="779"/>
      <c r="H2" s="10"/>
      <c r="I2" s="787"/>
      <c r="J2" s="11" t="s">
        <v>513</v>
      </c>
      <c r="K2" s="12" t="s">
        <v>511</v>
      </c>
      <c r="L2" s="16" t="str">
        <f>'VLU 2023 &amp; 2024'!$M$253</f>
        <v>1/3/24 AM</v>
      </c>
      <c r="M2" s="779"/>
      <c r="N2" s="779"/>
      <c r="O2" s="27"/>
      <c r="P2" s="14"/>
      <c r="R2" s="15"/>
      <c r="S2" s="788"/>
      <c r="T2" s="781"/>
      <c r="U2" s="781"/>
      <c r="V2" s="781"/>
      <c r="W2" s="781"/>
      <c r="X2" s="781"/>
      <c r="Y2" s="781"/>
      <c r="Z2" s="781"/>
      <c r="AA2" s="781"/>
      <c r="AB2" s="785"/>
      <c r="AC2" s="785"/>
      <c r="AD2" s="785"/>
      <c r="AE2" s="785"/>
      <c r="AF2" s="785"/>
    </row>
    <row r="3" spans="1:60">
      <c r="B3" s="11" t="s">
        <v>514</v>
      </c>
      <c r="C3" s="11"/>
      <c r="D3" s="779"/>
      <c r="E3" s="12" t="s">
        <v>511</v>
      </c>
      <c r="F3" s="292" t="s">
        <v>4581</v>
      </c>
      <c r="G3" s="779"/>
      <c r="H3" s="10"/>
      <c r="I3" s="787"/>
      <c r="J3" s="11" t="s">
        <v>516</v>
      </c>
      <c r="K3" s="12" t="s">
        <v>511</v>
      </c>
      <c r="L3" s="16" t="str">
        <f>'VLU 2023 &amp; 2024'!$N$253</f>
        <v>1/5/24 PM</v>
      </c>
      <c r="M3" s="779"/>
      <c r="N3" s="779"/>
      <c r="O3" s="27"/>
      <c r="P3" s="14"/>
      <c r="R3" s="15"/>
      <c r="S3" s="788"/>
      <c r="T3" s="781"/>
      <c r="U3" s="781"/>
      <c r="V3" s="781"/>
      <c r="W3" s="781"/>
      <c r="X3" s="781"/>
      <c r="Y3" s="781"/>
      <c r="Z3" s="781"/>
      <c r="AA3" s="781"/>
      <c r="AB3" s="785"/>
      <c r="AC3" s="785"/>
      <c r="AD3" s="785"/>
      <c r="AE3" s="785"/>
      <c r="AF3" s="785"/>
    </row>
    <row r="4" spans="1:60">
      <c r="B4" s="11" t="s">
        <v>517</v>
      </c>
      <c r="C4" s="11"/>
      <c r="D4" s="779"/>
      <c r="E4" s="12" t="s">
        <v>511</v>
      </c>
      <c r="F4" s="1078">
        <v>45287.461805555555</v>
      </c>
      <c r="G4" s="779"/>
      <c r="H4" s="10"/>
      <c r="I4" s="787"/>
      <c r="J4" s="11" t="s">
        <v>518</v>
      </c>
      <c r="K4" s="12" t="s">
        <v>511</v>
      </c>
      <c r="L4" s="789">
        <f>0</f>
        <v>0</v>
      </c>
      <c r="M4" s="790" t="s">
        <v>519</v>
      </c>
      <c r="N4" s="790"/>
      <c r="O4" s="27"/>
      <c r="P4" s="14"/>
      <c r="R4" s="15"/>
      <c r="S4" s="788"/>
      <c r="T4" s="781"/>
      <c r="U4" s="781"/>
      <c r="V4" s="781"/>
      <c r="W4" s="781"/>
      <c r="X4" s="781"/>
      <c r="Y4" s="781"/>
      <c r="Z4" s="781"/>
      <c r="AA4" s="781"/>
      <c r="AB4" s="785"/>
      <c r="AC4" s="785"/>
      <c r="AD4" s="785"/>
      <c r="AE4" s="785"/>
      <c r="AF4" s="785"/>
    </row>
    <row r="5" spans="1:60">
      <c r="B5" s="11" t="s">
        <v>520</v>
      </c>
      <c r="C5" s="11"/>
      <c r="D5" s="779"/>
      <c r="E5" s="12" t="s">
        <v>511</v>
      </c>
      <c r="F5" s="13" t="s">
        <v>12</v>
      </c>
      <c r="G5" s="779"/>
      <c r="H5" s="10"/>
      <c r="I5" s="787"/>
      <c r="J5" s="11" t="s">
        <v>521</v>
      </c>
      <c r="K5" s="12" t="s">
        <v>511</v>
      </c>
      <c r="L5" s="791" t="s">
        <v>3210</v>
      </c>
      <c r="M5" s="779"/>
      <c r="N5" s="779"/>
      <c r="O5" s="27"/>
      <c r="R5" s="15"/>
      <c r="S5" s="788"/>
      <c r="T5" s="781"/>
      <c r="U5" s="781"/>
      <c r="V5" s="781"/>
      <c r="W5" s="781"/>
      <c r="X5" s="781"/>
      <c r="Y5" s="781"/>
      <c r="Z5" s="781"/>
      <c r="AA5" s="781"/>
      <c r="AB5" s="785"/>
      <c r="AC5" s="785"/>
      <c r="AD5" s="785"/>
      <c r="AE5" s="785"/>
      <c r="AF5" s="785"/>
    </row>
    <row r="6" spans="1:60">
      <c r="B6" s="11" t="s">
        <v>523</v>
      </c>
      <c r="C6" s="11"/>
      <c r="D6" s="779"/>
      <c r="E6" s="12" t="s">
        <v>511</v>
      </c>
      <c r="F6" s="13" t="s">
        <v>37</v>
      </c>
      <c r="G6" s="779"/>
      <c r="H6" s="10"/>
      <c r="I6" s="787"/>
      <c r="J6" s="11" t="s">
        <v>524</v>
      </c>
      <c r="K6" s="12" t="s">
        <v>511</v>
      </c>
      <c r="L6" s="792" t="s">
        <v>15</v>
      </c>
      <c r="M6" s="793"/>
      <c r="N6" s="793"/>
      <c r="O6" s="27"/>
      <c r="P6" s="14"/>
      <c r="R6" s="15"/>
      <c r="S6" s="788"/>
      <c r="T6" s="781"/>
      <c r="U6" s="781"/>
      <c r="V6" s="781"/>
      <c r="W6" s="781"/>
      <c r="X6" s="781"/>
      <c r="Y6" s="781"/>
      <c r="Z6" s="781"/>
      <c r="AA6" s="781"/>
      <c r="AB6" s="785"/>
      <c r="AC6" s="785"/>
      <c r="AD6" s="785"/>
      <c r="AE6" s="785"/>
      <c r="AF6" s="785"/>
    </row>
    <row r="7" spans="1:60">
      <c r="B7" s="11" t="s">
        <v>2</v>
      </c>
      <c r="C7" s="11"/>
      <c r="D7" s="779"/>
      <c r="E7" s="12" t="s">
        <v>511</v>
      </c>
      <c r="F7" s="13" t="s">
        <v>14</v>
      </c>
      <c r="G7" s="779"/>
      <c r="H7" s="10"/>
      <c r="I7" s="794"/>
      <c r="J7" s="11"/>
      <c r="K7" s="12"/>
      <c r="L7" s="16"/>
      <c r="O7" s="11"/>
      <c r="P7" s="793"/>
      <c r="Q7" s="793"/>
      <c r="R7" s="793"/>
      <c r="S7" s="787"/>
      <c r="T7" s="781"/>
      <c r="U7" s="781"/>
      <c r="V7" s="781"/>
      <c r="W7" s="781"/>
      <c r="X7" s="781"/>
      <c r="Y7" s="781"/>
      <c r="Z7" s="781"/>
      <c r="AA7" s="781"/>
      <c r="AB7" s="785"/>
      <c r="AC7" s="785"/>
      <c r="AD7" s="785"/>
      <c r="AE7" s="785"/>
      <c r="AF7" s="785"/>
    </row>
    <row r="8" spans="1:60" ht="14.4">
      <c r="I8" s="794"/>
      <c r="J8" s="11"/>
      <c r="K8" s="11"/>
      <c r="L8" s="792"/>
      <c r="M8" s="793"/>
      <c r="N8" s="793"/>
      <c r="O8" s="11"/>
      <c r="P8" s="793"/>
      <c r="Q8" s="793"/>
      <c r="R8" s="793"/>
      <c r="S8" s="787"/>
      <c r="T8" s="1562" t="s">
        <v>87</v>
      </c>
      <c r="U8" s="1562"/>
      <c r="V8" s="1562"/>
      <c r="W8" s="1562"/>
      <c r="X8" s="1562"/>
      <c r="Y8" s="1562" t="s">
        <v>73</v>
      </c>
      <c r="Z8" s="1562"/>
      <c r="AA8" s="1562"/>
      <c r="AB8" s="1562" t="s">
        <v>74</v>
      </c>
      <c r="AC8" s="1562"/>
      <c r="AD8" s="795" t="s">
        <v>85</v>
      </c>
      <c r="AE8" s="796" t="s">
        <v>77</v>
      </c>
      <c r="AF8" s="1547" t="s">
        <v>525</v>
      </c>
      <c r="AG8" s="1547"/>
      <c r="AH8" s="1547"/>
      <c r="AI8" s="1547"/>
      <c r="AJ8" s="1547"/>
      <c r="AK8" s="1547"/>
      <c r="AL8" s="1547"/>
      <c r="AM8" s="1547"/>
      <c r="AN8" s="1547"/>
      <c r="AO8" s="1547"/>
      <c r="AP8" s="1547"/>
      <c r="AQ8" s="1547"/>
      <c r="AR8" s="1547"/>
      <c r="AS8" s="1547"/>
      <c r="AT8" s="1547"/>
      <c r="AU8" s="1547"/>
      <c r="AV8" s="1547"/>
      <c r="AW8" s="1547"/>
      <c r="AX8" s="1547"/>
      <c r="AY8" s="1547"/>
      <c r="AZ8" s="1547"/>
      <c r="BA8" s="1547"/>
      <c r="BB8" s="1547"/>
      <c r="BC8" s="1547"/>
      <c r="BD8" s="1547"/>
      <c r="BE8" s="1547"/>
      <c r="BF8" s="1547"/>
      <c r="BG8" s="1547"/>
      <c r="BH8" s="1547"/>
    </row>
    <row r="9" spans="1:60" ht="14.4">
      <c r="B9" s="1563" t="s">
        <v>526</v>
      </c>
      <c r="C9" s="1564"/>
      <c r="D9" s="797" t="s">
        <v>527</v>
      </c>
      <c r="E9" s="797"/>
      <c r="F9" s="797" t="s">
        <v>528</v>
      </c>
      <c r="G9" s="797" t="s">
        <v>529</v>
      </c>
      <c r="H9" s="797" t="s">
        <v>530</v>
      </c>
      <c r="I9" s="797" t="s">
        <v>531</v>
      </c>
      <c r="J9" s="797" t="s">
        <v>532</v>
      </c>
      <c r="K9" s="797"/>
      <c r="L9" s="797" t="s">
        <v>130</v>
      </c>
      <c r="M9" s="797" t="s">
        <v>533</v>
      </c>
      <c r="N9" s="798" t="e">
        <f>"On time - "&amp;COUNTIF(#REF!,"On time")&amp;" from "&amp;ROWS(#REF!)-COUNTIF(#REF!," ")</f>
        <v>#REF!</v>
      </c>
      <c r="O9" s="799"/>
      <c r="P9" s="800" t="s">
        <v>534</v>
      </c>
      <c r="Q9" s="800" t="s">
        <v>535</v>
      </c>
      <c r="R9" s="800" t="s">
        <v>536</v>
      </c>
      <c r="S9" s="779"/>
      <c r="T9" s="801" t="s">
        <v>537</v>
      </c>
      <c r="U9" s="801" t="s">
        <v>538</v>
      </c>
      <c r="V9" s="801" t="s">
        <v>539</v>
      </c>
      <c r="W9" s="801" t="s">
        <v>540</v>
      </c>
      <c r="X9" s="801" t="s">
        <v>541</v>
      </c>
      <c r="Y9" s="801" t="s">
        <v>167</v>
      </c>
      <c r="Z9" s="801" t="s">
        <v>168</v>
      </c>
      <c r="AA9" s="801" t="s">
        <v>169</v>
      </c>
      <c r="AB9" s="801" t="s">
        <v>235</v>
      </c>
      <c r="AC9" s="801" t="s">
        <v>240</v>
      </c>
      <c r="AD9" s="795" t="s">
        <v>85</v>
      </c>
      <c r="AE9" s="801" t="s">
        <v>139</v>
      </c>
      <c r="AF9" s="802" t="s">
        <v>72</v>
      </c>
      <c r="AG9" s="802" t="s">
        <v>88</v>
      </c>
      <c r="AH9" s="802" t="s">
        <v>75</v>
      </c>
      <c r="AI9" s="802" t="s">
        <v>543</v>
      </c>
      <c r="AJ9" s="802" t="s">
        <v>78</v>
      </c>
      <c r="AK9" s="802" t="s">
        <v>76</v>
      </c>
      <c r="AL9" s="802" t="s">
        <v>544</v>
      </c>
      <c r="AM9" s="802" t="s">
        <v>545</v>
      </c>
      <c r="AN9" s="802" t="s">
        <v>86</v>
      </c>
      <c r="AO9" s="802" t="s">
        <v>83</v>
      </c>
      <c r="AP9" s="802" t="s">
        <v>84</v>
      </c>
      <c r="AQ9" s="802" t="s">
        <v>546</v>
      </c>
      <c r="AR9" s="802" t="s">
        <v>81</v>
      </c>
      <c r="AS9" s="802" t="s">
        <v>80</v>
      </c>
      <c r="AT9" s="802" t="s">
        <v>82</v>
      </c>
      <c r="AU9" s="802" t="s">
        <v>181</v>
      </c>
      <c r="AV9" s="802" t="s">
        <v>183</v>
      </c>
      <c r="AW9" s="802" t="s">
        <v>547</v>
      </c>
      <c r="AX9" s="802" t="s">
        <v>182</v>
      </c>
      <c r="AY9" s="802" t="s">
        <v>172</v>
      </c>
      <c r="AZ9" s="802" t="s">
        <v>173</v>
      </c>
      <c r="BA9" s="802" t="s">
        <v>184</v>
      </c>
      <c r="BB9" s="802" t="s">
        <v>100</v>
      </c>
      <c r="BC9" s="1147" t="s">
        <v>913</v>
      </c>
      <c r="BD9" s="1149" t="s">
        <v>2896</v>
      </c>
      <c r="BE9" s="1149" t="s">
        <v>2747</v>
      </c>
      <c r="BF9" s="1149" t="s">
        <v>2862</v>
      </c>
      <c r="BG9" s="1149" t="s">
        <v>2897</v>
      </c>
      <c r="BH9" s="1149" t="s">
        <v>2856</v>
      </c>
    </row>
    <row r="10" spans="1:60" s="824" customFormat="1">
      <c r="B10" s="1548" t="s">
        <v>2021</v>
      </c>
      <c r="C10" s="1549"/>
      <c r="D10" s="470" t="s">
        <v>3957</v>
      </c>
      <c r="E10" s="857"/>
      <c r="F10" s="470" t="s">
        <v>399</v>
      </c>
      <c r="G10" s="470" t="s">
        <v>275</v>
      </c>
      <c r="H10" s="816">
        <f>7523.283/3</f>
        <v>2507.761</v>
      </c>
      <c r="I10" s="833" t="s">
        <v>235</v>
      </c>
      <c r="J10" s="466">
        <v>45291.625</v>
      </c>
      <c r="K10" s="829"/>
      <c r="L10" s="877" t="str">
        <f>'BLU DEC''23 &amp; JAN''24'!J175</f>
        <v>Waiting Unload</v>
      </c>
      <c r="M10" s="877" t="str">
        <f>'BLU DEC''23 &amp; JAN''24'!K175</f>
        <v>MUARA BERAU</v>
      </c>
      <c r="N10" s="1058" t="str">
        <f t="shared" ref="N10:N16" si="0">IF(ISBLANK(J10)," ",IF(J10&lt;$F$4,"On time",(IF(DAY(J10-$F$4)&lt;1,"On time",(IF(J10&gt;$F$4,"DELAY ( "&amp;DAY(J10-$F$4)&amp;" day "&amp;HOUR(J10-$F$4)&amp;" hour "&amp;MINUTE(J10-$F$4)&amp;" minute )","xxx"))))))</f>
        <v>DELAY ( 4 day 3 hour 55 minute )</v>
      </c>
      <c r="O10" s="1080"/>
      <c r="P10" s="465" t="s">
        <v>551</v>
      </c>
      <c r="Q10" s="465" t="s">
        <v>551</v>
      </c>
      <c r="R10" s="465" t="s">
        <v>551</v>
      </c>
      <c r="T10" s="780"/>
      <c r="U10" s="780"/>
      <c r="V10" s="780"/>
      <c r="W10" s="780"/>
      <c r="X10" s="780"/>
      <c r="Y10" s="780"/>
      <c r="Z10" s="780"/>
      <c r="AA10" s="780"/>
      <c r="AB10" s="803">
        <f>H10</f>
        <v>2507.761</v>
      </c>
      <c r="AC10" s="803"/>
      <c r="AD10" s="780"/>
      <c r="AE10" s="780"/>
      <c r="AF10" s="780"/>
      <c r="AG10" s="780"/>
      <c r="AH10" s="780"/>
      <c r="AI10" s="780"/>
      <c r="AJ10" s="780"/>
      <c r="AL10" s="780"/>
      <c r="AM10" s="780"/>
      <c r="AN10" s="780"/>
      <c r="AO10" s="780"/>
      <c r="AP10" s="780"/>
      <c r="AQ10" s="780"/>
      <c r="AR10" s="780"/>
      <c r="AS10" s="780"/>
      <c r="AT10" s="780"/>
      <c r="AU10" s="780"/>
      <c r="AV10" s="780"/>
      <c r="AW10" s="780"/>
      <c r="AX10" s="780"/>
      <c r="AY10" s="780"/>
      <c r="BA10" s="780"/>
      <c r="BB10" s="780"/>
      <c r="BC10" s="780"/>
      <c r="BD10" s="780"/>
      <c r="BE10" s="780"/>
      <c r="BF10" s="780"/>
      <c r="BG10" s="780"/>
      <c r="BH10" s="780"/>
    </row>
    <row r="11" spans="1:60" s="824" customFormat="1" ht="14.25" customHeight="1">
      <c r="A11" s="1085"/>
      <c r="B11" s="1550"/>
      <c r="C11" s="1551"/>
      <c r="D11" s="470" t="s">
        <v>3958</v>
      </c>
      <c r="E11" s="470"/>
      <c r="F11" s="470" t="s">
        <v>358</v>
      </c>
      <c r="G11" s="470" t="s">
        <v>359</v>
      </c>
      <c r="H11" s="816">
        <v>9289.5570000000007</v>
      </c>
      <c r="I11" s="833" t="s">
        <v>240</v>
      </c>
      <c r="J11" s="466">
        <v>45291.611111111109</v>
      </c>
      <c r="K11" s="829"/>
      <c r="L11" s="877" t="str">
        <f>'BLU DEC''23 &amp; JAN''24'!J176</f>
        <v>Waiting Unload</v>
      </c>
      <c r="M11" s="877" t="str">
        <f>'BLU DEC''23 &amp; JAN''24'!K176</f>
        <v>MUARA BERAU</v>
      </c>
      <c r="N11" s="1058" t="str">
        <f t="shared" si="0"/>
        <v>DELAY ( 4 day 3 hour 35 minute )</v>
      </c>
      <c r="O11" s="1080"/>
      <c r="P11" s="465" t="s">
        <v>551</v>
      </c>
      <c r="Q11" s="465" t="s">
        <v>551</v>
      </c>
      <c r="R11" s="465" t="s">
        <v>551</v>
      </c>
      <c r="T11" s="780"/>
      <c r="U11" s="780"/>
      <c r="V11" s="780"/>
      <c r="W11" s="780"/>
      <c r="X11" s="780"/>
      <c r="Y11" s="780"/>
      <c r="Z11" s="780"/>
      <c r="AA11" s="780"/>
      <c r="AB11" s="803"/>
      <c r="AC11" s="803">
        <f>H11</f>
        <v>9289.5570000000007</v>
      </c>
      <c r="AD11" s="780"/>
      <c r="AE11" s="780"/>
      <c r="AF11" s="780"/>
      <c r="AG11" s="780"/>
      <c r="AH11" s="780"/>
      <c r="AI11" s="780"/>
      <c r="AJ11" s="780"/>
      <c r="AK11" s="780"/>
      <c r="AL11" s="780"/>
      <c r="AM11" s="780"/>
      <c r="AN11" s="780"/>
      <c r="AO11" s="780"/>
      <c r="AP11" s="780"/>
      <c r="AQ11" s="780"/>
      <c r="AR11" s="780"/>
      <c r="AS11" s="780"/>
      <c r="AT11" s="780"/>
      <c r="AU11" s="780"/>
      <c r="AV11" s="780"/>
      <c r="AW11" s="780"/>
      <c r="AX11" s="780"/>
      <c r="AY11" s="780"/>
      <c r="AZ11" s="780"/>
      <c r="BA11" s="780"/>
      <c r="BB11" s="780"/>
      <c r="BC11" s="780"/>
      <c r="BD11" s="780"/>
      <c r="BE11" s="780"/>
      <c r="BF11" s="780"/>
      <c r="BG11" s="780"/>
      <c r="BH11" s="780"/>
    </row>
    <row r="12" spans="1:60" s="824" customFormat="1">
      <c r="B12" s="1558" t="s">
        <v>650</v>
      </c>
      <c r="C12" s="1559"/>
      <c r="D12" s="470" t="s">
        <v>3957</v>
      </c>
      <c r="E12" s="857"/>
      <c r="F12" s="470" t="s">
        <v>399</v>
      </c>
      <c r="G12" s="470" t="s">
        <v>275</v>
      </c>
      <c r="H12" s="816">
        <f>H14</f>
        <v>2507.761</v>
      </c>
      <c r="I12" s="833" t="s">
        <v>235</v>
      </c>
      <c r="J12" s="466">
        <v>45291.625</v>
      </c>
      <c r="K12" s="829"/>
      <c r="L12" s="877" t="str">
        <f>L14</f>
        <v>Waiting Unload</v>
      </c>
      <c r="M12" s="877" t="str">
        <f>M14</f>
        <v>MUARA BERAU</v>
      </c>
      <c r="N12" s="1058" t="str">
        <f t="shared" si="0"/>
        <v>DELAY ( 4 day 3 hour 55 minute )</v>
      </c>
      <c r="O12" s="1080"/>
      <c r="P12" s="465" t="s">
        <v>551</v>
      </c>
      <c r="Q12" s="465" t="s">
        <v>551</v>
      </c>
      <c r="R12" s="465" t="s">
        <v>551</v>
      </c>
      <c r="T12" s="780"/>
      <c r="U12" s="780"/>
      <c r="V12" s="780"/>
      <c r="W12" s="780"/>
      <c r="X12" s="780"/>
      <c r="Y12" s="780"/>
      <c r="Z12" s="780"/>
      <c r="AA12" s="780"/>
      <c r="AB12" s="803">
        <f>H12</f>
        <v>2507.761</v>
      </c>
      <c r="AC12" s="803"/>
      <c r="AD12" s="780"/>
      <c r="AE12" s="780"/>
      <c r="AF12" s="780"/>
      <c r="AG12" s="780"/>
      <c r="AH12" s="780"/>
      <c r="AI12" s="780"/>
      <c r="AJ12" s="780"/>
      <c r="AL12" s="780"/>
      <c r="AM12" s="780"/>
      <c r="AN12" s="780"/>
      <c r="AO12" s="780"/>
      <c r="AP12" s="780"/>
      <c r="AQ12" s="780"/>
      <c r="AR12" s="780"/>
      <c r="AS12" s="780"/>
      <c r="AT12" s="780"/>
      <c r="AU12" s="780"/>
      <c r="AV12" s="780"/>
      <c r="AW12" s="780"/>
      <c r="AX12" s="780"/>
      <c r="AY12" s="780"/>
      <c r="BA12" s="780"/>
      <c r="BB12" s="780"/>
      <c r="BC12" s="780"/>
      <c r="BD12" s="780"/>
      <c r="BE12" s="780"/>
      <c r="BF12" s="780"/>
      <c r="BG12" s="780"/>
      <c r="BH12" s="780"/>
    </row>
    <row r="13" spans="1:60" s="773" customFormat="1" ht="14.25" customHeight="1">
      <c r="B13" s="1560"/>
      <c r="C13" s="1561"/>
      <c r="D13" s="470" t="s">
        <v>3959</v>
      </c>
      <c r="E13" s="470"/>
      <c r="F13" s="470" t="s">
        <v>805</v>
      </c>
      <c r="G13" s="470" t="s">
        <v>381</v>
      </c>
      <c r="H13" s="816">
        <v>7502.9650000000001</v>
      </c>
      <c r="I13" s="833" t="s">
        <v>240</v>
      </c>
      <c r="J13" s="466">
        <v>45291.666666666664</v>
      </c>
      <c r="K13" s="829"/>
      <c r="L13" s="877" t="str">
        <f>'BLU DEC''23 &amp; JAN''24'!J177</f>
        <v>Waiting Unload</v>
      </c>
      <c r="M13" s="877" t="str">
        <f>'BLU DEC''23 &amp; JAN''24'!K177</f>
        <v>MUARA BERAU</v>
      </c>
      <c r="N13" s="469" t="str">
        <f t="shared" si="0"/>
        <v>DELAY ( 4 day 4 hour 55 minute )</v>
      </c>
      <c r="O13" s="778"/>
      <c r="P13" s="465" t="s">
        <v>551</v>
      </c>
      <c r="Q13" s="465" t="s">
        <v>551</v>
      </c>
      <c r="R13" s="465" t="s">
        <v>551</v>
      </c>
      <c r="S13" s="779"/>
      <c r="T13" s="780"/>
      <c r="U13" s="780"/>
      <c r="V13" s="780"/>
      <c r="W13" s="780"/>
      <c r="X13" s="780"/>
      <c r="Y13" s="780"/>
      <c r="Z13" s="780"/>
      <c r="AA13" s="780"/>
      <c r="AB13" s="803"/>
      <c r="AC13" s="803">
        <f>H13</f>
        <v>7502.9650000000001</v>
      </c>
      <c r="AD13" s="780"/>
      <c r="AE13" s="780"/>
      <c r="AF13" s="780"/>
      <c r="AG13" s="780"/>
      <c r="AH13" s="780"/>
      <c r="AI13" s="780"/>
      <c r="AJ13" s="780"/>
      <c r="AK13" s="780"/>
      <c r="AL13" s="780"/>
      <c r="AM13" s="780"/>
      <c r="AN13" s="780"/>
      <c r="AO13" s="780"/>
      <c r="AP13" s="780"/>
      <c r="AQ13" s="780"/>
      <c r="AR13" s="780"/>
      <c r="AS13" s="780"/>
      <c r="AT13" s="780"/>
      <c r="AU13" s="780"/>
      <c r="AV13" s="780"/>
      <c r="AW13" s="780"/>
      <c r="AX13" s="780"/>
      <c r="AY13" s="780"/>
      <c r="AZ13" s="780"/>
      <c r="BA13" s="780"/>
      <c r="BB13" s="780"/>
      <c r="BC13" s="780"/>
      <c r="BD13" s="780"/>
      <c r="BE13" s="780"/>
      <c r="BF13" s="780"/>
      <c r="BG13" s="780"/>
      <c r="BH13" s="780"/>
    </row>
    <row r="14" spans="1:60" s="824" customFormat="1">
      <c r="B14" s="1558" t="s">
        <v>1401</v>
      </c>
      <c r="C14" s="1559"/>
      <c r="D14" s="470" t="s">
        <v>3957</v>
      </c>
      <c r="E14" s="857"/>
      <c r="F14" s="470" t="s">
        <v>399</v>
      </c>
      <c r="G14" s="470" t="s">
        <v>275</v>
      </c>
      <c r="H14" s="816">
        <f>H10</f>
        <v>2507.761</v>
      </c>
      <c r="I14" s="833" t="s">
        <v>235</v>
      </c>
      <c r="J14" s="466">
        <v>45291.625</v>
      </c>
      <c r="K14" s="829"/>
      <c r="L14" s="877" t="str">
        <f>L10</f>
        <v>Waiting Unload</v>
      </c>
      <c r="M14" s="877" t="str">
        <f>M10</f>
        <v>MUARA BERAU</v>
      </c>
      <c r="N14" s="1058" t="str">
        <f t="shared" si="0"/>
        <v>DELAY ( 4 day 3 hour 55 minute )</v>
      </c>
      <c r="O14" s="1080"/>
      <c r="P14" s="465" t="s">
        <v>551</v>
      </c>
      <c r="Q14" s="465" t="s">
        <v>551</v>
      </c>
      <c r="R14" s="465" t="s">
        <v>551</v>
      </c>
      <c r="T14" s="780"/>
      <c r="U14" s="780"/>
      <c r="V14" s="780"/>
      <c r="W14" s="780"/>
      <c r="X14" s="780"/>
      <c r="Y14" s="780"/>
      <c r="Z14" s="780"/>
      <c r="AA14" s="780"/>
      <c r="AB14" s="803">
        <f>H14</f>
        <v>2507.761</v>
      </c>
      <c r="AC14" s="803"/>
      <c r="AD14" s="780"/>
      <c r="AE14" s="780"/>
      <c r="AF14" s="780"/>
      <c r="AG14" s="780"/>
      <c r="AH14" s="780"/>
      <c r="AI14" s="780"/>
      <c r="AJ14" s="780"/>
      <c r="AL14" s="780"/>
      <c r="AM14" s="780"/>
      <c r="AN14" s="780"/>
      <c r="AO14" s="780"/>
      <c r="AP14" s="780"/>
      <c r="AQ14" s="780"/>
      <c r="AR14" s="780"/>
      <c r="AS14" s="780"/>
      <c r="AT14" s="780"/>
      <c r="AU14" s="780"/>
      <c r="AV14" s="780"/>
      <c r="AW14" s="780"/>
      <c r="AX14" s="780"/>
      <c r="AY14" s="780"/>
      <c r="BA14" s="780"/>
      <c r="BB14" s="780"/>
      <c r="BC14" s="780"/>
      <c r="BD14" s="780"/>
      <c r="BE14" s="780"/>
      <c r="BF14" s="780"/>
      <c r="BG14" s="780"/>
      <c r="BH14" s="780"/>
    </row>
    <row r="15" spans="1:60" s="824" customFormat="1">
      <c r="B15" s="1550"/>
      <c r="C15" s="1551"/>
      <c r="D15" s="470" t="s">
        <v>3960</v>
      </c>
      <c r="E15" s="470"/>
      <c r="F15" s="470" t="s">
        <v>2207</v>
      </c>
      <c r="G15" s="470" t="s">
        <v>2208</v>
      </c>
      <c r="H15" s="816">
        <v>7165.8069999999998</v>
      </c>
      <c r="I15" s="833" t="s">
        <v>240</v>
      </c>
      <c r="J15" s="466">
        <v>45291.756944444445</v>
      </c>
      <c r="K15" s="829"/>
      <c r="L15" s="877" t="str">
        <f>'BLU DEC''23 &amp; JAN''24'!J178</f>
        <v>Waiting Unload</v>
      </c>
      <c r="M15" s="877" t="str">
        <f>'BLU DEC''23 &amp; JAN''24'!K178</f>
        <v>MUARA BERAU</v>
      </c>
      <c r="N15" s="1058" t="str">
        <f t="shared" si="0"/>
        <v>DELAY ( 4 day 7 hour 5 minute )</v>
      </c>
      <c r="O15" s="1080"/>
      <c r="P15" s="465" t="s">
        <v>551</v>
      </c>
      <c r="Q15" s="465" t="s">
        <v>551</v>
      </c>
      <c r="R15" s="465" t="s">
        <v>551</v>
      </c>
      <c r="T15" s="780"/>
      <c r="U15" s="780"/>
      <c r="V15" s="780"/>
      <c r="W15" s="780"/>
      <c r="X15" s="780"/>
      <c r="Y15" s="780"/>
      <c r="Z15" s="780"/>
      <c r="AA15" s="780"/>
      <c r="AB15" s="803"/>
      <c r="AC15" s="803">
        <f>H15</f>
        <v>7165.8069999999998</v>
      </c>
      <c r="AD15" s="780"/>
      <c r="AE15" s="780"/>
      <c r="AF15" s="780"/>
      <c r="AG15" s="780"/>
      <c r="AH15" s="780"/>
      <c r="AI15" s="780"/>
      <c r="AJ15" s="780"/>
      <c r="AK15" s="780"/>
      <c r="AL15" s="780"/>
      <c r="AM15" s="780"/>
      <c r="AN15" s="780"/>
      <c r="AO15" s="780"/>
      <c r="AP15" s="780"/>
      <c r="AQ15" s="780"/>
      <c r="AR15" s="780"/>
      <c r="AS15" s="780"/>
      <c r="AT15" s="780"/>
      <c r="AU15" s="780"/>
      <c r="AV15" s="780"/>
      <c r="AW15" s="780"/>
      <c r="AX15" s="780"/>
      <c r="AY15" s="780"/>
      <c r="AZ15" s="780"/>
      <c r="BA15" s="780"/>
      <c r="BB15" s="780"/>
      <c r="BC15" s="780"/>
      <c r="BD15" s="780"/>
      <c r="BE15" s="780"/>
      <c r="BF15" s="780"/>
      <c r="BG15" s="780"/>
      <c r="BH15" s="780"/>
    </row>
    <row r="16" spans="1:60" s="824" customFormat="1">
      <c r="B16" s="1558" t="s">
        <v>653</v>
      </c>
      <c r="C16" s="1559"/>
      <c r="D16" s="470" t="s">
        <v>3961</v>
      </c>
      <c r="E16" s="470"/>
      <c r="F16" s="470" t="s">
        <v>403</v>
      </c>
      <c r="G16" s="470" t="s">
        <v>404</v>
      </c>
      <c r="H16" s="816">
        <v>7592.5280000000002</v>
      </c>
      <c r="I16" s="833" t="s">
        <v>240</v>
      </c>
      <c r="J16" s="466">
        <v>45292.673611111109</v>
      </c>
      <c r="K16" s="829"/>
      <c r="L16" s="877" t="str">
        <f>'BLU DEC''23 &amp; JAN''24'!J179</f>
        <v>Waiting Unload</v>
      </c>
      <c r="M16" s="877" t="str">
        <f>'BLU DEC''23 &amp; JAN''24'!K179</f>
        <v>MUARA BERAU</v>
      </c>
      <c r="N16" s="1058" t="str">
        <f t="shared" si="0"/>
        <v>DELAY ( 5 day 5 hour 5 minute )</v>
      </c>
      <c r="O16" s="1080"/>
      <c r="P16" s="465" t="s">
        <v>551</v>
      </c>
      <c r="Q16" s="465" t="s">
        <v>551</v>
      </c>
      <c r="R16" s="465" t="s">
        <v>551</v>
      </c>
      <c r="T16" s="780"/>
      <c r="U16" s="780"/>
      <c r="V16" s="780"/>
      <c r="W16" s="780"/>
      <c r="X16" s="773"/>
      <c r="Y16" s="780"/>
      <c r="Z16" s="780"/>
      <c r="AA16" s="780"/>
      <c r="AB16" s="803"/>
      <c r="AC16" s="803">
        <f t="shared" ref="AC16" si="1">H16</f>
        <v>7592.5280000000002</v>
      </c>
      <c r="AD16" s="780"/>
      <c r="AE16" s="780"/>
      <c r="AF16" s="780"/>
      <c r="AG16" s="780"/>
      <c r="AH16" s="780"/>
      <c r="AI16" s="780"/>
      <c r="AJ16" s="780"/>
      <c r="AK16" s="780"/>
      <c r="AL16" s="780"/>
      <c r="AM16" s="780"/>
      <c r="AN16" s="780"/>
      <c r="AO16" s="780"/>
      <c r="AP16" s="780"/>
      <c r="AQ16" s="780"/>
      <c r="AR16" s="780"/>
      <c r="AS16" s="780"/>
      <c r="AT16" s="780"/>
      <c r="AU16" s="780"/>
      <c r="AV16" s="780"/>
      <c r="AW16" s="780"/>
      <c r="AX16" s="780"/>
      <c r="AY16" s="780"/>
      <c r="AZ16" s="780"/>
      <c r="BA16" s="780"/>
      <c r="BB16" s="780"/>
      <c r="BC16" s="780"/>
      <c r="BD16" s="780"/>
      <c r="BE16" s="780"/>
      <c r="BF16" s="780"/>
      <c r="BG16" s="780"/>
      <c r="BH16" s="780"/>
    </row>
    <row r="17" spans="1:61" s="824" customFormat="1" ht="13.5" customHeight="1">
      <c r="A17" s="1085">
        <v>2</v>
      </c>
      <c r="B17" s="1560"/>
      <c r="C17" s="1561"/>
      <c r="D17" s="470" t="s">
        <v>3963</v>
      </c>
      <c r="E17" s="470"/>
      <c r="F17" s="470" t="s">
        <v>492</v>
      </c>
      <c r="G17" s="470" t="s">
        <v>493</v>
      </c>
      <c r="H17" s="816">
        <v>7591.6610000000001</v>
      </c>
      <c r="I17" s="833" t="s">
        <v>611</v>
      </c>
      <c r="J17" s="467" t="s">
        <v>4582</v>
      </c>
      <c r="K17" s="467"/>
      <c r="L17" s="877" t="str">
        <f>'BLU DEC''23 &amp; JAN''24'!J180</f>
        <v>Loaded Transit to MBR</v>
      </c>
      <c r="M17" s="877" t="str">
        <f>'BLU DEC''23 &amp; JAN''24'!K180</f>
        <v>BONTANG</v>
      </c>
      <c r="N17" s="1058"/>
      <c r="O17" s="1080"/>
      <c r="P17" s="465" t="s">
        <v>551</v>
      </c>
      <c r="Q17" s="465" t="s">
        <v>551</v>
      </c>
      <c r="R17" s="465" t="s">
        <v>873</v>
      </c>
      <c r="T17" s="803">
        <f>H17</f>
        <v>7591.6610000000001</v>
      </c>
      <c r="U17" s="780"/>
      <c r="V17" s="780"/>
      <c r="W17" s="780"/>
      <c r="X17" s="780"/>
      <c r="Y17" s="780"/>
      <c r="Z17" s="780"/>
      <c r="AA17" s="780"/>
      <c r="AB17" s="803"/>
      <c r="AC17" s="803"/>
      <c r="AD17" s="780"/>
      <c r="AE17" s="780"/>
      <c r="AF17" s="780"/>
      <c r="AG17" s="780"/>
      <c r="AH17" s="780"/>
      <c r="AI17" s="780"/>
      <c r="AJ17" s="780"/>
      <c r="AK17" s="992"/>
      <c r="AL17" s="780"/>
      <c r="AM17" s="780"/>
      <c r="AN17" s="780"/>
      <c r="AO17" s="780"/>
      <c r="AP17" s="780"/>
      <c r="AQ17" s="780"/>
      <c r="AR17" s="780"/>
      <c r="AS17" s="780"/>
      <c r="AT17" s="780"/>
      <c r="AU17" s="780"/>
      <c r="AV17" s="780"/>
      <c r="AW17" s="780"/>
      <c r="AX17" s="773"/>
      <c r="AY17" s="780"/>
      <c r="AZ17" s="780"/>
      <c r="BA17" s="780"/>
      <c r="BB17" s="780"/>
      <c r="BC17" s="780"/>
      <c r="BD17" s="780"/>
      <c r="BE17" s="780"/>
      <c r="BF17" s="780"/>
      <c r="BG17" s="780"/>
      <c r="BH17" s="780"/>
    </row>
    <row r="18" spans="1:61" s="824" customFormat="1" ht="14.25" customHeight="1">
      <c r="B18" s="1558" t="s">
        <v>656</v>
      </c>
      <c r="C18" s="1559"/>
      <c r="D18" s="470" t="s">
        <v>3964</v>
      </c>
      <c r="E18" s="857"/>
      <c r="F18" s="470" t="s">
        <v>249</v>
      </c>
      <c r="G18" s="470" t="s">
        <v>2315</v>
      </c>
      <c r="H18" s="816">
        <f>7615.635/2</f>
        <v>3807.8175000000001</v>
      </c>
      <c r="I18" s="833" t="s">
        <v>173</v>
      </c>
      <c r="J18" s="466">
        <v>45291.75</v>
      </c>
      <c r="K18" s="829"/>
      <c r="L18" s="877" t="str">
        <f>'BLU DEC''23 &amp; JAN''24'!J181</f>
        <v>Waiting Unload</v>
      </c>
      <c r="M18" s="877" t="str">
        <f>'BLU DEC''23 &amp; JAN''24'!K181</f>
        <v>MUARA BERAU</v>
      </c>
      <c r="N18" s="1058" t="str">
        <f t="shared" ref="N18:N24" si="2">IF(ISBLANK(J18)," ",IF(J18&lt;$F$4,"On time",(IF(DAY(J18-$F$4)&lt;1,"On time",(IF(J18&gt;$F$4,"DELAY ( "&amp;DAY(J18-$F$4)&amp;" day "&amp;HOUR(J18-$F$4)&amp;" hour "&amp;MINUTE(J18-$F$4)&amp;" minute )","xxx"))))))</f>
        <v>DELAY ( 4 day 6 hour 55 minute )</v>
      </c>
      <c r="O18" s="1080"/>
      <c r="P18" s="465" t="s">
        <v>551</v>
      </c>
      <c r="Q18" s="465" t="s">
        <v>551</v>
      </c>
      <c r="R18" s="465" t="s">
        <v>551</v>
      </c>
      <c r="T18" s="780"/>
      <c r="U18" s="780"/>
      <c r="V18" s="780"/>
      <c r="W18" s="780"/>
      <c r="X18" s="780"/>
      <c r="Y18" s="780"/>
      <c r="Z18" s="780"/>
      <c r="AA18" s="780"/>
      <c r="AB18" s="803"/>
      <c r="AC18" s="803"/>
      <c r="AD18" s="780"/>
      <c r="AE18" s="780"/>
      <c r="AF18" s="780"/>
      <c r="AG18" s="780"/>
      <c r="AH18" s="780"/>
      <c r="AI18" s="780"/>
      <c r="AJ18" s="780"/>
      <c r="AK18" s="780"/>
      <c r="AL18" s="780"/>
      <c r="AM18" s="780"/>
      <c r="AN18" s="780"/>
      <c r="AO18" s="780"/>
      <c r="AP18" s="780"/>
      <c r="AQ18" s="780"/>
      <c r="AR18" s="780"/>
      <c r="AS18" s="780"/>
      <c r="AT18" s="780"/>
      <c r="AU18" s="780"/>
      <c r="AV18" s="780"/>
      <c r="AW18" s="780"/>
      <c r="AX18" s="780"/>
      <c r="AY18" s="780"/>
      <c r="AZ18" s="803">
        <f>H18</f>
        <v>3807.8175000000001</v>
      </c>
      <c r="BA18" s="780"/>
      <c r="BB18" s="780"/>
      <c r="BC18" s="780"/>
      <c r="BD18" s="780"/>
      <c r="BE18" s="780"/>
      <c r="BF18" s="780"/>
      <c r="BG18" s="780"/>
      <c r="BH18" s="780"/>
    </row>
    <row r="19" spans="1:61" s="824" customFormat="1" ht="14.25" customHeight="1">
      <c r="B19" s="1560"/>
      <c r="C19" s="1561"/>
      <c r="D19" s="470" t="s">
        <v>3965</v>
      </c>
      <c r="E19" s="470"/>
      <c r="F19" s="470" t="s">
        <v>2277</v>
      </c>
      <c r="G19" s="470" t="s">
        <v>2278</v>
      </c>
      <c r="H19" s="816">
        <v>7535.9790000000003</v>
      </c>
      <c r="I19" s="833" t="s">
        <v>240</v>
      </c>
      <c r="J19" s="466">
        <v>45292.708333333336</v>
      </c>
      <c r="K19" s="829"/>
      <c r="L19" s="877" t="str">
        <f>'BLU DEC''23 &amp; JAN''24'!J182</f>
        <v>Waiting Unload</v>
      </c>
      <c r="M19" s="877" t="str">
        <f>'BLU DEC''23 &amp; JAN''24'!K182</f>
        <v>MUARA BERAU</v>
      </c>
      <c r="N19" s="1058" t="str">
        <f t="shared" si="2"/>
        <v>DELAY ( 5 day 5 hour 55 minute )</v>
      </c>
      <c r="O19" s="1080"/>
      <c r="P19" s="465" t="s">
        <v>551</v>
      </c>
      <c r="Q19" s="465" t="s">
        <v>551</v>
      </c>
      <c r="R19" s="465" t="s">
        <v>551</v>
      </c>
      <c r="T19" s="780"/>
      <c r="U19" s="780"/>
      <c r="V19" s="780"/>
      <c r="W19" s="780"/>
      <c r="X19" s="780"/>
      <c r="Y19" s="780"/>
      <c r="Z19" s="780"/>
      <c r="AA19" s="780"/>
      <c r="AB19" s="780"/>
      <c r="AC19" s="803">
        <f t="shared" ref="AC19" si="3">H19</f>
        <v>7535.9790000000003</v>
      </c>
      <c r="AD19" s="780"/>
      <c r="AE19" s="780"/>
      <c r="AF19" s="780"/>
      <c r="AG19" s="780"/>
      <c r="AH19" s="780"/>
      <c r="AI19" s="780"/>
      <c r="AJ19" s="780"/>
      <c r="AK19" s="780"/>
      <c r="AL19" s="780"/>
      <c r="AM19" s="780"/>
      <c r="AN19" s="780"/>
      <c r="AO19" s="780"/>
      <c r="AP19" s="780"/>
      <c r="AQ19" s="780"/>
      <c r="AR19" s="780"/>
      <c r="AS19" s="780"/>
      <c r="AT19" s="780"/>
      <c r="AU19" s="780"/>
      <c r="AV19" s="780"/>
      <c r="AW19" s="780"/>
      <c r="AX19" s="780"/>
      <c r="AY19" s="780"/>
      <c r="AZ19" s="780"/>
      <c r="BA19" s="780"/>
      <c r="BB19" s="780"/>
      <c r="BC19" s="780"/>
      <c r="BD19" s="780"/>
      <c r="BE19" s="780"/>
      <c r="BF19" s="780"/>
      <c r="BG19" s="780"/>
      <c r="BH19" s="780"/>
    </row>
    <row r="20" spans="1:61" s="824" customFormat="1" ht="14.25" customHeight="1">
      <c r="B20" s="1558" t="s">
        <v>2449</v>
      </c>
      <c r="C20" s="1559"/>
      <c r="D20" s="470" t="s">
        <v>3964</v>
      </c>
      <c r="E20" s="857"/>
      <c r="F20" s="470" t="s">
        <v>249</v>
      </c>
      <c r="G20" s="470" t="s">
        <v>2315</v>
      </c>
      <c r="H20" s="816">
        <f>H18</f>
        <v>3807.8175000000001</v>
      </c>
      <c r="I20" s="833" t="s">
        <v>173</v>
      </c>
      <c r="J20" s="466">
        <v>45291.75</v>
      </c>
      <c r="K20" s="829"/>
      <c r="L20" s="877" t="str">
        <f>L18</f>
        <v>Waiting Unload</v>
      </c>
      <c r="M20" s="877" t="str">
        <f>M18</f>
        <v>MUARA BERAU</v>
      </c>
      <c r="N20" s="1058" t="str">
        <f t="shared" si="2"/>
        <v>DELAY ( 4 day 6 hour 55 minute )</v>
      </c>
      <c r="O20" s="1080"/>
      <c r="P20" s="465" t="s">
        <v>551</v>
      </c>
      <c r="Q20" s="465" t="s">
        <v>551</v>
      </c>
      <c r="R20" s="465" t="s">
        <v>551</v>
      </c>
      <c r="T20" s="780"/>
      <c r="U20" s="780"/>
      <c r="V20" s="780"/>
      <c r="W20" s="780"/>
      <c r="X20" s="780"/>
      <c r="Y20" s="780"/>
      <c r="Z20" s="780"/>
      <c r="AA20" s="780"/>
      <c r="AB20" s="803"/>
      <c r="AC20" s="803"/>
      <c r="AD20" s="780"/>
      <c r="AE20" s="780"/>
      <c r="AF20" s="780"/>
      <c r="AG20" s="780"/>
      <c r="AH20" s="780"/>
      <c r="AI20" s="780"/>
      <c r="AJ20" s="780"/>
      <c r="AK20" s="780"/>
      <c r="AL20" s="780"/>
      <c r="AM20" s="780"/>
      <c r="AN20" s="780"/>
      <c r="AO20" s="780"/>
      <c r="AP20" s="780"/>
      <c r="AQ20" s="780"/>
      <c r="AR20" s="780"/>
      <c r="AS20" s="780"/>
      <c r="AT20" s="780"/>
      <c r="AU20" s="780"/>
      <c r="AV20" s="780"/>
      <c r="AW20" s="780"/>
      <c r="AX20" s="780"/>
      <c r="AY20" s="780"/>
      <c r="AZ20" s="803">
        <f>H20</f>
        <v>3807.8175000000001</v>
      </c>
      <c r="BA20" s="780"/>
      <c r="BB20" s="780"/>
      <c r="BC20" s="780"/>
      <c r="BD20" s="780"/>
      <c r="BE20" s="780"/>
      <c r="BF20" s="780"/>
      <c r="BG20" s="780"/>
      <c r="BH20" s="780"/>
    </row>
    <row r="21" spans="1:61" s="773" customFormat="1">
      <c r="B21" s="1560"/>
      <c r="C21" s="1561"/>
      <c r="D21" s="470" t="s">
        <v>3967</v>
      </c>
      <c r="E21" s="470"/>
      <c r="F21" s="470" t="s">
        <v>295</v>
      </c>
      <c r="G21" s="470" t="s">
        <v>296</v>
      </c>
      <c r="H21" s="816">
        <v>9912.741</v>
      </c>
      <c r="I21" s="833" t="s">
        <v>240</v>
      </c>
      <c r="J21" s="467" t="s">
        <v>4578</v>
      </c>
      <c r="K21" s="829"/>
      <c r="L21" s="877" t="str">
        <f>'BLU DEC''23 &amp; JAN''24'!J183</f>
        <v>Loaded Transit to MBR</v>
      </c>
      <c r="M21" s="877" t="str">
        <f>'BLU DEC''23 &amp; JAN''24'!K183</f>
        <v xml:space="preserve">KAELI </v>
      </c>
      <c r="N21" s="469" t="e">
        <f t="shared" si="2"/>
        <v>#VALUE!</v>
      </c>
      <c r="O21" s="778"/>
      <c r="P21" s="465" t="s">
        <v>551</v>
      </c>
      <c r="Q21" s="465" t="s">
        <v>551</v>
      </c>
      <c r="R21" s="465" t="s">
        <v>551</v>
      </c>
      <c r="S21" s="779"/>
      <c r="T21" s="780"/>
      <c r="U21" s="780"/>
      <c r="V21" s="780"/>
      <c r="W21" s="780"/>
      <c r="X21" s="780"/>
      <c r="Y21" s="780"/>
      <c r="Z21" s="780"/>
      <c r="AA21" s="780"/>
      <c r="AB21" s="780"/>
      <c r="AC21" s="803">
        <f>H21</f>
        <v>9912.741</v>
      </c>
      <c r="AD21" s="780"/>
      <c r="AE21" s="780"/>
      <c r="AF21" s="780"/>
      <c r="AG21" s="780"/>
      <c r="AH21" s="780"/>
      <c r="AI21" s="780"/>
      <c r="AJ21" s="780"/>
      <c r="AK21" s="780"/>
      <c r="AL21" s="780"/>
      <c r="AM21" s="780"/>
      <c r="AN21" s="780"/>
      <c r="AO21" s="780"/>
      <c r="AP21" s="780"/>
      <c r="AQ21" s="780"/>
      <c r="AR21" s="780"/>
      <c r="AS21" s="780"/>
      <c r="AT21" s="780"/>
      <c r="AU21" s="780"/>
      <c r="AV21" s="780"/>
      <c r="AW21" s="780"/>
      <c r="AX21" s="780"/>
      <c r="AY21" s="780"/>
      <c r="AZ21" s="780"/>
      <c r="BA21" s="780"/>
      <c r="BB21" s="780"/>
      <c r="BC21" s="780"/>
      <c r="BD21" s="780"/>
      <c r="BE21" s="780"/>
      <c r="BF21" s="780"/>
      <c r="BG21" s="780"/>
      <c r="BH21" s="780"/>
    </row>
    <row r="22" spans="1:61" s="773" customFormat="1">
      <c r="B22" s="1556" t="s">
        <v>548</v>
      </c>
      <c r="C22" s="1557"/>
      <c r="D22" s="470" t="s">
        <v>3968</v>
      </c>
      <c r="E22" s="470"/>
      <c r="F22" s="470" t="s">
        <v>238</v>
      </c>
      <c r="G22" s="470" t="s">
        <v>239</v>
      </c>
      <c r="H22" s="816">
        <v>4617.9210000000003</v>
      </c>
      <c r="I22" s="833" t="s">
        <v>265</v>
      </c>
      <c r="J22" s="467" t="s">
        <v>4582</v>
      </c>
      <c r="K22" s="829"/>
      <c r="L22" s="877" t="str">
        <f>'BLU DEC''23 &amp; JAN''24'!J184</f>
        <v>Loaded Transit to MBR</v>
      </c>
      <c r="M22" s="877" t="str">
        <f>'BLU DEC''23 &amp; JAN''24'!K184</f>
        <v>HARAPAN BARU</v>
      </c>
      <c r="N22" s="469" t="e">
        <f t="shared" si="2"/>
        <v>#VALUE!</v>
      </c>
      <c r="O22" s="778"/>
      <c r="P22" s="465" t="s">
        <v>551</v>
      </c>
      <c r="Q22" s="465" t="s">
        <v>551</v>
      </c>
      <c r="R22" s="465" t="s">
        <v>873</v>
      </c>
      <c r="S22" s="779"/>
      <c r="T22" s="780"/>
      <c r="U22" s="780"/>
      <c r="V22" s="780"/>
      <c r="W22" s="780"/>
      <c r="X22" s="780"/>
      <c r="Y22" s="780"/>
      <c r="Z22" s="780"/>
      <c r="AA22" s="780"/>
      <c r="AB22" s="803">
        <f>(H22*0.5)-H26*0.5</f>
        <v>1884.922000000005</v>
      </c>
      <c r="AC22" s="803">
        <f>(H22*0.5)-H26*0.5</f>
        <v>1884.922000000005</v>
      </c>
      <c r="AD22" s="780"/>
      <c r="AE22" s="780"/>
      <c r="AF22" s="780"/>
      <c r="AG22" s="780"/>
      <c r="AH22" s="780"/>
      <c r="AI22" s="780"/>
      <c r="AJ22" s="780"/>
      <c r="AK22" s="780"/>
      <c r="AL22" s="780"/>
      <c r="AM22" s="780"/>
      <c r="AN22" s="780"/>
      <c r="AO22" s="780"/>
      <c r="AP22" s="780"/>
      <c r="AQ22" s="780"/>
      <c r="AR22" s="780"/>
      <c r="AS22" s="780"/>
      <c r="AT22" s="780"/>
      <c r="AU22" s="780"/>
      <c r="AV22" s="780"/>
      <c r="AW22" s="780"/>
      <c r="AX22" s="780"/>
      <c r="AY22" s="780"/>
      <c r="AZ22" s="780"/>
      <c r="BA22" s="780"/>
      <c r="BB22" s="780"/>
      <c r="BC22" s="780"/>
      <c r="BD22" s="780"/>
      <c r="BE22" s="780"/>
      <c r="BF22" s="780"/>
      <c r="BG22" s="780"/>
      <c r="BH22" s="780"/>
    </row>
    <row r="23" spans="1:61" s="61" customFormat="1">
      <c r="B23" s="1566" t="s">
        <v>556</v>
      </c>
      <c r="C23" s="1567"/>
      <c r="D23" s="1567"/>
      <c r="E23" s="1567"/>
      <c r="F23" s="1567"/>
      <c r="G23" s="1568"/>
      <c r="H23" s="828">
        <f>SUM(H10:H22)</f>
        <v>76348.07699999999</v>
      </c>
      <c r="I23" s="1569"/>
      <c r="J23" s="1569"/>
      <c r="K23" s="1569"/>
      <c r="L23" s="1569"/>
      <c r="M23" s="1569"/>
      <c r="N23" s="818" t="str">
        <f t="shared" si="2"/>
        <v xml:space="preserve"> </v>
      </c>
      <c r="O23" s="17"/>
      <c r="P23" s="804"/>
      <c r="Q23" s="804"/>
      <c r="R23" s="804"/>
      <c r="S23" s="773"/>
      <c r="T23" s="1545"/>
      <c r="U23" s="1546"/>
      <c r="V23" s="1546"/>
      <c r="W23" s="1546"/>
      <c r="X23" s="1546"/>
      <c r="Y23" s="1546"/>
      <c r="Z23" s="1546"/>
      <c r="AA23" s="1546"/>
      <c r="AB23" s="1546"/>
      <c r="AC23" s="1546"/>
      <c r="AD23" s="1546"/>
      <c r="AE23" s="1546"/>
      <c r="AF23" s="1546"/>
      <c r="AG23" s="1546"/>
      <c r="AH23" s="1546"/>
      <c r="AI23" s="1546"/>
      <c r="AJ23" s="1546"/>
      <c r="AK23" s="1546"/>
      <c r="AL23" s="1546"/>
      <c r="AM23" s="1546"/>
      <c r="AN23" s="1546"/>
      <c r="AO23" s="1546"/>
      <c r="AP23" s="1546"/>
      <c r="AQ23" s="1546"/>
      <c r="AR23" s="1546"/>
      <c r="AS23" s="1546"/>
      <c r="AT23" s="1546"/>
      <c r="AU23" s="1546"/>
      <c r="AV23" s="1546"/>
      <c r="AW23" s="1546"/>
      <c r="AX23" s="1546"/>
      <c r="AY23" s="1546"/>
      <c r="AZ23" s="1546"/>
      <c r="BA23" s="1546"/>
      <c r="BB23" s="1546"/>
      <c r="BC23" s="1546"/>
      <c r="BD23" s="1546"/>
      <c r="BE23" s="1546"/>
      <c r="BF23" s="1546"/>
      <c r="BG23" s="1546"/>
      <c r="BH23" s="1546"/>
    </row>
    <row r="24" spans="1:61" s="61" customFormat="1">
      <c r="B24" s="1552" t="s">
        <v>557</v>
      </c>
      <c r="C24" s="1553"/>
      <c r="D24" s="1553"/>
      <c r="E24" s="1553"/>
      <c r="F24" s="1553"/>
      <c r="G24" s="1554"/>
      <c r="H24" s="817">
        <v>75500</v>
      </c>
      <c r="I24" s="1555"/>
      <c r="J24" s="1555"/>
      <c r="K24" s="1555"/>
      <c r="L24" s="1555"/>
      <c r="M24" s="1555"/>
      <c r="N24" s="818" t="str">
        <f t="shared" si="2"/>
        <v xml:space="preserve"> </v>
      </c>
      <c r="O24" s="779"/>
      <c r="P24" s="464"/>
      <c r="Q24" s="464"/>
      <c r="R24" s="464"/>
      <c r="S24" s="805"/>
      <c r="T24" s="806">
        <f t="shared" ref="T24:BH24" si="4">SUM(T10:T22)</f>
        <v>7591.6610000000001</v>
      </c>
      <c r="U24" s="806">
        <f t="shared" si="4"/>
        <v>0</v>
      </c>
      <c r="V24" s="806">
        <f t="shared" si="4"/>
        <v>0</v>
      </c>
      <c r="W24" s="806">
        <f t="shared" si="4"/>
        <v>0</v>
      </c>
      <c r="X24" s="806">
        <f t="shared" si="4"/>
        <v>0</v>
      </c>
      <c r="Y24" s="806">
        <f t="shared" si="4"/>
        <v>0</v>
      </c>
      <c r="Z24" s="806">
        <f t="shared" si="4"/>
        <v>0</v>
      </c>
      <c r="AA24" s="806">
        <f t="shared" si="4"/>
        <v>0</v>
      </c>
      <c r="AB24" s="806">
        <f t="shared" si="4"/>
        <v>9408.2050000000054</v>
      </c>
      <c r="AC24" s="806">
        <f t="shared" si="4"/>
        <v>50884.499000000011</v>
      </c>
      <c r="AD24" s="806">
        <f t="shared" si="4"/>
        <v>0</v>
      </c>
      <c r="AE24" s="806">
        <f t="shared" si="4"/>
        <v>0</v>
      </c>
      <c r="AF24" s="806">
        <f t="shared" si="4"/>
        <v>0</v>
      </c>
      <c r="AG24" s="806">
        <f t="shared" si="4"/>
        <v>0</v>
      </c>
      <c r="AH24" s="806">
        <f t="shared" si="4"/>
        <v>0</v>
      </c>
      <c r="AI24" s="806">
        <f t="shared" si="4"/>
        <v>0</v>
      </c>
      <c r="AJ24" s="806">
        <f t="shared" si="4"/>
        <v>0</v>
      </c>
      <c r="AK24" s="806">
        <f t="shared" si="4"/>
        <v>0</v>
      </c>
      <c r="AL24" s="806">
        <f t="shared" si="4"/>
        <v>0</v>
      </c>
      <c r="AM24" s="806">
        <f t="shared" si="4"/>
        <v>0</v>
      </c>
      <c r="AN24" s="806">
        <f t="shared" si="4"/>
        <v>0</v>
      </c>
      <c r="AO24" s="806">
        <f t="shared" si="4"/>
        <v>0</v>
      </c>
      <c r="AP24" s="806">
        <f t="shared" si="4"/>
        <v>0</v>
      </c>
      <c r="AQ24" s="806">
        <f t="shared" si="4"/>
        <v>0</v>
      </c>
      <c r="AR24" s="806">
        <f t="shared" si="4"/>
        <v>0</v>
      </c>
      <c r="AS24" s="806">
        <f t="shared" si="4"/>
        <v>0</v>
      </c>
      <c r="AT24" s="806">
        <f t="shared" si="4"/>
        <v>0</v>
      </c>
      <c r="AU24" s="806">
        <f t="shared" si="4"/>
        <v>0</v>
      </c>
      <c r="AV24" s="806">
        <f t="shared" si="4"/>
        <v>0</v>
      </c>
      <c r="AW24" s="806">
        <f t="shared" si="4"/>
        <v>0</v>
      </c>
      <c r="AX24" s="806">
        <f t="shared" si="4"/>
        <v>0</v>
      </c>
      <c r="AY24" s="806">
        <f t="shared" si="4"/>
        <v>0</v>
      </c>
      <c r="AZ24" s="806">
        <f t="shared" si="4"/>
        <v>7615.6350000000002</v>
      </c>
      <c r="BA24" s="806">
        <f t="shared" si="4"/>
        <v>0</v>
      </c>
      <c r="BB24" s="806">
        <f t="shared" si="4"/>
        <v>0</v>
      </c>
      <c r="BC24" s="806">
        <f t="shared" si="4"/>
        <v>0</v>
      </c>
      <c r="BD24" s="806">
        <f t="shared" si="4"/>
        <v>0</v>
      </c>
      <c r="BE24" s="806">
        <f t="shared" si="4"/>
        <v>0</v>
      </c>
      <c r="BF24" s="806">
        <f t="shared" si="4"/>
        <v>0</v>
      </c>
      <c r="BG24" s="806">
        <f t="shared" si="4"/>
        <v>0</v>
      </c>
      <c r="BH24" s="806">
        <f t="shared" si="4"/>
        <v>0</v>
      </c>
      <c r="BI24" s="806">
        <f>SUM(T24:BH24)</f>
        <v>75500.000000000015</v>
      </c>
    </row>
    <row r="25" spans="1:61" s="61" customFormat="1">
      <c r="B25" s="1552" t="s">
        <v>558</v>
      </c>
      <c r="C25" s="1553"/>
      <c r="D25" s="1553"/>
      <c r="E25" s="1553"/>
      <c r="F25" s="1553"/>
      <c r="G25" s="1554"/>
      <c r="H25" s="807">
        <f>H24-L4</f>
        <v>75500</v>
      </c>
      <c r="I25" s="772"/>
      <c r="J25" s="811"/>
      <c r="K25" s="811"/>
      <c r="L25" s="547"/>
      <c r="M25" s="773"/>
      <c r="N25" s="779"/>
      <c r="O25" s="779"/>
      <c r="P25" s="779"/>
      <c r="Q25" s="808"/>
      <c r="R25" s="808"/>
      <c r="S25" s="779"/>
      <c r="T25" s="809"/>
      <c r="U25" s="809"/>
      <c r="V25" s="809"/>
      <c r="W25" s="809"/>
      <c r="X25" s="809"/>
      <c r="Y25" s="809"/>
      <c r="Z25" s="809"/>
      <c r="AA25" s="809"/>
      <c r="AB25" s="809"/>
      <c r="AC25" s="779"/>
      <c r="AD25" s="779"/>
      <c r="AE25" s="779"/>
      <c r="AF25" s="779"/>
      <c r="AG25" s="779"/>
      <c r="AH25" s="779"/>
      <c r="AI25" s="779"/>
      <c r="AJ25" s="779"/>
      <c r="AK25" s="779"/>
      <c r="AL25" s="779"/>
      <c r="AM25" s="779"/>
      <c r="AN25" s="779"/>
      <c r="AO25" s="779"/>
      <c r="AP25" s="779"/>
      <c r="AQ25" s="779"/>
      <c r="AR25" s="779"/>
    </row>
    <row r="26" spans="1:61" s="61" customFormat="1">
      <c r="B26" s="1552" t="s">
        <v>559</v>
      </c>
      <c r="C26" s="1553"/>
      <c r="D26" s="1553"/>
      <c r="E26" s="1553"/>
      <c r="F26" s="1553"/>
      <c r="G26" s="1554"/>
      <c r="H26" s="810">
        <f>H23-H24</f>
        <v>848.07699999999022</v>
      </c>
      <c r="I26" s="772"/>
      <c r="J26" s="811"/>
      <c r="K26" s="811"/>
      <c r="L26" s="547"/>
      <c r="M26" s="773"/>
      <c r="N26" s="781"/>
      <c r="O26" s="779"/>
      <c r="P26" s="779"/>
      <c r="Q26" s="779"/>
      <c r="R26" s="779"/>
      <c r="S26" s="779"/>
      <c r="T26" s="809"/>
      <c r="U26" s="809"/>
      <c r="V26" s="809"/>
      <c r="W26" s="809"/>
      <c r="X26" s="809"/>
      <c r="Y26" s="809"/>
      <c r="Z26" s="809"/>
      <c r="AA26" s="809"/>
      <c r="AB26" s="809"/>
      <c r="AC26" s="779"/>
      <c r="AD26" s="779"/>
      <c r="AE26" s="779"/>
      <c r="AF26" s="779"/>
      <c r="AG26" s="779"/>
      <c r="AH26" s="779"/>
      <c r="AI26" s="779"/>
      <c r="AJ26" s="779"/>
      <c r="AK26" s="779"/>
      <c r="AL26" s="779"/>
      <c r="AM26" s="779"/>
      <c r="AN26" s="779"/>
      <c r="AO26" s="779"/>
      <c r="AP26" s="779"/>
      <c r="AQ26" s="779"/>
      <c r="AR26" s="779"/>
    </row>
    <row r="27" spans="1:61">
      <c r="P27" s="779"/>
      <c r="Q27" s="779"/>
      <c r="R27" s="779"/>
      <c r="S27" s="779"/>
      <c r="T27" s="809"/>
      <c r="U27" s="809"/>
      <c r="V27" s="809"/>
      <c r="W27" s="809"/>
      <c r="X27" s="809"/>
      <c r="Y27" s="809"/>
      <c r="Z27" s="809"/>
      <c r="AA27" s="809"/>
      <c r="AB27" s="809"/>
      <c r="AC27" s="779"/>
      <c r="AD27" s="779"/>
      <c r="AE27" s="779"/>
      <c r="AF27" s="779"/>
      <c r="AG27" s="779"/>
      <c r="AH27" s="779"/>
      <c r="AI27" s="779"/>
      <c r="AJ27" s="779"/>
      <c r="AK27" s="779"/>
      <c r="AL27" s="779"/>
      <c r="AM27" s="779"/>
      <c r="AN27" s="779"/>
      <c r="AO27" s="779"/>
      <c r="AP27" s="779"/>
      <c r="AQ27" s="779"/>
      <c r="AR27" s="779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</row>
    <row r="28" spans="1:61">
      <c r="B28" s="790" t="s">
        <v>561</v>
      </c>
      <c r="C28" s="790"/>
      <c r="D28" s="779"/>
      <c r="E28" s="779"/>
      <c r="F28" s="779"/>
      <c r="G28" s="779"/>
      <c r="H28" s="779"/>
      <c r="I28" s="779"/>
      <c r="J28" s="812"/>
      <c r="K28" s="812"/>
      <c r="L28" s="813"/>
      <c r="M28" s="779"/>
      <c r="O28" s="812"/>
      <c r="AV28" s="61"/>
      <c r="AW28" s="61"/>
      <c r="AX28" s="61"/>
      <c r="AY28" s="61"/>
      <c r="AZ28" s="61"/>
      <c r="BA28" s="61"/>
      <c r="BB28" s="61"/>
      <c r="BC28" s="61"/>
      <c r="BD28" s="61"/>
    </row>
    <row r="29" spans="1:61">
      <c r="B29" s="468"/>
      <c r="C29" s="1565"/>
      <c r="D29" s="1565"/>
      <c r="E29" s="1565"/>
      <c r="F29" s="1565"/>
      <c r="G29" s="1565"/>
      <c r="H29" s="1565"/>
      <c r="I29" s="1565"/>
      <c r="J29" s="1565"/>
      <c r="K29" s="1565"/>
      <c r="M29" s="784"/>
    </row>
    <row r="30" spans="1:61">
      <c r="M30" s="784"/>
    </row>
    <row r="31" spans="1:61">
      <c r="M31" s="784"/>
    </row>
    <row r="32" spans="1:61">
      <c r="M32" s="784"/>
    </row>
    <row r="33" spans="12:13">
      <c r="M33" s="784"/>
    </row>
    <row r="34" spans="12:13">
      <c r="M34" s="784"/>
    </row>
    <row r="35" spans="12:13">
      <c r="M35" s="784"/>
    </row>
    <row r="36" spans="12:13">
      <c r="L36" s="829" t="s">
        <v>4583</v>
      </c>
      <c r="M36" s="829" t="s">
        <v>965</v>
      </c>
    </row>
    <row r="37" spans="12:13">
      <c r="M37" s="784"/>
    </row>
    <row r="41" spans="12:13">
      <c r="M41" s="784"/>
    </row>
    <row r="42" spans="12:13">
      <c r="M42" s="784"/>
    </row>
    <row r="43" spans="12:13">
      <c r="M43" s="784"/>
    </row>
    <row r="44" spans="12:13">
      <c r="M44" s="784"/>
    </row>
  </sheetData>
  <mergeCells count="20">
    <mergeCell ref="B25:G25"/>
    <mergeCell ref="B26:G26"/>
    <mergeCell ref="C29:K29"/>
    <mergeCell ref="B23:G23"/>
    <mergeCell ref="I23:M23"/>
    <mergeCell ref="T23:BH23"/>
    <mergeCell ref="AF8:BH8"/>
    <mergeCell ref="B10:C11"/>
    <mergeCell ref="B24:G24"/>
    <mergeCell ref="I24:M24"/>
    <mergeCell ref="B22:C22"/>
    <mergeCell ref="B16:C17"/>
    <mergeCell ref="B14:C15"/>
    <mergeCell ref="B12:C13"/>
    <mergeCell ref="B18:C19"/>
    <mergeCell ref="B20:C21"/>
    <mergeCell ref="T8:X8"/>
    <mergeCell ref="Y8:AA8"/>
    <mergeCell ref="AB8:AC8"/>
    <mergeCell ref="B9:C9"/>
  </mergeCells>
  <pageMargins left="0.7" right="0.7" top="0.75" bottom="0.75" header="0.3" footer="0.3"/>
  <pageSetup paperSize="9" scale="24" orientation="landscape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1D00-000000000000}">
          <x14:formula1>
            <xm:f>'FLF &amp; AGENT INFO'!$D$3:$D$31</xm:f>
          </x14:formula1>
          <xm:sqref>F6</xm:sqref>
        </x14:dataValidation>
        <x14:dataValidation type="list" allowBlank="1" showInputMessage="1" showErrorMessage="1" xr:uid="{00000000-0002-0000-1D00-000001000000}">
          <x14:formula1>
            <xm:f>'FLF &amp; AGENT INFO'!$H$3:$H$7</xm:f>
          </x14:formula1>
          <xm:sqref>L6</xm:sqref>
        </x14:dataValidation>
        <x14:dataValidation type="list" allowBlank="1" showInputMessage="1" showErrorMessage="1" xr:uid="{00000000-0002-0000-1D00-000002000000}">
          <x14:formula1>
            <xm:f>'FLF &amp; AGENT INFO'!$B$3:$B$20</xm:f>
          </x14:formula1>
          <xm:sqref>F5</xm:sqref>
        </x14:dataValidation>
        <x14:dataValidation type="list" allowBlank="1" showInputMessage="1" showErrorMessage="1" xr:uid="{00000000-0002-0000-1D00-000003000000}">
          <x14:formula1>
            <xm:f>'FLF &amp; AGENT INFO'!$F$3:$F$28</xm:f>
          </x14:formula1>
          <xm:sqref>F7</xm:sqref>
        </x14:dataValidation>
        <x14:dataValidation type="list" allowBlank="1" showInputMessage="1" showErrorMessage="1" xr:uid="{00000000-0002-0000-1D00-000004000000}">
          <x14:formula1>
            <xm:f>'VLU 2023 &amp; 2024'!$H$253:$H$275</xm:f>
          </x14:formula1>
          <xm:sqref>F2</xm:sqref>
        </x14:dataValidation>
        <x14:dataValidation type="list" allowBlank="1" showInputMessage="1" showErrorMessage="1" xr:uid="{00000000-0002-0000-1D00-000005000000}">
          <x14:formula1>
            <xm:f>'VLU 2023 &amp; 2024'!$I$253:$I$275</xm:f>
          </x14:formula1>
          <xm:sqref>L5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000"/>
    <pageSetUpPr fitToPage="1"/>
  </sheetPr>
  <dimension ref="B1:BI38"/>
  <sheetViews>
    <sheetView zoomScale="85" zoomScaleNormal="85" workbookViewId="0">
      <selection activeCell="B2" sqref="B2"/>
    </sheetView>
  </sheetViews>
  <sheetFormatPr defaultColWidth="9.109375" defaultRowHeight="12.75" customHeight="1"/>
  <cols>
    <col min="1" max="1" width="1.33203125" style="781" customWidth="1"/>
    <col min="2" max="2" width="7.6640625" style="781" customWidth="1"/>
    <col min="3" max="3" width="9.109375" style="781" customWidth="1"/>
    <col min="4" max="4" width="13" style="781" customWidth="1"/>
    <col min="5" max="5" width="1.6640625" style="781" bestFit="1" customWidth="1"/>
    <col min="6" max="6" width="21.109375" style="781" customWidth="1"/>
    <col min="7" max="7" width="20.88671875" style="781" customWidth="1"/>
    <col min="8" max="8" width="11.88671875" style="781" customWidth="1"/>
    <col min="9" max="9" width="20.33203125" style="782" customWidth="1"/>
    <col min="10" max="10" width="21.33203125" style="783" bestFit="1" customWidth="1"/>
    <col min="11" max="11" width="1.6640625" style="783" bestFit="1" customWidth="1"/>
    <col min="12" max="12" width="22.33203125" style="784" bestFit="1" customWidth="1"/>
    <col min="13" max="13" width="17.109375" style="781" customWidth="1"/>
    <col min="14" max="14" width="7.6640625" style="781" hidden="1" customWidth="1"/>
    <col min="15" max="15" width="1.33203125" style="783" customWidth="1"/>
    <col min="16" max="18" width="8.33203125" style="785" customWidth="1"/>
    <col min="19" max="19" width="2.6640625" style="785" customWidth="1"/>
    <col min="20" max="20" width="11" style="785" bestFit="1" customWidth="1"/>
    <col min="21" max="27" width="12.44140625" style="785" customWidth="1"/>
    <col min="28" max="37" width="12.44140625" style="781" customWidth="1"/>
    <col min="38" max="38" width="9.33203125" style="781" bestFit="1" customWidth="1"/>
    <col min="39" max="40" width="10" style="781" bestFit="1" customWidth="1"/>
    <col min="41" max="41" width="11" style="781" bestFit="1" customWidth="1"/>
    <col min="42" max="42" width="10" style="781" bestFit="1" customWidth="1"/>
    <col min="43" max="43" width="11" style="781" bestFit="1" customWidth="1"/>
    <col min="44" max="44" width="10.33203125" style="781" bestFit="1" customWidth="1"/>
    <col min="45" max="45" width="10" style="781" bestFit="1" customWidth="1"/>
    <col min="46" max="46" width="11.6640625" style="781" customWidth="1"/>
    <col min="47" max="56" width="10" style="781" bestFit="1" customWidth="1"/>
    <col min="57" max="57" width="11" style="781" bestFit="1" customWidth="1"/>
    <col min="58" max="60" width="9.109375" style="781" bestFit="1" customWidth="1"/>
    <col min="61" max="61" width="10.44140625" style="781" bestFit="1" customWidth="1"/>
    <col min="62" max="275" width="9.109375" style="781" bestFit="1" customWidth="1"/>
    <col min="276" max="276" width="2.6640625" style="781" customWidth="1"/>
    <col min="277" max="277" width="5" style="781" customWidth="1"/>
    <col min="278" max="278" width="11.6640625" style="781" customWidth="1"/>
    <col min="279" max="279" width="17" style="781" customWidth="1"/>
    <col min="280" max="280" width="6.6640625" style="781" customWidth="1"/>
    <col min="281" max="281" width="18.33203125" style="781" customWidth="1"/>
    <col min="282" max="282" width="10" style="781" customWidth="1"/>
    <col min="283" max="283" width="9" style="781" bestFit="1" customWidth="1"/>
    <col min="284" max="284" width="6.5546875" style="781" customWidth="1"/>
    <col min="285" max="285" width="15.44140625" style="781" customWidth="1"/>
    <col min="286" max="286" width="36.6640625" style="781" customWidth="1"/>
    <col min="287" max="287" width="0" style="781" hidden="1" customWidth="1"/>
    <col min="288" max="288" width="9.109375" style="781" bestFit="1" customWidth="1"/>
    <col min="289" max="289" width="10.33203125" style="781" bestFit="1" customWidth="1"/>
    <col min="290" max="531" width="9.109375" style="781" bestFit="1" customWidth="1"/>
    <col min="532" max="532" width="2.6640625" style="781" customWidth="1"/>
    <col min="533" max="533" width="5" style="781" customWidth="1"/>
    <col min="534" max="534" width="11.6640625" style="781" customWidth="1"/>
    <col min="535" max="535" width="17" style="781" customWidth="1"/>
    <col min="536" max="536" width="6.6640625" style="781" customWidth="1"/>
    <col min="537" max="537" width="18.33203125" style="781" customWidth="1"/>
    <col min="538" max="538" width="10" style="781" customWidth="1"/>
    <col min="539" max="539" width="9" style="781" bestFit="1" customWidth="1"/>
    <col min="540" max="540" width="6.5546875" style="781" customWidth="1"/>
    <col min="541" max="541" width="15.44140625" style="781" customWidth="1"/>
    <col min="542" max="542" width="36.6640625" style="781" customWidth="1"/>
    <col min="543" max="543" width="0" style="781" hidden="1" customWidth="1"/>
    <col min="544" max="544" width="9.109375" style="781" bestFit="1" customWidth="1"/>
    <col min="545" max="545" width="10.33203125" style="781" bestFit="1" customWidth="1"/>
    <col min="546" max="787" width="9.109375" style="781" bestFit="1" customWidth="1"/>
    <col min="788" max="788" width="2.6640625" style="781" customWidth="1"/>
    <col min="789" max="789" width="5" style="781" customWidth="1"/>
    <col min="790" max="790" width="11.6640625" style="781" customWidth="1"/>
    <col min="791" max="791" width="17" style="781" customWidth="1"/>
    <col min="792" max="792" width="6.6640625" style="781" customWidth="1"/>
    <col min="793" max="793" width="18.33203125" style="781" customWidth="1"/>
    <col min="794" max="794" width="10" style="781" customWidth="1"/>
    <col min="795" max="795" width="9" style="781" bestFit="1" customWidth="1"/>
    <col min="796" max="796" width="6.5546875" style="781" customWidth="1"/>
    <col min="797" max="797" width="15.44140625" style="781" customWidth="1"/>
    <col min="798" max="798" width="36.6640625" style="781" customWidth="1"/>
    <col min="799" max="799" width="0" style="781" hidden="1" customWidth="1"/>
    <col min="800" max="800" width="9.109375" style="781" bestFit="1" customWidth="1"/>
    <col min="801" max="801" width="10.33203125" style="781" bestFit="1" customWidth="1"/>
    <col min="802" max="1043" width="9.109375" style="781" bestFit="1" customWidth="1"/>
    <col min="1044" max="1044" width="2.6640625" style="781" customWidth="1"/>
    <col min="1045" max="1045" width="5" style="781" customWidth="1"/>
    <col min="1046" max="1046" width="11.6640625" style="781" customWidth="1"/>
    <col min="1047" max="1047" width="17" style="781" customWidth="1"/>
    <col min="1048" max="1048" width="6.6640625" style="781" customWidth="1"/>
    <col min="1049" max="1049" width="18.33203125" style="781" customWidth="1"/>
    <col min="1050" max="1050" width="10" style="781" customWidth="1"/>
    <col min="1051" max="1051" width="9" style="781" bestFit="1" customWidth="1"/>
    <col min="1052" max="1052" width="6.5546875" style="781" customWidth="1"/>
    <col min="1053" max="1053" width="15.44140625" style="781" customWidth="1"/>
    <col min="1054" max="1054" width="36.6640625" style="781" customWidth="1"/>
    <col min="1055" max="1055" width="0" style="781" hidden="1" customWidth="1"/>
    <col min="1056" max="1056" width="9.109375" style="781" bestFit="1" customWidth="1"/>
    <col min="1057" max="1057" width="10.33203125" style="781" bestFit="1" customWidth="1"/>
    <col min="1058" max="1299" width="9.109375" style="781" bestFit="1" customWidth="1"/>
    <col min="1300" max="1300" width="2.6640625" style="781" customWidth="1"/>
    <col min="1301" max="1301" width="5" style="781" customWidth="1"/>
    <col min="1302" max="1302" width="11.6640625" style="781" customWidth="1"/>
    <col min="1303" max="1303" width="17" style="781" customWidth="1"/>
    <col min="1304" max="1304" width="6.6640625" style="781" customWidth="1"/>
    <col min="1305" max="1305" width="18.33203125" style="781" customWidth="1"/>
    <col min="1306" max="1306" width="10" style="781" customWidth="1"/>
    <col min="1307" max="1307" width="9" style="781" bestFit="1" customWidth="1"/>
    <col min="1308" max="1308" width="6.5546875" style="781" customWidth="1"/>
    <col min="1309" max="1309" width="15.44140625" style="781" customWidth="1"/>
    <col min="1310" max="1310" width="36.6640625" style="781" customWidth="1"/>
    <col min="1311" max="1311" width="0" style="781" hidden="1" customWidth="1"/>
    <col min="1312" max="1312" width="9.109375" style="781" bestFit="1" customWidth="1"/>
    <col min="1313" max="1313" width="10.33203125" style="781" bestFit="1" customWidth="1"/>
    <col min="1314" max="1555" width="9.109375" style="781" bestFit="1" customWidth="1"/>
    <col min="1556" max="1556" width="2.6640625" style="781" customWidth="1"/>
    <col min="1557" max="1557" width="5" style="781" customWidth="1"/>
    <col min="1558" max="1558" width="11.6640625" style="781" customWidth="1"/>
    <col min="1559" max="1559" width="17" style="781" customWidth="1"/>
    <col min="1560" max="1560" width="6.6640625" style="781" customWidth="1"/>
    <col min="1561" max="1561" width="18.33203125" style="781" customWidth="1"/>
    <col min="1562" max="1562" width="10" style="781" customWidth="1"/>
    <col min="1563" max="1563" width="9" style="781" bestFit="1" customWidth="1"/>
    <col min="1564" max="1564" width="6.5546875" style="781" customWidth="1"/>
    <col min="1565" max="1565" width="15.44140625" style="781" customWidth="1"/>
    <col min="1566" max="1566" width="36.6640625" style="781" customWidth="1"/>
    <col min="1567" max="1567" width="0" style="781" hidden="1" customWidth="1"/>
    <col min="1568" max="1568" width="9.109375" style="781" bestFit="1" customWidth="1"/>
    <col min="1569" max="1569" width="10.33203125" style="781" bestFit="1" customWidth="1"/>
    <col min="1570" max="1811" width="9.109375" style="781" bestFit="1" customWidth="1"/>
    <col min="1812" max="1812" width="2.6640625" style="781" customWidth="1"/>
    <col min="1813" max="1813" width="5" style="781" customWidth="1"/>
    <col min="1814" max="1814" width="11.6640625" style="781" customWidth="1"/>
    <col min="1815" max="1815" width="17" style="781" customWidth="1"/>
    <col min="1816" max="1816" width="6.6640625" style="781" customWidth="1"/>
    <col min="1817" max="1817" width="18.33203125" style="781" customWidth="1"/>
    <col min="1818" max="1818" width="10" style="781" customWidth="1"/>
    <col min="1819" max="1819" width="9" style="781" bestFit="1" customWidth="1"/>
    <col min="1820" max="1820" width="6.5546875" style="781" customWidth="1"/>
    <col min="1821" max="1821" width="15.44140625" style="781" customWidth="1"/>
    <col min="1822" max="1822" width="36.6640625" style="781" customWidth="1"/>
    <col min="1823" max="1823" width="0" style="781" hidden="1" customWidth="1"/>
    <col min="1824" max="1824" width="9.109375" style="781" bestFit="1" customWidth="1"/>
    <col min="1825" max="1825" width="10.33203125" style="781" bestFit="1" customWidth="1"/>
    <col min="1826" max="2067" width="9.109375" style="781" bestFit="1" customWidth="1"/>
    <col min="2068" max="2068" width="2.6640625" style="781" customWidth="1"/>
    <col min="2069" max="2069" width="5" style="781" customWidth="1"/>
    <col min="2070" max="2070" width="11.6640625" style="781" customWidth="1"/>
    <col min="2071" max="2071" width="17" style="781" customWidth="1"/>
    <col min="2072" max="2072" width="6.6640625" style="781" customWidth="1"/>
    <col min="2073" max="2073" width="18.33203125" style="781" customWidth="1"/>
    <col min="2074" max="2074" width="10" style="781" customWidth="1"/>
    <col min="2075" max="2075" width="9" style="781" bestFit="1" customWidth="1"/>
    <col min="2076" max="2076" width="6.5546875" style="781" customWidth="1"/>
    <col min="2077" max="2077" width="15.44140625" style="781" customWidth="1"/>
    <col min="2078" max="2078" width="36.6640625" style="781" customWidth="1"/>
    <col min="2079" max="2079" width="0" style="781" hidden="1" customWidth="1"/>
    <col min="2080" max="2080" width="9.109375" style="781" bestFit="1" customWidth="1"/>
    <col min="2081" max="2081" width="10.33203125" style="781" bestFit="1" customWidth="1"/>
    <col min="2082" max="2323" width="9.109375" style="781" bestFit="1" customWidth="1"/>
    <col min="2324" max="2324" width="2.6640625" style="781" customWidth="1"/>
    <col min="2325" max="2325" width="5" style="781" customWidth="1"/>
    <col min="2326" max="2326" width="11.6640625" style="781" customWidth="1"/>
    <col min="2327" max="2327" width="17" style="781" customWidth="1"/>
    <col min="2328" max="2328" width="6.6640625" style="781" customWidth="1"/>
    <col min="2329" max="2329" width="18.33203125" style="781" customWidth="1"/>
    <col min="2330" max="2330" width="10" style="781" customWidth="1"/>
    <col min="2331" max="2331" width="9" style="781" bestFit="1" customWidth="1"/>
    <col min="2332" max="2332" width="6.5546875" style="781" customWidth="1"/>
    <col min="2333" max="2333" width="15.44140625" style="781" customWidth="1"/>
    <col min="2334" max="2334" width="36.6640625" style="781" customWidth="1"/>
    <col min="2335" max="2335" width="0" style="781" hidden="1" customWidth="1"/>
    <col min="2336" max="2336" width="9.109375" style="781" bestFit="1" customWidth="1"/>
    <col min="2337" max="2337" width="10.33203125" style="781" bestFit="1" customWidth="1"/>
    <col min="2338" max="2579" width="9.109375" style="781" bestFit="1" customWidth="1"/>
    <col min="2580" max="2580" width="2.6640625" style="781" customWidth="1"/>
    <col min="2581" max="2581" width="5" style="781" customWidth="1"/>
    <col min="2582" max="2582" width="11.6640625" style="781" customWidth="1"/>
    <col min="2583" max="2583" width="17" style="781" customWidth="1"/>
    <col min="2584" max="2584" width="6.6640625" style="781" customWidth="1"/>
    <col min="2585" max="2585" width="18.33203125" style="781" customWidth="1"/>
    <col min="2586" max="2586" width="10" style="781" customWidth="1"/>
    <col min="2587" max="2587" width="9" style="781" bestFit="1" customWidth="1"/>
    <col min="2588" max="2588" width="6.5546875" style="781" customWidth="1"/>
    <col min="2589" max="2589" width="15.44140625" style="781" customWidth="1"/>
    <col min="2590" max="2590" width="36.6640625" style="781" customWidth="1"/>
    <col min="2591" max="2591" width="0" style="781" hidden="1" customWidth="1"/>
    <col min="2592" max="2592" width="9.109375" style="781" bestFit="1" customWidth="1"/>
    <col min="2593" max="2593" width="10.33203125" style="781" bestFit="1" customWidth="1"/>
    <col min="2594" max="2835" width="9.109375" style="781" bestFit="1" customWidth="1"/>
    <col min="2836" max="2836" width="2.6640625" style="781" customWidth="1"/>
    <col min="2837" max="2837" width="5" style="781" customWidth="1"/>
    <col min="2838" max="2838" width="11.6640625" style="781" customWidth="1"/>
    <col min="2839" max="2839" width="17" style="781" customWidth="1"/>
    <col min="2840" max="2840" width="6.6640625" style="781" customWidth="1"/>
    <col min="2841" max="2841" width="18.33203125" style="781" customWidth="1"/>
    <col min="2842" max="2842" width="10" style="781" customWidth="1"/>
    <col min="2843" max="2843" width="9" style="781" bestFit="1" customWidth="1"/>
    <col min="2844" max="2844" width="6.5546875" style="781" customWidth="1"/>
    <col min="2845" max="2845" width="15.44140625" style="781" customWidth="1"/>
    <col min="2846" max="2846" width="36.6640625" style="781" customWidth="1"/>
    <col min="2847" max="2847" width="0" style="781" hidden="1" customWidth="1"/>
    <col min="2848" max="2848" width="9.109375" style="781" bestFit="1" customWidth="1"/>
    <col min="2849" max="2849" width="10.33203125" style="781" bestFit="1" customWidth="1"/>
    <col min="2850" max="3091" width="9.109375" style="781" bestFit="1" customWidth="1"/>
    <col min="3092" max="3092" width="2.6640625" style="781" customWidth="1"/>
    <col min="3093" max="3093" width="5" style="781" customWidth="1"/>
    <col min="3094" max="3094" width="11.6640625" style="781" customWidth="1"/>
    <col min="3095" max="3095" width="17" style="781" customWidth="1"/>
    <col min="3096" max="3096" width="6.6640625" style="781" customWidth="1"/>
    <col min="3097" max="3097" width="18.33203125" style="781" customWidth="1"/>
    <col min="3098" max="3098" width="10" style="781" customWidth="1"/>
    <col min="3099" max="3099" width="9" style="781" bestFit="1" customWidth="1"/>
    <col min="3100" max="3100" width="6.5546875" style="781" customWidth="1"/>
    <col min="3101" max="3101" width="15.44140625" style="781" customWidth="1"/>
    <col min="3102" max="3102" width="36.6640625" style="781" customWidth="1"/>
    <col min="3103" max="3103" width="0" style="781" hidden="1" customWidth="1"/>
    <col min="3104" max="3104" width="9.109375" style="781" bestFit="1" customWidth="1"/>
    <col min="3105" max="3105" width="10.33203125" style="781" bestFit="1" customWidth="1"/>
    <col min="3106" max="3347" width="9.109375" style="781" bestFit="1" customWidth="1"/>
    <col min="3348" max="3348" width="2.6640625" style="781" customWidth="1"/>
    <col min="3349" max="3349" width="5" style="781" customWidth="1"/>
    <col min="3350" max="3350" width="11.6640625" style="781" customWidth="1"/>
    <col min="3351" max="3351" width="17" style="781" customWidth="1"/>
    <col min="3352" max="3352" width="6.6640625" style="781" customWidth="1"/>
    <col min="3353" max="3353" width="18.33203125" style="781" customWidth="1"/>
    <col min="3354" max="3354" width="10" style="781" customWidth="1"/>
    <col min="3355" max="3355" width="9" style="781" bestFit="1" customWidth="1"/>
    <col min="3356" max="3356" width="6.5546875" style="781" customWidth="1"/>
    <col min="3357" max="3357" width="15.44140625" style="781" customWidth="1"/>
    <col min="3358" max="3358" width="36.6640625" style="781" customWidth="1"/>
    <col min="3359" max="3359" width="0" style="781" hidden="1" customWidth="1"/>
    <col min="3360" max="3360" width="9.109375" style="781" bestFit="1" customWidth="1"/>
    <col min="3361" max="3361" width="10.33203125" style="781" bestFit="1" customWidth="1"/>
    <col min="3362" max="3603" width="9.109375" style="781" bestFit="1" customWidth="1"/>
    <col min="3604" max="3604" width="2.6640625" style="781" customWidth="1"/>
    <col min="3605" max="3605" width="5" style="781" customWidth="1"/>
    <col min="3606" max="3606" width="11.6640625" style="781" customWidth="1"/>
    <col min="3607" max="3607" width="17" style="781" customWidth="1"/>
    <col min="3608" max="3608" width="6.6640625" style="781" customWidth="1"/>
    <col min="3609" max="3609" width="18.33203125" style="781" customWidth="1"/>
    <col min="3610" max="3610" width="10" style="781" customWidth="1"/>
    <col min="3611" max="3611" width="9" style="781" bestFit="1" customWidth="1"/>
    <col min="3612" max="3612" width="6.5546875" style="781" customWidth="1"/>
    <col min="3613" max="3613" width="15.44140625" style="781" customWidth="1"/>
    <col min="3614" max="3614" width="36.6640625" style="781" customWidth="1"/>
    <col min="3615" max="3615" width="0" style="781" hidden="1" customWidth="1"/>
    <col min="3616" max="3616" width="9.109375" style="781" bestFit="1" customWidth="1"/>
    <col min="3617" max="3617" width="10.33203125" style="781" bestFit="1" customWidth="1"/>
    <col min="3618" max="3859" width="9.109375" style="781" bestFit="1" customWidth="1"/>
    <col min="3860" max="3860" width="2.6640625" style="781" customWidth="1"/>
    <col min="3861" max="3861" width="5" style="781" customWidth="1"/>
    <col min="3862" max="3862" width="11.6640625" style="781" customWidth="1"/>
    <col min="3863" max="3863" width="17" style="781" customWidth="1"/>
    <col min="3864" max="3864" width="6.6640625" style="781" customWidth="1"/>
    <col min="3865" max="3865" width="18.33203125" style="781" customWidth="1"/>
    <col min="3866" max="3866" width="10" style="781" customWidth="1"/>
    <col min="3867" max="3867" width="9" style="781" bestFit="1" customWidth="1"/>
    <col min="3868" max="3868" width="6.5546875" style="781" customWidth="1"/>
    <col min="3869" max="3869" width="15.44140625" style="781" customWidth="1"/>
    <col min="3870" max="3870" width="36.6640625" style="781" customWidth="1"/>
    <col min="3871" max="3871" width="0" style="781" hidden="1" customWidth="1"/>
    <col min="3872" max="3872" width="9.109375" style="781" bestFit="1" customWidth="1"/>
    <col min="3873" max="3873" width="10.33203125" style="781" bestFit="1" customWidth="1"/>
    <col min="3874" max="4115" width="9.109375" style="781" bestFit="1" customWidth="1"/>
    <col min="4116" max="4116" width="2.6640625" style="781" customWidth="1"/>
    <col min="4117" max="4117" width="5" style="781" customWidth="1"/>
    <col min="4118" max="4118" width="11.6640625" style="781" customWidth="1"/>
    <col min="4119" max="4119" width="17" style="781" customWidth="1"/>
    <col min="4120" max="4120" width="6.6640625" style="781" customWidth="1"/>
    <col min="4121" max="4121" width="18.33203125" style="781" customWidth="1"/>
    <col min="4122" max="4122" width="10" style="781" customWidth="1"/>
    <col min="4123" max="4123" width="9" style="781" bestFit="1" customWidth="1"/>
    <col min="4124" max="4124" width="6.5546875" style="781" customWidth="1"/>
    <col min="4125" max="4125" width="15.44140625" style="781" customWidth="1"/>
    <col min="4126" max="4126" width="36.6640625" style="781" customWidth="1"/>
    <col min="4127" max="4127" width="0" style="781" hidden="1" customWidth="1"/>
    <col min="4128" max="4128" width="9.109375" style="781" bestFit="1" customWidth="1"/>
    <col min="4129" max="4129" width="10.33203125" style="781" bestFit="1" customWidth="1"/>
    <col min="4130" max="4371" width="9.109375" style="781" bestFit="1" customWidth="1"/>
    <col min="4372" max="4372" width="2.6640625" style="781" customWidth="1"/>
    <col min="4373" max="4373" width="5" style="781" customWidth="1"/>
    <col min="4374" max="4374" width="11.6640625" style="781" customWidth="1"/>
    <col min="4375" max="4375" width="17" style="781" customWidth="1"/>
    <col min="4376" max="4376" width="6.6640625" style="781" customWidth="1"/>
    <col min="4377" max="4377" width="18.33203125" style="781" customWidth="1"/>
    <col min="4378" max="4378" width="10" style="781" customWidth="1"/>
    <col min="4379" max="4379" width="9" style="781" bestFit="1" customWidth="1"/>
    <col min="4380" max="4380" width="6.5546875" style="781" customWidth="1"/>
    <col min="4381" max="4381" width="15.44140625" style="781" customWidth="1"/>
    <col min="4382" max="4382" width="36.6640625" style="781" customWidth="1"/>
    <col min="4383" max="4383" width="0" style="781" hidden="1" customWidth="1"/>
    <col min="4384" max="4384" width="9.109375" style="781" bestFit="1" customWidth="1"/>
    <col min="4385" max="4385" width="10.33203125" style="781" bestFit="1" customWidth="1"/>
    <col min="4386" max="4627" width="9.109375" style="781" bestFit="1" customWidth="1"/>
    <col min="4628" max="4628" width="2.6640625" style="781" customWidth="1"/>
    <col min="4629" max="4629" width="5" style="781" customWidth="1"/>
    <col min="4630" max="4630" width="11.6640625" style="781" customWidth="1"/>
    <col min="4631" max="4631" width="17" style="781" customWidth="1"/>
    <col min="4632" max="4632" width="6.6640625" style="781" customWidth="1"/>
    <col min="4633" max="4633" width="18.33203125" style="781" customWidth="1"/>
    <col min="4634" max="4634" width="10" style="781" customWidth="1"/>
    <col min="4635" max="4635" width="9" style="781" bestFit="1" customWidth="1"/>
    <col min="4636" max="4636" width="6.5546875" style="781" customWidth="1"/>
    <col min="4637" max="4637" width="15.44140625" style="781" customWidth="1"/>
    <col min="4638" max="4638" width="36.6640625" style="781" customWidth="1"/>
    <col min="4639" max="4639" width="0" style="781" hidden="1" customWidth="1"/>
    <col min="4640" max="4640" width="9.109375" style="781" bestFit="1" customWidth="1"/>
    <col min="4641" max="4641" width="10.33203125" style="781" bestFit="1" customWidth="1"/>
    <col min="4642" max="4883" width="9.109375" style="781" bestFit="1" customWidth="1"/>
    <col min="4884" max="4884" width="2.6640625" style="781" customWidth="1"/>
    <col min="4885" max="4885" width="5" style="781" customWidth="1"/>
    <col min="4886" max="4886" width="11.6640625" style="781" customWidth="1"/>
    <col min="4887" max="4887" width="17" style="781" customWidth="1"/>
    <col min="4888" max="4888" width="6.6640625" style="781" customWidth="1"/>
    <col min="4889" max="4889" width="18.33203125" style="781" customWidth="1"/>
    <col min="4890" max="4890" width="10" style="781" customWidth="1"/>
    <col min="4891" max="4891" width="9" style="781" bestFit="1" customWidth="1"/>
    <col min="4892" max="4892" width="6.5546875" style="781" customWidth="1"/>
    <col min="4893" max="4893" width="15.44140625" style="781" customWidth="1"/>
    <col min="4894" max="4894" width="36.6640625" style="781" customWidth="1"/>
    <col min="4895" max="4895" width="0" style="781" hidden="1" customWidth="1"/>
    <col min="4896" max="4896" width="9.109375" style="781" bestFit="1" customWidth="1"/>
    <col min="4897" max="4897" width="10.33203125" style="781" bestFit="1" customWidth="1"/>
    <col min="4898" max="5139" width="9.109375" style="781" bestFit="1" customWidth="1"/>
    <col min="5140" max="5140" width="2.6640625" style="781" customWidth="1"/>
    <col min="5141" max="5141" width="5" style="781" customWidth="1"/>
    <col min="5142" max="5142" width="11.6640625" style="781" customWidth="1"/>
    <col min="5143" max="5143" width="17" style="781" customWidth="1"/>
    <col min="5144" max="5144" width="6.6640625" style="781" customWidth="1"/>
    <col min="5145" max="5145" width="18.33203125" style="781" customWidth="1"/>
    <col min="5146" max="5146" width="10" style="781" customWidth="1"/>
    <col min="5147" max="5147" width="9" style="781" bestFit="1" customWidth="1"/>
    <col min="5148" max="5148" width="6.5546875" style="781" customWidth="1"/>
    <col min="5149" max="5149" width="15.44140625" style="781" customWidth="1"/>
    <col min="5150" max="5150" width="36.6640625" style="781" customWidth="1"/>
    <col min="5151" max="5151" width="0" style="781" hidden="1" customWidth="1"/>
    <col min="5152" max="5152" width="9.109375" style="781" bestFit="1" customWidth="1"/>
    <col min="5153" max="5153" width="10.33203125" style="781" bestFit="1" customWidth="1"/>
    <col min="5154" max="5395" width="9.109375" style="781" bestFit="1" customWidth="1"/>
    <col min="5396" max="5396" width="2.6640625" style="781" customWidth="1"/>
    <col min="5397" max="5397" width="5" style="781" customWidth="1"/>
    <col min="5398" max="5398" width="11.6640625" style="781" customWidth="1"/>
    <col min="5399" max="5399" width="17" style="781" customWidth="1"/>
    <col min="5400" max="5400" width="6.6640625" style="781" customWidth="1"/>
    <col min="5401" max="5401" width="18.33203125" style="781" customWidth="1"/>
    <col min="5402" max="5402" width="10" style="781" customWidth="1"/>
    <col min="5403" max="5403" width="9" style="781" bestFit="1" customWidth="1"/>
    <col min="5404" max="5404" width="6.5546875" style="781" customWidth="1"/>
    <col min="5405" max="5405" width="15.44140625" style="781" customWidth="1"/>
    <col min="5406" max="5406" width="36.6640625" style="781" customWidth="1"/>
    <col min="5407" max="5407" width="0" style="781" hidden="1" customWidth="1"/>
    <col min="5408" max="5408" width="9.109375" style="781" bestFit="1" customWidth="1"/>
    <col min="5409" max="5409" width="10.33203125" style="781" bestFit="1" customWidth="1"/>
    <col min="5410" max="5651" width="9.109375" style="781" bestFit="1" customWidth="1"/>
    <col min="5652" max="5652" width="2.6640625" style="781" customWidth="1"/>
    <col min="5653" max="5653" width="5" style="781" customWidth="1"/>
    <col min="5654" max="5654" width="11.6640625" style="781" customWidth="1"/>
    <col min="5655" max="5655" width="17" style="781" customWidth="1"/>
    <col min="5656" max="5656" width="6.6640625" style="781" customWidth="1"/>
    <col min="5657" max="5657" width="18.33203125" style="781" customWidth="1"/>
    <col min="5658" max="5658" width="10" style="781" customWidth="1"/>
    <col min="5659" max="5659" width="9" style="781" bestFit="1" customWidth="1"/>
    <col min="5660" max="5660" width="6.5546875" style="781" customWidth="1"/>
    <col min="5661" max="5661" width="15.44140625" style="781" customWidth="1"/>
    <col min="5662" max="5662" width="36.6640625" style="781" customWidth="1"/>
    <col min="5663" max="5663" width="0" style="781" hidden="1" customWidth="1"/>
    <col min="5664" max="5664" width="9.109375" style="781" bestFit="1" customWidth="1"/>
    <col min="5665" max="5665" width="10.33203125" style="781" bestFit="1" customWidth="1"/>
    <col min="5666" max="5907" width="9.109375" style="781" bestFit="1" customWidth="1"/>
    <col min="5908" max="5908" width="2.6640625" style="781" customWidth="1"/>
    <col min="5909" max="5909" width="5" style="781" customWidth="1"/>
    <col min="5910" max="5910" width="11.6640625" style="781" customWidth="1"/>
    <col min="5911" max="5911" width="17" style="781" customWidth="1"/>
    <col min="5912" max="5912" width="6.6640625" style="781" customWidth="1"/>
    <col min="5913" max="5913" width="18.33203125" style="781" customWidth="1"/>
    <col min="5914" max="5914" width="10" style="781" customWidth="1"/>
    <col min="5915" max="5915" width="9" style="781" bestFit="1" customWidth="1"/>
    <col min="5916" max="5916" width="6.5546875" style="781" customWidth="1"/>
    <col min="5917" max="5917" width="15.44140625" style="781" customWidth="1"/>
    <col min="5918" max="5918" width="36.6640625" style="781" customWidth="1"/>
    <col min="5919" max="5919" width="0" style="781" hidden="1" customWidth="1"/>
    <col min="5920" max="5920" width="9.109375" style="781" bestFit="1" customWidth="1"/>
    <col min="5921" max="5921" width="10.33203125" style="781" bestFit="1" customWidth="1"/>
    <col min="5922" max="6163" width="9.109375" style="781" bestFit="1" customWidth="1"/>
    <col min="6164" max="6164" width="2.6640625" style="781" customWidth="1"/>
    <col min="6165" max="6165" width="5" style="781" customWidth="1"/>
    <col min="6166" max="6166" width="11.6640625" style="781" customWidth="1"/>
    <col min="6167" max="6167" width="17" style="781" customWidth="1"/>
    <col min="6168" max="6168" width="6.6640625" style="781" customWidth="1"/>
    <col min="6169" max="6169" width="18.33203125" style="781" customWidth="1"/>
    <col min="6170" max="6170" width="10" style="781" customWidth="1"/>
    <col min="6171" max="6171" width="9" style="781" bestFit="1" customWidth="1"/>
    <col min="6172" max="6172" width="6.5546875" style="781" customWidth="1"/>
    <col min="6173" max="6173" width="15.44140625" style="781" customWidth="1"/>
    <col min="6174" max="6174" width="36.6640625" style="781" customWidth="1"/>
    <col min="6175" max="6175" width="0" style="781" hidden="1" customWidth="1"/>
    <col min="6176" max="6176" width="9.109375" style="781" bestFit="1" customWidth="1"/>
    <col min="6177" max="6177" width="10.33203125" style="781" bestFit="1" customWidth="1"/>
    <col min="6178" max="6419" width="9.109375" style="781" bestFit="1" customWidth="1"/>
    <col min="6420" max="6420" width="2.6640625" style="781" customWidth="1"/>
    <col min="6421" max="6421" width="5" style="781" customWidth="1"/>
    <col min="6422" max="6422" width="11.6640625" style="781" customWidth="1"/>
    <col min="6423" max="6423" width="17" style="781" customWidth="1"/>
    <col min="6424" max="6424" width="6.6640625" style="781" customWidth="1"/>
    <col min="6425" max="6425" width="18.33203125" style="781" customWidth="1"/>
    <col min="6426" max="6426" width="10" style="781" customWidth="1"/>
    <col min="6427" max="6427" width="9" style="781" bestFit="1" customWidth="1"/>
    <col min="6428" max="6428" width="6.5546875" style="781" customWidth="1"/>
    <col min="6429" max="6429" width="15.44140625" style="781" customWidth="1"/>
    <col min="6430" max="6430" width="36.6640625" style="781" customWidth="1"/>
    <col min="6431" max="6431" width="0" style="781" hidden="1" customWidth="1"/>
    <col min="6432" max="6432" width="9.109375" style="781" bestFit="1" customWidth="1"/>
    <col min="6433" max="6433" width="10.33203125" style="781" bestFit="1" customWidth="1"/>
    <col min="6434" max="6675" width="9.109375" style="781" bestFit="1" customWidth="1"/>
    <col min="6676" max="6676" width="2.6640625" style="781" customWidth="1"/>
    <col min="6677" max="6677" width="5" style="781" customWidth="1"/>
    <col min="6678" max="6678" width="11.6640625" style="781" customWidth="1"/>
    <col min="6679" max="6679" width="17" style="781" customWidth="1"/>
    <col min="6680" max="6680" width="6.6640625" style="781" customWidth="1"/>
    <col min="6681" max="6681" width="18.33203125" style="781" customWidth="1"/>
    <col min="6682" max="6682" width="10" style="781" customWidth="1"/>
    <col min="6683" max="6683" width="9" style="781" bestFit="1" customWidth="1"/>
    <col min="6684" max="6684" width="6.5546875" style="781" customWidth="1"/>
    <col min="6685" max="6685" width="15.44140625" style="781" customWidth="1"/>
    <col min="6686" max="6686" width="36.6640625" style="781" customWidth="1"/>
    <col min="6687" max="6687" width="0" style="781" hidden="1" customWidth="1"/>
    <col min="6688" max="6688" width="9.109375" style="781" bestFit="1" customWidth="1"/>
    <col min="6689" max="6689" width="10.33203125" style="781" bestFit="1" customWidth="1"/>
    <col min="6690" max="6931" width="9.109375" style="781" bestFit="1" customWidth="1"/>
    <col min="6932" max="6932" width="2.6640625" style="781" customWidth="1"/>
    <col min="6933" max="6933" width="5" style="781" customWidth="1"/>
    <col min="6934" max="6934" width="11.6640625" style="781" customWidth="1"/>
    <col min="6935" max="6935" width="17" style="781" customWidth="1"/>
    <col min="6936" max="6936" width="6.6640625" style="781" customWidth="1"/>
    <col min="6937" max="6937" width="18.33203125" style="781" customWidth="1"/>
    <col min="6938" max="6938" width="10" style="781" customWidth="1"/>
    <col min="6939" max="6939" width="9" style="781" bestFit="1" customWidth="1"/>
    <col min="6940" max="6940" width="6.5546875" style="781" customWidth="1"/>
    <col min="6941" max="6941" width="15.44140625" style="781" customWidth="1"/>
    <col min="6942" max="6942" width="36.6640625" style="781" customWidth="1"/>
    <col min="6943" max="6943" width="0" style="781" hidden="1" customWidth="1"/>
    <col min="6944" max="6944" width="9.109375" style="781" bestFit="1" customWidth="1"/>
    <col min="6945" max="6945" width="10.33203125" style="781" bestFit="1" customWidth="1"/>
    <col min="6946" max="7187" width="9.109375" style="781" bestFit="1" customWidth="1"/>
    <col min="7188" max="7188" width="2.6640625" style="781" customWidth="1"/>
    <col min="7189" max="7189" width="5" style="781" customWidth="1"/>
    <col min="7190" max="7190" width="11.6640625" style="781" customWidth="1"/>
    <col min="7191" max="7191" width="17" style="781" customWidth="1"/>
    <col min="7192" max="7192" width="6.6640625" style="781" customWidth="1"/>
    <col min="7193" max="7193" width="18.33203125" style="781" customWidth="1"/>
    <col min="7194" max="7194" width="10" style="781" customWidth="1"/>
    <col min="7195" max="7195" width="9" style="781" bestFit="1" customWidth="1"/>
    <col min="7196" max="7196" width="6.5546875" style="781" customWidth="1"/>
    <col min="7197" max="7197" width="15.44140625" style="781" customWidth="1"/>
    <col min="7198" max="7198" width="36.6640625" style="781" customWidth="1"/>
    <col min="7199" max="7199" width="0" style="781" hidden="1" customWidth="1"/>
    <col min="7200" max="7200" width="9.109375" style="781" bestFit="1" customWidth="1"/>
    <col min="7201" max="7201" width="10.33203125" style="781" bestFit="1" customWidth="1"/>
    <col min="7202" max="7443" width="9.109375" style="781" bestFit="1" customWidth="1"/>
    <col min="7444" max="7444" width="2.6640625" style="781" customWidth="1"/>
    <col min="7445" max="7445" width="5" style="781" customWidth="1"/>
    <col min="7446" max="7446" width="11.6640625" style="781" customWidth="1"/>
    <col min="7447" max="7447" width="17" style="781" customWidth="1"/>
    <col min="7448" max="7448" width="6.6640625" style="781" customWidth="1"/>
    <col min="7449" max="7449" width="18.33203125" style="781" customWidth="1"/>
    <col min="7450" max="7450" width="10" style="781" customWidth="1"/>
    <col min="7451" max="7451" width="9" style="781" bestFit="1" customWidth="1"/>
    <col min="7452" max="7452" width="6.5546875" style="781" customWidth="1"/>
    <col min="7453" max="7453" width="15.44140625" style="781" customWidth="1"/>
    <col min="7454" max="7454" width="36.6640625" style="781" customWidth="1"/>
    <col min="7455" max="7455" width="0" style="781" hidden="1" customWidth="1"/>
    <col min="7456" max="7456" width="9.109375" style="781" bestFit="1" customWidth="1"/>
    <col min="7457" max="7457" width="10.33203125" style="781" bestFit="1" customWidth="1"/>
    <col min="7458" max="7699" width="9.109375" style="781" bestFit="1" customWidth="1"/>
    <col min="7700" max="7700" width="2.6640625" style="781" customWidth="1"/>
    <col min="7701" max="7701" width="5" style="781" customWidth="1"/>
    <col min="7702" max="7702" width="11.6640625" style="781" customWidth="1"/>
    <col min="7703" max="7703" width="17" style="781" customWidth="1"/>
    <col min="7704" max="7704" width="6.6640625" style="781" customWidth="1"/>
    <col min="7705" max="7705" width="18.33203125" style="781" customWidth="1"/>
    <col min="7706" max="7706" width="10" style="781" customWidth="1"/>
    <col min="7707" max="7707" width="9" style="781" bestFit="1" customWidth="1"/>
    <col min="7708" max="7708" width="6.5546875" style="781" customWidth="1"/>
    <col min="7709" max="7709" width="15.44140625" style="781" customWidth="1"/>
    <col min="7710" max="7710" width="36.6640625" style="781" customWidth="1"/>
    <col min="7711" max="7711" width="0" style="781" hidden="1" customWidth="1"/>
    <col min="7712" max="7712" width="9.109375" style="781" bestFit="1" customWidth="1"/>
    <col min="7713" max="7713" width="10.33203125" style="781" bestFit="1" customWidth="1"/>
    <col min="7714" max="7955" width="9.109375" style="781" bestFit="1" customWidth="1"/>
    <col min="7956" max="7956" width="2.6640625" style="781" customWidth="1"/>
    <col min="7957" max="7957" width="5" style="781" customWidth="1"/>
    <col min="7958" max="7958" width="11.6640625" style="781" customWidth="1"/>
    <col min="7959" max="7959" width="17" style="781" customWidth="1"/>
    <col min="7960" max="7960" width="6.6640625" style="781" customWidth="1"/>
    <col min="7961" max="7961" width="18.33203125" style="781" customWidth="1"/>
    <col min="7962" max="7962" width="10" style="781" customWidth="1"/>
    <col min="7963" max="7963" width="9" style="781" bestFit="1" customWidth="1"/>
    <col min="7964" max="7964" width="6.5546875" style="781" customWidth="1"/>
    <col min="7965" max="7965" width="15.44140625" style="781" customWidth="1"/>
    <col min="7966" max="7966" width="36.6640625" style="781" customWidth="1"/>
    <col min="7967" max="7967" width="0" style="781" hidden="1" customWidth="1"/>
    <col min="7968" max="7968" width="9.109375" style="781" bestFit="1" customWidth="1"/>
    <col min="7969" max="7969" width="10.33203125" style="781" bestFit="1" customWidth="1"/>
    <col min="7970" max="8211" width="9.109375" style="781" bestFit="1" customWidth="1"/>
    <col min="8212" max="8212" width="2.6640625" style="781" customWidth="1"/>
    <col min="8213" max="8213" width="5" style="781" customWidth="1"/>
    <col min="8214" max="8214" width="11.6640625" style="781" customWidth="1"/>
    <col min="8215" max="8215" width="17" style="781" customWidth="1"/>
    <col min="8216" max="8216" width="6.6640625" style="781" customWidth="1"/>
    <col min="8217" max="8217" width="18.33203125" style="781" customWidth="1"/>
    <col min="8218" max="8218" width="10" style="781" customWidth="1"/>
    <col min="8219" max="8219" width="9" style="781" bestFit="1" customWidth="1"/>
    <col min="8220" max="8220" width="6.5546875" style="781" customWidth="1"/>
    <col min="8221" max="8221" width="15.44140625" style="781" customWidth="1"/>
    <col min="8222" max="8222" width="36.6640625" style="781" customWidth="1"/>
    <col min="8223" max="8223" width="0" style="781" hidden="1" customWidth="1"/>
    <col min="8224" max="8224" width="9.109375" style="781" bestFit="1" customWidth="1"/>
    <col min="8225" max="8225" width="10.33203125" style="781" bestFit="1" customWidth="1"/>
    <col min="8226" max="8467" width="9.109375" style="781" bestFit="1" customWidth="1"/>
    <col min="8468" max="8468" width="2.6640625" style="781" customWidth="1"/>
    <col min="8469" max="8469" width="5" style="781" customWidth="1"/>
    <col min="8470" max="8470" width="11.6640625" style="781" customWidth="1"/>
    <col min="8471" max="8471" width="17" style="781" customWidth="1"/>
    <col min="8472" max="8472" width="6.6640625" style="781" customWidth="1"/>
    <col min="8473" max="8473" width="18.33203125" style="781" customWidth="1"/>
    <col min="8474" max="8474" width="10" style="781" customWidth="1"/>
    <col min="8475" max="8475" width="9" style="781" bestFit="1" customWidth="1"/>
    <col min="8476" max="8476" width="6.5546875" style="781" customWidth="1"/>
    <col min="8477" max="8477" width="15.44140625" style="781" customWidth="1"/>
    <col min="8478" max="8478" width="36.6640625" style="781" customWidth="1"/>
    <col min="8479" max="8479" width="0" style="781" hidden="1" customWidth="1"/>
    <col min="8480" max="8480" width="9.109375" style="781" bestFit="1" customWidth="1"/>
    <col min="8481" max="8481" width="10.33203125" style="781" bestFit="1" customWidth="1"/>
    <col min="8482" max="8723" width="9.109375" style="781" bestFit="1" customWidth="1"/>
    <col min="8724" max="8724" width="2.6640625" style="781" customWidth="1"/>
    <col min="8725" max="8725" width="5" style="781" customWidth="1"/>
    <col min="8726" max="8726" width="11.6640625" style="781" customWidth="1"/>
    <col min="8727" max="8727" width="17" style="781" customWidth="1"/>
    <col min="8728" max="8728" width="6.6640625" style="781" customWidth="1"/>
    <col min="8729" max="8729" width="18.33203125" style="781" customWidth="1"/>
    <col min="8730" max="8730" width="10" style="781" customWidth="1"/>
    <col min="8731" max="8731" width="9" style="781" bestFit="1" customWidth="1"/>
    <col min="8732" max="8732" width="6.5546875" style="781" customWidth="1"/>
    <col min="8733" max="8733" width="15.44140625" style="781" customWidth="1"/>
    <col min="8734" max="8734" width="36.6640625" style="781" customWidth="1"/>
    <col min="8735" max="8735" width="0" style="781" hidden="1" customWidth="1"/>
    <col min="8736" max="8736" width="9.109375" style="781" bestFit="1" customWidth="1"/>
    <col min="8737" max="8737" width="10.33203125" style="781" bestFit="1" customWidth="1"/>
    <col min="8738" max="8979" width="9.109375" style="781" bestFit="1" customWidth="1"/>
    <col min="8980" max="8980" width="2.6640625" style="781" customWidth="1"/>
    <col min="8981" max="8981" width="5" style="781" customWidth="1"/>
    <col min="8982" max="8982" width="11.6640625" style="781" customWidth="1"/>
    <col min="8983" max="8983" width="17" style="781" customWidth="1"/>
    <col min="8984" max="8984" width="6.6640625" style="781" customWidth="1"/>
    <col min="8985" max="8985" width="18.33203125" style="781" customWidth="1"/>
    <col min="8986" max="8986" width="10" style="781" customWidth="1"/>
    <col min="8987" max="8987" width="9" style="781" bestFit="1" customWidth="1"/>
    <col min="8988" max="8988" width="6.5546875" style="781" customWidth="1"/>
    <col min="8989" max="8989" width="15.44140625" style="781" customWidth="1"/>
    <col min="8990" max="8990" width="36.6640625" style="781" customWidth="1"/>
    <col min="8991" max="8991" width="0" style="781" hidden="1" customWidth="1"/>
    <col min="8992" max="8992" width="9.109375" style="781" bestFit="1" customWidth="1"/>
    <col min="8993" max="8993" width="10.33203125" style="781" bestFit="1" customWidth="1"/>
    <col min="8994" max="9235" width="9.109375" style="781" bestFit="1" customWidth="1"/>
    <col min="9236" max="9236" width="2.6640625" style="781" customWidth="1"/>
    <col min="9237" max="9237" width="5" style="781" customWidth="1"/>
    <col min="9238" max="9238" width="11.6640625" style="781" customWidth="1"/>
    <col min="9239" max="9239" width="17" style="781" customWidth="1"/>
    <col min="9240" max="9240" width="6.6640625" style="781" customWidth="1"/>
    <col min="9241" max="9241" width="18.33203125" style="781" customWidth="1"/>
    <col min="9242" max="9242" width="10" style="781" customWidth="1"/>
    <col min="9243" max="9243" width="9" style="781" bestFit="1" customWidth="1"/>
    <col min="9244" max="9244" width="6.5546875" style="781" customWidth="1"/>
    <col min="9245" max="9245" width="15.44140625" style="781" customWidth="1"/>
    <col min="9246" max="9246" width="36.6640625" style="781" customWidth="1"/>
    <col min="9247" max="9247" width="0" style="781" hidden="1" customWidth="1"/>
    <col min="9248" max="9248" width="9.109375" style="781" bestFit="1" customWidth="1"/>
    <col min="9249" max="9249" width="10.33203125" style="781" bestFit="1" customWidth="1"/>
    <col min="9250" max="9491" width="9.109375" style="781" bestFit="1" customWidth="1"/>
    <col min="9492" max="9492" width="2.6640625" style="781" customWidth="1"/>
    <col min="9493" max="9493" width="5" style="781" customWidth="1"/>
    <col min="9494" max="9494" width="11.6640625" style="781" customWidth="1"/>
    <col min="9495" max="9495" width="17" style="781" customWidth="1"/>
    <col min="9496" max="9496" width="6.6640625" style="781" customWidth="1"/>
    <col min="9497" max="9497" width="18.33203125" style="781" customWidth="1"/>
    <col min="9498" max="9498" width="10" style="781" customWidth="1"/>
    <col min="9499" max="9499" width="9" style="781" bestFit="1" customWidth="1"/>
    <col min="9500" max="9500" width="6.5546875" style="781" customWidth="1"/>
    <col min="9501" max="9501" width="15.44140625" style="781" customWidth="1"/>
    <col min="9502" max="9502" width="36.6640625" style="781" customWidth="1"/>
    <col min="9503" max="9503" width="0" style="781" hidden="1" customWidth="1"/>
    <col min="9504" max="9504" width="9.109375" style="781" bestFit="1" customWidth="1"/>
    <col min="9505" max="9505" width="10.33203125" style="781" bestFit="1" customWidth="1"/>
    <col min="9506" max="9747" width="9.109375" style="781" bestFit="1" customWidth="1"/>
    <col min="9748" max="9748" width="2.6640625" style="781" customWidth="1"/>
    <col min="9749" max="9749" width="5" style="781" customWidth="1"/>
    <col min="9750" max="9750" width="11.6640625" style="781" customWidth="1"/>
    <col min="9751" max="9751" width="17" style="781" customWidth="1"/>
    <col min="9752" max="9752" width="6.6640625" style="781" customWidth="1"/>
    <col min="9753" max="9753" width="18.33203125" style="781" customWidth="1"/>
    <col min="9754" max="9754" width="10" style="781" customWidth="1"/>
    <col min="9755" max="9755" width="9" style="781" bestFit="1" customWidth="1"/>
    <col min="9756" max="9756" width="6.5546875" style="781" customWidth="1"/>
    <col min="9757" max="9757" width="15.44140625" style="781" customWidth="1"/>
    <col min="9758" max="9758" width="36.6640625" style="781" customWidth="1"/>
    <col min="9759" max="9759" width="0" style="781" hidden="1" customWidth="1"/>
    <col min="9760" max="9760" width="9.109375" style="781" bestFit="1" customWidth="1"/>
    <col min="9761" max="9761" width="10.33203125" style="781" bestFit="1" customWidth="1"/>
    <col min="9762" max="10003" width="9.109375" style="781" bestFit="1" customWidth="1"/>
    <col min="10004" max="10004" width="2.6640625" style="781" customWidth="1"/>
    <col min="10005" max="10005" width="5" style="781" customWidth="1"/>
    <col min="10006" max="10006" width="11.6640625" style="781" customWidth="1"/>
    <col min="10007" max="10007" width="17" style="781" customWidth="1"/>
    <col min="10008" max="10008" width="6.6640625" style="781" customWidth="1"/>
    <col min="10009" max="10009" width="18.33203125" style="781" customWidth="1"/>
    <col min="10010" max="10010" width="10" style="781" customWidth="1"/>
    <col min="10011" max="10011" width="9" style="781" bestFit="1" customWidth="1"/>
    <col min="10012" max="10012" width="6.5546875" style="781" customWidth="1"/>
    <col min="10013" max="10013" width="15.44140625" style="781" customWidth="1"/>
    <col min="10014" max="10014" width="36.6640625" style="781" customWidth="1"/>
    <col min="10015" max="10015" width="0" style="781" hidden="1" customWidth="1"/>
    <col min="10016" max="10016" width="9.109375" style="781" bestFit="1" customWidth="1"/>
    <col min="10017" max="10017" width="10.33203125" style="781" bestFit="1" customWidth="1"/>
    <col min="10018" max="10259" width="9.109375" style="781" bestFit="1" customWidth="1"/>
    <col min="10260" max="10260" width="2.6640625" style="781" customWidth="1"/>
    <col min="10261" max="10261" width="5" style="781" customWidth="1"/>
    <col min="10262" max="10262" width="11.6640625" style="781" customWidth="1"/>
    <col min="10263" max="10263" width="17" style="781" customWidth="1"/>
    <col min="10264" max="10264" width="6.6640625" style="781" customWidth="1"/>
    <col min="10265" max="10265" width="18.33203125" style="781" customWidth="1"/>
    <col min="10266" max="10266" width="10" style="781" customWidth="1"/>
    <col min="10267" max="10267" width="9" style="781" bestFit="1" customWidth="1"/>
    <col min="10268" max="10268" width="6.5546875" style="781" customWidth="1"/>
    <col min="10269" max="10269" width="15.44140625" style="781" customWidth="1"/>
    <col min="10270" max="10270" width="36.6640625" style="781" customWidth="1"/>
    <col min="10271" max="10271" width="0" style="781" hidden="1" customWidth="1"/>
    <col min="10272" max="10272" width="9.109375" style="781" bestFit="1" customWidth="1"/>
    <col min="10273" max="10273" width="10.33203125" style="781" bestFit="1" customWidth="1"/>
    <col min="10274" max="10515" width="9.109375" style="781" bestFit="1" customWidth="1"/>
    <col min="10516" max="10516" width="2.6640625" style="781" customWidth="1"/>
    <col min="10517" max="10517" width="5" style="781" customWidth="1"/>
    <col min="10518" max="10518" width="11.6640625" style="781" customWidth="1"/>
    <col min="10519" max="10519" width="17" style="781" customWidth="1"/>
    <col min="10520" max="10520" width="6.6640625" style="781" customWidth="1"/>
    <col min="10521" max="10521" width="18.33203125" style="781" customWidth="1"/>
    <col min="10522" max="10522" width="10" style="781" customWidth="1"/>
    <col min="10523" max="10523" width="9" style="781" bestFit="1" customWidth="1"/>
    <col min="10524" max="10524" width="6.5546875" style="781" customWidth="1"/>
    <col min="10525" max="10525" width="15.44140625" style="781" customWidth="1"/>
    <col min="10526" max="10526" width="36.6640625" style="781" customWidth="1"/>
    <col min="10527" max="10527" width="0" style="781" hidden="1" customWidth="1"/>
    <col min="10528" max="10528" width="9.109375" style="781" bestFit="1" customWidth="1"/>
    <col min="10529" max="10529" width="10.33203125" style="781" bestFit="1" customWidth="1"/>
    <col min="10530" max="10771" width="9.109375" style="781" bestFit="1" customWidth="1"/>
    <col min="10772" max="10772" width="2.6640625" style="781" customWidth="1"/>
    <col min="10773" max="10773" width="5" style="781" customWidth="1"/>
    <col min="10774" max="10774" width="11.6640625" style="781" customWidth="1"/>
    <col min="10775" max="10775" width="17" style="781" customWidth="1"/>
    <col min="10776" max="10776" width="6.6640625" style="781" customWidth="1"/>
    <col min="10777" max="10777" width="18.33203125" style="781" customWidth="1"/>
    <col min="10778" max="10778" width="10" style="781" customWidth="1"/>
    <col min="10779" max="10779" width="9" style="781" bestFit="1" customWidth="1"/>
    <col min="10780" max="10780" width="6.5546875" style="781" customWidth="1"/>
    <col min="10781" max="10781" width="15.44140625" style="781" customWidth="1"/>
    <col min="10782" max="10782" width="36.6640625" style="781" customWidth="1"/>
    <col min="10783" max="10783" width="0" style="781" hidden="1" customWidth="1"/>
    <col min="10784" max="10784" width="9.109375" style="781" bestFit="1" customWidth="1"/>
    <col min="10785" max="10785" width="10.33203125" style="781" bestFit="1" customWidth="1"/>
    <col min="10786" max="11027" width="9.109375" style="781" bestFit="1" customWidth="1"/>
    <col min="11028" max="11028" width="2.6640625" style="781" customWidth="1"/>
    <col min="11029" max="11029" width="5" style="781" customWidth="1"/>
    <col min="11030" max="11030" width="11.6640625" style="781" customWidth="1"/>
    <col min="11031" max="11031" width="17" style="781" customWidth="1"/>
    <col min="11032" max="11032" width="6.6640625" style="781" customWidth="1"/>
    <col min="11033" max="11033" width="18.33203125" style="781" customWidth="1"/>
    <col min="11034" max="11034" width="10" style="781" customWidth="1"/>
    <col min="11035" max="11035" width="9" style="781" bestFit="1" customWidth="1"/>
    <col min="11036" max="11036" width="6.5546875" style="781" customWidth="1"/>
    <col min="11037" max="11037" width="15.44140625" style="781" customWidth="1"/>
    <col min="11038" max="11038" width="36.6640625" style="781" customWidth="1"/>
    <col min="11039" max="11039" width="0" style="781" hidden="1" customWidth="1"/>
    <col min="11040" max="11040" width="9.109375" style="781" bestFit="1" customWidth="1"/>
    <col min="11041" max="11041" width="10.33203125" style="781" bestFit="1" customWidth="1"/>
    <col min="11042" max="11283" width="9.109375" style="781" bestFit="1" customWidth="1"/>
    <col min="11284" max="11284" width="2.6640625" style="781" customWidth="1"/>
    <col min="11285" max="11285" width="5" style="781" customWidth="1"/>
    <col min="11286" max="11286" width="11.6640625" style="781" customWidth="1"/>
    <col min="11287" max="11287" width="17" style="781" customWidth="1"/>
    <col min="11288" max="11288" width="6.6640625" style="781" customWidth="1"/>
    <col min="11289" max="11289" width="18.33203125" style="781" customWidth="1"/>
    <col min="11290" max="11290" width="10" style="781" customWidth="1"/>
    <col min="11291" max="11291" width="9" style="781" bestFit="1" customWidth="1"/>
    <col min="11292" max="11292" width="6.5546875" style="781" customWidth="1"/>
    <col min="11293" max="11293" width="15.44140625" style="781" customWidth="1"/>
    <col min="11294" max="11294" width="36.6640625" style="781" customWidth="1"/>
    <col min="11295" max="11295" width="0" style="781" hidden="1" customWidth="1"/>
    <col min="11296" max="11296" width="9.109375" style="781" bestFit="1" customWidth="1"/>
    <col min="11297" max="11297" width="10.33203125" style="781" bestFit="1" customWidth="1"/>
    <col min="11298" max="11539" width="9.109375" style="781" bestFit="1" customWidth="1"/>
    <col min="11540" max="11540" width="2.6640625" style="781" customWidth="1"/>
    <col min="11541" max="11541" width="5" style="781" customWidth="1"/>
    <col min="11542" max="11542" width="11.6640625" style="781" customWidth="1"/>
    <col min="11543" max="11543" width="17" style="781" customWidth="1"/>
    <col min="11544" max="11544" width="6.6640625" style="781" customWidth="1"/>
    <col min="11545" max="11545" width="18.33203125" style="781" customWidth="1"/>
    <col min="11546" max="11546" width="10" style="781" customWidth="1"/>
    <col min="11547" max="11547" width="9" style="781" bestFit="1" customWidth="1"/>
    <col min="11548" max="11548" width="6.5546875" style="781" customWidth="1"/>
    <col min="11549" max="11549" width="15.44140625" style="781" customWidth="1"/>
    <col min="11550" max="11550" width="36.6640625" style="781" customWidth="1"/>
    <col min="11551" max="11551" width="0" style="781" hidden="1" customWidth="1"/>
    <col min="11552" max="11552" width="9.109375" style="781" bestFit="1" customWidth="1"/>
    <col min="11553" max="11553" width="10.33203125" style="781" bestFit="1" customWidth="1"/>
    <col min="11554" max="11795" width="9.109375" style="781" bestFit="1" customWidth="1"/>
    <col min="11796" max="11796" width="2.6640625" style="781" customWidth="1"/>
    <col min="11797" max="11797" width="5" style="781" customWidth="1"/>
    <col min="11798" max="11798" width="11.6640625" style="781" customWidth="1"/>
    <col min="11799" max="11799" width="17" style="781" customWidth="1"/>
    <col min="11800" max="11800" width="6.6640625" style="781" customWidth="1"/>
    <col min="11801" max="11801" width="18.33203125" style="781" customWidth="1"/>
    <col min="11802" max="11802" width="10" style="781" customWidth="1"/>
    <col min="11803" max="11803" width="9" style="781" bestFit="1" customWidth="1"/>
    <col min="11804" max="11804" width="6.5546875" style="781" customWidth="1"/>
    <col min="11805" max="11805" width="15.44140625" style="781" customWidth="1"/>
    <col min="11806" max="11806" width="36.6640625" style="781" customWidth="1"/>
    <col min="11807" max="11807" width="0" style="781" hidden="1" customWidth="1"/>
    <col min="11808" max="11808" width="9.109375" style="781" bestFit="1" customWidth="1"/>
    <col min="11809" max="11809" width="10.33203125" style="781" bestFit="1" customWidth="1"/>
    <col min="11810" max="12051" width="9.109375" style="781" bestFit="1" customWidth="1"/>
    <col min="12052" max="12052" width="2.6640625" style="781" customWidth="1"/>
    <col min="12053" max="12053" width="5" style="781" customWidth="1"/>
    <col min="12054" max="12054" width="11.6640625" style="781" customWidth="1"/>
    <col min="12055" max="12055" width="17" style="781" customWidth="1"/>
    <col min="12056" max="12056" width="6.6640625" style="781" customWidth="1"/>
    <col min="12057" max="12057" width="18.33203125" style="781" customWidth="1"/>
    <col min="12058" max="12058" width="10" style="781" customWidth="1"/>
    <col min="12059" max="12059" width="9" style="781" bestFit="1" customWidth="1"/>
    <col min="12060" max="12060" width="6.5546875" style="781" customWidth="1"/>
    <col min="12061" max="12061" width="15.44140625" style="781" customWidth="1"/>
    <col min="12062" max="12062" width="36.6640625" style="781" customWidth="1"/>
    <col min="12063" max="12063" width="0" style="781" hidden="1" customWidth="1"/>
    <col min="12064" max="12064" width="9.109375" style="781" bestFit="1" customWidth="1"/>
    <col min="12065" max="12065" width="10.33203125" style="781" bestFit="1" customWidth="1"/>
    <col min="12066" max="12307" width="9.109375" style="781" bestFit="1" customWidth="1"/>
    <col min="12308" max="12308" width="2.6640625" style="781" customWidth="1"/>
    <col min="12309" max="12309" width="5" style="781" customWidth="1"/>
    <col min="12310" max="12310" width="11.6640625" style="781" customWidth="1"/>
    <col min="12311" max="12311" width="17" style="781" customWidth="1"/>
    <col min="12312" max="12312" width="6.6640625" style="781" customWidth="1"/>
    <col min="12313" max="12313" width="18.33203125" style="781" customWidth="1"/>
    <col min="12314" max="12314" width="10" style="781" customWidth="1"/>
    <col min="12315" max="12315" width="9" style="781" bestFit="1" customWidth="1"/>
    <col min="12316" max="12316" width="6.5546875" style="781" customWidth="1"/>
    <col min="12317" max="12317" width="15.44140625" style="781" customWidth="1"/>
    <col min="12318" max="12318" width="36.6640625" style="781" customWidth="1"/>
    <col min="12319" max="12319" width="0" style="781" hidden="1" customWidth="1"/>
    <col min="12320" max="12320" width="9.109375" style="781" bestFit="1" customWidth="1"/>
    <col min="12321" max="12321" width="10.33203125" style="781" bestFit="1" customWidth="1"/>
    <col min="12322" max="12563" width="9.109375" style="781" bestFit="1" customWidth="1"/>
    <col min="12564" max="12564" width="2.6640625" style="781" customWidth="1"/>
    <col min="12565" max="12565" width="5" style="781" customWidth="1"/>
    <col min="12566" max="12566" width="11.6640625" style="781" customWidth="1"/>
    <col min="12567" max="12567" width="17" style="781" customWidth="1"/>
    <col min="12568" max="12568" width="6.6640625" style="781" customWidth="1"/>
    <col min="12569" max="12569" width="18.33203125" style="781" customWidth="1"/>
    <col min="12570" max="12570" width="10" style="781" customWidth="1"/>
    <col min="12571" max="12571" width="9" style="781" bestFit="1" customWidth="1"/>
    <col min="12572" max="12572" width="6.5546875" style="781" customWidth="1"/>
    <col min="12573" max="12573" width="15.44140625" style="781" customWidth="1"/>
    <col min="12574" max="12574" width="36.6640625" style="781" customWidth="1"/>
    <col min="12575" max="12575" width="0" style="781" hidden="1" customWidth="1"/>
    <col min="12576" max="12576" width="9.109375" style="781" bestFit="1" customWidth="1"/>
    <col min="12577" max="12577" width="10.33203125" style="781" bestFit="1" customWidth="1"/>
    <col min="12578" max="12819" width="9.109375" style="781" bestFit="1" customWidth="1"/>
    <col min="12820" max="12820" width="2.6640625" style="781" customWidth="1"/>
    <col min="12821" max="12821" width="5" style="781" customWidth="1"/>
    <col min="12822" max="12822" width="11.6640625" style="781" customWidth="1"/>
    <col min="12823" max="12823" width="17" style="781" customWidth="1"/>
    <col min="12824" max="12824" width="6.6640625" style="781" customWidth="1"/>
    <col min="12825" max="12825" width="18.33203125" style="781" customWidth="1"/>
    <col min="12826" max="12826" width="10" style="781" customWidth="1"/>
    <col min="12827" max="12827" width="9" style="781" bestFit="1" customWidth="1"/>
    <col min="12828" max="12828" width="6.5546875" style="781" customWidth="1"/>
    <col min="12829" max="12829" width="15.44140625" style="781" customWidth="1"/>
    <col min="12830" max="12830" width="36.6640625" style="781" customWidth="1"/>
    <col min="12831" max="12831" width="0" style="781" hidden="1" customWidth="1"/>
    <col min="12832" max="12832" width="9.109375" style="781" bestFit="1" customWidth="1"/>
    <col min="12833" max="12833" width="10.33203125" style="781" bestFit="1" customWidth="1"/>
    <col min="12834" max="13075" width="9.109375" style="781" bestFit="1" customWidth="1"/>
    <col min="13076" max="13076" width="2.6640625" style="781" customWidth="1"/>
    <col min="13077" max="13077" width="5" style="781" customWidth="1"/>
    <col min="13078" max="13078" width="11.6640625" style="781" customWidth="1"/>
    <col min="13079" max="13079" width="17" style="781" customWidth="1"/>
    <col min="13080" max="13080" width="6.6640625" style="781" customWidth="1"/>
    <col min="13081" max="13081" width="18.33203125" style="781" customWidth="1"/>
    <col min="13082" max="13082" width="10" style="781" customWidth="1"/>
    <col min="13083" max="13083" width="9" style="781" bestFit="1" customWidth="1"/>
    <col min="13084" max="13084" width="6.5546875" style="781" customWidth="1"/>
    <col min="13085" max="13085" width="15.44140625" style="781" customWidth="1"/>
    <col min="13086" max="13086" width="36.6640625" style="781" customWidth="1"/>
    <col min="13087" max="13087" width="0" style="781" hidden="1" customWidth="1"/>
    <col min="13088" max="13088" width="9.109375" style="781" bestFit="1" customWidth="1"/>
    <col min="13089" max="13089" width="10.33203125" style="781" bestFit="1" customWidth="1"/>
    <col min="13090" max="13331" width="9.109375" style="781" bestFit="1" customWidth="1"/>
    <col min="13332" max="13332" width="2.6640625" style="781" customWidth="1"/>
    <col min="13333" max="13333" width="5" style="781" customWidth="1"/>
    <col min="13334" max="13334" width="11.6640625" style="781" customWidth="1"/>
    <col min="13335" max="13335" width="17" style="781" customWidth="1"/>
    <col min="13336" max="13336" width="6.6640625" style="781" customWidth="1"/>
    <col min="13337" max="13337" width="18.33203125" style="781" customWidth="1"/>
    <col min="13338" max="13338" width="10" style="781" customWidth="1"/>
    <col min="13339" max="13339" width="9" style="781" bestFit="1" customWidth="1"/>
    <col min="13340" max="13340" width="6.5546875" style="781" customWidth="1"/>
    <col min="13341" max="13341" width="15.44140625" style="781" customWidth="1"/>
    <col min="13342" max="13342" width="36.6640625" style="781" customWidth="1"/>
    <col min="13343" max="13343" width="0" style="781" hidden="1" customWidth="1"/>
    <col min="13344" max="13344" width="9.109375" style="781" bestFit="1" customWidth="1"/>
    <col min="13345" max="13345" width="10.33203125" style="781" bestFit="1" customWidth="1"/>
    <col min="13346" max="13587" width="9.109375" style="781" bestFit="1" customWidth="1"/>
    <col min="13588" max="13588" width="2.6640625" style="781" customWidth="1"/>
    <col min="13589" max="13589" width="5" style="781" customWidth="1"/>
    <col min="13590" max="13590" width="11.6640625" style="781" customWidth="1"/>
    <col min="13591" max="13591" width="17" style="781" customWidth="1"/>
    <col min="13592" max="13592" width="6.6640625" style="781" customWidth="1"/>
    <col min="13593" max="13593" width="18.33203125" style="781" customWidth="1"/>
    <col min="13594" max="13594" width="10" style="781" customWidth="1"/>
    <col min="13595" max="13595" width="9" style="781" bestFit="1" customWidth="1"/>
    <col min="13596" max="13596" width="6.5546875" style="781" customWidth="1"/>
    <col min="13597" max="13597" width="15.44140625" style="781" customWidth="1"/>
    <col min="13598" max="13598" width="36.6640625" style="781" customWidth="1"/>
    <col min="13599" max="13599" width="0" style="781" hidden="1" customWidth="1"/>
    <col min="13600" max="13600" width="9.109375" style="781" bestFit="1" customWidth="1"/>
    <col min="13601" max="13601" width="10.33203125" style="781" bestFit="1" customWidth="1"/>
    <col min="13602" max="13843" width="9.109375" style="781" bestFit="1" customWidth="1"/>
    <col min="13844" max="13844" width="2.6640625" style="781" customWidth="1"/>
    <col min="13845" max="13845" width="5" style="781" customWidth="1"/>
    <col min="13846" max="13846" width="11.6640625" style="781" customWidth="1"/>
    <col min="13847" max="13847" width="17" style="781" customWidth="1"/>
    <col min="13848" max="13848" width="6.6640625" style="781" customWidth="1"/>
    <col min="13849" max="13849" width="18.33203125" style="781" customWidth="1"/>
    <col min="13850" max="13850" width="10" style="781" customWidth="1"/>
    <col min="13851" max="13851" width="9" style="781" bestFit="1" customWidth="1"/>
    <col min="13852" max="13852" width="6.5546875" style="781" customWidth="1"/>
    <col min="13853" max="13853" width="15.44140625" style="781" customWidth="1"/>
    <col min="13854" max="13854" width="36.6640625" style="781" customWidth="1"/>
    <col min="13855" max="13855" width="0" style="781" hidden="1" customWidth="1"/>
    <col min="13856" max="13856" width="9.109375" style="781" bestFit="1" customWidth="1"/>
    <col min="13857" max="13857" width="10.33203125" style="781" bestFit="1" customWidth="1"/>
    <col min="13858" max="14099" width="9.109375" style="781" bestFit="1" customWidth="1"/>
    <col min="14100" max="14100" width="2.6640625" style="781" customWidth="1"/>
    <col min="14101" max="14101" width="5" style="781" customWidth="1"/>
    <col min="14102" max="14102" width="11.6640625" style="781" customWidth="1"/>
    <col min="14103" max="14103" width="17" style="781" customWidth="1"/>
    <col min="14104" max="14104" width="6.6640625" style="781" customWidth="1"/>
    <col min="14105" max="14105" width="18.33203125" style="781" customWidth="1"/>
    <col min="14106" max="14106" width="10" style="781" customWidth="1"/>
    <col min="14107" max="14107" width="9" style="781" bestFit="1" customWidth="1"/>
    <col min="14108" max="14108" width="6.5546875" style="781" customWidth="1"/>
    <col min="14109" max="14109" width="15.44140625" style="781" customWidth="1"/>
    <col min="14110" max="14110" width="36.6640625" style="781" customWidth="1"/>
    <col min="14111" max="14111" width="0" style="781" hidden="1" customWidth="1"/>
    <col min="14112" max="14112" width="9.109375" style="781" bestFit="1" customWidth="1"/>
    <col min="14113" max="14113" width="10.33203125" style="781" bestFit="1" customWidth="1"/>
    <col min="14114" max="14355" width="9.109375" style="781" bestFit="1" customWidth="1"/>
    <col min="14356" max="14356" width="2.6640625" style="781" customWidth="1"/>
    <col min="14357" max="14357" width="5" style="781" customWidth="1"/>
    <col min="14358" max="14358" width="11.6640625" style="781" customWidth="1"/>
    <col min="14359" max="14359" width="17" style="781" customWidth="1"/>
    <col min="14360" max="14360" width="6.6640625" style="781" customWidth="1"/>
    <col min="14361" max="14361" width="18.33203125" style="781" customWidth="1"/>
    <col min="14362" max="14362" width="10" style="781" customWidth="1"/>
    <col min="14363" max="14363" width="9" style="781" bestFit="1" customWidth="1"/>
    <col min="14364" max="14364" width="6.5546875" style="781" customWidth="1"/>
    <col min="14365" max="14365" width="15.44140625" style="781" customWidth="1"/>
    <col min="14366" max="14366" width="36.6640625" style="781" customWidth="1"/>
    <col min="14367" max="14367" width="0" style="781" hidden="1" customWidth="1"/>
    <col min="14368" max="14368" width="9.109375" style="781" bestFit="1" customWidth="1"/>
    <col min="14369" max="14369" width="10.33203125" style="781" bestFit="1" customWidth="1"/>
    <col min="14370" max="14611" width="9.109375" style="781" bestFit="1" customWidth="1"/>
    <col min="14612" max="14612" width="2.6640625" style="781" customWidth="1"/>
    <col min="14613" max="14613" width="5" style="781" customWidth="1"/>
    <col min="14614" max="14614" width="11.6640625" style="781" customWidth="1"/>
    <col min="14615" max="14615" width="17" style="781" customWidth="1"/>
    <col min="14616" max="14616" width="6.6640625" style="781" customWidth="1"/>
    <col min="14617" max="14617" width="18.33203125" style="781" customWidth="1"/>
    <col min="14618" max="14618" width="10" style="781" customWidth="1"/>
    <col min="14619" max="14619" width="9" style="781" bestFit="1" customWidth="1"/>
    <col min="14620" max="14620" width="6.5546875" style="781" customWidth="1"/>
    <col min="14621" max="14621" width="15.44140625" style="781" customWidth="1"/>
    <col min="14622" max="14622" width="36.6640625" style="781" customWidth="1"/>
    <col min="14623" max="14623" width="0" style="781" hidden="1" customWidth="1"/>
    <col min="14624" max="14624" width="9.109375" style="781" bestFit="1" customWidth="1"/>
    <col min="14625" max="14625" width="10.33203125" style="781" bestFit="1" customWidth="1"/>
    <col min="14626" max="14867" width="9.109375" style="781" bestFit="1" customWidth="1"/>
    <col min="14868" max="14868" width="2.6640625" style="781" customWidth="1"/>
    <col min="14869" max="14869" width="5" style="781" customWidth="1"/>
    <col min="14870" max="14870" width="11.6640625" style="781" customWidth="1"/>
    <col min="14871" max="14871" width="17" style="781" customWidth="1"/>
    <col min="14872" max="14872" width="6.6640625" style="781" customWidth="1"/>
    <col min="14873" max="14873" width="18.33203125" style="781" customWidth="1"/>
    <col min="14874" max="14874" width="10" style="781" customWidth="1"/>
    <col min="14875" max="14875" width="9" style="781" bestFit="1" customWidth="1"/>
    <col min="14876" max="14876" width="6.5546875" style="781" customWidth="1"/>
    <col min="14877" max="14877" width="15.44140625" style="781" customWidth="1"/>
    <col min="14878" max="14878" width="36.6640625" style="781" customWidth="1"/>
    <col min="14879" max="14879" width="0" style="781" hidden="1" customWidth="1"/>
    <col min="14880" max="14880" width="9.109375" style="781" bestFit="1" customWidth="1"/>
    <col min="14881" max="14881" width="10.33203125" style="781" bestFit="1" customWidth="1"/>
    <col min="14882" max="15123" width="9.109375" style="781" bestFit="1" customWidth="1"/>
    <col min="15124" max="15124" width="2.6640625" style="781" customWidth="1"/>
    <col min="15125" max="15125" width="5" style="781" customWidth="1"/>
    <col min="15126" max="15126" width="11.6640625" style="781" customWidth="1"/>
    <col min="15127" max="15127" width="17" style="781" customWidth="1"/>
    <col min="15128" max="15128" width="6.6640625" style="781" customWidth="1"/>
    <col min="15129" max="15129" width="18.33203125" style="781" customWidth="1"/>
    <col min="15130" max="15130" width="10" style="781" customWidth="1"/>
    <col min="15131" max="15131" width="9" style="781" bestFit="1" customWidth="1"/>
    <col min="15132" max="15132" width="6.5546875" style="781" customWidth="1"/>
    <col min="15133" max="15133" width="15.44140625" style="781" customWidth="1"/>
    <col min="15134" max="15134" width="36.6640625" style="781" customWidth="1"/>
    <col min="15135" max="15135" width="0" style="781" hidden="1" customWidth="1"/>
    <col min="15136" max="15136" width="9.109375" style="781" bestFit="1" customWidth="1"/>
    <col min="15137" max="15137" width="10.33203125" style="781" bestFit="1" customWidth="1"/>
    <col min="15138" max="15379" width="9.109375" style="781" bestFit="1" customWidth="1"/>
    <col min="15380" max="15380" width="2.6640625" style="781" customWidth="1"/>
    <col min="15381" max="15381" width="5" style="781" customWidth="1"/>
    <col min="15382" max="15382" width="11.6640625" style="781" customWidth="1"/>
    <col min="15383" max="15383" width="17" style="781" customWidth="1"/>
    <col min="15384" max="15384" width="6.6640625" style="781" customWidth="1"/>
    <col min="15385" max="15385" width="18.33203125" style="781" customWidth="1"/>
    <col min="15386" max="15386" width="10" style="781" customWidth="1"/>
    <col min="15387" max="15387" width="9" style="781" bestFit="1" customWidth="1"/>
    <col min="15388" max="15388" width="6.5546875" style="781" customWidth="1"/>
    <col min="15389" max="15389" width="15.44140625" style="781" customWidth="1"/>
    <col min="15390" max="15390" width="36.6640625" style="781" customWidth="1"/>
    <col min="15391" max="15391" width="0" style="781" hidden="1" customWidth="1"/>
    <col min="15392" max="15392" width="9.109375" style="781" bestFit="1" customWidth="1"/>
    <col min="15393" max="15393" width="10.33203125" style="781" bestFit="1" customWidth="1"/>
    <col min="15394" max="15635" width="9.109375" style="781" bestFit="1" customWidth="1"/>
    <col min="15636" max="15636" width="2.6640625" style="781" customWidth="1"/>
    <col min="15637" max="15637" width="5" style="781" customWidth="1"/>
    <col min="15638" max="15638" width="11.6640625" style="781" customWidth="1"/>
    <col min="15639" max="15639" width="17" style="781" customWidth="1"/>
    <col min="15640" max="15640" width="6.6640625" style="781" customWidth="1"/>
    <col min="15641" max="15641" width="18.33203125" style="781" customWidth="1"/>
    <col min="15642" max="15642" width="10" style="781" customWidth="1"/>
    <col min="15643" max="15643" width="9" style="781" bestFit="1" customWidth="1"/>
    <col min="15644" max="15644" width="6.5546875" style="781" customWidth="1"/>
    <col min="15645" max="15645" width="15.44140625" style="781" customWidth="1"/>
    <col min="15646" max="15646" width="36.6640625" style="781" customWidth="1"/>
    <col min="15647" max="15647" width="0" style="781" hidden="1" customWidth="1"/>
    <col min="15648" max="15648" width="9.109375" style="781" bestFit="1" customWidth="1"/>
    <col min="15649" max="15649" width="10.33203125" style="781" bestFit="1" customWidth="1"/>
    <col min="15650" max="15891" width="9.109375" style="781" bestFit="1" customWidth="1"/>
    <col min="15892" max="15892" width="2.6640625" style="781" customWidth="1"/>
    <col min="15893" max="15893" width="5" style="781" customWidth="1"/>
    <col min="15894" max="15894" width="11.6640625" style="781" customWidth="1"/>
    <col min="15895" max="15895" width="17" style="781" customWidth="1"/>
    <col min="15896" max="15896" width="6.6640625" style="781" customWidth="1"/>
    <col min="15897" max="15897" width="18.33203125" style="781" customWidth="1"/>
    <col min="15898" max="15898" width="10" style="781" customWidth="1"/>
    <col min="15899" max="15899" width="9" style="781" bestFit="1" customWidth="1"/>
    <col min="15900" max="15900" width="6.5546875" style="781" customWidth="1"/>
    <col min="15901" max="15901" width="15.44140625" style="781" customWidth="1"/>
    <col min="15902" max="15902" width="36.6640625" style="781" customWidth="1"/>
    <col min="15903" max="15903" width="0" style="781" hidden="1" customWidth="1"/>
    <col min="15904" max="15904" width="9.109375" style="781" bestFit="1" customWidth="1"/>
    <col min="15905" max="15905" width="10.33203125" style="781" bestFit="1" customWidth="1"/>
    <col min="15906" max="16147" width="9.109375" style="781" bestFit="1" customWidth="1"/>
    <col min="16148" max="16148" width="2.6640625" style="781" customWidth="1"/>
    <col min="16149" max="16149" width="5" style="781" customWidth="1"/>
    <col min="16150" max="16150" width="11.6640625" style="781" customWidth="1"/>
    <col min="16151" max="16151" width="17" style="781" customWidth="1"/>
    <col min="16152" max="16152" width="6.6640625" style="781" customWidth="1"/>
    <col min="16153" max="16153" width="18.33203125" style="781" customWidth="1"/>
    <col min="16154" max="16154" width="10" style="781" customWidth="1"/>
    <col min="16155" max="16155" width="9" style="781" bestFit="1" customWidth="1"/>
    <col min="16156" max="16156" width="6.5546875" style="781" customWidth="1"/>
    <col min="16157" max="16157" width="15.44140625" style="781" customWidth="1"/>
    <col min="16158" max="16158" width="36.6640625" style="781" customWidth="1"/>
    <col min="16159" max="16159" width="0" style="781" hidden="1" customWidth="1"/>
    <col min="16160" max="16160" width="9.109375" style="781" bestFit="1" customWidth="1"/>
    <col min="16161" max="16161" width="10.33203125" style="781" bestFit="1" customWidth="1"/>
    <col min="16162" max="16384" width="9.109375" style="781"/>
  </cols>
  <sheetData>
    <row r="1" spans="2:60" ht="9" customHeight="1"/>
    <row r="2" spans="2:60" ht="13.8">
      <c r="B2" s="6" t="s">
        <v>126</v>
      </c>
      <c r="C2" s="6"/>
      <c r="D2" s="786"/>
      <c r="E2" s="7" t="s">
        <v>511</v>
      </c>
      <c r="F2" s="8" t="s">
        <v>3215</v>
      </c>
      <c r="G2" s="779"/>
      <c r="H2" s="10"/>
      <c r="I2" s="787"/>
      <c r="J2" s="11" t="s">
        <v>513</v>
      </c>
      <c r="K2" s="12" t="s">
        <v>511</v>
      </c>
      <c r="L2" s="16" t="str">
        <f>'VLU 2023 &amp; 2024'!$M$254</f>
        <v>1/3/24 PM</v>
      </c>
      <c r="M2" s="779"/>
      <c r="N2" s="779"/>
      <c r="O2" s="27"/>
      <c r="P2" s="14"/>
      <c r="R2" s="15"/>
      <c r="S2" s="788"/>
      <c r="T2" s="781"/>
      <c r="U2" s="781"/>
      <c r="V2" s="781"/>
      <c r="W2" s="781"/>
      <c r="X2" s="781"/>
      <c r="Y2" s="781"/>
      <c r="Z2" s="781"/>
      <c r="AA2" s="781"/>
      <c r="AB2" s="785"/>
      <c r="AC2" s="785"/>
      <c r="AD2" s="785"/>
      <c r="AE2" s="785"/>
      <c r="AF2" s="785"/>
    </row>
    <row r="3" spans="2:60" ht="13.8">
      <c r="B3" s="11" t="s">
        <v>514</v>
      </c>
      <c r="C3" s="11"/>
      <c r="D3" s="779"/>
      <c r="E3" s="12" t="s">
        <v>511</v>
      </c>
      <c r="F3" s="292" t="s">
        <v>4584</v>
      </c>
      <c r="G3" s="779"/>
      <c r="H3" s="10"/>
      <c r="I3" s="787"/>
      <c r="J3" s="11" t="s">
        <v>516</v>
      </c>
      <c r="K3" s="12" t="s">
        <v>511</v>
      </c>
      <c r="L3" s="16" t="str">
        <f>'VLU 2023 &amp; 2024'!$N$254</f>
        <v>1/5/24 PM</v>
      </c>
      <c r="M3" s="779"/>
      <c r="N3" s="779"/>
      <c r="O3" s="27"/>
      <c r="P3" s="14"/>
      <c r="R3" s="15"/>
      <c r="S3" s="788"/>
      <c r="T3" s="781"/>
      <c r="U3" s="781"/>
      <c r="V3" s="781"/>
      <c r="W3" s="781"/>
      <c r="X3" s="781"/>
      <c r="Y3" s="781"/>
      <c r="Z3" s="781"/>
      <c r="AA3" s="781"/>
      <c r="AB3" s="785"/>
      <c r="AC3" s="785"/>
      <c r="AD3" s="785"/>
      <c r="AE3" s="785"/>
      <c r="AF3" s="785"/>
    </row>
    <row r="4" spans="2:60" ht="13.8">
      <c r="B4" s="11" t="s">
        <v>517</v>
      </c>
      <c r="C4" s="11"/>
      <c r="D4" s="779"/>
      <c r="E4" s="12" t="s">
        <v>511</v>
      </c>
      <c r="F4" s="1078">
        <v>45287.333333333336</v>
      </c>
      <c r="G4" s="779"/>
      <c r="H4" s="10"/>
      <c r="I4" s="787"/>
      <c r="J4" s="11" t="s">
        <v>518</v>
      </c>
      <c r="K4" s="12" t="s">
        <v>511</v>
      </c>
      <c r="L4" s="789">
        <f>0</f>
        <v>0</v>
      </c>
      <c r="M4" s="790" t="s">
        <v>519</v>
      </c>
      <c r="N4" s="790"/>
      <c r="O4" s="27"/>
      <c r="P4" s="14"/>
      <c r="R4" s="15"/>
      <c r="S4" s="788"/>
      <c r="T4" s="781"/>
      <c r="U4" s="781"/>
      <c r="V4" s="781"/>
      <c r="W4" s="781"/>
      <c r="X4" s="781"/>
      <c r="Y4" s="781"/>
      <c r="Z4" s="781"/>
      <c r="AA4" s="781"/>
      <c r="AB4" s="785"/>
      <c r="AC4" s="785"/>
      <c r="AD4" s="785"/>
      <c r="AE4" s="785"/>
      <c r="AF4" s="785"/>
    </row>
    <row r="5" spans="2:60" ht="13.8">
      <c r="B5" s="11" t="s">
        <v>520</v>
      </c>
      <c r="C5" s="11"/>
      <c r="D5" s="779"/>
      <c r="E5" s="12" t="s">
        <v>511</v>
      </c>
      <c r="F5" s="13" t="s">
        <v>12</v>
      </c>
      <c r="G5" s="779"/>
      <c r="H5" s="10"/>
      <c r="I5" s="787"/>
      <c r="J5" s="11" t="s">
        <v>521</v>
      </c>
      <c r="K5" s="12" t="s">
        <v>511</v>
      </c>
      <c r="L5" s="791" t="s">
        <v>3216</v>
      </c>
      <c r="M5" s="779"/>
      <c r="N5" s="779"/>
      <c r="O5" s="27"/>
      <c r="R5" s="15"/>
      <c r="S5" s="788"/>
      <c r="T5" s="781"/>
      <c r="U5" s="781"/>
      <c r="V5" s="781"/>
      <c r="W5" s="781"/>
      <c r="X5" s="781"/>
      <c r="Y5" s="781"/>
      <c r="Z5" s="781"/>
      <c r="AA5" s="781"/>
      <c r="AB5" s="785"/>
      <c r="AC5" s="785"/>
      <c r="AD5" s="785"/>
      <c r="AE5" s="785"/>
      <c r="AF5" s="785"/>
    </row>
    <row r="6" spans="2:60" ht="13.8">
      <c r="B6" s="11" t="s">
        <v>523</v>
      </c>
      <c r="C6" s="11"/>
      <c r="D6" s="779"/>
      <c r="E6" s="12" t="s">
        <v>511</v>
      </c>
      <c r="F6" s="13" t="s">
        <v>32</v>
      </c>
      <c r="G6" s="779"/>
      <c r="H6" s="10"/>
      <c r="I6" s="787"/>
      <c r="J6" s="11" t="s">
        <v>524</v>
      </c>
      <c r="K6" s="12" t="s">
        <v>511</v>
      </c>
      <c r="L6" s="792" t="s">
        <v>15</v>
      </c>
      <c r="M6" s="793"/>
      <c r="N6" s="793"/>
      <c r="O6" s="27"/>
      <c r="P6" s="14"/>
      <c r="R6" s="15"/>
      <c r="S6" s="788"/>
      <c r="T6" s="781"/>
      <c r="U6" s="781"/>
      <c r="V6" s="781"/>
      <c r="W6" s="781"/>
      <c r="X6" s="781"/>
      <c r="Y6" s="781"/>
      <c r="Z6" s="781"/>
      <c r="AA6" s="781"/>
      <c r="AB6" s="785"/>
      <c r="AC6" s="785"/>
      <c r="AD6" s="785"/>
      <c r="AE6" s="785"/>
      <c r="AF6" s="785"/>
    </row>
    <row r="7" spans="2:60" ht="13.8">
      <c r="B7" s="11" t="s">
        <v>2</v>
      </c>
      <c r="C7" s="11"/>
      <c r="D7" s="779"/>
      <c r="E7" s="12" t="s">
        <v>511</v>
      </c>
      <c r="F7" s="13" t="s">
        <v>14</v>
      </c>
      <c r="G7" s="779"/>
      <c r="H7" s="10"/>
      <c r="I7" s="794"/>
      <c r="J7" s="11"/>
      <c r="K7" s="12"/>
      <c r="L7" s="16"/>
      <c r="O7" s="11"/>
      <c r="P7" s="793"/>
      <c r="Q7" s="793"/>
      <c r="R7" s="793"/>
      <c r="S7" s="787"/>
      <c r="T7" s="781"/>
      <c r="U7" s="781"/>
      <c r="V7" s="781"/>
      <c r="W7" s="781"/>
      <c r="X7" s="781"/>
      <c r="Y7" s="781"/>
      <c r="Z7" s="781"/>
      <c r="AA7" s="781"/>
      <c r="AB7" s="785"/>
      <c r="AC7" s="785"/>
      <c r="AD7" s="785"/>
      <c r="AE7" s="785"/>
      <c r="AF7" s="785"/>
    </row>
    <row r="8" spans="2:60" ht="14.4">
      <c r="I8" s="794"/>
      <c r="J8" s="11"/>
      <c r="K8" s="11"/>
      <c r="L8" s="792"/>
      <c r="M8" s="793"/>
      <c r="N8" s="793"/>
      <c r="O8" s="11"/>
      <c r="P8" s="793"/>
      <c r="Q8" s="793"/>
      <c r="R8" s="793"/>
      <c r="S8" s="787"/>
      <c r="T8" s="1562" t="s">
        <v>87</v>
      </c>
      <c r="U8" s="1562"/>
      <c r="V8" s="1562"/>
      <c r="W8" s="1562"/>
      <c r="X8" s="1562"/>
      <c r="Y8" s="1562" t="s">
        <v>73</v>
      </c>
      <c r="Z8" s="1562"/>
      <c r="AA8" s="1562"/>
      <c r="AB8" s="1562" t="s">
        <v>74</v>
      </c>
      <c r="AC8" s="1562"/>
      <c r="AD8" s="795" t="s">
        <v>85</v>
      </c>
      <c r="AE8" s="796" t="s">
        <v>77</v>
      </c>
      <c r="AF8" s="1547" t="s">
        <v>525</v>
      </c>
      <c r="AG8" s="1547"/>
      <c r="AH8" s="1547"/>
      <c r="AI8" s="1547"/>
      <c r="AJ8" s="1547"/>
      <c r="AK8" s="1547"/>
      <c r="AL8" s="1547"/>
      <c r="AM8" s="1547"/>
      <c r="AN8" s="1547"/>
      <c r="AO8" s="1547"/>
      <c r="AP8" s="1547"/>
      <c r="AQ8" s="1547"/>
      <c r="AR8" s="1547"/>
      <c r="AS8" s="1547"/>
      <c r="AT8" s="1547"/>
      <c r="AU8" s="1547"/>
      <c r="AV8" s="1547"/>
      <c r="AW8" s="1547"/>
      <c r="AX8" s="1547"/>
      <c r="AY8" s="1547"/>
      <c r="AZ8" s="1547"/>
      <c r="BA8" s="1547"/>
      <c r="BB8" s="1547"/>
      <c r="BC8" s="1547"/>
      <c r="BD8" s="1547"/>
      <c r="BE8" s="1547"/>
      <c r="BF8" s="1547"/>
      <c r="BG8" s="1547"/>
      <c r="BH8" s="1547"/>
    </row>
    <row r="9" spans="2:60" ht="14.4">
      <c r="B9" s="1563" t="s">
        <v>526</v>
      </c>
      <c r="C9" s="1564"/>
      <c r="D9" s="797" t="s">
        <v>527</v>
      </c>
      <c r="E9" s="797"/>
      <c r="F9" s="797" t="s">
        <v>528</v>
      </c>
      <c r="G9" s="797" t="s">
        <v>529</v>
      </c>
      <c r="H9" s="797" t="s">
        <v>530</v>
      </c>
      <c r="I9" s="797" t="s">
        <v>531</v>
      </c>
      <c r="J9" s="797" t="s">
        <v>532</v>
      </c>
      <c r="K9" s="797"/>
      <c r="L9" s="797" t="s">
        <v>130</v>
      </c>
      <c r="M9" s="797" t="s">
        <v>533</v>
      </c>
      <c r="N9" s="798" t="e">
        <f>"On time - "&amp;COUNTIF(#REF!,"On time")&amp;" from "&amp;ROWS(#REF!)-COUNTIF(#REF!," ")</f>
        <v>#REF!</v>
      </c>
      <c r="O9" s="799"/>
      <c r="P9" s="800" t="s">
        <v>534</v>
      </c>
      <c r="Q9" s="800" t="s">
        <v>535</v>
      </c>
      <c r="R9" s="800" t="s">
        <v>536</v>
      </c>
      <c r="S9" s="779"/>
      <c r="T9" s="801" t="s">
        <v>537</v>
      </c>
      <c r="U9" s="801" t="s">
        <v>538</v>
      </c>
      <c r="V9" s="801" t="s">
        <v>539</v>
      </c>
      <c r="W9" s="801" t="s">
        <v>540</v>
      </c>
      <c r="X9" s="801" t="s">
        <v>541</v>
      </c>
      <c r="Y9" s="801" t="s">
        <v>167</v>
      </c>
      <c r="Z9" s="801" t="s">
        <v>168</v>
      </c>
      <c r="AA9" s="801" t="s">
        <v>169</v>
      </c>
      <c r="AB9" s="801" t="s">
        <v>235</v>
      </c>
      <c r="AC9" s="801" t="s">
        <v>240</v>
      </c>
      <c r="AD9" s="795" t="s">
        <v>85</v>
      </c>
      <c r="AE9" s="801" t="s">
        <v>139</v>
      </c>
      <c r="AF9" s="802" t="s">
        <v>72</v>
      </c>
      <c r="AG9" s="802" t="s">
        <v>88</v>
      </c>
      <c r="AH9" s="802" t="s">
        <v>75</v>
      </c>
      <c r="AI9" s="802" t="s">
        <v>543</v>
      </c>
      <c r="AJ9" s="802" t="s">
        <v>78</v>
      </c>
      <c r="AK9" s="802" t="s">
        <v>76</v>
      </c>
      <c r="AL9" s="802" t="s">
        <v>544</v>
      </c>
      <c r="AM9" s="802" t="s">
        <v>545</v>
      </c>
      <c r="AN9" s="802" t="s">
        <v>86</v>
      </c>
      <c r="AO9" s="802" t="s">
        <v>83</v>
      </c>
      <c r="AP9" s="802" t="s">
        <v>84</v>
      </c>
      <c r="AQ9" s="802" t="s">
        <v>546</v>
      </c>
      <c r="AR9" s="802" t="s">
        <v>81</v>
      </c>
      <c r="AS9" s="802" t="s">
        <v>80</v>
      </c>
      <c r="AT9" s="802" t="s">
        <v>82</v>
      </c>
      <c r="AU9" s="802" t="s">
        <v>181</v>
      </c>
      <c r="AV9" s="802" t="s">
        <v>183</v>
      </c>
      <c r="AW9" s="802" t="s">
        <v>547</v>
      </c>
      <c r="AX9" s="802" t="s">
        <v>182</v>
      </c>
      <c r="AY9" s="802" t="s">
        <v>172</v>
      </c>
      <c r="AZ9" s="802" t="s">
        <v>173</v>
      </c>
      <c r="BA9" s="802" t="s">
        <v>184</v>
      </c>
      <c r="BB9" s="802" t="s">
        <v>100</v>
      </c>
      <c r="BC9" s="1147" t="s">
        <v>913</v>
      </c>
      <c r="BD9" s="1150" t="s">
        <v>2896</v>
      </c>
      <c r="BE9" s="1150" t="s">
        <v>2747</v>
      </c>
      <c r="BF9" s="1150" t="s">
        <v>2862</v>
      </c>
      <c r="BG9" s="1150" t="s">
        <v>2897</v>
      </c>
      <c r="BH9" s="1150" t="s">
        <v>2856</v>
      </c>
    </row>
    <row r="10" spans="2:60" s="773" customFormat="1" ht="13.8">
      <c r="B10" s="1548" t="s">
        <v>643</v>
      </c>
      <c r="C10" s="1549"/>
      <c r="D10" s="470" t="s">
        <v>3989</v>
      </c>
      <c r="E10" s="470"/>
      <c r="F10" s="470" t="s">
        <v>1848</v>
      </c>
      <c r="G10" s="470" t="s">
        <v>3786</v>
      </c>
      <c r="H10" s="816">
        <v>7530.77</v>
      </c>
      <c r="I10" s="833" t="s">
        <v>235</v>
      </c>
      <c r="J10" s="467" t="s">
        <v>4582</v>
      </c>
      <c r="K10" s="829"/>
      <c r="L10" s="877" t="str">
        <f>'BLU DEC''23 &amp; JAN''24'!J200</f>
        <v>Loaded Transit to MJW</v>
      </c>
      <c r="M10" s="877" t="str">
        <f>'BLU DEC''23 &amp; JAN''24'!K200</f>
        <v>PENDINGIN</v>
      </c>
      <c r="N10" s="469" t="e">
        <f t="shared" ref="N10:N19" si="0">IF(ISBLANK(J10)," ",IF(J10&lt;$F$4,"On time",(IF(DAY(J10-$F$4)&lt;1,"On time",(IF(J10&gt;$F$4,"DELAY ( "&amp;DAY(J10-$F$4)&amp;" day "&amp;HOUR(J10-$F$4)&amp;" hour "&amp;MINUTE(J10-$F$4)&amp;" minute )","xxx"))))))</f>
        <v>#VALUE!</v>
      </c>
      <c r="O10" s="778"/>
      <c r="P10" s="465" t="s">
        <v>551</v>
      </c>
      <c r="Q10" s="465" t="s">
        <v>551</v>
      </c>
      <c r="R10" s="465" t="s">
        <v>873</v>
      </c>
      <c r="S10" s="779"/>
      <c r="T10" s="780"/>
      <c r="U10" s="780"/>
      <c r="V10" s="780"/>
      <c r="W10" s="780"/>
      <c r="X10" s="780"/>
      <c r="Y10" s="780"/>
      <c r="Z10" s="780"/>
      <c r="AA10" s="780"/>
      <c r="AB10" s="803">
        <f>H10</f>
        <v>7530.77</v>
      </c>
      <c r="AC10" s="780"/>
      <c r="AD10" s="780"/>
      <c r="AE10" s="780"/>
      <c r="AF10" s="780"/>
      <c r="AG10" s="780"/>
      <c r="AH10" s="780"/>
      <c r="AI10" s="780"/>
      <c r="AJ10" s="780"/>
      <c r="AK10" s="780"/>
      <c r="AL10" s="780"/>
      <c r="AM10" s="780"/>
      <c r="AN10" s="780"/>
      <c r="AO10" s="780"/>
      <c r="AP10" s="780"/>
      <c r="AQ10" s="780"/>
      <c r="AR10" s="780"/>
      <c r="AS10" s="780"/>
      <c r="AT10" s="780"/>
      <c r="AU10" s="780"/>
      <c r="AV10" s="780"/>
      <c r="AW10" s="780"/>
      <c r="AX10" s="780"/>
      <c r="AY10" s="780"/>
      <c r="AZ10" s="780"/>
      <c r="BA10" s="780"/>
      <c r="BB10" s="780"/>
      <c r="BC10" s="780"/>
      <c r="BD10" s="1148"/>
      <c r="BE10" s="1148"/>
      <c r="BF10" s="1148"/>
      <c r="BG10" s="1148"/>
      <c r="BH10" s="1148"/>
    </row>
    <row r="11" spans="2:60" s="773" customFormat="1" ht="13.8">
      <c r="B11" s="1572"/>
      <c r="C11" s="1573"/>
      <c r="D11" s="470" t="s">
        <v>3985</v>
      </c>
      <c r="E11" s="857"/>
      <c r="F11" s="470" t="s">
        <v>2388</v>
      </c>
      <c r="G11" s="470" t="s">
        <v>289</v>
      </c>
      <c r="H11" s="816">
        <f>7504.313/2</f>
        <v>3752.1565000000001</v>
      </c>
      <c r="I11" s="833" t="s">
        <v>835</v>
      </c>
      <c r="J11" s="1570">
        <v>45292.892361111109</v>
      </c>
      <c r="K11" s="829"/>
      <c r="L11" s="1570" t="str">
        <f>'BLU DEC''23 &amp; JAN''24'!J199</f>
        <v>Waiting Unload</v>
      </c>
      <c r="M11" s="1570" t="str">
        <f>'BLU DEC''23 &amp; JAN''24'!K199</f>
        <v>MUARA JAWA</v>
      </c>
      <c r="N11" s="469" t="str">
        <f t="shared" si="0"/>
        <v>DELAY ( 5 day 13 hour 25 minute )</v>
      </c>
      <c r="O11" s="778"/>
      <c r="P11" s="465" t="s">
        <v>551</v>
      </c>
      <c r="Q11" s="465" t="s">
        <v>551</v>
      </c>
      <c r="R11" s="465" t="s">
        <v>551</v>
      </c>
      <c r="S11" s="779"/>
      <c r="T11" s="780"/>
      <c r="U11" s="780"/>
      <c r="V11" s="780"/>
      <c r="W11" s="780"/>
      <c r="X11" s="780"/>
      <c r="Y11" s="780"/>
      <c r="Z11" s="803">
        <f>H11</f>
        <v>3752.1565000000001</v>
      </c>
      <c r="AA11" s="803"/>
      <c r="AB11" s="803"/>
      <c r="AC11" s="780"/>
      <c r="AD11" s="780"/>
      <c r="AE11" s="780"/>
      <c r="AF11" s="780"/>
      <c r="AG11" s="780"/>
      <c r="AH11" s="780"/>
      <c r="AI11" s="780"/>
      <c r="AJ11" s="780"/>
      <c r="AK11" s="780"/>
      <c r="AL11" s="780"/>
      <c r="AM11" s="780"/>
      <c r="AN11" s="780"/>
      <c r="AO11" s="780"/>
      <c r="AP11" s="780"/>
      <c r="AQ11" s="780"/>
      <c r="AR11" s="780"/>
      <c r="AS11" s="780"/>
      <c r="AT11" s="780"/>
      <c r="AU11" s="780"/>
      <c r="AV11" s="780"/>
      <c r="AW11" s="780"/>
      <c r="AX11" s="780"/>
      <c r="AY11" s="780"/>
      <c r="AZ11" s="780"/>
      <c r="BA11" s="780"/>
      <c r="BB11" s="780"/>
      <c r="BC11" s="780"/>
      <c r="BD11" s="780"/>
      <c r="BE11" s="780"/>
      <c r="BF11" s="780"/>
      <c r="BG11" s="780"/>
      <c r="BH11" s="780"/>
    </row>
    <row r="12" spans="2:60" s="773" customFormat="1" ht="13.8">
      <c r="B12" s="1548" t="s">
        <v>2519</v>
      </c>
      <c r="C12" s="1549"/>
      <c r="D12" s="470" t="s">
        <v>3985</v>
      </c>
      <c r="E12" s="857"/>
      <c r="F12" s="470" t="s">
        <v>2388</v>
      </c>
      <c r="G12" s="470" t="s">
        <v>289</v>
      </c>
      <c r="H12" s="816">
        <f>H11</f>
        <v>3752.1565000000001</v>
      </c>
      <c r="I12" s="833" t="s">
        <v>835</v>
      </c>
      <c r="J12" s="1571"/>
      <c r="K12" s="829"/>
      <c r="L12" s="1571"/>
      <c r="M12" s="1571"/>
      <c r="N12" s="469" t="str">
        <f t="shared" si="0"/>
        <v xml:space="preserve"> </v>
      </c>
      <c r="O12" s="778"/>
      <c r="P12" s="465" t="s">
        <v>551</v>
      </c>
      <c r="Q12" s="465" t="s">
        <v>551</v>
      </c>
      <c r="R12" s="465" t="s">
        <v>551</v>
      </c>
      <c r="S12" s="779"/>
      <c r="T12" s="780"/>
      <c r="U12" s="780"/>
      <c r="V12" s="780"/>
      <c r="W12" s="780"/>
      <c r="X12" s="780"/>
      <c r="Y12" s="780"/>
      <c r="Z12" s="803">
        <f>H12</f>
        <v>3752.1565000000001</v>
      </c>
      <c r="AA12" s="803"/>
      <c r="AB12" s="803"/>
      <c r="AC12" s="780"/>
      <c r="AD12" s="780"/>
      <c r="AE12" s="780"/>
      <c r="AF12" s="780"/>
      <c r="AG12" s="780"/>
      <c r="AH12" s="780"/>
      <c r="AI12" s="780"/>
      <c r="AJ12" s="780"/>
      <c r="AK12" s="780"/>
      <c r="AL12" s="780"/>
      <c r="AM12" s="780"/>
      <c r="AN12" s="780"/>
      <c r="AO12" s="780"/>
      <c r="AP12" s="780"/>
      <c r="AQ12" s="780"/>
      <c r="AR12" s="780"/>
      <c r="AS12" s="780"/>
      <c r="AT12" s="780"/>
      <c r="AU12" s="780"/>
      <c r="AV12" s="780"/>
      <c r="AW12" s="780"/>
      <c r="AX12" s="780"/>
      <c r="AY12" s="780"/>
      <c r="AZ12" s="780"/>
      <c r="BA12" s="780"/>
      <c r="BB12" s="780"/>
      <c r="BC12" s="780"/>
      <c r="BD12" s="780"/>
      <c r="BE12" s="780"/>
      <c r="BF12" s="780"/>
      <c r="BG12" s="780"/>
      <c r="BH12" s="780"/>
    </row>
    <row r="13" spans="2:60" s="773" customFormat="1" ht="13.8">
      <c r="B13" s="1572"/>
      <c r="C13" s="1573"/>
      <c r="D13" s="470" t="s">
        <v>3990</v>
      </c>
      <c r="E13" s="470"/>
      <c r="F13" s="470" t="s">
        <v>271</v>
      </c>
      <c r="G13" s="470" t="s">
        <v>272</v>
      </c>
      <c r="H13" s="816">
        <v>8050.0389999999998</v>
      </c>
      <c r="I13" s="833" t="s">
        <v>235</v>
      </c>
      <c r="J13" s="466">
        <v>45292.868055555555</v>
      </c>
      <c r="K13" s="829"/>
      <c r="L13" s="877" t="str">
        <f>'BLU DEC''23 &amp; JAN''24'!J201</f>
        <v>Waiting Unload</v>
      </c>
      <c r="M13" s="877" t="str">
        <f>'BLU DEC''23 &amp; JAN''24'!K201</f>
        <v>MUARA JAWA</v>
      </c>
      <c r="N13" s="469" t="str">
        <f t="shared" si="0"/>
        <v>DELAY ( 5 day 12 hour 50 minute )</v>
      </c>
      <c r="O13" s="778"/>
      <c r="P13" s="465" t="s">
        <v>551</v>
      </c>
      <c r="Q13" s="465" t="s">
        <v>551</v>
      </c>
      <c r="R13" s="465" t="s">
        <v>551</v>
      </c>
      <c r="S13" s="779"/>
      <c r="T13" s="780"/>
      <c r="U13" s="780"/>
      <c r="V13" s="780"/>
      <c r="W13" s="780"/>
      <c r="X13" s="780"/>
      <c r="Y13" s="780"/>
      <c r="Z13" s="803"/>
      <c r="AA13" s="803"/>
      <c r="AB13" s="803">
        <f>H13</f>
        <v>8050.0389999999998</v>
      </c>
      <c r="AC13" s="780"/>
      <c r="AD13" s="780"/>
      <c r="AE13" s="780"/>
      <c r="AF13" s="780"/>
      <c r="AG13" s="780"/>
      <c r="AH13" s="780"/>
      <c r="AI13" s="780"/>
      <c r="AJ13" s="780"/>
      <c r="AK13" s="780"/>
      <c r="AL13" s="780"/>
      <c r="AM13" s="780"/>
      <c r="AN13" s="780"/>
      <c r="AO13" s="780"/>
      <c r="AP13" s="780"/>
      <c r="AQ13" s="780"/>
      <c r="AR13" s="780"/>
      <c r="AS13" s="780"/>
      <c r="AT13" s="780"/>
      <c r="AU13" s="780"/>
      <c r="AV13" s="780"/>
      <c r="AW13" s="780"/>
      <c r="AX13" s="780"/>
      <c r="AY13" s="780"/>
      <c r="AZ13" s="780"/>
      <c r="BA13" s="780"/>
      <c r="BB13" s="780"/>
      <c r="BC13" s="780"/>
      <c r="BD13" s="780"/>
      <c r="BE13" s="780"/>
      <c r="BF13" s="780"/>
      <c r="BG13" s="780"/>
      <c r="BH13" s="780"/>
    </row>
    <row r="14" spans="2:60" s="773" customFormat="1" ht="13.8">
      <c r="B14" s="1548" t="s">
        <v>4585</v>
      </c>
      <c r="C14" s="1549"/>
      <c r="D14" s="470" t="s">
        <v>3993</v>
      </c>
      <c r="E14" s="470"/>
      <c r="F14" s="470" t="s">
        <v>339</v>
      </c>
      <c r="G14" s="470" t="s">
        <v>506</v>
      </c>
      <c r="H14" s="816">
        <v>7027.6</v>
      </c>
      <c r="I14" s="833" t="s">
        <v>235</v>
      </c>
      <c r="J14" s="467" t="s">
        <v>4582</v>
      </c>
      <c r="K14" s="829"/>
      <c r="L14" s="877" t="str">
        <f>'BLU DEC''23 &amp; JAN''24'!J203</f>
        <v>Loaded Transit to MJW</v>
      </c>
      <c r="M14" s="877" t="str">
        <f>'BLU DEC''23 &amp; JAN''24'!K203</f>
        <v>SUNGAI LAIS</v>
      </c>
      <c r="N14" s="876" t="e">
        <f t="shared" si="0"/>
        <v>#VALUE!</v>
      </c>
      <c r="O14" s="778"/>
      <c r="P14" s="465" t="s">
        <v>551</v>
      </c>
      <c r="Q14" s="465" t="s">
        <v>551</v>
      </c>
      <c r="R14" s="465" t="s">
        <v>873</v>
      </c>
      <c r="T14" s="780"/>
      <c r="U14" s="780"/>
      <c r="V14" s="780"/>
      <c r="W14" s="780"/>
      <c r="X14" s="780"/>
      <c r="Y14" s="780"/>
      <c r="Z14" s="803"/>
      <c r="AA14" s="803"/>
      <c r="AB14" s="803">
        <f>H14</f>
        <v>7027.6</v>
      </c>
      <c r="AC14" s="780"/>
      <c r="AD14" s="780"/>
      <c r="AE14" s="780"/>
      <c r="AF14" s="780"/>
      <c r="AG14" s="780"/>
      <c r="AH14" s="780"/>
      <c r="AI14" s="780"/>
      <c r="AJ14" s="780"/>
      <c r="AK14" s="780"/>
      <c r="AL14" s="780"/>
      <c r="AM14" s="780"/>
      <c r="AN14" s="780"/>
      <c r="AO14" s="780"/>
      <c r="AP14" s="780"/>
      <c r="AQ14" s="780"/>
      <c r="AR14" s="780"/>
      <c r="AS14" s="780"/>
      <c r="AT14" s="780"/>
      <c r="AU14" s="780"/>
      <c r="AV14" s="780"/>
      <c r="AW14" s="780"/>
      <c r="AX14" s="780"/>
      <c r="AY14" s="780"/>
      <c r="AZ14" s="780"/>
      <c r="BA14" s="780"/>
      <c r="BB14" s="780"/>
      <c r="BC14" s="780"/>
      <c r="BD14" s="780"/>
      <c r="BE14" s="780"/>
      <c r="BF14" s="780"/>
      <c r="BG14" s="780"/>
      <c r="BH14" s="780"/>
    </row>
    <row r="15" spans="2:60" s="773" customFormat="1" ht="13.8">
      <c r="B15" s="1572"/>
      <c r="C15" s="1573"/>
      <c r="D15" s="470" t="s">
        <v>3991</v>
      </c>
      <c r="E15" s="857"/>
      <c r="F15" s="470" t="s">
        <v>334</v>
      </c>
      <c r="G15" s="470" t="s">
        <v>335</v>
      </c>
      <c r="H15" s="816">
        <f>7580.399/2</f>
        <v>3790.1995000000002</v>
      </c>
      <c r="I15" s="833" t="s">
        <v>835</v>
      </c>
      <c r="J15" s="1576">
        <v>45293.072916666664</v>
      </c>
      <c r="K15" s="829"/>
      <c r="L15" s="1570" t="str">
        <f>'BLU DEC''23 &amp; JAN''24'!J202</f>
        <v>Waiting Unload</v>
      </c>
      <c r="M15" s="1570" t="str">
        <f>'BLU DEC''23 &amp; JAN''24'!K202</f>
        <v>MUARA JAWA</v>
      </c>
      <c r="N15" s="469" t="str">
        <f t="shared" si="0"/>
        <v>DELAY ( 5 day 17 hour 45 minute )</v>
      </c>
      <c r="O15" s="778"/>
      <c r="P15" s="465" t="s">
        <v>551</v>
      </c>
      <c r="Q15" s="465" t="s">
        <v>551</v>
      </c>
      <c r="R15" s="465" t="s">
        <v>551</v>
      </c>
      <c r="S15" s="779"/>
      <c r="T15" s="780"/>
      <c r="U15" s="780"/>
      <c r="V15" s="780"/>
      <c r="W15" s="780"/>
      <c r="X15" s="780"/>
      <c r="Y15" s="780"/>
      <c r="Z15" s="803">
        <f>H15</f>
        <v>3790.1995000000002</v>
      </c>
      <c r="AA15" s="803"/>
      <c r="AB15" s="803"/>
      <c r="AC15" s="780"/>
      <c r="AD15" s="780"/>
      <c r="AE15" s="780"/>
      <c r="AF15" s="780"/>
      <c r="AG15" s="780"/>
      <c r="AH15" s="780"/>
      <c r="AI15" s="780"/>
      <c r="AJ15" s="780"/>
      <c r="AK15" s="780"/>
      <c r="AL15" s="780"/>
      <c r="AM15" s="780"/>
      <c r="AN15" s="780"/>
      <c r="AO15" s="780"/>
      <c r="AP15" s="780"/>
      <c r="AQ15" s="780"/>
      <c r="AR15" s="780"/>
      <c r="AS15" s="780"/>
      <c r="AT15" s="780"/>
      <c r="AU15" s="780"/>
      <c r="AV15" s="780"/>
      <c r="AW15" s="780"/>
      <c r="AX15" s="780"/>
      <c r="AY15" s="780"/>
      <c r="AZ15" s="780"/>
      <c r="BA15" s="780"/>
      <c r="BB15" s="780"/>
      <c r="BC15" s="780"/>
      <c r="BD15" s="780"/>
      <c r="BE15" s="780"/>
      <c r="BF15" s="780"/>
      <c r="BG15" s="780"/>
      <c r="BH15" s="780"/>
    </row>
    <row r="16" spans="2:60" s="773" customFormat="1" ht="13.8">
      <c r="B16" s="1548" t="s">
        <v>644</v>
      </c>
      <c r="C16" s="1549"/>
      <c r="D16" s="470" t="s">
        <v>3991</v>
      </c>
      <c r="E16" s="857"/>
      <c r="F16" s="470" t="s">
        <v>334</v>
      </c>
      <c r="G16" s="470" t="s">
        <v>335</v>
      </c>
      <c r="H16" s="816">
        <f>H15</f>
        <v>3790.1995000000002</v>
      </c>
      <c r="I16" s="833" t="s">
        <v>835</v>
      </c>
      <c r="J16" s="1571"/>
      <c r="K16" s="829"/>
      <c r="L16" s="1571"/>
      <c r="M16" s="1571"/>
      <c r="N16" s="469" t="str">
        <f t="shared" si="0"/>
        <v xml:space="preserve"> </v>
      </c>
      <c r="O16" s="778"/>
      <c r="P16" s="465" t="s">
        <v>551</v>
      </c>
      <c r="Q16" s="465" t="s">
        <v>551</v>
      </c>
      <c r="R16" s="465" t="s">
        <v>551</v>
      </c>
      <c r="S16" s="779"/>
      <c r="T16" s="780"/>
      <c r="U16" s="780"/>
      <c r="V16" s="780"/>
      <c r="W16" s="780"/>
      <c r="X16" s="780"/>
      <c r="Y16" s="780"/>
      <c r="Z16" s="803">
        <f>H16</f>
        <v>3790.1995000000002</v>
      </c>
      <c r="AA16" s="803"/>
      <c r="AB16" s="803"/>
      <c r="AC16" s="780"/>
      <c r="AD16" s="780"/>
      <c r="AE16" s="780"/>
      <c r="AF16" s="780"/>
      <c r="AG16" s="780"/>
      <c r="AH16" s="780"/>
      <c r="AI16" s="780"/>
      <c r="AJ16" s="780"/>
      <c r="AK16" s="780"/>
      <c r="AL16" s="780"/>
      <c r="AM16" s="780"/>
      <c r="AN16" s="780"/>
      <c r="AO16" s="780"/>
      <c r="AP16" s="780"/>
      <c r="AQ16" s="780"/>
      <c r="AR16" s="780"/>
      <c r="AS16" s="780"/>
      <c r="AT16" s="780"/>
      <c r="AU16" s="780"/>
      <c r="AV16" s="780"/>
      <c r="AW16" s="780"/>
      <c r="AX16" s="780"/>
      <c r="AY16" s="780"/>
      <c r="AZ16" s="780"/>
      <c r="BA16" s="780"/>
      <c r="BB16" s="780"/>
      <c r="BC16" s="780"/>
      <c r="BD16" s="780"/>
      <c r="BE16" s="780"/>
      <c r="BF16" s="780"/>
      <c r="BG16" s="780"/>
      <c r="BH16" s="780"/>
    </row>
    <row r="17" spans="2:61" s="773" customFormat="1" ht="13.8">
      <c r="B17" s="1550"/>
      <c r="C17" s="1551"/>
      <c r="D17" s="470" t="s">
        <v>3994</v>
      </c>
      <c r="E17" s="470"/>
      <c r="F17" s="470" t="s">
        <v>2295</v>
      </c>
      <c r="G17" s="470" t="s">
        <v>2296</v>
      </c>
      <c r="H17" s="816">
        <v>7810.7610000000004</v>
      </c>
      <c r="I17" s="833" t="s">
        <v>235</v>
      </c>
      <c r="J17" s="467" t="s">
        <v>4582</v>
      </c>
      <c r="K17" s="829"/>
      <c r="L17" s="877" t="str">
        <f>'BLU DEC''23 &amp; JAN''24'!J204</f>
        <v>Loaded Transit to MJW</v>
      </c>
      <c r="M17" s="877" t="str">
        <f>'BLU DEC''23 &amp; JAN''24'!K204</f>
        <v>HARAPAN BARU</v>
      </c>
      <c r="N17" s="469" t="e">
        <f t="shared" si="0"/>
        <v>#VALUE!</v>
      </c>
      <c r="O17" s="778"/>
      <c r="P17" s="465" t="s">
        <v>551</v>
      </c>
      <c r="Q17" s="465" t="s">
        <v>551</v>
      </c>
      <c r="R17" s="465" t="s">
        <v>873</v>
      </c>
      <c r="S17" s="779"/>
      <c r="T17" s="780"/>
      <c r="U17" s="780"/>
      <c r="V17" s="780"/>
      <c r="W17" s="780"/>
      <c r="X17" s="780"/>
      <c r="Y17" s="780"/>
      <c r="Z17" s="803"/>
      <c r="AA17" s="803"/>
      <c r="AB17" s="803">
        <f>H17-H21</f>
        <v>7306.8789999999954</v>
      </c>
      <c r="AC17" s="780"/>
      <c r="AD17" s="780"/>
      <c r="AE17" s="780"/>
      <c r="AF17" s="780"/>
      <c r="AG17" s="780"/>
      <c r="AH17" s="780"/>
      <c r="AI17" s="780"/>
      <c r="AJ17" s="780"/>
      <c r="AK17" s="780"/>
      <c r="AL17" s="780"/>
      <c r="AM17" s="780"/>
      <c r="AN17" s="780"/>
      <c r="AO17" s="780"/>
      <c r="AP17" s="780"/>
      <c r="AQ17" s="780"/>
      <c r="AR17" s="780"/>
      <c r="AS17" s="780"/>
      <c r="AT17" s="780"/>
      <c r="AU17" s="780"/>
      <c r="AV17" s="780"/>
      <c r="AW17" s="780"/>
      <c r="AX17" s="780"/>
      <c r="AY17" s="780"/>
      <c r="AZ17" s="780"/>
      <c r="BA17" s="780"/>
      <c r="BB17" s="780"/>
      <c r="BC17" s="780"/>
      <c r="BD17" s="780"/>
      <c r="BE17" s="780"/>
      <c r="BF17" s="780"/>
      <c r="BG17" s="780"/>
      <c r="BH17" s="780"/>
    </row>
    <row r="18" spans="2:61" s="61" customFormat="1" ht="13.8">
      <c r="B18" s="1574" t="s">
        <v>556</v>
      </c>
      <c r="C18" s="1575"/>
      <c r="D18" s="1567"/>
      <c r="E18" s="1567"/>
      <c r="F18" s="1567"/>
      <c r="G18" s="1568"/>
      <c r="H18" s="828">
        <f>SUM(H10:H17)</f>
        <v>45503.882000000005</v>
      </c>
      <c r="I18" s="1569"/>
      <c r="J18" s="1569"/>
      <c r="K18" s="1569"/>
      <c r="L18" s="1569"/>
      <c r="M18" s="1569"/>
      <c r="N18" s="818" t="str">
        <f t="shared" si="0"/>
        <v xml:space="preserve"> </v>
      </c>
      <c r="O18" s="17"/>
      <c r="P18" s="804"/>
      <c r="Q18" s="804"/>
      <c r="R18" s="804"/>
      <c r="S18" s="773"/>
      <c r="T18" s="1545"/>
      <c r="U18" s="1546"/>
      <c r="V18" s="1546"/>
      <c r="W18" s="1546"/>
      <c r="X18" s="1546"/>
      <c r="Y18" s="1546"/>
      <c r="Z18" s="1546"/>
      <c r="AA18" s="1546"/>
      <c r="AB18" s="1546"/>
      <c r="AC18" s="1546"/>
      <c r="AD18" s="1546"/>
      <c r="AE18" s="1546"/>
      <c r="AF18" s="1546"/>
      <c r="AG18" s="1546"/>
      <c r="AH18" s="1546"/>
      <c r="AI18" s="1546"/>
      <c r="AJ18" s="1546"/>
      <c r="AK18" s="1546"/>
      <c r="AL18" s="1546"/>
      <c r="AM18" s="1546"/>
      <c r="AN18" s="1546"/>
      <c r="AO18" s="1546"/>
      <c r="AP18" s="1546"/>
      <c r="AQ18" s="1546"/>
      <c r="AR18" s="1546"/>
      <c r="AS18" s="1546"/>
      <c r="AT18" s="1546"/>
      <c r="AU18" s="1546"/>
      <c r="AV18" s="1546"/>
      <c r="AW18" s="1546"/>
      <c r="AX18" s="1546"/>
      <c r="AY18" s="1546"/>
      <c r="AZ18" s="1546"/>
      <c r="BA18" s="1546"/>
      <c r="BB18" s="1546"/>
      <c r="BC18" s="1546"/>
      <c r="BD18" s="1546"/>
      <c r="BE18" s="1546"/>
      <c r="BF18" s="1546"/>
      <c r="BG18" s="1546"/>
      <c r="BH18" s="1546"/>
    </row>
    <row r="19" spans="2:61" s="61" customFormat="1" ht="13.8">
      <c r="B19" s="1552" t="s">
        <v>557</v>
      </c>
      <c r="C19" s="1553"/>
      <c r="D19" s="1553"/>
      <c r="E19" s="1553"/>
      <c r="F19" s="1553"/>
      <c r="G19" s="1554"/>
      <c r="H19" s="817">
        <v>45000</v>
      </c>
      <c r="I19" s="1555"/>
      <c r="J19" s="1555"/>
      <c r="K19" s="1555"/>
      <c r="L19" s="1555"/>
      <c r="M19" s="1555"/>
      <c r="N19" s="818" t="str">
        <f t="shared" si="0"/>
        <v xml:space="preserve"> </v>
      </c>
      <c r="O19" s="779"/>
      <c r="P19" s="464"/>
      <c r="Q19" s="464"/>
      <c r="R19" s="464"/>
      <c r="S19" s="805"/>
      <c r="T19" s="806">
        <f t="shared" ref="T19:BH19" si="1">SUM(T10:T17)</f>
        <v>0</v>
      </c>
      <c r="U19" s="806">
        <f t="shared" si="1"/>
        <v>0</v>
      </c>
      <c r="V19" s="806">
        <f t="shared" si="1"/>
        <v>0</v>
      </c>
      <c r="W19" s="806">
        <f t="shared" si="1"/>
        <v>0</v>
      </c>
      <c r="X19" s="806">
        <f t="shared" si="1"/>
        <v>0</v>
      </c>
      <c r="Y19" s="806">
        <f t="shared" si="1"/>
        <v>0</v>
      </c>
      <c r="Z19" s="806">
        <f t="shared" si="1"/>
        <v>15084.712000000001</v>
      </c>
      <c r="AA19" s="806">
        <f t="shared" si="1"/>
        <v>0</v>
      </c>
      <c r="AB19" s="806">
        <f t="shared" si="1"/>
        <v>29915.287999999993</v>
      </c>
      <c r="AC19" s="806">
        <f t="shared" si="1"/>
        <v>0</v>
      </c>
      <c r="AD19" s="806">
        <f t="shared" si="1"/>
        <v>0</v>
      </c>
      <c r="AE19" s="806">
        <f t="shared" si="1"/>
        <v>0</v>
      </c>
      <c r="AF19" s="806">
        <f t="shared" si="1"/>
        <v>0</v>
      </c>
      <c r="AG19" s="806">
        <f t="shared" si="1"/>
        <v>0</v>
      </c>
      <c r="AH19" s="806">
        <f t="shared" si="1"/>
        <v>0</v>
      </c>
      <c r="AI19" s="806">
        <f t="shared" si="1"/>
        <v>0</v>
      </c>
      <c r="AJ19" s="806">
        <f t="shared" si="1"/>
        <v>0</v>
      </c>
      <c r="AK19" s="806">
        <f t="shared" si="1"/>
        <v>0</v>
      </c>
      <c r="AL19" s="806">
        <f t="shared" si="1"/>
        <v>0</v>
      </c>
      <c r="AM19" s="806">
        <f t="shared" si="1"/>
        <v>0</v>
      </c>
      <c r="AN19" s="806">
        <f t="shared" si="1"/>
        <v>0</v>
      </c>
      <c r="AO19" s="806">
        <f t="shared" si="1"/>
        <v>0</v>
      </c>
      <c r="AP19" s="806">
        <f t="shared" si="1"/>
        <v>0</v>
      </c>
      <c r="AQ19" s="806">
        <f t="shared" si="1"/>
        <v>0</v>
      </c>
      <c r="AR19" s="806">
        <f t="shared" si="1"/>
        <v>0</v>
      </c>
      <c r="AS19" s="806">
        <f t="shared" si="1"/>
        <v>0</v>
      </c>
      <c r="AT19" s="806">
        <f t="shared" si="1"/>
        <v>0</v>
      </c>
      <c r="AU19" s="806">
        <f t="shared" si="1"/>
        <v>0</v>
      </c>
      <c r="AV19" s="806">
        <f t="shared" si="1"/>
        <v>0</v>
      </c>
      <c r="AW19" s="806">
        <f t="shared" si="1"/>
        <v>0</v>
      </c>
      <c r="AX19" s="806">
        <f t="shared" si="1"/>
        <v>0</v>
      </c>
      <c r="AY19" s="806">
        <f t="shared" si="1"/>
        <v>0</v>
      </c>
      <c r="AZ19" s="806">
        <f t="shared" si="1"/>
        <v>0</v>
      </c>
      <c r="BA19" s="806">
        <f t="shared" si="1"/>
        <v>0</v>
      </c>
      <c r="BB19" s="806">
        <f t="shared" si="1"/>
        <v>0</v>
      </c>
      <c r="BC19" s="806">
        <f t="shared" si="1"/>
        <v>0</v>
      </c>
      <c r="BD19" s="806">
        <f t="shared" si="1"/>
        <v>0</v>
      </c>
      <c r="BE19" s="806">
        <f t="shared" si="1"/>
        <v>0</v>
      </c>
      <c r="BF19" s="806">
        <f t="shared" si="1"/>
        <v>0</v>
      </c>
      <c r="BG19" s="806">
        <f t="shared" si="1"/>
        <v>0</v>
      </c>
      <c r="BH19" s="806">
        <f t="shared" si="1"/>
        <v>0</v>
      </c>
      <c r="BI19" s="806">
        <f>SUM(T19:BH19)</f>
        <v>44999.999999999993</v>
      </c>
    </row>
    <row r="20" spans="2:61" s="61" customFormat="1" ht="13.8">
      <c r="B20" s="1552" t="s">
        <v>558</v>
      </c>
      <c r="C20" s="1553"/>
      <c r="D20" s="1553"/>
      <c r="E20" s="1553"/>
      <c r="F20" s="1553"/>
      <c r="G20" s="1554"/>
      <c r="H20" s="807">
        <f>H19-L4</f>
        <v>45000</v>
      </c>
      <c r="I20" s="772"/>
      <c r="J20" s="811"/>
      <c r="K20" s="811"/>
      <c r="L20" s="547"/>
      <c r="M20" s="773"/>
      <c r="N20" s="779"/>
      <c r="O20" s="779"/>
      <c r="P20" s="779"/>
      <c r="Q20" s="808"/>
      <c r="R20" s="808"/>
      <c r="S20" s="779"/>
      <c r="T20" s="809"/>
      <c r="U20" s="809"/>
      <c r="V20" s="809"/>
      <c r="W20" s="809"/>
      <c r="X20" s="809"/>
      <c r="Y20" s="809"/>
      <c r="Z20" s="809"/>
      <c r="AA20" s="809"/>
      <c r="AB20" s="809"/>
      <c r="AC20" s="779"/>
      <c r="AD20" s="779"/>
      <c r="AE20" s="779"/>
      <c r="AF20" s="779"/>
      <c r="AG20" s="779"/>
      <c r="AH20" s="779"/>
      <c r="AI20" s="779"/>
      <c r="AJ20" s="779"/>
      <c r="AK20" s="779"/>
      <c r="AL20" s="779"/>
      <c r="AM20" s="779"/>
      <c r="AN20" s="779"/>
      <c r="AO20" s="779"/>
      <c r="AP20" s="779"/>
      <c r="AQ20" s="779"/>
      <c r="AR20" s="779"/>
    </row>
    <row r="21" spans="2:61" s="61" customFormat="1" ht="13.8">
      <c r="B21" s="1552" t="s">
        <v>559</v>
      </c>
      <c r="C21" s="1553"/>
      <c r="D21" s="1553"/>
      <c r="E21" s="1553"/>
      <c r="F21" s="1553"/>
      <c r="G21" s="1554"/>
      <c r="H21" s="810">
        <f>H18-H19</f>
        <v>503.88200000000506</v>
      </c>
      <c r="I21" s="772"/>
      <c r="J21" s="811"/>
      <c r="K21" s="811"/>
      <c r="L21" s="547"/>
      <c r="M21" s="773"/>
      <c r="N21" s="781"/>
      <c r="O21" s="779"/>
      <c r="P21" s="779"/>
      <c r="Q21" s="779"/>
      <c r="R21" s="779"/>
      <c r="S21" s="779"/>
      <c r="T21" s="809"/>
      <c r="U21" s="809"/>
      <c r="V21" s="809"/>
      <c r="W21" s="809"/>
      <c r="X21" s="809"/>
      <c r="Y21" s="809"/>
      <c r="Z21" s="809"/>
      <c r="AA21" s="809"/>
      <c r="AB21" s="809"/>
      <c r="AC21" s="779"/>
      <c r="AD21" s="779"/>
      <c r="AE21" s="779"/>
      <c r="AF21" s="779"/>
      <c r="AG21" s="779"/>
      <c r="AH21" s="779"/>
      <c r="AI21" s="779"/>
      <c r="AJ21" s="779"/>
      <c r="AK21" s="779"/>
      <c r="AL21" s="779"/>
      <c r="AM21" s="779"/>
      <c r="AN21" s="779"/>
      <c r="AO21" s="779"/>
      <c r="AP21" s="779"/>
      <c r="AQ21" s="779"/>
      <c r="AR21" s="779"/>
    </row>
    <row r="22" spans="2:61" ht="13.8">
      <c r="P22" s="779"/>
      <c r="Q22" s="779"/>
      <c r="R22" s="779"/>
      <c r="S22" s="779"/>
      <c r="T22" s="809"/>
      <c r="U22" s="809"/>
      <c r="V22" s="809"/>
      <c r="W22" s="809"/>
      <c r="X22" s="809"/>
      <c r="Y22" s="809"/>
      <c r="Z22" s="809"/>
      <c r="AA22" s="809"/>
      <c r="AB22" s="809"/>
      <c r="AC22" s="779"/>
      <c r="AD22" s="779"/>
      <c r="AE22" s="779"/>
      <c r="AF22" s="779"/>
      <c r="AG22" s="779"/>
      <c r="AH22" s="779"/>
      <c r="AI22" s="779"/>
      <c r="AJ22" s="779"/>
      <c r="AK22" s="779"/>
      <c r="AL22" s="779"/>
      <c r="AM22" s="779"/>
      <c r="AN22" s="779"/>
      <c r="AO22" s="779"/>
      <c r="AP22" s="779"/>
      <c r="AQ22" s="779"/>
      <c r="AR22" s="779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</row>
    <row r="23" spans="2:61" ht="13.8">
      <c r="B23" s="790" t="s">
        <v>561</v>
      </c>
      <c r="C23" s="790"/>
      <c r="D23" s="779"/>
      <c r="E23" s="779"/>
      <c r="F23" s="779"/>
      <c r="G23" s="779"/>
      <c r="H23" s="779"/>
      <c r="I23" s="779"/>
      <c r="J23" s="812"/>
      <c r="K23" s="812"/>
      <c r="L23" s="813"/>
      <c r="M23" s="779"/>
      <c r="O23" s="812"/>
      <c r="AV23" s="61"/>
      <c r="AW23" s="61"/>
      <c r="AX23" s="61"/>
      <c r="AY23" s="61"/>
      <c r="AZ23" s="61"/>
      <c r="BA23" s="61"/>
      <c r="BB23" s="61"/>
      <c r="BC23" s="61"/>
      <c r="BD23" s="61"/>
    </row>
    <row r="24" spans="2:61" ht="13.8">
      <c r="B24" s="468"/>
      <c r="C24" s="1565"/>
      <c r="D24" s="1565"/>
      <c r="E24" s="1565"/>
      <c r="F24" s="1565"/>
      <c r="G24" s="1565"/>
      <c r="H24" s="1565"/>
      <c r="I24" s="1565"/>
      <c r="J24" s="1565"/>
      <c r="K24" s="1565"/>
      <c r="M24" s="784"/>
    </row>
    <row r="25" spans="2:61" ht="13.8">
      <c r="M25" s="784"/>
    </row>
    <row r="26" spans="2:61" ht="13.8">
      <c r="M26" s="784"/>
    </row>
    <row r="27" spans="2:61" ht="13.8">
      <c r="M27" s="784"/>
    </row>
    <row r="28" spans="2:61" ht="13.8">
      <c r="M28" s="784"/>
    </row>
    <row r="29" spans="2:61" ht="13.8">
      <c r="M29" s="784"/>
    </row>
    <row r="30" spans="2:61" ht="13.8">
      <c r="M30" s="784"/>
    </row>
    <row r="31" spans="2:61" ht="13.8">
      <c r="M31" s="784"/>
    </row>
    <row r="32" spans="2:61" ht="13.8">
      <c r="M32" s="784"/>
    </row>
    <row r="33" ht="13.8"/>
    <row r="34" ht="13.8"/>
    <row r="35" ht="13.8"/>
    <row r="36" ht="13.8"/>
    <row r="38" ht="13.8"/>
  </sheetData>
  <mergeCells count="23">
    <mergeCell ref="C24:K24"/>
    <mergeCell ref="B18:G18"/>
    <mergeCell ref="I18:M18"/>
    <mergeCell ref="T8:X8"/>
    <mergeCell ref="B19:G19"/>
    <mergeCell ref="I19:M19"/>
    <mergeCell ref="B20:G20"/>
    <mergeCell ref="B21:G21"/>
    <mergeCell ref="J15:J16"/>
    <mergeCell ref="Y8:AA8"/>
    <mergeCell ref="T18:BH18"/>
    <mergeCell ref="AF8:BH8"/>
    <mergeCell ref="AB8:AC8"/>
    <mergeCell ref="B9:C9"/>
    <mergeCell ref="J11:J12"/>
    <mergeCell ref="L11:L12"/>
    <mergeCell ref="M11:M12"/>
    <mergeCell ref="B10:C11"/>
    <mergeCell ref="B12:C13"/>
    <mergeCell ref="L15:L16"/>
    <mergeCell ref="M15:M16"/>
    <mergeCell ref="B14:C15"/>
    <mergeCell ref="B16:C17"/>
  </mergeCells>
  <pageMargins left="0.7" right="0.7" top="0.75" bottom="0.75" header="0.3" footer="0.3"/>
  <pageSetup paperSize="9" scale="24" orientation="landscape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1E00-000000000000}">
          <x14:formula1>
            <xm:f>'FLF &amp; AGENT INFO'!$D$3:$D$31</xm:f>
          </x14:formula1>
          <xm:sqref>F6</xm:sqref>
        </x14:dataValidation>
        <x14:dataValidation type="list" allowBlank="1" showInputMessage="1" showErrorMessage="1" xr:uid="{00000000-0002-0000-1E00-000001000000}">
          <x14:formula1>
            <xm:f>'FLF &amp; AGENT INFO'!$H$3:$H$7</xm:f>
          </x14:formula1>
          <xm:sqref>L6</xm:sqref>
        </x14:dataValidation>
        <x14:dataValidation type="list" allowBlank="1" showInputMessage="1" showErrorMessage="1" xr:uid="{00000000-0002-0000-1E00-000002000000}">
          <x14:formula1>
            <xm:f>'FLF &amp; AGENT INFO'!$B$3:$B$20</xm:f>
          </x14:formula1>
          <xm:sqref>F5</xm:sqref>
        </x14:dataValidation>
        <x14:dataValidation type="list" allowBlank="1" showInputMessage="1" showErrorMessage="1" xr:uid="{00000000-0002-0000-1E00-000003000000}">
          <x14:formula1>
            <xm:f>'FLF &amp; AGENT INFO'!$F$3:$F$28</xm:f>
          </x14:formula1>
          <xm:sqref>F7</xm:sqref>
        </x14:dataValidation>
        <x14:dataValidation type="list" allowBlank="1" showInputMessage="1" showErrorMessage="1" xr:uid="{00000000-0002-0000-1E00-000004000000}">
          <x14:formula1>
            <xm:f>'VLU 2023 &amp; 2024'!$H$253:$H$275</xm:f>
          </x14:formula1>
          <xm:sqref>F2</xm:sqref>
        </x14:dataValidation>
        <x14:dataValidation type="list" allowBlank="1" showInputMessage="1" showErrorMessage="1" xr:uid="{00000000-0002-0000-1E00-000005000000}">
          <x14:formula1>
            <xm:f>'VLU 2023 &amp; 2024'!$I$253:$I$275</xm:f>
          </x14:formula1>
          <xm:sqref>L5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A1:BM35"/>
  <sheetViews>
    <sheetView zoomScale="85" zoomScaleNormal="85" workbookViewId="0">
      <selection activeCell="B2" sqref="B2"/>
    </sheetView>
  </sheetViews>
  <sheetFormatPr defaultColWidth="9.109375" defaultRowHeight="12.75" customHeight="1"/>
  <cols>
    <col min="1" max="1" width="1.33203125" style="781" customWidth="1"/>
    <col min="2" max="2" width="7.6640625" style="781" customWidth="1"/>
    <col min="3" max="3" width="9.109375" style="781" customWidth="1"/>
    <col min="4" max="4" width="13" style="781" customWidth="1"/>
    <col min="5" max="5" width="1.5546875" style="781" bestFit="1" customWidth="1"/>
    <col min="6" max="6" width="23.44140625" style="781" customWidth="1"/>
    <col min="7" max="7" width="21.109375" style="781" bestFit="1" customWidth="1"/>
    <col min="8" max="8" width="11.109375" style="781" customWidth="1"/>
    <col min="9" max="9" width="20.6640625" style="782" customWidth="1"/>
    <col min="10" max="10" width="22.44140625" style="783" customWidth="1"/>
    <col min="11" max="11" width="1.5546875" style="783" bestFit="1" customWidth="1"/>
    <col min="12" max="12" width="19.5546875" style="784" customWidth="1"/>
    <col min="13" max="13" width="17" style="781" customWidth="1"/>
    <col min="14" max="14" width="7.6640625" style="781" hidden="1" customWidth="1"/>
    <col min="15" max="15" width="1.33203125" style="783" customWidth="1"/>
    <col min="16" max="18" width="8.33203125" style="785" customWidth="1"/>
    <col min="19" max="19" width="2.6640625" style="785" customWidth="1"/>
    <col min="20" max="20" width="11" style="785" bestFit="1" customWidth="1"/>
    <col min="21" max="27" width="12.44140625" style="785" customWidth="1"/>
    <col min="28" max="37" width="12.44140625" style="781" customWidth="1"/>
    <col min="38" max="38" width="9.33203125" style="781" bestFit="1" customWidth="1"/>
    <col min="39" max="40" width="10" style="781" bestFit="1" customWidth="1"/>
    <col min="41" max="41" width="11" style="781" bestFit="1" customWidth="1"/>
    <col min="42" max="42" width="10" style="781" bestFit="1" customWidth="1"/>
    <col min="43" max="43" width="11" style="781" bestFit="1" customWidth="1"/>
    <col min="44" max="44" width="10.33203125" style="781" bestFit="1" customWidth="1"/>
    <col min="45" max="45" width="10" style="781" bestFit="1" customWidth="1"/>
    <col min="46" max="46" width="11.6640625" style="781" customWidth="1"/>
    <col min="47" max="59" width="10" style="781" bestFit="1" customWidth="1"/>
    <col min="60" max="60" width="11" style="781" bestFit="1" customWidth="1"/>
    <col min="61" max="61" width="10.44140625" style="781" bestFit="1" customWidth="1"/>
    <col min="62" max="278" width="9.109375" style="781" bestFit="1" customWidth="1"/>
    <col min="279" max="279" width="2.6640625" style="781" customWidth="1"/>
    <col min="280" max="280" width="5" style="781" customWidth="1"/>
    <col min="281" max="281" width="11.6640625" style="781" customWidth="1"/>
    <col min="282" max="282" width="17" style="781" customWidth="1"/>
    <col min="283" max="283" width="6.6640625" style="781" customWidth="1"/>
    <col min="284" max="284" width="18.33203125" style="781" customWidth="1"/>
    <col min="285" max="285" width="10" style="781" customWidth="1"/>
    <col min="286" max="286" width="9" style="781" bestFit="1" customWidth="1"/>
    <col min="287" max="287" width="6.5546875" style="781" customWidth="1"/>
    <col min="288" max="288" width="15.44140625" style="781" customWidth="1"/>
    <col min="289" max="289" width="36.6640625" style="781" customWidth="1"/>
    <col min="290" max="290" width="0" style="781" hidden="1" customWidth="1"/>
    <col min="291" max="291" width="9.109375" style="781" bestFit="1" customWidth="1"/>
    <col min="292" max="292" width="10.33203125" style="781" bestFit="1" customWidth="1"/>
    <col min="293" max="534" width="9.109375" style="781" bestFit="1" customWidth="1"/>
    <col min="535" max="535" width="2.6640625" style="781" customWidth="1"/>
    <col min="536" max="536" width="5" style="781" customWidth="1"/>
    <col min="537" max="537" width="11.6640625" style="781" customWidth="1"/>
    <col min="538" max="538" width="17" style="781" customWidth="1"/>
    <col min="539" max="539" width="6.6640625" style="781" customWidth="1"/>
    <col min="540" max="540" width="18.33203125" style="781" customWidth="1"/>
    <col min="541" max="541" width="10" style="781" customWidth="1"/>
    <col min="542" max="542" width="9" style="781" bestFit="1" customWidth="1"/>
    <col min="543" max="543" width="6.5546875" style="781" customWidth="1"/>
    <col min="544" max="544" width="15.44140625" style="781" customWidth="1"/>
    <col min="545" max="545" width="36.6640625" style="781" customWidth="1"/>
    <col min="546" max="546" width="0" style="781" hidden="1" customWidth="1"/>
    <col min="547" max="547" width="9.109375" style="781" bestFit="1" customWidth="1"/>
    <col min="548" max="548" width="10.33203125" style="781" bestFit="1" customWidth="1"/>
    <col min="549" max="790" width="9.109375" style="781" bestFit="1" customWidth="1"/>
    <col min="791" max="791" width="2.6640625" style="781" customWidth="1"/>
    <col min="792" max="792" width="5" style="781" customWidth="1"/>
    <col min="793" max="793" width="11.6640625" style="781" customWidth="1"/>
    <col min="794" max="794" width="17" style="781" customWidth="1"/>
    <col min="795" max="795" width="6.6640625" style="781" customWidth="1"/>
    <col min="796" max="796" width="18.33203125" style="781" customWidth="1"/>
    <col min="797" max="797" width="10" style="781" customWidth="1"/>
    <col min="798" max="798" width="9" style="781" bestFit="1" customWidth="1"/>
    <col min="799" max="799" width="6.5546875" style="781" customWidth="1"/>
    <col min="800" max="800" width="15.44140625" style="781" customWidth="1"/>
    <col min="801" max="801" width="36.6640625" style="781" customWidth="1"/>
    <col min="802" max="802" width="0" style="781" hidden="1" customWidth="1"/>
    <col min="803" max="803" width="9.109375" style="781" bestFit="1" customWidth="1"/>
    <col min="804" max="804" width="10.33203125" style="781" bestFit="1" customWidth="1"/>
    <col min="805" max="1046" width="9.109375" style="781" bestFit="1" customWidth="1"/>
    <col min="1047" max="1047" width="2.6640625" style="781" customWidth="1"/>
    <col min="1048" max="1048" width="5" style="781" customWidth="1"/>
    <col min="1049" max="1049" width="11.6640625" style="781" customWidth="1"/>
    <col min="1050" max="1050" width="17" style="781" customWidth="1"/>
    <col min="1051" max="1051" width="6.6640625" style="781" customWidth="1"/>
    <col min="1052" max="1052" width="18.33203125" style="781" customWidth="1"/>
    <col min="1053" max="1053" width="10" style="781" customWidth="1"/>
    <col min="1054" max="1054" width="9" style="781" bestFit="1" customWidth="1"/>
    <col min="1055" max="1055" width="6.5546875" style="781" customWidth="1"/>
    <col min="1056" max="1056" width="15.44140625" style="781" customWidth="1"/>
    <col min="1057" max="1057" width="36.6640625" style="781" customWidth="1"/>
    <col min="1058" max="1058" width="0" style="781" hidden="1" customWidth="1"/>
    <col min="1059" max="1059" width="9.109375" style="781" bestFit="1" customWidth="1"/>
    <col min="1060" max="1060" width="10.33203125" style="781" bestFit="1" customWidth="1"/>
    <col min="1061" max="1302" width="9.109375" style="781" bestFit="1" customWidth="1"/>
    <col min="1303" max="1303" width="2.6640625" style="781" customWidth="1"/>
    <col min="1304" max="1304" width="5" style="781" customWidth="1"/>
    <col min="1305" max="1305" width="11.6640625" style="781" customWidth="1"/>
    <col min="1306" max="1306" width="17" style="781" customWidth="1"/>
    <col min="1307" max="1307" width="6.6640625" style="781" customWidth="1"/>
    <col min="1308" max="1308" width="18.33203125" style="781" customWidth="1"/>
    <col min="1309" max="1309" width="10" style="781" customWidth="1"/>
    <col min="1310" max="1310" width="9" style="781" bestFit="1" customWidth="1"/>
    <col min="1311" max="1311" width="6.5546875" style="781" customWidth="1"/>
    <col min="1312" max="1312" width="15.44140625" style="781" customWidth="1"/>
    <col min="1313" max="1313" width="36.6640625" style="781" customWidth="1"/>
    <col min="1314" max="1314" width="0" style="781" hidden="1" customWidth="1"/>
    <col min="1315" max="1315" width="9.109375" style="781" bestFit="1" customWidth="1"/>
    <col min="1316" max="1316" width="10.33203125" style="781" bestFit="1" customWidth="1"/>
    <col min="1317" max="1558" width="9.109375" style="781" bestFit="1" customWidth="1"/>
    <col min="1559" max="1559" width="2.6640625" style="781" customWidth="1"/>
    <col min="1560" max="1560" width="5" style="781" customWidth="1"/>
    <col min="1561" max="1561" width="11.6640625" style="781" customWidth="1"/>
    <col min="1562" max="1562" width="17" style="781" customWidth="1"/>
    <col min="1563" max="1563" width="6.6640625" style="781" customWidth="1"/>
    <col min="1564" max="1564" width="18.33203125" style="781" customWidth="1"/>
    <col min="1565" max="1565" width="10" style="781" customWidth="1"/>
    <col min="1566" max="1566" width="9" style="781" bestFit="1" customWidth="1"/>
    <col min="1567" max="1567" width="6.5546875" style="781" customWidth="1"/>
    <col min="1568" max="1568" width="15.44140625" style="781" customWidth="1"/>
    <col min="1569" max="1569" width="36.6640625" style="781" customWidth="1"/>
    <col min="1570" max="1570" width="0" style="781" hidden="1" customWidth="1"/>
    <col min="1571" max="1571" width="9.109375" style="781" bestFit="1" customWidth="1"/>
    <col min="1572" max="1572" width="10.33203125" style="781" bestFit="1" customWidth="1"/>
    <col min="1573" max="1814" width="9.109375" style="781" bestFit="1" customWidth="1"/>
    <col min="1815" max="1815" width="2.6640625" style="781" customWidth="1"/>
    <col min="1816" max="1816" width="5" style="781" customWidth="1"/>
    <col min="1817" max="1817" width="11.6640625" style="781" customWidth="1"/>
    <col min="1818" max="1818" width="17" style="781" customWidth="1"/>
    <col min="1819" max="1819" width="6.6640625" style="781" customWidth="1"/>
    <col min="1820" max="1820" width="18.33203125" style="781" customWidth="1"/>
    <col min="1821" max="1821" width="10" style="781" customWidth="1"/>
    <col min="1822" max="1822" width="9" style="781" bestFit="1" customWidth="1"/>
    <col min="1823" max="1823" width="6.5546875" style="781" customWidth="1"/>
    <col min="1824" max="1824" width="15.44140625" style="781" customWidth="1"/>
    <col min="1825" max="1825" width="36.6640625" style="781" customWidth="1"/>
    <col min="1826" max="1826" width="0" style="781" hidden="1" customWidth="1"/>
    <col min="1827" max="1827" width="9.109375" style="781" bestFit="1" customWidth="1"/>
    <col min="1828" max="1828" width="10.33203125" style="781" bestFit="1" customWidth="1"/>
    <col min="1829" max="2070" width="9.109375" style="781" bestFit="1" customWidth="1"/>
    <col min="2071" max="2071" width="2.6640625" style="781" customWidth="1"/>
    <col min="2072" max="2072" width="5" style="781" customWidth="1"/>
    <col min="2073" max="2073" width="11.6640625" style="781" customWidth="1"/>
    <col min="2074" max="2074" width="17" style="781" customWidth="1"/>
    <col min="2075" max="2075" width="6.6640625" style="781" customWidth="1"/>
    <col min="2076" max="2076" width="18.33203125" style="781" customWidth="1"/>
    <col min="2077" max="2077" width="10" style="781" customWidth="1"/>
    <col min="2078" max="2078" width="9" style="781" bestFit="1" customWidth="1"/>
    <col min="2079" max="2079" width="6.5546875" style="781" customWidth="1"/>
    <col min="2080" max="2080" width="15.44140625" style="781" customWidth="1"/>
    <col min="2081" max="2081" width="36.6640625" style="781" customWidth="1"/>
    <col min="2082" max="2082" width="0" style="781" hidden="1" customWidth="1"/>
    <col min="2083" max="2083" width="9.109375" style="781" bestFit="1" customWidth="1"/>
    <col min="2084" max="2084" width="10.33203125" style="781" bestFit="1" customWidth="1"/>
    <col min="2085" max="2326" width="9.109375" style="781" bestFit="1" customWidth="1"/>
    <col min="2327" max="2327" width="2.6640625" style="781" customWidth="1"/>
    <col min="2328" max="2328" width="5" style="781" customWidth="1"/>
    <col min="2329" max="2329" width="11.6640625" style="781" customWidth="1"/>
    <col min="2330" max="2330" width="17" style="781" customWidth="1"/>
    <col min="2331" max="2331" width="6.6640625" style="781" customWidth="1"/>
    <col min="2332" max="2332" width="18.33203125" style="781" customWidth="1"/>
    <col min="2333" max="2333" width="10" style="781" customWidth="1"/>
    <col min="2334" max="2334" width="9" style="781" bestFit="1" customWidth="1"/>
    <col min="2335" max="2335" width="6.5546875" style="781" customWidth="1"/>
    <col min="2336" max="2336" width="15.44140625" style="781" customWidth="1"/>
    <col min="2337" max="2337" width="36.6640625" style="781" customWidth="1"/>
    <col min="2338" max="2338" width="0" style="781" hidden="1" customWidth="1"/>
    <col min="2339" max="2339" width="9.109375" style="781" bestFit="1" customWidth="1"/>
    <col min="2340" max="2340" width="10.33203125" style="781" bestFit="1" customWidth="1"/>
    <col min="2341" max="2582" width="9.109375" style="781" bestFit="1" customWidth="1"/>
    <col min="2583" max="2583" width="2.6640625" style="781" customWidth="1"/>
    <col min="2584" max="2584" width="5" style="781" customWidth="1"/>
    <col min="2585" max="2585" width="11.6640625" style="781" customWidth="1"/>
    <col min="2586" max="2586" width="17" style="781" customWidth="1"/>
    <col min="2587" max="2587" width="6.6640625" style="781" customWidth="1"/>
    <col min="2588" max="2588" width="18.33203125" style="781" customWidth="1"/>
    <col min="2589" max="2589" width="10" style="781" customWidth="1"/>
    <col min="2590" max="2590" width="9" style="781" bestFit="1" customWidth="1"/>
    <col min="2591" max="2591" width="6.5546875" style="781" customWidth="1"/>
    <col min="2592" max="2592" width="15.44140625" style="781" customWidth="1"/>
    <col min="2593" max="2593" width="36.6640625" style="781" customWidth="1"/>
    <col min="2594" max="2594" width="0" style="781" hidden="1" customWidth="1"/>
    <col min="2595" max="2595" width="9.109375" style="781" bestFit="1" customWidth="1"/>
    <col min="2596" max="2596" width="10.33203125" style="781" bestFit="1" customWidth="1"/>
    <col min="2597" max="2838" width="9.109375" style="781" bestFit="1" customWidth="1"/>
    <col min="2839" max="2839" width="2.6640625" style="781" customWidth="1"/>
    <col min="2840" max="2840" width="5" style="781" customWidth="1"/>
    <col min="2841" max="2841" width="11.6640625" style="781" customWidth="1"/>
    <col min="2842" max="2842" width="17" style="781" customWidth="1"/>
    <col min="2843" max="2843" width="6.6640625" style="781" customWidth="1"/>
    <col min="2844" max="2844" width="18.33203125" style="781" customWidth="1"/>
    <col min="2845" max="2845" width="10" style="781" customWidth="1"/>
    <col min="2846" max="2846" width="9" style="781" bestFit="1" customWidth="1"/>
    <col min="2847" max="2847" width="6.5546875" style="781" customWidth="1"/>
    <col min="2848" max="2848" width="15.44140625" style="781" customWidth="1"/>
    <col min="2849" max="2849" width="36.6640625" style="781" customWidth="1"/>
    <col min="2850" max="2850" width="0" style="781" hidden="1" customWidth="1"/>
    <col min="2851" max="2851" width="9.109375" style="781" bestFit="1" customWidth="1"/>
    <col min="2852" max="2852" width="10.33203125" style="781" bestFit="1" customWidth="1"/>
    <col min="2853" max="3094" width="9.109375" style="781" bestFit="1" customWidth="1"/>
    <col min="3095" max="3095" width="2.6640625" style="781" customWidth="1"/>
    <col min="3096" max="3096" width="5" style="781" customWidth="1"/>
    <col min="3097" max="3097" width="11.6640625" style="781" customWidth="1"/>
    <col min="3098" max="3098" width="17" style="781" customWidth="1"/>
    <col min="3099" max="3099" width="6.6640625" style="781" customWidth="1"/>
    <col min="3100" max="3100" width="18.33203125" style="781" customWidth="1"/>
    <col min="3101" max="3101" width="10" style="781" customWidth="1"/>
    <col min="3102" max="3102" width="9" style="781" bestFit="1" customWidth="1"/>
    <col min="3103" max="3103" width="6.5546875" style="781" customWidth="1"/>
    <col min="3104" max="3104" width="15.44140625" style="781" customWidth="1"/>
    <col min="3105" max="3105" width="36.6640625" style="781" customWidth="1"/>
    <col min="3106" max="3106" width="0" style="781" hidden="1" customWidth="1"/>
    <col min="3107" max="3107" width="9.109375" style="781" bestFit="1" customWidth="1"/>
    <col min="3108" max="3108" width="10.33203125" style="781" bestFit="1" customWidth="1"/>
    <col min="3109" max="3350" width="9.109375" style="781" bestFit="1" customWidth="1"/>
    <col min="3351" max="3351" width="2.6640625" style="781" customWidth="1"/>
    <col min="3352" max="3352" width="5" style="781" customWidth="1"/>
    <col min="3353" max="3353" width="11.6640625" style="781" customWidth="1"/>
    <col min="3354" max="3354" width="17" style="781" customWidth="1"/>
    <col min="3355" max="3355" width="6.6640625" style="781" customWidth="1"/>
    <col min="3356" max="3356" width="18.33203125" style="781" customWidth="1"/>
    <col min="3357" max="3357" width="10" style="781" customWidth="1"/>
    <col min="3358" max="3358" width="9" style="781" bestFit="1" customWidth="1"/>
    <col min="3359" max="3359" width="6.5546875" style="781" customWidth="1"/>
    <col min="3360" max="3360" width="15.44140625" style="781" customWidth="1"/>
    <col min="3361" max="3361" width="36.6640625" style="781" customWidth="1"/>
    <col min="3362" max="3362" width="0" style="781" hidden="1" customWidth="1"/>
    <col min="3363" max="3363" width="9.109375" style="781" bestFit="1" customWidth="1"/>
    <col min="3364" max="3364" width="10.33203125" style="781" bestFit="1" customWidth="1"/>
    <col min="3365" max="3606" width="9.109375" style="781" bestFit="1" customWidth="1"/>
    <col min="3607" max="3607" width="2.6640625" style="781" customWidth="1"/>
    <col min="3608" max="3608" width="5" style="781" customWidth="1"/>
    <col min="3609" max="3609" width="11.6640625" style="781" customWidth="1"/>
    <col min="3610" max="3610" width="17" style="781" customWidth="1"/>
    <col min="3611" max="3611" width="6.6640625" style="781" customWidth="1"/>
    <col min="3612" max="3612" width="18.33203125" style="781" customWidth="1"/>
    <col min="3613" max="3613" width="10" style="781" customWidth="1"/>
    <col min="3614" max="3614" width="9" style="781" bestFit="1" customWidth="1"/>
    <col min="3615" max="3615" width="6.5546875" style="781" customWidth="1"/>
    <col min="3616" max="3616" width="15.44140625" style="781" customWidth="1"/>
    <col min="3617" max="3617" width="36.6640625" style="781" customWidth="1"/>
    <col min="3618" max="3618" width="0" style="781" hidden="1" customWidth="1"/>
    <col min="3619" max="3619" width="9.109375" style="781" bestFit="1" customWidth="1"/>
    <col min="3620" max="3620" width="10.33203125" style="781" bestFit="1" customWidth="1"/>
    <col min="3621" max="3862" width="9.109375" style="781" bestFit="1" customWidth="1"/>
    <col min="3863" max="3863" width="2.6640625" style="781" customWidth="1"/>
    <col min="3864" max="3864" width="5" style="781" customWidth="1"/>
    <col min="3865" max="3865" width="11.6640625" style="781" customWidth="1"/>
    <col min="3866" max="3866" width="17" style="781" customWidth="1"/>
    <col min="3867" max="3867" width="6.6640625" style="781" customWidth="1"/>
    <col min="3868" max="3868" width="18.33203125" style="781" customWidth="1"/>
    <col min="3869" max="3869" width="10" style="781" customWidth="1"/>
    <col min="3870" max="3870" width="9" style="781" bestFit="1" customWidth="1"/>
    <col min="3871" max="3871" width="6.5546875" style="781" customWidth="1"/>
    <col min="3872" max="3872" width="15.44140625" style="781" customWidth="1"/>
    <col min="3873" max="3873" width="36.6640625" style="781" customWidth="1"/>
    <col min="3874" max="3874" width="0" style="781" hidden="1" customWidth="1"/>
    <col min="3875" max="3875" width="9.109375" style="781" bestFit="1" customWidth="1"/>
    <col min="3876" max="3876" width="10.33203125" style="781" bestFit="1" customWidth="1"/>
    <col min="3877" max="4118" width="9.109375" style="781" bestFit="1" customWidth="1"/>
    <col min="4119" max="4119" width="2.6640625" style="781" customWidth="1"/>
    <col min="4120" max="4120" width="5" style="781" customWidth="1"/>
    <col min="4121" max="4121" width="11.6640625" style="781" customWidth="1"/>
    <col min="4122" max="4122" width="17" style="781" customWidth="1"/>
    <col min="4123" max="4123" width="6.6640625" style="781" customWidth="1"/>
    <col min="4124" max="4124" width="18.33203125" style="781" customWidth="1"/>
    <col min="4125" max="4125" width="10" style="781" customWidth="1"/>
    <col min="4126" max="4126" width="9" style="781" bestFit="1" customWidth="1"/>
    <col min="4127" max="4127" width="6.5546875" style="781" customWidth="1"/>
    <col min="4128" max="4128" width="15.44140625" style="781" customWidth="1"/>
    <col min="4129" max="4129" width="36.6640625" style="781" customWidth="1"/>
    <col min="4130" max="4130" width="0" style="781" hidden="1" customWidth="1"/>
    <col min="4131" max="4131" width="9.109375" style="781" bestFit="1" customWidth="1"/>
    <col min="4132" max="4132" width="10.33203125" style="781" bestFit="1" customWidth="1"/>
    <col min="4133" max="4374" width="9.109375" style="781" bestFit="1" customWidth="1"/>
    <col min="4375" max="4375" width="2.6640625" style="781" customWidth="1"/>
    <col min="4376" max="4376" width="5" style="781" customWidth="1"/>
    <col min="4377" max="4377" width="11.6640625" style="781" customWidth="1"/>
    <col min="4378" max="4378" width="17" style="781" customWidth="1"/>
    <col min="4379" max="4379" width="6.6640625" style="781" customWidth="1"/>
    <col min="4380" max="4380" width="18.33203125" style="781" customWidth="1"/>
    <col min="4381" max="4381" width="10" style="781" customWidth="1"/>
    <col min="4382" max="4382" width="9" style="781" bestFit="1" customWidth="1"/>
    <col min="4383" max="4383" width="6.5546875" style="781" customWidth="1"/>
    <col min="4384" max="4384" width="15.44140625" style="781" customWidth="1"/>
    <col min="4385" max="4385" width="36.6640625" style="781" customWidth="1"/>
    <col min="4386" max="4386" width="0" style="781" hidden="1" customWidth="1"/>
    <col min="4387" max="4387" width="9.109375" style="781" bestFit="1" customWidth="1"/>
    <col min="4388" max="4388" width="10.33203125" style="781" bestFit="1" customWidth="1"/>
    <col min="4389" max="4630" width="9.109375" style="781" bestFit="1" customWidth="1"/>
    <col min="4631" max="4631" width="2.6640625" style="781" customWidth="1"/>
    <col min="4632" max="4632" width="5" style="781" customWidth="1"/>
    <col min="4633" max="4633" width="11.6640625" style="781" customWidth="1"/>
    <col min="4634" max="4634" width="17" style="781" customWidth="1"/>
    <col min="4635" max="4635" width="6.6640625" style="781" customWidth="1"/>
    <col min="4636" max="4636" width="18.33203125" style="781" customWidth="1"/>
    <col min="4637" max="4637" width="10" style="781" customWidth="1"/>
    <col min="4638" max="4638" width="9" style="781" bestFit="1" customWidth="1"/>
    <col min="4639" max="4639" width="6.5546875" style="781" customWidth="1"/>
    <col min="4640" max="4640" width="15.44140625" style="781" customWidth="1"/>
    <col min="4641" max="4641" width="36.6640625" style="781" customWidth="1"/>
    <col min="4642" max="4642" width="0" style="781" hidden="1" customWidth="1"/>
    <col min="4643" max="4643" width="9.109375" style="781" bestFit="1" customWidth="1"/>
    <col min="4644" max="4644" width="10.33203125" style="781" bestFit="1" customWidth="1"/>
    <col min="4645" max="4886" width="9.109375" style="781" bestFit="1" customWidth="1"/>
    <col min="4887" max="4887" width="2.6640625" style="781" customWidth="1"/>
    <col min="4888" max="4888" width="5" style="781" customWidth="1"/>
    <col min="4889" max="4889" width="11.6640625" style="781" customWidth="1"/>
    <col min="4890" max="4890" width="17" style="781" customWidth="1"/>
    <col min="4891" max="4891" width="6.6640625" style="781" customWidth="1"/>
    <col min="4892" max="4892" width="18.33203125" style="781" customWidth="1"/>
    <col min="4893" max="4893" width="10" style="781" customWidth="1"/>
    <col min="4894" max="4894" width="9" style="781" bestFit="1" customWidth="1"/>
    <col min="4895" max="4895" width="6.5546875" style="781" customWidth="1"/>
    <col min="4896" max="4896" width="15.44140625" style="781" customWidth="1"/>
    <col min="4897" max="4897" width="36.6640625" style="781" customWidth="1"/>
    <col min="4898" max="4898" width="0" style="781" hidden="1" customWidth="1"/>
    <col min="4899" max="4899" width="9.109375" style="781" bestFit="1" customWidth="1"/>
    <col min="4900" max="4900" width="10.33203125" style="781" bestFit="1" customWidth="1"/>
    <col min="4901" max="5142" width="9.109375" style="781" bestFit="1" customWidth="1"/>
    <col min="5143" max="5143" width="2.6640625" style="781" customWidth="1"/>
    <col min="5144" max="5144" width="5" style="781" customWidth="1"/>
    <col min="5145" max="5145" width="11.6640625" style="781" customWidth="1"/>
    <col min="5146" max="5146" width="17" style="781" customWidth="1"/>
    <col min="5147" max="5147" width="6.6640625" style="781" customWidth="1"/>
    <col min="5148" max="5148" width="18.33203125" style="781" customWidth="1"/>
    <col min="5149" max="5149" width="10" style="781" customWidth="1"/>
    <col min="5150" max="5150" width="9" style="781" bestFit="1" customWidth="1"/>
    <col min="5151" max="5151" width="6.5546875" style="781" customWidth="1"/>
    <col min="5152" max="5152" width="15.44140625" style="781" customWidth="1"/>
    <col min="5153" max="5153" width="36.6640625" style="781" customWidth="1"/>
    <col min="5154" max="5154" width="0" style="781" hidden="1" customWidth="1"/>
    <col min="5155" max="5155" width="9.109375" style="781" bestFit="1" customWidth="1"/>
    <col min="5156" max="5156" width="10.33203125" style="781" bestFit="1" customWidth="1"/>
    <col min="5157" max="5398" width="9.109375" style="781" bestFit="1" customWidth="1"/>
    <col min="5399" max="5399" width="2.6640625" style="781" customWidth="1"/>
    <col min="5400" max="5400" width="5" style="781" customWidth="1"/>
    <col min="5401" max="5401" width="11.6640625" style="781" customWidth="1"/>
    <col min="5402" max="5402" width="17" style="781" customWidth="1"/>
    <col min="5403" max="5403" width="6.6640625" style="781" customWidth="1"/>
    <col min="5404" max="5404" width="18.33203125" style="781" customWidth="1"/>
    <col min="5405" max="5405" width="10" style="781" customWidth="1"/>
    <col min="5406" max="5406" width="9" style="781" bestFit="1" customWidth="1"/>
    <col min="5407" max="5407" width="6.5546875" style="781" customWidth="1"/>
    <col min="5408" max="5408" width="15.44140625" style="781" customWidth="1"/>
    <col min="5409" max="5409" width="36.6640625" style="781" customWidth="1"/>
    <col min="5410" max="5410" width="0" style="781" hidden="1" customWidth="1"/>
    <col min="5411" max="5411" width="9.109375" style="781" bestFit="1" customWidth="1"/>
    <col min="5412" max="5412" width="10.33203125" style="781" bestFit="1" customWidth="1"/>
    <col min="5413" max="5654" width="9.109375" style="781" bestFit="1" customWidth="1"/>
    <col min="5655" max="5655" width="2.6640625" style="781" customWidth="1"/>
    <col min="5656" max="5656" width="5" style="781" customWidth="1"/>
    <col min="5657" max="5657" width="11.6640625" style="781" customWidth="1"/>
    <col min="5658" max="5658" width="17" style="781" customWidth="1"/>
    <col min="5659" max="5659" width="6.6640625" style="781" customWidth="1"/>
    <col min="5660" max="5660" width="18.33203125" style="781" customWidth="1"/>
    <col min="5661" max="5661" width="10" style="781" customWidth="1"/>
    <col min="5662" max="5662" width="9" style="781" bestFit="1" customWidth="1"/>
    <col min="5663" max="5663" width="6.5546875" style="781" customWidth="1"/>
    <col min="5664" max="5664" width="15.44140625" style="781" customWidth="1"/>
    <col min="5665" max="5665" width="36.6640625" style="781" customWidth="1"/>
    <col min="5666" max="5666" width="0" style="781" hidden="1" customWidth="1"/>
    <col min="5667" max="5667" width="9.109375" style="781" bestFit="1" customWidth="1"/>
    <col min="5668" max="5668" width="10.33203125" style="781" bestFit="1" customWidth="1"/>
    <col min="5669" max="5910" width="9.109375" style="781" bestFit="1" customWidth="1"/>
    <col min="5911" max="5911" width="2.6640625" style="781" customWidth="1"/>
    <col min="5912" max="5912" width="5" style="781" customWidth="1"/>
    <col min="5913" max="5913" width="11.6640625" style="781" customWidth="1"/>
    <col min="5914" max="5914" width="17" style="781" customWidth="1"/>
    <col min="5915" max="5915" width="6.6640625" style="781" customWidth="1"/>
    <col min="5916" max="5916" width="18.33203125" style="781" customWidth="1"/>
    <col min="5917" max="5917" width="10" style="781" customWidth="1"/>
    <col min="5918" max="5918" width="9" style="781" bestFit="1" customWidth="1"/>
    <col min="5919" max="5919" width="6.5546875" style="781" customWidth="1"/>
    <col min="5920" max="5920" width="15.44140625" style="781" customWidth="1"/>
    <col min="5921" max="5921" width="36.6640625" style="781" customWidth="1"/>
    <col min="5922" max="5922" width="0" style="781" hidden="1" customWidth="1"/>
    <col min="5923" max="5923" width="9.109375" style="781" bestFit="1" customWidth="1"/>
    <col min="5924" max="5924" width="10.33203125" style="781" bestFit="1" customWidth="1"/>
    <col min="5925" max="6166" width="9.109375" style="781" bestFit="1" customWidth="1"/>
    <col min="6167" max="6167" width="2.6640625" style="781" customWidth="1"/>
    <col min="6168" max="6168" width="5" style="781" customWidth="1"/>
    <col min="6169" max="6169" width="11.6640625" style="781" customWidth="1"/>
    <col min="6170" max="6170" width="17" style="781" customWidth="1"/>
    <col min="6171" max="6171" width="6.6640625" style="781" customWidth="1"/>
    <col min="6172" max="6172" width="18.33203125" style="781" customWidth="1"/>
    <col min="6173" max="6173" width="10" style="781" customWidth="1"/>
    <col min="6174" max="6174" width="9" style="781" bestFit="1" customWidth="1"/>
    <col min="6175" max="6175" width="6.5546875" style="781" customWidth="1"/>
    <col min="6176" max="6176" width="15.44140625" style="781" customWidth="1"/>
    <col min="6177" max="6177" width="36.6640625" style="781" customWidth="1"/>
    <col min="6178" max="6178" width="0" style="781" hidden="1" customWidth="1"/>
    <col min="6179" max="6179" width="9.109375" style="781" bestFit="1" customWidth="1"/>
    <col min="6180" max="6180" width="10.33203125" style="781" bestFit="1" customWidth="1"/>
    <col min="6181" max="6422" width="9.109375" style="781" bestFit="1" customWidth="1"/>
    <col min="6423" max="6423" width="2.6640625" style="781" customWidth="1"/>
    <col min="6424" max="6424" width="5" style="781" customWidth="1"/>
    <col min="6425" max="6425" width="11.6640625" style="781" customWidth="1"/>
    <col min="6426" max="6426" width="17" style="781" customWidth="1"/>
    <col min="6427" max="6427" width="6.6640625" style="781" customWidth="1"/>
    <col min="6428" max="6428" width="18.33203125" style="781" customWidth="1"/>
    <col min="6429" max="6429" width="10" style="781" customWidth="1"/>
    <col min="6430" max="6430" width="9" style="781" bestFit="1" customWidth="1"/>
    <col min="6431" max="6431" width="6.5546875" style="781" customWidth="1"/>
    <col min="6432" max="6432" width="15.44140625" style="781" customWidth="1"/>
    <col min="6433" max="6433" width="36.6640625" style="781" customWidth="1"/>
    <col min="6434" max="6434" width="0" style="781" hidden="1" customWidth="1"/>
    <col min="6435" max="6435" width="9.109375" style="781" bestFit="1" customWidth="1"/>
    <col min="6436" max="6436" width="10.33203125" style="781" bestFit="1" customWidth="1"/>
    <col min="6437" max="6678" width="9.109375" style="781" bestFit="1" customWidth="1"/>
    <col min="6679" max="6679" width="2.6640625" style="781" customWidth="1"/>
    <col min="6680" max="6680" width="5" style="781" customWidth="1"/>
    <col min="6681" max="6681" width="11.6640625" style="781" customWidth="1"/>
    <col min="6682" max="6682" width="17" style="781" customWidth="1"/>
    <col min="6683" max="6683" width="6.6640625" style="781" customWidth="1"/>
    <col min="6684" max="6684" width="18.33203125" style="781" customWidth="1"/>
    <col min="6685" max="6685" width="10" style="781" customWidth="1"/>
    <col min="6686" max="6686" width="9" style="781" bestFit="1" customWidth="1"/>
    <col min="6687" max="6687" width="6.5546875" style="781" customWidth="1"/>
    <col min="6688" max="6688" width="15.44140625" style="781" customWidth="1"/>
    <col min="6689" max="6689" width="36.6640625" style="781" customWidth="1"/>
    <col min="6690" max="6690" width="0" style="781" hidden="1" customWidth="1"/>
    <col min="6691" max="6691" width="9.109375" style="781" bestFit="1" customWidth="1"/>
    <col min="6692" max="6692" width="10.33203125" style="781" bestFit="1" customWidth="1"/>
    <col min="6693" max="6934" width="9.109375" style="781" bestFit="1" customWidth="1"/>
    <col min="6935" max="6935" width="2.6640625" style="781" customWidth="1"/>
    <col min="6936" max="6936" width="5" style="781" customWidth="1"/>
    <col min="6937" max="6937" width="11.6640625" style="781" customWidth="1"/>
    <col min="6938" max="6938" width="17" style="781" customWidth="1"/>
    <col min="6939" max="6939" width="6.6640625" style="781" customWidth="1"/>
    <col min="6940" max="6940" width="18.33203125" style="781" customWidth="1"/>
    <col min="6941" max="6941" width="10" style="781" customWidth="1"/>
    <col min="6942" max="6942" width="9" style="781" bestFit="1" customWidth="1"/>
    <col min="6943" max="6943" width="6.5546875" style="781" customWidth="1"/>
    <col min="6944" max="6944" width="15.44140625" style="781" customWidth="1"/>
    <col min="6945" max="6945" width="36.6640625" style="781" customWidth="1"/>
    <col min="6946" max="6946" width="0" style="781" hidden="1" customWidth="1"/>
    <col min="6947" max="6947" width="9.109375" style="781" bestFit="1" customWidth="1"/>
    <col min="6948" max="6948" width="10.33203125" style="781" bestFit="1" customWidth="1"/>
    <col min="6949" max="7190" width="9.109375" style="781" bestFit="1" customWidth="1"/>
    <col min="7191" max="7191" width="2.6640625" style="781" customWidth="1"/>
    <col min="7192" max="7192" width="5" style="781" customWidth="1"/>
    <col min="7193" max="7193" width="11.6640625" style="781" customWidth="1"/>
    <col min="7194" max="7194" width="17" style="781" customWidth="1"/>
    <col min="7195" max="7195" width="6.6640625" style="781" customWidth="1"/>
    <col min="7196" max="7196" width="18.33203125" style="781" customWidth="1"/>
    <col min="7197" max="7197" width="10" style="781" customWidth="1"/>
    <col min="7198" max="7198" width="9" style="781" bestFit="1" customWidth="1"/>
    <col min="7199" max="7199" width="6.5546875" style="781" customWidth="1"/>
    <col min="7200" max="7200" width="15.44140625" style="781" customWidth="1"/>
    <col min="7201" max="7201" width="36.6640625" style="781" customWidth="1"/>
    <col min="7202" max="7202" width="0" style="781" hidden="1" customWidth="1"/>
    <col min="7203" max="7203" width="9.109375" style="781" bestFit="1" customWidth="1"/>
    <col min="7204" max="7204" width="10.33203125" style="781" bestFit="1" customWidth="1"/>
    <col min="7205" max="7446" width="9.109375" style="781" bestFit="1" customWidth="1"/>
    <col min="7447" max="7447" width="2.6640625" style="781" customWidth="1"/>
    <col min="7448" max="7448" width="5" style="781" customWidth="1"/>
    <col min="7449" max="7449" width="11.6640625" style="781" customWidth="1"/>
    <col min="7450" max="7450" width="17" style="781" customWidth="1"/>
    <col min="7451" max="7451" width="6.6640625" style="781" customWidth="1"/>
    <col min="7452" max="7452" width="18.33203125" style="781" customWidth="1"/>
    <col min="7453" max="7453" width="10" style="781" customWidth="1"/>
    <col min="7454" max="7454" width="9" style="781" bestFit="1" customWidth="1"/>
    <col min="7455" max="7455" width="6.5546875" style="781" customWidth="1"/>
    <col min="7456" max="7456" width="15.44140625" style="781" customWidth="1"/>
    <col min="7457" max="7457" width="36.6640625" style="781" customWidth="1"/>
    <col min="7458" max="7458" width="0" style="781" hidden="1" customWidth="1"/>
    <col min="7459" max="7459" width="9.109375" style="781" bestFit="1" customWidth="1"/>
    <col min="7460" max="7460" width="10.33203125" style="781" bestFit="1" customWidth="1"/>
    <col min="7461" max="7702" width="9.109375" style="781" bestFit="1" customWidth="1"/>
    <col min="7703" max="7703" width="2.6640625" style="781" customWidth="1"/>
    <col min="7704" max="7704" width="5" style="781" customWidth="1"/>
    <col min="7705" max="7705" width="11.6640625" style="781" customWidth="1"/>
    <col min="7706" max="7706" width="17" style="781" customWidth="1"/>
    <col min="7707" max="7707" width="6.6640625" style="781" customWidth="1"/>
    <col min="7708" max="7708" width="18.33203125" style="781" customWidth="1"/>
    <col min="7709" max="7709" width="10" style="781" customWidth="1"/>
    <col min="7710" max="7710" width="9" style="781" bestFit="1" customWidth="1"/>
    <col min="7711" max="7711" width="6.5546875" style="781" customWidth="1"/>
    <col min="7712" max="7712" width="15.44140625" style="781" customWidth="1"/>
    <col min="7713" max="7713" width="36.6640625" style="781" customWidth="1"/>
    <col min="7714" max="7714" width="0" style="781" hidden="1" customWidth="1"/>
    <col min="7715" max="7715" width="9.109375" style="781" bestFit="1" customWidth="1"/>
    <col min="7716" max="7716" width="10.33203125" style="781" bestFit="1" customWidth="1"/>
    <col min="7717" max="7958" width="9.109375" style="781" bestFit="1" customWidth="1"/>
    <col min="7959" max="7959" width="2.6640625" style="781" customWidth="1"/>
    <col min="7960" max="7960" width="5" style="781" customWidth="1"/>
    <col min="7961" max="7961" width="11.6640625" style="781" customWidth="1"/>
    <col min="7962" max="7962" width="17" style="781" customWidth="1"/>
    <col min="7963" max="7963" width="6.6640625" style="781" customWidth="1"/>
    <col min="7964" max="7964" width="18.33203125" style="781" customWidth="1"/>
    <col min="7965" max="7965" width="10" style="781" customWidth="1"/>
    <col min="7966" max="7966" width="9" style="781" bestFit="1" customWidth="1"/>
    <col min="7967" max="7967" width="6.5546875" style="781" customWidth="1"/>
    <col min="7968" max="7968" width="15.44140625" style="781" customWidth="1"/>
    <col min="7969" max="7969" width="36.6640625" style="781" customWidth="1"/>
    <col min="7970" max="7970" width="0" style="781" hidden="1" customWidth="1"/>
    <col min="7971" max="7971" width="9.109375" style="781" bestFit="1" customWidth="1"/>
    <col min="7972" max="7972" width="10.33203125" style="781" bestFit="1" customWidth="1"/>
    <col min="7973" max="8214" width="9.109375" style="781" bestFit="1" customWidth="1"/>
    <col min="8215" max="8215" width="2.6640625" style="781" customWidth="1"/>
    <col min="8216" max="8216" width="5" style="781" customWidth="1"/>
    <col min="8217" max="8217" width="11.6640625" style="781" customWidth="1"/>
    <col min="8218" max="8218" width="17" style="781" customWidth="1"/>
    <col min="8219" max="8219" width="6.6640625" style="781" customWidth="1"/>
    <col min="8220" max="8220" width="18.33203125" style="781" customWidth="1"/>
    <col min="8221" max="8221" width="10" style="781" customWidth="1"/>
    <col min="8222" max="8222" width="9" style="781" bestFit="1" customWidth="1"/>
    <col min="8223" max="8223" width="6.5546875" style="781" customWidth="1"/>
    <col min="8224" max="8224" width="15.44140625" style="781" customWidth="1"/>
    <col min="8225" max="8225" width="36.6640625" style="781" customWidth="1"/>
    <col min="8226" max="8226" width="0" style="781" hidden="1" customWidth="1"/>
    <col min="8227" max="8227" width="9.109375" style="781" bestFit="1" customWidth="1"/>
    <col min="8228" max="8228" width="10.33203125" style="781" bestFit="1" customWidth="1"/>
    <col min="8229" max="8470" width="9.109375" style="781" bestFit="1" customWidth="1"/>
    <col min="8471" max="8471" width="2.6640625" style="781" customWidth="1"/>
    <col min="8472" max="8472" width="5" style="781" customWidth="1"/>
    <col min="8473" max="8473" width="11.6640625" style="781" customWidth="1"/>
    <col min="8474" max="8474" width="17" style="781" customWidth="1"/>
    <col min="8475" max="8475" width="6.6640625" style="781" customWidth="1"/>
    <col min="8476" max="8476" width="18.33203125" style="781" customWidth="1"/>
    <col min="8477" max="8477" width="10" style="781" customWidth="1"/>
    <col min="8478" max="8478" width="9" style="781" bestFit="1" customWidth="1"/>
    <col min="8479" max="8479" width="6.5546875" style="781" customWidth="1"/>
    <col min="8480" max="8480" width="15.44140625" style="781" customWidth="1"/>
    <col min="8481" max="8481" width="36.6640625" style="781" customWidth="1"/>
    <col min="8482" max="8482" width="0" style="781" hidden="1" customWidth="1"/>
    <col min="8483" max="8483" width="9.109375" style="781" bestFit="1" customWidth="1"/>
    <col min="8484" max="8484" width="10.33203125" style="781" bestFit="1" customWidth="1"/>
    <col min="8485" max="8726" width="9.109375" style="781" bestFit="1" customWidth="1"/>
    <col min="8727" max="8727" width="2.6640625" style="781" customWidth="1"/>
    <col min="8728" max="8728" width="5" style="781" customWidth="1"/>
    <col min="8729" max="8729" width="11.6640625" style="781" customWidth="1"/>
    <col min="8730" max="8730" width="17" style="781" customWidth="1"/>
    <col min="8731" max="8731" width="6.6640625" style="781" customWidth="1"/>
    <col min="8732" max="8732" width="18.33203125" style="781" customWidth="1"/>
    <col min="8733" max="8733" width="10" style="781" customWidth="1"/>
    <col min="8734" max="8734" width="9" style="781" bestFit="1" customWidth="1"/>
    <col min="8735" max="8735" width="6.5546875" style="781" customWidth="1"/>
    <col min="8736" max="8736" width="15.44140625" style="781" customWidth="1"/>
    <col min="8737" max="8737" width="36.6640625" style="781" customWidth="1"/>
    <col min="8738" max="8738" width="0" style="781" hidden="1" customWidth="1"/>
    <col min="8739" max="8739" width="9.109375" style="781" bestFit="1" customWidth="1"/>
    <col min="8740" max="8740" width="10.33203125" style="781" bestFit="1" customWidth="1"/>
    <col min="8741" max="8982" width="9.109375" style="781" bestFit="1" customWidth="1"/>
    <col min="8983" max="8983" width="2.6640625" style="781" customWidth="1"/>
    <col min="8984" max="8984" width="5" style="781" customWidth="1"/>
    <col min="8985" max="8985" width="11.6640625" style="781" customWidth="1"/>
    <col min="8986" max="8986" width="17" style="781" customWidth="1"/>
    <col min="8987" max="8987" width="6.6640625" style="781" customWidth="1"/>
    <col min="8988" max="8988" width="18.33203125" style="781" customWidth="1"/>
    <col min="8989" max="8989" width="10" style="781" customWidth="1"/>
    <col min="8990" max="8990" width="9" style="781" bestFit="1" customWidth="1"/>
    <col min="8991" max="8991" width="6.5546875" style="781" customWidth="1"/>
    <col min="8992" max="8992" width="15.44140625" style="781" customWidth="1"/>
    <col min="8993" max="8993" width="36.6640625" style="781" customWidth="1"/>
    <col min="8994" max="8994" width="0" style="781" hidden="1" customWidth="1"/>
    <col min="8995" max="8995" width="9.109375" style="781" bestFit="1" customWidth="1"/>
    <col min="8996" max="8996" width="10.33203125" style="781" bestFit="1" customWidth="1"/>
    <col min="8997" max="9238" width="9.109375" style="781" bestFit="1" customWidth="1"/>
    <col min="9239" max="9239" width="2.6640625" style="781" customWidth="1"/>
    <col min="9240" max="9240" width="5" style="781" customWidth="1"/>
    <col min="9241" max="9241" width="11.6640625" style="781" customWidth="1"/>
    <col min="9242" max="9242" width="17" style="781" customWidth="1"/>
    <col min="9243" max="9243" width="6.6640625" style="781" customWidth="1"/>
    <col min="9244" max="9244" width="18.33203125" style="781" customWidth="1"/>
    <col min="9245" max="9245" width="10" style="781" customWidth="1"/>
    <col min="9246" max="9246" width="9" style="781" bestFit="1" customWidth="1"/>
    <col min="9247" max="9247" width="6.5546875" style="781" customWidth="1"/>
    <col min="9248" max="9248" width="15.44140625" style="781" customWidth="1"/>
    <col min="9249" max="9249" width="36.6640625" style="781" customWidth="1"/>
    <col min="9250" max="9250" width="0" style="781" hidden="1" customWidth="1"/>
    <col min="9251" max="9251" width="9.109375" style="781" bestFit="1" customWidth="1"/>
    <col min="9252" max="9252" width="10.33203125" style="781" bestFit="1" customWidth="1"/>
    <col min="9253" max="9494" width="9.109375" style="781" bestFit="1" customWidth="1"/>
    <col min="9495" max="9495" width="2.6640625" style="781" customWidth="1"/>
    <col min="9496" max="9496" width="5" style="781" customWidth="1"/>
    <col min="9497" max="9497" width="11.6640625" style="781" customWidth="1"/>
    <col min="9498" max="9498" width="17" style="781" customWidth="1"/>
    <col min="9499" max="9499" width="6.6640625" style="781" customWidth="1"/>
    <col min="9500" max="9500" width="18.33203125" style="781" customWidth="1"/>
    <col min="9501" max="9501" width="10" style="781" customWidth="1"/>
    <col min="9502" max="9502" width="9" style="781" bestFit="1" customWidth="1"/>
    <col min="9503" max="9503" width="6.5546875" style="781" customWidth="1"/>
    <col min="9504" max="9504" width="15.44140625" style="781" customWidth="1"/>
    <col min="9505" max="9505" width="36.6640625" style="781" customWidth="1"/>
    <col min="9506" max="9506" width="0" style="781" hidden="1" customWidth="1"/>
    <col min="9507" max="9507" width="9.109375" style="781" bestFit="1" customWidth="1"/>
    <col min="9508" max="9508" width="10.33203125" style="781" bestFit="1" customWidth="1"/>
    <col min="9509" max="9750" width="9.109375" style="781" bestFit="1" customWidth="1"/>
    <col min="9751" max="9751" width="2.6640625" style="781" customWidth="1"/>
    <col min="9752" max="9752" width="5" style="781" customWidth="1"/>
    <col min="9753" max="9753" width="11.6640625" style="781" customWidth="1"/>
    <col min="9754" max="9754" width="17" style="781" customWidth="1"/>
    <col min="9755" max="9755" width="6.6640625" style="781" customWidth="1"/>
    <col min="9756" max="9756" width="18.33203125" style="781" customWidth="1"/>
    <col min="9757" max="9757" width="10" style="781" customWidth="1"/>
    <col min="9758" max="9758" width="9" style="781" bestFit="1" customWidth="1"/>
    <col min="9759" max="9759" width="6.5546875" style="781" customWidth="1"/>
    <col min="9760" max="9760" width="15.44140625" style="781" customWidth="1"/>
    <col min="9761" max="9761" width="36.6640625" style="781" customWidth="1"/>
    <col min="9762" max="9762" width="0" style="781" hidden="1" customWidth="1"/>
    <col min="9763" max="9763" width="9.109375" style="781" bestFit="1" customWidth="1"/>
    <col min="9764" max="9764" width="10.33203125" style="781" bestFit="1" customWidth="1"/>
    <col min="9765" max="10006" width="9.109375" style="781" bestFit="1" customWidth="1"/>
    <col min="10007" max="10007" width="2.6640625" style="781" customWidth="1"/>
    <col min="10008" max="10008" width="5" style="781" customWidth="1"/>
    <col min="10009" max="10009" width="11.6640625" style="781" customWidth="1"/>
    <col min="10010" max="10010" width="17" style="781" customWidth="1"/>
    <col min="10011" max="10011" width="6.6640625" style="781" customWidth="1"/>
    <col min="10012" max="10012" width="18.33203125" style="781" customWidth="1"/>
    <col min="10013" max="10013" width="10" style="781" customWidth="1"/>
    <col min="10014" max="10014" width="9" style="781" bestFit="1" customWidth="1"/>
    <col min="10015" max="10015" width="6.5546875" style="781" customWidth="1"/>
    <col min="10016" max="10016" width="15.44140625" style="781" customWidth="1"/>
    <col min="10017" max="10017" width="36.6640625" style="781" customWidth="1"/>
    <col min="10018" max="10018" width="0" style="781" hidden="1" customWidth="1"/>
    <col min="10019" max="10019" width="9.109375" style="781" bestFit="1" customWidth="1"/>
    <col min="10020" max="10020" width="10.33203125" style="781" bestFit="1" customWidth="1"/>
    <col min="10021" max="10262" width="9.109375" style="781" bestFit="1" customWidth="1"/>
    <col min="10263" max="10263" width="2.6640625" style="781" customWidth="1"/>
    <col min="10264" max="10264" width="5" style="781" customWidth="1"/>
    <col min="10265" max="10265" width="11.6640625" style="781" customWidth="1"/>
    <col min="10266" max="10266" width="17" style="781" customWidth="1"/>
    <col min="10267" max="10267" width="6.6640625" style="781" customWidth="1"/>
    <col min="10268" max="10268" width="18.33203125" style="781" customWidth="1"/>
    <col min="10269" max="10269" width="10" style="781" customWidth="1"/>
    <col min="10270" max="10270" width="9" style="781" bestFit="1" customWidth="1"/>
    <col min="10271" max="10271" width="6.5546875" style="781" customWidth="1"/>
    <col min="10272" max="10272" width="15.44140625" style="781" customWidth="1"/>
    <col min="10273" max="10273" width="36.6640625" style="781" customWidth="1"/>
    <col min="10274" max="10274" width="0" style="781" hidden="1" customWidth="1"/>
    <col min="10275" max="10275" width="9.109375" style="781" bestFit="1" customWidth="1"/>
    <col min="10276" max="10276" width="10.33203125" style="781" bestFit="1" customWidth="1"/>
    <col min="10277" max="10518" width="9.109375" style="781" bestFit="1" customWidth="1"/>
    <col min="10519" max="10519" width="2.6640625" style="781" customWidth="1"/>
    <col min="10520" max="10520" width="5" style="781" customWidth="1"/>
    <col min="10521" max="10521" width="11.6640625" style="781" customWidth="1"/>
    <col min="10522" max="10522" width="17" style="781" customWidth="1"/>
    <col min="10523" max="10523" width="6.6640625" style="781" customWidth="1"/>
    <col min="10524" max="10524" width="18.33203125" style="781" customWidth="1"/>
    <col min="10525" max="10525" width="10" style="781" customWidth="1"/>
    <col min="10526" max="10526" width="9" style="781" bestFit="1" customWidth="1"/>
    <col min="10527" max="10527" width="6.5546875" style="781" customWidth="1"/>
    <col min="10528" max="10528" width="15.44140625" style="781" customWidth="1"/>
    <col min="10529" max="10529" width="36.6640625" style="781" customWidth="1"/>
    <col min="10530" max="10530" width="0" style="781" hidden="1" customWidth="1"/>
    <col min="10531" max="10531" width="9.109375" style="781" bestFit="1" customWidth="1"/>
    <col min="10532" max="10532" width="10.33203125" style="781" bestFit="1" customWidth="1"/>
    <col min="10533" max="10774" width="9.109375" style="781" bestFit="1" customWidth="1"/>
    <col min="10775" max="10775" width="2.6640625" style="781" customWidth="1"/>
    <col min="10776" max="10776" width="5" style="781" customWidth="1"/>
    <col min="10777" max="10777" width="11.6640625" style="781" customWidth="1"/>
    <col min="10778" max="10778" width="17" style="781" customWidth="1"/>
    <col min="10779" max="10779" width="6.6640625" style="781" customWidth="1"/>
    <col min="10780" max="10780" width="18.33203125" style="781" customWidth="1"/>
    <col min="10781" max="10781" width="10" style="781" customWidth="1"/>
    <col min="10782" max="10782" width="9" style="781" bestFit="1" customWidth="1"/>
    <col min="10783" max="10783" width="6.5546875" style="781" customWidth="1"/>
    <col min="10784" max="10784" width="15.44140625" style="781" customWidth="1"/>
    <col min="10785" max="10785" width="36.6640625" style="781" customWidth="1"/>
    <col min="10786" max="10786" width="0" style="781" hidden="1" customWidth="1"/>
    <col min="10787" max="10787" width="9.109375" style="781" bestFit="1" customWidth="1"/>
    <col min="10788" max="10788" width="10.33203125" style="781" bestFit="1" customWidth="1"/>
    <col min="10789" max="11030" width="9.109375" style="781" bestFit="1" customWidth="1"/>
    <col min="11031" max="11031" width="2.6640625" style="781" customWidth="1"/>
    <col min="11032" max="11032" width="5" style="781" customWidth="1"/>
    <col min="11033" max="11033" width="11.6640625" style="781" customWidth="1"/>
    <col min="11034" max="11034" width="17" style="781" customWidth="1"/>
    <col min="11035" max="11035" width="6.6640625" style="781" customWidth="1"/>
    <col min="11036" max="11036" width="18.33203125" style="781" customWidth="1"/>
    <col min="11037" max="11037" width="10" style="781" customWidth="1"/>
    <col min="11038" max="11038" width="9" style="781" bestFit="1" customWidth="1"/>
    <col min="11039" max="11039" width="6.5546875" style="781" customWidth="1"/>
    <col min="11040" max="11040" width="15.44140625" style="781" customWidth="1"/>
    <col min="11041" max="11041" width="36.6640625" style="781" customWidth="1"/>
    <col min="11042" max="11042" width="0" style="781" hidden="1" customWidth="1"/>
    <col min="11043" max="11043" width="9.109375" style="781" bestFit="1" customWidth="1"/>
    <col min="11044" max="11044" width="10.33203125" style="781" bestFit="1" customWidth="1"/>
    <col min="11045" max="11286" width="9.109375" style="781" bestFit="1" customWidth="1"/>
    <col min="11287" max="11287" width="2.6640625" style="781" customWidth="1"/>
    <col min="11288" max="11288" width="5" style="781" customWidth="1"/>
    <col min="11289" max="11289" width="11.6640625" style="781" customWidth="1"/>
    <col min="11290" max="11290" width="17" style="781" customWidth="1"/>
    <col min="11291" max="11291" width="6.6640625" style="781" customWidth="1"/>
    <col min="11292" max="11292" width="18.33203125" style="781" customWidth="1"/>
    <col min="11293" max="11293" width="10" style="781" customWidth="1"/>
    <col min="11294" max="11294" width="9" style="781" bestFit="1" customWidth="1"/>
    <col min="11295" max="11295" width="6.5546875" style="781" customWidth="1"/>
    <col min="11296" max="11296" width="15.44140625" style="781" customWidth="1"/>
    <col min="11297" max="11297" width="36.6640625" style="781" customWidth="1"/>
    <col min="11298" max="11298" width="0" style="781" hidden="1" customWidth="1"/>
    <col min="11299" max="11299" width="9.109375" style="781" bestFit="1" customWidth="1"/>
    <col min="11300" max="11300" width="10.33203125" style="781" bestFit="1" customWidth="1"/>
    <col min="11301" max="11542" width="9.109375" style="781" bestFit="1" customWidth="1"/>
    <col min="11543" max="11543" width="2.6640625" style="781" customWidth="1"/>
    <col min="11544" max="11544" width="5" style="781" customWidth="1"/>
    <col min="11545" max="11545" width="11.6640625" style="781" customWidth="1"/>
    <col min="11546" max="11546" width="17" style="781" customWidth="1"/>
    <col min="11547" max="11547" width="6.6640625" style="781" customWidth="1"/>
    <col min="11548" max="11548" width="18.33203125" style="781" customWidth="1"/>
    <col min="11549" max="11549" width="10" style="781" customWidth="1"/>
    <col min="11550" max="11550" width="9" style="781" bestFit="1" customWidth="1"/>
    <col min="11551" max="11551" width="6.5546875" style="781" customWidth="1"/>
    <col min="11552" max="11552" width="15.44140625" style="781" customWidth="1"/>
    <col min="11553" max="11553" width="36.6640625" style="781" customWidth="1"/>
    <col min="11554" max="11554" width="0" style="781" hidden="1" customWidth="1"/>
    <col min="11555" max="11555" width="9.109375" style="781" bestFit="1" customWidth="1"/>
    <col min="11556" max="11556" width="10.33203125" style="781" bestFit="1" customWidth="1"/>
    <col min="11557" max="11798" width="9.109375" style="781" bestFit="1" customWidth="1"/>
    <col min="11799" max="11799" width="2.6640625" style="781" customWidth="1"/>
    <col min="11800" max="11800" width="5" style="781" customWidth="1"/>
    <col min="11801" max="11801" width="11.6640625" style="781" customWidth="1"/>
    <col min="11802" max="11802" width="17" style="781" customWidth="1"/>
    <col min="11803" max="11803" width="6.6640625" style="781" customWidth="1"/>
    <col min="11804" max="11804" width="18.33203125" style="781" customWidth="1"/>
    <col min="11805" max="11805" width="10" style="781" customWidth="1"/>
    <col min="11806" max="11806" width="9" style="781" bestFit="1" customWidth="1"/>
    <col min="11807" max="11807" width="6.5546875" style="781" customWidth="1"/>
    <col min="11808" max="11808" width="15.44140625" style="781" customWidth="1"/>
    <col min="11809" max="11809" width="36.6640625" style="781" customWidth="1"/>
    <col min="11810" max="11810" width="0" style="781" hidden="1" customWidth="1"/>
    <col min="11811" max="11811" width="9.109375" style="781" bestFit="1" customWidth="1"/>
    <col min="11812" max="11812" width="10.33203125" style="781" bestFit="1" customWidth="1"/>
    <col min="11813" max="12054" width="9.109375" style="781" bestFit="1" customWidth="1"/>
    <col min="12055" max="12055" width="2.6640625" style="781" customWidth="1"/>
    <col min="12056" max="12056" width="5" style="781" customWidth="1"/>
    <col min="12057" max="12057" width="11.6640625" style="781" customWidth="1"/>
    <col min="12058" max="12058" width="17" style="781" customWidth="1"/>
    <col min="12059" max="12059" width="6.6640625" style="781" customWidth="1"/>
    <col min="12060" max="12060" width="18.33203125" style="781" customWidth="1"/>
    <col min="12061" max="12061" width="10" style="781" customWidth="1"/>
    <col min="12062" max="12062" width="9" style="781" bestFit="1" customWidth="1"/>
    <col min="12063" max="12063" width="6.5546875" style="781" customWidth="1"/>
    <col min="12064" max="12064" width="15.44140625" style="781" customWidth="1"/>
    <col min="12065" max="12065" width="36.6640625" style="781" customWidth="1"/>
    <col min="12066" max="12066" width="0" style="781" hidden="1" customWidth="1"/>
    <col min="12067" max="12067" width="9.109375" style="781" bestFit="1" customWidth="1"/>
    <col min="12068" max="12068" width="10.33203125" style="781" bestFit="1" customWidth="1"/>
    <col min="12069" max="12310" width="9.109375" style="781" bestFit="1" customWidth="1"/>
    <col min="12311" max="12311" width="2.6640625" style="781" customWidth="1"/>
    <col min="12312" max="12312" width="5" style="781" customWidth="1"/>
    <col min="12313" max="12313" width="11.6640625" style="781" customWidth="1"/>
    <col min="12314" max="12314" width="17" style="781" customWidth="1"/>
    <col min="12315" max="12315" width="6.6640625" style="781" customWidth="1"/>
    <col min="12316" max="12316" width="18.33203125" style="781" customWidth="1"/>
    <col min="12317" max="12317" width="10" style="781" customWidth="1"/>
    <col min="12318" max="12318" width="9" style="781" bestFit="1" customWidth="1"/>
    <col min="12319" max="12319" width="6.5546875" style="781" customWidth="1"/>
    <col min="12320" max="12320" width="15.44140625" style="781" customWidth="1"/>
    <col min="12321" max="12321" width="36.6640625" style="781" customWidth="1"/>
    <col min="12322" max="12322" width="0" style="781" hidden="1" customWidth="1"/>
    <col min="12323" max="12323" width="9.109375" style="781" bestFit="1" customWidth="1"/>
    <col min="12324" max="12324" width="10.33203125" style="781" bestFit="1" customWidth="1"/>
    <col min="12325" max="12566" width="9.109375" style="781" bestFit="1" customWidth="1"/>
    <col min="12567" max="12567" width="2.6640625" style="781" customWidth="1"/>
    <col min="12568" max="12568" width="5" style="781" customWidth="1"/>
    <col min="12569" max="12569" width="11.6640625" style="781" customWidth="1"/>
    <col min="12570" max="12570" width="17" style="781" customWidth="1"/>
    <col min="12571" max="12571" width="6.6640625" style="781" customWidth="1"/>
    <col min="12572" max="12572" width="18.33203125" style="781" customWidth="1"/>
    <col min="12573" max="12573" width="10" style="781" customWidth="1"/>
    <col min="12574" max="12574" width="9" style="781" bestFit="1" customWidth="1"/>
    <col min="12575" max="12575" width="6.5546875" style="781" customWidth="1"/>
    <col min="12576" max="12576" width="15.44140625" style="781" customWidth="1"/>
    <col min="12577" max="12577" width="36.6640625" style="781" customWidth="1"/>
    <col min="12578" max="12578" width="0" style="781" hidden="1" customWidth="1"/>
    <col min="12579" max="12579" width="9.109375" style="781" bestFit="1" customWidth="1"/>
    <col min="12580" max="12580" width="10.33203125" style="781" bestFit="1" customWidth="1"/>
    <col min="12581" max="12822" width="9.109375" style="781" bestFit="1" customWidth="1"/>
    <col min="12823" max="12823" width="2.6640625" style="781" customWidth="1"/>
    <col min="12824" max="12824" width="5" style="781" customWidth="1"/>
    <col min="12825" max="12825" width="11.6640625" style="781" customWidth="1"/>
    <col min="12826" max="12826" width="17" style="781" customWidth="1"/>
    <col min="12827" max="12827" width="6.6640625" style="781" customWidth="1"/>
    <col min="12828" max="12828" width="18.33203125" style="781" customWidth="1"/>
    <col min="12829" max="12829" width="10" style="781" customWidth="1"/>
    <col min="12830" max="12830" width="9" style="781" bestFit="1" customWidth="1"/>
    <col min="12831" max="12831" width="6.5546875" style="781" customWidth="1"/>
    <col min="12832" max="12832" width="15.44140625" style="781" customWidth="1"/>
    <col min="12833" max="12833" width="36.6640625" style="781" customWidth="1"/>
    <col min="12834" max="12834" width="0" style="781" hidden="1" customWidth="1"/>
    <col min="12835" max="12835" width="9.109375" style="781" bestFit="1" customWidth="1"/>
    <col min="12836" max="12836" width="10.33203125" style="781" bestFit="1" customWidth="1"/>
    <col min="12837" max="13078" width="9.109375" style="781" bestFit="1" customWidth="1"/>
    <col min="13079" max="13079" width="2.6640625" style="781" customWidth="1"/>
    <col min="13080" max="13080" width="5" style="781" customWidth="1"/>
    <col min="13081" max="13081" width="11.6640625" style="781" customWidth="1"/>
    <col min="13082" max="13082" width="17" style="781" customWidth="1"/>
    <col min="13083" max="13083" width="6.6640625" style="781" customWidth="1"/>
    <col min="13084" max="13084" width="18.33203125" style="781" customWidth="1"/>
    <col min="13085" max="13085" width="10" style="781" customWidth="1"/>
    <col min="13086" max="13086" width="9" style="781" bestFit="1" customWidth="1"/>
    <col min="13087" max="13087" width="6.5546875" style="781" customWidth="1"/>
    <col min="13088" max="13088" width="15.44140625" style="781" customWidth="1"/>
    <col min="13089" max="13089" width="36.6640625" style="781" customWidth="1"/>
    <col min="13090" max="13090" width="0" style="781" hidden="1" customWidth="1"/>
    <col min="13091" max="13091" width="9.109375" style="781" bestFit="1" customWidth="1"/>
    <col min="13092" max="13092" width="10.33203125" style="781" bestFit="1" customWidth="1"/>
    <col min="13093" max="13334" width="9.109375" style="781" bestFit="1" customWidth="1"/>
    <col min="13335" max="13335" width="2.6640625" style="781" customWidth="1"/>
    <col min="13336" max="13336" width="5" style="781" customWidth="1"/>
    <col min="13337" max="13337" width="11.6640625" style="781" customWidth="1"/>
    <col min="13338" max="13338" width="17" style="781" customWidth="1"/>
    <col min="13339" max="13339" width="6.6640625" style="781" customWidth="1"/>
    <col min="13340" max="13340" width="18.33203125" style="781" customWidth="1"/>
    <col min="13341" max="13341" width="10" style="781" customWidth="1"/>
    <col min="13342" max="13342" width="9" style="781" bestFit="1" customWidth="1"/>
    <col min="13343" max="13343" width="6.5546875" style="781" customWidth="1"/>
    <col min="13344" max="13344" width="15.44140625" style="781" customWidth="1"/>
    <col min="13345" max="13345" width="36.6640625" style="781" customWidth="1"/>
    <col min="13346" max="13346" width="0" style="781" hidden="1" customWidth="1"/>
    <col min="13347" max="13347" width="9.109375" style="781" bestFit="1" customWidth="1"/>
    <col min="13348" max="13348" width="10.33203125" style="781" bestFit="1" customWidth="1"/>
    <col min="13349" max="13590" width="9.109375" style="781" bestFit="1" customWidth="1"/>
    <col min="13591" max="13591" width="2.6640625" style="781" customWidth="1"/>
    <col min="13592" max="13592" width="5" style="781" customWidth="1"/>
    <col min="13593" max="13593" width="11.6640625" style="781" customWidth="1"/>
    <col min="13594" max="13594" width="17" style="781" customWidth="1"/>
    <col min="13595" max="13595" width="6.6640625" style="781" customWidth="1"/>
    <col min="13596" max="13596" width="18.33203125" style="781" customWidth="1"/>
    <col min="13597" max="13597" width="10" style="781" customWidth="1"/>
    <col min="13598" max="13598" width="9" style="781" bestFit="1" customWidth="1"/>
    <col min="13599" max="13599" width="6.5546875" style="781" customWidth="1"/>
    <col min="13600" max="13600" width="15.44140625" style="781" customWidth="1"/>
    <col min="13601" max="13601" width="36.6640625" style="781" customWidth="1"/>
    <col min="13602" max="13602" width="0" style="781" hidden="1" customWidth="1"/>
    <col min="13603" max="13603" width="9.109375" style="781" bestFit="1" customWidth="1"/>
    <col min="13604" max="13604" width="10.33203125" style="781" bestFit="1" customWidth="1"/>
    <col min="13605" max="13846" width="9.109375" style="781" bestFit="1" customWidth="1"/>
    <col min="13847" max="13847" width="2.6640625" style="781" customWidth="1"/>
    <col min="13848" max="13848" width="5" style="781" customWidth="1"/>
    <col min="13849" max="13849" width="11.6640625" style="781" customWidth="1"/>
    <col min="13850" max="13850" width="17" style="781" customWidth="1"/>
    <col min="13851" max="13851" width="6.6640625" style="781" customWidth="1"/>
    <col min="13852" max="13852" width="18.33203125" style="781" customWidth="1"/>
    <col min="13853" max="13853" width="10" style="781" customWidth="1"/>
    <col min="13854" max="13854" width="9" style="781" bestFit="1" customWidth="1"/>
    <col min="13855" max="13855" width="6.5546875" style="781" customWidth="1"/>
    <col min="13856" max="13856" width="15.44140625" style="781" customWidth="1"/>
    <col min="13857" max="13857" width="36.6640625" style="781" customWidth="1"/>
    <col min="13858" max="13858" width="0" style="781" hidden="1" customWidth="1"/>
    <col min="13859" max="13859" width="9.109375" style="781" bestFit="1" customWidth="1"/>
    <col min="13860" max="13860" width="10.33203125" style="781" bestFit="1" customWidth="1"/>
    <col min="13861" max="14102" width="9.109375" style="781" bestFit="1" customWidth="1"/>
    <col min="14103" max="14103" width="2.6640625" style="781" customWidth="1"/>
    <col min="14104" max="14104" width="5" style="781" customWidth="1"/>
    <col min="14105" max="14105" width="11.6640625" style="781" customWidth="1"/>
    <col min="14106" max="14106" width="17" style="781" customWidth="1"/>
    <col min="14107" max="14107" width="6.6640625" style="781" customWidth="1"/>
    <col min="14108" max="14108" width="18.33203125" style="781" customWidth="1"/>
    <col min="14109" max="14109" width="10" style="781" customWidth="1"/>
    <col min="14110" max="14110" width="9" style="781" bestFit="1" customWidth="1"/>
    <col min="14111" max="14111" width="6.5546875" style="781" customWidth="1"/>
    <col min="14112" max="14112" width="15.44140625" style="781" customWidth="1"/>
    <col min="14113" max="14113" width="36.6640625" style="781" customWidth="1"/>
    <col min="14114" max="14114" width="0" style="781" hidden="1" customWidth="1"/>
    <col min="14115" max="14115" width="9.109375" style="781" bestFit="1" customWidth="1"/>
    <col min="14116" max="14116" width="10.33203125" style="781" bestFit="1" customWidth="1"/>
    <col min="14117" max="14358" width="9.109375" style="781" bestFit="1" customWidth="1"/>
    <col min="14359" max="14359" width="2.6640625" style="781" customWidth="1"/>
    <col min="14360" max="14360" width="5" style="781" customWidth="1"/>
    <col min="14361" max="14361" width="11.6640625" style="781" customWidth="1"/>
    <col min="14362" max="14362" width="17" style="781" customWidth="1"/>
    <col min="14363" max="14363" width="6.6640625" style="781" customWidth="1"/>
    <col min="14364" max="14364" width="18.33203125" style="781" customWidth="1"/>
    <col min="14365" max="14365" width="10" style="781" customWidth="1"/>
    <col min="14366" max="14366" width="9" style="781" bestFit="1" customWidth="1"/>
    <col min="14367" max="14367" width="6.5546875" style="781" customWidth="1"/>
    <col min="14368" max="14368" width="15.44140625" style="781" customWidth="1"/>
    <col min="14369" max="14369" width="36.6640625" style="781" customWidth="1"/>
    <col min="14370" max="14370" width="0" style="781" hidden="1" customWidth="1"/>
    <col min="14371" max="14371" width="9.109375" style="781" bestFit="1" customWidth="1"/>
    <col min="14372" max="14372" width="10.33203125" style="781" bestFit="1" customWidth="1"/>
    <col min="14373" max="14614" width="9.109375" style="781" bestFit="1" customWidth="1"/>
    <col min="14615" max="14615" width="2.6640625" style="781" customWidth="1"/>
    <col min="14616" max="14616" width="5" style="781" customWidth="1"/>
    <col min="14617" max="14617" width="11.6640625" style="781" customWidth="1"/>
    <col min="14618" max="14618" width="17" style="781" customWidth="1"/>
    <col min="14619" max="14619" width="6.6640625" style="781" customWidth="1"/>
    <col min="14620" max="14620" width="18.33203125" style="781" customWidth="1"/>
    <col min="14621" max="14621" width="10" style="781" customWidth="1"/>
    <col min="14622" max="14622" width="9" style="781" bestFit="1" customWidth="1"/>
    <col min="14623" max="14623" width="6.5546875" style="781" customWidth="1"/>
    <col min="14624" max="14624" width="15.44140625" style="781" customWidth="1"/>
    <col min="14625" max="14625" width="36.6640625" style="781" customWidth="1"/>
    <col min="14626" max="14626" width="0" style="781" hidden="1" customWidth="1"/>
    <col min="14627" max="14627" width="9.109375" style="781" bestFit="1" customWidth="1"/>
    <col min="14628" max="14628" width="10.33203125" style="781" bestFit="1" customWidth="1"/>
    <col min="14629" max="14870" width="9.109375" style="781" bestFit="1" customWidth="1"/>
    <col min="14871" max="14871" width="2.6640625" style="781" customWidth="1"/>
    <col min="14872" max="14872" width="5" style="781" customWidth="1"/>
    <col min="14873" max="14873" width="11.6640625" style="781" customWidth="1"/>
    <col min="14874" max="14874" width="17" style="781" customWidth="1"/>
    <col min="14875" max="14875" width="6.6640625" style="781" customWidth="1"/>
    <col min="14876" max="14876" width="18.33203125" style="781" customWidth="1"/>
    <col min="14877" max="14877" width="10" style="781" customWidth="1"/>
    <col min="14878" max="14878" width="9" style="781" bestFit="1" customWidth="1"/>
    <col min="14879" max="14879" width="6.5546875" style="781" customWidth="1"/>
    <col min="14880" max="14880" width="15.44140625" style="781" customWidth="1"/>
    <col min="14881" max="14881" width="36.6640625" style="781" customWidth="1"/>
    <col min="14882" max="14882" width="0" style="781" hidden="1" customWidth="1"/>
    <col min="14883" max="14883" width="9.109375" style="781" bestFit="1" customWidth="1"/>
    <col min="14884" max="14884" width="10.33203125" style="781" bestFit="1" customWidth="1"/>
    <col min="14885" max="15126" width="9.109375" style="781" bestFit="1" customWidth="1"/>
    <col min="15127" max="15127" width="2.6640625" style="781" customWidth="1"/>
    <col min="15128" max="15128" width="5" style="781" customWidth="1"/>
    <col min="15129" max="15129" width="11.6640625" style="781" customWidth="1"/>
    <col min="15130" max="15130" width="17" style="781" customWidth="1"/>
    <col min="15131" max="15131" width="6.6640625" style="781" customWidth="1"/>
    <col min="15132" max="15132" width="18.33203125" style="781" customWidth="1"/>
    <col min="15133" max="15133" width="10" style="781" customWidth="1"/>
    <col min="15134" max="15134" width="9" style="781" bestFit="1" customWidth="1"/>
    <col min="15135" max="15135" width="6.5546875" style="781" customWidth="1"/>
    <col min="15136" max="15136" width="15.44140625" style="781" customWidth="1"/>
    <col min="15137" max="15137" width="36.6640625" style="781" customWidth="1"/>
    <col min="15138" max="15138" width="0" style="781" hidden="1" customWidth="1"/>
    <col min="15139" max="15139" width="9.109375" style="781" bestFit="1" customWidth="1"/>
    <col min="15140" max="15140" width="10.33203125" style="781" bestFit="1" customWidth="1"/>
    <col min="15141" max="15382" width="9.109375" style="781" bestFit="1" customWidth="1"/>
    <col min="15383" max="15383" width="2.6640625" style="781" customWidth="1"/>
    <col min="15384" max="15384" width="5" style="781" customWidth="1"/>
    <col min="15385" max="15385" width="11.6640625" style="781" customWidth="1"/>
    <col min="15386" max="15386" width="17" style="781" customWidth="1"/>
    <col min="15387" max="15387" width="6.6640625" style="781" customWidth="1"/>
    <col min="15388" max="15388" width="18.33203125" style="781" customWidth="1"/>
    <col min="15389" max="15389" width="10" style="781" customWidth="1"/>
    <col min="15390" max="15390" width="9" style="781" bestFit="1" customWidth="1"/>
    <col min="15391" max="15391" width="6.5546875" style="781" customWidth="1"/>
    <col min="15392" max="15392" width="15.44140625" style="781" customWidth="1"/>
    <col min="15393" max="15393" width="36.6640625" style="781" customWidth="1"/>
    <col min="15394" max="15394" width="0" style="781" hidden="1" customWidth="1"/>
    <col min="15395" max="15395" width="9.109375" style="781" bestFit="1" customWidth="1"/>
    <col min="15396" max="15396" width="10.33203125" style="781" bestFit="1" customWidth="1"/>
    <col min="15397" max="15638" width="9.109375" style="781" bestFit="1" customWidth="1"/>
    <col min="15639" max="15639" width="2.6640625" style="781" customWidth="1"/>
    <col min="15640" max="15640" width="5" style="781" customWidth="1"/>
    <col min="15641" max="15641" width="11.6640625" style="781" customWidth="1"/>
    <col min="15642" max="15642" width="17" style="781" customWidth="1"/>
    <col min="15643" max="15643" width="6.6640625" style="781" customWidth="1"/>
    <col min="15644" max="15644" width="18.33203125" style="781" customWidth="1"/>
    <col min="15645" max="15645" width="10" style="781" customWidth="1"/>
    <col min="15646" max="15646" width="9" style="781" bestFit="1" customWidth="1"/>
    <col min="15647" max="15647" width="6.5546875" style="781" customWidth="1"/>
    <col min="15648" max="15648" width="15.44140625" style="781" customWidth="1"/>
    <col min="15649" max="15649" width="36.6640625" style="781" customWidth="1"/>
    <col min="15650" max="15650" width="0" style="781" hidden="1" customWidth="1"/>
    <col min="15651" max="15651" width="9.109375" style="781" bestFit="1" customWidth="1"/>
    <col min="15652" max="15652" width="10.33203125" style="781" bestFit="1" customWidth="1"/>
    <col min="15653" max="15894" width="9.109375" style="781" bestFit="1" customWidth="1"/>
    <col min="15895" max="15895" width="2.6640625" style="781" customWidth="1"/>
    <col min="15896" max="15896" width="5" style="781" customWidth="1"/>
    <col min="15897" max="15897" width="11.6640625" style="781" customWidth="1"/>
    <col min="15898" max="15898" width="17" style="781" customWidth="1"/>
    <col min="15899" max="15899" width="6.6640625" style="781" customWidth="1"/>
    <col min="15900" max="15900" width="18.33203125" style="781" customWidth="1"/>
    <col min="15901" max="15901" width="10" style="781" customWidth="1"/>
    <col min="15902" max="15902" width="9" style="781" bestFit="1" customWidth="1"/>
    <col min="15903" max="15903" width="6.5546875" style="781" customWidth="1"/>
    <col min="15904" max="15904" width="15.44140625" style="781" customWidth="1"/>
    <col min="15905" max="15905" width="36.6640625" style="781" customWidth="1"/>
    <col min="15906" max="15906" width="0" style="781" hidden="1" customWidth="1"/>
    <col min="15907" max="15907" width="9.109375" style="781" bestFit="1" customWidth="1"/>
    <col min="15908" max="15908" width="10.33203125" style="781" bestFit="1" customWidth="1"/>
    <col min="15909" max="16150" width="9.109375" style="781" bestFit="1" customWidth="1"/>
    <col min="16151" max="16151" width="2.6640625" style="781" customWidth="1"/>
    <col min="16152" max="16152" width="5" style="781" customWidth="1"/>
    <col min="16153" max="16153" width="11.6640625" style="781" customWidth="1"/>
    <col min="16154" max="16154" width="17" style="781" customWidth="1"/>
    <col min="16155" max="16155" width="6.6640625" style="781" customWidth="1"/>
    <col min="16156" max="16156" width="18.33203125" style="781" customWidth="1"/>
    <col min="16157" max="16157" width="10" style="781" customWidth="1"/>
    <col min="16158" max="16158" width="9" style="781" bestFit="1" customWidth="1"/>
    <col min="16159" max="16159" width="6.5546875" style="781" customWidth="1"/>
    <col min="16160" max="16160" width="15.44140625" style="781" customWidth="1"/>
    <col min="16161" max="16161" width="36.6640625" style="781" customWidth="1"/>
    <col min="16162" max="16162" width="0" style="781" hidden="1" customWidth="1"/>
    <col min="16163" max="16163" width="9.109375" style="781" bestFit="1" customWidth="1"/>
    <col min="16164" max="16164" width="10.33203125" style="781" bestFit="1" customWidth="1"/>
    <col min="16165" max="16384" width="9.109375" style="781"/>
  </cols>
  <sheetData>
    <row r="1" spans="1:65" ht="9" customHeight="1"/>
    <row r="2" spans="1:65" ht="13.8">
      <c r="B2" s="6" t="s">
        <v>126</v>
      </c>
      <c r="C2" s="6"/>
      <c r="D2" s="786"/>
      <c r="E2" s="7" t="s">
        <v>511</v>
      </c>
      <c r="F2" s="8" t="s">
        <v>3225</v>
      </c>
      <c r="G2" s="779"/>
      <c r="H2" s="10"/>
      <c r="I2" s="787"/>
      <c r="J2" s="11" t="s">
        <v>513</v>
      </c>
      <c r="K2" s="12" t="s">
        <v>511</v>
      </c>
      <c r="L2" s="16" t="str">
        <f>'VLU 2023 &amp; 2024'!$M$257</f>
        <v>1/7/24 PM</v>
      </c>
      <c r="M2" s="779"/>
      <c r="N2" s="779"/>
      <c r="O2" s="27"/>
      <c r="P2" s="14"/>
      <c r="R2" s="15"/>
      <c r="S2" s="788"/>
      <c r="T2" s="781"/>
      <c r="U2" s="781"/>
      <c r="V2" s="781"/>
      <c r="W2" s="781"/>
      <c r="X2" s="781"/>
      <c r="Y2" s="781"/>
      <c r="Z2" s="781"/>
      <c r="AA2" s="781"/>
      <c r="AB2" s="785"/>
      <c r="AC2" s="785"/>
      <c r="AD2" s="785"/>
      <c r="AE2" s="785"/>
      <c r="AF2" s="785"/>
    </row>
    <row r="3" spans="1:65" ht="13.8">
      <c r="B3" s="11" t="s">
        <v>514</v>
      </c>
      <c r="C3" s="11"/>
      <c r="D3" s="779"/>
      <c r="E3" s="12" t="s">
        <v>511</v>
      </c>
      <c r="F3" s="292" t="s">
        <v>564</v>
      </c>
      <c r="G3" s="779"/>
      <c r="H3" s="10"/>
      <c r="I3" s="787"/>
      <c r="J3" s="11" t="s">
        <v>516</v>
      </c>
      <c r="K3" s="12" t="s">
        <v>511</v>
      </c>
      <c r="L3" s="16" t="str">
        <f>'VLU 2023 &amp; 2024'!$N$257</f>
        <v>1/10/24 AM</v>
      </c>
      <c r="M3" s="779"/>
      <c r="N3" s="779"/>
      <c r="O3" s="27"/>
      <c r="P3" s="14"/>
      <c r="R3" s="15"/>
      <c r="S3" s="788"/>
      <c r="T3" s="781"/>
      <c r="U3" s="781"/>
      <c r="V3" s="781"/>
      <c r="W3" s="781"/>
      <c r="X3" s="781"/>
      <c r="Y3" s="781"/>
      <c r="Z3" s="781"/>
      <c r="AA3" s="781"/>
      <c r="AB3" s="785"/>
      <c r="AC3" s="785"/>
      <c r="AD3" s="785"/>
      <c r="AE3" s="785"/>
      <c r="AF3" s="785"/>
    </row>
    <row r="4" spans="1:65" ht="13.8">
      <c r="B4" s="11" t="s">
        <v>517</v>
      </c>
      <c r="C4" s="11"/>
      <c r="D4" s="779"/>
      <c r="E4" s="12" t="s">
        <v>511</v>
      </c>
      <c r="F4" s="1078">
        <v>45290.55</v>
      </c>
      <c r="G4" s="779"/>
      <c r="H4" s="10"/>
      <c r="I4" s="787"/>
      <c r="J4" s="11" t="s">
        <v>518</v>
      </c>
      <c r="K4" s="12" t="s">
        <v>511</v>
      </c>
      <c r="L4" s="789">
        <f>0</f>
        <v>0</v>
      </c>
      <c r="M4" s="790" t="s">
        <v>519</v>
      </c>
      <c r="N4" s="790"/>
      <c r="O4" s="27"/>
      <c r="P4" s="14"/>
      <c r="R4" s="15"/>
      <c r="S4" s="788"/>
      <c r="T4" s="781"/>
      <c r="U4" s="781"/>
      <c r="V4" s="781"/>
      <c r="W4" s="781"/>
      <c r="X4" s="781"/>
      <c r="Y4" s="781"/>
      <c r="Z4" s="781"/>
      <c r="AA4" s="781"/>
      <c r="AB4" s="785"/>
      <c r="AC4" s="785"/>
      <c r="AD4" s="785"/>
      <c r="AE4" s="785"/>
      <c r="AF4" s="785"/>
    </row>
    <row r="5" spans="1:65" ht="13.8">
      <c r="B5" s="11" t="s">
        <v>520</v>
      </c>
      <c r="C5" s="11"/>
      <c r="D5" s="779"/>
      <c r="E5" s="12" t="s">
        <v>511</v>
      </c>
      <c r="F5" s="13" t="s">
        <v>4</v>
      </c>
      <c r="G5" s="779"/>
      <c r="H5" s="10"/>
      <c r="I5" s="787"/>
      <c r="J5" s="11" t="s">
        <v>521</v>
      </c>
      <c r="K5" s="12" t="s">
        <v>511</v>
      </c>
      <c r="L5" s="791" t="s">
        <v>3226</v>
      </c>
      <c r="M5" s="779"/>
      <c r="N5" s="779"/>
      <c r="O5" s="27"/>
      <c r="R5" s="15"/>
      <c r="S5" s="788"/>
      <c r="T5" s="781"/>
      <c r="U5" s="781"/>
      <c r="V5" s="781"/>
      <c r="W5" s="781"/>
      <c r="X5" s="781"/>
      <c r="Y5" s="781"/>
      <c r="Z5" s="781"/>
      <c r="AA5" s="781"/>
      <c r="AB5" s="785"/>
      <c r="AC5" s="785"/>
      <c r="AD5" s="785"/>
      <c r="AE5" s="785"/>
      <c r="AF5" s="785"/>
    </row>
    <row r="6" spans="1:65" ht="13.8">
      <c r="B6" s="11" t="s">
        <v>523</v>
      </c>
      <c r="C6" s="11"/>
      <c r="D6" s="779"/>
      <c r="E6" s="12" t="s">
        <v>511</v>
      </c>
      <c r="F6" s="13" t="s">
        <v>5</v>
      </c>
      <c r="G6" s="779"/>
      <c r="H6" s="10"/>
      <c r="I6" s="787"/>
      <c r="J6" s="11" t="s">
        <v>524</v>
      </c>
      <c r="K6" s="12" t="s">
        <v>511</v>
      </c>
      <c r="L6" s="792" t="s">
        <v>15</v>
      </c>
      <c r="M6" s="793"/>
      <c r="N6" s="793"/>
      <c r="O6" s="27"/>
      <c r="P6" s="14"/>
      <c r="R6" s="15"/>
      <c r="S6" s="788"/>
      <c r="T6" s="781"/>
      <c r="U6" s="781"/>
      <c r="V6" s="781"/>
      <c r="W6" s="781"/>
      <c r="X6" s="781"/>
      <c r="Y6" s="781"/>
      <c r="Z6" s="781"/>
      <c r="AA6" s="781"/>
      <c r="AB6" s="785"/>
      <c r="AC6" s="785"/>
      <c r="AD6" s="785"/>
      <c r="AE6" s="785"/>
      <c r="AF6" s="785"/>
    </row>
    <row r="7" spans="1:65" ht="13.8">
      <c r="B7" s="11" t="s">
        <v>2</v>
      </c>
      <c r="C7" s="11"/>
      <c r="D7" s="779"/>
      <c r="E7" s="12" t="s">
        <v>511</v>
      </c>
      <c r="F7" s="13" t="s">
        <v>18</v>
      </c>
      <c r="G7" s="779"/>
      <c r="H7" s="10"/>
      <c r="I7" s="794"/>
      <c r="J7" s="11"/>
      <c r="K7" s="12"/>
      <c r="L7" s="16"/>
      <c r="O7" s="11"/>
      <c r="P7" s="793"/>
      <c r="Q7" s="793"/>
      <c r="R7" s="793"/>
      <c r="S7" s="787"/>
      <c r="T7" s="781"/>
      <c r="U7" s="781"/>
      <c r="V7" s="781"/>
      <c r="W7" s="781"/>
      <c r="X7" s="781"/>
      <c r="Y7" s="781"/>
      <c r="Z7" s="781"/>
      <c r="AA7" s="781"/>
      <c r="AB7" s="787"/>
      <c r="AC7" s="787"/>
      <c r="AD7" s="787"/>
      <c r="AE7" s="787"/>
      <c r="AF7" s="787"/>
      <c r="AG7" s="787"/>
      <c r="AH7" s="787"/>
      <c r="AI7" s="787"/>
      <c r="AJ7" s="787"/>
      <c r="AK7" s="787"/>
      <c r="AL7" s="787"/>
      <c r="AM7" s="787"/>
      <c r="AN7" s="787"/>
      <c r="AO7" s="787"/>
      <c r="AP7" s="787"/>
      <c r="AQ7" s="787"/>
      <c r="AR7" s="787"/>
      <c r="AS7" s="787"/>
      <c r="AT7" s="787"/>
      <c r="AU7" s="787"/>
      <c r="AV7" s="787"/>
      <c r="AW7" s="787"/>
      <c r="AX7" s="787"/>
      <c r="AY7" s="787"/>
      <c r="AZ7" s="787"/>
      <c r="BA7" s="787"/>
      <c r="BB7" s="787"/>
      <c r="BC7" s="787"/>
      <c r="BD7" s="787"/>
      <c r="BE7" s="787"/>
      <c r="BF7" s="787"/>
      <c r="BG7" s="787"/>
      <c r="BH7" s="787"/>
      <c r="BI7" s="787"/>
      <c r="BJ7" s="787"/>
      <c r="BK7" s="787"/>
      <c r="BL7" s="787"/>
      <c r="BM7" s="787"/>
    </row>
    <row r="8" spans="1:65" ht="14.4">
      <c r="I8" s="794"/>
      <c r="J8" s="11"/>
      <c r="K8" s="11"/>
      <c r="L8" s="792"/>
      <c r="M8" s="793"/>
      <c r="N8" s="793"/>
      <c r="O8" s="11"/>
      <c r="P8" s="793"/>
      <c r="Q8" s="793"/>
      <c r="R8" s="793"/>
      <c r="S8" s="787"/>
      <c r="T8" s="1562" t="s">
        <v>87</v>
      </c>
      <c r="U8" s="1562"/>
      <c r="V8" s="1562"/>
      <c r="W8" s="1562"/>
      <c r="X8" s="1562"/>
      <c r="Y8" s="1562" t="s">
        <v>73</v>
      </c>
      <c r="Z8" s="1562"/>
      <c r="AA8" s="1562"/>
      <c r="AB8" s="1562" t="s">
        <v>74</v>
      </c>
      <c r="AC8" s="1562"/>
      <c r="AD8" s="795" t="s">
        <v>85</v>
      </c>
      <c r="AE8" s="796" t="s">
        <v>77</v>
      </c>
      <c r="AF8" s="1547" t="s">
        <v>525</v>
      </c>
      <c r="AG8" s="1547"/>
      <c r="AH8" s="1547"/>
      <c r="AI8" s="1547"/>
      <c r="AJ8" s="1547"/>
      <c r="AK8" s="1547"/>
      <c r="AL8" s="1547"/>
      <c r="AM8" s="1547"/>
      <c r="AN8" s="1547"/>
      <c r="AO8" s="1547"/>
      <c r="AP8" s="1547"/>
      <c r="AQ8" s="1547"/>
      <c r="AR8" s="1547"/>
      <c r="AS8" s="1547"/>
      <c r="AT8" s="1547"/>
      <c r="AU8" s="1547"/>
      <c r="AV8" s="1547"/>
      <c r="AW8" s="1547"/>
      <c r="AX8" s="1547"/>
      <c r="AY8" s="1547"/>
      <c r="AZ8" s="1547"/>
      <c r="BA8" s="1547"/>
      <c r="BB8" s="1547"/>
      <c r="BC8" s="1547"/>
      <c r="BD8" s="1547"/>
      <c r="BE8" s="1547"/>
      <c r="BF8" s="1547"/>
      <c r="BG8" s="1547"/>
      <c r="BH8" s="1547"/>
    </row>
    <row r="9" spans="1:65" ht="14.4">
      <c r="B9" s="1563" t="s">
        <v>526</v>
      </c>
      <c r="C9" s="1564"/>
      <c r="D9" s="797" t="s">
        <v>527</v>
      </c>
      <c r="E9" s="797"/>
      <c r="F9" s="797" t="s">
        <v>528</v>
      </c>
      <c r="G9" s="797" t="s">
        <v>529</v>
      </c>
      <c r="H9" s="797" t="s">
        <v>530</v>
      </c>
      <c r="I9" s="797" t="s">
        <v>531</v>
      </c>
      <c r="J9" s="797" t="s">
        <v>532</v>
      </c>
      <c r="K9" s="797"/>
      <c r="L9" s="797" t="s">
        <v>130</v>
      </c>
      <c r="M9" s="797" t="s">
        <v>533</v>
      </c>
      <c r="N9" s="798" t="e">
        <f>"On time - "&amp;COUNTIF(#REF!,"On time")&amp;" from "&amp;ROWS(#REF!)-COUNTIF(#REF!," ")</f>
        <v>#REF!</v>
      </c>
      <c r="O9" s="799"/>
      <c r="P9" s="800" t="s">
        <v>534</v>
      </c>
      <c r="Q9" s="800" t="s">
        <v>535</v>
      </c>
      <c r="R9" s="800" t="s">
        <v>536</v>
      </c>
      <c r="S9" s="779"/>
      <c r="T9" s="801" t="s">
        <v>537</v>
      </c>
      <c r="U9" s="801" t="s">
        <v>538</v>
      </c>
      <c r="V9" s="801" t="s">
        <v>539</v>
      </c>
      <c r="W9" s="801" t="s">
        <v>540</v>
      </c>
      <c r="X9" s="801" t="s">
        <v>541</v>
      </c>
      <c r="Y9" s="801" t="s">
        <v>167</v>
      </c>
      <c r="Z9" s="801" t="s">
        <v>168</v>
      </c>
      <c r="AA9" s="801" t="s">
        <v>169</v>
      </c>
      <c r="AB9" s="801" t="s">
        <v>235</v>
      </c>
      <c r="AC9" s="801" t="s">
        <v>240</v>
      </c>
      <c r="AD9" s="795" t="s">
        <v>85</v>
      </c>
      <c r="AE9" s="801" t="s">
        <v>139</v>
      </c>
      <c r="AF9" s="802" t="s">
        <v>72</v>
      </c>
      <c r="AG9" s="802" t="s">
        <v>88</v>
      </c>
      <c r="AH9" s="802" t="s">
        <v>75</v>
      </c>
      <c r="AI9" s="802" t="s">
        <v>543</v>
      </c>
      <c r="AJ9" s="802" t="s">
        <v>78</v>
      </c>
      <c r="AK9" s="802" t="s">
        <v>76</v>
      </c>
      <c r="AL9" s="802" t="s">
        <v>544</v>
      </c>
      <c r="AM9" s="802" t="s">
        <v>545</v>
      </c>
      <c r="AN9" s="802" t="s">
        <v>86</v>
      </c>
      <c r="AO9" s="802" t="s">
        <v>83</v>
      </c>
      <c r="AP9" s="802" t="s">
        <v>84</v>
      </c>
      <c r="AQ9" s="802" t="s">
        <v>546</v>
      </c>
      <c r="AR9" s="802" t="s">
        <v>81</v>
      </c>
      <c r="AS9" s="802" t="s">
        <v>80</v>
      </c>
      <c r="AT9" s="802" t="s">
        <v>82</v>
      </c>
      <c r="AU9" s="802" t="s">
        <v>181</v>
      </c>
      <c r="AV9" s="802" t="s">
        <v>183</v>
      </c>
      <c r="AW9" s="802" t="s">
        <v>547</v>
      </c>
      <c r="AX9" s="802" t="s">
        <v>182</v>
      </c>
      <c r="AY9" s="802" t="s">
        <v>172</v>
      </c>
      <c r="AZ9" s="802" t="s">
        <v>173</v>
      </c>
      <c r="BA9" s="802" t="s">
        <v>184</v>
      </c>
      <c r="BB9" s="802" t="s">
        <v>100</v>
      </c>
      <c r="BC9" s="1147" t="s">
        <v>913</v>
      </c>
      <c r="BD9" s="1150" t="s">
        <v>2896</v>
      </c>
      <c r="BE9" s="1150" t="s">
        <v>2747</v>
      </c>
      <c r="BF9" s="1150" t="s">
        <v>2862</v>
      </c>
      <c r="BG9" s="1150" t="s">
        <v>2897</v>
      </c>
      <c r="BH9" s="1150" t="s">
        <v>2856</v>
      </c>
    </row>
    <row r="10" spans="1:65" s="824" customFormat="1" ht="13.5" customHeight="1">
      <c r="A10" s="1085"/>
      <c r="B10" s="1577" t="s">
        <v>668</v>
      </c>
      <c r="C10" s="1578"/>
      <c r="D10" s="471" t="s">
        <v>4076</v>
      </c>
      <c r="E10" s="1165"/>
      <c r="F10" s="471" t="s">
        <v>310</v>
      </c>
      <c r="G10" s="471" t="s">
        <v>219</v>
      </c>
      <c r="H10" s="771">
        <v>7500</v>
      </c>
      <c r="I10" s="853" t="s">
        <v>1164</v>
      </c>
      <c r="J10" s="467" t="s">
        <v>4586</v>
      </c>
      <c r="K10" s="467"/>
      <c r="L10" s="829" t="s">
        <v>187</v>
      </c>
      <c r="M10" s="829" t="s">
        <v>187</v>
      </c>
      <c r="N10" s="1058"/>
      <c r="O10" s="1080"/>
      <c r="P10" s="465" t="s">
        <v>873</v>
      </c>
      <c r="Q10" s="465" t="s">
        <v>873</v>
      </c>
      <c r="R10" s="465" t="s">
        <v>873</v>
      </c>
      <c r="T10" s="780"/>
      <c r="U10" s="780"/>
      <c r="V10" s="780"/>
      <c r="W10" s="780"/>
      <c r="X10" s="780">
        <f>H10</f>
        <v>7500</v>
      </c>
      <c r="Y10" s="780"/>
      <c r="Z10" s="780"/>
      <c r="AA10" s="780"/>
      <c r="AB10" s="780"/>
      <c r="AC10" s="780"/>
      <c r="AD10" s="780"/>
      <c r="AE10" s="780"/>
      <c r="AF10" s="780"/>
      <c r="AG10" s="780"/>
      <c r="AH10" s="780"/>
      <c r="AI10" s="780"/>
      <c r="AJ10" s="780"/>
      <c r="AK10" s="992"/>
      <c r="AL10" s="780"/>
      <c r="AM10" s="780"/>
      <c r="AN10" s="780"/>
      <c r="AO10" s="780"/>
      <c r="AP10" s="780"/>
      <c r="AQ10" s="780"/>
      <c r="AR10" s="780"/>
      <c r="AS10" s="780"/>
      <c r="AT10" s="780"/>
      <c r="AU10" s="780"/>
      <c r="AV10" s="780"/>
      <c r="AW10" s="780"/>
      <c r="AX10" s="773"/>
      <c r="AY10" s="780"/>
      <c r="AZ10" s="780"/>
      <c r="BA10" s="780"/>
      <c r="BB10" s="780"/>
      <c r="BC10" s="780"/>
      <c r="BD10" s="780"/>
      <c r="BE10" s="780"/>
      <c r="BF10" s="780"/>
      <c r="BG10" s="780"/>
      <c r="BH10" s="780"/>
    </row>
    <row r="11" spans="1:65" s="824" customFormat="1" ht="13.8">
      <c r="B11" s="1556" t="s">
        <v>616</v>
      </c>
      <c r="C11" s="1557"/>
      <c r="D11" s="470" t="s">
        <v>4079</v>
      </c>
      <c r="E11" s="1089"/>
      <c r="F11" s="470" t="s">
        <v>208</v>
      </c>
      <c r="G11" s="470" t="s">
        <v>328</v>
      </c>
      <c r="H11" s="771">
        <v>7500</v>
      </c>
      <c r="I11" s="833" t="s">
        <v>78</v>
      </c>
      <c r="J11" s="467" t="s">
        <v>4586</v>
      </c>
      <c r="K11" s="829"/>
      <c r="L11" s="877" t="str">
        <f>'BLU DEC''23 &amp; JAN''24'!J247</f>
        <v>Waiting At None</v>
      </c>
      <c r="M11" s="877" t="str">
        <f>'BLU DEC''23 &amp; JAN''24'!K247</f>
        <v>LOAJANAN</v>
      </c>
      <c r="N11" s="1058" t="e">
        <f t="shared" ref="N11:N21" si="0">IF(ISBLANK(J11)," ",IF(J11&lt;$F$4,"On time",(IF(DAY(J11-$F$4)&lt;1,"On time",(IF(J11&gt;$F$4,"DELAY ( "&amp;DAY(J11-$F$4)&amp;" day "&amp;HOUR(J11-$F$4)&amp;" hour "&amp;MINUTE(J11-$F$4)&amp;" minute )","xxx"))))))</f>
        <v>#VALUE!</v>
      </c>
      <c r="O11" s="1080"/>
      <c r="P11" s="465" t="s">
        <v>873</v>
      </c>
      <c r="Q11" s="465" t="s">
        <v>873</v>
      </c>
      <c r="R11" s="465" t="s">
        <v>873</v>
      </c>
      <c r="T11" s="780"/>
      <c r="U11" s="780"/>
      <c r="V11" s="780"/>
      <c r="W11" s="780"/>
      <c r="Y11" s="780"/>
      <c r="Z11" s="780"/>
      <c r="AA11" s="780"/>
      <c r="AB11" s="780"/>
      <c r="AC11" s="780"/>
      <c r="AD11" s="780"/>
      <c r="AE11" s="780"/>
      <c r="AF11" s="780"/>
      <c r="AG11" s="780"/>
      <c r="AH11" s="780"/>
      <c r="AI11" s="780"/>
      <c r="AJ11" s="780">
        <f>H11</f>
        <v>7500</v>
      </c>
      <c r="AK11" s="780"/>
      <c r="AL11" s="780"/>
      <c r="AM11" s="780"/>
      <c r="AN11" s="780"/>
      <c r="AO11" s="780"/>
      <c r="AP11" s="780"/>
      <c r="AQ11" s="780"/>
      <c r="AR11" s="780"/>
      <c r="AS11" s="780"/>
      <c r="AT11" s="780"/>
      <c r="AU11" s="780"/>
      <c r="AV11" s="780"/>
      <c r="AW11" s="780"/>
      <c r="AX11" s="780"/>
      <c r="AY11" s="780"/>
      <c r="BA11" s="780"/>
      <c r="BB11" s="780"/>
      <c r="BC11" s="780"/>
      <c r="BD11" s="780"/>
      <c r="BE11" s="780"/>
      <c r="BF11" s="780"/>
      <c r="BG11" s="780"/>
      <c r="BH11" s="780"/>
    </row>
    <row r="12" spans="1:65" s="824" customFormat="1" ht="13.8">
      <c r="B12" s="1556" t="s">
        <v>548</v>
      </c>
      <c r="C12" s="1557"/>
      <c r="D12" s="470" t="s">
        <v>4000</v>
      </c>
      <c r="E12" s="470"/>
      <c r="F12" s="470" t="s">
        <v>252</v>
      </c>
      <c r="G12" s="470" t="s">
        <v>253</v>
      </c>
      <c r="H12" s="771">
        <f>'BLU DEC''23 &amp; JAN''24'!S208</f>
        <v>7500</v>
      </c>
      <c r="I12" s="833" t="s">
        <v>235</v>
      </c>
      <c r="J12" s="467" t="s">
        <v>4586</v>
      </c>
      <c r="K12" s="829"/>
      <c r="L12" s="877" t="s">
        <v>4587</v>
      </c>
      <c r="M12" s="877" t="str">
        <f>'BLU DEC''23 &amp; JAN''24'!K208</f>
        <v>BUNYUT</v>
      </c>
      <c r="N12" s="1058" t="e">
        <f t="shared" si="0"/>
        <v>#VALUE!</v>
      </c>
      <c r="O12" s="1080"/>
      <c r="P12" s="465" t="s">
        <v>873</v>
      </c>
      <c r="Q12" s="465" t="s">
        <v>873</v>
      </c>
      <c r="R12" s="465" t="s">
        <v>873</v>
      </c>
      <c r="T12" s="780"/>
      <c r="U12" s="780"/>
      <c r="V12" s="780"/>
      <c r="W12" s="780"/>
      <c r="X12" s="780"/>
      <c r="Y12" s="780"/>
      <c r="Z12" s="780"/>
      <c r="AA12" s="780"/>
      <c r="AB12" s="780">
        <f>H12</f>
        <v>7500</v>
      </c>
      <c r="AC12" s="780"/>
      <c r="AD12" s="780"/>
      <c r="AE12" s="780"/>
      <c r="AF12" s="780"/>
      <c r="AG12" s="780"/>
      <c r="AH12" s="780"/>
      <c r="AI12" s="780"/>
      <c r="AJ12" s="780"/>
      <c r="AK12" s="780"/>
      <c r="AL12" s="780"/>
      <c r="AM12" s="780"/>
      <c r="AN12" s="780"/>
      <c r="AO12" s="780"/>
      <c r="AP12" s="780"/>
      <c r="AQ12" s="780"/>
      <c r="AR12" s="780"/>
      <c r="AS12" s="780"/>
      <c r="AT12" s="780"/>
      <c r="AU12" s="780"/>
      <c r="AV12" s="780"/>
      <c r="AW12" s="780"/>
      <c r="AX12" s="780"/>
      <c r="AY12" s="780"/>
      <c r="AZ12" s="780"/>
      <c r="BA12" s="780"/>
      <c r="BB12" s="780"/>
      <c r="BC12" s="780"/>
      <c r="BD12" s="780"/>
      <c r="BE12" s="780"/>
      <c r="BF12" s="780"/>
      <c r="BG12" s="780"/>
      <c r="BH12" s="780"/>
    </row>
    <row r="13" spans="1:65" s="824" customFormat="1" ht="13.8">
      <c r="B13" s="1556" t="s">
        <v>548</v>
      </c>
      <c r="C13" s="1557"/>
      <c r="D13" s="470" t="s">
        <v>4002</v>
      </c>
      <c r="E13" s="470"/>
      <c r="F13" s="470" t="s">
        <v>371</v>
      </c>
      <c r="G13" s="470" t="s">
        <v>372</v>
      </c>
      <c r="H13" s="771">
        <f>'BLU DEC''23 &amp; JAN''24'!S209</f>
        <v>7500</v>
      </c>
      <c r="I13" s="833" t="s">
        <v>235</v>
      </c>
      <c r="J13" s="467" t="s">
        <v>4586</v>
      </c>
      <c r="K13" s="829"/>
      <c r="L13" s="877" t="s">
        <v>4587</v>
      </c>
      <c r="M13" s="877" t="str">
        <f>'BLU DEC''23 &amp; JAN''24'!K209</f>
        <v>BUNYUT</v>
      </c>
      <c r="N13" s="1058" t="e">
        <f t="shared" si="0"/>
        <v>#VALUE!</v>
      </c>
      <c r="O13" s="1080"/>
      <c r="P13" s="465" t="s">
        <v>873</v>
      </c>
      <c r="Q13" s="465" t="s">
        <v>873</v>
      </c>
      <c r="R13" s="465" t="s">
        <v>873</v>
      </c>
      <c r="T13" s="780"/>
      <c r="U13" s="780"/>
      <c r="V13" s="780"/>
      <c r="W13" s="780"/>
      <c r="X13" s="780"/>
      <c r="Y13" s="780"/>
      <c r="Z13" s="780"/>
      <c r="AA13" s="780"/>
      <c r="AB13" s="780">
        <f>H13</f>
        <v>7500</v>
      </c>
      <c r="AC13" s="780"/>
      <c r="AD13" s="780"/>
      <c r="AE13" s="780"/>
      <c r="AF13" s="780"/>
      <c r="AG13" s="780"/>
      <c r="AH13" s="780"/>
      <c r="AI13" s="780"/>
      <c r="AJ13" s="780"/>
      <c r="AK13" s="780"/>
      <c r="AL13" s="780"/>
      <c r="AM13" s="780"/>
      <c r="AN13" s="780"/>
      <c r="AO13" s="780"/>
      <c r="AP13" s="780"/>
      <c r="AQ13" s="780"/>
      <c r="AR13" s="780"/>
      <c r="AS13" s="780"/>
      <c r="AT13" s="780"/>
      <c r="AU13" s="780"/>
      <c r="AV13" s="780"/>
      <c r="AW13" s="780"/>
      <c r="AX13" s="780"/>
      <c r="AY13" s="780"/>
      <c r="AZ13" s="780"/>
      <c r="BA13" s="780"/>
      <c r="BB13" s="780"/>
      <c r="BC13" s="780"/>
      <c r="BD13" s="780"/>
      <c r="BE13" s="780"/>
      <c r="BF13" s="780"/>
      <c r="BG13" s="780"/>
      <c r="BH13" s="780"/>
    </row>
    <row r="14" spans="1:65" s="824" customFormat="1" ht="13.8">
      <c r="A14" s="1085"/>
      <c r="B14" s="1556" t="s">
        <v>548</v>
      </c>
      <c r="C14" s="1557"/>
      <c r="D14" s="470" t="s">
        <v>4004</v>
      </c>
      <c r="E14" s="470"/>
      <c r="F14" s="470" t="s">
        <v>257</v>
      </c>
      <c r="G14" s="470" t="s">
        <v>258</v>
      </c>
      <c r="H14" s="771">
        <f>'BLU DEC''23 &amp; JAN''24'!S210</f>
        <v>7550</v>
      </c>
      <c r="I14" s="833" t="s">
        <v>235</v>
      </c>
      <c r="J14" s="467" t="s">
        <v>4588</v>
      </c>
      <c r="K14" s="829"/>
      <c r="L14" s="877" t="s">
        <v>4587</v>
      </c>
      <c r="M14" s="877" t="str">
        <f>'BLU DEC''23 &amp; JAN''24'!K210</f>
        <v>BUNYUT</v>
      </c>
      <c r="N14" s="1058" t="e">
        <f t="shared" si="0"/>
        <v>#VALUE!</v>
      </c>
      <c r="O14" s="1080"/>
      <c r="P14" s="465" t="s">
        <v>873</v>
      </c>
      <c r="Q14" s="465" t="s">
        <v>873</v>
      </c>
      <c r="R14" s="465" t="s">
        <v>873</v>
      </c>
      <c r="T14" s="780"/>
      <c r="U14" s="780"/>
      <c r="V14" s="780"/>
      <c r="W14" s="780"/>
      <c r="X14" s="780"/>
      <c r="Y14" s="780"/>
      <c r="Z14" s="780"/>
      <c r="AA14" s="780"/>
      <c r="AB14" s="780">
        <f t="shared" ref="AB14:AB17" si="1">H14</f>
        <v>7550</v>
      </c>
      <c r="AC14" s="780"/>
      <c r="AD14" s="780"/>
      <c r="AE14" s="780"/>
      <c r="AF14" s="780"/>
      <c r="AG14" s="780"/>
      <c r="AH14" s="780"/>
      <c r="AI14" s="780"/>
      <c r="AJ14" s="780"/>
      <c r="AK14" s="780"/>
      <c r="AL14" s="780"/>
      <c r="AM14" s="780"/>
      <c r="AN14" s="780"/>
      <c r="AO14" s="780"/>
      <c r="AP14" s="780"/>
      <c r="AQ14" s="780"/>
      <c r="AR14" s="780"/>
      <c r="AS14" s="780"/>
      <c r="AT14" s="780"/>
      <c r="AU14" s="780"/>
      <c r="AV14" s="780"/>
      <c r="AW14" s="780"/>
      <c r="AX14" s="780"/>
      <c r="AY14" s="780"/>
      <c r="AZ14" s="780"/>
      <c r="BA14" s="780"/>
      <c r="BB14" s="780"/>
      <c r="BC14" s="780"/>
      <c r="BD14" s="780"/>
      <c r="BE14" s="780"/>
      <c r="BF14" s="780"/>
      <c r="BG14" s="780"/>
      <c r="BH14" s="780"/>
    </row>
    <row r="15" spans="1:65" s="824" customFormat="1" ht="13.8">
      <c r="B15" s="1556" t="s">
        <v>548</v>
      </c>
      <c r="C15" s="1557"/>
      <c r="D15" s="470" t="s">
        <v>4006</v>
      </c>
      <c r="E15" s="470"/>
      <c r="F15" s="470" t="s">
        <v>377</v>
      </c>
      <c r="G15" s="470" t="s">
        <v>378</v>
      </c>
      <c r="H15" s="771">
        <f>'BLU DEC''23 &amp; JAN''24'!S211</f>
        <v>7900</v>
      </c>
      <c r="I15" s="833" t="s">
        <v>235</v>
      </c>
      <c r="J15" s="467" t="s">
        <v>4588</v>
      </c>
      <c r="K15" s="829"/>
      <c r="L15" s="877" t="s">
        <v>4587</v>
      </c>
      <c r="M15" s="877" t="str">
        <f>'BLU DEC''23 &amp; JAN''24'!K211</f>
        <v>BUNYUT</v>
      </c>
      <c r="N15" s="1058" t="e">
        <f t="shared" si="0"/>
        <v>#VALUE!</v>
      </c>
      <c r="O15" s="1080"/>
      <c r="P15" s="465" t="s">
        <v>873</v>
      </c>
      <c r="Q15" s="465" t="s">
        <v>873</v>
      </c>
      <c r="R15" s="465" t="s">
        <v>873</v>
      </c>
      <c r="T15" s="780"/>
      <c r="U15" s="780"/>
      <c r="V15" s="780"/>
      <c r="W15" s="780"/>
      <c r="X15" s="773"/>
      <c r="Y15" s="780"/>
      <c r="Z15" s="780"/>
      <c r="AA15" s="780"/>
      <c r="AB15" s="780">
        <f t="shared" si="1"/>
        <v>7900</v>
      </c>
      <c r="AC15" s="780"/>
      <c r="AD15" s="780"/>
      <c r="AE15" s="780"/>
      <c r="AF15" s="780"/>
      <c r="AG15" s="780"/>
      <c r="AH15" s="780"/>
      <c r="AI15" s="780"/>
      <c r="AJ15" s="780"/>
      <c r="AK15" s="780"/>
      <c r="AL15" s="780"/>
      <c r="AM15" s="780"/>
      <c r="AN15" s="780"/>
      <c r="AO15" s="780"/>
      <c r="AP15" s="780"/>
      <c r="AQ15" s="780"/>
      <c r="AR15" s="780"/>
      <c r="AS15" s="780"/>
      <c r="AT15" s="780"/>
      <c r="AU15" s="780"/>
      <c r="AV15" s="780"/>
      <c r="AW15" s="780"/>
      <c r="AX15" s="780"/>
      <c r="AY15" s="780"/>
      <c r="AZ15" s="780"/>
      <c r="BA15" s="780"/>
      <c r="BB15" s="780"/>
      <c r="BC15" s="780"/>
      <c r="BD15" s="780"/>
      <c r="BE15" s="780"/>
      <c r="BF15" s="780"/>
      <c r="BG15" s="780"/>
      <c r="BH15" s="780"/>
    </row>
    <row r="16" spans="1:65" s="773" customFormat="1" ht="13.8">
      <c r="B16" s="1556" t="s">
        <v>548</v>
      </c>
      <c r="C16" s="1557"/>
      <c r="D16" s="470" t="s">
        <v>4008</v>
      </c>
      <c r="E16" s="470"/>
      <c r="F16" s="470" t="s">
        <v>2800</v>
      </c>
      <c r="G16" s="470" t="s">
        <v>2801</v>
      </c>
      <c r="H16" s="771">
        <f>'BLU DEC''23 &amp; JAN''24'!S212</f>
        <v>5300</v>
      </c>
      <c r="I16" s="833" t="s">
        <v>235</v>
      </c>
      <c r="J16" s="467" t="s">
        <v>4588</v>
      </c>
      <c r="K16" s="829"/>
      <c r="L16" s="877" t="s">
        <v>4587</v>
      </c>
      <c r="M16" s="877" t="str">
        <f>'BLU DEC''23 &amp; JAN''24'!K212</f>
        <v>BUNYUT</v>
      </c>
      <c r="N16" s="469" t="e">
        <f t="shared" si="0"/>
        <v>#VALUE!</v>
      </c>
      <c r="O16" s="778"/>
      <c r="P16" s="465" t="s">
        <v>873</v>
      </c>
      <c r="Q16" s="465" t="s">
        <v>873</v>
      </c>
      <c r="R16" s="465" t="s">
        <v>873</v>
      </c>
      <c r="S16" s="779"/>
      <c r="T16" s="780"/>
      <c r="U16" s="780"/>
      <c r="V16" s="780"/>
      <c r="W16" s="780"/>
      <c r="X16" s="780"/>
      <c r="Y16" s="780"/>
      <c r="Z16" s="780"/>
      <c r="AA16" s="780"/>
      <c r="AB16" s="780">
        <f t="shared" si="1"/>
        <v>5300</v>
      </c>
      <c r="AC16" s="780"/>
      <c r="AD16" s="780"/>
      <c r="AE16" s="780"/>
      <c r="AF16" s="780"/>
      <c r="AG16" s="780"/>
      <c r="AH16" s="780"/>
      <c r="AI16" s="780"/>
      <c r="AJ16" s="780"/>
      <c r="AK16" s="780"/>
      <c r="AL16" s="780"/>
      <c r="AM16" s="780"/>
      <c r="AN16" s="780"/>
      <c r="AO16" s="780"/>
      <c r="AP16" s="780"/>
      <c r="AQ16" s="780"/>
      <c r="AR16" s="780"/>
      <c r="AS16" s="780"/>
      <c r="AT16" s="780"/>
      <c r="AU16" s="780"/>
      <c r="AV16" s="780"/>
      <c r="AW16" s="780"/>
      <c r="AX16" s="780"/>
      <c r="AY16" s="780"/>
      <c r="AZ16" s="780"/>
      <c r="BA16" s="780"/>
      <c r="BB16" s="780"/>
      <c r="BC16" s="780"/>
      <c r="BD16" s="780"/>
      <c r="BE16" s="780"/>
      <c r="BF16" s="780"/>
      <c r="BG16" s="780"/>
      <c r="BH16" s="780"/>
    </row>
    <row r="17" spans="2:61" s="824" customFormat="1" ht="13.8">
      <c r="B17" s="1556" t="s">
        <v>548</v>
      </c>
      <c r="C17" s="1557"/>
      <c r="D17" s="470" t="s">
        <v>4010</v>
      </c>
      <c r="E17" s="470"/>
      <c r="F17" s="470" t="s">
        <v>2404</v>
      </c>
      <c r="G17" s="470" t="s">
        <v>2405</v>
      </c>
      <c r="H17" s="771">
        <f>'BLU DEC''23 &amp; JAN''24'!S213</f>
        <v>10500</v>
      </c>
      <c r="I17" s="833" t="s">
        <v>235</v>
      </c>
      <c r="J17" s="467" t="s">
        <v>4588</v>
      </c>
      <c r="K17" s="829"/>
      <c r="L17" s="877" t="s">
        <v>4587</v>
      </c>
      <c r="M17" s="877" t="str">
        <f>'BLU DEC''23 &amp; JAN''24'!K213</f>
        <v>BUNYUT</v>
      </c>
      <c r="N17" s="1058" t="e">
        <f t="shared" si="0"/>
        <v>#VALUE!</v>
      </c>
      <c r="O17" s="1080"/>
      <c r="P17" s="465" t="s">
        <v>873</v>
      </c>
      <c r="Q17" s="465" t="s">
        <v>873</v>
      </c>
      <c r="R17" s="465" t="s">
        <v>873</v>
      </c>
      <c r="T17" s="780"/>
      <c r="U17" s="780"/>
      <c r="V17" s="780"/>
      <c r="W17" s="780"/>
      <c r="X17" s="780"/>
      <c r="Y17" s="780"/>
      <c r="Z17" s="780"/>
      <c r="AA17" s="780"/>
      <c r="AB17" s="780">
        <f t="shared" si="1"/>
        <v>10500</v>
      </c>
      <c r="AC17" s="780"/>
      <c r="AD17" s="780"/>
      <c r="AE17" s="780"/>
      <c r="AF17" s="780"/>
      <c r="AG17" s="780"/>
      <c r="AH17" s="780"/>
      <c r="AI17" s="780"/>
      <c r="AJ17" s="780"/>
      <c r="AK17" s="780"/>
      <c r="AL17" s="780"/>
      <c r="AM17" s="780"/>
      <c r="AN17" s="780"/>
      <c r="AO17" s="780"/>
      <c r="AP17" s="780"/>
      <c r="AQ17" s="780"/>
      <c r="AR17" s="780"/>
      <c r="AS17" s="780"/>
      <c r="AT17" s="780"/>
      <c r="AU17" s="780"/>
      <c r="AV17" s="780"/>
      <c r="AW17" s="780"/>
      <c r="AX17" s="780"/>
      <c r="AY17" s="780"/>
      <c r="AZ17" s="780"/>
      <c r="BA17" s="780"/>
      <c r="BB17" s="780"/>
      <c r="BC17" s="780"/>
      <c r="BD17" s="780"/>
      <c r="BE17" s="780"/>
      <c r="BF17" s="780"/>
      <c r="BG17" s="780"/>
      <c r="BH17" s="780"/>
    </row>
    <row r="18" spans="2:61" s="824" customFormat="1" ht="13.8">
      <c r="B18" s="1556" t="s">
        <v>548</v>
      </c>
      <c r="C18" s="1557"/>
      <c r="D18" s="470" t="s">
        <v>4012</v>
      </c>
      <c r="E18" s="470"/>
      <c r="F18" s="470" t="s">
        <v>1874</v>
      </c>
      <c r="G18" s="470" t="s">
        <v>1875</v>
      </c>
      <c r="H18" s="771">
        <f>'BLU DEC''23 &amp; JAN''24'!S214</f>
        <v>5300</v>
      </c>
      <c r="I18" s="833" t="s">
        <v>235</v>
      </c>
      <c r="J18" s="467" t="s">
        <v>4588</v>
      </c>
      <c r="K18" s="829"/>
      <c r="L18" s="877" t="s">
        <v>4587</v>
      </c>
      <c r="M18" s="877" t="str">
        <f>'BLU DEC''23 &amp; JAN''24'!K214</f>
        <v>BUNYUT</v>
      </c>
      <c r="N18" s="1058" t="e">
        <f t="shared" si="0"/>
        <v>#VALUE!</v>
      </c>
      <c r="O18" s="1080"/>
      <c r="P18" s="465" t="s">
        <v>873</v>
      </c>
      <c r="Q18" s="465" t="s">
        <v>873</v>
      </c>
      <c r="R18" s="465" t="s">
        <v>873</v>
      </c>
      <c r="T18" s="780"/>
      <c r="U18" s="780"/>
      <c r="V18" s="780"/>
      <c r="W18" s="780"/>
      <c r="X18" s="780"/>
      <c r="Y18" s="780"/>
      <c r="Z18" s="780"/>
      <c r="AA18" s="780"/>
      <c r="AB18" s="780">
        <f t="shared" ref="AB18" si="2">H18</f>
        <v>5300</v>
      </c>
      <c r="AC18" s="780"/>
      <c r="AD18" s="780"/>
      <c r="AE18" s="780"/>
      <c r="AF18" s="780"/>
      <c r="AG18" s="780"/>
      <c r="AH18" s="780"/>
      <c r="AI18" s="780"/>
      <c r="AJ18" s="780"/>
      <c r="AK18" s="780"/>
      <c r="AL18" s="780"/>
      <c r="AM18" s="780"/>
      <c r="AN18" s="780"/>
      <c r="AO18" s="780"/>
      <c r="AP18" s="780"/>
      <c r="AQ18" s="780"/>
      <c r="AR18" s="780"/>
      <c r="AS18" s="780"/>
      <c r="AT18" s="780"/>
      <c r="AU18" s="780"/>
      <c r="AV18" s="780"/>
      <c r="AW18" s="780"/>
      <c r="AX18" s="780"/>
      <c r="AY18" s="780"/>
      <c r="AZ18" s="780"/>
      <c r="BA18" s="780"/>
      <c r="BB18" s="780"/>
      <c r="BC18" s="780"/>
      <c r="BD18" s="780"/>
      <c r="BE18" s="780"/>
      <c r="BF18" s="780"/>
      <c r="BG18" s="780"/>
      <c r="BH18" s="780"/>
    </row>
    <row r="19" spans="2:61" s="773" customFormat="1" ht="13.8">
      <c r="B19" s="1556" t="s">
        <v>548</v>
      </c>
      <c r="C19" s="1557"/>
      <c r="D19" s="470" t="s">
        <v>4014</v>
      </c>
      <c r="E19" s="470"/>
      <c r="F19" s="470" t="s">
        <v>301</v>
      </c>
      <c r="G19" s="470" t="s">
        <v>302</v>
      </c>
      <c r="H19" s="771">
        <f>'BLU DEC''23 &amp; JAN''24'!S215</f>
        <v>9250</v>
      </c>
      <c r="I19" s="833" t="s">
        <v>235</v>
      </c>
      <c r="J19" s="467" t="s">
        <v>4589</v>
      </c>
      <c r="K19" s="829"/>
      <c r="L19" s="877" t="s">
        <v>4587</v>
      </c>
      <c r="M19" s="877" t="str">
        <f>'BLU DEC''23 &amp; JAN''24'!K215</f>
        <v>BUNYUT</v>
      </c>
      <c r="N19" s="469" t="e">
        <f t="shared" si="0"/>
        <v>#VALUE!</v>
      </c>
      <c r="O19" s="778"/>
      <c r="P19" s="465" t="s">
        <v>873</v>
      </c>
      <c r="Q19" s="465" t="s">
        <v>873</v>
      </c>
      <c r="R19" s="465" t="s">
        <v>873</v>
      </c>
      <c r="S19" s="779"/>
      <c r="T19" s="1151"/>
      <c r="U19" s="1151"/>
      <c r="V19" s="1151"/>
      <c r="W19" s="1151"/>
      <c r="X19" s="1151"/>
      <c r="Y19" s="1151"/>
      <c r="Z19" s="1151"/>
      <c r="AA19" s="1151"/>
      <c r="AB19" s="1151">
        <f>H19-H23</f>
        <v>7050</v>
      </c>
      <c r="AC19" s="1151"/>
      <c r="AD19" s="1151"/>
      <c r="AE19" s="1151"/>
      <c r="AF19" s="1151"/>
      <c r="AG19" s="1151"/>
      <c r="AH19" s="1151"/>
      <c r="AI19" s="1151"/>
      <c r="AJ19" s="1151"/>
      <c r="AK19" s="1151"/>
      <c r="AL19" s="1151"/>
      <c r="AM19" s="1151"/>
      <c r="AN19" s="1151"/>
      <c r="AO19" s="1151"/>
      <c r="AP19" s="1151"/>
      <c r="AQ19" s="1151"/>
      <c r="AR19" s="1151"/>
      <c r="AS19" s="1151"/>
      <c r="AT19" s="1151"/>
      <c r="AU19" s="1151"/>
      <c r="AV19" s="1151"/>
      <c r="AW19" s="1151"/>
      <c r="AX19" s="1151"/>
      <c r="AY19" s="1151"/>
      <c r="AZ19" s="1151"/>
      <c r="BA19" s="1151"/>
      <c r="BB19" s="1151"/>
      <c r="BC19" s="1151"/>
      <c r="BD19" s="1151"/>
      <c r="BE19" s="1151"/>
      <c r="BF19" s="1151"/>
      <c r="BG19" s="1151"/>
      <c r="BH19" s="1151"/>
    </row>
    <row r="20" spans="2:61" s="61" customFormat="1" ht="13.8">
      <c r="B20" s="1566" t="s">
        <v>556</v>
      </c>
      <c r="C20" s="1567"/>
      <c r="D20" s="1567"/>
      <c r="E20" s="1567"/>
      <c r="F20" s="1567"/>
      <c r="G20" s="1568"/>
      <c r="H20" s="828">
        <f>SUM(H10:H19)</f>
        <v>75800</v>
      </c>
      <c r="I20" s="1569"/>
      <c r="J20" s="1569"/>
      <c r="K20" s="1569"/>
      <c r="L20" s="1569"/>
      <c r="M20" s="1569"/>
      <c r="N20" s="818" t="str">
        <f t="shared" si="0"/>
        <v xml:space="preserve"> </v>
      </c>
      <c r="O20" s="17"/>
      <c r="P20" s="804"/>
      <c r="Q20" s="804"/>
      <c r="R20" s="804"/>
      <c r="S20" s="773"/>
      <c r="T20" s="1579"/>
      <c r="U20" s="1579"/>
      <c r="V20" s="1579"/>
      <c r="W20" s="1579"/>
      <c r="X20" s="1579"/>
      <c r="Y20" s="1579"/>
      <c r="Z20" s="1579"/>
      <c r="AA20" s="1579"/>
      <c r="AB20" s="1579"/>
      <c r="AC20" s="1579"/>
      <c r="AD20" s="1579"/>
      <c r="AE20" s="1579"/>
      <c r="AF20" s="1579"/>
      <c r="AG20" s="1579"/>
      <c r="AH20" s="1579"/>
      <c r="AI20" s="1579"/>
      <c r="AJ20" s="1579"/>
      <c r="AK20" s="1579"/>
      <c r="AL20" s="1579"/>
      <c r="AM20" s="1579"/>
      <c r="AN20" s="1579"/>
      <c r="AO20" s="1579"/>
      <c r="AP20" s="1579"/>
      <c r="AQ20" s="1579"/>
      <c r="AR20" s="1579"/>
      <c r="AS20" s="1579"/>
      <c r="AT20" s="1579"/>
      <c r="AU20" s="1579"/>
      <c r="AV20" s="1579"/>
      <c r="AW20" s="1579"/>
      <c r="AX20" s="1579"/>
      <c r="AY20" s="1579"/>
      <c r="AZ20" s="1579"/>
      <c r="BA20" s="1579"/>
      <c r="BB20" s="1579"/>
      <c r="BC20" s="1579"/>
      <c r="BD20" s="1579"/>
      <c r="BE20" s="1579"/>
      <c r="BF20" s="1579"/>
      <c r="BG20" s="1579"/>
      <c r="BH20" s="1579"/>
    </row>
    <row r="21" spans="2:61" s="61" customFormat="1" ht="13.8">
      <c r="B21" s="1552" t="s">
        <v>557</v>
      </c>
      <c r="C21" s="1553"/>
      <c r="D21" s="1553"/>
      <c r="E21" s="1553"/>
      <c r="F21" s="1553"/>
      <c r="G21" s="1554"/>
      <c r="H21" s="817">
        <v>73600</v>
      </c>
      <c r="I21" s="1555"/>
      <c r="J21" s="1555"/>
      <c r="K21" s="1555"/>
      <c r="L21" s="1555"/>
      <c r="M21" s="1555"/>
      <c r="N21" s="818" t="str">
        <f t="shared" si="0"/>
        <v xml:space="preserve"> </v>
      </c>
      <c r="O21" s="779"/>
      <c r="P21" s="464"/>
      <c r="Q21" s="464"/>
      <c r="R21" s="464"/>
      <c r="S21" s="805"/>
      <c r="T21" s="1152">
        <f t="shared" ref="T21:BH21" si="3">SUM(T10:T19)</f>
        <v>0</v>
      </c>
      <c r="U21" s="1152">
        <f t="shared" si="3"/>
        <v>0</v>
      </c>
      <c r="V21" s="1152">
        <f t="shared" si="3"/>
        <v>0</v>
      </c>
      <c r="W21" s="1152">
        <f t="shared" si="3"/>
        <v>0</v>
      </c>
      <c r="X21" s="1152">
        <f t="shared" si="3"/>
        <v>7500</v>
      </c>
      <c r="Y21" s="1152">
        <f t="shared" si="3"/>
        <v>0</v>
      </c>
      <c r="Z21" s="1152">
        <f t="shared" si="3"/>
        <v>0</v>
      </c>
      <c r="AA21" s="1152">
        <f t="shared" si="3"/>
        <v>0</v>
      </c>
      <c r="AB21" s="1152">
        <f t="shared" si="3"/>
        <v>58600</v>
      </c>
      <c r="AC21" s="1152">
        <f t="shared" si="3"/>
        <v>0</v>
      </c>
      <c r="AD21" s="1152">
        <f t="shared" si="3"/>
        <v>0</v>
      </c>
      <c r="AE21" s="1152">
        <f t="shared" si="3"/>
        <v>0</v>
      </c>
      <c r="AF21" s="1152">
        <f t="shared" si="3"/>
        <v>0</v>
      </c>
      <c r="AG21" s="1152">
        <f t="shared" si="3"/>
        <v>0</v>
      </c>
      <c r="AH21" s="1152">
        <f t="shared" si="3"/>
        <v>0</v>
      </c>
      <c r="AI21" s="1152">
        <f t="shared" si="3"/>
        <v>0</v>
      </c>
      <c r="AJ21" s="1152">
        <f t="shared" si="3"/>
        <v>7500</v>
      </c>
      <c r="AK21" s="1152">
        <f t="shared" si="3"/>
        <v>0</v>
      </c>
      <c r="AL21" s="1152">
        <f t="shared" si="3"/>
        <v>0</v>
      </c>
      <c r="AM21" s="1152">
        <f t="shared" si="3"/>
        <v>0</v>
      </c>
      <c r="AN21" s="1152">
        <f t="shared" si="3"/>
        <v>0</v>
      </c>
      <c r="AO21" s="1152">
        <f t="shared" si="3"/>
        <v>0</v>
      </c>
      <c r="AP21" s="1152">
        <f t="shared" si="3"/>
        <v>0</v>
      </c>
      <c r="AQ21" s="1152">
        <f t="shared" si="3"/>
        <v>0</v>
      </c>
      <c r="AR21" s="1152">
        <f t="shared" si="3"/>
        <v>0</v>
      </c>
      <c r="AS21" s="1152">
        <f t="shared" si="3"/>
        <v>0</v>
      </c>
      <c r="AT21" s="1152">
        <f t="shared" si="3"/>
        <v>0</v>
      </c>
      <c r="AU21" s="1152">
        <f t="shared" si="3"/>
        <v>0</v>
      </c>
      <c r="AV21" s="1152">
        <f t="shared" si="3"/>
        <v>0</v>
      </c>
      <c r="AW21" s="1152">
        <f t="shared" si="3"/>
        <v>0</v>
      </c>
      <c r="AX21" s="1152">
        <f t="shared" si="3"/>
        <v>0</v>
      </c>
      <c r="AY21" s="1152">
        <f t="shared" si="3"/>
        <v>0</v>
      </c>
      <c r="AZ21" s="1152">
        <f t="shared" si="3"/>
        <v>0</v>
      </c>
      <c r="BA21" s="1152">
        <f t="shared" si="3"/>
        <v>0</v>
      </c>
      <c r="BB21" s="1152">
        <f t="shared" si="3"/>
        <v>0</v>
      </c>
      <c r="BC21" s="1152">
        <f t="shared" si="3"/>
        <v>0</v>
      </c>
      <c r="BD21" s="1152">
        <f t="shared" si="3"/>
        <v>0</v>
      </c>
      <c r="BE21" s="1152">
        <f t="shared" si="3"/>
        <v>0</v>
      </c>
      <c r="BF21" s="1152">
        <f t="shared" si="3"/>
        <v>0</v>
      </c>
      <c r="BG21" s="1152">
        <f t="shared" si="3"/>
        <v>0</v>
      </c>
      <c r="BH21" s="1152">
        <f t="shared" si="3"/>
        <v>0</v>
      </c>
      <c r="BI21" s="806">
        <f>SUM(T21:BG21)</f>
        <v>73600</v>
      </c>
    </row>
    <row r="22" spans="2:61" s="61" customFormat="1" ht="13.8">
      <c r="B22" s="1552" t="s">
        <v>558</v>
      </c>
      <c r="C22" s="1553"/>
      <c r="D22" s="1553"/>
      <c r="E22" s="1553"/>
      <c r="F22" s="1553"/>
      <c r="G22" s="1554"/>
      <c r="H22" s="807">
        <f>H21-L4</f>
        <v>73600</v>
      </c>
      <c r="I22" s="772"/>
      <c r="J22" s="811"/>
      <c r="K22" s="811"/>
      <c r="L22" s="547"/>
      <c r="M22" s="773"/>
      <c r="N22" s="779"/>
      <c r="O22" s="779"/>
      <c r="P22" s="779"/>
      <c r="Q22" s="808"/>
      <c r="R22" s="808"/>
      <c r="S22" s="779"/>
      <c r="T22" s="809"/>
      <c r="U22" s="809"/>
      <c r="V22" s="809"/>
      <c r="W22" s="809"/>
      <c r="X22" s="809"/>
      <c r="Y22" s="809"/>
      <c r="Z22" s="809"/>
      <c r="AA22" s="809"/>
      <c r="AB22" s="809"/>
      <c r="AC22" s="779"/>
      <c r="AD22" s="779"/>
      <c r="AE22" s="779"/>
      <c r="AF22" s="779"/>
      <c r="AG22" s="779"/>
      <c r="AH22" s="779"/>
      <c r="AI22" s="779"/>
      <c r="AJ22" s="779"/>
      <c r="AK22" s="779"/>
      <c r="AL22" s="779"/>
      <c r="AM22" s="779"/>
      <c r="AN22" s="779"/>
      <c r="AO22" s="779"/>
      <c r="AP22" s="779"/>
      <c r="AQ22" s="779"/>
      <c r="AR22" s="779"/>
    </row>
    <row r="23" spans="2:61" s="61" customFormat="1" ht="13.8">
      <c r="B23" s="1552" t="s">
        <v>559</v>
      </c>
      <c r="C23" s="1553"/>
      <c r="D23" s="1553"/>
      <c r="E23" s="1553"/>
      <c r="F23" s="1553"/>
      <c r="G23" s="1554"/>
      <c r="H23" s="810">
        <f>H20-H21</f>
        <v>2200</v>
      </c>
      <c r="I23" s="772"/>
      <c r="J23" s="811"/>
      <c r="K23" s="811"/>
      <c r="L23" s="547"/>
      <c r="M23" s="773"/>
      <c r="N23" s="781"/>
      <c r="O23" s="779"/>
      <c r="P23" s="779"/>
      <c r="Q23" s="779"/>
      <c r="R23" s="779"/>
      <c r="S23" s="779"/>
      <c r="T23" s="809"/>
      <c r="U23" s="809"/>
      <c r="V23" s="809"/>
      <c r="W23" s="809"/>
      <c r="X23" s="809"/>
      <c r="Y23" s="809"/>
      <c r="Z23" s="809"/>
      <c r="AA23" s="809"/>
      <c r="AB23" s="809"/>
      <c r="AC23" s="779"/>
      <c r="AD23" s="779"/>
      <c r="AE23" s="779"/>
      <c r="AF23" s="779"/>
      <c r="AG23" s="779"/>
      <c r="AH23" s="779"/>
      <c r="AI23" s="779"/>
      <c r="AJ23" s="779"/>
      <c r="AK23" s="779"/>
      <c r="AL23" s="779"/>
      <c r="AM23" s="779"/>
      <c r="AN23" s="779"/>
      <c r="AO23" s="779"/>
      <c r="AP23" s="779"/>
      <c r="AQ23" s="779"/>
      <c r="AR23" s="779"/>
    </row>
    <row r="24" spans="2:61" ht="13.8">
      <c r="P24" s="779"/>
      <c r="Q24" s="779"/>
      <c r="R24" s="779"/>
      <c r="S24" s="779"/>
      <c r="T24" s="809"/>
      <c r="U24" s="809"/>
      <c r="V24" s="809"/>
      <c r="W24" s="809"/>
      <c r="X24" s="809"/>
      <c r="Y24" s="809"/>
      <c r="Z24" s="809"/>
      <c r="AA24" s="809"/>
      <c r="AB24" s="809"/>
      <c r="AC24" s="779"/>
      <c r="AD24" s="779"/>
      <c r="AE24" s="779"/>
      <c r="AF24" s="779"/>
      <c r="AG24" s="779"/>
      <c r="AH24" s="779"/>
      <c r="AI24" s="779"/>
      <c r="AJ24" s="779"/>
      <c r="AK24" s="779"/>
      <c r="AL24" s="779"/>
      <c r="AM24" s="779"/>
      <c r="AN24" s="779"/>
      <c r="AO24" s="779"/>
      <c r="AP24" s="779"/>
      <c r="AQ24" s="779"/>
      <c r="AR24" s="779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</row>
    <row r="25" spans="2:61" ht="13.8">
      <c r="B25" s="790" t="s">
        <v>561</v>
      </c>
      <c r="C25" s="790"/>
      <c r="D25" s="779"/>
      <c r="E25" s="779"/>
      <c r="F25" s="779"/>
      <c r="G25" s="779"/>
      <c r="H25" s="779"/>
      <c r="I25" s="779"/>
      <c r="J25" s="812"/>
      <c r="K25" s="812"/>
      <c r="L25" s="813"/>
      <c r="M25" s="779"/>
      <c r="O25" s="812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</row>
    <row r="26" spans="2:61" ht="13.8">
      <c r="B26" s="468"/>
      <c r="C26" s="1565"/>
      <c r="D26" s="1565"/>
      <c r="E26" s="1565"/>
      <c r="F26" s="1565"/>
      <c r="G26" s="1565"/>
      <c r="H26" s="1565"/>
      <c r="I26" s="1565"/>
      <c r="J26" s="1565"/>
      <c r="K26" s="1565"/>
      <c r="M26" s="784"/>
    </row>
    <row r="27" spans="2:61" ht="13.8">
      <c r="M27" s="784"/>
    </row>
    <row r="28" spans="2:61" ht="13.8">
      <c r="M28" s="784"/>
    </row>
    <row r="29" spans="2:61" ht="13.8">
      <c r="M29" s="784"/>
    </row>
    <row r="30" spans="2:61" ht="13.8">
      <c r="M30" s="784"/>
    </row>
    <row r="31" spans="2:61" ht="13.8">
      <c r="M31" s="784"/>
    </row>
    <row r="32" spans="2:61" ht="13.8">
      <c r="M32" s="784"/>
    </row>
    <row r="33" spans="13:13" ht="13.8">
      <c r="M33" s="784"/>
    </row>
    <row r="34" spans="13:13" ht="13.8">
      <c r="M34" s="784"/>
    </row>
    <row r="35" spans="13:13" ht="13.8"/>
  </sheetData>
  <mergeCells count="23">
    <mergeCell ref="B10:C10"/>
    <mergeCell ref="B18:C18"/>
    <mergeCell ref="T20:BH20"/>
    <mergeCell ref="T8:X8"/>
    <mergeCell ref="Y8:AA8"/>
    <mergeCell ref="AB8:AC8"/>
    <mergeCell ref="B9:C9"/>
    <mergeCell ref="AF8:BH8"/>
    <mergeCell ref="B16:C16"/>
    <mergeCell ref="B17:C17"/>
    <mergeCell ref="B19:C19"/>
    <mergeCell ref="B20:G20"/>
    <mergeCell ref="B11:C11"/>
    <mergeCell ref="B12:C12"/>
    <mergeCell ref="B22:G22"/>
    <mergeCell ref="B23:G23"/>
    <mergeCell ref="C26:K26"/>
    <mergeCell ref="B13:C13"/>
    <mergeCell ref="B14:C14"/>
    <mergeCell ref="B15:C15"/>
    <mergeCell ref="B21:G21"/>
    <mergeCell ref="I21:M21"/>
    <mergeCell ref="I20:M20"/>
  </mergeCells>
  <pageMargins left="0.7" right="0.7" top="0.75" bottom="0.75" header="0.3" footer="0.3"/>
  <pageSetup paperSize="9" scale="24" orientation="landscape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1F00-000000000000}">
          <x14:formula1>
            <xm:f>'FLF &amp; AGENT INFO'!$F$3:$F$28</xm:f>
          </x14:formula1>
          <xm:sqref>F7</xm:sqref>
        </x14:dataValidation>
        <x14:dataValidation type="list" allowBlank="1" showInputMessage="1" showErrorMessage="1" xr:uid="{00000000-0002-0000-1F00-000001000000}">
          <x14:formula1>
            <xm:f>'FLF &amp; AGENT INFO'!$B$3:$B$20</xm:f>
          </x14:formula1>
          <xm:sqref>F5</xm:sqref>
        </x14:dataValidation>
        <x14:dataValidation type="list" allowBlank="1" showInputMessage="1" showErrorMessage="1" xr:uid="{00000000-0002-0000-1F00-000002000000}">
          <x14:formula1>
            <xm:f>'FLF &amp; AGENT INFO'!$H$3:$H$7</xm:f>
          </x14:formula1>
          <xm:sqref>L6</xm:sqref>
        </x14:dataValidation>
        <x14:dataValidation type="list" allowBlank="1" showInputMessage="1" showErrorMessage="1" xr:uid="{00000000-0002-0000-1F00-000003000000}">
          <x14:formula1>
            <xm:f>'FLF &amp; AGENT INFO'!$D$3:$D$31</xm:f>
          </x14:formula1>
          <xm:sqref>F6</xm:sqref>
        </x14:dataValidation>
        <x14:dataValidation type="list" allowBlank="1" showInputMessage="1" showErrorMessage="1" xr:uid="{00000000-0002-0000-1F00-000004000000}">
          <x14:formula1>
            <xm:f>'VLU 2023 &amp; 2024'!$I$253:$I$275</xm:f>
          </x14:formula1>
          <xm:sqref>L5</xm:sqref>
        </x14:dataValidation>
        <x14:dataValidation type="list" allowBlank="1" showInputMessage="1" showErrorMessage="1" xr:uid="{00000000-0002-0000-1F00-000005000000}">
          <x14:formula1>
            <xm:f>'VLU 2023 &amp; 2024'!$H$253:$H$275</xm:f>
          </x14:formula1>
          <xm:sqref>F2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BI36"/>
  <sheetViews>
    <sheetView zoomScale="85" zoomScaleNormal="85" workbookViewId="0">
      <selection activeCell="B2" sqref="B2"/>
    </sheetView>
  </sheetViews>
  <sheetFormatPr defaultColWidth="9.109375" defaultRowHeight="13.8"/>
  <cols>
    <col min="1" max="1" width="1.33203125" style="781" customWidth="1"/>
    <col min="2" max="2" width="7.6640625" style="781" customWidth="1"/>
    <col min="3" max="3" width="9.109375" style="781" customWidth="1"/>
    <col min="4" max="4" width="13" style="781" customWidth="1"/>
    <col min="5" max="5" width="1.6640625" style="781" bestFit="1" customWidth="1"/>
    <col min="6" max="6" width="21.109375" style="781" customWidth="1"/>
    <col min="7" max="7" width="20.88671875" style="781" customWidth="1"/>
    <col min="8" max="8" width="10.33203125" style="781" customWidth="1"/>
    <col min="9" max="9" width="22.33203125" style="782" customWidth="1"/>
    <col min="10" max="10" width="22.88671875" style="783" customWidth="1"/>
    <col min="11" max="11" width="1.6640625" style="783" bestFit="1" customWidth="1"/>
    <col min="12" max="12" width="21.33203125" style="784" customWidth="1"/>
    <col min="13" max="13" width="19.109375" style="781" customWidth="1"/>
    <col min="14" max="14" width="7.6640625" style="781" hidden="1" customWidth="1"/>
    <col min="15" max="15" width="1.33203125" style="783" customWidth="1"/>
    <col min="16" max="18" width="8.33203125" style="785" customWidth="1"/>
    <col min="19" max="19" width="2.6640625" style="785" customWidth="1"/>
    <col min="20" max="20" width="11" style="785" bestFit="1" customWidth="1"/>
    <col min="21" max="27" width="12.44140625" style="785" customWidth="1"/>
    <col min="28" max="37" width="12.44140625" style="781" customWidth="1"/>
    <col min="38" max="38" width="9.33203125" style="781" bestFit="1" customWidth="1"/>
    <col min="39" max="40" width="10" style="781" bestFit="1" customWidth="1"/>
    <col min="41" max="41" width="11" style="781" bestFit="1" customWidth="1"/>
    <col min="42" max="42" width="10" style="781" bestFit="1" customWidth="1"/>
    <col min="43" max="43" width="11" style="781" bestFit="1" customWidth="1"/>
    <col min="44" max="44" width="10.33203125" style="781" bestFit="1" customWidth="1"/>
    <col min="45" max="45" width="10" style="781" bestFit="1" customWidth="1"/>
    <col min="46" max="46" width="11.6640625" style="781" customWidth="1"/>
    <col min="47" max="56" width="10" style="781" bestFit="1" customWidth="1"/>
    <col min="57" max="57" width="11" style="781" bestFit="1" customWidth="1"/>
    <col min="58" max="60" width="9.109375" style="781" bestFit="1" customWidth="1"/>
    <col min="61" max="61" width="10.44140625" style="781" bestFit="1" customWidth="1"/>
    <col min="62" max="275" width="9.109375" style="781" bestFit="1" customWidth="1"/>
    <col min="276" max="276" width="2.6640625" style="781" customWidth="1"/>
    <col min="277" max="277" width="5" style="781" customWidth="1"/>
    <col min="278" max="278" width="11.6640625" style="781" customWidth="1"/>
    <col min="279" max="279" width="17" style="781" customWidth="1"/>
    <col min="280" max="280" width="6.6640625" style="781" customWidth="1"/>
    <col min="281" max="281" width="18.33203125" style="781" customWidth="1"/>
    <col min="282" max="282" width="10" style="781" customWidth="1"/>
    <col min="283" max="283" width="9" style="781" bestFit="1" customWidth="1"/>
    <col min="284" max="284" width="6.5546875" style="781" customWidth="1"/>
    <col min="285" max="285" width="15.44140625" style="781" customWidth="1"/>
    <col min="286" max="286" width="36.6640625" style="781" customWidth="1"/>
    <col min="287" max="287" width="0" style="781" hidden="1" customWidth="1"/>
    <col min="288" max="288" width="9.109375" style="781" bestFit="1" customWidth="1"/>
    <col min="289" max="289" width="10.33203125" style="781" bestFit="1" customWidth="1"/>
    <col min="290" max="531" width="9.109375" style="781" bestFit="1" customWidth="1"/>
    <col min="532" max="532" width="2.6640625" style="781" customWidth="1"/>
    <col min="533" max="533" width="5" style="781" customWidth="1"/>
    <col min="534" max="534" width="11.6640625" style="781" customWidth="1"/>
    <col min="535" max="535" width="17" style="781" customWidth="1"/>
    <col min="536" max="536" width="6.6640625" style="781" customWidth="1"/>
    <col min="537" max="537" width="18.33203125" style="781" customWidth="1"/>
    <col min="538" max="538" width="10" style="781" customWidth="1"/>
    <col min="539" max="539" width="9" style="781" bestFit="1" customWidth="1"/>
    <col min="540" max="540" width="6.5546875" style="781" customWidth="1"/>
    <col min="541" max="541" width="15.44140625" style="781" customWidth="1"/>
    <col min="542" max="542" width="36.6640625" style="781" customWidth="1"/>
    <col min="543" max="543" width="0" style="781" hidden="1" customWidth="1"/>
    <col min="544" max="544" width="9.109375" style="781" bestFit="1" customWidth="1"/>
    <col min="545" max="545" width="10.33203125" style="781" bestFit="1" customWidth="1"/>
    <col min="546" max="787" width="9.109375" style="781" bestFit="1" customWidth="1"/>
    <col min="788" max="788" width="2.6640625" style="781" customWidth="1"/>
    <col min="789" max="789" width="5" style="781" customWidth="1"/>
    <col min="790" max="790" width="11.6640625" style="781" customWidth="1"/>
    <col min="791" max="791" width="17" style="781" customWidth="1"/>
    <col min="792" max="792" width="6.6640625" style="781" customWidth="1"/>
    <col min="793" max="793" width="18.33203125" style="781" customWidth="1"/>
    <col min="794" max="794" width="10" style="781" customWidth="1"/>
    <col min="795" max="795" width="9" style="781" bestFit="1" customWidth="1"/>
    <col min="796" max="796" width="6.5546875" style="781" customWidth="1"/>
    <col min="797" max="797" width="15.44140625" style="781" customWidth="1"/>
    <col min="798" max="798" width="36.6640625" style="781" customWidth="1"/>
    <col min="799" max="799" width="0" style="781" hidden="1" customWidth="1"/>
    <col min="800" max="800" width="9.109375" style="781" bestFit="1" customWidth="1"/>
    <col min="801" max="801" width="10.33203125" style="781" bestFit="1" customWidth="1"/>
    <col min="802" max="1043" width="9.109375" style="781" bestFit="1" customWidth="1"/>
    <col min="1044" max="1044" width="2.6640625" style="781" customWidth="1"/>
    <col min="1045" max="1045" width="5" style="781" customWidth="1"/>
    <col min="1046" max="1046" width="11.6640625" style="781" customWidth="1"/>
    <col min="1047" max="1047" width="17" style="781" customWidth="1"/>
    <col min="1048" max="1048" width="6.6640625" style="781" customWidth="1"/>
    <col min="1049" max="1049" width="18.33203125" style="781" customWidth="1"/>
    <col min="1050" max="1050" width="10" style="781" customWidth="1"/>
    <col min="1051" max="1051" width="9" style="781" bestFit="1" customWidth="1"/>
    <col min="1052" max="1052" width="6.5546875" style="781" customWidth="1"/>
    <col min="1053" max="1053" width="15.44140625" style="781" customWidth="1"/>
    <col min="1054" max="1054" width="36.6640625" style="781" customWidth="1"/>
    <col min="1055" max="1055" width="0" style="781" hidden="1" customWidth="1"/>
    <col min="1056" max="1056" width="9.109375" style="781" bestFit="1" customWidth="1"/>
    <col min="1057" max="1057" width="10.33203125" style="781" bestFit="1" customWidth="1"/>
    <col min="1058" max="1299" width="9.109375" style="781" bestFit="1" customWidth="1"/>
    <col min="1300" max="1300" width="2.6640625" style="781" customWidth="1"/>
    <col min="1301" max="1301" width="5" style="781" customWidth="1"/>
    <col min="1302" max="1302" width="11.6640625" style="781" customWidth="1"/>
    <col min="1303" max="1303" width="17" style="781" customWidth="1"/>
    <col min="1304" max="1304" width="6.6640625" style="781" customWidth="1"/>
    <col min="1305" max="1305" width="18.33203125" style="781" customWidth="1"/>
    <col min="1306" max="1306" width="10" style="781" customWidth="1"/>
    <col min="1307" max="1307" width="9" style="781" bestFit="1" customWidth="1"/>
    <col min="1308" max="1308" width="6.5546875" style="781" customWidth="1"/>
    <col min="1309" max="1309" width="15.44140625" style="781" customWidth="1"/>
    <col min="1310" max="1310" width="36.6640625" style="781" customWidth="1"/>
    <col min="1311" max="1311" width="0" style="781" hidden="1" customWidth="1"/>
    <col min="1312" max="1312" width="9.109375" style="781" bestFit="1" customWidth="1"/>
    <col min="1313" max="1313" width="10.33203125" style="781" bestFit="1" customWidth="1"/>
    <col min="1314" max="1555" width="9.109375" style="781" bestFit="1" customWidth="1"/>
    <col min="1556" max="1556" width="2.6640625" style="781" customWidth="1"/>
    <col min="1557" max="1557" width="5" style="781" customWidth="1"/>
    <col min="1558" max="1558" width="11.6640625" style="781" customWidth="1"/>
    <col min="1559" max="1559" width="17" style="781" customWidth="1"/>
    <col min="1560" max="1560" width="6.6640625" style="781" customWidth="1"/>
    <col min="1561" max="1561" width="18.33203125" style="781" customWidth="1"/>
    <col min="1562" max="1562" width="10" style="781" customWidth="1"/>
    <col min="1563" max="1563" width="9" style="781" bestFit="1" customWidth="1"/>
    <col min="1564" max="1564" width="6.5546875" style="781" customWidth="1"/>
    <col min="1565" max="1565" width="15.44140625" style="781" customWidth="1"/>
    <col min="1566" max="1566" width="36.6640625" style="781" customWidth="1"/>
    <col min="1567" max="1567" width="0" style="781" hidden="1" customWidth="1"/>
    <col min="1568" max="1568" width="9.109375" style="781" bestFit="1" customWidth="1"/>
    <col min="1569" max="1569" width="10.33203125" style="781" bestFit="1" customWidth="1"/>
    <col min="1570" max="1811" width="9.109375" style="781" bestFit="1" customWidth="1"/>
    <col min="1812" max="1812" width="2.6640625" style="781" customWidth="1"/>
    <col min="1813" max="1813" width="5" style="781" customWidth="1"/>
    <col min="1814" max="1814" width="11.6640625" style="781" customWidth="1"/>
    <col min="1815" max="1815" width="17" style="781" customWidth="1"/>
    <col min="1816" max="1816" width="6.6640625" style="781" customWidth="1"/>
    <col min="1817" max="1817" width="18.33203125" style="781" customWidth="1"/>
    <col min="1818" max="1818" width="10" style="781" customWidth="1"/>
    <col min="1819" max="1819" width="9" style="781" bestFit="1" customWidth="1"/>
    <col min="1820" max="1820" width="6.5546875" style="781" customWidth="1"/>
    <col min="1821" max="1821" width="15.44140625" style="781" customWidth="1"/>
    <col min="1822" max="1822" width="36.6640625" style="781" customWidth="1"/>
    <col min="1823" max="1823" width="0" style="781" hidden="1" customWidth="1"/>
    <col min="1824" max="1824" width="9.109375" style="781" bestFit="1" customWidth="1"/>
    <col min="1825" max="1825" width="10.33203125" style="781" bestFit="1" customWidth="1"/>
    <col min="1826" max="2067" width="9.109375" style="781" bestFit="1" customWidth="1"/>
    <col min="2068" max="2068" width="2.6640625" style="781" customWidth="1"/>
    <col min="2069" max="2069" width="5" style="781" customWidth="1"/>
    <col min="2070" max="2070" width="11.6640625" style="781" customWidth="1"/>
    <col min="2071" max="2071" width="17" style="781" customWidth="1"/>
    <col min="2072" max="2072" width="6.6640625" style="781" customWidth="1"/>
    <col min="2073" max="2073" width="18.33203125" style="781" customWidth="1"/>
    <col min="2074" max="2074" width="10" style="781" customWidth="1"/>
    <col min="2075" max="2075" width="9" style="781" bestFit="1" customWidth="1"/>
    <col min="2076" max="2076" width="6.5546875" style="781" customWidth="1"/>
    <col min="2077" max="2077" width="15.44140625" style="781" customWidth="1"/>
    <col min="2078" max="2078" width="36.6640625" style="781" customWidth="1"/>
    <col min="2079" max="2079" width="0" style="781" hidden="1" customWidth="1"/>
    <col min="2080" max="2080" width="9.109375" style="781" bestFit="1" customWidth="1"/>
    <col min="2081" max="2081" width="10.33203125" style="781" bestFit="1" customWidth="1"/>
    <col min="2082" max="2323" width="9.109375" style="781" bestFit="1" customWidth="1"/>
    <col min="2324" max="2324" width="2.6640625" style="781" customWidth="1"/>
    <col min="2325" max="2325" width="5" style="781" customWidth="1"/>
    <col min="2326" max="2326" width="11.6640625" style="781" customWidth="1"/>
    <col min="2327" max="2327" width="17" style="781" customWidth="1"/>
    <col min="2328" max="2328" width="6.6640625" style="781" customWidth="1"/>
    <col min="2329" max="2329" width="18.33203125" style="781" customWidth="1"/>
    <col min="2330" max="2330" width="10" style="781" customWidth="1"/>
    <col min="2331" max="2331" width="9" style="781" bestFit="1" customWidth="1"/>
    <col min="2332" max="2332" width="6.5546875" style="781" customWidth="1"/>
    <col min="2333" max="2333" width="15.44140625" style="781" customWidth="1"/>
    <col min="2334" max="2334" width="36.6640625" style="781" customWidth="1"/>
    <col min="2335" max="2335" width="0" style="781" hidden="1" customWidth="1"/>
    <col min="2336" max="2336" width="9.109375" style="781" bestFit="1" customWidth="1"/>
    <col min="2337" max="2337" width="10.33203125" style="781" bestFit="1" customWidth="1"/>
    <col min="2338" max="2579" width="9.109375" style="781" bestFit="1" customWidth="1"/>
    <col min="2580" max="2580" width="2.6640625" style="781" customWidth="1"/>
    <col min="2581" max="2581" width="5" style="781" customWidth="1"/>
    <col min="2582" max="2582" width="11.6640625" style="781" customWidth="1"/>
    <col min="2583" max="2583" width="17" style="781" customWidth="1"/>
    <col min="2584" max="2584" width="6.6640625" style="781" customWidth="1"/>
    <col min="2585" max="2585" width="18.33203125" style="781" customWidth="1"/>
    <col min="2586" max="2586" width="10" style="781" customWidth="1"/>
    <col min="2587" max="2587" width="9" style="781" bestFit="1" customWidth="1"/>
    <col min="2588" max="2588" width="6.5546875" style="781" customWidth="1"/>
    <col min="2589" max="2589" width="15.44140625" style="781" customWidth="1"/>
    <col min="2590" max="2590" width="36.6640625" style="781" customWidth="1"/>
    <col min="2591" max="2591" width="0" style="781" hidden="1" customWidth="1"/>
    <col min="2592" max="2592" width="9.109375" style="781" bestFit="1" customWidth="1"/>
    <col min="2593" max="2593" width="10.33203125" style="781" bestFit="1" customWidth="1"/>
    <col min="2594" max="2835" width="9.109375" style="781" bestFit="1" customWidth="1"/>
    <col min="2836" max="2836" width="2.6640625" style="781" customWidth="1"/>
    <col min="2837" max="2837" width="5" style="781" customWidth="1"/>
    <col min="2838" max="2838" width="11.6640625" style="781" customWidth="1"/>
    <col min="2839" max="2839" width="17" style="781" customWidth="1"/>
    <col min="2840" max="2840" width="6.6640625" style="781" customWidth="1"/>
    <col min="2841" max="2841" width="18.33203125" style="781" customWidth="1"/>
    <col min="2842" max="2842" width="10" style="781" customWidth="1"/>
    <col min="2843" max="2843" width="9" style="781" bestFit="1" customWidth="1"/>
    <col min="2844" max="2844" width="6.5546875" style="781" customWidth="1"/>
    <col min="2845" max="2845" width="15.44140625" style="781" customWidth="1"/>
    <col min="2846" max="2846" width="36.6640625" style="781" customWidth="1"/>
    <col min="2847" max="2847" width="0" style="781" hidden="1" customWidth="1"/>
    <col min="2848" max="2848" width="9.109375" style="781" bestFit="1" customWidth="1"/>
    <col min="2849" max="2849" width="10.33203125" style="781" bestFit="1" customWidth="1"/>
    <col min="2850" max="3091" width="9.109375" style="781" bestFit="1" customWidth="1"/>
    <col min="3092" max="3092" width="2.6640625" style="781" customWidth="1"/>
    <col min="3093" max="3093" width="5" style="781" customWidth="1"/>
    <col min="3094" max="3094" width="11.6640625" style="781" customWidth="1"/>
    <col min="3095" max="3095" width="17" style="781" customWidth="1"/>
    <col min="3096" max="3096" width="6.6640625" style="781" customWidth="1"/>
    <col min="3097" max="3097" width="18.33203125" style="781" customWidth="1"/>
    <col min="3098" max="3098" width="10" style="781" customWidth="1"/>
    <col min="3099" max="3099" width="9" style="781" bestFit="1" customWidth="1"/>
    <col min="3100" max="3100" width="6.5546875" style="781" customWidth="1"/>
    <col min="3101" max="3101" width="15.44140625" style="781" customWidth="1"/>
    <col min="3102" max="3102" width="36.6640625" style="781" customWidth="1"/>
    <col min="3103" max="3103" width="0" style="781" hidden="1" customWidth="1"/>
    <col min="3104" max="3104" width="9.109375" style="781" bestFit="1" customWidth="1"/>
    <col min="3105" max="3105" width="10.33203125" style="781" bestFit="1" customWidth="1"/>
    <col min="3106" max="3347" width="9.109375" style="781" bestFit="1" customWidth="1"/>
    <col min="3348" max="3348" width="2.6640625" style="781" customWidth="1"/>
    <col min="3349" max="3349" width="5" style="781" customWidth="1"/>
    <col min="3350" max="3350" width="11.6640625" style="781" customWidth="1"/>
    <col min="3351" max="3351" width="17" style="781" customWidth="1"/>
    <col min="3352" max="3352" width="6.6640625" style="781" customWidth="1"/>
    <col min="3353" max="3353" width="18.33203125" style="781" customWidth="1"/>
    <col min="3354" max="3354" width="10" style="781" customWidth="1"/>
    <col min="3355" max="3355" width="9" style="781" bestFit="1" customWidth="1"/>
    <col min="3356" max="3356" width="6.5546875" style="781" customWidth="1"/>
    <col min="3357" max="3357" width="15.44140625" style="781" customWidth="1"/>
    <col min="3358" max="3358" width="36.6640625" style="781" customWidth="1"/>
    <col min="3359" max="3359" width="0" style="781" hidden="1" customWidth="1"/>
    <col min="3360" max="3360" width="9.109375" style="781" bestFit="1" customWidth="1"/>
    <col min="3361" max="3361" width="10.33203125" style="781" bestFit="1" customWidth="1"/>
    <col min="3362" max="3603" width="9.109375" style="781" bestFit="1" customWidth="1"/>
    <col min="3604" max="3604" width="2.6640625" style="781" customWidth="1"/>
    <col min="3605" max="3605" width="5" style="781" customWidth="1"/>
    <col min="3606" max="3606" width="11.6640625" style="781" customWidth="1"/>
    <col min="3607" max="3607" width="17" style="781" customWidth="1"/>
    <col min="3608" max="3608" width="6.6640625" style="781" customWidth="1"/>
    <col min="3609" max="3609" width="18.33203125" style="781" customWidth="1"/>
    <col min="3610" max="3610" width="10" style="781" customWidth="1"/>
    <col min="3611" max="3611" width="9" style="781" bestFit="1" customWidth="1"/>
    <col min="3612" max="3612" width="6.5546875" style="781" customWidth="1"/>
    <col min="3613" max="3613" width="15.44140625" style="781" customWidth="1"/>
    <col min="3614" max="3614" width="36.6640625" style="781" customWidth="1"/>
    <col min="3615" max="3615" width="0" style="781" hidden="1" customWidth="1"/>
    <col min="3616" max="3616" width="9.109375" style="781" bestFit="1" customWidth="1"/>
    <col min="3617" max="3617" width="10.33203125" style="781" bestFit="1" customWidth="1"/>
    <col min="3618" max="3859" width="9.109375" style="781" bestFit="1" customWidth="1"/>
    <col min="3860" max="3860" width="2.6640625" style="781" customWidth="1"/>
    <col min="3861" max="3861" width="5" style="781" customWidth="1"/>
    <col min="3862" max="3862" width="11.6640625" style="781" customWidth="1"/>
    <col min="3863" max="3863" width="17" style="781" customWidth="1"/>
    <col min="3864" max="3864" width="6.6640625" style="781" customWidth="1"/>
    <col min="3865" max="3865" width="18.33203125" style="781" customWidth="1"/>
    <col min="3866" max="3866" width="10" style="781" customWidth="1"/>
    <col min="3867" max="3867" width="9" style="781" bestFit="1" customWidth="1"/>
    <col min="3868" max="3868" width="6.5546875" style="781" customWidth="1"/>
    <col min="3869" max="3869" width="15.44140625" style="781" customWidth="1"/>
    <col min="3870" max="3870" width="36.6640625" style="781" customWidth="1"/>
    <col min="3871" max="3871" width="0" style="781" hidden="1" customWidth="1"/>
    <col min="3872" max="3872" width="9.109375" style="781" bestFit="1" customWidth="1"/>
    <col min="3873" max="3873" width="10.33203125" style="781" bestFit="1" customWidth="1"/>
    <col min="3874" max="4115" width="9.109375" style="781" bestFit="1" customWidth="1"/>
    <col min="4116" max="4116" width="2.6640625" style="781" customWidth="1"/>
    <col min="4117" max="4117" width="5" style="781" customWidth="1"/>
    <col min="4118" max="4118" width="11.6640625" style="781" customWidth="1"/>
    <col min="4119" max="4119" width="17" style="781" customWidth="1"/>
    <col min="4120" max="4120" width="6.6640625" style="781" customWidth="1"/>
    <col min="4121" max="4121" width="18.33203125" style="781" customWidth="1"/>
    <col min="4122" max="4122" width="10" style="781" customWidth="1"/>
    <col min="4123" max="4123" width="9" style="781" bestFit="1" customWidth="1"/>
    <col min="4124" max="4124" width="6.5546875" style="781" customWidth="1"/>
    <col min="4125" max="4125" width="15.44140625" style="781" customWidth="1"/>
    <col min="4126" max="4126" width="36.6640625" style="781" customWidth="1"/>
    <col min="4127" max="4127" width="0" style="781" hidden="1" customWidth="1"/>
    <col min="4128" max="4128" width="9.109375" style="781" bestFit="1" customWidth="1"/>
    <col min="4129" max="4129" width="10.33203125" style="781" bestFit="1" customWidth="1"/>
    <col min="4130" max="4371" width="9.109375" style="781" bestFit="1" customWidth="1"/>
    <col min="4372" max="4372" width="2.6640625" style="781" customWidth="1"/>
    <col min="4373" max="4373" width="5" style="781" customWidth="1"/>
    <col min="4374" max="4374" width="11.6640625" style="781" customWidth="1"/>
    <col min="4375" max="4375" width="17" style="781" customWidth="1"/>
    <col min="4376" max="4376" width="6.6640625" style="781" customWidth="1"/>
    <col min="4377" max="4377" width="18.33203125" style="781" customWidth="1"/>
    <col min="4378" max="4378" width="10" style="781" customWidth="1"/>
    <col min="4379" max="4379" width="9" style="781" bestFit="1" customWidth="1"/>
    <col min="4380" max="4380" width="6.5546875" style="781" customWidth="1"/>
    <col min="4381" max="4381" width="15.44140625" style="781" customWidth="1"/>
    <col min="4382" max="4382" width="36.6640625" style="781" customWidth="1"/>
    <col min="4383" max="4383" width="0" style="781" hidden="1" customWidth="1"/>
    <col min="4384" max="4384" width="9.109375" style="781" bestFit="1" customWidth="1"/>
    <col min="4385" max="4385" width="10.33203125" style="781" bestFit="1" customWidth="1"/>
    <col min="4386" max="4627" width="9.109375" style="781" bestFit="1" customWidth="1"/>
    <col min="4628" max="4628" width="2.6640625" style="781" customWidth="1"/>
    <col min="4629" max="4629" width="5" style="781" customWidth="1"/>
    <col min="4630" max="4630" width="11.6640625" style="781" customWidth="1"/>
    <col min="4631" max="4631" width="17" style="781" customWidth="1"/>
    <col min="4632" max="4632" width="6.6640625" style="781" customWidth="1"/>
    <col min="4633" max="4633" width="18.33203125" style="781" customWidth="1"/>
    <col min="4634" max="4634" width="10" style="781" customWidth="1"/>
    <col min="4635" max="4635" width="9" style="781" bestFit="1" customWidth="1"/>
    <col min="4636" max="4636" width="6.5546875" style="781" customWidth="1"/>
    <col min="4637" max="4637" width="15.44140625" style="781" customWidth="1"/>
    <col min="4638" max="4638" width="36.6640625" style="781" customWidth="1"/>
    <col min="4639" max="4639" width="0" style="781" hidden="1" customWidth="1"/>
    <col min="4640" max="4640" width="9.109375" style="781" bestFit="1" customWidth="1"/>
    <col min="4641" max="4641" width="10.33203125" style="781" bestFit="1" customWidth="1"/>
    <col min="4642" max="4883" width="9.109375" style="781" bestFit="1" customWidth="1"/>
    <col min="4884" max="4884" width="2.6640625" style="781" customWidth="1"/>
    <col min="4885" max="4885" width="5" style="781" customWidth="1"/>
    <col min="4886" max="4886" width="11.6640625" style="781" customWidth="1"/>
    <col min="4887" max="4887" width="17" style="781" customWidth="1"/>
    <col min="4888" max="4888" width="6.6640625" style="781" customWidth="1"/>
    <col min="4889" max="4889" width="18.33203125" style="781" customWidth="1"/>
    <col min="4890" max="4890" width="10" style="781" customWidth="1"/>
    <col min="4891" max="4891" width="9" style="781" bestFit="1" customWidth="1"/>
    <col min="4892" max="4892" width="6.5546875" style="781" customWidth="1"/>
    <col min="4893" max="4893" width="15.44140625" style="781" customWidth="1"/>
    <col min="4894" max="4894" width="36.6640625" style="781" customWidth="1"/>
    <col min="4895" max="4895" width="0" style="781" hidden="1" customWidth="1"/>
    <col min="4896" max="4896" width="9.109375" style="781" bestFit="1" customWidth="1"/>
    <col min="4897" max="4897" width="10.33203125" style="781" bestFit="1" customWidth="1"/>
    <col min="4898" max="5139" width="9.109375" style="781" bestFit="1" customWidth="1"/>
    <col min="5140" max="5140" width="2.6640625" style="781" customWidth="1"/>
    <col min="5141" max="5141" width="5" style="781" customWidth="1"/>
    <col min="5142" max="5142" width="11.6640625" style="781" customWidth="1"/>
    <col min="5143" max="5143" width="17" style="781" customWidth="1"/>
    <col min="5144" max="5144" width="6.6640625" style="781" customWidth="1"/>
    <col min="5145" max="5145" width="18.33203125" style="781" customWidth="1"/>
    <col min="5146" max="5146" width="10" style="781" customWidth="1"/>
    <col min="5147" max="5147" width="9" style="781" bestFit="1" customWidth="1"/>
    <col min="5148" max="5148" width="6.5546875" style="781" customWidth="1"/>
    <col min="5149" max="5149" width="15.44140625" style="781" customWidth="1"/>
    <col min="5150" max="5150" width="36.6640625" style="781" customWidth="1"/>
    <col min="5151" max="5151" width="0" style="781" hidden="1" customWidth="1"/>
    <col min="5152" max="5152" width="9.109375" style="781" bestFit="1" customWidth="1"/>
    <col min="5153" max="5153" width="10.33203125" style="781" bestFit="1" customWidth="1"/>
    <col min="5154" max="5395" width="9.109375" style="781" bestFit="1" customWidth="1"/>
    <col min="5396" max="5396" width="2.6640625" style="781" customWidth="1"/>
    <col min="5397" max="5397" width="5" style="781" customWidth="1"/>
    <col min="5398" max="5398" width="11.6640625" style="781" customWidth="1"/>
    <col min="5399" max="5399" width="17" style="781" customWidth="1"/>
    <col min="5400" max="5400" width="6.6640625" style="781" customWidth="1"/>
    <col min="5401" max="5401" width="18.33203125" style="781" customWidth="1"/>
    <col min="5402" max="5402" width="10" style="781" customWidth="1"/>
    <col min="5403" max="5403" width="9" style="781" bestFit="1" customWidth="1"/>
    <col min="5404" max="5404" width="6.5546875" style="781" customWidth="1"/>
    <col min="5405" max="5405" width="15.44140625" style="781" customWidth="1"/>
    <col min="5406" max="5406" width="36.6640625" style="781" customWidth="1"/>
    <col min="5407" max="5407" width="0" style="781" hidden="1" customWidth="1"/>
    <col min="5408" max="5408" width="9.109375" style="781" bestFit="1" customWidth="1"/>
    <col min="5409" max="5409" width="10.33203125" style="781" bestFit="1" customWidth="1"/>
    <col min="5410" max="5651" width="9.109375" style="781" bestFit="1" customWidth="1"/>
    <col min="5652" max="5652" width="2.6640625" style="781" customWidth="1"/>
    <col min="5653" max="5653" width="5" style="781" customWidth="1"/>
    <col min="5654" max="5654" width="11.6640625" style="781" customWidth="1"/>
    <col min="5655" max="5655" width="17" style="781" customWidth="1"/>
    <col min="5656" max="5656" width="6.6640625" style="781" customWidth="1"/>
    <col min="5657" max="5657" width="18.33203125" style="781" customWidth="1"/>
    <col min="5658" max="5658" width="10" style="781" customWidth="1"/>
    <col min="5659" max="5659" width="9" style="781" bestFit="1" customWidth="1"/>
    <col min="5660" max="5660" width="6.5546875" style="781" customWidth="1"/>
    <col min="5661" max="5661" width="15.44140625" style="781" customWidth="1"/>
    <col min="5662" max="5662" width="36.6640625" style="781" customWidth="1"/>
    <col min="5663" max="5663" width="0" style="781" hidden="1" customWidth="1"/>
    <col min="5664" max="5664" width="9.109375" style="781" bestFit="1" customWidth="1"/>
    <col min="5665" max="5665" width="10.33203125" style="781" bestFit="1" customWidth="1"/>
    <col min="5666" max="5907" width="9.109375" style="781" bestFit="1" customWidth="1"/>
    <col min="5908" max="5908" width="2.6640625" style="781" customWidth="1"/>
    <col min="5909" max="5909" width="5" style="781" customWidth="1"/>
    <col min="5910" max="5910" width="11.6640625" style="781" customWidth="1"/>
    <col min="5911" max="5911" width="17" style="781" customWidth="1"/>
    <col min="5912" max="5912" width="6.6640625" style="781" customWidth="1"/>
    <col min="5913" max="5913" width="18.33203125" style="781" customWidth="1"/>
    <col min="5914" max="5914" width="10" style="781" customWidth="1"/>
    <col min="5915" max="5915" width="9" style="781" bestFit="1" customWidth="1"/>
    <col min="5916" max="5916" width="6.5546875" style="781" customWidth="1"/>
    <col min="5917" max="5917" width="15.44140625" style="781" customWidth="1"/>
    <col min="5918" max="5918" width="36.6640625" style="781" customWidth="1"/>
    <col min="5919" max="5919" width="0" style="781" hidden="1" customWidth="1"/>
    <col min="5920" max="5920" width="9.109375" style="781" bestFit="1" customWidth="1"/>
    <col min="5921" max="5921" width="10.33203125" style="781" bestFit="1" customWidth="1"/>
    <col min="5922" max="6163" width="9.109375" style="781" bestFit="1" customWidth="1"/>
    <col min="6164" max="6164" width="2.6640625" style="781" customWidth="1"/>
    <col min="6165" max="6165" width="5" style="781" customWidth="1"/>
    <col min="6166" max="6166" width="11.6640625" style="781" customWidth="1"/>
    <col min="6167" max="6167" width="17" style="781" customWidth="1"/>
    <col min="6168" max="6168" width="6.6640625" style="781" customWidth="1"/>
    <col min="6169" max="6169" width="18.33203125" style="781" customWidth="1"/>
    <col min="6170" max="6170" width="10" style="781" customWidth="1"/>
    <col min="6171" max="6171" width="9" style="781" bestFit="1" customWidth="1"/>
    <col min="6172" max="6172" width="6.5546875" style="781" customWidth="1"/>
    <col min="6173" max="6173" width="15.44140625" style="781" customWidth="1"/>
    <col min="6174" max="6174" width="36.6640625" style="781" customWidth="1"/>
    <col min="6175" max="6175" width="0" style="781" hidden="1" customWidth="1"/>
    <col min="6176" max="6176" width="9.109375" style="781" bestFit="1" customWidth="1"/>
    <col min="6177" max="6177" width="10.33203125" style="781" bestFit="1" customWidth="1"/>
    <col min="6178" max="6419" width="9.109375" style="781" bestFit="1" customWidth="1"/>
    <col min="6420" max="6420" width="2.6640625" style="781" customWidth="1"/>
    <col min="6421" max="6421" width="5" style="781" customWidth="1"/>
    <col min="6422" max="6422" width="11.6640625" style="781" customWidth="1"/>
    <col min="6423" max="6423" width="17" style="781" customWidth="1"/>
    <col min="6424" max="6424" width="6.6640625" style="781" customWidth="1"/>
    <col min="6425" max="6425" width="18.33203125" style="781" customWidth="1"/>
    <col min="6426" max="6426" width="10" style="781" customWidth="1"/>
    <col min="6427" max="6427" width="9" style="781" bestFit="1" customWidth="1"/>
    <col min="6428" max="6428" width="6.5546875" style="781" customWidth="1"/>
    <col min="6429" max="6429" width="15.44140625" style="781" customWidth="1"/>
    <col min="6430" max="6430" width="36.6640625" style="781" customWidth="1"/>
    <col min="6431" max="6431" width="0" style="781" hidden="1" customWidth="1"/>
    <col min="6432" max="6432" width="9.109375" style="781" bestFit="1" customWidth="1"/>
    <col min="6433" max="6433" width="10.33203125" style="781" bestFit="1" customWidth="1"/>
    <col min="6434" max="6675" width="9.109375" style="781" bestFit="1" customWidth="1"/>
    <col min="6676" max="6676" width="2.6640625" style="781" customWidth="1"/>
    <col min="6677" max="6677" width="5" style="781" customWidth="1"/>
    <col min="6678" max="6678" width="11.6640625" style="781" customWidth="1"/>
    <col min="6679" max="6679" width="17" style="781" customWidth="1"/>
    <col min="6680" max="6680" width="6.6640625" style="781" customWidth="1"/>
    <col min="6681" max="6681" width="18.33203125" style="781" customWidth="1"/>
    <col min="6682" max="6682" width="10" style="781" customWidth="1"/>
    <col min="6683" max="6683" width="9" style="781" bestFit="1" customWidth="1"/>
    <col min="6684" max="6684" width="6.5546875" style="781" customWidth="1"/>
    <col min="6685" max="6685" width="15.44140625" style="781" customWidth="1"/>
    <col min="6686" max="6686" width="36.6640625" style="781" customWidth="1"/>
    <col min="6687" max="6687" width="0" style="781" hidden="1" customWidth="1"/>
    <col min="6688" max="6688" width="9.109375" style="781" bestFit="1" customWidth="1"/>
    <col min="6689" max="6689" width="10.33203125" style="781" bestFit="1" customWidth="1"/>
    <col min="6690" max="6931" width="9.109375" style="781" bestFit="1" customWidth="1"/>
    <col min="6932" max="6932" width="2.6640625" style="781" customWidth="1"/>
    <col min="6933" max="6933" width="5" style="781" customWidth="1"/>
    <col min="6934" max="6934" width="11.6640625" style="781" customWidth="1"/>
    <col min="6935" max="6935" width="17" style="781" customWidth="1"/>
    <col min="6936" max="6936" width="6.6640625" style="781" customWidth="1"/>
    <col min="6937" max="6937" width="18.33203125" style="781" customWidth="1"/>
    <col min="6938" max="6938" width="10" style="781" customWidth="1"/>
    <col min="6939" max="6939" width="9" style="781" bestFit="1" customWidth="1"/>
    <col min="6940" max="6940" width="6.5546875" style="781" customWidth="1"/>
    <col min="6941" max="6941" width="15.44140625" style="781" customWidth="1"/>
    <col min="6942" max="6942" width="36.6640625" style="781" customWidth="1"/>
    <col min="6943" max="6943" width="0" style="781" hidden="1" customWidth="1"/>
    <col min="6944" max="6944" width="9.109375" style="781" bestFit="1" customWidth="1"/>
    <col min="6945" max="6945" width="10.33203125" style="781" bestFit="1" customWidth="1"/>
    <col min="6946" max="7187" width="9.109375" style="781" bestFit="1" customWidth="1"/>
    <col min="7188" max="7188" width="2.6640625" style="781" customWidth="1"/>
    <col min="7189" max="7189" width="5" style="781" customWidth="1"/>
    <col min="7190" max="7190" width="11.6640625" style="781" customWidth="1"/>
    <col min="7191" max="7191" width="17" style="781" customWidth="1"/>
    <col min="7192" max="7192" width="6.6640625" style="781" customWidth="1"/>
    <col min="7193" max="7193" width="18.33203125" style="781" customWidth="1"/>
    <col min="7194" max="7194" width="10" style="781" customWidth="1"/>
    <col min="7195" max="7195" width="9" style="781" bestFit="1" customWidth="1"/>
    <col min="7196" max="7196" width="6.5546875" style="781" customWidth="1"/>
    <col min="7197" max="7197" width="15.44140625" style="781" customWidth="1"/>
    <col min="7198" max="7198" width="36.6640625" style="781" customWidth="1"/>
    <col min="7199" max="7199" width="0" style="781" hidden="1" customWidth="1"/>
    <col min="7200" max="7200" width="9.109375" style="781" bestFit="1" customWidth="1"/>
    <col min="7201" max="7201" width="10.33203125" style="781" bestFit="1" customWidth="1"/>
    <col min="7202" max="7443" width="9.109375" style="781" bestFit="1" customWidth="1"/>
    <col min="7444" max="7444" width="2.6640625" style="781" customWidth="1"/>
    <col min="7445" max="7445" width="5" style="781" customWidth="1"/>
    <col min="7446" max="7446" width="11.6640625" style="781" customWidth="1"/>
    <col min="7447" max="7447" width="17" style="781" customWidth="1"/>
    <col min="7448" max="7448" width="6.6640625" style="781" customWidth="1"/>
    <col min="7449" max="7449" width="18.33203125" style="781" customWidth="1"/>
    <col min="7450" max="7450" width="10" style="781" customWidth="1"/>
    <col min="7451" max="7451" width="9" style="781" bestFit="1" customWidth="1"/>
    <col min="7452" max="7452" width="6.5546875" style="781" customWidth="1"/>
    <col min="7453" max="7453" width="15.44140625" style="781" customWidth="1"/>
    <col min="7454" max="7454" width="36.6640625" style="781" customWidth="1"/>
    <col min="7455" max="7455" width="0" style="781" hidden="1" customWidth="1"/>
    <col min="7456" max="7456" width="9.109375" style="781" bestFit="1" customWidth="1"/>
    <col min="7457" max="7457" width="10.33203125" style="781" bestFit="1" customWidth="1"/>
    <col min="7458" max="7699" width="9.109375" style="781" bestFit="1" customWidth="1"/>
    <col min="7700" max="7700" width="2.6640625" style="781" customWidth="1"/>
    <col min="7701" max="7701" width="5" style="781" customWidth="1"/>
    <col min="7702" max="7702" width="11.6640625" style="781" customWidth="1"/>
    <col min="7703" max="7703" width="17" style="781" customWidth="1"/>
    <col min="7704" max="7704" width="6.6640625" style="781" customWidth="1"/>
    <col min="7705" max="7705" width="18.33203125" style="781" customWidth="1"/>
    <col min="7706" max="7706" width="10" style="781" customWidth="1"/>
    <col min="7707" max="7707" width="9" style="781" bestFit="1" customWidth="1"/>
    <col min="7708" max="7708" width="6.5546875" style="781" customWidth="1"/>
    <col min="7709" max="7709" width="15.44140625" style="781" customWidth="1"/>
    <col min="7710" max="7710" width="36.6640625" style="781" customWidth="1"/>
    <col min="7711" max="7711" width="0" style="781" hidden="1" customWidth="1"/>
    <col min="7712" max="7712" width="9.109375" style="781" bestFit="1" customWidth="1"/>
    <col min="7713" max="7713" width="10.33203125" style="781" bestFit="1" customWidth="1"/>
    <col min="7714" max="7955" width="9.109375" style="781" bestFit="1" customWidth="1"/>
    <col min="7956" max="7956" width="2.6640625" style="781" customWidth="1"/>
    <col min="7957" max="7957" width="5" style="781" customWidth="1"/>
    <col min="7958" max="7958" width="11.6640625" style="781" customWidth="1"/>
    <col min="7959" max="7959" width="17" style="781" customWidth="1"/>
    <col min="7960" max="7960" width="6.6640625" style="781" customWidth="1"/>
    <col min="7961" max="7961" width="18.33203125" style="781" customWidth="1"/>
    <col min="7962" max="7962" width="10" style="781" customWidth="1"/>
    <col min="7963" max="7963" width="9" style="781" bestFit="1" customWidth="1"/>
    <col min="7964" max="7964" width="6.5546875" style="781" customWidth="1"/>
    <col min="7965" max="7965" width="15.44140625" style="781" customWidth="1"/>
    <col min="7966" max="7966" width="36.6640625" style="781" customWidth="1"/>
    <col min="7967" max="7967" width="0" style="781" hidden="1" customWidth="1"/>
    <col min="7968" max="7968" width="9.109375" style="781" bestFit="1" customWidth="1"/>
    <col min="7969" max="7969" width="10.33203125" style="781" bestFit="1" customWidth="1"/>
    <col min="7970" max="8211" width="9.109375" style="781" bestFit="1" customWidth="1"/>
    <col min="8212" max="8212" width="2.6640625" style="781" customWidth="1"/>
    <col min="8213" max="8213" width="5" style="781" customWidth="1"/>
    <col min="8214" max="8214" width="11.6640625" style="781" customWidth="1"/>
    <col min="8215" max="8215" width="17" style="781" customWidth="1"/>
    <col min="8216" max="8216" width="6.6640625" style="781" customWidth="1"/>
    <col min="8217" max="8217" width="18.33203125" style="781" customWidth="1"/>
    <col min="8218" max="8218" width="10" style="781" customWidth="1"/>
    <col min="8219" max="8219" width="9" style="781" bestFit="1" customWidth="1"/>
    <col min="8220" max="8220" width="6.5546875" style="781" customWidth="1"/>
    <col min="8221" max="8221" width="15.44140625" style="781" customWidth="1"/>
    <col min="8222" max="8222" width="36.6640625" style="781" customWidth="1"/>
    <col min="8223" max="8223" width="0" style="781" hidden="1" customWidth="1"/>
    <col min="8224" max="8224" width="9.109375" style="781" bestFit="1" customWidth="1"/>
    <col min="8225" max="8225" width="10.33203125" style="781" bestFit="1" customWidth="1"/>
    <col min="8226" max="8467" width="9.109375" style="781" bestFit="1" customWidth="1"/>
    <col min="8468" max="8468" width="2.6640625" style="781" customWidth="1"/>
    <col min="8469" max="8469" width="5" style="781" customWidth="1"/>
    <col min="8470" max="8470" width="11.6640625" style="781" customWidth="1"/>
    <col min="8471" max="8471" width="17" style="781" customWidth="1"/>
    <col min="8472" max="8472" width="6.6640625" style="781" customWidth="1"/>
    <col min="8473" max="8473" width="18.33203125" style="781" customWidth="1"/>
    <col min="8474" max="8474" width="10" style="781" customWidth="1"/>
    <col min="8475" max="8475" width="9" style="781" bestFit="1" customWidth="1"/>
    <col min="8476" max="8476" width="6.5546875" style="781" customWidth="1"/>
    <col min="8477" max="8477" width="15.44140625" style="781" customWidth="1"/>
    <col min="8478" max="8478" width="36.6640625" style="781" customWidth="1"/>
    <col min="8479" max="8479" width="0" style="781" hidden="1" customWidth="1"/>
    <col min="8480" max="8480" width="9.109375" style="781" bestFit="1" customWidth="1"/>
    <col min="8481" max="8481" width="10.33203125" style="781" bestFit="1" customWidth="1"/>
    <col min="8482" max="8723" width="9.109375" style="781" bestFit="1" customWidth="1"/>
    <col min="8724" max="8724" width="2.6640625" style="781" customWidth="1"/>
    <col min="8725" max="8725" width="5" style="781" customWidth="1"/>
    <col min="8726" max="8726" width="11.6640625" style="781" customWidth="1"/>
    <col min="8727" max="8727" width="17" style="781" customWidth="1"/>
    <col min="8728" max="8728" width="6.6640625" style="781" customWidth="1"/>
    <col min="8729" max="8729" width="18.33203125" style="781" customWidth="1"/>
    <col min="8730" max="8730" width="10" style="781" customWidth="1"/>
    <col min="8731" max="8731" width="9" style="781" bestFit="1" customWidth="1"/>
    <col min="8732" max="8732" width="6.5546875" style="781" customWidth="1"/>
    <col min="8733" max="8733" width="15.44140625" style="781" customWidth="1"/>
    <col min="8734" max="8734" width="36.6640625" style="781" customWidth="1"/>
    <col min="8735" max="8735" width="0" style="781" hidden="1" customWidth="1"/>
    <col min="8736" max="8736" width="9.109375" style="781" bestFit="1" customWidth="1"/>
    <col min="8737" max="8737" width="10.33203125" style="781" bestFit="1" customWidth="1"/>
    <col min="8738" max="8979" width="9.109375" style="781" bestFit="1" customWidth="1"/>
    <col min="8980" max="8980" width="2.6640625" style="781" customWidth="1"/>
    <col min="8981" max="8981" width="5" style="781" customWidth="1"/>
    <col min="8982" max="8982" width="11.6640625" style="781" customWidth="1"/>
    <col min="8983" max="8983" width="17" style="781" customWidth="1"/>
    <col min="8984" max="8984" width="6.6640625" style="781" customWidth="1"/>
    <col min="8985" max="8985" width="18.33203125" style="781" customWidth="1"/>
    <col min="8986" max="8986" width="10" style="781" customWidth="1"/>
    <col min="8987" max="8987" width="9" style="781" bestFit="1" customWidth="1"/>
    <col min="8988" max="8988" width="6.5546875" style="781" customWidth="1"/>
    <col min="8989" max="8989" width="15.44140625" style="781" customWidth="1"/>
    <col min="8990" max="8990" width="36.6640625" style="781" customWidth="1"/>
    <col min="8991" max="8991" width="0" style="781" hidden="1" customWidth="1"/>
    <col min="8992" max="8992" width="9.109375" style="781" bestFit="1" customWidth="1"/>
    <col min="8993" max="8993" width="10.33203125" style="781" bestFit="1" customWidth="1"/>
    <col min="8994" max="9235" width="9.109375" style="781" bestFit="1" customWidth="1"/>
    <col min="9236" max="9236" width="2.6640625" style="781" customWidth="1"/>
    <col min="9237" max="9237" width="5" style="781" customWidth="1"/>
    <col min="9238" max="9238" width="11.6640625" style="781" customWidth="1"/>
    <col min="9239" max="9239" width="17" style="781" customWidth="1"/>
    <col min="9240" max="9240" width="6.6640625" style="781" customWidth="1"/>
    <col min="9241" max="9241" width="18.33203125" style="781" customWidth="1"/>
    <col min="9242" max="9242" width="10" style="781" customWidth="1"/>
    <col min="9243" max="9243" width="9" style="781" bestFit="1" customWidth="1"/>
    <col min="9244" max="9244" width="6.5546875" style="781" customWidth="1"/>
    <col min="9245" max="9245" width="15.44140625" style="781" customWidth="1"/>
    <col min="9246" max="9246" width="36.6640625" style="781" customWidth="1"/>
    <col min="9247" max="9247" width="0" style="781" hidden="1" customWidth="1"/>
    <col min="9248" max="9248" width="9.109375" style="781" bestFit="1" customWidth="1"/>
    <col min="9249" max="9249" width="10.33203125" style="781" bestFit="1" customWidth="1"/>
    <col min="9250" max="9491" width="9.109375" style="781" bestFit="1" customWidth="1"/>
    <col min="9492" max="9492" width="2.6640625" style="781" customWidth="1"/>
    <col min="9493" max="9493" width="5" style="781" customWidth="1"/>
    <col min="9494" max="9494" width="11.6640625" style="781" customWidth="1"/>
    <col min="9495" max="9495" width="17" style="781" customWidth="1"/>
    <col min="9496" max="9496" width="6.6640625" style="781" customWidth="1"/>
    <col min="9497" max="9497" width="18.33203125" style="781" customWidth="1"/>
    <col min="9498" max="9498" width="10" style="781" customWidth="1"/>
    <col min="9499" max="9499" width="9" style="781" bestFit="1" customWidth="1"/>
    <col min="9500" max="9500" width="6.5546875" style="781" customWidth="1"/>
    <col min="9501" max="9501" width="15.44140625" style="781" customWidth="1"/>
    <col min="9502" max="9502" width="36.6640625" style="781" customWidth="1"/>
    <col min="9503" max="9503" width="0" style="781" hidden="1" customWidth="1"/>
    <col min="9504" max="9504" width="9.109375" style="781" bestFit="1" customWidth="1"/>
    <col min="9505" max="9505" width="10.33203125" style="781" bestFit="1" customWidth="1"/>
    <col min="9506" max="9747" width="9.109375" style="781" bestFit="1" customWidth="1"/>
    <col min="9748" max="9748" width="2.6640625" style="781" customWidth="1"/>
    <col min="9749" max="9749" width="5" style="781" customWidth="1"/>
    <col min="9750" max="9750" width="11.6640625" style="781" customWidth="1"/>
    <col min="9751" max="9751" width="17" style="781" customWidth="1"/>
    <col min="9752" max="9752" width="6.6640625" style="781" customWidth="1"/>
    <col min="9753" max="9753" width="18.33203125" style="781" customWidth="1"/>
    <col min="9754" max="9754" width="10" style="781" customWidth="1"/>
    <col min="9755" max="9755" width="9" style="781" bestFit="1" customWidth="1"/>
    <col min="9756" max="9756" width="6.5546875" style="781" customWidth="1"/>
    <col min="9757" max="9757" width="15.44140625" style="781" customWidth="1"/>
    <col min="9758" max="9758" width="36.6640625" style="781" customWidth="1"/>
    <col min="9759" max="9759" width="0" style="781" hidden="1" customWidth="1"/>
    <col min="9760" max="9760" width="9.109375" style="781" bestFit="1" customWidth="1"/>
    <col min="9761" max="9761" width="10.33203125" style="781" bestFit="1" customWidth="1"/>
    <col min="9762" max="10003" width="9.109375" style="781" bestFit="1" customWidth="1"/>
    <col min="10004" max="10004" width="2.6640625" style="781" customWidth="1"/>
    <col min="10005" max="10005" width="5" style="781" customWidth="1"/>
    <col min="10006" max="10006" width="11.6640625" style="781" customWidth="1"/>
    <col min="10007" max="10007" width="17" style="781" customWidth="1"/>
    <col min="10008" max="10008" width="6.6640625" style="781" customWidth="1"/>
    <col min="10009" max="10009" width="18.33203125" style="781" customWidth="1"/>
    <col min="10010" max="10010" width="10" style="781" customWidth="1"/>
    <col min="10011" max="10011" width="9" style="781" bestFit="1" customWidth="1"/>
    <col min="10012" max="10012" width="6.5546875" style="781" customWidth="1"/>
    <col min="10013" max="10013" width="15.44140625" style="781" customWidth="1"/>
    <col min="10014" max="10014" width="36.6640625" style="781" customWidth="1"/>
    <col min="10015" max="10015" width="0" style="781" hidden="1" customWidth="1"/>
    <col min="10016" max="10016" width="9.109375" style="781" bestFit="1" customWidth="1"/>
    <col min="10017" max="10017" width="10.33203125" style="781" bestFit="1" customWidth="1"/>
    <col min="10018" max="10259" width="9.109375" style="781" bestFit="1" customWidth="1"/>
    <col min="10260" max="10260" width="2.6640625" style="781" customWidth="1"/>
    <col min="10261" max="10261" width="5" style="781" customWidth="1"/>
    <col min="10262" max="10262" width="11.6640625" style="781" customWidth="1"/>
    <col min="10263" max="10263" width="17" style="781" customWidth="1"/>
    <col min="10264" max="10264" width="6.6640625" style="781" customWidth="1"/>
    <col min="10265" max="10265" width="18.33203125" style="781" customWidth="1"/>
    <col min="10266" max="10266" width="10" style="781" customWidth="1"/>
    <col min="10267" max="10267" width="9" style="781" bestFit="1" customWidth="1"/>
    <col min="10268" max="10268" width="6.5546875" style="781" customWidth="1"/>
    <col min="10269" max="10269" width="15.44140625" style="781" customWidth="1"/>
    <col min="10270" max="10270" width="36.6640625" style="781" customWidth="1"/>
    <col min="10271" max="10271" width="0" style="781" hidden="1" customWidth="1"/>
    <col min="10272" max="10272" width="9.109375" style="781" bestFit="1" customWidth="1"/>
    <col min="10273" max="10273" width="10.33203125" style="781" bestFit="1" customWidth="1"/>
    <col min="10274" max="10515" width="9.109375" style="781" bestFit="1" customWidth="1"/>
    <col min="10516" max="10516" width="2.6640625" style="781" customWidth="1"/>
    <col min="10517" max="10517" width="5" style="781" customWidth="1"/>
    <col min="10518" max="10518" width="11.6640625" style="781" customWidth="1"/>
    <col min="10519" max="10519" width="17" style="781" customWidth="1"/>
    <col min="10520" max="10520" width="6.6640625" style="781" customWidth="1"/>
    <col min="10521" max="10521" width="18.33203125" style="781" customWidth="1"/>
    <col min="10522" max="10522" width="10" style="781" customWidth="1"/>
    <col min="10523" max="10523" width="9" style="781" bestFit="1" customWidth="1"/>
    <col min="10524" max="10524" width="6.5546875" style="781" customWidth="1"/>
    <col min="10525" max="10525" width="15.44140625" style="781" customWidth="1"/>
    <col min="10526" max="10526" width="36.6640625" style="781" customWidth="1"/>
    <col min="10527" max="10527" width="0" style="781" hidden="1" customWidth="1"/>
    <col min="10528" max="10528" width="9.109375" style="781" bestFit="1" customWidth="1"/>
    <col min="10529" max="10529" width="10.33203125" style="781" bestFit="1" customWidth="1"/>
    <col min="10530" max="10771" width="9.109375" style="781" bestFit="1" customWidth="1"/>
    <col min="10772" max="10772" width="2.6640625" style="781" customWidth="1"/>
    <col min="10773" max="10773" width="5" style="781" customWidth="1"/>
    <col min="10774" max="10774" width="11.6640625" style="781" customWidth="1"/>
    <col min="10775" max="10775" width="17" style="781" customWidth="1"/>
    <col min="10776" max="10776" width="6.6640625" style="781" customWidth="1"/>
    <col min="10777" max="10777" width="18.33203125" style="781" customWidth="1"/>
    <col min="10778" max="10778" width="10" style="781" customWidth="1"/>
    <col min="10779" max="10779" width="9" style="781" bestFit="1" customWidth="1"/>
    <col min="10780" max="10780" width="6.5546875" style="781" customWidth="1"/>
    <col min="10781" max="10781" width="15.44140625" style="781" customWidth="1"/>
    <col min="10782" max="10782" width="36.6640625" style="781" customWidth="1"/>
    <col min="10783" max="10783" width="0" style="781" hidden="1" customWidth="1"/>
    <col min="10784" max="10784" width="9.109375" style="781" bestFit="1" customWidth="1"/>
    <col min="10785" max="10785" width="10.33203125" style="781" bestFit="1" customWidth="1"/>
    <col min="10786" max="11027" width="9.109375" style="781" bestFit="1" customWidth="1"/>
    <col min="11028" max="11028" width="2.6640625" style="781" customWidth="1"/>
    <col min="11029" max="11029" width="5" style="781" customWidth="1"/>
    <col min="11030" max="11030" width="11.6640625" style="781" customWidth="1"/>
    <col min="11031" max="11031" width="17" style="781" customWidth="1"/>
    <col min="11032" max="11032" width="6.6640625" style="781" customWidth="1"/>
    <col min="11033" max="11033" width="18.33203125" style="781" customWidth="1"/>
    <col min="11034" max="11034" width="10" style="781" customWidth="1"/>
    <col min="11035" max="11035" width="9" style="781" bestFit="1" customWidth="1"/>
    <col min="11036" max="11036" width="6.5546875" style="781" customWidth="1"/>
    <col min="11037" max="11037" width="15.44140625" style="781" customWidth="1"/>
    <col min="11038" max="11038" width="36.6640625" style="781" customWidth="1"/>
    <col min="11039" max="11039" width="0" style="781" hidden="1" customWidth="1"/>
    <col min="11040" max="11040" width="9.109375" style="781" bestFit="1" customWidth="1"/>
    <col min="11041" max="11041" width="10.33203125" style="781" bestFit="1" customWidth="1"/>
    <col min="11042" max="11283" width="9.109375" style="781" bestFit="1" customWidth="1"/>
    <col min="11284" max="11284" width="2.6640625" style="781" customWidth="1"/>
    <col min="11285" max="11285" width="5" style="781" customWidth="1"/>
    <col min="11286" max="11286" width="11.6640625" style="781" customWidth="1"/>
    <col min="11287" max="11287" width="17" style="781" customWidth="1"/>
    <col min="11288" max="11288" width="6.6640625" style="781" customWidth="1"/>
    <col min="11289" max="11289" width="18.33203125" style="781" customWidth="1"/>
    <col min="11290" max="11290" width="10" style="781" customWidth="1"/>
    <col min="11291" max="11291" width="9" style="781" bestFit="1" customWidth="1"/>
    <col min="11292" max="11292" width="6.5546875" style="781" customWidth="1"/>
    <col min="11293" max="11293" width="15.44140625" style="781" customWidth="1"/>
    <col min="11294" max="11294" width="36.6640625" style="781" customWidth="1"/>
    <col min="11295" max="11295" width="0" style="781" hidden="1" customWidth="1"/>
    <col min="11296" max="11296" width="9.109375" style="781" bestFit="1" customWidth="1"/>
    <col min="11297" max="11297" width="10.33203125" style="781" bestFit="1" customWidth="1"/>
    <col min="11298" max="11539" width="9.109375" style="781" bestFit="1" customWidth="1"/>
    <col min="11540" max="11540" width="2.6640625" style="781" customWidth="1"/>
    <col min="11541" max="11541" width="5" style="781" customWidth="1"/>
    <col min="11542" max="11542" width="11.6640625" style="781" customWidth="1"/>
    <col min="11543" max="11543" width="17" style="781" customWidth="1"/>
    <col min="11544" max="11544" width="6.6640625" style="781" customWidth="1"/>
    <col min="11545" max="11545" width="18.33203125" style="781" customWidth="1"/>
    <col min="11546" max="11546" width="10" style="781" customWidth="1"/>
    <col min="11547" max="11547" width="9" style="781" bestFit="1" customWidth="1"/>
    <col min="11548" max="11548" width="6.5546875" style="781" customWidth="1"/>
    <col min="11549" max="11549" width="15.44140625" style="781" customWidth="1"/>
    <col min="11550" max="11550" width="36.6640625" style="781" customWidth="1"/>
    <col min="11551" max="11551" width="0" style="781" hidden="1" customWidth="1"/>
    <col min="11552" max="11552" width="9.109375" style="781" bestFit="1" customWidth="1"/>
    <col min="11553" max="11553" width="10.33203125" style="781" bestFit="1" customWidth="1"/>
    <col min="11554" max="11795" width="9.109375" style="781" bestFit="1" customWidth="1"/>
    <col min="11796" max="11796" width="2.6640625" style="781" customWidth="1"/>
    <col min="11797" max="11797" width="5" style="781" customWidth="1"/>
    <col min="11798" max="11798" width="11.6640625" style="781" customWidth="1"/>
    <col min="11799" max="11799" width="17" style="781" customWidth="1"/>
    <col min="11800" max="11800" width="6.6640625" style="781" customWidth="1"/>
    <col min="11801" max="11801" width="18.33203125" style="781" customWidth="1"/>
    <col min="11802" max="11802" width="10" style="781" customWidth="1"/>
    <col min="11803" max="11803" width="9" style="781" bestFit="1" customWidth="1"/>
    <col min="11804" max="11804" width="6.5546875" style="781" customWidth="1"/>
    <col min="11805" max="11805" width="15.44140625" style="781" customWidth="1"/>
    <col min="11806" max="11806" width="36.6640625" style="781" customWidth="1"/>
    <col min="11807" max="11807" width="0" style="781" hidden="1" customWidth="1"/>
    <col min="11808" max="11808" width="9.109375" style="781" bestFit="1" customWidth="1"/>
    <col min="11809" max="11809" width="10.33203125" style="781" bestFit="1" customWidth="1"/>
    <col min="11810" max="12051" width="9.109375" style="781" bestFit="1" customWidth="1"/>
    <col min="12052" max="12052" width="2.6640625" style="781" customWidth="1"/>
    <col min="12053" max="12053" width="5" style="781" customWidth="1"/>
    <col min="12054" max="12054" width="11.6640625" style="781" customWidth="1"/>
    <col min="12055" max="12055" width="17" style="781" customWidth="1"/>
    <col min="12056" max="12056" width="6.6640625" style="781" customWidth="1"/>
    <col min="12057" max="12057" width="18.33203125" style="781" customWidth="1"/>
    <col min="12058" max="12058" width="10" style="781" customWidth="1"/>
    <col min="12059" max="12059" width="9" style="781" bestFit="1" customWidth="1"/>
    <col min="12060" max="12060" width="6.5546875" style="781" customWidth="1"/>
    <col min="12061" max="12061" width="15.44140625" style="781" customWidth="1"/>
    <col min="12062" max="12062" width="36.6640625" style="781" customWidth="1"/>
    <col min="12063" max="12063" width="0" style="781" hidden="1" customWidth="1"/>
    <col min="12064" max="12064" width="9.109375" style="781" bestFit="1" customWidth="1"/>
    <col min="12065" max="12065" width="10.33203125" style="781" bestFit="1" customWidth="1"/>
    <col min="12066" max="12307" width="9.109375" style="781" bestFit="1" customWidth="1"/>
    <col min="12308" max="12308" width="2.6640625" style="781" customWidth="1"/>
    <col min="12309" max="12309" width="5" style="781" customWidth="1"/>
    <col min="12310" max="12310" width="11.6640625" style="781" customWidth="1"/>
    <col min="12311" max="12311" width="17" style="781" customWidth="1"/>
    <col min="12312" max="12312" width="6.6640625" style="781" customWidth="1"/>
    <col min="12313" max="12313" width="18.33203125" style="781" customWidth="1"/>
    <col min="12314" max="12314" width="10" style="781" customWidth="1"/>
    <col min="12315" max="12315" width="9" style="781" bestFit="1" customWidth="1"/>
    <col min="12316" max="12316" width="6.5546875" style="781" customWidth="1"/>
    <col min="12317" max="12317" width="15.44140625" style="781" customWidth="1"/>
    <col min="12318" max="12318" width="36.6640625" style="781" customWidth="1"/>
    <col min="12319" max="12319" width="0" style="781" hidden="1" customWidth="1"/>
    <col min="12320" max="12320" width="9.109375" style="781" bestFit="1" customWidth="1"/>
    <col min="12321" max="12321" width="10.33203125" style="781" bestFit="1" customWidth="1"/>
    <col min="12322" max="12563" width="9.109375" style="781" bestFit="1" customWidth="1"/>
    <col min="12564" max="12564" width="2.6640625" style="781" customWidth="1"/>
    <col min="12565" max="12565" width="5" style="781" customWidth="1"/>
    <col min="12566" max="12566" width="11.6640625" style="781" customWidth="1"/>
    <col min="12567" max="12567" width="17" style="781" customWidth="1"/>
    <col min="12568" max="12568" width="6.6640625" style="781" customWidth="1"/>
    <col min="12569" max="12569" width="18.33203125" style="781" customWidth="1"/>
    <col min="12570" max="12570" width="10" style="781" customWidth="1"/>
    <col min="12571" max="12571" width="9" style="781" bestFit="1" customWidth="1"/>
    <col min="12572" max="12572" width="6.5546875" style="781" customWidth="1"/>
    <col min="12573" max="12573" width="15.44140625" style="781" customWidth="1"/>
    <col min="12574" max="12574" width="36.6640625" style="781" customWidth="1"/>
    <col min="12575" max="12575" width="0" style="781" hidden="1" customWidth="1"/>
    <col min="12576" max="12576" width="9.109375" style="781" bestFit="1" customWidth="1"/>
    <col min="12577" max="12577" width="10.33203125" style="781" bestFit="1" customWidth="1"/>
    <col min="12578" max="12819" width="9.109375" style="781" bestFit="1" customWidth="1"/>
    <col min="12820" max="12820" width="2.6640625" style="781" customWidth="1"/>
    <col min="12821" max="12821" width="5" style="781" customWidth="1"/>
    <col min="12822" max="12822" width="11.6640625" style="781" customWidth="1"/>
    <col min="12823" max="12823" width="17" style="781" customWidth="1"/>
    <col min="12824" max="12824" width="6.6640625" style="781" customWidth="1"/>
    <col min="12825" max="12825" width="18.33203125" style="781" customWidth="1"/>
    <col min="12826" max="12826" width="10" style="781" customWidth="1"/>
    <col min="12827" max="12827" width="9" style="781" bestFit="1" customWidth="1"/>
    <col min="12828" max="12828" width="6.5546875" style="781" customWidth="1"/>
    <col min="12829" max="12829" width="15.44140625" style="781" customWidth="1"/>
    <col min="12830" max="12830" width="36.6640625" style="781" customWidth="1"/>
    <col min="12831" max="12831" width="0" style="781" hidden="1" customWidth="1"/>
    <col min="12832" max="12832" width="9.109375" style="781" bestFit="1" customWidth="1"/>
    <col min="12833" max="12833" width="10.33203125" style="781" bestFit="1" customWidth="1"/>
    <col min="12834" max="13075" width="9.109375" style="781" bestFit="1" customWidth="1"/>
    <col min="13076" max="13076" width="2.6640625" style="781" customWidth="1"/>
    <col min="13077" max="13077" width="5" style="781" customWidth="1"/>
    <col min="13078" max="13078" width="11.6640625" style="781" customWidth="1"/>
    <col min="13079" max="13079" width="17" style="781" customWidth="1"/>
    <col min="13080" max="13080" width="6.6640625" style="781" customWidth="1"/>
    <col min="13081" max="13081" width="18.33203125" style="781" customWidth="1"/>
    <col min="13082" max="13082" width="10" style="781" customWidth="1"/>
    <col min="13083" max="13083" width="9" style="781" bestFit="1" customWidth="1"/>
    <col min="13084" max="13084" width="6.5546875" style="781" customWidth="1"/>
    <col min="13085" max="13085" width="15.44140625" style="781" customWidth="1"/>
    <col min="13086" max="13086" width="36.6640625" style="781" customWidth="1"/>
    <col min="13087" max="13087" width="0" style="781" hidden="1" customWidth="1"/>
    <col min="13088" max="13088" width="9.109375" style="781" bestFit="1" customWidth="1"/>
    <col min="13089" max="13089" width="10.33203125" style="781" bestFit="1" customWidth="1"/>
    <col min="13090" max="13331" width="9.109375" style="781" bestFit="1" customWidth="1"/>
    <col min="13332" max="13332" width="2.6640625" style="781" customWidth="1"/>
    <col min="13333" max="13333" width="5" style="781" customWidth="1"/>
    <col min="13334" max="13334" width="11.6640625" style="781" customWidth="1"/>
    <col min="13335" max="13335" width="17" style="781" customWidth="1"/>
    <col min="13336" max="13336" width="6.6640625" style="781" customWidth="1"/>
    <col min="13337" max="13337" width="18.33203125" style="781" customWidth="1"/>
    <col min="13338" max="13338" width="10" style="781" customWidth="1"/>
    <col min="13339" max="13339" width="9" style="781" bestFit="1" customWidth="1"/>
    <col min="13340" max="13340" width="6.5546875" style="781" customWidth="1"/>
    <col min="13341" max="13341" width="15.44140625" style="781" customWidth="1"/>
    <col min="13342" max="13342" width="36.6640625" style="781" customWidth="1"/>
    <col min="13343" max="13343" width="0" style="781" hidden="1" customWidth="1"/>
    <col min="13344" max="13344" width="9.109375" style="781" bestFit="1" customWidth="1"/>
    <col min="13345" max="13345" width="10.33203125" style="781" bestFit="1" customWidth="1"/>
    <col min="13346" max="13587" width="9.109375" style="781" bestFit="1" customWidth="1"/>
    <col min="13588" max="13588" width="2.6640625" style="781" customWidth="1"/>
    <col min="13589" max="13589" width="5" style="781" customWidth="1"/>
    <col min="13590" max="13590" width="11.6640625" style="781" customWidth="1"/>
    <col min="13591" max="13591" width="17" style="781" customWidth="1"/>
    <col min="13592" max="13592" width="6.6640625" style="781" customWidth="1"/>
    <col min="13593" max="13593" width="18.33203125" style="781" customWidth="1"/>
    <col min="13594" max="13594" width="10" style="781" customWidth="1"/>
    <col min="13595" max="13595" width="9" style="781" bestFit="1" customWidth="1"/>
    <col min="13596" max="13596" width="6.5546875" style="781" customWidth="1"/>
    <col min="13597" max="13597" width="15.44140625" style="781" customWidth="1"/>
    <col min="13598" max="13598" width="36.6640625" style="781" customWidth="1"/>
    <col min="13599" max="13599" width="0" style="781" hidden="1" customWidth="1"/>
    <col min="13600" max="13600" width="9.109375" style="781" bestFit="1" customWidth="1"/>
    <col min="13601" max="13601" width="10.33203125" style="781" bestFit="1" customWidth="1"/>
    <col min="13602" max="13843" width="9.109375" style="781" bestFit="1" customWidth="1"/>
    <col min="13844" max="13844" width="2.6640625" style="781" customWidth="1"/>
    <col min="13845" max="13845" width="5" style="781" customWidth="1"/>
    <col min="13846" max="13846" width="11.6640625" style="781" customWidth="1"/>
    <col min="13847" max="13847" width="17" style="781" customWidth="1"/>
    <col min="13848" max="13848" width="6.6640625" style="781" customWidth="1"/>
    <col min="13849" max="13849" width="18.33203125" style="781" customWidth="1"/>
    <col min="13850" max="13850" width="10" style="781" customWidth="1"/>
    <col min="13851" max="13851" width="9" style="781" bestFit="1" customWidth="1"/>
    <col min="13852" max="13852" width="6.5546875" style="781" customWidth="1"/>
    <col min="13853" max="13853" width="15.44140625" style="781" customWidth="1"/>
    <col min="13854" max="13854" width="36.6640625" style="781" customWidth="1"/>
    <col min="13855" max="13855" width="0" style="781" hidden="1" customWidth="1"/>
    <col min="13856" max="13856" width="9.109375" style="781" bestFit="1" customWidth="1"/>
    <col min="13857" max="13857" width="10.33203125" style="781" bestFit="1" customWidth="1"/>
    <col min="13858" max="14099" width="9.109375" style="781" bestFit="1" customWidth="1"/>
    <col min="14100" max="14100" width="2.6640625" style="781" customWidth="1"/>
    <col min="14101" max="14101" width="5" style="781" customWidth="1"/>
    <col min="14102" max="14102" width="11.6640625" style="781" customWidth="1"/>
    <col min="14103" max="14103" width="17" style="781" customWidth="1"/>
    <col min="14104" max="14104" width="6.6640625" style="781" customWidth="1"/>
    <col min="14105" max="14105" width="18.33203125" style="781" customWidth="1"/>
    <col min="14106" max="14106" width="10" style="781" customWidth="1"/>
    <col min="14107" max="14107" width="9" style="781" bestFit="1" customWidth="1"/>
    <col min="14108" max="14108" width="6.5546875" style="781" customWidth="1"/>
    <col min="14109" max="14109" width="15.44140625" style="781" customWidth="1"/>
    <col min="14110" max="14110" width="36.6640625" style="781" customWidth="1"/>
    <col min="14111" max="14111" width="0" style="781" hidden="1" customWidth="1"/>
    <col min="14112" max="14112" width="9.109375" style="781" bestFit="1" customWidth="1"/>
    <col min="14113" max="14113" width="10.33203125" style="781" bestFit="1" customWidth="1"/>
    <col min="14114" max="14355" width="9.109375" style="781" bestFit="1" customWidth="1"/>
    <col min="14356" max="14356" width="2.6640625" style="781" customWidth="1"/>
    <col min="14357" max="14357" width="5" style="781" customWidth="1"/>
    <col min="14358" max="14358" width="11.6640625" style="781" customWidth="1"/>
    <col min="14359" max="14359" width="17" style="781" customWidth="1"/>
    <col min="14360" max="14360" width="6.6640625" style="781" customWidth="1"/>
    <col min="14361" max="14361" width="18.33203125" style="781" customWidth="1"/>
    <col min="14362" max="14362" width="10" style="781" customWidth="1"/>
    <col min="14363" max="14363" width="9" style="781" bestFit="1" customWidth="1"/>
    <col min="14364" max="14364" width="6.5546875" style="781" customWidth="1"/>
    <col min="14365" max="14365" width="15.44140625" style="781" customWidth="1"/>
    <col min="14366" max="14366" width="36.6640625" style="781" customWidth="1"/>
    <col min="14367" max="14367" width="0" style="781" hidden="1" customWidth="1"/>
    <col min="14368" max="14368" width="9.109375" style="781" bestFit="1" customWidth="1"/>
    <col min="14369" max="14369" width="10.33203125" style="781" bestFit="1" customWidth="1"/>
    <col min="14370" max="14611" width="9.109375" style="781" bestFit="1" customWidth="1"/>
    <col min="14612" max="14612" width="2.6640625" style="781" customWidth="1"/>
    <col min="14613" max="14613" width="5" style="781" customWidth="1"/>
    <col min="14614" max="14614" width="11.6640625" style="781" customWidth="1"/>
    <col min="14615" max="14615" width="17" style="781" customWidth="1"/>
    <col min="14616" max="14616" width="6.6640625" style="781" customWidth="1"/>
    <col min="14617" max="14617" width="18.33203125" style="781" customWidth="1"/>
    <col min="14618" max="14618" width="10" style="781" customWidth="1"/>
    <col min="14619" max="14619" width="9" style="781" bestFit="1" customWidth="1"/>
    <col min="14620" max="14620" width="6.5546875" style="781" customWidth="1"/>
    <col min="14621" max="14621" width="15.44140625" style="781" customWidth="1"/>
    <col min="14622" max="14622" width="36.6640625" style="781" customWidth="1"/>
    <col min="14623" max="14623" width="0" style="781" hidden="1" customWidth="1"/>
    <col min="14624" max="14624" width="9.109375" style="781" bestFit="1" customWidth="1"/>
    <col min="14625" max="14625" width="10.33203125" style="781" bestFit="1" customWidth="1"/>
    <col min="14626" max="14867" width="9.109375" style="781" bestFit="1" customWidth="1"/>
    <col min="14868" max="14868" width="2.6640625" style="781" customWidth="1"/>
    <col min="14869" max="14869" width="5" style="781" customWidth="1"/>
    <col min="14870" max="14870" width="11.6640625" style="781" customWidth="1"/>
    <col min="14871" max="14871" width="17" style="781" customWidth="1"/>
    <col min="14872" max="14872" width="6.6640625" style="781" customWidth="1"/>
    <col min="14873" max="14873" width="18.33203125" style="781" customWidth="1"/>
    <col min="14874" max="14874" width="10" style="781" customWidth="1"/>
    <col min="14875" max="14875" width="9" style="781" bestFit="1" customWidth="1"/>
    <col min="14876" max="14876" width="6.5546875" style="781" customWidth="1"/>
    <col min="14877" max="14877" width="15.44140625" style="781" customWidth="1"/>
    <col min="14878" max="14878" width="36.6640625" style="781" customWidth="1"/>
    <col min="14879" max="14879" width="0" style="781" hidden="1" customWidth="1"/>
    <col min="14880" max="14880" width="9.109375" style="781" bestFit="1" customWidth="1"/>
    <col min="14881" max="14881" width="10.33203125" style="781" bestFit="1" customWidth="1"/>
    <col min="14882" max="15123" width="9.109375" style="781" bestFit="1" customWidth="1"/>
    <col min="15124" max="15124" width="2.6640625" style="781" customWidth="1"/>
    <col min="15125" max="15125" width="5" style="781" customWidth="1"/>
    <col min="15126" max="15126" width="11.6640625" style="781" customWidth="1"/>
    <col min="15127" max="15127" width="17" style="781" customWidth="1"/>
    <col min="15128" max="15128" width="6.6640625" style="781" customWidth="1"/>
    <col min="15129" max="15129" width="18.33203125" style="781" customWidth="1"/>
    <col min="15130" max="15130" width="10" style="781" customWidth="1"/>
    <col min="15131" max="15131" width="9" style="781" bestFit="1" customWidth="1"/>
    <col min="15132" max="15132" width="6.5546875" style="781" customWidth="1"/>
    <col min="15133" max="15133" width="15.44140625" style="781" customWidth="1"/>
    <col min="15134" max="15134" width="36.6640625" style="781" customWidth="1"/>
    <col min="15135" max="15135" width="0" style="781" hidden="1" customWidth="1"/>
    <col min="15136" max="15136" width="9.109375" style="781" bestFit="1" customWidth="1"/>
    <col min="15137" max="15137" width="10.33203125" style="781" bestFit="1" customWidth="1"/>
    <col min="15138" max="15379" width="9.109375" style="781" bestFit="1" customWidth="1"/>
    <col min="15380" max="15380" width="2.6640625" style="781" customWidth="1"/>
    <col min="15381" max="15381" width="5" style="781" customWidth="1"/>
    <col min="15382" max="15382" width="11.6640625" style="781" customWidth="1"/>
    <col min="15383" max="15383" width="17" style="781" customWidth="1"/>
    <col min="15384" max="15384" width="6.6640625" style="781" customWidth="1"/>
    <col min="15385" max="15385" width="18.33203125" style="781" customWidth="1"/>
    <col min="15386" max="15386" width="10" style="781" customWidth="1"/>
    <col min="15387" max="15387" width="9" style="781" bestFit="1" customWidth="1"/>
    <col min="15388" max="15388" width="6.5546875" style="781" customWidth="1"/>
    <col min="15389" max="15389" width="15.44140625" style="781" customWidth="1"/>
    <col min="15390" max="15390" width="36.6640625" style="781" customWidth="1"/>
    <col min="15391" max="15391" width="0" style="781" hidden="1" customWidth="1"/>
    <col min="15392" max="15392" width="9.109375" style="781" bestFit="1" customWidth="1"/>
    <col min="15393" max="15393" width="10.33203125" style="781" bestFit="1" customWidth="1"/>
    <col min="15394" max="15635" width="9.109375" style="781" bestFit="1" customWidth="1"/>
    <col min="15636" max="15636" width="2.6640625" style="781" customWidth="1"/>
    <col min="15637" max="15637" width="5" style="781" customWidth="1"/>
    <col min="15638" max="15638" width="11.6640625" style="781" customWidth="1"/>
    <col min="15639" max="15639" width="17" style="781" customWidth="1"/>
    <col min="15640" max="15640" width="6.6640625" style="781" customWidth="1"/>
    <col min="15641" max="15641" width="18.33203125" style="781" customWidth="1"/>
    <col min="15642" max="15642" width="10" style="781" customWidth="1"/>
    <col min="15643" max="15643" width="9" style="781" bestFit="1" customWidth="1"/>
    <col min="15644" max="15644" width="6.5546875" style="781" customWidth="1"/>
    <col min="15645" max="15645" width="15.44140625" style="781" customWidth="1"/>
    <col min="15646" max="15646" width="36.6640625" style="781" customWidth="1"/>
    <col min="15647" max="15647" width="0" style="781" hidden="1" customWidth="1"/>
    <col min="15648" max="15648" width="9.109375" style="781" bestFit="1" customWidth="1"/>
    <col min="15649" max="15649" width="10.33203125" style="781" bestFit="1" customWidth="1"/>
    <col min="15650" max="15891" width="9.109375" style="781" bestFit="1" customWidth="1"/>
    <col min="15892" max="15892" width="2.6640625" style="781" customWidth="1"/>
    <col min="15893" max="15893" width="5" style="781" customWidth="1"/>
    <col min="15894" max="15894" width="11.6640625" style="781" customWidth="1"/>
    <col min="15895" max="15895" width="17" style="781" customWidth="1"/>
    <col min="15896" max="15896" width="6.6640625" style="781" customWidth="1"/>
    <col min="15897" max="15897" width="18.33203125" style="781" customWidth="1"/>
    <col min="15898" max="15898" width="10" style="781" customWidth="1"/>
    <col min="15899" max="15899" width="9" style="781" bestFit="1" customWidth="1"/>
    <col min="15900" max="15900" width="6.5546875" style="781" customWidth="1"/>
    <col min="15901" max="15901" width="15.44140625" style="781" customWidth="1"/>
    <col min="15902" max="15902" width="36.6640625" style="781" customWidth="1"/>
    <col min="15903" max="15903" width="0" style="781" hidden="1" customWidth="1"/>
    <col min="15904" max="15904" width="9.109375" style="781" bestFit="1" customWidth="1"/>
    <col min="15905" max="15905" width="10.33203125" style="781" bestFit="1" customWidth="1"/>
    <col min="15906" max="16147" width="9.109375" style="781" bestFit="1" customWidth="1"/>
    <col min="16148" max="16148" width="2.6640625" style="781" customWidth="1"/>
    <col min="16149" max="16149" width="5" style="781" customWidth="1"/>
    <col min="16150" max="16150" width="11.6640625" style="781" customWidth="1"/>
    <col min="16151" max="16151" width="17" style="781" customWidth="1"/>
    <col min="16152" max="16152" width="6.6640625" style="781" customWidth="1"/>
    <col min="16153" max="16153" width="18.33203125" style="781" customWidth="1"/>
    <col min="16154" max="16154" width="10" style="781" customWidth="1"/>
    <col min="16155" max="16155" width="9" style="781" bestFit="1" customWidth="1"/>
    <col min="16156" max="16156" width="6.5546875" style="781" customWidth="1"/>
    <col min="16157" max="16157" width="15.44140625" style="781" customWidth="1"/>
    <col min="16158" max="16158" width="36.6640625" style="781" customWidth="1"/>
    <col min="16159" max="16159" width="0" style="781" hidden="1" customWidth="1"/>
    <col min="16160" max="16160" width="9.109375" style="781" bestFit="1" customWidth="1"/>
    <col min="16161" max="16161" width="10.33203125" style="781" bestFit="1" customWidth="1"/>
    <col min="16162" max="16384" width="9.109375" style="781"/>
  </cols>
  <sheetData>
    <row r="1" spans="2:60" ht="9" customHeight="1"/>
    <row r="2" spans="2:60">
      <c r="B2" s="6" t="s">
        <v>126</v>
      </c>
      <c r="C2" s="6"/>
      <c r="D2" s="786"/>
      <c r="E2" s="7" t="s">
        <v>511</v>
      </c>
      <c r="F2" s="8" t="s">
        <v>3221</v>
      </c>
      <c r="G2" s="779"/>
      <c r="H2" s="10"/>
      <c r="I2" s="787"/>
      <c r="J2" s="11" t="s">
        <v>513</v>
      </c>
      <c r="K2" s="12" t="s">
        <v>511</v>
      </c>
      <c r="L2" s="16" t="str">
        <f>'VLU 2023 &amp; 2024'!$M$256</f>
        <v>1/11/24 AM</v>
      </c>
      <c r="M2" s="779"/>
      <c r="N2" s="779"/>
      <c r="O2" s="27"/>
      <c r="P2" s="14"/>
      <c r="R2" s="15"/>
      <c r="S2" s="788"/>
      <c r="T2" s="781"/>
      <c r="U2" s="781"/>
      <c r="V2" s="781"/>
      <c r="W2" s="781"/>
      <c r="X2" s="781"/>
      <c r="Y2" s="781"/>
      <c r="Z2" s="781"/>
      <c r="AA2" s="781"/>
      <c r="AB2" s="785"/>
      <c r="AC2" s="785"/>
      <c r="AD2" s="785"/>
      <c r="AE2" s="785"/>
      <c r="AF2" s="785"/>
    </row>
    <row r="3" spans="2:60">
      <c r="B3" s="11" t="s">
        <v>514</v>
      </c>
      <c r="C3" s="11"/>
      <c r="D3" s="779"/>
      <c r="E3" s="12" t="s">
        <v>511</v>
      </c>
      <c r="F3" s="292" t="s">
        <v>600</v>
      </c>
      <c r="G3" s="779"/>
      <c r="H3" s="10"/>
      <c r="I3" s="787"/>
      <c r="J3" s="11" t="s">
        <v>516</v>
      </c>
      <c r="K3" s="12" t="s">
        <v>511</v>
      </c>
      <c r="L3" s="16" t="str">
        <f>'VLU 2023 &amp; 2024'!$N$256</f>
        <v>1/13/24 PM</v>
      </c>
      <c r="M3" s="779"/>
      <c r="N3" s="779"/>
      <c r="O3" s="27"/>
      <c r="P3" s="14"/>
      <c r="R3" s="15"/>
      <c r="S3" s="788"/>
      <c r="T3" s="781"/>
      <c r="U3" s="781"/>
      <c r="V3" s="781"/>
      <c r="W3" s="781"/>
      <c r="X3" s="781"/>
      <c r="Y3" s="781"/>
      <c r="Z3" s="781"/>
      <c r="AA3" s="781"/>
      <c r="AB3" s="785"/>
      <c r="AC3" s="785"/>
      <c r="AD3" s="785"/>
      <c r="AE3" s="785"/>
      <c r="AF3" s="785"/>
    </row>
    <row r="4" spans="2:60">
      <c r="B4" s="11" t="s">
        <v>517</v>
      </c>
      <c r="C4" s="11"/>
      <c r="D4" s="779"/>
      <c r="E4" s="12" t="s">
        <v>511</v>
      </c>
      <c r="F4" s="1078">
        <v>45286.493055555555</v>
      </c>
      <c r="G4" s="779"/>
      <c r="H4" s="10"/>
      <c r="I4" s="787"/>
      <c r="J4" s="11" t="s">
        <v>518</v>
      </c>
      <c r="K4" s="12" t="s">
        <v>511</v>
      </c>
      <c r="L4" s="789">
        <f>0</f>
        <v>0</v>
      </c>
      <c r="M4" s="790" t="s">
        <v>519</v>
      </c>
      <c r="N4" s="790"/>
      <c r="O4" s="27"/>
      <c r="P4" s="14"/>
      <c r="R4" s="15"/>
      <c r="S4" s="788"/>
      <c r="T4" s="781"/>
      <c r="U4" s="781"/>
      <c r="V4" s="781"/>
      <c r="W4" s="781"/>
      <c r="X4" s="781"/>
      <c r="Y4" s="781"/>
      <c r="Z4" s="781"/>
      <c r="AA4" s="781"/>
      <c r="AB4" s="785"/>
      <c r="AC4" s="785"/>
      <c r="AD4" s="785"/>
      <c r="AE4" s="785"/>
      <c r="AF4" s="785"/>
    </row>
    <row r="5" spans="2:60">
      <c r="B5" s="11" t="s">
        <v>520</v>
      </c>
      <c r="C5" s="11"/>
      <c r="D5" s="779"/>
      <c r="E5" s="12" t="s">
        <v>511</v>
      </c>
      <c r="F5" s="13" t="s">
        <v>4</v>
      </c>
      <c r="G5" s="779"/>
      <c r="H5" s="10"/>
      <c r="I5" s="787"/>
      <c r="J5" s="11" t="s">
        <v>521</v>
      </c>
      <c r="K5" s="12" t="s">
        <v>511</v>
      </c>
      <c r="L5" s="791" t="s">
        <v>3222</v>
      </c>
      <c r="M5" s="779"/>
      <c r="N5" s="779"/>
      <c r="O5" s="27"/>
      <c r="R5" s="15"/>
      <c r="S5" s="788"/>
      <c r="T5" s="781"/>
      <c r="U5" s="781"/>
      <c r="V5" s="781"/>
      <c r="W5" s="781"/>
      <c r="X5" s="781"/>
      <c r="Y5" s="781"/>
      <c r="Z5" s="781"/>
      <c r="AA5" s="781"/>
      <c r="AB5" s="785"/>
      <c r="AC5" s="785"/>
      <c r="AD5" s="785"/>
      <c r="AE5" s="785"/>
      <c r="AF5" s="785"/>
    </row>
    <row r="6" spans="2:60">
      <c r="B6" s="11" t="s">
        <v>523</v>
      </c>
      <c r="C6" s="11"/>
      <c r="D6" s="779"/>
      <c r="E6" s="12" t="s">
        <v>511</v>
      </c>
      <c r="F6" s="13" t="s">
        <v>5</v>
      </c>
      <c r="G6" s="779"/>
      <c r="H6" s="10"/>
      <c r="I6" s="787"/>
      <c r="J6" s="11" t="s">
        <v>524</v>
      </c>
      <c r="K6" s="12" t="s">
        <v>511</v>
      </c>
      <c r="L6" s="792" t="s">
        <v>11</v>
      </c>
      <c r="M6" s="793"/>
      <c r="N6" s="793"/>
      <c r="O6" s="27"/>
      <c r="P6" s="14"/>
      <c r="R6" s="15"/>
      <c r="S6" s="788"/>
      <c r="T6" s="781"/>
      <c r="U6" s="781"/>
      <c r="V6" s="781"/>
      <c r="W6" s="781"/>
      <c r="X6" s="781"/>
      <c r="Y6" s="781"/>
      <c r="Z6" s="781"/>
      <c r="AA6" s="781"/>
      <c r="AB6" s="785"/>
      <c r="AC6" s="785"/>
      <c r="AD6" s="785"/>
      <c r="AE6" s="785"/>
      <c r="AF6" s="785"/>
    </row>
    <row r="7" spans="2:60">
      <c r="B7" s="11" t="s">
        <v>2</v>
      </c>
      <c r="C7" s="11"/>
      <c r="D7" s="779"/>
      <c r="E7" s="12" t="s">
        <v>511</v>
      </c>
      <c r="F7" s="13" t="s">
        <v>31</v>
      </c>
      <c r="G7" s="779"/>
      <c r="H7" s="10"/>
      <c r="I7" s="794"/>
      <c r="J7" s="11"/>
      <c r="K7" s="12"/>
      <c r="L7" s="16"/>
      <c r="O7" s="11"/>
      <c r="P7" s="793"/>
      <c r="Q7" s="793"/>
      <c r="R7" s="793"/>
      <c r="S7" s="787"/>
      <c r="T7" s="781"/>
      <c r="U7" s="781"/>
      <c r="V7" s="781"/>
      <c r="W7" s="781"/>
      <c r="X7" s="781"/>
      <c r="Y7" s="781"/>
      <c r="Z7" s="781"/>
      <c r="AA7" s="781"/>
      <c r="AB7" s="787"/>
      <c r="AC7" s="787"/>
      <c r="AD7" s="787"/>
      <c r="AE7" s="787"/>
      <c r="AF7" s="787"/>
      <c r="AG7" s="787"/>
      <c r="AH7" s="787"/>
      <c r="AI7" s="787"/>
      <c r="AJ7" s="787"/>
      <c r="AK7" s="787"/>
      <c r="AL7" s="787"/>
      <c r="AM7" s="787"/>
      <c r="AN7" s="787"/>
    </row>
    <row r="8" spans="2:60" ht="14.4">
      <c r="I8" s="794"/>
      <c r="J8" s="11"/>
      <c r="K8" s="11"/>
      <c r="L8" s="792"/>
      <c r="M8" s="793"/>
      <c r="N8" s="793"/>
      <c r="O8" s="11"/>
      <c r="P8" s="793"/>
      <c r="Q8" s="793"/>
      <c r="R8" s="793"/>
      <c r="S8" s="787"/>
      <c r="T8" s="1562" t="s">
        <v>87</v>
      </c>
      <c r="U8" s="1562"/>
      <c r="V8" s="1562"/>
      <c r="W8" s="1562"/>
      <c r="X8" s="1562"/>
      <c r="Y8" s="1562" t="s">
        <v>73</v>
      </c>
      <c r="Z8" s="1562"/>
      <c r="AA8" s="1562"/>
      <c r="AB8" s="1562" t="s">
        <v>74</v>
      </c>
      <c r="AC8" s="1562"/>
      <c r="AD8" s="795" t="s">
        <v>85</v>
      </c>
      <c r="AE8" s="796" t="s">
        <v>77</v>
      </c>
      <c r="AF8" s="1547" t="s">
        <v>525</v>
      </c>
      <c r="AG8" s="1547"/>
      <c r="AH8" s="1547"/>
      <c r="AI8" s="1547"/>
      <c r="AJ8" s="1547"/>
      <c r="AK8" s="1547"/>
      <c r="AL8" s="1547"/>
      <c r="AM8" s="1547"/>
      <c r="AN8" s="1547"/>
      <c r="AO8" s="1547"/>
      <c r="AP8" s="1547"/>
      <c r="AQ8" s="1547"/>
      <c r="AR8" s="1547"/>
      <c r="AS8" s="1547"/>
      <c r="AT8" s="1547"/>
      <c r="AU8" s="1547"/>
      <c r="AV8" s="1547"/>
      <c r="AW8" s="1547"/>
      <c r="AX8" s="1547"/>
      <c r="AY8" s="1547"/>
      <c r="AZ8" s="1547"/>
      <c r="BA8" s="1547"/>
      <c r="BB8" s="1547"/>
      <c r="BC8" s="1547"/>
      <c r="BD8" s="1547"/>
      <c r="BE8" s="1547"/>
      <c r="BF8" s="1547"/>
      <c r="BG8" s="1547"/>
      <c r="BH8" s="1547"/>
    </row>
    <row r="9" spans="2:60" ht="14.4">
      <c r="B9" s="1563" t="s">
        <v>526</v>
      </c>
      <c r="C9" s="1564"/>
      <c r="D9" s="797" t="s">
        <v>527</v>
      </c>
      <c r="E9" s="797"/>
      <c r="F9" s="797" t="s">
        <v>528</v>
      </c>
      <c r="G9" s="797" t="s">
        <v>529</v>
      </c>
      <c r="H9" s="797" t="s">
        <v>530</v>
      </c>
      <c r="I9" s="797" t="s">
        <v>531</v>
      </c>
      <c r="J9" s="797" t="s">
        <v>532</v>
      </c>
      <c r="K9" s="797"/>
      <c r="L9" s="797" t="s">
        <v>130</v>
      </c>
      <c r="M9" s="797" t="s">
        <v>533</v>
      </c>
      <c r="N9" s="798" t="e">
        <f>"On time - "&amp;COUNTIF(#REF!,"On time")&amp;" from "&amp;ROWS(#REF!)-COUNTIF(#REF!," ")</f>
        <v>#REF!</v>
      </c>
      <c r="O9" s="799"/>
      <c r="P9" s="800" t="s">
        <v>534</v>
      </c>
      <c r="Q9" s="800" t="s">
        <v>535</v>
      </c>
      <c r="R9" s="800" t="s">
        <v>536</v>
      </c>
      <c r="S9" s="779"/>
      <c r="T9" s="801" t="s">
        <v>537</v>
      </c>
      <c r="U9" s="801" t="s">
        <v>538</v>
      </c>
      <c r="V9" s="801" t="s">
        <v>539</v>
      </c>
      <c r="W9" s="801" t="s">
        <v>540</v>
      </c>
      <c r="X9" s="801" t="s">
        <v>541</v>
      </c>
      <c r="Y9" s="801" t="s">
        <v>167</v>
      </c>
      <c r="Z9" s="801" t="s">
        <v>168</v>
      </c>
      <c r="AA9" s="801" t="s">
        <v>169</v>
      </c>
      <c r="AB9" s="801" t="s">
        <v>235</v>
      </c>
      <c r="AC9" s="801" t="s">
        <v>240</v>
      </c>
      <c r="AD9" s="795" t="s">
        <v>85</v>
      </c>
      <c r="AE9" s="801" t="s">
        <v>139</v>
      </c>
      <c r="AF9" s="802" t="s">
        <v>72</v>
      </c>
      <c r="AG9" s="802" t="s">
        <v>88</v>
      </c>
      <c r="AH9" s="802" t="s">
        <v>75</v>
      </c>
      <c r="AI9" s="802" t="s">
        <v>543</v>
      </c>
      <c r="AJ9" s="802" t="s">
        <v>78</v>
      </c>
      <c r="AK9" s="802" t="s">
        <v>76</v>
      </c>
      <c r="AL9" s="802" t="s">
        <v>544</v>
      </c>
      <c r="AM9" s="802" t="s">
        <v>545</v>
      </c>
      <c r="AN9" s="802" t="s">
        <v>86</v>
      </c>
      <c r="AO9" s="802" t="s">
        <v>83</v>
      </c>
      <c r="AP9" s="802" t="s">
        <v>84</v>
      </c>
      <c r="AQ9" s="802" t="s">
        <v>546</v>
      </c>
      <c r="AR9" s="802" t="s">
        <v>81</v>
      </c>
      <c r="AS9" s="802" t="s">
        <v>80</v>
      </c>
      <c r="AT9" s="802" t="s">
        <v>82</v>
      </c>
      <c r="AU9" s="802" t="s">
        <v>181</v>
      </c>
      <c r="AV9" s="802" t="s">
        <v>183</v>
      </c>
      <c r="AW9" s="802" t="s">
        <v>547</v>
      </c>
      <c r="AX9" s="802" t="s">
        <v>182</v>
      </c>
      <c r="AY9" s="802" t="s">
        <v>172</v>
      </c>
      <c r="AZ9" s="802" t="s">
        <v>173</v>
      </c>
      <c r="BA9" s="802" t="s">
        <v>184</v>
      </c>
      <c r="BB9" s="802" t="s">
        <v>100</v>
      </c>
      <c r="BC9" s="1147" t="s">
        <v>913</v>
      </c>
      <c r="BD9" s="1150" t="s">
        <v>2896</v>
      </c>
      <c r="BE9" s="1150" t="s">
        <v>2747</v>
      </c>
      <c r="BF9" s="1150" t="s">
        <v>2862</v>
      </c>
      <c r="BG9" s="1150" t="s">
        <v>2897</v>
      </c>
      <c r="BH9" s="1150" t="s">
        <v>2856</v>
      </c>
    </row>
    <row r="10" spans="2:60" s="773" customFormat="1">
      <c r="B10" s="1556" t="s">
        <v>616</v>
      </c>
      <c r="C10" s="1557"/>
      <c r="D10" s="470" t="s">
        <v>3969</v>
      </c>
      <c r="E10" s="1089"/>
      <c r="F10" s="470" t="s">
        <v>3403</v>
      </c>
      <c r="G10" s="470" t="s">
        <v>255</v>
      </c>
      <c r="H10" s="816">
        <v>7374.1660000000002</v>
      </c>
      <c r="I10" s="833" t="s">
        <v>235</v>
      </c>
      <c r="J10" s="466">
        <v>45290.086805555555</v>
      </c>
      <c r="K10" s="829"/>
      <c r="L10" s="877" t="str">
        <f>'BLU DEC''23 &amp; JAN''24'!J186</f>
        <v>Waiting Unload</v>
      </c>
      <c r="M10" s="877" t="str">
        <f>'BLU DEC''23 &amp; JAN''24'!K186</f>
        <v>MUARA BERAU</v>
      </c>
      <c r="N10" s="469" t="str">
        <f t="shared" ref="N10:N16" si="0">IF(ISBLANK(J10)," ",IF(J10&lt;$F$4,"On time",(IF(DAY(J10-$F$4)&lt;1,"On time",(IF(J10&gt;$F$4,"DELAY ( "&amp;DAY(J10-$F$4)&amp;" day "&amp;HOUR(J10-$F$4)&amp;" hour "&amp;MINUTE(J10-$F$4)&amp;" minute )","xxx"))))))</f>
        <v>DELAY ( 3 day 14 hour 15 minute )</v>
      </c>
      <c r="O10" s="778"/>
      <c r="P10" s="465" t="s">
        <v>551</v>
      </c>
      <c r="Q10" s="465" t="s">
        <v>551</v>
      </c>
      <c r="R10" s="465" t="s">
        <v>551</v>
      </c>
      <c r="S10" s="779"/>
      <c r="T10" s="780"/>
      <c r="U10" s="780"/>
      <c r="V10" s="780"/>
      <c r="W10" s="780"/>
      <c r="X10" s="780"/>
      <c r="Y10" s="780"/>
      <c r="Z10" s="780"/>
      <c r="AA10" s="1130"/>
      <c r="AB10" s="1129">
        <f>H10</f>
        <v>7374.1660000000002</v>
      </c>
      <c r="AC10" s="1131"/>
      <c r="AD10" s="780"/>
      <c r="AE10" s="780"/>
      <c r="AF10" s="780"/>
      <c r="AG10" s="780"/>
      <c r="AH10" s="780"/>
      <c r="AI10" s="780"/>
      <c r="AJ10" s="780"/>
      <c r="AK10" s="780"/>
      <c r="AL10" s="780"/>
      <c r="AM10" s="780"/>
      <c r="AN10" s="780"/>
      <c r="AO10" s="780"/>
      <c r="AP10" s="780"/>
      <c r="AQ10" s="780"/>
      <c r="AR10" s="780"/>
      <c r="AS10" s="780"/>
      <c r="AT10" s="780"/>
      <c r="AU10" s="780"/>
      <c r="AV10" s="780"/>
      <c r="AW10" s="780"/>
      <c r="AX10" s="780"/>
      <c r="AY10" s="780"/>
      <c r="AZ10" s="780"/>
      <c r="BA10" s="780"/>
      <c r="BB10" s="780"/>
      <c r="BC10" s="780"/>
      <c r="BD10" s="780"/>
      <c r="BE10" s="780"/>
      <c r="BF10" s="780"/>
      <c r="BG10" s="780"/>
      <c r="BH10" s="780"/>
    </row>
    <row r="11" spans="2:60" s="773" customFormat="1">
      <c r="B11" s="1556" t="s">
        <v>668</v>
      </c>
      <c r="C11" s="1557"/>
      <c r="D11" s="470" t="s">
        <v>3970</v>
      </c>
      <c r="E11" s="1089"/>
      <c r="F11" s="470" t="s">
        <v>437</v>
      </c>
      <c r="G11" s="470" t="s">
        <v>320</v>
      </c>
      <c r="H11" s="816">
        <v>7576.2120000000004</v>
      </c>
      <c r="I11" s="833" t="s">
        <v>235</v>
      </c>
      <c r="J11" s="466">
        <v>45290.534722222219</v>
      </c>
      <c r="K11" s="829"/>
      <c r="L11" s="877" t="str">
        <f>'BLU DEC''23 &amp; JAN''24'!J187</f>
        <v>Waiting Unload</v>
      </c>
      <c r="M11" s="877" t="str">
        <f>'BLU DEC''23 &amp; JAN''24'!K187</f>
        <v>MUARA BERAU</v>
      </c>
      <c r="N11" s="876" t="str">
        <f t="shared" si="0"/>
        <v>DELAY ( 4 day 1 hour 0 minute )</v>
      </c>
      <c r="O11" s="778"/>
      <c r="P11" s="465" t="s">
        <v>551</v>
      </c>
      <c r="Q11" s="465" t="s">
        <v>551</v>
      </c>
      <c r="R11" s="465" t="s">
        <v>551</v>
      </c>
      <c r="T11" s="780"/>
      <c r="U11" s="780"/>
      <c r="V11" s="780"/>
      <c r="W11" s="780"/>
      <c r="X11" s="780"/>
      <c r="Y11" s="780"/>
      <c r="Z11" s="780"/>
      <c r="AA11" s="780"/>
      <c r="AB11" s="1002">
        <f>H11</f>
        <v>7576.2120000000004</v>
      </c>
      <c r="AC11" s="780"/>
      <c r="AD11" s="780"/>
      <c r="AE11" s="780"/>
      <c r="AF11" s="780"/>
      <c r="AG11" s="780"/>
      <c r="AH11" s="780"/>
      <c r="AI11" s="780"/>
      <c r="AJ11" s="780"/>
      <c r="AK11" s="780"/>
      <c r="AL11" s="780"/>
      <c r="AM11" s="780"/>
      <c r="AN11" s="780"/>
      <c r="AO11" s="780"/>
      <c r="AP11" s="780"/>
      <c r="AQ11" s="780"/>
      <c r="AR11" s="780"/>
      <c r="AS11" s="780"/>
      <c r="AT11" s="780"/>
      <c r="AU11" s="780"/>
      <c r="AV11" s="780"/>
      <c r="AW11" s="780"/>
      <c r="AX11" s="780"/>
      <c r="AY11" s="780"/>
      <c r="AZ11" s="780"/>
      <c r="BA11" s="780"/>
      <c r="BB11" s="780"/>
      <c r="BC11" s="780"/>
      <c r="BD11" s="780"/>
      <c r="BE11" s="780"/>
      <c r="BF11" s="780"/>
      <c r="BG11" s="780"/>
      <c r="BH11" s="780"/>
    </row>
    <row r="12" spans="2:60" s="773" customFormat="1">
      <c r="B12" s="1556" t="s">
        <v>616</v>
      </c>
      <c r="C12" s="1557"/>
      <c r="D12" s="470" t="s">
        <v>3972</v>
      </c>
      <c r="E12" s="1089"/>
      <c r="F12" s="470" t="s">
        <v>3563</v>
      </c>
      <c r="G12" s="470" t="s">
        <v>206</v>
      </c>
      <c r="H12" s="816">
        <v>7454.3549999999996</v>
      </c>
      <c r="I12" s="833" t="s">
        <v>235</v>
      </c>
      <c r="J12" s="466">
        <v>45290.875</v>
      </c>
      <c r="K12" s="829"/>
      <c r="L12" s="877" t="str">
        <f>'BLU DEC''23 &amp; JAN''24'!J188</f>
        <v>Waiting Unload</v>
      </c>
      <c r="M12" s="877" t="str">
        <f>'BLU DEC''23 &amp; JAN''24'!K188</f>
        <v>MUARA BERAU</v>
      </c>
      <c r="N12" s="876" t="str">
        <f t="shared" si="0"/>
        <v>DELAY ( 4 day 9 hour 10 minute )</v>
      </c>
      <c r="O12" s="778"/>
      <c r="P12" s="465" t="s">
        <v>551</v>
      </c>
      <c r="Q12" s="465" t="s">
        <v>551</v>
      </c>
      <c r="R12" s="465" t="s">
        <v>551</v>
      </c>
      <c r="T12" s="780"/>
      <c r="U12" s="780"/>
      <c r="V12" s="780"/>
      <c r="W12" s="780"/>
      <c r="X12" s="780"/>
      <c r="Y12" s="780"/>
      <c r="Z12" s="780"/>
      <c r="AA12" s="1130"/>
      <c r="AB12" s="1129">
        <f>H12</f>
        <v>7454.3549999999996</v>
      </c>
      <c r="AC12" s="1131"/>
      <c r="AD12" s="780"/>
      <c r="AE12" s="780"/>
      <c r="AF12" s="780"/>
      <c r="AG12" s="780"/>
      <c r="AH12" s="780"/>
      <c r="AI12" s="780"/>
      <c r="AJ12" s="780"/>
      <c r="AK12" s="780"/>
      <c r="AL12" s="780"/>
      <c r="AM12" s="780"/>
      <c r="AN12" s="780"/>
      <c r="AO12" s="780"/>
      <c r="AP12" s="780"/>
      <c r="AQ12" s="780"/>
      <c r="AR12" s="780"/>
      <c r="AS12" s="780"/>
      <c r="AT12" s="780"/>
      <c r="AU12" s="780"/>
      <c r="AV12" s="780"/>
      <c r="AW12" s="780"/>
      <c r="AX12" s="780"/>
      <c r="AY12" s="780"/>
      <c r="AZ12" s="780"/>
      <c r="BA12" s="780"/>
      <c r="BB12" s="780"/>
      <c r="BC12" s="780"/>
      <c r="BD12" s="780"/>
      <c r="BE12" s="780"/>
      <c r="BF12" s="780"/>
      <c r="BG12" s="780"/>
      <c r="BH12" s="780"/>
    </row>
    <row r="13" spans="2:60" s="773" customFormat="1">
      <c r="B13" s="1556" t="s">
        <v>548</v>
      </c>
      <c r="C13" s="1557"/>
      <c r="D13" s="470" t="s">
        <v>3973</v>
      </c>
      <c r="E13" s="470"/>
      <c r="F13" s="470" t="s">
        <v>2859</v>
      </c>
      <c r="G13" s="470" t="s">
        <v>324</v>
      </c>
      <c r="H13" s="816">
        <v>7530.3469999999998</v>
      </c>
      <c r="I13" s="833" t="s">
        <v>611</v>
      </c>
      <c r="J13" s="466">
        <v>45287.15625</v>
      </c>
      <c r="K13" s="829"/>
      <c r="L13" s="877" t="str">
        <f>'BLU DEC''23 &amp; JAN''24'!J189</f>
        <v>Waiting Unload</v>
      </c>
      <c r="M13" s="877" t="str">
        <f>'BLU DEC''23 &amp; JAN''24'!K189</f>
        <v>MUARA BERAU</v>
      </c>
      <c r="N13" s="469" t="str">
        <f t="shared" si="0"/>
        <v>On time</v>
      </c>
      <c r="O13" s="778"/>
      <c r="P13" s="465" t="s">
        <v>551</v>
      </c>
      <c r="Q13" s="465" t="s">
        <v>551</v>
      </c>
      <c r="R13" s="465" t="s">
        <v>551</v>
      </c>
      <c r="S13" s="779"/>
      <c r="T13" s="803">
        <f>H13</f>
        <v>7530.3469999999998</v>
      </c>
      <c r="U13" s="780"/>
      <c r="V13" s="780"/>
      <c r="W13" s="780"/>
      <c r="X13" s="780"/>
      <c r="Y13" s="780"/>
      <c r="Z13" s="780"/>
      <c r="AA13" s="780"/>
      <c r="AB13" s="780"/>
      <c r="AC13" s="780"/>
      <c r="AD13" s="780"/>
      <c r="AE13" s="780"/>
      <c r="AF13" s="780"/>
      <c r="AG13" s="780"/>
      <c r="AH13" s="780"/>
      <c r="AI13" s="780"/>
      <c r="AJ13" s="780"/>
      <c r="AK13" s="780"/>
      <c r="AL13" s="780"/>
      <c r="AM13" s="780"/>
      <c r="AN13" s="780"/>
      <c r="AO13" s="780"/>
      <c r="AP13" s="780"/>
      <c r="AQ13" s="780"/>
      <c r="AR13" s="780"/>
      <c r="AS13" s="780"/>
      <c r="AT13" s="780"/>
      <c r="AU13" s="780"/>
      <c r="AV13" s="780"/>
      <c r="AW13" s="780"/>
      <c r="AX13" s="780"/>
      <c r="AY13" s="780"/>
      <c r="AZ13" s="780"/>
      <c r="BA13" s="780"/>
      <c r="BB13" s="780"/>
      <c r="BC13" s="780"/>
      <c r="BD13" s="780"/>
      <c r="BE13" s="780"/>
      <c r="BF13" s="780"/>
      <c r="BG13" s="780"/>
      <c r="BH13" s="780"/>
    </row>
    <row r="14" spans="2:60" s="773" customFormat="1">
      <c r="B14" s="1556" t="s">
        <v>548</v>
      </c>
      <c r="C14" s="1557"/>
      <c r="D14" s="470" t="s">
        <v>3974</v>
      </c>
      <c r="E14" s="470"/>
      <c r="F14" s="470" t="s">
        <v>201</v>
      </c>
      <c r="G14" s="470" t="s">
        <v>202</v>
      </c>
      <c r="H14" s="816">
        <v>7510.5290000000005</v>
      </c>
      <c r="I14" s="833" t="s">
        <v>611</v>
      </c>
      <c r="J14" s="466">
        <v>45288.916666666664</v>
      </c>
      <c r="K14" s="829"/>
      <c r="L14" s="877" t="str">
        <f>'BLU DEC''23 &amp; JAN''24'!J190</f>
        <v>Waiting Unload</v>
      </c>
      <c r="M14" s="877" t="str">
        <f>'BLU DEC''23 &amp; JAN''24'!K190</f>
        <v>MUARA BERAU</v>
      </c>
      <c r="N14" s="469" t="str">
        <f t="shared" si="0"/>
        <v>DELAY ( 2 day 10 hour 10 minute )</v>
      </c>
      <c r="O14" s="778"/>
      <c r="P14" s="465" t="s">
        <v>551</v>
      </c>
      <c r="Q14" s="465" t="s">
        <v>551</v>
      </c>
      <c r="R14" s="465" t="s">
        <v>551</v>
      </c>
      <c r="S14" s="779"/>
      <c r="T14" s="803">
        <f>H14</f>
        <v>7510.5290000000005</v>
      </c>
      <c r="U14" s="780"/>
      <c r="V14" s="780"/>
      <c r="W14" s="780"/>
      <c r="X14" s="780"/>
      <c r="Y14" s="780"/>
      <c r="Z14" s="780"/>
      <c r="AA14" s="780"/>
      <c r="AB14" s="780"/>
      <c r="AC14" s="780"/>
      <c r="AD14" s="780"/>
      <c r="AE14" s="780"/>
      <c r="AF14" s="780"/>
      <c r="AG14" s="780"/>
      <c r="AH14" s="780"/>
      <c r="AI14" s="780"/>
      <c r="AJ14" s="780"/>
      <c r="AK14" s="780"/>
      <c r="AL14" s="780"/>
      <c r="AM14" s="780"/>
      <c r="AN14" s="780"/>
      <c r="AO14" s="780"/>
      <c r="AP14" s="780"/>
      <c r="AQ14" s="780"/>
      <c r="AR14" s="780"/>
      <c r="AS14" s="780"/>
      <c r="AT14" s="780"/>
      <c r="AU14" s="780"/>
      <c r="AV14" s="780"/>
      <c r="AW14" s="780"/>
      <c r="AX14" s="780"/>
      <c r="AY14" s="780"/>
      <c r="AZ14" s="780"/>
      <c r="BA14" s="780"/>
      <c r="BB14" s="780"/>
      <c r="BC14" s="780"/>
      <c r="BD14" s="780"/>
      <c r="BE14" s="780"/>
      <c r="BF14" s="780"/>
      <c r="BG14" s="780"/>
      <c r="BH14" s="780"/>
    </row>
    <row r="15" spans="2:60" s="773" customFormat="1">
      <c r="B15" s="1556" t="s">
        <v>548</v>
      </c>
      <c r="C15" s="1557"/>
      <c r="D15" s="470" t="s">
        <v>3975</v>
      </c>
      <c r="E15" s="470"/>
      <c r="F15" s="470" t="s">
        <v>298</v>
      </c>
      <c r="G15" s="470" t="s">
        <v>299</v>
      </c>
      <c r="H15" s="816">
        <f>'BLU DEC''23 &amp; JAN''24'!S191</f>
        <v>10256.735000000001</v>
      </c>
      <c r="I15" s="833" t="s">
        <v>846</v>
      </c>
      <c r="J15" s="466">
        <v>45290.006944444445</v>
      </c>
      <c r="K15" s="829"/>
      <c r="L15" s="877" t="str">
        <f>'BLU DEC''23 &amp; JAN''24'!J191</f>
        <v>Waiting Unload</v>
      </c>
      <c r="M15" s="877" t="str">
        <f>'BLU DEC''23 &amp; JAN''24'!K191</f>
        <v>MUARA BERAU</v>
      </c>
      <c r="N15" s="469" t="str">
        <f t="shared" si="0"/>
        <v>DELAY ( 3 day 12 hour 20 minute )</v>
      </c>
      <c r="O15" s="778"/>
      <c r="P15" s="465" t="s">
        <v>551</v>
      </c>
      <c r="Q15" s="465" t="s">
        <v>551</v>
      </c>
      <c r="R15" s="465" t="s">
        <v>551</v>
      </c>
      <c r="S15" s="779"/>
      <c r="T15" s="780"/>
      <c r="U15" s="780"/>
      <c r="V15" s="780"/>
      <c r="W15" s="780"/>
      <c r="X15" s="780"/>
      <c r="Y15" s="803">
        <f>H15*0.45</f>
        <v>4615.5307500000008</v>
      </c>
      <c r="Z15" s="803">
        <f>H15*0.55</f>
        <v>5641.2042500000007</v>
      </c>
      <c r="AA15" s="780"/>
      <c r="AB15" s="780"/>
      <c r="AC15" s="780"/>
      <c r="AD15" s="780"/>
      <c r="AE15" s="780"/>
      <c r="AF15" s="780"/>
      <c r="AG15" s="780"/>
      <c r="AH15" s="780"/>
      <c r="AI15" s="780"/>
      <c r="AJ15" s="780"/>
      <c r="AK15" s="780"/>
      <c r="AL15" s="780"/>
      <c r="AM15" s="780"/>
      <c r="AN15" s="780"/>
      <c r="AO15" s="780"/>
      <c r="AP15" s="780"/>
      <c r="AQ15" s="780"/>
      <c r="AR15" s="780"/>
      <c r="AS15" s="780"/>
      <c r="AT15" s="780"/>
      <c r="AU15" s="780"/>
      <c r="AV15" s="780"/>
      <c r="AW15" s="780"/>
      <c r="AX15" s="780"/>
      <c r="AY15" s="780"/>
      <c r="AZ15" s="780"/>
      <c r="BA15" s="780"/>
      <c r="BB15" s="780"/>
      <c r="BC15" s="780"/>
      <c r="BD15" s="780"/>
      <c r="BE15" s="780"/>
      <c r="BF15" s="780"/>
      <c r="BG15" s="780"/>
      <c r="BH15" s="780"/>
    </row>
    <row r="16" spans="2:60" s="773" customFormat="1">
      <c r="B16" s="1556" t="s">
        <v>548</v>
      </c>
      <c r="C16" s="1557"/>
      <c r="D16" s="470" t="s">
        <v>3976</v>
      </c>
      <c r="E16" s="470"/>
      <c r="F16" s="470" t="s">
        <v>277</v>
      </c>
      <c r="G16" s="470" t="s">
        <v>278</v>
      </c>
      <c r="H16" s="816">
        <v>7754.82</v>
      </c>
      <c r="I16" s="833" t="s">
        <v>846</v>
      </c>
      <c r="J16" s="466">
        <v>45290.635416666664</v>
      </c>
      <c r="K16" s="829"/>
      <c r="L16" s="877" t="str">
        <f>'BLU DEC''23 &amp; JAN''24'!J192</f>
        <v>Waiting Unload</v>
      </c>
      <c r="M16" s="877" t="str">
        <f>'BLU DEC''23 &amp; JAN''24'!K192</f>
        <v>MUARA BERAU</v>
      </c>
      <c r="N16" s="876" t="str">
        <f t="shared" si="0"/>
        <v>DELAY ( 4 day 3 hour 25 minute )</v>
      </c>
      <c r="O16" s="778"/>
      <c r="P16" s="465" t="s">
        <v>551</v>
      </c>
      <c r="Q16" s="465" t="s">
        <v>551</v>
      </c>
      <c r="R16" s="465" t="s">
        <v>551</v>
      </c>
      <c r="T16" s="780"/>
      <c r="U16" s="780"/>
      <c r="V16" s="780"/>
      <c r="W16" s="780"/>
      <c r="X16" s="780"/>
      <c r="Y16" s="803">
        <f>H16*0.45</f>
        <v>3489.6689999999999</v>
      </c>
      <c r="Z16" s="803">
        <f>H16*0.55</f>
        <v>4265.1509999999998</v>
      </c>
      <c r="AA16" s="780"/>
      <c r="AC16" s="780"/>
      <c r="AD16" s="780"/>
      <c r="AE16" s="780"/>
      <c r="AF16" s="780"/>
      <c r="AG16" s="780"/>
      <c r="AH16" s="780"/>
      <c r="AI16" s="780"/>
      <c r="AJ16" s="780"/>
      <c r="AK16" s="780"/>
      <c r="AL16" s="780"/>
      <c r="AM16" s="780"/>
      <c r="AN16" s="780"/>
      <c r="AO16" s="780"/>
      <c r="AP16" s="780"/>
      <c r="AQ16" s="780"/>
      <c r="AR16" s="780"/>
      <c r="AS16" s="780"/>
      <c r="AT16" s="780"/>
      <c r="AU16" s="780"/>
      <c r="AV16" s="780"/>
      <c r="AW16" s="780"/>
      <c r="AX16" s="780"/>
      <c r="AY16" s="780"/>
      <c r="AZ16" s="780"/>
      <c r="BA16" s="780"/>
      <c r="BB16" s="780"/>
      <c r="BC16" s="780"/>
      <c r="BD16" s="780"/>
      <c r="BE16" s="780"/>
      <c r="BF16" s="780"/>
      <c r="BG16" s="780"/>
      <c r="BH16" s="780"/>
    </row>
    <row r="17" spans="2:61" s="773" customFormat="1" ht="13.5" customHeight="1">
      <c r="B17" s="1556" t="s">
        <v>548</v>
      </c>
      <c r="C17" s="1557"/>
      <c r="D17" s="470" t="s">
        <v>3977</v>
      </c>
      <c r="E17" s="470"/>
      <c r="F17" s="470" t="s">
        <v>406</v>
      </c>
      <c r="G17" s="470" t="s">
        <v>407</v>
      </c>
      <c r="H17" s="816">
        <v>7467.2060000000001</v>
      </c>
      <c r="I17" s="833" t="s">
        <v>846</v>
      </c>
      <c r="J17" s="466">
        <v>45290.645833333336</v>
      </c>
      <c r="K17" s="467"/>
      <c r="L17" s="877" t="str">
        <f>'BLU DEC''23 &amp; JAN''24'!J193</f>
        <v>Waiting Unload</v>
      </c>
      <c r="M17" s="877" t="str">
        <f>'BLU DEC''23 &amp; JAN''24'!K193</f>
        <v>MUARA BERAU</v>
      </c>
      <c r="N17" s="469"/>
      <c r="O17" s="778"/>
      <c r="P17" s="465" t="s">
        <v>551</v>
      </c>
      <c r="Q17" s="465" t="s">
        <v>551</v>
      </c>
      <c r="R17" s="465" t="s">
        <v>551</v>
      </c>
      <c r="S17" s="779"/>
      <c r="T17" s="780"/>
      <c r="U17" s="780"/>
      <c r="V17" s="780"/>
      <c r="W17" s="780"/>
      <c r="X17" s="780"/>
      <c r="Y17" s="803">
        <f t="shared" ref="Y17:Y20" si="1">H17*0.45</f>
        <v>3360.2427000000002</v>
      </c>
      <c r="Z17" s="803">
        <f t="shared" ref="Z17:Z20" si="2">H17*0.55</f>
        <v>4106.9633000000003</v>
      </c>
      <c r="AA17" s="780"/>
      <c r="AB17" s="780"/>
      <c r="AC17" s="780"/>
      <c r="AD17" s="780"/>
      <c r="AE17" s="780"/>
      <c r="AF17" s="780"/>
      <c r="AG17" s="780"/>
      <c r="AH17" s="780"/>
      <c r="AI17" s="780"/>
      <c r="AJ17" s="780"/>
      <c r="AL17" s="780"/>
      <c r="AM17" s="780"/>
      <c r="AN17" s="780"/>
      <c r="AO17" s="780"/>
      <c r="AP17" s="780"/>
      <c r="AQ17" s="780"/>
      <c r="AR17" s="780"/>
      <c r="AS17" s="780"/>
      <c r="AT17" s="780"/>
      <c r="AU17" s="780"/>
      <c r="AV17" s="780"/>
      <c r="AW17" s="780"/>
      <c r="AY17" s="780"/>
      <c r="AZ17" s="780"/>
      <c r="BA17" s="780"/>
      <c r="BB17" s="780"/>
      <c r="BC17" s="780"/>
      <c r="BD17" s="780"/>
      <c r="BE17" s="780"/>
      <c r="BF17" s="780"/>
      <c r="BG17" s="780"/>
      <c r="BH17" s="780"/>
    </row>
    <row r="18" spans="2:61" s="773" customFormat="1">
      <c r="B18" s="1556" t="s">
        <v>548</v>
      </c>
      <c r="C18" s="1557"/>
      <c r="D18" s="470" t="s">
        <v>3927</v>
      </c>
      <c r="E18" s="470"/>
      <c r="F18" s="470" t="s">
        <v>774</v>
      </c>
      <c r="G18" s="470" t="s">
        <v>391</v>
      </c>
      <c r="H18" s="816">
        <v>970.85500000000002</v>
      </c>
      <c r="I18" s="833" t="s">
        <v>3918</v>
      </c>
      <c r="J18" s="466">
        <v>45291.375</v>
      </c>
      <c r="K18" s="829"/>
      <c r="L18" s="877" t="str">
        <f>'BLU DEC''23 &amp; JAN''24'!J194</f>
        <v>Waiting Unload</v>
      </c>
      <c r="M18" s="877" t="str">
        <f>'BLU DEC''23 &amp; JAN''24'!K194</f>
        <v>MUARA BERAU</v>
      </c>
      <c r="N18" s="469" t="str">
        <f>IF(ISBLANK(J18)," ",IF(J18&lt;$F$4,"On time",(IF(DAY(J18-$F$4)&lt;1,"On time",(IF(J18&gt;$F$4,"DELAY ( "&amp;DAY(J18-$F$4)&amp;" day "&amp;HOUR(J18-$F$4)&amp;" hour "&amp;MINUTE(J18-$F$4)&amp;" minute )","xxx"))))))</f>
        <v>DELAY ( 4 day 21 hour 10 minute )</v>
      </c>
      <c r="O18" s="778"/>
      <c r="P18" s="465" t="s">
        <v>551</v>
      </c>
      <c r="Q18" s="465" t="s">
        <v>551</v>
      </c>
      <c r="R18" s="465" t="s">
        <v>551</v>
      </c>
      <c r="S18" s="779"/>
      <c r="T18" s="780"/>
      <c r="U18" s="780"/>
      <c r="V18" s="780"/>
      <c r="W18" s="780"/>
      <c r="X18" s="780"/>
      <c r="Y18" s="803">
        <f>H18*0.7</f>
        <v>679.59849999999994</v>
      </c>
      <c r="Z18" s="803">
        <f>H18*0.3</f>
        <v>291.25650000000002</v>
      </c>
      <c r="AA18" s="803"/>
      <c r="AB18" s="780"/>
      <c r="AC18" s="780"/>
      <c r="AD18" s="780"/>
      <c r="AE18" s="780"/>
      <c r="AF18" s="780"/>
      <c r="AG18" s="780"/>
      <c r="AH18" s="780"/>
      <c r="AI18" s="780"/>
      <c r="AJ18" s="780"/>
      <c r="AK18" s="780"/>
      <c r="AL18" s="780"/>
      <c r="AM18" s="780"/>
      <c r="AN18" s="780"/>
      <c r="AO18" s="780"/>
      <c r="AP18" s="780"/>
      <c r="AQ18" s="780"/>
      <c r="AR18" s="780"/>
      <c r="AS18" s="780"/>
      <c r="AT18" s="780"/>
      <c r="AU18" s="780"/>
      <c r="AV18" s="780"/>
      <c r="AW18" s="780"/>
      <c r="AX18" s="780"/>
      <c r="AY18" s="780"/>
      <c r="AZ18" s="780"/>
      <c r="BA18" s="780"/>
      <c r="BB18" s="780"/>
      <c r="BC18" s="780"/>
      <c r="BD18" s="780"/>
      <c r="BE18" s="780"/>
      <c r="BF18" s="780"/>
      <c r="BG18" s="780"/>
      <c r="BH18" s="780"/>
    </row>
    <row r="19" spans="2:61" s="773" customFormat="1">
      <c r="B19" s="1556" t="s">
        <v>548</v>
      </c>
      <c r="C19" s="1557"/>
      <c r="D19" s="470" t="s">
        <v>4018</v>
      </c>
      <c r="E19" s="470"/>
      <c r="F19" s="470" t="s">
        <v>284</v>
      </c>
      <c r="G19" s="470" t="s">
        <v>285</v>
      </c>
      <c r="H19" s="771">
        <v>9250</v>
      </c>
      <c r="I19" s="833" t="s">
        <v>846</v>
      </c>
      <c r="J19" s="467" t="s">
        <v>4590</v>
      </c>
      <c r="K19" s="829"/>
      <c r="L19" s="877" t="s">
        <v>4587</v>
      </c>
      <c r="M19" s="877" t="str">
        <f>'BLU DEC''23 &amp; JAN''24'!K219</f>
        <v>BUNYUT</v>
      </c>
      <c r="N19" s="469" t="e">
        <f>IF(ISBLANK(J19)," ",IF(J19&lt;$F$4,"On time",(IF(DAY(J19-$F$4)&lt;1,"On time",(IF(J19&gt;$F$4,"DELAY ( "&amp;DAY(J19-$F$4)&amp;" day "&amp;HOUR(J19-$F$4)&amp;" hour "&amp;MINUTE(J19-$F$4)&amp;" minute )","xxx"))))))</f>
        <v>#VALUE!</v>
      </c>
      <c r="O19" s="778"/>
      <c r="P19" s="465" t="s">
        <v>551</v>
      </c>
      <c r="Q19" s="465" t="s">
        <v>873</v>
      </c>
      <c r="R19" s="465" t="s">
        <v>873</v>
      </c>
      <c r="S19" s="779"/>
      <c r="T19" s="780"/>
      <c r="U19" s="780"/>
      <c r="V19" s="780"/>
      <c r="W19" s="780"/>
      <c r="X19" s="780"/>
      <c r="Y19" s="780">
        <f t="shared" si="1"/>
        <v>4162.5</v>
      </c>
      <c r="Z19" s="780">
        <f t="shared" si="2"/>
        <v>5087.5</v>
      </c>
      <c r="AA19" s="780"/>
      <c r="AB19" s="780"/>
      <c r="AC19" s="780"/>
      <c r="AD19" s="780"/>
      <c r="AE19" s="780"/>
      <c r="AF19" s="780"/>
      <c r="AG19" s="780"/>
      <c r="AH19" s="780"/>
      <c r="AI19" s="780"/>
      <c r="AJ19" s="780"/>
      <c r="AK19" s="780"/>
      <c r="AL19" s="780"/>
      <c r="AM19" s="780"/>
      <c r="AN19" s="780"/>
      <c r="AO19" s="780"/>
      <c r="AP19" s="780"/>
      <c r="AQ19" s="780"/>
      <c r="AR19" s="780"/>
      <c r="AS19" s="780"/>
      <c r="AT19" s="780"/>
      <c r="AU19" s="780"/>
      <c r="AV19" s="780"/>
      <c r="AW19" s="780"/>
      <c r="AX19" s="780"/>
      <c r="AY19" s="780"/>
      <c r="AZ19" s="780"/>
      <c r="BA19" s="780"/>
      <c r="BB19" s="780"/>
      <c r="BC19" s="780"/>
      <c r="BD19" s="780"/>
      <c r="BE19" s="780"/>
      <c r="BF19" s="780"/>
      <c r="BG19" s="780"/>
      <c r="BH19" s="780"/>
    </row>
    <row r="20" spans="2:61" s="773" customFormat="1" ht="13.5" customHeight="1">
      <c r="B20" s="1556" t="s">
        <v>548</v>
      </c>
      <c r="C20" s="1557"/>
      <c r="D20" s="470" t="s">
        <v>4020</v>
      </c>
      <c r="E20" s="470"/>
      <c r="F20" s="470" t="s">
        <v>263</v>
      </c>
      <c r="G20" s="470" t="s">
        <v>264</v>
      </c>
      <c r="H20" s="771">
        <v>7550</v>
      </c>
      <c r="I20" s="833" t="s">
        <v>846</v>
      </c>
      <c r="J20" s="467" t="s">
        <v>4590</v>
      </c>
      <c r="K20" s="467"/>
      <c r="L20" s="877" t="s">
        <v>4587</v>
      </c>
      <c r="M20" s="877" t="str">
        <f>'BLU DEC''23 &amp; JAN''24'!K220</f>
        <v>BUNYUT</v>
      </c>
      <c r="N20" s="469"/>
      <c r="O20" s="778"/>
      <c r="P20" s="465" t="s">
        <v>551</v>
      </c>
      <c r="Q20" s="465" t="s">
        <v>873</v>
      </c>
      <c r="R20" s="465" t="s">
        <v>873</v>
      </c>
      <c r="S20" s="779"/>
      <c r="T20" s="780"/>
      <c r="U20" s="780"/>
      <c r="V20" s="780"/>
      <c r="W20" s="780"/>
      <c r="X20" s="780"/>
      <c r="Y20" s="780">
        <f t="shared" si="1"/>
        <v>3397.5</v>
      </c>
      <c r="Z20" s="780">
        <f t="shared" si="2"/>
        <v>4152.5</v>
      </c>
      <c r="AA20" s="780"/>
      <c r="AB20" s="780"/>
      <c r="AC20" s="780"/>
      <c r="AD20" s="780"/>
      <c r="AE20" s="780"/>
      <c r="AF20" s="780"/>
      <c r="AG20" s="780"/>
      <c r="AH20" s="780"/>
      <c r="AI20" s="780"/>
      <c r="AJ20" s="780"/>
      <c r="AL20" s="780"/>
      <c r="AM20" s="780"/>
      <c r="AN20" s="780"/>
      <c r="AO20" s="780"/>
      <c r="AP20" s="780"/>
      <c r="AQ20" s="780"/>
      <c r="AR20" s="780"/>
      <c r="AS20" s="780"/>
      <c r="AT20" s="780"/>
      <c r="AU20" s="780"/>
      <c r="AV20" s="780"/>
      <c r="AW20" s="780"/>
      <c r="AY20" s="780"/>
      <c r="AZ20" s="780"/>
      <c r="BA20" s="780"/>
      <c r="BB20" s="780"/>
      <c r="BC20" s="780"/>
      <c r="BD20" s="780"/>
      <c r="BE20" s="780"/>
      <c r="BF20" s="780"/>
      <c r="BG20" s="780"/>
      <c r="BH20" s="780"/>
    </row>
    <row r="21" spans="2:61" s="773" customFormat="1">
      <c r="B21" s="1556" t="s">
        <v>548</v>
      </c>
      <c r="C21" s="1557"/>
      <c r="D21" s="470" t="s">
        <v>4022</v>
      </c>
      <c r="E21" s="470"/>
      <c r="F21" s="470" t="s">
        <v>422</v>
      </c>
      <c r="G21" s="470" t="s">
        <v>3342</v>
      </c>
      <c r="H21" s="771">
        <v>7500</v>
      </c>
      <c r="I21" s="833" t="s">
        <v>846</v>
      </c>
      <c r="J21" s="467" t="s">
        <v>4590</v>
      </c>
      <c r="K21" s="829"/>
      <c r="L21" s="877" t="s">
        <v>4587</v>
      </c>
      <c r="M21" s="877" t="str">
        <f>'BLU DEC''23 &amp; JAN''24'!K213</f>
        <v>BUNYUT</v>
      </c>
      <c r="N21" s="469" t="e">
        <f>IF(ISBLANK(J21)," ",IF(J21&lt;$F$4,"On time",(IF(DAY(J21-$F$4)&lt;1,"On time",(IF(J21&gt;$F$4,"DELAY ( "&amp;DAY(J21-$F$4)&amp;" day "&amp;HOUR(J21-$F$4)&amp;" hour "&amp;MINUTE(J21-$F$4)&amp;" minute )","xxx"))))))</f>
        <v>#VALUE!</v>
      </c>
      <c r="O21" s="778"/>
      <c r="P21" s="465" t="s">
        <v>551</v>
      </c>
      <c r="Q21" s="465" t="s">
        <v>873</v>
      </c>
      <c r="R21" s="465" t="s">
        <v>873</v>
      </c>
      <c r="S21" s="779"/>
      <c r="T21" s="780"/>
      <c r="U21" s="780"/>
      <c r="V21" s="780"/>
      <c r="W21" s="780"/>
      <c r="X21" s="780"/>
      <c r="Y21" s="780">
        <f>H21*0.45-(H25*0.45)</f>
        <v>2801.1487499999976</v>
      </c>
      <c r="Z21" s="780">
        <f>H21*0.55-(H25*0.55)</f>
        <v>3423.6262499999966</v>
      </c>
      <c r="AA21" s="780"/>
      <c r="AB21" s="780"/>
      <c r="AC21" s="780"/>
      <c r="AD21" s="780"/>
      <c r="AE21" s="780"/>
      <c r="AF21" s="780"/>
      <c r="AG21" s="780"/>
      <c r="AH21" s="780"/>
      <c r="AI21" s="780"/>
      <c r="AJ21" s="780"/>
      <c r="AK21" s="780"/>
      <c r="AL21" s="780"/>
      <c r="AM21" s="780"/>
      <c r="AN21" s="780"/>
      <c r="AO21" s="780"/>
      <c r="AP21" s="780"/>
      <c r="AQ21" s="780"/>
      <c r="AR21" s="780"/>
      <c r="AS21" s="780"/>
      <c r="AT21" s="780"/>
      <c r="AU21" s="780"/>
      <c r="AV21" s="780"/>
      <c r="AW21" s="780"/>
      <c r="AX21" s="780"/>
      <c r="AY21" s="780"/>
      <c r="AZ21" s="780"/>
      <c r="BA21" s="780"/>
      <c r="BB21" s="780"/>
      <c r="BC21" s="780"/>
      <c r="BD21" s="780"/>
      <c r="BE21" s="780"/>
      <c r="BF21" s="780"/>
      <c r="BG21" s="780"/>
      <c r="BH21" s="780"/>
    </row>
    <row r="22" spans="2:61" s="61" customFormat="1">
      <c r="B22" s="1566" t="s">
        <v>556</v>
      </c>
      <c r="C22" s="1567"/>
      <c r="D22" s="1567"/>
      <c r="E22" s="1567"/>
      <c r="F22" s="1567"/>
      <c r="G22" s="1568"/>
      <c r="H22" s="828">
        <f>SUM(H10:H21)</f>
        <v>88195.225000000006</v>
      </c>
      <c r="I22" s="1569"/>
      <c r="J22" s="1569"/>
      <c r="K22" s="1569"/>
      <c r="L22" s="1569"/>
      <c r="M22" s="1569"/>
      <c r="N22" s="818" t="str">
        <f>IF(ISBLANK(J22)," ",IF(J22&lt;$F$4,"On time",(IF(DAY(J22-$F$4)&lt;1,"On time",(IF(J22&gt;$F$4,"DELAY ( "&amp;DAY(J22-$F$4)&amp;" day "&amp;HOUR(J22-$F$4)&amp;" hour "&amp;MINUTE(J22-$F$4)&amp;" minute )","xxx"))))))</f>
        <v xml:space="preserve"> </v>
      </c>
      <c r="O22" s="17"/>
      <c r="P22" s="804"/>
      <c r="Q22" s="804"/>
      <c r="R22" s="804"/>
      <c r="S22" s="773"/>
      <c r="T22" s="1545"/>
      <c r="U22" s="1546"/>
      <c r="V22" s="1546"/>
      <c r="W22" s="1546"/>
      <c r="X22" s="1546"/>
      <c r="Y22" s="1546"/>
      <c r="Z22" s="1546"/>
      <c r="AA22" s="1546"/>
      <c r="AB22" s="1546"/>
      <c r="AC22" s="1546"/>
      <c r="AD22" s="1546"/>
      <c r="AE22" s="1546"/>
      <c r="AF22" s="1546"/>
      <c r="AG22" s="1546"/>
      <c r="AH22" s="1546"/>
      <c r="AI22" s="1546"/>
      <c r="AJ22" s="1546"/>
      <c r="AK22" s="1546"/>
      <c r="AL22" s="1546"/>
      <c r="AM22" s="1546"/>
      <c r="AN22" s="1546"/>
      <c r="AO22" s="1546"/>
      <c r="AP22" s="1546"/>
      <c r="AQ22" s="1546"/>
      <c r="AR22" s="1546"/>
      <c r="AS22" s="1546"/>
      <c r="AT22" s="1546"/>
      <c r="AU22" s="1546"/>
      <c r="AV22" s="1546"/>
      <c r="AW22" s="1546"/>
      <c r="AX22" s="1546"/>
      <c r="AY22" s="1546"/>
      <c r="AZ22" s="1546"/>
      <c r="BA22" s="1546"/>
      <c r="BB22" s="1546"/>
      <c r="BC22" s="1546"/>
      <c r="BD22" s="1546"/>
      <c r="BE22" s="1546"/>
      <c r="BF22" s="1546"/>
      <c r="BG22" s="1546"/>
      <c r="BH22" s="1546"/>
    </row>
    <row r="23" spans="2:61" s="61" customFormat="1">
      <c r="B23" s="1552" t="s">
        <v>557</v>
      </c>
      <c r="C23" s="1553"/>
      <c r="D23" s="1553"/>
      <c r="E23" s="1553"/>
      <c r="F23" s="1553"/>
      <c r="G23" s="1554"/>
      <c r="H23" s="817">
        <v>86920</v>
      </c>
      <c r="I23" s="1555"/>
      <c r="J23" s="1555"/>
      <c r="K23" s="1555"/>
      <c r="L23" s="1555"/>
      <c r="M23" s="1555"/>
      <c r="N23" s="818" t="str">
        <f>IF(ISBLANK(J23)," ",IF(J23&lt;$F$4,"On time",(IF(DAY(J23-$F$4)&lt;1,"On time",(IF(J23&gt;$F$4,"DELAY ( "&amp;DAY(J23-$F$4)&amp;" day "&amp;HOUR(J23-$F$4)&amp;" hour "&amp;MINUTE(J23-$F$4)&amp;" minute )","xxx"))))))</f>
        <v xml:space="preserve"> </v>
      </c>
      <c r="O23" s="779"/>
      <c r="P23" s="464"/>
      <c r="Q23" s="464"/>
      <c r="R23" s="464"/>
      <c r="S23" s="805"/>
      <c r="T23" s="806">
        <f t="shared" ref="T23:BD23" si="3">SUM(T10:T21)</f>
        <v>15040.876</v>
      </c>
      <c r="U23" s="806">
        <f t="shared" si="3"/>
        <v>0</v>
      </c>
      <c r="V23" s="806">
        <f t="shared" si="3"/>
        <v>0</v>
      </c>
      <c r="W23" s="806">
        <f t="shared" si="3"/>
        <v>0</v>
      </c>
      <c r="X23" s="806">
        <f t="shared" si="3"/>
        <v>0</v>
      </c>
      <c r="Y23" s="806">
        <f t="shared" si="3"/>
        <v>22506.189699999999</v>
      </c>
      <c r="Z23" s="806">
        <f t="shared" si="3"/>
        <v>26968.201299999997</v>
      </c>
      <c r="AA23" s="806">
        <f t="shared" si="3"/>
        <v>0</v>
      </c>
      <c r="AB23" s="806">
        <f t="shared" si="3"/>
        <v>22404.733</v>
      </c>
      <c r="AC23" s="806">
        <f t="shared" si="3"/>
        <v>0</v>
      </c>
      <c r="AD23" s="806">
        <f t="shared" si="3"/>
        <v>0</v>
      </c>
      <c r="AE23" s="806">
        <f t="shared" si="3"/>
        <v>0</v>
      </c>
      <c r="AF23" s="806">
        <f t="shared" si="3"/>
        <v>0</v>
      </c>
      <c r="AG23" s="806">
        <f t="shared" si="3"/>
        <v>0</v>
      </c>
      <c r="AH23" s="806">
        <f t="shared" si="3"/>
        <v>0</v>
      </c>
      <c r="AI23" s="806">
        <f t="shared" si="3"/>
        <v>0</v>
      </c>
      <c r="AJ23" s="806">
        <f t="shared" si="3"/>
        <v>0</v>
      </c>
      <c r="AK23" s="806">
        <f t="shared" si="3"/>
        <v>0</v>
      </c>
      <c r="AL23" s="806">
        <f t="shared" si="3"/>
        <v>0</v>
      </c>
      <c r="AM23" s="806">
        <f t="shared" si="3"/>
        <v>0</v>
      </c>
      <c r="AN23" s="806">
        <f t="shared" si="3"/>
        <v>0</v>
      </c>
      <c r="AO23" s="806">
        <f t="shared" si="3"/>
        <v>0</v>
      </c>
      <c r="AP23" s="806">
        <f t="shared" si="3"/>
        <v>0</v>
      </c>
      <c r="AQ23" s="806">
        <f t="shared" si="3"/>
        <v>0</v>
      </c>
      <c r="AR23" s="806">
        <f t="shared" si="3"/>
        <v>0</v>
      </c>
      <c r="AS23" s="806">
        <f t="shared" si="3"/>
        <v>0</v>
      </c>
      <c r="AT23" s="806">
        <f t="shared" si="3"/>
        <v>0</v>
      </c>
      <c r="AU23" s="806">
        <f t="shared" si="3"/>
        <v>0</v>
      </c>
      <c r="AV23" s="806">
        <f t="shared" si="3"/>
        <v>0</v>
      </c>
      <c r="AW23" s="806">
        <f t="shared" si="3"/>
        <v>0</v>
      </c>
      <c r="AX23" s="806">
        <f t="shared" si="3"/>
        <v>0</v>
      </c>
      <c r="AY23" s="806">
        <f t="shared" si="3"/>
        <v>0</v>
      </c>
      <c r="AZ23" s="806">
        <f t="shared" si="3"/>
        <v>0</v>
      </c>
      <c r="BA23" s="806">
        <f t="shared" si="3"/>
        <v>0</v>
      </c>
      <c r="BB23" s="806">
        <f t="shared" si="3"/>
        <v>0</v>
      </c>
      <c r="BC23" s="806">
        <f t="shared" si="3"/>
        <v>0</v>
      </c>
      <c r="BD23" s="806">
        <f t="shared" si="3"/>
        <v>0</v>
      </c>
      <c r="BE23" s="806">
        <f t="shared" ref="BE23:BH23" si="4">SUM(BE10:BE21)</f>
        <v>0</v>
      </c>
      <c r="BF23" s="806">
        <f t="shared" si="4"/>
        <v>0</v>
      </c>
      <c r="BG23" s="806">
        <f t="shared" si="4"/>
        <v>0</v>
      </c>
      <c r="BH23" s="806">
        <f t="shared" si="4"/>
        <v>0</v>
      </c>
      <c r="BI23" s="806">
        <f>SUM(T23:BD23)</f>
        <v>86920</v>
      </c>
    </row>
    <row r="24" spans="2:61" s="61" customFormat="1">
      <c r="B24" s="1552" t="s">
        <v>558</v>
      </c>
      <c r="C24" s="1553"/>
      <c r="D24" s="1553"/>
      <c r="E24" s="1553"/>
      <c r="F24" s="1553"/>
      <c r="G24" s="1554"/>
      <c r="H24" s="807">
        <f>H23-L4</f>
        <v>86920</v>
      </c>
      <c r="I24" s="772"/>
      <c r="J24" s="811"/>
      <c r="K24" s="811"/>
      <c r="L24" s="547"/>
      <c r="M24" s="773"/>
      <c r="N24" s="779"/>
      <c r="O24" s="779"/>
      <c r="P24" s="779"/>
      <c r="Q24" s="808"/>
      <c r="R24" s="808"/>
      <c r="S24" s="779"/>
      <c r="T24" s="809"/>
      <c r="U24" s="809"/>
      <c r="V24" s="809"/>
      <c r="W24" s="809"/>
      <c r="X24" s="809"/>
      <c r="Y24" s="809"/>
      <c r="Z24" s="809"/>
      <c r="AA24" s="809"/>
      <c r="AB24" s="809"/>
      <c r="AC24" s="779"/>
      <c r="AD24" s="779"/>
      <c r="AE24" s="779"/>
      <c r="AF24" s="779"/>
      <c r="AG24" s="779"/>
      <c r="AH24" s="779"/>
      <c r="AI24" s="779"/>
      <c r="AJ24" s="779"/>
      <c r="AK24" s="779"/>
      <c r="AL24" s="779"/>
      <c r="AM24" s="779"/>
      <c r="AN24" s="779"/>
      <c r="AO24" s="779"/>
      <c r="AP24" s="779"/>
      <c r="AQ24" s="779"/>
      <c r="AR24" s="779"/>
    </row>
    <row r="25" spans="2:61" s="61" customFormat="1">
      <c r="B25" s="1552" t="s">
        <v>559</v>
      </c>
      <c r="C25" s="1553"/>
      <c r="D25" s="1553"/>
      <c r="E25" s="1553"/>
      <c r="F25" s="1553"/>
      <c r="G25" s="1554"/>
      <c r="H25" s="810">
        <f>H22-H23</f>
        <v>1275.2250000000058</v>
      </c>
      <c r="I25" s="772"/>
      <c r="J25" s="811"/>
      <c r="K25" s="811"/>
      <c r="L25" s="547"/>
      <c r="M25" s="773"/>
      <c r="N25" s="781"/>
      <c r="O25" s="779"/>
      <c r="P25" s="779"/>
      <c r="Q25" s="779"/>
      <c r="R25" s="779"/>
      <c r="S25" s="779"/>
      <c r="T25" s="809"/>
      <c r="U25" s="809"/>
      <c r="V25" s="809"/>
      <c r="W25" s="809"/>
      <c r="X25" s="809"/>
      <c r="Y25" s="809"/>
      <c r="Z25" s="809"/>
      <c r="AA25" s="809"/>
      <c r="AB25" s="809"/>
      <c r="AC25" s="779"/>
      <c r="AD25" s="779"/>
      <c r="AE25" s="779"/>
      <c r="AF25" s="779"/>
      <c r="AG25" s="779"/>
      <c r="AH25" s="779"/>
      <c r="AI25" s="779"/>
      <c r="AJ25" s="779"/>
      <c r="AK25" s="779"/>
      <c r="AL25" s="779"/>
      <c r="AM25" s="779"/>
      <c r="AN25" s="779"/>
      <c r="AO25" s="779"/>
      <c r="AP25" s="779"/>
      <c r="AQ25" s="779"/>
      <c r="AR25" s="779"/>
    </row>
    <row r="26" spans="2:61">
      <c r="P26" s="779"/>
      <c r="Q26" s="779"/>
      <c r="R26" s="779"/>
      <c r="S26" s="779"/>
      <c r="T26" s="809"/>
      <c r="U26" s="809"/>
      <c r="V26" s="809"/>
      <c r="W26" s="809"/>
      <c r="X26" s="809"/>
      <c r="Y26" s="809"/>
      <c r="Z26" s="809"/>
      <c r="AA26" s="809"/>
      <c r="AB26" s="809"/>
      <c r="AC26" s="779"/>
      <c r="AD26" s="779"/>
      <c r="AE26" s="779"/>
      <c r="AF26" s="779"/>
      <c r="AG26" s="779"/>
      <c r="AH26" s="779"/>
      <c r="AI26" s="779"/>
      <c r="AJ26" s="779"/>
      <c r="AK26" s="779"/>
      <c r="AL26" s="779"/>
      <c r="AM26" s="779"/>
      <c r="AN26" s="779"/>
      <c r="AO26" s="779"/>
      <c r="AP26" s="779"/>
      <c r="AQ26" s="779"/>
      <c r="AR26" s="779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</row>
    <row r="27" spans="2:61">
      <c r="B27" s="790" t="s">
        <v>561</v>
      </c>
      <c r="C27" s="790"/>
      <c r="D27" s="779"/>
      <c r="E27" s="779"/>
      <c r="F27" s="779"/>
      <c r="G27" s="779"/>
      <c r="H27" s="779"/>
      <c r="I27" s="779"/>
      <c r="J27" s="812"/>
      <c r="K27" s="812"/>
      <c r="L27" s="813"/>
      <c r="M27" s="779"/>
      <c r="O27" s="812"/>
      <c r="AV27" s="61"/>
      <c r="AW27" s="61"/>
      <c r="AX27" s="61"/>
      <c r="AY27" s="61"/>
      <c r="AZ27" s="61"/>
      <c r="BA27" s="61"/>
      <c r="BB27" s="61"/>
      <c r="BC27" s="61"/>
      <c r="BD27" s="61"/>
    </row>
    <row r="28" spans="2:61">
      <c r="B28" s="468">
        <v>1</v>
      </c>
      <c r="C28" s="1565" t="s">
        <v>4591</v>
      </c>
      <c r="D28" s="1565"/>
      <c r="E28" s="1565"/>
      <c r="F28" s="1565"/>
      <c r="G28" s="1565"/>
      <c r="H28" s="1565"/>
      <c r="I28" s="1565"/>
      <c r="J28" s="1565"/>
      <c r="K28" s="1565"/>
      <c r="M28" s="784"/>
    </row>
    <row r="29" spans="2:61">
      <c r="M29" s="784"/>
    </row>
    <row r="30" spans="2:61">
      <c r="M30" s="784"/>
    </row>
    <row r="31" spans="2:61">
      <c r="M31" s="784"/>
    </row>
    <row r="32" spans="2:61">
      <c r="M32" s="784"/>
    </row>
    <row r="33" spans="12:13">
      <c r="M33" s="784"/>
    </row>
    <row r="34" spans="12:13">
      <c r="M34" s="784"/>
    </row>
    <row r="35" spans="12:13">
      <c r="L35" s="829" t="s">
        <v>4583</v>
      </c>
      <c r="M35" s="829" t="s">
        <v>3207</v>
      </c>
    </row>
    <row r="36" spans="12:13">
      <c r="M36" s="784"/>
    </row>
  </sheetData>
  <mergeCells count="25">
    <mergeCell ref="B24:G24"/>
    <mergeCell ref="B25:G25"/>
    <mergeCell ref="C28:K28"/>
    <mergeCell ref="B11:C11"/>
    <mergeCell ref="B15:C15"/>
    <mergeCell ref="B17:C17"/>
    <mergeCell ref="B22:G22"/>
    <mergeCell ref="I22:M22"/>
    <mergeCell ref="B23:G23"/>
    <mergeCell ref="I23:M23"/>
    <mergeCell ref="T22:BH22"/>
    <mergeCell ref="Y8:AA8"/>
    <mergeCell ref="AB8:AC8"/>
    <mergeCell ref="B9:C9"/>
    <mergeCell ref="B14:C14"/>
    <mergeCell ref="B18:C18"/>
    <mergeCell ref="B13:C13"/>
    <mergeCell ref="T8:X8"/>
    <mergeCell ref="B10:C10"/>
    <mergeCell ref="B16:C16"/>
    <mergeCell ref="B19:C19"/>
    <mergeCell ref="B20:C20"/>
    <mergeCell ref="B21:C21"/>
    <mergeCell ref="B12:C12"/>
    <mergeCell ref="AF8:BH8"/>
  </mergeCells>
  <pageMargins left="0.7" right="0.7" top="0.75" bottom="0.75" header="0.3" footer="0.3"/>
  <pageSetup paperSize="9" scale="24" orientation="landscape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2000-000000000000}">
          <x14:formula1>
            <xm:f>'FLF &amp; AGENT INFO'!$F$3:$F$28</xm:f>
          </x14:formula1>
          <xm:sqref>F7</xm:sqref>
        </x14:dataValidation>
        <x14:dataValidation type="list" allowBlank="1" showInputMessage="1" showErrorMessage="1" xr:uid="{00000000-0002-0000-2000-000001000000}">
          <x14:formula1>
            <xm:f>'FLF &amp; AGENT INFO'!$B$3:$B$20</xm:f>
          </x14:formula1>
          <xm:sqref>F5</xm:sqref>
        </x14:dataValidation>
        <x14:dataValidation type="list" allowBlank="1" showInputMessage="1" showErrorMessage="1" xr:uid="{00000000-0002-0000-2000-000002000000}">
          <x14:formula1>
            <xm:f>'FLF &amp; AGENT INFO'!$H$3:$H$7</xm:f>
          </x14:formula1>
          <xm:sqref>L6</xm:sqref>
        </x14:dataValidation>
        <x14:dataValidation type="list" allowBlank="1" showInputMessage="1" showErrorMessage="1" xr:uid="{00000000-0002-0000-2000-000003000000}">
          <x14:formula1>
            <xm:f>'FLF &amp; AGENT INFO'!$D$3:$D$31</xm:f>
          </x14:formula1>
          <xm:sqref>F6</xm:sqref>
        </x14:dataValidation>
        <x14:dataValidation type="list" allowBlank="1" showInputMessage="1" showErrorMessage="1" xr:uid="{00000000-0002-0000-2000-000004000000}">
          <x14:formula1>
            <xm:f>'VLU 2023 &amp; 2024'!$I$253:$I$275</xm:f>
          </x14:formula1>
          <xm:sqref>L5</xm:sqref>
        </x14:dataValidation>
        <x14:dataValidation type="list" allowBlank="1" showInputMessage="1" showErrorMessage="1" xr:uid="{00000000-0002-0000-2000-000005000000}">
          <x14:formula1>
            <xm:f>'VLU 2023 &amp; 2024'!$H$253:$H$275</xm:f>
          </x14:formula1>
          <xm:sqref>F2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4b6c3ce-9b35-44c9-b269-71755b15fbd5">
      <UserInfo>
        <DisplayName>Arif Budi Nugroho</DisplayName>
        <AccountId>10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5346B5BEDCC4BA211D8E1B947E7C8" ma:contentTypeVersion="6" ma:contentTypeDescription="Create a new document." ma:contentTypeScope="" ma:versionID="7ef8c67804e64add787b56423ac57587">
  <xsd:schema xmlns:xsd="http://www.w3.org/2001/XMLSchema" xmlns:xs="http://www.w3.org/2001/XMLSchema" xmlns:p="http://schemas.microsoft.com/office/2006/metadata/properties" xmlns:ns2="0cb3dbee-f300-4ca2-bb68-b2a302432608" xmlns:ns3="d4b6c3ce-9b35-44c9-b269-71755b15fbd5" targetNamespace="http://schemas.microsoft.com/office/2006/metadata/properties" ma:root="true" ma:fieldsID="dd57a1947f7825039d7d6f1f3e8e1535" ns2:_="" ns3:_="">
    <xsd:import namespace="0cb3dbee-f300-4ca2-bb68-b2a302432608"/>
    <xsd:import namespace="d4b6c3ce-9b35-44c9-b269-71755b15f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3dbee-f300-4ca2-bb68-b2a302432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6c3ce-9b35-44c9-b269-71755b15f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AD5616-1823-4839-91BB-6786CB423FB4}">
  <ds:schemaRefs>
    <ds:schemaRef ds:uri="http://schemas.microsoft.com/office/2006/metadata/properties"/>
    <ds:schemaRef ds:uri="http://schemas.microsoft.com/office/infopath/2007/PartnerControls"/>
    <ds:schemaRef ds:uri="d4b6c3ce-9b35-44c9-b269-71755b15fbd5"/>
  </ds:schemaRefs>
</ds:datastoreItem>
</file>

<file path=customXml/itemProps2.xml><?xml version="1.0" encoding="utf-8"?>
<ds:datastoreItem xmlns:ds="http://schemas.openxmlformats.org/officeDocument/2006/customXml" ds:itemID="{97F8A9E7-1247-41CA-A166-4693659BB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3dbee-f300-4ca2-bb68-b2a302432608"/>
    <ds:schemaRef ds:uri="d4b6c3ce-9b35-44c9-b269-71755b15f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5F9A46-922E-4891-8809-EF17B87D96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FLF &amp; AGENT INFO</vt:lpstr>
      <vt:lpstr>Sheet1</vt:lpstr>
      <vt:lpstr>BLU JAN'23</vt:lpstr>
      <vt:lpstr>TBS JAN'23</vt:lpstr>
      <vt:lpstr>BLU FEB'23</vt:lpstr>
      <vt:lpstr>TBS FEB'23</vt:lpstr>
      <vt:lpstr>BLU MAR'23</vt:lpstr>
      <vt:lpstr>TBS MAR'23</vt:lpstr>
      <vt:lpstr>BLU APR'23</vt:lpstr>
      <vt:lpstr>TBS APR'23</vt:lpstr>
      <vt:lpstr>BLU MAY'23</vt:lpstr>
      <vt:lpstr>TBS MAY'23</vt:lpstr>
      <vt:lpstr>BLU JUNE'23</vt:lpstr>
      <vt:lpstr>TBS JUNE'23</vt:lpstr>
      <vt:lpstr>TBS JULY'23</vt:lpstr>
      <vt:lpstr>TBS AUG'23</vt:lpstr>
      <vt:lpstr>TBS SEPT'23</vt:lpstr>
      <vt:lpstr>BLU JULY'23</vt:lpstr>
      <vt:lpstr>BLU AUG'23</vt:lpstr>
      <vt:lpstr>BLU SEPT'23</vt:lpstr>
      <vt:lpstr>Sheet2</vt:lpstr>
      <vt:lpstr>VLU 2023 &amp; 2024</vt:lpstr>
      <vt:lpstr>BLU OCT'23</vt:lpstr>
      <vt:lpstr>BLU NOV'23</vt:lpstr>
      <vt:lpstr>TBS OCT'23</vt:lpstr>
      <vt:lpstr>TBS NOV'23</vt:lpstr>
      <vt:lpstr>BLU DEC'23 &amp; JAN'24</vt:lpstr>
      <vt:lpstr>TBS DEC'23</vt:lpstr>
      <vt:lpstr>BOCT</vt:lpstr>
      <vt:lpstr>MBR MV. CHANG MING</vt:lpstr>
      <vt:lpstr>MBR MV. VINCA (voy.02)</vt:lpstr>
      <vt:lpstr>MBR MV. XIN WU ZHOU 1</vt:lpstr>
      <vt:lpstr>MBR MV. RIN 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EKA PUTRA WISUDAYASA</dc:creator>
  <cp:keywords/>
  <dc:description/>
  <cp:lastModifiedBy>resma yunita</cp:lastModifiedBy>
  <cp:revision/>
  <dcterms:created xsi:type="dcterms:W3CDTF">2020-10-15T01:33:06Z</dcterms:created>
  <dcterms:modified xsi:type="dcterms:W3CDTF">2025-08-19T05:20:42Z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0x010100A8D5346B5BEDCC4BA211D8E1B947E7C8</vt:lpwstr>
  </property>
</Properties>
</file>